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47.xml" ContentType="application/vnd.ms-excel.controlproperties+xml"/>
  <Override PartName="/xl/drawings/drawing4.xml" ContentType="application/vnd.openxmlformats-officedocument.drawing+xml"/>
  <Override PartName="/xl/ctrlProps/ctrlProp48.xml" ContentType="application/vnd.ms-excel.controlproperties+xml"/>
  <Override PartName="/xl/ctrlProps/ctrlProp49.xml" ContentType="application/vnd.ms-excel.controlproperties+xml"/>
  <Override PartName="/xl/drawings/drawing5.xml" ContentType="application/vnd.openxmlformats-officedocument.drawing+xml"/>
  <Override PartName="/xl/ctrlProps/ctrlProp50.xml" ContentType="application/vnd.ms-excel.controlproperties+xml"/>
  <Override PartName="/xl/drawings/drawing6.xml" ContentType="application/vnd.openxmlformats-officedocument.drawing+xml"/>
  <Override PartName="/xl/ctrlProps/ctrlProp51.xml" ContentType="application/vnd.ms-excel.controlproperties+xml"/>
  <Override PartName="/xl/drawings/drawing7.xml" ContentType="application/vnd.openxmlformats-officedocument.drawing+xml"/>
  <Override PartName="/xl/ctrlProps/ctrlProp52.xml" ContentType="application/vnd.ms-excel.controlproperties+xml"/>
  <Override PartName="/xl/ctrlProps/ctrlProp53.xml" ContentType="application/vnd.ms-excel.controlproperties+xml"/>
  <Override PartName="/xl/drawings/drawing8.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trlProps/ctrlProp57.xml" ContentType="application/vnd.ms-excel.controlproperties+xml"/>
  <Override PartName="/xl/drawings/drawing10.xml" ContentType="application/vnd.openxmlformats-officedocument.drawing+xml"/>
  <Override PartName="/xl/ctrlProps/ctrlProp58.xml" ContentType="application/vnd.ms-excel.controlproperties+xml"/>
  <Override PartName="/xl/drawings/drawing11.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12.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13.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14.xml" ContentType="application/vnd.openxmlformats-officedocument.drawing+xml"/>
  <Override PartName="/xl/ctrlProps/ctrlProp72.xml" ContentType="application/vnd.ms-excel.controlproperties+xml"/>
  <Override PartName="/xl/charts/chart69.xml" ContentType="application/vnd.openxmlformats-officedocument.drawingml.chart+xml"/>
  <Override PartName="/xl/charts/style2.xml" ContentType="application/vnd.ms-office.chartstyle+xml"/>
  <Override PartName="/xl/charts/colors2.xml" ContentType="application/vnd.ms-office.chartcolorstyle+xml"/>
  <Override PartName="/xl/charts/chart70.xml" ContentType="application/vnd.openxmlformats-officedocument.drawingml.chart+xml"/>
  <Override PartName="/xl/charts/style3.xml" ContentType="application/vnd.ms-office.chartstyle+xml"/>
  <Override PartName="/xl/charts/colors3.xml" ContentType="application/vnd.ms-office.chartcolorstyle+xml"/>
  <Override PartName="/xl/charts/chart71.xml" ContentType="application/vnd.openxmlformats-officedocument.drawingml.chart+xml"/>
  <Override PartName="/xl/charts/style4.xml" ContentType="application/vnd.ms-office.chartstyle+xml"/>
  <Override PartName="/xl/charts/colors4.xml" ContentType="application/vnd.ms-office.chartcolorstyle+xml"/>
  <Override PartName="/xl/charts/chart72.xml" ContentType="application/vnd.openxmlformats-officedocument.drawingml.chart+xml"/>
  <Override PartName="/xl/charts/style5.xml" ContentType="application/vnd.ms-office.chartstyle+xml"/>
  <Override PartName="/xl/charts/colors5.xml" ContentType="application/vnd.ms-office.chartcolorstyle+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style6.xml" ContentType="application/vnd.ms-office.chartstyle+xml"/>
  <Override PartName="/xl/charts/colors6.xml" ContentType="application/vnd.ms-office.chartcolorstyle+xml"/>
  <Override PartName="/xl/charts/chart82.xml" ContentType="application/vnd.openxmlformats-officedocument.drawingml.chart+xml"/>
  <Override PartName="/xl/charts/style7.xml" ContentType="application/vnd.ms-office.chartstyle+xml"/>
  <Override PartName="/xl/charts/colors7.xml" ContentType="application/vnd.ms-office.chartcolorstyle+xml"/>
  <Override PartName="/xl/charts/chart83.xml" ContentType="application/vnd.openxmlformats-officedocument.drawingml.chart+xml"/>
  <Override PartName="/xl/charts/style8.xml" ContentType="application/vnd.ms-office.chartstyle+xml"/>
  <Override PartName="/xl/charts/colors8.xml" ContentType="application/vnd.ms-office.chartcolorstyle+xml"/>
  <Override PartName="/xl/charts/chart84.xml" ContentType="application/vnd.openxmlformats-officedocument.drawingml.chart+xml"/>
  <Override PartName="/xl/charts/style9.xml" ContentType="application/vnd.ms-office.chartstyle+xml"/>
  <Override PartName="/xl/charts/colors9.xml" ContentType="application/vnd.ms-office.chartcolorstyle+xml"/>
  <Override PartName="/xl/charts/chart85.xml" ContentType="application/vnd.openxmlformats-officedocument.drawingml.chart+xml"/>
  <Override PartName="/xl/charts/style10.xml" ContentType="application/vnd.ms-office.chartstyle+xml"/>
  <Override PartName="/xl/charts/colors10.xml" ContentType="application/vnd.ms-office.chartcolorstyle+xml"/>
  <Override PartName="/xl/charts/chart86.xml" ContentType="application/vnd.openxmlformats-officedocument.drawingml.chart+xml"/>
  <Override PartName="/xl/charts/chart87.xml" ContentType="application/vnd.openxmlformats-officedocument.drawingml.chart+xml"/>
  <Override PartName="/xl/charts/style11.xml" ContentType="application/vnd.ms-office.chartstyle+xml"/>
  <Override PartName="/xl/charts/colors11.xml" ContentType="application/vnd.ms-office.chartcolorstyle+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drawings/drawing15.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drawings/drawing16.xml" ContentType="application/vnd.openxmlformats-officedocument.drawing+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harts/chart125.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codeName="{60716B99-48EF-4627-542C-1B4CF24DBC83}"/>
  <workbookPr codeName="ThisWorkbook" defaultThemeVersion="124226"/>
  <mc:AlternateContent xmlns:mc="http://schemas.openxmlformats.org/markup-compatibility/2006">
    <mc:Choice Requires="x15">
      <x15ac:absPath xmlns:x15ac="http://schemas.microsoft.com/office/spreadsheetml/2010/11/ac" url="https://d.docs.live.net/d0f918d2c9e04eff/EIU/Novartis_Cardio/"/>
    </mc:Choice>
  </mc:AlternateContent>
  <xr:revisionPtr revIDLastSave="38" documentId="13_ncr:1_{4FDE0AD2-1F62-424A-A47D-872C1F9C3CCF}" xr6:coauthVersionLast="47" xr6:coauthVersionMax="47" xr10:uidLastSave="{448E070E-6B49-4A71-96D7-A606FF7C8CB0}"/>
  <bookViews>
    <workbookView showSheetTabs="0" xWindow="-103" yWindow="-103" windowWidth="33120" windowHeight="18000" tabRatio="659" firstSheet="27" activeTab="30" xr2:uid="{00000000-000D-0000-FFFF-FFFF00000000}"/>
  </bookViews>
  <sheets>
    <sheet name="losFrameworkSchema" sheetId="3411" state="veryHidden" r:id="rId1"/>
    <sheet name="tblTimeSlice" sheetId="3415" state="veryHidden" r:id="rId2"/>
    <sheet name="tblDataLookup" sheetId="3416" state="veryHidden" r:id="rId3"/>
    <sheet name="uxbHistory" sheetId="3426" state="veryHidden" r:id="rId4"/>
    <sheet name="tblSeriesSets" sheetId="3414" state="veryHidden" r:id="rId5"/>
    <sheet name="iHighLevel" sheetId="3528" state="veryHidden" r:id="rId6"/>
    <sheet name="iMeasure_HighLevel" sheetId="3518" state="veryHidden" r:id="rId7"/>
    <sheet name="iMeasure_All" sheetId="3435" state="veryHidden" r:id="rId8"/>
    <sheet name="uxbENUM" sheetId="3427" state="veryHidden" r:id="rId9"/>
    <sheet name="datScoreCalcIntermediate" sheetId="3421" state="veryHidden" r:id="rId10"/>
    <sheet name="tblCountries" sheetId="3431" state="veryHidden" r:id="rId11"/>
    <sheet name="uxbStruc" sheetId="3428" state="veryHidden" r:id="rId12"/>
    <sheet name="uxbGlobals" sheetId="3449" state="veryHidden" r:id="rId13"/>
    <sheet name="iCountryOrGroup" sheetId="3564" state="veryHidden" r:id="rId14"/>
    <sheet name="iScatterStateProfile" sheetId="3577" state="veryHidden" r:id="rId15"/>
    <sheet name="iInternetIndex" sheetId="3579" state="veryHidden" r:id="rId16"/>
    <sheet name="iMeasure_Overview" sheetId="3570" state="veryHidden" r:id="rId17"/>
    <sheet name="tblCategoryMap" sheetId="3526" state="veryHidden" r:id="rId18"/>
    <sheet name="tblIndex" sheetId="3454" state="veryHidden" r:id="rId19"/>
    <sheet name="iWeights" sheetId="3436" state="veryHidden" r:id="rId20"/>
    <sheet name="tblSeries" sheetId="3430" state="veryHidden" r:id="rId21"/>
    <sheet name="iScatter" sheetId="3434" state="veryHidden" r:id="rId22"/>
    <sheet name="iScatterGrpCorrel" sheetId="3419" state="veryHidden" r:id="rId23"/>
    <sheet name="iCountry" sheetId="3448" state="veryHidden" r:id="rId24"/>
    <sheet name="EIU Admin_1" sheetId="3471" state="veryHidden" r:id="rId25"/>
    <sheet name="Enable_Macros" sheetId="3545" state="hidden" r:id="rId26"/>
    <sheet name="Welcome" sheetId="3543" state="veryHidden" r:id="rId27"/>
    <sheet name="Contents" sheetId="3544" r:id="rId28"/>
    <sheet name="User Guide" sheetId="3548" r:id="rId29"/>
    <sheet name="Scorecards" sheetId="3495" state="veryHidden" r:id="rId30"/>
    <sheet name="City_Detail" sheetId="3576" r:id="rId31"/>
    <sheet name="All_Measures" sheetId="3561" state="veryHidden" r:id="rId32"/>
    <sheet name="Data_Table" sheetId="3489" state="veryHidden" r:id="rId33"/>
    <sheet name="Score_Table" sheetId="3444" state="veryHidden" r:id="rId34"/>
    <sheet name="Weights" sheetId="3445" state="veryHidden" r:id="rId35"/>
    <sheet name="ScatterPlot" sheetId="3480" state="veryHidden" r:id="rId36"/>
    <sheet name="Compare" sheetId="3560" state="veryHidden" r:id="rId37"/>
    <sheet name="City_Profile" sheetId="3523" state="veryHidden" r:id="rId38"/>
    <sheet name="Rankings" sheetId="3479" state="veryHidden" r:id="rId39"/>
    <sheet name="Overview" sheetId="3569" state="veryHidden" r:id="rId40"/>
  </sheets>
  <functionGroups builtInGroupCount="19"/>
  <definedNames>
    <definedName name="_dyn_dd_flt_country" hidden="1">OFFSET(tblCountries!$N$3,0,0,uxbGlobals!$B$352,1)</definedName>
    <definedName name="_dyn_dd_flt_country_2" hidden="1">OFFSET(tblCountries!$P$3,0,0,uxbGlobals!$B$357,1)</definedName>
    <definedName name="_dyn_dd_flt_country_hi" hidden="1">OFFSET(tblCountries!$N$2,0,0,uxbGlobals!$B$352+1,1)</definedName>
    <definedName name="_dyn_dd_flt_country_plus_none" hidden="1">OFFSET(tblCountries!$N$2,0,0,uxbGlobals!$B$352+1,1)</definedName>
    <definedName name="_xlnm._FilterDatabase" localSheetId="20" hidden="1">tblSeries!$A$1:$BF$192</definedName>
    <definedName name="auto_cat_multiples" hidden="1">tblCategoryMap!$A$3:$AN$34</definedName>
    <definedName name="auto_Country_Alt" hidden="1">tblCountries!$H$3:$H$52</definedName>
    <definedName name="auto_Country_ISO" hidden="1">tblCountries!$F$3:$F$52</definedName>
    <definedName name="auto_Country_Level_ID" hidden="1">tblCountries!$I$3:$I$52</definedName>
    <definedName name="auto_Country_Status" hidden="1">tblCountries!$E$3:$E$52</definedName>
    <definedName name="auto_DataFlat_Classification" hidden="1">tblIndex!$D$2:$D$19330</definedName>
    <definedName name="auto_DataFlat_DataValue" hidden="1">tblIndex!$F$2:$F$19330</definedName>
    <definedName name="auto_DataFlat_DataYear" hidden="1">tblIndex!$G$2:$G$19330</definedName>
    <definedName name="auto_DataFlat_IsEstimate" hidden="1">tblIndex!$H$2:$H$19330</definedName>
    <definedName name="auto_DataFlat_Justification" hidden="1">tblIndex!$J$2:$J$19330</definedName>
    <definedName name="auto_DataFlat_Rank" hidden="1">tblIndex!$C$2:$C$19330</definedName>
    <definedName name="auto_DataFlat_References" hidden="1">tblIndex!$K$2:$K$19330</definedName>
    <definedName name="auto_DataFlat_Score" hidden="1">tblIndex!$B$2:$B$19330</definedName>
    <definedName name="auto_DataFlat_Source" hidden="1">tblIndex!$I$2:$I$19330</definedName>
    <definedName name="auto_DataFlat_Summaries" hidden="1">tblIndex!$L$2:$L$19330</definedName>
    <definedName name="auto_DataFlat_UID" hidden="1">tblIndex!$A$2:$A$19329</definedName>
    <definedName name="auto_DataFlat_ZScore" hidden="1">tblIndex!$E$2:$E$19330</definedName>
    <definedName name="auto_ddComparison_Years" hidden="1">tblSeriesSets!$B$4</definedName>
    <definedName name="auto_ddCountry" hidden="1">tblCountries!$G$3:$G$52</definedName>
    <definedName name="auto_ddCountry_Highlight_Ignore_Filter" hidden="1">tblCountries!$K$3:$K$52</definedName>
    <definedName name="auto_ddCountry_Or_None" hidden="1">tblCountries!$G$2:$G$52</definedName>
    <definedName name="auto_ddFiltered_Country" hidden="1">tblCountries!$N$3:$N$52</definedName>
    <definedName name="auto_ddFiltered_Country_2" hidden="1">tblCountries!$P$3:$P$52</definedName>
    <definedName name="auto_ddFiltered_Country_ID" hidden="1">tblCountries!$M$3:$M$52</definedName>
    <definedName name="auto_ddFiltered_Country_ID_2" hidden="1">tblCountries!$O$3:$O$52</definedName>
    <definedName name="auto_ddGroup_Filter" hidden="1">tblCountries!$BM$2:$BM$11</definedName>
    <definedName name="auto_ddGroup_Highlight" hidden="1">tblCountries!$BO$2:$BO$11</definedName>
    <definedName name="auto_ddGroups_With_None_And_All" hidden="1">tblCountries!$BS$2:$BS$12</definedName>
    <definedName name="auto_ddYears" hidden="1">tblSeriesSets!$A$4</definedName>
    <definedName name="auto_enum_CatFilter" hidden="1">tblSeriesSets!$E$4:$E$9</definedName>
    <definedName name="auto_enum_CatMultiples" hidden="1">tblSeriesSets!$D$4:$D$42</definedName>
    <definedName name="auto_enum_ModelDepthDescriptions" hidden="1">tblSeriesSets!$C$4:$C$6</definedName>
    <definedName name="auto_Group_Code" hidden="1">tblCountries!$BL$2:$BL$11</definedName>
    <definedName name="auto_Series_Code" hidden="1">tblSeries!$B$2:$B$79</definedName>
    <definedName name="auto_Series_Depth" hidden="1">tblSeries!$D$2:$D$79</definedName>
    <definedName name="auto_Series_Description" hidden="1">tblSeries!$N$2:$N$79</definedName>
    <definedName name="auto_Series_MuliptleChoiceQuestion" hidden="1">tblSeries!$AH$2:$AH$79</definedName>
    <definedName name="auto_Series_MultipleChoiceOptions" hidden="1">tblSeries!$AI$2:$AQ$79</definedName>
    <definedName name="auto_Series_NameNoNumber" hidden="1">tblSeries!$K$2:$K$79</definedName>
    <definedName name="auto_Series_NameNumbered" hidden="1">tblSeries!$AX$2:$AX$79</definedName>
    <definedName name="auto_Series_ParentCode" hidden="1">tblSeries!$C$2:$C$79</definedName>
    <definedName name="auto_Series_Source" hidden="1">tblSeries!$M$2:$M$79</definedName>
    <definedName name="auto_Series_Unit" hidden="1">tblSeries!$L$2:$L$79</definedName>
    <definedName name="auto_ss_All_Scoring" hidden="1">tblSeriesSets!$K$4:$K$66</definedName>
    <definedName name="auto_ss_All_Series" hidden="1">tblSeriesSets!$G$4:$G$81</definedName>
    <definedName name="auto_ss_All_Series_Indent" hidden="1">tblSeriesSets!$I$4:$I$81</definedName>
    <definedName name="auto_ss_Background" hidden="1">tblSeriesSets!$AO$4:$AO$17</definedName>
    <definedName name="auto_ss_Category" hidden="1">tblSeriesSets!$AM$4:$AM$8</definedName>
    <definedName name="auto_ss_Composite" hidden="1">tblSeriesSets!$U$4:$U$22</definedName>
    <definedName name="auto_ss_data_table" hidden="1">tblSeriesSets!$AU$4:$AU$81</definedName>
    <definedName name="auto_ss_depth_2" hidden="1">tblSeriesSets!$AE$4:$AE$34</definedName>
    <definedName name="auto_ss_depth_3" hidden="1">tblSeriesSets!$AG$4:$AG$29</definedName>
    <definedName name="auto_ss_depth_3_or_below" hidden="1">tblSeriesSets!$AI$4:$AI$66</definedName>
    <definedName name="auto_ss_HasData" hidden="1">tblSeriesSets!$M$4:$M$61</definedName>
    <definedName name="auto_ss_HasData_exBG" hidden="1">tblSeriesSets!$O$4:$O$47</definedName>
    <definedName name="auto_ss_HasDetailedNotes" hidden="1">tblSeriesSets!$S$4:$S$26</definedName>
    <definedName name="auto_ss_HighLevel" hidden="1">tblSeriesSets!$AA$4:$AA$40</definedName>
    <definedName name="auto_ss_HighLevel_Hack" hidden="1">tblSeriesSets!$AC$4:$AC$40</definedName>
    <definedName name="auto_ss_MultipleChoice" hidden="1">tblSeriesSets!$Q$4:$Q$28</definedName>
    <definedName name="auto_ss_OverallAndCategory" hidden="1">tblSeriesSets!$AK$4:$AK$9</definedName>
    <definedName name="auto_ss_Overview" hidden="1">tblSeriesSets!$Y$4:$Y$40</definedName>
    <definedName name="auto_ss_Scatter_X" hidden="1">tblSeriesSets!$AQ$4:$AQ$81</definedName>
    <definedName name="auto_ss_Scatter_Y" hidden="1">tblSeriesSets!$AS$4:$AS$81</definedName>
    <definedName name="auto_ss_score_table" hidden="1">tblSeriesSets!$AW$4:$AW$66</definedName>
    <definedName name="auto_ss_TopLevel" hidden="1">tblSeriesSets!$W$4:$W$9</definedName>
    <definedName name="auto_tblSeries" hidden="1">tblSeries!$A$2:$BJ$79</definedName>
    <definedName name="auto_tblSeries_Header" hidden="1">tblSeries!$A$1:$BJ$1</definedName>
    <definedName name="auto_TimeSliceCode" hidden="1">tblTimeSlice!$B$2:$B$6</definedName>
    <definedName name="auto_TimeSliceComparisonDescription" hidden="1">tblTimeSlice!$C$2:$C$5</definedName>
    <definedName name="auto_TimeSliceDescription" hidden="1">tblTimeSlice!$C$2:$C$6</definedName>
    <definedName name="csv_data_table" localSheetId="30" hidden="1">City_Detail!$X$19:$AB$22</definedName>
    <definedName name="csv_data_table" hidden="1">Data_Table!$J$19:$P$50</definedName>
    <definedName name="csv_score_table" hidden="1">Score_Table!$H$20:$O$50</definedName>
    <definedName name="foh_all_measures" hidden="1">All_Measures!$T$29</definedName>
    <definedName name="foh_tbl_data_E1" localSheetId="31" hidden="1">All_Measures!$T$29:$T$78</definedName>
    <definedName name="man_country_or_average" hidden="1">tblCountries!$BJ$2:$BJ$52</definedName>
    <definedName name="man_weight_profile_names" hidden="1">iWeights!$D$6:$D$11</definedName>
    <definedName name="_xlnm.Print_Area" localSheetId="31">All_Measures!$C$4:$AB$111</definedName>
    <definedName name="_xlnm.Print_Area" localSheetId="30">City_Detail!$C$4:$AE$97</definedName>
    <definedName name="_xlnm.Print_Area" localSheetId="37">City_Profile!$C$4:$AL$182</definedName>
    <definedName name="_xlnm.Print_Area" localSheetId="36">Compare!$C$4:$Q$92</definedName>
    <definedName name="_xlnm.Print_Area" localSheetId="27">Contents!$C$4:$J$71</definedName>
    <definedName name="_xlnm.Print_Area" localSheetId="32">Data_Table!$C$4:$BI$100</definedName>
    <definedName name="_xlnm.Print_Area" localSheetId="24">'EIU Admin_1'!$B$4:$C$13</definedName>
    <definedName name="_xlnm.Print_Area" localSheetId="25">Enable_Macros!$D$4:$Q$10</definedName>
    <definedName name="_xlnm.Print_Area" localSheetId="39">Overview!$C$4:$DG$70</definedName>
    <definedName name="_xlnm.Print_Area" localSheetId="38">Rankings!$C$4:$EZ$74</definedName>
    <definedName name="_xlnm.Print_Area" localSheetId="35">ScatterPlot!$C$4:$AF$97</definedName>
    <definedName name="_xlnm.Print_Area" localSheetId="33">Score_Table!$C$4:$BH$85</definedName>
    <definedName name="_xlnm.Print_Area" localSheetId="29">Scorecards!$C$4:$BR$36</definedName>
    <definedName name="_xlnm.Print_Area" localSheetId="28">'User Guide'!$C$4:$J$45</definedName>
    <definedName name="_xlnm.Print_Area" localSheetId="34">Weights!$C$4:$Y$277</definedName>
    <definedName name="_xlnm.Print_Area" localSheetId="26">Welcome!$C$4:$I$24</definedName>
    <definedName name="static_chart_legend_text" hidden="1">uxbENUM!$P$2:$P$4</definedName>
    <definedName name="static_chart_options" hidden="1">uxbENUM!$O$2:$O$4</definedName>
    <definedName name="static_classification_scheme" hidden="1">uxbENUM!$S$2:$S$3</definedName>
    <definedName name="static_compare_detail" hidden="1">uxbENUM!$Q$2:$Q$3</definedName>
    <definedName name="static_enum_data_filter" hidden="1">uxbENUM!$J$2:$J$3</definedName>
    <definedName name="static_enum_dots_view" hidden="1">uxbENUM!$N$2:$N$3</definedName>
    <definedName name="static_enum_GlobalZoom" hidden="1">uxbENUM!$B$2:$B$7</definedName>
    <definedName name="static_enum_indicator_view" hidden="1">uxbENUM!$K$2:$K$4</definedName>
    <definedName name="static_enum_palette" hidden="1">uxbENUM!$M$2:$M$4</definedName>
    <definedName name="static_enum_scatter_data_options" hidden="1">uxbENUM!$L$2:$L$3</definedName>
    <definedName name="static_enum_ScatterFilter" hidden="1">uxbENUM!$I$2:$I$5</definedName>
    <definedName name="static_enum_Series_Data_Type" hidden="1">uxbENUM!$F$2:$F$11</definedName>
    <definedName name="static_enum_Series_Polarity" hidden="1">uxbENUM!$D$2:$D$4</definedName>
    <definedName name="static_enum_Series_Scoring_System" hidden="1">uxbENUM!$E$2:$E$7</definedName>
    <definedName name="static_enum_Sort_Order_1" hidden="1">uxbENUM!$G$2:$G$4</definedName>
    <definedName name="static_enum_WeightsMode" hidden="1">uxbENUM!$C$2:$C$3</definedName>
    <definedName name="static_oosi_depth" hidden="1">uxbENUM!$H$2:$H$3</definedName>
    <definedName name="static_sectors" hidden="1">uxbENUM!$R$2:$R$6</definedName>
    <definedName name="static_show_references" hidden="1">uxbENUM!$R$2:$R$3</definedName>
    <definedName name="sys_DataFlat_LU_Grid" hidden="1">tblDataLookup!$D$4:$DS$288</definedName>
    <definedName name="sys_DataFlat_LU_Grid_Groups" hidden="1">tblDataLookup!$DT$4:$EM$288</definedName>
    <definedName name="sys_rng_edit_weights_nominal" hidden="1">Weights!$R$25:$R$178</definedName>
    <definedName name="sys_rng_saved_weight_profiles" hidden="1">iWeights!$J$18</definedName>
    <definedName name="sys_weights_active_profile" hidden="1">iWeights!$G$18:$G$178</definedName>
    <definedName name="tmp_Classification" hidden="1">datScoreCalcIntermediate!$JM$10:$LJ$11</definedName>
    <definedName name="tmp_Data" hidden="1">datScoreCalcIntermediate!$R$10:$BO$11</definedName>
    <definedName name="tmp_Group_Classification" hidden="1">datScoreCalcIntermediate!$LW$10:$MF$11</definedName>
    <definedName name="tmp_Rank" hidden="1">datScoreCalcIntermediate!$HN$10:$JK$11</definedName>
    <definedName name="tmp_Score" hidden="1">datScoreCalcIntermediate!$FO$10:$HL$11</definedName>
    <definedName name="tmp_Score_Group_Mean" hidden="1">datScoreCalcIntermediate!$LL$10:$LU$11</definedName>
    <definedName name="tmp_Score_Preliminary" hidden="1">datScoreCalcIntermediate!$BQ$10:$DN$11</definedName>
    <definedName name="tmp_Score_PreRound" hidden="1">datScoreCalcIntermediate!$DP$10:$FM$11</definedName>
    <definedName name="tmp_sd_score_all_entities" hidden="1">datScoreCalcIntermediate!$MH$10:$MH$11</definedName>
    <definedName name="tmp_z_score" hidden="1">datScoreCalcIntermediate!$MJ$10:$OG$11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Q57" i="3569" l="1"/>
  <c r="M57" i="3569" a="1"/>
  <c r="M57" i="3569"/>
  <c r="L57" i="3569" a="1"/>
  <c r="L57" i="3569"/>
  <c r="K57" i="3569" a="1"/>
  <c r="K57" i="3569"/>
  <c r="AQ54" i="3569"/>
  <c r="M54" i="3569" a="1"/>
  <c r="M54" i="3569"/>
  <c r="L54" i="3569" a="1"/>
  <c r="L54" i="3569"/>
  <c r="K54" i="3569" a="1"/>
  <c r="K54" i="3569"/>
  <c r="CM51" i="3569" a="1"/>
  <c r="CM51" i="3569" s="1"/>
  <c r="AQ51" i="3569"/>
  <c r="M51" i="3569" a="1"/>
  <c r="M51" i="3569"/>
  <c r="L51" i="3569" a="1"/>
  <c r="L51" i="3569"/>
  <c r="K51" i="3569" a="1"/>
  <c r="K51" i="3569"/>
  <c r="CM50" i="3569" a="1"/>
  <c r="CM50" i="3569" s="1"/>
  <c r="CJ50" i="3569" s="1" a="1"/>
  <c r="CJ50" i="3569" s="1"/>
  <c r="CM49" i="3569" a="1"/>
  <c r="CM49" i="3569" s="1"/>
  <c r="CM48" i="3569" a="1"/>
  <c r="CM48" i="3569" s="1"/>
  <c r="AQ48" i="3569"/>
  <c r="M48" i="3569" a="1"/>
  <c r="M48" i="3569"/>
  <c r="L48" i="3569" a="1"/>
  <c r="L48" i="3569"/>
  <c r="K48" i="3569" a="1"/>
  <c r="K48" i="3569"/>
  <c r="CM47" i="3569" a="1"/>
  <c r="CM47" i="3569" s="1"/>
  <c r="CJ47" i="3569" s="1" a="1"/>
  <c r="CJ47" i="3569" s="1"/>
  <c r="CM46" i="3569" a="1"/>
  <c r="CM46" i="3569" s="1"/>
  <c r="CM45" i="3569" a="1"/>
  <c r="CM45" i="3569" s="1"/>
  <c r="AQ45" i="3569"/>
  <c r="M45" i="3569" a="1"/>
  <c r="M45" i="3569"/>
  <c r="L45" i="3569" a="1"/>
  <c r="L45" i="3569"/>
  <c r="K45" i="3569" a="1"/>
  <c r="K45" i="3569"/>
  <c r="CM44" i="3569" a="1"/>
  <c r="CM44" i="3569" s="1"/>
  <c r="AN44" i="3569"/>
  <c r="M44" i="3569" a="1"/>
  <c r="M44" i="3569"/>
  <c r="L44" i="3569" a="1"/>
  <c r="L44" i="3569"/>
  <c r="K44" i="3569" a="1"/>
  <c r="K44" i="3569"/>
  <c r="CM43" i="3569" a="1"/>
  <c r="CM43" i="3569" s="1"/>
  <c r="CM42" i="3569" a="1"/>
  <c r="CM42" i="3569" s="1"/>
  <c r="CM41" i="3569" a="1"/>
  <c r="CM41" i="3569" s="1"/>
  <c r="CM40" i="3569" a="1"/>
  <c r="CM40" i="3569" s="1"/>
  <c r="CM39" i="3569" a="1"/>
  <c r="CM39" i="3569" s="1"/>
  <c r="CM38" i="3569" a="1"/>
  <c r="CM38" i="3569" s="1"/>
  <c r="CM37" i="3569" a="1"/>
  <c r="CM37" i="3569" s="1"/>
  <c r="CJ37" i="3569" s="1" a="1"/>
  <c r="CJ37" i="3569" s="1"/>
  <c r="CM36" i="3569" a="1"/>
  <c r="CM36" i="3569" s="1"/>
  <c r="CM35" i="3569" a="1"/>
  <c r="CM35" i="3569" s="1"/>
  <c r="CM34" i="3569" a="1"/>
  <c r="CM34" i="3569" s="1"/>
  <c r="CM33" i="3569" a="1"/>
  <c r="CM33" i="3569" s="1"/>
  <c r="CM32" i="3569" a="1"/>
  <c r="CM32" i="3569" s="1"/>
  <c r="CM31" i="3569" a="1"/>
  <c r="CM31" i="3569" s="1"/>
  <c r="CJ31" i="3569" s="1" a="1"/>
  <c r="CJ31" i="3569" s="1"/>
  <c r="CM30" i="3569" a="1"/>
  <c r="CM30" i="3569" s="1"/>
  <c r="CJ30" i="3569" s="1" a="1"/>
  <c r="CJ30" i="3569" s="1"/>
  <c r="CM29" i="3569" a="1"/>
  <c r="CM29" i="3569" s="1"/>
  <c r="CM28" i="3569" a="1"/>
  <c r="CM28" i="3569" s="1"/>
  <c r="CM27" i="3569" a="1"/>
  <c r="CM27" i="3569" s="1"/>
  <c r="CM26" i="3569" a="1"/>
  <c r="CM26" i="3569" s="1"/>
  <c r="CM25" i="3569" a="1"/>
  <c r="CM25" i="3569" s="1"/>
  <c r="CM24" i="3569" a="1"/>
  <c r="CM24" i="3569" s="1"/>
  <c r="CJ24" i="3569" s="1" a="1"/>
  <c r="CJ24" i="3569" s="1"/>
  <c r="CM23" i="3569" a="1"/>
  <c r="CM23" i="3569" s="1"/>
  <c r="CM22" i="3569" a="1"/>
  <c r="CM22" i="3569" s="1"/>
  <c r="CJ22" i="3569" s="1" a="1"/>
  <c r="CJ22" i="3569" s="1"/>
  <c r="CM21" i="3569" a="1"/>
  <c r="CM21" i="3569" s="1"/>
  <c r="CN21" i="3569" s="1" a="1"/>
  <c r="CN21" i="3569" s="1"/>
  <c r="CP21" i="3569" s="1"/>
  <c r="CM20" i="3569" a="1"/>
  <c r="CM20" i="3569" s="1"/>
  <c r="CM19" i="3569" a="1"/>
  <c r="CM19" i="3569" s="1"/>
  <c r="CN19" i="3569" s="1" a="1"/>
  <c r="CN19" i="3569" s="1"/>
  <c r="CP19" i="3569" s="1"/>
  <c r="CM18" i="3569" a="1"/>
  <c r="CM18" i="3569" s="1"/>
  <c r="CM17" i="3569" a="1"/>
  <c r="CM17" i="3569" s="1"/>
  <c r="CM16" i="3569" a="1"/>
  <c r="CM16" i="3569" s="1"/>
  <c r="CM15" i="3569" a="1"/>
  <c r="CM15" i="3569" s="1"/>
  <c r="U15" i="3569"/>
  <c r="CM13" i="3569" a="1"/>
  <c r="CM13" i="3569" s="1"/>
  <c r="CJ13" i="3569" s="1" a="1"/>
  <c r="CJ13" i="3569" s="1"/>
  <c r="E12" i="3569"/>
  <c r="E11" i="3569"/>
  <c r="B7" i="3569"/>
  <c r="B5" i="3569"/>
  <c r="EP71" i="3479"/>
  <c r="EO71" i="3479" a="1"/>
  <c r="EO71" i="3479"/>
  <c r="EN71" i="3479" a="1"/>
  <c r="EN71" i="3479"/>
  <c r="EM71" i="3479"/>
  <c r="EA71" i="3479"/>
  <c r="DZ71" i="3479" a="1"/>
  <c r="DZ71" i="3479"/>
  <c r="DY71" i="3479" a="1"/>
  <c r="DY71" i="3479"/>
  <c r="DX71" i="3479"/>
  <c r="DL71" i="3479"/>
  <c r="DK71" i="3479" a="1"/>
  <c r="DK71" i="3479"/>
  <c r="DJ71" i="3479" a="1"/>
  <c r="DJ71" i="3479"/>
  <c r="DI71" i="3479"/>
  <c r="CW71" i="3479"/>
  <c r="CV71" i="3479" a="1"/>
  <c r="CV71" i="3479"/>
  <c r="CU71" i="3479" a="1"/>
  <c r="CU71" i="3479"/>
  <c r="CT71" i="3479"/>
  <c r="CH71" i="3479"/>
  <c r="CG71" i="3479" a="1"/>
  <c r="CG71" i="3479"/>
  <c r="CF71" i="3479" a="1"/>
  <c r="CF71" i="3479"/>
  <c r="CE71" i="3479"/>
  <c r="BS71" i="3479"/>
  <c r="BR71" i="3479" a="1"/>
  <c r="BR71" i="3479"/>
  <c r="BQ71" i="3479" a="1"/>
  <c r="BQ71" i="3479"/>
  <c r="BP71" i="3479"/>
  <c r="BD71" i="3479"/>
  <c r="BC71" i="3479" a="1"/>
  <c r="BC71" i="3479"/>
  <c r="BB71" i="3479" a="1"/>
  <c r="BB71" i="3479"/>
  <c r="BA71" i="3479"/>
  <c r="AO71" i="3479"/>
  <c r="AN71" i="3479" a="1"/>
  <c r="AN71" i="3479"/>
  <c r="AM71" i="3479" a="1"/>
  <c r="AM71" i="3479"/>
  <c r="AL71" i="3479"/>
  <c r="Z71" i="3479"/>
  <c r="Y71" i="3479" a="1"/>
  <c r="Y71" i="3479"/>
  <c r="X71" i="3479" a="1"/>
  <c r="X71" i="3479"/>
  <c r="W71" i="3479"/>
  <c r="K71" i="3479"/>
  <c r="J71" i="3479" a="1"/>
  <c r="J71" i="3479"/>
  <c r="I71" i="3479" a="1"/>
  <c r="I71" i="3479"/>
  <c r="H71" i="3479"/>
  <c r="F71" i="3479" a="1"/>
  <c r="F71" i="3479"/>
  <c r="E71" i="3479"/>
  <c r="EP70" i="3479"/>
  <c r="EO70" i="3479" a="1"/>
  <c r="EO70" i="3479"/>
  <c r="EN70" i="3479" a="1"/>
  <c r="EN70" i="3479"/>
  <c r="EM70" i="3479"/>
  <c r="EA70" i="3479"/>
  <c r="DZ70" i="3479" a="1"/>
  <c r="DZ70" i="3479"/>
  <c r="DY70" i="3479" a="1"/>
  <c r="DY70" i="3479"/>
  <c r="DX70" i="3479"/>
  <c r="DL70" i="3479"/>
  <c r="DK70" i="3479" a="1"/>
  <c r="DK70" i="3479"/>
  <c r="DJ70" i="3479" a="1"/>
  <c r="DJ70" i="3479"/>
  <c r="DI70" i="3479"/>
  <c r="CW70" i="3479"/>
  <c r="CV70" i="3479" a="1"/>
  <c r="CV70" i="3479"/>
  <c r="CU70" i="3479" a="1"/>
  <c r="CU70" i="3479"/>
  <c r="CT70" i="3479"/>
  <c r="CH70" i="3479"/>
  <c r="CG70" i="3479" a="1"/>
  <c r="CG70" i="3479"/>
  <c r="CF70" i="3479" a="1"/>
  <c r="CF70" i="3479"/>
  <c r="CE70" i="3479"/>
  <c r="BS70" i="3479"/>
  <c r="BR70" i="3479" a="1"/>
  <c r="BR70" i="3479"/>
  <c r="BQ70" i="3479" a="1"/>
  <c r="BQ70" i="3479"/>
  <c r="BP70" i="3479"/>
  <c r="BD70" i="3479"/>
  <c r="BC70" i="3479" a="1"/>
  <c r="BC70" i="3479"/>
  <c r="BB70" i="3479" a="1"/>
  <c r="BB70" i="3479"/>
  <c r="BA70" i="3479"/>
  <c r="AO70" i="3479"/>
  <c r="AN70" i="3479" a="1"/>
  <c r="AN70" i="3479"/>
  <c r="AM70" i="3479" a="1"/>
  <c r="AM70" i="3479"/>
  <c r="AL70" i="3479"/>
  <c r="Z70" i="3479"/>
  <c r="Y70" i="3479" a="1"/>
  <c r="Y70" i="3479"/>
  <c r="X70" i="3479" a="1"/>
  <c r="X70" i="3479"/>
  <c r="W70" i="3479"/>
  <c r="K70" i="3479"/>
  <c r="J70" i="3479" a="1"/>
  <c r="J70" i="3479"/>
  <c r="I70" i="3479" a="1"/>
  <c r="I70" i="3479"/>
  <c r="H70" i="3479"/>
  <c r="F70" i="3479" a="1"/>
  <c r="F70" i="3479"/>
  <c r="E70" i="3479"/>
  <c r="EP69" i="3479"/>
  <c r="EO69" i="3479" a="1"/>
  <c r="EO69" i="3479"/>
  <c r="EN69" i="3479" a="1"/>
  <c r="EN69" i="3479"/>
  <c r="EM69" i="3479"/>
  <c r="EA69" i="3479"/>
  <c r="DZ69" i="3479" a="1"/>
  <c r="DZ69" i="3479"/>
  <c r="DY69" i="3479" a="1"/>
  <c r="DY69" i="3479"/>
  <c r="DX69" i="3479"/>
  <c r="DL69" i="3479"/>
  <c r="DK69" i="3479" a="1"/>
  <c r="DK69" i="3479"/>
  <c r="DJ69" i="3479" a="1"/>
  <c r="DJ69" i="3479"/>
  <c r="DI69" i="3479"/>
  <c r="CW69" i="3479"/>
  <c r="CV69" i="3479" a="1"/>
  <c r="CV69" i="3479"/>
  <c r="CU69" i="3479" a="1"/>
  <c r="CU69" i="3479"/>
  <c r="CT69" i="3479"/>
  <c r="CH69" i="3479"/>
  <c r="CG69" i="3479" a="1"/>
  <c r="CG69" i="3479"/>
  <c r="CF69" i="3479" a="1"/>
  <c r="CF69" i="3479"/>
  <c r="CE69" i="3479"/>
  <c r="BS69" i="3479"/>
  <c r="BR69" i="3479" a="1"/>
  <c r="BR69" i="3479"/>
  <c r="BQ69" i="3479" a="1"/>
  <c r="BQ69" i="3479"/>
  <c r="BP69" i="3479"/>
  <c r="BD69" i="3479"/>
  <c r="BC69" i="3479" a="1"/>
  <c r="BC69" i="3479"/>
  <c r="BB69" i="3479" a="1"/>
  <c r="BB69" i="3479"/>
  <c r="BA69" i="3479"/>
  <c r="AO69" i="3479"/>
  <c r="AN69" i="3479" a="1"/>
  <c r="AN69" i="3479"/>
  <c r="AM69" i="3479" a="1"/>
  <c r="AM69" i="3479"/>
  <c r="AL69" i="3479"/>
  <c r="Z69" i="3479"/>
  <c r="Y69" i="3479" a="1"/>
  <c r="Y69" i="3479"/>
  <c r="X69" i="3479" a="1"/>
  <c r="X69" i="3479"/>
  <c r="W69" i="3479"/>
  <c r="K69" i="3479"/>
  <c r="J69" i="3479" a="1"/>
  <c r="J69" i="3479"/>
  <c r="I69" i="3479" a="1"/>
  <c r="I69" i="3479"/>
  <c r="H69" i="3479"/>
  <c r="F69" i="3479" a="1"/>
  <c r="F69" i="3479"/>
  <c r="E69" i="3479"/>
  <c r="EP68" i="3479"/>
  <c r="EO68" i="3479" a="1"/>
  <c r="EO68" i="3479"/>
  <c r="EN68" i="3479" a="1"/>
  <c r="EN68" i="3479"/>
  <c r="EM68" i="3479"/>
  <c r="EA68" i="3479"/>
  <c r="DZ68" i="3479" a="1"/>
  <c r="DZ68" i="3479"/>
  <c r="DY68" i="3479" a="1"/>
  <c r="DY68" i="3479"/>
  <c r="DX68" i="3479"/>
  <c r="DL68" i="3479"/>
  <c r="DK68" i="3479" a="1"/>
  <c r="DK68" i="3479"/>
  <c r="DJ68" i="3479" a="1"/>
  <c r="DJ68" i="3479"/>
  <c r="DI68" i="3479"/>
  <c r="CW68" i="3479"/>
  <c r="CV68" i="3479" a="1"/>
  <c r="CV68" i="3479"/>
  <c r="CU68" i="3479" a="1"/>
  <c r="CU68" i="3479"/>
  <c r="CT68" i="3479"/>
  <c r="CH68" i="3479"/>
  <c r="CG68" i="3479" a="1"/>
  <c r="CG68" i="3479"/>
  <c r="CF68" i="3479" a="1"/>
  <c r="CF68" i="3479"/>
  <c r="CE68" i="3479"/>
  <c r="BS68" i="3479"/>
  <c r="BR68" i="3479" a="1"/>
  <c r="BR68" i="3479"/>
  <c r="BQ68" i="3479" a="1"/>
  <c r="BQ68" i="3479"/>
  <c r="BP68" i="3479"/>
  <c r="BD68" i="3479"/>
  <c r="BC68" i="3479" a="1"/>
  <c r="BC68" i="3479"/>
  <c r="BB68" i="3479" a="1"/>
  <c r="BB68" i="3479"/>
  <c r="BA68" i="3479"/>
  <c r="AO68" i="3479"/>
  <c r="AN68" i="3479" a="1"/>
  <c r="AN68" i="3479"/>
  <c r="AM68" i="3479" a="1"/>
  <c r="AM68" i="3479"/>
  <c r="AL68" i="3479"/>
  <c r="Z68" i="3479"/>
  <c r="Y68" i="3479" a="1"/>
  <c r="Y68" i="3479"/>
  <c r="X68" i="3479" a="1"/>
  <c r="X68" i="3479"/>
  <c r="W68" i="3479"/>
  <c r="K68" i="3479"/>
  <c r="J68" i="3479" a="1"/>
  <c r="J68" i="3479"/>
  <c r="I68" i="3479" a="1"/>
  <c r="I68" i="3479"/>
  <c r="H68" i="3479"/>
  <c r="F68" i="3479" a="1"/>
  <c r="F68" i="3479"/>
  <c r="E68" i="3479"/>
  <c r="EP67" i="3479"/>
  <c r="EO67" i="3479" a="1"/>
  <c r="EO67" i="3479"/>
  <c r="EN67" i="3479" a="1"/>
  <c r="EN67" i="3479"/>
  <c r="EM67" i="3479"/>
  <c r="EA67" i="3479"/>
  <c r="DZ67" i="3479" a="1"/>
  <c r="DZ67" i="3479"/>
  <c r="DY67" i="3479" a="1"/>
  <c r="DY67" i="3479"/>
  <c r="DX67" i="3479"/>
  <c r="DL67" i="3479"/>
  <c r="DK67" i="3479" a="1"/>
  <c r="DK67" i="3479"/>
  <c r="DJ67" i="3479" a="1"/>
  <c r="DJ67" i="3479"/>
  <c r="DI67" i="3479"/>
  <c r="CW67" i="3479"/>
  <c r="CV67" i="3479" a="1"/>
  <c r="CV67" i="3479"/>
  <c r="CU67" i="3479" a="1"/>
  <c r="CU67" i="3479"/>
  <c r="CT67" i="3479"/>
  <c r="CH67" i="3479"/>
  <c r="CG67" i="3479" a="1"/>
  <c r="CG67" i="3479"/>
  <c r="CF67" i="3479" a="1"/>
  <c r="CF67" i="3479"/>
  <c r="CE67" i="3479"/>
  <c r="BS67" i="3479"/>
  <c r="BR67" i="3479" a="1"/>
  <c r="BR67" i="3479"/>
  <c r="BQ67" i="3479" a="1"/>
  <c r="BQ67" i="3479"/>
  <c r="BP67" i="3479"/>
  <c r="BD67" i="3479"/>
  <c r="BC67" i="3479" a="1"/>
  <c r="BC67" i="3479"/>
  <c r="BB67" i="3479" a="1"/>
  <c r="BB67" i="3479"/>
  <c r="BA67" i="3479"/>
  <c r="AO67" i="3479"/>
  <c r="AN67" i="3479" a="1"/>
  <c r="AN67" i="3479"/>
  <c r="AM67" i="3479" a="1"/>
  <c r="AM67" i="3479"/>
  <c r="AL67" i="3479"/>
  <c r="Z67" i="3479"/>
  <c r="Y67" i="3479" a="1"/>
  <c r="Y67" i="3479"/>
  <c r="X67" i="3479" a="1"/>
  <c r="X67" i="3479"/>
  <c r="W67" i="3479"/>
  <c r="K67" i="3479"/>
  <c r="J67" i="3479" a="1"/>
  <c r="J67" i="3479"/>
  <c r="I67" i="3479" a="1"/>
  <c r="I67" i="3479"/>
  <c r="H67" i="3479"/>
  <c r="F67" i="3479" a="1"/>
  <c r="F67" i="3479"/>
  <c r="E67" i="3479"/>
  <c r="EP66" i="3479"/>
  <c r="EO66" i="3479" a="1"/>
  <c r="EO66" i="3479"/>
  <c r="EN66" i="3479" a="1"/>
  <c r="EN66" i="3479"/>
  <c r="EM66" i="3479"/>
  <c r="EA66" i="3479"/>
  <c r="DZ66" i="3479" a="1"/>
  <c r="DZ66" i="3479"/>
  <c r="DY66" i="3479" a="1"/>
  <c r="DY66" i="3479"/>
  <c r="DX66" i="3479"/>
  <c r="DL66" i="3479"/>
  <c r="DK66" i="3479" a="1"/>
  <c r="DK66" i="3479"/>
  <c r="DJ66" i="3479" a="1"/>
  <c r="DJ66" i="3479"/>
  <c r="DI66" i="3479"/>
  <c r="CW66" i="3479"/>
  <c r="CV66" i="3479" a="1"/>
  <c r="CV66" i="3479"/>
  <c r="CU66" i="3479" a="1"/>
  <c r="CU66" i="3479"/>
  <c r="CT66" i="3479"/>
  <c r="CH66" i="3479"/>
  <c r="CG66" i="3479" a="1"/>
  <c r="CG66" i="3479"/>
  <c r="CF66" i="3479" a="1"/>
  <c r="CF66" i="3479"/>
  <c r="CE66" i="3479"/>
  <c r="BS66" i="3479"/>
  <c r="BR66" i="3479" a="1"/>
  <c r="BR66" i="3479"/>
  <c r="BQ66" i="3479" a="1"/>
  <c r="BQ66" i="3479"/>
  <c r="BP66" i="3479"/>
  <c r="BD66" i="3479"/>
  <c r="BC66" i="3479" a="1"/>
  <c r="BC66" i="3479"/>
  <c r="BB66" i="3479" a="1"/>
  <c r="BB66" i="3479"/>
  <c r="BA66" i="3479"/>
  <c r="AO66" i="3479"/>
  <c r="AN66" i="3479" a="1"/>
  <c r="AN66" i="3479"/>
  <c r="AM66" i="3479" a="1"/>
  <c r="AM66" i="3479"/>
  <c r="AL66" i="3479"/>
  <c r="Z66" i="3479"/>
  <c r="Y66" i="3479" a="1"/>
  <c r="Y66" i="3479"/>
  <c r="X66" i="3479" a="1"/>
  <c r="X66" i="3479"/>
  <c r="W66" i="3479"/>
  <c r="K66" i="3479"/>
  <c r="J66" i="3479" a="1"/>
  <c r="J66" i="3479"/>
  <c r="I66" i="3479" a="1"/>
  <c r="I66" i="3479"/>
  <c r="H66" i="3479"/>
  <c r="F66" i="3479" a="1"/>
  <c r="F66" i="3479"/>
  <c r="E66" i="3479"/>
  <c r="EP65" i="3479"/>
  <c r="EO65" i="3479" a="1"/>
  <c r="EO65" i="3479"/>
  <c r="EN65" i="3479" a="1"/>
  <c r="EN65" i="3479"/>
  <c r="EM65" i="3479"/>
  <c r="EA65" i="3479"/>
  <c r="DZ65" i="3479" a="1"/>
  <c r="DZ65" i="3479"/>
  <c r="DY65" i="3479" a="1"/>
  <c r="DY65" i="3479"/>
  <c r="DX65" i="3479"/>
  <c r="DL65" i="3479"/>
  <c r="DK65" i="3479" a="1"/>
  <c r="DK65" i="3479"/>
  <c r="DJ65" i="3479" a="1"/>
  <c r="DJ65" i="3479"/>
  <c r="DI65" i="3479"/>
  <c r="CW65" i="3479"/>
  <c r="CV65" i="3479" a="1"/>
  <c r="CV65" i="3479"/>
  <c r="CU65" i="3479" a="1"/>
  <c r="CU65" i="3479"/>
  <c r="CT65" i="3479"/>
  <c r="CH65" i="3479"/>
  <c r="CG65" i="3479" a="1"/>
  <c r="CG65" i="3479"/>
  <c r="CF65" i="3479" a="1"/>
  <c r="CF65" i="3479"/>
  <c r="CE65" i="3479"/>
  <c r="BS65" i="3479"/>
  <c r="BR65" i="3479" a="1"/>
  <c r="BR65" i="3479"/>
  <c r="BQ65" i="3479" a="1"/>
  <c r="BQ65" i="3479"/>
  <c r="BP65" i="3479"/>
  <c r="BD65" i="3479"/>
  <c r="BC65" i="3479" a="1"/>
  <c r="BC65" i="3479"/>
  <c r="BB65" i="3479" a="1"/>
  <c r="BB65" i="3479"/>
  <c r="BA65" i="3479"/>
  <c r="AO65" i="3479"/>
  <c r="AN65" i="3479" a="1"/>
  <c r="AN65" i="3479"/>
  <c r="AM65" i="3479" a="1"/>
  <c r="AM65" i="3479"/>
  <c r="AL65" i="3479"/>
  <c r="Z65" i="3479"/>
  <c r="Y65" i="3479" a="1"/>
  <c r="Y65" i="3479"/>
  <c r="X65" i="3479" a="1"/>
  <c r="X65" i="3479"/>
  <c r="W65" i="3479"/>
  <c r="K65" i="3479"/>
  <c r="J65" i="3479" a="1"/>
  <c r="J65" i="3479"/>
  <c r="I65" i="3479" a="1"/>
  <c r="I65" i="3479"/>
  <c r="H65" i="3479"/>
  <c r="F65" i="3479" a="1"/>
  <c r="F65" i="3479"/>
  <c r="E65" i="3479"/>
  <c r="EP64" i="3479"/>
  <c r="EO64" i="3479" a="1"/>
  <c r="EO64" i="3479"/>
  <c r="EN64" i="3479" a="1"/>
  <c r="EN64" i="3479"/>
  <c r="EM64" i="3479"/>
  <c r="EA64" i="3479"/>
  <c r="DZ64" i="3479" a="1"/>
  <c r="DZ64" i="3479"/>
  <c r="DY64" i="3479" a="1"/>
  <c r="DY64" i="3479"/>
  <c r="DX64" i="3479"/>
  <c r="DL64" i="3479"/>
  <c r="DK64" i="3479" a="1"/>
  <c r="DK64" i="3479"/>
  <c r="DJ64" i="3479" a="1"/>
  <c r="DJ64" i="3479"/>
  <c r="DI64" i="3479"/>
  <c r="CW64" i="3479"/>
  <c r="CV64" i="3479" a="1"/>
  <c r="CV64" i="3479"/>
  <c r="CU64" i="3479" a="1"/>
  <c r="CU64" i="3479"/>
  <c r="CT64" i="3479"/>
  <c r="CH64" i="3479"/>
  <c r="CG64" i="3479" a="1"/>
  <c r="CG64" i="3479"/>
  <c r="CF64" i="3479" a="1"/>
  <c r="CF64" i="3479"/>
  <c r="CE64" i="3479"/>
  <c r="BS64" i="3479"/>
  <c r="BR64" i="3479" a="1"/>
  <c r="BR64" i="3479"/>
  <c r="BQ64" i="3479" a="1"/>
  <c r="BQ64" i="3479"/>
  <c r="BP64" i="3479"/>
  <c r="BD64" i="3479"/>
  <c r="BC64" i="3479" a="1"/>
  <c r="BC64" i="3479"/>
  <c r="BB64" i="3479" a="1"/>
  <c r="BB64" i="3479"/>
  <c r="BA64" i="3479"/>
  <c r="AO64" i="3479"/>
  <c r="AN64" i="3479" a="1"/>
  <c r="AN64" i="3479"/>
  <c r="AM64" i="3479" a="1"/>
  <c r="AM64" i="3479"/>
  <c r="AL64" i="3479"/>
  <c r="Z64" i="3479"/>
  <c r="Y64" i="3479" a="1"/>
  <c r="Y64" i="3479"/>
  <c r="X64" i="3479" a="1"/>
  <c r="X64" i="3479"/>
  <c r="W64" i="3479"/>
  <c r="K64" i="3479"/>
  <c r="J64" i="3479" a="1"/>
  <c r="J64" i="3479"/>
  <c r="I64" i="3479" a="1"/>
  <c r="I64" i="3479"/>
  <c r="H64" i="3479"/>
  <c r="F64" i="3479" a="1"/>
  <c r="F64" i="3479"/>
  <c r="E64" i="3479"/>
  <c r="EP63" i="3479"/>
  <c r="EO63" i="3479" a="1"/>
  <c r="EO63" i="3479"/>
  <c r="EN63" i="3479" a="1"/>
  <c r="EN63" i="3479"/>
  <c r="EM63" i="3479"/>
  <c r="EA63" i="3479"/>
  <c r="DZ63" i="3479" a="1"/>
  <c r="DZ63" i="3479"/>
  <c r="DY63" i="3479" a="1"/>
  <c r="DY63" i="3479"/>
  <c r="DX63" i="3479"/>
  <c r="DL63" i="3479"/>
  <c r="DK63" i="3479" a="1"/>
  <c r="DK63" i="3479"/>
  <c r="DJ63" i="3479" a="1"/>
  <c r="DJ63" i="3479"/>
  <c r="DI63" i="3479"/>
  <c r="CW63" i="3479"/>
  <c r="CV63" i="3479" a="1"/>
  <c r="CV63" i="3479"/>
  <c r="CU63" i="3479" a="1"/>
  <c r="CU63" i="3479"/>
  <c r="CT63" i="3479"/>
  <c r="CH63" i="3479"/>
  <c r="CG63" i="3479" a="1"/>
  <c r="CG63" i="3479"/>
  <c r="CF63" i="3479" a="1"/>
  <c r="CF63" i="3479"/>
  <c r="CE63" i="3479"/>
  <c r="BS63" i="3479"/>
  <c r="BR63" i="3479" a="1"/>
  <c r="BR63" i="3479"/>
  <c r="BQ63" i="3479" a="1"/>
  <c r="BQ63" i="3479"/>
  <c r="BP63" i="3479"/>
  <c r="BD63" i="3479"/>
  <c r="BC63" i="3479" a="1"/>
  <c r="BC63" i="3479"/>
  <c r="BB63" i="3479" a="1"/>
  <c r="BB63" i="3479"/>
  <c r="BA63" i="3479"/>
  <c r="AO63" i="3479"/>
  <c r="AN63" i="3479" a="1"/>
  <c r="AN63" i="3479"/>
  <c r="AM63" i="3479" a="1"/>
  <c r="AM63" i="3479"/>
  <c r="AL63" i="3479"/>
  <c r="Z63" i="3479"/>
  <c r="Y63" i="3479" a="1"/>
  <c r="Y63" i="3479"/>
  <c r="X63" i="3479" a="1"/>
  <c r="X63" i="3479"/>
  <c r="W63" i="3479"/>
  <c r="K63" i="3479"/>
  <c r="J63" i="3479" a="1"/>
  <c r="J63" i="3479"/>
  <c r="I63" i="3479" a="1"/>
  <c r="I63" i="3479"/>
  <c r="H63" i="3479"/>
  <c r="F63" i="3479" a="1"/>
  <c r="F63" i="3479"/>
  <c r="E63" i="3479"/>
  <c r="EP62" i="3479"/>
  <c r="EO62" i="3479" a="1"/>
  <c r="EO62" i="3479"/>
  <c r="EN62" i="3479" a="1"/>
  <c r="EN62" i="3479"/>
  <c r="EM62" i="3479"/>
  <c r="EA62" i="3479"/>
  <c r="DZ62" i="3479" a="1"/>
  <c r="DZ62" i="3479"/>
  <c r="DY62" i="3479" a="1"/>
  <c r="DY62" i="3479"/>
  <c r="DX62" i="3479"/>
  <c r="DL62" i="3479"/>
  <c r="DK62" i="3479" a="1"/>
  <c r="DK62" i="3479"/>
  <c r="DJ62" i="3479" a="1"/>
  <c r="DJ62" i="3479"/>
  <c r="DI62" i="3479"/>
  <c r="CW62" i="3479"/>
  <c r="CV62" i="3479" a="1"/>
  <c r="CV62" i="3479"/>
  <c r="CU62" i="3479" a="1"/>
  <c r="CU62" i="3479"/>
  <c r="CT62" i="3479"/>
  <c r="CH62" i="3479"/>
  <c r="CG62" i="3479" a="1"/>
  <c r="CG62" i="3479"/>
  <c r="CF62" i="3479" a="1"/>
  <c r="CF62" i="3479"/>
  <c r="CE62" i="3479"/>
  <c r="BS62" i="3479"/>
  <c r="BR62" i="3479" a="1"/>
  <c r="BR62" i="3479"/>
  <c r="BQ62" i="3479" a="1"/>
  <c r="BQ62" i="3479"/>
  <c r="BP62" i="3479"/>
  <c r="BD62" i="3479"/>
  <c r="BC62" i="3479" a="1"/>
  <c r="BC62" i="3479"/>
  <c r="BB62" i="3479" a="1"/>
  <c r="BB62" i="3479"/>
  <c r="BA62" i="3479"/>
  <c r="AO62" i="3479"/>
  <c r="AN62" i="3479" a="1"/>
  <c r="AN62" i="3479"/>
  <c r="AM62" i="3479" a="1"/>
  <c r="AM62" i="3479"/>
  <c r="AL62" i="3479"/>
  <c r="Z62" i="3479"/>
  <c r="Y62" i="3479" a="1"/>
  <c r="Y62" i="3479"/>
  <c r="X62" i="3479" a="1"/>
  <c r="X62" i="3479"/>
  <c r="W62" i="3479"/>
  <c r="K62" i="3479"/>
  <c r="J62" i="3479" a="1"/>
  <c r="J62" i="3479"/>
  <c r="I62" i="3479" a="1"/>
  <c r="I62" i="3479"/>
  <c r="H62" i="3479"/>
  <c r="F62" i="3479" a="1"/>
  <c r="F62" i="3479"/>
  <c r="E62" i="3479"/>
  <c r="EP61" i="3479"/>
  <c r="EO61" i="3479" a="1"/>
  <c r="EO61" i="3479"/>
  <c r="EN61" i="3479" a="1"/>
  <c r="EN61" i="3479"/>
  <c r="EM61" i="3479"/>
  <c r="EA61" i="3479"/>
  <c r="DZ61" i="3479" a="1"/>
  <c r="DZ61" i="3479"/>
  <c r="DY61" i="3479" a="1"/>
  <c r="DY61" i="3479"/>
  <c r="DX61" i="3479"/>
  <c r="DL61" i="3479"/>
  <c r="DK61" i="3479" a="1"/>
  <c r="DK61" i="3479"/>
  <c r="DJ61" i="3479" a="1"/>
  <c r="DJ61" i="3479"/>
  <c r="DI61" i="3479"/>
  <c r="CW61" i="3479"/>
  <c r="CV61" i="3479" a="1"/>
  <c r="CV61" i="3479"/>
  <c r="CU61" i="3479" a="1"/>
  <c r="CU61" i="3479"/>
  <c r="CT61" i="3479"/>
  <c r="CH61" i="3479"/>
  <c r="CG61" i="3479" a="1"/>
  <c r="CG61" i="3479"/>
  <c r="CF61" i="3479" a="1"/>
  <c r="CF61" i="3479"/>
  <c r="CE61" i="3479"/>
  <c r="BS61" i="3479"/>
  <c r="BR61" i="3479" a="1"/>
  <c r="BR61" i="3479"/>
  <c r="BQ61" i="3479" a="1"/>
  <c r="BQ61" i="3479"/>
  <c r="BP61" i="3479"/>
  <c r="BD61" i="3479"/>
  <c r="BC61" i="3479" a="1"/>
  <c r="BC61" i="3479"/>
  <c r="BB61" i="3479" a="1"/>
  <c r="BB61" i="3479"/>
  <c r="BA61" i="3479"/>
  <c r="AO61" i="3479"/>
  <c r="AN61" i="3479" a="1"/>
  <c r="AN61" i="3479"/>
  <c r="AM61" i="3479" a="1"/>
  <c r="AM61" i="3479"/>
  <c r="AL61" i="3479"/>
  <c r="Z61" i="3479"/>
  <c r="Y61" i="3479" a="1"/>
  <c r="Y61" i="3479"/>
  <c r="X61" i="3479" a="1"/>
  <c r="X61" i="3479"/>
  <c r="W61" i="3479"/>
  <c r="K61" i="3479"/>
  <c r="J61" i="3479" a="1"/>
  <c r="J61" i="3479"/>
  <c r="I61" i="3479" a="1"/>
  <c r="I61" i="3479"/>
  <c r="H61" i="3479"/>
  <c r="F61" i="3479" a="1"/>
  <c r="F61" i="3479"/>
  <c r="E61" i="3479"/>
  <c r="EP60" i="3479"/>
  <c r="EO60" i="3479" a="1"/>
  <c r="EO60" i="3479"/>
  <c r="EN60" i="3479" a="1"/>
  <c r="EN60" i="3479"/>
  <c r="EM60" i="3479"/>
  <c r="EA60" i="3479"/>
  <c r="DZ60" i="3479" a="1"/>
  <c r="DZ60" i="3479"/>
  <c r="DY60" i="3479" a="1"/>
  <c r="DY60" i="3479"/>
  <c r="DX60" i="3479"/>
  <c r="DL60" i="3479"/>
  <c r="DK60" i="3479" a="1"/>
  <c r="DK60" i="3479"/>
  <c r="DJ60" i="3479" a="1"/>
  <c r="DJ60" i="3479"/>
  <c r="DI60" i="3479"/>
  <c r="CW60" i="3479"/>
  <c r="CV60" i="3479" a="1"/>
  <c r="CV60" i="3479"/>
  <c r="CU60" i="3479" a="1"/>
  <c r="CU60" i="3479"/>
  <c r="CT60" i="3479"/>
  <c r="CH60" i="3479"/>
  <c r="CG60" i="3479" a="1"/>
  <c r="CG60" i="3479"/>
  <c r="CF60" i="3479" a="1"/>
  <c r="CF60" i="3479"/>
  <c r="CE60" i="3479"/>
  <c r="BS60" i="3479"/>
  <c r="BR60" i="3479" a="1"/>
  <c r="BR60" i="3479"/>
  <c r="BQ60" i="3479" a="1"/>
  <c r="BQ60" i="3479"/>
  <c r="BP60" i="3479"/>
  <c r="BD60" i="3479"/>
  <c r="BC60" i="3479" a="1"/>
  <c r="BC60" i="3479"/>
  <c r="BB60" i="3479" a="1"/>
  <c r="BB60" i="3479"/>
  <c r="BA60" i="3479"/>
  <c r="AO60" i="3479"/>
  <c r="AN60" i="3479" a="1"/>
  <c r="AN60" i="3479"/>
  <c r="AM60" i="3479" a="1"/>
  <c r="AM60" i="3479"/>
  <c r="AL60" i="3479"/>
  <c r="Z60" i="3479"/>
  <c r="Y60" i="3479" a="1"/>
  <c r="Y60" i="3479"/>
  <c r="X60" i="3479" a="1"/>
  <c r="X60" i="3479"/>
  <c r="W60" i="3479"/>
  <c r="K60" i="3479"/>
  <c r="J60" i="3479" a="1"/>
  <c r="J60" i="3479"/>
  <c r="I60" i="3479" a="1"/>
  <c r="I60" i="3479"/>
  <c r="H60" i="3479"/>
  <c r="F60" i="3479" a="1"/>
  <c r="F60" i="3479"/>
  <c r="E60" i="3479"/>
  <c r="EP59" i="3479"/>
  <c r="EO59" i="3479" a="1"/>
  <c r="EO59" i="3479"/>
  <c r="EN59" i="3479" a="1"/>
  <c r="EN59" i="3479"/>
  <c r="EM59" i="3479"/>
  <c r="EA59" i="3479"/>
  <c r="DZ59" i="3479" a="1"/>
  <c r="DZ59" i="3479"/>
  <c r="DY59" i="3479" a="1"/>
  <c r="DY59" i="3479"/>
  <c r="DX59" i="3479"/>
  <c r="DL59" i="3479"/>
  <c r="DK59" i="3479" a="1"/>
  <c r="DK59" i="3479"/>
  <c r="DJ59" i="3479" a="1"/>
  <c r="DJ59" i="3479"/>
  <c r="DI59" i="3479"/>
  <c r="CW59" i="3479"/>
  <c r="CV59" i="3479" a="1"/>
  <c r="CV59" i="3479"/>
  <c r="CU59" i="3479" a="1"/>
  <c r="CU59" i="3479"/>
  <c r="CT59" i="3479"/>
  <c r="CH59" i="3479"/>
  <c r="CG59" i="3479" a="1"/>
  <c r="CG59" i="3479"/>
  <c r="CF59" i="3479" a="1"/>
  <c r="CF59" i="3479"/>
  <c r="CE59" i="3479"/>
  <c r="BS59" i="3479"/>
  <c r="BR59" i="3479" a="1"/>
  <c r="BR59" i="3479"/>
  <c r="BQ59" i="3479" a="1"/>
  <c r="BQ59" i="3479"/>
  <c r="BP59" i="3479"/>
  <c r="BD59" i="3479"/>
  <c r="BC59" i="3479" a="1"/>
  <c r="BC59" i="3479"/>
  <c r="BB59" i="3479" a="1"/>
  <c r="BB59" i="3479"/>
  <c r="BA59" i="3479"/>
  <c r="AO59" i="3479"/>
  <c r="AN59" i="3479" a="1"/>
  <c r="AN59" i="3479"/>
  <c r="AM59" i="3479" a="1"/>
  <c r="AM59" i="3479"/>
  <c r="AL59" i="3479"/>
  <c r="Z59" i="3479"/>
  <c r="Y59" i="3479" a="1"/>
  <c r="Y59" i="3479"/>
  <c r="X59" i="3479" a="1"/>
  <c r="X59" i="3479"/>
  <c r="W59" i="3479"/>
  <c r="K59" i="3479"/>
  <c r="J59" i="3479" a="1"/>
  <c r="J59" i="3479"/>
  <c r="I59" i="3479" a="1"/>
  <c r="I59" i="3479"/>
  <c r="H59" i="3479"/>
  <c r="F59" i="3479" a="1"/>
  <c r="F59" i="3479"/>
  <c r="E59" i="3479"/>
  <c r="EP58" i="3479"/>
  <c r="EO58" i="3479" a="1"/>
  <c r="EO58" i="3479"/>
  <c r="EN58" i="3479" a="1"/>
  <c r="EN58" i="3479"/>
  <c r="EM58" i="3479"/>
  <c r="EA58" i="3479"/>
  <c r="DZ58" i="3479" a="1"/>
  <c r="DZ58" i="3479"/>
  <c r="DY58" i="3479" a="1"/>
  <c r="DY58" i="3479"/>
  <c r="DX58" i="3479"/>
  <c r="DL58" i="3479"/>
  <c r="DK58" i="3479" a="1"/>
  <c r="DK58" i="3479"/>
  <c r="DJ58" i="3479" a="1"/>
  <c r="DJ58" i="3479"/>
  <c r="DI58" i="3479"/>
  <c r="CW58" i="3479"/>
  <c r="CV58" i="3479" a="1"/>
  <c r="CV58" i="3479"/>
  <c r="CU58" i="3479" a="1"/>
  <c r="CU58" i="3479"/>
  <c r="CT58" i="3479"/>
  <c r="CH58" i="3479"/>
  <c r="CG58" i="3479" a="1"/>
  <c r="CG58" i="3479"/>
  <c r="CF58" i="3479" a="1"/>
  <c r="CF58" i="3479"/>
  <c r="CE58" i="3479"/>
  <c r="BS58" i="3479"/>
  <c r="BR58" i="3479" a="1"/>
  <c r="BR58" i="3479"/>
  <c r="BQ58" i="3479" a="1"/>
  <c r="BQ58" i="3479"/>
  <c r="BP58" i="3479"/>
  <c r="BD58" i="3479"/>
  <c r="BC58" i="3479" a="1"/>
  <c r="BC58" i="3479"/>
  <c r="BB58" i="3479" a="1"/>
  <c r="BB58" i="3479"/>
  <c r="BA58" i="3479"/>
  <c r="AO58" i="3479"/>
  <c r="AN58" i="3479" a="1"/>
  <c r="AN58" i="3479"/>
  <c r="AM58" i="3479" a="1"/>
  <c r="AM58" i="3479"/>
  <c r="AL58" i="3479"/>
  <c r="Z58" i="3479"/>
  <c r="Y58" i="3479" a="1"/>
  <c r="Y58" i="3479"/>
  <c r="X58" i="3479" a="1"/>
  <c r="X58" i="3479"/>
  <c r="W58" i="3479"/>
  <c r="K58" i="3479"/>
  <c r="J58" i="3479" a="1"/>
  <c r="J58" i="3479"/>
  <c r="I58" i="3479" a="1"/>
  <c r="I58" i="3479"/>
  <c r="H58" i="3479"/>
  <c r="F58" i="3479" a="1"/>
  <c r="F58" i="3479"/>
  <c r="E58" i="3479"/>
  <c r="EP57" i="3479"/>
  <c r="EO57" i="3479" a="1"/>
  <c r="EO57" i="3479"/>
  <c r="EN57" i="3479" a="1"/>
  <c r="EN57" i="3479"/>
  <c r="EM57" i="3479"/>
  <c r="EA57" i="3479"/>
  <c r="DZ57" i="3479" a="1"/>
  <c r="DZ57" i="3479"/>
  <c r="DY57" i="3479" a="1"/>
  <c r="DY57" i="3479"/>
  <c r="DX57" i="3479"/>
  <c r="DL57" i="3479"/>
  <c r="DK57" i="3479" a="1"/>
  <c r="DK57" i="3479"/>
  <c r="DJ57" i="3479" a="1"/>
  <c r="DJ57" i="3479"/>
  <c r="DI57" i="3479"/>
  <c r="CW57" i="3479"/>
  <c r="CV57" i="3479" a="1"/>
  <c r="CV57" i="3479"/>
  <c r="CU57" i="3479" a="1"/>
  <c r="CU57" i="3479"/>
  <c r="CT57" i="3479"/>
  <c r="CH57" i="3479"/>
  <c r="CG57" i="3479" a="1"/>
  <c r="CG57" i="3479"/>
  <c r="CF57" i="3479" a="1"/>
  <c r="CF57" i="3479"/>
  <c r="CE57" i="3479"/>
  <c r="BS57" i="3479"/>
  <c r="BR57" i="3479" a="1"/>
  <c r="BR57" i="3479"/>
  <c r="BQ57" i="3479" a="1"/>
  <c r="BQ57" i="3479"/>
  <c r="BP57" i="3479"/>
  <c r="BD57" i="3479"/>
  <c r="BC57" i="3479" a="1"/>
  <c r="BC57" i="3479"/>
  <c r="BB57" i="3479" a="1"/>
  <c r="BB57" i="3479"/>
  <c r="BA57" i="3479"/>
  <c r="AO57" i="3479"/>
  <c r="AN57" i="3479" a="1"/>
  <c r="AN57" i="3479"/>
  <c r="AM57" i="3479" a="1"/>
  <c r="AM57" i="3479"/>
  <c r="AL57" i="3479"/>
  <c r="Z57" i="3479"/>
  <c r="Y57" i="3479" a="1"/>
  <c r="Y57" i="3479"/>
  <c r="X57" i="3479" a="1"/>
  <c r="X57" i="3479"/>
  <c r="W57" i="3479"/>
  <c r="K57" i="3479"/>
  <c r="J57" i="3479" a="1"/>
  <c r="J57" i="3479"/>
  <c r="I57" i="3479" a="1"/>
  <c r="I57" i="3479"/>
  <c r="H57" i="3479"/>
  <c r="F57" i="3479" a="1"/>
  <c r="F57" i="3479"/>
  <c r="E57" i="3479"/>
  <c r="EP56" i="3479"/>
  <c r="EO56" i="3479" a="1"/>
  <c r="EO56" i="3479"/>
  <c r="EN56" i="3479" a="1"/>
  <c r="EN56" i="3479"/>
  <c r="EM56" i="3479"/>
  <c r="EA56" i="3479"/>
  <c r="DZ56" i="3479" a="1"/>
  <c r="DZ56" i="3479"/>
  <c r="DY56" i="3479" a="1"/>
  <c r="DY56" i="3479"/>
  <c r="DX56" i="3479"/>
  <c r="DL56" i="3479"/>
  <c r="DK56" i="3479" a="1"/>
  <c r="DK56" i="3479"/>
  <c r="DJ56" i="3479" a="1"/>
  <c r="DJ56" i="3479"/>
  <c r="DI56" i="3479"/>
  <c r="CW56" i="3479"/>
  <c r="CV56" i="3479" a="1"/>
  <c r="CV56" i="3479"/>
  <c r="CU56" i="3479" a="1"/>
  <c r="CU56" i="3479"/>
  <c r="CT56" i="3479"/>
  <c r="CH56" i="3479"/>
  <c r="CG56" i="3479" a="1"/>
  <c r="CG56" i="3479"/>
  <c r="CF56" i="3479" a="1"/>
  <c r="CF56" i="3479"/>
  <c r="CE56" i="3479"/>
  <c r="BS56" i="3479"/>
  <c r="BR56" i="3479" a="1"/>
  <c r="BR56" i="3479"/>
  <c r="BQ56" i="3479" a="1"/>
  <c r="BQ56" i="3479"/>
  <c r="BP56" i="3479"/>
  <c r="BD56" i="3479"/>
  <c r="BC56" i="3479" a="1"/>
  <c r="BC56" i="3479"/>
  <c r="BB56" i="3479" a="1"/>
  <c r="BB56" i="3479"/>
  <c r="BA56" i="3479"/>
  <c r="AO56" i="3479"/>
  <c r="AN56" i="3479" a="1"/>
  <c r="AN56" i="3479"/>
  <c r="AM56" i="3479" a="1"/>
  <c r="AM56" i="3479"/>
  <c r="AL56" i="3479"/>
  <c r="Z56" i="3479"/>
  <c r="Y56" i="3479" a="1"/>
  <c r="Y56" i="3479"/>
  <c r="X56" i="3479" a="1"/>
  <c r="X56" i="3479"/>
  <c r="W56" i="3479"/>
  <c r="K56" i="3479"/>
  <c r="J56" i="3479" a="1"/>
  <c r="J56" i="3479"/>
  <c r="I56" i="3479" a="1"/>
  <c r="I56" i="3479"/>
  <c r="H56" i="3479"/>
  <c r="F56" i="3479" a="1"/>
  <c r="F56" i="3479"/>
  <c r="E56" i="3479"/>
  <c r="EP55" i="3479"/>
  <c r="EO55" i="3479" a="1"/>
  <c r="EO55" i="3479"/>
  <c r="EN55" i="3479" a="1"/>
  <c r="EN55" i="3479"/>
  <c r="EM55" i="3479"/>
  <c r="EA55" i="3479"/>
  <c r="DZ55" i="3479" a="1"/>
  <c r="DZ55" i="3479"/>
  <c r="DY55" i="3479" a="1"/>
  <c r="DY55" i="3479"/>
  <c r="DX55" i="3479"/>
  <c r="DL55" i="3479"/>
  <c r="DK55" i="3479" a="1"/>
  <c r="DK55" i="3479"/>
  <c r="DJ55" i="3479" a="1"/>
  <c r="DJ55" i="3479"/>
  <c r="DI55" i="3479"/>
  <c r="CW55" i="3479"/>
  <c r="CV55" i="3479" a="1"/>
  <c r="CV55" i="3479"/>
  <c r="CU55" i="3479" a="1"/>
  <c r="CU55" i="3479"/>
  <c r="CT55" i="3479"/>
  <c r="CH55" i="3479"/>
  <c r="CG55" i="3479" a="1"/>
  <c r="CG55" i="3479"/>
  <c r="CF55" i="3479" a="1"/>
  <c r="CF55" i="3479"/>
  <c r="CE55" i="3479"/>
  <c r="BS55" i="3479"/>
  <c r="BR55" i="3479" a="1"/>
  <c r="BR55" i="3479"/>
  <c r="BQ55" i="3479" a="1"/>
  <c r="BQ55" i="3479"/>
  <c r="BP55" i="3479"/>
  <c r="BD55" i="3479"/>
  <c r="BC55" i="3479" a="1"/>
  <c r="BC55" i="3479"/>
  <c r="BB55" i="3479" a="1"/>
  <c r="BB55" i="3479"/>
  <c r="BA55" i="3479"/>
  <c r="AO55" i="3479"/>
  <c r="AN55" i="3479" a="1"/>
  <c r="AN55" i="3479"/>
  <c r="AM55" i="3479" a="1"/>
  <c r="AM55" i="3479"/>
  <c r="AL55" i="3479"/>
  <c r="Z55" i="3479"/>
  <c r="Y55" i="3479" a="1"/>
  <c r="Y55" i="3479"/>
  <c r="X55" i="3479" a="1"/>
  <c r="X55" i="3479"/>
  <c r="W55" i="3479"/>
  <c r="K55" i="3479"/>
  <c r="J55" i="3479" a="1"/>
  <c r="J55" i="3479"/>
  <c r="I55" i="3479" a="1"/>
  <c r="I55" i="3479"/>
  <c r="H55" i="3479"/>
  <c r="F55" i="3479" a="1"/>
  <c r="F55" i="3479"/>
  <c r="E55" i="3479"/>
  <c r="EP54" i="3479"/>
  <c r="EO54" i="3479" a="1"/>
  <c r="EO54" i="3479"/>
  <c r="EN54" i="3479" a="1"/>
  <c r="EN54" i="3479"/>
  <c r="EM54" i="3479"/>
  <c r="EA54" i="3479"/>
  <c r="DZ54" i="3479" a="1"/>
  <c r="DZ54" i="3479"/>
  <c r="DY54" i="3479" a="1"/>
  <c r="DY54" i="3479"/>
  <c r="DX54" i="3479"/>
  <c r="DL54" i="3479"/>
  <c r="DK54" i="3479" a="1"/>
  <c r="DK54" i="3479"/>
  <c r="DJ54" i="3479" a="1"/>
  <c r="DJ54" i="3479"/>
  <c r="DI54" i="3479"/>
  <c r="CW54" i="3479"/>
  <c r="CV54" i="3479" a="1"/>
  <c r="CV54" i="3479"/>
  <c r="CU54" i="3479" a="1"/>
  <c r="CU54" i="3479"/>
  <c r="CT54" i="3479"/>
  <c r="CH54" i="3479"/>
  <c r="CG54" i="3479" a="1"/>
  <c r="CG54" i="3479"/>
  <c r="CF54" i="3479" a="1"/>
  <c r="CF54" i="3479"/>
  <c r="CE54" i="3479"/>
  <c r="BS54" i="3479"/>
  <c r="BR54" i="3479" a="1"/>
  <c r="BR54" i="3479"/>
  <c r="BQ54" i="3479" a="1"/>
  <c r="BQ54" i="3479"/>
  <c r="BP54" i="3479"/>
  <c r="BD54" i="3479"/>
  <c r="BC54" i="3479" a="1"/>
  <c r="BC54" i="3479"/>
  <c r="BB54" i="3479" a="1"/>
  <c r="BB54" i="3479"/>
  <c r="BA54" i="3479"/>
  <c r="AO54" i="3479"/>
  <c r="AN54" i="3479" a="1"/>
  <c r="AN54" i="3479"/>
  <c r="AM54" i="3479" a="1"/>
  <c r="AM54" i="3479"/>
  <c r="AL54" i="3479"/>
  <c r="Z54" i="3479"/>
  <c r="Y54" i="3479" a="1"/>
  <c r="Y54" i="3479"/>
  <c r="X54" i="3479" a="1"/>
  <c r="X54" i="3479"/>
  <c r="W54" i="3479"/>
  <c r="K54" i="3479"/>
  <c r="J54" i="3479" a="1"/>
  <c r="J54" i="3479"/>
  <c r="I54" i="3479" a="1"/>
  <c r="I54" i="3479"/>
  <c r="H54" i="3479"/>
  <c r="F54" i="3479" a="1"/>
  <c r="F54" i="3479"/>
  <c r="E54" i="3479"/>
  <c r="EP53" i="3479"/>
  <c r="EO53" i="3479" a="1"/>
  <c r="EO53" i="3479"/>
  <c r="EN53" i="3479" a="1"/>
  <c r="EN53" i="3479"/>
  <c r="EM53" i="3479"/>
  <c r="EA53" i="3479"/>
  <c r="DZ53" i="3479" a="1"/>
  <c r="DZ53" i="3479"/>
  <c r="DY53" i="3479" a="1"/>
  <c r="DY53" i="3479"/>
  <c r="DX53" i="3479"/>
  <c r="DL53" i="3479"/>
  <c r="DK53" i="3479" a="1"/>
  <c r="DK53" i="3479"/>
  <c r="DJ53" i="3479" a="1"/>
  <c r="DJ53" i="3479"/>
  <c r="DI53" i="3479"/>
  <c r="CW53" i="3479"/>
  <c r="CV53" i="3479" a="1"/>
  <c r="CV53" i="3479"/>
  <c r="CU53" i="3479" a="1"/>
  <c r="CU53" i="3479"/>
  <c r="CT53" i="3479"/>
  <c r="CH53" i="3479"/>
  <c r="CG53" i="3479" a="1"/>
  <c r="CG53" i="3479"/>
  <c r="CF53" i="3479" a="1"/>
  <c r="CF53" i="3479"/>
  <c r="CE53" i="3479"/>
  <c r="BS53" i="3479"/>
  <c r="BR53" i="3479" a="1"/>
  <c r="BR53" i="3479"/>
  <c r="BQ53" i="3479" a="1"/>
  <c r="BQ53" i="3479"/>
  <c r="BP53" i="3479"/>
  <c r="BD53" i="3479"/>
  <c r="BC53" i="3479" a="1"/>
  <c r="BC53" i="3479"/>
  <c r="BB53" i="3479" a="1"/>
  <c r="BB53" i="3479"/>
  <c r="BA53" i="3479"/>
  <c r="AO53" i="3479"/>
  <c r="AN53" i="3479" a="1"/>
  <c r="AN53" i="3479"/>
  <c r="AM53" i="3479" a="1"/>
  <c r="AM53" i="3479"/>
  <c r="AL53" i="3479"/>
  <c r="Z53" i="3479"/>
  <c r="Y53" i="3479" a="1"/>
  <c r="Y53" i="3479"/>
  <c r="X53" i="3479" a="1"/>
  <c r="X53" i="3479"/>
  <c r="W53" i="3479"/>
  <c r="K53" i="3479"/>
  <c r="J53" i="3479" a="1"/>
  <c r="J53" i="3479"/>
  <c r="I53" i="3479" a="1"/>
  <c r="I53" i="3479"/>
  <c r="H53" i="3479"/>
  <c r="F53" i="3479" a="1"/>
  <c r="F53" i="3479"/>
  <c r="E53" i="3479"/>
  <c r="EP52" i="3479"/>
  <c r="EO52" i="3479" a="1"/>
  <c r="EO52" i="3479"/>
  <c r="EN52" i="3479" a="1"/>
  <c r="EN52" i="3479"/>
  <c r="EM52" i="3479"/>
  <c r="EA52" i="3479"/>
  <c r="DZ52" i="3479" a="1"/>
  <c r="DZ52" i="3479"/>
  <c r="DY52" i="3479" a="1"/>
  <c r="DY52" i="3479"/>
  <c r="DX52" i="3479"/>
  <c r="DL52" i="3479"/>
  <c r="DK52" i="3479" a="1"/>
  <c r="DK52" i="3479"/>
  <c r="DJ52" i="3479" a="1"/>
  <c r="DJ52" i="3479"/>
  <c r="DI52" i="3479"/>
  <c r="CW52" i="3479"/>
  <c r="CV52" i="3479" a="1"/>
  <c r="CV52" i="3479"/>
  <c r="CU52" i="3479" a="1"/>
  <c r="CU52" i="3479"/>
  <c r="CT52" i="3479"/>
  <c r="CH52" i="3479"/>
  <c r="CG52" i="3479" a="1"/>
  <c r="CG52" i="3479"/>
  <c r="CF52" i="3479" a="1"/>
  <c r="CF52" i="3479"/>
  <c r="CE52" i="3479"/>
  <c r="BS52" i="3479"/>
  <c r="BR52" i="3479" a="1"/>
  <c r="BR52" i="3479"/>
  <c r="BQ52" i="3479" a="1"/>
  <c r="BQ52" i="3479"/>
  <c r="BP52" i="3479"/>
  <c r="BD52" i="3479"/>
  <c r="BC52" i="3479" a="1"/>
  <c r="BC52" i="3479"/>
  <c r="BB52" i="3479" a="1"/>
  <c r="BB52" i="3479"/>
  <c r="BA52" i="3479"/>
  <c r="AO52" i="3479"/>
  <c r="AN52" i="3479" a="1"/>
  <c r="AN52" i="3479"/>
  <c r="AM52" i="3479" a="1"/>
  <c r="AM52" i="3479"/>
  <c r="AL52" i="3479"/>
  <c r="Z52" i="3479"/>
  <c r="Y52" i="3479" a="1"/>
  <c r="Y52" i="3479"/>
  <c r="X52" i="3479" a="1"/>
  <c r="X52" i="3479"/>
  <c r="W52" i="3479"/>
  <c r="K52" i="3479"/>
  <c r="J52" i="3479" a="1"/>
  <c r="J52" i="3479"/>
  <c r="I52" i="3479" a="1"/>
  <c r="I52" i="3479"/>
  <c r="H52" i="3479"/>
  <c r="F52" i="3479" a="1"/>
  <c r="F52" i="3479"/>
  <c r="E52" i="3479"/>
  <c r="EP51" i="3479"/>
  <c r="EO51" i="3479" a="1"/>
  <c r="EO51" i="3479"/>
  <c r="EN51" i="3479" a="1"/>
  <c r="EN51" i="3479"/>
  <c r="EM51" i="3479"/>
  <c r="EA51" i="3479"/>
  <c r="DZ51" i="3479" a="1"/>
  <c r="DZ51" i="3479"/>
  <c r="DY51" i="3479" a="1"/>
  <c r="DY51" i="3479"/>
  <c r="DX51" i="3479"/>
  <c r="DL51" i="3479"/>
  <c r="DK51" i="3479" a="1"/>
  <c r="DK51" i="3479"/>
  <c r="DJ51" i="3479" a="1"/>
  <c r="DJ51" i="3479"/>
  <c r="DI51" i="3479"/>
  <c r="CW51" i="3479"/>
  <c r="CV51" i="3479" a="1"/>
  <c r="CV51" i="3479"/>
  <c r="CU51" i="3479" a="1"/>
  <c r="CU51" i="3479"/>
  <c r="CT51" i="3479"/>
  <c r="CH51" i="3479"/>
  <c r="CG51" i="3479" a="1"/>
  <c r="CG51" i="3479"/>
  <c r="CF51" i="3479" a="1"/>
  <c r="CF51" i="3479"/>
  <c r="CE51" i="3479"/>
  <c r="BS51" i="3479"/>
  <c r="BR51" i="3479" a="1"/>
  <c r="BR51" i="3479"/>
  <c r="BQ51" i="3479" a="1"/>
  <c r="BQ51" i="3479"/>
  <c r="BP51" i="3479"/>
  <c r="BD51" i="3479"/>
  <c r="BC51" i="3479" a="1"/>
  <c r="BC51" i="3479"/>
  <c r="BB51" i="3479" a="1"/>
  <c r="BB51" i="3479"/>
  <c r="BA51" i="3479"/>
  <c r="AO51" i="3479"/>
  <c r="AN51" i="3479" a="1"/>
  <c r="AN51" i="3479"/>
  <c r="AM51" i="3479" a="1"/>
  <c r="AM51" i="3479"/>
  <c r="AL51" i="3479"/>
  <c r="Z51" i="3479"/>
  <c r="Y51" i="3479" a="1"/>
  <c r="Y51" i="3479"/>
  <c r="X51" i="3479" a="1"/>
  <c r="X51" i="3479"/>
  <c r="W51" i="3479"/>
  <c r="K51" i="3479"/>
  <c r="J51" i="3479" a="1"/>
  <c r="J51" i="3479"/>
  <c r="I51" i="3479" a="1"/>
  <c r="I51" i="3479"/>
  <c r="H51" i="3479"/>
  <c r="F51" i="3479" a="1"/>
  <c r="F51" i="3479"/>
  <c r="E51" i="3479"/>
  <c r="EP50" i="3479"/>
  <c r="EO50" i="3479" a="1"/>
  <c r="EO50" i="3479"/>
  <c r="EN50" i="3479" a="1"/>
  <c r="EN50" i="3479"/>
  <c r="EM50" i="3479"/>
  <c r="EA50" i="3479"/>
  <c r="DZ50" i="3479" a="1"/>
  <c r="DZ50" i="3479"/>
  <c r="DY50" i="3479" a="1"/>
  <c r="DY50" i="3479"/>
  <c r="DX50" i="3479"/>
  <c r="DL50" i="3479"/>
  <c r="DK50" i="3479" a="1"/>
  <c r="DK50" i="3479"/>
  <c r="DJ50" i="3479" a="1"/>
  <c r="DJ50" i="3479"/>
  <c r="DI50" i="3479"/>
  <c r="CW50" i="3479"/>
  <c r="CV50" i="3479" a="1"/>
  <c r="CV50" i="3479"/>
  <c r="CU50" i="3479" a="1"/>
  <c r="CU50" i="3479"/>
  <c r="CT50" i="3479"/>
  <c r="CH50" i="3479"/>
  <c r="CG50" i="3479" a="1"/>
  <c r="CG50" i="3479"/>
  <c r="CF50" i="3479" a="1"/>
  <c r="CF50" i="3479"/>
  <c r="CE50" i="3479"/>
  <c r="BS50" i="3479"/>
  <c r="BR50" i="3479" a="1"/>
  <c r="BR50" i="3479"/>
  <c r="BQ50" i="3479" a="1"/>
  <c r="BQ50" i="3479"/>
  <c r="BP50" i="3479"/>
  <c r="BD50" i="3479"/>
  <c r="BC50" i="3479" a="1"/>
  <c r="BC50" i="3479"/>
  <c r="BB50" i="3479" a="1"/>
  <c r="BB50" i="3479"/>
  <c r="BA50" i="3479"/>
  <c r="AO50" i="3479"/>
  <c r="AN50" i="3479" a="1"/>
  <c r="AN50" i="3479"/>
  <c r="AM50" i="3479" a="1"/>
  <c r="AM50" i="3479"/>
  <c r="AL50" i="3479"/>
  <c r="Z50" i="3479"/>
  <c r="Y50" i="3479" a="1"/>
  <c r="Y50" i="3479"/>
  <c r="X50" i="3479" a="1"/>
  <c r="X50" i="3479"/>
  <c r="W50" i="3479"/>
  <c r="K50" i="3479"/>
  <c r="J50" i="3479" a="1"/>
  <c r="J50" i="3479"/>
  <c r="I50" i="3479" a="1"/>
  <c r="I50" i="3479"/>
  <c r="H50" i="3479"/>
  <c r="F50" i="3479" a="1"/>
  <c r="F50" i="3479"/>
  <c r="E50" i="3479"/>
  <c r="EP49" i="3479"/>
  <c r="EO49" i="3479" a="1"/>
  <c r="EO49" i="3479"/>
  <c r="EN49" i="3479" a="1"/>
  <c r="EN49" i="3479"/>
  <c r="EM49" i="3479"/>
  <c r="EA49" i="3479"/>
  <c r="DZ49" i="3479" a="1"/>
  <c r="DZ49" i="3479"/>
  <c r="DY49" i="3479" a="1"/>
  <c r="DY49" i="3479"/>
  <c r="DX49" i="3479"/>
  <c r="DL49" i="3479"/>
  <c r="DK49" i="3479" a="1"/>
  <c r="DK49" i="3479"/>
  <c r="DJ49" i="3479" a="1"/>
  <c r="DJ49" i="3479"/>
  <c r="DI49" i="3479"/>
  <c r="CW49" i="3479"/>
  <c r="CV49" i="3479" a="1"/>
  <c r="CV49" i="3479"/>
  <c r="CU49" i="3479" a="1"/>
  <c r="CU49" i="3479"/>
  <c r="CT49" i="3479"/>
  <c r="CH49" i="3479"/>
  <c r="CG49" i="3479" a="1"/>
  <c r="CG49" i="3479"/>
  <c r="CF49" i="3479" a="1"/>
  <c r="CF49" i="3479"/>
  <c r="CE49" i="3479"/>
  <c r="BS49" i="3479"/>
  <c r="BR49" i="3479" a="1"/>
  <c r="BR49" i="3479"/>
  <c r="BQ49" i="3479" a="1"/>
  <c r="BQ49" i="3479"/>
  <c r="BP49" i="3479"/>
  <c r="BD49" i="3479"/>
  <c r="BC49" i="3479" a="1"/>
  <c r="BC49" i="3479"/>
  <c r="BB49" i="3479" a="1"/>
  <c r="BB49" i="3479"/>
  <c r="BA49" i="3479"/>
  <c r="AO49" i="3479"/>
  <c r="AN49" i="3479" a="1"/>
  <c r="AN49" i="3479"/>
  <c r="AM49" i="3479" a="1"/>
  <c r="AM49" i="3479"/>
  <c r="AL49" i="3479"/>
  <c r="Z49" i="3479"/>
  <c r="Y49" i="3479" a="1"/>
  <c r="Y49" i="3479"/>
  <c r="X49" i="3479" a="1"/>
  <c r="X49" i="3479"/>
  <c r="W49" i="3479"/>
  <c r="K49" i="3479"/>
  <c r="J49" i="3479" a="1"/>
  <c r="J49" i="3479"/>
  <c r="I49" i="3479" a="1"/>
  <c r="I49" i="3479"/>
  <c r="H49" i="3479"/>
  <c r="F49" i="3479" a="1"/>
  <c r="F49" i="3479"/>
  <c r="E49" i="3479"/>
  <c r="EP48" i="3479"/>
  <c r="EO48" i="3479" a="1"/>
  <c r="EO48" i="3479"/>
  <c r="EN48" i="3479" a="1"/>
  <c r="EN48" i="3479"/>
  <c r="EM48" i="3479"/>
  <c r="EA48" i="3479"/>
  <c r="DZ48" i="3479" a="1"/>
  <c r="DZ48" i="3479"/>
  <c r="DY48" i="3479" a="1"/>
  <c r="DY48" i="3479"/>
  <c r="DX48" i="3479"/>
  <c r="DL48" i="3479"/>
  <c r="DK48" i="3479" a="1"/>
  <c r="DK48" i="3479"/>
  <c r="DJ48" i="3479" a="1"/>
  <c r="DJ48" i="3479"/>
  <c r="DI48" i="3479"/>
  <c r="CW48" i="3479"/>
  <c r="CV48" i="3479" a="1"/>
  <c r="CV48" i="3479"/>
  <c r="CU48" i="3479" a="1"/>
  <c r="CU48" i="3479"/>
  <c r="CT48" i="3479"/>
  <c r="CH48" i="3479"/>
  <c r="CG48" i="3479" a="1"/>
  <c r="CG48" i="3479"/>
  <c r="CF48" i="3479" a="1"/>
  <c r="CF48" i="3479"/>
  <c r="CE48" i="3479"/>
  <c r="BS48" i="3479"/>
  <c r="BR48" i="3479" a="1"/>
  <c r="BR48" i="3479"/>
  <c r="BQ48" i="3479" a="1"/>
  <c r="BQ48" i="3479"/>
  <c r="BP48" i="3479"/>
  <c r="BD48" i="3479"/>
  <c r="BC48" i="3479" a="1"/>
  <c r="BC48" i="3479"/>
  <c r="BB48" i="3479" a="1"/>
  <c r="BB48" i="3479"/>
  <c r="BA48" i="3479"/>
  <c r="AO48" i="3479"/>
  <c r="AN48" i="3479" a="1"/>
  <c r="AN48" i="3479"/>
  <c r="AM48" i="3479" a="1"/>
  <c r="AM48" i="3479"/>
  <c r="AL48" i="3479"/>
  <c r="Z48" i="3479"/>
  <c r="Y48" i="3479" a="1"/>
  <c r="Y48" i="3479"/>
  <c r="X48" i="3479" a="1"/>
  <c r="X48" i="3479"/>
  <c r="W48" i="3479"/>
  <c r="K48" i="3479"/>
  <c r="J48" i="3479" a="1"/>
  <c r="J48" i="3479"/>
  <c r="I48" i="3479" a="1"/>
  <c r="I48" i="3479"/>
  <c r="H48" i="3479"/>
  <c r="F48" i="3479" a="1"/>
  <c r="F48" i="3479"/>
  <c r="E48" i="3479"/>
  <c r="EP47" i="3479"/>
  <c r="EO47" i="3479" a="1"/>
  <c r="EO47" i="3479"/>
  <c r="EN47" i="3479" a="1"/>
  <c r="EN47" i="3479"/>
  <c r="EM47" i="3479"/>
  <c r="EA47" i="3479"/>
  <c r="DZ47" i="3479" a="1"/>
  <c r="DZ47" i="3479"/>
  <c r="DY47" i="3479" a="1"/>
  <c r="DY47" i="3479"/>
  <c r="DX47" i="3479"/>
  <c r="DL47" i="3479"/>
  <c r="DK47" i="3479" a="1"/>
  <c r="DK47" i="3479"/>
  <c r="DJ47" i="3479" a="1"/>
  <c r="DJ47" i="3479"/>
  <c r="DI47" i="3479"/>
  <c r="CW47" i="3479"/>
  <c r="CV47" i="3479" a="1"/>
  <c r="CV47" i="3479"/>
  <c r="CU47" i="3479" a="1"/>
  <c r="CU47" i="3479"/>
  <c r="CT47" i="3479"/>
  <c r="CH47" i="3479"/>
  <c r="CG47" i="3479" a="1"/>
  <c r="CG47" i="3479"/>
  <c r="CF47" i="3479" a="1"/>
  <c r="CF47" i="3479"/>
  <c r="CE47" i="3479"/>
  <c r="BS47" i="3479"/>
  <c r="BR47" i="3479" a="1"/>
  <c r="BR47" i="3479"/>
  <c r="BQ47" i="3479" a="1"/>
  <c r="BQ47" i="3479"/>
  <c r="BP47" i="3479"/>
  <c r="BD47" i="3479"/>
  <c r="BC47" i="3479" a="1"/>
  <c r="BC47" i="3479"/>
  <c r="BB47" i="3479" a="1"/>
  <c r="BB47" i="3479"/>
  <c r="BA47" i="3479"/>
  <c r="AO47" i="3479"/>
  <c r="AN47" i="3479" a="1"/>
  <c r="AN47" i="3479"/>
  <c r="AM47" i="3479" a="1"/>
  <c r="AM47" i="3479"/>
  <c r="AL47" i="3479"/>
  <c r="Z47" i="3479"/>
  <c r="Y47" i="3479" a="1"/>
  <c r="Y47" i="3479"/>
  <c r="X47" i="3479" a="1"/>
  <c r="X47" i="3479"/>
  <c r="W47" i="3479"/>
  <c r="K47" i="3479"/>
  <c r="J47" i="3479" a="1"/>
  <c r="J47" i="3479"/>
  <c r="I47" i="3479" a="1"/>
  <c r="I47" i="3479"/>
  <c r="H47" i="3479"/>
  <c r="F47" i="3479" a="1"/>
  <c r="F47" i="3479"/>
  <c r="E47" i="3479"/>
  <c r="EP46" i="3479"/>
  <c r="EO46" i="3479" a="1"/>
  <c r="EO46" i="3479"/>
  <c r="EN46" i="3479" a="1"/>
  <c r="EN46" i="3479"/>
  <c r="EM46" i="3479"/>
  <c r="EA46" i="3479"/>
  <c r="DZ46" i="3479" a="1"/>
  <c r="DZ46" i="3479"/>
  <c r="DY46" i="3479" a="1"/>
  <c r="DY46" i="3479"/>
  <c r="DX46" i="3479"/>
  <c r="DL46" i="3479"/>
  <c r="DK46" i="3479" a="1"/>
  <c r="DK46" i="3479"/>
  <c r="DJ46" i="3479" a="1"/>
  <c r="DJ46" i="3479"/>
  <c r="DI46" i="3479"/>
  <c r="CW46" i="3479"/>
  <c r="CV46" i="3479" a="1"/>
  <c r="CV46" i="3479"/>
  <c r="CU46" i="3479" a="1"/>
  <c r="CU46" i="3479"/>
  <c r="CT46" i="3479"/>
  <c r="CH46" i="3479"/>
  <c r="CG46" i="3479" a="1"/>
  <c r="CG46" i="3479"/>
  <c r="CF46" i="3479" a="1"/>
  <c r="CF46" i="3479"/>
  <c r="CE46" i="3479"/>
  <c r="BS46" i="3479"/>
  <c r="BR46" i="3479" a="1"/>
  <c r="BR46" i="3479"/>
  <c r="BQ46" i="3479" a="1"/>
  <c r="BQ46" i="3479"/>
  <c r="BP46" i="3479"/>
  <c r="BD46" i="3479"/>
  <c r="BC46" i="3479" a="1"/>
  <c r="BC46" i="3479"/>
  <c r="BB46" i="3479" a="1"/>
  <c r="BB46" i="3479"/>
  <c r="BA46" i="3479"/>
  <c r="AO46" i="3479"/>
  <c r="AN46" i="3479" a="1"/>
  <c r="AN46" i="3479"/>
  <c r="AM46" i="3479" a="1"/>
  <c r="AM46" i="3479"/>
  <c r="AL46" i="3479"/>
  <c r="Z46" i="3479"/>
  <c r="Y46" i="3479" a="1"/>
  <c r="Y46" i="3479"/>
  <c r="X46" i="3479" a="1"/>
  <c r="X46" i="3479"/>
  <c r="W46" i="3479"/>
  <c r="K46" i="3479"/>
  <c r="J46" i="3479" a="1"/>
  <c r="J46" i="3479"/>
  <c r="I46" i="3479" a="1"/>
  <c r="I46" i="3479"/>
  <c r="H46" i="3479"/>
  <c r="F46" i="3479" a="1"/>
  <c r="F46" i="3479"/>
  <c r="E46" i="3479"/>
  <c r="EP45" i="3479"/>
  <c r="EO45" i="3479" a="1"/>
  <c r="EO45" i="3479"/>
  <c r="EN45" i="3479" a="1"/>
  <c r="EN45" i="3479"/>
  <c r="EM45" i="3479"/>
  <c r="EA45" i="3479"/>
  <c r="DZ45" i="3479" a="1"/>
  <c r="DZ45" i="3479"/>
  <c r="DY45" i="3479" a="1"/>
  <c r="DY45" i="3479"/>
  <c r="DX45" i="3479"/>
  <c r="DL45" i="3479"/>
  <c r="DK45" i="3479" a="1"/>
  <c r="DK45" i="3479"/>
  <c r="DJ45" i="3479" a="1"/>
  <c r="DJ45" i="3479"/>
  <c r="DI45" i="3479"/>
  <c r="CW45" i="3479"/>
  <c r="CV45" i="3479" a="1"/>
  <c r="CV45" i="3479"/>
  <c r="CU45" i="3479" a="1"/>
  <c r="CU45" i="3479"/>
  <c r="CT45" i="3479"/>
  <c r="CH45" i="3479"/>
  <c r="CG45" i="3479" a="1"/>
  <c r="CG45" i="3479"/>
  <c r="CF45" i="3479" a="1"/>
  <c r="CF45" i="3479"/>
  <c r="CE45" i="3479"/>
  <c r="BS45" i="3479"/>
  <c r="BR45" i="3479" a="1"/>
  <c r="BR45" i="3479"/>
  <c r="BQ45" i="3479" a="1"/>
  <c r="BQ45" i="3479"/>
  <c r="BP45" i="3479"/>
  <c r="BD45" i="3479"/>
  <c r="BC45" i="3479" a="1"/>
  <c r="BC45" i="3479"/>
  <c r="BB45" i="3479" a="1"/>
  <c r="BB45" i="3479"/>
  <c r="BA45" i="3479"/>
  <c r="AO45" i="3479"/>
  <c r="AN45" i="3479" a="1"/>
  <c r="AN45" i="3479"/>
  <c r="AM45" i="3479" a="1"/>
  <c r="AM45" i="3479"/>
  <c r="AL45" i="3479"/>
  <c r="Z45" i="3479"/>
  <c r="Y45" i="3479" a="1"/>
  <c r="Y45" i="3479"/>
  <c r="X45" i="3479" a="1"/>
  <c r="X45" i="3479"/>
  <c r="W45" i="3479"/>
  <c r="K45" i="3479"/>
  <c r="J45" i="3479" a="1"/>
  <c r="J45" i="3479"/>
  <c r="I45" i="3479" a="1"/>
  <c r="I45" i="3479"/>
  <c r="H45" i="3479"/>
  <c r="F45" i="3479" a="1"/>
  <c r="F45" i="3479"/>
  <c r="E45" i="3479"/>
  <c r="EP44" i="3479"/>
  <c r="EO44" i="3479" a="1"/>
  <c r="EO44" i="3479"/>
  <c r="EN44" i="3479" a="1"/>
  <c r="EN44" i="3479"/>
  <c r="EM44" i="3479"/>
  <c r="EA44" i="3479"/>
  <c r="DZ44" i="3479" a="1"/>
  <c r="DZ44" i="3479"/>
  <c r="DY44" i="3479" a="1"/>
  <c r="DY44" i="3479"/>
  <c r="DX44" i="3479"/>
  <c r="DL44" i="3479"/>
  <c r="DK44" i="3479" a="1"/>
  <c r="DK44" i="3479"/>
  <c r="DJ44" i="3479" a="1"/>
  <c r="DJ44" i="3479"/>
  <c r="DI44" i="3479"/>
  <c r="CW44" i="3479"/>
  <c r="CV44" i="3479" a="1"/>
  <c r="CV44" i="3479"/>
  <c r="CU44" i="3479" a="1"/>
  <c r="CU44" i="3479"/>
  <c r="CT44" i="3479"/>
  <c r="CH44" i="3479"/>
  <c r="CG44" i="3479" a="1"/>
  <c r="CG44" i="3479"/>
  <c r="CF44" i="3479" a="1"/>
  <c r="CF44" i="3479"/>
  <c r="CE44" i="3479"/>
  <c r="BS44" i="3479"/>
  <c r="BR44" i="3479" a="1"/>
  <c r="BR44" i="3479"/>
  <c r="BQ44" i="3479" a="1"/>
  <c r="BQ44" i="3479"/>
  <c r="BP44" i="3479"/>
  <c r="BD44" i="3479"/>
  <c r="BC44" i="3479" a="1"/>
  <c r="BC44" i="3479"/>
  <c r="BB44" i="3479" a="1"/>
  <c r="BB44" i="3479"/>
  <c r="BA44" i="3479"/>
  <c r="AO44" i="3479"/>
  <c r="AN44" i="3479" a="1"/>
  <c r="AN44" i="3479"/>
  <c r="AM44" i="3479" a="1"/>
  <c r="AM44" i="3479"/>
  <c r="AL44" i="3479"/>
  <c r="Z44" i="3479"/>
  <c r="Y44" i="3479" a="1"/>
  <c r="Y44" i="3479"/>
  <c r="X44" i="3479" a="1"/>
  <c r="X44" i="3479"/>
  <c r="W44" i="3479"/>
  <c r="K44" i="3479"/>
  <c r="J44" i="3479" a="1"/>
  <c r="J44" i="3479"/>
  <c r="I44" i="3479" a="1"/>
  <c r="I44" i="3479"/>
  <c r="H44" i="3479"/>
  <c r="F44" i="3479" a="1"/>
  <c r="F44" i="3479"/>
  <c r="E44" i="3479"/>
  <c r="EP43" i="3479"/>
  <c r="EO43" i="3479" a="1"/>
  <c r="EO43" i="3479"/>
  <c r="EN43" i="3479" a="1"/>
  <c r="EN43" i="3479"/>
  <c r="EM43" i="3479"/>
  <c r="EA43" i="3479"/>
  <c r="DZ43" i="3479" a="1"/>
  <c r="DZ43" i="3479"/>
  <c r="DY43" i="3479" a="1"/>
  <c r="DY43" i="3479"/>
  <c r="DX43" i="3479"/>
  <c r="DL43" i="3479"/>
  <c r="DK43" i="3479" a="1"/>
  <c r="DK43" i="3479"/>
  <c r="DJ43" i="3479" a="1"/>
  <c r="DJ43" i="3479"/>
  <c r="DI43" i="3479"/>
  <c r="CW43" i="3479"/>
  <c r="CV43" i="3479" a="1"/>
  <c r="CV43" i="3479"/>
  <c r="CU43" i="3479" a="1"/>
  <c r="CU43" i="3479"/>
  <c r="CT43" i="3479"/>
  <c r="CH43" i="3479"/>
  <c r="CG43" i="3479" a="1"/>
  <c r="CG43" i="3479"/>
  <c r="CF43" i="3479" a="1"/>
  <c r="CF43" i="3479"/>
  <c r="CE43" i="3479"/>
  <c r="BS43" i="3479"/>
  <c r="BR43" i="3479" a="1"/>
  <c r="BR43" i="3479"/>
  <c r="BQ43" i="3479" a="1"/>
  <c r="BQ43" i="3479"/>
  <c r="BP43" i="3479"/>
  <c r="BD43" i="3479"/>
  <c r="BC43" i="3479" a="1"/>
  <c r="BC43" i="3479"/>
  <c r="BB43" i="3479" a="1"/>
  <c r="BB43" i="3479"/>
  <c r="BA43" i="3479"/>
  <c r="AO43" i="3479"/>
  <c r="AN43" i="3479" a="1"/>
  <c r="AN43" i="3479"/>
  <c r="AM43" i="3479" a="1"/>
  <c r="AM43" i="3479"/>
  <c r="AL43" i="3479"/>
  <c r="Z43" i="3479"/>
  <c r="Y43" i="3479" a="1"/>
  <c r="Y43" i="3479"/>
  <c r="X43" i="3479" a="1"/>
  <c r="X43" i="3479"/>
  <c r="W43" i="3479"/>
  <c r="K43" i="3479"/>
  <c r="J43" i="3479" a="1"/>
  <c r="J43" i="3479"/>
  <c r="I43" i="3479" a="1"/>
  <c r="I43" i="3479"/>
  <c r="H43" i="3479"/>
  <c r="F43" i="3479" a="1"/>
  <c r="F43" i="3479"/>
  <c r="E43" i="3479"/>
  <c r="EP42" i="3479"/>
  <c r="EO42" i="3479" a="1"/>
  <c r="EO42" i="3479"/>
  <c r="EN42" i="3479" a="1"/>
  <c r="EN42" i="3479"/>
  <c r="EM42" i="3479"/>
  <c r="EA42" i="3479"/>
  <c r="DZ42" i="3479" a="1"/>
  <c r="DZ42" i="3479"/>
  <c r="DY42" i="3479" a="1"/>
  <c r="DY42" i="3479"/>
  <c r="DX42" i="3479"/>
  <c r="DL42" i="3479"/>
  <c r="DK42" i="3479" a="1"/>
  <c r="DK42" i="3479"/>
  <c r="DJ42" i="3479" a="1"/>
  <c r="DJ42" i="3479"/>
  <c r="DI42" i="3479"/>
  <c r="CW42" i="3479"/>
  <c r="CV42" i="3479" a="1"/>
  <c r="CV42" i="3479"/>
  <c r="CU42" i="3479" a="1"/>
  <c r="CU42" i="3479"/>
  <c r="CT42" i="3479"/>
  <c r="CH42" i="3479"/>
  <c r="CG42" i="3479" a="1"/>
  <c r="CG42" i="3479"/>
  <c r="CF42" i="3479" a="1"/>
  <c r="CF42" i="3479"/>
  <c r="CE42" i="3479"/>
  <c r="BS42" i="3479"/>
  <c r="BR42" i="3479" a="1"/>
  <c r="BR42" i="3479"/>
  <c r="BQ42" i="3479" a="1"/>
  <c r="BQ42" i="3479"/>
  <c r="BP42" i="3479"/>
  <c r="BD42" i="3479"/>
  <c r="BC42" i="3479" a="1"/>
  <c r="BC42" i="3479"/>
  <c r="BB42" i="3479" a="1"/>
  <c r="BB42" i="3479"/>
  <c r="BA42" i="3479"/>
  <c r="AO42" i="3479"/>
  <c r="AN42" i="3479" a="1"/>
  <c r="AN42" i="3479"/>
  <c r="AM42" i="3479" a="1"/>
  <c r="AM42" i="3479"/>
  <c r="AL42" i="3479"/>
  <c r="Z42" i="3479"/>
  <c r="Y42" i="3479" a="1"/>
  <c r="Y42" i="3479"/>
  <c r="X42" i="3479" a="1"/>
  <c r="X42" i="3479"/>
  <c r="W42" i="3479"/>
  <c r="K42" i="3479"/>
  <c r="J42" i="3479" a="1"/>
  <c r="J42" i="3479"/>
  <c r="I42" i="3479" a="1"/>
  <c r="I42" i="3479"/>
  <c r="H42" i="3479"/>
  <c r="F42" i="3479" a="1"/>
  <c r="F42" i="3479"/>
  <c r="E42" i="3479"/>
  <c r="EP41" i="3479"/>
  <c r="EO41" i="3479" a="1"/>
  <c r="EO41" i="3479"/>
  <c r="EN41" i="3479" a="1"/>
  <c r="EN41" i="3479"/>
  <c r="EM41" i="3479"/>
  <c r="EA41" i="3479"/>
  <c r="DZ41" i="3479" a="1"/>
  <c r="DZ41" i="3479"/>
  <c r="DY41" i="3479" a="1"/>
  <c r="DY41" i="3479"/>
  <c r="DX41" i="3479"/>
  <c r="DL41" i="3479"/>
  <c r="DK41" i="3479" a="1"/>
  <c r="DK41" i="3479"/>
  <c r="DJ41" i="3479" a="1"/>
  <c r="DJ41" i="3479"/>
  <c r="DI41" i="3479"/>
  <c r="CW41" i="3479"/>
  <c r="CV41" i="3479" a="1"/>
  <c r="CV41" i="3479"/>
  <c r="CU41" i="3479" a="1"/>
  <c r="CU41" i="3479"/>
  <c r="CT41" i="3479"/>
  <c r="CH41" i="3479"/>
  <c r="CG41" i="3479" a="1"/>
  <c r="CG41" i="3479"/>
  <c r="CF41" i="3479" a="1"/>
  <c r="CF41" i="3479"/>
  <c r="CE41" i="3479"/>
  <c r="BS41" i="3479"/>
  <c r="BR41" i="3479" a="1"/>
  <c r="BR41" i="3479"/>
  <c r="BQ41" i="3479" a="1"/>
  <c r="BQ41" i="3479"/>
  <c r="BP41" i="3479"/>
  <c r="BD41" i="3479"/>
  <c r="BC41" i="3479" a="1"/>
  <c r="BC41" i="3479"/>
  <c r="BB41" i="3479" a="1"/>
  <c r="BB41" i="3479"/>
  <c r="BA41" i="3479"/>
  <c r="AO41" i="3479"/>
  <c r="AN41" i="3479" a="1"/>
  <c r="AN41" i="3479"/>
  <c r="AM41" i="3479" a="1"/>
  <c r="AM41" i="3479"/>
  <c r="AL41" i="3479"/>
  <c r="Z41" i="3479"/>
  <c r="Y41" i="3479" a="1"/>
  <c r="Y41" i="3479"/>
  <c r="X41" i="3479" a="1"/>
  <c r="X41" i="3479"/>
  <c r="W41" i="3479"/>
  <c r="K41" i="3479"/>
  <c r="J41" i="3479" a="1"/>
  <c r="J41" i="3479"/>
  <c r="I41" i="3479" a="1"/>
  <c r="I41" i="3479"/>
  <c r="H41" i="3479"/>
  <c r="F41" i="3479" a="1"/>
  <c r="F41" i="3479"/>
  <c r="E41" i="3479"/>
  <c r="EP40" i="3479"/>
  <c r="EO40" i="3479" a="1"/>
  <c r="EO40" i="3479"/>
  <c r="EN40" i="3479" a="1"/>
  <c r="EN40" i="3479"/>
  <c r="EM40" i="3479"/>
  <c r="EA40" i="3479"/>
  <c r="DZ40" i="3479" a="1"/>
  <c r="DZ40" i="3479"/>
  <c r="DY40" i="3479" a="1"/>
  <c r="DY40" i="3479"/>
  <c r="DX40" i="3479"/>
  <c r="DL40" i="3479"/>
  <c r="DK40" i="3479" a="1"/>
  <c r="DK40" i="3479"/>
  <c r="DJ40" i="3479" a="1"/>
  <c r="DJ40" i="3479"/>
  <c r="DI40" i="3479"/>
  <c r="CW40" i="3479"/>
  <c r="CV40" i="3479" a="1"/>
  <c r="CV40" i="3479"/>
  <c r="CU40" i="3479" a="1"/>
  <c r="CU40" i="3479"/>
  <c r="CT40" i="3479"/>
  <c r="CH40" i="3479"/>
  <c r="CG40" i="3479" a="1"/>
  <c r="CG40" i="3479"/>
  <c r="CF40" i="3479" a="1"/>
  <c r="CF40" i="3479"/>
  <c r="CE40" i="3479"/>
  <c r="BS40" i="3479"/>
  <c r="BR40" i="3479" a="1"/>
  <c r="BR40" i="3479"/>
  <c r="BQ40" i="3479" a="1"/>
  <c r="BQ40" i="3479"/>
  <c r="BP40" i="3479"/>
  <c r="BD40" i="3479"/>
  <c r="BC40" i="3479" a="1"/>
  <c r="BC40" i="3479"/>
  <c r="BB40" i="3479" a="1"/>
  <c r="BB40" i="3479"/>
  <c r="BA40" i="3479"/>
  <c r="AO40" i="3479"/>
  <c r="AN40" i="3479" a="1"/>
  <c r="AN40" i="3479"/>
  <c r="AM40" i="3479" a="1"/>
  <c r="AM40" i="3479"/>
  <c r="AL40" i="3479"/>
  <c r="Z40" i="3479"/>
  <c r="Y40" i="3479" a="1"/>
  <c r="Y40" i="3479"/>
  <c r="X40" i="3479" a="1"/>
  <c r="X40" i="3479"/>
  <c r="W40" i="3479"/>
  <c r="K40" i="3479"/>
  <c r="J40" i="3479" a="1"/>
  <c r="J40" i="3479"/>
  <c r="I40" i="3479" a="1"/>
  <c r="I40" i="3479"/>
  <c r="H40" i="3479"/>
  <c r="F40" i="3479" a="1"/>
  <c r="F40" i="3479"/>
  <c r="E40" i="3479"/>
  <c r="EP39" i="3479"/>
  <c r="EO39" i="3479" a="1"/>
  <c r="EO39" i="3479"/>
  <c r="EN39" i="3479" a="1"/>
  <c r="EN39" i="3479"/>
  <c r="EM39" i="3479"/>
  <c r="EA39" i="3479"/>
  <c r="DZ39" i="3479" a="1"/>
  <c r="DZ39" i="3479"/>
  <c r="DY39" i="3479" a="1"/>
  <c r="DY39" i="3479"/>
  <c r="DX39" i="3479"/>
  <c r="DL39" i="3479"/>
  <c r="DK39" i="3479" a="1"/>
  <c r="DK39" i="3479"/>
  <c r="DJ39" i="3479" a="1"/>
  <c r="DJ39" i="3479"/>
  <c r="DI39" i="3479"/>
  <c r="CW39" i="3479"/>
  <c r="CV39" i="3479" a="1"/>
  <c r="CV39" i="3479"/>
  <c r="CU39" i="3479" a="1"/>
  <c r="CU39" i="3479"/>
  <c r="CT39" i="3479"/>
  <c r="CH39" i="3479"/>
  <c r="CG39" i="3479" a="1"/>
  <c r="CG39" i="3479"/>
  <c r="CF39" i="3479" a="1"/>
  <c r="CF39" i="3479"/>
  <c r="CE39" i="3479"/>
  <c r="BS39" i="3479"/>
  <c r="BR39" i="3479" a="1"/>
  <c r="BR39" i="3479"/>
  <c r="BQ39" i="3479" a="1"/>
  <c r="BQ39" i="3479"/>
  <c r="BP39" i="3479"/>
  <c r="BD39" i="3479"/>
  <c r="BC39" i="3479" a="1"/>
  <c r="BC39" i="3479"/>
  <c r="BB39" i="3479" a="1"/>
  <c r="BB39" i="3479"/>
  <c r="BA39" i="3479"/>
  <c r="AO39" i="3479"/>
  <c r="AN39" i="3479" a="1"/>
  <c r="AN39" i="3479"/>
  <c r="AM39" i="3479" a="1"/>
  <c r="AM39" i="3479"/>
  <c r="AL39" i="3479"/>
  <c r="Z39" i="3479"/>
  <c r="Y39" i="3479" a="1"/>
  <c r="Y39" i="3479"/>
  <c r="X39" i="3479" a="1"/>
  <c r="X39" i="3479"/>
  <c r="W39" i="3479"/>
  <c r="K39" i="3479"/>
  <c r="J39" i="3479" a="1"/>
  <c r="J39" i="3479"/>
  <c r="I39" i="3479" a="1"/>
  <c r="I39" i="3479"/>
  <c r="H39" i="3479"/>
  <c r="F39" i="3479" a="1"/>
  <c r="F39" i="3479"/>
  <c r="E39" i="3479"/>
  <c r="EP38" i="3479"/>
  <c r="EO38" i="3479" a="1"/>
  <c r="EO38" i="3479"/>
  <c r="EN38" i="3479" a="1"/>
  <c r="EN38" i="3479"/>
  <c r="EM38" i="3479"/>
  <c r="EA38" i="3479"/>
  <c r="DZ38" i="3479" a="1"/>
  <c r="DZ38" i="3479"/>
  <c r="DY38" i="3479" a="1"/>
  <c r="DY38" i="3479"/>
  <c r="DX38" i="3479"/>
  <c r="DL38" i="3479"/>
  <c r="DK38" i="3479" a="1"/>
  <c r="DK38" i="3479"/>
  <c r="DJ38" i="3479" a="1"/>
  <c r="DJ38" i="3479"/>
  <c r="DI38" i="3479"/>
  <c r="CW38" i="3479"/>
  <c r="CV38" i="3479" a="1"/>
  <c r="CV38" i="3479"/>
  <c r="CU38" i="3479" a="1"/>
  <c r="CU38" i="3479"/>
  <c r="CT38" i="3479"/>
  <c r="CH38" i="3479"/>
  <c r="CG38" i="3479" a="1"/>
  <c r="CG38" i="3479"/>
  <c r="CF38" i="3479" a="1"/>
  <c r="CF38" i="3479"/>
  <c r="CE38" i="3479"/>
  <c r="BS38" i="3479"/>
  <c r="BR38" i="3479" a="1"/>
  <c r="BR38" i="3479"/>
  <c r="BQ38" i="3479" a="1"/>
  <c r="BQ38" i="3479"/>
  <c r="BP38" i="3479"/>
  <c r="BD38" i="3479"/>
  <c r="BC38" i="3479" a="1"/>
  <c r="BC38" i="3479"/>
  <c r="BB38" i="3479" a="1"/>
  <c r="BB38" i="3479"/>
  <c r="BA38" i="3479"/>
  <c r="AO38" i="3479"/>
  <c r="AN38" i="3479" a="1"/>
  <c r="AN38" i="3479"/>
  <c r="AM38" i="3479" a="1"/>
  <c r="AM38" i="3479"/>
  <c r="AL38" i="3479"/>
  <c r="Z38" i="3479"/>
  <c r="Y38" i="3479" a="1"/>
  <c r="Y38" i="3479"/>
  <c r="X38" i="3479" a="1"/>
  <c r="X38" i="3479"/>
  <c r="W38" i="3479"/>
  <c r="K38" i="3479"/>
  <c r="J38" i="3479" a="1"/>
  <c r="J38" i="3479"/>
  <c r="I38" i="3479" a="1"/>
  <c r="I38" i="3479"/>
  <c r="H38" i="3479"/>
  <c r="F38" i="3479" a="1"/>
  <c r="F38" i="3479"/>
  <c r="E38" i="3479"/>
  <c r="EP37" i="3479"/>
  <c r="EO37" i="3479" a="1"/>
  <c r="EO37" i="3479"/>
  <c r="EN37" i="3479" a="1"/>
  <c r="EN37" i="3479"/>
  <c r="EM37" i="3479"/>
  <c r="EA37" i="3479"/>
  <c r="DZ37" i="3479" a="1"/>
  <c r="DZ37" i="3479"/>
  <c r="DY37" i="3479" a="1"/>
  <c r="DY37" i="3479"/>
  <c r="DX37" i="3479"/>
  <c r="DL37" i="3479"/>
  <c r="DK37" i="3479" a="1"/>
  <c r="DK37" i="3479"/>
  <c r="DJ37" i="3479" a="1"/>
  <c r="DJ37" i="3479"/>
  <c r="DI37" i="3479"/>
  <c r="CW37" i="3479"/>
  <c r="CV37" i="3479" a="1"/>
  <c r="CV37" i="3479"/>
  <c r="CU37" i="3479" a="1"/>
  <c r="CU37" i="3479"/>
  <c r="CT37" i="3479"/>
  <c r="CH37" i="3479"/>
  <c r="CG37" i="3479" a="1"/>
  <c r="CG37" i="3479"/>
  <c r="CF37" i="3479" a="1"/>
  <c r="CF37" i="3479"/>
  <c r="CE37" i="3479"/>
  <c r="BS37" i="3479"/>
  <c r="BR37" i="3479" a="1"/>
  <c r="BR37" i="3479"/>
  <c r="BQ37" i="3479" a="1"/>
  <c r="BQ37" i="3479"/>
  <c r="BP37" i="3479"/>
  <c r="BD37" i="3479"/>
  <c r="BC37" i="3479" a="1"/>
  <c r="BC37" i="3479"/>
  <c r="BB37" i="3479" a="1"/>
  <c r="BB37" i="3479"/>
  <c r="BA37" i="3479"/>
  <c r="AO37" i="3479"/>
  <c r="AN37" i="3479" a="1"/>
  <c r="AN37" i="3479"/>
  <c r="AM37" i="3479" a="1"/>
  <c r="AM37" i="3479"/>
  <c r="AL37" i="3479"/>
  <c r="Z37" i="3479"/>
  <c r="Y37" i="3479" a="1"/>
  <c r="Y37" i="3479"/>
  <c r="X37" i="3479" a="1"/>
  <c r="X37" i="3479"/>
  <c r="W37" i="3479"/>
  <c r="K37" i="3479"/>
  <c r="J37" i="3479" a="1"/>
  <c r="J37" i="3479"/>
  <c r="I37" i="3479" a="1"/>
  <c r="I37" i="3479"/>
  <c r="H37" i="3479"/>
  <c r="F37" i="3479" a="1"/>
  <c r="F37" i="3479"/>
  <c r="E37" i="3479"/>
  <c r="EP36" i="3479"/>
  <c r="EO36" i="3479" a="1"/>
  <c r="EO36" i="3479"/>
  <c r="EN36" i="3479" a="1"/>
  <c r="EN36" i="3479"/>
  <c r="EM36" i="3479"/>
  <c r="EA36" i="3479"/>
  <c r="DZ36" i="3479" a="1"/>
  <c r="DZ36" i="3479"/>
  <c r="DY36" i="3479" a="1"/>
  <c r="DY36" i="3479"/>
  <c r="DX36" i="3479"/>
  <c r="DL36" i="3479"/>
  <c r="DK36" i="3479" a="1"/>
  <c r="DK36" i="3479"/>
  <c r="DJ36" i="3479" a="1"/>
  <c r="DJ36" i="3479"/>
  <c r="DI36" i="3479"/>
  <c r="CW36" i="3479"/>
  <c r="CV36" i="3479" a="1"/>
  <c r="CV36" i="3479"/>
  <c r="CU36" i="3479" a="1"/>
  <c r="CU36" i="3479"/>
  <c r="CT36" i="3479"/>
  <c r="CH36" i="3479"/>
  <c r="CG36" i="3479" a="1"/>
  <c r="CG36" i="3479"/>
  <c r="CF36" i="3479" a="1"/>
  <c r="CF36" i="3479"/>
  <c r="CE36" i="3479"/>
  <c r="BS36" i="3479"/>
  <c r="BR36" i="3479" a="1"/>
  <c r="BR36" i="3479"/>
  <c r="BQ36" i="3479" a="1"/>
  <c r="BQ36" i="3479"/>
  <c r="BP36" i="3479"/>
  <c r="BD36" i="3479"/>
  <c r="BC36" i="3479" a="1"/>
  <c r="BC36" i="3479"/>
  <c r="BB36" i="3479" a="1"/>
  <c r="BB36" i="3479"/>
  <c r="BA36" i="3479"/>
  <c r="AO36" i="3479"/>
  <c r="AN36" i="3479" a="1"/>
  <c r="AN36" i="3479"/>
  <c r="AM36" i="3479" a="1"/>
  <c r="AM36" i="3479"/>
  <c r="AL36" i="3479"/>
  <c r="Z36" i="3479"/>
  <c r="Y36" i="3479" a="1"/>
  <c r="Y36" i="3479"/>
  <c r="X36" i="3479" a="1"/>
  <c r="X36" i="3479"/>
  <c r="W36" i="3479"/>
  <c r="K36" i="3479"/>
  <c r="J36" i="3479" a="1"/>
  <c r="J36" i="3479"/>
  <c r="I36" i="3479" a="1"/>
  <c r="I36" i="3479"/>
  <c r="H36" i="3479"/>
  <c r="F36" i="3479" a="1"/>
  <c r="F36" i="3479"/>
  <c r="E36" i="3479"/>
  <c r="EP35" i="3479"/>
  <c r="EO35" i="3479" a="1"/>
  <c r="EO35" i="3479"/>
  <c r="EN35" i="3479" a="1"/>
  <c r="EN35" i="3479"/>
  <c r="EM35" i="3479"/>
  <c r="EA35" i="3479"/>
  <c r="DZ35" i="3479" a="1"/>
  <c r="DZ35" i="3479"/>
  <c r="DY35" i="3479" a="1"/>
  <c r="DY35" i="3479"/>
  <c r="DX35" i="3479"/>
  <c r="DL35" i="3479"/>
  <c r="DK35" i="3479" a="1"/>
  <c r="DK35" i="3479"/>
  <c r="DJ35" i="3479" a="1"/>
  <c r="DJ35" i="3479"/>
  <c r="DI35" i="3479"/>
  <c r="CW35" i="3479"/>
  <c r="CV35" i="3479" a="1"/>
  <c r="CV35" i="3479"/>
  <c r="CU35" i="3479" a="1"/>
  <c r="CU35" i="3479"/>
  <c r="CT35" i="3479"/>
  <c r="CH35" i="3479"/>
  <c r="CG35" i="3479" a="1"/>
  <c r="CG35" i="3479"/>
  <c r="CF35" i="3479" a="1"/>
  <c r="CF35" i="3479"/>
  <c r="CE35" i="3479"/>
  <c r="BS35" i="3479"/>
  <c r="BR35" i="3479" a="1"/>
  <c r="BR35" i="3479"/>
  <c r="BQ35" i="3479" a="1"/>
  <c r="BQ35" i="3479"/>
  <c r="BP35" i="3479"/>
  <c r="BD35" i="3479"/>
  <c r="BC35" i="3479" a="1"/>
  <c r="BC35" i="3479"/>
  <c r="BB35" i="3479" a="1"/>
  <c r="BB35" i="3479"/>
  <c r="BA35" i="3479"/>
  <c r="AO35" i="3479"/>
  <c r="AN35" i="3479" a="1"/>
  <c r="AN35" i="3479"/>
  <c r="AM35" i="3479" a="1"/>
  <c r="AM35" i="3479"/>
  <c r="AL35" i="3479"/>
  <c r="Z35" i="3479"/>
  <c r="Y35" i="3479" a="1"/>
  <c r="Y35" i="3479"/>
  <c r="X35" i="3479" a="1"/>
  <c r="X35" i="3479"/>
  <c r="W35" i="3479"/>
  <c r="K35" i="3479"/>
  <c r="J35" i="3479" a="1"/>
  <c r="J35" i="3479"/>
  <c r="I35" i="3479" a="1"/>
  <c r="I35" i="3479"/>
  <c r="H35" i="3479"/>
  <c r="F35" i="3479" a="1"/>
  <c r="F35" i="3479"/>
  <c r="E35" i="3479"/>
  <c r="EP34" i="3479"/>
  <c r="EO34" i="3479" a="1"/>
  <c r="EO34" i="3479"/>
  <c r="EN34" i="3479" a="1"/>
  <c r="EN34" i="3479"/>
  <c r="EM34" i="3479"/>
  <c r="EA34" i="3479"/>
  <c r="DZ34" i="3479" a="1"/>
  <c r="DZ34" i="3479"/>
  <c r="DY34" i="3479" a="1"/>
  <c r="DY34" i="3479"/>
  <c r="DX34" i="3479"/>
  <c r="DL34" i="3479"/>
  <c r="DK34" i="3479" a="1"/>
  <c r="DK34" i="3479"/>
  <c r="DJ34" i="3479" a="1"/>
  <c r="DJ34" i="3479"/>
  <c r="DI34" i="3479"/>
  <c r="CW34" i="3479"/>
  <c r="CV34" i="3479" a="1"/>
  <c r="CV34" i="3479"/>
  <c r="CU34" i="3479" a="1"/>
  <c r="CU34" i="3479"/>
  <c r="CT34" i="3479"/>
  <c r="CH34" i="3479"/>
  <c r="CG34" i="3479" a="1"/>
  <c r="CG34" i="3479"/>
  <c r="CF34" i="3479" a="1"/>
  <c r="CF34" i="3479"/>
  <c r="CE34" i="3479"/>
  <c r="BS34" i="3479"/>
  <c r="BR34" i="3479" a="1"/>
  <c r="BR34" i="3479"/>
  <c r="BQ34" i="3479" a="1"/>
  <c r="BQ34" i="3479"/>
  <c r="BP34" i="3479"/>
  <c r="BD34" i="3479"/>
  <c r="BC34" i="3479" a="1"/>
  <c r="BC34" i="3479"/>
  <c r="BB34" i="3479" a="1"/>
  <c r="BB34" i="3479"/>
  <c r="BA34" i="3479"/>
  <c r="AO34" i="3479"/>
  <c r="AN34" i="3479" a="1"/>
  <c r="AN34" i="3479"/>
  <c r="AM34" i="3479" a="1"/>
  <c r="AM34" i="3479"/>
  <c r="AL34" i="3479"/>
  <c r="Z34" i="3479"/>
  <c r="Y34" i="3479" a="1"/>
  <c r="Y34" i="3479"/>
  <c r="X34" i="3479" a="1"/>
  <c r="X34" i="3479"/>
  <c r="W34" i="3479"/>
  <c r="K34" i="3479"/>
  <c r="J34" i="3479" a="1"/>
  <c r="J34" i="3479"/>
  <c r="I34" i="3479" a="1"/>
  <c r="I34" i="3479"/>
  <c r="H34" i="3479"/>
  <c r="F34" i="3479" a="1"/>
  <c r="F34" i="3479"/>
  <c r="E34" i="3479"/>
  <c r="EP33" i="3479"/>
  <c r="EO33" i="3479" a="1"/>
  <c r="EO33" i="3479"/>
  <c r="EN33" i="3479" a="1"/>
  <c r="EN33" i="3479"/>
  <c r="EM33" i="3479"/>
  <c r="EA33" i="3479"/>
  <c r="DZ33" i="3479" a="1"/>
  <c r="DZ33" i="3479"/>
  <c r="DY33" i="3479" a="1"/>
  <c r="DY33" i="3479"/>
  <c r="DX33" i="3479"/>
  <c r="DL33" i="3479"/>
  <c r="DK33" i="3479" a="1"/>
  <c r="DK33" i="3479"/>
  <c r="DJ33" i="3479" a="1"/>
  <c r="DJ33" i="3479"/>
  <c r="DI33" i="3479"/>
  <c r="CW33" i="3479"/>
  <c r="CV33" i="3479" a="1"/>
  <c r="CV33" i="3479"/>
  <c r="CU33" i="3479" a="1"/>
  <c r="CU33" i="3479"/>
  <c r="CT33" i="3479"/>
  <c r="CH33" i="3479"/>
  <c r="CG33" i="3479" a="1"/>
  <c r="CG33" i="3479"/>
  <c r="CF33" i="3479" a="1"/>
  <c r="CF33" i="3479"/>
  <c r="CE33" i="3479"/>
  <c r="BS33" i="3479"/>
  <c r="BR33" i="3479" a="1"/>
  <c r="BR33" i="3479"/>
  <c r="BQ33" i="3479" a="1"/>
  <c r="BQ33" i="3479"/>
  <c r="BP33" i="3479"/>
  <c r="BD33" i="3479"/>
  <c r="BC33" i="3479" a="1"/>
  <c r="BC33" i="3479"/>
  <c r="BB33" i="3479" a="1"/>
  <c r="BB33" i="3479"/>
  <c r="BA33" i="3479"/>
  <c r="AO33" i="3479"/>
  <c r="AN33" i="3479" a="1"/>
  <c r="AN33" i="3479"/>
  <c r="AM33" i="3479" a="1"/>
  <c r="AM33" i="3479"/>
  <c r="AL33" i="3479"/>
  <c r="Z33" i="3479"/>
  <c r="Y33" i="3479" a="1"/>
  <c r="Y33" i="3479"/>
  <c r="X33" i="3479" a="1"/>
  <c r="X33" i="3479"/>
  <c r="W33" i="3479"/>
  <c r="K33" i="3479"/>
  <c r="J33" i="3479" a="1"/>
  <c r="J33" i="3479"/>
  <c r="I33" i="3479" a="1"/>
  <c r="I33" i="3479"/>
  <c r="H33" i="3479"/>
  <c r="F33" i="3479" a="1"/>
  <c r="F33" i="3479"/>
  <c r="E33" i="3479"/>
  <c r="EP32" i="3479"/>
  <c r="EO32" i="3479" a="1"/>
  <c r="EO32" i="3479"/>
  <c r="EN32" i="3479" a="1"/>
  <c r="EN32" i="3479"/>
  <c r="EM32" i="3479"/>
  <c r="EA32" i="3479"/>
  <c r="DZ32" i="3479" a="1"/>
  <c r="DZ32" i="3479"/>
  <c r="DY32" i="3479" a="1"/>
  <c r="DY32" i="3479"/>
  <c r="DX32" i="3479"/>
  <c r="DL32" i="3479"/>
  <c r="DK32" i="3479" a="1"/>
  <c r="DK32" i="3479"/>
  <c r="DJ32" i="3479" a="1"/>
  <c r="DJ32" i="3479"/>
  <c r="DI32" i="3479"/>
  <c r="CW32" i="3479"/>
  <c r="CV32" i="3479" a="1"/>
  <c r="CV32" i="3479"/>
  <c r="CU32" i="3479" a="1"/>
  <c r="CU32" i="3479"/>
  <c r="CT32" i="3479"/>
  <c r="CH32" i="3479"/>
  <c r="CG32" i="3479" a="1"/>
  <c r="CG32" i="3479"/>
  <c r="CF32" i="3479" a="1"/>
  <c r="CF32" i="3479"/>
  <c r="CE32" i="3479"/>
  <c r="BS32" i="3479"/>
  <c r="BR32" i="3479" a="1"/>
  <c r="BR32" i="3479"/>
  <c r="BQ32" i="3479" a="1"/>
  <c r="BQ32" i="3479"/>
  <c r="BP32" i="3479"/>
  <c r="BD32" i="3479"/>
  <c r="BC32" i="3479" a="1"/>
  <c r="BC32" i="3479"/>
  <c r="BB32" i="3479" a="1"/>
  <c r="BB32" i="3479"/>
  <c r="BA32" i="3479"/>
  <c r="AO32" i="3479"/>
  <c r="AN32" i="3479" a="1"/>
  <c r="AN32" i="3479"/>
  <c r="AM32" i="3479" a="1"/>
  <c r="AM32" i="3479"/>
  <c r="AL32" i="3479"/>
  <c r="Z32" i="3479"/>
  <c r="Y32" i="3479" a="1"/>
  <c r="Y32" i="3479"/>
  <c r="X32" i="3479" a="1"/>
  <c r="X32" i="3479"/>
  <c r="W32" i="3479"/>
  <c r="K32" i="3479"/>
  <c r="J32" i="3479" a="1"/>
  <c r="J32" i="3479"/>
  <c r="I32" i="3479" a="1"/>
  <c r="I32" i="3479"/>
  <c r="H32" i="3479"/>
  <c r="F32" i="3479" a="1"/>
  <c r="F32" i="3479"/>
  <c r="E32" i="3479"/>
  <c r="EP31" i="3479"/>
  <c r="EO31" i="3479" a="1"/>
  <c r="EO31" i="3479"/>
  <c r="EN31" i="3479" a="1"/>
  <c r="EN31" i="3479"/>
  <c r="EM31" i="3479"/>
  <c r="EA31" i="3479"/>
  <c r="DZ31" i="3479" a="1"/>
  <c r="DZ31" i="3479"/>
  <c r="DY31" i="3479" a="1"/>
  <c r="DY31" i="3479"/>
  <c r="DX31" i="3479"/>
  <c r="DL31" i="3479"/>
  <c r="DK31" i="3479" a="1"/>
  <c r="DK31" i="3479"/>
  <c r="DJ31" i="3479" a="1"/>
  <c r="DJ31" i="3479"/>
  <c r="DI31" i="3479"/>
  <c r="CW31" i="3479"/>
  <c r="CV31" i="3479" a="1"/>
  <c r="CV31" i="3479"/>
  <c r="CU31" i="3479" a="1"/>
  <c r="CU31" i="3479"/>
  <c r="CT31" i="3479"/>
  <c r="CH31" i="3479"/>
  <c r="CG31" i="3479" a="1"/>
  <c r="CG31" i="3479"/>
  <c r="CF31" i="3479" a="1"/>
  <c r="CF31" i="3479"/>
  <c r="CE31" i="3479"/>
  <c r="BS31" i="3479"/>
  <c r="BR31" i="3479" a="1"/>
  <c r="BR31" i="3479"/>
  <c r="BQ31" i="3479" a="1"/>
  <c r="BQ31" i="3479"/>
  <c r="BP31" i="3479"/>
  <c r="BD31" i="3479"/>
  <c r="BC31" i="3479" a="1"/>
  <c r="BC31" i="3479"/>
  <c r="BB31" i="3479" a="1"/>
  <c r="BB31" i="3479"/>
  <c r="BA31" i="3479"/>
  <c r="AO31" i="3479"/>
  <c r="AN31" i="3479" a="1"/>
  <c r="AN31" i="3479"/>
  <c r="AM31" i="3479" a="1"/>
  <c r="AM31" i="3479"/>
  <c r="AL31" i="3479"/>
  <c r="Z31" i="3479"/>
  <c r="Y31" i="3479" a="1"/>
  <c r="Y31" i="3479"/>
  <c r="X31" i="3479" a="1"/>
  <c r="X31" i="3479"/>
  <c r="W31" i="3479"/>
  <c r="K31" i="3479"/>
  <c r="J31" i="3479" a="1"/>
  <c r="J31" i="3479"/>
  <c r="I31" i="3479" a="1"/>
  <c r="I31" i="3479"/>
  <c r="H31" i="3479"/>
  <c r="F31" i="3479" a="1"/>
  <c r="F31" i="3479"/>
  <c r="E31" i="3479"/>
  <c r="EP30" i="3479"/>
  <c r="EO30" i="3479" a="1"/>
  <c r="EO30" i="3479"/>
  <c r="EN30" i="3479" a="1"/>
  <c r="EN30" i="3479"/>
  <c r="EM30" i="3479"/>
  <c r="EA30" i="3479"/>
  <c r="DZ30" i="3479" a="1"/>
  <c r="DZ30" i="3479"/>
  <c r="DY30" i="3479" a="1"/>
  <c r="DY30" i="3479"/>
  <c r="DX30" i="3479"/>
  <c r="DL30" i="3479"/>
  <c r="DK30" i="3479" a="1"/>
  <c r="DK30" i="3479"/>
  <c r="DJ30" i="3479" a="1"/>
  <c r="DJ30" i="3479"/>
  <c r="DI30" i="3479"/>
  <c r="CW30" i="3479"/>
  <c r="CV30" i="3479" a="1"/>
  <c r="CV30" i="3479"/>
  <c r="CU30" i="3479" a="1"/>
  <c r="CU30" i="3479"/>
  <c r="CT30" i="3479"/>
  <c r="CH30" i="3479"/>
  <c r="CG30" i="3479" a="1"/>
  <c r="CG30" i="3479"/>
  <c r="CF30" i="3479" a="1"/>
  <c r="CF30" i="3479"/>
  <c r="CE30" i="3479"/>
  <c r="BS30" i="3479"/>
  <c r="BR30" i="3479" a="1"/>
  <c r="BR30" i="3479"/>
  <c r="BQ30" i="3479" a="1"/>
  <c r="BQ30" i="3479"/>
  <c r="BP30" i="3479"/>
  <c r="BD30" i="3479"/>
  <c r="BC30" i="3479" a="1"/>
  <c r="BC30" i="3479"/>
  <c r="BB30" i="3479" a="1"/>
  <c r="BB30" i="3479"/>
  <c r="BA30" i="3479"/>
  <c r="AO30" i="3479"/>
  <c r="AN30" i="3479" a="1"/>
  <c r="AN30" i="3479"/>
  <c r="AM30" i="3479" a="1"/>
  <c r="AM30" i="3479"/>
  <c r="AL30" i="3479"/>
  <c r="Z30" i="3479"/>
  <c r="Y30" i="3479" a="1"/>
  <c r="Y30" i="3479"/>
  <c r="X30" i="3479" a="1"/>
  <c r="X30" i="3479"/>
  <c r="W30" i="3479"/>
  <c r="K30" i="3479"/>
  <c r="J30" i="3479" a="1"/>
  <c r="J30" i="3479"/>
  <c r="I30" i="3479" a="1"/>
  <c r="I30" i="3479"/>
  <c r="H30" i="3479"/>
  <c r="F30" i="3479" a="1"/>
  <c r="F30" i="3479"/>
  <c r="E30" i="3479"/>
  <c r="EP29" i="3479"/>
  <c r="EO29" i="3479" a="1"/>
  <c r="EO29" i="3479"/>
  <c r="EN29" i="3479" a="1"/>
  <c r="EN29" i="3479"/>
  <c r="EM29" i="3479"/>
  <c r="EA29" i="3479"/>
  <c r="DZ29" i="3479" a="1"/>
  <c r="DZ29" i="3479"/>
  <c r="DY29" i="3479" a="1"/>
  <c r="DY29" i="3479"/>
  <c r="DX29" i="3479"/>
  <c r="DL29" i="3479"/>
  <c r="DK29" i="3479" a="1"/>
  <c r="DK29" i="3479"/>
  <c r="DJ29" i="3479" a="1"/>
  <c r="DJ29" i="3479"/>
  <c r="DI29" i="3479"/>
  <c r="CW29" i="3479"/>
  <c r="CV29" i="3479" a="1"/>
  <c r="CV29" i="3479"/>
  <c r="CU29" i="3479" a="1"/>
  <c r="CU29" i="3479"/>
  <c r="CT29" i="3479"/>
  <c r="CH29" i="3479"/>
  <c r="CG29" i="3479" a="1"/>
  <c r="CG29" i="3479"/>
  <c r="CF29" i="3479" a="1"/>
  <c r="CF29" i="3479"/>
  <c r="CE29" i="3479"/>
  <c r="BS29" i="3479"/>
  <c r="BR29" i="3479" a="1"/>
  <c r="BR29" i="3479"/>
  <c r="BQ29" i="3479" a="1"/>
  <c r="BQ29" i="3479"/>
  <c r="BP29" i="3479"/>
  <c r="BD29" i="3479"/>
  <c r="BC29" i="3479" a="1"/>
  <c r="BC29" i="3479"/>
  <c r="BB29" i="3479" a="1"/>
  <c r="BB29" i="3479"/>
  <c r="BA29" i="3479"/>
  <c r="AO29" i="3479"/>
  <c r="AN29" i="3479" a="1"/>
  <c r="AN29" i="3479"/>
  <c r="AM29" i="3479" a="1"/>
  <c r="AM29" i="3479"/>
  <c r="AL29" i="3479"/>
  <c r="Z29" i="3479"/>
  <c r="Y29" i="3479" a="1"/>
  <c r="Y29" i="3479"/>
  <c r="X29" i="3479" a="1"/>
  <c r="X29" i="3479"/>
  <c r="W29" i="3479"/>
  <c r="K29" i="3479"/>
  <c r="J29" i="3479" a="1"/>
  <c r="J29" i="3479"/>
  <c r="I29" i="3479" a="1"/>
  <c r="I29" i="3479"/>
  <c r="H29" i="3479"/>
  <c r="F29" i="3479" a="1"/>
  <c r="F29" i="3479"/>
  <c r="E29" i="3479"/>
  <c r="EP28" i="3479"/>
  <c r="EO28" i="3479" a="1"/>
  <c r="EO28" i="3479"/>
  <c r="EN28" i="3479" a="1"/>
  <c r="EN28" i="3479"/>
  <c r="EM28" i="3479"/>
  <c r="EA28" i="3479"/>
  <c r="DZ28" i="3479" a="1"/>
  <c r="DZ28" i="3479"/>
  <c r="DY28" i="3479" a="1"/>
  <c r="DY28" i="3479"/>
  <c r="DX28" i="3479"/>
  <c r="DL28" i="3479"/>
  <c r="DK28" i="3479" a="1"/>
  <c r="DK28" i="3479"/>
  <c r="DJ28" i="3479" a="1"/>
  <c r="DJ28" i="3479"/>
  <c r="DI28" i="3479"/>
  <c r="CW28" i="3479"/>
  <c r="CV28" i="3479" a="1"/>
  <c r="CV28" i="3479"/>
  <c r="CU28" i="3479" a="1"/>
  <c r="CU28" i="3479"/>
  <c r="CT28" i="3479"/>
  <c r="CH28" i="3479"/>
  <c r="CG28" i="3479" a="1"/>
  <c r="CG28" i="3479"/>
  <c r="CF28" i="3479" a="1"/>
  <c r="CF28" i="3479"/>
  <c r="CE28" i="3479"/>
  <c r="BS28" i="3479"/>
  <c r="BR28" i="3479" a="1"/>
  <c r="BR28" i="3479"/>
  <c r="BQ28" i="3479" a="1"/>
  <c r="BQ28" i="3479"/>
  <c r="BP28" i="3479"/>
  <c r="BD28" i="3479"/>
  <c r="BC28" i="3479" a="1"/>
  <c r="BC28" i="3479"/>
  <c r="BB28" i="3479" a="1"/>
  <c r="BB28" i="3479"/>
  <c r="BA28" i="3479"/>
  <c r="AO28" i="3479"/>
  <c r="AN28" i="3479" a="1"/>
  <c r="AN28" i="3479"/>
  <c r="AM28" i="3479" a="1"/>
  <c r="AM28" i="3479"/>
  <c r="AL28" i="3479"/>
  <c r="Z28" i="3479"/>
  <c r="Y28" i="3479" a="1"/>
  <c r="Y28" i="3479"/>
  <c r="X28" i="3479" a="1"/>
  <c r="X28" i="3479"/>
  <c r="W28" i="3479"/>
  <c r="K28" i="3479"/>
  <c r="J28" i="3479" a="1"/>
  <c r="J28" i="3479"/>
  <c r="I28" i="3479" a="1"/>
  <c r="I28" i="3479"/>
  <c r="H28" i="3479"/>
  <c r="F28" i="3479" a="1"/>
  <c r="F28" i="3479"/>
  <c r="E28" i="3479"/>
  <c r="EP27" i="3479"/>
  <c r="EO27" i="3479" a="1"/>
  <c r="EO27" i="3479"/>
  <c r="EN27" i="3479" a="1"/>
  <c r="EN27" i="3479"/>
  <c r="EM27" i="3479"/>
  <c r="EA27" i="3479"/>
  <c r="DZ27" i="3479" a="1"/>
  <c r="DZ27" i="3479"/>
  <c r="DY27" i="3479" a="1"/>
  <c r="DY27" i="3479"/>
  <c r="DX27" i="3479"/>
  <c r="DL27" i="3479"/>
  <c r="DK27" i="3479" a="1"/>
  <c r="DK27" i="3479"/>
  <c r="DJ27" i="3479" a="1"/>
  <c r="DJ27" i="3479"/>
  <c r="DI27" i="3479"/>
  <c r="CW27" i="3479"/>
  <c r="CV27" i="3479" a="1"/>
  <c r="CV27" i="3479"/>
  <c r="CU27" i="3479" a="1"/>
  <c r="CU27" i="3479"/>
  <c r="CT27" i="3479"/>
  <c r="CH27" i="3479"/>
  <c r="CG27" i="3479" a="1"/>
  <c r="CG27" i="3479"/>
  <c r="CF27" i="3479" a="1"/>
  <c r="CF27" i="3479"/>
  <c r="CE27" i="3479"/>
  <c r="BS27" i="3479"/>
  <c r="BR27" i="3479" a="1"/>
  <c r="BR27" i="3479"/>
  <c r="BQ27" i="3479" a="1"/>
  <c r="BQ27" i="3479"/>
  <c r="BP27" i="3479"/>
  <c r="BD27" i="3479"/>
  <c r="BC27" i="3479" a="1"/>
  <c r="BC27" i="3479"/>
  <c r="BB27" i="3479" a="1"/>
  <c r="BB27" i="3479"/>
  <c r="BA27" i="3479"/>
  <c r="AO27" i="3479"/>
  <c r="AN27" i="3479" a="1"/>
  <c r="AN27" i="3479"/>
  <c r="AM27" i="3479" a="1"/>
  <c r="AM27" i="3479"/>
  <c r="AL27" i="3479"/>
  <c r="Z27" i="3479"/>
  <c r="Y27" i="3479" a="1"/>
  <c r="Y27" i="3479"/>
  <c r="X27" i="3479" a="1"/>
  <c r="X27" i="3479"/>
  <c r="W27" i="3479"/>
  <c r="K27" i="3479"/>
  <c r="J27" i="3479" a="1"/>
  <c r="J27" i="3479"/>
  <c r="I27" i="3479" a="1"/>
  <c r="I27" i="3479"/>
  <c r="H27" i="3479"/>
  <c r="F27" i="3479" a="1"/>
  <c r="F27" i="3479"/>
  <c r="E27" i="3479"/>
  <c r="EP26" i="3479"/>
  <c r="EO26" i="3479" a="1"/>
  <c r="EO26" i="3479"/>
  <c r="EN26" i="3479" a="1"/>
  <c r="EN26" i="3479"/>
  <c r="EM26" i="3479"/>
  <c r="EA26" i="3479"/>
  <c r="DZ26" i="3479" a="1"/>
  <c r="DZ26" i="3479"/>
  <c r="DY26" i="3479" a="1"/>
  <c r="DY26" i="3479"/>
  <c r="DX26" i="3479"/>
  <c r="DL26" i="3479"/>
  <c r="DK26" i="3479" a="1"/>
  <c r="DK26" i="3479"/>
  <c r="DJ26" i="3479" a="1"/>
  <c r="DJ26" i="3479"/>
  <c r="DI26" i="3479"/>
  <c r="CW26" i="3479"/>
  <c r="CV26" i="3479" a="1"/>
  <c r="CV26" i="3479"/>
  <c r="CU26" i="3479" a="1"/>
  <c r="CU26" i="3479"/>
  <c r="CT26" i="3479"/>
  <c r="CH26" i="3479"/>
  <c r="CG26" i="3479" a="1"/>
  <c r="CG26" i="3479"/>
  <c r="CF26" i="3479" a="1"/>
  <c r="CF26" i="3479"/>
  <c r="CE26" i="3479"/>
  <c r="BS26" i="3479"/>
  <c r="BR26" i="3479" a="1"/>
  <c r="BR26" i="3479"/>
  <c r="BQ26" i="3479" a="1"/>
  <c r="BQ26" i="3479"/>
  <c r="BP26" i="3479"/>
  <c r="BD26" i="3479"/>
  <c r="BC26" i="3479" a="1"/>
  <c r="BC26" i="3479"/>
  <c r="BB26" i="3479" a="1"/>
  <c r="BB26" i="3479"/>
  <c r="BA26" i="3479"/>
  <c r="AO26" i="3479"/>
  <c r="AN26" i="3479" a="1"/>
  <c r="AN26" i="3479"/>
  <c r="AM26" i="3479" a="1"/>
  <c r="AM26" i="3479"/>
  <c r="AL26" i="3479"/>
  <c r="Z26" i="3479"/>
  <c r="Y26" i="3479" a="1"/>
  <c r="Y26" i="3479"/>
  <c r="X26" i="3479" a="1"/>
  <c r="X26" i="3479"/>
  <c r="W26" i="3479"/>
  <c r="K26" i="3479"/>
  <c r="J26" i="3479" a="1"/>
  <c r="J26" i="3479"/>
  <c r="I26" i="3479" a="1"/>
  <c r="I26" i="3479"/>
  <c r="H26" i="3479"/>
  <c r="F26" i="3479" a="1"/>
  <c r="F26" i="3479"/>
  <c r="E26" i="3479"/>
  <c r="EP25" i="3479"/>
  <c r="EO25" i="3479" a="1"/>
  <c r="EO25" i="3479"/>
  <c r="EN25" i="3479" a="1"/>
  <c r="EN25" i="3479"/>
  <c r="EM25" i="3479"/>
  <c r="EA25" i="3479"/>
  <c r="DZ25" i="3479" a="1"/>
  <c r="DZ25" i="3479"/>
  <c r="DY25" i="3479" a="1"/>
  <c r="DY25" i="3479"/>
  <c r="DX25" i="3479"/>
  <c r="DL25" i="3479"/>
  <c r="DK25" i="3479" a="1"/>
  <c r="DK25" i="3479"/>
  <c r="DJ25" i="3479" a="1"/>
  <c r="DJ25" i="3479"/>
  <c r="DI25" i="3479"/>
  <c r="CW25" i="3479"/>
  <c r="CV25" i="3479" a="1"/>
  <c r="CV25" i="3479"/>
  <c r="CU25" i="3479" a="1"/>
  <c r="CU25" i="3479"/>
  <c r="CT25" i="3479"/>
  <c r="CH25" i="3479"/>
  <c r="CG25" i="3479" a="1"/>
  <c r="CG25" i="3479"/>
  <c r="CF25" i="3479" a="1"/>
  <c r="CF25" i="3479"/>
  <c r="CE25" i="3479"/>
  <c r="BS25" i="3479"/>
  <c r="BR25" i="3479" a="1"/>
  <c r="BR25" i="3479"/>
  <c r="BQ25" i="3479" a="1"/>
  <c r="BQ25" i="3479"/>
  <c r="BP25" i="3479"/>
  <c r="BD25" i="3479"/>
  <c r="BC25" i="3479" a="1"/>
  <c r="BC25" i="3479"/>
  <c r="BB25" i="3479" a="1"/>
  <c r="BB25" i="3479"/>
  <c r="BA25" i="3479"/>
  <c r="AO25" i="3479"/>
  <c r="AN25" i="3479" a="1"/>
  <c r="AN25" i="3479"/>
  <c r="AM25" i="3479" a="1"/>
  <c r="AM25" i="3479"/>
  <c r="AL25" i="3479"/>
  <c r="Z25" i="3479"/>
  <c r="Y25" i="3479" a="1"/>
  <c r="Y25" i="3479"/>
  <c r="X25" i="3479" a="1"/>
  <c r="X25" i="3479"/>
  <c r="W25" i="3479"/>
  <c r="K25" i="3479"/>
  <c r="J25" i="3479" a="1"/>
  <c r="J25" i="3479"/>
  <c r="I25" i="3479" a="1"/>
  <c r="I25" i="3479"/>
  <c r="H25" i="3479"/>
  <c r="F25" i="3479" a="1"/>
  <c r="F25" i="3479"/>
  <c r="E25" i="3479"/>
  <c r="EP24" i="3479"/>
  <c r="EO24" i="3479" a="1"/>
  <c r="EO24" i="3479"/>
  <c r="EN24" i="3479" a="1"/>
  <c r="EN24" i="3479"/>
  <c r="EM24" i="3479"/>
  <c r="EA24" i="3479"/>
  <c r="DZ24" i="3479" a="1"/>
  <c r="DZ24" i="3479"/>
  <c r="DY24" i="3479" a="1"/>
  <c r="DY24" i="3479"/>
  <c r="DX24" i="3479"/>
  <c r="DL24" i="3479"/>
  <c r="DK24" i="3479" a="1"/>
  <c r="DK24" i="3479"/>
  <c r="DJ24" i="3479" a="1"/>
  <c r="DJ24" i="3479"/>
  <c r="DI24" i="3479"/>
  <c r="CW24" i="3479"/>
  <c r="CV24" i="3479" a="1"/>
  <c r="CV24" i="3479"/>
  <c r="CU24" i="3479" a="1"/>
  <c r="CU24" i="3479"/>
  <c r="CT24" i="3479"/>
  <c r="CH24" i="3479"/>
  <c r="CG24" i="3479" a="1"/>
  <c r="CG24" i="3479"/>
  <c r="CF24" i="3479" a="1"/>
  <c r="CF24" i="3479"/>
  <c r="CE24" i="3479"/>
  <c r="BS24" i="3479"/>
  <c r="BR24" i="3479" a="1"/>
  <c r="BR24" i="3479"/>
  <c r="BQ24" i="3479" a="1"/>
  <c r="BQ24" i="3479"/>
  <c r="BP24" i="3479"/>
  <c r="BD24" i="3479"/>
  <c r="BC24" i="3479" a="1"/>
  <c r="BC24" i="3479"/>
  <c r="BB24" i="3479" a="1"/>
  <c r="BB24" i="3479"/>
  <c r="BA24" i="3479"/>
  <c r="AO24" i="3479"/>
  <c r="AN24" i="3479" a="1"/>
  <c r="AN24" i="3479"/>
  <c r="AM24" i="3479" a="1"/>
  <c r="AM24" i="3479"/>
  <c r="AL24" i="3479"/>
  <c r="Z24" i="3479"/>
  <c r="Y24" i="3479" a="1"/>
  <c r="Y24" i="3479"/>
  <c r="X24" i="3479" a="1"/>
  <c r="X24" i="3479"/>
  <c r="W24" i="3479"/>
  <c r="K24" i="3479"/>
  <c r="J24" i="3479" a="1"/>
  <c r="J24" i="3479"/>
  <c r="I24" i="3479" a="1"/>
  <c r="I24" i="3479"/>
  <c r="H24" i="3479"/>
  <c r="F24" i="3479" a="1"/>
  <c r="F24" i="3479"/>
  <c r="E24" i="3479"/>
  <c r="EP23" i="3479"/>
  <c r="EO23" i="3479" a="1"/>
  <c r="EO23" i="3479"/>
  <c r="EN23" i="3479" a="1"/>
  <c r="EN23" i="3479"/>
  <c r="EM23" i="3479"/>
  <c r="EA23" i="3479"/>
  <c r="DZ23" i="3479" a="1"/>
  <c r="DZ23" i="3479"/>
  <c r="DY23" i="3479" a="1"/>
  <c r="DY23" i="3479"/>
  <c r="DX23" i="3479"/>
  <c r="DL23" i="3479"/>
  <c r="DK23" i="3479" a="1"/>
  <c r="DK23" i="3479"/>
  <c r="DJ23" i="3479" a="1"/>
  <c r="DJ23" i="3479"/>
  <c r="DI23" i="3479"/>
  <c r="CW23" i="3479"/>
  <c r="CV23" i="3479" a="1"/>
  <c r="CV23" i="3479"/>
  <c r="CU23" i="3479" a="1"/>
  <c r="CU23" i="3479"/>
  <c r="CT23" i="3479"/>
  <c r="CH23" i="3479"/>
  <c r="CG23" i="3479" a="1"/>
  <c r="CG23" i="3479"/>
  <c r="CF23" i="3479" a="1"/>
  <c r="CF23" i="3479"/>
  <c r="CE23" i="3479"/>
  <c r="BS23" i="3479"/>
  <c r="BR23" i="3479" a="1"/>
  <c r="BR23" i="3479"/>
  <c r="BQ23" i="3479" a="1"/>
  <c r="BQ23" i="3479"/>
  <c r="BP23" i="3479"/>
  <c r="BD23" i="3479"/>
  <c r="BC23" i="3479" a="1"/>
  <c r="BC23" i="3479"/>
  <c r="BB23" i="3479" a="1"/>
  <c r="BB23" i="3479"/>
  <c r="BA23" i="3479"/>
  <c r="AO23" i="3479"/>
  <c r="AN23" i="3479" a="1"/>
  <c r="AN23" i="3479"/>
  <c r="AM23" i="3479" a="1"/>
  <c r="AM23" i="3479"/>
  <c r="AL23" i="3479"/>
  <c r="Z23" i="3479"/>
  <c r="Y23" i="3479" a="1"/>
  <c r="Y23" i="3479"/>
  <c r="X23" i="3479" a="1"/>
  <c r="X23" i="3479"/>
  <c r="W23" i="3479"/>
  <c r="K23" i="3479"/>
  <c r="J23" i="3479" a="1"/>
  <c r="J23" i="3479"/>
  <c r="I23" i="3479" a="1"/>
  <c r="I23" i="3479"/>
  <c r="H23" i="3479"/>
  <c r="F23" i="3479" a="1"/>
  <c r="F23" i="3479"/>
  <c r="E23" i="3479"/>
  <c r="EP22" i="3479"/>
  <c r="EO22" i="3479" a="1"/>
  <c r="EO22" i="3479"/>
  <c r="EN22" i="3479" a="1"/>
  <c r="EN22" i="3479"/>
  <c r="EM22" i="3479"/>
  <c r="EA22" i="3479"/>
  <c r="DZ22" i="3479" a="1"/>
  <c r="DZ22" i="3479"/>
  <c r="DY22" i="3479" a="1"/>
  <c r="DY22" i="3479"/>
  <c r="DX22" i="3479"/>
  <c r="DL22" i="3479"/>
  <c r="DK22" i="3479" a="1"/>
  <c r="DK22" i="3479"/>
  <c r="DJ22" i="3479" a="1"/>
  <c r="DJ22" i="3479"/>
  <c r="DI22" i="3479"/>
  <c r="CW22" i="3479"/>
  <c r="CV22" i="3479" a="1"/>
  <c r="CV22" i="3479"/>
  <c r="CU22" i="3479" a="1"/>
  <c r="CU22" i="3479"/>
  <c r="CT22" i="3479"/>
  <c r="CH22" i="3479"/>
  <c r="CG22" i="3479" a="1"/>
  <c r="CG22" i="3479"/>
  <c r="CF22" i="3479" a="1"/>
  <c r="CF22" i="3479"/>
  <c r="CE22" i="3479"/>
  <c r="BS22" i="3479"/>
  <c r="BR22" i="3479" a="1"/>
  <c r="BR22" i="3479"/>
  <c r="BQ22" i="3479" a="1"/>
  <c r="BQ22" i="3479"/>
  <c r="BP22" i="3479"/>
  <c r="BD22" i="3479"/>
  <c r="BC22" i="3479" a="1"/>
  <c r="BC22" i="3479"/>
  <c r="BB22" i="3479" a="1"/>
  <c r="BB22" i="3479"/>
  <c r="BA22" i="3479"/>
  <c r="AO22" i="3479"/>
  <c r="AN22" i="3479" a="1"/>
  <c r="AN22" i="3479"/>
  <c r="AM22" i="3479" a="1"/>
  <c r="AM22" i="3479"/>
  <c r="AL22" i="3479"/>
  <c r="Z22" i="3479"/>
  <c r="Y22" i="3479" a="1"/>
  <c r="Y22" i="3479"/>
  <c r="X22" i="3479" a="1"/>
  <c r="X22" i="3479"/>
  <c r="W22" i="3479"/>
  <c r="K22" i="3479"/>
  <c r="J22" i="3479" a="1"/>
  <c r="J22" i="3479"/>
  <c r="I22" i="3479" a="1"/>
  <c r="I22" i="3479"/>
  <c r="H22" i="3479"/>
  <c r="F22" i="3479" a="1"/>
  <c r="F22" i="3479"/>
  <c r="E22" i="3479"/>
  <c r="EP21" i="3479"/>
  <c r="EO21" i="3479" a="1"/>
  <c r="EO21" i="3479"/>
  <c r="EN21" i="3479" a="1"/>
  <c r="EN21" i="3479"/>
  <c r="EM21" i="3479"/>
  <c r="EA21" i="3479"/>
  <c r="DZ21" i="3479" a="1"/>
  <c r="DZ21" i="3479"/>
  <c r="DY21" i="3479" a="1"/>
  <c r="DY21" i="3479"/>
  <c r="DX21" i="3479"/>
  <c r="DL21" i="3479"/>
  <c r="DK21" i="3479" a="1"/>
  <c r="DK21" i="3479"/>
  <c r="DJ21" i="3479" a="1"/>
  <c r="DJ21" i="3479"/>
  <c r="DI21" i="3479"/>
  <c r="CW21" i="3479"/>
  <c r="CV21" i="3479" a="1"/>
  <c r="CV21" i="3479"/>
  <c r="CU21" i="3479" a="1"/>
  <c r="CU21" i="3479"/>
  <c r="CT21" i="3479"/>
  <c r="CH21" i="3479"/>
  <c r="CG21" i="3479" a="1"/>
  <c r="CG21" i="3479"/>
  <c r="CF21" i="3479" a="1"/>
  <c r="CF21" i="3479"/>
  <c r="CE21" i="3479"/>
  <c r="BS21" i="3479"/>
  <c r="BR21" i="3479" a="1"/>
  <c r="BR21" i="3479"/>
  <c r="BQ21" i="3479" a="1"/>
  <c r="BQ21" i="3479"/>
  <c r="BP21" i="3479"/>
  <c r="BD21" i="3479"/>
  <c r="BC21" i="3479" a="1"/>
  <c r="BC21" i="3479"/>
  <c r="BB21" i="3479" a="1"/>
  <c r="BB21" i="3479"/>
  <c r="BA21" i="3479"/>
  <c r="AO21" i="3479"/>
  <c r="AN21" i="3479" a="1"/>
  <c r="AN21" i="3479"/>
  <c r="AM21" i="3479" a="1"/>
  <c r="AM21" i="3479"/>
  <c r="AL21" i="3479"/>
  <c r="Z21" i="3479"/>
  <c r="Y21" i="3479" a="1"/>
  <c r="Y21" i="3479"/>
  <c r="X21" i="3479" a="1"/>
  <c r="X21" i="3479"/>
  <c r="W21" i="3479"/>
  <c r="K21" i="3479"/>
  <c r="J21" i="3479" a="1"/>
  <c r="J21" i="3479"/>
  <c r="I21" i="3479" a="1"/>
  <c r="I21" i="3479"/>
  <c r="H21" i="3479"/>
  <c r="EM20" i="3479" a="1"/>
  <c r="EM20" i="3479"/>
  <c r="DX20" i="3479" a="1"/>
  <c r="DX20" i="3479"/>
  <c r="DI20" i="3479" a="1"/>
  <c r="DI20" i="3479"/>
  <c r="CT20" i="3479" a="1"/>
  <c r="CT20" i="3479"/>
  <c r="CE20" i="3479" a="1"/>
  <c r="CE20" i="3479"/>
  <c r="BP20" i="3479" a="1"/>
  <c r="BP20" i="3479"/>
  <c r="BA20" i="3479" a="1"/>
  <c r="BA20" i="3479"/>
  <c r="AL20" i="3479" a="1"/>
  <c r="AL20" i="3479"/>
  <c r="W20" i="3479" a="1"/>
  <c r="W20" i="3479"/>
  <c r="H20" i="3479" a="1"/>
  <c r="H20" i="3479"/>
  <c r="EV19" i="3479" a="1"/>
  <c r="EV19" i="3479"/>
  <c r="EM19" i="3479"/>
  <c r="EG19" i="3479" a="1"/>
  <c r="EG19" i="3479"/>
  <c r="DX19" i="3479"/>
  <c r="DR19" i="3479" a="1"/>
  <c r="DR19" i="3479"/>
  <c r="DI19" i="3479"/>
  <c r="DC19" i="3479" a="1"/>
  <c r="DC19" i="3479"/>
  <c r="CT19" i="3479"/>
  <c r="CN19" i="3479" a="1"/>
  <c r="CN19" i="3479"/>
  <c r="CE19" i="3479"/>
  <c r="BY19" i="3479" a="1"/>
  <c r="BY19" i="3479"/>
  <c r="BP19" i="3479"/>
  <c r="BJ19" i="3479" a="1"/>
  <c r="BJ19" i="3479"/>
  <c r="BA19" i="3479"/>
  <c r="AU19" i="3479" a="1"/>
  <c r="AU19" i="3479"/>
  <c r="AL19" i="3479"/>
  <c r="AF19" i="3479" a="1"/>
  <c r="AF19" i="3479"/>
  <c r="W19" i="3479"/>
  <c r="Q19" i="3479" a="1"/>
  <c r="Q19" i="3479"/>
  <c r="E17" i="3479"/>
  <c r="E16" i="3479"/>
  <c r="Q14" i="3479"/>
  <c r="E14" i="3479"/>
  <c r="Q13" i="3479"/>
  <c r="E13" i="3479"/>
  <c r="Q12" i="3479"/>
  <c r="EZ9" i="3479"/>
  <c r="EY9" i="3479"/>
  <c r="EX9" i="3479"/>
  <c r="EW9" i="3479"/>
  <c r="EV9" i="3479"/>
  <c r="EL9" i="3479"/>
  <c r="EK9" i="3479"/>
  <c r="EJ9" i="3479"/>
  <c r="EI9" i="3479"/>
  <c r="EH9" i="3479"/>
  <c r="EG9" i="3479"/>
  <c r="DW9" i="3479"/>
  <c r="DV9" i="3479"/>
  <c r="DU9" i="3479"/>
  <c r="DT9" i="3479"/>
  <c r="DS9" i="3479"/>
  <c r="DR9" i="3479"/>
  <c r="DH9" i="3479"/>
  <c r="DG9" i="3479"/>
  <c r="DF9" i="3479"/>
  <c r="DE9" i="3479"/>
  <c r="DD9" i="3479"/>
  <c r="DC9" i="3479"/>
  <c r="CS9" i="3479"/>
  <c r="CR9" i="3479"/>
  <c r="CQ9" i="3479"/>
  <c r="CP9" i="3479"/>
  <c r="CO9" i="3479"/>
  <c r="CN9" i="3479"/>
  <c r="CD9" i="3479"/>
  <c r="CC9" i="3479"/>
  <c r="CB9" i="3479"/>
  <c r="CA9" i="3479"/>
  <c r="BZ9" i="3479"/>
  <c r="BY9" i="3479"/>
  <c r="BO9" i="3479"/>
  <c r="BN9" i="3479"/>
  <c r="BM9" i="3479"/>
  <c r="BL9" i="3479"/>
  <c r="BK9" i="3479"/>
  <c r="BJ9" i="3479"/>
  <c r="AZ9" i="3479"/>
  <c r="AY9" i="3479"/>
  <c r="AX9" i="3479"/>
  <c r="AW9" i="3479"/>
  <c r="AV9" i="3479"/>
  <c r="AU9" i="3479"/>
  <c r="AK9" i="3479"/>
  <c r="AJ9" i="3479"/>
  <c r="AI9" i="3479"/>
  <c r="AH9" i="3479"/>
  <c r="AG9" i="3479"/>
  <c r="AF9" i="3479"/>
  <c r="B7" i="3479"/>
  <c r="B5" i="3479"/>
  <c r="AF125" i="3523" a="1"/>
  <c r="AF125" i="3523"/>
  <c r="AA125" i="3523" a="1"/>
  <c r="AA125" i="3523"/>
  <c r="V125" i="3523" a="1"/>
  <c r="V125" i="3523"/>
  <c r="Q125" i="3523" a="1"/>
  <c r="Q125" i="3523"/>
  <c r="L125" i="3523" a="1"/>
  <c r="L125" i="3523"/>
  <c r="AF124" i="3523" a="1"/>
  <c r="AF124" i="3523"/>
  <c r="AA124" i="3523" a="1"/>
  <c r="AA124" i="3523"/>
  <c r="V124" i="3523" a="1"/>
  <c r="V124" i="3523"/>
  <c r="Q124" i="3523" a="1"/>
  <c r="Q124" i="3523"/>
  <c r="L124" i="3523" a="1"/>
  <c r="L124" i="3523"/>
  <c r="M77" i="3523"/>
  <c r="L32" i="3523"/>
  <c r="L17" i="3523"/>
  <c r="D15" i="3523"/>
  <c r="D14" i="3523"/>
  <c r="D13" i="3523"/>
  <c r="D12" i="3523"/>
  <c r="L11" i="3523"/>
  <c r="B7" i="3523"/>
  <c r="F89" i="3560" a="1"/>
  <c r="F89" i="3560" s="1"/>
  <c r="F88" i="3560" a="1"/>
  <c r="F88" i="3560" s="1"/>
  <c r="G88" i="3560" s="1" a="1"/>
  <c r="G88" i="3560" s="1"/>
  <c r="F87" i="3560" a="1"/>
  <c r="F87" i="3560" s="1"/>
  <c r="F86" i="3560" a="1"/>
  <c r="F86" i="3560" s="1"/>
  <c r="F85" i="3560" a="1"/>
  <c r="F85" i="3560" s="1"/>
  <c r="F84" i="3560" a="1"/>
  <c r="F84" i="3560" s="1"/>
  <c r="G84" i="3560" s="1" a="1"/>
  <c r="G84" i="3560" s="1"/>
  <c r="F83" i="3560" a="1"/>
  <c r="F83" i="3560" s="1"/>
  <c r="G83" i="3560" s="1" a="1"/>
  <c r="G83" i="3560" s="1"/>
  <c r="F82" i="3560" a="1"/>
  <c r="F82" i="3560" s="1"/>
  <c r="F81" i="3560" a="1"/>
  <c r="F81" i="3560" s="1"/>
  <c r="G81" i="3560" s="1" a="1"/>
  <c r="G81" i="3560" s="1"/>
  <c r="F80" i="3560" a="1"/>
  <c r="F80" i="3560" s="1"/>
  <c r="G80" i="3560" s="1" a="1"/>
  <c r="G80" i="3560" s="1"/>
  <c r="F79" i="3560" a="1"/>
  <c r="F79" i="3560" s="1"/>
  <c r="P78" i="3560"/>
  <c r="O78" i="3560"/>
  <c r="F78" i="3560" a="1"/>
  <c r="F78" i="3560" s="1"/>
  <c r="F77" i="3560" a="1"/>
  <c r="F77" i="3560" s="1"/>
  <c r="F76" i="3560" a="1"/>
  <c r="F76" i="3560" s="1"/>
  <c r="F75" i="3560" a="1"/>
  <c r="F75" i="3560" s="1"/>
  <c r="F74" i="3560" a="1"/>
  <c r="F74" i="3560" s="1"/>
  <c r="M74" i="3560" s="1" a="1"/>
  <c r="M74" i="3560" s="1"/>
  <c r="P73" i="3560"/>
  <c r="O73" i="3560"/>
  <c r="F73" i="3560" a="1"/>
  <c r="F73" i="3560" s="1"/>
  <c r="H73" i="3560" s="1" a="1"/>
  <c r="H73" i="3560" s="1"/>
  <c r="K73" i="3560" s="1"/>
  <c r="F72" i="3560" a="1"/>
  <c r="F72" i="3560" s="1"/>
  <c r="F71" i="3560" a="1"/>
  <c r="F71" i="3560" s="1"/>
  <c r="F70" i="3560" a="1"/>
  <c r="F70" i="3560" s="1"/>
  <c r="F69" i="3560" a="1"/>
  <c r="F69" i="3560" s="1"/>
  <c r="M69" i="3560" s="1" a="1"/>
  <c r="M69" i="3560" s="1"/>
  <c r="F68" i="3560" a="1"/>
  <c r="F68" i="3560" s="1"/>
  <c r="G68" i="3560" s="1" a="1"/>
  <c r="G68" i="3560" s="1"/>
  <c r="F67" i="3560" a="1"/>
  <c r="F67" i="3560" s="1"/>
  <c r="G67" i="3560" s="1" a="1"/>
  <c r="G67" i="3560" s="1"/>
  <c r="F66" i="3560" a="1"/>
  <c r="F66" i="3560" s="1"/>
  <c r="F65" i="3560" a="1"/>
  <c r="F65" i="3560" s="1"/>
  <c r="F64" i="3560" a="1"/>
  <c r="F64" i="3560" s="1"/>
  <c r="F63" i="3560" a="1"/>
  <c r="F63" i="3560" s="1"/>
  <c r="F62" i="3560" a="1"/>
  <c r="F62" i="3560" s="1"/>
  <c r="F61" i="3560" a="1"/>
  <c r="F61" i="3560" s="1"/>
  <c r="G61" i="3560" s="1" a="1"/>
  <c r="G61" i="3560" s="1"/>
  <c r="F60" i="3560" a="1"/>
  <c r="F60" i="3560" s="1"/>
  <c r="H60" i="3560" s="1" a="1"/>
  <c r="H60" i="3560" s="1"/>
  <c r="I60" i="3560" s="1"/>
  <c r="F59" i="3560" a="1"/>
  <c r="F59" i="3560" s="1"/>
  <c r="F58" i="3560" a="1"/>
  <c r="F58" i="3560" s="1"/>
  <c r="F57" i="3560" a="1"/>
  <c r="F57" i="3560" s="1"/>
  <c r="M57" i="3560" s="1" a="1"/>
  <c r="M57" i="3560" s="1"/>
  <c r="F56" i="3560" a="1"/>
  <c r="F56" i="3560" s="1"/>
  <c r="F55" i="3560" a="1"/>
  <c r="F55" i="3560" s="1"/>
  <c r="F54" i="3560" a="1"/>
  <c r="F54" i="3560" s="1"/>
  <c r="G54" i="3560" s="1" a="1"/>
  <c r="G54" i="3560" s="1"/>
  <c r="F53" i="3560" a="1"/>
  <c r="F53" i="3560" s="1"/>
  <c r="M53" i="3560" s="1" a="1"/>
  <c r="M53" i="3560" s="1"/>
  <c r="F52" i="3560" a="1"/>
  <c r="F52" i="3560" s="1"/>
  <c r="F51" i="3560" a="1"/>
  <c r="F51" i="3560" s="1"/>
  <c r="F50" i="3560" a="1"/>
  <c r="F50" i="3560" s="1"/>
  <c r="M50" i="3560" s="1" a="1"/>
  <c r="M50" i="3560" s="1"/>
  <c r="F49" i="3560" a="1"/>
  <c r="F49" i="3560" s="1"/>
  <c r="M49" i="3560" s="1" a="1"/>
  <c r="M49" i="3560" s="1"/>
  <c r="P48" i="3560"/>
  <c r="O48" i="3560"/>
  <c r="F48" i="3560" a="1"/>
  <c r="F48" i="3560" s="1"/>
  <c r="H48" i="3560" s="1" a="1"/>
  <c r="H48" i="3560" s="1"/>
  <c r="J48" i="3560" s="1"/>
  <c r="F47" i="3560" a="1"/>
  <c r="F47" i="3560" s="1"/>
  <c r="F46" i="3560" a="1"/>
  <c r="F46" i="3560" s="1"/>
  <c r="F45" i="3560" a="1"/>
  <c r="F45" i="3560" s="1"/>
  <c r="G45" i="3560" s="1" a="1"/>
  <c r="G45" i="3560" s="1"/>
  <c r="D45" i="3560" s="1"/>
  <c r="F44" i="3560" a="1"/>
  <c r="F44" i="3560" s="1"/>
  <c r="H44" i="3560" s="1" a="1"/>
  <c r="H44" i="3560" s="1"/>
  <c r="F43" i="3560" a="1"/>
  <c r="F43" i="3560" s="1"/>
  <c r="M43" i="3560" s="1" a="1"/>
  <c r="M43" i="3560" s="1"/>
  <c r="F42" i="3560" a="1"/>
  <c r="F42" i="3560" s="1"/>
  <c r="F41" i="3560" a="1"/>
  <c r="F41" i="3560" s="1"/>
  <c r="M41" i="3560" s="1" a="1"/>
  <c r="M41" i="3560" s="1"/>
  <c r="P40" i="3560"/>
  <c r="O40" i="3560"/>
  <c r="F40" i="3560" a="1"/>
  <c r="F40" i="3560" s="1"/>
  <c r="F39" i="3560" a="1"/>
  <c r="F39" i="3560" s="1"/>
  <c r="G39" i="3560" s="1" a="1"/>
  <c r="G39" i="3560" s="1"/>
  <c r="F38" i="3560" a="1"/>
  <c r="F38" i="3560" s="1"/>
  <c r="F37" i="3560" a="1"/>
  <c r="F37" i="3560" s="1"/>
  <c r="F36" i="3560" a="1"/>
  <c r="F36" i="3560" s="1"/>
  <c r="H36" i="3560" s="1" a="1"/>
  <c r="H36" i="3560" s="1"/>
  <c r="F35" i="3560" a="1"/>
  <c r="F35" i="3560" s="1"/>
  <c r="G35" i="3560" s="1" a="1"/>
  <c r="G35" i="3560" s="1"/>
  <c r="F34" i="3560" a="1"/>
  <c r="F34" i="3560" s="1"/>
  <c r="M34" i="3560" s="1" a="1"/>
  <c r="M34" i="3560" s="1"/>
  <c r="F33" i="3560" a="1"/>
  <c r="F33" i="3560" s="1"/>
  <c r="M33" i="3560" s="1" a="1"/>
  <c r="M33" i="3560" s="1"/>
  <c r="F32" i="3560" a="1"/>
  <c r="F32" i="3560" s="1"/>
  <c r="F31" i="3560" a="1"/>
  <c r="F31" i="3560" s="1"/>
  <c r="F30" i="3560" a="1"/>
  <c r="F30" i="3560" s="1"/>
  <c r="F29" i="3560" a="1"/>
  <c r="F29" i="3560" s="1"/>
  <c r="P28" i="3560"/>
  <c r="O28" i="3560"/>
  <c r="F28" i="3560" a="1"/>
  <c r="F28" i="3560" s="1"/>
  <c r="F26" i="3560" a="1"/>
  <c r="F26" i="3560" s="1"/>
  <c r="H26" i="3560" s="1" a="1"/>
  <c r="H26" i="3560" s="1"/>
  <c r="L26" i="3560" s="1"/>
  <c r="F25" i="3560" a="1"/>
  <c r="F25" i="3560" s="1"/>
  <c r="H25" i="3560" s="1" a="1"/>
  <c r="H25" i="3560" s="1"/>
  <c r="K25" i="3560" s="1"/>
  <c r="F24" i="3560" a="1"/>
  <c r="F24" i="3560" s="1"/>
  <c r="F23" i="3560" a="1"/>
  <c r="F23" i="3560" s="1"/>
  <c r="H23" i="3560" s="1" a="1"/>
  <c r="H23" i="3560" s="1"/>
  <c r="K23" i="3560" s="1"/>
  <c r="F22" i="3560" a="1"/>
  <c r="F22" i="3560" s="1"/>
  <c r="F21" i="3560" a="1"/>
  <c r="F21" i="3560" s="1"/>
  <c r="M21" i="3560" s="1" a="1"/>
  <c r="M21" i="3560" s="1"/>
  <c r="P20" i="3560"/>
  <c r="O20" i="3560"/>
  <c r="N18" i="3560"/>
  <c r="N17" i="3560"/>
  <c r="C14" i="3560"/>
  <c r="C13" i="3560"/>
  <c r="H12" i="3560"/>
  <c r="E12" i="3560"/>
  <c r="C12" i="3560"/>
  <c r="H11" i="3560"/>
  <c r="E11" i="3560"/>
  <c r="C11" i="3560"/>
  <c r="B7" i="3560"/>
  <c r="H22" i="3480"/>
  <c r="G22" i="3480"/>
  <c r="A22" i="3480"/>
  <c r="B7" i="3480"/>
  <c r="B5" i="3480"/>
  <c r="G268" i="3445" a="1"/>
  <c r="G268" i="3445" s="1"/>
  <c r="G267" i="3445" a="1"/>
  <c r="G267" i="3445" s="1"/>
  <c r="A267" i="3445" s="1"/>
  <c r="G266" i="3445" a="1"/>
  <c r="G266" i="3445" s="1"/>
  <c r="H266" i="3445" s="1"/>
  <c r="G265" i="3445" a="1"/>
  <c r="G265" i="3445" s="1"/>
  <c r="G264" i="3445" a="1"/>
  <c r="G264" i="3445" s="1"/>
  <c r="G263" i="3445" a="1"/>
  <c r="G263" i="3445" s="1"/>
  <c r="S263" i="3445" s="1" a="1"/>
  <c r="S263" i="3445" s="1"/>
  <c r="G262" i="3445" a="1"/>
  <c r="G262" i="3445" s="1"/>
  <c r="G261" i="3445" a="1"/>
  <c r="G261" i="3445" s="1"/>
  <c r="S261" i="3445" s="1" a="1"/>
  <c r="S261" i="3445" s="1"/>
  <c r="G260" i="3445" a="1"/>
  <c r="G260" i="3445" s="1"/>
  <c r="G259" i="3445" a="1"/>
  <c r="G259" i="3445" s="1"/>
  <c r="G258" i="3445" a="1"/>
  <c r="G258" i="3445" s="1"/>
  <c r="G257" i="3445" a="1"/>
  <c r="G257" i="3445" s="1"/>
  <c r="Q257" i="3445" s="1"/>
  <c r="G256" i="3445" a="1"/>
  <c r="G256" i="3445" s="1"/>
  <c r="G255" i="3445" a="1"/>
  <c r="G255" i="3445" s="1"/>
  <c r="T255" i="3445" s="1"/>
  <c r="G254" i="3445" a="1"/>
  <c r="G254" i="3445" s="1"/>
  <c r="A254" i="3445" s="1"/>
  <c r="G253" i="3445" a="1"/>
  <c r="G253" i="3445" s="1"/>
  <c r="G252" i="3445" a="1"/>
  <c r="G252" i="3445" s="1"/>
  <c r="G251" i="3445" a="1"/>
  <c r="G251" i="3445" s="1"/>
  <c r="A251" i="3445" s="1"/>
  <c r="G250" i="3445" a="1"/>
  <c r="G250" i="3445" s="1"/>
  <c r="O250" i="3445" s="1"/>
  <c r="G249" i="3445" a="1"/>
  <c r="G249" i="3445" s="1"/>
  <c r="G248" i="3445" a="1"/>
  <c r="G248" i="3445" s="1"/>
  <c r="S248" i="3445" s="1" a="1"/>
  <c r="S248" i="3445" s="1"/>
  <c r="G247" i="3445" a="1"/>
  <c r="G247" i="3445" s="1"/>
  <c r="J247" i="3445" s="1" a="1"/>
  <c r="J247" i="3445" s="1"/>
  <c r="G246" i="3445" a="1"/>
  <c r="G246" i="3445" s="1"/>
  <c r="G245" i="3445" a="1"/>
  <c r="G245" i="3445" s="1"/>
  <c r="G244" i="3445" a="1"/>
  <c r="G244" i="3445" s="1"/>
  <c r="G243" i="3445" a="1"/>
  <c r="G243" i="3445" s="1"/>
  <c r="N243" i="3445" s="1" a="1"/>
  <c r="N243" i="3445" s="1"/>
  <c r="G242" i="3445" a="1"/>
  <c r="G242" i="3445" s="1"/>
  <c r="G241" i="3445" a="1"/>
  <c r="G241" i="3445" s="1"/>
  <c r="G240" i="3445" a="1"/>
  <c r="G240" i="3445" s="1"/>
  <c r="T240" i="3445" s="1"/>
  <c r="G239" i="3445" a="1"/>
  <c r="G239" i="3445" s="1"/>
  <c r="G238" i="3445" a="1"/>
  <c r="G238" i="3445" s="1"/>
  <c r="A238" i="3445" s="1"/>
  <c r="G237" i="3445" a="1"/>
  <c r="G237" i="3445" s="1"/>
  <c r="G236" i="3445" a="1"/>
  <c r="G236" i="3445" s="1"/>
  <c r="G235" i="3445" a="1"/>
  <c r="G235" i="3445" s="1"/>
  <c r="N235" i="3445" s="1" a="1"/>
  <c r="N235" i="3445" s="1"/>
  <c r="G234" i="3445" a="1"/>
  <c r="G234" i="3445" s="1"/>
  <c r="G233" i="3445" a="1"/>
  <c r="G233" i="3445" s="1"/>
  <c r="G232" i="3445" a="1"/>
  <c r="G232" i="3445" s="1"/>
  <c r="J232" i="3445" s="1" a="1"/>
  <c r="J232" i="3445" s="1"/>
  <c r="G231" i="3445" a="1"/>
  <c r="G231" i="3445" s="1"/>
  <c r="O231" i="3445" s="1"/>
  <c r="G230" i="3445" a="1"/>
  <c r="G230" i="3445" s="1"/>
  <c r="G229" i="3445" a="1"/>
  <c r="G229" i="3445" s="1"/>
  <c r="G228" i="3445" a="1"/>
  <c r="G228" i="3445" s="1"/>
  <c r="G227" i="3445" a="1"/>
  <c r="G227" i="3445" s="1"/>
  <c r="G226" i="3445" a="1"/>
  <c r="G226" i="3445" s="1"/>
  <c r="A226" i="3445" s="1"/>
  <c r="G225" i="3445" a="1"/>
  <c r="G225" i="3445" s="1"/>
  <c r="G224" i="3445" a="1"/>
  <c r="G224" i="3445" s="1"/>
  <c r="G223" i="3445" a="1"/>
  <c r="G223" i="3445" s="1"/>
  <c r="A223" i="3445" s="1"/>
  <c r="G222" i="3445" a="1"/>
  <c r="G222" i="3445" s="1"/>
  <c r="G221" i="3445" a="1"/>
  <c r="G221" i="3445" s="1"/>
  <c r="K221" i="3445" s="1" a="1"/>
  <c r="K221" i="3445" s="1"/>
  <c r="L221" i="3445" s="1"/>
  <c r="M221" i="3445" s="1"/>
  <c r="G220" i="3445" a="1"/>
  <c r="G220" i="3445" s="1"/>
  <c r="K220" i="3445" s="1" a="1"/>
  <c r="K220" i="3445" s="1"/>
  <c r="L220" i="3445" s="1"/>
  <c r="M220" i="3445" s="1"/>
  <c r="G219" i="3445" a="1"/>
  <c r="G219" i="3445" s="1"/>
  <c r="G218" i="3445" a="1"/>
  <c r="G218" i="3445" s="1"/>
  <c r="A218" i="3445" s="1"/>
  <c r="G217" i="3445" a="1"/>
  <c r="G217" i="3445" s="1"/>
  <c r="A217" i="3445" s="1"/>
  <c r="G216" i="3445" a="1"/>
  <c r="G216" i="3445" s="1"/>
  <c r="A216" i="3445" s="1"/>
  <c r="G215" i="3445" a="1"/>
  <c r="G215" i="3445" s="1"/>
  <c r="G214" i="3445" a="1"/>
  <c r="G214" i="3445" s="1"/>
  <c r="N214" i="3445" s="1" a="1"/>
  <c r="N214" i="3445" s="1"/>
  <c r="G213" i="3445" a="1"/>
  <c r="G213" i="3445" s="1"/>
  <c r="G212" i="3445" a="1"/>
  <c r="G212" i="3445" s="1"/>
  <c r="T212" i="3445" s="1"/>
  <c r="G211" i="3445" a="1"/>
  <c r="G211" i="3445" s="1"/>
  <c r="Q211" i="3445" s="1"/>
  <c r="G210" i="3445" a="1"/>
  <c r="G210" i="3445" s="1"/>
  <c r="G209" i="3445" a="1"/>
  <c r="G209" i="3445" s="1"/>
  <c r="G208" i="3445" a="1"/>
  <c r="G208" i="3445" s="1"/>
  <c r="G207" i="3445" a="1"/>
  <c r="G207" i="3445" s="1"/>
  <c r="G206" i="3445" a="1"/>
  <c r="G206" i="3445" s="1"/>
  <c r="A206" i="3445" s="1"/>
  <c r="G205" i="3445" a="1"/>
  <c r="G205" i="3445" s="1"/>
  <c r="I205" i="3445" s="1" a="1"/>
  <c r="I205" i="3445" s="1"/>
  <c r="G204" i="3445" a="1"/>
  <c r="G204" i="3445" s="1"/>
  <c r="G203" i="3445" a="1"/>
  <c r="G203" i="3445" s="1"/>
  <c r="G202" i="3445" a="1"/>
  <c r="G202" i="3445" s="1"/>
  <c r="A202" i="3445" s="1"/>
  <c r="G201" i="3445" a="1"/>
  <c r="G201" i="3445" s="1"/>
  <c r="H201" i="3445" s="1"/>
  <c r="G200" i="3445" a="1"/>
  <c r="G200" i="3445" s="1"/>
  <c r="A200" i="3445" s="1"/>
  <c r="G199" i="3445" a="1"/>
  <c r="G199" i="3445" s="1"/>
  <c r="J199" i="3445" s="1" a="1"/>
  <c r="J199" i="3445" s="1"/>
  <c r="G198" i="3445" a="1"/>
  <c r="G198" i="3445" s="1"/>
  <c r="G197" i="3445" a="1"/>
  <c r="G197" i="3445" s="1"/>
  <c r="A197" i="3445" s="1"/>
  <c r="G196" i="3445" a="1"/>
  <c r="G196" i="3445" s="1"/>
  <c r="K196" i="3445" s="1" a="1"/>
  <c r="K196" i="3445" s="1"/>
  <c r="L196" i="3445" s="1"/>
  <c r="M196" i="3445" s="1"/>
  <c r="G195" i="3445" a="1"/>
  <c r="G195" i="3445" s="1"/>
  <c r="A195" i="3445" s="1"/>
  <c r="G194" i="3445" a="1"/>
  <c r="G194" i="3445" s="1"/>
  <c r="S194" i="3445" s="1" a="1"/>
  <c r="S194" i="3445" s="1"/>
  <c r="G193" i="3445" a="1"/>
  <c r="G193" i="3445" s="1"/>
  <c r="S193" i="3445" s="1" a="1"/>
  <c r="S193" i="3445" s="1"/>
  <c r="G192" i="3445" a="1"/>
  <c r="G192" i="3445" s="1"/>
  <c r="P192" i="3445" s="1"/>
  <c r="G191" i="3445" a="1"/>
  <c r="G191" i="3445" s="1"/>
  <c r="H191" i="3445" s="1"/>
  <c r="G190" i="3445" a="1"/>
  <c r="G190" i="3445" s="1"/>
  <c r="G189" i="3445" a="1"/>
  <c r="G189" i="3445" s="1"/>
  <c r="P189" i="3445" s="1"/>
  <c r="G188" i="3445" a="1"/>
  <c r="G188" i="3445" s="1"/>
  <c r="A188" i="3445" s="1"/>
  <c r="G187" i="3445" a="1"/>
  <c r="G187" i="3445" s="1"/>
  <c r="G186" i="3445" a="1"/>
  <c r="G186" i="3445" s="1"/>
  <c r="H186" i="3445" s="1"/>
  <c r="G185" i="3445" a="1"/>
  <c r="G185" i="3445" s="1"/>
  <c r="A185" i="3445" s="1"/>
  <c r="G184" i="3445" a="1"/>
  <c r="G184" i="3445" s="1"/>
  <c r="A184" i="3445" s="1"/>
  <c r="G183" i="3445" a="1"/>
  <c r="G183" i="3445" s="1"/>
  <c r="G182" i="3445" a="1"/>
  <c r="G182" i="3445" s="1"/>
  <c r="O182" i="3445" s="1"/>
  <c r="G181" i="3445" a="1"/>
  <c r="G181" i="3445" s="1"/>
  <c r="P181" i="3445" s="1"/>
  <c r="G180" i="3445" a="1"/>
  <c r="G180" i="3445" s="1"/>
  <c r="G179" i="3445" a="1"/>
  <c r="G179" i="3445" s="1"/>
  <c r="K179" i="3445" s="1" a="1"/>
  <c r="K179" i="3445" s="1"/>
  <c r="L179" i="3445" s="1"/>
  <c r="M179" i="3445" s="1"/>
  <c r="G178" i="3445" a="1"/>
  <c r="G178" i="3445" s="1"/>
  <c r="G177" i="3445" a="1"/>
  <c r="G177" i="3445" s="1"/>
  <c r="G176" i="3445" a="1"/>
  <c r="G176" i="3445" s="1"/>
  <c r="G175" i="3445" a="1"/>
  <c r="G175" i="3445" s="1"/>
  <c r="J175" i="3445" s="1" a="1"/>
  <c r="J175" i="3445" s="1"/>
  <c r="G174" i="3445" a="1"/>
  <c r="G174" i="3445" s="1"/>
  <c r="O174" i="3445" s="1"/>
  <c r="G173" i="3445" a="1"/>
  <c r="G173" i="3445" s="1"/>
  <c r="G172" i="3445" a="1"/>
  <c r="G172" i="3445" s="1"/>
  <c r="G171" i="3445" a="1"/>
  <c r="G171" i="3445" s="1"/>
  <c r="G170" i="3445" a="1"/>
  <c r="G170" i="3445" s="1"/>
  <c r="I170" i="3445" s="1" a="1"/>
  <c r="I170" i="3445" s="1"/>
  <c r="G169" i="3445" a="1"/>
  <c r="G169" i="3445" s="1"/>
  <c r="Q169" i="3445" s="1"/>
  <c r="G168" i="3445" a="1"/>
  <c r="G168" i="3445" s="1"/>
  <c r="N168" i="3445" s="1" a="1"/>
  <c r="N168" i="3445" s="1"/>
  <c r="G167" i="3445" a="1"/>
  <c r="G167" i="3445" s="1"/>
  <c r="G166" i="3445" a="1"/>
  <c r="G166" i="3445" s="1"/>
  <c r="G165" i="3445" a="1"/>
  <c r="G165" i="3445" s="1"/>
  <c r="A165" i="3445" s="1"/>
  <c r="G164" i="3445" a="1"/>
  <c r="G164" i="3445" s="1"/>
  <c r="G163" i="3445" a="1"/>
  <c r="G163" i="3445" s="1"/>
  <c r="G162" i="3445" a="1"/>
  <c r="G162" i="3445" s="1"/>
  <c r="Q162" i="3445" s="1"/>
  <c r="G161" i="3445" a="1"/>
  <c r="G161" i="3445" s="1"/>
  <c r="A161" i="3445" s="1"/>
  <c r="G160" i="3445" a="1"/>
  <c r="G160" i="3445" s="1"/>
  <c r="N160" i="3445" s="1" a="1"/>
  <c r="N160" i="3445" s="1"/>
  <c r="G159" i="3445" a="1"/>
  <c r="G159" i="3445" s="1"/>
  <c r="A159" i="3445" s="1"/>
  <c r="G158" i="3445" a="1"/>
  <c r="G158" i="3445" s="1"/>
  <c r="T158" i="3445" s="1"/>
  <c r="G157" i="3445" a="1"/>
  <c r="G157" i="3445" s="1"/>
  <c r="K157" i="3445" s="1" a="1"/>
  <c r="K157" i="3445" s="1"/>
  <c r="L157" i="3445" s="1"/>
  <c r="M157" i="3445" s="1"/>
  <c r="G156" i="3445" a="1"/>
  <c r="G156" i="3445" s="1"/>
  <c r="K156" i="3445" s="1" a="1"/>
  <c r="K156" i="3445" s="1"/>
  <c r="L156" i="3445" s="1"/>
  <c r="M156" i="3445" s="1"/>
  <c r="G155" i="3445" a="1"/>
  <c r="G155" i="3445" s="1"/>
  <c r="G154" i="3445" a="1"/>
  <c r="G154" i="3445" s="1"/>
  <c r="G153" i="3445" a="1"/>
  <c r="G153" i="3445" s="1"/>
  <c r="J153" i="3445" s="1" a="1"/>
  <c r="J153" i="3445" s="1"/>
  <c r="G152" i="3445" a="1"/>
  <c r="G152" i="3445" s="1"/>
  <c r="T152" i="3445" s="1"/>
  <c r="G151" i="3445" a="1"/>
  <c r="G151" i="3445" s="1"/>
  <c r="S151" i="3445" s="1" a="1"/>
  <c r="S151" i="3445" s="1"/>
  <c r="G150" i="3445" a="1"/>
  <c r="G150" i="3445" s="1"/>
  <c r="I150" i="3445" s="1" a="1"/>
  <c r="I150" i="3445" s="1"/>
  <c r="G149" i="3445" a="1"/>
  <c r="G149" i="3445" s="1"/>
  <c r="A149" i="3445" s="1"/>
  <c r="G148" i="3445" a="1"/>
  <c r="G148" i="3445" s="1"/>
  <c r="G147" i="3445" a="1"/>
  <c r="G147" i="3445" s="1"/>
  <c r="K147" i="3445" s="1" a="1"/>
  <c r="K147" i="3445" s="1"/>
  <c r="L147" i="3445" s="1"/>
  <c r="M147" i="3445" s="1"/>
  <c r="G146" i="3445" a="1"/>
  <c r="G146" i="3445" s="1"/>
  <c r="G145" i="3445" a="1"/>
  <c r="G145" i="3445" s="1"/>
  <c r="Q145" i="3445" s="1"/>
  <c r="G144" i="3445" a="1"/>
  <c r="G144" i="3445" s="1"/>
  <c r="I144" i="3445" s="1" a="1"/>
  <c r="I144" i="3445" s="1"/>
  <c r="G143" i="3445" a="1"/>
  <c r="G143" i="3445" s="1"/>
  <c r="G142" i="3445" a="1"/>
  <c r="G142" i="3445" s="1"/>
  <c r="A142" i="3445" s="1"/>
  <c r="G141" i="3445" a="1"/>
  <c r="G141" i="3445" s="1"/>
  <c r="G140" i="3445" a="1"/>
  <c r="G140" i="3445" s="1"/>
  <c r="A140" i="3445" s="1"/>
  <c r="G139" i="3445" a="1"/>
  <c r="G139" i="3445" s="1"/>
  <c r="G138" i="3445" a="1"/>
  <c r="G138" i="3445" s="1"/>
  <c r="I138" i="3445" s="1" a="1"/>
  <c r="I138" i="3445" s="1"/>
  <c r="G137" i="3445" a="1"/>
  <c r="G137" i="3445" s="1"/>
  <c r="G136" i="3445" a="1"/>
  <c r="G136" i="3445" s="1"/>
  <c r="A136" i="3445" s="1"/>
  <c r="G135" i="3445" a="1"/>
  <c r="G135" i="3445" s="1"/>
  <c r="G134" i="3445" a="1"/>
  <c r="G134" i="3445" s="1"/>
  <c r="G133" i="3445" a="1"/>
  <c r="G133" i="3445" s="1"/>
  <c r="G132" i="3445" a="1"/>
  <c r="G132" i="3445" s="1"/>
  <c r="J132" i="3445" s="1" a="1"/>
  <c r="J132" i="3445" s="1"/>
  <c r="G131" i="3445" a="1"/>
  <c r="G131" i="3445" s="1"/>
  <c r="G130" i="3445" a="1"/>
  <c r="G130" i="3445" s="1"/>
  <c r="A130" i="3445" s="1"/>
  <c r="G129" i="3445" a="1"/>
  <c r="G129" i="3445" s="1"/>
  <c r="J129" i="3445" s="1" a="1"/>
  <c r="J129" i="3445" s="1"/>
  <c r="G128" i="3445" a="1"/>
  <c r="G128" i="3445" s="1"/>
  <c r="I128" i="3445" s="1" a="1"/>
  <c r="I128" i="3445" s="1"/>
  <c r="G127" i="3445" a="1"/>
  <c r="G127" i="3445" s="1"/>
  <c r="G126" i="3445" a="1"/>
  <c r="G126" i="3445" s="1"/>
  <c r="G125" i="3445" a="1"/>
  <c r="G125" i="3445" s="1"/>
  <c r="P125" i="3445" s="1"/>
  <c r="G124" i="3445" a="1"/>
  <c r="G124" i="3445" s="1"/>
  <c r="G123" i="3445" a="1"/>
  <c r="G123" i="3445" s="1"/>
  <c r="J123" i="3445" s="1" a="1"/>
  <c r="J123" i="3445" s="1"/>
  <c r="G122" i="3445" a="1"/>
  <c r="G122" i="3445" s="1"/>
  <c r="G121" i="3445" a="1"/>
  <c r="G121" i="3445" s="1"/>
  <c r="S121" i="3445" s="1" a="1"/>
  <c r="S121" i="3445" s="1"/>
  <c r="G120" i="3445" a="1"/>
  <c r="G120" i="3445" s="1"/>
  <c r="T120" i="3445" s="1"/>
  <c r="G119" i="3445" a="1"/>
  <c r="G119" i="3445" s="1"/>
  <c r="N119" i="3445" s="1" a="1"/>
  <c r="N119" i="3445" s="1"/>
  <c r="G118" i="3445" a="1"/>
  <c r="G118" i="3445" s="1"/>
  <c r="N118" i="3445" s="1" a="1"/>
  <c r="N118" i="3445" s="1"/>
  <c r="G117" i="3445" a="1"/>
  <c r="G117" i="3445" s="1"/>
  <c r="G116" i="3445" a="1"/>
  <c r="G116" i="3445" s="1"/>
  <c r="T116" i="3445" s="1"/>
  <c r="G115" i="3445" a="1"/>
  <c r="G115" i="3445" s="1"/>
  <c r="J115" i="3445" s="1" a="1"/>
  <c r="J115" i="3445" s="1"/>
  <c r="G114" i="3445" a="1"/>
  <c r="G114" i="3445" s="1"/>
  <c r="Q114" i="3445" s="1"/>
  <c r="G113" i="3445" a="1"/>
  <c r="G113" i="3445" s="1"/>
  <c r="N113" i="3445" s="1" a="1"/>
  <c r="N113" i="3445" s="1"/>
  <c r="G112" i="3445" a="1"/>
  <c r="G112" i="3445" s="1"/>
  <c r="G111" i="3445" a="1"/>
  <c r="G111" i="3445"/>
  <c r="N111" i="3445" s="1" a="1"/>
  <c r="N111" i="3445" s="1"/>
  <c r="G110" i="3445" a="1"/>
  <c r="G110" i="3445" s="1"/>
  <c r="S110" i="3445" s="1" a="1"/>
  <c r="S110" i="3445" s="1"/>
  <c r="G109" i="3445" a="1"/>
  <c r="G109" i="3445"/>
  <c r="A109" i="3445" s="1"/>
  <c r="G108" i="3445" a="1"/>
  <c r="G108" i="3445" s="1"/>
  <c r="Q108" i="3445" s="1"/>
  <c r="G107" i="3445" a="1"/>
  <c r="G107" i="3445" s="1"/>
  <c r="N107" i="3445" s="1" a="1"/>
  <c r="N107" i="3445" s="1"/>
  <c r="G106" i="3445" a="1"/>
  <c r="G106" i="3445" s="1"/>
  <c r="G105" i="3445" a="1"/>
  <c r="G105" i="3445" s="1"/>
  <c r="H105" i="3445" s="1"/>
  <c r="G104" i="3445" a="1"/>
  <c r="G104" i="3445" s="1"/>
  <c r="G103" i="3445" a="1"/>
  <c r="G103" i="3445" s="1"/>
  <c r="G102" i="3445" a="1"/>
  <c r="G102" i="3445" s="1"/>
  <c r="G101" i="3445" a="1"/>
  <c r="G101" i="3445" s="1"/>
  <c r="G100" i="3445" a="1"/>
  <c r="G100" i="3445" s="1"/>
  <c r="G99" i="3445" a="1"/>
  <c r="G99" i="3445" s="1"/>
  <c r="G98" i="3445" a="1"/>
  <c r="G98" i="3445" s="1"/>
  <c r="G97" i="3445" a="1"/>
  <c r="G97" i="3445" s="1"/>
  <c r="K97" i="3445" s="1" a="1"/>
  <c r="K97" i="3445" s="1"/>
  <c r="A97" i="3445" s="1"/>
  <c r="G96" i="3445" a="1"/>
  <c r="G96" i="3445" s="1"/>
  <c r="G95" i="3445" a="1"/>
  <c r="G95" i="3445" s="1"/>
  <c r="K95" i="3445" s="1" a="1"/>
  <c r="K95" i="3445" s="1"/>
  <c r="G94" i="3445" a="1"/>
  <c r="G94" i="3445" s="1"/>
  <c r="G93" i="3445" a="1"/>
  <c r="G93" i="3445" s="1"/>
  <c r="G92" i="3445" a="1"/>
  <c r="G92" i="3445" s="1"/>
  <c r="G91" i="3445" a="1"/>
  <c r="G91" i="3445" s="1"/>
  <c r="G90" i="3445" a="1"/>
  <c r="G90" i="3445" s="1"/>
  <c r="G89" i="3445" a="1"/>
  <c r="G89" i="3445" s="1"/>
  <c r="K89" i="3445" s="1" a="1"/>
  <c r="K89" i="3445" s="1"/>
  <c r="L89" i="3445" s="1"/>
  <c r="M89" i="3445" s="1"/>
  <c r="G88" i="3445" a="1"/>
  <c r="G88" i="3445" s="1"/>
  <c r="K88" i="3445" s="1" a="1"/>
  <c r="K88" i="3445" s="1"/>
  <c r="L88" i="3445" s="1"/>
  <c r="M88" i="3445" s="1"/>
  <c r="G87" i="3445" a="1"/>
  <c r="G87" i="3445" s="1"/>
  <c r="G86" i="3445" a="1"/>
  <c r="G86" i="3445" s="1"/>
  <c r="G85" i="3445" a="1"/>
  <c r="G85" i="3445" s="1"/>
  <c r="G84" i="3445" a="1"/>
  <c r="G84" i="3445" s="1"/>
  <c r="G83" i="3445" a="1"/>
  <c r="G83" i="3445" s="1"/>
  <c r="G82" i="3445" a="1"/>
  <c r="G82" i="3445" s="1"/>
  <c r="G81" i="3445" a="1"/>
  <c r="G81" i="3445" s="1"/>
  <c r="G80" i="3445" a="1"/>
  <c r="G80" i="3445" s="1"/>
  <c r="G79" i="3445" a="1"/>
  <c r="G79" i="3445" s="1"/>
  <c r="K79" i="3445" s="1" a="1"/>
  <c r="K79" i="3445" s="1"/>
  <c r="L79" i="3445" s="1"/>
  <c r="M79" i="3445" s="1"/>
  <c r="G78" i="3445" a="1"/>
  <c r="G78" i="3445" s="1"/>
  <c r="G77" i="3445" a="1"/>
  <c r="G77" i="3445" s="1"/>
  <c r="K77" i="3445" s="1" a="1"/>
  <c r="K77" i="3445" s="1"/>
  <c r="L77" i="3445" s="1"/>
  <c r="M77" i="3445" s="1"/>
  <c r="G76" i="3445" a="1"/>
  <c r="G76" i="3445" s="1"/>
  <c r="G75" i="3445" a="1"/>
  <c r="G75" i="3445" s="1"/>
  <c r="G74" i="3445" a="1"/>
  <c r="G74" i="3445" s="1"/>
  <c r="G73" i="3445" a="1"/>
  <c r="G73" i="3445" s="1"/>
  <c r="G72" i="3445" a="1"/>
  <c r="G72" i="3445" s="1"/>
  <c r="G71" i="3445" a="1"/>
  <c r="G71" i="3445" s="1"/>
  <c r="G70" i="3445" a="1"/>
  <c r="G70" i="3445" s="1"/>
  <c r="G69" i="3445" a="1"/>
  <c r="G69" i="3445" s="1"/>
  <c r="G68" i="3445" a="1"/>
  <c r="G68" i="3445" s="1"/>
  <c r="G67" i="3445" a="1"/>
  <c r="G67" i="3445" s="1"/>
  <c r="G66" i="3445" a="1"/>
  <c r="G66" i="3445" s="1"/>
  <c r="G65" i="3445" a="1"/>
  <c r="G65" i="3445" s="1"/>
  <c r="G64" i="3445" a="1"/>
  <c r="G64" i="3445" s="1"/>
  <c r="G63" i="3445" a="1"/>
  <c r="G63" i="3445" s="1"/>
  <c r="G62" i="3445" a="1"/>
  <c r="G62" i="3445" s="1"/>
  <c r="G61" i="3445" a="1"/>
  <c r="G61" i="3445" s="1"/>
  <c r="G60" i="3445" a="1"/>
  <c r="G60" i="3445" s="1"/>
  <c r="G59" i="3445" a="1"/>
  <c r="G59" i="3445" s="1"/>
  <c r="G58" i="3445" a="1"/>
  <c r="G58" i="3445" s="1"/>
  <c r="G57" i="3445" a="1"/>
  <c r="G57" i="3445" s="1"/>
  <c r="G56" i="3445" a="1"/>
  <c r="G56" i="3445" s="1"/>
  <c r="G55" i="3445" a="1"/>
  <c r="G55" i="3445" s="1"/>
  <c r="K55" i="3445" s="1" a="1"/>
  <c r="K55" i="3445" s="1"/>
  <c r="G54" i="3445" a="1"/>
  <c r="G54" i="3445" s="1"/>
  <c r="G53" i="3445" a="1"/>
  <c r="G53" i="3445" s="1"/>
  <c r="G52" i="3445" a="1"/>
  <c r="G52" i="3445" s="1"/>
  <c r="G51" i="3445" a="1"/>
  <c r="G51" i="3445" s="1"/>
  <c r="G50" i="3445" a="1"/>
  <c r="G50" i="3445" s="1"/>
  <c r="G49" i="3445" a="1"/>
  <c r="G49" i="3445" s="1"/>
  <c r="K49" i="3445" s="1" a="1"/>
  <c r="K49" i="3445" s="1"/>
  <c r="L49" i="3445" s="1"/>
  <c r="M49" i="3445" s="1"/>
  <c r="G48" i="3445" a="1"/>
  <c r="G48" i="3445" s="1"/>
  <c r="G47" i="3445" a="1"/>
  <c r="G47" i="3445" s="1"/>
  <c r="G46" i="3445" a="1"/>
  <c r="G46" i="3445" s="1"/>
  <c r="G45" i="3445" a="1"/>
  <c r="G45" i="3445" s="1"/>
  <c r="G44" i="3445" a="1"/>
  <c r="G44" i="3445" s="1"/>
  <c r="G43" i="3445" a="1"/>
  <c r="G43" i="3445" s="1"/>
  <c r="G42" i="3445" a="1"/>
  <c r="G42" i="3445" s="1"/>
  <c r="K42" i="3445" s="1" a="1"/>
  <c r="K42" i="3445" s="1"/>
  <c r="G41" i="3445" a="1"/>
  <c r="G41" i="3445" s="1"/>
  <c r="K41" i="3445" s="1" a="1"/>
  <c r="K41" i="3445" s="1"/>
  <c r="G40" i="3445" a="1"/>
  <c r="G40" i="3445" s="1"/>
  <c r="G39" i="3445" a="1"/>
  <c r="G39" i="3445" s="1"/>
  <c r="G38" i="3445" a="1"/>
  <c r="G38" i="3445" s="1"/>
  <c r="N35" i="3445"/>
  <c r="N34" i="3445"/>
  <c r="M32" i="3445"/>
  <c r="L32" i="3445"/>
  <c r="G32" i="3445" a="1"/>
  <c r="G32" i="3445" s="1"/>
  <c r="M31" i="3445"/>
  <c r="L31" i="3445"/>
  <c r="G31" i="3445" a="1"/>
  <c r="G31" i="3445" s="1"/>
  <c r="I31" i="3445" s="1" a="1"/>
  <c r="I31" i="3445" s="1"/>
  <c r="M30" i="3445"/>
  <c r="L30" i="3445"/>
  <c r="G30" i="3445" a="1"/>
  <c r="G30" i="3445" s="1"/>
  <c r="M29" i="3445"/>
  <c r="L29" i="3445"/>
  <c r="G29" i="3445" a="1"/>
  <c r="G29" i="3445" s="1"/>
  <c r="M28" i="3445"/>
  <c r="L28" i="3445"/>
  <c r="G28" i="3445" a="1"/>
  <c r="G28" i="3445" s="1"/>
  <c r="M27" i="3445"/>
  <c r="L27" i="3445"/>
  <c r="G27" i="3445" a="1"/>
  <c r="G27" i="3445" s="1"/>
  <c r="M26" i="3445"/>
  <c r="L26" i="3445"/>
  <c r="G26" i="3445" a="1"/>
  <c r="G26" i="3445" s="1"/>
  <c r="M25" i="3445"/>
  <c r="L25" i="3445"/>
  <c r="G25" i="3445" a="1"/>
  <c r="G25" i="3445" s="1"/>
  <c r="A17" i="3445"/>
  <c r="N14" i="3445"/>
  <c r="E13" i="3445"/>
  <c r="F12" i="3445"/>
  <c r="E12" i="3445"/>
  <c r="E10" i="3445"/>
  <c r="T9" i="3445"/>
  <c r="S9" i="3445"/>
  <c r="R9" i="3445"/>
  <c r="Q9" i="3445"/>
  <c r="P9" i="3445"/>
  <c r="D82" i="3444" a="1"/>
  <c r="D82" i="3444" s="1"/>
  <c r="H82" i="3444" s="1" a="1"/>
  <c r="H82" i="3444" s="1"/>
  <c r="D81" i="3444" a="1"/>
  <c r="D81" i="3444" s="1"/>
  <c r="D80" i="3444" a="1"/>
  <c r="D80" i="3444" s="1"/>
  <c r="D79" i="3444" a="1"/>
  <c r="D79" i="3444" s="1"/>
  <c r="E79" i="3444" s="1" a="1"/>
  <c r="E79" i="3444" s="1"/>
  <c r="D78" i="3444" a="1"/>
  <c r="D78" i="3444" s="1"/>
  <c r="D77" i="3444" a="1"/>
  <c r="D77" i="3444" s="1"/>
  <c r="D76" i="3444" a="1"/>
  <c r="D76" i="3444" s="1"/>
  <c r="D75" i="3444" a="1"/>
  <c r="D75" i="3444" s="1"/>
  <c r="D74" i="3444" a="1"/>
  <c r="D74" i="3444" s="1"/>
  <c r="D73" i="3444" a="1"/>
  <c r="D73" i="3444" s="1"/>
  <c r="E73" i="3444" s="1" a="1"/>
  <c r="E73" i="3444" s="1"/>
  <c r="A73" i="3444" s="1"/>
  <c r="D72" i="3444" a="1"/>
  <c r="D72" i="3444" s="1"/>
  <c r="F72" i="3444" s="1" a="1"/>
  <c r="F72" i="3444" s="1"/>
  <c r="D71" i="3444" a="1"/>
  <c r="D71" i="3444" s="1"/>
  <c r="D70" i="3444" a="1"/>
  <c r="D70" i="3444" s="1"/>
  <c r="E70" i="3444" s="1" a="1"/>
  <c r="E70" i="3444" s="1"/>
  <c r="D69" i="3444" a="1"/>
  <c r="D69" i="3444" s="1"/>
  <c r="D68" i="3444" a="1"/>
  <c r="D68" i="3444" s="1"/>
  <c r="D67" i="3444" a="1"/>
  <c r="D67" i="3444" s="1"/>
  <c r="D66" i="3444" a="1"/>
  <c r="D66" i="3444" s="1"/>
  <c r="D65" i="3444" a="1"/>
  <c r="D65" i="3444" s="1"/>
  <c r="E65" i="3444" s="1" a="1"/>
  <c r="E65" i="3444" s="1"/>
  <c r="D64" i="3444" a="1"/>
  <c r="D64" i="3444" s="1"/>
  <c r="H64" i="3444" s="1" a="1"/>
  <c r="H64" i="3444" s="1"/>
  <c r="D63" i="3444" a="1"/>
  <c r="D63" i="3444" s="1"/>
  <c r="E63" i="3444" s="1" a="1"/>
  <c r="E63" i="3444" s="1"/>
  <c r="D62" i="3444" a="1"/>
  <c r="D62" i="3444" s="1"/>
  <c r="H62" i="3444" s="1" a="1"/>
  <c r="H62" i="3444" s="1"/>
  <c r="D61" i="3444" a="1"/>
  <c r="D61" i="3444" s="1"/>
  <c r="D60" i="3444" a="1"/>
  <c r="D60" i="3444" s="1"/>
  <c r="D59" i="3444" a="1"/>
  <c r="D59" i="3444" s="1"/>
  <c r="D58" i="3444" a="1"/>
  <c r="D58" i="3444" s="1"/>
  <c r="D57" i="3444" a="1"/>
  <c r="D57" i="3444" s="1"/>
  <c r="E57" i="3444" s="1" a="1"/>
  <c r="E57" i="3444" s="1"/>
  <c r="A57" i="3444" s="1"/>
  <c r="D56" i="3444" a="1"/>
  <c r="D56" i="3444" s="1"/>
  <c r="D55" i="3444" a="1"/>
  <c r="D55" i="3444" s="1"/>
  <c r="D54" i="3444" a="1"/>
  <c r="D54" i="3444" s="1"/>
  <c r="D53" i="3444" a="1"/>
  <c r="D53" i="3444" s="1"/>
  <c r="D52" i="3444" a="1"/>
  <c r="D52" i="3444" s="1"/>
  <c r="D51" i="3444" a="1"/>
  <c r="D51" i="3444" s="1"/>
  <c r="D50" i="3444" a="1"/>
  <c r="D50" i="3444" s="1"/>
  <c r="D49" i="3444" a="1"/>
  <c r="D49" i="3444" s="1"/>
  <c r="F49" i="3444" s="1" a="1"/>
  <c r="F49" i="3444" s="1"/>
  <c r="D48" i="3444" a="1"/>
  <c r="D48" i="3444" s="1"/>
  <c r="D47" i="3444" a="1"/>
  <c r="D47" i="3444" s="1"/>
  <c r="E47" i="3444" s="1" a="1"/>
  <c r="E47" i="3444" s="1"/>
  <c r="D46" i="3444" a="1"/>
  <c r="D46" i="3444" s="1"/>
  <c r="D45" i="3444" a="1"/>
  <c r="D45" i="3444" s="1"/>
  <c r="D44" i="3444" a="1"/>
  <c r="D44" i="3444" s="1"/>
  <c r="D43" i="3444" a="1"/>
  <c r="D43" i="3444" s="1"/>
  <c r="E43" i="3444" s="1" a="1"/>
  <c r="E43" i="3444" s="1"/>
  <c r="A43" i="3444" s="1"/>
  <c r="D42" i="3444" a="1"/>
  <c r="D42" i="3444" s="1"/>
  <c r="D41" i="3444" a="1"/>
  <c r="D41" i="3444" s="1"/>
  <c r="D40" i="3444" a="1"/>
  <c r="D40" i="3444" s="1"/>
  <c r="F40" i="3444" s="1" a="1"/>
  <c r="F40" i="3444" s="1"/>
  <c r="D39" i="3444" a="1"/>
  <c r="D39" i="3444" s="1"/>
  <c r="F39" i="3444" s="1" a="1"/>
  <c r="F39" i="3444" s="1"/>
  <c r="D38" i="3444" a="1"/>
  <c r="D38" i="3444" s="1"/>
  <c r="D37" i="3444" a="1"/>
  <c r="D37" i="3444" s="1"/>
  <c r="D36" i="3444" a="1"/>
  <c r="D36" i="3444" s="1"/>
  <c r="E36" i="3444" s="1" a="1"/>
  <c r="E36" i="3444" s="1"/>
  <c r="D35" i="3444" a="1"/>
  <c r="D35" i="3444" s="1"/>
  <c r="D34" i="3444" a="1"/>
  <c r="D34" i="3444" s="1"/>
  <c r="D33" i="3444" a="1"/>
  <c r="D33" i="3444" s="1"/>
  <c r="D32" i="3444" a="1"/>
  <c r="D32" i="3444" s="1"/>
  <c r="D31" i="3444" a="1"/>
  <c r="D31" i="3444" s="1"/>
  <c r="E31" i="3444" s="1" a="1"/>
  <c r="E31" i="3444" s="1"/>
  <c r="D30" i="3444" a="1"/>
  <c r="D30" i="3444" s="1"/>
  <c r="D29" i="3444" a="1"/>
  <c r="D29" i="3444" s="1"/>
  <c r="D28" i="3444" a="1"/>
  <c r="D28" i="3444" s="1"/>
  <c r="D27" i="3444" a="1"/>
  <c r="D27" i="3444" s="1"/>
  <c r="H27" i="3444" s="1" a="1"/>
  <c r="H27" i="3444" s="1"/>
  <c r="D26" i="3444" a="1"/>
  <c r="D26" i="3444" s="1"/>
  <c r="E26" i="3444" s="1" a="1"/>
  <c r="E26" i="3444" s="1"/>
  <c r="D25" i="3444" a="1"/>
  <c r="D25" i="3444" s="1"/>
  <c r="D24" i="3444" a="1"/>
  <c r="D24" i="3444" s="1"/>
  <c r="D23" i="3444" a="1"/>
  <c r="D23" i="3444" s="1"/>
  <c r="F23" i="3444" s="1" a="1"/>
  <c r="F23" i="3444" s="1"/>
  <c r="AE23" i="3444" s="1" a="1"/>
  <c r="AE23" i="3444" s="1"/>
  <c r="D22" i="3444" a="1"/>
  <c r="D22" i="3444" s="1"/>
  <c r="D21" i="3444" a="1"/>
  <c r="D21" i="3444" s="1"/>
  <c r="D20" i="3444" a="1"/>
  <c r="D20" i="3444" s="1"/>
  <c r="I20" i="3444" s="1"/>
  <c r="BH19" i="3444" a="1"/>
  <c r="BH19" i="3444"/>
  <c r="BG19" i="3444" a="1"/>
  <c r="BG19" i="3444"/>
  <c r="BF19" i="3444" a="1"/>
  <c r="BF19" i="3444"/>
  <c r="BE19" i="3444" a="1"/>
  <c r="BE19" i="3444"/>
  <c r="BD19" i="3444" a="1"/>
  <c r="BD19" i="3444"/>
  <c r="BC19" i="3444" a="1"/>
  <c r="BC19" i="3444"/>
  <c r="BB19" i="3444" a="1"/>
  <c r="BB19" i="3444"/>
  <c r="BA19" i="3444" a="1"/>
  <c r="BA19" i="3444"/>
  <c r="AZ19" i="3444" a="1"/>
  <c r="AZ19" i="3444"/>
  <c r="AY19" i="3444" a="1"/>
  <c r="AY19" i="3444"/>
  <c r="AX19" i="3444" a="1"/>
  <c r="AX19" i="3444"/>
  <c r="AW19" i="3444" a="1"/>
  <c r="AW19" i="3444"/>
  <c r="AV19" i="3444" a="1"/>
  <c r="AV19" i="3444"/>
  <c r="AU19" i="3444" a="1"/>
  <c r="AU19" i="3444"/>
  <c r="AT19" i="3444" a="1"/>
  <c r="AT19" i="3444"/>
  <c r="AS19" i="3444" a="1"/>
  <c r="AS19" i="3444"/>
  <c r="AR19" i="3444" a="1"/>
  <c r="AR19" i="3444"/>
  <c r="AQ19" i="3444" a="1"/>
  <c r="AQ19" i="3444"/>
  <c r="AP19" i="3444" a="1"/>
  <c r="AP19" i="3444"/>
  <c r="AO19" i="3444" a="1"/>
  <c r="AO19" i="3444"/>
  <c r="AN19" i="3444" a="1"/>
  <c r="AN19" i="3444"/>
  <c r="AM19" i="3444" a="1"/>
  <c r="AM19" i="3444"/>
  <c r="AL19" i="3444" a="1"/>
  <c r="AL19" i="3444"/>
  <c r="AK19" i="3444" a="1"/>
  <c r="AK19" i="3444"/>
  <c r="AJ19" i="3444" a="1"/>
  <c r="AJ19" i="3444"/>
  <c r="AI19" i="3444" a="1"/>
  <c r="AI19" i="3444"/>
  <c r="AH19" i="3444" a="1"/>
  <c r="AH19" i="3444"/>
  <c r="AG19" i="3444" a="1"/>
  <c r="AG19" i="3444"/>
  <c r="AF19" i="3444" a="1"/>
  <c r="AF19" i="3444"/>
  <c r="AE19" i="3444" a="1"/>
  <c r="AE19" i="3444"/>
  <c r="AD19" i="3444" a="1"/>
  <c r="AD19" i="3444"/>
  <c r="AC19" i="3444" a="1"/>
  <c r="AC19" i="3444"/>
  <c r="AB19" i="3444" a="1"/>
  <c r="AB19" i="3444"/>
  <c r="AA19" i="3444" a="1"/>
  <c r="AA19" i="3444"/>
  <c r="Z19" i="3444" a="1"/>
  <c r="Z19" i="3444"/>
  <c r="Y19" i="3444" a="1"/>
  <c r="Y19" i="3444"/>
  <c r="X19" i="3444" a="1"/>
  <c r="X19" i="3444"/>
  <c r="W19" i="3444" a="1"/>
  <c r="W19" i="3444"/>
  <c r="V19" i="3444" a="1"/>
  <c r="V19" i="3444"/>
  <c r="U19" i="3444" a="1"/>
  <c r="U19" i="3444"/>
  <c r="T19" i="3444" a="1"/>
  <c r="T19" i="3444"/>
  <c r="S19" i="3444" a="1"/>
  <c r="S19" i="3444"/>
  <c r="R19" i="3444" a="1"/>
  <c r="R19" i="3444"/>
  <c r="Q19" i="3444" a="1"/>
  <c r="Q19" i="3444"/>
  <c r="P19" i="3444" a="1"/>
  <c r="P19" i="3444"/>
  <c r="O19" i="3444" a="1"/>
  <c r="O19" i="3444"/>
  <c r="N19" i="3444" a="1"/>
  <c r="N19" i="3444"/>
  <c r="M19" i="3444" a="1"/>
  <c r="M19" i="3444"/>
  <c r="L19" i="3444" a="1"/>
  <c r="L19" i="3444"/>
  <c r="K19" i="3444" a="1"/>
  <c r="K19" i="3444"/>
  <c r="E18" i="3444"/>
  <c r="BH17" i="3444" a="1"/>
  <c r="BH17" i="3444"/>
  <c r="BG17" i="3444" a="1"/>
  <c r="BG17" i="3444"/>
  <c r="BF17" i="3444" a="1"/>
  <c r="BF17" i="3444"/>
  <c r="BE17" i="3444" a="1"/>
  <c r="BE17" i="3444"/>
  <c r="BD17" i="3444" a="1"/>
  <c r="BD17" i="3444"/>
  <c r="BC17" i="3444" a="1"/>
  <c r="BC17" i="3444"/>
  <c r="BB17" i="3444" a="1"/>
  <c r="BB17" i="3444"/>
  <c r="BA17" i="3444" a="1"/>
  <c r="BA17" i="3444"/>
  <c r="AZ17" i="3444" a="1"/>
  <c r="AZ17" i="3444"/>
  <c r="AY17" i="3444" a="1"/>
  <c r="AY17" i="3444"/>
  <c r="AX17" i="3444" a="1"/>
  <c r="AX17" i="3444"/>
  <c r="AW17" i="3444" a="1"/>
  <c r="AW17" i="3444"/>
  <c r="AV17" i="3444" a="1"/>
  <c r="AV17" i="3444"/>
  <c r="AU17" i="3444" a="1"/>
  <c r="AU17" i="3444"/>
  <c r="AT17" i="3444" a="1"/>
  <c r="AT17" i="3444"/>
  <c r="AS17" i="3444" a="1"/>
  <c r="AS17" i="3444"/>
  <c r="AR17" i="3444" a="1"/>
  <c r="AR17" i="3444"/>
  <c r="AQ17" i="3444" a="1"/>
  <c r="AQ17" i="3444"/>
  <c r="AP17" i="3444" a="1"/>
  <c r="AP17" i="3444"/>
  <c r="AO17" i="3444" a="1"/>
  <c r="AO17" i="3444"/>
  <c r="AN17" i="3444" a="1"/>
  <c r="AN17" i="3444"/>
  <c r="AM17" i="3444" a="1"/>
  <c r="AM17" i="3444"/>
  <c r="AL17" i="3444" a="1"/>
  <c r="AL17" i="3444"/>
  <c r="AK17" i="3444" a="1"/>
  <c r="AK17" i="3444"/>
  <c r="AJ17" i="3444" a="1"/>
  <c r="AJ17" i="3444"/>
  <c r="AI17" i="3444" a="1"/>
  <c r="AI17" i="3444"/>
  <c r="AH17" i="3444" a="1"/>
  <c r="AH17" i="3444"/>
  <c r="AG17" i="3444" a="1"/>
  <c r="AG17" i="3444"/>
  <c r="AF17" i="3444" a="1"/>
  <c r="AF17" i="3444"/>
  <c r="AE17" i="3444" a="1"/>
  <c r="AE17" i="3444"/>
  <c r="AD17" i="3444" a="1"/>
  <c r="AD17" i="3444"/>
  <c r="AC17" i="3444" a="1"/>
  <c r="AC17" i="3444"/>
  <c r="AB17" i="3444" a="1"/>
  <c r="AB17" i="3444"/>
  <c r="AA17" i="3444" a="1"/>
  <c r="AA17" i="3444"/>
  <c r="Z17" i="3444" a="1"/>
  <c r="Z17" i="3444"/>
  <c r="Y17" i="3444" a="1"/>
  <c r="Y17" i="3444"/>
  <c r="X17" i="3444" a="1"/>
  <c r="X17" i="3444"/>
  <c r="W17" i="3444" a="1"/>
  <c r="W17" i="3444"/>
  <c r="V17" i="3444" a="1"/>
  <c r="V17" i="3444"/>
  <c r="U17" i="3444" a="1"/>
  <c r="U17" i="3444"/>
  <c r="T17" i="3444" a="1"/>
  <c r="T17" i="3444"/>
  <c r="S17" i="3444" a="1"/>
  <c r="S17" i="3444"/>
  <c r="R17" i="3444" a="1"/>
  <c r="R17" i="3444"/>
  <c r="Q17" i="3444" a="1"/>
  <c r="Q17" i="3444"/>
  <c r="P17" i="3444" a="1"/>
  <c r="P17" i="3444"/>
  <c r="O17" i="3444" a="1"/>
  <c r="O17" i="3444"/>
  <c r="N17" i="3444" a="1"/>
  <c r="N17" i="3444"/>
  <c r="M17" i="3444" a="1"/>
  <c r="M17" i="3444"/>
  <c r="L17" i="3444" a="1"/>
  <c r="L17" i="3444"/>
  <c r="K17" i="3444" a="1"/>
  <c r="K17" i="3444"/>
  <c r="H13" i="3444"/>
  <c r="B13" i="3444"/>
  <c r="H12" i="3444"/>
  <c r="B12" i="3444"/>
  <c r="BH9" i="3444"/>
  <c r="BG9" i="3444"/>
  <c r="BF9" i="3444"/>
  <c r="BE9" i="3444"/>
  <c r="BD9" i="3444"/>
  <c r="BC9" i="3444"/>
  <c r="BB9" i="3444"/>
  <c r="BA9" i="3444"/>
  <c r="AZ9" i="3444"/>
  <c r="AY9" i="3444"/>
  <c r="AX9" i="3444"/>
  <c r="AW9" i="3444"/>
  <c r="AV9" i="3444"/>
  <c r="AU9" i="3444"/>
  <c r="AT9" i="3444"/>
  <c r="AS9" i="3444"/>
  <c r="AR9" i="3444"/>
  <c r="AQ9" i="3444"/>
  <c r="AP9" i="3444"/>
  <c r="AO9" i="3444"/>
  <c r="AN9" i="3444"/>
  <c r="AM9" i="3444"/>
  <c r="AL9" i="3444"/>
  <c r="AK9" i="3444"/>
  <c r="AJ9" i="3444"/>
  <c r="AI9" i="3444"/>
  <c r="AH9" i="3444"/>
  <c r="AG9" i="3444"/>
  <c r="AF9" i="3444"/>
  <c r="AE9" i="3444"/>
  <c r="AD9" i="3444"/>
  <c r="AC9" i="3444"/>
  <c r="AB9" i="3444"/>
  <c r="AA9" i="3444"/>
  <c r="Z9" i="3444"/>
  <c r="Y9" i="3444"/>
  <c r="X9" i="3444"/>
  <c r="W9" i="3444"/>
  <c r="V9" i="3444"/>
  <c r="U9" i="3444"/>
  <c r="T9" i="3444"/>
  <c r="S9" i="3444"/>
  <c r="R9" i="3444"/>
  <c r="Q9" i="3444"/>
  <c r="P9" i="3444"/>
  <c r="O9" i="3444"/>
  <c r="N9" i="3444"/>
  <c r="M9" i="3444"/>
  <c r="L9" i="3444"/>
  <c r="K9" i="3444"/>
  <c r="B7" i="3444"/>
  <c r="B5" i="3444"/>
  <c r="D97" i="3489" a="1"/>
  <c r="D97" i="3489" s="1"/>
  <c r="J97" i="3489" s="1" a="1"/>
  <c r="J97" i="3489" s="1"/>
  <c r="A97" i="3489"/>
  <c r="D96" i="3489" a="1"/>
  <c r="D96" i="3489" s="1"/>
  <c r="H96" i="3489" s="1" a="1"/>
  <c r="H96" i="3489" s="1"/>
  <c r="A96" i="3489"/>
  <c r="D95" i="3489" a="1"/>
  <c r="D95" i="3489" s="1"/>
  <c r="A95" i="3489"/>
  <c r="D94" i="3489" a="1"/>
  <c r="D94" i="3489" s="1"/>
  <c r="A94" i="3489"/>
  <c r="D93" i="3489" a="1"/>
  <c r="D93" i="3489" s="1"/>
  <c r="A93" i="3489"/>
  <c r="D92" i="3489" a="1"/>
  <c r="D92" i="3489" s="1"/>
  <c r="F92" i="3489" s="1" a="1"/>
  <c r="F92" i="3489" s="1"/>
  <c r="A92" i="3489"/>
  <c r="D91" i="3489" a="1"/>
  <c r="D91" i="3489" s="1"/>
  <c r="A91" i="3489"/>
  <c r="D90" i="3489" a="1"/>
  <c r="D90" i="3489" s="1"/>
  <c r="F90" i="3489" s="1" a="1"/>
  <c r="F90" i="3489" s="1"/>
  <c r="A90" i="3489"/>
  <c r="D89" i="3489" a="1"/>
  <c r="D89" i="3489" s="1"/>
  <c r="A89" i="3489"/>
  <c r="D88" i="3489" a="1"/>
  <c r="D88" i="3489" s="1"/>
  <c r="H88" i="3489" s="1" a="1"/>
  <c r="H88" i="3489" s="1"/>
  <c r="A88" i="3489"/>
  <c r="D87" i="3489" a="1"/>
  <c r="D87" i="3489" s="1"/>
  <c r="A87" i="3489"/>
  <c r="D86" i="3489" a="1"/>
  <c r="D86" i="3489" s="1"/>
  <c r="A86" i="3489"/>
  <c r="D85" i="3489" a="1"/>
  <c r="D85" i="3489" s="1"/>
  <c r="H85" i="3489" s="1" a="1"/>
  <c r="H85" i="3489" s="1"/>
  <c r="A85" i="3489"/>
  <c r="D84" i="3489" a="1"/>
  <c r="D84" i="3489" s="1"/>
  <c r="A84" i="3489"/>
  <c r="D83" i="3489" a="1"/>
  <c r="D83" i="3489" s="1"/>
  <c r="F83" i="3489" s="1" a="1"/>
  <c r="F83" i="3489" s="1"/>
  <c r="A83" i="3489"/>
  <c r="D82" i="3489" a="1"/>
  <c r="D82" i="3489" s="1"/>
  <c r="A82" i="3489"/>
  <c r="D81" i="3489" a="1"/>
  <c r="D81" i="3489" s="1"/>
  <c r="A81" i="3489"/>
  <c r="D80" i="3489" a="1"/>
  <c r="D80" i="3489" s="1"/>
  <c r="A80" i="3489"/>
  <c r="D79" i="3489" a="1"/>
  <c r="D79" i="3489" s="1"/>
  <c r="A79" i="3489"/>
  <c r="D78" i="3489" a="1"/>
  <c r="D78" i="3489" s="1"/>
  <c r="A78" i="3489"/>
  <c r="D77" i="3489" a="1"/>
  <c r="D77" i="3489" s="1"/>
  <c r="J77" i="3489" s="1" a="1"/>
  <c r="J77" i="3489" s="1"/>
  <c r="A77" i="3489"/>
  <c r="D76" i="3489" a="1"/>
  <c r="D76" i="3489" s="1"/>
  <c r="A76" i="3489"/>
  <c r="D75" i="3489" a="1"/>
  <c r="D75" i="3489" s="1"/>
  <c r="A75" i="3489"/>
  <c r="D74" i="3489" a="1"/>
  <c r="D74" i="3489" s="1"/>
  <c r="A74" i="3489"/>
  <c r="D73" i="3489" a="1"/>
  <c r="D73" i="3489" s="1"/>
  <c r="A73" i="3489"/>
  <c r="D72" i="3489" a="1"/>
  <c r="D72" i="3489" s="1"/>
  <c r="A72" i="3489"/>
  <c r="D71" i="3489" a="1"/>
  <c r="D71" i="3489" s="1"/>
  <c r="F71" i="3489" s="1" a="1"/>
  <c r="F71" i="3489" s="1"/>
  <c r="A71" i="3489"/>
  <c r="D70" i="3489" a="1"/>
  <c r="D70" i="3489" s="1"/>
  <c r="A70" i="3489"/>
  <c r="D69" i="3489" a="1"/>
  <c r="D69" i="3489" s="1"/>
  <c r="A69" i="3489"/>
  <c r="D68" i="3489" a="1"/>
  <c r="D68" i="3489" s="1"/>
  <c r="F68" i="3489" s="1" a="1"/>
  <c r="F68" i="3489" s="1"/>
  <c r="A68" i="3489"/>
  <c r="D67" i="3489" a="1"/>
  <c r="D67" i="3489" s="1"/>
  <c r="E67" i="3489" s="1" a="1"/>
  <c r="E67" i="3489" s="1"/>
  <c r="A67" i="3489"/>
  <c r="D66" i="3489" a="1"/>
  <c r="D66" i="3489" s="1"/>
  <c r="A66" i="3489"/>
  <c r="D65" i="3489" a="1"/>
  <c r="D65" i="3489" s="1"/>
  <c r="F65" i="3489" s="1" a="1"/>
  <c r="F65" i="3489" s="1"/>
  <c r="A65" i="3489"/>
  <c r="D64" i="3489" a="1"/>
  <c r="D64" i="3489" s="1"/>
  <c r="A64" i="3489"/>
  <c r="D63" i="3489" a="1"/>
  <c r="D63" i="3489" s="1"/>
  <c r="H63" i="3489" s="1" a="1"/>
  <c r="H63" i="3489" s="1"/>
  <c r="A63" i="3489"/>
  <c r="D62" i="3489" a="1"/>
  <c r="D62" i="3489" s="1"/>
  <c r="A62" i="3489"/>
  <c r="D61" i="3489" a="1"/>
  <c r="D61" i="3489" s="1"/>
  <c r="A61" i="3489"/>
  <c r="D60" i="3489" a="1"/>
  <c r="D60" i="3489" s="1"/>
  <c r="A60" i="3489"/>
  <c r="D59" i="3489" a="1"/>
  <c r="D59" i="3489" s="1"/>
  <c r="A59" i="3489"/>
  <c r="D58" i="3489" a="1"/>
  <c r="D58" i="3489" s="1"/>
  <c r="A58" i="3489"/>
  <c r="D57" i="3489" a="1"/>
  <c r="D57" i="3489" s="1"/>
  <c r="A57" i="3489"/>
  <c r="D56" i="3489" a="1"/>
  <c r="D56" i="3489" s="1"/>
  <c r="A56" i="3489"/>
  <c r="D55" i="3489" a="1"/>
  <c r="D55" i="3489" s="1"/>
  <c r="J55" i="3489" s="1" a="1"/>
  <c r="J55" i="3489" s="1"/>
  <c r="A55" i="3489"/>
  <c r="D54" i="3489" a="1"/>
  <c r="D54" i="3489" s="1"/>
  <c r="A54" i="3489"/>
  <c r="D53" i="3489" a="1"/>
  <c r="D53" i="3489" s="1"/>
  <c r="H53" i="3489" s="1" a="1"/>
  <c r="H53" i="3489" s="1"/>
  <c r="A53" i="3489"/>
  <c r="D52" i="3489" a="1"/>
  <c r="D52" i="3489" s="1"/>
  <c r="G52" i="3489" s="1" a="1"/>
  <c r="G52" i="3489" s="1"/>
  <c r="A52" i="3489"/>
  <c r="D51" i="3489" a="1"/>
  <c r="D51" i="3489" s="1"/>
  <c r="E51" i="3489" s="1" a="1"/>
  <c r="E51" i="3489" s="1"/>
  <c r="A51" i="3489"/>
  <c r="D50" i="3489" a="1"/>
  <c r="D50" i="3489" s="1"/>
  <c r="A50" i="3489"/>
  <c r="D49" i="3489" a="1"/>
  <c r="D49" i="3489" s="1"/>
  <c r="A49" i="3489"/>
  <c r="D48" i="3489" a="1"/>
  <c r="D48" i="3489" s="1"/>
  <c r="F48" i="3489" s="1" a="1"/>
  <c r="F48" i="3489" s="1"/>
  <c r="A48" i="3489"/>
  <c r="D47" i="3489" a="1"/>
  <c r="D47" i="3489" s="1"/>
  <c r="A47" i="3489"/>
  <c r="D46" i="3489" a="1"/>
  <c r="D46" i="3489" s="1"/>
  <c r="A46" i="3489"/>
  <c r="D45" i="3489" a="1"/>
  <c r="D45" i="3489" s="1"/>
  <c r="F45" i="3489" s="1" a="1"/>
  <c r="F45" i="3489" s="1"/>
  <c r="A45" i="3489"/>
  <c r="D44" i="3489" a="1"/>
  <c r="D44" i="3489" s="1"/>
  <c r="F44" i="3489" s="1" a="1"/>
  <c r="F44" i="3489" s="1"/>
  <c r="A44" i="3489"/>
  <c r="D43" i="3489" a="1"/>
  <c r="D43" i="3489" s="1"/>
  <c r="A43" i="3489"/>
  <c r="D42" i="3489" a="1"/>
  <c r="D42" i="3489" s="1"/>
  <c r="H42" i="3489" s="1" a="1"/>
  <c r="H42" i="3489" s="1"/>
  <c r="A42" i="3489"/>
  <c r="D41" i="3489" a="1"/>
  <c r="D41" i="3489" s="1"/>
  <c r="A41" i="3489"/>
  <c r="D40" i="3489" a="1"/>
  <c r="D40" i="3489" s="1"/>
  <c r="A40" i="3489"/>
  <c r="D39" i="3489" a="1"/>
  <c r="D39" i="3489" s="1"/>
  <c r="A39" i="3489"/>
  <c r="D38" i="3489" a="1"/>
  <c r="D38" i="3489" s="1"/>
  <c r="J38" i="3489" s="1" a="1"/>
  <c r="J38" i="3489" s="1"/>
  <c r="A38" i="3489"/>
  <c r="D37" i="3489" a="1"/>
  <c r="D37" i="3489" s="1"/>
  <c r="A37" i="3489"/>
  <c r="D36" i="3489" a="1"/>
  <c r="D36" i="3489" s="1"/>
  <c r="A36" i="3489"/>
  <c r="D35" i="3489" a="1"/>
  <c r="D35" i="3489" s="1"/>
  <c r="A35" i="3489"/>
  <c r="D34" i="3489" a="1"/>
  <c r="D34" i="3489" s="1"/>
  <c r="A34" i="3489"/>
  <c r="D33" i="3489" a="1"/>
  <c r="D33" i="3489" s="1"/>
  <c r="G33" i="3489" s="1" a="1"/>
  <c r="G33" i="3489" s="1"/>
  <c r="A33" i="3489"/>
  <c r="D32" i="3489" a="1"/>
  <c r="D32" i="3489" s="1"/>
  <c r="A32" i="3489"/>
  <c r="D31" i="3489" a="1"/>
  <c r="D31" i="3489" s="1"/>
  <c r="A31" i="3489"/>
  <c r="D30" i="3489" a="1"/>
  <c r="D30" i="3489" s="1"/>
  <c r="A30" i="3489"/>
  <c r="D29" i="3489" a="1"/>
  <c r="D29" i="3489" s="1"/>
  <c r="G29" i="3489" s="1" a="1"/>
  <c r="G29" i="3489" s="1"/>
  <c r="A29" i="3489"/>
  <c r="D28" i="3489" a="1"/>
  <c r="D28" i="3489" s="1"/>
  <c r="A28" i="3489"/>
  <c r="D27" i="3489" a="1"/>
  <c r="D27" i="3489" s="1"/>
  <c r="A27" i="3489"/>
  <c r="D26" i="3489" a="1"/>
  <c r="D26" i="3489" s="1"/>
  <c r="F26" i="3489" s="1" a="1"/>
  <c r="F26" i="3489" s="1"/>
  <c r="A26" i="3489"/>
  <c r="D25" i="3489" a="1"/>
  <c r="D25" i="3489" s="1"/>
  <c r="A25" i="3489"/>
  <c r="D24" i="3489" a="1"/>
  <c r="D24" i="3489" s="1"/>
  <c r="A24" i="3489"/>
  <c r="D23" i="3489" a="1"/>
  <c r="D23" i="3489" s="1"/>
  <c r="J23" i="3489" s="1" a="1"/>
  <c r="J23" i="3489" s="1"/>
  <c r="A23" i="3489"/>
  <c r="D22" i="3489" a="1"/>
  <c r="D22" i="3489" s="1"/>
  <c r="J22" i="3489" s="1" a="1"/>
  <c r="J22" i="3489" s="1"/>
  <c r="A22" i="3489"/>
  <c r="D21" i="3489" a="1"/>
  <c r="D21" i="3489" s="1"/>
  <c r="A21" i="3489"/>
  <c r="D20" i="3489" a="1"/>
  <c r="D20" i="3489" s="1"/>
  <c r="A20" i="3489"/>
  <c r="BI19" i="3489" a="1"/>
  <c r="BI19" i="3489"/>
  <c r="BH19" i="3489" a="1"/>
  <c r="BH19" i="3489"/>
  <c r="BG19" i="3489" a="1"/>
  <c r="BG19" i="3489"/>
  <c r="BF19" i="3489" a="1"/>
  <c r="BF19" i="3489"/>
  <c r="BE19" i="3489" a="1"/>
  <c r="BE19" i="3489"/>
  <c r="BD19" i="3489" a="1"/>
  <c r="BD19" i="3489"/>
  <c r="BC19" i="3489" a="1"/>
  <c r="BC19" i="3489"/>
  <c r="BB19" i="3489" a="1"/>
  <c r="BB19" i="3489"/>
  <c r="BA19" i="3489" a="1"/>
  <c r="BA19" i="3489"/>
  <c r="AZ19" i="3489" a="1"/>
  <c r="AZ19" i="3489"/>
  <c r="AY19" i="3489" a="1"/>
  <c r="AY19" i="3489"/>
  <c r="AX19" i="3489" a="1"/>
  <c r="AX19" i="3489"/>
  <c r="AW19" i="3489" a="1"/>
  <c r="AW19" i="3489"/>
  <c r="AV19" i="3489" a="1"/>
  <c r="AV19" i="3489"/>
  <c r="AU19" i="3489" a="1"/>
  <c r="AU19" i="3489"/>
  <c r="AT19" i="3489" a="1"/>
  <c r="AT19" i="3489"/>
  <c r="AS19" i="3489" a="1"/>
  <c r="AS19" i="3489"/>
  <c r="AR19" i="3489" a="1"/>
  <c r="AR19" i="3489"/>
  <c r="AQ19" i="3489" a="1"/>
  <c r="AQ19" i="3489"/>
  <c r="AP19" i="3489" a="1"/>
  <c r="AP19" i="3489"/>
  <c r="AO19" i="3489" a="1"/>
  <c r="AO19" i="3489"/>
  <c r="AN19" i="3489" a="1"/>
  <c r="AN19" i="3489"/>
  <c r="AM19" i="3489" a="1"/>
  <c r="AM19" i="3489"/>
  <c r="AL19" i="3489" a="1"/>
  <c r="AL19" i="3489"/>
  <c r="AK19" i="3489" a="1"/>
  <c r="AK19" i="3489"/>
  <c r="AJ19" i="3489" a="1"/>
  <c r="AJ19" i="3489"/>
  <c r="AI19" i="3489" a="1"/>
  <c r="AI19" i="3489"/>
  <c r="AH19" i="3489" a="1"/>
  <c r="AH19" i="3489"/>
  <c r="AG19" i="3489" a="1"/>
  <c r="AG19" i="3489"/>
  <c r="AF19" i="3489" a="1"/>
  <c r="AF19" i="3489"/>
  <c r="AE19" i="3489" a="1"/>
  <c r="AE19" i="3489"/>
  <c r="AD19" i="3489" a="1"/>
  <c r="AD19" i="3489"/>
  <c r="AC19" i="3489" a="1"/>
  <c r="AC19" i="3489"/>
  <c r="AB19" i="3489" a="1"/>
  <c r="AB19" i="3489"/>
  <c r="AA19" i="3489" a="1"/>
  <c r="AA19" i="3489"/>
  <c r="Z19" i="3489" a="1"/>
  <c r="Z19" i="3489"/>
  <c r="Y19" i="3489" a="1"/>
  <c r="Y19" i="3489"/>
  <c r="X19" i="3489" a="1"/>
  <c r="X19" i="3489"/>
  <c r="W19" i="3489" a="1"/>
  <c r="W19" i="3489"/>
  <c r="V19" i="3489" a="1"/>
  <c r="V19" i="3489"/>
  <c r="U19" i="3489" a="1"/>
  <c r="U19" i="3489"/>
  <c r="T19" i="3489" a="1"/>
  <c r="T19" i="3489"/>
  <c r="S19" i="3489" a="1"/>
  <c r="S19" i="3489"/>
  <c r="R19" i="3489" a="1"/>
  <c r="R19" i="3489"/>
  <c r="Q19" i="3489" a="1"/>
  <c r="Q19" i="3489"/>
  <c r="P19" i="3489" a="1"/>
  <c r="P19" i="3489"/>
  <c r="O19" i="3489" a="1"/>
  <c r="O19" i="3489"/>
  <c r="N19" i="3489" a="1"/>
  <c r="N19" i="3489"/>
  <c r="M19" i="3489" a="1"/>
  <c r="M19" i="3489"/>
  <c r="L19" i="3489" a="1"/>
  <c r="L19" i="3489"/>
  <c r="K18" i="3489"/>
  <c r="G18" i="3489"/>
  <c r="F18" i="3489"/>
  <c r="E18" i="3489"/>
  <c r="BI17" i="3489" a="1"/>
  <c r="BI17" i="3489"/>
  <c r="BH17" i="3489" a="1"/>
  <c r="BH17" i="3489"/>
  <c r="BG17" i="3489" a="1"/>
  <c r="BG17" i="3489"/>
  <c r="BF17" i="3489" a="1"/>
  <c r="BF17" i="3489"/>
  <c r="BE17" i="3489" a="1"/>
  <c r="BE17" i="3489"/>
  <c r="BD17" i="3489" a="1"/>
  <c r="BD17" i="3489"/>
  <c r="BC17" i="3489" a="1"/>
  <c r="BC17" i="3489"/>
  <c r="BB17" i="3489" a="1"/>
  <c r="BB17" i="3489"/>
  <c r="BA17" i="3489" a="1"/>
  <c r="BA17" i="3489"/>
  <c r="AZ17" i="3489" a="1"/>
  <c r="AZ17" i="3489"/>
  <c r="AY17" i="3489" a="1"/>
  <c r="AY17" i="3489"/>
  <c r="AX17" i="3489" a="1"/>
  <c r="AX17" i="3489"/>
  <c r="AW17" i="3489" a="1"/>
  <c r="AW17" i="3489"/>
  <c r="AV17" i="3489" a="1"/>
  <c r="AV17" i="3489"/>
  <c r="AU17" i="3489" a="1"/>
  <c r="AU17" i="3489"/>
  <c r="AT17" i="3489" a="1"/>
  <c r="AT17" i="3489"/>
  <c r="AS17" i="3489" a="1"/>
  <c r="AS17" i="3489"/>
  <c r="AR17" i="3489" a="1"/>
  <c r="AR17" i="3489"/>
  <c r="AQ17" i="3489" a="1"/>
  <c r="AQ17" i="3489"/>
  <c r="AP17" i="3489" a="1"/>
  <c r="AP17" i="3489"/>
  <c r="AO17" i="3489" a="1"/>
  <c r="AO17" i="3489"/>
  <c r="AN17" i="3489" a="1"/>
  <c r="AN17" i="3489"/>
  <c r="AM17" i="3489" a="1"/>
  <c r="AM17" i="3489"/>
  <c r="AL17" i="3489" a="1"/>
  <c r="AL17" i="3489"/>
  <c r="AK17" i="3489" a="1"/>
  <c r="AK17" i="3489"/>
  <c r="AJ17" i="3489" a="1"/>
  <c r="AJ17" i="3489"/>
  <c r="AI17" i="3489" a="1"/>
  <c r="AI17" i="3489"/>
  <c r="AH17" i="3489" a="1"/>
  <c r="AH17" i="3489"/>
  <c r="AG17" i="3489" a="1"/>
  <c r="AG17" i="3489"/>
  <c r="AF17" i="3489" a="1"/>
  <c r="AF17" i="3489"/>
  <c r="AE17" i="3489" a="1"/>
  <c r="AE17" i="3489"/>
  <c r="AD17" i="3489" a="1"/>
  <c r="AD17" i="3489"/>
  <c r="AC17" i="3489" a="1"/>
  <c r="AC17" i="3489"/>
  <c r="AB17" i="3489" a="1"/>
  <c r="AB17" i="3489"/>
  <c r="AA17" i="3489" a="1"/>
  <c r="AA17" i="3489"/>
  <c r="Z17" i="3489" a="1"/>
  <c r="Z17" i="3489"/>
  <c r="Y17" i="3489" a="1"/>
  <c r="Y17" i="3489"/>
  <c r="X17" i="3489" a="1"/>
  <c r="X17" i="3489"/>
  <c r="W17" i="3489" a="1"/>
  <c r="W17" i="3489"/>
  <c r="V17" i="3489" a="1"/>
  <c r="V17" i="3489"/>
  <c r="U17" i="3489" a="1"/>
  <c r="U17" i="3489"/>
  <c r="T17" i="3489" a="1"/>
  <c r="T17" i="3489"/>
  <c r="S17" i="3489" a="1"/>
  <c r="S17" i="3489"/>
  <c r="R17" i="3489" a="1"/>
  <c r="R17" i="3489"/>
  <c r="Q17" i="3489" a="1"/>
  <c r="Q17" i="3489"/>
  <c r="P17" i="3489" a="1"/>
  <c r="P17" i="3489"/>
  <c r="O17" i="3489" a="1"/>
  <c r="O17" i="3489"/>
  <c r="N17" i="3489" a="1"/>
  <c r="N17" i="3489"/>
  <c r="M17" i="3489" a="1"/>
  <c r="M17" i="3489"/>
  <c r="L17" i="3489" a="1"/>
  <c r="L17" i="3489"/>
  <c r="D13" i="3489"/>
  <c r="BI9" i="3489"/>
  <c r="BH9" i="3489"/>
  <c r="BG9" i="3489"/>
  <c r="BF9" i="3489"/>
  <c r="BE9" i="3489"/>
  <c r="BD9" i="3489"/>
  <c r="BC9" i="3489"/>
  <c r="BB9" i="3489"/>
  <c r="BA9" i="3489"/>
  <c r="AZ9" i="3489"/>
  <c r="AY9" i="3489"/>
  <c r="AX9" i="3489"/>
  <c r="AW9" i="3489"/>
  <c r="AV9" i="3489"/>
  <c r="AU9" i="3489"/>
  <c r="AT9" i="3489"/>
  <c r="AS9" i="3489"/>
  <c r="AR9" i="3489"/>
  <c r="AQ9" i="3489"/>
  <c r="AP9" i="3489"/>
  <c r="AO9" i="3489"/>
  <c r="AN9" i="3489"/>
  <c r="AM9" i="3489"/>
  <c r="AL9" i="3489"/>
  <c r="AK9" i="3489"/>
  <c r="AJ9" i="3489"/>
  <c r="AI9" i="3489"/>
  <c r="AH9" i="3489"/>
  <c r="AG9" i="3489"/>
  <c r="AF9" i="3489"/>
  <c r="AE9" i="3489"/>
  <c r="AD9" i="3489"/>
  <c r="AC9" i="3489"/>
  <c r="AB9" i="3489"/>
  <c r="AA9" i="3489"/>
  <c r="Z9" i="3489"/>
  <c r="Y9" i="3489"/>
  <c r="X9" i="3489"/>
  <c r="W9" i="3489"/>
  <c r="V9" i="3489"/>
  <c r="U9" i="3489"/>
  <c r="T9" i="3489"/>
  <c r="S9" i="3489"/>
  <c r="R9" i="3489"/>
  <c r="Q9" i="3489"/>
  <c r="P9" i="3489"/>
  <c r="O9" i="3489"/>
  <c r="N9" i="3489"/>
  <c r="M9" i="3489"/>
  <c r="L9" i="3489"/>
  <c r="B5" i="3489"/>
  <c r="B78" i="3561"/>
  <c r="B52" i="3561"/>
  <c r="B51" i="3561"/>
  <c r="B50" i="3561"/>
  <c r="B49" i="3561"/>
  <c r="B48" i="3561"/>
  <c r="B47" i="3561"/>
  <c r="B46" i="3561"/>
  <c r="B45" i="3561"/>
  <c r="B44" i="3561"/>
  <c r="B43" i="3561"/>
  <c r="B42" i="3561"/>
  <c r="B41" i="3561"/>
  <c r="B40" i="3561"/>
  <c r="B39" i="3561"/>
  <c r="B38" i="3561"/>
  <c r="B37" i="3561"/>
  <c r="B36" i="3561"/>
  <c r="B35" i="3561"/>
  <c r="B34" i="3561"/>
  <c r="B33" i="3561"/>
  <c r="B32" i="3561"/>
  <c r="B31" i="3561"/>
  <c r="B30" i="3561"/>
  <c r="B29" i="3561"/>
  <c r="B28" i="3561"/>
  <c r="A28" i="3561"/>
  <c r="B27" i="3561"/>
  <c r="A27" i="3561"/>
  <c r="B26" i="3561"/>
  <c r="B25" i="3561"/>
  <c r="A25" i="3561"/>
  <c r="B24" i="3561"/>
  <c r="A24" i="3561"/>
  <c r="D20" i="3561"/>
  <c r="D19" i="3561"/>
  <c r="D18" i="3561"/>
  <c r="D17" i="3561"/>
  <c r="D11" i="3561"/>
  <c r="B7" i="3561"/>
  <c r="B5" i="3561"/>
  <c r="A87" i="3576"/>
  <c r="A88" i="3576" s="1"/>
  <c r="A84" i="3576"/>
  <c r="A85" i="3576" s="1"/>
  <c r="A83" i="3576"/>
  <c r="A81" i="3576"/>
  <c r="A82" i="3576" s="1"/>
  <c r="A80" i="3576"/>
  <c r="A78" i="3576"/>
  <c r="A79" i="3576" s="1"/>
  <c r="A75" i="3576"/>
  <c r="A76" i="3576" s="1"/>
  <c r="A74" i="3576"/>
  <c r="A72" i="3576"/>
  <c r="A73" i="3576" s="1"/>
  <c r="A71" i="3576"/>
  <c r="A69" i="3576"/>
  <c r="A70" i="3576" s="1"/>
  <c r="A66" i="3576"/>
  <c r="A67" i="3576" s="1"/>
  <c r="A65" i="3576"/>
  <c r="A63" i="3576"/>
  <c r="A64" i="3576" s="1"/>
  <c r="A62" i="3576"/>
  <c r="A60" i="3576"/>
  <c r="A61" i="3576" s="1"/>
  <c r="A57" i="3576"/>
  <c r="A58" i="3576" s="1"/>
  <c r="A56" i="3576"/>
  <c r="A54" i="3576"/>
  <c r="A55" i="3576" s="1"/>
  <c r="A53" i="3576"/>
  <c r="A51" i="3576"/>
  <c r="A52" i="3576" s="1"/>
  <c r="A48" i="3576"/>
  <c r="A49" i="3576" s="1"/>
  <c r="A47" i="3576"/>
  <c r="A45" i="3576"/>
  <c r="A46" i="3576" s="1"/>
  <c r="A44" i="3576"/>
  <c r="A42" i="3576"/>
  <c r="A43" i="3576" s="1"/>
  <c r="A39" i="3576"/>
  <c r="A40" i="3576" s="1"/>
  <c r="A38" i="3576"/>
  <c r="A36" i="3576"/>
  <c r="A37" i="3576" s="1"/>
  <c r="A35" i="3576"/>
  <c r="A33" i="3576"/>
  <c r="A34" i="3576" s="1"/>
  <c r="A30" i="3576"/>
  <c r="A31" i="3576" s="1"/>
  <c r="A29" i="3576"/>
  <c r="C28" i="3576"/>
  <c r="C27" i="3576"/>
  <c r="D27" i="3576" s="1" a="1"/>
  <c r="D27" i="3576" s="1"/>
  <c r="J27" i="3576" s="1" a="1"/>
  <c r="J27" i="3576" s="1"/>
  <c r="A27" i="3576"/>
  <c r="A28" i="3576" s="1"/>
  <c r="A26" i="3576"/>
  <c r="C25" i="3576"/>
  <c r="D24" i="3576" a="1"/>
  <c r="D24" i="3576" s="1"/>
  <c r="H24" i="3576" s="1" a="1"/>
  <c r="H24" i="3576" s="1"/>
  <c r="C24" i="3576"/>
  <c r="A24" i="3576"/>
  <c r="A25" i="3576" s="1"/>
  <c r="D21" i="3576" a="1"/>
  <c r="D21" i="3576" s="1"/>
  <c r="C21" i="3576"/>
  <c r="C22" i="3576" s="1"/>
  <c r="A21" i="3576"/>
  <c r="A22" i="3576" s="1"/>
  <c r="A20" i="3576"/>
  <c r="AB18" i="3576"/>
  <c r="O18" i="3576"/>
  <c r="K18" i="3576"/>
  <c r="J18" i="3576"/>
  <c r="I18" i="3576"/>
  <c r="H18" i="3576"/>
  <c r="G18" i="3576"/>
  <c r="F18" i="3576"/>
  <c r="E18" i="3576"/>
  <c r="D15" i="3576"/>
  <c r="D14" i="3576"/>
  <c r="D13" i="3576"/>
  <c r="X12" i="3576"/>
  <c r="B6" i="3576"/>
  <c r="B5" i="3576"/>
  <c r="AR30" i="3495"/>
  <c r="R30" i="3495"/>
  <c r="AK30" i="3495" s="1" a="1"/>
  <c r="AK30" i="3495" s="1"/>
  <c r="Q30" i="3495"/>
  <c r="P30" i="3495"/>
  <c r="O30" i="3495"/>
  <c r="M30" i="3495"/>
  <c r="L30" i="3495"/>
  <c r="K30" i="3495"/>
  <c r="J30" i="3495"/>
  <c r="I30" i="3495"/>
  <c r="AR29" i="3495"/>
  <c r="AK29" i="3495"/>
  <c r="AH29" i="3495"/>
  <c r="R29" i="3495"/>
  <c r="AK29" i="3495" s="1" a="1"/>
  <c r="P29" i="3495"/>
  <c r="O29" i="3495"/>
  <c r="M29" i="3495"/>
  <c r="L29" i="3495"/>
  <c r="K29" i="3495"/>
  <c r="J29" i="3495"/>
  <c r="I29" i="3495"/>
  <c r="AR28" i="3495"/>
  <c r="AK28" i="3495" a="1"/>
  <c r="AK28" i="3495"/>
  <c r="AH28" i="3495"/>
  <c r="R28" i="3495"/>
  <c r="P28" i="3495"/>
  <c r="O28" i="3495"/>
  <c r="M28" i="3495"/>
  <c r="L28" i="3495"/>
  <c r="K28" i="3495"/>
  <c r="J28" i="3495"/>
  <c r="I28" i="3495"/>
  <c r="BR27" i="3495"/>
  <c r="BQ27" i="3495"/>
  <c r="BP27" i="3495"/>
  <c r="BO27" i="3495" a="1"/>
  <c r="BO27" i="3495"/>
  <c r="BL27" i="3495"/>
  <c r="BK27" i="3495"/>
  <c r="BG27" i="3495"/>
  <c r="BF27" i="3495"/>
  <c r="BB27" i="3495"/>
  <c r="BA27" i="3495"/>
  <c r="AZ27" i="3495" a="1"/>
  <c r="AZ27" i="3495" s="1"/>
  <c r="AX27" i="3495" a="1"/>
  <c r="AX27" i="3495" s="1"/>
  <c r="AW27" i="3495"/>
  <c r="AV27" i="3495"/>
  <c r="AU27" i="3495" a="1"/>
  <c r="AU27" i="3495"/>
  <c r="AR27" i="3495"/>
  <c r="AK27" i="3495" a="1"/>
  <c r="AK27" i="3495" s="1"/>
  <c r="AH27" i="3495"/>
  <c r="R27" i="3495"/>
  <c r="BR27" i="3495" s="1" a="1"/>
  <c r="P27" i="3495"/>
  <c r="O27" i="3495"/>
  <c r="M27" i="3495"/>
  <c r="L27" i="3495"/>
  <c r="K27" i="3495"/>
  <c r="J27" i="3495"/>
  <c r="I27" i="3495"/>
  <c r="BQ26" i="3495"/>
  <c r="BP26" i="3495"/>
  <c r="BO26" i="3495" a="1"/>
  <c r="BO26" i="3495"/>
  <c r="BL26" i="3495"/>
  <c r="BK26" i="3495"/>
  <c r="BG26" i="3495"/>
  <c r="BF26" i="3495"/>
  <c r="BB26" i="3495"/>
  <c r="BA26" i="3495"/>
  <c r="AW26" i="3495"/>
  <c r="AV26" i="3495"/>
  <c r="AR26" i="3495"/>
  <c r="AK26" i="3495" a="1"/>
  <c r="AK26" i="3495" s="1"/>
  <c r="AH26" i="3495"/>
  <c r="AC26" i="3495"/>
  <c r="X26" i="3495"/>
  <c r="R26" i="3495"/>
  <c r="BR26" i="3495" s="1" a="1"/>
  <c r="BR26" i="3495" s="1"/>
  <c r="M26" i="3495"/>
  <c r="L26" i="3495"/>
  <c r="K26" i="3495"/>
  <c r="J26" i="3495"/>
  <c r="I26" i="3495"/>
  <c r="BQ25" i="3495"/>
  <c r="BP25" i="3495"/>
  <c r="BL25" i="3495"/>
  <c r="BK25" i="3495"/>
  <c r="BG25" i="3495"/>
  <c r="BF25" i="3495"/>
  <c r="BB25" i="3495"/>
  <c r="BA25" i="3495"/>
  <c r="AW25" i="3495"/>
  <c r="AV25" i="3495"/>
  <c r="AR25" i="3495"/>
  <c r="AM25" i="3495"/>
  <c r="AH25" i="3495"/>
  <c r="AC25" i="3495"/>
  <c r="X25" i="3495"/>
  <c r="M25" i="3495"/>
  <c r="L25" i="3495"/>
  <c r="K25" i="3495"/>
  <c r="J25" i="3495"/>
  <c r="I25" i="3495"/>
  <c r="BQ24" i="3495"/>
  <c r="BP24" i="3495"/>
  <c r="BL24" i="3495"/>
  <c r="BK24" i="3495"/>
  <c r="BG24" i="3495"/>
  <c r="BF24" i="3495"/>
  <c r="BB24" i="3495"/>
  <c r="BA24" i="3495"/>
  <c r="AW24" i="3495"/>
  <c r="AV24" i="3495"/>
  <c r="AR24" i="3495"/>
  <c r="AM24" i="3495"/>
  <c r="AH24" i="3495"/>
  <c r="AC24" i="3495"/>
  <c r="X24" i="3495"/>
  <c r="M24" i="3495"/>
  <c r="L24" i="3495"/>
  <c r="K24" i="3495"/>
  <c r="J24" i="3495"/>
  <c r="I24" i="3495"/>
  <c r="BQ23" i="3495"/>
  <c r="BP23" i="3495"/>
  <c r="BL23" i="3495"/>
  <c r="BK23" i="3495"/>
  <c r="BG23" i="3495"/>
  <c r="BF23" i="3495"/>
  <c r="BB23" i="3495"/>
  <c r="BA23" i="3495"/>
  <c r="AW23" i="3495"/>
  <c r="AV23" i="3495"/>
  <c r="AR23" i="3495"/>
  <c r="AM23" i="3495"/>
  <c r="AH23" i="3495"/>
  <c r="AC23" i="3495"/>
  <c r="X23" i="3495"/>
  <c r="M23" i="3495"/>
  <c r="L23" i="3495"/>
  <c r="K23" i="3495"/>
  <c r="J23" i="3495"/>
  <c r="I23" i="3495"/>
  <c r="BQ22" i="3495"/>
  <c r="BP22" i="3495"/>
  <c r="BL22" i="3495"/>
  <c r="BK22" i="3495"/>
  <c r="BG22" i="3495"/>
  <c r="BF22" i="3495"/>
  <c r="BB22" i="3495"/>
  <c r="BA22" i="3495"/>
  <c r="AW22" i="3495"/>
  <c r="AV22" i="3495"/>
  <c r="AR22" i="3495"/>
  <c r="AM22" i="3495"/>
  <c r="AH22" i="3495"/>
  <c r="AC22" i="3495"/>
  <c r="X22" i="3495"/>
  <c r="M22" i="3495"/>
  <c r="L22" i="3495"/>
  <c r="K22" i="3495"/>
  <c r="J22" i="3495"/>
  <c r="I22" i="3495"/>
  <c r="BQ20" i="3495"/>
  <c r="BP20" i="3495"/>
  <c r="BL20" i="3495"/>
  <c r="BK20" i="3495"/>
  <c r="BG20" i="3495"/>
  <c r="BF20" i="3495"/>
  <c r="BB20" i="3495"/>
  <c r="BA20" i="3495"/>
  <c r="AW20" i="3495"/>
  <c r="AV20" i="3495"/>
  <c r="AR20" i="3495"/>
  <c r="AM20" i="3495"/>
  <c r="AH20" i="3495"/>
  <c r="AC20" i="3495"/>
  <c r="X20" i="3495"/>
  <c r="M20" i="3495"/>
  <c r="L20" i="3495"/>
  <c r="K20" i="3495"/>
  <c r="J20" i="3495"/>
  <c r="I20" i="3495"/>
  <c r="AK19" i="3495" a="1"/>
  <c r="AK19" i="3495" s="1"/>
  <c r="AF19" i="3495" a="1"/>
  <c r="AF19" i="3495"/>
  <c r="AA19" i="3495" a="1"/>
  <c r="AA19" i="3495" s="1"/>
  <c r="V19" i="3495" a="1"/>
  <c r="V19" i="3495" s="1"/>
  <c r="S19" i="3495"/>
  <c r="AP19" i="3495" s="1" a="1"/>
  <c r="AP19" i="3495" s="1"/>
  <c r="R19" i="3495"/>
  <c r="Q19" i="3495"/>
  <c r="P19" i="3495"/>
  <c r="O19" i="3495"/>
  <c r="M19" i="3495"/>
  <c r="L19" i="3495"/>
  <c r="K19" i="3495"/>
  <c r="J19" i="3495"/>
  <c r="I19" i="3495"/>
  <c r="BR18" i="3495" a="1"/>
  <c r="BR18" i="3495" s="1"/>
  <c r="BQ18" i="3495"/>
  <c r="BP18" i="3495"/>
  <c r="BO18" i="3495" a="1"/>
  <c r="BO18" i="3495" s="1"/>
  <c r="BM18" i="3495" a="1"/>
  <c r="BM18" i="3495" s="1"/>
  <c r="BL18" i="3495"/>
  <c r="BK18" i="3495"/>
  <c r="BJ18" i="3495"/>
  <c r="BH18" i="3495" a="1"/>
  <c r="BH18" i="3495"/>
  <c r="BG18" i="3495"/>
  <c r="BF18" i="3495"/>
  <c r="BB18" i="3495"/>
  <c r="BA18" i="3495"/>
  <c r="AZ18" i="3495" a="1"/>
  <c r="AZ18" i="3495"/>
  <c r="AW18" i="3495"/>
  <c r="AV18" i="3495"/>
  <c r="AU18" i="3495" a="1"/>
  <c r="AU18" i="3495" s="1"/>
  <c r="AS18" i="3495" a="1"/>
  <c r="AS18" i="3495"/>
  <c r="AR18" i="3495"/>
  <c r="AP18" i="3495" a="1"/>
  <c r="AP18" i="3495"/>
  <c r="AN18" i="3495" a="1"/>
  <c r="AN18" i="3495" s="1"/>
  <c r="AH18" i="3495"/>
  <c r="AF18" i="3495" a="1"/>
  <c r="AF18" i="3495" s="1"/>
  <c r="AG18" i="3495" s="1" a="1"/>
  <c r="AG18" i="3495" s="1"/>
  <c r="AD18" i="3495" a="1"/>
  <c r="AD18" i="3495"/>
  <c r="X18" i="3495"/>
  <c r="V18" i="3495" a="1"/>
  <c r="V18" i="3495" s="1"/>
  <c r="W18" i="3495" s="1" a="1"/>
  <c r="W18" i="3495" s="1"/>
  <c r="S18" i="3495"/>
  <c r="R18" i="3495"/>
  <c r="Q18" i="3495"/>
  <c r="P18" i="3495"/>
  <c r="BE18" i="3495" s="1" a="1"/>
  <c r="BE18" i="3495" s="1"/>
  <c r="O18" i="3495"/>
  <c r="AX18" i="3495" s="1" a="1"/>
  <c r="AX18" i="3495" s="1"/>
  <c r="M18" i="3495"/>
  <c r="L18" i="3495"/>
  <c r="K18" i="3495"/>
  <c r="J18" i="3495"/>
  <c r="I18" i="3495"/>
  <c r="X16" i="3495" a="1"/>
  <c r="X16" i="3495" s="1"/>
  <c r="S16" i="3495"/>
  <c r="R16" i="3495"/>
  <c r="Q16" i="3495"/>
  <c r="P16" i="3495"/>
  <c r="M16" i="3495"/>
  <c r="L16" i="3495"/>
  <c r="K16" i="3495"/>
  <c r="J16" i="3495"/>
  <c r="I16" i="3495"/>
  <c r="AV13" i="3495"/>
  <c r="X13" i="3495"/>
  <c r="H12" i="3495"/>
  <c r="AV11" i="3495"/>
  <c r="X11" i="3495"/>
  <c r="B7" i="3495"/>
  <c r="C3" i="3548"/>
  <c r="C2" i="3548"/>
  <c r="C19" i="3544"/>
  <c r="C18" i="3544"/>
  <c r="A4" i="3544"/>
  <c r="C8" i="3543"/>
  <c r="C7" i="3543"/>
  <c r="J4" i="3545"/>
  <c r="J3" i="3545"/>
  <c r="CF162" i="3448"/>
  <c r="CE162" i="3448"/>
  <c r="CD162" i="3448"/>
  <c r="CC162" i="3448"/>
  <c r="CB162" i="3448"/>
  <c r="CA162" i="3448"/>
  <c r="BY162" i="3448"/>
  <c r="BX162" i="3448"/>
  <c r="BW162" i="3448"/>
  <c r="BO162" i="3448"/>
  <c r="W162" i="3448"/>
  <c r="V162" i="3448"/>
  <c r="U162" i="3448"/>
  <c r="S162" i="3448" a="1"/>
  <c r="S162" i="3448"/>
  <c r="R162" i="3448"/>
  <c r="P162" i="3448" a="1"/>
  <c r="P162" i="3448"/>
  <c r="O162" i="3448" a="1"/>
  <c r="O162" i="3448"/>
  <c r="N162" i="3448" a="1"/>
  <c r="N162" i="3448"/>
  <c r="M162" i="3448" a="1"/>
  <c r="M162" i="3448"/>
  <c r="L162" i="3448" a="1"/>
  <c r="L162" i="3448"/>
  <c r="K162" i="3448" a="1"/>
  <c r="K162" i="3448"/>
  <c r="I162" i="3448"/>
  <c r="H162" i="3448" a="1"/>
  <c r="H162" i="3448"/>
  <c r="G162" i="3448" a="1"/>
  <c r="G162" i="3448"/>
  <c r="F162" i="3448" a="1"/>
  <c r="F162" i="3448"/>
  <c r="E162" i="3448" a="1"/>
  <c r="E162" i="3448"/>
  <c r="D162" i="3448" a="1"/>
  <c r="D162" i="3448"/>
  <c r="C162" i="3448" a="1"/>
  <c r="C162" i="3448"/>
  <c r="A162" i="3448"/>
  <c r="CF161" i="3448"/>
  <c r="CE161" i="3448"/>
  <c r="CD161" i="3448"/>
  <c r="CC161" i="3448"/>
  <c r="CB161" i="3448"/>
  <c r="CA161" i="3448"/>
  <c r="BY161" i="3448"/>
  <c r="BX161" i="3448"/>
  <c r="BW161" i="3448"/>
  <c r="BO161" i="3448"/>
  <c r="W161" i="3448"/>
  <c r="V161" i="3448"/>
  <c r="U161" i="3448"/>
  <c r="S161" i="3448" a="1"/>
  <c r="S161" i="3448"/>
  <c r="R161" i="3448"/>
  <c r="P161" i="3448" a="1"/>
  <c r="P161" i="3448"/>
  <c r="O161" i="3448" a="1"/>
  <c r="O161" i="3448"/>
  <c r="N161" i="3448" a="1"/>
  <c r="N161" i="3448"/>
  <c r="M161" i="3448" a="1"/>
  <c r="M161" i="3448"/>
  <c r="L161" i="3448" a="1"/>
  <c r="L161" i="3448"/>
  <c r="K161" i="3448" a="1"/>
  <c r="K161" i="3448"/>
  <c r="I161" i="3448"/>
  <c r="H161" i="3448" a="1"/>
  <c r="H161" i="3448"/>
  <c r="G161" i="3448" a="1"/>
  <c r="G161" i="3448"/>
  <c r="F161" i="3448" a="1"/>
  <c r="F161" i="3448"/>
  <c r="E161" i="3448" a="1"/>
  <c r="E161" i="3448"/>
  <c r="D161" i="3448" a="1"/>
  <c r="D161" i="3448"/>
  <c r="C161" i="3448" a="1"/>
  <c r="C161" i="3448"/>
  <c r="A161" i="3448"/>
  <c r="CF160" i="3448"/>
  <c r="CE160" i="3448"/>
  <c r="CD160" i="3448"/>
  <c r="CC160" i="3448"/>
  <c r="CB160" i="3448"/>
  <c r="CA160" i="3448"/>
  <c r="BY160" i="3448"/>
  <c r="BX160" i="3448"/>
  <c r="BW160" i="3448"/>
  <c r="BO160" i="3448"/>
  <c r="W160" i="3448"/>
  <c r="V160" i="3448"/>
  <c r="U160" i="3448"/>
  <c r="S160" i="3448" a="1"/>
  <c r="S160" i="3448"/>
  <c r="R160" i="3448"/>
  <c r="P160" i="3448" a="1"/>
  <c r="P160" i="3448"/>
  <c r="O160" i="3448" a="1"/>
  <c r="O160" i="3448"/>
  <c r="N160" i="3448" a="1"/>
  <c r="N160" i="3448"/>
  <c r="M160" i="3448" a="1"/>
  <c r="M160" i="3448"/>
  <c r="L160" i="3448" a="1"/>
  <c r="L160" i="3448"/>
  <c r="K160" i="3448" a="1"/>
  <c r="K160" i="3448"/>
  <c r="I160" i="3448"/>
  <c r="H160" i="3448" a="1"/>
  <c r="H160" i="3448"/>
  <c r="G160" i="3448" a="1"/>
  <c r="G160" i="3448"/>
  <c r="F160" i="3448" a="1"/>
  <c r="F160" i="3448"/>
  <c r="E160" i="3448" a="1"/>
  <c r="E160" i="3448"/>
  <c r="D160" i="3448" a="1"/>
  <c r="D160" i="3448"/>
  <c r="C160" i="3448" a="1"/>
  <c r="C160" i="3448"/>
  <c r="A160" i="3448"/>
  <c r="CF159" i="3448"/>
  <c r="CE159" i="3448"/>
  <c r="CD159" i="3448"/>
  <c r="CC159" i="3448"/>
  <c r="CB159" i="3448"/>
  <c r="CA159" i="3448"/>
  <c r="BY159" i="3448"/>
  <c r="BX159" i="3448"/>
  <c r="BW159" i="3448"/>
  <c r="BO159" i="3448"/>
  <c r="W159" i="3448"/>
  <c r="V159" i="3448"/>
  <c r="U159" i="3448"/>
  <c r="S159" i="3448" a="1"/>
  <c r="S159" i="3448"/>
  <c r="R159" i="3448"/>
  <c r="P159" i="3448" a="1"/>
  <c r="P159" i="3448"/>
  <c r="O159" i="3448" a="1"/>
  <c r="O159" i="3448"/>
  <c r="N159" i="3448" a="1"/>
  <c r="N159" i="3448"/>
  <c r="M159" i="3448" a="1"/>
  <c r="M159" i="3448"/>
  <c r="L159" i="3448" a="1"/>
  <c r="L159" i="3448"/>
  <c r="K159" i="3448" a="1"/>
  <c r="K159" i="3448"/>
  <c r="I159" i="3448"/>
  <c r="H159" i="3448" a="1"/>
  <c r="H159" i="3448"/>
  <c r="G159" i="3448" a="1"/>
  <c r="G159" i="3448"/>
  <c r="F159" i="3448" a="1"/>
  <c r="F159" i="3448"/>
  <c r="E159" i="3448" a="1"/>
  <c r="E159" i="3448"/>
  <c r="D159" i="3448" a="1"/>
  <c r="D159" i="3448"/>
  <c r="C159" i="3448" a="1"/>
  <c r="C159" i="3448"/>
  <c r="A159" i="3448"/>
  <c r="CF158" i="3448"/>
  <c r="CE158" i="3448"/>
  <c r="CD158" i="3448"/>
  <c r="CC158" i="3448"/>
  <c r="CB158" i="3448"/>
  <c r="CA158" i="3448"/>
  <c r="BY158" i="3448"/>
  <c r="BX158" i="3448"/>
  <c r="BW158" i="3448"/>
  <c r="BO158" i="3448"/>
  <c r="W158" i="3448"/>
  <c r="V158" i="3448"/>
  <c r="U158" i="3448"/>
  <c r="S158" i="3448" a="1"/>
  <c r="S158" i="3448"/>
  <c r="R158" i="3448"/>
  <c r="P158" i="3448" a="1"/>
  <c r="P158" i="3448"/>
  <c r="O158" i="3448" a="1"/>
  <c r="O158" i="3448"/>
  <c r="N158" i="3448" a="1"/>
  <c r="N158" i="3448"/>
  <c r="M158" i="3448" a="1"/>
  <c r="M158" i="3448"/>
  <c r="L158" i="3448" a="1"/>
  <c r="L158" i="3448"/>
  <c r="K158" i="3448" a="1"/>
  <c r="K158" i="3448"/>
  <c r="I158" i="3448"/>
  <c r="H158" i="3448" a="1"/>
  <c r="H158" i="3448"/>
  <c r="G158" i="3448" a="1"/>
  <c r="G158" i="3448"/>
  <c r="F158" i="3448" a="1"/>
  <c r="F158" i="3448"/>
  <c r="E158" i="3448" a="1"/>
  <c r="E158" i="3448"/>
  <c r="D158" i="3448" a="1"/>
  <c r="D158" i="3448"/>
  <c r="C158" i="3448" a="1"/>
  <c r="C158" i="3448"/>
  <c r="A158" i="3448"/>
  <c r="CF157" i="3448"/>
  <c r="CE157" i="3448"/>
  <c r="CD157" i="3448"/>
  <c r="CC157" i="3448"/>
  <c r="CB157" i="3448"/>
  <c r="CA157" i="3448"/>
  <c r="BY157" i="3448"/>
  <c r="BX157" i="3448"/>
  <c r="BW157" i="3448"/>
  <c r="BO157" i="3448"/>
  <c r="W157" i="3448"/>
  <c r="V157" i="3448"/>
  <c r="U157" i="3448"/>
  <c r="S157" i="3448" a="1"/>
  <c r="S157" i="3448"/>
  <c r="R157" i="3448"/>
  <c r="P157" i="3448" a="1"/>
  <c r="P157" i="3448"/>
  <c r="O157" i="3448" a="1"/>
  <c r="O157" i="3448"/>
  <c r="N157" i="3448" a="1"/>
  <c r="N157" i="3448"/>
  <c r="M157" i="3448" a="1"/>
  <c r="M157" i="3448"/>
  <c r="L157" i="3448" a="1"/>
  <c r="L157" i="3448"/>
  <c r="K157" i="3448" a="1"/>
  <c r="K157" i="3448"/>
  <c r="I157" i="3448"/>
  <c r="H157" i="3448" a="1"/>
  <c r="H157" i="3448"/>
  <c r="G157" i="3448" a="1"/>
  <c r="G157" i="3448"/>
  <c r="F157" i="3448" a="1"/>
  <c r="F157" i="3448"/>
  <c r="E157" i="3448" a="1"/>
  <c r="E157" i="3448"/>
  <c r="D157" i="3448" a="1"/>
  <c r="D157" i="3448"/>
  <c r="C157" i="3448" a="1"/>
  <c r="C157" i="3448"/>
  <c r="A157" i="3448"/>
  <c r="CF156" i="3448"/>
  <c r="CE156" i="3448"/>
  <c r="CD156" i="3448"/>
  <c r="CC156" i="3448"/>
  <c r="CB156" i="3448"/>
  <c r="CA156" i="3448"/>
  <c r="BY156" i="3448"/>
  <c r="BX156" i="3448"/>
  <c r="BW156" i="3448"/>
  <c r="BO156" i="3448"/>
  <c r="W156" i="3448"/>
  <c r="V156" i="3448"/>
  <c r="U156" i="3448"/>
  <c r="S156" i="3448" a="1"/>
  <c r="S156" i="3448"/>
  <c r="R156" i="3448"/>
  <c r="P156" i="3448" a="1"/>
  <c r="P156" i="3448"/>
  <c r="O156" i="3448" a="1"/>
  <c r="O156" i="3448"/>
  <c r="N156" i="3448" a="1"/>
  <c r="N156" i="3448"/>
  <c r="M156" i="3448" a="1"/>
  <c r="M156" i="3448"/>
  <c r="L156" i="3448" a="1"/>
  <c r="L156" i="3448"/>
  <c r="K156" i="3448" a="1"/>
  <c r="K156" i="3448"/>
  <c r="I156" i="3448"/>
  <c r="H156" i="3448" a="1"/>
  <c r="H156" i="3448"/>
  <c r="G156" i="3448" a="1"/>
  <c r="G156" i="3448"/>
  <c r="F156" i="3448" a="1"/>
  <c r="F156" i="3448"/>
  <c r="E156" i="3448" a="1"/>
  <c r="E156" i="3448"/>
  <c r="D156" i="3448" a="1"/>
  <c r="D156" i="3448"/>
  <c r="C156" i="3448" a="1"/>
  <c r="C156" i="3448"/>
  <c r="A156" i="3448"/>
  <c r="CF155" i="3448"/>
  <c r="CE155" i="3448"/>
  <c r="CD155" i="3448"/>
  <c r="CC155" i="3448"/>
  <c r="CB155" i="3448"/>
  <c r="CA155" i="3448"/>
  <c r="BY155" i="3448"/>
  <c r="BX155" i="3448"/>
  <c r="BW155" i="3448"/>
  <c r="BO155" i="3448"/>
  <c r="W155" i="3448"/>
  <c r="V155" i="3448"/>
  <c r="U155" i="3448"/>
  <c r="S155" i="3448" a="1"/>
  <c r="S155" i="3448"/>
  <c r="R155" i="3448"/>
  <c r="P155" i="3448" a="1"/>
  <c r="P155" i="3448"/>
  <c r="O155" i="3448" a="1"/>
  <c r="O155" i="3448"/>
  <c r="N155" i="3448" a="1"/>
  <c r="N155" i="3448"/>
  <c r="M155" i="3448" a="1"/>
  <c r="M155" i="3448"/>
  <c r="L155" i="3448" a="1"/>
  <c r="L155" i="3448"/>
  <c r="K155" i="3448" a="1"/>
  <c r="K155" i="3448"/>
  <c r="I155" i="3448"/>
  <c r="H155" i="3448" a="1"/>
  <c r="H155" i="3448"/>
  <c r="G155" i="3448" a="1"/>
  <c r="G155" i="3448"/>
  <c r="F155" i="3448" a="1"/>
  <c r="F155" i="3448"/>
  <c r="E155" i="3448" a="1"/>
  <c r="E155" i="3448"/>
  <c r="D155" i="3448" a="1"/>
  <c r="D155" i="3448"/>
  <c r="C155" i="3448" a="1"/>
  <c r="C155" i="3448"/>
  <c r="A155" i="3448"/>
  <c r="CF154" i="3448"/>
  <c r="CE154" i="3448"/>
  <c r="CD154" i="3448"/>
  <c r="CC154" i="3448"/>
  <c r="CB154" i="3448"/>
  <c r="CA154" i="3448"/>
  <c r="BY154" i="3448"/>
  <c r="BX154" i="3448"/>
  <c r="BW154" i="3448"/>
  <c r="BO154" i="3448"/>
  <c r="W154" i="3448"/>
  <c r="V154" i="3448"/>
  <c r="U154" i="3448"/>
  <c r="S154" i="3448" a="1"/>
  <c r="S154" i="3448"/>
  <c r="R154" i="3448"/>
  <c r="P154" i="3448" a="1"/>
  <c r="P154" i="3448"/>
  <c r="O154" i="3448" a="1"/>
  <c r="O154" i="3448"/>
  <c r="N154" i="3448" a="1"/>
  <c r="N154" i="3448"/>
  <c r="M154" i="3448" a="1"/>
  <c r="M154" i="3448"/>
  <c r="L154" i="3448" a="1"/>
  <c r="L154" i="3448"/>
  <c r="K154" i="3448" a="1"/>
  <c r="K154" i="3448"/>
  <c r="I154" i="3448"/>
  <c r="H154" i="3448" a="1"/>
  <c r="H154" i="3448"/>
  <c r="G154" i="3448" a="1"/>
  <c r="G154" i="3448"/>
  <c r="F154" i="3448" a="1"/>
  <c r="F154" i="3448"/>
  <c r="E154" i="3448" a="1"/>
  <c r="E154" i="3448"/>
  <c r="D154" i="3448" a="1"/>
  <c r="D154" i="3448"/>
  <c r="C154" i="3448" a="1"/>
  <c r="C154" i="3448"/>
  <c r="A154" i="3448"/>
  <c r="CF153" i="3448"/>
  <c r="CE153" i="3448"/>
  <c r="CD153" i="3448"/>
  <c r="CC153" i="3448"/>
  <c r="CB153" i="3448"/>
  <c r="CA153" i="3448"/>
  <c r="BY153" i="3448"/>
  <c r="BX153" i="3448"/>
  <c r="BW153" i="3448"/>
  <c r="BO153" i="3448"/>
  <c r="W153" i="3448"/>
  <c r="V153" i="3448"/>
  <c r="U153" i="3448"/>
  <c r="S153" i="3448" a="1"/>
  <c r="S153" i="3448"/>
  <c r="R153" i="3448"/>
  <c r="P153" i="3448" a="1"/>
  <c r="P153" i="3448"/>
  <c r="O153" i="3448" a="1"/>
  <c r="O153" i="3448"/>
  <c r="N153" i="3448" a="1"/>
  <c r="N153" i="3448"/>
  <c r="M153" i="3448" a="1"/>
  <c r="M153" i="3448"/>
  <c r="L153" i="3448" a="1"/>
  <c r="L153" i="3448"/>
  <c r="K153" i="3448" a="1"/>
  <c r="K153" i="3448"/>
  <c r="I153" i="3448"/>
  <c r="H153" i="3448" a="1"/>
  <c r="H153" i="3448"/>
  <c r="G153" i="3448" a="1"/>
  <c r="G153" i="3448"/>
  <c r="F153" i="3448" a="1"/>
  <c r="F153" i="3448"/>
  <c r="E153" i="3448" a="1"/>
  <c r="E153" i="3448"/>
  <c r="D153" i="3448" a="1"/>
  <c r="D153" i="3448"/>
  <c r="C153" i="3448" a="1"/>
  <c r="C153" i="3448"/>
  <c r="A153" i="3448"/>
  <c r="CF152" i="3448"/>
  <c r="CE152" i="3448"/>
  <c r="CD152" i="3448"/>
  <c r="CC152" i="3448"/>
  <c r="CB152" i="3448"/>
  <c r="CA152" i="3448"/>
  <c r="BY152" i="3448"/>
  <c r="BX152" i="3448"/>
  <c r="BW152" i="3448"/>
  <c r="BO152" i="3448"/>
  <c r="W152" i="3448"/>
  <c r="V152" i="3448"/>
  <c r="U152" i="3448"/>
  <c r="S152" i="3448" a="1"/>
  <c r="S152" i="3448"/>
  <c r="R152" i="3448"/>
  <c r="P152" i="3448" a="1"/>
  <c r="P152" i="3448"/>
  <c r="O152" i="3448" a="1"/>
  <c r="O152" i="3448"/>
  <c r="N152" i="3448" a="1"/>
  <c r="N152" i="3448"/>
  <c r="M152" i="3448" a="1"/>
  <c r="M152" i="3448"/>
  <c r="L152" i="3448" a="1"/>
  <c r="L152" i="3448"/>
  <c r="K152" i="3448" a="1"/>
  <c r="K152" i="3448"/>
  <c r="I152" i="3448"/>
  <c r="H152" i="3448" a="1"/>
  <c r="H152" i="3448"/>
  <c r="G152" i="3448" a="1"/>
  <c r="G152" i="3448"/>
  <c r="F152" i="3448" a="1"/>
  <c r="F152" i="3448"/>
  <c r="E152" i="3448" a="1"/>
  <c r="E152" i="3448"/>
  <c r="D152" i="3448" a="1"/>
  <c r="D152" i="3448"/>
  <c r="C152" i="3448" a="1"/>
  <c r="C152" i="3448"/>
  <c r="A152" i="3448"/>
  <c r="CF151" i="3448"/>
  <c r="CE151" i="3448"/>
  <c r="CD151" i="3448"/>
  <c r="CC151" i="3448"/>
  <c r="CB151" i="3448"/>
  <c r="CA151" i="3448"/>
  <c r="BY151" i="3448"/>
  <c r="BX151" i="3448"/>
  <c r="BW151" i="3448"/>
  <c r="BO151" i="3448"/>
  <c r="W151" i="3448"/>
  <c r="V151" i="3448"/>
  <c r="U151" i="3448"/>
  <c r="S151" i="3448" a="1"/>
  <c r="S151" i="3448"/>
  <c r="R151" i="3448"/>
  <c r="P151" i="3448" a="1"/>
  <c r="P151" i="3448"/>
  <c r="O151" i="3448" a="1"/>
  <c r="O151" i="3448"/>
  <c r="N151" i="3448" a="1"/>
  <c r="N151" i="3448"/>
  <c r="M151" i="3448" a="1"/>
  <c r="M151" i="3448"/>
  <c r="L151" i="3448" a="1"/>
  <c r="L151" i="3448"/>
  <c r="K151" i="3448" a="1"/>
  <c r="K151" i="3448"/>
  <c r="I151" i="3448"/>
  <c r="H151" i="3448" a="1"/>
  <c r="H151" i="3448"/>
  <c r="G151" i="3448" a="1"/>
  <c r="G151" i="3448"/>
  <c r="F151" i="3448" a="1"/>
  <c r="F151" i="3448"/>
  <c r="E151" i="3448" a="1"/>
  <c r="E151" i="3448"/>
  <c r="D151" i="3448" a="1"/>
  <c r="D151" i="3448"/>
  <c r="C151" i="3448" a="1"/>
  <c r="C151" i="3448"/>
  <c r="A151" i="3448"/>
  <c r="CF150" i="3448"/>
  <c r="CE150" i="3448"/>
  <c r="CD150" i="3448"/>
  <c r="CC150" i="3448"/>
  <c r="CB150" i="3448"/>
  <c r="CA150" i="3448"/>
  <c r="BY150" i="3448"/>
  <c r="BX150" i="3448"/>
  <c r="BW150" i="3448"/>
  <c r="BO150" i="3448"/>
  <c r="W150" i="3448"/>
  <c r="V150" i="3448"/>
  <c r="U150" i="3448"/>
  <c r="S150" i="3448" a="1"/>
  <c r="S150" i="3448"/>
  <c r="R150" i="3448"/>
  <c r="P150" i="3448" a="1"/>
  <c r="P150" i="3448"/>
  <c r="O150" i="3448" a="1"/>
  <c r="O150" i="3448"/>
  <c r="N150" i="3448" a="1"/>
  <c r="N150" i="3448"/>
  <c r="M150" i="3448" a="1"/>
  <c r="M150" i="3448"/>
  <c r="L150" i="3448" a="1"/>
  <c r="L150" i="3448"/>
  <c r="K150" i="3448" a="1"/>
  <c r="K150" i="3448"/>
  <c r="I150" i="3448"/>
  <c r="H150" i="3448" a="1"/>
  <c r="H150" i="3448"/>
  <c r="G150" i="3448" a="1"/>
  <c r="G150" i="3448"/>
  <c r="F150" i="3448" a="1"/>
  <c r="F150" i="3448"/>
  <c r="E150" i="3448" a="1"/>
  <c r="E150" i="3448"/>
  <c r="D150" i="3448" a="1"/>
  <c r="D150" i="3448"/>
  <c r="C150" i="3448" a="1"/>
  <c r="C150" i="3448"/>
  <c r="A150" i="3448"/>
  <c r="CF149" i="3448"/>
  <c r="CE149" i="3448"/>
  <c r="CD149" i="3448"/>
  <c r="CC149" i="3448"/>
  <c r="CB149" i="3448"/>
  <c r="CA149" i="3448"/>
  <c r="BY149" i="3448"/>
  <c r="BX149" i="3448"/>
  <c r="BW149" i="3448"/>
  <c r="BO149" i="3448"/>
  <c r="W149" i="3448"/>
  <c r="V149" i="3448"/>
  <c r="U149" i="3448"/>
  <c r="S149" i="3448" a="1"/>
  <c r="S149" i="3448"/>
  <c r="R149" i="3448"/>
  <c r="P149" i="3448" a="1"/>
  <c r="P149" i="3448"/>
  <c r="O149" i="3448" a="1"/>
  <c r="O149" i="3448"/>
  <c r="N149" i="3448" a="1"/>
  <c r="N149" i="3448"/>
  <c r="M149" i="3448" a="1"/>
  <c r="M149" i="3448"/>
  <c r="L149" i="3448" a="1"/>
  <c r="L149" i="3448"/>
  <c r="K149" i="3448" a="1"/>
  <c r="K149" i="3448"/>
  <c r="I149" i="3448"/>
  <c r="H149" i="3448" a="1"/>
  <c r="H149" i="3448"/>
  <c r="G149" i="3448" a="1"/>
  <c r="G149" i="3448"/>
  <c r="F149" i="3448" a="1"/>
  <c r="F149" i="3448"/>
  <c r="E149" i="3448" a="1"/>
  <c r="E149" i="3448"/>
  <c r="D149" i="3448" a="1"/>
  <c r="D149" i="3448"/>
  <c r="C149" i="3448" a="1"/>
  <c r="C149" i="3448"/>
  <c r="A149" i="3448"/>
  <c r="CF148" i="3448"/>
  <c r="CE148" i="3448"/>
  <c r="CD148" i="3448"/>
  <c r="CC148" i="3448"/>
  <c r="CB148" i="3448"/>
  <c r="CA148" i="3448"/>
  <c r="BY148" i="3448"/>
  <c r="BX148" i="3448"/>
  <c r="BW148" i="3448"/>
  <c r="BO148" i="3448"/>
  <c r="W148" i="3448"/>
  <c r="V148" i="3448"/>
  <c r="U148" i="3448"/>
  <c r="S148" i="3448" a="1"/>
  <c r="S148" i="3448"/>
  <c r="R148" i="3448"/>
  <c r="P148" i="3448" a="1"/>
  <c r="P148" i="3448"/>
  <c r="O148" i="3448" a="1"/>
  <c r="O148" i="3448"/>
  <c r="N148" i="3448" a="1"/>
  <c r="N148" i="3448"/>
  <c r="M148" i="3448" a="1"/>
  <c r="M148" i="3448"/>
  <c r="L148" i="3448" a="1"/>
  <c r="L148" i="3448"/>
  <c r="K148" i="3448" a="1"/>
  <c r="K148" i="3448"/>
  <c r="I148" i="3448"/>
  <c r="H148" i="3448" a="1"/>
  <c r="H148" i="3448"/>
  <c r="G148" i="3448" a="1"/>
  <c r="G148" i="3448"/>
  <c r="F148" i="3448" a="1"/>
  <c r="F148" i="3448"/>
  <c r="E148" i="3448" a="1"/>
  <c r="E148" i="3448"/>
  <c r="D148" i="3448" a="1"/>
  <c r="D148" i="3448"/>
  <c r="C148" i="3448" a="1"/>
  <c r="C148" i="3448"/>
  <c r="A148" i="3448"/>
  <c r="CF147" i="3448"/>
  <c r="CE147" i="3448"/>
  <c r="CD147" i="3448"/>
  <c r="CC147" i="3448"/>
  <c r="CB147" i="3448"/>
  <c r="CA147" i="3448"/>
  <c r="BY147" i="3448"/>
  <c r="BX147" i="3448"/>
  <c r="BW147" i="3448"/>
  <c r="BO147" i="3448"/>
  <c r="W147" i="3448"/>
  <c r="V147" i="3448"/>
  <c r="U147" i="3448"/>
  <c r="S147" i="3448" a="1"/>
  <c r="S147" i="3448"/>
  <c r="R147" i="3448"/>
  <c r="P147" i="3448" a="1"/>
  <c r="P147" i="3448"/>
  <c r="O147" i="3448" a="1"/>
  <c r="O147" i="3448"/>
  <c r="N147" i="3448" a="1"/>
  <c r="N147" i="3448"/>
  <c r="M147" i="3448" a="1"/>
  <c r="M147" i="3448"/>
  <c r="L147" i="3448" a="1"/>
  <c r="L147" i="3448"/>
  <c r="K147" i="3448" a="1"/>
  <c r="K147" i="3448"/>
  <c r="I147" i="3448"/>
  <c r="H147" i="3448" a="1"/>
  <c r="H147" i="3448"/>
  <c r="G147" i="3448" a="1"/>
  <c r="G147" i="3448"/>
  <c r="F147" i="3448" a="1"/>
  <c r="F147" i="3448"/>
  <c r="E147" i="3448" a="1"/>
  <c r="E147" i="3448"/>
  <c r="D147" i="3448" a="1"/>
  <c r="D147" i="3448"/>
  <c r="C147" i="3448" a="1"/>
  <c r="C147" i="3448"/>
  <c r="A147" i="3448"/>
  <c r="CF146" i="3448"/>
  <c r="CE146" i="3448"/>
  <c r="CD146" i="3448"/>
  <c r="CC146" i="3448"/>
  <c r="CB146" i="3448"/>
  <c r="CA146" i="3448"/>
  <c r="BY146" i="3448"/>
  <c r="BX146" i="3448"/>
  <c r="BW146" i="3448"/>
  <c r="BO146" i="3448"/>
  <c r="W146" i="3448"/>
  <c r="V146" i="3448"/>
  <c r="U146" i="3448"/>
  <c r="S146" i="3448" a="1"/>
  <c r="S146" i="3448"/>
  <c r="R146" i="3448"/>
  <c r="P146" i="3448" a="1"/>
  <c r="P146" i="3448"/>
  <c r="O146" i="3448" a="1"/>
  <c r="O146" i="3448"/>
  <c r="N146" i="3448" a="1"/>
  <c r="N146" i="3448"/>
  <c r="M146" i="3448" a="1"/>
  <c r="M146" i="3448"/>
  <c r="L146" i="3448" a="1"/>
  <c r="L146" i="3448"/>
  <c r="K146" i="3448" a="1"/>
  <c r="K146" i="3448"/>
  <c r="I146" i="3448"/>
  <c r="H146" i="3448" a="1"/>
  <c r="H146" i="3448"/>
  <c r="G146" i="3448" a="1"/>
  <c r="G146" i="3448"/>
  <c r="F146" i="3448" a="1"/>
  <c r="F146" i="3448"/>
  <c r="E146" i="3448" a="1"/>
  <c r="E146" i="3448"/>
  <c r="D146" i="3448" a="1"/>
  <c r="D146" i="3448"/>
  <c r="C146" i="3448" a="1"/>
  <c r="C146" i="3448"/>
  <c r="A146" i="3448"/>
  <c r="CF145" i="3448"/>
  <c r="CE145" i="3448"/>
  <c r="CD145" i="3448"/>
  <c r="CC145" i="3448"/>
  <c r="CB145" i="3448"/>
  <c r="CA145" i="3448"/>
  <c r="BY145" i="3448"/>
  <c r="BX145" i="3448"/>
  <c r="BW145" i="3448"/>
  <c r="BO145" i="3448"/>
  <c r="W145" i="3448"/>
  <c r="V145" i="3448"/>
  <c r="U145" i="3448"/>
  <c r="S145" i="3448" a="1"/>
  <c r="S145" i="3448"/>
  <c r="R145" i="3448"/>
  <c r="P145" i="3448" a="1"/>
  <c r="P145" i="3448"/>
  <c r="O145" i="3448" a="1"/>
  <c r="O145" i="3448"/>
  <c r="N145" i="3448" a="1"/>
  <c r="N145" i="3448"/>
  <c r="M145" i="3448" a="1"/>
  <c r="M145" i="3448"/>
  <c r="L145" i="3448" a="1"/>
  <c r="L145" i="3448"/>
  <c r="K145" i="3448" a="1"/>
  <c r="K145" i="3448"/>
  <c r="I145" i="3448"/>
  <c r="H145" i="3448" a="1"/>
  <c r="H145" i="3448"/>
  <c r="G145" i="3448" a="1"/>
  <c r="G145" i="3448"/>
  <c r="F145" i="3448" a="1"/>
  <c r="F145" i="3448"/>
  <c r="E145" i="3448" a="1"/>
  <c r="E145" i="3448"/>
  <c r="D145" i="3448" a="1"/>
  <c r="D145" i="3448"/>
  <c r="C145" i="3448" a="1"/>
  <c r="C145" i="3448"/>
  <c r="A145" i="3448"/>
  <c r="CF144" i="3448"/>
  <c r="CE144" i="3448"/>
  <c r="CD144" i="3448"/>
  <c r="CC144" i="3448"/>
  <c r="CB144" i="3448"/>
  <c r="CA144" i="3448"/>
  <c r="BY144" i="3448"/>
  <c r="BX144" i="3448"/>
  <c r="BW144" i="3448"/>
  <c r="BO144" i="3448"/>
  <c r="W144" i="3448"/>
  <c r="V144" i="3448"/>
  <c r="U144" i="3448"/>
  <c r="S144" i="3448" a="1"/>
  <c r="S144" i="3448"/>
  <c r="R144" i="3448"/>
  <c r="P144" i="3448" a="1"/>
  <c r="P144" i="3448"/>
  <c r="O144" i="3448" a="1"/>
  <c r="O144" i="3448"/>
  <c r="N144" i="3448" a="1"/>
  <c r="N144" i="3448"/>
  <c r="M144" i="3448" a="1"/>
  <c r="M144" i="3448"/>
  <c r="L144" i="3448" a="1"/>
  <c r="L144" i="3448"/>
  <c r="K144" i="3448" a="1"/>
  <c r="K144" i="3448"/>
  <c r="I144" i="3448"/>
  <c r="H144" i="3448" a="1"/>
  <c r="H144" i="3448"/>
  <c r="G144" i="3448" a="1"/>
  <c r="G144" i="3448"/>
  <c r="F144" i="3448" a="1"/>
  <c r="F144" i="3448"/>
  <c r="E144" i="3448" a="1"/>
  <c r="E144" i="3448"/>
  <c r="D144" i="3448" a="1"/>
  <c r="D144" i="3448"/>
  <c r="C144" i="3448" a="1"/>
  <c r="C144" i="3448"/>
  <c r="A144" i="3448"/>
  <c r="CF143" i="3448"/>
  <c r="CE143" i="3448"/>
  <c r="CD143" i="3448"/>
  <c r="CC143" i="3448"/>
  <c r="CB143" i="3448"/>
  <c r="CA143" i="3448"/>
  <c r="BY143" i="3448"/>
  <c r="BX143" i="3448"/>
  <c r="BW143" i="3448"/>
  <c r="BO143" i="3448"/>
  <c r="W143" i="3448"/>
  <c r="V143" i="3448"/>
  <c r="U143" i="3448"/>
  <c r="S143" i="3448" a="1"/>
  <c r="S143" i="3448"/>
  <c r="R143" i="3448"/>
  <c r="P143" i="3448" a="1"/>
  <c r="P143" i="3448"/>
  <c r="O143" i="3448" a="1"/>
  <c r="O143" i="3448"/>
  <c r="N143" i="3448" a="1"/>
  <c r="N143" i="3448"/>
  <c r="M143" i="3448" a="1"/>
  <c r="M143" i="3448"/>
  <c r="L143" i="3448" a="1"/>
  <c r="L143" i="3448"/>
  <c r="K143" i="3448" a="1"/>
  <c r="K143" i="3448"/>
  <c r="I143" i="3448"/>
  <c r="H143" i="3448" a="1"/>
  <c r="H143" i="3448"/>
  <c r="G143" i="3448" a="1"/>
  <c r="G143" i="3448"/>
  <c r="F143" i="3448" a="1"/>
  <c r="F143" i="3448"/>
  <c r="E143" i="3448" a="1"/>
  <c r="E143" i="3448"/>
  <c r="D143" i="3448" a="1"/>
  <c r="D143" i="3448"/>
  <c r="C143" i="3448" a="1"/>
  <c r="C143" i="3448"/>
  <c r="A143" i="3448"/>
  <c r="CF142" i="3448"/>
  <c r="CE142" i="3448"/>
  <c r="CD142" i="3448"/>
  <c r="CC142" i="3448"/>
  <c r="CB142" i="3448"/>
  <c r="CA142" i="3448"/>
  <c r="BY142" i="3448"/>
  <c r="BX142" i="3448"/>
  <c r="BW142" i="3448"/>
  <c r="BO142" i="3448"/>
  <c r="W142" i="3448"/>
  <c r="V142" i="3448"/>
  <c r="U142" i="3448"/>
  <c r="S142" i="3448" a="1"/>
  <c r="S142" i="3448"/>
  <c r="R142" i="3448"/>
  <c r="P142" i="3448" a="1"/>
  <c r="P142" i="3448"/>
  <c r="O142" i="3448" a="1"/>
  <c r="O142" i="3448"/>
  <c r="N142" i="3448" a="1"/>
  <c r="N142" i="3448"/>
  <c r="M142" i="3448" a="1"/>
  <c r="M142" i="3448"/>
  <c r="L142" i="3448" a="1"/>
  <c r="L142" i="3448"/>
  <c r="K142" i="3448" a="1"/>
  <c r="K142" i="3448"/>
  <c r="I142" i="3448"/>
  <c r="H142" i="3448" a="1"/>
  <c r="H142" i="3448"/>
  <c r="G142" i="3448" a="1"/>
  <c r="G142" i="3448"/>
  <c r="F142" i="3448" a="1"/>
  <c r="F142" i="3448"/>
  <c r="E142" i="3448" a="1"/>
  <c r="E142" i="3448"/>
  <c r="D142" i="3448" a="1"/>
  <c r="D142" i="3448"/>
  <c r="C142" i="3448" a="1"/>
  <c r="C142" i="3448"/>
  <c r="A142" i="3448"/>
  <c r="CF141" i="3448"/>
  <c r="CE141" i="3448"/>
  <c r="CD141" i="3448"/>
  <c r="CC141" i="3448"/>
  <c r="CB141" i="3448"/>
  <c r="CA141" i="3448"/>
  <c r="BY141" i="3448"/>
  <c r="BX141" i="3448"/>
  <c r="BW141" i="3448"/>
  <c r="BO141" i="3448"/>
  <c r="W141" i="3448"/>
  <c r="V141" i="3448"/>
  <c r="U141" i="3448"/>
  <c r="S141" i="3448" a="1"/>
  <c r="S141" i="3448"/>
  <c r="R141" i="3448"/>
  <c r="P141" i="3448" a="1"/>
  <c r="P141" i="3448"/>
  <c r="O141" i="3448" a="1"/>
  <c r="O141" i="3448"/>
  <c r="N141" i="3448" a="1"/>
  <c r="N141" i="3448"/>
  <c r="M141" i="3448" a="1"/>
  <c r="M141" i="3448"/>
  <c r="L141" i="3448" a="1"/>
  <c r="L141" i="3448"/>
  <c r="K141" i="3448" a="1"/>
  <c r="K141" i="3448"/>
  <c r="I141" i="3448"/>
  <c r="H141" i="3448" a="1"/>
  <c r="H141" i="3448"/>
  <c r="G141" i="3448" a="1"/>
  <c r="G141" i="3448"/>
  <c r="F141" i="3448" a="1"/>
  <c r="F141" i="3448"/>
  <c r="E141" i="3448" a="1"/>
  <c r="E141" i="3448"/>
  <c r="D141" i="3448" a="1"/>
  <c r="D141" i="3448"/>
  <c r="C141" i="3448" a="1"/>
  <c r="C141" i="3448"/>
  <c r="A141" i="3448"/>
  <c r="CF140" i="3448"/>
  <c r="CE140" i="3448"/>
  <c r="CD140" i="3448"/>
  <c r="CC140" i="3448"/>
  <c r="CB140" i="3448"/>
  <c r="CA140" i="3448"/>
  <c r="BY140" i="3448"/>
  <c r="BX140" i="3448"/>
  <c r="BW140" i="3448"/>
  <c r="BO140" i="3448"/>
  <c r="W140" i="3448"/>
  <c r="V140" i="3448"/>
  <c r="U140" i="3448"/>
  <c r="S140" i="3448" a="1"/>
  <c r="S140" i="3448"/>
  <c r="R140" i="3448"/>
  <c r="P140" i="3448" a="1"/>
  <c r="P140" i="3448"/>
  <c r="O140" i="3448" a="1"/>
  <c r="O140" i="3448"/>
  <c r="N140" i="3448" a="1"/>
  <c r="N140" i="3448"/>
  <c r="M140" i="3448" a="1"/>
  <c r="M140" i="3448"/>
  <c r="L140" i="3448" a="1"/>
  <c r="L140" i="3448"/>
  <c r="K140" i="3448" a="1"/>
  <c r="K140" i="3448"/>
  <c r="I140" i="3448"/>
  <c r="H140" i="3448" a="1"/>
  <c r="H140" i="3448"/>
  <c r="G140" i="3448" a="1"/>
  <c r="G140" i="3448"/>
  <c r="F140" i="3448" a="1"/>
  <c r="F140" i="3448"/>
  <c r="E140" i="3448" a="1"/>
  <c r="E140" i="3448"/>
  <c r="D140" i="3448" a="1"/>
  <c r="D140" i="3448"/>
  <c r="C140" i="3448" a="1"/>
  <c r="C140" i="3448"/>
  <c r="A140" i="3448"/>
  <c r="CF139" i="3448"/>
  <c r="CE139" i="3448"/>
  <c r="CD139" i="3448"/>
  <c r="CC139" i="3448"/>
  <c r="CB139" i="3448"/>
  <c r="CA139" i="3448"/>
  <c r="BY139" i="3448"/>
  <c r="BX139" i="3448"/>
  <c r="BW139" i="3448"/>
  <c r="BO139" i="3448"/>
  <c r="W139" i="3448"/>
  <c r="V139" i="3448"/>
  <c r="U139" i="3448"/>
  <c r="S139" i="3448" a="1"/>
  <c r="S139" i="3448"/>
  <c r="R139" i="3448"/>
  <c r="P139" i="3448" a="1"/>
  <c r="P139" i="3448"/>
  <c r="O139" i="3448" a="1"/>
  <c r="O139" i="3448"/>
  <c r="N139" i="3448" a="1"/>
  <c r="N139" i="3448"/>
  <c r="M139" i="3448" a="1"/>
  <c r="M139" i="3448"/>
  <c r="L139" i="3448" a="1"/>
  <c r="L139" i="3448"/>
  <c r="K139" i="3448" a="1"/>
  <c r="K139" i="3448"/>
  <c r="I139" i="3448"/>
  <c r="H139" i="3448" a="1"/>
  <c r="H139" i="3448"/>
  <c r="G139" i="3448" a="1"/>
  <c r="G139" i="3448"/>
  <c r="F139" i="3448" a="1"/>
  <c r="F139" i="3448"/>
  <c r="E139" i="3448" a="1"/>
  <c r="E139" i="3448"/>
  <c r="D139" i="3448" a="1"/>
  <c r="D139" i="3448"/>
  <c r="C139" i="3448" a="1"/>
  <c r="C139" i="3448"/>
  <c r="A139" i="3448"/>
  <c r="CF138" i="3448"/>
  <c r="CE138" i="3448"/>
  <c r="CD138" i="3448"/>
  <c r="CC138" i="3448"/>
  <c r="CB138" i="3448"/>
  <c r="CA138" i="3448"/>
  <c r="BY138" i="3448"/>
  <c r="BX138" i="3448"/>
  <c r="BW138" i="3448"/>
  <c r="BO138" i="3448"/>
  <c r="W138" i="3448"/>
  <c r="V138" i="3448"/>
  <c r="U138" i="3448"/>
  <c r="S138" i="3448" a="1"/>
  <c r="S138" i="3448"/>
  <c r="R138" i="3448"/>
  <c r="P138" i="3448" a="1"/>
  <c r="P138" i="3448"/>
  <c r="O138" i="3448" a="1"/>
  <c r="O138" i="3448"/>
  <c r="N138" i="3448" a="1"/>
  <c r="N138" i="3448"/>
  <c r="M138" i="3448" a="1"/>
  <c r="M138" i="3448"/>
  <c r="L138" i="3448" a="1"/>
  <c r="L138" i="3448"/>
  <c r="K138" i="3448" a="1"/>
  <c r="K138" i="3448"/>
  <c r="I138" i="3448"/>
  <c r="H138" i="3448" a="1"/>
  <c r="H138" i="3448"/>
  <c r="G138" i="3448" a="1"/>
  <c r="G138" i="3448"/>
  <c r="F138" i="3448" a="1"/>
  <c r="F138" i="3448"/>
  <c r="E138" i="3448" a="1"/>
  <c r="E138" i="3448"/>
  <c r="D138" i="3448" a="1"/>
  <c r="D138" i="3448"/>
  <c r="C138" i="3448" a="1"/>
  <c r="C138" i="3448"/>
  <c r="A138" i="3448"/>
  <c r="CF137" i="3448"/>
  <c r="CE137" i="3448"/>
  <c r="CD137" i="3448"/>
  <c r="CC137" i="3448"/>
  <c r="CB137" i="3448"/>
  <c r="CA137" i="3448"/>
  <c r="BY137" i="3448"/>
  <c r="BX137" i="3448"/>
  <c r="BW137" i="3448"/>
  <c r="BO137" i="3448"/>
  <c r="W137" i="3448"/>
  <c r="V137" i="3448"/>
  <c r="U137" i="3448"/>
  <c r="S137" i="3448" a="1"/>
  <c r="S137" i="3448"/>
  <c r="R137" i="3448"/>
  <c r="P137" i="3448" a="1"/>
  <c r="P137" i="3448"/>
  <c r="O137" i="3448" a="1"/>
  <c r="O137" i="3448"/>
  <c r="N137" i="3448" a="1"/>
  <c r="N137" i="3448"/>
  <c r="M137" i="3448" a="1"/>
  <c r="M137" i="3448"/>
  <c r="L137" i="3448" a="1"/>
  <c r="L137" i="3448"/>
  <c r="K137" i="3448" a="1"/>
  <c r="K137" i="3448"/>
  <c r="I137" i="3448"/>
  <c r="H137" i="3448" a="1"/>
  <c r="H137" i="3448"/>
  <c r="G137" i="3448" a="1"/>
  <c r="G137" i="3448"/>
  <c r="F137" i="3448" a="1"/>
  <c r="F137" i="3448"/>
  <c r="E137" i="3448" a="1"/>
  <c r="E137" i="3448"/>
  <c r="D137" i="3448" a="1"/>
  <c r="D137" i="3448"/>
  <c r="C137" i="3448" a="1"/>
  <c r="C137" i="3448"/>
  <c r="A137" i="3448"/>
  <c r="CF136" i="3448"/>
  <c r="CE136" i="3448"/>
  <c r="CD136" i="3448"/>
  <c r="CC136" i="3448"/>
  <c r="CB136" i="3448"/>
  <c r="CA136" i="3448"/>
  <c r="BY136" i="3448"/>
  <c r="BX136" i="3448"/>
  <c r="BW136" i="3448"/>
  <c r="BO136" i="3448"/>
  <c r="W136" i="3448"/>
  <c r="V136" i="3448"/>
  <c r="U136" i="3448"/>
  <c r="S136" i="3448" a="1"/>
  <c r="S136" i="3448"/>
  <c r="R136" i="3448"/>
  <c r="P136" i="3448" a="1"/>
  <c r="P136" i="3448"/>
  <c r="O136" i="3448" a="1"/>
  <c r="O136" i="3448"/>
  <c r="N136" i="3448" a="1"/>
  <c r="N136" i="3448"/>
  <c r="M136" i="3448" a="1"/>
  <c r="M136" i="3448"/>
  <c r="L136" i="3448" a="1"/>
  <c r="L136" i="3448"/>
  <c r="K136" i="3448" a="1"/>
  <c r="K136" i="3448"/>
  <c r="I136" i="3448"/>
  <c r="H136" i="3448" a="1"/>
  <c r="H136" i="3448"/>
  <c r="G136" i="3448" a="1"/>
  <c r="G136" i="3448"/>
  <c r="F136" i="3448" a="1"/>
  <c r="F136" i="3448"/>
  <c r="E136" i="3448" a="1"/>
  <c r="E136" i="3448"/>
  <c r="D136" i="3448" a="1"/>
  <c r="D136" i="3448"/>
  <c r="C136" i="3448" a="1"/>
  <c r="C136" i="3448"/>
  <c r="A136" i="3448"/>
  <c r="CF135" i="3448"/>
  <c r="CE135" i="3448"/>
  <c r="CD135" i="3448"/>
  <c r="CC135" i="3448"/>
  <c r="CB135" i="3448"/>
  <c r="CA135" i="3448"/>
  <c r="BY135" i="3448"/>
  <c r="BX135" i="3448"/>
  <c r="BW135" i="3448"/>
  <c r="BO135" i="3448"/>
  <c r="W135" i="3448"/>
  <c r="V135" i="3448"/>
  <c r="U135" i="3448"/>
  <c r="S135" i="3448" a="1"/>
  <c r="S135" i="3448"/>
  <c r="R135" i="3448"/>
  <c r="P135" i="3448" a="1"/>
  <c r="P135" i="3448"/>
  <c r="O135" i="3448" a="1"/>
  <c r="O135" i="3448"/>
  <c r="N135" i="3448" a="1"/>
  <c r="N135" i="3448"/>
  <c r="M135" i="3448" a="1"/>
  <c r="M135" i="3448"/>
  <c r="L135" i="3448" a="1"/>
  <c r="L135" i="3448"/>
  <c r="K135" i="3448" a="1"/>
  <c r="K135" i="3448"/>
  <c r="I135" i="3448"/>
  <c r="H135" i="3448" a="1"/>
  <c r="H135" i="3448"/>
  <c r="G135" i="3448" a="1"/>
  <c r="G135" i="3448"/>
  <c r="F135" i="3448" a="1"/>
  <c r="F135" i="3448"/>
  <c r="E135" i="3448" a="1"/>
  <c r="E135" i="3448"/>
  <c r="D135" i="3448" a="1"/>
  <c r="D135" i="3448"/>
  <c r="C135" i="3448" a="1"/>
  <c r="C135" i="3448"/>
  <c r="A135" i="3448"/>
  <c r="CF134" i="3448"/>
  <c r="CE134" i="3448"/>
  <c r="CD134" i="3448"/>
  <c r="CC134" i="3448"/>
  <c r="CB134" i="3448"/>
  <c r="CA134" i="3448"/>
  <c r="BY134" i="3448"/>
  <c r="BX134" i="3448"/>
  <c r="BW134" i="3448"/>
  <c r="BO134" i="3448"/>
  <c r="W134" i="3448"/>
  <c r="V134" i="3448"/>
  <c r="U134" i="3448"/>
  <c r="S134" i="3448" a="1"/>
  <c r="S134" i="3448"/>
  <c r="R134" i="3448"/>
  <c r="P134" i="3448" a="1"/>
  <c r="P134" i="3448"/>
  <c r="O134" i="3448" a="1"/>
  <c r="O134" i="3448"/>
  <c r="N134" i="3448" a="1"/>
  <c r="N134" i="3448"/>
  <c r="M134" i="3448" a="1"/>
  <c r="M134" i="3448"/>
  <c r="L134" i="3448" a="1"/>
  <c r="L134" i="3448"/>
  <c r="K134" i="3448" a="1"/>
  <c r="K134" i="3448"/>
  <c r="I134" i="3448"/>
  <c r="H134" i="3448" a="1"/>
  <c r="H134" i="3448"/>
  <c r="G134" i="3448" a="1"/>
  <c r="G134" i="3448"/>
  <c r="F134" i="3448" a="1"/>
  <c r="F134" i="3448"/>
  <c r="E134" i="3448" a="1"/>
  <c r="E134" i="3448"/>
  <c r="D134" i="3448" a="1"/>
  <c r="D134" i="3448"/>
  <c r="C134" i="3448" a="1"/>
  <c r="C134" i="3448"/>
  <c r="A134" i="3448"/>
  <c r="CF133" i="3448"/>
  <c r="CE133" i="3448"/>
  <c r="CD133" i="3448"/>
  <c r="CC133" i="3448"/>
  <c r="CB133" i="3448"/>
  <c r="CA133" i="3448"/>
  <c r="BY133" i="3448"/>
  <c r="BX133" i="3448"/>
  <c r="BW133" i="3448"/>
  <c r="BO133" i="3448"/>
  <c r="W133" i="3448"/>
  <c r="V133" i="3448"/>
  <c r="U133" i="3448"/>
  <c r="S133" i="3448" a="1"/>
  <c r="S133" i="3448"/>
  <c r="R133" i="3448"/>
  <c r="P133" i="3448" a="1"/>
  <c r="P133" i="3448"/>
  <c r="O133" i="3448" a="1"/>
  <c r="O133" i="3448"/>
  <c r="N133" i="3448" a="1"/>
  <c r="N133" i="3448"/>
  <c r="M133" i="3448" a="1"/>
  <c r="M133" i="3448"/>
  <c r="L133" i="3448" a="1"/>
  <c r="L133" i="3448"/>
  <c r="K133" i="3448" a="1"/>
  <c r="K133" i="3448"/>
  <c r="I133" i="3448"/>
  <c r="H133" i="3448" a="1"/>
  <c r="H133" i="3448"/>
  <c r="G133" i="3448" a="1"/>
  <c r="G133" i="3448"/>
  <c r="F133" i="3448" a="1"/>
  <c r="F133" i="3448"/>
  <c r="E133" i="3448" a="1"/>
  <c r="E133" i="3448"/>
  <c r="D133" i="3448" a="1"/>
  <c r="D133" i="3448"/>
  <c r="C133" i="3448" a="1"/>
  <c r="C133" i="3448"/>
  <c r="A133" i="3448"/>
  <c r="CF132" i="3448"/>
  <c r="CE132" i="3448"/>
  <c r="CD132" i="3448"/>
  <c r="CC132" i="3448"/>
  <c r="CB132" i="3448"/>
  <c r="CA132" i="3448"/>
  <c r="BY132" i="3448"/>
  <c r="BX132" i="3448"/>
  <c r="BW132" i="3448"/>
  <c r="BO132" i="3448"/>
  <c r="W132" i="3448"/>
  <c r="V132" i="3448"/>
  <c r="U132" i="3448"/>
  <c r="S132" i="3448" a="1"/>
  <c r="S132" i="3448"/>
  <c r="R132" i="3448"/>
  <c r="P132" i="3448" a="1"/>
  <c r="P132" i="3448"/>
  <c r="O132" i="3448" a="1"/>
  <c r="O132" i="3448"/>
  <c r="N132" i="3448" a="1"/>
  <c r="N132" i="3448"/>
  <c r="M132" i="3448" a="1"/>
  <c r="M132" i="3448"/>
  <c r="L132" i="3448" a="1"/>
  <c r="L132" i="3448"/>
  <c r="K132" i="3448" a="1"/>
  <c r="K132" i="3448"/>
  <c r="I132" i="3448"/>
  <c r="H132" i="3448" a="1"/>
  <c r="H132" i="3448"/>
  <c r="G132" i="3448" a="1"/>
  <c r="G132" i="3448"/>
  <c r="F132" i="3448" a="1"/>
  <c r="F132" i="3448"/>
  <c r="E132" i="3448" a="1"/>
  <c r="E132" i="3448"/>
  <c r="D132" i="3448" a="1"/>
  <c r="D132" i="3448"/>
  <c r="C132" i="3448" a="1"/>
  <c r="C132" i="3448"/>
  <c r="A132" i="3448"/>
  <c r="CF131" i="3448"/>
  <c r="CE131" i="3448"/>
  <c r="CD131" i="3448"/>
  <c r="CC131" i="3448"/>
  <c r="CB131" i="3448"/>
  <c r="CA131" i="3448"/>
  <c r="BY131" i="3448"/>
  <c r="BX131" i="3448"/>
  <c r="BW131" i="3448"/>
  <c r="BO131" i="3448"/>
  <c r="W131" i="3448"/>
  <c r="V131" i="3448"/>
  <c r="U131" i="3448"/>
  <c r="S131" i="3448" a="1"/>
  <c r="S131" i="3448"/>
  <c r="R131" i="3448"/>
  <c r="P131" i="3448" a="1"/>
  <c r="P131" i="3448"/>
  <c r="O131" i="3448" a="1"/>
  <c r="O131" i="3448"/>
  <c r="N131" i="3448" a="1"/>
  <c r="N131" i="3448"/>
  <c r="M131" i="3448" a="1"/>
  <c r="M131" i="3448"/>
  <c r="L131" i="3448" a="1"/>
  <c r="L131" i="3448"/>
  <c r="K131" i="3448" a="1"/>
  <c r="K131" i="3448"/>
  <c r="I131" i="3448"/>
  <c r="H131" i="3448" a="1"/>
  <c r="H131" i="3448"/>
  <c r="G131" i="3448" a="1"/>
  <c r="G131" i="3448"/>
  <c r="F131" i="3448" a="1"/>
  <c r="F131" i="3448"/>
  <c r="E131" i="3448" a="1"/>
  <c r="E131" i="3448"/>
  <c r="D131" i="3448" a="1"/>
  <c r="D131" i="3448"/>
  <c r="C131" i="3448" a="1"/>
  <c r="C131" i="3448"/>
  <c r="A131" i="3448"/>
  <c r="CF130" i="3448"/>
  <c r="CE130" i="3448"/>
  <c r="CD130" i="3448"/>
  <c r="CC130" i="3448"/>
  <c r="CB130" i="3448"/>
  <c r="CA130" i="3448"/>
  <c r="BY130" i="3448"/>
  <c r="BX130" i="3448"/>
  <c r="BW130" i="3448"/>
  <c r="BO130" i="3448"/>
  <c r="W130" i="3448"/>
  <c r="V130" i="3448"/>
  <c r="U130" i="3448"/>
  <c r="S130" i="3448" a="1"/>
  <c r="S130" i="3448"/>
  <c r="R130" i="3448"/>
  <c r="P130" i="3448" a="1"/>
  <c r="P130" i="3448"/>
  <c r="O130" i="3448" a="1"/>
  <c r="O130" i="3448"/>
  <c r="N130" i="3448" a="1"/>
  <c r="N130" i="3448"/>
  <c r="M130" i="3448" a="1"/>
  <c r="M130" i="3448"/>
  <c r="L130" i="3448" a="1"/>
  <c r="L130" i="3448"/>
  <c r="K130" i="3448" a="1"/>
  <c r="K130" i="3448"/>
  <c r="I130" i="3448"/>
  <c r="H130" i="3448" a="1"/>
  <c r="H130" i="3448"/>
  <c r="G130" i="3448" a="1"/>
  <c r="G130" i="3448"/>
  <c r="F130" i="3448" a="1"/>
  <c r="F130" i="3448"/>
  <c r="E130" i="3448" a="1"/>
  <c r="E130" i="3448"/>
  <c r="D130" i="3448" a="1"/>
  <c r="D130" i="3448"/>
  <c r="C130" i="3448" a="1"/>
  <c r="C130" i="3448"/>
  <c r="A130" i="3448"/>
  <c r="CF129" i="3448"/>
  <c r="CE129" i="3448"/>
  <c r="CD129" i="3448"/>
  <c r="CC129" i="3448"/>
  <c r="CB129" i="3448"/>
  <c r="CA129" i="3448"/>
  <c r="BY129" i="3448"/>
  <c r="BX129" i="3448"/>
  <c r="BW129" i="3448"/>
  <c r="BO129" i="3448"/>
  <c r="W129" i="3448"/>
  <c r="V129" i="3448"/>
  <c r="U129" i="3448"/>
  <c r="S129" i="3448" a="1"/>
  <c r="S129" i="3448"/>
  <c r="R129" i="3448"/>
  <c r="P129" i="3448" a="1"/>
  <c r="P129" i="3448"/>
  <c r="O129" i="3448" a="1"/>
  <c r="O129" i="3448"/>
  <c r="N129" i="3448" a="1"/>
  <c r="N129" i="3448"/>
  <c r="M129" i="3448" a="1"/>
  <c r="M129" i="3448"/>
  <c r="L129" i="3448" a="1"/>
  <c r="L129" i="3448"/>
  <c r="K129" i="3448" a="1"/>
  <c r="K129" i="3448"/>
  <c r="I129" i="3448"/>
  <c r="H129" i="3448" a="1"/>
  <c r="H129" i="3448"/>
  <c r="G129" i="3448" a="1"/>
  <c r="G129" i="3448"/>
  <c r="F129" i="3448" a="1"/>
  <c r="F129" i="3448"/>
  <c r="E129" i="3448" a="1"/>
  <c r="E129" i="3448"/>
  <c r="D129" i="3448" a="1"/>
  <c r="D129" i="3448"/>
  <c r="C129" i="3448" a="1"/>
  <c r="C129" i="3448"/>
  <c r="A129" i="3448"/>
  <c r="CF128" i="3448"/>
  <c r="CE128" i="3448"/>
  <c r="CD128" i="3448"/>
  <c r="CC128" i="3448"/>
  <c r="CB128" i="3448"/>
  <c r="CA128" i="3448"/>
  <c r="BY128" i="3448"/>
  <c r="BX128" i="3448"/>
  <c r="BW128" i="3448"/>
  <c r="BO128" i="3448"/>
  <c r="W128" i="3448"/>
  <c r="V128" i="3448"/>
  <c r="U128" i="3448"/>
  <c r="S128" i="3448" a="1"/>
  <c r="S128" i="3448"/>
  <c r="R128" i="3448"/>
  <c r="P128" i="3448" a="1"/>
  <c r="P128" i="3448"/>
  <c r="O128" i="3448" a="1"/>
  <c r="O128" i="3448"/>
  <c r="N128" i="3448" a="1"/>
  <c r="N128" i="3448"/>
  <c r="M128" i="3448" a="1"/>
  <c r="M128" i="3448"/>
  <c r="L128" i="3448" a="1"/>
  <c r="L128" i="3448"/>
  <c r="K128" i="3448" a="1"/>
  <c r="K128" i="3448"/>
  <c r="I128" i="3448"/>
  <c r="H128" i="3448" a="1"/>
  <c r="H128" i="3448"/>
  <c r="G128" i="3448" a="1"/>
  <c r="G128" i="3448"/>
  <c r="F128" i="3448" a="1"/>
  <c r="F128" i="3448"/>
  <c r="E128" i="3448" a="1"/>
  <c r="E128" i="3448"/>
  <c r="D128" i="3448" a="1"/>
  <c r="D128" i="3448"/>
  <c r="C128" i="3448" a="1"/>
  <c r="C128" i="3448"/>
  <c r="A128" i="3448"/>
  <c r="CF127" i="3448"/>
  <c r="CE127" i="3448"/>
  <c r="CD127" i="3448"/>
  <c r="CC127" i="3448"/>
  <c r="CB127" i="3448"/>
  <c r="CA127" i="3448"/>
  <c r="BY127" i="3448"/>
  <c r="BX127" i="3448"/>
  <c r="BW127" i="3448"/>
  <c r="BO127" i="3448"/>
  <c r="W127" i="3448"/>
  <c r="V127" i="3448"/>
  <c r="U127" i="3448"/>
  <c r="S127" i="3448" a="1"/>
  <c r="S127" i="3448"/>
  <c r="R127" i="3448"/>
  <c r="P127" i="3448" a="1"/>
  <c r="P127" i="3448"/>
  <c r="O127" i="3448" a="1"/>
  <c r="O127" i="3448"/>
  <c r="N127" i="3448" a="1"/>
  <c r="N127" i="3448"/>
  <c r="M127" i="3448" a="1"/>
  <c r="M127" i="3448"/>
  <c r="L127" i="3448" a="1"/>
  <c r="L127" i="3448"/>
  <c r="K127" i="3448" a="1"/>
  <c r="K127" i="3448"/>
  <c r="I127" i="3448"/>
  <c r="H127" i="3448" a="1"/>
  <c r="H127" i="3448"/>
  <c r="G127" i="3448" a="1"/>
  <c r="G127" i="3448"/>
  <c r="F127" i="3448" a="1"/>
  <c r="F127" i="3448"/>
  <c r="E127" i="3448" a="1"/>
  <c r="E127" i="3448"/>
  <c r="D127" i="3448" a="1"/>
  <c r="D127" i="3448"/>
  <c r="C127" i="3448" a="1"/>
  <c r="C127" i="3448"/>
  <c r="A127" i="3448"/>
  <c r="CF126" i="3448"/>
  <c r="CE126" i="3448"/>
  <c r="CD126" i="3448"/>
  <c r="CC126" i="3448"/>
  <c r="CB126" i="3448"/>
  <c r="CA126" i="3448"/>
  <c r="BY126" i="3448"/>
  <c r="BX126" i="3448"/>
  <c r="BW126" i="3448"/>
  <c r="BO126" i="3448"/>
  <c r="W126" i="3448"/>
  <c r="V126" i="3448"/>
  <c r="U126" i="3448"/>
  <c r="S126" i="3448" a="1"/>
  <c r="S126" i="3448"/>
  <c r="R126" i="3448"/>
  <c r="P126" i="3448" a="1"/>
  <c r="P126" i="3448"/>
  <c r="O126" i="3448" a="1"/>
  <c r="O126" i="3448"/>
  <c r="N126" i="3448" a="1"/>
  <c r="N126" i="3448"/>
  <c r="M126" i="3448" a="1"/>
  <c r="M126" i="3448"/>
  <c r="L126" i="3448" a="1"/>
  <c r="L126" i="3448"/>
  <c r="K126" i="3448" a="1"/>
  <c r="K126" i="3448"/>
  <c r="I126" i="3448"/>
  <c r="H126" i="3448" a="1"/>
  <c r="H126" i="3448"/>
  <c r="G126" i="3448" a="1"/>
  <c r="G126" i="3448"/>
  <c r="F126" i="3448" a="1"/>
  <c r="F126" i="3448"/>
  <c r="E126" i="3448" a="1"/>
  <c r="E126" i="3448"/>
  <c r="D126" i="3448" a="1"/>
  <c r="D126" i="3448"/>
  <c r="C126" i="3448" a="1"/>
  <c r="C126" i="3448"/>
  <c r="A126" i="3448"/>
  <c r="CF125" i="3448"/>
  <c r="CE125" i="3448"/>
  <c r="CD125" i="3448"/>
  <c r="CC125" i="3448"/>
  <c r="CB125" i="3448"/>
  <c r="CA125" i="3448"/>
  <c r="BY125" i="3448"/>
  <c r="BX125" i="3448"/>
  <c r="BW125" i="3448"/>
  <c r="BO125" i="3448"/>
  <c r="W125" i="3448"/>
  <c r="V125" i="3448"/>
  <c r="U125" i="3448"/>
  <c r="S125" i="3448" a="1"/>
  <c r="S125" i="3448"/>
  <c r="R125" i="3448"/>
  <c r="P125" i="3448" a="1"/>
  <c r="P125" i="3448"/>
  <c r="O125" i="3448" a="1"/>
  <c r="O125" i="3448"/>
  <c r="N125" i="3448" a="1"/>
  <c r="N125" i="3448"/>
  <c r="M125" i="3448" a="1"/>
  <c r="M125" i="3448"/>
  <c r="L125" i="3448" a="1"/>
  <c r="L125" i="3448"/>
  <c r="K125" i="3448" a="1"/>
  <c r="K125" i="3448"/>
  <c r="I125" i="3448"/>
  <c r="H125" i="3448" a="1"/>
  <c r="H125" i="3448"/>
  <c r="G125" i="3448" a="1"/>
  <c r="G125" i="3448"/>
  <c r="F125" i="3448" a="1"/>
  <c r="F125" i="3448"/>
  <c r="E125" i="3448" a="1"/>
  <c r="E125" i="3448"/>
  <c r="D125" i="3448" a="1"/>
  <c r="D125" i="3448"/>
  <c r="C125" i="3448" a="1"/>
  <c r="C125" i="3448"/>
  <c r="A125" i="3448"/>
  <c r="CF124" i="3448"/>
  <c r="CE124" i="3448"/>
  <c r="CD124" i="3448"/>
  <c r="CC124" i="3448"/>
  <c r="CB124" i="3448"/>
  <c r="CA124" i="3448"/>
  <c r="BY124" i="3448"/>
  <c r="BX124" i="3448"/>
  <c r="BW124" i="3448"/>
  <c r="BO124" i="3448"/>
  <c r="W124" i="3448"/>
  <c r="V124" i="3448"/>
  <c r="U124" i="3448"/>
  <c r="S124" i="3448" a="1"/>
  <c r="S124" i="3448"/>
  <c r="R124" i="3448"/>
  <c r="P124" i="3448" a="1"/>
  <c r="P124" i="3448"/>
  <c r="O124" i="3448" a="1"/>
  <c r="O124" i="3448"/>
  <c r="N124" i="3448" a="1"/>
  <c r="N124" i="3448"/>
  <c r="M124" i="3448" a="1"/>
  <c r="M124" i="3448"/>
  <c r="L124" i="3448" a="1"/>
  <c r="L124" i="3448"/>
  <c r="K124" i="3448" a="1"/>
  <c r="K124" i="3448"/>
  <c r="I124" i="3448"/>
  <c r="H124" i="3448" a="1"/>
  <c r="H124" i="3448"/>
  <c r="G124" i="3448" a="1"/>
  <c r="G124" i="3448"/>
  <c r="F124" i="3448" a="1"/>
  <c r="F124" i="3448"/>
  <c r="E124" i="3448" a="1"/>
  <c r="E124" i="3448"/>
  <c r="D124" i="3448" a="1"/>
  <c r="D124" i="3448"/>
  <c r="C124" i="3448" a="1"/>
  <c r="C124" i="3448"/>
  <c r="A124" i="3448"/>
  <c r="CF123" i="3448"/>
  <c r="CE123" i="3448"/>
  <c r="CD123" i="3448"/>
  <c r="CC123" i="3448"/>
  <c r="CB123" i="3448"/>
  <c r="CA123" i="3448"/>
  <c r="BY123" i="3448"/>
  <c r="BX123" i="3448"/>
  <c r="BW123" i="3448"/>
  <c r="BO123" i="3448"/>
  <c r="W123" i="3448"/>
  <c r="V123" i="3448"/>
  <c r="U123" i="3448"/>
  <c r="S123" i="3448" a="1"/>
  <c r="S123" i="3448"/>
  <c r="R123" i="3448"/>
  <c r="P123" i="3448" a="1"/>
  <c r="P123" i="3448"/>
  <c r="O123" i="3448" a="1"/>
  <c r="O123" i="3448"/>
  <c r="N123" i="3448" a="1"/>
  <c r="N123" i="3448"/>
  <c r="M123" i="3448" a="1"/>
  <c r="M123" i="3448"/>
  <c r="L123" i="3448" a="1"/>
  <c r="L123" i="3448"/>
  <c r="K123" i="3448" a="1"/>
  <c r="K123" i="3448"/>
  <c r="I123" i="3448"/>
  <c r="H123" i="3448" a="1"/>
  <c r="H123" i="3448"/>
  <c r="G123" i="3448" a="1"/>
  <c r="G123" i="3448"/>
  <c r="F123" i="3448" a="1"/>
  <c r="F123" i="3448"/>
  <c r="E123" i="3448" a="1"/>
  <c r="E123" i="3448"/>
  <c r="D123" i="3448" a="1"/>
  <c r="D123" i="3448"/>
  <c r="C123" i="3448" a="1"/>
  <c r="C123" i="3448"/>
  <c r="A123" i="3448"/>
  <c r="CF122" i="3448"/>
  <c r="CE122" i="3448"/>
  <c r="CD122" i="3448"/>
  <c r="CC122" i="3448"/>
  <c r="CB122" i="3448"/>
  <c r="CA122" i="3448"/>
  <c r="BY122" i="3448"/>
  <c r="BX122" i="3448"/>
  <c r="BW122" i="3448"/>
  <c r="BO122" i="3448"/>
  <c r="W122" i="3448"/>
  <c r="V122" i="3448"/>
  <c r="U122" i="3448"/>
  <c r="S122" i="3448" a="1"/>
  <c r="S122" i="3448"/>
  <c r="R122" i="3448"/>
  <c r="P122" i="3448" a="1"/>
  <c r="P122" i="3448"/>
  <c r="O122" i="3448" a="1"/>
  <c r="O122" i="3448"/>
  <c r="N122" i="3448" a="1"/>
  <c r="N122" i="3448"/>
  <c r="M122" i="3448" a="1"/>
  <c r="M122" i="3448"/>
  <c r="L122" i="3448" a="1"/>
  <c r="L122" i="3448"/>
  <c r="K122" i="3448" a="1"/>
  <c r="K122" i="3448"/>
  <c r="I122" i="3448"/>
  <c r="H122" i="3448" a="1"/>
  <c r="H122" i="3448"/>
  <c r="G122" i="3448" a="1"/>
  <c r="G122" i="3448"/>
  <c r="F122" i="3448" a="1"/>
  <c r="F122" i="3448"/>
  <c r="E122" i="3448" a="1"/>
  <c r="E122" i="3448"/>
  <c r="D122" i="3448" a="1"/>
  <c r="D122" i="3448"/>
  <c r="C122" i="3448" a="1"/>
  <c r="C122" i="3448"/>
  <c r="CF121" i="3448"/>
  <c r="CE121" i="3448"/>
  <c r="CD121" i="3448"/>
  <c r="CC121" i="3448"/>
  <c r="CB121" i="3448"/>
  <c r="CA121" i="3448"/>
  <c r="BY121" i="3448"/>
  <c r="BX121" i="3448"/>
  <c r="BW121" i="3448"/>
  <c r="BO121" i="3448"/>
  <c r="W121" i="3448"/>
  <c r="V121" i="3448"/>
  <c r="U121" i="3448"/>
  <c r="S121" i="3448" a="1"/>
  <c r="S121" i="3448"/>
  <c r="R121" i="3448"/>
  <c r="P121" i="3448" a="1"/>
  <c r="P121" i="3448"/>
  <c r="O121" i="3448" a="1"/>
  <c r="O121" i="3448"/>
  <c r="N121" i="3448" a="1"/>
  <c r="N121" i="3448"/>
  <c r="M121" i="3448" a="1"/>
  <c r="M121" i="3448"/>
  <c r="L121" i="3448" a="1"/>
  <c r="L121" i="3448"/>
  <c r="K121" i="3448" a="1"/>
  <c r="K121" i="3448"/>
  <c r="I121" i="3448"/>
  <c r="H121" i="3448" a="1"/>
  <c r="H121" i="3448"/>
  <c r="G121" i="3448" a="1"/>
  <c r="G121" i="3448"/>
  <c r="F121" i="3448" a="1"/>
  <c r="F121" i="3448"/>
  <c r="E121" i="3448" a="1"/>
  <c r="E121" i="3448"/>
  <c r="D121" i="3448" a="1"/>
  <c r="D121" i="3448"/>
  <c r="C121" i="3448" a="1"/>
  <c r="C121" i="3448"/>
  <c r="CF120" i="3448"/>
  <c r="CE120" i="3448"/>
  <c r="CD120" i="3448"/>
  <c r="CC120" i="3448"/>
  <c r="CB120" i="3448"/>
  <c r="CA120" i="3448"/>
  <c r="BY120" i="3448"/>
  <c r="BX120" i="3448"/>
  <c r="BW120" i="3448"/>
  <c r="BO120" i="3448"/>
  <c r="W120" i="3448"/>
  <c r="V120" i="3448"/>
  <c r="U120" i="3448"/>
  <c r="S120" i="3448" a="1"/>
  <c r="S120" i="3448"/>
  <c r="R120" i="3448"/>
  <c r="P120" i="3448" a="1"/>
  <c r="P120" i="3448"/>
  <c r="O120" i="3448" a="1"/>
  <c r="O120" i="3448"/>
  <c r="N120" i="3448" a="1"/>
  <c r="N120" i="3448"/>
  <c r="M120" i="3448" a="1"/>
  <c r="M120" i="3448"/>
  <c r="L120" i="3448" a="1"/>
  <c r="L120" i="3448"/>
  <c r="K120" i="3448" a="1"/>
  <c r="K120" i="3448"/>
  <c r="I120" i="3448"/>
  <c r="H120" i="3448" a="1"/>
  <c r="H120" i="3448"/>
  <c r="G120" i="3448" a="1"/>
  <c r="G120" i="3448"/>
  <c r="F120" i="3448" a="1"/>
  <c r="F120" i="3448"/>
  <c r="E120" i="3448" a="1"/>
  <c r="E120" i="3448"/>
  <c r="D120" i="3448" a="1"/>
  <c r="D120" i="3448"/>
  <c r="C120" i="3448" a="1"/>
  <c r="C120" i="3448"/>
  <c r="CF119" i="3448"/>
  <c r="CE119" i="3448"/>
  <c r="CD119" i="3448"/>
  <c r="CC119" i="3448"/>
  <c r="CB119" i="3448"/>
  <c r="CA119" i="3448"/>
  <c r="BY119" i="3448"/>
  <c r="BX119" i="3448"/>
  <c r="BW119" i="3448"/>
  <c r="BO119" i="3448"/>
  <c r="W119" i="3448"/>
  <c r="V119" i="3448"/>
  <c r="U119" i="3448"/>
  <c r="S119" i="3448" a="1"/>
  <c r="S119" i="3448"/>
  <c r="R119" i="3448"/>
  <c r="P119" i="3448" a="1"/>
  <c r="P119" i="3448"/>
  <c r="O119" i="3448" a="1"/>
  <c r="O119" i="3448"/>
  <c r="N119" i="3448" a="1"/>
  <c r="N119" i="3448"/>
  <c r="M119" i="3448" a="1"/>
  <c r="M119" i="3448"/>
  <c r="L119" i="3448" a="1"/>
  <c r="L119" i="3448"/>
  <c r="K119" i="3448" a="1"/>
  <c r="K119" i="3448"/>
  <c r="I119" i="3448"/>
  <c r="H119" i="3448" a="1"/>
  <c r="H119" i="3448"/>
  <c r="G119" i="3448" a="1"/>
  <c r="G119" i="3448"/>
  <c r="F119" i="3448" a="1"/>
  <c r="F119" i="3448"/>
  <c r="E119" i="3448" a="1"/>
  <c r="E119" i="3448"/>
  <c r="D119" i="3448" a="1"/>
  <c r="D119" i="3448"/>
  <c r="C119" i="3448" a="1"/>
  <c r="C119" i="3448"/>
  <c r="CF118" i="3448"/>
  <c r="CE118" i="3448"/>
  <c r="CD118" i="3448"/>
  <c r="CC118" i="3448"/>
  <c r="CB118" i="3448"/>
  <c r="CA118" i="3448"/>
  <c r="BY118" i="3448"/>
  <c r="BX118" i="3448"/>
  <c r="BW118" i="3448"/>
  <c r="BO118" i="3448"/>
  <c r="W118" i="3448"/>
  <c r="V118" i="3448"/>
  <c r="U118" i="3448"/>
  <c r="S118" i="3448" a="1"/>
  <c r="S118" i="3448"/>
  <c r="R118" i="3448"/>
  <c r="P118" i="3448" a="1"/>
  <c r="P118" i="3448"/>
  <c r="O118" i="3448" a="1"/>
  <c r="O118" i="3448"/>
  <c r="N118" i="3448" a="1"/>
  <c r="N118" i="3448"/>
  <c r="M118" i="3448" a="1"/>
  <c r="M118" i="3448"/>
  <c r="L118" i="3448" a="1"/>
  <c r="L118" i="3448"/>
  <c r="K118" i="3448" a="1"/>
  <c r="K118" i="3448"/>
  <c r="I118" i="3448"/>
  <c r="H118" i="3448" a="1"/>
  <c r="H118" i="3448"/>
  <c r="G118" i="3448" a="1"/>
  <c r="G118" i="3448"/>
  <c r="F118" i="3448" a="1"/>
  <c r="F118" i="3448"/>
  <c r="E118" i="3448" a="1"/>
  <c r="E118" i="3448"/>
  <c r="D118" i="3448" a="1"/>
  <c r="D118" i="3448"/>
  <c r="C118" i="3448" a="1"/>
  <c r="C118" i="3448"/>
  <c r="CF117" i="3448"/>
  <c r="CE117" i="3448"/>
  <c r="CD117" i="3448"/>
  <c r="CC117" i="3448"/>
  <c r="CB117" i="3448"/>
  <c r="CA117" i="3448"/>
  <c r="BY117" i="3448"/>
  <c r="BX117" i="3448"/>
  <c r="BW117" i="3448"/>
  <c r="BO117" i="3448"/>
  <c r="W117" i="3448"/>
  <c r="V117" i="3448"/>
  <c r="U117" i="3448"/>
  <c r="S117" i="3448" a="1"/>
  <c r="S117" i="3448"/>
  <c r="R117" i="3448"/>
  <c r="P117" i="3448" a="1"/>
  <c r="P117" i="3448"/>
  <c r="O117" i="3448" a="1"/>
  <c r="O117" i="3448"/>
  <c r="N117" i="3448" a="1"/>
  <c r="N117" i="3448"/>
  <c r="M117" i="3448" a="1"/>
  <c r="M117" i="3448"/>
  <c r="L117" i="3448" a="1"/>
  <c r="L117" i="3448"/>
  <c r="K117" i="3448" a="1"/>
  <c r="K117" i="3448"/>
  <c r="I117" i="3448"/>
  <c r="H117" i="3448" a="1"/>
  <c r="H117" i="3448"/>
  <c r="G117" i="3448" a="1"/>
  <c r="G117" i="3448"/>
  <c r="F117" i="3448" a="1"/>
  <c r="F117" i="3448"/>
  <c r="E117" i="3448" a="1"/>
  <c r="E117" i="3448"/>
  <c r="D117" i="3448" a="1"/>
  <c r="D117" i="3448"/>
  <c r="C117" i="3448" a="1"/>
  <c r="C117" i="3448"/>
  <c r="CF116" i="3448"/>
  <c r="CE116" i="3448"/>
  <c r="CD116" i="3448"/>
  <c r="CC116" i="3448"/>
  <c r="CB116" i="3448"/>
  <c r="CA116" i="3448"/>
  <c r="BY116" i="3448"/>
  <c r="BX116" i="3448"/>
  <c r="BW116" i="3448"/>
  <c r="BO116" i="3448"/>
  <c r="W116" i="3448"/>
  <c r="V116" i="3448"/>
  <c r="U116" i="3448"/>
  <c r="S116" i="3448" a="1"/>
  <c r="S116" i="3448"/>
  <c r="R116" i="3448"/>
  <c r="P116" i="3448" a="1"/>
  <c r="P116" i="3448"/>
  <c r="O116" i="3448" a="1"/>
  <c r="O116" i="3448"/>
  <c r="N116" i="3448" a="1"/>
  <c r="N116" i="3448"/>
  <c r="M116" i="3448" a="1"/>
  <c r="M116" i="3448"/>
  <c r="L116" i="3448" a="1"/>
  <c r="L116" i="3448"/>
  <c r="K116" i="3448" a="1"/>
  <c r="K116" i="3448"/>
  <c r="I116" i="3448"/>
  <c r="H116" i="3448" a="1"/>
  <c r="H116" i="3448"/>
  <c r="G116" i="3448" a="1"/>
  <c r="G116" i="3448"/>
  <c r="F116" i="3448" a="1"/>
  <c r="F116" i="3448"/>
  <c r="E116" i="3448" a="1"/>
  <c r="E116" i="3448"/>
  <c r="D116" i="3448" a="1"/>
  <c r="D116" i="3448"/>
  <c r="C116" i="3448" a="1"/>
  <c r="C116" i="3448"/>
  <c r="CF115" i="3448"/>
  <c r="CE115" i="3448"/>
  <c r="CD115" i="3448"/>
  <c r="CC115" i="3448"/>
  <c r="CB115" i="3448"/>
  <c r="CA115" i="3448"/>
  <c r="BY115" i="3448"/>
  <c r="BX115" i="3448"/>
  <c r="BW115" i="3448"/>
  <c r="BO115" i="3448"/>
  <c r="W115" i="3448"/>
  <c r="V115" i="3448"/>
  <c r="U115" i="3448"/>
  <c r="S115" i="3448" a="1"/>
  <c r="S115" i="3448"/>
  <c r="R115" i="3448"/>
  <c r="P115" i="3448" a="1"/>
  <c r="P115" i="3448"/>
  <c r="O115" i="3448" a="1"/>
  <c r="O115" i="3448"/>
  <c r="N115" i="3448" a="1"/>
  <c r="N115" i="3448"/>
  <c r="M115" i="3448" a="1"/>
  <c r="M115" i="3448"/>
  <c r="L115" i="3448" a="1"/>
  <c r="L115" i="3448"/>
  <c r="K115" i="3448" a="1"/>
  <c r="K115" i="3448"/>
  <c r="I115" i="3448"/>
  <c r="H115" i="3448" a="1"/>
  <c r="H115" i="3448"/>
  <c r="G115" i="3448" a="1"/>
  <c r="G115" i="3448"/>
  <c r="F115" i="3448" a="1"/>
  <c r="F115" i="3448"/>
  <c r="E115" i="3448" a="1"/>
  <c r="E115" i="3448"/>
  <c r="D115" i="3448" a="1"/>
  <c r="D115" i="3448"/>
  <c r="C115" i="3448" a="1"/>
  <c r="C115" i="3448"/>
  <c r="CF114" i="3448"/>
  <c r="CE114" i="3448"/>
  <c r="CD114" i="3448"/>
  <c r="CC114" i="3448"/>
  <c r="CB114" i="3448"/>
  <c r="CA114" i="3448"/>
  <c r="BY114" i="3448"/>
  <c r="BX114" i="3448"/>
  <c r="BW114" i="3448"/>
  <c r="BO114" i="3448"/>
  <c r="W114" i="3448"/>
  <c r="V114" i="3448"/>
  <c r="U114" i="3448"/>
  <c r="S114" i="3448" a="1"/>
  <c r="S114" i="3448"/>
  <c r="R114" i="3448"/>
  <c r="P114" i="3448" a="1"/>
  <c r="P114" i="3448"/>
  <c r="O114" i="3448" a="1"/>
  <c r="O114" i="3448"/>
  <c r="N114" i="3448" a="1"/>
  <c r="N114" i="3448"/>
  <c r="M114" i="3448" a="1"/>
  <c r="M114" i="3448"/>
  <c r="L114" i="3448" a="1"/>
  <c r="L114" i="3448"/>
  <c r="K114" i="3448" a="1"/>
  <c r="K114" i="3448"/>
  <c r="I114" i="3448"/>
  <c r="H114" i="3448" a="1"/>
  <c r="H114" i="3448"/>
  <c r="G114" i="3448" a="1"/>
  <c r="G114" i="3448"/>
  <c r="F114" i="3448" a="1"/>
  <c r="F114" i="3448"/>
  <c r="E114" i="3448" a="1"/>
  <c r="E114" i="3448"/>
  <c r="D114" i="3448" a="1"/>
  <c r="D114" i="3448"/>
  <c r="C114" i="3448" a="1"/>
  <c r="C114" i="3448"/>
  <c r="CF113" i="3448"/>
  <c r="CE113" i="3448"/>
  <c r="CD113" i="3448"/>
  <c r="CC113" i="3448"/>
  <c r="CB113" i="3448"/>
  <c r="CA113" i="3448"/>
  <c r="BY113" i="3448"/>
  <c r="BX113" i="3448"/>
  <c r="BW113" i="3448"/>
  <c r="BO113" i="3448"/>
  <c r="W113" i="3448"/>
  <c r="V113" i="3448"/>
  <c r="U113" i="3448"/>
  <c r="S113" i="3448" a="1"/>
  <c r="S113" i="3448"/>
  <c r="R113" i="3448"/>
  <c r="P113" i="3448" a="1"/>
  <c r="P113" i="3448"/>
  <c r="O113" i="3448" a="1"/>
  <c r="O113" i="3448"/>
  <c r="N113" i="3448" a="1"/>
  <c r="N113" i="3448"/>
  <c r="M113" i="3448" a="1"/>
  <c r="M113" i="3448"/>
  <c r="L113" i="3448" a="1"/>
  <c r="L113" i="3448"/>
  <c r="K113" i="3448" a="1"/>
  <c r="K113" i="3448"/>
  <c r="I113" i="3448"/>
  <c r="H113" i="3448" a="1"/>
  <c r="H113" i="3448"/>
  <c r="G113" i="3448" a="1"/>
  <c r="G113" i="3448"/>
  <c r="F113" i="3448" a="1"/>
  <c r="F113" i="3448"/>
  <c r="E113" i="3448" a="1"/>
  <c r="E113" i="3448"/>
  <c r="D113" i="3448" a="1"/>
  <c r="D113" i="3448"/>
  <c r="C113" i="3448" a="1"/>
  <c r="C113" i="3448"/>
  <c r="CF112" i="3448"/>
  <c r="CE112" i="3448"/>
  <c r="CD112" i="3448"/>
  <c r="CC112" i="3448"/>
  <c r="CB112" i="3448"/>
  <c r="CA112" i="3448"/>
  <c r="BY112" i="3448"/>
  <c r="BX112" i="3448"/>
  <c r="BW112" i="3448"/>
  <c r="BO112" i="3448"/>
  <c r="W112" i="3448"/>
  <c r="V112" i="3448"/>
  <c r="U112" i="3448"/>
  <c r="S112" i="3448" a="1"/>
  <c r="S112" i="3448"/>
  <c r="R112" i="3448"/>
  <c r="P112" i="3448" a="1"/>
  <c r="P112" i="3448"/>
  <c r="O112" i="3448" a="1"/>
  <c r="O112" i="3448"/>
  <c r="N112" i="3448" a="1"/>
  <c r="N112" i="3448"/>
  <c r="M112" i="3448" a="1"/>
  <c r="M112" i="3448"/>
  <c r="L112" i="3448" a="1"/>
  <c r="L112" i="3448"/>
  <c r="K112" i="3448" a="1"/>
  <c r="K112" i="3448"/>
  <c r="I112" i="3448"/>
  <c r="H112" i="3448" a="1"/>
  <c r="H112" i="3448"/>
  <c r="G112" i="3448" a="1"/>
  <c r="G112" i="3448"/>
  <c r="F112" i="3448" a="1"/>
  <c r="F112" i="3448"/>
  <c r="E112" i="3448" a="1"/>
  <c r="E112" i="3448"/>
  <c r="D112" i="3448" a="1"/>
  <c r="D112" i="3448"/>
  <c r="C112" i="3448" a="1"/>
  <c r="C112" i="3448"/>
  <c r="CF111" i="3448"/>
  <c r="CE111" i="3448"/>
  <c r="CD111" i="3448"/>
  <c r="CC111" i="3448"/>
  <c r="CB111" i="3448"/>
  <c r="CA111" i="3448"/>
  <c r="BY111" i="3448"/>
  <c r="BX111" i="3448"/>
  <c r="BW111" i="3448"/>
  <c r="BO111" i="3448"/>
  <c r="W111" i="3448"/>
  <c r="V111" i="3448"/>
  <c r="U111" i="3448"/>
  <c r="S111" i="3448" a="1"/>
  <c r="S111" i="3448"/>
  <c r="R111" i="3448"/>
  <c r="P111" i="3448" a="1"/>
  <c r="P111" i="3448"/>
  <c r="O111" i="3448" a="1"/>
  <c r="O111" i="3448"/>
  <c r="N111" i="3448" a="1"/>
  <c r="N111" i="3448"/>
  <c r="M111" i="3448" a="1"/>
  <c r="M111" i="3448"/>
  <c r="L111" i="3448" a="1"/>
  <c r="L111" i="3448"/>
  <c r="K111" i="3448" a="1"/>
  <c r="K111" i="3448"/>
  <c r="I111" i="3448"/>
  <c r="H111" i="3448" a="1"/>
  <c r="H111" i="3448"/>
  <c r="G111" i="3448" a="1"/>
  <c r="G111" i="3448"/>
  <c r="F111" i="3448" a="1"/>
  <c r="F111" i="3448"/>
  <c r="E111" i="3448" a="1"/>
  <c r="E111" i="3448"/>
  <c r="D111" i="3448" a="1"/>
  <c r="D111" i="3448"/>
  <c r="C111" i="3448" a="1"/>
  <c r="C111" i="3448"/>
  <c r="CF110" i="3448"/>
  <c r="CE110" i="3448"/>
  <c r="CD110" i="3448"/>
  <c r="CC110" i="3448"/>
  <c r="CB110" i="3448"/>
  <c r="CA110" i="3448"/>
  <c r="BY110" i="3448"/>
  <c r="BX110" i="3448"/>
  <c r="BW110" i="3448"/>
  <c r="BO110" i="3448"/>
  <c r="W110" i="3448"/>
  <c r="V110" i="3448"/>
  <c r="U110" i="3448"/>
  <c r="S110" i="3448" a="1"/>
  <c r="S110" i="3448"/>
  <c r="R110" i="3448"/>
  <c r="P110" i="3448" a="1"/>
  <c r="P110" i="3448"/>
  <c r="O110" i="3448" a="1"/>
  <c r="O110" i="3448"/>
  <c r="N110" i="3448" a="1"/>
  <c r="N110" i="3448"/>
  <c r="M110" i="3448" a="1"/>
  <c r="M110" i="3448"/>
  <c r="L110" i="3448" a="1"/>
  <c r="L110" i="3448"/>
  <c r="K110" i="3448" a="1"/>
  <c r="K110" i="3448"/>
  <c r="I110" i="3448"/>
  <c r="H110" i="3448" a="1"/>
  <c r="H110" i="3448"/>
  <c r="G110" i="3448" a="1"/>
  <c r="G110" i="3448"/>
  <c r="F110" i="3448" a="1"/>
  <c r="F110" i="3448"/>
  <c r="E110" i="3448" a="1"/>
  <c r="E110" i="3448"/>
  <c r="D110" i="3448" a="1"/>
  <c r="D110" i="3448"/>
  <c r="C110" i="3448" a="1"/>
  <c r="C110" i="3448"/>
  <c r="CF109" i="3448"/>
  <c r="CE109" i="3448"/>
  <c r="CD109" i="3448"/>
  <c r="CC109" i="3448"/>
  <c r="CB109" i="3448"/>
  <c r="CA109" i="3448"/>
  <c r="BY109" i="3448"/>
  <c r="BX109" i="3448"/>
  <c r="BW109" i="3448"/>
  <c r="BO109" i="3448"/>
  <c r="W109" i="3448"/>
  <c r="V109" i="3448"/>
  <c r="U109" i="3448"/>
  <c r="S109" i="3448" a="1"/>
  <c r="S109" i="3448"/>
  <c r="R109" i="3448"/>
  <c r="P109" i="3448" a="1"/>
  <c r="P109" i="3448"/>
  <c r="O109" i="3448" a="1"/>
  <c r="O109" i="3448"/>
  <c r="N109" i="3448" a="1"/>
  <c r="N109" i="3448"/>
  <c r="M109" i="3448" a="1"/>
  <c r="M109" i="3448"/>
  <c r="L109" i="3448" a="1"/>
  <c r="L109" i="3448"/>
  <c r="K109" i="3448" a="1"/>
  <c r="K109" i="3448"/>
  <c r="I109" i="3448"/>
  <c r="H109" i="3448" a="1"/>
  <c r="H109" i="3448"/>
  <c r="G109" i="3448" a="1"/>
  <c r="G109" i="3448"/>
  <c r="F109" i="3448" a="1"/>
  <c r="F109" i="3448"/>
  <c r="E109" i="3448" a="1"/>
  <c r="E109" i="3448"/>
  <c r="D109" i="3448" a="1"/>
  <c r="D109" i="3448"/>
  <c r="C109" i="3448" a="1"/>
  <c r="C109" i="3448"/>
  <c r="CF108" i="3448"/>
  <c r="CE108" i="3448"/>
  <c r="CD108" i="3448"/>
  <c r="CC108" i="3448"/>
  <c r="CB108" i="3448"/>
  <c r="CA108" i="3448"/>
  <c r="BY108" i="3448"/>
  <c r="BX108" i="3448"/>
  <c r="BW108" i="3448"/>
  <c r="BO108" i="3448"/>
  <c r="W108" i="3448"/>
  <c r="V108" i="3448"/>
  <c r="U108" i="3448"/>
  <c r="S108" i="3448" a="1"/>
  <c r="S108" i="3448"/>
  <c r="R108" i="3448"/>
  <c r="P108" i="3448" a="1"/>
  <c r="P108" i="3448"/>
  <c r="O108" i="3448" a="1"/>
  <c r="O108" i="3448"/>
  <c r="N108" i="3448" a="1"/>
  <c r="N108" i="3448"/>
  <c r="M108" i="3448" a="1"/>
  <c r="M108" i="3448"/>
  <c r="L108" i="3448" a="1"/>
  <c r="L108" i="3448"/>
  <c r="K108" i="3448" a="1"/>
  <c r="K108" i="3448"/>
  <c r="I108" i="3448"/>
  <c r="H108" i="3448" a="1"/>
  <c r="H108" i="3448"/>
  <c r="G108" i="3448" a="1"/>
  <c r="G108" i="3448"/>
  <c r="F108" i="3448" a="1"/>
  <c r="F108" i="3448"/>
  <c r="E108" i="3448" a="1"/>
  <c r="E108" i="3448"/>
  <c r="D108" i="3448" a="1"/>
  <c r="D108" i="3448"/>
  <c r="C108" i="3448" a="1"/>
  <c r="C108" i="3448"/>
  <c r="CF107" i="3448"/>
  <c r="CE107" i="3448"/>
  <c r="CD107" i="3448"/>
  <c r="CC107" i="3448"/>
  <c r="CB107" i="3448"/>
  <c r="CA107" i="3448"/>
  <c r="BY107" i="3448"/>
  <c r="BX107" i="3448"/>
  <c r="BW107" i="3448"/>
  <c r="BO107" i="3448"/>
  <c r="W107" i="3448"/>
  <c r="V107" i="3448"/>
  <c r="U107" i="3448"/>
  <c r="S107" i="3448" a="1"/>
  <c r="S107" i="3448"/>
  <c r="R107" i="3448"/>
  <c r="P107" i="3448" a="1"/>
  <c r="P107" i="3448"/>
  <c r="O107" i="3448" a="1"/>
  <c r="O107" i="3448"/>
  <c r="N107" i="3448" a="1"/>
  <c r="N107" i="3448"/>
  <c r="M107" i="3448" a="1"/>
  <c r="M107" i="3448"/>
  <c r="L107" i="3448" a="1"/>
  <c r="L107" i="3448"/>
  <c r="K107" i="3448" a="1"/>
  <c r="K107" i="3448"/>
  <c r="I107" i="3448"/>
  <c r="H107" i="3448" a="1"/>
  <c r="H107" i="3448"/>
  <c r="G107" i="3448" a="1"/>
  <c r="G107" i="3448"/>
  <c r="F107" i="3448" a="1"/>
  <c r="F107" i="3448"/>
  <c r="E107" i="3448" a="1"/>
  <c r="E107" i="3448"/>
  <c r="D107" i="3448" a="1"/>
  <c r="D107" i="3448"/>
  <c r="C107" i="3448" a="1"/>
  <c r="C107" i="3448"/>
  <c r="CF106" i="3448"/>
  <c r="CE106" i="3448"/>
  <c r="CD106" i="3448"/>
  <c r="CC106" i="3448"/>
  <c r="CB106" i="3448"/>
  <c r="CA106" i="3448"/>
  <c r="BY106" i="3448"/>
  <c r="BX106" i="3448"/>
  <c r="BW106" i="3448"/>
  <c r="BO106" i="3448"/>
  <c r="W106" i="3448"/>
  <c r="V106" i="3448"/>
  <c r="U106" i="3448"/>
  <c r="S106" i="3448" a="1"/>
  <c r="S106" i="3448"/>
  <c r="R106" i="3448"/>
  <c r="P106" i="3448" a="1"/>
  <c r="P106" i="3448"/>
  <c r="O106" i="3448" a="1"/>
  <c r="O106" i="3448"/>
  <c r="N106" i="3448" a="1"/>
  <c r="N106" i="3448"/>
  <c r="M106" i="3448" a="1"/>
  <c r="M106" i="3448"/>
  <c r="L106" i="3448" a="1"/>
  <c r="L106" i="3448"/>
  <c r="K106" i="3448" a="1"/>
  <c r="K106" i="3448"/>
  <c r="I106" i="3448"/>
  <c r="H106" i="3448" a="1"/>
  <c r="H106" i="3448"/>
  <c r="G106" i="3448" a="1"/>
  <c r="G106" i="3448"/>
  <c r="F106" i="3448" a="1"/>
  <c r="F106" i="3448"/>
  <c r="E106" i="3448" a="1"/>
  <c r="E106" i="3448"/>
  <c r="D106" i="3448" a="1"/>
  <c r="D106" i="3448"/>
  <c r="C106" i="3448" a="1"/>
  <c r="C106" i="3448"/>
  <c r="CF105" i="3448"/>
  <c r="CE105" i="3448"/>
  <c r="CD105" i="3448"/>
  <c r="CC105" i="3448"/>
  <c r="CB105" i="3448"/>
  <c r="CA105" i="3448"/>
  <c r="BY105" i="3448"/>
  <c r="BX105" i="3448"/>
  <c r="BW105" i="3448"/>
  <c r="BO105" i="3448"/>
  <c r="W105" i="3448"/>
  <c r="V105" i="3448"/>
  <c r="U105" i="3448"/>
  <c r="S105" i="3448" a="1"/>
  <c r="S105" i="3448"/>
  <c r="R105" i="3448"/>
  <c r="P105" i="3448" a="1"/>
  <c r="P105" i="3448"/>
  <c r="O105" i="3448" a="1"/>
  <c r="O105" i="3448"/>
  <c r="N105" i="3448" a="1"/>
  <c r="N105" i="3448"/>
  <c r="M105" i="3448" a="1"/>
  <c r="M105" i="3448"/>
  <c r="L105" i="3448" a="1"/>
  <c r="L105" i="3448"/>
  <c r="K105" i="3448" a="1"/>
  <c r="K105" i="3448"/>
  <c r="I105" i="3448"/>
  <c r="H105" i="3448" a="1"/>
  <c r="H105" i="3448"/>
  <c r="G105" i="3448" a="1"/>
  <c r="G105" i="3448"/>
  <c r="F105" i="3448" a="1"/>
  <c r="F105" i="3448"/>
  <c r="E105" i="3448" a="1"/>
  <c r="E105" i="3448"/>
  <c r="D105" i="3448" a="1"/>
  <c r="D105" i="3448"/>
  <c r="C105" i="3448" a="1"/>
  <c r="C105" i="3448"/>
  <c r="CF104" i="3448"/>
  <c r="CE104" i="3448"/>
  <c r="CD104" i="3448"/>
  <c r="CC104" i="3448"/>
  <c r="CB104" i="3448"/>
  <c r="CA104" i="3448"/>
  <c r="BY104" i="3448"/>
  <c r="BX104" i="3448"/>
  <c r="BW104" i="3448"/>
  <c r="BO104" i="3448"/>
  <c r="W104" i="3448"/>
  <c r="V104" i="3448"/>
  <c r="U104" i="3448"/>
  <c r="S104" i="3448" a="1"/>
  <c r="S104" i="3448"/>
  <c r="R104" i="3448"/>
  <c r="P104" i="3448" a="1"/>
  <c r="P104" i="3448"/>
  <c r="O104" i="3448" a="1"/>
  <c r="O104" i="3448"/>
  <c r="N104" i="3448" a="1"/>
  <c r="N104" i="3448"/>
  <c r="M104" i="3448" a="1"/>
  <c r="M104" i="3448"/>
  <c r="L104" i="3448" a="1"/>
  <c r="L104" i="3448"/>
  <c r="K104" i="3448" a="1"/>
  <c r="K104" i="3448"/>
  <c r="I104" i="3448"/>
  <c r="H104" i="3448" a="1"/>
  <c r="H104" i="3448"/>
  <c r="G104" i="3448" a="1"/>
  <c r="G104" i="3448"/>
  <c r="F104" i="3448" a="1"/>
  <c r="F104" i="3448"/>
  <c r="E104" i="3448" a="1"/>
  <c r="E104" i="3448"/>
  <c r="D104" i="3448" a="1"/>
  <c r="D104" i="3448"/>
  <c r="C104" i="3448" a="1"/>
  <c r="C104" i="3448"/>
  <c r="CF103" i="3448"/>
  <c r="CE103" i="3448"/>
  <c r="CD103" i="3448"/>
  <c r="CC103" i="3448"/>
  <c r="CB103" i="3448"/>
  <c r="CA103" i="3448"/>
  <c r="BY103" i="3448"/>
  <c r="BX103" i="3448"/>
  <c r="BW103" i="3448"/>
  <c r="BO103" i="3448"/>
  <c r="W103" i="3448"/>
  <c r="V103" i="3448"/>
  <c r="U103" i="3448"/>
  <c r="S103" i="3448" a="1"/>
  <c r="S103" i="3448"/>
  <c r="R103" i="3448"/>
  <c r="P103" i="3448" a="1"/>
  <c r="P103" i="3448"/>
  <c r="O103" i="3448" a="1"/>
  <c r="O103" i="3448"/>
  <c r="N103" i="3448" a="1"/>
  <c r="N103" i="3448"/>
  <c r="M103" i="3448" a="1"/>
  <c r="M103" i="3448"/>
  <c r="L103" i="3448" a="1"/>
  <c r="L103" i="3448"/>
  <c r="K103" i="3448" a="1"/>
  <c r="K103" i="3448"/>
  <c r="I103" i="3448"/>
  <c r="H103" i="3448" a="1"/>
  <c r="H103" i="3448"/>
  <c r="G103" i="3448" a="1"/>
  <c r="G103" i="3448"/>
  <c r="F103" i="3448" a="1"/>
  <c r="F103" i="3448"/>
  <c r="E103" i="3448" a="1"/>
  <c r="E103" i="3448"/>
  <c r="D103" i="3448" a="1"/>
  <c r="D103" i="3448"/>
  <c r="C103" i="3448" a="1"/>
  <c r="C103" i="3448"/>
  <c r="CF102" i="3448"/>
  <c r="CE102" i="3448"/>
  <c r="CD102" i="3448"/>
  <c r="CC102" i="3448"/>
  <c r="CB102" i="3448"/>
  <c r="CA102" i="3448"/>
  <c r="BY102" i="3448"/>
  <c r="BX102" i="3448"/>
  <c r="BW102" i="3448"/>
  <c r="BO102" i="3448"/>
  <c r="W102" i="3448"/>
  <c r="V102" i="3448"/>
  <c r="U102" i="3448"/>
  <c r="S102" i="3448" a="1"/>
  <c r="S102" i="3448"/>
  <c r="R102" i="3448"/>
  <c r="P102" i="3448" a="1"/>
  <c r="P102" i="3448"/>
  <c r="O102" i="3448" a="1"/>
  <c r="O102" i="3448"/>
  <c r="N102" i="3448" a="1"/>
  <c r="N102" i="3448"/>
  <c r="M102" i="3448" a="1"/>
  <c r="M102" i="3448"/>
  <c r="L102" i="3448" a="1"/>
  <c r="L102" i="3448"/>
  <c r="K102" i="3448" a="1"/>
  <c r="K102" i="3448"/>
  <c r="I102" i="3448"/>
  <c r="H102" i="3448" a="1"/>
  <c r="H102" i="3448"/>
  <c r="G102" i="3448" a="1"/>
  <c r="G102" i="3448"/>
  <c r="F102" i="3448" a="1"/>
  <c r="F102" i="3448"/>
  <c r="E102" i="3448" a="1"/>
  <c r="E102" i="3448"/>
  <c r="D102" i="3448" a="1"/>
  <c r="D102" i="3448"/>
  <c r="C102" i="3448" a="1"/>
  <c r="C102" i="3448"/>
  <c r="CF101" i="3448"/>
  <c r="CE101" i="3448"/>
  <c r="CD101" i="3448"/>
  <c r="CC101" i="3448"/>
  <c r="CB101" i="3448"/>
  <c r="CA101" i="3448"/>
  <c r="BY101" i="3448"/>
  <c r="BX101" i="3448"/>
  <c r="BW101" i="3448"/>
  <c r="BO101" i="3448"/>
  <c r="W101" i="3448"/>
  <c r="V101" i="3448"/>
  <c r="U101" i="3448"/>
  <c r="S101" i="3448" a="1"/>
  <c r="S101" i="3448"/>
  <c r="R101" i="3448"/>
  <c r="P101" i="3448" a="1"/>
  <c r="P101" i="3448"/>
  <c r="O101" i="3448" a="1"/>
  <c r="O101" i="3448"/>
  <c r="N101" i="3448" a="1"/>
  <c r="N101" i="3448"/>
  <c r="M101" i="3448" a="1"/>
  <c r="M101" i="3448"/>
  <c r="L101" i="3448" a="1"/>
  <c r="L101" i="3448"/>
  <c r="K101" i="3448" a="1"/>
  <c r="K101" i="3448"/>
  <c r="I101" i="3448"/>
  <c r="H101" i="3448" a="1"/>
  <c r="H101" i="3448"/>
  <c r="G101" i="3448" a="1"/>
  <c r="G101" i="3448"/>
  <c r="F101" i="3448" a="1"/>
  <c r="F101" i="3448"/>
  <c r="E101" i="3448" a="1"/>
  <c r="E101" i="3448"/>
  <c r="D101" i="3448" a="1"/>
  <c r="D101" i="3448"/>
  <c r="C101" i="3448" a="1"/>
  <c r="C101" i="3448"/>
  <c r="CF100" i="3448"/>
  <c r="CE100" i="3448"/>
  <c r="CD100" i="3448"/>
  <c r="CC100" i="3448"/>
  <c r="CB100" i="3448"/>
  <c r="CA100" i="3448"/>
  <c r="BY100" i="3448"/>
  <c r="BX100" i="3448"/>
  <c r="BW100" i="3448"/>
  <c r="BO100" i="3448"/>
  <c r="W100" i="3448"/>
  <c r="V100" i="3448"/>
  <c r="U100" i="3448"/>
  <c r="S100" i="3448" a="1"/>
  <c r="S100" i="3448"/>
  <c r="R100" i="3448"/>
  <c r="P100" i="3448" a="1"/>
  <c r="P100" i="3448"/>
  <c r="O100" i="3448" a="1"/>
  <c r="O100" i="3448"/>
  <c r="N100" i="3448" a="1"/>
  <c r="N100" i="3448"/>
  <c r="M100" i="3448" a="1"/>
  <c r="M100" i="3448"/>
  <c r="L100" i="3448" a="1"/>
  <c r="L100" i="3448"/>
  <c r="K100" i="3448" a="1"/>
  <c r="K100" i="3448"/>
  <c r="I100" i="3448"/>
  <c r="H100" i="3448" a="1"/>
  <c r="H100" i="3448"/>
  <c r="G100" i="3448" a="1"/>
  <c r="G100" i="3448"/>
  <c r="F100" i="3448" a="1"/>
  <c r="F100" i="3448"/>
  <c r="E100" i="3448" a="1"/>
  <c r="E100" i="3448"/>
  <c r="D100" i="3448" a="1"/>
  <c r="D100" i="3448"/>
  <c r="C100" i="3448" a="1"/>
  <c r="C100" i="3448"/>
  <c r="CF99" i="3448"/>
  <c r="CE99" i="3448"/>
  <c r="CD99" i="3448"/>
  <c r="CC99" i="3448"/>
  <c r="CB99" i="3448"/>
  <c r="CA99" i="3448"/>
  <c r="BY99" i="3448"/>
  <c r="BX99" i="3448"/>
  <c r="BW99" i="3448"/>
  <c r="BO99" i="3448"/>
  <c r="W99" i="3448"/>
  <c r="V99" i="3448"/>
  <c r="U99" i="3448"/>
  <c r="S99" i="3448" a="1"/>
  <c r="S99" i="3448"/>
  <c r="R99" i="3448"/>
  <c r="P99" i="3448" a="1"/>
  <c r="P99" i="3448"/>
  <c r="O99" i="3448" a="1"/>
  <c r="O99" i="3448"/>
  <c r="N99" i="3448" a="1"/>
  <c r="N99" i="3448"/>
  <c r="M99" i="3448" a="1"/>
  <c r="M99" i="3448"/>
  <c r="L99" i="3448" a="1"/>
  <c r="L99" i="3448"/>
  <c r="K99" i="3448" a="1"/>
  <c r="K99" i="3448"/>
  <c r="I99" i="3448"/>
  <c r="H99" i="3448" a="1"/>
  <c r="H99" i="3448"/>
  <c r="G99" i="3448" a="1"/>
  <c r="G99" i="3448"/>
  <c r="F99" i="3448" a="1"/>
  <c r="F99" i="3448"/>
  <c r="E99" i="3448" a="1"/>
  <c r="E99" i="3448"/>
  <c r="D99" i="3448" a="1"/>
  <c r="D99" i="3448"/>
  <c r="C99" i="3448" a="1"/>
  <c r="C99" i="3448"/>
  <c r="CF98" i="3448"/>
  <c r="CE98" i="3448"/>
  <c r="CD98" i="3448"/>
  <c r="CC98" i="3448"/>
  <c r="CB98" i="3448"/>
  <c r="CA98" i="3448"/>
  <c r="BY98" i="3448"/>
  <c r="BX98" i="3448"/>
  <c r="BW98" i="3448"/>
  <c r="BO98" i="3448"/>
  <c r="W98" i="3448"/>
  <c r="V98" i="3448"/>
  <c r="U98" i="3448"/>
  <c r="S98" i="3448" a="1"/>
  <c r="S98" i="3448"/>
  <c r="R98" i="3448"/>
  <c r="P98" i="3448" a="1"/>
  <c r="P98" i="3448"/>
  <c r="O98" i="3448" a="1"/>
  <c r="O98" i="3448"/>
  <c r="N98" i="3448" a="1"/>
  <c r="N98" i="3448"/>
  <c r="M98" i="3448" a="1"/>
  <c r="M98" i="3448"/>
  <c r="L98" i="3448" a="1"/>
  <c r="L98" i="3448"/>
  <c r="K98" i="3448" a="1"/>
  <c r="K98" i="3448"/>
  <c r="I98" i="3448"/>
  <c r="H98" i="3448" a="1"/>
  <c r="H98" i="3448"/>
  <c r="G98" i="3448" a="1"/>
  <c r="G98" i="3448"/>
  <c r="F98" i="3448" a="1"/>
  <c r="F98" i="3448"/>
  <c r="E98" i="3448" a="1"/>
  <c r="E98" i="3448"/>
  <c r="D98" i="3448" a="1"/>
  <c r="D98" i="3448"/>
  <c r="C98" i="3448" a="1"/>
  <c r="C98" i="3448"/>
  <c r="CF97" i="3448"/>
  <c r="CE97" i="3448"/>
  <c r="CD97" i="3448"/>
  <c r="CC97" i="3448"/>
  <c r="CB97" i="3448"/>
  <c r="CA97" i="3448"/>
  <c r="BY97" i="3448"/>
  <c r="BX97" i="3448"/>
  <c r="BW97" i="3448"/>
  <c r="BO97" i="3448"/>
  <c r="W97" i="3448"/>
  <c r="V97" i="3448"/>
  <c r="U97" i="3448"/>
  <c r="S97" i="3448" a="1"/>
  <c r="S97" i="3448"/>
  <c r="R97" i="3448"/>
  <c r="P97" i="3448" a="1"/>
  <c r="P97" i="3448"/>
  <c r="O97" i="3448" a="1"/>
  <c r="O97" i="3448"/>
  <c r="N97" i="3448" a="1"/>
  <c r="N97" i="3448"/>
  <c r="M97" i="3448" a="1"/>
  <c r="M97" i="3448"/>
  <c r="L97" i="3448" a="1"/>
  <c r="L97" i="3448"/>
  <c r="K97" i="3448" a="1"/>
  <c r="K97" i="3448"/>
  <c r="I97" i="3448"/>
  <c r="H97" i="3448" a="1"/>
  <c r="H97" i="3448"/>
  <c r="G97" i="3448" a="1"/>
  <c r="G97" i="3448"/>
  <c r="F97" i="3448" a="1"/>
  <c r="F97" i="3448"/>
  <c r="E97" i="3448" a="1"/>
  <c r="E97" i="3448"/>
  <c r="D97" i="3448" a="1"/>
  <c r="D97" i="3448"/>
  <c r="C97" i="3448" a="1"/>
  <c r="C97" i="3448"/>
  <c r="CF96" i="3448"/>
  <c r="CE96" i="3448"/>
  <c r="CD96" i="3448"/>
  <c r="CC96" i="3448"/>
  <c r="CB96" i="3448"/>
  <c r="CA96" i="3448"/>
  <c r="BY96" i="3448"/>
  <c r="BX96" i="3448"/>
  <c r="BW96" i="3448"/>
  <c r="BO96" i="3448"/>
  <c r="W96" i="3448"/>
  <c r="V96" i="3448"/>
  <c r="U96" i="3448"/>
  <c r="S96" i="3448" a="1"/>
  <c r="S96" i="3448"/>
  <c r="R96" i="3448"/>
  <c r="P96" i="3448" a="1"/>
  <c r="P96" i="3448"/>
  <c r="O96" i="3448" a="1"/>
  <c r="O96" i="3448"/>
  <c r="N96" i="3448" a="1"/>
  <c r="N96" i="3448"/>
  <c r="M96" i="3448" a="1"/>
  <c r="M96" i="3448"/>
  <c r="L96" i="3448" a="1"/>
  <c r="L96" i="3448"/>
  <c r="K96" i="3448" a="1"/>
  <c r="K96" i="3448"/>
  <c r="I96" i="3448"/>
  <c r="H96" i="3448" a="1"/>
  <c r="H96" i="3448"/>
  <c r="G96" i="3448" a="1"/>
  <c r="G96" i="3448"/>
  <c r="F96" i="3448" a="1"/>
  <c r="F96" i="3448"/>
  <c r="E96" i="3448" a="1"/>
  <c r="E96" i="3448"/>
  <c r="D96" i="3448" a="1"/>
  <c r="D96" i="3448"/>
  <c r="C96" i="3448" a="1"/>
  <c r="C96" i="3448"/>
  <c r="CF95" i="3448"/>
  <c r="CE95" i="3448"/>
  <c r="CD95" i="3448"/>
  <c r="CC95" i="3448"/>
  <c r="CB95" i="3448"/>
  <c r="CA95" i="3448"/>
  <c r="BY95" i="3448"/>
  <c r="BX95" i="3448"/>
  <c r="BW95" i="3448"/>
  <c r="BO95" i="3448"/>
  <c r="W95" i="3448"/>
  <c r="V95" i="3448"/>
  <c r="U95" i="3448"/>
  <c r="S95" i="3448" a="1"/>
  <c r="S95" i="3448"/>
  <c r="R95" i="3448"/>
  <c r="P95" i="3448" a="1"/>
  <c r="P95" i="3448"/>
  <c r="O95" i="3448" a="1"/>
  <c r="O95" i="3448"/>
  <c r="N95" i="3448" a="1"/>
  <c r="N95" i="3448"/>
  <c r="M95" i="3448" a="1"/>
  <c r="M95" i="3448"/>
  <c r="L95" i="3448" a="1"/>
  <c r="L95" i="3448"/>
  <c r="K95" i="3448" a="1"/>
  <c r="K95" i="3448"/>
  <c r="I95" i="3448"/>
  <c r="H95" i="3448" a="1"/>
  <c r="H95" i="3448"/>
  <c r="G95" i="3448" a="1"/>
  <c r="G95" i="3448"/>
  <c r="F95" i="3448" a="1"/>
  <c r="F95" i="3448"/>
  <c r="E95" i="3448" a="1"/>
  <c r="E95" i="3448"/>
  <c r="D95" i="3448" a="1"/>
  <c r="D95" i="3448"/>
  <c r="C95" i="3448" a="1"/>
  <c r="C95" i="3448"/>
  <c r="CF94" i="3448"/>
  <c r="CE94" i="3448"/>
  <c r="CD94" i="3448"/>
  <c r="CC94" i="3448"/>
  <c r="CB94" i="3448"/>
  <c r="CA94" i="3448"/>
  <c r="BZ94" i="3448"/>
  <c r="CG94" i="3448" s="1"/>
  <c r="BY94" i="3448"/>
  <c r="BX94" i="3448"/>
  <c r="BW94" i="3448"/>
  <c r="BV94" i="3448"/>
  <c r="BV95" i="3448" s="1"/>
  <c r="BV96" i="3448" s="1"/>
  <c r="BV97" i="3448" s="1"/>
  <c r="BV98" i="3448" s="1"/>
  <c r="BV99" i="3448" s="1"/>
  <c r="BV100" i="3448" s="1"/>
  <c r="BV101" i="3448" s="1"/>
  <c r="BV102" i="3448" s="1"/>
  <c r="BV103" i="3448" s="1"/>
  <c r="BV104" i="3448" s="1"/>
  <c r="BV105" i="3448" s="1"/>
  <c r="BV106" i="3448" s="1"/>
  <c r="BV107" i="3448" s="1"/>
  <c r="BV108" i="3448" s="1"/>
  <c r="BV109" i="3448" s="1"/>
  <c r="BV110" i="3448" s="1"/>
  <c r="BV111" i="3448" s="1"/>
  <c r="BV112" i="3448" s="1"/>
  <c r="BV113" i="3448" s="1"/>
  <c r="BV114" i="3448" s="1"/>
  <c r="BV115" i="3448" s="1"/>
  <c r="BV116" i="3448" s="1"/>
  <c r="BV117" i="3448" s="1"/>
  <c r="BV118" i="3448" s="1"/>
  <c r="BV119" i="3448" s="1"/>
  <c r="BV120" i="3448" s="1"/>
  <c r="BV121" i="3448" s="1"/>
  <c r="BV122" i="3448" s="1"/>
  <c r="BV123" i="3448" s="1"/>
  <c r="BV124" i="3448" s="1"/>
  <c r="BV125" i="3448" s="1"/>
  <c r="BV126" i="3448" s="1"/>
  <c r="BV127" i="3448" s="1"/>
  <c r="BV128" i="3448" s="1"/>
  <c r="BV129" i="3448" s="1"/>
  <c r="BV130" i="3448" s="1"/>
  <c r="BV131" i="3448" s="1"/>
  <c r="BV132" i="3448" s="1"/>
  <c r="BV133" i="3448" s="1"/>
  <c r="BV134" i="3448" s="1"/>
  <c r="BV135" i="3448" s="1"/>
  <c r="BV136" i="3448" s="1"/>
  <c r="BV137" i="3448" s="1"/>
  <c r="BV138" i="3448" s="1"/>
  <c r="BV139" i="3448" s="1"/>
  <c r="BV140" i="3448" s="1"/>
  <c r="BV141" i="3448" s="1"/>
  <c r="BV142" i="3448" s="1"/>
  <c r="BV143" i="3448" s="1"/>
  <c r="BV144" i="3448" s="1"/>
  <c r="BV145" i="3448" s="1"/>
  <c r="BV146" i="3448" s="1"/>
  <c r="BV147" i="3448" s="1"/>
  <c r="BV148" i="3448" s="1"/>
  <c r="BV149" i="3448" s="1"/>
  <c r="BV150" i="3448" s="1"/>
  <c r="BV151" i="3448" s="1"/>
  <c r="BV152" i="3448" s="1"/>
  <c r="BV153" i="3448" s="1"/>
  <c r="BV154" i="3448" s="1"/>
  <c r="BV155" i="3448" s="1"/>
  <c r="BV156" i="3448" s="1"/>
  <c r="BV157" i="3448" s="1"/>
  <c r="BV158" i="3448" s="1"/>
  <c r="BV159" i="3448" s="1"/>
  <c r="BV160" i="3448" s="1"/>
  <c r="BV161" i="3448" s="1"/>
  <c r="BV162" i="3448" s="1"/>
  <c r="BU94" i="3448"/>
  <c r="BU95" i="3448" s="1"/>
  <c r="BU96" i="3448" s="1"/>
  <c r="BU97" i="3448" s="1"/>
  <c r="BU98" i="3448" s="1"/>
  <c r="BU99" i="3448" s="1"/>
  <c r="BU100" i="3448" s="1"/>
  <c r="BU101" i="3448" s="1"/>
  <c r="BU102" i="3448" s="1"/>
  <c r="BU103" i="3448" s="1"/>
  <c r="BU104" i="3448" s="1"/>
  <c r="BU105" i="3448" s="1"/>
  <c r="BU106" i="3448" s="1"/>
  <c r="BU107" i="3448" s="1"/>
  <c r="BU108" i="3448" s="1"/>
  <c r="BU109" i="3448" s="1"/>
  <c r="BU110" i="3448" s="1"/>
  <c r="BU111" i="3448" s="1"/>
  <c r="BU112" i="3448" s="1"/>
  <c r="BU113" i="3448" s="1"/>
  <c r="BU114" i="3448" s="1"/>
  <c r="BU115" i="3448" s="1"/>
  <c r="BU116" i="3448" s="1"/>
  <c r="BU117" i="3448" s="1"/>
  <c r="BU118" i="3448" s="1"/>
  <c r="BU119" i="3448" s="1"/>
  <c r="BU120" i="3448" s="1"/>
  <c r="BU121" i="3448" s="1"/>
  <c r="BU122" i="3448" s="1"/>
  <c r="BU123" i="3448" s="1"/>
  <c r="BU124" i="3448" s="1"/>
  <c r="BU125" i="3448" s="1"/>
  <c r="BU126" i="3448" s="1"/>
  <c r="BU127" i="3448" s="1"/>
  <c r="BU128" i="3448" s="1"/>
  <c r="BU129" i="3448" s="1"/>
  <c r="BU130" i="3448" s="1"/>
  <c r="BU131" i="3448" s="1"/>
  <c r="BU132" i="3448" s="1"/>
  <c r="BU133" i="3448" s="1"/>
  <c r="BU134" i="3448" s="1"/>
  <c r="BU135" i="3448" s="1"/>
  <c r="BU136" i="3448" s="1"/>
  <c r="BU137" i="3448" s="1"/>
  <c r="BU138" i="3448" s="1"/>
  <c r="BU139" i="3448" s="1"/>
  <c r="BU140" i="3448" s="1"/>
  <c r="BU141" i="3448" s="1"/>
  <c r="BU142" i="3448" s="1"/>
  <c r="BU143" i="3448" s="1"/>
  <c r="BU144" i="3448" s="1"/>
  <c r="BU145" i="3448" s="1"/>
  <c r="BU146" i="3448" s="1"/>
  <c r="BU147" i="3448" s="1"/>
  <c r="BU148" i="3448" s="1"/>
  <c r="BU149" i="3448" s="1"/>
  <c r="BU150" i="3448" s="1"/>
  <c r="BU151" i="3448" s="1"/>
  <c r="BU152" i="3448" s="1"/>
  <c r="BU153" i="3448" s="1"/>
  <c r="BU154" i="3448" s="1"/>
  <c r="BU155" i="3448" s="1"/>
  <c r="BU156" i="3448" s="1"/>
  <c r="BU157" i="3448" s="1"/>
  <c r="BU158" i="3448" s="1"/>
  <c r="BU159" i="3448" s="1"/>
  <c r="BU160" i="3448" s="1"/>
  <c r="BU161" i="3448" s="1"/>
  <c r="BU162" i="3448" s="1"/>
  <c r="BT94" i="3448"/>
  <c r="BS94" i="3448"/>
  <c r="E126" i="3523" s="1"/>
  <c r="AA126" i="3523" s="1" a="1"/>
  <c r="AA126" i="3523" s="1"/>
  <c r="BR94" i="3448"/>
  <c r="D126" i="3523" s="1"/>
  <c r="V126" i="3523" s="1" a="1"/>
  <c r="V126" i="3523" s="1"/>
  <c r="BQ94" i="3448"/>
  <c r="BP94" i="3448"/>
  <c r="B126" i="3523" s="1"/>
  <c r="BO94" i="3448"/>
  <c r="Z94" i="3448"/>
  <c r="Y94" i="3448"/>
  <c r="Y95" i="3448" s="1"/>
  <c r="AC95" i="3448" s="1"/>
  <c r="X94" i="3448"/>
  <c r="X95" i="3448" s="1"/>
  <c r="W94" i="3448"/>
  <c r="V94" i="3448"/>
  <c r="U94" i="3448"/>
  <c r="S94" i="3448" a="1"/>
  <c r="S94" i="3448"/>
  <c r="R94" i="3448"/>
  <c r="P94" i="3448" a="1"/>
  <c r="P94" i="3448"/>
  <c r="O94" i="3448" a="1"/>
  <c r="O94" i="3448"/>
  <c r="N94" i="3448" a="1"/>
  <c r="N94" i="3448"/>
  <c r="M94" i="3448" a="1"/>
  <c r="M94" i="3448"/>
  <c r="L94" i="3448" a="1"/>
  <c r="L94" i="3448"/>
  <c r="K94" i="3448" a="1"/>
  <c r="K94" i="3448"/>
  <c r="I94" i="3448"/>
  <c r="H94" i="3448" a="1"/>
  <c r="H94" i="3448"/>
  <c r="G94" i="3448" a="1"/>
  <c r="G94" i="3448"/>
  <c r="F94" i="3448" a="1"/>
  <c r="F94" i="3448"/>
  <c r="E94" i="3448" a="1"/>
  <c r="E94" i="3448"/>
  <c r="D94" i="3448" a="1"/>
  <c r="D94" i="3448"/>
  <c r="C94" i="3448" a="1"/>
  <c r="C94" i="3448"/>
  <c r="S93" i="3448" a="1"/>
  <c r="S93" i="3448"/>
  <c r="P93" i="3448" a="1"/>
  <c r="P93" i="3448"/>
  <c r="O93" i="3448" a="1"/>
  <c r="O93" i="3448"/>
  <c r="M93" i="3448" a="1"/>
  <c r="M93" i="3448"/>
  <c r="L93" i="3448" a="1"/>
  <c r="L93" i="3448"/>
  <c r="K93" i="3448"/>
  <c r="H93" i="3448"/>
  <c r="G93" i="3448"/>
  <c r="F93" i="3448"/>
  <c r="E93" i="3448"/>
  <c r="D93" i="3448"/>
  <c r="H85" i="3448" a="1"/>
  <c r="H85" i="3448"/>
  <c r="C85" i="3448" a="1"/>
  <c r="C85" i="3448" s="1"/>
  <c r="AL85" i="3448" s="1" a="1"/>
  <c r="AL85" i="3448" s="1"/>
  <c r="H84" i="3448" a="1"/>
  <c r="H84" i="3448"/>
  <c r="C84" i="3448" a="1"/>
  <c r="C84" i="3448" s="1"/>
  <c r="H83" i="3448" a="1"/>
  <c r="H83" i="3448"/>
  <c r="C83" i="3448" a="1"/>
  <c r="C83" i="3448" s="1"/>
  <c r="AQ83" i="3448" s="1" a="1"/>
  <c r="AQ83" i="3448" s="1"/>
  <c r="H82" i="3448" a="1"/>
  <c r="H82" i="3448"/>
  <c r="C82" i="3448" a="1"/>
  <c r="C82" i="3448" s="1"/>
  <c r="H81" i="3448" a="1"/>
  <c r="H81" i="3448"/>
  <c r="C81" i="3448" a="1"/>
  <c r="C81" i="3448" s="1"/>
  <c r="AU81" i="3448" s="1" a="1"/>
  <c r="AU81" i="3448" s="1"/>
  <c r="H80" i="3448" a="1"/>
  <c r="H80" i="3448"/>
  <c r="C80" i="3448" a="1"/>
  <c r="C80" i="3448" s="1"/>
  <c r="H79" i="3448" a="1"/>
  <c r="H79" i="3448"/>
  <c r="C79" i="3448" a="1"/>
  <c r="C79" i="3448" s="1"/>
  <c r="AQ79" i="3448" s="1" a="1"/>
  <c r="AQ79" i="3448" s="1"/>
  <c r="H78" i="3448" a="1"/>
  <c r="H78" i="3448"/>
  <c r="C78" i="3448" a="1"/>
  <c r="C78" i="3448" s="1"/>
  <c r="H77" i="3448" a="1"/>
  <c r="H77" i="3448"/>
  <c r="C77" i="3448" a="1"/>
  <c r="C77" i="3448" s="1"/>
  <c r="BJ77" i="3448" s="1" a="1"/>
  <c r="BJ77" i="3448" s="1"/>
  <c r="H76" i="3448" a="1"/>
  <c r="H76" i="3448"/>
  <c r="C76" i="3448" a="1"/>
  <c r="C76" i="3448" s="1"/>
  <c r="E76" i="3448" s="1" a="1"/>
  <c r="E76" i="3448" s="1"/>
  <c r="G65" i="3523" s="1"/>
  <c r="H75" i="3448" a="1"/>
  <c r="H75" i="3448"/>
  <c r="C75" i="3448" a="1"/>
  <c r="C75" i="3448" s="1"/>
  <c r="H74" i="3448" a="1"/>
  <c r="H74" i="3448"/>
  <c r="C74" i="3448" a="1"/>
  <c r="C74" i="3448" s="1"/>
  <c r="BM74" i="3448" s="1" a="1"/>
  <c r="BM74" i="3448" s="1"/>
  <c r="H73" i="3448" a="1"/>
  <c r="H73" i="3448"/>
  <c r="C73" i="3448" a="1"/>
  <c r="C73" i="3448" s="1"/>
  <c r="H72" i="3448" a="1"/>
  <c r="H72" i="3448"/>
  <c r="C72" i="3448" a="1"/>
  <c r="C72" i="3448" s="1"/>
  <c r="H71" i="3448" a="1"/>
  <c r="H71" i="3448"/>
  <c r="C71" i="3448" a="1"/>
  <c r="C71" i="3448" s="1"/>
  <c r="BI71" i="3448" s="1" a="1"/>
  <c r="BI71" i="3448" s="1"/>
  <c r="H70" i="3448" a="1"/>
  <c r="H70" i="3448"/>
  <c r="C70" i="3448" a="1"/>
  <c r="C70" i="3448" s="1"/>
  <c r="AR70" i="3448" s="1" a="1"/>
  <c r="AR70" i="3448" s="1"/>
  <c r="H69" i="3448" a="1"/>
  <c r="H69" i="3448"/>
  <c r="C69" i="3448" a="1"/>
  <c r="C69" i="3448" s="1"/>
  <c r="AJ69" i="3448" s="1" a="1"/>
  <c r="AJ69" i="3448" s="1"/>
  <c r="H68" i="3448" a="1"/>
  <c r="H68" i="3448"/>
  <c r="C68" i="3448" a="1"/>
  <c r="C68" i="3448" s="1"/>
  <c r="H67" i="3448" a="1"/>
  <c r="H67" i="3448"/>
  <c r="C67" i="3448" a="1"/>
  <c r="C67" i="3448" s="1"/>
  <c r="AY67" i="3448" s="1" a="1"/>
  <c r="AY67" i="3448" s="1"/>
  <c r="H66" i="3448" a="1"/>
  <c r="H66" i="3448"/>
  <c r="C66" i="3448" a="1"/>
  <c r="C66" i="3448" s="1"/>
  <c r="BH66" i="3448" s="1" a="1"/>
  <c r="BH66" i="3448" s="1"/>
  <c r="H65" i="3448" a="1"/>
  <c r="H65" i="3448"/>
  <c r="C65" i="3448" a="1"/>
  <c r="C65" i="3448" s="1"/>
  <c r="H64" i="3448" a="1"/>
  <c r="H64" i="3448"/>
  <c r="C64" i="3448" a="1"/>
  <c r="C64" i="3448" s="1"/>
  <c r="BI64" i="3448" s="1" a="1"/>
  <c r="BI64" i="3448" s="1"/>
  <c r="H63" i="3448" a="1"/>
  <c r="H63" i="3448"/>
  <c r="C63" i="3448" a="1"/>
  <c r="C63" i="3448" s="1"/>
  <c r="BM63" i="3448" s="1" a="1"/>
  <c r="BM63" i="3448" s="1"/>
  <c r="H62" i="3448" a="1"/>
  <c r="H62" i="3448"/>
  <c r="C62" i="3448" a="1"/>
  <c r="C62" i="3448" s="1"/>
  <c r="H61" i="3448" a="1"/>
  <c r="H61" i="3448"/>
  <c r="C61" i="3448" a="1"/>
  <c r="C61" i="3448" s="1"/>
  <c r="Q61" i="3448" s="1" a="1"/>
  <c r="Q61" i="3448" s="1"/>
  <c r="H60" i="3448" a="1"/>
  <c r="H60" i="3448"/>
  <c r="C60" i="3448" a="1"/>
  <c r="C60" i="3448" s="1"/>
  <c r="BD60" i="3448" s="1" a="1"/>
  <c r="BD60" i="3448" s="1"/>
  <c r="H59" i="3448" a="1"/>
  <c r="H59" i="3448"/>
  <c r="C59" i="3448" a="1"/>
  <c r="C59" i="3448" s="1"/>
  <c r="H58" i="3448" a="1"/>
  <c r="H58" i="3448"/>
  <c r="C58" i="3448" a="1"/>
  <c r="C58" i="3448" s="1"/>
  <c r="AP58" i="3448" s="1" a="1"/>
  <c r="AP58" i="3448" s="1"/>
  <c r="H57" i="3448" a="1"/>
  <c r="H57" i="3448"/>
  <c r="C57" i="3448" a="1"/>
  <c r="C57" i="3448" s="1"/>
  <c r="U57" i="3448" s="1" a="1"/>
  <c r="U57" i="3448" s="1"/>
  <c r="H56" i="3448" a="1"/>
  <c r="H56" i="3448"/>
  <c r="C56" i="3448" a="1"/>
  <c r="C56" i="3448" s="1"/>
  <c r="AE56" i="3448" s="1" a="1"/>
  <c r="AE56" i="3448" s="1"/>
  <c r="H55" i="3448" a="1"/>
  <c r="H55" i="3448"/>
  <c r="C55" i="3448" a="1"/>
  <c r="C55" i="3448" s="1"/>
  <c r="H54" i="3448" a="1"/>
  <c r="H54" i="3448"/>
  <c r="C54" i="3448" a="1"/>
  <c r="C54" i="3448" s="1"/>
  <c r="AK54" i="3448" s="1" a="1"/>
  <c r="AK54" i="3448" s="1"/>
  <c r="BV53" i="3448"/>
  <c r="BU53" i="3448"/>
  <c r="E53" i="3448"/>
  <c r="BR52" i="3448" a="1"/>
  <c r="BR52" i="3448"/>
  <c r="BQ52" i="3448" a="1"/>
  <c r="BQ52" i="3448"/>
  <c r="H50" i="3448" a="1"/>
  <c r="H50" i="3448"/>
  <c r="C50" i="3448" a="1"/>
  <c r="C50" i="3448" s="1"/>
  <c r="H49" i="3448" a="1"/>
  <c r="H49" i="3448"/>
  <c r="C49" i="3448" a="1"/>
  <c r="C49" i="3448" s="1"/>
  <c r="H48" i="3448" a="1"/>
  <c r="H48" i="3448"/>
  <c r="C48" i="3448" a="1"/>
  <c r="C48" i="3448" s="1"/>
  <c r="AU48" i="3448" s="1" a="1"/>
  <c r="AU48" i="3448" s="1"/>
  <c r="H47" i="3448" a="1"/>
  <c r="H47" i="3448"/>
  <c r="C47" i="3448" a="1"/>
  <c r="C47" i="3448" s="1"/>
  <c r="H46" i="3448" a="1"/>
  <c r="H46" i="3448"/>
  <c r="C46" i="3448" a="1"/>
  <c r="C46" i="3448" s="1"/>
  <c r="H45" i="3448" a="1"/>
  <c r="H45" i="3448"/>
  <c r="C45" i="3448" a="1"/>
  <c r="C45" i="3448" s="1"/>
  <c r="V45" i="3448" s="1" a="1"/>
  <c r="V45" i="3448" s="1"/>
  <c r="H44" i="3448" a="1"/>
  <c r="H44" i="3448"/>
  <c r="C44" i="3448" a="1"/>
  <c r="C44" i="3448" s="1"/>
  <c r="AA44" i="3448" s="1" a="1"/>
  <c r="AA44" i="3448" s="1"/>
  <c r="H43" i="3448" a="1"/>
  <c r="H43" i="3448"/>
  <c r="C43" i="3448" a="1"/>
  <c r="C43" i="3448" s="1"/>
  <c r="H42" i="3448" a="1"/>
  <c r="H42" i="3448"/>
  <c r="C42" i="3448" a="1"/>
  <c r="C42" i="3448" s="1"/>
  <c r="AC42" i="3448" s="1" a="1"/>
  <c r="AC42" i="3448" s="1"/>
  <c r="H41" i="3448" a="1"/>
  <c r="H41" i="3448"/>
  <c r="C41" i="3448" a="1"/>
  <c r="C41" i="3448" s="1"/>
  <c r="BF41" i="3448" s="1" a="1"/>
  <c r="BF41" i="3448" s="1"/>
  <c r="E40" i="3448"/>
  <c r="G34" i="3448"/>
  <c r="G33" i="3448"/>
  <c r="G32" i="3448"/>
  <c r="G31" i="3448"/>
  <c r="G30" i="3448"/>
  <c r="G29" i="3448"/>
  <c r="H28" i="3448" a="1"/>
  <c r="H28" i="3448"/>
  <c r="C28" i="3448" a="1"/>
  <c r="C28" i="3448" s="1"/>
  <c r="AK28" i="3448" s="1" a="1"/>
  <c r="AK28" i="3448" s="1"/>
  <c r="H27" i="3448" a="1"/>
  <c r="H27" i="3448"/>
  <c r="C27" i="3448" a="1"/>
  <c r="C27" i="3448" s="1"/>
  <c r="H26" i="3448" a="1"/>
  <c r="H26" i="3448"/>
  <c r="C26" i="3448" a="1"/>
  <c r="C26" i="3448" s="1"/>
  <c r="H25" i="3448" a="1"/>
  <c r="H25" i="3448"/>
  <c r="C25" i="3448" a="1"/>
  <c r="C25" i="3448" s="1"/>
  <c r="H22" i="3448" a="1"/>
  <c r="H22" i="3448"/>
  <c r="C22" i="3448" a="1"/>
  <c r="C22" i="3448" s="1"/>
  <c r="AN22" i="3448" s="1" a="1"/>
  <c r="AN22" i="3448" s="1"/>
  <c r="H21" i="3448" a="1"/>
  <c r="H21" i="3448"/>
  <c r="C21" i="3448" a="1"/>
  <c r="C21" i="3448" s="1"/>
  <c r="BK21" i="3448" s="1" a="1"/>
  <c r="BK21" i="3448" s="1"/>
  <c r="H20" i="3448" a="1"/>
  <c r="H20" i="3448"/>
  <c r="C20" i="3448" a="1"/>
  <c r="C20" i="3448" s="1"/>
  <c r="H19" i="3448" a="1"/>
  <c r="H19" i="3448"/>
  <c r="C19" i="3448" a="1"/>
  <c r="C19" i="3448" s="1"/>
  <c r="H18" i="3448" a="1"/>
  <c r="H18" i="3448"/>
  <c r="C18" i="3448" a="1"/>
  <c r="C18" i="3448" s="1"/>
  <c r="H17" i="3448" a="1"/>
  <c r="H17" i="3448"/>
  <c r="C17" i="3448" a="1"/>
  <c r="C17" i="3448" s="1"/>
  <c r="H16" i="3448" a="1"/>
  <c r="H16" i="3448"/>
  <c r="C16" i="3448" a="1"/>
  <c r="C16" i="3448" s="1"/>
  <c r="Y16" i="3448" s="1" a="1"/>
  <c r="Y16" i="3448" s="1"/>
  <c r="H15" i="3448" a="1"/>
  <c r="H15" i="3448"/>
  <c r="C15" i="3448" a="1"/>
  <c r="C15" i="3448" s="1"/>
  <c r="H14" i="3448" a="1"/>
  <c r="H14" i="3448"/>
  <c r="C14" i="3448" a="1"/>
  <c r="C14" i="3448" s="1"/>
  <c r="N13" i="3448" a="1"/>
  <c r="N13" i="3448" s="1"/>
  <c r="H13" i="3448" a="1"/>
  <c r="H13" i="3448"/>
  <c r="C13" i="3448" a="1"/>
  <c r="C13" i="3448" s="1"/>
  <c r="BA13" i="3448" s="1" a="1"/>
  <c r="BA13" i="3448" s="1"/>
  <c r="BA8" i="3448" s="1"/>
  <c r="BV12" i="3448"/>
  <c r="BU12" i="3448"/>
  <c r="BM12" i="3448" a="1"/>
  <c r="BM12" i="3448"/>
  <c r="BL12" i="3448" a="1"/>
  <c r="BL12" i="3448"/>
  <c r="BK12" i="3448" a="1"/>
  <c r="BK12" i="3448"/>
  <c r="BJ12" i="3448" a="1"/>
  <c r="BJ12" i="3448"/>
  <c r="BI12" i="3448" a="1"/>
  <c r="BI12" i="3448"/>
  <c r="BH12" i="3448" a="1"/>
  <c r="BH12" i="3448"/>
  <c r="BG12" i="3448" a="1"/>
  <c r="BG12" i="3448"/>
  <c r="BF12" i="3448" a="1"/>
  <c r="BF12" i="3448"/>
  <c r="BE12" i="3448" a="1"/>
  <c r="BE12" i="3448"/>
  <c r="BD12" i="3448" a="1"/>
  <c r="BD12" i="3448"/>
  <c r="BC12" i="3448" a="1"/>
  <c r="BC12" i="3448"/>
  <c r="BB12" i="3448" a="1"/>
  <c r="BB12" i="3448"/>
  <c r="BA12" i="3448" a="1"/>
  <c r="BA12" i="3448"/>
  <c r="AZ12" i="3448" a="1"/>
  <c r="AZ12" i="3448"/>
  <c r="AY12" i="3448" a="1"/>
  <c r="AY12" i="3448"/>
  <c r="AX12" i="3448" a="1"/>
  <c r="AX12" i="3448"/>
  <c r="AW12" i="3448" a="1"/>
  <c r="AW12" i="3448"/>
  <c r="AV12" i="3448" a="1"/>
  <c r="AV12" i="3448"/>
  <c r="AU12" i="3448" a="1"/>
  <c r="AU12" i="3448"/>
  <c r="AT12" i="3448" a="1"/>
  <c r="AT12" i="3448"/>
  <c r="AS12" i="3448" a="1"/>
  <c r="AS12" i="3448"/>
  <c r="AR12" i="3448" a="1"/>
  <c r="AR12" i="3448"/>
  <c r="AQ12" i="3448" a="1"/>
  <c r="AQ12" i="3448"/>
  <c r="AP12" i="3448" a="1"/>
  <c r="AP12" i="3448"/>
  <c r="AO12" i="3448" a="1"/>
  <c r="AO12" i="3448"/>
  <c r="AN12" i="3448" a="1"/>
  <c r="AN12" i="3448"/>
  <c r="AM12" i="3448" a="1"/>
  <c r="AM12" i="3448"/>
  <c r="AL12" i="3448" a="1"/>
  <c r="AL12" i="3448"/>
  <c r="AK12" i="3448" a="1"/>
  <c r="AK12" i="3448"/>
  <c r="AJ12" i="3448" a="1"/>
  <c r="AJ12" i="3448"/>
  <c r="AI12" i="3448" a="1"/>
  <c r="AI12" i="3448"/>
  <c r="AH12" i="3448" a="1"/>
  <c r="AH12" i="3448"/>
  <c r="AG12" i="3448" a="1"/>
  <c r="AG12" i="3448"/>
  <c r="AF12" i="3448" a="1"/>
  <c r="AF12" i="3448"/>
  <c r="AE12" i="3448" a="1"/>
  <c r="AE12" i="3448"/>
  <c r="AD12" i="3448" a="1"/>
  <c r="AD12" i="3448"/>
  <c r="AC12" i="3448" a="1"/>
  <c r="AC12" i="3448"/>
  <c r="AB12" i="3448" a="1"/>
  <c r="AB12" i="3448"/>
  <c r="AA12" i="3448" a="1"/>
  <c r="AA12" i="3448"/>
  <c r="Z12" i="3448" a="1"/>
  <c r="Z12" i="3448"/>
  <c r="Y12" i="3448" a="1"/>
  <c r="Y12" i="3448"/>
  <c r="X12" i="3448" a="1"/>
  <c r="X12" i="3448"/>
  <c r="W12" i="3448" a="1"/>
  <c r="W12" i="3448"/>
  <c r="V12" i="3448" a="1"/>
  <c r="V12" i="3448"/>
  <c r="U12" i="3448" a="1"/>
  <c r="U12" i="3448"/>
  <c r="T12" i="3448" a="1"/>
  <c r="T12" i="3448"/>
  <c r="S12" i="3448" a="1"/>
  <c r="S12" i="3448"/>
  <c r="R12" i="3448" a="1"/>
  <c r="R12" i="3448"/>
  <c r="Q12" i="3448" a="1"/>
  <c r="Q12" i="3448"/>
  <c r="P12" i="3448" a="1"/>
  <c r="P12" i="3448"/>
  <c r="BR11" i="3448" a="1"/>
  <c r="BR11" i="3448"/>
  <c r="BQ11" i="3448" a="1"/>
  <c r="BQ11" i="3448"/>
  <c r="C10" i="3448"/>
  <c r="C9" i="3448"/>
  <c r="C8" i="3448"/>
  <c r="C7" i="3448"/>
  <c r="D6" i="3448"/>
  <c r="C6" i="3448"/>
  <c r="D5" i="3448"/>
  <c r="C5" i="3448"/>
  <c r="D4" i="3448"/>
  <c r="C4" i="3448"/>
  <c r="D3" i="3448"/>
  <c r="C3" i="3448"/>
  <c r="D2" i="3448"/>
  <c r="C2" i="3448"/>
  <c r="AV62" i="3419" a="1"/>
  <c r="AV62" i="3419" s="1"/>
  <c r="AU62" i="3419" a="1"/>
  <c r="AU62" i="3419" s="1"/>
  <c r="AT62" i="3419" a="1"/>
  <c r="AT62" i="3419" s="1"/>
  <c r="AS62" i="3419" a="1"/>
  <c r="AS62" i="3419" s="1"/>
  <c r="AR62" i="3419" a="1"/>
  <c r="AR62" i="3419" s="1"/>
  <c r="AQ62" i="3419" a="1"/>
  <c r="AQ62" i="3419" s="1"/>
  <c r="AP62" i="3419" a="1"/>
  <c r="AP62" i="3419" s="1"/>
  <c r="AO62" i="3419" a="1"/>
  <c r="AO62" i="3419" s="1"/>
  <c r="AN62" i="3419" a="1"/>
  <c r="AN62" i="3419" s="1"/>
  <c r="AM62" i="3419" a="1"/>
  <c r="AM62" i="3419" s="1"/>
  <c r="AL62" i="3419" a="1"/>
  <c r="AL62" i="3419" s="1"/>
  <c r="AK62" i="3419" a="1"/>
  <c r="AK62" i="3419" s="1"/>
  <c r="AJ62" i="3419" a="1"/>
  <c r="AJ62" i="3419" s="1"/>
  <c r="AH62" i="3419" a="1"/>
  <c r="AH62" i="3419" s="1"/>
  <c r="AF62" i="3419" a="1"/>
  <c r="AF62" i="3419" s="1"/>
  <c r="AE62" i="3419" a="1"/>
  <c r="AE62" i="3419" s="1"/>
  <c r="AD62" i="3419" a="1"/>
  <c r="AD62" i="3419" s="1"/>
  <c r="AC62" i="3419" a="1"/>
  <c r="AC62" i="3419" s="1"/>
  <c r="Y62" i="3419" a="1"/>
  <c r="Y62" i="3419" s="1"/>
  <c r="X62" i="3419" a="1"/>
  <c r="X62" i="3419" s="1"/>
  <c r="W62" i="3419" a="1"/>
  <c r="W62" i="3419" s="1"/>
  <c r="V62" i="3419" a="1"/>
  <c r="V62" i="3419" s="1"/>
  <c r="U62" i="3419" a="1"/>
  <c r="U62" i="3419" s="1"/>
  <c r="T62" i="3419" a="1"/>
  <c r="T62" i="3419" s="1"/>
  <c r="S62" i="3419" a="1"/>
  <c r="S62" i="3419" s="1"/>
  <c r="R62" i="3419" a="1"/>
  <c r="R62" i="3419" s="1"/>
  <c r="Q62" i="3419" a="1"/>
  <c r="Q62" i="3419" s="1"/>
  <c r="P62" i="3419" a="1"/>
  <c r="P62" i="3419" s="1"/>
  <c r="O62" i="3419" a="1"/>
  <c r="O62" i="3419" s="1"/>
  <c r="N62" i="3419" a="1"/>
  <c r="N62" i="3419" s="1"/>
  <c r="M62" i="3419" a="1"/>
  <c r="M62" i="3419" s="1"/>
  <c r="K62" i="3419" a="1"/>
  <c r="K62" i="3419" s="1"/>
  <c r="I62" i="3419" a="1"/>
  <c r="I62" i="3419" s="1"/>
  <c r="H62" i="3419" a="1"/>
  <c r="H62" i="3419" s="1"/>
  <c r="G62" i="3419" a="1"/>
  <c r="G62" i="3419" s="1"/>
  <c r="F62" i="3419" a="1"/>
  <c r="F62" i="3419" s="1"/>
  <c r="B62" i="3419"/>
  <c r="AV61" i="3419" a="1"/>
  <c r="AV61" i="3419" s="1"/>
  <c r="AU61" i="3419" a="1"/>
  <c r="AU61" i="3419" s="1"/>
  <c r="AT61" i="3419" a="1"/>
  <c r="AT61" i="3419" s="1"/>
  <c r="AS61" i="3419" a="1"/>
  <c r="AS61" i="3419" s="1"/>
  <c r="AR61" i="3419" a="1"/>
  <c r="AR61" i="3419" s="1"/>
  <c r="AQ61" i="3419" a="1"/>
  <c r="AQ61" i="3419" s="1"/>
  <c r="AP61" i="3419" a="1"/>
  <c r="AP61" i="3419" s="1"/>
  <c r="AO61" i="3419" a="1"/>
  <c r="AO61" i="3419" s="1"/>
  <c r="AN61" i="3419" a="1"/>
  <c r="AN61" i="3419" s="1"/>
  <c r="AM61" i="3419" a="1"/>
  <c r="AM61" i="3419" s="1"/>
  <c r="AL61" i="3419" a="1"/>
  <c r="AL61" i="3419" s="1"/>
  <c r="AK61" i="3419" a="1"/>
  <c r="AK61" i="3419" s="1"/>
  <c r="AI61" i="3419" a="1"/>
  <c r="AI61" i="3419" s="1"/>
  <c r="AG61" i="3419" a="1"/>
  <c r="AG61" i="3419" s="1"/>
  <c r="AF61" i="3419" a="1"/>
  <c r="AF61" i="3419" s="1"/>
  <c r="AE61" i="3419" a="1"/>
  <c r="AE61" i="3419" s="1"/>
  <c r="AD61" i="3419" a="1"/>
  <c r="AD61" i="3419" s="1"/>
  <c r="AC61" i="3419" a="1"/>
  <c r="AC61" i="3419" s="1"/>
  <c r="Y61" i="3419" a="1"/>
  <c r="Y61" i="3419" s="1"/>
  <c r="X61" i="3419" a="1"/>
  <c r="X61" i="3419" s="1"/>
  <c r="W61" i="3419" a="1"/>
  <c r="W61" i="3419" s="1"/>
  <c r="V61" i="3419" a="1"/>
  <c r="V61" i="3419" s="1"/>
  <c r="U61" i="3419" a="1"/>
  <c r="U61" i="3419" s="1"/>
  <c r="T61" i="3419" a="1"/>
  <c r="T61" i="3419" s="1"/>
  <c r="S61" i="3419" a="1"/>
  <c r="S61" i="3419" s="1"/>
  <c r="R61" i="3419" a="1"/>
  <c r="R61" i="3419" s="1"/>
  <c r="Q61" i="3419" a="1"/>
  <c r="Q61" i="3419" s="1"/>
  <c r="P61" i="3419" a="1"/>
  <c r="P61" i="3419" s="1"/>
  <c r="O61" i="3419" a="1"/>
  <c r="O61" i="3419" s="1"/>
  <c r="N61" i="3419" a="1"/>
  <c r="N61" i="3419" s="1"/>
  <c r="L61" i="3419" a="1"/>
  <c r="L61" i="3419" s="1"/>
  <c r="J61" i="3419" a="1"/>
  <c r="J61" i="3419" s="1"/>
  <c r="I61" i="3419" a="1"/>
  <c r="I61" i="3419" s="1"/>
  <c r="H61" i="3419" a="1"/>
  <c r="H61" i="3419" s="1"/>
  <c r="G61" i="3419" a="1"/>
  <c r="G61" i="3419" s="1"/>
  <c r="F61" i="3419" a="1"/>
  <c r="F61" i="3419" s="1"/>
  <c r="B61" i="3419"/>
  <c r="AV60" i="3419" a="1"/>
  <c r="AV60" i="3419" s="1"/>
  <c r="AU60" i="3419" a="1"/>
  <c r="AU60" i="3419" s="1"/>
  <c r="AT60" i="3419" a="1"/>
  <c r="AT60" i="3419" s="1"/>
  <c r="AS60" i="3419" a="1"/>
  <c r="AS60" i="3419" s="1"/>
  <c r="AR60" i="3419" a="1"/>
  <c r="AR60" i="3419" s="1"/>
  <c r="AQ60" i="3419" a="1"/>
  <c r="AQ60" i="3419" s="1"/>
  <c r="AP60" i="3419" a="1"/>
  <c r="AP60" i="3419" s="1"/>
  <c r="AO60" i="3419" a="1"/>
  <c r="AO60" i="3419" s="1"/>
  <c r="AN60" i="3419" a="1"/>
  <c r="AN60" i="3419" s="1"/>
  <c r="AM60" i="3419" a="1"/>
  <c r="AM60" i="3419" s="1"/>
  <c r="AL60" i="3419" a="1"/>
  <c r="AL60" i="3419" s="1"/>
  <c r="AJ60" i="3419" a="1"/>
  <c r="AJ60" i="3419" s="1"/>
  <c r="AI60" i="3419" a="1"/>
  <c r="AI60" i="3419" s="1"/>
  <c r="AH60" i="3419" a="1"/>
  <c r="AH60" i="3419" s="1"/>
  <c r="AG60" i="3419" a="1"/>
  <c r="AG60" i="3419" s="1"/>
  <c r="AE60" i="3419" a="1"/>
  <c r="AE60" i="3419" s="1"/>
  <c r="AD60" i="3419" a="1"/>
  <c r="AD60" i="3419" s="1"/>
  <c r="AC60" i="3419" a="1"/>
  <c r="AC60" i="3419" s="1"/>
  <c r="Y60" i="3419" a="1"/>
  <c r="Y60" i="3419" s="1"/>
  <c r="X60" i="3419" a="1"/>
  <c r="X60" i="3419" s="1"/>
  <c r="W60" i="3419" a="1"/>
  <c r="W60" i="3419" s="1"/>
  <c r="V60" i="3419" a="1"/>
  <c r="V60" i="3419" s="1"/>
  <c r="U60" i="3419" a="1"/>
  <c r="U60" i="3419" s="1"/>
  <c r="T60" i="3419" a="1"/>
  <c r="T60" i="3419" s="1"/>
  <c r="S60" i="3419" a="1"/>
  <c r="S60" i="3419" s="1"/>
  <c r="R60" i="3419" a="1"/>
  <c r="R60" i="3419" s="1"/>
  <c r="Q60" i="3419" a="1"/>
  <c r="Q60" i="3419" s="1"/>
  <c r="P60" i="3419" a="1"/>
  <c r="P60" i="3419" s="1"/>
  <c r="O60" i="3419" a="1"/>
  <c r="O60" i="3419" s="1"/>
  <c r="M60" i="3419" a="1"/>
  <c r="M60" i="3419" s="1"/>
  <c r="L60" i="3419" a="1"/>
  <c r="L60" i="3419" s="1"/>
  <c r="K60" i="3419" a="1"/>
  <c r="K60" i="3419" s="1"/>
  <c r="J60" i="3419" a="1"/>
  <c r="J60" i="3419" s="1"/>
  <c r="H60" i="3419" a="1"/>
  <c r="H60" i="3419" s="1"/>
  <c r="G60" i="3419" a="1"/>
  <c r="G60" i="3419" s="1"/>
  <c r="F60" i="3419" a="1"/>
  <c r="F60" i="3419" s="1"/>
  <c r="B60" i="3419"/>
  <c r="AV59" i="3419" a="1"/>
  <c r="AV59" i="3419" s="1"/>
  <c r="AU59" i="3419" a="1"/>
  <c r="AU59" i="3419" s="1"/>
  <c r="AT59" i="3419" a="1"/>
  <c r="AT59" i="3419" s="1"/>
  <c r="AS59" i="3419" a="1"/>
  <c r="AS59" i="3419" s="1"/>
  <c r="AR59" i="3419" a="1"/>
  <c r="AR59" i="3419" s="1"/>
  <c r="AQ59" i="3419" a="1"/>
  <c r="AQ59" i="3419" s="1"/>
  <c r="AP59" i="3419" a="1"/>
  <c r="AP59" i="3419" s="1"/>
  <c r="AO59" i="3419" a="1"/>
  <c r="AO59" i="3419" s="1"/>
  <c r="AN59" i="3419" a="1"/>
  <c r="AN59" i="3419" s="1"/>
  <c r="AM59" i="3419" a="1"/>
  <c r="AM59" i="3419" s="1"/>
  <c r="AL59" i="3419" a="1"/>
  <c r="AL59" i="3419" s="1"/>
  <c r="AJ59" i="3419" a="1"/>
  <c r="AJ59" i="3419" s="1"/>
  <c r="AI59" i="3419" a="1"/>
  <c r="AI59" i="3419" s="1"/>
  <c r="AH59" i="3419" a="1"/>
  <c r="AH59" i="3419" s="1"/>
  <c r="AG59" i="3419" a="1"/>
  <c r="AG59" i="3419" s="1"/>
  <c r="AF59" i="3419" a="1"/>
  <c r="AF59" i="3419" s="1"/>
  <c r="AE59" i="3419" a="1"/>
  <c r="AE59" i="3419" s="1"/>
  <c r="AC59" i="3419" a="1"/>
  <c r="AC59" i="3419" s="1"/>
  <c r="Y59" i="3419" a="1"/>
  <c r="Y59" i="3419" s="1"/>
  <c r="X59" i="3419" a="1"/>
  <c r="X59" i="3419" s="1"/>
  <c r="W59" i="3419" a="1"/>
  <c r="W59" i="3419" s="1"/>
  <c r="V59" i="3419" a="1"/>
  <c r="V59" i="3419" s="1"/>
  <c r="U59" i="3419" a="1"/>
  <c r="U59" i="3419" s="1"/>
  <c r="T59" i="3419" a="1"/>
  <c r="T59" i="3419" s="1"/>
  <c r="S59" i="3419" a="1"/>
  <c r="S59" i="3419" s="1"/>
  <c r="R59" i="3419" a="1"/>
  <c r="R59" i="3419" s="1"/>
  <c r="Q59" i="3419" a="1"/>
  <c r="Q59" i="3419" s="1"/>
  <c r="P59" i="3419" a="1"/>
  <c r="P59" i="3419" s="1"/>
  <c r="O59" i="3419" a="1"/>
  <c r="O59" i="3419" s="1"/>
  <c r="M59" i="3419" a="1"/>
  <c r="M59" i="3419" s="1"/>
  <c r="L59" i="3419" a="1"/>
  <c r="L59" i="3419" s="1"/>
  <c r="K59" i="3419" a="1"/>
  <c r="K59" i="3419" s="1"/>
  <c r="J59" i="3419" a="1"/>
  <c r="J59" i="3419" s="1"/>
  <c r="I59" i="3419" a="1"/>
  <c r="I59" i="3419" s="1"/>
  <c r="H59" i="3419" a="1"/>
  <c r="H59" i="3419" s="1"/>
  <c r="F59" i="3419" a="1"/>
  <c r="F59" i="3419" s="1"/>
  <c r="B59" i="3419"/>
  <c r="AV58" i="3419" a="1"/>
  <c r="AV58" i="3419" s="1"/>
  <c r="AU58" i="3419" a="1"/>
  <c r="AU58" i="3419" s="1"/>
  <c r="AT58" i="3419" a="1"/>
  <c r="AT58" i="3419" s="1"/>
  <c r="AS58" i="3419" a="1"/>
  <c r="AS58" i="3419" s="1"/>
  <c r="AR58" i="3419" a="1"/>
  <c r="AR58" i="3419" s="1"/>
  <c r="AQ58" i="3419" a="1"/>
  <c r="AQ58" i="3419" s="1"/>
  <c r="AP58" i="3419" a="1"/>
  <c r="AP58" i="3419" s="1"/>
  <c r="AO58" i="3419" a="1"/>
  <c r="AO58" i="3419" s="1"/>
  <c r="AN58" i="3419" a="1"/>
  <c r="AN58" i="3419" s="1"/>
  <c r="AM58" i="3419" a="1"/>
  <c r="AM58" i="3419" s="1"/>
  <c r="AL58" i="3419" a="1"/>
  <c r="AL58" i="3419" s="1"/>
  <c r="AJ58" i="3419" a="1"/>
  <c r="AJ58" i="3419" s="1"/>
  <c r="AI58" i="3419" a="1"/>
  <c r="AI58" i="3419" s="1"/>
  <c r="AG58" i="3419" a="1"/>
  <c r="AG58" i="3419" s="1"/>
  <c r="AF58" i="3419" a="1"/>
  <c r="AF58" i="3419" s="1"/>
  <c r="AE58" i="3419" a="1"/>
  <c r="AE58" i="3419" s="1"/>
  <c r="AD58" i="3419" a="1"/>
  <c r="AD58" i="3419" s="1"/>
  <c r="AC58" i="3419" a="1"/>
  <c r="AC58" i="3419" s="1"/>
  <c r="Y58" i="3419" a="1"/>
  <c r="Y58" i="3419" s="1"/>
  <c r="X58" i="3419" a="1"/>
  <c r="X58" i="3419" s="1"/>
  <c r="W58" i="3419" a="1"/>
  <c r="W58" i="3419" s="1"/>
  <c r="V58" i="3419" a="1"/>
  <c r="V58" i="3419" s="1"/>
  <c r="U58" i="3419" a="1"/>
  <c r="U58" i="3419" s="1"/>
  <c r="T58" i="3419" a="1"/>
  <c r="T58" i="3419" s="1"/>
  <c r="S58" i="3419" a="1"/>
  <c r="S58" i="3419" s="1"/>
  <c r="R58" i="3419" a="1"/>
  <c r="R58" i="3419" s="1"/>
  <c r="Q58" i="3419" a="1"/>
  <c r="Q58" i="3419" s="1"/>
  <c r="P58" i="3419" a="1"/>
  <c r="P58" i="3419" s="1"/>
  <c r="O58" i="3419" a="1"/>
  <c r="O58" i="3419" s="1"/>
  <c r="M58" i="3419" a="1"/>
  <c r="M58" i="3419" s="1"/>
  <c r="L58" i="3419" a="1"/>
  <c r="L58" i="3419" s="1"/>
  <c r="J58" i="3419" a="1"/>
  <c r="J58" i="3419" s="1"/>
  <c r="I58" i="3419" a="1"/>
  <c r="I58" i="3419" s="1"/>
  <c r="H58" i="3419" a="1"/>
  <c r="H58" i="3419" s="1"/>
  <c r="G58" i="3419" a="1"/>
  <c r="G58" i="3419" s="1"/>
  <c r="F58" i="3419" a="1"/>
  <c r="F58" i="3419" s="1"/>
  <c r="B58" i="3419"/>
  <c r="AV57" i="3419" a="1"/>
  <c r="AV57" i="3419" s="1"/>
  <c r="AU57" i="3419" a="1"/>
  <c r="AU57" i="3419" s="1"/>
  <c r="AT57" i="3419" a="1"/>
  <c r="AT57" i="3419" s="1"/>
  <c r="AS57" i="3419" a="1"/>
  <c r="AS57" i="3419" s="1"/>
  <c r="AR57" i="3419" a="1"/>
  <c r="AR57" i="3419" s="1"/>
  <c r="AQ57" i="3419" a="1"/>
  <c r="AQ57" i="3419" s="1"/>
  <c r="AP57" i="3419" a="1"/>
  <c r="AP57" i="3419" s="1"/>
  <c r="AO57" i="3419" a="1"/>
  <c r="AO57" i="3419" s="1"/>
  <c r="AN57" i="3419" a="1"/>
  <c r="AN57" i="3419" s="1"/>
  <c r="AM57" i="3419" a="1"/>
  <c r="AM57" i="3419" s="1"/>
  <c r="AL57" i="3419" a="1"/>
  <c r="AL57" i="3419"/>
  <c r="AJ57" i="3419" a="1"/>
  <c r="AJ57" i="3419" s="1"/>
  <c r="AI57" i="3419" a="1"/>
  <c r="AI57" i="3419" s="1"/>
  <c r="AG57" i="3419" a="1"/>
  <c r="AG57" i="3419" s="1"/>
  <c r="AF57" i="3419" a="1"/>
  <c r="AF57" i="3419" s="1"/>
  <c r="AE57" i="3419" a="1"/>
  <c r="AE57" i="3419" s="1"/>
  <c r="AD57" i="3419" a="1"/>
  <c r="AD57" i="3419" s="1"/>
  <c r="AC57" i="3419" a="1"/>
  <c r="AC57" i="3419" s="1"/>
  <c r="Y57" i="3419" a="1"/>
  <c r="Y57" i="3419" s="1"/>
  <c r="X57" i="3419" a="1"/>
  <c r="X57" i="3419" s="1"/>
  <c r="W57" i="3419" a="1"/>
  <c r="W57" i="3419" s="1"/>
  <c r="V57" i="3419" a="1"/>
  <c r="V57" i="3419" s="1"/>
  <c r="U57" i="3419" a="1"/>
  <c r="U57" i="3419" s="1"/>
  <c r="T57" i="3419" a="1"/>
  <c r="T57" i="3419" s="1"/>
  <c r="S57" i="3419" a="1"/>
  <c r="S57" i="3419" s="1"/>
  <c r="R57" i="3419" a="1"/>
  <c r="R57" i="3419" s="1"/>
  <c r="Q57" i="3419" a="1"/>
  <c r="Q57" i="3419" s="1"/>
  <c r="P57" i="3419" a="1"/>
  <c r="P57" i="3419" s="1"/>
  <c r="O57" i="3419" a="1"/>
  <c r="O57" i="3419" s="1"/>
  <c r="M57" i="3419" a="1"/>
  <c r="M57" i="3419" s="1"/>
  <c r="L57" i="3419" a="1"/>
  <c r="L57" i="3419" s="1"/>
  <c r="J57" i="3419" a="1"/>
  <c r="J57" i="3419" s="1"/>
  <c r="I57" i="3419" a="1"/>
  <c r="I57" i="3419" s="1"/>
  <c r="H57" i="3419" a="1"/>
  <c r="H57" i="3419" s="1"/>
  <c r="G57" i="3419" a="1"/>
  <c r="G57" i="3419" s="1"/>
  <c r="F57" i="3419" a="1"/>
  <c r="F57" i="3419" s="1"/>
  <c r="B57" i="3419"/>
  <c r="AV56" i="3419" a="1"/>
  <c r="AV56" i="3419" s="1"/>
  <c r="AU56" i="3419" a="1"/>
  <c r="AU56" i="3419" s="1"/>
  <c r="AT56" i="3419" a="1"/>
  <c r="AT56" i="3419" s="1"/>
  <c r="AS56" i="3419" a="1"/>
  <c r="AS56" i="3419" s="1"/>
  <c r="AR56" i="3419" a="1"/>
  <c r="AR56" i="3419" s="1"/>
  <c r="AQ56" i="3419" a="1"/>
  <c r="AQ56" i="3419" s="1"/>
  <c r="AP56" i="3419" a="1"/>
  <c r="AP56" i="3419" s="1"/>
  <c r="AO56" i="3419" a="1"/>
  <c r="AO56" i="3419" s="1"/>
  <c r="AN56" i="3419" a="1"/>
  <c r="AN56" i="3419" s="1"/>
  <c r="AM56" i="3419" a="1"/>
  <c r="AM56" i="3419" s="1"/>
  <c r="AL56" i="3419" a="1"/>
  <c r="AL56" i="3419" s="1"/>
  <c r="AJ56" i="3419" a="1"/>
  <c r="AJ56" i="3419" s="1"/>
  <c r="AI56" i="3419" a="1"/>
  <c r="AI56" i="3419" s="1"/>
  <c r="AG56" i="3419" a="1"/>
  <c r="AG56" i="3419" s="1"/>
  <c r="AF56" i="3419" a="1"/>
  <c r="AF56" i="3419" s="1"/>
  <c r="AE56" i="3419" a="1"/>
  <c r="AE56" i="3419" s="1"/>
  <c r="AD56" i="3419" a="1"/>
  <c r="AD56" i="3419" s="1"/>
  <c r="AC56" i="3419" a="1"/>
  <c r="AC56" i="3419" s="1"/>
  <c r="Y56" i="3419" a="1"/>
  <c r="Y56" i="3419" s="1"/>
  <c r="X56" i="3419" a="1"/>
  <c r="X56" i="3419" s="1"/>
  <c r="W56" i="3419" a="1"/>
  <c r="W56" i="3419"/>
  <c r="V56" i="3419" a="1"/>
  <c r="V56" i="3419" s="1"/>
  <c r="U56" i="3419" a="1"/>
  <c r="U56" i="3419" s="1"/>
  <c r="T56" i="3419" a="1"/>
  <c r="T56" i="3419" s="1"/>
  <c r="S56" i="3419" a="1"/>
  <c r="S56" i="3419" s="1"/>
  <c r="R56" i="3419" a="1"/>
  <c r="R56" i="3419" s="1"/>
  <c r="Q56" i="3419" a="1"/>
  <c r="Q56" i="3419" s="1"/>
  <c r="P56" i="3419" a="1"/>
  <c r="P56" i="3419" s="1"/>
  <c r="O56" i="3419" a="1"/>
  <c r="O56" i="3419" s="1"/>
  <c r="M56" i="3419" a="1"/>
  <c r="M56" i="3419" s="1"/>
  <c r="L56" i="3419" a="1"/>
  <c r="L56" i="3419" s="1"/>
  <c r="J56" i="3419" a="1"/>
  <c r="J56" i="3419" s="1"/>
  <c r="I56" i="3419" a="1"/>
  <c r="I56" i="3419" s="1"/>
  <c r="H56" i="3419" a="1"/>
  <c r="H56" i="3419" s="1"/>
  <c r="G56" i="3419" a="1"/>
  <c r="G56" i="3419" s="1"/>
  <c r="F56" i="3419" a="1"/>
  <c r="F56" i="3419" s="1"/>
  <c r="B56" i="3419"/>
  <c r="AV55" i="3419" a="1"/>
  <c r="AV55" i="3419" s="1"/>
  <c r="AU55" i="3419" a="1"/>
  <c r="AU55" i="3419" s="1"/>
  <c r="AT55" i="3419" a="1"/>
  <c r="AT55" i="3419" s="1"/>
  <c r="AS55" i="3419" a="1"/>
  <c r="AS55" i="3419" s="1"/>
  <c r="AR55" i="3419" a="1"/>
  <c r="AR55" i="3419" s="1"/>
  <c r="AQ55" i="3419" a="1"/>
  <c r="AQ55" i="3419" s="1"/>
  <c r="AP55" i="3419" a="1"/>
  <c r="AP55" i="3419" s="1"/>
  <c r="AO55" i="3419" a="1"/>
  <c r="AO55" i="3419" s="1"/>
  <c r="AN55" i="3419" a="1"/>
  <c r="AN55" i="3419" s="1"/>
  <c r="AM55" i="3419" a="1"/>
  <c r="AM55" i="3419" s="1"/>
  <c r="AL55" i="3419" a="1"/>
  <c r="AL55" i="3419" s="1"/>
  <c r="AK55" i="3419" a="1"/>
  <c r="AK55" i="3419" s="1"/>
  <c r="AI55" i="3419" a="1"/>
  <c r="AI55" i="3419" s="1"/>
  <c r="AG55" i="3419" a="1"/>
  <c r="AG55" i="3419" s="1"/>
  <c r="AF55" i="3419" a="1"/>
  <c r="AF55" i="3419" s="1"/>
  <c r="AE55" i="3419" a="1"/>
  <c r="AE55" i="3419" s="1"/>
  <c r="AD55" i="3419" a="1"/>
  <c r="AD55" i="3419" s="1"/>
  <c r="AC55" i="3419" a="1"/>
  <c r="AC55" i="3419" s="1"/>
  <c r="Y55" i="3419" a="1"/>
  <c r="Y55" i="3419" s="1"/>
  <c r="X55" i="3419" a="1"/>
  <c r="X55" i="3419" s="1"/>
  <c r="W55" i="3419" a="1"/>
  <c r="W55" i="3419" s="1"/>
  <c r="V55" i="3419" a="1"/>
  <c r="V55" i="3419" s="1"/>
  <c r="U55" i="3419" a="1"/>
  <c r="U55" i="3419" s="1"/>
  <c r="T55" i="3419" a="1"/>
  <c r="T55" i="3419" s="1"/>
  <c r="S55" i="3419" a="1"/>
  <c r="S55" i="3419" s="1"/>
  <c r="R55" i="3419" a="1"/>
  <c r="R55" i="3419" s="1"/>
  <c r="Q55" i="3419" a="1"/>
  <c r="Q55" i="3419" s="1"/>
  <c r="P55" i="3419" a="1"/>
  <c r="P55" i="3419" s="1"/>
  <c r="O55" i="3419" a="1"/>
  <c r="O55" i="3419" s="1"/>
  <c r="N55" i="3419" a="1"/>
  <c r="N55" i="3419" s="1"/>
  <c r="L55" i="3419" a="1"/>
  <c r="L55" i="3419" s="1"/>
  <c r="J55" i="3419" a="1"/>
  <c r="J55" i="3419" s="1"/>
  <c r="I55" i="3419" a="1"/>
  <c r="I55" i="3419" s="1"/>
  <c r="H55" i="3419" a="1"/>
  <c r="H55" i="3419" s="1"/>
  <c r="G55" i="3419" a="1"/>
  <c r="G55" i="3419" s="1"/>
  <c r="F55" i="3419" a="1"/>
  <c r="F55" i="3419" s="1"/>
  <c r="B55" i="3419"/>
  <c r="AV54" i="3419" a="1"/>
  <c r="AV54" i="3419" s="1"/>
  <c r="AU54" i="3419" a="1"/>
  <c r="AU54" i="3419" s="1"/>
  <c r="AT54" i="3419" a="1"/>
  <c r="AT54" i="3419" s="1"/>
  <c r="AS54" i="3419" a="1"/>
  <c r="AS54" i="3419" s="1"/>
  <c r="AR54" i="3419" a="1"/>
  <c r="AR54" i="3419" s="1"/>
  <c r="AQ54" i="3419" a="1"/>
  <c r="AQ54" i="3419" s="1"/>
  <c r="AP54" i="3419" a="1"/>
  <c r="AP54" i="3419" s="1"/>
  <c r="AO54" i="3419" a="1"/>
  <c r="AO54" i="3419" s="1"/>
  <c r="AN54" i="3419" a="1"/>
  <c r="AN54" i="3419" s="1"/>
  <c r="AM54" i="3419" a="1"/>
  <c r="AM54" i="3419" s="1"/>
  <c r="AL54" i="3419" a="1"/>
  <c r="AL54" i="3419" s="1"/>
  <c r="AJ54" i="3419" a="1"/>
  <c r="AJ54" i="3419" s="1"/>
  <c r="AI54" i="3419" a="1"/>
  <c r="AI54" i="3419" s="1"/>
  <c r="AG54" i="3419" a="1"/>
  <c r="AG54" i="3419" s="1"/>
  <c r="AF54" i="3419" a="1"/>
  <c r="AF54" i="3419" s="1"/>
  <c r="AE54" i="3419" a="1"/>
  <c r="AE54" i="3419" s="1"/>
  <c r="AD54" i="3419" a="1"/>
  <c r="AD54" i="3419" s="1"/>
  <c r="AC54" i="3419" a="1"/>
  <c r="AC54" i="3419" s="1"/>
  <c r="Y54" i="3419" a="1"/>
  <c r="Y54" i="3419" s="1"/>
  <c r="X54" i="3419" a="1"/>
  <c r="X54" i="3419" s="1"/>
  <c r="W54" i="3419" a="1"/>
  <c r="W54" i="3419" s="1"/>
  <c r="V54" i="3419" a="1"/>
  <c r="V54" i="3419" s="1"/>
  <c r="U54" i="3419" a="1"/>
  <c r="U54" i="3419" s="1"/>
  <c r="T54" i="3419" a="1"/>
  <c r="T54" i="3419" s="1"/>
  <c r="S54" i="3419" a="1"/>
  <c r="S54" i="3419" s="1"/>
  <c r="R54" i="3419" a="1"/>
  <c r="R54" i="3419" s="1"/>
  <c r="Q54" i="3419" a="1"/>
  <c r="Q54" i="3419" s="1"/>
  <c r="P54" i="3419" a="1"/>
  <c r="P54" i="3419" s="1"/>
  <c r="O54" i="3419" a="1"/>
  <c r="O54" i="3419" s="1"/>
  <c r="M54" i="3419" a="1"/>
  <c r="M54" i="3419" s="1"/>
  <c r="L54" i="3419" a="1"/>
  <c r="L54" i="3419" s="1"/>
  <c r="J54" i="3419" a="1"/>
  <c r="J54" i="3419" s="1"/>
  <c r="I54" i="3419" a="1"/>
  <c r="I54" i="3419" s="1"/>
  <c r="H54" i="3419" a="1"/>
  <c r="H54" i="3419" s="1"/>
  <c r="G54" i="3419" a="1"/>
  <c r="G54" i="3419" s="1"/>
  <c r="F54" i="3419" a="1"/>
  <c r="F54" i="3419" s="1"/>
  <c r="B54" i="3419"/>
  <c r="AV53" i="3419" a="1"/>
  <c r="AV53" i="3419" s="1"/>
  <c r="AU53" i="3419" a="1"/>
  <c r="AU53" i="3419" s="1"/>
  <c r="AT53" i="3419" a="1"/>
  <c r="AT53" i="3419" s="1"/>
  <c r="AS53" i="3419" a="1"/>
  <c r="AS53" i="3419" s="1"/>
  <c r="AR53" i="3419" a="1"/>
  <c r="AR53" i="3419" s="1"/>
  <c r="AQ53" i="3419" a="1"/>
  <c r="AQ53" i="3419" s="1"/>
  <c r="AP53" i="3419" a="1"/>
  <c r="AP53" i="3419" s="1"/>
  <c r="AO53" i="3419" a="1"/>
  <c r="AO53" i="3419" s="1"/>
  <c r="AN53" i="3419" a="1"/>
  <c r="AN53" i="3419" s="1"/>
  <c r="AM53" i="3419" a="1"/>
  <c r="AM53" i="3419" s="1"/>
  <c r="AL53" i="3419" a="1"/>
  <c r="AL53" i="3419" s="1"/>
  <c r="AK53" i="3419" a="1"/>
  <c r="AK53" i="3419" s="1"/>
  <c r="AI53" i="3419" a="1"/>
  <c r="AI53" i="3419" s="1"/>
  <c r="AH53" i="3419" a="1"/>
  <c r="AH53" i="3419" s="1"/>
  <c r="AG53" i="3419" a="1"/>
  <c r="AG53" i="3419" s="1"/>
  <c r="AF53" i="3419" a="1"/>
  <c r="AF53" i="3419" s="1"/>
  <c r="AE53" i="3419" a="1"/>
  <c r="AE53" i="3419" s="1"/>
  <c r="AC53" i="3419" a="1"/>
  <c r="AC53" i="3419" s="1"/>
  <c r="Y53" i="3419" a="1"/>
  <c r="Y53" i="3419" s="1"/>
  <c r="X53" i="3419" a="1"/>
  <c r="X53" i="3419" s="1"/>
  <c r="W53" i="3419" a="1"/>
  <c r="W53" i="3419" s="1"/>
  <c r="V53" i="3419" a="1"/>
  <c r="V53" i="3419" s="1"/>
  <c r="U53" i="3419" a="1"/>
  <c r="U53" i="3419" s="1"/>
  <c r="T53" i="3419" a="1"/>
  <c r="T53" i="3419" s="1"/>
  <c r="S53" i="3419" a="1"/>
  <c r="S53" i="3419" s="1"/>
  <c r="R53" i="3419" a="1"/>
  <c r="R53" i="3419" s="1"/>
  <c r="Q53" i="3419" a="1"/>
  <c r="Q53" i="3419" s="1"/>
  <c r="P53" i="3419" a="1"/>
  <c r="P53" i="3419" s="1"/>
  <c r="O53" i="3419" a="1"/>
  <c r="O53" i="3419" s="1"/>
  <c r="N53" i="3419" a="1"/>
  <c r="N53" i="3419" s="1"/>
  <c r="L53" i="3419" a="1"/>
  <c r="L53" i="3419" s="1"/>
  <c r="K53" i="3419" a="1"/>
  <c r="K53" i="3419" s="1"/>
  <c r="J53" i="3419" a="1"/>
  <c r="J53" i="3419" s="1"/>
  <c r="I53" i="3419" a="1"/>
  <c r="I53" i="3419" s="1"/>
  <c r="H53" i="3419" a="1"/>
  <c r="H53" i="3419" s="1"/>
  <c r="F53" i="3419" a="1"/>
  <c r="F53" i="3419" s="1"/>
  <c r="B53" i="3419"/>
  <c r="AV52" i="3419" a="1"/>
  <c r="AV52" i="3419" s="1"/>
  <c r="AU52" i="3419" a="1"/>
  <c r="AU52" i="3419" s="1"/>
  <c r="AT52" i="3419" a="1"/>
  <c r="AT52" i="3419" s="1"/>
  <c r="AS52" i="3419" a="1"/>
  <c r="AS52" i="3419" s="1"/>
  <c r="AR52" i="3419" a="1"/>
  <c r="AR52" i="3419" s="1"/>
  <c r="AQ52" i="3419" a="1"/>
  <c r="AQ52" i="3419" s="1"/>
  <c r="AP52" i="3419" a="1"/>
  <c r="AP52" i="3419" s="1"/>
  <c r="AO52" i="3419" a="1"/>
  <c r="AO52" i="3419" s="1"/>
  <c r="AN52" i="3419" a="1"/>
  <c r="AN52" i="3419" s="1"/>
  <c r="AM52" i="3419" a="1"/>
  <c r="AM52" i="3419" s="1"/>
  <c r="AL52" i="3419" a="1"/>
  <c r="AL52" i="3419" s="1"/>
  <c r="AJ52" i="3419" a="1"/>
  <c r="AJ52" i="3419" s="1"/>
  <c r="AI52" i="3419" a="1"/>
  <c r="AI52" i="3419" s="1"/>
  <c r="AH52" i="3419" a="1"/>
  <c r="AH52" i="3419" s="1"/>
  <c r="AG52" i="3419" a="1"/>
  <c r="AG52" i="3419" s="1"/>
  <c r="AF52" i="3419" a="1"/>
  <c r="AF52" i="3419" s="1"/>
  <c r="AE52" i="3419" a="1"/>
  <c r="AE52" i="3419" s="1"/>
  <c r="AC52" i="3419" a="1"/>
  <c r="AC52" i="3419" s="1"/>
  <c r="Y52" i="3419" a="1"/>
  <c r="Y52" i="3419" s="1"/>
  <c r="X52" i="3419" a="1"/>
  <c r="X52" i="3419" s="1"/>
  <c r="W52" i="3419" a="1"/>
  <c r="W52" i="3419" s="1"/>
  <c r="V52" i="3419" a="1"/>
  <c r="V52" i="3419" s="1"/>
  <c r="U52" i="3419" a="1"/>
  <c r="U52" i="3419" s="1"/>
  <c r="T52" i="3419" a="1"/>
  <c r="T52" i="3419" s="1"/>
  <c r="S52" i="3419" a="1"/>
  <c r="S52" i="3419" s="1"/>
  <c r="R52" i="3419" a="1"/>
  <c r="R52" i="3419" s="1"/>
  <c r="Q52" i="3419" a="1"/>
  <c r="Q52" i="3419" s="1"/>
  <c r="P52" i="3419" a="1"/>
  <c r="P52" i="3419" s="1"/>
  <c r="O52" i="3419" a="1"/>
  <c r="O52" i="3419" s="1"/>
  <c r="M52" i="3419" a="1"/>
  <c r="M52" i="3419" s="1"/>
  <c r="L52" i="3419" a="1"/>
  <c r="L52" i="3419" s="1"/>
  <c r="K52" i="3419" a="1"/>
  <c r="K52" i="3419" s="1"/>
  <c r="J52" i="3419" a="1"/>
  <c r="J52" i="3419" s="1"/>
  <c r="I52" i="3419" a="1"/>
  <c r="I52" i="3419" s="1"/>
  <c r="H52" i="3419" a="1"/>
  <c r="H52" i="3419" s="1"/>
  <c r="F52" i="3419" a="1"/>
  <c r="F52" i="3419" s="1"/>
  <c r="B52" i="3419"/>
  <c r="AV51" i="3419" a="1"/>
  <c r="AV51" i="3419" s="1"/>
  <c r="AU51" i="3419" a="1"/>
  <c r="AU51" i="3419" s="1"/>
  <c r="AT51" i="3419" a="1"/>
  <c r="AT51" i="3419" s="1"/>
  <c r="AS51" i="3419" a="1"/>
  <c r="AS51" i="3419" s="1"/>
  <c r="AR51" i="3419" a="1"/>
  <c r="AR51" i="3419" s="1"/>
  <c r="AQ51" i="3419" a="1"/>
  <c r="AQ51" i="3419" s="1"/>
  <c r="AP51" i="3419" a="1"/>
  <c r="AP51" i="3419" s="1"/>
  <c r="AO51" i="3419" a="1"/>
  <c r="AO51" i="3419" s="1"/>
  <c r="AN51" i="3419" a="1"/>
  <c r="AN51" i="3419" s="1"/>
  <c r="AM51" i="3419" a="1"/>
  <c r="AM51" i="3419" s="1"/>
  <c r="AL51" i="3419" a="1"/>
  <c r="AL51" i="3419" s="1"/>
  <c r="AJ51" i="3419" a="1"/>
  <c r="AJ51" i="3419" s="1"/>
  <c r="AI51" i="3419" a="1"/>
  <c r="AI51" i="3419" s="1"/>
  <c r="AH51" i="3419" a="1"/>
  <c r="AH51" i="3419" s="1"/>
  <c r="AG51" i="3419" a="1"/>
  <c r="AG51" i="3419" s="1"/>
  <c r="AE51" i="3419" a="1"/>
  <c r="AE51" i="3419" s="1"/>
  <c r="AD51" i="3419" a="1"/>
  <c r="AD51" i="3419" s="1"/>
  <c r="AC51" i="3419" a="1"/>
  <c r="AC51" i="3419" s="1"/>
  <c r="Y51" i="3419" a="1"/>
  <c r="Y51" i="3419" s="1"/>
  <c r="X51" i="3419" a="1"/>
  <c r="X51" i="3419" s="1"/>
  <c r="W51" i="3419" a="1"/>
  <c r="W51" i="3419" s="1"/>
  <c r="V51" i="3419" a="1"/>
  <c r="V51" i="3419" s="1"/>
  <c r="U51" i="3419" a="1"/>
  <c r="U51" i="3419" s="1"/>
  <c r="T51" i="3419" a="1"/>
  <c r="T51" i="3419" s="1"/>
  <c r="S51" i="3419" a="1"/>
  <c r="S51" i="3419" s="1"/>
  <c r="R51" i="3419" a="1"/>
  <c r="R51" i="3419" s="1"/>
  <c r="Q51" i="3419" a="1"/>
  <c r="Q51" i="3419" s="1"/>
  <c r="P51" i="3419" a="1"/>
  <c r="P51" i="3419" s="1"/>
  <c r="O51" i="3419" a="1"/>
  <c r="O51" i="3419" s="1"/>
  <c r="M51" i="3419" a="1"/>
  <c r="M51" i="3419"/>
  <c r="L51" i="3419" a="1"/>
  <c r="L51" i="3419" s="1"/>
  <c r="K51" i="3419" a="1"/>
  <c r="K51" i="3419" s="1"/>
  <c r="J51" i="3419" a="1"/>
  <c r="J51" i="3419" s="1"/>
  <c r="H51" i="3419" a="1"/>
  <c r="H51" i="3419" s="1"/>
  <c r="G51" i="3419" a="1"/>
  <c r="G51" i="3419" s="1"/>
  <c r="F51" i="3419" a="1"/>
  <c r="F51" i="3419" s="1"/>
  <c r="B51" i="3419"/>
  <c r="AV50" i="3419" a="1"/>
  <c r="AV50" i="3419" s="1"/>
  <c r="AU50" i="3419" a="1"/>
  <c r="AU50" i="3419" s="1"/>
  <c r="AT50" i="3419" a="1"/>
  <c r="AT50" i="3419" s="1"/>
  <c r="AS50" i="3419" a="1"/>
  <c r="AS50" i="3419" s="1"/>
  <c r="AR50" i="3419" a="1"/>
  <c r="AR50" i="3419" s="1"/>
  <c r="AQ50" i="3419" a="1"/>
  <c r="AQ50" i="3419" s="1"/>
  <c r="AP50" i="3419" a="1"/>
  <c r="AP50" i="3419" s="1"/>
  <c r="AO50" i="3419" a="1"/>
  <c r="AO50" i="3419" s="1"/>
  <c r="AN50" i="3419" a="1"/>
  <c r="AN50" i="3419" s="1"/>
  <c r="AM50" i="3419" a="1"/>
  <c r="AM50" i="3419" s="1"/>
  <c r="AL50" i="3419" a="1"/>
  <c r="AL50" i="3419" s="1"/>
  <c r="AJ50" i="3419" a="1"/>
  <c r="AJ50" i="3419" s="1"/>
  <c r="AI50" i="3419" a="1"/>
  <c r="AI50" i="3419" s="1"/>
  <c r="AH50" i="3419" a="1"/>
  <c r="AH50" i="3419" s="1"/>
  <c r="AG50" i="3419" a="1"/>
  <c r="AG50" i="3419" s="1"/>
  <c r="AF50" i="3419" a="1"/>
  <c r="AF50" i="3419" s="1"/>
  <c r="AD50" i="3419" a="1"/>
  <c r="AD50" i="3419" s="1"/>
  <c r="AC50" i="3419" a="1"/>
  <c r="AC50" i="3419" s="1"/>
  <c r="Y50" i="3419" a="1"/>
  <c r="Y50" i="3419" s="1"/>
  <c r="X50" i="3419" a="1"/>
  <c r="X50" i="3419" s="1"/>
  <c r="W50" i="3419" a="1"/>
  <c r="W50" i="3419" s="1"/>
  <c r="V50" i="3419" a="1"/>
  <c r="V50" i="3419" s="1"/>
  <c r="U50" i="3419" a="1"/>
  <c r="U50" i="3419" s="1"/>
  <c r="T50" i="3419" a="1"/>
  <c r="T50" i="3419" s="1"/>
  <c r="S50" i="3419" a="1"/>
  <c r="S50" i="3419" s="1"/>
  <c r="R50" i="3419" a="1"/>
  <c r="R50" i="3419" s="1"/>
  <c r="Q50" i="3419" a="1"/>
  <c r="Q50" i="3419" s="1"/>
  <c r="P50" i="3419" a="1"/>
  <c r="P50" i="3419" s="1"/>
  <c r="O50" i="3419" a="1"/>
  <c r="O50" i="3419" s="1"/>
  <c r="M50" i="3419" a="1"/>
  <c r="M50" i="3419" s="1"/>
  <c r="L50" i="3419" a="1"/>
  <c r="L50" i="3419" s="1"/>
  <c r="K50" i="3419" a="1"/>
  <c r="K50" i="3419" s="1"/>
  <c r="J50" i="3419" a="1"/>
  <c r="J50" i="3419" s="1"/>
  <c r="I50" i="3419" a="1"/>
  <c r="I50" i="3419" s="1"/>
  <c r="G50" i="3419" a="1"/>
  <c r="G50" i="3419" s="1"/>
  <c r="F50" i="3419" a="1"/>
  <c r="F50" i="3419" s="1"/>
  <c r="B50" i="3419"/>
  <c r="AV49" i="3419" a="1"/>
  <c r="AV49" i="3419" s="1"/>
  <c r="AU49" i="3419" a="1"/>
  <c r="AU49" i="3419" s="1"/>
  <c r="AT49" i="3419" a="1"/>
  <c r="AT49" i="3419" s="1"/>
  <c r="AS49" i="3419" a="1"/>
  <c r="AS49" i="3419" s="1"/>
  <c r="AR49" i="3419" a="1"/>
  <c r="AR49" i="3419" s="1"/>
  <c r="AQ49" i="3419" a="1"/>
  <c r="AQ49" i="3419" s="1"/>
  <c r="AP49" i="3419" a="1"/>
  <c r="AP49" i="3419" s="1"/>
  <c r="AO49" i="3419" a="1"/>
  <c r="AO49" i="3419" s="1"/>
  <c r="AN49" i="3419" a="1"/>
  <c r="AN49" i="3419" s="1"/>
  <c r="AM49" i="3419" a="1"/>
  <c r="AM49" i="3419" s="1"/>
  <c r="AL49" i="3419" a="1"/>
  <c r="AL49" i="3419" s="1"/>
  <c r="AK49" i="3419" a="1"/>
  <c r="AK49" i="3419" s="1"/>
  <c r="AJ49" i="3419" a="1"/>
  <c r="AJ49" i="3419" s="1"/>
  <c r="AG49" i="3419" a="1"/>
  <c r="AG49" i="3419" s="1"/>
  <c r="AF49" i="3419" a="1"/>
  <c r="AF49" i="3419" s="1"/>
  <c r="AE49" i="3419" a="1"/>
  <c r="AE49" i="3419" s="1"/>
  <c r="AD49" i="3419" a="1"/>
  <c r="AD49" i="3419" s="1"/>
  <c r="AC49" i="3419" a="1"/>
  <c r="AC49" i="3419" s="1"/>
  <c r="Y49" i="3419" a="1"/>
  <c r="Y49" i="3419" s="1"/>
  <c r="X49" i="3419" a="1"/>
  <c r="X49" i="3419" s="1"/>
  <c r="W49" i="3419" a="1"/>
  <c r="W49" i="3419" s="1"/>
  <c r="V49" i="3419" a="1"/>
  <c r="V49" i="3419" s="1"/>
  <c r="U49" i="3419" a="1"/>
  <c r="U49" i="3419" s="1"/>
  <c r="T49" i="3419" a="1"/>
  <c r="T49" i="3419" s="1"/>
  <c r="S49" i="3419" a="1"/>
  <c r="S49" i="3419" s="1"/>
  <c r="R49" i="3419" a="1"/>
  <c r="R49" i="3419" s="1"/>
  <c r="Q49" i="3419" a="1"/>
  <c r="Q49" i="3419" s="1"/>
  <c r="P49" i="3419" a="1"/>
  <c r="P49" i="3419" s="1"/>
  <c r="O49" i="3419" a="1"/>
  <c r="O49" i="3419" s="1"/>
  <c r="N49" i="3419" a="1"/>
  <c r="N49" i="3419" s="1"/>
  <c r="M49" i="3419" a="1"/>
  <c r="M49" i="3419" s="1"/>
  <c r="J49" i="3419" a="1"/>
  <c r="J49" i="3419" s="1"/>
  <c r="I49" i="3419" a="1"/>
  <c r="I49" i="3419" s="1"/>
  <c r="H49" i="3419" a="1"/>
  <c r="H49" i="3419" s="1"/>
  <c r="G49" i="3419" a="1"/>
  <c r="G49" i="3419" s="1"/>
  <c r="F49" i="3419" a="1"/>
  <c r="F49" i="3419" s="1"/>
  <c r="B49" i="3419"/>
  <c r="AV48" i="3419" a="1"/>
  <c r="AV48" i="3419" s="1"/>
  <c r="AU48" i="3419" a="1"/>
  <c r="AU48" i="3419" s="1"/>
  <c r="AT48" i="3419" a="1"/>
  <c r="AT48" i="3419" s="1"/>
  <c r="AS48" i="3419" a="1"/>
  <c r="AS48" i="3419" s="1"/>
  <c r="AR48" i="3419" a="1"/>
  <c r="AR48" i="3419" s="1"/>
  <c r="AQ48" i="3419" a="1"/>
  <c r="AQ48" i="3419" s="1"/>
  <c r="AP48" i="3419" a="1"/>
  <c r="AP48" i="3419" s="1"/>
  <c r="AO48" i="3419" a="1"/>
  <c r="AO48" i="3419" s="1"/>
  <c r="AN48" i="3419" a="1"/>
  <c r="AN48" i="3419" s="1"/>
  <c r="AM48" i="3419" a="1"/>
  <c r="AM48" i="3419" s="1"/>
  <c r="AL48" i="3419" a="1"/>
  <c r="AL48" i="3419" s="1"/>
  <c r="AJ48" i="3419" a="1"/>
  <c r="AJ48" i="3419" s="1"/>
  <c r="AI48" i="3419" a="1"/>
  <c r="AI48" i="3419" s="1"/>
  <c r="AH48" i="3419" a="1"/>
  <c r="AH48" i="3419" s="1"/>
  <c r="AG48" i="3419" a="1"/>
  <c r="AG48" i="3419" s="1"/>
  <c r="AE48" i="3419" a="1"/>
  <c r="AE48" i="3419" s="1"/>
  <c r="AD48" i="3419" a="1"/>
  <c r="AD48" i="3419" s="1"/>
  <c r="AC48" i="3419" a="1"/>
  <c r="AC48" i="3419" s="1"/>
  <c r="Y48" i="3419" a="1"/>
  <c r="Y48" i="3419" s="1"/>
  <c r="X48" i="3419" a="1"/>
  <c r="X48" i="3419" s="1"/>
  <c r="W48" i="3419" a="1"/>
  <c r="W48" i="3419" s="1"/>
  <c r="V48" i="3419" a="1"/>
  <c r="V48" i="3419" s="1"/>
  <c r="U48" i="3419" a="1"/>
  <c r="U48" i="3419" s="1"/>
  <c r="T48" i="3419" a="1"/>
  <c r="T48" i="3419" s="1"/>
  <c r="S48" i="3419" a="1"/>
  <c r="S48" i="3419" s="1"/>
  <c r="R48" i="3419" a="1"/>
  <c r="R48" i="3419" s="1"/>
  <c r="Q48" i="3419" a="1"/>
  <c r="Q48" i="3419" s="1"/>
  <c r="P48" i="3419" a="1"/>
  <c r="P48" i="3419" s="1"/>
  <c r="O48" i="3419" a="1"/>
  <c r="O48" i="3419" s="1"/>
  <c r="M48" i="3419" a="1"/>
  <c r="M48" i="3419" s="1"/>
  <c r="L48" i="3419" a="1"/>
  <c r="L48" i="3419" s="1"/>
  <c r="K48" i="3419" a="1"/>
  <c r="K48" i="3419" s="1"/>
  <c r="J48" i="3419" a="1"/>
  <c r="J48" i="3419" s="1"/>
  <c r="H48" i="3419" a="1"/>
  <c r="H48" i="3419" s="1"/>
  <c r="G48" i="3419" a="1"/>
  <c r="G48" i="3419" s="1"/>
  <c r="F48" i="3419" a="1"/>
  <c r="F48" i="3419" s="1"/>
  <c r="B48" i="3419"/>
  <c r="AV47" i="3419" a="1"/>
  <c r="AV47" i="3419" s="1"/>
  <c r="AU47" i="3419" a="1"/>
  <c r="AU47" i="3419" s="1"/>
  <c r="AT47" i="3419" a="1"/>
  <c r="AT47" i="3419" s="1"/>
  <c r="AS47" i="3419" a="1"/>
  <c r="AS47" i="3419" s="1"/>
  <c r="AR47" i="3419" a="1"/>
  <c r="AR47" i="3419" s="1"/>
  <c r="AQ47" i="3419" a="1"/>
  <c r="AQ47" i="3419" s="1"/>
  <c r="AP47" i="3419" a="1"/>
  <c r="AP47" i="3419" s="1"/>
  <c r="AO47" i="3419" a="1"/>
  <c r="AO47" i="3419" s="1"/>
  <c r="AN47" i="3419" a="1"/>
  <c r="AN47" i="3419" s="1"/>
  <c r="AM47" i="3419" a="1"/>
  <c r="AM47" i="3419" s="1"/>
  <c r="AL47" i="3419" a="1"/>
  <c r="AL47" i="3419" s="1"/>
  <c r="AJ47" i="3419" a="1"/>
  <c r="AJ47" i="3419" s="1"/>
  <c r="AI47" i="3419" a="1"/>
  <c r="AI47" i="3419" s="1"/>
  <c r="AG47" i="3419" a="1"/>
  <c r="AG47" i="3419" s="1"/>
  <c r="AF47" i="3419" a="1"/>
  <c r="AF47" i="3419" s="1"/>
  <c r="AE47" i="3419" a="1"/>
  <c r="AE47" i="3419" s="1"/>
  <c r="AD47" i="3419" a="1"/>
  <c r="AD47" i="3419" s="1"/>
  <c r="AC47" i="3419" a="1"/>
  <c r="AC47" i="3419" s="1"/>
  <c r="Y47" i="3419" a="1"/>
  <c r="Y47" i="3419" s="1"/>
  <c r="X47" i="3419" a="1"/>
  <c r="X47" i="3419" s="1"/>
  <c r="W47" i="3419" a="1"/>
  <c r="W47" i="3419" s="1"/>
  <c r="V47" i="3419" a="1"/>
  <c r="V47" i="3419" s="1"/>
  <c r="U47" i="3419" a="1"/>
  <c r="U47" i="3419" s="1"/>
  <c r="T47" i="3419" a="1"/>
  <c r="T47" i="3419" s="1"/>
  <c r="S47" i="3419" a="1"/>
  <c r="S47" i="3419" s="1"/>
  <c r="R47" i="3419" a="1"/>
  <c r="R47" i="3419" s="1"/>
  <c r="Q47" i="3419" a="1"/>
  <c r="Q47" i="3419" s="1"/>
  <c r="P47" i="3419" a="1"/>
  <c r="P47" i="3419" s="1"/>
  <c r="O47" i="3419" a="1"/>
  <c r="O47" i="3419" s="1"/>
  <c r="M47" i="3419" a="1"/>
  <c r="M47" i="3419" s="1"/>
  <c r="L47" i="3419" a="1"/>
  <c r="L47" i="3419" s="1"/>
  <c r="J47" i="3419" a="1"/>
  <c r="J47" i="3419" s="1"/>
  <c r="I47" i="3419" a="1"/>
  <c r="I47" i="3419" s="1"/>
  <c r="H47" i="3419" a="1"/>
  <c r="H47" i="3419" s="1"/>
  <c r="G47" i="3419" a="1"/>
  <c r="G47" i="3419" s="1"/>
  <c r="F47" i="3419" a="1"/>
  <c r="F47" i="3419" s="1"/>
  <c r="B47" i="3419"/>
  <c r="AV46" i="3419" a="1"/>
  <c r="AV46" i="3419" s="1"/>
  <c r="AU46" i="3419" a="1"/>
  <c r="AU46" i="3419" s="1"/>
  <c r="AT46" i="3419" a="1"/>
  <c r="AT46" i="3419" s="1"/>
  <c r="AS46" i="3419" a="1"/>
  <c r="AS46" i="3419" s="1"/>
  <c r="AR46" i="3419" a="1"/>
  <c r="AR46" i="3419" s="1"/>
  <c r="AQ46" i="3419" a="1"/>
  <c r="AQ46" i="3419" s="1"/>
  <c r="AP46" i="3419" a="1"/>
  <c r="AP46" i="3419" s="1"/>
  <c r="AO46" i="3419" a="1"/>
  <c r="AO46" i="3419" s="1"/>
  <c r="AN46" i="3419" a="1"/>
  <c r="AN46" i="3419" s="1"/>
  <c r="AM46" i="3419" a="1"/>
  <c r="AM46" i="3419" s="1"/>
  <c r="AL46" i="3419" a="1"/>
  <c r="AL46" i="3419" s="1"/>
  <c r="AJ46" i="3419" a="1"/>
  <c r="AJ46" i="3419" s="1"/>
  <c r="AI46" i="3419" a="1"/>
  <c r="AI46" i="3419" s="1"/>
  <c r="AH46" i="3419" a="1"/>
  <c r="AH46" i="3419" s="1"/>
  <c r="AG46" i="3419" a="1"/>
  <c r="AG46" i="3419" s="1"/>
  <c r="AF46" i="3419" a="1"/>
  <c r="AF46" i="3419" s="1"/>
  <c r="AE46" i="3419" a="1"/>
  <c r="AE46" i="3419" s="1"/>
  <c r="AC46" i="3419" a="1"/>
  <c r="AC46" i="3419" s="1"/>
  <c r="Y46" i="3419" a="1"/>
  <c r="Y46" i="3419" s="1"/>
  <c r="X46" i="3419" a="1"/>
  <c r="X46" i="3419" s="1"/>
  <c r="W46" i="3419" a="1"/>
  <c r="W46" i="3419" s="1"/>
  <c r="V46" i="3419" a="1"/>
  <c r="V46" i="3419" s="1"/>
  <c r="U46" i="3419" a="1"/>
  <c r="U46" i="3419" s="1"/>
  <c r="T46" i="3419" a="1"/>
  <c r="T46" i="3419" s="1"/>
  <c r="S46" i="3419" a="1"/>
  <c r="S46" i="3419" s="1"/>
  <c r="R46" i="3419" a="1"/>
  <c r="R46" i="3419" s="1"/>
  <c r="Q46" i="3419" a="1"/>
  <c r="Q46" i="3419" s="1"/>
  <c r="P46" i="3419" a="1"/>
  <c r="P46" i="3419" s="1"/>
  <c r="O46" i="3419" a="1"/>
  <c r="O46" i="3419" s="1"/>
  <c r="M46" i="3419" a="1"/>
  <c r="M46" i="3419" s="1"/>
  <c r="L46" i="3419" a="1"/>
  <c r="L46" i="3419" s="1"/>
  <c r="K46" i="3419" a="1"/>
  <c r="K46" i="3419" s="1"/>
  <c r="J46" i="3419" a="1"/>
  <c r="J46" i="3419" s="1"/>
  <c r="I46" i="3419" a="1"/>
  <c r="I46" i="3419" s="1"/>
  <c r="H46" i="3419" a="1"/>
  <c r="H46" i="3419" s="1"/>
  <c r="F46" i="3419" a="1"/>
  <c r="F46" i="3419" s="1"/>
  <c r="B46" i="3419"/>
  <c r="AV45" i="3419" a="1"/>
  <c r="AV45" i="3419" s="1"/>
  <c r="AU45" i="3419" a="1"/>
  <c r="AU45" i="3419" s="1"/>
  <c r="AT45" i="3419" a="1"/>
  <c r="AT45" i="3419" s="1"/>
  <c r="AS45" i="3419" a="1"/>
  <c r="AS45" i="3419" s="1"/>
  <c r="AR45" i="3419" a="1"/>
  <c r="AR45" i="3419" s="1"/>
  <c r="AQ45" i="3419" a="1"/>
  <c r="AQ45" i="3419" s="1"/>
  <c r="AP45" i="3419" a="1"/>
  <c r="AP45" i="3419" s="1"/>
  <c r="AO45" i="3419" a="1"/>
  <c r="AO45" i="3419" s="1"/>
  <c r="AN45" i="3419" a="1"/>
  <c r="AN45" i="3419" s="1"/>
  <c r="AM45" i="3419" a="1"/>
  <c r="AM45" i="3419" s="1"/>
  <c r="AL45" i="3419" a="1"/>
  <c r="AL45" i="3419" s="1"/>
  <c r="AK45" i="3419" a="1"/>
  <c r="AK45" i="3419" s="1"/>
  <c r="AJ45" i="3419" a="1"/>
  <c r="AJ45" i="3419" s="1"/>
  <c r="AH45" i="3419" a="1"/>
  <c r="AH45" i="3419" s="1"/>
  <c r="AG45" i="3419" a="1"/>
  <c r="AG45" i="3419" s="1"/>
  <c r="AF45" i="3419" a="1"/>
  <c r="AF45" i="3419" s="1"/>
  <c r="AE45" i="3419" a="1"/>
  <c r="AE45" i="3419" s="1"/>
  <c r="AD45" i="3419" a="1"/>
  <c r="AD45" i="3419" s="1"/>
  <c r="Y45" i="3419" a="1"/>
  <c r="Y45" i="3419" s="1"/>
  <c r="X45" i="3419" a="1"/>
  <c r="X45" i="3419" s="1"/>
  <c r="W45" i="3419" a="1"/>
  <c r="W45" i="3419" s="1"/>
  <c r="V45" i="3419" a="1"/>
  <c r="V45" i="3419" s="1"/>
  <c r="U45" i="3419" a="1"/>
  <c r="U45" i="3419" s="1"/>
  <c r="T45" i="3419" a="1"/>
  <c r="T45" i="3419" s="1"/>
  <c r="S45" i="3419" a="1"/>
  <c r="S45" i="3419" s="1"/>
  <c r="R45" i="3419" a="1"/>
  <c r="R45" i="3419" s="1"/>
  <c r="Q45" i="3419" a="1"/>
  <c r="Q45" i="3419" s="1"/>
  <c r="P45" i="3419" a="1"/>
  <c r="P45" i="3419" s="1"/>
  <c r="O45" i="3419" a="1"/>
  <c r="O45" i="3419" s="1"/>
  <c r="N45" i="3419" a="1"/>
  <c r="N45" i="3419" s="1"/>
  <c r="M45" i="3419" a="1"/>
  <c r="M45" i="3419" s="1"/>
  <c r="K45" i="3419" a="1"/>
  <c r="K45" i="3419" s="1"/>
  <c r="J45" i="3419" a="1"/>
  <c r="J45" i="3419" s="1"/>
  <c r="I45" i="3419" a="1"/>
  <c r="I45" i="3419" s="1"/>
  <c r="H45" i="3419" a="1"/>
  <c r="H45" i="3419" s="1"/>
  <c r="G45" i="3419" a="1"/>
  <c r="G45" i="3419" s="1"/>
  <c r="B45" i="3419"/>
  <c r="AV44" i="3419" a="1"/>
  <c r="AV44" i="3419" s="1"/>
  <c r="AU44" i="3419" a="1"/>
  <c r="AU44" i="3419" s="1"/>
  <c r="AT44" i="3419" a="1"/>
  <c r="AT44" i="3419" s="1"/>
  <c r="AS44" i="3419" a="1"/>
  <c r="AS44" i="3419" s="1"/>
  <c r="AR44" i="3419" a="1"/>
  <c r="AR44" i="3419" s="1"/>
  <c r="AQ44" i="3419" a="1"/>
  <c r="AQ44" i="3419" s="1"/>
  <c r="AP44" i="3419" a="1"/>
  <c r="AP44" i="3419" s="1"/>
  <c r="AO44" i="3419" a="1"/>
  <c r="AO44" i="3419" s="1"/>
  <c r="AN44" i="3419" a="1"/>
  <c r="AN44" i="3419" s="1"/>
  <c r="AM44" i="3419" a="1"/>
  <c r="AM44" i="3419" s="1"/>
  <c r="AL44" i="3419" a="1"/>
  <c r="AL44" i="3419" s="1"/>
  <c r="AK44" i="3419" a="1"/>
  <c r="AK44" i="3419" s="1"/>
  <c r="AJ44" i="3419" a="1"/>
  <c r="AJ44" i="3419" s="1"/>
  <c r="AH44" i="3419" a="1"/>
  <c r="AH44" i="3419" s="1"/>
  <c r="AF44" i="3419" a="1"/>
  <c r="AF44" i="3419" s="1"/>
  <c r="AE44" i="3419" a="1"/>
  <c r="AE44" i="3419" s="1"/>
  <c r="AD44" i="3419" a="1"/>
  <c r="AD44" i="3419" s="1"/>
  <c r="AC44" i="3419" a="1"/>
  <c r="AC44" i="3419" s="1"/>
  <c r="Y44" i="3419" a="1"/>
  <c r="Y44" i="3419" s="1"/>
  <c r="X44" i="3419" a="1"/>
  <c r="X44" i="3419" s="1"/>
  <c r="W44" i="3419" a="1"/>
  <c r="W44" i="3419" s="1"/>
  <c r="V44" i="3419" a="1"/>
  <c r="V44" i="3419" s="1"/>
  <c r="U44" i="3419" a="1"/>
  <c r="U44" i="3419" s="1"/>
  <c r="T44" i="3419" a="1"/>
  <c r="T44" i="3419" s="1"/>
  <c r="S44" i="3419" a="1"/>
  <c r="S44" i="3419" s="1"/>
  <c r="R44" i="3419" a="1"/>
  <c r="R44" i="3419" s="1"/>
  <c r="Q44" i="3419" a="1"/>
  <c r="Q44" i="3419" s="1"/>
  <c r="P44" i="3419" a="1"/>
  <c r="P44" i="3419" s="1"/>
  <c r="O44" i="3419" a="1"/>
  <c r="O44" i="3419" s="1"/>
  <c r="N44" i="3419" a="1"/>
  <c r="N44" i="3419" s="1"/>
  <c r="M44" i="3419" a="1"/>
  <c r="M44" i="3419" s="1"/>
  <c r="K44" i="3419" a="1"/>
  <c r="K44" i="3419" s="1"/>
  <c r="I44" i="3419" a="1"/>
  <c r="I44" i="3419" s="1"/>
  <c r="H44" i="3419" a="1"/>
  <c r="H44" i="3419" s="1"/>
  <c r="G44" i="3419" a="1"/>
  <c r="G44" i="3419" s="1"/>
  <c r="F44" i="3419" a="1"/>
  <c r="F44" i="3419" s="1"/>
  <c r="B44" i="3419"/>
  <c r="AV43" i="3419" a="1"/>
  <c r="AV43" i="3419" s="1"/>
  <c r="AU43" i="3419" a="1"/>
  <c r="AU43" i="3419" s="1"/>
  <c r="AT43" i="3419" a="1"/>
  <c r="AT43" i="3419" s="1"/>
  <c r="AS43" i="3419" a="1"/>
  <c r="AS43" i="3419" s="1"/>
  <c r="AR43" i="3419" a="1"/>
  <c r="AR43" i="3419" s="1"/>
  <c r="AQ43" i="3419" a="1"/>
  <c r="AQ43" i="3419" s="1"/>
  <c r="AP43" i="3419" a="1"/>
  <c r="AP43" i="3419" s="1"/>
  <c r="AO43" i="3419" a="1"/>
  <c r="AO43" i="3419" s="1"/>
  <c r="AN43" i="3419" a="1"/>
  <c r="AN43" i="3419" s="1"/>
  <c r="AM43" i="3419" a="1"/>
  <c r="AM43" i="3419" s="1"/>
  <c r="AL43" i="3419" a="1"/>
  <c r="AL43" i="3419" s="1"/>
  <c r="AK43" i="3419" a="1"/>
  <c r="AK43" i="3419" s="1"/>
  <c r="AI43" i="3419" a="1"/>
  <c r="AI43" i="3419" s="1"/>
  <c r="AH43" i="3419" a="1"/>
  <c r="AH43" i="3419" s="1"/>
  <c r="AG43" i="3419" a="1"/>
  <c r="AG43" i="3419" s="1"/>
  <c r="AE43" i="3419" a="1"/>
  <c r="AE43" i="3419" s="1"/>
  <c r="AD43" i="3419" a="1"/>
  <c r="AD43" i="3419" s="1"/>
  <c r="AC43" i="3419" a="1"/>
  <c r="AC43" i="3419" s="1"/>
  <c r="Y43" i="3419" a="1"/>
  <c r="Y43" i="3419" s="1"/>
  <c r="X43" i="3419" a="1"/>
  <c r="X43" i="3419" s="1"/>
  <c r="W43" i="3419" a="1"/>
  <c r="W43" i="3419" s="1"/>
  <c r="V43" i="3419" a="1"/>
  <c r="V43" i="3419" s="1"/>
  <c r="U43" i="3419" a="1"/>
  <c r="U43" i="3419" s="1"/>
  <c r="T43" i="3419" a="1"/>
  <c r="T43" i="3419" s="1"/>
  <c r="S43" i="3419" a="1"/>
  <c r="S43" i="3419" s="1"/>
  <c r="R43" i="3419" a="1"/>
  <c r="R43" i="3419" s="1"/>
  <c r="Q43" i="3419" a="1"/>
  <c r="Q43" i="3419" s="1"/>
  <c r="P43" i="3419" a="1"/>
  <c r="P43" i="3419" s="1"/>
  <c r="O43" i="3419" a="1"/>
  <c r="O43" i="3419" s="1"/>
  <c r="N43" i="3419" a="1"/>
  <c r="N43" i="3419" s="1"/>
  <c r="L43" i="3419" a="1"/>
  <c r="L43" i="3419" s="1"/>
  <c r="K43" i="3419" a="1"/>
  <c r="K43" i="3419" s="1"/>
  <c r="J43" i="3419" a="1"/>
  <c r="J43" i="3419" s="1"/>
  <c r="H43" i="3419" a="1"/>
  <c r="H43" i="3419" s="1"/>
  <c r="G43" i="3419" a="1"/>
  <c r="G43" i="3419" s="1"/>
  <c r="F43" i="3419" a="1"/>
  <c r="F43" i="3419" s="1"/>
  <c r="B43" i="3419"/>
  <c r="AV42" i="3419" a="1"/>
  <c r="AV42" i="3419" s="1"/>
  <c r="AU42" i="3419" a="1"/>
  <c r="AU42" i="3419" s="1"/>
  <c r="AT42" i="3419" a="1"/>
  <c r="AT42" i="3419" s="1"/>
  <c r="AS42" i="3419" a="1"/>
  <c r="AS42" i="3419" s="1"/>
  <c r="AR42" i="3419" a="1"/>
  <c r="AR42" i="3419" s="1"/>
  <c r="AQ42" i="3419" a="1"/>
  <c r="AQ42" i="3419" s="1"/>
  <c r="AP42" i="3419" a="1"/>
  <c r="AP42" i="3419" s="1"/>
  <c r="AO42" i="3419" a="1"/>
  <c r="AO42" i="3419" s="1"/>
  <c r="AN42" i="3419" a="1"/>
  <c r="AN42" i="3419" s="1"/>
  <c r="AM42" i="3419" a="1"/>
  <c r="AM42" i="3419" s="1"/>
  <c r="AL42" i="3419" a="1"/>
  <c r="AL42" i="3419" s="1"/>
  <c r="AK42" i="3419" a="1"/>
  <c r="AK42" i="3419" s="1"/>
  <c r="AI42" i="3419" a="1"/>
  <c r="AI42" i="3419" s="1"/>
  <c r="AH42" i="3419" a="1"/>
  <c r="AH42" i="3419" s="1"/>
  <c r="AG42" i="3419" a="1"/>
  <c r="AG42" i="3419" s="1"/>
  <c r="AF42" i="3419" a="1"/>
  <c r="AF42" i="3419" s="1"/>
  <c r="AE42" i="3419" a="1"/>
  <c r="AE42" i="3419" s="1"/>
  <c r="AC42" i="3419" a="1"/>
  <c r="AC42" i="3419" s="1"/>
  <c r="Y42" i="3419" a="1"/>
  <c r="Y42" i="3419" s="1"/>
  <c r="X42" i="3419" a="1"/>
  <c r="X42" i="3419" s="1"/>
  <c r="W42" i="3419" a="1"/>
  <c r="W42" i="3419" s="1"/>
  <c r="V42" i="3419" a="1"/>
  <c r="V42" i="3419" s="1"/>
  <c r="U42" i="3419" a="1"/>
  <c r="U42" i="3419" s="1"/>
  <c r="T42" i="3419" a="1"/>
  <c r="T42" i="3419" s="1"/>
  <c r="S42" i="3419" a="1"/>
  <c r="S42" i="3419" s="1"/>
  <c r="R42" i="3419" a="1"/>
  <c r="R42" i="3419" s="1"/>
  <c r="Q42" i="3419" a="1"/>
  <c r="Q42" i="3419" s="1"/>
  <c r="P42" i="3419" a="1"/>
  <c r="P42" i="3419" s="1"/>
  <c r="O42" i="3419" a="1"/>
  <c r="O42" i="3419" s="1"/>
  <c r="N42" i="3419" a="1"/>
  <c r="N42" i="3419" s="1"/>
  <c r="L42" i="3419" a="1"/>
  <c r="L42" i="3419" s="1"/>
  <c r="K42" i="3419" a="1"/>
  <c r="K42" i="3419" s="1"/>
  <c r="J42" i="3419" a="1"/>
  <c r="J42" i="3419" s="1"/>
  <c r="I42" i="3419" a="1"/>
  <c r="I42" i="3419" s="1"/>
  <c r="H42" i="3419" a="1"/>
  <c r="H42" i="3419" s="1"/>
  <c r="F42" i="3419" a="1"/>
  <c r="F42" i="3419" s="1"/>
  <c r="B42" i="3419"/>
  <c r="AV41" i="3419" a="1"/>
  <c r="AV41" i="3419" s="1"/>
  <c r="AU41" i="3419" a="1"/>
  <c r="AU41" i="3419" s="1"/>
  <c r="AT41" i="3419" a="1"/>
  <c r="AT41" i="3419" s="1"/>
  <c r="AS41" i="3419" a="1"/>
  <c r="AS41" i="3419" s="1"/>
  <c r="AR41" i="3419" a="1"/>
  <c r="AR41" i="3419" s="1"/>
  <c r="AQ41" i="3419" a="1"/>
  <c r="AQ41" i="3419" s="1"/>
  <c r="AP41" i="3419" a="1"/>
  <c r="AP41" i="3419" s="1"/>
  <c r="AO41" i="3419" a="1"/>
  <c r="AO41" i="3419" s="1"/>
  <c r="AN41" i="3419" a="1"/>
  <c r="AN41" i="3419" s="1"/>
  <c r="AM41" i="3419" a="1"/>
  <c r="AM41" i="3419" s="1"/>
  <c r="AL41" i="3419" a="1"/>
  <c r="AL41" i="3419" s="1"/>
  <c r="AJ41" i="3419" a="1"/>
  <c r="AJ41" i="3419" s="1"/>
  <c r="AI41" i="3419" a="1"/>
  <c r="AI41" i="3419" s="1"/>
  <c r="AG41" i="3419" a="1"/>
  <c r="AG41" i="3419" s="1"/>
  <c r="AF41" i="3419" a="1"/>
  <c r="AF41" i="3419" s="1"/>
  <c r="AE41" i="3419" a="1"/>
  <c r="AE41" i="3419" s="1"/>
  <c r="AD41" i="3419" a="1"/>
  <c r="AD41" i="3419" s="1"/>
  <c r="AC41" i="3419" a="1"/>
  <c r="AC41" i="3419" s="1"/>
  <c r="Y41" i="3419" a="1"/>
  <c r="Y41" i="3419" s="1"/>
  <c r="X41" i="3419" a="1"/>
  <c r="X41" i="3419" s="1"/>
  <c r="W41" i="3419" a="1"/>
  <c r="W41" i="3419" s="1"/>
  <c r="V41" i="3419" a="1"/>
  <c r="V41" i="3419" s="1"/>
  <c r="U41" i="3419" a="1"/>
  <c r="U41" i="3419" s="1"/>
  <c r="T41" i="3419" a="1"/>
  <c r="T41" i="3419" s="1"/>
  <c r="S41" i="3419" a="1"/>
  <c r="S41" i="3419" s="1"/>
  <c r="R41" i="3419" a="1"/>
  <c r="R41" i="3419" s="1"/>
  <c r="Q41" i="3419" a="1"/>
  <c r="Q41" i="3419" s="1"/>
  <c r="P41" i="3419" a="1"/>
  <c r="P41" i="3419" s="1"/>
  <c r="O41" i="3419" a="1"/>
  <c r="O41" i="3419" s="1"/>
  <c r="M41" i="3419" a="1"/>
  <c r="M41" i="3419" s="1"/>
  <c r="L41" i="3419" a="1"/>
  <c r="L41" i="3419" s="1"/>
  <c r="J41" i="3419" a="1"/>
  <c r="J41" i="3419" s="1"/>
  <c r="I41" i="3419" a="1"/>
  <c r="I41" i="3419" s="1"/>
  <c r="H41" i="3419" a="1"/>
  <c r="H41" i="3419" s="1"/>
  <c r="G41" i="3419" a="1"/>
  <c r="G41" i="3419" s="1"/>
  <c r="F41" i="3419" a="1"/>
  <c r="F41" i="3419" s="1"/>
  <c r="B41" i="3419"/>
  <c r="AV40" i="3419" a="1"/>
  <c r="AV40" i="3419" s="1"/>
  <c r="AU40" i="3419" a="1"/>
  <c r="AU40" i="3419" s="1"/>
  <c r="AT40" i="3419" a="1"/>
  <c r="AT40" i="3419" s="1"/>
  <c r="AS40" i="3419" a="1"/>
  <c r="AS40" i="3419" s="1"/>
  <c r="AR40" i="3419" a="1"/>
  <c r="AR40" i="3419" s="1"/>
  <c r="AQ40" i="3419" a="1"/>
  <c r="AQ40" i="3419" s="1"/>
  <c r="AP40" i="3419" a="1"/>
  <c r="AP40" i="3419" s="1"/>
  <c r="AO40" i="3419" a="1"/>
  <c r="AO40" i="3419" s="1"/>
  <c r="AN40" i="3419" a="1"/>
  <c r="AN40" i="3419" s="1"/>
  <c r="AM40" i="3419" a="1"/>
  <c r="AM40" i="3419" s="1"/>
  <c r="AL40" i="3419" a="1"/>
  <c r="AL40" i="3419" s="1"/>
  <c r="AK40" i="3419" a="1"/>
  <c r="AK40" i="3419" s="1"/>
  <c r="AJ40" i="3419" a="1"/>
  <c r="AJ40" i="3419" s="1"/>
  <c r="AG40" i="3419" a="1"/>
  <c r="AG40" i="3419" s="1"/>
  <c r="AF40" i="3419" a="1"/>
  <c r="AF40" i="3419" s="1"/>
  <c r="AE40" i="3419" a="1"/>
  <c r="AE40" i="3419" s="1"/>
  <c r="AD40" i="3419" a="1"/>
  <c r="AD40" i="3419" s="1"/>
  <c r="AC40" i="3419" a="1"/>
  <c r="AC40" i="3419" s="1"/>
  <c r="Y40" i="3419" a="1"/>
  <c r="Y40" i="3419" s="1"/>
  <c r="X40" i="3419" a="1"/>
  <c r="X40" i="3419" s="1"/>
  <c r="W40" i="3419" a="1"/>
  <c r="W40" i="3419" s="1"/>
  <c r="V40" i="3419" a="1"/>
  <c r="V40" i="3419" s="1"/>
  <c r="U40" i="3419" a="1"/>
  <c r="U40" i="3419" s="1"/>
  <c r="T40" i="3419" a="1"/>
  <c r="T40" i="3419" s="1"/>
  <c r="S40" i="3419" a="1"/>
  <c r="S40" i="3419" s="1"/>
  <c r="R40" i="3419" a="1"/>
  <c r="R40" i="3419" s="1"/>
  <c r="Q40" i="3419" a="1"/>
  <c r="Q40" i="3419" s="1"/>
  <c r="P40" i="3419" a="1"/>
  <c r="P40" i="3419" s="1"/>
  <c r="O40" i="3419" a="1"/>
  <c r="O40" i="3419" s="1"/>
  <c r="N40" i="3419" a="1"/>
  <c r="N40" i="3419" s="1"/>
  <c r="M40" i="3419" a="1"/>
  <c r="M40" i="3419" s="1"/>
  <c r="J40" i="3419" a="1"/>
  <c r="J40" i="3419" s="1"/>
  <c r="I40" i="3419" a="1"/>
  <c r="I40" i="3419" s="1"/>
  <c r="H40" i="3419" a="1"/>
  <c r="H40" i="3419" s="1"/>
  <c r="G40" i="3419" a="1"/>
  <c r="G40" i="3419" s="1"/>
  <c r="F40" i="3419" a="1"/>
  <c r="F40" i="3419" s="1"/>
  <c r="B40" i="3419"/>
  <c r="AV39" i="3419" a="1"/>
  <c r="AV39" i="3419" s="1"/>
  <c r="AU39" i="3419" a="1"/>
  <c r="AU39" i="3419" s="1"/>
  <c r="AT39" i="3419" a="1"/>
  <c r="AT39" i="3419" s="1"/>
  <c r="AS39" i="3419" a="1"/>
  <c r="AS39" i="3419" s="1"/>
  <c r="AR39" i="3419" a="1"/>
  <c r="AR39" i="3419" s="1"/>
  <c r="AQ39" i="3419" a="1"/>
  <c r="AQ39" i="3419" s="1"/>
  <c r="AP39" i="3419" a="1"/>
  <c r="AP39" i="3419" s="1"/>
  <c r="AO39" i="3419" a="1"/>
  <c r="AO39" i="3419" s="1"/>
  <c r="AN39" i="3419" a="1"/>
  <c r="AN39" i="3419" s="1"/>
  <c r="AM39" i="3419" a="1"/>
  <c r="AM39" i="3419" s="1"/>
  <c r="AL39" i="3419" a="1"/>
  <c r="AL39" i="3419" s="1"/>
  <c r="AJ39" i="3419" a="1"/>
  <c r="AJ39" i="3419" s="1"/>
  <c r="AI39" i="3419" a="1"/>
  <c r="AI39" i="3419" s="1"/>
  <c r="AH39" i="3419" a="1"/>
  <c r="AH39" i="3419" s="1"/>
  <c r="AG39" i="3419" a="1"/>
  <c r="AG39" i="3419" s="1"/>
  <c r="AE39" i="3419" a="1"/>
  <c r="AE39" i="3419" s="1"/>
  <c r="AD39" i="3419" a="1"/>
  <c r="AD39" i="3419" s="1"/>
  <c r="AC39" i="3419" a="1"/>
  <c r="AC39" i="3419" s="1"/>
  <c r="Y39" i="3419" a="1"/>
  <c r="Y39" i="3419" s="1"/>
  <c r="X39" i="3419" a="1"/>
  <c r="X39" i="3419" s="1"/>
  <c r="W39" i="3419" a="1"/>
  <c r="W39" i="3419" s="1"/>
  <c r="V39" i="3419" a="1"/>
  <c r="V39" i="3419" s="1"/>
  <c r="U39" i="3419" a="1"/>
  <c r="U39" i="3419" s="1"/>
  <c r="T39" i="3419" a="1"/>
  <c r="T39" i="3419" s="1"/>
  <c r="S39" i="3419" a="1"/>
  <c r="S39" i="3419" s="1"/>
  <c r="R39" i="3419" a="1"/>
  <c r="R39" i="3419" s="1"/>
  <c r="Q39" i="3419" a="1"/>
  <c r="Q39" i="3419" s="1"/>
  <c r="P39" i="3419" a="1"/>
  <c r="P39" i="3419" s="1"/>
  <c r="O39" i="3419" a="1"/>
  <c r="O39" i="3419" s="1"/>
  <c r="M39" i="3419" a="1"/>
  <c r="M39" i="3419" s="1"/>
  <c r="L39" i="3419" a="1"/>
  <c r="L39" i="3419" s="1"/>
  <c r="K39" i="3419" a="1"/>
  <c r="K39" i="3419" s="1"/>
  <c r="J39" i="3419" a="1"/>
  <c r="J39" i="3419" s="1"/>
  <c r="H39" i="3419" a="1"/>
  <c r="H39" i="3419" s="1"/>
  <c r="G39" i="3419" a="1"/>
  <c r="G39" i="3419" s="1"/>
  <c r="F39" i="3419" a="1"/>
  <c r="F39" i="3419" s="1"/>
  <c r="B39" i="3419"/>
  <c r="AV38" i="3419" a="1"/>
  <c r="AV38" i="3419" s="1"/>
  <c r="AU38" i="3419" a="1"/>
  <c r="AU38" i="3419" s="1"/>
  <c r="AT38" i="3419" a="1"/>
  <c r="AT38" i="3419" s="1"/>
  <c r="AS38" i="3419" a="1"/>
  <c r="AS38" i="3419" s="1"/>
  <c r="AR38" i="3419" a="1"/>
  <c r="AR38" i="3419" s="1"/>
  <c r="AQ38" i="3419" a="1"/>
  <c r="AQ38" i="3419" s="1"/>
  <c r="AP38" i="3419" a="1"/>
  <c r="AP38" i="3419" s="1"/>
  <c r="AO38" i="3419" a="1"/>
  <c r="AO38" i="3419" s="1"/>
  <c r="AN38" i="3419" a="1"/>
  <c r="AN38" i="3419" s="1"/>
  <c r="AM38" i="3419" a="1"/>
  <c r="AM38" i="3419" s="1"/>
  <c r="AL38" i="3419" a="1"/>
  <c r="AL38" i="3419" s="1"/>
  <c r="AJ38" i="3419" a="1"/>
  <c r="AJ38" i="3419" s="1"/>
  <c r="AI38" i="3419" a="1"/>
  <c r="AI38" i="3419" s="1"/>
  <c r="AH38" i="3419" a="1"/>
  <c r="AH38" i="3419" s="1"/>
  <c r="AG38" i="3419" a="1"/>
  <c r="AG38" i="3419" s="1"/>
  <c r="AE38" i="3419" a="1"/>
  <c r="AE38" i="3419" s="1"/>
  <c r="AD38" i="3419" a="1"/>
  <c r="AD38" i="3419" s="1"/>
  <c r="AC38" i="3419" a="1"/>
  <c r="AC38" i="3419" s="1"/>
  <c r="Y38" i="3419" a="1"/>
  <c r="Y38" i="3419" s="1"/>
  <c r="X38" i="3419" a="1"/>
  <c r="X38" i="3419" s="1"/>
  <c r="W38" i="3419" a="1"/>
  <c r="W38" i="3419" s="1"/>
  <c r="V38" i="3419" a="1"/>
  <c r="V38" i="3419" s="1"/>
  <c r="U38" i="3419" a="1"/>
  <c r="U38" i="3419" s="1"/>
  <c r="T38" i="3419" a="1"/>
  <c r="T38" i="3419" s="1"/>
  <c r="S38" i="3419" a="1"/>
  <c r="S38" i="3419" s="1"/>
  <c r="R38" i="3419" a="1"/>
  <c r="R38" i="3419" s="1"/>
  <c r="Q38" i="3419" a="1"/>
  <c r="Q38" i="3419" s="1"/>
  <c r="P38" i="3419" a="1"/>
  <c r="P38" i="3419" s="1"/>
  <c r="O38" i="3419" a="1"/>
  <c r="O38" i="3419" s="1"/>
  <c r="M38" i="3419" a="1"/>
  <c r="M38" i="3419" s="1"/>
  <c r="L38" i="3419" a="1"/>
  <c r="L38" i="3419" s="1"/>
  <c r="K38" i="3419" a="1"/>
  <c r="K38" i="3419" s="1"/>
  <c r="J38" i="3419" a="1"/>
  <c r="J38" i="3419" s="1"/>
  <c r="H38" i="3419" a="1"/>
  <c r="H38" i="3419" s="1"/>
  <c r="G38" i="3419" a="1"/>
  <c r="G38" i="3419" s="1"/>
  <c r="F38" i="3419" a="1"/>
  <c r="F38" i="3419" s="1"/>
  <c r="B38" i="3419"/>
  <c r="AV37" i="3419" a="1"/>
  <c r="AV37" i="3419" s="1"/>
  <c r="AU37" i="3419" a="1"/>
  <c r="AU37" i="3419" s="1"/>
  <c r="AT37" i="3419" a="1"/>
  <c r="AT37" i="3419" s="1"/>
  <c r="AS37" i="3419" a="1"/>
  <c r="AS37" i="3419" s="1"/>
  <c r="AR37" i="3419" a="1"/>
  <c r="AR37" i="3419" s="1"/>
  <c r="AQ37" i="3419" a="1"/>
  <c r="AQ37" i="3419" s="1"/>
  <c r="AP37" i="3419" a="1"/>
  <c r="AP37" i="3419" s="1"/>
  <c r="AO37" i="3419" a="1"/>
  <c r="AO37" i="3419" s="1"/>
  <c r="AN37" i="3419" a="1"/>
  <c r="AN37" i="3419" s="1"/>
  <c r="AM37" i="3419" a="1"/>
  <c r="AM37" i="3419" s="1"/>
  <c r="AL37" i="3419" a="1"/>
  <c r="AL37" i="3419" s="1"/>
  <c r="AK37" i="3419" a="1"/>
  <c r="AK37" i="3419" s="1"/>
  <c r="AJ37" i="3419" a="1"/>
  <c r="AJ37" i="3419" s="1"/>
  <c r="AH37" i="3419" a="1"/>
  <c r="AH37" i="3419" s="1"/>
  <c r="AG37" i="3419" a="1"/>
  <c r="AG37" i="3419" s="1"/>
  <c r="AF37" i="3419" a="1"/>
  <c r="AF37" i="3419" s="1"/>
  <c r="AE37" i="3419" a="1"/>
  <c r="AE37" i="3419" s="1"/>
  <c r="AD37" i="3419" a="1"/>
  <c r="AD37" i="3419" s="1"/>
  <c r="Y37" i="3419" a="1"/>
  <c r="Y37" i="3419" s="1"/>
  <c r="X37" i="3419" a="1"/>
  <c r="X37" i="3419" s="1"/>
  <c r="W37" i="3419" a="1"/>
  <c r="W37" i="3419" s="1"/>
  <c r="V37" i="3419" a="1"/>
  <c r="V37" i="3419" s="1"/>
  <c r="U37" i="3419" a="1"/>
  <c r="U37" i="3419" s="1"/>
  <c r="T37" i="3419" a="1"/>
  <c r="T37" i="3419" s="1"/>
  <c r="S37" i="3419" a="1"/>
  <c r="S37" i="3419" s="1"/>
  <c r="R37" i="3419" a="1"/>
  <c r="R37" i="3419" s="1"/>
  <c r="Q37" i="3419" a="1"/>
  <c r="Q37" i="3419" s="1"/>
  <c r="P37" i="3419" a="1"/>
  <c r="P37" i="3419" s="1"/>
  <c r="O37" i="3419" a="1"/>
  <c r="O37" i="3419" s="1"/>
  <c r="N37" i="3419" a="1"/>
  <c r="N37" i="3419" s="1"/>
  <c r="M37" i="3419" a="1"/>
  <c r="M37" i="3419" s="1"/>
  <c r="K37" i="3419" a="1"/>
  <c r="K37" i="3419" s="1"/>
  <c r="J37" i="3419" a="1"/>
  <c r="J37" i="3419" s="1"/>
  <c r="I37" i="3419" a="1"/>
  <c r="I37" i="3419" s="1"/>
  <c r="H37" i="3419" a="1"/>
  <c r="H37" i="3419" s="1"/>
  <c r="G37" i="3419" a="1"/>
  <c r="G37" i="3419" s="1"/>
  <c r="B37" i="3419"/>
  <c r="AV36" i="3419" a="1"/>
  <c r="AV36" i="3419" s="1"/>
  <c r="AU36" i="3419" a="1"/>
  <c r="AU36" i="3419" s="1"/>
  <c r="AT36" i="3419" a="1"/>
  <c r="AT36" i="3419" s="1"/>
  <c r="AS36" i="3419" a="1"/>
  <c r="AS36" i="3419" s="1"/>
  <c r="AR36" i="3419" a="1"/>
  <c r="AR36" i="3419" s="1"/>
  <c r="AQ36" i="3419" a="1"/>
  <c r="AQ36" i="3419" s="1"/>
  <c r="AP36" i="3419" a="1"/>
  <c r="AP36" i="3419" s="1"/>
  <c r="AO36" i="3419" a="1"/>
  <c r="AO36" i="3419" s="1"/>
  <c r="AN36" i="3419" a="1"/>
  <c r="AN36" i="3419" s="1"/>
  <c r="AM36" i="3419" a="1"/>
  <c r="AM36" i="3419" s="1"/>
  <c r="AL36" i="3419" a="1"/>
  <c r="AL36" i="3419" s="1"/>
  <c r="AJ36" i="3419" a="1"/>
  <c r="AJ36" i="3419" s="1"/>
  <c r="AI36" i="3419" a="1"/>
  <c r="AI36" i="3419" s="1"/>
  <c r="AH36" i="3419" a="1"/>
  <c r="AH36" i="3419" s="1"/>
  <c r="AG36" i="3419" a="1"/>
  <c r="AG36" i="3419" s="1"/>
  <c r="AF36" i="3419" a="1"/>
  <c r="AF36" i="3419" s="1"/>
  <c r="AD36" i="3419" a="1"/>
  <c r="AD36" i="3419" s="1"/>
  <c r="AC36" i="3419" a="1"/>
  <c r="AC36" i="3419" s="1"/>
  <c r="Y36" i="3419" a="1"/>
  <c r="Y36" i="3419" s="1"/>
  <c r="X36" i="3419" a="1"/>
  <c r="X36" i="3419" s="1"/>
  <c r="W36" i="3419" a="1"/>
  <c r="W36" i="3419" s="1"/>
  <c r="V36" i="3419" a="1"/>
  <c r="V36" i="3419" s="1"/>
  <c r="U36" i="3419" a="1"/>
  <c r="U36" i="3419" s="1"/>
  <c r="T36" i="3419" a="1"/>
  <c r="T36" i="3419" s="1"/>
  <c r="S36" i="3419" a="1"/>
  <c r="S36" i="3419" s="1"/>
  <c r="R36" i="3419" a="1"/>
  <c r="R36" i="3419" s="1"/>
  <c r="Q36" i="3419" a="1"/>
  <c r="Q36" i="3419" s="1"/>
  <c r="P36" i="3419" a="1"/>
  <c r="P36" i="3419" s="1"/>
  <c r="O36" i="3419" a="1"/>
  <c r="O36" i="3419" s="1"/>
  <c r="M36" i="3419" a="1"/>
  <c r="M36" i="3419" s="1"/>
  <c r="L36" i="3419" a="1"/>
  <c r="L36" i="3419" s="1"/>
  <c r="K36" i="3419" a="1"/>
  <c r="K36" i="3419" s="1"/>
  <c r="J36" i="3419" a="1"/>
  <c r="J36" i="3419" s="1"/>
  <c r="I36" i="3419" a="1"/>
  <c r="I36" i="3419" s="1"/>
  <c r="G36" i="3419" a="1"/>
  <c r="G36" i="3419" s="1"/>
  <c r="F36" i="3419" a="1"/>
  <c r="F36" i="3419" s="1"/>
  <c r="B36" i="3419"/>
  <c r="AV35" i="3419" a="1"/>
  <c r="AV35" i="3419" s="1"/>
  <c r="AU35" i="3419" a="1"/>
  <c r="AU35" i="3419" s="1"/>
  <c r="AT35" i="3419" a="1"/>
  <c r="AT35" i="3419" s="1"/>
  <c r="AS35" i="3419" a="1"/>
  <c r="AS35" i="3419" s="1"/>
  <c r="AR35" i="3419" a="1"/>
  <c r="AR35" i="3419" s="1"/>
  <c r="AQ35" i="3419" a="1"/>
  <c r="AQ35" i="3419" s="1"/>
  <c r="AP35" i="3419" a="1"/>
  <c r="AP35" i="3419" s="1"/>
  <c r="AO35" i="3419" a="1"/>
  <c r="AO35" i="3419" s="1"/>
  <c r="AN35" i="3419" a="1"/>
  <c r="AN35" i="3419" s="1"/>
  <c r="AM35" i="3419" a="1"/>
  <c r="AM35" i="3419" s="1"/>
  <c r="AL35" i="3419" a="1"/>
  <c r="AL35" i="3419" s="1"/>
  <c r="AK35" i="3419" a="1"/>
  <c r="AK35" i="3419" s="1"/>
  <c r="AJ35" i="3419" a="1"/>
  <c r="AJ35" i="3419" s="1"/>
  <c r="AH35" i="3419" a="1"/>
  <c r="AH35" i="3419" s="1"/>
  <c r="AF35" i="3419" a="1"/>
  <c r="AF35" i="3419" s="1"/>
  <c r="AE35" i="3419" a="1"/>
  <c r="AE35" i="3419" s="1"/>
  <c r="AD35" i="3419" a="1"/>
  <c r="AD35" i="3419" s="1"/>
  <c r="AC35" i="3419" a="1"/>
  <c r="AC35" i="3419" s="1"/>
  <c r="Y35" i="3419" a="1"/>
  <c r="Y35" i="3419" s="1"/>
  <c r="X35" i="3419" a="1"/>
  <c r="X35" i="3419" s="1"/>
  <c r="W35" i="3419" a="1"/>
  <c r="W35" i="3419" s="1"/>
  <c r="V35" i="3419" a="1"/>
  <c r="V35" i="3419" s="1"/>
  <c r="U35" i="3419" a="1"/>
  <c r="U35" i="3419" s="1"/>
  <c r="T35" i="3419" a="1"/>
  <c r="T35" i="3419" s="1"/>
  <c r="S35" i="3419" a="1"/>
  <c r="S35" i="3419" s="1"/>
  <c r="R35" i="3419" a="1"/>
  <c r="R35" i="3419" s="1"/>
  <c r="Q35" i="3419" a="1"/>
  <c r="Q35" i="3419" s="1"/>
  <c r="P35" i="3419" a="1"/>
  <c r="P35" i="3419" s="1"/>
  <c r="O35" i="3419" a="1"/>
  <c r="O35" i="3419" s="1"/>
  <c r="N35" i="3419" a="1"/>
  <c r="N35" i="3419" s="1"/>
  <c r="M35" i="3419" a="1"/>
  <c r="M35" i="3419" s="1"/>
  <c r="K35" i="3419" a="1"/>
  <c r="K35" i="3419" s="1"/>
  <c r="I35" i="3419" a="1"/>
  <c r="I35" i="3419" s="1"/>
  <c r="H35" i="3419" a="1"/>
  <c r="H35" i="3419" s="1"/>
  <c r="G35" i="3419" a="1"/>
  <c r="G35" i="3419" s="1"/>
  <c r="F35" i="3419" a="1"/>
  <c r="F35" i="3419" s="1"/>
  <c r="B35" i="3419"/>
  <c r="AV34" i="3419" a="1"/>
  <c r="AV34" i="3419" s="1"/>
  <c r="AU34" i="3419" a="1"/>
  <c r="AU34" i="3419" s="1"/>
  <c r="AT34" i="3419" a="1"/>
  <c r="AT34" i="3419" s="1"/>
  <c r="AS34" i="3419" a="1"/>
  <c r="AS34" i="3419" s="1"/>
  <c r="AR34" i="3419" a="1"/>
  <c r="AR34" i="3419" s="1"/>
  <c r="AQ34" i="3419" a="1"/>
  <c r="AQ34" i="3419" s="1"/>
  <c r="AP34" i="3419" a="1"/>
  <c r="AP34" i="3419" s="1"/>
  <c r="AO34" i="3419" a="1"/>
  <c r="AO34" i="3419" s="1"/>
  <c r="AN34" i="3419" a="1"/>
  <c r="AN34" i="3419" s="1"/>
  <c r="AM34" i="3419" a="1"/>
  <c r="AM34" i="3419" s="1"/>
  <c r="AL34" i="3419" a="1"/>
  <c r="AL34" i="3419" s="1"/>
  <c r="AK34" i="3419" a="1"/>
  <c r="AK34" i="3419" s="1"/>
  <c r="AJ34" i="3419" a="1"/>
  <c r="AJ34" i="3419" s="1"/>
  <c r="AH34" i="3419" a="1"/>
  <c r="AH34" i="3419" s="1"/>
  <c r="AF34" i="3419" a="1"/>
  <c r="AF34" i="3419" s="1"/>
  <c r="AE34" i="3419" a="1"/>
  <c r="AE34" i="3419" s="1"/>
  <c r="AD34" i="3419" a="1"/>
  <c r="AD34" i="3419" s="1"/>
  <c r="AC34" i="3419" a="1"/>
  <c r="AC34" i="3419" s="1"/>
  <c r="Y34" i="3419" a="1"/>
  <c r="Y34" i="3419" s="1"/>
  <c r="X34" i="3419" a="1"/>
  <c r="X34" i="3419" s="1"/>
  <c r="W34" i="3419" a="1"/>
  <c r="W34" i="3419" s="1"/>
  <c r="V34" i="3419" a="1"/>
  <c r="V34" i="3419" s="1"/>
  <c r="U34" i="3419" a="1"/>
  <c r="U34" i="3419" s="1"/>
  <c r="T34" i="3419" a="1"/>
  <c r="T34" i="3419" s="1"/>
  <c r="S34" i="3419" a="1"/>
  <c r="S34" i="3419" s="1"/>
  <c r="R34" i="3419" a="1"/>
  <c r="R34" i="3419" s="1"/>
  <c r="Q34" i="3419" a="1"/>
  <c r="Q34" i="3419" s="1"/>
  <c r="P34" i="3419" a="1"/>
  <c r="P34" i="3419" s="1"/>
  <c r="O34" i="3419" a="1"/>
  <c r="O34" i="3419" s="1"/>
  <c r="N34" i="3419" a="1"/>
  <c r="N34" i="3419" s="1"/>
  <c r="M34" i="3419" a="1"/>
  <c r="M34" i="3419" s="1"/>
  <c r="K34" i="3419" a="1"/>
  <c r="K34" i="3419" s="1"/>
  <c r="I34" i="3419" a="1"/>
  <c r="I34" i="3419" s="1"/>
  <c r="H34" i="3419" a="1"/>
  <c r="H34" i="3419" s="1"/>
  <c r="G34" i="3419" a="1"/>
  <c r="G34" i="3419" s="1"/>
  <c r="F34" i="3419" a="1"/>
  <c r="F34" i="3419" s="1"/>
  <c r="B34" i="3419"/>
  <c r="AV33" i="3419" a="1"/>
  <c r="AV33" i="3419" s="1"/>
  <c r="AU33" i="3419" a="1"/>
  <c r="AU33" i="3419" s="1"/>
  <c r="AT33" i="3419" a="1"/>
  <c r="AT33" i="3419" s="1"/>
  <c r="AS33" i="3419" a="1"/>
  <c r="AS33" i="3419" s="1"/>
  <c r="AR33" i="3419" a="1"/>
  <c r="AR33" i="3419" s="1"/>
  <c r="AQ33" i="3419" a="1"/>
  <c r="AQ33" i="3419" s="1"/>
  <c r="AP33" i="3419" a="1"/>
  <c r="AP33" i="3419" s="1"/>
  <c r="AO33" i="3419" a="1"/>
  <c r="AO33" i="3419" s="1"/>
  <c r="AN33" i="3419" a="1"/>
  <c r="AN33" i="3419" s="1"/>
  <c r="AM33" i="3419" a="1"/>
  <c r="AM33" i="3419" s="1"/>
  <c r="AL33" i="3419" a="1"/>
  <c r="AL33" i="3419" s="1"/>
  <c r="AK33" i="3419" a="1"/>
  <c r="AK33" i="3419" s="1"/>
  <c r="AJ33" i="3419" a="1"/>
  <c r="AJ33" i="3419" s="1"/>
  <c r="AH33" i="3419" a="1"/>
  <c r="AH33" i="3419" s="1"/>
  <c r="AF33" i="3419" a="1"/>
  <c r="AF33" i="3419" s="1"/>
  <c r="AE33" i="3419" a="1"/>
  <c r="AE33" i="3419" s="1"/>
  <c r="AD33" i="3419" a="1"/>
  <c r="AD33" i="3419" s="1"/>
  <c r="AC33" i="3419" a="1"/>
  <c r="AC33" i="3419" s="1"/>
  <c r="Y33" i="3419" a="1"/>
  <c r="Y33" i="3419" s="1"/>
  <c r="X33" i="3419" a="1"/>
  <c r="X33" i="3419" s="1"/>
  <c r="W33" i="3419" a="1"/>
  <c r="W33" i="3419" s="1"/>
  <c r="V33" i="3419" a="1"/>
  <c r="V33" i="3419" s="1"/>
  <c r="U33" i="3419" a="1"/>
  <c r="U33" i="3419" s="1"/>
  <c r="T33" i="3419" a="1"/>
  <c r="T33" i="3419" s="1"/>
  <c r="S33" i="3419" a="1"/>
  <c r="S33" i="3419" s="1"/>
  <c r="R33" i="3419" a="1"/>
  <c r="R33" i="3419" s="1"/>
  <c r="Q33" i="3419" a="1"/>
  <c r="Q33" i="3419" s="1"/>
  <c r="P33" i="3419" a="1"/>
  <c r="P33" i="3419" s="1"/>
  <c r="O33" i="3419" a="1"/>
  <c r="O33" i="3419" s="1"/>
  <c r="N33" i="3419" a="1"/>
  <c r="N33" i="3419" s="1"/>
  <c r="M33" i="3419" a="1"/>
  <c r="M33" i="3419" s="1"/>
  <c r="K33" i="3419" a="1"/>
  <c r="K33" i="3419" s="1"/>
  <c r="I33" i="3419" a="1"/>
  <c r="I33" i="3419" s="1"/>
  <c r="H33" i="3419" a="1"/>
  <c r="H33" i="3419" s="1"/>
  <c r="G33" i="3419" a="1"/>
  <c r="G33" i="3419" s="1"/>
  <c r="F33" i="3419" a="1"/>
  <c r="F33" i="3419" s="1"/>
  <c r="B33" i="3419"/>
  <c r="AV32" i="3419" a="1"/>
  <c r="AV32" i="3419" s="1"/>
  <c r="AU32" i="3419" a="1"/>
  <c r="AU32" i="3419" s="1"/>
  <c r="AT32" i="3419" a="1"/>
  <c r="AT32" i="3419" s="1"/>
  <c r="AS32" i="3419" a="1"/>
  <c r="AS32" i="3419" s="1"/>
  <c r="AR32" i="3419" a="1"/>
  <c r="AR32" i="3419" s="1"/>
  <c r="AQ32" i="3419" a="1"/>
  <c r="AQ32" i="3419" s="1"/>
  <c r="AP32" i="3419" a="1"/>
  <c r="AP32" i="3419" s="1"/>
  <c r="AO32" i="3419" a="1"/>
  <c r="AO32" i="3419" s="1"/>
  <c r="AN32" i="3419" a="1"/>
  <c r="AN32" i="3419" s="1"/>
  <c r="AM32" i="3419" a="1"/>
  <c r="AM32" i="3419" s="1"/>
  <c r="AL32" i="3419" a="1"/>
  <c r="AL32" i="3419" s="1"/>
  <c r="AK32" i="3419" a="1"/>
  <c r="AK32" i="3419" s="1"/>
  <c r="AI32" i="3419" a="1"/>
  <c r="AI32" i="3419" s="1"/>
  <c r="AH32" i="3419" a="1"/>
  <c r="AH32" i="3419" s="1"/>
  <c r="AG32" i="3419" a="1"/>
  <c r="AG32" i="3419" s="1"/>
  <c r="AF32" i="3419" a="1"/>
  <c r="AF32" i="3419" s="1"/>
  <c r="AE32" i="3419" a="1"/>
  <c r="AE32" i="3419" s="1"/>
  <c r="AD32" i="3419" a="1"/>
  <c r="AD32" i="3419" s="1"/>
  <c r="Y32" i="3419" a="1"/>
  <c r="Y32" i="3419" s="1"/>
  <c r="X32" i="3419" a="1"/>
  <c r="X32" i="3419" s="1"/>
  <c r="W32" i="3419" a="1"/>
  <c r="W32" i="3419" s="1"/>
  <c r="V32" i="3419" a="1"/>
  <c r="V32" i="3419" s="1"/>
  <c r="U32" i="3419" a="1"/>
  <c r="U32" i="3419" s="1"/>
  <c r="T32" i="3419" a="1"/>
  <c r="T32" i="3419" s="1"/>
  <c r="S32" i="3419" a="1"/>
  <c r="S32" i="3419" s="1"/>
  <c r="R32" i="3419" a="1"/>
  <c r="R32" i="3419" s="1"/>
  <c r="Q32" i="3419" a="1"/>
  <c r="Q32" i="3419" s="1"/>
  <c r="P32" i="3419" a="1"/>
  <c r="P32" i="3419" s="1"/>
  <c r="O32" i="3419" a="1"/>
  <c r="O32" i="3419" s="1"/>
  <c r="N32" i="3419" a="1"/>
  <c r="N32" i="3419" s="1"/>
  <c r="L32" i="3419" a="1"/>
  <c r="L32" i="3419" s="1"/>
  <c r="K32" i="3419" a="1"/>
  <c r="K32" i="3419" s="1"/>
  <c r="J32" i="3419" a="1"/>
  <c r="J32" i="3419" s="1"/>
  <c r="I32" i="3419" a="1"/>
  <c r="I32" i="3419" s="1"/>
  <c r="H32" i="3419" a="1"/>
  <c r="H32" i="3419" s="1"/>
  <c r="G32" i="3419" a="1"/>
  <c r="G32" i="3419" s="1"/>
  <c r="B32" i="3419"/>
  <c r="AV31" i="3419" a="1"/>
  <c r="AV31" i="3419" s="1"/>
  <c r="AU31" i="3419" a="1"/>
  <c r="AU31" i="3419" s="1"/>
  <c r="AT31" i="3419" a="1"/>
  <c r="AT31" i="3419" s="1"/>
  <c r="AS31" i="3419" a="1"/>
  <c r="AS31" i="3419" s="1"/>
  <c r="AR31" i="3419" a="1"/>
  <c r="AR31" i="3419" s="1"/>
  <c r="AQ31" i="3419" a="1"/>
  <c r="AQ31" i="3419" s="1"/>
  <c r="AP31" i="3419" a="1"/>
  <c r="AP31" i="3419" s="1"/>
  <c r="AO31" i="3419" a="1"/>
  <c r="AO31" i="3419" s="1"/>
  <c r="AN31" i="3419" a="1"/>
  <c r="AN31" i="3419" s="1"/>
  <c r="AM31" i="3419" a="1"/>
  <c r="AM31" i="3419" s="1"/>
  <c r="AL31" i="3419" a="1"/>
  <c r="AL31" i="3419" s="1"/>
  <c r="AK31" i="3419" a="1"/>
  <c r="AK31" i="3419" s="1"/>
  <c r="AI31" i="3419" a="1"/>
  <c r="AI31" i="3419" s="1"/>
  <c r="AH31" i="3419" a="1"/>
  <c r="AH31" i="3419" s="1"/>
  <c r="AF31" i="3419" a="1"/>
  <c r="AF31" i="3419" s="1"/>
  <c r="AE31" i="3419" a="1"/>
  <c r="AE31" i="3419" s="1"/>
  <c r="AD31" i="3419" a="1"/>
  <c r="AD31" i="3419" s="1"/>
  <c r="AC31" i="3419" a="1"/>
  <c r="AC31" i="3419" s="1"/>
  <c r="Y31" i="3419" a="1"/>
  <c r="Y31" i="3419" s="1"/>
  <c r="X31" i="3419" a="1"/>
  <c r="X31" i="3419" s="1"/>
  <c r="W31" i="3419" a="1"/>
  <c r="W31" i="3419" s="1"/>
  <c r="V31" i="3419" a="1"/>
  <c r="V31" i="3419" s="1"/>
  <c r="U31" i="3419" a="1"/>
  <c r="U31" i="3419" s="1"/>
  <c r="T31" i="3419" a="1"/>
  <c r="T31" i="3419" s="1"/>
  <c r="S31" i="3419" a="1"/>
  <c r="S31" i="3419" s="1"/>
  <c r="R31" i="3419" a="1"/>
  <c r="R31" i="3419" s="1"/>
  <c r="Q31" i="3419" a="1"/>
  <c r="Q31" i="3419" s="1"/>
  <c r="P31" i="3419" a="1"/>
  <c r="P31" i="3419" s="1"/>
  <c r="O31" i="3419" a="1"/>
  <c r="O31" i="3419" s="1"/>
  <c r="N31" i="3419" a="1"/>
  <c r="N31" i="3419" s="1"/>
  <c r="L31" i="3419" a="1"/>
  <c r="L31" i="3419" s="1"/>
  <c r="K31" i="3419" a="1"/>
  <c r="K31" i="3419" s="1"/>
  <c r="I31" i="3419" a="1"/>
  <c r="I31" i="3419" s="1"/>
  <c r="H31" i="3419" a="1"/>
  <c r="H31" i="3419" s="1"/>
  <c r="G31" i="3419" a="1"/>
  <c r="G31" i="3419" s="1"/>
  <c r="F31" i="3419" a="1"/>
  <c r="F31" i="3419" s="1"/>
  <c r="B31" i="3419"/>
  <c r="AV30" i="3419" a="1"/>
  <c r="AV30" i="3419" s="1"/>
  <c r="AU30" i="3419" a="1"/>
  <c r="AU30" i="3419" s="1"/>
  <c r="AT30" i="3419" a="1"/>
  <c r="AT30" i="3419" s="1"/>
  <c r="AS30" i="3419" a="1"/>
  <c r="AS30" i="3419" s="1"/>
  <c r="AR30" i="3419" a="1"/>
  <c r="AR30" i="3419" s="1"/>
  <c r="AQ30" i="3419" a="1"/>
  <c r="AQ30" i="3419" s="1"/>
  <c r="AP30" i="3419" a="1"/>
  <c r="AP30" i="3419" s="1"/>
  <c r="AO30" i="3419" a="1"/>
  <c r="AO30" i="3419" s="1"/>
  <c r="AN30" i="3419" a="1"/>
  <c r="AN30" i="3419" s="1"/>
  <c r="AM30" i="3419" a="1"/>
  <c r="AM30" i="3419" s="1"/>
  <c r="AL30" i="3419" a="1"/>
  <c r="AL30" i="3419" s="1"/>
  <c r="AK30" i="3419" a="1"/>
  <c r="AK30" i="3419" s="1"/>
  <c r="AI30" i="3419" a="1"/>
  <c r="AI30" i="3419" s="1"/>
  <c r="AH30" i="3419" a="1"/>
  <c r="AH30" i="3419" s="1"/>
  <c r="AG30" i="3419" a="1"/>
  <c r="AG30" i="3419" s="1"/>
  <c r="AE30" i="3419" a="1"/>
  <c r="AE30" i="3419" s="1"/>
  <c r="AD30" i="3419" a="1"/>
  <c r="AD30" i="3419" s="1"/>
  <c r="AC30" i="3419" a="1"/>
  <c r="AC30" i="3419" s="1"/>
  <c r="Y30" i="3419" a="1"/>
  <c r="Y30" i="3419" s="1"/>
  <c r="X30" i="3419" a="1"/>
  <c r="X30" i="3419" s="1"/>
  <c r="W30" i="3419" a="1"/>
  <c r="W30" i="3419" s="1"/>
  <c r="V30" i="3419" a="1"/>
  <c r="V30" i="3419" s="1"/>
  <c r="U30" i="3419" a="1"/>
  <c r="U30" i="3419" s="1"/>
  <c r="T30" i="3419" a="1"/>
  <c r="T30" i="3419" s="1"/>
  <c r="S30" i="3419" a="1"/>
  <c r="S30" i="3419" s="1"/>
  <c r="R30" i="3419" a="1"/>
  <c r="R30" i="3419" s="1"/>
  <c r="Q30" i="3419" a="1"/>
  <c r="Q30" i="3419" s="1"/>
  <c r="P30" i="3419" a="1"/>
  <c r="P30" i="3419" s="1"/>
  <c r="O30" i="3419" a="1"/>
  <c r="O30" i="3419" s="1"/>
  <c r="N30" i="3419" a="1"/>
  <c r="N30" i="3419" s="1"/>
  <c r="L30" i="3419" a="1"/>
  <c r="L30" i="3419" s="1"/>
  <c r="K30" i="3419" a="1"/>
  <c r="K30" i="3419" s="1"/>
  <c r="J30" i="3419" a="1"/>
  <c r="J30" i="3419" s="1"/>
  <c r="H30" i="3419" a="1"/>
  <c r="H30" i="3419" s="1"/>
  <c r="G30" i="3419" a="1"/>
  <c r="G30" i="3419" s="1"/>
  <c r="F30" i="3419" a="1"/>
  <c r="F30" i="3419" s="1"/>
  <c r="B30" i="3419"/>
  <c r="AV29" i="3419" a="1"/>
  <c r="AV29" i="3419" s="1"/>
  <c r="AU29" i="3419" a="1"/>
  <c r="AU29" i="3419" s="1"/>
  <c r="AT29" i="3419" a="1"/>
  <c r="AT29" i="3419" s="1"/>
  <c r="AS29" i="3419" a="1"/>
  <c r="AS29" i="3419" s="1"/>
  <c r="AR29" i="3419" a="1"/>
  <c r="AR29" i="3419" s="1"/>
  <c r="AQ29" i="3419" a="1"/>
  <c r="AQ29" i="3419" s="1"/>
  <c r="AP29" i="3419" a="1"/>
  <c r="AP29" i="3419" s="1"/>
  <c r="AO29" i="3419" a="1"/>
  <c r="AO29" i="3419" s="1"/>
  <c r="AN29" i="3419" a="1"/>
  <c r="AN29" i="3419" s="1"/>
  <c r="AM29" i="3419" a="1"/>
  <c r="AM29" i="3419" s="1"/>
  <c r="AL29" i="3419" a="1"/>
  <c r="AL29" i="3419" s="1"/>
  <c r="AJ29" i="3419" a="1"/>
  <c r="AJ29" i="3419" s="1"/>
  <c r="AI29" i="3419" a="1"/>
  <c r="AI29" i="3419" s="1"/>
  <c r="AG29" i="3419" a="1"/>
  <c r="AG29" i="3419" s="1"/>
  <c r="AF29" i="3419" a="1"/>
  <c r="AF29" i="3419" s="1"/>
  <c r="AE29" i="3419" a="1"/>
  <c r="AE29" i="3419" s="1"/>
  <c r="AD29" i="3419" a="1"/>
  <c r="AD29" i="3419" s="1"/>
  <c r="AC29" i="3419" a="1"/>
  <c r="AC29" i="3419" s="1"/>
  <c r="Y29" i="3419" a="1"/>
  <c r="Y29" i="3419" s="1"/>
  <c r="X29" i="3419" a="1"/>
  <c r="X29" i="3419" s="1"/>
  <c r="W29" i="3419" a="1"/>
  <c r="W29" i="3419" s="1"/>
  <c r="V29" i="3419" a="1"/>
  <c r="V29" i="3419" s="1"/>
  <c r="U29" i="3419" a="1"/>
  <c r="U29" i="3419" s="1"/>
  <c r="T29" i="3419" a="1"/>
  <c r="T29" i="3419" s="1"/>
  <c r="S29" i="3419" a="1"/>
  <c r="S29" i="3419" s="1"/>
  <c r="R29" i="3419" a="1"/>
  <c r="R29" i="3419" s="1"/>
  <c r="Q29" i="3419" a="1"/>
  <c r="Q29" i="3419" s="1"/>
  <c r="P29" i="3419" a="1"/>
  <c r="P29" i="3419" s="1"/>
  <c r="O29" i="3419" a="1"/>
  <c r="O29" i="3419" s="1"/>
  <c r="M29" i="3419" a="1"/>
  <c r="M29" i="3419" s="1"/>
  <c r="L29" i="3419" a="1"/>
  <c r="L29" i="3419" s="1"/>
  <c r="J29" i="3419" a="1"/>
  <c r="J29" i="3419" s="1"/>
  <c r="I29" i="3419" a="1"/>
  <c r="I29" i="3419" s="1"/>
  <c r="H29" i="3419" a="1"/>
  <c r="H29" i="3419" s="1"/>
  <c r="G29" i="3419" a="1"/>
  <c r="G29" i="3419" s="1"/>
  <c r="F29" i="3419" a="1"/>
  <c r="F29" i="3419" s="1"/>
  <c r="B29" i="3419"/>
  <c r="AV28" i="3419" a="1"/>
  <c r="AV28" i="3419" s="1"/>
  <c r="AU28" i="3419" a="1"/>
  <c r="AU28" i="3419" s="1"/>
  <c r="AT28" i="3419" a="1"/>
  <c r="AT28" i="3419" s="1"/>
  <c r="AS28" i="3419" a="1"/>
  <c r="AS28" i="3419" s="1"/>
  <c r="AR28" i="3419" a="1"/>
  <c r="AR28" i="3419" s="1"/>
  <c r="AQ28" i="3419" a="1"/>
  <c r="AQ28" i="3419" s="1"/>
  <c r="AP28" i="3419" a="1"/>
  <c r="AP28" i="3419" s="1"/>
  <c r="AO28" i="3419" a="1"/>
  <c r="AO28" i="3419" s="1"/>
  <c r="AN28" i="3419" a="1"/>
  <c r="AN28" i="3419" s="1"/>
  <c r="AM28" i="3419" a="1"/>
  <c r="AM28" i="3419" s="1"/>
  <c r="AL28" i="3419" a="1"/>
  <c r="AL28" i="3419" s="1"/>
  <c r="AK28" i="3419" a="1"/>
  <c r="AK28" i="3419" s="1"/>
  <c r="AJ28" i="3419" a="1"/>
  <c r="AJ28" i="3419" s="1"/>
  <c r="AG28" i="3419" a="1"/>
  <c r="AG28" i="3419" s="1"/>
  <c r="AF28" i="3419" a="1"/>
  <c r="AF28" i="3419" s="1"/>
  <c r="AE28" i="3419" a="1"/>
  <c r="AE28" i="3419" s="1"/>
  <c r="AD28" i="3419" a="1"/>
  <c r="AD28" i="3419" s="1"/>
  <c r="AC28" i="3419" a="1"/>
  <c r="AC28" i="3419" s="1"/>
  <c r="Y28" i="3419" a="1"/>
  <c r="Y28" i="3419" s="1"/>
  <c r="X28" i="3419" a="1"/>
  <c r="X28" i="3419" s="1"/>
  <c r="W28" i="3419" a="1"/>
  <c r="W28" i="3419" s="1"/>
  <c r="V28" i="3419" a="1"/>
  <c r="V28" i="3419" s="1"/>
  <c r="U28" i="3419" a="1"/>
  <c r="U28" i="3419" s="1"/>
  <c r="T28" i="3419" a="1"/>
  <c r="T28" i="3419" s="1"/>
  <c r="S28" i="3419" a="1"/>
  <c r="S28" i="3419" s="1"/>
  <c r="R28" i="3419" a="1"/>
  <c r="R28" i="3419" s="1"/>
  <c r="Q28" i="3419" a="1"/>
  <c r="Q28" i="3419" s="1"/>
  <c r="P28" i="3419" a="1"/>
  <c r="P28" i="3419" s="1"/>
  <c r="O28" i="3419" a="1"/>
  <c r="O28" i="3419" s="1"/>
  <c r="N28" i="3419" a="1"/>
  <c r="N28" i="3419" s="1"/>
  <c r="M28" i="3419" a="1"/>
  <c r="M28" i="3419" s="1"/>
  <c r="J28" i="3419" a="1"/>
  <c r="J28" i="3419" s="1"/>
  <c r="I28" i="3419" a="1"/>
  <c r="I28" i="3419" s="1"/>
  <c r="H28" i="3419" a="1"/>
  <c r="H28" i="3419" s="1"/>
  <c r="G28" i="3419" a="1"/>
  <c r="G28" i="3419" s="1"/>
  <c r="F28" i="3419" a="1"/>
  <c r="F28" i="3419" s="1"/>
  <c r="B28" i="3419"/>
  <c r="AV27" i="3419" a="1"/>
  <c r="AV27" i="3419" s="1"/>
  <c r="AU27" i="3419" a="1"/>
  <c r="AU27" i="3419" s="1"/>
  <c r="AT27" i="3419" a="1"/>
  <c r="AT27" i="3419" s="1"/>
  <c r="AS27" i="3419" a="1"/>
  <c r="AS27" i="3419" s="1"/>
  <c r="AR27" i="3419" a="1"/>
  <c r="AR27" i="3419" s="1"/>
  <c r="AQ27" i="3419" a="1"/>
  <c r="AQ27" i="3419" s="1"/>
  <c r="AP27" i="3419" a="1"/>
  <c r="AP27" i="3419" s="1"/>
  <c r="AO27" i="3419" a="1"/>
  <c r="AO27" i="3419" s="1"/>
  <c r="AN27" i="3419" a="1"/>
  <c r="AN27" i="3419" s="1"/>
  <c r="AM27" i="3419" a="1"/>
  <c r="AM27" i="3419" s="1"/>
  <c r="AL27" i="3419" a="1"/>
  <c r="AL27" i="3419" s="1"/>
  <c r="AJ27" i="3419" a="1"/>
  <c r="AJ27" i="3419" s="1"/>
  <c r="AI27" i="3419" a="1"/>
  <c r="AI27" i="3419" s="1"/>
  <c r="AH27" i="3419" a="1"/>
  <c r="AH27" i="3419" s="1"/>
  <c r="AG27" i="3419" a="1"/>
  <c r="AG27" i="3419" s="1"/>
  <c r="AE27" i="3419" a="1"/>
  <c r="AE27" i="3419" s="1"/>
  <c r="AD27" i="3419" a="1"/>
  <c r="AD27" i="3419" s="1"/>
  <c r="AC27" i="3419" a="1"/>
  <c r="AC27" i="3419" s="1"/>
  <c r="Y27" i="3419" a="1"/>
  <c r="Y27" i="3419" s="1"/>
  <c r="X27" i="3419" a="1"/>
  <c r="X27" i="3419" s="1"/>
  <c r="W27" i="3419" a="1"/>
  <c r="W27" i="3419" s="1"/>
  <c r="V27" i="3419" a="1"/>
  <c r="V27" i="3419" s="1"/>
  <c r="U27" i="3419" a="1"/>
  <c r="U27" i="3419" s="1"/>
  <c r="T27" i="3419" a="1"/>
  <c r="T27" i="3419" s="1"/>
  <c r="S27" i="3419" a="1"/>
  <c r="S27" i="3419" s="1"/>
  <c r="R27" i="3419" a="1"/>
  <c r="R27" i="3419" s="1"/>
  <c r="Q27" i="3419" a="1"/>
  <c r="Q27" i="3419" s="1"/>
  <c r="P27" i="3419" a="1"/>
  <c r="P27" i="3419" s="1"/>
  <c r="O27" i="3419" a="1"/>
  <c r="O27" i="3419" s="1"/>
  <c r="M27" i="3419" a="1"/>
  <c r="M27" i="3419" s="1"/>
  <c r="L27" i="3419" a="1"/>
  <c r="L27" i="3419" s="1"/>
  <c r="K27" i="3419" a="1"/>
  <c r="K27" i="3419" s="1"/>
  <c r="J27" i="3419" a="1"/>
  <c r="J27" i="3419" s="1"/>
  <c r="H27" i="3419" a="1"/>
  <c r="H27" i="3419" s="1"/>
  <c r="G27" i="3419" a="1"/>
  <c r="G27" i="3419" s="1"/>
  <c r="F27" i="3419" a="1"/>
  <c r="F27" i="3419" s="1"/>
  <c r="B27" i="3419"/>
  <c r="AV26" i="3419" a="1"/>
  <c r="AV26" i="3419" s="1"/>
  <c r="AU26" i="3419" a="1"/>
  <c r="AU26" i="3419" s="1"/>
  <c r="AT26" i="3419" a="1"/>
  <c r="AT26" i="3419" s="1"/>
  <c r="AS26" i="3419" a="1"/>
  <c r="AS26" i="3419" s="1"/>
  <c r="AR26" i="3419" a="1"/>
  <c r="AR26" i="3419" s="1"/>
  <c r="AQ26" i="3419" a="1"/>
  <c r="AQ26" i="3419" s="1"/>
  <c r="AP26" i="3419" a="1"/>
  <c r="AP26" i="3419" s="1"/>
  <c r="AO26" i="3419" a="1"/>
  <c r="AO26" i="3419" s="1"/>
  <c r="AN26" i="3419" a="1"/>
  <c r="AN26" i="3419" s="1"/>
  <c r="AM26" i="3419" a="1"/>
  <c r="AM26" i="3419" s="1"/>
  <c r="AL26" i="3419" a="1"/>
  <c r="AL26" i="3419" s="1"/>
  <c r="AJ26" i="3419" a="1"/>
  <c r="AJ26" i="3419" s="1"/>
  <c r="AI26" i="3419" a="1"/>
  <c r="AI26" i="3419" s="1"/>
  <c r="AH26" i="3419" a="1"/>
  <c r="AH26" i="3419" s="1"/>
  <c r="AG26" i="3419" a="1"/>
  <c r="AG26" i="3419" s="1"/>
  <c r="AF26" i="3419" a="1"/>
  <c r="AF26" i="3419" s="1"/>
  <c r="AD26" i="3419" a="1"/>
  <c r="AD26" i="3419" s="1"/>
  <c r="AC26" i="3419" a="1"/>
  <c r="AC26" i="3419" s="1"/>
  <c r="Y26" i="3419" a="1"/>
  <c r="Y26" i="3419" s="1"/>
  <c r="X26" i="3419" a="1"/>
  <c r="X26" i="3419" s="1"/>
  <c r="W26" i="3419" a="1"/>
  <c r="W26" i="3419" s="1"/>
  <c r="V26" i="3419" a="1"/>
  <c r="V26" i="3419" s="1"/>
  <c r="U26" i="3419" a="1"/>
  <c r="U26" i="3419" s="1"/>
  <c r="T26" i="3419" a="1"/>
  <c r="T26" i="3419" s="1"/>
  <c r="S26" i="3419" a="1"/>
  <c r="S26" i="3419" s="1"/>
  <c r="R26" i="3419" a="1"/>
  <c r="R26" i="3419" s="1"/>
  <c r="Q26" i="3419" a="1"/>
  <c r="Q26" i="3419" s="1"/>
  <c r="P26" i="3419" a="1"/>
  <c r="P26" i="3419" s="1"/>
  <c r="O26" i="3419" a="1"/>
  <c r="O26" i="3419" s="1"/>
  <c r="M26" i="3419" a="1"/>
  <c r="M26" i="3419" s="1"/>
  <c r="L26" i="3419" a="1"/>
  <c r="L26" i="3419" s="1"/>
  <c r="K26" i="3419" a="1"/>
  <c r="K26" i="3419" s="1"/>
  <c r="J26" i="3419" a="1"/>
  <c r="J26" i="3419" s="1"/>
  <c r="I26" i="3419" a="1"/>
  <c r="I26" i="3419" s="1"/>
  <c r="G26" i="3419" a="1"/>
  <c r="G26" i="3419" s="1"/>
  <c r="F26" i="3419" a="1"/>
  <c r="F26" i="3419" s="1"/>
  <c r="B26" i="3419"/>
  <c r="AV25" i="3419" a="1"/>
  <c r="AV25" i="3419" s="1"/>
  <c r="AU25" i="3419" a="1"/>
  <c r="AU25" i="3419" s="1"/>
  <c r="AT25" i="3419" a="1"/>
  <c r="AT25" i="3419" s="1"/>
  <c r="AS25" i="3419" a="1"/>
  <c r="AS25" i="3419" s="1"/>
  <c r="AR25" i="3419" a="1"/>
  <c r="AR25" i="3419" s="1"/>
  <c r="AQ25" i="3419" a="1"/>
  <c r="AQ25" i="3419" s="1"/>
  <c r="AP25" i="3419" a="1"/>
  <c r="AP25" i="3419" s="1"/>
  <c r="AO25" i="3419" a="1"/>
  <c r="AO25" i="3419" s="1"/>
  <c r="AN25" i="3419" a="1"/>
  <c r="AN25" i="3419" s="1"/>
  <c r="AM25" i="3419" a="1"/>
  <c r="AM25" i="3419" s="1"/>
  <c r="AL25" i="3419" a="1"/>
  <c r="AL25" i="3419" s="1"/>
  <c r="AK25" i="3419" a="1"/>
  <c r="AK25" i="3419" s="1"/>
  <c r="AJ25" i="3419" a="1"/>
  <c r="AJ25" i="3419" s="1"/>
  <c r="AH25" i="3419" a="1"/>
  <c r="AH25" i="3419" s="1"/>
  <c r="AF25" i="3419" a="1"/>
  <c r="AF25" i="3419" s="1"/>
  <c r="AE25" i="3419" a="1"/>
  <c r="AE25" i="3419" s="1"/>
  <c r="AD25" i="3419" a="1"/>
  <c r="AD25" i="3419" s="1"/>
  <c r="AC25" i="3419" a="1"/>
  <c r="AC25" i="3419" s="1"/>
  <c r="Y25" i="3419" a="1"/>
  <c r="Y25" i="3419" s="1"/>
  <c r="X25" i="3419" a="1"/>
  <c r="X25" i="3419" s="1"/>
  <c r="W25" i="3419" a="1"/>
  <c r="W25" i="3419" s="1"/>
  <c r="V25" i="3419" a="1"/>
  <c r="V25" i="3419" s="1"/>
  <c r="U25" i="3419" a="1"/>
  <c r="U25" i="3419" s="1"/>
  <c r="T25" i="3419" a="1"/>
  <c r="T25" i="3419" s="1"/>
  <c r="S25" i="3419" a="1"/>
  <c r="S25" i="3419" s="1"/>
  <c r="R25" i="3419" a="1"/>
  <c r="R25" i="3419" s="1"/>
  <c r="Q25" i="3419" a="1"/>
  <c r="Q25" i="3419" s="1"/>
  <c r="P25" i="3419" a="1"/>
  <c r="P25" i="3419" s="1"/>
  <c r="O25" i="3419" a="1"/>
  <c r="O25" i="3419" s="1"/>
  <c r="N25" i="3419" a="1"/>
  <c r="N25" i="3419" s="1"/>
  <c r="M25" i="3419" a="1"/>
  <c r="M25" i="3419" s="1"/>
  <c r="K25" i="3419" a="1"/>
  <c r="K25" i="3419" s="1"/>
  <c r="I25" i="3419" a="1"/>
  <c r="I25" i="3419" s="1"/>
  <c r="H25" i="3419" a="1"/>
  <c r="H25" i="3419" s="1"/>
  <c r="G25" i="3419" a="1"/>
  <c r="G25" i="3419" s="1"/>
  <c r="F25" i="3419" a="1"/>
  <c r="F25" i="3419" s="1"/>
  <c r="B25" i="3419"/>
  <c r="AV24" i="3419" a="1"/>
  <c r="AV24" i="3419" s="1"/>
  <c r="AU24" i="3419" a="1"/>
  <c r="AU24" i="3419" s="1"/>
  <c r="AT24" i="3419" a="1"/>
  <c r="AT24" i="3419" s="1"/>
  <c r="AS24" i="3419" a="1"/>
  <c r="AS24" i="3419" s="1"/>
  <c r="AR24" i="3419" a="1"/>
  <c r="AR24" i="3419" s="1"/>
  <c r="AQ24" i="3419" a="1"/>
  <c r="AQ24" i="3419" s="1"/>
  <c r="AP24" i="3419" a="1"/>
  <c r="AP24" i="3419" s="1"/>
  <c r="AO24" i="3419" a="1"/>
  <c r="AO24" i="3419" s="1"/>
  <c r="AN24" i="3419" a="1"/>
  <c r="AN24" i="3419" s="1"/>
  <c r="AM24" i="3419" a="1"/>
  <c r="AM24" i="3419" s="1"/>
  <c r="AL24" i="3419" a="1"/>
  <c r="AL24" i="3419" s="1"/>
  <c r="AK24" i="3419" a="1"/>
  <c r="AK24" i="3419" s="1"/>
  <c r="AJ24" i="3419" a="1"/>
  <c r="AJ24" i="3419" s="1"/>
  <c r="AH24" i="3419" a="1"/>
  <c r="AH24" i="3419" s="1"/>
  <c r="AF24" i="3419" a="1"/>
  <c r="AF24" i="3419" s="1"/>
  <c r="AE24" i="3419" a="1"/>
  <c r="AE24" i="3419" s="1"/>
  <c r="AD24" i="3419" a="1"/>
  <c r="AD24" i="3419" s="1"/>
  <c r="AC24" i="3419" a="1"/>
  <c r="AC24" i="3419" s="1"/>
  <c r="Y24" i="3419" a="1"/>
  <c r="Y24" i="3419" s="1"/>
  <c r="X24" i="3419" a="1"/>
  <c r="X24" i="3419" s="1"/>
  <c r="W24" i="3419" a="1"/>
  <c r="W24" i="3419" s="1"/>
  <c r="V24" i="3419" a="1"/>
  <c r="V24" i="3419" s="1"/>
  <c r="U24" i="3419" a="1"/>
  <c r="U24" i="3419" s="1"/>
  <c r="T24" i="3419" a="1"/>
  <c r="T24" i="3419" s="1"/>
  <c r="S24" i="3419" a="1"/>
  <c r="S24" i="3419" s="1"/>
  <c r="R24" i="3419" a="1"/>
  <c r="R24" i="3419" s="1"/>
  <c r="Q24" i="3419" a="1"/>
  <c r="Q24" i="3419" s="1"/>
  <c r="P24" i="3419" a="1"/>
  <c r="P24" i="3419" s="1"/>
  <c r="O24" i="3419" a="1"/>
  <c r="O24" i="3419" s="1"/>
  <c r="N24" i="3419" a="1"/>
  <c r="N24" i="3419" s="1"/>
  <c r="M24" i="3419" a="1"/>
  <c r="M24" i="3419" s="1"/>
  <c r="K24" i="3419" a="1"/>
  <c r="K24" i="3419" s="1"/>
  <c r="I24" i="3419" a="1"/>
  <c r="I24" i="3419" s="1"/>
  <c r="H24" i="3419" a="1"/>
  <c r="H24" i="3419" s="1"/>
  <c r="G24" i="3419" a="1"/>
  <c r="G24" i="3419" s="1"/>
  <c r="F24" i="3419" a="1"/>
  <c r="F24" i="3419" s="1"/>
  <c r="B24" i="3419"/>
  <c r="AV23" i="3419" a="1"/>
  <c r="AV23" i="3419" s="1"/>
  <c r="AU23" i="3419" a="1"/>
  <c r="AU23" i="3419" s="1"/>
  <c r="AT23" i="3419" a="1"/>
  <c r="AT23" i="3419" s="1"/>
  <c r="AS23" i="3419" a="1"/>
  <c r="AS23" i="3419" s="1"/>
  <c r="AR23" i="3419" a="1"/>
  <c r="AR23" i="3419" s="1"/>
  <c r="AQ23" i="3419" a="1"/>
  <c r="AQ23" i="3419" s="1"/>
  <c r="AP23" i="3419" a="1"/>
  <c r="AP23" i="3419" s="1"/>
  <c r="AO23" i="3419" a="1"/>
  <c r="AO23" i="3419" s="1"/>
  <c r="AN23" i="3419" a="1"/>
  <c r="AN23" i="3419" s="1"/>
  <c r="AM23" i="3419" a="1"/>
  <c r="AM23" i="3419" s="1"/>
  <c r="AL23" i="3419" a="1"/>
  <c r="AL23" i="3419" s="1"/>
  <c r="AK23" i="3419" a="1"/>
  <c r="AK23" i="3419" s="1"/>
  <c r="AJ23" i="3419" a="1"/>
  <c r="AJ23" i="3419" s="1"/>
  <c r="AH23" i="3419" a="1"/>
  <c r="AH23" i="3419" s="1"/>
  <c r="AF23" i="3419" a="1"/>
  <c r="AF23" i="3419" s="1"/>
  <c r="AE23" i="3419" a="1"/>
  <c r="AE23" i="3419"/>
  <c r="AD23" i="3419" a="1"/>
  <c r="AD23" i="3419" s="1"/>
  <c r="AC23" i="3419" a="1"/>
  <c r="AC23" i="3419" s="1"/>
  <c r="Y23" i="3419" a="1"/>
  <c r="Y23" i="3419" s="1"/>
  <c r="X23" i="3419" a="1"/>
  <c r="X23" i="3419" s="1"/>
  <c r="W23" i="3419" a="1"/>
  <c r="W23" i="3419" s="1"/>
  <c r="V23" i="3419" a="1"/>
  <c r="V23" i="3419" s="1"/>
  <c r="U23" i="3419" a="1"/>
  <c r="U23" i="3419" s="1"/>
  <c r="T23" i="3419" a="1"/>
  <c r="T23" i="3419" s="1"/>
  <c r="S23" i="3419" a="1"/>
  <c r="S23" i="3419" s="1"/>
  <c r="R23" i="3419" a="1"/>
  <c r="R23" i="3419" s="1"/>
  <c r="Q23" i="3419" a="1"/>
  <c r="Q23" i="3419" s="1"/>
  <c r="P23" i="3419" a="1"/>
  <c r="P23" i="3419" s="1"/>
  <c r="O23" i="3419" a="1"/>
  <c r="O23" i="3419" s="1"/>
  <c r="N23" i="3419" a="1"/>
  <c r="N23" i="3419" s="1"/>
  <c r="M23" i="3419" a="1"/>
  <c r="M23" i="3419" s="1"/>
  <c r="K23" i="3419" a="1"/>
  <c r="K23" i="3419" s="1"/>
  <c r="I23" i="3419" a="1"/>
  <c r="I23" i="3419" s="1"/>
  <c r="H23" i="3419" a="1"/>
  <c r="H23" i="3419" s="1"/>
  <c r="G23" i="3419" a="1"/>
  <c r="G23" i="3419" s="1"/>
  <c r="F23" i="3419" a="1"/>
  <c r="F23" i="3419" s="1"/>
  <c r="B23" i="3419"/>
  <c r="AV22" i="3419" a="1"/>
  <c r="AV22" i="3419" s="1"/>
  <c r="AU22" i="3419" a="1"/>
  <c r="AU22" i="3419" s="1"/>
  <c r="AT22" i="3419" a="1"/>
  <c r="AT22" i="3419" s="1"/>
  <c r="AS22" i="3419" a="1"/>
  <c r="AS22" i="3419" s="1"/>
  <c r="AR22" i="3419" a="1"/>
  <c r="AR22" i="3419" s="1"/>
  <c r="AQ22" i="3419" a="1"/>
  <c r="AQ22" i="3419" s="1"/>
  <c r="AP22" i="3419" a="1"/>
  <c r="AP22" i="3419" s="1"/>
  <c r="AO22" i="3419" a="1"/>
  <c r="AO22" i="3419" s="1"/>
  <c r="AN22" i="3419" a="1"/>
  <c r="AN22" i="3419" s="1"/>
  <c r="AM22" i="3419" a="1"/>
  <c r="AM22" i="3419" s="1"/>
  <c r="AL22" i="3419" a="1"/>
  <c r="AL22" i="3419" s="1"/>
  <c r="AK22" i="3419" a="1"/>
  <c r="AK22" i="3419" s="1"/>
  <c r="AJ22" i="3419" a="1"/>
  <c r="AJ22" i="3419" s="1"/>
  <c r="AH22" i="3419" a="1"/>
  <c r="AH22" i="3419" s="1"/>
  <c r="AG22" i="3419" a="1"/>
  <c r="AG22" i="3419" s="1"/>
  <c r="AF22" i="3419" a="1"/>
  <c r="AF22" i="3419" s="1"/>
  <c r="AD22" i="3419" a="1"/>
  <c r="AD22" i="3419" s="1"/>
  <c r="AC22" i="3419" a="1"/>
  <c r="AC22" i="3419" s="1"/>
  <c r="Y22" i="3419" a="1"/>
  <c r="Y22" i="3419" s="1"/>
  <c r="X22" i="3419" a="1"/>
  <c r="X22" i="3419" s="1"/>
  <c r="W22" i="3419" a="1"/>
  <c r="W22" i="3419" s="1"/>
  <c r="V22" i="3419" a="1"/>
  <c r="V22" i="3419" s="1"/>
  <c r="U22" i="3419" a="1"/>
  <c r="U22" i="3419" s="1"/>
  <c r="T22" i="3419" a="1"/>
  <c r="T22" i="3419" s="1"/>
  <c r="S22" i="3419" a="1"/>
  <c r="S22" i="3419" s="1"/>
  <c r="R22" i="3419" a="1"/>
  <c r="R22" i="3419" s="1"/>
  <c r="Q22" i="3419" a="1"/>
  <c r="Q22" i="3419" s="1"/>
  <c r="P22" i="3419" a="1"/>
  <c r="P22" i="3419" s="1"/>
  <c r="O22" i="3419" a="1"/>
  <c r="O22" i="3419" s="1"/>
  <c r="N22" i="3419" a="1"/>
  <c r="N22" i="3419" s="1"/>
  <c r="M22" i="3419" a="1"/>
  <c r="M22" i="3419" s="1"/>
  <c r="K22" i="3419" a="1"/>
  <c r="K22" i="3419" s="1"/>
  <c r="J22" i="3419" a="1"/>
  <c r="J22" i="3419" s="1"/>
  <c r="I22" i="3419" a="1"/>
  <c r="I22" i="3419" s="1"/>
  <c r="G22" i="3419" a="1"/>
  <c r="G22" i="3419" s="1"/>
  <c r="F22" i="3419" a="1"/>
  <c r="F22" i="3419" s="1"/>
  <c r="B22" i="3419"/>
  <c r="AV21" i="3419" a="1"/>
  <c r="AV21" i="3419" s="1"/>
  <c r="AU21" i="3419" a="1"/>
  <c r="AU21" i="3419" s="1"/>
  <c r="AT21" i="3419" a="1"/>
  <c r="AT21" i="3419" s="1"/>
  <c r="AS21" i="3419" a="1"/>
  <c r="AS21" i="3419" s="1"/>
  <c r="AR21" i="3419" a="1"/>
  <c r="AR21" i="3419" s="1"/>
  <c r="AQ21" i="3419" a="1"/>
  <c r="AQ21" i="3419" s="1"/>
  <c r="AP21" i="3419" a="1"/>
  <c r="AP21" i="3419" s="1"/>
  <c r="AO21" i="3419" a="1"/>
  <c r="AO21" i="3419" s="1"/>
  <c r="AN21" i="3419" a="1"/>
  <c r="AN21" i="3419" s="1"/>
  <c r="AM21" i="3419" a="1"/>
  <c r="AM21" i="3419" s="1"/>
  <c r="AL21" i="3419" a="1"/>
  <c r="AL21" i="3419" s="1"/>
  <c r="AJ21" i="3419" a="1"/>
  <c r="AJ21" i="3419" s="1"/>
  <c r="AI21" i="3419" a="1"/>
  <c r="AI21" i="3419" s="1"/>
  <c r="AH21" i="3419" a="1"/>
  <c r="AH21" i="3419" s="1"/>
  <c r="AG21" i="3419" a="1"/>
  <c r="AG21" i="3419" s="1"/>
  <c r="AE21" i="3419" a="1"/>
  <c r="AE21" i="3419" s="1"/>
  <c r="AD21" i="3419" a="1"/>
  <c r="AD21" i="3419" s="1"/>
  <c r="AC21" i="3419" a="1"/>
  <c r="AC21" i="3419" s="1"/>
  <c r="Y21" i="3419" a="1"/>
  <c r="Y21" i="3419" s="1"/>
  <c r="X21" i="3419" a="1"/>
  <c r="X21" i="3419" s="1"/>
  <c r="W21" i="3419" a="1"/>
  <c r="W21" i="3419" s="1"/>
  <c r="V21" i="3419" a="1"/>
  <c r="V21" i="3419" s="1"/>
  <c r="U21" i="3419" a="1"/>
  <c r="U21" i="3419" s="1"/>
  <c r="T21" i="3419" a="1"/>
  <c r="T21" i="3419" s="1"/>
  <c r="S21" i="3419" a="1"/>
  <c r="S21" i="3419" s="1"/>
  <c r="R21" i="3419" a="1"/>
  <c r="R21" i="3419" s="1"/>
  <c r="Q21" i="3419" a="1"/>
  <c r="Q21" i="3419" s="1"/>
  <c r="P21" i="3419" a="1"/>
  <c r="P21" i="3419" s="1"/>
  <c r="O21" i="3419" a="1"/>
  <c r="O21" i="3419" s="1"/>
  <c r="M21" i="3419" a="1"/>
  <c r="M21" i="3419" s="1"/>
  <c r="L21" i="3419" a="1"/>
  <c r="L21" i="3419" s="1"/>
  <c r="K21" i="3419" a="1"/>
  <c r="K21" i="3419" s="1"/>
  <c r="J21" i="3419" a="1"/>
  <c r="J21" i="3419" s="1"/>
  <c r="H21" i="3419" a="1"/>
  <c r="H21" i="3419" s="1"/>
  <c r="G21" i="3419" a="1"/>
  <c r="G21" i="3419" s="1"/>
  <c r="F21" i="3419" a="1"/>
  <c r="F21" i="3419" s="1"/>
  <c r="B21" i="3419"/>
  <c r="AV20" i="3419" a="1"/>
  <c r="AV20" i="3419" s="1"/>
  <c r="AU20" i="3419" a="1"/>
  <c r="AU20" i="3419" s="1"/>
  <c r="AT20" i="3419" a="1"/>
  <c r="AT20" i="3419" s="1"/>
  <c r="AS20" i="3419" a="1"/>
  <c r="AS20" i="3419" s="1"/>
  <c r="AR20" i="3419" a="1"/>
  <c r="AR20" i="3419" s="1"/>
  <c r="AQ20" i="3419" a="1"/>
  <c r="AQ20" i="3419" s="1"/>
  <c r="AP20" i="3419" a="1"/>
  <c r="AP20" i="3419" s="1"/>
  <c r="AO20" i="3419" a="1"/>
  <c r="AO20" i="3419" s="1"/>
  <c r="AN20" i="3419" a="1"/>
  <c r="AN20" i="3419" s="1"/>
  <c r="AM20" i="3419" a="1"/>
  <c r="AM20" i="3419" s="1"/>
  <c r="AL20" i="3419" a="1"/>
  <c r="AL20" i="3419" s="1"/>
  <c r="AK20" i="3419" a="1"/>
  <c r="AK20" i="3419" s="1"/>
  <c r="AI20" i="3419" a="1"/>
  <c r="AI20" i="3419" s="1"/>
  <c r="AH20" i="3419" a="1"/>
  <c r="AH20" i="3419" s="1"/>
  <c r="AG20" i="3419" a="1"/>
  <c r="AG20" i="3419" s="1"/>
  <c r="AF20" i="3419" a="1"/>
  <c r="AF20" i="3419" s="1"/>
  <c r="AE20" i="3419" a="1"/>
  <c r="AE20" i="3419" s="1"/>
  <c r="AC20" i="3419" a="1"/>
  <c r="AC20" i="3419" s="1"/>
  <c r="Y20" i="3419" a="1"/>
  <c r="Y20" i="3419" s="1"/>
  <c r="X20" i="3419" a="1"/>
  <c r="X20" i="3419" s="1"/>
  <c r="W20" i="3419" a="1"/>
  <c r="W20" i="3419" s="1"/>
  <c r="V20" i="3419" a="1"/>
  <c r="V20" i="3419" s="1"/>
  <c r="U20" i="3419" a="1"/>
  <c r="U20" i="3419" s="1"/>
  <c r="T20" i="3419" a="1"/>
  <c r="T20" i="3419" s="1"/>
  <c r="S20" i="3419" a="1"/>
  <c r="S20" i="3419" s="1"/>
  <c r="R20" i="3419" a="1"/>
  <c r="R20" i="3419" s="1"/>
  <c r="Q20" i="3419" a="1"/>
  <c r="Q20" i="3419" s="1"/>
  <c r="P20" i="3419" a="1"/>
  <c r="P20" i="3419" s="1"/>
  <c r="O20" i="3419" a="1"/>
  <c r="O20" i="3419" s="1"/>
  <c r="N20" i="3419" a="1"/>
  <c r="N20" i="3419" s="1"/>
  <c r="L20" i="3419" a="1"/>
  <c r="L20" i="3419" s="1"/>
  <c r="K20" i="3419" a="1"/>
  <c r="K20" i="3419" s="1"/>
  <c r="J20" i="3419" a="1"/>
  <c r="J20" i="3419" s="1"/>
  <c r="I20" i="3419" a="1"/>
  <c r="I20" i="3419" s="1"/>
  <c r="H20" i="3419" a="1"/>
  <c r="H20" i="3419" s="1"/>
  <c r="F20" i="3419" a="1"/>
  <c r="F20" i="3419" s="1"/>
  <c r="B20" i="3419"/>
  <c r="AV19" i="3419" a="1"/>
  <c r="AV19" i="3419" s="1"/>
  <c r="AU19" i="3419" a="1"/>
  <c r="AU19" i="3419" s="1"/>
  <c r="AT19" i="3419" a="1"/>
  <c r="AT19" i="3419" s="1"/>
  <c r="AS19" i="3419" a="1"/>
  <c r="AS19" i="3419" s="1"/>
  <c r="AR19" i="3419" a="1"/>
  <c r="AR19" i="3419" s="1"/>
  <c r="AQ19" i="3419" a="1"/>
  <c r="AQ19" i="3419" s="1"/>
  <c r="AP19" i="3419" a="1"/>
  <c r="AP19" i="3419" s="1"/>
  <c r="AO19" i="3419" a="1"/>
  <c r="AO19" i="3419" s="1"/>
  <c r="AN19" i="3419" a="1"/>
  <c r="AN19" i="3419" s="1"/>
  <c r="AM19" i="3419" a="1"/>
  <c r="AM19" i="3419" s="1"/>
  <c r="AL19" i="3419" a="1"/>
  <c r="AL19" i="3419" s="1"/>
  <c r="AJ19" i="3419" a="1"/>
  <c r="AJ19" i="3419" s="1"/>
  <c r="AI19" i="3419" a="1"/>
  <c r="AI19" i="3419" s="1"/>
  <c r="AH19" i="3419" a="1"/>
  <c r="AH19" i="3419" s="1"/>
  <c r="AG19" i="3419" a="1"/>
  <c r="AG19" i="3419" s="1"/>
  <c r="AE19" i="3419" a="1"/>
  <c r="AE19" i="3419" s="1"/>
  <c r="AD19" i="3419" a="1"/>
  <c r="AD19" i="3419" s="1"/>
  <c r="AC19" i="3419" a="1"/>
  <c r="AC19" i="3419" s="1"/>
  <c r="Y19" i="3419" a="1"/>
  <c r="Y19" i="3419" s="1"/>
  <c r="X19" i="3419" a="1"/>
  <c r="X19" i="3419" s="1"/>
  <c r="W19" i="3419" a="1"/>
  <c r="W19" i="3419" s="1"/>
  <c r="V19" i="3419" a="1"/>
  <c r="V19" i="3419" s="1"/>
  <c r="U19" i="3419" a="1"/>
  <c r="U19" i="3419" s="1"/>
  <c r="T19" i="3419" a="1"/>
  <c r="T19" i="3419" s="1"/>
  <c r="S19" i="3419" a="1"/>
  <c r="S19" i="3419" s="1"/>
  <c r="R19" i="3419" a="1"/>
  <c r="R19" i="3419" s="1"/>
  <c r="Q19" i="3419" a="1"/>
  <c r="Q19" i="3419" s="1"/>
  <c r="P19" i="3419" a="1"/>
  <c r="P19" i="3419" s="1"/>
  <c r="O19" i="3419" a="1"/>
  <c r="O19" i="3419" s="1"/>
  <c r="M19" i="3419" a="1"/>
  <c r="M19" i="3419" s="1"/>
  <c r="L19" i="3419" a="1"/>
  <c r="L19" i="3419" s="1"/>
  <c r="K19" i="3419" a="1"/>
  <c r="K19" i="3419" s="1"/>
  <c r="J19" i="3419" a="1"/>
  <c r="J19" i="3419" s="1"/>
  <c r="H19" i="3419" a="1"/>
  <c r="H19" i="3419" s="1"/>
  <c r="G19" i="3419" a="1"/>
  <c r="G19" i="3419" s="1"/>
  <c r="F19" i="3419" a="1"/>
  <c r="F19" i="3419" s="1"/>
  <c r="B19" i="3419"/>
  <c r="AV18" i="3419" a="1"/>
  <c r="AV18" i="3419" s="1"/>
  <c r="AU18" i="3419" a="1"/>
  <c r="AU18" i="3419" s="1"/>
  <c r="AT18" i="3419" a="1"/>
  <c r="AT18" i="3419" s="1"/>
  <c r="AS18" i="3419" a="1"/>
  <c r="AS18" i="3419" s="1"/>
  <c r="AR18" i="3419" a="1"/>
  <c r="AR18" i="3419" s="1"/>
  <c r="AQ18" i="3419" a="1"/>
  <c r="AQ18" i="3419" s="1"/>
  <c r="AP18" i="3419" a="1"/>
  <c r="AP18" i="3419" s="1"/>
  <c r="AO18" i="3419" a="1"/>
  <c r="AO18" i="3419" s="1"/>
  <c r="AN18" i="3419" a="1"/>
  <c r="AN18" i="3419" s="1"/>
  <c r="AM18" i="3419" a="1"/>
  <c r="AM18" i="3419" s="1"/>
  <c r="AL18" i="3419" a="1"/>
  <c r="AL18" i="3419" s="1"/>
  <c r="AK18" i="3419" a="1"/>
  <c r="AK18" i="3419" s="1"/>
  <c r="AI18" i="3419" a="1"/>
  <c r="AI18" i="3419" s="1"/>
  <c r="AG18" i="3419" a="1"/>
  <c r="AG18" i="3419" s="1"/>
  <c r="AF18" i="3419" a="1"/>
  <c r="AF18" i="3419" s="1"/>
  <c r="AE18" i="3419" a="1"/>
  <c r="AE18" i="3419" s="1"/>
  <c r="AD18" i="3419" a="1"/>
  <c r="AD18" i="3419" s="1"/>
  <c r="AC18" i="3419" a="1"/>
  <c r="AC18" i="3419" s="1"/>
  <c r="Y18" i="3419" a="1"/>
  <c r="Y18" i="3419" s="1"/>
  <c r="X18" i="3419" a="1"/>
  <c r="X18" i="3419" s="1"/>
  <c r="W18" i="3419" a="1"/>
  <c r="W18" i="3419" s="1"/>
  <c r="V18" i="3419" a="1"/>
  <c r="V18" i="3419" s="1"/>
  <c r="U18" i="3419" a="1"/>
  <c r="U18" i="3419" s="1"/>
  <c r="T18" i="3419" a="1"/>
  <c r="T18" i="3419" s="1"/>
  <c r="S18" i="3419" a="1"/>
  <c r="S18" i="3419" s="1"/>
  <c r="R18" i="3419" a="1"/>
  <c r="R18" i="3419" s="1"/>
  <c r="Q18" i="3419" a="1"/>
  <c r="Q18" i="3419" s="1"/>
  <c r="P18" i="3419" a="1"/>
  <c r="P18" i="3419" s="1"/>
  <c r="O18" i="3419" a="1"/>
  <c r="O18" i="3419" s="1"/>
  <c r="N18" i="3419" a="1"/>
  <c r="N18" i="3419" s="1"/>
  <c r="L18" i="3419" a="1"/>
  <c r="L18" i="3419" s="1"/>
  <c r="J18" i="3419" a="1"/>
  <c r="J18" i="3419" s="1"/>
  <c r="I18" i="3419" a="1"/>
  <c r="I18" i="3419" s="1"/>
  <c r="H18" i="3419" a="1"/>
  <c r="H18" i="3419" s="1"/>
  <c r="G18" i="3419" a="1"/>
  <c r="G18" i="3419" s="1"/>
  <c r="F18" i="3419" a="1"/>
  <c r="F18" i="3419" s="1"/>
  <c r="B18" i="3419"/>
  <c r="AV17" i="3419" a="1"/>
  <c r="AV17" i="3419" s="1"/>
  <c r="AU17" i="3419" a="1"/>
  <c r="AU17" i="3419" s="1"/>
  <c r="AT17" i="3419" a="1"/>
  <c r="AT17" i="3419" s="1"/>
  <c r="AS17" i="3419" a="1"/>
  <c r="AS17" i="3419" s="1"/>
  <c r="AR17" i="3419" a="1"/>
  <c r="AR17" i="3419" s="1"/>
  <c r="AQ17" i="3419" a="1"/>
  <c r="AQ17" i="3419" s="1"/>
  <c r="AP17" i="3419" a="1"/>
  <c r="AP17" i="3419" s="1"/>
  <c r="AO17" i="3419" a="1"/>
  <c r="AO17" i="3419" s="1"/>
  <c r="AN17" i="3419" a="1"/>
  <c r="AN17" i="3419" s="1"/>
  <c r="AM17" i="3419" a="1"/>
  <c r="AM17" i="3419" s="1"/>
  <c r="AL17" i="3419" a="1"/>
  <c r="AL17" i="3419" s="1"/>
  <c r="AK17" i="3419" a="1"/>
  <c r="AK17" i="3419" s="1"/>
  <c r="AI17" i="3419" a="1"/>
  <c r="AI17" i="3419" s="1"/>
  <c r="AH17" i="3419" a="1"/>
  <c r="AH17" i="3419" s="1"/>
  <c r="AF17" i="3419" a="1"/>
  <c r="AF17" i="3419" s="1"/>
  <c r="AE17" i="3419" a="1"/>
  <c r="AE17" i="3419" s="1"/>
  <c r="AD17" i="3419" a="1"/>
  <c r="AD17" i="3419" s="1"/>
  <c r="AC17" i="3419" a="1"/>
  <c r="AC17" i="3419" s="1"/>
  <c r="Y17" i="3419" a="1"/>
  <c r="Y17" i="3419" s="1"/>
  <c r="X17" i="3419" a="1"/>
  <c r="X17" i="3419" s="1"/>
  <c r="W17" i="3419" a="1"/>
  <c r="W17" i="3419" s="1"/>
  <c r="V17" i="3419" a="1"/>
  <c r="V17" i="3419" s="1"/>
  <c r="U17" i="3419" a="1"/>
  <c r="U17" i="3419" s="1"/>
  <c r="T17" i="3419" a="1"/>
  <c r="T17" i="3419" s="1"/>
  <c r="S17" i="3419" a="1"/>
  <c r="S17" i="3419" s="1"/>
  <c r="R17" i="3419" a="1"/>
  <c r="R17" i="3419" s="1"/>
  <c r="Q17" i="3419" a="1"/>
  <c r="Q17" i="3419" s="1"/>
  <c r="P17" i="3419" a="1"/>
  <c r="P17" i="3419" s="1"/>
  <c r="O17" i="3419" a="1"/>
  <c r="O17" i="3419" s="1"/>
  <c r="N17" i="3419" a="1"/>
  <c r="N17" i="3419" s="1"/>
  <c r="L17" i="3419" a="1"/>
  <c r="L17" i="3419" s="1"/>
  <c r="K17" i="3419" a="1"/>
  <c r="K17" i="3419" s="1"/>
  <c r="I17" i="3419" a="1"/>
  <c r="I17" i="3419" s="1"/>
  <c r="H17" i="3419" a="1"/>
  <c r="H17" i="3419" s="1"/>
  <c r="G17" i="3419" a="1"/>
  <c r="G17" i="3419" s="1"/>
  <c r="F17" i="3419" a="1"/>
  <c r="F17" i="3419" s="1"/>
  <c r="B17" i="3419"/>
  <c r="AV16" i="3419" a="1"/>
  <c r="AV16" i="3419" s="1"/>
  <c r="AU16" i="3419" a="1"/>
  <c r="AU16" i="3419" s="1"/>
  <c r="AT16" i="3419" a="1"/>
  <c r="AT16" i="3419" s="1"/>
  <c r="AS16" i="3419" a="1"/>
  <c r="AS16" i="3419" s="1"/>
  <c r="AR16" i="3419" a="1"/>
  <c r="AR16" i="3419" s="1"/>
  <c r="AQ16" i="3419" a="1"/>
  <c r="AQ16" i="3419" s="1"/>
  <c r="AP16" i="3419" a="1"/>
  <c r="AP16" i="3419" s="1"/>
  <c r="AO16" i="3419" a="1"/>
  <c r="AO16" i="3419" s="1"/>
  <c r="AN16" i="3419" a="1"/>
  <c r="AN16" i="3419" s="1"/>
  <c r="AM16" i="3419" a="1"/>
  <c r="AM16" i="3419" s="1"/>
  <c r="AL16" i="3419" a="1"/>
  <c r="AL16" i="3419" s="1"/>
  <c r="AJ16" i="3419" a="1"/>
  <c r="AJ16" i="3419" s="1"/>
  <c r="AI16" i="3419" a="1"/>
  <c r="AI16" i="3419" s="1"/>
  <c r="AG16" i="3419" a="1"/>
  <c r="AG16" i="3419" s="1"/>
  <c r="AF16" i="3419" a="1"/>
  <c r="AF16" i="3419" s="1"/>
  <c r="AE16" i="3419" a="1"/>
  <c r="AE16" i="3419" s="1"/>
  <c r="AD16" i="3419" a="1"/>
  <c r="AD16" i="3419" s="1"/>
  <c r="AC16" i="3419" a="1"/>
  <c r="AC16" i="3419" s="1"/>
  <c r="Y16" i="3419" a="1"/>
  <c r="Y16" i="3419" s="1"/>
  <c r="X16" i="3419" a="1"/>
  <c r="X16" i="3419" s="1"/>
  <c r="W16" i="3419" a="1"/>
  <c r="W16" i="3419" s="1"/>
  <c r="V16" i="3419" a="1"/>
  <c r="V16" i="3419" s="1"/>
  <c r="U16" i="3419" a="1"/>
  <c r="U16" i="3419" s="1"/>
  <c r="T16" i="3419" a="1"/>
  <c r="T16" i="3419" s="1"/>
  <c r="S16" i="3419" a="1"/>
  <c r="S16" i="3419" s="1"/>
  <c r="R16" i="3419" a="1"/>
  <c r="R16" i="3419" s="1"/>
  <c r="Q16" i="3419" a="1"/>
  <c r="Q16" i="3419" s="1"/>
  <c r="P16" i="3419" a="1"/>
  <c r="P16" i="3419" s="1"/>
  <c r="O16" i="3419" a="1"/>
  <c r="O16" i="3419" s="1"/>
  <c r="M16" i="3419" a="1"/>
  <c r="M16" i="3419" s="1"/>
  <c r="L16" i="3419" a="1"/>
  <c r="L16" i="3419" s="1"/>
  <c r="J16" i="3419" a="1"/>
  <c r="J16" i="3419" s="1"/>
  <c r="I16" i="3419" a="1"/>
  <c r="I16" i="3419" s="1"/>
  <c r="H16" i="3419" a="1"/>
  <c r="H16" i="3419" s="1"/>
  <c r="G16" i="3419" a="1"/>
  <c r="G16" i="3419" s="1"/>
  <c r="F16" i="3419" a="1"/>
  <c r="F16" i="3419" s="1"/>
  <c r="B16" i="3419"/>
  <c r="AV15" i="3419" a="1"/>
  <c r="AV15" i="3419" s="1"/>
  <c r="AU15" i="3419" a="1"/>
  <c r="AU15" i="3419" s="1"/>
  <c r="AT15" i="3419" a="1"/>
  <c r="AT15" i="3419" s="1"/>
  <c r="AS15" i="3419" a="1"/>
  <c r="AS15" i="3419" s="1"/>
  <c r="AR15" i="3419" a="1"/>
  <c r="AR15" i="3419" s="1"/>
  <c r="AQ15" i="3419" a="1"/>
  <c r="AQ15" i="3419" s="1"/>
  <c r="AP15" i="3419" a="1"/>
  <c r="AP15" i="3419" s="1"/>
  <c r="AO15" i="3419" a="1"/>
  <c r="AO15" i="3419" s="1"/>
  <c r="AN15" i="3419" a="1"/>
  <c r="AN15" i="3419" s="1"/>
  <c r="AM15" i="3419" a="1"/>
  <c r="AM15" i="3419" s="1"/>
  <c r="AL15" i="3419" a="1"/>
  <c r="AL15" i="3419" s="1"/>
  <c r="AJ15" i="3419" a="1"/>
  <c r="AJ15" i="3419" s="1"/>
  <c r="AI15" i="3419" a="1"/>
  <c r="AI15" i="3419" s="1"/>
  <c r="AH15" i="3419" a="1"/>
  <c r="AH15" i="3419" s="1"/>
  <c r="AG15" i="3419" a="1"/>
  <c r="AG15" i="3419" s="1"/>
  <c r="AF15" i="3419" a="1"/>
  <c r="AF15" i="3419" s="1"/>
  <c r="AE15" i="3419" a="1"/>
  <c r="AE15" i="3419" s="1"/>
  <c r="AC15" i="3419" a="1"/>
  <c r="AC15" i="3419" s="1"/>
  <c r="Y15" i="3419" a="1"/>
  <c r="Y15" i="3419" s="1"/>
  <c r="X15" i="3419" a="1"/>
  <c r="X15" i="3419" s="1"/>
  <c r="W15" i="3419" a="1"/>
  <c r="W15" i="3419" s="1"/>
  <c r="V15" i="3419" a="1"/>
  <c r="V15" i="3419" s="1"/>
  <c r="U15" i="3419" a="1"/>
  <c r="U15" i="3419" s="1"/>
  <c r="T15" i="3419" a="1"/>
  <c r="T15" i="3419" s="1"/>
  <c r="S15" i="3419" a="1"/>
  <c r="S15" i="3419" s="1"/>
  <c r="R15" i="3419" a="1"/>
  <c r="R15" i="3419" s="1"/>
  <c r="Q15" i="3419" a="1"/>
  <c r="Q15" i="3419" s="1"/>
  <c r="P15" i="3419" a="1"/>
  <c r="P15" i="3419" s="1"/>
  <c r="O15" i="3419" a="1"/>
  <c r="O15" i="3419" s="1"/>
  <c r="M15" i="3419" a="1"/>
  <c r="M15" i="3419" s="1"/>
  <c r="L15" i="3419" a="1"/>
  <c r="L15" i="3419" s="1"/>
  <c r="K15" i="3419" a="1"/>
  <c r="K15" i="3419" s="1"/>
  <c r="J15" i="3419" a="1"/>
  <c r="J15" i="3419" s="1"/>
  <c r="I15" i="3419" a="1"/>
  <c r="I15" i="3419" s="1"/>
  <c r="H15" i="3419" a="1"/>
  <c r="H15" i="3419" s="1"/>
  <c r="F15" i="3419" a="1"/>
  <c r="F15" i="3419" s="1"/>
  <c r="B15" i="3419"/>
  <c r="AV14" i="3419" a="1"/>
  <c r="AV14" i="3419" s="1"/>
  <c r="AU14" i="3419" a="1"/>
  <c r="AU14" i="3419" s="1"/>
  <c r="AT14" i="3419" a="1"/>
  <c r="AT14" i="3419" s="1"/>
  <c r="AS14" i="3419" a="1"/>
  <c r="AS14" i="3419" s="1"/>
  <c r="AR14" i="3419" a="1"/>
  <c r="AR14" i="3419" s="1"/>
  <c r="AQ14" i="3419" a="1"/>
  <c r="AQ14" i="3419" s="1"/>
  <c r="AP14" i="3419" a="1"/>
  <c r="AP14" i="3419" s="1"/>
  <c r="AO14" i="3419" a="1"/>
  <c r="AO14" i="3419" s="1"/>
  <c r="AN14" i="3419" a="1"/>
  <c r="AN14" i="3419" s="1"/>
  <c r="AM14" i="3419" a="1"/>
  <c r="AM14" i="3419" s="1"/>
  <c r="AL14" i="3419" a="1"/>
  <c r="AL14" i="3419" s="1"/>
  <c r="AK14" i="3419" a="1"/>
  <c r="AK14" i="3419" s="1"/>
  <c r="AJ14" i="3419" a="1"/>
  <c r="AJ14" i="3419" s="1"/>
  <c r="AH14" i="3419" a="1"/>
  <c r="AH14" i="3419" s="1"/>
  <c r="AG14" i="3419" a="1"/>
  <c r="AG14" i="3419" s="1"/>
  <c r="AF14" i="3419" a="1"/>
  <c r="AF14" i="3419" s="1"/>
  <c r="AE14" i="3419" a="1"/>
  <c r="AE14" i="3419" s="1"/>
  <c r="AD14" i="3419" a="1"/>
  <c r="AD14" i="3419" s="1"/>
  <c r="Y14" i="3419" a="1"/>
  <c r="Y14" i="3419" s="1"/>
  <c r="X14" i="3419" a="1"/>
  <c r="X14" i="3419" s="1"/>
  <c r="W14" i="3419" a="1"/>
  <c r="W14" i="3419" s="1"/>
  <c r="V14" i="3419" a="1"/>
  <c r="V14" i="3419" s="1"/>
  <c r="U14" i="3419" a="1"/>
  <c r="U14" i="3419" s="1"/>
  <c r="T14" i="3419" a="1"/>
  <c r="T14" i="3419" s="1"/>
  <c r="S14" i="3419" a="1"/>
  <c r="S14" i="3419" s="1"/>
  <c r="R14" i="3419" a="1"/>
  <c r="R14" i="3419" s="1"/>
  <c r="Q14" i="3419" a="1"/>
  <c r="Q14" i="3419" s="1"/>
  <c r="P14" i="3419" a="1"/>
  <c r="P14" i="3419" s="1"/>
  <c r="O14" i="3419" a="1"/>
  <c r="O14" i="3419" s="1"/>
  <c r="N14" i="3419" a="1"/>
  <c r="N14" i="3419" s="1"/>
  <c r="M14" i="3419" a="1"/>
  <c r="M14" i="3419" s="1"/>
  <c r="K14" i="3419" a="1"/>
  <c r="K14" i="3419" s="1"/>
  <c r="J14" i="3419" a="1"/>
  <c r="J14" i="3419" s="1"/>
  <c r="I14" i="3419" a="1"/>
  <c r="I14" i="3419" s="1"/>
  <c r="H14" i="3419" a="1"/>
  <c r="H14" i="3419" s="1"/>
  <c r="G14" i="3419" a="1"/>
  <c r="G14" i="3419" s="1"/>
  <c r="B14" i="3419"/>
  <c r="AV13" i="3419" a="1"/>
  <c r="AV13" i="3419" s="1"/>
  <c r="AU13" i="3419" a="1"/>
  <c r="AU13" i="3419" s="1"/>
  <c r="AT13" i="3419" a="1"/>
  <c r="AT13" i="3419" s="1"/>
  <c r="AS13" i="3419" a="1"/>
  <c r="AS13" i="3419" s="1"/>
  <c r="AR13" i="3419" a="1"/>
  <c r="AR13" i="3419" s="1"/>
  <c r="AQ13" i="3419" a="1"/>
  <c r="AQ13" i="3419" s="1"/>
  <c r="AP13" i="3419" a="1"/>
  <c r="AP13" i="3419" s="1"/>
  <c r="AO13" i="3419" a="1"/>
  <c r="AO13" i="3419" s="1"/>
  <c r="AN13" i="3419" a="1"/>
  <c r="AN13" i="3419" s="1"/>
  <c r="AM13" i="3419" a="1"/>
  <c r="AM13" i="3419" s="1"/>
  <c r="AL13" i="3419" a="1"/>
  <c r="AL13" i="3419" s="1"/>
  <c r="AK13" i="3419" a="1"/>
  <c r="AK13" i="3419" s="1"/>
  <c r="AJ13" i="3419" a="1"/>
  <c r="AJ13" i="3419" s="1"/>
  <c r="AH13" i="3419" a="1"/>
  <c r="AH13" i="3419" s="1"/>
  <c r="AG13" i="3419" a="1"/>
  <c r="AG13" i="3419" s="1"/>
  <c r="AF13" i="3419" a="1"/>
  <c r="AF13" i="3419" s="1"/>
  <c r="AE13" i="3419" a="1"/>
  <c r="AE13" i="3419" s="1"/>
  <c r="AD13" i="3419" a="1"/>
  <c r="AD13" i="3419" s="1"/>
  <c r="Y13" i="3419" a="1"/>
  <c r="Y13" i="3419" s="1"/>
  <c r="X13" i="3419" a="1"/>
  <c r="X13" i="3419" s="1"/>
  <c r="W13" i="3419" a="1"/>
  <c r="W13" i="3419" s="1"/>
  <c r="V13" i="3419" a="1"/>
  <c r="V13" i="3419" s="1"/>
  <c r="U13" i="3419" a="1"/>
  <c r="U13" i="3419" s="1"/>
  <c r="T13" i="3419" a="1"/>
  <c r="T13" i="3419" s="1"/>
  <c r="S13" i="3419" a="1"/>
  <c r="S13" i="3419" s="1"/>
  <c r="R13" i="3419" a="1"/>
  <c r="R13" i="3419" s="1"/>
  <c r="Q13" i="3419" a="1"/>
  <c r="Q13" i="3419" s="1"/>
  <c r="P13" i="3419" a="1"/>
  <c r="P13" i="3419" s="1"/>
  <c r="O13" i="3419" a="1"/>
  <c r="O13" i="3419" s="1"/>
  <c r="N13" i="3419" a="1"/>
  <c r="N13" i="3419" s="1"/>
  <c r="M13" i="3419" a="1"/>
  <c r="M13" i="3419" s="1"/>
  <c r="K13" i="3419" a="1"/>
  <c r="K13" i="3419" s="1"/>
  <c r="J13" i="3419" a="1"/>
  <c r="J13" i="3419" s="1"/>
  <c r="I13" i="3419" a="1"/>
  <c r="I13" i="3419" s="1"/>
  <c r="H13" i="3419" a="1"/>
  <c r="H13" i="3419" s="1"/>
  <c r="G13" i="3419" a="1"/>
  <c r="G13" i="3419" s="1"/>
  <c r="B13" i="3419"/>
  <c r="BJ10" i="3419"/>
  <c r="BI10" i="3419"/>
  <c r="BH10" i="3419"/>
  <c r="BG10" i="3419"/>
  <c r="BF10" i="3419"/>
  <c r="BE10" i="3419"/>
  <c r="BD10" i="3419"/>
  <c r="BC10" i="3419"/>
  <c r="BB10" i="3419"/>
  <c r="BA10" i="3419"/>
  <c r="AZ10" i="3419"/>
  <c r="AW10" i="3419"/>
  <c r="AV10" i="3419"/>
  <c r="AU10" i="3419"/>
  <c r="AT10" i="3419"/>
  <c r="AS10" i="3419"/>
  <c r="AR10" i="3419"/>
  <c r="AQ10" i="3419"/>
  <c r="AP10" i="3419"/>
  <c r="AO10" i="3419"/>
  <c r="AN10" i="3419"/>
  <c r="AM10" i="3419"/>
  <c r="AL10" i="3419"/>
  <c r="AK10" i="3419"/>
  <c r="AJ10" i="3419"/>
  <c r="AI10" i="3419"/>
  <c r="AH10" i="3419"/>
  <c r="AG10" i="3419"/>
  <c r="AF10" i="3419"/>
  <c r="AE10" i="3419"/>
  <c r="AD10" i="3419"/>
  <c r="AC10" i="3419"/>
  <c r="AB10" i="3419"/>
  <c r="Y10" i="3419" a="1"/>
  <c r="Y10" i="3419"/>
  <c r="X10" i="3419" a="1"/>
  <c r="X10" i="3419"/>
  <c r="W10" i="3419" a="1"/>
  <c r="W10" i="3419"/>
  <c r="V10" i="3419" a="1"/>
  <c r="V10" i="3419"/>
  <c r="U10" i="3419" a="1"/>
  <c r="U10" i="3419"/>
  <c r="T10" i="3419" a="1"/>
  <c r="T10" i="3419"/>
  <c r="S10" i="3419" a="1"/>
  <c r="S10" i="3419"/>
  <c r="R10" i="3419" a="1"/>
  <c r="R10" i="3419"/>
  <c r="Q10" i="3419" a="1"/>
  <c r="Q10" i="3419"/>
  <c r="P10" i="3419" a="1"/>
  <c r="P10" i="3419"/>
  <c r="O10" i="3419" a="1"/>
  <c r="O10" i="3419"/>
  <c r="N10" i="3419" a="1"/>
  <c r="N10" i="3419"/>
  <c r="M10" i="3419" a="1"/>
  <c r="M10" i="3419"/>
  <c r="L10" i="3419" a="1"/>
  <c r="L10" i="3419"/>
  <c r="K10" i="3419" a="1"/>
  <c r="K10" i="3419"/>
  <c r="J10" i="3419" a="1"/>
  <c r="J10" i="3419"/>
  <c r="I10" i="3419" a="1"/>
  <c r="I10" i="3419"/>
  <c r="H10" i="3419" a="1"/>
  <c r="H10" i="3419"/>
  <c r="G10" i="3419" a="1"/>
  <c r="G10" i="3419"/>
  <c r="F10" i="3419" a="1"/>
  <c r="F10" i="3419"/>
  <c r="E10" i="3419" a="1"/>
  <c r="E10" i="3419"/>
  <c r="Y8" i="3419"/>
  <c r="X8" i="3419"/>
  <c r="W8" i="3419"/>
  <c r="V8" i="3419"/>
  <c r="U8" i="3419"/>
  <c r="T8" i="3419"/>
  <c r="S8" i="3419"/>
  <c r="R8" i="3419"/>
  <c r="Q8" i="3419"/>
  <c r="P8" i="3419"/>
  <c r="Y7" i="3419"/>
  <c r="X7" i="3419"/>
  <c r="W7" i="3419"/>
  <c r="V7" i="3419"/>
  <c r="U7" i="3419"/>
  <c r="T7" i="3419"/>
  <c r="S7" i="3419"/>
  <c r="R7" i="3419"/>
  <c r="Q7" i="3419"/>
  <c r="P7" i="3419"/>
  <c r="B7" i="3419"/>
  <c r="Y6" i="3419"/>
  <c r="X6" i="3419"/>
  <c r="W6" i="3419"/>
  <c r="V6" i="3419"/>
  <c r="U6" i="3419"/>
  <c r="T6" i="3419"/>
  <c r="S6" i="3419"/>
  <c r="R6" i="3419"/>
  <c r="Q6" i="3419"/>
  <c r="P6" i="3419"/>
  <c r="B6" i="3419"/>
  <c r="Y5" i="3419"/>
  <c r="X5" i="3419"/>
  <c r="W5" i="3419"/>
  <c r="V5" i="3419"/>
  <c r="U5" i="3419"/>
  <c r="T5" i="3419"/>
  <c r="S5" i="3419"/>
  <c r="R5" i="3419"/>
  <c r="Q5" i="3419"/>
  <c r="P5" i="3419"/>
  <c r="B4" i="3419"/>
  <c r="AS144" i="3434"/>
  <c r="AR144" i="3434"/>
  <c r="AQ144" i="3434"/>
  <c r="AG144" i="3434"/>
  <c r="AF144" i="3434"/>
  <c r="AC144" i="3434"/>
  <c r="AB144" i="3434"/>
  <c r="F144" i="3434"/>
  <c r="E144" i="3434"/>
  <c r="D144" i="3434" a="1"/>
  <c r="D144" i="3434"/>
  <c r="C144" i="3434" a="1"/>
  <c r="C144" i="3434"/>
  <c r="B144" i="3434" a="1"/>
  <c r="B144" i="3434"/>
  <c r="AS143" i="3434"/>
  <c r="AR143" i="3434"/>
  <c r="AQ143" i="3434"/>
  <c r="AG143" i="3434"/>
  <c r="AF143" i="3434"/>
  <c r="AC143" i="3434"/>
  <c r="AB143" i="3434"/>
  <c r="F143" i="3434"/>
  <c r="E143" i="3434"/>
  <c r="D143" i="3434" a="1"/>
  <c r="D143" i="3434"/>
  <c r="C143" i="3434" a="1"/>
  <c r="C143" i="3434"/>
  <c r="B143" i="3434" a="1"/>
  <c r="B143" i="3434"/>
  <c r="AS142" i="3434"/>
  <c r="AR142" i="3434"/>
  <c r="AQ142" i="3434"/>
  <c r="AG142" i="3434"/>
  <c r="AF142" i="3434"/>
  <c r="AC142" i="3434"/>
  <c r="AB142" i="3434"/>
  <c r="F142" i="3434"/>
  <c r="E142" i="3434"/>
  <c r="D142" i="3434" a="1"/>
  <c r="D142" i="3434"/>
  <c r="C142" i="3434" a="1"/>
  <c r="C142" i="3434"/>
  <c r="B142" i="3434" a="1"/>
  <c r="B142" i="3434"/>
  <c r="AS141" i="3434"/>
  <c r="AR141" i="3434"/>
  <c r="AQ141" i="3434"/>
  <c r="AG141" i="3434"/>
  <c r="AF141" i="3434"/>
  <c r="AC141" i="3434"/>
  <c r="AB141" i="3434"/>
  <c r="F141" i="3434"/>
  <c r="E141" i="3434"/>
  <c r="D141" i="3434" a="1"/>
  <c r="D141" i="3434"/>
  <c r="C141" i="3434" a="1"/>
  <c r="C141" i="3434"/>
  <c r="B141" i="3434" a="1"/>
  <c r="B141" i="3434"/>
  <c r="AS140" i="3434"/>
  <c r="AR140" i="3434"/>
  <c r="AQ140" i="3434"/>
  <c r="AG140" i="3434"/>
  <c r="AF140" i="3434"/>
  <c r="AC140" i="3434"/>
  <c r="AB140" i="3434"/>
  <c r="F140" i="3434"/>
  <c r="E140" i="3434"/>
  <c r="D140" i="3434" a="1"/>
  <c r="D140" i="3434"/>
  <c r="C140" i="3434" a="1"/>
  <c r="C140" i="3434"/>
  <c r="B140" i="3434" a="1"/>
  <c r="B140" i="3434"/>
  <c r="AS139" i="3434"/>
  <c r="AR139" i="3434"/>
  <c r="AQ139" i="3434"/>
  <c r="AG139" i="3434"/>
  <c r="AF139" i="3434"/>
  <c r="AC139" i="3434"/>
  <c r="AB139" i="3434"/>
  <c r="F139" i="3434"/>
  <c r="E139" i="3434"/>
  <c r="D139" i="3434" a="1"/>
  <c r="D139" i="3434"/>
  <c r="C139" i="3434" a="1"/>
  <c r="C139" i="3434"/>
  <c r="B139" i="3434" a="1"/>
  <c r="B139" i="3434"/>
  <c r="AS138" i="3434"/>
  <c r="AR138" i="3434"/>
  <c r="AQ138" i="3434"/>
  <c r="AG138" i="3434"/>
  <c r="AF138" i="3434"/>
  <c r="AC138" i="3434"/>
  <c r="AB138" i="3434"/>
  <c r="F138" i="3434"/>
  <c r="E138" i="3434"/>
  <c r="D138" i="3434" a="1"/>
  <c r="D138" i="3434"/>
  <c r="C138" i="3434" a="1"/>
  <c r="C138" i="3434"/>
  <c r="B138" i="3434" a="1"/>
  <c r="B138" i="3434"/>
  <c r="AS137" i="3434"/>
  <c r="AR137" i="3434"/>
  <c r="AQ137" i="3434"/>
  <c r="AG137" i="3434"/>
  <c r="AF137" i="3434"/>
  <c r="AC137" i="3434"/>
  <c r="AB137" i="3434"/>
  <c r="F137" i="3434"/>
  <c r="E137" i="3434"/>
  <c r="D137" i="3434" a="1"/>
  <c r="D137" i="3434"/>
  <c r="C137" i="3434" a="1"/>
  <c r="C137" i="3434"/>
  <c r="B137" i="3434" a="1"/>
  <c r="B137" i="3434"/>
  <c r="AS136" i="3434"/>
  <c r="AR136" i="3434"/>
  <c r="AQ136" i="3434"/>
  <c r="AG136" i="3434"/>
  <c r="AF136" i="3434"/>
  <c r="AC136" i="3434"/>
  <c r="AB136" i="3434"/>
  <c r="F136" i="3434"/>
  <c r="E136" i="3434"/>
  <c r="D136" i="3434" a="1"/>
  <c r="D136" i="3434"/>
  <c r="C136" i="3434" a="1"/>
  <c r="C136" i="3434"/>
  <c r="B136" i="3434" a="1"/>
  <c r="B136" i="3434"/>
  <c r="AS135" i="3434"/>
  <c r="AR135" i="3434"/>
  <c r="AQ135" i="3434"/>
  <c r="AG135" i="3434"/>
  <c r="AF135" i="3434"/>
  <c r="AC135" i="3434"/>
  <c r="AB135" i="3434"/>
  <c r="F135" i="3434"/>
  <c r="E135" i="3434"/>
  <c r="D135" i="3434" a="1"/>
  <c r="D135" i="3434"/>
  <c r="C135" i="3434" a="1"/>
  <c r="C135" i="3434"/>
  <c r="B135" i="3434" a="1"/>
  <c r="B135" i="3434"/>
  <c r="AS134" i="3434"/>
  <c r="AR134" i="3434"/>
  <c r="AQ134" i="3434"/>
  <c r="AG134" i="3434"/>
  <c r="AF134" i="3434"/>
  <c r="AC134" i="3434"/>
  <c r="AB134" i="3434"/>
  <c r="F134" i="3434"/>
  <c r="E134" i="3434"/>
  <c r="D134" i="3434" a="1"/>
  <c r="D134" i="3434"/>
  <c r="C134" i="3434" a="1"/>
  <c r="C134" i="3434"/>
  <c r="B134" i="3434" a="1"/>
  <c r="B134" i="3434"/>
  <c r="AS133" i="3434"/>
  <c r="AR133" i="3434"/>
  <c r="AQ133" i="3434"/>
  <c r="AG133" i="3434"/>
  <c r="AF133" i="3434"/>
  <c r="AC133" i="3434"/>
  <c r="AB133" i="3434"/>
  <c r="F133" i="3434"/>
  <c r="E133" i="3434"/>
  <c r="D133" i="3434" a="1"/>
  <c r="D133" i="3434"/>
  <c r="C133" i="3434" a="1"/>
  <c r="C133" i="3434"/>
  <c r="B133" i="3434" a="1"/>
  <c r="B133" i="3434"/>
  <c r="AS132" i="3434"/>
  <c r="AR132" i="3434"/>
  <c r="AQ132" i="3434"/>
  <c r="AG132" i="3434"/>
  <c r="AF132" i="3434"/>
  <c r="AC132" i="3434"/>
  <c r="AB132" i="3434"/>
  <c r="F132" i="3434"/>
  <c r="E132" i="3434"/>
  <c r="D132" i="3434" a="1"/>
  <c r="D132" i="3434"/>
  <c r="C132" i="3434" a="1"/>
  <c r="C132" i="3434"/>
  <c r="B132" i="3434" a="1"/>
  <c r="B132" i="3434"/>
  <c r="AS131" i="3434"/>
  <c r="AR131" i="3434"/>
  <c r="AQ131" i="3434"/>
  <c r="AG131" i="3434"/>
  <c r="AF131" i="3434"/>
  <c r="AC131" i="3434"/>
  <c r="AB131" i="3434"/>
  <c r="F131" i="3434"/>
  <c r="E131" i="3434"/>
  <c r="D131" i="3434" a="1"/>
  <c r="D131" i="3434"/>
  <c r="C131" i="3434" a="1"/>
  <c r="C131" i="3434"/>
  <c r="B131" i="3434" a="1"/>
  <c r="B131" i="3434"/>
  <c r="AS130" i="3434"/>
  <c r="AR130" i="3434"/>
  <c r="AQ130" i="3434"/>
  <c r="AG130" i="3434"/>
  <c r="AF130" i="3434"/>
  <c r="AC130" i="3434"/>
  <c r="AB130" i="3434"/>
  <c r="F130" i="3434"/>
  <c r="E130" i="3434"/>
  <c r="D130" i="3434" a="1"/>
  <c r="D130" i="3434"/>
  <c r="C130" i="3434" a="1"/>
  <c r="C130" i="3434"/>
  <c r="B130" i="3434" a="1"/>
  <c r="B130" i="3434"/>
  <c r="AS129" i="3434"/>
  <c r="AR129" i="3434"/>
  <c r="AQ129" i="3434"/>
  <c r="AG129" i="3434"/>
  <c r="AF129" i="3434"/>
  <c r="AC129" i="3434"/>
  <c r="AB129" i="3434"/>
  <c r="F129" i="3434"/>
  <c r="E129" i="3434"/>
  <c r="D129" i="3434" a="1"/>
  <c r="D129" i="3434"/>
  <c r="C129" i="3434" a="1"/>
  <c r="C129" i="3434"/>
  <c r="B129" i="3434" a="1"/>
  <c r="B129" i="3434"/>
  <c r="AS128" i="3434"/>
  <c r="AR128" i="3434"/>
  <c r="AQ128" i="3434"/>
  <c r="AG128" i="3434"/>
  <c r="AF128" i="3434"/>
  <c r="AC128" i="3434"/>
  <c r="AB128" i="3434"/>
  <c r="F128" i="3434"/>
  <c r="E128" i="3434"/>
  <c r="D128" i="3434" a="1"/>
  <c r="D128" i="3434"/>
  <c r="C128" i="3434" a="1"/>
  <c r="C128" i="3434"/>
  <c r="B128" i="3434" a="1"/>
  <c r="B128" i="3434"/>
  <c r="AS127" i="3434"/>
  <c r="AR127" i="3434"/>
  <c r="AQ127" i="3434"/>
  <c r="AG127" i="3434"/>
  <c r="AF127" i="3434"/>
  <c r="AC127" i="3434"/>
  <c r="AB127" i="3434"/>
  <c r="F127" i="3434"/>
  <c r="E127" i="3434"/>
  <c r="D127" i="3434" a="1"/>
  <c r="D127" i="3434"/>
  <c r="C127" i="3434" a="1"/>
  <c r="C127" i="3434"/>
  <c r="B127" i="3434" a="1"/>
  <c r="B127" i="3434"/>
  <c r="AS126" i="3434"/>
  <c r="AR126" i="3434"/>
  <c r="AQ126" i="3434"/>
  <c r="AG126" i="3434"/>
  <c r="AF126" i="3434"/>
  <c r="AC126" i="3434"/>
  <c r="AB126" i="3434"/>
  <c r="F126" i="3434"/>
  <c r="E126" i="3434"/>
  <c r="D126" i="3434" a="1"/>
  <c r="D126" i="3434"/>
  <c r="C126" i="3434" a="1"/>
  <c r="C126" i="3434"/>
  <c r="B126" i="3434" a="1"/>
  <c r="B126" i="3434"/>
  <c r="AS125" i="3434"/>
  <c r="AR125" i="3434"/>
  <c r="AQ125" i="3434"/>
  <c r="AG125" i="3434"/>
  <c r="AF125" i="3434"/>
  <c r="AC125" i="3434"/>
  <c r="AB125" i="3434"/>
  <c r="F125" i="3434"/>
  <c r="E125" i="3434"/>
  <c r="D125" i="3434" a="1"/>
  <c r="D125" i="3434"/>
  <c r="C125" i="3434" a="1"/>
  <c r="C125" i="3434"/>
  <c r="B125" i="3434" a="1"/>
  <c r="B125" i="3434"/>
  <c r="AS124" i="3434"/>
  <c r="AR124" i="3434"/>
  <c r="AQ124" i="3434"/>
  <c r="AG124" i="3434"/>
  <c r="AF124" i="3434"/>
  <c r="AC124" i="3434"/>
  <c r="AB124" i="3434"/>
  <c r="F124" i="3434"/>
  <c r="E124" i="3434"/>
  <c r="D124" i="3434" a="1"/>
  <c r="D124" i="3434"/>
  <c r="C124" i="3434" a="1"/>
  <c r="C124" i="3434"/>
  <c r="B124" i="3434" a="1"/>
  <c r="B124" i="3434"/>
  <c r="AS123" i="3434"/>
  <c r="AR123" i="3434"/>
  <c r="AQ123" i="3434"/>
  <c r="AG123" i="3434"/>
  <c r="AF123" i="3434"/>
  <c r="AC123" i="3434"/>
  <c r="AB123" i="3434"/>
  <c r="F123" i="3434"/>
  <c r="E123" i="3434"/>
  <c r="D123" i="3434" a="1"/>
  <c r="D123" i="3434"/>
  <c r="C123" i="3434" a="1"/>
  <c r="C123" i="3434"/>
  <c r="B123" i="3434" a="1"/>
  <c r="B123" i="3434"/>
  <c r="AS122" i="3434"/>
  <c r="AR122" i="3434"/>
  <c r="AQ122" i="3434"/>
  <c r="AG122" i="3434"/>
  <c r="AF122" i="3434"/>
  <c r="AC122" i="3434"/>
  <c r="AB122" i="3434"/>
  <c r="F122" i="3434"/>
  <c r="E122" i="3434"/>
  <c r="D122" i="3434" a="1"/>
  <c r="D122" i="3434"/>
  <c r="C122" i="3434" a="1"/>
  <c r="C122" i="3434"/>
  <c r="B122" i="3434" a="1"/>
  <c r="B122" i="3434"/>
  <c r="AS121" i="3434"/>
  <c r="AR121" i="3434"/>
  <c r="AQ121" i="3434"/>
  <c r="AG121" i="3434"/>
  <c r="AF121" i="3434"/>
  <c r="AC121" i="3434"/>
  <c r="AB121" i="3434"/>
  <c r="F121" i="3434"/>
  <c r="E121" i="3434"/>
  <c r="D121" i="3434" a="1"/>
  <c r="D121" i="3434"/>
  <c r="C121" i="3434" a="1"/>
  <c r="C121" i="3434"/>
  <c r="B121" i="3434" a="1"/>
  <c r="B121" i="3434"/>
  <c r="AS120" i="3434"/>
  <c r="AR120" i="3434"/>
  <c r="AQ120" i="3434"/>
  <c r="AG120" i="3434"/>
  <c r="AF120" i="3434"/>
  <c r="AC120" i="3434"/>
  <c r="AB120" i="3434"/>
  <c r="F120" i="3434"/>
  <c r="E120" i="3434"/>
  <c r="D120" i="3434" a="1"/>
  <c r="D120" i="3434"/>
  <c r="C120" i="3434" a="1"/>
  <c r="C120" i="3434"/>
  <c r="B120" i="3434" a="1"/>
  <c r="B120" i="3434"/>
  <c r="AS119" i="3434"/>
  <c r="AR119" i="3434"/>
  <c r="AQ119" i="3434"/>
  <c r="AG119" i="3434"/>
  <c r="AF119" i="3434"/>
  <c r="AC119" i="3434"/>
  <c r="AB119" i="3434"/>
  <c r="F119" i="3434"/>
  <c r="E119" i="3434"/>
  <c r="D119" i="3434" a="1"/>
  <c r="D119" i="3434"/>
  <c r="C119" i="3434" a="1"/>
  <c r="C119" i="3434"/>
  <c r="B119" i="3434" a="1"/>
  <c r="B119" i="3434"/>
  <c r="AS118" i="3434"/>
  <c r="AR118" i="3434"/>
  <c r="AQ118" i="3434"/>
  <c r="AG118" i="3434"/>
  <c r="AF118" i="3434"/>
  <c r="AC118" i="3434"/>
  <c r="AB118" i="3434"/>
  <c r="F118" i="3434"/>
  <c r="E118" i="3434"/>
  <c r="D118" i="3434" a="1"/>
  <c r="D118" i="3434"/>
  <c r="C118" i="3434" a="1"/>
  <c r="C118" i="3434"/>
  <c r="B118" i="3434" a="1"/>
  <c r="B118" i="3434"/>
  <c r="AS117" i="3434"/>
  <c r="AR117" i="3434"/>
  <c r="AQ117" i="3434"/>
  <c r="AG117" i="3434"/>
  <c r="AF117" i="3434"/>
  <c r="AC117" i="3434"/>
  <c r="AB117" i="3434"/>
  <c r="F117" i="3434"/>
  <c r="E117" i="3434"/>
  <c r="D117" i="3434" a="1"/>
  <c r="D117" i="3434"/>
  <c r="C117" i="3434" a="1"/>
  <c r="C117" i="3434"/>
  <c r="B117" i="3434" a="1"/>
  <c r="B117" i="3434"/>
  <c r="AS116" i="3434"/>
  <c r="AR116" i="3434"/>
  <c r="AQ116" i="3434"/>
  <c r="AG116" i="3434"/>
  <c r="AF116" i="3434"/>
  <c r="AC116" i="3434"/>
  <c r="AB116" i="3434"/>
  <c r="F116" i="3434"/>
  <c r="E116" i="3434"/>
  <c r="D116" i="3434" a="1"/>
  <c r="D116" i="3434"/>
  <c r="C116" i="3434" a="1"/>
  <c r="C116" i="3434"/>
  <c r="B116" i="3434" a="1"/>
  <c r="B116" i="3434"/>
  <c r="AS115" i="3434"/>
  <c r="AR115" i="3434"/>
  <c r="AQ115" i="3434"/>
  <c r="AG115" i="3434"/>
  <c r="AF115" i="3434"/>
  <c r="AC115" i="3434"/>
  <c r="AB115" i="3434"/>
  <c r="F115" i="3434"/>
  <c r="E115" i="3434"/>
  <c r="D115" i="3434" a="1"/>
  <c r="D115" i="3434"/>
  <c r="C115" i="3434" a="1"/>
  <c r="C115" i="3434"/>
  <c r="B115" i="3434" a="1"/>
  <c r="B115" i="3434"/>
  <c r="AS114" i="3434"/>
  <c r="AR114" i="3434"/>
  <c r="AQ114" i="3434"/>
  <c r="AG114" i="3434"/>
  <c r="AF114" i="3434"/>
  <c r="AC114" i="3434"/>
  <c r="AB114" i="3434"/>
  <c r="F114" i="3434"/>
  <c r="E114" i="3434"/>
  <c r="D114" i="3434" a="1"/>
  <c r="D114" i="3434"/>
  <c r="C114" i="3434" a="1"/>
  <c r="C114" i="3434"/>
  <c r="B114" i="3434" a="1"/>
  <c r="B114" i="3434"/>
  <c r="AS113" i="3434"/>
  <c r="AR113" i="3434"/>
  <c r="AQ113" i="3434"/>
  <c r="AG113" i="3434"/>
  <c r="AF113" i="3434"/>
  <c r="AC113" i="3434"/>
  <c r="AB113" i="3434"/>
  <c r="F113" i="3434"/>
  <c r="E113" i="3434"/>
  <c r="D113" i="3434" a="1"/>
  <c r="D113" i="3434"/>
  <c r="C113" i="3434" a="1"/>
  <c r="C113" i="3434"/>
  <c r="B113" i="3434" a="1"/>
  <c r="B113" i="3434"/>
  <c r="AS112" i="3434"/>
  <c r="AR112" i="3434"/>
  <c r="AQ112" i="3434"/>
  <c r="AG112" i="3434"/>
  <c r="AF112" i="3434"/>
  <c r="AC112" i="3434"/>
  <c r="AB112" i="3434"/>
  <c r="F112" i="3434"/>
  <c r="E112" i="3434"/>
  <c r="D112" i="3434" a="1"/>
  <c r="D112" i="3434"/>
  <c r="C112" i="3434" a="1"/>
  <c r="C112" i="3434"/>
  <c r="B112" i="3434" a="1"/>
  <c r="B112" i="3434"/>
  <c r="AS111" i="3434"/>
  <c r="AR111" i="3434"/>
  <c r="AQ111" i="3434"/>
  <c r="AG111" i="3434"/>
  <c r="AF111" i="3434"/>
  <c r="AC111" i="3434"/>
  <c r="AB111" i="3434"/>
  <c r="F111" i="3434"/>
  <c r="E111" i="3434"/>
  <c r="D111" i="3434" a="1"/>
  <c r="D111" i="3434"/>
  <c r="C111" i="3434" a="1"/>
  <c r="C111" i="3434"/>
  <c r="B111" i="3434" a="1"/>
  <c r="B111" i="3434"/>
  <c r="AS110" i="3434"/>
  <c r="AR110" i="3434"/>
  <c r="AQ110" i="3434"/>
  <c r="AG110" i="3434"/>
  <c r="AF110" i="3434"/>
  <c r="AC110" i="3434"/>
  <c r="AB110" i="3434"/>
  <c r="F110" i="3434"/>
  <c r="E110" i="3434"/>
  <c r="D110" i="3434" a="1"/>
  <c r="D110" i="3434"/>
  <c r="C110" i="3434" a="1"/>
  <c r="C110" i="3434"/>
  <c r="B110" i="3434" a="1"/>
  <c r="B110" i="3434"/>
  <c r="AS109" i="3434"/>
  <c r="AR109" i="3434"/>
  <c r="AQ109" i="3434"/>
  <c r="AG109" i="3434"/>
  <c r="AF109" i="3434"/>
  <c r="AC109" i="3434"/>
  <c r="AB109" i="3434"/>
  <c r="F109" i="3434"/>
  <c r="E109" i="3434"/>
  <c r="D109" i="3434" a="1"/>
  <c r="D109" i="3434"/>
  <c r="C109" i="3434" a="1"/>
  <c r="C109" i="3434"/>
  <c r="B109" i="3434" a="1"/>
  <c r="B109" i="3434"/>
  <c r="AS108" i="3434"/>
  <c r="AR108" i="3434"/>
  <c r="AQ108" i="3434"/>
  <c r="AG108" i="3434"/>
  <c r="AF108" i="3434"/>
  <c r="AC108" i="3434"/>
  <c r="AB108" i="3434"/>
  <c r="F108" i="3434"/>
  <c r="E108" i="3434"/>
  <c r="D108" i="3434" a="1"/>
  <c r="D108" i="3434"/>
  <c r="C108" i="3434" a="1"/>
  <c r="C108" i="3434"/>
  <c r="B108" i="3434" a="1"/>
  <c r="B108" i="3434"/>
  <c r="AS107" i="3434"/>
  <c r="AR107" i="3434"/>
  <c r="AQ107" i="3434"/>
  <c r="AG107" i="3434"/>
  <c r="AF107" i="3434"/>
  <c r="AC107" i="3434"/>
  <c r="AB107" i="3434"/>
  <c r="F107" i="3434"/>
  <c r="E107" i="3434"/>
  <c r="D107" i="3434" a="1"/>
  <c r="D107" i="3434"/>
  <c r="C107" i="3434" a="1"/>
  <c r="C107" i="3434"/>
  <c r="B107" i="3434" a="1"/>
  <c r="B107" i="3434"/>
  <c r="AS106" i="3434"/>
  <c r="AR106" i="3434"/>
  <c r="AQ106" i="3434"/>
  <c r="AG106" i="3434"/>
  <c r="AF106" i="3434"/>
  <c r="AC106" i="3434"/>
  <c r="AB106" i="3434"/>
  <c r="F106" i="3434"/>
  <c r="E106" i="3434"/>
  <c r="D106" i="3434" a="1"/>
  <c r="D106" i="3434"/>
  <c r="C106" i="3434" a="1"/>
  <c r="C106" i="3434"/>
  <c r="B106" i="3434" a="1"/>
  <c r="B106" i="3434"/>
  <c r="AS105" i="3434"/>
  <c r="AR105" i="3434"/>
  <c r="AQ105" i="3434"/>
  <c r="AG105" i="3434"/>
  <c r="AF105" i="3434"/>
  <c r="AC105" i="3434"/>
  <c r="AB105" i="3434"/>
  <c r="F105" i="3434"/>
  <c r="E105" i="3434"/>
  <c r="D105" i="3434" a="1"/>
  <c r="D105" i="3434"/>
  <c r="C105" i="3434" a="1"/>
  <c r="C105" i="3434"/>
  <c r="B105" i="3434" a="1"/>
  <c r="B105" i="3434"/>
  <c r="AS104" i="3434"/>
  <c r="AR104" i="3434"/>
  <c r="AQ104" i="3434"/>
  <c r="AG104" i="3434"/>
  <c r="AF104" i="3434"/>
  <c r="AC104" i="3434"/>
  <c r="AB104" i="3434"/>
  <c r="F104" i="3434"/>
  <c r="E104" i="3434"/>
  <c r="D104" i="3434" a="1"/>
  <c r="D104" i="3434"/>
  <c r="C104" i="3434" a="1"/>
  <c r="C104" i="3434"/>
  <c r="B104" i="3434" a="1"/>
  <c r="B104" i="3434"/>
  <c r="AS103" i="3434"/>
  <c r="AR103" i="3434"/>
  <c r="AQ103" i="3434"/>
  <c r="AG103" i="3434"/>
  <c r="AF103" i="3434"/>
  <c r="AC103" i="3434"/>
  <c r="AB103" i="3434"/>
  <c r="F103" i="3434"/>
  <c r="E103" i="3434"/>
  <c r="D103" i="3434" a="1"/>
  <c r="D103" i="3434"/>
  <c r="C103" i="3434" a="1"/>
  <c r="C103" i="3434"/>
  <c r="B103" i="3434" a="1"/>
  <c r="B103" i="3434"/>
  <c r="AS102" i="3434"/>
  <c r="AR102" i="3434"/>
  <c r="AQ102" i="3434"/>
  <c r="AG102" i="3434"/>
  <c r="AF102" i="3434"/>
  <c r="AC102" i="3434"/>
  <c r="AB102" i="3434"/>
  <c r="F102" i="3434"/>
  <c r="E102" i="3434"/>
  <c r="D102" i="3434" a="1"/>
  <c r="D102" i="3434"/>
  <c r="C102" i="3434" a="1"/>
  <c r="C102" i="3434"/>
  <c r="B102" i="3434" a="1"/>
  <c r="B102" i="3434"/>
  <c r="AS101" i="3434"/>
  <c r="AR101" i="3434"/>
  <c r="AQ101" i="3434"/>
  <c r="AG101" i="3434"/>
  <c r="AF101" i="3434"/>
  <c r="AC101" i="3434"/>
  <c r="AB101" i="3434"/>
  <c r="F101" i="3434"/>
  <c r="E101" i="3434"/>
  <c r="D101" i="3434" a="1"/>
  <c r="D101" i="3434"/>
  <c r="C101" i="3434" a="1"/>
  <c r="C101" i="3434"/>
  <c r="B101" i="3434" a="1"/>
  <c r="B101" i="3434"/>
  <c r="AS100" i="3434"/>
  <c r="AR100" i="3434"/>
  <c r="AQ100" i="3434"/>
  <c r="AG100" i="3434"/>
  <c r="AF100" i="3434"/>
  <c r="AC100" i="3434"/>
  <c r="AB100" i="3434"/>
  <c r="F100" i="3434"/>
  <c r="E100" i="3434"/>
  <c r="D100" i="3434" a="1"/>
  <c r="D100" i="3434"/>
  <c r="C100" i="3434" a="1"/>
  <c r="C100" i="3434"/>
  <c r="B100" i="3434" a="1"/>
  <c r="B100" i="3434"/>
  <c r="AS99" i="3434"/>
  <c r="AR99" i="3434"/>
  <c r="AQ99" i="3434"/>
  <c r="AG99" i="3434"/>
  <c r="AF99" i="3434"/>
  <c r="AC99" i="3434"/>
  <c r="AB99" i="3434"/>
  <c r="F99" i="3434"/>
  <c r="E99" i="3434"/>
  <c r="D99" i="3434" a="1"/>
  <c r="D99" i="3434"/>
  <c r="C99" i="3434" a="1"/>
  <c r="C99" i="3434"/>
  <c r="B99" i="3434" a="1"/>
  <c r="B99" i="3434"/>
  <c r="AS98" i="3434"/>
  <c r="AR98" i="3434"/>
  <c r="AQ98" i="3434"/>
  <c r="AG98" i="3434"/>
  <c r="AF98" i="3434"/>
  <c r="AC98" i="3434"/>
  <c r="AB98" i="3434"/>
  <c r="F98" i="3434"/>
  <c r="E98" i="3434"/>
  <c r="D98" i="3434" a="1"/>
  <c r="D98" i="3434"/>
  <c r="C98" i="3434" a="1"/>
  <c r="C98" i="3434"/>
  <c r="B98" i="3434" a="1"/>
  <c r="B98" i="3434"/>
  <c r="AS97" i="3434"/>
  <c r="AR97" i="3434"/>
  <c r="AQ97" i="3434"/>
  <c r="AG97" i="3434"/>
  <c r="AF97" i="3434"/>
  <c r="AC97" i="3434"/>
  <c r="AB97" i="3434"/>
  <c r="F97" i="3434"/>
  <c r="E97" i="3434"/>
  <c r="D97" i="3434" a="1"/>
  <c r="D97" i="3434"/>
  <c r="C97" i="3434" a="1"/>
  <c r="C97" i="3434"/>
  <c r="B97" i="3434" a="1"/>
  <c r="B97" i="3434"/>
  <c r="AS96" i="3434"/>
  <c r="AR96" i="3434"/>
  <c r="AQ96" i="3434"/>
  <c r="AG96" i="3434"/>
  <c r="AF96" i="3434"/>
  <c r="AC96" i="3434"/>
  <c r="AB96" i="3434"/>
  <c r="F96" i="3434"/>
  <c r="E96" i="3434"/>
  <c r="D96" i="3434" a="1"/>
  <c r="D96" i="3434"/>
  <c r="C96" i="3434" a="1"/>
  <c r="C96" i="3434"/>
  <c r="B96" i="3434" a="1"/>
  <c r="B96" i="3434"/>
  <c r="AS95" i="3434"/>
  <c r="AR95" i="3434"/>
  <c r="AQ95" i="3434"/>
  <c r="AG95" i="3434"/>
  <c r="AH95" i="3434" s="1"/>
  <c r="AI95" i="3434" s="1"/>
  <c r="AJ95" i="3434" s="1" a="1"/>
  <c r="AJ95" i="3434" s="1"/>
  <c r="AF95" i="3434"/>
  <c r="AC95" i="3434"/>
  <c r="AB95" i="3434"/>
  <c r="F95" i="3434"/>
  <c r="E95" i="3434"/>
  <c r="D95" i="3434" a="1"/>
  <c r="D95" i="3434"/>
  <c r="C95" i="3434" a="1"/>
  <c r="C95" i="3434"/>
  <c r="B95" i="3434" a="1"/>
  <c r="B95" i="3434"/>
  <c r="B83" i="3434" a="1"/>
  <c r="B83" i="3434" s="1"/>
  <c r="B82" i="3434" a="1"/>
  <c r="B82" i="3434" s="1"/>
  <c r="B81" i="3434"/>
  <c r="C79" i="3434"/>
  <c r="B79" i="3434"/>
  <c r="C78" i="3434"/>
  <c r="B78" i="3434"/>
  <c r="B44" i="3434"/>
  <c r="B43" i="3434"/>
  <c r="B35" i="3434"/>
  <c r="B33" i="3434"/>
  <c r="B30" i="3434"/>
  <c r="B28" i="3434"/>
  <c r="B27" i="3434"/>
  <c r="B26" i="3434"/>
  <c r="B9" i="3434"/>
  <c r="B8" i="3434"/>
  <c r="B4" i="3434"/>
  <c r="S80" i="3436"/>
  <c r="R80" i="3436"/>
  <c r="Q80" i="3436"/>
  <c r="P80" i="3436"/>
  <c r="O80" i="3436"/>
  <c r="B80" i="3436" a="1"/>
  <c r="B80" i="3436" s="1"/>
  <c r="S79" i="3436"/>
  <c r="R79" i="3436"/>
  <c r="Q79" i="3436"/>
  <c r="P79" i="3436"/>
  <c r="O79" i="3436"/>
  <c r="B79" i="3436" a="1"/>
  <c r="B79" i="3436" s="1"/>
  <c r="E79" i="3436" s="1" a="1"/>
  <c r="E79" i="3436" s="1"/>
  <c r="S78" i="3436"/>
  <c r="R78" i="3436"/>
  <c r="Q78" i="3436"/>
  <c r="P78" i="3436"/>
  <c r="O78" i="3436"/>
  <c r="B78" i="3436" a="1"/>
  <c r="B78" i="3436" s="1"/>
  <c r="F78" i="3436" s="1" a="1"/>
  <c r="F78" i="3436" s="1"/>
  <c r="S77" i="3436"/>
  <c r="R77" i="3436"/>
  <c r="Q77" i="3436"/>
  <c r="P77" i="3436"/>
  <c r="O77" i="3436"/>
  <c r="B77" i="3436" a="1"/>
  <c r="B77" i="3436" s="1"/>
  <c r="S76" i="3436"/>
  <c r="R76" i="3436"/>
  <c r="Q76" i="3436"/>
  <c r="P76" i="3436"/>
  <c r="O76" i="3436"/>
  <c r="B76" i="3436" a="1"/>
  <c r="B76" i="3436" s="1"/>
  <c r="E76" i="3436" s="1" a="1"/>
  <c r="E76" i="3436" s="1"/>
  <c r="S75" i="3436"/>
  <c r="R75" i="3436"/>
  <c r="Q75" i="3436"/>
  <c r="P75" i="3436"/>
  <c r="O75" i="3436"/>
  <c r="B75" i="3436" a="1"/>
  <c r="B75" i="3436" s="1"/>
  <c r="S74" i="3436"/>
  <c r="R74" i="3436"/>
  <c r="Q74" i="3436"/>
  <c r="P74" i="3436"/>
  <c r="O74" i="3436"/>
  <c r="B74" i="3436" a="1"/>
  <c r="B74" i="3436" s="1"/>
  <c r="C74" i="3436" s="1" a="1"/>
  <c r="C74" i="3436" s="1"/>
  <c r="S73" i="3436"/>
  <c r="R73" i="3436"/>
  <c r="Q73" i="3436"/>
  <c r="P73" i="3436"/>
  <c r="O73" i="3436"/>
  <c r="B73" i="3436" a="1"/>
  <c r="B73" i="3436" s="1"/>
  <c r="S72" i="3436"/>
  <c r="R72" i="3436"/>
  <c r="Q72" i="3436"/>
  <c r="P72" i="3436"/>
  <c r="O72" i="3436"/>
  <c r="B72" i="3436" a="1"/>
  <c r="B72" i="3436" s="1"/>
  <c r="D72" i="3436" s="1" a="1"/>
  <c r="D72" i="3436" s="1"/>
  <c r="S71" i="3436"/>
  <c r="R71" i="3436"/>
  <c r="Q71" i="3436"/>
  <c r="P71" i="3436"/>
  <c r="O71" i="3436"/>
  <c r="B71" i="3436" a="1"/>
  <c r="B71" i="3436" s="1"/>
  <c r="C71" i="3436" s="1" a="1"/>
  <c r="C71" i="3436" s="1"/>
  <c r="S70" i="3436"/>
  <c r="R70" i="3436"/>
  <c r="Q70" i="3436"/>
  <c r="P70" i="3436"/>
  <c r="O70" i="3436"/>
  <c r="B70" i="3436" a="1"/>
  <c r="B70" i="3436" s="1"/>
  <c r="C70" i="3436" s="1" a="1"/>
  <c r="C70" i="3436" s="1"/>
  <c r="S69" i="3436"/>
  <c r="R69" i="3436"/>
  <c r="Q69" i="3436"/>
  <c r="P69" i="3436"/>
  <c r="O69" i="3436"/>
  <c r="B69" i="3436" a="1"/>
  <c r="B69" i="3436" s="1"/>
  <c r="D69" i="3436" s="1" a="1"/>
  <c r="D69" i="3436" s="1"/>
  <c r="S68" i="3436"/>
  <c r="R68" i="3436"/>
  <c r="Q68" i="3436"/>
  <c r="P68" i="3436"/>
  <c r="O68" i="3436"/>
  <c r="B68" i="3436" a="1"/>
  <c r="B68" i="3436" s="1"/>
  <c r="S67" i="3436"/>
  <c r="R67" i="3436"/>
  <c r="Q67" i="3436"/>
  <c r="P67" i="3436"/>
  <c r="O67" i="3436"/>
  <c r="B67" i="3436" a="1"/>
  <c r="B67" i="3436" s="1"/>
  <c r="S66" i="3436"/>
  <c r="R66" i="3436"/>
  <c r="Q66" i="3436"/>
  <c r="P66" i="3436"/>
  <c r="O66" i="3436"/>
  <c r="B66" i="3436" a="1"/>
  <c r="B66" i="3436" s="1"/>
  <c r="E66" i="3436" s="1" a="1"/>
  <c r="E66" i="3436" s="1"/>
  <c r="S65" i="3436"/>
  <c r="R65" i="3436"/>
  <c r="Q65" i="3436"/>
  <c r="P65" i="3436"/>
  <c r="O65" i="3436"/>
  <c r="B65" i="3436" a="1"/>
  <c r="B65" i="3436" s="1"/>
  <c r="E65" i="3436" s="1" a="1"/>
  <c r="E65" i="3436" s="1"/>
  <c r="S64" i="3436"/>
  <c r="R64" i="3436"/>
  <c r="Q64" i="3436"/>
  <c r="P64" i="3436"/>
  <c r="O64" i="3436"/>
  <c r="B64" i="3436" a="1"/>
  <c r="B64" i="3436" s="1"/>
  <c r="S63" i="3436"/>
  <c r="R63" i="3436"/>
  <c r="Q63" i="3436"/>
  <c r="P63" i="3436"/>
  <c r="O63" i="3436"/>
  <c r="B63" i="3436" a="1"/>
  <c r="B63" i="3436" s="1"/>
  <c r="S62" i="3436"/>
  <c r="R62" i="3436"/>
  <c r="Q62" i="3436"/>
  <c r="P62" i="3436"/>
  <c r="O62" i="3436"/>
  <c r="B62" i="3436" a="1"/>
  <c r="B62" i="3436" s="1"/>
  <c r="S61" i="3436"/>
  <c r="R61" i="3436"/>
  <c r="Q61" i="3436"/>
  <c r="P61" i="3436"/>
  <c r="O61" i="3436"/>
  <c r="B61" i="3436" a="1"/>
  <c r="B61" i="3436" s="1"/>
  <c r="S60" i="3436"/>
  <c r="R60" i="3436"/>
  <c r="Q60" i="3436"/>
  <c r="P60" i="3436"/>
  <c r="O60" i="3436"/>
  <c r="B60" i="3436" a="1"/>
  <c r="B60" i="3436" s="1"/>
  <c r="S59" i="3436"/>
  <c r="R59" i="3436"/>
  <c r="Q59" i="3436"/>
  <c r="P59" i="3436"/>
  <c r="O59" i="3436"/>
  <c r="B59" i="3436" a="1"/>
  <c r="B59" i="3436" s="1"/>
  <c r="S58" i="3436"/>
  <c r="R58" i="3436"/>
  <c r="Q58" i="3436"/>
  <c r="P58" i="3436"/>
  <c r="O58" i="3436"/>
  <c r="B58" i="3436" a="1"/>
  <c r="B58" i="3436" s="1"/>
  <c r="C58" i="3436" s="1" a="1"/>
  <c r="C58" i="3436" s="1"/>
  <c r="S57" i="3436"/>
  <c r="R57" i="3436"/>
  <c r="Q57" i="3436"/>
  <c r="P57" i="3436"/>
  <c r="O57" i="3436"/>
  <c r="B57" i="3436" a="1"/>
  <c r="B57" i="3436" s="1"/>
  <c r="S56" i="3436"/>
  <c r="R56" i="3436"/>
  <c r="Q56" i="3436"/>
  <c r="P56" i="3436"/>
  <c r="O56" i="3436"/>
  <c r="B56" i="3436" a="1"/>
  <c r="B56" i="3436" s="1"/>
  <c r="S55" i="3436"/>
  <c r="R55" i="3436"/>
  <c r="Q55" i="3436"/>
  <c r="P55" i="3436"/>
  <c r="O55" i="3436"/>
  <c r="B55" i="3436" a="1"/>
  <c r="B55" i="3436" s="1"/>
  <c r="C55" i="3436" s="1" a="1"/>
  <c r="C55" i="3436" s="1"/>
  <c r="S54" i="3436"/>
  <c r="R54" i="3436"/>
  <c r="Q54" i="3436"/>
  <c r="P54" i="3436"/>
  <c r="O54" i="3436"/>
  <c r="B54" i="3436" a="1"/>
  <c r="B54" i="3436" s="1"/>
  <c r="S53" i="3436"/>
  <c r="R53" i="3436"/>
  <c r="Q53" i="3436"/>
  <c r="P53" i="3436"/>
  <c r="O53" i="3436"/>
  <c r="B53" i="3436" a="1"/>
  <c r="B53" i="3436" s="1"/>
  <c r="S52" i="3436"/>
  <c r="R52" i="3436"/>
  <c r="Q52" i="3436"/>
  <c r="P52" i="3436"/>
  <c r="O52" i="3436"/>
  <c r="B52" i="3436" a="1"/>
  <c r="B52" i="3436" s="1"/>
  <c r="S51" i="3436"/>
  <c r="R51" i="3436"/>
  <c r="Q51" i="3436"/>
  <c r="P51" i="3436"/>
  <c r="O51" i="3436"/>
  <c r="B51" i="3436" a="1"/>
  <c r="B51" i="3436" s="1"/>
  <c r="S50" i="3436"/>
  <c r="R50" i="3436"/>
  <c r="Q50" i="3436"/>
  <c r="P50" i="3436"/>
  <c r="O50" i="3436"/>
  <c r="B50" i="3436" a="1"/>
  <c r="B50" i="3436" s="1"/>
  <c r="S49" i="3436"/>
  <c r="R49" i="3436"/>
  <c r="Q49" i="3436"/>
  <c r="P49" i="3436"/>
  <c r="O49" i="3436"/>
  <c r="B49" i="3436" a="1"/>
  <c r="B49" i="3436" s="1"/>
  <c r="S48" i="3436"/>
  <c r="R48" i="3436"/>
  <c r="Q48" i="3436"/>
  <c r="P48" i="3436"/>
  <c r="O48" i="3436"/>
  <c r="B48" i="3436" a="1"/>
  <c r="B48" i="3436" s="1"/>
  <c r="S47" i="3436"/>
  <c r="R47" i="3436"/>
  <c r="Q47" i="3436"/>
  <c r="P47" i="3436"/>
  <c r="O47" i="3436"/>
  <c r="B47" i="3436" a="1"/>
  <c r="B47" i="3436" s="1"/>
  <c r="C47" i="3436" s="1" a="1"/>
  <c r="C47" i="3436" s="1"/>
  <c r="S46" i="3436"/>
  <c r="R46" i="3436"/>
  <c r="Q46" i="3436"/>
  <c r="P46" i="3436"/>
  <c r="O46" i="3436"/>
  <c r="B46" i="3436" a="1"/>
  <c r="B46" i="3436" s="1"/>
  <c r="S45" i="3436"/>
  <c r="R45" i="3436"/>
  <c r="Q45" i="3436"/>
  <c r="P45" i="3436"/>
  <c r="O45" i="3436"/>
  <c r="B45" i="3436" a="1"/>
  <c r="B45" i="3436" s="1"/>
  <c r="S44" i="3436"/>
  <c r="R44" i="3436"/>
  <c r="Q44" i="3436"/>
  <c r="P44" i="3436"/>
  <c r="O44" i="3436"/>
  <c r="B44" i="3436" a="1"/>
  <c r="B44" i="3436" s="1"/>
  <c r="S43" i="3436"/>
  <c r="R43" i="3436"/>
  <c r="Q43" i="3436"/>
  <c r="P43" i="3436"/>
  <c r="O43" i="3436"/>
  <c r="B43" i="3436" a="1"/>
  <c r="B43" i="3436" s="1"/>
  <c r="F43" i="3436" s="1" a="1"/>
  <c r="F43" i="3436" s="1"/>
  <c r="S42" i="3436"/>
  <c r="R42" i="3436"/>
  <c r="Q42" i="3436"/>
  <c r="P42" i="3436"/>
  <c r="O42" i="3436"/>
  <c r="B42" i="3436" a="1"/>
  <c r="B42" i="3436" s="1"/>
  <c r="C42" i="3436" s="1" a="1"/>
  <c r="C42" i="3436" s="1"/>
  <c r="S41" i="3436"/>
  <c r="R41" i="3436"/>
  <c r="Q41" i="3436"/>
  <c r="P41" i="3436"/>
  <c r="O41" i="3436"/>
  <c r="B41" i="3436" a="1"/>
  <c r="B41" i="3436" s="1"/>
  <c r="C41" i="3436" s="1" a="1"/>
  <c r="C41" i="3436" s="1"/>
  <c r="S40" i="3436"/>
  <c r="R40" i="3436"/>
  <c r="Q40" i="3436"/>
  <c r="P40" i="3436"/>
  <c r="O40" i="3436"/>
  <c r="B40" i="3436" a="1"/>
  <c r="B40" i="3436" s="1"/>
  <c r="S39" i="3436"/>
  <c r="R39" i="3436"/>
  <c r="Q39" i="3436"/>
  <c r="P39" i="3436"/>
  <c r="O39" i="3436"/>
  <c r="B39" i="3436" a="1"/>
  <c r="B39" i="3436" s="1"/>
  <c r="S38" i="3436"/>
  <c r="R38" i="3436"/>
  <c r="Q38" i="3436"/>
  <c r="P38" i="3436"/>
  <c r="O38" i="3436"/>
  <c r="B38" i="3436" a="1"/>
  <c r="B38" i="3436" s="1"/>
  <c r="F38" i="3436" s="1" a="1"/>
  <c r="F38" i="3436" s="1"/>
  <c r="S37" i="3436"/>
  <c r="R37" i="3436"/>
  <c r="Q37" i="3436"/>
  <c r="P37" i="3436"/>
  <c r="O37" i="3436"/>
  <c r="B37" i="3436" a="1"/>
  <c r="B37" i="3436" s="1"/>
  <c r="S36" i="3436"/>
  <c r="R36" i="3436"/>
  <c r="Q36" i="3436"/>
  <c r="P36" i="3436"/>
  <c r="O36" i="3436"/>
  <c r="B36" i="3436" a="1"/>
  <c r="B36" i="3436" s="1"/>
  <c r="S35" i="3436"/>
  <c r="R35" i="3436"/>
  <c r="Q35" i="3436"/>
  <c r="P35" i="3436"/>
  <c r="O35" i="3436"/>
  <c r="B35" i="3436" a="1"/>
  <c r="B35" i="3436" s="1"/>
  <c r="D35" i="3436" s="1" a="1"/>
  <c r="D35" i="3436" s="1"/>
  <c r="S34" i="3436"/>
  <c r="R34" i="3436"/>
  <c r="Q34" i="3436"/>
  <c r="P34" i="3436"/>
  <c r="O34" i="3436"/>
  <c r="B34" i="3436" a="1"/>
  <c r="B34" i="3436" s="1"/>
  <c r="C34" i="3436" s="1" a="1"/>
  <c r="C34" i="3436" s="1"/>
  <c r="S33" i="3436"/>
  <c r="R33" i="3436"/>
  <c r="Q33" i="3436"/>
  <c r="P33" i="3436"/>
  <c r="O33" i="3436"/>
  <c r="B33" i="3436" a="1"/>
  <c r="B33" i="3436" s="1"/>
  <c r="C33" i="3436" s="1" a="1"/>
  <c r="C33" i="3436" s="1"/>
  <c r="S32" i="3436"/>
  <c r="R32" i="3436"/>
  <c r="Q32" i="3436"/>
  <c r="P32" i="3436"/>
  <c r="O32" i="3436"/>
  <c r="B32" i="3436" a="1"/>
  <c r="B32" i="3436" s="1"/>
  <c r="C32" i="3436" s="1" a="1"/>
  <c r="C32" i="3436" s="1"/>
  <c r="S31" i="3436"/>
  <c r="R31" i="3436"/>
  <c r="Q31" i="3436"/>
  <c r="P31" i="3436"/>
  <c r="O31" i="3436"/>
  <c r="B31" i="3436" a="1"/>
  <c r="B31" i="3436" s="1"/>
  <c r="D31" i="3436" s="1" a="1"/>
  <c r="D31" i="3436" s="1"/>
  <c r="S30" i="3436"/>
  <c r="R30" i="3436"/>
  <c r="Q30" i="3436"/>
  <c r="P30" i="3436"/>
  <c r="O30" i="3436"/>
  <c r="B30" i="3436" a="1"/>
  <c r="B30" i="3436" s="1"/>
  <c r="S29" i="3436"/>
  <c r="R29" i="3436"/>
  <c r="Q29" i="3436"/>
  <c r="P29" i="3436"/>
  <c r="O29" i="3436"/>
  <c r="B29" i="3436" a="1"/>
  <c r="B29" i="3436" s="1"/>
  <c r="S28" i="3436"/>
  <c r="R28" i="3436"/>
  <c r="Q28" i="3436"/>
  <c r="P28" i="3436"/>
  <c r="O28" i="3436"/>
  <c r="B28" i="3436" a="1"/>
  <c r="B28" i="3436" s="1"/>
  <c r="F28" i="3436" s="1" a="1"/>
  <c r="F28" i="3436" s="1"/>
  <c r="S27" i="3436"/>
  <c r="R27" i="3436"/>
  <c r="Q27" i="3436"/>
  <c r="P27" i="3436"/>
  <c r="O27" i="3436"/>
  <c r="B27" i="3436" a="1"/>
  <c r="B27" i="3436" s="1"/>
  <c r="C27" i="3436" s="1" a="1"/>
  <c r="C27" i="3436" s="1"/>
  <c r="S26" i="3436"/>
  <c r="R26" i="3436"/>
  <c r="Q26" i="3436"/>
  <c r="P26" i="3436"/>
  <c r="O26" i="3436"/>
  <c r="B26" i="3436" a="1"/>
  <c r="B26" i="3436" s="1"/>
  <c r="F26" i="3436" s="1" a="1"/>
  <c r="F26" i="3436" s="1"/>
  <c r="S25" i="3436"/>
  <c r="R25" i="3436"/>
  <c r="Q25" i="3436"/>
  <c r="P25" i="3436"/>
  <c r="O25" i="3436"/>
  <c r="B25" i="3436" a="1"/>
  <c r="B25" i="3436" s="1"/>
  <c r="C25" i="3436" s="1" a="1"/>
  <c r="C25" i="3436" s="1"/>
  <c r="S24" i="3436"/>
  <c r="R24" i="3436"/>
  <c r="Q24" i="3436"/>
  <c r="P24" i="3436"/>
  <c r="O24" i="3436"/>
  <c r="B24" i="3436" a="1"/>
  <c r="B24" i="3436" s="1"/>
  <c r="S23" i="3436"/>
  <c r="R23" i="3436"/>
  <c r="Q23" i="3436"/>
  <c r="P23" i="3436"/>
  <c r="O23" i="3436"/>
  <c r="B23" i="3436" a="1"/>
  <c r="B23" i="3436" s="1"/>
  <c r="S22" i="3436"/>
  <c r="R22" i="3436"/>
  <c r="Q22" i="3436"/>
  <c r="P22" i="3436"/>
  <c r="O22" i="3436"/>
  <c r="B22" i="3436" a="1"/>
  <c r="B22" i="3436" s="1"/>
  <c r="S21" i="3436"/>
  <c r="R21" i="3436"/>
  <c r="Q21" i="3436"/>
  <c r="P21" i="3436"/>
  <c r="O21" i="3436"/>
  <c r="B21" i="3436" a="1"/>
  <c r="B21" i="3436" s="1"/>
  <c r="C21" i="3436" s="1" a="1"/>
  <c r="C21" i="3436" s="1"/>
  <c r="S20" i="3436"/>
  <c r="R20" i="3436"/>
  <c r="Q20" i="3436"/>
  <c r="P20" i="3436"/>
  <c r="O20" i="3436"/>
  <c r="B20" i="3436" a="1"/>
  <c r="B20" i="3436" s="1"/>
  <c r="F20" i="3436" s="1" a="1"/>
  <c r="F20" i="3436" s="1"/>
  <c r="S19" i="3436"/>
  <c r="R19" i="3436"/>
  <c r="Q19" i="3436"/>
  <c r="P19" i="3436"/>
  <c r="O19" i="3436"/>
  <c r="B19" i="3436" a="1"/>
  <c r="B19" i="3436" s="1"/>
  <c r="S18" i="3436"/>
  <c r="R18" i="3436"/>
  <c r="Q18" i="3436"/>
  <c r="P18" i="3436"/>
  <c r="O18" i="3436"/>
  <c r="B18" i="3436" a="1"/>
  <c r="B18" i="3436" s="1"/>
  <c r="C3" i="3436"/>
  <c r="C2" i="3436"/>
  <c r="BP65" i="3570"/>
  <c r="BD65" i="3570" a="1"/>
  <c r="BD65" i="3570"/>
  <c r="BC65" i="3570" a="1"/>
  <c r="BC65" i="3570"/>
  <c r="C65" i="3570" a="1"/>
  <c r="C65" i="3570"/>
  <c r="BP64" i="3570"/>
  <c r="BD64" i="3570" a="1"/>
  <c r="BD64" i="3570"/>
  <c r="BC64" i="3570" a="1"/>
  <c r="BC64" i="3570"/>
  <c r="C64" i="3570" a="1"/>
  <c r="C64" i="3570"/>
  <c r="BP63" i="3570"/>
  <c r="BD63" i="3570" a="1"/>
  <c r="BD63" i="3570"/>
  <c r="BC63" i="3570" a="1"/>
  <c r="BC63" i="3570"/>
  <c r="C63" i="3570" a="1"/>
  <c r="C63" i="3570"/>
  <c r="BP62" i="3570"/>
  <c r="BD62" i="3570" a="1"/>
  <c r="BD62" i="3570"/>
  <c r="BC62" i="3570" a="1"/>
  <c r="BC62" i="3570"/>
  <c r="C62" i="3570" a="1"/>
  <c r="C62" i="3570"/>
  <c r="BP61" i="3570"/>
  <c r="BD61" i="3570" a="1"/>
  <c r="BD61" i="3570"/>
  <c r="BC61" i="3570" a="1"/>
  <c r="BC61" i="3570"/>
  <c r="C61" i="3570" a="1"/>
  <c r="C61" i="3570"/>
  <c r="BP60" i="3570"/>
  <c r="BD60" i="3570" a="1"/>
  <c r="BD60" i="3570"/>
  <c r="BC60" i="3570" a="1"/>
  <c r="BC60" i="3570"/>
  <c r="C60" i="3570" a="1"/>
  <c r="C60" i="3570"/>
  <c r="BP59" i="3570"/>
  <c r="BD59" i="3570" a="1"/>
  <c r="BD59" i="3570"/>
  <c r="BC59" i="3570" a="1"/>
  <c r="BC59" i="3570"/>
  <c r="C59" i="3570" a="1"/>
  <c r="C59" i="3570"/>
  <c r="BP58" i="3570"/>
  <c r="BD58" i="3570" a="1"/>
  <c r="BD58" i="3570"/>
  <c r="BC58" i="3570" a="1"/>
  <c r="BC58" i="3570"/>
  <c r="C58" i="3570" a="1"/>
  <c r="C58" i="3570"/>
  <c r="BP57" i="3570"/>
  <c r="BD57" i="3570" a="1"/>
  <c r="BD57" i="3570"/>
  <c r="BC57" i="3570" a="1"/>
  <c r="BC57" i="3570"/>
  <c r="C57" i="3570" a="1"/>
  <c r="C57" i="3570"/>
  <c r="BP56" i="3570"/>
  <c r="BD56" i="3570" a="1"/>
  <c r="BD56" i="3570"/>
  <c r="BC56" i="3570" a="1"/>
  <c r="BC56" i="3570"/>
  <c r="C56" i="3570" a="1"/>
  <c r="C56" i="3570"/>
  <c r="BP55" i="3570"/>
  <c r="BD55" i="3570" a="1"/>
  <c r="BD55" i="3570"/>
  <c r="BC55" i="3570" a="1"/>
  <c r="BC55" i="3570"/>
  <c r="C55" i="3570" a="1"/>
  <c r="C55" i="3570"/>
  <c r="BP54" i="3570"/>
  <c r="BD54" i="3570" a="1"/>
  <c r="BD54" i="3570"/>
  <c r="BC54" i="3570" a="1"/>
  <c r="BC54" i="3570"/>
  <c r="C54" i="3570" a="1"/>
  <c r="C54" i="3570"/>
  <c r="BP53" i="3570"/>
  <c r="BD53" i="3570" a="1"/>
  <c r="BD53" i="3570"/>
  <c r="BC53" i="3570" a="1"/>
  <c r="BC53" i="3570"/>
  <c r="C53" i="3570" a="1"/>
  <c r="C53" i="3570"/>
  <c r="BP52" i="3570"/>
  <c r="BD52" i="3570" a="1"/>
  <c r="BD52" i="3570"/>
  <c r="BC52" i="3570" a="1"/>
  <c r="BC52" i="3570"/>
  <c r="C52" i="3570" a="1"/>
  <c r="C52" i="3570"/>
  <c r="BP51" i="3570"/>
  <c r="BD51" i="3570" a="1"/>
  <c r="BD51" i="3570"/>
  <c r="BC51" i="3570" a="1"/>
  <c r="BC51" i="3570"/>
  <c r="C51" i="3570" a="1"/>
  <c r="C51" i="3570"/>
  <c r="BP50" i="3570"/>
  <c r="BD50" i="3570" a="1"/>
  <c r="BD50" i="3570"/>
  <c r="BC50" i="3570" a="1"/>
  <c r="BC50" i="3570"/>
  <c r="C50" i="3570" a="1"/>
  <c r="C50" i="3570"/>
  <c r="BP49" i="3570"/>
  <c r="BD49" i="3570" a="1"/>
  <c r="BD49" i="3570"/>
  <c r="BC49" i="3570" a="1"/>
  <c r="BC49" i="3570"/>
  <c r="C49" i="3570" a="1"/>
  <c r="C49" i="3570"/>
  <c r="BP48" i="3570"/>
  <c r="BD48" i="3570" a="1"/>
  <c r="BD48" i="3570"/>
  <c r="BC48" i="3570" a="1"/>
  <c r="BC48" i="3570"/>
  <c r="C48" i="3570" a="1"/>
  <c r="C48" i="3570"/>
  <c r="BP47" i="3570"/>
  <c r="BD47" i="3570" a="1"/>
  <c r="BD47" i="3570"/>
  <c r="BC47" i="3570" a="1"/>
  <c r="BC47" i="3570"/>
  <c r="C47" i="3570" a="1"/>
  <c r="C47" i="3570"/>
  <c r="BP46" i="3570"/>
  <c r="BD46" i="3570" a="1"/>
  <c r="BD46" i="3570"/>
  <c r="BC46" i="3570" a="1"/>
  <c r="BC46" i="3570"/>
  <c r="C46" i="3570" a="1"/>
  <c r="C46" i="3570"/>
  <c r="BP45" i="3570"/>
  <c r="BD45" i="3570" a="1"/>
  <c r="BD45" i="3570"/>
  <c r="BC45" i="3570" a="1"/>
  <c r="BC45" i="3570"/>
  <c r="C45" i="3570" a="1"/>
  <c r="C45" i="3570"/>
  <c r="BP44" i="3570"/>
  <c r="BD44" i="3570" a="1"/>
  <c r="BD44" i="3570"/>
  <c r="BC44" i="3570" a="1"/>
  <c r="BC44" i="3570"/>
  <c r="C44" i="3570" a="1"/>
  <c r="C44" i="3570"/>
  <c r="BP43" i="3570"/>
  <c r="BD43" i="3570" a="1"/>
  <c r="BD43" i="3570"/>
  <c r="BC43" i="3570" a="1"/>
  <c r="BC43" i="3570"/>
  <c r="C43" i="3570" a="1"/>
  <c r="C43" i="3570"/>
  <c r="BP42" i="3570"/>
  <c r="BD42" i="3570" a="1"/>
  <c r="BD42" i="3570"/>
  <c r="BC42" i="3570" a="1"/>
  <c r="BC42" i="3570"/>
  <c r="C42" i="3570" a="1"/>
  <c r="C42" i="3570"/>
  <c r="BP41" i="3570"/>
  <c r="BD41" i="3570" a="1"/>
  <c r="BD41" i="3570"/>
  <c r="BC41" i="3570" a="1"/>
  <c r="BC41" i="3570"/>
  <c r="C41" i="3570" a="1"/>
  <c r="C41" i="3570"/>
  <c r="BP40" i="3570"/>
  <c r="BD40" i="3570" a="1"/>
  <c r="BD40" i="3570"/>
  <c r="BC40" i="3570" a="1"/>
  <c r="BC40" i="3570"/>
  <c r="C40" i="3570" a="1"/>
  <c r="C40" i="3570"/>
  <c r="BP39" i="3570"/>
  <c r="BD39" i="3570" a="1"/>
  <c r="BD39" i="3570"/>
  <c r="BC39" i="3570" a="1"/>
  <c r="BC39" i="3570"/>
  <c r="C39" i="3570" a="1"/>
  <c r="C39" i="3570"/>
  <c r="BP38" i="3570"/>
  <c r="BD38" i="3570" a="1"/>
  <c r="BD38" i="3570"/>
  <c r="BC38" i="3570" a="1"/>
  <c r="BC38" i="3570"/>
  <c r="C38" i="3570" a="1"/>
  <c r="C38" i="3570"/>
  <c r="BP37" i="3570"/>
  <c r="BD37" i="3570" a="1"/>
  <c r="BD37" i="3570"/>
  <c r="BC37" i="3570" a="1"/>
  <c r="BC37" i="3570"/>
  <c r="C37" i="3570" a="1"/>
  <c r="C37" i="3570"/>
  <c r="BP36" i="3570"/>
  <c r="BD36" i="3570" a="1"/>
  <c r="BD36" i="3570"/>
  <c r="BC36" i="3570" a="1"/>
  <c r="BC36" i="3570"/>
  <c r="C36" i="3570" a="1"/>
  <c r="C36" i="3570"/>
  <c r="BP35" i="3570"/>
  <c r="BD35" i="3570" a="1"/>
  <c r="BD35" i="3570"/>
  <c r="BC35" i="3570" a="1"/>
  <c r="BC35" i="3570"/>
  <c r="C35" i="3570" a="1"/>
  <c r="C35" i="3570"/>
  <c r="BP34" i="3570"/>
  <c r="BD34" i="3570" a="1"/>
  <c r="BD34" i="3570"/>
  <c r="BC34" i="3570" a="1"/>
  <c r="BC34" i="3570"/>
  <c r="C34" i="3570" a="1"/>
  <c r="C34" i="3570"/>
  <c r="BP33" i="3570"/>
  <c r="BD33" i="3570" a="1"/>
  <c r="BD33" i="3570"/>
  <c r="BC33" i="3570" a="1"/>
  <c r="BC33" i="3570"/>
  <c r="C33" i="3570" a="1"/>
  <c r="C33" i="3570"/>
  <c r="BP32" i="3570"/>
  <c r="BD32" i="3570" a="1"/>
  <c r="BD32" i="3570"/>
  <c r="BC32" i="3570" a="1"/>
  <c r="BC32" i="3570"/>
  <c r="C32" i="3570" a="1"/>
  <c r="C32" i="3570"/>
  <c r="BP31" i="3570"/>
  <c r="BD31" i="3570" a="1"/>
  <c r="BD31" i="3570"/>
  <c r="BC31" i="3570" a="1"/>
  <c r="BC31" i="3570"/>
  <c r="C31" i="3570" a="1"/>
  <c r="C31" i="3570"/>
  <c r="BP30" i="3570"/>
  <c r="BD30" i="3570" a="1"/>
  <c r="BD30" i="3570"/>
  <c r="BC30" i="3570" a="1"/>
  <c r="BC30" i="3570"/>
  <c r="C30" i="3570" a="1"/>
  <c r="C30" i="3570"/>
  <c r="BP29" i="3570"/>
  <c r="BD29" i="3570" a="1"/>
  <c r="BD29" i="3570"/>
  <c r="BC29" i="3570" a="1"/>
  <c r="BC29" i="3570"/>
  <c r="C29" i="3570" a="1"/>
  <c r="C29" i="3570"/>
  <c r="BP28" i="3570"/>
  <c r="BD28" i="3570" a="1"/>
  <c r="BD28" i="3570"/>
  <c r="BC28" i="3570" a="1"/>
  <c r="BC28" i="3570"/>
  <c r="C28" i="3570" a="1"/>
  <c r="C28" i="3570"/>
  <c r="BP27" i="3570"/>
  <c r="BD27" i="3570" a="1"/>
  <c r="BD27" i="3570"/>
  <c r="BC27" i="3570" a="1"/>
  <c r="BC27" i="3570"/>
  <c r="C27" i="3570" a="1"/>
  <c r="C27" i="3570"/>
  <c r="BP26" i="3570"/>
  <c r="BD26" i="3570" a="1"/>
  <c r="BD26" i="3570"/>
  <c r="BC26" i="3570" a="1"/>
  <c r="BC26" i="3570"/>
  <c r="C26" i="3570" a="1"/>
  <c r="C26" i="3570"/>
  <c r="BP25" i="3570"/>
  <c r="BD25" i="3570" a="1"/>
  <c r="BD25" i="3570"/>
  <c r="BC25" i="3570" a="1"/>
  <c r="BC25" i="3570"/>
  <c r="C25" i="3570" a="1"/>
  <c r="C25" i="3570"/>
  <c r="BP24" i="3570"/>
  <c r="BD24" i="3570" a="1"/>
  <c r="BD24" i="3570"/>
  <c r="BC24" i="3570" a="1"/>
  <c r="BC24" i="3570"/>
  <c r="C24" i="3570" a="1"/>
  <c r="C24" i="3570"/>
  <c r="BP23" i="3570"/>
  <c r="BD23" i="3570" a="1"/>
  <c r="BD23" i="3570"/>
  <c r="BC23" i="3570" a="1"/>
  <c r="BC23" i="3570"/>
  <c r="C23" i="3570" a="1"/>
  <c r="C23" i="3570"/>
  <c r="BP22" i="3570"/>
  <c r="BD22" i="3570" a="1"/>
  <c r="BD22" i="3570"/>
  <c r="BC22" i="3570" a="1"/>
  <c r="BC22" i="3570"/>
  <c r="C22" i="3570" a="1"/>
  <c r="C22" i="3570"/>
  <c r="BP21" i="3570"/>
  <c r="BD21" i="3570" a="1"/>
  <c r="BD21" i="3570"/>
  <c r="BC21" i="3570" a="1"/>
  <c r="BC21" i="3570"/>
  <c r="C21" i="3570" a="1"/>
  <c r="C21" i="3570"/>
  <c r="BP20" i="3570"/>
  <c r="BD20" i="3570" a="1"/>
  <c r="BD20" i="3570"/>
  <c r="BC20" i="3570" a="1"/>
  <c r="BC20" i="3570"/>
  <c r="C20" i="3570" a="1"/>
  <c r="C20" i="3570"/>
  <c r="BP19" i="3570"/>
  <c r="BD19" i="3570" a="1"/>
  <c r="BD19" i="3570"/>
  <c r="BC19" i="3570" a="1"/>
  <c r="BC19" i="3570"/>
  <c r="C19" i="3570" a="1"/>
  <c r="C19" i="3570"/>
  <c r="BP18" i="3570"/>
  <c r="BD18" i="3570" a="1"/>
  <c r="BD18" i="3570"/>
  <c r="BC18" i="3570" a="1"/>
  <c r="BC18" i="3570"/>
  <c r="C18" i="3570" a="1"/>
  <c r="C18" i="3570"/>
  <c r="BP17" i="3570"/>
  <c r="BD17" i="3570" a="1"/>
  <c r="BD17" i="3570"/>
  <c r="BC17" i="3570" a="1"/>
  <c r="BC17" i="3570"/>
  <c r="C17" i="3570" a="1"/>
  <c r="C17" i="3570"/>
  <c r="BQ16" i="3570"/>
  <c r="BP16" i="3570"/>
  <c r="BD16" i="3570" a="1"/>
  <c r="BD16" i="3570"/>
  <c r="BC16" i="3570" a="1"/>
  <c r="BC16" i="3570"/>
  <c r="C16" i="3570" a="1"/>
  <c r="C16" i="3570"/>
  <c r="C11" i="3570"/>
  <c r="C10" i="3570"/>
  <c r="C4" i="3570"/>
  <c r="C3" i="3570"/>
  <c r="AJ36" i="3579" a="1"/>
  <c r="AJ36" i="3579"/>
  <c r="AI36" i="3579" a="1"/>
  <c r="AI36" i="3579"/>
  <c r="AH36" i="3579" a="1"/>
  <c r="AH36" i="3579"/>
  <c r="AG36" i="3579" a="1"/>
  <c r="AG36" i="3579"/>
  <c r="AF36" i="3579" a="1"/>
  <c r="AF36" i="3579"/>
  <c r="AE36" i="3579" a="1"/>
  <c r="AE36" i="3579"/>
  <c r="AC36" i="3579" a="1"/>
  <c r="AC36" i="3579"/>
  <c r="AB36" i="3579" a="1"/>
  <c r="AB36" i="3579"/>
  <c r="AA36" i="3579" a="1"/>
  <c r="AA36" i="3579"/>
  <c r="Z36" i="3579" a="1"/>
  <c r="Z36" i="3579"/>
  <c r="Y36" i="3579" a="1"/>
  <c r="Y36" i="3579"/>
  <c r="X36" i="3579" a="1"/>
  <c r="X36" i="3579"/>
  <c r="W36" i="3579" a="1"/>
  <c r="W36" i="3579"/>
  <c r="V36" i="3579" a="1"/>
  <c r="V36" i="3579"/>
  <c r="U36" i="3579"/>
  <c r="T36" i="3579"/>
  <c r="S36" i="3579"/>
  <c r="R36" i="3579"/>
  <c r="P36" i="3579" a="1"/>
  <c r="P36" i="3579"/>
  <c r="O36" i="3579" a="1"/>
  <c r="O36" i="3579"/>
  <c r="N36" i="3579" a="1"/>
  <c r="N36" i="3579"/>
  <c r="M36" i="3579" a="1"/>
  <c r="M36" i="3579"/>
  <c r="L36" i="3579" a="1"/>
  <c r="L36" i="3579"/>
  <c r="K36" i="3579" a="1"/>
  <c r="K36" i="3579"/>
  <c r="I36" i="3579" a="1"/>
  <c r="I36" i="3579"/>
  <c r="H36" i="3579" a="1"/>
  <c r="H36" i="3579"/>
  <c r="G36" i="3579" a="1"/>
  <c r="G36" i="3579"/>
  <c r="F36" i="3579" a="1"/>
  <c r="F36" i="3579"/>
  <c r="E36" i="3579" a="1"/>
  <c r="E36" i="3579"/>
  <c r="D36" i="3579" a="1"/>
  <c r="D36" i="3579"/>
  <c r="B36" i="3579" a="1"/>
  <c r="B36" i="3579"/>
  <c r="AJ35" i="3579" a="1"/>
  <c r="AJ35" i="3579"/>
  <c r="AI35" i="3579" a="1"/>
  <c r="AI35" i="3579"/>
  <c r="AH35" i="3579" a="1"/>
  <c r="AH35" i="3579"/>
  <c r="AG35" i="3579" a="1"/>
  <c r="AG35" i="3579"/>
  <c r="AF35" i="3579" a="1"/>
  <c r="AF35" i="3579"/>
  <c r="AE35" i="3579" a="1"/>
  <c r="AE35" i="3579"/>
  <c r="AC35" i="3579" a="1"/>
  <c r="AC35" i="3579"/>
  <c r="AB35" i="3579" a="1"/>
  <c r="AB35" i="3579"/>
  <c r="AA35" i="3579" a="1"/>
  <c r="AA35" i="3579"/>
  <c r="Z35" i="3579" a="1"/>
  <c r="Z35" i="3579"/>
  <c r="Y35" i="3579" a="1"/>
  <c r="Y35" i="3579"/>
  <c r="X35" i="3579" a="1"/>
  <c r="X35" i="3579"/>
  <c r="W35" i="3579" a="1"/>
  <c r="W35" i="3579"/>
  <c r="V35" i="3579" a="1"/>
  <c r="V35" i="3579"/>
  <c r="U35" i="3579"/>
  <c r="T35" i="3579"/>
  <c r="S35" i="3579"/>
  <c r="R35" i="3579"/>
  <c r="P35" i="3579" a="1"/>
  <c r="P35" i="3579"/>
  <c r="O35" i="3579" a="1"/>
  <c r="O35" i="3579"/>
  <c r="N35" i="3579" a="1"/>
  <c r="N35" i="3579"/>
  <c r="M35" i="3579" a="1"/>
  <c r="M35" i="3579"/>
  <c r="L35" i="3579" a="1"/>
  <c r="L35" i="3579"/>
  <c r="K35" i="3579" a="1"/>
  <c r="K35" i="3579"/>
  <c r="I35" i="3579" a="1"/>
  <c r="I35" i="3579"/>
  <c r="H35" i="3579" a="1"/>
  <c r="H35" i="3579"/>
  <c r="G35" i="3579" a="1"/>
  <c r="G35" i="3579"/>
  <c r="F35" i="3579" a="1"/>
  <c r="F35" i="3579"/>
  <c r="E35" i="3579" a="1"/>
  <c r="E35" i="3579"/>
  <c r="D35" i="3579" a="1"/>
  <c r="D35" i="3579"/>
  <c r="B35" i="3579" a="1"/>
  <c r="B35" i="3579"/>
  <c r="AJ34" i="3579" a="1"/>
  <c r="AJ34" i="3579"/>
  <c r="AI34" i="3579" a="1"/>
  <c r="AI34" i="3579"/>
  <c r="AH34" i="3579" a="1"/>
  <c r="AH34" i="3579"/>
  <c r="AG34" i="3579" a="1"/>
  <c r="AG34" i="3579"/>
  <c r="AF34" i="3579" a="1"/>
  <c r="AF34" i="3579"/>
  <c r="AE34" i="3579" a="1"/>
  <c r="AE34" i="3579"/>
  <c r="AC34" i="3579" a="1"/>
  <c r="AC34" i="3579"/>
  <c r="AB34" i="3579" a="1"/>
  <c r="AB34" i="3579"/>
  <c r="AA34" i="3579" a="1"/>
  <c r="AA34" i="3579"/>
  <c r="Z34" i="3579" a="1"/>
  <c r="Z34" i="3579"/>
  <c r="Y34" i="3579" a="1"/>
  <c r="Y34" i="3579"/>
  <c r="X34" i="3579" a="1"/>
  <c r="X34" i="3579"/>
  <c r="W34" i="3579" a="1"/>
  <c r="W34" i="3579"/>
  <c r="V34" i="3579" a="1"/>
  <c r="V34" i="3579"/>
  <c r="U34" i="3579"/>
  <c r="T34" i="3579"/>
  <c r="S34" i="3579"/>
  <c r="R34" i="3579"/>
  <c r="P34" i="3579" a="1"/>
  <c r="P34" i="3579"/>
  <c r="O34" i="3579" a="1"/>
  <c r="O34" i="3579"/>
  <c r="N34" i="3579" a="1"/>
  <c r="N34" i="3579"/>
  <c r="M34" i="3579" a="1"/>
  <c r="M34" i="3579"/>
  <c r="L34" i="3579" a="1"/>
  <c r="L34" i="3579"/>
  <c r="K34" i="3579" a="1"/>
  <c r="K34" i="3579"/>
  <c r="I34" i="3579" a="1"/>
  <c r="I34" i="3579"/>
  <c r="H34" i="3579" a="1"/>
  <c r="H34" i="3579"/>
  <c r="G34" i="3579" a="1"/>
  <c r="G34" i="3579"/>
  <c r="F34" i="3579" a="1"/>
  <c r="F34" i="3579"/>
  <c r="E34" i="3579" a="1"/>
  <c r="E34" i="3579"/>
  <c r="D34" i="3579" a="1"/>
  <c r="D34" i="3579"/>
  <c r="B34" i="3579" a="1"/>
  <c r="B34" i="3579"/>
  <c r="AJ33" i="3579" a="1"/>
  <c r="AJ33" i="3579"/>
  <c r="AI33" i="3579" a="1"/>
  <c r="AI33" i="3579"/>
  <c r="AH33" i="3579" a="1"/>
  <c r="AH33" i="3579"/>
  <c r="AG33" i="3579" a="1"/>
  <c r="AG33" i="3579"/>
  <c r="AF33" i="3579" a="1"/>
  <c r="AF33" i="3579"/>
  <c r="AE33" i="3579" a="1"/>
  <c r="AE33" i="3579"/>
  <c r="AC33" i="3579" a="1"/>
  <c r="AC33" i="3579"/>
  <c r="AB33" i="3579" a="1"/>
  <c r="AB33" i="3579"/>
  <c r="AA33" i="3579" a="1"/>
  <c r="AA33" i="3579"/>
  <c r="Z33" i="3579" a="1"/>
  <c r="Z33" i="3579"/>
  <c r="Y33" i="3579" a="1"/>
  <c r="Y33" i="3579"/>
  <c r="X33" i="3579" a="1"/>
  <c r="X33" i="3579"/>
  <c r="W33" i="3579" a="1"/>
  <c r="W33" i="3579"/>
  <c r="V33" i="3579" a="1"/>
  <c r="V33" i="3579"/>
  <c r="U33" i="3579"/>
  <c r="T33" i="3579"/>
  <c r="S33" i="3579"/>
  <c r="R33" i="3579"/>
  <c r="P33" i="3579" a="1"/>
  <c r="P33" i="3579"/>
  <c r="O33" i="3579" a="1"/>
  <c r="O33" i="3579"/>
  <c r="N33" i="3579" a="1"/>
  <c r="N33" i="3579"/>
  <c r="M33" i="3579" a="1"/>
  <c r="M33" i="3579"/>
  <c r="L33" i="3579" a="1"/>
  <c r="L33" i="3579"/>
  <c r="K33" i="3579" a="1"/>
  <c r="K33" i="3579"/>
  <c r="I33" i="3579" a="1"/>
  <c r="I33" i="3579"/>
  <c r="H33" i="3579" a="1"/>
  <c r="H33" i="3579"/>
  <c r="G33" i="3579" a="1"/>
  <c r="G33" i="3579"/>
  <c r="F33" i="3579" a="1"/>
  <c r="F33" i="3579"/>
  <c r="E33" i="3579" a="1"/>
  <c r="E33" i="3579"/>
  <c r="D33" i="3579" a="1"/>
  <c r="D33" i="3579"/>
  <c r="B33" i="3579" a="1"/>
  <c r="B33" i="3579"/>
  <c r="AJ32" i="3579" a="1"/>
  <c r="AJ32" i="3579"/>
  <c r="AI32" i="3579" a="1"/>
  <c r="AI32" i="3579"/>
  <c r="AH32" i="3579" a="1"/>
  <c r="AH32" i="3579"/>
  <c r="AG32" i="3579" a="1"/>
  <c r="AG32" i="3579"/>
  <c r="AF32" i="3579" a="1"/>
  <c r="AF32" i="3579"/>
  <c r="AE32" i="3579" a="1"/>
  <c r="AE32" i="3579"/>
  <c r="AC32" i="3579" a="1"/>
  <c r="AC32" i="3579"/>
  <c r="AB32" i="3579" a="1"/>
  <c r="AB32" i="3579"/>
  <c r="AA32" i="3579" a="1"/>
  <c r="AA32" i="3579"/>
  <c r="Z32" i="3579" a="1"/>
  <c r="Z32" i="3579"/>
  <c r="Y32" i="3579" a="1"/>
  <c r="Y32" i="3579"/>
  <c r="X32" i="3579" a="1"/>
  <c r="X32" i="3579"/>
  <c r="W32" i="3579" a="1"/>
  <c r="W32" i="3579"/>
  <c r="V32" i="3579" a="1"/>
  <c r="V32" i="3579"/>
  <c r="U32" i="3579"/>
  <c r="T32" i="3579"/>
  <c r="S32" i="3579"/>
  <c r="R32" i="3579"/>
  <c r="P32" i="3579" a="1"/>
  <c r="P32" i="3579"/>
  <c r="O32" i="3579" a="1"/>
  <c r="O32" i="3579"/>
  <c r="N32" i="3579" a="1"/>
  <c r="N32" i="3579"/>
  <c r="M32" i="3579" a="1"/>
  <c r="M32" i="3579"/>
  <c r="L32" i="3579" a="1"/>
  <c r="L32" i="3579"/>
  <c r="K32" i="3579" a="1"/>
  <c r="K32" i="3579"/>
  <c r="I32" i="3579" a="1"/>
  <c r="I32" i="3579"/>
  <c r="H32" i="3579" a="1"/>
  <c r="H32" i="3579"/>
  <c r="G32" i="3579" a="1"/>
  <c r="G32" i="3579"/>
  <c r="F32" i="3579" a="1"/>
  <c r="F32" i="3579"/>
  <c r="E32" i="3579" a="1"/>
  <c r="E32" i="3579"/>
  <c r="D32" i="3579" a="1"/>
  <c r="D32" i="3579"/>
  <c r="B32" i="3579" a="1"/>
  <c r="B32" i="3579"/>
  <c r="AJ31" i="3579" a="1"/>
  <c r="AJ31" i="3579"/>
  <c r="AI31" i="3579" a="1"/>
  <c r="AI31" i="3579"/>
  <c r="AH31" i="3579" a="1"/>
  <c r="AH31" i="3579"/>
  <c r="AG31" i="3579" a="1"/>
  <c r="AG31" i="3579"/>
  <c r="AF31" i="3579" a="1"/>
  <c r="AF31" i="3579"/>
  <c r="AE31" i="3579" a="1"/>
  <c r="AE31" i="3579"/>
  <c r="AC31" i="3579" a="1"/>
  <c r="AC31" i="3579"/>
  <c r="AB31" i="3579" a="1"/>
  <c r="AB31" i="3579"/>
  <c r="AA31" i="3579" a="1"/>
  <c r="AA31" i="3579"/>
  <c r="Z31" i="3579" a="1"/>
  <c r="Z31" i="3579"/>
  <c r="Y31" i="3579" a="1"/>
  <c r="Y31" i="3579"/>
  <c r="X31" i="3579" a="1"/>
  <c r="X31" i="3579"/>
  <c r="W31" i="3579" a="1"/>
  <c r="W31" i="3579"/>
  <c r="V31" i="3579" a="1"/>
  <c r="V31" i="3579"/>
  <c r="U31" i="3579"/>
  <c r="T31" i="3579"/>
  <c r="S31" i="3579"/>
  <c r="R31" i="3579"/>
  <c r="P31" i="3579" a="1"/>
  <c r="P31" i="3579"/>
  <c r="O31" i="3579" a="1"/>
  <c r="O31" i="3579"/>
  <c r="N31" i="3579" a="1"/>
  <c r="N31" i="3579"/>
  <c r="M31" i="3579" a="1"/>
  <c r="M31" i="3579"/>
  <c r="L31" i="3579" a="1"/>
  <c r="L31" i="3579"/>
  <c r="K31" i="3579" a="1"/>
  <c r="K31" i="3579"/>
  <c r="I31" i="3579" a="1"/>
  <c r="I31" i="3579"/>
  <c r="H31" i="3579" a="1"/>
  <c r="H31" i="3579"/>
  <c r="G31" i="3579" a="1"/>
  <c r="G31" i="3579"/>
  <c r="F31" i="3579" a="1"/>
  <c r="F31" i="3579"/>
  <c r="E31" i="3579" a="1"/>
  <c r="E31" i="3579"/>
  <c r="D31" i="3579" a="1"/>
  <c r="D31" i="3579"/>
  <c r="B31" i="3579" a="1"/>
  <c r="B31" i="3579"/>
  <c r="AJ30" i="3579" a="1"/>
  <c r="AJ30" i="3579"/>
  <c r="AI30" i="3579" a="1"/>
  <c r="AI30" i="3579"/>
  <c r="AH30" i="3579" a="1"/>
  <c r="AH30" i="3579"/>
  <c r="AG30" i="3579" a="1"/>
  <c r="AG30" i="3579"/>
  <c r="AF30" i="3579" a="1"/>
  <c r="AF30" i="3579"/>
  <c r="AE30" i="3579" a="1"/>
  <c r="AE30" i="3579"/>
  <c r="AC30" i="3579" a="1"/>
  <c r="AC30" i="3579"/>
  <c r="AB30" i="3579" a="1"/>
  <c r="AB30" i="3579"/>
  <c r="AA30" i="3579" a="1"/>
  <c r="AA30" i="3579"/>
  <c r="Z30" i="3579" a="1"/>
  <c r="Z30" i="3579"/>
  <c r="Y30" i="3579" a="1"/>
  <c r="Y30" i="3579"/>
  <c r="X30" i="3579" a="1"/>
  <c r="X30" i="3579"/>
  <c r="W30" i="3579" a="1"/>
  <c r="W30" i="3579"/>
  <c r="V30" i="3579" a="1"/>
  <c r="V30" i="3579"/>
  <c r="U30" i="3579"/>
  <c r="T30" i="3579"/>
  <c r="S30" i="3579"/>
  <c r="R30" i="3579"/>
  <c r="P30" i="3579" a="1"/>
  <c r="P30" i="3579"/>
  <c r="O30" i="3579" a="1"/>
  <c r="O30" i="3579"/>
  <c r="N30" i="3579" a="1"/>
  <c r="N30" i="3579"/>
  <c r="M30" i="3579" a="1"/>
  <c r="M30" i="3579"/>
  <c r="L30" i="3579" a="1"/>
  <c r="L30" i="3579"/>
  <c r="K30" i="3579" a="1"/>
  <c r="K30" i="3579"/>
  <c r="I30" i="3579" a="1"/>
  <c r="I30" i="3579"/>
  <c r="H30" i="3579" a="1"/>
  <c r="H30" i="3579"/>
  <c r="G30" i="3579" a="1"/>
  <c r="G30" i="3579"/>
  <c r="F30" i="3579" a="1"/>
  <c r="F30" i="3579"/>
  <c r="E30" i="3579" a="1"/>
  <c r="E30" i="3579"/>
  <c r="D30" i="3579" a="1"/>
  <c r="D30" i="3579"/>
  <c r="B30" i="3579" a="1"/>
  <c r="B30" i="3579"/>
  <c r="AJ29" i="3579" a="1"/>
  <c r="AJ29" i="3579"/>
  <c r="AI29" i="3579" a="1"/>
  <c r="AI29" i="3579"/>
  <c r="AH29" i="3579" a="1"/>
  <c r="AH29" i="3579"/>
  <c r="AG29" i="3579" a="1"/>
  <c r="AG29" i="3579"/>
  <c r="AF29" i="3579" a="1"/>
  <c r="AF29" i="3579"/>
  <c r="AE29" i="3579" a="1"/>
  <c r="AE29" i="3579"/>
  <c r="AC29" i="3579" a="1"/>
  <c r="AC29" i="3579"/>
  <c r="AB29" i="3579" a="1"/>
  <c r="AB29" i="3579"/>
  <c r="AA29" i="3579" a="1"/>
  <c r="AA29" i="3579"/>
  <c r="Z29" i="3579" a="1"/>
  <c r="Z29" i="3579"/>
  <c r="Y29" i="3579" a="1"/>
  <c r="Y29" i="3579"/>
  <c r="X29" i="3579" a="1"/>
  <c r="X29" i="3579"/>
  <c r="W29" i="3579" a="1"/>
  <c r="W29" i="3579"/>
  <c r="V29" i="3579" a="1"/>
  <c r="V29" i="3579"/>
  <c r="U29" i="3579"/>
  <c r="T29" i="3579"/>
  <c r="S29" i="3579"/>
  <c r="R29" i="3579"/>
  <c r="P29" i="3579" a="1"/>
  <c r="P29" i="3579"/>
  <c r="O29" i="3579" a="1"/>
  <c r="O29" i="3579"/>
  <c r="N29" i="3579" a="1"/>
  <c r="N29" i="3579"/>
  <c r="M29" i="3579" a="1"/>
  <c r="M29" i="3579"/>
  <c r="L29" i="3579" a="1"/>
  <c r="L29" i="3579"/>
  <c r="K29" i="3579" a="1"/>
  <c r="K29" i="3579"/>
  <c r="I29" i="3579" a="1"/>
  <c r="I29" i="3579"/>
  <c r="H29" i="3579" a="1"/>
  <c r="H29" i="3579"/>
  <c r="G29" i="3579" a="1"/>
  <c r="G29" i="3579"/>
  <c r="F29" i="3579" a="1"/>
  <c r="F29" i="3579"/>
  <c r="E29" i="3579" a="1"/>
  <c r="E29" i="3579"/>
  <c r="D29" i="3579" a="1"/>
  <c r="D29" i="3579"/>
  <c r="B29" i="3579" a="1"/>
  <c r="B29" i="3579"/>
  <c r="AJ28" i="3579" a="1"/>
  <c r="AJ28" i="3579"/>
  <c r="AI28" i="3579" a="1"/>
  <c r="AI28" i="3579"/>
  <c r="AH28" i="3579" a="1"/>
  <c r="AH28" i="3579"/>
  <c r="AG28" i="3579" a="1"/>
  <c r="AG28" i="3579"/>
  <c r="AF28" i="3579" a="1"/>
  <c r="AF28" i="3579"/>
  <c r="AE28" i="3579" a="1"/>
  <c r="AE28" i="3579"/>
  <c r="AC28" i="3579" a="1"/>
  <c r="AC28" i="3579"/>
  <c r="AB28" i="3579" a="1"/>
  <c r="AB28" i="3579"/>
  <c r="AA28" i="3579" a="1"/>
  <c r="AA28" i="3579"/>
  <c r="Z28" i="3579" a="1"/>
  <c r="Z28" i="3579"/>
  <c r="Y28" i="3579" a="1"/>
  <c r="Y28" i="3579"/>
  <c r="X28" i="3579" a="1"/>
  <c r="X28" i="3579"/>
  <c r="W28" i="3579" a="1"/>
  <c r="W28" i="3579"/>
  <c r="V28" i="3579" a="1"/>
  <c r="V28" i="3579"/>
  <c r="U28" i="3579"/>
  <c r="T28" i="3579"/>
  <c r="S28" i="3579"/>
  <c r="R28" i="3579"/>
  <c r="P28" i="3579" a="1"/>
  <c r="P28" i="3579"/>
  <c r="O28" i="3579" a="1"/>
  <c r="O28" i="3579"/>
  <c r="N28" i="3579" a="1"/>
  <c r="N28" i="3579"/>
  <c r="M28" i="3579" a="1"/>
  <c r="M28" i="3579"/>
  <c r="L28" i="3579" a="1"/>
  <c r="L28" i="3579"/>
  <c r="K28" i="3579" a="1"/>
  <c r="K28" i="3579"/>
  <c r="I28" i="3579" a="1"/>
  <c r="I28" i="3579"/>
  <c r="H28" i="3579" a="1"/>
  <c r="H28" i="3579"/>
  <c r="G28" i="3579" a="1"/>
  <c r="G28" i="3579"/>
  <c r="F28" i="3579" a="1"/>
  <c r="F28" i="3579"/>
  <c r="E28" i="3579" a="1"/>
  <c r="E28" i="3579"/>
  <c r="D28" i="3579" a="1"/>
  <c r="D28" i="3579"/>
  <c r="B28" i="3579" a="1"/>
  <c r="B28" i="3579"/>
  <c r="AJ27" i="3579" a="1"/>
  <c r="AJ27" i="3579"/>
  <c r="AI27" i="3579" a="1"/>
  <c r="AI27" i="3579"/>
  <c r="AH27" i="3579" a="1"/>
  <c r="AH27" i="3579"/>
  <c r="AG27" i="3579" a="1"/>
  <c r="AG27" i="3579"/>
  <c r="AF27" i="3579" a="1"/>
  <c r="AF27" i="3579"/>
  <c r="AE27" i="3579" a="1"/>
  <c r="AE27" i="3579"/>
  <c r="AC27" i="3579" a="1"/>
  <c r="AC27" i="3579"/>
  <c r="AB27" i="3579" a="1"/>
  <c r="AB27" i="3579"/>
  <c r="AA27" i="3579" a="1"/>
  <c r="AA27" i="3579"/>
  <c r="Z27" i="3579" a="1"/>
  <c r="Z27" i="3579"/>
  <c r="Y27" i="3579" a="1"/>
  <c r="Y27" i="3579"/>
  <c r="X27" i="3579" a="1"/>
  <c r="X27" i="3579"/>
  <c r="W27" i="3579" a="1"/>
  <c r="W27" i="3579"/>
  <c r="V27" i="3579" a="1"/>
  <c r="V27" i="3579"/>
  <c r="U27" i="3579"/>
  <c r="T27" i="3579"/>
  <c r="S27" i="3579"/>
  <c r="R27" i="3579"/>
  <c r="P27" i="3579" a="1"/>
  <c r="P27" i="3579"/>
  <c r="O27" i="3579" a="1"/>
  <c r="O27" i="3579"/>
  <c r="N27" i="3579" a="1"/>
  <c r="N27" i="3579"/>
  <c r="M27" i="3579" a="1"/>
  <c r="M27" i="3579"/>
  <c r="L27" i="3579" a="1"/>
  <c r="L27" i="3579"/>
  <c r="K27" i="3579" a="1"/>
  <c r="K27" i="3579"/>
  <c r="I27" i="3579" a="1"/>
  <c r="I27" i="3579"/>
  <c r="H27" i="3579" a="1"/>
  <c r="H27" i="3579"/>
  <c r="G27" i="3579" a="1"/>
  <c r="G27" i="3579"/>
  <c r="F27" i="3579" a="1"/>
  <c r="F27" i="3579"/>
  <c r="E27" i="3579" a="1"/>
  <c r="E27" i="3579"/>
  <c r="D27" i="3579" a="1"/>
  <c r="D27" i="3579"/>
  <c r="B27" i="3579" a="1"/>
  <c r="B27" i="3579"/>
  <c r="AJ26" i="3579" a="1"/>
  <c r="AJ26" i="3579"/>
  <c r="AI26" i="3579" a="1"/>
  <c r="AI26" i="3579"/>
  <c r="AH26" i="3579" a="1"/>
  <c r="AH26" i="3579"/>
  <c r="AG26" i="3579" a="1"/>
  <c r="AG26" i="3579"/>
  <c r="AF26" i="3579" a="1"/>
  <c r="AF26" i="3579"/>
  <c r="AE26" i="3579" a="1"/>
  <c r="AE26" i="3579"/>
  <c r="AC26" i="3579" a="1"/>
  <c r="AC26" i="3579"/>
  <c r="AB26" i="3579" a="1"/>
  <c r="AB26" i="3579"/>
  <c r="AA26" i="3579" a="1"/>
  <c r="AA26" i="3579"/>
  <c r="Z26" i="3579" a="1"/>
  <c r="Z26" i="3579"/>
  <c r="Y26" i="3579" a="1"/>
  <c r="Y26" i="3579"/>
  <c r="X26" i="3579" a="1"/>
  <c r="X26" i="3579"/>
  <c r="W26" i="3579" a="1"/>
  <c r="W26" i="3579"/>
  <c r="V26" i="3579" a="1"/>
  <c r="V26" i="3579"/>
  <c r="U26" i="3579"/>
  <c r="T26" i="3579"/>
  <c r="S26" i="3579"/>
  <c r="R26" i="3579"/>
  <c r="P26" i="3579" a="1"/>
  <c r="P26" i="3579"/>
  <c r="O26" i="3579" a="1"/>
  <c r="O26" i="3579"/>
  <c r="N26" i="3579" a="1"/>
  <c r="N26" i="3579"/>
  <c r="M26" i="3579" a="1"/>
  <c r="M26" i="3579"/>
  <c r="L26" i="3579" a="1"/>
  <c r="L26" i="3579"/>
  <c r="K26" i="3579" a="1"/>
  <c r="K26" i="3579"/>
  <c r="I26" i="3579" a="1"/>
  <c r="I26" i="3579"/>
  <c r="H26" i="3579" a="1"/>
  <c r="H26" i="3579"/>
  <c r="G26" i="3579" a="1"/>
  <c r="G26" i="3579"/>
  <c r="F26" i="3579" a="1"/>
  <c r="F26" i="3579"/>
  <c r="E26" i="3579" a="1"/>
  <c r="E26" i="3579"/>
  <c r="D26" i="3579" a="1"/>
  <c r="D26" i="3579"/>
  <c r="B26" i="3579" a="1"/>
  <c r="B26" i="3579"/>
  <c r="AJ25" i="3579" a="1"/>
  <c r="AJ25" i="3579"/>
  <c r="AI25" i="3579" a="1"/>
  <c r="AI25" i="3579"/>
  <c r="AH25" i="3579" a="1"/>
  <c r="AH25" i="3579"/>
  <c r="AG25" i="3579" a="1"/>
  <c r="AG25" i="3579"/>
  <c r="AF25" i="3579" a="1"/>
  <c r="AF25" i="3579"/>
  <c r="AE25" i="3579" a="1"/>
  <c r="AE25" i="3579"/>
  <c r="AC25" i="3579" a="1"/>
  <c r="AC25" i="3579"/>
  <c r="AB25" i="3579" a="1"/>
  <c r="AB25" i="3579"/>
  <c r="AA25" i="3579" a="1"/>
  <c r="AA25" i="3579"/>
  <c r="Z25" i="3579" a="1"/>
  <c r="Z25" i="3579"/>
  <c r="Y25" i="3579" a="1"/>
  <c r="Y25" i="3579"/>
  <c r="X25" i="3579" a="1"/>
  <c r="X25" i="3579"/>
  <c r="W25" i="3579" a="1"/>
  <c r="W25" i="3579"/>
  <c r="V25" i="3579" a="1"/>
  <c r="V25" i="3579"/>
  <c r="U25" i="3579"/>
  <c r="T25" i="3579"/>
  <c r="S25" i="3579"/>
  <c r="R25" i="3579"/>
  <c r="P25" i="3579" a="1"/>
  <c r="P25" i="3579"/>
  <c r="O25" i="3579" a="1"/>
  <c r="O25" i="3579"/>
  <c r="N25" i="3579" a="1"/>
  <c r="N25" i="3579"/>
  <c r="M25" i="3579" a="1"/>
  <c r="M25" i="3579"/>
  <c r="L25" i="3579" a="1"/>
  <c r="L25" i="3579"/>
  <c r="K25" i="3579" a="1"/>
  <c r="K25" i="3579"/>
  <c r="I25" i="3579" a="1"/>
  <c r="I25" i="3579"/>
  <c r="H25" i="3579" a="1"/>
  <c r="H25" i="3579"/>
  <c r="G25" i="3579" a="1"/>
  <c r="G25" i="3579"/>
  <c r="F25" i="3579" a="1"/>
  <c r="F25" i="3579"/>
  <c r="E25" i="3579" a="1"/>
  <c r="E25" i="3579"/>
  <c r="D25" i="3579" a="1"/>
  <c r="D25" i="3579"/>
  <c r="B25" i="3579" a="1"/>
  <c r="B25" i="3579"/>
  <c r="AJ24" i="3579" a="1"/>
  <c r="AJ24" i="3579"/>
  <c r="AI24" i="3579" a="1"/>
  <c r="AI24" i="3579"/>
  <c r="AH24" i="3579" a="1"/>
  <c r="AH24" i="3579"/>
  <c r="AG24" i="3579" a="1"/>
  <c r="AG24" i="3579"/>
  <c r="AF24" i="3579" a="1"/>
  <c r="AF24" i="3579"/>
  <c r="AE24" i="3579" a="1"/>
  <c r="AE24" i="3579"/>
  <c r="AC24" i="3579" a="1"/>
  <c r="AC24" i="3579"/>
  <c r="AB24" i="3579" a="1"/>
  <c r="AB24" i="3579"/>
  <c r="AA24" i="3579" a="1"/>
  <c r="AA24" i="3579"/>
  <c r="Z24" i="3579" a="1"/>
  <c r="Z24" i="3579"/>
  <c r="Y24" i="3579" a="1"/>
  <c r="Y24" i="3579"/>
  <c r="X24" i="3579" a="1"/>
  <c r="X24" i="3579"/>
  <c r="W24" i="3579" a="1"/>
  <c r="W24" i="3579"/>
  <c r="V24" i="3579" a="1"/>
  <c r="V24" i="3579"/>
  <c r="U24" i="3579"/>
  <c r="T24" i="3579"/>
  <c r="S24" i="3579"/>
  <c r="R24" i="3579"/>
  <c r="P24" i="3579" a="1"/>
  <c r="P24" i="3579"/>
  <c r="O24" i="3579" a="1"/>
  <c r="O24" i="3579"/>
  <c r="N24" i="3579" a="1"/>
  <c r="N24" i="3579"/>
  <c r="M24" i="3579" a="1"/>
  <c r="M24" i="3579"/>
  <c r="L24" i="3579" a="1"/>
  <c r="L24" i="3579"/>
  <c r="K24" i="3579" a="1"/>
  <c r="K24" i="3579"/>
  <c r="I24" i="3579" a="1"/>
  <c r="I24" i="3579"/>
  <c r="H24" i="3579" a="1"/>
  <c r="H24" i="3579"/>
  <c r="G24" i="3579" a="1"/>
  <c r="G24" i="3579"/>
  <c r="F24" i="3579" a="1"/>
  <c r="F24" i="3579"/>
  <c r="E24" i="3579" a="1"/>
  <c r="E24" i="3579"/>
  <c r="D24" i="3579" a="1"/>
  <c r="D24" i="3579"/>
  <c r="B24" i="3579" a="1"/>
  <c r="B24" i="3579"/>
  <c r="AJ23" i="3579" a="1"/>
  <c r="AJ23" i="3579"/>
  <c r="AI23" i="3579" a="1"/>
  <c r="AI23" i="3579"/>
  <c r="AH23" i="3579" a="1"/>
  <c r="AH23" i="3579"/>
  <c r="AG23" i="3579" a="1"/>
  <c r="AG23" i="3579"/>
  <c r="AF23" i="3579" a="1"/>
  <c r="AF23" i="3579"/>
  <c r="AE23" i="3579" a="1"/>
  <c r="AE23" i="3579"/>
  <c r="AC23" i="3579" a="1"/>
  <c r="AC23" i="3579"/>
  <c r="AB23" i="3579" a="1"/>
  <c r="AB23" i="3579"/>
  <c r="AA23" i="3579" a="1"/>
  <c r="AA23" i="3579"/>
  <c r="Z23" i="3579" a="1"/>
  <c r="Z23" i="3579"/>
  <c r="Y23" i="3579" a="1"/>
  <c r="Y23" i="3579"/>
  <c r="X23" i="3579" a="1"/>
  <c r="X23" i="3579"/>
  <c r="W23" i="3579" a="1"/>
  <c r="W23" i="3579"/>
  <c r="V23" i="3579" a="1"/>
  <c r="V23" i="3579"/>
  <c r="U23" i="3579"/>
  <c r="T23" i="3579"/>
  <c r="S23" i="3579"/>
  <c r="R23" i="3579"/>
  <c r="P23" i="3579" a="1"/>
  <c r="P23" i="3579"/>
  <c r="O23" i="3579" a="1"/>
  <c r="O23" i="3579"/>
  <c r="N23" i="3579" a="1"/>
  <c r="N23" i="3579"/>
  <c r="M23" i="3579" a="1"/>
  <c r="M23" i="3579"/>
  <c r="L23" i="3579" a="1"/>
  <c r="L23" i="3579"/>
  <c r="K23" i="3579" a="1"/>
  <c r="K23" i="3579"/>
  <c r="I23" i="3579" a="1"/>
  <c r="I23" i="3579"/>
  <c r="H23" i="3579" a="1"/>
  <c r="H23" i="3579"/>
  <c r="G23" i="3579" a="1"/>
  <c r="G23" i="3579"/>
  <c r="F23" i="3579" a="1"/>
  <c r="F23" i="3579"/>
  <c r="E23" i="3579" a="1"/>
  <c r="E23" i="3579"/>
  <c r="D23" i="3579" a="1"/>
  <c r="D23" i="3579"/>
  <c r="B23" i="3579" a="1"/>
  <c r="B23" i="3579"/>
  <c r="AJ22" i="3579" a="1"/>
  <c r="AJ22" i="3579"/>
  <c r="AI22" i="3579" a="1"/>
  <c r="AI22" i="3579"/>
  <c r="AH22" i="3579" a="1"/>
  <c r="AH22" i="3579"/>
  <c r="AG22" i="3579" a="1"/>
  <c r="AG22" i="3579"/>
  <c r="AF22" i="3579" a="1"/>
  <c r="AF22" i="3579"/>
  <c r="AE22" i="3579" a="1"/>
  <c r="AE22" i="3579"/>
  <c r="AC22" i="3579" a="1"/>
  <c r="AC22" i="3579"/>
  <c r="AB22" i="3579" a="1"/>
  <c r="AB22" i="3579"/>
  <c r="AA22" i="3579" a="1"/>
  <c r="AA22" i="3579"/>
  <c r="Z22" i="3579" a="1"/>
  <c r="Z22" i="3579"/>
  <c r="Y22" i="3579" a="1"/>
  <c r="Y22" i="3579"/>
  <c r="X22" i="3579" a="1"/>
  <c r="X22" i="3579"/>
  <c r="W22" i="3579" a="1"/>
  <c r="W22" i="3579"/>
  <c r="V22" i="3579" a="1"/>
  <c r="V22" i="3579"/>
  <c r="U22" i="3579"/>
  <c r="T22" i="3579"/>
  <c r="S22" i="3579"/>
  <c r="R22" i="3579"/>
  <c r="P22" i="3579" a="1"/>
  <c r="P22" i="3579"/>
  <c r="O22" i="3579" a="1"/>
  <c r="O22" i="3579"/>
  <c r="N22" i="3579" a="1"/>
  <c r="N22" i="3579"/>
  <c r="M22" i="3579" a="1"/>
  <c r="M22" i="3579"/>
  <c r="L22" i="3579" a="1"/>
  <c r="L22" i="3579"/>
  <c r="K22" i="3579" a="1"/>
  <c r="K22" i="3579"/>
  <c r="I22" i="3579" a="1"/>
  <c r="I22" i="3579"/>
  <c r="H22" i="3579" a="1"/>
  <c r="H22" i="3579"/>
  <c r="G22" i="3579" a="1"/>
  <c r="G22" i="3579"/>
  <c r="F22" i="3579" a="1"/>
  <c r="F22" i="3579"/>
  <c r="E22" i="3579" a="1"/>
  <c r="E22" i="3579"/>
  <c r="D22" i="3579" a="1"/>
  <c r="D22" i="3579"/>
  <c r="B22" i="3579" a="1"/>
  <c r="B22" i="3579"/>
  <c r="AJ21" i="3579" a="1"/>
  <c r="AJ21" i="3579"/>
  <c r="AI21" i="3579" a="1"/>
  <c r="AI21" i="3579"/>
  <c r="AH21" i="3579" a="1"/>
  <c r="AH21" i="3579"/>
  <c r="AG21" i="3579" a="1"/>
  <c r="AG21" i="3579"/>
  <c r="AF21" i="3579" a="1"/>
  <c r="AF21" i="3579"/>
  <c r="AE21" i="3579" a="1"/>
  <c r="AE21" i="3579"/>
  <c r="AC21" i="3579" a="1"/>
  <c r="AC21" i="3579"/>
  <c r="AB21" i="3579" a="1"/>
  <c r="AB21" i="3579"/>
  <c r="AA21" i="3579" a="1"/>
  <c r="AA21" i="3579"/>
  <c r="Z21" i="3579" a="1"/>
  <c r="Z21" i="3579"/>
  <c r="Y21" i="3579" a="1"/>
  <c r="Y21" i="3579"/>
  <c r="X21" i="3579" a="1"/>
  <c r="X21" i="3579"/>
  <c r="W21" i="3579" a="1"/>
  <c r="W21" i="3579"/>
  <c r="V21" i="3579" a="1"/>
  <c r="V21" i="3579"/>
  <c r="U21" i="3579"/>
  <c r="T21" i="3579"/>
  <c r="S21" i="3579"/>
  <c r="R21" i="3579"/>
  <c r="P21" i="3579" a="1"/>
  <c r="P21" i="3579"/>
  <c r="O21" i="3579" a="1"/>
  <c r="O21" i="3579"/>
  <c r="N21" i="3579" a="1"/>
  <c r="N21" i="3579"/>
  <c r="M21" i="3579" a="1"/>
  <c r="M21" i="3579"/>
  <c r="L21" i="3579" a="1"/>
  <c r="L21" i="3579"/>
  <c r="K21" i="3579" a="1"/>
  <c r="K21" i="3579"/>
  <c r="I21" i="3579" a="1"/>
  <c r="I21" i="3579"/>
  <c r="H21" i="3579" a="1"/>
  <c r="H21" i="3579"/>
  <c r="G21" i="3579" a="1"/>
  <c r="G21" i="3579"/>
  <c r="F21" i="3579" a="1"/>
  <c r="F21" i="3579"/>
  <c r="E21" i="3579" a="1"/>
  <c r="E21" i="3579"/>
  <c r="D21" i="3579" a="1"/>
  <c r="D21" i="3579"/>
  <c r="B21" i="3579" a="1"/>
  <c r="B21" i="3579"/>
  <c r="AJ20" i="3579" a="1"/>
  <c r="AJ20" i="3579"/>
  <c r="AI20" i="3579" a="1"/>
  <c r="AI20" i="3579"/>
  <c r="AH20" i="3579" a="1"/>
  <c r="AH20" i="3579"/>
  <c r="AG20" i="3579" a="1"/>
  <c r="AG20" i="3579"/>
  <c r="AF20" i="3579" a="1"/>
  <c r="AF20" i="3579"/>
  <c r="AE20" i="3579" a="1"/>
  <c r="AE20" i="3579"/>
  <c r="AC20" i="3579" a="1"/>
  <c r="AC20" i="3579"/>
  <c r="AB20" i="3579" a="1"/>
  <c r="AB20" i="3579"/>
  <c r="AA20" i="3579" a="1"/>
  <c r="AA20" i="3579"/>
  <c r="Z20" i="3579" a="1"/>
  <c r="Z20" i="3579"/>
  <c r="Y20" i="3579" a="1"/>
  <c r="Y20" i="3579"/>
  <c r="X20" i="3579" a="1"/>
  <c r="X20" i="3579"/>
  <c r="W20" i="3579" a="1"/>
  <c r="W20" i="3579"/>
  <c r="V20" i="3579" a="1"/>
  <c r="V20" i="3579"/>
  <c r="U20" i="3579"/>
  <c r="T20" i="3579"/>
  <c r="S20" i="3579"/>
  <c r="R20" i="3579"/>
  <c r="P20" i="3579" a="1"/>
  <c r="P20" i="3579"/>
  <c r="O20" i="3579" a="1"/>
  <c r="O20" i="3579"/>
  <c r="N20" i="3579" a="1"/>
  <c r="N20" i="3579"/>
  <c r="M20" i="3579" a="1"/>
  <c r="M20" i="3579"/>
  <c r="L20" i="3579" a="1"/>
  <c r="L20" i="3579"/>
  <c r="K20" i="3579" a="1"/>
  <c r="K20" i="3579"/>
  <c r="I20" i="3579" a="1"/>
  <c r="I20" i="3579"/>
  <c r="H20" i="3579" a="1"/>
  <c r="H20" i="3579"/>
  <c r="G20" i="3579" a="1"/>
  <c r="G20" i="3579"/>
  <c r="F20" i="3579" a="1"/>
  <c r="F20" i="3579"/>
  <c r="E20" i="3579" a="1"/>
  <c r="E20" i="3579"/>
  <c r="D20" i="3579" a="1"/>
  <c r="D20" i="3579"/>
  <c r="B20" i="3579" a="1"/>
  <c r="B20" i="3579"/>
  <c r="AJ19" i="3579" a="1"/>
  <c r="AJ19" i="3579"/>
  <c r="AI19" i="3579" a="1"/>
  <c r="AI19" i="3579"/>
  <c r="AH19" i="3579" a="1"/>
  <c r="AH19" i="3579"/>
  <c r="AG19" i="3579" a="1"/>
  <c r="AG19" i="3579"/>
  <c r="AF19" i="3579" a="1"/>
  <c r="AF19" i="3579"/>
  <c r="AE19" i="3579" a="1"/>
  <c r="AE19" i="3579"/>
  <c r="AC19" i="3579" a="1"/>
  <c r="AC19" i="3579"/>
  <c r="AB19" i="3579" a="1"/>
  <c r="AB19" i="3579"/>
  <c r="AA19" i="3579" a="1"/>
  <c r="AA19" i="3579"/>
  <c r="Z19" i="3579" a="1"/>
  <c r="Z19" i="3579"/>
  <c r="Y19" i="3579" a="1"/>
  <c r="Y19" i="3579"/>
  <c r="X19" i="3579" a="1"/>
  <c r="X19" i="3579"/>
  <c r="W19" i="3579" a="1"/>
  <c r="W19" i="3579"/>
  <c r="V19" i="3579" a="1"/>
  <c r="V19" i="3579"/>
  <c r="U19" i="3579"/>
  <c r="T19" i="3579"/>
  <c r="S19" i="3579"/>
  <c r="R19" i="3579"/>
  <c r="P19" i="3579" a="1"/>
  <c r="P19" i="3579"/>
  <c r="O19" i="3579" a="1"/>
  <c r="O19" i="3579"/>
  <c r="N19" i="3579" a="1"/>
  <c r="N19" i="3579"/>
  <c r="M19" i="3579" a="1"/>
  <c r="M19" i="3579"/>
  <c r="L19" i="3579" a="1"/>
  <c r="L19" i="3579"/>
  <c r="K19" i="3579" a="1"/>
  <c r="K19" i="3579"/>
  <c r="I19" i="3579" a="1"/>
  <c r="I19" i="3579"/>
  <c r="H19" i="3579" a="1"/>
  <c r="H19" i="3579"/>
  <c r="G19" i="3579" a="1"/>
  <c r="G19" i="3579"/>
  <c r="F19" i="3579" a="1"/>
  <c r="F19" i="3579"/>
  <c r="E19" i="3579" a="1"/>
  <c r="E19" i="3579"/>
  <c r="D19" i="3579" a="1"/>
  <c r="D19" i="3579"/>
  <c r="B19" i="3579" a="1"/>
  <c r="B19" i="3579"/>
  <c r="AJ18" i="3579" a="1"/>
  <c r="AJ18" i="3579"/>
  <c r="AI18" i="3579" a="1"/>
  <c r="AI18" i="3579"/>
  <c r="AH18" i="3579" a="1"/>
  <c r="AH18" i="3579"/>
  <c r="AG18" i="3579" a="1"/>
  <c r="AG18" i="3579"/>
  <c r="AF18" i="3579" a="1"/>
  <c r="AF18" i="3579"/>
  <c r="AE18" i="3579" a="1"/>
  <c r="AE18" i="3579"/>
  <c r="AC18" i="3579" a="1"/>
  <c r="AC18" i="3579"/>
  <c r="AB18" i="3579" a="1"/>
  <c r="AB18" i="3579"/>
  <c r="AA18" i="3579" a="1"/>
  <c r="AA18" i="3579"/>
  <c r="Z18" i="3579" a="1"/>
  <c r="Z18" i="3579"/>
  <c r="Y18" i="3579" a="1"/>
  <c r="Y18" i="3579"/>
  <c r="X18" i="3579" a="1"/>
  <c r="X18" i="3579"/>
  <c r="W18" i="3579" a="1"/>
  <c r="W18" i="3579"/>
  <c r="V18" i="3579" a="1"/>
  <c r="V18" i="3579"/>
  <c r="U18" i="3579"/>
  <c r="T18" i="3579"/>
  <c r="S18" i="3579"/>
  <c r="R18" i="3579"/>
  <c r="P18" i="3579" a="1"/>
  <c r="P18" i="3579"/>
  <c r="O18" i="3579" a="1"/>
  <c r="O18" i="3579"/>
  <c r="N18" i="3579" a="1"/>
  <c r="N18" i="3579"/>
  <c r="M18" i="3579" a="1"/>
  <c r="M18" i="3579"/>
  <c r="L18" i="3579" a="1"/>
  <c r="L18" i="3579"/>
  <c r="K18" i="3579" a="1"/>
  <c r="K18" i="3579"/>
  <c r="I18" i="3579" a="1"/>
  <c r="I18" i="3579"/>
  <c r="H18" i="3579" a="1"/>
  <c r="H18" i="3579"/>
  <c r="G18" i="3579" a="1"/>
  <c r="G18" i="3579"/>
  <c r="F18" i="3579" a="1"/>
  <c r="F18" i="3579"/>
  <c r="E18" i="3579" a="1"/>
  <c r="E18" i="3579"/>
  <c r="D18" i="3579" a="1"/>
  <c r="D18" i="3579"/>
  <c r="B18" i="3579" a="1"/>
  <c r="B18" i="3579"/>
  <c r="AJ17" i="3579" a="1"/>
  <c r="AJ17" i="3579"/>
  <c r="AI17" i="3579" a="1"/>
  <c r="AI17" i="3579"/>
  <c r="AH17" i="3579" a="1"/>
  <c r="AH17" i="3579"/>
  <c r="AG17" i="3579" a="1"/>
  <c r="AG17" i="3579"/>
  <c r="AF17" i="3579" a="1"/>
  <c r="AF17" i="3579"/>
  <c r="AE17" i="3579" a="1"/>
  <c r="AE17" i="3579"/>
  <c r="AC17" i="3579" a="1"/>
  <c r="AC17" i="3579"/>
  <c r="AB17" i="3579" a="1"/>
  <c r="AB17" i="3579"/>
  <c r="AA17" i="3579" a="1"/>
  <c r="AA17" i="3579"/>
  <c r="Z17" i="3579" a="1"/>
  <c r="Z17" i="3579"/>
  <c r="Y17" i="3579" a="1"/>
  <c r="Y17" i="3579"/>
  <c r="X17" i="3579" a="1"/>
  <c r="X17" i="3579"/>
  <c r="W17" i="3579" a="1"/>
  <c r="W17" i="3579"/>
  <c r="V17" i="3579" a="1"/>
  <c r="V17" i="3579"/>
  <c r="U17" i="3579"/>
  <c r="T17" i="3579"/>
  <c r="S17" i="3579"/>
  <c r="R17" i="3579"/>
  <c r="P17" i="3579" a="1"/>
  <c r="P17" i="3579"/>
  <c r="O17" i="3579" a="1"/>
  <c r="O17" i="3579"/>
  <c r="N17" i="3579" a="1"/>
  <c r="N17" i="3579"/>
  <c r="M17" i="3579" a="1"/>
  <c r="M17" i="3579"/>
  <c r="L17" i="3579" a="1"/>
  <c r="L17" i="3579"/>
  <c r="K17" i="3579" a="1"/>
  <c r="K17" i="3579"/>
  <c r="I17" i="3579" a="1"/>
  <c r="I17" i="3579"/>
  <c r="H17" i="3579" a="1"/>
  <c r="H17" i="3579"/>
  <c r="G17" i="3579" a="1"/>
  <c r="G17" i="3579"/>
  <c r="F17" i="3579" a="1"/>
  <c r="F17" i="3579"/>
  <c r="E17" i="3579" a="1"/>
  <c r="E17" i="3579"/>
  <c r="D17" i="3579" a="1"/>
  <c r="D17" i="3579"/>
  <c r="B17" i="3579" a="1"/>
  <c r="B17" i="3579"/>
  <c r="AJ16" i="3579" a="1"/>
  <c r="AJ16" i="3579"/>
  <c r="AI16" i="3579" a="1"/>
  <c r="AI16" i="3579"/>
  <c r="AH16" i="3579" a="1"/>
  <c r="AH16" i="3579"/>
  <c r="AG16" i="3579" a="1"/>
  <c r="AG16" i="3579"/>
  <c r="AF16" i="3579" a="1"/>
  <c r="AF16" i="3579"/>
  <c r="AE16" i="3579" a="1"/>
  <c r="AE16" i="3579"/>
  <c r="AC16" i="3579" a="1"/>
  <c r="AC16" i="3579"/>
  <c r="AB16" i="3579" a="1"/>
  <c r="AB16" i="3579"/>
  <c r="AA16" i="3579" a="1"/>
  <c r="AA16" i="3579"/>
  <c r="Z16" i="3579" a="1"/>
  <c r="Z16" i="3579"/>
  <c r="Y16" i="3579" a="1"/>
  <c r="Y16" i="3579"/>
  <c r="X16" i="3579" a="1"/>
  <c r="X16" i="3579"/>
  <c r="W16" i="3579" a="1"/>
  <c r="W16" i="3579"/>
  <c r="V16" i="3579" a="1"/>
  <c r="V16" i="3579"/>
  <c r="U16" i="3579"/>
  <c r="T16" i="3579"/>
  <c r="S16" i="3579"/>
  <c r="R16" i="3579"/>
  <c r="P16" i="3579" a="1"/>
  <c r="P16" i="3579"/>
  <c r="O16" i="3579" a="1"/>
  <c r="O16" i="3579"/>
  <c r="N16" i="3579" a="1"/>
  <c r="N16" i="3579"/>
  <c r="M16" i="3579" a="1"/>
  <c r="M16" i="3579"/>
  <c r="L16" i="3579" a="1"/>
  <c r="L16" i="3579"/>
  <c r="K16" i="3579" a="1"/>
  <c r="K16" i="3579"/>
  <c r="I16" i="3579" a="1"/>
  <c r="I16" i="3579"/>
  <c r="H16" i="3579" a="1"/>
  <c r="H16" i="3579"/>
  <c r="G16" i="3579" a="1"/>
  <c r="G16" i="3579"/>
  <c r="F16" i="3579" a="1"/>
  <c r="F16" i="3579"/>
  <c r="E16" i="3579" a="1"/>
  <c r="E16" i="3579"/>
  <c r="D16" i="3579" a="1"/>
  <c r="D16" i="3579"/>
  <c r="B16" i="3579" a="1"/>
  <c r="B16" i="3579"/>
  <c r="AJ15" i="3579" a="1"/>
  <c r="AJ15" i="3579"/>
  <c r="AI15" i="3579" a="1"/>
  <c r="AI15" i="3579"/>
  <c r="AH15" i="3579" a="1"/>
  <c r="AH15" i="3579"/>
  <c r="AG15" i="3579" a="1"/>
  <c r="AG15" i="3579"/>
  <c r="AF15" i="3579" a="1"/>
  <c r="AF15" i="3579"/>
  <c r="AE15" i="3579" a="1"/>
  <c r="AE15" i="3579"/>
  <c r="AC15" i="3579" a="1"/>
  <c r="AC15" i="3579"/>
  <c r="AB15" i="3579" a="1"/>
  <c r="AB15" i="3579"/>
  <c r="AA15" i="3579" a="1"/>
  <c r="AA15" i="3579"/>
  <c r="Z15" i="3579" a="1"/>
  <c r="Z15" i="3579"/>
  <c r="Y15" i="3579" a="1"/>
  <c r="Y15" i="3579"/>
  <c r="X15" i="3579" a="1"/>
  <c r="X15" i="3579"/>
  <c r="W15" i="3579" a="1"/>
  <c r="W15" i="3579"/>
  <c r="V15" i="3579" a="1"/>
  <c r="V15" i="3579"/>
  <c r="U15" i="3579"/>
  <c r="T15" i="3579"/>
  <c r="S15" i="3579"/>
  <c r="R15" i="3579"/>
  <c r="P15" i="3579" a="1"/>
  <c r="P15" i="3579"/>
  <c r="O15" i="3579" a="1"/>
  <c r="O15" i="3579"/>
  <c r="N15" i="3579" a="1"/>
  <c r="N15" i="3579"/>
  <c r="M15" i="3579" a="1"/>
  <c r="M15" i="3579"/>
  <c r="L15" i="3579" a="1"/>
  <c r="L15" i="3579"/>
  <c r="K15" i="3579" a="1"/>
  <c r="K15" i="3579"/>
  <c r="I15" i="3579" a="1"/>
  <c r="I15" i="3579"/>
  <c r="H15" i="3579" a="1"/>
  <c r="H15" i="3579"/>
  <c r="G15" i="3579" a="1"/>
  <c r="G15" i="3579"/>
  <c r="F15" i="3579" a="1"/>
  <c r="F15" i="3579"/>
  <c r="E15" i="3579" a="1"/>
  <c r="E15" i="3579"/>
  <c r="D15" i="3579" a="1"/>
  <c r="D15" i="3579"/>
  <c r="B15" i="3579" a="1"/>
  <c r="B15" i="3579"/>
  <c r="AJ14" i="3579" a="1"/>
  <c r="AJ14" i="3579"/>
  <c r="AI14" i="3579" a="1"/>
  <c r="AI14" i="3579"/>
  <c r="AH14" i="3579" a="1"/>
  <c r="AH14" i="3579"/>
  <c r="AG14" i="3579" a="1"/>
  <c r="AG14" i="3579"/>
  <c r="AF14" i="3579" a="1"/>
  <c r="AF14" i="3579"/>
  <c r="AE14" i="3579" a="1"/>
  <c r="AE14" i="3579"/>
  <c r="AC14" i="3579" a="1"/>
  <c r="AC14" i="3579"/>
  <c r="AB14" i="3579" a="1"/>
  <c r="AB14" i="3579"/>
  <c r="AA14" i="3579" a="1"/>
  <c r="AA14" i="3579"/>
  <c r="Z14" i="3579" a="1"/>
  <c r="Z14" i="3579"/>
  <c r="Y14" i="3579" a="1"/>
  <c r="Y14" i="3579"/>
  <c r="X14" i="3579" a="1"/>
  <c r="X14" i="3579"/>
  <c r="W14" i="3579" a="1"/>
  <c r="W14" i="3579"/>
  <c r="V14" i="3579" a="1"/>
  <c r="V14" i="3579"/>
  <c r="U14" i="3579"/>
  <c r="T14" i="3579"/>
  <c r="S14" i="3579"/>
  <c r="R14" i="3579"/>
  <c r="P14" i="3579" a="1"/>
  <c r="P14" i="3579"/>
  <c r="O14" i="3579" a="1"/>
  <c r="O14" i="3579"/>
  <c r="N14" i="3579" a="1"/>
  <c r="N14" i="3579"/>
  <c r="M14" i="3579" a="1"/>
  <c r="M14" i="3579"/>
  <c r="L14" i="3579" a="1"/>
  <c r="L14" i="3579"/>
  <c r="K14" i="3579" a="1"/>
  <c r="K14" i="3579"/>
  <c r="I14" i="3579" a="1"/>
  <c r="I14" i="3579"/>
  <c r="H14" i="3579" a="1"/>
  <c r="H14" i="3579"/>
  <c r="G14" i="3579" a="1"/>
  <c r="G14" i="3579"/>
  <c r="F14" i="3579" a="1"/>
  <c r="F14" i="3579"/>
  <c r="E14" i="3579" a="1"/>
  <c r="E14" i="3579"/>
  <c r="D14" i="3579" a="1"/>
  <c r="D14" i="3579"/>
  <c r="B14" i="3579" a="1"/>
  <c r="B14" i="3579"/>
  <c r="AJ13" i="3579" a="1"/>
  <c r="AJ13" i="3579"/>
  <c r="AI13" i="3579" a="1"/>
  <c r="AI13" i="3579"/>
  <c r="AH13" i="3579" a="1"/>
  <c r="AH13" i="3579"/>
  <c r="AG13" i="3579" a="1"/>
  <c r="AG13" i="3579"/>
  <c r="AF13" i="3579" a="1"/>
  <c r="AF13" i="3579"/>
  <c r="AE13" i="3579" a="1"/>
  <c r="AE13" i="3579"/>
  <c r="AC13" i="3579" a="1"/>
  <c r="AC13" i="3579"/>
  <c r="AB13" i="3579" a="1"/>
  <c r="AB13" i="3579"/>
  <c r="AA13" i="3579" a="1"/>
  <c r="AA13" i="3579"/>
  <c r="Z13" i="3579" a="1"/>
  <c r="Z13" i="3579"/>
  <c r="Y13" i="3579" a="1"/>
  <c r="Y13" i="3579"/>
  <c r="X13" i="3579" a="1"/>
  <c r="X13" i="3579"/>
  <c r="W13" i="3579" a="1"/>
  <c r="W13" i="3579"/>
  <c r="V13" i="3579" a="1"/>
  <c r="V13" i="3579"/>
  <c r="U13" i="3579"/>
  <c r="T13" i="3579"/>
  <c r="S13" i="3579"/>
  <c r="R13" i="3579"/>
  <c r="P13" i="3579" a="1"/>
  <c r="P13" i="3579"/>
  <c r="O13" i="3579" a="1"/>
  <c r="O13" i="3579"/>
  <c r="N13" i="3579" a="1"/>
  <c r="N13" i="3579"/>
  <c r="M13" i="3579" a="1"/>
  <c r="M13" i="3579"/>
  <c r="L13" i="3579" a="1"/>
  <c r="L13" i="3579"/>
  <c r="K13" i="3579" a="1"/>
  <c r="K13" i="3579"/>
  <c r="I13" i="3579" a="1"/>
  <c r="I13" i="3579"/>
  <c r="H13" i="3579" a="1"/>
  <c r="H13" i="3579"/>
  <c r="G13" i="3579" a="1"/>
  <c r="G13" i="3579"/>
  <c r="F13" i="3579" a="1"/>
  <c r="F13" i="3579"/>
  <c r="E13" i="3579" a="1"/>
  <c r="E13" i="3579"/>
  <c r="D13" i="3579" a="1"/>
  <c r="D13" i="3579"/>
  <c r="B13" i="3579" a="1"/>
  <c r="B13" i="3579"/>
  <c r="AJ12" i="3579" a="1"/>
  <c r="AJ12" i="3579"/>
  <c r="AI12" i="3579" a="1"/>
  <c r="AI12" i="3579"/>
  <c r="AH12" i="3579" a="1"/>
  <c r="AH12" i="3579"/>
  <c r="AG12" i="3579" a="1"/>
  <c r="AG12" i="3579"/>
  <c r="AF12" i="3579" a="1"/>
  <c r="AF12" i="3579"/>
  <c r="AE12" i="3579" a="1"/>
  <c r="AE12" i="3579"/>
  <c r="AC12" i="3579" a="1"/>
  <c r="AC12" i="3579"/>
  <c r="AB12" i="3579" a="1"/>
  <c r="AB12" i="3579"/>
  <c r="AA12" i="3579" a="1"/>
  <c r="AA12" i="3579"/>
  <c r="Z12" i="3579" a="1"/>
  <c r="Z12" i="3579"/>
  <c r="Y12" i="3579" a="1"/>
  <c r="Y12" i="3579"/>
  <c r="X12" i="3579" a="1"/>
  <c r="X12" i="3579"/>
  <c r="W12" i="3579" a="1"/>
  <c r="W12" i="3579"/>
  <c r="V12" i="3579" a="1"/>
  <c r="V12" i="3579"/>
  <c r="U12" i="3579"/>
  <c r="T12" i="3579"/>
  <c r="S12" i="3579"/>
  <c r="R12" i="3579"/>
  <c r="P12" i="3579" a="1"/>
  <c r="P12" i="3579"/>
  <c r="O12" i="3579" a="1"/>
  <c r="O12" i="3579"/>
  <c r="N12" i="3579" a="1"/>
  <c r="N12" i="3579"/>
  <c r="M12" i="3579" a="1"/>
  <c r="M12" i="3579"/>
  <c r="L12" i="3579" a="1"/>
  <c r="L12" i="3579"/>
  <c r="K12" i="3579" a="1"/>
  <c r="K12" i="3579"/>
  <c r="I12" i="3579" a="1"/>
  <c r="I12" i="3579"/>
  <c r="H12" i="3579" a="1"/>
  <c r="H12" i="3579"/>
  <c r="G12" i="3579" a="1"/>
  <c r="G12" i="3579"/>
  <c r="F12" i="3579" a="1"/>
  <c r="F12" i="3579"/>
  <c r="E12" i="3579" a="1"/>
  <c r="E12" i="3579"/>
  <c r="D12" i="3579" a="1"/>
  <c r="D12" i="3579"/>
  <c r="B12" i="3579" a="1"/>
  <c r="B12" i="3579"/>
  <c r="AJ11" i="3579" a="1"/>
  <c r="AJ11" i="3579"/>
  <c r="AI11" i="3579" a="1"/>
  <c r="AI11" i="3579"/>
  <c r="AH11" i="3579" a="1"/>
  <c r="AH11" i="3579"/>
  <c r="AG11" i="3579" a="1"/>
  <c r="AG11" i="3579"/>
  <c r="AF11" i="3579" a="1"/>
  <c r="AF11" i="3579"/>
  <c r="AE11" i="3579" a="1"/>
  <c r="AE11" i="3579"/>
  <c r="AC11" i="3579" a="1"/>
  <c r="AC11" i="3579"/>
  <c r="AB11" i="3579" a="1"/>
  <c r="AB11" i="3579"/>
  <c r="AA11" i="3579" a="1"/>
  <c r="AA11" i="3579"/>
  <c r="Z11" i="3579" a="1"/>
  <c r="Z11" i="3579"/>
  <c r="Y11" i="3579" a="1"/>
  <c r="Y11" i="3579"/>
  <c r="X11" i="3579" a="1"/>
  <c r="X11" i="3579"/>
  <c r="W11" i="3579" a="1"/>
  <c r="W11" i="3579"/>
  <c r="V11" i="3579" a="1"/>
  <c r="V11" i="3579"/>
  <c r="U11" i="3579"/>
  <c r="T11" i="3579"/>
  <c r="S11" i="3579"/>
  <c r="R11" i="3579"/>
  <c r="P11" i="3579" a="1"/>
  <c r="P11" i="3579"/>
  <c r="O11" i="3579" a="1"/>
  <c r="O11" i="3579"/>
  <c r="N11" i="3579" a="1"/>
  <c r="N11" i="3579"/>
  <c r="M11" i="3579" a="1"/>
  <c r="M11" i="3579"/>
  <c r="L11" i="3579" a="1"/>
  <c r="L11" i="3579"/>
  <c r="K11" i="3579" a="1"/>
  <c r="K11" i="3579"/>
  <c r="I11" i="3579" a="1"/>
  <c r="I11" i="3579"/>
  <c r="H11" i="3579" a="1"/>
  <c r="H11" i="3579"/>
  <c r="G11" i="3579" a="1"/>
  <c r="G11" i="3579"/>
  <c r="F11" i="3579" a="1"/>
  <c r="F11" i="3579"/>
  <c r="E11" i="3579" a="1"/>
  <c r="E11" i="3579"/>
  <c r="D11" i="3579" a="1"/>
  <c r="D11" i="3579"/>
  <c r="B11" i="3579" a="1"/>
  <c r="B11" i="3579"/>
  <c r="AJ10" i="3579" a="1"/>
  <c r="AJ10" i="3579"/>
  <c r="AI10" i="3579" a="1"/>
  <c r="AI10" i="3579"/>
  <c r="AH10" i="3579" a="1"/>
  <c r="AH10" i="3579"/>
  <c r="AG10" i="3579" a="1"/>
  <c r="AG10" i="3579"/>
  <c r="AF10" i="3579" a="1"/>
  <c r="AF10" i="3579"/>
  <c r="AE10" i="3579" a="1"/>
  <c r="AE10" i="3579"/>
  <c r="AC10" i="3579" a="1"/>
  <c r="AC10" i="3579"/>
  <c r="AB10" i="3579" a="1"/>
  <c r="AB10" i="3579"/>
  <c r="AA10" i="3579" a="1"/>
  <c r="AA10" i="3579"/>
  <c r="Z10" i="3579" a="1"/>
  <c r="Z10" i="3579"/>
  <c r="Y10" i="3579" a="1"/>
  <c r="Y10" i="3579"/>
  <c r="X10" i="3579" a="1"/>
  <c r="X10" i="3579"/>
  <c r="W10" i="3579" a="1"/>
  <c r="W10" i="3579"/>
  <c r="V10" i="3579" a="1"/>
  <c r="V10" i="3579"/>
  <c r="U10" i="3579"/>
  <c r="T10" i="3579"/>
  <c r="S10" i="3579"/>
  <c r="R10" i="3579"/>
  <c r="P10" i="3579" a="1"/>
  <c r="P10" i="3579"/>
  <c r="O10" i="3579" a="1"/>
  <c r="O10" i="3579"/>
  <c r="N10" i="3579" a="1"/>
  <c r="N10" i="3579"/>
  <c r="M10" i="3579" a="1"/>
  <c r="M10" i="3579"/>
  <c r="L10" i="3579" a="1"/>
  <c r="L10" i="3579"/>
  <c r="K10" i="3579" a="1"/>
  <c r="K10" i="3579"/>
  <c r="I10" i="3579" a="1"/>
  <c r="I10" i="3579"/>
  <c r="H10" i="3579" a="1"/>
  <c r="H10" i="3579"/>
  <c r="G10" i="3579" a="1"/>
  <c r="G10" i="3579"/>
  <c r="F10" i="3579" a="1"/>
  <c r="F10" i="3579"/>
  <c r="E10" i="3579" a="1"/>
  <c r="E10" i="3579"/>
  <c r="D10" i="3579" a="1"/>
  <c r="D10" i="3579"/>
  <c r="B10" i="3579" a="1"/>
  <c r="B10" i="3579"/>
  <c r="AJ9" i="3579" a="1"/>
  <c r="AJ9" i="3579"/>
  <c r="AI9" i="3579" a="1"/>
  <c r="AI9" i="3579"/>
  <c r="AH9" i="3579" a="1"/>
  <c r="AH9" i="3579"/>
  <c r="AG9" i="3579" a="1"/>
  <c r="AG9" i="3579"/>
  <c r="AF9" i="3579" a="1"/>
  <c r="AF9" i="3579"/>
  <c r="AE9" i="3579" a="1"/>
  <c r="AE9" i="3579"/>
  <c r="AC9" i="3579" a="1"/>
  <c r="AC9" i="3579"/>
  <c r="AB9" i="3579" a="1"/>
  <c r="AB9" i="3579"/>
  <c r="AA9" i="3579" a="1"/>
  <c r="AA9" i="3579"/>
  <c r="Z9" i="3579" a="1"/>
  <c r="Z9" i="3579"/>
  <c r="Y9" i="3579" a="1"/>
  <c r="Y9" i="3579"/>
  <c r="X9" i="3579" a="1"/>
  <c r="X9" i="3579"/>
  <c r="W9" i="3579" a="1"/>
  <c r="W9" i="3579"/>
  <c r="V9" i="3579" a="1"/>
  <c r="V9" i="3579"/>
  <c r="U9" i="3579"/>
  <c r="T9" i="3579"/>
  <c r="S9" i="3579"/>
  <c r="R9" i="3579"/>
  <c r="P9" i="3579" a="1"/>
  <c r="P9" i="3579"/>
  <c r="O9" i="3579" a="1"/>
  <c r="O9" i="3579"/>
  <c r="N9" i="3579" a="1"/>
  <c r="N9" i="3579"/>
  <c r="M9" i="3579" a="1"/>
  <c r="M9" i="3579"/>
  <c r="L9" i="3579" a="1"/>
  <c r="L9" i="3579"/>
  <c r="K9" i="3579" a="1"/>
  <c r="K9" i="3579"/>
  <c r="I9" i="3579" a="1"/>
  <c r="I9" i="3579"/>
  <c r="H9" i="3579" a="1"/>
  <c r="H9" i="3579"/>
  <c r="G9" i="3579" a="1"/>
  <c r="G9" i="3579"/>
  <c r="F9" i="3579" a="1"/>
  <c r="F9" i="3579"/>
  <c r="E9" i="3579" a="1"/>
  <c r="E9" i="3579"/>
  <c r="D9" i="3579" a="1"/>
  <c r="D9" i="3579"/>
  <c r="B9" i="3579" a="1"/>
  <c r="B9" i="3579"/>
  <c r="P8" i="3579"/>
  <c r="O8" i="3579"/>
  <c r="N8" i="3579"/>
  <c r="M8" i="3579"/>
  <c r="L8" i="3579"/>
  <c r="K8" i="3579"/>
  <c r="I8" i="3579" a="1"/>
  <c r="I8" i="3579"/>
  <c r="H8" i="3579" a="1"/>
  <c r="H8" i="3579"/>
  <c r="G8" i="3579" a="1"/>
  <c r="G8" i="3579"/>
  <c r="F8" i="3579" a="1"/>
  <c r="F8" i="3579"/>
  <c r="E8" i="3579" a="1"/>
  <c r="E8" i="3579"/>
  <c r="D8" i="3579" a="1"/>
  <c r="D8" i="3579"/>
  <c r="I7" i="3579"/>
  <c r="H7" i="3579"/>
  <c r="G7" i="3579"/>
  <c r="F7" i="3579"/>
  <c r="E7" i="3579"/>
  <c r="D7" i="3579"/>
  <c r="AC6" i="3579"/>
  <c r="AB6" i="3579"/>
  <c r="AA6" i="3579"/>
  <c r="Z6" i="3579"/>
  <c r="Y6" i="3579"/>
  <c r="X6" i="3579"/>
  <c r="I5" i="3579"/>
  <c r="H5" i="3579"/>
  <c r="G5" i="3579"/>
  <c r="F5" i="3579"/>
  <c r="E5" i="3579"/>
  <c r="D5" i="3579"/>
  <c r="AG119" i="3577"/>
  <c r="AF119" i="3577"/>
  <c r="AC119" i="3577"/>
  <c r="AB119" i="3577"/>
  <c r="Y119" i="3577"/>
  <c r="X119" i="3577"/>
  <c r="V119" i="3577"/>
  <c r="U119" i="3577"/>
  <c r="R119" i="3577"/>
  <c r="Q119" i="3577"/>
  <c r="O119" i="3577"/>
  <c r="N119" i="3577"/>
  <c r="L119" i="3577" a="1"/>
  <c r="L119" i="3577"/>
  <c r="K119" i="3577" a="1"/>
  <c r="K119" i="3577"/>
  <c r="I119" i="3577" a="1"/>
  <c r="I119" i="3577"/>
  <c r="H119" i="3577" a="1"/>
  <c r="H119" i="3577"/>
  <c r="F119" i="3577"/>
  <c r="E119" i="3577"/>
  <c r="D119" i="3577" a="1"/>
  <c r="D119" i="3577"/>
  <c r="C119" i="3577" a="1"/>
  <c r="C119" i="3577"/>
  <c r="B119" i="3577" a="1"/>
  <c r="B119" i="3577"/>
  <c r="AG118" i="3577"/>
  <c r="AF118" i="3577"/>
  <c r="AC118" i="3577"/>
  <c r="AB118" i="3577"/>
  <c r="Y118" i="3577"/>
  <c r="X118" i="3577"/>
  <c r="V118" i="3577"/>
  <c r="U118" i="3577"/>
  <c r="R118" i="3577"/>
  <c r="Q118" i="3577"/>
  <c r="O118" i="3577"/>
  <c r="N118" i="3577"/>
  <c r="L118" i="3577" a="1"/>
  <c r="L118" i="3577"/>
  <c r="K118" i="3577" a="1"/>
  <c r="K118" i="3577"/>
  <c r="I118" i="3577" a="1"/>
  <c r="I118" i="3577"/>
  <c r="H118" i="3577" a="1"/>
  <c r="H118" i="3577"/>
  <c r="F118" i="3577"/>
  <c r="E118" i="3577"/>
  <c r="D118" i="3577" a="1"/>
  <c r="D118" i="3577"/>
  <c r="C118" i="3577" a="1"/>
  <c r="C118" i="3577"/>
  <c r="B118" i="3577" a="1"/>
  <c r="B118" i="3577"/>
  <c r="AG117" i="3577"/>
  <c r="AF117" i="3577"/>
  <c r="AC117" i="3577"/>
  <c r="AB117" i="3577"/>
  <c r="Y117" i="3577"/>
  <c r="X117" i="3577"/>
  <c r="V117" i="3577"/>
  <c r="U117" i="3577"/>
  <c r="R117" i="3577"/>
  <c r="Q117" i="3577"/>
  <c r="O117" i="3577"/>
  <c r="N117" i="3577"/>
  <c r="L117" i="3577" a="1"/>
  <c r="L117" i="3577"/>
  <c r="K117" i="3577" a="1"/>
  <c r="K117" i="3577"/>
  <c r="I117" i="3577" a="1"/>
  <c r="I117" i="3577"/>
  <c r="H117" i="3577" a="1"/>
  <c r="H117" i="3577"/>
  <c r="F117" i="3577"/>
  <c r="E117" i="3577"/>
  <c r="D117" i="3577" a="1"/>
  <c r="D117" i="3577"/>
  <c r="C117" i="3577" a="1"/>
  <c r="C117" i="3577"/>
  <c r="B117" i="3577" a="1"/>
  <c r="B117" i="3577"/>
  <c r="AG116" i="3577"/>
  <c r="AF116" i="3577"/>
  <c r="AC116" i="3577"/>
  <c r="AB116" i="3577"/>
  <c r="Y116" i="3577"/>
  <c r="X116" i="3577"/>
  <c r="V116" i="3577"/>
  <c r="U116" i="3577"/>
  <c r="R116" i="3577"/>
  <c r="Q116" i="3577"/>
  <c r="O116" i="3577"/>
  <c r="N116" i="3577"/>
  <c r="L116" i="3577" a="1"/>
  <c r="L116" i="3577"/>
  <c r="K116" i="3577" a="1"/>
  <c r="K116" i="3577"/>
  <c r="I116" i="3577" a="1"/>
  <c r="I116" i="3577"/>
  <c r="H116" i="3577" a="1"/>
  <c r="H116" i="3577"/>
  <c r="F116" i="3577"/>
  <c r="E116" i="3577"/>
  <c r="D116" i="3577" a="1"/>
  <c r="D116" i="3577"/>
  <c r="C116" i="3577" a="1"/>
  <c r="C116" i="3577"/>
  <c r="B116" i="3577" a="1"/>
  <c r="B116" i="3577"/>
  <c r="AG115" i="3577"/>
  <c r="AF115" i="3577"/>
  <c r="AC115" i="3577"/>
  <c r="AB115" i="3577"/>
  <c r="Y115" i="3577"/>
  <c r="X115" i="3577"/>
  <c r="V115" i="3577"/>
  <c r="U115" i="3577"/>
  <c r="R115" i="3577"/>
  <c r="Q115" i="3577"/>
  <c r="O115" i="3577"/>
  <c r="N115" i="3577"/>
  <c r="L115" i="3577" a="1"/>
  <c r="L115" i="3577"/>
  <c r="K115" i="3577" a="1"/>
  <c r="K115" i="3577"/>
  <c r="I115" i="3577" a="1"/>
  <c r="I115" i="3577"/>
  <c r="H115" i="3577" a="1"/>
  <c r="H115" i="3577"/>
  <c r="F115" i="3577"/>
  <c r="E115" i="3577"/>
  <c r="D115" i="3577" a="1"/>
  <c r="D115" i="3577"/>
  <c r="C115" i="3577" a="1"/>
  <c r="C115" i="3577"/>
  <c r="B115" i="3577" a="1"/>
  <c r="B115" i="3577"/>
  <c r="AG114" i="3577"/>
  <c r="AF114" i="3577"/>
  <c r="AC114" i="3577"/>
  <c r="AB114" i="3577"/>
  <c r="Y114" i="3577"/>
  <c r="X114" i="3577"/>
  <c r="V114" i="3577"/>
  <c r="U114" i="3577"/>
  <c r="R114" i="3577"/>
  <c r="Q114" i="3577"/>
  <c r="O114" i="3577"/>
  <c r="N114" i="3577"/>
  <c r="L114" i="3577" a="1"/>
  <c r="L114" i="3577"/>
  <c r="K114" i="3577" a="1"/>
  <c r="K114" i="3577"/>
  <c r="I114" i="3577" a="1"/>
  <c r="I114" i="3577"/>
  <c r="H114" i="3577" a="1"/>
  <c r="H114" i="3577"/>
  <c r="F114" i="3577"/>
  <c r="E114" i="3577"/>
  <c r="D114" i="3577" a="1"/>
  <c r="D114" i="3577"/>
  <c r="C114" i="3577" a="1"/>
  <c r="C114" i="3577"/>
  <c r="B114" i="3577" a="1"/>
  <c r="B114" i="3577"/>
  <c r="AG113" i="3577"/>
  <c r="AF113" i="3577"/>
  <c r="AC113" i="3577"/>
  <c r="AB113" i="3577"/>
  <c r="Y113" i="3577"/>
  <c r="X113" i="3577"/>
  <c r="V113" i="3577"/>
  <c r="U113" i="3577"/>
  <c r="R113" i="3577"/>
  <c r="Q113" i="3577"/>
  <c r="O113" i="3577"/>
  <c r="N113" i="3577"/>
  <c r="L113" i="3577" a="1"/>
  <c r="L113" i="3577"/>
  <c r="K113" i="3577" a="1"/>
  <c r="K113" i="3577"/>
  <c r="I113" i="3577" a="1"/>
  <c r="I113" i="3577"/>
  <c r="H113" i="3577" a="1"/>
  <c r="H113" i="3577"/>
  <c r="F113" i="3577"/>
  <c r="E113" i="3577"/>
  <c r="D113" i="3577" a="1"/>
  <c r="D113" i="3577"/>
  <c r="C113" i="3577" a="1"/>
  <c r="C113" i="3577"/>
  <c r="B113" i="3577" a="1"/>
  <c r="B113" i="3577"/>
  <c r="AG112" i="3577"/>
  <c r="AF112" i="3577"/>
  <c r="AC112" i="3577"/>
  <c r="AB112" i="3577"/>
  <c r="Y112" i="3577"/>
  <c r="X112" i="3577"/>
  <c r="V112" i="3577"/>
  <c r="U112" i="3577"/>
  <c r="R112" i="3577"/>
  <c r="Q112" i="3577"/>
  <c r="O112" i="3577"/>
  <c r="N112" i="3577"/>
  <c r="L112" i="3577" a="1"/>
  <c r="L112" i="3577"/>
  <c r="K112" i="3577" a="1"/>
  <c r="K112" i="3577"/>
  <c r="I112" i="3577" a="1"/>
  <c r="I112" i="3577"/>
  <c r="H112" i="3577" a="1"/>
  <c r="H112" i="3577"/>
  <c r="F112" i="3577"/>
  <c r="E112" i="3577"/>
  <c r="D112" i="3577" a="1"/>
  <c r="D112" i="3577"/>
  <c r="C112" i="3577" a="1"/>
  <c r="C112" i="3577"/>
  <c r="B112" i="3577" a="1"/>
  <c r="B112" i="3577"/>
  <c r="AG111" i="3577"/>
  <c r="AF111" i="3577"/>
  <c r="AC111" i="3577"/>
  <c r="AB111" i="3577"/>
  <c r="Y111" i="3577"/>
  <c r="X111" i="3577"/>
  <c r="V111" i="3577"/>
  <c r="U111" i="3577"/>
  <c r="R111" i="3577"/>
  <c r="Q111" i="3577"/>
  <c r="O111" i="3577"/>
  <c r="N111" i="3577"/>
  <c r="L111" i="3577" a="1"/>
  <c r="L111" i="3577"/>
  <c r="K111" i="3577" a="1"/>
  <c r="K111" i="3577"/>
  <c r="I111" i="3577" a="1"/>
  <c r="I111" i="3577"/>
  <c r="H111" i="3577" a="1"/>
  <c r="H111" i="3577"/>
  <c r="F111" i="3577"/>
  <c r="E111" i="3577"/>
  <c r="D111" i="3577" a="1"/>
  <c r="D111" i="3577"/>
  <c r="C111" i="3577" a="1"/>
  <c r="C111" i="3577"/>
  <c r="B111" i="3577" a="1"/>
  <c r="B111" i="3577"/>
  <c r="AG110" i="3577"/>
  <c r="AF110" i="3577"/>
  <c r="AC110" i="3577"/>
  <c r="AB110" i="3577"/>
  <c r="Y110" i="3577"/>
  <c r="X110" i="3577"/>
  <c r="V110" i="3577"/>
  <c r="U110" i="3577"/>
  <c r="R110" i="3577"/>
  <c r="Q110" i="3577"/>
  <c r="O110" i="3577"/>
  <c r="N110" i="3577"/>
  <c r="L110" i="3577" a="1"/>
  <c r="L110" i="3577"/>
  <c r="K110" i="3577" a="1"/>
  <c r="K110" i="3577"/>
  <c r="I110" i="3577" a="1"/>
  <c r="I110" i="3577"/>
  <c r="H110" i="3577" a="1"/>
  <c r="H110" i="3577"/>
  <c r="F110" i="3577"/>
  <c r="E110" i="3577"/>
  <c r="D110" i="3577" a="1"/>
  <c r="D110" i="3577"/>
  <c r="C110" i="3577" a="1"/>
  <c r="C110" i="3577"/>
  <c r="B110" i="3577" a="1"/>
  <c r="B110" i="3577"/>
  <c r="AG109" i="3577"/>
  <c r="AF109" i="3577"/>
  <c r="AC109" i="3577"/>
  <c r="AB109" i="3577"/>
  <c r="Y109" i="3577"/>
  <c r="X109" i="3577"/>
  <c r="V109" i="3577"/>
  <c r="U109" i="3577"/>
  <c r="R109" i="3577"/>
  <c r="Q109" i="3577"/>
  <c r="O109" i="3577"/>
  <c r="N109" i="3577"/>
  <c r="L109" i="3577" a="1"/>
  <c r="L109" i="3577"/>
  <c r="K109" i="3577" a="1"/>
  <c r="K109" i="3577"/>
  <c r="I109" i="3577" a="1"/>
  <c r="I109" i="3577"/>
  <c r="H109" i="3577" a="1"/>
  <c r="H109" i="3577"/>
  <c r="F109" i="3577"/>
  <c r="E109" i="3577"/>
  <c r="D109" i="3577" a="1"/>
  <c r="D109" i="3577"/>
  <c r="C109" i="3577" a="1"/>
  <c r="C109" i="3577"/>
  <c r="B109" i="3577" a="1"/>
  <c r="B109" i="3577"/>
  <c r="AG108" i="3577"/>
  <c r="AF108" i="3577"/>
  <c r="AC108" i="3577"/>
  <c r="AB108" i="3577"/>
  <c r="Y108" i="3577"/>
  <c r="X108" i="3577"/>
  <c r="V108" i="3577"/>
  <c r="U108" i="3577"/>
  <c r="R108" i="3577"/>
  <c r="Q108" i="3577"/>
  <c r="O108" i="3577"/>
  <c r="N108" i="3577"/>
  <c r="L108" i="3577" a="1"/>
  <c r="L108" i="3577"/>
  <c r="K108" i="3577" a="1"/>
  <c r="K108" i="3577"/>
  <c r="I108" i="3577" a="1"/>
  <c r="I108" i="3577"/>
  <c r="H108" i="3577" a="1"/>
  <c r="H108" i="3577"/>
  <c r="F108" i="3577"/>
  <c r="E108" i="3577"/>
  <c r="D108" i="3577" a="1"/>
  <c r="D108" i="3577"/>
  <c r="C108" i="3577" a="1"/>
  <c r="C108" i="3577"/>
  <c r="B108" i="3577" a="1"/>
  <c r="B108" i="3577"/>
  <c r="AG107" i="3577"/>
  <c r="AF107" i="3577"/>
  <c r="AC107" i="3577"/>
  <c r="AB107" i="3577"/>
  <c r="Y107" i="3577"/>
  <c r="X107" i="3577"/>
  <c r="V107" i="3577"/>
  <c r="U107" i="3577"/>
  <c r="R107" i="3577"/>
  <c r="Q107" i="3577"/>
  <c r="O107" i="3577"/>
  <c r="N107" i="3577"/>
  <c r="L107" i="3577" a="1"/>
  <c r="L107" i="3577"/>
  <c r="K107" i="3577" a="1"/>
  <c r="K107" i="3577"/>
  <c r="I107" i="3577" a="1"/>
  <c r="I107" i="3577"/>
  <c r="H107" i="3577" a="1"/>
  <c r="H107" i="3577"/>
  <c r="F107" i="3577"/>
  <c r="E107" i="3577"/>
  <c r="D107" i="3577" a="1"/>
  <c r="D107" i="3577"/>
  <c r="C107" i="3577" a="1"/>
  <c r="C107" i="3577"/>
  <c r="B107" i="3577" a="1"/>
  <c r="B107" i="3577"/>
  <c r="AG106" i="3577"/>
  <c r="AF106" i="3577"/>
  <c r="AC106" i="3577"/>
  <c r="AB106" i="3577"/>
  <c r="Y106" i="3577"/>
  <c r="X106" i="3577"/>
  <c r="V106" i="3577"/>
  <c r="U106" i="3577"/>
  <c r="R106" i="3577"/>
  <c r="Q106" i="3577"/>
  <c r="O106" i="3577"/>
  <c r="N106" i="3577"/>
  <c r="L106" i="3577" a="1"/>
  <c r="L106" i="3577"/>
  <c r="K106" i="3577" a="1"/>
  <c r="K106" i="3577"/>
  <c r="I106" i="3577" a="1"/>
  <c r="I106" i="3577"/>
  <c r="H106" i="3577" a="1"/>
  <c r="H106" i="3577"/>
  <c r="F106" i="3577"/>
  <c r="E106" i="3577"/>
  <c r="D106" i="3577" a="1"/>
  <c r="D106" i="3577"/>
  <c r="C106" i="3577" a="1"/>
  <c r="C106" i="3577"/>
  <c r="B106" i="3577" a="1"/>
  <c r="B106" i="3577"/>
  <c r="AG105" i="3577"/>
  <c r="AF105" i="3577"/>
  <c r="AC105" i="3577"/>
  <c r="AB105" i="3577"/>
  <c r="Y105" i="3577"/>
  <c r="X105" i="3577"/>
  <c r="V105" i="3577"/>
  <c r="U105" i="3577"/>
  <c r="R105" i="3577"/>
  <c r="Q105" i="3577"/>
  <c r="O105" i="3577"/>
  <c r="N105" i="3577"/>
  <c r="L105" i="3577" a="1"/>
  <c r="L105" i="3577"/>
  <c r="K105" i="3577" a="1"/>
  <c r="K105" i="3577"/>
  <c r="I105" i="3577" a="1"/>
  <c r="I105" i="3577"/>
  <c r="H105" i="3577" a="1"/>
  <c r="H105" i="3577"/>
  <c r="F105" i="3577"/>
  <c r="E105" i="3577"/>
  <c r="D105" i="3577" a="1"/>
  <c r="D105" i="3577"/>
  <c r="C105" i="3577" a="1"/>
  <c r="C105" i="3577"/>
  <c r="B105" i="3577" a="1"/>
  <c r="B105" i="3577"/>
  <c r="AG104" i="3577"/>
  <c r="AF104" i="3577"/>
  <c r="AC104" i="3577"/>
  <c r="AB104" i="3577"/>
  <c r="Y104" i="3577"/>
  <c r="X104" i="3577"/>
  <c r="V104" i="3577"/>
  <c r="U104" i="3577"/>
  <c r="R104" i="3577"/>
  <c r="Q104" i="3577"/>
  <c r="O104" i="3577"/>
  <c r="N104" i="3577"/>
  <c r="L104" i="3577" a="1"/>
  <c r="L104" i="3577"/>
  <c r="K104" i="3577" a="1"/>
  <c r="K104" i="3577"/>
  <c r="I104" i="3577" a="1"/>
  <c r="I104" i="3577"/>
  <c r="H104" i="3577" a="1"/>
  <c r="H104" i="3577"/>
  <c r="F104" i="3577"/>
  <c r="E104" i="3577"/>
  <c r="D104" i="3577" a="1"/>
  <c r="D104" i="3577"/>
  <c r="C104" i="3577" a="1"/>
  <c r="C104" i="3577"/>
  <c r="B104" i="3577" a="1"/>
  <c r="B104" i="3577"/>
  <c r="AG103" i="3577"/>
  <c r="AF103" i="3577"/>
  <c r="AC103" i="3577"/>
  <c r="AB103" i="3577"/>
  <c r="Y103" i="3577"/>
  <c r="X103" i="3577"/>
  <c r="V103" i="3577"/>
  <c r="U103" i="3577"/>
  <c r="R103" i="3577"/>
  <c r="Q103" i="3577"/>
  <c r="O103" i="3577"/>
  <c r="N103" i="3577"/>
  <c r="L103" i="3577" a="1"/>
  <c r="L103" i="3577"/>
  <c r="K103" i="3577" a="1"/>
  <c r="K103" i="3577"/>
  <c r="I103" i="3577" a="1"/>
  <c r="I103" i="3577"/>
  <c r="H103" i="3577" a="1"/>
  <c r="H103" i="3577"/>
  <c r="F103" i="3577"/>
  <c r="E103" i="3577"/>
  <c r="D103" i="3577" a="1"/>
  <c r="D103" i="3577"/>
  <c r="C103" i="3577" a="1"/>
  <c r="C103" i="3577"/>
  <c r="B103" i="3577" a="1"/>
  <c r="B103" i="3577"/>
  <c r="AG102" i="3577"/>
  <c r="AF102" i="3577"/>
  <c r="AC102" i="3577"/>
  <c r="AB102" i="3577"/>
  <c r="Y102" i="3577"/>
  <c r="X102" i="3577"/>
  <c r="V102" i="3577"/>
  <c r="U102" i="3577"/>
  <c r="R102" i="3577"/>
  <c r="Q102" i="3577"/>
  <c r="O102" i="3577"/>
  <c r="N102" i="3577"/>
  <c r="L102" i="3577" a="1"/>
  <c r="L102" i="3577"/>
  <c r="K102" i="3577" a="1"/>
  <c r="K102" i="3577"/>
  <c r="I102" i="3577" a="1"/>
  <c r="I102" i="3577"/>
  <c r="H102" i="3577" a="1"/>
  <c r="H102" i="3577"/>
  <c r="F102" i="3577"/>
  <c r="E102" i="3577"/>
  <c r="D102" i="3577" a="1"/>
  <c r="D102" i="3577"/>
  <c r="C102" i="3577" a="1"/>
  <c r="C102" i="3577"/>
  <c r="B102" i="3577" a="1"/>
  <c r="B102" i="3577"/>
  <c r="AG101" i="3577"/>
  <c r="AF101" i="3577"/>
  <c r="AC101" i="3577"/>
  <c r="AB101" i="3577"/>
  <c r="Y101" i="3577"/>
  <c r="X101" i="3577"/>
  <c r="V101" i="3577"/>
  <c r="U101" i="3577"/>
  <c r="R101" i="3577"/>
  <c r="Q101" i="3577"/>
  <c r="O101" i="3577"/>
  <c r="N101" i="3577"/>
  <c r="L101" i="3577" a="1"/>
  <c r="L101" i="3577"/>
  <c r="K101" i="3577" a="1"/>
  <c r="K101" i="3577"/>
  <c r="I101" i="3577" a="1"/>
  <c r="I101" i="3577"/>
  <c r="H101" i="3577" a="1"/>
  <c r="H101" i="3577"/>
  <c r="F101" i="3577"/>
  <c r="E101" i="3577"/>
  <c r="D101" i="3577" a="1"/>
  <c r="D101" i="3577"/>
  <c r="C101" i="3577" a="1"/>
  <c r="C101" i="3577"/>
  <c r="B101" i="3577" a="1"/>
  <c r="B101" i="3577"/>
  <c r="AG100" i="3577"/>
  <c r="AF100" i="3577"/>
  <c r="AC100" i="3577"/>
  <c r="AB100" i="3577"/>
  <c r="Y100" i="3577"/>
  <c r="X100" i="3577"/>
  <c r="V100" i="3577"/>
  <c r="U100" i="3577"/>
  <c r="R100" i="3577"/>
  <c r="Q100" i="3577"/>
  <c r="O100" i="3577"/>
  <c r="N100" i="3577"/>
  <c r="L100" i="3577" a="1"/>
  <c r="L100" i="3577"/>
  <c r="K100" i="3577" a="1"/>
  <c r="K100" i="3577"/>
  <c r="I100" i="3577" a="1"/>
  <c r="I100" i="3577"/>
  <c r="H100" i="3577" a="1"/>
  <c r="H100" i="3577"/>
  <c r="F100" i="3577"/>
  <c r="E100" i="3577"/>
  <c r="D100" i="3577" a="1"/>
  <c r="D100" i="3577"/>
  <c r="C100" i="3577" a="1"/>
  <c r="C100" i="3577"/>
  <c r="B100" i="3577" a="1"/>
  <c r="B100" i="3577"/>
  <c r="AG99" i="3577"/>
  <c r="AF99" i="3577"/>
  <c r="AC99" i="3577"/>
  <c r="AB99" i="3577"/>
  <c r="Y99" i="3577"/>
  <c r="X99" i="3577"/>
  <c r="V99" i="3577"/>
  <c r="U99" i="3577"/>
  <c r="R99" i="3577"/>
  <c r="Q99" i="3577"/>
  <c r="O99" i="3577"/>
  <c r="N99" i="3577"/>
  <c r="L99" i="3577" a="1"/>
  <c r="L99" i="3577"/>
  <c r="K99" i="3577" a="1"/>
  <c r="K99" i="3577"/>
  <c r="I99" i="3577" a="1"/>
  <c r="I99" i="3577"/>
  <c r="H99" i="3577" a="1"/>
  <c r="H99" i="3577"/>
  <c r="F99" i="3577"/>
  <c r="E99" i="3577"/>
  <c r="D99" i="3577" a="1"/>
  <c r="D99" i="3577"/>
  <c r="C99" i="3577" a="1"/>
  <c r="C99" i="3577"/>
  <c r="B99" i="3577" a="1"/>
  <c r="B99" i="3577"/>
  <c r="AG98" i="3577"/>
  <c r="AF98" i="3577"/>
  <c r="AC98" i="3577"/>
  <c r="AB98" i="3577"/>
  <c r="Y98" i="3577"/>
  <c r="X98" i="3577"/>
  <c r="V98" i="3577"/>
  <c r="U98" i="3577"/>
  <c r="R98" i="3577"/>
  <c r="Q98" i="3577"/>
  <c r="O98" i="3577"/>
  <c r="N98" i="3577"/>
  <c r="L98" i="3577" a="1"/>
  <c r="L98" i="3577"/>
  <c r="K98" i="3577" a="1"/>
  <c r="K98" i="3577"/>
  <c r="I98" i="3577" a="1"/>
  <c r="I98" i="3577"/>
  <c r="H98" i="3577" a="1"/>
  <c r="H98" i="3577"/>
  <c r="F98" i="3577"/>
  <c r="E98" i="3577"/>
  <c r="D98" i="3577" a="1"/>
  <c r="D98" i="3577"/>
  <c r="C98" i="3577" a="1"/>
  <c r="C98" i="3577"/>
  <c r="B98" i="3577" a="1"/>
  <c r="B98" i="3577"/>
  <c r="AG97" i="3577"/>
  <c r="AF97" i="3577"/>
  <c r="AC97" i="3577"/>
  <c r="AB97" i="3577"/>
  <c r="Y97" i="3577"/>
  <c r="X97" i="3577"/>
  <c r="V97" i="3577"/>
  <c r="U97" i="3577"/>
  <c r="R97" i="3577"/>
  <c r="Q97" i="3577"/>
  <c r="O97" i="3577"/>
  <c r="N97" i="3577"/>
  <c r="L97" i="3577" a="1"/>
  <c r="L97" i="3577"/>
  <c r="K97" i="3577" a="1"/>
  <c r="K97" i="3577"/>
  <c r="I97" i="3577" a="1"/>
  <c r="I97" i="3577"/>
  <c r="H97" i="3577" a="1"/>
  <c r="H97" i="3577"/>
  <c r="F97" i="3577"/>
  <c r="E97" i="3577"/>
  <c r="D97" i="3577" a="1"/>
  <c r="D97" i="3577"/>
  <c r="C97" i="3577" a="1"/>
  <c r="C97" i="3577"/>
  <c r="B97" i="3577" a="1"/>
  <c r="B97" i="3577"/>
  <c r="AG96" i="3577"/>
  <c r="AF96" i="3577"/>
  <c r="AC96" i="3577"/>
  <c r="AB96" i="3577"/>
  <c r="Y96" i="3577"/>
  <c r="X96" i="3577"/>
  <c r="V96" i="3577"/>
  <c r="U96" i="3577"/>
  <c r="R96" i="3577"/>
  <c r="Q96" i="3577"/>
  <c r="O96" i="3577"/>
  <c r="N96" i="3577"/>
  <c r="L96" i="3577" a="1"/>
  <c r="L96" i="3577"/>
  <c r="K96" i="3577" a="1"/>
  <c r="K96" i="3577"/>
  <c r="I96" i="3577" a="1"/>
  <c r="I96" i="3577"/>
  <c r="H96" i="3577" a="1"/>
  <c r="H96" i="3577"/>
  <c r="F96" i="3577"/>
  <c r="E96" i="3577"/>
  <c r="D96" i="3577" a="1"/>
  <c r="D96" i="3577"/>
  <c r="C96" i="3577" a="1"/>
  <c r="C96" i="3577"/>
  <c r="B96" i="3577" a="1"/>
  <c r="B96" i="3577"/>
  <c r="AG95" i="3577"/>
  <c r="AF95" i="3577"/>
  <c r="AC95" i="3577"/>
  <c r="AB95" i="3577"/>
  <c r="Y95" i="3577"/>
  <c r="X95" i="3577"/>
  <c r="V95" i="3577"/>
  <c r="U95" i="3577"/>
  <c r="R95" i="3577"/>
  <c r="Q95" i="3577"/>
  <c r="O95" i="3577"/>
  <c r="N95" i="3577"/>
  <c r="L95" i="3577" a="1"/>
  <c r="L95" i="3577"/>
  <c r="K95" i="3577" a="1"/>
  <c r="K95" i="3577"/>
  <c r="I95" i="3577" a="1"/>
  <c r="I95" i="3577"/>
  <c r="H95" i="3577" a="1"/>
  <c r="H95" i="3577"/>
  <c r="F95" i="3577"/>
  <c r="E95" i="3577"/>
  <c r="D95" i="3577" a="1"/>
  <c r="D95" i="3577"/>
  <c r="C95" i="3577" a="1"/>
  <c r="C95" i="3577"/>
  <c r="B95" i="3577" a="1"/>
  <c r="B95" i="3577"/>
  <c r="AG94" i="3577"/>
  <c r="AF94" i="3577"/>
  <c r="AC94" i="3577"/>
  <c r="AB94" i="3577"/>
  <c r="Y94" i="3577"/>
  <c r="X94" i="3577"/>
  <c r="V94" i="3577"/>
  <c r="U94" i="3577"/>
  <c r="R94" i="3577"/>
  <c r="Q94" i="3577"/>
  <c r="O94" i="3577"/>
  <c r="N94" i="3577"/>
  <c r="L94" i="3577" a="1"/>
  <c r="L94" i="3577"/>
  <c r="K94" i="3577" a="1"/>
  <c r="K94" i="3577"/>
  <c r="I94" i="3577" a="1"/>
  <c r="I94" i="3577"/>
  <c r="H94" i="3577" a="1"/>
  <c r="H94" i="3577"/>
  <c r="F94" i="3577"/>
  <c r="E94" i="3577"/>
  <c r="D94" i="3577" a="1"/>
  <c r="D94" i="3577"/>
  <c r="C94" i="3577" a="1"/>
  <c r="C94" i="3577"/>
  <c r="B94" i="3577" a="1"/>
  <c r="B94" i="3577"/>
  <c r="AG93" i="3577"/>
  <c r="AF93" i="3577"/>
  <c r="AC93" i="3577"/>
  <c r="AB93" i="3577"/>
  <c r="Y93" i="3577"/>
  <c r="X93" i="3577"/>
  <c r="V93" i="3577"/>
  <c r="U93" i="3577"/>
  <c r="R93" i="3577"/>
  <c r="Q93" i="3577"/>
  <c r="O93" i="3577"/>
  <c r="N93" i="3577"/>
  <c r="L93" i="3577" a="1"/>
  <c r="L93" i="3577"/>
  <c r="K93" i="3577" a="1"/>
  <c r="K93" i="3577"/>
  <c r="I93" i="3577" a="1"/>
  <c r="I93" i="3577"/>
  <c r="H93" i="3577" a="1"/>
  <c r="H93" i="3577"/>
  <c r="F93" i="3577"/>
  <c r="E93" i="3577"/>
  <c r="D93" i="3577" a="1"/>
  <c r="D93" i="3577"/>
  <c r="C93" i="3577" a="1"/>
  <c r="C93" i="3577"/>
  <c r="B93" i="3577" a="1"/>
  <c r="B93" i="3577"/>
  <c r="AG92" i="3577"/>
  <c r="AF92" i="3577"/>
  <c r="AC92" i="3577"/>
  <c r="AB92" i="3577"/>
  <c r="Y92" i="3577"/>
  <c r="X92" i="3577"/>
  <c r="V92" i="3577"/>
  <c r="U92" i="3577"/>
  <c r="R92" i="3577"/>
  <c r="Q92" i="3577"/>
  <c r="O92" i="3577"/>
  <c r="N92" i="3577"/>
  <c r="L92" i="3577" a="1"/>
  <c r="L92" i="3577"/>
  <c r="K92" i="3577" a="1"/>
  <c r="K92" i="3577"/>
  <c r="I92" i="3577" a="1"/>
  <c r="I92" i="3577"/>
  <c r="H92" i="3577" a="1"/>
  <c r="H92" i="3577"/>
  <c r="F92" i="3577"/>
  <c r="E92" i="3577"/>
  <c r="D92" i="3577" a="1"/>
  <c r="D92" i="3577"/>
  <c r="C92" i="3577" a="1"/>
  <c r="C92" i="3577"/>
  <c r="B92" i="3577" a="1"/>
  <c r="B92" i="3577"/>
  <c r="B84" i="3577"/>
  <c r="B85" i="3577" s="1"/>
  <c r="B83" i="3577"/>
  <c r="B82" i="3577"/>
  <c r="B80" i="3577" a="1"/>
  <c r="B80" i="3577" s="1"/>
  <c r="B79" i="3577" a="1"/>
  <c r="B79" i="3577" s="1"/>
  <c r="B78" i="3577"/>
  <c r="B73" i="3577"/>
  <c r="B72" i="3577"/>
  <c r="B71" i="3577"/>
  <c r="B70" i="3577"/>
  <c r="B69" i="3577"/>
  <c r="B68" i="3577"/>
  <c r="B67" i="3577"/>
  <c r="B75" i="3577" s="1"/>
  <c r="B63" i="3577"/>
  <c r="B62" i="3577"/>
  <c r="B61" i="3577"/>
  <c r="B60" i="3577"/>
  <c r="B59" i="3577" a="1"/>
  <c r="B59" i="3577"/>
  <c r="B56" i="3577"/>
  <c r="B55" i="3577"/>
  <c r="B54" i="3577"/>
  <c r="B53" i="3577"/>
  <c r="B52" i="3577" a="1"/>
  <c r="B52" i="3577"/>
  <c r="B44" i="3577"/>
  <c r="B43" i="3577"/>
  <c r="B38" i="3577"/>
  <c r="B37" i="3577"/>
  <c r="B33" i="3577"/>
  <c r="B30" i="3577"/>
  <c r="B28" i="3577"/>
  <c r="B27" i="3577"/>
  <c r="B26" i="3577"/>
  <c r="B22" i="3577"/>
  <c r="B21" i="3577"/>
  <c r="B20" i="3577"/>
  <c r="B19" i="3577"/>
  <c r="B18" i="3577"/>
  <c r="B17" i="3577"/>
  <c r="B16" i="3577"/>
  <c r="B15" i="3577"/>
  <c r="B14" i="3577"/>
  <c r="B13" i="3577"/>
  <c r="B12" i="3577"/>
  <c r="B10" i="3577"/>
  <c r="B8" i="3577"/>
  <c r="B4" i="3577"/>
  <c r="G3" i="3577"/>
  <c r="D3" i="3577" a="1"/>
  <c r="D3" i="3577"/>
  <c r="C3" i="3577" a="1"/>
  <c r="C3" i="3577"/>
  <c r="B3" i="3577"/>
  <c r="G2" i="3577"/>
  <c r="D2" i="3577" a="1"/>
  <c r="D2" i="3577"/>
  <c r="C2" i="3577" a="1"/>
  <c r="C2" i="3577"/>
  <c r="B2" i="3577"/>
  <c r="BM292" i="3564"/>
  <c r="BC292" i="3564"/>
  <c r="AX292" i="3564" a="1"/>
  <c r="AX292" i="3564"/>
  <c r="AW292" i="3564" a="1"/>
  <c r="AW292" i="3564"/>
  <c r="AV292" i="3564"/>
  <c r="AF292" i="3564"/>
  <c r="W292" i="3564"/>
  <c r="S292" i="3564" a="1"/>
  <c r="S292" i="3564"/>
  <c r="R292" i="3564"/>
  <c r="H292" i="3564" a="1"/>
  <c r="H292" i="3564"/>
  <c r="G292" i="3564" a="1"/>
  <c r="G292" i="3564"/>
  <c r="F292" i="3564" a="1"/>
  <c r="F292" i="3564"/>
  <c r="E292" i="3564" a="1"/>
  <c r="E292" i="3564"/>
  <c r="D292" i="3564" a="1"/>
  <c r="D292" i="3564"/>
  <c r="C292" i="3564" a="1"/>
  <c r="C292" i="3564"/>
  <c r="A292" i="3564"/>
  <c r="BM291" i="3564"/>
  <c r="BC291" i="3564"/>
  <c r="AX291" i="3564" a="1"/>
  <c r="AX291" i="3564"/>
  <c r="AW291" i="3564" a="1"/>
  <c r="AW291" i="3564"/>
  <c r="AV291" i="3564"/>
  <c r="AF291" i="3564"/>
  <c r="W291" i="3564"/>
  <c r="S291" i="3564" a="1"/>
  <c r="S291" i="3564"/>
  <c r="R291" i="3564"/>
  <c r="H291" i="3564" a="1"/>
  <c r="H291" i="3564"/>
  <c r="G291" i="3564" a="1"/>
  <c r="G291" i="3564"/>
  <c r="F291" i="3564" a="1"/>
  <c r="F291" i="3564"/>
  <c r="E291" i="3564" a="1"/>
  <c r="E291" i="3564"/>
  <c r="D291" i="3564" a="1"/>
  <c r="D291" i="3564"/>
  <c r="C291" i="3564" a="1"/>
  <c r="C291" i="3564"/>
  <c r="A291" i="3564"/>
  <c r="BM290" i="3564"/>
  <c r="BC290" i="3564"/>
  <c r="AX290" i="3564" a="1"/>
  <c r="AX290" i="3564"/>
  <c r="AW290" i="3564" a="1"/>
  <c r="AW290" i="3564"/>
  <c r="AV290" i="3564"/>
  <c r="AF290" i="3564"/>
  <c r="W290" i="3564"/>
  <c r="S290" i="3564" a="1"/>
  <c r="S290" i="3564"/>
  <c r="R290" i="3564"/>
  <c r="H290" i="3564" a="1"/>
  <c r="H290" i="3564"/>
  <c r="G290" i="3564" a="1"/>
  <c r="G290" i="3564"/>
  <c r="F290" i="3564" a="1"/>
  <c r="F290" i="3564"/>
  <c r="E290" i="3564" a="1"/>
  <c r="E290" i="3564"/>
  <c r="D290" i="3564" a="1"/>
  <c r="D290" i="3564"/>
  <c r="C290" i="3564" a="1"/>
  <c r="C290" i="3564"/>
  <c r="A290" i="3564"/>
  <c r="BM289" i="3564"/>
  <c r="BC289" i="3564"/>
  <c r="AX289" i="3564" a="1"/>
  <c r="AX289" i="3564"/>
  <c r="AW289" i="3564" a="1"/>
  <c r="AW289" i="3564"/>
  <c r="AV289" i="3564"/>
  <c r="AF289" i="3564"/>
  <c r="W289" i="3564"/>
  <c r="S289" i="3564" a="1"/>
  <c r="S289" i="3564"/>
  <c r="R289" i="3564"/>
  <c r="H289" i="3564" a="1"/>
  <c r="H289" i="3564"/>
  <c r="G289" i="3564" a="1"/>
  <c r="G289" i="3564"/>
  <c r="F289" i="3564" a="1"/>
  <c r="F289" i="3564"/>
  <c r="E289" i="3564" a="1"/>
  <c r="E289" i="3564"/>
  <c r="D289" i="3564" a="1"/>
  <c r="D289" i="3564"/>
  <c r="C289" i="3564" a="1"/>
  <c r="C289" i="3564"/>
  <c r="A289" i="3564"/>
  <c r="BM288" i="3564"/>
  <c r="BC288" i="3564"/>
  <c r="AX288" i="3564" a="1"/>
  <c r="AX288" i="3564"/>
  <c r="AW288" i="3564" a="1"/>
  <c r="AW288" i="3564"/>
  <c r="AV288" i="3564"/>
  <c r="AF288" i="3564"/>
  <c r="W288" i="3564"/>
  <c r="S288" i="3564" a="1"/>
  <c r="S288" i="3564"/>
  <c r="R288" i="3564"/>
  <c r="H288" i="3564" a="1"/>
  <c r="H288" i="3564"/>
  <c r="G288" i="3564" a="1"/>
  <c r="G288" i="3564"/>
  <c r="F288" i="3564" a="1"/>
  <c r="F288" i="3564"/>
  <c r="E288" i="3564" a="1"/>
  <c r="E288" i="3564"/>
  <c r="D288" i="3564" a="1"/>
  <c r="D288" i="3564"/>
  <c r="C288" i="3564" a="1"/>
  <c r="C288" i="3564"/>
  <c r="A288" i="3564"/>
  <c r="BM287" i="3564"/>
  <c r="BC287" i="3564"/>
  <c r="AX287" i="3564" a="1"/>
  <c r="AX287" i="3564"/>
  <c r="AW287" i="3564" a="1"/>
  <c r="AW287" i="3564"/>
  <c r="AV287" i="3564"/>
  <c r="AF287" i="3564"/>
  <c r="W287" i="3564"/>
  <c r="S287" i="3564" a="1"/>
  <c r="S287" i="3564"/>
  <c r="R287" i="3564"/>
  <c r="H287" i="3564" a="1"/>
  <c r="H287" i="3564"/>
  <c r="G287" i="3564" a="1"/>
  <c r="G287" i="3564"/>
  <c r="F287" i="3564" a="1"/>
  <c r="F287" i="3564"/>
  <c r="E287" i="3564" a="1"/>
  <c r="E287" i="3564"/>
  <c r="D287" i="3564" a="1"/>
  <c r="D287" i="3564"/>
  <c r="C287" i="3564" a="1"/>
  <c r="C287" i="3564"/>
  <c r="A287" i="3564"/>
  <c r="BM286" i="3564"/>
  <c r="BC286" i="3564"/>
  <c r="AX286" i="3564" a="1"/>
  <c r="AX286" i="3564"/>
  <c r="AW286" i="3564" a="1"/>
  <c r="AW286" i="3564"/>
  <c r="AV286" i="3564"/>
  <c r="AF286" i="3564"/>
  <c r="W286" i="3564"/>
  <c r="S286" i="3564" a="1"/>
  <c r="S286" i="3564"/>
  <c r="R286" i="3564"/>
  <c r="H286" i="3564" a="1"/>
  <c r="H286" i="3564"/>
  <c r="G286" i="3564" a="1"/>
  <c r="G286" i="3564"/>
  <c r="F286" i="3564" a="1"/>
  <c r="F286" i="3564"/>
  <c r="E286" i="3564" a="1"/>
  <c r="E286" i="3564"/>
  <c r="D286" i="3564" a="1"/>
  <c r="D286" i="3564"/>
  <c r="C286" i="3564" a="1"/>
  <c r="C286" i="3564"/>
  <c r="A286" i="3564"/>
  <c r="BM285" i="3564"/>
  <c r="BC285" i="3564"/>
  <c r="AX285" i="3564" a="1"/>
  <c r="AX285" i="3564"/>
  <c r="AW285" i="3564" a="1"/>
  <c r="AW285" i="3564"/>
  <c r="AV285" i="3564"/>
  <c r="AF285" i="3564"/>
  <c r="W285" i="3564"/>
  <c r="S285" i="3564" a="1"/>
  <c r="S285" i="3564"/>
  <c r="R285" i="3564"/>
  <c r="H285" i="3564" a="1"/>
  <c r="H285" i="3564"/>
  <c r="G285" i="3564" a="1"/>
  <c r="G285" i="3564"/>
  <c r="F285" i="3564" a="1"/>
  <c r="F285" i="3564"/>
  <c r="E285" i="3564" a="1"/>
  <c r="E285" i="3564"/>
  <c r="D285" i="3564" a="1"/>
  <c r="D285" i="3564"/>
  <c r="C285" i="3564" a="1"/>
  <c r="C285" i="3564"/>
  <c r="A285" i="3564"/>
  <c r="BM284" i="3564"/>
  <c r="BC284" i="3564"/>
  <c r="AX284" i="3564" a="1"/>
  <c r="AX284" i="3564"/>
  <c r="AW284" i="3564" a="1"/>
  <c r="AW284" i="3564"/>
  <c r="AV284" i="3564"/>
  <c r="AF284" i="3564"/>
  <c r="W284" i="3564"/>
  <c r="S284" i="3564" a="1"/>
  <c r="S284" i="3564"/>
  <c r="R284" i="3564"/>
  <c r="H284" i="3564" a="1"/>
  <c r="H284" i="3564"/>
  <c r="G284" i="3564" a="1"/>
  <c r="G284" i="3564"/>
  <c r="F284" i="3564" a="1"/>
  <c r="F284" i="3564"/>
  <c r="E284" i="3564" a="1"/>
  <c r="E284" i="3564"/>
  <c r="D284" i="3564" a="1"/>
  <c r="D284" i="3564"/>
  <c r="C284" i="3564" a="1"/>
  <c r="C284" i="3564"/>
  <c r="A284" i="3564"/>
  <c r="BM283" i="3564"/>
  <c r="BC283" i="3564"/>
  <c r="AX283" i="3564" a="1"/>
  <c r="AX283" i="3564"/>
  <c r="AW283" i="3564" a="1"/>
  <c r="AW283" i="3564"/>
  <c r="AV283" i="3564"/>
  <c r="AF283" i="3564"/>
  <c r="W283" i="3564"/>
  <c r="S283" i="3564" a="1"/>
  <c r="S283" i="3564"/>
  <c r="R283" i="3564"/>
  <c r="H283" i="3564" a="1"/>
  <c r="H283" i="3564"/>
  <c r="G283" i="3564" a="1"/>
  <c r="G283" i="3564"/>
  <c r="F283" i="3564" a="1"/>
  <c r="F283" i="3564"/>
  <c r="E283" i="3564" a="1"/>
  <c r="E283" i="3564"/>
  <c r="D283" i="3564" a="1"/>
  <c r="D283" i="3564"/>
  <c r="C283" i="3564" a="1"/>
  <c r="C283" i="3564"/>
  <c r="A283" i="3564"/>
  <c r="BM282" i="3564"/>
  <c r="BC282" i="3564"/>
  <c r="AX282" i="3564" a="1"/>
  <c r="AX282" i="3564"/>
  <c r="AW282" i="3564" a="1"/>
  <c r="AW282" i="3564"/>
  <c r="AV282" i="3564"/>
  <c r="AF282" i="3564"/>
  <c r="W282" i="3564"/>
  <c r="S282" i="3564" a="1"/>
  <c r="S282" i="3564"/>
  <c r="R282" i="3564"/>
  <c r="H282" i="3564" a="1"/>
  <c r="H282" i="3564"/>
  <c r="G282" i="3564" a="1"/>
  <c r="G282" i="3564"/>
  <c r="F282" i="3564" a="1"/>
  <c r="F282" i="3564"/>
  <c r="E282" i="3564" a="1"/>
  <c r="E282" i="3564"/>
  <c r="D282" i="3564" a="1"/>
  <c r="D282" i="3564"/>
  <c r="C282" i="3564" a="1"/>
  <c r="C282" i="3564"/>
  <c r="A282" i="3564"/>
  <c r="BM281" i="3564"/>
  <c r="BC281" i="3564"/>
  <c r="AX281" i="3564" a="1"/>
  <c r="AX281" i="3564"/>
  <c r="AW281" i="3564" a="1"/>
  <c r="AW281" i="3564"/>
  <c r="AV281" i="3564"/>
  <c r="AF281" i="3564"/>
  <c r="W281" i="3564"/>
  <c r="S281" i="3564" a="1"/>
  <c r="S281" i="3564"/>
  <c r="R281" i="3564"/>
  <c r="H281" i="3564" a="1"/>
  <c r="H281" i="3564"/>
  <c r="G281" i="3564" a="1"/>
  <c r="G281" i="3564"/>
  <c r="F281" i="3564" a="1"/>
  <c r="F281" i="3564"/>
  <c r="E281" i="3564" a="1"/>
  <c r="E281" i="3564"/>
  <c r="D281" i="3564" a="1"/>
  <c r="D281" i="3564"/>
  <c r="C281" i="3564" a="1"/>
  <c r="C281" i="3564"/>
  <c r="A281" i="3564"/>
  <c r="BM280" i="3564"/>
  <c r="BC280" i="3564"/>
  <c r="AX280" i="3564" a="1"/>
  <c r="AX280" i="3564"/>
  <c r="AW280" i="3564" a="1"/>
  <c r="AW280" i="3564"/>
  <c r="AV280" i="3564"/>
  <c r="AF280" i="3564"/>
  <c r="W280" i="3564"/>
  <c r="S280" i="3564" a="1"/>
  <c r="S280" i="3564"/>
  <c r="R280" i="3564"/>
  <c r="H280" i="3564" a="1"/>
  <c r="H280" i="3564"/>
  <c r="G280" i="3564" a="1"/>
  <c r="G280" i="3564"/>
  <c r="F280" i="3564" a="1"/>
  <c r="F280" i="3564"/>
  <c r="E280" i="3564" a="1"/>
  <c r="E280" i="3564"/>
  <c r="D280" i="3564" a="1"/>
  <c r="D280" i="3564"/>
  <c r="C280" i="3564" a="1"/>
  <c r="C280" i="3564"/>
  <c r="A280" i="3564"/>
  <c r="BM279" i="3564"/>
  <c r="BC279" i="3564"/>
  <c r="AX279" i="3564" a="1"/>
  <c r="AX279" i="3564"/>
  <c r="AW279" i="3564" a="1"/>
  <c r="AW279" i="3564"/>
  <c r="AV279" i="3564"/>
  <c r="AF279" i="3564"/>
  <c r="W279" i="3564"/>
  <c r="S279" i="3564" a="1"/>
  <c r="S279" i="3564"/>
  <c r="R279" i="3564"/>
  <c r="H279" i="3564" a="1"/>
  <c r="H279" i="3564"/>
  <c r="G279" i="3564" a="1"/>
  <c r="G279" i="3564"/>
  <c r="F279" i="3564" a="1"/>
  <c r="F279" i="3564"/>
  <c r="E279" i="3564" a="1"/>
  <c r="E279" i="3564"/>
  <c r="D279" i="3564" a="1"/>
  <c r="D279" i="3564"/>
  <c r="C279" i="3564" a="1"/>
  <c r="C279" i="3564"/>
  <c r="A279" i="3564"/>
  <c r="BM278" i="3564"/>
  <c r="BC278" i="3564"/>
  <c r="AX278" i="3564" a="1"/>
  <c r="AX278" i="3564"/>
  <c r="AW278" i="3564" a="1"/>
  <c r="AW278" i="3564"/>
  <c r="AV278" i="3564"/>
  <c r="AF278" i="3564"/>
  <c r="W278" i="3564"/>
  <c r="S278" i="3564" a="1"/>
  <c r="S278" i="3564"/>
  <c r="R278" i="3564"/>
  <c r="H278" i="3564" a="1"/>
  <c r="H278" i="3564"/>
  <c r="G278" i="3564" a="1"/>
  <c r="G278" i="3564"/>
  <c r="F278" i="3564" a="1"/>
  <c r="F278" i="3564"/>
  <c r="E278" i="3564" a="1"/>
  <c r="E278" i="3564"/>
  <c r="D278" i="3564" a="1"/>
  <c r="D278" i="3564"/>
  <c r="C278" i="3564" a="1"/>
  <c r="C278" i="3564"/>
  <c r="A278" i="3564"/>
  <c r="BM277" i="3564"/>
  <c r="BC277" i="3564"/>
  <c r="AX277" i="3564" a="1"/>
  <c r="AX277" i="3564"/>
  <c r="AW277" i="3564" a="1"/>
  <c r="AW277" i="3564"/>
  <c r="AV277" i="3564"/>
  <c r="AF277" i="3564"/>
  <c r="W277" i="3564"/>
  <c r="S277" i="3564" a="1"/>
  <c r="S277" i="3564"/>
  <c r="R277" i="3564"/>
  <c r="H277" i="3564" a="1"/>
  <c r="H277" i="3564"/>
  <c r="G277" i="3564" a="1"/>
  <c r="G277" i="3564"/>
  <c r="F277" i="3564" a="1"/>
  <c r="F277" i="3564"/>
  <c r="E277" i="3564" a="1"/>
  <c r="E277" i="3564"/>
  <c r="D277" i="3564" a="1"/>
  <c r="D277" i="3564"/>
  <c r="C277" i="3564" a="1"/>
  <c r="C277" i="3564"/>
  <c r="A277" i="3564"/>
  <c r="BM276" i="3564"/>
  <c r="BC276" i="3564"/>
  <c r="AX276" i="3564" a="1"/>
  <c r="AX276" i="3564"/>
  <c r="AW276" i="3564" a="1"/>
  <c r="AW276" i="3564"/>
  <c r="AV276" i="3564"/>
  <c r="AF276" i="3564"/>
  <c r="W276" i="3564"/>
  <c r="S276" i="3564" a="1"/>
  <c r="S276" i="3564"/>
  <c r="R276" i="3564"/>
  <c r="H276" i="3564" a="1"/>
  <c r="H276" i="3564"/>
  <c r="G276" i="3564" a="1"/>
  <c r="G276" i="3564"/>
  <c r="F276" i="3564" a="1"/>
  <c r="F276" i="3564"/>
  <c r="E276" i="3564" a="1"/>
  <c r="E276" i="3564"/>
  <c r="D276" i="3564" a="1"/>
  <c r="D276" i="3564"/>
  <c r="C276" i="3564" a="1"/>
  <c r="C276" i="3564"/>
  <c r="A276" i="3564"/>
  <c r="BM275" i="3564"/>
  <c r="BC275" i="3564"/>
  <c r="AX275" i="3564" a="1"/>
  <c r="AX275" i="3564"/>
  <c r="AW275" i="3564" a="1"/>
  <c r="AW275" i="3564"/>
  <c r="AV275" i="3564"/>
  <c r="AF275" i="3564"/>
  <c r="W275" i="3564"/>
  <c r="S275" i="3564" a="1"/>
  <c r="S275" i="3564"/>
  <c r="R275" i="3564"/>
  <c r="H275" i="3564" a="1"/>
  <c r="H275" i="3564"/>
  <c r="G275" i="3564" a="1"/>
  <c r="G275" i="3564"/>
  <c r="F275" i="3564" a="1"/>
  <c r="F275" i="3564"/>
  <c r="E275" i="3564" a="1"/>
  <c r="E275" i="3564"/>
  <c r="D275" i="3564" a="1"/>
  <c r="D275" i="3564"/>
  <c r="C275" i="3564" a="1"/>
  <c r="C275" i="3564"/>
  <c r="A275" i="3564"/>
  <c r="BM274" i="3564"/>
  <c r="BC274" i="3564"/>
  <c r="AX274" i="3564" a="1"/>
  <c r="AX274" i="3564"/>
  <c r="AW274" i="3564" a="1"/>
  <c r="AW274" i="3564"/>
  <c r="AV274" i="3564"/>
  <c r="AF274" i="3564"/>
  <c r="W274" i="3564"/>
  <c r="S274" i="3564" a="1"/>
  <c r="S274" i="3564"/>
  <c r="R274" i="3564"/>
  <c r="H274" i="3564" a="1"/>
  <c r="H274" i="3564"/>
  <c r="G274" i="3564" a="1"/>
  <c r="G274" i="3564"/>
  <c r="F274" i="3564" a="1"/>
  <c r="F274" i="3564"/>
  <c r="E274" i="3564" a="1"/>
  <c r="E274" i="3564"/>
  <c r="D274" i="3564" a="1"/>
  <c r="D274" i="3564"/>
  <c r="C274" i="3564" a="1"/>
  <c r="C274" i="3564"/>
  <c r="A274" i="3564"/>
  <c r="BM273" i="3564"/>
  <c r="BC273" i="3564"/>
  <c r="AX273" i="3564" a="1"/>
  <c r="AX273" i="3564"/>
  <c r="AW273" i="3564" a="1"/>
  <c r="AW273" i="3564"/>
  <c r="AV273" i="3564"/>
  <c r="AF273" i="3564"/>
  <c r="W273" i="3564"/>
  <c r="S273" i="3564" a="1"/>
  <c r="S273" i="3564"/>
  <c r="R273" i="3564"/>
  <c r="H273" i="3564" a="1"/>
  <c r="H273" i="3564"/>
  <c r="G273" i="3564" a="1"/>
  <c r="G273" i="3564"/>
  <c r="F273" i="3564" a="1"/>
  <c r="F273" i="3564"/>
  <c r="E273" i="3564" a="1"/>
  <c r="E273" i="3564"/>
  <c r="D273" i="3564" a="1"/>
  <c r="D273" i="3564"/>
  <c r="C273" i="3564" a="1"/>
  <c r="C273" i="3564"/>
  <c r="A273" i="3564"/>
  <c r="BM272" i="3564"/>
  <c r="BC272" i="3564"/>
  <c r="AX272" i="3564" a="1"/>
  <c r="AX272" i="3564"/>
  <c r="AW272" i="3564" a="1"/>
  <c r="AW272" i="3564"/>
  <c r="AV272" i="3564"/>
  <c r="AF272" i="3564"/>
  <c r="W272" i="3564"/>
  <c r="S272" i="3564" a="1"/>
  <c r="S272" i="3564"/>
  <c r="R272" i="3564"/>
  <c r="H272" i="3564" a="1"/>
  <c r="H272" i="3564"/>
  <c r="G272" i="3564" a="1"/>
  <c r="G272" i="3564"/>
  <c r="F272" i="3564" a="1"/>
  <c r="F272" i="3564"/>
  <c r="E272" i="3564" a="1"/>
  <c r="E272" i="3564"/>
  <c r="D272" i="3564" a="1"/>
  <c r="D272" i="3564"/>
  <c r="C272" i="3564" a="1"/>
  <c r="C272" i="3564"/>
  <c r="A272" i="3564"/>
  <c r="BM271" i="3564"/>
  <c r="BC271" i="3564"/>
  <c r="AX271" i="3564" a="1"/>
  <c r="AX271" i="3564"/>
  <c r="AW271" i="3564" a="1"/>
  <c r="AW271" i="3564"/>
  <c r="AV271" i="3564"/>
  <c r="AF271" i="3564"/>
  <c r="W271" i="3564"/>
  <c r="S271" i="3564" a="1"/>
  <c r="S271" i="3564"/>
  <c r="R271" i="3564"/>
  <c r="H271" i="3564" a="1"/>
  <c r="H271" i="3564"/>
  <c r="G271" i="3564" a="1"/>
  <c r="G271" i="3564"/>
  <c r="F271" i="3564" a="1"/>
  <c r="F271" i="3564"/>
  <c r="E271" i="3564" a="1"/>
  <c r="E271" i="3564"/>
  <c r="D271" i="3564" a="1"/>
  <c r="D271" i="3564"/>
  <c r="C271" i="3564" a="1"/>
  <c r="C271" i="3564"/>
  <c r="A271" i="3564"/>
  <c r="BM270" i="3564"/>
  <c r="BC270" i="3564"/>
  <c r="AX270" i="3564" a="1"/>
  <c r="AX270" i="3564"/>
  <c r="AW270" i="3564" a="1"/>
  <c r="AW270" i="3564"/>
  <c r="AV270" i="3564"/>
  <c r="AF270" i="3564"/>
  <c r="W270" i="3564"/>
  <c r="S270" i="3564" a="1"/>
  <c r="S270" i="3564"/>
  <c r="R270" i="3564"/>
  <c r="H270" i="3564" a="1"/>
  <c r="H270" i="3564"/>
  <c r="G270" i="3564" a="1"/>
  <c r="G270" i="3564"/>
  <c r="F270" i="3564" a="1"/>
  <c r="F270" i="3564"/>
  <c r="E270" i="3564" a="1"/>
  <c r="E270" i="3564"/>
  <c r="D270" i="3564" a="1"/>
  <c r="D270" i="3564"/>
  <c r="C270" i="3564" a="1"/>
  <c r="C270" i="3564"/>
  <c r="A270" i="3564"/>
  <c r="BM269" i="3564"/>
  <c r="BC269" i="3564"/>
  <c r="AX269" i="3564" a="1"/>
  <c r="AX269" i="3564"/>
  <c r="AW269" i="3564" a="1"/>
  <c r="AW269" i="3564"/>
  <c r="AV269" i="3564"/>
  <c r="AF269" i="3564"/>
  <c r="W269" i="3564"/>
  <c r="S269" i="3564" a="1"/>
  <c r="S269" i="3564"/>
  <c r="R269" i="3564"/>
  <c r="H269" i="3564" a="1"/>
  <c r="H269" i="3564"/>
  <c r="G269" i="3564" a="1"/>
  <c r="G269" i="3564"/>
  <c r="F269" i="3564" a="1"/>
  <c r="F269" i="3564"/>
  <c r="E269" i="3564" a="1"/>
  <c r="E269" i="3564"/>
  <c r="D269" i="3564" a="1"/>
  <c r="D269" i="3564"/>
  <c r="C269" i="3564" a="1"/>
  <c r="C269" i="3564"/>
  <c r="A269" i="3564"/>
  <c r="BM268" i="3564"/>
  <c r="BC268" i="3564"/>
  <c r="AX268" i="3564" a="1"/>
  <c r="AX268" i="3564"/>
  <c r="AW268" i="3564" a="1"/>
  <c r="AW268" i="3564"/>
  <c r="AV268" i="3564"/>
  <c r="AF268" i="3564"/>
  <c r="W268" i="3564"/>
  <c r="S268" i="3564" a="1"/>
  <c r="S268" i="3564"/>
  <c r="R268" i="3564"/>
  <c r="H268" i="3564" a="1"/>
  <c r="H268" i="3564"/>
  <c r="G268" i="3564" a="1"/>
  <c r="G268" i="3564"/>
  <c r="F268" i="3564" a="1"/>
  <c r="F268" i="3564"/>
  <c r="E268" i="3564" a="1"/>
  <c r="E268" i="3564"/>
  <c r="D268" i="3564" a="1"/>
  <c r="D268" i="3564"/>
  <c r="C268" i="3564" a="1"/>
  <c r="C268" i="3564"/>
  <c r="A268" i="3564"/>
  <c r="BM267" i="3564"/>
  <c r="BC267" i="3564"/>
  <c r="AX267" i="3564" a="1"/>
  <c r="AX267" i="3564"/>
  <c r="AW267" i="3564" a="1"/>
  <c r="AW267" i="3564"/>
  <c r="AV267" i="3564"/>
  <c r="AF267" i="3564"/>
  <c r="W267" i="3564"/>
  <c r="S267" i="3564" a="1"/>
  <c r="S267" i="3564"/>
  <c r="R267" i="3564"/>
  <c r="H267" i="3564" a="1"/>
  <c r="H267" i="3564"/>
  <c r="G267" i="3564" a="1"/>
  <c r="G267" i="3564"/>
  <c r="F267" i="3564" a="1"/>
  <c r="F267" i="3564"/>
  <c r="E267" i="3564" a="1"/>
  <c r="E267" i="3564"/>
  <c r="D267" i="3564" a="1"/>
  <c r="D267" i="3564"/>
  <c r="C267" i="3564" a="1"/>
  <c r="C267" i="3564"/>
  <c r="A267" i="3564"/>
  <c r="BM266" i="3564"/>
  <c r="BC266" i="3564"/>
  <c r="AX266" i="3564" a="1"/>
  <c r="AX266" i="3564"/>
  <c r="AW266" i="3564" a="1"/>
  <c r="AW266" i="3564"/>
  <c r="AV266" i="3564"/>
  <c r="AF266" i="3564"/>
  <c r="W266" i="3564"/>
  <c r="S266" i="3564" a="1"/>
  <c r="S266" i="3564"/>
  <c r="R266" i="3564"/>
  <c r="H266" i="3564" a="1"/>
  <c r="H266" i="3564"/>
  <c r="G266" i="3564" a="1"/>
  <c r="G266" i="3564"/>
  <c r="F266" i="3564" a="1"/>
  <c r="F266" i="3564"/>
  <c r="E266" i="3564" a="1"/>
  <c r="E266" i="3564"/>
  <c r="D266" i="3564" a="1"/>
  <c r="D266" i="3564"/>
  <c r="C266" i="3564" a="1"/>
  <c r="C266" i="3564"/>
  <c r="A266" i="3564"/>
  <c r="BM265" i="3564"/>
  <c r="BC265" i="3564"/>
  <c r="AX265" i="3564" a="1"/>
  <c r="AX265" i="3564"/>
  <c r="AW265" i="3564" a="1"/>
  <c r="AW265" i="3564"/>
  <c r="AV265" i="3564"/>
  <c r="AF265" i="3564"/>
  <c r="W265" i="3564"/>
  <c r="S265" i="3564" a="1"/>
  <c r="S265" i="3564"/>
  <c r="R265" i="3564"/>
  <c r="H265" i="3564" a="1"/>
  <c r="H265" i="3564"/>
  <c r="G265" i="3564" a="1"/>
  <c r="G265" i="3564"/>
  <c r="F265" i="3564" a="1"/>
  <c r="F265" i="3564"/>
  <c r="E265" i="3564" a="1"/>
  <c r="E265" i="3564"/>
  <c r="D265" i="3564" a="1"/>
  <c r="D265" i="3564"/>
  <c r="C265" i="3564" a="1"/>
  <c r="C265" i="3564"/>
  <c r="A265" i="3564"/>
  <c r="BM264" i="3564"/>
  <c r="BC264" i="3564"/>
  <c r="AX264" i="3564" a="1"/>
  <c r="AX264" i="3564"/>
  <c r="AW264" i="3564" a="1"/>
  <c r="AW264" i="3564"/>
  <c r="AV264" i="3564"/>
  <c r="AF264" i="3564"/>
  <c r="W264" i="3564"/>
  <c r="S264" i="3564" a="1"/>
  <c r="S264" i="3564"/>
  <c r="R264" i="3564"/>
  <c r="H264" i="3564" a="1"/>
  <c r="H264" i="3564"/>
  <c r="G264" i="3564" a="1"/>
  <c r="G264" i="3564"/>
  <c r="F264" i="3564" a="1"/>
  <c r="F264" i="3564"/>
  <c r="E264" i="3564" a="1"/>
  <c r="E264" i="3564"/>
  <c r="D264" i="3564" a="1"/>
  <c r="D264" i="3564"/>
  <c r="C264" i="3564" a="1"/>
  <c r="C264" i="3564"/>
  <c r="A264" i="3564"/>
  <c r="BM263" i="3564"/>
  <c r="BC263" i="3564"/>
  <c r="AX263" i="3564" a="1"/>
  <c r="AX263" i="3564"/>
  <c r="AW263" i="3564" a="1"/>
  <c r="AW263" i="3564"/>
  <c r="AV263" i="3564"/>
  <c r="AF263" i="3564"/>
  <c r="W263" i="3564"/>
  <c r="S263" i="3564" a="1"/>
  <c r="S263" i="3564"/>
  <c r="R263" i="3564"/>
  <c r="H263" i="3564" a="1"/>
  <c r="H263" i="3564"/>
  <c r="G263" i="3564" a="1"/>
  <c r="G263" i="3564"/>
  <c r="F263" i="3564" a="1"/>
  <c r="F263" i="3564"/>
  <c r="E263" i="3564" a="1"/>
  <c r="E263" i="3564"/>
  <c r="D263" i="3564" a="1"/>
  <c r="D263" i="3564"/>
  <c r="C263" i="3564" a="1"/>
  <c r="C263" i="3564"/>
  <c r="A263" i="3564"/>
  <c r="BM262" i="3564"/>
  <c r="BC262" i="3564"/>
  <c r="AX262" i="3564" a="1"/>
  <c r="AX262" i="3564"/>
  <c r="AW262" i="3564" a="1"/>
  <c r="AW262" i="3564"/>
  <c r="AV262" i="3564"/>
  <c r="AF262" i="3564"/>
  <c r="W262" i="3564"/>
  <c r="S262" i="3564" a="1"/>
  <c r="S262" i="3564"/>
  <c r="R262" i="3564"/>
  <c r="H262" i="3564" a="1"/>
  <c r="H262" i="3564"/>
  <c r="G262" i="3564" a="1"/>
  <c r="G262" i="3564"/>
  <c r="F262" i="3564" a="1"/>
  <c r="F262" i="3564"/>
  <c r="E262" i="3564" a="1"/>
  <c r="E262" i="3564"/>
  <c r="D262" i="3564" a="1"/>
  <c r="D262" i="3564"/>
  <c r="C262" i="3564" a="1"/>
  <c r="C262" i="3564"/>
  <c r="A262" i="3564"/>
  <c r="BM261" i="3564"/>
  <c r="BC261" i="3564"/>
  <c r="AX261" i="3564" a="1"/>
  <c r="AX261" i="3564"/>
  <c r="AW261" i="3564" a="1"/>
  <c r="AW261" i="3564"/>
  <c r="AV261" i="3564"/>
  <c r="AF261" i="3564"/>
  <c r="W261" i="3564"/>
  <c r="S261" i="3564" a="1"/>
  <c r="S261" i="3564"/>
  <c r="R261" i="3564"/>
  <c r="H261" i="3564" a="1"/>
  <c r="H261" i="3564"/>
  <c r="G261" i="3564" a="1"/>
  <c r="G261" i="3564"/>
  <c r="F261" i="3564" a="1"/>
  <c r="F261" i="3564"/>
  <c r="E261" i="3564" a="1"/>
  <c r="E261" i="3564"/>
  <c r="D261" i="3564" a="1"/>
  <c r="D261" i="3564"/>
  <c r="C261" i="3564" a="1"/>
  <c r="C261" i="3564"/>
  <c r="A261" i="3564"/>
  <c r="BM260" i="3564"/>
  <c r="BC260" i="3564"/>
  <c r="AX260" i="3564" a="1"/>
  <c r="AX260" i="3564"/>
  <c r="AW260" i="3564" a="1"/>
  <c r="AW260" i="3564"/>
  <c r="AV260" i="3564"/>
  <c r="AF260" i="3564"/>
  <c r="W260" i="3564"/>
  <c r="S260" i="3564" a="1"/>
  <c r="S260" i="3564"/>
  <c r="R260" i="3564"/>
  <c r="H260" i="3564" a="1"/>
  <c r="H260" i="3564"/>
  <c r="G260" i="3564" a="1"/>
  <c r="G260" i="3564"/>
  <c r="F260" i="3564" a="1"/>
  <c r="F260" i="3564"/>
  <c r="E260" i="3564" a="1"/>
  <c r="E260" i="3564"/>
  <c r="D260" i="3564" a="1"/>
  <c r="D260" i="3564"/>
  <c r="C260" i="3564" a="1"/>
  <c r="C260" i="3564"/>
  <c r="A260" i="3564"/>
  <c r="BM259" i="3564"/>
  <c r="BC259" i="3564"/>
  <c r="AX259" i="3564" a="1"/>
  <c r="AX259" i="3564"/>
  <c r="AW259" i="3564" a="1"/>
  <c r="AW259" i="3564"/>
  <c r="AV259" i="3564"/>
  <c r="AF259" i="3564"/>
  <c r="W259" i="3564"/>
  <c r="S259" i="3564" a="1"/>
  <c r="S259" i="3564"/>
  <c r="R259" i="3564"/>
  <c r="H259" i="3564" a="1"/>
  <c r="H259" i="3564"/>
  <c r="G259" i="3564" a="1"/>
  <c r="G259" i="3564"/>
  <c r="F259" i="3564" a="1"/>
  <c r="F259" i="3564"/>
  <c r="E259" i="3564" a="1"/>
  <c r="E259" i="3564"/>
  <c r="D259" i="3564" a="1"/>
  <c r="D259" i="3564"/>
  <c r="C259" i="3564" a="1"/>
  <c r="C259" i="3564"/>
  <c r="A259" i="3564"/>
  <c r="BM258" i="3564"/>
  <c r="BC258" i="3564"/>
  <c r="AX258" i="3564" a="1"/>
  <c r="AX258" i="3564"/>
  <c r="AW258" i="3564" a="1"/>
  <c r="AW258" i="3564"/>
  <c r="AV258" i="3564"/>
  <c r="AF258" i="3564"/>
  <c r="W258" i="3564"/>
  <c r="S258" i="3564" a="1"/>
  <c r="S258" i="3564"/>
  <c r="R258" i="3564"/>
  <c r="H258" i="3564" a="1"/>
  <c r="H258" i="3564"/>
  <c r="G258" i="3564" a="1"/>
  <c r="G258" i="3564"/>
  <c r="F258" i="3564" a="1"/>
  <c r="F258" i="3564"/>
  <c r="E258" i="3564" a="1"/>
  <c r="E258" i="3564"/>
  <c r="D258" i="3564" a="1"/>
  <c r="D258" i="3564"/>
  <c r="C258" i="3564" a="1"/>
  <c r="C258" i="3564"/>
  <c r="A258" i="3564"/>
  <c r="BM257" i="3564"/>
  <c r="BC257" i="3564"/>
  <c r="AX257" i="3564" a="1"/>
  <c r="AX257" i="3564"/>
  <c r="AW257" i="3564" a="1"/>
  <c r="AW257" i="3564"/>
  <c r="AV257" i="3564"/>
  <c r="AF257" i="3564"/>
  <c r="W257" i="3564"/>
  <c r="S257" i="3564" a="1"/>
  <c r="S257" i="3564"/>
  <c r="R257" i="3564"/>
  <c r="H257" i="3564" a="1"/>
  <c r="H257" i="3564"/>
  <c r="G257" i="3564" a="1"/>
  <c r="G257" i="3564"/>
  <c r="F257" i="3564" a="1"/>
  <c r="F257" i="3564"/>
  <c r="E257" i="3564" a="1"/>
  <c r="E257" i="3564"/>
  <c r="D257" i="3564" a="1"/>
  <c r="D257" i="3564"/>
  <c r="C257" i="3564" a="1"/>
  <c r="C257" i="3564"/>
  <c r="A257" i="3564"/>
  <c r="BM256" i="3564"/>
  <c r="BC256" i="3564"/>
  <c r="AX256" i="3564" a="1"/>
  <c r="AX256" i="3564"/>
  <c r="AW256" i="3564" a="1"/>
  <c r="AW256" i="3564"/>
  <c r="AV256" i="3564"/>
  <c r="AF256" i="3564"/>
  <c r="W256" i="3564"/>
  <c r="S256" i="3564" a="1"/>
  <c r="S256" i="3564"/>
  <c r="R256" i="3564"/>
  <c r="H256" i="3564" a="1"/>
  <c r="H256" i="3564"/>
  <c r="G256" i="3564" a="1"/>
  <c r="G256" i="3564"/>
  <c r="F256" i="3564" a="1"/>
  <c r="F256" i="3564"/>
  <c r="E256" i="3564" a="1"/>
  <c r="E256" i="3564"/>
  <c r="D256" i="3564" a="1"/>
  <c r="D256" i="3564"/>
  <c r="C256" i="3564" a="1"/>
  <c r="C256" i="3564"/>
  <c r="A256" i="3564"/>
  <c r="BM255" i="3564"/>
  <c r="BC255" i="3564"/>
  <c r="AX255" i="3564" a="1"/>
  <c r="AX255" i="3564"/>
  <c r="AW255" i="3564" a="1"/>
  <c r="AW255" i="3564"/>
  <c r="AV255" i="3564"/>
  <c r="AF255" i="3564"/>
  <c r="W255" i="3564"/>
  <c r="S255" i="3564" a="1"/>
  <c r="S255" i="3564"/>
  <c r="R255" i="3564"/>
  <c r="H255" i="3564" a="1"/>
  <c r="H255" i="3564"/>
  <c r="G255" i="3564" a="1"/>
  <c r="G255" i="3564"/>
  <c r="F255" i="3564" a="1"/>
  <c r="F255" i="3564"/>
  <c r="E255" i="3564" a="1"/>
  <c r="E255" i="3564"/>
  <c r="D255" i="3564" a="1"/>
  <c r="D255" i="3564"/>
  <c r="C255" i="3564" a="1"/>
  <c r="C255" i="3564"/>
  <c r="A255" i="3564"/>
  <c r="BM254" i="3564"/>
  <c r="BC254" i="3564"/>
  <c r="AX254" i="3564" a="1"/>
  <c r="AX254" i="3564"/>
  <c r="AW254" i="3564" a="1"/>
  <c r="AW254" i="3564"/>
  <c r="AV254" i="3564"/>
  <c r="AF254" i="3564"/>
  <c r="W254" i="3564"/>
  <c r="S254" i="3564" a="1"/>
  <c r="S254" i="3564"/>
  <c r="R254" i="3564"/>
  <c r="H254" i="3564" a="1"/>
  <c r="H254" i="3564"/>
  <c r="G254" i="3564" a="1"/>
  <c r="G254" i="3564"/>
  <c r="F254" i="3564" a="1"/>
  <c r="F254" i="3564"/>
  <c r="E254" i="3564" a="1"/>
  <c r="E254" i="3564"/>
  <c r="D254" i="3564" a="1"/>
  <c r="D254" i="3564"/>
  <c r="C254" i="3564" a="1"/>
  <c r="C254" i="3564"/>
  <c r="A254" i="3564"/>
  <c r="BM253" i="3564"/>
  <c r="BC253" i="3564"/>
  <c r="AX253" i="3564" a="1"/>
  <c r="AX253" i="3564"/>
  <c r="AW253" i="3564" a="1"/>
  <c r="AW253" i="3564"/>
  <c r="AV253" i="3564"/>
  <c r="AF253" i="3564"/>
  <c r="W253" i="3564"/>
  <c r="S253" i="3564" a="1"/>
  <c r="S253" i="3564"/>
  <c r="R253" i="3564"/>
  <c r="H253" i="3564" a="1"/>
  <c r="H253" i="3564"/>
  <c r="G253" i="3564" a="1"/>
  <c r="G253" i="3564"/>
  <c r="F253" i="3564" a="1"/>
  <c r="F253" i="3564"/>
  <c r="E253" i="3564" a="1"/>
  <c r="E253" i="3564"/>
  <c r="D253" i="3564" a="1"/>
  <c r="D253" i="3564"/>
  <c r="C253" i="3564" a="1"/>
  <c r="C253" i="3564"/>
  <c r="A253" i="3564"/>
  <c r="BM252" i="3564"/>
  <c r="BC252" i="3564"/>
  <c r="AX252" i="3564" a="1"/>
  <c r="AX252" i="3564"/>
  <c r="AW252" i="3564" a="1"/>
  <c r="AW252" i="3564"/>
  <c r="AV252" i="3564"/>
  <c r="AF252" i="3564"/>
  <c r="W252" i="3564"/>
  <c r="S252" i="3564" a="1"/>
  <c r="S252" i="3564"/>
  <c r="R252" i="3564"/>
  <c r="H252" i="3564" a="1"/>
  <c r="H252" i="3564"/>
  <c r="G252" i="3564" a="1"/>
  <c r="G252" i="3564"/>
  <c r="F252" i="3564" a="1"/>
  <c r="F252" i="3564"/>
  <c r="E252" i="3564" a="1"/>
  <c r="E252" i="3564"/>
  <c r="D252" i="3564" a="1"/>
  <c r="D252" i="3564"/>
  <c r="C252" i="3564" a="1"/>
  <c r="C252" i="3564"/>
  <c r="A252" i="3564"/>
  <c r="BM251" i="3564"/>
  <c r="BC251" i="3564"/>
  <c r="AX251" i="3564" a="1"/>
  <c r="AX251" i="3564"/>
  <c r="AW251" i="3564" a="1"/>
  <c r="AW251" i="3564"/>
  <c r="AV251" i="3564"/>
  <c r="AF251" i="3564"/>
  <c r="W251" i="3564"/>
  <c r="S251" i="3564" a="1"/>
  <c r="S251" i="3564"/>
  <c r="R251" i="3564"/>
  <c r="H251" i="3564" a="1"/>
  <c r="H251" i="3564"/>
  <c r="G251" i="3564" a="1"/>
  <c r="G251" i="3564"/>
  <c r="F251" i="3564" a="1"/>
  <c r="F251" i="3564"/>
  <c r="E251" i="3564" a="1"/>
  <c r="E251" i="3564"/>
  <c r="D251" i="3564" a="1"/>
  <c r="D251" i="3564"/>
  <c r="C251" i="3564" a="1"/>
  <c r="C251" i="3564"/>
  <c r="A251" i="3564"/>
  <c r="BM250" i="3564"/>
  <c r="BC250" i="3564"/>
  <c r="AX250" i="3564" a="1"/>
  <c r="AX250" i="3564"/>
  <c r="AW250" i="3564" a="1"/>
  <c r="AW250" i="3564"/>
  <c r="AV250" i="3564"/>
  <c r="AF250" i="3564"/>
  <c r="W250" i="3564"/>
  <c r="S250" i="3564" a="1"/>
  <c r="S250" i="3564"/>
  <c r="R250" i="3564"/>
  <c r="H250" i="3564" a="1"/>
  <c r="H250" i="3564"/>
  <c r="G250" i="3564" a="1"/>
  <c r="G250" i="3564"/>
  <c r="F250" i="3564" a="1"/>
  <c r="F250" i="3564"/>
  <c r="E250" i="3564" a="1"/>
  <c r="E250" i="3564"/>
  <c r="D250" i="3564" a="1"/>
  <c r="D250" i="3564"/>
  <c r="C250" i="3564" a="1"/>
  <c r="C250" i="3564"/>
  <c r="A250" i="3564"/>
  <c r="BM249" i="3564"/>
  <c r="BC249" i="3564"/>
  <c r="AX249" i="3564" a="1"/>
  <c r="AX249" i="3564"/>
  <c r="AW249" i="3564" a="1"/>
  <c r="AW249" i="3564"/>
  <c r="AV249" i="3564"/>
  <c r="AF249" i="3564"/>
  <c r="W249" i="3564"/>
  <c r="S249" i="3564" a="1"/>
  <c r="S249" i="3564"/>
  <c r="R249" i="3564"/>
  <c r="H249" i="3564" a="1"/>
  <c r="H249" i="3564"/>
  <c r="G249" i="3564" a="1"/>
  <c r="G249" i="3564"/>
  <c r="F249" i="3564" a="1"/>
  <c r="F249" i="3564"/>
  <c r="E249" i="3564" a="1"/>
  <c r="E249" i="3564"/>
  <c r="D249" i="3564" a="1"/>
  <c r="D249" i="3564"/>
  <c r="C249" i="3564" a="1"/>
  <c r="C249" i="3564"/>
  <c r="A249" i="3564"/>
  <c r="BM248" i="3564"/>
  <c r="BC248" i="3564"/>
  <c r="AX248" i="3564" a="1"/>
  <c r="AX248" i="3564"/>
  <c r="AW248" i="3564" a="1"/>
  <c r="AW248" i="3564"/>
  <c r="AV248" i="3564"/>
  <c r="AF248" i="3564"/>
  <c r="W248" i="3564"/>
  <c r="S248" i="3564" a="1"/>
  <c r="S248" i="3564"/>
  <c r="R248" i="3564"/>
  <c r="H248" i="3564" a="1"/>
  <c r="H248" i="3564"/>
  <c r="G248" i="3564" a="1"/>
  <c r="G248" i="3564"/>
  <c r="F248" i="3564" a="1"/>
  <c r="F248" i="3564"/>
  <c r="E248" i="3564" a="1"/>
  <c r="E248" i="3564"/>
  <c r="D248" i="3564" a="1"/>
  <c r="D248" i="3564"/>
  <c r="C248" i="3564" a="1"/>
  <c r="C248" i="3564"/>
  <c r="A248" i="3564"/>
  <c r="BM247" i="3564"/>
  <c r="BC247" i="3564"/>
  <c r="AX247" i="3564" a="1"/>
  <c r="AX247" i="3564"/>
  <c r="AW247" i="3564" a="1"/>
  <c r="AW247" i="3564"/>
  <c r="AV247" i="3564"/>
  <c r="AF247" i="3564"/>
  <c r="W247" i="3564"/>
  <c r="S247" i="3564" a="1"/>
  <c r="S247" i="3564"/>
  <c r="R247" i="3564"/>
  <c r="H247" i="3564" a="1"/>
  <c r="H247" i="3564"/>
  <c r="G247" i="3564" a="1"/>
  <c r="G247" i="3564"/>
  <c r="F247" i="3564" a="1"/>
  <c r="F247" i="3564"/>
  <c r="E247" i="3564" a="1"/>
  <c r="E247" i="3564"/>
  <c r="D247" i="3564" a="1"/>
  <c r="D247" i="3564"/>
  <c r="C247" i="3564" a="1"/>
  <c r="C247" i="3564"/>
  <c r="A247" i="3564"/>
  <c r="BM246" i="3564"/>
  <c r="BC246" i="3564"/>
  <c r="AX246" i="3564" a="1"/>
  <c r="AX246" i="3564"/>
  <c r="AW246" i="3564" a="1"/>
  <c r="AW246" i="3564"/>
  <c r="AV246" i="3564"/>
  <c r="AF246" i="3564"/>
  <c r="W246" i="3564"/>
  <c r="S246" i="3564" a="1"/>
  <c r="S246" i="3564"/>
  <c r="R246" i="3564"/>
  <c r="H246" i="3564" a="1"/>
  <c r="H246" i="3564"/>
  <c r="G246" i="3564" a="1"/>
  <c r="G246" i="3564"/>
  <c r="F246" i="3564" a="1"/>
  <c r="F246" i="3564"/>
  <c r="E246" i="3564" a="1"/>
  <c r="E246" i="3564"/>
  <c r="D246" i="3564" a="1"/>
  <c r="D246" i="3564"/>
  <c r="C246" i="3564" a="1"/>
  <c r="C246" i="3564"/>
  <c r="A246" i="3564"/>
  <c r="BM245" i="3564"/>
  <c r="BC245" i="3564"/>
  <c r="AX245" i="3564" a="1"/>
  <c r="AX245" i="3564"/>
  <c r="AW245" i="3564" a="1"/>
  <c r="AW245" i="3564"/>
  <c r="AV245" i="3564"/>
  <c r="AF245" i="3564"/>
  <c r="W245" i="3564"/>
  <c r="S245" i="3564" a="1"/>
  <c r="S245" i="3564"/>
  <c r="R245" i="3564"/>
  <c r="H245" i="3564" a="1"/>
  <c r="H245" i="3564"/>
  <c r="G245" i="3564" a="1"/>
  <c r="G245" i="3564"/>
  <c r="F245" i="3564" a="1"/>
  <c r="F245" i="3564"/>
  <c r="E245" i="3564" a="1"/>
  <c r="E245" i="3564"/>
  <c r="D245" i="3564" a="1"/>
  <c r="D245" i="3564"/>
  <c r="C245" i="3564" a="1"/>
  <c r="C245" i="3564"/>
  <c r="A245" i="3564"/>
  <c r="BM244" i="3564"/>
  <c r="BC244" i="3564"/>
  <c r="AX244" i="3564" a="1"/>
  <c r="AX244" i="3564"/>
  <c r="AW244" i="3564" a="1"/>
  <c r="AW244" i="3564"/>
  <c r="AV244" i="3564"/>
  <c r="AF244" i="3564"/>
  <c r="W244" i="3564"/>
  <c r="S244" i="3564" a="1"/>
  <c r="S244" i="3564"/>
  <c r="R244" i="3564"/>
  <c r="H244" i="3564" a="1"/>
  <c r="H244" i="3564"/>
  <c r="G244" i="3564" a="1"/>
  <c r="G244" i="3564"/>
  <c r="F244" i="3564" a="1"/>
  <c r="F244" i="3564"/>
  <c r="E244" i="3564" a="1"/>
  <c r="E244" i="3564"/>
  <c r="D244" i="3564" a="1"/>
  <c r="D244" i="3564"/>
  <c r="C244" i="3564" a="1"/>
  <c r="C244" i="3564"/>
  <c r="A244" i="3564"/>
  <c r="BM243" i="3564"/>
  <c r="BC243" i="3564"/>
  <c r="AX243" i="3564" a="1"/>
  <c r="AX243" i="3564"/>
  <c r="AW243" i="3564" a="1"/>
  <c r="AW243" i="3564"/>
  <c r="AV243" i="3564"/>
  <c r="AF243" i="3564"/>
  <c r="W243" i="3564"/>
  <c r="S243" i="3564" a="1"/>
  <c r="S243" i="3564"/>
  <c r="R243" i="3564"/>
  <c r="H243" i="3564" a="1"/>
  <c r="H243" i="3564"/>
  <c r="G243" i="3564" a="1"/>
  <c r="G243" i="3564"/>
  <c r="F243" i="3564" a="1"/>
  <c r="F243" i="3564"/>
  <c r="E243" i="3564" a="1"/>
  <c r="E243" i="3564"/>
  <c r="D243" i="3564" a="1"/>
  <c r="D243" i="3564"/>
  <c r="C243" i="3564" a="1"/>
  <c r="C243" i="3564"/>
  <c r="A243" i="3564"/>
  <c r="BM242" i="3564"/>
  <c r="BC242" i="3564"/>
  <c r="AX242" i="3564" a="1"/>
  <c r="AX242" i="3564"/>
  <c r="AW242" i="3564" a="1"/>
  <c r="AW242" i="3564"/>
  <c r="AV242" i="3564"/>
  <c r="AF242" i="3564"/>
  <c r="W242" i="3564"/>
  <c r="S242" i="3564" a="1"/>
  <c r="S242" i="3564"/>
  <c r="R242" i="3564"/>
  <c r="H242" i="3564" a="1"/>
  <c r="H242" i="3564"/>
  <c r="G242" i="3564" a="1"/>
  <c r="G242" i="3564"/>
  <c r="F242" i="3564" a="1"/>
  <c r="F242" i="3564"/>
  <c r="E242" i="3564" a="1"/>
  <c r="E242" i="3564"/>
  <c r="D242" i="3564" a="1"/>
  <c r="D242" i="3564"/>
  <c r="C242" i="3564" a="1"/>
  <c r="C242" i="3564"/>
  <c r="A242" i="3564"/>
  <c r="BM241" i="3564"/>
  <c r="BC241" i="3564"/>
  <c r="AX241" i="3564" a="1"/>
  <c r="AX241" i="3564"/>
  <c r="AW241" i="3564" a="1"/>
  <c r="AW241" i="3564"/>
  <c r="AV241" i="3564"/>
  <c r="AF241" i="3564"/>
  <c r="W241" i="3564"/>
  <c r="S241" i="3564" a="1"/>
  <c r="S241" i="3564"/>
  <c r="R241" i="3564"/>
  <c r="H241" i="3564" a="1"/>
  <c r="H241" i="3564"/>
  <c r="G241" i="3564" a="1"/>
  <c r="G241" i="3564"/>
  <c r="F241" i="3564" a="1"/>
  <c r="F241" i="3564"/>
  <c r="E241" i="3564" a="1"/>
  <c r="E241" i="3564"/>
  <c r="D241" i="3564" a="1"/>
  <c r="D241" i="3564"/>
  <c r="C241" i="3564" a="1"/>
  <c r="C241" i="3564"/>
  <c r="A241" i="3564"/>
  <c r="BM240" i="3564"/>
  <c r="BC240" i="3564"/>
  <c r="AX240" i="3564" a="1"/>
  <c r="AX240" i="3564"/>
  <c r="AW240" i="3564" a="1"/>
  <c r="AW240" i="3564"/>
  <c r="AV240" i="3564"/>
  <c r="AF240" i="3564"/>
  <c r="W240" i="3564"/>
  <c r="S240" i="3564" a="1"/>
  <c r="S240" i="3564"/>
  <c r="R240" i="3564"/>
  <c r="H240" i="3564" a="1"/>
  <c r="H240" i="3564"/>
  <c r="G240" i="3564" a="1"/>
  <c r="G240" i="3564"/>
  <c r="F240" i="3564" a="1"/>
  <c r="F240" i="3564"/>
  <c r="E240" i="3564" a="1"/>
  <c r="E240" i="3564"/>
  <c r="D240" i="3564" a="1"/>
  <c r="D240" i="3564"/>
  <c r="C240" i="3564" a="1"/>
  <c r="C240" i="3564"/>
  <c r="A240" i="3564"/>
  <c r="BM239" i="3564"/>
  <c r="BC239" i="3564"/>
  <c r="AX239" i="3564" a="1"/>
  <c r="AX239" i="3564"/>
  <c r="AW239" i="3564" a="1"/>
  <c r="AW239" i="3564"/>
  <c r="AV239" i="3564"/>
  <c r="AF239" i="3564"/>
  <c r="W239" i="3564"/>
  <c r="S239" i="3564" a="1"/>
  <c r="S239" i="3564"/>
  <c r="R239" i="3564"/>
  <c r="H239" i="3564" a="1"/>
  <c r="H239" i="3564"/>
  <c r="G239" i="3564" a="1"/>
  <c r="G239" i="3564"/>
  <c r="F239" i="3564" a="1"/>
  <c r="F239" i="3564"/>
  <c r="E239" i="3564" a="1"/>
  <c r="E239" i="3564"/>
  <c r="D239" i="3564" a="1"/>
  <c r="D239" i="3564"/>
  <c r="C239" i="3564" a="1"/>
  <c r="C239" i="3564"/>
  <c r="A239" i="3564"/>
  <c r="BM238" i="3564"/>
  <c r="BC238" i="3564"/>
  <c r="AX238" i="3564" a="1"/>
  <c r="AX238" i="3564"/>
  <c r="AW238" i="3564" a="1"/>
  <c r="AW238" i="3564"/>
  <c r="AV238" i="3564"/>
  <c r="AF238" i="3564"/>
  <c r="W238" i="3564"/>
  <c r="S238" i="3564" a="1"/>
  <c r="S238" i="3564"/>
  <c r="R238" i="3564"/>
  <c r="H238" i="3564" a="1"/>
  <c r="H238" i="3564"/>
  <c r="G238" i="3564" a="1"/>
  <c r="G238" i="3564"/>
  <c r="F238" i="3564" a="1"/>
  <c r="F238" i="3564"/>
  <c r="E238" i="3564" a="1"/>
  <c r="E238" i="3564"/>
  <c r="D238" i="3564" a="1"/>
  <c r="D238" i="3564"/>
  <c r="C238" i="3564" a="1"/>
  <c r="C238" i="3564"/>
  <c r="A238" i="3564"/>
  <c r="BM237" i="3564"/>
  <c r="BC237" i="3564"/>
  <c r="AX237" i="3564" a="1"/>
  <c r="AX237" i="3564"/>
  <c r="AW237" i="3564" a="1"/>
  <c r="AW237" i="3564"/>
  <c r="AV237" i="3564"/>
  <c r="AF237" i="3564"/>
  <c r="W237" i="3564"/>
  <c r="S237" i="3564" a="1"/>
  <c r="S237" i="3564"/>
  <c r="R237" i="3564"/>
  <c r="H237" i="3564" a="1"/>
  <c r="H237" i="3564"/>
  <c r="G237" i="3564" a="1"/>
  <c r="G237" i="3564"/>
  <c r="F237" i="3564" a="1"/>
  <c r="F237" i="3564"/>
  <c r="E237" i="3564" a="1"/>
  <c r="E237" i="3564"/>
  <c r="D237" i="3564" a="1"/>
  <c r="D237" i="3564"/>
  <c r="C237" i="3564" a="1"/>
  <c r="C237" i="3564"/>
  <c r="A237" i="3564"/>
  <c r="BM236" i="3564"/>
  <c r="BC236" i="3564"/>
  <c r="AX236" i="3564" a="1"/>
  <c r="AX236" i="3564"/>
  <c r="AW236" i="3564" a="1"/>
  <c r="AW236" i="3564"/>
  <c r="AV236" i="3564"/>
  <c r="AF236" i="3564"/>
  <c r="W236" i="3564"/>
  <c r="S236" i="3564" a="1"/>
  <c r="S236" i="3564"/>
  <c r="R236" i="3564"/>
  <c r="H236" i="3564" a="1"/>
  <c r="H236" i="3564"/>
  <c r="G236" i="3564" a="1"/>
  <c r="G236" i="3564"/>
  <c r="F236" i="3564" a="1"/>
  <c r="F236" i="3564"/>
  <c r="E236" i="3564" a="1"/>
  <c r="E236" i="3564"/>
  <c r="D236" i="3564" a="1"/>
  <c r="D236" i="3564"/>
  <c r="C236" i="3564" a="1"/>
  <c r="C236" i="3564"/>
  <c r="A236" i="3564"/>
  <c r="BM235" i="3564"/>
  <c r="BC235" i="3564"/>
  <c r="AX235" i="3564" a="1"/>
  <c r="AX235" i="3564"/>
  <c r="AW235" i="3564" a="1"/>
  <c r="AW235" i="3564"/>
  <c r="AV235" i="3564"/>
  <c r="AF235" i="3564"/>
  <c r="W235" i="3564"/>
  <c r="S235" i="3564" a="1"/>
  <c r="S235" i="3564"/>
  <c r="R235" i="3564"/>
  <c r="H235" i="3564" a="1"/>
  <c r="H235" i="3564"/>
  <c r="G235" i="3564" a="1"/>
  <c r="G235" i="3564"/>
  <c r="F235" i="3564" a="1"/>
  <c r="F235" i="3564"/>
  <c r="E235" i="3564" a="1"/>
  <c r="E235" i="3564"/>
  <c r="D235" i="3564" a="1"/>
  <c r="D235" i="3564"/>
  <c r="C235" i="3564" a="1"/>
  <c r="C235" i="3564"/>
  <c r="A235" i="3564"/>
  <c r="BM234" i="3564"/>
  <c r="BC234" i="3564"/>
  <c r="AX234" i="3564" a="1"/>
  <c r="AX234" i="3564"/>
  <c r="AW234" i="3564" a="1"/>
  <c r="AW234" i="3564"/>
  <c r="AV234" i="3564"/>
  <c r="AF234" i="3564"/>
  <c r="W234" i="3564"/>
  <c r="S234" i="3564" a="1"/>
  <c r="S234" i="3564"/>
  <c r="R234" i="3564"/>
  <c r="H234" i="3564" a="1"/>
  <c r="H234" i="3564"/>
  <c r="G234" i="3564" a="1"/>
  <c r="G234" i="3564"/>
  <c r="F234" i="3564" a="1"/>
  <c r="F234" i="3564"/>
  <c r="E234" i="3564" a="1"/>
  <c r="E234" i="3564"/>
  <c r="D234" i="3564" a="1"/>
  <c r="D234" i="3564"/>
  <c r="C234" i="3564" a="1"/>
  <c r="C234" i="3564"/>
  <c r="A234" i="3564"/>
  <c r="BM233" i="3564"/>
  <c r="BC233" i="3564"/>
  <c r="AX233" i="3564" a="1"/>
  <c r="AX233" i="3564"/>
  <c r="AW233" i="3564" a="1"/>
  <c r="AW233" i="3564"/>
  <c r="AV233" i="3564"/>
  <c r="AF233" i="3564"/>
  <c r="W233" i="3564"/>
  <c r="S233" i="3564" a="1"/>
  <c r="S233" i="3564"/>
  <c r="R233" i="3564"/>
  <c r="H233" i="3564" a="1"/>
  <c r="H233" i="3564"/>
  <c r="G233" i="3564" a="1"/>
  <c r="G233" i="3564"/>
  <c r="F233" i="3564" a="1"/>
  <c r="F233" i="3564"/>
  <c r="E233" i="3564" a="1"/>
  <c r="E233" i="3564"/>
  <c r="D233" i="3564" a="1"/>
  <c r="D233" i="3564"/>
  <c r="C233" i="3564" a="1"/>
  <c r="C233" i="3564"/>
  <c r="A233" i="3564"/>
  <c r="BM232" i="3564"/>
  <c r="BC232" i="3564"/>
  <c r="AX232" i="3564" a="1"/>
  <c r="AX232" i="3564"/>
  <c r="AW232" i="3564" a="1"/>
  <c r="AW232" i="3564"/>
  <c r="AV232" i="3564"/>
  <c r="AF232" i="3564"/>
  <c r="W232" i="3564"/>
  <c r="S232" i="3564" a="1"/>
  <c r="S232" i="3564"/>
  <c r="R232" i="3564"/>
  <c r="H232" i="3564" a="1"/>
  <c r="H232" i="3564"/>
  <c r="G232" i="3564" a="1"/>
  <c r="G232" i="3564"/>
  <c r="F232" i="3564" a="1"/>
  <c r="F232" i="3564"/>
  <c r="E232" i="3564" a="1"/>
  <c r="E232" i="3564"/>
  <c r="D232" i="3564" a="1"/>
  <c r="D232" i="3564"/>
  <c r="C232" i="3564" a="1"/>
  <c r="C232" i="3564"/>
  <c r="A232" i="3564"/>
  <c r="BM231" i="3564"/>
  <c r="BC231" i="3564"/>
  <c r="AX231" i="3564" a="1"/>
  <c r="AX231" i="3564"/>
  <c r="AW231" i="3564" a="1"/>
  <c r="AW231" i="3564"/>
  <c r="AV231" i="3564"/>
  <c r="AF231" i="3564"/>
  <c r="W231" i="3564"/>
  <c r="S231" i="3564" a="1"/>
  <c r="S231" i="3564"/>
  <c r="R231" i="3564"/>
  <c r="H231" i="3564" a="1"/>
  <c r="H231" i="3564"/>
  <c r="G231" i="3564" a="1"/>
  <c r="G231" i="3564"/>
  <c r="F231" i="3564" a="1"/>
  <c r="F231" i="3564"/>
  <c r="E231" i="3564" a="1"/>
  <c r="E231" i="3564"/>
  <c r="D231" i="3564" a="1"/>
  <c r="D231" i="3564"/>
  <c r="C231" i="3564" a="1"/>
  <c r="C231" i="3564"/>
  <c r="A231" i="3564"/>
  <c r="BM230" i="3564"/>
  <c r="BC230" i="3564"/>
  <c r="AX230" i="3564" a="1"/>
  <c r="AX230" i="3564"/>
  <c r="AW230" i="3564" a="1"/>
  <c r="AW230" i="3564"/>
  <c r="AV230" i="3564"/>
  <c r="AF230" i="3564"/>
  <c r="W230" i="3564"/>
  <c r="S230" i="3564" a="1"/>
  <c r="S230" i="3564"/>
  <c r="R230" i="3564"/>
  <c r="H230" i="3564" a="1"/>
  <c r="H230" i="3564"/>
  <c r="G230" i="3564" a="1"/>
  <c r="G230" i="3564"/>
  <c r="F230" i="3564" a="1"/>
  <c r="F230" i="3564"/>
  <c r="E230" i="3564" a="1"/>
  <c r="E230" i="3564"/>
  <c r="D230" i="3564" a="1"/>
  <c r="D230" i="3564"/>
  <c r="C230" i="3564" a="1"/>
  <c r="C230" i="3564"/>
  <c r="A230" i="3564"/>
  <c r="BM229" i="3564"/>
  <c r="BC229" i="3564"/>
  <c r="AX229" i="3564" a="1"/>
  <c r="AX229" i="3564"/>
  <c r="AW229" i="3564" a="1"/>
  <c r="AW229" i="3564"/>
  <c r="AV229" i="3564"/>
  <c r="AF229" i="3564"/>
  <c r="W229" i="3564"/>
  <c r="S229" i="3564" a="1"/>
  <c r="S229" i="3564"/>
  <c r="R229" i="3564"/>
  <c r="H229" i="3564" a="1"/>
  <c r="H229" i="3564"/>
  <c r="G229" i="3564" a="1"/>
  <c r="G229" i="3564"/>
  <c r="F229" i="3564" a="1"/>
  <c r="F229" i="3564"/>
  <c r="E229" i="3564" a="1"/>
  <c r="E229" i="3564"/>
  <c r="D229" i="3564" a="1"/>
  <c r="D229" i="3564"/>
  <c r="C229" i="3564" a="1"/>
  <c r="C229" i="3564"/>
  <c r="A229" i="3564"/>
  <c r="BM228" i="3564"/>
  <c r="BC228" i="3564"/>
  <c r="AX228" i="3564" a="1"/>
  <c r="AX228" i="3564"/>
  <c r="AW228" i="3564" a="1"/>
  <c r="AW228" i="3564"/>
  <c r="AV228" i="3564"/>
  <c r="AF228" i="3564"/>
  <c r="W228" i="3564"/>
  <c r="S228" i="3564" a="1"/>
  <c r="S228" i="3564"/>
  <c r="R228" i="3564"/>
  <c r="H228" i="3564" a="1"/>
  <c r="H228" i="3564"/>
  <c r="G228" i="3564" a="1"/>
  <c r="G228" i="3564"/>
  <c r="F228" i="3564" a="1"/>
  <c r="F228" i="3564"/>
  <c r="E228" i="3564" a="1"/>
  <c r="E228" i="3564"/>
  <c r="D228" i="3564" a="1"/>
  <c r="D228" i="3564"/>
  <c r="C228" i="3564" a="1"/>
  <c r="C228" i="3564"/>
  <c r="A228" i="3564"/>
  <c r="BM227" i="3564"/>
  <c r="BC227" i="3564"/>
  <c r="AX227" i="3564" a="1"/>
  <c r="AX227" i="3564"/>
  <c r="AW227" i="3564" a="1"/>
  <c r="AW227" i="3564"/>
  <c r="AV227" i="3564"/>
  <c r="AF227" i="3564"/>
  <c r="W227" i="3564"/>
  <c r="S227" i="3564" a="1"/>
  <c r="S227" i="3564"/>
  <c r="R227" i="3564"/>
  <c r="H227" i="3564" a="1"/>
  <c r="H227" i="3564"/>
  <c r="G227" i="3564" a="1"/>
  <c r="G227" i="3564"/>
  <c r="F227" i="3564" a="1"/>
  <c r="F227" i="3564"/>
  <c r="E227" i="3564" a="1"/>
  <c r="E227" i="3564"/>
  <c r="D227" i="3564" a="1"/>
  <c r="D227" i="3564"/>
  <c r="C227" i="3564" a="1"/>
  <c r="C227" i="3564"/>
  <c r="A227" i="3564"/>
  <c r="BM226" i="3564"/>
  <c r="BC226" i="3564"/>
  <c r="AX226" i="3564" a="1"/>
  <c r="AX226" i="3564"/>
  <c r="AW226" i="3564" a="1"/>
  <c r="AW226" i="3564"/>
  <c r="AV226" i="3564"/>
  <c r="AF226" i="3564"/>
  <c r="W226" i="3564"/>
  <c r="S226" i="3564" a="1"/>
  <c r="S226" i="3564"/>
  <c r="R226" i="3564"/>
  <c r="H226" i="3564" a="1"/>
  <c r="H226" i="3564"/>
  <c r="G226" i="3564" a="1"/>
  <c r="G226" i="3564"/>
  <c r="F226" i="3564" a="1"/>
  <c r="F226" i="3564"/>
  <c r="E226" i="3564" a="1"/>
  <c r="E226" i="3564"/>
  <c r="D226" i="3564" a="1"/>
  <c r="D226" i="3564"/>
  <c r="C226" i="3564" a="1"/>
  <c r="C226" i="3564"/>
  <c r="A226" i="3564"/>
  <c r="BM225" i="3564"/>
  <c r="BC225" i="3564"/>
  <c r="AX225" i="3564" a="1"/>
  <c r="AX225" i="3564"/>
  <c r="AW225" i="3564" a="1"/>
  <c r="AW225" i="3564"/>
  <c r="AV225" i="3564"/>
  <c r="AF225" i="3564"/>
  <c r="W225" i="3564"/>
  <c r="S225" i="3564" a="1"/>
  <c r="S225" i="3564"/>
  <c r="R225" i="3564"/>
  <c r="H225" i="3564" a="1"/>
  <c r="H225" i="3564"/>
  <c r="G225" i="3564" a="1"/>
  <c r="G225" i="3564"/>
  <c r="F225" i="3564" a="1"/>
  <c r="F225" i="3564"/>
  <c r="E225" i="3564" a="1"/>
  <c r="E225" i="3564"/>
  <c r="D225" i="3564" a="1"/>
  <c r="D225" i="3564"/>
  <c r="C225" i="3564" a="1"/>
  <c r="C225" i="3564"/>
  <c r="A225" i="3564"/>
  <c r="BM224" i="3564"/>
  <c r="BC224" i="3564"/>
  <c r="AX224" i="3564" a="1"/>
  <c r="AX224" i="3564"/>
  <c r="AW224" i="3564" a="1"/>
  <c r="AW224" i="3564"/>
  <c r="AV224" i="3564"/>
  <c r="AF224" i="3564"/>
  <c r="W224" i="3564"/>
  <c r="S224" i="3564" a="1"/>
  <c r="S224" i="3564"/>
  <c r="R224" i="3564"/>
  <c r="H224" i="3564" a="1"/>
  <c r="H224" i="3564"/>
  <c r="G224" i="3564" a="1"/>
  <c r="G224" i="3564"/>
  <c r="F224" i="3564" a="1"/>
  <c r="F224" i="3564"/>
  <c r="E224" i="3564" a="1"/>
  <c r="E224" i="3564"/>
  <c r="D224" i="3564" a="1"/>
  <c r="D224" i="3564"/>
  <c r="C224" i="3564" a="1"/>
  <c r="C224" i="3564"/>
  <c r="A224" i="3564"/>
  <c r="BM223" i="3564"/>
  <c r="BC223" i="3564"/>
  <c r="AX223" i="3564" a="1"/>
  <c r="AX223" i="3564"/>
  <c r="AW223" i="3564" a="1"/>
  <c r="AW223" i="3564"/>
  <c r="AV223" i="3564"/>
  <c r="AF223" i="3564"/>
  <c r="W223" i="3564"/>
  <c r="S223" i="3564" a="1"/>
  <c r="S223" i="3564"/>
  <c r="R223" i="3564"/>
  <c r="H223" i="3564" a="1"/>
  <c r="H223" i="3564"/>
  <c r="G223" i="3564" a="1"/>
  <c r="G223" i="3564"/>
  <c r="F223" i="3564" a="1"/>
  <c r="F223" i="3564"/>
  <c r="E223" i="3564" a="1"/>
  <c r="E223" i="3564"/>
  <c r="D223" i="3564" a="1"/>
  <c r="D223" i="3564"/>
  <c r="C223" i="3564" a="1"/>
  <c r="C223" i="3564"/>
  <c r="A223" i="3564"/>
  <c r="BM222" i="3564"/>
  <c r="BC222" i="3564"/>
  <c r="AX222" i="3564" a="1"/>
  <c r="AX222" i="3564"/>
  <c r="AW222" i="3564" a="1"/>
  <c r="AW222" i="3564"/>
  <c r="AV222" i="3564"/>
  <c r="AF222" i="3564"/>
  <c r="W222" i="3564"/>
  <c r="S222" i="3564" a="1"/>
  <c r="S222" i="3564"/>
  <c r="R222" i="3564"/>
  <c r="H222" i="3564" a="1"/>
  <c r="H222" i="3564"/>
  <c r="G222" i="3564" a="1"/>
  <c r="G222" i="3564"/>
  <c r="F222" i="3564" a="1"/>
  <c r="F222" i="3564"/>
  <c r="E222" i="3564" a="1"/>
  <c r="E222" i="3564"/>
  <c r="D222" i="3564" a="1"/>
  <c r="D222" i="3564"/>
  <c r="C222" i="3564" a="1"/>
  <c r="C222" i="3564"/>
  <c r="A222" i="3564"/>
  <c r="BM221" i="3564"/>
  <c r="BC221" i="3564"/>
  <c r="AX221" i="3564" a="1"/>
  <c r="AX221" i="3564"/>
  <c r="AW221" i="3564" a="1"/>
  <c r="AW221" i="3564"/>
  <c r="AV221" i="3564"/>
  <c r="AF221" i="3564"/>
  <c r="W221" i="3564"/>
  <c r="S221" i="3564" a="1"/>
  <c r="S221" i="3564"/>
  <c r="R221" i="3564"/>
  <c r="H221" i="3564" a="1"/>
  <c r="H221" i="3564"/>
  <c r="G221" i="3564" a="1"/>
  <c r="G221" i="3564"/>
  <c r="F221" i="3564" a="1"/>
  <c r="F221" i="3564"/>
  <c r="E221" i="3564" a="1"/>
  <c r="E221" i="3564"/>
  <c r="D221" i="3564" a="1"/>
  <c r="D221" i="3564"/>
  <c r="C221" i="3564" a="1"/>
  <c r="C221" i="3564"/>
  <c r="A221" i="3564"/>
  <c r="BM220" i="3564"/>
  <c r="BC220" i="3564"/>
  <c r="AX220" i="3564" a="1"/>
  <c r="AX220" i="3564"/>
  <c r="AW220" i="3564" a="1"/>
  <c r="AW220" i="3564"/>
  <c r="AV220" i="3564"/>
  <c r="AF220" i="3564"/>
  <c r="W220" i="3564"/>
  <c r="S220" i="3564" a="1"/>
  <c r="S220" i="3564"/>
  <c r="R220" i="3564"/>
  <c r="H220" i="3564" a="1"/>
  <c r="H220" i="3564"/>
  <c r="G220" i="3564" a="1"/>
  <c r="G220" i="3564"/>
  <c r="F220" i="3564" a="1"/>
  <c r="F220" i="3564"/>
  <c r="E220" i="3564" a="1"/>
  <c r="E220" i="3564"/>
  <c r="D220" i="3564" a="1"/>
  <c r="D220" i="3564"/>
  <c r="C220" i="3564" a="1"/>
  <c r="C220" i="3564"/>
  <c r="A220" i="3564"/>
  <c r="BM219" i="3564"/>
  <c r="BC219" i="3564"/>
  <c r="AX219" i="3564" a="1"/>
  <c r="AX219" i="3564"/>
  <c r="AW219" i="3564" a="1"/>
  <c r="AW219" i="3564"/>
  <c r="AV219" i="3564"/>
  <c r="AF219" i="3564"/>
  <c r="W219" i="3564"/>
  <c r="S219" i="3564" a="1"/>
  <c r="S219" i="3564"/>
  <c r="R219" i="3564"/>
  <c r="H219" i="3564" a="1"/>
  <c r="H219" i="3564"/>
  <c r="G219" i="3564" a="1"/>
  <c r="G219" i="3564"/>
  <c r="F219" i="3564" a="1"/>
  <c r="F219" i="3564"/>
  <c r="E219" i="3564" a="1"/>
  <c r="E219" i="3564"/>
  <c r="D219" i="3564" a="1"/>
  <c r="D219" i="3564"/>
  <c r="C219" i="3564" a="1"/>
  <c r="C219" i="3564"/>
  <c r="A219" i="3564"/>
  <c r="BM218" i="3564"/>
  <c r="BC218" i="3564"/>
  <c r="AX218" i="3564" a="1"/>
  <c r="AX218" i="3564"/>
  <c r="AW218" i="3564" a="1"/>
  <c r="AW218" i="3564"/>
  <c r="AV218" i="3564"/>
  <c r="AF218" i="3564"/>
  <c r="W218" i="3564"/>
  <c r="S218" i="3564" a="1"/>
  <c r="S218" i="3564"/>
  <c r="R218" i="3564"/>
  <c r="H218" i="3564" a="1"/>
  <c r="H218" i="3564"/>
  <c r="G218" i="3564" a="1"/>
  <c r="G218" i="3564"/>
  <c r="F218" i="3564" a="1"/>
  <c r="F218" i="3564"/>
  <c r="E218" i="3564" a="1"/>
  <c r="E218" i="3564"/>
  <c r="D218" i="3564" a="1"/>
  <c r="D218" i="3564"/>
  <c r="C218" i="3564" a="1"/>
  <c r="C218" i="3564"/>
  <c r="A218" i="3564"/>
  <c r="BM217" i="3564"/>
  <c r="BC217" i="3564"/>
  <c r="AX217" i="3564" a="1"/>
  <c r="AX217" i="3564"/>
  <c r="AW217" i="3564" a="1"/>
  <c r="AW217" i="3564"/>
  <c r="AV217" i="3564"/>
  <c r="AF217" i="3564"/>
  <c r="W217" i="3564"/>
  <c r="S217" i="3564" a="1"/>
  <c r="S217" i="3564"/>
  <c r="R217" i="3564"/>
  <c r="H217" i="3564" a="1"/>
  <c r="H217" i="3564"/>
  <c r="G217" i="3564" a="1"/>
  <c r="G217" i="3564"/>
  <c r="F217" i="3564" a="1"/>
  <c r="F217" i="3564"/>
  <c r="E217" i="3564" a="1"/>
  <c r="E217" i="3564"/>
  <c r="D217" i="3564" a="1"/>
  <c r="D217" i="3564"/>
  <c r="C217" i="3564" a="1"/>
  <c r="C217" i="3564"/>
  <c r="A217" i="3564"/>
  <c r="BM216" i="3564"/>
  <c r="BC216" i="3564"/>
  <c r="AX216" i="3564" a="1"/>
  <c r="AX216" i="3564"/>
  <c r="AW216" i="3564" a="1"/>
  <c r="AW216" i="3564"/>
  <c r="AV216" i="3564"/>
  <c r="AF216" i="3564"/>
  <c r="W216" i="3564"/>
  <c r="S216" i="3564" a="1"/>
  <c r="S216" i="3564"/>
  <c r="R216" i="3564"/>
  <c r="H216" i="3564" a="1"/>
  <c r="H216" i="3564"/>
  <c r="G216" i="3564" a="1"/>
  <c r="G216" i="3564"/>
  <c r="F216" i="3564" a="1"/>
  <c r="F216" i="3564"/>
  <c r="E216" i="3564" a="1"/>
  <c r="E216" i="3564"/>
  <c r="D216" i="3564" a="1"/>
  <c r="D216" i="3564"/>
  <c r="C216" i="3564" a="1"/>
  <c r="C216" i="3564"/>
  <c r="A216" i="3564"/>
  <c r="BM215" i="3564"/>
  <c r="BC215" i="3564"/>
  <c r="AX215" i="3564" a="1"/>
  <c r="AX215" i="3564"/>
  <c r="AW215" i="3564" a="1"/>
  <c r="AW215" i="3564"/>
  <c r="AV215" i="3564"/>
  <c r="AF215" i="3564"/>
  <c r="W215" i="3564"/>
  <c r="S215" i="3564" a="1"/>
  <c r="S215" i="3564"/>
  <c r="R215" i="3564"/>
  <c r="H215" i="3564" a="1"/>
  <c r="H215" i="3564"/>
  <c r="G215" i="3564" a="1"/>
  <c r="G215" i="3564"/>
  <c r="F215" i="3564" a="1"/>
  <c r="F215" i="3564"/>
  <c r="E215" i="3564" a="1"/>
  <c r="E215" i="3564"/>
  <c r="D215" i="3564" a="1"/>
  <c r="D215" i="3564"/>
  <c r="C215" i="3564" a="1"/>
  <c r="C215" i="3564"/>
  <c r="A215" i="3564"/>
  <c r="BM214" i="3564"/>
  <c r="BC214" i="3564"/>
  <c r="AX214" i="3564" a="1"/>
  <c r="AX214" i="3564"/>
  <c r="AW214" i="3564" a="1"/>
  <c r="AW214" i="3564"/>
  <c r="AV214" i="3564"/>
  <c r="AF214" i="3564"/>
  <c r="W214" i="3564"/>
  <c r="S214" i="3564" a="1"/>
  <c r="S214" i="3564"/>
  <c r="R214" i="3564"/>
  <c r="H214" i="3564" a="1"/>
  <c r="H214" i="3564"/>
  <c r="G214" i="3564" a="1"/>
  <c r="G214" i="3564"/>
  <c r="F214" i="3564" a="1"/>
  <c r="F214" i="3564"/>
  <c r="E214" i="3564" a="1"/>
  <c r="E214" i="3564"/>
  <c r="D214" i="3564" a="1"/>
  <c r="D214" i="3564"/>
  <c r="C214" i="3564" a="1"/>
  <c r="C214" i="3564"/>
  <c r="A214" i="3564"/>
  <c r="BM213" i="3564"/>
  <c r="BC213" i="3564"/>
  <c r="AX213" i="3564" a="1"/>
  <c r="AX213" i="3564"/>
  <c r="AW213" i="3564" a="1"/>
  <c r="AW213" i="3564"/>
  <c r="AV213" i="3564"/>
  <c r="AF213" i="3564"/>
  <c r="W213" i="3564"/>
  <c r="S213" i="3564" a="1"/>
  <c r="S213" i="3564"/>
  <c r="R213" i="3564"/>
  <c r="H213" i="3564" a="1"/>
  <c r="H213" i="3564"/>
  <c r="G213" i="3564" a="1"/>
  <c r="G213" i="3564"/>
  <c r="F213" i="3564" a="1"/>
  <c r="F213" i="3564"/>
  <c r="E213" i="3564" a="1"/>
  <c r="E213" i="3564"/>
  <c r="D213" i="3564" a="1"/>
  <c r="D213" i="3564"/>
  <c r="C213" i="3564" a="1"/>
  <c r="C213" i="3564"/>
  <c r="A213" i="3564"/>
  <c r="BM212" i="3564"/>
  <c r="BC212" i="3564"/>
  <c r="AX212" i="3564" a="1"/>
  <c r="AX212" i="3564"/>
  <c r="AW212" i="3564" a="1"/>
  <c r="AW212" i="3564"/>
  <c r="AV212" i="3564"/>
  <c r="AF212" i="3564"/>
  <c r="W212" i="3564"/>
  <c r="S212" i="3564" a="1"/>
  <c r="S212" i="3564"/>
  <c r="R212" i="3564"/>
  <c r="H212" i="3564" a="1"/>
  <c r="H212" i="3564"/>
  <c r="G212" i="3564" a="1"/>
  <c r="G212" i="3564"/>
  <c r="F212" i="3564" a="1"/>
  <c r="F212" i="3564"/>
  <c r="E212" i="3564" a="1"/>
  <c r="E212" i="3564"/>
  <c r="D212" i="3564" a="1"/>
  <c r="D212" i="3564"/>
  <c r="C212" i="3564" a="1"/>
  <c r="C212" i="3564"/>
  <c r="A212" i="3564"/>
  <c r="BM211" i="3564"/>
  <c r="BC211" i="3564"/>
  <c r="AX211" i="3564" a="1"/>
  <c r="AX211" i="3564"/>
  <c r="AW211" i="3564" a="1"/>
  <c r="AW211" i="3564"/>
  <c r="AV211" i="3564"/>
  <c r="AF211" i="3564"/>
  <c r="W211" i="3564"/>
  <c r="S211" i="3564" a="1"/>
  <c r="S211" i="3564"/>
  <c r="R211" i="3564"/>
  <c r="H211" i="3564" a="1"/>
  <c r="H211" i="3564"/>
  <c r="G211" i="3564" a="1"/>
  <c r="G211" i="3564"/>
  <c r="F211" i="3564" a="1"/>
  <c r="F211" i="3564"/>
  <c r="E211" i="3564" a="1"/>
  <c r="E211" i="3564"/>
  <c r="D211" i="3564" a="1"/>
  <c r="D211" i="3564"/>
  <c r="C211" i="3564" a="1"/>
  <c r="C211" i="3564"/>
  <c r="A211" i="3564"/>
  <c r="BM210" i="3564"/>
  <c r="BC210" i="3564"/>
  <c r="AX210" i="3564" a="1"/>
  <c r="AX210" i="3564"/>
  <c r="AW210" i="3564" a="1"/>
  <c r="AW210" i="3564"/>
  <c r="AV210" i="3564"/>
  <c r="AF210" i="3564"/>
  <c r="W210" i="3564"/>
  <c r="S210" i="3564" a="1"/>
  <c r="S210" i="3564"/>
  <c r="R210" i="3564"/>
  <c r="H210" i="3564" a="1"/>
  <c r="H210" i="3564"/>
  <c r="G210" i="3564" a="1"/>
  <c r="G210" i="3564"/>
  <c r="F210" i="3564" a="1"/>
  <c r="F210" i="3564"/>
  <c r="E210" i="3564" a="1"/>
  <c r="E210" i="3564"/>
  <c r="D210" i="3564" a="1"/>
  <c r="D210" i="3564"/>
  <c r="C210" i="3564" a="1"/>
  <c r="C210" i="3564"/>
  <c r="A210" i="3564"/>
  <c r="BM209" i="3564"/>
  <c r="BC209" i="3564"/>
  <c r="AX209" i="3564" a="1"/>
  <c r="AX209" i="3564"/>
  <c r="AW209" i="3564" a="1"/>
  <c r="AW209" i="3564"/>
  <c r="AV209" i="3564"/>
  <c r="AF209" i="3564"/>
  <c r="W209" i="3564"/>
  <c r="S209" i="3564" a="1"/>
  <c r="S209" i="3564"/>
  <c r="R209" i="3564"/>
  <c r="H209" i="3564" a="1"/>
  <c r="H209" i="3564"/>
  <c r="G209" i="3564" a="1"/>
  <c r="G209" i="3564"/>
  <c r="F209" i="3564" a="1"/>
  <c r="F209" i="3564"/>
  <c r="E209" i="3564" a="1"/>
  <c r="E209" i="3564"/>
  <c r="D209" i="3564" a="1"/>
  <c r="D209" i="3564"/>
  <c r="C209" i="3564" a="1"/>
  <c r="C209" i="3564"/>
  <c r="A209" i="3564"/>
  <c r="BM208" i="3564"/>
  <c r="BC208" i="3564"/>
  <c r="AX208" i="3564" a="1"/>
  <c r="AX208" i="3564"/>
  <c r="AW208" i="3564" a="1"/>
  <c r="AW208" i="3564"/>
  <c r="AV208" i="3564"/>
  <c r="AF208" i="3564"/>
  <c r="W208" i="3564"/>
  <c r="S208" i="3564" a="1"/>
  <c r="S208" i="3564"/>
  <c r="R208" i="3564"/>
  <c r="H208" i="3564" a="1"/>
  <c r="H208" i="3564"/>
  <c r="G208" i="3564" a="1"/>
  <c r="G208" i="3564"/>
  <c r="F208" i="3564" a="1"/>
  <c r="F208" i="3564"/>
  <c r="E208" i="3564" a="1"/>
  <c r="E208" i="3564"/>
  <c r="D208" i="3564" a="1"/>
  <c r="D208" i="3564"/>
  <c r="C208" i="3564" a="1"/>
  <c r="C208" i="3564"/>
  <c r="A208" i="3564"/>
  <c r="BM207" i="3564"/>
  <c r="BC207" i="3564"/>
  <c r="AX207" i="3564" a="1"/>
  <c r="AX207" i="3564"/>
  <c r="AW207" i="3564" a="1"/>
  <c r="AW207" i="3564"/>
  <c r="AV207" i="3564"/>
  <c r="AF207" i="3564"/>
  <c r="W207" i="3564"/>
  <c r="S207" i="3564" a="1"/>
  <c r="S207" i="3564"/>
  <c r="R207" i="3564"/>
  <c r="H207" i="3564" a="1"/>
  <c r="H207" i="3564"/>
  <c r="G207" i="3564" a="1"/>
  <c r="G207" i="3564"/>
  <c r="F207" i="3564" a="1"/>
  <c r="F207" i="3564"/>
  <c r="E207" i="3564" a="1"/>
  <c r="E207" i="3564"/>
  <c r="D207" i="3564" a="1"/>
  <c r="D207" i="3564"/>
  <c r="C207" i="3564" a="1"/>
  <c r="C207" i="3564"/>
  <c r="A207" i="3564"/>
  <c r="BM206" i="3564"/>
  <c r="BC206" i="3564"/>
  <c r="AX206" i="3564" a="1"/>
  <c r="AX206" i="3564"/>
  <c r="AW206" i="3564" a="1"/>
  <c r="AW206" i="3564"/>
  <c r="AV206" i="3564"/>
  <c r="AF206" i="3564"/>
  <c r="W206" i="3564"/>
  <c r="S206" i="3564" a="1"/>
  <c r="S206" i="3564"/>
  <c r="R206" i="3564"/>
  <c r="H206" i="3564" a="1"/>
  <c r="H206" i="3564"/>
  <c r="G206" i="3564" a="1"/>
  <c r="G206" i="3564"/>
  <c r="F206" i="3564" a="1"/>
  <c r="F206" i="3564"/>
  <c r="E206" i="3564" a="1"/>
  <c r="E206" i="3564"/>
  <c r="D206" i="3564" a="1"/>
  <c r="D206" i="3564"/>
  <c r="C206" i="3564" a="1"/>
  <c r="C206" i="3564"/>
  <c r="A206" i="3564"/>
  <c r="BM205" i="3564"/>
  <c r="BC205" i="3564"/>
  <c r="AX205" i="3564" a="1"/>
  <c r="AX205" i="3564"/>
  <c r="AW205" i="3564" a="1"/>
  <c r="AW205" i="3564"/>
  <c r="AV205" i="3564"/>
  <c r="AF205" i="3564"/>
  <c r="W205" i="3564"/>
  <c r="S205" i="3564" a="1"/>
  <c r="S205" i="3564"/>
  <c r="R205" i="3564"/>
  <c r="H205" i="3564" a="1"/>
  <c r="H205" i="3564"/>
  <c r="G205" i="3564" a="1"/>
  <c r="G205" i="3564"/>
  <c r="F205" i="3564" a="1"/>
  <c r="F205" i="3564"/>
  <c r="E205" i="3564" a="1"/>
  <c r="E205" i="3564"/>
  <c r="D205" i="3564" a="1"/>
  <c r="D205" i="3564"/>
  <c r="C205" i="3564" a="1"/>
  <c r="C205" i="3564"/>
  <c r="A205" i="3564"/>
  <c r="BM204" i="3564"/>
  <c r="BC204" i="3564"/>
  <c r="AX204" i="3564" a="1"/>
  <c r="AX204" i="3564"/>
  <c r="AW204" i="3564" a="1"/>
  <c r="AW204" i="3564"/>
  <c r="AV204" i="3564"/>
  <c r="AF204" i="3564"/>
  <c r="W204" i="3564"/>
  <c r="S204" i="3564" a="1"/>
  <c r="S204" i="3564"/>
  <c r="R204" i="3564"/>
  <c r="H204" i="3564" a="1"/>
  <c r="H204" i="3564"/>
  <c r="G204" i="3564" a="1"/>
  <c r="G204" i="3564"/>
  <c r="F204" i="3564" a="1"/>
  <c r="F204" i="3564"/>
  <c r="E204" i="3564" a="1"/>
  <c r="E204" i="3564"/>
  <c r="D204" i="3564" a="1"/>
  <c r="D204" i="3564"/>
  <c r="C204" i="3564" a="1"/>
  <c r="C204" i="3564"/>
  <c r="A204" i="3564"/>
  <c r="BM203" i="3564"/>
  <c r="BC203" i="3564"/>
  <c r="AX203" i="3564" a="1"/>
  <c r="AX203" i="3564"/>
  <c r="AW203" i="3564" a="1"/>
  <c r="AW203" i="3564"/>
  <c r="AV203" i="3564"/>
  <c r="AF203" i="3564"/>
  <c r="W203" i="3564"/>
  <c r="S203" i="3564" a="1"/>
  <c r="S203" i="3564"/>
  <c r="R203" i="3564"/>
  <c r="H203" i="3564" a="1"/>
  <c r="H203" i="3564"/>
  <c r="G203" i="3564" a="1"/>
  <c r="G203" i="3564"/>
  <c r="F203" i="3564" a="1"/>
  <c r="F203" i="3564"/>
  <c r="E203" i="3564" a="1"/>
  <c r="E203" i="3564"/>
  <c r="D203" i="3564" a="1"/>
  <c r="D203" i="3564"/>
  <c r="C203" i="3564" a="1"/>
  <c r="C203" i="3564"/>
  <c r="A203" i="3564"/>
  <c r="BM202" i="3564"/>
  <c r="BC202" i="3564"/>
  <c r="AX202" i="3564" a="1"/>
  <c r="AX202" i="3564"/>
  <c r="AW202" i="3564" a="1"/>
  <c r="AW202" i="3564"/>
  <c r="AV202" i="3564"/>
  <c r="AF202" i="3564"/>
  <c r="W202" i="3564"/>
  <c r="S202" i="3564" a="1"/>
  <c r="S202" i="3564"/>
  <c r="R202" i="3564"/>
  <c r="H202" i="3564" a="1"/>
  <c r="H202" i="3564"/>
  <c r="G202" i="3564" a="1"/>
  <c r="G202" i="3564"/>
  <c r="F202" i="3564" a="1"/>
  <c r="F202" i="3564"/>
  <c r="E202" i="3564" a="1"/>
  <c r="E202" i="3564"/>
  <c r="D202" i="3564" a="1"/>
  <c r="D202" i="3564"/>
  <c r="C202" i="3564" a="1"/>
  <c r="C202" i="3564"/>
  <c r="A202" i="3564"/>
  <c r="BM201" i="3564"/>
  <c r="BC201" i="3564"/>
  <c r="AX201" i="3564" a="1"/>
  <c r="AX201" i="3564"/>
  <c r="AW201" i="3564" a="1"/>
  <c r="AW201" i="3564"/>
  <c r="AV201" i="3564"/>
  <c r="AF201" i="3564"/>
  <c r="W201" i="3564"/>
  <c r="S201" i="3564" a="1"/>
  <c r="S201" i="3564"/>
  <c r="R201" i="3564"/>
  <c r="H201" i="3564" a="1"/>
  <c r="H201" i="3564"/>
  <c r="G201" i="3564" a="1"/>
  <c r="G201" i="3564"/>
  <c r="F201" i="3564" a="1"/>
  <c r="F201" i="3564"/>
  <c r="E201" i="3564" a="1"/>
  <c r="E201" i="3564"/>
  <c r="D201" i="3564" a="1"/>
  <c r="D201" i="3564"/>
  <c r="C201" i="3564" a="1"/>
  <c r="C201" i="3564"/>
  <c r="A201" i="3564"/>
  <c r="BM200" i="3564"/>
  <c r="BC200" i="3564"/>
  <c r="AX200" i="3564" a="1"/>
  <c r="AX200" i="3564"/>
  <c r="AW200" i="3564" a="1"/>
  <c r="AW200" i="3564"/>
  <c r="AV200" i="3564"/>
  <c r="AF200" i="3564"/>
  <c r="W200" i="3564"/>
  <c r="S200" i="3564" a="1"/>
  <c r="S200" i="3564"/>
  <c r="R200" i="3564"/>
  <c r="H200" i="3564" a="1"/>
  <c r="H200" i="3564"/>
  <c r="G200" i="3564" a="1"/>
  <c r="G200" i="3564"/>
  <c r="F200" i="3564" a="1"/>
  <c r="F200" i="3564"/>
  <c r="E200" i="3564" a="1"/>
  <c r="E200" i="3564"/>
  <c r="D200" i="3564" a="1"/>
  <c r="D200" i="3564"/>
  <c r="C200" i="3564" a="1"/>
  <c r="C200" i="3564"/>
  <c r="A200" i="3564"/>
  <c r="BM199" i="3564"/>
  <c r="BC199" i="3564"/>
  <c r="AX199" i="3564" a="1"/>
  <c r="AX199" i="3564"/>
  <c r="AW199" i="3564" a="1"/>
  <c r="AW199" i="3564"/>
  <c r="AV199" i="3564"/>
  <c r="AF199" i="3564"/>
  <c r="W199" i="3564"/>
  <c r="S199" i="3564" a="1"/>
  <c r="S199" i="3564"/>
  <c r="R199" i="3564"/>
  <c r="H199" i="3564" a="1"/>
  <c r="H199" i="3564"/>
  <c r="G199" i="3564" a="1"/>
  <c r="G199" i="3564"/>
  <c r="F199" i="3564" a="1"/>
  <c r="F199" i="3564"/>
  <c r="E199" i="3564" a="1"/>
  <c r="E199" i="3564"/>
  <c r="D199" i="3564" a="1"/>
  <c r="D199" i="3564"/>
  <c r="C199" i="3564" a="1"/>
  <c r="C199" i="3564"/>
  <c r="A199" i="3564"/>
  <c r="BM198" i="3564"/>
  <c r="BC198" i="3564"/>
  <c r="AX198" i="3564" a="1"/>
  <c r="AX198" i="3564"/>
  <c r="AW198" i="3564" a="1"/>
  <c r="AW198" i="3564"/>
  <c r="AV198" i="3564"/>
  <c r="AF198" i="3564"/>
  <c r="W198" i="3564"/>
  <c r="S198" i="3564" a="1"/>
  <c r="S198" i="3564"/>
  <c r="R198" i="3564"/>
  <c r="H198" i="3564" a="1"/>
  <c r="H198" i="3564"/>
  <c r="G198" i="3564" a="1"/>
  <c r="G198" i="3564"/>
  <c r="F198" i="3564" a="1"/>
  <c r="F198" i="3564"/>
  <c r="E198" i="3564" a="1"/>
  <c r="E198" i="3564"/>
  <c r="D198" i="3564" a="1"/>
  <c r="D198" i="3564"/>
  <c r="C198" i="3564" a="1"/>
  <c r="C198" i="3564"/>
  <c r="A198" i="3564"/>
  <c r="BM197" i="3564"/>
  <c r="BC197" i="3564"/>
  <c r="AX197" i="3564" a="1"/>
  <c r="AX197" i="3564"/>
  <c r="AW197" i="3564" a="1"/>
  <c r="AW197" i="3564"/>
  <c r="AV197" i="3564"/>
  <c r="AF197" i="3564"/>
  <c r="W197" i="3564"/>
  <c r="S197" i="3564" a="1"/>
  <c r="S197" i="3564"/>
  <c r="R197" i="3564"/>
  <c r="H197" i="3564" a="1"/>
  <c r="H197" i="3564"/>
  <c r="G197" i="3564" a="1"/>
  <c r="G197" i="3564"/>
  <c r="F197" i="3564" a="1"/>
  <c r="F197" i="3564"/>
  <c r="E197" i="3564" a="1"/>
  <c r="E197" i="3564"/>
  <c r="D197" i="3564" a="1"/>
  <c r="D197" i="3564"/>
  <c r="C197" i="3564" a="1"/>
  <c r="C197" i="3564"/>
  <c r="A197" i="3564"/>
  <c r="BM196" i="3564"/>
  <c r="BC196" i="3564"/>
  <c r="AX196" i="3564" a="1"/>
  <c r="AX196" i="3564"/>
  <c r="AW196" i="3564" a="1"/>
  <c r="AW196" i="3564"/>
  <c r="AV196" i="3564"/>
  <c r="AF196" i="3564"/>
  <c r="W196" i="3564"/>
  <c r="S196" i="3564" a="1"/>
  <c r="S196" i="3564"/>
  <c r="R196" i="3564"/>
  <c r="H196" i="3564" a="1"/>
  <c r="H196" i="3564"/>
  <c r="G196" i="3564" a="1"/>
  <c r="G196" i="3564"/>
  <c r="F196" i="3564" a="1"/>
  <c r="F196" i="3564"/>
  <c r="E196" i="3564" a="1"/>
  <c r="E196" i="3564"/>
  <c r="D196" i="3564" a="1"/>
  <c r="D196" i="3564"/>
  <c r="C196" i="3564" a="1"/>
  <c r="C196" i="3564"/>
  <c r="A196" i="3564"/>
  <c r="BM195" i="3564"/>
  <c r="BC195" i="3564"/>
  <c r="AX195" i="3564" a="1"/>
  <c r="AX195" i="3564"/>
  <c r="AW195" i="3564" a="1"/>
  <c r="AW195" i="3564"/>
  <c r="AV195" i="3564"/>
  <c r="AF195" i="3564"/>
  <c r="W195" i="3564"/>
  <c r="S195" i="3564" a="1"/>
  <c r="S195" i="3564"/>
  <c r="R195" i="3564"/>
  <c r="H195" i="3564" a="1"/>
  <c r="H195" i="3564"/>
  <c r="G195" i="3564" a="1"/>
  <c r="G195" i="3564"/>
  <c r="F195" i="3564" a="1"/>
  <c r="F195" i="3564"/>
  <c r="E195" i="3564" a="1"/>
  <c r="E195" i="3564"/>
  <c r="D195" i="3564" a="1"/>
  <c r="D195" i="3564"/>
  <c r="C195" i="3564" a="1"/>
  <c r="C195" i="3564"/>
  <c r="A195" i="3564"/>
  <c r="BM194" i="3564"/>
  <c r="BC194" i="3564"/>
  <c r="AX194" i="3564" a="1"/>
  <c r="AX194" i="3564"/>
  <c r="AW194" i="3564" a="1"/>
  <c r="AW194" i="3564"/>
  <c r="AV194" i="3564"/>
  <c r="AF194" i="3564"/>
  <c r="W194" i="3564"/>
  <c r="S194" i="3564" a="1"/>
  <c r="S194" i="3564"/>
  <c r="R194" i="3564"/>
  <c r="H194" i="3564" a="1"/>
  <c r="H194" i="3564"/>
  <c r="G194" i="3564" a="1"/>
  <c r="G194" i="3564"/>
  <c r="F194" i="3564" a="1"/>
  <c r="F194" i="3564"/>
  <c r="E194" i="3564" a="1"/>
  <c r="E194" i="3564"/>
  <c r="D194" i="3564" a="1"/>
  <c r="D194" i="3564"/>
  <c r="C194" i="3564" a="1"/>
  <c r="C194" i="3564"/>
  <c r="A194" i="3564"/>
  <c r="BM193" i="3564"/>
  <c r="BC193" i="3564"/>
  <c r="AX193" i="3564" a="1"/>
  <c r="AX193" i="3564"/>
  <c r="AW193" i="3564" a="1"/>
  <c r="AW193" i="3564"/>
  <c r="AV193" i="3564"/>
  <c r="AF193" i="3564"/>
  <c r="W193" i="3564"/>
  <c r="S193" i="3564" a="1"/>
  <c r="S193" i="3564"/>
  <c r="R193" i="3564"/>
  <c r="H193" i="3564" a="1"/>
  <c r="H193" i="3564"/>
  <c r="G193" i="3564" a="1"/>
  <c r="G193" i="3564"/>
  <c r="F193" i="3564" a="1"/>
  <c r="F193" i="3564"/>
  <c r="E193" i="3564" a="1"/>
  <c r="E193" i="3564"/>
  <c r="D193" i="3564" a="1"/>
  <c r="D193" i="3564"/>
  <c r="C193" i="3564" a="1"/>
  <c r="C193" i="3564"/>
  <c r="A193" i="3564"/>
  <c r="BM192" i="3564"/>
  <c r="BC192" i="3564"/>
  <c r="AX192" i="3564" a="1"/>
  <c r="AX192" i="3564"/>
  <c r="AW192" i="3564" a="1"/>
  <c r="AW192" i="3564"/>
  <c r="AV192" i="3564"/>
  <c r="AF192" i="3564"/>
  <c r="W192" i="3564"/>
  <c r="S192" i="3564" a="1"/>
  <c r="S192" i="3564"/>
  <c r="R192" i="3564"/>
  <c r="H192" i="3564" a="1"/>
  <c r="H192" i="3564"/>
  <c r="G192" i="3564" a="1"/>
  <c r="G192" i="3564"/>
  <c r="F192" i="3564" a="1"/>
  <c r="F192" i="3564"/>
  <c r="E192" i="3564" a="1"/>
  <c r="E192" i="3564"/>
  <c r="D192" i="3564" a="1"/>
  <c r="D192" i="3564"/>
  <c r="C192" i="3564" a="1"/>
  <c r="C192" i="3564"/>
  <c r="A192" i="3564"/>
  <c r="BM191" i="3564"/>
  <c r="BC191" i="3564"/>
  <c r="AX191" i="3564" a="1"/>
  <c r="AX191" i="3564"/>
  <c r="AW191" i="3564" a="1"/>
  <c r="AW191" i="3564"/>
  <c r="AV191" i="3564"/>
  <c r="AF191" i="3564"/>
  <c r="W191" i="3564"/>
  <c r="S191" i="3564" a="1"/>
  <c r="S191" i="3564"/>
  <c r="R191" i="3564"/>
  <c r="H191" i="3564" a="1"/>
  <c r="H191" i="3564"/>
  <c r="G191" i="3564" a="1"/>
  <c r="G191" i="3564"/>
  <c r="F191" i="3564" a="1"/>
  <c r="F191" i="3564"/>
  <c r="E191" i="3564" a="1"/>
  <c r="E191" i="3564"/>
  <c r="D191" i="3564" a="1"/>
  <c r="D191" i="3564"/>
  <c r="C191" i="3564" a="1"/>
  <c r="C191" i="3564"/>
  <c r="A191" i="3564"/>
  <c r="BM190" i="3564"/>
  <c r="BC190" i="3564"/>
  <c r="AX190" i="3564" a="1"/>
  <c r="AX190" i="3564"/>
  <c r="AW190" i="3564" a="1"/>
  <c r="AW190" i="3564"/>
  <c r="AV190" i="3564"/>
  <c r="AF190" i="3564"/>
  <c r="W190" i="3564"/>
  <c r="S190" i="3564" a="1"/>
  <c r="S190" i="3564"/>
  <c r="R190" i="3564"/>
  <c r="H190" i="3564" a="1"/>
  <c r="H190" i="3564"/>
  <c r="G190" i="3564" a="1"/>
  <c r="G190" i="3564"/>
  <c r="F190" i="3564" a="1"/>
  <c r="F190" i="3564"/>
  <c r="E190" i="3564" a="1"/>
  <c r="E190" i="3564"/>
  <c r="D190" i="3564" a="1"/>
  <c r="D190" i="3564"/>
  <c r="C190" i="3564" a="1"/>
  <c r="C190" i="3564"/>
  <c r="A190" i="3564"/>
  <c r="BM189" i="3564"/>
  <c r="BC189" i="3564"/>
  <c r="AX189" i="3564" a="1"/>
  <c r="AX189" i="3564"/>
  <c r="AW189" i="3564" a="1"/>
  <c r="AW189" i="3564"/>
  <c r="AV189" i="3564"/>
  <c r="AF189" i="3564"/>
  <c r="W189" i="3564"/>
  <c r="S189" i="3564" a="1"/>
  <c r="S189" i="3564"/>
  <c r="R189" i="3564"/>
  <c r="H189" i="3564" a="1"/>
  <c r="H189" i="3564"/>
  <c r="G189" i="3564" a="1"/>
  <c r="G189" i="3564"/>
  <c r="F189" i="3564" a="1"/>
  <c r="F189" i="3564"/>
  <c r="E189" i="3564" a="1"/>
  <c r="E189" i="3564"/>
  <c r="D189" i="3564" a="1"/>
  <c r="D189" i="3564"/>
  <c r="C189" i="3564" a="1"/>
  <c r="C189" i="3564"/>
  <c r="A189" i="3564"/>
  <c r="BM188" i="3564"/>
  <c r="BC188" i="3564"/>
  <c r="AX188" i="3564" a="1"/>
  <c r="AX188" i="3564"/>
  <c r="AW188" i="3564" a="1"/>
  <c r="AW188" i="3564"/>
  <c r="AV188" i="3564"/>
  <c r="AF188" i="3564"/>
  <c r="W188" i="3564"/>
  <c r="S188" i="3564" a="1"/>
  <c r="S188" i="3564"/>
  <c r="R188" i="3564"/>
  <c r="H188" i="3564" a="1"/>
  <c r="H188" i="3564"/>
  <c r="G188" i="3564" a="1"/>
  <c r="G188" i="3564"/>
  <c r="F188" i="3564" a="1"/>
  <c r="F188" i="3564"/>
  <c r="E188" i="3564" a="1"/>
  <c r="E188" i="3564"/>
  <c r="D188" i="3564" a="1"/>
  <c r="D188" i="3564"/>
  <c r="C188" i="3564" a="1"/>
  <c r="C188" i="3564"/>
  <c r="A188" i="3564"/>
  <c r="BM187" i="3564"/>
  <c r="BC187" i="3564"/>
  <c r="AX187" i="3564" a="1"/>
  <c r="AX187" i="3564"/>
  <c r="AW187" i="3564" a="1"/>
  <c r="AW187" i="3564"/>
  <c r="AV187" i="3564"/>
  <c r="AF187" i="3564"/>
  <c r="W187" i="3564"/>
  <c r="S187" i="3564" a="1"/>
  <c r="S187" i="3564"/>
  <c r="R187" i="3564"/>
  <c r="H187" i="3564" a="1"/>
  <c r="H187" i="3564"/>
  <c r="G187" i="3564" a="1"/>
  <c r="G187" i="3564"/>
  <c r="F187" i="3564" a="1"/>
  <c r="F187" i="3564"/>
  <c r="E187" i="3564" a="1"/>
  <c r="E187" i="3564"/>
  <c r="D187" i="3564" a="1"/>
  <c r="D187" i="3564"/>
  <c r="C187" i="3564" a="1"/>
  <c r="C187" i="3564"/>
  <c r="A187" i="3564"/>
  <c r="BM186" i="3564"/>
  <c r="BC186" i="3564"/>
  <c r="AX186" i="3564" a="1"/>
  <c r="AX186" i="3564"/>
  <c r="AW186" i="3564" a="1"/>
  <c r="AW186" i="3564"/>
  <c r="AV186" i="3564"/>
  <c r="AF186" i="3564"/>
  <c r="W186" i="3564"/>
  <c r="S186" i="3564" a="1"/>
  <c r="S186" i="3564"/>
  <c r="R186" i="3564"/>
  <c r="H186" i="3564" a="1"/>
  <c r="H186" i="3564"/>
  <c r="G186" i="3564" a="1"/>
  <c r="G186" i="3564"/>
  <c r="F186" i="3564" a="1"/>
  <c r="F186" i="3564"/>
  <c r="E186" i="3564" a="1"/>
  <c r="E186" i="3564"/>
  <c r="D186" i="3564" a="1"/>
  <c r="D186" i="3564"/>
  <c r="C186" i="3564" a="1"/>
  <c r="C186" i="3564"/>
  <c r="A186" i="3564"/>
  <c r="BM185" i="3564"/>
  <c r="BC185" i="3564"/>
  <c r="AX185" i="3564" a="1"/>
  <c r="AX185" i="3564"/>
  <c r="AW185" i="3564" a="1"/>
  <c r="AW185" i="3564"/>
  <c r="AV185" i="3564"/>
  <c r="AF185" i="3564"/>
  <c r="W185" i="3564"/>
  <c r="S185" i="3564" a="1"/>
  <c r="S185" i="3564"/>
  <c r="R185" i="3564"/>
  <c r="H185" i="3564" a="1"/>
  <c r="H185" i="3564"/>
  <c r="G185" i="3564" a="1"/>
  <c r="G185" i="3564"/>
  <c r="F185" i="3564" a="1"/>
  <c r="F185" i="3564"/>
  <c r="E185" i="3564" a="1"/>
  <c r="E185" i="3564"/>
  <c r="D185" i="3564" a="1"/>
  <c r="D185" i="3564"/>
  <c r="C185" i="3564" a="1"/>
  <c r="C185" i="3564"/>
  <c r="A185" i="3564"/>
  <c r="BM184" i="3564"/>
  <c r="BC184" i="3564"/>
  <c r="AX184" i="3564" a="1"/>
  <c r="AX184" i="3564"/>
  <c r="AW184" i="3564" a="1"/>
  <c r="AW184" i="3564"/>
  <c r="AV184" i="3564"/>
  <c r="AF184" i="3564"/>
  <c r="W184" i="3564"/>
  <c r="S184" i="3564" a="1"/>
  <c r="S184" i="3564"/>
  <c r="R184" i="3564"/>
  <c r="H184" i="3564" a="1"/>
  <c r="H184" i="3564"/>
  <c r="G184" i="3564" a="1"/>
  <c r="G184" i="3564"/>
  <c r="F184" i="3564" a="1"/>
  <c r="F184" i="3564"/>
  <c r="E184" i="3564" a="1"/>
  <c r="E184" i="3564"/>
  <c r="D184" i="3564" a="1"/>
  <c r="D184" i="3564"/>
  <c r="C184" i="3564" a="1"/>
  <c r="C184" i="3564"/>
  <c r="A184" i="3564"/>
  <c r="BM183" i="3564"/>
  <c r="BC183" i="3564"/>
  <c r="AX183" i="3564" a="1"/>
  <c r="AX183" i="3564"/>
  <c r="AW183" i="3564" a="1"/>
  <c r="AW183" i="3564"/>
  <c r="AV183" i="3564"/>
  <c r="AF183" i="3564"/>
  <c r="W183" i="3564"/>
  <c r="S183" i="3564" a="1"/>
  <c r="S183" i="3564"/>
  <c r="R183" i="3564"/>
  <c r="H183" i="3564" a="1"/>
  <c r="H183" i="3564"/>
  <c r="G183" i="3564" a="1"/>
  <c r="G183" i="3564"/>
  <c r="F183" i="3564" a="1"/>
  <c r="F183" i="3564"/>
  <c r="E183" i="3564" a="1"/>
  <c r="E183" i="3564"/>
  <c r="D183" i="3564" a="1"/>
  <c r="D183" i="3564"/>
  <c r="C183" i="3564" a="1"/>
  <c r="C183" i="3564"/>
  <c r="A183" i="3564"/>
  <c r="BM182" i="3564"/>
  <c r="BC182" i="3564"/>
  <c r="AX182" i="3564" a="1"/>
  <c r="AX182" i="3564"/>
  <c r="AW182" i="3564" a="1"/>
  <c r="AW182" i="3564"/>
  <c r="AV182" i="3564"/>
  <c r="AF182" i="3564"/>
  <c r="W182" i="3564"/>
  <c r="S182" i="3564" a="1"/>
  <c r="S182" i="3564"/>
  <c r="R182" i="3564"/>
  <c r="H182" i="3564" a="1"/>
  <c r="H182" i="3564"/>
  <c r="G182" i="3564" a="1"/>
  <c r="G182" i="3564"/>
  <c r="F182" i="3564" a="1"/>
  <c r="F182" i="3564"/>
  <c r="E182" i="3564" a="1"/>
  <c r="E182" i="3564"/>
  <c r="D182" i="3564" a="1"/>
  <c r="D182" i="3564"/>
  <c r="C182" i="3564" a="1"/>
  <c r="C182" i="3564"/>
  <c r="A182" i="3564"/>
  <c r="BM181" i="3564"/>
  <c r="BC181" i="3564"/>
  <c r="AX181" i="3564" a="1"/>
  <c r="AX181" i="3564"/>
  <c r="AW181" i="3564" a="1"/>
  <c r="AW181" i="3564"/>
  <c r="AV181" i="3564"/>
  <c r="AF181" i="3564"/>
  <c r="W181" i="3564"/>
  <c r="S181" i="3564" a="1"/>
  <c r="S181" i="3564"/>
  <c r="R181" i="3564"/>
  <c r="H181" i="3564" a="1"/>
  <c r="H181" i="3564"/>
  <c r="G181" i="3564" a="1"/>
  <c r="G181" i="3564"/>
  <c r="F181" i="3564" a="1"/>
  <c r="F181" i="3564"/>
  <c r="E181" i="3564" a="1"/>
  <c r="E181" i="3564"/>
  <c r="D181" i="3564" a="1"/>
  <c r="D181" i="3564"/>
  <c r="C181" i="3564" a="1"/>
  <c r="C181" i="3564"/>
  <c r="A181" i="3564"/>
  <c r="BM180" i="3564"/>
  <c r="BC180" i="3564"/>
  <c r="AX180" i="3564" a="1"/>
  <c r="AX180" i="3564"/>
  <c r="AW180" i="3564" a="1"/>
  <c r="AW180" i="3564"/>
  <c r="AV180" i="3564"/>
  <c r="AF180" i="3564"/>
  <c r="W180" i="3564"/>
  <c r="S180" i="3564" a="1"/>
  <c r="S180" i="3564"/>
  <c r="R180" i="3564"/>
  <c r="H180" i="3564" a="1"/>
  <c r="H180" i="3564"/>
  <c r="G180" i="3564" a="1"/>
  <c r="G180" i="3564"/>
  <c r="F180" i="3564" a="1"/>
  <c r="F180" i="3564"/>
  <c r="E180" i="3564" a="1"/>
  <c r="E180" i="3564"/>
  <c r="D180" i="3564" a="1"/>
  <c r="D180" i="3564"/>
  <c r="C180" i="3564" a="1"/>
  <c r="C180" i="3564"/>
  <c r="A180" i="3564"/>
  <c r="BM179" i="3564"/>
  <c r="BC179" i="3564"/>
  <c r="AX179" i="3564" a="1"/>
  <c r="AX179" i="3564"/>
  <c r="AW179" i="3564" a="1"/>
  <c r="AW179" i="3564"/>
  <c r="AV179" i="3564"/>
  <c r="AF179" i="3564"/>
  <c r="W179" i="3564"/>
  <c r="S179" i="3564" a="1"/>
  <c r="S179" i="3564"/>
  <c r="R179" i="3564"/>
  <c r="H179" i="3564" a="1"/>
  <c r="H179" i="3564"/>
  <c r="G179" i="3564" a="1"/>
  <c r="G179" i="3564"/>
  <c r="F179" i="3564" a="1"/>
  <c r="F179" i="3564"/>
  <c r="E179" i="3564" a="1"/>
  <c r="E179" i="3564"/>
  <c r="D179" i="3564" a="1"/>
  <c r="D179" i="3564"/>
  <c r="C179" i="3564" a="1"/>
  <c r="C179" i="3564"/>
  <c r="A179" i="3564"/>
  <c r="BM178" i="3564"/>
  <c r="BC178" i="3564"/>
  <c r="AX178" i="3564" a="1"/>
  <c r="AX178" i="3564"/>
  <c r="AW178" i="3564" a="1"/>
  <c r="AW178" i="3564"/>
  <c r="AV178" i="3564"/>
  <c r="AF178" i="3564"/>
  <c r="W178" i="3564"/>
  <c r="S178" i="3564" a="1"/>
  <c r="S178" i="3564"/>
  <c r="R178" i="3564"/>
  <c r="H178" i="3564" a="1"/>
  <c r="H178" i="3564"/>
  <c r="G178" i="3564" a="1"/>
  <c r="G178" i="3564"/>
  <c r="F178" i="3564" a="1"/>
  <c r="F178" i="3564"/>
  <c r="E178" i="3564" a="1"/>
  <c r="E178" i="3564"/>
  <c r="D178" i="3564" a="1"/>
  <c r="D178" i="3564"/>
  <c r="C178" i="3564" a="1"/>
  <c r="C178" i="3564"/>
  <c r="A178" i="3564"/>
  <c r="BM177" i="3564"/>
  <c r="BC177" i="3564"/>
  <c r="AX177" i="3564" a="1"/>
  <c r="AX177" i="3564"/>
  <c r="AW177" i="3564" a="1"/>
  <c r="AW177" i="3564"/>
  <c r="AV177" i="3564"/>
  <c r="AF177" i="3564"/>
  <c r="W177" i="3564"/>
  <c r="S177" i="3564" a="1"/>
  <c r="S177" i="3564"/>
  <c r="R177" i="3564"/>
  <c r="I177" i="3564"/>
  <c r="H177" i="3564" a="1"/>
  <c r="H177" i="3564"/>
  <c r="G177" i="3564" a="1"/>
  <c r="G177" i="3564"/>
  <c r="F177" i="3564" a="1"/>
  <c r="F177" i="3564"/>
  <c r="E177" i="3564" a="1"/>
  <c r="E177" i="3564"/>
  <c r="D177" i="3564" a="1"/>
  <c r="D177" i="3564"/>
  <c r="C177" i="3564" a="1"/>
  <c r="C177" i="3564"/>
  <c r="A177" i="3564"/>
  <c r="BM176" i="3564"/>
  <c r="BC176" i="3564"/>
  <c r="AX176" i="3564" a="1"/>
  <c r="AX176" i="3564"/>
  <c r="AW176" i="3564" a="1"/>
  <c r="AW176" i="3564"/>
  <c r="AV176" i="3564"/>
  <c r="AF176" i="3564"/>
  <c r="W176" i="3564"/>
  <c r="S176" i="3564" a="1"/>
  <c r="S176" i="3564"/>
  <c r="R176" i="3564"/>
  <c r="H176" i="3564" a="1"/>
  <c r="H176" i="3564"/>
  <c r="G176" i="3564" a="1"/>
  <c r="G176" i="3564"/>
  <c r="F176" i="3564" a="1"/>
  <c r="F176" i="3564"/>
  <c r="E176" i="3564" a="1"/>
  <c r="E176" i="3564"/>
  <c r="D176" i="3564" a="1"/>
  <c r="D176" i="3564"/>
  <c r="C176" i="3564" a="1"/>
  <c r="C176" i="3564"/>
  <c r="A176" i="3564"/>
  <c r="BM175" i="3564"/>
  <c r="BC175" i="3564"/>
  <c r="AX175" i="3564" a="1"/>
  <c r="AX175" i="3564"/>
  <c r="AW175" i="3564" a="1"/>
  <c r="AW175" i="3564"/>
  <c r="AV175" i="3564"/>
  <c r="AF175" i="3564"/>
  <c r="W175" i="3564"/>
  <c r="S175" i="3564" a="1"/>
  <c r="S175" i="3564"/>
  <c r="R175" i="3564"/>
  <c r="H175" i="3564" a="1"/>
  <c r="H175" i="3564"/>
  <c r="G175" i="3564" a="1"/>
  <c r="G175" i="3564"/>
  <c r="F175" i="3564" a="1"/>
  <c r="F175" i="3564"/>
  <c r="E175" i="3564" a="1"/>
  <c r="E175" i="3564"/>
  <c r="D175" i="3564" a="1"/>
  <c r="D175" i="3564"/>
  <c r="C175" i="3564" a="1"/>
  <c r="C175" i="3564"/>
  <c r="A175" i="3564"/>
  <c r="BM174" i="3564"/>
  <c r="BC174" i="3564"/>
  <c r="AX174" i="3564" a="1"/>
  <c r="AX174" i="3564"/>
  <c r="AW174" i="3564" a="1"/>
  <c r="AW174" i="3564"/>
  <c r="AV174" i="3564"/>
  <c r="AF174" i="3564"/>
  <c r="W174" i="3564"/>
  <c r="S174" i="3564" a="1"/>
  <c r="S174" i="3564"/>
  <c r="R174" i="3564"/>
  <c r="H174" i="3564" a="1"/>
  <c r="H174" i="3564"/>
  <c r="G174" i="3564" a="1"/>
  <c r="G174" i="3564"/>
  <c r="F174" i="3564" a="1"/>
  <c r="F174" i="3564"/>
  <c r="E174" i="3564" a="1"/>
  <c r="E174" i="3564"/>
  <c r="D174" i="3564" a="1"/>
  <c r="D174" i="3564"/>
  <c r="C174" i="3564" a="1"/>
  <c r="C174" i="3564"/>
  <c r="A174" i="3564"/>
  <c r="BM173" i="3564"/>
  <c r="BC173" i="3564"/>
  <c r="AX173" i="3564" a="1"/>
  <c r="AX173" i="3564"/>
  <c r="AW173" i="3564" a="1"/>
  <c r="AW173" i="3564"/>
  <c r="AV173" i="3564"/>
  <c r="AF173" i="3564"/>
  <c r="W173" i="3564"/>
  <c r="S173" i="3564" a="1"/>
  <c r="S173" i="3564"/>
  <c r="R173" i="3564"/>
  <c r="H173" i="3564" a="1"/>
  <c r="H173" i="3564"/>
  <c r="G173" i="3564" a="1"/>
  <c r="G173" i="3564"/>
  <c r="F173" i="3564" a="1"/>
  <c r="F173" i="3564"/>
  <c r="E173" i="3564" a="1"/>
  <c r="E173" i="3564"/>
  <c r="D173" i="3564" a="1"/>
  <c r="D173" i="3564"/>
  <c r="C173" i="3564" a="1"/>
  <c r="C173" i="3564"/>
  <c r="A173" i="3564"/>
  <c r="BM172" i="3564"/>
  <c r="BC172" i="3564"/>
  <c r="AX172" i="3564" a="1"/>
  <c r="AX172" i="3564"/>
  <c r="AW172" i="3564" a="1"/>
  <c r="AW172" i="3564"/>
  <c r="AV172" i="3564"/>
  <c r="AF172" i="3564"/>
  <c r="W172" i="3564"/>
  <c r="S172" i="3564" a="1"/>
  <c r="S172" i="3564"/>
  <c r="R172" i="3564"/>
  <c r="H172" i="3564" a="1"/>
  <c r="H172" i="3564"/>
  <c r="G172" i="3564" a="1"/>
  <c r="G172" i="3564"/>
  <c r="F172" i="3564" a="1"/>
  <c r="F172" i="3564"/>
  <c r="E172" i="3564" a="1"/>
  <c r="E172" i="3564"/>
  <c r="D172" i="3564" a="1"/>
  <c r="D172" i="3564"/>
  <c r="C172" i="3564" a="1"/>
  <c r="C172" i="3564"/>
  <c r="A172" i="3564"/>
  <c r="BM171" i="3564"/>
  <c r="BC171" i="3564"/>
  <c r="AX171" i="3564" a="1"/>
  <c r="AX171" i="3564"/>
  <c r="AW171" i="3564" a="1"/>
  <c r="AW171" i="3564"/>
  <c r="AV171" i="3564"/>
  <c r="AF171" i="3564"/>
  <c r="W171" i="3564"/>
  <c r="S171" i="3564" a="1"/>
  <c r="S171" i="3564"/>
  <c r="R171" i="3564"/>
  <c r="H171" i="3564" a="1"/>
  <c r="H171" i="3564"/>
  <c r="G171" i="3564" a="1"/>
  <c r="G171" i="3564"/>
  <c r="F171" i="3564" a="1"/>
  <c r="F171" i="3564"/>
  <c r="E171" i="3564" a="1"/>
  <c r="E171" i="3564"/>
  <c r="D171" i="3564" a="1"/>
  <c r="D171" i="3564"/>
  <c r="C171" i="3564" a="1"/>
  <c r="C171" i="3564"/>
  <c r="A171" i="3564"/>
  <c r="BM170" i="3564"/>
  <c r="BC170" i="3564"/>
  <c r="AX170" i="3564" a="1"/>
  <c r="AX170" i="3564"/>
  <c r="AW170" i="3564" a="1"/>
  <c r="AW170" i="3564"/>
  <c r="AV170" i="3564"/>
  <c r="AF170" i="3564"/>
  <c r="W170" i="3564"/>
  <c r="S170" i="3564" a="1"/>
  <c r="S170" i="3564"/>
  <c r="R170" i="3564"/>
  <c r="H170" i="3564" a="1"/>
  <c r="H170" i="3564"/>
  <c r="G170" i="3564" a="1"/>
  <c r="G170" i="3564"/>
  <c r="F170" i="3564" a="1"/>
  <c r="F170" i="3564"/>
  <c r="E170" i="3564" a="1"/>
  <c r="E170" i="3564"/>
  <c r="D170" i="3564" a="1"/>
  <c r="D170" i="3564"/>
  <c r="C170" i="3564" a="1"/>
  <c r="C170" i="3564"/>
  <c r="A170" i="3564"/>
  <c r="BM169" i="3564"/>
  <c r="BC169" i="3564"/>
  <c r="AX169" i="3564" a="1"/>
  <c r="AX169" i="3564"/>
  <c r="AW169" i="3564" a="1"/>
  <c r="AW169" i="3564"/>
  <c r="AV169" i="3564"/>
  <c r="AF169" i="3564"/>
  <c r="W169" i="3564"/>
  <c r="S169" i="3564" a="1"/>
  <c r="S169" i="3564"/>
  <c r="R169" i="3564"/>
  <c r="H169" i="3564" a="1"/>
  <c r="H169" i="3564"/>
  <c r="G169" i="3564" a="1"/>
  <c r="G169" i="3564"/>
  <c r="F169" i="3564" a="1"/>
  <c r="F169" i="3564"/>
  <c r="E169" i="3564" a="1"/>
  <c r="E169" i="3564"/>
  <c r="D169" i="3564" a="1"/>
  <c r="D169" i="3564"/>
  <c r="C169" i="3564" a="1"/>
  <c r="C169" i="3564"/>
  <c r="A169" i="3564"/>
  <c r="BM168" i="3564"/>
  <c r="BC168" i="3564"/>
  <c r="AX168" i="3564" a="1"/>
  <c r="AX168" i="3564"/>
  <c r="AW168" i="3564" a="1"/>
  <c r="AW168" i="3564"/>
  <c r="AV168" i="3564"/>
  <c r="AF168" i="3564"/>
  <c r="W168" i="3564"/>
  <c r="S168" i="3564" a="1"/>
  <c r="S168" i="3564"/>
  <c r="R168" i="3564"/>
  <c r="H168" i="3564" a="1"/>
  <c r="H168" i="3564"/>
  <c r="G168" i="3564" a="1"/>
  <c r="G168" i="3564"/>
  <c r="F168" i="3564" a="1"/>
  <c r="F168" i="3564"/>
  <c r="E168" i="3564" a="1"/>
  <c r="E168" i="3564"/>
  <c r="D168" i="3564" a="1"/>
  <c r="D168" i="3564"/>
  <c r="C168" i="3564" a="1"/>
  <c r="C168" i="3564"/>
  <c r="A168" i="3564"/>
  <c r="BM167" i="3564"/>
  <c r="BC167" i="3564"/>
  <c r="AX167" i="3564" a="1"/>
  <c r="AX167" i="3564"/>
  <c r="AW167" i="3564" a="1"/>
  <c r="AW167" i="3564"/>
  <c r="AV167" i="3564"/>
  <c r="AF167" i="3564"/>
  <c r="W167" i="3564"/>
  <c r="S167" i="3564" a="1"/>
  <c r="S167" i="3564"/>
  <c r="R167" i="3564"/>
  <c r="H167" i="3564" a="1"/>
  <c r="H167" i="3564"/>
  <c r="G167" i="3564" a="1"/>
  <c r="G167" i="3564"/>
  <c r="F167" i="3564" a="1"/>
  <c r="F167" i="3564"/>
  <c r="E167" i="3564" a="1"/>
  <c r="E167" i="3564"/>
  <c r="D167" i="3564" a="1"/>
  <c r="D167" i="3564"/>
  <c r="C167" i="3564" a="1"/>
  <c r="C167" i="3564"/>
  <c r="A167" i="3564"/>
  <c r="BM166" i="3564"/>
  <c r="BC166" i="3564"/>
  <c r="AX166" i="3564" a="1"/>
  <c r="AX166" i="3564"/>
  <c r="AW166" i="3564" a="1"/>
  <c r="AW166" i="3564"/>
  <c r="AV166" i="3564"/>
  <c r="AF166" i="3564"/>
  <c r="W166" i="3564"/>
  <c r="S166" i="3564" a="1"/>
  <c r="S166" i="3564"/>
  <c r="R166" i="3564"/>
  <c r="H166" i="3564" a="1"/>
  <c r="H166" i="3564"/>
  <c r="G166" i="3564" a="1"/>
  <c r="G166" i="3564"/>
  <c r="F166" i="3564" a="1"/>
  <c r="F166" i="3564"/>
  <c r="E166" i="3564" a="1"/>
  <c r="E166" i="3564"/>
  <c r="D166" i="3564" a="1"/>
  <c r="D166" i="3564"/>
  <c r="C166" i="3564" a="1"/>
  <c r="C166" i="3564"/>
  <c r="A166" i="3564"/>
  <c r="BM165" i="3564"/>
  <c r="BC165" i="3564"/>
  <c r="AX165" i="3564" a="1"/>
  <c r="AX165" i="3564"/>
  <c r="AW165" i="3564" a="1"/>
  <c r="AW165" i="3564"/>
  <c r="AV165" i="3564"/>
  <c r="AF165" i="3564"/>
  <c r="W165" i="3564"/>
  <c r="S165" i="3564" a="1"/>
  <c r="S165" i="3564"/>
  <c r="R165" i="3564"/>
  <c r="H165" i="3564" a="1"/>
  <c r="H165" i="3564"/>
  <c r="G165" i="3564" a="1"/>
  <c r="G165" i="3564"/>
  <c r="F165" i="3564" a="1"/>
  <c r="F165" i="3564"/>
  <c r="E165" i="3564" a="1"/>
  <c r="E165" i="3564"/>
  <c r="D165" i="3564" a="1"/>
  <c r="D165" i="3564"/>
  <c r="C165" i="3564" a="1"/>
  <c r="C165" i="3564"/>
  <c r="A165" i="3564"/>
  <c r="BM164" i="3564"/>
  <c r="BC164" i="3564"/>
  <c r="AX164" i="3564" a="1"/>
  <c r="AX164" i="3564"/>
  <c r="AW164" i="3564" a="1"/>
  <c r="AW164" i="3564"/>
  <c r="AV164" i="3564"/>
  <c r="AF164" i="3564"/>
  <c r="W164" i="3564"/>
  <c r="S164" i="3564" a="1"/>
  <c r="S164" i="3564"/>
  <c r="R164" i="3564"/>
  <c r="H164" i="3564" a="1"/>
  <c r="H164" i="3564"/>
  <c r="G164" i="3564" a="1"/>
  <c r="G164" i="3564"/>
  <c r="F164" i="3564" a="1"/>
  <c r="F164" i="3564"/>
  <c r="E164" i="3564" a="1"/>
  <c r="E164" i="3564"/>
  <c r="D164" i="3564" a="1"/>
  <c r="D164" i="3564"/>
  <c r="C164" i="3564" a="1"/>
  <c r="C164" i="3564"/>
  <c r="A164" i="3564"/>
  <c r="BM163" i="3564"/>
  <c r="BC163" i="3564"/>
  <c r="AX163" i="3564" a="1"/>
  <c r="AX163" i="3564"/>
  <c r="AW163" i="3564" a="1"/>
  <c r="AW163" i="3564"/>
  <c r="AV163" i="3564"/>
  <c r="AF163" i="3564"/>
  <c r="W163" i="3564"/>
  <c r="S163" i="3564" a="1"/>
  <c r="S163" i="3564"/>
  <c r="R163" i="3564"/>
  <c r="H163" i="3564" a="1"/>
  <c r="H163" i="3564"/>
  <c r="G163" i="3564" a="1"/>
  <c r="G163" i="3564"/>
  <c r="F163" i="3564" a="1"/>
  <c r="F163" i="3564"/>
  <c r="E163" i="3564" a="1"/>
  <c r="E163" i="3564"/>
  <c r="D163" i="3564" a="1"/>
  <c r="D163" i="3564"/>
  <c r="C163" i="3564" a="1"/>
  <c r="C163" i="3564"/>
  <c r="A163" i="3564"/>
  <c r="BM162" i="3564"/>
  <c r="BC162" i="3564"/>
  <c r="AX162" i="3564" a="1"/>
  <c r="AX162" i="3564"/>
  <c r="AW162" i="3564" a="1"/>
  <c r="AW162" i="3564"/>
  <c r="AV162" i="3564"/>
  <c r="AF162" i="3564"/>
  <c r="W162" i="3564"/>
  <c r="S162" i="3564" a="1"/>
  <c r="S162" i="3564"/>
  <c r="R162" i="3564"/>
  <c r="H162" i="3564" a="1"/>
  <c r="H162" i="3564"/>
  <c r="G162" i="3564" a="1"/>
  <c r="G162" i="3564"/>
  <c r="F162" i="3564" a="1"/>
  <c r="F162" i="3564"/>
  <c r="E162" i="3564" a="1"/>
  <c r="E162" i="3564"/>
  <c r="D162" i="3564" a="1"/>
  <c r="D162" i="3564"/>
  <c r="C162" i="3564" a="1"/>
  <c r="C162" i="3564"/>
  <c r="A162" i="3564"/>
  <c r="BM161" i="3564"/>
  <c r="BC161" i="3564"/>
  <c r="AX161" i="3564" a="1"/>
  <c r="AX161" i="3564"/>
  <c r="AW161" i="3564" a="1"/>
  <c r="AW161" i="3564"/>
  <c r="AV161" i="3564"/>
  <c r="AF161" i="3564"/>
  <c r="W161" i="3564"/>
  <c r="S161" i="3564" a="1"/>
  <c r="S161" i="3564"/>
  <c r="R161" i="3564"/>
  <c r="H161" i="3564" a="1"/>
  <c r="H161" i="3564"/>
  <c r="G161" i="3564" a="1"/>
  <c r="G161" i="3564"/>
  <c r="F161" i="3564" a="1"/>
  <c r="F161" i="3564"/>
  <c r="E161" i="3564" a="1"/>
  <c r="E161" i="3564"/>
  <c r="D161" i="3564" a="1"/>
  <c r="D161" i="3564"/>
  <c r="C161" i="3564" a="1"/>
  <c r="C161" i="3564"/>
  <c r="A161" i="3564"/>
  <c r="BM160" i="3564"/>
  <c r="BC160" i="3564"/>
  <c r="AX160" i="3564" a="1"/>
  <c r="AX160" i="3564"/>
  <c r="AW160" i="3564" a="1"/>
  <c r="AW160" i="3564"/>
  <c r="AV160" i="3564"/>
  <c r="AF160" i="3564"/>
  <c r="W160" i="3564"/>
  <c r="S160" i="3564" a="1"/>
  <c r="S160" i="3564"/>
  <c r="R160" i="3564"/>
  <c r="H160" i="3564" a="1"/>
  <c r="H160" i="3564"/>
  <c r="G160" i="3564" a="1"/>
  <c r="G160" i="3564"/>
  <c r="F160" i="3564" a="1"/>
  <c r="F160" i="3564"/>
  <c r="E160" i="3564" a="1"/>
  <c r="E160" i="3564"/>
  <c r="D160" i="3564" a="1"/>
  <c r="D160" i="3564"/>
  <c r="C160" i="3564" a="1"/>
  <c r="C160" i="3564"/>
  <c r="A160" i="3564"/>
  <c r="BM159" i="3564"/>
  <c r="BC159" i="3564"/>
  <c r="AX159" i="3564" a="1"/>
  <c r="AX159" i="3564"/>
  <c r="AW159" i="3564" a="1"/>
  <c r="AW159" i="3564"/>
  <c r="AV159" i="3564"/>
  <c r="AF159" i="3564"/>
  <c r="W159" i="3564"/>
  <c r="S159" i="3564" a="1"/>
  <c r="S159" i="3564"/>
  <c r="R159" i="3564"/>
  <c r="H159" i="3564" a="1"/>
  <c r="H159" i="3564"/>
  <c r="G159" i="3564" a="1"/>
  <c r="G159" i="3564"/>
  <c r="F159" i="3564" a="1"/>
  <c r="F159" i="3564"/>
  <c r="E159" i="3564" a="1"/>
  <c r="E159" i="3564"/>
  <c r="D159" i="3564" a="1"/>
  <c r="D159" i="3564"/>
  <c r="C159" i="3564" a="1"/>
  <c r="C159" i="3564"/>
  <c r="A159" i="3564"/>
  <c r="BM158" i="3564"/>
  <c r="BC158" i="3564"/>
  <c r="AX158" i="3564" a="1"/>
  <c r="AX158" i="3564"/>
  <c r="AW158" i="3564" a="1"/>
  <c r="AW158" i="3564"/>
  <c r="AV158" i="3564"/>
  <c r="AF158" i="3564"/>
  <c r="W158" i="3564"/>
  <c r="S158" i="3564" a="1"/>
  <c r="S158" i="3564"/>
  <c r="R158" i="3564"/>
  <c r="H158" i="3564" a="1"/>
  <c r="H158" i="3564"/>
  <c r="G158" i="3564" a="1"/>
  <c r="G158" i="3564"/>
  <c r="F158" i="3564" a="1"/>
  <c r="F158" i="3564"/>
  <c r="E158" i="3564" a="1"/>
  <c r="E158" i="3564"/>
  <c r="D158" i="3564" a="1"/>
  <c r="D158" i="3564"/>
  <c r="C158" i="3564" a="1"/>
  <c r="C158" i="3564"/>
  <c r="A158" i="3564"/>
  <c r="BM157" i="3564"/>
  <c r="BC157" i="3564"/>
  <c r="AX157" i="3564" a="1"/>
  <c r="AX157" i="3564"/>
  <c r="AW157" i="3564" a="1"/>
  <c r="AW157" i="3564"/>
  <c r="AV157" i="3564"/>
  <c r="AF157" i="3564"/>
  <c r="W157" i="3564"/>
  <c r="S157" i="3564" a="1"/>
  <c r="S157" i="3564"/>
  <c r="R157" i="3564"/>
  <c r="H157" i="3564" a="1"/>
  <c r="H157" i="3564"/>
  <c r="G157" i="3564" a="1"/>
  <c r="G157" i="3564"/>
  <c r="F157" i="3564" a="1"/>
  <c r="F157" i="3564"/>
  <c r="E157" i="3564" a="1"/>
  <c r="E157" i="3564"/>
  <c r="D157" i="3564" a="1"/>
  <c r="D157" i="3564"/>
  <c r="C157" i="3564" a="1"/>
  <c r="C157" i="3564"/>
  <c r="A157" i="3564"/>
  <c r="BM156" i="3564"/>
  <c r="BC156" i="3564"/>
  <c r="AX156" i="3564" a="1"/>
  <c r="AX156" i="3564"/>
  <c r="AW156" i="3564" a="1"/>
  <c r="AW156" i="3564"/>
  <c r="AV156" i="3564"/>
  <c r="AF156" i="3564"/>
  <c r="W156" i="3564"/>
  <c r="S156" i="3564" a="1"/>
  <c r="S156" i="3564"/>
  <c r="R156" i="3564"/>
  <c r="H156" i="3564" a="1"/>
  <c r="H156" i="3564"/>
  <c r="G156" i="3564" a="1"/>
  <c r="G156" i="3564"/>
  <c r="F156" i="3564" a="1"/>
  <c r="F156" i="3564"/>
  <c r="E156" i="3564" a="1"/>
  <c r="E156" i="3564"/>
  <c r="D156" i="3564" a="1"/>
  <c r="D156" i="3564"/>
  <c r="C156" i="3564" a="1"/>
  <c r="C156" i="3564"/>
  <c r="A156" i="3564"/>
  <c r="BM155" i="3564"/>
  <c r="BC155" i="3564"/>
  <c r="AX155" i="3564" a="1"/>
  <c r="AX155" i="3564"/>
  <c r="AW155" i="3564" a="1"/>
  <c r="AW155" i="3564"/>
  <c r="AV155" i="3564"/>
  <c r="AF155" i="3564"/>
  <c r="W155" i="3564"/>
  <c r="S155" i="3564" a="1"/>
  <c r="S155" i="3564"/>
  <c r="R155" i="3564"/>
  <c r="H155" i="3564" a="1"/>
  <c r="H155" i="3564"/>
  <c r="G155" i="3564" a="1"/>
  <c r="G155" i="3564"/>
  <c r="F155" i="3564" a="1"/>
  <c r="F155" i="3564"/>
  <c r="E155" i="3564" a="1"/>
  <c r="E155" i="3564"/>
  <c r="D155" i="3564" a="1"/>
  <c r="D155" i="3564"/>
  <c r="C155" i="3564" a="1"/>
  <c r="C155" i="3564"/>
  <c r="A155" i="3564"/>
  <c r="BM154" i="3564"/>
  <c r="BC154" i="3564"/>
  <c r="AX154" i="3564" a="1"/>
  <c r="AX154" i="3564"/>
  <c r="AW154" i="3564" a="1"/>
  <c r="AW154" i="3564"/>
  <c r="AV154" i="3564"/>
  <c r="AF154" i="3564"/>
  <c r="W154" i="3564"/>
  <c r="S154" i="3564" a="1"/>
  <c r="S154" i="3564"/>
  <c r="R154" i="3564"/>
  <c r="H154" i="3564" a="1"/>
  <c r="H154" i="3564"/>
  <c r="G154" i="3564" a="1"/>
  <c r="G154" i="3564"/>
  <c r="F154" i="3564" a="1"/>
  <c r="F154" i="3564"/>
  <c r="E154" i="3564" a="1"/>
  <c r="E154" i="3564"/>
  <c r="D154" i="3564" a="1"/>
  <c r="D154" i="3564"/>
  <c r="C154" i="3564" a="1"/>
  <c r="C154" i="3564"/>
  <c r="A154" i="3564"/>
  <c r="BM153" i="3564"/>
  <c r="BC153" i="3564"/>
  <c r="AX153" i="3564" a="1"/>
  <c r="AX153" i="3564"/>
  <c r="AW153" i="3564" a="1"/>
  <c r="AW153" i="3564"/>
  <c r="AV153" i="3564"/>
  <c r="AF153" i="3564"/>
  <c r="W153" i="3564"/>
  <c r="S153" i="3564" a="1"/>
  <c r="S153" i="3564"/>
  <c r="R153" i="3564"/>
  <c r="H153" i="3564" a="1"/>
  <c r="H153" i="3564"/>
  <c r="G153" i="3564" a="1"/>
  <c r="G153" i="3564"/>
  <c r="F153" i="3564" a="1"/>
  <c r="F153" i="3564"/>
  <c r="E153" i="3564" a="1"/>
  <c r="E153" i="3564"/>
  <c r="D153" i="3564" a="1"/>
  <c r="D153" i="3564"/>
  <c r="C153" i="3564" a="1"/>
  <c r="C153" i="3564"/>
  <c r="A153" i="3564"/>
  <c r="BM152" i="3564"/>
  <c r="BC152" i="3564"/>
  <c r="AX152" i="3564" a="1"/>
  <c r="AX152" i="3564"/>
  <c r="AW152" i="3564" a="1"/>
  <c r="AW152" i="3564"/>
  <c r="AV152" i="3564"/>
  <c r="AF152" i="3564"/>
  <c r="W152" i="3564"/>
  <c r="S152" i="3564" a="1"/>
  <c r="S152" i="3564"/>
  <c r="R152" i="3564"/>
  <c r="H152" i="3564" a="1"/>
  <c r="H152" i="3564"/>
  <c r="G152" i="3564" a="1"/>
  <c r="G152" i="3564"/>
  <c r="F152" i="3564" a="1"/>
  <c r="F152" i="3564"/>
  <c r="E152" i="3564" a="1"/>
  <c r="E152" i="3564"/>
  <c r="D152" i="3564" a="1"/>
  <c r="D152" i="3564"/>
  <c r="C152" i="3564" a="1"/>
  <c r="C152" i="3564"/>
  <c r="A152" i="3564"/>
  <c r="BM151" i="3564"/>
  <c r="BC151" i="3564"/>
  <c r="AX151" i="3564" a="1"/>
  <c r="AX151" i="3564"/>
  <c r="AW151" i="3564" a="1"/>
  <c r="AW151" i="3564"/>
  <c r="AV151" i="3564"/>
  <c r="AF151" i="3564"/>
  <c r="W151" i="3564"/>
  <c r="S151" i="3564" a="1"/>
  <c r="S151" i="3564"/>
  <c r="R151" i="3564"/>
  <c r="H151" i="3564" a="1"/>
  <c r="H151" i="3564"/>
  <c r="G151" i="3564" a="1"/>
  <c r="G151" i="3564"/>
  <c r="F151" i="3564" a="1"/>
  <c r="F151" i="3564"/>
  <c r="E151" i="3564" a="1"/>
  <c r="E151" i="3564"/>
  <c r="D151" i="3564" a="1"/>
  <c r="D151" i="3564"/>
  <c r="C151" i="3564" a="1"/>
  <c r="C151" i="3564"/>
  <c r="A151" i="3564"/>
  <c r="BM150" i="3564"/>
  <c r="BC150" i="3564"/>
  <c r="AX150" i="3564" a="1"/>
  <c r="AX150" i="3564"/>
  <c r="AW150" i="3564" a="1"/>
  <c r="AW150" i="3564"/>
  <c r="AV150" i="3564"/>
  <c r="AF150" i="3564"/>
  <c r="W150" i="3564"/>
  <c r="S150" i="3564" a="1"/>
  <c r="S150" i="3564"/>
  <c r="R150" i="3564"/>
  <c r="H150" i="3564" a="1"/>
  <c r="H150" i="3564"/>
  <c r="G150" i="3564" a="1"/>
  <c r="G150" i="3564"/>
  <c r="F150" i="3564" a="1"/>
  <c r="F150" i="3564"/>
  <c r="E150" i="3564" a="1"/>
  <c r="E150" i="3564"/>
  <c r="D150" i="3564" a="1"/>
  <c r="D150" i="3564"/>
  <c r="C150" i="3564" a="1"/>
  <c r="C150" i="3564"/>
  <c r="A150" i="3564"/>
  <c r="BM149" i="3564"/>
  <c r="BC149" i="3564"/>
  <c r="AX149" i="3564" a="1"/>
  <c r="AX149" i="3564"/>
  <c r="AW149" i="3564" a="1"/>
  <c r="AW149" i="3564"/>
  <c r="AV149" i="3564"/>
  <c r="AF149" i="3564"/>
  <c r="W149" i="3564"/>
  <c r="S149" i="3564" a="1"/>
  <c r="S149" i="3564"/>
  <c r="R149" i="3564"/>
  <c r="H149" i="3564" a="1"/>
  <c r="H149" i="3564"/>
  <c r="G149" i="3564" a="1"/>
  <c r="G149" i="3564"/>
  <c r="F149" i="3564" a="1"/>
  <c r="F149" i="3564"/>
  <c r="E149" i="3564" a="1"/>
  <c r="E149" i="3564"/>
  <c r="D149" i="3564" a="1"/>
  <c r="D149" i="3564"/>
  <c r="C149" i="3564" a="1"/>
  <c r="C149" i="3564"/>
  <c r="A149" i="3564"/>
  <c r="BM148" i="3564"/>
  <c r="BC148" i="3564"/>
  <c r="AX148" i="3564" a="1"/>
  <c r="AX148" i="3564"/>
  <c r="AW148" i="3564" a="1"/>
  <c r="AW148" i="3564"/>
  <c r="AV148" i="3564"/>
  <c r="AF148" i="3564"/>
  <c r="W148" i="3564"/>
  <c r="S148" i="3564" a="1"/>
  <c r="S148" i="3564"/>
  <c r="R148" i="3564"/>
  <c r="H148" i="3564" a="1"/>
  <c r="H148" i="3564"/>
  <c r="G148" i="3564" a="1"/>
  <c r="G148" i="3564"/>
  <c r="F148" i="3564" a="1"/>
  <c r="F148" i="3564"/>
  <c r="E148" i="3564" a="1"/>
  <c r="E148" i="3564"/>
  <c r="D148" i="3564" a="1"/>
  <c r="D148" i="3564"/>
  <c r="C148" i="3564" a="1"/>
  <c r="C148" i="3564"/>
  <c r="A148" i="3564"/>
  <c r="BM147" i="3564"/>
  <c r="BC147" i="3564"/>
  <c r="AX147" i="3564" a="1"/>
  <c r="AX147" i="3564"/>
  <c r="AW147" i="3564" a="1"/>
  <c r="AW147" i="3564"/>
  <c r="AV147" i="3564"/>
  <c r="AF147" i="3564"/>
  <c r="W147" i="3564"/>
  <c r="S147" i="3564" a="1"/>
  <c r="S147" i="3564"/>
  <c r="R147" i="3564"/>
  <c r="H147" i="3564" a="1"/>
  <c r="H147" i="3564"/>
  <c r="G147" i="3564" a="1"/>
  <c r="G147" i="3564"/>
  <c r="F147" i="3564" a="1"/>
  <c r="F147" i="3564"/>
  <c r="E147" i="3564" a="1"/>
  <c r="E147" i="3564"/>
  <c r="D147" i="3564" a="1"/>
  <c r="D147" i="3564"/>
  <c r="C147" i="3564" a="1"/>
  <c r="C147" i="3564"/>
  <c r="A147" i="3564"/>
  <c r="BM146" i="3564"/>
  <c r="BC146" i="3564"/>
  <c r="AX146" i="3564" a="1"/>
  <c r="AX146" i="3564"/>
  <c r="AW146" i="3564" a="1"/>
  <c r="AW146" i="3564"/>
  <c r="AV146" i="3564"/>
  <c r="AF146" i="3564"/>
  <c r="W146" i="3564"/>
  <c r="S146" i="3564" a="1"/>
  <c r="S146" i="3564"/>
  <c r="R146" i="3564"/>
  <c r="H146" i="3564" a="1"/>
  <c r="H146" i="3564"/>
  <c r="G146" i="3564" a="1"/>
  <c r="G146" i="3564"/>
  <c r="F146" i="3564" a="1"/>
  <c r="F146" i="3564"/>
  <c r="E146" i="3564" a="1"/>
  <c r="E146" i="3564"/>
  <c r="D146" i="3564" a="1"/>
  <c r="D146" i="3564"/>
  <c r="C146" i="3564" a="1"/>
  <c r="C146" i="3564"/>
  <c r="A146" i="3564"/>
  <c r="BM145" i="3564"/>
  <c r="BC145" i="3564"/>
  <c r="AX145" i="3564" a="1"/>
  <c r="AX145" i="3564"/>
  <c r="AW145" i="3564" a="1"/>
  <c r="AW145" i="3564"/>
  <c r="AV145" i="3564"/>
  <c r="AF145" i="3564"/>
  <c r="W145" i="3564"/>
  <c r="S145" i="3564" a="1"/>
  <c r="S145" i="3564"/>
  <c r="R145" i="3564"/>
  <c r="H145" i="3564" a="1"/>
  <c r="H145" i="3564"/>
  <c r="G145" i="3564" a="1"/>
  <c r="G145" i="3564"/>
  <c r="F145" i="3564" a="1"/>
  <c r="F145" i="3564"/>
  <c r="E145" i="3564" a="1"/>
  <c r="E145" i="3564"/>
  <c r="D145" i="3564" a="1"/>
  <c r="D145" i="3564"/>
  <c r="C145" i="3564" a="1"/>
  <c r="C145" i="3564"/>
  <c r="A145" i="3564"/>
  <c r="BM144" i="3564"/>
  <c r="BC144" i="3564"/>
  <c r="AX144" i="3564" a="1"/>
  <c r="AX144" i="3564"/>
  <c r="AW144" i="3564" a="1"/>
  <c r="AW144" i="3564"/>
  <c r="AV144" i="3564"/>
  <c r="AF144" i="3564"/>
  <c r="W144" i="3564"/>
  <c r="S144" i="3564" a="1"/>
  <c r="S144" i="3564"/>
  <c r="R144" i="3564"/>
  <c r="H144" i="3564" a="1"/>
  <c r="H144" i="3564"/>
  <c r="G144" i="3564" a="1"/>
  <c r="G144" i="3564"/>
  <c r="F144" i="3564" a="1"/>
  <c r="F144" i="3564"/>
  <c r="E144" i="3564" a="1"/>
  <c r="E144" i="3564"/>
  <c r="D144" i="3564" a="1"/>
  <c r="D144" i="3564"/>
  <c r="C144" i="3564" a="1"/>
  <c r="C144" i="3564"/>
  <c r="A144" i="3564"/>
  <c r="BM143" i="3564"/>
  <c r="BC143" i="3564"/>
  <c r="AX143" i="3564" a="1"/>
  <c r="AX143" i="3564"/>
  <c r="AW143" i="3564" a="1"/>
  <c r="AW143" i="3564"/>
  <c r="AV143" i="3564"/>
  <c r="AF143" i="3564"/>
  <c r="W143" i="3564"/>
  <c r="S143" i="3564" a="1"/>
  <c r="S143" i="3564"/>
  <c r="R143" i="3564"/>
  <c r="H143" i="3564" a="1"/>
  <c r="H143" i="3564"/>
  <c r="G143" i="3564" a="1"/>
  <c r="G143" i="3564"/>
  <c r="F143" i="3564" a="1"/>
  <c r="F143" i="3564"/>
  <c r="E143" i="3564" a="1"/>
  <c r="E143" i="3564"/>
  <c r="D143" i="3564" a="1"/>
  <c r="D143" i="3564"/>
  <c r="C143" i="3564" a="1"/>
  <c r="C143" i="3564"/>
  <c r="A143" i="3564"/>
  <c r="BM142" i="3564"/>
  <c r="BC142" i="3564"/>
  <c r="AX142" i="3564" a="1"/>
  <c r="AX142" i="3564"/>
  <c r="AW142" i="3564" a="1"/>
  <c r="AW142" i="3564"/>
  <c r="AV142" i="3564"/>
  <c r="AF142" i="3564"/>
  <c r="W142" i="3564"/>
  <c r="S142" i="3564" a="1"/>
  <c r="S142" i="3564"/>
  <c r="R142" i="3564"/>
  <c r="H142" i="3564" a="1"/>
  <c r="H142" i="3564"/>
  <c r="G142" i="3564" a="1"/>
  <c r="G142" i="3564"/>
  <c r="F142" i="3564" a="1"/>
  <c r="F142" i="3564"/>
  <c r="E142" i="3564" a="1"/>
  <c r="E142" i="3564"/>
  <c r="D142" i="3564" a="1"/>
  <c r="D142" i="3564"/>
  <c r="C142" i="3564" a="1"/>
  <c r="C142" i="3564"/>
  <c r="A142" i="3564"/>
  <c r="BM141" i="3564"/>
  <c r="BC141" i="3564"/>
  <c r="AX141" i="3564" a="1"/>
  <c r="AX141" i="3564"/>
  <c r="AW141" i="3564" a="1"/>
  <c r="AW141" i="3564"/>
  <c r="AV141" i="3564"/>
  <c r="AF141" i="3564"/>
  <c r="W141" i="3564"/>
  <c r="S141" i="3564" a="1"/>
  <c r="S141" i="3564"/>
  <c r="R141" i="3564"/>
  <c r="H141" i="3564" a="1"/>
  <c r="H141" i="3564"/>
  <c r="G141" i="3564" a="1"/>
  <c r="G141" i="3564"/>
  <c r="F141" i="3564" a="1"/>
  <c r="F141" i="3564"/>
  <c r="E141" i="3564" a="1"/>
  <c r="E141" i="3564"/>
  <c r="D141" i="3564" a="1"/>
  <c r="D141" i="3564"/>
  <c r="C141" i="3564" a="1"/>
  <c r="C141" i="3564"/>
  <c r="A141" i="3564"/>
  <c r="BM140" i="3564"/>
  <c r="BC140" i="3564"/>
  <c r="AX140" i="3564" a="1"/>
  <c r="AX140" i="3564"/>
  <c r="AW140" i="3564" a="1"/>
  <c r="AW140" i="3564"/>
  <c r="AV140" i="3564"/>
  <c r="AF140" i="3564"/>
  <c r="W140" i="3564"/>
  <c r="S140" i="3564" a="1"/>
  <c r="S140" i="3564"/>
  <c r="R140" i="3564"/>
  <c r="H140" i="3564" a="1"/>
  <c r="H140" i="3564"/>
  <c r="G140" i="3564" a="1"/>
  <c r="G140" i="3564"/>
  <c r="F140" i="3564" a="1"/>
  <c r="F140" i="3564"/>
  <c r="E140" i="3564" a="1"/>
  <c r="E140" i="3564"/>
  <c r="D140" i="3564" a="1"/>
  <c r="D140" i="3564"/>
  <c r="C140" i="3564" a="1"/>
  <c r="C140" i="3564"/>
  <c r="A140" i="3564"/>
  <c r="BM139" i="3564"/>
  <c r="BC139" i="3564"/>
  <c r="AX139" i="3564" a="1"/>
  <c r="AX139" i="3564"/>
  <c r="AW139" i="3564" a="1"/>
  <c r="AW139" i="3564"/>
  <c r="AV139" i="3564"/>
  <c r="AF139" i="3564"/>
  <c r="W139" i="3564"/>
  <c r="S139" i="3564" a="1"/>
  <c r="S139" i="3564"/>
  <c r="R139" i="3564"/>
  <c r="H139" i="3564" a="1"/>
  <c r="H139" i="3564"/>
  <c r="G139" i="3564" a="1"/>
  <c r="G139" i="3564"/>
  <c r="F139" i="3564" a="1"/>
  <c r="F139" i="3564"/>
  <c r="E139" i="3564" a="1"/>
  <c r="E139" i="3564"/>
  <c r="D139" i="3564" a="1"/>
  <c r="D139" i="3564"/>
  <c r="C139" i="3564" a="1"/>
  <c r="C139" i="3564"/>
  <c r="A139" i="3564"/>
  <c r="BM138" i="3564"/>
  <c r="BC138" i="3564"/>
  <c r="AX138" i="3564" a="1"/>
  <c r="AX138" i="3564"/>
  <c r="AW138" i="3564" a="1"/>
  <c r="AW138" i="3564"/>
  <c r="AV138" i="3564"/>
  <c r="AF138" i="3564"/>
  <c r="W138" i="3564"/>
  <c r="S138" i="3564" a="1"/>
  <c r="S138" i="3564"/>
  <c r="R138" i="3564"/>
  <c r="H138" i="3564" a="1"/>
  <c r="H138" i="3564"/>
  <c r="G138" i="3564" a="1"/>
  <c r="G138" i="3564"/>
  <c r="F138" i="3564" a="1"/>
  <c r="F138" i="3564"/>
  <c r="E138" i="3564" a="1"/>
  <c r="E138" i="3564"/>
  <c r="D138" i="3564" a="1"/>
  <c r="D138" i="3564"/>
  <c r="C138" i="3564" a="1"/>
  <c r="C138" i="3564"/>
  <c r="A138" i="3564"/>
  <c r="BM137" i="3564"/>
  <c r="BC137" i="3564"/>
  <c r="AX137" i="3564" a="1"/>
  <c r="AX137" i="3564"/>
  <c r="AW137" i="3564" a="1"/>
  <c r="AW137" i="3564"/>
  <c r="AV137" i="3564"/>
  <c r="AF137" i="3564"/>
  <c r="W137" i="3564"/>
  <c r="S137" i="3564" a="1"/>
  <c r="S137" i="3564"/>
  <c r="R137" i="3564"/>
  <c r="H137" i="3564" a="1"/>
  <c r="H137" i="3564"/>
  <c r="G137" i="3564" a="1"/>
  <c r="G137" i="3564"/>
  <c r="F137" i="3564" a="1"/>
  <c r="F137" i="3564"/>
  <c r="E137" i="3564" a="1"/>
  <c r="E137" i="3564"/>
  <c r="D137" i="3564" a="1"/>
  <c r="D137" i="3564"/>
  <c r="C137" i="3564" a="1"/>
  <c r="C137" i="3564"/>
  <c r="A137" i="3564"/>
  <c r="BM136" i="3564"/>
  <c r="BC136" i="3564"/>
  <c r="AX136" i="3564" a="1"/>
  <c r="AX136" i="3564"/>
  <c r="AW136" i="3564" a="1"/>
  <c r="AW136" i="3564"/>
  <c r="AV136" i="3564"/>
  <c r="AF136" i="3564"/>
  <c r="W136" i="3564"/>
  <c r="S136" i="3564" a="1"/>
  <c r="S136" i="3564"/>
  <c r="R136" i="3564"/>
  <c r="H136" i="3564" a="1"/>
  <c r="H136" i="3564"/>
  <c r="G136" i="3564" a="1"/>
  <c r="G136" i="3564"/>
  <c r="F136" i="3564" a="1"/>
  <c r="F136" i="3564"/>
  <c r="E136" i="3564" a="1"/>
  <c r="E136" i="3564"/>
  <c r="D136" i="3564" a="1"/>
  <c r="D136" i="3564"/>
  <c r="C136" i="3564" a="1"/>
  <c r="C136" i="3564"/>
  <c r="A136" i="3564"/>
  <c r="BM135" i="3564"/>
  <c r="BC135" i="3564"/>
  <c r="AX135" i="3564" a="1"/>
  <c r="AX135" i="3564"/>
  <c r="AW135" i="3564" a="1"/>
  <c r="AW135" i="3564"/>
  <c r="AV135" i="3564"/>
  <c r="AF135" i="3564"/>
  <c r="W135" i="3564"/>
  <c r="S135" i="3564" a="1"/>
  <c r="S135" i="3564"/>
  <c r="R135" i="3564"/>
  <c r="H135" i="3564" a="1"/>
  <c r="H135" i="3564"/>
  <c r="G135" i="3564" a="1"/>
  <c r="G135" i="3564"/>
  <c r="F135" i="3564" a="1"/>
  <c r="F135" i="3564"/>
  <c r="E135" i="3564" a="1"/>
  <c r="E135" i="3564"/>
  <c r="D135" i="3564" a="1"/>
  <c r="D135" i="3564"/>
  <c r="C135" i="3564" a="1"/>
  <c r="C135" i="3564"/>
  <c r="A135" i="3564"/>
  <c r="BM134" i="3564"/>
  <c r="BC134" i="3564"/>
  <c r="AX134" i="3564" a="1"/>
  <c r="AX134" i="3564"/>
  <c r="AW134" i="3564" a="1"/>
  <c r="AW134" i="3564"/>
  <c r="AV134" i="3564"/>
  <c r="AF134" i="3564"/>
  <c r="W134" i="3564"/>
  <c r="S134" i="3564" a="1"/>
  <c r="S134" i="3564"/>
  <c r="R134" i="3564"/>
  <c r="H134" i="3564" a="1"/>
  <c r="H134" i="3564"/>
  <c r="G134" i="3564" a="1"/>
  <c r="G134" i="3564"/>
  <c r="F134" i="3564" a="1"/>
  <c r="F134" i="3564"/>
  <c r="E134" i="3564" a="1"/>
  <c r="E134" i="3564"/>
  <c r="D134" i="3564" a="1"/>
  <c r="D134" i="3564"/>
  <c r="C134" i="3564" a="1"/>
  <c r="C134" i="3564"/>
  <c r="A134" i="3564"/>
  <c r="BM133" i="3564"/>
  <c r="BC133" i="3564"/>
  <c r="AX133" i="3564" a="1"/>
  <c r="AX133" i="3564"/>
  <c r="AW133" i="3564" a="1"/>
  <c r="AW133" i="3564"/>
  <c r="AV133" i="3564"/>
  <c r="AF133" i="3564"/>
  <c r="W133" i="3564"/>
  <c r="S133" i="3564" a="1"/>
  <c r="S133" i="3564"/>
  <c r="R133" i="3564"/>
  <c r="H133" i="3564" a="1"/>
  <c r="H133" i="3564"/>
  <c r="G133" i="3564" a="1"/>
  <c r="G133" i="3564"/>
  <c r="F133" i="3564" a="1"/>
  <c r="F133" i="3564"/>
  <c r="E133" i="3564" a="1"/>
  <c r="E133" i="3564"/>
  <c r="D133" i="3564" a="1"/>
  <c r="D133" i="3564"/>
  <c r="C133" i="3564" a="1"/>
  <c r="C133" i="3564"/>
  <c r="A133" i="3564"/>
  <c r="BM132" i="3564"/>
  <c r="BC132" i="3564"/>
  <c r="AX132" i="3564" a="1"/>
  <c r="AX132" i="3564"/>
  <c r="AW132" i="3564" a="1"/>
  <c r="AW132" i="3564"/>
  <c r="AV132" i="3564"/>
  <c r="AF132" i="3564"/>
  <c r="W132" i="3564"/>
  <c r="S132" i="3564" a="1"/>
  <c r="S132" i="3564"/>
  <c r="R132" i="3564"/>
  <c r="H132" i="3564" a="1"/>
  <c r="H132" i="3564"/>
  <c r="G132" i="3564" a="1"/>
  <c r="G132" i="3564"/>
  <c r="F132" i="3564" a="1"/>
  <c r="F132" i="3564"/>
  <c r="E132" i="3564" a="1"/>
  <c r="E132" i="3564"/>
  <c r="D132" i="3564" a="1"/>
  <c r="D132" i="3564"/>
  <c r="C132" i="3564" a="1"/>
  <c r="C132" i="3564"/>
  <c r="A132" i="3564"/>
  <c r="BM131" i="3564"/>
  <c r="BC131" i="3564"/>
  <c r="AX131" i="3564" a="1"/>
  <c r="AX131" i="3564"/>
  <c r="AW131" i="3564" a="1"/>
  <c r="AW131" i="3564"/>
  <c r="AV131" i="3564"/>
  <c r="AF131" i="3564"/>
  <c r="W131" i="3564"/>
  <c r="S131" i="3564" a="1"/>
  <c r="S131" i="3564"/>
  <c r="R131" i="3564"/>
  <c r="H131" i="3564" a="1"/>
  <c r="H131" i="3564"/>
  <c r="G131" i="3564" a="1"/>
  <c r="G131" i="3564"/>
  <c r="F131" i="3564" a="1"/>
  <c r="F131" i="3564"/>
  <c r="E131" i="3564" a="1"/>
  <c r="E131" i="3564"/>
  <c r="D131" i="3564" a="1"/>
  <c r="D131" i="3564"/>
  <c r="C131" i="3564" a="1"/>
  <c r="C131" i="3564"/>
  <c r="A131" i="3564"/>
  <c r="BM130" i="3564"/>
  <c r="BC130" i="3564"/>
  <c r="AX130" i="3564" a="1"/>
  <c r="AX130" i="3564"/>
  <c r="AW130" i="3564" a="1"/>
  <c r="AW130" i="3564"/>
  <c r="AV130" i="3564"/>
  <c r="AF130" i="3564"/>
  <c r="W130" i="3564"/>
  <c r="S130" i="3564" a="1"/>
  <c r="S130" i="3564"/>
  <c r="R130" i="3564"/>
  <c r="H130" i="3564" a="1"/>
  <c r="H130" i="3564"/>
  <c r="G130" i="3564" a="1"/>
  <c r="G130" i="3564"/>
  <c r="F130" i="3564" a="1"/>
  <c r="F130" i="3564"/>
  <c r="E130" i="3564" a="1"/>
  <c r="E130" i="3564"/>
  <c r="D130" i="3564" a="1"/>
  <c r="D130" i="3564"/>
  <c r="C130" i="3564" a="1"/>
  <c r="C130" i="3564"/>
  <c r="A130" i="3564"/>
  <c r="BM129" i="3564"/>
  <c r="BC129" i="3564"/>
  <c r="AX129" i="3564" a="1"/>
  <c r="AX129" i="3564"/>
  <c r="AW129" i="3564" a="1"/>
  <c r="AW129" i="3564"/>
  <c r="AV129" i="3564"/>
  <c r="AF129" i="3564"/>
  <c r="W129" i="3564"/>
  <c r="S129" i="3564" a="1"/>
  <c r="S129" i="3564"/>
  <c r="R129" i="3564"/>
  <c r="H129" i="3564" a="1"/>
  <c r="H129" i="3564"/>
  <c r="G129" i="3564" a="1"/>
  <c r="G129" i="3564"/>
  <c r="F129" i="3564" a="1"/>
  <c r="F129" i="3564"/>
  <c r="E129" i="3564" a="1"/>
  <c r="E129" i="3564"/>
  <c r="D129" i="3564" a="1"/>
  <c r="D129" i="3564"/>
  <c r="C129" i="3564" a="1"/>
  <c r="C129" i="3564"/>
  <c r="A129" i="3564"/>
  <c r="BM128" i="3564"/>
  <c r="BC128" i="3564"/>
  <c r="AX128" i="3564" a="1"/>
  <c r="AX128" i="3564"/>
  <c r="AW128" i="3564" a="1"/>
  <c r="AW128" i="3564"/>
  <c r="AV128" i="3564"/>
  <c r="AF128" i="3564"/>
  <c r="W128" i="3564"/>
  <c r="S128" i="3564" a="1"/>
  <c r="S128" i="3564"/>
  <c r="R128" i="3564"/>
  <c r="H128" i="3564" a="1"/>
  <c r="H128" i="3564"/>
  <c r="G128" i="3564" a="1"/>
  <c r="G128" i="3564"/>
  <c r="F128" i="3564" a="1"/>
  <c r="F128" i="3564"/>
  <c r="E128" i="3564" a="1"/>
  <c r="E128" i="3564"/>
  <c r="D128" i="3564" a="1"/>
  <c r="D128" i="3564"/>
  <c r="C128" i="3564" a="1"/>
  <c r="C128" i="3564"/>
  <c r="A128" i="3564"/>
  <c r="BM127" i="3564"/>
  <c r="BC127" i="3564"/>
  <c r="AX127" i="3564" a="1"/>
  <c r="AX127" i="3564"/>
  <c r="AW127" i="3564" a="1"/>
  <c r="AW127" i="3564"/>
  <c r="AV127" i="3564"/>
  <c r="AF127" i="3564"/>
  <c r="W127" i="3564"/>
  <c r="S127" i="3564" a="1"/>
  <c r="S127" i="3564"/>
  <c r="R127" i="3564"/>
  <c r="H127" i="3564" a="1"/>
  <c r="H127" i="3564"/>
  <c r="G127" i="3564" a="1"/>
  <c r="G127" i="3564"/>
  <c r="F127" i="3564" a="1"/>
  <c r="F127" i="3564"/>
  <c r="E127" i="3564" a="1"/>
  <c r="E127" i="3564"/>
  <c r="D127" i="3564" a="1"/>
  <c r="D127" i="3564"/>
  <c r="C127" i="3564" a="1"/>
  <c r="C127" i="3564"/>
  <c r="A127" i="3564"/>
  <c r="BM126" i="3564"/>
  <c r="BC126" i="3564"/>
  <c r="AX126" i="3564" a="1"/>
  <c r="AX126" i="3564"/>
  <c r="AW126" i="3564" a="1"/>
  <c r="AW126" i="3564"/>
  <c r="AV126" i="3564"/>
  <c r="AF126" i="3564"/>
  <c r="W126" i="3564"/>
  <c r="S126" i="3564" a="1"/>
  <c r="S126" i="3564"/>
  <c r="R126" i="3564"/>
  <c r="H126" i="3564" a="1"/>
  <c r="H126" i="3564"/>
  <c r="G126" i="3564" a="1"/>
  <c r="G126" i="3564"/>
  <c r="F126" i="3564" a="1"/>
  <c r="F126" i="3564"/>
  <c r="E126" i="3564" a="1"/>
  <c r="E126" i="3564"/>
  <c r="D126" i="3564" a="1"/>
  <c r="D126" i="3564"/>
  <c r="C126" i="3564" a="1"/>
  <c r="C126" i="3564"/>
  <c r="A126" i="3564"/>
  <c r="BM125" i="3564"/>
  <c r="BC125" i="3564"/>
  <c r="AX125" i="3564" a="1"/>
  <c r="AX125" i="3564"/>
  <c r="AW125" i="3564" a="1"/>
  <c r="AW125" i="3564"/>
  <c r="AV125" i="3564"/>
  <c r="AF125" i="3564"/>
  <c r="W125" i="3564"/>
  <c r="S125" i="3564" a="1"/>
  <c r="S125" i="3564"/>
  <c r="R125" i="3564"/>
  <c r="H125" i="3564" a="1"/>
  <c r="H125" i="3564"/>
  <c r="G125" i="3564" a="1"/>
  <c r="G125" i="3564"/>
  <c r="F125" i="3564" a="1"/>
  <c r="F125" i="3564"/>
  <c r="E125" i="3564" a="1"/>
  <c r="E125" i="3564"/>
  <c r="D125" i="3564" a="1"/>
  <c r="D125" i="3564"/>
  <c r="C125" i="3564" a="1"/>
  <c r="C125" i="3564"/>
  <c r="A125" i="3564"/>
  <c r="BM124" i="3564"/>
  <c r="BC124" i="3564"/>
  <c r="AX124" i="3564" a="1"/>
  <c r="AX124" i="3564"/>
  <c r="AW124" i="3564" a="1"/>
  <c r="AW124" i="3564"/>
  <c r="AV124" i="3564"/>
  <c r="AF124" i="3564"/>
  <c r="W124" i="3564"/>
  <c r="S124" i="3564" a="1"/>
  <c r="S124" i="3564"/>
  <c r="R124" i="3564"/>
  <c r="H124" i="3564" a="1"/>
  <c r="H124" i="3564"/>
  <c r="G124" i="3564" a="1"/>
  <c r="G124" i="3564"/>
  <c r="F124" i="3564" a="1"/>
  <c r="F124" i="3564"/>
  <c r="E124" i="3564" a="1"/>
  <c r="E124" i="3564"/>
  <c r="D124" i="3564" a="1"/>
  <c r="D124" i="3564"/>
  <c r="C124" i="3564" a="1"/>
  <c r="C124" i="3564"/>
  <c r="A124" i="3564"/>
  <c r="BM123" i="3564"/>
  <c r="BC123" i="3564"/>
  <c r="AX123" i="3564" a="1"/>
  <c r="AX123" i="3564"/>
  <c r="AW123" i="3564" a="1"/>
  <c r="AW123" i="3564"/>
  <c r="AV123" i="3564"/>
  <c r="AF123" i="3564"/>
  <c r="W123" i="3564"/>
  <c r="S123" i="3564" a="1"/>
  <c r="S123" i="3564"/>
  <c r="R123" i="3564"/>
  <c r="H123" i="3564" a="1"/>
  <c r="H123" i="3564"/>
  <c r="G123" i="3564" a="1"/>
  <c r="G123" i="3564"/>
  <c r="F123" i="3564" a="1"/>
  <c r="F123" i="3564"/>
  <c r="E123" i="3564" a="1"/>
  <c r="E123" i="3564"/>
  <c r="D123" i="3564" a="1"/>
  <c r="D123" i="3564"/>
  <c r="C123" i="3564" a="1"/>
  <c r="C123" i="3564"/>
  <c r="A123" i="3564"/>
  <c r="BM122" i="3564"/>
  <c r="BC122" i="3564"/>
  <c r="AX122" i="3564" a="1"/>
  <c r="AX122" i="3564"/>
  <c r="AW122" i="3564" a="1"/>
  <c r="AW122" i="3564"/>
  <c r="AV122" i="3564"/>
  <c r="AF122" i="3564"/>
  <c r="W122" i="3564"/>
  <c r="S122" i="3564" a="1"/>
  <c r="S122" i="3564"/>
  <c r="R122" i="3564"/>
  <c r="H122" i="3564" a="1"/>
  <c r="H122" i="3564"/>
  <c r="G122" i="3564" a="1"/>
  <c r="G122" i="3564"/>
  <c r="F122" i="3564" a="1"/>
  <c r="F122" i="3564"/>
  <c r="E122" i="3564" a="1"/>
  <c r="E122" i="3564"/>
  <c r="D122" i="3564" a="1"/>
  <c r="D122" i="3564"/>
  <c r="C122" i="3564" a="1"/>
  <c r="C122" i="3564"/>
  <c r="A122" i="3564"/>
  <c r="BM121" i="3564"/>
  <c r="BC121" i="3564"/>
  <c r="AX121" i="3564" a="1"/>
  <c r="AX121" i="3564"/>
  <c r="AW121" i="3564" a="1"/>
  <c r="AW121" i="3564"/>
  <c r="AV121" i="3564"/>
  <c r="AF121" i="3564"/>
  <c r="W121" i="3564"/>
  <c r="S121" i="3564" a="1"/>
  <c r="S121" i="3564"/>
  <c r="R121" i="3564"/>
  <c r="H121" i="3564" a="1"/>
  <c r="H121" i="3564"/>
  <c r="G121" i="3564" a="1"/>
  <c r="G121" i="3564"/>
  <c r="F121" i="3564" a="1"/>
  <c r="F121" i="3564"/>
  <c r="E121" i="3564" a="1"/>
  <c r="E121" i="3564"/>
  <c r="D121" i="3564" a="1"/>
  <c r="D121" i="3564"/>
  <c r="C121" i="3564" a="1"/>
  <c r="C121" i="3564"/>
  <c r="A121" i="3564"/>
  <c r="BM120" i="3564"/>
  <c r="BC120" i="3564"/>
  <c r="AX120" i="3564" a="1"/>
  <c r="AX120" i="3564"/>
  <c r="AW120" i="3564" a="1"/>
  <c r="AW120" i="3564"/>
  <c r="AV120" i="3564"/>
  <c r="AF120" i="3564"/>
  <c r="W120" i="3564"/>
  <c r="S120" i="3564" a="1"/>
  <c r="S120" i="3564"/>
  <c r="R120" i="3564"/>
  <c r="H120" i="3564" a="1"/>
  <c r="H120" i="3564"/>
  <c r="G120" i="3564" a="1"/>
  <c r="G120" i="3564"/>
  <c r="F120" i="3564" a="1"/>
  <c r="F120" i="3564"/>
  <c r="E120" i="3564" a="1"/>
  <c r="E120" i="3564"/>
  <c r="D120" i="3564" a="1"/>
  <c r="D120" i="3564"/>
  <c r="C120" i="3564" a="1"/>
  <c r="C120" i="3564"/>
  <c r="A120" i="3564"/>
  <c r="BM119" i="3564"/>
  <c r="BC119" i="3564"/>
  <c r="AX119" i="3564" a="1"/>
  <c r="AX119" i="3564"/>
  <c r="AW119" i="3564" a="1"/>
  <c r="AW119" i="3564"/>
  <c r="AV119" i="3564"/>
  <c r="AF119" i="3564"/>
  <c r="W119" i="3564"/>
  <c r="S119" i="3564" a="1"/>
  <c r="S119" i="3564"/>
  <c r="R119" i="3564"/>
  <c r="I119" i="3564"/>
  <c r="H119" i="3564" a="1"/>
  <c r="H119" i="3564"/>
  <c r="G119" i="3564" a="1"/>
  <c r="G119" i="3564"/>
  <c r="F119" i="3564" a="1"/>
  <c r="F119" i="3564"/>
  <c r="E119" i="3564" a="1"/>
  <c r="E119" i="3564"/>
  <c r="D119" i="3564" a="1"/>
  <c r="D119" i="3564"/>
  <c r="C119" i="3564" a="1"/>
  <c r="C119" i="3564"/>
  <c r="A119" i="3564"/>
  <c r="BM118" i="3564"/>
  <c r="BC118" i="3564"/>
  <c r="AX118" i="3564" a="1"/>
  <c r="AX118" i="3564"/>
  <c r="AW118" i="3564" a="1"/>
  <c r="AW118" i="3564"/>
  <c r="AV118" i="3564"/>
  <c r="AF118" i="3564"/>
  <c r="W118" i="3564"/>
  <c r="S118" i="3564" a="1"/>
  <c r="S118" i="3564"/>
  <c r="R118" i="3564"/>
  <c r="H118" i="3564" a="1"/>
  <c r="H118" i="3564"/>
  <c r="G118" i="3564" a="1"/>
  <c r="G118" i="3564"/>
  <c r="F118" i="3564" a="1"/>
  <c r="F118" i="3564"/>
  <c r="E118" i="3564" a="1"/>
  <c r="E118" i="3564"/>
  <c r="D118" i="3564" a="1"/>
  <c r="D118" i="3564"/>
  <c r="C118" i="3564" a="1"/>
  <c r="C118" i="3564"/>
  <c r="A118" i="3564"/>
  <c r="BM117" i="3564"/>
  <c r="BC117" i="3564"/>
  <c r="AX117" i="3564" a="1"/>
  <c r="AX117" i="3564"/>
  <c r="AW117" i="3564" a="1"/>
  <c r="AW117" i="3564"/>
  <c r="AV117" i="3564"/>
  <c r="AF117" i="3564"/>
  <c r="W117" i="3564"/>
  <c r="S117" i="3564" a="1"/>
  <c r="S117" i="3564"/>
  <c r="R117" i="3564"/>
  <c r="H117" i="3564" a="1"/>
  <c r="H117" i="3564"/>
  <c r="G117" i="3564" a="1"/>
  <c r="G117" i="3564"/>
  <c r="F117" i="3564" a="1"/>
  <c r="F117" i="3564"/>
  <c r="E117" i="3564" a="1"/>
  <c r="E117" i="3564"/>
  <c r="D117" i="3564" a="1"/>
  <c r="D117" i="3564"/>
  <c r="C117" i="3564" a="1"/>
  <c r="C117" i="3564"/>
  <c r="A117" i="3564"/>
  <c r="BM116" i="3564"/>
  <c r="BC116" i="3564"/>
  <c r="AX116" i="3564" a="1"/>
  <c r="AX116" i="3564"/>
  <c r="AW116" i="3564" a="1"/>
  <c r="AW116" i="3564"/>
  <c r="AV116" i="3564"/>
  <c r="AF116" i="3564"/>
  <c r="W116" i="3564"/>
  <c r="S116" i="3564" a="1"/>
  <c r="S116" i="3564"/>
  <c r="R116" i="3564"/>
  <c r="H116" i="3564" a="1"/>
  <c r="H116" i="3564"/>
  <c r="G116" i="3564" a="1"/>
  <c r="G116" i="3564"/>
  <c r="F116" i="3564" a="1"/>
  <c r="F116" i="3564"/>
  <c r="E116" i="3564" a="1"/>
  <c r="E116" i="3564"/>
  <c r="D116" i="3564" a="1"/>
  <c r="D116" i="3564"/>
  <c r="C116" i="3564" a="1"/>
  <c r="C116" i="3564"/>
  <c r="A116" i="3564"/>
  <c r="BM115" i="3564"/>
  <c r="BC115" i="3564"/>
  <c r="AX115" i="3564" a="1"/>
  <c r="AX115" i="3564"/>
  <c r="AW115" i="3564" a="1"/>
  <c r="AW115" i="3564"/>
  <c r="AV115" i="3564"/>
  <c r="AF115" i="3564"/>
  <c r="W115" i="3564"/>
  <c r="S115" i="3564" a="1"/>
  <c r="S115" i="3564"/>
  <c r="R115" i="3564"/>
  <c r="I115" i="3564"/>
  <c r="H115" i="3564" a="1"/>
  <c r="H115" i="3564"/>
  <c r="G115" i="3564" a="1"/>
  <c r="G115" i="3564"/>
  <c r="F115" i="3564" a="1"/>
  <c r="F115" i="3564"/>
  <c r="E115" i="3564" a="1"/>
  <c r="E115" i="3564"/>
  <c r="D115" i="3564" a="1"/>
  <c r="D115" i="3564"/>
  <c r="C115" i="3564" a="1"/>
  <c r="C115" i="3564"/>
  <c r="A115" i="3564"/>
  <c r="BM114" i="3564"/>
  <c r="BC114" i="3564"/>
  <c r="AX114" i="3564" a="1"/>
  <c r="AX114" i="3564"/>
  <c r="AW114" i="3564" a="1"/>
  <c r="AW114" i="3564"/>
  <c r="AV114" i="3564"/>
  <c r="AF114" i="3564"/>
  <c r="W114" i="3564"/>
  <c r="S114" i="3564" a="1"/>
  <c r="S114" i="3564"/>
  <c r="R114" i="3564"/>
  <c r="H114" i="3564" a="1"/>
  <c r="H114" i="3564"/>
  <c r="G114" i="3564" a="1"/>
  <c r="G114" i="3564"/>
  <c r="F114" i="3564" a="1"/>
  <c r="F114" i="3564"/>
  <c r="E114" i="3564" a="1"/>
  <c r="E114" i="3564"/>
  <c r="D114" i="3564" a="1"/>
  <c r="D114" i="3564"/>
  <c r="C114" i="3564" a="1"/>
  <c r="C114" i="3564"/>
  <c r="A114" i="3564"/>
  <c r="BM113" i="3564"/>
  <c r="BC113" i="3564"/>
  <c r="AX113" i="3564" a="1"/>
  <c r="AX113" i="3564"/>
  <c r="AW113" i="3564" a="1"/>
  <c r="AW113" i="3564"/>
  <c r="AV113" i="3564"/>
  <c r="AF113" i="3564"/>
  <c r="W113" i="3564"/>
  <c r="S113" i="3564" a="1"/>
  <c r="S113" i="3564"/>
  <c r="R113" i="3564"/>
  <c r="H113" i="3564" a="1"/>
  <c r="H113" i="3564"/>
  <c r="G113" i="3564" a="1"/>
  <c r="G113" i="3564"/>
  <c r="F113" i="3564" a="1"/>
  <c r="F113" i="3564"/>
  <c r="E113" i="3564" a="1"/>
  <c r="E113" i="3564"/>
  <c r="D113" i="3564" a="1"/>
  <c r="D113" i="3564"/>
  <c r="C113" i="3564" a="1"/>
  <c r="C113" i="3564"/>
  <c r="A113" i="3564"/>
  <c r="BM112" i="3564"/>
  <c r="BC112" i="3564"/>
  <c r="AX112" i="3564" a="1"/>
  <c r="AX112" i="3564"/>
  <c r="AW112" i="3564" a="1"/>
  <c r="AW112" i="3564"/>
  <c r="AV112" i="3564"/>
  <c r="AF112" i="3564"/>
  <c r="W112" i="3564"/>
  <c r="S112" i="3564" a="1"/>
  <c r="S112" i="3564"/>
  <c r="R112" i="3564"/>
  <c r="H112" i="3564" a="1"/>
  <c r="H112" i="3564"/>
  <c r="G112" i="3564" a="1"/>
  <c r="G112" i="3564"/>
  <c r="F112" i="3564" a="1"/>
  <c r="F112" i="3564"/>
  <c r="E112" i="3564" a="1"/>
  <c r="E112" i="3564"/>
  <c r="D112" i="3564" a="1"/>
  <c r="D112" i="3564"/>
  <c r="C112" i="3564" a="1"/>
  <c r="C112" i="3564"/>
  <c r="A112" i="3564"/>
  <c r="BM111" i="3564"/>
  <c r="BC111" i="3564"/>
  <c r="AX111" i="3564" a="1"/>
  <c r="AX111" i="3564"/>
  <c r="AW111" i="3564" a="1"/>
  <c r="AW111" i="3564"/>
  <c r="AV111" i="3564"/>
  <c r="AF111" i="3564"/>
  <c r="W111" i="3564"/>
  <c r="S111" i="3564" a="1"/>
  <c r="S111" i="3564"/>
  <c r="R111" i="3564"/>
  <c r="H111" i="3564" a="1"/>
  <c r="H111" i="3564"/>
  <c r="G111" i="3564" a="1"/>
  <c r="G111" i="3564"/>
  <c r="F111" i="3564" a="1"/>
  <c r="F111" i="3564"/>
  <c r="E111" i="3564" a="1"/>
  <c r="E111" i="3564"/>
  <c r="D111" i="3564" a="1"/>
  <c r="D111" i="3564"/>
  <c r="C111" i="3564" a="1"/>
  <c r="C111" i="3564"/>
  <c r="A111" i="3564"/>
  <c r="BM110" i="3564"/>
  <c r="BC110" i="3564"/>
  <c r="AX110" i="3564" a="1"/>
  <c r="AX110" i="3564"/>
  <c r="AW110" i="3564" a="1"/>
  <c r="AW110" i="3564"/>
  <c r="AV110" i="3564"/>
  <c r="AF110" i="3564"/>
  <c r="W110" i="3564"/>
  <c r="S110" i="3564" a="1"/>
  <c r="S110" i="3564"/>
  <c r="R110" i="3564"/>
  <c r="H110" i="3564" a="1"/>
  <c r="H110" i="3564"/>
  <c r="G110" i="3564" a="1"/>
  <c r="G110" i="3564"/>
  <c r="F110" i="3564" a="1"/>
  <c r="F110" i="3564"/>
  <c r="E110" i="3564" a="1"/>
  <c r="E110" i="3564"/>
  <c r="D110" i="3564" a="1"/>
  <c r="D110" i="3564"/>
  <c r="C110" i="3564" a="1"/>
  <c r="C110" i="3564"/>
  <c r="A110" i="3564"/>
  <c r="BM109" i="3564"/>
  <c r="BC109" i="3564"/>
  <c r="AX109" i="3564" a="1"/>
  <c r="AX109" i="3564"/>
  <c r="AW109" i="3564" a="1"/>
  <c r="AW109" i="3564"/>
  <c r="AV109" i="3564"/>
  <c r="AF109" i="3564"/>
  <c r="W109" i="3564"/>
  <c r="S109" i="3564" a="1"/>
  <c r="S109" i="3564"/>
  <c r="R109" i="3564"/>
  <c r="K109" i="3564" a="1"/>
  <c r="K109" i="3564" s="1"/>
  <c r="I109" i="3564"/>
  <c r="H109" i="3564" a="1"/>
  <c r="H109" i="3564"/>
  <c r="G109" i="3564" a="1"/>
  <c r="G109" i="3564"/>
  <c r="F109" i="3564" a="1"/>
  <c r="F109" i="3564"/>
  <c r="E109" i="3564" a="1"/>
  <c r="E109" i="3564"/>
  <c r="D109" i="3564" a="1"/>
  <c r="D109" i="3564"/>
  <c r="C109" i="3564" a="1"/>
  <c r="C109" i="3564"/>
  <c r="A109" i="3564"/>
  <c r="BM108" i="3564"/>
  <c r="BC108" i="3564"/>
  <c r="AX108" i="3564" a="1"/>
  <c r="AX108" i="3564"/>
  <c r="AW108" i="3564" a="1"/>
  <c r="AW108" i="3564"/>
  <c r="AV108" i="3564"/>
  <c r="AF108" i="3564"/>
  <c r="W108" i="3564"/>
  <c r="S108" i="3564" a="1"/>
  <c r="S108" i="3564"/>
  <c r="R108" i="3564"/>
  <c r="H108" i="3564" a="1"/>
  <c r="H108" i="3564"/>
  <c r="G108" i="3564" a="1"/>
  <c r="G108" i="3564"/>
  <c r="F108" i="3564" a="1"/>
  <c r="F108" i="3564"/>
  <c r="E108" i="3564" a="1"/>
  <c r="E108" i="3564"/>
  <c r="D108" i="3564" a="1"/>
  <c r="D108" i="3564"/>
  <c r="C108" i="3564" a="1"/>
  <c r="C108" i="3564"/>
  <c r="A108" i="3564"/>
  <c r="BM107" i="3564"/>
  <c r="BC107" i="3564"/>
  <c r="AX107" i="3564" a="1"/>
  <c r="AX107" i="3564"/>
  <c r="AW107" i="3564" a="1"/>
  <c r="AW107" i="3564"/>
  <c r="AV107" i="3564"/>
  <c r="AF107" i="3564"/>
  <c r="W107" i="3564"/>
  <c r="S107" i="3564" a="1"/>
  <c r="S107" i="3564"/>
  <c r="R107" i="3564"/>
  <c r="I107" i="3564"/>
  <c r="H107" i="3564" a="1"/>
  <c r="H107" i="3564"/>
  <c r="G107" i="3564" a="1"/>
  <c r="G107" i="3564"/>
  <c r="F107" i="3564" a="1"/>
  <c r="F107" i="3564"/>
  <c r="E107" i="3564" a="1"/>
  <c r="E107" i="3564"/>
  <c r="D107" i="3564" a="1"/>
  <c r="D107" i="3564"/>
  <c r="C107" i="3564" a="1"/>
  <c r="C107" i="3564"/>
  <c r="A107" i="3564"/>
  <c r="BM106" i="3564"/>
  <c r="BC106" i="3564"/>
  <c r="AX106" i="3564" a="1"/>
  <c r="AX106" i="3564"/>
  <c r="AW106" i="3564" a="1"/>
  <c r="AW106" i="3564"/>
  <c r="AV106" i="3564"/>
  <c r="AF106" i="3564"/>
  <c r="W106" i="3564"/>
  <c r="S106" i="3564" a="1"/>
  <c r="S106" i="3564"/>
  <c r="R106" i="3564"/>
  <c r="H106" i="3564" a="1"/>
  <c r="H106" i="3564"/>
  <c r="G106" i="3564" a="1"/>
  <c r="G106" i="3564"/>
  <c r="F106" i="3564" a="1"/>
  <c r="F106" i="3564"/>
  <c r="E106" i="3564" a="1"/>
  <c r="E106" i="3564"/>
  <c r="D106" i="3564" a="1"/>
  <c r="D106" i="3564"/>
  <c r="C106" i="3564" a="1"/>
  <c r="C106" i="3564"/>
  <c r="A106" i="3564"/>
  <c r="BM105" i="3564"/>
  <c r="BC105" i="3564"/>
  <c r="AX105" i="3564" a="1"/>
  <c r="AX105" i="3564"/>
  <c r="AW105" i="3564" a="1"/>
  <c r="AW105" i="3564"/>
  <c r="AV105" i="3564"/>
  <c r="AF105" i="3564"/>
  <c r="W105" i="3564"/>
  <c r="S105" i="3564" a="1"/>
  <c r="S105" i="3564"/>
  <c r="R105" i="3564"/>
  <c r="H105" i="3564" a="1"/>
  <c r="H105" i="3564"/>
  <c r="G105" i="3564" a="1"/>
  <c r="G105" i="3564"/>
  <c r="F105" i="3564" a="1"/>
  <c r="F105" i="3564"/>
  <c r="E105" i="3564" a="1"/>
  <c r="E105" i="3564"/>
  <c r="D105" i="3564" a="1"/>
  <c r="D105" i="3564"/>
  <c r="C105" i="3564" a="1"/>
  <c r="C105" i="3564"/>
  <c r="A105" i="3564"/>
  <c r="BM104" i="3564"/>
  <c r="BC104" i="3564"/>
  <c r="AX104" i="3564" a="1"/>
  <c r="AX104" i="3564"/>
  <c r="AW104" i="3564" a="1"/>
  <c r="AW104" i="3564"/>
  <c r="AV104" i="3564"/>
  <c r="AF104" i="3564"/>
  <c r="W104" i="3564"/>
  <c r="S104" i="3564" a="1"/>
  <c r="S104" i="3564"/>
  <c r="R104" i="3564"/>
  <c r="H104" i="3564" a="1"/>
  <c r="H104" i="3564"/>
  <c r="G104" i="3564" a="1"/>
  <c r="G104" i="3564"/>
  <c r="F104" i="3564" a="1"/>
  <c r="F104" i="3564"/>
  <c r="E104" i="3564" a="1"/>
  <c r="E104" i="3564"/>
  <c r="D104" i="3564" a="1"/>
  <c r="D104" i="3564"/>
  <c r="C104" i="3564" a="1"/>
  <c r="C104" i="3564"/>
  <c r="A104" i="3564"/>
  <c r="BM103" i="3564"/>
  <c r="BC103" i="3564"/>
  <c r="AX103" i="3564" a="1"/>
  <c r="AX103" i="3564"/>
  <c r="AW103" i="3564" a="1"/>
  <c r="AW103" i="3564"/>
  <c r="AV103" i="3564"/>
  <c r="AF103" i="3564"/>
  <c r="W103" i="3564"/>
  <c r="S103" i="3564" a="1"/>
  <c r="S103" i="3564"/>
  <c r="R103" i="3564"/>
  <c r="H103" i="3564" a="1"/>
  <c r="H103" i="3564"/>
  <c r="G103" i="3564" a="1"/>
  <c r="G103" i="3564"/>
  <c r="F103" i="3564" a="1"/>
  <c r="F103" i="3564"/>
  <c r="E103" i="3564" a="1"/>
  <c r="E103" i="3564"/>
  <c r="D103" i="3564" a="1"/>
  <c r="D103" i="3564"/>
  <c r="C103" i="3564" a="1"/>
  <c r="C103" i="3564"/>
  <c r="A103" i="3564"/>
  <c r="BM102" i="3564"/>
  <c r="BC102" i="3564"/>
  <c r="AX102" i="3564" a="1"/>
  <c r="AX102" i="3564"/>
  <c r="AW102" i="3564" a="1"/>
  <c r="AW102" i="3564"/>
  <c r="AV102" i="3564"/>
  <c r="AF102" i="3564"/>
  <c r="W102" i="3564"/>
  <c r="S102" i="3564" a="1"/>
  <c r="S102" i="3564"/>
  <c r="R102" i="3564"/>
  <c r="H102" i="3564" a="1"/>
  <c r="H102" i="3564"/>
  <c r="G102" i="3564" a="1"/>
  <c r="G102" i="3564"/>
  <c r="F102" i="3564" a="1"/>
  <c r="F102" i="3564"/>
  <c r="E102" i="3564" a="1"/>
  <c r="E102" i="3564"/>
  <c r="D102" i="3564" a="1"/>
  <c r="D102" i="3564"/>
  <c r="C102" i="3564" a="1"/>
  <c r="C102" i="3564"/>
  <c r="A102" i="3564"/>
  <c r="BM101" i="3564"/>
  <c r="BC101" i="3564"/>
  <c r="AX101" i="3564" a="1"/>
  <c r="AX101" i="3564"/>
  <c r="AW101" i="3564" a="1"/>
  <c r="AW101" i="3564"/>
  <c r="AV101" i="3564"/>
  <c r="AF101" i="3564"/>
  <c r="W101" i="3564"/>
  <c r="S101" i="3564" a="1"/>
  <c r="S101" i="3564"/>
  <c r="R101" i="3564"/>
  <c r="O101" i="3564" a="1"/>
  <c r="O101" i="3564" s="1"/>
  <c r="I101" i="3564"/>
  <c r="H101" i="3564" a="1"/>
  <c r="H101" i="3564"/>
  <c r="G101" i="3564" a="1"/>
  <c r="G101" i="3564"/>
  <c r="F101" i="3564" a="1"/>
  <c r="F101" i="3564"/>
  <c r="E101" i="3564" a="1"/>
  <c r="E101" i="3564"/>
  <c r="D101" i="3564" a="1"/>
  <c r="D101" i="3564"/>
  <c r="C101" i="3564" a="1"/>
  <c r="C101" i="3564"/>
  <c r="A101" i="3564"/>
  <c r="BM100" i="3564"/>
  <c r="BC100" i="3564"/>
  <c r="AX100" i="3564" a="1"/>
  <c r="AX100" i="3564"/>
  <c r="AW100" i="3564" a="1"/>
  <c r="AW100" i="3564"/>
  <c r="AV100" i="3564"/>
  <c r="AF100" i="3564"/>
  <c r="W100" i="3564"/>
  <c r="S100" i="3564" a="1"/>
  <c r="S100" i="3564"/>
  <c r="R100" i="3564"/>
  <c r="H100" i="3564" a="1"/>
  <c r="H100" i="3564"/>
  <c r="G100" i="3564" a="1"/>
  <c r="G100" i="3564"/>
  <c r="F100" i="3564" a="1"/>
  <c r="F100" i="3564"/>
  <c r="E100" i="3564" a="1"/>
  <c r="E100" i="3564"/>
  <c r="D100" i="3564" a="1"/>
  <c r="D100" i="3564"/>
  <c r="C100" i="3564" a="1"/>
  <c r="C100" i="3564"/>
  <c r="A100" i="3564"/>
  <c r="BM99" i="3564"/>
  <c r="BC99" i="3564"/>
  <c r="AX99" i="3564" a="1"/>
  <c r="AX99" i="3564"/>
  <c r="AW99" i="3564" a="1"/>
  <c r="AW99" i="3564"/>
  <c r="AV99" i="3564"/>
  <c r="AF99" i="3564"/>
  <c r="W99" i="3564"/>
  <c r="S99" i="3564" a="1"/>
  <c r="S99" i="3564"/>
  <c r="R99" i="3564"/>
  <c r="O99" i="3564" a="1"/>
  <c r="O99" i="3564" s="1"/>
  <c r="I99" i="3564"/>
  <c r="P99" i="3564" s="1" a="1"/>
  <c r="P99" i="3564" s="1"/>
  <c r="H99" i="3564" a="1"/>
  <c r="H99" i="3564"/>
  <c r="G99" i="3564" a="1"/>
  <c r="G99" i="3564"/>
  <c r="F99" i="3564" a="1"/>
  <c r="F99" i="3564"/>
  <c r="E99" i="3564" a="1"/>
  <c r="E99" i="3564"/>
  <c r="D99" i="3564" a="1"/>
  <c r="D99" i="3564"/>
  <c r="C99" i="3564" a="1"/>
  <c r="C99" i="3564"/>
  <c r="A99" i="3564"/>
  <c r="BM98" i="3564"/>
  <c r="BC98" i="3564"/>
  <c r="AX98" i="3564" a="1"/>
  <c r="AX98" i="3564"/>
  <c r="AW98" i="3564" a="1"/>
  <c r="AW98" i="3564"/>
  <c r="AV98" i="3564"/>
  <c r="AF98" i="3564"/>
  <c r="W98" i="3564"/>
  <c r="S98" i="3564" a="1"/>
  <c r="S98" i="3564"/>
  <c r="R98" i="3564"/>
  <c r="H98" i="3564" a="1"/>
  <c r="H98" i="3564"/>
  <c r="G98" i="3564" a="1"/>
  <c r="G98" i="3564"/>
  <c r="F98" i="3564" a="1"/>
  <c r="F98" i="3564"/>
  <c r="E98" i="3564" a="1"/>
  <c r="E98" i="3564"/>
  <c r="D98" i="3564" a="1"/>
  <c r="D98" i="3564"/>
  <c r="C98" i="3564" a="1"/>
  <c r="C98" i="3564"/>
  <c r="A98" i="3564"/>
  <c r="BM97" i="3564"/>
  <c r="BC97" i="3564"/>
  <c r="AX97" i="3564" a="1"/>
  <c r="AX97" i="3564"/>
  <c r="AW97" i="3564" a="1"/>
  <c r="AW97" i="3564"/>
  <c r="AV97" i="3564"/>
  <c r="AF97" i="3564"/>
  <c r="W97" i="3564"/>
  <c r="S97" i="3564" a="1"/>
  <c r="S97" i="3564"/>
  <c r="R97" i="3564"/>
  <c r="H97" i="3564" a="1"/>
  <c r="H97" i="3564"/>
  <c r="G97" i="3564" a="1"/>
  <c r="G97" i="3564"/>
  <c r="F97" i="3564" a="1"/>
  <c r="F97" i="3564"/>
  <c r="E97" i="3564" a="1"/>
  <c r="E97" i="3564"/>
  <c r="D97" i="3564" a="1"/>
  <c r="D97" i="3564"/>
  <c r="C97" i="3564" a="1"/>
  <c r="C97" i="3564"/>
  <c r="A97" i="3564"/>
  <c r="BM96" i="3564"/>
  <c r="BC96" i="3564"/>
  <c r="AX96" i="3564" a="1"/>
  <c r="AX96" i="3564"/>
  <c r="AW96" i="3564" a="1"/>
  <c r="AW96" i="3564"/>
  <c r="AV96" i="3564"/>
  <c r="AF96" i="3564"/>
  <c r="W96" i="3564"/>
  <c r="S96" i="3564" a="1"/>
  <c r="S96" i="3564"/>
  <c r="R96" i="3564"/>
  <c r="H96" i="3564" a="1"/>
  <c r="H96" i="3564"/>
  <c r="G96" i="3564" a="1"/>
  <c r="G96" i="3564"/>
  <c r="F96" i="3564" a="1"/>
  <c r="F96" i="3564"/>
  <c r="E96" i="3564" a="1"/>
  <c r="E96" i="3564"/>
  <c r="D96" i="3564" a="1"/>
  <c r="D96" i="3564"/>
  <c r="C96" i="3564" a="1"/>
  <c r="C96" i="3564"/>
  <c r="A96" i="3564"/>
  <c r="BM95" i="3564"/>
  <c r="BC95" i="3564"/>
  <c r="AX95" i="3564" a="1"/>
  <c r="AX95" i="3564"/>
  <c r="AW95" i="3564" a="1"/>
  <c r="AW95" i="3564"/>
  <c r="AV95" i="3564"/>
  <c r="AF95" i="3564"/>
  <c r="W95" i="3564"/>
  <c r="S95" i="3564" a="1"/>
  <c r="S95" i="3564"/>
  <c r="R95" i="3564"/>
  <c r="H95" i="3564" a="1"/>
  <c r="H95" i="3564"/>
  <c r="G95" i="3564" a="1"/>
  <c r="G95" i="3564"/>
  <c r="F95" i="3564" a="1"/>
  <c r="F95" i="3564"/>
  <c r="E95" i="3564" a="1"/>
  <c r="E95" i="3564"/>
  <c r="D95" i="3564" a="1"/>
  <c r="D95" i="3564"/>
  <c r="C95" i="3564" a="1"/>
  <c r="C95" i="3564"/>
  <c r="A95" i="3564"/>
  <c r="BM94" i="3564"/>
  <c r="BC94" i="3564"/>
  <c r="AX94" i="3564" a="1"/>
  <c r="AX94" i="3564"/>
  <c r="AW94" i="3564" a="1"/>
  <c r="AW94" i="3564"/>
  <c r="AV94" i="3564"/>
  <c r="AF94" i="3564"/>
  <c r="W94" i="3564"/>
  <c r="S94" i="3564" a="1"/>
  <c r="S94" i="3564"/>
  <c r="R94" i="3564"/>
  <c r="H94" i="3564" a="1"/>
  <c r="H94" i="3564"/>
  <c r="G94" i="3564" a="1"/>
  <c r="G94" i="3564"/>
  <c r="F94" i="3564" a="1"/>
  <c r="F94" i="3564"/>
  <c r="E94" i="3564" a="1"/>
  <c r="E94" i="3564"/>
  <c r="D94" i="3564" a="1"/>
  <c r="D94" i="3564"/>
  <c r="C94" i="3564" a="1"/>
  <c r="C94" i="3564"/>
  <c r="A94" i="3564"/>
  <c r="BM93" i="3564"/>
  <c r="BC93" i="3564"/>
  <c r="AX93" i="3564" a="1"/>
  <c r="AX93" i="3564"/>
  <c r="AW93" i="3564" a="1"/>
  <c r="AW93" i="3564"/>
  <c r="AV93" i="3564"/>
  <c r="AF93" i="3564"/>
  <c r="W93" i="3564"/>
  <c r="S93" i="3564" a="1"/>
  <c r="S93" i="3564"/>
  <c r="R93" i="3564"/>
  <c r="I93" i="3564"/>
  <c r="H93" i="3564" a="1"/>
  <c r="H93" i="3564"/>
  <c r="G93" i="3564" a="1"/>
  <c r="G93" i="3564"/>
  <c r="F93" i="3564" a="1"/>
  <c r="F93" i="3564"/>
  <c r="E93" i="3564" a="1"/>
  <c r="E93" i="3564"/>
  <c r="D93" i="3564" a="1"/>
  <c r="D93" i="3564"/>
  <c r="C93" i="3564" a="1"/>
  <c r="C93" i="3564"/>
  <c r="A93" i="3564"/>
  <c r="BM92" i="3564"/>
  <c r="BC92" i="3564"/>
  <c r="AX92" i="3564" a="1"/>
  <c r="AX92" i="3564"/>
  <c r="AW92" i="3564" a="1"/>
  <c r="AW92" i="3564"/>
  <c r="AV92" i="3564"/>
  <c r="AF92" i="3564"/>
  <c r="W92" i="3564"/>
  <c r="S92" i="3564" a="1"/>
  <c r="S92" i="3564"/>
  <c r="R92" i="3564"/>
  <c r="H92" i="3564" a="1"/>
  <c r="H92" i="3564"/>
  <c r="G92" i="3564" a="1"/>
  <c r="G92" i="3564"/>
  <c r="F92" i="3564" a="1"/>
  <c r="F92" i="3564"/>
  <c r="E92" i="3564" a="1"/>
  <c r="E92" i="3564"/>
  <c r="D92" i="3564" a="1"/>
  <c r="D92" i="3564"/>
  <c r="C92" i="3564" a="1"/>
  <c r="C92" i="3564"/>
  <c r="A92" i="3564"/>
  <c r="BM91" i="3564"/>
  <c r="BC91" i="3564"/>
  <c r="AX91" i="3564" a="1"/>
  <c r="AX91" i="3564"/>
  <c r="AW91" i="3564" a="1"/>
  <c r="AW91" i="3564"/>
  <c r="AV91" i="3564"/>
  <c r="AF91" i="3564"/>
  <c r="W91" i="3564"/>
  <c r="S91" i="3564" a="1"/>
  <c r="S91" i="3564"/>
  <c r="R91" i="3564"/>
  <c r="H91" i="3564" a="1"/>
  <c r="H91" i="3564"/>
  <c r="G91" i="3564" a="1"/>
  <c r="G91" i="3564"/>
  <c r="F91" i="3564" a="1"/>
  <c r="F91" i="3564"/>
  <c r="E91" i="3564" a="1"/>
  <c r="E91" i="3564"/>
  <c r="D91" i="3564" a="1"/>
  <c r="D91" i="3564"/>
  <c r="C91" i="3564" a="1"/>
  <c r="C91" i="3564"/>
  <c r="A91" i="3564"/>
  <c r="BM90" i="3564"/>
  <c r="BC90" i="3564"/>
  <c r="AX90" i="3564" a="1"/>
  <c r="AX90" i="3564"/>
  <c r="AW90" i="3564" a="1"/>
  <c r="AW90" i="3564"/>
  <c r="AV90" i="3564"/>
  <c r="AF90" i="3564"/>
  <c r="W90" i="3564"/>
  <c r="S90" i="3564" a="1"/>
  <c r="S90" i="3564"/>
  <c r="R90" i="3564"/>
  <c r="H90" i="3564" a="1"/>
  <c r="H90" i="3564"/>
  <c r="G90" i="3564" a="1"/>
  <c r="G90" i="3564"/>
  <c r="F90" i="3564" a="1"/>
  <c r="F90" i="3564"/>
  <c r="E90" i="3564" a="1"/>
  <c r="E90" i="3564"/>
  <c r="D90" i="3564" a="1"/>
  <c r="D90" i="3564"/>
  <c r="C90" i="3564" a="1"/>
  <c r="C90" i="3564"/>
  <c r="A90" i="3564"/>
  <c r="BM89" i="3564"/>
  <c r="BC89" i="3564"/>
  <c r="AX89" i="3564" a="1"/>
  <c r="AX89" i="3564"/>
  <c r="AW89" i="3564" a="1"/>
  <c r="AW89" i="3564"/>
  <c r="AV89" i="3564"/>
  <c r="AF89" i="3564"/>
  <c r="W89" i="3564"/>
  <c r="S89" i="3564" a="1"/>
  <c r="S89" i="3564"/>
  <c r="R89" i="3564"/>
  <c r="H89" i="3564" a="1"/>
  <c r="H89" i="3564"/>
  <c r="G89" i="3564" a="1"/>
  <c r="G89" i="3564"/>
  <c r="F89" i="3564" a="1"/>
  <c r="F89" i="3564"/>
  <c r="E89" i="3564" a="1"/>
  <c r="E89" i="3564"/>
  <c r="D89" i="3564" a="1"/>
  <c r="D89" i="3564"/>
  <c r="C89" i="3564" a="1"/>
  <c r="C89" i="3564"/>
  <c r="A89" i="3564"/>
  <c r="BM88" i="3564"/>
  <c r="BC88" i="3564"/>
  <c r="AX88" i="3564" a="1"/>
  <c r="AX88" i="3564"/>
  <c r="AW88" i="3564" a="1"/>
  <c r="AW88" i="3564"/>
  <c r="AV88" i="3564"/>
  <c r="AF88" i="3564"/>
  <c r="W88" i="3564"/>
  <c r="S88" i="3564" a="1"/>
  <c r="S88" i="3564"/>
  <c r="R88" i="3564"/>
  <c r="H88" i="3564" a="1"/>
  <c r="H88" i="3564"/>
  <c r="G88" i="3564" a="1"/>
  <c r="G88" i="3564"/>
  <c r="F88" i="3564" a="1"/>
  <c r="F88" i="3564"/>
  <c r="E88" i="3564" a="1"/>
  <c r="E88" i="3564"/>
  <c r="D88" i="3564" a="1"/>
  <c r="D88" i="3564"/>
  <c r="C88" i="3564" a="1"/>
  <c r="C88" i="3564"/>
  <c r="A88" i="3564"/>
  <c r="BM87" i="3564"/>
  <c r="BC87" i="3564"/>
  <c r="AX87" i="3564" a="1"/>
  <c r="AX87" i="3564"/>
  <c r="AW87" i="3564" a="1"/>
  <c r="AW87" i="3564"/>
  <c r="AV87" i="3564"/>
  <c r="AF87" i="3564"/>
  <c r="W87" i="3564"/>
  <c r="S87" i="3564" a="1"/>
  <c r="S87" i="3564"/>
  <c r="R87" i="3564"/>
  <c r="I87" i="3564"/>
  <c r="H87" i="3564" a="1"/>
  <c r="H87" i="3564"/>
  <c r="G87" i="3564" a="1"/>
  <c r="G87" i="3564"/>
  <c r="F87" i="3564" a="1"/>
  <c r="F87" i="3564"/>
  <c r="E87" i="3564" a="1"/>
  <c r="E87" i="3564"/>
  <c r="D87" i="3564" a="1"/>
  <c r="D87" i="3564"/>
  <c r="C87" i="3564" a="1"/>
  <c r="C87" i="3564"/>
  <c r="A87" i="3564"/>
  <c r="BM86" i="3564"/>
  <c r="BC86" i="3564"/>
  <c r="AX86" i="3564" a="1"/>
  <c r="AX86" i="3564"/>
  <c r="AW86" i="3564" a="1"/>
  <c r="AW86" i="3564"/>
  <c r="AV86" i="3564"/>
  <c r="AF86" i="3564"/>
  <c r="W86" i="3564"/>
  <c r="S86" i="3564" a="1"/>
  <c r="S86" i="3564"/>
  <c r="R86" i="3564"/>
  <c r="H86" i="3564" a="1"/>
  <c r="H86" i="3564"/>
  <c r="G86" i="3564" a="1"/>
  <c r="G86" i="3564"/>
  <c r="F86" i="3564" a="1"/>
  <c r="F86" i="3564"/>
  <c r="E86" i="3564" a="1"/>
  <c r="E86" i="3564"/>
  <c r="D86" i="3564" a="1"/>
  <c r="D86" i="3564"/>
  <c r="C86" i="3564" a="1"/>
  <c r="C86" i="3564"/>
  <c r="A86" i="3564"/>
  <c r="BM85" i="3564"/>
  <c r="BC85" i="3564"/>
  <c r="AX85" i="3564" a="1"/>
  <c r="AX85" i="3564"/>
  <c r="AW85" i="3564" a="1"/>
  <c r="AW85" i="3564"/>
  <c r="AV85" i="3564"/>
  <c r="AF85" i="3564"/>
  <c r="W85" i="3564"/>
  <c r="S85" i="3564" a="1"/>
  <c r="S85" i="3564"/>
  <c r="R85" i="3564"/>
  <c r="I85" i="3564"/>
  <c r="H85" i="3564" a="1"/>
  <c r="H85" i="3564"/>
  <c r="G85" i="3564" a="1"/>
  <c r="G85" i="3564"/>
  <c r="F85" i="3564" a="1"/>
  <c r="F85" i="3564"/>
  <c r="E85" i="3564" a="1"/>
  <c r="E85" i="3564"/>
  <c r="D85" i="3564" a="1"/>
  <c r="D85" i="3564"/>
  <c r="C85" i="3564" a="1"/>
  <c r="C85" i="3564"/>
  <c r="A85" i="3564"/>
  <c r="BM84" i="3564"/>
  <c r="BC84" i="3564"/>
  <c r="AX84" i="3564" a="1"/>
  <c r="AX84" i="3564"/>
  <c r="AW84" i="3564" a="1"/>
  <c r="AW84" i="3564"/>
  <c r="AV84" i="3564"/>
  <c r="AF84" i="3564"/>
  <c r="W84" i="3564"/>
  <c r="S84" i="3564" a="1"/>
  <c r="S84" i="3564"/>
  <c r="R84" i="3564"/>
  <c r="H84" i="3564" a="1"/>
  <c r="H84" i="3564"/>
  <c r="G84" i="3564" a="1"/>
  <c r="G84" i="3564"/>
  <c r="F84" i="3564" a="1"/>
  <c r="F84" i="3564"/>
  <c r="E84" i="3564" a="1"/>
  <c r="E84" i="3564"/>
  <c r="D84" i="3564" a="1"/>
  <c r="D84" i="3564"/>
  <c r="C84" i="3564" a="1"/>
  <c r="C84" i="3564"/>
  <c r="A84" i="3564"/>
  <c r="BM83" i="3564"/>
  <c r="BC83" i="3564"/>
  <c r="AX83" i="3564" a="1"/>
  <c r="AX83" i="3564"/>
  <c r="AW83" i="3564" a="1"/>
  <c r="AW83" i="3564"/>
  <c r="AV83" i="3564"/>
  <c r="AF83" i="3564"/>
  <c r="W83" i="3564"/>
  <c r="S83" i="3564" a="1"/>
  <c r="S83" i="3564"/>
  <c r="R83" i="3564"/>
  <c r="H83" i="3564" a="1"/>
  <c r="H83" i="3564"/>
  <c r="G83" i="3564" a="1"/>
  <c r="G83" i="3564"/>
  <c r="F83" i="3564" a="1"/>
  <c r="F83" i="3564"/>
  <c r="E83" i="3564" a="1"/>
  <c r="E83" i="3564"/>
  <c r="D83" i="3564" a="1"/>
  <c r="D83" i="3564"/>
  <c r="C83" i="3564" a="1"/>
  <c r="C83" i="3564"/>
  <c r="A83" i="3564"/>
  <c r="BM82" i="3564"/>
  <c r="BC82" i="3564"/>
  <c r="AX82" i="3564" a="1"/>
  <c r="AX82" i="3564"/>
  <c r="AW82" i="3564" a="1"/>
  <c r="AW82" i="3564"/>
  <c r="AV82" i="3564"/>
  <c r="AF82" i="3564"/>
  <c r="W82" i="3564"/>
  <c r="S82" i="3564" a="1"/>
  <c r="S82" i="3564"/>
  <c r="R82" i="3564"/>
  <c r="H82" i="3564" a="1"/>
  <c r="H82" i="3564"/>
  <c r="G82" i="3564" a="1"/>
  <c r="G82" i="3564"/>
  <c r="F82" i="3564" a="1"/>
  <c r="F82" i="3564"/>
  <c r="E82" i="3564" a="1"/>
  <c r="E82" i="3564"/>
  <c r="D82" i="3564" a="1"/>
  <c r="D82" i="3564"/>
  <c r="C82" i="3564" a="1"/>
  <c r="C82" i="3564"/>
  <c r="A82" i="3564"/>
  <c r="BM81" i="3564"/>
  <c r="BC81" i="3564"/>
  <c r="AX81" i="3564" a="1"/>
  <c r="AX81" i="3564"/>
  <c r="AW81" i="3564" a="1"/>
  <c r="AW81" i="3564"/>
  <c r="AV81" i="3564"/>
  <c r="AF81" i="3564"/>
  <c r="W81" i="3564"/>
  <c r="S81" i="3564" a="1"/>
  <c r="S81" i="3564"/>
  <c r="R81" i="3564"/>
  <c r="I81" i="3564"/>
  <c r="H81" i="3564" a="1"/>
  <c r="H81" i="3564"/>
  <c r="G81" i="3564" a="1"/>
  <c r="G81" i="3564"/>
  <c r="F81" i="3564" a="1"/>
  <c r="F81" i="3564"/>
  <c r="E81" i="3564" a="1"/>
  <c r="E81" i="3564"/>
  <c r="D81" i="3564" a="1"/>
  <c r="D81" i="3564"/>
  <c r="C81" i="3564" a="1"/>
  <c r="C81" i="3564"/>
  <c r="A81" i="3564"/>
  <c r="BM80" i="3564"/>
  <c r="BC80" i="3564"/>
  <c r="AX80" i="3564" a="1"/>
  <c r="AX80" i="3564"/>
  <c r="AW80" i="3564" a="1"/>
  <c r="AW80" i="3564"/>
  <c r="AV80" i="3564"/>
  <c r="AF80" i="3564"/>
  <c r="W80" i="3564"/>
  <c r="S80" i="3564" a="1"/>
  <c r="S80" i="3564"/>
  <c r="R80" i="3564"/>
  <c r="H80" i="3564" a="1"/>
  <c r="H80" i="3564"/>
  <c r="G80" i="3564" a="1"/>
  <c r="G80" i="3564"/>
  <c r="F80" i="3564" a="1"/>
  <c r="F80" i="3564"/>
  <c r="E80" i="3564" a="1"/>
  <c r="E80" i="3564"/>
  <c r="D80" i="3564" a="1"/>
  <c r="D80" i="3564"/>
  <c r="C80" i="3564" a="1"/>
  <c r="C80" i="3564"/>
  <c r="A80" i="3564"/>
  <c r="BM79" i="3564"/>
  <c r="BC79" i="3564"/>
  <c r="AX79" i="3564" a="1"/>
  <c r="AX79" i="3564"/>
  <c r="AW79" i="3564" a="1"/>
  <c r="AW79" i="3564"/>
  <c r="AV79" i="3564"/>
  <c r="AF79" i="3564"/>
  <c r="W79" i="3564"/>
  <c r="S79" i="3564" a="1"/>
  <c r="S79" i="3564"/>
  <c r="R79" i="3564"/>
  <c r="H79" i="3564" a="1"/>
  <c r="H79" i="3564"/>
  <c r="G79" i="3564" a="1"/>
  <c r="G79" i="3564"/>
  <c r="F79" i="3564" a="1"/>
  <c r="F79" i="3564"/>
  <c r="E79" i="3564" a="1"/>
  <c r="E79" i="3564"/>
  <c r="D79" i="3564" a="1"/>
  <c r="D79" i="3564"/>
  <c r="C79" i="3564" a="1"/>
  <c r="C79" i="3564"/>
  <c r="A79" i="3564"/>
  <c r="BM78" i="3564"/>
  <c r="BC78" i="3564"/>
  <c r="AX78" i="3564" a="1"/>
  <c r="AX78" i="3564"/>
  <c r="AW78" i="3564" a="1"/>
  <c r="AW78" i="3564"/>
  <c r="AV78" i="3564"/>
  <c r="AF78" i="3564"/>
  <c r="W78" i="3564"/>
  <c r="S78" i="3564" a="1"/>
  <c r="S78" i="3564"/>
  <c r="R78" i="3564"/>
  <c r="H78" i="3564" a="1"/>
  <c r="H78" i="3564"/>
  <c r="G78" i="3564" a="1"/>
  <c r="G78" i="3564"/>
  <c r="F78" i="3564" a="1"/>
  <c r="F78" i="3564"/>
  <c r="E78" i="3564" a="1"/>
  <c r="E78" i="3564"/>
  <c r="D78" i="3564" a="1"/>
  <c r="D78" i="3564"/>
  <c r="C78" i="3564" a="1"/>
  <c r="C78" i="3564"/>
  <c r="A78" i="3564"/>
  <c r="BM77" i="3564"/>
  <c r="BC77" i="3564"/>
  <c r="AX77" i="3564" a="1"/>
  <c r="AX77" i="3564"/>
  <c r="AW77" i="3564" a="1"/>
  <c r="AW77" i="3564"/>
  <c r="AV77" i="3564"/>
  <c r="AF77" i="3564"/>
  <c r="W77" i="3564"/>
  <c r="S77" i="3564" a="1"/>
  <c r="S77" i="3564"/>
  <c r="R77" i="3564"/>
  <c r="H77" i="3564" a="1"/>
  <c r="H77" i="3564"/>
  <c r="G77" i="3564" a="1"/>
  <c r="G77" i="3564"/>
  <c r="F77" i="3564" a="1"/>
  <c r="F77" i="3564"/>
  <c r="E77" i="3564" a="1"/>
  <c r="E77" i="3564"/>
  <c r="D77" i="3564" a="1"/>
  <c r="D77" i="3564"/>
  <c r="C77" i="3564" a="1"/>
  <c r="C77" i="3564"/>
  <c r="A77" i="3564"/>
  <c r="BM76" i="3564"/>
  <c r="BC76" i="3564"/>
  <c r="AX76" i="3564" a="1"/>
  <c r="AX76" i="3564"/>
  <c r="AW76" i="3564" a="1"/>
  <c r="AW76" i="3564"/>
  <c r="AV76" i="3564"/>
  <c r="AF76" i="3564"/>
  <c r="W76" i="3564"/>
  <c r="S76" i="3564" a="1"/>
  <c r="S76" i="3564"/>
  <c r="R76" i="3564"/>
  <c r="H76" i="3564" a="1"/>
  <c r="H76" i="3564"/>
  <c r="G76" i="3564" a="1"/>
  <c r="G76" i="3564"/>
  <c r="F76" i="3564" a="1"/>
  <c r="F76" i="3564"/>
  <c r="E76" i="3564" a="1"/>
  <c r="E76" i="3564"/>
  <c r="D76" i="3564" a="1"/>
  <c r="D76" i="3564"/>
  <c r="C76" i="3564" a="1"/>
  <c r="C76" i="3564"/>
  <c r="A76" i="3564"/>
  <c r="BM75" i="3564"/>
  <c r="BC75" i="3564"/>
  <c r="AX75" i="3564" a="1"/>
  <c r="AX75" i="3564"/>
  <c r="AW75" i="3564" a="1"/>
  <c r="AW75" i="3564"/>
  <c r="AV75" i="3564"/>
  <c r="AF75" i="3564"/>
  <c r="W75" i="3564"/>
  <c r="S75" i="3564" a="1"/>
  <c r="S75" i="3564"/>
  <c r="R75" i="3564"/>
  <c r="H75" i="3564" a="1"/>
  <c r="H75" i="3564"/>
  <c r="G75" i="3564" a="1"/>
  <c r="G75" i="3564"/>
  <c r="F75" i="3564" a="1"/>
  <c r="F75" i="3564"/>
  <c r="E75" i="3564" a="1"/>
  <c r="E75" i="3564"/>
  <c r="D75" i="3564" a="1"/>
  <c r="D75" i="3564"/>
  <c r="C75" i="3564" a="1"/>
  <c r="C75" i="3564"/>
  <c r="A75" i="3564"/>
  <c r="BM74" i="3564"/>
  <c r="BC74" i="3564"/>
  <c r="AX74" i="3564" a="1"/>
  <c r="AX74" i="3564"/>
  <c r="AW74" i="3564" a="1"/>
  <c r="AW74" i="3564"/>
  <c r="AV74" i="3564"/>
  <c r="AF74" i="3564"/>
  <c r="S74" i="3564" a="1"/>
  <c r="S74" i="3564"/>
  <c r="R74" i="3564"/>
  <c r="H74" i="3564" a="1"/>
  <c r="H74" i="3564"/>
  <c r="G74" i="3564" a="1"/>
  <c r="G74" i="3564"/>
  <c r="F74" i="3564" a="1"/>
  <c r="F74" i="3564"/>
  <c r="E74" i="3564" a="1"/>
  <c r="E74" i="3564"/>
  <c r="D74" i="3564" a="1"/>
  <c r="D74" i="3564"/>
  <c r="C74" i="3564" a="1"/>
  <c r="C74" i="3564"/>
  <c r="A74" i="3564"/>
  <c r="BM73" i="3564"/>
  <c r="BC73" i="3564"/>
  <c r="AX73" i="3564" a="1"/>
  <c r="AX73" i="3564"/>
  <c r="AW73" i="3564" a="1"/>
  <c r="AW73" i="3564"/>
  <c r="AV73" i="3564"/>
  <c r="AF73" i="3564"/>
  <c r="S73" i="3564" a="1"/>
  <c r="S73" i="3564"/>
  <c r="R73" i="3564"/>
  <c r="I73" i="3564"/>
  <c r="H73" i="3564" a="1"/>
  <c r="H73" i="3564"/>
  <c r="G73" i="3564" a="1"/>
  <c r="G73" i="3564"/>
  <c r="F73" i="3564" a="1"/>
  <c r="F73" i="3564"/>
  <c r="E73" i="3564" a="1"/>
  <c r="E73" i="3564"/>
  <c r="D73" i="3564" a="1"/>
  <c r="D73" i="3564"/>
  <c r="C73" i="3564" a="1"/>
  <c r="C73" i="3564"/>
  <c r="A73" i="3564"/>
  <c r="BM72" i="3564"/>
  <c r="BC72" i="3564"/>
  <c r="AX72" i="3564" a="1"/>
  <c r="AX72" i="3564"/>
  <c r="AW72" i="3564" a="1"/>
  <c r="AW72" i="3564"/>
  <c r="AV72" i="3564"/>
  <c r="AF72" i="3564"/>
  <c r="S72" i="3564" a="1"/>
  <c r="S72" i="3564"/>
  <c r="R72" i="3564"/>
  <c r="H72" i="3564" a="1"/>
  <c r="H72" i="3564"/>
  <c r="G72" i="3564" a="1"/>
  <c r="G72" i="3564"/>
  <c r="F72" i="3564" a="1"/>
  <c r="F72" i="3564"/>
  <c r="E72" i="3564" a="1"/>
  <c r="E72" i="3564"/>
  <c r="D72" i="3564" a="1"/>
  <c r="D72" i="3564"/>
  <c r="C72" i="3564" a="1"/>
  <c r="C72" i="3564"/>
  <c r="A72" i="3564"/>
  <c r="BM71" i="3564"/>
  <c r="BC71" i="3564"/>
  <c r="AX71" i="3564" a="1"/>
  <c r="AX71" i="3564"/>
  <c r="AW71" i="3564" a="1"/>
  <c r="AW71" i="3564"/>
  <c r="AV71" i="3564"/>
  <c r="AF71" i="3564"/>
  <c r="S71" i="3564" a="1"/>
  <c r="S71" i="3564"/>
  <c r="R71" i="3564"/>
  <c r="H71" i="3564" a="1"/>
  <c r="H71" i="3564"/>
  <c r="G71" i="3564" a="1"/>
  <c r="G71" i="3564"/>
  <c r="F71" i="3564" a="1"/>
  <c r="F71" i="3564"/>
  <c r="E71" i="3564" a="1"/>
  <c r="E71" i="3564"/>
  <c r="D71" i="3564" a="1"/>
  <c r="D71" i="3564"/>
  <c r="C71" i="3564" a="1"/>
  <c r="C71" i="3564"/>
  <c r="A71" i="3564"/>
  <c r="BM70" i="3564"/>
  <c r="BC70" i="3564"/>
  <c r="AX70" i="3564" a="1"/>
  <c r="AX70" i="3564"/>
  <c r="AW70" i="3564" a="1"/>
  <c r="AW70" i="3564"/>
  <c r="AV70" i="3564"/>
  <c r="AF70" i="3564"/>
  <c r="S70" i="3564" a="1"/>
  <c r="S70" i="3564"/>
  <c r="R70" i="3564"/>
  <c r="H70" i="3564" a="1"/>
  <c r="H70" i="3564"/>
  <c r="G70" i="3564" a="1"/>
  <c r="G70" i="3564"/>
  <c r="F70" i="3564" a="1"/>
  <c r="F70" i="3564"/>
  <c r="E70" i="3564" a="1"/>
  <c r="E70" i="3564"/>
  <c r="D70" i="3564" a="1"/>
  <c r="D70" i="3564"/>
  <c r="C70" i="3564" a="1"/>
  <c r="C70" i="3564"/>
  <c r="A70" i="3564"/>
  <c r="BM69" i="3564"/>
  <c r="BC69" i="3564"/>
  <c r="AX69" i="3564" a="1"/>
  <c r="AX69" i="3564"/>
  <c r="AW69" i="3564" a="1"/>
  <c r="AW69" i="3564"/>
  <c r="AV69" i="3564"/>
  <c r="AF69" i="3564"/>
  <c r="S69" i="3564" a="1"/>
  <c r="S69" i="3564"/>
  <c r="R69" i="3564"/>
  <c r="H69" i="3564" a="1"/>
  <c r="H69" i="3564"/>
  <c r="G69" i="3564" a="1"/>
  <c r="G69" i="3564"/>
  <c r="F69" i="3564" a="1"/>
  <c r="F69" i="3564"/>
  <c r="E69" i="3564" a="1"/>
  <c r="E69" i="3564"/>
  <c r="D69" i="3564" a="1"/>
  <c r="D69" i="3564"/>
  <c r="C69" i="3564" a="1"/>
  <c r="C69" i="3564"/>
  <c r="A69" i="3564"/>
  <c r="BM68" i="3564"/>
  <c r="AX68" i="3564" a="1"/>
  <c r="AX68" i="3564"/>
  <c r="AW68" i="3564" a="1"/>
  <c r="AW68" i="3564"/>
  <c r="AV68" i="3564"/>
  <c r="W68" i="3564"/>
  <c r="S68" i="3564" a="1"/>
  <c r="S68" i="3564"/>
  <c r="R68" i="3564"/>
  <c r="H68" i="3564" a="1"/>
  <c r="H68" i="3564"/>
  <c r="G68" i="3564" a="1"/>
  <c r="G68" i="3564"/>
  <c r="F68" i="3564" a="1"/>
  <c r="F68" i="3564"/>
  <c r="E68" i="3564" a="1"/>
  <c r="E68" i="3564"/>
  <c r="D68" i="3564" a="1"/>
  <c r="D68" i="3564"/>
  <c r="C68" i="3564" a="1"/>
  <c r="C68" i="3564"/>
  <c r="A68" i="3564"/>
  <c r="BM67" i="3564"/>
  <c r="AX67" i="3564" a="1"/>
  <c r="AX67" i="3564"/>
  <c r="AW67" i="3564" a="1"/>
  <c r="AW67" i="3564"/>
  <c r="AV67" i="3564"/>
  <c r="W67" i="3564"/>
  <c r="S67" i="3564" a="1"/>
  <c r="S67" i="3564"/>
  <c r="R67" i="3564"/>
  <c r="H67" i="3564" a="1"/>
  <c r="H67" i="3564"/>
  <c r="G67" i="3564" a="1"/>
  <c r="G67" i="3564"/>
  <c r="F67" i="3564" a="1"/>
  <c r="F67" i="3564"/>
  <c r="E67" i="3564" a="1"/>
  <c r="E67" i="3564"/>
  <c r="D67" i="3564" a="1"/>
  <c r="D67" i="3564"/>
  <c r="C67" i="3564" a="1"/>
  <c r="C67" i="3564"/>
  <c r="A67" i="3564"/>
  <c r="BM66" i="3564"/>
  <c r="BC66" i="3564"/>
  <c r="AX66" i="3564" a="1"/>
  <c r="AX66" i="3564"/>
  <c r="AW66" i="3564" a="1"/>
  <c r="AW66" i="3564"/>
  <c r="AV66" i="3564"/>
  <c r="AF66" i="3564"/>
  <c r="S66" i="3564" a="1"/>
  <c r="S66" i="3564"/>
  <c r="R66" i="3564"/>
  <c r="H66" i="3564" a="1"/>
  <c r="H66" i="3564"/>
  <c r="G66" i="3564" a="1"/>
  <c r="G66" i="3564"/>
  <c r="F66" i="3564" a="1"/>
  <c r="F66" i="3564"/>
  <c r="E66" i="3564" a="1"/>
  <c r="E66" i="3564"/>
  <c r="D66" i="3564" a="1"/>
  <c r="D66" i="3564"/>
  <c r="C66" i="3564" a="1"/>
  <c r="C66" i="3564"/>
  <c r="A66" i="3564"/>
  <c r="BM65" i="3564"/>
  <c r="BC65" i="3564"/>
  <c r="AX65" i="3564" a="1"/>
  <c r="AX65" i="3564"/>
  <c r="AW65" i="3564" a="1"/>
  <c r="AW65" i="3564"/>
  <c r="AV65" i="3564"/>
  <c r="AF65" i="3564"/>
  <c r="S65" i="3564" a="1"/>
  <c r="S65" i="3564"/>
  <c r="R65" i="3564"/>
  <c r="H65" i="3564" a="1"/>
  <c r="H65" i="3564"/>
  <c r="G65" i="3564" a="1"/>
  <c r="G65" i="3564"/>
  <c r="F65" i="3564" a="1"/>
  <c r="F65" i="3564"/>
  <c r="E65" i="3564" a="1"/>
  <c r="E65" i="3564"/>
  <c r="D65" i="3564" a="1"/>
  <c r="D65" i="3564"/>
  <c r="C65" i="3564" a="1"/>
  <c r="C65" i="3564"/>
  <c r="A65" i="3564"/>
  <c r="BM64" i="3564"/>
  <c r="BC64" i="3564"/>
  <c r="AX64" i="3564" a="1"/>
  <c r="AX64" i="3564"/>
  <c r="AW64" i="3564" a="1"/>
  <c r="AW64" i="3564"/>
  <c r="AV64" i="3564"/>
  <c r="AF64" i="3564"/>
  <c r="S64" i="3564" a="1"/>
  <c r="S64" i="3564"/>
  <c r="R64" i="3564"/>
  <c r="H64" i="3564" a="1"/>
  <c r="H64" i="3564"/>
  <c r="G64" i="3564" a="1"/>
  <c r="G64" i="3564"/>
  <c r="F64" i="3564" a="1"/>
  <c r="F64" i="3564"/>
  <c r="E64" i="3564" a="1"/>
  <c r="E64" i="3564"/>
  <c r="D64" i="3564" a="1"/>
  <c r="D64" i="3564"/>
  <c r="C64" i="3564" a="1"/>
  <c r="C64" i="3564"/>
  <c r="A64" i="3564"/>
  <c r="BM63" i="3564"/>
  <c r="BC63" i="3564"/>
  <c r="AX63" i="3564" a="1"/>
  <c r="AX63" i="3564"/>
  <c r="AW63" i="3564" a="1"/>
  <c r="AW63" i="3564"/>
  <c r="AV63" i="3564"/>
  <c r="AF63" i="3564"/>
  <c r="W63" i="3564"/>
  <c r="S63" i="3564" a="1"/>
  <c r="S63" i="3564"/>
  <c r="R63" i="3564"/>
  <c r="H63" i="3564" a="1"/>
  <c r="H63" i="3564"/>
  <c r="G63" i="3564" a="1"/>
  <c r="G63" i="3564"/>
  <c r="F63" i="3564" a="1"/>
  <c r="F63" i="3564"/>
  <c r="E63" i="3564" a="1"/>
  <c r="E63" i="3564"/>
  <c r="D63" i="3564" a="1"/>
  <c r="D63" i="3564"/>
  <c r="C63" i="3564" a="1"/>
  <c r="C63" i="3564"/>
  <c r="A63" i="3564"/>
  <c r="BM62" i="3564"/>
  <c r="BC62" i="3564"/>
  <c r="AX62" i="3564" a="1"/>
  <c r="AX62" i="3564"/>
  <c r="AW62" i="3564" a="1"/>
  <c r="AW62" i="3564"/>
  <c r="AV62" i="3564"/>
  <c r="AF62" i="3564"/>
  <c r="S62" i="3564" a="1"/>
  <c r="S62" i="3564"/>
  <c r="R62" i="3564"/>
  <c r="I62" i="3564"/>
  <c r="K62" i="3564" s="1" a="1"/>
  <c r="K62" i="3564" s="1"/>
  <c r="H62" i="3564" a="1"/>
  <c r="H62" i="3564"/>
  <c r="G62" i="3564" a="1"/>
  <c r="G62" i="3564"/>
  <c r="F62" i="3564" a="1"/>
  <c r="F62" i="3564"/>
  <c r="E62" i="3564" a="1"/>
  <c r="E62" i="3564"/>
  <c r="D62" i="3564" a="1"/>
  <c r="D62" i="3564"/>
  <c r="C62" i="3564" a="1"/>
  <c r="C62" i="3564"/>
  <c r="A62" i="3564"/>
  <c r="BM61" i="3564"/>
  <c r="BC61" i="3564"/>
  <c r="AX61" i="3564" a="1"/>
  <c r="AX61" i="3564"/>
  <c r="AW61" i="3564" a="1"/>
  <c r="AW61" i="3564"/>
  <c r="AV61" i="3564"/>
  <c r="AF61" i="3564"/>
  <c r="S61" i="3564" a="1"/>
  <c r="S61" i="3564"/>
  <c r="R61" i="3564"/>
  <c r="I61" i="3564"/>
  <c r="P61" i="3564" s="1" a="1"/>
  <c r="P61" i="3564" s="1"/>
  <c r="H61" i="3564" a="1"/>
  <c r="H61" i="3564"/>
  <c r="G61" i="3564" a="1"/>
  <c r="G61" i="3564"/>
  <c r="F61" i="3564" a="1"/>
  <c r="F61" i="3564"/>
  <c r="E61" i="3564" a="1"/>
  <c r="E61" i="3564"/>
  <c r="D61" i="3564" a="1"/>
  <c r="D61" i="3564"/>
  <c r="C61" i="3564" a="1"/>
  <c r="C61" i="3564"/>
  <c r="A61" i="3564"/>
  <c r="BM60" i="3564"/>
  <c r="BC60" i="3564"/>
  <c r="AX60" i="3564" a="1"/>
  <c r="AX60" i="3564"/>
  <c r="AW60" i="3564" a="1"/>
  <c r="AW60" i="3564"/>
  <c r="AV60" i="3564"/>
  <c r="AF60" i="3564"/>
  <c r="S60" i="3564" a="1"/>
  <c r="S60" i="3564"/>
  <c r="R60" i="3564"/>
  <c r="M60" i="3564" a="1"/>
  <c r="M60" i="3564" s="1"/>
  <c r="L60" i="3564" a="1"/>
  <c r="L60" i="3564" s="1"/>
  <c r="I60" i="3564"/>
  <c r="P60" i="3564" s="1" a="1"/>
  <c r="P60" i="3564" s="1"/>
  <c r="H60" i="3564" a="1"/>
  <c r="H60" i="3564"/>
  <c r="G60" i="3564" a="1"/>
  <c r="G60" i="3564"/>
  <c r="F60" i="3564" a="1"/>
  <c r="F60" i="3564"/>
  <c r="E60" i="3564" a="1"/>
  <c r="E60" i="3564"/>
  <c r="D60" i="3564" a="1"/>
  <c r="D60" i="3564"/>
  <c r="C60" i="3564" a="1"/>
  <c r="C60" i="3564"/>
  <c r="A60" i="3564"/>
  <c r="BM59" i="3564"/>
  <c r="BC59" i="3564"/>
  <c r="AX59" i="3564" a="1"/>
  <c r="AX59" i="3564"/>
  <c r="AW59" i="3564" a="1"/>
  <c r="AW59" i="3564"/>
  <c r="AV59" i="3564"/>
  <c r="AF59" i="3564"/>
  <c r="S59" i="3564" a="1"/>
  <c r="S59" i="3564"/>
  <c r="R59" i="3564"/>
  <c r="H59" i="3564" a="1"/>
  <c r="H59" i="3564"/>
  <c r="G59" i="3564" a="1"/>
  <c r="G59" i="3564"/>
  <c r="F59" i="3564" a="1"/>
  <c r="F59" i="3564"/>
  <c r="E59" i="3564" a="1"/>
  <c r="E59" i="3564"/>
  <c r="D59" i="3564" a="1"/>
  <c r="D59" i="3564"/>
  <c r="C59" i="3564" a="1"/>
  <c r="C59" i="3564"/>
  <c r="A59" i="3564"/>
  <c r="BM58" i="3564"/>
  <c r="BC58" i="3564"/>
  <c r="AX58" i="3564" a="1"/>
  <c r="AX58" i="3564"/>
  <c r="AW58" i="3564" a="1"/>
  <c r="AW58" i="3564"/>
  <c r="AV58" i="3564"/>
  <c r="AF58" i="3564"/>
  <c r="W58" i="3564"/>
  <c r="S58" i="3564" a="1"/>
  <c r="S58" i="3564"/>
  <c r="R58" i="3564"/>
  <c r="H58" i="3564" a="1"/>
  <c r="H58" i="3564"/>
  <c r="G58" i="3564" a="1"/>
  <c r="G58" i="3564"/>
  <c r="F58" i="3564" a="1"/>
  <c r="F58" i="3564"/>
  <c r="E58" i="3564" a="1"/>
  <c r="E58" i="3564"/>
  <c r="D58" i="3564" a="1"/>
  <c r="D58" i="3564"/>
  <c r="C58" i="3564" a="1"/>
  <c r="C58" i="3564"/>
  <c r="A58" i="3564"/>
  <c r="BM57" i="3564"/>
  <c r="AX57" i="3564" a="1"/>
  <c r="AX57" i="3564"/>
  <c r="AW57" i="3564" a="1"/>
  <c r="AW57" i="3564"/>
  <c r="AV57" i="3564"/>
  <c r="W57" i="3564"/>
  <c r="S57" i="3564" a="1"/>
  <c r="S57" i="3564"/>
  <c r="R57" i="3564"/>
  <c r="O57" i="3564" a="1"/>
  <c r="O57" i="3564" s="1"/>
  <c r="I57" i="3564"/>
  <c r="N57" i="3564" s="1" a="1"/>
  <c r="N57" i="3564" s="1"/>
  <c r="AF57" i="3564" s="1"/>
  <c r="H57" i="3564" a="1"/>
  <c r="H57" i="3564"/>
  <c r="G57" i="3564" a="1"/>
  <c r="G57" i="3564"/>
  <c r="F57" i="3564" a="1"/>
  <c r="F57" i="3564"/>
  <c r="E57" i="3564" a="1"/>
  <c r="E57" i="3564"/>
  <c r="D57" i="3564" a="1"/>
  <c r="D57" i="3564"/>
  <c r="C57" i="3564" a="1"/>
  <c r="C57" i="3564"/>
  <c r="A57" i="3564"/>
  <c r="BM56" i="3564"/>
  <c r="AX56" i="3564" a="1"/>
  <c r="AX56" i="3564"/>
  <c r="AW56" i="3564" a="1"/>
  <c r="AW56" i="3564"/>
  <c r="AV56" i="3564"/>
  <c r="W56" i="3564"/>
  <c r="U56" i="3564"/>
  <c r="V56" i="3564" s="1"/>
  <c r="S56" i="3564" a="1"/>
  <c r="S56" i="3564"/>
  <c r="R56" i="3564"/>
  <c r="P56" i="3564" a="1"/>
  <c r="P56" i="3564" s="1"/>
  <c r="K56" i="3564" a="1"/>
  <c r="K56" i="3564"/>
  <c r="BA56" i="3564" s="1"/>
  <c r="BB56" i="3564" s="1"/>
  <c r="BC56" i="3564" s="1"/>
  <c r="I56" i="3564"/>
  <c r="O56" i="3564" s="1" a="1"/>
  <c r="O56" i="3564" s="1"/>
  <c r="H56" i="3564" a="1"/>
  <c r="H56" i="3564"/>
  <c r="G56" i="3564" a="1"/>
  <c r="G56" i="3564"/>
  <c r="F56" i="3564" a="1"/>
  <c r="F56" i="3564"/>
  <c r="E56" i="3564" a="1"/>
  <c r="E56" i="3564"/>
  <c r="D56" i="3564" a="1"/>
  <c r="D56" i="3564"/>
  <c r="C56" i="3564" a="1"/>
  <c r="C56" i="3564"/>
  <c r="A56" i="3564"/>
  <c r="BM55" i="3564"/>
  <c r="BC55" i="3564"/>
  <c r="AX55" i="3564" a="1"/>
  <c r="AX55" i="3564"/>
  <c r="AW55" i="3564" a="1"/>
  <c r="AW55" i="3564"/>
  <c r="AV55" i="3564"/>
  <c r="AF55" i="3564"/>
  <c r="S55" i="3564" a="1"/>
  <c r="S55" i="3564"/>
  <c r="R55" i="3564"/>
  <c r="H55" i="3564" a="1"/>
  <c r="H55" i="3564"/>
  <c r="G55" i="3564" a="1"/>
  <c r="G55" i="3564"/>
  <c r="F55" i="3564" a="1"/>
  <c r="F55" i="3564"/>
  <c r="E55" i="3564" a="1"/>
  <c r="E55" i="3564"/>
  <c r="D55" i="3564" a="1"/>
  <c r="D55" i="3564"/>
  <c r="C55" i="3564" a="1"/>
  <c r="C55" i="3564"/>
  <c r="A55" i="3564"/>
  <c r="BM54" i="3564"/>
  <c r="AX54" i="3564" a="1"/>
  <c r="AX54" i="3564"/>
  <c r="AW54" i="3564" a="1"/>
  <c r="AW54" i="3564"/>
  <c r="AV54" i="3564"/>
  <c r="W54" i="3564"/>
  <c r="S54" i="3564" a="1"/>
  <c r="S54" i="3564"/>
  <c r="R54" i="3564"/>
  <c r="L54" i="3564" a="1"/>
  <c r="L54" i="3564" s="1"/>
  <c r="K54" i="3564" a="1"/>
  <c r="K54" i="3564" s="1"/>
  <c r="I54" i="3564"/>
  <c r="O54" i="3564" s="1" a="1"/>
  <c r="O54" i="3564" s="1"/>
  <c r="H54" i="3564" a="1"/>
  <c r="H54" i="3564"/>
  <c r="G54" i="3564" a="1"/>
  <c r="G54" i="3564"/>
  <c r="F54" i="3564" a="1"/>
  <c r="F54" i="3564"/>
  <c r="E54" i="3564" a="1"/>
  <c r="E54" i="3564"/>
  <c r="D54" i="3564" a="1"/>
  <c r="D54" i="3564"/>
  <c r="C54" i="3564" a="1"/>
  <c r="C54" i="3564"/>
  <c r="A54" i="3564"/>
  <c r="BM53" i="3564"/>
  <c r="AX53" i="3564" a="1"/>
  <c r="AX53" i="3564"/>
  <c r="AW53" i="3564" a="1"/>
  <c r="AW53" i="3564"/>
  <c r="AV53" i="3564"/>
  <c r="W53" i="3564"/>
  <c r="S53" i="3564" a="1"/>
  <c r="S53" i="3564"/>
  <c r="R53" i="3564"/>
  <c r="H53" i="3564" a="1"/>
  <c r="H53" i="3564"/>
  <c r="G53" i="3564" a="1"/>
  <c r="G53" i="3564"/>
  <c r="F53" i="3564" a="1"/>
  <c r="F53" i="3564"/>
  <c r="E53" i="3564" a="1"/>
  <c r="E53" i="3564"/>
  <c r="D53" i="3564" a="1"/>
  <c r="D53" i="3564"/>
  <c r="C53" i="3564" a="1"/>
  <c r="C53" i="3564"/>
  <c r="A53" i="3564"/>
  <c r="BM52" i="3564"/>
  <c r="BC52" i="3564"/>
  <c r="AX52" i="3564" a="1"/>
  <c r="AX52" i="3564"/>
  <c r="AW52" i="3564" a="1"/>
  <c r="AW52" i="3564"/>
  <c r="AV52" i="3564"/>
  <c r="AF52" i="3564"/>
  <c r="U52" i="3564"/>
  <c r="V52" i="3564" s="1"/>
  <c r="W52" i="3564" s="1"/>
  <c r="S52" i="3564" a="1"/>
  <c r="S52" i="3564"/>
  <c r="R52" i="3564"/>
  <c r="P52" i="3564" a="1"/>
  <c r="P52" i="3564" s="1"/>
  <c r="K52" i="3564" a="1"/>
  <c r="K52" i="3564"/>
  <c r="BA52" i="3564" s="1"/>
  <c r="BB52" i="3564" s="1"/>
  <c r="I52" i="3564"/>
  <c r="O52" i="3564" s="1" a="1"/>
  <c r="O52" i="3564" s="1"/>
  <c r="H52" i="3564" a="1"/>
  <c r="H52" i="3564"/>
  <c r="G52" i="3564" a="1"/>
  <c r="G52" i="3564"/>
  <c r="F52" i="3564" a="1"/>
  <c r="F52" i="3564"/>
  <c r="E52" i="3564" a="1"/>
  <c r="E52" i="3564"/>
  <c r="D52" i="3564" a="1"/>
  <c r="D52" i="3564"/>
  <c r="C52" i="3564" a="1"/>
  <c r="C52" i="3564"/>
  <c r="A52" i="3564"/>
  <c r="BM51" i="3564"/>
  <c r="AX51" i="3564" a="1"/>
  <c r="AX51" i="3564"/>
  <c r="AW51" i="3564" a="1"/>
  <c r="AW51" i="3564"/>
  <c r="AV51" i="3564"/>
  <c r="W51" i="3564"/>
  <c r="S51" i="3564" a="1"/>
  <c r="S51" i="3564"/>
  <c r="R51" i="3564"/>
  <c r="H51" i="3564" a="1"/>
  <c r="H51" i="3564"/>
  <c r="G51" i="3564" a="1"/>
  <c r="G51" i="3564"/>
  <c r="F51" i="3564" a="1"/>
  <c r="F51" i="3564"/>
  <c r="E51" i="3564" a="1"/>
  <c r="E51" i="3564"/>
  <c r="D51" i="3564" a="1"/>
  <c r="D51" i="3564"/>
  <c r="C51" i="3564" a="1"/>
  <c r="C51" i="3564"/>
  <c r="A51" i="3564"/>
  <c r="BM50" i="3564"/>
  <c r="AX50" i="3564" a="1"/>
  <c r="AX50" i="3564"/>
  <c r="AW50" i="3564" a="1"/>
  <c r="AW50" i="3564"/>
  <c r="AV50" i="3564"/>
  <c r="W50" i="3564"/>
  <c r="S50" i="3564" a="1"/>
  <c r="S50" i="3564"/>
  <c r="R50" i="3564"/>
  <c r="L50" i="3564" a="1"/>
  <c r="L50" i="3564" s="1"/>
  <c r="K50" i="3564" a="1"/>
  <c r="K50" i="3564" s="1"/>
  <c r="I50" i="3564"/>
  <c r="O50" i="3564" s="1" a="1"/>
  <c r="O50" i="3564" s="1"/>
  <c r="H50" i="3564" a="1"/>
  <c r="H50" i="3564"/>
  <c r="G50" i="3564" a="1"/>
  <c r="G50" i="3564"/>
  <c r="F50" i="3564" a="1"/>
  <c r="F50" i="3564"/>
  <c r="E50" i="3564" a="1"/>
  <c r="E50" i="3564"/>
  <c r="D50" i="3564" a="1"/>
  <c r="D50" i="3564"/>
  <c r="C50" i="3564" a="1"/>
  <c r="C50" i="3564"/>
  <c r="A50" i="3564"/>
  <c r="BM49" i="3564"/>
  <c r="BC49" i="3564"/>
  <c r="AX49" i="3564" a="1"/>
  <c r="AX49" i="3564"/>
  <c r="AW49" i="3564" a="1"/>
  <c r="AW49" i="3564"/>
  <c r="AV49" i="3564"/>
  <c r="AF49" i="3564"/>
  <c r="S49" i="3564" a="1"/>
  <c r="S49" i="3564"/>
  <c r="R49" i="3564"/>
  <c r="H49" i="3564" a="1"/>
  <c r="H49" i="3564"/>
  <c r="G49" i="3564" a="1"/>
  <c r="G49" i="3564"/>
  <c r="F49" i="3564" a="1"/>
  <c r="F49" i="3564"/>
  <c r="E49" i="3564" a="1"/>
  <c r="E49" i="3564"/>
  <c r="D49" i="3564" a="1"/>
  <c r="D49" i="3564"/>
  <c r="C49" i="3564" a="1"/>
  <c r="C49" i="3564"/>
  <c r="A49" i="3564"/>
  <c r="BM48" i="3564"/>
  <c r="AX48" i="3564" a="1"/>
  <c r="AX48" i="3564"/>
  <c r="AW48" i="3564" a="1"/>
  <c r="AW48" i="3564"/>
  <c r="AV48" i="3564"/>
  <c r="W48" i="3564"/>
  <c r="U48" i="3564"/>
  <c r="V48" i="3564" s="1"/>
  <c r="S48" i="3564" a="1"/>
  <c r="S48" i="3564"/>
  <c r="R48" i="3564"/>
  <c r="P48" i="3564" a="1"/>
  <c r="P48" i="3564" s="1"/>
  <c r="K48" i="3564" a="1"/>
  <c r="K48" i="3564"/>
  <c r="BA48" i="3564" s="1"/>
  <c r="BB48" i="3564" s="1"/>
  <c r="BC48" i="3564" s="1"/>
  <c r="I48" i="3564"/>
  <c r="O48" i="3564" s="1" a="1"/>
  <c r="O48" i="3564" s="1"/>
  <c r="H48" i="3564" a="1"/>
  <c r="H48" i="3564"/>
  <c r="G48" i="3564" a="1"/>
  <c r="G48" i="3564"/>
  <c r="F48" i="3564" a="1"/>
  <c r="F48" i="3564"/>
  <c r="E48" i="3564" a="1"/>
  <c r="E48" i="3564"/>
  <c r="D48" i="3564" a="1"/>
  <c r="D48" i="3564"/>
  <c r="C48" i="3564" a="1"/>
  <c r="C48" i="3564"/>
  <c r="A48" i="3564"/>
  <c r="BM47" i="3564"/>
  <c r="AX47" i="3564" a="1"/>
  <c r="AX47" i="3564"/>
  <c r="AW47" i="3564" a="1"/>
  <c r="AW47" i="3564"/>
  <c r="AV47" i="3564"/>
  <c r="W47" i="3564"/>
  <c r="S47" i="3564" a="1"/>
  <c r="S47" i="3564"/>
  <c r="R47" i="3564"/>
  <c r="H47" i="3564" a="1"/>
  <c r="H47" i="3564"/>
  <c r="G47" i="3564" a="1"/>
  <c r="G47" i="3564"/>
  <c r="F47" i="3564" a="1"/>
  <c r="F47" i="3564"/>
  <c r="E47" i="3564" a="1"/>
  <c r="E47" i="3564"/>
  <c r="D47" i="3564" a="1"/>
  <c r="D47" i="3564"/>
  <c r="C47" i="3564" a="1"/>
  <c r="C47" i="3564"/>
  <c r="A47" i="3564"/>
  <c r="BM46" i="3564"/>
  <c r="BC46" i="3564"/>
  <c r="AX46" i="3564" a="1"/>
  <c r="AX46" i="3564"/>
  <c r="AW46" i="3564" a="1"/>
  <c r="AW46" i="3564"/>
  <c r="AV46" i="3564"/>
  <c r="AF46" i="3564"/>
  <c r="S46" i="3564" a="1"/>
  <c r="S46" i="3564"/>
  <c r="R46" i="3564"/>
  <c r="I46" i="3564"/>
  <c r="O46" i="3564" s="1" a="1"/>
  <c r="O46" i="3564" s="1"/>
  <c r="H46" i="3564" a="1"/>
  <c r="H46" i="3564"/>
  <c r="G46" i="3564" a="1"/>
  <c r="G46" i="3564"/>
  <c r="F46" i="3564" a="1"/>
  <c r="F46" i="3564"/>
  <c r="E46" i="3564" a="1"/>
  <c r="E46" i="3564"/>
  <c r="D46" i="3564" a="1"/>
  <c r="D46" i="3564"/>
  <c r="C46" i="3564" a="1"/>
  <c r="C46" i="3564"/>
  <c r="A46" i="3564"/>
  <c r="BM45" i="3564"/>
  <c r="AX45" i="3564" a="1"/>
  <c r="AX45" i="3564"/>
  <c r="AW45" i="3564" a="1"/>
  <c r="AW45" i="3564"/>
  <c r="AV45" i="3564"/>
  <c r="W45" i="3564"/>
  <c r="S45" i="3564" a="1"/>
  <c r="S45" i="3564"/>
  <c r="R45" i="3564"/>
  <c r="H45" i="3564" a="1"/>
  <c r="H45" i="3564"/>
  <c r="G45" i="3564" a="1"/>
  <c r="G45" i="3564"/>
  <c r="F45" i="3564" a="1"/>
  <c r="F45" i="3564"/>
  <c r="E45" i="3564" a="1"/>
  <c r="E45" i="3564"/>
  <c r="D45" i="3564" a="1"/>
  <c r="D45" i="3564"/>
  <c r="C45" i="3564" a="1"/>
  <c r="C45" i="3564"/>
  <c r="A45" i="3564"/>
  <c r="BM44" i="3564"/>
  <c r="AX44" i="3564" a="1"/>
  <c r="AX44" i="3564"/>
  <c r="AW44" i="3564" a="1"/>
  <c r="AW44" i="3564"/>
  <c r="AV44" i="3564"/>
  <c r="W44" i="3564"/>
  <c r="S44" i="3564" a="1"/>
  <c r="S44" i="3564"/>
  <c r="R44" i="3564"/>
  <c r="P44" i="3564" a="1"/>
  <c r="P44" i="3564" s="1"/>
  <c r="I44" i="3564"/>
  <c r="O44" i="3564" s="1" a="1"/>
  <c r="O44" i="3564" s="1"/>
  <c r="H44" i="3564" a="1"/>
  <c r="H44" i="3564"/>
  <c r="G44" i="3564" a="1"/>
  <c r="G44" i="3564"/>
  <c r="F44" i="3564" a="1"/>
  <c r="F44" i="3564"/>
  <c r="E44" i="3564" a="1"/>
  <c r="E44" i="3564"/>
  <c r="D44" i="3564" a="1"/>
  <c r="D44" i="3564"/>
  <c r="C44" i="3564" a="1"/>
  <c r="C44" i="3564"/>
  <c r="A44" i="3564"/>
  <c r="BM43" i="3564"/>
  <c r="BC43" i="3564"/>
  <c r="AX43" i="3564" a="1"/>
  <c r="AX43" i="3564"/>
  <c r="AW43" i="3564" a="1"/>
  <c r="AW43" i="3564"/>
  <c r="AV43" i="3564"/>
  <c r="AF43" i="3564"/>
  <c r="S43" i="3564" a="1"/>
  <c r="S43" i="3564"/>
  <c r="R43" i="3564"/>
  <c r="H43" i="3564" a="1"/>
  <c r="H43" i="3564"/>
  <c r="G43" i="3564" a="1"/>
  <c r="G43" i="3564"/>
  <c r="F43" i="3564" a="1"/>
  <c r="F43" i="3564"/>
  <c r="E43" i="3564" a="1"/>
  <c r="E43" i="3564"/>
  <c r="D43" i="3564" a="1"/>
  <c r="D43" i="3564"/>
  <c r="C43" i="3564" a="1"/>
  <c r="C43" i="3564"/>
  <c r="A43" i="3564"/>
  <c r="BM42" i="3564"/>
  <c r="AX42" i="3564" a="1"/>
  <c r="AX42" i="3564"/>
  <c r="AW42" i="3564" a="1"/>
  <c r="AW42" i="3564"/>
  <c r="AV42" i="3564"/>
  <c r="W42" i="3564"/>
  <c r="S42" i="3564" a="1"/>
  <c r="S42" i="3564"/>
  <c r="R42" i="3564"/>
  <c r="I42" i="3564"/>
  <c r="O42" i="3564" s="1" a="1"/>
  <c r="O42" i="3564" s="1"/>
  <c r="H42" i="3564" a="1"/>
  <c r="H42" i="3564"/>
  <c r="G42" i="3564" a="1"/>
  <c r="G42" i="3564"/>
  <c r="F42" i="3564" a="1"/>
  <c r="F42" i="3564"/>
  <c r="E42" i="3564" a="1"/>
  <c r="E42" i="3564"/>
  <c r="D42" i="3564" a="1"/>
  <c r="D42" i="3564"/>
  <c r="C42" i="3564" a="1"/>
  <c r="C42" i="3564"/>
  <c r="A42" i="3564"/>
  <c r="BM41" i="3564"/>
  <c r="AX41" i="3564" a="1"/>
  <c r="AX41" i="3564"/>
  <c r="AW41" i="3564" a="1"/>
  <c r="AW41" i="3564"/>
  <c r="AV41" i="3564"/>
  <c r="W41" i="3564"/>
  <c r="S41" i="3564" a="1"/>
  <c r="S41" i="3564"/>
  <c r="R41" i="3564"/>
  <c r="H41" i="3564" a="1"/>
  <c r="H41" i="3564"/>
  <c r="G41" i="3564" a="1"/>
  <c r="G41" i="3564"/>
  <c r="F41" i="3564" a="1"/>
  <c r="F41" i="3564"/>
  <c r="E41" i="3564" a="1"/>
  <c r="E41" i="3564"/>
  <c r="D41" i="3564" a="1"/>
  <c r="D41" i="3564"/>
  <c r="C41" i="3564" a="1"/>
  <c r="C41" i="3564"/>
  <c r="A41" i="3564"/>
  <c r="BM40" i="3564"/>
  <c r="BC40" i="3564"/>
  <c r="AX40" i="3564" a="1"/>
  <c r="AX40" i="3564"/>
  <c r="AW40" i="3564" a="1"/>
  <c r="AW40" i="3564"/>
  <c r="AV40" i="3564"/>
  <c r="AF40" i="3564"/>
  <c r="S40" i="3564" a="1"/>
  <c r="S40" i="3564"/>
  <c r="R40" i="3564"/>
  <c r="P40" i="3564" a="1"/>
  <c r="P40" i="3564" s="1"/>
  <c r="I40" i="3564"/>
  <c r="O40" i="3564" s="1" a="1"/>
  <c r="O40" i="3564" s="1"/>
  <c r="H40" i="3564" a="1"/>
  <c r="H40" i="3564"/>
  <c r="G40" i="3564" a="1"/>
  <c r="G40" i="3564"/>
  <c r="F40" i="3564" a="1"/>
  <c r="F40" i="3564"/>
  <c r="E40" i="3564" a="1"/>
  <c r="E40" i="3564"/>
  <c r="D40" i="3564" a="1"/>
  <c r="D40" i="3564"/>
  <c r="C40" i="3564" a="1"/>
  <c r="C40" i="3564"/>
  <c r="BM39" i="3564"/>
  <c r="AX39" i="3564" a="1"/>
  <c r="AX39" i="3564"/>
  <c r="AW39" i="3564" a="1"/>
  <c r="AW39" i="3564"/>
  <c r="AV39" i="3564"/>
  <c r="W39" i="3564"/>
  <c r="S39" i="3564" a="1"/>
  <c r="S39" i="3564"/>
  <c r="R39" i="3564"/>
  <c r="H39" i="3564" a="1"/>
  <c r="H39" i="3564"/>
  <c r="G39" i="3564" a="1"/>
  <c r="G39" i="3564"/>
  <c r="F39" i="3564" a="1"/>
  <c r="F39" i="3564"/>
  <c r="E39" i="3564" a="1"/>
  <c r="E39" i="3564"/>
  <c r="D39" i="3564" a="1"/>
  <c r="D39" i="3564"/>
  <c r="C39" i="3564" a="1"/>
  <c r="C39" i="3564"/>
  <c r="BM38" i="3564"/>
  <c r="AX38" i="3564" a="1"/>
  <c r="AX38" i="3564"/>
  <c r="AW38" i="3564" a="1"/>
  <c r="AW38" i="3564"/>
  <c r="AV38" i="3564"/>
  <c r="W38" i="3564"/>
  <c r="S38" i="3564" a="1"/>
  <c r="S38" i="3564"/>
  <c r="R38" i="3564"/>
  <c r="K38" i="3564" a="1"/>
  <c r="K38" i="3564" s="1"/>
  <c r="I38" i="3564"/>
  <c r="N38" i="3564" s="1" a="1"/>
  <c r="N38" i="3564" s="1"/>
  <c r="AF38" i="3564" s="1"/>
  <c r="H38" i="3564" a="1"/>
  <c r="H38" i="3564"/>
  <c r="G38" i="3564" a="1"/>
  <c r="G38" i="3564"/>
  <c r="F38" i="3564" a="1"/>
  <c r="F38" i="3564"/>
  <c r="E38" i="3564" a="1"/>
  <c r="E38" i="3564"/>
  <c r="D38" i="3564" a="1"/>
  <c r="D38" i="3564"/>
  <c r="C38" i="3564" a="1"/>
  <c r="C38" i="3564"/>
  <c r="BM37" i="3564"/>
  <c r="BC37" i="3564"/>
  <c r="AX37" i="3564" a="1"/>
  <c r="AX37" i="3564"/>
  <c r="AW37" i="3564" a="1"/>
  <c r="AW37" i="3564"/>
  <c r="AV37" i="3564"/>
  <c r="AF37" i="3564"/>
  <c r="S37" i="3564" a="1"/>
  <c r="S37" i="3564"/>
  <c r="R37" i="3564"/>
  <c r="H37" i="3564" a="1"/>
  <c r="H37" i="3564"/>
  <c r="G37" i="3564" a="1"/>
  <c r="G37" i="3564"/>
  <c r="F37" i="3564" a="1"/>
  <c r="F37" i="3564"/>
  <c r="E37" i="3564" a="1"/>
  <c r="E37" i="3564"/>
  <c r="D37" i="3564" a="1"/>
  <c r="D37" i="3564"/>
  <c r="C37" i="3564" a="1"/>
  <c r="C37" i="3564"/>
  <c r="BM36" i="3564"/>
  <c r="AX36" i="3564" a="1"/>
  <c r="AX36" i="3564"/>
  <c r="AW36" i="3564" a="1"/>
  <c r="AW36" i="3564"/>
  <c r="AV36" i="3564"/>
  <c r="W36" i="3564"/>
  <c r="S36" i="3564" a="1"/>
  <c r="S36" i="3564"/>
  <c r="R36" i="3564"/>
  <c r="H36" i="3564" a="1"/>
  <c r="H36" i="3564"/>
  <c r="G36" i="3564" a="1"/>
  <c r="G36" i="3564"/>
  <c r="F36" i="3564" a="1"/>
  <c r="F36" i="3564"/>
  <c r="E36" i="3564" a="1"/>
  <c r="E36" i="3564"/>
  <c r="D36" i="3564" a="1"/>
  <c r="D36" i="3564"/>
  <c r="C36" i="3564" a="1"/>
  <c r="C36" i="3564"/>
  <c r="BM35" i="3564"/>
  <c r="AX35" i="3564" a="1"/>
  <c r="AX35" i="3564"/>
  <c r="AW35" i="3564" a="1"/>
  <c r="AW35" i="3564"/>
  <c r="AV35" i="3564"/>
  <c r="W35" i="3564"/>
  <c r="S35" i="3564" a="1"/>
  <c r="S35" i="3564"/>
  <c r="R35" i="3564"/>
  <c r="H35" i="3564" a="1"/>
  <c r="H35" i="3564"/>
  <c r="G35" i="3564" a="1"/>
  <c r="G35" i="3564"/>
  <c r="F35" i="3564" a="1"/>
  <c r="F35" i="3564"/>
  <c r="E35" i="3564" a="1"/>
  <c r="E35" i="3564"/>
  <c r="D35" i="3564" a="1"/>
  <c r="D35" i="3564"/>
  <c r="C35" i="3564" a="1"/>
  <c r="C35" i="3564"/>
  <c r="BM34" i="3564"/>
  <c r="BC34" i="3564"/>
  <c r="AX34" i="3564" a="1"/>
  <c r="AX34" i="3564"/>
  <c r="AW34" i="3564" a="1"/>
  <c r="AW34" i="3564"/>
  <c r="AV34" i="3564"/>
  <c r="AF34" i="3564"/>
  <c r="S34" i="3564" a="1"/>
  <c r="S34" i="3564"/>
  <c r="R34" i="3564"/>
  <c r="H34" i="3564" a="1"/>
  <c r="H34" i="3564"/>
  <c r="G34" i="3564" a="1"/>
  <c r="G34" i="3564"/>
  <c r="F34" i="3564" a="1"/>
  <c r="F34" i="3564"/>
  <c r="E34" i="3564" a="1"/>
  <c r="E34" i="3564"/>
  <c r="D34" i="3564" a="1"/>
  <c r="D34" i="3564"/>
  <c r="C34" i="3564" a="1"/>
  <c r="C34" i="3564"/>
  <c r="BM33" i="3564"/>
  <c r="BC33" i="3564"/>
  <c r="AX33" i="3564" a="1"/>
  <c r="AX33" i="3564"/>
  <c r="AW33" i="3564" a="1"/>
  <c r="AW33" i="3564"/>
  <c r="AV33" i="3564"/>
  <c r="AF33" i="3564"/>
  <c r="W33" i="3564"/>
  <c r="S33" i="3564" a="1"/>
  <c r="S33" i="3564"/>
  <c r="R33" i="3564"/>
  <c r="I33" i="3564"/>
  <c r="P33" i="3564" s="1" a="1"/>
  <c r="P33" i="3564" s="1"/>
  <c r="H33" i="3564" a="1"/>
  <c r="H33" i="3564"/>
  <c r="G33" i="3564" a="1"/>
  <c r="G33" i="3564"/>
  <c r="F33" i="3564" a="1"/>
  <c r="F33" i="3564"/>
  <c r="E33" i="3564" a="1"/>
  <c r="E33" i="3564"/>
  <c r="D33" i="3564" a="1"/>
  <c r="D33" i="3564"/>
  <c r="C33" i="3564" a="1"/>
  <c r="C33" i="3564"/>
  <c r="BM32" i="3564"/>
  <c r="BC32" i="3564"/>
  <c r="AX32" i="3564" a="1"/>
  <c r="AX32" i="3564"/>
  <c r="AW32" i="3564" a="1"/>
  <c r="AW32" i="3564"/>
  <c r="AV32" i="3564"/>
  <c r="AF32" i="3564"/>
  <c r="S32" i="3564" a="1"/>
  <c r="S32" i="3564"/>
  <c r="R32" i="3564"/>
  <c r="N32" i="3564" a="1"/>
  <c r="N32" i="3564" s="1"/>
  <c r="M32" i="3564" a="1"/>
  <c r="M32" i="3564" s="1"/>
  <c r="L32" i="3564" a="1"/>
  <c r="L32" i="3564" s="1"/>
  <c r="I32" i="3564"/>
  <c r="P32" i="3564" s="1" a="1"/>
  <c r="P32" i="3564" s="1"/>
  <c r="H32" i="3564" a="1"/>
  <c r="H32" i="3564"/>
  <c r="G32" i="3564" a="1"/>
  <c r="G32" i="3564"/>
  <c r="F32" i="3564" a="1"/>
  <c r="F32" i="3564"/>
  <c r="E32" i="3564" a="1"/>
  <c r="E32" i="3564"/>
  <c r="D32" i="3564" a="1"/>
  <c r="D32" i="3564"/>
  <c r="C32" i="3564" a="1"/>
  <c r="C32" i="3564"/>
  <c r="BM31" i="3564"/>
  <c r="AX31" i="3564" a="1"/>
  <c r="AX31" i="3564"/>
  <c r="AW31" i="3564" a="1"/>
  <c r="AW31" i="3564"/>
  <c r="AV31" i="3564"/>
  <c r="W31" i="3564"/>
  <c r="S31" i="3564" a="1"/>
  <c r="S31" i="3564"/>
  <c r="R31" i="3564"/>
  <c r="O31" i="3564" a="1"/>
  <c r="O31" i="3564"/>
  <c r="N31" i="3564" a="1"/>
  <c r="N31" i="3564" s="1"/>
  <c r="AF31" i="3564" s="1"/>
  <c r="I31" i="3564"/>
  <c r="M31" i="3564" s="1" a="1"/>
  <c r="M31" i="3564" s="1"/>
  <c r="H31" i="3564" a="1"/>
  <c r="H31" i="3564"/>
  <c r="G31" i="3564" a="1"/>
  <c r="G31" i="3564"/>
  <c r="F31" i="3564" a="1"/>
  <c r="F31" i="3564"/>
  <c r="E31" i="3564" a="1"/>
  <c r="E31" i="3564"/>
  <c r="D31" i="3564" a="1"/>
  <c r="D31" i="3564"/>
  <c r="C31" i="3564" a="1"/>
  <c r="C31" i="3564"/>
  <c r="BM30" i="3564"/>
  <c r="AX30" i="3564" a="1"/>
  <c r="AX30" i="3564"/>
  <c r="AW30" i="3564" a="1"/>
  <c r="AW30" i="3564"/>
  <c r="AV30" i="3564"/>
  <c r="W30" i="3564"/>
  <c r="S30" i="3564" a="1"/>
  <c r="S30" i="3564"/>
  <c r="R30" i="3564"/>
  <c r="H30" i="3564" a="1"/>
  <c r="H30" i="3564"/>
  <c r="G30" i="3564" a="1"/>
  <c r="G30" i="3564"/>
  <c r="F30" i="3564" a="1"/>
  <c r="F30" i="3564"/>
  <c r="E30" i="3564" a="1"/>
  <c r="E30" i="3564"/>
  <c r="D30" i="3564" a="1"/>
  <c r="D30" i="3564"/>
  <c r="C30" i="3564" a="1"/>
  <c r="C30" i="3564"/>
  <c r="BM29" i="3564"/>
  <c r="BC29" i="3564"/>
  <c r="AX29" i="3564" a="1"/>
  <c r="AX29" i="3564"/>
  <c r="AW29" i="3564" a="1"/>
  <c r="AW29" i="3564"/>
  <c r="AV29" i="3564"/>
  <c r="AF29" i="3564"/>
  <c r="S29" i="3564" a="1"/>
  <c r="S29" i="3564"/>
  <c r="R29" i="3564"/>
  <c r="P29" i="3564" a="1"/>
  <c r="P29" i="3564"/>
  <c r="O29" i="3564" a="1"/>
  <c r="O29" i="3564"/>
  <c r="N29" i="3564" a="1"/>
  <c r="N29" i="3564"/>
  <c r="I29" i="3564"/>
  <c r="M29" i="3564" s="1" a="1"/>
  <c r="M29" i="3564" s="1"/>
  <c r="H29" i="3564" a="1"/>
  <c r="H29" i="3564"/>
  <c r="G29" i="3564" a="1"/>
  <c r="G29" i="3564"/>
  <c r="F29" i="3564" a="1"/>
  <c r="F29" i="3564"/>
  <c r="E29" i="3564" a="1"/>
  <c r="E29" i="3564"/>
  <c r="D29" i="3564" a="1"/>
  <c r="D29" i="3564"/>
  <c r="C29" i="3564" a="1"/>
  <c r="C29" i="3564"/>
  <c r="BM28" i="3564"/>
  <c r="BC28" i="3564"/>
  <c r="AX28" i="3564" a="1"/>
  <c r="AX28" i="3564"/>
  <c r="AW28" i="3564" a="1"/>
  <c r="AW28" i="3564"/>
  <c r="AV28" i="3564"/>
  <c r="AF28" i="3564"/>
  <c r="S28" i="3564" a="1"/>
  <c r="S28" i="3564"/>
  <c r="R28" i="3564"/>
  <c r="I28" i="3564"/>
  <c r="O28" i="3564" s="1" a="1"/>
  <c r="O28" i="3564" s="1"/>
  <c r="H28" i="3564" a="1"/>
  <c r="H28" i="3564"/>
  <c r="G28" i="3564" a="1"/>
  <c r="G28" i="3564"/>
  <c r="F28" i="3564" a="1"/>
  <c r="F28" i="3564"/>
  <c r="E28" i="3564" a="1"/>
  <c r="E28" i="3564"/>
  <c r="D28" i="3564" a="1"/>
  <c r="D28" i="3564"/>
  <c r="C28" i="3564" a="1"/>
  <c r="C28" i="3564"/>
  <c r="BM27" i="3564"/>
  <c r="BC27" i="3564"/>
  <c r="AX27" i="3564" a="1"/>
  <c r="AX27" i="3564"/>
  <c r="AW27" i="3564" a="1"/>
  <c r="AW27" i="3564"/>
  <c r="AV27" i="3564"/>
  <c r="AF27" i="3564"/>
  <c r="S27" i="3564" a="1"/>
  <c r="S27" i="3564"/>
  <c r="R27" i="3564"/>
  <c r="H27" i="3564" a="1"/>
  <c r="H27" i="3564"/>
  <c r="G27" i="3564" a="1"/>
  <c r="G27" i="3564"/>
  <c r="F27" i="3564" a="1"/>
  <c r="F27" i="3564"/>
  <c r="E27" i="3564" a="1"/>
  <c r="E27" i="3564"/>
  <c r="D27" i="3564" a="1"/>
  <c r="D27" i="3564"/>
  <c r="C27" i="3564" a="1"/>
  <c r="C27" i="3564"/>
  <c r="BM26" i="3564"/>
  <c r="BC26" i="3564"/>
  <c r="AX26" i="3564" a="1"/>
  <c r="AX26" i="3564"/>
  <c r="AW26" i="3564" a="1"/>
  <c r="AW26" i="3564"/>
  <c r="AV26" i="3564"/>
  <c r="AF26" i="3564"/>
  <c r="S26" i="3564" a="1"/>
  <c r="S26" i="3564"/>
  <c r="R26" i="3564"/>
  <c r="P26" i="3564" a="1"/>
  <c r="P26" i="3564" s="1"/>
  <c r="O26" i="3564" a="1"/>
  <c r="O26" i="3564" s="1"/>
  <c r="I26" i="3564"/>
  <c r="N26" i="3564" s="1" a="1"/>
  <c r="N26" i="3564" s="1"/>
  <c r="H26" i="3564" a="1"/>
  <c r="H26" i="3564"/>
  <c r="G26" i="3564" a="1"/>
  <c r="G26" i="3564"/>
  <c r="F26" i="3564" a="1"/>
  <c r="F26" i="3564"/>
  <c r="E26" i="3564" a="1"/>
  <c r="E26" i="3564"/>
  <c r="D26" i="3564" a="1"/>
  <c r="D26" i="3564"/>
  <c r="C26" i="3564" a="1"/>
  <c r="C26" i="3564"/>
  <c r="BM25" i="3564"/>
  <c r="BC25" i="3564"/>
  <c r="AX25" i="3564" a="1"/>
  <c r="AX25" i="3564"/>
  <c r="AW25" i="3564" a="1"/>
  <c r="AW25" i="3564"/>
  <c r="AV25" i="3564"/>
  <c r="AF25" i="3564"/>
  <c r="W25" i="3564"/>
  <c r="S25" i="3564" a="1"/>
  <c r="S25" i="3564"/>
  <c r="R25" i="3564"/>
  <c r="H25" i="3564" a="1"/>
  <c r="H25" i="3564"/>
  <c r="G25" i="3564" a="1"/>
  <c r="G25" i="3564"/>
  <c r="F25" i="3564" a="1"/>
  <c r="F25" i="3564"/>
  <c r="E25" i="3564" a="1"/>
  <c r="E25" i="3564"/>
  <c r="D25" i="3564" a="1"/>
  <c r="D25" i="3564"/>
  <c r="C25" i="3564" a="1"/>
  <c r="C25" i="3564"/>
  <c r="BM24" i="3564"/>
  <c r="BC24" i="3564"/>
  <c r="AX24" i="3564" a="1"/>
  <c r="AX24" i="3564"/>
  <c r="AW24" i="3564" a="1"/>
  <c r="AW24" i="3564"/>
  <c r="AV24" i="3564"/>
  <c r="AF24" i="3564"/>
  <c r="S24" i="3564" a="1"/>
  <c r="S24" i="3564"/>
  <c r="R24" i="3564"/>
  <c r="I24" i="3564"/>
  <c r="M24" i="3564" s="1" a="1"/>
  <c r="M24" i="3564" s="1"/>
  <c r="H24" i="3564" a="1"/>
  <c r="H24" i="3564"/>
  <c r="G24" i="3564" a="1"/>
  <c r="G24" i="3564"/>
  <c r="F24" i="3564" a="1"/>
  <c r="F24" i="3564"/>
  <c r="E24" i="3564" a="1"/>
  <c r="E24" i="3564"/>
  <c r="D24" i="3564" a="1"/>
  <c r="D24" i="3564"/>
  <c r="C24" i="3564" a="1"/>
  <c r="C24" i="3564"/>
  <c r="BM23" i="3564"/>
  <c r="BC23" i="3564"/>
  <c r="AX23" i="3564" a="1"/>
  <c r="AX23" i="3564"/>
  <c r="AW23" i="3564" a="1"/>
  <c r="AW23" i="3564"/>
  <c r="AV23" i="3564"/>
  <c r="AF23" i="3564"/>
  <c r="S23" i="3564" a="1"/>
  <c r="S23" i="3564"/>
  <c r="R23" i="3564"/>
  <c r="I23" i="3564"/>
  <c r="P23" i="3564" s="1" a="1"/>
  <c r="P23" i="3564" s="1"/>
  <c r="H23" i="3564" a="1"/>
  <c r="H23" i="3564"/>
  <c r="G23" i="3564" a="1"/>
  <c r="G23" i="3564"/>
  <c r="F23" i="3564" a="1"/>
  <c r="F23" i="3564"/>
  <c r="E23" i="3564" a="1"/>
  <c r="E23" i="3564"/>
  <c r="D23" i="3564" a="1"/>
  <c r="D23" i="3564"/>
  <c r="C23" i="3564" a="1"/>
  <c r="C23" i="3564"/>
  <c r="BM22" i="3564"/>
  <c r="AX22" i="3564" a="1"/>
  <c r="AX22" i="3564"/>
  <c r="AW22" i="3564" a="1"/>
  <c r="AW22" i="3564"/>
  <c r="AV22" i="3564"/>
  <c r="W22" i="3564"/>
  <c r="S22" i="3564" a="1"/>
  <c r="S22" i="3564"/>
  <c r="R22" i="3564"/>
  <c r="H22" i="3564" a="1"/>
  <c r="H22" i="3564"/>
  <c r="G22" i="3564" a="1"/>
  <c r="G22" i="3564"/>
  <c r="F22" i="3564" a="1"/>
  <c r="F22" i="3564"/>
  <c r="E22" i="3564" a="1"/>
  <c r="E22" i="3564"/>
  <c r="D22" i="3564" a="1"/>
  <c r="D22" i="3564"/>
  <c r="C22" i="3564" a="1"/>
  <c r="C22" i="3564"/>
  <c r="BM21" i="3564"/>
  <c r="AX21" i="3564" a="1"/>
  <c r="AX21" i="3564"/>
  <c r="AW21" i="3564" a="1"/>
  <c r="AW21" i="3564"/>
  <c r="AV21" i="3564"/>
  <c r="W21" i="3564"/>
  <c r="S21" i="3564" a="1"/>
  <c r="S21" i="3564"/>
  <c r="R21" i="3564"/>
  <c r="P21" i="3564" a="1"/>
  <c r="P21" i="3564"/>
  <c r="O21" i="3564" a="1"/>
  <c r="O21" i="3564" s="1"/>
  <c r="K21" i="3564" a="1"/>
  <c r="K21" i="3564"/>
  <c r="BA21" i="3564" s="1"/>
  <c r="BB21" i="3564" s="1"/>
  <c r="BC21" i="3564" s="1"/>
  <c r="I21" i="3564"/>
  <c r="N21" i="3564" s="1" a="1"/>
  <c r="N21" i="3564" s="1"/>
  <c r="AF21" i="3564" s="1"/>
  <c r="H21" i="3564" a="1"/>
  <c r="H21" i="3564"/>
  <c r="G21" i="3564" a="1"/>
  <c r="G21" i="3564"/>
  <c r="F21" i="3564" a="1"/>
  <c r="F21" i="3564"/>
  <c r="E21" i="3564" a="1"/>
  <c r="E21" i="3564"/>
  <c r="D21" i="3564" a="1"/>
  <c r="D21" i="3564"/>
  <c r="C21" i="3564" a="1"/>
  <c r="C21" i="3564"/>
  <c r="BM20" i="3564"/>
  <c r="BC20" i="3564"/>
  <c r="AX20" i="3564" a="1"/>
  <c r="AX20" i="3564"/>
  <c r="AW20" i="3564" a="1"/>
  <c r="AW20" i="3564"/>
  <c r="AV20" i="3564"/>
  <c r="AF20" i="3564"/>
  <c r="S20" i="3564" a="1"/>
  <c r="S20" i="3564"/>
  <c r="R20" i="3564"/>
  <c r="H20" i="3564" a="1"/>
  <c r="H20" i="3564"/>
  <c r="G20" i="3564" a="1"/>
  <c r="G20" i="3564"/>
  <c r="F20" i="3564" a="1"/>
  <c r="F20" i="3564"/>
  <c r="E20" i="3564" a="1"/>
  <c r="E20" i="3564"/>
  <c r="D20" i="3564" a="1"/>
  <c r="D20" i="3564"/>
  <c r="C20" i="3564" a="1"/>
  <c r="C20" i="3564"/>
  <c r="BM19" i="3564"/>
  <c r="AX19" i="3564" a="1"/>
  <c r="AX19" i="3564"/>
  <c r="AW19" i="3564" a="1"/>
  <c r="AW19" i="3564"/>
  <c r="AV19" i="3564"/>
  <c r="W19" i="3564"/>
  <c r="S19" i="3564" a="1"/>
  <c r="S19" i="3564"/>
  <c r="R19" i="3564"/>
  <c r="P19" i="3564" a="1"/>
  <c r="P19" i="3564"/>
  <c r="O19" i="3564" a="1"/>
  <c r="O19" i="3564"/>
  <c r="K19" i="3564" a="1"/>
  <c r="K19" i="3564" s="1"/>
  <c r="I19" i="3564"/>
  <c r="N19" i="3564" s="1" a="1"/>
  <c r="N19" i="3564" s="1"/>
  <c r="AF19" i="3564" s="1"/>
  <c r="H19" i="3564" a="1"/>
  <c r="H19" i="3564"/>
  <c r="G19" i="3564" a="1"/>
  <c r="G19" i="3564"/>
  <c r="F19" i="3564" a="1"/>
  <c r="F19" i="3564"/>
  <c r="E19" i="3564" a="1"/>
  <c r="E19" i="3564"/>
  <c r="D19" i="3564" a="1"/>
  <c r="D19" i="3564"/>
  <c r="C19" i="3564" a="1"/>
  <c r="C19" i="3564"/>
  <c r="BM18" i="3564"/>
  <c r="AX18" i="3564" a="1"/>
  <c r="AX18" i="3564"/>
  <c r="AW18" i="3564" a="1"/>
  <c r="AW18" i="3564"/>
  <c r="AV18" i="3564"/>
  <c r="W18" i="3564"/>
  <c r="S18" i="3564" a="1"/>
  <c r="S18" i="3564"/>
  <c r="R18" i="3564"/>
  <c r="M18" i="3564" a="1"/>
  <c r="M18" i="3564" s="1"/>
  <c r="L18" i="3564" a="1"/>
  <c r="L18" i="3564" s="1"/>
  <c r="K18" i="3564" a="1"/>
  <c r="K18" i="3564" s="1"/>
  <c r="I18" i="3564"/>
  <c r="P18" i="3564" s="1" a="1"/>
  <c r="P18" i="3564" s="1"/>
  <c r="H18" i="3564" a="1"/>
  <c r="H18" i="3564"/>
  <c r="G18" i="3564" a="1"/>
  <c r="G18" i="3564"/>
  <c r="F18" i="3564" a="1"/>
  <c r="F18" i="3564"/>
  <c r="E18" i="3564" a="1"/>
  <c r="E18" i="3564"/>
  <c r="D18" i="3564" a="1"/>
  <c r="D18" i="3564"/>
  <c r="C18" i="3564" a="1"/>
  <c r="C18" i="3564"/>
  <c r="BM17" i="3564"/>
  <c r="BC17" i="3564"/>
  <c r="AX17" i="3564" a="1"/>
  <c r="AX17" i="3564"/>
  <c r="AW17" i="3564" a="1"/>
  <c r="AW17" i="3564"/>
  <c r="AV17" i="3564"/>
  <c r="AF17" i="3564"/>
  <c r="S17" i="3564" a="1"/>
  <c r="S17" i="3564"/>
  <c r="R17" i="3564"/>
  <c r="I17" i="3564"/>
  <c r="M17" i="3564" s="1" a="1"/>
  <c r="M17" i="3564" s="1"/>
  <c r="H17" i="3564" a="1"/>
  <c r="H17" i="3564"/>
  <c r="G17" i="3564" a="1"/>
  <c r="G17" i="3564"/>
  <c r="F17" i="3564" a="1"/>
  <c r="F17" i="3564"/>
  <c r="E17" i="3564" a="1"/>
  <c r="E17" i="3564"/>
  <c r="D17" i="3564" a="1"/>
  <c r="D17" i="3564"/>
  <c r="C17" i="3564" a="1"/>
  <c r="C17" i="3564"/>
  <c r="BM16" i="3564"/>
  <c r="AX16" i="3564" a="1"/>
  <c r="AX16" i="3564"/>
  <c r="AW16" i="3564" a="1"/>
  <c r="AW16" i="3564"/>
  <c r="AV16" i="3564"/>
  <c r="W16" i="3564"/>
  <c r="S16" i="3564" a="1"/>
  <c r="S16" i="3564"/>
  <c r="R16" i="3564"/>
  <c r="H16" i="3564" a="1"/>
  <c r="H16" i="3564"/>
  <c r="G16" i="3564" a="1"/>
  <c r="G16" i="3564"/>
  <c r="F16" i="3564" a="1"/>
  <c r="F16" i="3564"/>
  <c r="E16" i="3564" a="1"/>
  <c r="E16" i="3564"/>
  <c r="D16" i="3564" a="1"/>
  <c r="D16" i="3564"/>
  <c r="C16" i="3564" a="1"/>
  <c r="C16" i="3564"/>
  <c r="BM15" i="3564"/>
  <c r="AX15" i="3564" a="1"/>
  <c r="AX15" i="3564"/>
  <c r="AW15" i="3564" a="1"/>
  <c r="AW15" i="3564"/>
  <c r="AV15" i="3564"/>
  <c r="W15" i="3564"/>
  <c r="S15" i="3564" a="1"/>
  <c r="S15" i="3564"/>
  <c r="R15" i="3564"/>
  <c r="P15" i="3564" a="1"/>
  <c r="P15" i="3564" s="1"/>
  <c r="O15" i="3564" a="1"/>
  <c r="O15" i="3564" s="1"/>
  <c r="I15" i="3564"/>
  <c r="N15" i="3564" s="1" a="1"/>
  <c r="N15" i="3564" s="1"/>
  <c r="AF15" i="3564" s="1"/>
  <c r="H15" i="3564" a="1"/>
  <c r="H15" i="3564"/>
  <c r="G15" i="3564" a="1"/>
  <c r="G15" i="3564"/>
  <c r="F15" i="3564" a="1"/>
  <c r="F15" i="3564"/>
  <c r="E15" i="3564" a="1"/>
  <c r="E15" i="3564"/>
  <c r="D15" i="3564" a="1"/>
  <c r="D15" i="3564"/>
  <c r="C15" i="3564" a="1"/>
  <c r="C15" i="3564"/>
  <c r="BM14" i="3564"/>
  <c r="BC14" i="3564"/>
  <c r="AX14" i="3564" a="1"/>
  <c r="AX14" i="3564"/>
  <c r="AW14" i="3564" a="1"/>
  <c r="AW14" i="3564"/>
  <c r="AV14" i="3564"/>
  <c r="AF14" i="3564"/>
  <c r="S14" i="3564" a="1"/>
  <c r="S14" i="3564"/>
  <c r="R14" i="3564"/>
  <c r="P14" i="3564" a="1"/>
  <c r="P14" i="3564" s="1"/>
  <c r="I14" i="3564"/>
  <c r="O14" i="3564" s="1" a="1"/>
  <c r="O14" i="3564" s="1"/>
  <c r="H14" i="3564" a="1"/>
  <c r="H14" i="3564"/>
  <c r="G14" i="3564" a="1"/>
  <c r="G14" i="3564"/>
  <c r="F14" i="3564" a="1"/>
  <c r="F14" i="3564"/>
  <c r="E14" i="3564" a="1"/>
  <c r="E14" i="3564"/>
  <c r="D14" i="3564" a="1"/>
  <c r="D14" i="3564"/>
  <c r="C14" i="3564" a="1"/>
  <c r="C14" i="3564"/>
  <c r="BM13" i="3564"/>
  <c r="BC13" i="3564"/>
  <c r="AX13" i="3564" a="1"/>
  <c r="AX13" i="3564"/>
  <c r="AW13" i="3564" a="1"/>
  <c r="AW13" i="3564"/>
  <c r="AV13" i="3564"/>
  <c r="AF13" i="3564"/>
  <c r="W13" i="3564"/>
  <c r="S13" i="3564" a="1"/>
  <c r="S13" i="3564"/>
  <c r="R13" i="3564"/>
  <c r="I13" i="3564"/>
  <c r="M13" i="3564" s="1" a="1"/>
  <c r="M13" i="3564" s="1"/>
  <c r="H13" i="3564" a="1"/>
  <c r="H13" i="3564"/>
  <c r="G13" i="3564" a="1"/>
  <c r="G13" i="3564"/>
  <c r="F13" i="3564" a="1"/>
  <c r="F13" i="3564"/>
  <c r="E13" i="3564" a="1"/>
  <c r="E13" i="3564"/>
  <c r="D13" i="3564" a="1"/>
  <c r="D13" i="3564"/>
  <c r="C13" i="3564" a="1"/>
  <c r="C13" i="3564"/>
  <c r="BT12" i="3564"/>
  <c r="BT13" i="3564" s="1"/>
  <c r="BM12" i="3564"/>
  <c r="BS12" i="3564" s="1"/>
  <c r="BC12" i="3564"/>
  <c r="AX12" i="3564" a="1"/>
  <c r="AX12" i="3564"/>
  <c r="AW12" i="3564" a="1"/>
  <c r="AW12" i="3564"/>
  <c r="AV12" i="3564"/>
  <c r="AF12" i="3564"/>
  <c r="W12" i="3564"/>
  <c r="S12" i="3564" a="1"/>
  <c r="S12" i="3564"/>
  <c r="R12" i="3564"/>
  <c r="O12" i="3564" a="1"/>
  <c r="O12" i="3564"/>
  <c r="N12" i="3564" a="1"/>
  <c r="N12" i="3564" s="1"/>
  <c r="I12" i="3564"/>
  <c r="M12" i="3564" s="1" a="1"/>
  <c r="M12" i="3564" s="1"/>
  <c r="H12" i="3564" a="1"/>
  <c r="H12" i="3564"/>
  <c r="G12" i="3564" a="1"/>
  <c r="G12" i="3564"/>
  <c r="F12" i="3564" a="1"/>
  <c r="F12" i="3564"/>
  <c r="E12" i="3564" a="1"/>
  <c r="E12" i="3564"/>
  <c r="D12" i="3564" a="1"/>
  <c r="D12" i="3564"/>
  <c r="C12" i="3564" a="1"/>
  <c r="C12" i="3564"/>
  <c r="S11" i="3564" a="1"/>
  <c r="S11" i="3564"/>
  <c r="P11" i="3564" a="1"/>
  <c r="P11" i="3564"/>
  <c r="O11" i="3564" a="1"/>
  <c r="O11" i="3564"/>
  <c r="M11" i="3564" a="1"/>
  <c r="M11" i="3564"/>
  <c r="L11" i="3564" a="1"/>
  <c r="L11" i="3564"/>
  <c r="K11" i="3564"/>
  <c r="H11" i="3564"/>
  <c r="G11" i="3564"/>
  <c r="F11" i="3564"/>
  <c r="E11" i="3564"/>
  <c r="D11" i="3564"/>
  <c r="D4" i="3564"/>
  <c r="C4" i="3564"/>
  <c r="D3" i="3564"/>
  <c r="C3" i="3564"/>
  <c r="I77" i="3564" s="1"/>
  <c r="D2" i="3564"/>
  <c r="C2" i="3564"/>
  <c r="B655" i="3449"/>
  <c r="B654" i="3449"/>
  <c r="B653" i="3449" a="1"/>
  <c r="B653" i="3449"/>
  <c r="B651" i="3449"/>
  <c r="B650" i="3449"/>
  <c r="B649" i="3449" a="1"/>
  <c r="B649" i="3449"/>
  <c r="B647" i="3449"/>
  <c r="B645" i="3449" a="1"/>
  <c r="B645" i="3449"/>
  <c r="B628" i="3449"/>
  <c r="B626" i="3449"/>
  <c r="D624" i="3449"/>
  <c r="D623" i="3449"/>
  <c r="D622" i="3449"/>
  <c r="D621" i="3449"/>
  <c r="D620" i="3449"/>
  <c r="D619" i="3449"/>
  <c r="D617" i="3449"/>
  <c r="D616" i="3449"/>
  <c r="D615" i="3449"/>
  <c r="D614" i="3449"/>
  <c r="D613" i="3449"/>
  <c r="D612" i="3449"/>
  <c r="D611" i="3449"/>
  <c r="D610" i="3449"/>
  <c r="D609" i="3449"/>
  <c r="D608" i="3449"/>
  <c r="D607" i="3449"/>
  <c r="D606" i="3449"/>
  <c r="D605" i="3449"/>
  <c r="D604" i="3449"/>
  <c r="D603" i="3449"/>
  <c r="B602" i="3449" a="1"/>
  <c r="B602" i="3449" s="1"/>
  <c r="B601" i="3449"/>
  <c r="D599" i="3449"/>
  <c r="D598" i="3449"/>
  <c r="D597" i="3449"/>
  <c r="D596" i="3449"/>
  <c r="D595" i="3449"/>
  <c r="D594" i="3449"/>
  <c r="D592" i="3449"/>
  <c r="D591" i="3449"/>
  <c r="D590" i="3449"/>
  <c r="D589" i="3449"/>
  <c r="D588" i="3449"/>
  <c r="D587" i="3449"/>
  <c r="D586" i="3449"/>
  <c r="D585" i="3449"/>
  <c r="D584" i="3449"/>
  <c r="D583" i="3449"/>
  <c r="D582" i="3449"/>
  <c r="D581" i="3449"/>
  <c r="D580" i="3449"/>
  <c r="D579" i="3449"/>
  <c r="D578" i="3449"/>
  <c r="B577" i="3449" a="1"/>
  <c r="B577" i="3449" s="1"/>
  <c r="B589" i="3449" s="1" a="1"/>
  <c r="B589" i="3449" s="1"/>
  <c r="B576" i="3449"/>
  <c r="B568" i="3449"/>
  <c r="B567" i="3449"/>
  <c r="B564" i="3449"/>
  <c r="D561" i="3449"/>
  <c r="D560" i="3449"/>
  <c r="D559" i="3449"/>
  <c r="D558" i="3449"/>
  <c r="D556" i="3449"/>
  <c r="D555" i="3449"/>
  <c r="D554" i="3449"/>
  <c r="D553" i="3449"/>
  <c r="D552" i="3449"/>
  <c r="D551" i="3449"/>
  <c r="D550" i="3449"/>
  <c r="D549" i="3449"/>
  <c r="D548" i="3449"/>
  <c r="D547" i="3449"/>
  <c r="D546" i="3449"/>
  <c r="D545" i="3449"/>
  <c r="D544" i="3449"/>
  <c r="D543" i="3449"/>
  <c r="D542" i="3449"/>
  <c r="D541" i="3449"/>
  <c r="D540" i="3449"/>
  <c r="B538" i="3449" a="1"/>
  <c r="B538" i="3449" s="1"/>
  <c r="B545" i="3449" s="1" a="1"/>
  <c r="B545" i="3449" s="1"/>
  <c r="B537" i="3449"/>
  <c r="D535" i="3449"/>
  <c r="D534" i="3449"/>
  <c r="D532" i="3449"/>
  <c r="D531" i="3449"/>
  <c r="D530" i="3449"/>
  <c r="D529" i="3449"/>
  <c r="D528" i="3449"/>
  <c r="D527" i="3449"/>
  <c r="D526" i="3449"/>
  <c r="D525" i="3449"/>
  <c r="D524" i="3449"/>
  <c r="D523" i="3449"/>
  <c r="D522" i="3449"/>
  <c r="D521" i="3449"/>
  <c r="D520" i="3449"/>
  <c r="D519" i="3449"/>
  <c r="D518" i="3449"/>
  <c r="D517" i="3449"/>
  <c r="D516" i="3449"/>
  <c r="B514" i="3449" a="1"/>
  <c r="B514" i="3449" s="1"/>
  <c r="B513" i="3449"/>
  <c r="D511" i="3449"/>
  <c r="D510" i="3449"/>
  <c r="D508" i="3449"/>
  <c r="D507" i="3449"/>
  <c r="D506" i="3449"/>
  <c r="D505" i="3449"/>
  <c r="D504" i="3449"/>
  <c r="D503" i="3449"/>
  <c r="D502" i="3449"/>
  <c r="D501" i="3449"/>
  <c r="D500" i="3449"/>
  <c r="D499" i="3449"/>
  <c r="D498" i="3449"/>
  <c r="D497" i="3449"/>
  <c r="D496" i="3449"/>
  <c r="D495" i="3449"/>
  <c r="D494" i="3449"/>
  <c r="D493" i="3449"/>
  <c r="D492" i="3449"/>
  <c r="B490" i="3449" a="1"/>
  <c r="B490" i="3449" s="1"/>
  <c r="B492" i="3449" s="1" a="1"/>
  <c r="B492" i="3449" s="1"/>
  <c r="B489" i="3449"/>
  <c r="B487" i="3449"/>
  <c r="B485" i="3449" a="1"/>
  <c r="B485" i="3449"/>
  <c r="C483" i="3449"/>
  <c r="B483" i="3449" a="1"/>
  <c r="B483" i="3449"/>
  <c r="C482" i="3449"/>
  <c r="B482" i="3449" a="1"/>
  <c r="B482" i="3449"/>
  <c r="B479" i="3449" a="1"/>
  <c r="B479" i="3449"/>
  <c r="B478" i="3449" a="1"/>
  <c r="B478" i="3449"/>
  <c r="D476" i="3449"/>
  <c r="D475" i="3449"/>
  <c r="D474" i="3449"/>
  <c r="D473" i="3449"/>
  <c r="D472" i="3449"/>
  <c r="D470" i="3449"/>
  <c r="D469" i="3449"/>
  <c r="D468" i="3449"/>
  <c r="D467" i="3449"/>
  <c r="D466" i="3449"/>
  <c r="D465" i="3449"/>
  <c r="D464" i="3449"/>
  <c r="D463" i="3449"/>
  <c r="D462" i="3449"/>
  <c r="D461" i="3449"/>
  <c r="D460" i="3449"/>
  <c r="D459" i="3449"/>
  <c r="D458" i="3449"/>
  <c r="D457" i="3449"/>
  <c r="D456" i="3449"/>
  <c r="D455" i="3449"/>
  <c r="D454" i="3449"/>
  <c r="B452" i="3449" a="1"/>
  <c r="B452" i="3449" s="1"/>
  <c r="B451" i="3449"/>
  <c r="B448" i="3449" a="1"/>
  <c r="B448" i="3449"/>
  <c r="B447" i="3449"/>
  <c r="B443" i="3449" a="1"/>
  <c r="B443" i="3449"/>
  <c r="B442" i="3449" a="1"/>
  <c r="B442" i="3449"/>
  <c r="B441" i="3449" a="1"/>
  <c r="B441" i="3449"/>
  <c r="B440" i="3449" a="1"/>
  <c r="B440" i="3449"/>
  <c r="B439" i="3449" a="1"/>
  <c r="B439" i="3449"/>
  <c r="B438" i="3449" a="1"/>
  <c r="B438" i="3449"/>
  <c r="B437" i="3449" a="1"/>
  <c r="B437" i="3449"/>
  <c r="B436" i="3449" a="1"/>
  <c r="B436" i="3449"/>
  <c r="B435" i="3449"/>
  <c r="B434" i="3449"/>
  <c r="B433" i="3449"/>
  <c r="B432" i="3449"/>
  <c r="B430" i="3449" a="1"/>
  <c r="B430" i="3449"/>
  <c r="B429" i="3449" a="1"/>
  <c r="B429" i="3449"/>
  <c r="B428" i="3449"/>
  <c r="B427" i="3449"/>
  <c r="B425" i="3449" a="1"/>
  <c r="B425" i="3449"/>
  <c r="B424" i="3449" a="1"/>
  <c r="B424" i="3449"/>
  <c r="B423" i="3449"/>
  <c r="B422" i="3449"/>
  <c r="B420" i="3449"/>
  <c r="B419" i="3449" a="1"/>
  <c r="B419" i="3449"/>
  <c r="B418" i="3449" a="1"/>
  <c r="B418" i="3449"/>
  <c r="B417" i="3449" a="1"/>
  <c r="B417" i="3449"/>
  <c r="B416" i="3449"/>
  <c r="B414" i="3449"/>
  <c r="B413" i="3449" a="1"/>
  <c r="B413" i="3449"/>
  <c r="B412" i="3449" a="1"/>
  <c r="B412" i="3449"/>
  <c r="B411" i="3449" a="1"/>
  <c r="B411" i="3449"/>
  <c r="B410" i="3449"/>
  <c r="B403" i="3449"/>
  <c r="B404" i="3449" s="1"/>
  <c r="B401" i="3449" a="1"/>
  <c r="B401" i="3449"/>
  <c r="B400" i="3449" a="1"/>
  <c r="B400" i="3449"/>
  <c r="B399" i="3449" a="1"/>
  <c r="B399" i="3449"/>
  <c r="B398" i="3449"/>
  <c r="B397" i="3449"/>
  <c r="B396" i="3449"/>
  <c r="B394" i="3449" a="1"/>
  <c r="B394" i="3449"/>
  <c r="B393" i="3449"/>
  <c r="B391" i="3449" a="1"/>
  <c r="B391" i="3449"/>
  <c r="B389" i="3449" a="1"/>
  <c r="B389" i="3449"/>
  <c r="B388" i="3449" a="1"/>
  <c r="B388" i="3449"/>
  <c r="C387" i="3449" a="1"/>
  <c r="C387" i="3449"/>
  <c r="B387" i="3449" a="1"/>
  <c r="B387" i="3449"/>
  <c r="B385" i="3449"/>
  <c r="B384" i="3449"/>
  <c r="B383" i="3449" a="1"/>
  <c r="B383" i="3449"/>
  <c r="B382" i="3449"/>
  <c r="B381" i="3449" a="1"/>
  <c r="B381" i="3449"/>
  <c r="B380" i="3449"/>
  <c r="B379" i="3449" a="1"/>
  <c r="B379" i="3449"/>
  <c r="B377" i="3449" a="1"/>
  <c r="B377" i="3449"/>
  <c r="B376" i="3449" a="1"/>
  <c r="B376" i="3449"/>
  <c r="B375" i="3449" a="1"/>
  <c r="B375" i="3449"/>
  <c r="B374" i="3449" a="1"/>
  <c r="B374" i="3449"/>
  <c r="B372" i="3449"/>
  <c r="B371" i="3449"/>
  <c r="B370" i="3449" a="1"/>
  <c r="B370" i="3449"/>
  <c r="B369" i="3449"/>
  <c r="B368" i="3449" a="1"/>
  <c r="B368" i="3449"/>
  <c r="B367" i="3449"/>
  <c r="B366" i="3449" a="1"/>
  <c r="B366" i="3449"/>
  <c r="B364" i="3449" a="1"/>
  <c r="B364" i="3449"/>
  <c r="B363" i="3449" a="1"/>
  <c r="B363" i="3449"/>
  <c r="B362" i="3449" a="1"/>
  <c r="B362" i="3449"/>
  <c r="B361" i="3449" a="1"/>
  <c r="B361" i="3449"/>
  <c r="C358" i="3449"/>
  <c r="B358" i="3449"/>
  <c r="B357" i="3449"/>
  <c r="B356" i="3449"/>
  <c r="B355" i="3449" a="1"/>
  <c r="B355" i="3449"/>
  <c r="C353" i="3449"/>
  <c r="B353" i="3449"/>
  <c r="B352" i="3449"/>
  <c r="B351" i="3449"/>
  <c r="B350" i="3449" a="1"/>
  <c r="B350" i="3449"/>
  <c r="B348" i="3449" a="1"/>
  <c r="B348" i="3449"/>
  <c r="B347" i="3449"/>
  <c r="B346" i="3449"/>
  <c r="B343" i="3449"/>
  <c r="B342" i="3449"/>
  <c r="B341" i="3449" a="1"/>
  <c r="B341" i="3449"/>
  <c r="B340" i="3449"/>
  <c r="B337" i="3449"/>
  <c r="B336" i="3449"/>
  <c r="B334" i="3449" a="1"/>
  <c r="B334" i="3449"/>
  <c r="B333" i="3449"/>
  <c r="B331" i="3449" a="1"/>
  <c r="B331" i="3449"/>
  <c r="B330" i="3449" a="1"/>
  <c r="B330" i="3449"/>
  <c r="B329" i="3449"/>
  <c r="B327" i="3449" a="1"/>
  <c r="B327" i="3449"/>
  <c r="B326" i="3449" a="1"/>
  <c r="B326" i="3449"/>
  <c r="B325" i="3449"/>
  <c r="B323" i="3449" a="1"/>
  <c r="B323" i="3449"/>
  <c r="B322" i="3449" a="1"/>
  <c r="B322" i="3449"/>
  <c r="B321" i="3449"/>
  <c r="B319" i="3449"/>
  <c r="B317" i="3449"/>
  <c r="B316" i="3449"/>
  <c r="C315" i="3449" a="1"/>
  <c r="C315" i="3449" s="1"/>
  <c r="B315" i="3449" s="1"/>
  <c r="E11" i="3445" s="1"/>
  <c r="C314" i="3449" a="1"/>
  <c r="C314" i="3449" s="1"/>
  <c r="B314" i="3449" s="1"/>
  <c r="N15" i="3445" s="1"/>
  <c r="B313" i="3449" a="1"/>
  <c r="B313" i="3449"/>
  <c r="B312" i="3449"/>
  <c r="B308" i="3449" a="1"/>
  <c r="B308" i="3449"/>
  <c r="B306" i="3449"/>
  <c r="C287" i="3449" a="1"/>
  <c r="C287" i="3449"/>
  <c r="C281" i="3449" a="1"/>
  <c r="C281" i="3449"/>
  <c r="C280" i="3449" a="1"/>
  <c r="C280" i="3449"/>
  <c r="C279" i="3449" a="1"/>
  <c r="C279" i="3449"/>
  <c r="D278" i="3449"/>
  <c r="C278" i="3449" a="1"/>
  <c r="C278" i="3449"/>
  <c r="C277" i="3449" a="1"/>
  <c r="C277" i="3449"/>
  <c r="D276" i="3449"/>
  <c r="C276" i="3449" a="1"/>
  <c r="C276" i="3449"/>
  <c r="E275" i="3449"/>
  <c r="C275" i="3449" a="1"/>
  <c r="C275" i="3449"/>
  <c r="B215" i="3449"/>
  <c r="B214" i="3449"/>
  <c r="B213" i="3449"/>
  <c r="B212" i="3449"/>
  <c r="B211" i="3449"/>
  <c r="B210" i="3449"/>
  <c r="B209" i="3449"/>
  <c r="B208" i="3449"/>
  <c r="B207" i="3449"/>
  <c r="B206" i="3449"/>
  <c r="B204" i="3449"/>
  <c r="B203" i="3449"/>
  <c r="B202" i="3449"/>
  <c r="B201" i="3449"/>
  <c r="B200" i="3449"/>
  <c r="B199" i="3449"/>
  <c r="B183" i="3449"/>
  <c r="B182" i="3449"/>
  <c r="D175" i="3449"/>
  <c r="C175" i="3449"/>
  <c r="B175" i="3449"/>
  <c r="D174" i="3449"/>
  <c r="C174" i="3449"/>
  <c r="B174" i="3449"/>
  <c r="D173" i="3449"/>
  <c r="C173" i="3449"/>
  <c r="B173" i="3449"/>
  <c r="D172" i="3449"/>
  <c r="C172" i="3449"/>
  <c r="B172" i="3449"/>
  <c r="D171" i="3449"/>
  <c r="C171" i="3449"/>
  <c r="B171" i="3449"/>
  <c r="D170" i="3449"/>
  <c r="C170" i="3449"/>
  <c r="B170" i="3449"/>
  <c r="D169" i="3449"/>
  <c r="C169" i="3449"/>
  <c r="B169" i="3449"/>
  <c r="B166" i="3449"/>
  <c r="B165" i="3449"/>
  <c r="B164" i="3449"/>
  <c r="B163" i="3449"/>
  <c r="B162" i="3449"/>
  <c r="B161" i="3449"/>
  <c r="B160" i="3449"/>
  <c r="B159" i="3449"/>
  <c r="B157" i="3449"/>
  <c r="B156" i="3449"/>
  <c r="B155" i="3449"/>
  <c r="B154" i="3449"/>
  <c r="B153" i="3449"/>
  <c r="B152" i="3449"/>
  <c r="B151" i="3449"/>
  <c r="B129" i="3449"/>
  <c r="B126" i="3449"/>
  <c r="B106" i="3449"/>
  <c r="B105" i="3449"/>
  <c r="B104" i="3449"/>
  <c r="B103" i="3449"/>
  <c r="B102" i="3449"/>
  <c r="B101" i="3449"/>
  <c r="C100" i="3449"/>
  <c r="B99" i="3449"/>
  <c r="B97" i="3449"/>
  <c r="B96" i="3449"/>
  <c r="B93" i="3449"/>
  <c r="B92" i="3449"/>
  <c r="B94" i="3449" s="1"/>
  <c r="B95" i="3449" s="1"/>
  <c r="B91" i="3449"/>
  <c r="B71" i="3449"/>
  <c r="B54" i="3428"/>
  <c r="B53" i="3428"/>
  <c r="B52" i="3428"/>
  <c r="B51" i="3428"/>
  <c r="B50" i="3428"/>
  <c r="B49" i="3428"/>
  <c r="B46" i="3428"/>
  <c r="C8" i="3428"/>
  <c r="BJ52" i="3431"/>
  <c r="Q52" i="3431" a="1"/>
  <c r="Q52" i="3431"/>
  <c r="P52" i="3431" a="1"/>
  <c r="P52" i="3431"/>
  <c r="O52" i="3431" a="1"/>
  <c r="O52" i="3431"/>
  <c r="N52" i="3431" a="1"/>
  <c r="N52" i="3431"/>
  <c r="M52" i="3431" a="1"/>
  <c r="M52" i="3431"/>
  <c r="L52" i="3431"/>
  <c r="E52" i="3431"/>
  <c r="D52" i="3431"/>
  <c r="C52" i="3431" a="1"/>
  <c r="C52" i="3431"/>
  <c r="B52" i="3431" a="1"/>
  <c r="B52" i="3431"/>
  <c r="BJ51" i="3431"/>
  <c r="Q51" i="3431" a="1"/>
  <c r="Q51" i="3431"/>
  <c r="P51" i="3431" a="1"/>
  <c r="P51" i="3431"/>
  <c r="O51" i="3431" a="1"/>
  <c r="O51" i="3431"/>
  <c r="N51" i="3431" a="1"/>
  <c r="N51" i="3431"/>
  <c r="M51" i="3431" a="1"/>
  <c r="M51" i="3431"/>
  <c r="L51" i="3431"/>
  <c r="E51" i="3431"/>
  <c r="D51" i="3431"/>
  <c r="C51" i="3431" a="1"/>
  <c r="C51" i="3431"/>
  <c r="B51" i="3431" a="1"/>
  <c r="B51" i="3431"/>
  <c r="BJ50" i="3431"/>
  <c r="Q50" i="3431" a="1"/>
  <c r="Q50" i="3431"/>
  <c r="P50" i="3431" a="1"/>
  <c r="P50" i="3431"/>
  <c r="O50" i="3431" a="1"/>
  <c r="O50" i="3431"/>
  <c r="N50" i="3431" a="1"/>
  <c r="N50" i="3431"/>
  <c r="M50" i="3431" a="1"/>
  <c r="M50" i="3431"/>
  <c r="L50" i="3431"/>
  <c r="E50" i="3431"/>
  <c r="D50" i="3431"/>
  <c r="C50" i="3431" a="1"/>
  <c r="C50" i="3431"/>
  <c r="B50" i="3431" a="1"/>
  <c r="B50" i="3431"/>
  <c r="BJ49" i="3431"/>
  <c r="Q49" i="3431" a="1"/>
  <c r="Q49" i="3431"/>
  <c r="P49" i="3431" a="1"/>
  <c r="P49" i="3431"/>
  <c r="O49" i="3431" a="1"/>
  <c r="O49" i="3431"/>
  <c r="N49" i="3431" a="1"/>
  <c r="N49" i="3431"/>
  <c r="M49" i="3431" a="1"/>
  <c r="M49" i="3431"/>
  <c r="L49" i="3431"/>
  <c r="E49" i="3431"/>
  <c r="D49" i="3431"/>
  <c r="C49" i="3431" a="1"/>
  <c r="C49" i="3431"/>
  <c r="B49" i="3431" a="1"/>
  <c r="B49" i="3431"/>
  <c r="BJ48" i="3431"/>
  <c r="Q48" i="3431" a="1"/>
  <c r="Q48" i="3431"/>
  <c r="P48" i="3431" a="1"/>
  <c r="P48" i="3431"/>
  <c r="O48" i="3431" a="1"/>
  <c r="O48" i="3431"/>
  <c r="N48" i="3431" a="1"/>
  <c r="N48" i="3431"/>
  <c r="M48" i="3431" a="1"/>
  <c r="M48" i="3431"/>
  <c r="L48" i="3431"/>
  <c r="E48" i="3431"/>
  <c r="D48" i="3431"/>
  <c r="C48" i="3431" a="1"/>
  <c r="C48" i="3431"/>
  <c r="B48" i="3431" a="1"/>
  <c r="B48" i="3431"/>
  <c r="BJ47" i="3431"/>
  <c r="Q47" i="3431" a="1"/>
  <c r="Q47" i="3431"/>
  <c r="P47" i="3431" a="1"/>
  <c r="P47" i="3431"/>
  <c r="O47" i="3431" a="1"/>
  <c r="O47" i="3431"/>
  <c r="N47" i="3431" a="1"/>
  <c r="N47" i="3431"/>
  <c r="M47" i="3431" a="1"/>
  <c r="M47" i="3431"/>
  <c r="L47" i="3431"/>
  <c r="E47" i="3431"/>
  <c r="D47" i="3431"/>
  <c r="C47" i="3431" a="1"/>
  <c r="C47" i="3431"/>
  <c r="B47" i="3431" a="1"/>
  <c r="B47" i="3431"/>
  <c r="BJ46" i="3431"/>
  <c r="Q46" i="3431" a="1"/>
  <c r="Q46" i="3431"/>
  <c r="P46" i="3431" a="1"/>
  <c r="P46" i="3431"/>
  <c r="O46" i="3431" a="1"/>
  <c r="O46" i="3431"/>
  <c r="N46" i="3431" a="1"/>
  <c r="N46" i="3431"/>
  <c r="M46" i="3431" a="1"/>
  <c r="M46" i="3431"/>
  <c r="L46" i="3431"/>
  <c r="E46" i="3431"/>
  <c r="D46" i="3431"/>
  <c r="C46" i="3431" a="1"/>
  <c r="C46" i="3431"/>
  <c r="B46" i="3431" a="1"/>
  <c r="B46" i="3431"/>
  <c r="BJ45" i="3431"/>
  <c r="Q45" i="3431" a="1"/>
  <c r="Q45" i="3431"/>
  <c r="P45" i="3431" a="1"/>
  <c r="P45" i="3431"/>
  <c r="O45" i="3431" a="1"/>
  <c r="O45" i="3431"/>
  <c r="N45" i="3431" a="1"/>
  <c r="N45" i="3431"/>
  <c r="M45" i="3431" a="1"/>
  <c r="M45" i="3431"/>
  <c r="L45" i="3431"/>
  <c r="E45" i="3431"/>
  <c r="D45" i="3431"/>
  <c r="C45" i="3431" a="1"/>
  <c r="C45" i="3431"/>
  <c r="B45" i="3431" a="1"/>
  <c r="B45" i="3431"/>
  <c r="BJ44" i="3431"/>
  <c r="Q44" i="3431" a="1"/>
  <c r="Q44" i="3431"/>
  <c r="P44" i="3431" a="1"/>
  <c r="P44" i="3431"/>
  <c r="O44" i="3431" a="1"/>
  <c r="O44" i="3431"/>
  <c r="N44" i="3431" a="1"/>
  <c r="N44" i="3431"/>
  <c r="M44" i="3431" a="1"/>
  <c r="M44" i="3431"/>
  <c r="L44" i="3431"/>
  <c r="E44" i="3431"/>
  <c r="D44" i="3431"/>
  <c r="C44" i="3431" a="1"/>
  <c r="C44" i="3431"/>
  <c r="B44" i="3431" a="1"/>
  <c r="B44" i="3431"/>
  <c r="BJ43" i="3431"/>
  <c r="Q43" i="3431" a="1"/>
  <c r="Q43" i="3431"/>
  <c r="P43" i="3431" a="1"/>
  <c r="P43" i="3431"/>
  <c r="O43" i="3431" a="1"/>
  <c r="O43" i="3431"/>
  <c r="N43" i="3431" a="1"/>
  <c r="N43" i="3431"/>
  <c r="M43" i="3431" a="1"/>
  <c r="M43" i="3431"/>
  <c r="L43" i="3431"/>
  <c r="E43" i="3431"/>
  <c r="D43" i="3431"/>
  <c r="C43" i="3431" a="1"/>
  <c r="C43" i="3431"/>
  <c r="B43" i="3431" a="1"/>
  <c r="B43" i="3431"/>
  <c r="BJ42" i="3431"/>
  <c r="Q42" i="3431" a="1"/>
  <c r="Q42" i="3431"/>
  <c r="P42" i="3431" a="1"/>
  <c r="P42" i="3431"/>
  <c r="O42" i="3431" a="1"/>
  <c r="O42" i="3431"/>
  <c r="N42" i="3431" a="1"/>
  <c r="N42" i="3431"/>
  <c r="M42" i="3431" a="1"/>
  <c r="M42" i="3431"/>
  <c r="L42" i="3431"/>
  <c r="E42" i="3431"/>
  <c r="D42" i="3431"/>
  <c r="C42" i="3431" a="1"/>
  <c r="C42" i="3431"/>
  <c r="B42" i="3431" a="1"/>
  <c r="B42" i="3431"/>
  <c r="BJ41" i="3431"/>
  <c r="Q41" i="3431" a="1"/>
  <c r="Q41" i="3431"/>
  <c r="P41" i="3431" a="1"/>
  <c r="P41" i="3431"/>
  <c r="O41" i="3431" a="1"/>
  <c r="O41" i="3431"/>
  <c r="N41" i="3431" a="1"/>
  <c r="N41" i="3431"/>
  <c r="M41" i="3431" a="1"/>
  <c r="M41" i="3431"/>
  <c r="L41" i="3431"/>
  <c r="E41" i="3431"/>
  <c r="D41" i="3431"/>
  <c r="C41" i="3431" a="1"/>
  <c r="C41" i="3431"/>
  <c r="B41" i="3431" a="1"/>
  <c r="B41" i="3431"/>
  <c r="BJ40" i="3431"/>
  <c r="Q40" i="3431" a="1"/>
  <c r="Q40" i="3431"/>
  <c r="P40" i="3431" a="1"/>
  <c r="P40" i="3431"/>
  <c r="O40" i="3431" a="1"/>
  <c r="O40" i="3431"/>
  <c r="N40" i="3431" a="1"/>
  <c r="N40" i="3431"/>
  <c r="M40" i="3431" a="1"/>
  <c r="M40" i="3431"/>
  <c r="L40" i="3431"/>
  <c r="E40" i="3431"/>
  <c r="D40" i="3431"/>
  <c r="C40" i="3431" a="1"/>
  <c r="C40" i="3431"/>
  <c r="B40" i="3431" a="1"/>
  <c r="B40" i="3431"/>
  <c r="BJ39" i="3431"/>
  <c r="Q39" i="3431" a="1"/>
  <c r="Q39" i="3431"/>
  <c r="P39" i="3431" a="1"/>
  <c r="P39" i="3431"/>
  <c r="O39" i="3431" a="1"/>
  <c r="O39" i="3431"/>
  <c r="N39" i="3431" a="1"/>
  <c r="N39" i="3431"/>
  <c r="M39" i="3431" a="1"/>
  <c r="M39" i="3431"/>
  <c r="L39" i="3431"/>
  <c r="E39" i="3431"/>
  <c r="D39" i="3431"/>
  <c r="C39" i="3431" a="1"/>
  <c r="C39" i="3431"/>
  <c r="B39" i="3431" a="1"/>
  <c r="B39" i="3431"/>
  <c r="BJ38" i="3431"/>
  <c r="Q38" i="3431" a="1"/>
  <c r="Q38" i="3431"/>
  <c r="P38" i="3431" a="1"/>
  <c r="P38" i="3431"/>
  <c r="O38" i="3431" a="1"/>
  <c r="O38" i="3431"/>
  <c r="N38" i="3431" a="1"/>
  <c r="N38" i="3431"/>
  <c r="M38" i="3431" a="1"/>
  <c r="M38" i="3431"/>
  <c r="L38" i="3431"/>
  <c r="E38" i="3431"/>
  <c r="D38" i="3431"/>
  <c r="C38" i="3431" a="1"/>
  <c r="C38" i="3431"/>
  <c r="B38" i="3431" a="1"/>
  <c r="B38" i="3431"/>
  <c r="BJ37" i="3431"/>
  <c r="Q37" i="3431" a="1"/>
  <c r="Q37" i="3431"/>
  <c r="P37" i="3431" a="1"/>
  <c r="P37" i="3431"/>
  <c r="O37" i="3431" a="1"/>
  <c r="O37" i="3431"/>
  <c r="N37" i="3431" a="1"/>
  <c r="N37" i="3431"/>
  <c r="M37" i="3431" a="1"/>
  <c r="M37" i="3431"/>
  <c r="L37" i="3431"/>
  <c r="E37" i="3431"/>
  <c r="D37" i="3431"/>
  <c r="C37" i="3431" a="1"/>
  <c r="C37" i="3431"/>
  <c r="B37" i="3431" a="1"/>
  <c r="B37" i="3431"/>
  <c r="BJ36" i="3431"/>
  <c r="Q36" i="3431" a="1"/>
  <c r="Q36" i="3431"/>
  <c r="P36" i="3431" a="1"/>
  <c r="P36" i="3431"/>
  <c r="O36" i="3431" a="1"/>
  <c r="O36" i="3431"/>
  <c r="N36" i="3431" a="1"/>
  <c r="N36" i="3431"/>
  <c r="M36" i="3431" a="1"/>
  <c r="M36" i="3431"/>
  <c r="L36" i="3431"/>
  <c r="E36" i="3431"/>
  <c r="D36" i="3431"/>
  <c r="C36" i="3431" a="1"/>
  <c r="C36" i="3431"/>
  <c r="B36" i="3431" a="1"/>
  <c r="B36" i="3431"/>
  <c r="BJ35" i="3431"/>
  <c r="Q35" i="3431" a="1"/>
  <c r="Q35" i="3431"/>
  <c r="P35" i="3431" a="1"/>
  <c r="P35" i="3431"/>
  <c r="O35" i="3431" a="1"/>
  <c r="O35" i="3431"/>
  <c r="N35" i="3431" a="1"/>
  <c r="N35" i="3431"/>
  <c r="M35" i="3431" a="1"/>
  <c r="M35" i="3431"/>
  <c r="L35" i="3431"/>
  <c r="E35" i="3431"/>
  <c r="D35" i="3431"/>
  <c r="C35" i="3431" a="1"/>
  <c r="C35" i="3431"/>
  <c r="B35" i="3431" a="1"/>
  <c r="B35" i="3431"/>
  <c r="BJ34" i="3431"/>
  <c r="Q34" i="3431" a="1"/>
  <c r="Q34" i="3431"/>
  <c r="P34" i="3431" a="1"/>
  <c r="P34" i="3431"/>
  <c r="O34" i="3431" a="1"/>
  <c r="O34" i="3431"/>
  <c r="N34" i="3431" a="1"/>
  <c r="N34" i="3431"/>
  <c r="M34" i="3431" a="1"/>
  <c r="M34" i="3431"/>
  <c r="L34" i="3431"/>
  <c r="E34" i="3431"/>
  <c r="D34" i="3431"/>
  <c r="C34" i="3431" a="1"/>
  <c r="C34" i="3431"/>
  <c r="B34" i="3431" a="1"/>
  <c r="B34" i="3431"/>
  <c r="BJ33" i="3431"/>
  <c r="Q33" i="3431" a="1"/>
  <c r="Q33" i="3431"/>
  <c r="P33" i="3431" a="1"/>
  <c r="P33" i="3431"/>
  <c r="O33" i="3431" a="1"/>
  <c r="O33" i="3431"/>
  <c r="N33" i="3431" a="1"/>
  <c r="N33" i="3431"/>
  <c r="M33" i="3431" a="1"/>
  <c r="M33" i="3431"/>
  <c r="L33" i="3431"/>
  <c r="E33" i="3431"/>
  <c r="D33" i="3431"/>
  <c r="C33" i="3431" a="1"/>
  <c r="C33" i="3431"/>
  <c r="B33" i="3431" a="1"/>
  <c r="B33" i="3431"/>
  <c r="BJ32" i="3431"/>
  <c r="Q32" i="3431" a="1"/>
  <c r="Q32" i="3431"/>
  <c r="P32" i="3431" a="1"/>
  <c r="P32" i="3431"/>
  <c r="O32" i="3431" a="1"/>
  <c r="O32" i="3431"/>
  <c r="N32" i="3431" a="1"/>
  <c r="N32" i="3431"/>
  <c r="M32" i="3431" a="1"/>
  <c r="M32" i="3431"/>
  <c r="L32" i="3431"/>
  <c r="E32" i="3431"/>
  <c r="D32" i="3431"/>
  <c r="C32" i="3431" a="1"/>
  <c r="C32" i="3431"/>
  <c r="B32" i="3431" a="1"/>
  <c r="B32" i="3431"/>
  <c r="BJ31" i="3431"/>
  <c r="Q31" i="3431" a="1"/>
  <c r="Q31" i="3431"/>
  <c r="P31" i="3431" a="1"/>
  <c r="P31" i="3431"/>
  <c r="O31" i="3431" a="1"/>
  <c r="O31" i="3431"/>
  <c r="N31" i="3431" a="1"/>
  <c r="N31" i="3431"/>
  <c r="M31" i="3431" a="1"/>
  <c r="M31" i="3431"/>
  <c r="L31" i="3431"/>
  <c r="E31" i="3431"/>
  <c r="D31" i="3431"/>
  <c r="C31" i="3431" a="1"/>
  <c r="C31" i="3431"/>
  <c r="B31" i="3431" a="1"/>
  <c r="B31" i="3431"/>
  <c r="BJ30" i="3431"/>
  <c r="Q30" i="3431" a="1"/>
  <c r="Q30" i="3431"/>
  <c r="P30" i="3431" a="1"/>
  <c r="P30" i="3431"/>
  <c r="O30" i="3431" a="1"/>
  <c r="O30" i="3431"/>
  <c r="N30" i="3431" a="1"/>
  <c r="N30" i="3431"/>
  <c r="M30" i="3431" a="1"/>
  <c r="M30" i="3431"/>
  <c r="L30" i="3431"/>
  <c r="E30" i="3431"/>
  <c r="D30" i="3431"/>
  <c r="C30" i="3431" a="1"/>
  <c r="C30" i="3431"/>
  <c r="B30" i="3431" a="1"/>
  <c r="B30" i="3431"/>
  <c r="BJ29" i="3431"/>
  <c r="Q29" i="3431" a="1"/>
  <c r="Q29" i="3431"/>
  <c r="P29" i="3431" a="1"/>
  <c r="P29" i="3431"/>
  <c r="O29" i="3431" a="1"/>
  <c r="O29" i="3431"/>
  <c r="N29" i="3431" a="1"/>
  <c r="N29" i="3431"/>
  <c r="M29" i="3431" a="1"/>
  <c r="M29" i="3431"/>
  <c r="L29" i="3431"/>
  <c r="E29" i="3431"/>
  <c r="D29" i="3431"/>
  <c r="C29" i="3431" a="1"/>
  <c r="C29" i="3431"/>
  <c r="B29" i="3431" a="1"/>
  <c r="B29" i="3431"/>
  <c r="BJ28" i="3431"/>
  <c r="Q28" i="3431" a="1"/>
  <c r="Q28" i="3431"/>
  <c r="P28" i="3431" a="1"/>
  <c r="P28" i="3431"/>
  <c r="O28" i="3431" a="1"/>
  <c r="O28" i="3431"/>
  <c r="N28" i="3431" a="1"/>
  <c r="N28" i="3431"/>
  <c r="M28" i="3431" a="1"/>
  <c r="M28" i="3431"/>
  <c r="L28" i="3431"/>
  <c r="E28" i="3431"/>
  <c r="D28" i="3431"/>
  <c r="C28" i="3431" a="1"/>
  <c r="C28" i="3431"/>
  <c r="B28" i="3431" a="1"/>
  <c r="B28" i="3431"/>
  <c r="BJ27" i="3431"/>
  <c r="Q27" i="3431" a="1"/>
  <c r="Q27" i="3431"/>
  <c r="P27" i="3431" a="1"/>
  <c r="P27" i="3431"/>
  <c r="O27" i="3431" a="1"/>
  <c r="O27" i="3431"/>
  <c r="N27" i="3431" a="1"/>
  <c r="N27" i="3431"/>
  <c r="M27" i="3431" a="1"/>
  <c r="M27" i="3431"/>
  <c r="L27" i="3431"/>
  <c r="E27" i="3431"/>
  <c r="D27" i="3431"/>
  <c r="C27" i="3431" a="1"/>
  <c r="C27" i="3431"/>
  <c r="B27" i="3431" a="1"/>
  <c r="B27" i="3431"/>
  <c r="BJ26" i="3431"/>
  <c r="Q26" i="3431" a="1"/>
  <c r="Q26" i="3431"/>
  <c r="P26" i="3431" a="1"/>
  <c r="P26" i="3431"/>
  <c r="O26" i="3431" a="1"/>
  <c r="O26" i="3431"/>
  <c r="N26" i="3431" a="1"/>
  <c r="N26" i="3431"/>
  <c r="M26" i="3431" a="1"/>
  <c r="M26" i="3431"/>
  <c r="L26" i="3431"/>
  <c r="E26" i="3431"/>
  <c r="D26" i="3431"/>
  <c r="C26" i="3431" a="1"/>
  <c r="C26" i="3431"/>
  <c r="B26" i="3431" a="1"/>
  <c r="B26" i="3431"/>
  <c r="BJ25" i="3431"/>
  <c r="Q25" i="3431" a="1"/>
  <c r="Q25" i="3431"/>
  <c r="P25" i="3431" a="1"/>
  <c r="P25" i="3431"/>
  <c r="O25" i="3431" a="1"/>
  <c r="O25" i="3431"/>
  <c r="N25" i="3431" a="1"/>
  <c r="N25" i="3431"/>
  <c r="M25" i="3431" a="1"/>
  <c r="M25" i="3431"/>
  <c r="L25" i="3431"/>
  <c r="E25" i="3431"/>
  <c r="D25" i="3431"/>
  <c r="C25" i="3431" a="1"/>
  <c r="C25" i="3431"/>
  <c r="B25" i="3431" a="1"/>
  <c r="B25" i="3431"/>
  <c r="BJ24" i="3431"/>
  <c r="Q24" i="3431" a="1"/>
  <c r="Q24" i="3431"/>
  <c r="P24" i="3431" a="1"/>
  <c r="P24" i="3431"/>
  <c r="O24" i="3431" a="1"/>
  <c r="O24" i="3431"/>
  <c r="N24" i="3431" a="1"/>
  <c r="N24" i="3431"/>
  <c r="M24" i="3431" a="1"/>
  <c r="M24" i="3431"/>
  <c r="L24" i="3431"/>
  <c r="E24" i="3431"/>
  <c r="D24" i="3431"/>
  <c r="C24" i="3431" a="1"/>
  <c r="C24" i="3431"/>
  <c r="B24" i="3431" a="1"/>
  <c r="B24" i="3431"/>
  <c r="BJ23" i="3431"/>
  <c r="Q23" i="3431" a="1"/>
  <c r="Q23" i="3431"/>
  <c r="P23" i="3431" a="1"/>
  <c r="P23" i="3431"/>
  <c r="O23" i="3431" a="1"/>
  <c r="O23" i="3431"/>
  <c r="N23" i="3431" a="1"/>
  <c r="N23" i="3431"/>
  <c r="M23" i="3431" a="1"/>
  <c r="M23" i="3431"/>
  <c r="L23" i="3431"/>
  <c r="E23" i="3431"/>
  <c r="D23" i="3431"/>
  <c r="C23" i="3431" a="1"/>
  <c r="C23" i="3431"/>
  <c r="B23" i="3431" a="1"/>
  <c r="B23" i="3431"/>
  <c r="BJ22" i="3431"/>
  <c r="Q22" i="3431" a="1"/>
  <c r="Q22" i="3431"/>
  <c r="P22" i="3431" a="1"/>
  <c r="P22" i="3431"/>
  <c r="O22" i="3431" a="1"/>
  <c r="O22" i="3431"/>
  <c r="N22" i="3431" a="1"/>
  <c r="N22" i="3431"/>
  <c r="M22" i="3431" a="1"/>
  <c r="M22" i="3431"/>
  <c r="L22" i="3431"/>
  <c r="E22" i="3431"/>
  <c r="D22" i="3431"/>
  <c r="C22" i="3431" a="1"/>
  <c r="C22" i="3431"/>
  <c r="B22" i="3431" a="1"/>
  <c r="B22" i="3431"/>
  <c r="BJ21" i="3431"/>
  <c r="Q21" i="3431" a="1"/>
  <c r="Q21" i="3431"/>
  <c r="P21" i="3431" a="1"/>
  <c r="P21" i="3431"/>
  <c r="O21" i="3431" a="1"/>
  <c r="O21" i="3431"/>
  <c r="N21" i="3431" a="1"/>
  <c r="N21" i="3431"/>
  <c r="M21" i="3431" a="1"/>
  <c r="M21" i="3431"/>
  <c r="L21" i="3431"/>
  <c r="E21" i="3431"/>
  <c r="D21" i="3431"/>
  <c r="C21" i="3431" a="1"/>
  <c r="C21" i="3431"/>
  <c r="B21" i="3431" a="1"/>
  <c r="B21" i="3431"/>
  <c r="BJ20" i="3431"/>
  <c r="Q20" i="3431" a="1"/>
  <c r="Q20" i="3431"/>
  <c r="P20" i="3431" a="1"/>
  <c r="P20" i="3431"/>
  <c r="O20" i="3431" a="1"/>
  <c r="O20" i="3431"/>
  <c r="N20" i="3431" a="1"/>
  <c r="N20" i="3431"/>
  <c r="M20" i="3431" a="1"/>
  <c r="M20" i="3431"/>
  <c r="L20" i="3431"/>
  <c r="E20" i="3431"/>
  <c r="D20" i="3431"/>
  <c r="C20" i="3431" a="1"/>
  <c r="C20" i="3431"/>
  <c r="B20" i="3431" a="1"/>
  <c r="B20" i="3431"/>
  <c r="BJ19" i="3431"/>
  <c r="Q19" i="3431" a="1"/>
  <c r="Q19" i="3431"/>
  <c r="P19" i="3431" a="1"/>
  <c r="P19" i="3431"/>
  <c r="O19" i="3431" a="1"/>
  <c r="O19" i="3431"/>
  <c r="N19" i="3431" a="1"/>
  <c r="N19" i="3431"/>
  <c r="M19" i="3431" a="1"/>
  <c r="M19" i="3431"/>
  <c r="L19" i="3431"/>
  <c r="E19" i="3431"/>
  <c r="D19" i="3431"/>
  <c r="C19" i="3431" a="1"/>
  <c r="C19" i="3431"/>
  <c r="B19" i="3431" a="1"/>
  <c r="B19" i="3431"/>
  <c r="BJ18" i="3431"/>
  <c r="Q18" i="3431" a="1"/>
  <c r="Q18" i="3431"/>
  <c r="P18" i="3431" a="1"/>
  <c r="P18" i="3431"/>
  <c r="O18" i="3431" a="1"/>
  <c r="O18" i="3431"/>
  <c r="N18" i="3431" a="1"/>
  <c r="N18" i="3431"/>
  <c r="M18" i="3431" a="1"/>
  <c r="M18" i="3431"/>
  <c r="L18" i="3431"/>
  <c r="E18" i="3431"/>
  <c r="D18" i="3431"/>
  <c r="C18" i="3431" a="1"/>
  <c r="C18" i="3431"/>
  <c r="B18" i="3431" a="1"/>
  <c r="B18" i="3431"/>
  <c r="BJ17" i="3431"/>
  <c r="Q17" i="3431" a="1"/>
  <c r="Q17" i="3431"/>
  <c r="P17" i="3431" a="1"/>
  <c r="P17" i="3431"/>
  <c r="O17" i="3431" a="1"/>
  <c r="O17" i="3431"/>
  <c r="N17" i="3431" a="1"/>
  <c r="N17" i="3431"/>
  <c r="M17" i="3431" a="1"/>
  <c r="M17" i="3431"/>
  <c r="L17" i="3431"/>
  <c r="E17" i="3431"/>
  <c r="D17" i="3431"/>
  <c r="C17" i="3431" a="1"/>
  <c r="C17" i="3431"/>
  <c r="B17" i="3431" a="1"/>
  <c r="B17" i="3431"/>
  <c r="BJ16" i="3431"/>
  <c r="Q16" i="3431" a="1"/>
  <c r="Q16" i="3431"/>
  <c r="P16" i="3431" a="1"/>
  <c r="P16" i="3431"/>
  <c r="O16" i="3431" a="1"/>
  <c r="O16" i="3431"/>
  <c r="N16" i="3431" a="1"/>
  <c r="N16" i="3431"/>
  <c r="M16" i="3431" a="1"/>
  <c r="M16" i="3431"/>
  <c r="L16" i="3431"/>
  <c r="E16" i="3431"/>
  <c r="D16" i="3431"/>
  <c r="C16" i="3431" a="1"/>
  <c r="C16" i="3431"/>
  <c r="B16" i="3431" a="1"/>
  <c r="B16" i="3431"/>
  <c r="BJ15" i="3431"/>
  <c r="Q15" i="3431" a="1"/>
  <c r="Q15" i="3431"/>
  <c r="P15" i="3431" a="1"/>
  <c r="P15" i="3431"/>
  <c r="O15" i="3431" a="1"/>
  <c r="O15" i="3431"/>
  <c r="N15" i="3431" a="1"/>
  <c r="N15" i="3431"/>
  <c r="M15" i="3431" a="1"/>
  <c r="M15" i="3431"/>
  <c r="L15" i="3431"/>
  <c r="E15" i="3431"/>
  <c r="D15" i="3431"/>
  <c r="C15" i="3431" a="1"/>
  <c r="C15" i="3431"/>
  <c r="B15" i="3431" a="1"/>
  <c r="B15" i="3431"/>
  <c r="BJ14" i="3431"/>
  <c r="Q14" i="3431" a="1"/>
  <c r="Q14" i="3431"/>
  <c r="P14" i="3431" a="1"/>
  <c r="P14" i="3431"/>
  <c r="O14" i="3431" a="1"/>
  <c r="O14" i="3431"/>
  <c r="N14" i="3431" a="1"/>
  <c r="N14" i="3431"/>
  <c r="M14" i="3431" a="1"/>
  <c r="M14" i="3431"/>
  <c r="L14" i="3431"/>
  <c r="E14" i="3431"/>
  <c r="D14" i="3431"/>
  <c r="C14" i="3431" a="1"/>
  <c r="C14" i="3431"/>
  <c r="B14" i="3431" a="1"/>
  <c r="B14" i="3431"/>
  <c r="BJ13" i="3431"/>
  <c r="Q13" i="3431" a="1"/>
  <c r="Q13" i="3431"/>
  <c r="P13" i="3431" a="1"/>
  <c r="P13" i="3431"/>
  <c r="O13" i="3431" a="1"/>
  <c r="O13" i="3431"/>
  <c r="N13" i="3431" a="1"/>
  <c r="N13" i="3431"/>
  <c r="M13" i="3431" a="1"/>
  <c r="M13" i="3431"/>
  <c r="L13" i="3431"/>
  <c r="E13" i="3431"/>
  <c r="D13" i="3431"/>
  <c r="C13" i="3431" a="1"/>
  <c r="C13" i="3431"/>
  <c r="B13" i="3431" a="1"/>
  <c r="B13" i="3431"/>
  <c r="BJ12" i="3431"/>
  <c r="Q12" i="3431" a="1"/>
  <c r="Q12" i="3431"/>
  <c r="P12" i="3431" a="1"/>
  <c r="P12" i="3431"/>
  <c r="O12" i="3431" a="1"/>
  <c r="O12" i="3431"/>
  <c r="N12" i="3431" a="1"/>
  <c r="N12" i="3431"/>
  <c r="M12" i="3431" a="1"/>
  <c r="M12" i="3431"/>
  <c r="L12" i="3431"/>
  <c r="E12" i="3431"/>
  <c r="D12" i="3431"/>
  <c r="C12" i="3431" a="1"/>
  <c r="C12" i="3431"/>
  <c r="B12" i="3431" a="1"/>
  <c r="B12" i="3431"/>
  <c r="BJ11" i="3431"/>
  <c r="Q11" i="3431" a="1"/>
  <c r="Q11" i="3431"/>
  <c r="P11" i="3431" a="1"/>
  <c r="P11" i="3431"/>
  <c r="O11" i="3431" a="1"/>
  <c r="O11" i="3431"/>
  <c r="N11" i="3431" a="1"/>
  <c r="N11" i="3431"/>
  <c r="M11" i="3431" a="1"/>
  <c r="M11" i="3431"/>
  <c r="L11" i="3431"/>
  <c r="E11" i="3431"/>
  <c r="D11" i="3431"/>
  <c r="C11" i="3431" a="1"/>
  <c r="C11" i="3431"/>
  <c r="B11" i="3431" a="1"/>
  <c r="B11" i="3431"/>
  <c r="BJ10" i="3431"/>
  <c r="Q10" i="3431" a="1"/>
  <c r="Q10" i="3431"/>
  <c r="P10" i="3431" a="1"/>
  <c r="P10" i="3431"/>
  <c r="O10" i="3431" a="1"/>
  <c r="O10" i="3431"/>
  <c r="N10" i="3431" a="1"/>
  <c r="N10" i="3431"/>
  <c r="M10" i="3431" a="1"/>
  <c r="M10" i="3431"/>
  <c r="L10" i="3431"/>
  <c r="E10" i="3431"/>
  <c r="D10" i="3431"/>
  <c r="C10" i="3431" a="1"/>
  <c r="C10" i="3431"/>
  <c r="B10" i="3431" a="1"/>
  <c r="B10" i="3431"/>
  <c r="BJ9" i="3431"/>
  <c r="Q9" i="3431" a="1"/>
  <c r="Q9" i="3431"/>
  <c r="P9" i="3431" a="1"/>
  <c r="P9" i="3431"/>
  <c r="O9" i="3431" a="1"/>
  <c r="O9" i="3431"/>
  <c r="N9" i="3431" a="1"/>
  <c r="N9" i="3431"/>
  <c r="M9" i="3431" a="1"/>
  <c r="M9" i="3431"/>
  <c r="L9" i="3431"/>
  <c r="E9" i="3431"/>
  <c r="D9" i="3431"/>
  <c r="C9" i="3431" a="1"/>
  <c r="C9" i="3431"/>
  <c r="B9" i="3431" a="1"/>
  <c r="B9" i="3431"/>
  <c r="BJ8" i="3431"/>
  <c r="Q8" i="3431" a="1"/>
  <c r="Q8" i="3431"/>
  <c r="P8" i="3431" a="1"/>
  <c r="P8" i="3431"/>
  <c r="O8" i="3431" a="1"/>
  <c r="O8" i="3431"/>
  <c r="N8" i="3431" a="1"/>
  <c r="N8" i="3431"/>
  <c r="M8" i="3431" a="1"/>
  <c r="M8" i="3431"/>
  <c r="L8" i="3431"/>
  <c r="E8" i="3431"/>
  <c r="D8" i="3431"/>
  <c r="C8" i="3431" a="1"/>
  <c r="C8" i="3431"/>
  <c r="B8" i="3431" a="1"/>
  <c r="B8" i="3431"/>
  <c r="BJ7" i="3431"/>
  <c r="Q7" i="3431" a="1"/>
  <c r="Q7" i="3431"/>
  <c r="P7" i="3431" a="1"/>
  <c r="P7" i="3431"/>
  <c r="O7" i="3431" a="1"/>
  <c r="O7" i="3431"/>
  <c r="N7" i="3431" a="1"/>
  <c r="N7" i="3431"/>
  <c r="M7" i="3431" a="1"/>
  <c r="M7" i="3431"/>
  <c r="L7" i="3431"/>
  <c r="E7" i="3431"/>
  <c r="D7" i="3431"/>
  <c r="C7" i="3431" a="1"/>
  <c r="C7" i="3431"/>
  <c r="B7" i="3431" a="1"/>
  <c r="B7" i="3431"/>
  <c r="BJ6" i="3431"/>
  <c r="Q6" i="3431" a="1"/>
  <c r="Q6" i="3431"/>
  <c r="P6" i="3431" a="1"/>
  <c r="P6" i="3431"/>
  <c r="O6" i="3431" a="1"/>
  <c r="O6" i="3431"/>
  <c r="N6" i="3431" a="1"/>
  <c r="N6" i="3431"/>
  <c r="M6" i="3431" a="1"/>
  <c r="M6" i="3431"/>
  <c r="L6" i="3431"/>
  <c r="E6" i="3431"/>
  <c r="D6" i="3431"/>
  <c r="C6" i="3431" a="1"/>
  <c r="C6" i="3431"/>
  <c r="B6" i="3431" a="1"/>
  <c r="B6" i="3431"/>
  <c r="BJ5" i="3431"/>
  <c r="Q5" i="3431" a="1"/>
  <c r="Q5" i="3431"/>
  <c r="P5" i="3431" a="1"/>
  <c r="P5" i="3431"/>
  <c r="O5" i="3431" a="1"/>
  <c r="O5" i="3431"/>
  <c r="N5" i="3431" a="1"/>
  <c r="N5" i="3431"/>
  <c r="M5" i="3431" a="1"/>
  <c r="M5" i="3431"/>
  <c r="L5" i="3431"/>
  <c r="E5" i="3431"/>
  <c r="D5" i="3431"/>
  <c r="C5" i="3431" a="1"/>
  <c r="C5" i="3431"/>
  <c r="B5" i="3431" a="1"/>
  <c r="B5" i="3431"/>
  <c r="BJ4" i="3431"/>
  <c r="Q4" i="3431" a="1"/>
  <c r="Q4" i="3431"/>
  <c r="P4" i="3431" a="1"/>
  <c r="P4" i="3431"/>
  <c r="O4" i="3431" a="1"/>
  <c r="O4" i="3431"/>
  <c r="N4" i="3431" a="1"/>
  <c r="N4" i="3431"/>
  <c r="M4" i="3431" a="1"/>
  <c r="M4" i="3431"/>
  <c r="L4" i="3431"/>
  <c r="E4" i="3431"/>
  <c r="D4" i="3431"/>
  <c r="C4" i="3431" a="1"/>
  <c r="C4" i="3431"/>
  <c r="B4" i="3431" a="1"/>
  <c r="B4" i="3431"/>
  <c r="BS3" i="3431"/>
  <c r="BJ3" i="3431"/>
  <c r="Q3" i="3431" a="1"/>
  <c r="Q3" i="3431"/>
  <c r="P3" i="3431" a="1"/>
  <c r="P3" i="3431"/>
  <c r="O3" i="3431" a="1"/>
  <c r="O3" i="3431"/>
  <c r="N3" i="3431" a="1"/>
  <c r="N3" i="3431"/>
  <c r="M3" i="3431" a="1"/>
  <c r="M3" i="3431"/>
  <c r="L3" i="3431"/>
  <c r="E3" i="3431"/>
  <c r="D3" i="3431"/>
  <c r="C3" i="3431" a="1"/>
  <c r="C3" i="3431"/>
  <c r="B3" i="3431" a="1"/>
  <c r="B3" i="3431"/>
  <c r="BS2" i="3431"/>
  <c r="BO2" i="3431"/>
  <c r="BM2" i="3431"/>
  <c r="Q2" i="3431"/>
  <c r="O2" i="3431"/>
  <c r="N2" i="3431"/>
  <c r="D2" i="3431"/>
  <c r="C2" i="3431"/>
  <c r="B2" i="3431"/>
  <c r="C11" i="3421" a="1"/>
  <c r="C11" i="3421" s="1"/>
  <c r="C10" i="3421" a="1"/>
  <c r="C10" i="3421" s="1"/>
  <c r="MF9" i="3421"/>
  <c r="ME9" i="3421"/>
  <c r="MD9" i="3421"/>
  <c r="MC9" i="3421"/>
  <c r="MB9" i="3421"/>
  <c r="MA9" i="3421"/>
  <c r="LZ9" i="3421"/>
  <c r="LY9" i="3421"/>
  <c r="LX9" i="3421"/>
  <c r="LW9" i="3421"/>
  <c r="LU9" i="3421"/>
  <c r="LT9" i="3421"/>
  <c r="LS9" i="3421"/>
  <c r="LR9" i="3421"/>
  <c r="LQ9" i="3421"/>
  <c r="LP9" i="3421"/>
  <c r="LO9" i="3421"/>
  <c r="LN9" i="3421"/>
  <c r="LM9" i="3421"/>
  <c r="LL9" i="3421"/>
  <c r="K8" i="3421"/>
  <c r="J8" i="3421"/>
  <c r="I8" i="3421"/>
  <c r="H8" i="3421"/>
  <c r="G8" i="3421"/>
  <c r="F8" i="3421"/>
  <c r="E8" i="3421"/>
  <c r="C7" i="3421"/>
  <c r="BO6" i="3421" a="1"/>
  <c r="BO6" i="3421"/>
  <c r="BN6" i="3421" a="1"/>
  <c r="BN6" i="3421"/>
  <c r="BM6" i="3421" a="1"/>
  <c r="BM6" i="3421"/>
  <c r="BL6" i="3421" a="1"/>
  <c r="BL6" i="3421"/>
  <c r="BK6" i="3421" a="1"/>
  <c r="BK6" i="3421"/>
  <c r="BJ6" i="3421" a="1"/>
  <c r="BJ6" i="3421"/>
  <c r="BI6" i="3421" a="1"/>
  <c r="BI6" i="3421"/>
  <c r="BH6" i="3421" a="1"/>
  <c r="BH6" i="3421"/>
  <c r="BG6" i="3421" a="1"/>
  <c r="BG6" i="3421"/>
  <c r="BF6" i="3421" a="1"/>
  <c r="BF6" i="3421"/>
  <c r="BE6" i="3421" a="1"/>
  <c r="BE6" i="3421"/>
  <c r="BD6" i="3421" a="1"/>
  <c r="BD6" i="3421"/>
  <c r="BC6" i="3421" a="1"/>
  <c r="BC6" i="3421"/>
  <c r="BB6" i="3421" a="1"/>
  <c r="BB6" i="3421"/>
  <c r="BA6" i="3421" a="1"/>
  <c r="BA6" i="3421"/>
  <c r="AZ6" i="3421" a="1"/>
  <c r="AZ6" i="3421"/>
  <c r="AY6" i="3421" a="1"/>
  <c r="AY6" i="3421"/>
  <c r="AX6" i="3421" a="1"/>
  <c r="AX6" i="3421"/>
  <c r="AW6" i="3421" a="1"/>
  <c r="AW6" i="3421"/>
  <c r="AV6" i="3421" a="1"/>
  <c r="AV6" i="3421"/>
  <c r="AU6" i="3421" a="1"/>
  <c r="AU6" i="3421"/>
  <c r="AT6" i="3421" a="1"/>
  <c r="AT6" i="3421"/>
  <c r="AS6" i="3421" a="1"/>
  <c r="AS6" i="3421"/>
  <c r="AR6" i="3421" a="1"/>
  <c r="AR6" i="3421"/>
  <c r="AQ6" i="3421" a="1"/>
  <c r="AQ6" i="3421"/>
  <c r="AP6" i="3421" a="1"/>
  <c r="AP6" i="3421"/>
  <c r="AO6" i="3421" a="1"/>
  <c r="AO6" i="3421"/>
  <c r="AN6" i="3421" a="1"/>
  <c r="AN6" i="3421"/>
  <c r="AM6" i="3421" a="1"/>
  <c r="AM6" i="3421"/>
  <c r="AL6" i="3421" a="1"/>
  <c r="AL6" i="3421"/>
  <c r="AK6" i="3421" a="1"/>
  <c r="AK6" i="3421"/>
  <c r="AJ6" i="3421" a="1"/>
  <c r="AJ6" i="3421"/>
  <c r="AI6" i="3421" a="1"/>
  <c r="AI6" i="3421"/>
  <c r="AH6" i="3421" a="1"/>
  <c r="AH6" i="3421"/>
  <c r="AG6" i="3421" a="1"/>
  <c r="AG6" i="3421"/>
  <c r="AF6" i="3421" a="1"/>
  <c r="AF6" i="3421"/>
  <c r="AE6" i="3421" a="1"/>
  <c r="AE6" i="3421"/>
  <c r="AD6" i="3421" a="1"/>
  <c r="AD6" i="3421"/>
  <c r="AC6" i="3421" a="1"/>
  <c r="AC6" i="3421"/>
  <c r="AB6" i="3421" a="1"/>
  <c r="AB6" i="3421"/>
  <c r="AA6" i="3421" a="1"/>
  <c r="AA6" i="3421"/>
  <c r="Z6" i="3421" a="1"/>
  <c r="Z6" i="3421"/>
  <c r="Y6" i="3421" a="1"/>
  <c r="Y6" i="3421"/>
  <c r="X6" i="3421" a="1"/>
  <c r="X6" i="3421"/>
  <c r="W6" i="3421" a="1"/>
  <c r="W6" i="3421"/>
  <c r="V6" i="3421" a="1"/>
  <c r="V6" i="3421"/>
  <c r="U6" i="3421" a="1"/>
  <c r="U6" i="3421"/>
  <c r="T6" i="3421" a="1"/>
  <c r="T6" i="3421"/>
  <c r="S6" i="3421" a="1"/>
  <c r="S6" i="3421"/>
  <c r="R6" i="3421" a="1"/>
  <c r="R6" i="3421"/>
  <c r="C5" i="3421"/>
  <c r="C4" i="3421"/>
  <c r="C3" i="3421"/>
  <c r="C2" i="3421"/>
  <c r="C64" i="3435" a="1"/>
  <c r="C64" i="3435"/>
  <c r="C63" i="3435" a="1"/>
  <c r="C63" i="3435"/>
  <c r="C62" i="3435" a="1"/>
  <c r="C62" i="3435"/>
  <c r="C61" i="3435" a="1"/>
  <c r="C61" i="3435"/>
  <c r="C60" i="3435" a="1"/>
  <c r="C60" i="3435"/>
  <c r="C59" i="3435" a="1"/>
  <c r="C59" i="3435"/>
  <c r="C58" i="3435" a="1"/>
  <c r="C58" i="3435"/>
  <c r="C57" i="3435" a="1"/>
  <c r="C57" i="3435"/>
  <c r="C56" i="3435" a="1"/>
  <c r="C56" i="3435"/>
  <c r="C55" i="3435" a="1"/>
  <c r="C55" i="3435"/>
  <c r="C54" i="3435" a="1"/>
  <c r="C54" i="3435"/>
  <c r="C53" i="3435" a="1"/>
  <c r="C53" i="3435"/>
  <c r="C52" i="3435" a="1"/>
  <c r="C52" i="3435"/>
  <c r="C51" i="3435" a="1"/>
  <c r="C51" i="3435"/>
  <c r="C50" i="3435" a="1"/>
  <c r="C50" i="3435"/>
  <c r="C49" i="3435" a="1"/>
  <c r="C49" i="3435"/>
  <c r="C48" i="3435" a="1"/>
  <c r="C48" i="3435"/>
  <c r="C47" i="3435" a="1"/>
  <c r="C47" i="3435"/>
  <c r="C46" i="3435" a="1"/>
  <c r="C46" i="3435"/>
  <c r="C45" i="3435" a="1"/>
  <c r="C45" i="3435"/>
  <c r="C44" i="3435" a="1"/>
  <c r="C44" i="3435"/>
  <c r="C43" i="3435" a="1"/>
  <c r="C43" i="3435"/>
  <c r="C42" i="3435" a="1"/>
  <c r="C42" i="3435"/>
  <c r="C41" i="3435" a="1"/>
  <c r="C41" i="3435"/>
  <c r="C40" i="3435" a="1"/>
  <c r="C40" i="3435"/>
  <c r="C39" i="3435" a="1"/>
  <c r="C39" i="3435"/>
  <c r="C38" i="3435" a="1"/>
  <c r="C38" i="3435"/>
  <c r="C37" i="3435" a="1"/>
  <c r="C37" i="3435"/>
  <c r="C36" i="3435" a="1"/>
  <c r="C36" i="3435"/>
  <c r="C35" i="3435" a="1"/>
  <c r="C35" i="3435"/>
  <c r="C34" i="3435" a="1"/>
  <c r="C34" i="3435"/>
  <c r="C33" i="3435" a="1"/>
  <c r="C33" i="3435"/>
  <c r="C32" i="3435" a="1"/>
  <c r="C32" i="3435"/>
  <c r="C31" i="3435" a="1"/>
  <c r="C31" i="3435"/>
  <c r="C30" i="3435" a="1"/>
  <c r="C30" i="3435"/>
  <c r="C29" i="3435" a="1"/>
  <c r="C29" i="3435"/>
  <c r="C28" i="3435" a="1"/>
  <c r="C28" i="3435"/>
  <c r="C27" i="3435" a="1"/>
  <c r="C27" i="3435"/>
  <c r="C26" i="3435" a="1"/>
  <c r="C26" i="3435"/>
  <c r="C25" i="3435" a="1"/>
  <c r="C25" i="3435"/>
  <c r="C24" i="3435" a="1"/>
  <c r="C24" i="3435"/>
  <c r="C23" i="3435" a="1"/>
  <c r="C23" i="3435"/>
  <c r="C22" i="3435" a="1"/>
  <c r="C22" i="3435"/>
  <c r="C21" i="3435" a="1"/>
  <c r="C21" i="3435"/>
  <c r="C20" i="3435" a="1"/>
  <c r="C20" i="3435"/>
  <c r="C19" i="3435" a="1"/>
  <c r="C19" i="3435"/>
  <c r="C18" i="3435" a="1"/>
  <c r="C18" i="3435"/>
  <c r="C17" i="3435" a="1"/>
  <c r="C17" i="3435"/>
  <c r="C16" i="3435" a="1"/>
  <c r="C16" i="3435"/>
  <c r="C15" i="3435" a="1"/>
  <c r="C15" i="3435"/>
  <c r="C12" i="3435"/>
  <c r="AQ9" i="3435" a="1"/>
  <c r="AQ9" i="3435"/>
  <c r="AP9" i="3435" a="1"/>
  <c r="AP9" i="3435"/>
  <c r="AO9" i="3435" a="1"/>
  <c r="AO9" i="3435"/>
  <c r="AN9" i="3435" a="1"/>
  <c r="AN9" i="3435"/>
  <c r="AM9" i="3435" a="1"/>
  <c r="AM9" i="3435"/>
  <c r="AL9" i="3435" a="1"/>
  <c r="AL9" i="3435"/>
  <c r="AK9" i="3435" a="1"/>
  <c r="AK9" i="3435"/>
  <c r="C6" i="3435"/>
  <c r="C5" i="3435"/>
  <c r="C62" i="3518" a="1"/>
  <c r="C62" i="3518"/>
  <c r="C61" i="3518" a="1"/>
  <c r="C61" i="3518"/>
  <c r="C60" i="3518" a="1"/>
  <c r="C60" i="3518"/>
  <c r="C59" i="3518" a="1"/>
  <c r="C59" i="3518"/>
  <c r="C58" i="3518" a="1"/>
  <c r="C58" i="3518"/>
  <c r="C57" i="3518" a="1"/>
  <c r="C57" i="3518"/>
  <c r="C56" i="3518" a="1"/>
  <c r="C56" i="3518"/>
  <c r="C55" i="3518" a="1"/>
  <c r="C55" i="3518"/>
  <c r="C54" i="3518" a="1"/>
  <c r="C54" i="3518"/>
  <c r="C53" i="3518" a="1"/>
  <c r="C53" i="3518"/>
  <c r="C52" i="3518" a="1"/>
  <c r="C52" i="3518"/>
  <c r="C51" i="3518" a="1"/>
  <c r="C51" i="3518"/>
  <c r="C50" i="3518" a="1"/>
  <c r="C50" i="3518"/>
  <c r="C49" i="3518" a="1"/>
  <c r="C49" i="3518"/>
  <c r="C48" i="3518" a="1"/>
  <c r="C48" i="3518"/>
  <c r="C47" i="3518" a="1"/>
  <c r="C47" i="3518"/>
  <c r="C46" i="3518" a="1"/>
  <c r="C46" i="3518"/>
  <c r="C45" i="3518" a="1"/>
  <c r="C45" i="3518"/>
  <c r="C44" i="3518" a="1"/>
  <c r="C44" i="3518"/>
  <c r="C43" i="3518" a="1"/>
  <c r="C43" i="3518"/>
  <c r="C42" i="3518" a="1"/>
  <c r="C42" i="3518"/>
  <c r="C41" i="3518" a="1"/>
  <c r="C41" i="3518"/>
  <c r="C40" i="3518" a="1"/>
  <c r="C40" i="3518"/>
  <c r="C39" i="3518" a="1"/>
  <c r="C39" i="3518"/>
  <c r="C38" i="3518" a="1"/>
  <c r="C38" i="3518"/>
  <c r="C37" i="3518" a="1"/>
  <c r="C37" i="3518"/>
  <c r="C36" i="3518" a="1"/>
  <c r="C36" i="3518"/>
  <c r="C35" i="3518" a="1"/>
  <c r="C35" i="3518"/>
  <c r="C34" i="3518" a="1"/>
  <c r="C34" i="3518"/>
  <c r="C33" i="3518" a="1"/>
  <c r="C33" i="3518"/>
  <c r="C32" i="3518" a="1"/>
  <c r="C32" i="3518"/>
  <c r="C31" i="3518" a="1"/>
  <c r="C31" i="3518"/>
  <c r="C30" i="3518" a="1"/>
  <c r="C30" i="3518"/>
  <c r="C29" i="3518" a="1"/>
  <c r="C29" i="3518"/>
  <c r="C28" i="3518" a="1"/>
  <c r="C28" i="3518"/>
  <c r="C27" i="3518" a="1"/>
  <c r="C27" i="3518"/>
  <c r="C26" i="3518" a="1"/>
  <c r="C26" i="3518"/>
  <c r="C25" i="3518" a="1"/>
  <c r="C25" i="3518"/>
  <c r="C24" i="3518" a="1"/>
  <c r="C24" i="3518"/>
  <c r="C23" i="3518" a="1"/>
  <c r="C23" i="3518"/>
  <c r="C22" i="3518" a="1"/>
  <c r="C22" i="3518"/>
  <c r="C21" i="3518" a="1"/>
  <c r="C21" i="3518"/>
  <c r="C20" i="3518" a="1"/>
  <c r="C20" i="3518"/>
  <c r="C19" i="3518" a="1"/>
  <c r="C19" i="3518"/>
  <c r="C18" i="3518" a="1"/>
  <c r="C18" i="3518"/>
  <c r="C17" i="3518" a="1"/>
  <c r="C17" i="3518"/>
  <c r="C16" i="3518" a="1"/>
  <c r="C16" i="3518"/>
  <c r="C15" i="3518" a="1"/>
  <c r="C15" i="3518"/>
  <c r="C14" i="3518" a="1"/>
  <c r="C14" i="3518"/>
  <c r="C13" i="3518" a="1"/>
  <c r="C13" i="3518"/>
  <c r="C10" i="3518"/>
  <c r="C4" i="3518"/>
  <c r="C3" i="3518"/>
  <c r="S115" i="3528" a="1"/>
  <c r="S115" i="3528"/>
  <c r="R115" i="3528" a="1"/>
  <c r="R115" i="3528"/>
  <c r="Q115" i="3528" a="1"/>
  <c r="Q115" i="3528"/>
  <c r="P115" i="3528" a="1"/>
  <c r="P115" i="3528"/>
  <c r="O115" i="3528" a="1"/>
  <c r="O115" i="3528"/>
  <c r="N115" i="3528" a="1"/>
  <c r="N115" i="3528"/>
  <c r="M115" i="3528" a="1"/>
  <c r="M115" i="3528"/>
  <c r="L115" i="3528" a="1"/>
  <c r="L115" i="3528"/>
  <c r="K115" i="3528" a="1"/>
  <c r="K115" i="3528"/>
  <c r="J115" i="3528" a="1"/>
  <c r="J115" i="3528"/>
  <c r="I115" i="3528" a="1"/>
  <c r="I115" i="3528"/>
  <c r="H115" i="3528" a="1"/>
  <c r="H115" i="3528"/>
  <c r="G115" i="3528" a="1"/>
  <c r="G115" i="3528"/>
  <c r="F115" i="3528" a="1"/>
  <c r="F115" i="3528"/>
  <c r="E115" i="3528" a="1"/>
  <c r="E115" i="3528"/>
  <c r="B42" i="3528" a="1"/>
  <c r="B42" i="3528" s="1"/>
  <c r="B41" i="3528" a="1"/>
  <c r="B41" i="3528" s="1"/>
  <c r="B40" i="3528" a="1"/>
  <c r="B40" i="3528" s="1"/>
  <c r="B39" i="3528" a="1"/>
  <c r="B39" i="3528" s="1"/>
  <c r="B38" i="3528" a="1"/>
  <c r="B38" i="3528" s="1"/>
  <c r="S38" i="3528" s="1" a="1"/>
  <c r="S38" i="3528" s="1"/>
  <c r="B37" i="3528" a="1"/>
  <c r="B37" i="3528" s="1"/>
  <c r="B36" i="3528" a="1"/>
  <c r="B36" i="3528" s="1"/>
  <c r="I36" i="3528" s="1" a="1"/>
  <c r="I36" i="3528" s="1"/>
  <c r="B35" i="3528" a="1"/>
  <c r="B35" i="3528" s="1"/>
  <c r="B34" i="3528" a="1"/>
  <c r="B34" i="3528" s="1"/>
  <c r="S34" i="3528" s="1" a="1"/>
  <c r="S34" i="3528" s="1"/>
  <c r="B33" i="3528" a="1"/>
  <c r="B33" i="3528" s="1"/>
  <c r="B32" i="3528" a="1"/>
  <c r="B32" i="3528" s="1"/>
  <c r="B31" i="3528" a="1"/>
  <c r="B31" i="3528" s="1"/>
  <c r="B30" i="3528" a="1"/>
  <c r="B30" i="3528" s="1"/>
  <c r="B29" i="3528" a="1"/>
  <c r="B29" i="3528" s="1"/>
  <c r="B28" i="3528" a="1"/>
  <c r="B28" i="3528" s="1"/>
  <c r="G28" i="3528" s="1" a="1"/>
  <c r="G28" i="3528" s="1"/>
  <c r="G62" i="3528" s="1" a="1"/>
  <c r="G62" i="3528" s="1"/>
  <c r="B27" i="3528" a="1"/>
  <c r="B27" i="3528" s="1"/>
  <c r="B26" i="3528" a="1"/>
  <c r="B26" i="3528" s="1"/>
  <c r="B25" i="3528" a="1"/>
  <c r="B25" i="3528" s="1"/>
  <c r="H25" i="3528" s="1" a="1"/>
  <c r="H25" i="3528" s="1"/>
  <c r="B24" i="3528" a="1"/>
  <c r="B24" i="3528" s="1"/>
  <c r="B23" i="3528" a="1"/>
  <c r="B23" i="3528" s="1"/>
  <c r="S23" i="3528" s="1" a="1"/>
  <c r="S23" i="3528" s="1"/>
  <c r="B22" i="3528" a="1"/>
  <c r="B22" i="3528" s="1"/>
  <c r="K22" i="3528" s="1" a="1"/>
  <c r="K22" i="3528" s="1"/>
  <c r="B21" i="3528" a="1"/>
  <c r="B21" i="3528" s="1"/>
  <c r="B20" i="3528" a="1"/>
  <c r="B20" i="3528" s="1"/>
  <c r="S20" i="3528" s="1" a="1"/>
  <c r="S20" i="3528" s="1"/>
  <c r="B19" i="3528" a="1"/>
  <c r="B19" i="3528" s="1"/>
  <c r="B18" i="3528" a="1"/>
  <c r="B18" i="3528" s="1"/>
  <c r="B17" i="3528" a="1"/>
  <c r="B17" i="3528" s="1"/>
  <c r="B16" i="3528" a="1"/>
  <c r="B16" i="3528" s="1"/>
  <c r="S16" i="3528" s="1" a="1"/>
  <c r="S16" i="3528" s="1"/>
  <c r="B15" i="3528" a="1"/>
  <c r="B15" i="3528" s="1"/>
  <c r="C15" i="3528" s="1" a="1"/>
  <c r="C15" i="3528" s="1"/>
  <c r="C83" i="3528" s="1"/>
  <c r="B14" i="3528" a="1"/>
  <c r="B14" i="3528" s="1"/>
  <c r="EM288" i="3416"/>
  <c r="EL288" i="3416"/>
  <c r="EK288" i="3416"/>
  <c r="EJ288" i="3416"/>
  <c r="EI288" i="3416"/>
  <c r="EH288" i="3416"/>
  <c r="EG288" i="3416"/>
  <c r="EF288" i="3416"/>
  <c r="EE288" i="3416"/>
  <c r="ED288" i="3416"/>
  <c r="EC288" i="3416"/>
  <c r="EB288" i="3416"/>
  <c r="EA288" i="3416"/>
  <c r="DZ288" i="3416"/>
  <c r="DY288" i="3416"/>
  <c r="DX288" i="3416"/>
  <c r="DW288" i="3416"/>
  <c r="DV288" i="3416"/>
  <c r="DU288" i="3416"/>
  <c r="DT288" i="3416"/>
  <c r="DS288" i="3416"/>
  <c r="DR288" i="3416"/>
  <c r="DQ288" i="3416"/>
  <c r="DP288" i="3416"/>
  <c r="DO288" i="3416"/>
  <c r="DN288" i="3416"/>
  <c r="DM288" i="3416"/>
  <c r="DL288" i="3416"/>
  <c r="DK288" i="3416"/>
  <c r="DJ288" i="3416"/>
  <c r="DI288" i="3416"/>
  <c r="DH288" i="3416"/>
  <c r="DG288" i="3416"/>
  <c r="DF288" i="3416"/>
  <c r="DE288" i="3416"/>
  <c r="DD288" i="3416"/>
  <c r="DC288" i="3416"/>
  <c r="DB288" i="3416"/>
  <c r="DA288" i="3416"/>
  <c r="CZ288" i="3416"/>
  <c r="CY288" i="3416"/>
  <c r="CX288" i="3416"/>
  <c r="CW288" i="3416"/>
  <c r="CV288" i="3416"/>
  <c r="CU288" i="3416"/>
  <c r="CT288" i="3416"/>
  <c r="CS288" i="3416"/>
  <c r="CR288" i="3416"/>
  <c r="CQ288" i="3416"/>
  <c r="CP288" i="3416"/>
  <c r="CO288" i="3416"/>
  <c r="CN288" i="3416"/>
  <c r="CM288" i="3416"/>
  <c r="CL288" i="3416"/>
  <c r="CK288" i="3416"/>
  <c r="CJ288" i="3416"/>
  <c r="CI288" i="3416"/>
  <c r="CH288" i="3416"/>
  <c r="CG288" i="3416"/>
  <c r="CF288" i="3416"/>
  <c r="CE288" i="3416"/>
  <c r="CD288" i="3416"/>
  <c r="CC288" i="3416"/>
  <c r="CB288" i="3416"/>
  <c r="CA288" i="3416"/>
  <c r="BZ288" i="3416"/>
  <c r="BY288" i="3416"/>
  <c r="BX288" i="3416"/>
  <c r="BW288" i="3416"/>
  <c r="BV288" i="3416"/>
  <c r="BU288" i="3416"/>
  <c r="BT288" i="3416"/>
  <c r="BS288" i="3416"/>
  <c r="BR288" i="3416"/>
  <c r="BQ288" i="3416"/>
  <c r="BP288" i="3416"/>
  <c r="BO288" i="3416"/>
  <c r="BN288" i="3416"/>
  <c r="BM288" i="3416"/>
  <c r="BL288" i="3416"/>
  <c r="BK288" i="3416"/>
  <c r="BJ288" i="3416"/>
  <c r="BI288" i="3416"/>
  <c r="BH288" i="3416"/>
  <c r="BG288" i="3416"/>
  <c r="BF288" i="3416"/>
  <c r="BE288" i="3416"/>
  <c r="BD288" i="3416"/>
  <c r="BC288" i="3416"/>
  <c r="BB288" i="3416"/>
  <c r="BA288" i="3416"/>
  <c r="AZ288" i="3416"/>
  <c r="AY288" i="3416"/>
  <c r="AX288" i="3416"/>
  <c r="AW288" i="3416"/>
  <c r="AV288" i="3416"/>
  <c r="AU288" i="3416"/>
  <c r="AT288" i="3416"/>
  <c r="AS288" i="3416"/>
  <c r="AR288" i="3416"/>
  <c r="AQ288" i="3416"/>
  <c r="AP288" i="3416"/>
  <c r="AO288" i="3416"/>
  <c r="AN288" i="3416"/>
  <c r="AM288" i="3416"/>
  <c r="AL288" i="3416"/>
  <c r="AK288" i="3416"/>
  <c r="AJ288" i="3416"/>
  <c r="AI288" i="3416"/>
  <c r="AH288" i="3416"/>
  <c r="AG288" i="3416"/>
  <c r="AF288" i="3416"/>
  <c r="AE288" i="3416"/>
  <c r="AD288" i="3416"/>
  <c r="AC288" i="3416"/>
  <c r="AB288" i="3416"/>
  <c r="AA288" i="3416"/>
  <c r="Z288" i="3416"/>
  <c r="Y288" i="3416"/>
  <c r="X288" i="3416"/>
  <c r="W288" i="3416"/>
  <c r="V288" i="3416"/>
  <c r="U288" i="3416"/>
  <c r="T288" i="3416"/>
  <c r="S288" i="3416"/>
  <c r="R288" i="3416"/>
  <c r="Q288" i="3416"/>
  <c r="P288" i="3416"/>
  <c r="O288" i="3416"/>
  <c r="N288" i="3416"/>
  <c r="M288" i="3416"/>
  <c r="L288" i="3416"/>
  <c r="K288" i="3416"/>
  <c r="J288" i="3416"/>
  <c r="I288" i="3416"/>
  <c r="H288" i="3416"/>
  <c r="G288" i="3416"/>
  <c r="F288" i="3416"/>
  <c r="E288" i="3416"/>
  <c r="D288" i="3416"/>
  <c r="C288" i="3416" a="1"/>
  <c r="C288" i="3416"/>
  <c r="A288" i="3416"/>
  <c r="EM287" i="3416"/>
  <c r="EL287" i="3416"/>
  <c r="EK287" i="3416"/>
  <c r="EJ287" i="3416"/>
  <c r="EI287" i="3416"/>
  <c r="EH287" i="3416"/>
  <c r="EG287" i="3416"/>
  <c r="EF287" i="3416"/>
  <c r="EE287" i="3416"/>
  <c r="ED287" i="3416"/>
  <c r="EC287" i="3416"/>
  <c r="EB287" i="3416"/>
  <c r="EA287" i="3416"/>
  <c r="DZ287" i="3416"/>
  <c r="DY287" i="3416"/>
  <c r="DX287" i="3416"/>
  <c r="DW287" i="3416"/>
  <c r="DV287" i="3416"/>
  <c r="DU287" i="3416"/>
  <c r="DT287" i="3416"/>
  <c r="DS287" i="3416"/>
  <c r="DR287" i="3416"/>
  <c r="DQ287" i="3416"/>
  <c r="DP287" i="3416"/>
  <c r="DO287" i="3416"/>
  <c r="DN287" i="3416"/>
  <c r="DM287" i="3416"/>
  <c r="DL287" i="3416"/>
  <c r="DK287" i="3416"/>
  <c r="DJ287" i="3416"/>
  <c r="DI287" i="3416"/>
  <c r="DH287" i="3416"/>
  <c r="DG287" i="3416"/>
  <c r="DF287" i="3416"/>
  <c r="DE287" i="3416"/>
  <c r="DD287" i="3416"/>
  <c r="DC287" i="3416"/>
  <c r="DB287" i="3416"/>
  <c r="DA287" i="3416"/>
  <c r="CZ287" i="3416"/>
  <c r="CY287" i="3416"/>
  <c r="CX287" i="3416"/>
  <c r="CW287" i="3416"/>
  <c r="CV287" i="3416"/>
  <c r="CU287" i="3416"/>
  <c r="CT287" i="3416"/>
  <c r="CS287" i="3416"/>
  <c r="CR287" i="3416"/>
  <c r="CQ287" i="3416"/>
  <c r="CP287" i="3416"/>
  <c r="CO287" i="3416"/>
  <c r="CN287" i="3416"/>
  <c r="CM287" i="3416"/>
  <c r="CL287" i="3416"/>
  <c r="CK287" i="3416"/>
  <c r="CJ287" i="3416"/>
  <c r="CI287" i="3416"/>
  <c r="CH287" i="3416"/>
  <c r="CG287" i="3416"/>
  <c r="CF287" i="3416"/>
  <c r="CE287" i="3416"/>
  <c r="CD287" i="3416"/>
  <c r="CC287" i="3416"/>
  <c r="CB287" i="3416"/>
  <c r="CA287" i="3416"/>
  <c r="BZ287" i="3416"/>
  <c r="BY287" i="3416"/>
  <c r="BX287" i="3416"/>
  <c r="BW287" i="3416"/>
  <c r="BV287" i="3416"/>
  <c r="BU287" i="3416"/>
  <c r="BT287" i="3416"/>
  <c r="BS287" i="3416"/>
  <c r="BR287" i="3416"/>
  <c r="BQ287" i="3416"/>
  <c r="BP287" i="3416"/>
  <c r="BO287" i="3416"/>
  <c r="BN287" i="3416"/>
  <c r="BM287" i="3416"/>
  <c r="BL287" i="3416"/>
  <c r="BK287" i="3416"/>
  <c r="BJ287" i="3416"/>
  <c r="BI287" i="3416"/>
  <c r="BH287" i="3416"/>
  <c r="BG287" i="3416"/>
  <c r="BF287" i="3416"/>
  <c r="BE287" i="3416"/>
  <c r="BD287" i="3416"/>
  <c r="BC287" i="3416"/>
  <c r="BB287" i="3416"/>
  <c r="BA287" i="3416"/>
  <c r="AZ287" i="3416"/>
  <c r="AY287" i="3416"/>
  <c r="AX287" i="3416"/>
  <c r="AW287" i="3416"/>
  <c r="AV287" i="3416"/>
  <c r="AU287" i="3416"/>
  <c r="AT287" i="3416"/>
  <c r="AS287" i="3416"/>
  <c r="AR287" i="3416"/>
  <c r="AQ287" i="3416"/>
  <c r="AP287" i="3416"/>
  <c r="AO287" i="3416"/>
  <c r="AN287" i="3416"/>
  <c r="AM287" i="3416"/>
  <c r="AL287" i="3416"/>
  <c r="AK287" i="3416"/>
  <c r="AJ287" i="3416"/>
  <c r="AI287" i="3416"/>
  <c r="AH287" i="3416"/>
  <c r="AG287" i="3416"/>
  <c r="AF287" i="3416"/>
  <c r="AE287" i="3416"/>
  <c r="AD287" i="3416"/>
  <c r="AC287" i="3416"/>
  <c r="AB287" i="3416"/>
  <c r="AA287" i="3416"/>
  <c r="Z287" i="3416"/>
  <c r="Y287" i="3416"/>
  <c r="X287" i="3416"/>
  <c r="W287" i="3416"/>
  <c r="V287" i="3416"/>
  <c r="U287" i="3416"/>
  <c r="T287" i="3416"/>
  <c r="S287" i="3416"/>
  <c r="R287" i="3416"/>
  <c r="Q287" i="3416"/>
  <c r="P287" i="3416"/>
  <c r="O287" i="3416"/>
  <c r="N287" i="3416"/>
  <c r="M287" i="3416"/>
  <c r="L287" i="3416"/>
  <c r="K287" i="3416"/>
  <c r="J287" i="3416"/>
  <c r="I287" i="3416"/>
  <c r="H287" i="3416"/>
  <c r="G287" i="3416"/>
  <c r="F287" i="3416"/>
  <c r="E287" i="3416"/>
  <c r="D287" i="3416"/>
  <c r="C287" i="3416" a="1"/>
  <c r="C287" i="3416"/>
  <c r="A287" i="3416"/>
  <c r="EM286" i="3416"/>
  <c r="EL286" i="3416"/>
  <c r="EK286" i="3416"/>
  <c r="EJ286" i="3416"/>
  <c r="EI286" i="3416"/>
  <c r="EH286" i="3416"/>
  <c r="EG286" i="3416"/>
  <c r="EF286" i="3416"/>
  <c r="EE286" i="3416"/>
  <c r="ED286" i="3416"/>
  <c r="EC286" i="3416"/>
  <c r="EB286" i="3416"/>
  <c r="EA286" i="3416"/>
  <c r="DZ286" i="3416"/>
  <c r="DY286" i="3416"/>
  <c r="DX286" i="3416"/>
  <c r="DW286" i="3416"/>
  <c r="DV286" i="3416"/>
  <c r="DU286" i="3416"/>
  <c r="DT286" i="3416"/>
  <c r="DS286" i="3416"/>
  <c r="DR286" i="3416"/>
  <c r="DQ286" i="3416"/>
  <c r="DP286" i="3416"/>
  <c r="DO286" i="3416"/>
  <c r="DN286" i="3416"/>
  <c r="DM286" i="3416"/>
  <c r="DL286" i="3416"/>
  <c r="DK286" i="3416"/>
  <c r="DJ286" i="3416"/>
  <c r="DI286" i="3416"/>
  <c r="DH286" i="3416"/>
  <c r="DG286" i="3416"/>
  <c r="DF286" i="3416"/>
  <c r="DE286" i="3416"/>
  <c r="DD286" i="3416"/>
  <c r="DC286" i="3416"/>
  <c r="DB286" i="3416"/>
  <c r="DA286" i="3416"/>
  <c r="CZ286" i="3416"/>
  <c r="CY286" i="3416"/>
  <c r="CX286" i="3416"/>
  <c r="CW286" i="3416"/>
  <c r="CV286" i="3416"/>
  <c r="CU286" i="3416"/>
  <c r="CT286" i="3416"/>
  <c r="CS286" i="3416"/>
  <c r="CR286" i="3416"/>
  <c r="CQ286" i="3416"/>
  <c r="CP286" i="3416"/>
  <c r="CO286" i="3416"/>
  <c r="CN286" i="3416"/>
  <c r="CM286" i="3416"/>
  <c r="CL286" i="3416"/>
  <c r="CK286" i="3416"/>
  <c r="CJ286" i="3416"/>
  <c r="CI286" i="3416"/>
  <c r="CH286" i="3416"/>
  <c r="CG286" i="3416"/>
  <c r="CF286" i="3416"/>
  <c r="CE286" i="3416"/>
  <c r="CD286" i="3416"/>
  <c r="CC286" i="3416"/>
  <c r="CB286" i="3416"/>
  <c r="CA286" i="3416"/>
  <c r="BZ286" i="3416"/>
  <c r="BY286" i="3416"/>
  <c r="BX286" i="3416"/>
  <c r="BW286" i="3416"/>
  <c r="BV286" i="3416"/>
  <c r="BU286" i="3416"/>
  <c r="BT286" i="3416"/>
  <c r="BS286" i="3416"/>
  <c r="BR286" i="3416"/>
  <c r="BQ286" i="3416"/>
  <c r="BP286" i="3416"/>
  <c r="BO286" i="3416"/>
  <c r="BN286" i="3416"/>
  <c r="BM286" i="3416"/>
  <c r="BL286" i="3416"/>
  <c r="BK286" i="3416"/>
  <c r="BJ286" i="3416"/>
  <c r="BI286" i="3416"/>
  <c r="BH286" i="3416"/>
  <c r="BG286" i="3416"/>
  <c r="BF286" i="3416"/>
  <c r="BE286" i="3416"/>
  <c r="BD286" i="3416"/>
  <c r="BC286" i="3416"/>
  <c r="BB286" i="3416"/>
  <c r="BA286" i="3416"/>
  <c r="AZ286" i="3416"/>
  <c r="AY286" i="3416"/>
  <c r="AX286" i="3416"/>
  <c r="AW286" i="3416"/>
  <c r="AV286" i="3416"/>
  <c r="AU286" i="3416"/>
  <c r="AT286" i="3416"/>
  <c r="AS286" i="3416"/>
  <c r="AR286" i="3416"/>
  <c r="AQ286" i="3416"/>
  <c r="AP286" i="3416"/>
  <c r="AO286" i="3416"/>
  <c r="AN286" i="3416"/>
  <c r="AM286" i="3416"/>
  <c r="AL286" i="3416"/>
  <c r="AK286" i="3416"/>
  <c r="AJ286" i="3416"/>
  <c r="AI286" i="3416"/>
  <c r="AH286" i="3416"/>
  <c r="AG286" i="3416"/>
  <c r="AF286" i="3416"/>
  <c r="AE286" i="3416"/>
  <c r="AD286" i="3416"/>
  <c r="AC286" i="3416"/>
  <c r="AB286" i="3416"/>
  <c r="AA286" i="3416"/>
  <c r="Z286" i="3416"/>
  <c r="Y286" i="3416"/>
  <c r="X286" i="3416"/>
  <c r="W286" i="3416"/>
  <c r="V286" i="3416"/>
  <c r="U286" i="3416"/>
  <c r="T286" i="3416"/>
  <c r="S286" i="3416"/>
  <c r="R286" i="3416"/>
  <c r="Q286" i="3416"/>
  <c r="P286" i="3416"/>
  <c r="O286" i="3416"/>
  <c r="N286" i="3416"/>
  <c r="M286" i="3416"/>
  <c r="L286" i="3416"/>
  <c r="K286" i="3416"/>
  <c r="J286" i="3416"/>
  <c r="I286" i="3416"/>
  <c r="H286" i="3416"/>
  <c r="G286" i="3416"/>
  <c r="F286" i="3416"/>
  <c r="E286" i="3416"/>
  <c r="D286" i="3416"/>
  <c r="C286" i="3416" a="1"/>
  <c r="C286" i="3416"/>
  <c r="A286" i="3416"/>
  <c r="EM285" i="3416"/>
  <c r="EL285" i="3416"/>
  <c r="EK285" i="3416"/>
  <c r="EJ285" i="3416"/>
  <c r="EI285" i="3416"/>
  <c r="EH285" i="3416"/>
  <c r="EG285" i="3416"/>
  <c r="EF285" i="3416"/>
  <c r="EE285" i="3416"/>
  <c r="ED285" i="3416"/>
  <c r="EC285" i="3416"/>
  <c r="EB285" i="3416"/>
  <c r="EA285" i="3416"/>
  <c r="DZ285" i="3416"/>
  <c r="DY285" i="3416"/>
  <c r="DX285" i="3416"/>
  <c r="DW285" i="3416"/>
  <c r="DV285" i="3416"/>
  <c r="DU285" i="3416"/>
  <c r="DT285" i="3416"/>
  <c r="DS285" i="3416"/>
  <c r="DR285" i="3416"/>
  <c r="DQ285" i="3416"/>
  <c r="DP285" i="3416"/>
  <c r="DO285" i="3416"/>
  <c r="DN285" i="3416"/>
  <c r="DM285" i="3416"/>
  <c r="DL285" i="3416"/>
  <c r="DK285" i="3416"/>
  <c r="DJ285" i="3416"/>
  <c r="DI285" i="3416"/>
  <c r="DH285" i="3416"/>
  <c r="DG285" i="3416"/>
  <c r="DF285" i="3416"/>
  <c r="DE285" i="3416"/>
  <c r="DD285" i="3416"/>
  <c r="DC285" i="3416"/>
  <c r="DB285" i="3416"/>
  <c r="DA285" i="3416"/>
  <c r="CZ285" i="3416"/>
  <c r="CY285" i="3416"/>
  <c r="CX285" i="3416"/>
  <c r="CW285" i="3416"/>
  <c r="CV285" i="3416"/>
  <c r="CU285" i="3416"/>
  <c r="CT285" i="3416"/>
  <c r="CS285" i="3416"/>
  <c r="CR285" i="3416"/>
  <c r="CQ285" i="3416"/>
  <c r="CP285" i="3416"/>
  <c r="CO285" i="3416"/>
  <c r="CN285" i="3416"/>
  <c r="CM285" i="3416"/>
  <c r="CL285" i="3416"/>
  <c r="CK285" i="3416"/>
  <c r="CJ285" i="3416"/>
  <c r="CI285" i="3416"/>
  <c r="CH285" i="3416"/>
  <c r="CG285" i="3416"/>
  <c r="CF285" i="3416"/>
  <c r="CE285" i="3416"/>
  <c r="CD285" i="3416"/>
  <c r="CC285" i="3416"/>
  <c r="CB285" i="3416"/>
  <c r="CA285" i="3416"/>
  <c r="BZ285" i="3416"/>
  <c r="BY285" i="3416"/>
  <c r="BX285" i="3416"/>
  <c r="BW285" i="3416"/>
  <c r="BV285" i="3416"/>
  <c r="BU285" i="3416"/>
  <c r="BT285" i="3416"/>
  <c r="BS285" i="3416"/>
  <c r="BR285" i="3416"/>
  <c r="BQ285" i="3416"/>
  <c r="BP285" i="3416"/>
  <c r="BO285" i="3416"/>
  <c r="BN285" i="3416"/>
  <c r="BM285" i="3416"/>
  <c r="BL285" i="3416"/>
  <c r="BK285" i="3416"/>
  <c r="BJ285" i="3416"/>
  <c r="BI285" i="3416"/>
  <c r="BH285" i="3416"/>
  <c r="BG285" i="3416"/>
  <c r="BF285" i="3416"/>
  <c r="BE285" i="3416"/>
  <c r="BD285" i="3416"/>
  <c r="BC285" i="3416"/>
  <c r="BB285" i="3416"/>
  <c r="BA285" i="3416"/>
  <c r="AZ285" i="3416"/>
  <c r="AY285" i="3416"/>
  <c r="AX285" i="3416"/>
  <c r="AW285" i="3416"/>
  <c r="AV285" i="3416"/>
  <c r="AU285" i="3416"/>
  <c r="AT285" i="3416"/>
  <c r="AS285" i="3416"/>
  <c r="AR285" i="3416"/>
  <c r="AQ285" i="3416"/>
  <c r="AP285" i="3416"/>
  <c r="AO285" i="3416"/>
  <c r="AN285" i="3416"/>
  <c r="AM285" i="3416"/>
  <c r="AL285" i="3416"/>
  <c r="AK285" i="3416"/>
  <c r="AJ285" i="3416"/>
  <c r="AI285" i="3416"/>
  <c r="AH285" i="3416"/>
  <c r="AG285" i="3416"/>
  <c r="AF285" i="3416"/>
  <c r="AE285" i="3416"/>
  <c r="AD285" i="3416"/>
  <c r="AC285" i="3416"/>
  <c r="AB285" i="3416"/>
  <c r="AA285" i="3416"/>
  <c r="Z285" i="3416"/>
  <c r="Y285" i="3416"/>
  <c r="X285" i="3416"/>
  <c r="W285" i="3416"/>
  <c r="V285" i="3416"/>
  <c r="U285" i="3416"/>
  <c r="T285" i="3416"/>
  <c r="S285" i="3416"/>
  <c r="R285" i="3416"/>
  <c r="Q285" i="3416"/>
  <c r="P285" i="3416"/>
  <c r="O285" i="3416"/>
  <c r="N285" i="3416"/>
  <c r="M285" i="3416"/>
  <c r="L285" i="3416"/>
  <c r="K285" i="3416"/>
  <c r="J285" i="3416"/>
  <c r="I285" i="3416"/>
  <c r="H285" i="3416"/>
  <c r="G285" i="3416"/>
  <c r="F285" i="3416"/>
  <c r="E285" i="3416"/>
  <c r="D285" i="3416"/>
  <c r="C285" i="3416" a="1"/>
  <c r="C285" i="3416"/>
  <c r="A285" i="3416"/>
  <c r="EM284" i="3416"/>
  <c r="EL284" i="3416"/>
  <c r="EK284" i="3416"/>
  <c r="EJ284" i="3416"/>
  <c r="EI284" i="3416"/>
  <c r="EH284" i="3416"/>
  <c r="EG284" i="3416"/>
  <c r="EF284" i="3416"/>
  <c r="EE284" i="3416"/>
  <c r="ED284" i="3416"/>
  <c r="EC284" i="3416"/>
  <c r="EB284" i="3416"/>
  <c r="EA284" i="3416"/>
  <c r="DZ284" i="3416"/>
  <c r="DY284" i="3416"/>
  <c r="DX284" i="3416"/>
  <c r="DW284" i="3416"/>
  <c r="DV284" i="3416"/>
  <c r="DU284" i="3416"/>
  <c r="DT284" i="3416"/>
  <c r="DS284" i="3416"/>
  <c r="DR284" i="3416"/>
  <c r="DQ284" i="3416"/>
  <c r="DP284" i="3416"/>
  <c r="DO284" i="3416"/>
  <c r="DN284" i="3416"/>
  <c r="DM284" i="3416"/>
  <c r="DL284" i="3416"/>
  <c r="DK284" i="3416"/>
  <c r="DJ284" i="3416"/>
  <c r="DI284" i="3416"/>
  <c r="DH284" i="3416"/>
  <c r="DG284" i="3416"/>
  <c r="DF284" i="3416"/>
  <c r="DE284" i="3416"/>
  <c r="DD284" i="3416"/>
  <c r="DC284" i="3416"/>
  <c r="DB284" i="3416"/>
  <c r="DA284" i="3416"/>
  <c r="CZ284" i="3416"/>
  <c r="CY284" i="3416"/>
  <c r="CX284" i="3416"/>
  <c r="CW284" i="3416"/>
  <c r="CV284" i="3416"/>
  <c r="CU284" i="3416"/>
  <c r="CT284" i="3416"/>
  <c r="CS284" i="3416"/>
  <c r="CR284" i="3416"/>
  <c r="CQ284" i="3416"/>
  <c r="CP284" i="3416"/>
  <c r="CO284" i="3416"/>
  <c r="CN284" i="3416"/>
  <c r="CM284" i="3416"/>
  <c r="CL284" i="3416"/>
  <c r="CK284" i="3416"/>
  <c r="CJ284" i="3416"/>
  <c r="CI284" i="3416"/>
  <c r="CH284" i="3416"/>
  <c r="CG284" i="3416"/>
  <c r="CF284" i="3416"/>
  <c r="CE284" i="3416"/>
  <c r="CD284" i="3416"/>
  <c r="CC284" i="3416"/>
  <c r="CB284" i="3416"/>
  <c r="CA284" i="3416"/>
  <c r="BZ284" i="3416"/>
  <c r="BY284" i="3416"/>
  <c r="BX284" i="3416"/>
  <c r="BW284" i="3416"/>
  <c r="BV284" i="3416"/>
  <c r="BU284" i="3416"/>
  <c r="BT284" i="3416"/>
  <c r="BS284" i="3416"/>
  <c r="BR284" i="3416"/>
  <c r="BQ284" i="3416"/>
  <c r="BP284" i="3416"/>
  <c r="BO284" i="3416"/>
  <c r="BN284" i="3416"/>
  <c r="BM284" i="3416"/>
  <c r="BL284" i="3416"/>
  <c r="BK284" i="3416"/>
  <c r="BJ284" i="3416"/>
  <c r="BI284" i="3416"/>
  <c r="BH284" i="3416"/>
  <c r="BG284" i="3416"/>
  <c r="BF284" i="3416"/>
  <c r="BE284" i="3416"/>
  <c r="BD284" i="3416"/>
  <c r="BC284" i="3416"/>
  <c r="BB284" i="3416"/>
  <c r="BA284" i="3416"/>
  <c r="AZ284" i="3416"/>
  <c r="AY284" i="3416"/>
  <c r="AX284" i="3416"/>
  <c r="AW284" i="3416"/>
  <c r="AV284" i="3416"/>
  <c r="AU284" i="3416"/>
  <c r="AT284" i="3416"/>
  <c r="AS284" i="3416"/>
  <c r="AR284" i="3416"/>
  <c r="AQ284" i="3416"/>
  <c r="AP284" i="3416"/>
  <c r="AO284" i="3416"/>
  <c r="AN284" i="3416"/>
  <c r="AM284" i="3416"/>
  <c r="AL284" i="3416"/>
  <c r="AK284" i="3416"/>
  <c r="AJ284" i="3416"/>
  <c r="AI284" i="3416"/>
  <c r="AH284" i="3416"/>
  <c r="AG284" i="3416"/>
  <c r="AF284" i="3416"/>
  <c r="AE284" i="3416"/>
  <c r="AD284" i="3416"/>
  <c r="AC284" i="3416"/>
  <c r="AB284" i="3416"/>
  <c r="AA284" i="3416"/>
  <c r="Z284" i="3416"/>
  <c r="Y284" i="3416"/>
  <c r="X284" i="3416"/>
  <c r="W284" i="3416"/>
  <c r="V284" i="3416"/>
  <c r="U284" i="3416"/>
  <c r="T284" i="3416"/>
  <c r="S284" i="3416"/>
  <c r="R284" i="3416"/>
  <c r="Q284" i="3416"/>
  <c r="P284" i="3416"/>
  <c r="O284" i="3416"/>
  <c r="N284" i="3416"/>
  <c r="M284" i="3416"/>
  <c r="L284" i="3416"/>
  <c r="K284" i="3416"/>
  <c r="J284" i="3416"/>
  <c r="I284" i="3416"/>
  <c r="H284" i="3416"/>
  <c r="G284" i="3416"/>
  <c r="F284" i="3416"/>
  <c r="E284" i="3416"/>
  <c r="D284" i="3416"/>
  <c r="C284" i="3416" a="1"/>
  <c r="C284" i="3416"/>
  <c r="A284" i="3416"/>
  <c r="EM283" i="3416"/>
  <c r="EL283" i="3416"/>
  <c r="EK283" i="3416"/>
  <c r="EJ283" i="3416"/>
  <c r="EI283" i="3416"/>
  <c r="EH283" i="3416"/>
  <c r="EG283" i="3416"/>
  <c r="EF283" i="3416"/>
  <c r="EE283" i="3416"/>
  <c r="ED283" i="3416"/>
  <c r="EC283" i="3416"/>
  <c r="EB283" i="3416"/>
  <c r="EA283" i="3416"/>
  <c r="DZ283" i="3416"/>
  <c r="DY283" i="3416"/>
  <c r="DX283" i="3416"/>
  <c r="DW283" i="3416"/>
  <c r="DV283" i="3416"/>
  <c r="DU283" i="3416"/>
  <c r="DT283" i="3416"/>
  <c r="DS283" i="3416"/>
  <c r="DR283" i="3416"/>
  <c r="DQ283" i="3416"/>
  <c r="DP283" i="3416"/>
  <c r="DO283" i="3416"/>
  <c r="DN283" i="3416"/>
  <c r="DM283" i="3416"/>
  <c r="DL283" i="3416"/>
  <c r="DK283" i="3416"/>
  <c r="DJ283" i="3416"/>
  <c r="DI283" i="3416"/>
  <c r="DH283" i="3416"/>
  <c r="DG283" i="3416"/>
  <c r="DF283" i="3416"/>
  <c r="DE283" i="3416"/>
  <c r="DD283" i="3416"/>
  <c r="DC283" i="3416"/>
  <c r="DB283" i="3416"/>
  <c r="DA283" i="3416"/>
  <c r="CZ283" i="3416"/>
  <c r="CY283" i="3416"/>
  <c r="CX283" i="3416"/>
  <c r="CW283" i="3416"/>
  <c r="CV283" i="3416"/>
  <c r="CU283" i="3416"/>
  <c r="CT283" i="3416"/>
  <c r="CS283" i="3416"/>
  <c r="CR283" i="3416"/>
  <c r="CQ283" i="3416"/>
  <c r="CP283" i="3416"/>
  <c r="CO283" i="3416"/>
  <c r="CN283" i="3416"/>
  <c r="CM283" i="3416"/>
  <c r="CL283" i="3416"/>
  <c r="CK283" i="3416"/>
  <c r="CJ283" i="3416"/>
  <c r="CI283" i="3416"/>
  <c r="CH283" i="3416"/>
  <c r="CG283" i="3416"/>
  <c r="CF283" i="3416"/>
  <c r="CE283" i="3416"/>
  <c r="CD283" i="3416"/>
  <c r="CC283" i="3416"/>
  <c r="CB283" i="3416"/>
  <c r="CA283" i="3416"/>
  <c r="BZ283" i="3416"/>
  <c r="BY283" i="3416"/>
  <c r="BX283" i="3416"/>
  <c r="BW283" i="3416"/>
  <c r="BV283" i="3416"/>
  <c r="BU283" i="3416"/>
  <c r="BT283" i="3416"/>
  <c r="BS283" i="3416"/>
  <c r="BR283" i="3416"/>
  <c r="BQ283" i="3416"/>
  <c r="BP283" i="3416"/>
  <c r="BO283" i="3416"/>
  <c r="BN283" i="3416"/>
  <c r="BM283" i="3416"/>
  <c r="BL283" i="3416"/>
  <c r="BK283" i="3416"/>
  <c r="BJ283" i="3416"/>
  <c r="BI283" i="3416"/>
  <c r="BH283" i="3416"/>
  <c r="BG283" i="3416"/>
  <c r="BF283" i="3416"/>
  <c r="BE283" i="3416"/>
  <c r="BD283" i="3416"/>
  <c r="BC283" i="3416"/>
  <c r="BB283" i="3416"/>
  <c r="BA283" i="3416"/>
  <c r="AZ283" i="3416"/>
  <c r="AY283" i="3416"/>
  <c r="AX283" i="3416"/>
  <c r="AW283" i="3416"/>
  <c r="AV283" i="3416"/>
  <c r="AU283" i="3416"/>
  <c r="AT283" i="3416"/>
  <c r="AS283" i="3416"/>
  <c r="AR283" i="3416"/>
  <c r="AQ283" i="3416"/>
  <c r="AP283" i="3416"/>
  <c r="AO283" i="3416"/>
  <c r="AN283" i="3416"/>
  <c r="AM283" i="3416"/>
  <c r="AL283" i="3416"/>
  <c r="AK283" i="3416"/>
  <c r="AJ283" i="3416"/>
  <c r="AI283" i="3416"/>
  <c r="AH283" i="3416"/>
  <c r="AG283" i="3416"/>
  <c r="AF283" i="3416"/>
  <c r="AE283" i="3416"/>
  <c r="AD283" i="3416"/>
  <c r="AC283" i="3416"/>
  <c r="AB283" i="3416"/>
  <c r="AA283" i="3416"/>
  <c r="Z283" i="3416"/>
  <c r="Y283" i="3416"/>
  <c r="X283" i="3416"/>
  <c r="W283" i="3416"/>
  <c r="V283" i="3416"/>
  <c r="U283" i="3416"/>
  <c r="T283" i="3416"/>
  <c r="S283" i="3416"/>
  <c r="R283" i="3416"/>
  <c r="Q283" i="3416"/>
  <c r="P283" i="3416"/>
  <c r="O283" i="3416"/>
  <c r="N283" i="3416"/>
  <c r="M283" i="3416"/>
  <c r="L283" i="3416"/>
  <c r="K283" i="3416"/>
  <c r="J283" i="3416"/>
  <c r="I283" i="3416"/>
  <c r="H283" i="3416"/>
  <c r="G283" i="3416"/>
  <c r="F283" i="3416"/>
  <c r="E283" i="3416"/>
  <c r="D283" i="3416"/>
  <c r="C283" i="3416" a="1"/>
  <c r="C283" i="3416"/>
  <c r="A283" i="3416"/>
  <c r="EM282" i="3416"/>
  <c r="EL282" i="3416"/>
  <c r="EK282" i="3416"/>
  <c r="EJ282" i="3416"/>
  <c r="EI282" i="3416"/>
  <c r="EH282" i="3416"/>
  <c r="EG282" i="3416"/>
  <c r="EF282" i="3416"/>
  <c r="EE282" i="3416"/>
  <c r="ED282" i="3416"/>
  <c r="EC282" i="3416"/>
  <c r="EB282" i="3416"/>
  <c r="EA282" i="3416"/>
  <c r="DZ282" i="3416"/>
  <c r="DY282" i="3416"/>
  <c r="DX282" i="3416"/>
  <c r="DW282" i="3416"/>
  <c r="DV282" i="3416"/>
  <c r="DU282" i="3416"/>
  <c r="DT282" i="3416"/>
  <c r="DS282" i="3416"/>
  <c r="DR282" i="3416"/>
  <c r="DQ282" i="3416"/>
  <c r="DP282" i="3416"/>
  <c r="DO282" i="3416"/>
  <c r="DN282" i="3416"/>
  <c r="DM282" i="3416"/>
  <c r="DL282" i="3416"/>
  <c r="DK282" i="3416"/>
  <c r="DJ282" i="3416"/>
  <c r="DI282" i="3416"/>
  <c r="DH282" i="3416"/>
  <c r="DG282" i="3416"/>
  <c r="DF282" i="3416"/>
  <c r="DE282" i="3416"/>
  <c r="DD282" i="3416"/>
  <c r="DC282" i="3416"/>
  <c r="DB282" i="3416"/>
  <c r="DA282" i="3416"/>
  <c r="CZ282" i="3416"/>
  <c r="CY282" i="3416"/>
  <c r="CX282" i="3416"/>
  <c r="CW282" i="3416"/>
  <c r="CV282" i="3416"/>
  <c r="CU282" i="3416"/>
  <c r="CT282" i="3416"/>
  <c r="CS282" i="3416"/>
  <c r="CR282" i="3416"/>
  <c r="CQ282" i="3416"/>
  <c r="CP282" i="3416"/>
  <c r="CO282" i="3416"/>
  <c r="CN282" i="3416"/>
  <c r="CM282" i="3416"/>
  <c r="CL282" i="3416"/>
  <c r="CK282" i="3416"/>
  <c r="CJ282" i="3416"/>
  <c r="CI282" i="3416"/>
  <c r="CH282" i="3416"/>
  <c r="CG282" i="3416"/>
  <c r="CF282" i="3416"/>
  <c r="CE282" i="3416"/>
  <c r="CD282" i="3416"/>
  <c r="CC282" i="3416"/>
  <c r="CB282" i="3416"/>
  <c r="CA282" i="3416"/>
  <c r="BZ282" i="3416"/>
  <c r="BY282" i="3416"/>
  <c r="BX282" i="3416"/>
  <c r="BW282" i="3416"/>
  <c r="BV282" i="3416"/>
  <c r="BU282" i="3416"/>
  <c r="BT282" i="3416"/>
  <c r="BS282" i="3416"/>
  <c r="BR282" i="3416"/>
  <c r="BQ282" i="3416"/>
  <c r="BP282" i="3416"/>
  <c r="BO282" i="3416"/>
  <c r="BN282" i="3416"/>
  <c r="BM282" i="3416"/>
  <c r="BL282" i="3416"/>
  <c r="BK282" i="3416"/>
  <c r="BJ282" i="3416"/>
  <c r="BI282" i="3416"/>
  <c r="BH282" i="3416"/>
  <c r="BG282" i="3416"/>
  <c r="BF282" i="3416"/>
  <c r="BE282" i="3416"/>
  <c r="BD282" i="3416"/>
  <c r="BC282" i="3416"/>
  <c r="BB282" i="3416"/>
  <c r="BA282" i="3416"/>
  <c r="AZ282" i="3416"/>
  <c r="AY282" i="3416"/>
  <c r="AX282" i="3416"/>
  <c r="AW282" i="3416"/>
  <c r="AV282" i="3416"/>
  <c r="AU282" i="3416"/>
  <c r="AT282" i="3416"/>
  <c r="AS282" i="3416"/>
  <c r="AR282" i="3416"/>
  <c r="AQ282" i="3416"/>
  <c r="AP282" i="3416"/>
  <c r="AO282" i="3416"/>
  <c r="AN282" i="3416"/>
  <c r="AM282" i="3416"/>
  <c r="AL282" i="3416"/>
  <c r="AK282" i="3416"/>
  <c r="AJ282" i="3416"/>
  <c r="AI282" i="3416"/>
  <c r="AH282" i="3416"/>
  <c r="AG282" i="3416"/>
  <c r="AF282" i="3416"/>
  <c r="AE282" i="3416"/>
  <c r="AD282" i="3416"/>
  <c r="AC282" i="3416"/>
  <c r="AB282" i="3416"/>
  <c r="AA282" i="3416"/>
  <c r="Z282" i="3416"/>
  <c r="Y282" i="3416"/>
  <c r="X282" i="3416"/>
  <c r="W282" i="3416"/>
  <c r="V282" i="3416"/>
  <c r="U282" i="3416"/>
  <c r="T282" i="3416"/>
  <c r="S282" i="3416"/>
  <c r="R282" i="3416"/>
  <c r="Q282" i="3416"/>
  <c r="P282" i="3416"/>
  <c r="O282" i="3416"/>
  <c r="N282" i="3416"/>
  <c r="M282" i="3416"/>
  <c r="L282" i="3416"/>
  <c r="K282" i="3416"/>
  <c r="J282" i="3416"/>
  <c r="I282" i="3416"/>
  <c r="H282" i="3416"/>
  <c r="G282" i="3416"/>
  <c r="F282" i="3416"/>
  <c r="E282" i="3416"/>
  <c r="D282" i="3416"/>
  <c r="C282" i="3416" a="1"/>
  <c r="C282" i="3416"/>
  <c r="A282" i="3416"/>
  <c r="EM281" i="3416"/>
  <c r="EL281" i="3416"/>
  <c r="EK281" i="3416"/>
  <c r="EJ281" i="3416"/>
  <c r="EI281" i="3416"/>
  <c r="EH281" i="3416"/>
  <c r="EG281" i="3416"/>
  <c r="EF281" i="3416"/>
  <c r="EE281" i="3416"/>
  <c r="ED281" i="3416"/>
  <c r="EC281" i="3416"/>
  <c r="EB281" i="3416"/>
  <c r="EA281" i="3416"/>
  <c r="DZ281" i="3416"/>
  <c r="DY281" i="3416"/>
  <c r="DX281" i="3416"/>
  <c r="DW281" i="3416"/>
  <c r="DV281" i="3416"/>
  <c r="DU281" i="3416"/>
  <c r="DT281" i="3416"/>
  <c r="DS281" i="3416"/>
  <c r="DR281" i="3416"/>
  <c r="DQ281" i="3416"/>
  <c r="DP281" i="3416"/>
  <c r="DO281" i="3416"/>
  <c r="DN281" i="3416"/>
  <c r="DM281" i="3416"/>
  <c r="DL281" i="3416"/>
  <c r="DK281" i="3416"/>
  <c r="DJ281" i="3416"/>
  <c r="DI281" i="3416"/>
  <c r="DH281" i="3416"/>
  <c r="DG281" i="3416"/>
  <c r="DF281" i="3416"/>
  <c r="DE281" i="3416"/>
  <c r="DD281" i="3416"/>
  <c r="DC281" i="3416"/>
  <c r="DB281" i="3416"/>
  <c r="DA281" i="3416"/>
  <c r="CZ281" i="3416"/>
  <c r="CY281" i="3416"/>
  <c r="CX281" i="3416"/>
  <c r="CW281" i="3416"/>
  <c r="CV281" i="3416"/>
  <c r="CU281" i="3416"/>
  <c r="CT281" i="3416"/>
  <c r="CS281" i="3416"/>
  <c r="CR281" i="3416"/>
  <c r="CQ281" i="3416"/>
  <c r="CP281" i="3416"/>
  <c r="CO281" i="3416"/>
  <c r="CN281" i="3416"/>
  <c r="CM281" i="3416"/>
  <c r="CL281" i="3416"/>
  <c r="CK281" i="3416"/>
  <c r="CJ281" i="3416"/>
  <c r="CI281" i="3416"/>
  <c r="CH281" i="3416"/>
  <c r="CG281" i="3416"/>
  <c r="CF281" i="3416"/>
  <c r="CE281" i="3416"/>
  <c r="CD281" i="3416"/>
  <c r="CC281" i="3416"/>
  <c r="CB281" i="3416"/>
  <c r="CA281" i="3416"/>
  <c r="BZ281" i="3416"/>
  <c r="BY281" i="3416"/>
  <c r="BX281" i="3416"/>
  <c r="BW281" i="3416"/>
  <c r="BV281" i="3416"/>
  <c r="BU281" i="3416"/>
  <c r="BT281" i="3416"/>
  <c r="BS281" i="3416"/>
  <c r="BR281" i="3416"/>
  <c r="BQ281" i="3416"/>
  <c r="BP281" i="3416"/>
  <c r="BO281" i="3416"/>
  <c r="BN281" i="3416"/>
  <c r="BM281" i="3416"/>
  <c r="BL281" i="3416"/>
  <c r="BK281" i="3416"/>
  <c r="BJ281" i="3416"/>
  <c r="BI281" i="3416"/>
  <c r="BH281" i="3416"/>
  <c r="BG281" i="3416"/>
  <c r="BF281" i="3416"/>
  <c r="BE281" i="3416"/>
  <c r="BD281" i="3416"/>
  <c r="BC281" i="3416"/>
  <c r="BB281" i="3416"/>
  <c r="BA281" i="3416"/>
  <c r="AZ281" i="3416"/>
  <c r="AY281" i="3416"/>
  <c r="AX281" i="3416"/>
  <c r="AW281" i="3416"/>
  <c r="AV281" i="3416"/>
  <c r="AU281" i="3416"/>
  <c r="AT281" i="3416"/>
  <c r="AS281" i="3416"/>
  <c r="AR281" i="3416"/>
  <c r="AQ281" i="3416"/>
  <c r="AP281" i="3416"/>
  <c r="AO281" i="3416"/>
  <c r="AN281" i="3416"/>
  <c r="AM281" i="3416"/>
  <c r="AL281" i="3416"/>
  <c r="AK281" i="3416"/>
  <c r="AJ281" i="3416"/>
  <c r="AI281" i="3416"/>
  <c r="AH281" i="3416"/>
  <c r="AG281" i="3416"/>
  <c r="AF281" i="3416"/>
  <c r="AE281" i="3416"/>
  <c r="AD281" i="3416"/>
  <c r="AC281" i="3416"/>
  <c r="AB281" i="3416"/>
  <c r="AA281" i="3416"/>
  <c r="Z281" i="3416"/>
  <c r="Y281" i="3416"/>
  <c r="X281" i="3416"/>
  <c r="W281" i="3416"/>
  <c r="V281" i="3416"/>
  <c r="U281" i="3416"/>
  <c r="T281" i="3416"/>
  <c r="S281" i="3416"/>
  <c r="R281" i="3416"/>
  <c r="Q281" i="3416"/>
  <c r="P281" i="3416"/>
  <c r="O281" i="3416"/>
  <c r="N281" i="3416"/>
  <c r="M281" i="3416"/>
  <c r="L281" i="3416"/>
  <c r="K281" i="3416"/>
  <c r="J281" i="3416"/>
  <c r="I281" i="3416"/>
  <c r="H281" i="3416"/>
  <c r="G281" i="3416"/>
  <c r="F281" i="3416"/>
  <c r="E281" i="3416"/>
  <c r="D281" i="3416"/>
  <c r="C281" i="3416" a="1"/>
  <c r="C281" i="3416"/>
  <c r="A281" i="3416"/>
  <c r="EM280" i="3416"/>
  <c r="EL280" i="3416"/>
  <c r="EK280" i="3416"/>
  <c r="EJ280" i="3416"/>
  <c r="EI280" i="3416"/>
  <c r="EH280" i="3416"/>
  <c r="EG280" i="3416"/>
  <c r="EF280" i="3416"/>
  <c r="EE280" i="3416"/>
  <c r="ED280" i="3416"/>
  <c r="EC280" i="3416"/>
  <c r="EB280" i="3416"/>
  <c r="EA280" i="3416"/>
  <c r="DZ280" i="3416"/>
  <c r="DY280" i="3416"/>
  <c r="DX280" i="3416"/>
  <c r="DW280" i="3416"/>
  <c r="DV280" i="3416"/>
  <c r="DU280" i="3416"/>
  <c r="DT280" i="3416"/>
  <c r="DS280" i="3416"/>
  <c r="DR280" i="3416"/>
  <c r="DQ280" i="3416"/>
  <c r="DP280" i="3416"/>
  <c r="DO280" i="3416"/>
  <c r="DN280" i="3416"/>
  <c r="DM280" i="3416"/>
  <c r="DL280" i="3416"/>
  <c r="DK280" i="3416"/>
  <c r="DJ280" i="3416"/>
  <c r="DI280" i="3416"/>
  <c r="DH280" i="3416"/>
  <c r="DG280" i="3416"/>
  <c r="DF280" i="3416"/>
  <c r="DE280" i="3416"/>
  <c r="DD280" i="3416"/>
  <c r="DC280" i="3416"/>
  <c r="DB280" i="3416"/>
  <c r="DA280" i="3416"/>
  <c r="CZ280" i="3416"/>
  <c r="CY280" i="3416"/>
  <c r="CX280" i="3416"/>
  <c r="CW280" i="3416"/>
  <c r="CV280" i="3416"/>
  <c r="CU280" i="3416"/>
  <c r="CT280" i="3416"/>
  <c r="CS280" i="3416"/>
  <c r="CR280" i="3416"/>
  <c r="CQ280" i="3416"/>
  <c r="CP280" i="3416"/>
  <c r="CO280" i="3416"/>
  <c r="CN280" i="3416"/>
  <c r="CM280" i="3416"/>
  <c r="CL280" i="3416"/>
  <c r="CK280" i="3416"/>
  <c r="CJ280" i="3416"/>
  <c r="CI280" i="3416"/>
  <c r="CH280" i="3416"/>
  <c r="CG280" i="3416"/>
  <c r="CF280" i="3416"/>
  <c r="CE280" i="3416"/>
  <c r="CD280" i="3416"/>
  <c r="CC280" i="3416"/>
  <c r="CB280" i="3416"/>
  <c r="CA280" i="3416"/>
  <c r="BZ280" i="3416"/>
  <c r="BY280" i="3416"/>
  <c r="BX280" i="3416"/>
  <c r="BW280" i="3416"/>
  <c r="BV280" i="3416"/>
  <c r="BU280" i="3416"/>
  <c r="BT280" i="3416"/>
  <c r="BS280" i="3416"/>
  <c r="BR280" i="3416"/>
  <c r="BQ280" i="3416"/>
  <c r="BP280" i="3416"/>
  <c r="BO280" i="3416"/>
  <c r="BN280" i="3416"/>
  <c r="BM280" i="3416"/>
  <c r="BL280" i="3416"/>
  <c r="BK280" i="3416"/>
  <c r="BJ280" i="3416"/>
  <c r="BI280" i="3416"/>
  <c r="BH280" i="3416"/>
  <c r="BG280" i="3416"/>
  <c r="BF280" i="3416"/>
  <c r="BE280" i="3416"/>
  <c r="BD280" i="3416"/>
  <c r="BC280" i="3416"/>
  <c r="BB280" i="3416"/>
  <c r="BA280" i="3416"/>
  <c r="AZ280" i="3416"/>
  <c r="AY280" i="3416"/>
  <c r="AX280" i="3416"/>
  <c r="AW280" i="3416"/>
  <c r="AV280" i="3416"/>
  <c r="AU280" i="3416"/>
  <c r="AT280" i="3416"/>
  <c r="AS280" i="3416"/>
  <c r="AR280" i="3416"/>
  <c r="AQ280" i="3416"/>
  <c r="AP280" i="3416"/>
  <c r="AO280" i="3416"/>
  <c r="AN280" i="3416"/>
  <c r="AM280" i="3416"/>
  <c r="AL280" i="3416"/>
  <c r="AK280" i="3416"/>
  <c r="AJ280" i="3416"/>
  <c r="AI280" i="3416"/>
  <c r="AH280" i="3416"/>
  <c r="AG280" i="3416"/>
  <c r="AF280" i="3416"/>
  <c r="AE280" i="3416"/>
  <c r="AD280" i="3416"/>
  <c r="AC280" i="3416"/>
  <c r="AB280" i="3416"/>
  <c r="AA280" i="3416"/>
  <c r="Z280" i="3416"/>
  <c r="Y280" i="3416"/>
  <c r="X280" i="3416"/>
  <c r="W280" i="3416"/>
  <c r="V280" i="3416"/>
  <c r="U280" i="3416"/>
  <c r="T280" i="3416"/>
  <c r="S280" i="3416"/>
  <c r="R280" i="3416"/>
  <c r="Q280" i="3416"/>
  <c r="P280" i="3416"/>
  <c r="O280" i="3416"/>
  <c r="N280" i="3416"/>
  <c r="M280" i="3416"/>
  <c r="L280" i="3416"/>
  <c r="K280" i="3416"/>
  <c r="J280" i="3416"/>
  <c r="I280" i="3416"/>
  <c r="H280" i="3416"/>
  <c r="G280" i="3416"/>
  <c r="F280" i="3416"/>
  <c r="E280" i="3416"/>
  <c r="D280" i="3416"/>
  <c r="C280" i="3416" a="1"/>
  <c r="C280" i="3416"/>
  <c r="A280" i="3416"/>
  <c r="EM279" i="3416"/>
  <c r="EL279" i="3416"/>
  <c r="EK279" i="3416"/>
  <c r="EJ279" i="3416"/>
  <c r="EI279" i="3416"/>
  <c r="EH279" i="3416"/>
  <c r="EG279" i="3416"/>
  <c r="EF279" i="3416"/>
  <c r="EE279" i="3416"/>
  <c r="ED279" i="3416"/>
  <c r="EC279" i="3416"/>
  <c r="EB279" i="3416"/>
  <c r="EA279" i="3416"/>
  <c r="DZ279" i="3416"/>
  <c r="DY279" i="3416"/>
  <c r="DX279" i="3416"/>
  <c r="DW279" i="3416"/>
  <c r="DV279" i="3416"/>
  <c r="DU279" i="3416"/>
  <c r="DT279" i="3416"/>
  <c r="DS279" i="3416"/>
  <c r="DR279" i="3416"/>
  <c r="DQ279" i="3416"/>
  <c r="DP279" i="3416"/>
  <c r="DO279" i="3416"/>
  <c r="DN279" i="3416"/>
  <c r="DM279" i="3416"/>
  <c r="DL279" i="3416"/>
  <c r="DK279" i="3416"/>
  <c r="DJ279" i="3416"/>
  <c r="DI279" i="3416"/>
  <c r="DH279" i="3416"/>
  <c r="DG279" i="3416"/>
  <c r="DF279" i="3416"/>
  <c r="DE279" i="3416"/>
  <c r="DD279" i="3416"/>
  <c r="DC279" i="3416"/>
  <c r="DB279" i="3416"/>
  <c r="DA279" i="3416"/>
  <c r="CZ279" i="3416"/>
  <c r="CY279" i="3416"/>
  <c r="CX279" i="3416"/>
  <c r="CW279" i="3416"/>
  <c r="CV279" i="3416"/>
  <c r="CU279" i="3416"/>
  <c r="CT279" i="3416"/>
  <c r="CS279" i="3416"/>
  <c r="CR279" i="3416"/>
  <c r="CQ279" i="3416"/>
  <c r="CP279" i="3416"/>
  <c r="CO279" i="3416"/>
  <c r="CN279" i="3416"/>
  <c r="CM279" i="3416"/>
  <c r="CL279" i="3416"/>
  <c r="CK279" i="3416"/>
  <c r="CJ279" i="3416"/>
  <c r="CI279" i="3416"/>
  <c r="CH279" i="3416"/>
  <c r="CG279" i="3416"/>
  <c r="CF279" i="3416"/>
  <c r="CE279" i="3416"/>
  <c r="CD279" i="3416"/>
  <c r="CC279" i="3416"/>
  <c r="CB279" i="3416"/>
  <c r="CA279" i="3416"/>
  <c r="BZ279" i="3416"/>
  <c r="BY279" i="3416"/>
  <c r="BX279" i="3416"/>
  <c r="BW279" i="3416"/>
  <c r="BV279" i="3416"/>
  <c r="BU279" i="3416"/>
  <c r="BT279" i="3416"/>
  <c r="BS279" i="3416"/>
  <c r="BR279" i="3416"/>
  <c r="BQ279" i="3416"/>
  <c r="BP279" i="3416"/>
  <c r="BO279" i="3416"/>
  <c r="BN279" i="3416"/>
  <c r="BM279" i="3416"/>
  <c r="BL279" i="3416"/>
  <c r="BK279" i="3416"/>
  <c r="BJ279" i="3416"/>
  <c r="BI279" i="3416"/>
  <c r="BH279" i="3416"/>
  <c r="BG279" i="3416"/>
  <c r="BF279" i="3416"/>
  <c r="BE279" i="3416"/>
  <c r="BD279" i="3416"/>
  <c r="BC279" i="3416"/>
  <c r="BB279" i="3416"/>
  <c r="BA279" i="3416"/>
  <c r="AZ279" i="3416"/>
  <c r="AY279" i="3416"/>
  <c r="AX279" i="3416"/>
  <c r="AW279" i="3416"/>
  <c r="AV279" i="3416"/>
  <c r="AU279" i="3416"/>
  <c r="AT279" i="3416"/>
  <c r="AS279" i="3416"/>
  <c r="AR279" i="3416"/>
  <c r="AQ279" i="3416"/>
  <c r="AP279" i="3416"/>
  <c r="AO279" i="3416"/>
  <c r="AN279" i="3416"/>
  <c r="AM279" i="3416"/>
  <c r="AL279" i="3416"/>
  <c r="AK279" i="3416"/>
  <c r="AJ279" i="3416"/>
  <c r="AI279" i="3416"/>
  <c r="AH279" i="3416"/>
  <c r="AG279" i="3416"/>
  <c r="AF279" i="3416"/>
  <c r="AE279" i="3416"/>
  <c r="AD279" i="3416"/>
  <c r="AC279" i="3416"/>
  <c r="AB279" i="3416"/>
  <c r="AA279" i="3416"/>
  <c r="Z279" i="3416"/>
  <c r="Y279" i="3416"/>
  <c r="X279" i="3416"/>
  <c r="W279" i="3416"/>
  <c r="V279" i="3416"/>
  <c r="U279" i="3416"/>
  <c r="T279" i="3416"/>
  <c r="S279" i="3416"/>
  <c r="R279" i="3416"/>
  <c r="Q279" i="3416"/>
  <c r="P279" i="3416"/>
  <c r="O279" i="3416"/>
  <c r="N279" i="3416"/>
  <c r="M279" i="3416"/>
  <c r="L279" i="3416"/>
  <c r="K279" i="3416"/>
  <c r="J279" i="3416"/>
  <c r="I279" i="3416"/>
  <c r="H279" i="3416"/>
  <c r="G279" i="3416"/>
  <c r="F279" i="3416"/>
  <c r="E279" i="3416"/>
  <c r="D279" i="3416"/>
  <c r="C279" i="3416" a="1"/>
  <c r="C279" i="3416"/>
  <c r="A279" i="3416"/>
  <c r="EM278" i="3416"/>
  <c r="EL278" i="3416"/>
  <c r="EK278" i="3416"/>
  <c r="EJ278" i="3416"/>
  <c r="EI278" i="3416"/>
  <c r="EH278" i="3416"/>
  <c r="EG278" i="3416"/>
  <c r="EF278" i="3416"/>
  <c r="EE278" i="3416"/>
  <c r="ED278" i="3416"/>
  <c r="EC278" i="3416"/>
  <c r="EB278" i="3416"/>
  <c r="EA278" i="3416"/>
  <c r="DZ278" i="3416"/>
  <c r="DY278" i="3416"/>
  <c r="DX278" i="3416"/>
  <c r="DW278" i="3416"/>
  <c r="DV278" i="3416"/>
  <c r="DU278" i="3416"/>
  <c r="DT278" i="3416"/>
  <c r="DS278" i="3416"/>
  <c r="DR278" i="3416"/>
  <c r="DQ278" i="3416"/>
  <c r="DP278" i="3416"/>
  <c r="DO278" i="3416"/>
  <c r="DN278" i="3416"/>
  <c r="DM278" i="3416"/>
  <c r="DL278" i="3416"/>
  <c r="DK278" i="3416"/>
  <c r="DJ278" i="3416"/>
  <c r="DI278" i="3416"/>
  <c r="DH278" i="3416"/>
  <c r="DG278" i="3416"/>
  <c r="DF278" i="3416"/>
  <c r="DE278" i="3416"/>
  <c r="DD278" i="3416"/>
  <c r="DC278" i="3416"/>
  <c r="DB278" i="3416"/>
  <c r="DA278" i="3416"/>
  <c r="CZ278" i="3416"/>
  <c r="CY278" i="3416"/>
  <c r="CX278" i="3416"/>
  <c r="CW278" i="3416"/>
  <c r="CV278" i="3416"/>
  <c r="CU278" i="3416"/>
  <c r="CT278" i="3416"/>
  <c r="CS278" i="3416"/>
  <c r="CR278" i="3416"/>
  <c r="CQ278" i="3416"/>
  <c r="CP278" i="3416"/>
  <c r="CO278" i="3416"/>
  <c r="CN278" i="3416"/>
  <c r="CM278" i="3416"/>
  <c r="CL278" i="3416"/>
  <c r="CK278" i="3416"/>
  <c r="CJ278" i="3416"/>
  <c r="CI278" i="3416"/>
  <c r="CH278" i="3416"/>
  <c r="CG278" i="3416"/>
  <c r="CF278" i="3416"/>
  <c r="CE278" i="3416"/>
  <c r="CD278" i="3416"/>
  <c r="CC278" i="3416"/>
  <c r="CB278" i="3416"/>
  <c r="CA278" i="3416"/>
  <c r="BZ278" i="3416"/>
  <c r="BY278" i="3416"/>
  <c r="BX278" i="3416"/>
  <c r="BW278" i="3416"/>
  <c r="BV278" i="3416"/>
  <c r="BU278" i="3416"/>
  <c r="BT278" i="3416"/>
  <c r="BS278" i="3416"/>
  <c r="BR278" i="3416"/>
  <c r="BQ278" i="3416"/>
  <c r="BP278" i="3416"/>
  <c r="BO278" i="3416"/>
  <c r="BN278" i="3416"/>
  <c r="BM278" i="3416"/>
  <c r="BL278" i="3416"/>
  <c r="BK278" i="3416"/>
  <c r="BJ278" i="3416"/>
  <c r="BI278" i="3416"/>
  <c r="BH278" i="3416"/>
  <c r="BG278" i="3416"/>
  <c r="BF278" i="3416"/>
  <c r="BE278" i="3416"/>
  <c r="BD278" i="3416"/>
  <c r="BC278" i="3416"/>
  <c r="BB278" i="3416"/>
  <c r="BA278" i="3416"/>
  <c r="AZ278" i="3416"/>
  <c r="AY278" i="3416"/>
  <c r="AX278" i="3416"/>
  <c r="AW278" i="3416"/>
  <c r="AV278" i="3416"/>
  <c r="AU278" i="3416"/>
  <c r="AT278" i="3416"/>
  <c r="AS278" i="3416"/>
  <c r="AR278" i="3416"/>
  <c r="AQ278" i="3416"/>
  <c r="AP278" i="3416"/>
  <c r="AO278" i="3416"/>
  <c r="AN278" i="3416"/>
  <c r="AM278" i="3416"/>
  <c r="AL278" i="3416"/>
  <c r="AK278" i="3416"/>
  <c r="AJ278" i="3416"/>
  <c r="AI278" i="3416"/>
  <c r="AH278" i="3416"/>
  <c r="AG278" i="3416"/>
  <c r="AF278" i="3416"/>
  <c r="AE278" i="3416"/>
  <c r="AD278" i="3416"/>
  <c r="AC278" i="3416"/>
  <c r="AB278" i="3416"/>
  <c r="AA278" i="3416"/>
  <c r="Z278" i="3416"/>
  <c r="Y278" i="3416"/>
  <c r="X278" i="3416"/>
  <c r="W278" i="3416"/>
  <c r="V278" i="3416"/>
  <c r="U278" i="3416"/>
  <c r="T278" i="3416"/>
  <c r="S278" i="3416"/>
  <c r="R278" i="3416"/>
  <c r="Q278" i="3416"/>
  <c r="P278" i="3416"/>
  <c r="O278" i="3416"/>
  <c r="N278" i="3416"/>
  <c r="M278" i="3416"/>
  <c r="L278" i="3416"/>
  <c r="K278" i="3416"/>
  <c r="J278" i="3416"/>
  <c r="I278" i="3416"/>
  <c r="H278" i="3416"/>
  <c r="G278" i="3416"/>
  <c r="F278" i="3416"/>
  <c r="E278" i="3416"/>
  <c r="D278" i="3416"/>
  <c r="C278" i="3416" a="1"/>
  <c r="C278" i="3416"/>
  <c r="A278" i="3416"/>
  <c r="EM277" i="3416"/>
  <c r="EL277" i="3416"/>
  <c r="EK277" i="3416"/>
  <c r="EJ277" i="3416"/>
  <c r="EI277" i="3416"/>
  <c r="EH277" i="3416"/>
  <c r="EG277" i="3416"/>
  <c r="EF277" i="3416"/>
  <c r="EE277" i="3416"/>
  <c r="ED277" i="3416"/>
  <c r="EC277" i="3416"/>
  <c r="EB277" i="3416"/>
  <c r="EA277" i="3416"/>
  <c r="DZ277" i="3416"/>
  <c r="DY277" i="3416"/>
  <c r="DX277" i="3416"/>
  <c r="DW277" i="3416"/>
  <c r="DV277" i="3416"/>
  <c r="DU277" i="3416"/>
  <c r="DT277" i="3416"/>
  <c r="DS277" i="3416"/>
  <c r="DR277" i="3416"/>
  <c r="DQ277" i="3416"/>
  <c r="DP277" i="3416"/>
  <c r="DO277" i="3416"/>
  <c r="DN277" i="3416"/>
  <c r="DM277" i="3416"/>
  <c r="DL277" i="3416"/>
  <c r="DK277" i="3416"/>
  <c r="DJ277" i="3416"/>
  <c r="DI277" i="3416"/>
  <c r="DH277" i="3416"/>
  <c r="DG277" i="3416"/>
  <c r="DF277" i="3416"/>
  <c r="DE277" i="3416"/>
  <c r="DD277" i="3416"/>
  <c r="DC277" i="3416"/>
  <c r="DB277" i="3416"/>
  <c r="DA277" i="3416"/>
  <c r="CZ277" i="3416"/>
  <c r="CY277" i="3416"/>
  <c r="CX277" i="3416"/>
  <c r="CW277" i="3416"/>
  <c r="CV277" i="3416"/>
  <c r="CU277" i="3416"/>
  <c r="CT277" i="3416"/>
  <c r="CS277" i="3416"/>
  <c r="CR277" i="3416"/>
  <c r="CQ277" i="3416"/>
  <c r="CP277" i="3416"/>
  <c r="CO277" i="3416"/>
  <c r="CN277" i="3416"/>
  <c r="CM277" i="3416"/>
  <c r="CL277" i="3416"/>
  <c r="CK277" i="3416"/>
  <c r="CJ277" i="3416"/>
  <c r="CI277" i="3416"/>
  <c r="CH277" i="3416"/>
  <c r="CG277" i="3416"/>
  <c r="CF277" i="3416"/>
  <c r="CE277" i="3416"/>
  <c r="CD277" i="3416"/>
  <c r="CC277" i="3416"/>
  <c r="CB277" i="3416"/>
  <c r="CA277" i="3416"/>
  <c r="BZ277" i="3416"/>
  <c r="BY277" i="3416"/>
  <c r="BX277" i="3416"/>
  <c r="BW277" i="3416"/>
  <c r="BV277" i="3416"/>
  <c r="BU277" i="3416"/>
  <c r="BT277" i="3416"/>
  <c r="BS277" i="3416"/>
  <c r="BR277" i="3416"/>
  <c r="BQ277" i="3416"/>
  <c r="BP277" i="3416"/>
  <c r="BO277" i="3416"/>
  <c r="BN277" i="3416"/>
  <c r="BM277" i="3416"/>
  <c r="BL277" i="3416"/>
  <c r="BK277" i="3416"/>
  <c r="BJ277" i="3416"/>
  <c r="BI277" i="3416"/>
  <c r="BH277" i="3416"/>
  <c r="BG277" i="3416"/>
  <c r="BF277" i="3416"/>
  <c r="BE277" i="3416"/>
  <c r="BD277" i="3416"/>
  <c r="BC277" i="3416"/>
  <c r="BB277" i="3416"/>
  <c r="BA277" i="3416"/>
  <c r="AZ277" i="3416"/>
  <c r="AY277" i="3416"/>
  <c r="AX277" i="3416"/>
  <c r="AW277" i="3416"/>
  <c r="AV277" i="3416"/>
  <c r="AU277" i="3416"/>
  <c r="AT277" i="3416"/>
  <c r="AS277" i="3416"/>
  <c r="AR277" i="3416"/>
  <c r="AQ277" i="3416"/>
  <c r="AP277" i="3416"/>
  <c r="AO277" i="3416"/>
  <c r="AN277" i="3416"/>
  <c r="AM277" i="3416"/>
  <c r="AL277" i="3416"/>
  <c r="AK277" i="3416"/>
  <c r="AJ277" i="3416"/>
  <c r="AI277" i="3416"/>
  <c r="AH277" i="3416"/>
  <c r="AG277" i="3416"/>
  <c r="AF277" i="3416"/>
  <c r="AE277" i="3416"/>
  <c r="AD277" i="3416"/>
  <c r="AC277" i="3416"/>
  <c r="AB277" i="3416"/>
  <c r="AA277" i="3416"/>
  <c r="Z277" i="3416"/>
  <c r="Y277" i="3416"/>
  <c r="X277" i="3416"/>
  <c r="W277" i="3416"/>
  <c r="V277" i="3416"/>
  <c r="U277" i="3416"/>
  <c r="T277" i="3416"/>
  <c r="S277" i="3416"/>
  <c r="R277" i="3416"/>
  <c r="Q277" i="3416"/>
  <c r="P277" i="3416"/>
  <c r="O277" i="3416"/>
  <c r="N277" i="3416"/>
  <c r="M277" i="3416"/>
  <c r="L277" i="3416"/>
  <c r="K277" i="3416"/>
  <c r="J277" i="3416"/>
  <c r="I277" i="3416"/>
  <c r="H277" i="3416"/>
  <c r="G277" i="3416"/>
  <c r="F277" i="3416"/>
  <c r="E277" i="3416"/>
  <c r="D277" i="3416"/>
  <c r="C277" i="3416" a="1"/>
  <c r="C277" i="3416"/>
  <c r="A277" i="3416"/>
  <c r="EM276" i="3416"/>
  <c r="EL276" i="3416"/>
  <c r="EK276" i="3416"/>
  <c r="EJ276" i="3416"/>
  <c r="EI276" i="3416"/>
  <c r="EH276" i="3416"/>
  <c r="EG276" i="3416"/>
  <c r="EF276" i="3416"/>
  <c r="EE276" i="3416"/>
  <c r="ED276" i="3416"/>
  <c r="EC276" i="3416"/>
  <c r="EB276" i="3416"/>
  <c r="EA276" i="3416"/>
  <c r="DZ276" i="3416"/>
  <c r="DY276" i="3416"/>
  <c r="DX276" i="3416"/>
  <c r="DW276" i="3416"/>
  <c r="DV276" i="3416"/>
  <c r="DU276" i="3416"/>
  <c r="DT276" i="3416"/>
  <c r="DS276" i="3416"/>
  <c r="DR276" i="3416"/>
  <c r="DQ276" i="3416"/>
  <c r="DP276" i="3416"/>
  <c r="DO276" i="3416"/>
  <c r="DN276" i="3416"/>
  <c r="DM276" i="3416"/>
  <c r="DL276" i="3416"/>
  <c r="DK276" i="3416"/>
  <c r="DJ276" i="3416"/>
  <c r="DI276" i="3416"/>
  <c r="DH276" i="3416"/>
  <c r="DG276" i="3416"/>
  <c r="DF276" i="3416"/>
  <c r="DE276" i="3416"/>
  <c r="DD276" i="3416"/>
  <c r="DC276" i="3416"/>
  <c r="DB276" i="3416"/>
  <c r="DA276" i="3416"/>
  <c r="CZ276" i="3416"/>
  <c r="CY276" i="3416"/>
  <c r="CX276" i="3416"/>
  <c r="CW276" i="3416"/>
  <c r="CV276" i="3416"/>
  <c r="CU276" i="3416"/>
  <c r="CT276" i="3416"/>
  <c r="CS276" i="3416"/>
  <c r="CR276" i="3416"/>
  <c r="CQ276" i="3416"/>
  <c r="CP276" i="3416"/>
  <c r="CO276" i="3416"/>
  <c r="CN276" i="3416"/>
  <c r="CM276" i="3416"/>
  <c r="CL276" i="3416"/>
  <c r="CK276" i="3416"/>
  <c r="CJ276" i="3416"/>
  <c r="CI276" i="3416"/>
  <c r="CH276" i="3416"/>
  <c r="CG276" i="3416"/>
  <c r="CF276" i="3416"/>
  <c r="CE276" i="3416"/>
  <c r="CD276" i="3416"/>
  <c r="CC276" i="3416"/>
  <c r="CB276" i="3416"/>
  <c r="CA276" i="3416"/>
  <c r="BZ276" i="3416"/>
  <c r="BY276" i="3416"/>
  <c r="BX276" i="3416"/>
  <c r="BW276" i="3416"/>
  <c r="BV276" i="3416"/>
  <c r="BU276" i="3416"/>
  <c r="BT276" i="3416"/>
  <c r="BS276" i="3416"/>
  <c r="BR276" i="3416"/>
  <c r="BQ276" i="3416"/>
  <c r="BP276" i="3416"/>
  <c r="BO276" i="3416"/>
  <c r="BN276" i="3416"/>
  <c r="BM276" i="3416"/>
  <c r="BL276" i="3416"/>
  <c r="BK276" i="3416"/>
  <c r="BJ276" i="3416"/>
  <c r="BI276" i="3416"/>
  <c r="BH276" i="3416"/>
  <c r="BG276" i="3416"/>
  <c r="BF276" i="3416"/>
  <c r="BE276" i="3416"/>
  <c r="BD276" i="3416"/>
  <c r="BC276" i="3416"/>
  <c r="BB276" i="3416"/>
  <c r="BA276" i="3416"/>
  <c r="AZ276" i="3416"/>
  <c r="AY276" i="3416"/>
  <c r="AX276" i="3416"/>
  <c r="AW276" i="3416"/>
  <c r="AV276" i="3416"/>
  <c r="AU276" i="3416"/>
  <c r="AT276" i="3416"/>
  <c r="AS276" i="3416"/>
  <c r="AR276" i="3416"/>
  <c r="AQ276" i="3416"/>
  <c r="AP276" i="3416"/>
  <c r="AO276" i="3416"/>
  <c r="AN276" i="3416"/>
  <c r="AM276" i="3416"/>
  <c r="AL276" i="3416"/>
  <c r="AK276" i="3416"/>
  <c r="AJ276" i="3416"/>
  <c r="AI276" i="3416"/>
  <c r="AH276" i="3416"/>
  <c r="AG276" i="3416"/>
  <c r="AF276" i="3416"/>
  <c r="AE276" i="3416"/>
  <c r="AD276" i="3416"/>
  <c r="AC276" i="3416"/>
  <c r="AB276" i="3416"/>
  <c r="AA276" i="3416"/>
  <c r="Z276" i="3416"/>
  <c r="Y276" i="3416"/>
  <c r="X276" i="3416"/>
  <c r="W276" i="3416"/>
  <c r="V276" i="3416"/>
  <c r="U276" i="3416"/>
  <c r="T276" i="3416"/>
  <c r="S276" i="3416"/>
  <c r="R276" i="3416"/>
  <c r="Q276" i="3416"/>
  <c r="P276" i="3416"/>
  <c r="O276" i="3416"/>
  <c r="N276" i="3416"/>
  <c r="M276" i="3416"/>
  <c r="L276" i="3416"/>
  <c r="K276" i="3416"/>
  <c r="J276" i="3416"/>
  <c r="I276" i="3416"/>
  <c r="H276" i="3416"/>
  <c r="G276" i="3416"/>
  <c r="F276" i="3416"/>
  <c r="E276" i="3416"/>
  <c r="D276" i="3416"/>
  <c r="C276" i="3416" a="1"/>
  <c r="C276" i="3416"/>
  <c r="A276" i="3416"/>
  <c r="EM275" i="3416"/>
  <c r="EL275" i="3416"/>
  <c r="EK275" i="3416"/>
  <c r="EJ275" i="3416"/>
  <c r="EI275" i="3416"/>
  <c r="EH275" i="3416"/>
  <c r="EG275" i="3416"/>
  <c r="EF275" i="3416"/>
  <c r="EE275" i="3416"/>
  <c r="ED275" i="3416"/>
  <c r="EC275" i="3416"/>
  <c r="EB275" i="3416"/>
  <c r="EA275" i="3416"/>
  <c r="DZ275" i="3416"/>
  <c r="DY275" i="3416"/>
  <c r="DX275" i="3416"/>
  <c r="DW275" i="3416"/>
  <c r="DV275" i="3416"/>
  <c r="DU275" i="3416"/>
  <c r="DT275" i="3416"/>
  <c r="DS275" i="3416"/>
  <c r="DR275" i="3416"/>
  <c r="DQ275" i="3416"/>
  <c r="DP275" i="3416"/>
  <c r="DO275" i="3416"/>
  <c r="DN275" i="3416"/>
  <c r="DM275" i="3416"/>
  <c r="DL275" i="3416"/>
  <c r="DK275" i="3416"/>
  <c r="DJ275" i="3416"/>
  <c r="DI275" i="3416"/>
  <c r="DH275" i="3416"/>
  <c r="DG275" i="3416"/>
  <c r="DF275" i="3416"/>
  <c r="DE275" i="3416"/>
  <c r="DD275" i="3416"/>
  <c r="DC275" i="3416"/>
  <c r="DB275" i="3416"/>
  <c r="DA275" i="3416"/>
  <c r="CZ275" i="3416"/>
  <c r="CY275" i="3416"/>
  <c r="CX275" i="3416"/>
  <c r="CW275" i="3416"/>
  <c r="CV275" i="3416"/>
  <c r="CU275" i="3416"/>
  <c r="CT275" i="3416"/>
  <c r="CS275" i="3416"/>
  <c r="CR275" i="3416"/>
  <c r="CQ275" i="3416"/>
  <c r="CP275" i="3416"/>
  <c r="CO275" i="3416"/>
  <c r="CN275" i="3416"/>
  <c r="CM275" i="3416"/>
  <c r="CL275" i="3416"/>
  <c r="CK275" i="3416"/>
  <c r="CJ275" i="3416"/>
  <c r="CI275" i="3416"/>
  <c r="CH275" i="3416"/>
  <c r="CG275" i="3416"/>
  <c r="CF275" i="3416"/>
  <c r="CE275" i="3416"/>
  <c r="CD275" i="3416"/>
  <c r="CC275" i="3416"/>
  <c r="CB275" i="3416"/>
  <c r="CA275" i="3416"/>
  <c r="BZ275" i="3416"/>
  <c r="BY275" i="3416"/>
  <c r="BX275" i="3416"/>
  <c r="BW275" i="3416"/>
  <c r="BV275" i="3416"/>
  <c r="BU275" i="3416"/>
  <c r="BT275" i="3416"/>
  <c r="BS275" i="3416"/>
  <c r="BR275" i="3416"/>
  <c r="BQ275" i="3416"/>
  <c r="BP275" i="3416"/>
  <c r="BO275" i="3416"/>
  <c r="BN275" i="3416"/>
  <c r="BM275" i="3416"/>
  <c r="BL275" i="3416"/>
  <c r="BK275" i="3416"/>
  <c r="BJ275" i="3416"/>
  <c r="BI275" i="3416"/>
  <c r="BH275" i="3416"/>
  <c r="BG275" i="3416"/>
  <c r="BF275" i="3416"/>
  <c r="BE275" i="3416"/>
  <c r="BD275" i="3416"/>
  <c r="BC275" i="3416"/>
  <c r="BB275" i="3416"/>
  <c r="BA275" i="3416"/>
  <c r="AZ275" i="3416"/>
  <c r="AY275" i="3416"/>
  <c r="AX275" i="3416"/>
  <c r="AW275" i="3416"/>
  <c r="AV275" i="3416"/>
  <c r="AU275" i="3416"/>
  <c r="AT275" i="3416"/>
  <c r="AS275" i="3416"/>
  <c r="AR275" i="3416"/>
  <c r="AQ275" i="3416"/>
  <c r="AP275" i="3416"/>
  <c r="AO275" i="3416"/>
  <c r="AN275" i="3416"/>
  <c r="AM275" i="3416"/>
  <c r="AL275" i="3416"/>
  <c r="AK275" i="3416"/>
  <c r="AJ275" i="3416"/>
  <c r="AI275" i="3416"/>
  <c r="AH275" i="3416"/>
  <c r="AG275" i="3416"/>
  <c r="AF275" i="3416"/>
  <c r="AE275" i="3416"/>
  <c r="AD275" i="3416"/>
  <c r="AC275" i="3416"/>
  <c r="AB275" i="3416"/>
  <c r="AA275" i="3416"/>
  <c r="Z275" i="3416"/>
  <c r="Y275" i="3416"/>
  <c r="X275" i="3416"/>
  <c r="W275" i="3416"/>
  <c r="V275" i="3416"/>
  <c r="U275" i="3416"/>
  <c r="T275" i="3416"/>
  <c r="S275" i="3416"/>
  <c r="R275" i="3416"/>
  <c r="Q275" i="3416"/>
  <c r="P275" i="3416"/>
  <c r="O275" i="3416"/>
  <c r="N275" i="3416"/>
  <c r="M275" i="3416"/>
  <c r="L275" i="3416"/>
  <c r="K275" i="3416"/>
  <c r="J275" i="3416"/>
  <c r="I275" i="3416"/>
  <c r="H275" i="3416"/>
  <c r="G275" i="3416"/>
  <c r="F275" i="3416"/>
  <c r="E275" i="3416"/>
  <c r="D275" i="3416"/>
  <c r="C275" i="3416" a="1"/>
  <c r="C275" i="3416"/>
  <c r="A275" i="3416"/>
  <c r="EM274" i="3416"/>
  <c r="EL274" i="3416"/>
  <c r="EK274" i="3416"/>
  <c r="EJ274" i="3416"/>
  <c r="EI274" i="3416"/>
  <c r="EH274" i="3416"/>
  <c r="EG274" i="3416"/>
  <c r="EF274" i="3416"/>
  <c r="EE274" i="3416"/>
  <c r="ED274" i="3416"/>
  <c r="EC274" i="3416"/>
  <c r="EB274" i="3416"/>
  <c r="EA274" i="3416"/>
  <c r="DZ274" i="3416"/>
  <c r="DY274" i="3416"/>
  <c r="DX274" i="3416"/>
  <c r="DW274" i="3416"/>
  <c r="DV274" i="3416"/>
  <c r="DU274" i="3416"/>
  <c r="DT274" i="3416"/>
  <c r="DS274" i="3416"/>
  <c r="DR274" i="3416"/>
  <c r="DQ274" i="3416"/>
  <c r="DP274" i="3416"/>
  <c r="DO274" i="3416"/>
  <c r="DN274" i="3416"/>
  <c r="DM274" i="3416"/>
  <c r="DL274" i="3416"/>
  <c r="DK274" i="3416"/>
  <c r="DJ274" i="3416"/>
  <c r="DI274" i="3416"/>
  <c r="DH274" i="3416"/>
  <c r="DG274" i="3416"/>
  <c r="DF274" i="3416"/>
  <c r="DE274" i="3416"/>
  <c r="DD274" i="3416"/>
  <c r="DC274" i="3416"/>
  <c r="DB274" i="3416"/>
  <c r="DA274" i="3416"/>
  <c r="CZ274" i="3416"/>
  <c r="CY274" i="3416"/>
  <c r="CX274" i="3416"/>
  <c r="CW274" i="3416"/>
  <c r="CV274" i="3416"/>
  <c r="CU274" i="3416"/>
  <c r="CT274" i="3416"/>
  <c r="CS274" i="3416"/>
  <c r="CR274" i="3416"/>
  <c r="CQ274" i="3416"/>
  <c r="CP274" i="3416"/>
  <c r="CO274" i="3416"/>
  <c r="CN274" i="3416"/>
  <c r="CM274" i="3416"/>
  <c r="CL274" i="3416"/>
  <c r="CK274" i="3416"/>
  <c r="CJ274" i="3416"/>
  <c r="CI274" i="3416"/>
  <c r="CH274" i="3416"/>
  <c r="CG274" i="3416"/>
  <c r="CF274" i="3416"/>
  <c r="CE274" i="3416"/>
  <c r="CD274" i="3416"/>
  <c r="CC274" i="3416"/>
  <c r="CB274" i="3416"/>
  <c r="CA274" i="3416"/>
  <c r="BZ274" i="3416"/>
  <c r="BY274" i="3416"/>
  <c r="BX274" i="3416"/>
  <c r="BW274" i="3416"/>
  <c r="BV274" i="3416"/>
  <c r="BU274" i="3416"/>
  <c r="BT274" i="3416"/>
  <c r="BS274" i="3416"/>
  <c r="BR274" i="3416"/>
  <c r="BQ274" i="3416"/>
  <c r="BP274" i="3416"/>
  <c r="BO274" i="3416"/>
  <c r="BN274" i="3416"/>
  <c r="BM274" i="3416"/>
  <c r="BL274" i="3416"/>
  <c r="BK274" i="3416"/>
  <c r="BJ274" i="3416"/>
  <c r="BI274" i="3416"/>
  <c r="BH274" i="3416"/>
  <c r="BG274" i="3416"/>
  <c r="BF274" i="3416"/>
  <c r="BE274" i="3416"/>
  <c r="BD274" i="3416"/>
  <c r="BC274" i="3416"/>
  <c r="BB274" i="3416"/>
  <c r="BA274" i="3416"/>
  <c r="AZ274" i="3416"/>
  <c r="AY274" i="3416"/>
  <c r="AX274" i="3416"/>
  <c r="AW274" i="3416"/>
  <c r="AV274" i="3416"/>
  <c r="AU274" i="3416"/>
  <c r="AT274" i="3416"/>
  <c r="AS274" i="3416"/>
  <c r="AR274" i="3416"/>
  <c r="AQ274" i="3416"/>
  <c r="AP274" i="3416"/>
  <c r="AO274" i="3416"/>
  <c r="AN274" i="3416"/>
  <c r="AM274" i="3416"/>
  <c r="AL274" i="3416"/>
  <c r="AK274" i="3416"/>
  <c r="AJ274" i="3416"/>
  <c r="AI274" i="3416"/>
  <c r="AH274" i="3416"/>
  <c r="AG274" i="3416"/>
  <c r="AF274" i="3416"/>
  <c r="AE274" i="3416"/>
  <c r="AD274" i="3416"/>
  <c r="AC274" i="3416"/>
  <c r="AB274" i="3416"/>
  <c r="AA274" i="3416"/>
  <c r="Z274" i="3416"/>
  <c r="Y274" i="3416"/>
  <c r="X274" i="3416"/>
  <c r="W274" i="3416"/>
  <c r="V274" i="3416"/>
  <c r="U274" i="3416"/>
  <c r="T274" i="3416"/>
  <c r="S274" i="3416"/>
  <c r="R274" i="3416"/>
  <c r="Q274" i="3416"/>
  <c r="P274" i="3416"/>
  <c r="O274" i="3416"/>
  <c r="N274" i="3416"/>
  <c r="M274" i="3416"/>
  <c r="L274" i="3416"/>
  <c r="K274" i="3416"/>
  <c r="J274" i="3416"/>
  <c r="I274" i="3416"/>
  <c r="H274" i="3416"/>
  <c r="G274" i="3416"/>
  <c r="F274" i="3416"/>
  <c r="E274" i="3416"/>
  <c r="D274" i="3416"/>
  <c r="C274" i="3416" a="1"/>
  <c r="C274" i="3416"/>
  <c r="A274" i="3416"/>
  <c r="EM273" i="3416"/>
  <c r="EL273" i="3416"/>
  <c r="EK273" i="3416"/>
  <c r="EJ273" i="3416"/>
  <c r="EI273" i="3416"/>
  <c r="EH273" i="3416"/>
  <c r="EG273" i="3416"/>
  <c r="EF273" i="3416"/>
  <c r="EE273" i="3416"/>
  <c r="ED273" i="3416"/>
  <c r="EC273" i="3416"/>
  <c r="EB273" i="3416"/>
  <c r="EA273" i="3416"/>
  <c r="DZ273" i="3416"/>
  <c r="DY273" i="3416"/>
  <c r="DX273" i="3416"/>
  <c r="DW273" i="3416"/>
  <c r="DV273" i="3416"/>
  <c r="DU273" i="3416"/>
  <c r="DT273" i="3416"/>
  <c r="DS273" i="3416"/>
  <c r="DR273" i="3416"/>
  <c r="DQ273" i="3416"/>
  <c r="DP273" i="3416"/>
  <c r="DO273" i="3416"/>
  <c r="DN273" i="3416"/>
  <c r="DM273" i="3416"/>
  <c r="DL273" i="3416"/>
  <c r="DK273" i="3416"/>
  <c r="DJ273" i="3416"/>
  <c r="DI273" i="3416"/>
  <c r="DH273" i="3416"/>
  <c r="DG273" i="3416"/>
  <c r="DF273" i="3416"/>
  <c r="DE273" i="3416"/>
  <c r="DD273" i="3416"/>
  <c r="DC273" i="3416"/>
  <c r="DB273" i="3416"/>
  <c r="DA273" i="3416"/>
  <c r="CZ273" i="3416"/>
  <c r="CY273" i="3416"/>
  <c r="CX273" i="3416"/>
  <c r="CW273" i="3416"/>
  <c r="CV273" i="3416"/>
  <c r="CU273" i="3416"/>
  <c r="CT273" i="3416"/>
  <c r="CS273" i="3416"/>
  <c r="CR273" i="3416"/>
  <c r="CQ273" i="3416"/>
  <c r="CP273" i="3416"/>
  <c r="CO273" i="3416"/>
  <c r="CN273" i="3416"/>
  <c r="CM273" i="3416"/>
  <c r="CL273" i="3416"/>
  <c r="CK273" i="3416"/>
  <c r="CJ273" i="3416"/>
  <c r="CI273" i="3416"/>
  <c r="CH273" i="3416"/>
  <c r="CG273" i="3416"/>
  <c r="CF273" i="3416"/>
  <c r="CE273" i="3416"/>
  <c r="CD273" i="3416"/>
  <c r="CC273" i="3416"/>
  <c r="CB273" i="3416"/>
  <c r="CA273" i="3416"/>
  <c r="BZ273" i="3416"/>
  <c r="BY273" i="3416"/>
  <c r="BX273" i="3416"/>
  <c r="BW273" i="3416"/>
  <c r="BV273" i="3416"/>
  <c r="BU273" i="3416"/>
  <c r="BT273" i="3416"/>
  <c r="BS273" i="3416"/>
  <c r="BR273" i="3416"/>
  <c r="BQ273" i="3416"/>
  <c r="BP273" i="3416"/>
  <c r="BO273" i="3416"/>
  <c r="BN273" i="3416"/>
  <c r="BM273" i="3416"/>
  <c r="BL273" i="3416"/>
  <c r="BK273" i="3416"/>
  <c r="BJ273" i="3416"/>
  <c r="BI273" i="3416"/>
  <c r="BH273" i="3416"/>
  <c r="BG273" i="3416"/>
  <c r="BF273" i="3416"/>
  <c r="BE273" i="3416"/>
  <c r="BD273" i="3416"/>
  <c r="BC273" i="3416"/>
  <c r="BB273" i="3416"/>
  <c r="BA273" i="3416"/>
  <c r="AZ273" i="3416"/>
  <c r="AY273" i="3416"/>
  <c r="AX273" i="3416"/>
  <c r="AW273" i="3416"/>
  <c r="AV273" i="3416"/>
  <c r="AU273" i="3416"/>
  <c r="AT273" i="3416"/>
  <c r="AS273" i="3416"/>
  <c r="AR273" i="3416"/>
  <c r="AQ273" i="3416"/>
  <c r="AP273" i="3416"/>
  <c r="AO273" i="3416"/>
  <c r="AN273" i="3416"/>
  <c r="AM273" i="3416"/>
  <c r="AL273" i="3416"/>
  <c r="AK273" i="3416"/>
  <c r="AJ273" i="3416"/>
  <c r="AI273" i="3416"/>
  <c r="AH273" i="3416"/>
  <c r="AG273" i="3416"/>
  <c r="AF273" i="3416"/>
  <c r="AE273" i="3416"/>
  <c r="AD273" i="3416"/>
  <c r="AC273" i="3416"/>
  <c r="AB273" i="3416"/>
  <c r="AA273" i="3416"/>
  <c r="Z273" i="3416"/>
  <c r="Y273" i="3416"/>
  <c r="X273" i="3416"/>
  <c r="W273" i="3416"/>
  <c r="V273" i="3416"/>
  <c r="U273" i="3416"/>
  <c r="T273" i="3416"/>
  <c r="S273" i="3416"/>
  <c r="R273" i="3416"/>
  <c r="Q273" i="3416"/>
  <c r="P273" i="3416"/>
  <c r="O273" i="3416"/>
  <c r="N273" i="3416"/>
  <c r="M273" i="3416"/>
  <c r="L273" i="3416"/>
  <c r="K273" i="3416"/>
  <c r="J273" i="3416"/>
  <c r="I273" i="3416"/>
  <c r="H273" i="3416"/>
  <c r="G273" i="3416"/>
  <c r="F273" i="3416"/>
  <c r="E273" i="3416"/>
  <c r="D273" i="3416"/>
  <c r="C273" i="3416" a="1"/>
  <c r="C273" i="3416"/>
  <c r="A273" i="3416"/>
  <c r="EM272" i="3416"/>
  <c r="EL272" i="3416"/>
  <c r="EK272" i="3416"/>
  <c r="EJ272" i="3416"/>
  <c r="EI272" i="3416"/>
  <c r="EH272" i="3416"/>
  <c r="EG272" i="3416"/>
  <c r="EF272" i="3416"/>
  <c r="EE272" i="3416"/>
  <c r="ED272" i="3416"/>
  <c r="EC272" i="3416"/>
  <c r="EB272" i="3416"/>
  <c r="EA272" i="3416"/>
  <c r="DZ272" i="3416"/>
  <c r="DY272" i="3416"/>
  <c r="DX272" i="3416"/>
  <c r="DW272" i="3416"/>
  <c r="DV272" i="3416"/>
  <c r="DU272" i="3416"/>
  <c r="DT272" i="3416"/>
  <c r="DS272" i="3416"/>
  <c r="DR272" i="3416"/>
  <c r="DQ272" i="3416"/>
  <c r="DP272" i="3416"/>
  <c r="DO272" i="3416"/>
  <c r="DN272" i="3416"/>
  <c r="DM272" i="3416"/>
  <c r="DL272" i="3416"/>
  <c r="DK272" i="3416"/>
  <c r="DJ272" i="3416"/>
  <c r="DI272" i="3416"/>
  <c r="DH272" i="3416"/>
  <c r="DG272" i="3416"/>
  <c r="DF272" i="3416"/>
  <c r="DE272" i="3416"/>
  <c r="DD272" i="3416"/>
  <c r="DC272" i="3416"/>
  <c r="DB272" i="3416"/>
  <c r="DA272" i="3416"/>
  <c r="CZ272" i="3416"/>
  <c r="CY272" i="3416"/>
  <c r="CX272" i="3416"/>
  <c r="CW272" i="3416"/>
  <c r="CV272" i="3416"/>
  <c r="CU272" i="3416"/>
  <c r="CT272" i="3416"/>
  <c r="CS272" i="3416"/>
  <c r="CR272" i="3416"/>
  <c r="CQ272" i="3416"/>
  <c r="CP272" i="3416"/>
  <c r="CO272" i="3416"/>
  <c r="CN272" i="3416"/>
  <c r="CM272" i="3416"/>
  <c r="CL272" i="3416"/>
  <c r="CK272" i="3416"/>
  <c r="CJ272" i="3416"/>
  <c r="CI272" i="3416"/>
  <c r="CH272" i="3416"/>
  <c r="CG272" i="3416"/>
  <c r="CF272" i="3416"/>
  <c r="CE272" i="3416"/>
  <c r="CD272" i="3416"/>
  <c r="CC272" i="3416"/>
  <c r="CB272" i="3416"/>
  <c r="CA272" i="3416"/>
  <c r="BZ272" i="3416"/>
  <c r="BY272" i="3416"/>
  <c r="BX272" i="3416"/>
  <c r="BW272" i="3416"/>
  <c r="BV272" i="3416"/>
  <c r="BU272" i="3416"/>
  <c r="BT272" i="3416"/>
  <c r="BS272" i="3416"/>
  <c r="BR272" i="3416"/>
  <c r="BQ272" i="3416"/>
  <c r="BP272" i="3416"/>
  <c r="BO272" i="3416"/>
  <c r="BN272" i="3416"/>
  <c r="BM272" i="3416"/>
  <c r="BL272" i="3416"/>
  <c r="BK272" i="3416"/>
  <c r="BJ272" i="3416"/>
  <c r="BI272" i="3416"/>
  <c r="BH272" i="3416"/>
  <c r="BG272" i="3416"/>
  <c r="BF272" i="3416"/>
  <c r="BE272" i="3416"/>
  <c r="BD272" i="3416"/>
  <c r="BC272" i="3416"/>
  <c r="BB272" i="3416"/>
  <c r="BA272" i="3416"/>
  <c r="AZ272" i="3416"/>
  <c r="AY272" i="3416"/>
  <c r="AX272" i="3416"/>
  <c r="AW272" i="3416"/>
  <c r="AV272" i="3416"/>
  <c r="AU272" i="3416"/>
  <c r="AT272" i="3416"/>
  <c r="AS272" i="3416"/>
  <c r="AR272" i="3416"/>
  <c r="AQ272" i="3416"/>
  <c r="AP272" i="3416"/>
  <c r="AO272" i="3416"/>
  <c r="AN272" i="3416"/>
  <c r="AM272" i="3416"/>
  <c r="AL272" i="3416"/>
  <c r="AK272" i="3416"/>
  <c r="AJ272" i="3416"/>
  <c r="AI272" i="3416"/>
  <c r="AH272" i="3416"/>
  <c r="AG272" i="3416"/>
  <c r="AF272" i="3416"/>
  <c r="AE272" i="3416"/>
  <c r="AD272" i="3416"/>
  <c r="AC272" i="3416"/>
  <c r="AB272" i="3416"/>
  <c r="AA272" i="3416"/>
  <c r="Z272" i="3416"/>
  <c r="Y272" i="3416"/>
  <c r="X272" i="3416"/>
  <c r="W272" i="3416"/>
  <c r="V272" i="3416"/>
  <c r="U272" i="3416"/>
  <c r="T272" i="3416"/>
  <c r="S272" i="3416"/>
  <c r="R272" i="3416"/>
  <c r="Q272" i="3416"/>
  <c r="P272" i="3416"/>
  <c r="O272" i="3416"/>
  <c r="N272" i="3416"/>
  <c r="M272" i="3416"/>
  <c r="L272" i="3416"/>
  <c r="K272" i="3416"/>
  <c r="J272" i="3416"/>
  <c r="I272" i="3416"/>
  <c r="H272" i="3416"/>
  <c r="G272" i="3416"/>
  <c r="F272" i="3416"/>
  <c r="E272" i="3416"/>
  <c r="D272" i="3416"/>
  <c r="C272" i="3416" a="1"/>
  <c r="C272" i="3416"/>
  <c r="A272" i="3416"/>
  <c r="EM271" i="3416"/>
  <c r="EL271" i="3416"/>
  <c r="EK271" i="3416"/>
  <c r="EJ271" i="3416"/>
  <c r="EI271" i="3416"/>
  <c r="EH271" i="3416"/>
  <c r="EG271" i="3416"/>
  <c r="EF271" i="3416"/>
  <c r="EE271" i="3416"/>
  <c r="ED271" i="3416"/>
  <c r="EC271" i="3416"/>
  <c r="EB271" i="3416"/>
  <c r="EA271" i="3416"/>
  <c r="DZ271" i="3416"/>
  <c r="DY271" i="3416"/>
  <c r="DX271" i="3416"/>
  <c r="DW271" i="3416"/>
  <c r="DV271" i="3416"/>
  <c r="DU271" i="3416"/>
  <c r="DT271" i="3416"/>
  <c r="DS271" i="3416"/>
  <c r="DR271" i="3416"/>
  <c r="DQ271" i="3416"/>
  <c r="DP271" i="3416"/>
  <c r="DO271" i="3416"/>
  <c r="DN271" i="3416"/>
  <c r="DM271" i="3416"/>
  <c r="DL271" i="3416"/>
  <c r="DK271" i="3416"/>
  <c r="DJ271" i="3416"/>
  <c r="DI271" i="3416"/>
  <c r="DH271" i="3416"/>
  <c r="DG271" i="3416"/>
  <c r="DF271" i="3416"/>
  <c r="DE271" i="3416"/>
  <c r="DD271" i="3416"/>
  <c r="DC271" i="3416"/>
  <c r="DB271" i="3416"/>
  <c r="DA271" i="3416"/>
  <c r="CZ271" i="3416"/>
  <c r="CY271" i="3416"/>
  <c r="CX271" i="3416"/>
  <c r="CW271" i="3416"/>
  <c r="CV271" i="3416"/>
  <c r="CU271" i="3416"/>
  <c r="CT271" i="3416"/>
  <c r="CS271" i="3416"/>
  <c r="CR271" i="3416"/>
  <c r="CQ271" i="3416"/>
  <c r="CP271" i="3416"/>
  <c r="CO271" i="3416"/>
  <c r="CN271" i="3416"/>
  <c r="CM271" i="3416"/>
  <c r="CL271" i="3416"/>
  <c r="CK271" i="3416"/>
  <c r="CJ271" i="3416"/>
  <c r="CI271" i="3416"/>
  <c r="CH271" i="3416"/>
  <c r="CG271" i="3416"/>
  <c r="CF271" i="3416"/>
  <c r="CE271" i="3416"/>
  <c r="CD271" i="3416"/>
  <c r="CC271" i="3416"/>
  <c r="CB271" i="3416"/>
  <c r="CA271" i="3416"/>
  <c r="BZ271" i="3416"/>
  <c r="BY271" i="3416"/>
  <c r="BX271" i="3416"/>
  <c r="BW271" i="3416"/>
  <c r="BV271" i="3416"/>
  <c r="BU271" i="3416"/>
  <c r="BT271" i="3416"/>
  <c r="BS271" i="3416"/>
  <c r="BR271" i="3416"/>
  <c r="BQ271" i="3416"/>
  <c r="BP271" i="3416"/>
  <c r="BO271" i="3416"/>
  <c r="BN271" i="3416"/>
  <c r="BM271" i="3416"/>
  <c r="BL271" i="3416"/>
  <c r="BK271" i="3416"/>
  <c r="BJ271" i="3416"/>
  <c r="BI271" i="3416"/>
  <c r="BH271" i="3416"/>
  <c r="BG271" i="3416"/>
  <c r="BF271" i="3416"/>
  <c r="BE271" i="3416"/>
  <c r="BD271" i="3416"/>
  <c r="BC271" i="3416"/>
  <c r="BB271" i="3416"/>
  <c r="BA271" i="3416"/>
  <c r="AZ271" i="3416"/>
  <c r="AY271" i="3416"/>
  <c r="AX271" i="3416"/>
  <c r="AW271" i="3416"/>
  <c r="AV271" i="3416"/>
  <c r="AU271" i="3416"/>
  <c r="AT271" i="3416"/>
  <c r="AS271" i="3416"/>
  <c r="AR271" i="3416"/>
  <c r="AQ271" i="3416"/>
  <c r="AP271" i="3416"/>
  <c r="AO271" i="3416"/>
  <c r="AN271" i="3416"/>
  <c r="AM271" i="3416"/>
  <c r="AL271" i="3416"/>
  <c r="AK271" i="3416"/>
  <c r="AJ271" i="3416"/>
  <c r="AI271" i="3416"/>
  <c r="AH271" i="3416"/>
  <c r="AG271" i="3416"/>
  <c r="AF271" i="3416"/>
  <c r="AE271" i="3416"/>
  <c r="AD271" i="3416"/>
  <c r="AC271" i="3416"/>
  <c r="AB271" i="3416"/>
  <c r="AA271" i="3416"/>
  <c r="Z271" i="3416"/>
  <c r="Y271" i="3416"/>
  <c r="X271" i="3416"/>
  <c r="W271" i="3416"/>
  <c r="V271" i="3416"/>
  <c r="U271" i="3416"/>
  <c r="T271" i="3416"/>
  <c r="S271" i="3416"/>
  <c r="R271" i="3416"/>
  <c r="Q271" i="3416"/>
  <c r="P271" i="3416"/>
  <c r="O271" i="3416"/>
  <c r="N271" i="3416"/>
  <c r="M271" i="3416"/>
  <c r="L271" i="3416"/>
  <c r="K271" i="3416"/>
  <c r="J271" i="3416"/>
  <c r="I271" i="3416"/>
  <c r="H271" i="3416"/>
  <c r="G271" i="3416"/>
  <c r="F271" i="3416"/>
  <c r="E271" i="3416"/>
  <c r="D271" i="3416"/>
  <c r="C271" i="3416" a="1"/>
  <c r="C271" i="3416"/>
  <c r="A271" i="3416"/>
  <c r="EM270" i="3416"/>
  <c r="EL270" i="3416"/>
  <c r="EK270" i="3416"/>
  <c r="EJ270" i="3416"/>
  <c r="EI270" i="3416"/>
  <c r="EH270" i="3416"/>
  <c r="EG270" i="3416"/>
  <c r="EF270" i="3416"/>
  <c r="EE270" i="3416"/>
  <c r="ED270" i="3416"/>
  <c r="EC270" i="3416"/>
  <c r="EB270" i="3416"/>
  <c r="EA270" i="3416"/>
  <c r="DZ270" i="3416"/>
  <c r="DY270" i="3416"/>
  <c r="DX270" i="3416"/>
  <c r="DW270" i="3416"/>
  <c r="DV270" i="3416"/>
  <c r="DU270" i="3416"/>
  <c r="DT270" i="3416"/>
  <c r="DS270" i="3416"/>
  <c r="DR270" i="3416"/>
  <c r="DQ270" i="3416"/>
  <c r="DP270" i="3416"/>
  <c r="DO270" i="3416"/>
  <c r="DN270" i="3416"/>
  <c r="DM270" i="3416"/>
  <c r="DL270" i="3416"/>
  <c r="DK270" i="3416"/>
  <c r="DJ270" i="3416"/>
  <c r="DI270" i="3416"/>
  <c r="DH270" i="3416"/>
  <c r="DG270" i="3416"/>
  <c r="DF270" i="3416"/>
  <c r="DE270" i="3416"/>
  <c r="DD270" i="3416"/>
  <c r="DC270" i="3416"/>
  <c r="DB270" i="3416"/>
  <c r="DA270" i="3416"/>
  <c r="CZ270" i="3416"/>
  <c r="CY270" i="3416"/>
  <c r="CX270" i="3416"/>
  <c r="CW270" i="3416"/>
  <c r="CV270" i="3416"/>
  <c r="CU270" i="3416"/>
  <c r="CT270" i="3416"/>
  <c r="CS270" i="3416"/>
  <c r="CR270" i="3416"/>
  <c r="CQ270" i="3416"/>
  <c r="CP270" i="3416"/>
  <c r="CO270" i="3416"/>
  <c r="CN270" i="3416"/>
  <c r="CM270" i="3416"/>
  <c r="CL270" i="3416"/>
  <c r="CK270" i="3416"/>
  <c r="CJ270" i="3416"/>
  <c r="CI270" i="3416"/>
  <c r="CH270" i="3416"/>
  <c r="CG270" i="3416"/>
  <c r="CF270" i="3416"/>
  <c r="CE270" i="3416"/>
  <c r="CD270" i="3416"/>
  <c r="CC270" i="3416"/>
  <c r="CB270" i="3416"/>
  <c r="CA270" i="3416"/>
  <c r="BZ270" i="3416"/>
  <c r="BY270" i="3416"/>
  <c r="BX270" i="3416"/>
  <c r="BW270" i="3416"/>
  <c r="BV270" i="3416"/>
  <c r="BU270" i="3416"/>
  <c r="BT270" i="3416"/>
  <c r="BS270" i="3416"/>
  <c r="BR270" i="3416"/>
  <c r="BQ270" i="3416"/>
  <c r="BP270" i="3416"/>
  <c r="BO270" i="3416"/>
  <c r="BN270" i="3416"/>
  <c r="BM270" i="3416"/>
  <c r="BL270" i="3416"/>
  <c r="BK270" i="3416"/>
  <c r="BJ270" i="3416"/>
  <c r="BI270" i="3416"/>
  <c r="BH270" i="3416"/>
  <c r="BG270" i="3416"/>
  <c r="BF270" i="3416"/>
  <c r="BE270" i="3416"/>
  <c r="BD270" i="3416"/>
  <c r="BC270" i="3416"/>
  <c r="BB270" i="3416"/>
  <c r="BA270" i="3416"/>
  <c r="AZ270" i="3416"/>
  <c r="AY270" i="3416"/>
  <c r="AX270" i="3416"/>
  <c r="AW270" i="3416"/>
  <c r="AV270" i="3416"/>
  <c r="AU270" i="3416"/>
  <c r="AT270" i="3416"/>
  <c r="AS270" i="3416"/>
  <c r="AR270" i="3416"/>
  <c r="AQ270" i="3416"/>
  <c r="AP270" i="3416"/>
  <c r="AO270" i="3416"/>
  <c r="AN270" i="3416"/>
  <c r="AM270" i="3416"/>
  <c r="AL270" i="3416"/>
  <c r="AK270" i="3416"/>
  <c r="AJ270" i="3416"/>
  <c r="AI270" i="3416"/>
  <c r="AH270" i="3416"/>
  <c r="AG270" i="3416"/>
  <c r="AF270" i="3416"/>
  <c r="AE270" i="3416"/>
  <c r="AD270" i="3416"/>
  <c r="AC270" i="3416"/>
  <c r="AB270" i="3416"/>
  <c r="AA270" i="3416"/>
  <c r="Z270" i="3416"/>
  <c r="Y270" i="3416"/>
  <c r="X270" i="3416"/>
  <c r="W270" i="3416"/>
  <c r="V270" i="3416"/>
  <c r="U270" i="3416"/>
  <c r="T270" i="3416"/>
  <c r="S270" i="3416"/>
  <c r="R270" i="3416"/>
  <c r="Q270" i="3416"/>
  <c r="P270" i="3416"/>
  <c r="O270" i="3416"/>
  <c r="N270" i="3416"/>
  <c r="M270" i="3416"/>
  <c r="L270" i="3416"/>
  <c r="K270" i="3416"/>
  <c r="J270" i="3416"/>
  <c r="I270" i="3416"/>
  <c r="H270" i="3416"/>
  <c r="G270" i="3416"/>
  <c r="F270" i="3416"/>
  <c r="E270" i="3416"/>
  <c r="D270" i="3416"/>
  <c r="C270" i="3416" a="1"/>
  <c r="C270" i="3416"/>
  <c r="A270" i="3416"/>
  <c r="EM269" i="3416"/>
  <c r="EL269" i="3416"/>
  <c r="EK269" i="3416"/>
  <c r="EJ269" i="3416"/>
  <c r="EI269" i="3416"/>
  <c r="EH269" i="3416"/>
  <c r="EG269" i="3416"/>
  <c r="EF269" i="3416"/>
  <c r="EE269" i="3416"/>
  <c r="ED269" i="3416"/>
  <c r="EC269" i="3416"/>
  <c r="EB269" i="3416"/>
  <c r="EA269" i="3416"/>
  <c r="DZ269" i="3416"/>
  <c r="DY269" i="3416"/>
  <c r="DX269" i="3416"/>
  <c r="DW269" i="3416"/>
  <c r="DV269" i="3416"/>
  <c r="DU269" i="3416"/>
  <c r="DT269" i="3416"/>
  <c r="DS269" i="3416"/>
  <c r="DR269" i="3416"/>
  <c r="DQ269" i="3416"/>
  <c r="DP269" i="3416"/>
  <c r="DO269" i="3416"/>
  <c r="DN269" i="3416"/>
  <c r="DM269" i="3416"/>
  <c r="DL269" i="3416"/>
  <c r="DK269" i="3416"/>
  <c r="DJ269" i="3416"/>
  <c r="DI269" i="3416"/>
  <c r="DH269" i="3416"/>
  <c r="DG269" i="3416"/>
  <c r="DF269" i="3416"/>
  <c r="DE269" i="3416"/>
  <c r="DD269" i="3416"/>
  <c r="DC269" i="3416"/>
  <c r="DB269" i="3416"/>
  <c r="DA269" i="3416"/>
  <c r="CZ269" i="3416"/>
  <c r="CY269" i="3416"/>
  <c r="CX269" i="3416"/>
  <c r="CW269" i="3416"/>
  <c r="CV269" i="3416"/>
  <c r="CU269" i="3416"/>
  <c r="CT269" i="3416"/>
  <c r="CS269" i="3416"/>
  <c r="CR269" i="3416"/>
  <c r="CQ269" i="3416"/>
  <c r="CP269" i="3416"/>
  <c r="CO269" i="3416"/>
  <c r="CN269" i="3416"/>
  <c r="CM269" i="3416"/>
  <c r="CL269" i="3416"/>
  <c r="CK269" i="3416"/>
  <c r="CJ269" i="3416"/>
  <c r="CI269" i="3416"/>
  <c r="CH269" i="3416"/>
  <c r="CG269" i="3416"/>
  <c r="CF269" i="3416"/>
  <c r="CE269" i="3416"/>
  <c r="CD269" i="3416"/>
  <c r="CC269" i="3416"/>
  <c r="CB269" i="3416"/>
  <c r="CA269" i="3416"/>
  <c r="BZ269" i="3416"/>
  <c r="BY269" i="3416"/>
  <c r="BX269" i="3416"/>
  <c r="BW269" i="3416"/>
  <c r="BV269" i="3416"/>
  <c r="BU269" i="3416"/>
  <c r="BT269" i="3416"/>
  <c r="BS269" i="3416"/>
  <c r="BR269" i="3416"/>
  <c r="BQ269" i="3416"/>
  <c r="BP269" i="3416"/>
  <c r="BO269" i="3416"/>
  <c r="BN269" i="3416"/>
  <c r="BM269" i="3416"/>
  <c r="BL269" i="3416"/>
  <c r="BK269" i="3416"/>
  <c r="BJ269" i="3416"/>
  <c r="BI269" i="3416"/>
  <c r="BH269" i="3416"/>
  <c r="BG269" i="3416"/>
  <c r="BF269" i="3416"/>
  <c r="BE269" i="3416"/>
  <c r="BD269" i="3416"/>
  <c r="BC269" i="3416"/>
  <c r="BB269" i="3416"/>
  <c r="BA269" i="3416"/>
  <c r="AZ269" i="3416"/>
  <c r="AY269" i="3416"/>
  <c r="AX269" i="3416"/>
  <c r="AW269" i="3416"/>
  <c r="AV269" i="3416"/>
  <c r="AU269" i="3416"/>
  <c r="AT269" i="3416"/>
  <c r="AS269" i="3416"/>
  <c r="AR269" i="3416"/>
  <c r="AQ269" i="3416"/>
  <c r="AP269" i="3416"/>
  <c r="AO269" i="3416"/>
  <c r="AN269" i="3416"/>
  <c r="AM269" i="3416"/>
  <c r="AL269" i="3416"/>
  <c r="AK269" i="3416"/>
  <c r="AJ269" i="3416"/>
  <c r="AI269" i="3416"/>
  <c r="AH269" i="3416"/>
  <c r="AG269" i="3416"/>
  <c r="AF269" i="3416"/>
  <c r="AE269" i="3416"/>
  <c r="AD269" i="3416"/>
  <c r="AC269" i="3416"/>
  <c r="AB269" i="3416"/>
  <c r="AA269" i="3416"/>
  <c r="Z269" i="3416"/>
  <c r="Y269" i="3416"/>
  <c r="X269" i="3416"/>
  <c r="W269" i="3416"/>
  <c r="V269" i="3416"/>
  <c r="U269" i="3416"/>
  <c r="T269" i="3416"/>
  <c r="S269" i="3416"/>
  <c r="R269" i="3416"/>
  <c r="Q269" i="3416"/>
  <c r="P269" i="3416"/>
  <c r="O269" i="3416"/>
  <c r="N269" i="3416"/>
  <c r="M269" i="3416"/>
  <c r="L269" i="3416"/>
  <c r="K269" i="3416"/>
  <c r="J269" i="3416"/>
  <c r="I269" i="3416"/>
  <c r="H269" i="3416"/>
  <c r="G269" i="3416"/>
  <c r="F269" i="3416"/>
  <c r="E269" i="3416"/>
  <c r="D269" i="3416"/>
  <c r="C269" i="3416" a="1"/>
  <c r="C269" i="3416"/>
  <c r="A269" i="3416"/>
  <c r="EM268" i="3416"/>
  <c r="EL268" i="3416"/>
  <c r="EK268" i="3416"/>
  <c r="EJ268" i="3416"/>
  <c r="EI268" i="3416"/>
  <c r="EH268" i="3416"/>
  <c r="EG268" i="3416"/>
  <c r="EF268" i="3416"/>
  <c r="EE268" i="3416"/>
  <c r="ED268" i="3416"/>
  <c r="EC268" i="3416"/>
  <c r="EB268" i="3416"/>
  <c r="EA268" i="3416"/>
  <c r="DZ268" i="3416"/>
  <c r="DY268" i="3416"/>
  <c r="DX268" i="3416"/>
  <c r="DW268" i="3416"/>
  <c r="DV268" i="3416"/>
  <c r="DU268" i="3416"/>
  <c r="DT268" i="3416"/>
  <c r="DS268" i="3416"/>
  <c r="DR268" i="3416"/>
  <c r="DQ268" i="3416"/>
  <c r="DP268" i="3416"/>
  <c r="DO268" i="3416"/>
  <c r="DN268" i="3416"/>
  <c r="DM268" i="3416"/>
  <c r="DL268" i="3416"/>
  <c r="DK268" i="3416"/>
  <c r="DJ268" i="3416"/>
  <c r="DI268" i="3416"/>
  <c r="DH268" i="3416"/>
  <c r="DG268" i="3416"/>
  <c r="DF268" i="3416"/>
  <c r="DE268" i="3416"/>
  <c r="DD268" i="3416"/>
  <c r="DC268" i="3416"/>
  <c r="DB268" i="3416"/>
  <c r="DA268" i="3416"/>
  <c r="CZ268" i="3416"/>
  <c r="CY268" i="3416"/>
  <c r="CX268" i="3416"/>
  <c r="CW268" i="3416"/>
  <c r="CV268" i="3416"/>
  <c r="CU268" i="3416"/>
  <c r="CT268" i="3416"/>
  <c r="CS268" i="3416"/>
  <c r="CR268" i="3416"/>
  <c r="CQ268" i="3416"/>
  <c r="CP268" i="3416"/>
  <c r="CO268" i="3416"/>
  <c r="CN268" i="3416"/>
  <c r="CM268" i="3416"/>
  <c r="CL268" i="3416"/>
  <c r="CK268" i="3416"/>
  <c r="CJ268" i="3416"/>
  <c r="CI268" i="3416"/>
  <c r="CH268" i="3416"/>
  <c r="CG268" i="3416"/>
  <c r="CF268" i="3416"/>
  <c r="CE268" i="3416"/>
  <c r="CD268" i="3416"/>
  <c r="CC268" i="3416"/>
  <c r="CB268" i="3416"/>
  <c r="CA268" i="3416"/>
  <c r="BZ268" i="3416"/>
  <c r="BY268" i="3416"/>
  <c r="BX268" i="3416"/>
  <c r="BW268" i="3416"/>
  <c r="BV268" i="3416"/>
  <c r="BU268" i="3416"/>
  <c r="BT268" i="3416"/>
  <c r="BS268" i="3416"/>
  <c r="BR268" i="3416"/>
  <c r="BQ268" i="3416"/>
  <c r="BP268" i="3416"/>
  <c r="BO268" i="3416"/>
  <c r="BN268" i="3416"/>
  <c r="BM268" i="3416"/>
  <c r="BL268" i="3416"/>
  <c r="BK268" i="3416"/>
  <c r="BJ268" i="3416"/>
  <c r="BI268" i="3416"/>
  <c r="BH268" i="3416"/>
  <c r="BG268" i="3416"/>
  <c r="BF268" i="3416"/>
  <c r="BE268" i="3416"/>
  <c r="BD268" i="3416"/>
  <c r="BC268" i="3416"/>
  <c r="BB268" i="3416"/>
  <c r="BA268" i="3416"/>
  <c r="AZ268" i="3416"/>
  <c r="AY268" i="3416"/>
  <c r="AX268" i="3416"/>
  <c r="AW268" i="3416"/>
  <c r="AV268" i="3416"/>
  <c r="AU268" i="3416"/>
  <c r="AT268" i="3416"/>
  <c r="AS268" i="3416"/>
  <c r="AR268" i="3416"/>
  <c r="AQ268" i="3416"/>
  <c r="AP268" i="3416"/>
  <c r="AO268" i="3416"/>
  <c r="AN268" i="3416"/>
  <c r="AM268" i="3416"/>
  <c r="AL268" i="3416"/>
  <c r="AK268" i="3416"/>
  <c r="AJ268" i="3416"/>
  <c r="AI268" i="3416"/>
  <c r="AH268" i="3416"/>
  <c r="AG268" i="3416"/>
  <c r="AF268" i="3416"/>
  <c r="AE268" i="3416"/>
  <c r="AD268" i="3416"/>
  <c r="AC268" i="3416"/>
  <c r="AB268" i="3416"/>
  <c r="AA268" i="3416"/>
  <c r="Z268" i="3416"/>
  <c r="Y268" i="3416"/>
  <c r="X268" i="3416"/>
  <c r="W268" i="3416"/>
  <c r="V268" i="3416"/>
  <c r="U268" i="3416"/>
  <c r="T268" i="3416"/>
  <c r="S268" i="3416"/>
  <c r="R268" i="3416"/>
  <c r="Q268" i="3416"/>
  <c r="P268" i="3416"/>
  <c r="O268" i="3416"/>
  <c r="N268" i="3416"/>
  <c r="M268" i="3416"/>
  <c r="L268" i="3416"/>
  <c r="K268" i="3416"/>
  <c r="J268" i="3416"/>
  <c r="I268" i="3416"/>
  <c r="H268" i="3416"/>
  <c r="G268" i="3416"/>
  <c r="F268" i="3416"/>
  <c r="E268" i="3416"/>
  <c r="D268" i="3416"/>
  <c r="C268" i="3416" a="1"/>
  <c r="C268" i="3416"/>
  <c r="A268" i="3416"/>
  <c r="EM267" i="3416"/>
  <c r="EL267" i="3416"/>
  <c r="EK267" i="3416"/>
  <c r="EJ267" i="3416"/>
  <c r="EI267" i="3416"/>
  <c r="EH267" i="3416"/>
  <c r="EG267" i="3416"/>
  <c r="EF267" i="3416"/>
  <c r="EE267" i="3416"/>
  <c r="ED267" i="3416"/>
  <c r="EC267" i="3416"/>
  <c r="EB267" i="3416"/>
  <c r="EA267" i="3416"/>
  <c r="DZ267" i="3416"/>
  <c r="DY267" i="3416"/>
  <c r="DX267" i="3416"/>
  <c r="DW267" i="3416"/>
  <c r="DV267" i="3416"/>
  <c r="DU267" i="3416"/>
  <c r="DT267" i="3416"/>
  <c r="DS267" i="3416"/>
  <c r="DR267" i="3416"/>
  <c r="DQ267" i="3416"/>
  <c r="DP267" i="3416"/>
  <c r="DO267" i="3416"/>
  <c r="DN267" i="3416"/>
  <c r="DM267" i="3416"/>
  <c r="DL267" i="3416"/>
  <c r="DK267" i="3416"/>
  <c r="DJ267" i="3416"/>
  <c r="DI267" i="3416"/>
  <c r="DH267" i="3416"/>
  <c r="DG267" i="3416"/>
  <c r="DF267" i="3416"/>
  <c r="DE267" i="3416"/>
  <c r="DD267" i="3416"/>
  <c r="DC267" i="3416"/>
  <c r="DB267" i="3416"/>
  <c r="DA267" i="3416"/>
  <c r="CZ267" i="3416"/>
  <c r="CY267" i="3416"/>
  <c r="CX267" i="3416"/>
  <c r="CW267" i="3416"/>
  <c r="CV267" i="3416"/>
  <c r="CU267" i="3416"/>
  <c r="CT267" i="3416"/>
  <c r="CS267" i="3416"/>
  <c r="CR267" i="3416"/>
  <c r="CQ267" i="3416"/>
  <c r="CP267" i="3416"/>
  <c r="CO267" i="3416"/>
  <c r="CN267" i="3416"/>
  <c r="CM267" i="3416"/>
  <c r="CL267" i="3416"/>
  <c r="CK267" i="3416"/>
  <c r="CJ267" i="3416"/>
  <c r="CI267" i="3416"/>
  <c r="CH267" i="3416"/>
  <c r="CG267" i="3416"/>
  <c r="CF267" i="3416"/>
  <c r="CE267" i="3416"/>
  <c r="CD267" i="3416"/>
  <c r="CC267" i="3416"/>
  <c r="CB267" i="3416"/>
  <c r="CA267" i="3416"/>
  <c r="BZ267" i="3416"/>
  <c r="BY267" i="3416"/>
  <c r="BX267" i="3416"/>
  <c r="BW267" i="3416"/>
  <c r="BV267" i="3416"/>
  <c r="BU267" i="3416"/>
  <c r="BT267" i="3416"/>
  <c r="BS267" i="3416"/>
  <c r="BR267" i="3416"/>
  <c r="BQ267" i="3416"/>
  <c r="BP267" i="3416"/>
  <c r="BO267" i="3416"/>
  <c r="BN267" i="3416"/>
  <c r="BM267" i="3416"/>
  <c r="BL267" i="3416"/>
  <c r="BK267" i="3416"/>
  <c r="BJ267" i="3416"/>
  <c r="BI267" i="3416"/>
  <c r="BH267" i="3416"/>
  <c r="BG267" i="3416"/>
  <c r="BF267" i="3416"/>
  <c r="BE267" i="3416"/>
  <c r="BD267" i="3416"/>
  <c r="BC267" i="3416"/>
  <c r="BB267" i="3416"/>
  <c r="BA267" i="3416"/>
  <c r="AZ267" i="3416"/>
  <c r="AY267" i="3416"/>
  <c r="AX267" i="3416"/>
  <c r="AW267" i="3416"/>
  <c r="AV267" i="3416"/>
  <c r="AU267" i="3416"/>
  <c r="AT267" i="3416"/>
  <c r="AS267" i="3416"/>
  <c r="AR267" i="3416"/>
  <c r="AQ267" i="3416"/>
  <c r="AP267" i="3416"/>
  <c r="AO267" i="3416"/>
  <c r="AN267" i="3416"/>
  <c r="AM267" i="3416"/>
  <c r="AL267" i="3416"/>
  <c r="AK267" i="3416"/>
  <c r="AJ267" i="3416"/>
  <c r="AI267" i="3416"/>
  <c r="AH267" i="3416"/>
  <c r="AG267" i="3416"/>
  <c r="AF267" i="3416"/>
  <c r="AE267" i="3416"/>
  <c r="AD267" i="3416"/>
  <c r="AC267" i="3416"/>
  <c r="AB267" i="3416"/>
  <c r="AA267" i="3416"/>
  <c r="Z267" i="3416"/>
  <c r="Y267" i="3416"/>
  <c r="X267" i="3416"/>
  <c r="W267" i="3416"/>
  <c r="V267" i="3416"/>
  <c r="U267" i="3416"/>
  <c r="T267" i="3416"/>
  <c r="S267" i="3416"/>
  <c r="R267" i="3416"/>
  <c r="Q267" i="3416"/>
  <c r="P267" i="3416"/>
  <c r="O267" i="3416"/>
  <c r="N267" i="3416"/>
  <c r="M267" i="3416"/>
  <c r="L267" i="3416"/>
  <c r="K267" i="3416"/>
  <c r="J267" i="3416"/>
  <c r="I267" i="3416"/>
  <c r="H267" i="3416"/>
  <c r="G267" i="3416"/>
  <c r="F267" i="3416"/>
  <c r="E267" i="3416"/>
  <c r="D267" i="3416"/>
  <c r="C267" i="3416" a="1"/>
  <c r="C267" i="3416"/>
  <c r="A267" i="3416"/>
  <c r="EM266" i="3416"/>
  <c r="EL266" i="3416"/>
  <c r="EK266" i="3416"/>
  <c r="EJ266" i="3416"/>
  <c r="EI266" i="3416"/>
  <c r="EH266" i="3416"/>
  <c r="EG266" i="3416"/>
  <c r="EF266" i="3416"/>
  <c r="EE266" i="3416"/>
  <c r="ED266" i="3416"/>
  <c r="EC266" i="3416"/>
  <c r="EB266" i="3416"/>
  <c r="EA266" i="3416"/>
  <c r="DZ266" i="3416"/>
  <c r="DY266" i="3416"/>
  <c r="DX266" i="3416"/>
  <c r="DW266" i="3416"/>
  <c r="DV266" i="3416"/>
  <c r="DU266" i="3416"/>
  <c r="DT266" i="3416"/>
  <c r="DS266" i="3416"/>
  <c r="DR266" i="3416"/>
  <c r="DQ266" i="3416"/>
  <c r="DP266" i="3416"/>
  <c r="DO266" i="3416"/>
  <c r="DN266" i="3416"/>
  <c r="DM266" i="3416"/>
  <c r="DL266" i="3416"/>
  <c r="DK266" i="3416"/>
  <c r="DJ266" i="3416"/>
  <c r="DI266" i="3416"/>
  <c r="DH266" i="3416"/>
  <c r="DG266" i="3416"/>
  <c r="DF266" i="3416"/>
  <c r="DE266" i="3416"/>
  <c r="DD266" i="3416"/>
  <c r="DC266" i="3416"/>
  <c r="DB266" i="3416"/>
  <c r="DA266" i="3416"/>
  <c r="CZ266" i="3416"/>
  <c r="CY266" i="3416"/>
  <c r="CX266" i="3416"/>
  <c r="CW266" i="3416"/>
  <c r="CV266" i="3416"/>
  <c r="CU266" i="3416"/>
  <c r="CT266" i="3416"/>
  <c r="CS266" i="3416"/>
  <c r="CR266" i="3416"/>
  <c r="CQ266" i="3416"/>
  <c r="CP266" i="3416"/>
  <c r="CO266" i="3416"/>
  <c r="CN266" i="3416"/>
  <c r="CM266" i="3416"/>
  <c r="CL266" i="3416"/>
  <c r="CK266" i="3416"/>
  <c r="CJ266" i="3416"/>
  <c r="CI266" i="3416"/>
  <c r="CH266" i="3416"/>
  <c r="CG266" i="3416"/>
  <c r="CF266" i="3416"/>
  <c r="CE266" i="3416"/>
  <c r="CD266" i="3416"/>
  <c r="CC266" i="3416"/>
  <c r="CB266" i="3416"/>
  <c r="CA266" i="3416"/>
  <c r="BZ266" i="3416"/>
  <c r="BY266" i="3416"/>
  <c r="BX266" i="3416"/>
  <c r="BW266" i="3416"/>
  <c r="BV266" i="3416"/>
  <c r="BU266" i="3416"/>
  <c r="BT266" i="3416"/>
  <c r="BS266" i="3416"/>
  <c r="BR266" i="3416"/>
  <c r="BQ266" i="3416"/>
  <c r="BP266" i="3416"/>
  <c r="BO266" i="3416"/>
  <c r="BN266" i="3416"/>
  <c r="BM266" i="3416"/>
  <c r="BL266" i="3416"/>
  <c r="BK266" i="3416"/>
  <c r="BJ266" i="3416"/>
  <c r="BI266" i="3416"/>
  <c r="BH266" i="3416"/>
  <c r="BG266" i="3416"/>
  <c r="BF266" i="3416"/>
  <c r="BE266" i="3416"/>
  <c r="BD266" i="3416"/>
  <c r="BC266" i="3416"/>
  <c r="BB266" i="3416"/>
  <c r="BA266" i="3416"/>
  <c r="AZ266" i="3416"/>
  <c r="AY266" i="3416"/>
  <c r="AX266" i="3416"/>
  <c r="AW266" i="3416"/>
  <c r="AV266" i="3416"/>
  <c r="AU266" i="3416"/>
  <c r="AT266" i="3416"/>
  <c r="AS266" i="3416"/>
  <c r="AR266" i="3416"/>
  <c r="AQ266" i="3416"/>
  <c r="AP266" i="3416"/>
  <c r="AO266" i="3416"/>
  <c r="AN266" i="3416"/>
  <c r="AM266" i="3416"/>
  <c r="AL266" i="3416"/>
  <c r="AK266" i="3416"/>
  <c r="AJ266" i="3416"/>
  <c r="AI266" i="3416"/>
  <c r="AH266" i="3416"/>
  <c r="AG266" i="3416"/>
  <c r="AF266" i="3416"/>
  <c r="AE266" i="3416"/>
  <c r="AD266" i="3416"/>
  <c r="AC266" i="3416"/>
  <c r="AB266" i="3416"/>
  <c r="AA266" i="3416"/>
  <c r="Z266" i="3416"/>
  <c r="Y266" i="3416"/>
  <c r="X266" i="3416"/>
  <c r="W266" i="3416"/>
  <c r="V266" i="3416"/>
  <c r="U266" i="3416"/>
  <c r="T266" i="3416"/>
  <c r="S266" i="3416"/>
  <c r="R266" i="3416"/>
  <c r="Q266" i="3416"/>
  <c r="P266" i="3416"/>
  <c r="O266" i="3416"/>
  <c r="N266" i="3416"/>
  <c r="M266" i="3416"/>
  <c r="L266" i="3416"/>
  <c r="K266" i="3416"/>
  <c r="J266" i="3416"/>
  <c r="I266" i="3416"/>
  <c r="H266" i="3416"/>
  <c r="G266" i="3416"/>
  <c r="F266" i="3416"/>
  <c r="E266" i="3416"/>
  <c r="D266" i="3416"/>
  <c r="C266" i="3416" a="1"/>
  <c r="C266" i="3416"/>
  <c r="A266" i="3416"/>
  <c r="EM265" i="3416"/>
  <c r="EL265" i="3416"/>
  <c r="EK265" i="3416"/>
  <c r="EJ265" i="3416"/>
  <c r="EI265" i="3416"/>
  <c r="EH265" i="3416"/>
  <c r="EG265" i="3416"/>
  <c r="EF265" i="3416"/>
  <c r="EE265" i="3416"/>
  <c r="ED265" i="3416"/>
  <c r="EC265" i="3416"/>
  <c r="EB265" i="3416"/>
  <c r="EA265" i="3416"/>
  <c r="DZ265" i="3416"/>
  <c r="DY265" i="3416"/>
  <c r="DX265" i="3416"/>
  <c r="DW265" i="3416"/>
  <c r="DV265" i="3416"/>
  <c r="DU265" i="3416"/>
  <c r="DT265" i="3416"/>
  <c r="DS265" i="3416"/>
  <c r="DR265" i="3416"/>
  <c r="DQ265" i="3416"/>
  <c r="DP265" i="3416"/>
  <c r="DO265" i="3416"/>
  <c r="DN265" i="3416"/>
  <c r="DM265" i="3416"/>
  <c r="DL265" i="3416"/>
  <c r="DK265" i="3416"/>
  <c r="DJ265" i="3416"/>
  <c r="DI265" i="3416"/>
  <c r="DH265" i="3416"/>
  <c r="DG265" i="3416"/>
  <c r="DF265" i="3416"/>
  <c r="DE265" i="3416"/>
  <c r="DD265" i="3416"/>
  <c r="DC265" i="3416"/>
  <c r="DB265" i="3416"/>
  <c r="DA265" i="3416"/>
  <c r="CZ265" i="3416"/>
  <c r="CY265" i="3416"/>
  <c r="CX265" i="3416"/>
  <c r="CW265" i="3416"/>
  <c r="CV265" i="3416"/>
  <c r="CU265" i="3416"/>
  <c r="CT265" i="3416"/>
  <c r="CS265" i="3416"/>
  <c r="CR265" i="3416"/>
  <c r="CQ265" i="3416"/>
  <c r="CP265" i="3416"/>
  <c r="CO265" i="3416"/>
  <c r="CN265" i="3416"/>
  <c r="CM265" i="3416"/>
  <c r="CL265" i="3416"/>
  <c r="CK265" i="3416"/>
  <c r="CJ265" i="3416"/>
  <c r="CI265" i="3416"/>
  <c r="CH265" i="3416"/>
  <c r="CG265" i="3416"/>
  <c r="CF265" i="3416"/>
  <c r="CE265" i="3416"/>
  <c r="CD265" i="3416"/>
  <c r="CC265" i="3416"/>
  <c r="CB265" i="3416"/>
  <c r="CA265" i="3416"/>
  <c r="BZ265" i="3416"/>
  <c r="BY265" i="3416"/>
  <c r="BX265" i="3416"/>
  <c r="BW265" i="3416"/>
  <c r="BV265" i="3416"/>
  <c r="BU265" i="3416"/>
  <c r="BT265" i="3416"/>
  <c r="BS265" i="3416"/>
  <c r="BR265" i="3416"/>
  <c r="BQ265" i="3416"/>
  <c r="BP265" i="3416"/>
  <c r="BO265" i="3416"/>
  <c r="BN265" i="3416"/>
  <c r="BM265" i="3416"/>
  <c r="BL265" i="3416"/>
  <c r="BK265" i="3416"/>
  <c r="BJ265" i="3416"/>
  <c r="BI265" i="3416"/>
  <c r="BH265" i="3416"/>
  <c r="BG265" i="3416"/>
  <c r="BF265" i="3416"/>
  <c r="BE265" i="3416"/>
  <c r="BD265" i="3416"/>
  <c r="BC265" i="3416"/>
  <c r="BB265" i="3416"/>
  <c r="BA265" i="3416"/>
  <c r="AZ265" i="3416"/>
  <c r="AY265" i="3416"/>
  <c r="AX265" i="3416"/>
  <c r="AW265" i="3416"/>
  <c r="AV265" i="3416"/>
  <c r="AU265" i="3416"/>
  <c r="AT265" i="3416"/>
  <c r="AS265" i="3416"/>
  <c r="AR265" i="3416"/>
  <c r="AQ265" i="3416"/>
  <c r="AP265" i="3416"/>
  <c r="AO265" i="3416"/>
  <c r="AN265" i="3416"/>
  <c r="AM265" i="3416"/>
  <c r="AL265" i="3416"/>
  <c r="AK265" i="3416"/>
  <c r="AJ265" i="3416"/>
  <c r="AI265" i="3416"/>
  <c r="AH265" i="3416"/>
  <c r="AG265" i="3416"/>
  <c r="AF265" i="3416"/>
  <c r="AE265" i="3416"/>
  <c r="AD265" i="3416"/>
  <c r="AC265" i="3416"/>
  <c r="AB265" i="3416"/>
  <c r="AA265" i="3416"/>
  <c r="Z265" i="3416"/>
  <c r="Y265" i="3416"/>
  <c r="X265" i="3416"/>
  <c r="W265" i="3416"/>
  <c r="V265" i="3416"/>
  <c r="U265" i="3416"/>
  <c r="T265" i="3416"/>
  <c r="S265" i="3416"/>
  <c r="R265" i="3416"/>
  <c r="Q265" i="3416"/>
  <c r="P265" i="3416"/>
  <c r="O265" i="3416"/>
  <c r="N265" i="3416"/>
  <c r="M265" i="3416"/>
  <c r="L265" i="3416"/>
  <c r="K265" i="3416"/>
  <c r="J265" i="3416"/>
  <c r="I265" i="3416"/>
  <c r="H265" i="3416"/>
  <c r="G265" i="3416"/>
  <c r="F265" i="3416"/>
  <c r="E265" i="3416"/>
  <c r="D265" i="3416"/>
  <c r="C265" i="3416" a="1"/>
  <c r="C265" i="3416"/>
  <c r="A265" i="3416"/>
  <c r="EM264" i="3416"/>
  <c r="EL264" i="3416"/>
  <c r="EK264" i="3416"/>
  <c r="EJ264" i="3416"/>
  <c r="EI264" i="3416"/>
  <c r="EH264" i="3416"/>
  <c r="EG264" i="3416"/>
  <c r="EF264" i="3416"/>
  <c r="EE264" i="3416"/>
  <c r="ED264" i="3416"/>
  <c r="EC264" i="3416"/>
  <c r="EB264" i="3416"/>
  <c r="EA264" i="3416"/>
  <c r="DZ264" i="3416"/>
  <c r="DY264" i="3416"/>
  <c r="DX264" i="3416"/>
  <c r="DW264" i="3416"/>
  <c r="DV264" i="3416"/>
  <c r="DU264" i="3416"/>
  <c r="DT264" i="3416"/>
  <c r="DS264" i="3416"/>
  <c r="DR264" i="3416"/>
  <c r="DQ264" i="3416"/>
  <c r="DP264" i="3416"/>
  <c r="DO264" i="3416"/>
  <c r="DN264" i="3416"/>
  <c r="DM264" i="3416"/>
  <c r="DL264" i="3416"/>
  <c r="DK264" i="3416"/>
  <c r="DJ264" i="3416"/>
  <c r="DI264" i="3416"/>
  <c r="DH264" i="3416"/>
  <c r="DG264" i="3416"/>
  <c r="DF264" i="3416"/>
  <c r="DE264" i="3416"/>
  <c r="DD264" i="3416"/>
  <c r="DC264" i="3416"/>
  <c r="DB264" i="3416"/>
  <c r="DA264" i="3416"/>
  <c r="CZ264" i="3416"/>
  <c r="CY264" i="3416"/>
  <c r="CX264" i="3416"/>
  <c r="CW264" i="3416"/>
  <c r="CV264" i="3416"/>
  <c r="CU264" i="3416"/>
  <c r="CT264" i="3416"/>
  <c r="CS264" i="3416"/>
  <c r="CR264" i="3416"/>
  <c r="CQ264" i="3416"/>
  <c r="CP264" i="3416"/>
  <c r="CO264" i="3416"/>
  <c r="CN264" i="3416"/>
  <c r="CM264" i="3416"/>
  <c r="CL264" i="3416"/>
  <c r="CK264" i="3416"/>
  <c r="CJ264" i="3416"/>
  <c r="CI264" i="3416"/>
  <c r="CH264" i="3416"/>
  <c r="CG264" i="3416"/>
  <c r="CF264" i="3416"/>
  <c r="CE264" i="3416"/>
  <c r="CD264" i="3416"/>
  <c r="CC264" i="3416"/>
  <c r="CB264" i="3416"/>
  <c r="CA264" i="3416"/>
  <c r="BZ264" i="3416"/>
  <c r="BY264" i="3416"/>
  <c r="BX264" i="3416"/>
  <c r="BW264" i="3416"/>
  <c r="BV264" i="3416"/>
  <c r="BU264" i="3416"/>
  <c r="BT264" i="3416"/>
  <c r="BS264" i="3416"/>
  <c r="BR264" i="3416"/>
  <c r="BQ264" i="3416"/>
  <c r="BP264" i="3416"/>
  <c r="BO264" i="3416"/>
  <c r="BN264" i="3416"/>
  <c r="BM264" i="3416"/>
  <c r="BL264" i="3416"/>
  <c r="BK264" i="3416"/>
  <c r="BJ264" i="3416"/>
  <c r="BI264" i="3416"/>
  <c r="BH264" i="3416"/>
  <c r="BG264" i="3416"/>
  <c r="BF264" i="3416"/>
  <c r="BE264" i="3416"/>
  <c r="BD264" i="3416"/>
  <c r="BC264" i="3416"/>
  <c r="BB264" i="3416"/>
  <c r="BA264" i="3416"/>
  <c r="AZ264" i="3416"/>
  <c r="AY264" i="3416"/>
  <c r="AX264" i="3416"/>
  <c r="AW264" i="3416"/>
  <c r="AV264" i="3416"/>
  <c r="AU264" i="3416"/>
  <c r="AT264" i="3416"/>
  <c r="AS264" i="3416"/>
  <c r="AR264" i="3416"/>
  <c r="AQ264" i="3416"/>
  <c r="AP264" i="3416"/>
  <c r="AO264" i="3416"/>
  <c r="AN264" i="3416"/>
  <c r="AM264" i="3416"/>
  <c r="AL264" i="3416"/>
  <c r="AK264" i="3416"/>
  <c r="AJ264" i="3416"/>
  <c r="AI264" i="3416"/>
  <c r="AH264" i="3416"/>
  <c r="AG264" i="3416"/>
  <c r="AF264" i="3416"/>
  <c r="AE264" i="3416"/>
  <c r="AD264" i="3416"/>
  <c r="AC264" i="3416"/>
  <c r="AB264" i="3416"/>
  <c r="AA264" i="3416"/>
  <c r="Z264" i="3416"/>
  <c r="Y264" i="3416"/>
  <c r="X264" i="3416"/>
  <c r="W264" i="3416"/>
  <c r="V264" i="3416"/>
  <c r="U264" i="3416"/>
  <c r="T264" i="3416"/>
  <c r="S264" i="3416"/>
  <c r="R264" i="3416"/>
  <c r="Q264" i="3416"/>
  <c r="P264" i="3416"/>
  <c r="O264" i="3416"/>
  <c r="N264" i="3416"/>
  <c r="M264" i="3416"/>
  <c r="L264" i="3416"/>
  <c r="K264" i="3416"/>
  <c r="J264" i="3416"/>
  <c r="I264" i="3416"/>
  <c r="H264" i="3416"/>
  <c r="G264" i="3416"/>
  <c r="F264" i="3416"/>
  <c r="E264" i="3416"/>
  <c r="D264" i="3416"/>
  <c r="C264" i="3416" a="1"/>
  <c r="C264" i="3416"/>
  <c r="A264" i="3416"/>
  <c r="EM263" i="3416"/>
  <c r="EL263" i="3416"/>
  <c r="EK263" i="3416"/>
  <c r="EJ263" i="3416"/>
  <c r="EI263" i="3416"/>
  <c r="EH263" i="3416"/>
  <c r="EG263" i="3416"/>
  <c r="EF263" i="3416"/>
  <c r="EE263" i="3416"/>
  <c r="ED263" i="3416"/>
  <c r="EC263" i="3416"/>
  <c r="EB263" i="3416"/>
  <c r="EA263" i="3416"/>
  <c r="DZ263" i="3416"/>
  <c r="DY263" i="3416"/>
  <c r="DX263" i="3416"/>
  <c r="DW263" i="3416"/>
  <c r="DV263" i="3416"/>
  <c r="DU263" i="3416"/>
  <c r="DT263" i="3416"/>
  <c r="DS263" i="3416"/>
  <c r="DR263" i="3416"/>
  <c r="DQ263" i="3416"/>
  <c r="DP263" i="3416"/>
  <c r="DO263" i="3416"/>
  <c r="DN263" i="3416"/>
  <c r="DM263" i="3416"/>
  <c r="DL263" i="3416"/>
  <c r="DK263" i="3416"/>
  <c r="DJ263" i="3416"/>
  <c r="DI263" i="3416"/>
  <c r="DH263" i="3416"/>
  <c r="DG263" i="3416"/>
  <c r="DF263" i="3416"/>
  <c r="DE263" i="3416"/>
  <c r="DD263" i="3416"/>
  <c r="DC263" i="3416"/>
  <c r="DB263" i="3416"/>
  <c r="DA263" i="3416"/>
  <c r="CZ263" i="3416"/>
  <c r="CY263" i="3416"/>
  <c r="CX263" i="3416"/>
  <c r="CW263" i="3416"/>
  <c r="CV263" i="3416"/>
  <c r="CU263" i="3416"/>
  <c r="CT263" i="3416"/>
  <c r="CS263" i="3416"/>
  <c r="CR263" i="3416"/>
  <c r="CQ263" i="3416"/>
  <c r="CP263" i="3416"/>
  <c r="CO263" i="3416"/>
  <c r="CN263" i="3416"/>
  <c r="CM263" i="3416"/>
  <c r="CL263" i="3416"/>
  <c r="CK263" i="3416"/>
  <c r="CJ263" i="3416"/>
  <c r="CI263" i="3416"/>
  <c r="CH263" i="3416"/>
  <c r="CG263" i="3416"/>
  <c r="CF263" i="3416"/>
  <c r="CE263" i="3416"/>
  <c r="CD263" i="3416"/>
  <c r="CC263" i="3416"/>
  <c r="CB263" i="3416"/>
  <c r="CA263" i="3416"/>
  <c r="BZ263" i="3416"/>
  <c r="BY263" i="3416"/>
  <c r="BX263" i="3416"/>
  <c r="BW263" i="3416"/>
  <c r="BV263" i="3416"/>
  <c r="BU263" i="3416"/>
  <c r="BT263" i="3416"/>
  <c r="BS263" i="3416"/>
  <c r="BR263" i="3416"/>
  <c r="BQ263" i="3416"/>
  <c r="BP263" i="3416"/>
  <c r="BO263" i="3416"/>
  <c r="BN263" i="3416"/>
  <c r="BM263" i="3416"/>
  <c r="BL263" i="3416"/>
  <c r="BK263" i="3416"/>
  <c r="BJ263" i="3416"/>
  <c r="BI263" i="3416"/>
  <c r="BH263" i="3416"/>
  <c r="BG263" i="3416"/>
  <c r="BF263" i="3416"/>
  <c r="BE263" i="3416"/>
  <c r="BD263" i="3416"/>
  <c r="BC263" i="3416"/>
  <c r="BB263" i="3416"/>
  <c r="BA263" i="3416"/>
  <c r="AZ263" i="3416"/>
  <c r="AY263" i="3416"/>
  <c r="AX263" i="3416"/>
  <c r="AW263" i="3416"/>
  <c r="AV263" i="3416"/>
  <c r="AU263" i="3416"/>
  <c r="AT263" i="3416"/>
  <c r="AS263" i="3416"/>
  <c r="AR263" i="3416"/>
  <c r="AQ263" i="3416"/>
  <c r="AP263" i="3416"/>
  <c r="AO263" i="3416"/>
  <c r="AN263" i="3416"/>
  <c r="AM263" i="3416"/>
  <c r="AL263" i="3416"/>
  <c r="AK263" i="3416"/>
  <c r="AJ263" i="3416"/>
  <c r="AI263" i="3416"/>
  <c r="AH263" i="3416"/>
  <c r="AG263" i="3416"/>
  <c r="AF263" i="3416"/>
  <c r="AE263" i="3416"/>
  <c r="AD263" i="3416"/>
  <c r="AC263" i="3416"/>
  <c r="AB263" i="3416"/>
  <c r="AA263" i="3416"/>
  <c r="Z263" i="3416"/>
  <c r="Y263" i="3416"/>
  <c r="X263" i="3416"/>
  <c r="W263" i="3416"/>
  <c r="V263" i="3416"/>
  <c r="U263" i="3416"/>
  <c r="T263" i="3416"/>
  <c r="S263" i="3416"/>
  <c r="R263" i="3416"/>
  <c r="Q263" i="3416"/>
  <c r="P263" i="3416"/>
  <c r="O263" i="3416"/>
  <c r="N263" i="3416"/>
  <c r="M263" i="3416"/>
  <c r="L263" i="3416"/>
  <c r="K263" i="3416"/>
  <c r="J263" i="3416"/>
  <c r="I263" i="3416"/>
  <c r="H263" i="3416"/>
  <c r="G263" i="3416"/>
  <c r="F263" i="3416"/>
  <c r="E263" i="3416"/>
  <c r="D263" i="3416"/>
  <c r="C263" i="3416" a="1"/>
  <c r="C263" i="3416"/>
  <c r="A263" i="3416"/>
  <c r="EM262" i="3416"/>
  <c r="EL262" i="3416"/>
  <c r="EK262" i="3416"/>
  <c r="EJ262" i="3416"/>
  <c r="EI262" i="3416"/>
  <c r="EH262" i="3416"/>
  <c r="EG262" i="3416"/>
  <c r="EF262" i="3416"/>
  <c r="EE262" i="3416"/>
  <c r="ED262" i="3416"/>
  <c r="EC262" i="3416"/>
  <c r="EB262" i="3416"/>
  <c r="EA262" i="3416"/>
  <c r="DZ262" i="3416"/>
  <c r="DY262" i="3416"/>
  <c r="DX262" i="3416"/>
  <c r="DW262" i="3416"/>
  <c r="DV262" i="3416"/>
  <c r="DU262" i="3416"/>
  <c r="DT262" i="3416"/>
  <c r="DS262" i="3416"/>
  <c r="DR262" i="3416"/>
  <c r="DQ262" i="3416"/>
  <c r="DP262" i="3416"/>
  <c r="DO262" i="3416"/>
  <c r="DN262" i="3416"/>
  <c r="DM262" i="3416"/>
  <c r="DL262" i="3416"/>
  <c r="DK262" i="3416"/>
  <c r="DJ262" i="3416"/>
  <c r="DI262" i="3416"/>
  <c r="DH262" i="3416"/>
  <c r="DG262" i="3416"/>
  <c r="DF262" i="3416"/>
  <c r="DE262" i="3416"/>
  <c r="DD262" i="3416"/>
  <c r="DC262" i="3416"/>
  <c r="DB262" i="3416"/>
  <c r="DA262" i="3416"/>
  <c r="CZ262" i="3416"/>
  <c r="CY262" i="3416"/>
  <c r="CX262" i="3416"/>
  <c r="CW262" i="3416"/>
  <c r="CV262" i="3416"/>
  <c r="CU262" i="3416"/>
  <c r="CT262" i="3416"/>
  <c r="CS262" i="3416"/>
  <c r="CR262" i="3416"/>
  <c r="CQ262" i="3416"/>
  <c r="CP262" i="3416"/>
  <c r="CO262" i="3416"/>
  <c r="CN262" i="3416"/>
  <c r="CM262" i="3416"/>
  <c r="CL262" i="3416"/>
  <c r="CK262" i="3416"/>
  <c r="CJ262" i="3416"/>
  <c r="CI262" i="3416"/>
  <c r="CH262" i="3416"/>
  <c r="CG262" i="3416"/>
  <c r="CF262" i="3416"/>
  <c r="CE262" i="3416"/>
  <c r="CD262" i="3416"/>
  <c r="CC262" i="3416"/>
  <c r="CB262" i="3416"/>
  <c r="CA262" i="3416"/>
  <c r="BZ262" i="3416"/>
  <c r="BY262" i="3416"/>
  <c r="BX262" i="3416"/>
  <c r="BW262" i="3416"/>
  <c r="BV262" i="3416"/>
  <c r="BU262" i="3416"/>
  <c r="BT262" i="3416"/>
  <c r="BS262" i="3416"/>
  <c r="BR262" i="3416"/>
  <c r="BQ262" i="3416"/>
  <c r="BP262" i="3416"/>
  <c r="BO262" i="3416"/>
  <c r="BN262" i="3416"/>
  <c r="BM262" i="3416"/>
  <c r="BL262" i="3416"/>
  <c r="BK262" i="3416"/>
  <c r="BJ262" i="3416"/>
  <c r="BI262" i="3416"/>
  <c r="BH262" i="3416"/>
  <c r="BG262" i="3416"/>
  <c r="BF262" i="3416"/>
  <c r="BE262" i="3416"/>
  <c r="BD262" i="3416"/>
  <c r="BC262" i="3416"/>
  <c r="BB262" i="3416"/>
  <c r="BA262" i="3416"/>
  <c r="AZ262" i="3416"/>
  <c r="AY262" i="3416"/>
  <c r="AX262" i="3416"/>
  <c r="AW262" i="3416"/>
  <c r="AV262" i="3416"/>
  <c r="AU262" i="3416"/>
  <c r="AT262" i="3416"/>
  <c r="AS262" i="3416"/>
  <c r="AR262" i="3416"/>
  <c r="AQ262" i="3416"/>
  <c r="AP262" i="3416"/>
  <c r="AO262" i="3416"/>
  <c r="AN262" i="3416"/>
  <c r="AM262" i="3416"/>
  <c r="AL262" i="3416"/>
  <c r="AK262" i="3416"/>
  <c r="AJ262" i="3416"/>
  <c r="AI262" i="3416"/>
  <c r="AH262" i="3416"/>
  <c r="AG262" i="3416"/>
  <c r="AF262" i="3416"/>
  <c r="AE262" i="3416"/>
  <c r="AD262" i="3416"/>
  <c r="AC262" i="3416"/>
  <c r="AB262" i="3416"/>
  <c r="AA262" i="3416"/>
  <c r="Z262" i="3416"/>
  <c r="Y262" i="3416"/>
  <c r="X262" i="3416"/>
  <c r="W262" i="3416"/>
  <c r="V262" i="3416"/>
  <c r="U262" i="3416"/>
  <c r="T262" i="3416"/>
  <c r="S262" i="3416"/>
  <c r="R262" i="3416"/>
  <c r="Q262" i="3416"/>
  <c r="P262" i="3416"/>
  <c r="O262" i="3416"/>
  <c r="N262" i="3416"/>
  <c r="M262" i="3416"/>
  <c r="L262" i="3416"/>
  <c r="K262" i="3416"/>
  <c r="J262" i="3416"/>
  <c r="I262" i="3416"/>
  <c r="H262" i="3416"/>
  <c r="G262" i="3416"/>
  <c r="F262" i="3416"/>
  <c r="E262" i="3416"/>
  <c r="D262" i="3416"/>
  <c r="C262" i="3416" a="1"/>
  <c r="C262" i="3416"/>
  <c r="A262" i="3416"/>
  <c r="EM261" i="3416"/>
  <c r="EL261" i="3416"/>
  <c r="EK261" i="3416"/>
  <c r="EJ261" i="3416"/>
  <c r="EI261" i="3416"/>
  <c r="EH261" i="3416"/>
  <c r="EG261" i="3416"/>
  <c r="EF261" i="3416"/>
  <c r="EE261" i="3416"/>
  <c r="ED261" i="3416"/>
  <c r="EC261" i="3416"/>
  <c r="EB261" i="3416"/>
  <c r="EA261" i="3416"/>
  <c r="DZ261" i="3416"/>
  <c r="DY261" i="3416"/>
  <c r="DX261" i="3416"/>
  <c r="DW261" i="3416"/>
  <c r="DV261" i="3416"/>
  <c r="DU261" i="3416"/>
  <c r="DT261" i="3416"/>
  <c r="DS261" i="3416"/>
  <c r="DR261" i="3416"/>
  <c r="DQ261" i="3416"/>
  <c r="DP261" i="3416"/>
  <c r="DO261" i="3416"/>
  <c r="DN261" i="3416"/>
  <c r="DM261" i="3416"/>
  <c r="DL261" i="3416"/>
  <c r="DK261" i="3416"/>
  <c r="DJ261" i="3416"/>
  <c r="DI261" i="3416"/>
  <c r="DH261" i="3416"/>
  <c r="DG261" i="3416"/>
  <c r="DF261" i="3416"/>
  <c r="DE261" i="3416"/>
  <c r="DD261" i="3416"/>
  <c r="DC261" i="3416"/>
  <c r="DB261" i="3416"/>
  <c r="DA261" i="3416"/>
  <c r="CZ261" i="3416"/>
  <c r="CY261" i="3416"/>
  <c r="CX261" i="3416"/>
  <c r="CW261" i="3416"/>
  <c r="CV261" i="3416"/>
  <c r="CU261" i="3416"/>
  <c r="CT261" i="3416"/>
  <c r="CS261" i="3416"/>
  <c r="CR261" i="3416"/>
  <c r="CQ261" i="3416"/>
  <c r="CP261" i="3416"/>
  <c r="CO261" i="3416"/>
  <c r="CN261" i="3416"/>
  <c r="CM261" i="3416"/>
  <c r="CL261" i="3416"/>
  <c r="CK261" i="3416"/>
  <c r="CJ261" i="3416"/>
  <c r="CI261" i="3416"/>
  <c r="CH261" i="3416"/>
  <c r="CG261" i="3416"/>
  <c r="CF261" i="3416"/>
  <c r="CE261" i="3416"/>
  <c r="CD261" i="3416"/>
  <c r="CC261" i="3416"/>
  <c r="CB261" i="3416"/>
  <c r="CA261" i="3416"/>
  <c r="BZ261" i="3416"/>
  <c r="BY261" i="3416"/>
  <c r="BX261" i="3416"/>
  <c r="BW261" i="3416"/>
  <c r="BV261" i="3416"/>
  <c r="BU261" i="3416"/>
  <c r="BT261" i="3416"/>
  <c r="BS261" i="3416"/>
  <c r="BR261" i="3416"/>
  <c r="BQ261" i="3416"/>
  <c r="BP261" i="3416"/>
  <c r="BO261" i="3416"/>
  <c r="BN261" i="3416"/>
  <c r="BM261" i="3416"/>
  <c r="BL261" i="3416"/>
  <c r="BK261" i="3416"/>
  <c r="BJ261" i="3416"/>
  <c r="BI261" i="3416"/>
  <c r="BH261" i="3416"/>
  <c r="BG261" i="3416"/>
  <c r="BF261" i="3416"/>
  <c r="BE261" i="3416"/>
  <c r="BD261" i="3416"/>
  <c r="BC261" i="3416"/>
  <c r="BB261" i="3416"/>
  <c r="BA261" i="3416"/>
  <c r="AZ261" i="3416"/>
  <c r="AY261" i="3416"/>
  <c r="AX261" i="3416"/>
  <c r="AW261" i="3416"/>
  <c r="AV261" i="3416"/>
  <c r="AU261" i="3416"/>
  <c r="AT261" i="3416"/>
  <c r="AS261" i="3416"/>
  <c r="AR261" i="3416"/>
  <c r="AQ261" i="3416"/>
  <c r="AP261" i="3416"/>
  <c r="AO261" i="3416"/>
  <c r="AN261" i="3416"/>
  <c r="AM261" i="3416"/>
  <c r="AL261" i="3416"/>
  <c r="AK261" i="3416"/>
  <c r="AJ261" i="3416"/>
  <c r="AI261" i="3416"/>
  <c r="AH261" i="3416"/>
  <c r="AG261" i="3416"/>
  <c r="AF261" i="3416"/>
  <c r="AE261" i="3416"/>
  <c r="AD261" i="3416"/>
  <c r="AC261" i="3416"/>
  <c r="AB261" i="3416"/>
  <c r="AA261" i="3416"/>
  <c r="Z261" i="3416"/>
  <c r="Y261" i="3416"/>
  <c r="X261" i="3416"/>
  <c r="W261" i="3416"/>
  <c r="V261" i="3416"/>
  <c r="U261" i="3416"/>
  <c r="T261" i="3416"/>
  <c r="S261" i="3416"/>
  <c r="R261" i="3416"/>
  <c r="Q261" i="3416"/>
  <c r="P261" i="3416"/>
  <c r="O261" i="3416"/>
  <c r="N261" i="3416"/>
  <c r="M261" i="3416"/>
  <c r="L261" i="3416"/>
  <c r="K261" i="3416"/>
  <c r="J261" i="3416"/>
  <c r="I261" i="3416"/>
  <c r="H261" i="3416"/>
  <c r="G261" i="3416"/>
  <c r="F261" i="3416"/>
  <c r="E261" i="3416"/>
  <c r="D261" i="3416"/>
  <c r="C261" i="3416" a="1"/>
  <c r="C261" i="3416"/>
  <c r="A261" i="3416"/>
  <c r="EM260" i="3416"/>
  <c r="EL260" i="3416"/>
  <c r="EK260" i="3416"/>
  <c r="EJ260" i="3416"/>
  <c r="EI260" i="3416"/>
  <c r="EH260" i="3416"/>
  <c r="EG260" i="3416"/>
  <c r="EF260" i="3416"/>
  <c r="EE260" i="3416"/>
  <c r="ED260" i="3416"/>
  <c r="EC260" i="3416"/>
  <c r="EB260" i="3416"/>
  <c r="EA260" i="3416"/>
  <c r="DZ260" i="3416"/>
  <c r="DY260" i="3416"/>
  <c r="DX260" i="3416"/>
  <c r="DW260" i="3416"/>
  <c r="DV260" i="3416"/>
  <c r="DU260" i="3416"/>
  <c r="DT260" i="3416"/>
  <c r="DS260" i="3416"/>
  <c r="DR260" i="3416"/>
  <c r="DQ260" i="3416"/>
  <c r="DP260" i="3416"/>
  <c r="DO260" i="3416"/>
  <c r="DN260" i="3416"/>
  <c r="DM260" i="3416"/>
  <c r="DL260" i="3416"/>
  <c r="DK260" i="3416"/>
  <c r="DJ260" i="3416"/>
  <c r="DI260" i="3416"/>
  <c r="DH260" i="3416"/>
  <c r="DG260" i="3416"/>
  <c r="DF260" i="3416"/>
  <c r="DE260" i="3416"/>
  <c r="DD260" i="3416"/>
  <c r="DC260" i="3416"/>
  <c r="DB260" i="3416"/>
  <c r="DA260" i="3416"/>
  <c r="CZ260" i="3416"/>
  <c r="CY260" i="3416"/>
  <c r="CX260" i="3416"/>
  <c r="CW260" i="3416"/>
  <c r="CV260" i="3416"/>
  <c r="CU260" i="3416"/>
  <c r="CT260" i="3416"/>
  <c r="CS260" i="3416"/>
  <c r="CR260" i="3416"/>
  <c r="CQ260" i="3416"/>
  <c r="CP260" i="3416"/>
  <c r="CO260" i="3416"/>
  <c r="CN260" i="3416"/>
  <c r="CM260" i="3416"/>
  <c r="CL260" i="3416"/>
  <c r="CK260" i="3416"/>
  <c r="CJ260" i="3416"/>
  <c r="CI260" i="3416"/>
  <c r="CH260" i="3416"/>
  <c r="CG260" i="3416"/>
  <c r="CF260" i="3416"/>
  <c r="CE260" i="3416"/>
  <c r="CD260" i="3416"/>
  <c r="CC260" i="3416"/>
  <c r="CB260" i="3416"/>
  <c r="CA260" i="3416"/>
  <c r="BZ260" i="3416"/>
  <c r="BY260" i="3416"/>
  <c r="BX260" i="3416"/>
  <c r="BW260" i="3416"/>
  <c r="BV260" i="3416"/>
  <c r="BU260" i="3416"/>
  <c r="BT260" i="3416"/>
  <c r="BS260" i="3416"/>
  <c r="BR260" i="3416"/>
  <c r="BQ260" i="3416"/>
  <c r="BP260" i="3416"/>
  <c r="BO260" i="3416"/>
  <c r="BN260" i="3416"/>
  <c r="BM260" i="3416"/>
  <c r="BL260" i="3416"/>
  <c r="BK260" i="3416"/>
  <c r="BJ260" i="3416"/>
  <c r="BI260" i="3416"/>
  <c r="BH260" i="3416"/>
  <c r="BG260" i="3416"/>
  <c r="BF260" i="3416"/>
  <c r="BE260" i="3416"/>
  <c r="BD260" i="3416"/>
  <c r="BC260" i="3416"/>
  <c r="BB260" i="3416"/>
  <c r="BA260" i="3416"/>
  <c r="AZ260" i="3416"/>
  <c r="AY260" i="3416"/>
  <c r="AX260" i="3416"/>
  <c r="AW260" i="3416"/>
  <c r="AV260" i="3416"/>
  <c r="AU260" i="3416"/>
  <c r="AT260" i="3416"/>
  <c r="AS260" i="3416"/>
  <c r="AR260" i="3416"/>
  <c r="AQ260" i="3416"/>
  <c r="AP260" i="3416"/>
  <c r="AO260" i="3416"/>
  <c r="AN260" i="3416"/>
  <c r="AM260" i="3416"/>
  <c r="AL260" i="3416"/>
  <c r="AK260" i="3416"/>
  <c r="AJ260" i="3416"/>
  <c r="AI260" i="3416"/>
  <c r="AH260" i="3416"/>
  <c r="AG260" i="3416"/>
  <c r="AF260" i="3416"/>
  <c r="AE260" i="3416"/>
  <c r="AD260" i="3416"/>
  <c r="AC260" i="3416"/>
  <c r="AB260" i="3416"/>
  <c r="AA260" i="3416"/>
  <c r="Z260" i="3416"/>
  <c r="Y260" i="3416"/>
  <c r="X260" i="3416"/>
  <c r="W260" i="3416"/>
  <c r="V260" i="3416"/>
  <c r="U260" i="3416"/>
  <c r="T260" i="3416"/>
  <c r="S260" i="3416"/>
  <c r="R260" i="3416"/>
  <c r="Q260" i="3416"/>
  <c r="P260" i="3416"/>
  <c r="O260" i="3416"/>
  <c r="N260" i="3416"/>
  <c r="M260" i="3416"/>
  <c r="L260" i="3416"/>
  <c r="K260" i="3416"/>
  <c r="J260" i="3416"/>
  <c r="I260" i="3416"/>
  <c r="H260" i="3416"/>
  <c r="G260" i="3416"/>
  <c r="F260" i="3416"/>
  <c r="E260" i="3416"/>
  <c r="D260" i="3416"/>
  <c r="C260" i="3416" a="1"/>
  <c r="C260" i="3416"/>
  <c r="A260" i="3416"/>
  <c r="EM259" i="3416"/>
  <c r="EL259" i="3416"/>
  <c r="EK259" i="3416"/>
  <c r="EJ259" i="3416"/>
  <c r="EI259" i="3416"/>
  <c r="EH259" i="3416"/>
  <c r="EG259" i="3416"/>
  <c r="EF259" i="3416"/>
  <c r="EE259" i="3416"/>
  <c r="ED259" i="3416"/>
  <c r="EC259" i="3416"/>
  <c r="EB259" i="3416"/>
  <c r="EA259" i="3416"/>
  <c r="DZ259" i="3416"/>
  <c r="DY259" i="3416"/>
  <c r="DX259" i="3416"/>
  <c r="DW259" i="3416"/>
  <c r="DV259" i="3416"/>
  <c r="DU259" i="3416"/>
  <c r="DT259" i="3416"/>
  <c r="DS259" i="3416"/>
  <c r="DR259" i="3416"/>
  <c r="DQ259" i="3416"/>
  <c r="DP259" i="3416"/>
  <c r="DO259" i="3416"/>
  <c r="DN259" i="3416"/>
  <c r="DM259" i="3416"/>
  <c r="DL259" i="3416"/>
  <c r="DK259" i="3416"/>
  <c r="DJ259" i="3416"/>
  <c r="DI259" i="3416"/>
  <c r="DH259" i="3416"/>
  <c r="DG259" i="3416"/>
  <c r="DF259" i="3416"/>
  <c r="DE259" i="3416"/>
  <c r="DD259" i="3416"/>
  <c r="DC259" i="3416"/>
  <c r="DB259" i="3416"/>
  <c r="DA259" i="3416"/>
  <c r="CZ259" i="3416"/>
  <c r="CY259" i="3416"/>
  <c r="CX259" i="3416"/>
  <c r="CW259" i="3416"/>
  <c r="CV259" i="3416"/>
  <c r="CU259" i="3416"/>
  <c r="CT259" i="3416"/>
  <c r="CS259" i="3416"/>
  <c r="CR259" i="3416"/>
  <c r="CQ259" i="3416"/>
  <c r="CP259" i="3416"/>
  <c r="CO259" i="3416"/>
  <c r="CN259" i="3416"/>
  <c r="CM259" i="3416"/>
  <c r="CL259" i="3416"/>
  <c r="CK259" i="3416"/>
  <c r="CJ259" i="3416"/>
  <c r="CI259" i="3416"/>
  <c r="CH259" i="3416"/>
  <c r="CG259" i="3416"/>
  <c r="CF259" i="3416"/>
  <c r="CE259" i="3416"/>
  <c r="CD259" i="3416"/>
  <c r="CC259" i="3416"/>
  <c r="CB259" i="3416"/>
  <c r="CA259" i="3416"/>
  <c r="BZ259" i="3416"/>
  <c r="BY259" i="3416"/>
  <c r="BX259" i="3416"/>
  <c r="BW259" i="3416"/>
  <c r="BV259" i="3416"/>
  <c r="BU259" i="3416"/>
  <c r="BT259" i="3416"/>
  <c r="BS259" i="3416"/>
  <c r="BR259" i="3416"/>
  <c r="BQ259" i="3416"/>
  <c r="BP259" i="3416"/>
  <c r="BO259" i="3416"/>
  <c r="BN259" i="3416"/>
  <c r="BM259" i="3416"/>
  <c r="BL259" i="3416"/>
  <c r="BK259" i="3416"/>
  <c r="BJ259" i="3416"/>
  <c r="BI259" i="3416"/>
  <c r="BH259" i="3416"/>
  <c r="BG259" i="3416"/>
  <c r="BF259" i="3416"/>
  <c r="BE259" i="3416"/>
  <c r="BD259" i="3416"/>
  <c r="BC259" i="3416"/>
  <c r="BB259" i="3416"/>
  <c r="BA259" i="3416"/>
  <c r="AZ259" i="3416"/>
  <c r="AY259" i="3416"/>
  <c r="AX259" i="3416"/>
  <c r="AW259" i="3416"/>
  <c r="AV259" i="3416"/>
  <c r="AU259" i="3416"/>
  <c r="AT259" i="3416"/>
  <c r="AS259" i="3416"/>
  <c r="AR259" i="3416"/>
  <c r="AQ259" i="3416"/>
  <c r="AP259" i="3416"/>
  <c r="AO259" i="3416"/>
  <c r="AN259" i="3416"/>
  <c r="AM259" i="3416"/>
  <c r="AL259" i="3416"/>
  <c r="AK259" i="3416"/>
  <c r="AJ259" i="3416"/>
  <c r="AI259" i="3416"/>
  <c r="AH259" i="3416"/>
  <c r="AG259" i="3416"/>
  <c r="AF259" i="3416"/>
  <c r="AE259" i="3416"/>
  <c r="AD259" i="3416"/>
  <c r="AC259" i="3416"/>
  <c r="AB259" i="3416"/>
  <c r="AA259" i="3416"/>
  <c r="Z259" i="3416"/>
  <c r="Y259" i="3416"/>
  <c r="X259" i="3416"/>
  <c r="W259" i="3416"/>
  <c r="V259" i="3416"/>
  <c r="U259" i="3416"/>
  <c r="T259" i="3416"/>
  <c r="S259" i="3416"/>
  <c r="R259" i="3416"/>
  <c r="Q259" i="3416"/>
  <c r="P259" i="3416"/>
  <c r="O259" i="3416"/>
  <c r="N259" i="3416"/>
  <c r="M259" i="3416"/>
  <c r="L259" i="3416"/>
  <c r="K259" i="3416"/>
  <c r="J259" i="3416"/>
  <c r="I259" i="3416"/>
  <c r="H259" i="3416"/>
  <c r="G259" i="3416"/>
  <c r="F259" i="3416"/>
  <c r="E259" i="3416"/>
  <c r="D259" i="3416"/>
  <c r="C259" i="3416" a="1"/>
  <c r="C259" i="3416"/>
  <c r="A259" i="3416"/>
  <c r="EM258" i="3416"/>
  <c r="EL258" i="3416"/>
  <c r="EK258" i="3416"/>
  <c r="EJ258" i="3416"/>
  <c r="EI258" i="3416"/>
  <c r="EH258" i="3416"/>
  <c r="EG258" i="3416"/>
  <c r="EF258" i="3416"/>
  <c r="EE258" i="3416"/>
  <c r="ED258" i="3416"/>
  <c r="EC258" i="3416"/>
  <c r="EB258" i="3416"/>
  <c r="EA258" i="3416"/>
  <c r="DZ258" i="3416"/>
  <c r="DY258" i="3416"/>
  <c r="DX258" i="3416"/>
  <c r="DW258" i="3416"/>
  <c r="DV258" i="3416"/>
  <c r="DU258" i="3416"/>
  <c r="DT258" i="3416"/>
  <c r="DS258" i="3416"/>
  <c r="DR258" i="3416"/>
  <c r="DQ258" i="3416"/>
  <c r="DP258" i="3416"/>
  <c r="DO258" i="3416"/>
  <c r="DN258" i="3416"/>
  <c r="DM258" i="3416"/>
  <c r="DL258" i="3416"/>
  <c r="DK258" i="3416"/>
  <c r="DJ258" i="3416"/>
  <c r="DI258" i="3416"/>
  <c r="DH258" i="3416"/>
  <c r="DG258" i="3416"/>
  <c r="DF258" i="3416"/>
  <c r="DE258" i="3416"/>
  <c r="DD258" i="3416"/>
  <c r="DC258" i="3416"/>
  <c r="DB258" i="3416"/>
  <c r="DA258" i="3416"/>
  <c r="CZ258" i="3416"/>
  <c r="CY258" i="3416"/>
  <c r="CX258" i="3416"/>
  <c r="CW258" i="3416"/>
  <c r="CV258" i="3416"/>
  <c r="CU258" i="3416"/>
  <c r="CT258" i="3416"/>
  <c r="CS258" i="3416"/>
  <c r="CR258" i="3416"/>
  <c r="CQ258" i="3416"/>
  <c r="CP258" i="3416"/>
  <c r="CO258" i="3416"/>
  <c r="CN258" i="3416"/>
  <c r="CM258" i="3416"/>
  <c r="CL258" i="3416"/>
  <c r="CK258" i="3416"/>
  <c r="CJ258" i="3416"/>
  <c r="CI258" i="3416"/>
  <c r="CH258" i="3416"/>
  <c r="CG258" i="3416"/>
  <c r="CF258" i="3416"/>
  <c r="CE258" i="3416"/>
  <c r="CD258" i="3416"/>
  <c r="CC258" i="3416"/>
  <c r="CB258" i="3416"/>
  <c r="CA258" i="3416"/>
  <c r="BZ258" i="3416"/>
  <c r="BY258" i="3416"/>
  <c r="BX258" i="3416"/>
  <c r="BW258" i="3416"/>
  <c r="BV258" i="3416"/>
  <c r="BU258" i="3416"/>
  <c r="BT258" i="3416"/>
  <c r="BS258" i="3416"/>
  <c r="BR258" i="3416"/>
  <c r="BQ258" i="3416"/>
  <c r="BP258" i="3416"/>
  <c r="BO258" i="3416"/>
  <c r="BN258" i="3416"/>
  <c r="BM258" i="3416"/>
  <c r="BL258" i="3416"/>
  <c r="BK258" i="3416"/>
  <c r="BJ258" i="3416"/>
  <c r="BI258" i="3416"/>
  <c r="BH258" i="3416"/>
  <c r="BG258" i="3416"/>
  <c r="BF258" i="3416"/>
  <c r="BE258" i="3416"/>
  <c r="BD258" i="3416"/>
  <c r="BC258" i="3416"/>
  <c r="BB258" i="3416"/>
  <c r="BA258" i="3416"/>
  <c r="AZ258" i="3416"/>
  <c r="AY258" i="3416"/>
  <c r="AX258" i="3416"/>
  <c r="AW258" i="3416"/>
  <c r="AV258" i="3416"/>
  <c r="AU258" i="3416"/>
  <c r="AT258" i="3416"/>
  <c r="AS258" i="3416"/>
  <c r="AR258" i="3416"/>
  <c r="AQ258" i="3416"/>
  <c r="AP258" i="3416"/>
  <c r="AO258" i="3416"/>
  <c r="AN258" i="3416"/>
  <c r="AM258" i="3416"/>
  <c r="AL258" i="3416"/>
  <c r="AK258" i="3416"/>
  <c r="AJ258" i="3416"/>
  <c r="AI258" i="3416"/>
  <c r="AH258" i="3416"/>
  <c r="AG258" i="3416"/>
  <c r="AF258" i="3416"/>
  <c r="AE258" i="3416"/>
  <c r="AD258" i="3416"/>
  <c r="AC258" i="3416"/>
  <c r="AB258" i="3416"/>
  <c r="AA258" i="3416"/>
  <c r="Z258" i="3416"/>
  <c r="Y258" i="3416"/>
  <c r="X258" i="3416"/>
  <c r="W258" i="3416"/>
  <c r="V258" i="3416"/>
  <c r="U258" i="3416"/>
  <c r="T258" i="3416"/>
  <c r="S258" i="3416"/>
  <c r="R258" i="3416"/>
  <c r="Q258" i="3416"/>
  <c r="P258" i="3416"/>
  <c r="O258" i="3416"/>
  <c r="N258" i="3416"/>
  <c r="M258" i="3416"/>
  <c r="L258" i="3416"/>
  <c r="K258" i="3416"/>
  <c r="J258" i="3416"/>
  <c r="I258" i="3416"/>
  <c r="H258" i="3416"/>
  <c r="G258" i="3416"/>
  <c r="F258" i="3416"/>
  <c r="E258" i="3416"/>
  <c r="D258" i="3416"/>
  <c r="C258" i="3416" a="1"/>
  <c r="C258" i="3416"/>
  <c r="A258" i="3416"/>
  <c r="EM257" i="3416"/>
  <c r="EL257" i="3416"/>
  <c r="EK257" i="3416"/>
  <c r="EJ257" i="3416"/>
  <c r="EI257" i="3416"/>
  <c r="EH257" i="3416"/>
  <c r="EG257" i="3416"/>
  <c r="EF257" i="3416"/>
  <c r="EE257" i="3416"/>
  <c r="ED257" i="3416"/>
  <c r="EC257" i="3416"/>
  <c r="EB257" i="3416"/>
  <c r="EA257" i="3416"/>
  <c r="DZ257" i="3416"/>
  <c r="DY257" i="3416"/>
  <c r="DX257" i="3416"/>
  <c r="DW257" i="3416"/>
  <c r="DV257" i="3416"/>
  <c r="DU257" i="3416"/>
  <c r="DT257" i="3416"/>
  <c r="DS257" i="3416"/>
  <c r="DR257" i="3416"/>
  <c r="DQ257" i="3416"/>
  <c r="DP257" i="3416"/>
  <c r="DO257" i="3416"/>
  <c r="DN257" i="3416"/>
  <c r="DM257" i="3416"/>
  <c r="DL257" i="3416"/>
  <c r="DK257" i="3416"/>
  <c r="DJ257" i="3416"/>
  <c r="DI257" i="3416"/>
  <c r="DH257" i="3416"/>
  <c r="DG257" i="3416"/>
  <c r="DF257" i="3416"/>
  <c r="DE257" i="3416"/>
  <c r="DD257" i="3416"/>
  <c r="DC257" i="3416"/>
  <c r="DB257" i="3416"/>
  <c r="DA257" i="3416"/>
  <c r="CZ257" i="3416"/>
  <c r="CY257" i="3416"/>
  <c r="CX257" i="3416"/>
  <c r="CW257" i="3416"/>
  <c r="CV257" i="3416"/>
  <c r="CU257" i="3416"/>
  <c r="CT257" i="3416"/>
  <c r="CS257" i="3416"/>
  <c r="CR257" i="3416"/>
  <c r="CQ257" i="3416"/>
  <c r="CP257" i="3416"/>
  <c r="CO257" i="3416"/>
  <c r="CN257" i="3416"/>
  <c r="CM257" i="3416"/>
  <c r="CL257" i="3416"/>
  <c r="CK257" i="3416"/>
  <c r="CJ257" i="3416"/>
  <c r="CI257" i="3416"/>
  <c r="CH257" i="3416"/>
  <c r="CG257" i="3416"/>
  <c r="CF257" i="3416"/>
  <c r="CE257" i="3416"/>
  <c r="CD257" i="3416"/>
  <c r="CC257" i="3416"/>
  <c r="CB257" i="3416"/>
  <c r="CA257" i="3416"/>
  <c r="BZ257" i="3416"/>
  <c r="BY257" i="3416"/>
  <c r="BX257" i="3416"/>
  <c r="BW257" i="3416"/>
  <c r="BV257" i="3416"/>
  <c r="BU257" i="3416"/>
  <c r="BT257" i="3416"/>
  <c r="BS257" i="3416"/>
  <c r="BR257" i="3416"/>
  <c r="BQ257" i="3416"/>
  <c r="BP257" i="3416"/>
  <c r="BO257" i="3416"/>
  <c r="BN257" i="3416"/>
  <c r="BM257" i="3416"/>
  <c r="BL257" i="3416"/>
  <c r="BK257" i="3416"/>
  <c r="BJ257" i="3416"/>
  <c r="BI257" i="3416"/>
  <c r="BH257" i="3416"/>
  <c r="BG257" i="3416"/>
  <c r="BF257" i="3416"/>
  <c r="BE257" i="3416"/>
  <c r="BD257" i="3416"/>
  <c r="BC257" i="3416"/>
  <c r="BB257" i="3416"/>
  <c r="BA257" i="3416"/>
  <c r="AZ257" i="3416"/>
  <c r="AY257" i="3416"/>
  <c r="AX257" i="3416"/>
  <c r="AW257" i="3416"/>
  <c r="AV257" i="3416"/>
  <c r="AU257" i="3416"/>
  <c r="AT257" i="3416"/>
  <c r="AS257" i="3416"/>
  <c r="AR257" i="3416"/>
  <c r="AQ257" i="3416"/>
  <c r="AP257" i="3416"/>
  <c r="AO257" i="3416"/>
  <c r="AN257" i="3416"/>
  <c r="AM257" i="3416"/>
  <c r="AL257" i="3416"/>
  <c r="AK257" i="3416"/>
  <c r="AJ257" i="3416"/>
  <c r="AI257" i="3416"/>
  <c r="AH257" i="3416"/>
  <c r="AG257" i="3416"/>
  <c r="AF257" i="3416"/>
  <c r="AE257" i="3416"/>
  <c r="AD257" i="3416"/>
  <c r="AC257" i="3416"/>
  <c r="AB257" i="3416"/>
  <c r="AA257" i="3416"/>
  <c r="Z257" i="3416"/>
  <c r="Y257" i="3416"/>
  <c r="X257" i="3416"/>
  <c r="W257" i="3416"/>
  <c r="V257" i="3416"/>
  <c r="U257" i="3416"/>
  <c r="T257" i="3416"/>
  <c r="S257" i="3416"/>
  <c r="R257" i="3416"/>
  <c r="Q257" i="3416"/>
  <c r="P257" i="3416"/>
  <c r="O257" i="3416"/>
  <c r="N257" i="3416"/>
  <c r="M257" i="3416"/>
  <c r="L257" i="3416"/>
  <c r="K257" i="3416"/>
  <c r="J257" i="3416"/>
  <c r="I257" i="3416"/>
  <c r="H257" i="3416"/>
  <c r="G257" i="3416"/>
  <c r="F257" i="3416"/>
  <c r="E257" i="3416"/>
  <c r="D257" i="3416"/>
  <c r="C257" i="3416" a="1"/>
  <c r="C257" i="3416"/>
  <c r="A257" i="3416"/>
  <c r="EM256" i="3416"/>
  <c r="EL256" i="3416"/>
  <c r="EK256" i="3416"/>
  <c r="EJ256" i="3416"/>
  <c r="EI256" i="3416"/>
  <c r="EH256" i="3416"/>
  <c r="EG256" i="3416"/>
  <c r="EF256" i="3416"/>
  <c r="EE256" i="3416"/>
  <c r="ED256" i="3416"/>
  <c r="EC256" i="3416"/>
  <c r="EB256" i="3416"/>
  <c r="EA256" i="3416"/>
  <c r="DZ256" i="3416"/>
  <c r="DY256" i="3416"/>
  <c r="DX256" i="3416"/>
  <c r="DW256" i="3416"/>
  <c r="DV256" i="3416"/>
  <c r="DU256" i="3416"/>
  <c r="DT256" i="3416"/>
  <c r="DS256" i="3416"/>
  <c r="DR256" i="3416"/>
  <c r="DQ256" i="3416"/>
  <c r="DP256" i="3416"/>
  <c r="DO256" i="3416"/>
  <c r="DN256" i="3416"/>
  <c r="DM256" i="3416"/>
  <c r="DL256" i="3416"/>
  <c r="DK256" i="3416"/>
  <c r="DJ256" i="3416"/>
  <c r="DI256" i="3416"/>
  <c r="DH256" i="3416"/>
  <c r="DG256" i="3416"/>
  <c r="DF256" i="3416"/>
  <c r="DE256" i="3416"/>
  <c r="DD256" i="3416"/>
  <c r="DC256" i="3416"/>
  <c r="DB256" i="3416"/>
  <c r="DA256" i="3416"/>
  <c r="CZ256" i="3416"/>
  <c r="CY256" i="3416"/>
  <c r="CX256" i="3416"/>
  <c r="CW256" i="3416"/>
  <c r="CV256" i="3416"/>
  <c r="CU256" i="3416"/>
  <c r="CT256" i="3416"/>
  <c r="CS256" i="3416"/>
  <c r="CR256" i="3416"/>
  <c r="CQ256" i="3416"/>
  <c r="CP256" i="3416"/>
  <c r="CO256" i="3416"/>
  <c r="CN256" i="3416"/>
  <c r="CM256" i="3416"/>
  <c r="CL256" i="3416"/>
  <c r="CK256" i="3416"/>
  <c r="CJ256" i="3416"/>
  <c r="CI256" i="3416"/>
  <c r="CH256" i="3416"/>
  <c r="CG256" i="3416"/>
  <c r="CF256" i="3416"/>
  <c r="CE256" i="3416"/>
  <c r="CD256" i="3416"/>
  <c r="CC256" i="3416"/>
  <c r="CB256" i="3416"/>
  <c r="CA256" i="3416"/>
  <c r="BZ256" i="3416"/>
  <c r="BY256" i="3416"/>
  <c r="BX256" i="3416"/>
  <c r="BW256" i="3416"/>
  <c r="BV256" i="3416"/>
  <c r="BU256" i="3416"/>
  <c r="BT256" i="3416"/>
  <c r="BS256" i="3416"/>
  <c r="BR256" i="3416"/>
  <c r="BQ256" i="3416"/>
  <c r="BP256" i="3416"/>
  <c r="BO256" i="3416"/>
  <c r="BN256" i="3416"/>
  <c r="BM256" i="3416"/>
  <c r="BL256" i="3416"/>
  <c r="BK256" i="3416"/>
  <c r="BJ256" i="3416"/>
  <c r="BI256" i="3416"/>
  <c r="BH256" i="3416"/>
  <c r="BG256" i="3416"/>
  <c r="BF256" i="3416"/>
  <c r="BE256" i="3416"/>
  <c r="BD256" i="3416"/>
  <c r="BC256" i="3416"/>
  <c r="BB256" i="3416"/>
  <c r="BA256" i="3416"/>
  <c r="AZ256" i="3416"/>
  <c r="AY256" i="3416"/>
  <c r="AX256" i="3416"/>
  <c r="AW256" i="3416"/>
  <c r="AV256" i="3416"/>
  <c r="AU256" i="3416"/>
  <c r="AT256" i="3416"/>
  <c r="AS256" i="3416"/>
  <c r="AR256" i="3416"/>
  <c r="AQ256" i="3416"/>
  <c r="AP256" i="3416"/>
  <c r="AO256" i="3416"/>
  <c r="AN256" i="3416"/>
  <c r="AM256" i="3416"/>
  <c r="AL256" i="3416"/>
  <c r="AK256" i="3416"/>
  <c r="AJ256" i="3416"/>
  <c r="AI256" i="3416"/>
  <c r="AH256" i="3416"/>
  <c r="AG256" i="3416"/>
  <c r="AF256" i="3416"/>
  <c r="AE256" i="3416"/>
  <c r="AD256" i="3416"/>
  <c r="AC256" i="3416"/>
  <c r="AB256" i="3416"/>
  <c r="AA256" i="3416"/>
  <c r="Z256" i="3416"/>
  <c r="Y256" i="3416"/>
  <c r="X256" i="3416"/>
  <c r="W256" i="3416"/>
  <c r="V256" i="3416"/>
  <c r="U256" i="3416"/>
  <c r="T256" i="3416"/>
  <c r="S256" i="3416"/>
  <c r="R256" i="3416"/>
  <c r="Q256" i="3416"/>
  <c r="P256" i="3416"/>
  <c r="O256" i="3416"/>
  <c r="N256" i="3416"/>
  <c r="M256" i="3416"/>
  <c r="L256" i="3416"/>
  <c r="K256" i="3416"/>
  <c r="J256" i="3416"/>
  <c r="I256" i="3416"/>
  <c r="H256" i="3416"/>
  <c r="G256" i="3416"/>
  <c r="F256" i="3416"/>
  <c r="E256" i="3416"/>
  <c r="D256" i="3416"/>
  <c r="C256" i="3416" a="1"/>
  <c r="C256" i="3416"/>
  <c r="A256" i="3416"/>
  <c r="EM255" i="3416"/>
  <c r="EL255" i="3416"/>
  <c r="EK255" i="3416"/>
  <c r="EJ255" i="3416"/>
  <c r="EI255" i="3416"/>
  <c r="EH255" i="3416"/>
  <c r="EG255" i="3416"/>
  <c r="EF255" i="3416"/>
  <c r="EE255" i="3416"/>
  <c r="ED255" i="3416"/>
  <c r="EC255" i="3416"/>
  <c r="EB255" i="3416"/>
  <c r="EA255" i="3416"/>
  <c r="DZ255" i="3416"/>
  <c r="DY255" i="3416"/>
  <c r="DX255" i="3416"/>
  <c r="DW255" i="3416"/>
  <c r="DV255" i="3416"/>
  <c r="DU255" i="3416"/>
  <c r="DT255" i="3416"/>
  <c r="DS255" i="3416"/>
  <c r="DR255" i="3416"/>
  <c r="DQ255" i="3416"/>
  <c r="DP255" i="3416"/>
  <c r="DO255" i="3416"/>
  <c r="DN255" i="3416"/>
  <c r="DM255" i="3416"/>
  <c r="DL255" i="3416"/>
  <c r="DK255" i="3416"/>
  <c r="DJ255" i="3416"/>
  <c r="DI255" i="3416"/>
  <c r="DH255" i="3416"/>
  <c r="DG255" i="3416"/>
  <c r="DF255" i="3416"/>
  <c r="DE255" i="3416"/>
  <c r="DD255" i="3416"/>
  <c r="DC255" i="3416"/>
  <c r="DB255" i="3416"/>
  <c r="DA255" i="3416"/>
  <c r="CZ255" i="3416"/>
  <c r="CY255" i="3416"/>
  <c r="CX255" i="3416"/>
  <c r="CW255" i="3416"/>
  <c r="CV255" i="3416"/>
  <c r="CU255" i="3416"/>
  <c r="CT255" i="3416"/>
  <c r="CS255" i="3416"/>
  <c r="CR255" i="3416"/>
  <c r="CQ255" i="3416"/>
  <c r="CP255" i="3416"/>
  <c r="CO255" i="3416"/>
  <c r="CN255" i="3416"/>
  <c r="CM255" i="3416"/>
  <c r="CL255" i="3416"/>
  <c r="CK255" i="3416"/>
  <c r="CJ255" i="3416"/>
  <c r="CI255" i="3416"/>
  <c r="CH255" i="3416"/>
  <c r="CG255" i="3416"/>
  <c r="CF255" i="3416"/>
  <c r="CE255" i="3416"/>
  <c r="CD255" i="3416"/>
  <c r="CC255" i="3416"/>
  <c r="CB255" i="3416"/>
  <c r="CA255" i="3416"/>
  <c r="BZ255" i="3416"/>
  <c r="BY255" i="3416"/>
  <c r="BX255" i="3416"/>
  <c r="BW255" i="3416"/>
  <c r="BV255" i="3416"/>
  <c r="BU255" i="3416"/>
  <c r="BT255" i="3416"/>
  <c r="BS255" i="3416"/>
  <c r="BR255" i="3416"/>
  <c r="BQ255" i="3416"/>
  <c r="BP255" i="3416"/>
  <c r="BO255" i="3416"/>
  <c r="BN255" i="3416"/>
  <c r="BM255" i="3416"/>
  <c r="BL255" i="3416"/>
  <c r="BK255" i="3416"/>
  <c r="BJ255" i="3416"/>
  <c r="BI255" i="3416"/>
  <c r="BH255" i="3416"/>
  <c r="BG255" i="3416"/>
  <c r="BF255" i="3416"/>
  <c r="BE255" i="3416"/>
  <c r="BD255" i="3416"/>
  <c r="BC255" i="3416"/>
  <c r="BB255" i="3416"/>
  <c r="BA255" i="3416"/>
  <c r="AZ255" i="3416"/>
  <c r="AY255" i="3416"/>
  <c r="AX255" i="3416"/>
  <c r="AW255" i="3416"/>
  <c r="AV255" i="3416"/>
  <c r="AU255" i="3416"/>
  <c r="AT255" i="3416"/>
  <c r="AS255" i="3416"/>
  <c r="AR255" i="3416"/>
  <c r="AQ255" i="3416"/>
  <c r="AP255" i="3416"/>
  <c r="AO255" i="3416"/>
  <c r="AN255" i="3416"/>
  <c r="AM255" i="3416"/>
  <c r="AL255" i="3416"/>
  <c r="AK255" i="3416"/>
  <c r="AJ255" i="3416"/>
  <c r="AI255" i="3416"/>
  <c r="AH255" i="3416"/>
  <c r="AG255" i="3416"/>
  <c r="AF255" i="3416"/>
  <c r="AE255" i="3416"/>
  <c r="AD255" i="3416"/>
  <c r="AC255" i="3416"/>
  <c r="AB255" i="3416"/>
  <c r="AA255" i="3416"/>
  <c r="Z255" i="3416"/>
  <c r="Y255" i="3416"/>
  <c r="X255" i="3416"/>
  <c r="W255" i="3416"/>
  <c r="V255" i="3416"/>
  <c r="U255" i="3416"/>
  <c r="T255" i="3416"/>
  <c r="S255" i="3416"/>
  <c r="R255" i="3416"/>
  <c r="Q255" i="3416"/>
  <c r="P255" i="3416"/>
  <c r="O255" i="3416"/>
  <c r="N255" i="3416"/>
  <c r="M255" i="3416"/>
  <c r="L255" i="3416"/>
  <c r="K255" i="3416"/>
  <c r="J255" i="3416"/>
  <c r="I255" i="3416"/>
  <c r="H255" i="3416"/>
  <c r="G255" i="3416"/>
  <c r="F255" i="3416"/>
  <c r="E255" i="3416"/>
  <c r="D255" i="3416"/>
  <c r="C255" i="3416" a="1"/>
  <c r="C255" i="3416"/>
  <c r="A255" i="3416"/>
  <c r="EM254" i="3416"/>
  <c r="EL254" i="3416"/>
  <c r="EK254" i="3416"/>
  <c r="EJ254" i="3416"/>
  <c r="EI254" i="3416"/>
  <c r="EH254" i="3416"/>
  <c r="EG254" i="3416"/>
  <c r="EF254" i="3416"/>
  <c r="EE254" i="3416"/>
  <c r="ED254" i="3416"/>
  <c r="EC254" i="3416"/>
  <c r="EB254" i="3416"/>
  <c r="EA254" i="3416"/>
  <c r="DZ254" i="3416"/>
  <c r="DY254" i="3416"/>
  <c r="DX254" i="3416"/>
  <c r="DW254" i="3416"/>
  <c r="DV254" i="3416"/>
  <c r="DU254" i="3416"/>
  <c r="DT254" i="3416"/>
  <c r="DS254" i="3416"/>
  <c r="DR254" i="3416"/>
  <c r="DQ254" i="3416"/>
  <c r="DP254" i="3416"/>
  <c r="DO254" i="3416"/>
  <c r="DN254" i="3416"/>
  <c r="DM254" i="3416"/>
  <c r="DL254" i="3416"/>
  <c r="DK254" i="3416"/>
  <c r="DJ254" i="3416"/>
  <c r="DI254" i="3416"/>
  <c r="DH254" i="3416"/>
  <c r="DG254" i="3416"/>
  <c r="DF254" i="3416"/>
  <c r="DE254" i="3416"/>
  <c r="DD254" i="3416"/>
  <c r="DC254" i="3416"/>
  <c r="DB254" i="3416"/>
  <c r="DA254" i="3416"/>
  <c r="CZ254" i="3416"/>
  <c r="CY254" i="3416"/>
  <c r="CX254" i="3416"/>
  <c r="CW254" i="3416"/>
  <c r="CV254" i="3416"/>
  <c r="CU254" i="3416"/>
  <c r="CT254" i="3416"/>
  <c r="CS254" i="3416"/>
  <c r="CR254" i="3416"/>
  <c r="CQ254" i="3416"/>
  <c r="CP254" i="3416"/>
  <c r="CO254" i="3416"/>
  <c r="CN254" i="3416"/>
  <c r="CM254" i="3416"/>
  <c r="CL254" i="3416"/>
  <c r="CK254" i="3416"/>
  <c r="CJ254" i="3416"/>
  <c r="CI254" i="3416"/>
  <c r="CH254" i="3416"/>
  <c r="CG254" i="3416"/>
  <c r="CF254" i="3416"/>
  <c r="CE254" i="3416"/>
  <c r="CD254" i="3416"/>
  <c r="CC254" i="3416"/>
  <c r="CB254" i="3416"/>
  <c r="CA254" i="3416"/>
  <c r="BZ254" i="3416"/>
  <c r="BY254" i="3416"/>
  <c r="BX254" i="3416"/>
  <c r="BW254" i="3416"/>
  <c r="BV254" i="3416"/>
  <c r="BU254" i="3416"/>
  <c r="BT254" i="3416"/>
  <c r="BS254" i="3416"/>
  <c r="BR254" i="3416"/>
  <c r="BQ254" i="3416"/>
  <c r="BP254" i="3416"/>
  <c r="BO254" i="3416"/>
  <c r="BN254" i="3416"/>
  <c r="BM254" i="3416"/>
  <c r="BL254" i="3416"/>
  <c r="BK254" i="3416"/>
  <c r="BJ254" i="3416"/>
  <c r="BI254" i="3416"/>
  <c r="BH254" i="3416"/>
  <c r="BG254" i="3416"/>
  <c r="BF254" i="3416"/>
  <c r="BE254" i="3416"/>
  <c r="BD254" i="3416"/>
  <c r="BC254" i="3416"/>
  <c r="BB254" i="3416"/>
  <c r="BA254" i="3416"/>
  <c r="AZ254" i="3416"/>
  <c r="AY254" i="3416"/>
  <c r="AX254" i="3416"/>
  <c r="AW254" i="3416"/>
  <c r="AV254" i="3416"/>
  <c r="AU254" i="3416"/>
  <c r="AT254" i="3416"/>
  <c r="AS254" i="3416"/>
  <c r="AR254" i="3416"/>
  <c r="AQ254" i="3416"/>
  <c r="AP254" i="3416"/>
  <c r="AO254" i="3416"/>
  <c r="AN254" i="3416"/>
  <c r="AM254" i="3416"/>
  <c r="AL254" i="3416"/>
  <c r="AK254" i="3416"/>
  <c r="AJ254" i="3416"/>
  <c r="AI254" i="3416"/>
  <c r="AH254" i="3416"/>
  <c r="AG254" i="3416"/>
  <c r="AF254" i="3416"/>
  <c r="AE254" i="3416"/>
  <c r="AD254" i="3416"/>
  <c r="AC254" i="3416"/>
  <c r="AB254" i="3416"/>
  <c r="AA254" i="3416"/>
  <c r="Z254" i="3416"/>
  <c r="Y254" i="3416"/>
  <c r="X254" i="3416"/>
  <c r="W254" i="3416"/>
  <c r="V254" i="3416"/>
  <c r="U254" i="3416"/>
  <c r="T254" i="3416"/>
  <c r="S254" i="3416"/>
  <c r="R254" i="3416"/>
  <c r="Q254" i="3416"/>
  <c r="P254" i="3416"/>
  <c r="O254" i="3416"/>
  <c r="N254" i="3416"/>
  <c r="M254" i="3416"/>
  <c r="L254" i="3416"/>
  <c r="K254" i="3416"/>
  <c r="J254" i="3416"/>
  <c r="I254" i="3416"/>
  <c r="H254" i="3416"/>
  <c r="G254" i="3416"/>
  <c r="F254" i="3416"/>
  <c r="E254" i="3416"/>
  <c r="D254" i="3416"/>
  <c r="C254" i="3416" a="1"/>
  <c r="C254" i="3416"/>
  <c r="A254" i="3416"/>
  <c r="EM253" i="3416"/>
  <c r="EL253" i="3416"/>
  <c r="EK253" i="3416"/>
  <c r="EJ253" i="3416"/>
  <c r="EI253" i="3416"/>
  <c r="EH253" i="3416"/>
  <c r="EG253" i="3416"/>
  <c r="EF253" i="3416"/>
  <c r="EE253" i="3416"/>
  <c r="ED253" i="3416"/>
  <c r="EC253" i="3416"/>
  <c r="EB253" i="3416"/>
  <c r="EA253" i="3416"/>
  <c r="DZ253" i="3416"/>
  <c r="DY253" i="3416"/>
  <c r="DX253" i="3416"/>
  <c r="DW253" i="3416"/>
  <c r="DV253" i="3416"/>
  <c r="DU253" i="3416"/>
  <c r="DT253" i="3416"/>
  <c r="DS253" i="3416"/>
  <c r="DR253" i="3416"/>
  <c r="DQ253" i="3416"/>
  <c r="DP253" i="3416"/>
  <c r="DO253" i="3416"/>
  <c r="DN253" i="3416"/>
  <c r="DM253" i="3416"/>
  <c r="DL253" i="3416"/>
  <c r="DK253" i="3416"/>
  <c r="DJ253" i="3416"/>
  <c r="DI253" i="3416"/>
  <c r="DH253" i="3416"/>
  <c r="DG253" i="3416"/>
  <c r="DF253" i="3416"/>
  <c r="DE253" i="3416"/>
  <c r="DD253" i="3416"/>
  <c r="DC253" i="3416"/>
  <c r="DB253" i="3416"/>
  <c r="DA253" i="3416"/>
  <c r="CZ253" i="3416"/>
  <c r="CY253" i="3416"/>
  <c r="CX253" i="3416"/>
  <c r="CW253" i="3416"/>
  <c r="CV253" i="3416"/>
  <c r="CU253" i="3416"/>
  <c r="CT253" i="3416"/>
  <c r="CS253" i="3416"/>
  <c r="CR253" i="3416"/>
  <c r="CQ253" i="3416"/>
  <c r="CP253" i="3416"/>
  <c r="CO253" i="3416"/>
  <c r="CN253" i="3416"/>
  <c r="CM253" i="3416"/>
  <c r="CL253" i="3416"/>
  <c r="CK253" i="3416"/>
  <c r="CJ253" i="3416"/>
  <c r="CI253" i="3416"/>
  <c r="CH253" i="3416"/>
  <c r="CG253" i="3416"/>
  <c r="CF253" i="3416"/>
  <c r="CE253" i="3416"/>
  <c r="CD253" i="3416"/>
  <c r="CC253" i="3416"/>
  <c r="CB253" i="3416"/>
  <c r="CA253" i="3416"/>
  <c r="BZ253" i="3416"/>
  <c r="BY253" i="3416"/>
  <c r="BX253" i="3416"/>
  <c r="BW253" i="3416"/>
  <c r="BV253" i="3416"/>
  <c r="BU253" i="3416"/>
  <c r="BT253" i="3416"/>
  <c r="BS253" i="3416"/>
  <c r="BR253" i="3416"/>
  <c r="BQ253" i="3416"/>
  <c r="BP253" i="3416"/>
  <c r="BO253" i="3416"/>
  <c r="BN253" i="3416"/>
  <c r="BM253" i="3416"/>
  <c r="BL253" i="3416"/>
  <c r="BK253" i="3416"/>
  <c r="BJ253" i="3416"/>
  <c r="BI253" i="3416"/>
  <c r="BH253" i="3416"/>
  <c r="BG253" i="3416"/>
  <c r="BF253" i="3416"/>
  <c r="BE253" i="3416"/>
  <c r="BD253" i="3416"/>
  <c r="BC253" i="3416"/>
  <c r="BB253" i="3416"/>
  <c r="BA253" i="3416"/>
  <c r="AZ253" i="3416"/>
  <c r="AY253" i="3416"/>
  <c r="AX253" i="3416"/>
  <c r="AW253" i="3416"/>
  <c r="AV253" i="3416"/>
  <c r="AU253" i="3416"/>
  <c r="AT253" i="3416"/>
  <c r="AS253" i="3416"/>
  <c r="AR253" i="3416"/>
  <c r="AQ253" i="3416"/>
  <c r="AP253" i="3416"/>
  <c r="AO253" i="3416"/>
  <c r="AN253" i="3416"/>
  <c r="AM253" i="3416"/>
  <c r="AL253" i="3416"/>
  <c r="AK253" i="3416"/>
  <c r="AJ253" i="3416"/>
  <c r="AI253" i="3416"/>
  <c r="AH253" i="3416"/>
  <c r="AG253" i="3416"/>
  <c r="AF253" i="3416"/>
  <c r="AE253" i="3416"/>
  <c r="AD253" i="3416"/>
  <c r="AC253" i="3416"/>
  <c r="AB253" i="3416"/>
  <c r="AA253" i="3416"/>
  <c r="Z253" i="3416"/>
  <c r="Y253" i="3416"/>
  <c r="X253" i="3416"/>
  <c r="W253" i="3416"/>
  <c r="V253" i="3416"/>
  <c r="U253" i="3416"/>
  <c r="T253" i="3416"/>
  <c r="S253" i="3416"/>
  <c r="R253" i="3416"/>
  <c r="Q253" i="3416"/>
  <c r="P253" i="3416"/>
  <c r="O253" i="3416"/>
  <c r="N253" i="3416"/>
  <c r="M253" i="3416"/>
  <c r="L253" i="3416"/>
  <c r="K253" i="3416"/>
  <c r="J253" i="3416"/>
  <c r="I253" i="3416"/>
  <c r="H253" i="3416"/>
  <c r="G253" i="3416"/>
  <c r="F253" i="3416"/>
  <c r="E253" i="3416"/>
  <c r="D253" i="3416"/>
  <c r="C253" i="3416" a="1"/>
  <c r="C253" i="3416"/>
  <c r="A253" i="3416"/>
  <c r="EM252" i="3416"/>
  <c r="EL252" i="3416"/>
  <c r="EK252" i="3416"/>
  <c r="EJ252" i="3416"/>
  <c r="EI252" i="3416"/>
  <c r="EH252" i="3416"/>
  <c r="EG252" i="3416"/>
  <c r="EF252" i="3416"/>
  <c r="EE252" i="3416"/>
  <c r="ED252" i="3416"/>
  <c r="EC252" i="3416"/>
  <c r="EB252" i="3416"/>
  <c r="EA252" i="3416"/>
  <c r="DZ252" i="3416"/>
  <c r="DY252" i="3416"/>
  <c r="DX252" i="3416"/>
  <c r="DW252" i="3416"/>
  <c r="DV252" i="3416"/>
  <c r="DU252" i="3416"/>
  <c r="DT252" i="3416"/>
  <c r="DS252" i="3416"/>
  <c r="DR252" i="3416"/>
  <c r="DQ252" i="3416"/>
  <c r="DP252" i="3416"/>
  <c r="DO252" i="3416"/>
  <c r="DN252" i="3416"/>
  <c r="DM252" i="3416"/>
  <c r="DL252" i="3416"/>
  <c r="DK252" i="3416"/>
  <c r="DJ252" i="3416"/>
  <c r="DI252" i="3416"/>
  <c r="DH252" i="3416"/>
  <c r="DG252" i="3416"/>
  <c r="DF252" i="3416"/>
  <c r="DE252" i="3416"/>
  <c r="DD252" i="3416"/>
  <c r="DC252" i="3416"/>
  <c r="DB252" i="3416"/>
  <c r="DA252" i="3416"/>
  <c r="CZ252" i="3416"/>
  <c r="CY252" i="3416"/>
  <c r="CX252" i="3416"/>
  <c r="CW252" i="3416"/>
  <c r="CV252" i="3416"/>
  <c r="CU252" i="3416"/>
  <c r="CT252" i="3416"/>
  <c r="CS252" i="3416"/>
  <c r="CR252" i="3416"/>
  <c r="CQ252" i="3416"/>
  <c r="CP252" i="3416"/>
  <c r="CO252" i="3416"/>
  <c r="CN252" i="3416"/>
  <c r="CM252" i="3416"/>
  <c r="CL252" i="3416"/>
  <c r="CK252" i="3416"/>
  <c r="CJ252" i="3416"/>
  <c r="CI252" i="3416"/>
  <c r="CH252" i="3416"/>
  <c r="CG252" i="3416"/>
  <c r="CF252" i="3416"/>
  <c r="CE252" i="3416"/>
  <c r="CD252" i="3416"/>
  <c r="CC252" i="3416"/>
  <c r="CB252" i="3416"/>
  <c r="CA252" i="3416"/>
  <c r="BZ252" i="3416"/>
  <c r="BY252" i="3416"/>
  <c r="BX252" i="3416"/>
  <c r="BW252" i="3416"/>
  <c r="BV252" i="3416"/>
  <c r="BU252" i="3416"/>
  <c r="BT252" i="3416"/>
  <c r="BS252" i="3416"/>
  <c r="BR252" i="3416"/>
  <c r="BQ252" i="3416"/>
  <c r="BP252" i="3416"/>
  <c r="BO252" i="3416"/>
  <c r="BN252" i="3416"/>
  <c r="BM252" i="3416"/>
  <c r="BL252" i="3416"/>
  <c r="BK252" i="3416"/>
  <c r="BJ252" i="3416"/>
  <c r="BI252" i="3416"/>
  <c r="BH252" i="3416"/>
  <c r="BG252" i="3416"/>
  <c r="BF252" i="3416"/>
  <c r="BE252" i="3416"/>
  <c r="BD252" i="3416"/>
  <c r="BC252" i="3416"/>
  <c r="BB252" i="3416"/>
  <c r="BA252" i="3416"/>
  <c r="AZ252" i="3416"/>
  <c r="AY252" i="3416"/>
  <c r="AX252" i="3416"/>
  <c r="AW252" i="3416"/>
  <c r="AV252" i="3416"/>
  <c r="AU252" i="3416"/>
  <c r="AT252" i="3416"/>
  <c r="AS252" i="3416"/>
  <c r="AR252" i="3416"/>
  <c r="AQ252" i="3416"/>
  <c r="AP252" i="3416"/>
  <c r="AO252" i="3416"/>
  <c r="AN252" i="3416"/>
  <c r="AM252" i="3416"/>
  <c r="AL252" i="3416"/>
  <c r="AK252" i="3416"/>
  <c r="AJ252" i="3416"/>
  <c r="AI252" i="3416"/>
  <c r="AH252" i="3416"/>
  <c r="AG252" i="3416"/>
  <c r="AF252" i="3416"/>
  <c r="AE252" i="3416"/>
  <c r="AD252" i="3416"/>
  <c r="AC252" i="3416"/>
  <c r="AB252" i="3416"/>
  <c r="AA252" i="3416"/>
  <c r="Z252" i="3416"/>
  <c r="Y252" i="3416"/>
  <c r="X252" i="3416"/>
  <c r="W252" i="3416"/>
  <c r="V252" i="3416"/>
  <c r="U252" i="3416"/>
  <c r="T252" i="3416"/>
  <c r="S252" i="3416"/>
  <c r="R252" i="3416"/>
  <c r="Q252" i="3416"/>
  <c r="P252" i="3416"/>
  <c r="O252" i="3416"/>
  <c r="N252" i="3416"/>
  <c r="M252" i="3416"/>
  <c r="L252" i="3416"/>
  <c r="K252" i="3416"/>
  <c r="J252" i="3416"/>
  <c r="I252" i="3416"/>
  <c r="H252" i="3416"/>
  <c r="G252" i="3416"/>
  <c r="F252" i="3416"/>
  <c r="E252" i="3416"/>
  <c r="D252" i="3416"/>
  <c r="C252" i="3416" a="1"/>
  <c r="C252" i="3416"/>
  <c r="A252" i="3416"/>
  <c r="EM251" i="3416"/>
  <c r="EL251" i="3416"/>
  <c r="EK251" i="3416"/>
  <c r="EJ251" i="3416"/>
  <c r="EI251" i="3416"/>
  <c r="EH251" i="3416"/>
  <c r="EG251" i="3416"/>
  <c r="EF251" i="3416"/>
  <c r="EE251" i="3416"/>
  <c r="ED251" i="3416"/>
  <c r="EC251" i="3416"/>
  <c r="EB251" i="3416"/>
  <c r="EA251" i="3416"/>
  <c r="DZ251" i="3416"/>
  <c r="DY251" i="3416"/>
  <c r="DX251" i="3416"/>
  <c r="DW251" i="3416"/>
  <c r="DV251" i="3416"/>
  <c r="DU251" i="3416"/>
  <c r="DT251" i="3416"/>
  <c r="DS251" i="3416"/>
  <c r="DR251" i="3416"/>
  <c r="DQ251" i="3416"/>
  <c r="DP251" i="3416"/>
  <c r="DO251" i="3416"/>
  <c r="DN251" i="3416"/>
  <c r="DM251" i="3416"/>
  <c r="DL251" i="3416"/>
  <c r="DK251" i="3416"/>
  <c r="DJ251" i="3416"/>
  <c r="DI251" i="3416"/>
  <c r="DH251" i="3416"/>
  <c r="DG251" i="3416"/>
  <c r="DF251" i="3416"/>
  <c r="DE251" i="3416"/>
  <c r="DD251" i="3416"/>
  <c r="DC251" i="3416"/>
  <c r="DB251" i="3416"/>
  <c r="DA251" i="3416"/>
  <c r="CZ251" i="3416"/>
  <c r="CY251" i="3416"/>
  <c r="CX251" i="3416"/>
  <c r="CW251" i="3416"/>
  <c r="CV251" i="3416"/>
  <c r="CU251" i="3416"/>
  <c r="CT251" i="3416"/>
  <c r="CS251" i="3416"/>
  <c r="CR251" i="3416"/>
  <c r="CQ251" i="3416"/>
  <c r="CP251" i="3416"/>
  <c r="CO251" i="3416"/>
  <c r="CN251" i="3416"/>
  <c r="CM251" i="3416"/>
  <c r="CL251" i="3416"/>
  <c r="CK251" i="3416"/>
  <c r="CJ251" i="3416"/>
  <c r="CI251" i="3416"/>
  <c r="CH251" i="3416"/>
  <c r="CG251" i="3416"/>
  <c r="CF251" i="3416"/>
  <c r="CE251" i="3416"/>
  <c r="CD251" i="3416"/>
  <c r="CC251" i="3416"/>
  <c r="CB251" i="3416"/>
  <c r="CA251" i="3416"/>
  <c r="BZ251" i="3416"/>
  <c r="BY251" i="3416"/>
  <c r="BX251" i="3416"/>
  <c r="BW251" i="3416"/>
  <c r="BV251" i="3416"/>
  <c r="BU251" i="3416"/>
  <c r="BT251" i="3416"/>
  <c r="BS251" i="3416"/>
  <c r="BR251" i="3416"/>
  <c r="BQ251" i="3416"/>
  <c r="BP251" i="3416"/>
  <c r="BO251" i="3416"/>
  <c r="BN251" i="3416"/>
  <c r="BM251" i="3416"/>
  <c r="BL251" i="3416"/>
  <c r="BK251" i="3416"/>
  <c r="BJ251" i="3416"/>
  <c r="BI251" i="3416"/>
  <c r="BH251" i="3416"/>
  <c r="BG251" i="3416"/>
  <c r="BF251" i="3416"/>
  <c r="BE251" i="3416"/>
  <c r="BD251" i="3416"/>
  <c r="BC251" i="3416"/>
  <c r="BB251" i="3416"/>
  <c r="BA251" i="3416"/>
  <c r="AZ251" i="3416"/>
  <c r="AY251" i="3416"/>
  <c r="AX251" i="3416"/>
  <c r="AW251" i="3416"/>
  <c r="AV251" i="3416"/>
  <c r="AU251" i="3416"/>
  <c r="AT251" i="3416"/>
  <c r="AS251" i="3416"/>
  <c r="AR251" i="3416"/>
  <c r="AQ251" i="3416"/>
  <c r="AP251" i="3416"/>
  <c r="AO251" i="3416"/>
  <c r="AN251" i="3416"/>
  <c r="AM251" i="3416"/>
  <c r="AL251" i="3416"/>
  <c r="AK251" i="3416"/>
  <c r="AJ251" i="3416"/>
  <c r="AI251" i="3416"/>
  <c r="AH251" i="3416"/>
  <c r="AG251" i="3416"/>
  <c r="AF251" i="3416"/>
  <c r="AE251" i="3416"/>
  <c r="AD251" i="3416"/>
  <c r="AC251" i="3416"/>
  <c r="AB251" i="3416"/>
  <c r="AA251" i="3416"/>
  <c r="Z251" i="3416"/>
  <c r="Y251" i="3416"/>
  <c r="X251" i="3416"/>
  <c r="W251" i="3416"/>
  <c r="V251" i="3416"/>
  <c r="U251" i="3416"/>
  <c r="T251" i="3416"/>
  <c r="S251" i="3416"/>
  <c r="R251" i="3416"/>
  <c r="Q251" i="3416"/>
  <c r="P251" i="3416"/>
  <c r="O251" i="3416"/>
  <c r="N251" i="3416"/>
  <c r="M251" i="3416"/>
  <c r="L251" i="3416"/>
  <c r="K251" i="3416"/>
  <c r="J251" i="3416"/>
  <c r="I251" i="3416"/>
  <c r="H251" i="3416"/>
  <c r="G251" i="3416"/>
  <c r="F251" i="3416"/>
  <c r="E251" i="3416"/>
  <c r="D251" i="3416"/>
  <c r="C251" i="3416" a="1"/>
  <c r="C251" i="3416"/>
  <c r="A251" i="3416"/>
  <c r="EM250" i="3416"/>
  <c r="EL250" i="3416"/>
  <c r="EK250" i="3416"/>
  <c r="EJ250" i="3416"/>
  <c r="EI250" i="3416"/>
  <c r="EH250" i="3416"/>
  <c r="EG250" i="3416"/>
  <c r="EF250" i="3416"/>
  <c r="EE250" i="3416"/>
  <c r="ED250" i="3416"/>
  <c r="EC250" i="3416"/>
  <c r="EB250" i="3416"/>
  <c r="EA250" i="3416"/>
  <c r="DZ250" i="3416"/>
  <c r="DY250" i="3416"/>
  <c r="DX250" i="3416"/>
  <c r="DW250" i="3416"/>
  <c r="DV250" i="3416"/>
  <c r="DU250" i="3416"/>
  <c r="DT250" i="3416"/>
  <c r="DS250" i="3416"/>
  <c r="DR250" i="3416"/>
  <c r="DQ250" i="3416"/>
  <c r="DP250" i="3416"/>
  <c r="DO250" i="3416"/>
  <c r="DN250" i="3416"/>
  <c r="DM250" i="3416"/>
  <c r="DL250" i="3416"/>
  <c r="DK250" i="3416"/>
  <c r="DJ250" i="3416"/>
  <c r="DI250" i="3416"/>
  <c r="DH250" i="3416"/>
  <c r="DG250" i="3416"/>
  <c r="DF250" i="3416"/>
  <c r="DE250" i="3416"/>
  <c r="DD250" i="3416"/>
  <c r="DC250" i="3416"/>
  <c r="DB250" i="3416"/>
  <c r="DA250" i="3416"/>
  <c r="CZ250" i="3416"/>
  <c r="CY250" i="3416"/>
  <c r="CX250" i="3416"/>
  <c r="CW250" i="3416"/>
  <c r="CV250" i="3416"/>
  <c r="CU250" i="3416"/>
  <c r="CT250" i="3416"/>
  <c r="CS250" i="3416"/>
  <c r="CR250" i="3416"/>
  <c r="CQ250" i="3416"/>
  <c r="CP250" i="3416"/>
  <c r="CO250" i="3416"/>
  <c r="CN250" i="3416"/>
  <c r="CM250" i="3416"/>
  <c r="CL250" i="3416"/>
  <c r="CK250" i="3416"/>
  <c r="CJ250" i="3416"/>
  <c r="CI250" i="3416"/>
  <c r="CH250" i="3416"/>
  <c r="CG250" i="3416"/>
  <c r="CF250" i="3416"/>
  <c r="CE250" i="3416"/>
  <c r="CD250" i="3416"/>
  <c r="CC250" i="3416"/>
  <c r="CB250" i="3416"/>
  <c r="CA250" i="3416"/>
  <c r="BZ250" i="3416"/>
  <c r="BY250" i="3416"/>
  <c r="BX250" i="3416"/>
  <c r="BW250" i="3416"/>
  <c r="BV250" i="3416"/>
  <c r="BU250" i="3416"/>
  <c r="BT250" i="3416"/>
  <c r="BS250" i="3416"/>
  <c r="BR250" i="3416"/>
  <c r="BQ250" i="3416"/>
  <c r="BP250" i="3416"/>
  <c r="BO250" i="3416"/>
  <c r="BN250" i="3416"/>
  <c r="BM250" i="3416"/>
  <c r="BL250" i="3416"/>
  <c r="BK250" i="3416"/>
  <c r="BJ250" i="3416"/>
  <c r="BI250" i="3416"/>
  <c r="BH250" i="3416"/>
  <c r="BG250" i="3416"/>
  <c r="BF250" i="3416"/>
  <c r="BE250" i="3416"/>
  <c r="BD250" i="3416"/>
  <c r="BC250" i="3416"/>
  <c r="BB250" i="3416"/>
  <c r="BA250" i="3416"/>
  <c r="AZ250" i="3416"/>
  <c r="AY250" i="3416"/>
  <c r="AX250" i="3416"/>
  <c r="AW250" i="3416"/>
  <c r="AV250" i="3416"/>
  <c r="AU250" i="3416"/>
  <c r="AT250" i="3416"/>
  <c r="AS250" i="3416"/>
  <c r="AR250" i="3416"/>
  <c r="AQ250" i="3416"/>
  <c r="AP250" i="3416"/>
  <c r="AO250" i="3416"/>
  <c r="AN250" i="3416"/>
  <c r="AM250" i="3416"/>
  <c r="AL250" i="3416"/>
  <c r="AK250" i="3416"/>
  <c r="AJ250" i="3416"/>
  <c r="AI250" i="3416"/>
  <c r="AH250" i="3416"/>
  <c r="AG250" i="3416"/>
  <c r="AF250" i="3416"/>
  <c r="AE250" i="3416"/>
  <c r="AD250" i="3416"/>
  <c r="AC250" i="3416"/>
  <c r="AB250" i="3416"/>
  <c r="AA250" i="3416"/>
  <c r="Z250" i="3416"/>
  <c r="Y250" i="3416"/>
  <c r="X250" i="3416"/>
  <c r="W250" i="3416"/>
  <c r="V250" i="3416"/>
  <c r="U250" i="3416"/>
  <c r="T250" i="3416"/>
  <c r="S250" i="3416"/>
  <c r="R250" i="3416"/>
  <c r="Q250" i="3416"/>
  <c r="P250" i="3416"/>
  <c r="O250" i="3416"/>
  <c r="N250" i="3416"/>
  <c r="M250" i="3416"/>
  <c r="L250" i="3416"/>
  <c r="K250" i="3416"/>
  <c r="J250" i="3416"/>
  <c r="I250" i="3416"/>
  <c r="H250" i="3416"/>
  <c r="G250" i="3416"/>
  <c r="F250" i="3416"/>
  <c r="E250" i="3416"/>
  <c r="D250" i="3416"/>
  <c r="C250" i="3416" a="1"/>
  <c r="C250" i="3416"/>
  <c r="A250" i="3416"/>
  <c r="EM249" i="3416"/>
  <c r="EL249" i="3416"/>
  <c r="EK249" i="3416"/>
  <c r="EJ249" i="3416"/>
  <c r="EI249" i="3416"/>
  <c r="EH249" i="3416"/>
  <c r="EG249" i="3416"/>
  <c r="EF249" i="3416"/>
  <c r="EE249" i="3416"/>
  <c r="ED249" i="3416"/>
  <c r="EC249" i="3416"/>
  <c r="EB249" i="3416"/>
  <c r="EA249" i="3416"/>
  <c r="DZ249" i="3416"/>
  <c r="DY249" i="3416"/>
  <c r="DX249" i="3416"/>
  <c r="DW249" i="3416"/>
  <c r="DV249" i="3416"/>
  <c r="DU249" i="3416"/>
  <c r="DT249" i="3416"/>
  <c r="DS249" i="3416"/>
  <c r="DR249" i="3416"/>
  <c r="DQ249" i="3416"/>
  <c r="DP249" i="3416"/>
  <c r="DO249" i="3416"/>
  <c r="DN249" i="3416"/>
  <c r="DM249" i="3416"/>
  <c r="DL249" i="3416"/>
  <c r="DK249" i="3416"/>
  <c r="DJ249" i="3416"/>
  <c r="DI249" i="3416"/>
  <c r="DH249" i="3416"/>
  <c r="DG249" i="3416"/>
  <c r="DF249" i="3416"/>
  <c r="DE249" i="3416"/>
  <c r="DD249" i="3416"/>
  <c r="DC249" i="3416"/>
  <c r="DB249" i="3416"/>
  <c r="DA249" i="3416"/>
  <c r="CZ249" i="3416"/>
  <c r="CY249" i="3416"/>
  <c r="CX249" i="3416"/>
  <c r="CW249" i="3416"/>
  <c r="CV249" i="3416"/>
  <c r="CU249" i="3416"/>
  <c r="CT249" i="3416"/>
  <c r="CS249" i="3416"/>
  <c r="CR249" i="3416"/>
  <c r="CQ249" i="3416"/>
  <c r="CP249" i="3416"/>
  <c r="CO249" i="3416"/>
  <c r="CN249" i="3416"/>
  <c r="CM249" i="3416"/>
  <c r="CL249" i="3416"/>
  <c r="CK249" i="3416"/>
  <c r="CJ249" i="3416"/>
  <c r="CI249" i="3416"/>
  <c r="CH249" i="3416"/>
  <c r="CG249" i="3416"/>
  <c r="CF249" i="3416"/>
  <c r="CE249" i="3416"/>
  <c r="CD249" i="3416"/>
  <c r="CC249" i="3416"/>
  <c r="CB249" i="3416"/>
  <c r="CA249" i="3416"/>
  <c r="BZ249" i="3416"/>
  <c r="BY249" i="3416"/>
  <c r="BX249" i="3416"/>
  <c r="BW249" i="3416"/>
  <c r="BV249" i="3416"/>
  <c r="BU249" i="3416"/>
  <c r="BT249" i="3416"/>
  <c r="BS249" i="3416"/>
  <c r="BR249" i="3416"/>
  <c r="BQ249" i="3416"/>
  <c r="BP249" i="3416"/>
  <c r="BO249" i="3416"/>
  <c r="BN249" i="3416"/>
  <c r="BM249" i="3416"/>
  <c r="BL249" i="3416"/>
  <c r="BK249" i="3416"/>
  <c r="BJ249" i="3416"/>
  <c r="BI249" i="3416"/>
  <c r="BH249" i="3416"/>
  <c r="BG249" i="3416"/>
  <c r="BF249" i="3416"/>
  <c r="BE249" i="3416"/>
  <c r="BD249" i="3416"/>
  <c r="BC249" i="3416"/>
  <c r="BB249" i="3416"/>
  <c r="BA249" i="3416"/>
  <c r="AZ249" i="3416"/>
  <c r="AY249" i="3416"/>
  <c r="AX249" i="3416"/>
  <c r="AW249" i="3416"/>
  <c r="AV249" i="3416"/>
  <c r="AU249" i="3416"/>
  <c r="AT249" i="3416"/>
  <c r="AS249" i="3416"/>
  <c r="AR249" i="3416"/>
  <c r="AQ249" i="3416"/>
  <c r="AP249" i="3416"/>
  <c r="AO249" i="3416"/>
  <c r="AN249" i="3416"/>
  <c r="AM249" i="3416"/>
  <c r="AL249" i="3416"/>
  <c r="AK249" i="3416"/>
  <c r="AJ249" i="3416"/>
  <c r="AI249" i="3416"/>
  <c r="AH249" i="3416"/>
  <c r="AG249" i="3416"/>
  <c r="AF249" i="3416"/>
  <c r="AE249" i="3416"/>
  <c r="AD249" i="3416"/>
  <c r="AC249" i="3416"/>
  <c r="AB249" i="3416"/>
  <c r="AA249" i="3416"/>
  <c r="Z249" i="3416"/>
  <c r="Y249" i="3416"/>
  <c r="X249" i="3416"/>
  <c r="W249" i="3416"/>
  <c r="V249" i="3416"/>
  <c r="U249" i="3416"/>
  <c r="T249" i="3416"/>
  <c r="S249" i="3416"/>
  <c r="R249" i="3416"/>
  <c r="Q249" i="3416"/>
  <c r="P249" i="3416"/>
  <c r="O249" i="3416"/>
  <c r="N249" i="3416"/>
  <c r="M249" i="3416"/>
  <c r="L249" i="3416"/>
  <c r="K249" i="3416"/>
  <c r="J249" i="3416"/>
  <c r="I249" i="3416"/>
  <c r="H249" i="3416"/>
  <c r="G249" i="3416"/>
  <c r="F249" i="3416"/>
  <c r="E249" i="3416"/>
  <c r="D249" i="3416"/>
  <c r="C249" i="3416" a="1"/>
  <c r="C249" i="3416"/>
  <c r="A249" i="3416"/>
  <c r="EM248" i="3416"/>
  <c r="EL248" i="3416"/>
  <c r="EK248" i="3416"/>
  <c r="EJ248" i="3416"/>
  <c r="EI248" i="3416"/>
  <c r="EH248" i="3416"/>
  <c r="EG248" i="3416"/>
  <c r="EF248" i="3416"/>
  <c r="EE248" i="3416"/>
  <c r="ED248" i="3416"/>
  <c r="EC248" i="3416"/>
  <c r="EB248" i="3416"/>
  <c r="EA248" i="3416"/>
  <c r="DZ248" i="3416"/>
  <c r="DY248" i="3416"/>
  <c r="DX248" i="3416"/>
  <c r="DW248" i="3416"/>
  <c r="DV248" i="3416"/>
  <c r="DU248" i="3416"/>
  <c r="DT248" i="3416"/>
  <c r="DS248" i="3416"/>
  <c r="DR248" i="3416"/>
  <c r="DQ248" i="3416"/>
  <c r="DP248" i="3416"/>
  <c r="DO248" i="3416"/>
  <c r="DN248" i="3416"/>
  <c r="DM248" i="3416"/>
  <c r="DL248" i="3416"/>
  <c r="DK248" i="3416"/>
  <c r="DJ248" i="3416"/>
  <c r="DI248" i="3416"/>
  <c r="DH248" i="3416"/>
  <c r="DG248" i="3416"/>
  <c r="DF248" i="3416"/>
  <c r="DE248" i="3416"/>
  <c r="DD248" i="3416"/>
  <c r="DC248" i="3416"/>
  <c r="DB248" i="3416"/>
  <c r="DA248" i="3416"/>
  <c r="CZ248" i="3416"/>
  <c r="CY248" i="3416"/>
  <c r="CX248" i="3416"/>
  <c r="CW248" i="3416"/>
  <c r="CV248" i="3416"/>
  <c r="CU248" i="3416"/>
  <c r="CT248" i="3416"/>
  <c r="CS248" i="3416"/>
  <c r="CR248" i="3416"/>
  <c r="CQ248" i="3416"/>
  <c r="CP248" i="3416"/>
  <c r="CO248" i="3416"/>
  <c r="CN248" i="3416"/>
  <c r="CM248" i="3416"/>
  <c r="CL248" i="3416"/>
  <c r="CK248" i="3416"/>
  <c r="CJ248" i="3416"/>
  <c r="CI248" i="3416"/>
  <c r="CH248" i="3416"/>
  <c r="CG248" i="3416"/>
  <c r="CF248" i="3416"/>
  <c r="CE248" i="3416"/>
  <c r="CD248" i="3416"/>
  <c r="CC248" i="3416"/>
  <c r="CB248" i="3416"/>
  <c r="CA248" i="3416"/>
  <c r="BZ248" i="3416"/>
  <c r="BY248" i="3416"/>
  <c r="BX248" i="3416"/>
  <c r="BW248" i="3416"/>
  <c r="BV248" i="3416"/>
  <c r="BU248" i="3416"/>
  <c r="BT248" i="3416"/>
  <c r="BS248" i="3416"/>
  <c r="BR248" i="3416"/>
  <c r="BQ248" i="3416"/>
  <c r="BP248" i="3416"/>
  <c r="BO248" i="3416"/>
  <c r="BN248" i="3416"/>
  <c r="BM248" i="3416"/>
  <c r="BL248" i="3416"/>
  <c r="BK248" i="3416"/>
  <c r="BJ248" i="3416"/>
  <c r="BI248" i="3416"/>
  <c r="BH248" i="3416"/>
  <c r="BG248" i="3416"/>
  <c r="BF248" i="3416"/>
  <c r="BE248" i="3416"/>
  <c r="BD248" i="3416"/>
  <c r="BC248" i="3416"/>
  <c r="BB248" i="3416"/>
  <c r="BA248" i="3416"/>
  <c r="AZ248" i="3416"/>
  <c r="AY248" i="3416"/>
  <c r="AX248" i="3416"/>
  <c r="AW248" i="3416"/>
  <c r="AV248" i="3416"/>
  <c r="AU248" i="3416"/>
  <c r="AT248" i="3416"/>
  <c r="AS248" i="3416"/>
  <c r="AR248" i="3416"/>
  <c r="AQ248" i="3416"/>
  <c r="AP248" i="3416"/>
  <c r="AO248" i="3416"/>
  <c r="AN248" i="3416"/>
  <c r="AM248" i="3416"/>
  <c r="AL248" i="3416"/>
  <c r="AK248" i="3416"/>
  <c r="AJ248" i="3416"/>
  <c r="AI248" i="3416"/>
  <c r="AH248" i="3416"/>
  <c r="AG248" i="3416"/>
  <c r="AF248" i="3416"/>
  <c r="AE248" i="3416"/>
  <c r="AD248" i="3416"/>
  <c r="AC248" i="3416"/>
  <c r="AB248" i="3416"/>
  <c r="AA248" i="3416"/>
  <c r="Z248" i="3416"/>
  <c r="Y248" i="3416"/>
  <c r="X248" i="3416"/>
  <c r="W248" i="3416"/>
  <c r="V248" i="3416"/>
  <c r="U248" i="3416"/>
  <c r="T248" i="3416"/>
  <c r="S248" i="3416"/>
  <c r="R248" i="3416"/>
  <c r="Q248" i="3416"/>
  <c r="P248" i="3416"/>
  <c r="O248" i="3416"/>
  <c r="N248" i="3416"/>
  <c r="M248" i="3416"/>
  <c r="L248" i="3416"/>
  <c r="K248" i="3416"/>
  <c r="J248" i="3416"/>
  <c r="I248" i="3416"/>
  <c r="H248" i="3416"/>
  <c r="G248" i="3416"/>
  <c r="F248" i="3416"/>
  <c r="E248" i="3416"/>
  <c r="D248" i="3416"/>
  <c r="C248" i="3416" a="1"/>
  <c r="C248" i="3416"/>
  <c r="A248" i="3416"/>
  <c r="EM247" i="3416"/>
  <c r="EL247" i="3416"/>
  <c r="EK247" i="3416"/>
  <c r="EJ247" i="3416"/>
  <c r="EI247" i="3416"/>
  <c r="EH247" i="3416"/>
  <c r="EG247" i="3416"/>
  <c r="EF247" i="3416"/>
  <c r="EE247" i="3416"/>
  <c r="ED247" i="3416"/>
  <c r="EC247" i="3416"/>
  <c r="EB247" i="3416"/>
  <c r="EA247" i="3416"/>
  <c r="DZ247" i="3416"/>
  <c r="DY247" i="3416"/>
  <c r="DX247" i="3416"/>
  <c r="DW247" i="3416"/>
  <c r="DV247" i="3416"/>
  <c r="DU247" i="3416"/>
  <c r="DT247" i="3416"/>
  <c r="DS247" i="3416"/>
  <c r="DR247" i="3416"/>
  <c r="DQ247" i="3416"/>
  <c r="DP247" i="3416"/>
  <c r="DO247" i="3416"/>
  <c r="DN247" i="3416"/>
  <c r="DM247" i="3416"/>
  <c r="DL247" i="3416"/>
  <c r="DK247" i="3416"/>
  <c r="DJ247" i="3416"/>
  <c r="DI247" i="3416"/>
  <c r="DH247" i="3416"/>
  <c r="DG247" i="3416"/>
  <c r="DF247" i="3416"/>
  <c r="DE247" i="3416"/>
  <c r="DD247" i="3416"/>
  <c r="DC247" i="3416"/>
  <c r="DB247" i="3416"/>
  <c r="DA247" i="3416"/>
  <c r="CZ247" i="3416"/>
  <c r="CY247" i="3416"/>
  <c r="CX247" i="3416"/>
  <c r="CW247" i="3416"/>
  <c r="CV247" i="3416"/>
  <c r="CU247" i="3416"/>
  <c r="CT247" i="3416"/>
  <c r="CS247" i="3416"/>
  <c r="CR247" i="3416"/>
  <c r="CQ247" i="3416"/>
  <c r="CP247" i="3416"/>
  <c r="CO247" i="3416"/>
  <c r="CN247" i="3416"/>
  <c r="CM247" i="3416"/>
  <c r="CL247" i="3416"/>
  <c r="CK247" i="3416"/>
  <c r="CJ247" i="3416"/>
  <c r="CI247" i="3416"/>
  <c r="CH247" i="3416"/>
  <c r="CG247" i="3416"/>
  <c r="CF247" i="3416"/>
  <c r="CE247" i="3416"/>
  <c r="CD247" i="3416"/>
  <c r="CC247" i="3416"/>
  <c r="CB247" i="3416"/>
  <c r="CA247" i="3416"/>
  <c r="BZ247" i="3416"/>
  <c r="BY247" i="3416"/>
  <c r="BX247" i="3416"/>
  <c r="BW247" i="3416"/>
  <c r="BV247" i="3416"/>
  <c r="BU247" i="3416"/>
  <c r="BT247" i="3416"/>
  <c r="BS247" i="3416"/>
  <c r="BR247" i="3416"/>
  <c r="BQ247" i="3416"/>
  <c r="BP247" i="3416"/>
  <c r="BO247" i="3416"/>
  <c r="BN247" i="3416"/>
  <c r="BM247" i="3416"/>
  <c r="BL247" i="3416"/>
  <c r="BK247" i="3416"/>
  <c r="BJ247" i="3416"/>
  <c r="BI247" i="3416"/>
  <c r="BH247" i="3416"/>
  <c r="BG247" i="3416"/>
  <c r="BF247" i="3416"/>
  <c r="BE247" i="3416"/>
  <c r="BD247" i="3416"/>
  <c r="BC247" i="3416"/>
  <c r="BB247" i="3416"/>
  <c r="BA247" i="3416"/>
  <c r="AZ247" i="3416"/>
  <c r="AY247" i="3416"/>
  <c r="AX247" i="3416"/>
  <c r="AW247" i="3416"/>
  <c r="AV247" i="3416"/>
  <c r="AU247" i="3416"/>
  <c r="AT247" i="3416"/>
  <c r="AS247" i="3416"/>
  <c r="AR247" i="3416"/>
  <c r="AQ247" i="3416"/>
  <c r="AP247" i="3416"/>
  <c r="AO247" i="3416"/>
  <c r="AN247" i="3416"/>
  <c r="AM247" i="3416"/>
  <c r="AL247" i="3416"/>
  <c r="AK247" i="3416"/>
  <c r="AJ247" i="3416"/>
  <c r="AI247" i="3416"/>
  <c r="AH247" i="3416"/>
  <c r="AG247" i="3416"/>
  <c r="AF247" i="3416"/>
  <c r="AE247" i="3416"/>
  <c r="AD247" i="3416"/>
  <c r="AC247" i="3416"/>
  <c r="AB247" i="3416"/>
  <c r="AA247" i="3416"/>
  <c r="Z247" i="3416"/>
  <c r="Y247" i="3416"/>
  <c r="X247" i="3416"/>
  <c r="W247" i="3416"/>
  <c r="V247" i="3416"/>
  <c r="U247" i="3416"/>
  <c r="T247" i="3416"/>
  <c r="S247" i="3416"/>
  <c r="R247" i="3416"/>
  <c r="Q247" i="3416"/>
  <c r="P247" i="3416"/>
  <c r="O247" i="3416"/>
  <c r="N247" i="3416"/>
  <c r="M247" i="3416"/>
  <c r="L247" i="3416"/>
  <c r="K247" i="3416"/>
  <c r="J247" i="3416"/>
  <c r="I247" i="3416"/>
  <c r="H247" i="3416"/>
  <c r="G247" i="3416"/>
  <c r="F247" i="3416"/>
  <c r="E247" i="3416"/>
  <c r="D247" i="3416"/>
  <c r="C247" i="3416" a="1"/>
  <c r="C247" i="3416"/>
  <c r="A247" i="3416"/>
  <c r="EM246" i="3416"/>
  <c r="EL246" i="3416"/>
  <c r="EK246" i="3416"/>
  <c r="EJ246" i="3416"/>
  <c r="EI246" i="3416"/>
  <c r="EH246" i="3416"/>
  <c r="EG246" i="3416"/>
  <c r="EF246" i="3416"/>
  <c r="EE246" i="3416"/>
  <c r="ED246" i="3416"/>
  <c r="EC246" i="3416"/>
  <c r="EB246" i="3416"/>
  <c r="EA246" i="3416"/>
  <c r="DZ246" i="3416"/>
  <c r="DY246" i="3416"/>
  <c r="DX246" i="3416"/>
  <c r="DW246" i="3416"/>
  <c r="DV246" i="3416"/>
  <c r="DU246" i="3416"/>
  <c r="DT246" i="3416"/>
  <c r="DS246" i="3416"/>
  <c r="DR246" i="3416"/>
  <c r="DQ246" i="3416"/>
  <c r="DP246" i="3416"/>
  <c r="DO246" i="3416"/>
  <c r="DN246" i="3416"/>
  <c r="DM246" i="3416"/>
  <c r="DL246" i="3416"/>
  <c r="DK246" i="3416"/>
  <c r="DJ246" i="3416"/>
  <c r="DI246" i="3416"/>
  <c r="DH246" i="3416"/>
  <c r="DG246" i="3416"/>
  <c r="DF246" i="3416"/>
  <c r="DE246" i="3416"/>
  <c r="DD246" i="3416"/>
  <c r="DC246" i="3416"/>
  <c r="DB246" i="3416"/>
  <c r="DA246" i="3416"/>
  <c r="CZ246" i="3416"/>
  <c r="CY246" i="3416"/>
  <c r="CX246" i="3416"/>
  <c r="CW246" i="3416"/>
  <c r="CV246" i="3416"/>
  <c r="CU246" i="3416"/>
  <c r="CT246" i="3416"/>
  <c r="CS246" i="3416"/>
  <c r="CR246" i="3416"/>
  <c r="CQ246" i="3416"/>
  <c r="CP246" i="3416"/>
  <c r="CO246" i="3416"/>
  <c r="CN246" i="3416"/>
  <c r="CM246" i="3416"/>
  <c r="CL246" i="3416"/>
  <c r="CK246" i="3416"/>
  <c r="CJ246" i="3416"/>
  <c r="CI246" i="3416"/>
  <c r="CH246" i="3416"/>
  <c r="CG246" i="3416"/>
  <c r="CF246" i="3416"/>
  <c r="CE246" i="3416"/>
  <c r="CD246" i="3416"/>
  <c r="CC246" i="3416"/>
  <c r="CB246" i="3416"/>
  <c r="CA246" i="3416"/>
  <c r="BZ246" i="3416"/>
  <c r="BY246" i="3416"/>
  <c r="BX246" i="3416"/>
  <c r="BW246" i="3416"/>
  <c r="BV246" i="3416"/>
  <c r="BU246" i="3416"/>
  <c r="BT246" i="3416"/>
  <c r="BS246" i="3416"/>
  <c r="BR246" i="3416"/>
  <c r="BQ246" i="3416"/>
  <c r="BP246" i="3416"/>
  <c r="BO246" i="3416"/>
  <c r="BN246" i="3416"/>
  <c r="BM246" i="3416"/>
  <c r="BL246" i="3416"/>
  <c r="BK246" i="3416"/>
  <c r="BJ246" i="3416"/>
  <c r="BI246" i="3416"/>
  <c r="BH246" i="3416"/>
  <c r="BG246" i="3416"/>
  <c r="BF246" i="3416"/>
  <c r="BE246" i="3416"/>
  <c r="BD246" i="3416"/>
  <c r="BC246" i="3416"/>
  <c r="BB246" i="3416"/>
  <c r="BA246" i="3416"/>
  <c r="AZ246" i="3416"/>
  <c r="AY246" i="3416"/>
  <c r="AX246" i="3416"/>
  <c r="AW246" i="3416"/>
  <c r="AV246" i="3416"/>
  <c r="AU246" i="3416"/>
  <c r="AT246" i="3416"/>
  <c r="AS246" i="3416"/>
  <c r="AR246" i="3416"/>
  <c r="AQ246" i="3416"/>
  <c r="AP246" i="3416"/>
  <c r="AO246" i="3416"/>
  <c r="AN246" i="3416"/>
  <c r="AM246" i="3416"/>
  <c r="AL246" i="3416"/>
  <c r="AK246" i="3416"/>
  <c r="AJ246" i="3416"/>
  <c r="AI246" i="3416"/>
  <c r="AH246" i="3416"/>
  <c r="AG246" i="3416"/>
  <c r="AF246" i="3416"/>
  <c r="AE246" i="3416"/>
  <c r="AD246" i="3416"/>
  <c r="AC246" i="3416"/>
  <c r="AB246" i="3416"/>
  <c r="AA246" i="3416"/>
  <c r="Z246" i="3416"/>
  <c r="Y246" i="3416"/>
  <c r="X246" i="3416"/>
  <c r="W246" i="3416"/>
  <c r="V246" i="3416"/>
  <c r="U246" i="3416"/>
  <c r="T246" i="3416"/>
  <c r="S246" i="3416"/>
  <c r="R246" i="3416"/>
  <c r="Q246" i="3416"/>
  <c r="P246" i="3416"/>
  <c r="O246" i="3416"/>
  <c r="N246" i="3416"/>
  <c r="M246" i="3416"/>
  <c r="L246" i="3416"/>
  <c r="K246" i="3416"/>
  <c r="J246" i="3416"/>
  <c r="I246" i="3416"/>
  <c r="H246" i="3416"/>
  <c r="G246" i="3416"/>
  <c r="F246" i="3416"/>
  <c r="E246" i="3416"/>
  <c r="D246" i="3416"/>
  <c r="C246" i="3416" a="1"/>
  <c r="C246" i="3416"/>
  <c r="A246" i="3416"/>
  <c r="EM245" i="3416"/>
  <c r="EL245" i="3416"/>
  <c r="EK245" i="3416"/>
  <c r="EJ245" i="3416"/>
  <c r="EI245" i="3416"/>
  <c r="EH245" i="3416"/>
  <c r="EG245" i="3416"/>
  <c r="EF245" i="3416"/>
  <c r="EE245" i="3416"/>
  <c r="ED245" i="3416"/>
  <c r="EC245" i="3416"/>
  <c r="EB245" i="3416"/>
  <c r="EA245" i="3416"/>
  <c r="DZ245" i="3416"/>
  <c r="DY245" i="3416"/>
  <c r="DX245" i="3416"/>
  <c r="DW245" i="3416"/>
  <c r="DV245" i="3416"/>
  <c r="DU245" i="3416"/>
  <c r="DT245" i="3416"/>
  <c r="DS245" i="3416"/>
  <c r="DR245" i="3416"/>
  <c r="DQ245" i="3416"/>
  <c r="DP245" i="3416"/>
  <c r="DO245" i="3416"/>
  <c r="DN245" i="3416"/>
  <c r="DM245" i="3416"/>
  <c r="DL245" i="3416"/>
  <c r="DK245" i="3416"/>
  <c r="DJ245" i="3416"/>
  <c r="DI245" i="3416"/>
  <c r="DH245" i="3416"/>
  <c r="DG245" i="3416"/>
  <c r="DF245" i="3416"/>
  <c r="DE245" i="3416"/>
  <c r="DD245" i="3416"/>
  <c r="DC245" i="3416"/>
  <c r="DB245" i="3416"/>
  <c r="DA245" i="3416"/>
  <c r="CZ245" i="3416"/>
  <c r="CY245" i="3416"/>
  <c r="CX245" i="3416"/>
  <c r="CW245" i="3416"/>
  <c r="CV245" i="3416"/>
  <c r="CU245" i="3416"/>
  <c r="CT245" i="3416"/>
  <c r="CS245" i="3416"/>
  <c r="CR245" i="3416"/>
  <c r="CQ245" i="3416"/>
  <c r="CP245" i="3416"/>
  <c r="CO245" i="3416"/>
  <c r="CN245" i="3416"/>
  <c r="CM245" i="3416"/>
  <c r="CL245" i="3416"/>
  <c r="CK245" i="3416"/>
  <c r="CJ245" i="3416"/>
  <c r="CI245" i="3416"/>
  <c r="CH245" i="3416"/>
  <c r="CG245" i="3416"/>
  <c r="CF245" i="3416"/>
  <c r="CE245" i="3416"/>
  <c r="CD245" i="3416"/>
  <c r="CC245" i="3416"/>
  <c r="CB245" i="3416"/>
  <c r="CA245" i="3416"/>
  <c r="BZ245" i="3416"/>
  <c r="BY245" i="3416"/>
  <c r="BX245" i="3416"/>
  <c r="BW245" i="3416"/>
  <c r="BV245" i="3416"/>
  <c r="BU245" i="3416"/>
  <c r="BT245" i="3416"/>
  <c r="BS245" i="3416"/>
  <c r="BR245" i="3416"/>
  <c r="BQ245" i="3416"/>
  <c r="BP245" i="3416"/>
  <c r="BO245" i="3416"/>
  <c r="BN245" i="3416"/>
  <c r="BM245" i="3416"/>
  <c r="BL245" i="3416"/>
  <c r="BK245" i="3416"/>
  <c r="BJ245" i="3416"/>
  <c r="BI245" i="3416"/>
  <c r="BH245" i="3416"/>
  <c r="BG245" i="3416"/>
  <c r="BF245" i="3416"/>
  <c r="BE245" i="3416"/>
  <c r="BD245" i="3416"/>
  <c r="BC245" i="3416"/>
  <c r="BB245" i="3416"/>
  <c r="BA245" i="3416"/>
  <c r="AZ245" i="3416"/>
  <c r="AY245" i="3416"/>
  <c r="AX245" i="3416"/>
  <c r="AW245" i="3416"/>
  <c r="AV245" i="3416"/>
  <c r="AU245" i="3416"/>
  <c r="AT245" i="3416"/>
  <c r="AS245" i="3416"/>
  <c r="AR245" i="3416"/>
  <c r="AQ245" i="3416"/>
  <c r="AP245" i="3416"/>
  <c r="AO245" i="3416"/>
  <c r="AN245" i="3416"/>
  <c r="AM245" i="3416"/>
  <c r="AL245" i="3416"/>
  <c r="AK245" i="3416"/>
  <c r="AJ245" i="3416"/>
  <c r="AI245" i="3416"/>
  <c r="AH245" i="3416"/>
  <c r="AG245" i="3416"/>
  <c r="AF245" i="3416"/>
  <c r="AE245" i="3416"/>
  <c r="AD245" i="3416"/>
  <c r="AC245" i="3416"/>
  <c r="AB245" i="3416"/>
  <c r="AA245" i="3416"/>
  <c r="Z245" i="3416"/>
  <c r="Y245" i="3416"/>
  <c r="X245" i="3416"/>
  <c r="W245" i="3416"/>
  <c r="V245" i="3416"/>
  <c r="U245" i="3416"/>
  <c r="T245" i="3416"/>
  <c r="S245" i="3416"/>
  <c r="R245" i="3416"/>
  <c r="Q245" i="3416"/>
  <c r="P245" i="3416"/>
  <c r="O245" i="3416"/>
  <c r="N245" i="3416"/>
  <c r="M245" i="3416"/>
  <c r="L245" i="3416"/>
  <c r="K245" i="3416"/>
  <c r="J245" i="3416"/>
  <c r="I245" i="3416"/>
  <c r="H245" i="3416"/>
  <c r="G245" i="3416"/>
  <c r="F245" i="3416"/>
  <c r="E245" i="3416"/>
  <c r="D245" i="3416"/>
  <c r="C245" i="3416" a="1"/>
  <c r="C245" i="3416"/>
  <c r="A245" i="3416"/>
  <c r="EM244" i="3416"/>
  <c r="EL244" i="3416"/>
  <c r="EK244" i="3416"/>
  <c r="EJ244" i="3416"/>
  <c r="EI244" i="3416"/>
  <c r="EH244" i="3416"/>
  <c r="EG244" i="3416"/>
  <c r="EF244" i="3416"/>
  <c r="EE244" i="3416"/>
  <c r="ED244" i="3416"/>
  <c r="EC244" i="3416"/>
  <c r="EB244" i="3416"/>
  <c r="EA244" i="3416"/>
  <c r="DZ244" i="3416"/>
  <c r="DY244" i="3416"/>
  <c r="DX244" i="3416"/>
  <c r="DW244" i="3416"/>
  <c r="DV244" i="3416"/>
  <c r="DU244" i="3416"/>
  <c r="DT244" i="3416"/>
  <c r="DS244" i="3416"/>
  <c r="DR244" i="3416"/>
  <c r="DQ244" i="3416"/>
  <c r="DP244" i="3416"/>
  <c r="DO244" i="3416"/>
  <c r="DN244" i="3416"/>
  <c r="DM244" i="3416"/>
  <c r="DL244" i="3416"/>
  <c r="DK244" i="3416"/>
  <c r="DJ244" i="3416"/>
  <c r="DI244" i="3416"/>
  <c r="DH244" i="3416"/>
  <c r="DG244" i="3416"/>
  <c r="DF244" i="3416"/>
  <c r="DE244" i="3416"/>
  <c r="DD244" i="3416"/>
  <c r="DC244" i="3416"/>
  <c r="DB244" i="3416"/>
  <c r="DA244" i="3416"/>
  <c r="CZ244" i="3416"/>
  <c r="CY244" i="3416"/>
  <c r="CX244" i="3416"/>
  <c r="CW244" i="3416"/>
  <c r="CV244" i="3416"/>
  <c r="CU244" i="3416"/>
  <c r="CT244" i="3416"/>
  <c r="CS244" i="3416"/>
  <c r="CR244" i="3416"/>
  <c r="CQ244" i="3416"/>
  <c r="CP244" i="3416"/>
  <c r="CO244" i="3416"/>
  <c r="CN244" i="3416"/>
  <c r="CM244" i="3416"/>
  <c r="CL244" i="3416"/>
  <c r="CK244" i="3416"/>
  <c r="CJ244" i="3416"/>
  <c r="CI244" i="3416"/>
  <c r="CH244" i="3416"/>
  <c r="CG244" i="3416"/>
  <c r="CF244" i="3416"/>
  <c r="CE244" i="3416"/>
  <c r="CD244" i="3416"/>
  <c r="CC244" i="3416"/>
  <c r="CB244" i="3416"/>
  <c r="CA244" i="3416"/>
  <c r="BZ244" i="3416"/>
  <c r="BY244" i="3416"/>
  <c r="BX244" i="3416"/>
  <c r="BW244" i="3416"/>
  <c r="BV244" i="3416"/>
  <c r="BU244" i="3416"/>
  <c r="BT244" i="3416"/>
  <c r="BS244" i="3416"/>
  <c r="BR244" i="3416"/>
  <c r="BQ244" i="3416"/>
  <c r="BP244" i="3416"/>
  <c r="BO244" i="3416"/>
  <c r="BN244" i="3416"/>
  <c r="BM244" i="3416"/>
  <c r="BL244" i="3416"/>
  <c r="BK244" i="3416"/>
  <c r="BJ244" i="3416"/>
  <c r="BI244" i="3416"/>
  <c r="BH244" i="3416"/>
  <c r="BG244" i="3416"/>
  <c r="BF244" i="3416"/>
  <c r="BE244" i="3416"/>
  <c r="BD244" i="3416"/>
  <c r="BC244" i="3416"/>
  <c r="BB244" i="3416"/>
  <c r="BA244" i="3416"/>
  <c r="AZ244" i="3416"/>
  <c r="AY244" i="3416"/>
  <c r="AX244" i="3416"/>
  <c r="AW244" i="3416"/>
  <c r="AV244" i="3416"/>
  <c r="AU244" i="3416"/>
  <c r="AT244" i="3416"/>
  <c r="AS244" i="3416"/>
  <c r="AR244" i="3416"/>
  <c r="AQ244" i="3416"/>
  <c r="AP244" i="3416"/>
  <c r="AO244" i="3416"/>
  <c r="AN244" i="3416"/>
  <c r="AM244" i="3416"/>
  <c r="AL244" i="3416"/>
  <c r="AK244" i="3416"/>
  <c r="AJ244" i="3416"/>
  <c r="AI244" i="3416"/>
  <c r="AH244" i="3416"/>
  <c r="AG244" i="3416"/>
  <c r="AF244" i="3416"/>
  <c r="AE244" i="3416"/>
  <c r="AD244" i="3416"/>
  <c r="AC244" i="3416"/>
  <c r="AB244" i="3416"/>
  <c r="AA244" i="3416"/>
  <c r="Z244" i="3416"/>
  <c r="Y244" i="3416"/>
  <c r="X244" i="3416"/>
  <c r="W244" i="3416"/>
  <c r="V244" i="3416"/>
  <c r="U244" i="3416"/>
  <c r="T244" i="3416"/>
  <c r="S244" i="3416"/>
  <c r="R244" i="3416"/>
  <c r="Q244" i="3416"/>
  <c r="P244" i="3416"/>
  <c r="O244" i="3416"/>
  <c r="N244" i="3416"/>
  <c r="M244" i="3416"/>
  <c r="L244" i="3416"/>
  <c r="K244" i="3416"/>
  <c r="J244" i="3416"/>
  <c r="I244" i="3416"/>
  <c r="H244" i="3416"/>
  <c r="G244" i="3416"/>
  <c r="F244" i="3416"/>
  <c r="E244" i="3416"/>
  <c r="D244" i="3416"/>
  <c r="C244" i="3416" a="1"/>
  <c r="C244" i="3416"/>
  <c r="A244" i="3416"/>
  <c r="EM243" i="3416"/>
  <c r="EL243" i="3416"/>
  <c r="EK243" i="3416"/>
  <c r="EJ243" i="3416"/>
  <c r="EI243" i="3416"/>
  <c r="EH243" i="3416"/>
  <c r="EG243" i="3416"/>
  <c r="EF243" i="3416"/>
  <c r="EE243" i="3416"/>
  <c r="ED243" i="3416"/>
  <c r="EC243" i="3416"/>
  <c r="EB243" i="3416"/>
  <c r="EA243" i="3416"/>
  <c r="DZ243" i="3416"/>
  <c r="DY243" i="3416"/>
  <c r="DX243" i="3416"/>
  <c r="DW243" i="3416"/>
  <c r="DV243" i="3416"/>
  <c r="DU243" i="3416"/>
  <c r="DT243" i="3416"/>
  <c r="DS243" i="3416"/>
  <c r="DR243" i="3416"/>
  <c r="DQ243" i="3416"/>
  <c r="DP243" i="3416"/>
  <c r="DO243" i="3416"/>
  <c r="DN243" i="3416"/>
  <c r="DM243" i="3416"/>
  <c r="DL243" i="3416"/>
  <c r="DK243" i="3416"/>
  <c r="DJ243" i="3416"/>
  <c r="DI243" i="3416"/>
  <c r="DH243" i="3416"/>
  <c r="DG243" i="3416"/>
  <c r="DF243" i="3416"/>
  <c r="DE243" i="3416"/>
  <c r="DD243" i="3416"/>
  <c r="DC243" i="3416"/>
  <c r="DB243" i="3416"/>
  <c r="DA243" i="3416"/>
  <c r="CZ243" i="3416"/>
  <c r="CY243" i="3416"/>
  <c r="CX243" i="3416"/>
  <c r="CW243" i="3416"/>
  <c r="CV243" i="3416"/>
  <c r="CU243" i="3416"/>
  <c r="CT243" i="3416"/>
  <c r="CS243" i="3416"/>
  <c r="CR243" i="3416"/>
  <c r="CQ243" i="3416"/>
  <c r="CP243" i="3416"/>
  <c r="CO243" i="3416"/>
  <c r="CN243" i="3416"/>
  <c r="CM243" i="3416"/>
  <c r="CL243" i="3416"/>
  <c r="CK243" i="3416"/>
  <c r="CJ243" i="3416"/>
  <c r="CI243" i="3416"/>
  <c r="CH243" i="3416"/>
  <c r="CG243" i="3416"/>
  <c r="CF243" i="3416"/>
  <c r="CE243" i="3416"/>
  <c r="CD243" i="3416"/>
  <c r="CC243" i="3416"/>
  <c r="CB243" i="3416"/>
  <c r="CA243" i="3416"/>
  <c r="BZ243" i="3416"/>
  <c r="BY243" i="3416"/>
  <c r="BX243" i="3416"/>
  <c r="BW243" i="3416"/>
  <c r="BV243" i="3416"/>
  <c r="BU243" i="3416"/>
  <c r="BT243" i="3416"/>
  <c r="BS243" i="3416"/>
  <c r="BR243" i="3416"/>
  <c r="BQ243" i="3416"/>
  <c r="BP243" i="3416"/>
  <c r="BO243" i="3416"/>
  <c r="BN243" i="3416"/>
  <c r="BM243" i="3416"/>
  <c r="BL243" i="3416"/>
  <c r="BK243" i="3416"/>
  <c r="BJ243" i="3416"/>
  <c r="BI243" i="3416"/>
  <c r="BH243" i="3416"/>
  <c r="BG243" i="3416"/>
  <c r="BF243" i="3416"/>
  <c r="BE243" i="3416"/>
  <c r="BD243" i="3416"/>
  <c r="BC243" i="3416"/>
  <c r="BB243" i="3416"/>
  <c r="BA243" i="3416"/>
  <c r="AZ243" i="3416"/>
  <c r="AY243" i="3416"/>
  <c r="AX243" i="3416"/>
  <c r="AW243" i="3416"/>
  <c r="AV243" i="3416"/>
  <c r="AU243" i="3416"/>
  <c r="AT243" i="3416"/>
  <c r="AS243" i="3416"/>
  <c r="AR243" i="3416"/>
  <c r="AQ243" i="3416"/>
  <c r="AP243" i="3416"/>
  <c r="AO243" i="3416"/>
  <c r="AN243" i="3416"/>
  <c r="AM243" i="3416"/>
  <c r="AL243" i="3416"/>
  <c r="AK243" i="3416"/>
  <c r="AJ243" i="3416"/>
  <c r="AI243" i="3416"/>
  <c r="AH243" i="3416"/>
  <c r="AG243" i="3416"/>
  <c r="AF243" i="3416"/>
  <c r="AE243" i="3416"/>
  <c r="AD243" i="3416"/>
  <c r="AC243" i="3416"/>
  <c r="AB243" i="3416"/>
  <c r="AA243" i="3416"/>
  <c r="Z243" i="3416"/>
  <c r="Y243" i="3416"/>
  <c r="X243" i="3416"/>
  <c r="W243" i="3416"/>
  <c r="V243" i="3416"/>
  <c r="U243" i="3416"/>
  <c r="T243" i="3416"/>
  <c r="S243" i="3416"/>
  <c r="R243" i="3416"/>
  <c r="Q243" i="3416"/>
  <c r="P243" i="3416"/>
  <c r="O243" i="3416"/>
  <c r="N243" i="3416"/>
  <c r="M243" i="3416"/>
  <c r="L243" i="3416"/>
  <c r="K243" i="3416"/>
  <c r="J243" i="3416"/>
  <c r="I243" i="3416"/>
  <c r="H243" i="3416"/>
  <c r="G243" i="3416"/>
  <c r="F243" i="3416"/>
  <c r="E243" i="3416"/>
  <c r="D243" i="3416"/>
  <c r="C243" i="3416" a="1"/>
  <c r="C243" i="3416"/>
  <c r="A243" i="3416"/>
  <c r="EM242" i="3416"/>
  <c r="EL242" i="3416"/>
  <c r="EK242" i="3416"/>
  <c r="EJ242" i="3416"/>
  <c r="EI242" i="3416"/>
  <c r="EH242" i="3416"/>
  <c r="EG242" i="3416"/>
  <c r="EF242" i="3416"/>
  <c r="EE242" i="3416"/>
  <c r="ED242" i="3416"/>
  <c r="EC242" i="3416"/>
  <c r="EB242" i="3416"/>
  <c r="EA242" i="3416"/>
  <c r="DZ242" i="3416"/>
  <c r="DY242" i="3416"/>
  <c r="DX242" i="3416"/>
  <c r="DW242" i="3416"/>
  <c r="DV242" i="3416"/>
  <c r="DU242" i="3416"/>
  <c r="DT242" i="3416"/>
  <c r="DS242" i="3416"/>
  <c r="DR242" i="3416"/>
  <c r="DQ242" i="3416"/>
  <c r="DP242" i="3416"/>
  <c r="DO242" i="3416"/>
  <c r="DN242" i="3416"/>
  <c r="DM242" i="3416"/>
  <c r="DL242" i="3416"/>
  <c r="DK242" i="3416"/>
  <c r="DJ242" i="3416"/>
  <c r="DI242" i="3416"/>
  <c r="DH242" i="3416"/>
  <c r="DG242" i="3416"/>
  <c r="DF242" i="3416"/>
  <c r="DE242" i="3416"/>
  <c r="DD242" i="3416"/>
  <c r="DC242" i="3416"/>
  <c r="DB242" i="3416"/>
  <c r="DA242" i="3416"/>
  <c r="CZ242" i="3416"/>
  <c r="CY242" i="3416"/>
  <c r="CX242" i="3416"/>
  <c r="CW242" i="3416"/>
  <c r="CV242" i="3416"/>
  <c r="CU242" i="3416"/>
  <c r="CT242" i="3416"/>
  <c r="CS242" i="3416"/>
  <c r="CR242" i="3416"/>
  <c r="CQ242" i="3416"/>
  <c r="CP242" i="3416"/>
  <c r="CO242" i="3416"/>
  <c r="CN242" i="3416"/>
  <c r="CM242" i="3416"/>
  <c r="CL242" i="3416"/>
  <c r="CK242" i="3416"/>
  <c r="CJ242" i="3416"/>
  <c r="CI242" i="3416"/>
  <c r="CH242" i="3416"/>
  <c r="CG242" i="3416"/>
  <c r="CF242" i="3416"/>
  <c r="CE242" i="3416"/>
  <c r="CD242" i="3416"/>
  <c r="CC242" i="3416"/>
  <c r="CB242" i="3416"/>
  <c r="CA242" i="3416"/>
  <c r="BZ242" i="3416"/>
  <c r="BY242" i="3416"/>
  <c r="BX242" i="3416"/>
  <c r="BW242" i="3416"/>
  <c r="BV242" i="3416"/>
  <c r="BU242" i="3416"/>
  <c r="BT242" i="3416"/>
  <c r="BS242" i="3416"/>
  <c r="BR242" i="3416"/>
  <c r="BQ242" i="3416"/>
  <c r="BP242" i="3416"/>
  <c r="BO242" i="3416"/>
  <c r="BN242" i="3416"/>
  <c r="BM242" i="3416"/>
  <c r="BL242" i="3416"/>
  <c r="BK242" i="3416"/>
  <c r="BJ242" i="3416"/>
  <c r="BI242" i="3416"/>
  <c r="BH242" i="3416"/>
  <c r="BG242" i="3416"/>
  <c r="BF242" i="3416"/>
  <c r="BE242" i="3416"/>
  <c r="BD242" i="3416"/>
  <c r="BC242" i="3416"/>
  <c r="BB242" i="3416"/>
  <c r="BA242" i="3416"/>
  <c r="AZ242" i="3416"/>
  <c r="AY242" i="3416"/>
  <c r="AX242" i="3416"/>
  <c r="AW242" i="3416"/>
  <c r="AV242" i="3416"/>
  <c r="AU242" i="3416"/>
  <c r="AT242" i="3416"/>
  <c r="AS242" i="3416"/>
  <c r="AR242" i="3416"/>
  <c r="AQ242" i="3416"/>
  <c r="AP242" i="3416"/>
  <c r="AO242" i="3416"/>
  <c r="AN242" i="3416"/>
  <c r="AM242" i="3416"/>
  <c r="AL242" i="3416"/>
  <c r="AK242" i="3416"/>
  <c r="AJ242" i="3416"/>
  <c r="AI242" i="3416"/>
  <c r="AH242" i="3416"/>
  <c r="AG242" i="3416"/>
  <c r="AF242" i="3416"/>
  <c r="AE242" i="3416"/>
  <c r="AD242" i="3416"/>
  <c r="AC242" i="3416"/>
  <c r="AB242" i="3416"/>
  <c r="AA242" i="3416"/>
  <c r="Z242" i="3416"/>
  <c r="Y242" i="3416"/>
  <c r="X242" i="3416"/>
  <c r="W242" i="3416"/>
  <c r="V242" i="3416"/>
  <c r="U242" i="3416"/>
  <c r="T242" i="3416"/>
  <c r="S242" i="3416"/>
  <c r="R242" i="3416"/>
  <c r="Q242" i="3416"/>
  <c r="P242" i="3416"/>
  <c r="O242" i="3416"/>
  <c r="N242" i="3416"/>
  <c r="M242" i="3416"/>
  <c r="L242" i="3416"/>
  <c r="K242" i="3416"/>
  <c r="J242" i="3416"/>
  <c r="I242" i="3416"/>
  <c r="H242" i="3416"/>
  <c r="G242" i="3416"/>
  <c r="F242" i="3416"/>
  <c r="E242" i="3416"/>
  <c r="D242" i="3416"/>
  <c r="C242" i="3416" a="1"/>
  <c r="C242" i="3416"/>
  <c r="A242" i="3416"/>
  <c r="EM241" i="3416"/>
  <c r="EL241" i="3416"/>
  <c r="EK241" i="3416"/>
  <c r="EJ241" i="3416"/>
  <c r="EI241" i="3416"/>
  <c r="EH241" i="3416"/>
  <c r="EG241" i="3416"/>
  <c r="EF241" i="3416"/>
  <c r="EE241" i="3416"/>
  <c r="ED241" i="3416"/>
  <c r="EC241" i="3416"/>
  <c r="EB241" i="3416"/>
  <c r="EA241" i="3416"/>
  <c r="DZ241" i="3416"/>
  <c r="DY241" i="3416"/>
  <c r="DX241" i="3416"/>
  <c r="DW241" i="3416"/>
  <c r="DV241" i="3416"/>
  <c r="DU241" i="3416"/>
  <c r="DT241" i="3416"/>
  <c r="DS241" i="3416"/>
  <c r="DR241" i="3416"/>
  <c r="DQ241" i="3416"/>
  <c r="DP241" i="3416"/>
  <c r="DO241" i="3416"/>
  <c r="DN241" i="3416"/>
  <c r="DM241" i="3416"/>
  <c r="DL241" i="3416"/>
  <c r="DK241" i="3416"/>
  <c r="DJ241" i="3416"/>
  <c r="DI241" i="3416"/>
  <c r="DH241" i="3416"/>
  <c r="DG241" i="3416"/>
  <c r="DF241" i="3416"/>
  <c r="DE241" i="3416"/>
  <c r="DD241" i="3416"/>
  <c r="DC241" i="3416"/>
  <c r="DB241" i="3416"/>
  <c r="DA241" i="3416"/>
  <c r="CZ241" i="3416"/>
  <c r="CY241" i="3416"/>
  <c r="CX241" i="3416"/>
  <c r="CW241" i="3416"/>
  <c r="CV241" i="3416"/>
  <c r="CU241" i="3416"/>
  <c r="CT241" i="3416"/>
  <c r="CS241" i="3416"/>
  <c r="CR241" i="3416"/>
  <c r="CQ241" i="3416"/>
  <c r="CP241" i="3416"/>
  <c r="CO241" i="3416"/>
  <c r="CN241" i="3416"/>
  <c r="CM241" i="3416"/>
  <c r="CL241" i="3416"/>
  <c r="CK241" i="3416"/>
  <c r="CJ241" i="3416"/>
  <c r="CI241" i="3416"/>
  <c r="CH241" i="3416"/>
  <c r="CG241" i="3416"/>
  <c r="CF241" i="3416"/>
  <c r="CE241" i="3416"/>
  <c r="CD241" i="3416"/>
  <c r="CC241" i="3416"/>
  <c r="CB241" i="3416"/>
  <c r="CA241" i="3416"/>
  <c r="BZ241" i="3416"/>
  <c r="BY241" i="3416"/>
  <c r="BX241" i="3416"/>
  <c r="BW241" i="3416"/>
  <c r="BV241" i="3416"/>
  <c r="BU241" i="3416"/>
  <c r="BT241" i="3416"/>
  <c r="BS241" i="3416"/>
  <c r="BR241" i="3416"/>
  <c r="BQ241" i="3416"/>
  <c r="BP241" i="3416"/>
  <c r="BO241" i="3416"/>
  <c r="BN241" i="3416"/>
  <c r="BM241" i="3416"/>
  <c r="BL241" i="3416"/>
  <c r="BK241" i="3416"/>
  <c r="BJ241" i="3416"/>
  <c r="BI241" i="3416"/>
  <c r="BH241" i="3416"/>
  <c r="BG241" i="3416"/>
  <c r="BF241" i="3416"/>
  <c r="BE241" i="3416"/>
  <c r="BD241" i="3416"/>
  <c r="BC241" i="3416"/>
  <c r="BB241" i="3416"/>
  <c r="BA241" i="3416"/>
  <c r="AZ241" i="3416"/>
  <c r="AY241" i="3416"/>
  <c r="AX241" i="3416"/>
  <c r="AW241" i="3416"/>
  <c r="AV241" i="3416"/>
  <c r="AU241" i="3416"/>
  <c r="AT241" i="3416"/>
  <c r="AS241" i="3416"/>
  <c r="AR241" i="3416"/>
  <c r="AQ241" i="3416"/>
  <c r="AP241" i="3416"/>
  <c r="AO241" i="3416"/>
  <c r="AN241" i="3416"/>
  <c r="AM241" i="3416"/>
  <c r="AL241" i="3416"/>
  <c r="AK241" i="3416"/>
  <c r="AJ241" i="3416"/>
  <c r="AI241" i="3416"/>
  <c r="AH241" i="3416"/>
  <c r="AG241" i="3416"/>
  <c r="AF241" i="3416"/>
  <c r="AE241" i="3416"/>
  <c r="AD241" i="3416"/>
  <c r="AC241" i="3416"/>
  <c r="AB241" i="3416"/>
  <c r="AA241" i="3416"/>
  <c r="Z241" i="3416"/>
  <c r="Y241" i="3416"/>
  <c r="X241" i="3416"/>
  <c r="W241" i="3416"/>
  <c r="V241" i="3416"/>
  <c r="U241" i="3416"/>
  <c r="T241" i="3416"/>
  <c r="S241" i="3416"/>
  <c r="R241" i="3416"/>
  <c r="Q241" i="3416"/>
  <c r="P241" i="3416"/>
  <c r="O241" i="3416"/>
  <c r="N241" i="3416"/>
  <c r="M241" i="3416"/>
  <c r="L241" i="3416"/>
  <c r="K241" i="3416"/>
  <c r="J241" i="3416"/>
  <c r="I241" i="3416"/>
  <c r="H241" i="3416"/>
  <c r="G241" i="3416"/>
  <c r="F241" i="3416"/>
  <c r="E241" i="3416"/>
  <c r="D241" i="3416"/>
  <c r="C241" i="3416" a="1"/>
  <c r="C241" i="3416"/>
  <c r="A241" i="3416"/>
  <c r="EM240" i="3416"/>
  <c r="EL240" i="3416"/>
  <c r="EK240" i="3416"/>
  <c r="EJ240" i="3416"/>
  <c r="EI240" i="3416"/>
  <c r="EH240" i="3416"/>
  <c r="EG240" i="3416"/>
  <c r="EF240" i="3416"/>
  <c r="EE240" i="3416"/>
  <c r="ED240" i="3416"/>
  <c r="EC240" i="3416"/>
  <c r="EB240" i="3416"/>
  <c r="EA240" i="3416"/>
  <c r="DZ240" i="3416"/>
  <c r="DY240" i="3416"/>
  <c r="DX240" i="3416"/>
  <c r="DW240" i="3416"/>
  <c r="DV240" i="3416"/>
  <c r="DU240" i="3416"/>
  <c r="DT240" i="3416"/>
  <c r="DS240" i="3416"/>
  <c r="DR240" i="3416"/>
  <c r="DQ240" i="3416"/>
  <c r="DP240" i="3416"/>
  <c r="DO240" i="3416"/>
  <c r="DN240" i="3416"/>
  <c r="DM240" i="3416"/>
  <c r="DL240" i="3416"/>
  <c r="DK240" i="3416"/>
  <c r="DJ240" i="3416"/>
  <c r="DI240" i="3416"/>
  <c r="DH240" i="3416"/>
  <c r="DG240" i="3416"/>
  <c r="DF240" i="3416"/>
  <c r="DE240" i="3416"/>
  <c r="DD240" i="3416"/>
  <c r="DC240" i="3416"/>
  <c r="DB240" i="3416"/>
  <c r="DA240" i="3416"/>
  <c r="CZ240" i="3416"/>
  <c r="CY240" i="3416"/>
  <c r="CX240" i="3416"/>
  <c r="CW240" i="3416"/>
  <c r="CV240" i="3416"/>
  <c r="CU240" i="3416"/>
  <c r="CT240" i="3416"/>
  <c r="CS240" i="3416"/>
  <c r="CR240" i="3416"/>
  <c r="CQ240" i="3416"/>
  <c r="CP240" i="3416"/>
  <c r="CO240" i="3416"/>
  <c r="CN240" i="3416"/>
  <c r="CM240" i="3416"/>
  <c r="CL240" i="3416"/>
  <c r="CK240" i="3416"/>
  <c r="CJ240" i="3416"/>
  <c r="CI240" i="3416"/>
  <c r="CH240" i="3416"/>
  <c r="CG240" i="3416"/>
  <c r="CF240" i="3416"/>
  <c r="CE240" i="3416"/>
  <c r="CD240" i="3416"/>
  <c r="CC240" i="3416"/>
  <c r="CB240" i="3416"/>
  <c r="CA240" i="3416"/>
  <c r="BZ240" i="3416"/>
  <c r="BY240" i="3416"/>
  <c r="BX240" i="3416"/>
  <c r="BW240" i="3416"/>
  <c r="BV240" i="3416"/>
  <c r="BU240" i="3416"/>
  <c r="BT240" i="3416"/>
  <c r="BS240" i="3416"/>
  <c r="BR240" i="3416"/>
  <c r="BQ240" i="3416"/>
  <c r="BP240" i="3416"/>
  <c r="BO240" i="3416"/>
  <c r="BN240" i="3416"/>
  <c r="BM240" i="3416"/>
  <c r="BL240" i="3416"/>
  <c r="BK240" i="3416"/>
  <c r="BJ240" i="3416"/>
  <c r="BI240" i="3416"/>
  <c r="BH240" i="3416"/>
  <c r="BG240" i="3416"/>
  <c r="BF240" i="3416"/>
  <c r="BE240" i="3416"/>
  <c r="BD240" i="3416"/>
  <c r="BC240" i="3416"/>
  <c r="BB240" i="3416"/>
  <c r="BA240" i="3416"/>
  <c r="AZ240" i="3416"/>
  <c r="AY240" i="3416"/>
  <c r="AX240" i="3416"/>
  <c r="AW240" i="3416"/>
  <c r="AV240" i="3416"/>
  <c r="AU240" i="3416"/>
  <c r="AT240" i="3416"/>
  <c r="AS240" i="3416"/>
  <c r="AR240" i="3416"/>
  <c r="AQ240" i="3416"/>
  <c r="AP240" i="3416"/>
  <c r="AO240" i="3416"/>
  <c r="AN240" i="3416"/>
  <c r="AM240" i="3416"/>
  <c r="AL240" i="3416"/>
  <c r="AK240" i="3416"/>
  <c r="AJ240" i="3416"/>
  <c r="AI240" i="3416"/>
  <c r="AH240" i="3416"/>
  <c r="AG240" i="3416"/>
  <c r="AF240" i="3416"/>
  <c r="AE240" i="3416"/>
  <c r="AD240" i="3416"/>
  <c r="AC240" i="3416"/>
  <c r="AB240" i="3416"/>
  <c r="AA240" i="3416"/>
  <c r="Z240" i="3416"/>
  <c r="Y240" i="3416"/>
  <c r="X240" i="3416"/>
  <c r="W240" i="3416"/>
  <c r="V240" i="3416"/>
  <c r="U240" i="3416"/>
  <c r="T240" i="3416"/>
  <c r="S240" i="3416"/>
  <c r="R240" i="3416"/>
  <c r="Q240" i="3416"/>
  <c r="P240" i="3416"/>
  <c r="O240" i="3416"/>
  <c r="N240" i="3416"/>
  <c r="M240" i="3416"/>
  <c r="L240" i="3416"/>
  <c r="K240" i="3416"/>
  <c r="J240" i="3416"/>
  <c r="I240" i="3416"/>
  <c r="H240" i="3416"/>
  <c r="G240" i="3416"/>
  <c r="F240" i="3416"/>
  <c r="E240" i="3416"/>
  <c r="D240" i="3416"/>
  <c r="C240" i="3416" a="1"/>
  <c r="C240" i="3416"/>
  <c r="A240" i="3416"/>
  <c r="EM239" i="3416"/>
  <c r="EL239" i="3416"/>
  <c r="EK239" i="3416"/>
  <c r="EJ239" i="3416"/>
  <c r="EI239" i="3416"/>
  <c r="EH239" i="3416"/>
  <c r="EG239" i="3416"/>
  <c r="EF239" i="3416"/>
  <c r="EE239" i="3416"/>
  <c r="ED239" i="3416"/>
  <c r="EC239" i="3416"/>
  <c r="EB239" i="3416"/>
  <c r="EA239" i="3416"/>
  <c r="DZ239" i="3416"/>
  <c r="DY239" i="3416"/>
  <c r="DX239" i="3416"/>
  <c r="DW239" i="3416"/>
  <c r="DV239" i="3416"/>
  <c r="DU239" i="3416"/>
  <c r="DT239" i="3416"/>
  <c r="DS239" i="3416"/>
  <c r="DR239" i="3416"/>
  <c r="DQ239" i="3416"/>
  <c r="DP239" i="3416"/>
  <c r="DO239" i="3416"/>
  <c r="DN239" i="3416"/>
  <c r="DM239" i="3416"/>
  <c r="DL239" i="3416"/>
  <c r="DK239" i="3416"/>
  <c r="DJ239" i="3416"/>
  <c r="DI239" i="3416"/>
  <c r="DH239" i="3416"/>
  <c r="DG239" i="3416"/>
  <c r="DF239" i="3416"/>
  <c r="DE239" i="3416"/>
  <c r="DD239" i="3416"/>
  <c r="DC239" i="3416"/>
  <c r="DB239" i="3416"/>
  <c r="DA239" i="3416"/>
  <c r="CZ239" i="3416"/>
  <c r="CY239" i="3416"/>
  <c r="CX239" i="3416"/>
  <c r="CW239" i="3416"/>
  <c r="CV239" i="3416"/>
  <c r="CU239" i="3416"/>
  <c r="CT239" i="3416"/>
  <c r="CS239" i="3416"/>
  <c r="CR239" i="3416"/>
  <c r="CQ239" i="3416"/>
  <c r="CP239" i="3416"/>
  <c r="CO239" i="3416"/>
  <c r="CN239" i="3416"/>
  <c r="CM239" i="3416"/>
  <c r="CL239" i="3416"/>
  <c r="CK239" i="3416"/>
  <c r="CJ239" i="3416"/>
  <c r="CI239" i="3416"/>
  <c r="CH239" i="3416"/>
  <c r="CG239" i="3416"/>
  <c r="CF239" i="3416"/>
  <c r="CE239" i="3416"/>
  <c r="CD239" i="3416"/>
  <c r="CC239" i="3416"/>
  <c r="CB239" i="3416"/>
  <c r="CA239" i="3416"/>
  <c r="BZ239" i="3416"/>
  <c r="BY239" i="3416"/>
  <c r="BX239" i="3416"/>
  <c r="BW239" i="3416"/>
  <c r="BV239" i="3416"/>
  <c r="BU239" i="3416"/>
  <c r="BT239" i="3416"/>
  <c r="BS239" i="3416"/>
  <c r="BR239" i="3416"/>
  <c r="BQ239" i="3416"/>
  <c r="BP239" i="3416"/>
  <c r="BO239" i="3416"/>
  <c r="BN239" i="3416"/>
  <c r="BM239" i="3416"/>
  <c r="BL239" i="3416"/>
  <c r="BK239" i="3416"/>
  <c r="BJ239" i="3416"/>
  <c r="BI239" i="3416"/>
  <c r="BH239" i="3416"/>
  <c r="BG239" i="3416"/>
  <c r="BF239" i="3416"/>
  <c r="BE239" i="3416"/>
  <c r="BD239" i="3416"/>
  <c r="BC239" i="3416"/>
  <c r="BB239" i="3416"/>
  <c r="BA239" i="3416"/>
  <c r="AZ239" i="3416"/>
  <c r="AY239" i="3416"/>
  <c r="AX239" i="3416"/>
  <c r="AW239" i="3416"/>
  <c r="AV239" i="3416"/>
  <c r="AU239" i="3416"/>
  <c r="AT239" i="3416"/>
  <c r="AS239" i="3416"/>
  <c r="AR239" i="3416"/>
  <c r="AQ239" i="3416"/>
  <c r="AP239" i="3416"/>
  <c r="AO239" i="3416"/>
  <c r="AN239" i="3416"/>
  <c r="AM239" i="3416"/>
  <c r="AL239" i="3416"/>
  <c r="AK239" i="3416"/>
  <c r="AJ239" i="3416"/>
  <c r="AI239" i="3416"/>
  <c r="AH239" i="3416"/>
  <c r="AG239" i="3416"/>
  <c r="AF239" i="3416"/>
  <c r="AE239" i="3416"/>
  <c r="AD239" i="3416"/>
  <c r="AC239" i="3416"/>
  <c r="AB239" i="3416"/>
  <c r="AA239" i="3416"/>
  <c r="Z239" i="3416"/>
  <c r="Y239" i="3416"/>
  <c r="X239" i="3416"/>
  <c r="W239" i="3416"/>
  <c r="V239" i="3416"/>
  <c r="U239" i="3416"/>
  <c r="T239" i="3416"/>
  <c r="S239" i="3416"/>
  <c r="R239" i="3416"/>
  <c r="Q239" i="3416"/>
  <c r="P239" i="3416"/>
  <c r="O239" i="3416"/>
  <c r="N239" i="3416"/>
  <c r="M239" i="3416"/>
  <c r="L239" i="3416"/>
  <c r="K239" i="3416"/>
  <c r="J239" i="3416"/>
  <c r="I239" i="3416"/>
  <c r="H239" i="3416"/>
  <c r="G239" i="3416"/>
  <c r="F239" i="3416"/>
  <c r="E239" i="3416"/>
  <c r="D239" i="3416"/>
  <c r="C239" i="3416" a="1"/>
  <c r="C239" i="3416"/>
  <c r="A239" i="3416"/>
  <c r="EM238" i="3416"/>
  <c r="EL238" i="3416"/>
  <c r="EK238" i="3416"/>
  <c r="EJ238" i="3416"/>
  <c r="EI238" i="3416"/>
  <c r="EH238" i="3416"/>
  <c r="EG238" i="3416"/>
  <c r="EF238" i="3416"/>
  <c r="EE238" i="3416"/>
  <c r="ED238" i="3416"/>
  <c r="EC238" i="3416"/>
  <c r="EB238" i="3416"/>
  <c r="EA238" i="3416"/>
  <c r="DZ238" i="3416"/>
  <c r="DY238" i="3416"/>
  <c r="DX238" i="3416"/>
  <c r="DW238" i="3416"/>
  <c r="DV238" i="3416"/>
  <c r="DU238" i="3416"/>
  <c r="DT238" i="3416"/>
  <c r="DS238" i="3416"/>
  <c r="DR238" i="3416"/>
  <c r="DQ238" i="3416"/>
  <c r="DP238" i="3416"/>
  <c r="DO238" i="3416"/>
  <c r="DN238" i="3416"/>
  <c r="DM238" i="3416"/>
  <c r="DL238" i="3416"/>
  <c r="DK238" i="3416"/>
  <c r="DJ238" i="3416"/>
  <c r="DI238" i="3416"/>
  <c r="DH238" i="3416"/>
  <c r="DG238" i="3416"/>
  <c r="DF238" i="3416"/>
  <c r="DE238" i="3416"/>
  <c r="DD238" i="3416"/>
  <c r="DC238" i="3416"/>
  <c r="DB238" i="3416"/>
  <c r="DA238" i="3416"/>
  <c r="CZ238" i="3416"/>
  <c r="CY238" i="3416"/>
  <c r="CX238" i="3416"/>
  <c r="CW238" i="3416"/>
  <c r="CV238" i="3416"/>
  <c r="CU238" i="3416"/>
  <c r="CT238" i="3416"/>
  <c r="CS238" i="3416"/>
  <c r="CR238" i="3416"/>
  <c r="CQ238" i="3416"/>
  <c r="CP238" i="3416"/>
  <c r="CO238" i="3416"/>
  <c r="CN238" i="3416"/>
  <c r="CM238" i="3416"/>
  <c r="CL238" i="3416"/>
  <c r="CK238" i="3416"/>
  <c r="CJ238" i="3416"/>
  <c r="CI238" i="3416"/>
  <c r="CH238" i="3416"/>
  <c r="CG238" i="3416"/>
  <c r="CF238" i="3416"/>
  <c r="CE238" i="3416"/>
  <c r="CD238" i="3416"/>
  <c r="CC238" i="3416"/>
  <c r="CB238" i="3416"/>
  <c r="CA238" i="3416"/>
  <c r="BZ238" i="3416"/>
  <c r="BY238" i="3416"/>
  <c r="BX238" i="3416"/>
  <c r="BW238" i="3416"/>
  <c r="BV238" i="3416"/>
  <c r="BU238" i="3416"/>
  <c r="BT238" i="3416"/>
  <c r="BS238" i="3416"/>
  <c r="BR238" i="3416"/>
  <c r="BQ238" i="3416"/>
  <c r="BP238" i="3416"/>
  <c r="BO238" i="3416"/>
  <c r="BN238" i="3416"/>
  <c r="BM238" i="3416"/>
  <c r="BL238" i="3416"/>
  <c r="BK238" i="3416"/>
  <c r="BJ238" i="3416"/>
  <c r="BI238" i="3416"/>
  <c r="BH238" i="3416"/>
  <c r="BG238" i="3416"/>
  <c r="BF238" i="3416"/>
  <c r="BE238" i="3416"/>
  <c r="BD238" i="3416"/>
  <c r="BC238" i="3416"/>
  <c r="BB238" i="3416"/>
  <c r="BA238" i="3416"/>
  <c r="AZ238" i="3416"/>
  <c r="AY238" i="3416"/>
  <c r="AX238" i="3416"/>
  <c r="AW238" i="3416"/>
  <c r="AV238" i="3416"/>
  <c r="AU238" i="3416"/>
  <c r="AT238" i="3416"/>
  <c r="AS238" i="3416"/>
  <c r="AR238" i="3416"/>
  <c r="AQ238" i="3416"/>
  <c r="AP238" i="3416"/>
  <c r="AO238" i="3416"/>
  <c r="AN238" i="3416"/>
  <c r="AM238" i="3416"/>
  <c r="AL238" i="3416"/>
  <c r="AK238" i="3416"/>
  <c r="AJ238" i="3416"/>
  <c r="AI238" i="3416"/>
  <c r="AH238" i="3416"/>
  <c r="AG238" i="3416"/>
  <c r="AF238" i="3416"/>
  <c r="AE238" i="3416"/>
  <c r="AD238" i="3416"/>
  <c r="AC238" i="3416"/>
  <c r="AB238" i="3416"/>
  <c r="AA238" i="3416"/>
  <c r="Z238" i="3416"/>
  <c r="Y238" i="3416"/>
  <c r="X238" i="3416"/>
  <c r="W238" i="3416"/>
  <c r="V238" i="3416"/>
  <c r="U238" i="3416"/>
  <c r="T238" i="3416"/>
  <c r="S238" i="3416"/>
  <c r="R238" i="3416"/>
  <c r="Q238" i="3416"/>
  <c r="P238" i="3416"/>
  <c r="O238" i="3416"/>
  <c r="N238" i="3416"/>
  <c r="M238" i="3416"/>
  <c r="L238" i="3416"/>
  <c r="K238" i="3416"/>
  <c r="J238" i="3416"/>
  <c r="I238" i="3416"/>
  <c r="H238" i="3416"/>
  <c r="G238" i="3416"/>
  <c r="F238" i="3416"/>
  <c r="E238" i="3416"/>
  <c r="D238" i="3416"/>
  <c r="C238" i="3416" a="1"/>
  <c r="C238" i="3416"/>
  <c r="A238" i="3416"/>
  <c r="EM237" i="3416"/>
  <c r="EL237" i="3416"/>
  <c r="EK237" i="3416"/>
  <c r="EJ237" i="3416"/>
  <c r="EI237" i="3416"/>
  <c r="EH237" i="3416"/>
  <c r="EG237" i="3416"/>
  <c r="EF237" i="3416"/>
  <c r="EE237" i="3416"/>
  <c r="ED237" i="3416"/>
  <c r="EC237" i="3416"/>
  <c r="EB237" i="3416"/>
  <c r="EA237" i="3416"/>
  <c r="DZ237" i="3416"/>
  <c r="DY237" i="3416"/>
  <c r="DX237" i="3416"/>
  <c r="DW237" i="3416"/>
  <c r="DV237" i="3416"/>
  <c r="DU237" i="3416"/>
  <c r="DT237" i="3416"/>
  <c r="DS237" i="3416"/>
  <c r="DR237" i="3416"/>
  <c r="DQ237" i="3416"/>
  <c r="DP237" i="3416"/>
  <c r="DO237" i="3416"/>
  <c r="DN237" i="3416"/>
  <c r="DM237" i="3416"/>
  <c r="DL237" i="3416"/>
  <c r="DK237" i="3416"/>
  <c r="DJ237" i="3416"/>
  <c r="DI237" i="3416"/>
  <c r="DH237" i="3416"/>
  <c r="DG237" i="3416"/>
  <c r="DF237" i="3416"/>
  <c r="DE237" i="3416"/>
  <c r="DD237" i="3416"/>
  <c r="DC237" i="3416"/>
  <c r="DB237" i="3416"/>
  <c r="DA237" i="3416"/>
  <c r="CZ237" i="3416"/>
  <c r="CY237" i="3416"/>
  <c r="CX237" i="3416"/>
  <c r="CW237" i="3416"/>
  <c r="CV237" i="3416"/>
  <c r="CU237" i="3416"/>
  <c r="CT237" i="3416"/>
  <c r="CS237" i="3416"/>
  <c r="CR237" i="3416"/>
  <c r="CQ237" i="3416"/>
  <c r="CP237" i="3416"/>
  <c r="CO237" i="3416"/>
  <c r="CN237" i="3416"/>
  <c r="CM237" i="3416"/>
  <c r="CL237" i="3416"/>
  <c r="CK237" i="3416"/>
  <c r="CJ237" i="3416"/>
  <c r="CI237" i="3416"/>
  <c r="CH237" i="3416"/>
  <c r="CG237" i="3416"/>
  <c r="CF237" i="3416"/>
  <c r="CE237" i="3416"/>
  <c r="CD237" i="3416"/>
  <c r="CC237" i="3416"/>
  <c r="CB237" i="3416"/>
  <c r="CA237" i="3416"/>
  <c r="BZ237" i="3416"/>
  <c r="BY237" i="3416"/>
  <c r="BX237" i="3416"/>
  <c r="BW237" i="3416"/>
  <c r="BV237" i="3416"/>
  <c r="BU237" i="3416"/>
  <c r="BT237" i="3416"/>
  <c r="BS237" i="3416"/>
  <c r="BR237" i="3416"/>
  <c r="BQ237" i="3416"/>
  <c r="BP237" i="3416"/>
  <c r="BO237" i="3416"/>
  <c r="BN237" i="3416"/>
  <c r="BM237" i="3416"/>
  <c r="BL237" i="3416"/>
  <c r="BK237" i="3416"/>
  <c r="BJ237" i="3416"/>
  <c r="BI237" i="3416"/>
  <c r="BH237" i="3416"/>
  <c r="BG237" i="3416"/>
  <c r="BF237" i="3416"/>
  <c r="BE237" i="3416"/>
  <c r="BD237" i="3416"/>
  <c r="BC237" i="3416"/>
  <c r="BB237" i="3416"/>
  <c r="BA237" i="3416"/>
  <c r="AZ237" i="3416"/>
  <c r="AY237" i="3416"/>
  <c r="AX237" i="3416"/>
  <c r="AW237" i="3416"/>
  <c r="AV237" i="3416"/>
  <c r="AU237" i="3416"/>
  <c r="AT237" i="3416"/>
  <c r="AS237" i="3416"/>
  <c r="AR237" i="3416"/>
  <c r="AQ237" i="3416"/>
  <c r="AP237" i="3416"/>
  <c r="AO237" i="3416"/>
  <c r="AN237" i="3416"/>
  <c r="AM237" i="3416"/>
  <c r="AL237" i="3416"/>
  <c r="AK237" i="3416"/>
  <c r="AJ237" i="3416"/>
  <c r="AI237" i="3416"/>
  <c r="AH237" i="3416"/>
  <c r="AG237" i="3416"/>
  <c r="AF237" i="3416"/>
  <c r="AE237" i="3416"/>
  <c r="AD237" i="3416"/>
  <c r="AC237" i="3416"/>
  <c r="AB237" i="3416"/>
  <c r="AA237" i="3416"/>
  <c r="Z237" i="3416"/>
  <c r="Y237" i="3416"/>
  <c r="X237" i="3416"/>
  <c r="W237" i="3416"/>
  <c r="V237" i="3416"/>
  <c r="U237" i="3416"/>
  <c r="T237" i="3416"/>
  <c r="S237" i="3416"/>
  <c r="R237" i="3416"/>
  <c r="Q237" i="3416"/>
  <c r="P237" i="3416"/>
  <c r="O237" i="3416"/>
  <c r="N237" i="3416"/>
  <c r="M237" i="3416"/>
  <c r="L237" i="3416"/>
  <c r="K237" i="3416"/>
  <c r="J237" i="3416"/>
  <c r="I237" i="3416"/>
  <c r="H237" i="3416"/>
  <c r="G237" i="3416"/>
  <c r="F237" i="3416"/>
  <c r="E237" i="3416"/>
  <c r="D237" i="3416"/>
  <c r="C237" i="3416" a="1"/>
  <c r="C237" i="3416"/>
  <c r="A237" i="3416"/>
  <c r="EM236" i="3416"/>
  <c r="EL236" i="3416"/>
  <c r="EK236" i="3416"/>
  <c r="EJ236" i="3416"/>
  <c r="EI236" i="3416"/>
  <c r="EH236" i="3416"/>
  <c r="EG236" i="3416"/>
  <c r="EF236" i="3416"/>
  <c r="EE236" i="3416"/>
  <c r="ED236" i="3416"/>
  <c r="EC236" i="3416"/>
  <c r="EB236" i="3416"/>
  <c r="EA236" i="3416"/>
  <c r="DZ236" i="3416"/>
  <c r="DY236" i="3416"/>
  <c r="DX236" i="3416"/>
  <c r="DW236" i="3416"/>
  <c r="DV236" i="3416"/>
  <c r="DU236" i="3416"/>
  <c r="DT236" i="3416"/>
  <c r="DS236" i="3416"/>
  <c r="DR236" i="3416"/>
  <c r="DQ236" i="3416"/>
  <c r="DP236" i="3416"/>
  <c r="DO236" i="3416"/>
  <c r="DN236" i="3416"/>
  <c r="DM236" i="3416"/>
  <c r="DL236" i="3416"/>
  <c r="DK236" i="3416"/>
  <c r="DJ236" i="3416"/>
  <c r="DI236" i="3416"/>
  <c r="DH236" i="3416"/>
  <c r="DG236" i="3416"/>
  <c r="DF236" i="3416"/>
  <c r="DE236" i="3416"/>
  <c r="DD236" i="3416"/>
  <c r="DC236" i="3416"/>
  <c r="DB236" i="3416"/>
  <c r="DA236" i="3416"/>
  <c r="CZ236" i="3416"/>
  <c r="CY236" i="3416"/>
  <c r="CX236" i="3416"/>
  <c r="CW236" i="3416"/>
  <c r="CV236" i="3416"/>
  <c r="CU236" i="3416"/>
  <c r="CT236" i="3416"/>
  <c r="CS236" i="3416"/>
  <c r="CR236" i="3416"/>
  <c r="CQ236" i="3416"/>
  <c r="CP236" i="3416"/>
  <c r="CO236" i="3416"/>
  <c r="CN236" i="3416"/>
  <c r="CM236" i="3416"/>
  <c r="CL236" i="3416"/>
  <c r="CK236" i="3416"/>
  <c r="CJ236" i="3416"/>
  <c r="CI236" i="3416"/>
  <c r="CH236" i="3416"/>
  <c r="CG236" i="3416"/>
  <c r="CF236" i="3416"/>
  <c r="CE236" i="3416"/>
  <c r="CD236" i="3416"/>
  <c r="CC236" i="3416"/>
  <c r="CB236" i="3416"/>
  <c r="CA236" i="3416"/>
  <c r="BZ236" i="3416"/>
  <c r="BY236" i="3416"/>
  <c r="BX236" i="3416"/>
  <c r="BW236" i="3416"/>
  <c r="BV236" i="3416"/>
  <c r="BU236" i="3416"/>
  <c r="BT236" i="3416"/>
  <c r="BS236" i="3416"/>
  <c r="BR236" i="3416"/>
  <c r="BQ236" i="3416"/>
  <c r="BP236" i="3416"/>
  <c r="BO236" i="3416"/>
  <c r="BN236" i="3416"/>
  <c r="BM236" i="3416"/>
  <c r="BL236" i="3416"/>
  <c r="BK236" i="3416"/>
  <c r="BJ236" i="3416"/>
  <c r="BI236" i="3416"/>
  <c r="BH236" i="3416"/>
  <c r="BG236" i="3416"/>
  <c r="BF236" i="3416"/>
  <c r="BE236" i="3416"/>
  <c r="BD236" i="3416"/>
  <c r="BC236" i="3416"/>
  <c r="BB236" i="3416"/>
  <c r="BA236" i="3416"/>
  <c r="AZ236" i="3416"/>
  <c r="AY236" i="3416"/>
  <c r="AX236" i="3416"/>
  <c r="AW236" i="3416"/>
  <c r="AV236" i="3416"/>
  <c r="AU236" i="3416"/>
  <c r="AT236" i="3416"/>
  <c r="AS236" i="3416"/>
  <c r="AR236" i="3416"/>
  <c r="AQ236" i="3416"/>
  <c r="AP236" i="3416"/>
  <c r="AO236" i="3416"/>
  <c r="AN236" i="3416"/>
  <c r="AM236" i="3416"/>
  <c r="AL236" i="3416"/>
  <c r="AK236" i="3416"/>
  <c r="AJ236" i="3416"/>
  <c r="AI236" i="3416"/>
  <c r="AH236" i="3416"/>
  <c r="AG236" i="3416"/>
  <c r="AF236" i="3416"/>
  <c r="AE236" i="3416"/>
  <c r="AD236" i="3416"/>
  <c r="AC236" i="3416"/>
  <c r="AB236" i="3416"/>
  <c r="AA236" i="3416"/>
  <c r="Z236" i="3416"/>
  <c r="Y236" i="3416"/>
  <c r="X236" i="3416"/>
  <c r="W236" i="3416"/>
  <c r="V236" i="3416"/>
  <c r="U236" i="3416"/>
  <c r="T236" i="3416"/>
  <c r="S236" i="3416"/>
  <c r="R236" i="3416"/>
  <c r="Q236" i="3416"/>
  <c r="P236" i="3416"/>
  <c r="O236" i="3416"/>
  <c r="N236" i="3416"/>
  <c r="M236" i="3416"/>
  <c r="L236" i="3416"/>
  <c r="K236" i="3416"/>
  <c r="J236" i="3416"/>
  <c r="I236" i="3416"/>
  <c r="H236" i="3416"/>
  <c r="G236" i="3416"/>
  <c r="F236" i="3416"/>
  <c r="E236" i="3416"/>
  <c r="D236" i="3416"/>
  <c r="C236" i="3416" a="1"/>
  <c r="C236" i="3416"/>
  <c r="A236" i="3416"/>
  <c r="EM235" i="3416"/>
  <c r="EL235" i="3416"/>
  <c r="EK235" i="3416"/>
  <c r="EJ235" i="3416"/>
  <c r="EI235" i="3416"/>
  <c r="EH235" i="3416"/>
  <c r="EG235" i="3416"/>
  <c r="EF235" i="3416"/>
  <c r="EE235" i="3416"/>
  <c r="ED235" i="3416"/>
  <c r="EC235" i="3416"/>
  <c r="EB235" i="3416"/>
  <c r="EA235" i="3416"/>
  <c r="DZ235" i="3416"/>
  <c r="DY235" i="3416"/>
  <c r="DX235" i="3416"/>
  <c r="DW235" i="3416"/>
  <c r="DV235" i="3416"/>
  <c r="DU235" i="3416"/>
  <c r="DT235" i="3416"/>
  <c r="DS235" i="3416"/>
  <c r="DR235" i="3416"/>
  <c r="DQ235" i="3416"/>
  <c r="DP235" i="3416"/>
  <c r="DO235" i="3416"/>
  <c r="DN235" i="3416"/>
  <c r="DM235" i="3416"/>
  <c r="DL235" i="3416"/>
  <c r="DK235" i="3416"/>
  <c r="DJ235" i="3416"/>
  <c r="DI235" i="3416"/>
  <c r="DH235" i="3416"/>
  <c r="DG235" i="3416"/>
  <c r="DF235" i="3416"/>
  <c r="DE235" i="3416"/>
  <c r="DD235" i="3416"/>
  <c r="DC235" i="3416"/>
  <c r="DB235" i="3416"/>
  <c r="DA235" i="3416"/>
  <c r="CZ235" i="3416"/>
  <c r="CY235" i="3416"/>
  <c r="CX235" i="3416"/>
  <c r="CW235" i="3416"/>
  <c r="CV235" i="3416"/>
  <c r="CU235" i="3416"/>
  <c r="CT235" i="3416"/>
  <c r="CS235" i="3416"/>
  <c r="CR235" i="3416"/>
  <c r="CQ235" i="3416"/>
  <c r="CP235" i="3416"/>
  <c r="CO235" i="3416"/>
  <c r="CN235" i="3416"/>
  <c r="CM235" i="3416"/>
  <c r="CL235" i="3416"/>
  <c r="CK235" i="3416"/>
  <c r="CJ235" i="3416"/>
  <c r="CI235" i="3416"/>
  <c r="CH235" i="3416"/>
  <c r="CG235" i="3416"/>
  <c r="CF235" i="3416"/>
  <c r="CE235" i="3416"/>
  <c r="CD235" i="3416"/>
  <c r="CC235" i="3416"/>
  <c r="CB235" i="3416"/>
  <c r="CA235" i="3416"/>
  <c r="BZ235" i="3416"/>
  <c r="BY235" i="3416"/>
  <c r="BX235" i="3416"/>
  <c r="BW235" i="3416"/>
  <c r="BV235" i="3416"/>
  <c r="BU235" i="3416"/>
  <c r="BT235" i="3416"/>
  <c r="BS235" i="3416"/>
  <c r="BR235" i="3416"/>
  <c r="BQ235" i="3416"/>
  <c r="BP235" i="3416"/>
  <c r="BO235" i="3416"/>
  <c r="BN235" i="3416"/>
  <c r="BM235" i="3416"/>
  <c r="BL235" i="3416"/>
  <c r="BK235" i="3416"/>
  <c r="BJ235" i="3416"/>
  <c r="BI235" i="3416"/>
  <c r="BH235" i="3416"/>
  <c r="BG235" i="3416"/>
  <c r="BF235" i="3416"/>
  <c r="BE235" i="3416"/>
  <c r="BD235" i="3416"/>
  <c r="BC235" i="3416"/>
  <c r="BB235" i="3416"/>
  <c r="BA235" i="3416"/>
  <c r="AZ235" i="3416"/>
  <c r="AY235" i="3416"/>
  <c r="AX235" i="3416"/>
  <c r="AW235" i="3416"/>
  <c r="AV235" i="3416"/>
  <c r="AU235" i="3416"/>
  <c r="AT235" i="3416"/>
  <c r="AS235" i="3416"/>
  <c r="AR235" i="3416"/>
  <c r="AQ235" i="3416"/>
  <c r="AP235" i="3416"/>
  <c r="AO235" i="3416"/>
  <c r="AN235" i="3416"/>
  <c r="AM235" i="3416"/>
  <c r="AL235" i="3416"/>
  <c r="AK235" i="3416"/>
  <c r="AJ235" i="3416"/>
  <c r="AI235" i="3416"/>
  <c r="AH235" i="3416"/>
  <c r="AG235" i="3416"/>
  <c r="AF235" i="3416"/>
  <c r="AE235" i="3416"/>
  <c r="AD235" i="3416"/>
  <c r="AC235" i="3416"/>
  <c r="AB235" i="3416"/>
  <c r="AA235" i="3416"/>
  <c r="Z235" i="3416"/>
  <c r="Y235" i="3416"/>
  <c r="X235" i="3416"/>
  <c r="W235" i="3416"/>
  <c r="V235" i="3416"/>
  <c r="U235" i="3416"/>
  <c r="T235" i="3416"/>
  <c r="S235" i="3416"/>
  <c r="R235" i="3416"/>
  <c r="Q235" i="3416"/>
  <c r="P235" i="3416"/>
  <c r="O235" i="3416"/>
  <c r="N235" i="3416"/>
  <c r="M235" i="3416"/>
  <c r="L235" i="3416"/>
  <c r="K235" i="3416"/>
  <c r="J235" i="3416"/>
  <c r="I235" i="3416"/>
  <c r="H235" i="3416"/>
  <c r="G235" i="3416"/>
  <c r="F235" i="3416"/>
  <c r="E235" i="3416"/>
  <c r="D235" i="3416"/>
  <c r="C235" i="3416" a="1"/>
  <c r="C235" i="3416"/>
  <c r="A235" i="3416"/>
  <c r="EM234" i="3416"/>
  <c r="EL234" i="3416"/>
  <c r="EK234" i="3416"/>
  <c r="EJ234" i="3416"/>
  <c r="EI234" i="3416"/>
  <c r="EH234" i="3416"/>
  <c r="EG234" i="3416"/>
  <c r="EF234" i="3416"/>
  <c r="EE234" i="3416"/>
  <c r="ED234" i="3416"/>
  <c r="EC234" i="3416"/>
  <c r="EB234" i="3416"/>
  <c r="EA234" i="3416"/>
  <c r="DZ234" i="3416"/>
  <c r="DY234" i="3416"/>
  <c r="DX234" i="3416"/>
  <c r="DW234" i="3416"/>
  <c r="DV234" i="3416"/>
  <c r="DU234" i="3416"/>
  <c r="DT234" i="3416"/>
  <c r="DS234" i="3416"/>
  <c r="DR234" i="3416"/>
  <c r="DQ234" i="3416"/>
  <c r="DP234" i="3416"/>
  <c r="DO234" i="3416"/>
  <c r="DN234" i="3416"/>
  <c r="DM234" i="3416"/>
  <c r="DL234" i="3416"/>
  <c r="DK234" i="3416"/>
  <c r="DJ234" i="3416"/>
  <c r="DI234" i="3416"/>
  <c r="DH234" i="3416"/>
  <c r="DG234" i="3416"/>
  <c r="DF234" i="3416"/>
  <c r="DE234" i="3416"/>
  <c r="DD234" i="3416"/>
  <c r="DC234" i="3416"/>
  <c r="DB234" i="3416"/>
  <c r="DA234" i="3416"/>
  <c r="CZ234" i="3416"/>
  <c r="CY234" i="3416"/>
  <c r="CX234" i="3416"/>
  <c r="CW234" i="3416"/>
  <c r="CV234" i="3416"/>
  <c r="CU234" i="3416"/>
  <c r="CT234" i="3416"/>
  <c r="CS234" i="3416"/>
  <c r="CR234" i="3416"/>
  <c r="CQ234" i="3416"/>
  <c r="CP234" i="3416"/>
  <c r="CO234" i="3416"/>
  <c r="CN234" i="3416"/>
  <c r="CM234" i="3416"/>
  <c r="CL234" i="3416"/>
  <c r="CK234" i="3416"/>
  <c r="CJ234" i="3416"/>
  <c r="CI234" i="3416"/>
  <c r="CH234" i="3416"/>
  <c r="CG234" i="3416"/>
  <c r="CF234" i="3416"/>
  <c r="CE234" i="3416"/>
  <c r="CD234" i="3416"/>
  <c r="CC234" i="3416"/>
  <c r="CB234" i="3416"/>
  <c r="CA234" i="3416"/>
  <c r="BZ234" i="3416"/>
  <c r="BY234" i="3416"/>
  <c r="BX234" i="3416"/>
  <c r="BW234" i="3416"/>
  <c r="BV234" i="3416"/>
  <c r="BU234" i="3416"/>
  <c r="BT234" i="3416"/>
  <c r="BS234" i="3416"/>
  <c r="BR234" i="3416"/>
  <c r="BQ234" i="3416"/>
  <c r="BP234" i="3416"/>
  <c r="BO234" i="3416"/>
  <c r="BN234" i="3416"/>
  <c r="BM234" i="3416"/>
  <c r="BL234" i="3416"/>
  <c r="BK234" i="3416"/>
  <c r="BJ234" i="3416"/>
  <c r="BI234" i="3416"/>
  <c r="BH234" i="3416"/>
  <c r="BG234" i="3416"/>
  <c r="BF234" i="3416"/>
  <c r="BE234" i="3416"/>
  <c r="BD234" i="3416"/>
  <c r="BC234" i="3416"/>
  <c r="BB234" i="3416"/>
  <c r="BA234" i="3416"/>
  <c r="AZ234" i="3416"/>
  <c r="AY234" i="3416"/>
  <c r="AX234" i="3416"/>
  <c r="AW234" i="3416"/>
  <c r="AV234" i="3416"/>
  <c r="AU234" i="3416"/>
  <c r="AT234" i="3416"/>
  <c r="AS234" i="3416"/>
  <c r="AR234" i="3416"/>
  <c r="AQ234" i="3416"/>
  <c r="AP234" i="3416"/>
  <c r="AO234" i="3416"/>
  <c r="AN234" i="3416"/>
  <c r="AM234" i="3416"/>
  <c r="AL234" i="3416"/>
  <c r="AK234" i="3416"/>
  <c r="AJ234" i="3416"/>
  <c r="AI234" i="3416"/>
  <c r="AH234" i="3416"/>
  <c r="AG234" i="3416"/>
  <c r="AF234" i="3416"/>
  <c r="AE234" i="3416"/>
  <c r="AD234" i="3416"/>
  <c r="AC234" i="3416"/>
  <c r="AB234" i="3416"/>
  <c r="AA234" i="3416"/>
  <c r="Z234" i="3416"/>
  <c r="Y234" i="3416"/>
  <c r="X234" i="3416"/>
  <c r="W234" i="3416"/>
  <c r="V234" i="3416"/>
  <c r="U234" i="3416"/>
  <c r="T234" i="3416"/>
  <c r="S234" i="3416"/>
  <c r="R234" i="3416"/>
  <c r="Q234" i="3416"/>
  <c r="P234" i="3416"/>
  <c r="O234" i="3416"/>
  <c r="N234" i="3416"/>
  <c r="M234" i="3416"/>
  <c r="L234" i="3416"/>
  <c r="K234" i="3416"/>
  <c r="J234" i="3416"/>
  <c r="I234" i="3416"/>
  <c r="H234" i="3416"/>
  <c r="G234" i="3416"/>
  <c r="F234" i="3416"/>
  <c r="E234" i="3416"/>
  <c r="D234" i="3416"/>
  <c r="C234" i="3416" a="1"/>
  <c r="C234" i="3416"/>
  <c r="A234" i="3416"/>
  <c r="EM233" i="3416"/>
  <c r="EL233" i="3416"/>
  <c r="EK233" i="3416"/>
  <c r="EJ233" i="3416"/>
  <c r="EI233" i="3416"/>
  <c r="EH233" i="3416"/>
  <c r="EG233" i="3416"/>
  <c r="EF233" i="3416"/>
  <c r="EE233" i="3416"/>
  <c r="ED233" i="3416"/>
  <c r="EC233" i="3416"/>
  <c r="EB233" i="3416"/>
  <c r="EA233" i="3416"/>
  <c r="DZ233" i="3416"/>
  <c r="DY233" i="3416"/>
  <c r="DX233" i="3416"/>
  <c r="DW233" i="3416"/>
  <c r="DV233" i="3416"/>
  <c r="DU233" i="3416"/>
  <c r="DT233" i="3416"/>
  <c r="DS233" i="3416"/>
  <c r="DR233" i="3416"/>
  <c r="DQ233" i="3416"/>
  <c r="DP233" i="3416"/>
  <c r="DO233" i="3416"/>
  <c r="DN233" i="3416"/>
  <c r="DM233" i="3416"/>
  <c r="DL233" i="3416"/>
  <c r="DK233" i="3416"/>
  <c r="DJ233" i="3416"/>
  <c r="DI233" i="3416"/>
  <c r="DH233" i="3416"/>
  <c r="DG233" i="3416"/>
  <c r="DF233" i="3416"/>
  <c r="DE233" i="3416"/>
  <c r="DD233" i="3416"/>
  <c r="DC233" i="3416"/>
  <c r="DB233" i="3416"/>
  <c r="DA233" i="3416"/>
  <c r="CZ233" i="3416"/>
  <c r="CY233" i="3416"/>
  <c r="CX233" i="3416"/>
  <c r="CW233" i="3416"/>
  <c r="CV233" i="3416"/>
  <c r="CU233" i="3416"/>
  <c r="CT233" i="3416"/>
  <c r="CS233" i="3416"/>
  <c r="CR233" i="3416"/>
  <c r="CQ233" i="3416"/>
  <c r="CP233" i="3416"/>
  <c r="CO233" i="3416"/>
  <c r="CN233" i="3416"/>
  <c r="CM233" i="3416"/>
  <c r="CL233" i="3416"/>
  <c r="CK233" i="3416"/>
  <c r="CJ233" i="3416"/>
  <c r="CI233" i="3416"/>
  <c r="CH233" i="3416"/>
  <c r="CG233" i="3416"/>
  <c r="CF233" i="3416"/>
  <c r="CE233" i="3416"/>
  <c r="CD233" i="3416"/>
  <c r="CC233" i="3416"/>
  <c r="CB233" i="3416"/>
  <c r="CA233" i="3416"/>
  <c r="BZ233" i="3416"/>
  <c r="BY233" i="3416"/>
  <c r="BX233" i="3416"/>
  <c r="BW233" i="3416"/>
  <c r="BV233" i="3416"/>
  <c r="BU233" i="3416"/>
  <c r="BT233" i="3416"/>
  <c r="BS233" i="3416"/>
  <c r="BR233" i="3416"/>
  <c r="BQ233" i="3416"/>
  <c r="BP233" i="3416"/>
  <c r="BO233" i="3416"/>
  <c r="BN233" i="3416"/>
  <c r="BM233" i="3416"/>
  <c r="BL233" i="3416"/>
  <c r="BK233" i="3416"/>
  <c r="BJ233" i="3416"/>
  <c r="BI233" i="3416"/>
  <c r="BH233" i="3416"/>
  <c r="BG233" i="3416"/>
  <c r="BF233" i="3416"/>
  <c r="BE233" i="3416"/>
  <c r="BD233" i="3416"/>
  <c r="BC233" i="3416"/>
  <c r="BB233" i="3416"/>
  <c r="BA233" i="3416"/>
  <c r="AZ233" i="3416"/>
  <c r="AY233" i="3416"/>
  <c r="AX233" i="3416"/>
  <c r="AW233" i="3416"/>
  <c r="AV233" i="3416"/>
  <c r="AU233" i="3416"/>
  <c r="AT233" i="3416"/>
  <c r="AS233" i="3416"/>
  <c r="AR233" i="3416"/>
  <c r="AQ233" i="3416"/>
  <c r="AP233" i="3416"/>
  <c r="AO233" i="3416"/>
  <c r="AN233" i="3416"/>
  <c r="AM233" i="3416"/>
  <c r="AL233" i="3416"/>
  <c r="AK233" i="3416"/>
  <c r="AJ233" i="3416"/>
  <c r="AI233" i="3416"/>
  <c r="AH233" i="3416"/>
  <c r="AG233" i="3416"/>
  <c r="AF233" i="3416"/>
  <c r="AE233" i="3416"/>
  <c r="AD233" i="3416"/>
  <c r="AC233" i="3416"/>
  <c r="AB233" i="3416"/>
  <c r="AA233" i="3416"/>
  <c r="Z233" i="3416"/>
  <c r="Y233" i="3416"/>
  <c r="X233" i="3416"/>
  <c r="W233" i="3416"/>
  <c r="V233" i="3416"/>
  <c r="U233" i="3416"/>
  <c r="T233" i="3416"/>
  <c r="S233" i="3416"/>
  <c r="R233" i="3416"/>
  <c r="Q233" i="3416"/>
  <c r="P233" i="3416"/>
  <c r="O233" i="3416"/>
  <c r="N233" i="3416"/>
  <c r="M233" i="3416"/>
  <c r="L233" i="3416"/>
  <c r="K233" i="3416"/>
  <c r="J233" i="3416"/>
  <c r="I233" i="3416"/>
  <c r="H233" i="3416"/>
  <c r="G233" i="3416"/>
  <c r="F233" i="3416"/>
  <c r="E233" i="3416"/>
  <c r="D233" i="3416"/>
  <c r="C233" i="3416" a="1"/>
  <c r="C233" i="3416"/>
  <c r="A233" i="3416"/>
  <c r="EM232" i="3416"/>
  <c r="EL232" i="3416"/>
  <c r="EK232" i="3416"/>
  <c r="EJ232" i="3416"/>
  <c r="EI232" i="3416"/>
  <c r="EH232" i="3416"/>
  <c r="EG232" i="3416"/>
  <c r="EF232" i="3416"/>
  <c r="EE232" i="3416"/>
  <c r="ED232" i="3416"/>
  <c r="EC232" i="3416"/>
  <c r="EB232" i="3416"/>
  <c r="EA232" i="3416"/>
  <c r="DZ232" i="3416"/>
  <c r="DY232" i="3416"/>
  <c r="DX232" i="3416"/>
  <c r="DW232" i="3416"/>
  <c r="DV232" i="3416"/>
  <c r="DU232" i="3416"/>
  <c r="DT232" i="3416"/>
  <c r="DS232" i="3416"/>
  <c r="DR232" i="3416"/>
  <c r="DQ232" i="3416"/>
  <c r="DP232" i="3416"/>
  <c r="DO232" i="3416"/>
  <c r="DN232" i="3416"/>
  <c r="DM232" i="3416"/>
  <c r="DL232" i="3416"/>
  <c r="DK232" i="3416"/>
  <c r="DJ232" i="3416"/>
  <c r="DI232" i="3416"/>
  <c r="DH232" i="3416"/>
  <c r="DG232" i="3416"/>
  <c r="DF232" i="3416"/>
  <c r="DE232" i="3416"/>
  <c r="DD232" i="3416"/>
  <c r="DC232" i="3416"/>
  <c r="DB232" i="3416"/>
  <c r="DA232" i="3416"/>
  <c r="CZ232" i="3416"/>
  <c r="CY232" i="3416"/>
  <c r="CX232" i="3416"/>
  <c r="CW232" i="3416"/>
  <c r="CV232" i="3416"/>
  <c r="CU232" i="3416"/>
  <c r="CT232" i="3416"/>
  <c r="CS232" i="3416"/>
  <c r="CR232" i="3416"/>
  <c r="CQ232" i="3416"/>
  <c r="CP232" i="3416"/>
  <c r="CO232" i="3416"/>
  <c r="CN232" i="3416"/>
  <c r="CM232" i="3416"/>
  <c r="CL232" i="3416"/>
  <c r="CK232" i="3416"/>
  <c r="CJ232" i="3416"/>
  <c r="CI232" i="3416"/>
  <c r="CH232" i="3416"/>
  <c r="CG232" i="3416"/>
  <c r="CF232" i="3416"/>
  <c r="CE232" i="3416"/>
  <c r="CD232" i="3416"/>
  <c r="CC232" i="3416"/>
  <c r="CB232" i="3416"/>
  <c r="CA232" i="3416"/>
  <c r="BZ232" i="3416"/>
  <c r="BY232" i="3416"/>
  <c r="BX232" i="3416"/>
  <c r="BW232" i="3416"/>
  <c r="BV232" i="3416"/>
  <c r="BU232" i="3416"/>
  <c r="BT232" i="3416"/>
  <c r="BS232" i="3416"/>
  <c r="BR232" i="3416"/>
  <c r="BQ232" i="3416"/>
  <c r="BP232" i="3416"/>
  <c r="BO232" i="3416"/>
  <c r="BN232" i="3416"/>
  <c r="BM232" i="3416"/>
  <c r="BL232" i="3416"/>
  <c r="BK232" i="3416"/>
  <c r="BJ232" i="3416"/>
  <c r="BI232" i="3416"/>
  <c r="BH232" i="3416"/>
  <c r="BG232" i="3416"/>
  <c r="BF232" i="3416"/>
  <c r="BE232" i="3416"/>
  <c r="BD232" i="3416"/>
  <c r="BC232" i="3416"/>
  <c r="BB232" i="3416"/>
  <c r="BA232" i="3416"/>
  <c r="AZ232" i="3416"/>
  <c r="AY232" i="3416"/>
  <c r="AX232" i="3416"/>
  <c r="AW232" i="3416"/>
  <c r="AV232" i="3416"/>
  <c r="AU232" i="3416"/>
  <c r="AT232" i="3416"/>
  <c r="AS232" i="3416"/>
  <c r="AR232" i="3416"/>
  <c r="AQ232" i="3416"/>
  <c r="AP232" i="3416"/>
  <c r="AO232" i="3416"/>
  <c r="AN232" i="3416"/>
  <c r="AM232" i="3416"/>
  <c r="AL232" i="3416"/>
  <c r="AK232" i="3416"/>
  <c r="AJ232" i="3416"/>
  <c r="AI232" i="3416"/>
  <c r="AH232" i="3416"/>
  <c r="AG232" i="3416"/>
  <c r="AF232" i="3416"/>
  <c r="AE232" i="3416"/>
  <c r="AD232" i="3416"/>
  <c r="AC232" i="3416"/>
  <c r="AB232" i="3416"/>
  <c r="AA232" i="3416"/>
  <c r="Z232" i="3416"/>
  <c r="Y232" i="3416"/>
  <c r="X232" i="3416"/>
  <c r="W232" i="3416"/>
  <c r="V232" i="3416"/>
  <c r="U232" i="3416"/>
  <c r="T232" i="3416"/>
  <c r="S232" i="3416"/>
  <c r="R232" i="3416"/>
  <c r="Q232" i="3416"/>
  <c r="P232" i="3416"/>
  <c r="O232" i="3416"/>
  <c r="N232" i="3416"/>
  <c r="M232" i="3416"/>
  <c r="L232" i="3416"/>
  <c r="K232" i="3416"/>
  <c r="J232" i="3416"/>
  <c r="I232" i="3416"/>
  <c r="H232" i="3416"/>
  <c r="G232" i="3416"/>
  <c r="F232" i="3416"/>
  <c r="E232" i="3416"/>
  <c r="D232" i="3416"/>
  <c r="C232" i="3416" a="1"/>
  <c r="C232" i="3416"/>
  <c r="A232" i="3416"/>
  <c r="EM231" i="3416"/>
  <c r="EL231" i="3416"/>
  <c r="EK231" i="3416"/>
  <c r="EJ231" i="3416"/>
  <c r="EI231" i="3416"/>
  <c r="EH231" i="3416"/>
  <c r="EG231" i="3416"/>
  <c r="EF231" i="3416"/>
  <c r="EE231" i="3416"/>
  <c r="ED231" i="3416"/>
  <c r="EC231" i="3416"/>
  <c r="EB231" i="3416"/>
  <c r="EA231" i="3416"/>
  <c r="DZ231" i="3416"/>
  <c r="DY231" i="3416"/>
  <c r="DX231" i="3416"/>
  <c r="DW231" i="3416"/>
  <c r="DV231" i="3416"/>
  <c r="DU231" i="3416"/>
  <c r="DT231" i="3416"/>
  <c r="DS231" i="3416"/>
  <c r="DR231" i="3416"/>
  <c r="DQ231" i="3416"/>
  <c r="DP231" i="3416"/>
  <c r="DO231" i="3416"/>
  <c r="DN231" i="3416"/>
  <c r="DM231" i="3416"/>
  <c r="DL231" i="3416"/>
  <c r="DK231" i="3416"/>
  <c r="DJ231" i="3416"/>
  <c r="DI231" i="3416"/>
  <c r="DH231" i="3416"/>
  <c r="DG231" i="3416"/>
  <c r="DF231" i="3416"/>
  <c r="DE231" i="3416"/>
  <c r="DD231" i="3416"/>
  <c r="DC231" i="3416"/>
  <c r="DB231" i="3416"/>
  <c r="DA231" i="3416"/>
  <c r="CZ231" i="3416"/>
  <c r="CY231" i="3416"/>
  <c r="CX231" i="3416"/>
  <c r="CW231" i="3416"/>
  <c r="CV231" i="3416"/>
  <c r="CU231" i="3416"/>
  <c r="CT231" i="3416"/>
  <c r="CS231" i="3416"/>
  <c r="CR231" i="3416"/>
  <c r="CQ231" i="3416"/>
  <c r="CP231" i="3416"/>
  <c r="CO231" i="3416"/>
  <c r="CN231" i="3416"/>
  <c r="CM231" i="3416"/>
  <c r="CL231" i="3416"/>
  <c r="CK231" i="3416"/>
  <c r="CJ231" i="3416"/>
  <c r="CI231" i="3416"/>
  <c r="CH231" i="3416"/>
  <c r="CG231" i="3416"/>
  <c r="CF231" i="3416"/>
  <c r="CE231" i="3416"/>
  <c r="CD231" i="3416"/>
  <c r="CC231" i="3416"/>
  <c r="CB231" i="3416"/>
  <c r="CA231" i="3416"/>
  <c r="BZ231" i="3416"/>
  <c r="BY231" i="3416"/>
  <c r="BX231" i="3416"/>
  <c r="BW231" i="3416"/>
  <c r="BV231" i="3416"/>
  <c r="BU231" i="3416"/>
  <c r="BT231" i="3416"/>
  <c r="BS231" i="3416"/>
  <c r="BR231" i="3416"/>
  <c r="BQ231" i="3416"/>
  <c r="BP231" i="3416"/>
  <c r="BO231" i="3416"/>
  <c r="BN231" i="3416"/>
  <c r="BM231" i="3416"/>
  <c r="BL231" i="3416"/>
  <c r="BK231" i="3416"/>
  <c r="BJ231" i="3416"/>
  <c r="BI231" i="3416"/>
  <c r="BH231" i="3416"/>
  <c r="BG231" i="3416"/>
  <c r="BF231" i="3416"/>
  <c r="BE231" i="3416"/>
  <c r="BD231" i="3416"/>
  <c r="BC231" i="3416"/>
  <c r="BB231" i="3416"/>
  <c r="BA231" i="3416"/>
  <c r="AZ231" i="3416"/>
  <c r="AY231" i="3416"/>
  <c r="AX231" i="3416"/>
  <c r="AW231" i="3416"/>
  <c r="AV231" i="3416"/>
  <c r="AU231" i="3416"/>
  <c r="AT231" i="3416"/>
  <c r="AS231" i="3416"/>
  <c r="AR231" i="3416"/>
  <c r="AQ231" i="3416"/>
  <c r="AP231" i="3416"/>
  <c r="AO231" i="3416"/>
  <c r="AN231" i="3416"/>
  <c r="AM231" i="3416"/>
  <c r="AL231" i="3416"/>
  <c r="AK231" i="3416"/>
  <c r="AJ231" i="3416"/>
  <c r="AI231" i="3416"/>
  <c r="AH231" i="3416"/>
  <c r="AG231" i="3416"/>
  <c r="AF231" i="3416"/>
  <c r="AE231" i="3416"/>
  <c r="AD231" i="3416"/>
  <c r="AC231" i="3416"/>
  <c r="AB231" i="3416"/>
  <c r="AA231" i="3416"/>
  <c r="Z231" i="3416"/>
  <c r="Y231" i="3416"/>
  <c r="X231" i="3416"/>
  <c r="W231" i="3416"/>
  <c r="V231" i="3416"/>
  <c r="U231" i="3416"/>
  <c r="T231" i="3416"/>
  <c r="S231" i="3416"/>
  <c r="R231" i="3416"/>
  <c r="Q231" i="3416"/>
  <c r="P231" i="3416"/>
  <c r="O231" i="3416"/>
  <c r="N231" i="3416"/>
  <c r="M231" i="3416"/>
  <c r="L231" i="3416"/>
  <c r="K231" i="3416"/>
  <c r="J231" i="3416"/>
  <c r="I231" i="3416"/>
  <c r="H231" i="3416"/>
  <c r="G231" i="3416"/>
  <c r="F231" i="3416"/>
  <c r="E231" i="3416"/>
  <c r="D231" i="3416"/>
  <c r="C231" i="3416" a="1"/>
  <c r="C231" i="3416"/>
  <c r="A231" i="3416"/>
  <c r="EM230" i="3416"/>
  <c r="EL230" i="3416"/>
  <c r="EK230" i="3416"/>
  <c r="EJ230" i="3416"/>
  <c r="EI230" i="3416"/>
  <c r="EH230" i="3416"/>
  <c r="EG230" i="3416"/>
  <c r="EF230" i="3416"/>
  <c r="EE230" i="3416"/>
  <c r="ED230" i="3416"/>
  <c r="EC230" i="3416"/>
  <c r="EB230" i="3416"/>
  <c r="EA230" i="3416"/>
  <c r="DZ230" i="3416"/>
  <c r="DY230" i="3416"/>
  <c r="DX230" i="3416"/>
  <c r="DW230" i="3416"/>
  <c r="DV230" i="3416"/>
  <c r="DU230" i="3416"/>
  <c r="DT230" i="3416"/>
  <c r="DS230" i="3416"/>
  <c r="DR230" i="3416"/>
  <c r="DQ230" i="3416"/>
  <c r="DP230" i="3416"/>
  <c r="DO230" i="3416"/>
  <c r="DN230" i="3416"/>
  <c r="DM230" i="3416"/>
  <c r="DL230" i="3416"/>
  <c r="DK230" i="3416"/>
  <c r="DJ230" i="3416"/>
  <c r="DI230" i="3416"/>
  <c r="DH230" i="3416"/>
  <c r="DG230" i="3416"/>
  <c r="DF230" i="3416"/>
  <c r="DE230" i="3416"/>
  <c r="DD230" i="3416"/>
  <c r="DC230" i="3416"/>
  <c r="DB230" i="3416"/>
  <c r="DA230" i="3416"/>
  <c r="CZ230" i="3416"/>
  <c r="CY230" i="3416"/>
  <c r="CX230" i="3416"/>
  <c r="CW230" i="3416"/>
  <c r="CV230" i="3416"/>
  <c r="CU230" i="3416"/>
  <c r="CT230" i="3416"/>
  <c r="CS230" i="3416"/>
  <c r="CR230" i="3416"/>
  <c r="CQ230" i="3416"/>
  <c r="CP230" i="3416"/>
  <c r="CO230" i="3416"/>
  <c r="CN230" i="3416"/>
  <c r="CM230" i="3416"/>
  <c r="CL230" i="3416"/>
  <c r="CK230" i="3416"/>
  <c r="CJ230" i="3416"/>
  <c r="CI230" i="3416"/>
  <c r="CH230" i="3416"/>
  <c r="CG230" i="3416"/>
  <c r="CF230" i="3416"/>
  <c r="CE230" i="3416"/>
  <c r="CD230" i="3416"/>
  <c r="CC230" i="3416"/>
  <c r="CB230" i="3416"/>
  <c r="CA230" i="3416"/>
  <c r="BZ230" i="3416"/>
  <c r="BY230" i="3416"/>
  <c r="BX230" i="3416"/>
  <c r="BW230" i="3416"/>
  <c r="BV230" i="3416"/>
  <c r="BU230" i="3416"/>
  <c r="BT230" i="3416"/>
  <c r="BS230" i="3416"/>
  <c r="BR230" i="3416"/>
  <c r="BQ230" i="3416"/>
  <c r="BP230" i="3416"/>
  <c r="BO230" i="3416"/>
  <c r="BN230" i="3416"/>
  <c r="BM230" i="3416"/>
  <c r="BL230" i="3416"/>
  <c r="BK230" i="3416"/>
  <c r="BJ230" i="3416"/>
  <c r="BI230" i="3416"/>
  <c r="BH230" i="3416"/>
  <c r="BG230" i="3416"/>
  <c r="BF230" i="3416"/>
  <c r="BE230" i="3416"/>
  <c r="BD230" i="3416"/>
  <c r="BC230" i="3416"/>
  <c r="BB230" i="3416"/>
  <c r="BA230" i="3416"/>
  <c r="AZ230" i="3416"/>
  <c r="AY230" i="3416"/>
  <c r="AX230" i="3416"/>
  <c r="AW230" i="3416"/>
  <c r="AV230" i="3416"/>
  <c r="AU230" i="3416"/>
  <c r="AT230" i="3416"/>
  <c r="AS230" i="3416"/>
  <c r="AR230" i="3416"/>
  <c r="AQ230" i="3416"/>
  <c r="AP230" i="3416"/>
  <c r="AO230" i="3416"/>
  <c r="AN230" i="3416"/>
  <c r="AM230" i="3416"/>
  <c r="AL230" i="3416"/>
  <c r="AK230" i="3416"/>
  <c r="AJ230" i="3416"/>
  <c r="AI230" i="3416"/>
  <c r="AH230" i="3416"/>
  <c r="AG230" i="3416"/>
  <c r="AF230" i="3416"/>
  <c r="AE230" i="3416"/>
  <c r="AD230" i="3416"/>
  <c r="AC230" i="3416"/>
  <c r="AB230" i="3416"/>
  <c r="AA230" i="3416"/>
  <c r="Z230" i="3416"/>
  <c r="Y230" i="3416"/>
  <c r="X230" i="3416"/>
  <c r="W230" i="3416"/>
  <c r="V230" i="3416"/>
  <c r="U230" i="3416"/>
  <c r="T230" i="3416"/>
  <c r="S230" i="3416"/>
  <c r="R230" i="3416"/>
  <c r="Q230" i="3416"/>
  <c r="P230" i="3416"/>
  <c r="O230" i="3416"/>
  <c r="N230" i="3416"/>
  <c r="M230" i="3416"/>
  <c r="L230" i="3416"/>
  <c r="K230" i="3416"/>
  <c r="J230" i="3416"/>
  <c r="I230" i="3416"/>
  <c r="H230" i="3416"/>
  <c r="G230" i="3416"/>
  <c r="F230" i="3416"/>
  <c r="E230" i="3416"/>
  <c r="D230" i="3416"/>
  <c r="C230" i="3416" a="1"/>
  <c r="C230" i="3416"/>
  <c r="A230" i="3416"/>
  <c r="EM229" i="3416"/>
  <c r="EL229" i="3416"/>
  <c r="EK229" i="3416"/>
  <c r="EJ229" i="3416"/>
  <c r="EI229" i="3416"/>
  <c r="EH229" i="3416"/>
  <c r="EG229" i="3416"/>
  <c r="EF229" i="3416"/>
  <c r="EE229" i="3416"/>
  <c r="ED229" i="3416"/>
  <c r="EC229" i="3416"/>
  <c r="EB229" i="3416"/>
  <c r="EA229" i="3416"/>
  <c r="DZ229" i="3416"/>
  <c r="DY229" i="3416"/>
  <c r="DX229" i="3416"/>
  <c r="DW229" i="3416"/>
  <c r="DV229" i="3416"/>
  <c r="DU229" i="3416"/>
  <c r="DT229" i="3416"/>
  <c r="DS229" i="3416"/>
  <c r="DR229" i="3416"/>
  <c r="DQ229" i="3416"/>
  <c r="DP229" i="3416"/>
  <c r="DO229" i="3416"/>
  <c r="DN229" i="3416"/>
  <c r="DM229" i="3416"/>
  <c r="DL229" i="3416"/>
  <c r="DK229" i="3416"/>
  <c r="DJ229" i="3416"/>
  <c r="DI229" i="3416"/>
  <c r="DH229" i="3416"/>
  <c r="DG229" i="3416"/>
  <c r="DF229" i="3416"/>
  <c r="DE229" i="3416"/>
  <c r="DD229" i="3416"/>
  <c r="DC229" i="3416"/>
  <c r="DB229" i="3416"/>
  <c r="DA229" i="3416"/>
  <c r="CZ229" i="3416"/>
  <c r="CY229" i="3416"/>
  <c r="CX229" i="3416"/>
  <c r="CW229" i="3416"/>
  <c r="CV229" i="3416"/>
  <c r="CU229" i="3416"/>
  <c r="CT229" i="3416"/>
  <c r="CS229" i="3416"/>
  <c r="CR229" i="3416"/>
  <c r="CQ229" i="3416"/>
  <c r="CP229" i="3416"/>
  <c r="CO229" i="3416"/>
  <c r="CN229" i="3416"/>
  <c r="CM229" i="3416"/>
  <c r="CL229" i="3416"/>
  <c r="CK229" i="3416"/>
  <c r="CJ229" i="3416"/>
  <c r="CI229" i="3416"/>
  <c r="CH229" i="3416"/>
  <c r="CG229" i="3416"/>
  <c r="CF229" i="3416"/>
  <c r="CE229" i="3416"/>
  <c r="CD229" i="3416"/>
  <c r="CC229" i="3416"/>
  <c r="CB229" i="3416"/>
  <c r="CA229" i="3416"/>
  <c r="BZ229" i="3416"/>
  <c r="BY229" i="3416"/>
  <c r="BX229" i="3416"/>
  <c r="BW229" i="3416"/>
  <c r="BV229" i="3416"/>
  <c r="BU229" i="3416"/>
  <c r="BT229" i="3416"/>
  <c r="BS229" i="3416"/>
  <c r="BR229" i="3416"/>
  <c r="BQ229" i="3416"/>
  <c r="BP229" i="3416"/>
  <c r="BO229" i="3416"/>
  <c r="BN229" i="3416"/>
  <c r="BM229" i="3416"/>
  <c r="BL229" i="3416"/>
  <c r="BK229" i="3416"/>
  <c r="BJ229" i="3416"/>
  <c r="BI229" i="3416"/>
  <c r="BH229" i="3416"/>
  <c r="BG229" i="3416"/>
  <c r="BF229" i="3416"/>
  <c r="BE229" i="3416"/>
  <c r="BD229" i="3416"/>
  <c r="BC229" i="3416"/>
  <c r="BB229" i="3416"/>
  <c r="BA229" i="3416"/>
  <c r="AZ229" i="3416"/>
  <c r="AY229" i="3416"/>
  <c r="AX229" i="3416"/>
  <c r="AW229" i="3416"/>
  <c r="AV229" i="3416"/>
  <c r="AU229" i="3416"/>
  <c r="AT229" i="3416"/>
  <c r="AS229" i="3416"/>
  <c r="AR229" i="3416"/>
  <c r="AQ229" i="3416"/>
  <c r="AP229" i="3416"/>
  <c r="AO229" i="3416"/>
  <c r="AN229" i="3416"/>
  <c r="AM229" i="3416"/>
  <c r="AL229" i="3416"/>
  <c r="AK229" i="3416"/>
  <c r="AJ229" i="3416"/>
  <c r="AI229" i="3416"/>
  <c r="AH229" i="3416"/>
  <c r="AG229" i="3416"/>
  <c r="AF229" i="3416"/>
  <c r="AE229" i="3416"/>
  <c r="AD229" i="3416"/>
  <c r="AC229" i="3416"/>
  <c r="AB229" i="3416"/>
  <c r="AA229" i="3416"/>
  <c r="Z229" i="3416"/>
  <c r="Y229" i="3416"/>
  <c r="X229" i="3416"/>
  <c r="W229" i="3416"/>
  <c r="V229" i="3416"/>
  <c r="U229" i="3416"/>
  <c r="T229" i="3416"/>
  <c r="S229" i="3416"/>
  <c r="R229" i="3416"/>
  <c r="Q229" i="3416"/>
  <c r="P229" i="3416"/>
  <c r="O229" i="3416"/>
  <c r="N229" i="3416"/>
  <c r="M229" i="3416"/>
  <c r="L229" i="3416"/>
  <c r="K229" i="3416"/>
  <c r="J229" i="3416"/>
  <c r="I229" i="3416"/>
  <c r="H229" i="3416"/>
  <c r="G229" i="3416"/>
  <c r="F229" i="3416"/>
  <c r="E229" i="3416"/>
  <c r="D229" i="3416"/>
  <c r="C229" i="3416" a="1"/>
  <c r="C229" i="3416"/>
  <c r="A229" i="3416"/>
  <c r="EM228" i="3416"/>
  <c r="EL228" i="3416"/>
  <c r="EK228" i="3416"/>
  <c r="EJ228" i="3416"/>
  <c r="EI228" i="3416"/>
  <c r="EH228" i="3416"/>
  <c r="EG228" i="3416"/>
  <c r="EF228" i="3416"/>
  <c r="EE228" i="3416"/>
  <c r="ED228" i="3416"/>
  <c r="EC228" i="3416"/>
  <c r="EB228" i="3416"/>
  <c r="EA228" i="3416"/>
  <c r="DZ228" i="3416"/>
  <c r="DY228" i="3416"/>
  <c r="DX228" i="3416"/>
  <c r="DW228" i="3416"/>
  <c r="DV228" i="3416"/>
  <c r="DU228" i="3416"/>
  <c r="DT228" i="3416"/>
  <c r="DS228" i="3416"/>
  <c r="DR228" i="3416"/>
  <c r="DQ228" i="3416"/>
  <c r="DP228" i="3416"/>
  <c r="DO228" i="3416"/>
  <c r="DN228" i="3416"/>
  <c r="DM228" i="3416"/>
  <c r="DL228" i="3416"/>
  <c r="DK228" i="3416"/>
  <c r="DJ228" i="3416"/>
  <c r="DI228" i="3416"/>
  <c r="DH228" i="3416"/>
  <c r="DG228" i="3416"/>
  <c r="DF228" i="3416"/>
  <c r="DE228" i="3416"/>
  <c r="DD228" i="3416"/>
  <c r="DC228" i="3416"/>
  <c r="DB228" i="3416"/>
  <c r="DA228" i="3416"/>
  <c r="CZ228" i="3416"/>
  <c r="CY228" i="3416"/>
  <c r="CX228" i="3416"/>
  <c r="CW228" i="3416"/>
  <c r="CV228" i="3416"/>
  <c r="CU228" i="3416"/>
  <c r="CT228" i="3416"/>
  <c r="CS228" i="3416"/>
  <c r="CR228" i="3416"/>
  <c r="CQ228" i="3416"/>
  <c r="CP228" i="3416"/>
  <c r="CO228" i="3416"/>
  <c r="CN228" i="3416"/>
  <c r="CM228" i="3416"/>
  <c r="CL228" i="3416"/>
  <c r="CK228" i="3416"/>
  <c r="CJ228" i="3416"/>
  <c r="CI228" i="3416"/>
  <c r="CH228" i="3416"/>
  <c r="CG228" i="3416"/>
  <c r="CF228" i="3416"/>
  <c r="CE228" i="3416"/>
  <c r="CD228" i="3416"/>
  <c r="CC228" i="3416"/>
  <c r="CB228" i="3416"/>
  <c r="CA228" i="3416"/>
  <c r="BZ228" i="3416"/>
  <c r="BY228" i="3416"/>
  <c r="BX228" i="3416"/>
  <c r="BW228" i="3416"/>
  <c r="BV228" i="3416"/>
  <c r="BU228" i="3416"/>
  <c r="BT228" i="3416"/>
  <c r="BS228" i="3416"/>
  <c r="BR228" i="3416"/>
  <c r="BQ228" i="3416"/>
  <c r="BP228" i="3416"/>
  <c r="BO228" i="3416"/>
  <c r="BN228" i="3416"/>
  <c r="BM228" i="3416"/>
  <c r="BL228" i="3416"/>
  <c r="BK228" i="3416"/>
  <c r="BJ228" i="3416"/>
  <c r="BI228" i="3416"/>
  <c r="BH228" i="3416"/>
  <c r="BG228" i="3416"/>
  <c r="BF228" i="3416"/>
  <c r="BE228" i="3416"/>
  <c r="BD228" i="3416"/>
  <c r="BC228" i="3416"/>
  <c r="BB228" i="3416"/>
  <c r="BA228" i="3416"/>
  <c r="AZ228" i="3416"/>
  <c r="AY228" i="3416"/>
  <c r="AX228" i="3416"/>
  <c r="AW228" i="3416"/>
  <c r="AV228" i="3416"/>
  <c r="AU228" i="3416"/>
  <c r="AT228" i="3416"/>
  <c r="AS228" i="3416"/>
  <c r="AR228" i="3416"/>
  <c r="AQ228" i="3416"/>
  <c r="AP228" i="3416"/>
  <c r="AO228" i="3416"/>
  <c r="AN228" i="3416"/>
  <c r="AM228" i="3416"/>
  <c r="AL228" i="3416"/>
  <c r="AK228" i="3416"/>
  <c r="AJ228" i="3416"/>
  <c r="AI228" i="3416"/>
  <c r="AH228" i="3416"/>
  <c r="AG228" i="3416"/>
  <c r="AF228" i="3416"/>
  <c r="AE228" i="3416"/>
  <c r="AD228" i="3416"/>
  <c r="AC228" i="3416"/>
  <c r="AB228" i="3416"/>
  <c r="AA228" i="3416"/>
  <c r="Z228" i="3416"/>
  <c r="Y228" i="3416"/>
  <c r="X228" i="3416"/>
  <c r="W228" i="3416"/>
  <c r="V228" i="3416"/>
  <c r="U228" i="3416"/>
  <c r="T228" i="3416"/>
  <c r="S228" i="3416"/>
  <c r="R228" i="3416"/>
  <c r="Q228" i="3416"/>
  <c r="P228" i="3416"/>
  <c r="O228" i="3416"/>
  <c r="N228" i="3416"/>
  <c r="M228" i="3416"/>
  <c r="L228" i="3416"/>
  <c r="K228" i="3416"/>
  <c r="J228" i="3416"/>
  <c r="I228" i="3416"/>
  <c r="H228" i="3416"/>
  <c r="G228" i="3416"/>
  <c r="F228" i="3416"/>
  <c r="E228" i="3416"/>
  <c r="D228" i="3416"/>
  <c r="C228" i="3416" a="1"/>
  <c r="C228" i="3416"/>
  <c r="A228" i="3416"/>
  <c r="EM227" i="3416"/>
  <c r="EL227" i="3416"/>
  <c r="EK227" i="3416"/>
  <c r="EJ227" i="3416"/>
  <c r="EI227" i="3416"/>
  <c r="EH227" i="3416"/>
  <c r="EG227" i="3416"/>
  <c r="EF227" i="3416"/>
  <c r="EE227" i="3416"/>
  <c r="ED227" i="3416"/>
  <c r="EC227" i="3416"/>
  <c r="EB227" i="3416"/>
  <c r="EA227" i="3416"/>
  <c r="DZ227" i="3416"/>
  <c r="DY227" i="3416"/>
  <c r="DX227" i="3416"/>
  <c r="DW227" i="3416"/>
  <c r="DV227" i="3416"/>
  <c r="DU227" i="3416"/>
  <c r="DT227" i="3416"/>
  <c r="DS227" i="3416"/>
  <c r="DR227" i="3416"/>
  <c r="DQ227" i="3416"/>
  <c r="DP227" i="3416"/>
  <c r="DO227" i="3416"/>
  <c r="DN227" i="3416"/>
  <c r="DM227" i="3416"/>
  <c r="DL227" i="3416"/>
  <c r="DK227" i="3416"/>
  <c r="DJ227" i="3416"/>
  <c r="DI227" i="3416"/>
  <c r="DH227" i="3416"/>
  <c r="DG227" i="3416"/>
  <c r="DF227" i="3416"/>
  <c r="DE227" i="3416"/>
  <c r="DD227" i="3416"/>
  <c r="DC227" i="3416"/>
  <c r="DB227" i="3416"/>
  <c r="DA227" i="3416"/>
  <c r="CZ227" i="3416"/>
  <c r="CY227" i="3416"/>
  <c r="CX227" i="3416"/>
  <c r="CW227" i="3416"/>
  <c r="CV227" i="3416"/>
  <c r="CU227" i="3416"/>
  <c r="CT227" i="3416"/>
  <c r="CS227" i="3416"/>
  <c r="CR227" i="3416"/>
  <c r="CQ227" i="3416"/>
  <c r="CP227" i="3416"/>
  <c r="CO227" i="3416"/>
  <c r="CN227" i="3416"/>
  <c r="CM227" i="3416"/>
  <c r="CL227" i="3416"/>
  <c r="CK227" i="3416"/>
  <c r="CJ227" i="3416"/>
  <c r="CI227" i="3416"/>
  <c r="CH227" i="3416"/>
  <c r="CG227" i="3416"/>
  <c r="CF227" i="3416"/>
  <c r="CE227" i="3416"/>
  <c r="CD227" i="3416"/>
  <c r="CC227" i="3416"/>
  <c r="CB227" i="3416"/>
  <c r="CA227" i="3416"/>
  <c r="BZ227" i="3416"/>
  <c r="BY227" i="3416"/>
  <c r="BX227" i="3416"/>
  <c r="BW227" i="3416"/>
  <c r="BV227" i="3416"/>
  <c r="BU227" i="3416"/>
  <c r="BT227" i="3416"/>
  <c r="BS227" i="3416"/>
  <c r="BR227" i="3416"/>
  <c r="BQ227" i="3416"/>
  <c r="BP227" i="3416"/>
  <c r="BO227" i="3416"/>
  <c r="BN227" i="3416"/>
  <c r="BM227" i="3416"/>
  <c r="BL227" i="3416"/>
  <c r="BK227" i="3416"/>
  <c r="BJ227" i="3416"/>
  <c r="BI227" i="3416"/>
  <c r="BH227" i="3416"/>
  <c r="BG227" i="3416"/>
  <c r="BF227" i="3416"/>
  <c r="BE227" i="3416"/>
  <c r="BD227" i="3416"/>
  <c r="BC227" i="3416"/>
  <c r="BB227" i="3416"/>
  <c r="BA227" i="3416"/>
  <c r="AZ227" i="3416"/>
  <c r="AY227" i="3416"/>
  <c r="AX227" i="3416"/>
  <c r="AW227" i="3416"/>
  <c r="AV227" i="3416"/>
  <c r="AU227" i="3416"/>
  <c r="AT227" i="3416"/>
  <c r="AS227" i="3416"/>
  <c r="AR227" i="3416"/>
  <c r="AQ227" i="3416"/>
  <c r="AP227" i="3416"/>
  <c r="AO227" i="3416"/>
  <c r="AN227" i="3416"/>
  <c r="AM227" i="3416"/>
  <c r="AL227" i="3416"/>
  <c r="AK227" i="3416"/>
  <c r="AJ227" i="3416"/>
  <c r="AI227" i="3416"/>
  <c r="AH227" i="3416"/>
  <c r="AG227" i="3416"/>
  <c r="AF227" i="3416"/>
  <c r="AE227" i="3416"/>
  <c r="AD227" i="3416"/>
  <c r="AC227" i="3416"/>
  <c r="AB227" i="3416"/>
  <c r="AA227" i="3416"/>
  <c r="Z227" i="3416"/>
  <c r="Y227" i="3416"/>
  <c r="X227" i="3416"/>
  <c r="W227" i="3416"/>
  <c r="V227" i="3416"/>
  <c r="U227" i="3416"/>
  <c r="T227" i="3416"/>
  <c r="S227" i="3416"/>
  <c r="R227" i="3416"/>
  <c r="Q227" i="3416"/>
  <c r="P227" i="3416"/>
  <c r="O227" i="3416"/>
  <c r="N227" i="3416"/>
  <c r="M227" i="3416"/>
  <c r="L227" i="3416"/>
  <c r="K227" i="3416"/>
  <c r="J227" i="3416"/>
  <c r="I227" i="3416"/>
  <c r="H227" i="3416"/>
  <c r="G227" i="3416"/>
  <c r="F227" i="3416"/>
  <c r="E227" i="3416"/>
  <c r="D227" i="3416"/>
  <c r="C227" i="3416" a="1"/>
  <c r="C227" i="3416"/>
  <c r="A227" i="3416"/>
  <c r="EM226" i="3416"/>
  <c r="EL226" i="3416"/>
  <c r="EK226" i="3416"/>
  <c r="EJ226" i="3416"/>
  <c r="EI226" i="3416"/>
  <c r="EH226" i="3416"/>
  <c r="EG226" i="3416"/>
  <c r="EF226" i="3416"/>
  <c r="EE226" i="3416"/>
  <c r="ED226" i="3416"/>
  <c r="EC226" i="3416"/>
  <c r="EB226" i="3416"/>
  <c r="EA226" i="3416"/>
  <c r="DZ226" i="3416"/>
  <c r="DY226" i="3416"/>
  <c r="DX226" i="3416"/>
  <c r="DW226" i="3416"/>
  <c r="DV226" i="3416"/>
  <c r="DU226" i="3416"/>
  <c r="DT226" i="3416"/>
  <c r="DS226" i="3416"/>
  <c r="DR226" i="3416"/>
  <c r="DQ226" i="3416"/>
  <c r="DP226" i="3416"/>
  <c r="DO226" i="3416"/>
  <c r="DN226" i="3416"/>
  <c r="DM226" i="3416"/>
  <c r="DL226" i="3416"/>
  <c r="DK226" i="3416"/>
  <c r="DJ226" i="3416"/>
  <c r="DI226" i="3416"/>
  <c r="DH226" i="3416"/>
  <c r="DG226" i="3416"/>
  <c r="DF226" i="3416"/>
  <c r="DE226" i="3416"/>
  <c r="DD226" i="3416"/>
  <c r="DC226" i="3416"/>
  <c r="DB226" i="3416"/>
  <c r="DA226" i="3416"/>
  <c r="CZ226" i="3416"/>
  <c r="CY226" i="3416"/>
  <c r="CX226" i="3416"/>
  <c r="CW226" i="3416"/>
  <c r="CV226" i="3416"/>
  <c r="CU226" i="3416"/>
  <c r="CT226" i="3416"/>
  <c r="CS226" i="3416"/>
  <c r="CR226" i="3416"/>
  <c r="CQ226" i="3416"/>
  <c r="CP226" i="3416"/>
  <c r="CO226" i="3416"/>
  <c r="CN226" i="3416"/>
  <c r="CM226" i="3416"/>
  <c r="CL226" i="3416"/>
  <c r="CK226" i="3416"/>
  <c r="CJ226" i="3416"/>
  <c r="CI226" i="3416"/>
  <c r="CH226" i="3416"/>
  <c r="CG226" i="3416"/>
  <c r="CF226" i="3416"/>
  <c r="CE226" i="3416"/>
  <c r="CD226" i="3416"/>
  <c r="CC226" i="3416"/>
  <c r="CB226" i="3416"/>
  <c r="CA226" i="3416"/>
  <c r="BZ226" i="3416"/>
  <c r="BY226" i="3416"/>
  <c r="BX226" i="3416"/>
  <c r="BW226" i="3416"/>
  <c r="BV226" i="3416"/>
  <c r="BU226" i="3416"/>
  <c r="BT226" i="3416"/>
  <c r="BS226" i="3416"/>
  <c r="BR226" i="3416"/>
  <c r="BQ226" i="3416"/>
  <c r="BP226" i="3416"/>
  <c r="BO226" i="3416"/>
  <c r="BN226" i="3416"/>
  <c r="BM226" i="3416"/>
  <c r="BL226" i="3416"/>
  <c r="BK226" i="3416"/>
  <c r="BJ226" i="3416"/>
  <c r="BI226" i="3416"/>
  <c r="BH226" i="3416"/>
  <c r="BG226" i="3416"/>
  <c r="BF226" i="3416"/>
  <c r="BE226" i="3416"/>
  <c r="BD226" i="3416"/>
  <c r="BC226" i="3416"/>
  <c r="BB226" i="3416"/>
  <c r="BA226" i="3416"/>
  <c r="AZ226" i="3416"/>
  <c r="AY226" i="3416"/>
  <c r="AX226" i="3416"/>
  <c r="AW226" i="3416"/>
  <c r="AV226" i="3416"/>
  <c r="AU226" i="3416"/>
  <c r="AT226" i="3416"/>
  <c r="AS226" i="3416"/>
  <c r="AR226" i="3416"/>
  <c r="AQ226" i="3416"/>
  <c r="AP226" i="3416"/>
  <c r="AO226" i="3416"/>
  <c r="AN226" i="3416"/>
  <c r="AM226" i="3416"/>
  <c r="AL226" i="3416"/>
  <c r="AK226" i="3416"/>
  <c r="AJ226" i="3416"/>
  <c r="AI226" i="3416"/>
  <c r="AH226" i="3416"/>
  <c r="AG226" i="3416"/>
  <c r="AF226" i="3416"/>
  <c r="AE226" i="3416"/>
  <c r="AD226" i="3416"/>
  <c r="AC226" i="3416"/>
  <c r="AB226" i="3416"/>
  <c r="AA226" i="3416"/>
  <c r="Z226" i="3416"/>
  <c r="Y226" i="3416"/>
  <c r="X226" i="3416"/>
  <c r="W226" i="3416"/>
  <c r="V226" i="3416"/>
  <c r="U226" i="3416"/>
  <c r="T226" i="3416"/>
  <c r="S226" i="3416"/>
  <c r="R226" i="3416"/>
  <c r="Q226" i="3416"/>
  <c r="P226" i="3416"/>
  <c r="O226" i="3416"/>
  <c r="N226" i="3416"/>
  <c r="M226" i="3416"/>
  <c r="L226" i="3416"/>
  <c r="K226" i="3416"/>
  <c r="J226" i="3416"/>
  <c r="I226" i="3416"/>
  <c r="H226" i="3416"/>
  <c r="G226" i="3416"/>
  <c r="F226" i="3416"/>
  <c r="E226" i="3416"/>
  <c r="D226" i="3416"/>
  <c r="C226" i="3416" a="1"/>
  <c r="C226" i="3416"/>
  <c r="A226" i="3416"/>
  <c r="EM225" i="3416"/>
  <c r="EL225" i="3416"/>
  <c r="EK225" i="3416"/>
  <c r="EJ225" i="3416"/>
  <c r="EI225" i="3416"/>
  <c r="EH225" i="3416"/>
  <c r="EG225" i="3416"/>
  <c r="EF225" i="3416"/>
  <c r="EE225" i="3416"/>
  <c r="ED225" i="3416"/>
  <c r="EC225" i="3416"/>
  <c r="EB225" i="3416"/>
  <c r="EA225" i="3416"/>
  <c r="DZ225" i="3416"/>
  <c r="DY225" i="3416"/>
  <c r="DX225" i="3416"/>
  <c r="DW225" i="3416"/>
  <c r="DV225" i="3416"/>
  <c r="DU225" i="3416"/>
  <c r="DT225" i="3416"/>
  <c r="DS225" i="3416"/>
  <c r="DR225" i="3416"/>
  <c r="DQ225" i="3416"/>
  <c r="DP225" i="3416"/>
  <c r="DO225" i="3416"/>
  <c r="DN225" i="3416"/>
  <c r="DM225" i="3416"/>
  <c r="DL225" i="3416"/>
  <c r="DK225" i="3416"/>
  <c r="DJ225" i="3416"/>
  <c r="DI225" i="3416"/>
  <c r="DH225" i="3416"/>
  <c r="DG225" i="3416"/>
  <c r="DF225" i="3416"/>
  <c r="DE225" i="3416"/>
  <c r="DD225" i="3416"/>
  <c r="DC225" i="3416"/>
  <c r="DB225" i="3416"/>
  <c r="DA225" i="3416"/>
  <c r="CZ225" i="3416"/>
  <c r="CY225" i="3416"/>
  <c r="CX225" i="3416"/>
  <c r="CW225" i="3416"/>
  <c r="CV225" i="3416"/>
  <c r="CU225" i="3416"/>
  <c r="CT225" i="3416"/>
  <c r="CS225" i="3416"/>
  <c r="CR225" i="3416"/>
  <c r="CQ225" i="3416"/>
  <c r="CP225" i="3416"/>
  <c r="CO225" i="3416"/>
  <c r="CN225" i="3416"/>
  <c r="CM225" i="3416"/>
  <c r="CL225" i="3416"/>
  <c r="CK225" i="3416"/>
  <c r="CJ225" i="3416"/>
  <c r="CI225" i="3416"/>
  <c r="CH225" i="3416"/>
  <c r="CG225" i="3416"/>
  <c r="CF225" i="3416"/>
  <c r="CE225" i="3416"/>
  <c r="CD225" i="3416"/>
  <c r="CC225" i="3416"/>
  <c r="CB225" i="3416"/>
  <c r="CA225" i="3416"/>
  <c r="BZ225" i="3416"/>
  <c r="BY225" i="3416"/>
  <c r="BX225" i="3416"/>
  <c r="BW225" i="3416"/>
  <c r="BV225" i="3416"/>
  <c r="BU225" i="3416"/>
  <c r="BT225" i="3416"/>
  <c r="BS225" i="3416"/>
  <c r="BR225" i="3416"/>
  <c r="BQ225" i="3416"/>
  <c r="BP225" i="3416"/>
  <c r="BO225" i="3416"/>
  <c r="BN225" i="3416"/>
  <c r="BM225" i="3416"/>
  <c r="BL225" i="3416"/>
  <c r="BK225" i="3416"/>
  <c r="BJ225" i="3416"/>
  <c r="BI225" i="3416"/>
  <c r="BH225" i="3416"/>
  <c r="BG225" i="3416"/>
  <c r="BF225" i="3416"/>
  <c r="BE225" i="3416"/>
  <c r="BD225" i="3416"/>
  <c r="BC225" i="3416"/>
  <c r="BB225" i="3416"/>
  <c r="BA225" i="3416"/>
  <c r="AZ225" i="3416"/>
  <c r="AY225" i="3416"/>
  <c r="AX225" i="3416"/>
  <c r="AW225" i="3416"/>
  <c r="AV225" i="3416"/>
  <c r="AU225" i="3416"/>
  <c r="AT225" i="3416"/>
  <c r="AS225" i="3416"/>
  <c r="AR225" i="3416"/>
  <c r="AQ225" i="3416"/>
  <c r="AP225" i="3416"/>
  <c r="AO225" i="3416"/>
  <c r="AN225" i="3416"/>
  <c r="AM225" i="3416"/>
  <c r="AL225" i="3416"/>
  <c r="AK225" i="3416"/>
  <c r="AJ225" i="3416"/>
  <c r="AI225" i="3416"/>
  <c r="AH225" i="3416"/>
  <c r="AG225" i="3416"/>
  <c r="AF225" i="3416"/>
  <c r="AE225" i="3416"/>
  <c r="AD225" i="3416"/>
  <c r="AC225" i="3416"/>
  <c r="AB225" i="3416"/>
  <c r="AA225" i="3416"/>
  <c r="Z225" i="3416"/>
  <c r="Y225" i="3416"/>
  <c r="X225" i="3416"/>
  <c r="W225" i="3416"/>
  <c r="V225" i="3416"/>
  <c r="U225" i="3416"/>
  <c r="T225" i="3416"/>
  <c r="S225" i="3416"/>
  <c r="R225" i="3416"/>
  <c r="Q225" i="3416"/>
  <c r="P225" i="3416"/>
  <c r="O225" i="3416"/>
  <c r="N225" i="3416"/>
  <c r="M225" i="3416"/>
  <c r="L225" i="3416"/>
  <c r="K225" i="3416"/>
  <c r="J225" i="3416"/>
  <c r="I225" i="3416"/>
  <c r="H225" i="3416"/>
  <c r="G225" i="3416"/>
  <c r="F225" i="3416"/>
  <c r="E225" i="3416"/>
  <c r="D225" i="3416"/>
  <c r="C225" i="3416" a="1"/>
  <c r="C225" i="3416"/>
  <c r="A225" i="3416"/>
  <c r="EM224" i="3416"/>
  <c r="EL224" i="3416"/>
  <c r="EK224" i="3416"/>
  <c r="EJ224" i="3416"/>
  <c r="EI224" i="3416"/>
  <c r="EH224" i="3416"/>
  <c r="EG224" i="3416"/>
  <c r="EF224" i="3416"/>
  <c r="EE224" i="3416"/>
  <c r="ED224" i="3416"/>
  <c r="EC224" i="3416"/>
  <c r="EB224" i="3416"/>
  <c r="EA224" i="3416"/>
  <c r="DZ224" i="3416"/>
  <c r="DY224" i="3416"/>
  <c r="DX224" i="3416"/>
  <c r="DW224" i="3416"/>
  <c r="DV224" i="3416"/>
  <c r="DU224" i="3416"/>
  <c r="DT224" i="3416"/>
  <c r="DS224" i="3416"/>
  <c r="DR224" i="3416"/>
  <c r="DQ224" i="3416"/>
  <c r="DP224" i="3416"/>
  <c r="DO224" i="3416"/>
  <c r="DN224" i="3416"/>
  <c r="DM224" i="3416"/>
  <c r="DL224" i="3416"/>
  <c r="DK224" i="3416"/>
  <c r="DJ224" i="3416"/>
  <c r="DI224" i="3416"/>
  <c r="DH224" i="3416"/>
  <c r="DG224" i="3416"/>
  <c r="DF224" i="3416"/>
  <c r="DE224" i="3416"/>
  <c r="DD224" i="3416"/>
  <c r="DC224" i="3416"/>
  <c r="DB224" i="3416"/>
  <c r="DA224" i="3416"/>
  <c r="CZ224" i="3416"/>
  <c r="CY224" i="3416"/>
  <c r="CX224" i="3416"/>
  <c r="CW224" i="3416"/>
  <c r="CV224" i="3416"/>
  <c r="CU224" i="3416"/>
  <c r="CT224" i="3416"/>
  <c r="CS224" i="3416"/>
  <c r="CR224" i="3416"/>
  <c r="CQ224" i="3416"/>
  <c r="CP224" i="3416"/>
  <c r="CO224" i="3416"/>
  <c r="CN224" i="3416"/>
  <c r="CM224" i="3416"/>
  <c r="CL224" i="3416"/>
  <c r="CK224" i="3416"/>
  <c r="CJ224" i="3416"/>
  <c r="CI224" i="3416"/>
  <c r="CH224" i="3416"/>
  <c r="CG224" i="3416"/>
  <c r="CF224" i="3416"/>
  <c r="CE224" i="3416"/>
  <c r="CD224" i="3416"/>
  <c r="CC224" i="3416"/>
  <c r="CB224" i="3416"/>
  <c r="CA224" i="3416"/>
  <c r="BZ224" i="3416"/>
  <c r="BY224" i="3416"/>
  <c r="BX224" i="3416"/>
  <c r="BW224" i="3416"/>
  <c r="BV224" i="3416"/>
  <c r="BU224" i="3416"/>
  <c r="BT224" i="3416"/>
  <c r="BS224" i="3416"/>
  <c r="BR224" i="3416"/>
  <c r="BQ224" i="3416"/>
  <c r="BP224" i="3416"/>
  <c r="BO224" i="3416"/>
  <c r="BN224" i="3416"/>
  <c r="BM224" i="3416"/>
  <c r="BL224" i="3416"/>
  <c r="BK224" i="3416"/>
  <c r="BJ224" i="3416"/>
  <c r="BI224" i="3416"/>
  <c r="BH224" i="3416"/>
  <c r="BG224" i="3416"/>
  <c r="BF224" i="3416"/>
  <c r="BE224" i="3416"/>
  <c r="BD224" i="3416"/>
  <c r="BC224" i="3416"/>
  <c r="BB224" i="3416"/>
  <c r="BA224" i="3416"/>
  <c r="AZ224" i="3416"/>
  <c r="AY224" i="3416"/>
  <c r="AX224" i="3416"/>
  <c r="AW224" i="3416"/>
  <c r="AV224" i="3416"/>
  <c r="AU224" i="3416"/>
  <c r="AT224" i="3416"/>
  <c r="AS224" i="3416"/>
  <c r="AR224" i="3416"/>
  <c r="AQ224" i="3416"/>
  <c r="AP224" i="3416"/>
  <c r="AO224" i="3416"/>
  <c r="AN224" i="3416"/>
  <c r="AM224" i="3416"/>
  <c r="AL224" i="3416"/>
  <c r="AK224" i="3416"/>
  <c r="AJ224" i="3416"/>
  <c r="AI224" i="3416"/>
  <c r="AH224" i="3416"/>
  <c r="AG224" i="3416"/>
  <c r="AF224" i="3416"/>
  <c r="AE224" i="3416"/>
  <c r="AD224" i="3416"/>
  <c r="AC224" i="3416"/>
  <c r="AB224" i="3416"/>
  <c r="AA224" i="3416"/>
  <c r="Z224" i="3416"/>
  <c r="Y224" i="3416"/>
  <c r="X224" i="3416"/>
  <c r="W224" i="3416"/>
  <c r="V224" i="3416"/>
  <c r="U224" i="3416"/>
  <c r="T224" i="3416"/>
  <c r="S224" i="3416"/>
  <c r="R224" i="3416"/>
  <c r="Q224" i="3416"/>
  <c r="P224" i="3416"/>
  <c r="O224" i="3416"/>
  <c r="N224" i="3416"/>
  <c r="M224" i="3416"/>
  <c r="L224" i="3416"/>
  <c r="K224" i="3416"/>
  <c r="J224" i="3416"/>
  <c r="I224" i="3416"/>
  <c r="H224" i="3416"/>
  <c r="G224" i="3416"/>
  <c r="F224" i="3416"/>
  <c r="E224" i="3416"/>
  <c r="D224" i="3416"/>
  <c r="C224" i="3416" a="1"/>
  <c r="C224" i="3416"/>
  <c r="A224" i="3416"/>
  <c r="EM223" i="3416"/>
  <c r="EL223" i="3416"/>
  <c r="EK223" i="3416"/>
  <c r="EJ223" i="3416"/>
  <c r="EI223" i="3416"/>
  <c r="EH223" i="3416"/>
  <c r="EG223" i="3416"/>
  <c r="EF223" i="3416"/>
  <c r="EE223" i="3416"/>
  <c r="ED223" i="3416"/>
  <c r="EC223" i="3416"/>
  <c r="EB223" i="3416"/>
  <c r="EA223" i="3416"/>
  <c r="DZ223" i="3416"/>
  <c r="DY223" i="3416"/>
  <c r="DX223" i="3416"/>
  <c r="DW223" i="3416"/>
  <c r="DV223" i="3416"/>
  <c r="DU223" i="3416"/>
  <c r="DT223" i="3416"/>
  <c r="DS223" i="3416"/>
  <c r="DR223" i="3416"/>
  <c r="DQ223" i="3416"/>
  <c r="DP223" i="3416"/>
  <c r="DO223" i="3416"/>
  <c r="DN223" i="3416"/>
  <c r="DM223" i="3416"/>
  <c r="DL223" i="3416"/>
  <c r="DK223" i="3416"/>
  <c r="DJ223" i="3416"/>
  <c r="DI223" i="3416"/>
  <c r="DH223" i="3416"/>
  <c r="DG223" i="3416"/>
  <c r="DF223" i="3416"/>
  <c r="DE223" i="3416"/>
  <c r="DD223" i="3416"/>
  <c r="DC223" i="3416"/>
  <c r="DB223" i="3416"/>
  <c r="DA223" i="3416"/>
  <c r="CZ223" i="3416"/>
  <c r="CY223" i="3416"/>
  <c r="CX223" i="3416"/>
  <c r="CW223" i="3416"/>
  <c r="CV223" i="3416"/>
  <c r="CU223" i="3416"/>
  <c r="CT223" i="3416"/>
  <c r="CS223" i="3416"/>
  <c r="CR223" i="3416"/>
  <c r="CQ223" i="3416"/>
  <c r="CP223" i="3416"/>
  <c r="CO223" i="3416"/>
  <c r="CN223" i="3416"/>
  <c r="CM223" i="3416"/>
  <c r="CL223" i="3416"/>
  <c r="CK223" i="3416"/>
  <c r="CJ223" i="3416"/>
  <c r="CI223" i="3416"/>
  <c r="CH223" i="3416"/>
  <c r="CG223" i="3416"/>
  <c r="CF223" i="3416"/>
  <c r="CE223" i="3416"/>
  <c r="CD223" i="3416"/>
  <c r="CC223" i="3416"/>
  <c r="CB223" i="3416"/>
  <c r="CA223" i="3416"/>
  <c r="BZ223" i="3416"/>
  <c r="BY223" i="3416"/>
  <c r="BX223" i="3416"/>
  <c r="BW223" i="3416"/>
  <c r="BV223" i="3416"/>
  <c r="BU223" i="3416"/>
  <c r="BT223" i="3416"/>
  <c r="BS223" i="3416"/>
  <c r="BR223" i="3416"/>
  <c r="BQ223" i="3416"/>
  <c r="BP223" i="3416"/>
  <c r="BO223" i="3416"/>
  <c r="BN223" i="3416"/>
  <c r="BM223" i="3416"/>
  <c r="BL223" i="3416"/>
  <c r="BK223" i="3416"/>
  <c r="BJ223" i="3416"/>
  <c r="BI223" i="3416"/>
  <c r="BH223" i="3416"/>
  <c r="BG223" i="3416"/>
  <c r="BF223" i="3416"/>
  <c r="BE223" i="3416"/>
  <c r="BD223" i="3416"/>
  <c r="BC223" i="3416"/>
  <c r="BB223" i="3416"/>
  <c r="BA223" i="3416"/>
  <c r="AZ223" i="3416"/>
  <c r="AY223" i="3416"/>
  <c r="AX223" i="3416"/>
  <c r="AW223" i="3416"/>
  <c r="AV223" i="3416"/>
  <c r="AU223" i="3416"/>
  <c r="AT223" i="3416"/>
  <c r="AS223" i="3416"/>
  <c r="AR223" i="3416"/>
  <c r="AQ223" i="3416"/>
  <c r="AP223" i="3416"/>
  <c r="AO223" i="3416"/>
  <c r="AN223" i="3416"/>
  <c r="AM223" i="3416"/>
  <c r="AL223" i="3416"/>
  <c r="AK223" i="3416"/>
  <c r="AJ223" i="3416"/>
  <c r="AI223" i="3416"/>
  <c r="AH223" i="3416"/>
  <c r="AG223" i="3416"/>
  <c r="AF223" i="3416"/>
  <c r="AE223" i="3416"/>
  <c r="AD223" i="3416"/>
  <c r="AC223" i="3416"/>
  <c r="AB223" i="3416"/>
  <c r="AA223" i="3416"/>
  <c r="Z223" i="3416"/>
  <c r="Y223" i="3416"/>
  <c r="X223" i="3416"/>
  <c r="W223" i="3416"/>
  <c r="V223" i="3416"/>
  <c r="U223" i="3416"/>
  <c r="T223" i="3416"/>
  <c r="S223" i="3416"/>
  <c r="R223" i="3416"/>
  <c r="Q223" i="3416"/>
  <c r="P223" i="3416"/>
  <c r="O223" i="3416"/>
  <c r="N223" i="3416"/>
  <c r="M223" i="3416"/>
  <c r="L223" i="3416"/>
  <c r="K223" i="3416"/>
  <c r="J223" i="3416"/>
  <c r="I223" i="3416"/>
  <c r="H223" i="3416"/>
  <c r="G223" i="3416"/>
  <c r="F223" i="3416"/>
  <c r="E223" i="3416"/>
  <c r="D223" i="3416"/>
  <c r="C223" i="3416" a="1"/>
  <c r="C223" i="3416"/>
  <c r="A223" i="3416"/>
  <c r="EM222" i="3416"/>
  <c r="EL222" i="3416"/>
  <c r="EK222" i="3416"/>
  <c r="EJ222" i="3416"/>
  <c r="EI222" i="3416"/>
  <c r="EH222" i="3416"/>
  <c r="EG222" i="3416"/>
  <c r="EF222" i="3416"/>
  <c r="EE222" i="3416"/>
  <c r="ED222" i="3416"/>
  <c r="EC222" i="3416"/>
  <c r="EB222" i="3416"/>
  <c r="EA222" i="3416"/>
  <c r="DZ222" i="3416"/>
  <c r="DY222" i="3416"/>
  <c r="DX222" i="3416"/>
  <c r="DW222" i="3416"/>
  <c r="DV222" i="3416"/>
  <c r="DU222" i="3416"/>
  <c r="DT222" i="3416"/>
  <c r="DS222" i="3416"/>
  <c r="DR222" i="3416"/>
  <c r="DQ222" i="3416"/>
  <c r="DP222" i="3416"/>
  <c r="DO222" i="3416"/>
  <c r="DN222" i="3416"/>
  <c r="DM222" i="3416"/>
  <c r="DL222" i="3416"/>
  <c r="DK222" i="3416"/>
  <c r="DJ222" i="3416"/>
  <c r="DI222" i="3416"/>
  <c r="DH222" i="3416"/>
  <c r="DG222" i="3416"/>
  <c r="DF222" i="3416"/>
  <c r="DE222" i="3416"/>
  <c r="DD222" i="3416"/>
  <c r="DC222" i="3416"/>
  <c r="DB222" i="3416"/>
  <c r="DA222" i="3416"/>
  <c r="CZ222" i="3416"/>
  <c r="CY222" i="3416"/>
  <c r="CX222" i="3416"/>
  <c r="CW222" i="3416"/>
  <c r="CV222" i="3416"/>
  <c r="CU222" i="3416"/>
  <c r="CT222" i="3416"/>
  <c r="CS222" i="3416"/>
  <c r="CR222" i="3416"/>
  <c r="CQ222" i="3416"/>
  <c r="CP222" i="3416"/>
  <c r="CO222" i="3416"/>
  <c r="CN222" i="3416"/>
  <c r="CM222" i="3416"/>
  <c r="CL222" i="3416"/>
  <c r="CK222" i="3416"/>
  <c r="CJ222" i="3416"/>
  <c r="CI222" i="3416"/>
  <c r="CH222" i="3416"/>
  <c r="CG222" i="3416"/>
  <c r="CF222" i="3416"/>
  <c r="CE222" i="3416"/>
  <c r="CD222" i="3416"/>
  <c r="CC222" i="3416"/>
  <c r="CB222" i="3416"/>
  <c r="CA222" i="3416"/>
  <c r="BZ222" i="3416"/>
  <c r="BY222" i="3416"/>
  <c r="BX222" i="3416"/>
  <c r="BW222" i="3416"/>
  <c r="BV222" i="3416"/>
  <c r="BU222" i="3416"/>
  <c r="BT222" i="3416"/>
  <c r="BS222" i="3416"/>
  <c r="BR222" i="3416"/>
  <c r="BQ222" i="3416"/>
  <c r="BP222" i="3416"/>
  <c r="BO222" i="3416"/>
  <c r="BN222" i="3416"/>
  <c r="BM222" i="3416"/>
  <c r="BL222" i="3416"/>
  <c r="BK222" i="3416"/>
  <c r="BJ222" i="3416"/>
  <c r="BI222" i="3416"/>
  <c r="BH222" i="3416"/>
  <c r="BG222" i="3416"/>
  <c r="BF222" i="3416"/>
  <c r="BE222" i="3416"/>
  <c r="BD222" i="3416"/>
  <c r="BC222" i="3416"/>
  <c r="BB222" i="3416"/>
  <c r="BA222" i="3416"/>
  <c r="AZ222" i="3416"/>
  <c r="AY222" i="3416"/>
  <c r="AX222" i="3416"/>
  <c r="AW222" i="3416"/>
  <c r="AV222" i="3416"/>
  <c r="AU222" i="3416"/>
  <c r="AT222" i="3416"/>
  <c r="AS222" i="3416"/>
  <c r="AR222" i="3416"/>
  <c r="AQ222" i="3416"/>
  <c r="AP222" i="3416"/>
  <c r="AO222" i="3416"/>
  <c r="AN222" i="3416"/>
  <c r="AM222" i="3416"/>
  <c r="AL222" i="3416"/>
  <c r="AK222" i="3416"/>
  <c r="AJ222" i="3416"/>
  <c r="AI222" i="3416"/>
  <c r="AH222" i="3416"/>
  <c r="AG222" i="3416"/>
  <c r="AF222" i="3416"/>
  <c r="AE222" i="3416"/>
  <c r="AD222" i="3416"/>
  <c r="AC222" i="3416"/>
  <c r="AB222" i="3416"/>
  <c r="AA222" i="3416"/>
  <c r="Z222" i="3416"/>
  <c r="Y222" i="3416"/>
  <c r="X222" i="3416"/>
  <c r="W222" i="3416"/>
  <c r="V222" i="3416"/>
  <c r="U222" i="3416"/>
  <c r="T222" i="3416"/>
  <c r="S222" i="3416"/>
  <c r="R222" i="3416"/>
  <c r="Q222" i="3416"/>
  <c r="P222" i="3416"/>
  <c r="O222" i="3416"/>
  <c r="N222" i="3416"/>
  <c r="M222" i="3416"/>
  <c r="L222" i="3416"/>
  <c r="K222" i="3416"/>
  <c r="J222" i="3416"/>
  <c r="I222" i="3416"/>
  <c r="H222" i="3416"/>
  <c r="G222" i="3416"/>
  <c r="F222" i="3416"/>
  <c r="E222" i="3416"/>
  <c r="D222" i="3416"/>
  <c r="C222" i="3416" a="1"/>
  <c r="C222" i="3416"/>
  <c r="A222" i="3416"/>
  <c r="EM221" i="3416"/>
  <c r="EL221" i="3416"/>
  <c r="EK221" i="3416"/>
  <c r="EJ221" i="3416"/>
  <c r="EI221" i="3416"/>
  <c r="EH221" i="3416"/>
  <c r="EG221" i="3416"/>
  <c r="EF221" i="3416"/>
  <c r="EE221" i="3416"/>
  <c r="ED221" i="3416"/>
  <c r="EC221" i="3416"/>
  <c r="EB221" i="3416"/>
  <c r="EA221" i="3416"/>
  <c r="DZ221" i="3416"/>
  <c r="DY221" i="3416"/>
  <c r="DX221" i="3416"/>
  <c r="DW221" i="3416"/>
  <c r="DV221" i="3416"/>
  <c r="DU221" i="3416"/>
  <c r="DT221" i="3416"/>
  <c r="DS221" i="3416"/>
  <c r="DR221" i="3416"/>
  <c r="DQ221" i="3416"/>
  <c r="DP221" i="3416"/>
  <c r="DO221" i="3416"/>
  <c r="DN221" i="3416"/>
  <c r="DM221" i="3416"/>
  <c r="DL221" i="3416"/>
  <c r="DK221" i="3416"/>
  <c r="DJ221" i="3416"/>
  <c r="DI221" i="3416"/>
  <c r="DH221" i="3416"/>
  <c r="DG221" i="3416"/>
  <c r="DF221" i="3416"/>
  <c r="DE221" i="3416"/>
  <c r="DD221" i="3416"/>
  <c r="DC221" i="3416"/>
  <c r="DB221" i="3416"/>
  <c r="DA221" i="3416"/>
  <c r="CZ221" i="3416"/>
  <c r="CY221" i="3416"/>
  <c r="CX221" i="3416"/>
  <c r="CW221" i="3416"/>
  <c r="CV221" i="3416"/>
  <c r="CU221" i="3416"/>
  <c r="CT221" i="3416"/>
  <c r="CS221" i="3416"/>
  <c r="CR221" i="3416"/>
  <c r="CQ221" i="3416"/>
  <c r="CP221" i="3416"/>
  <c r="CO221" i="3416"/>
  <c r="CN221" i="3416"/>
  <c r="CM221" i="3416"/>
  <c r="CL221" i="3416"/>
  <c r="CK221" i="3416"/>
  <c r="CJ221" i="3416"/>
  <c r="CI221" i="3416"/>
  <c r="CH221" i="3416"/>
  <c r="CG221" i="3416"/>
  <c r="CF221" i="3416"/>
  <c r="CE221" i="3416"/>
  <c r="CD221" i="3416"/>
  <c r="CC221" i="3416"/>
  <c r="CB221" i="3416"/>
  <c r="CA221" i="3416"/>
  <c r="BZ221" i="3416"/>
  <c r="BY221" i="3416"/>
  <c r="BX221" i="3416"/>
  <c r="BW221" i="3416"/>
  <c r="BV221" i="3416"/>
  <c r="BU221" i="3416"/>
  <c r="BT221" i="3416"/>
  <c r="BS221" i="3416"/>
  <c r="BR221" i="3416"/>
  <c r="BQ221" i="3416"/>
  <c r="BP221" i="3416"/>
  <c r="BO221" i="3416"/>
  <c r="BN221" i="3416"/>
  <c r="BM221" i="3416"/>
  <c r="BL221" i="3416"/>
  <c r="BK221" i="3416"/>
  <c r="BJ221" i="3416"/>
  <c r="BI221" i="3416"/>
  <c r="BH221" i="3416"/>
  <c r="BG221" i="3416"/>
  <c r="BF221" i="3416"/>
  <c r="BE221" i="3416"/>
  <c r="BD221" i="3416"/>
  <c r="BC221" i="3416"/>
  <c r="BB221" i="3416"/>
  <c r="BA221" i="3416"/>
  <c r="AZ221" i="3416"/>
  <c r="AY221" i="3416"/>
  <c r="AX221" i="3416"/>
  <c r="AW221" i="3416"/>
  <c r="AV221" i="3416"/>
  <c r="AU221" i="3416"/>
  <c r="AT221" i="3416"/>
  <c r="AS221" i="3416"/>
  <c r="AR221" i="3416"/>
  <c r="AQ221" i="3416"/>
  <c r="AP221" i="3416"/>
  <c r="AO221" i="3416"/>
  <c r="AN221" i="3416"/>
  <c r="AM221" i="3416"/>
  <c r="AL221" i="3416"/>
  <c r="AK221" i="3416"/>
  <c r="AJ221" i="3416"/>
  <c r="AI221" i="3416"/>
  <c r="AH221" i="3416"/>
  <c r="AG221" i="3416"/>
  <c r="AF221" i="3416"/>
  <c r="AE221" i="3416"/>
  <c r="AD221" i="3416"/>
  <c r="AC221" i="3416"/>
  <c r="AB221" i="3416"/>
  <c r="AA221" i="3416"/>
  <c r="Z221" i="3416"/>
  <c r="Y221" i="3416"/>
  <c r="X221" i="3416"/>
  <c r="W221" i="3416"/>
  <c r="V221" i="3416"/>
  <c r="U221" i="3416"/>
  <c r="T221" i="3416"/>
  <c r="S221" i="3416"/>
  <c r="R221" i="3416"/>
  <c r="Q221" i="3416"/>
  <c r="P221" i="3416"/>
  <c r="O221" i="3416"/>
  <c r="N221" i="3416"/>
  <c r="M221" i="3416"/>
  <c r="L221" i="3416"/>
  <c r="K221" i="3416"/>
  <c r="J221" i="3416"/>
  <c r="I221" i="3416"/>
  <c r="H221" i="3416"/>
  <c r="G221" i="3416"/>
  <c r="F221" i="3416"/>
  <c r="E221" i="3416"/>
  <c r="D221" i="3416"/>
  <c r="C221" i="3416" a="1"/>
  <c r="C221" i="3416"/>
  <c r="A221" i="3416"/>
  <c r="EM220" i="3416"/>
  <c r="EL220" i="3416"/>
  <c r="EK220" i="3416"/>
  <c r="EJ220" i="3416"/>
  <c r="EI220" i="3416"/>
  <c r="EH220" i="3416"/>
  <c r="EG220" i="3416"/>
  <c r="EF220" i="3416"/>
  <c r="EE220" i="3416"/>
  <c r="ED220" i="3416"/>
  <c r="EC220" i="3416"/>
  <c r="EB220" i="3416"/>
  <c r="EA220" i="3416"/>
  <c r="DZ220" i="3416"/>
  <c r="DY220" i="3416"/>
  <c r="DX220" i="3416"/>
  <c r="DW220" i="3416"/>
  <c r="DV220" i="3416"/>
  <c r="DU220" i="3416"/>
  <c r="DT220" i="3416"/>
  <c r="DS220" i="3416"/>
  <c r="DR220" i="3416"/>
  <c r="DQ220" i="3416"/>
  <c r="DP220" i="3416"/>
  <c r="DO220" i="3416"/>
  <c r="DN220" i="3416"/>
  <c r="DM220" i="3416"/>
  <c r="DL220" i="3416"/>
  <c r="DK220" i="3416"/>
  <c r="DJ220" i="3416"/>
  <c r="DI220" i="3416"/>
  <c r="DH220" i="3416"/>
  <c r="DG220" i="3416"/>
  <c r="DF220" i="3416"/>
  <c r="DE220" i="3416"/>
  <c r="DD220" i="3416"/>
  <c r="DC220" i="3416"/>
  <c r="DB220" i="3416"/>
  <c r="DA220" i="3416"/>
  <c r="CZ220" i="3416"/>
  <c r="CY220" i="3416"/>
  <c r="CX220" i="3416"/>
  <c r="CW220" i="3416"/>
  <c r="CV220" i="3416"/>
  <c r="CU220" i="3416"/>
  <c r="CT220" i="3416"/>
  <c r="CS220" i="3416"/>
  <c r="CR220" i="3416"/>
  <c r="CQ220" i="3416"/>
  <c r="CP220" i="3416"/>
  <c r="CO220" i="3416"/>
  <c r="CN220" i="3416"/>
  <c r="CM220" i="3416"/>
  <c r="CL220" i="3416"/>
  <c r="CK220" i="3416"/>
  <c r="CJ220" i="3416"/>
  <c r="CI220" i="3416"/>
  <c r="CH220" i="3416"/>
  <c r="CG220" i="3416"/>
  <c r="CF220" i="3416"/>
  <c r="CE220" i="3416"/>
  <c r="CD220" i="3416"/>
  <c r="CC220" i="3416"/>
  <c r="CB220" i="3416"/>
  <c r="CA220" i="3416"/>
  <c r="BZ220" i="3416"/>
  <c r="BY220" i="3416"/>
  <c r="BX220" i="3416"/>
  <c r="BW220" i="3416"/>
  <c r="BV220" i="3416"/>
  <c r="BU220" i="3416"/>
  <c r="BT220" i="3416"/>
  <c r="BS220" i="3416"/>
  <c r="BR220" i="3416"/>
  <c r="BQ220" i="3416"/>
  <c r="BP220" i="3416"/>
  <c r="BO220" i="3416"/>
  <c r="BN220" i="3416"/>
  <c r="BM220" i="3416"/>
  <c r="BL220" i="3416"/>
  <c r="BK220" i="3416"/>
  <c r="BJ220" i="3416"/>
  <c r="BI220" i="3416"/>
  <c r="BH220" i="3416"/>
  <c r="BG220" i="3416"/>
  <c r="BF220" i="3416"/>
  <c r="BE220" i="3416"/>
  <c r="BD220" i="3416"/>
  <c r="BC220" i="3416"/>
  <c r="BB220" i="3416"/>
  <c r="BA220" i="3416"/>
  <c r="AZ220" i="3416"/>
  <c r="AY220" i="3416"/>
  <c r="AX220" i="3416"/>
  <c r="AW220" i="3416"/>
  <c r="AV220" i="3416"/>
  <c r="AU220" i="3416"/>
  <c r="AT220" i="3416"/>
  <c r="AS220" i="3416"/>
  <c r="AR220" i="3416"/>
  <c r="AQ220" i="3416"/>
  <c r="AP220" i="3416"/>
  <c r="AO220" i="3416"/>
  <c r="AN220" i="3416"/>
  <c r="AM220" i="3416"/>
  <c r="AL220" i="3416"/>
  <c r="AK220" i="3416"/>
  <c r="AJ220" i="3416"/>
  <c r="AI220" i="3416"/>
  <c r="AH220" i="3416"/>
  <c r="AG220" i="3416"/>
  <c r="AF220" i="3416"/>
  <c r="AE220" i="3416"/>
  <c r="AD220" i="3416"/>
  <c r="AC220" i="3416"/>
  <c r="AB220" i="3416"/>
  <c r="AA220" i="3416"/>
  <c r="Z220" i="3416"/>
  <c r="Y220" i="3416"/>
  <c r="X220" i="3416"/>
  <c r="W220" i="3416"/>
  <c r="V220" i="3416"/>
  <c r="U220" i="3416"/>
  <c r="T220" i="3416"/>
  <c r="S220" i="3416"/>
  <c r="R220" i="3416"/>
  <c r="Q220" i="3416"/>
  <c r="P220" i="3416"/>
  <c r="O220" i="3416"/>
  <c r="N220" i="3416"/>
  <c r="M220" i="3416"/>
  <c r="L220" i="3416"/>
  <c r="K220" i="3416"/>
  <c r="J220" i="3416"/>
  <c r="I220" i="3416"/>
  <c r="H220" i="3416"/>
  <c r="G220" i="3416"/>
  <c r="F220" i="3416"/>
  <c r="E220" i="3416"/>
  <c r="D220" i="3416"/>
  <c r="C220" i="3416" a="1"/>
  <c r="C220" i="3416"/>
  <c r="A220" i="3416"/>
  <c r="EM219" i="3416"/>
  <c r="EL219" i="3416"/>
  <c r="EK219" i="3416"/>
  <c r="EJ219" i="3416"/>
  <c r="EI219" i="3416"/>
  <c r="EH219" i="3416"/>
  <c r="EG219" i="3416"/>
  <c r="EF219" i="3416"/>
  <c r="EE219" i="3416"/>
  <c r="ED219" i="3416"/>
  <c r="EC219" i="3416"/>
  <c r="EB219" i="3416"/>
  <c r="EA219" i="3416"/>
  <c r="DZ219" i="3416"/>
  <c r="DY219" i="3416"/>
  <c r="DX219" i="3416"/>
  <c r="DW219" i="3416"/>
  <c r="DV219" i="3416"/>
  <c r="DU219" i="3416"/>
  <c r="DT219" i="3416"/>
  <c r="DS219" i="3416"/>
  <c r="DR219" i="3416"/>
  <c r="DQ219" i="3416"/>
  <c r="DP219" i="3416"/>
  <c r="DO219" i="3416"/>
  <c r="DN219" i="3416"/>
  <c r="DM219" i="3416"/>
  <c r="DL219" i="3416"/>
  <c r="DK219" i="3416"/>
  <c r="DJ219" i="3416"/>
  <c r="DI219" i="3416"/>
  <c r="DH219" i="3416"/>
  <c r="DG219" i="3416"/>
  <c r="DF219" i="3416"/>
  <c r="DE219" i="3416"/>
  <c r="DD219" i="3416"/>
  <c r="DC219" i="3416"/>
  <c r="DB219" i="3416"/>
  <c r="DA219" i="3416"/>
  <c r="CZ219" i="3416"/>
  <c r="CY219" i="3416"/>
  <c r="CX219" i="3416"/>
  <c r="CW219" i="3416"/>
  <c r="CV219" i="3416"/>
  <c r="CU219" i="3416"/>
  <c r="CT219" i="3416"/>
  <c r="CS219" i="3416"/>
  <c r="CR219" i="3416"/>
  <c r="CQ219" i="3416"/>
  <c r="CP219" i="3416"/>
  <c r="CO219" i="3416"/>
  <c r="CN219" i="3416"/>
  <c r="CM219" i="3416"/>
  <c r="CL219" i="3416"/>
  <c r="CK219" i="3416"/>
  <c r="CJ219" i="3416"/>
  <c r="CI219" i="3416"/>
  <c r="CH219" i="3416"/>
  <c r="CG219" i="3416"/>
  <c r="CF219" i="3416"/>
  <c r="CE219" i="3416"/>
  <c r="CD219" i="3416"/>
  <c r="CC219" i="3416"/>
  <c r="CB219" i="3416"/>
  <c r="CA219" i="3416"/>
  <c r="BZ219" i="3416"/>
  <c r="BY219" i="3416"/>
  <c r="BX219" i="3416"/>
  <c r="BW219" i="3416"/>
  <c r="BV219" i="3416"/>
  <c r="BU219" i="3416"/>
  <c r="BT219" i="3416"/>
  <c r="BS219" i="3416"/>
  <c r="BR219" i="3416"/>
  <c r="BQ219" i="3416"/>
  <c r="BP219" i="3416"/>
  <c r="BO219" i="3416"/>
  <c r="BN219" i="3416"/>
  <c r="BM219" i="3416"/>
  <c r="BL219" i="3416"/>
  <c r="BK219" i="3416"/>
  <c r="BJ219" i="3416"/>
  <c r="BI219" i="3416"/>
  <c r="BH219" i="3416"/>
  <c r="BG219" i="3416"/>
  <c r="BF219" i="3416"/>
  <c r="BE219" i="3416"/>
  <c r="BD219" i="3416"/>
  <c r="BC219" i="3416"/>
  <c r="BB219" i="3416"/>
  <c r="BA219" i="3416"/>
  <c r="AZ219" i="3416"/>
  <c r="AY219" i="3416"/>
  <c r="AX219" i="3416"/>
  <c r="AW219" i="3416"/>
  <c r="AV219" i="3416"/>
  <c r="AU219" i="3416"/>
  <c r="AT219" i="3416"/>
  <c r="AS219" i="3416"/>
  <c r="AR219" i="3416"/>
  <c r="AQ219" i="3416"/>
  <c r="AP219" i="3416"/>
  <c r="AO219" i="3416"/>
  <c r="AN219" i="3416"/>
  <c r="AM219" i="3416"/>
  <c r="AL219" i="3416"/>
  <c r="AK219" i="3416"/>
  <c r="AJ219" i="3416"/>
  <c r="AI219" i="3416"/>
  <c r="AH219" i="3416"/>
  <c r="AG219" i="3416"/>
  <c r="AF219" i="3416"/>
  <c r="AE219" i="3416"/>
  <c r="AD219" i="3416"/>
  <c r="AC219" i="3416"/>
  <c r="AB219" i="3416"/>
  <c r="AA219" i="3416"/>
  <c r="Z219" i="3416"/>
  <c r="Y219" i="3416"/>
  <c r="X219" i="3416"/>
  <c r="W219" i="3416"/>
  <c r="V219" i="3416"/>
  <c r="U219" i="3416"/>
  <c r="T219" i="3416"/>
  <c r="S219" i="3416"/>
  <c r="R219" i="3416"/>
  <c r="Q219" i="3416"/>
  <c r="P219" i="3416"/>
  <c r="O219" i="3416"/>
  <c r="N219" i="3416"/>
  <c r="M219" i="3416"/>
  <c r="L219" i="3416"/>
  <c r="K219" i="3416"/>
  <c r="J219" i="3416"/>
  <c r="I219" i="3416"/>
  <c r="H219" i="3416"/>
  <c r="G219" i="3416"/>
  <c r="F219" i="3416"/>
  <c r="E219" i="3416"/>
  <c r="D219" i="3416"/>
  <c r="C219" i="3416" a="1"/>
  <c r="C219" i="3416"/>
  <c r="A219" i="3416"/>
  <c r="EM218" i="3416"/>
  <c r="EL218" i="3416"/>
  <c r="EK218" i="3416"/>
  <c r="EJ218" i="3416"/>
  <c r="EI218" i="3416"/>
  <c r="EH218" i="3416"/>
  <c r="EG218" i="3416"/>
  <c r="EF218" i="3416"/>
  <c r="EE218" i="3416"/>
  <c r="ED218" i="3416"/>
  <c r="EC218" i="3416"/>
  <c r="EB218" i="3416"/>
  <c r="EA218" i="3416"/>
  <c r="DZ218" i="3416"/>
  <c r="DY218" i="3416"/>
  <c r="DX218" i="3416"/>
  <c r="DW218" i="3416"/>
  <c r="DV218" i="3416"/>
  <c r="DU218" i="3416"/>
  <c r="DT218" i="3416"/>
  <c r="DS218" i="3416"/>
  <c r="DR218" i="3416"/>
  <c r="DQ218" i="3416"/>
  <c r="DP218" i="3416"/>
  <c r="DO218" i="3416"/>
  <c r="DN218" i="3416"/>
  <c r="DM218" i="3416"/>
  <c r="DL218" i="3416"/>
  <c r="DK218" i="3416"/>
  <c r="DJ218" i="3416"/>
  <c r="DI218" i="3416"/>
  <c r="DH218" i="3416"/>
  <c r="DG218" i="3416"/>
  <c r="DF218" i="3416"/>
  <c r="DE218" i="3416"/>
  <c r="DD218" i="3416"/>
  <c r="DC218" i="3416"/>
  <c r="DB218" i="3416"/>
  <c r="DA218" i="3416"/>
  <c r="CZ218" i="3416"/>
  <c r="CY218" i="3416"/>
  <c r="CX218" i="3416"/>
  <c r="CW218" i="3416"/>
  <c r="CV218" i="3416"/>
  <c r="CU218" i="3416"/>
  <c r="CT218" i="3416"/>
  <c r="CS218" i="3416"/>
  <c r="CR218" i="3416"/>
  <c r="CQ218" i="3416"/>
  <c r="CP218" i="3416"/>
  <c r="CO218" i="3416"/>
  <c r="CN218" i="3416"/>
  <c r="CM218" i="3416"/>
  <c r="CL218" i="3416"/>
  <c r="CK218" i="3416"/>
  <c r="CJ218" i="3416"/>
  <c r="CI218" i="3416"/>
  <c r="CH218" i="3416"/>
  <c r="CG218" i="3416"/>
  <c r="CF218" i="3416"/>
  <c r="CE218" i="3416"/>
  <c r="CD218" i="3416"/>
  <c r="CC218" i="3416"/>
  <c r="CB218" i="3416"/>
  <c r="CA218" i="3416"/>
  <c r="BZ218" i="3416"/>
  <c r="BY218" i="3416"/>
  <c r="BX218" i="3416"/>
  <c r="BW218" i="3416"/>
  <c r="BV218" i="3416"/>
  <c r="BU218" i="3416"/>
  <c r="BT218" i="3416"/>
  <c r="BS218" i="3416"/>
  <c r="BR218" i="3416"/>
  <c r="BQ218" i="3416"/>
  <c r="BP218" i="3416"/>
  <c r="BO218" i="3416"/>
  <c r="BN218" i="3416"/>
  <c r="BM218" i="3416"/>
  <c r="BL218" i="3416"/>
  <c r="BK218" i="3416"/>
  <c r="BJ218" i="3416"/>
  <c r="BI218" i="3416"/>
  <c r="BH218" i="3416"/>
  <c r="BG218" i="3416"/>
  <c r="BF218" i="3416"/>
  <c r="BE218" i="3416"/>
  <c r="BD218" i="3416"/>
  <c r="BC218" i="3416"/>
  <c r="BB218" i="3416"/>
  <c r="BA218" i="3416"/>
  <c r="AZ218" i="3416"/>
  <c r="AY218" i="3416"/>
  <c r="AX218" i="3416"/>
  <c r="AW218" i="3416"/>
  <c r="AV218" i="3416"/>
  <c r="AU218" i="3416"/>
  <c r="AT218" i="3416"/>
  <c r="AS218" i="3416"/>
  <c r="AR218" i="3416"/>
  <c r="AQ218" i="3416"/>
  <c r="AP218" i="3416"/>
  <c r="AO218" i="3416"/>
  <c r="AN218" i="3416"/>
  <c r="AM218" i="3416"/>
  <c r="AL218" i="3416"/>
  <c r="AK218" i="3416"/>
  <c r="AJ218" i="3416"/>
  <c r="AI218" i="3416"/>
  <c r="AH218" i="3416"/>
  <c r="AG218" i="3416"/>
  <c r="AF218" i="3416"/>
  <c r="AE218" i="3416"/>
  <c r="AD218" i="3416"/>
  <c r="AC218" i="3416"/>
  <c r="AB218" i="3416"/>
  <c r="AA218" i="3416"/>
  <c r="Z218" i="3416"/>
  <c r="Y218" i="3416"/>
  <c r="X218" i="3416"/>
  <c r="W218" i="3416"/>
  <c r="V218" i="3416"/>
  <c r="U218" i="3416"/>
  <c r="T218" i="3416"/>
  <c r="S218" i="3416"/>
  <c r="R218" i="3416"/>
  <c r="Q218" i="3416"/>
  <c r="P218" i="3416"/>
  <c r="O218" i="3416"/>
  <c r="N218" i="3416"/>
  <c r="M218" i="3416"/>
  <c r="L218" i="3416"/>
  <c r="K218" i="3416"/>
  <c r="J218" i="3416"/>
  <c r="I218" i="3416"/>
  <c r="H218" i="3416"/>
  <c r="G218" i="3416"/>
  <c r="F218" i="3416"/>
  <c r="E218" i="3416"/>
  <c r="D218" i="3416"/>
  <c r="C218" i="3416" a="1"/>
  <c r="C218" i="3416"/>
  <c r="A218" i="3416"/>
  <c r="EM217" i="3416"/>
  <c r="EL217" i="3416"/>
  <c r="EK217" i="3416"/>
  <c r="EJ217" i="3416"/>
  <c r="EI217" i="3416"/>
  <c r="EH217" i="3416"/>
  <c r="EG217" i="3416"/>
  <c r="EF217" i="3416"/>
  <c r="EE217" i="3416"/>
  <c r="ED217" i="3416"/>
  <c r="EC217" i="3416"/>
  <c r="EB217" i="3416"/>
  <c r="EA217" i="3416"/>
  <c r="DZ217" i="3416"/>
  <c r="DY217" i="3416"/>
  <c r="DX217" i="3416"/>
  <c r="DW217" i="3416"/>
  <c r="DV217" i="3416"/>
  <c r="DU217" i="3416"/>
  <c r="DT217" i="3416"/>
  <c r="DS217" i="3416"/>
  <c r="DR217" i="3416"/>
  <c r="DQ217" i="3416"/>
  <c r="DP217" i="3416"/>
  <c r="DO217" i="3416"/>
  <c r="DN217" i="3416"/>
  <c r="DM217" i="3416"/>
  <c r="DL217" i="3416"/>
  <c r="DK217" i="3416"/>
  <c r="DJ217" i="3416"/>
  <c r="DI217" i="3416"/>
  <c r="DH217" i="3416"/>
  <c r="DG217" i="3416"/>
  <c r="DF217" i="3416"/>
  <c r="DE217" i="3416"/>
  <c r="DD217" i="3416"/>
  <c r="DC217" i="3416"/>
  <c r="DB217" i="3416"/>
  <c r="DA217" i="3416"/>
  <c r="CZ217" i="3416"/>
  <c r="CY217" i="3416"/>
  <c r="CX217" i="3416"/>
  <c r="CW217" i="3416"/>
  <c r="CV217" i="3416"/>
  <c r="CU217" i="3416"/>
  <c r="CT217" i="3416"/>
  <c r="CS217" i="3416"/>
  <c r="CR217" i="3416"/>
  <c r="CQ217" i="3416"/>
  <c r="CP217" i="3416"/>
  <c r="CO217" i="3416"/>
  <c r="CN217" i="3416"/>
  <c r="CM217" i="3416"/>
  <c r="CL217" i="3416"/>
  <c r="CK217" i="3416"/>
  <c r="CJ217" i="3416"/>
  <c r="CI217" i="3416"/>
  <c r="CH217" i="3416"/>
  <c r="CG217" i="3416"/>
  <c r="CF217" i="3416"/>
  <c r="CE217" i="3416"/>
  <c r="CD217" i="3416"/>
  <c r="CC217" i="3416"/>
  <c r="CB217" i="3416"/>
  <c r="CA217" i="3416"/>
  <c r="BZ217" i="3416"/>
  <c r="BY217" i="3416"/>
  <c r="BX217" i="3416"/>
  <c r="BW217" i="3416"/>
  <c r="BV217" i="3416"/>
  <c r="BU217" i="3416"/>
  <c r="BT217" i="3416"/>
  <c r="BS217" i="3416"/>
  <c r="BR217" i="3416"/>
  <c r="BQ217" i="3416"/>
  <c r="BP217" i="3416"/>
  <c r="BO217" i="3416"/>
  <c r="BN217" i="3416"/>
  <c r="BM217" i="3416"/>
  <c r="BL217" i="3416"/>
  <c r="BK217" i="3416"/>
  <c r="BJ217" i="3416"/>
  <c r="BI217" i="3416"/>
  <c r="BH217" i="3416"/>
  <c r="BG217" i="3416"/>
  <c r="BF217" i="3416"/>
  <c r="BE217" i="3416"/>
  <c r="BD217" i="3416"/>
  <c r="BC217" i="3416"/>
  <c r="BB217" i="3416"/>
  <c r="BA217" i="3416"/>
  <c r="AZ217" i="3416"/>
  <c r="AY217" i="3416"/>
  <c r="AX217" i="3416"/>
  <c r="AW217" i="3416"/>
  <c r="AV217" i="3416"/>
  <c r="AU217" i="3416"/>
  <c r="AT217" i="3416"/>
  <c r="AS217" i="3416"/>
  <c r="AR217" i="3416"/>
  <c r="AQ217" i="3416"/>
  <c r="AP217" i="3416"/>
  <c r="AO217" i="3416"/>
  <c r="AN217" i="3416"/>
  <c r="AM217" i="3416"/>
  <c r="AL217" i="3416"/>
  <c r="AK217" i="3416"/>
  <c r="AJ217" i="3416"/>
  <c r="AI217" i="3416"/>
  <c r="AH217" i="3416"/>
  <c r="AG217" i="3416"/>
  <c r="AF217" i="3416"/>
  <c r="AE217" i="3416"/>
  <c r="AD217" i="3416"/>
  <c r="AC217" i="3416"/>
  <c r="AB217" i="3416"/>
  <c r="AA217" i="3416"/>
  <c r="Z217" i="3416"/>
  <c r="Y217" i="3416"/>
  <c r="X217" i="3416"/>
  <c r="W217" i="3416"/>
  <c r="V217" i="3416"/>
  <c r="U217" i="3416"/>
  <c r="T217" i="3416"/>
  <c r="S217" i="3416"/>
  <c r="R217" i="3416"/>
  <c r="Q217" i="3416"/>
  <c r="P217" i="3416"/>
  <c r="O217" i="3416"/>
  <c r="N217" i="3416"/>
  <c r="M217" i="3416"/>
  <c r="L217" i="3416"/>
  <c r="K217" i="3416"/>
  <c r="J217" i="3416"/>
  <c r="I217" i="3416"/>
  <c r="H217" i="3416"/>
  <c r="G217" i="3416"/>
  <c r="F217" i="3416"/>
  <c r="E217" i="3416"/>
  <c r="D217" i="3416"/>
  <c r="C217" i="3416" a="1"/>
  <c r="C217" i="3416"/>
  <c r="A217" i="3416"/>
  <c r="EM216" i="3416"/>
  <c r="EL216" i="3416"/>
  <c r="EK216" i="3416"/>
  <c r="EJ216" i="3416"/>
  <c r="EI216" i="3416"/>
  <c r="EH216" i="3416"/>
  <c r="EG216" i="3416"/>
  <c r="EF216" i="3416"/>
  <c r="EE216" i="3416"/>
  <c r="ED216" i="3416"/>
  <c r="EC216" i="3416"/>
  <c r="EB216" i="3416"/>
  <c r="EA216" i="3416"/>
  <c r="DZ216" i="3416"/>
  <c r="DY216" i="3416"/>
  <c r="DX216" i="3416"/>
  <c r="DW216" i="3416"/>
  <c r="DV216" i="3416"/>
  <c r="DU216" i="3416"/>
  <c r="DT216" i="3416"/>
  <c r="DS216" i="3416"/>
  <c r="DR216" i="3416"/>
  <c r="DQ216" i="3416"/>
  <c r="DP216" i="3416"/>
  <c r="DO216" i="3416"/>
  <c r="DN216" i="3416"/>
  <c r="DM216" i="3416"/>
  <c r="DL216" i="3416"/>
  <c r="DK216" i="3416"/>
  <c r="DJ216" i="3416"/>
  <c r="DI216" i="3416"/>
  <c r="DH216" i="3416"/>
  <c r="DG216" i="3416"/>
  <c r="DF216" i="3416"/>
  <c r="DE216" i="3416"/>
  <c r="DD216" i="3416"/>
  <c r="DC216" i="3416"/>
  <c r="DB216" i="3416"/>
  <c r="DA216" i="3416"/>
  <c r="CZ216" i="3416"/>
  <c r="CY216" i="3416"/>
  <c r="CX216" i="3416"/>
  <c r="CW216" i="3416"/>
  <c r="CV216" i="3416"/>
  <c r="CU216" i="3416"/>
  <c r="CT216" i="3416"/>
  <c r="CS216" i="3416"/>
  <c r="CR216" i="3416"/>
  <c r="CQ216" i="3416"/>
  <c r="CP216" i="3416"/>
  <c r="CO216" i="3416"/>
  <c r="CN216" i="3416"/>
  <c r="CM216" i="3416"/>
  <c r="CL216" i="3416"/>
  <c r="CK216" i="3416"/>
  <c r="CJ216" i="3416"/>
  <c r="CI216" i="3416"/>
  <c r="CH216" i="3416"/>
  <c r="CG216" i="3416"/>
  <c r="CF216" i="3416"/>
  <c r="CE216" i="3416"/>
  <c r="CD216" i="3416"/>
  <c r="CC216" i="3416"/>
  <c r="CB216" i="3416"/>
  <c r="CA216" i="3416"/>
  <c r="BZ216" i="3416"/>
  <c r="BY216" i="3416"/>
  <c r="BX216" i="3416"/>
  <c r="BW216" i="3416"/>
  <c r="BV216" i="3416"/>
  <c r="BU216" i="3416"/>
  <c r="BT216" i="3416"/>
  <c r="BS216" i="3416"/>
  <c r="BR216" i="3416"/>
  <c r="BQ216" i="3416"/>
  <c r="BP216" i="3416"/>
  <c r="BO216" i="3416"/>
  <c r="BN216" i="3416"/>
  <c r="BM216" i="3416"/>
  <c r="BL216" i="3416"/>
  <c r="BK216" i="3416"/>
  <c r="BJ216" i="3416"/>
  <c r="BI216" i="3416"/>
  <c r="BH216" i="3416"/>
  <c r="BG216" i="3416"/>
  <c r="BF216" i="3416"/>
  <c r="BE216" i="3416"/>
  <c r="BD216" i="3416"/>
  <c r="BC216" i="3416"/>
  <c r="BB216" i="3416"/>
  <c r="BA216" i="3416"/>
  <c r="AZ216" i="3416"/>
  <c r="AY216" i="3416"/>
  <c r="AX216" i="3416"/>
  <c r="AW216" i="3416"/>
  <c r="AV216" i="3416"/>
  <c r="AU216" i="3416"/>
  <c r="AT216" i="3416"/>
  <c r="AS216" i="3416"/>
  <c r="AR216" i="3416"/>
  <c r="AQ216" i="3416"/>
  <c r="AP216" i="3416"/>
  <c r="AO216" i="3416"/>
  <c r="AN216" i="3416"/>
  <c r="AM216" i="3416"/>
  <c r="AL216" i="3416"/>
  <c r="AK216" i="3416"/>
  <c r="AJ216" i="3416"/>
  <c r="AI216" i="3416"/>
  <c r="AH216" i="3416"/>
  <c r="AG216" i="3416"/>
  <c r="AF216" i="3416"/>
  <c r="AE216" i="3416"/>
  <c r="AD216" i="3416"/>
  <c r="AC216" i="3416"/>
  <c r="AB216" i="3416"/>
  <c r="AA216" i="3416"/>
  <c r="Z216" i="3416"/>
  <c r="Y216" i="3416"/>
  <c r="X216" i="3416"/>
  <c r="W216" i="3416"/>
  <c r="V216" i="3416"/>
  <c r="U216" i="3416"/>
  <c r="T216" i="3416"/>
  <c r="S216" i="3416"/>
  <c r="R216" i="3416"/>
  <c r="Q216" i="3416"/>
  <c r="P216" i="3416"/>
  <c r="O216" i="3416"/>
  <c r="N216" i="3416"/>
  <c r="M216" i="3416"/>
  <c r="L216" i="3416"/>
  <c r="K216" i="3416"/>
  <c r="J216" i="3416"/>
  <c r="I216" i="3416"/>
  <c r="H216" i="3416"/>
  <c r="G216" i="3416"/>
  <c r="F216" i="3416"/>
  <c r="E216" i="3416"/>
  <c r="D216" i="3416"/>
  <c r="C216" i="3416" a="1"/>
  <c r="C216" i="3416"/>
  <c r="A216" i="3416"/>
  <c r="EM215" i="3416"/>
  <c r="EL215" i="3416"/>
  <c r="EK215" i="3416"/>
  <c r="EJ215" i="3416"/>
  <c r="EI215" i="3416"/>
  <c r="EH215" i="3416"/>
  <c r="EG215" i="3416"/>
  <c r="EF215" i="3416"/>
  <c r="EE215" i="3416"/>
  <c r="ED215" i="3416"/>
  <c r="EC215" i="3416"/>
  <c r="EB215" i="3416"/>
  <c r="EA215" i="3416"/>
  <c r="DZ215" i="3416"/>
  <c r="DY215" i="3416"/>
  <c r="DX215" i="3416"/>
  <c r="DW215" i="3416"/>
  <c r="DV215" i="3416"/>
  <c r="DU215" i="3416"/>
  <c r="DT215" i="3416"/>
  <c r="DS215" i="3416"/>
  <c r="DR215" i="3416"/>
  <c r="DQ215" i="3416"/>
  <c r="DP215" i="3416"/>
  <c r="DO215" i="3416"/>
  <c r="DN215" i="3416"/>
  <c r="DM215" i="3416"/>
  <c r="DL215" i="3416"/>
  <c r="DK215" i="3416"/>
  <c r="DJ215" i="3416"/>
  <c r="DI215" i="3416"/>
  <c r="DH215" i="3416"/>
  <c r="DG215" i="3416"/>
  <c r="DF215" i="3416"/>
  <c r="DE215" i="3416"/>
  <c r="DD215" i="3416"/>
  <c r="DC215" i="3416"/>
  <c r="DB215" i="3416"/>
  <c r="DA215" i="3416"/>
  <c r="CZ215" i="3416"/>
  <c r="CY215" i="3416"/>
  <c r="CX215" i="3416"/>
  <c r="CW215" i="3416"/>
  <c r="CV215" i="3416"/>
  <c r="CU215" i="3416"/>
  <c r="CT215" i="3416"/>
  <c r="CS215" i="3416"/>
  <c r="CR215" i="3416"/>
  <c r="CQ215" i="3416"/>
  <c r="CP215" i="3416"/>
  <c r="CO215" i="3416"/>
  <c r="CN215" i="3416"/>
  <c r="CM215" i="3416"/>
  <c r="CL215" i="3416"/>
  <c r="CK215" i="3416"/>
  <c r="CJ215" i="3416"/>
  <c r="CI215" i="3416"/>
  <c r="CH215" i="3416"/>
  <c r="CG215" i="3416"/>
  <c r="CF215" i="3416"/>
  <c r="CE215" i="3416"/>
  <c r="CD215" i="3416"/>
  <c r="CC215" i="3416"/>
  <c r="CB215" i="3416"/>
  <c r="CA215" i="3416"/>
  <c r="BZ215" i="3416"/>
  <c r="BY215" i="3416"/>
  <c r="BX215" i="3416"/>
  <c r="BW215" i="3416"/>
  <c r="BV215" i="3416"/>
  <c r="BU215" i="3416"/>
  <c r="BT215" i="3416"/>
  <c r="BS215" i="3416"/>
  <c r="BR215" i="3416"/>
  <c r="BQ215" i="3416"/>
  <c r="BP215" i="3416"/>
  <c r="BO215" i="3416"/>
  <c r="BN215" i="3416"/>
  <c r="BM215" i="3416"/>
  <c r="BL215" i="3416"/>
  <c r="BK215" i="3416"/>
  <c r="BJ215" i="3416"/>
  <c r="BI215" i="3416"/>
  <c r="BH215" i="3416"/>
  <c r="BG215" i="3416"/>
  <c r="BF215" i="3416"/>
  <c r="BE215" i="3416"/>
  <c r="BD215" i="3416"/>
  <c r="BC215" i="3416"/>
  <c r="BB215" i="3416"/>
  <c r="BA215" i="3416"/>
  <c r="AZ215" i="3416"/>
  <c r="AY215" i="3416"/>
  <c r="AX215" i="3416"/>
  <c r="AW215" i="3416"/>
  <c r="AV215" i="3416"/>
  <c r="AU215" i="3416"/>
  <c r="AT215" i="3416"/>
  <c r="AS215" i="3416"/>
  <c r="AR215" i="3416"/>
  <c r="AQ215" i="3416"/>
  <c r="AP215" i="3416"/>
  <c r="AO215" i="3416"/>
  <c r="AN215" i="3416"/>
  <c r="AM215" i="3416"/>
  <c r="AL215" i="3416"/>
  <c r="AK215" i="3416"/>
  <c r="AJ215" i="3416"/>
  <c r="AI215" i="3416"/>
  <c r="AH215" i="3416"/>
  <c r="AG215" i="3416"/>
  <c r="AF215" i="3416"/>
  <c r="AE215" i="3416"/>
  <c r="AD215" i="3416"/>
  <c r="AC215" i="3416"/>
  <c r="AB215" i="3416"/>
  <c r="AA215" i="3416"/>
  <c r="Z215" i="3416"/>
  <c r="Y215" i="3416"/>
  <c r="X215" i="3416"/>
  <c r="W215" i="3416"/>
  <c r="V215" i="3416"/>
  <c r="U215" i="3416"/>
  <c r="T215" i="3416"/>
  <c r="S215" i="3416"/>
  <c r="R215" i="3416"/>
  <c r="Q215" i="3416"/>
  <c r="P215" i="3416"/>
  <c r="O215" i="3416"/>
  <c r="N215" i="3416"/>
  <c r="M215" i="3416"/>
  <c r="L215" i="3416"/>
  <c r="K215" i="3416"/>
  <c r="J215" i="3416"/>
  <c r="I215" i="3416"/>
  <c r="H215" i="3416"/>
  <c r="G215" i="3416"/>
  <c r="F215" i="3416"/>
  <c r="E215" i="3416"/>
  <c r="D215" i="3416"/>
  <c r="C215" i="3416" a="1"/>
  <c r="C215" i="3416"/>
  <c r="A215" i="3416"/>
  <c r="EM214" i="3416"/>
  <c r="EL214" i="3416"/>
  <c r="EK214" i="3416"/>
  <c r="EJ214" i="3416"/>
  <c r="EI214" i="3416"/>
  <c r="EH214" i="3416"/>
  <c r="EG214" i="3416"/>
  <c r="EF214" i="3416"/>
  <c r="EE214" i="3416"/>
  <c r="ED214" i="3416"/>
  <c r="EC214" i="3416"/>
  <c r="EB214" i="3416"/>
  <c r="EA214" i="3416"/>
  <c r="DZ214" i="3416"/>
  <c r="DY214" i="3416"/>
  <c r="DX214" i="3416"/>
  <c r="DW214" i="3416"/>
  <c r="DV214" i="3416"/>
  <c r="DU214" i="3416"/>
  <c r="DT214" i="3416"/>
  <c r="DS214" i="3416"/>
  <c r="DR214" i="3416"/>
  <c r="DQ214" i="3416"/>
  <c r="DP214" i="3416"/>
  <c r="DO214" i="3416"/>
  <c r="DN214" i="3416"/>
  <c r="DM214" i="3416"/>
  <c r="DL214" i="3416"/>
  <c r="DK214" i="3416"/>
  <c r="DJ214" i="3416"/>
  <c r="DI214" i="3416"/>
  <c r="DH214" i="3416"/>
  <c r="DG214" i="3416"/>
  <c r="DF214" i="3416"/>
  <c r="DE214" i="3416"/>
  <c r="DD214" i="3416"/>
  <c r="DC214" i="3416"/>
  <c r="DB214" i="3416"/>
  <c r="DA214" i="3416"/>
  <c r="CZ214" i="3416"/>
  <c r="CY214" i="3416"/>
  <c r="CX214" i="3416"/>
  <c r="CW214" i="3416"/>
  <c r="CV214" i="3416"/>
  <c r="CU214" i="3416"/>
  <c r="CT214" i="3416"/>
  <c r="CS214" i="3416"/>
  <c r="CR214" i="3416"/>
  <c r="CQ214" i="3416"/>
  <c r="CP214" i="3416"/>
  <c r="CO214" i="3416"/>
  <c r="CN214" i="3416"/>
  <c r="CM214" i="3416"/>
  <c r="CL214" i="3416"/>
  <c r="CK214" i="3416"/>
  <c r="CJ214" i="3416"/>
  <c r="CI214" i="3416"/>
  <c r="CH214" i="3416"/>
  <c r="CG214" i="3416"/>
  <c r="CF214" i="3416"/>
  <c r="CE214" i="3416"/>
  <c r="CD214" i="3416"/>
  <c r="CC214" i="3416"/>
  <c r="CB214" i="3416"/>
  <c r="CA214" i="3416"/>
  <c r="BZ214" i="3416"/>
  <c r="BY214" i="3416"/>
  <c r="BX214" i="3416"/>
  <c r="BW214" i="3416"/>
  <c r="BV214" i="3416"/>
  <c r="BU214" i="3416"/>
  <c r="BT214" i="3416"/>
  <c r="BS214" i="3416"/>
  <c r="BR214" i="3416"/>
  <c r="BQ214" i="3416"/>
  <c r="BP214" i="3416"/>
  <c r="BO214" i="3416"/>
  <c r="BN214" i="3416"/>
  <c r="BM214" i="3416"/>
  <c r="BL214" i="3416"/>
  <c r="BK214" i="3416"/>
  <c r="BJ214" i="3416"/>
  <c r="BI214" i="3416"/>
  <c r="BH214" i="3416"/>
  <c r="BG214" i="3416"/>
  <c r="BF214" i="3416"/>
  <c r="BE214" i="3416"/>
  <c r="BD214" i="3416"/>
  <c r="BC214" i="3416"/>
  <c r="BB214" i="3416"/>
  <c r="BA214" i="3416"/>
  <c r="AZ214" i="3416"/>
  <c r="AY214" i="3416"/>
  <c r="AX214" i="3416"/>
  <c r="AW214" i="3416"/>
  <c r="AV214" i="3416"/>
  <c r="AU214" i="3416"/>
  <c r="AT214" i="3416"/>
  <c r="AS214" i="3416"/>
  <c r="AR214" i="3416"/>
  <c r="AQ214" i="3416"/>
  <c r="AP214" i="3416"/>
  <c r="AO214" i="3416"/>
  <c r="AN214" i="3416"/>
  <c r="AM214" i="3416"/>
  <c r="AL214" i="3416"/>
  <c r="AK214" i="3416"/>
  <c r="AJ214" i="3416"/>
  <c r="AI214" i="3416"/>
  <c r="AH214" i="3416"/>
  <c r="AG214" i="3416"/>
  <c r="AF214" i="3416"/>
  <c r="AE214" i="3416"/>
  <c r="AD214" i="3416"/>
  <c r="AC214" i="3416"/>
  <c r="AB214" i="3416"/>
  <c r="AA214" i="3416"/>
  <c r="Z214" i="3416"/>
  <c r="Y214" i="3416"/>
  <c r="X214" i="3416"/>
  <c r="W214" i="3416"/>
  <c r="V214" i="3416"/>
  <c r="U214" i="3416"/>
  <c r="T214" i="3416"/>
  <c r="S214" i="3416"/>
  <c r="R214" i="3416"/>
  <c r="Q214" i="3416"/>
  <c r="P214" i="3416"/>
  <c r="O214" i="3416"/>
  <c r="N214" i="3416"/>
  <c r="M214" i="3416"/>
  <c r="L214" i="3416"/>
  <c r="K214" i="3416"/>
  <c r="J214" i="3416"/>
  <c r="I214" i="3416"/>
  <c r="H214" i="3416"/>
  <c r="G214" i="3416"/>
  <c r="F214" i="3416"/>
  <c r="E214" i="3416"/>
  <c r="D214" i="3416"/>
  <c r="C214" i="3416" a="1"/>
  <c r="C214" i="3416"/>
  <c r="A214" i="3416"/>
  <c r="EM213" i="3416"/>
  <c r="EL213" i="3416"/>
  <c r="EK213" i="3416"/>
  <c r="EJ213" i="3416"/>
  <c r="EI213" i="3416"/>
  <c r="EH213" i="3416"/>
  <c r="EG213" i="3416"/>
  <c r="EF213" i="3416"/>
  <c r="EE213" i="3416"/>
  <c r="ED213" i="3416"/>
  <c r="EC213" i="3416"/>
  <c r="EB213" i="3416"/>
  <c r="EA213" i="3416"/>
  <c r="DZ213" i="3416"/>
  <c r="DY213" i="3416"/>
  <c r="DX213" i="3416"/>
  <c r="DW213" i="3416"/>
  <c r="DV213" i="3416"/>
  <c r="DU213" i="3416"/>
  <c r="DT213" i="3416"/>
  <c r="DS213" i="3416"/>
  <c r="DR213" i="3416"/>
  <c r="DQ213" i="3416"/>
  <c r="DP213" i="3416"/>
  <c r="DO213" i="3416"/>
  <c r="DN213" i="3416"/>
  <c r="DM213" i="3416"/>
  <c r="DL213" i="3416"/>
  <c r="DK213" i="3416"/>
  <c r="DJ213" i="3416"/>
  <c r="DI213" i="3416"/>
  <c r="DH213" i="3416"/>
  <c r="DG213" i="3416"/>
  <c r="DF213" i="3416"/>
  <c r="DE213" i="3416"/>
  <c r="DD213" i="3416"/>
  <c r="DC213" i="3416"/>
  <c r="DB213" i="3416"/>
  <c r="DA213" i="3416"/>
  <c r="CZ213" i="3416"/>
  <c r="CY213" i="3416"/>
  <c r="CX213" i="3416"/>
  <c r="CW213" i="3416"/>
  <c r="CV213" i="3416"/>
  <c r="CU213" i="3416"/>
  <c r="CT213" i="3416"/>
  <c r="CS213" i="3416"/>
  <c r="CR213" i="3416"/>
  <c r="CQ213" i="3416"/>
  <c r="CP213" i="3416"/>
  <c r="CO213" i="3416"/>
  <c r="CN213" i="3416"/>
  <c r="CM213" i="3416"/>
  <c r="CL213" i="3416"/>
  <c r="CK213" i="3416"/>
  <c r="CJ213" i="3416"/>
  <c r="CI213" i="3416"/>
  <c r="CH213" i="3416"/>
  <c r="CG213" i="3416"/>
  <c r="CF213" i="3416"/>
  <c r="CE213" i="3416"/>
  <c r="CD213" i="3416"/>
  <c r="CC213" i="3416"/>
  <c r="CB213" i="3416"/>
  <c r="CA213" i="3416"/>
  <c r="BZ213" i="3416"/>
  <c r="BY213" i="3416"/>
  <c r="BX213" i="3416"/>
  <c r="BW213" i="3416"/>
  <c r="BV213" i="3416"/>
  <c r="BU213" i="3416"/>
  <c r="BT213" i="3416"/>
  <c r="BS213" i="3416"/>
  <c r="BR213" i="3416"/>
  <c r="BQ213" i="3416"/>
  <c r="BP213" i="3416"/>
  <c r="BO213" i="3416"/>
  <c r="BN213" i="3416"/>
  <c r="BM213" i="3416"/>
  <c r="BL213" i="3416"/>
  <c r="BK213" i="3416"/>
  <c r="BJ213" i="3416"/>
  <c r="BI213" i="3416"/>
  <c r="BH213" i="3416"/>
  <c r="BG213" i="3416"/>
  <c r="BF213" i="3416"/>
  <c r="BE213" i="3416"/>
  <c r="BD213" i="3416"/>
  <c r="BC213" i="3416"/>
  <c r="BB213" i="3416"/>
  <c r="BA213" i="3416"/>
  <c r="AZ213" i="3416"/>
  <c r="AY213" i="3416"/>
  <c r="AX213" i="3416"/>
  <c r="AW213" i="3416"/>
  <c r="AV213" i="3416"/>
  <c r="AU213" i="3416"/>
  <c r="AT213" i="3416"/>
  <c r="AS213" i="3416"/>
  <c r="AR213" i="3416"/>
  <c r="AQ213" i="3416"/>
  <c r="AP213" i="3416"/>
  <c r="AO213" i="3416"/>
  <c r="AN213" i="3416"/>
  <c r="AM213" i="3416"/>
  <c r="AL213" i="3416"/>
  <c r="AK213" i="3416"/>
  <c r="AJ213" i="3416"/>
  <c r="AI213" i="3416"/>
  <c r="AH213" i="3416"/>
  <c r="AG213" i="3416"/>
  <c r="AF213" i="3416"/>
  <c r="AE213" i="3416"/>
  <c r="AD213" i="3416"/>
  <c r="AC213" i="3416"/>
  <c r="AB213" i="3416"/>
  <c r="AA213" i="3416"/>
  <c r="Z213" i="3416"/>
  <c r="Y213" i="3416"/>
  <c r="X213" i="3416"/>
  <c r="W213" i="3416"/>
  <c r="V213" i="3416"/>
  <c r="U213" i="3416"/>
  <c r="T213" i="3416"/>
  <c r="S213" i="3416"/>
  <c r="R213" i="3416"/>
  <c r="Q213" i="3416"/>
  <c r="P213" i="3416"/>
  <c r="O213" i="3416"/>
  <c r="N213" i="3416"/>
  <c r="M213" i="3416"/>
  <c r="L213" i="3416"/>
  <c r="K213" i="3416"/>
  <c r="J213" i="3416"/>
  <c r="I213" i="3416"/>
  <c r="H213" i="3416"/>
  <c r="G213" i="3416"/>
  <c r="F213" i="3416"/>
  <c r="E213" i="3416"/>
  <c r="D213" i="3416"/>
  <c r="C213" i="3416" a="1"/>
  <c r="C213" i="3416"/>
  <c r="A213" i="3416"/>
  <c r="EM212" i="3416"/>
  <c r="EL212" i="3416"/>
  <c r="EK212" i="3416"/>
  <c r="EJ212" i="3416"/>
  <c r="EI212" i="3416"/>
  <c r="EH212" i="3416"/>
  <c r="EG212" i="3416"/>
  <c r="EF212" i="3416"/>
  <c r="EE212" i="3416"/>
  <c r="ED212" i="3416"/>
  <c r="EC212" i="3416"/>
  <c r="EB212" i="3416"/>
  <c r="EA212" i="3416"/>
  <c r="DZ212" i="3416"/>
  <c r="DY212" i="3416"/>
  <c r="DX212" i="3416"/>
  <c r="DW212" i="3416"/>
  <c r="DV212" i="3416"/>
  <c r="DU212" i="3416"/>
  <c r="DT212" i="3416"/>
  <c r="DS212" i="3416"/>
  <c r="DR212" i="3416"/>
  <c r="DQ212" i="3416"/>
  <c r="DP212" i="3416"/>
  <c r="DO212" i="3416"/>
  <c r="DN212" i="3416"/>
  <c r="DM212" i="3416"/>
  <c r="DL212" i="3416"/>
  <c r="DK212" i="3416"/>
  <c r="DJ212" i="3416"/>
  <c r="DI212" i="3416"/>
  <c r="DH212" i="3416"/>
  <c r="DG212" i="3416"/>
  <c r="DF212" i="3416"/>
  <c r="DE212" i="3416"/>
  <c r="DD212" i="3416"/>
  <c r="DC212" i="3416"/>
  <c r="DB212" i="3416"/>
  <c r="DA212" i="3416"/>
  <c r="CZ212" i="3416"/>
  <c r="CY212" i="3416"/>
  <c r="CX212" i="3416"/>
  <c r="CW212" i="3416"/>
  <c r="CV212" i="3416"/>
  <c r="CU212" i="3416"/>
  <c r="CT212" i="3416"/>
  <c r="CS212" i="3416"/>
  <c r="CR212" i="3416"/>
  <c r="CQ212" i="3416"/>
  <c r="CP212" i="3416"/>
  <c r="CO212" i="3416"/>
  <c r="CN212" i="3416"/>
  <c r="CM212" i="3416"/>
  <c r="CL212" i="3416"/>
  <c r="CK212" i="3416"/>
  <c r="CJ212" i="3416"/>
  <c r="CI212" i="3416"/>
  <c r="CH212" i="3416"/>
  <c r="CG212" i="3416"/>
  <c r="CF212" i="3416"/>
  <c r="CE212" i="3416"/>
  <c r="CD212" i="3416"/>
  <c r="CC212" i="3416"/>
  <c r="CB212" i="3416"/>
  <c r="CA212" i="3416"/>
  <c r="BZ212" i="3416"/>
  <c r="BY212" i="3416"/>
  <c r="BX212" i="3416"/>
  <c r="BW212" i="3416"/>
  <c r="BV212" i="3416"/>
  <c r="BU212" i="3416"/>
  <c r="BT212" i="3416"/>
  <c r="BS212" i="3416"/>
  <c r="BR212" i="3416"/>
  <c r="BQ212" i="3416"/>
  <c r="BP212" i="3416"/>
  <c r="BO212" i="3416"/>
  <c r="BN212" i="3416"/>
  <c r="BM212" i="3416"/>
  <c r="BL212" i="3416"/>
  <c r="BK212" i="3416"/>
  <c r="BJ212" i="3416"/>
  <c r="BI212" i="3416"/>
  <c r="BH212" i="3416"/>
  <c r="BG212" i="3416"/>
  <c r="BF212" i="3416"/>
  <c r="BE212" i="3416"/>
  <c r="BD212" i="3416"/>
  <c r="BC212" i="3416"/>
  <c r="BB212" i="3416"/>
  <c r="BA212" i="3416"/>
  <c r="AZ212" i="3416"/>
  <c r="AY212" i="3416"/>
  <c r="AX212" i="3416"/>
  <c r="AW212" i="3416"/>
  <c r="AV212" i="3416"/>
  <c r="AU212" i="3416"/>
  <c r="AT212" i="3416"/>
  <c r="AS212" i="3416"/>
  <c r="AR212" i="3416"/>
  <c r="AQ212" i="3416"/>
  <c r="AP212" i="3416"/>
  <c r="AO212" i="3416"/>
  <c r="AN212" i="3416"/>
  <c r="AM212" i="3416"/>
  <c r="AL212" i="3416"/>
  <c r="AK212" i="3416"/>
  <c r="AJ212" i="3416"/>
  <c r="AI212" i="3416"/>
  <c r="AH212" i="3416"/>
  <c r="AG212" i="3416"/>
  <c r="AF212" i="3416"/>
  <c r="AE212" i="3416"/>
  <c r="AD212" i="3416"/>
  <c r="AC212" i="3416"/>
  <c r="AB212" i="3416"/>
  <c r="AA212" i="3416"/>
  <c r="Z212" i="3416"/>
  <c r="Y212" i="3416"/>
  <c r="X212" i="3416"/>
  <c r="W212" i="3416"/>
  <c r="V212" i="3416"/>
  <c r="U212" i="3416"/>
  <c r="T212" i="3416"/>
  <c r="S212" i="3416"/>
  <c r="R212" i="3416"/>
  <c r="Q212" i="3416"/>
  <c r="P212" i="3416"/>
  <c r="O212" i="3416"/>
  <c r="N212" i="3416"/>
  <c r="M212" i="3416"/>
  <c r="L212" i="3416"/>
  <c r="K212" i="3416"/>
  <c r="J212" i="3416"/>
  <c r="I212" i="3416"/>
  <c r="H212" i="3416"/>
  <c r="G212" i="3416"/>
  <c r="F212" i="3416"/>
  <c r="E212" i="3416"/>
  <c r="D212" i="3416"/>
  <c r="C212" i="3416" a="1"/>
  <c r="C212" i="3416"/>
  <c r="A212" i="3416"/>
  <c r="EM211" i="3416"/>
  <c r="EL211" i="3416"/>
  <c r="EK211" i="3416"/>
  <c r="EJ211" i="3416"/>
  <c r="EI211" i="3416"/>
  <c r="EH211" i="3416"/>
  <c r="EG211" i="3416"/>
  <c r="EF211" i="3416"/>
  <c r="EE211" i="3416"/>
  <c r="ED211" i="3416"/>
  <c r="EC211" i="3416"/>
  <c r="EB211" i="3416"/>
  <c r="EA211" i="3416"/>
  <c r="DZ211" i="3416"/>
  <c r="DY211" i="3416"/>
  <c r="DX211" i="3416"/>
  <c r="DW211" i="3416"/>
  <c r="DV211" i="3416"/>
  <c r="DU211" i="3416"/>
  <c r="DT211" i="3416"/>
  <c r="DS211" i="3416"/>
  <c r="DR211" i="3416"/>
  <c r="DQ211" i="3416"/>
  <c r="DP211" i="3416"/>
  <c r="DO211" i="3416"/>
  <c r="DN211" i="3416"/>
  <c r="DM211" i="3416"/>
  <c r="DL211" i="3416"/>
  <c r="DK211" i="3416"/>
  <c r="DJ211" i="3416"/>
  <c r="DI211" i="3416"/>
  <c r="DH211" i="3416"/>
  <c r="DG211" i="3416"/>
  <c r="DF211" i="3416"/>
  <c r="DE211" i="3416"/>
  <c r="DD211" i="3416"/>
  <c r="DC211" i="3416"/>
  <c r="DB211" i="3416"/>
  <c r="DA211" i="3416"/>
  <c r="CZ211" i="3416"/>
  <c r="CY211" i="3416"/>
  <c r="CX211" i="3416"/>
  <c r="CW211" i="3416"/>
  <c r="CV211" i="3416"/>
  <c r="CU211" i="3416"/>
  <c r="CT211" i="3416"/>
  <c r="CS211" i="3416"/>
  <c r="CR211" i="3416"/>
  <c r="CQ211" i="3416"/>
  <c r="CP211" i="3416"/>
  <c r="CO211" i="3416"/>
  <c r="CN211" i="3416"/>
  <c r="CM211" i="3416"/>
  <c r="CL211" i="3416"/>
  <c r="CK211" i="3416"/>
  <c r="CJ211" i="3416"/>
  <c r="CI211" i="3416"/>
  <c r="CH211" i="3416"/>
  <c r="CG211" i="3416"/>
  <c r="CF211" i="3416"/>
  <c r="CE211" i="3416"/>
  <c r="CD211" i="3416"/>
  <c r="CC211" i="3416"/>
  <c r="CB211" i="3416"/>
  <c r="CA211" i="3416"/>
  <c r="BZ211" i="3416"/>
  <c r="BY211" i="3416"/>
  <c r="BX211" i="3416"/>
  <c r="BW211" i="3416"/>
  <c r="BV211" i="3416"/>
  <c r="BU211" i="3416"/>
  <c r="BT211" i="3416"/>
  <c r="BS211" i="3416"/>
  <c r="BR211" i="3416"/>
  <c r="BQ211" i="3416"/>
  <c r="BP211" i="3416"/>
  <c r="BO211" i="3416"/>
  <c r="BN211" i="3416"/>
  <c r="BM211" i="3416"/>
  <c r="BL211" i="3416"/>
  <c r="BK211" i="3416"/>
  <c r="BJ211" i="3416"/>
  <c r="BI211" i="3416"/>
  <c r="BH211" i="3416"/>
  <c r="BG211" i="3416"/>
  <c r="BF211" i="3416"/>
  <c r="BE211" i="3416"/>
  <c r="BD211" i="3416"/>
  <c r="BC211" i="3416"/>
  <c r="BB211" i="3416"/>
  <c r="BA211" i="3416"/>
  <c r="AZ211" i="3416"/>
  <c r="AY211" i="3416"/>
  <c r="AX211" i="3416"/>
  <c r="AW211" i="3416"/>
  <c r="AV211" i="3416"/>
  <c r="AU211" i="3416"/>
  <c r="AT211" i="3416"/>
  <c r="AS211" i="3416"/>
  <c r="AR211" i="3416"/>
  <c r="AQ211" i="3416"/>
  <c r="AP211" i="3416"/>
  <c r="AO211" i="3416"/>
  <c r="AN211" i="3416"/>
  <c r="AM211" i="3416"/>
  <c r="AL211" i="3416"/>
  <c r="AK211" i="3416"/>
  <c r="AJ211" i="3416"/>
  <c r="AI211" i="3416"/>
  <c r="AH211" i="3416"/>
  <c r="AG211" i="3416"/>
  <c r="AF211" i="3416"/>
  <c r="AE211" i="3416"/>
  <c r="AD211" i="3416"/>
  <c r="AC211" i="3416"/>
  <c r="AB211" i="3416"/>
  <c r="AA211" i="3416"/>
  <c r="Z211" i="3416"/>
  <c r="Y211" i="3416"/>
  <c r="X211" i="3416"/>
  <c r="W211" i="3416"/>
  <c r="V211" i="3416"/>
  <c r="U211" i="3416"/>
  <c r="T211" i="3416"/>
  <c r="S211" i="3416"/>
  <c r="R211" i="3416"/>
  <c r="Q211" i="3416"/>
  <c r="P211" i="3416"/>
  <c r="O211" i="3416"/>
  <c r="N211" i="3416"/>
  <c r="M211" i="3416"/>
  <c r="L211" i="3416"/>
  <c r="K211" i="3416"/>
  <c r="J211" i="3416"/>
  <c r="I211" i="3416"/>
  <c r="H211" i="3416"/>
  <c r="G211" i="3416"/>
  <c r="F211" i="3416"/>
  <c r="E211" i="3416"/>
  <c r="D211" i="3416"/>
  <c r="C211" i="3416" a="1"/>
  <c r="C211" i="3416"/>
  <c r="A211" i="3416"/>
  <c r="EM210" i="3416"/>
  <c r="EL210" i="3416"/>
  <c r="EK210" i="3416"/>
  <c r="EJ210" i="3416"/>
  <c r="EI210" i="3416"/>
  <c r="EH210" i="3416"/>
  <c r="EG210" i="3416"/>
  <c r="EF210" i="3416"/>
  <c r="EE210" i="3416"/>
  <c r="ED210" i="3416"/>
  <c r="EC210" i="3416"/>
  <c r="EB210" i="3416"/>
  <c r="EA210" i="3416"/>
  <c r="DZ210" i="3416"/>
  <c r="DY210" i="3416"/>
  <c r="DX210" i="3416"/>
  <c r="DW210" i="3416"/>
  <c r="DV210" i="3416"/>
  <c r="DU210" i="3416"/>
  <c r="DT210" i="3416"/>
  <c r="DS210" i="3416"/>
  <c r="DR210" i="3416"/>
  <c r="DQ210" i="3416"/>
  <c r="DP210" i="3416"/>
  <c r="DO210" i="3416"/>
  <c r="DN210" i="3416"/>
  <c r="DM210" i="3416"/>
  <c r="DL210" i="3416"/>
  <c r="DK210" i="3416"/>
  <c r="DJ210" i="3416"/>
  <c r="DI210" i="3416"/>
  <c r="DH210" i="3416"/>
  <c r="DG210" i="3416"/>
  <c r="DF210" i="3416"/>
  <c r="DE210" i="3416"/>
  <c r="DD210" i="3416"/>
  <c r="DC210" i="3416"/>
  <c r="DB210" i="3416"/>
  <c r="DA210" i="3416"/>
  <c r="CZ210" i="3416"/>
  <c r="CY210" i="3416"/>
  <c r="CX210" i="3416"/>
  <c r="CW210" i="3416"/>
  <c r="CV210" i="3416"/>
  <c r="CU210" i="3416"/>
  <c r="CT210" i="3416"/>
  <c r="CS210" i="3416"/>
  <c r="CR210" i="3416"/>
  <c r="CQ210" i="3416"/>
  <c r="CP210" i="3416"/>
  <c r="CO210" i="3416"/>
  <c r="CN210" i="3416"/>
  <c r="CM210" i="3416"/>
  <c r="CL210" i="3416"/>
  <c r="CK210" i="3416"/>
  <c r="CJ210" i="3416"/>
  <c r="CI210" i="3416"/>
  <c r="CH210" i="3416"/>
  <c r="CG210" i="3416"/>
  <c r="CF210" i="3416"/>
  <c r="CE210" i="3416"/>
  <c r="CD210" i="3416"/>
  <c r="CC210" i="3416"/>
  <c r="CB210" i="3416"/>
  <c r="CA210" i="3416"/>
  <c r="BZ210" i="3416"/>
  <c r="BY210" i="3416"/>
  <c r="BX210" i="3416"/>
  <c r="BW210" i="3416"/>
  <c r="BV210" i="3416"/>
  <c r="BU210" i="3416"/>
  <c r="BT210" i="3416"/>
  <c r="BS210" i="3416"/>
  <c r="BR210" i="3416"/>
  <c r="BQ210" i="3416"/>
  <c r="BP210" i="3416"/>
  <c r="BO210" i="3416"/>
  <c r="BN210" i="3416"/>
  <c r="BM210" i="3416"/>
  <c r="BL210" i="3416"/>
  <c r="BK210" i="3416"/>
  <c r="BJ210" i="3416"/>
  <c r="BI210" i="3416"/>
  <c r="BH210" i="3416"/>
  <c r="BG210" i="3416"/>
  <c r="BF210" i="3416"/>
  <c r="BE210" i="3416"/>
  <c r="BD210" i="3416"/>
  <c r="BC210" i="3416"/>
  <c r="BB210" i="3416"/>
  <c r="BA210" i="3416"/>
  <c r="AZ210" i="3416"/>
  <c r="AY210" i="3416"/>
  <c r="AX210" i="3416"/>
  <c r="AW210" i="3416"/>
  <c r="AV210" i="3416"/>
  <c r="AU210" i="3416"/>
  <c r="AT210" i="3416"/>
  <c r="AS210" i="3416"/>
  <c r="AR210" i="3416"/>
  <c r="AQ210" i="3416"/>
  <c r="AP210" i="3416"/>
  <c r="AO210" i="3416"/>
  <c r="AN210" i="3416"/>
  <c r="AM210" i="3416"/>
  <c r="AL210" i="3416"/>
  <c r="AK210" i="3416"/>
  <c r="AJ210" i="3416"/>
  <c r="AI210" i="3416"/>
  <c r="AH210" i="3416"/>
  <c r="AG210" i="3416"/>
  <c r="AF210" i="3416"/>
  <c r="AE210" i="3416"/>
  <c r="AD210" i="3416"/>
  <c r="AC210" i="3416"/>
  <c r="AB210" i="3416"/>
  <c r="AA210" i="3416"/>
  <c r="Z210" i="3416"/>
  <c r="Y210" i="3416"/>
  <c r="X210" i="3416"/>
  <c r="W210" i="3416"/>
  <c r="V210" i="3416"/>
  <c r="U210" i="3416"/>
  <c r="T210" i="3416"/>
  <c r="S210" i="3416"/>
  <c r="R210" i="3416"/>
  <c r="Q210" i="3416"/>
  <c r="P210" i="3416"/>
  <c r="O210" i="3416"/>
  <c r="N210" i="3416"/>
  <c r="M210" i="3416"/>
  <c r="L210" i="3416"/>
  <c r="K210" i="3416"/>
  <c r="J210" i="3416"/>
  <c r="I210" i="3416"/>
  <c r="H210" i="3416"/>
  <c r="G210" i="3416"/>
  <c r="F210" i="3416"/>
  <c r="E210" i="3416"/>
  <c r="D210" i="3416"/>
  <c r="C210" i="3416" a="1"/>
  <c r="C210" i="3416"/>
  <c r="A210" i="3416"/>
  <c r="EM209" i="3416"/>
  <c r="EL209" i="3416"/>
  <c r="EK209" i="3416"/>
  <c r="EJ209" i="3416"/>
  <c r="EI209" i="3416"/>
  <c r="EH209" i="3416"/>
  <c r="EG209" i="3416"/>
  <c r="EF209" i="3416"/>
  <c r="EE209" i="3416"/>
  <c r="ED209" i="3416"/>
  <c r="EC209" i="3416"/>
  <c r="EB209" i="3416"/>
  <c r="EA209" i="3416"/>
  <c r="DZ209" i="3416"/>
  <c r="DY209" i="3416"/>
  <c r="DX209" i="3416"/>
  <c r="DW209" i="3416"/>
  <c r="DV209" i="3416"/>
  <c r="DU209" i="3416"/>
  <c r="DT209" i="3416"/>
  <c r="DS209" i="3416"/>
  <c r="DR209" i="3416"/>
  <c r="DQ209" i="3416"/>
  <c r="DP209" i="3416"/>
  <c r="DO209" i="3416"/>
  <c r="DN209" i="3416"/>
  <c r="DM209" i="3416"/>
  <c r="DL209" i="3416"/>
  <c r="DK209" i="3416"/>
  <c r="DJ209" i="3416"/>
  <c r="DI209" i="3416"/>
  <c r="DH209" i="3416"/>
  <c r="DG209" i="3416"/>
  <c r="DF209" i="3416"/>
  <c r="DE209" i="3416"/>
  <c r="DD209" i="3416"/>
  <c r="DC209" i="3416"/>
  <c r="DB209" i="3416"/>
  <c r="DA209" i="3416"/>
  <c r="CZ209" i="3416"/>
  <c r="CY209" i="3416"/>
  <c r="CX209" i="3416"/>
  <c r="CW209" i="3416"/>
  <c r="CV209" i="3416"/>
  <c r="CU209" i="3416"/>
  <c r="CT209" i="3416"/>
  <c r="CS209" i="3416"/>
  <c r="CR209" i="3416"/>
  <c r="CQ209" i="3416"/>
  <c r="CP209" i="3416"/>
  <c r="CO209" i="3416"/>
  <c r="CN209" i="3416"/>
  <c r="CM209" i="3416"/>
  <c r="CL209" i="3416"/>
  <c r="CK209" i="3416"/>
  <c r="CJ209" i="3416"/>
  <c r="CI209" i="3416"/>
  <c r="CH209" i="3416"/>
  <c r="CG209" i="3416"/>
  <c r="CF209" i="3416"/>
  <c r="CE209" i="3416"/>
  <c r="CD209" i="3416"/>
  <c r="CC209" i="3416"/>
  <c r="CB209" i="3416"/>
  <c r="CA209" i="3416"/>
  <c r="BZ209" i="3416"/>
  <c r="BY209" i="3416"/>
  <c r="BX209" i="3416"/>
  <c r="BW209" i="3416"/>
  <c r="BV209" i="3416"/>
  <c r="BU209" i="3416"/>
  <c r="BT209" i="3416"/>
  <c r="BS209" i="3416"/>
  <c r="BR209" i="3416"/>
  <c r="BQ209" i="3416"/>
  <c r="BP209" i="3416"/>
  <c r="BO209" i="3416"/>
  <c r="BN209" i="3416"/>
  <c r="BM209" i="3416"/>
  <c r="BL209" i="3416"/>
  <c r="BK209" i="3416"/>
  <c r="BJ209" i="3416"/>
  <c r="BI209" i="3416"/>
  <c r="BH209" i="3416"/>
  <c r="BG209" i="3416"/>
  <c r="BF209" i="3416"/>
  <c r="BE209" i="3416"/>
  <c r="BD209" i="3416"/>
  <c r="BC209" i="3416"/>
  <c r="BB209" i="3416"/>
  <c r="BA209" i="3416"/>
  <c r="AZ209" i="3416"/>
  <c r="AY209" i="3416"/>
  <c r="AX209" i="3416"/>
  <c r="AW209" i="3416"/>
  <c r="AV209" i="3416"/>
  <c r="AU209" i="3416"/>
  <c r="AT209" i="3416"/>
  <c r="AS209" i="3416"/>
  <c r="AR209" i="3416"/>
  <c r="AQ209" i="3416"/>
  <c r="AP209" i="3416"/>
  <c r="AO209" i="3416"/>
  <c r="AN209" i="3416"/>
  <c r="AM209" i="3416"/>
  <c r="AL209" i="3416"/>
  <c r="AK209" i="3416"/>
  <c r="AJ209" i="3416"/>
  <c r="AI209" i="3416"/>
  <c r="AH209" i="3416"/>
  <c r="AG209" i="3416"/>
  <c r="AF209" i="3416"/>
  <c r="AE209" i="3416"/>
  <c r="AD209" i="3416"/>
  <c r="AC209" i="3416"/>
  <c r="AB209" i="3416"/>
  <c r="AA209" i="3416"/>
  <c r="Z209" i="3416"/>
  <c r="Y209" i="3416"/>
  <c r="X209" i="3416"/>
  <c r="W209" i="3416"/>
  <c r="V209" i="3416"/>
  <c r="U209" i="3416"/>
  <c r="T209" i="3416"/>
  <c r="S209" i="3416"/>
  <c r="R209" i="3416"/>
  <c r="Q209" i="3416"/>
  <c r="P209" i="3416"/>
  <c r="O209" i="3416"/>
  <c r="N209" i="3416"/>
  <c r="M209" i="3416"/>
  <c r="L209" i="3416"/>
  <c r="K209" i="3416"/>
  <c r="J209" i="3416"/>
  <c r="I209" i="3416"/>
  <c r="H209" i="3416"/>
  <c r="G209" i="3416"/>
  <c r="F209" i="3416"/>
  <c r="E209" i="3416"/>
  <c r="D209" i="3416"/>
  <c r="C209" i="3416" a="1"/>
  <c r="C209" i="3416"/>
  <c r="A209" i="3416"/>
  <c r="EM208" i="3416"/>
  <c r="EL208" i="3416"/>
  <c r="EK208" i="3416"/>
  <c r="EJ208" i="3416"/>
  <c r="EI208" i="3416"/>
  <c r="EH208" i="3416"/>
  <c r="EG208" i="3416"/>
  <c r="EF208" i="3416"/>
  <c r="EE208" i="3416"/>
  <c r="ED208" i="3416"/>
  <c r="EC208" i="3416"/>
  <c r="EB208" i="3416"/>
  <c r="EA208" i="3416"/>
  <c r="DZ208" i="3416"/>
  <c r="DY208" i="3416"/>
  <c r="DX208" i="3416"/>
  <c r="DW208" i="3416"/>
  <c r="DV208" i="3416"/>
  <c r="DU208" i="3416"/>
  <c r="DT208" i="3416"/>
  <c r="DS208" i="3416"/>
  <c r="DR208" i="3416"/>
  <c r="DQ208" i="3416"/>
  <c r="DP208" i="3416"/>
  <c r="DO208" i="3416"/>
  <c r="DN208" i="3416"/>
  <c r="DM208" i="3416"/>
  <c r="DL208" i="3416"/>
  <c r="DK208" i="3416"/>
  <c r="DJ208" i="3416"/>
  <c r="DI208" i="3416"/>
  <c r="DH208" i="3416"/>
  <c r="DG208" i="3416"/>
  <c r="DF208" i="3416"/>
  <c r="DE208" i="3416"/>
  <c r="DD208" i="3416"/>
  <c r="DC208" i="3416"/>
  <c r="DB208" i="3416"/>
  <c r="DA208" i="3416"/>
  <c r="CZ208" i="3416"/>
  <c r="CY208" i="3416"/>
  <c r="CX208" i="3416"/>
  <c r="CW208" i="3416"/>
  <c r="CV208" i="3416"/>
  <c r="CU208" i="3416"/>
  <c r="CT208" i="3416"/>
  <c r="CS208" i="3416"/>
  <c r="CR208" i="3416"/>
  <c r="CQ208" i="3416"/>
  <c r="CP208" i="3416"/>
  <c r="CO208" i="3416"/>
  <c r="CN208" i="3416"/>
  <c r="CM208" i="3416"/>
  <c r="CL208" i="3416"/>
  <c r="CK208" i="3416"/>
  <c r="CJ208" i="3416"/>
  <c r="CI208" i="3416"/>
  <c r="CH208" i="3416"/>
  <c r="CG208" i="3416"/>
  <c r="CF208" i="3416"/>
  <c r="CE208" i="3416"/>
  <c r="CD208" i="3416"/>
  <c r="CC208" i="3416"/>
  <c r="CB208" i="3416"/>
  <c r="CA208" i="3416"/>
  <c r="BZ208" i="3416"/>
  <c r="BY208" i="3416"/>
  <c r="BX208" i="3416"/>
  <c r="BW208" i="3416"/>
  <c r="BV208" i="3416"/>
  <c r="BU208" i="3416"/>
  <c r="BT208" i="3416"/>
  <c r="BS208" i="3416"/>
  <c r="BR208" i="3416"/>
  <c r="BQ208" i="3416"/>
  <c r="BP208" i="3416"/>
  <c r="BO208" i="3416"/>
  <c r="BN208" i="3416"/>
  <c r="BM208" i="3416"/>
  <c r="BL208" i="3416"/>
  <c r="BK208" i="3416"/>
  <c r="BJ208" i="3416"/>
  <c r="BI208" i="3416"/>
  <c r="BH208" i="3416"/>
  <c r="BG208" i="3416"/>
  <c r="BF208" i="3416"/>
  <c r="BE208" i="3416"/>
  <c r="BD208" i="3416"/>
  <c r="BC208" i="3416"/>
  <c r="BB208" i="3416"/>
  <c r="BA208" i="3416"/>
  <c r="AZ208" i="3416"/>
  <c r="AY208" i="3416"/>
  <c r="AX208" i="3416"/>
  <c r="AW208" i="3416"/>
  <c r="AV208" i="3416"/>
  <c r="AU208" i="3416"/>
  <c r="AT208" i="3416"/>
  <c r="AS208" i="3416"/>
  <c r="AR208" i="3416"/>
  <c r="AQ208" i="3416"/>
  <c r="AP208" i="3416"/>
  <c r="AO208" i="3416"/>
  <c r="AN208" i="3416"/>
  <c r="AM208" i="3416"/>
  <c r="AL208" i="3416"/>
  <c r="AK208" i="3416"/>
  <c r="AJ208" i="3416"/>
  <c r="AI208" i="3416"/>
  <c r="AH208" i="3416"/>
  <c r="AG208" i="3416"/>
  <c r="AF208" i="3416"/>
  <c r="AE208" i="3416"/>
  <c r="AD208" i="3416"/>
  <c r="AC208" i="3416"/>
  <c r="AB208" i="3416"/>
  <c r="AA208" i="3416"/>
  <c r="Z208" i="3416"/>
  <c r="Y208" i="3416"/>
  <c r="X208" i="3416"/>
  <c r="W208" i="3416"/>
  <c r="V208" i="3416"/>
  <c r="U208" i="3416"/>
  <c r="T208" i="3416"/>
  <c r="S208" i="3416"/>
  <c r="R208" i="3416"/>
  <c r="Q208" i="3416"/>
  <c r="P208" i="3416"/>
  <c r="O208" i="3416"/>
  <c r="N208" i="3416"/>
  <c r="M208" i="3416"/>
  <c r="L208" i="3416"/>
  <c r="K208" i="3416"/>
  <c r="J208" i="3416"/>
  <c r="I208" i="3416"/>
  <c r="H208" i="3416"/>
  <c r="G208" i="3416"/>
  <c r="F208" i="3416"/>
  <c r="E208" i="3416"/>
  <c r="D208" i="3416"/>
  <c r="C208" i="3416" a="1"/>
  <c r="C208" i="3416"/>
  <c r="A208" i="3416"/>
  <c r="EM207" i="3416"/>
  <c r="EL207" i="3416"/>
  <c r="EK207" i="3416"/>
  <c r="EJ207" i="3416"/>
  <c r="EI207" i="3416"/>
  <c r="EH207" i="3416"/>
  <c r="EG207" i="3416"/>
  <c r="EF207" i="3416"/>
  <c r="EE207" i="3416"/>
  <c r="ED207" i="3416"/>
  <c r="EC207" i="3416"/>
  <c r="EB207" i="3416"/>
  <c r="EA207" i="3416"/>
  <c r="DZ207" i="3416"/>
  <c r="DY207" i="3416"/>
  <c r="DX207" i="3416"/>
  <c r="DW207" i="3416"/>
  <c r="DV207" i="3416"/>
  <c r="DU207" i="3416"/>
  <c r="DT207" i="3416"/>
  <c r="DS207" i="3416"/>
  <c r="DR207" i="3416"/>
  <c r="DQ207" i="3416"/>
  <c r="DP207" i="3416"/>
  <c r="DO207" i="3416"/>
  <c r="DN207" i="3416"/>
  <c r="DM207" i="3416"/>
  <c r="DL207" i="3416"/>
  <c r="DK207" i="3416"/>
  <c r="DJ207" i="3416"/>
  <c r="DI207" i="3416"/>
  <c r="DH207" i="3416"/>
  <c r="DG207" i="3416"/>
  <c r="DF207" i="3416"/>
  <c r="DE207" i="3416"/>
  <c r="DD207" i="3416"/>
  <c r="DC207" i="3416"/>
  <c r="DB207" i="3416"/>
  <c r="DA207" i="3416"/>
  <c r="CZ207" i="3416"/>
  <c r="CY207" i="3416"/>
  <c r="CX207" i="3416"/>
  <c r="CW207" i="3416"/>
  <c r="CV207" i="3416"/>
  <c r="CU207" i="3416"/>
  <c r="CT207" i="3416"/>
  <c r="CS207" i="3416"/>
  <c r="CR207" i="3416"/>
  <c r="CQ207" i="3416"/>
  <c r="CP207" i="3416"/>
  <c r="CO207" i="3416"/>
  <c r="CN207" i="3416"/>
  <c r="CM207" i="3416"/>
  <c r="CL207" i="3416"/>
  <c r="CK207" i="3416"/>
  <c r="CJ207" i="3416"/>
  <c r="CI207" i="3416"/>
  <c r="CH207" i="3416"/>
  <c r="CG207" i="3416"/>
  <c r="CF207" i="3416"/>
  <c r="CE207" i="3416"/>
  <c r="CD207" i="3416"/>
  <c r="CC207" i="3416"/>
  <c r="CB207" i="3416"/>
  <c r="CA207" i="3416"/>
  <c r="BZ207" i="3416"/>
  <c r="BY207" i="3416"/>
  <c r="BX207" i="3416"/>
  <c r="BW207" i="3416"/>
  <c r="BV207" i="3416"/>
  <c r="BU207" i="3416"/>
  <c r="BT207" i="3416"/>
  <c r="BS207" i="3416"/>
  <c r="BR207" i="3416"/>
  <c r="BQ207" i="3416"/>
  <c r="BP207" i="3416"/>
  <c r="BO207" i="3416"/>
  <c r="BN207" i="3416"/>
  <c r="BM207" i="3416"/>
  <c r="BL207" i="3416"/>
  <c r="BK207" i="3416"/>
  <c r="BJ207" i="3416"/>
  <c r="BI207" i="3416"/>
  <c r="BH207" i="3416"/>
  <c r="BG207" i="3416"/>
  <c r="BF207" i="3416"/>
  <c r="BE207" i="3416"/>
  <c r="BD207" i="3416"/>
  <c r="BC207" i="3416"/>
  <c r="BB207" i="3416"/>
  <c r="BA207" i="3416"/>
  <c r="AZ207" i="3416"/>
  <c r="AY207" i="3416"/>
  <c r="AX207" i="3416"/>
  <c r="AW207" i="3416"/>
  <c r="AV207" i="3416"/>
  <c r="AU207" i="3416"/>
  <c r="AT207" i="3416"/>
  <c r="AS207" i="3416"/>
  <c r="AR207" i="3416"/>
  <c r="AQ207" i="3416"/>
  <c r="AP207" i="3416"/>
  <c r="AO207" i="3416"/>
  <c r="AN207" i="3416"/>
  <c r="AM207" i="3416"/>
  <c r="AL207" i="3416"/>
  <c r="AK207" i="3416"/>
  <c r="AJ207" i="3416"/>
  <c r="AI207" i="3416"/>
  <c r="AH207" i="3416"/>
  <c r="AG207" i="3416"/>
  <c r="AF207" i="3416"/>
  <c r="AE207" i="3416"/>
  <c r="AD207" i="3416"/>
  <c r="AC207" i="3416"/>
  <c r="AB207" i="3416"/>
  <c r="AA207" i="3416"/>
  <c r="Z207" i="3416"/>
  <c r="Y207" i="3416"/>
  <c r="X207" i="3416"/>
  <c r="W207" i="3416"/>
  <c r="V207" i="3416"/>
  <c r="U207" i="3416"/>
  <c r="T207" i="3416"/>
  <c r="S207" i="3416"/>
  <c r="R207" i="3416"/>
  <c r="Q207" i="3416"/>
  <c r="P207" i="3416"/>
  <c r="O207" i="3416"/>
  <c r="N207" i="3416"/>
  <c r="M207" i="3416"/>
  <c r="L207" i="3416"/>
  <c r="K207" i="3416"/>
  <c r="J207" i="3416"/>
  <c r="I207" i="3416"/>
  <c r="H207" i="3416"/>
  <c r="G207" i="3416"/>
  <c r="F207" i="3416"/>
  <c r="E207" i="3416"/>
  <c r="D207" i="3416"/>
  <c r="C207" i="3416" a="1"/>
  <c r="C207" i="3416"/>
  <c r="A207" i="3416"/>
  <c r="EM206" i="3416"/>
  <c r="EL206" i="3416"/>
  <c r="EK206" i="3416"/>
  <c r="EJ206" i="3416"/>
  <c r="EI206" i="3416"/>
  <c r="EH206" i="3416"/>
  <c r="EG206" i="3416"/>
  <c r="EF206" i="3416"/>
  <c r="EE206" i="3416"/>
  <c r="ED206" i="3416"/>
  <c r="EC206" i="3416"/>
  <c r="EB206" i="3416"/>
  <c r="EA206" i="3416"/>
  <c r="DZ206" i="3416"/>
  <c r="DY206" i="3416"/>
  <c r="DX206" i="3416"/>
  <c r="DW206" i="3416"/>
  <c r="DV206" i="3416"/>
  <c r="DU206" i="3416"/>
  <c r="DT206" i="3416"/>
  <c r="DS206" i="3416"/>
  <c r="DR206" i="3416"/>
  <c r="DQ206" i="3416"/>
  <c r="DP206" i="3416"/>
  <c r="DO206" i="3416"/>
  <c r="DN206" i="3416"/>
  <c r="DM206" i="3416"/>
  <c r="DL206" i="3416"/>
  <c r="DK206" i="3416"/>
  <c r="DJ206" i="3416"/>
  <c r="DI206" i="3416"/>
  <c r="DH206" i="3416"/>
  <c r="DG206" i="3416"/>
  <c r="DF206" i="3416"/>
  <c r="DE206" i="3416"/>
  <c r="DD206" i="3416"/>
  <c r="DC206" i="3416"/>
  <c r="DB206" i="3416"/>
  <c r="DA206" i="3416"/>
  <c r="CZ206" i="3416"/>
  <c r="CY206" i="3416"/>
  <c r="CX206" i="3416"/>
  <c r="CW206" i="3416"/>
  <c r="CV206" i="3416"/>
  <c r="CU206" i="3416"/>
  <c r="CT206" i="3416"/>
  <c r="CS206" i="3416"/>
  <c r="CR206" i="3416"/>
  <c r="CQ206" i="3416"/>
  <c r="CP206" i="3416"/>
  <c r="CO206" i="3416"/>
  <c r="CN206" i="3416"/>
  <c r="CM206" i="3416"/>
  <c r="CL206" i="3416"/>
  <c r="CK206" i="3416"/>
  <c r="CJ206" i="3416"/>
  <c r="CI206" i="3416"/>
  <c r="CH206" i="3416"/>
  <c r="CG206" i="3416"/>
  <c r="CF206" i="3416"/>
  <c r="CE206" i="3416"/>
  <c r="CD206" i="3416"/>
  <c r="CC206" i="3416"/>
  <c r="CB206" i="3416"/>
  <c r="CA206" i="3416"/>
  <c r="BZ206" i="3416"/>
  <c r="BY206" i="3416"/>
  <c r="BX206" i="3416"/>
  <c r="BW206" i="3416"/>
  <c r="BV206" i="3416"/>
  <c r="BU206" i="3416"/>
  <c r="BT206" i="3416"/>
  <c r="BS206" i="3416"/>
  <c r="BR206" i="3416"/>
  <c r="BQ206" i="3416"/>
  <c r="BP206" i="3416"/>
  <c r="BO206" i="3416"/>
  <c r="BN206" i="3416"/>
  <c r="BM206" i="3416"/>
  <c r="BL206" i="3416"/>
  <c r="BK206" i="3416"/>
  <c r="BJ206" i="3416"/>
  <c r="BI206" i="3416"/>
  <c r="BH206" i="3416"/>
  <c r="BG206" i="3416"/>
  <c r="BF206" i="3416"/>
  <c r="BE206" i="3416"/>
  <c r="BD206" i="3416"/>
  <c r="BC206" i="3416"/>
  <c r="BB206" i="3416"/>
  <c r="BA206" i="3416"/>
  <c r="AZ206" i="3416"/>
  <c r="AY206" i="3416"/>
  <c r="AX206" i="3416"/>
  <c r="AW206" i="3416"/>
  <c r="AV206" i="3416"/>
  <c r="AU206" i="3416"/>
  <c r="AT206" i="3416"/>
  <c r="AS206" i="3416"/>
  <c r="AR206" i="3416"/>
  <c r="AQ206" i="3416"/>
  <c r="AP206" i="3416"/>
  <c r="AO206" i="3416"/>
  <c r="AN206" i="3416"/>
  <c r="AM206" i="3416"/>
  <c r="AL206" i="3416"/>
  <c r="AK206" i="3416"/>
  <c r="AJ206" i="3416"/>
  <c r="AI206" i="3416"/>
  <c r="AH206" i="3416"/>
  <c r="AG206" i="3416"/>
  <c r="AF206" i="3416"/>
  <c r="AE206" i="3416"/>
  <c r="AD206" i="3416"/>
  <c r="AC206" i="3416"/>
  <c r="AB206" i="3416"/>
  <c r="AA206" i="3416"/>
  <c r="Z206" i="3416"/>
  <c r="Y206" i="3416"/>
  <c r="X206" i="3416"/>
  <c r="W206" i="3416"/>
  <c r="V206" i="3416"/>
  <c r="U206" i="3416"/>
  <c r="T206" i="3416"/>
  <c r="S206" i="3416"/>
  <c r="R206" i="3416"/>
  <c r="Q206" i="3416"/>
  <c r="P206" i="3416"/>
  <c r="O206" i="3416"/>
  <c r="N206" i="3416"/>
  <c r="M206" i="3416"/>
  <c r="L206" i="3416"/>
  <c r="K206" i="3416"/>
  <c r="J206" i="3416"/>
  <c r="I206" i="3416"/>
  <c r="H206" i="3416"/>
  <c r="G206" i="3416"/>
  <c r="F206" i="3416"/>
  <c r="E206" i="3416"/>
  <c r="D206" i="3416"/>
  <c r="C206" i="3416" a="1"/>
  <c r="C206" i="3416"/>
  <c r="A206" i="3416"/>
  <c r="EM205" i="3416"/>
  <c r="EL205" i="3416"/>
  <c r="EK205" i="3416"/>
  <c r="EJ205" i="3416"/>
  <c r="EI205" i="3416"/>
  <c r="EH205" i="3416"/>
  <c r="EG205" i="3416"/>
  <c r="EF205" i="3416"/>
  <c r="EE205" i="3416"/>
  <c r="ED205" i="3416"/>
  <c r="EC205" i="3416"/>
  <c r="EB205" i="3416"/>
  <c r="EA205" i="3416"/>
  <c r="DZ205" i="3416"/>
  <c r="DY205" i="3416"/>
  <c r="DX205" i="3416"/>
  <c r="DW205" i="3416"/>
  <c r="DV205" i="3416"/>
  <c r="DU205" i="3416"/>
  <c r="DT205" i="3416"/>
  <c r="DS205" i="3416"/>
  <c r="DR205" i="3416"/>
  <c r="DQ205" i="3416"/>
  <c r="DP205" i="3416"/>
  <c r="DO205" i="3416"/>
  <c r="DN205" i="3416"/>
  <c r="DM205" i="3416"/>
  <c r="DL205" i="3416"/>
  <c r="DK205" i="3416"/>
  <c r="DJ205" i="3416"/>
  <c r="DI205" i="3416"/>
  <c r="DH205" i="3416"/>
  <c r="DG205" i="3416"/>
  <c r="DF205" i="3416"/>
  <c r="DE205" i="3416"/>
  <c r="DD205" i="3416"/>
  <c r="DC205" i="3416"/>
  <c r="DB205" i="3416"/>
  <c r="DA205" i="3416"/>
  <c r="CZ205" i="3416"/>
  <c r="CY205" i="3416"/>
  <c r="CX205" i="3416"/>
  <c r="CW205" i="3416"/>
  <c r="CV205" i="3416"/>
  <c r="CU205" i="3416"/>
  <c r="CT205" i="3416"/>
  <c r="CS205" i="3416"/>
  <c r="CR205" i="3416"/>
  <c r="CQ205" i="3416"/>
  <c r="CP205" i="3416"/>
  <c r="CO205" i="3416"/>
  <c r="CN205" i="3416"/>
  <c r="CM205" i="3416"/>
  <c r="CL205" i="3416"/>
  <c r="CK205" i="3416"/>
  <c r="CJ205" i="3416"/>
  <c r="CI205" i="3416"/>
  <c r="CH205" i="3416"/>
  <c r="CG205" i="3416"/>
  <c r="CF205" i="3416"/>
  <c r="CE205" i="3416"/>
  <c r="CD205" i="3416"/>
  <c r="CC205" i="3416"/>
  <c r="CB205" i="3416"/>
  <c r="CA205" i="3416"/>
  <c r="BZ205" i="3416"/>
  <c r="BY205" i="3416"/>
  <c r="BX205" i="3416"/>
  <c r="BW205" i="3416"/>
  <c r="BV205" i="3416"/>
  <c r="BU205" i="3416"/>
  <c r="BT205" i="3416"/>
  <c r="BS205" i="3416"/>
  <c r="BR205" i="3416"/>
  <c r="BQ205" i="3416"/>
  <c r="BP205" i="3416"/>
  <c r="BO205" i="3416"/>
  <c r="BN205" i="3416"/>
  <c r="BM205" i="3416"/>
  <c r="BL205" i="3416"/>
  <c r="BK205" i="3416"/>
  <c r="BJ205" i="3416"/>
  <c r="BI205" i="3416"/>
  <c r="BH205" i="3416"/>
  <c r="BG205" i="3416"/>
  <c r="BF205" i="3416"/>
  <c r="BE205" i="3416"/>
  <c r="BD205" i="3416"/>
  <c r="BC205" i="3416"/>
  <c r="BB205" i="3416"/>
  <c r="BA205" i="3416"/>
  <c r="AZ205" i="3416"/>
  <c r="AY205" i="3416"/>
  <c r="AX205" i="3416"/>
  <c r="AW205" i="3416"/>
  <c r="AV205" i="3416"/>
  <c r="AU205" i="3416"/>
  <c r="AT205" i="3416"/>
  <c r="AS205" i="3416"/>
  <c r="AR205" i="3416"/>
  <c r="AQ205" i="3416"/>
  <c r="AP205" i="3416"/>
  <c r="AO205" i="3416"/>
  <c r="AN205" i="3416"/>
  <c r="AM205" i="3416"/>
  <c r="AL205" i="3416"/>
  <c r="AK205" i="3416"/>
  <c r="AJ205" i="3416"/>
  <c r="AI205" i="3416"/>
  <c r="AH205" i="3416"/>
  <c r="AG205" i="3416"/>
  <c r="AF205" i="3416"/>
  <c r="AE205" i="3416"/>
  <c r="AD205" i="3416"/>
  <c r="AC205" i="3416"/>
  <c r="AB205" i="3416"/>
  <c r="AA205" i="3416"/>
  <c r="Z205" i="3416"/>
  <c r="Y205" i="3416"/>
  <c r="X205" i="3416"/>
  <c r="W205" i="3416"/>
  <c r="V205" i="3416"/>
  <c r="U205" i="3416"/>
  <c r="T205" i="3416"/>
  <c r="S205" i="3416"/>
  <c r="R205" i="3416"/>
  <c r="Q205" i="3416"/>
  <c r="P205" i="3416"/>
  <c r="O205" i="3416"/>
  <c r="N205" i="3416"/>
  <c r="M205" i="3416"/>
  <c r="L205" i="3416"/>
  <c r="K205" i="3416"/>
  <c r="J205" i="3416"/>
  <c r="I205" i="3416"/>
  <c r="H205" i="3416"/>
  <c r="G205" i="3416"/>
  <c r="F205" i="3416"/>
  <c r="E205" i="3416"/>
  <c r="D205" i="3416"/>
  <c r="C205" i="3416" a="1"/>
  <c r="C205" i="3416"/>
  <c r="A205" i="3416"/>
  <c r="EM204" i="3416"/>
  <c r="EL204" i="3416"/>
  <c r="EK204" i="3416"/>
  <c r="EJ204" i="3416"/>
  <c r="EI204" i="3416"/>
  <c r="EH204" i="3416"/>
  <c r="EG204" i="3416"/>
  <c r="EF204" i="3416"/>
  <c r="EE204" i="3416"/>
  <c r="ED204" i="3416"/>
  <c r="EC204" i="3416"/>
  <c r="EB204" i="3416"/>
  <c r="EA204" i="3416"/>
  <c r="DZ204" i="3416"/>
  <c r="DY204" i="3416"/>
  <c r="DX204" i="3416"/>
  <c r="DW204" i="3416"/>
  <c r="DV204" i="3416"/>
  <c r="DU204" i="3416"/>
  <c r="DT204" i="3416"/>
  <c r="DS204" i="3416"/>
  <c r="DR204" i="3416"/>
  <c r="DQ204" i="3416"/>
  <c r="DP204" i="3416"/>
  <c r="DO204" i="3416"/>
  <c r="DN204" i="3416"/>
  <c r="DM204" i="3416"/>
  <c r="DL204" i="3416"/>
  <c r="DK204" i="3416"/>
  <c r="DJ204" i="3416"/>
  <c r="DI204" i="3416"/>
  <c r="DH204" i="3416"/>
  <c r="DG204" i="3416"/>
  <c r="DF204" i="3416"/>
  <c r="DE204" i="3416"/>
  <c r="DD204" i="3416"/>
  <c r="DC204" i="3416"/>
  <c r="DB204" i="3416"/>
  <c r="DA204" i="3416"/>
  <c r="CZ204" i="3416"/>
  <c r="CY204" i="3416"/>
  <c r="CX204" i="3416"/>
  <c r="CW204" i="3416"/>
  <c r="CV204" i="3416"/>
  <c r="CU204" i="3416"/>
  <c r="CT204" i="3416"/>
  <c r="CS204" i="3416"/>
  <c r="CR204" i="3416"/>
  <c r="CQ204" i="3416"/>
  <c r="CP204" i="3416"/>
  <c r="CO204" i="3416"/>
  <c r="CN204" i="3416"/>
  <c r="CM204" i="3416"/>
  <c r="CL204" i="3416"/>
  <c r="CK204" i="3416"/>
  <c r="CJ204" i="3416"/>
  <c r="CI204" i="3416"/>
  <c r="CH204" i="3416"/>
  <c r="CG204" i="3416"/>
  <c r="CF204" i="3416"/>
  <c r="CE204" i="3416"/>
  <c r="CD204" i="3416"/>
  <c r="CC204" i="3416"/>
  <c r="CB204" i="3416"/>
  <c r="CA204" i="3416"/>
  <c r="BZ204" i="3416"/>
  <c r="BY204" i="3416"/>
  <c r="BX204" i="3416"/>
  <c r="BW204" i="3416"/>
  <c r="BV204" i="3416"/>
  <c r="BU204" i="3416"/>
  <c r="BT204" i="3416"/>
  <c r="BS204" i="3416"/>
  <c r="BR204" i="3416"/>
  <c r="BQ204" i="3416"/>
  <c r="BP204" i="3416"/>
  <c r="BO204" i="3416"/>
  <c r="BN204" i="3416"/>
  <c r="BM204" i="3416"/>
  <c r="BL204" i="3416"/>
  <c r="BK204" i="3416"/>
  <c r="BJ204" i="3416"/>
  <c r="BI204" i="3416"/>
  <c r="BH204" i="3416"/>
  <c r="BG204" i="3416"/>
  <c r="BF204" i="3416"/>
  <c r="BE204" i="3416"/>
  <c r="BD204" i="3416"/>
  <c r="BC204" i="3416"/>
  <c r="BB204" i="3416"/>
  <c r="BA204" i="3416"/>
  <c r="AZ204" i="3416"/>
  <c r="AY204" i="3416"/>
  <c r="AX204" i="3416"/>
  <c r="AW204" i="3416"/>
  <c r="AV204" i="3416"/>
  <c r="AU204" i="3416"/>
  <c r="AT204" i="3416"/>
  <c r="AS204" i="3416"/>
  <c r="AR204" i="3416"/>
  <c r="AQ204" i="3416"/>
  <c r="AP204" i="3416"/>
  <c r="AO204" i="3416"/>
  <c r="AN204" i="3416"/>
  <c r="AM204" i="3416"/>
  <c r="AL204" i="3416"/>
  <c r="AK204" i="3416"/>
  <c r="AJ204" i="3416"/>
  <c r="AI204" i="3416"/>
  <c r="AH204" i="3416"/>
  <c r="AG204" i="3416"/>
  <c r="AF204" i="3416"/>
  <c r="AE204" i="3416"/>
  <c r="AD204" i="3416"/>
  <c r="AC204" i="3416"/>
  <c r="AB204" i="3416"/>
  <c r="AA204" i="3416"/>
  <c r="Z204" i="3416"/>
  <c r="Y204" i="3416"/>
  <c r="X204" i="3416"/>
  <c r="W204" i="3416"/>
  <c r="V204" i="3416"/>
  <c r="U204" i="3416"/>
  <c r="T204" i="3416"/>
  <c r="S204" i="3416"/>
  <c r="R204" i="3416"/>
  <c r="Q204" i="3416"/>
  <c r="P204" i="3416"/>
  <c r="O204" i="3416"/>
  <c r="N204" i="3416"/>
  <c r="M204" i="3416"/>
  <c r="L204" i="3416"/>
  <c r="K204" i="3416"/>
  <c r="J204" i="3416"/>
  <c r="I204" i="3416"/>
  <c r="H204" i="3416"/>
  <c r="G204" i="3416"/>
  <c r="F204" i="3416"/>
  <c r="E204" i="3416"/>
  <c r="D204" i="3416"/>
  <c r="C204" i="3416" a="1"/>
  <c r="C204" i="3416"/>
  <c r="A204" i="3416"/>
  <c r="EM203" i="3416"/>
  <c r="EL203" i="3416"/>
  <c r="EK203" i="3416"/>
  <c r="EJ203" i="3416"/>
  <c r="EI203" i="3416"/>
  <c r="EH203" i="3416"/>
  <c r="EG203" i="3416"/>
  <c r="EF203" i="3416"/>
  <c r="EE203" i="3416"/>
  <c r="ED203" i="3416"/>
  <c r="EC203" i="3416"/>
  <c r="EB203" i="3416"/>
  <c r="EA203" i="3416"/>
  <c r="DZ203" i="3416"/>
  <c r="DY203" i="3416"/>
  <c r="DX203" i="3416"/>
  <c r="DW203" i="3416"/>
  <c r="DV203" i="3416"/>
  <c r="DU203" i="3416"/>
  <c r="DT203" i="3416"/>
  <c r="DS203" i="3416"/>
  <c r="DR203" i="3416"/>
  <c r="DQ203" i="3416"/>
  <c r="DP203" i="3416"/>
  <c r="DO203" i="3416"/>
  <c r="DN203" i="3416"/>
  <c r="DM203" i="3416"/>
  <c r="DL203" i="3416"/>
  <c r="DK203" i="3416"/>
  <c r="DJ203" i="3416"/>
  <c r="DI203" i="3416"/>
  <c r="DH203" i="3416"/>
  <c r="DG203" i="3416"/>
  <c r="DF203" i="3416"/>
  <c r="DE203" i="3416"/>
  <c r="DD203" i="3416"/>
  <c r="DC203" i="3416"/>
  <c r="DB203" i="3416"/>
  <c r="DA203" i="3416"/>
  <c r="CZ203" i="3416"/>
  <c r="CY203" i="3416"/>
  <c r="CX203" i="3416"/>
  <c r="CW203" i="3416"/>
  <c r="CV203" i="3416"/>
  <c r="CU203" i="3416"/>
  <c r="CT203" i="3416"/>
  <c r="CS203" i="3416"/>
  <c r="CR203" i="3416"/>
  <c r="CQ203" i="3416"/>
  <c r="CP203" i="3416"/>
  <c r="CO203" i="3416"/>
  <c r="CN203" i="3416"/>
  <c r="CM203" i="3416"/>
  <c r="CL203" i="3416"/>
  <c r="CK203" i="3416"/>
  <c r="CJ203" i="3416"/>
  <c r="CI203" i="3416"/>
  <c r="CH203" i="3416"/>
  <c r="CG203" i="3416"/>
  <c r="CF203" i="3416"/>
  <c r="CE203" i="3416"/>
  <c r="CD203" i="3416"/>
  <c r="CC203" i="3416"/>
  <c r="CB203" i="3416"/>
  <c r="CA203" i="3416"/>
  <c r="BZ203" i="3416"/>
  <c r="BY203" i="3416"/>
  <c r="BX203" i="3416"/>
  <c r="BW203" i="3416"/>
  <c r="BV203" i="3416"/>
  <c r="BU203" i="3416"/>
  <c r="BT203" i="3416"/>
  <c r="BS203" i="3416"/>
  <c r="BR203" i="3416"/>
  <c r="BQ203" i="3416"/>
  <c r="BP203" i="3416"/>
  <c r="BO203" i="3416"/>
  <c r="BN203" i="3416"/>
  <c r="BM203" i="3416"/>
  <c r="BL203" i="3416"/>
  <c r="BK203" i="3416"/>
  <c r="BJ203" i="3416"/>
  <c r="BI203" i="3416"/>
  <c r="BH203" i="3416"/>
  <c r="BG203" i="3416"/>
  <c r="BF203" i="3416"/>
  <c r="BE203" i="3416"/>
  <c r="BD203" i="3416"/>
  <c r="BC203" i="3416"/>
  <c r="BB203" i="3416"/>
  <c r="BA203" i="3416"/>
  <c r="AZ203" i="3416"/>
  <c r="AY203" i="3416"/>
  <c r="AX203" i="3416"/>
  <c r="AW203" i="3416"/>
  <c r="AV203" i="3416"/>
  <c r="AU203" i="3416"/>
  <c r="AT203" i="3416"/>
  <c r="AS203" i="3416"/>
  <c r="AR203" i="3416"/>
  <c r="AQ203" i="3416"/>
  <c r="AP203" i="3416"/>
  <c r="AO203" i="3416"/>
  <c r="AN203" i="3416"/>
  <c r="AM203" i="3416"/>
  <c r="AL203" i="3416"/>
  <c r="AK203" i="3416"/>
  <c r="AJ203" i="3416"/>
  <c r="AI203" i="3416"/>
  <c r="AH203" i="3416"/>
  <c r="AG203" i="3416"/>
  <c r="AF203" i="3416"/>
  <c r="AE203" i="3416"/>
  <c r="AD203" i="3416"/>
  <c r="AC203" i="3416"/>
  <c r="AB203" i="3416"/>
  <c r="AA203" i="3416"/>
  <c r="Z203" i="3416"/>
  <c r="Y203" i="3416"/>
  <c r="X203" i="3416"/>
  <c r="W203" i="3416"/>
  <c r="V203" i="3416"/>
  <c r="U203" i="3416"/>
  <c r="T203" i="3416"/>
  <c r="S203" i="3416"/>
  <c r="R203" i="3416"/>
  <c r="Q203" i="3416"/>
  <c r="P203" i="3416"/>
  <c r="O203" i="3416"/>
  <c r="N203" i="3416"/>
  <c r="M203" i="3416"/>
  <c r="L203" i="3416"/>
  <c r="K203" i="3416"/>
  <c r="J203" i="3416"/>
  <c r="I203" i="3416"/>
  <c r="H203" i="3416"/>
  <c r="G203" i="3416"/>
  <c r="F203" i="3416"/>
  <c r="E203" i="3416"/>
  <c r="D203" i="3416"/>
  <c r="C203" i="3416" a="1"/>
  <c r="C203" i="3416"/>
  <c r="A203" i="3416"/>
  <c r="EM202" i="3416"/>
  <c r="EL202" i="3416"/>
  <c r="EK202" i="3416"/>
  <c r="EJ202" i="3416"/>
  <c r="EI202" i="3416"/>
  <c r="EH202" i="3416"/>
  <c r="EG202" i="3416"/>
  <c r="EF202" i="3416"/>
  <c r="EE202" i="3416"/>
  <c r="ED202" i="3416"/>
  <c r="EC202" i="3416"/>
  <c r="EB202" i="3416"/>
  <c r="EA202" i="3416"/>
  <c r="DZ202" i="3416"/>
  <c r="DY202" i="3416"/>
  <c r="DX202" i="3416"/>
  <c r="DW202" i="3416"/>
  <c r="DV202" i="3416"/>
  <c r="DU202" i="3416"/>
  <c r="DT202" i="3416"/>
  <c r="DS202" i="3416"/>
  <c r="DR202" i="3416"/>
  <c r="DQ202" i="3416"/>
  <c r="DP202" i="3416"/>
  <c r="DO202" i="3416"/>
  <c r="DN202" i="3416"/>
  <c r="DM202" i="3416"/>
  <c r="DL202" i="3416"/>
  <c r="DK202" i="3416"/>
  <c r="DJ202" i="3416"/>
  <c r="DI202" i="3416"/>
  <c r="DH202" i="3416"/>
  <c r="DG202" i="3416"/>
  <c r="DF202" i="3416"/>
  <c r="DE202" i="3416"/>
  <c r="DD202" i="3416"/>
  <c r="DC202" i="3416"/>
  <c r="DB202" i="3416"/>
  <c r="DA202" i="3416"/>
  <c r="CZ202" i="3416"/>
  <c r="CY202" i="3416"/>
  <c r="CX202" i="3416"/>
  <c r="CW202" i="3416"/>
  <c r="CV202" i="3416"/>
  <c r="CU202" i="3416"/>
  <c r="CT202" i="3416"/>
  <c r="CS202" i="3416"/>
  <c r="CR202" i="3416"/>
  <c r="CQ202" i="3416"/>
  <c r="CP202" i="3416"/>
  <c r="CO202" i="3416"/>
  <c r="CN202" i="3416"/>
  <c r="CM202" i="3416"/>
  <c r="CL202" i="3416"/>
  <c r="CK202" i="3416"/>
  <c r="CJ202" i="3416"/>
  <c r="CI202" i="3416"/>
  <c r="CH202" i="3416"/>
  <c r="CG202" i="3416"/>
  <c r="CF202" i="3416"/>
  <c r="CE202" i="3416"/>
  <c r="CD202" i="3416"/>
  <c r="CC202" i="3416"/>
  <c r="CB202" i="3416"/>
  <c r="CA202" i="3416"/>
  <c r="BZ202" i="3416"/>
  <c r="BY202" i="3416"/>
  <c r="BX202" i="3416"/>
  <c r="BW202" i="3416"/>
  <c r="BV202" i="3416"/>
  <c r="BU202" i="3416"/>
  <c r="BT202" i="3416"/>
  <c r="BS202" i="3416"/>
  <c r="BR202" i="3416"/>
  <c r="BQ202" i="3416"/>
  <c r="BP202" i="3416"/>
  <c r="BO202" i="3416"/>
  <c r="BN202" i="3416"/>
  <c r="BM202" i="3416"/>
  <c r="BL202" i="3416"/>
  <c r="BK202" i="3416"/>
  <c r="BJ202" i="3416"/>
  <c r="BI202" i="3416"/>
  <c r="BH202" i="3416"/>
  <c r="BG202" i="3416"/>
  <c r="BF202" i="3416"/>
  <c r="BE202" i="3416"/>
  <c r="BD202" i="3416"/>
  <c r="BC202" i="3416"/>
  <c r="BB202" i="3416"/>
  <c r="BA202" i="3416"/>
  <c r="AZ202" i="3416"/>
  <c r="AY202" i="3416"/>
  <c r="AX202" i="3416"/>
  <c r="AW202" i="3416"/>
  <c r="AV202" i="3416"/>
  <c r="AU202" i="3416"/>
  <c r="AT202" i="3416"/>
  <c r="AS202" i="3416"/>
  <c r="AR202" i="3416"/>
  <c r="AQ202" i="3416"/>
  <c r="AP202" i="3416"/>
  <c r="AO202" i="3416"/>
  <c r="AN202" i="3416"/>
  <c r="AM202" i="3416"/>
  <c r="AL202" i="3416"/>
  <c r="AK202" i="3416"/>
  <c r="AJ202" i="3416"/>
  <c r="AI202" i="3416"/>
  <c r="AH202" i="3416"/>
  <c r="AG202" i="3416"/>
  <c r="AF202" i="3416"/>
  <c r="AE202" i="3416"/>
  <c r="AD202" i="3416"/>
  <c r="AC202" i="3416"/>
  <c r="AB202" i="3416"/>
  <c r="AA202" i="3416"/>
  <c r="Z202" i="3416"/>
  <c r="Y202" i="3416"/>
  <c r="X202" i="3416"/>
  <c r="W202" i="3416"/>
  <c r="V202" i="3416"/>
  <c r="U202" i="3416"/>
  <c r="T202" i="3416"/>
  <c r="S202" i="3416"/>
  <c r="R202" i="3416"/>
  <c r="Q202" i="3416"/>
  <c r="P202" i="3416"/>
  <c r="O202" i="3416"/>
  <c r="N202" i="3416"/>
  <c r="M202" i="3416"/>
  <c r="L202" i="3416"/>
  <c r="K202" i="3416"/>
  <c r="J202" i="3416"/>
  <c r="I202" i="3416"/>
  <c r="H202" i="3416"/>
  <c r="G202" i="3416"/>
  <c r="F202" i="3416"/>
  <c r="E202" i="3416"/>
  <c r="D202" i="3416"/>
  <c r="C202" i="3416" a="1"/>
  <c r="C202" i="3416"/>
  <c r="A202" i="3416"/>
  <c r="EM201" i="3416"/>
  <c r="EL201" i="3416"/>
  <c r="EK201" i="3416"/>
  <c r="EJ201" i="3416"/>
  <c r="EI201" i="3416"/>
  <c r="EH201" i="3416"/>
  <c r="EG201" i="3416"/>
  <c r="EF201" i="3416"/>
  <c r="EE201" i="3416"/>
  <c r="ED201" i="3416"/>
  <c r="EC201" i="3416"/>
  <c r="EB201" i="3416"/>
  <c r="EA201" i="3416"/>
  <c r="DZ201" i="3416"/>
  <c r="DY201" i="3416"/>
  <c r="DX201" i="3416"/>
  <c r="DW201" i="3416"/>
  <c r="DV201" i="3416"/>
  <c r="DU201" i="3416"/>
  <c r="DT201" i="3416"/>
  <c r="DS201" i="3416"/>
  <c r="DR201" i="3416"/>
  <c r="DQ201" i="3416"/>
  <c r="DP201" i="3416"/>
  <c r="DO201" i="3416"/>
  <c r="DN201" i="3416"/>
  <c r="DM201" i="3416"/>
  <c r="DL201" i="3416"/>
  <c r="DK201" i="3416"/>
  <c r="DJ201" i="3416"/>
  <c r="DI201" i="3416"/>
  <c r="DH201" i="3416"/>
  <c r="DG201" i="3416"/>
  <c r="DF201" i="3416"/>
  <c r="DE201" i="3416"/>
  <c r="DD201" i="3416"/>
  <c r="DC201" i="3416"/>
  <c r="DB201" i="3416"/>
  <c r="DA201" i="3416"/>
  <c r="CZ201" i="3416"/>
  <c r="CY201" i="3416"/>
  <c r="CX201" i="3416"/>
  <c r="CW201" i="3416"/>
  <c r="CV201" i="3416"/>
  <c r="CU201" i="3416"/>
  <c r="CT201" i="3416"/>
  <c r="CS201" i="3416"/>
  <c r="CR201" i="3416"/>
  <c r="CQ201" i="3416"/>
  <c r="CP201" i="3416"/>
  <c r="CO201" i="3416"/>
  <c r="CN201" i="3416"/>
  <c r="CM201" i="3416"/>
  <c r="CL201" i="3416"/>
  <c r="CK201" i="3416"/>
  <c r="CJ201" i="3416"/>
  <c r="CI201" i="3416"/>
  <c r="CH201" i="3416"/>
  <c r="CG201" i="3416"/>
  <c r="CF201" i="3416"/>
  <c r="CE201" i="3416"/>
  <c r="CD201" i="3416"/>
  <c r="CC201" i="3416"/>
  <c r="CB201" i="3416"/>
  <c r="CA201" i="3416"/>
  <c r="BZ201" i="3416"/>
  <c r="BY201" i="3416"/>
  <c r="BX201" i="3416"/>
  <c r="BW201" i="3416"/>
  <c r="BV201" i="3416"/>
  <c r="BU201" i="3416"/>
  <c r="BT201" i="3416"/>
  <c r="BS201" i="3416"/>
  <c r="BR201" i="3416"/>
  <c r="BQ201" i="3416"/>
  <c r="BP201" i="3416"/>
  <c r="BO201" i="3416"/>
  <c r="BN201" i="3416"/>
  <c r="BM201" i="3416"/>
  <c r="BL201" i="3416"/>
  <c r="BK201" i="3416"/>
  <c r="BJ201" i="3416"/>
  <c r="BI201" i="3416"/>
  <c r="BH201" i="3416"/>
  <c r="BG201" i="3416"/>
  <c r="BF201" i="3416"/>
  <c r="BE201" i="3416"/>
  <c r="BD201" i="3416"/>
  <c r="BC201" i="3416"/>
  <c r="BB201" i="3416"/>
  <c r="BA201" i="3416"/>
  <c r="AZ201" i="3416"/>
  <c r="AY201" i="3416"/>
  <c r="AX201" i="3416"/>
  <c r="AW201" i="3416"/>
  <c r="AV201" i="3416"/>
  <c r="AU201" i="3416"/>
  <c r="AT201" i="3416"/>
  <c r="AS201" i="3416"/>
  <c r="AR201" i="3416"/>
  <c r="AQ201" i="3416"/>
  <c r="AP201" i="3416"/>
  <c r="AO201" i="3416"/>
  <c r="AN201" i="3416"/>
  <c r="AM201" i="3416"/>
  <c r="AL201" i="3416"/>
  <c r="AK201" i="3416"/>
  <c r="AJ201" i="3416"/>
  <c r="AI201" i="3416"/>
  <c r="AH201" i="3416"/>
  <c r="AG201" i="3416"/>
  <c r="AF201" i="3416"/>
  <c r="AE201" i="3416"/>
  <c r="AD201" i="3416"/>
  <c r="AC201" i="3416"/>
  <c r="AB201" i="3416"/>
  <c r="AA201" i="3416"/>
  <c r="Z201" i="3416"/>
  <c r="Y201" i="3416"/>
  <c r="X201" i="3416"/>
  <c r="W201" i="3416"/>
  <c r="V201" i="3416"/>
  <c r="U201" i="3416"/>
  <c r="T201" i="3416"/>
  <c r="S201" i="3416"/>
  <c r="R201" i="3416"/>
  <c r="Q201" i="3416"/>
  <c r="P201" i="3416"/>
  <c r="O201" i="3416"/>
  <c r="N201" i="3416"/>
  <c r="M201" i="3416"/>
  <c r="L201" i="3416"/>
  <c r="K201" i="3416"/>
  <c r="J201" i="3416"/>
  <c r="I201" i="3416"/>
  <c r="H201" i="3416"/>
  <c r="G201" i="3416"/>
  <c r="F201" i="3416"/>
  <c r="E201" i="3416"/>
  <c r="D201" i="3416"/>
  <c r="C201" i="3416" a="1"/>
  <c r="C201" i="3416"/>
  <c r="A201" i="3416"/>
  <c r="EM200" i="3416"/>
  <c r="EL200" i="3416"/>
  <c r="EK200" i="3416"/>
  <c r="EJ200" i="3416"/>
  <c r="EI200" i="3416"/>
  <c r="EH200" i="3416"/>
  <c r="EG200" i="3416"/>
  <c r="EF200" i="3416"/>
  <c r="EE200" i="3416"/>
  <c r="ED200" i="3416"/>
  <c r="EC200" i="3416"/>
  <c r="EB200" i="3416"/>
  <c r="EA200" i="3416"/>
  <c r="DZ200" i="3416"/>
  <c r="DY200" i="3416"/>
  <c r="DX200" i="3416"/>
  <c r="DW200" i="3416"/>
  <c r="DV200" i="3416"/>
  <c r="DU200" i="3416"/>
  <c r="DT200" i="3416"/>
  <c r="DS200" i="3416"/>
  <c r="DR200" i="3416"/>
  <c r="DQ200" i="3416"/>
  <c r="DP200" i="3416"/>
  <c r="DO200" i="3416"/>
  <c r="DN200" i="3416"/>
  <c r="DM200" i="3416"/>
  <c r="DL200" i="3416"/>
  <c r="DK200" i="3416"/>
  <c r="DJ200" i="3416"/>
  <c r="DI200" i="3416"/>
  <c r="DH200" i="3416"/>
  <c r="DG200" i="3416"/>
  <c r="DF200" i="3416"/>
  <c r="DE200" i="3416"/>
  <c r="DD200" i="3416"/>
  <c r="DC200" i="3416"/>
  <c r="DB200" i="3416"/>
  <c r="DA200" i="3416"/>
  <c r="CZ200" i="3416"/>
  <c r="CY200" i="3416"/>
  <c r="CX200" i="3416"/>
  <c r="CW200" i="3416"/>
  <c r="CV200" i="3416"/>
  <c r="CU200" i="3416"/>
  <c r="CT200" i="3416"/>
  <c r="CS200" i="3416"/>
  <c r="CR200" i="3416"/>
  <c r="CQ200" i="3416"/>
  <c r="CP200" i="3416"/>
  <c r="CO200" i="3416"/>
  <c r="CN200" i="3416"/>
  <c r="CM200" i="3416"/>
  <c r="CL200" i="3416"/>
  <c r="CK200" i="3416"/>
  <c r="CJ200" i="3416"/>
  <c r="CI200" i="3416"/>
  <c r="CH200" i="3416"/>
  <c r="CG200" i="3416"/>
  <c r="CF200" i="3416"/>
  <c r="CE200" i="3416"/>
  <c r="CD200" i="3416"/>
  <c r="CC200" i="3416"/>
  <c r="CB200" i="3416"/>
  <c r="CA200" i="3416"/>
  <c r="BZ200" i="3416"/>
  <c r="BY200" i="3416"/>
  <c r="BX200" i="3416"/>
  <c r="BW200" i="3416"/>
  <c r="BV200" i="3416"/>
  <c r="BU200" i="3416"/>
  <c r="BT200" i="3416"/>
  <c r="BS200" i="3416"/>
  <c r="BR200" i="3416"/>
  <c r="BQ200" i="3416"/>
  <c r="BP200" i="3416"/>
  <c r="BO200" i="3416"/>
  <c r="BN200" i="3416"/>
  <c r="BM200" i="3416"/>
  <c r="BL200" i="3416"/>
  <c r="BK200" i="3416"/>
  <c r="BJ200" i="3416"/>
  <c r="BI200" i="3416"/>
  <c r="BH200" i="3416"/>
  <c r="BG200" i="3416"/>
  <c r="BF200" i="3416"/>
  <c r="BE200" i="3416"/>
  <c r="BD200" i="3416"/>
  <c r="BC200" i="3416"/>
  <c r="BB200" i="3416"/>
  <c r="BA200" i="3416"/>
  <c r="AZ200" i="3416"/>
  <c r="AY200" i="3416"/>
  <c r="AX200" i="3416"/>
  <c r="AW200" i="3416"/>
  <c r="AV200" i="3416"/>
  <c r="AU200" i="3416"/>
  <c r="AT200" i="3416"/>
  <c r="AS200" i="3416"/>
  <c r="AR200" i="3416"/>
  <c r="AQ200" i="3416"/>
  <c r="AP200" i="3416"/>
  <c r="AO200" i="3416"/>
  <c r="AN200" i="3416"/>
  <c r="AM200" i="3416"/>
  <c r="AL200" i="3416"/>
  <c r="AK200" i="3416"/>
  <c r="AJ200" i="3416"/>
  <c r="AI200" i="3416"/>
  <c r="AH200" i="3416"/>
  <c r="AG200" i="3416"/>
  <c r="AF200" i="3416"/>
  <c r="AE200" i="3416"/>
  <c r="AD200" i="3416"/>
  <c r="AC200" i="3416"/>
  <c r="AB200" i="3416"/>
  <c r="AA200" i="3416"/>
  <c r="Z200" i="3416"/>
  <c r="Y200" i="3416"/>
  <c r="X200" i="3416"/>
  <c r="W200" i="3416"/>
  <c r="V200" i="3416"/>
  <c r="U200" i="3416"/>
  <c r="T200" i="3416"/>
  <c r="S200" i="3416"/>
  <c r="R200" i="3416"/>
  <c r="Q200" i="3416"/>
  <c r="P200" i="3416"/>
  <c r="O200" i="3416"/>
  <c r="N200" i="3416"/>
  <c r="M200" i="3416"/>
  <c r="L200" i="3416"/>
  <c r="K200" i="3416"/>
  <c r="J200" i="3416"/>
  <c r="I200" i="3416"/>
  <c r="H200" i="3416"/>
  <c r="G200" i="3416"/>
  <c r="F200" i="3416"/>
  <c r="E200" i="3416"/>
  <c r="D200" i="3416"/>
  <c r="C200" i="3416" a="1"/>
  <c r="C200" i="3416"/>
  <c r="A200" i="3416"/>
  <c r="EM199" i="3416"/>
  <c r="EL199" i="3416"/>
  <c r="EK199" i="3416"/>
  <c r="EJ199" i="3416"/>
  <c r="EI199" i="3416"/>
  <c r="EH199" i="3416"/>
  <c r="EG199" i="3416"/>
  <c r="EF199" i="3416"/>
  <c r="EE199" i="3416"/>
  <c r="ED199" i="3416"/>
  <c r="EC199" i="3416"/>
  <c r="EB199" i="3416"/>
  <c r="EA199" i="3416"/>
  <c r="DZ199" i="3416"/>
  <c r="DY199" i="3416"/>
  <c r="DX199" i="3416"/>
  <c r="DW199" i="3416"/>
  <c r="DV199" i="3416"/>
  <c r="DU199" i="3416"/>
  <c r="DT199" i="3416"/>
  <c r="DS199" i="3416"/>
  <c r="DR199" i="3416"/>
  <c r="DQ199" i="3416"/>
  <c r="DP199" i="3416"/>
  <c r="DO199" i="3416"/>
  <c r="DN199" i="3416"/>
  <c r="DM199" i="3416"/>
  <c r="DL199" i="3416"/>
  <c r="DK199" i="3416"/>
  <c r="DJ199" i="3416"/>
  <c r="DI199" i="3416"/>
  <c r="DH199" i="3416"/>
  <c r="DG199" i="3416"/>
  <c r="DF199" i="3416"/>
  <c r="DE199" i="3416"/>
  <c r="DD199" i="3416"/>
  <c r="DC199" i="3416"/>
  <c r="DB199" i="3416"/>
  <c r="DA199" i="3416"/>
  <c r="CZ199" i="3416"/>
  <c r="CY199" i="3416"/>
  <c r="CX199" i="3416"/>
  <c r="CW199" i="3416"/>
  <c r="CV199" i="3416"/>
  <c r="CU199" i="3416"/>
  <c r="CT199" i="3416"/>
  <c r="CS199" i="3416"/>
  <c r="CR199" i="3416"/>
  <c r="CQ199" i="3416"/>
  <c r="CP199" i="3416"/>
  <c r="CO199" i="3416"/>
  <c r="CN199" i="3416"/>
  <c r="CM199" i="3416"/>
  <c r="CL199" i="3416"/>
  <c r="CK199" i="3416"/>
  <c r="CJ199" i="3416"/>
  <c r="CI199" i="3416"/>
  <c r="CH199" i="3416"/>
  <c r="CG199" i="3416"/>
  <c r="CF199" i="3416"/>
  <c r="CE199" i="3416"/>
  <c r="CD199" i="3416"/>
  <c r="CC199" i="3416"/>
  <c r="CB199" i="3416"/>
  <c r="CA199" i="3416"/>
  <c r="BZ199" i="3416"/>
  <c r="BY199" i="3416"/>
  <c r="BX199" i="3416"/>
  <c r="BW199" i="3416"/>
  <c r="BV199" i="3416"/>
  <c r="BU199" i="3416"/>
  <c r="BT199" i="3416"/>
  <c r="BS199" i="3416"/>
  <c r="BR199" i="3416"/>
  <c r="BQ199" i="3416"/>
  <c r="BP199" i="3416"/>
  <c r="BO199" i="3416"/>
  <c r="BN199" i="3416"/>
  <c r="BM199" i="3416"/>
  <c r="BL199" i="3416"/>
  <c r="BK199" i="3416"/>
  <c r="BJ199" i="3416"/>
  <c r="BI199" i="3416"/>
  <c r="BH199" i="3416"/>
  <c r="BG199" i="3416"/>
  <c r="BF199" i="3416"/>
  <c r="BE199" i="3416"/>
  <c r="BD199" i="3416"/>
  <c r="BC199" i="3416"/>
  <c r="BB199" i="3416"/>
  <c r="BA199" i="3416"/>
  <c r="AZ199" i="3416"/>
  <c r="AY199" i="3416"/>
  <c r="AX199" i="3416"/>
  <c r="AW199" i="3416"/>
  <c r="AV199" i="3416"/>
  <c r="AU199" i="3416"/>
  <c r="AT199" i="3416"/>
  <c r="AS199" i="3416"/>
  <c r="AR199" i="3416"/>
  <c r="AQ199" i="3416"/>
  <c r="AP199" i="3416"/>
  <c r="AO199" i="3416"/>
  <c r="AN199" i="3416"/>
  <c r="AM199" i="3416"/>
  <c r="AL199" i="3416"/>
  <c r="AK199" i="3416"/>
  <c r="AJ199" i="3416"/>
  <c r="AI199" i="3416"/>
  <c r="AH199" i="3416"/>
  <c r="AG199" i="3416"/>
  <c r="AF199" i="3416"/>
  <c r="AE199" i="3416"/>
  <c r="AD199" i="3416"/>
  <c r="AC199" i="3416"/>
  <c r="AB199" i="3416"/>
  <c r="AA199" i="3416"/>
  <c r="Z199" i="3416"/>
  <c r="Y199" i="3416"/>
  <c r="X199" i="3416"/>
  <c r="W199" i="3416"/>
  <c r="V199" i="3416"/>
  <c r="U199" i="3416"/>
  <c r="T199" i="3416"/>
  <c r="S199" i="3416"/>
  <c r="R199" i="3416"/>
  <c r="Q199" i="3416"/>
  <c r="P199" i="3416"/>
  <c r="O199" i="3416"/>
  <c r="N199" i="3416"/>
  <c r="M199" i="3416"/>
  <c r="L199" i="3416"/>
  <c r="K199" i="3416"/>
  <c r="J199" i="3416"/>
  <c r="I199" i="3416"/>
  <c r="H199" i="3416"/>
  <c r="G199" i="3416"/>
  <c r="F199" i="3416"/>
  <c r="E199" i="3416"/>
  <c r="D199" i="3416"/>
  <c r="C199" i="3416" a="1"/>
  <c r="C199" i="3416"/>
  <c r="A199" i="3416"/>
  <c r="EM198" i="3416"/>
  <c r="EL198" i="3416"/>
  <c r="EK198" i="3416"/>
  <c r="EJ198" i="3416"/>
  <c r="EI198" i="3416"/>
  <c r="EH198" i="3416"/>
  <c r="EG198" i="3416"/>
  <c r="EF198" i="3416"/>
  <c r="EE198" i="3416"/>
  <c r="ED198" i="3416"/>
  <c r="EC198" i="3416"/>
  <c r="EB198" i="3416"/>
  <c r="EA198" i="3416"/>
  <c r="DZ198" i="3416"/>
  <c r="DY198" i="3416"/>
  <c r="DX198" i="3416"/>
  <c r="DW198" i="3416"/>
  <c r="DV198" i="3416"/>
  <c r="DU198" i="3416"/>
  <c r="DT198" i="3416"/>
  <c r="DS198" i="3416"/>
  <c r="DR198" i="3416"/>
  <c r="DQ198" i="3416"/>
  <c r="DP198" i="3416"/>
  <c r="DO198" i="3416"/>
  <c r="DN198" i="3416"/>
  <c r="DM198" i="3416"/>
  <c r="DL198" i="3416"/>
  <c r="DK198" i="3416"/>
  <c r="DJ198" i="3416"/>
  <c r="DI198" i="3416"/>
  <c r="DH198" i="3416"/>
  <c r="DG198" i="3416"/>
  <c r="DF198" i="3416"/>
  <c r="DE198" i="3416"/>
  <c r="DD198" i="3416"/>
  <c r="DC198" i="3416"/>
  <c r="DB198" i="3416"/>
  <c r="DA198" i="3416"/>
  <c r="CZ198" i="3416"/>
  <c r="CY198" i="3416"/>
  <c r="CX198" i="3416"/>
  <c r="CW198" i="3416"/>
  <c r="CV198" i="3416"/>
  <c r="CU198" i="3416"/>
  <c r="CT198" i="3416"/>
  <c r="CS198" i="3416"/>
  <c r="CR198" i="3416"/>
  <c r="CQ198" i="3416"/>
  <c r="CP198" i="3416"/>
  <c r="CO198" i="3416"/>
  <c r="CN198" i="3416"/>
  <c r="CM198" i="3416"/>
  <c r="CL198" i="3416"/>
  <c r="CK198" i="3416"/>
  <c r="CJ198" i="3416"/>
  <c r="CI198" i="3416"/>
  <c r="CH198" i="3416"/>
  <c r="CG198" i="3416"/>
  <c r="CF198" i="3416"/>
  <c r="CE198" i="3416"/>
  <c r="CD198" i="3416"/>
  <c r="CC198" i="3416"/>
  <c r="CB198" i="3416"/>
  <c r="CA198" i="3416"/>
  <c r="BZ198" i="3416"/>
  <c r="BY198" i="3416"/>
  <c r="BX198" i="3416"/>
  <c r="BW198" i="3416"/>
  <c r="BV198" i="3416"/>
  <c r="BU198" i="3416"/>
  <c r="BT198" i="3416"/>
  <c r="BS198" i="3416"/>
  <c r="BR198" i="3416"/>
  <c r="BQ198" i="3416"/>
  <c r="BP198" i="3416"/>
  <c r="BO198" i="3416"/>
  <c r="BN198" i="3416"/>
  <c r="BM198" i="3416"/>
  <c r="BL198" i="3416"/>
  <c r="BK198" i="3416"/>
  <c r="BJ198" i="3416"/>
  <c r="BI198" i="3416"/>
  <c r="BH198" i="3416"/>
  <c r="BG198" i="3416"/>
  <c r="BF198" i="3416"/>
  <c r="BE198" i="3416"/>
  <c r="BD198" i="3416"/>
  <c r="BC198" i="3416"/>
  <c r="BB198" i="3416"/>
  <c r="BA198" i="3416"/>
  <c r="AZ198" i="3416"/>
  <c r="AY198" i="3416"/>
  <c r="AX198" i="3416"/>
  <c r="AW198" i="3416"/>
  <c r="AV198" i="3416"/>
  <c r="AU198" i="3416"/>
  <c r="AT198" i="3416"/>
  <c r="AS198" i="3416"/>
  <c r="AR198" i="3416"/>
  <c r="AQ198" i="3416"/>
  <c r="AP198" i="3416"/>
  <c r="AO198" i="3416"/>
  <c r="AN198" i="3416"/>
  <c r="AM198" i="3416"/>
  <c r="AL198" i="3416"/>
  <c r="AK198" i="3416"/>
  <c r="AJ198" i="3416"/>
  <c r="AI198" i="3416"/>
  <c r="AH198" i="3416"/>
  <c r="AG198" i="3416"/>
  <c r="AF198" i="3416"/>
  <c r="AE198" i="3416"/>
  <c r="AD198" i="3416"/>
  <c r="AC198" i="3416"/>
  <c r="AB198" i="3416"/>
  <c r="AA198" i="3416"/>
  <c r="Z198" i="3416"/>
  <c r="Y198" i="3416"/>
  <c r="X198" i="3416"/>
  <c r="W198" i="3416"/>
  <c r="V198" i="3416"/>
  <c r="U198" i="3416"/>
  <c r="T198" i="3416"/>
  <c r="S198" i="3416"/>
  <c r="R198" i="3416"/>
  <c r="Q198" i="3416"/>
  <c r="P198" i="3416"/>
  <c r="O198" i="3416"/>
  <c r="N198" i="3416"/>
  <c r="M198" i="3416"/>
  <c r="L198" i="3416"/>
  <c r="K198" i="3416"/>
  <c r="J198" i="3416"/>
  <c r="I198" i="3416"/>
  <c r="H198" i="3416"/>
  <c r="G198" i="3416"/>
  <c r="F198" i="3416"/>
  <c r="E198" i="3416"/>
  <c r="D198" i="3416"/>
  <c r="C198" i="3416" a="1"/>
  <c r="C198" i="3416"/>
  <c r="A198" i="3416"/>
  <c r="EM197" i="3416"/>
  <c r="EL197" i="3416"/>
  <c r="EK197" i="3416"/>
  <c r="EJ197" i="3416"/>
  <c r="EI197" i="3416"/>
  <c r="EH197" i="3416"/>
  <c r="EG197" i="3416"/>
  <c r="EF197" i="3416"/>
  <c r="EE197" i="3416"/>
  <c r="ED197" i="3416"/>
  <c r="EC197" i="3416"/>
  <c r="EB197" i="3416"/>
  <c r="EA197" i="3416"/>
  <c r="DZ197" i="3416"/>
  <c r="DY197" i="3416"/>
  <c r="DX197" i="3416"/>
  <c r="DW197" i="3416"/>
  <c r="DV197" i="3416"/>
  <c r="DU197" i="3416"/>
  <c r="DT197" i="3416"/>
  <c r="DS197" i="3416"/>
  <c r="DR197" i="3416"/>
  <c r="DQ197" i="3416"/>
  <c r="DP197" i="3416"/>
  <c r="DO197" i="3416"/>
  <c r="DN197" i="3416"/>
  <c r="DM197" i="3416"/>
  <c r="DL197" i="3416"/>
  <c r="DK197" i="3416"/>
  <c r="DJ197" i="3416"/>
  <c r="DI197" i="3416"/>
  <c r="DH197" i="3416"/>
  <c r="DG197" i="3416"/>
  <c r="DF197" i="3416"/>
  <c r="DE197" i="3416"/>
  <c r="DD197" i="3416"/>
  <c r="DC197" i="3416"/>
  <c r="DB197" i="3416"/>
  <c r="DA197" i="3416"/>
  <c r="CZ197" i="3416"/>
  <c r="CY197" i="3416"/>
  <c r="CX197" i="3416"/>
  <c r="CW197" i="3416"/>
  <c r="CV197" i="3416"/>
  <c r="CU197" i="3416"/>
  <c r="CT197" i="3416"/>
  <c r="CS197" i="3416"/>
  <c r="CR197" i="3416"/>
  <c r="CQ197" i="3416"/>
  <c r="CP197" i="3416"/>
  <c r="CO197" i="3416"/>
  <c r="CN197" i="3416"/>
  <c r="CM197" i="3416"/>
  <c r="CL197" i="3416"/>
  <c r="CK197" i="3416"/>
  <c r="CJ197" i="3416"/>
  <c r="CI197" i="3416"/>
  <c r="CH197" i="3416"/>
  <c r="CG197" i="3416"/>
  <c r="CF197" i="3416"/>
  <c r="CE197" i="3416"/>
  <c r="CD197" i="3416"/>
  <c r="CC197" i="3416"/>
  <c r="CB197" i="3416"/>
  <c r="CA197" i="3416"/>
  <c r="BZ197" i="3416"/>
  <c r="BY197" i="3416"/>
  <c r="BX197" i="3416"/>
  <c r="BW197" i="3416"/>
  <c r="BV197" i="3416"/>
  <c r="BU197" i="3416"/>
  <c r="BT197" i="3416"/>
  <c r="BS197" i="3416"/>
  <c r="BR197" i="3416"/>
  <c r="BQ197" i="3416"/>
  <c r="BP197" i="3416"/>
  <c r="BO197" i="3416"/>
  <c r="BN197" i="3416"/>
  <c r="BM197" i="3416"/>
  <c r="BL197" i="3416"/>
  <c r="BK197" i="3416"/>
  <c r="BJ197" i="3416"/>
  <c r="BI197" i="3416"/>
  <c r="BH197" i="3416"/>
  <c r="BG197" i="3416"/>
  <c r="BF197" i="3416"/>
  <c r="BE197" i="3416"/>
  <c r="BD197" i="3416"/>
  <c r="BC197" i="3416"/>
  <c r="BB197" i="3416"/>
  <c r="BA197" i="3416"/>
  <c r="AZ197" i="3416"/>
  <c r="AY197" i="3416"/>
  <c r="AX197" i="3416"/>
  <c r="AW197" i="3416"/>
  <c r="AV197" i="3416"/>
  <c r="AU197" i="3416"/>
  <c r="AT197" i="3416"/>
  <c r="AS197" i="3416"/>
  <c r="AR197" i="3416"/>
  <c r="AQ197" i="3416"/>
  <c r="AP197" i="3416"/>
  <c r="AO197" i="3416"/>
  <c r="AN197" i="3416"/>
  <c r="AM197" i="3416"/>
  <c r="AL197" i="3416"/>
  <c r="AK197" i="3416"/>
  <c r="AJ197" i="3416"/>
  <c r="AI197" i="3416"/>
  <c r="AH197" i="3416"/>
  <c r="AG197" i="3416"/>
  <c r="AF197" i="3416"/>
  <c r="AE197" i="3416"/>
  <c r="AD197" i="3416"/>
  <c r="AC197" i="3416"/>
  <c r="AB197" i="3416"/>
  <c r="AA197" i="3416"/>
  <c r="Z197" i="3416"/>
  <c r="Y197" i="3416"/>
  <c r="X197" i="3416"/>
  <c r="W197" i="3416"/>
  <c r="V197" i="3416"/>
  <c r="U197" i="3416"/>
  <c r="T197" i="3416"/>
  <c r="S197" i="3416"/>
  <c r="R197" i="3416"/>
  <c r="Q197" i="3416"/>
  <c r="P197" i="3416"/>
  <c r="O197" i="3416"/>
  <c r="N197" i="3416"/>
  <c r="M197" i="3416"/>
  <c r="L197" i="3416"/>
  <c r="K197" i="3416"/>
  <c r="J197" i="3416"/>
  <c r="I197" i="3416"/>
  <c r="H197" i="3416"/>
  <c r="G197" i="3416"/>
  <c r="F197" i="3416"/>
  <c r="E197" i="3416"/>
  <c r="D197" i="3416"/>
  <c r="C197" i="3416" a="1"/>
  <c r="C197" i="3416"/>
  <c r="A197" i="3416"/>
  <c r="EM196" i="3416"/>
  <c r="EL196" i="3416"/>
  <c r="EK196" i="3416"/>
  <c r="EJ196" i="3416"/>
  <c r="EI196" i="3416"/>
  <c r="EH196" i="3416"/>
  <c r="EG196" i="3416"/>
  <c r="EF196" i="3416"/>
  <c r="EE196" i="3416"/>
  <c r="ED196" i="3416"/>
  <c r="EC196" i="3416"/>
  <c r="EB196" i="3416"/>
  <c r="EA196" i="3416"/>
  <c r="DZ196" i="3416"/>
  <c r="DY196" i="3416"/>
  <c r="DX196" i="3416"/>
  <c r="DW196" i="3416"/>
  <c r="DV196" i="3416"/>
  <c r="DU196" i="3416"/>
  <c r="DT196" i="3416"/>
  <c r="DS196" i="3416"/>
  <c r="DR196" i="3416"/>
  <c r="DQ196" i="3416"/>
  <c r="DP196" i="3416"/>
  <c r="DO196" i="3416"/>
  <c r="DN196" i="3416"/>
  <c r="DM196" i="3416"/>
  <c r="DL196" i="3416"/>
  <c r="DK196" i="3416"/>
  <c r="DJ196" i="3416"/>
  <c r="DI196" i="3416"/>
  <c r="DH196" i="3416"/>
  <c r="DG196" i="3416"/>
  <c r="DF196" i="3416"/>
  <c r="DE196" i="3416"/>
  <c r="DD196" i="3416"/>
  <c r="DC196" i="3416"/>
  <c r="DB196" i="3416"/>
  <c r="DA196" i="3416"/>
  <c r="CZ196" i="3416"/>
  <c r="CY196" i="3416"/>
  <c r="CX196" i="3416"/>
  <c r="CW196" i="3416"/>
  <c r="CV196" i="3416"/>
  <c r="CU196" i="3416"/>
  <c r="CT196" i="3416"/>
  <c r="CS196" i="3416"/>
  <c r="CR196" i="3416"/>
  <c r="CQ196" i="3416"/>
  <c r="CP196" i="3416"/>
  <c r="CO196" i="3416"/>
  <c r="CN196" i="3416"/>
  <c r="CM196" i="3416"/>
  <c r="CL196" i="3416"/>
  <c r="CK196" i="3416"/>
  <c r="CJ196" i="3416"/>
  <c r="CI196" i="3416"/>
  <c r="CH196" i="3416"/>
  <c r="CG196" i="3416"/>
  <c r="CF196" i="3416"/>
  <c r="CE196" i="3416"/>
  <c r="CD196" i="3416"/>
  <c r="CC196" i="3416"/>
  <c r="CB196" i="3416"/>
  <c r="CA196" i="3416"/>
  <c r="BZ196" i="3416"/>
  <c r="BY196" i="3416"/>
  <c r="BX196" i="3416"/>
  <c r="BW196" i="3416"/>
  <c r="BV196" i="3416"/>
  <c r="BU196" i="3416"/>
  <c r="BT196" i="3416"/>
  <c r="BS196" i="3416"/>
  <c r="BR196" i="3416"/>
  <c r="BQ196" i="3416"/>
  <c r="BP196" i="3416"/>
  <c r="BO196" i="3416"/>
  <c r="BN196" i="3416"/>
  <c r="BM196" i="3416"/>
  <c r="BL196" i="3416"/>
  <c r="BK196" i="3416"/>
  <c r="BJ196" i="3416"/>
  <c r="BI196" i="3416"/>
  <c r="BH196" i="3416"/>
  <c r="BG196" i="3416"/>
  <c r="BF196" i="3416"/>
  <c r="BE196" i="3416"/>
  <c r="BD196" i="3416"/>
  <c r="BC196" i="3416"/>
  <c r="BB196" i="3416"/>
  <c r="BA196" i="3416"/>
  <c r="AZ196" i="3416"/>
  <c r="AY196" i="3416"/>
  <c r="AX196" i="3416"/>
  <c r="AW196" i="3416"/>
  <c r="AV196" i="3416"/>
  <c r="AU196" i="3416"/>
  <c r="AT196" i="3416"/>
  <c r="AS196" i="3416"/>
  <c r="AR196" i="3416"/>
  <c r="AQ196" i="3416"/>
  <c r="AP196" i="3416"/>
  <c r="AO196" i="3416"/>
  <c r="AN196" i="3416"/>
  <c r="AM196" i="3416"/>
  <c r="AL196" i="3416"/>
  <c r="AK196" i="3416"/>
  <c r="AJ196" i="3416"/>
  <c r="AI196" i="3416"/>
  <c r="AH196" i="3416"/>
  <c r="AG196" i="3416"/>
  <c r="AF196" i="3416"/>
  <c r="AE196" i="3416"/>
  <c r="AD196" i="3416"/>
  <c r="AC196" i="3416"/>
  <c r="AB196" i="3416"/>
  <c r="AA196" i="3416"/>
  <c r="Z196" i="3416"/>
  <c r="Y196" i="3416"/>
  <c r="X196" i="3416"/>
  <c r="W196" i="3416"/>
  <c r="V196" i="3416"/>
  <c r="U196" i="3416"/>
  <c r="T196" i="3416"/>
  <c r="S196" i="3416"/>
  <c r="R196" i="3416"/>
  <c r="Q196" i="3416"/>
  <c r="P196" i="3416"/>
  <c r="O196" i="3416"/>
  <c r="N196" i="3416"/>
  <c r="M196" i="3416"/>
  <c r="L196" i="3416"/>
  <c r="K196" i="3416"/>
  <c r="J196" i="3416"/>
  <c r="I196" i="3416"/>
  <c r="H196" i="3416"/>
  <c r="G196" i="3416"/>
  <c r="F196" i="3416"/>
  <c r="E196" i="3416"/>
  <c r="D196" i="3416"/>
  <c r="C196" i="3416" a="1"/>
  <c r="C196" i="3416"/>
  <c r="A196" i="3416"/>
  <c r="EM195" i="3416"/>
  <c r="EL195" i="3416"/>
  <c r="EK195" i="3416"/>
  <c r="EJ195" i="3416"/>
  <c r="EI195" i="3416"/>
  <c r="EH195" i="3416"/>
  <c r="EG195" i="3416"/>
  <c r="EF195" i="3416"/>
  <c r="EE195" i="3416"/>
  <c r="ED195" i="3416"/>
  <c r="EC195" i="3416"/>
  <c r="EB195" i="3416"/>
  <c r="EA195" i="3416"/>
  <c r="DZ195" i="3416"/>
  <c r="DY195" i="3416"/>
  <c r="DX195" i="3416"/>
  <c r="DW195" i="3416"/>
  <c r="DV195" i="3416"/>
  <c r="DU195" i="3416"/>
  <c r="DT195" i="3416"/>
  <c r="DS195" i="3416"/>
  <c r="DR195" i="3416"/>
  <c r="DQ195" i="3416"/>
  <c r="DP195" i="3416"/>
  <c r="DO195" i="3416"/>
  <c r="DN195" i="3416"/>
  <c r="DM195" i="3416"/>
  <c r="DL195" i="3416"/>
  <c r="DK195" i="3416"/>
  <c r="DJ195" i="3416"/>
  <c r="DI195" i="3416"/>
  <c r="DH195" i="3416"/>
  <c r="DG195" i="3416"/>
  <c r="DF195" i="3416"/>
  <c r="DE195" i="3416"/>
  <c r="DD195" i="3416"/>
  <c r="DC195" i="3416"/>
  <c r="DB195" i="3416"/>
  <c r="DA195" i="3416"/>
  <c r="CZ195" i="3416"/>
  <c r="CY195" i="3416"/>
  <c r="CX195" i="3416"/>
  <c r="CW195" i="3416"/>
  <c r="CV195" i="3416"/>
  <c r="CU195" i="3416"/>
  <c r="CT195" i="3416"/>
  <c r="CS195" i="3416"/>
  <c r="CR195" i="3416"/>
  <c r="CQ195" i="3416"/>
  <c r="CP195" i="3416"/>
  <c r="CO195" i="3416"/>
  <c r="CN195" i="3416"/>
  <c r="CM195" i="3416"/>
  <c r="CL195" i="3416"/>
  <c r="CK195" i="3416"/>
  <c r="CJ195" i="3416"/>
  <c r="CI195" i="3416"/>
  <c r="CH195" i="3416"/>
  <c r="CG195" i="3416"/>
  <c r="CF195" i="3416"/>
  <c r="CE195" i="3416"/>
  <c r="CD195" i="3416"/>
  <c r="CC195" i="3416"/>
  <c r="CB195" i="3416"/>
  <c r="CA195" i="3416"/>
  <c r="BZ195" i="3416"/>
  <c r="BY195" i="3416"/>
  <c r="BX195" i="3416"/>
  <c r="BW195" i="3416"/>
  <c r="BV195" i="3416"/>
  <c r="BU195" i="3416"/>
  <c r="BT195" i="3416"/>
  <c r="BS195" i="3416"/>
  <c r="BR195" i="3416"/>
  <c r="BQ195" i="3416"/>
  <c r="BP195" i="3416"/>
  <c r="BO195" i="3416"/>
  <c r="BN195" i="3416"/>
  <c r="BM195" i="3416"/>
  <c r="BL195" i="3416"/>
  <c r="BK195" i="3416"/>
  <c r="BJ195" i="3416"/>
  <c r="BI195" i="3416"/>
  <c r="BH195" i="3416"/>
  <c r="BG195" i="3416"/>
  <c r="BF195" i="3416"/>
  <c r="BE195" i="3416"/>
  <c r="BD195" i="3416"/>
  <c r="BC195" i="3416"/>
  <c r="BB195" i="3416"/>
  <c r="BA195" i="3416"/>
  <c r="AZ195" i="3416"/>
  <c r="AY195" i="3416"/>
  <c r="AX195" i="3416"/>
  <c r="AW195" i="3416"/>
  <c r="AV195" i="3416"/>
  <c r="AU195" i="3416"/>
  <c r="AT195" i="3416"/>
  <c r="AS195" i="3416"/>
  <c r="AR195" i="3416"/>
  <c r="AQ195" i="3416"/>
  <c r="AP195" i="3416"/>
  <c r="AO195" i="3416"/>
  <c r="AN195" i="3416"/>
  <c r="AM195" i="3416"/>
  <c r="AL195" i="3416"/>
  <c r="AK195" i="3416"/>
  <c r="AJ195" i="3416"/>
  <c r="AI195" i="3416"/>
  <c r="AH195" i="3416"/>
  <c r="AG195" i="3416"/>
  <c r="AF195" i="3416"/>
  <c r="AE195" i="3416"/>
  <c r="AD195" i="3416"/>
  <c r="AC195" i="3416"/>
  <c r="AB195" i="3416"/>
  <c r="AA195" i="3416"/>
  <c r="Z195" i="3416"/>
  <c r="Y195" i="3416"/>
  <c r="X195" i="3416"/>
  <c r="W195" i="3416"/>
  <c r="V195" i="3416"/>
  <c r="U195" i="3416"/>
  <c r="T195" i="3416"/>
  <c r="S195" i="3416"/>
  <c r="R195" i="3416"/>
  <c r="Q195" i="3416"/>
  <c r="P195" i="3416"/>
  <c r="O195" i="3416"/>
  <c r="N195" i="3416"/>
  <c r="M195" i="3416"/>
  <c r="L195" i="3416"/>
  <c r="K195" i="3416"/>
  <c r="J195" i="3416"/>
  <c r="I195" i="3416"/>
  <c r="H195" i="3416"/>
  <c r="G195" i="3416"/>
  <c r="F195" i="3416"/>
  <c r="E195" i="3416"/>
  <c r="D195" i="3416"/>
  <c r="C195" i="3416" a="1"/>
  <c r="C195" i="3416"/>
  <c r="A195" i="3416"/>
  <c r="EM194" i="3416"/>
  <c r="EL194" i="3416"/>
  <c r="EK194" i="3416"/>
  <c r="EJ194" i="3416"/>
  <c r="EI194" i="3416"/>
  <c r="EH194" i="3416"/>
  <c r="EG194" i="3416"/>
  <c r="EF194" i="3416"/>
  <c r="EE194" i="3416"/>
  <c r="ED194" i="3416"/>
  <c r="EC194" i="3416"/>
  <c r="EB194" i="3416"/>
  <c r="EA194" i="3416"/>
  <c r="DZ194" i="3416"/>
  <c r="DY194" i="3416"/>
  <c r="DX194" i="3416"/>
  <c r="DW194" i="3416"/>
  <c r="DV194" i="3416"/>
  <c r="DU194" i="3416"/>
  <c r="DT194" i="3416"/>
  <c r="DS194" i="3416"/>
  <c r="DR194" i="3416"/>
  <c r="DQ194" i="3416"/>
  <c r="DP194" i="3416"/>
  <c r="DO194" i="3416"/>
  <c r="DN194" i="3416"/>
  <c r="DM194" i="3416"/>
  <c r="DL194" i="3416"/>
  <c r="DK194" i="3416"/>
  <c r="DJ194" i="3416"/>
  <c r="DI194" i="3416"/>
  <c r="DH194" i="3416"/>
  <c r="DG194" i="3416"/>
  <c r="DF194" i="3416"/>
  <c r="DE194" i="3416"/>
  <c r="DD194" i="3416"/>
  <c r="DC194" i="3416"/>
  <c r="DB194" i="3416"/>
  <c r="DA194" i="3416"/>
  <c r="CZ194" i="3416"/>
  <c r="CY194" i="3416"/>
  <c r="CX194" i="3416"/>
  <c r="CW194" i="3416"/>
  <c r="CV194" i="3416"/>
  <c r="CU194" i="3416"/>
  <c r="CT194" i="3416"/>
  <c r="CS194" i="3416"/>
  <c r="CR194" i="3416"/>
  <c r="CQ194" i="3416"/>
  <c r="CP194" i="3416"/>
  <c r="CO194" i="3416"/>
  <c r="CN194" i="3416"/>
  <c r="CM194" i="3416"/>
  <c r="CL194" i="3416"/>
  <c r="CK194" i="3416"/>
  <c r="CJ194" i="3416"/>
  <c r="CI194" i="3416"/>
  <c r="CH194" i="3416"/>
  <c r="CG194" i="3416"/>
  <c r="CF194" i="3416"/>
  <c r="CE194" i="3416"/>
  <c r="CD194" i="3416"/>
  <c r="CC194" i="3416"/>
  <c r="CB194" i="3416"/>
  <c r="CA194" i="3416"/>
  <c r="BZ194" i="3416"/>
  <c r="BY194" i="3416"/>
  <c r="BX194" i="3416"/>
  <c r="BW194" i="3416"/>
  <c r="BV194" i="3416"/>
  <c r="BU194" i="3416"/>
  <c r="BT194" i="3416"/>
  <c r="BS194" i="3416"/>
  <c r="BR194" i="3416"/>
  <c r="BQ194" i="3416"/>
  <c r="BP194" i="3416"/>
  <c r="BO194" i="3416"/>
  <c r="BN194" i="3416"/>
  <c r="BM194" i="3416"/>
  <c r="BL194" i="3416"/>
  <c r="BK194" i="3416"/>
  <c r="BJ194" i="3416"/>
  <c r="BI194" i="3416"/>
  <c r="BH194" i="3416"/>
  <c r="BG194" i="3416"/>
  <c r="BF194" i="3416"/>
  <c r="BE194" i="3416"/>
  <c r="BD194" i="3416"/>
  <c r="BC194" i="3416"/>
  <c r="BB194" i="3416"/>
  <c r="BA194" i="3416"/>
  <c r="AZ194" i="3416"/>
  <c r="AY194" i="3416"/>
  <c r="AX194" i="3416"/>
  <c r="AW194" i="3416"/>
  <c r="AV194" i="3416"/>
  <c r="AU194" i="3416"/>
  <c r="AT194" i="3416"/>
  <c r="AS194" i="3416"/>
  <c r="AR194" i="3416"/>
  <c r="AQ194" i="3416"/>
  <c r="AP194" i="3416"/>
  <c r="AO194" i="3416"/>
  <c r="AN194" i="3416"/>
  <c r="AM194" i="3416"/>
  <c r="AL194" i="3416"/>
  <c r="AK194" i="3416"/>
  <c r="AJ194" i="3416"/>
  <c r="AI194" i="3416"/>
  <c r="AH194" i="3416"/>
  <c r="AG194" i="3416"/>
  <c r="AF194" i="3416"/>
  <c r="AE194" i="3416"/>
  <c r="AD194" i="3416"/>
  <c r="AC194" i="3416"/>
  <c r="AB194" i="3416"/>
  <c r="AA194" i="3416"/>
  <c r="Z194" i="3416"/>
  <c r="Y194" i="3416"/>
  <c r="X194" i="3416"/>
  <c r="W194" i="3416"/>
  <c r="V194" i="3416"/>
  <c r="U194" i="3416"/>
  <c r="T194" i="3416"/>
  <c r="S194" i="3416"/>
  <c r="R194" i="3416"/>
  <c r="Q194" i="3416"/>
  <c r="P194" i="3416"/>
  <c r="O194" i="3416"/>
  <c r="N194" i="3416"/>
  <c r="M194" i="3416"/>
  <c r="L194" i="3416"/>
  <c r="K194" i="3416"/>
  <c r="J194" i="3416"/>
  <c r="I194" i="3416"/>
  <c r="H194" i="3416"/>
  <c r="G194" i="3416"/>
  <c r="F194" i="3416"/>
  <c r="E194" i="3416"/>
  <c r="D194" i="3416"/>
  <c r="C194" i="3416" a="1"/>
  <c r="C194" i="3416"/>
  <c r="A194" i="3416"/>
  <c r="EM193" i="3416"/>
  <c r="EL193" i="3416"/>
  <c r="EK193" i="3416"/>
  <c r="EJ193" i="3416"/>
  <c r="EI193" i="3416"/>
  <c r="EH193" i="3416"/>
  <c r="EG193" i="3416"/>
  <c r="EF193" i="3416"/>
  <c r="EE193" i="3416"/>
  <c r="ED193" i="3416"/>
  <c r="EC193" i="3416"/>
  <c r="EB193" i="3416"/>
  <c r="EA193" i="3416"/>
  <c r="DZ193" i="3416"/>
  <c r="DY193" i="3416"/>
  <c r="DX193" i="3416"/>
  <c r="DW193" i="3416"/>
  <c r="DV193" i="3416"/>
  <c r="DU193" i="3416"/>
  <c r="DT193" i="3416"/>
  <c r="DS193" i="3416"/>
  <c r="DR193" i="3416"/>
  <c r="DQ193" i="3416"/>
  <c r="DP193" i="3416"/>
  <c r="DO193" i="3416"/>
  <c r="DN193" i="3416"/>
  <c r="DM193" i="3416"/>
  <c r="DL193" i="3416"/>
  <c r="DK193" i="3416"/>
  <c r="DJ193" i="3416"/>
  <c r="DI193" i="3416"/>
  <c r="DH193" i="3416"/>
  <c r="DG193" i="3416"/>
  <c r="DF193" i="3416"/>
  <c r="DE193" i="3416"/>
  <c r="DD193" i="3416"/>
  <c r="DC193" i="3416"/>
  <c r="DB193" i="3416"/>
  <c r="DA193" i="3416"/>
  <c r="CZ193" i="3416"/>
  <c r="CY193" i="3416"/>
  <c r="CX193" i="3416"/>
  <c r="CW193" i="3416"/>
  <c r="CV193" i="3416"/>
  <c r="CU193" i="3416"/>
  <c r="CT193" i="3416"/>
  <c r="CS193" i="3416"/>
  <c r="CR193" i="3416"/>
  <c r="CQ193" i="3416"/>
  <c r="CP193" i="3416"/>
  <c r="CO193" i="3416"/>
  <c r="CN193" i="3416"/>
  <c r="CM193" i="3416"/>
  <c r="CL193" i="3416"/>
  <c r="CK193" i="3416"/>
  <c r="CJ193" i="3416"/>
  <c r="CI193" i="3416"/>
  <c r="CH193" i="3416"/>
  <c r="CG193" i="3416"/>
  <c r="CF193" i="3416"/>
  <c r="CE193" i="3416"/>
  <c r="CD193" i="3416"/>
  <c r="CC193" i="3416"/>
  <c r="CB193" i="3416"/>
  <c r="CA193" i="3416"/>
  <c r="BZ193" i="3416"/>
  <c r="BY193" i="3416"/>
  <c r="BX193" i="3416"/>
  <c r="BW193" i="3416"/>
  <c r="BV193" i="3416"/>
  <c r="BU193" i="3416"/>
  <c r="BT193" i="3416"/>
  <c r="BS193" i="3416"/>
  <c r="BR193" i="3416"/>
  <c r="BQ193" i="3416"/>
  <c r="BP193" i="3416"/>
  <c r="BO193" i="3416"/>
  <c r="BN193" i="3416"/>
  <c r="BM193" i="3416"/>
  <c r="BL193" i="3416"/>
  <c r="BK193" i="3416"/>
  <c r="BJ193" i="3416"/>
  <c r="BI193" i="3416"/>
  <c r="BH193" i="3416"/>
  <c r="BG193" i="3416"/>
  <c r="BF193" i="3416"/>
  <c r="BE193" i="3416"/>
  <c r="BD193" i="3416"/>
  <c r="BC193" i="3416"/>
  <c r="BB193" i="3416"/>
  <c r="BA193" i="3416"/>
  <c r="AZ193" i="3416"/>
  <c r="AY193" i="3416"/>
  <c r="AX193" i="3416"/>
  <c r="AW193" i="3416"/>
  <c r="AV193" i="3416"/>
  <c r="AU193" i="3416"/>
  <c r="AT193" i="3416"/>
  <c r="AS193" i="3416"/>
  <c r="AR193" i="3416"/>
  <c r="AQ193" i="3416"/>
  <c r="AP193" i="3416"/>
  <c r="AO193" i="3416"/>
  <c r="AN193" i="3416"/>
  <c r="AM193" i="3416"/>
  <c r="AL193" i="3416"/>
  <c r="AK193" i="3416"/>
  <c r="AJ193" i="3416"/>
  <c r="AI193" i="3416"/>
  <c r="AH193" i="3416"/>
  <c r="AG193" i="3416"/>
  <c r="AF193" i="3416"/>
  <c r="AE193" i="3416"/>
  <c r="AD193" i="3416"/>
  <c r="AC193" i="3416"/>
  <c r="AB193" i="3416"/>
  <c r="AA193" i="3416"/>
  <c r="Z193" i="3416"/>
  <c r="Y193" i="3416"/>
  <c r="X193" i="3416"/>
  <c r="W193" i="3416"/>
  <c r="V193" i="3416"/>
  <c r="U193" i="3416"/>
  <c r="T193" i="3416"/>
  <c r="S193" i="3416"/>
  <c r="R193" i="3416"/>
  <c r="Q193" i="3416"/>
  <c r="P193" i="3416"/>
  <c r="O193" i="3416"/>
  <c r="N193" i="3416"/>
  <c r="M193" i="3416"/>
  <c r="L193" i="3416"/>
  <c r="K193" i="3416"/>
  <c r="J193" i="3416"/>
  <c r="I193" i="3416"/>
  <c r="H193" i="3416"/>
  <c r="G193" i="3416"/>
  <c r="F193" i="3416"/>
  <c r="E193" i="3416"/>
  <c r="D193" i="3416"/>
  <c r="C193" i="3416" a="1"/>
  <c r="C193" i="3416"/>
  <c r="A193" i="3416"/>
  <c r="EM192" i="3416"/>
  <c r="EL192" i="3416"/>
  <c r="EK192" i="3416"/>
  <c r="EJ192" i="3416"/>
  <c r="EI192" i="3416"/>
  <c r="EH192" i="3416"/>
  <c r="EG192" i="3416"/>
  <c r="EF192" i="3416"/>
  <c r="EE192" i="3416"/>
  <c r="ED192" i="3416"/>
  <c r="EC192" i="3416"/>
  <c r="EB192" i="3416"/>
  <c r="EA192" i="3416"/>
  <c r="DZ192" i="3416"/>
  <c r="DY192" i="3416"/>
  <c r="DX192" i="3416"/>
  <c r="DW192" i="3416"/>
  <c r="DV192" i="3416"/>
  <c r="DU192" i="3416"/>
  <c r="DT192" i="3416"/>
  <c r="DS192" i="3416"/>
  <c r="DR192" i="3416"/>
  <c r="DQ192" i="3416"/>
  <c r="DP192" i="3416"/>
  <c r="DO192" i="3416"/>
  <c r="DN192" i="3416"/>
  <c r="DM192" i="3416"/>
  <c r="DL192" i="3416"/>
  <c r="DK192" i="3416"/>
  <c r="DJ192" i="3416"/>
  <c r="DI192" i="3416"/>
  <c r="DH192" i="3416"/>
  <c r="DG192" i="3416"/>
  <c r="DF192" i="3416"/>
  <c r="DE192" i="3416"/>
  <c r="DD192" i="3416"/>
  <c r="DC192" i="3416"/>
  <c r="DB192" i="3416"/>
  <c r="DA192" i="3416"/>
  <c r="CZ192" i="3416"/>
  <c r="CY192" i="3416"/>
  <c r="CX192" i="3416"/>
  <c r="CW192" i="3416"/>
  <c r="CV192" i="3416"/>
  <c r="CU192" i="3416"/>
  <c r="CT192" i="3416"/>
  <c r="CS192" i="3416"/>
  <c r="CR192" i="3416"/>
  <c r="CQ192" i="3416"/>
  <c r="CP192" i="3416"/>
  <c r="CO192" i="3416"/>
  <c r="CN192" i="3416"/>
  <c r="CM192" i="3416"/>
  <c r="CL192" i="3416"/>
  <c r="CK192" i="3416"/>
  <c r="CJ192" i="3416"/>
  <c r="CI192" i="3416"/>
  <c r="CH192" i="3416"/>
  <c r="CG192" i="3416"/>
  <c r="CF192" i="3416"/>
  <c r="CE192" i="3416"/>
  <c r="CD192" i="3416"/>
  <c r="CC192" i="3416"/>
  <c r="CB192" i="3416"/>
  <c r="CA192" i="3416"/>
  <c r="BZ192" i="3416"/>
  <c r="BY192" i="3416"/>
  <c r="BX192" i="3416"/>
  <c r="BW192" i="3416"/>
  <c r="BV192" i="3416"/>
  <c r="BU192" i="3416"/>
  <c r="BT192" i="3416"/>
  <c r="BS192" i="3416"/>
  <c r="BR192" i="3416"/>
  <c r="BQ192" i="3416"/>
  <c r="BP192" i="3416"/>
  <c r="BO192" i="3416"/>
  <c r="BN192" i="3416"/>
  <c r="BM192" i="3416"/>
  <c r="BL192" i="3416"/>
  <c r="BK192" i="3416"/>
  <c r="BJ192" i="3416"/>
  <c r="BI192" i="3416"/>
  <c r="BH192" i="3416"/>
  <c r="BG192" i="3416"/>
  <c r="BF192" i="3416"/>
  <c r="BE192" i="3416"/>
  <c r="BD192" i="3416"/>
  <c r="BC192" i="3416"/>
  <c r="BB192" i="3416"/>
  <c r="BA192" i="3416"/>
  <c r="AZ192" i="3416"/>
  <c r="AY192" i="3416"/>
  <c r="AX192" i="3416"/>
  <c r="AW192" i="3416"/>
  <c r="AV192" i="3416"/>
  <c r="AU192" i="3416"/>
  <c r="AT192" i="3416"/>
  <c r="AS192" i="3416"/>
  <c r="AR192" i="3416"/>
  <c r="AQ192" i="3416"/>
  <c r="AP192" i="3416"/>
  <c r="AO192" i="3416"/>
  <c r="AN192" i="3416"/>
  <c r="AM192" i="3416"/>
  <c r="AL192" i="3416"/>
  <c r="AK192" i="3416"/>
  <c r="AJ192" i="3416"/>
  <c r="AI192" i="3416"/>
  <c r="AH192" i="3416"/>
  <c r="AG192" i="3416"/>
  <c r="AF192" i="3416"/>
  <c r="AE192" i="3416"/>
  <c r="AD192" i="3416"/>
  <c r="AC192" i="3416"/>
  <c r="AB192" i="3416"/>
  <c r="AA192" i="3416"/>
  <c r="Z192" i="3416"/>
  <c r="Y192" i="3416"/>
  <c r="X192" i="3416"/>
  <c r="W192" i="3416"/>
  <c r="V192" i="3416"/>
  <c r="U192" i="3416"/>
  <c r="T192" i="3416"/>
  <c r="S192" i="3416"/>
  <c r="R192" i="3416"/>
  <c r="Q192" i="3416"/>
  <c r="P192" i="3416"/>
  <c r="O192" i="3416"/>
  <c r="N192" i="3416"/>
  <c r="M192" i="3416"/>
  <c r="L192" i="3416"/>
  <c r="K192" i="3416"/>
  <c r="J192" i="3416"/>
  <c r="I192" i="3416"/>
  <c r="H192" i="3416"/>
  <c r="G192" i="3416"/>
  <c r="F192" i="3416"/>
  <c r="E192" i="3416"/>
  <c r="D192" i="3416"/>
  <c r="C192" i="3416" a="1"/>
  <c r="C192" i="3416"/>
  <c r="A192" i="3416"/>
  <c r="EM191" i="3416"/>
  <c r="EL191" i="3416"/>
  <c r="EK191" i="3416"/>
  <c r="EJ191" i="3416"/>
  <c r="EI191" i="3416"/>
  <c r="EH191" i="3416"/>
  <c r="EG191" i="3416"/>
  <c r="EF191" i="3416"/>
  <c r="EE191" i="3416"/>
  <c r="ED191" i="3416"/>
  <c r="EC191" i="3416"/>
  <c r="EB191" i="3416"/>
  <c r="EA191" i="3416"/>
  <c r="DZ191" i="3416"/>
  <c r="DY191" i="3416"/>
  <c r="DX191" i="3416"/>
  <c r="DW191" i="3416"/>
  <c r="DV191" i="3416"/>
  <c r="DU191" i="3416"/>
  <c r="DT191" i="3416"/>
  <c r="DS191" i="3416"/>
  <c r="DR191" i="3416"/>
  <c r="DQ191" i="3416"/>
  <c r="DP191" i="3416"/>
  <c r="DO191" i="3416"/>
  <c r="DN191" i="3416"/>
  <c r="DM191" i="3416"/>
  <c r="DL191" i="3416"/>
  <c r="DK191" i="3416"/>
  <c r="DJ191" i="3416"/>
  <c r="DI191" i="3416"/>
  <c r="DH191" i="3416"/>
  <c r="DG191" i="3416"/>
  <c r="DF191" i="3416"/>
  <c r="DE191" i="3416"/>
  <c r="DD191" i="3416"/>
  <c r="DC191" i="3416"/>
  <c r="DB191" i="3416"/>
  <c r="DA191" i="3416"/>
  <c r="CZ191" i="3416"/>
  <c r="CY191" i="3416"/>
  <c r="CX191" i="3416"/>
  <c r="CW191" i="3416"/>
  <c r="CV191" i="3416"/>
  <c r="CU191" i="3416"/>
  <c r="CT191" i="3416"/>
  <c r="CS191" i="3416"/>
  <c r="CR191" i="3416"/>
  <c r="CQ191" i="3416"/>
  <c r="CP191" i="3416"/>
  <c r="CO191" i="3416"/>
  <c r="CN191" i="3416"/>
  <c r="CM191" i="3416"/>
  <c r="CL191" i="3416"/>
  <c r="CK191" i="3416"/>
  <c r="CJ191" i="3416"/>
  <c r="CI191" i="3416"/>
  <c r="CH191" i="3416"/>
  <c r="CG191" i="3416"/>
  <c r="CF191" i="3416"/>
  <c r="CE191" i="3416"/>
  <c r="CD191" i="3416"/>
  <c r="CC191" i="3416"/>
  <c r="CB191" i="3416"/>
  <c r="CA191" i="3416"/>
  <c r="BZ191" i="3416"/>
  <c r="BY191" i="3416"/>
  <c r="BX191" i="3416"/>
  <c r="BW191" i="3416"/>
  <c r="BV191" i="3416"/>
  <c r="BU191" i="3416"/>
  <c r="BT191" i="3416"/>
  <c r="BS191" i="3416"/>
  <c r="BR191" i="3416"/>
  <c r="BQ191" i="3416"/>
  <c r="BP191" i="3416"/>
  <c r="BO191" i="3416"/>
  <c r="BN191" i="3416"/>
  <c r="BM191" i="3416"/>
  <c r="BL191" i="3416"/>
  <c r="BK191" i="3416"/>
  <c r="BJ191" i="3416"/>
  <c r="BI191" i="3416"/>
  <c r="BH191" i="3416"/>
  <c r="BG191" i="3416"/>
  <c r="BF191" i="3416"/>
  <c r="BE191" i="3416"/>
  <c r="BD191" i="3416"/>
  <c r="BC191" i="3416"/>
  <c r="BB191" i="3416"/>
  <c r="BA191" i="3416"/>
  <c r="AZ191" i="3416"/>
  <c r="AY191" i="3416"/>
  <c r="AX191" i="3416"/>
  <c r="AW191" i="3416"/>
  <c r="AV191" i="3416"/>
  <c r="AU191" i="3416"/>
  <c r="AT191" i="3416"/>
  <c r="AS191" i="3416"/>
  <c r="AR191" i="3416"/>
  <c r="AQ191" i="3416"/>
  <c r="AP191" i="3416"/>
  <c r="AO191" i="3416"/>
  <c r="AN191" i="3416"/>
  <c r="AM191" i="3416"/>
  <c r="AL191" i="3416"/>
  <c r="AK191" i="3416"/>
  <c r="AJ191" i="3416"/>
  <c r="AI191" i="3416"/>
  <c r="AH191" i="3416"/>
  <c r="AG191" i="3416"/>
  <c r="AF191" i="3416"/>
  <c r="AE191" i="3416"/>
  <c r="AD191" i="3416"/>
  <c r="AC191" i="3416"/>
  <c r="AB191" i="3416"/>
  <c r="AA191" i="3416"/>
  <c r="Z191" i="3416"/>
  <c r="Y191" i="3416"/>
  <c r="X191" i="3416"/>
  <c r="W191" i="3416"/>
  <c r="V191" i="3416"/>
  <c r="U191" i="3416"/>
  <c r="T191" i="3416"/>
  <c r="S191" i="3416"/>
  <c r="R191" i="3416"/>
  <c r="Q191" i="3416"/>
  <c r="P191" i="3416"/>
  <c r="O191" i="3416"/>
  <c r="N191" i="3416"/>
  <c r="M191" i="3416"/>
  <c r="L191" i="3416"/>
  <c r="K191" i="3416"/>
  <c r="J191" i="3416"/>
  <c r="I191" i="3416"/>
  <c r="H191" i="3416"/>
  <c r="G191" i="3416"/>
  <c r="F191" i="3416"/>
  <c r="E191" i="3416"/>
  <c r="D191" i="3416"/>
  <c r="C191" i="3416" a="1"/>
  <c r="C191" i="3416"/>
  <c r="A191" i="3416"/>
  <c r="EM190" i="3416"/>
  <c r="EL190" i="3416"/>
  <c r="EK190" i="3416"/>
  <c r="EJ190" i="3416"/>
  <c r="EI190" i="3416"/>
  <c r="EH190" i="3416"/>
  <c r="EG190" i="3416"/>
  <c r="EF190" i="3416"/>
  <c r="EE190" i="3416"/>
  <c r="ED190" i="3416"/>
  <c r="EC190" i="3416"/>
  <c r="EB190" i="3416"/>
  <c r="EA190" i="3416"/>
  <c r="DZ190" i="3416"/>
  <c r="DY190" i="3416"/>
  <c r="DX190" i="3416"/>
  <c r="DW190" i="3416"/>
  <c r="DV190" i="3416"/>
  <c r="DU190" i="3416"/>
  <c r="DT190" i="3416"/>
  <c r="DS190" i="3416"/>
  <c r="DR190" i="3416"/>
  <c r="DQ190" i="3416"/>
  <c r="DP190" i="3416"/>
  <c r="DO190" i="3416"/>
  <c r="DN190" i="3416"/>
  <c r="DM190" i="3416"/>
  <c r="DL190" i="3416"/>
  <c r="DK190" i="3416"/>
  <c r="DJ190" i="3416"/>
  <c r="DI190" i="3416"/>
  <c r="DH190" i="3416"/>
  <c r="DG190" i="3416"/>
  <c r="DF190" i="3416"/>
  <c r="DE190" i="3416"/>
  <c r="DD190" i="3416"/>
  <c r="DC190" i="3416"/>
  <c r="DB190" i="3416"/>
  <c r="DA190" i="3416"/>
  <c r="CZ190" i="3416"/>
  <c r="CY190" i="3416"/>
  <c r="CX190" i="3416"/>
  <c r="CW190" i="3416"/>
  <c r="CV190" i="3416"/>
  <c r="CU190" i="3416"/>
  <c r="CT190" i="3416"/>
  <c r="CS190" i="3416"/>
  <c r="CR190" i="3416"/>
  <c r="CQ190" i="3416"/>
  <c r="CP190" i="3416"/>
  <c r="CO190" i="3416"/>
  <c r="CN190" i="3416"/>
  <c r="CM190" i="3416"/>
  <c r="CL190" i="3416"/>
  <c r="CK190" i="3416"/>
  <c r="CJ190" i="3416"/>
  <c r="CI190" i="3416"/>
  <c r="CH190" i="3416"/>
  <c r="CG190" i="3416"/>
  <c r="CF190" i="3416"/>
  <c r="CE190" i="3416"/>
  <c r="CD190" i="3416"/>
  <c r="CC190" i="3416"/>
  <c r="CB190" i="3416"/>
  <c r="CA190" i="3416"/>
  <c r="BZ190" i="3416"/>
  <c r="BY190" i="3416"/>
  <c r="BX190" i="3416"/>
  <c r="BW190" i="3416"/>
  <c r="BV190" i="3416"/>
  <c r="BU190" i="3416"/>
  <c r="BT190" i="3416"/>
  <c r="BS190" i="3416"/>
  <c r="BR190" i="3416"/>
  <c r="BQ190" i="3416"/>
  <c r="BP190" i="3416"/>
  <c r="BO190" i="3416"/>
  <c r="BN190" i="3416"/>
  <c r="BM190" i="3416"/>
  <c r="BL190" i="3416"/>
  <c r="BK190" i="3416"/>
  <c r="BJ190" i="3416"/>
  <c r="BI190" i="3416"/>
  <c r="BH190" i="3416"/>
  <c r="BG190" i="3416"/>
  <c r="BF190" i="3416"/>
  <c r="BE190" i="3416"/>
  <c r="BD190" i="3416"/>
  <c r="BC190" i="3416"/>
  <c r="BB190" i="3416"/>
  <c r="BA190" i="3416"/>
  <c r="AZ190" i="3416"/>
  <c r="AY190" i="3416"/>
  <c r="AX190" i="3416"/>
  <c r="AW190" i="3416"/>
  <c r="AV190" i="3416"/>
  <c r="AU190" i="3416"/>
  <c r="AT190" i="3416"/>
  <c r="AS190" i="3416"/>
  <c r="AR190" i="3416"/>
  <c r="AQ190" i="3416"/>
  <c r="AP190" i="3416"/>
  <c r="AO190" i="3416"/>
  <c r="AN190" i="3416"/>
  <c r="AM190" i="3416"/>
  <c r="AL190" i="3416"/>
  <c r="AK190" i="3416"/>
  <c r="AJ190" i="3416"/>
  <c r="AI190" i="3416"/>
  <c r="AH190" i="3416"/>
  <c r="AG190" i="3416"/>
  <c r="AF190" i="3416"/>
  <c r="AE190" i="3416"/>
  <c r="AD190" i="3416"/>
  <c r="AC190" i="3416"/>
  <c r="AB190" i="3416"/>
  <c r="AA190" i="3416"/>
  <c r="Z190" i="3416"/>
  <c r="Y190" i="3416"/>
  <c r="X190" i="3416"/>
  <c r="W190" i="3416"/>
  <c r="V190" i="3416"/>
  <c r="U190" i="3416"/>
  <c r="T190" i="3416"/>
  <c r="S190" i="3416"/>
  <c r="R190" i="3416"/>
  <c r="Q190" i="3416"/>
  <c r="P190" i="3416"/>
  <c r="O190" i="3416"/>
  <c r="N190" i="3416"/>
  <c r="M190" i="3416"/>
  <c r="L190" i="3416"/>
  <c r="K190" i="3416"/>
  <c r="J190" i="3416"/>
  <c r="I190" i="3416"/>
  <c r="H190" i="3416"/>
  <c r="G190" i="3416"/>
  <c r="F190" i="3416"/>
  <c r="E190" i="3416"/>
  <c r="D190" i="3416"/>
  <c r="C190" i="3416" a="1"/>
  <c r="C190" i="3416"/>
  <c r="A190" i="3416"/>
  <c r="EM189" i="3416"/>
  <c r="EL189" i="3416"/>
  <c r="EK189" i="3416"/>
  <c r="EJ189" i="3416"/>
  <c r="EI189" i="3416"/>
  <c r="EH189" i="3416"/>
  <c r="EG189" i="3416"/>
  <c r="EF189" i="3416"/>
  <c r="EE189" i="3416"/>
  <c r="ED189" i="3416"/>
  <c r="EC189" i="3416"/>
  <c r="EB189" i="3416"/>
  <c r="EA189" i="3416"/>
  <c r="DZ189" i="3416"/>
  <c r="DY189" i="3416"/>
  <c r="DX189" i="3416"/>
  <c r="DW189" i="3416"/>
  <c r="DV189" i="3416"/>
  <c r="DU189" i="3416"/>
  <c r="DT189" i="3416"/>
  <c r="DS189" i="3416"/>
  <c r="DR189" i="3416"/>
  <c r="DQ189" i="3416"/>
  <c r="DP189" i="3416"/>
  <c r="DO189" i="3416"/>
  <c r="DN189" i="3416"/>
  <c r="DM189" i="3416"/>
  <c r="DL189" i="3416"/>
  <c r="DK189" i="3416"/>
  <c r="DJ189" i="3416"/>
  <c r="DI189" i="3416"/>
  <c r="DH189" i="3416"/>
  <c r="DG189" i="3416"/>
  <c r="DF189" i="3416"/>
  <c r="DE189" i="3416"/>
  <c r="DD189" i="3416"/>
  <c r="DC189" i="3416"/>
  <c r="DB189" i="3416"/>
  <c r="DA189" i="3416"/>
  <c r="CZ189" i="3416"/>
  <c r="CY189" i="3416"/>
  <c r="CX189" i="3416"/>
  <c r="CW189" i="3416"/>
  <c r="CV189" i="3416"/>
  <c r="CU189" i="3416"/>
  <c r="CT189" i="3416"/>
  <c r="CS189" i="3416"/>
  <c r="CR189" i="3416"/>
  <c r="CQ189" i="3416"/>
  <c r="CP189" i="3416"/>
  <c r="CO189" i="3416"/>
  <c r="CN189" i="3416"/>
  <c r="CM189" i="3416"/>
  <c r="CL189" i="3416"/>
  <c r="CK189" i="3416"/>
  <c r="CJ189" i="3416"/>
  <c r="CI189" i="3416"/>
  <c r="CH189" i="3416"/>
  <c r="CG189" i="3416"/>
  <c r="CF189" i="3416"/>
  <c r="CE189" i="3416"/>
  <c r="CD189" i="3416"/>
  <c r="CC189" i="3416"/>
  <c r="CB189" i="3416"/>
  <c r="CA189" i="3416"/>
  <c r="BZ189" i="3416"/>
  <c r="BY189" i="3416"/>
  <c r="BX189" i="3416"/>
  <c r="BW189" i="3416"/>
  <c r="BV189" i="3416"/>
  <c r="BU189" i="3416"/>
  <c r="BT189" i="3416"/>
  <c r="BS189" i="3416"/>
  <c r="BR189" i="3416"/>
  <c r="BQ189" i="3416"/>
  <c r="BP189" i="3416"/>
  <c r="BO189" i="3416"/>
  <c r="BN189" i="3416"/>
  <c r="BM189" i="3416"/>
  <c r="BL189" i="3416"/>
  <c r="BK189" i="3416"/>
  <c r="BJ189" i="3416"/>
  <c r="BI189" i="3416"/>
  <c r="BH189" i="3416"/>
  <c r="BG189" i="3416"/>
  <c r="BF189" i="3416"/>
  <c r="BE189" i="3416"/>
  <c r="BD189" i="3416"/>
  <c r="BC189" i="3416"/>
  <c r="BB189" i="3416"/>
  <c r="BA189" i="3416"/>
  <c r="AZ189" i="3416"/>
  <c r="AY189" i="3416"/>
  <c r="AX189" i="3416"/>
  <c r="AW189" i="3416"/>
  <c r="AV189" i="3416"/>
  <c r="AU189" i="3416"/>
  <c r="AT189" i="3416"/>
  <c r="AS189" i="3416"/>
  <c r="AR189" i="3416"/>
  <c r="AQ189" i="3416"/>
  <c r="AP189" i="3416"/>
  <c r="AO189" i="3416"/>
  <c r="AN189" i="3416"/>
  <c r="AM189" i="3416"/>
  <c r="AL189" i="3416"/>
  <c r="AK189" i="3416"/>
  <c r="AJ189" i="3416"/>
  <c r="AI189" i="3416"/>
  <c r="AH189" i="3416"/>
  <c r="AG189" i="3416"/>
  <c r="AF189" i="3416"/>
  <c r="AE189" i="3416"/>
  <c r="AD189" i="3416"/>
  <c r="AC189" i="3416"/>
  <c r="AB189" i="3416"/>
  <c r="AA189" i="3416"/>
  <c r="Z189" i="3416"/>
  <c r="Y189" i="3416"/>
  <c r="X189" i="3416"/>
  <c r="W189" i="3416"/>
  <c r="V189" i="3416"/>
  <c r="U189" i="3416"/>
  <c r="T189" i="3416"/>
  <c r="S189" i="3416"/>
  <c r="R189" i="3416"/>
  <c r="Q189" i="3416"/>
  <c r="P189" i="3416"/>
  <c r="O189" i="3416"/>
  <c r="N189" i="3416"/>
  <c r="M189" i="3416"/>
  <c r="L189" i="3416"/>
  <c r="K189" i="3416"/>
  <c r="J189" i="3416"/>
  <c r="I189" i="3416"/>
  <c r="H189" i="3416"/>
  <c r="G189" i="3416"/>
  <c r="F189" i="3416"/>
  <c r="E189" i="3416"/>
  <c r="D189" i="3416"/>
  <c r="C189" i="3416" a="1"/>
  <c r="C189" i="3416"/>
  <c r="A189" i="3416"/>
  <c r="EM188" i="3416"/>
  <c r="EL188" i="3416"/>
  <c r="EK188" i="3416"/>
  <c r="EJ188" i="3416"/>
  <c r="EI188" i="3416"/>
  <c r="EH188" i="3416"/>
  <c r="EG188" i="3416"/>
  <c r="EF188" i="3416"/>
  <c r="EE188" i="3416"/>
  <c r="ED188" i="3416"/>
  <c r="EC188" i="3416"/>
  <c r="EB188" i="3416"/>
  <c r="EA188" i="3416"/>
  <c r="DZ188" i="3416"/>
  <c r="DY188" i="3416"/>
  <c r="DX188" i="3416"/>
  <c r="DW188" i="3416"/>
  <c r="DV188" i="3416"/>
  <c r="DU188" i="3416"/>
  <c r="DT188" i="3416"/>
  <c r="DS188" i="3416"/>
  <c r="DR188" i="3416"/>
  <c r="DQ188" i="3416"/>
  <c r="DP188" i="3416"/>
  <c r="DO188" i="3416"/>
  <c r="DN188" i="3416"/>
  <c r="DM188" i="3416"/>
  <c r="DL188" i="3416"/>
  <c r="DK188" i="3416"/>
  <c r="DJ188" i="3416"/>
  <c r="DI188" i="3416"/>
  <c r="DH188" i="3416"/>
  <c r="DG188" i="3416"/>
  <c r="DF188" i="3416"/>
  <c r="DE188" i="3416"/>
  <c r="DD188" i="3416"/>
  <c r="DC188" i="3416"/>
  <c r="DB188" i="3416"/>
  <c r="DA188" i="3416"/>
  <c r="CZ188" i="3416"/>
  <c r="CY188" i="3416"/>
  <c r="CX188" i="3416"/>
  <c r="CW188" i="3416"/>
  <c r="CV188" i="3416"/>
  <c r="CU188" i="3416"/>
  <c r="CT188" i="3416"/>
  <c r="CS188" i="3416"/>
  <c r="CR188" i="3416"/>
  <c r="CQ188" i="3416"/>
  <c r="CP188" i="3416"/>
  <c r="CO188" i="3416"/>
  <c r="CN188" i="3416"/>
  <c r="CM188" i="3416"/>
  <c r="CL188" i="3416"/>
  <c r="CK188" i="3416"/>
  <c r="CJ188" i="3416"/>
  <c r="CI188" i="3416"/>
  <c r="CH188" i="3416"/>
  <c r="CG188" i="3416"/>
  <c r="CF188" i="3416"/>
  <c r="CE188" i="3416"/>
  <c r="CD188" i="3416"/>
  <c r="CC188" i="3416"/>
  <c r="CB188" i="3416"/>
  <c r="CA188" i="3416"/>
  <c r="BZ188" i="3416"/>
  <c r="BY188" i="3416"/>
  <c r="BX188" i="3416"/>
  <c r="BW188" i="3416"/>
  <c r="BV188" i="3416"/>
  <c r="BU188" i="3416"/>
  <c r="BT188" i="3416"/>
  <c r="BS188" i="3416"/>
  <c r="BR188" i="3416"/>
  <c r="BQ188" i="3416"/>
  <c r="BP188" i="3416"/>
  <c r="BO188" i="3416"/>
  <c r="BN188" i="3416"/>
  <c r="BM188" i="3416"/>
  <c r="BL188" i="3416"/>
  <c r="BK188" i="3416"/>
  <c r="BJ188" i="3416"/>
  <c r="BI188" i="3416"/>
  <c r="BH188" i="3416"/>
  <c r="BG188" i="3416"/>
  <c r="BF188" i="3416"/>
  <c r="BE188" i="3416"/>
  <c r="BD188" i="3416"/>
  <c r="BC188" i="3416"/>
  <c r="BB188" i="3416"/>
  <c r="BA188" i="3416"/>
  <c r="AZ188" i="3416"/>
  <c r="AY188" i="3416"/>
  <c r="AX188" i="3416"/>
  <c r="AW188" i="3416"/>
  <c r="AV188" i="3416"/>
  <c r="AU188" i="3416"/>
  <c r="AT188" i="3416"/>
  <c r="AS188" i="3416"/>
  <c r="AR188" i="3416"/>
  <c r="AQ188" i="3416"/>
  <c r="AP188" i="3416"/>
  <c r="AO188" i="3416"/>
  <c r="AN188" i="3416"/>
  <c r="AM188" i="3416"/>
  <c r="AL188" i="3416"/>
  <c r="AK188" i="3416"/>
  <c r="AJ188" i="3416"/>
  <c r="AI188" i="3416"/>
  <c r="AH188" i="3416"/>
  <c r="AG188" i="3416"/>
  <c r="AF188" i="3416"/>
  <c r="AE188" i="3416"/>
  <c r="AD188" i="3416"/>
  <c r="AC188" i="3416"/>
  <c r="AB188" i="3416"/>
  <c r="AA188" i="3416"/>
  <c r="Z188" i="3416"/>
  <c r="Y188" i="3416"/>
  <c r="X188" i="3416"/>
  <c r="W188" i="3416"/>
  <c r="V188" i="3416"/>
  <c r="U188" i="3416"/>
  <c r="T188" i="3416"/>
  <c r="S188" i="3416"/>
  <c r="R188" i="3416"/>
  <c r="Q188" i="3416"/>
  <c r="P188" i="3416"/>
  <c r="O188" i="3416"/>
  <c r="N188" i="3416"/>
  <c r="M188" i="3416"/>
  <c r="L188" i="3416"/>
  <c r="K188" i="3416"/>
  <c r="J188" i="3416"/>
  <c r="I188" i="3416"/>
  <c r="H188" i="3416"/>
  <c r="G188" i="3416"/>
  <c r="F188" i="3416"/>
  <c r="E188" i="3416"/>
  <c r="D188" i="3416"/>
  <c r="C188" i="3416" a="1"/>
  <c r="C188" i="3416"/>
  <c r="A188" i="3416"/>
  <c r="EM187" i="3416"/>
  <c r="EL187" i="3416"/>
  <c r="EK187" i="3416"/>
  <c r="EJ187" i="3416"/>
  <c r="EI187" i="3416"/>
  <c r="EH187" i="3416"/>
  <c r="EG187" i="3416"/>
  <c r="EF187" i="3416"/>
  <c r="EE187" i="3416"/>
  <c r="ED187" i="3416"/>
  <c r="EC187" i="3416"/>
  <c r="EB187" i="3416"/>
  <c r="EA187" i="3416"/>
  <c r="DZ187" i="3416"/>
  <c r="DY187" i="3416"/>
  <c r="DX187" i="3416"/>
  <c r="DW187" i="3416"/>
  <c r="DV187" i="3416"/>
  <c r="DU187" i="3416"/>
  <c r="DT187" i="3416"/>
  <c r="DS187" i="3416"/>
  <c r="DR187" i="3416"/>
  <c r="DQ187" i="3416"/>
  <c r="DP187" i="3416"/>
  <c r="DO187" i="3416"/>
  <c r="DN187" i="3416"/>
  <c r="DM187" i="3416"/>
  <c r="DL187" i="3416"/>
  <c r="DK187" i="3416"/>
  <c r="DJ187" i="3416"/>
  <c r="DI187" i="3416"/>
  <c r="DH187" i="3416"/>
  <c r="DG187" i="3416"/>
  <c r="DF187" i="3416"/>
  <c r="DE187" i="3416"/>
  <c r="DD187" i="3416"/>
  <c r="DC187" i="3416"/>
  <c r="DB187" i="3416"/>
  <c r="DA187" i="3416"/>
  <c r="CZ187" i="3416"/>
  <c r="CY187" i="3416"/>
  <c r="CX187" i="3416"/>
  <c r="CW187" i="3416"/>
  <c r="CV187" i="3416"/>
  <c r="CU187" i="3416"/>
  <c r="CT187" i="3416"/>
  <c r="CS187" i="3416"/>
  <c r="CR187" i="3416"/>
  <c r="CQ187" i="3416"/>
  <c r="CP187" i="3416"/>
  <c r="CO187" i="3416"/>
  <c r="CN187" i="3416"/>
  <c r="CM187" i="3416"/>
  <c r="CL187" i="3416"/>
  <c r="CK187" i="3416"/>
  <c r="CJ187" i="3416"/>
  <c r="CI187" i="3416"/>
  <c r="CH187" i="3416"/>
  <c r="CG187" i="3416"/>
  <c r="CF187" i="3416"/>
  <c r="CE187" i="3416"/>
  <c r="CD187" i="3416"/>
  <c r="CC187" i="3416"/>
  <c r="CB187" i="3416"/>
  <c r="CA187" i="3416"/>
  <c r="BZ187" i="3416"/>
  <c r="BY187" i="3416"/>
  <c r="BX187" i="3416"/>
  <c r="BW187" i="3416"/>
  <c r="BV187" i="3416"/>
  <c r="BU187" i="3416"/>
  <c r="BT187" i="3416"/>
  <c r="BS187" i="3416"/>
  <c r="BR187" i="3416"/>
  <c r="BQ187" i="3416"/>
  <c r="BP187" i="3416"/>
  <c r="BO187" i="3416"/>
  <c r="BN187" i="3416"/>
  <c r="BM187" i="3416"/>
  <c r="BL187" i="3416"/>
  <c r="BK187" i="3416"/>
  <c r="BJ187" i="3416"/>
  <c r="BI187" i="3416"/>
  <c r="BH187" i="3416"/>
  <c r="BG187" i="3416"/>
  <c r="BF187" i="3416"/>
  <c r="BE187" i="3416"/>
  <c r="BD187" i="3416"/>
  <c r="BC187" i="3416"/>
  <c r="BB187" i="3416"/>
  <c r="BA187" i="3416"/>
  <c r="AZ187" i="3416"/>
  <c r="AY187" i="3416"/>
  <c r="AX187" i="3416"/>
  <c r="AW187" i="3416"/>
  <c r="AV187" i="3416"/>
  <c r="AU187" i="3416"/>
  <c r="AT187" i="3416"/>
  <c r="AS187" i="3416"/>
  <c r="AR187" i="3416"/>
  <c r="AQ187" i="3416"/>
  <c r="AP187" i="3416"/>
  <c r="AO187" i="3416"/>
  <c r="AN187" i="3416"/>
  <c r="AM187" i="3416"/>
  <c r="AL187" i="3416"/>
  <c r="AK187" i="3416"/>
  <c r="AJ187" i="3416"/>
  <c r="AI187" i="3416"/>
  <c r="AH187" i="3416"/>
  <c r="AG187" i="3416"/>
  <c r="AF187" i="3416"/>
  <c r="AE187" i="3416"/>
  <c r="AD187" i="3416"/>
  <c r="AC187" i="3416"/>
  <c r="AB187" i="3416"/>
  <c r="AA187" i="3416"/>
  <c r="Z187" i="3416"/>
  <c r="Y187" i="3416"/>
  <c r="X187" i="3416"/>
  <c r="W187" i="3416"/>
  <c r="V187" i="3416"/>
  <c r="U187" i="3416"/>
  <c r="T187" i="3416"/>
  <c r="S187" i="3416"/>
  <c r="R187" i="3416"/>
  <c r="Q187" i="3416"/>
  <c r="P187" i="3416"/>
  <c r="O187" i="3416"/>
  <c r="N187" i="3416"/>
  <c r="M187" i="3416"/>
  <c r="L187" i="3416"/>
  <c r="K187" i="3416"/>
  <c r="J187" i="3416"/>
  <c r="I187" i="3416"/>
  <c r="H187" i="3416"/>
  <c r="G187" i="3416"/>
  <c r="F187" i="3416"/>
  <c r="E187" i="3416"/>
  <c r="D187" i="3416"/>
  <c r="C187" i="3416" a="1"/>
  <c r="C187" i="3416"/>
  <c r="A187" i="3416"/>
  <c r="EM186" i="3416"/>
  <c r="EL186" i="3416"/>
  <c r="EK186" i="3416"/>
  <c r="EJ186" i="3416"/>
  <c r="EI186" i="3416"/>
  <c r="EH186" i="3416"/>
  <c r="EG186" i="3416"/>
  <c r="EF186" i="3416"/>
  <c r="EE186" i="3416"/>
  <c r="ED186" i="3416"/>
  <c r="EC186" i="3416"/>
  <c r="EB186" i="3416"/>
  <c r="EA186" i="3416"/>
  <c r="DZ186" i="3416"/>
  <c r="DY186" i="3416"/>
  <c r="DX186" i="3416"/>
  <c r="DW186" i="3416"/>
  <c r="DV186" i="3416"/>
  <c r="DU186" i="3416"/>
  <c r="DT186" i="3416"/>
  <c r="DS186" i="3416"/>
  <c r="DR186" i="3416"/>
  <c r="DQ186" i="3416"/>
  <c r="DP186" i="3416"/>
  <c r="DO186" i="3416"/>
  <c r="DN186" i="3416"/>
  <c r="DM186" i="3416"/>
  <c r="DL186" i="3416"/>
  <c r="DK186" i="3416"/>
  <c r="DJ186" i="3416"/>
  <c r="DI186" i="3416"/>
  <c r="DH186" i="3416"/>
  <c r="DG186" i="3416"/>
  <c r="DF186" i="3416"/>
  <c r="DE186" i="3416"/>
  <c r="DD186" i="3416"/>
  <c r="DC186" i="3416"/>
  <c r="DB186" i="3416"/>
  <c r="DA186" i="3416"/>
  <c r="CZ186" i="3416"/>
  <c r="CY186" i="3416"/>
  <c r="CX186" i="3416"/>
  <c r="CW186" i="3416"/>
  <c r="CV186" i="3416"/>
  <c r="CU186" i="3416"/>
  <c r="CT186" i="3416"/>
  <c r="CS186" i="3416"/>
  <c r="CR186" i="3416"/>
  <c r="CQ186" i="3416"/>
  <c r="CP186" i="3416"/>
  <c r="CO186" i="3416"/>
  <c r="CN186" i="3416"/>
  <c r="CM186" i="3416"/>
  <c r="CL186" i="3416"/>
  <c r="CK186" i="3416"/>
  <c r="CJ186" i="3416"/>
  <c r="CI186" i="3416"/>
  <c r="CH186" i="3416"/>
  <c r="CG186" i="3416"/>
  <c r="CF186" i="3416"/>
  <c r="CE186" i="3416"/>
  <c r="CD186" i="3416"/>
  <c r="CC186" i="3416"/>
  <c r="CB186" i="3416"/>
  <c r="CA186" i="3416"/>
  <c r="BZ186" i="3416"/>
  <c r="BY186" i="3416"/>
  <c r="BX186" i="3416"/>
  <c r="BW186" i="3416"/>
  <c r="BV186" i="3416"/>
  <c r="BU186" i="3416"/>
  <c r="BT186" i="3416"/>
  <c r="BS186" i="3416"/>
  <c r="BR186" i="3416"/>
  <c r="BQ186" i="3416"/>
  <c r="BP186" i="3416"/>
  <c r="BO186" i="3416"/>
  <c r="BN186" i="3416"/>
  <c r="BM186" i="3416"/>
  <c r="BL186" i="3416"/>
  <c r="BK186" i="3416"/>
  <c r="BJ186" i="3416"/>
  <c r="BI186" i="3416"/>
  <c r="BH186" i="3416"/>
  <c r="BG186" i="3416"/>
  <c r="BF186" i="3416"/>
  <c r="BE186" i="3416"/>
  <c r="BD186" i="3416"/>
  <c r="BC186" i="3416"/>
  <c r="BB186" i="3416"/>
  <c r="BA186" i="3416"/>
  <c r="AZ186" i="3416"/>
  <c r="AY186" i="3416"/>
  <c r="AX186" i="3416"/>
  <c r="AW186" i="3416"/>
  <c r="AV186" i="3416"/>
  <c r="AU186" i="3416"/>
  <c r="AT186" i="3416"/>
  <c r="AS186" i="3416"/>
  <c r="AR186" i="3416"/>
  <c r="AQ186" i="3416"/>
  <c r="AP186" i="3416"/>
  <c r="AO186" i="3416"/>
  <c r="AN186" i="3416"/>
  <c r="AM186" i="3416"/>
  <c r="AL186" i="3416"/>
  <c r="AK186" i="3416"/>
  <c r="AJ186" i="3416"/>
  <c r="AI186" i="3416"/>
  <c r="AH186" i="3416"/>
  <c r="AG186" i="3416"/>
  <c r="AF186" i="3416"/>
  <c r="AE186" i="3416"/>
  <c r="AD186" i="3416"/>
  <c r="AC186" i="3416"/>
  <c r="AB186" i="3416"/>
  <c r="AA186" i="3416"/>
  <c r="Z186" i="3416"/>
  <c r="Y186" i="3416"/>
  <c r="X186" i="3416"/>
  <c r="W186" i="3416"/>
  <c r="V186" i="3416"/>
  <c r="U186" i="3416"/>
  <c r="T186" i="3416"/>
  <c r="S186" i="3416"/>
  <c r="R186" i="3416"/>
  <c r="Q186" i="3416"/>
  <c r="P186" i="3416"/>
  <c r="O186" i="3416"/>
  <c r="N186" i="3416"/>
  <c r="M186" i="3416"/>
  <c r="L186" i="3416"/>
  <c r="K186" i="3416"/>
  <c r="J186" i="3416"/>
  <c r="I186" i="3416"/>
  <c r="H186" i="3416"/>
  <c r="G186" i="3416"/>
  <c r="F186" i="3416"/>
  <c r="E186" i="3416"/>
  <c r="D186" i="3416"/>
  <c r="C186" i="3416" a="1"/>
  <c r="C186" i="3416"/>
  <c r="A186" i="3416"/>
  <c r="EM185" i="3416"/>
  <c r="EL185" i="3416"/>
  <c r="EK185" i="3416"/>
  <c r="EJ185" i="3416"/>
  <c r="EI185" i="3416"/>
  <c r="EH185" i="3416"/>
  <c r="EG185" i="3416"/>
  <c r="EF185" i="3416"/>
  <c r="EE185" i="3416"/>
  <c r="ED185" i="3416"/>
  <c r="EC185" i="3416"/>
  <c r="EB185" i="3416"/>
  <c r="EA185" i="3416"/>
  <c r="DZ185" i="3416"/>
  <c r="DY185" i="3416"/>
  <c r="DX185" i="3416"/>
  <c r="DW185" i="3416"/>
  <c r="DV185" i="3416"/>
  <c r="DU185" i="3416"/>
  <c r="DT185" i="3416"/>
  <c r="DS185" i="3416"/>
  <c r="DR185" i="3416"/>
  <c r="DQ185" i="3416"/>
  <c r="DP185" i="3416"/>
  <c r="DO185" i="3416"/>
  <c r="DN185" i="3416"/>
  <c r="DM185" i="3416"/>
  <c r="DL185" i="3416"/>
  <c r="DK185" i="3416"/>
  <c r="DJ185" i="3416"/>
  <c r="DI185" i="3416"/>
  <c r="DH185" i="3416"/>
  <c r="DG185" i="3416"/>
  <c r="DF185" i="3416"/>
  <c r="DE185" i="3416"/>
  <c r="DD185" i="3416"/>
  <c r="DC185" i="3416"/>
  <c r="DB185" i="3416"/>
  <c r="DA185" i="3416"/>
  <c r="CZ185" i="3416"/>
  <c r="CY185" i="3416"/>
  <c r="CX185" i="3416"/>
  <c r="CW185" i="3416"/>
  <c r="CV185" i="3416"/>
  <c r="CU185" i="3416"/>
  <c r="CT185" i="3416"/>
  <c r="CS185" i="3416"/>
  <c r="CR185" i="3416"/>
  <c r="CQ185" i="3416"/>
  <c r="CP185" i="3416"/>
  <c r="CO185" i="3416"/>
  <c r="CN185" i="3416"/>
  <c r="CM185" i="3416"/>
  <c r="CL185" i="3416"/>
  <c r="CK185" i="3416"/>
  <c r="CJ185" i="3416"/>
  <c r="CI185" i="3416"/>
  <c r="CH185" i="3416"/>
  <c r="CG185" i="3416"/>
  <c r="CF185" i="3416"/>
  <c r="CE185" i="3416"/>
  <c r="CD185" i="3416"/>
  <c r="CC185" i="3416"/>
  <c r="CB185" i="3416"/>
  <c r="CA185" i="3416"/>
  <c r="BZ185" i="3416"/>
  <c r="BY185" i="3416"/>
  <c r="BX185" i="3416"/>
  <c r="BW185" i="3416"/>
  <c r="BV185" i="3416"/>
  <c r="BU185" i="3416"/>
  <c r="BT185" i="3416"/>
  <c r="BS185" i="3416"/>
  <c r="BR185" i="3416"/>
  <c r="BQ185" i="3416"/>
  <c r="BP185" i="3416"/>
  <c r="BO185" i="3416"/>
  <c r="BN185" i="3416"/>
  <c r="BM185" i="3416"/>
  <c r="BL185" i="3416"/>
  <c r="BK185" i="3416"/>
  <c r="BJ185" i="3416"/>
  <c r="BI185" i="3416"/>
  <c r="BH185" i="3416"/>
  <c r="BG185" i="3416"/>
  <c r="BF185" i="3416"/>
  <c r="BE185" i="3416"/>
  <c r="BD185" i="3416"/>
  <c r="BC185" i="3416"/>
  <c r="BB185" i="3416"/>
  <c r="BA185" i="3416"/>
  <c r="AZ185" i="3416"/>
  <c r="AY185" i="3416"/>
  <c r="AX185" i="3416"/>
  <c r="AW185" i="3416"/>
  <c r="AV185" i="3416"/>
  <c r="AU185" i="3416"/>
  <c r="AT185" i="3416"/>
  <c r="AS185" i="3416"/>
  <c r="AR185" i="3416"/>
  <c r="AQ185" i="3416"/>
  <c r="AP185" i="3416"/>
  <c r="AO185" i="3416"/>
  <c r="AN185" i="3416"/>
  <c r="AM185" i="3416"/>
  <c r="AL185" i="3416"/>
  <c r="AK185" i="3416"/>
  <c r="AJ185" i="3416"/>
  <c r="AI185" i="3416"/>
  <c r="AH185" i="3416"/>
  <c r="AG185" i="3416"/>
  <c r="AF185" i="3416"/>
  <c r="AE185" i="3416"/>
  <c r="AD185" i="3416"/>
  <c r="AC185" i="3416"/>
  <c r="AB185" i="3416"/>
  <c r="AA185" i="3416"/>
  <c r="Z185" i="3416"/>
  <c r="Y185" i="3416"/>
  <c r="X185" i="3416"/>
  <c r="W185" i="3416"/>
  <c r="V185" i="3416"/>
  <c r="U185" i="3416"/>
  <c r="T185" i="3416"/>
  <c r="S185" i="3416"/>
  <c r="R185" i="3416"/>
  <c r="Q185" i="3416"/>
  <c r="P185" i="3416"/>
  <c r="O185" i="3416"/>
  <c r="N185" i="3416"/>
  <c r="M185" i="3416"/>
  <c r="L185" i="3416"/>
  <c r="K185" i="3416"/>
  <c r="J185" i="3416"/>
  <c r="I185" i="3416"/>
  <c r="H185" i="3416"/>
  <c r="G185" i="3416"/>
  <c r="F185" i="3416"/>
  <c r="E185" i="3416"/>
  <c r="D185" i="3416"/>
  <c r="C185" i="3416" a="1"/>
  <c r="C185" i="3416"/>
  <c r="A185" i="3416"/>
  <c r="EM184" i="3416"/>
  <c r="EL184" i="3416"/>
  <c r="EK184" i="3416"/>
  <c r="EJ184" i="3416"/>
  <c r="EI184" i="3416"/>
  <c r="EH184" i="3416"/>
  <c r="EG184" i="3416"/>
  <c r="EF184" i="3416"/>
  <c r="EE184" i="3416"/>
  <c r="ED184" i="3416"/>
  <c r="EC184" i="3416"/>
  <c r="EB184" i="3416"/>
  <c r="EA184" i="3416"/>
  <c r="DZ184" i="3416"/>
  <c r="DY184" i="3416"/>
  <c r="DX184" i="3416"/>
  <c r="DW184" i="3416"/>
  <c r="DV184" i="3416"/>
  <c r="DU184" i="3416"/>
  <c r="DT184" i="3416"/>
  <c r="DS184" i="3416"/>
  <c r="DR184" i="3416"/>
  <c r="DQ184" i="3416"/>
  <c r="DP184" i="3416"/>
  <c r="DO184" i="3416"/>
  <c r="DN184" i="3416"/>
  <c r="DM184" i="3416"/>
  <c r="DL184" i="3416"/>
  <c r="DK184" i="3416"/>
  <c r="DJ184" i="3416"/>
  <c r="DI184" i="3416"/>
  <c r="DH184" i="3416"/>
  <c r="DG184" i="3416"/>
  <c r="DF184" i="3416"/>
  <c r="DE184" i="3416"/>
  <c r="DD184" i="3416"/>
  <c r="DC184" i="3416"/>
  <c r="DB184" i="3416"/>
  <c r="DA184" i="3416"/>
  <c r="CZ184" i="3416"/>
  <c r="CY184" i="3416"/>
  <c r="CX184" i="3416"/>
  <c r="CW184" i="3416"/>
  <c r="CV184" i="3416"/>
  <c r="CU184" i="3416"/>
  <c r="CT184" i="3416"/>
  <c r="CS184" i="3416"/>
  <c r="CR184" i="3416"/>
  <c r="CQ184" i="3416"/>
  <c r="CP184" i="3416"/>
  <c r="CO184" i="3416"/>
  <c r="CN184" i="3416"/>
  <c r="CM184" i="3416"/>
  <c r="CL184" i="3416"/>
  <c r="CK184" i="3416"/>
  <c r="CJ184" i="3416"/>
  <c r="CI184" i="3416"/>
  <c r="CH184" i="3416"/>
  <c r="CG184" i="3416"/>
  <c r="CF184" i="3416"/>
  <c r="CE184" i="3416"/>
  <c r="CD184" i="3416"/>
  <c r="CC184" i="3416"/>
  <c r="CB184" i="3416"/>
  <c r="CA184" i="3416"/>
  <c r="BZ184" i="3416"/>
  <c r="BY184" i="3416"/>
  <c r="BX184" i="3416"/>
  <c r="BW184" i="3416"/>
  <c r="BV184" i="3416"/>
  <c r="BU184" i="3416"/>
  <c r="BT184" i="3416"/>
  <c r="BS184" i="3416"/>
  <c r="BR184" i="3416"/>
  <c r="BQ184" i="3416"/>
  <c r="BP184" i="3416"/>
  <c r="BO184" i="3416"/>
  <c r="BN184" i="3416"/>
  <c r="BM184" i="3416"/>
  <c r="BL184" i="3416"/>
  <c r="BK184" i="3416"/>
  <c r="BJ184" i="3416"/>
  <c r="BI184" i="3416"/>
  <c r="BH184" i="3416"/>
  <c r="BG184" i="3416"/>
  <c r="BF184" i="3416"/>
  <c r="BE184" i="3416"/>
  <c r="BD184" i="3416"/>
  <c r="BC184" i="3416"/>
  <c r="BB184" i="3416"/>
  <c r="BA184" i="3416"/>
  <c r="AZ184" i="3416"/>
  <c r="AY184" i="3416"/>
  <c r="AX184" i="3416"/>
  <c r="AW184" i="3416"/>
  <c r="AV184" i="3416"/>
  <c r="AU184" i="3416"/>
  <c r="AT184" i="3416"/>
  <c r="AS184" i="3416"/>
  <c r="AR184" i="3416"/>
  <c r="AQ184" i="3416"/>
  <c r="AP184" i="3416"/>
  <c r="AO184" i="3416"/>
  <c r="AN184" i="3416"/>
  <c r="AM184" i="3416"/>
  <c r="AL184" i="3416"/>
  <c r="AK184" i="3416"/>
  <c r="AJ184" i="3416"/>
  <c r="AI184" i="3416"/>
  <c r="AH184" i="3416"/>
  <c r="AG184" i="3416"/>
  <c r="AF184" i="3416"/>
  <c r="AE184" i="3416"/>
  <c r="AD184" i="3416"/>
  <c r="AC184" i="3416"/>
  <c r="AB184" i="3416"/>
  <c r="AA184" i="3416"/>
  <c r="Z184" i="3416"/>
  <c r="Y184" i="3416"/>
  <c r="X184" i="3416"/>
  <c r="W184" i="3416"/>
  <c r="V184" i="3416"/>
  <c r="U184" i="3416"/>
  <c r="T184" i="3416"/>
  <c r="S184" i="3416"/>
  <c r="R184" i="3416"/>
  <c r="Q184" i="3416"/>
  <c r="P184" i="3416"/>
  <c r="O184" i="3416"/>
  <c r="N184" i="3416"/>
  <c r="M184" i="3416"/>
  <c r="L184" i="3416"/>
  <c r="K184" i="3416"/>
  <c r="J184" i="3416"/>
  <c r="I184" i="3416"/>
  <c r="H184" i="3416"/>
  <c r="G184" i="3416"/>
  <c r="F184" i="3416"/>
  <c r="E184" i="3416"/>
  <c r="D184" i="3416"/>
  <c r="C184" i="3416" a="1"/>
  <c r="C184" i="3416"/>
  <c r="A184" i="3416"/>
  <c r="EM183" i="3416"/>
  <c r="EL183" i="3416"/>
  <c r="EK183" i="3416"/>
  <c r="EJ183" i="3416"/>
  <c r="EI183" i="3416"/>
  <c r="EH183" i="3416"/>
  <c r="EG183" i="3416"/>
  <c r="EF183" i="3416"/>
  <c r="EE183" i="3416"/>
  <c r="ED183" i="3416"/>
  <c r="EC183" i="3416"/>
  <c r="EB183" i="3416"/>
  <c r="EA183" i="3416"/>
  <c r="DZ183" i="3416"/>
  <c r="DY183" i="3416"/>
  <c r="DX183" i="3416"/>
  <c r="DW183" i="3416"/>
  <c r="DV183" i="3416"/>
  <c r="DU183" i="3416"/>
  <c r="DT183" i="3416"/>
  <c r="DS183" i="3416"/>
  <c r="DR183" i="3416"/>
  <c r="DQ183" i="3416"/>
  <c r="DP183" i="3416"/>
  <c r="DO183" i="3416"/>
  <c r="DN183" i="3416"/>
  <c r="DM183" i="3416"/>
  <c r="DL183" i="3416"/>
  <c r="DK183" i="3416"/>
  <c r="DJ183" i="3416"/>
  <c r="DI183" i="3416"/>
  <c r="DH183" i="3416"/>
  <c r="DG183" i="3416"/>
  <c r="DF183" i="3416"/>
  <c r="DE183" i="3416"/>
  <c r="DD183" i="3416"/>
  <c r="DC183" i="3416"/>
  <c r="DB183" i="3416"/>
  <c r="DA183" i="3416"/>
  <c r="CZ183" i="3416"/>
  <c r="CY183" i="3416"/>
  <c r="CX183" i="3416"/>
  <c r="CW183" i="3416"/>
  <c r="CV183" i="3416"/>
  <c r="CU183" i="3416"/>
  <c r="CT183" i="3416"/>
  <c r="CS183" i="3416"/>
  <c r="CR183" i="3416"/>
  <c r="CQ183" i="3416"/>
  <c r="CP183" i="3416"/>
  <c r="CO183" i="3416"/>
  <c r="CN183" i="3416"/>
  <c r="CM183" i="3416"/>
  <c r="CL183" i="3416"/>
  <c r="CK183" i="3416"/>
  <c r="CJ183" i="3416"/>
  <c r="CI183" i="3416"/>
  <c r="CH183" i="3416"/>
  <c r="CG183" i="3416"/>
  <c r="CF183" i="3416"/>
  <c r="CE183" i="3416"/>
  <c r="CD183" i="3416"/>
  <c r="CC183" i="3416"/>
  <c r="CB183" i="3416"/>
  <c r="CA183" i="3416"/>
  <c r="BZ183" i="3416"/>
  <c r="BY183" i="3416"/>
  <c r="BX183" i="3416"/>
  <c r="BW183" i="3416"/>
  <c r="BV183" i="3416"/>
  <c r="BU183" i="3416"/>
  <c r="BT183" i="3416"/>
  <c r="BS183" i="3416"/>
  <c r="BR183" i="3416"/>
  <c r="BQ183" i="3416"/>
  <c r="BP183" i="3416"/>
  <c r="BO183" i="3416"/>
  <c r="BN183" i="3416"/>
  <c r="BM183" i="3416"/>
  <c r="BL183" i="3416"/>
  <c r="BK183" i="3416"/>
  <c r="BJ183" i="3416"/>
  <c r="BI183" i="3416"/>
  <c r="BH183" i="3416"/>
  <c r="BG183" i="3416"/>
  <c r="BF183" i="3416"/>
  <c r="BE183" i="3416"/>
  <c r="BD183" i="3416"/>
  <c r="BC183" i="3416"/>
  <c r="BB183" i="3416"/>
  <c r="BA183" i="3416"/>
  <c r="AZ183" i="3416"/>
  <c r="AY183" i="3416"/>
  <c r="AX183" i="3416"/>
  <c r="AW183" i="3416"/>
  <c r="AV183" i="3416"/>
  <c r="AU183" i="3416"/>
  <c r="AT183" i="3416"/>
  <c r="AS183" i="3416"/>
  <c r="AR183" i="3416"/>
  <c r="AQ183" i="3416"/>
  <c r="AP183" i="3416"/>
  <c r="AO183" i="3416"/>
  <c r="AN183" i="3416"/>
  <c r="AM183" i="3416"/>
  <c r="AL183" i="3416"/>
  <c r="AK183" i="3416"/>
  <c r="AJ183" i="3416"/>
  <c r="AI183" i="3416"/>
  <c r="AH183" i="3416"/>
  <c r="AG183" i="3416"/>
  <c r="AF183" i="3416"/>
  <c r="AE183" i="3416"/>
  <c r="AD183" i="3416"/>
  <c r="AC183" i="3416"/>
  <c r="AB183" i="3416"/>
  <c r="AA183" i="3416"/>
  <c r="Z183" i="3416"/>
  <c r="Y183" i="3416"/>
  <c r="X183" i="3416"/>
  <c r="W183" i="3416"/>
  <c r="V183" i="3416"/>
  <c r="U183" i="3416"/>
  <c r="T183" i="3416"/>
  <c r="S183" i="3416"/>
  <c r="R183" i="3416"/>
  <c r="Q183" i="3416"/>
  <c r="P183" i="3416"/>
  <c r="O183" i="3416"/>
  <c r="N183" i="3416"/>
  <c r="M183" i="3416"/>
  <c r="L183" i="3416"/>
  <c r="K183" i="3416"/>
  <c r="J183" i="3416"/>
  <c r="I183" i="3416"/>
  <c r="H183" i="3416"/>
  <c r="G183" i="3416"/>
  <c r="F183" i="3416"/>
  <c r="E183" i="3416"/>
  <c r="D183" i="3416"/>
  <c r="C183" i="3416" a="1"/>
  <c r="C183" i="3416"/>
  <c r="A183" i="3416"/>
  <c r="EM182" i="3416"/>
  <c r="EL182" i="3416"/>
  <c r="EK182" i="3416"/>
  <c r="EJ182" i="3416"/>
  <c r="EI182" i="3416"/>
  <c r="EH182" i="3416"/>
  <c r="EG182" i="3416"/>
  <c r="EF182" i="3416"/>
  <c r="EE182" i="3416"/>
  <c r="ED182" i="3416"/>
  <c r="EC182" i="3416"/>
  <c r="EB182" i="3416"/>
  <c r="EA182" i="3416"/>
  <c r="DZ182" i="3416"/>
  <c r="DY182" i="3416"/>
  <c r="DX182" i="3416"/>
  <c r="DW182" i="3416"/>
  <c r="DV182" i="3416"/>
  <c r="DU182" i="3416"/>
  <c r="DT182" i="3416"/>
  <c r="DS182" i="3416"/>
  <c r="DR182" i="3416"/>
  <c r="DQ182" i="3416"/>
  <c r="DP182" i="3416"/>
  <c r="DO182" i="3416"/>
  <c r="DN182" i="3416"/>
  <c r="DM182" i="3416"/>
  <c r="DL182" i="3416"/>
  <c r="DK182" i="3416"/>
  <c r="DJ182" i="3416"/>
  <c r="DI182" i="3416"/>
  <c r="DH182" i="3416"/>
  <c r="DG182" i="3416"/>
  <c r="DF182" i="3416"/>
  <c r="DE182" i="3416"/>
  <c r="DD182" i="3416"/>
  <c r="DC182" i="3416"/>
  <c r="DB182" i="3416"/>
  <c r="DA182" i="3416"/>
  <c r="CZ182" i="3416"/>
  <c r="CY182" i="3416"/>
  <c r="CX182" i="3416"/>
  <c r="CW182" i="3416"/>
  <c r="CV182" i="3416"/>
  <c r="CU182" i="3416"/>
  <c r="CT182" i="3416"/>
  <c r="CS182" i="3416"/>
  <c r="CR182" i="3416"/>
  <c r="CQ182" i="3416"/>
  <c r="CP182" i="3416"/>
  <c r="CO182" i="3416"/>
  <c r="CN182" i="3416"/>
  <c r="CM182" i="3416"/>
  <c r="CL182" i="3416"/>
  <c r="CK182" i="3416"/>
  <c r="CJ182" i="3416"/>
  <c r="CI182" i="3416"/>
  <c r="CH182" i="3416"/>
  <c r="CG182" i="3416"/>
  <c r="CF182" i="3416"/>
  <c r="CE182" i="3416"/>
  <c r="CD182" i="3416"/>
  <c r="CC182" i="3416"/>
  <c r="CB182" i="3416"/>
  <c r="CA182" i="3416"/>
  <c r="BZ182" i="3416"/>
  <c r="BY182" i="3416"/>
  <c r="BX182" i="3416"/>
  <c r="BW182" i="3416"/>
  <c r="BV182" i="3416"/>
  <c r="BU182" i="3416"/>
  <c r="BT182" i="3416"/>
  <c r="BS182" i="3416"/>
  <c r="BR182" i="3416"/>
  <c r="BQ182" i="3416"/>
  <c r="BP182" i="3416"/>
  <c r="BO182" i="3416"/>
  <c r="BN182" i="3416"/>
  <c r="BM182" i="3416"/>
  <c r="BL182" i="3416"/>
  <c r="BK182" i="3416"/>
  <c r="BJ182" i="3416"/>
  <c r="BI182" i="3416"/>
  <c r="BH182" i="3416"/>
  <c r="BG182" i="3416"/>
  <c r="BF182" i="3416"/>
  <c r="BE182" i="3416"/>
  <c r="BD182" i="3416"/>
  <c r="BC182" i="3416"/>
  <c r="BB182" i="3416"/>
  <c r="BA182" i="3416"/>
  <c r="AZ182" i="3416"/>
  <c r="AY182" i="3416"/>
  <c r="AX182" i="3416"/>
  <c r="AW182" i="3416"/>
  <c r="AV182" i="3416"/>
  <c r="AU182" i="3416"/>
  <c r="AT182" i="3416"/>
  <c r="AS182" i="3416"/>
  <c r="AR182" i="3416"/>
  <c r="AQ182" i="3416"/>
  <c r="AP182" i="3416"/>
  <c r="AO182" i="3416"/>
  <c r="AN182" i="3416"/>
  <c r="AM182" i="3416"/>
  <c r="AL182" i="3416"/>
  <c r="AK182" i="3416"/>
  <c r="AJ182" i="3416"/>
  <c r="AI182" i="3416"/>
  <c r="AH182" i="3416"/>
  <c r="AG182" i="3416"/>
  <c r="AF182" i="3416"/>
  <c r="AE182" i="3416"/>
  <c r="AD182" i="3416"/>
  <c r="AC182" i="3416"/>
  <c r="AB182" i="3416"/>
  <c r="AA182" i="3416"/>
  <c r="Z182" i="3416"/>
  <c r="Y182" i="3416"/>
  <c r="X182" i="3416"/>
  <c r="W182" i="3416"/>
  <c r="V182" i="3416"/>
  <c r="U182" i="3416"/>
  <c r="T182" i="3416"/>
  <c r="S182" i="3416"/>
  <c r="R182" i="3416"/>
  <c r="Q182" i="3416"/>
  <c r="P182" i="3416"/>
  <c r="O182" i="3416"/>
  <c r="N182" i="3416"/>
  <c r="M182" i="3416"/>
  <c r="L182" i="3416"/>
  <c r="K182" i="3416"/>
  <c r="J182" i="3416"/>
  <c r="I182" i="3416"/>
  <c r="H182" i="3416"/>
  <c r="G182" i="3416"/>
  <c r="F182" i="3416"/>
  <c r="E182" i="3416"/>
  <c r="D182" i="3416"/>
  <c r="C182" i="3416" a="1"/>
  <c r="C182" i="3416"/>
  <c r="A182" i="3416"/>
  <c r="EM181" i="3416"/>
  <c r="EL181" i="3416"/>
  <c r="EK181" i="3416"/>
  <c r="EJ181" i="3416"/>
  <c r="EI181" i="3416"/>
  <c r="EH181" i="3416"/>
  <c r="EG181" i="3416"/>
  <c r="EF181" i="3416"/>
  <c r="EE181" i="3416"/>
  <c r="ED181" i="3416"/>
  <c r="EC181" i="3416"/>
  <c r="EB181" i="3416"/>
  <c r="EA181" i="3416"/>
  <c r="DZ181" i="3416"/>
  <c r="DY181" i="3416"/>
  <c r="DX181" i="3416"/>
  <c r="DW181" i="3416"/>
  <c r="DV181" i="3416"/>
  <c r="DU181" i="3416"/>
  <c r="DT181" i="3416"/>
  <c r="DS181" i="3416"/>
  <c r="DR181" i="3416"/>
  <c r="DQ181" i="3416"/>
  <c r="DP181" i="3416"/>
  <c r="DO181" i="3416"/>
  <c r="DN181" i="3416"/>
  <c r="DM181" i="3416"/>
  <c r="DL181" i="3416"/>
  <c r="DK181" i="3416"/>
  <c r="DJ181" i="3416"/>
  <c r="DI181" i="3416"/>
  <c r="DH181" i="3416"/>
  <c r="DG181" i="3416"/>
  <c r="DF181" i="3416"/>
  <c r="DE181" i="3416"/>
  <c r="DD181" i="3416"/>
  <c r="DC181" i="3416"/>
  <c r="DB181" i="3416"/>
  <c r="DA181" i="3416"/>
  <c r="CZ181" i="3416"/>
  <c r="CY181" i="3416"/>
  <c r="CX181" i="3416"/>
  <c r="CW181" i="3416"/>
  <c r="CV181" i="3416"/>
  <c r="CU181" i="3416"/>
  <c r="CT181" i="3416"/>
  <c r="CS181" i="3416"/>
  <c r="CR181" i="3416"/>
  <c r="CQ181" i="3416"/>
  <c r="CP181" i="3416"/>
  <c r="CO181" i="3416"/>
  <c r="CN181" i="3416"/>
  <c r="CM181" i="3416"/>
  <c r="CL181" i="3416"/>
  <c r="CK181" i="3416"/>
  <c r="CJ181" i="3416"/>
  <c r="CI181" i="3416"/>
  <c r="CH181" i="3416"/>
  <c r="CG181" i="3416"/>
  <c r="CF181" i="3416"/>
  <c r="CE181" i="3416"/>
  <c r="CD181" i="3416"/>
  <c r="CC181" i="3416"/>
  <c r="CB181" i="3416"/>
  <c r="CA181" i="3416"/>
  <c r="BZ181" i="3416"/>
  <c r="BY181" i="3416"/>
  <c r="BX181" i="3416"/>
  <c r="BW181" i="3416"/>
  <c r="BV181" i="3416"/>
  <c r="BU181" i="3416"/>
  <c r="BT181" i="3416"/>
  <c r="BS181" i="3416"/>
  <c r="BR181" i="3416"/>
  <c r="BQ181" i="3416"/>
  <c r="BP181" i="3416"/>
  <c r="BO181" i="3416"/>
  <c r="BN181" i="3416"/>
  <c r="BM181" i="3416"/>
  <c r="BL181" i="3416"/>
  <c r="BK181" i="3416"/>
  <c r="BJ181" i="3416"/>
  <c r="BI181" i="3416"/>
  <c r="BH181" i="3416"/>
  <c r="BG181" i="3416"/>
  <c r="BF181" i="3416"/>
  <c r="BE181" i="3416"/>
  <c r="BD181" i="3416"/>
  <c r="BC181" i="3416"/>
  <c r="BB181" i="3416"/>
  <c r="BA181" i="3416"/>
  <c r="AZ181" i="3416"/>
  <c r="AY181" i="3416"/>
  <c r="AX181" i="3416"/>
  <c r="AW181" i="3416"/>
  <c r="AV181" i="3416"/>
  <c r="AU181" i="3416"/>
  <c r="AT181" i="3416"/>
  <c r="AS181" i="3416"/>
  <c r="AR181" i="3416"/>
  <c r="AQ181" i="3416"/>
  <c r="AP181" i="3416"/>
  <c r="AO181" i="3416"/>
  <c r="AN181" i="3416"/>
  <c r="AM181" i="3416"/>
  <c r="AL181" i="3416"/>
  <c r="AK181" i="3416"/>
  <c r="AJ181" i="3416"/>
  <c r="AI181" i="3416"/>
  <c r="AH181" i="3416"/>
  <c r="AG181" i="3416"/>
  <c r="AF181" i="3416"/>
  <c r="AE181" i="3416"/>
  <c r="AD181" i="3416"/>
  <c r="AC181" i="3416"/>
  <c r="AB181" i="3416"/>
  <c r="AA181" i="3416"/>
  <c r="Z181" i="3416"/>
  <c r="Y181" i="3416"/>
  <c r="X181" i="3416"/>
  <c r="W181" i="3416"/>
  <c r="V181" i="3416"/>
  <c r="U181" i="3416"/>
  <c r="T181" i="3416"/>
  <c r="S181" i="3416"/>
  <c r="R181" i="3416"/>
  <c r="Q181" i="3416"/>
  <c r="P181" i="3416"/>
  <c r="O181" i="3416"/>
  <c r="N181" i="3416"/>
  <c r="M181" i="3416"/>
  <c r="L181" i="3416"/>
  <c r="K181" i="3416"/>
  <c r="J181" i="3416"/>
  <c r="I181" i="3416"/>
  <c r="H181" i="3416"/>
  <c r="G181" i="3416"/>
  <c r="F181" i="3416"/>
  <c r="E181" i="3416"/>
  <c r="D181" i="3416"/>
  <c r="C181" i="3416" a="1"/>
  <c r="C181" i="3416"/>
  <c r="A181" i="3416"/>
  <c r="EM180" i="3416"/>
  <c r="EL180" i="3416"/>
  <c r="EK180" i="3416"/>
  <c r="EJ180" i="3416"/>
  <c r="EI180" i="3416"/>
  <c r="EH180" i="3416"/>
  <c r="EG180" i="3416"/>
  <c r="EF180" i="3416"/>
  <c r="EE180" i="3416"/>
  <c r="ED180" i="3416"/>
  <c r="EC180" i="3416"/>
  <c r="EB180" i="3416"/>
  <c r="EA180" i="3416"/>
  <c r="DZ180" i="3416"/>
  <c r="DY180" i="3416"/>
  <c r="DX180" i="3416"/>
  <c r="DW180" i="3416"/>
  <c r="DV180" i="3416"/>
  <c r="DU180" i="3416"/>
  <c r="DT180" i="3416"/>
  <c r="DS180" i="3416"/>
  <c r="DR180" i="3416"/>
  <c r="DQ180" i="3416"/>
  <c r="DP180" i="3416"/>
  <c r="DO180" i="3416"/>
  <c r="DN180" i="3416"/>
  <c r="DM180" i="3416"/>
  <c r="DL180" i="3416"/>
  <c r="DK180" i="3416"/>
  <c r="DJ180" i="3416"/>
  <c r="DI180" i="3416"/>
  <c r="DH180" i="3416"/>
  <c r="DG180" i="3416"/>
  <c r="DF180" i="3416"/>
  <c r="DE180" i="3416"/>
  <c r="DD180" i="3416"/>
  <c r="DC180" i="3416"/>
  <c r="DB180" i="3416"/>
  <c r="DA180" i="3416"/>
  <c r="CZ180" i="3416"/>
  <c r="CY180" i="3416"/>
  <c r="CX180" i="3416"/>
  <c r="CW180" i="3416"/>
  <c r="CV180" i="3416"/>
  <c r="CU180" i="3416"/>
  <c r="CT180" i="3416"/>
  <c r="CS180" i="3416"/>
  <c r="CR180" i="3416"/>
  <c r="CQ180" i="3416"/>
  <c r="CP180" i="3416"/>
  <c r="CO180" i="3416"/>
  <c r="CN180" i="3416"/>
  <c r="CM180" i="3416"/>
  <c r="CL180" i="3416"/>
  <c r="CK180" i="3416"/>
  <c r="CJ180" i="3416"/>
  <c r="CI180" i="3416"/>
  <c r="CH180" i="3416"/>
  <c r="CG180" i="3416"/>
  <c r="CF180" i="3416"/>
  <c r="CE180" i="3416"/>
  <c r="CD180" i="3416"/>
  <c r="CC180" i="3416"/>
  <c r="CB180" i="3416"/>
  <c r="CA180" i="3416"/>
  <c r="BZ180" i="3416"/>
  <c r="BY180" i="3416"/>
  <c r="BX180" i="3416"/>
  <c r="BW180" i="3416"/>
  <c r="BV180" i="3416"/>
  <c r="BU180" i="3416"/>
  <c r="BT180" i="3416"/>
  <c r="BS180" i="3416"/>
  <c r="BR180" i="3416"/>
  <c r="BQ180" i="3416"/>
  <c r="BP180" i="3416"/>
  <c r="BO180" i="3416"/>
  <c r="BN180" i="3416"/>
  <c r="BM180" i="3416"/>
  <c r="BL180" i="3416"/>
  <c r="BK180" i="3416"/>
  <c r="BJ180" i="3416"/>
  <c r="BI180" i="3416"/>
  <c r="BH180" i="3416"/>
  <c r="BG180" i="3416"/>
  <c r="BF180" i="3416"/>
  <c r="BE180" i="3416"/>
  <c r="BD180" i="3416"/>
  <c r="BC180" i="3416"/>
  <c r="BB180" i="3416"/>
  <c r="BA180" i="3416"/>
  <c r="AZ180" i="3416"/>
  <c r="AY180" i="3416"/>
  <c r="AX180" i="3416"/>
  <c r="AW180" i="3416"/>
  <c r="AV180" i="3416"/>
  <c r="AU180" i="3416"/>
  <c r="AT180" i="3416"/>
  <c r="AS180" i="3416"/>
  <c r="AR180" i="3416"/>
  <c r="AQ180" i="3416"/>
  <c r="AP180" i="3416"/>
  <c r="AO180" i="3416"/>
  <c r="AN180" i="3416"/>
  <c r="AM180" i="3416"/>
  <c r="AL180" i="3416"/>
  <c r="AK180" i="3416"/>
  <c r="AJ180" i="3416"/>
  <c r="AI180" i="3416"/>
  <c r="AH180" i="3416"/>
  <c r="AG180" i="3416"/>
  <c r="AF180" i="3416"/>
  <c r="AE180" i="3416"/>
  <c r="AD180" i="3416"/>
  <c r="AC180" i="3416"/>
  <c r="AB180" i="3416"/>
  <c r="AA180" i="3416"/>
  <c r="Z180" i="3416"/>
  <c r="Y180" i="3416"/>
  <c r="X180" i="3416"/>
  <c r="W180" i="3416"/>
  <c r="V180" i="3416"/>
  <c r="U180" i="3416"/>
  <c r="T180" i="3416"/>
  <c r="S180" i="3416"/>
  <c r="R180" i="3416"/>
  <c r="Q180" i="3416"/>
  <c r="P180" i="3416"/>
  <c r="O180" i="3416"/>
  <c r="N180" i="3416"/>
  <c r="M180" i="3416"/>
  <c r="L180" i="3416"/>
  <c r="K180" i="3416"/>
  <c r="J180" i="3416"/>
  <c r="I180" i="3416"/>
  <c r="H180" i="3416"/>
  <c r="G180" i="3416"/>
  <c r="F180" i="3416"/>
  <c r="E180" i="3416"/>
  <c r="D180" i="3416"/>
  <c r="C180" i="3416" a="1"/>
  <c r="C180" i="3416"/>
  <c r="A180" i="3416"/>
  <c r="EM179" i="3416"/>
  <c r="EL179" i="3416"/>
  <c r="EK179" i="3416"/>
  <c r="EJ179" i="3416"/>
  <c r="EI179" i="3416"/>
  <c r="EH179" i="3416"/>
  <c r="EG179" i="3416"/>
  <c r="EF179" i="3416"/>
  <c r="EE179" i="3416"/>
  <c r="ED179" i="3416"/>
  <c r="EC179" i="3416"/>
  <c r="EB179" i="3416"/>
  <c r="EA179" i="3416"/>
  <c r="DZ179" i="3416"/>
  <c r="DY179" i="3416"/>
  <c r="DX179" i="3416"/>
  <c r="DW179" i="3416"/>
  <c r="DV179" i="3416"/>
  <c r="DU179" i="3416"/>
  <c r="DT179" i="3416"/>
  <c r="DS179" i="3416"/>
  <c r="DR179" i="3416"/>
  <c r="DQ179" i="3416"/>
  <c r="DP179" i="3416"/>
  <c r="DO179" i="3416"/>
  <c r="DN179" i="3416"/>
  <c r="DM179" i="3416"/>
  <c r="DL179" i="3416"/>
  <c r="DK179" i="3416"/>
  <c r="DJ179" i="3416"/>
  <c r="DI179" i="3416"/>
  <c r="DH179" i="3416"/>
  <c r="DG179" i="3416"/>
  <c r="DF179" i="3416"/>
  <c r="DE179" i="3416"/>
  <c r="DD179" i="3416"/>
  <c r="DC179" i="3416"/>
  <c r="DB179" i="3416"/>
  <c r="DA179" i="3416"/>
  <c r="CZ179" i="3416"/>
  <c r="CY179" i="3416"/>
  <c r="CX179" i="3416"/>
  <c r="CW179" i="3416"/>
  <c r="CV179" i="3416"/>
  <c r="CU179" i="3416"/>
  <c r="CT179" i="3416"/>
  <c r="CS179" i="3416"/>
  <c r="CR179" i="3416"/>
  <c r="CQ179" i="3416"/>
  <c r="CP179" i="3416"/>
  <c r="CO179" i="3416"/>
  <c r="CN179" i="3416"/>
  <c r="CM179" i="3416"/>
  <c r="CL179" i="3416"/>
  <c r="CK179" i="3416"/>
  <c r="CJ179" i="3416"/>
  <c r="CI179" i="3416"/>
  <c r="CH179" i="3416"/>
  <c r="CG179" i="3416"/>
  <c r="CF179" i="3416"/>
  <c r="CE179" i="3416"/>
  <c r="CD179" i="3416"/>
  <c r="CC179" i="3416"/>
  <c r="CB179" i="3416"/>
  <c r="CA179" i="3416"/>
  <c r="BZ179" i="3416"/>
  <c r="BY179" i="3416"/>
  <c r="BX179" i="3416"/>
  <c r="BW179" i="3416"/>
  <c r="BV179" i="3416"/>
  <c r="BU179" i="3416"/>
  <c r="BT179" i="3416"/>
  <c r="BS179" i="3416"/>
  <c r="BR179" i="3416"/>
  <c r="BQ179" i="3416"/>
  <c r="BP179" i="3416"/>
  <c r="BO179" i="3416"/>
  <c r="BN179" i="3416"/>
  <c r="BM179" i="3416"/>
  <c r="BL179" i="3416"/>
  <c r="BK179" i="3416"/>
  <c r="BJ179" i="3416"/>
  <c r="BI179" i="3416"/>
  <c r="BH179" i="3416"/>
  <c r="BG179" i="3416"/>
  <c r="BF179" i="3416"/>
  <c r="BE179" i="3416"/>
  <c r="BD179" i="3416"/>
  <c r="BC179" i="3416"/>
  <c r="BB179" i="3416"/>
  <c r="BA179" i="3416"/>
  <c r="AZ179" i="3416"/>
  <c r="AY179" i="3416"/>
  <c r="AX179" i="3416"/>
  <c r="AW179" i="3416"/>
  <c r="AV179" i="3416"/>
  <c r="AU179" i="3416"/>
  <c r="AT179" i="3416"/>
  <c r="AS179" i="3416"/>
  <c r="AR179" i="3416"/>
  <c r="AQ179" i="3416"/>
  <c r="AP179" i="3416"/>
  <c r="AO179" i="3416"/>
  <c r="AN179" i="3416"/>
  <c r="AM179" i="3416"/>
  <c r="AL179" i="3416"/>
  <c r="AK179" i="3416"/>
  <c r="AJ179" i="3416"/>
  <c r="AI179" i="3416"/>
  <c r="AH179" i="3416"/>
  <c r="AG179" i="3416"/>
  <c r="AF179" i="3416"/>
  <c r="AE179" i="3416"/>
  <c r="AD179" i="3416"/>
  <c r="AC179" i="3416"/>
  <c r="AB179" i="3416"/>
  <c r="AA179" i="3416"/>
  <c r="Z179" i="3416"/>
  <c r="Y179" i="3416"/>
  <c r="X179" i="3416"/>
  <c r="W179" i="3416"/>
  <c r="V179" i="3416"/>
  <c r="U179" i="3416"/>
  <c r="T179" i="3416"/>
  <c r="S179" i="3416"/>
  <c r="R179" i="3416"/>
  <c r="Q179" i="3416"/>
  <c r="P179" i="3416"/>
  <c r="O179" i="3416"/>
  <c r="N179" i="3416"/>
  <c r="M179" i="3416"/>
  <c r="L179" i="3416"/>
  <c r="K179" i="3416"/>
  <c r="J179" i="3416"/>
  <c r="I179" i="3416"/>
  <c r="H179" i="3416"/>
  <c r="G179" i="3416"/>
  <c r="F179" i="3416"/>
  <c r="E179" i="3416"/>
  <c r="D179" i="3416"/>
  <c r="C179" i="3416" a="1"/>
  <c r="C179" i="3416"/>
  <c r="A179" i="3416"/>
  <c r="EM178" i="3416"/>
  <c r="EL178" i="3416"/>
  <c r="EK178" i="3416"/>
  <c r="EJ178" i="3416"/>
  <c r="EI178" i="3416"/>
  <c r="EH178" i="3416"/>
  <c r="EG178" i="3416"/>
  <c r="EF178" i="3416"/>
  <c r="EE178" i="3416"/>
  <c r="ED178" i="3416"/>
  <c r="EC178" i="3416"/>
  <c r="EB178" i="3416"/>
  <c r="EA178" i="3416"/>
  <c r="DZ178" i="3416"/>
  <c r="DY178" i="3416"/>
  <c r="DX178" i="3416"/>
  <c r="DW178" i="3416"/>
  <c r="DV178" i="3416"/>
  <c r="DU178" i="3416"/>
  <c r="DT178" i="3416"/>
  <c r="DS178" i="3416"/>
  <c r="DR178" i="3416"/>
  <c r="DQ178" i="3416"/>
  <c r="DP178" i="3416"/>
  <c r="DO178" i="3416"/>
  <c r="DN178" i="3416"/>
  <c r="DM178" i="3416"/>
  <c r="DL178" i="3416"/>
  <c r="DK178" i="3416"/>
  <c r="DJ178" i="3416"/>
  <c r="DI178" i="3416"/>
  <c r="DH178" i="3416"/>
  <c r="DG178" i="3416"/>
  <c r="DF178" i="3416"/>
  <c r="DE178" i="3416"/>
  <c r="DD178" i="3416"/>
  <c r="DC178" i="3416"/>
  <c r="DB178" i="3416"/>
  <c r="DA178" i="3416"/>
  <c r="CZ178" i="3416"/>
  <c r="CY178" i="3416"/>
  <c r="CX178" i="3416"/>
  <c r="CW178" i="3416"/>
  <c r="CV178" i="3416"/>
  <c r="CU178" i="3416"/>
  <c r="CT178" i="3416"/>
  <c r="CS178" i="3416"/>
  <c r="CR178" i="3416"/>
  <c r="CQ178" i="3416"/>
  <c r="CP178" i="3416"/>
  <c r="CO178" i="3416"/>
  <c r="CN178" i="3416"/>
  <c r="CM178" i="3416"/>
  <c r="CL178" i="3416"/>
  <c r="CK178" i="3416"/>
  <c r="CJ178" i="3416"/>
  <c r="CI178" i="3416"/>
  <c r="CH178" i="3416"/>
  <c r="CG178" i="3416"/>
  <c r="CF178" i="3416"/>
  <c r="CE178" i="3416"/>
  <c r="CD178" i="3416"/>
  <c r="CC178" i="3416"/>
  <c r="CB178" i="3416"/>
  <c r="CA178" i="3416"/>
  <c r="BZ178" i="3416"/>
  <c r="BY178" i="3416"/>
  <c r="BX178" i="3416"/>
  <c r="BW178" i="3416"/>
  <c r="BV178" i="3416"/>
  <c r="BU178" i="3416"/>
  <c r="BT178" i="3416"/>
  <c r="BS178" i="3416"/>
  <c r="BR178" i="3416"/>
  <c r="BQ178" i="3416"/>
  <c r="BP178" i="3416"/>
  <c r="BO178" i="3416"/>
  <c r="BN178" i="3416"/>
  <c r="BM178" i="3416"/>
  <c r="BL178" i="3416"/>
  <c r="BK178" i="3416"/>
  <c r="BJ178" i="3416"/>
  <c r="BI178" i="3416"/>
  <c r="BH178" i="3416"/>
  <c r="BG178" i="3416"/>
  <c r="BF178" i="3416"/>
  <c r="BE178" i="3416"/>
  <c r="BD178" i="3416"/>
  <c r="BC178" i="3416"/>
  <c r="BB178" i="3416"/>
  <c r="BA178" i="3416"/>
  <c r="AZ178" i="3416"/>
  <c r="AY178" i="3416"/>
  <c r="AX178" i="3416"/>
  <c r="AW178" i="3416"/>
  <c r="AV178" i="3416"/>
  <c r="AU178" i="3416"/>
  <c r="AT178" i="3416"/>
  <c r="AS178" i="3416"/>
  <c r="AR178" i="3416"/>
  <c r="AQ178" i="3416"/>
  <c r="AP178" i="3416"/>
  <c r="AO178" i="3416"/>
  <c r="AN178" i="3416"/>
  <c r="AM178" i="3416"/>
  <c r="AL178" i="3416"/>
  <c r="AK178" i="3416"/>
  <c r="AJ178" i="3416"/>
  <c r="AI178" i="3416"/>
  <c r="AH178" i="3416"/>
  <c r="AG178" i="3416"/>
  <c r="AF178" i="3416"/>
  <c r="AE178" i="3416"/>
  <c r="AD178" i="3416"/>
  <c r="AC178" i="3416"/>
  <c r="AB178" i="3416"/>
  <c r="AA178" i="3416"/>
  <c r="Z178" i="3416"/>
  <c r="Y178" i="3416"/>
  <c r="X178" i="3416"/>
  <c r="W178" i="3416"/>
  <c r="V178" i="3416"/>
  <c r="U178" i="3416"/>
  <c r="T178" i="3416"/>
  <c r="S178" i="3416"/>
  <c r="R178" i="3416"/>
  <c r="Q178" i="3416"/>
  <c r="P178" i="3416"/>
  <c r="O178" i="3416"/>
  <c r="N178" i="3416"/>
  <c r="M178" i="3416"/>
  <c r="L178" i="3416"/>
  <c r="K178" i="3416"/>
  <c r="J178" i="3416"/>
  <c r="I178" i="3416"/>
  <c r="H178" i="3416"/>
  <c r="G178" i="3416"/>
  <c r="F178" i="3416"/>
  <c r="E178" i="3416"/>
  <c r="D178" i="3416"/>
  <c r="C178" i="3416" a="1"/>
  <c r="C178" i="3416"/>
  <c r="A178" i="3416"/>
  <c r="EM177" i="3416"/>
  <c r="EL177" i="3416"/>
  <c r="EK177" i="3416"/>
  <c r="EJ177" i="3416"/>
  <c r="EI177" i="3416"/>
  <c r="EH177" i="3416"/>
  <c r="EG177" i="3416"/>
  <c r="EF177" i="3416"/>
  <c r="EE177" i="3416"/>
  <c r="ED177" i="3416"/>
  <c r="EC177" i="3416"/>
  <c r="EB177" i="3416"/>
  <c r="EA177" i="3416"/>
  <c r="DZ177" i="3416"/>
  <c r="DY177" i="3416"/>
  <c r="DX177" i="3416"/>
  <c r="DW177" i="3416"/>
  <c r="DV177" i="3416"/>
  <c r="DU177" i="3416"/>
  <c r="DT177" i="3416"/>
  <c r="DS177" i="3416"/>
  <c r="DR177" i="3416"/>
  <c r="DQ177" i="3416"/>
  <c r="DP177" i="3416"/>
  <c r="DO177" i="3416"/>
  <c r="DN177" i="3416"/>
  <c r="DM177" i="3416"/>
  <c r="DL177" i="3416"/>
  <c r="DK177" i="3416"/>
  <c r="DJ177" i="3416"/>
  <c r="DI177" i="3416"/>
  <c r="DH177" i="3416"/>
  <c r="DG177" i="3416"/>
  <c r="DF177" i="3416"/>
  <c r="DE177" i="3416"/>
  <c r="DD177" i="3416"/>
  <c r="DC177" i="3416"/>
  <c r="DB177" i="3416"/>
  <c r="DA177" i="3416"/>
  <c r="CZ177" i="3416"/>
  <c r="CY177" i="3416"/>
  <c r="CX177" i="3416"/>
  <c r="CW177" i="3416"/>
  <c r="CV177" i="3416"/>
  <c r="CU177" i="3416"/>
  <c r="CT177" i="3416"/>
  <c r="CS177" i="3416"/>
  <c r="CR177" i="3416"/>
  <c r="CQ177" i="3416"/>
  <c r="CP177" i="3416"/>
  <c r="CO177" i="3416"/>
  <c r="CN177" i="3416"/>
  <c r="CM177" i="3416"/>
  <c r="CL177" i="3416"/>
  <c r="CK177" i="3416"/>
  <c r="CJ177" i="3416"/>
  <c r="CI177" i="3416"/>
  <c r="CH177" i="3416"/>
  <c r="CG177" i="3416"/>
  <c r="CF177" i="3416"/>
  <c r="CE177" i="3416"/>
  <c r="CD177" i="3416"/>
  <c r="CC177" i="3416"/>
  <c r="CB177" i="3416"/>
  <c r="CA177" i="3416"/>
  <c r="BZ177" i="3416"/>
  <c r="BY177" i="3416"/>
  <c r="BX177" i="3416"/>
  <c r="BW177" i="3416"/>
  <c r="BV177" i="3416"/>
  <c r="BU177" i="3416"/>
  <c r="BT177" i="3416"/>
  <c r="BS177" i="3416"/>
  <c r="BR177" i="3416"/>
  <c r="BQ177" i="3416"/>
  <c r="BP177" i="3416"/>
  <c r="BO177" i="3416"/>
  <c r="BN177" i="3416"/>
  <c r="BM177" i="3416"/>
  <c r="BL177" i="3416"/>
  <c r="BK177" i="3416"/>
  <c r="BJ177" i="3416"/>
  <c r="BI177" i="3416"/>
  <c r="BH177" i="3416"/>
  <c r="BG177" i="3416"/>
  <c r="BF177" i="3416"/>
  <c r="BE177" i="3416"/>
  <c r="BD177" i="3416"/>
  <c r="BC177" i="3416"/>
  <c r="BB177" i="3416"/>
  <c r="BA177" i="3416"/>
  <c r="AZ177" i="3416"/>
  <c r="AY177" i="3416"/>
  <c r="AX177" i="3416"/>
  <c r="AW177" i="3416"/>
  <c r="AV177" i="3416"/>
  <c r="AU177" i="3416"/>
  <c r="AT177" i="3416"/>
  <c r="AS177" i="3416"/>
  <c r="AR177" i="3416"/>
  <c r="AQ177" i="3416"/>
  <c r="AP177" i="3416"/>
  <c r="AO177" i="3416"/>
  <c r="AN177" i="3416"/>
  <c r="AM177" i="3416"/>
  <c r="AL177" i="3416"/>
  <c r="AK177" i="3416"/>
  <c r="AJ177" i="3416"/>
  <c r="AI177" i="3416"/>
  <c r="AH177" i="3416"/>
  <c r="AG177" i="3416"/>
  <c r="AF177" i="3416"/>
  <c r="AE177" i="3416"/>
  <c r="AD177" i="3416"/>
  <c r="AC177" i="3416"/>
  <c r="AB177" i="3416"/>
  <c r="AA177" i="3416"/>
  <c r="Z177" i="3416"/>
  <c r="Y177" i="3416"/>
  <c r="X177" i="3416"/>
  <c r="W177" i="3416"/>
  <c r="V177" i="3416"/>
  <c r="U177" i="3416"/>
  <c r="T177" i="3416"/>
  <c r="S177" i="3416"/>
  <c r="R177" i="3416"/>
  <c r="Q177" i="3416"/>
  <c r="P177" i="3416"/>
  <c r="O177" i="3416"/>
  <c r="N177" i="3416"/>
  <c r="M177" i="3416"/>
  <c r="L177" i="3416"/>
  <c r="K177" i="3416"/>
  <c r="J177" i="3416"/>
  <c r="I177" i="3416"/>
  <c r="H177" i="3416"/>
  <c r="G177" i="3416"/>
  <c r="F177" i="3416"/>
  <c r="E177" i="3416"/>
  <c r="D177" i="3416"/>
  <c r="C177" i="3416" a="1"/>
  <c r="C177" i="3416"/>
  <c r="A177" i="3416"/>
  <c r="EM176" i="3416"/>
  <c r="EL176" i="3416"/>
  <c r="EK176" i="3416"/>
  <c r="EJ176" i="3416"/>
  <c r="EI176" i="3416"/>
  <c r="EH176" i="3416"/>
  <c r="EG176" i="3416"/>
  <c r="EF176" i="3416"/>
  <c r="EE176" i="3416"/>
  <c r="ED176" i="3416"/>
  <c r="EC176" i="3416"/>
  <c r="EB176" i="3416"/>
  <c r="EA176" i="3416"/>
  <c r="DZ176" i="3416"/>
  <c r="DY176" i="3416"/>
  <c r="DX176" i="3416"/>
  <c r="DW176" i="3416"/>
  <c r="DV176" i="3416"/>
  <c r="DU176" i="3416"/>
  <c r="DT176" i="3416"/>
  <c r="DS176" i="3416"/>
  <c r="DR176" i="3416"/>
  <c r="DQ176" i="3416"/>
  <c r="DP176" i="3416"/>
  <c r="DO176" i="3416"/>
  <c r="DN176" i="3416"/>
  <c r="DM176" i="3416"/>
  <c r="DL176" i="3416"/>
  <c r="DK176" i="3416"/>
  <c r="DJ176" i="3416"/>
  <c r="DI176" i="3416"/>
  <c r="DH176" i="3416"/>
  <c r="DG176" i="3416"/>
  <c r="DF176" i="3416"/>
  <c r="DE176" i="3416"/>
  <c r="DD176" i="3416"/>
  <c r="DC176" i="3416"/>
  <c r="DB176" i="3416"/>
  <c r="DA176" i="3416"/>
  <c r="CZ176" i="3416"/>
  <c r="CY176" i="3416"/>
  <c r="CX176" i="3416"/>
  <c r="CW176" i="3416"/>
  <c r="CV176" i="3416"/>
  <c r="CU176" i="3416"/>
  <c r="CT176" i="3416"/>
  <c r="CS176" i="3416"/>
  <c r="CR176" i="3416"/>
  <c r="CQ176" i="3416"/>
  <c r="CP176" i="3416"/>
  <c r="CO176" i="3416"/>
  <c r="CN176" i="3416"/>
  <c r="CM176" i="3416"/>
  <c r="CL176" i="3416"/>
  <c r="CK176" i="3416"/>
  <c r="CJ176" i="3416"/>
  <c r="CI176" i="3416"/>
  <c r="CH176" i="3416"/>
  <c r="CG176" i="3416"/>
  <c r="CF176" i="3416"/>
  <c r="CE176" i="3416"/>
  <c r="CD176" i="3416"/>
  <c r="CC176" i="3416"/>
  <c r="CB176" i="3416"/>
  <c r="CA176" i="3416"/>
  <c r="BZ176" i="3416"/>
  <c r="BY176" i="3416"/>
  <c r="BX176" i="3416"/>
  <c r="BW176" i="3416"/>
  <c r="BV176" i="3416"/>
  <c r="BU176" i="3416"/>
  <c r="BT176" i="3416"/>
  <c r="BS176" i="3416"/>
  <c r="BR176" i="3416"/>
  <c r="BQ176" i="3416"/>
  <c r="BP176" i="3416"/>
  <c r="BO176" i="3416"/>
  <c r="BN176" i="3416"/>
  <c r="BM176" i="3416"/>
  <c r="BL176" i="3416"/>
  <c r="BK176" i="3416"/>
  <c r="BJ176" i="3416"/>
  <c r="BI176" i="3416"/>
  <c r="BH176" i="3416"/>
  <c r="BG176" i="3416"/>
  <c r="BF176" i="3416"/>
  <c r="BE176" i="3416"/>
  <c r="BD176" i="3416"/>
  <c r="BC176" i="3416"/>
  <c r="BB176" i="3416"/>
  <c r="BA176" i="3416"/>
  <c r="AZ176" i="3416"/>
  <c r="AY176" i="3416"/>
  <c r="AX176" i="3416"/>
  <c r="AW176" i="3416"/>
  <c r="AV176" i="3416"/>
  <c r="AU176" i="3416"/>
  <c r="AT176" i="3416"/>
  <c r="AS176" i="3416"/>
  <c r="AR176" i="3416"/>
  <c r="AQ176" i="3416"/>
  <c r="AP176" i="3416"/>
  <c r="AO176" i="3416"/>
  <c r="AN176" i="3416"/>
  <c r="AM176" i="3416"/>
  <c r="AL176" i="3416"/>
  <c r="AK176" i="3416"/>
  <c r="AJ176" i="3416"/>
  <c r="AI176" i="3416"/>
  <c r="AH176" i="3416"/>
  <c r="AG176" i="3416"/>
  <c r="AF176" i="3416"/>
  <c r="AE176" i="3416"/>
  <c r="AD176" i="3416"/>
  <c r="AC176" i="3416"/>
  <c r="AB176" i="3416"/>
  <c r="AA176" i="3416"/>
  <c r="Z176" i="3416"/>
  <c r="Y176" i="3416"/>
  <c r="X176" i="3416"/>
  <c r="W176" i="3416"/>
  <c r="V176" i="3416"/>
  <c r="U176" i="3416"/>
  <c r="T176" i="3416"/>
  <c r="S176" i="3416"/>
  <c r="R176" i="3416"/>
  <c r="Q176" i="3416"/>
  <c r="P176" i="3416"/>
  <c r="O176" i="3416"/>
  <c r="N176" i="3416"/>
  <c r="M176" i="3416"/>
  <c r="L176" i="3416"/>
  <c r="K176" i="3416"/>
  <c r="J176" i="3416"/>
  <c r="I176" i="3416"/>
  <c r="H176" i="3416"/>
  <c r="G176" i="3416"/>
  <c r="F176" i="3416"/>
  <c r="E176" i="3416"/>
  <c r="D176" i="3416"/>
  <c r="C176" i="3416" a="1"/>
  <c r="C176" i="3416"/>
  <c r="A176" i="3416"/>
  <c r="EM175" i="3416"/>
  <c r="EL175" i="3416"/>
  <c r="EK175" i="3416"/>
  <c r="EJ175" i="3416"/>
  <c r="EI175" i="3416"/>
  <c r="EH175" i="3416"/>
  <c r="EG175" i="3416"/>
  <c r="EF175" i="3416"/>
  <c r="EE175" i="3416"/>
  <c r="ED175" i="3416"/>
  <c r="EC175" i="3416"/>
  <c r="EB175" i="3416"/>
  <c r="EA175" i="3416"/>
  <c r="DZ175" i="3416"/>
  <c r="DY175" i="3416"/>
  <c r="DX175" i="3416"/>
  <c r="DW175" i="3416"/>
  <c r="DV175" i="3416"/>
  <c r="DU175" i="3416"/>
  <c r="DT175" i="3416"/>
  <c r="DS175" i="3416"/>
  <c r="DR175" i="3416"/>
  <c r="DQ175" i="3416"/>
  <c r="DP175" i="3416"/>
  <c r="DO175" i="3416"/>
  <c r="DN175" i="3416"/>
  <c r="DM175" i="3416"/>
  <c r="DL175" i="3416"/>
  <c r="DK175" i="3416"/>
  <c r="DJ175" i="3416"/>
  <c r="DI175" i="3416"/>
  <c r="DH175" i="3416"/>
  <c r="DG175" i="3416"/>
  <c r="DF175" i="3416"/>
  <c r="DE175" i="3416"/>
  <c r="DD175" i="3416"/>
  <c r="DC175" i="3416"/>
  <c r="DB175" i="3416"/>
  <c r="DA175" i="3416"/>
  <c r="CZ175" i="3416"/>
  <c r="CY175" i="3416"/>
  <c r="CX175" i="3416"/>
  <c r="CW175" i="3416"/>
  <c r="CV175" i="3416"/>
  <c r="CU175" i="3416"/>
  <c r="CT175" i="3416"/>
  <c r="CS175" i="3416"/>
  <c r="CR175" i="3416"/>
  <c r="CQ175" i="3416"/>
  <c r="CP175" i="3416"/>
  <c r="CO175" i="3416"/>
  <c r="CN175" i="3416"/>
  <c r="CM175" i="3416"/>
  <c r="CL175" i="3416"/>
  <c r="CK175" i="3416"/>
  <c r="CJ175" i="3416"/>
  <c r="CI175" i="3416"/>
  <c r="CH175" i="3416"/>
  <c r="CG175" i="3416"/>
  <c r="CF175" i="3416"/>
  <c r="CE175" i="3416"/>
  <c r="CD175" i="3416"/>
  <c r="CC175" i="3416"/>
  <c r="CB175" i="3416"/>
  <c r="CA175" i="3416"/>
  <c r="BZ175" i="3416"/>
  <c r="BY175" i="3416"/>
  <c r="BX175" i="3416"/>
  <c r="BW175" i="3416"/>
  <c r="BV175" i="3416"/>
  <c r="BU175" i="3416"/>
  <c r="BT175" i="3416"/>
  <c r="BS175" i="3416"/>
  <c r="BR175" i="3416"/>
  <c r="BQ175" i="3416"/>
  <c r="BP175" i="3416"/>
  <c r="BO175" i="3416"/>
  <c r="BN175" i="3416"/>
  <c r="BM175" i="3416"/>
  <c r="BL175" i="3416"/>
  <c r="BK175" i="3416"/>
  <c r="BJ175" i="3416"/>
  <c r="BI175" i="3416"/>
  <c r="BH175" i="3416"/>
  <c r="BG175" i="3416"/>
  <c r="BF175" i="3416"/>
  <c r="BE175" i="3416"/>
  <c r="BD175" i="3416"/>
  <c r="BC175" i="3416"/>
  <c r="BB175" i="3416"/>
  <c r="BA175" i="3416"/>
  <c r="AZ175" i="3416"/>
  <c r="AY175" i="3416"/>
  <c r="AX175" i="3416"/>
  <c r="AW175" i="3416"/>
  <c r="AV175" i="3416"/>
  <c r="AU175" i="3416"/>
  <c r="AT175" i="3416"/>
  <c r="AS175" i="3416"/>
  <c r="AR175" i="3416"/>
  <c r="AQ175" i="3416"/>
  <c r="AP175" i="3416"/>
  <c r="AO175" i="3416"/>
  <c r="AN175" i="3416"/>
  <c r="AM175" i="3416"/>
  <c r="AL175" i="3416"/>
  <c r="AK175" i="3416"/>
  <c r="AJ175" i="3416"/>
  <c r="AI175" i="3416"/>
  <c r="AH175" i="3416"/>
  <c r="AG175" i="3416"/>
  <c r="AF175" i="3416"/>
  <c r="AE175" i="3416"/>
  <c r="AD175" i="3416"/>
  <c r="AC175" i="3416"/>
  <c r="AB175" i="3416"/>
  <c r="AA175" i="3416"/>
  <c r="Z175" i="3416"/>
  <c r="Y175" i="3416"/>
  <c r="X175" i="3416"/>
  <c r="W175" i="3416"/>
  <c r="V175" i="3416"/>
  <c r="U175" i="3416"/>
  <c r="T175" i="3416"/>
  <c r="S175" i="3416"/>
  <c r="R175" i="3416"/>
  <c r="Q175" i="3416"/>
  <c r="P175" i="3416"/>
  <c r="O175" i="3416"/>
  <c r="N175" i="3416"/>
  <c r="M175" i="3416"/>
  <c r="L175" i="3416"/>
  <c r="K175" i="3416"/>
  <c r="J175" i="3416"/>
  <c r="I175" i="3416"/>
  <c r="H175" i="3416"/>
  <c r="G175" i="3416"/>
  <c r="F175" i="3416"/>
  <c r="E175" i="3416"/>
  <c r="D175" i="3416"/>
  <c r="C175" i="3416" a="1"/>
  <c r="C175" i="3416"/>
  <c r="A175" i="3416"/>
  <c r="EM174" i="3416"/>
  <c r="EL174" i="3416"/>
  <c r="EK174" i="3416"/>
  <c r="EJ174" i="3416"/>
  <c r="EI174" i="3416"/>
  <c r="EH174" i="3416"/>
  <c r="EG174" i="3416"/>
  <c r="EF174" i="3416"/>
  <c r="EE174" i="3416"/>
  <c r="ED174" i="3416"/>
  <c r="EC174" i="3416"/>
  <c r="EB174" i="3416"/>
  <c r="EA174" i="3416"/>
  <c r="DZ174" i="3416"/>
  <c r="DY174" i="3416"/>
  <c r="DX174" i="3416"/>
  <c r="DW174" i="3416"/>
  <c r="DV174" i="3416"/>
  <c r="DU174" i="3416"/>
  <c r="DT174" i="3416"/>
  <c r="DS174" i="3416"/>
  <c r="DR174" i="3416"/>
  <c r="DQ174" i="3416"/>
  <c r="DP174" i="3416"/>
  <c r="DO174" i="3416"/>
  <c r="DN174" i="3416"/>
  <c r="DM174" i="3416"/>
  <c r="DL174" i="3416"/>
  <c r="DK174" i="3416"/>
  <c r="DJ174" i="3416"/>
  <c r="DI174" i="3416"/>
  <c r="DH174" i="3416"/>
  <c r="DG174" i="3416"/>
  <c r="DF174" i="3416"/>
  <c r="DE174" i="3416"/>
  <c r="DD174" i="3416"/>
  <c r="DC174" i="3416"/>
  <c r="DB174" i="3416"/>
  <c r="DA174" i="3416"/>
  <c r="CZ174" i="3416"/>
  <c r="CY174" i="3416"/>
  <c r="CX174" i="3416"/>
  <c r="CW174" i="3416"/>
  <c r="CV174" i="3416"/>
  <c r="CU174" i="3416"/>
  <c r="CT174" i="3416"/>
  <c r="CS174" i="3416"/>
  <c r="CR174" i="3416"/>
  <c r="CQ174" i="3416"/>
  <c r="CP174" i="3416"/>
  <c r="CO174" i="3416"/>
  <c r="CN174" i="3416"/>
  <c r="CM174" i="3416"/>
  <c r="CL174" i="3416"/>
  <c r="CK174" i="3416"/>
  <c r="CJ174" i="3416"/>
  <c r="CI174" i="3416"/>
  <c r="CH174" i="3416"/>
  <c r="CG174" i="3416"/>
  <c r="CF174" i="3416"/>
  <c r="CE174" i="3416"/>
  <c r="CD174" i="3416"/>
  <c r="CC174" i="3416"/>
  <c r="CB174" i="3416"/>
  <c r="CA174" i="3416"/>
  <c r="BZ174" i="3416"/>
  <c r="BY174" i="3416"/>
  <c r="BX174" i="3416"/>
  <c r="BW174" i="3416"/>
  <c r="BV174" i="3416"/>
  <c r="BU174" i="3416"/>
  <c r="BT174" i="3416"/>
  <c r="BS174" i="3416"/>
  <c r="BR174" i="3416"/>
  <c r="BQ174" i="3416"/>
  <c r="BP174" i="3416"/>
  <c r="BO174" i="3416"/>
  <c r="BN174" i="3416"/>
  <c r="BM174" i="3416"/>
  <c r="BL174" i="3416"/>
  <c r="BK174" i="3416"/>
  <c r="BJ174" i="3416"/>
  <c r="BI174" i="3416"/>
  <c r="BH174" i="3416"/>
  <c r="BG174" i="3416"/>
  <c r="BF174" i="3416"/>
  <c r="BE174" i="3416"/>
  <c r="BD174" i="3416"/>
  <c r="BC174" i="3416"/>
  <c r="BB174" i="3416"/>
  <c r="BA174" i="3416"/>
  <c r="AZ174" i="3416"/>
  <c r="AY174" i="3416"/>
  <c r="AX174" i="3416"/>
  <c r="AW174" i="3416"/>
  <c r="AV174" i="3416"/>
  <c r="AU174" i="3416"/>
  <c r="AT174" i="3416"/>
  <c r="AS174" i="3416"/>
  <c r="AR174" i="3416"/>
  <c r="AQ174" i="3416"/>
  <c r="AP174" i="3416"/>
  <c r="AO174" i="3416"/>
  <c r="AN174" i="3416"/>
  <c r="AM174" i="3416"/>
  <c r="AL174" i="3416"/>
  <c r="AK174" i="3416"/>
  <c r="AJ174" i="3416"/>
  <c r="AI174" i="3416"/>
  <c r="AH174" i="3416"/>
  <c r="AG174" i="3416"/>
  <c r="AF174" i="3416"/>
  <c r="AE174" i="3416"/>
  <c r="AD174" i="3416"/>
  <c r="AC174" i="3416"/>
  <c r="AB174" i="3416"/>
  <c r="AA174" i="3416"/>
  <c r="Z174" i="3416"/>
  <c r="Y174" i="3416"/>
  <c r="X174" i="3416"/>
  <c r="W174" i="3416"/>
  <c r="V174" i="3416"/>
  <c r="U174" i="3416"/>
  <c r="T174" i="3416"/>
  <c r="S174" i="3416"/>
  <c r="R174" i="3416"/>
  <c r="Q174" i="3416"/>
  <c r="P174" i="3416"/>
  <c r="O174" i="3416"/>
  <c r="N174" i="3416"/>
  <c r="M174" i="3416"/>
  <c r="L174" i="3416"/>
  <c r="K174" i="3416"/>
  <c r="J174" i="3416"/>
  <c r="I174" i="3416"/>
  <c r="H174" i="3416"/>
  <c r="G174" i="3416"/>
  <c r="F174" i="3416"/>
  <c r="E174" i="3416"/>
  <c r="D174" i="3416"/>
  <c r="C174" i="3416" a="1"/>
  <c r="C174" i="3416"/>
  <c r="A174" i="3416"/>
  <c r="EM173" i="3416"/>
  <c r="EL173" i="3416"/>
  <c r="EK173" i="3416"/>
  <c r="EJ173" i="3416"/>
  <c r="EI173" i="3416"/>
  <c r="EH173" i="3416"/>
  <c r="EG173" i="3416"/>
  <c r="EF173" i="3416"/>
  <c r="EE173" i="3416"/>
  <c r="ED173" i="3416"/>
  <c r="EC173" i="3416"/>
  <c r="EB173" i="3416"/>
  <c r="EA173" i="3416"/>
  <c r="DZ173" i="3416"/>
  <c r="DY173" i="3416"/>
  <c r="DX173" i="3416"/>
  <c r="DW173" i="3416"/>
  <c r="DV173" i="3416"/>
  <c r="DU173" i="3416"/>
  <c r="DT173" i="3416"/>
  <c r="DS173" i="3416"/>
  <c r="DR173" i="3416"/>
  <c r="DQ173" i="3416"/>
  <c r="DP173" i="3416"/>
  <c r="DO173" i="3416"/>
  <c r="DN173" i="3416"/>
  <c r="DM173" i="3416"/>
  <c r="DL173" i="3416"/>
  <c r="DK173" i="3416"/>
  <c r="DJ173" i="3416"/>
  <c r="DI173" i="3416"/>
  <c r="DH173" i="3416"/>
  <c r="DG173" i="3416"/>
  <c r="DF173" i="3416"/>
  <c r="DE173" i="3416"/>
  <c r="DD173" i="3416"/>
  <c r="DC173" i="3416"/>
  <c r="DB173" i="3416"/>
  <c r="DA173" i="3416"/>
  <c r="CZ173" i="3416"/>
  <c r="CY173" i="3416"/>
  <c r="CX173" i="3416"/>
  <c r="CW173" i="3416"/>
  <c r="CV173" i="3416"/>
  <c r="CU173" i="3416"/>
  <c r="CT173" i="3416"/>
  <c r="CS173" i="3416"/>
  <c r="CR173" i="3416"/>
  <c r="CQ173" i="3416"/>
  <c r="CP173" i="3416"/>
  <c r="CO173" i="3416"/>
  <c r="CN173" i="3416"/>
  <c r="CM173" i="3416"/>
  <c r="CL173" i="3416"/>
  <c r="CK173" i="3416"/>
  <c r="CJ173" i="3416"/>
  <c r="CI173" i="3416"/>
  <c r="CH173" i="3416"/>
  <c r="CG173" i="3416"/>
  <c r="CF173" i="3416"/>
  <c r="CE173" i="3416"/>
  <c r="CD173" i="3416"/>
  <c r="CC173" i="3416"/>
  <c r="CB173" i="3416"/>
  <c r="CA173" i="3416"/>
  <c r="BZ173" i="3416"/>
  <c r="BY173" i="3416"/>
  <c r="BX173" i="3416"/>
  <c r="BW173" i="3416"/>
  <c r="BV173" i="3416"/>
  <c r="BU173" i="3416"/>
  <c r="BT173" i="3416"/>
  <c r="BS173" i="3416"/>
  <c r="BR173" i="3416"/>
  <c r="BQ173" i="3416"/>
  <c r="BP173" i="3416"/>
  <c r="BO173" i="3416"/>
  <c r="BN173" i="3416"/>
  <c r="BM173" i="3416"/>
  <c r="BL173" i="3416"/>
  <c r="BK173" i="3416"/>
  <c r="BJ173" i="3416"/>
  <c r="BI173" i="3416"/>
  <c r="BH173" i="3416"/>
  <c r="BG173" i="3416"/>
  <c r="BF173" i="3416"/>
  <c r="BE173" i="3416"/>
  <c r="BD173" i="3416"/>
  <c r="BC173" i="3416"/>
  <c r="BB173" i="3416"/>
  <c r="BA173" i="3416"/>
  <c r="AZ173" i="3416"/>
  <c r="AY173" i="3416"/>
  <c r="AX173" i="3416"/>
  <c r="AW173" i="3416"/>
  <c r="AV173" i="3416"/>
  <c r="AU173" i="3416"/>
  <c r="AT173" i="3416"/>
  <c r="AS173" i="3416"/>
  <c r="AR173" i="3416"/>
  <c r="AQ173" i="3416"/>
  <c r="AP173" i="3416"/>
  <c r="AO173" i="3416"/>
  <c r="AN173" i="3416"/>
  <c r="AM173" i="3416"/>
  <c r="AL173" i="3416"/>
  <c r="AK173" i="3416"/>
  <c r="AJ173" i="3416"/>
  <c r="AI173" i="3416"/>
  <c r="AH173" i="3416"/>
  <c r="AG173" i="3416"/>
  <c r="AF173" i="3416"/>
  <c r="AE173" i="3416"/>
  <c r="AD173" i="3416"/>
  <c r="AC173" i="3416"/>
  <c r="AB173" i="3416"/>
  <c r="AA173" i="3416"/>
  <c r="Z173" i="3416"/>
  <c r="Y173" i="3416"/>
  <c r="X173" i="3416"/>
  <c r="W173" i="3416"/>
  <c r="V173" i="3416"/>
  <c r="U173" i="3416"/>
  <c r="T173" i="3416"/>
  <c r="S173" i="3416"/>
  <c r="R173" i="3416"/>
  <c r="Q173" i="3416"/>
  <c r="P173" i="3416"/>
  <c r="O173" i="3416"/>
  <c r="N173" i="3416"/>
  <c r="M173" i="3416"/>
  <c r="L173" i="3416"/>
  <c r="K173" i="3416"/>
  <c r="J173" i="3416"/>
  <c r="I173" i="3416"/>
  <c r="H173" i="3416"/>
  <c r="G173" i="3416"/>
  <c r="F173" i="3416"/>
  <c r="E173" i="3416"/>
  <c r="D173" i="3416"/>
  <c r="C173" i="3416" a="1"/>
  <c r="C173" i="3416"/>
  <c r="A173" i="3416"/>
  <c r="EM172" i="3416"/>
  <c r="EL172" i="3416"/>
  <c r="EK172" i="3416"/>
  <c r="EJ172" i="3416"/>
  <c r="EI172" i="3416"/>
  <c r="EH172" i="3416"/>
  <c r="EG172" i="3416"/>
  <c r="EF172" i="3416"/>
  <c r="EE172" i="3416"/>
  <c r="ED172" i="3416"/>
  <c r="EC172" i="3416"/>
  <c r="EB172" i="3416"/>
  <c r="EA172" i="3416"/>
  <c r="DZ172" i="3416"/>
  <c r="DY172" i="3416"/>
  <c r="DX172" i="3416"/>
  <c r="DW172" i="3416"/>
  <c r="DV172" i="3416"/>
  <c r="DU172" i="3416"/>
  <c r="DT172" i="3416"/>
  <c r="DS172" i="3416"/>
  <c r="DR172" i="3416"/>
  <c r="DQ172" i="3416"/>
  <c r="DP172" i="3416"/>
  <c r="DO172" i="3416"/>
  <c r="DN172" i="3416"/>
  <c r="DM172" i="3416"/>
  <c r="DL172" i="3416"/>
  <c r="DK172" i="3416"/>
  <c r="DJ172" i="3416"/>
  <c r="DI172" i="3416"/>
  <c r="DH172" i="3416"/>
  <c r="DG172" i="3416"/>
  <c r="DF172" i="3416"/>
  <c r="DE172" i="3416"/>
  <c r="DD172" i="3416"/>
  <c r="DC172" i="3416"/>
  <c r="DB172" i="3416"/>
  <c r="DA172" i="3416"/>
  <c r="CZ172" i="3416"/>
  <c r="CY172" i="3416"/>
  <c r="CX172" i="3416"/>
  <c r="CW172" i="3416"/>
  <c r="CV172" i="3416"/>
  <c r="CU172" i="3416"/>
  <c r="CT172" i="3416"/>
  <c r="CS172" i="3416"/>
  <c r="CR172" i="3416"/>
  <c r="CQ172" i="3416"/>
  <c r="CP172" i="3416"/>
  <c r="CO172" i="3416"/>
  <c r="CN172" i="3416"/>
  <c r="CM172" i="3416"/>
  <c r="CL172" i="3416"/>
  <c r="CK172" i="3416"/>
  <c r="CJ172" i="3416"/>
  <c r="CI172" i="3416"/>
  <c r="CH172" i="3416"/>
  <c r="CG172" i="3416"/>
  <c r="CF172" i="3416"/>
  <c r="CE172" i="3416"/>
  <c r="CD172" i="3416"/>
  <c r="CC172" i="3416"/>
  <c r="CB172" i="3416"/>
  <c r="CA172" i="3416"/>
  <c r="BZ172" i="3416"/>
  <c r="BY172" i="3416"/>
  <c r="BX172" i="3416"/>
  <c r="BW172" i="3416"/>
  <c r="BV172" i="3416"/>
  <c r="BU172" i="3416"/>
  <c r="BT172" i="3416"/>
  <c r="BS172" i="3416"/>
  <c r="BR172" i="3416"/>
  <c r="BQ172" i="3416"/>
  <c r="BP172" i="3416"/>
  <c r="BO172" i="3416"/>
  <c r="BN172" i="3416"/>
  <c r="BM172" i="3416"/>
  <c r="BL172" i="3416"/>
  <c r="BK172" i="3416"/>
  <c r="BJ172" i="3416"/>
  <c r="BI172" i="3416"/>
  <c r="BH172" i="3416"/>
  <c r="BG172" i="3416"/>
  <c r="BF172" i="3416"/>
  <c r="BE172" i="3416"/>
  <c r="BD172" i="3416"/>
  <c r="BC172" i="3416"/>
  <c r="BB172" i="3416"/>
  <c r="BA172" i="3416"/>
  <c r="AZ172" i="3416"/>
  <c r="AY172" i="3416"/>
  <c r="AX172" i="3416"/>
  <c r="AW172" i="3416"/>
  <c r="AV172" i="3416"/>
  <c r="AU172" i="3416"/>
  <c r="AT172" i="3416"/>
  <c r="AS172" i="3416"/>
  <c r="AR172" i="3416"/>
  <c r="AQ172" i="3416"/>
  <c r="AP172" i="3416"/>
  <c r="AO172" i="3416"/>
  <c r="AN172" i="3416"/>
  <c r="AM172" i="3416"/>
  <c r="AL172" i="3416"/>
  <c r="AK172" i="3416"/>
  <c r="AJ172" i="3416"/>
  <c r="AI172" i="3416"/>
  <c r="AH172" i="3416"/>
  <c r="AG172" i="3416"/>
  <c r="AF172" i="3416"/>
  <c r="AE172" i="3416"/>
  <c r="AD172" i="3416"/>
  <c r="AC172" i="3416"/>
  <c r="AB172" i="3416"/>
  <c r="AA172" i="3416"/>
  <c r="Z172" i="3416"/>
  <c r="Y172" i="3416"/>
  <c r="X172" i="3416"/>
  <c r="W172" i="3416"/>
  <c r="V172" i="3416"/>
  <c r="U172" i="3416"/>
  <c r="T172" i="3416"/>
  <c r="S172" i="3416"/>
  <c r="R172" i="3416"/>
  <c r="Q172" i="3416"/>
  <c r="P172" i="3416"/>
  <c r="O172" i="3416"/>
  <c r="N172" i="3416"/>
  <c r="M172" i="3416"/>
  <c r="L172" i="3416"/>
  <c r="K172" i="3416"/>
  <c r="J172" i="3416"/>
  <c r="I172" i="3416"/>
  <c r="H172" i="3416"/>
  <c r="G172" i="3416"/>
  <c r="F172" i="3416"/>
  <c r="E172" i="3416"/>
  <c r="D172" i="3416"/>
  <c r="C172" i="3416" a="1"/>
  <c r="C172" i="3416"/>
  <c r="A172" i="3416"/>
  <c r="EM171" i="3416"/>
  <c r="EL171" i="3416"/>
  <c r="EK171" i="3416"/>
  <c r="EJ171" i="3416"/>
  <c r="EI171" i="3416"/>
  <c r="EH171" i="3416"/>
  <c r="EG171" i="3416"/>
  <c r="EF171" i="3416"/>
  <c r="EE171" i="3416"/>
  <c r="ED171" i="3416"/>
  <c r="EC171" i="3416"/>
  <c r="EB171" i="3416"/>
  <c r="EA171" i="3416"/>
  <c r="DZ171" i="3416"/>
  <c r="DY171" i="3416"/>
  <c r="DX171" i="3416"/>
  <c r="DW171" i="3416"/>
  <c r="DV171" i="3416"/>
  <c r="DU171" i="3416"/>
  <c r="DT171" i="3416"/>
  <c r="DS171" i="3416"/>
  <c r="DR171" i="3416"/>
  <c r="DQ171" i="3416"/>
  <c r="DP171" i="3416"/>
  <c r="DO171" i="3416"/>
  <c r="DN171" i="3416"/>
  <c r="DM171" i="3416"/>
  <c r="DL171" i="3416"/>
  <c r="DK171" i="3416"/>
  <c r="DJ171" i="3416"/>
  <c r="DI171" i="3416"/>
  <c r="DH171" i="3416"/>
  <c r="DG171" i="3416"/>
  <c r="DF171" i="3416"/>
  <c r="DE171" i="3416"/>
  <c r="DD171" i="3416"/>
  <c r="DC171" i="3416"/>
  <c r="DB171" i="3416"/>
  <c r="DA171" i="3416"/>
  <c r="CZ171" i="3416"/>
  <c r="CY171" i="3416"/>
  <c r="CX171" i="3416"/>
  <c r="CW171" i="3416"/>
  <c r="CV171" i="3416"/>
  <c r="CU171" i="3416"/>
  <c r="CT171" i="3416"/>
  <c r="CS171" i="3416"/>
  <c r="CR171" i="3416"/>
  <c r="CQ171" i="3416"/>
  <c r="CP171" i="3416"/>
  <c r="CO171" i="3416"/>
  <c r="CN171" i="3416"/>
  <c r="CM171" i="3416"/>
  <c r="CL171" i="3416"/>
  <c r="CK171" i="3416"/>
  <c r="CJ171" i="3416"/>
  <c r="CI171" i="3416"/>
  <c r="CH171" i="3416"/>
  <c r="CG171" i="3416"/>
  <c r="CF171" i="3416"/>
  <c r="CE171" i="3416"/>
  <c r="CD171" i="3416"/>
  <c r="CC171" i="3416"/>
  <c r="CB171" i="3416"/>
  <c r="CA171" i="3416"/>
  <c r="BZ171" i="3416"/>
  <c r="BY171" i="3416"/>
  <c r="BX171" i="3416"/>
  <c r="BW171" i="3416"/>
  <c r="BV171" i="3416"/>
  <c r="BU171" i="3416"/>
  <c r="BT171" i="3416"/>
  <c r="BS171" i="3416"/>
  <c r="BR171" i="3416"/>
  <c r="BQ171" i="3416"/>
  <c r="BP171" i="3416"/>
  <c r="BO171" i="3416"/>
  <c r="BN171" i="3416"/>
  <c r="BM171" i="3416"/>
  <c r="BL171" i="3416"/>
  <c r="BK171" i="3416"/>
  <c r="BJ171" i="3416"/>
  <c r="BI171" i="3416"/>
  <c r="BH171" i="3416"/>
  <c r="BG171" i="3416"/>
  <c r="BF171" i="3416"/>
  <c r="BE171" i="3416"/>
  <c r="BD171" i="3416"/>
  <c r="BC171" i="3416"/>
  <c r="BB171" i="3416"/>
  <c r="BA171" i="3416"/>
  <c r="AZ171" i="3416"/>
  <c r="AY171" i="3416"/>
  <c r="AX171" i="3416"/>
  <c r="AW171" i="3416"/>
  <c r="AV171" i="3416"/>
  <c r="AU171" i="3416"/>
  <c r="AT171" i="3416"/>
  <c r="AS171" i="3416"/>
  <c r="AR171" i="3416"/>
  <c r="AQ171" i="3416"/>
  <c r="AP171" i="3416"/>
  <c r="AO171" i="3416"/>
  <c r="AN171" i="3416"/>
  <c r="AM171" i="3416"/>
  <c r="AL171" i="3416"/>
  <c r="AK171" i="3416"/>
  <c r="AJ171" i="3416"/>
  <c r="AI171" i="3416"/>
  <c r="AH171" i="3416"/>
  <c r="AG171" i="3416"/>
  <c r="AF171" i="3416"/>
  <c r="AE171" i="3416"/>
  <c r="AD171" i="3416"/>
  <c r="AC171" i="3416"/>
  <c r="AB171" i="3416"/>
  <c r="AA171" i="3416"/>
  <c r="Z171" i="3416"/>
  <c r="Y171" i="3416"/>
  <c r="X171" i="3416"/>
  <c r="W171" i="3416"/>
  <c r="V171" i="3416"/>
  <c r="U171" i="3416"/>
  <c r="T171" i="3416"/>
  <c r="S171" i="3416"/>
  <c r="R171" i="3416"/>
  <c r="Q171" i="3416"/>
  <c r="P171" i="3416"/>
  <c r="O171" i="3416"/>
  <c r="N171" i="3416"/>
  <c r="M171" i="3416"/>
  <c r="L171" i="3416"/>
  <c r="K171" i="3416"/>
  <c r="J171" i="3416"/>
  <c r="I171" i="3416"/>
  <c r="H171" i="3416"/>
  <c r="G171" i="3416"/>
  <c r="F171" i="3416"/>
  <c r="E171" i="3416"/>
  <c r="D171" i="3416"/>
  <c r="C171" i="3416" a="1"/>
  <c r="C171" i="3416"/>
  <c r="A171" i="3416"/>
  <c r="EM170" i="3416"/>
  <c r="EL170" i="3416"/>
  <c r="EK170" i="3416"/>
  <c r="EJ170" i="3416"/>
  <c r="EI170" i="3416"/>
  <c r="EH170" i="3416"/>
  <c r="EG170" i="3416"/>
  <c r="EF170" i="3416"/>
  <c r="EE170" i="3416"/>
  <c r="ED170" i="3416"/>
  <c r="EC170" i="3416"/>
  <c r="EB170" i="3416"/>
  <c r="EA170" i="3416"/>
  <c r="DZ170" i="3416"/>
  <c r="DY170" i="3416"/>
  <c r="DX170" i="3416"/>
  <c r="DW170" i="3416"/>
  <c r="DV170" i="3416"/>
  <c r="DU170" i="3416"/>
  <c r="DT170" i="3416"/>
  <c r="DS170" i="3416"/>
  <c r="DR170" i="3416"/>
  <c r="DQ170" i="3416"/>
  <c r="DP170" i="3416"/>
  <c r="DO170" i="3416"/>
  <c r="DN170" i="3416"/>
  <c r="DM170" i="3416"/>
  <c r="DL170" i="3416"/>
  <c r="DK170" i="3416"/>
  <c r="DJ170" i="3416"/>
  <c r="DI170" i="3416"/>
  <c r="DH170" i="3416"/>
  <c r="DG170" i="3416"/>
  <c r="DF170" i="3416"/>
  <c r="DE170" i="3416"/>
  <c r="DD170" i="3416"/>
  <c r="DC170" i="3416"/>
  <c r="DB170" i="3416"/>
  <c r="DA170" i="3416"/>
  <c r="CZ170" i="3416"/>
  <c r="CY170" i="3416"/>
  <c r="CX170" i="3416"/>
  <c r="CW170" i="3416"/>
  <c r="CV170" i="3416"/>
  <c r="CU170" i="3416"/>
  <c r="CT170" i="3416"/>
  <c r="CS170" i="3416"/>
  <c r="CR170" i="3416"/>
  <c r="CQ170" i="3416"/>
  <c r="CP170" i="3416"/>
  <c r="CO170" i="3416"/>
  <c r="CN170" i="3416"/>
  <c r="CM170" i="3416"/>
  <c r="CL170" i="3416"/>
  <c r="CK170" i="3416"/>
  <c r="CJ170" i="3416"/>
  <c r="CI170" i="3416"/>
  <c r="CH170" i="3416"/>
  <c r="CG170" i="3416"/>
  <c r="CF170" i="3416"/>
  <c r="CE170" i="3416"/>
  <c r="CD170" i="3416"/>
  <c r="CC170" i="3416"/>
  <c r="CB170" i="3416"/>
  <c r="CA170" i="3416"/>
  <c r="BZ170" i="3416"/>
  <c r="BY170" i="3416"/>
  <c r="BX170" i="3416"/>
  <c r="BW170" i="3416"/>
  <c r="BV170" i="3416"/>
  <c r="BU170" i="3416"/>
  <c r="BT170" i="3416"/>
  <c r="BS170" i="3416"/>
  <c r="BR170" i="3416"/>
  <c r="BQ170" i="3416"/>
  <c r="BP170" i="3416"/>
  <c r="BO170" i="3416"/>
  <c r="BN170" i="3416"/>
  <c r="BM170" i="3416"/>
  <c r="BL170" i="3416"/>
  <c r="BK170" i="3416"/>
  <c r="BJ170" i="3416"/>
  <c r="BI170" i="3416"/>
  <c r="BH170" i="3416"/>
  <c r="BG170" i="3416"/>
  <c r="BF170" i="3416"/>
  <c r="BE170" i="3416"/>
  <c r="BD170" i="3416"/>
  <c r="BC170" i="3416"/>
  <c r="BB170" i="3416"/>
  <c r="BA170" i="3416"/>
  <c r="AZ170" i="3416"/>
  <c r="AY170" i="3416"/>
  <c r="AX170" i="3416"/>
  <c r="AW170" i="3416"/>
  <c r="AV170" i="3416"/>
  <c r="AU170" i="3416"/>
  <c r="AT170" i="3416"/>
  <c r="AS170" i="3416"/>
  <c r="AR170" i="3416"/>
  <c r="AQ170" i="3416"/>
  <c r="AP170" i="3416"/>
  <c r="AO170" i="3416"/>
  <c r="AN170" i="3416"/>
  <c r="AM170" i="3416"/>
  <c r="AL170" i="3416"/>
  <c r="AK170" i="3416"/>
  <c r="AJ170" i="3416"/>
  <c r="AI170" i="3416"/>
  <c r="AH170" i="3416"/>
  <c r="AG170" i="3416"/>
  <c r="AF170" i="3416"/>
  <c r="AE170" i="3416"/>
  <c r="AD170" i="3416"/>
  <c r="AC170" i="3416"/>
  <c r="AB170" i="3416"/>
  <c r="AA170" i="3416"/>
  <c r="Z170" i="3416"/>
  <c r="Y170" i="3416"/>
  <c r="X170" i="3416"/>
  <c r="W170" i="3416"/>
  <c r="V170" i="3416"/>
  <c r="U170" i="3416"/>
  <c r="T170" i="3416"/>
  <c r="S170" i="3416"/>
  <c r="R170" i="3416"/>
  <c r="Q170" i="3416"/>
  <c r="P170" i="3416"/>
  <c r="O170" i="3416"/>
  <c r="N170" i="3416"/>
  <c r="M170" i="3416"/>
  <c r="L170" i="3416"/>
  <c r="K170" i="3416"/>
  <c r="J170" i="3416"/>
  <c r="I170" i="3416"/>
  <c r="H170" i="3416"/>
  <c r="G170" i="3416"/>
  <c r="F170" i="3416"/>
  <c r="E170" i="3416"/>
  <c r="D170" i="3416"/>
  <c r="C170" i="3416" a="1"/>
  <c r="C170" i="3416"/>
  <c r="A170" i="3416"/>
  <c r="EM169" i="3416"/>
  <c r="EL169" i="3416"/>
  <c r="EK169" i="3416"/>
  <c r="EJ169" i="3416"/>
  <c r="EI169" i="3416"/>
  <c r="EH169" i="3416"/>
  <c r="EG169" i="3416"/>
  <c r="EF169" i="3416"/>
  <c r="EE169" i="3416"/>
  <c r="ED169" i="3416"/>
  <c r="EC169" i="3416"/>
  <c r="EB169" i="3416"/>
  <c r="EA169" i="3416"/>
  <c r="DZ169" i="3416"/>
  <c r="DY169" i="3416"/>
  <c r="DX169" i="3416"/>
  <c r="DW169" i="3416"/>
  <c r="DV169" i="3416"/>
  <c r="DU169" i="3416"/>
  <c r="DT169" i="3416"/>
  <c r="DS169" i="3416"/>
  <c r="DR169" i="3416"/>
  <c r="DQ169" i="3416"/>
  <c r="DP169" i="3416"/>
  <c r="DO169" i="3416"/>
  <c r="DN169" i="3416"/>
  <c r="DM169" i="3416"/>
  <c r="DL169" i="3416"/>
  <c r="DK169" i="3416"/>
  <c r="DJ169" i="3416"/>
  <c r="DI169" i="3416"/>
  <c r="DH169" i="3416"/>
  <c r="DG169" i="3416"/>
  <c r="DF169" i="3416"/>
  <c r="DE169" i="3416"/>
  <c r="DD169" i="3416"/>
  <c r="DC169" i="3416"/>
  <c r="DB169" i="3416"/>
  <c r="DA169" i="3416"/>
  <c r="CZ169" i="3416"/>
  <c r="CY169" i="3416"/>
  <c r="CX169" i="3416"/>
  <c r="CW169" i="3416"/>
  <c r="CV169" i="3416"/>
  <c r="CU169" i="3416"/>
  <c r="CT169" i="3416"/>
  <c r="CS169" i="3416"/>
  <c r="CR169" i="3416"/>
  <c r="CQ169" i="3416"/>
  <c r="CP169" i="3416"/>
  <c r="CO169" i="3416"/>
  <c r="CN169" i="3416"/>
  <c r="CM169" i="3416"/>
  <c r="CL169" i="3416"/>
  <c r="CK169" i="3416"/>
  <c r="CJ169" i="3416"/>
  <c r="CI169" i="3416"/>
  <c r="CH169" i="3416"/>
  <c r="CG169" i="3416"/>
  <c r="CF169" i="3416"/>
  <c r="CE169" i="3416"/>
  <c r="CD169" i="3416"/>
  <c r="CC169" i="3416"/>
  <c r="CB169" i="3416"/>
  <c r="CA169" i="3416"/>
  <c r="BZ169" i="3416"/>
  <c r="BY169" i="3416"/>
  <c r="BX169" i="3416"/>
  <c r="BW169" i="3416"/>
  <c r="BV169" i="3416"/>
  <c r="BU169" i="3416"/>
  <c r="BT169" i="3416"/>
  <c r="BS169" i="3416"/>
  <c r="BR169" i="3416"/>
  <c r="BQ169" i="3416"/>
  <c r="BP169" i="3416"/>
  <c r="BO169" i="3416"/>
  <c r="BN169" i="3416"/>
  <c r="BM169" i="3416"/>
  <c r="BL169" i="3416"/>
  <c r="BK169" i="3416"/>
  <c r="BJ169" i="3416"/>
  <c r="BI169" i="3416"/>
  <c r="BH169" i="3416"/>
  <c r="BG169" i="3416"/>
  <c r="BF169" i="3416"/>
  <c r="BE169" i="3416"/>
  <c r="BD169" i="3416"/>
  <c r="BC169" i="3416"/>
  <c r="BB169" i="3416"/>
  <c r="BA169" i="3416"/>
  <c r="AZ169" i="3416"/>
  <c r="AY169" i="3416"/>
  <c r="AX169" i="3416"/>
  <c r="AW169" i="3416"/>
  <c r="AV169" i="3416"/>
  <c r="AU169" i="3416"/>
  <c r="AT169" i="3416"/>
  <c r="AS169" i="3416"/>
  <c r="AR169" i="3416"/>
  <c r="AQ169" i="3416"/>
  <c r="AP169" i="3416"/>
  <c r="AO169" i="3416"/>
  <c r="AN169" i="3416"/>
  <c r="AM169" i="3416"/>
  <c r="AL169" i="3416"/>
  <c r="AK169" i="3416"/>
  <c r="AJ169" i="3416"/>
  <c r="AI169" i="3416"/>
  <c r="AH169" i="3416"/>
  <c r="AG169" i="3416"/>
  <c r="AF169" i="3416"/>
  <c r="AE169" i="3416"/>
  <c r="AD169" i="3416"/>
  <c r="AC169" i="3416"/>
  <c r="AB169" i="3416"/>
  <c r="AA169" i="3416"/>
  <c r="Z169" i="3416"/>
  <c r="Y169" i="3416"/>
  <c r="X169" i="3416"/>
  <c r="W169" i="3416"/>
  <c r="V169" i="3416"/>
  <c r="U169" i="3416"/>
  <c r="T169" i="3416"/>
  <c r="S169" i="3416"/>
  <c r="R169" i="3416"/>
  <c r="Q169" i="3416"/>
  <c r="P169" i="3416"/>
  <c r="O169" i="3416"/>
  <c r="N169" i="3416"/>
  <c r="M169" i="3416"/>
  <c r="L169" i="3416"/>
  <c r="K169" i="3416"/>
  <c r="J169" i="3416"/>
  <c r="I169" i="3416"/>
  <c r="H169" i="3416"/>
  <c r="G169" i="3416"/>
  <c r="F169" i="3416"/>
  <c r="E169" i="3416"/>
  <c r="D169" i="3416"/>
  <c r="C169" i="3416" a="1"/>
  <c r="C169" i="3416"/>
  <c r="A169" i="3416"/>
  <c r="EM168" i="3416"/>
  <c r="EL168" i="3416"/>
  <c r="EK168" i="3416"/>
  <c r="EJ168" i="3416"/>
  <c r="EI168" i="3416"/>
  <c r="EH168" i="3416"/>
  <c r="EG168" i="3416"/>
  <c r="EF168" i="3416"/>
  <c r="EE168" i="3416"/>
  <c r="ED168" i="3416"/>
  <c r="EC168" i="3416"/>
  <c r="EB168" i="3416"/>
  <c r="EA168" i="3416"/>
  <c r="DZ168" i="3416"/>
  <c r="DY168" i="3416"/>
  <c r="DX168" i="3416"/>
  <c r="DW168" i="3416"/>
  <c r="DV168" i="3416"/>
  <c r="DU168" i="3416"/>
  <c r="DT168" i="3416"/>
  <c r="DS168" i="3416"/>
  <c r="DR168" i="3416"/>
  <c r="DQ168" i="3416"/>
  <c r="DP168" i="3416"/>
  <c r="DO168" i="3416"/>
  <c r="DN168" i="3416"/>
  <c r="DM168" i="3416"/>
  <c r="DL168" i="3416"/>
  <c r="DK168" i="3416"/>
  <c r="DJ168" i="3416"/>
  <c r="DI168" i="3416"/>
  <c r="DH168" i="3416"/>
  <c r="DG168" i="3416"/>
  <c r="DF168" i="3416"/>
  <c r="DE168" i="3416"/>
  <c r="DD168" i="3416"/>
  <c r="DC168" i="3416"/>
  <c r="DB168" i="3416"/>
  <c r="DA168" i="3416"/>
  <c r="CZ168" i="3416"/>
  <c r="CY168" i="3416"/>
  <c r="CX168" i="3416"/>
  <c r="CW168" i="3416"/>
  <c r="CV168" i="3416"/>
  <c r="CU168" i="3416"/>
  <c r="CT168" i="3416"/>
  <c r="CS168" i="3416"/>
  <c r="CR168" i="3416"/>
  <c r="CQ168" i="3416"/>
  <c r="CP168" i="3416"/>
  <c r="CO168" i="3416"/>
  <c r="CN168" i="3416"/>
  <c r="CM168" i="3416"/>
  <c r="CL168" i="3416"/>
  <c r="CK168" i="3416"/>
  <c r="CJ168" i="3416"/>
  <c r="CI168" i="3416"/>
  <c r="CH168" i="3416"/>
  <c r="CG168" i="3416"/>
  <c r="CF168" i="3416"/>
  <c r="CE168" i="3416"/>
  <c r="CD168" i="3416"/>
  <c r="CC168" i="3416"/>
  <c r="CB168" i="3416"/>
  <c r="CA168" i="3416"/>
  <c r="BZ168" i="3416"/>
  <c r="BY168" i="3416"/>
  <c r="BX168" i="3416"/>
  <c r="BW168" i="3416"/>
  <c r="BV168" i="3416"/>
  <c r="BU168" i="3416"/>
  <c r="BT168" i="3416"/>
  <c r="BS168" i="3416"/>
  <c r="BR168" i="3416"/>
  <c r="BQ168" i="3416"/>
  <c r="BP168" i="3416"/>
  <c r="BO168" i="3416"/>
  <c r="BN168" i="3416"/>
  <c r="BM168" i="3416"/>
  <c r="BL168" i="3416"/>
  <c r="BK168" i="3416"/>
  <c r="BJ168" i="3416"/>
  <c r="BI168" i="3416"/>
  <c r="BH168" i="3416"/>
  <c r="BG168" i="3416"/>
  <c r="BF168" i="3416"/>
  <c r="BE168" i="3416"/>
  <c r="BD168" i="3416"/>
  <c r="BC168" i="3416"/>
  <c r="BB168" i="3416"/>
  <c r="BA168" i="3416"/>
  <c r="AZ168" i="3416"/>
  <c r="AY168" i="3416"/>
  <c r="AX168" i="3416"/>
  <c r="AW168" i="3416"/>
  <c r="AV168" i="3416"/>
  <c r="AU168" i="3416"/>
  <c r="AT168" i="3416"/>
  <c r="AS168" i="3416"/>
  <c r="AR168" i="3416"/>
  <c r="AQ168" i="3416"/>
  <c r="AP168" i="3416"/>
  <c r="AO168" i="3416"/>
  <c r="AN168" i="3416"/>
  <c r="AM168" i="3416"/>
  <c r="AL168" i="3416"/>
  <c r="AK168" i="3416"/>
  <c r="AJ168" i="3416"/>
  <c r="AI168" i="3416"/>
  <c r="AH168" i="3416"/>
  <c r="AG168" i="3416"/>
  <c r="AF168" i="3416"/>
  <c r="AE168" i="3416"/>
  <c r="AD168" i="3416"/>
  <c r="AC168" i="3416"/>
  <c r="AB168" i="3416"/>
  <c r="AA168" i="3416"/>
  <c r="Z168" i="3416"/>
  <c r="Y168" i="3416"/>
  <c r="X168" i="3416"/>
  <c r="W168" i="3416"/>
  <c r="V168" i="3416"/>
  <c r="U168" i="3416"/>
  <c r="T168" i="3416"/>
  <c r="S168" i="3416"/>
  <c r="R168" i="3416"/>
  <c r="Q168" i="3416"/>
  <c r="P168" i="3416"/>
  <c r="O168" i="3416"/>
  <c r="N168" i="3416"/>
  <c r="M168" i="3416"/>
  <c r="L168" i="3416"/>
  <c r="K168" i="3416"/>
  <c r="J168" i="3416"/>
  <c r="I168" i="3416"/>
  <c r="H168" i="3416"/>
  <c r="G168" i="3416"/>
  <c r="F168" i="3416"/>
  <c r="E168" i="3416"/>
  <c r="D168" i="3416"/>
  <c r="C168" i="3416" a="1"/>
  <c r="C168" i="3416"/>
  <c r="A168" i="3416"/>
  <c r="EM167" i="3416"/>
  <c r="EL167" i="3416"/>
  <c r="EK167" i="3416"/>
  <c r="EJ167" i="3416"/>
  <c r="EI167" i="3416"/>
  <c r="EH167" i="3416"/>
  <c r="EG167" i="3416"/>
  <c r="EF167" i="3416"/>
  <c r="EE167" i="3416"/>
  <c r="ED167" i="3416"/>
  <c r="EC167" i="3416"/>
  <c r="EB167" i="3416"/>
  <c r="EA167" i="3416"/>
  <c r="DZ167" i="3416"/>
  <c r="DY167" i="3416"/>
  <c r="DX167" i="3416"/>
  <c r="DW167" i="3416"/>
  <c r="DV167" i="3416"/>
  <c r="DU167" i="3416"/>
  <c r="DT167" i="3416"/>
  <c r="DS167" i="3416"/>
  <c r="DR167" i="3416"/>
  <c r="DQ167" i="3416"/>
  <c r="DP167" i="3416"/>
  <c r="DO167" i="3416"/>
  <c r="DN167" i="3416"/>
  <c r="DM167" i="3416"/>
  <c r="DL167" i="3416"/>
  <c r="DK167" i="3416"/>
  <c r="DJ167" i="3416"/>
  <c r="DI167" i="3416"/>
  <c r="DH167" i="3416"/>
  <c r="DG167" i="3416"/>
  <c r="DF167" i="3416"/>
  <c r="DE167" i="3416"/>
  <c r="DD167" i="3416"/>
  <c r="DC167" i="3416"/>
  <c r="DB167" i="3416"/>
  <c r="DA167" i="3416"/>
  <c r="CZ167" i="3416"/>
  <c r="CY167" i="3416"/>
  <c r="CX167" i="3416"/>
  <c r="CW167" i="3416"/>
  <c r="CV167" i="3416"/>
  <c r="CU167" i="3416"/>
  <c r="CT167" i="3416"/>
  <c r="CS167" i="3416"/>
  <c r="CR167" i="3416"/>
  <c r="CQ167" i="3416"/>
  <c r="CP167" i="3416"/>
  <c r="CO167" i="3416"/>
  <c r="CN167" i="3416"/>
  <c r="CM167" i="3416"/>
  <c r="CL167" i="3416"/>
  <c r="CK167" i="3416"/>
  <c r="CJ167" i="3416"/>
  <c r="CI167" i="3416"/>
  <c r="CH167" i="3416"/>
  <c r="CG167" i="3416"/>
  <c r="CF167" i="3416"/>
  <c r="CE167" i="3416"/>
  <c r="CD167" i="3416"/>
  <c r="CC167" i="3416"/>
  <c r="CB167" i="3416"/>
  <c r="CA167" i="3416"/>
  <c r="BZ167" i="3416"/>
  <c r="BY167" i="3416"/>
  <c r="BX167" i="3416"/>
  <c r="BW167" i="3416"/>
  <c r="BV167" i="3416"/>
  <c r="BU167" i="3416"/>
  <c r="BT167" i="3416"/>
  <c r="BS167" i="3416"/>
  <c r="BR167" i="3416"/>
  <c r="BQ167" i="3416"/>
  <c r="BP167" i="3416"/>
  <c r="BO167" i="3416"/>
  <c r="BN167" i="3416"/>
  <c r="BM167" i="3416"/>
  <c r="BL167" i="3416"/>
  <c r="BK167" i="3416"/>
  <c r="BJ167" i="3416"/>
  <c r="BI167" i="3416"/>
  <c r="BH167" i="3416"/>
  <c r="BG167" i="3416"/>
  <c r="BF167" i="3416"/>
  <c r="BE167" i="3416"/>
  <c r="BD167" i="3416"/>
  <c r="BC167" i="3416"/>
  <c r="BB167" i="3416"/>
  <c r="BA167" i="3416"/>
  <c r="AZ167" i="3416"/>
  <c r="AY167" i="3416"/>
  <c r="AX167" i="3416"/>
  <c r="AW167" i="3416"/>
  <c r="AV167" i="3416"/>
  <c r="AU167" i="3416"/>
  <c r="AT167" i="3416"/>
  <c r="AS167" i="3416"/>
  <c r="AR167" i="3416"/>
  <c r="AQ167" i="3416"/>
  <c r="AP167" i="3416"/>
  <c r="AO167" i="3416"/>
  <c r="AN167" i="3416"/>
  <c r="AM167" i="3416"/>
  <c r="AL167" i="3416"/>
  <c r="AK167" i="3416"/>
  <c r="AJ167" i="3416"/>
  <c r="AI167" i="3416"/>
  <c r="AH167" i="3416"/>
  <c r="AG167" i="3416"/>
  <c r="AF167" i="3416"/>
  <c r="AE167" i="3416"/>
  <c r="AD167" i="3416"/>
  <c r="AC167" i="3416"/>
  <c r="AB167" i="3416"/>
  <c r="AA167" i="3416"/>
  <c r="Z167" i="3416"/>
  <c r="Y167" i="3416"/>
  <c r="X167" i="3416"/>
  <c r="W167" i="3416"/>
  <c r="V167" i="3416"/>
  <c r="U167" i="3416"/>
  <c r="T167" i="3416"/>
  <c r="S167" i="3416"/>
  <c r="R167" i="3416"/>
  <c r="Q167" i="3416"/>
  <c r="P167" i="3416"/>
  <c r="O167" i="3416"/>
  <c r="N167" i="3416"/>
  <c r="M167" i="3416"/>
  <c r="L167" i="3416"/>
  <c r="K167" i="3416"/>
  <c r="J167" i="3416"/>
  <c r="I167" i="3416"/>
  <c r="H167" i="3416"/>
  <c r="G167" i="3416"/>
  <c r="F167" i="3416"/>
  <c r="E167" i="3416"/>
  <c r="D167" i="3416"/>
  <c r="C167" i="3416" a="1"/>
  <c r="C167" i="3416"/>
  <c r="A167" i="3416"/>
  <c r="EM166" i="3416"/>
  <c r="EL166" i="3416"/>
  <c r="EK166" i="3416"/>
  <c r="EJ166" i="3416"/>
  <c r="EI166" i="3416"/>
  <c r="EH166" i="3416"/>
  <c r="EG166" i="3416"/>
  <c r="EF166" i="3416"/>
  <c r="EE166" i="3416"/>
  <c r="ED166" i="3416"/>
  <c r="EC166" i="3416"/>
  <c r="EB166" i="3416"/>
  <c r="EA166" i="3416"/>
  <c r="DZ166" i="3416"/>
  <c r="DY166" i="3416"/>
  <c r="DX166" i="3416"/>
  <c r="DW166" i="3416"/>
  <c r="DV166" i="3416"/>
  <c r="DU166" i="3416"/>
  <c r="DT166" i="3416"/>
  <c r="DS166" i="3416"/>
  <c r="DR166" i="3416"/>
  <c r="DQ166" i="3416"/>
  <c r="DP166" i="3416"/>
  <c r="DO166" i="3416"/>
  <c r="DN166" i="3416"/>
  <c r="DM166" i="3416"/>
  <c r="DL166" i="3416"/>
  <c r="DK166" i="3416"/>
  <c r="DJ166" i="3416"/>
  <c r="DI166" i="3416"/>
  <c r="DH166" i="3416"/>
  <c r="DG166" i="3416"/>
  <c r="DF166" i="3416"/>
  <c r="DE166" i="3416"/>
  <c r="DD166" i="3416"/>
  <c r="DC166" i="3416"/>
  <c r="DB166" i="3416"/>
  <c r="DA166" i="3416"/>
  <c r="CZ166" i="3416"/>
  <c r="CY166" i="3416"/>
  <c r="CX166" i="3416"/>
  <c r="CW166" i="3416"/>
  <c r="CV166" i="3416"/>
  <c r="CU166" i="3416"/>
  <c r="CT166" i="3416"/>
  <c r="CS166" i="3416"/>
  <c r="CR166" i="3416"/>
  <c r="CQ166" i="3416"/>
  <c r="CP166" i="3416"/>
  <c r="CO166" i="3416"/>
  <c r="CN166" i="3416"/>
  <c r="CM166" i="3416"/>
  <c r="CL166" i="3416"/>
  <c r="CK166" i="3416"/>
  <c r="CJ166" i="3416"/>
  <c r="CI166" i="3416"/>
  <c r="CH166" i="3416"/>
  <c r="CG166" i="3416"/>
  <c r="CF166" i="3416"/>
  <c r="CE166" i="3416"/>
  <c r="CD166" i="3416"/>
  <c r="CC166" i="3416"/>
  <c r="CB166" i="3416"/>
  <c r="CA166" i="3416"/>
  <c r="BZ166" i="3416"/>
  <c r="BY166" i="3416"/>
  <c r="BX166" i="3416"/>
  <c r="BW166" i="3416"/>
  <c r="BV166" i="3416"/>
  <c r="BU166" i="3416"/>
  <c r="BT166" i="3416"/>
  <c r="BS166" i="3416"/>
  <c r="BR166" i="3416"/>
  <c r="BQ166" i="3416"/>
  <c r="BP166" i="3416"/>
  <c r="BO166" i="3416"/>
  <c r="BN166" i="3416"/>
  <c r="BM166" i="3416"/>
  <c r="BL166" i="3416"/>
  <c r="BK166" i="3416"/>
  <c r="BJ166" i="3416"/>
  <c r="BI166" i="3416"/>
  <c r="BH166" i="3416"/>
  <c r="BG166" i="3416"/>
  <c r="BF166" i="3416"/>
  <c r="BE166" i="3416"/>
  <c r="BD166" i="3416"/>
  <c r="BC166" i="3416"/>
  <c r="BB166" i="3416"/>
  <c r="BA166" i="3416"/>
  <c r="AZ166" i="3416"/>
  <c r="AY166" i="3416"/>
  <c r="AX166" i="3416"/>
  <c r="AW166" i="3416"/>
  <c r="AV166" i="3416"/>
  <c r="AU166" i="3416"/>
  <c r="AT166" i="3416"/>
  <c r="AS166" i="3416"/>
  <c r="AR166" i="3416"/>
  <c r="AQ166" i="3416"/>
  <c r="AP166" i="3416"/>
  <c r="AO166" i="3416"/>
  <c r="AN166" i="3416"/>
  <c r="AM166" i="3416"/>
  <c r="AL166" i="3416"/>
  <c r="AK166" i="3416"/>
  <c r="AJ166" i="3416"/>
  <c r="AI166" i="3416"/>
  <c r="AH166" i="3416"/>
  <c r="AG166" i="3416"/>
  <c r="AF166" i="3416"/>
  <c r="AE166" i="3416"/>
  <c r="AD166" i="3416"/>
  <c r="AC166" i="3416"/>
  <c r="AB166" i="3416"/>
  <c r="AA166" i="3416"/>
  <c r="Z166" i="3416"/>
  <c r="Y166" i="3416"/>
  <c r="X166" i="3416"/>
  <c r="W166" i="3416"/>
  <c r="V166" i="3416"/>
  <c r="U166" i="3416"/>
  <c r="T166" i="3416"/>
  <c r="S166" i="3416"/>
  <c r="R166" i="3416"/>
  <c r="Q166" i="3416"/>
  <c r="P166" i="3416"/>
  <c r="O166" i="3416"/>
  <c r="N166" i="3416"/>
  <c r="M166" i="3416"/>
  <c r="L166" i="3416"/>
  <c r="K166" i="3416"/>
  <c r="J166" i="3416"/>
  <c r="I166" i="3416"/>
  <c r="H166" i="3416"/>
  <c r="G166" i="3416"/>
  <c r="F166" i="3416"/>
  <c r="E166" i="3416"/>
  <c r="D166" i="3416"/>
  <c r="C166" i="3416" a="1"/>
  <c r="C166" i="3416"/>
  <c r="A166" i="3416"/>
  <c r="EM165" i="3416"/>
  <c r="EL165" i="3416"/>
  <c r="EK165" i="3416"/>
  <c r="EJ165" i="3416"/>
  <c r="EI165" i="3416"/>
  <c r="EH165" i="3416"/>
  <c r="EG165" i="3416"/>
  <c r="EF165" i="3416"/>
  <c r="EE165" i="3416"/>
  <c r="ED165" i="3416"/>
  <c r="EC165" i="3416"/>
  <c r="EB165" i="3416"/>
  <c r="EA165" i="3416"/>
  <c r="DZ165" i="3416"/>
  <c r="DY165" i="3416"/>
  <c r="DX165" i="3416"/>
  <c r="DW165" i="3416"/>
  <c r="DV165" i="3416"/>
  <c r="DU165" i="3416"/>
  <c r="DT165" i="3416"/>
  <c r="DS165" i="3416"/>
  <c r="DR165" i="3416"/>
  <c r="DQ165" i="3416"/>
  <c r="DP165" i="3416"/>
  <c r="DO165" i="3416"/>
  <c r="DN165" i="3416"/>
  <c r="DM165" i="3416"/>
  <c r="DL165" i="3416"/>
  <c r="DK165" i="3416"/>
  <c r="DJ165" i="3416"/>
  <c r="DI165" i="3416"/>
  <c r="DH165" i="3416"/>
  <c r="DG165" i="3416"/>
  <c r="DF165" i="3416"/>
  <c r="DE165" i="3416"/>
  <c r="DD165" i="3416"/>
  <c r="DC165" i="3416"/>
  <c r="DB165" i="3416"/>
  <c r="DA165" i="3416"/>
  <c r="CZ165" i="3416"/>
  <c r="CY165" i="3416"/>
  <c r="CX165" i="3416"/>
  <c r="CW165" i="3416"/>
  <c r="CV165" i="3416"/>
  <c r="CU165" i="3416"/>
  <c r="CT165" i="3416"/>
  <c r="CS165" i="3416"/>
  <c r="CR165" i="3416"/>
  <c r="CQ165" i="3416"/>
  <c r="CP165" i="3416"/>
  <c r="CO165" i="3416"/>
  <c r="CN165" i="3416"/>
  <c r="CM165" i="3416"/>
  <c r="CL165" i="3416"/>
  <c r="CK165" i="3416"/>
  <c r="CJ165" i="3416"/>
  <c r="CI165" i="3416"/>
  <c r="CH165" i="3416"/>
  <c r="CG165" i="3416"/>
  <c r="CF165" i="3416"/>
  <c r="CE165" i="3416"/>
  <c r="CD165" i="3416"/>
  <c r="CC165" i="3416"/>
  <c r="CB165" i="3416"/>
  <c r="CA165" i="3416"/>
  <c r="BZ165" i="3416"/>
  <c r="BY165" i="3416"/>
  <c r="BX165" i="3416"/>
  <c r="BW165" i="3416"/>
  <c r="BV165" i="3416"/>
  <c r="BU165" i="3416"/>
  <c r="BT165" i="3416"/>
  <c r="BS165" i="3416"/>
  <c r="BR165" i="3416"/>
  <c r="BQ165" i="3416"/>
  <c r="BP165" i="3416"/>
  <c r="BO165" i="3416"/>
  <c r="BN165" i="3416"/>
  <c r="BM165" i="3416"/>
  <c r="BL165" i="3416"/>
  <c r="BK165" i="3416"/>
  <c r="BJ165" i="3416"/>
  <c r="BI165" i="3416"/>
  <c r="BH165" i="3416"/>
  <c r="BG165" i="3416"/>
  <c r="BF165" i="3416"/>
  <c r="BE165" i="3416"/>
  <c r="BD165" i="3416"/>
  <c r="BC165" i="3416"/>
  <c r="BB165" i="3416"/>
  <c r="BA165" i="3416"/>
  <c r="AZ165" i="3416"/>
  <c r="AY165" i="3416"/>
  <c r="AX165" i="3416"/>
  <c r="AW165" i="3416"/>
  <c r="AV165" i="3416"/>
  <c r="AU165" i="3416"/>
  <c r="AT165" i="3416"/>
  <c r="AS165" i="3416"/>
  <c r="AR165" i="3416"/>
  <c r="AQ165" i="3416"/>
  <c r="AP165" i="3416"/>
  <c r="AO165" i="3416"/>
  <c r="AN165" i="3416"/>
  <c r="AM165" i="3416"/>
  <c r="AL165" i="3416"/>
  <c r="AK165" i="3416"/>
  <c r="AJ165" i="3416"/>
  <c r="AI165" i="3416"/>
  <c r="AH165" i="3416"/>
  <c r="AG165" i="3416"/>
  <c r="AF165" i="3416"/>
  <c r="AE165" i="3416"/>
  <c r="AD165" i="3416"/>
  <c r="AC165" i="3416"/>
  <c r="AB165" i="3416"/>
  <c r="AA165" i="3416"/>
  <c r="Z165" i="3416"/>
  <c r="Y165" i="3416"/>
  <c r="X165" i="3416"/>
  <c r="W165" i="3416"/>
  <c r="V165" i="3416"/>
  <c r="U165" i="3416"/>
  <c r="T165" i="3416"/>
  <c r="S165" i="3416"/>
  <c r="R165" i="3416"/>
  <c r="Q165" i="3416"/>
  <c r="P165" i="3416"/>
  <c r="O165" i="3416"/>
  <c r="N165" i="3416"/>
  <c r="M165" i="3416"/>
  <c r="L165" i="3416"/>
  <c r="K165" i="3416"/>
  <c r="J165" i="3416"/>
  <c r="I165" i="3416"/>
  <c r="H165" i="3416"/>
  <c r="G165" i="3416"/>
  <c r="F165" i="3416"/>
  <c r="E165" i="3416"/>
  <c r="D165" i="3416"/>
  <c r="C165" i="3416" a="1"/>
  <c r="C165" i="3416"/>
  <c r="A165" i="3416"/>
  <c r="EM164" i="3416"/>
  <c r="EL164" i="3416"/>
  <c r="EK164" i="3416"/>
  <c r="EJ164" i="3416"/>
  <c r="EI164" i="3416"/>
  <c r="EH164" i="3416"/>
  <c r="EG164" i="3416"/>
  <c r="EF164" i="3416"/>
  <c r="EE164" i="3416"/>
  <c r="ED164" i="3416"/>
  <c r="EC164" i="3416"/>
  <c r="EB164" i="3416"/>
  <c r="EA164" i="3416"/>
  <c r="DZ164" i="3416"/>
  <c r="DY164" i="3416"/>
  <c r="DX164" i="3416"/>
  <c r="DW164" i="3416"/>
  <c r="DV164" i="3416"/>
  <c r="DU164" i="3416"/>
  <c r="DT164" i="3416"/>
  <c r="DS164" i="3416"/>
  <c r="DR164" i="3416"/>
  <c r="DQ164" i="3416"/>
  <c r="DP164" i="3416"/>
  <c r="DO164" i="3416"/>
  <c r="DN164" i="3416"/>
  <c r="DM164" i="3416"/>
  <c r="DL164" i="3416"/>
  <c r="DK164" i="3416"/>
  <c r="DJ164" i="3416"/>
  <c r="DI164" i="3416"/>
  <c r="DH164" i="3416"/>
  <c r="DG164" i="3416"/>
  <c r="DF164" i="3416"/>
  <c r="DE164" i="3416"/>
  <c r="DD164" i="3416"/>
  <c r="DC164" i="3416"/>
  <c r="DB164" i="3416"/>
  <c r="DA164" i="3416"/>
  <c r="CZ164" i="3416"/>
  <c r="CY164" i="3416"/>
  <c r="CX164" i="3416"/>
  <c r="CW164" i="3416"/>
  <c r="CV164" i="3416"/>
  <c r="CU164" i="3416"/>
  <c r="CT164" i="3416"/>
  <c r="CS164" i="3416"/>
  <c r="CR164" i="3416"/>
  <c r="CQ164" i="3416"/>
  <c r="CP164" i="3416"/>
  <c r="CO164" i="3416"/>
  <c r="CN164" i="3416"/>
  <c r="CM164" i="3416"/>
  <c r="CL164" i="3416"/>
  <c r="CK164" i="3416"/>
  <c r="CJ164" i="3416"/>
  <c r="CI164" i="3416"/>
  <c r="CH164" i="3416"/>
  <c r="CG164" i="3416"/>
  <c r="CF164" i="3416"/>
  <c r="CE164" i="3416"/>
  <c r="CD164" i="3416"/>
  <c r="CC164" i="3416"/>
  <c r="CB164" i="3416"/>
  <c r="CA164" i="3416"/>
  <c r="BZ164" i="3416"/>
  <c r="BY164" i="3416"/>
  <c r="BX164" i="3416"/>
  <c r="BW164" i="3416"/>
  <c r="BV164" i="3416"/>
  <c r="BU164" i="3416"/>
  <c r="BT164" i="3416"/>
  <c r="BS164" i="3416"/>
  <c r="BR164" i="3416"/>
  <c r="BQ164" i="3416"/>
  <c r="BP164" i="3416"/>
  <c r="BO164" i="3416"/>
  <c r="BN164" i="3416"/>
  <c r="BM164" i="3416"/>
  <c r="BL164" i="3416"/>
  <c r="BK164" i="3416"/>
  <c r="BJ164" i="3416"/>
  <c r="BI164" i="3416"/>
  <c r="BH164" i="3416"/>
  <c r="BG164" i="3416"/>
  <c r="BF164" i="3416"/>
  <c r="BE164" i="3416"/>
  <c r="BD164" i="3416"/>
  <c r="BC164" i="3416"/>
  <c r="BB164" i="3416"/>
  <c r="BA164" i="3416"/>
  <c r="AZ164" i="3416"/>
  <c r="AY164" i="3416"/>
  <c r="AX164" i="3416"/>
  <c r="AW164" i="3416"/>
  <c r="AV164" i="3416"/>
  <c r="AU164" i="3416"/>
  <c r="AT164" i="3416"/>
  <c r="AS164" i="3416"/>
  <c r="AR164" i="3416"/>
  <c r="AQ164" i="3416"/>
  <c r="AP164" i="3416"/>
  <c r="AO164" i="3416"/>
  <c r="AN164" i="3416"/>
  <c r="AM164" i="3416"/>
  <c r="AL164" i="3416"/>
  <c r="AK164" i="3416"/>
  <c r="AJ164" i="3416"/>
  <c r="AI164" i="3416"/>
  <c r="AH164" i="3416"/>
  <c r="AG164" i="3416"/>
  <c r="AF164" i="3416"/>
  <c r="AE164" i="3416"/>
  <c r="AD164" i="3416"/>
  <c r="AC164" i="3416"/>
  <c r="AB164" i="3416"/>
  <c r="AA164" i="3416"/>
  <c r="Z164" i="3416"/>
  <c r="Y164" i="3416"/>
  <c r="X164" i="3416"/>
  <c r="W164" i="3416"/>
  <c r="V164" i="3416"/>
  <c r="U164" i="3416"/>
  <c r="T164" i="3416"/>
  <c r="S164" i="3416"/>
  <c r="R164" i="3416"/>
  <c r="Q164" i="3416"/>
  <c r="P164" i="3416"/>
  <c r="O164" i="3416"/>
  <c r="N164" i="3416"/>
  <c r="M164" i="3416"/>
  <c r="L164" i="3416"/>
  <c r="K164" i="3416"/>
  <c r="J164" i="3416"/>
  <c r="I164" i="3416"/>
  <c r="H164" i="3416"/>
  <c r="G164" i="3416"/>
  <c r="F164" i="3416"/>
  <c r="E164" i="3416"/>
  <c r="D164" i="3416"/>
  <c r="C164" i="3416" a="1"/>
  <c r="C164" i="3416"/>
  <c r="A164" i="3416"/>
  <c r="EM163" i="3416"/>
  <c r="EL163" i="3416"/>
  <c r="EK163" i="3416"/>
  <c r="EJ163" i="3416"/>
  <c r="EI163" i="3416"/>
  <c r="EH163" i="3416"/>
  <c r="EG163" i="3416"/>
  <c r="EF163" i="3416"/>
  <c r="EE163" i="3416"/>
  <c r="ED163" i="3416"/>
  <c r="EC163" i="3416"/>
  <c r="EB163" i="3416"/>
  <c r="EA163" i="3416"/>
  <c r="DZ163" i="3416"/>
  <c r="DY163" i="3416"/>
  <c r="DX163" i="3416"/>
  <c r="DW163" i="3416"/>
  <c r="DV163" i="3416"/>
  <c r="DU163" i="3416"/>
  <c r="DT163" i="3416"/>
  <c r="DS163" i="3416"/>
  <c r="DR163" i="3416"/>
  <c r="DQ163" i="3416"/>
  <c r="DP163" i="3416"/>
  <c r="DO163" i="3416"/>
  <c r="DN163" i="3416"/>
  <c r="DM163" i="3416"/>
  <c r="DL163" i="3416"/>
  <c r="DK163" i="3416"/>
  <c r="DJ163" i="3416"/>
  <c r="DI163" i="3416"/>
  <c r="DH163" i="3416"/>
  <c r="DG163" i="3416"/>
  <c r="DF163" i="3416"/>
  <c r="DE163" i="3416"/>
  <c r="DD163" i="3416"/>
  <c r="DC163" i="3416"/>
  <c r="DB163" i="3416"/>
  <c r="DA163" i="3416"/>
  <c r="CZ163" i="3416"/>
  <c r="CY163" i="3416"/>
  <c r="CX163" i="3416"/>
  <c r="CW163" i="3416"/>
  <c r="CV163" i="3416"/>
  <c r="CU163" i="3416"/>
  <c r="CT163" i="3416"/>
  <c r="CS163" i="3416"/>
  <c r="CR163" i="3416"/>
  <c r="CQ163" i="3416"/>
  <c r="CP163" i="3416"/>
  <c r="CO163" i="3416"/>
  <c r="CN163" i="3416"/>
  <c r="CM163" i="3416"/>
  <c r="CL163" i="3416"/>
  <c r="CK163" i="3416"/>
  <c r="CJ163" i="3416"/>
  <c r="CI163" i="3416"/>
  <c r="CH163" i="3416"/>
  <c r="CG163" i="3416"/>
  <c r="CF163" i="3416"/>
  <c r="CE163" i="3416"/>
  <c r="CD163" i="3416"/>
  <c r="CC163" i="3416"/>
  <c r="CB163" i="3416"/>
  <c r="CA163" i="3416"/>
  <c r="BZ163" i="3416"/>
  <c r="BY163" i="3416"/>
  <c r="BX163" i="3416"/>
  <c r="BW163" i="3416"/>
  <c r="BV163" i="3416"/>
  <c r="BU163" i="3416"/>
  <c r="BT163" i="3416"/>
  <c r="BS163" i="3416"/>
  <c r="BR163" i="3416"/>
  <c r="BQ163" i="3416"/>
  <c r="BP163" i="3416"/>
  <c r="BO163" i="3416"/>
  <c r="BN163" i="3416"/>
  <c r="BM163" i="3416"/>
  <c r="BL163" i="3416"/>
  <c r="BK163" i="3416"/>
  <c r="BJ163" i="3416"/>
  <c r="BI163" i="3416"/>
  <c r="BH163" i="3416"/>
  <c r="BG163" i="3416"/>
  <c r="BF163" i="3416"/>
  <c r="BE163" i="3416"/>
  <c r="BD163" i="3416"/>
  <c r="BC163" i="3416"/>
  <c r="BB163" i="3416"/>
  <c r="BA163" i="3416"/>
  <c r="AZ163" i="3416"/>
  <c r="AY163" i="3416"/>
  <c r="AX163" i="3416"/>
  <c r="AW163" i="3416"/>
  <c r="AV163" i="3416"/>
  <c r="AU163" i="3416"/>
  <c r="AT163" i="3416"/>
  <c r="AS163" i="3416"/>
  <c r="AR163" i="3416"/>
  <c r="AQ163" i="3416"/>
  <c r="AP163" i="3416"/>
  <c r="AO163" i="3416"/>
  <c r="AN163" i="3416"/>
  <c r="AM163" i="3416"/>
  <c r="AL163" i="3416"/>
  <c r="AK163" i="3416"/>
  <c r="AJ163" i="3416"/>
  <c r="AI163" i="3416"/>
  <c r="AH163" i="3416"/>
  <c r="AG163" i="3416"/>
  <c r="AF163" i="3416"/>
  <c r="AE163" i="3416"/>
  <c r="AD163" i="3416"/>
  <c r="AC163" i="3416"/>
  <c r="AB163" i="3416"/>
  <c r="AA163" i="3416"/>
  <c r="Z163" i="3416"/>
  <c r="Y163" i="3416"/>
  <c r="X163" i="3416"/>
  <c r="W163" i="3416"/>
  <c r="V163" i="3416"/>
  <c r="U163" i="3416"/>
  <c r="T163" i="3416"/>
  <c r="S163" i="3416"/>
  <c r="R163" i="3416"/>
  <c r="Q163" i="3416"/>
  <c r="P163" i="3416"/>
  <c r="O163" i="3416"/>
  <c r="N163" i="3416"/>
  <c r="M163" i="3416"/>
  <c r="L163" i="3416"/>
  <c r="K163" i="3416"/>
  <c r="J163" i="3416"/>
  <c r="I163" i="3416"/>
  <c r="H163" i="3416"/>
  <c r="G163" i="3416"/>
  <c r="F163" i="3416"/>
  <c r="E163" i="3416"/>
  <c r="D163" i="3416"/>
  <c r="C163" i="3416" a="1"/>
  <c r="C163" i="3416"/>
  <c r="A163" i="3416"/>
  <c r="EM162" i="3416"/>
  <c r="EL162" i="3416"/>
  <c r="EK162" i="3416"/>
  <c r="EJ162" i="3416"/>
  <c r="EI162" i="3416"/>
  <c r="EH162" i="3416"/>
  <c r="EG162" i="3416"/>
  <c r="EF162" i="3416"/>
  <c r="EE162" i="3416"/>
  <c r="ED162" i="3416"/>
  <c r="EC162" i="3416"/>
  <c r="EB162" i="3416"/>
  <c r="EA162" i="3416"/>
  <c r="DZ162" i="3416"/>
  <c r="DY162" i="3416"/>
  <c r="DX162" i="3416"/>
  <c r="DW162" i="3416"/>
  <c r="DV162" i="3416"/>
  <c r="DU162" i="3416"/>
  <c r="DT162" i="3416"/>
  <c r="DS162" i="3416"/>
  <c r="DR162" i="3416"/>
  <c r="DQ162" i="3416"/>
  <c r="DP162" i="3416"/>
  <c r="DO162" i="3416"/>
  <c r="DN162" i="3416"/>
  <c r="DM162" i="3416"/>
  <c r="DL162" i="3416"/>
  <c r="DK162" i="3416"/>
  <c r="DJ162" i="3416"/>
  <c r="DI162" i="3416"/>
  <c r="DH162" i="3416"/>
  <c r="DG162" i="3416"/>
  <c r="DF162" i="3416"/>
  <c r="DE162" i="3416"/>
  <c r="DD162" i="3416"/>
  <c r="DC162" i="3416"/>
  <c r="DB162" i="3416"/>
  <c r="DA162" i="3416"/>
  <c r="CZ162" i="3416"/>
  <c r="CY162" i="3416"/>
  <c r="CX162" i="3416"/>
  <c r="CW162" i="3416"/>
  <c r="CV162" i="3416"/>
  <c r="CU162" i="3416"/>
  <c r="CT162" i="3416"/>
  <c r="CS162" i="3416"/>
  <c r="CR162" i="3416"/>
  <c r="CQ162" i="3416"/>
  <c r="CP162" i="3416"/>
  <c r="CO162" i="3416"/>
  <c r="CN162" i="3416"/>
  <c r="CM162" i="3416"/>
  <c r="CL162" i="3416"/>
  <c r="CK162" i="3416"/>
  <c r="CJ162" i="3416"/>
  <c r="CI162" i="3416"/>
  <c r="CH162" i="3416"/>
  <c r="CG162" i="3416"/>
  <c r="CF162" i="3416"/>
  <c r="CE162" i="3416"/>
  <c r="CD162" i="3416"/>
  <c r="CC162" i="3416"/>
  <c r="CB162" i="3416"/>
  <c r="CA162" i="3416"/>
  <c r="BZ162" i="3416"/>
  <c r="BY162" i="3416"/>
  <c r="BX162" i="3416"/>
  <c r="BW162" i="3416"/>
  <c r="BV162" i="3416"/>
  <c r="BU162" i="3416"/>
  <c r="BT162" i="3416"/>
  <c r="BS162" i="3416"/>
  <c r="BR162" i="3416"/>
  <c r="BQ162" i="3416"/>
  <c r="BP162" i="3416"/>
  <c r="BO162" i="3416"/>
  <c r="BN162" i="3416"/>
  <c r="BM162" i="3416"/>
  <c r="BL162" i="3416"/>
  <c r="BK162" i="3416"/>
  <c r="BJ162" i="3416"/>
  <c r="BI162" i="3416"/>
  <c r="BH162" i="3416"/>
  <c r="BG162" i="3416"/>
  <c r="BF162" i="3416"/>
  <c r="BE162" i="3416"/>
  <c r="BD162" i="3416"/>
  <c r="BC162" i="3416"/>
  <c r="BB162" i="3416"/>
  <c r="BA162" i="3416"/>
  <c r="AZ162" i="3416"/>
  <c r="AY162" i="3416"/>
  <c r="AX162" i="3416"/>
  <c r="AW162" i="3416"/>
  <c r="AV162" i="3416"/>
  <c r="AU162" i="3416"/>
  <c r="AT162" i="3416"/>
  <c r="AS162" i="3416"/>
  <c r="AR162" i="3416"/>
  <c r="AQ162" i="3416"/>
  <c r="AP162" i="3416"/>
  <c r="AO162" i="3416"/>
  <c r="AN162" i="3416"/>
  <c r="AM162" i="3416"/>
  <c r="AL162" i="3416"/>
  <c r="AK162" i="3416"/>
  <c r="AJ162" i="3416"/>
  <c r="AI162" i="3416"/>
  <c r="AH162" i="3416"/>
  <c r="AG162" i="3416"/>
  <c r="AF162" i="3416"/>
  <c r="AE162" i="3416"/>
  <c r="AD162" i="3416"/>
  <c r="AC162" i="3416"/>
  <c r="AB162" i="3416"/>
  <c r="AA162" i="3416"/>
  <c r="Z162" i="3416"/>
  <c r="Y162" i="3416"/>
  <c r="X162" i="3416"/>
  <c r="W162" i="3416"/>
  <c r="V162" i="3416"/>
  <c r="U162" i="3416"/>
  <c r="T162" i="3416"/>
  <c r="S162" i="3416"/>
  <c r="R162" i="3416"/>
  <c r="Q162" i="3416"/>
  <c r="P162" i="3416"/>
  <c r="O162" i="3416"/>
  <c r="N162" i="3416"/>
  <c r="M162" i="3416"/>
  <c r="L162" i="3416"/>
  <c r="K162" i="3416"/>
  <c r="J162" i="3416"/>
  <c r="I162" i="3416"/>
  <c r="H162" i="3416"/>
  <c r="G162" i="3416"/>
  <c r="F162" i="3416"/>
  <c r="E162" i="3416"/>
  <c r="D162" i="3416"/>
  <c r="C162" i="3416" a="1"/>
  <c r="C162" i="3416"/>
  <c r="A162" i="3416"/>
  <c r="EM161" i="3416"/>
  <c r="EL161" i="3416"/>
  <c r="EK161" i="3416"/>
  <c r="EJ161" i="3416"/>
  <c r="EI161" i="3416"/>
  <c r="EH161" i="3416"/>
  <c r="EG161" i="3416"/>
  <c r="EF161" i="3416"/>
  <c r="EE161" i="3416"/>
  <c r="ED161" i="3416"/>
  <c r="EC161" i="3416"/>
  <c r="EB161" i="3416"/>
  <c r="EA161" i="3416"/>
  <c r="DZ161" i="3416"/>
  <c r="DY161" i="3416"/>
  <c r="DX161" i="3416"/>
  <c r="DW161" i="3416"/>
  <c r="DV161" i="3416"/>
  <c r="DU161" i="3416"/>
  <c r="DT161" i="3416"/>
  <c r="DS161" i="3416"/>
  <c r="DR161" i="3416"/>
  <c r="DQ161" i="3416"/>
  <c r="DP161" i="3416"/>
  <c r="DO161" i="3416"/>
  <c r="DN161" i="3416"/>
  <c r="DM161" i="3416"/>
  <c r="DL161" i="3416"/>
  <c r="DK161" i="3416"/>
  <c r="DJ161" i="3416"/>
  <c r="DI161" i="3416"/>
  <c r="DH161" i="3416"/>
  <c r="DG161" i="3416"/>
  <c r="DF161" i="3416"/>
  <c r="DE161" i="3416"/>
  <c r="DD161" i="3416"/>
  <c r="DC161" i="3416"/>
  <c r="DB161" i="3416"/>
  <c r="DA161" i="3416"/>
  <c r="CZ161" i="3416"/>
  <c r="CY161" i="3416"/>
  <c r="CX161" i="3416"/>
  <c r="CW161" i="3416"/>
  <c r="CV161" i="3416"/>
  <c r="CU161" i="3416"/>
  <c r="CT161" i="3416"/>
  <c r="CS161" i="3416"/>
  <c r="CR161" i="3416"/>
  <c r="CQ161" i="3416"/>
  <c r="CP161" i="3416"/>
  <c r="CO161" i="3416"/>
  <c r="CN161" i="3416"/>
  <c r="CM161" i="3416"/>
  <c r="CL161" i="3416"/>
  <c r="CK161" i="3416"/>
  <c r="CJ161" i="3416"/>
  <c r="CI161" i="3416"/>
  <c r="CH161" i="3416"/>
  <c r="CG161" i="3416"/>
  <c r="CF161" i="3416"/>
  <c r="CE161" i="3416"/>
  <c r="CD161" i="3416"/>
  <c r="CC161" i="3416"/>
  <c r="CB161" i="3416"/>
  <c r="CA161" i="3416"/>
  <c r="BZ161" i="3416"/>
  <c r="BY161" i="3416"/>
  <c r="BX161" i="3416"/>
  <c r="BW161" i="3416"/>
  <c r="BV161" i="3416"/>
  <c r="BU161" i="3416"/>
  <c r="BT161" i="3416"/>
  <c r="BS161" i="3416"/>
  <c r="BR161" i="3416"/>
  <c r="BQ161" i="3416"/>
  <c r="BP161" i="3416"/>
  <c r="BO161" i="3416"/>
  <c r="BN161" i="3416"/>
  <c r="BM161" i="3416"/>
  <c r="BL161" i="3416"/>
  <c r="BK161" i="3416"/>
  <c r="BJ161" i="3416"/>
  <c r="BI161" i="3416"/>
  <c r="BH161" i="3416"/>
  <c r="BG161" i="3416"/>
  <c r="BF161" i="3416"/>
  <c r="BE161" i="3416"/>
  <c r="BD161" i="3416"/>
  <c r="BC161" i="3416"/>
  <c r="BB161" i="3416"/>
  <c r="BA161" i="3416"/>
  <c r="AZ161" i="3416"/>
  <c r="AY161" i="3416"/>
  <c r="AX161" i="3416"/>
  <c r="AW161" i="3416"/>
  <c r="AV161" i="3416"/>
  <c r="AU161" i="3416"/>
  <c r="AT161" i="3416"/>
  <c r="AS161" i="3416"/>
  <c r="AR161" i="3416"/>
  <c r="AQ161" i="3416"/>
  <c r="AP161" i="3416"/>
  <c r="AO161" i="3416"/>
  <c r="AN161" i="3416"/>
  <c r="AM161" i="3416"/>
  <c r="AL161" i="3416"/>
  <c r="AK161" i="3416"/>
  <c r="AJ161" i="3416"/>
  <c r="AI161" i="3416"/>
  <c r="AH161" i="3416"/>
  <c r="AG161" i="3416"/>
  <c r="AF161" i="3416"/>
  <c r="AE161" i="3416"/>
  <c r="AD161" i="3416"/>
  <c r="AC161" i="3416"/>
  <c r="AB161" i="3416"/>
  <c r="AA161" i="3416"/>
  <c r="Z161" i="3416"/>
  <c r="Y161" i="3416"/>
  <c r="X161" i="3416"/>
  <c r="W161" i="3416"/>
  <c r="V161" i="3416"/>
  <c r="U161" i="3416"/>
  <c r="T161" i="3416"/>
  <c r="S161" i="3416"/>
  <c r="R161" i="3416"/>
  <c r="Q161" i="3416"/>
  <c r="P161" i="3416"/>
  <c r="O161" i="3416"/>
  <c r="N161" i="3416"/>
  <c r="M161" i="3416"/>
  <c r="L161" i="3416"/>
  <c r="K161" i="3416"/>
  <c r="J161" i="3416"/>
  <c r="I161" i="3416"/>
  <c r="H161" i="3416"/>
  <c r="G161" i="3416"/>
  <c r="F161" i="3416"/>
  <c r="E161" i="3416"/>
  <c r="D161" i="3416"/>
  <c r="C161" i="3416" a="1"/>
  <c r="C161" i="3416"/>
  <c r="A161" i="3416"/>
  <c r="EM160" i="3416"/>
  <c r="EL160" i="3416"/>
  <c r="EK160" i="3416"/>
  <c r="EJ160" i="3416"/>
  <c r="EI160" i="3416"/>
  <c r="EH160" i="3416"/>
  <c r="EG160" i="3416"/>
  <c r="EF160" i="3416"/>
  <c r="EE160" i="3416"/>
  <c r="ED160" i="3416"/>
  <c r="EC160" i="3416"/>
  <c r="EB160" i="3416"/>
  <c r="EA160" i="3416"/>
  <c r="DZ160" i="3416"/>
  <c r="DY160" i="3416"/>
  <c r="DX160" i="3416"/>
  <c r="DW160" i="3416"/>
  <c r="DV160" i="3416"/>
  <c r="DU160" i="3416"/>
  <c r="DT160" i="3416"/>
  <c r="DS160" i="3416"/>
  <c r="DR160" i="3416"/>
  <c r="DQ160" i="3416"/>
  <c r="DP160" i="3416"/>
  <c r="DO160" i="3416"/>
  <c r="DN160" i="3416"/>
  <c r="DM160" i="3416"/>
  <c r="DL160" i="3416"/>
  <c r="DK160" i="3416"/>
  <c r="DJ160" i="3416"/>
  <c r="DI160" i="3416"/>
  <c r="DH160" i="3416"/>
  <c r="DG160" i="3416"/>
  <c r="DF160" i="3416"/>
  <c r="DE160" i="3416"/>
  <c r="DD160" i="3416"/>
  <c r="DC160" i="3416"/>
  <c r="DB160" i="3416"/>
  <c r="DA160" i="3416"/>
  <c r="CZ160" i="3416"/>
  <c r="CY160" i="3416"/>
  <c r="CX160" i="3416"/>
  <c r="CW160" i="3416"/>
  <c r="CV160" i="3416"/>
  <c r="CU160" i="3416"/>
  <c r="CT160" i="3416"/>
  <c r="CS160" i="3416"/>
  <c r="CR160" i="3416"/>
  <c r="CQ160" i="3416"/>
  <c r="CP160" i="3416"/>
  <c r="CO160" i="3416"/>
  <c r="CN160" i="3416"/>
  <c r="CM160" i="3416"/>
  <c r="CL160" i="3416"/>
  <c r="CK160" i="3416"/>
  <c r="CJ160" i="3416"/>
  <c r="CI160" i="3416"/>
  <c r="CH160" i="3416"/>
  <c r="CG160" i="3416"/>
  <c r="CF160" i="3416"/>
  <c r="CE160" i="3416"/>
  <c r="CD160" i="3416"/>
  <c r="CC160" i="3416"/>
  <c r="CB160" i="3416"/>
  <c r="CA160" i="3416"/>
  <c r="BZ160" i="3416"/>
  <c r="BY160" i="3416"/>
  <c r="BX160" i="3416"/>
  <c r="BW160" i="3416"/>
  <c r="BV160" i="3416"/>
  <c r="BU160" i="3416"/>
  <c r="BT160" i="3416"/>
  <c r="BS160" i="3416"/>
  <c r="BR160" i="3416"/>
  <c r="BQ160" i="3416"/>
  <c r="BP160" i="3416"/>
  <c r="BO160" i="3416"/>
  <c r="BN160" i="3416"/>
  <c r="BM160" i="3416"/>
  <c r="BL160" i="3416"/>
  <c r="BK160" i="3416"/>
  <c r="BJ160" i="3416"/>
  <c r="BI160" i="3416"/>
  <c r="BH160" i="3416"/>
  <c r="BG160" i="3416"/>
  <c r="BF160" i="3416"/>
  <c r="BE160" i="3416"/>
  <c r="BD160" i="3416"/>
  <c r="BC160" i="3416"/>
  <c r="BB160" i="3416"/>
  <c r="BA160" i="3416"/>
  <c r="AZ160" i="3416"/>
  <c r="AY160" i="3416"/>
  <c r="AX160" i="3416"/>
  <c r="AW160" i="3416"/>
  <c r="AV160" i="3416"/>
  <c r="AU160" i="3416"/>
  <c r="AT160" i="3416"/>
  <c r="AS160" i="3416"/>
  <c r="AR160" i="3416"/>
  <c r="AQ160" i="3416"/>
  <c r="AP160" i="3416"/>
  <c r="AO160" i="3416"/>
  <c r="AN160" i="3416"/>
  <c r="AM160" i="3416"/>
  <c r="AL160" i="3416"/>
  <c r="AK160" i="3416"/>
  <c r="AJ160" i="3416"/>
  <c r="AI160" i="3416"/>
  <c r="AH160" i="3416"/>
  <c r="AG160" i="3416"/>
  <c r="AF160" i="3416"/>
  <c r="AE160" i="3416"/>
  <c r="AD160" i="3416"/>
  <c r="AC160" i="3416"/>
  <c r="AB160" i="3416"/>
  <c r="AA160" i="3416"/>
  <c r="Z160" i="3416"/>
  <c r="Y160" i="3416"/>
  <c r="X160" i="3416"/>
  <c r="W160" i="3416"/>
  <c r="V160" i="3416"/>
  <c r="U160" i="3416"/>
  <c r="T160" i="3416"/>
  <c r="S160" i="3416"/>
  <c r="R160" i="3416"/>
  <c r="Q160" i="3416"/>
  <c r="P160" i="3416"/>
  <c r="O160" i="3416"/>
  <c r="N160" i="3416"/>
  <c r="M160" i="3416"/>
  <c r="L160" i="3416"/>
  <c r="K160" i="3416"/>
  <c r="J160" i="3416"/>
  <c r="I160" i="3416"/>
  <c r="H160" i="3416"/>
  <c r="G160" i="3416"/>
  <c r="F160" i="3416"/>
  <c r="E160" i="3416"/>
  <c r="D160" i="3416"/>
  <c r="C160" i="3416" a="1"/>
  <c r="C160" i="3416"/>
  <c r="A160" i="3416"/>
  <c r="EM159" i="3416"/>
  <c r="EL159" i="3416"/>
  <c r="EK159" i="3416"/>
  <c r="EJ159" i="3416"/>
  <c r="EI159" i="3416"/>
  <c r="EH159" i="3416"/>
  <c r="EG159" i="3416"/>
  <c r="EF159" i="3416"/>
  <c r="EE159" i="3416"/>
  <c r="ED159" i="3416"/>
  <c r="EC159" i="3416"/>
  <c r="EB159" i="3416"/>
  <c r="EA159" i="3416"/>
  <c r="DZ159" i="3416"/>
  <c r="DY159" i="3416"/>
  <c r="DX159" i="3416"/>
  <c r="DW159" i="3416"/>
  <c r="DV159" i="3416"/>
  <c r="DU159" i="3416"/>
  <c r="DT159" i="3416"/>
  <c r="DS159" i="3416"/>
  <c r="DR159" i="3416"/>
  <c r="DQ159" i="3416"/>
  <c r="DP159" i="3416"/>
  <c r="DO159" i="3416"/>
  <c r="DN159" i="3416"/>
  <c r="DM159" i="3416"/>
  <c r="DL159" i="3416"/>
  <c r="DK159" i="3416"/>
  <c r="DJ159" i="3416"/>
  <c r="DI159" i="3416"/>
  <c r="DH159" i="3416"/>
  <c r="DG159" i="3416"/>
  <c r="DF159" i="3416"/>
  <c r="DE159" i="3416"/>
  <c r="DD159" i="3416"/>
  <c r="DC159" i="3416"/>
  <c r="DB159" i="3416"/>
  <c r="DA159" i="3416"/>
  <c r="CZ159" i="3416"/>
  <c r="CY159" i="3416"/>
  <c r="CX159" i="3416"/>
  <c r="CW159" i="3416"/>
  <c r="CV159" i="3416"/>
  <c r="CU159" i="3416"/>
  <c r="CT159" i="3416"/>
  <c r="CS159" i="3416"/>
  <c r="CR159" i="3416"/>
  <c r="CQ159" i="3416"/>
  <c r="CP159" i="3416"/>
  <c r="CO159" i="3416"/>
  <c r="CN159" i="3416"/>
  <c r="CM159" i="3416"/>
  <c r="CL159" i="3416"/>
  <c r="CK159" i="3416"/>
  <c r="CJ159" i="3416"/>
  <c r="CI159" i="3416"/>
  <c r="CH159" i="3416"/>
  <c r="CG159" i="3416"/>
  <c r="CF159" i="3416"/>
  <c r="CE159" i="3416"/>
  <c r="CD159" i="3416"/>
  <c r="CC159" i="3416"/>
  <c r="CB159" i="3416"/>
  <c r="CA159" i="3416"/>
  <c r="BZ159" i="3416"/>
  <c r="BY159" i="3416"/>
  <c r="BX159" i="3416"/>
  <c r="BW159" i="3416"/>
  <c r="BV159" i="3416"/>
  <c r="BU159" i="3416"/>
  <c r="BT159" i="3416"/>
  <c r="BS159" i="3416"/>
  <c r="BR159" i="3416"/>
  <c r="BQ159" i="3416"/>
  <c r="BP159" i="3416"/>
  <c r="BO159" i="3416"/>
  <c r="BN159" i="3416"/>
  <c r="BM159" i="3416"/>
  <c r="BL159" i="3416"/>
  <c r="BK159" i="3416"/>
  <c r="BJ159" i="3416"/>
  <c r="BI159" i="3416"/>
  <c r="BH159" i="3416"/>
  <c r="BG159" i="3416"/>
  <c r="BF159" i="3416"/>
  <c r="BE159" i="3416"/>
  <c r="BD159" i="3416"/>
  <c r="BC159" i="3416"/>
  <c r="BB159" i="3416"/>
  <c r="BA159" i="3416"/>
  <c r="AZ159" i="3416"/>
  <c r="AY159" i="3416"/>
  <c r="AX159" i="3416"/>
  <c r="AW159" i="3416"/>
  <c r="AV159" i="3416"/>
  <c r="AU159" i="3416"/>
  <c r="AT159" i="3416"/>
  <c r="AS159" i="3416"/>
  <c r="AR159" i="3416"/>
  <c r="AQ159" i="3416"/>
  <c r="AP159" i="3416"/>
  <c r="AO159" i="3416"/>
  <c r="AN159" i="3416"/>
  <c r="AM159" i="3416"/>
  <c r="AL159" i="3416"/>
  <c r="AK159" i="3416"/>
  <c r="AJ159" i="3416"/>
  <c r="AI159" i="3416"/>
  <c r="AH159" i="3416"/>
  <c r="AG159" i="3416"/>
  <c r="AF159" i="3416"/>
  <c r="AE159" i="3416"/>
  <c r="AD159" i="3416"/>
  <c r="AC159" i="3416"/>
  <c r="AB159" i="3416"/>
  <c r="AA159" i="3416"/>
  <c r="Z159" i="3416"/>
  <c r="Y159" i="3416"/>
  <c r="X159" i="3416"/>
  <c r="W159" i="3416"/>
  <c r="V159" i="3416"/>
  <c r="U159" i="3416"/>
  <c r="T159" i="3416"/>
  <c r="S159" i="3416"/>
  <c r="R159" i="3416"/>
  <c r="Q159" i="3416"/>
  <c r="P159" i="3416"/>
  <c r="O159" i="3416"/>
  <c r="N159" i="3416"/>
  <c r="M159" i="3416"/>
  <c r="L159" i="3416"/>
  <c r="K159" i="3416"/>
  <c r="J159" i="3416"/>
  <c r="I159" i="3416"/>
  <c r="H159" i="3416"/>
  <c r="G159" i="3416"/>
  <c r="F159" i="3416"/>
  <c r="E159" i="3416"/>
  <c r="D159" i="3416"/>
  <c r="C159" i="3416" a="1"/>
  <c r="C159" i="3416"/>
  <c r="A159" i="3416"/>
  <c r="EM158" i="3416"/>
  <c r="EL158" i="3416"/>
  <c r="EK158" i="3416"/>
  <c r="EJ158" i="3416"/>
  <c r="EI158" i="3416"/>
  <c r="EH158" i="3416"/>
  <c r="EG158" i="3416"/>
  <c r="EF158" i="3416"/>
  <c r="EE158" i="3416"/>
  <c r="ED158" i="3416"/>
  <c r="EC158" i="3416"/>
  <c r="EB158" i="3416"/>
  <c r="EA158" i="3416"/>
  <c r="DZ158" i="3416"/>
  <c r="DY158" i="3416"/>
  <c r="DX158" i="3416"/>
  <c r="DW158" i="3416"/>
  <c r="DV158" i="3416"/>
  <c r="DU158" i="3416"/>
  <c r="DT158" i="3416"/>
  <c r="DS158" i="3416"/>
  <c r="DR158" i="3416"/>
  <c r="DQ158" i="3416"/>
  <c r="DP158" i="3416"/>
  <c r="DO158" i="3416"/>
  <c r="DN158" i="3416"/>
  <c r="DM158" i="3416"/>
  <c r="DL158" i="3416"/>
  <c r="DK158" i="3416"/>
  <c r="DJ158" i="3416"/>
  <c r="DI158" i="3416"/>
  <c r="DH158" i="3416"/>
  <c r="DG158" i="3416"/>
  <c r="DF158" i="3416"/>
  <c r="DE158" i="3416"/>
  <c r="DD158" i="3416"/>
  <c r="DC158" i="3416"/>
  <c r="DB158" i="3416"/>
  <c r="DA158" i="3416"/>
  <c r="CZ158" i="3416"/>
  <c r="CY158" i="3416"/>
  <c r="CX158" i="3416"/>
  <c r="CW158" i="3416"/>
  <c r="CV158" i="3416"/>
  <c r="CU158" i="3416"/>
  <c r="CT158" i="3416"/>
  <c r="CS158" i="3416"/>
  <c r="CR158" i="3416"/>
  <c r="CQ158" i="3416"/>
  <c r="CP158" i="3416"/>
  <c r="CO158" i="3416"/>
  <c r="CN158" i="3416"/>
  <c r="CM158" i="3416"/>
  <c r="CL158" i="3416"/>
  <c r="CK158" i="3416"/>
  <c r="CJ158" i="3416"/>
  <c r="CI158" i="3416"/>
  <c r="CH158" i="3416"/>
  <c r="CG158" i="3416"/>
  <c r="CF158" i="3416"/>
  <c r="CE158" i="3416"/>
  <c r="CD158" i="3416"/>
  <c r="CC158" i="3416"/>
  <c r="CB158" i="3416"/>
  <c r="CA158" i="3416"/>
  <c r="BZ158" i="3416"/>
  <c r="BY158" i="3416"/>
  <c r="BX158" i="3416"/>
  <c r="BW158" i="3416"/>
  <c r="BV158" i="3416"/>
  <c r="BU158" i="3416"/>
  <c r="BT158" i="3416"/>
  <c r="BS158" i="3416"/>
  <c r="BR158" i="3416"/>
  <c r="BQ158" i="3416"/>
  <c r="BP158" i="3416"/>
  <c r="BO158" i="3416"/>
  <c r="BN158" i="3416"/>
  <c r="BM158" i="3416"/>
  <c r="BL158" i="3416"/>
  <c r="BK158" i="3416"/>
  <c r="BJ158" i="3416"/>
  <c r="BI158" i="3416"/>
  <c r="BH158" i="3416"/>
  <c r="BG158" i="3416"/>
  <c r="BF158" i="3416"/>
  <c r="BE158" i="3416"/>
  <c r="BD158" i="3416"/>
  <c r="BC158" i="3416"/>
  <c r="BB158" i="3416"/>
  <c r="BA158" i="3416"/>
  <c r="AZ158" i="3416"/>
  <c r="AY158" i="3416"/>
  <c r="AX158" i="3416"/>
  <c r="AW158" i="3416"/>
  <c r="AV158" i="3416"/>
  <c r="AU158" i="3416"/>
  <c r="AT158" i="3416"/>
  <c r="AS158" i="3416"/>
  <c r="AR158" i="3416"/>
  <c r="AQ158" i="3416"/>
  <c r="AP158" i="3416"/>
  <c r="AO158" i="3416"/>
  <c r="AN158" i="3416"/>
  <c r="AM158" i="3416"/>
  <c r="AL158" i="3416"/>
  <c r="AK158" i="3416"/>
  <c r="AJ158" i="3416"/>
  <c r="AI158" i="3416"/>
  <c r="AH158" i="3416"/>
  <c r="AG158" i="3416"/>
  <c r="AF158" i="3416"/>
  <c r="AE158" i="3416"/>
  <c r="AD158" i="3416"/>
  <c r="AC158" i="3416"/>
  <c r="AB158" i="3416"/>
  <c r="AA158" i="3416"/>
  <c r="Z158" i="3416"/>
  <c r="Y158" i="3416"/>
  <c r="X158" i="3416"/>
  <c r="W158" i="3416"/>
  <c r="V158" i="3416"/>
  <c r="U158" i="3416"/>
  <c r="T158" i="3416"/>
  <c r="S158" i="3416"/>
  <c r="R158" i="3416"/>
  <c r="Q158" i="3416"/>
  <c r="P158" i="3416"/>
  <c r="O158" i="3416"/>
  <c r="N158" i="3416"/>
  <c r="M158" i="3416"/>
  <c r="L158" i="3416"/>
  <c r="K158" i="3416"/>
  <c r="J158" i="3416"/>
  <c r="I158" i="3416"/>
  <c r="H158" i="3416"/>
  <c r="G158" i="3416"/>
  <c r="F158" i="3416"/>
  <c r="E158" i="3416"/>
  <c r="D158" i="3416"/>
  <c r="C158" i="3416" a="1"/>
  <c r="C158" i="3416"/>
  <c r="A158" i="3416"/>
  <c r="EM157" i="3416"/>
  <c r="EL157" i="3416"/>
  <c r="EK157" i="3416"/>
  <c r="EJ157" i="3416"/>
  <c r="EI157" i="3416"/>
  <c r="EH157" i="3416"/>
  <c r="EG157" i="3416"/>
  <c r="EF157" i="3416"/>
  <c r="EE157" i="3416"/>
  <c r="ED157" i="3416"/>
  <c r="EC157" i="3416"/>
  <c r="EB157" i="3416"/>
  <c r="EA157" i="3416"/>
  <c r="DZ157" i="3416"/>
  <c r="DY157" i="3416"/>
  <c r="DX157" i="3416"/>
  <c r="DW157" i="3416"/>
  <c r="DV157" i="3416"/>
  <c r="DU157" i="3416"/>
  <c r="DT157" i="3416"/>
  <c r="DS157" i="3416"/>
  <c r="DR157" i="3416"/>
  <c r="DQ157" i="3416"/>
  <c r="DP157" i="3416"/>
  <c r="DO157" i="3416"/>
  <c r="DN157" i="3416"/>
  <c r="DM157" i="3416"/>
  <c r="DL157" i="3416"/>
  <c r="DK157" i="3416"/>
  <c r="DJ157" i="3416"/>
  <c r="DI157" i="3416"/>
  <c r="DH157" i="3416"/>
  <c r="DG157" i="3416"/>
  <c r="DF157" i="3416"/>
  <c r="DE157" i="3416"/>
  <c r="DD157" i="3416"/>
  <c r="DC157" i="3416"/>
  <c r="DB157" i="3416"/>
  <c r="DA157" i="3416"/>
  <c r="CZ157" i="3416"/>
  <c r="CY157" i="3416"/>
  <c r="CX157" i="3416"/>
  <c r="CW157" i="3416"/>
  <c r="CV157" i="3416"/>
  <c r="CU157" i="3416"/>
  <c r="CT157" i="3416"/>
  <c r="CS157" i="3416"/>
  <c r="CR157" i="3416"/>
  <c r="CQ157" i="3416"/>
  <c r="CP157" i="3416"/>
  <c r="CO157" i="3416"/>
  <c r="CN157" i="3416"/>
  <c r="CM157" i="3416"/>
  <c r="CL157" i="3416"/>
  <c r="CK157" i="3416"/>
  <c r="CJ157" i="3416"/>
  <c r="CI157" i="3416"/>
  <c r="CH157" i="3416"/>
  <c r="CG157" i="3416"/>
  <c r="CF157" i="3416"/>
  <c r="CE157" i="3416"/>
  <c r="CD157" i="3416"/>
  <c r="CC157" i="3416"/>
  <c r="CB157" i="3416"/>
  <c r="CA157" i="3416"/>
  <c r="BZ157" i="3416"/>
  <c r="BY157" i="3416"/>
  <c r="BX157" i="3416"/>
  <c r="BW157" i="3416"/>
  <c r="BV157" i="3416"/>
  <c r="BU157" i="3416"/>
  <c r="BT157" i="3416"/>
  <c r="BS157" i="3416"/>
  <c r="BR157" i="3416"/>
  <c r="BQ157" i="3416"/>
  <c r="BP157" i="3416"/>
  <c r="BO157" i="3416"/>
  <c r="BN157" i="3416"/>
  <c r="BM157" i="3416"/>
  <c r="BL157" i="3416"/>
  <c r="BK157" i="3416"/>
  <c r="BJ157" i="3416"/>
  <c r="BI157" i="3416"/>
  <c r="BH157" i="3416"/>
  <c r="BG157" i="3416"/>
  <c r="BF157" i="3416"/>
  <c r="BE157" i="3416"/>
  <c r="BD157" i="3416"/>
  <c r="BC157" i="3416"/>
  <c r="BB157" i="3416"/>
  <c r="BA157" i="3416"/>
  <c r="AZ157" i="3416"/>
  <c r="AY157" i="3416"/>
  <c r="AX157" i="3416"/>
  <c r="AW157" i="3416"/>
  <c r="AV157" i="3416"/>
  <c r="AU157" i="3416"/>
  <c r="AT157" i="3416"/>
  <c r="AS157" i="3416"/>
  <c r="AR157" i="3416"/>
  <c r="AQ157" i="3416"/>
  <c r="AP157" i="3416"/>
  <c r="AO157" i="3416"/>
  <c r="AN157" i="3416"/>
  <c r="AM157" i="3416"/>
  <c r="AL157" i="3416"/>
  <c r="AK157" i="3416"/>
  <c r="AJ157" i="3416"/>
  <c r="AI157" i="3416"/>
  <c r="AH157" i="3416"/>
  <c r="AG157" i="3416"/>
  <c r="AF157" i="3416"/>
  <c r="AE157" i="3416"/>
  <c r="AD157" i="3416"/>
  <c r="AC157" i="3416"/>
  <c r="AB157" i="3416"/>
  <c r="AA157" i="3416"/>
  <c r="Z157" i="3416"/>
  <c r="Y157" i="3416"/>
  <c r="X157" i="3416"/>
  <c r="W157" i="3416"/>
  <c r="V157" i="3416"/>
  <c r="U157" i="3416"/>
  <c r="T157" i="3416"/>
  <c r="S157" i="3416"/>
  <c r="R157" i="3416"/>
  <c r="Q157" i="3416"/>
  <c r="P157" i="3416"/>
  <c r="O157" i="3416"/>
  <c r="N157" i="3416"/>
  <c r="M157" i="3416"/>
  <c r="L157" i="3416"/>
  <c r="K157" i="3416"/>
  <c r="J157" i="3416"/>
  <c r="I157" i="3416"/>
  <c r="H157" i="3416"/>
  <c r="G157" i="3416"/>
  <c r="F157" i="3416"/>
  <c r="E157" i="3416"/>
  <c r="D157" i="3416"/>
  <c r="C157" i="3416" a="1"/>
  <c r="C157" i="3416"/>
  <c r="A157" i="3416"/>
  <c r="EM156" i="3416"/>
  <c r="EL156" i="3416"/>
  <c r="EK156" i="3416"/>
  <c r="EJ156" i="3416"/>
  <c r="EI156" i="3416"/>
  <c r="EH156" i="3416"/>
  <c r="EG156" i="3416"/>
  <c r="EF156" i="3416"/>
  <c r="EE156" i="3416"/>
  <c r="ED156" i="3416"/>
  <c r="EC156" i="3416"/>
  <c r="EB156" i="3416"/>
  <c r="EA156" i="3416"/>
  <c r="DZ156" i="3416"/>
  <c r="DY156" i="3416"/>
  <c r="DX156" i="3416"/>
  <c r="DW156" i="3416"/>
  <c r="DV156" i="3416"/>
  <c r="DU156" i="3416"/>
  <c r="DT156" i="3416"/>
  <c r="DS156" i="3416"/>
  <c r="DR156" i="3416"/>
  <c r="DQ156" i="3416"/>
  <c r="DP156" i="3416"/>
  <c r="DO156" i="3416"/>
  <c r="DN156" i="3416"/>
  <c r="DM156" i="3416"/>
  <c r="DL156" i="3416"/>
  <c r="DK156" i="3416"/>
  <c r="DJ156" i="3416"/>
  <c r="DI156" i="3416"/>
  <c r="DH156" i="3416"/>
  <c r="DG156" i="3416"/>
  <c r="DF156" i="3416"/>
  <c r="DE156" i="3416"/>
  <c r="DD156" i="3416"/>
  <c r="DC156" i="3416"/>
  <c r="DB156" i="3416"/>
  <c r="DA156" i="3416"/>
  <c r="CZ156" i="3416"/>
  <c r="CY156" i="3416"/>
  <c r="CX156" i="3416"/>
  <c r="CW156" i="3416"/>
  <c r="CV156" i="3416"/>
  <c r="CU156" i="3416"/>
  <c r="CT156" i="3416"/>
  <c r="CS156" i="3416"/>
  <c r="CR156" i="3416"/>
  <c r="CQ156" i="3416"/>
  <c r="CP156" i="3416"/>
  <c r="CO156" i="3416"/>
  <c r="CN156" i="3416"/>
  <c r="CM156" i="3416"/>
  <c r="CL156" i="3416"/>
  <c r="CK156" i="3416"/>
  <c r="CJ156" i="3416"/>
  <c r="CI156" i="3416"/>
  <c r="CH156" i="3416"/>
  <c r="CG156" i="3416"/>
  <c r="CF156" i="3416"/>
  <c r="CE156" i="3416"/>
  <c r="CD156" i="3416"/>
  <c r="CC156" i="3416"/>
  <c r="CB156" i="3416"/>
  <c r="CA156" i="3416"/>
  <c r="BZ156" i="3416"/>
  <c r="BY156" i="3416"/>
  <c r="BX156" i="3416"/>
  <c r="BW156" i="3416"/>
  <c r="BV156" i="3416"/>
  <c r="BU156" i="3416"/>
  <c r="BT156" i="3416"/>
  <c r="BS156" i="3416"/>
  <c r="BR156" i="3416"/>
  <c r="BQ156" i="3416"/>
  <c r="BP156" i="3416"/>
  <c r="BO156" i="3416"/>
  <c r="BN156" i="3416"/>
  <c r="BM156" i="3416"/>
  <c r="BL156" i="3416"/>
  <c r="BK156" i="3416"/>
  <c r="BJ156" i="3416"/>
  <c r="BI156" i="3416"/>
  <c r="BH156" i="3416"/>
  <c r="BG156" i="3416"/>
  <c r="BF156" i="3416"/>
  <c r="BE156" i="3416"/>
  <c r="BD156" i="3416"/>
  <c r="BC156" i="3416"/>
  <c r="BB156" i="3416"/>
  <c r="BA156" i="3416"/>
  <c r="AZ156" i="3416"/>
  <c r="AY156" i="3416"/>
  <c r="AX156" i="3416"/>
  <c r="AW156" i="3416"/>
  <c r="AV156" i="3416"/>
  <c r="AU156" i="3416"/>
  <c r="AT156" i="3416"/>
  <c r="AS156" i="3416"/>
  <c r="AR156" i="3416"/>
  <c r="AQ156" i="3416"/>
  <c r="AP156" i="3416"/>
  <c r="AO156" i="3416"/>
  <c r="AN156" i="3416"/>
  <c r="AM156" i="3416"/>
  <c r="AL156" i="3416"/>
  <c r="AK156" i="3416"/>
  <c r="AJ156" i="3416"/>
  <c r="AI156" i="3416"/>
  <c r="AH156" i="3416"/>
  <c r="AG156" i="3416"/>
  <c r="AF156" i="3416"/>
  <c r="AE156" i="3416"/>
  <c r="AD156" i="3416"/>
  <c r="AC156" i="3416"/>
  <c r="AB156" i="3416"/>
  <c r="AA156" i="3416"/>
  <c r="Z156" i="3416"/>
  <c r="Y156" i="3416"/>
  <c r="X156" i="3416"/>
  <c r="W156" i="3416"/>
  <c r="V156" i="3416"/>
  <c r="U156" i="3416"/>
  <c r="T156" i="3416"/>
  <c r="S156" i="3416"/>
  <c r="R156" i="3416"/>
  <c r="Q156" i="3416"/>
  <c r="P156" i="3416"/>
  <c r="O156" i="3416"/>
  <c r="N156" i="3416"/>
  <c r="M156" i="3416"/>
  <c r="L156" i="3416"/>
  <c r="K156" i="3416"/>
  <c r="J156" i="3416"/>
  <c r="I156" i="3416"/>
  <c r="H156" i="3416"/>
  <c r="G156" i="3416"/>
  <c r="F156" i="3416"/>
  <c r="E156" i="3416"/>
  <c r="D156" i="3416"/>
  <c r="C156" i="3416" a="1"/>
  <c r="C156" i="3416"/>
  <c r="A156" i="3416"/>
  <c r="EM155" i="3416"/>
  <c r="EL155" i="3416"/>
  <c r="EK155" i="3416"/>
  <c r="EJ155" i="3416"/>
  <c r="EI155" i="3416"/>
  <c r="EH155" i="3416"/>
  <c r="EG155" i="3416"/>
  <c r="EF155" i="3416"/>
  <c r="EE155" i="3416"/>
  <c r="ED155" i="3416"/>
  <c r="EC155" i="3416"/>
  <c r="EB155" i="3416"/>
  <c r="EA155" i="3416"/>
  <c r="DZ155" i="3416"/>
  <c r="DY155" i="3416"/>
  <c r="DX155" i="3416"/>
  <c r="DW155" i="3416"/>
  <c r="DV155" i="3416"/>
  <c r="DU155" i="3416"/>
  <c r="DT155" i="3416"/>
  <c r="DS155" i="3416"/>
  <c r="DR155" i="3416"/>
  <c r="DQ155" i="3416"/>
  <c r="DP155" i="3416"/>
  <c r="DO155" i="3416"/>
  <c r="DN155" i="3416"/>
  <c r="DM155" i="3416"/>
  <c r="DL155" i="3416"/>
  <c r="DK155" i="3416"/>
  <c r="DJ155" i="3416"/>
  <c r="DI155" i="3416"/>
  <c r="DH155" i="3416"/>
  <c r="DG155" i="3416"/>
  <c r="DF155" i="3416"/>
  <c r="DE155" i="3416"/>
  <c r="DD155" i="3416"/>
  <c r="DC155" i="3416"/>
  <c r="DB155" i="3416"/>
  <c r="DA155" i="3416"/>
  <c r="CZ155" i="3416"/>
  <c r="CY155" i="3416"/>
  <c r="CX155" i="3416"/>
  <c r="CW155" i="3416"/>
  <c r="CV155" i="3416"/>
  <c r="CU155" i="3416"/>
  <c r="CT155" i="3416"/>
  <c r="CS155" i="3416"/>
  <c r="CR155" i="3416"/>
  <c r="CQ155" i="3416"/>
  <c r="CP155" i="3416"/>
  <c r="CO155" i="3416"/>
  <c r="CN155" i="3416"/>
  <c r="CM155" i="3416"/>
  <c r="CL155" i="3416"/>
  <c r="CK155" i="3416"/>
  <c r="CJ155" i="3416"/>
  <c r="CI155" i="3416"/>
  <c r="CH155" i="3416"/>
  <c r="CG155" i="3416"/>
  <c r="CF155" i="3416"/>
  <c r="CE155" i="3416"/>
  <c r="CD155" i="3416"/>
  <c r="CC155" i="3416"/>
  <c r="CB155" i="3416"/>
  <c r="CA155" i="3416"/>
  <c r="BZ155" i="3416"/>
  <c r="BY155" i="3416"/>
  <c r="BX155" i="3416"/>
  <c r="BW155" i="3416"/>
  <c r="BV155" i="3416"/>
  <c r="BU155" i="3416"/>
  <c r="BT155" i="3416"/>
  <c r="BS155" i="3416"/>
  <c r="BR155" i="3416"/>
  <c r="BQ155" i="3416"/>
  <c r="BP155" i="3416"/>
  <c r="BO155" i="3416"/>
  <c r="BN155" i="3416"/>
  <c r="BM155" i="3416"/>
  <c r="BL155" i="3416"/>
  <c r="BK155" i="3416"/>
  <c r="BJ155" i="3416"/>
  <c r="BI155" i="3416"/>
  <c r="BH155" i="3416"/>
  <c r="BG155" i="3416"/>
  <c r="BF155" i="3416"/>
  <c r="BE155" i="3416"/>
  <c r="BD155" i="3416"/>
  <c r="BC155" i="3416"/>
  <c r="BB155" i="3416"/>
  <c r="BA155" i="3416"/>
  <c r="AZ155" i="3416"/>
  <c r="AY155" i="3416"/>
  <c r="AX155" i="3416"/>
  <c r="AW155" i="3416"/>
  <c r="AV155" i="3416"/>
  <c r="AU155" i="3416"/>
  <c r="AT155" i="3416"/>
  <c r="AS155" i="3416"/>
  <c r="AR155" i="3416"/>
  <c r="AQ155" i="3416"/>
  <c r="AP155" i="3416"/>
  <c r="AO155" i="3416"/>
  <c r="AN155" i="3416"/>
  <c r="AM155" i="3416"/>
  <c r="AL155" i="3416"/>
  <c r="AK155" i="3416"/>
  <c r="AJ155" i="3416"/>
  <c r="AI155" i="3416"/>
  <c r="AH155" i="3416"/>
  <c r="AG155" i="3416"/>
  <c r="AF155" i="3416"/>
  <c r="AE155" i="3416"/>
  <c r="AD155" i="3416"/>
  <c r="AC155" i="3416"/>
  <c r="AB155" i="3416"/>
  <c r="AA155" i="3416"/>
  <c r="Z155" i="3416"/>
  <c r="Y155" i="3416"/>
  <c r="X155" i="3416"/>
  <c r="W155" i="3416"/>
  <c r="V155" i="3416"/>
  <c r="U155" i="3416"/>
  <c r="T155" i="3416"/>
  <c r="S155" i="3416"/>
  <c r="R155" i="3416"/>
  <c r="Q155" i="3416"/>
  <c r="P155" i="3416"/>
  <c r="O155" i="3416"/>
  <c r="N155" i="3416"/>
  <c r="M155" i="3416"/>
  <c r="L155" i="3416"/>
  <c r="K155" i="3416"/>
  <c r="J155" i="3416"/>
  <c r="I155" i="3416"/>
  <c r="H155" i="3416"/>
  <c r="G155" i="3416"/>
  <c r="F155" i="3416"/>
  <c r="E155" i="3416"/>
  <c r="D155" i="3416"/>
  <c r="C155" i="3416" a="1"/>
  <c r="C155" i="3416"/>
  <c r="A155" i="3416"/>
  <c r="EM154" i="3416"/>
  <c r="EL154" i="3416"/>
  <c r="EK154" i="3416"/>
  <c r="EJ154" i="3416"/>
  <c r="EI154" i="3416"/>
  <c r="EH154" i="3416"/>
  <c r="EG154" i="3416"/>
  <c r="EF154" i="3416"/>
  <c r="EE154" i="3416"/>
  <c r="ED154" i="3416"/>
  <c r="EC154" i="3416"/>
  <c r="EB154" i="3416"/>
  <c r="EA154" i="3416"/>
  <c r="DZ154" i="3416"/>
  <c r="DY154" i="3416"/>
  <c r="DX154" i="3416"/>
  <c r="DW154" i="3416"/>
  <c r="DV154" i="3416"/>
  <c r="DU154" i="3416"/>
  <c r="DT154" i="3416"/>
  <c r="DS154" i="3416"/>
  <c r="DR154" i="3416"/>
  <c r="DQ154" i="3416"/>
  <c r="DP154" i="3416"/>
  <c r="DO154" i="3416"/>
  <c r="DN154" i="3416"/>
  <c r="DM154" i="3416"/>
  <c r="DL154" i="3416"/>
  <c r="DK154" i="3416"/>
  <c r="DJ154" i="3416"/>
  <c r="DI154" i="3416"/>
  <c r="DH154" i="3416"/>
  <c r="DG154" i="3416"/>
  <c r="DF154" i="3416"/>
  <c r="DE154" i="3416"/>
  <c r="DD154" i="3416"/>
  <c r="DC154" i="3416"/>
  <c r="DB154" i="3416"/>
  <c r="DA154" i="3416"/>
  <c r="CZ154" i="3416"/>
  <c r="CY154" i="3416"/>
  <c r="CX154" i="3416"/>
  <c r="CW154" i="3416"/>
  <c r="CV154" i="3416"/>
  <c r="CU154" i="3416"/>
  <c r="CT154" i="3416"/>
  <c r="CS154" i="3416"/>
  <c r="CR154" i="3416"/>
  <c r="CQ154" i="3416"/>
  <c r="CP154" i="3416"/>
  <c r="CO154" i="3416"/>
  <c r="CN154" i="3416"/>
  <c r="CM154" i="3416"/>
  <c r="CL154" i="3416"/>
  <c r="CK154" i="3416"/>
  <c r="CJ154" i="3416"/>
  <c r="CI154" i="3416"/>
  <c r="CH154" i="3416"/>
  <c r="CG154" i="3416"/>
  <c r="CF154" i="3416"/>
  <c r="CE154" i="3416"/>
  <c r="CD154" i="3416"/>
  <c r="CC154" i="3416"/>
  <c r="CB154" i="3416"/>
  <c r="CA154" i="3416"/>
  <c r="BZ154" i="3416"/>
  <c r="BY154" i="3416"/>
  <c r="BX154" i="3416"/>
  <c r="BW154" i="3416"/>
  <c r="BV154" i="3416"/>
  <c r="BU154" i="3416"/>
  <c r="BT154" i="3416"/>
  <c r="BS154" i="3416"/>
  <c r="BR154" i="3416"/>
  <c r="BQ154" i="3416"/>
  <c r="BP154" i="3416"/>
  <c r="BO154" i="3416"/>
  <c r="BN154" i="3416"/>
  <c r="BM154" i="3416"/>
  <c r="BL154" i="3416"/>
  <c r="BK154" i="3416"/>
  <c r="BJ154" i="3416"/>
  <c r="BI154" i="3416"/>
  <c r="BH154" i="3416"/>
  <c r="BG154" i="3416"/>
  <c r="BF154" i="3416"/>
  <c r="BE154" i="3416"/>
  <c r="BD154" i="3416"/>
  <c r="BC154" i="3416"/>
  <c r="BB154" i="3416"/>
  <c r="BA154" i="3416"/>
  <c r="AZ154" i="3416"/>
  <c r="AY154" i="3416"/>
  <c r="AX154" i="3416"/>
  <c r="AW154" i="3416"/>
  <c r="AV154" i="3416"/>
  <c r="AU154" i="3416"/>
  <c r="AT154" i="3416"/>
  <c r="AS154" i="3416"/>
  <c r="AR154" i="3416"/>
  <c r="AQ154" i="3416"/>
  <c r="AP154" i="3416"/>
  <c r="AO154" i="3416"/>
  <c r="AN154" i="3416"/>
  <c r="AM154" i="3416"/>
  <c r="AL154" i="3416"/>
  <c r="AK154" i="3416"/>
  <c r="AJ154" i="3416"/>
  <c r="AI154" i="3416"/>
  <c r="AH154" i="3416"/>
  <c r="AG154" i="3416"/>
  <c r="AF154" i="3416"/>
  <c r="AE154" i="3416"/>
  <c r="AD154" i="3416"/>
  <c r="AC154" i="3416"/>
  <c r="AB154" i="3416"/>
  <c r="AA154" i="3416"/>
  <c r="Z154" i="3416"/>
  <c r="Y154" i="3416"/>
  <c r="X154" i="3416"/>
  <c r="W154" i="3416"/>
  <c r="V154" i="3416"/>
  <c r="U154" i="3416"/>
  <c r="T154" i="3416"/>
  <c r="S154" i="3416"/>
  <c r="R154" i="3416"/>
  <c r="Q154" i="3416"/>
  <c r="P154" i="3416"/>
  <c r="O154" i="3416"/>
  <c r="N154" i="3416"/>
  <c r="M154" i="3416"/>
  <c r="L154" i="3416"/>
  <c r="K154" i="3416"/>
  <c r="J154" i="3416"/>
  <c r="I154" i="3416"/>
  <c r="H154" i="3416"/>
  <c r="G154" i="3416"/>
  <c r="F154" i="3416"/>
  <c r="E154" i="3416"/>
  <c r="D154" i="3416"/>
  <c r="C154" i="3416" a="1"/>
  <c r="C154" i="3416"/>
  <c r="A154" i="3416"/>
  <c r="EM153" i="3416"/>
  <c r="EL153" i="3416"/>
  <c r="EK153" i="3416"/>
  <c r="EJ153" i="3416"/>
  <c r="EI153" i="3416"/>
  <c r="EH153" i="3416"/>
  <c r="EG153" i="3416"/>
  <c r="EF153" i="3416"/>
  <c r="EE153" i="3416"/>
  <c r="ED153" i="3416"/>
  <c r="EC153" i="3416"/>
  <c r="EB153" i="3416"/>
  <c r="EA153" i="3416"/>
  <c r="DZ153" i="3416"/>
  <c r="DY153" i="3416"/>
  <c r="DX153" i="3416"/>
  <c r="DW153" i="3416"/>
  <c r="DV153" i="3416"/>
  <c r="DU153" i="3416"/>
  <c r="DT153" i="3416"/>
  <c r="DS153" i="3416"/>
  <c r="DR153" i="3416"/>
  <c r="DQ153" i="3416"/>
  <c r="DP153" i="3416"/>
  <c r="DO153" i="3416"/>
  <c r="DN153" i="3416"/>
  <c r="DM153" i="3416"/>
  <c r="DL153" i="3416"/>
  <c r="DK153" i="3416"/>
  <c r="DJ153" i="3416"/>
  <c r="DI153" i="3416"/>
  <c r="DH153" i="3416"/>
  <c r="DG153" i="3416"/>
  <c r="DF153" i="3416"/>
  <c r="DE153" i="3416"/>
  <c r="DD153" i="3416"/>
  <c r="DC153" i="3416"/>
  <c r="DB153" i="3416"/>
  <c r="DA153" i="3416"/>
  <c r="CZ153" i="3416"/>
  <c r="CY153" i="3416"/>
  <c r="CX153" i="3416"/>
  <c r="CW153" i="3416"/>
  <c r="CV153" i="3416"/>
  <c r="CU153" i="3416"/>
  <c r="CT153" i="3416"/>
  <c r="CS153" i="3416"/>
  <c r="CR153" i="3416"/>
  <c r="CQ153" i="3416"/>
  <c r="CP153" i="3416"/>
  <c r="CO153" i="3416"/>
  <c r="CN153" i="3416"/>
  <c r="CM153" i="3416"/>
  <c r="CL153" i="3416"/>
  <c r="CK153" i="3416"/>
  <c r="CJ153" i="3416"/>
  <c r="CI153" i="3416"/>
  <c r="CH153" i="3416"/>
  <c r="CG153" i="3416"/>
  <c r="CF153" i="3416"/>
  <c r="CE153" i="3416"/>
  <c r="CD153" i="3416"/>
  <c r="CC153" i="3416"/>
  <c r="CB153" i="3416"/>
  <c r="CA153" i="3416"/>
  <c r="BZ153" i="3416"/>
  <c r="BY153" i="3416"/>
  <c r="BX153" i="3416"/>
  <c r="BW153" i="3416"/>
  <c r="BV153" i="3416"/>
  <c r="BU153" i="3416"/>
  <c r="BT153" i="3416"/>
  <c r="BS153" i="3416"/>
  <c r="BR153" i="3416"/>
  <c r="BQ153" i="3416"/>
  <c r="BP153" i="3416"/>
  <c r="BO153" i="3416"/>
  <c r="BN153" i="3416"/>
  <c r="BM153" i="3416"/>
  <c r="BL153" i="3416"/>
  <c r="BK153" i="3416"/>
  <c r="BJ153" i="3416"/>
  <c r="BI153" i="3416"/>
  <c r="BH153" i="3416"/>
  <c r="BG153" i="3416"/>
  <c r="BF153" i="3416"/>
  <c r="BE153" i="3416"/>
  <c r="BD153" i="3416"/>
  <c r="BC153" i="3416"/>
  <c r="BB153" i="3416"/>
  <c r="BA153" i="3416"/>
  <c r="AZ153" i="3416"/>
  <c r="AY153" i="3416"/>
  <c r="AX153" i="3416"/>
  <c r="AW153" i="3416"/>
  <c r="AV153" i="3416"/>
  <c r="AU153" i="3416"/>
  <c r="AT153" i="3416"/>
  <c r="AS153" i="3416"/>
  <c r="AR153" i="3416"/>
  <c r="AQ153" i="3416"/>
  <c r="AP153" i="3416"/>
  <c r="AO153" i="3416"/>
  <c r="AN153" i="3416"/>
  <c r="AM153" i="3416"/>
  <c r="AL153" i="3416"/>
  <c r="AK153" i="3416"/>
  <c r="AJ153" i="3416"/>
  <c r="AI153" i="3416"/>
  <c r="AH153" i="3416"/>
  <c r="AG153" i="3416"/>
  <c r="AF153" i="3416"/>
  <c r="AE153" i="3416"/>
  <c r="AD153" i="3416"/>
  <c r="AC153" i="3416"/>
  <c r="AB153" i="3416"/>
  <c r="AA153" i="3416"/>
  <c r="Z153" i="3416"/>
  <c r="Y153" i="3416"/>
  <c r="X153" i="3416"/>
  <c r="W153" i="3416"/>
  <c r="V153" i="3416"/>
  <c r="U153" i="3416"/>
  <c r="T153" i="3416"/>
  <c r="S153" i="3416"/>
  <c r="R153" i="3416"/>
  <c r="Q153" i="3416"/>
  <c r="P153" i="3416"/>
  <c r="O153" i="3416"/>
  <c r="N153" i="3416"/>
  <c r="M153" i="3416"/>
  <c r="L153" i="3416"/>
  <c r="K153" i="3416"/>
  <c r="J153" i="3416"/>
  <c r="I153" i="3416"/>
  <c r="H153" i="3416"/>
  <c r="G153" i="3416"/>
  <c r="F153" i="3416"/>
  <c r="E153" i="3416"/>
  <c r="D153" i="3416"/>
  <c r="C153" i="3416" a="1"/>
  <c r="C153" i="3416"/>
  <c r="A153" i="3416"/>
  <c r="EM152" i="3416"/>
  <c r="EL152" i="3416"/>
  <c r="EK152" i="3416"/>
  <c r="EJ152" i="3416"/>
  <c r="EI152" i="3416"/>
  <c r="EH152" i="3416"/>
  <c r="EG152" i="3416"/>
  <c r="EF152" i="3416"/>
  <c r="EE152" i="3416"/>
  <c r="ED152" i="3416"/>
  <c r="EC152" i="3416"/>
  <c r="EB152" i="3416"/>
  <c r="EA152" i="3416"/>
  <c r="DZ152" i="3416"/>
  <c r="DY152" i="3416"/>
  <c r="DX152" i="3416"/>
  <c r="DW152" i="3416"/>
  <c r="DV152" i="3416"/>
  <c r="DU152" i="3416"/>
  <c r="DT152" i="3416"/>
  <c r="DS152" i="3416"/>
  <c r="DR152" i="3416"/>
  <c r="DQ152" i="3416"/>
  <c r="DP152" i="3416"/>
  <c r="DO152" i="3416"/>
  <c r="DN152" i="3416"/>
  <c r="DM152" i="3416"/>
  <c r="DL152" i="3416"/>
  <c r="DK152" i="3416"/>
  <c r="DJ152" i="3416"/>
  <c r="DI152" i="3416"/>
  <c r="DH152" i="3416"/>
  <c r="DG152" i="3416"/>
  <c r="DF152" i="3416"/>
  <c r="DE152" i="3416"/>
  <c r="DD152" i="3416"/>
  <c r="DC152" i="3416"/>
  <c r="DB152" i="3416"/>
  <c r="DA152" i="3416"/>
  <c r="CZ152" i="3416"/>
  <c r="CY152" i="3416"/>
  <c r="CX152" i="3416"/>
  <c r="CW152" i="3416"/>
  <c r="CV152" i="3416"/>
  <c r="CU152" i="3416"/>
  <c r="CT152" i="3416"/>
  <c r="CS152" i="3416"/>
  <c r="CR152" i="3416"/>
  <c r="CQ152" i="3416"/>
  <c r="CP152" i="3416"/>
  <c r="CO152" i="3416"/>
  <c r="CN152" i="3416"/>
  <c r="CM152" i="3416"/>
  <c r="CL152" i="3416"/>
  <c r="CK152" i="3416"/>
  <c r="CJ152" i="3416"/>
  <c r="CI152" i="3416"/>
  <c r="CH152" i="3416"/>
  <c r="CG152" i="3416"/>
  <c r="CF152" i="3416"/>
  <c r="CE152" i="3416"/>
  <c r="CD152" i="3416"/>
  <c r="CC152" i="3416"/>
  <c r="CB152" i="3416"/>
  <c r="CA152" i="3416"/>
  <c r="BZ152" i="3416"/>
  <c r="BY152" i="3416"/>
  <c r="BX152" i="3416"/>
  <c r="BW152" i="3416"/>
  <c r="BV152" i="3416"/>
  <c r="BU152" i="3416"/>
  <c r="BT152" i="3416"/>
  <c r="BS152" i="3416"/>
  <c r="BR152" i="3416"/>
  <c r="BQ152" i="3416"/>
  <c r="BP152" i="3416"/>
  <c r="BO152" i="3416"/>
  <c r="BN152" i="3416"/>
  <c r="BM152" i="3416"/>
  <c r="BL152" i="3416"/>
  <c r="BK152" i="3416"/>
  <c r="BJ152" i="3416"/>
  <c r="BI152" i="3416"/>
  <c r="BH152" i="3416"/>
  <c r="BG152" i="3416"/>
  <c r="BF152" i="3416"/>
  <c r="BE152" i="3416"/>
  <c r="BD152" i="3416"/>
  <c r="BC152" i="3416"/>
  <c r="BB152" i="3416"/>
  <c r="BA152" i="3416"/>
  <c r="AZ152" i="3416"/>
  <c r="AY152" i="3416"/>
  <c r="AX152" i="3416"/>
  <c r="AW152" i="3416"/>
  <c r="AV152" i="3416"/>
  <c r="AU152" i="3416"/>
  <c r="AT152" i="3416"/>
  <c r="AS152" i="3416"/>
  <c r="AR152" i="3416"/>
  <c r="AQ152" i="3416"/>
  <c r="AP152" i="3416"/>
  <c r="AO152" i="3416"/>
  <c r="AN152" i="3416"/>
  <c r="AM152" i="3416"/>
  <c r="AL152" i="3416"/>
  <c r="AK152" i="3416"/>
  <c r="AJ152" i="3416"/>
  <c r="AI152" i="3416"/>
  <c r="AH152" i="3416"/>
  <c r="AG152" i="3416"/>
  <c r="AF152" i="3416"/>
  <c r="AE152" i="3416"/>
  <c r="AD152" i="3416"/>
  <c r="AC152" i="3416"/>
  <c r="AB152" i="3416"/>
  <c r="AA152" i="3416"/>
  <c r="Z152" i="3416"/>
  <c r="Y152" i="3416"/>
  <c r="X152" i="3416"/>
  <c r="W152" i="3416"/>
  <c r="V152" i="3416"/>
  <c r="U152" i="3416"/>
  <c r="T152" i="3416"/>
  <c r="S152" i="3416"/>
  <c r="R152" i="3416"/>
  <c r="Q152" i="3416"/>
  <c r="P152" i="3416"/>
  <c r="O152" i="3416"/>
  <c r="N152" i="3416"/>
  <c r="M152" i="3416"/>
  <c r="L152" i="3416"/>
  <c r="K152" i="3416"/>
  <c r="J152" i="3416"/>
  <c r="I152" i="3416"/>
  <c r="H152" i="3416"/>
  <c r="G152" i="3416"/>
  <c r="F152" i="3416"/>
  <c r="E152" i="3416"/>
  <c r="D152" i="3416"/>
  <c r="C152" i="3416" a="1"/>
  <c r="C152" i="3416"/>
  <c r="A152" i="3416"/>
  <c r="EM151" i="3416"/>
  <c r="EL151" i="3416"/>
  <c r="EK151" i="3416"/>
  <c r="EJ151" i="3416"/>
  <c r="EI151" i="3416"/>
  <c r="EH151" i="3416"/>
  <c r="EG151" i="3416"/>
  <c r="EF151" i="3416"/>
  <c r="EE151" i="3416"/>
  <c r="ED151" i="3416"/>
  <c r="EC151" i="3416"/>
  <c r="EB151" i="3416"/>
  <c r="EA151" i="3416"/>
  <c r="DZ151" i="3416"/>
  <c r="DY151" i="3416"/>
  <c r="DX151" i="3416"/>
  <c r="DW151" i="3416"/>
  <c r="DV151" i="3416"/>
  <c r="DU151" i="3416"/>
  <c r="DT151" i="3416"/>
  <c r="DS151" i="3416"/>
  <c r="DR151" i="3416"/>
  <c r="DQ151" i="3416"/>
  <c r="DP151" i="3416"/>
  <c r="DO151" i="3416"/>
  <c r="DN151" i="3416"/>
  <c r="DM151" i="3416"/>
  <c r="DL151" i="3416"/>
  <c r="DK151" i="3416"/>
  <c r="DJ151" i="3416"/>
  <c r="DI151" i="3416"/>
  <c r="DH151" i="3416"/>
  <c r="DG151" i="3416"/>
  <c r="DF151" i="3416"/>
  <c r="DE151" i="3416"/>
  <c r="DD151" i="3416"/>
  <c r="DC151" i="3416"/>
  <c r="DB151" i="3416"/>
  <c r="DA151" i="3416"/>
  <c r="CZ151" i="3416"/>
  <c r="CY151" i="3416"/>
  <c r="CX151" i="3416"/>
  <c r="CW151" i="3416"/>
  <c r="CV151" i="3416"/>
  <c r="CU151" i="3416"/>
  <c r="CT151" i="3416"/>
  <c r="CS151" i="3416"/>
  <c r="CR151" i="3416"/>
  <c r="CQ151" i="3416"/>
  <c r="CP151" i="3416"/>
  <c r="CO151" i="3416"/>
  <c r="CN151" i="3416"/>
  <c r="CM151" i="3416"/>
  <c r="CL151" i="3416"/>
  <c r="CK151" i="3416"/>
  <c r="CJ151" i="3416"/>
  <c r="CI151" i="3416"/>
  <c r="CH151" i="3416"/>
  <c r="CG151" i="3416"/>
  <c r="CF151" i="3416"/>
  <c r="CE151" i="3416"/>
  <c r="CD151" i="3416"/>
  <c r="CC151" i="3416"/>
  <c r="CB151" i="3416"/>
  <c r="CA151" i="3416"/>
  <c r="BZ151" i="3416"/>
  <c r="BY151" i="3416"/>
  <c r="BX151" i="3416"/>
  <c r="BW151" i="3416"/>
  <c r="BV151" i="3416"/>
  <c r="BU151" i="3416"/>
  <c r="BT151" i="3416"/>
  <c r="BS151" i="3416"/>
  <c r="BR151" i="3416"/>
  <c r="BQ151" i="3416"/>
  <c r="BP151" i="3416"/>
  <c r="BO151" i="3416"/>
  <c r="BN151" i="3416"/>
  <c r="BM151" i="3416"/>
  <c r="BL151" i="3416"/>
  <c r="BK151" i="3416"/>
  <c r="BJ151" i="3416"/>
  <c r="BI151" i="3416"/>
  <c r="BH151" i="3416"/>
  <c r="BG151" i="3416"/>
  <c r="BF151" i="3416"/>
  <c r="BE151" i="3416"/>
  <c r="BD151" i="3416"/>
  <c r="BC151" i="3416"/>
  <c r="BB151" i="3416"/>
  <c r="BA151" i="3416"/>
  <c r="AZ151" i="3416"/>
  <c r="AY151" i="3416"/>
  <c r="AX151" i="3416"/>
  <c r="AW151" i="3416"/>
  <c r="AV151" i="3416"/>
  <c r="AU151" i="3416"/>
  <c r="AT151" i="3416"/>
  <c r="AS151" i="3416"/>
  <c r="AR151" i="3416"/>
  <c r="AQ151" i="3416"/>
  <c r="AP151" i="3416"/>
  <c r="AO151" i="3416"/>
  <c r="AN151" i="3416"/>
  <c r="AM151" i="3416"/>
  <c r="AL151" i="3416"/>
  <c r="AK151" i="3416"/>
  <c r="AJ151" i="3416"/>
  <c r="AI151" i="3416"/>
  <c r="AH151" i="3416"/>
  <c r="AG151" i="3416"/>
  <c r="AF151" i="3416"/>
  <c r="AE151" i="3416"/>
  <c r="AD151" i="3416"/>
  <c r="AC151" i="3416"/>
  <c r="AB151" i="3416"/>
  <c r="AA151" i="3416"/>
  <c r="Z151" i="3416"/>
  <c r="Y151" i="3416"/>
  <c r="X151" i="3416"/>
  <c r="W151" i="3416"/>
  <c r="V151" i="3416"/>
  <c r="U151" i="3416"/>
  <c r="T151" i="3416"/>
  <c r="S151" i="3416"/>
  <c r="R151" i="3416"/>
  <c r="Q151" i="3416"/>
  <c r="P151" i="3416"/>
  <c r="O151" i="3416"/>
  <c r="N151" i="3416"/>
  <c r="M151" i="3416"/>
  <c r="L151" i="3416"/>
  <c r="K151" i="3416"/>
  <c r="J151" i="3416"/>
  <c r="I151" i="3416"/>
  <c r="H151" i="3416"/>
  <c r="G151" i="3416"/>
  <c r="F151" i="3416"/>
  <c r="E151" i="3416"/>
  <c r="D151" i="3416"/>
  <c r="C151" i="3416" a="1"/>
  <c r="C151" i="3416"/>
  <c r="A151" i="3416"/>
  <c r="EM150" i="3416"/>
  <c r="EL150" i="3416"/>
  <c r="EK150" i="3416"/>
  <c r="EJ150" i="3416"/>
  <c r="EI150" i="3416"/>
  <c r="EH150" i="3416"/>
  <c r="EG150" i="3416"/>
  <c r="EF150" i="3416"/>
  <c r="EE150" i="3416"/>
  <c r="ED150" i="3416"/>
  <c r="EC150" i="3416"/>
  <c r="EB150" i="3416"/>
  <c r="EA150" i="3416"/>
  <c r="DZ150" i="3416"/>
  <c r="DY150" i="3416"/>
  <c r="DX150" i="3416"/>
  <c r="DW150" i="3416"/>
  <c r="DV150" i="3416"/>
  <c r="DU150" i="3416"/>
  <c r="DT150" i="3416"/>
  <c r="DS150" i="3416"/>
  <c r="DR150" i="3416"/>
  <c r="DQ150" i="3416"/>
  <c r="DP150" i="3416"/>
  <c r="DO150" i="3416"/>
  <c r="DN150" i="3416"/>
  <c r="DM150" i="3416"/>
  <c r="DL150" i="3416"/>
  <c r="DK150" i="3416"/>
  <c r="DJ150" i="3416"/>
  <c r="DI150" i="3416"/>
  <c r="DH150" i="3416"/>
  <c r="DG150" i="3416"/>
  <c r="DF150" i="3416"/>
  <c r="DE150" i="3416"/>
  <c r="DD150" i="3416"/>
  <c r="DC150" i="3416"/>
  <c r="DB150" i="3416"/>
  <c r="DA150" i="3416"/>
  <c r="CZ150" i="3416"/>
  <c r="CY150" i="3416"/>
  <c r="CX150" i="3416"/>
  <c r="CW150" i="3416"/>
  <c r="CV150" i="3416"/>
  <c r="CU150" i="3416"/>
  <c r="CT150" i="3416"/>
  <c r="CS150" i="3416"/>
  <c r="CR150" i="3416"/>
  <c r="CQ150" i="3416"/>
  <c r="CP150" i="3416"/>
  <c r="CO150" i="3416"/>
  <c r="CN150" i="3416"/>
  <c r="CM150" i="3416"/>
  <c r="CL150" i="3416"/>
  <c r="CK150" i="3416"/>
  <c r="CJ150" i="3416"/>
  <c r="CI150" i="3416"/>
  <c r="CH150" i="3416"/>
  <c r="CG150" i="3416"/>
  <c r="CF150" i="3416"/>
  <c r="CE150" i="3416"/>
  <c r="CD150" i="3416"/>
  <c r="CC150" i="3416"/>
  <c r="CB150" i="3416"/>
  <c r="CA150" i="3416"/>
  <c r="BZ150" i="3416"/>
  <c r="BY150" i="3416"/>
  <c r="BX150" i="3416"/>
  <c r="BW150" i="3416"/>
  <c r="BV150" i="3416"/>
  <c r="BU150" i="3416"/>
  <c r="BT150" i="3416"/>
  <c r="BS150" i="3416"/>
  <c r="BR150" i="3416"/>
  <c r="BQ150" i="3416"/>
  <c r="BP150" i="3416"/>
  <c r="BO150" i="3416"/>
  <c r="BN150" i="3416"/>
  <c r="BM150" i="3416"/>
  <c r="BL150" i="3416"/>
  <c r="BK150" i="3416"/>
  <c r="BJ150" i="3416"/>
  <c r="BI150" i="3416"/>
  <c r="BH150" i="3416"/>
  <c r="BG150" i="3416"/>
  <c r="BF150" i="3416"/>
  <c r="BE150" i="3416"/>
  <c r="BD150" i="3416"/>
  <c r="BC150" i="3416"/>
  <c r="BB150" i="3416"/>
  <c r="BA150" i="3416"/>
  <c r="AZ150" i="3416"/>
  <c r="AY150" i="3416"/>
  <c r="AX150" i="3416"/>
  <c r="AW150" i="3416"/>
  <c r="AV150" i="3416"/>
  <c r="AU150" i="3416"/>
  <c r="AT150" i="3416"/>
  <c r="AS150" i="3416"/>
  <c r="AR150" i="3416"/>
  <c r="AQ150" i="3416"/>
  <c r="AP150" i="3416"/>
  <c r="AO150" i="3416"/>
  <c r="AN150" i="3416"/>
  <c r="AM150" i="3416"/>
  <c r="AL150" i="3416"/>
  <c r="AK150" i="3416"/>
  <c r="AJ150" i="3416"/>
  <c r="AI150" i="3416"/>
  <c r="AH150" i="3416"/>
  <c r="AG150" i="3416"/>
  <c r="AF150" i="3416"/>
  <c r="AE150" i="3416"/>
  <c r="AD150" i="3416"/>
  <c r="AC150" i="3416"/>
  <c r="AB150" i="3416"/>
  <c r="AA150" i="3416"/>
  <c r="Z150" i="3416"/>
  <c r="Y150" i="3416"/>
  <c r="X150" i="3416"/>
  <c r="W150" i="3416"/>
  <c r="V150" i="3416"/>
  <c r="U150" i="3416"/>
  <c r="T150" i="3416"/>
  <c r="S150" i="3416"/>
  <c r="R150" i="3416"/>
  <c r="Q150" i="3416"/>
  <c r="P150" i="3416"/>
  <c r="O150" i="3416"/>
  <c r="N150" i="3416"/>
  <c r="M150" i="3416"/>
  <c r="L150" i="3416"/>
  <c r="K150" i="3416"/>
  <c r="J150" i="3416"/>
  <c r="I150" i="3416"/>
  <c r="H150" i="3416"/>
  <c r="G150" i="3416"/>
  <c r="F150" i="3416"/>
  <c r="E150" i="3416"/>
  <c r="D150" i="3416"/>
  <c r="C150" i="3416" a="1"/>
  <c r="C150" i="3416"/>
  <c r="A150" i="3416"/>
  <c r="EM149" i="3416"/>
  <c r="EL149" i="3416"/>
  <c r="EK149" i="3416"/>
  <c r="EJ149" i="3416"/>
  <c r="EI149" i="3416"/>
  <c r="EH149" i="3416"/>
  <c r="EG149" i="3416"/>
  <c r="EF149" i="3416"/>
  <c r="EE149" i="3416"/>
  <c r="ED149" i="3416"/>
  <c r="EC149" i="3416"/>
  <c r="EB149" i="3416"/>
  <c r="EA149" i="3416"/>
  <c r="DZ149" i="3416"/>
  <c r="DY149" i="3416"/>
  <c r="DX149" i="3416"/>
  <c r="DW149" i="3416"/>
  <c r="DV149" i="3416"/>
  <c r="DU149" i="3416"/>
  <c r="DT149" i="3416"/>
  <c r="DS149" i="3416"/>
  <c r="DR149" i="3416"/>
  <c r="DQ149" i="3416"/>
  <c r="DP149" i="3416"/>
  <c r="DO149" i="3416"/>
  <c r="DN149" i="3416"/>
  <c r="DM149" i="3416"/>
  <c r="DL149" i="3416"/>
  <c r="DK149" i="3416"/>
  <c r="DJ149" i="3416"/>
  <c r="DI149" i="3416"/>
  <c r="DH149" i="3416"/>
  <c r="DG149" i="3416"/>
  <c r="DF149" i="3416"/>
  <c r="DE149" i="3416"/>
  <c r="DD149" i="3416"/>
  <c r="DC149" i="3416"/>
  <c r="DB149" i="3416"/>
  <c r="DA149" i="3416"/>
  <c r="CZ149" i="3416"/>
  <c r="CY149" i="3416"/>
  <c r="CX149" i="3416"/>
  <c r="CW149" i="3416"/>
  <c r="CV149" i="3416"/>
  <c r="CU149" i="3416"/>
  <c r="CT149" i="3416"/>
  <c r="CS149" i="3416"/>
  <c r="CR149" i="3416"/>
  <c r="CQ149" i="3416"/>
  <c r="CP149" i="3416"/>
  <c r="CO149" i="3416"/>
  <c r="CN149" i="3416"/>
  <c r="CM149" i="3416"/>
  <c r="CL149" i="3416"/>
  <c r="CK149" i="3416"/>
  <c r="CJ149" i="3416"/>
  <c r="CI149" i="3416"/>
  <c r="CH149" i="3416"/>
  <c r="CG149" i="3416"/>
  <c r="CF149" i="3416"/>
  <c r="CE149" i="3416"/>
  <c r="CD149" i="3416"/>
  <c r="CC149" i="3416"/>
  <c r="CB149" i="3416"/>
  <c r="CA149" i="3416"/>
  <c r="BZ149" i="3416"/>
  <c r="BY149" i="3416"/>
  <c r="BX149" i="3416"/>
  <c r="BW149" i="3416"/>
  <c r="BV149" i="3416"/>
  <c r="BU149" i="3416"/>
  <c r="BT149" i="3416"/>
  <c r="BS149" i="3416"/>
  <c r="BR149" i="3416"/>
  <c r="BQ149" i="3416"/>
  <c r="BP149" i="3416"/>
  <c r="BO149" i="3416"/>
  <c r="BN149" i="3416"/>
  <c r="BM149" i="3416"/>
  <c r="BL149" i="3416"/>
  <c r="BK149" i="3416"/>
  <c r="BJ149" i="3416"/>
  <c r="BI149" i="3416"/>
  <c r="BH149" i="3416"/>
  <c r="BG149" i="3416"/>
  <c r="BF149" i="3416"/>
  <c r="BE149" i="3416"/>
  <c r="BD149" i="3416"/>
  <c r="BC149" i="3416"/>
  <c r="BB149" i="3416"/>
  <c r="BA149" i="3416"/>
  <c r="AZ149" i="3416"/>
  <c r="AY149" i="3416"/>
  <c r="AX149" i="3416"/>
  <c r="AW149" i="3416"/>
  <c r="AV149" i="3416"/>
  <c r="AU149" i="3416"/>
  <c r="AT149" i="3416"/>
  <c r="AS149" i="3416"/>
  <c r="AR149" i="3416"/>
  <c r="AQ149" i="3416"/>
  <c r="AP149" i="3416"/>
  <c r="AO149" i="3416"/>
  <c r="AN149" i="3416"/>
  <c r="AM149" i="3416"/>
  <c r="AL149" i="3416"/>
  <c r="AK149" i="3416"/>
  <c r="AJ149" i="3416"/>
  <c r="AI149" i="3416"/>
  <c r="AH149" i="3416"/>
  <c r="AG149" i="3416"/>
  <c r="AF149" i="3416"/>
  <c r="AE149" i="3416"/>
  <c r="AD149" i="3416"/>
  <c r="AC149" i="3416"/>
  <c r="AB149" i="3416"/>
  <c r="AA149" i="3416"/>
  <c r="Z149" i="3416"/>
  <c r="Y149" i="3416"/>
  <c r="X149" i="3416"/>
  <c r="W149" i="3416"/>
  <c r="V149" i="3416"/>
  <c r="U149" i="3416"/>
  <c r="T149" i="3416"/>
  <c r="S149" i="3416"/>
  <c r="R149" i="3416"/>
  <c r="Q149" i="3416"/>
  <c r="P149" i="3416"/>
  <c r="O149" i="3416"/>
  <c r="N149" i="3416"/>
  <c r="M149" i="3416"/>
  <c r="L149" i="3416"/>
  <c r="K149" i="3416"/>
  <c r="J149" i="3416"/>
  <c r="I149" i="3416"/>
  <c r="H149" i="3416"/>
  <c r="G149" i="3416"/>
  <c r="F149" i="3416"/>
  <c r="E149" i="3416"/>
  <c r="D149" i="3416"/>
  <c r="C149" i="3416" a="1"/>
  <c r="C149" i="3416"/>
  <c r="A149" i="3416"/>
  <c r="EM148" i="3416"/>
  <c r="EL148" i="3416"/>
  <c r="EK148" i="3416"/>
  <c r="EJ148" i="3416"/>
  <c r="EI148" i="3416"/>
  <c r="EH148" i="3416"/>
  <c r="EG148" i="3416"/>
  <c r="EF148" i="3416"/>
  <c r="EE148" i="3416"/>
  <c r="ED148" i="3416"/>
  <c r="EC148" i="3416"/>
  <c r="EB148" i="3416"/>
  <c r="EA148" i="3416"/>
  <c r="DZ148" i="3416"/>
  <c r="DY148" i="3416"/>
  <c r="DX148" i="3416"/>
  <c r="DW148" i="3416"/>
  <c r="DV148" i="3416"/>
  <c r="DU148" i="3416"/>
  <c r="DT148" i="3416"/>
  <c r="DS148" i="3416"/>
  <c r="DR148" i="3416"/>
  <c r="DQ148" i="3416"/>
  <c r="DP148" i="3416"/>
  <c r="DO148" i="3416"/>
  <c r="DN148" i="3416"/>
  <c r="DM148" i="3416"/>
  <c r="DL148" i="3416"/>
  <c r="DK148" i="3416"/>
  <c r="DJ148" i="3416"/>
  <c r="DI148" i="3416"/>
  <c r="DH148" i="3416"/>
  <c r="DG148" i="3416"/>
  <c r="DF148" i="3416"/>
  <c r="DE148" i="3416"/>
  <c r="DD148" i="3416"/>
  <c r="DC148" i="3416"/>
  <c r="DB148" i="3416"/>
  <c r="DA148" i="3416"/>
  <c r="CZ148" i="3416"/>
  <c r="CY148" i="3416"/>
  <c r="CX148" i="3416"/>
  <c r="CW148" i="3416"/>
  <c r="CV148" i="3416"/>
  <c r="CU148" i="3416"/>
  <c r="CT148" i="3416"/>
  <c r="CS148" i="3416"/>
  <c r="CR148" i="3416"/>
  <c r="CQ148" i="3416"/>
  <c r="CP148" i="3416"/>
  <c r="CO148" i="3416"/>
  <c r="CN148" i="3416"/>
  <c r="CM148" i="3416"/>
  <c r="CL148" i="3416"/>
  <c r="CK148" i="3416"/>
  <c r="CJ148" i="3416"/>
  <c r="CI148" i="3416"/>
  <c r="CH148" i="3416"/>
  <c r="CG148" i="3416"/>
  <c r="CF148" i="3416"/>
  <c r="CE148" i="3416"/>
  <c r="CD148" i="3416"/>
  <c r="CC148" i="3416"/>
  <c r="CB148" i="3416"/>
  <c r="CA148" i="3416"/>
  <c r="BZ148" i="3416"/>
  <c r="BY148" i="3416"/>
  <c r="BX148" i="3416"/>
  <c r="BW148" i="3416"/>
  <c r="BV148" i="3416"/>
  <c r="BU148" i="3416"/>
  <c r="BT148" i="3416"/>
  <c r="BS148" i="3416"/>
  <c r="BR148" i="3416"/>
  <c r="BQ148" i="3416"/>
  <c r="BP148" i="3416"/>
  <c r="BO148" i="3416"/>
  <c r="BN148" i="3416"/>
  <c r="BM148" i="3416"/>
  <c r="BL148" i="3416"/>
  <c r="BK148" i="3416"/>
  <c r="BJ148" i="3416"/>
  <c r="BI148" i="3416"/>
  <c r="BH148" i="3416"/>
  <c r="BG148" i="3416"/>
  <c r="BF148" i="3416"/>
  <c r="BE148" i="3416"/>
  <c r="BD148" i="3416"/>
  <c r="BC148" i="3416"/>
  <c r="BB148" i="3416"/>
  <c r="BA148" i="3416"/>
  <c r="AZ148" i="3416"/>
  <c r="AY148" i="3416"/>
  <c r="AX148" i="3416"/>
  <c r="AW148" i="3416"/>
  <c r="AV148" i="3416"/>
  <c r="AU148" i="3416"/>
  <c r="AT148" i="3416"/>
  <c r="AS148" i="3416"/>
  <c r="AR148" i="3416"/>
  <c r="AQ148" i="3416"/>
  <c r="AP148" i="3416"/>
  <c r="AO148" i="3416"/>
  <c r="AN148" i="3416"/>
  <c r="AM148" i="3416"/>
  <c r="AL148" i="3416"/>
  <c r="AK148" i="3416"/>
  <c r="AJ148" i="3416"/>
  <c r="AI148" i="3416"/>
  <c r="AH148" i="3416"/>
  <c r="AG148" i="3416"/>
  <c r="AF148" i="3416"/>
  <c r="AE148" i="3416"/>
  <c r="AD148" i="3416"/>
  <c r="AC148" i="3416"/>
  <c r="AB148" i="3416"/>
  <c r="AA148" i="3416"/>
  <c r="Z148" i="3416"/>
  <c r="Y148" i="3416"/>
  <c r="X148" i="3416"/>
  <c r="W148" i="3416"/>
  <c r="V148" i="3416"/>
  <c r="U148" i="3416"/>
  <c r="T148" i="3416"/>
  <c r="S148" i="3416"/>
  <c r="R148" i="3416"/>
  <c r="Q148" i="3416"/>
  <c r="P148" i="3416"/>
  <c r="O148" i="3416"/>
  <c r="N148" i="3416"/>
  <c r="M148" i="3416"/>
  <c r="L148" i="3416"/>
  <c r="K148" i="3416"/>
  <c r="J148" i="3416"/>
  <c r="I148" i="3416"/>
  <c r="H148" i="3416"/>
  <c r="G148" i="3416"/>
  <c r="F148" i="3416"/>
  <c r="E148" i="3416"/>
  <c r="D148" i="3416"/>
  <c r="C148" i="3416" a="1"/>
  <c r="C148" i="3416"/>
  <c r="A148" i="3416"/>
  <c r="EM147" i="3416"/>
  <c r="EL147" i="3416"/>
  <c r="EK147" i="3416"/>
  <c r="EJ147" i="3416"/>
  <c r="EI147" i="3416"/>
  <c r="EH147" i="3416"/>
  <c r="EG147" i="3416"/>
  <c r="EF147" i="3416"/>
  <c r="EE147" i="3416"/>
  <c r="ED147" i="3416"/>
  <c r="EC147" i="3416"/>
  <c r="EB147" i="3416"/>
  <c r="EA147" i="3416"/>
  <c r="DZ147" i="3416"/>
  <c r="DY147" i="3416"/>
  <c r="DX147" i="3416"/>
  <c r="DW147" i="3416"/>
  <c r="DV147" i="3416"/>
  <c r="DU147" i="3416"/>
  <c r="DT147" i="3416"/>
  <c r="DS147" i="3416"/>
  <c r="DR147" i="3416"/>
  <c r="DQ147" i="3416"/>
  <c r="DP147" i="3416"/>
  <c r="DO147" i="3416"/>
  <c r="DN147" i="3416"/>
  <c r="DM147" i="3416"/>
  <c r="DL147" i="3416"/>
  <c r="DK147" i="3416"/>
  <c r="DJ147" i="3416"/>
  <c r="DI147" i="3416"/>
  <c r="DH147" i="3416"/>
  <c r="DG147" i="3416"/>
  <c r="DF147" i="3416"/>
  <c r="DE147" i="3416"/>
  <c r="DD147" i="3416"/>
  <c r="DC147" i="3416"/>
  <c r="DB147" i="3416"/>
  <c r="DA147" i="3416"/>
  <c r="CZ147" i="3416"/>
  <c r="CY147" i="3416"/>
  <c r="CX147" i="3416"/>
  <c r="CW147" i="3416"/>
  <c r="CV147" i="3416"/>
  <c r="CU147" i="3416"/>
  <c r="CT147" i="3416"/>
  <c r="CS147" i="3416"/>
  <c r="CR147" i="3416"/>
  <c r="CQ147" i="3416"/>
  <c r="CP147" i="3416"/>
  <c r="CO147" i="3416"/>
  <c r="CN147" i="3416"/>
  <c r="CM147" i="3416"/>
  <c r="CL147" i="3416"/>
  <c r="CK147" i="3416"/>
  <c r="CJ147" i="3416"/>
  <c r="CI147" i="3416"/>
  <c r="CH147" i="3416"/>
  <c r="CG147" i="3416"/>
  <c r="CF147" i="3416"/>
  <c r="CE147" i="3416"/>
  <c r="CD147" i="3416"/>
  <c r="CC147" i="3416"/>
  <c r="CB147" i="3416"/>
  <c r="CA147" i="3416"/>
  <c r="BZ147" i="3416"/>
  <c r="BY147" i="3416"/>
  <c r="BX147" i="3416"/>
  <c r="BW147" i="3416"/>
  <c r="BV147" i="3416"/>
  <c r="BU147" i="3416"/>
  <c r="BT147" i="3416"/>
  <c r="BS147" i="3416"/>
  <c r="BR147" i="3416"/>
  <c r="BQ147" i="3416"/>
  <c r="BP147" i="3416"/>
  <c r="BO147" i="3416"/>
  <c r="BN147" i="3416"/>
  <c r="BM147" i="3416"/>
  <c r="BL147" i="3416"/>
  <c r="BK147" i="3416"/>
  <c r="BJ147" i="3416"/>
  <c r="BI147" i="3416"/>
  <c r="BH147" i="3416"/>
  <c r="BG147" i="3416"/>
  <c r="BF147" i="3416"/>
  <c r="BE147" i="3416"/>
  <c r="BD147" i="3416"/>
  <c r="BC147" i="3416"/>
  <c r="BB147" i="3416"/>
  <c r="BA147" i="3416"/>
  <c r="AZ147" i="3416"/>
  <c r="AY147" i="3416"/>
  <c r="AX147" i="3416"/>
  <c r="AW147" i="3416"/>
  <c r="AV147" i="3416"/>
  <c r="AU147" i="3416"/>
  <c r="AT147" i="3416"/>
  <c r="AS147" i="3416"/>
  <c r="AR147" i="3416"/>
  <c r="AQ147" i="3416"/>
  <c r="AP147" i="3416"/>
  <c r="AO147" i="3416"/>
  <c r="AN147" i="3416"/>
  <c r="AM147" i="3416"/>
  <c r="AL147" i="3416"/>
  <c r="AK147" i="3416"/>
  <c r="AJ147" i="3416"/>
  <c r="AI147" i="3416"/>
  <c r="AH147" i="3416"/>
  <c r="AG147" i="3416"/>
  <c r="AF147" i="3416"/>
  <c r="AE147" i="3416"/>
  <c r="AD147" i="3416"/>
  <c r="AC147" i="3416"/>
  <c r="AB147" i="3416"/>
  <c r="AA147" i="3416"/>
  <c r="Z147" i="3416"/>
  <c r="Y147" i="3416"/>
  <c r="X147" i="3416"/>
  <c r="W147" i="3416"/>
  <c r="V147" i="3416"/>
  <c r="U147" i="3416"/>
  <c r="T147" i="3416"/>
  <c r="S147" i="3416"/>
  <c r="R147" i="3416"/>
  <c r="Q147" i="3416"/>
  <c r="P147" i="3416"/>
  <c r="O147" i="3416"/>
  <c r="N147" i="3416"/>
  <c r="M147" i="3416"/>
  <c r="L147" i="3416"/>
  <c r="K147" i="3416"/>
  <c r="J147" i="3416"/>
  <c r="I147" i="3416"/>
  <c r="H147" i="3416"/>
  <c r="G147" i="3416"/>
  <c r="F147" i="3416"/>
  <c r="E147" i="3416"/>
  <c r="D147" i="3416"/>
  <c r="C147" i="3416" a="1"/>
  <c r="C147" i="3416"/>
  <c r="A147" i="3416"/>
  <c r="EM146" i="3416"/>
  <c r="EL146" i="3416"/>
  <c r="EK146" i="3416"/>
  <c r="EJ146" i="3416"/>
  <c r="EI146" i="3416"/>
  <c r="EH146" i="3416"/>
  <c r="EG146" i="3416"/>
  <c r="EF146" i="3416"/>
  <c r="EE146" i="3416"/>
  <c r="ED146" i="3416"/>
  <c r="EC146" i="3416"/>
  <c r="EB146" i="3416"/>
  <c r="EA146" i="3416"/>
  <c r="DZ146" i="3416"/>
  <c r="DY146" i="3416"/>
  <c r="DX146" i="3416"/>
  <c r="DW146" i="3416"/>
  <c r="DV146" i="3416"/>
  <c r="DU146" i="3416"/>
  <c r="DT146" i="3416"/>
  <c r="DS146" i="3416"/>
  <c r="DR146" i="3416"/>
  <c r="DQ146" i="3416"/>
  <c r="DP146" i="3416"/>
  <c r="DO146" i="3416"/>
  <c r="DN146" i="3416"/>
  <c r="DM146" i="3416"/>
  <c r="DL146" i="3416"/>
  <c r="DK146" i="3416"/>
  <c r="DJ146" i="3416"/>
  <c r="DI146" i="3416"/>
  <c r="DH146" i="3416"/>
  <c r="DG146" i="3416"/>
  <c r="DF146" i="3416"/>
  <c r="DE146" i="3416"/>
  <c r="DD146" i="3416"/>
  <c r="DC146" i="3416"/>
  <c r="DB146" i="3416"/>
  <c r="DA146" i="3416"/>
  <c r="CZ146" i="3416"/>
  <c r="CY146" i="3416"/>
  <c r="CX146" i="3416"/>
  <c r="CW146" i="3416"/>
  <c r="CV146" i="3416"/>
  <c r="CU146" i="3416"/>
  <c r="CT146" i="3416"/>
  <c r="CS146" i="3416"/>
  <c r="CR146" i="3416"/>
  <c r="CQ146" i="3416"/>
  <c r="CP146" i="3416"/>
  <c r="CO146" i="3416"/>
  <c r="CN146" i="3416"/>
  <c r="CM146" i="3416"/>
  <c r="CL146" i="3416"/>
  <c r="CK146" i="3416"/>
  <c r="CJ146" i="3416"/>
  <c r="CI146" i="3416"/>
  <c r="CH146" i="3416"/>
  <c r="CG146" i="3416"/>
  <c r="CF146" i="3416"/>
  <c r="CE146" i="3416"/>
  <c r="CD146" i="3416"/>
  <c r="CC146" i="3416"/>
  <c r="CB146" i="3416"/>
  <c r="CA146" i="3416"/>
  <c r="BZ146" i="3416"/>
  <c r="BY146" i="3416"/>
  <c r="BX146" i="3416"/>
  <c r="BW146" i="3416"/>
  <c r="BV146" i="3416"/>
  <c r="BU146" i="3416"/>
  <c r="BT146" i="3416"/>
  <c r="BS146" i="3416"/>
  <c r="BR146" i="3416"/>
  <c r="BQ146" i="3416"/>
  <c r="BP146" i="3416"/>
  <c r="BO146" i="3416"/>
  <c r="BN146" i="3416"/>
  <c r="BM146" i="3416"/>
  <c r="BL146" i="3416"/>
  <c r="BK146" i="3416"/>
  <c r="BJ146" i="3416"/>
  <c r="BI146" i="3416"/>
  <c r="BH146" i="3416"/>
  <c r="BG146" i="3416"/>
  <c r="BF146" i="3416"/>
  <c r="BE146" i="3416"/>
  <c r="BD146" i="3416"/>
  <c r="BC146" i="3416"/>
  <c r="BB146" i="3416"/>
  <c r="BA146" i="3416"/>
  <c r="AZ146" i="3416"/>
  <c r="AY146" i="3416"/>
  <c r="AX146" i="3416"/>
  <c r="AW146" i="3416"/>
  <c r="AV146" i="3416"/>
  <c r="AU146" i="3416"/>
  <c r="AT146" i="3416"/>
  <c r="AS146" i="3416"/>
  <c r="AR146" i="3416"/>
  <c r="AQ146" i="3416"/>
  <c r="AP146" i="3416"/>
  <c r="AO146" i="3416"/>
  <c r="AN146" i="3416"/>
  <c r="AM146" i="3416"/>
  <c r="AL146" i="3416"/>
  <c r="AK146" i="3416"/>
  <c r="AJ146" i="3416"/>
  <c r="AI146" i="3416"/>
  <c r="AH146" i="3416"/>
  <c r="AG146" i="3416"/>
  <c r="AF146" i="3416"/>
  <c r="AE146" i="3416"/>
  <c r="AD146" i="3416"/>
  <c r="AC146" i="3416"/>
  <c r="AB146" i="3416"/>
  <c r="AA146" i="3416"/>
  <c r="Z146" i="3416"/>
  <c r="Y146" i="3416"/>
  <c r="X146" i="3416"/>
  <c r="W146" i="3416"/>
  <c r="V146" i="3416"/>
  <c r="U146" i="3416"/>
  <c r="T146" i="3416"/>
  <c r="S146" i="3416"/>
  <c r="R146" i="3416"/>
  <c r="Q146" i="3416"/>
  <c r="P146" i="3416"/>
  <c r="O146" i="3416"/>
  <c r="N146" i="3416"/>
  <c r="M146" i="3416"/>
  <c r="L146" i="3416"/>
  <c r="K146" i="3416"/>
  <c r="J146" i="3416"/>
  <c r="I146" i="3416"/>
  <c r="H146" i="3416"/>
  <c r="G146" i="3416"/>
  <c r="F146" i="3416"/>
  <c r="E146" i="3416"/>
  <c r="D146" i="3416"/>
  <c r="C146" i="3416" a="1"/>
  <c r="C146" i="3416"/>
  <c r="A146" i="3416"/>
  <c r="EM145" i="3416"/>
  <c r="EL145" i="3416"/>
  <c r="EK145" i="3416"/>
  <c r="EJ145" i="3416"/>
  <c r="EI145" i="3416"/>
  <c r="EH145" i="3416"/>
  <c r="EG145" i="3416"/>
  <c r="EF145" i="3416"/>
  <c r="EE145" i="3416"/>
  <c r="ED145" i="3416"/>
  <c r="EC145" i="3416"/>
  <c r="EB145" i="3416"/>
  <c r="EA145" i="3416"/>
  <c r="DZ145" i="3416"/>
  <c r="DY145" i="3416"/>
  <c r="DX145" i="3416"/>
  <c r="DW145" i="3416"/>
  <c r="DV145" i="3416"/>
  <c r="DU145" i="3416"/>
  <c r="DT145" i="3416"/>
  <c r="DS145" i="3416"/>
  <c r="DR145" i="3416"/>
  <c r="DQ145" i="3416"/>
  <c r="DP145" i="3416"/>
  <c r="DO145" i="3416"/>
  <c r="DN145" i="3416"/>
  <c r="DM145" i="3416"/>
  <c r="DL145" i="3416"/>
  <c r="DK145" i="3416"/>
  <c r="DJ145" i="3416"/>
  <c r="DI145" i="3416"/>
  <c r="DH145" i="3416"/>
  <c r="DG145" i="3416"/>
  <c r="DF145" i="3416"/>
  <c r="DE145" i="3416"/>
  <c r="DD145" i="3416"/>
  <c r="DC145" i="3416"/>
  <c r="DB145" i="3416"/>
  <c r="DA145" i="3416"/>
  <c r="CZ145" i="3416"/>
  <c r="CY145" i="3416"/>
  <c r="CX145" i="3416"/>
  <c r="CW145" i="3416"/>
  <c r="CV145" i="3416"/>
  <c r="CU145" i="3416"/>
  <c r="CT145" i="3416"/>
  <c r="CS145" i="3416"/>
  <c r="CR145" i="3416"/>
  <c r="CQ145" i="3416"/>
  <c r="CP145" i="3416"/>
  <c r="CO145" i="3416"/>
  <c r="CN145" i="3416"/>
  <c r="CM145" i="3416"/>
  <c r="CL145" i="3416"/>
  <c r="CK145" i="3416"/>
  <c r="CJ145" i="3416"/>
  <c r="CI145" i="3416"/>
  <c r="CH145" i="3416"/>
  <c r="CG145" i="3416"/>
  <c r="CF145" i="3416"/>
  <c r="CE145" i="3416"/>
  <c r="CD145" i="3416"/>
  <c r="CC145" i="3416"/>
  <c r="CB145" i="3416"/>
  <c r="CA145" i="3416"/>
  <c r="BZ145" i="3416"/>
  <c r="BY145" i="3416"/>
  <c r="BX145" i="3416"/>
  <c r="BW145" i="3416"/>
  <c r="BV145" i="3416"/>
  <c r="BU145" i="3416"/>
  <c r="BT145" i="3416"/>
  <c r="BS145" i="3416"/>
  <c r="BR145" i="3416"/>
  <c r="BQ145" i="3416"/>
  <c r="BP145" i="3416"/>
  <c r="BO145" i="3416"/>
  <c r="BN145" i="3416"/>
  <c r="BM145" i="3416"/>
  <c r="BL145" i="3416"/>
  <c r="BK145" i="3416"/>
  <c r="BJ145" i="3416"/>
  <c r="BI145" i="3416"/>
  <c r="BH145" i="3416"/>
  <c r="BG145" i="3416"/>
  <c r="BF145" i="3416"/>
  <c r="BE145" i="3416"/>
  <c r="BD145" i="3416"/>
  <c r="BC145" i="3416"/>
  <c r="BB145" i="3416"/>
  <c r="BA145" i="3416"/>
  <c r="AZ145" i="3416"/>
  <c r="AY145" i="3416"/>
  <c r="AX145" i="3416"/>
  <c r="AW145" i="3416"/>
  <c r="AV145" i="3416"/>
  <c r="AU145" i="3416"/>
  <c r="AT145" i="3416"/>
  <c r="AS145" i="3416"/>
  <c r="AR145" i="3416"/>
  <c r="AQ145" i="3416"/>
  <c r="AP145" i="3416"/>
  <c r="AO145" i="3416"/>
  <c r="AN145" i="3416"/>
  <c r="AM145" i="3416"/>
  <c r="AL145" i="3416"/>
  <c r="AK145" i="3416"/>
  <c r="AJ145" i="3416"/>
  <c r="AI145" i="3416"/>
  <c r="AH145" i="3416"/>
  <c r="AG145" i="3416"/>
  <c r="AF145" i="3416"/>
  <c r="AE145" i="3416"/>
  <c r="AD145" i="3416"/>
  <c r="AC145" i="3416"/>
  <c r="AB145" i="3416"/>
  <c r="AA145" i="3416"/>
  <c r="Z145" i="3416"/>
  <c r="Y145" i="3416"/>
  <c r="X145" i="3416"/>
  <c r="W145" i="3416"/>
  <c r="V145" i="3416"/>
  <c r="U145" i="3416"/>
  <c r="T145" i="3416"/>
  <c r="S145" i="3416"/>
  <c r="R145" i="3416"/>
  <c r="Q145" i="3416"/>
  <c r="P145" i="3416"/>
  <c r="O145" i="3416"/>
  <c r="N145" i="3416"/>
  <c r="M145" i="3416"/>
  <c r="L145" i="3416"/>
  <c r="K145" i="3416"/>
  <c r="J145" i="3416"/>
  <c r="I145" i="3416"/>
  <c r="H145" i="3416"/>
  <c r="G145" i="3416"/>
  <c r="F145" i="3416"/>
  <c r="E145" i="3416"/>
  <c r="D145" i="3416"/>
  <c r="C145" i="3416" a="1"/>
  <c r="C145" i="3416"/>
  <c r="A145" i="3416"/>
  <c r="EM144" i="3416"/>
  <c r="EL144" i="3416"/>
  <c r="EK144" i="3416"/>
  <c r="EJ144" i="3416"/>
  <c r="EI144" i="3416"/>
  <c r="EH144" i="3416"/>
  <c r="EG144" i="3416"/>
  <c r="EF144" i="3416"/>
  <c r="EE144" i="3416"/>
  <c r="ED144" i="3416"/>
  <c r="EC144" i="3416"/>
  <c r="EB144" i="3416"/>
  <c r="EA144" i="3416"/>
  <c r="DZ144" i="3416"/>
  <c r="DY144" i="3416"/>
  <c r="DX144" i="3416"/>
  <c r="DW144" i="3416"/>
  <c r="DV144" i="3416"/>
  <c r="DU144" i="3416"/>
  <c r="DT144" i="3416"/>
  <c r="DS144" i="3416"/>
  <c r="DR144" i="3416"/>
  <c r="DQ144" i="3416"/>
  <c r="DP144" i="3416"/>
  <c r="DO144" i="3416"/>
  <c r="DN144" i="3416"/>
  <c r="DM144" i="3416"/>
  <c r="DL144" i="3416"/>
  <c r="DK144" i="3416"/>
  <c r="DJ144" i="3416"/>
  <c r="DI144" i="3416"/>
  <c r="DH144" i="3416"/>
  <c r="DG144" i="3416"/>
  <c r="DF144" i="3416"/>
  <c r="DE144" i="3416"/>
  <c r="DD144" i="3416"/>
  <c r="DC144" i="3416"/>
  <c r="DB144" i="3416"/>
  <c r="DA144" i="3416"/>
  <c r="CZ144" i="3416"/>
  <c r="CY144" i="3416"/>
  <c r="CX144" i="3416"/>
  <c r="CW144" i="3416"/>
  <c r="CV144" i="3416"/>
  <c r="CU144" i="3416"/>
  <c r="CT144" i="3416"/>
  <c r="CS144" i="3416"/>
  <c r="CR144" i="3416"/>
  <c r="CQ144" i="3416"/>
  <c r="CP144" i="3416"/>
  <c r="CO144" i="3416"/>
  <c r="CN144" i="3416"/>
  <c r="CM144" i="3416"/>
  <c r="CL144" i="3416"/>
  <c r="CK144" i="3416"/>
  <c r="CJ144" i="3416"/>
  <c r="CI144" i="3416"/>
  <c r="CH144" i="3416"/>
  <c r="CG144" i="3416"/>
  <c r="CF144" i="3416"/>
  <c r="CE144" i="3416"/>
  <c r="CD144" i="3416"/>
  <c r="CC144" i="3416"/>
  <c r="CB144" i="3416"/>
  <c r="CA144" i="3416"/>
  <c r="BZ144" i="3416"/>
  <c r="BY144" i="3416"/>
  <c r="BX144" i="3416"/>
  <c r="BW144" i="3416"/>
  <c r="BV144" i="3416"/>
  <c r="BU144" i="3416"/>
  <c r="BT144" i="3416"/>
  <c r="BS144" i="3416"/>
  <c r="BR144" i="3416"/>
  <c r="BQ144" i="3416"/>
  <c r="BP144" i="3416"/>
  <c r="BO144" i="3416"/>
  <c r="BN144" i="3416"/>
  <c r="BM144" i="3416"/>
  <c r="BL144" i="3416"/>
  <c r="BK144" i="3416"/>
  <c r="BJ144" i="3416"/>
  <c r="BI144" i="3416"/>
  <c r="BH144" i="3416"/>
  <c r="BG144" i="3416"/>
  <c r="BF144" i="3416"/>
  <c r="BE144" i="3416"/>
  <c r="BD144" i="3416"/>
  <c r="BC144" i="3416"/>
  <c r="BB144" i="3416"/>
  <c r="BA144" i="3416"/>
  <c r="AZ144" i="3416"/>
  <c r="AY144" i="3416"/>
  <c r="AX144" i="3416"/>
  <c r="AW144" i="3416"/>
  <c r="AV144" i="3416"/>
  <c r="AU144" i="3416"/>
  <c r="AT144" i="3416"/>
  <c r="AS144" i="3416"/>
  <c r="AR144" i="3416"/>
  <c r="AQ144" i="3416"/>
  <c r="AP144" i="3416"/>
  <c r="AO144" i="3416"/>
  <c r="AN144" i="3416"/>
  <c r="AM144" i="3416"/>
  <c r="AL144" i="3416"/>
  <c r="AK144" i="3416"/>
  <c r="AJ144" i="3416"/>
  <c r="AI144" i="3416"/>
  <c r="AH144" i="3416"/>
  <c r="AG144" i="3416"/>
  <c r="AF144" i="3416"/>
  <c r="AE144" i="3416"/>
  <c r="AD144" i="3416"/>
  <c r="AC144" i="3416"/>
  <c r="AB144" i="3416"/>
  <c r="AA144" i="3416"/>
  <c r="Z144" i="3416"/>
  <c r="Y144" i="3416"/>
  <c r="X144" i="3416"/>
  <c r="W144" i="3416"/>
  <c r="V144" i="3416"/>
  <c r="U144" i="3416"/>
  <c r="T144" i="3416"/>
  <c r="S144" i="3416"/>
  <c r="R144" i="3416"/>
  <c r="Q144" i="3416"/>
  <c r="P144" i="3416"/>
  <c r="O144" i="3416"/>
  <c r="N144" i="3416"/>
  <c r="M144" i="3416"/>
  <c r="L144" i="3416"/>
  <c r="K144" i="3416"/>
  <c r="J144" i="3416"/>
  <c r="I144" i="3416"/>
  <c r="H144" i="3416"/>
  <c r="G144" i="3416"/>
  <c r="F144" i="3416"/>
  <c r="E144" i="3416"/>
  <c r="D144" i="3416"/>
  <c r="C144" i="3416" a="1"/>
  <c r="C144" i="3416"/>
  <c r="A144" i="3416"/>
  <c r="EM143" i="3416"/>
  <c r="EL143" i="3416"/>
  <c r="EK143" i="3416"/>
  <c r="EJ143" i="3416"/>
  <c r="EI143" i="3416"/>
  <c r="EH143" i="3416"/>
  <c r="EG143" i="3416"/>
  <c r="EF143" i="3416"/>
  <c r="EE143" i="3416"/>
  <c r="ED143" i="3416"/>
  <c r="EC143" i="3416"/>
  <c r="EB143" i="3416"/>
  <c r="EA143" i="3416"/>
  <c r="DZ143" i="3416"/>
  <c r="DY143" i="3416"/>
  <c r="DX143" i="3416"/>
  <c r="DW143" i="3416"/>
  <c r="DV143" i="3416"/>
  <c r="DU143" i="3416"/>
  <c r="DT143" i="3416"/>
  <c r="DS143" i="3416"/>
  <c r="DR143" i="3416"/>
  <c r="DQ143" i="3416"/>
  <c r="DP143" i="3416"/>
  <c r="DO143" i="3416"/>
  <c r="DN143" i="3416"/>
  <c r="DM143" i="3416"/>
  <c r="DL143" i="3416"/>
  <c r="DK143" i="3416"/>
  <c r="DJ143" i="3416"/>
  <c r="DI143" i="3416"/>
  <c r="DH143" i="3416"/>
  <c r="DG143" i="3416"/>
  <c r="DF143" i="3416"/>
  <c r="DE143" i="3416"/>
  <c r="DD143" i="3416"/>
  <c r="DC143" i="3416"/>
  <c r="DB143" i="3416"/>
  <c r="DA143" i="3416"/>
  <c r="CZ143" i="3416"/>
  <c r="CY143" i="3416"/>
  <c r="CX143" i="3416"/>
  <c r="CW143" i="3416"/>
  <c r="CV143" i="3416"/>
  <c r="CU143" i="3416"/>
  <c r="CT143" i="3416"/>
  <c r="CS143" i="3416"/>
  <c r="CR143" i="3416"/>
  <c r="CQ143" i="3416"/>
  <c r="CP143" i="3416"/>
  <c r="CO143" i="3416"/>
  <c r="CN143" i="3416"/>
  <c r="CM143" i="3416"/>
  <c r="CL143" i="3416"/>
  <c r="CK143" i="3416"/>
  <c r="CJ143" i="3416"/>
  <c r="CI143" i="3416"/>
  <c r="CH143" i="3416"/>
  <c r="CG143" i="3416"/>
  <c r="CF143" i="3416"/>
  <c r="CE143" i="3416"/>
  <c r="CD143" i="3416"/>
  <c r="CC143" i="3416"/>
  <c r="CB143" i="3416"/>
  <c r="CA143" i="3416"/>
  <c r="BZ143" i="3416"/>
  <c r="BY143" i="3416"/>
  <c r="BX143" i="3416"/>
  <c r="BW143" i="3416"/>
  <c r="BV143" i="3416"/>
  <c r="BU143" i="3416"/>
  <c r="BT143" i="3416"/>
  <c r="BS143" i="3416"/>
  <c r="BR143" i="3416"/>
  <c r="BQ143" i="3416"/>
  <c r="BP143" i="3416"/>
  <c r="BO143" i="3416"/>
  <c r="BN143" i="3416"/>
  <c r="BM143" i="3416"/>
  <c r="BL143" i="3416"/>
  <c r="BK143" i="3416"/>
  <c r="BJ143" i="3416"/>
  <c r="BI143" i="3416"/>
  <c r="BH143" i="3416"/>
  <c r="BG143" i="3416"/>
  <c r="BF143" i="3416"/>
  <c r="BE143" i="3416"/>
  <c r="BD143" i="3416"/>
  <c r="BC143" i="3416"/>
  <c r="BB143" i="3416"/>
  <c r="BA143" i="3416"/>
  <c r="AZ143" i="3416"/>
  <c r="AY143" i="3416"/>
  <c r="AX143" i="3416"/>
  <c r="AW143" i="3416"/>
  <c r="AV143" i="3416"/>
  <c r="AU143" i="3416"/>
  <c r="AT143" i="3416"/>
  <c r="AS143" i="3416"/>
  <c r="AR143" i="3416"/>
  <c r="AQ143" i="3416"/>
  <c r="AP143" i="3416"/>
  <c r="AO143" i="3416"/>
  <c r="AN143" i="3416"/>
  <c r="AM143" i="3416"/>
  <c r="AL143" i="3416"/>
  <c r="AK143" i="3416"/>
  <c r="AJ143" i="3416"/>
  <c r="AI143" i="3416"/>
  <c r="AH143" i="3416"/>
  <c r="AG143" i="3416"/>
  <c r="AF143" i="3416"/>
  <c r="AE143" i="3416"/>
  <c r="AD143" i="3416"/>
  <c r="AC143" i="3416"/>
  <c r="AB143" i="3416"/>
  <c r="AA143" i="3416"/>
  <c r="Z143" i="3416"/>
  <c r="Y143" i="3416"/>
  <c r="X143" i="3416"/>
  <c r="W143" i="3416"/>
  <c r="V143" i="3416"/>
  <c r="U143" i="3416"/>
  <c r="T143" i="3416"/>
  <c r="S143" i="3416"/>
  <c r="R143" i="3416"/>
  <c r="Q143" i="3416"/>
  <c r="P143" i="3416"/>
  <c r="O143" i="3416"/>
  <c r="N143" i="3416"/>
  <c r="M143" i="3416"/>
  <c r="L143" i="3416"/>
  <c r="K143" i="3416"/>
  <c r="J143" i="3416"/>
  <c r="I143" i="3416"/>
  <c r="H143" i="3416"/>
  <c r="G143" i="3416"/>
  <c r="F143" i="3416"/>
  <c r="E143" i="3416"/>
  <c r="D143" i="3416"/>
  <c r="C143" i="3416" a="1"/>
  <c r="C143" i="3416"/>
  <c r="A143" i="3416"/>
  <c r="EM142" i="3416"/>
  <c r="EL142" i="3416"/>
  <c r="EK142" i="3416"/>
  <c r="EJ142" i="3416"/>
  <c r="EI142" i="3416"/>
  <c r="EH142" i="3416"/>
  <c r="EG142" i="3416"/>
  <c r="EF142" i="3416"/>
  <c r="EE142" i="3416"/>
  <c r="ED142" i="3416"/>
  <c r="EC142" i="3416"/>
  <c r="EB142" i="3416"/>
  <c r="EA142" i="3416"/>
  <c r="DZ142" i="3416"/>
  <c r="DY142" i="3416"/>
  <c r="DX142" i="3416"/>
  <c r="DW142" i="3416"/>
  <c r="DV142" i="3416"/>
  <c r="DU142" i="3416"/>
  <c r="DT142" i="3416"/>
  <c r="DS142" i="3416"/>
  <c r="DR142" i="3416"/>
  <c r="DQ142" i="3416"/>
  <c r="DP142" i="3416"/>
  <c r="DO142" i="3416"/>
  <c r="DN142" i="3416"/>
  <c r="DM142" i="3416"/>
  <c r="DL142" i="3416"/>
  <c r="DK142" i="3416"/>
  <c r="DJ142" i="3416"/>
  <c r="DI142" i="3416"/>
  <c r="DH142" i="3416"/>
  <c r="DG142" i="3416"/>
  <c r="DF142" i="3416"/>
  <c r="DE142" i="3416"/>
  <c r="DD142" i="3416"/>
  <c r="DC142" i="3416"/>
  <c r="DB142" i="3416"/>
  <c r="DA142" i="3416"/>
  <c r="CZ142" i="3416"/>
  <c r="CY142" i="3416"/>
  <c r="CX142" i="3416"/>
  <c r="CW142" i="3416"/>
  <c r="CV142" i="3416"/>
  <c r="CU142" i="3416"/>
  <c r="CT142" i="3416"/>
  <c r="CS142" i="3416"/>
  <c r="CR142" i="3416"/>
  <c r="CQ142" i="3416"/>
  <c r="CP142" i="3416"/>
  <c r="CO142" i="3416"/>
  <c r="CN142" i="3416"/>
  <c r="CM142" i="3416"/>
  <c r="CL142" i="3416"/>
  <c r="CK142" i="3416"/>
  <c r="CJ142" i="3416"/>
  <c r="CI142" i="3416"/>
  <c r="CH142" i="3416"/>
  <c r="CG142" i="3416"/>
  <c r="CF142" i="3416"/>
  <c r="CE142" i="3416"/>
  <c r="CD142" i="3416"/>
  <c r="CC142" i="3416"/>
  <c r="CB142" i="3416"/>
  <c r="CA142" i="3416"/>
  <c r="BZ142" i="3416"/>
  <c r="BY142" i="3416"/>
  <c r="BX142" i="3416"/>
  <c r="BW142" i="3416"/>
  <c r="BV142" i="3416"/>
  <c r="BU142" i="3416"/>
  <c r="BT142" i="3416"/>
  <c r="BS142" i="3416"/>
  <c r="BR142" i="3416"/>
  <c r="BQ142" i="3416"/>
  <c r="BP142" i="3416"/>
  <c r="BO142" i="3416"/>
  <c r="BN142" i="3416"/>
  <c r="BM142" i="3416"/>
  <c r="BL142" i="3416"/>
  <c r="BK142" i="3416"/>
  <c r="BJ142" i="3416"/>
  <c r="BI142" i="3416"/>
  <c r="BH142" i="3416"/>
  <c r="BG142" i="3416"/>
  <c r="BF142" i="3416"/>
  <c r="BE142" i="3416"/>
  <c r="BD142" i="3416"/>
  <c r="BC142" i="3416"/>
  <c r="BB142" i="3416"/>
  <c r="BA142" i="3416"/>
  <c r="AZ142" i="3416"/>
  <c r="AY142" i="3416"/>
  <c r="AX142" i="3416"/>
  <c r="AW142" i="3416"/>
  <c r="AV142" i="3416"/>
  <c r="AU142" i="3416"/>
  <c r="AT142" i="3416"/>
  <c r="AS142" i="3416"/>
  <c r="AR142" i="3416"/>
  <c r="AQ142" i="3416"/>
  <c r="AP142" i="3416"/>
  <c r="AO142" i="3416"/>
  <c r="AN142" i="3416"/>
  <c r="AM142" i="3416"/>
  <c r="AL142" i="3416"/>
  <c r="AK142" i="3416"/>
  <c r="AJ142" i="3416"/>
  <c r="AI142" i="3416"/>
  <c r="AH142" i="3416"/>
  <c r="AG142" i="3416"/>
  <c r="AF142" i="3416"/>
  <c r="AE142" i="3416"/>
  <c r="AD142" i="3416"/>
  <c r="AC142" i="3416"/>
  <c r="AB142" i="3416"/>
  <c r="AA142" i="3416"/>
  <c r="Z142" i="3416"/>
  <c r="Y142" i="3416"/>
  <c r="X142" i="3416"/>
  <c r="W142" i="3416"/>
  <c r="V142" i="3416"/>
  <c r="U142" i="3416"/>
  <c r="T142" i="3416"/>
  <c r="S142" i="3416"/>
  <c r="R142" i="3416"/>
  <c r="Q142" i="3416"/>
  <c r="P142" i="3416"/>
  <c r="O142" i="3416"/>
  <c r="N142" i="3416"/>
  <c r="M142" i="3416"/>
  <c r="L142" i="3416"/>
  <c r="K142" i="3416"/>
  <c r="J142" i="3416"/>
  <c r="I142" i="3416"/>
  <c r="H142" i="3416"/>
  <c r="G142" i="3416"/>
  <c r="F142" i="3416"/>
  <c r="E142" i="3416"/>
  <c r="D142" i="3416"/>
  <c r="C142" i="3416" a="1"/>
  <c r="C142" i="3416"/>
  <c r="A142" i="3416"/>
  <c r="EM141" i="3416"/>
  <c r="EL141" i="3416"/>
  <c r="EK141" i="3416"/>
  <c r="EJ141" i="3416"/>
  <c r="EI141" i="3416"/>
  <c r="EH141" i="3416"/>
  <c r="EG141" i="3416"/>
  <c r="EF141" i="3416"/>
  <c r="EE141" i="3416"/>
  <c r="ED141" i="3416"/>
  <c r="EC141" i="3416"/>
  <c r="EB141" i="3416"/>
  <c r="EA141" i="3416"/>
  <c r="DZ141" i="3416"/>
  <c r="DY141" i="3416"/>
  <c r="DX141" i="3416"/>
  <c r="DW141" i="3416"/>
  <c r="DV141" i="3416"/>
  <c r="DU141" i="3416"/>
  <c r="DT141" i="3416"/>
  <c r="DS141" i="3416"/>
  <c r="DR141" i="3416"/>
  <c r="DQ141" i="3416"/>
  <c r="DP141" i="3416"/>
  <c r="DO141" i="3416"/>
  <c r="DN141" i="3416"/>
  <c r="DM141" i="3416"/>
  <c r="DL141" i="3416"/>
  <c r="DK141" i="3416"/>
  <c r="DJ141" i="3416"/>
  <c r="DI141" i="3416"/>
  <c r="DH141" i="3416"/>
  <c r="DG141" i="3416"/>
  <c r="DF141" i="3416"/>
  <c r="DE141" i="3416"/>
  <c r="DD141" i="3416"/>
  <c r="DC141" i="3416"/>
  <c r="DB141" i="3416"/>
  <c r="DA141" i="3416"/>
  <c r="CZ141" i="3416"/>
  <c r="CY141" i="3416"/>
  <c r="CX141" i="3416"/>
  <c r="CW141" i="3416"/>
  <c r="CV141" i="3416"/>
  <c r="CU141" i="3416"/>
  <c r="CT141" i="3416"/>
  <c r="CS141" i="3416"/>
  <c r="CR141" i="3416"/>
  <c r="CQ141" i="3416"/>
  <c r="CP141" i="3416"/>
  <c r="CO141" i="3416"/>
  <c r="CN141" i="3416"/>
  <c r="CM141" i="3416"/>
  <c r="CL141" i="3416"/>
  <c r="CK141" i="3416"/>
  <c r="CJ141" i="3416"/>
  <c r="CI141" i="3416"/>
  <c r="CH141" i="3416"/>
  <c r="CG141" i="3416"/>
  <c r="CF141" i="3416"/>
  <c r="CE141" i="3416"/>
  <c r="CD141" i="3416"/>
  <c r="CC141" i="3416"/>
  <c r="CB141" i="3416"/>
  <c r="CA141" i="3416"/>
  <c r="BZ141" i="3416"/>
  <c r="BY141" i="3416"/>
  <c r="BX141" i="3416"/>
  <c r="BW141" i="3416"/>
  <c r="BV141" i="3416"/>
  <c r="BU141" i="3416"/>
  <c r="BT141" i="3416"/>
  <c r="BS141" i="3416"/>
  <c r="BR141" i="3416"/>
  <c r="BQ141" i="3416"/>
  <c r="BP141" i="3416"/>
  <c r="BO141" i="3416"/>
  <c r="BN141" i="3416"/>
  <c r="BM141" i="3416"/>
  <c r="BL141" i="3416"/>
  <c r="BK141" i="3416"/>
  <c r="BJ141" i="3416"/>
  <c r="BI141" i="3416"/>
  <c r="BH141" i="3416"/>
  <c r="BG141" i="3416"/>
  <c r="BF141" i="3416"/>
  <c r="BE141" i="3416"/>
  <c r="BD141" i="3416"/>
  <c r="BC141" i="3416"/>
  <c r="BB141" i="3416"/>
  <c r="BA141" i="3416"/>
  <c r="AZ141" i="3416"/>
  <c r="AY141" i="3416"/>
  <c r="AX141" i="3416"/>
  <c r="AW141" i="3416"/>
  <c r="AV141" i="3416"/>
  <c r="AU141" i="3416"/>
  <c r="AT141" i="3416"/>
  <c r="AS141" i="3416"/>
  <c r="AR141" i="3416"/>
  <c r="AQ141" i="3416"/>
  <c r="AP141" i="3416"/>
  <c r="AO141" i="3416"/>
  <c r="AN141" i="3416"/>
  <c r="AM141" i="3416"/>
  <c r="AL141" i="3416"/>
  <c r="AK141" i="3416"/>
  <c r="AJ141" i="3416"/>
  <c r="AI141" i="3416"/>
  <c r="AH141" i="3416"/>
  <c r="AG141" i="3416"/>
  <c r="AF141" i="3416"/>
  <c r="AE141" i="3416"/>
  <c r="AD141" i="3416"/>
  <c r="AC141" i="3416"/>
  <c r="AB141" i="3416"/>
  <c r="AA141" i="3416"/>
  <c r="Z141" i="3416"/>
  <c r="Y141" i="3416"/>
  <c r="X141" i="3416"/>
  <c r="W141" i="3416"/>
  <c r="V141" i="3416"/>
  <c r="U141" i="3416"/>
  <c r="T141" i="3416"/>
  <c r="S141" i="3416"/>
  <c r="R141" i="3416"/>
  <c r="Q141" i="3416"/>
  <c r="P141" i="3416"/>
  <c r="O141" i="3416"/>
  <c r="N141" i="3416"/>
  <c r="M141" i="3416"/>
  <c r="L141" i="3416"/>
  <c r="K141" i="3416"/>
  <c r="J141" i="3416"/>
  <c r="I141" i="3416"/>
  <c r="H141" i="3416"/>
  <c r="G141" i="3416"/>
  <c r="F141" i="3416"/>
  <c r="E141" i="3416"/>
  <c r="D141" i="3416"/>
  <c r="C141" i="3416" a="1"/>
  <c r="C141" i="3416"/>
  <c r="A141" i="3416"/>
  <c r="EM140" i="3416"/>
  <c r="EL140" i="3416"/>
  <c r="EK140" i="3416"/>
  <c r="EJ140" i="3416"/>
  <c r="EI140" i="3416"/>
  <c r="EH140" i="3416"/>
  <c r="EG140" i="3416"/>
  <c r="EF140" i="3416"/>
  <c r="EE140" i="3416"/>
  <c r="ED140" i="3416"/>
  <c r="EC140" i="3416"/>
  <c r="EB140" i="3416"/>
  <c r="EA140" i="3416"/>
  <c r="DZ140" i="3416"/>
  <c r="DY140" i="3416"/>
  <c r="DX140" i="3416"/>
  <c r="DW140" i="3416"/>
  <c r="DV140" i="3416"/>
  <c r="DU140" i="3416"/>
  <c r="DT140" i="3416"/>
  <c r="DS140" i="3416"/>
  <c r="DR140" i="3416"/>
  <c r="DQ140" i="3416"/>
  <c r="DP140" i="3416"/>
  <c r="DO140" i="3416"/>
  <c r="DN140" i="3416"/>
  <c r="DM140" i="3416"/>
  <c r="DL140" i="3416"/>
  <c r="DK140" i="3416"/>
  <c r="DJ140" i="3416"/>
  <c r="DI140" i="3416"/>
  <c r="DH140" i="3416"/>
  <c r="DG140" i="3416"/>
  <c r="DF140" i="3416"/>
  <c r="DE140" i="3416"/>
  <c r="DD140" i="3416"/>
  <c r="DC140" i="3416"/>
  <c r="DB140" i="3416"/>
  <c r="DA140" i="3416"/>
  <c r="CZ140" i="3416"/>
  <c r="CY140" i="3416"/>
  <c r="CX140" i="3416"/>
  <c r="CW140" i="3416"/>
  <c r="CV140" i="3416"/>
  <c r="CU140" i="3416"/>
  <c r="CT140" i="3416"/>
  <c r="CS140" i="3416"/>
  <c r="CR140" i="3416"/>
  <c r="CQ140" i="3416"/>
  <c r="CP140" i="3416"/>
  <c r="CO140" i="3416"/>
  <c r="CN140" i="3416"/>
  <c r="CM140" i="3416"/>
  <c r="CL140" i="3416"/>
  <c r="CK140" i="3416"/>
  <c r="CJ140" i="3416"/>
  <c r="CI140" i="3416"/>
  <c r="CH140" i="3416"/>
  <c r="CG140" i="3416"/>
  <c r="CF140" i="3416"/>
  <c r="CE140" i="3416"/>
  <c r="CD140" i="3416"/>
  <c r="CC140" i="3416"/>
  <c r="CB140" i="3416"/>
  <c r="CA140" i="3416"/>
  <c r="BZ140" i="3416"/>
  <c r="BY140" i="3416"/>
  <c r="BX140" i="3416"/>
  <c r="BW140" i="3416"/>
  <c r="BV140" i="3416"/>
  <c r="BU140" i="3416"/>
  <c r="BT140" i="3416"/>
  <c r="BS140" i="3416"/>
  <c r="BR140" i="3416"/>
  <c r="BQ140" i="3416"/>
  <c r="BP140" i="3416"/>
  <c r="BO140" i="3416"/>
  <c r="BN140" i="3416"/>
  <c r="BM140" i="3416"/>
  <c r="BL140" i="3416"/>
  <c r="BK140" i="3416"/>
  <c r="BJ140" i="3416"/>
  <c r="BI140" i="3416"/>
  <c r="BH140" i="3416"/>
  <c r="BG140" i="3416"/>
  <c r="BF140" i="3416"/>
  <c r="BE140" i="3416"/>
  <c r="BD140" i="3416"/>
  <c r="BC140" i="3416"/>
  <c r="BB140" i="3416"/>
  <c r="BA140" i="3416"/>
  <c r="AZ140" i="3416"/>
  <c r="AY140" i="3416"/>
  <c r="AX140" i="3416"/>
  <c r="AW140" i="3416"/>
  <c r="AV140" i="3416"/>
  <c r="AU140" i="3416"/>
  <c r="AT140" i="3416"/>
  <c r="AS140" i="3416"/>
  <c r="AR140" i="3416"/>
  <c r="AQ140" i="3416"/>
  <c r="AP140" i="3416"/>
  <c r="AO140" i="3416"/>
  <c r="AN140" i="3416"/>
  <c r="AM140" i="3416"/>
  <c r="AL140" i="3416"/>
  <c r="AK140" i="3416"/>
  <c r="AJ140" i="3416"/>
  <c r="AI140" i="3416"/>
  <c r="AH140" i="3416"/>
  <c r="AG140" i="3416"/>
  <c r="AF140" i="3416"/>
  <c r="AE140" i="3416"/>
  <c r="AD140" i="3416"/>
  <c r="AC140" i="3416"/>
  <c r="AB140" i="3416"/>
  <c r="AA140" i="3416"/>
  <c r="Z140" i="3416"/>
  <c r="Y140" i="3416"/>
  <c r="X140" i="3416"/>
  <c r="W140" i="3416"/>
  <c r="V140" i="3416"/>
  <c r="U140" i="3416"/>
  <c r="T140" i="3416"/>
  <c r="S140" i="3416"/>
  <c r="R140" i="3416"/>
  <c r="Q140" i="3416"/>
  <c r="P140" i="3416"/>
  <c r="O140" i="3416"/>
  <c r="N140" i="3416"/>
  <c r="M140" i="3416"/>
  <c r="L140" i="3416"/>
  <c r="K140" i="3416"/>
  <c r="J140" i="3416"/>
  <c r="I140" i="3416"/>
  <c r="H140" i="3416"/>
  <c r="G140" i="3416"/>
  <c r="F140" i="3416"/>
  <c r="E140" i="3416"/>
  <c r="D140" i="3416"/>
  <c r="C140" i="3416" a="1"/>
  <c r="C140" i="3416"/>
  <c r="A140" i="3416"/>
  <c r="EM139" i="3416"/>
  <c r="EL139" i="3416"/>
  <c r="EK139" i="3416"/>
  <c r="EJ139" i="3416"/>
  <c r="EI139" i="3416"/>
  <c r="EH139" i="3416"/>
  <c r="EG139" i="3416"/>
  <c r="EF139" i="3416"/>
  <c r="EE139" i="3416"/>
  <c r="ED139" i="3416"/>
  <c r="EC139" i="3416"/>
  <c r="EB139" i="3416"/>
  <c r="EA139" i="3416"/>
  <c r="DZ139" i="3416"/>
  <c r="DY139" i="3416"/>
  <c r="DX139" i="3416"/>
  <c r="DW139" i="3416"/>
  <c r="DV139" i="3416"/>
  <c r="DU139" i="3416"/>
  <c r="DT139" i="3416"/>
  <c r="DS139" i="3416"/>
  <c r="DR139" i="3416"/>
  <c r="DQ139" i="3416"/>
  <c r="DP139" i="3416"/>
  <c r="DO139" i="3416"/>
  <c r="DN139" i="3416"/>
  <c r="DM139" i="3416"/>
  <c r="DL139" i="3416"/>
  <c r="DK139" i="3416"/>
  <c r="DJ139" i="3416"/>
  <c r="DI139" i="3416"/>
  <c r="DH139" i="3416"/>
  <c r="DG139" i="3416"/>
  <c r="DF139" i="3416"/>
  <c r="DE139" i="3416"/>
  <c r="DD139" i="3416"/>
  <c r="DC139" i="3416"/>
  <c r="DB139" i="3416"/>
  <c r="DA139" i="3416"/>
  <c r="CZ139" i="3416"/>
  <c r="CY139" i="3416"/>
  <c r="CX139" i="3416"/>
  <c r="CW139" i="3416"/>
  <c r="CV139" i="3416"/>
  <c r="CU139" i="3416"/>
  <c r="CT139" i="3416"/>
  <c r="CS139" i="3416"/>
  <c r="CR139" i="3416"/>
  <c r="CQ139" i="3416"/>
  <c r="CP139" i="3416"/>
  <c r="CO139" i="3416"/>
  <c r="CN139" i="3416"/>
  <c r="CM139" i="3416"/>
  <c r="CL139" i="3416"/>
  <c r="CK139" i="3416"/>
  <c r="CJ139" i="3416"/>
  <c r="CI139" i="3416"/>
  <c r="CH139" i="3416"/>
  <c r="CG139" i="3416"/>
  <c r="CF139" i="3416"/>
  <c r="CE139" i="3416"/>
  <c r="CD139" i="3416"/>
  <c r="CC139" i="3416"/>
  <c r="CB139" i="3416"/>
  <c r="CA139" i="3416"/>
  <c r="BZ139" i="3416"/>
  <c r="BY139" i="3416"/>
  <c r="BX139" i="3416"/>
  <c r="BW139" i="3416"/>
  <c r="BV139" i="3416"/>
  <c r="BU139" i="3416"/>
  <c r="BT139" i="3416"/>
  <c r="BS139" i="3416"/>
  <c r="BR139" i="3416"/>
  <c r="BQ139" i="3416"/>
  <c r="BP139" i="3416"/>
  <c r="BO139" i="3416"/>
  <c r="BN139" i="3416"/>
  <c r="BM139" i="3416"/>
  <c r="BL139" i="3416"/>
  <c r="BK139" i="3416"/>
  <c r="BJ139" i="3416"/>
  <c r="BI139" i="3416"/>
  <c r="BH139" i="3416"/>
  <c r="BG139" i="3416"/>
  <c r="BF139" i="3416"/>
  <c r="BE139" i="3416"/>
  <c r="BD139" i="3416"/>
  <c r="BC139" i="3416"/>
  <c r="BB139" i="3416"/>
  <c r="BA139" i="3416"/>
  <c r="AZ139" i="3416"/>
  <c r="AY139" i="3416"/>
  <c r="AX139" i="3416"/>
  <c r="AW139" i="3416"/>
  <c r="AV139" i="3416"/>
  <c r="AU139" i="3416"/>
  <c r="AT139" i="3416"/>
  <c r="AS139" i="3416"/>
  <c r="AR139" i="3416"/>
  <c r="AQ139" i="3416"/>
  <c r="AP139" i="3416"/>
  <c r="AO139" i="3416"/>
  <c r="AN139" i="3416"/>
  <c r="AM139" i="3416"/>
  <c r="AL139" i="3416"/>
  <c r="AK139" i="3416"/>
  <c r="AJ139" i="3416"/>
  <c r="AI139" i="3416"/>
  <c r="AH139" i="3416"/>
  <c r="AG139" i="3416"/>
  <c r="AF139" i="3416"/>
  <c r="AE139" i="3416"/>
  <c r="AD139" i="3416"/>
  <c r="AC139" i="3416"/>
  <c r="AB139" i="3416"/>
  <c r="AA139" i="3416"/>
  <c r="Z139" i="3416"/>
  <c r="Y139" i="3416"/>
  <c r="X139" i="3416"/>
  <c r="W139" i="3416"/>
  <c r="V139" i="3416"/>
  <c r="U139" i="3416"/>
  <c r="T139" i="3416"/>
  <c r="S139" i="3416"/>
  <c r="R139" i="3416"/>
  <c r="Q139" i="3416"/>
  <c r="P139" i="3416"/>
  <c r="O139" i="3416"/>
  <c r="N139" i="3416"/>
  <c r="M139" i="3416"/>
  <c r="L139" i="3416"/>
  <c r="K139" i="3416"/>
  <c r="J139" i="3416"/>
  <c r="I139" i="3416"/>
  <c r="H139" i="3416"/>
  <c r="G139" i="3416"/>
  <c r="F139" i="3416"/>
  <c r="E139" i="3416"/>
  <c r="D139" i="3416"/>
  <c r="C139" i="3416" a="1"/>
  <c r="C139" i="3416"/>
  <c r="A139" i="3416"/>
  <c r="EM138" i="3416"/>
  <c r="EL138" i="3416"/>
  <c r="EK138" i="3416"/>
  <c r="EJ138" i="3416"/>
  <c r="EI138" i="3416"/>
  <c r="EH138" i="3416"/>
  <c r="EG138" i="3416"/>
  <c r="EF138" i="3416"/>
  <c r="EE138" i="3416"/>
  <c r="ED138" i="3416"/>
  <c r="EC138" i="3416"/>
  <c r="EB138" i="3416"/>
  <c r="EA138" i="3416"/>
  <c r="DZ138" i="3416"/>
  <c r="DY138" i="3416"/>
  <c r="DX138" i="3416"/>
  <c r="DW138" i="3416"/>
  <c r="DV138" i="3416"/>
  <c r="DU138" i="3416"/>
  <c r="DT138" i="3416"/>
  <c r="DS138" i="3416"/>
  <c r="DR138" i="3416"/>
  <c r="DQ138" i="3416"/>
  <c r="DP138" i="3416"/>
  <c r="DO138" i="3416"/>
  <c r="DN138" i="3416"/>
  <c r="DM138" i="3416"/>
  <c r="DL138" i="3416"/>
  <c r="DK138" i="3416"/>
  <c r="DJ138" i="3416"/>
  <c r="DI138" i="3416"/>
  <c r="DH138" i="3416"/>
  <c r="DG138" i="3416"/>
  <c r="DF138" i="3416"/>
  <c r="DE138" i="3416"/>
  <c r="DD138" i="3416"/>
  <c r="DC138" i="3416"/>
  <c r="DB138" i="3416"/>
  <c r="DA138" i="3416"/>
  <c r="CZ138" i="3416"/>
  <c r="CY138" i="3416"/>
  <c r="CX138" i="3416"/>
  <c r="CW138" i="3416"/>
  <c r="CV138" i="3416"/>
  <c r="CU138" i="3416"/>
  <c r="CT138" i="3416"/>
  <c r="CS138" i="3416"/>
  <c r="CR138" i="3416"/>
  <c r="CQ138" i="3416"/>
  <c r="CP138" i="3416"/>
  <c r="CO138" i="3416"/>
  <c r="CN138" i="3416"/>
  <c r="CM138" i="3416"/>
  <c r="CL138" i="3416"/>
  <c r="CK138" i="3416"/>
  <c r="CJ138" i="3416"/>
  <c r="CI138" i="3416"/>
  <c r="CH138" i="3416"/>
  <c r="CG138" i="3416"/>
  <c r="CF138" i="3416"/>
  <c r="CE138" i="3416"/>
  <c r="CD138" i="3416"/>
  <c r="CC138" i="3416"/>
  <c r="CB138" i="3416"/>
  <c r="CA138" i="3416"/>
  <c r="BZ138" i="3416"/>
  <c r="BY138" i="3416"/>
  <c r="BX138" i="3416"/>
  <c r="BW138" i="3416"/>
  <c r="BV138" i="3416"/>
  <c r="BU138" i="3416"/>
  <c r="BT138" i="3416"/>
  <c r="BS138" i="3416"/>
  <c r="BR138" i="3416"/>
  <c r="BQ138" i="3416"/>
  <c r="BP138" i="3416"/>
  <c r="BO138" i="3416"/>
  <c r="BN138" i="3416"/>
  <c r="BM138" i="3416"/>
  <c r="BL138" i="3416"/>
  <c r="BK138" i="3416"/>
  <c r="BJ138" i="3416"/>
  <c r="BI138" i="3416"/>
  <c r="BH138" i="3416"/>
  <c r="BG138" i="3416"/>
  <c r="BF138" i="3416"/>
  <c r="BE138" i="3416"/>
  <c r="BD138" i="3416"/>
  <c r="BC138" i="3416"/>
  <c r="BB138" i="3416"/>
  <c r="BA138" i="3416"/>
  <c r="AZ138" i="3416"/>
  <c r="AY138" i="3416"/>
  <c r="AX138" i="3416"/>
  <c r="AW138" i="3416"/>
  <c r="AV138" i="3416"/>
  <c r="AU138" i="3416"/>
  <c r="AT138" i="3416"/>
  <c r="AS138" i="3416"/>
  <c r="AR138" i="3416"/>
  <c r="AQ138" i="3416"/>
  <c r="AP138" i="3416"/>
  <c r="AO138" i="3416"/>
  <c r="AN138" i="3416"/>
  <c r="AM138" i="3416"/>
  <c r="AL138" i="3416"/>
  <c r="AK138" i="3416"/>
  <c r="AJ138" i="3416"/>
  <c r="AI138" i="3416"/>
  <c r="AH138" i="3416"/>
  <c r="AG138" i="3416"/>
  <c r="AF138" i="3416"/>
  <c r="AE138" i="3416"/>
  <c r="AD138" i="3416"/>
  <c r="AC138" i="3416"/>
  <c r="AB138" i="3416"/>
  <c r="AA138" i="3416"/>
  <c r="Z138" i="3416"/>
  <c r="Y138" i="3416"/>
  <c r="X138" i="3416"/>
  <c r="W138" i="3416"/>
  <c r="V138" i="3416"/>
  <c r="U138" i="3416"/>
  <c r="T138" i="3416"/>
  <c r="S138" i="3416"/>
  <c r="R138" i="3416"/>
  <c r="Q138" i="3416"/>
  <c r="P138" i="3416"/>
  <c r="O138" i="3416"/>
  <c r="N138" i="3416"/>
  <c r="M138" i="3416"/>
  <c r="L138" i="3416"/>
  <c r="K138" i="3416"/>
  <c r="J138" i="3416"/>
  <c r="I138" i="3416"/>
  <c r="H138" i="3416"/>
  <c r="G138" i="3416"/>
  <c r="F138" i="3416"/>
  <c r="E138" i="3416"/>
  <c r="D138" i="3416"/>
  <c r="C138" i="3416" a="1"/>
  <c r="C138" i="3416"/>
  <c r="A138" i="3416"/>
  <c r="EM137" i="3416"/>
  <c r="EL137" i="3416"/>
  <c r="EK137" i="3416"/>
  <c r="EJ137" i="3416"/>
  <c r="EI137" i="3416"/>
  <c r="EH137" i="3416"/>
  <c r="EG137" i="3416"/>
  <c r="EF137" i="3416"/>
  <c r="EE137" i="3416"/>
  <c r="ED137" i="3416"/>
  <c r="EC137" i="3416"/>
  <c r="EB137" i="3416"/>
  <c r="EA137" i="3416"/>
  <c r="DZ137" i="3416"/>
  <c r="DY137" i="3416"/>
  <c r="DX137" i="3416"/>
  <c r="DW137" i="3416"/>
  <c r="DV137" i="3416"/>
  <c r="DU137" i="3416"/>
  <c r="DT137" i="3416"/>
  <c r="DS137" i="3416"/>
  <c r="DR137" i="3416"/>
  <c r="DQ137" i="3416"/>
  <c r="DP137" i="3416"/>
  <c r="DO137" i="3416"/>
  <c r="DN137" i="3416"/>
  <c r="DM137" i="3416"/>
  <c r="DL137" i="3416"/>
  <c r="DK137" i="3416"/>
  <c r="DJ137" i="3416"/>
  <c r="DI137" i="3416"/>
  <c r="DH137" i="3416"/>
  <c r="DG137" i="3416"/>
  <c r="DF137" i="3416"/>
  <c r="DE137" i="3416"/>
  <c r="DD137" i="3416"/>
  <c r="DC137" i="3416"/>
  <c r="DB137" i="3416"/>
  <c r="DA137" i="3416"/>
  <c r="CZ137" i="3416"/>
  <c r="CY137" i="3416"/>
  <c r="CX137" i="3416"/>
  <c r="CW137" i="3416"/>
  <c r="CV137" i="3416"/>
  <c r="CU137" i="3416"/>
  <c r="CT137" i="3416"/>
  <c r="CS137" i="3416"/>
  <c r="CR137" i="3416"/>
  <c r="CQ137" i="3416"/>
  <c r="CP137" i="3416"/>
  <c r="CO137" i="3416"/>
  <c r="CN137" i="3416"/>
  <c r="CM137" i="3416"/>
  <c r="CL137" i="3416"/>
  <c r="CK137" i="3416"/>
  <c r="CJ137" i="3416"/>
  <c r="CI137" i="3416"/>
  <c r="CH137" i="3416"/>
  <c r="CG137" i="3416"/>
  <c r="CF137" i="3416"/>
  <c r="CE137" i="3416"/>
  <c r="CD137" i="3416"/>
  <c r="CC137" i="3416"/>
  <c r="CB137" i="3416"/>
  <c r="CA137" i="3416"/>
  <c r="BZ137" i="3416"/>
  <c r="BY137" i="3416"/>
  <c r="BX137" i="3416"/>
  <c r="BW137" i="3416"/>
  <c r="BV137" i="3416"/>
  <c r="BU137" i="3416"/>
  <c r="BT137" i="3416"/>
  <c r="BS137" i="3416"/>
  <c r="BR137" i="3416"/>
  <c r="BQ137" i="3416"/>
  <c r="BP137" i="3416"/>
  <c r="BO137" i="3416"/>
  <c r="BN137" i="3416"/>
  <c r="BM137" i="3416"/>
  <c r="BL137" i="3416"/>
  <c r="BK137" i="3416"/>
  <c r="BJ137" i="3416"/>
  <c r="BI137" i="3416"/>
  <c r="BH137" i="3416"/>
  <c r="BG137" i="3416"/>
  <c r="BF137" i="3416"/>
  <c r="BE137" i="3416"/>
  <c r="BD137" i="3416"/>
  <c r="BC137" i="3416"/>
  <c r="BB137" i="3416"/>
  <c r="BA137" i="3416"/>
  <c r="AZ137" i="3416"/>
  <c r="AY137" i="3416"/>
  <c r="AX137" i="3416"/>
  <c r="AW137" i="3416"/>
  <c r="AV137" i="3416"/>
  <c r="AU137" i="3416"/>
  <c r="AT137" i="3416"/>
  <c r="AS137" i="3416"/>
  <c r="AR137" i="3416"/>
  <c r="AQ137" i="3416"/>
  <c r="AP137" i="3416"/>
  <c r="AO137" i="3416"/>
  <c r="AN137" i="3416"/>
  <c r="AM137" i="3416"/>
  <c r="AL137" i="3416"/>
  <c r="AK137" i="3416"/>
  <c r="AJ137" i="3416"/>
  <c r="AI137" i="3416"/>
  <c r="AH137" i="3416"/>
  <c r="AG137" i="3416"/>
  <c r="AF137" i="3416"/>
  <c r="AE137" i="3416"/>
  <c r="AD137" i="3416"/>
  <c r="AC137" i="3416"/>
  <c r="AB137" i="3416"/>
  <c r="AA137" i="3416"/>
  <c r="Z137" i="3416"/>
  <c r="Y137" i="3416"/>
  <c r="X137" i="3416"/>
  <c r="W137" i="3416"/>
  <c r="V137" i="3416"/>
  <c r="U137" i="3416"/>
  <c r="T137" i="3416"/>
  <c r="S137" i="3416"/>
  <c r="R137" i="3416"/>
  <c r="Q137" i="3416"/>
  <c r="P137" i="3416"/>
  <c r="O137" i="3416"/>
  <c r="N137" i="3416"/>
  <c r="M137" i="3416"/>
  <c r="L137" i="3416"/>
  <c r="K137" i="3416"/>
  <c r="J137" i="3416"/>
  <c r="I137" i="3416"/>
  <c r="H137" i="3416"/>
  <c r="G137" i="3416"/>
  <c r="F137" i="3416"/>
  <c r="E137" i="3416"/>
  <c r="D137" i="3416"/>
  <c r="C137" i="3416" a="1"/>
  <c r="C137" i="3416"/>
  <c r="A137" i="3416"/>
  <c r="EM136" i="3416"/>
  <c r="EL136" i="3416"/>
  <c r="EK136" i="3416"/>
  <c r="EJ136" i="3416"/>
  <c r="EI136" i="3416"/>
  <c r="EH136" i="3416"/>
  <c r="EG136" i="3416"/>
  <c r="EF136" i="3416"/>
  <c r="EE136" i="3416"/>
  <c r="ED136" i="3416"/>
  <c r="EC136" i="3416"/>
  <c r="EB136" i="3416"/>
  <c r="EA136" i="3416"/>
  <c r="DZ136" i="3416"/>
  <c r="DY136" i="3416"/>
  <c r="DX136" i="3416"/>
  <c r="DW136" i="3416"/>
  <c r="DV136" i="3416"/>
  <c r="DU136" i="3416"/>
  <c r="DT136" i="3416"/>
  <c r="DS136" i="3416"/>
  <c r="DR136" i="3416"/>
  <c r="DQ136" i="3416"/>
  <c r="DP136" i="3416"/>
  <c r="DO136" i="3416"/>
  <c r="DN136" i="3416"/>
  <c r="DM136" i="3416"/>
  <c r="DL136" i="3416"/>
  <c r="DK136" i="3416"/>
  <c r="DJ136" i="3416"/>
  <c r="DI136" i="3416"/>
  <c r="DH136" i="3416"/>
  <c r="DG136" i="3416"/>
  <c r="DF136" i="3416"/>
  <c r="DE136" i="3416"/>
  <c r="DD136" i="3416"/>
  <c r="DC136" i="3416"/>
  <c r="DB136" i="3416"/>
  <c r="DA136" i="3416"/>
  <c r="CZ136" i="3416"/>
  <c r="CY136" i="3416"/>
  <c r="CX136" i="3416"/>
  <c r="CW136" i="3416"/>
  <c r="CV136" i="3416"/>
  <c r="CU136" i="3416"/>
  <c r="CT136" i="3416"/>
  <c r="CS136" i="3416"/>
  <c r="CR136" i="3416"/>
  <c r="CQ136" i="3416"/>
  <c r="CP136" i="3416"/>
  <c r="CO136" i="3416"/>
  <c r="CN136" i="3416"/>
  <c r="CM136" i="3416"/>
  <c r="CL136" i="3416"/>
  <c r="CK136" i="3416"/>
  <c r="CJ136" i="3416"/>
  <c r="CI136" i="3416"/>
  <c r="CH136" i="3416"/>
  <c r="CG136" i="3416"/>
  <c r="CF136" i="3416"/>
  <c r="CE136" i="3416"/>
  <c r="CD136" i="3416"/>
  <c r="CC136" i="3416"/>
  <c r="CB136" i="3416"/>
  <c r="CA136" i="3416"/>
  <c r="BZ136" i="3416"/>
  <c r="BY136" i="3416"/>
  <c r="BX136" i="3416"/>
  <c r="BW136" i="3416"/>
  <c r="BV136" i="3416"/>
  <c r="BU136" i="3416"/>
  <c r="BT136" i="3416"/>
  <c r="BS136" i="3416"/>
  <c r="BR136" i="3416"/>
  <c r="BQ136" i="3416"/>
  <c r="BP136" i="3416"/>
  <c r="BO136" i="3416"/>
  <c r="BN136" i="3416"/>
  <c r="BM136" i="3416"/>
  <c r="BL136" i="3416"/>
  <c r="BK136" i="3416"/>
  <c r="BJ136" i="3416"/>
  <c r="BI136" i="3416"/>
  <c r="BH136" i="3416"/>
  <c r="BG136" i="3416"/>
  <c r="BF136" i="3416"/>
  <c r="BE136" i="3416"/>
  <c r="BD136" i="3416"/>
  <c r="BC136" i="3416"/>
  <c r="BB136" i="3416"/>
  <c r="BA136" i="3416"/>
  <c r="AZ136" i="3416"/>
  <c r="AY136" i="3416"/>
  <c r="AX136" i="3416"/>
  <c r="AW136" i="3416"/>
  <c r="AV136" i="3416"/>
  <c r="AU136" i="3416"/>
  <c r="AT136" i="3416"/>
  <c r="AS136" i="3416"/>
  <c r="AR136" i="3416"/>
  <c r="AQ136" i="3416"/>
  <c r="AP136" i="3416"/>
  <c r="AO136" i="3416"/>
  <c r="AN136" i="3416"/>
  <c r="AM136" i="3416"/>
  <c r="AL136" i="3416"/>
  <c r="AK136" i="3416"/>
  <c r="AJ136" i="3416"/>
  <c r="AI136" i="3416"/>
  <c r="AH136" i="3416"/>
  <c r="AG136" i="3416"/>
  <c r="AF136" i="3416"/>
  <c r="AE136" i="3416"/>
  <c r="AD136" i="3416"/>
  <c r="AC136" i="3416"/>
  <c r="AB136" i="3416"/>
  <c r="AA136" i="3416"/>
  <c r="Z136" i="3416"/>
  <c r="Y136" i="3416"/>
  <c r="X136" i="3416"/>
  <c r="W136" i="3416"/>
  <c r="V136" i="3416"/>
  <c r="U136" i="3416"/>
  <c r="T136" i="3416"/>
  <c r="S136" i="3416"/>
  <c r="R136" i="3416"/>
  <c r="Q136" i="3416"/>
  <c r="P136" i="3416"/>
  <c r="O136" i="3416"/>
  <c r="N136" i="3416"/>
  <c r="M136" i="3416"/>
  <c r="L136" i="3416"/>
  <c r="K136" i="3416"/>
  <c r="J136" i="3416"/>
  <c r="I136" i="3416"/>
  <c r="H136" i="3416"/>
  <c r="G136" i="3416"/>
  <c r="F136" i="3416"/>
  <c r="E136" i="3416"/>
  <c r="D136" i="3416"/>
  <c r="C136" i="3416" a="1"/>
  <c r="C136" i="3416"/>
  <c r="A136" i="3416"/>
  <c r="EM135" i="3416"/>
  <c r="EL135" i="3416"/>
  <c r="EK135" i="3416"/>
  <c r="EJ135" i="3416"/>
  <c r="EI135" i="3416"/>
  <c r="EH135" i="3416"/>
  <c r="EG135" i="3416"/>
  <c r="EF135" i="3416"/>
  <c r="EE135" i="3416"/>
  <c r="ED135" i="3416"/>
  <c r="EC135" i="3416"/>
  <c r="EB135" i="3416"/>
  <c r="EA135" i="3416"/>
  <c r="DZ135" i="3416"/>
  <c r="DY135" i="3416"/>
  <c r="DX135" i="3416"/>
  <c r="DW135" i="3416"/>
  <c r="DV135" i="3416"/>
  <c r="DU135" i="3416"/>
  <c r="DT135" i="3416"/>
  <c r="DS135" i="3416"/>
  <c r="DR135" i="3416"/>
  <c r="DQ135" i="3416"/>
  <c r="DP135" i="3416"/>
  <c r="DO135" i="3416"/>
  <c r="DN135" i="3416"/>
  <c r="DM135" i="3416"/>
  <c r="DL135" i="3416"/>
  <c r="DK135" i="3416"/>
  <c r="DJ135" i="3416"/>
  <c r="DI135" i="3416"/>
  <c r="DH135" i="3416"/>
  <c r="DG135" i="3416"/>
  <c r="DF135" i="3416"/>
  <c r="DE135" i="3416"/>
  <c r="DD135" i="3416"/>
  <c r="DC135" i="3416"/>
  <c r="DB135" i="3416"/>
  <c r="DA135" i="3416"/>
  <c r="CZ135" i="3416"/>
  <c r="CY135" i="3416"/>
  <c r="CX135" i="3416"/>
  <c r="CW135" i="3416"/>
  <c r="CV135" i="3416"/>
  <c r="CU135" i="3416"/>
  <c r="CT135" i="3416"/>
  <c r="CS135" i="3416"/>
  <c r="CR135" i="3416"/>
  <c r="CQ135" i="3416"/>
  <c r="CP135" i="3416"/>
  <c r="CO135" i="3416"/>
  <c r="CN135" i="3416"/>
  <c r="CM135" i="3416"/>
  <c r="CL135" i="3416"/>
  <c r="CK135" i="3416"/>
  <c r="CJ135" i="3416"/>
  <c r="CI135" i="3416"/>
  <c r="CH135" i="3416"/>
  <c r="CG135" i="3416"/>
  <c r="CF135" i="3416"/>
  <c r="CE135" i="3416"/>
  <c r="CD135" i="3416"/>
  <c r="CC135" i="3416"/>
  <c r="CB135" i="3416"/>
  <c r="CA135" i="3416"/>
  <c r="BZ135" i="3416"/>
  <c r="BY135" i="3416"/>
  <c r="BX135" i="3416"/>
  <c r="BW135" i="3416"/>
  <c r="BV135" i="3416"/>
  <c r="BU135" i="3416"/>
  <c r="BT135" i="3416"/>
  <c r="BS135" i="3416"/>
  <c r="BR135" i="3416"/>
  <c r="BQ135" i="3416"/>
  <c r="BP135" i="3416"/>
  <c r="BO135" i="3416"/>
  <c r="BN135" i="3416"/>
  <c r="BM135" i="3416"/>
  <c r="BL135" i="3416"/>
  <c r="BK135" i="3416"/>
  <c r="BJ135" i="3416"/>
  <c r="BI135" i="3416"/>
  <c r="BH135" i="3416"/>
  <c r="BG135" i="3416"/>
  <c r="BF135" i="3416"/>
  <c r="BE135" i="3416"/>
  <c r="BD135" i="3416"/>
  <c r="BC135" i="3416"/>
  <c r="BB135" i="3416"/>
  <c r="BA135" i="3416"/>
  <c r="AZ135" i="3416"/>
  <c r="AY135" i="3416"/>
  <c r="AX135" i="3416"/>
  <c r="AW135" i="3416"/>
  <c r="AV135" i="3416"/>
  <c r="AU135" i="3416"/>
  <c r="AT135" i="3416"/>
  <c r="AS135" i="3416"/>
  <c r="AR135" i="3416"/>
  <c r="AQ135" i="3416"/>
  <c r="AP135" i="3416"/>
  <c r="AO135" i="3416"/>
  <c r="AN135" i="3416"/>
  <c r="AM135" i="3416"/>
  <c r="AL135" i="3416"/>
  <c r="AK135" i="3416"/>
  <c r="AJ135" i="3416"/>
  <c r="AI135" i="3416"/>
  <c r="AH135" i="3416"/>
  <c r="AG135" i="3416"/>
  <c r="AF135" i="3416"/>
  <c r="AE135" i="3416"/>
  <c r="AD135" i="3416"/>
  <c r="AC135" i="3416"/>
  <c r="AB135" i="3416"/>
  <c r="AA135" i="3416"/>
  <c r="Z135" i="3416"/>
  <c r="Y135" i="3416"/>
  <c r="X135" i="3416"/>
  <c r="W135" i="3416"/>
  <c r="V135" i="3416"/>
  <c r="U135" i="3416"/>
  <c r="T135" i="3416"/>
  <c r="S135" i="3416"/>
  <c r="R135" i="3416"/>
  <c r="Q135" i="3416"/>
  <c r="P135" i="3416"/>
  <c r="O135" i="3416"/>
  <c r="N135" i="3416"/>
  <c r="M135" i="3416"/>
  <c r="L135" i="3416"/>
  <c r="K135" i="3416"/>
  <c r="J135" i="3416"/>
  <c r="I135" i="3416"/>
  <c r="H135" i="3416"/>
  <c r="G135" i="3416"/>
  <c r="F135" i="3416"/>
  <c r="E135" i="3416"/>
  <c r="D135" i="3416"/>
  <c r="C135" i="3416" a="1"/>
  <c r="C135" i="3416"/>
  <c r="A135" i="3416"/>
  <c r="EM134" i="3416"/>
  <c r="EL134" i="3416"/>
  <c r="EK134" i="3416"/>
  <c r="EJ134" i="3416"/>
  <c r="EI134" i="3416"/>
  <c r="EH134" i="3416"/>
  <c r="EG134" i="3416"/>
  <c r="EF134" i="3416"/>
  <c r="EE134" i="3416"/>
  <c r="ED134" i="3416"/>
  <c r="EC134" i="3416"/>
  <c r="EB134" i="3416"/>
  <c r="EA134" i="3416"/>
  <c r="DZ134" i="3416"/>
  <c r="DY134" i="3416"/>
  <c r="DX134" i="3416"/>
  <c r="DW134" i="3416"/>
  <c r="DV134" i="3416"/>
  <c r="DU134" i="3416"/>
  <c r="DT134" i="3416"/>
  <c r="DS134" i="3416"/>
  <c r="DR134" i="3416"/>
  <c r="DQ134" i="3416"/>
  <c r="DP134" i="3416"/>
  <c r="DO134" i="3416"/>
  <c r="DN134" i="3416"/>
  <c r="DM134" i="3416"/>
  <c r="DL134" i="3416"/>
  <c r="DK134" i="3416"/>
  <c r="DJ134" i="3416"/>
  <c r="DI134" i="3416"/>
  <c r="DH134" i="3416"/>
  <c r="DG134" i="3416"/>
  <c r="DF134" i="3416"/>
  <c r="DE134" i="3416"/>
  <c r="DD134" i="3416"/>
  <c r="DC134" i="3416"/>
  <c r="DB134" i="3416"/>
  <c r="DA134" i="3416"/>
  <c r="CZ134" i="3416"/>
  <c r="CY134" i="3416"/>
  <c r="CX134" i="3416"/>
  <c r="CW134" i="3416"/>
  <c r="CV134" i="3416"/>
  <c r="CU134" i="3416"/>
  <c r="CT134" i="3416"/>
  <c r="CS134" i="3416"/>
  <c r="CR134" i="3416"/>
  <c r="CQ134" i="3416"/>
  <c r="CP134" i="3416"/>
  <c r="CO134" i="3416"/>
  <c r="CN134" i="3416"/>
  <c r="CM134" i="3416"/>
  <c r="CL134" i="3416"/>
  <c r="CK134" i="3416"/>
  <c r="CJ134" i="3416"/>
  <c r="CI134" i="3416"/>
  <c r="CH134" i="3416"/>
  <c r="CG134" i="3416"/>
  <c r="CF134" i="3416"/>
  <c r="CE134" i="3416"/>
  <c r="CD134" i="3416"/>
  <c r="CC134" i="3416"/>
  <c r="CB134" i="3416"/>
  <c r="CA134" i="3416"/>
  <c r="BZ134" i="3416"/>
  <c r="BY134" i="3416"/>
  <c r="BX134" i="3416"/>
  <c r="BW134" i="3416"/>
  <c r="BV134" i="3416"/>
  <c r="BU134" i="3416"/>
  <c r="BT134" i="3416"/>
  <c r="BS134" i="3416"/>
  <c r="BR134" i="3416"/>
  <c r="BQ134" i="3416"/>
  <c r="BP134" i="3416"/>
  <c r="BO134" i="3416"/>
  <c r="BN134" i="3416"/>
  <c r="BM134" i="3416"/>
  <c r="BL134" i="3416"/>
  <c r="BK134" i="3416"/>
  <c r="BJ134" i="3416"/>
  <c r="BI134" i="3416"/>
  <c r="BH134" i="3416"/>
  <c r="BG134" i="3416"/>
  <c r="BF134" i="3416"/>
  <c r="BE134" i="3416"/>
  <c r="BD134" i="3416"/>
  <c r="BC134" i="3416"/>
  <c r="BB134" i="3416"/>
  <c r="BA134" i="3416"/>
  <c r="AZ134" i="3416"/>
  <c r="AY134" i="3416"/>
  <c r="AX134" i="3416"/>
  <c r="AW134" i="3416"/>
  <c r="AV134" i="3416"/>
  <c r="AU134" i="3416"/>
  <c r="AT134" i="3416"/>
  <c r="AS134" i="3416"/>
  <c r="AR134" i="3416"/>
  <c r="AQ134" i="3416"/>
  <c r="AP134" i="3416"/>
  <c r="AO134" i="3416"/>
  <c r="AN134" i="3416"/>
  <c r="AM134" i="3416"/>
  <c r="AL134" i="3416"/>
  <c r="AK134" i="3416"/>
  <c r="AJ134" i="3416"/>
  <c r="AI134" i="3416"/>
  <c r="AH134" i="3416"/>
  <c r="AG134" i="3416"/>
  <c r="AF134" i="3416"/>
  <c r="AE134" i="3416"/>
  <c r="AD134" i="3416"/>
  <c r="AC134" i="3416"/>
  <c r="AB134" i="3416"/>
  <c r="AA134" i="3416"/>
  <c r="Z134" i="3416"/>
  <c r="Y134" i="3416"/>
  <c r="X134" i="3416"/>
  <c r="W134" i="3416"/>
  <c r="V134" i="3416"/>
  <c r="U134" i="3416"/>
  <c r="T134" i="3416"/>
  <c r="S134" i="3416"/>
  <c r="R134" i="3416"/>
  <c r="Q134" i="3416"/>
  <c r="P134" i="3416"/>
  <c r="O134" i="3416"/>
  <c r="N134" i="3416"/>
  <c r="M134" i="3416"/>
  <c r="L134" i="3416"/>
  <c r="K134" i="3416"/>
  <c r="J134" i="3416"/>
  <c r="I134" i="3416"/>
  <c r="H134" i="3416"/>
  <c r="G134" i="3416"/>
  <c r="F134" i="3416"/>
  <c r="E134" i="3416"/>
  <c r="D134" i="3416"/>
  <c r="C134" i="3416" a="1"/>
  <c r="C134" i="3416"/>
  <c r="A134" i="3416"/>
  <c r="EM133" i="3416"/>
  <c r="EL133" i="3416"/>
  <c r="EK133" i="3416"/>
  <c r="EJ133" i="3416"/>
  <c r="EI133" i="3416"/>
  <c r="EH133" i="3416"/>
  <c r="EG133" i="3416"/>
  <c r="EF133" i="3416"/>
  <c r="EE133" i="3416"/>
  <c r="ED133" i="3416"/>
  <c r="EC133" i="3416"/>
  <c r="EB133" i="3416"/>
  <c r="EA133" i="3416"/>
  <c r="DZ133" i="3416"/>
  <c r="DY133" i="3416"/>
  <c r="DX133" i="3416"/>
  <c r="DW133" i="3416"/>
  <c r="DV133" i="3416"/>
  <c r="DU133" i="3416"/>
  <c r="DT133" i="3416"/>
  <c r="DS133" i="3416"/>
  <c r="DR133" i="3416"/>
  <c r="DQ133" i="3416"/>
  <c r="DP133" i="3416"/>
  <c r="DO133" i="3416"/>
  <c r="DN133" i="3416"/>
  <c r="DM133" i="3416"/>
  <c r="DL133" i="3416"/>
  <c r="DK133" i="3416"/>
  <c r="DJ133" i="3416"/>
  <c r="DI133" i="3416"/>
  <c r="DH133" i="3416"/>
  <c r="DG133" i="3416"/>
  <c r="DF133" i="3416"/>
  <c r="DE133" i="3416"/>
  <c r="DD133" i="3416"/>
  <c r="DC133" i="3416"/>
  <c r="DB133" i="3416"/>
  <c r="DA133" i="3416"/>
  <c r="CZ133" i="3416"/>
  <c r="CY133" i="3416"/>
  <c r="CX133" i="3416"/>
  <c r="CW133" i="3416"/>
  <c r="CV133" i="3416"/>
  <c r="CU133" i="3416"/>
  <c r="CT133" i="3416"/>
  <c r="CS133" i="3416"/>
  <c r="CR133" i="3416"/>
  <c r="CQ133" i="3416"/>
  <c r="CP133" i="3416"/>
  <c r="CO133" i="3416"/>
  <c r="CN133" i="3416"/>
  <c r="CM133" i="3416"/>
  <c r="CL133" i="3416"/>
  <c r="CK133" i="3416"/>
  <c r="CJ133" i="3416"/>
  <c r="CI133" i="3416"/>
  <c r="CH133" i="3416"/>
  <c r="CG133" i="3416"/>
  <c r="CF133" i="3416"/>
  <c r="CE133" i="3416"/>
  <c r="CD133" i="3416"/>
  <c r="CC133" i="3416"/>
  <c r="CB133" i="3416"/>
  <c r="CA133" i="3416"/>
  <c r="BZ133" i="3416"/>
  <c r="BY133" i="3416"/>
  <c r="BX133" i="3416"/>
  <c r="BW133" i="3416"/>
  <c r="BV133" i="3416"/>
  <c r="BU133" i="3416"/>
  <c r="BT133" i="3416"/>
  <c r="BS133" i="3416"/>
  <c r="BR133" i="3416"/>
  <c r="BQ133" i="3416"/>
  <c r="BP133" i="3416"/>
  <c r="BO133" i="3416"/>
  <c r="BN133" i="3416"/>
  <c r="BM133" i="3416"/>
  <c r="BL133" i="3416"/>
  <c r="BK133" i="3416"/>
  <c r="BJ133" i="3416"/>
  <c r="BI133" i="3416"/>
  <c r="BH133" i="3416"/>
  <c r="BG133" i="3416"/>
  <c r="BF133" i="3416"/>
  <c r="BE133" i="3416"/>
  <c r="BD133" i="3416"/>
  <c r="BC133" i="3416"/>
  <c r="BB133" i="3416"/>
  <c r="BA133" i="3416"/>
  <c r="AZ133" i="3416"/>
  <c r="AY133" i="3416"/>
  <c r="AX133" i="3416"/>
  <c r="AW133" i="3416"/>
  <c r="AV133" i="3416"/>
  <c r="AU133" i="3416"/>
  <c r="AT133" i="3416"/>
  <c r="AS133" i="3416"/>
  <c r="AR133" i="3416"/>
  <c r="AQ133" i="3416"/>
  <c r="AP133" i="3416"/>
  <c r="AO133" i="3416"/>
  <c r="AN133" i="3416"/>
  <c r="AM133" i="3416"/>
  <c r="AL133" i="3416"/>
  <c r="AK133" i="3416"/>
  <c r="AJ133" i="3416"/>
  <c r="AI133" i="3416"/>
  <c r="AH133" i="3416"/>
  <c r="AG133" i="3416"/>
  <c r="AF133" i="3416"/>
  <c r="AE133" i="3416"/>
  <c r="AD133" i="3416"/>
  <c r="AC133" i="3416"/>
  <c r="AB133" i="3416"/>
  <c r="AA133" i="3416"/>
  <c r="Z133" i="3416"/>
  <c r="Y133" i="3416"/>
  <c r="X133" i="3416"/>
  <c r="W133" i="3416"/>
  <c r="V133" i="3416"/>
  <c r="U133" i="3416"/>
  <c r="T133" i="3416"/>
  <c r="S133" i="3416"/>
  <c r="R133" i="3416"/>
  <c r="Q133" i="3416"/>
  <c r="P133" i="3416"/>
  <c r="O133" i="3416"/>
  <c r="N133" i="3416"/>
  <c r="M133" i="3416"/>
  <c r="L133" i="3416"/>
  <c r="K133" i="3416"/>
  <c r="J133" i="3416"/>
  <c r="I133" i="3416"/>
  <c r="H133" i="3416"/>
  <c r="G133" i="3416"/>
  <c r="F133" i="3416"/>
  <c r="E133" i="3416"/>
  <c r="D133" i="3416"/>
  <c r="C133" i="3416" a="1"/>
  <c r="C133" i="3416"/>
  <c r="A133" i="3416"/>
  <c r="EM132" i="3416"/>
  <c r="EL132" i="3416"/>
  <c r="EK132" i="3416"/>
  <c r="EJ132" i="3416"/>
  <c r="EI132" i="3416"/>
  <c r="EH132" i="3416"/>
  <c r="EG132" i="3416"/>
  <c r="EF132" i="3416"/>
  <c r="EE132" i="3416"/>
  <c r="ED132" i="3416"/>
  <c r="EC132" i="3416"/>
  <c r="EB132" i="3416"/>
  <c r="EA132" i="3416"/>
  <c r="DZ132" i="3416"/>
  <c r="DY132" i="3416"/>
  <c r="DX132" i="3416"/>
  <c r="DW132" i="3416"/>
  <c r="DV132" i="3416"/>
  <c r="DU132" i="3416"/>
  <c r="DT132" i="3416"/>
  <c r="DS132" i="3416"/>
  <c r="DR132" i="3416"/>
  <c r="DQ132" i="3416"/>
  <c r="DP132" i="3416"/>
  <c r="DO132" i="3416"/>
  <c r="DN132" i="3416"/>
  <c r="DM132" i="3416"/>
  <c r="DL132" i="3416"/>
  <c r="DK132" i="3416"/>
  <c r="DJ132" i="3416"/>
  <c r="DI132" i="3416"/>
  <c r="DH132" i="3416"/>
  <c r="DG132" i="3416"/>
  <c r="DF132" i="3416"/>
  <c r="DE132" i="3416"/>
  <c r="DD132" i="3416"/>
  <c r="DC132" i="3416"/>
  <c r="DB132" i="3416"/>
  <c r="DA132" i="3416"/>
  <c r="CZ132" i="3416"/>
  <c r="CY132" i="3416"/>
  <c r="CX132" i="3416"/>
  <c r="CW132" i="3416"/>
  <c r="CV132" i="3416"/>
  <c r="CU132" i="3416"/>
  <c r="CT132" i="3416"/>
  <c r="CS132" i="3416"/>
  <c r="CR132" i="3416"/>
  <c r="CQ132" i="3416"/>
  <c r="CP132" i="3416"/>
  <c r="CO132" i="3416"/>
  <c r="CN132" i="3416"/>
  <c r="CM132" i="3416"/>
  <c r="CL132" i="3416"/>
  <c r="CK132" i="3416"/>
  <c r="CJ132" i="3416"/>
  <c r="CI132" i="3416"/>
  <c r="CH132" i="3416"/>
  <c r="CG132" i="3416"/>
  <c r="CF132" i="3416"/>
  <c r="CE132" i="3416"/>
  <c r="CD132" i="3416"/>
  <c r="CC132" i="3416"/>
  <c r="CB132" i="3416"/>
  <c r="CA132" i="3416"/>
  <c r="BZ132" i="3416"/>
  <c r="BY132" i="3416"/>
  <c r="BX132" i="3416"/>
  <c r="BW132" i="3416"/>
  <c r="BV132" i="3416"/>
  <c r="BU132" i="3416"/>
  <c r="BT132" i="3416"/>
  <c r="BS132" i="3416"/>
  <c r="BR132" i="3416"/>
  <c r="BQ132" i="3416"/>
  <c r="BP132" i="3416"/>
  <c r="BO132" i="3416"/>
  <c r="BN132" i="3416"/>
  <c r="BM132" i="3416"/>
  <c r="BL132" i="3416"/>
  <c r="BK132" i="3416"/>
  <c r="BJ132" i="3416"/>
  <c r="BI132" i="3416"/>
  <c r="BH132" i="3416"/>
  <c r="BG132" i="3416"/>
  <c r="BF132" i="3416"/>
  <c r="BE132" i="3416"/>
  <c r="BD132" i="3416"/>
  <c r="BC132" i="3416"/>
  <c r="BB132" i="3416"/>
  <c r="BA132" i="3416"/>
  <c r="AZ132" i="3416"/>
  <c r="AY132" i="3416"/>
  <c r="AX132" i="3416"/>
  <c r="AW132" i="3416"/>
  <c r="AV132" i="3416"/>
  <c r="AU132" i="3416"/>
  <c r="AT132" i="3416"/>
  <c r="AS132" i="3416"/>
  <c r="AR132" i="3416"/>
  <c r="AQ132" i="3416"/>
  <c r="AP132" i="3416"/>
  <c r="AO132" i="3416"/>
  <c r="AN132" i="3416"/>
  <c r="AM132" i="3416"/>
  <c r="AL132" i="3416"/>
  <c r="AK132" i="3416"/>
  <c r="AJ132" i="3416"/>
  <c r="AI132" i="3416"/>
  <c r="AH132" i="3416"/>
  <c r="AG132" i="3416"/>
  <c r="AF132" i="3416"/>
  <c r="AE132" i="3416"/>
  <c r="AD132" i="3416"/>
  <c r="AC132" i="3416"/>
  <c r="AB132" i="3416"/>
  <c r="AA132" i="3416"/>
  <c r="Z132" i="3416"/>
  <c r="Y132" i="3416"/>
  <c r="X132" i="3416"/>
  <c r="W132" i="3416"/>
  <c r="V132" i="3416"/>
  <c r="U132" i="3416"/>
  <c r="T132" i="3416"/>
  <c r="S132" i="3416"/>
  <c r="R132" i="3416"/>
  <c r="Q132" i="3416"/>
  <c r="P132" i="3416"/>
  <c r="O132" i="3416"/>
  <c r="N132" i="3416"/>
  <c r="M132" i="3416"/>
  <c r="L132" i="3416"/>
  <c r="K132" i="3416"/>
  <c r="J132" i="3416"/>
  <c r="I132" i="3416"/>
  <c r="H132" i="3416"/>
  <c r="G132" i="3416"/>
  <c r="F132" i="3416"/>
  <c r="E132" i="3416"/>
  <c r="D132" i="3416"/>
  <c r="C132" i="3416" a="1"/>
  <c r="C132" i="3416"/>
  <c r="A132" i="3416"/>
  <c r="EM131" i="3416"/>
  <c r="EL131" i="3416"/>
  <c r="EK131" i="3416"/>
  <c r="EJ131" i="3416"/>
  <c r="EI131" i="3416"/>
  <c r="EH131" i="3416"/>
  <c r="EG131" i="3416"/>
  <c r="EF131" i="3416"/>
  <c r="EE131" i="3416"/>
  <c r="ED131" i="3416"/>
  <c r="EC131" i="3416"/>
  <c r="EB131" i="3416"/>
  <c r="EA131" i="3416"/>
  <c r="DZ131" i="3416"/>
  <c r="DY131" i="3416"/>
  <c r="DX131" i="3416"/>
  <c r="DW131" i="3416"/>
  <c r="DV131" i="3416"/>
  <c r="DU131" i="3416"/>
  <c r="DT131" i="3416"/>
  <c r="DS131" i="3416"/>
  <c r="DR131" i="3416"/>
  <c r="DQ131" i="3416"/>
  <c r="DP131" i="3416"/>
  <c r="DO131" i="3416"/>
  <c r="DN131" i="3416"/>
  <c r="DM131" i="3416"/>
  <c r="DL131" i="3416"/>
  <c r="DK131" i="3416"/>
  <c r="DJ131" i="3416"/>
  <c r="DI131" i="3416"/>
  <c r="DH131" i="3416"/>
  <c r="DG131" i="3416"/>
  <c r="DF131" i="3416"/>
  <c r="DE131" i="3416"/>
  <c r="DD131" i="3416"/>
  <c r="DC131" i="3416"/>
  <c r="DB131" i="3416"/>
  <c r="DA131" i="3416"/>
  <c r="CZ131" i="3416"/>
  <c r="CY131" i="3416"/>
  <c r="CX131" i="3416"/>
  <c r="CW131" i="3416"/>
  <c r="CV131" i="3416"/>
  <c r="CU131" i="3416"/>
  <c r="CT131" i="3416"/>
  <c r="CS131" i="3416"/>
  <c r="CR131" i="3416"/>
  <c r="CQ131" i="3416"/>
  <c r="CP131" i="3416"/>
  <c r="CO131" i="3416"/>
  <c r="CN131" i="3416"/>
  <c r="CM131" i="3416"/>
  <c r="CL131" i="3416"/>
  <c r="CK131" i="3416"/>
  <c r="CJ131" i="3416"/>
  <c r="CI131" i="3416"/>
  <c r="CH131" i="3416"/>
  <c r="CG131" i="3416"/>
  <c r="CF131" i="3416"/>
  <c r="CE131" i="3416"/>
  <c r="CD131" i="3416"/>
  <c r="CC131" i="3416"/>
  <c r="CB131" i="3416"/>
  <c r="CA131" i="3416"/>
  <c r="BZ131" i="3416"/>
  <c r="BY131" i="3416"/>
  <c r="BX131" i="3416"/>
  <c r="BW131" i="3416"/>
  <c r="BV131" i="3416"/>
  <c r="BU131" i="3416"/>
  <c r="BT131" i="3416"/>
  <c r="BS131" i="3416"/>
  <c r="BR131" i="3416"/>
  <c r="BQ131" i="3416"/>
  <c r="BP131" i="3416"/>
  <c r="BO131" i="3416"/>
  <c r="BN131" i="3416"/>
  <c r="BM131" i="3416"/>
  <c r="BL131" i="3416"/>
  <c r="BK131" i="3416"/>
  <c r="BJ131" i="3416"/>
  <c r="BI131" i="3416"/>
  <c r="BH131" i="3416"/>
  <c r="BG131" i="3416"/>
  <c r="BF131" i="3416"/>
  <c r="BE131" i="3416"/>
  <c r="BD131" i="3416"/>
  <c r="BC131" i="3416"/>
  <c r="BB131" i="3416"/>
  <c r="BA131" i="3416"/>
  <c r="AZ131" i="3416"/>
  <c r="AY131" i="3416"/>
  <c r="AX131" i="3416"/>
  <c r="AW131" i="3416"/>
  <c r="AV131" i="3416"/>
  <c r="AU131" i="3416"/>
  <c r="AT131" i="3416"/>
  <c r="AS131" i="3416"/>
  <c r="AR131" i="3416"/>
  <c r="AQ131" i="3416"/>
  <c r="AP131" i="3416"/>
  <c r="AO131" i="3416"/>
  <c r="AN131" i="3416"/>
  <c r="AM131" i="3416"/>
  <c r="AL131" i="3416"/>
  <c r="AK131" i="3416"/>
  <c r="AJ131" i="3416"/>
  <c r="AI131" i="3416"/>
  <c r="AH131" i="3416"/>
  <c r="AG131" i="3416"/>
  <c r="AF131" i="3416"/>
  <c r="AE131" i="3416"/>
  <c r="AD131" i="3416"/>
  <c r="AC131" i="3416"/>
  <c r="AB131" i="3416"/>
  <c r="AA131" i="3416"/>
  <c r="Z131" i="3416"/>
  <c r="Y131" i="3416"/>
  <c r="X131" i="3416"/>
  <c r="W131" i="3416"/>
  <c r="V131" i="3416"/>
  <c r="U131" i="3416"/>
  <c r="T131" i="3416"/>
  <c r="S131" i="3416"/>
  <c r="R131" i="3416"/>
  <c r="Q131" i="3416"/>
  <c r="P131" i="3416"/>
  <c r="O131" i="3416"/>
  <c r="N131" i="3416"/>
  <c r="M131" i="3416"/>
  <c r="L131" i="3416"/>
  <c r="K131" i="3416"/>
  <c r="J131" i="3416"/>
  <c r="I131" i="3416"/>
  <c r="H131" i="3416"/>
  <c r="G131" i="3416"/>
  <c r="F131" i="3416"/>
  <c r="E131" i="3416"/>
  <c r="D131" i="3416"/>
  <c r="C131" i="3416" a="1"/>
  <c r="C131" i="3416"/>
  <c r="A131" i="3416"/>
  <c r="EM130" i="3416"/>
  <c r="EL130" i="3416"/>
  <c r="EK130" i="3416"/>
  <c r="EJ130" i="3416"/>
  <c r="EI130" i="3416"/>
  <c r="EH130" i="3416"/>
  <c r="EG130" i="3416"/>
  <c r="EF130" i="3416"/>
  <c r="EE130" i="3416"/>
  <c r="ED130" i="3416"/>
  <c r="EC130" i="3416"/>
  <c r="EB130" i="3416"/>
  <c r="EA130" i="3416"/>
  <c r="DZ130" i="3416"/>
  <c r="DY130" i="3416"/>
  <c r="DX130" i="3416"/>
  <c r="DW130" i="3416"/>
  <c r="DV130" i="3416"/>
  <c r="DU130" i="3416"/>
  <c r="DT130" i="3416"/>
  <c r="DS130" i="3416"/>
  <c r="DR130" i="3416"/>
  <c r="DQ130" i="3416"/>
  <c r="DP130" i="3416"/>
  <c r="DO130" i="3416"/>
  <c r="DN130" i="3416"/>
  <c r="DM130" i="3416"/>
  <c r="DL130" i="3416"/>
  <c r="DK130" i="3416"/>
  <c r="DJ130" i="3416"/>
  <c r="DI130" i="3416"/>
  <c r="DH130" i="3416"/>
  <c r="DG130" i="3416"/>
  <c r="DF130" i="3416"/>
  <c r="DE130" i="3416"/>
  <c r="DD130" i="3416"/>
  <c r="DC130" i="3416"/>
  <c r="DB130" i="3416"/>
  <c r="DA130" i="3416"/>
  <c r="CZ130" i="3416"/>
  <c r="CY130" i="3416"/>
  <c r="CX130" i="3416"/>
  <c r="CW130" i="3416"/>
  <c r="CV130" i="3416"/>
  <c r="CU130" i="3416"/>
  <c r="CT130" i="3416"/>
  <c r="CS130" i="3416"/>
  <c r="CR130" i="3416"/>
  <c r="CQ130" i="3416"/>
  <c r="CP130" i="3416"/>
  <c r="CO130" i="3416"/>
  <c r="CN130" i="3416"/>
  <c r="CM130" i="3416"/>
  <c r="CL130" i="3416"/>
  <c r="CK130" i="3416"/>
  <c r="CJ130" i="3416"/>
  <c r="CI130" i="3416"/>
  <c r="CH130" i="3416"/>
  <c r="CG130" i="3416"/>
  <c r="CF130" i="3416"/>
  <c r="CE130" i="3416"/>
  <c r="CD130" i="3416"/>
  <c r="CC130" i="3416"/>
  <c r="CB130" i="3416"/>
  <c r="CA130" i="3416"/>
  <c r="BZ130" i="3416"/>
  <c r="BY130" i="3416"/>
  <c r="BX130" i="3416"/>
  <c r="BW130" i="3416"/>
  <c r="BV130" i="3416"/>
  <c r="BU130" i="3416"/>
  <c r="BT130" i="3416"/>
  <c r="BS130" i="3416"/>
  <c r="BR130" i="3416"/>
  <c r="BQ130" i="3416"/>
  <c r="BP130" i="3416"/>
  <c r="BO130" i="3416"/>
  <c r="BN130" i="3416"/>
  <c r="BM130" i="3416"/>
  <c r="BL130" i="3416"/>
  <c r="BK130" i="3416"/>
  <c r="BJ130" i="3416"/>
  <c r="BI130" i="3416"/>
  <c r="BH130" i="3416"/>
  <c r="BG130" i="3416"/>
  <c r="BF130" i="3416"/>
  <c r="BE130" i="3416"/>
  <c r="BD130" i="3416"/>
  <c r="BC130" i="3416"/>
  <c r="BB130" i="3416"/>
  <c r="BA130" i="3416"/>
  <c r="AZ130" i="3416"/>
  <c r="AY130" i="3416"/>
  <c r="AX130" i="3416"/>
  <c r="AW130" i="3416"/>
  <c r="AV130" i="3416"/>
  <c r="AU130" i="3416"/>
  <c r="AT130" i="3416"/>
  <c r="AS130" i="3416"/>
  <c r="AR130" i="3416"/>
  <c r="AQ130" i="3416"/>
  <c r="AP130" i="3416"/>
  <c r="AO130" i="3416"/>
  <c r="AN130" i="3416"/>
  <c r="AM130" i="3416"/>
  <c r="AL130" i="3416"/>
  <c r="AK130" i="3416"/>
  <c r="AJ130" i="3416"/>
  <c r="AI130" i="3416"/>
  <c r="AH130" i="3416"/>
  <c r="AG130" i="3416"/>
  <c r="AF130" i="3416"/>
  <c r="AE130" i="3416"/>
  <c r="AD130" i="3416"/>
  <c r="AC130" i="3416"/>
  <c r="AB130" i="3416"/>
  <c r="AA130" i="3416"/>
  <c r="Z130" i="3416"/>
  <c r="Y130" i="3416"/>
  <c r="X130" i="3416"/>
  <c r="W130" i="3416"/>
  <c r="V130" i="3416"/>
  <c r="U130" i="3416"/>
  <c r="T130" i="3416"/>
  <c r="S130" i="3416"/>
  <c r="R130" i="3416"/>
  <c r="Q130" i="3416"/>
  <c r="P130" i="3416"/>
  <c r="O130" i="3416"/>
  <c r="N130" i="3416"/>
  <c r="M130" i="3416"/>
  <c r="L130" i="3416"/>
  <c r="K130" i="3416"/>
  <c r="J130" i="3416"/>
  <c r="I130" i="3416"/>
  <c r="H130" i="3416"/>
  <c r="G130" i="3416"/>
  <c r="F130" i="3416"/>
  <c r="E130" i="3416"/>
  <c r="D130" i="3416"/>
  <c r="C130" i="3416" a="1"/>
  <c r="C130" i="3416"/>
  <c r="A130" i="3416"/>
  <c r="EM129" i="3416"/>
  <c r="EL129" i="3416"/>
  <c r="EK129" i="3416"/>
  <c r="EJ129" i="3416"/>
  <c r="EI129" i="3416"/>
  <c r="EH129" i="3416"/>
  <c r="EG129" i="3416"/>
  <c r="EF129" i="3416"/>
  <c r="EE129" i="3416"/>
  <c r="ED129" i="3416"/>
  <c r="EC129" i="3416"/>
  <c r="EB129" i="3416"/>
  <c r="EA129" i="3416"/>
  <c r="DZ129" i="3416"/>
  <c r="DY129" i="3416"/>
  <c r="DX129" i="3416"/>
  <c r="DW129" i="3416"/>
  <c r="DV129" i="3416"/>
  <c r="DU129" i="3416"/>
  <c r="DT129" i="3416"/>
  <c r="DS129" i="3416"/>
  <c r="DR129" i="3416"/>
  <c r="DQ129" i="3416"/>
  <c r="DP129" i="3416"/>
  <c r="DO129" i="3416"/>
  <c r="DN129" i="3416"/>
  <c r="DM129" i="3416"/>
  <c r="DL129" i="3416"/>
  <c r="DK129" i="3416"/>
  <c r="DJ129" i="3416"/>
  <c r="DI129" i="3416"/>
  <c r="DH129" i="3416"/>
  <c r="DG129" i="3416"/>
  <c r="DF129" i="3416"/>
  <c r="DE129" i="3416"/>
  <c r="DD129" i="3416"/>
  <c r="DC129" i="3416"/>
  <c r="DB129" i="3416"/>
  <c r="DA129" i="3416"/>
  <c r="CZ129" i="3416"/>
  <c r="CY129" i="3416"/>
  <c r="CX129" i="3416"/>
  <c r="CW129" i="3416"/>
  <c r="CV129" i="3416"/>
  <c r="CU129" i="3416"/>
  <c r="CT129" i="3416"/>
  <c r="CS129" i="3416"/>
  <c r="CR129" i="3416"/>
  <c r="CQ129" i="3416"/>
  <c r="CP129" i="3416"/>
  <c r="CO129" i="3416"/>
  <c r="CN129" i="3416"/>
  <c r="CM129" i="3416"/>
  <c r="CL129" i="3416"/>
  <c r="CK129" i="3416"/>
  <c r="CJ129" i="3416"/>
  <c r="CI129" i="3416"/>
  <c r="CH129" i="3416"/>
  <c r="CG129" i="3416"/>
  <c r="CF129" i="3416"/>
  <c r="CE129" i="3416"/>
  <c r="CD129" i="3416"/>
  <c r="CC129" i="3416"/>
  <c r="CB129" i="3416"/>
  <c r="CA129" i="3416"/>
  <c r="BZ129" i="3416"/>
  <c r="BY129" i="3416"/>
  <c r="BX129" i="3416"/>
  <c r="BW129" i="3416"/>
  <c r="BV129" i="3416"/>
  <c r="BU129" i="3416"/>
  <c r="BT129" i="3416"/>
  <c r="BS129" i="3416"/>
  <c r="BR129" i="3416"/>
  <c r="BQ129" i="3416"/>
  <c r="BP129" i="3416"/>
  <c r="BO129" i="3416"/>
  <c r="BN129" i="3416"/>
  <c r="BM129" i="3416"/>
  <c r="BL129" i="3416"/>
  <c r="BK129" i="3416"/>
  <c r="BJ129" i="3416"/>
  <c r="BI129" i="3416"/>
  <c r="BH129" i="3416"/>
  <c r="BG129" i="3416"/>
  <c r="BF129" i="3416"/>
  <c r="BE129" i="3416"/>
  <c r="BD129" i="3416"/>
  <c r="BC129" i="3416"/>
  <c r="BB129" i="3416"/>
  <c r="BA129" i="3416"/>
  <c r="AZ129" i="3416"/>
  <c r="AY129" i="3416"/>
  <c r="AX129" i="3416"/>
  <c r="AW129" i="3416"/>
  <c r="AV129" i="3416"/>
  <c r="AU129" i="3416"/>
  <c r="AT129" i="3416"/>
  <c r="AS129" i="3416"/>
  <c r="AR129" i="3416"/>
  <c r="AQ129" i="3416"/>
  <c r="AP129" i="3416"/>
  <c r="AO129" i="3416"/>
  <c r="AN129" i="3416"/>
  <c r="AM129" i="3416"/>
  <c r="AL129" i="3416"/>
  <c r="AK129" i="3416"/>
  <c r="AJ129" i="3416"/>
  <c r="AI129" i="3416"/>
  <c r="AH129" i="3416"/>
  <c r="AG129" i="3416"/>
  <c r="AF129" i="3416"/>
  <c r="AE129" i="3416"/>
  <c r="AD129" i="3416"/>
  <c r="AC129" i="3416"/>
  <c r="AB129" i="3416"/>
  <c r="AA129" i="3416"/>
  <c r="Z129" i="3416"/>
  <c r="Y129" i="3416"/>
  <c r="X129" i="3416"/>
  <c r="W129" i="3416"/>
  <c r="V129" i="3416"/>
  <c r="U129" i="3416"/>
  <c r="T129" i="3416"/>
  <c r="S129" i="3416"/>
  <c r="R129" i="3416"/>
  <c r="Q129" i="3416"/>
  <c r="P129" i="3416"/>
  <c r="O129" i="3416"/>
  <c r="N129" i="3416"/>
  <c r="M129" i="3416"/>
  <c r="L129" i="3416"/>
  <c r="K129" i="3416"/>
  <c r="J129" i="3416"/>
  <c r="I129" i="3416"/>
  <c r="H129" i="3416"/>
  <c r="G129" i="3416"/>
  <c r="F129" i="3416"/>
  <c r="E129" i="3416"/>
  <c r="D129" i="3416"/>
  <c r="C129" i="3416" a="1"/>
  <c r="C129" i="3416"/>
  <c r="A129" i="3416"/>
  <c r="EM128" i="3416"/>
  <c r="EL128" i="3416"/>
  <c r="EK128" i="3416"/>
  <c r="EJ128" i="3416"/>
  <c r="EI128" i="3416"/>
  <c r="EH128" i="3416"/>
  <c r="EG128" i="3416"/>
  <c r="EF128" i="3416"/>
  <c r="EE128" i="3416"/>
  <c r="ED128" i="3416"/>
  <c r="EC128" i="3416"/>
  <c r="EB128" i="3416"/>
  <c r="EA128" i="3416"/>
  <c r="DZ128" i="3416"/>
  <c r="DY128" i="3416"/>
  <c r="DX128" i="3416"/>
  <c r="DW128" i="3416"/>
  <c r="DV128" i="3416"/>
  <c r="DU128" i="3416"/>
  <c r="DT128" i="3416"/>
  <c r="DS128" i="3416"/>
  <c r="DR128" i="3416"/>
  <c r="DQ128" i="3416"/>
  <c r="DP128" i="3416"/>
  <c r="DO128" i="3416"/>
  <c r="DN128" i="3416"/>
  <c r="DM128" i="3416"/>
  <c r="DL128" i="3416"/>
  <c r="DK128" i="3416"/>
  <c r="DJ128" i="3416"/>
  <c r="DI128" i="3416"/>
  <c r="DH128" i="3416"/>
  <c r="DG128" i="3416"/>
  <c r="DF128" i="3416"/>
  <c r="DE128" i="3416"/>
  <c r="DD128" i="3416"/>
  <c r="DC128" i="3416"/>
  <c r="DB128" i="3416"/>
  <c r="DA128" i="3416"/>
  <c r="CZ128" i="3416"/>
  <c r="CY128" i="3416"/>
  <c r="CX128" i="3416"/>
  <c r="CW128" i="3416"/>
  <c r="CV128" i="3416"/>
  <c r="CU128" i="3416"/>
  <c r="CT128" i="3416"/>
  <c r="CS128" i="3416"/>
  <c r="CR128" i="3416"/>
  <c r="CQ128" i="3416"/>
  <c r="CP128" i="3416"/>
  <c r="CO128" i="3416"/>
  <c r="CN128" i="3416"/>
  <c r="CM128" i="3416"/>
  <c r="CL128" i="3416"/>
  <c r="CK128" i="3416"/>
  <c r="CJ128" i="3416"/>
  <c r="CI128" i="3416"/>
  <c r="CH128" i="3416"/>
  <c r="CG128" i="3416"/>
  <c r="CF128" i="3416"/>
  <c r="CE128" i="3416"/>
  <c r="CD128" i="3416"/>
  <c r="CC128" i="3416"/>
  <c r="CB128" i="3416"/>
  <c r="CA128" i="3416"/>
  <c r="BZ128" i="3416"/>
  <c r="BY128" i="3416"/>
  <c r="BX128" i="3416"/>
  <c r="BW128" i="3416"/>
  <c r="BV128" i="3416"/>
  <c r="BU128" i="3416"/>
  <c r="BT128" i="3416"/>
  <c r="BS128" i="3416"/>
  <c r="BR128" i="3416"/>
  <c r="BQ128" i="3416"/>
  <c r="BP128" i="3416"/>
  <c r="BO128" i="3416"/>
  <c r="BN128" i="3416"/>
  <c r="BM128" i="3416"/>
  <c r="BL128" i="3416"/>
  <c r="BK128" i="3416"/>
  <c r="BJ128" i="3416"/>
  <c r="BI128" i="3416"/>
  <c r="BH128" i="3416"/>
  <c r="BG128" i="3416"/>
  <c r="BF128" i="3416"/>
  <c r="BE128" i="3416"/>
  <c r="BD128" i="3416"/>
  <c r="BC128" i="3416"/>
  <c r="BB128" i="3416"/>
  <c r="BA128" i="3416"/>
  <c r="AZ128" i="3416"/>
  <c r="AY128" i="3416"/>
  <c r="AX128" i="3416"/>
  <c r="AW128" i="3416"/>
  <c r="AV128" i="3416"/>
  <c r="AU128" i="3416"/>
  <c r="AT128" i="3416"/>
  <c r="AS128" i="3416"/>
  <c r="AR128" i="3416"/>
  <c r="AQ128" i="3416"/>
  <c r="AP128" i="3416"/>
  <c r="AO128" i="3416"/>
  <c r="AN128" i="3416"/>
  <c r="AM128" i="3416"/>
  <c r="AL128" i="3416"/>
  <c r="AK128" i="3416"/>
  <c r="AJ128" i="3416"/>
  <c r="AI128" i="3416"/>
  <c r="AH128" i="3416"/>
  <c r="AG128" i="3416"/>
  <c r="AF128" i="3416"/>
  <c r="AE128" i="3416"/>
  <c r="AD128" i="3416"/>
  <c r="AC128" i="3416"/>
  <c r="AB128" i="3416"/>
  <c r="AA128" i="3416"/>
  <c r="Z128" i="3416"/>
  <c r="Y128" i="3416"/>
  <c r="X128" i="3416"/>
  <c r="W128" i="3416"/>
  <c r="V128" i="3416"/>
  <c r="U128" i="3416"/>
  <c r="T128" i="3416"/>
  <c r="S128" i="3416"/>
  <c r="R128" i="3416"/>
  <c r="Q128" i="3416"/>
  <c r="P128" i="3416"/>
  <c r="O128" i="3416"/>
  <c r="N128" i="3416"/>
  <c r="M128" i="3416"/>
  <c r="L128" i="3416"/>
  <c r="K128" i="3416"/>
  <c r="J128" i="3416"/>
  <c r="I128" i="3416"/>
  <c r="H128" i="3416"/>
  <c r="G128" i="3416"/>
  <c r="F128" i="3416"/>
  <c r="E128" i="3416"/>
  <c r="D128" i="3416"/>
  <c r="C128" i="3416" a="1"/>
  <c r="C128" i="3416"/>
  <c r="A128" i="3416"/>
  <c r="EM127" i="3416"/>
  <c r="EL127" i="3416"/>
  <c r="EK127" i="3416"/>
  <c r="EJ127" i="3416"/>
  <c r="EI127" i="3416"/>
  <c r="EH127" i="3416"/>
  <c r="EG127" i="3416"/>
  <c r="EF127" i="3416"/>
  <c r="EE127" i="3416"/>
  <c r="ED127" i="3416"/>
  <c r="EC127" i="3416"/>
  <c r="EB127" i="3416"/>
  <c r="EA127" i="3416"/>
  <c r="DZ127" i="3416"/>
  <c r="DY127" i="3416"/>
  <c r="DX127" i="3416"/>
  <c r="DW127" i="3416"/>
  <c r="DV127" i="3416"/>
  <c r="DU127" i="3416"/>
  <c r="DT127" i="3416"/>
  <c r="DS127" i="3416"/>
  <c r="DR127" i="3416"/>
  <c r="DQ127" i="3416"/>
  <c r="DP127" i="3416"/>
  <c r="DO127" i="3416"/>
  <c r="DN127" i="3416"/>
  <c r="DM127" i="3416"/>
  <c r="DL127" i="3416"/>
  <c r="DK127" i="3416"/>
  <c r="DJ127" i="3416"/>
  <c r="DI127" i="3416"/>
  <c r="DH127" i="3416"/>
  <c r="DG127" i="3416"/>
  <c r="DF127" i="3416"/>
  <c r="DE127" i="3416"/>
  <c r="DD127" i="3416"/>
  <c r="DC127" i="3416"/>
  <c r="DB127" i="3416"/>
  <c r="DA127" i="3416"/>
  <c r="CZ127" i="3416"/>
  <c r="CY127" i="3416"/>
  <c r="CX127" i="3416"/>
  <c r="CW127" i="3416"/>
  <c r="CV127" i="3416"/>
  <c r="CU127" i="3416"/>
  <c r="CT127" i="3416"/>
  <c r="CS127" i="3416"/>
  <c r="CR127" i="3416"/>
  <c r="CQ127" i="3416"/>
  <c r="CP127" i="3416"/>
  <c r="CO127" i="3416"/>
  <c r="CN127" i="3416"/>
  <c r="CM127" i="3416"/>
  <c r="CL127" i="3416"/>
  <c r="CK127" i="3416"/>
  <c r="CJ127" i="3416"/>
  <c r="CI127" i="3416"/>
  <c r="CH127" i="3416"/>
  <c r="CG127" i="3416"/>
  <c r="CF127" i="3416"/>
  <c r="CE127" i="3416"/>
  <c r="CD127" i="3416"/>
  <c r="CC127" i="3416"/>
  <c r="CB127" i="3416"/>
  <c r="CA127" i="3416"/>
  <c r="BZ127" i="3416"/>
  <c r="BY127" i="3416"/>
  <c r="BX127" i="3416"/>
  <c r="BW127" i="3416"/>
  <c r="BV127" i="3416"/>
  <c r="BU127" i="3416"/>
  <c r="BT127" i="3416"/>
  <c r="BS127" i="3416"/>
  <c r="BR127" i="3416"/>
  <c r="BQ127" i="3416"/>
  <c r="BP127" i="3416"/>
  <c r="BO127" i="3416"/>
  <c r="BN127" i="3416"/>
  <c r="BM127" i="3416"/>
  <c r="BL127" i="3416"/>
  <c r="BK127" i="3416"/>
  <c r="BJ127" i="3416"/>
  <c r="BI127" i="3416"/>
  <c r="BH127" i="3416"/>
  <c r="BG127" i="3416"/>
  <c r="BF127" i="3416"/>
  <c r="BE127" i="3416"/>
  <c r="BD127" i="3416"/>
  <c r="BC127" i="3416"/>
  <c r="BB127" i="3416"/>
  <c r="BA127" i="3416"/>
  <c r="AZ127" i="3416"/>
  <c r="AY127" i="3416"/>
  <c r="AX127" i="3416"/>
  <c r="AW127" i="3416"/>
  <c r="AV127" i="3416"/>
  <c r="AU127" i="3416"/>
  <c r="AT127" i="3416"/>
  <c r="AS127" i="3416"/>
  <c r="AR127" i="3416"/>
  <c r="AQ127" i="3416"/>
  <c r="AP127" i="3416"/>
  <c r="AO127" i="3416"/>
  <c r="AN127" i="3416"/>
  <c r="AM127" i="3416"/>
  <c r="AL127" i="3416"/>
  <c r="AK127" i="3416"/>
  <c r="AJ127" i="3416"/>
  <c r="AI127" i="3416"/>
  <c r="AH127" i="3416"/>
  <c r="AG127" i="3416"/>
  <c r="AF127" i="3416"/>
  <c r="AE127" i="3416"/>
  <c r="AD127" i="3416"/>
  <c r="AC127" i="3416"/>
  <c r="AB127" i="3416"/>
  <c r="AA127" i="3416"/>
  <c r="Z127" i="3416"/>
  <c r="Y127" i="3416"/>
  <c r="X127" i="3416"/>
  <c r="W127" i="3416"/>
  <c r="V127" i="3416"/>
  <c r="U127" i="3416"/>
  <c r="T127" i="3416"/>
  <c r="S127" i="3416"/>
  <c r="R127" i="3416"/>
  <c r="Q127" i="3416"/>
  <c r="P127" i="3416"/>
  <c r="O127" i="3416"/>
  <c r="N127" i="3416"/>
  <c r="M127" i="3416"/>
  <c r="L127" i="3416"/>
  <c r="K127" i="3416"/>
  <c r="J127" i="3416"/>
  <c r="I127" i="3416"/>
  <c r="H127" i="3416"/>
  <c r="G127" i="3416"/>
  <c r="F127" i="3416"/>
  <c r="E127" i="3416"/>
  <c r="D127" i="3416"/>
  <c r="C127" i="3416" a="1"/>
  <c r="C127" i="3416"/>
  <c r="A127" i="3416"/>
  <c r="EM126" i="3416"/>
  <c r="EL126" i="3416"/>
  <c r="EK126" i="3416"/>
  <c r="EJ126" i="3416"/>
  <c r="EI126" i="3416"/>
  <c r="EH126" i="3416"/>
  <c r="EG126" i="3416"/>
  <c r="EF126" i="3416"/>
  <c r="EE126" i="3416"/>
  <c r="ED126" i="3416"/>
  <c r="EC126" i="3416"/>
  <c r="EB126" i="3416"/>
  <c r="EA126" i="3416"/>
  <c r="DZ126" i="3416"/>
  <c r="DY126" i="3416"/>
  <c r="DX126" i="3416"/>
  <c r="DW126" i="3416"/>
  <c r="DV126" i="3416"/>
  <c r="DU126" i="3416"/>
  <c r="DT126" i="3416"/>
  <c r="DS126" i="3416"/>
  <c r="DR126" i="3416"/>
  <c r="DQ126" i="3416"/>
  <c r="DP126" i="3416"/>
  <c r="DO126" i="3416"/>
  <c r="DN126" i="3416"/>
  <c r="DM126" i="3416"/>
  <c r="DL126" i="3416"/>
  <c r="DK126" i="3416"/>
  <c r="DJ126" i="3416"/>
  <c r="DI126" i="3416"/>
  <c r="DH126" i="3416"/>
  <c r="DG126" i="3416"/>
  <c r="DF126" i="3416"/>
  <c r="DE126" i="3416"/>
  <c r="DD126" i="3416"/>
  <c r="DC126" i="3416"/>
  <c r="DB126" i="3416"/>
  <c r="DA126" i="3416"/>
  <c r="CZ126" i="3416"/>
  <c r="CY126" i="3416"/>
  <c r="CX126" i="3416"/>
  <c r="CW126" i="3416"/>
  <c r="CV126" i="3416"/>
  <c r="CU126" i="3416"/>
  <c r="CT126" i="3416"/>
  <c r="CS126" i="3416"/>
  <c r="CR126" i="3416"/>
  <c r="CQ126" i="3416"/>
  <c r="CP126" i="3416"/>
  <c r="CO126" i="3416"/>
  <c r="CN126" i="3416"/>
  <c r="CM126" i="3416"/>
  <c r="CL126" i="3416"/>
  <c r="CK126" i="3416"/>
  <c r="CJ126" i="3416"/>
  <c r="CI126" i="3416"/>
  <c r="CH126" i="3416"/>
  <c r="CG126" i="3416"/>
  <c r="CF126" i="3416"/>
  <c r="CE126" i="3416"/>
  <c r="CD126" i="3416"/>
  <c r="CC126" i="3416"/>
  <c r="CB126" i="3416"/>
  <c r="CA126" i="3416"/>
  <c r="BZ126" i="3416"/>
  <c r="BY126" i="3416"/>
  <c r="BX126" i="3416"/>
  <c r="BW126" i="3416"/>
  <c r="BV126" i="3416"/>
  <c r="BU126" i="3416"/>
  <c r="BT126" i="3416"/>
  <c r="BS126" i="3416"/>
  <c r="BR126" i="3416"/>
  <c r="BQ126" i="3416"/>
  <c r="BP126" i="3416"/>
  <c r="BO126" i="3416"/>
  <c r="BN126" i="3416"/>
  <c r="BM126" i="3416"/>
  <c r="BL126" i="3416"/>
  <c r="BK126" i="3416"/>
  <c r="BJ126" i="3416"/>
  <c r="BI126" i="3416"/>
  <c r="BH126" i="3416"/>
  <c r="BG126" i="3416"/>
  <c r="BF126" i="3416"/>
  <c r="BE126" i="3416"/>
  <c r="BD126" i="3416"/>
  <c r="BC126" i="3416"/>
  <c r="BB126" i="3416"/>
  <c r="BA126" i="3416"/>
  <c r="AZ126" i="3416"/>
  <c r="AY126" i="3416"/>
  <c r="AX126" i="3416"/>
  <c r="AW126" i="3416"/>
  <c r="AV126" i="3416"/>
  <c r="AU126" i="3416"/>
  <c r="AT126" i="3416"/>
  <c r="AS126" i="3416"/>
  <c r="AR126" i="3416"/>
  <c r="AQ126" i="3416"/>
  <c r="AP126" i="3416"/>
  <c r="AO126" i="3416"/>
  <c r="AN126" i="3416"/>
  <c r="AM126" i="3416"/>
  <c r="AL126" i="3416"/>
  <c r="AK126" i="3416"/>
  <c r="AJ126" i="3416"/>
  <c r="AI126" i="3416"/>
  <c r="AH126" i="3416"/>
  <c r="AG126" i="3416"/>
  <c r="AF126" i="3416"/>
  <c r="AE126" i="3416"/>
  <c r="AD126" i="3416"/>
  <c r="AC126" i="3416"/>
  <c r="AB126" i="3416"/>
  <c r="AA126" i="3416"/>
  <c r="Z126" i="3416"/>
  <c r="Y126" i="3416"/>
  <c r="X126" i="3416"/>
  <c r="W126" i="3416"/>
  <c r="V126" i="3416"/>
  <c r="U126" i="3416"/>
  <c r="T126" i="3416"/>
  <c r="S126" i="3416"/>
  <c r="R126" i="3416"/>
  <c r="Q126" i="3416"/>
  <c r="P126" i="3416"/>
  <c r="O126" i="3416"/>
  <c r="N126" i="3416"/>
  <c r="M126" i="3416"/>
  <c r="L126" i="3416"/>
  <c r="K126" i="3416"/>
  <c r="J126" i="3416"/>
  <c r="I126" i="3416"/>
  <c r="H126" i="3416"/>
  <c r="G126" i="3416"/>
  <c r="F126" i="3416"/>
  <c r="E126" i="3416"/>
  <c r="D126" i="3416"/>
  <c r="C126" i="3416" a="1"/>
  <c r="C126" i="3416"/>
  <c r="A126" i="3416"/>
  <c r="EM125" i="3416"/>
  <c r="EL125" i="3416"/>
  <c r="EK125" i="3416"/>
  <c r="EJ125" i="3416"/>
  <c r="EI125" i="3416"/>
  <c r="EH125" i="3416"/>
  <c r="EG125" i="3416"/>
  <c r="EF125" i="3416"/>
  <c r="EE125" i="3416"/>
  <c r="ED125" i="3416"/>
  <c r="EC125" i="3416"/>
  <c r="EB125" i="3416"/>
  <c r="EA125" i="3416"/>
  <c r="DZ125" i="3416"/>
  <c r="DY125" i="3416"/>
  <c r="DX125" i="3416"/>
  <c r="DW125" i="3416"/>
  <c r="DV125" i="3416"/>
  <c r="DU125" i="3416"/>
  <c r="DT125" i="3416"/>
  <c r="DS125" i="3416"/>
  <c r="DR125" i="3416"/>
  <c r="DQ125" i="3416"/>
  <c r="DP125" i="3416"/>
  <c r="DO125" i="3416"/>
  <c r="DN125" i="3416"/>
  <c r="DM125" i="3416"/>
  <c r="DL125" i="3416"/>
  <c r="DK125" i="3416"/>
  <c r="DJ125" i="3416"/>
  <c r="DI125" i="3416"/>
  <c r="DH125" i="3416"/>
  <c r="DG125" i="3416"/>
  <c r="DF125" i="3416"/>
  <c r="DE125" i="3416"/>
  <c r="DD125" i="3416"/>
  <c r="DC125" i="3416"/>
  <c r="DB125" i="3416"/>
  <c r="DA125" i="3416"/>
  <c r="CZ125" i="3416"/>
  <c r="CY125" i="3416"/>
  <c r="CX125" i="3416"/>
  <c r="CW125" i="3416"/>
  <c r="CV125" i="3416"/>
  <c r="CU125" i="3416"/>
  <c r="CT125" i="3416"/>
  <c r="CS125" i="3416"/>
  <c r="CR125" i="3416"/>
  <c r="CQ125" i="3416"/>
  <c r="CP125" i="3416"/>
  <c r="CO125" i="3416"/>
  <c r="CN125" i="3416"/>
  <c r="CM125" i="3416"/>
  <c r="CL125" i="3416"/>
  <c r="CK125" i="3416"/>
  <c r="CJ125" i="3416"/>
  <c r="CI125" i="3416"/>
  <c r="CH125" i="3416"/>
  <c r="CG125" i="3416"/>
  <c r="CF125" i="3416"/>
  <c r="CE125" i="3416"/>
  <c r="CD125" i="3416"/>
  <c r="CC125" i="3416"/>
  <c r="CB125" i="3416"/>
  <c r="CA125" i="3416"/>
  <c r="BZ125" i="3416"/>
  <c r="BY125" i="3416"/>
  <c r="BX125" i="3416"/>
  <c r="BW125" i="3416"/>
  <c r="BV125" i="3416"/>
  <c r="BU125" i="3416"/>
  <c r="BT125" i="3416"/>
  <c r="BS125" i="3416"/>
  <c r="BR125" i="3416"/>
  <c r="BQ125" i="3416"/>
  <c r="BP125" i="3416"/>
  <c r="BO125" i="3416"/>
  <c r="BN125" i="3416"/>
  <c r="BM125" i="3416"/>
  <c r="BL125" i="3416"/>
  <c r="BK125" i="3416"/>
  <c r="BJ125" i="3416"/>
  <c r="BI125" i="3416"/>
  <c r="BH125" i="3416"/>
  <c r="BG125" i="3416"/>
  <c r="BF125" i="3416"/>
  <c r="BE125" i="3416"/>
  <c r="BD125" i="3416"/>
  <c r="BC125" i="3416"/>
  <c r="BB125" i="3416"/>
  <c r="BA125" i="3416"/>
  <c r="AZ125" i="3416"/>
  <c r="AY125" i="3416"/>
  <c r="AX125" i="3416"/>
  <c r="AW125" i="3416"/>
  <c r="AV125" i="3416"/>
  <c r="AU125" i="3416"/>
  <c r="AT125" i="3416"/>
  <c r="AS125" i="3416"/>
  <c r="AR125" i="3416"/>
  <c r="AQ125" i="3416"/>
  <c r="AP125" i="3416"/>
  <c r="AO125" i="3416"/>
  <c r="AN125" i="3416"/>
  <c r="AM125" i="3416"/>
  <c r="AL125" i="3416"/>
  <c r="AK125" i="3416"/>
  <c r="AJ125" i="3416"/>
  <c r="AI125" i="3416"/>
  <c r="AH125" i="3416"/>
  <c r="AG125" i="3416"/>
  <c r="AF125" i="3416"/>
  <c r="AE125" i="3416"/>
  <c r="AD125" i="3416"/>
  <c r="AC125" i="3416"/>
  <c r="AB125" i="3416"/>
  <c r="AA125" i="3416"/>
  <c r="Z125" i="3416"/>
  <c r="Y125" i="3416"/>
  <c r="X125" i="3416"/>
  <c r="W125" i="3416"/>
  <c r="V125" i="3416"/>
  <c r="U125" i="3416"/>
  <c r="T125" i="3416"/>
  <c r="S125" i="3416"/>
  <c r="R125" i="3416"/>
  <c r="Q125" i="3416"/>
  <c r="P125" i="3416"/>
  <c r="O125" i="3416"/>
  <c r="N125" i="3416"/>
  <c r="M125" i="3416"/>
  <c r="L125" i="3416"/>
  <c r="K125" i="3416"/>
  <c r="J125" i="3416"/>
  <c r="I125" i="3416"/>
  <c r="H125" i="3416"/>
  <c r="G125" i="3416"/>
  <c r="F125" i="3416"/>
  <c r="E125" i="3416"/>
  <c r="D125" i="3416"/>
  <c r="C125" i="3416" a="1"/>
  <c r="C125" i="3416"/>
  <c r="A125" i="3416"/>
  <c r="EM124" i="3416"/>
  <c r="EL124" i="3416"/>
  <c r="EK124" i="3416"/>
  <c r="EJ124" i="3416"/>
  <c r="EI124" i="3416"/>
  <c r="EH124" i="3416"/>
  <c r="EG124" i="3416"/>
  <c r="EF124" i="3416"/>
  <c r="EE124" i="3416"/>
  <c r="ED124" i="3416"/>
  <c r="EC124" i="3416"/>
  <c r="EB124" i="3416"/>
  <c r="EA124" i="3416"/>
  <c r="DZ124" i="3416"/>
  <c r="DY124" i="3416"/>
  <c r="DX124" i="3416"/>
  <c r="DW124" i="3416"/>
  <c r="DV124" i="3416"/>
  <c r="DU124" i="3416"/>
  <c r="DT124" i="3416"/>
  <c r="DS124" i="3416"/>
  <c r="DR124" i="3416"/>
  <c r="DQ124" i="3416"/>
  <c r="DP124" i="3416"/>
  <c r="DO124" i="3416"/>
  <c r="DN124" i="3416"/>
  <c r="DM124" i="3416"/>
  <c r="DL124" i="3416"/>
  <c r="DK124" i="3416"/>
  <c r="DJ124" i="3416"/>
  <c r="DI124" i="3416"/>
  <c r="DH124" i="3416"/>
  <c r="DG124" i="3416"/>
  <c r="DF124" i="3416"/>
  <c r="DE124" i="3416"/>
  <c r="DD124" i="3416"/>
  <c r="DC124" i="3416"/>
  <c r="DB124" i="3416"/>
  <c r="DA124" i="3416"/>
  <c r="CZ124" i="3416"/>
  <c r="CY124" i="3416"/>
  <c r="CX124" i="3416"/>
  <c r="CW124" i="3416"/>
  <c r="CV124" i="3416"/>
  <c r="CU124" i="3416"/>
  <c r="CT124" i="3416"/>
  <c r="CS124" i="3416"/>
  <c r="CR124" i="3416"/>
  <c r="CQ124" i="3416"/>
  <c r="CP124" i="3416"/>
  <c r="CO124" i="3416"/>
  <c r="CN124" i="3416"/>
  <c r="CM124" i="3416"/>
  <c r="CL124" i="3416"/>
  <c r="CK124" i="3416"/>
  <c r="CJ124" i="3416"/>
  <c r="CI124" i="3416"/>
  <c r="CH124" i="3416"/>
  <c r="CG124" i="3416"/>
  <c r="CF124" i="3416"/>
  <c r="CE124" i="3416"/>
  <c r="CD124" i="3416"/>
  <c r="CC124" i="3416"/>
  <c r="CB124" i="3416"/>
  <c r="CA124" i="3416"/>
  <c r="BZ124" i="3416"/>
  <c r="BY124" i="3416"/>
  <c r="BX124" i="3416"/>
  <c r="BW124" i="3416"/>
  <c r="BV124" i="3416"/>
  <c r="BU124" i="3416"/>
  <c r="BT124" i="3416"/>
  <c r="BS124" i="3416"/>
  <c r="BR124" i="3416"/>
  <c r="BQ124" i="3416"/>
  <c r="BP124" i="3416"/>
  <c r="BO124" i="3416"/>
  <c r="BN124" i="3416"/>
  <c r="BM124" i="3416"/>
  <c r="BL124" i="3416"/>
  <c r="BK124" i="3416"/>
  <c r="BJ124" i="3416"/>
  <c r="BI124" i="3416"/>
  <c r="BH124" i="3416"/>
  <c r="BG124" i="3416"/>
  <c r="BF124" i="3416"/>
  <c r="BE124" i="3416"/>
  <c r="BD124" i="3416"/>
  <c r="BC124" i="3416"/>
  <c r="BB124" i="3416"/>
  <c r="BA124" i="3416"/>
  <c r="AZ124" i="3416"/>
  <c r="AY124" i="3416"/>
  <c r="AX124" i="3416"/>
  <c r="AW124" i="3416"/>
  <c r="AV124" i="3416"/>
  <c r="AU124" i="3416"/>
  <c r="AT124" i="3416"/>
  <c r="AS124" i="3416"/>
  <c r="AR124" i="3416"/>
  <c r="AQ124" i="3416"/>
  <c r="AP124" i="3416"/>
  <c r="AO124" i="3416"/>
  <c r="AN124" i="3416"/>
  <c r="AM124" i="3416"/>
  <c r="AL124" i="3416"/>
  <c r="AK124" i="3416"/>
  <c r="AJ124" i="3416"/>
  <c r="AI124" i="3416"/>
  <c r="AH124" i="3416"/>
  <c r="AG124" i="3416"/>
  <c r="AF124" i="3416"/>
  <c r="AE124" i="3416"/>
  <c r="AD124" i="3416"/>
  <c r="AC124" i="3416"/>
  <c r="AB124" i="3416"/>
  <c r="AA124" i="3416"/>
  <c r="Z124" i="3416"/>
  <c r="Y124" i="3416"/>
  <c r="X124" i="3416"/>
  <c r="W124" i="3416"/>
  <c r="V124" i="3416"/>
  <c r="U124" i="3416"/>
  <c r="T124" i="3416"/>
  <c r="S124" i="3416"/>
  <c r="R124" i="3416"/>
  <c r="Q124" i="3416"/>
  <c r="P124" i="3416"/>
  <c r="O124" i="3416"/>
  <c r="N124" i="3416"/>
  <c r="M124" i="3416"/>
  <c r="L124" i="3416"/>
  <c r="K124" i="3416"/>
  <c r="J124" i="3416"/>
  <c r="I124" i="3416"/>
  <c r="H124" i="3416"/>
  <c r="G124" i="3416"/>
  <c r="F124" i="3416"/>
  <c r="E124" i="3416"/>
  <c r="D124" i="3416"/>
  <c r="C124" i="3416" a="1"/>
  <c r="C124" i="3416"/>
  <c r="A124" i="3416"/>
  <c r="EM123" i="3416"/>
  <c r="EL123" i="3416"/>
  <c r="EK123" i="3416"/>
  <c r="EJ123" i="3416"/>
  <c r="EI123" i="3416"/>
  <c r="EH123" i="3416"/>
  <c r="EG123" i="3416"/>
  <c r="EF123" i="3416"/>
  <c r="EE123" i="3416"/>
  <c r="ED123" i="3416"/>
  <c r="EC123" i="3416"/>
  <c r="EB123" i="3416"/>
  <c r="EA123" i="3416"/>
  <c r="DZ123" i="3416"/>
  <c r="DY123" i="3416"/>
  <c r="DX123" i="3416"/>
  <c r="DW123" i="3416"/>
  <c r="DV123" i="3416"/>
  <c r="DU123" i="3416"/>
  <c r="DT123" i="3416"/>
  <c r="DS123" i="3416"/>
  <c r="DR123" i="3416"/>
  <c r="DQ123" i="3416"/>
  <c r="DP123" i="3416"/>
  <c r="DO123" i="3416"/>
  <c r="DN123" i="3416"/>
  <c r="DM123" i="3416"/>
  <c r="DL123" i="3416"/>
  <c r="DK123" i="3416"/>
  <c r="DJ123" i="3416"/>
  <c r="DI123" i="3416"/>
  <c r="DH123" i="3416"/>
  <c r="DG123" i="3416"/>
  <c r="DF123" i="3416"/>
  <c r="DE123" i="3416"/>
  <c r="DD123" i="3416"/>
  <c r="DC123" i="3416"/>
  <c r="DB123" i="3416"/>
  <c r="DA123" i="3416"/>
  <c r="CZ123" i="3416"/>
  <c r="CY123" i="3416"/>
  <c r="CX123" i="3416"/>
  <c r="CW123" i="3416"/>
  <c r="CV123" i="3416"/>
  <c r="CU123" i="3416"/>
  <c r="CT123" i="3416"/>
  <c r="CS123" i="3416"/>
  <c r="CR123" i="3416"/>
  <c r="CQ123" i="3416"/>
  <c r="CP123" i="3416"/>
  <c r="CO123" i="3416"/>
  <c r="CN123" i="3416"/>
  <c r="CM123" i="3416"/>
  <c r="CL123" i="3416"/>
  <c r="CK123" i="3416"/>
  <c r="CJ123" i="3416"/>
  <c r="CI123" i="3416"/>
  <c r="CH123" i="3416"/>
  <c r="CG123" i="3416"/>
  <c r="CF123" i="3416"/>
  <c r="CE123" i="3416"/>
  <c r="CD123" i="3416"/>
  <c r="CC123" i="3416"/>
  <c r="CB123" i="3416"/>
  <c r="CA123" i="3416"/>
  <c r="BZ123" i="3416"/>
  <c r="BY123" i="3416"/>
  <c r="BX123" i="3416"/>
  <c r="BW123" i="3416"/>
  <c r="BV123" i="3416"/>
  <c r="BU123" i="3416"/>
  <c r="BT123" i="3416"/>
  <c r="BS123" i="3416"/>
  <c r="BR123" i="3416"/>
  <c r="BQ123" i="3416"/>
  <c r="BP123" i="3416"/>
  <c r="BO123" i="3416"/>
  <c r="BN123" i="3416"/>
  <c r="BM123" i="3416"/>
  <c r="BL123" i="3416"/>
  <c r="BK123" i="3416"/>
  <c r="BJ123" i="3416"/>
  <c r="BI123" i="3416"/>
  <c r="BH123" i="3416"/>
  <c r="BG123" i="3416"/>
  <c r="BF123" i="3416"/>
  <c r="BE123" i="3416"/>
  <c r="BD123" i="3416"/>
  <c r="BC123" i="3416"/>
  <c r="BB123" i="3416"/>
  <c r="BA123" i="3416"/>
  <c r="AZ123" i="3416"/>
  <c r="AY123" i="3416"/>
  <c r="AX123" i="3416"/>
  <c r="AW123" i="3416"/>
  <c r="AV123" i="3416"/>
  <c r="AU123" i="3416"/>
  <c r="AT123" i="3416"/>
  <c r="AS123" i="3416"/>
  <c r="AR123" i="3416"/>
  <c r="AQ123" i="3416"/>
  <c r="AP123" i="3416"/>
  <c r="AO123" i="3416"/>
  <c r="AN123" i="3416"/>
  <c r="AM123" i="3416"/>
  <c r="AL123" i="3416"/>
  <c r="AK123" i="3416"/>
  <c r="AJ123" i="3416"/>
  <c r="AI123" i="3416"/>
  <c r="AH123" i="3416"/>
  <c r="AG123" i="3416"/>
  <c r="AF123" i="3416"/>
  <c r="AE123" i="3416"/>
  <c r="AD123" i="3416"/>
  <c r="AC123" i="3416"/>
  <c r="AB123" i="3416"/>
  <c r="AA123" i="3416"/>
  <c r="Z123" i="3416"/>
  <c r="Y123" i="3416"/>
  <c r="X123" i="3416"/>
  <c r="W123" i="3416"/>
  <c r="V123" i="3416"/>
  <c r="U123" i="3416"/>
  <c r="T123" i="3416"/>
  <c r="S123" i="3416"/>
  <c r="R123" i="3416"/>
  <c r="Q123" i="3416"/>
  <c r="P123" i="3416"/>
  <c r="O123" i="3416"/>
  <c r="N123" i="3416"/>
  <c r="M123" i="3416"/>
  <c r="L123" i="3416"/>
  <c r="K123" i="3416"/>
  <c r="J123" i="3416"/>
  <c r="I123" i="3416"/>
  <c r="H123" i="3416"/>
  <c r="G123" i="3416"/>
  <c r="F123" i="3416"/>
  <c r="E123" i="3416"/>
  <c r="D123" i="3416"/>
  <c r="C123" i="3416" a="1"/>
  <c r="C123" i="3416"/>
  <c r="A123" i="3416"/>
  <c r="EM122" i="3416"/>
  <c r="EL122" i="3416"/>
  <c r="EK122" i="3416"/>
  <c r="EJ122" i="3416"/>
  <c r="EI122" i="3416"/>
  <c r="EH122" i="3416"/>
  <c r="EG122" i="3416"/>
  <c r="EF122" i="3416"/>
  <c r="EE122" i="3416"/>
  <c r="ED122" i="3416"/>
  <c r="EC122" i="3416"/>
  <c r="EB122" i="3416"/>
  <c r="EA122" i="3416"/>
  <c r="DZ122" i="3416"/>
  <c r="DY122" i="3416"/>
  <c r="DX122" i="3416"/>
  <c r="DW122" i="3416"/>
  <c r="DV122" i="3416"/>
  <c r="DU122" i="3416"/>
  <c r="DT122" i="3416"/>
  <c r="DS122" i="3416"/>
  <c r="DR122" i="3416"/>
  <c r="DQ122" i="3416"/>
  <c r="DP122" i="3416"/>
  <c r="DO122" i="3416"/>
  <c r="DN122" i="3416"/>
  <c r="DM122" i="3416"/>
  <c r="DL122" i="3416"/>
  <c r="DK122" i="3416"/>
  <c r="DJ122" i="3416"/>
  <c r="DI122" i="3416"/>
  <c r="DH122" i="3416"/>
  <c r="DG122" i="3416"/>
  <c r="DF122" i="3416"/>
  <c r="DE122" i="3416"/>
  <c r="DD122" i="3416"/>
  <c r="DC122" i="3416"/>
  <c r="DB122" i="3416"/>
  <c r="DA122" i="3416"/>
  <c r="CZ122" i="3416"/>
  <c r="CY122" i="3416"/>
  <c r="CX122" i="3416"/>
  <c r="CW122" i="3416"/>
  <c r="CV122" i="3416"/>
  <c r="CU122" i="3416"/>
  <c r="CT122" i="3416"/>
  <c r="CS122" i="3416"/>
  <c r="CR122" i="3416"/>
  <c r="CQ122" i="3416"/>
  <c r="CP122" i="3416"/>
  <c r="CO122" i="3416"/>
  <c r="CN122" i="3416"/>
  <c r="CM122" i="3416"/>
  <c r="CL122" i="3416"/>
  <c r="CK122" i="3416"/>
  <c r="CJ122" i="3416"/>
  <c r="CI122" i="3416"/>
  <c r="CH122" i="3416"/>
  <c r="CG122" i="3416"/>
  <c r="CF122" i="3416"/>
  <c r="CE122" i="3416"/>
  <c r="CD122" i="3416"/>
  <c r="CC122" i="3416"/>
  <c r="CB122" i="3416"/>
  <c r="CA122" i="3416"/>
  <c r="BZ122" i="3416"/>
  <c r="BY122" i="3416"/>
  <c r="BX122" i="3416"/>
  <c r="BW122" i="3416"/>
  <c r="BV122" i="3416"/>
  <c r="BU122" i="3416"/>
  <c r="BT122" i="3416"/>
  <c r="BS122" i="3416"/>
  <c r="BR122" i="3416"/>
  <c r="BQ122" i="3416"/>
  <c r="BP122" i="3416"/>
  <c r="BO122" i="3416"/>
  <c r="BN122" i="3416"/>
  <c r="BM122" i="3416"/>
  <c r="BL122" i="3416"/>
  <c r="BK122" i="3416"/>
  <c r="BJ122" i="3416"/>
  <c r="BI122" i="3416"/>
  <c r="BH122" i="3416"/>
  <c r="BG122" i="3416"/>
  <c r="BF122" i="3416"/>
  <c r="BE122" i="3416"/>
  <c r="BD122" i="3416"/>
  <c r="BC122" i="3416"/>
  <c r="BB122" i="3416"/>
  <c r="BA122" i="3416"/>
  <c r="AZ122" i="3416"/>
  <c r="AY122" i="3416"/>
  <c r="AX122" i="3416"/>
  <c r="AW122" i="3416"/>
  <c r="AV122" i="3416"/>
  <c r="AU122" i="3416"/>
  <c r="AT122" i="3416"/>
  <c r="AS122" i="3416"/>
  <c r="AR122" i="3416"/>
  <c r="AQ122" i="3416"/>
  <c r="AP122" i="3416"/>
  <c r="AO122" i="3416"/>
  <c r="AN122" i="3416"/>
  <c r="AM122" i="3416"/>
  <c r="AL122" i="3416"/>
  <c r="AK122" i="3416"/>
  <c r="AJ122" i="3416"/>
  <c r="AI122" i="3416"/>
  <c r="AH122" i="3416"/>
  <c r="AG122" i="3416"/>
  <c r="AF122" i="3416"/>
  <c r="AE122" i="3416"/>
  <c r="AD122" i="3416"/>
  <c r="AC122" i="3416"/>
  <c r="AB122" i="3416"/>
  <c r="AA122" i="3416"/>
  <c r="Z122" i="3416"/>
  <c r="Y122" i="3416"/>
  <c r="X122" i="3416"/>
  <c r="W122" i="3416"/>
  <c r="V122" i="3416"/>
  <c r="U122" i="3416"/>
  <c r="T122" i="3416"/>
  <c r="S122" i="3416"/>
  <c r="R122" i="3416"/>
  <c r="Q122" i="3416"/>
  <c r="P122" i="3416"/>
  <c r="O122" i="3416"/>
  <c r="N122" i="3416"/>
  <c r="M122" i="3416"/>
  <c r="L122" i="3416"/>
  <c r="K122" i="3416"/>
  <c r="J122" i="3416"/>
  <c r="I122" i="3416"/>
  <c r="H122" i="3416"/>
  <c r="G122" i="3416"/>
  <c r="F122" i="3416"/>
  <c r="E122" i="3416"/>
  <c r="D122" i="3416"/>
  <c r="C122" i="3416" a="1"/>
  <c r="C122" i="3416"/>
  <c r="A122" i="3416"/>
  <c r="EM121" i="3416"/>
  <c r="EL121" i="3416"/>
  <c r="EK121" i="3416"/>
  <c r="EJ121" i="3416"/>
  <c r="EI121" i="3416"/>
  <c r="EH121" i="3416"/>
  <c r="EG121" i="3416"/>
  <c r="EF121" i="3416"/>
  <c r="EE121" i="3416"/>
  <c r="ED121" i="3416"/>
  <c r="EC121" i="3416"/>
  <c r="EB121" i="3416"/>
  <c r="EA121" i="3416"/>
  <c r="DZ121" i="3416"/>
  <c r="DY121" i="3416"/>
  <c r="DX121" i="3416"/>
  <c r="DW121" i="3416"/>
  <c r="DV121" i="3416"/>
  <c r="DU121" i="3416"/>
  <c r="DT121" i="3416"/>
  <c r="DS121" i="3416"/>
  <c r="DR121" i="3416"/>
  <c r="DQ121" i="3416"/>
  <c r="DP121" i="3416"/>
  <c r="DO121" i="3416"/>
  <c r="DN121" i="3416"/>
  <c r="DM121" i="3416"/>
  <c r="DL121" i="3416"/>
  <c r="DK121" i="3416"/>
  <c r="DJ121" i="3416"/>
  <c r="DI121" i="3416"/>
  <c r="DH121" i="3416"/>
  <c r="DG121" i="3416"/>
  <c r="DF121" i="3416"/>
  <c r="DE121" i="3416"/>
  <c r="DD121" i="3416"/>
  <c r="DC121" i="3416"/>
  <c r="DB121" i="3416"/>
  <c r="DA121" i="3416"/>
  <c r="CZ121" i="3416"/>
  <c r="CY121" i="3416"/>
  <c r="CX121" i="3416"/>
  <c r="CW121" i="3416"/>
  <c r="CV121" i="3416"/>
  <c r="CU121" i="3416"/>
  <c r="CT121" i="3416"/>
  <c r="CS121" i="3416"/>
  <c r="CR121" i="3416"/>
  <c r="CQ121" i="3416"/>
  <c r="CP121" i="3416"/>
  <c r="CO121" i="3416"/>
  <c r="CN121" i="3416"/>
  <c r="CM121" i="3416"/>
  <c r="CL121" i="3416"/>
  <c r="CK121" i="3416"/>
  <c r="CJ121" i="3416"/>
  <c r="CI121" i="3416"/>
  <c r="CH121" i="3416"/>
  <c r="CG121" i="3416"/>
  <c r="CF121" i="3416"/>
  <c r="CE121" i="3416"/>
  <c r="CD121" i="3416"/>
  <c r="CC121" i="3416"/>
  <c r="CB121" i="3416"/>
  <c r="CA121" i="3416"/>
  <c r="BZ121" i="3416"/>
  <c r="BY121" i="3416"/>
  <c r="BX121" i="3416"/>
  <c r="BW121" i="3416"/>
  <c r="BV121" i="3416"/>
  <c r="BU121" i="3416"/>
  <c r="BT121" i="3416"/>
  <c r="BS121" i="3416"/>
  <c r="BR121" i="3416"/>
  <c r="BQ121" i="3416"/>
  <c r="BP121" i="3416"/>
  <c r="BO121" i="3416"/>
  <c r="BN121" i="3416"/>
  <c r="BM121" i="3416"/>
  <c r="BL121" i="3416"/>
  <c r="BK121" i="3416"/>
  <c r="BJ121" i="3416"/>
  <c r="BI121" i="3416"/>
  <c r="BH121" i="3416"/>
  <c r="BG121" i="3416"/>
  <c r="BF121" i="3416"/>
  <c r="BE121" i="3416"/>
  <c r="BD121" i="3416"/>
  <c r="BC121" i="3416"/>
  <c r="BB121" i="3416"/>
  <c r="BA121" i="3416"/>
  <c r="AZ121" i="3416"/>
  <c r="AY121" i="3416"/>
  <c r="AX121" i="3416"/>
  <c r="AW121" i="3416"/>
  <c r="AV121" i="3416"/>
  <c r="AU121" i="3416"/>
  <c r="AT121" i="3416"/>
  <c r="AS121" i="3416"/>
  <c r="AR121" i="3416"/>
  <c r="AQ121" i="3416"/>
  <c r="AP121" i="3416"/>
  <c r="AO121" i="3416"/>
  <c r="AN121" i="3416"/>
  <c r="AM121" i="3416"/>
  <c r="AL121" i="3416"/>
  <c r="AK121" i="3416"/>
  <c r="AJ121" i="3416"/>
  <c r="AI121" i="3416"/>
  <c r="AH121" i="3416"/>
  <c r="AG121" i="3416"/>
  <c r="AF121" i="3416"/>
  <c r="AE121" i="3416"/>
  <c r="AD121" i="3416"/>
  <c r="AC121" i="3416"/>
  <c r="AB121" i="3416"/>
  <c r="AA121" i="3416"/>
  <c r="Z121" i="3416"/>
  <c r="Y121" i="3416"/>
  <c r="X121" i="3416"/>
  <c r="W121" i="3416"/>
  <c r="V121" i="3416"/>
  <c r="U121" i="3416"/>
  <c r="T121" i="3416"/>
  <c r="S121" i="3416"/>
  <c r="R121" i="3416"/>
  <c r="Q121" i="3416"/>
  <c r="P121" i="3416"/>
  <c r="O121" i="3416"/>
  <c r="N121" i="3416"/>
  <c r="M121" i="3416"/>
  <c r="L121" i="3416"/>
  <c r="K121" i="3416"/>
  <c r="J121" i="3416"/>
  <c r="I121" i="3416"/>
  <c r="H121" i="3416"/>
  <c r="G121" i="3416"/>
  <c r="F121" i="3416"/>
  <c r="E121" i="3416"/>
  <c r="D121" i="3416"/>
  <c r="C121" i="3416" a="1"/>
  <c r="C121" i="3416"/>
  <c r="A121" i="3416"/>
  <c r="EM120" i="3416"/>
  <c r="EL120" i="3416"/>
  <c r="EK120" i="3416"/>
  <c r="EJ120" i="3416"/>
  <c r="EI120" i="3416"/>
  <c r="EH120" i="3416"/>
  <c r="EG120" i="3416"/>
  <c r="EF120" i="3416"/>
  <c r="EE120" i="3416"/>
  <c r="ED120" i="3416"/>
  <c r="EC120" i="3416"/>
  <c r="EB120" i="3416"/>
  <c r="EA120" i="3416"/>
  <c r="DZ120" i="3416"/>
  <c r="DY120" i="3416"/>
  <c r="DX120" i="3416"/>
  <c r="DW120" i="3416"/>
  <c r="DV120" i="3416"/>
  <c r="DU120" i="3416"/>
  <c r="DT120" i="3416"/>
  <c r="DS120" i="3416"/>
  <c r="DR120" i="3416"/>
  <c r="DQ120" i="3416"/>
  <c r="DP120" i="3416"/>
  <c r="DO120" i="3416"/>
  <c r="DN120" i="3416"/>
  <c r="DM120" i="3416"/>
  <c r="DL120" i="3416"/>
  <c r="DK120" i="3416"/>
  <c r="DJ120" i="3416"/>
  <c r="DI120" i="3416"/>
  <c r="DH120" i="3416"/>
  <c r="DG120" i="3416"/>
  <c r="DF120" i="3416"/>
  <c r="DE120" i="3416"/>
  <c r="DD120" i="3416"/>
  <c r="DC120" i="3416"/>
  <c r="DB120" i="3416"/>
  <c r="DA120" i="3416"/>
  <c r="CZ120" i="3416"/>
  <c r="CY120" i="3416"/>
  <c r="CX120" i="3416"/>
  <c r="CW120" i="3416"/>
  <c r="CV120" i="3416"/>
  <c r="CU120" i="3416"/>
  <c r="CT120" i="3416"/>
  <c r="CS120" i="3416"/>
  <c r="CR120" i="3416"/>
  <c r="CQ120" i="3416"/>
  <c r="CP120" i="3416"/>
  <c r="CO120" i="3416"/>
  <c r="CN120" i="3416"/>
  <c r="CM120" i="3416"/>
  <c r="CL120" i="3416"/>
  <c r="CK120" i="3416"/>
  <c r="CJ120" i="3416"/>
  <c r="CI120" i="3416"/>
  <c r="CH120" i="3416"/>
  <c r="CG120" i="3416"/>
  <c r="CF120" i="3416"/>
  <c r="CE120" i="3416"/>
  <c r="CD120" i="3416"/>
  <c r="CC120" i="3416"/>
  <c r="CB120" i="3416"/>
  <c r="CA120" i="3416"/>
  <c r="BZ120" i="3416"/>
  <c r="BY120" i="3416"/>
  <c r="BX120" i="3416"/>
  <c r="BW120" i="3416"/>
  <c r="BV120" i="3416"/>
  <c r="BU120" i="3416"/>
  <c r="BT120" i="3416"/>
  <c r="BS120" i="3416"/>
  <c r="BR120" i="3416"/>
  <c r="BQ120" i="3416"/>
  <c r="BP120" i="3416"/>
  <c r="BO120" i="3416"/>
  <c r="BN120" i="3416"/>
  <c r="BM120" i="3416"/>
  <c r="BL120" i="3416"/>
  <c r="BK120" i="3416"/>
  <c r="BJ120" i="3416"/>
  <c r="BI120" i="3416"/>
  <c r="BH120" i="3416"/>
  <c r="BG120" i="3416"/>
  <c r="BF120" i="3416"/>
  <c r="BE120" i="3416"/>
  <c r="BD120" i="3416"/>
  <c r="BC120" i="3416"/>
  <c r="BB120" i="3416"/>
  <c r="BA120" i="3416"/>
  <c r="AZ120" i="3416"/>
  <c r="AY120" i="3416"/>
  <c r="AX120" i="3416"/>
  <c r="AW120" i="3416"/>
  <c r="AV120" i="3416"/>
  <c r="AU120" i="3416"/>
  <c r="AT120" i="3416"/>
  <c r="AS120" i="3416"/>
  <c r="AR120" i="3416"/>
  <c r="AQ120" i="3416"/>
  <c r="AP120" i="3416"/>
  <c r="AO120" i="3416"/>
  <c r="AN120" i="3416"/>
  <c r="AM120" i="3416"/>
  <c r="AL120" i="3416"/>
  <c r="AK120" i="3416"/>
  <c r="AJ120" i="3416"/>
  <c r="AI120" i="3416"/>
  <c r="AH120" i="3416"/>
  <c r="AG120" i="3416"/>
  <c r="AF120" i="3416"/>
  <c r="AE120" i="3416"/>
  <c r="AD120" i="3416"/>
  <c r="AC120" i="3416"/>
  <c r="AB120" i="3416"/>
  <c r="AA120" i="3416"/>
  <c r="Z120" i="3416"/>
  <c r="Y120" i="3416"/>
  <c r="X120" i="3416"/>
  <c r="W120" i="3416"/>
  <c r="V120" i="3416"/>
  <c r="U120" i="3416"/>
  <c r="T120" i="3416"/>
  <c r="S120" i="3416"/>
  <c r="R120" i="3416"/>
  <c r="Q120" i="3416"/>
  <c r="P120" i="3416"/>
  <c r="O120" i="3416"/>
  <c r="N120" i="3416"/>
  <c r="M120" i="3416"/>
  <c r="L120" i="3416"/>
  <c r="K120" i="3416"/>
  <c r="J120" i="3416"/>
  <c r="I120" i="3416"/>
  <c r="H120" i="3416"/>
  <c r="G120" i="3416"/>
  <c r="F120" i="3416"/>
  <c r="E120" i="3416"/>
  <c r="D120" i="3416"/>
  <c r="C120" i="3416" a="1"/>
  <c r="C120" i="3416"/>
  <c r="A120" i="3416"/>
  <c r="EM119" i="3416"/>
  <c r="EL119" i="3416"/>
  <c r="EK119" i="3416"/>
  <c r="EJ119" i="3416"/>
  <c r="EI119" i="3416"/>
  <c r="EH119" i="3416"/>
  <c r="EG119" i="3416"/>
  <c r="EF119" i="3416"/>
  <c r="EE119" i="3416"/>
  <c r="ED119" i="3416"/>
  <c r="EC119" i="3416"/>
  <c r="EB119" i="3416"/>
  <c r="EA119" i="3416"/>
  <c r="DZ119" i="3416"/>
  <c r="DY119" i="3416"/>
  <c r="DX119" i="3416"/>
  <c r="DW119" i="3416"/>
  <c r="DV119" i="3416"/>
  <c r="DU119" i="3416"/>
  <c r="DT119" i="3416"/>
  <c r="DS119" i="3416"/>
  <c r="DR119" i="3416"/>
  <c r="DQ119" i="3416"/>
  <c r="DP119" i="3416"/>
  <c r="DO119" i="3416"/>
  <c r="DN119" i="3416"/>
  <c r="DM119" i="3416"/>
  <c r="DL119" i="3416"/>
  <c r="DK119" i="3416"/>
  <c r="DJ119" i="3416"/>
  <c r="DI119" i="3416"/>
  <c r="DH119" i="3416"/>
  <c r="DG119" i="3416"/>
  <c r="DF119" i="3416"/>
  <c r="DE119" i="3416"/>
  <c r="DD119" i="3416"/>
  <c r="DC119" i="3416"/>
  <c r="DB119" i="3416"/>
  <c r="DA119" i="3416"/>
  <c r="CZ119" i="3416"/>
  <c r="CY119" i="3416"/>
  <c r="CX119" i="3416"/>
  <c r="CW119" i="3416"/>
  <c r="CV119" i="3416"/>
  <c r="CU119" i="3416"/>
  <c r="CT119" i="3416"/>
  <c r="CS119" i="3416"/>
  <c r="CR119" i="3416"/>
  <c r="CQ119" i="3416"/>
  <c r="CP119" i="3416"/>
  <c r="CO119" i="3416"/>
  <c r="CN119" i="3416"/>
  <c r="CM119" i="3416"/>
  <c r="CL119" i="3416"/>
  <c r="CK119" i="3416"/>
  <c r="CJ119" i="3416"/>
  <c r="CI119" i="3416"/>
  <c r="CH119" i="3416"/>
  <c r="CG119" i="3416"/>
  <c r="CF119" i="3416"/>
  <c r="CE119" i="3416"/>
  <c r="CD119" i="3416"/>
  <c r="CC119" i="3416"/>
  <c r="CB119" i="3416"/>
  <c r="CA119" i="3416"/>
  <c r="BZ119" i="3416"/>
  <c r="BY119" i="3416"/>
  <c r="BX119" i="3416"/>
  <c r="BW119" i="3416"/>
  <c r="BV119" i="3416"/>
  <c r="BU119" i="3416"/>
  <c r="BT119" i="3416"/>
  <c r="BS119" i="3416"/>
  <c r="BR119" i="3416"/>
  <c r="BQ119" i="3416"/>
  <c r="BP119" i="3416"/>
  <c r="BO119" i="3416"/>
  <c r="BN119" i="3416"/>
  <c r="BM119" i="3416"/>
  <c r="BL119" i="3416"/>
  <c r="BK119" i="3416"/>
  <c r="BJ119" i="3416"/>
  <c r="BI119" i="3416"/>
  <c r="BH119" i="3416"/>
  <c r="BG119" i="3416"/>
  <c r="BF119" i="3416"/>
  <c r="BE119" i="3416"/>
  <c r="BD119" i="3416"/>
  <c r="BC119" i="3416"/>
  <c r="BB119" i="3416"/>
  <c r="BA119" i="3416"/>
  <c r="AZ119" i="3416"/>
  <c r="AY119" i="3416"/>
  <c r="AX119" i="3416"/>
  <c r="AW119" i="3416"/>
  <c r="AV119" i="3416"/>
  <c r="AU119" i="3416"/>
  <c r="AT119" i="3416"/>
  <c r="AS119" i="3416"/>
  <c r="AR119" i="3416"/>
  <c r="AQ119" i="3416"/>
  <c r="AP119" i="3416"/>
  <c r="AO119" i="3416"/>
  <c r="AN119" i="3416"/>
  <c r="AM119" i="3416"/>
  <c r="AL119" i="3416"/>
  <c r="AK119" i="3416"/>
  <c r="AJ119" i="3416"/>
  <c r="AI119" i="3416"/>
  <c r="AH119" i="3416"/>
  <c r="AG119" i="3416"/>
  <c r="AF119" i="3416"/>
  <c r="AE119" i="3416"/>
  <c r="AD119" i="3416"/>
  <c r="AC119" i="3416"/>
  <c r="AB119" i="3416"/>
  <c r="AA119" i="3416"/>
  <c r="Z119" i="3416"/>
  <c r="Y119" i="3416"/>
  <c r="X119" i="3416"/>
  <c r="W119" i="3416"/>
  <c r="V119" i="3416"/>
  <c r="U119" i="3416"/>
  <c r="T119" i="3416"/>
  <c r="S119" i="3416"/>
  <c r="R119" i="3416"/>
  <c r="Q119" i="3416"/>
  <c r="P119" i="3416"/>
  <c r="O119" i="3416"/>
  <c r="N119" i="3416"/>
  <c r="M119" i="3416"/>
  <c r="L119" i="3416"/>
  <c r="K119" i="3416"/>
  <c r="J119" i="3416"/>
  <c r="I119" i="3416"/>
  <c r="H119" i="3416"/>
  <c r="G119" i="3416"/>
  <c r="F119" i="3416"/>
  <c r="E119" i="3416"/>
  <c r="D119" i="3416"/>
  <c r="C119" i="3416" a="1"/>
  <c r="C119" i="3416"/>
  <c r="A119" i="3416"/>
  <c r="EM118" i="3416"/>
  <c r="EL118" i="3416"/>
  <c r="EK118" i="3416"/>
  <c r="EJ118" i="3416"/>
  <c r="EI118" i="3416"/>
  <c r="EH118" i="3416"/>
  <c r="EG118" i="3416"/>
  <c r="EF118" i="3416"/>
  <c r="EE118" i="3416"/>
  <c r="ED118" i="3416"/>
  <c r="EC118" i="3416"/>
  <c r="EB118" i="3416"/>
  <c r="EA118" i="3416"/>
  <c r="DZ118" i="3416"/>
  <c r="DY118" i="3416"/>
  <c r="DX118" i="3416"/>
  <c r="DW118" i="3416"/>
  <c r="DV118" i="3416"/>
  <c r="DU118" i="3416"/>
  <c r="DT118" i="3416"/>
  <c r="DS118" i="3416"/>
  <c r="DR118" i="3416"/>
  <c r="DQ118" i="3416"/>
  <c r="DP118" i="3416"/>
  <c r="DO118" i="3416"/>
  <c r="DN118" i="3416"/>
  <c r="DM118" i="3416"/>
  <c r="DL118" i="3416"/>
  <c r="DK118" i="3416"/>
  <c r="DJ118" i="3416"/>
  <c r="DI118" i="3416"/>
  <c r="DH118" i="3416"/>
  <c r="DG118" i="3416"/>
  <c r="DF118" i="3416"/>
  <c r="DE118" i="3416"/>
  <c r="DD118" i="3416"/>
  <c r="DC118" i="3416"/>
  <c r="DB118" i="3416"/>
  <c r="DA118" i="3416"/>
  <c r="CZ118" i="3416"/>
  <c r="CY118" i="3416"/>
  <c r="CX118" i="3416"/>
  <c r="CW118" i="3416"/>
  <c r="CV118" i="3416"/>
  <c r="CU118" i="3416"/>
  <c r="CT118" i="3416"/>
  <c r="CS118" i="3416"/>
  <c r="CR118" i="3416"/>
  <c r="CQ118" i="3416"/>
  <c r="CP118" i="3416"/>
  <c r="CO118" i="3416"/>
  <c r="CN118" i="3416"/>
  <c r="CM118" i="3416"/>
  <c r="CL118" i="3416"/>
  <c r="CK118" i="3416"/>
  <c r="CJ118" i="3416"/>
  <c r="CI118" i="3416"/>
  <c r="CH118" i="3416"/>
  <c r="CG118" i="3416"/>
  <c r="CF118" i="3416"/>
  <c r="CE118" i="3416"/>
  <c r="CD118" i="3416"/>
  <c r="CC118" i="3416"/>
  <c r="CB118" i="3416"/>
  <c r="CA118" i="3416"/>
  <c r="BZ118" i="3416"/>
  <c r="BY118" i="3416"/>
  <c r="BX118" i="3416"/>
  <c r="BW118" i="3416"/>
  <c r="BV118" i="3416"/>
  <c r="BU118" i="3416"/>
  <c r="BT118" i="3416"/>
  <c r="BS118" i="3416"/>
  <c r="BR118" i="3416"/>
  <c r="BQ118" i="3416"/>
  <c r="BP118" i="3416"/>
  <c r="BO118" i="3416"/>
  <c r="BN118" i="3416"/>
  <c r="BM118" i="3416"/>
  <c r="BL118" i="3416"/>
  <c r="BK118" i="3416"/>
  <c r="BJ118" i="3416"/>
  <c r="BI118" i="3416"/>
  <c r="BH118" i="3416"/>
  <c r="BG118" i="3416"/>
  <c r="BF118" i="3416"/>
  <c r="BE118" i="3416"/>
  <c r="BD118" i="3416"/>
  <c r="BC118" i="3416"/>
  <c r="BB118" i="3416"/>
  <c r="BA118" i="3416"/>
  <c r="AZ118" i="3416"/>
  <c r="AY118" i="3416"/>
  <c r="AX118" i="3416"/>
  <c r="AW118" i="3416"/>
  <c r="AV118" i="3416"/>
  <c r="AU118" i="3416"/>
  <c r="AT118" i="3416"/>
  <c r="AS118" i="3416"/>
  <c r="AR118" i="3416"/>
  <c r="AQ118" i="3416"/>
  <c r="AP118" i="3416"/>
  <c r="AO118" i="3416"/>
  <c r="AN118" i="3416"/>
  <c r="AM118" i="3416"/>
  <c r="AL118" i="3416"/>
  <c r="AK118" i="3416"/>
  <c r="AJ118" i="3416"/>
  <c r="AI118" i="3416"/>
  <c r="AH118" i="3416"/>
  <c r="AG118" i="3416"/>
  <c r="AF118" i="3416"/>
  <c r="AE118" i="3416"/>
  <c r="AD118" i="3416"/>
  <c r="AC118" i="3416"/>
  <c r="AB118" i="3416"/>
  <c r="AA118" i="3416"/>
  <c r="Z118" i="3416"/>
  <c r="Y118" i="3416"/>
  <c r="X118" i="3416"/>
  <c r="W118" i="3416"/>
  <c r="V118" i="3416"/>
  <c r="U118" i="3416"/>
  <c r="T118" i="3416"/>
  <c r="S118" i="3416"/>
  <c r="R118" i="3416"/>
  <c r="Q118" i="3416"/>
  <c r="P118" i="3416"/>
  <c r="O118" i="3416"/>
  <c r="N118" i="3416"/>
  <c r="M118" i="3416"/>
  <c r="L118" i="3416"/>
  <c r="K118" i="3416"/>
  <c r="J118" i="3416"/>
  <c r="I118" i="3416"/>
  <c r="H118" i="3416"/>
  <c r="G118" i="3416"/>
  <c r="F118" i="3416"/>
  <c r="E118" i="3416"/>
  <c r="D118" i="3416"/>
  <c r="C118" i="3416" a="1"/>
  <c r="C118" i="3416"/>
  <c r="A118" i="3416"/>
  <c r="EM117" i="3416"/>
  <c r="EL117" i="3416"/>
  <c r="EK117" i="3416"/>
  <c r="EJ117" i="3416"/>
  <c r="EI117" i="3416"/>
  <c r="EH117" i="3416"/>
  <c r="EG117" i="3416"/>
  <c r="EF117" i="3416"/>
  <c r="EE117" i="3416"/>
  <c r="ED117" i="3416"/>
  <c r="EC117" i="3416"/>
  <c r="EB117" i="3416"/>
  <c r="EA117" i="3416"/>
  <c r="DZ117" i="3416"/>
  <c r="DY117" i="3416"/>
  <c r="DX117" i="3416"/>
  <c r="DW117" i="3416"/>
  <c r="DV117" i="3416"/>
  <c r="DU117" i="3416"/>
  <c r="DT117" i="3416"/>
  <c r="DS117" i="3416"/>
  <c r="DR117" i="3416"/>
  <c r="DQ117" i="3416"/>
  <c r="DP117" i="3416"/>
  <c r="DO117" i="3416"/>
  <c r="DN117" i="3416"/>
  <c r="DM117" i="3416"/>
  <c r="DL117" i="3416"/>
  <c r="DK117" i="3416"/>
  <c r="DJ117" i="3416"/>
  <c r="DI117" i="3416"/>
  <c r="DH117" i="3416"/>
  <c r="DG117" i="3416"/>
  <c r="DF117" i="3416"/>
  <c r="DE117" i="3416"/>
  <c r="DD117" i="3416"/>
  <c r="DC117" i="3416"/>
  <c r="DB117" i="3416"/>
  <c r="DA117" i="3416"/>
  <c r="CZ117" i="3416"/>
  <c r="CY117" i="3416"/>
  <c r="CX117" i="3416"/>
  <c r="CW117" i="3416"/>
  <c r="CV117" i="3416"/>
  <c r="CU117" i="3416"/>
  <c r="CT117" i="3416"/>
  <c r="CS117" i="3416"/>
  <c r="CR117" i="3416"/>
  <c r="CQ117" i="3416"/>
  <c r="CP117" i="3416"/>
  <c r="CO117" i="3416"/>
  <c r="CN117" i="3416"/>
  <c r="CM117" i="3416"/>
  <c r="CL117" i="3416"/>
  <c r="CK117" i="3416"/>
  <c r="CJ117" i="3416"/>
  <c r="CI117" i="3416"/>
  <c r="CH117" i="3416"/>
  <c r="CG117" i="3416"/>
  <c r="CF117" i="3416"/>
  <c r="CE117" i="3416"/>
  <c r="CD117" i="3416"/>
  <c r="CC117" i="3416"/>
  <c r="CB117" i="3416"/>
  <c r="CA117" i="3416"/>
  <c r="BZ117" i="3416"/>
  <c r="BY117" i="3416"/>
  <c r="BX117" i="3416"/>
  <c r="BW117" i="3416"/>
  <c r="BV117" i="3416"/>
  <c r="BU117" i="3416"/>
  <c r="BT117" i="3416"/>
  <c r="BS117" i="3416"/>
  <c r="BR117" i="3416"/>
  <c r="BQ117" i="3416"/>
  <c r="BP117" i="3416"/>
  <c r="BO117" i="3416"/>
  <c r="BN117" i="3416"/>
  <c r="BM117" i="3416"/>
  <c r="BL117" i="3416"/>
  <c r="BK117" i="3416"/>
  <c r="BJ117" i="3416"/>
  <c r="BI117" i="3416"/>
  <c r="BH117" i="3416"/>
  <c r="BG117" i="3416"/>
  <c r="BF117" i="3416"/>
  <c r="BE117" i="3416"/>
  <c r="BD117" i="3416"/>
  <c r="BC117" i="3416"/>
  <c r="BB117" i="3416"/>
  <c r="BA117" i="3416"/>
  <c r="AZ117" i="3416"/>
  <c r="AY117" i="3416"/>
  <c r="AX117" i="3416"/>
  <c r="AW117" i="3416"/>
  <c r="AV117" i="3416"/>
  <c r="AU117" i="3416"/>
  <c r="AT117" i="3416"/>
  <c r="AS117" i="3416"/>
  <c r="AR117" i="3416"/>
  <c r="AQ117" i="3416"/>
  <c r="AP117" i="3416"/>
  <c r="AO117" i="3416"/>
  <c r="AN117" i="3416"/>
  <c r="AM117" i="3416"/>
  <c r="AL117" i="3416"/>
  <c r="AK117" i="3416"/>
  <c r="AJ117" i="3416"/>
  <c r="AI117" i="3416"/>
  <c r="AH117" i="3416"/>
  <c r="AG117" i="3416"/>
  <c r="AF117" i="3416"/>
  <c r="AE117" i="3416"/>
  <c r="AD117" i="3416"/>
  <c r="AC117" i="3416"/>
  <c r="AB117" i="3416"/>
  <c r="AA117" i="3416"/>
  <c r="Z117" i="3416"/>
  <c r="Y117" i="3416"/>
  <c r="X117" i="3416"/>
  <c r="W117" i="3416"/>
  <c r="V117" i="3416"/>
  <c r="U117" i="3416"/>
  <c r="T117" i="3416"/>
  <c r="S117" i="3416"/>
  <c r="R117" i="3416"/>
  <c r="Q117" i="3416"/>
  <c r="P117" i="3416"/>
  <c r="O117" i="3416"/>
  <c r="N117" i="3416"/>
  <c r="M117" i="3416"/>
  <c r="L117" i="3416"/>
  <c r="K117" i="3416"/>
  <c r="J117" i="3416"/>
  <c r="I117" i="3416"/>
  <c r="H117" i="3416"/>
  <c r="G117" i="3416"/>
  <c r="F117" i="3416"/>
  <c r="E117" i="3416"/>
  <c r="D117" i="3416"/>
  <c r="C117" i="3416" a="1"/>
  <c r="C117" i="3416"/>
  <c r="A117" i="3416"/>
  <c r="EM116" i="3416"/>
  <c r="EL116" i="3416"/>
  <c r="EK116" i="3416"/>
  <c r="EJ116" i="3416"/>
  <c r="EI116" i="3416"/>
  <c r="EH116" i="3416"/>
  <c r="EG116" i="3416"/>
  <c r="EF116" i="3416"/>
  <c r="EE116" i="3416"/>
  <c r="ED116" i="3416"/>
  <c r="EC116" i="3416"/>
  <c r="EB116" i="3416"/>
  <c r="EA116" i="3416"/>
  <c r="DZ116" i="3416"/>
  <c r="DY116" i="3416"/>
  <c r="DX116" i="3416"/>
  <c r="DW116" i="3416"/>
  <c r="DV116" i="3416"/>
  <c r="DU116" i="3416"/>
  <c r="DT116" i="3416"/>
  <c r="DS116" i="3416"/>
  <c r="DR116" i="3416"/>
  <c r="DQ116" i="3416"/>
  <c r="DP116" i="3416"/>
  <c r="DO116" i="3416"/>
  <c r="DN116" i="3416"/>
  <c r="DM116" i="3416"/>
  <c r="DL116" i="3416"/>
  <c r="DK116" i="3416"/>
  <c r="DJ116" i="3416"/>
  <c r="DI116" i="3416"/>
  <c r="DH116" i="3416"/>
  <c r="DG116" i="3416"/>
  <c r="DF116" i="3416"/>
  <c r="DE116" i="3416"/>
  <c r="DD116" i="3416"/>
  <c r="DC116" i="3416"/>
  <c r="DB116" i="3416"/>
  <c r="DA116" i="3416"/>
  <c r="CZ116" i="3416"/>
  <c r="CY116" i="3416"/>
  <c r="CX116" i="3416"/>
  <c r="CW116" i="3416"/>
  <c r="CV116" i="3416"/>
  <c r="CU116" i="3416"/>
  <c r="CT116" i="3416"/>
  <c r="CS116" i="3416"/>
  <c r="CR116" i="3416"/>
  <c r="CQ116" i="3416"/>
  <c r="CP116" i="3416"/>
  <c r="CO116" i="3416"/>
  <c r="CN116" i="3416"/>
  <c r="CM116" i="3416"/>
  <c r="CL116" i="3416"/>
  <c r="CK116" i="3416"/>
  <c r="CJ116" i="3416"/>
  <c r="CI116" i="3416"/>
  <c r="CH116" i="3416"/>
  <c r="CG116" i="3416"/>
  <c r="CF116" i="3416"/>
  <c r="CE116" i="3416"/>
  <c r="CD116" i="3416"/>
  <c r="CC116" i="3416"/>
  <c r="CB116" i="3416"/>
  <c r="CA116" i="3416"/>
  <c r="BZ116" i="3416"/>
  <c r="BY116" i="3416"/>
  <c r="BX116" i="3416"/>
  <c r="BW116" i="3416"/>
  <c r="BV116" i="3416"/>
  <c r="BU116" i="3416"/>
  <c r="BT116" i="3416"/>
  <c r="BS116" i="3416"/>
  <c r="BR116" i="3416"/>
  <c r="BQ116" i="3416"/>
  <c r="BP116" i="3416"/>
  <c r="BO116" i="3416"/>
  <c r="BN116" i="3416"/>
  <c r="BM116" i="3416"/>
  <c r="BL116" i="3416"/>
  <c r="BK116" i="3416"/>
  <c r="BJ116" i="3416"/>
  <c r="BI116" i="3416"/>
  <c r="BH116" i="3416"/>
  <c r="BG116" i="3416"/>
  <c r="BF116" i="3416"/>
  <c r="BE116" i="3416"/>
  <c r="BD116" i="3416"/>
  <c r="BC116" i="3416"/>
  <c r="BB116" i="3416"/>
  <c r="BA116" i="3416"/>
  <c r="AZ116" i="3416"/>
  <c r="AY116" i="3416"/>
  <c r="AX116" i="3416"/>
  <c r="AW116" i="3416"/>
  <c r="AV116" i="3416"/>
  <c r="AU116" i="3416"/>
  <c r="AT116" i="3416"/>
  <c r="AS116" i="3416"/>
  <c r="AR116" i="3416"/>
  <c r="AQ116" i="3416"/>
  <c r="AP116" i="3416"/>
  <c r="AO116" i="3416"/>
  <c r="AN116" i="3416"/>
  <c r="AM116" i="3416"/>
  <c r="AL116" i="3416"/>
  <c r="AK116" i="3416"/>
  <c r="AJ116" i="3416"/>
  <c r="AI116" i="3416"/>
  <c r="AH116" i="3416"/>
  <c r="AG116" i="3416"/>
  <c r="AF116" i="3416"/>
  <c r="AE116" i="3416"/>
  <c r="AD116" i="3416"/>
  <c r="AC116" i="3416"/>
  <c r="AB116" i="3416"/>
  <c r="AA116" i="3416"/>
  <c r="Z116" i="3416"/>
  <c r="Y116" i="3416"/>
  <c r="X116" i="3416"/>
  <c r="W116" i="3416"/>
  <c r="V116" i="3416"/>
  <c r="U116" i="3416"/>
  <c r="T116" i="3416"/>
  <c r="S116" i="3416"/>
  <c r="R116" i="3416"/>
  <c r="Q116" i="3416"/>
  <c r="P116" i="3416"/>
  <c r="O116" i="3416"/>
  <c r="N116" i="3416"/>
  <c r="M116" i="3416"/>
  <c r="L116" i="3416"/>
  <c r="K116" i="3416"/>
  <c r="J116" i="3416"/>
  <c r="I116" i="3416"/>
  <c r="H116" i="3416"/>
  <c r="G116" i="3416"/>
  <c r="F116" i="3416"/>
  <c r="E116" i="3416"/>
  <c r="D116" i="3416"/>
  <c r="C116" i="3416" a="1"/>
  <c r="C116" i="3416"/>
  <c r="A116" i="3416"/>
  <c r="EM115" i="3416"/>
  <c r="EL115" i="3416"/>
  <c r="EK115" i="3416"/>
  <c r="EJ115" i="3416"/>
  <c r="EI115" i="3416"/>
  <c r="EH115" i="3416"/>
  <c r="EG115" i="3416"/>
  <c r="EF115" i="3416"/>
  <c r="EE115" i="3416"/>
  <c r="ED115" i="3416"/>
  <c r="EC115" i="3416"/>
  <c r="EB115" i="3416"/>
  <c r="EA115" i="3416"/>
  <c r="DZ115" i="3416"/>
  <c r="DY115" i="3416"/>
  <c r="DX115" i="3416"/>
  <c r="DW115" i="3416"/>
  <c r="DV115" i="3416"/>
  <c r="DU115" i="3416"/>
  <c r="DT115" i="3416"/>
  <c r="DS115" i="3416"/>
  <c r="DR115" i="3416"/>
  <c r="DQ115" i="3416"/>
  <c r="DP115" i="3416"/>
  <c r="DO115" i="3416"/>
  <c r="DN115" i="3416"/>
  <c r="DM115" i="3416"/>
  <c r="DL115" i="3416"/>
  <c r="DK115" i="3416"/>
  <c r="DJ115" i="3416"/>
  <c r="DI115" i="3416"/>
  <c r="DH115" i="3416"/>
  <c r="DG115" i="3416"/>
  <c r="DF115" i="3416"/>
  <c r="DE115" i="3416"/>
  <c r="DD115" i="3416"/>
  <c r="DC115" i="3416"/>
  <c r="DB115" i="3416"/>
  <c r="DA115" i="3416"/>
  <c r="CZ115" i="3416"/>
  <c r="CY115" i="3416"/>
  <c r="CX115" i="3416"/>
  <c r="CW115" i="3416"/>
  <c r="CV115" i="3416"/>
  <c r="CU115" i="3416"/>
  <c r="CT115" i="3416"/>
  <c r="CS115" i="3416"/>
  <c r="CR115" i="3416"/>
  <c r="CQ115" i="3416"/>
  <c r="CP115" i="3416"/>
  <c r="CO115" i="3416"/>
  <c r="CN115" i="3416"/>
  <c r="CM115" i="3416"/>
  <c r="CL115" i="3416"/>
  <c r="CK115" i="3416"/>
  <c r="CJ115" i="3416"/>
  <c r="CI115" i="3416"/>
  <c r="CH115" i="3416"/>
  <c r="CG115" i="3416"/>
  <c r="CF115" i="3416"/>
  <c r="CE115" i="3416"/>
  <c r="CD115" i="3416"/>
  <c r="CC115" i="3416"/>
  <c r="CB115" i="3416"/>
  <c r="CA115" i="3416"/>
  <c r="BZ115" i="3416"/>
  <c r="BY115" i="3416"/>
  <c r="BX115" i="3416"/>
  <c r="BW115" i="3416"/>
  <c r="BV115" i="3416"/>
  <c r="BU115" i="3416"/>
  <c r="BT115" i="3416"/>
  <c r="BS115" i="3416"/>
  <c r="BR115" i="3416"/>
  <c r="BQ115" i="3416"/>
  <c r="BP115" i="3416"/>
  <c r="BO115" i="3416"/>
  <c r="BN115" i="3416"/>
  <c r="BM115" i="3416"/>
  <c r="BL115" i="3416"/>
  <c r="BK115" i="3416"/>
  <c r="BJ115" i="3416"/>
  <c r="BI115" i="3416"/>
  <c r="BH115" i="3416"/>
  <c r="BG115" i="3416"/>
  <c r="BF115" i="3416"/>
  <c r="BE115" i="3416"/>
  <c r="BD115" i="3416"/>
  <c r="BC115" i="3416"/>
  <c r="BB115" i="3416"/>
  <c r="BA115" i="3416"/>
  <c r="AZ115" i="3416"/>
  <c r="AY115" i="3416"/>
  <c r="AX115" i="3416"/>
  <c r="AW115" i="3416"/>
  <c r="AV115" i="3416"/>
  <c r="AU115" i="3416"/>
  <c r="AT115" i="3416"/>
  <c r="AS115" i="3416"/>
  <c r="AR115" i="3416"/>
  <c r="AQ115" i="3416"/>
  <c r="AP115" i="3416"/>
  <c r="AO115" i="3416"/>
  <c r="AN115" i="3416"/>
  <c r="AM115" i="3416"/>
  <c r="AL115" i="3416"/>
  <c r="AK115" i="3416"/>
  <c r="AJ115" i="3416"/>
  <c r="AI115" i="3416"/>
  <c r="AH115" i="3416"/>
  <c r="AG115" i="3416"/>
  <c r="AF115" i="3416"/>
  <c r="AE115" i="3416"/>
  <c r="AD115" i="3416"/>
  <c r="AC115" i="3416"/>
  <c r="AB115" i="3416"/>
  <c r="AA115" i="3416"/>
  <c r="Z115" i="3416"/>
  <c r="Y115" i="3416"/>
  <c r="X115" i="3416"/>
  <c r="W115" i="3416"/>
  <c r="V115" i="3416"/>
  <c r="U115" i="3416"/>
  <c r="T115" i="3416"/>
  <c r="S115" i="3416"/>
  <c r="R115" i="3416"/>
  <c r="Q115" i="3416"/>
  <c r="P115" i="3416"/>
  <c r="O115" i="3416"/>
  <c r="N115" i="3416"/>
  <c r="M115" i="3416"/>
  <c r="L115" i="3416"/>
  <c r="K115" i="3416"/>
  <c r="J115" i="3416"/>
  <c r="I115" i="3416"/>
  <c r="H115" i="3416"/>
  <c r="G115" i="3416"/>
  <c r="F115" i="3416"/>
  <c r="E115" i="3416"/>
  <c r="D115" i="3416"/>
  <c r="C115" i="3416" a="1"/>
  <c r="C115" i="3416"/>
  <c r="A115" i="3416"/>
  <c r="EM114" i="3416"/>
  <c r="EL114" i="3416"/>
  <c r="EK114" i="3416"/>
  <c r="EJ114" i="3416"/>
  <c r="EI114" i="3416"/>
  <c r="EH114" i="3416"/>
  <c r="EG114" i="3416"/>
  <c r="EF114" i="3416"/>
  <c r="EE114" i="3416"/>
  <c r="ED114" i="3416"/>
  <c r="EC114" i="3416"/>
  <c r="EB114" i="3416"/>
  <c r="EA114" i="3416"/>
  <c r="DZ114" i="3416"/>
  <c r="DY114" i="3416"/>
  <c r="DX114" i="3416"/>
  <c r="DW114" i="3416"/>
  <c r="DV114" i="3416"/>
  <c r="DU114" i="3416"/>
  <c r="DT114" i="3416"/>
  <c r="DS114" i="3416"/>
  <c r="DR114" i="3416"/>
  <c r="DQ114" i="3416"/>
  <c r="DP114" i="3416"/>
  <c r="DO114" i="3416"/>
  <c r="DN114" i="3416"/>
  <c r="DM114" i="3416"/>
  <c r="DL114" i="3416"/>
  <c r="DK114" i="3416"/>
  <c r="DJ114" i="3416"/>
  <c r="DI114" i="3416"/>
  <c r="DH114" i="3416"/>
  <c r="DG114" i="3416"/>
  <c r="DF114" i="3416"/>
  <c r="DE114" i="3416"/>
  <c r="DD114" i="3416"/>
  <c r="DC114" i="3416"/>
  <c r="DB114" i="3416"/>
  <c r="DA114" i="3416"/>
  <c r="CZ114" i="3416"/>
  <c r="CY114" i="3416"/>
  <c r="CX114" i="3416"/>
  <c r="CW114" i="3416"/>
  <c r="CV114" i="3416"/>
  <c r="CU114" i="3416"/>
  <c r="CT114" i="3416"/>
  <c r="CS114" i="3416"/>
  <c r="CR114" i="3416"/>
  <c r="CQ114" i="3416"/>
  <c r="CP114" i="3416"/>
  <c r="CO114" i="3416"/>
  <c r="CN114" i="3416"/>
  <c r="CM114" i="3416"/>
  <c r="CL114" i="3416"/>
  <c r="CK114" i="3416"/>
  <c r="CJ114" i="3416"/>
  <c r="CI114" i="3416"/>
  <c r="CH114" i="3416"/>
  <c r="CG114" i="3416"/>
  <c r="CF114" i="3416"/>
  <c r="CE114" i="3416"/>
  <c r="CD114" i="3416"/>
  <c r="CC114" i="3416"/>
  <c r="CB114" i="3416"/>
  <c r="CA114" i="3416"/>
  <c r="BZ114" i="3416"/>
  <c r="BY114" i="3416"/>
  <c r="BX114" i="3416"/>
  <c r="BW114" i="3416"/>
  <c r="BV114" i="3416"/>
  <c r="BU114" i="3416"/>
  <c r="BT114" i="3416"/>
  <c r="BS114" i="3416"/>
  <c r="BR114" i="3416"/>
  <c r="BQ114" i="3416"/>
  <c r="BP114" i="3416"/>
  <c r="BO114" i="3416"/>
  <c r="BN114" i="3416"/>
  <c r="BM114" i="3416"/>
  <c r="BL114" i="3416"/>
  <c r="BK114" i="3416"/>
  <c r="BJ114" i="3416"/>
  <c r="BI114" i="3416"/>
  <c r="BH114" i="3416"/>
  <c r="BG114" i="3416"/>
  <c r="BF114" i="3416"/>
  <c r="BE114" i="3416"/>
  <c r="BD114" i="3416"/>
  <c r="BC114" i="3416"/>
  <c r="BB114" i="3416"/>
  <c r="BA114" i="3416"/>
  <c r="AZ114" i="3416"/>
  <c r="AY114" i="3416"/>
  <c r="AX114" i="3416"/>
  <c r="AW114" i="3416"/>
  <c r="AV114" i="3416"/>
  <c r="AU114" i="3416"/>
  <c r="AT114" i="3416"/>
  <c r="AS114" i="3416"/>
  <c r="AR114" i="3416"/>
  <c r="AQ114" i="3416"/>
  <c r="AP114" i="3416"/>
  <c r="AO114" i="3416"/>
  <c r="AN114" i="3416"/>
  <c r="AM114" i="3416"/>
  <c r="AL114" i="3416"/>
  <c r="AK114" i="3416"/>
  <c r="AJ114" i="3416"/>
  <c r="AI114" i="3416"/>
  <c r="AH114" i="3416"/>
  <c r="AG114" i="3416"/>
  <c r="AF114" i="3416"/>
  <c r="AE114" i="3416"/>
  <c r="AD114" i="3416"/>
  <c r="AC114" i="3416"/>
  <c r="AB114" i="3416"/>
  <c r="AA114" i="3416"/>
  <c r="Z114" i="3416"/>
  <c r="Y114" i="3416"/>
  <c r="X114" i="3416"/>
  <c r="W114" i="3416"/>
  <c r="V114" i="3416"/>
  <c r="U114" i="3416"/>
  <c r="T114" i="3416"/>
  <c r="S114" i="3416"/>
  <c r="R114" i="3416"/>
  <c r="Q114" i="3416"/>
  <c r="P114" i="3416"/>
  <c r="O114" i="3416"/>
  <c r="N114" i="3416"/>
  <c r="M114" i="3416"/>
  <c r="L114" i="3416"/>
  <c r="K114" i="3416"/>
  <c r="J114" i="3416"/>
  <c r="I114" i="3416"/>
  <c r="H114" i="3416"/>
  <c r="G114" i="3416"/>
  <c r="F114" i="3416"/>
  <c r="E114" i="3416"/>
  <c r="D114" i="3416"/>
  <c r="C114" i="3416" a="1"/>
  <c r="C114" i="3416"/>
  <c r="A114" i="3416"/>
  <c r="EM113" i="3416"/>
  <c r="EL113" i="3416"/>
  <c r="EK113" i="3416"/>
  <c r="EJ113" i="3416"/>
  <c r="EI113" i="3416"/>
  <c r="EH113" i="3416"/>
  <c r="EG113" i="3416"/>
  <c r="EF113" i="3416"/>
  <c r="EE113" i="3416"/>
  <c r="ED113" i="3416"/>
  <c r="EC113" i="3416"/>
  <c r="EB113" i="3416"/>
  <c r="EA113" i="3416"/>
  <c r="DZ113" i="3416"/>
  <c r="DY113" i="3416"/>
  <c r="DX113" i="3416"/>
  <c r="DW113" i="3416"/>
  <c r="DV113" i="3416"/>
  <c r="DU113" i="3416"/>
  <c r="DT113" i="3416"/>
  <c r="DS113" i="3416"/>
  <c r="DR113" i="3416"/>
  <c r="DQ113" i="3416"/>
  <c r="DP113" i="3416"/>
  <c r="DO113" i="3416"/>
  <c r="DN113" i="3416"/>
  <c r="DM113" i="3416"/>
  <c r="DL113" i="3416"/>
  <c r="DK113" i="3416"/>
  <c r="DJ113" i="3416"/>
  <c r="DI113" i="3416"/>
  <c r="DH113" i="3416"/>
  <c r="DG113" i="3416"/>
  <c r="DF113" i="3416"/>
  <c r="DE113" i="3416"/>
  <c r="DD113" i="3416"/>
  <c r="DC113" i="3416"/>
  <c r="DB113" i="3416"/>
  <c r="DA113" i="3416"/>
  <c r="CZ113" i="3416"/>
  <c r="CY113" i="3416"/>
  <c r="CX113" i="3416"/>
  <c r="CW113" i="3416"/>
  <c r="CV113" i="3416"/>
  <c r="CU113" i="3416"/>
  <c r="CT113" i="3416"/>
  <c r="CS113" i="3416"/>
  <c r="CR113" i="3416"/>
  <c r="CQ113" i="3416"/>
  <c r="CP113" i="3416"/>
  <c r="CO113" i="3416"/>
  <c r="CN113" i="3416"/>
  <c r="CM113" i="3416"/>
  <c r="CL113" i="3416"/>
  <c r="CK113" i="3416"/>
  <c r="CJ113" i="3416"/>
  <c r="CI113" i="3416"/>
  <c r="CH113" i="3416"/>
  <c r="CG113" i="3416"/>
  <c r="CF113" i="3416"/>
  <c r="CE113" i="3416"/>
  <c r="CD113" i="3416"/>
  <c r="CC113" i="3416"/>
  <c r="CB113" i="3416"/>
  <c r="CA113" i="3416"/>
  <c r="BZ113" i="3416"/>
  <c r="BY113" i="3416"/>
  <c r="BX113" i="3416"/>
  <c r="BW113" i="3416"/>
  <c r="BV113" i="3416"/>
  <c r="BU113" i="3416"/>
  <c r="BT113" i="3416"/>
  <c r="BS113" i="3416"/>
  <c r="BR113" i="3416"/>
  <c r="BQ113" i="3416"/>
  <c r="BP113" i="3416"/>
  <c r="BO113" i="3416"/>
  <c r="BN113" i="3416"/>
  <c r="BM113" i="3416"/>
  <c r="BL113" i="3416"/>
  <c r="BK113" i="3416"/>
  <c r="BJ113" i="3416"/>
  <c r="BI113" i="3416"/>
  <c r="BH113" i="3416"/>
  <c r="BG113" i="3416"/>
  <c r="BF113" i="3416"/>
  <c r="BE113" i="3416"/>
  <c r="BD113" i="3416"/>
  <c r="BC113" i="3416"/>
  <c r="BB113" i="3416"/>
  <c r="BA113" i="3416"/>
  <c r="AZ113" i="3416"/>
  <c r="AY113" i="3416"/>
  <c r="AX113" i="3416"/>
  <c r="AW113" i="3416"/>
  <c r="AV113" i="3416"/>
  <c r="AU113" i="3416"/>
  <c r="AT113" i="3416"/>
  <c r="AS113" i="3416"/>
  <c r="AR113" i="3416"/>
  <c r="AQ113" i="3416"/>
  <c r="AP113" i="3416"/>
  <c r="AO113" i="3416"/>
  <c r="AN113" i="3416"/>
  <c r="AM113" i="3416"/>
  <c r="AL113" i="3416"/>
  <c r="AK113" i="3416"/>
  <c r="AJ113" i="3416"/>
  <c r="AI113" i="3416"/>
  <c r="AH113" i="3416"/>
  <c r="AG113" i="3416"/>
  <c r="AF113" i="3416"/>
  <c r="AE113" i="3416"/>
  <c r="AD113" i="3416"/>
  <c r="AC113" i="3416"/>
  <c r="AB113" i="3416"/>
  <c r="AA113" i="3416"/>
  <c r="Z113" i="3416"/>
  <c r="Y113" i="3416"/>
  <c r="X113" i="3416"/>
  <c r="W113" i="3416"/>
  <c r="V113" i="3416"/>
  <c r="U113" i="3416"/>
  <c r="T113" i="3416"/>
  <c r="S113" i="3416"/>
  <c r="R113" i="3416"/>
  <c r="Q113" i="3416"/>
  <c r="P113" i="3416"/>
  <c r="O113" i="3416"/>
  <c r="N113" i="3416"/>
  <c r="M113" i="3416"/>
  <c r="L113" i="3416"/>
  <c r="K113" i="3416"/>
  <c r="J113" i="3416"/>
  <c r="I113" i="3416"/>
  <c r="H113" i="3416"/>
  <c r="G113" i="3416"/>
  <c r="F113" i="3416"/>
  <c r="E113" i="3416"/>
  <c r="D113" i="3416"/>
  <c r="C113" i="3416" a="1"/>
  <c r="C113" i="3416"/>
  <c r="A113" i="3416"/>
  <c r="EM112" i="3416"/>
  <c r="EL112" i="3416"/>
  <c r="EK112" i="3416"/>
  <c r="EJ112" i="3416"/>
  <c r="EI112" i="3416"/>
  <c r="EH112" i="3416"/>
  <c r="EG112" i="3416"/>
  <c r="EF112" i="3416"/>
  <c r="EE112" i="3416"/>
  <c r="ED112" i="3416"/>
  <c r="EC112" i="3416"/>
  <c r="EB112" i="3416"/>
  <c r="EA112" i="3416"/>
  <c r="DZ112" i="3416"/>
  <c r="DY112" i="3416"/>
  <c r="DX112" i="3416"/>
  <c r="DW112" i="3416"/>
  <c r="DV112" i="3416"/>
  <c r="DU112" i="3416"/>
  <c r="DT112" i="3416"/>
  <c r="DS112" i="3416"/>
  <c r="DR112" i="3416"/>
  <c r="DQ112" i="3416"/>
  <c r="DP112" i="3416"/>
  <c r="DO112" i="3416"/>
  <c r="DN112" i="3416"/>
  <c r="DM112" i="3416"/>
  <c r="DL112" i="3416"/>
  <c r="DK112" i="3416"/>
  <c r="DJ112" i="3416"/>
  <c r="DI112" i="3416"/>
  <c r="DH112" i="3416"/>
  <c r="DG112" i="3416"/>
  <c r="DF112" i="3416"/>
  <c r="DE112" i="3416"/>
  <c r="DD112" i="3416"/>
  <c r="DC112" i="3416"/>
  <c r="DB112" i="3416"/>
  <c r="DA112" i="3416"/>
  <c r="CZ112" i="3416"/>
  <c r="CY112" i="3416"/>
  <c r="CX112" i="3416"/>
  <c r="CW112" i="3416"/>
  <c r="CV112" i="3416"/>
  <c r="CU112" i="3416"/>
  <c r="CT112" i="3416"/>
  <c r="CS112" i="3416"/>
  <c r="CR112" i="3416"/>
  <c r="CQ112" i="3416"/>
  <c r="CP112" i="3416"/>
  <c r="CO112" i="3416"/>
  <c r="CN112" i="3416"/>
  <c r="CM112" i="3416"/>
  <c r="CL112" i="3416"/>
  <c r="CK112" i="3416"/>
  <c r="CJ112" i="3416"/>
  <c r="CI112" i="3416"/>
  <c r="CH112" i="3416"/>
  <c r="CG112" i="3416"/>
  <c r="CF112" i="3416"/>
  <c r="CE112" i="3416"/>
  <c r="CD112" i="3416"/>
  <c r="CC112" i="3416"/>
  <c r="CB112" i="3416"/>
  <c r="CA112" i="3416"/>
  <c r="BZ112" i="3416"/>
  <c r="BY112" i="3416"/>
  <c r="BX112" i="3416"/>
  <c r="BW112" i="3416"/>
  <c r="BV112" i="3416"/>
  <c r="BU112" i="3416"/>
  <c r="BT112" i="3416"/>
  <c r="BS112" i="3416"/>
  <c r="BR112" i="3416"/>
  <c r="BQ112" i="3416"/>
  <c r="BP112" i="3416"/>
  <c r="BO112" i="3416"/>
  <c r="BN112" i="3416"/>
  <c r="BM112" i="3416"/>
  <c r="BL112" i="3416"/>
  <c r="BK112" i="3416"/>
  <c r="BJ112" i="3416"/>
  <c r="BI112" i="3416"/>
  <c r="BH112" i="3416"/>
  <c r="BG112" i="3416"/>
  <c r="BF112" i="3416"/>
  <c r="BE112" i="3416"/>
  <c r="BD112" i="3416"/>
  <c r="BC112" i="3416"/>
  <c r="BB112" i="3416"/>
  <c r="BA112" i="3416"/>
  <c r="AZ112" i="3416"/>
  <c r="AY112" i="3416"/>
  <c r="AX112" i="3416"/>
  <c r="AW112" i="3416"/>
  <c r="AV112" i="3416"/>
  <c r="AU112" i="3416"/>
  <c r="AT112" i="3416"/>
  <c r="AS112" i="3416"/>
  <c r="AR112" i="3416"/>
  <c r="AQ112" i="3416"/>
  <c r="AP112" i="3416"/>
  <c r="AO112" i="3416"/>
  <c r="AN112" i="3416"/>
  <c r="AM112" i="3416"/>
  <c r="AL112" i="3416"/>
  <c r="AK112" i="3416"/>
  <c r="AJ112" i="3416"/>
  <c r="AI112" i="3416"/>
  <c r="AH112" i="3416"/>
  <c r="AG112" i="3416"/>
  <c r="AF112" i="3416"/>
  <c r="AE112" i="3416"/>
  <c r="AD112" i="3416"/>
  <c r="AC112" i="3416"/>
  <c r="AB112" i="3416"/>
  <c r="AA112" i="3416"/>
  <c r="Z112" i="3416"/>
  <c r="Y112" i="3416"/>
  <c r="X112" i="3416"/>
  <c r="W112" i="3416"/>
  <c r="V112" i="3416"/>
  <c r="U112" i="3416"/>
  <c r="T112" i="3416"/>
  <c r="S112" i="3416"/>
  <c r="R112" i="3416"/>
  <c r="Q112" i="3416"/>
  <c r="P112" i="3416"/>
  <c r="O112" i="3416"/>
  <c r="N112" i="3416"/>
  <c r="M112" i="3416"/>
  <c r="L112" i="3416"/>
  <c r="K112" i="3416"/>
  <c r="J112" i="3416"/>
  <c r="I112" i="3416"/>
  <c r="H112" i="3416"/>
  <c r="G112" i="3416"/>
  <c r="F112" i="3416"/>
  <c r="E112" i="3416"/>
  <c r="D112" i="3416"/>
  <c r="C112" i="3416" a="1"/>
  <c r="C112" i="3416"/>
  <c r="A112" i="3416"/>
  <c r="EM111" i="3416"/>
  <c r="EL111" i="3416"/>
  <c r="EK111" i="3416"/>
  <c r="EJ111" i="3416"/>
  <c r="EI111" i="3416"/>
  <c r="EH111" i="3416"/>
  <c r="EG111" i="3416"/>
  <c r="EF111" i="3416"/>
  <c r="EE111" i="3416"/>
  <c r="ED111" i="3416"/>
  <c r="EC111" i="3416"/>
  <c r="EB111" i="3416"/>
  <c r="EA111" i="3416"/>
  <c r="DZ111" i="3416"/>
  <c r="DY111" i="3416"/>
  <c r="DX111" i="3416"/>
  <c r="DW111" i="3416"/>
  <c r="DV111" i="3416"/>
  <c r="DU111" i="3416"/>
  <c r="DT111" i="3416"/>
  <c r="DS111" i="3416"/>
  <c r="DR111" i="3416"/>
  <c r="DQ111" i="3416"/>
  <c r="DP111" i="3416"/>
  <c r="DO111" i="3416"/>
  <c r="DN111" i="3416"/>
  <c r="DM111" i="3416"/>
  <c r="DL111" i="3416"/>
  <c r="DK111" i="3416"/>
  <c r="DJ111" i="3416"/>
  <c r="DI111" i="3416"/>
  <c r="DH111" i="3416"/>
  <c r="DG111" i="3416"/>
  <c r="DF111" i="3416"/>
  <c r="DE111" i="3416"/>
  <c r="DD111" i="3416"/>
  <c r="DC111" i="3416"/>
  <c r="DB111" i="3416"/>
  <c r="DA111" i="3416"/>
  <c r="CZ111" i="3416"/>
  <c r="CY111" i="3416"/>
  <c r="CX111" i="3416"/>
  <c r="CW111" i="3416"/>
  <c r="CV111" i="3416"/>
  <c r="CU111" i="3416"/>
  <c r="CT111" i="3416"/>
  <c r="CS111" i="3416"/>
  <c r="CR111" i="3416"/>
  <c r="CQ111" i="3416"/>
  <c r="CP111" i="3416"/>
  <c r="CO111" i="3416"/>
  <c r="CN111" i="3416"/>
  <c r="CM111" i="3416"/>
  <c r="CL111" i="3416"/>
  <c r="CK111" i="3416"/>
  <c r="CJ111" i="3416"/>
  <c r="CI111" i="3416"/>
  <c r="CH111" i="3416"/>
  <c r="CG111" i="3416"/>
  <c r="CF111" i="3416"/>
  <c r="CE111" i="3416"/>
  <c r="CD111" i="3416"/>
  <c r="CC111" i="3416"/>
  <c r="CB111" i="3416"/>
  <c r="CA111" i="3416"/>
  <c r="BZ111" i="3416"/>
  <c r="BY111" i="3416"/>
  <c r="BX111" i="3416"/>
  <c r="BW111" i="3416"/>
  <c r="BV111" i="3416"/>
  <c r="BU111" i="3416"/>
  <c r="BT111" i="3416"/>
  <c r="BS111" i="3416"/>
  <c r="BR111" i="3416"/>
  <c r="BQ111" i="3416"/>
  <c r="BP111" i="3416"/>
  <c r="BO111" i="3416"/>
  <c r="BN111" i="3416"/>
  <c r="BM111" i="3416"/>
  <c r="BL111" i="3416"/>
  <c r="BK111" i="3416"/>
  <c r="BJ111" i="3416"/>
  <c r="BI111" i="3416"/>
  <c r="BH111" i="3416"/>
  <c r="BG111" i="3416"/>
  <c r="BF111" i="3416"/>
  <c r="BE111" i="3416"/>
  <c r="BD111" i="3416"/>
  <c r="BC111" i="3416"/>
  <c r="BB111" i="3416"/>
  <c r="BA111" i="3416"/>
  <c r="AZ111" i="3416"/>
  <c r="AY111" i="3416"/>
  <c r="AX111" i="3416"/>
  <c r="AW111" i="3416"/>
  <c r="AV111" i="3416"/>
  <c r="AU111" i="3416"/>
  <c r="AT111" i="3416"/>
  <c r="AS111" i="3416"/>
  <c r="AR111" i="3416"/>
  <c r="AQ111" i="3416"/>
  <c r="AP111" i="3416"/>
  <c r="AO111" i="3416"/>
  <c r="AN111" i="3416"/>
  <c r="AM111" i="3416"/>
  <c r="AL111" i="3416"/>
  <c r="AK111" i="3416"/>
  <c r="AJ111" i="3416"/>
  <c r="AI111" i="3416"/>
  <c r="AH111" i="3416"/>
  <c r="AG111" i="3416"/>
  <c r="AF111" i="3416"/>
  <c r="AE111" i="3416"/>
  <c r="AD111" i="3416"/>
  <c r="AC111" i="3416"/>
  <c r="AB111" i="3416"/>
  <c r="AA111" i="3416"/>
  <c r="Z111" i="3416"/>
  <c r="Y111" i="3416"/>
  <c r="X111" i="3416"/>
  <c r="W111" i="3416"/>
  <c r="V111" i="3416"/>
  <c r="U111" i="3416"/>
  <c r="T111" i="3416"/>
  <c r="S111" i="3416"/>
  <c r="R111" i="3416"/>
  <c r="Q111" i="3416"/>
  <c r="P111" i="3416"/>
  <c r="O111" i="3416"/>
  <c r="N111" i="3416"/>
  <c r="M111" i="3416"/>
  <c r="L111" i="3416"/>
  <c r="K111" i="3416"/>
  <c r="J111" i="3416"/>
  <c r="I111" i="3416"/>
  <c r="H111" i="3416"/>
  <c r="G111" i="3416"/>
  <c r="F111" i="3416"/>
  <c r="E111" i="3416"/>
  <c r="D111" i="3416"/>
  <c r="C111" i="3416" a="1"/>
  <c r="C111" i="3416"/>
  <c r="A111" i="3416"/>
  <c r="EM110" i="3416"/>
  <c r="EL110" i="3416"/>
  <c r="EK110" i="3416"/>
  <c r="EJ110" i="3416"/>
  <c r="EI110" i="3416"/>
  <c r="EH110" i="3416"/>
  <c r="EG110" i="3416"/>
  <c r="EF110" i="3416"/>
  <c r="EE110" i="3416"/>
  <c r="ED110" i="3416"/>
  <c r="EC110" i="3416"/>
  <c r="EB110" i="3416"/>
  <c r="EA110" i="3416"/>
  <c r="DZ110" i="3416"/>
  <c r="DY110" i="3416"/>
  <c r="DX110" i="3416"/>
  <c r="DW110" i="3416"/>
  <c r="DV110" i="3416"/>
  <c r="DU110" i="3416"/>
  <c r="DT110" i="3416"/>
  <c r="DS110" i="3416"/>
  <c r="DR110" i="3416"/>
  <c r="DQ110" i="3416"/>
  <c r="DP110" i="3416"/>
  <c r="DO110" i="3416"/>
  <c r="DN110" i="3416"/>
  <c r="DM110" i="3416"/>
  <c r="DL110" i="3416"/>
  <c r="DK110" i="3416"/>
  <c r="DJ110" i="3416"/>
  <c r="DI110" i="3416"/>
  <c r="DH110" i="3416"/>
  <c r="DG110" i="3416"/>
  <c r="DF110" i="3416"/>
  <c r="DE110" i="3416"/>
  <c r="DD110" i="3416"/>
  <c r="DC110" i="3416"/>
  <c r="DB110" i="3416"/>
  <c r="DA110" i="3416"/>
  <c r="CZ110" i="3416"/>
  <c r="CY110" i="3416"/>
  <c r="CX110" i="3416"/>
  <c r="CW110" i="3416"/>
  <c r="CV110" i="3416"/>
  <c r="CU110" i="3416"/>
  <c r="CT110" i="3416"/>
  <c r="CS110" i="3416"/>
  <c r="CR110" i="3416"/>
  <c r="CQ110" i="3416"/>
  <c r="CP110" i="3416"/>
  <c r="CO110" i="3416"/>
  <c r="CN110" i="3416"/>
  <c r="CM110" i="3416"/>
  <c r="CL110" i="3416"/>
  <c r="CK110" i="3416"/>
  <c r="CJ110" i="3416"/>
  <c r="CI110" i="3416"/>
  <c r="CH110" i="3416"/>
  <c r="CG110" i="3416"/>
  <c r="CF110" i="3416"/>
  <c r="CE110" i="3416"/>
  <c r="CD110" i="3416"/>
  <c r="CC110" i="3416"/>
  <c r="CB110" i="3416"/>
  <c r="CA110" i="3416"/>
  <c r="BZ110" i="3416"/>
  <c r="BY110" i="3416"/>
  <c r="BX110" i="3416"/>
  <c r="BW110" i="3416"/>
  <c r="BV110" i="3416"/>
  <c r="BU110" i="3416"/>
  <c r="BT110" i="3416"/>
  <c r="BS110" i="3416"/>
  <c r="BR110" i="3416"/>
  <c r="BQ110" i="3416"/>
  <c r="BP110" i="3416"/>
  <c r="BO110" i="3416"/>
  <c r="BN110" i="3416"/>
  <c r="BM110" i="3416"/>
  <c r="BL110" i="3416"/>
  <c r="BK110" i="3416"/>
  <c r="BJ110" i="3416"/>
  <c r="BI110" i="3416"/>
  <c r="BH110" i="3416"/>
  <c r="BG110" i="3416"/>
  <c r="BF110" i="3416"/>
  <c r="BE110" i="3416"/>
  <c r="BD110" i="3416"/>
  <c r="BC110" i="3416"/>
  <c r="BB110" i="3416"/>
  <c r="BA110" i="3416"/>
  <c r="AZ110" i="3416"/>
  <c r="AY110" i="3416"/>
  <c r="AX110" i="3416"/>
  <c r="AW110" i="3416"/>
  <c r="AV110" i="3416"/>
  <c r="AU110" i="3416"/>
  <c r="AT110" i="3416"/>
  <c r="AS110" i="3416"/>
  <c r="AR110" i="3416"/>
  <c r="AQ110" i="3416"/>
  <c r="AP110" i="3416"/>
  <c r="AO110" i="3416"/>
  <c r="AN110" i="3416"/>
  <c r="AM110" i="3416"/>
  <c r="AL110" i="3416"/>
  <c r="AK110" i="3416"/>
  <c r="AJ110" i="3416"/>
  <c r="AI110" i="3416"/>
  <c r="AH110" i="3416"/>
  <c r="AG110" i="3416"/>
  <c r="AF110" i="3416"/>
  <c r="AE110" i="3416"/>
  <c r="AD110" i="3416"/>
  <c r="AC110" i="3416"/>
  <c r="AB110" i="3416"/>
  <c r="AA110" i="3416"/>
  <c r="Z110" i="3416"/>
  <c r="Y110" i="3416"/>
  <c r="X110" i="3416"/>
  <c r="W110" i="3416"/>
  <c r="V110" i="3416"/>
  <c r="U110" i="3416"/>
  <c r="T110" i="3416"/>
  <c r="S110" i="3416"/>
  <c r="R110" i="3416"/>
  <c r="Q110" i="3416"/>
  <c r="P110" i="3416"/>
  <c r="O110" i="3416"/>
  <c r="N110" i="3416"/>
  <c r="M110" i="3416"/>
  <c r="L110" i="3416"/>
  <c r="K110" i="3416"/>
  <c r="J110" i="3416"/>
  <c r="I110" i="3416"/>
  <c r="H110" i="3416"/>
  <c r="G110" i="3416"/>
  <c r="F110" i="3416"/>
  <c r="E110" i="3416"/>
  <c r="D110" i="3416"/>
  <c r="C110" i="3416" a="1"/>
  <c r="C110" i="3416"/>
  <c r="A110" i="3416"/>
  <c r="EM109" i="3416"/>
  <c r="EL109" i="3416"/>
  <c r="EK109" i="3416"/>
  <c r="EJ109" i="3416"/>
  <c r="EI109" i="3416"/>
  <c r="EH109" i="3416"/>
  <c r="EG109" i="3416"/>
  <c r="EF109" i="3416"/>
  <c r="EE109" i="3416"/>
  <c r="ED109" i="3416"/>
  <c r="EC109" i="3416"/>
  <c r="EB109" i="3416"/>
  <c r="EA109" i="3416"/>
  <c r="DZ109" i="3416"/>
  <c r="DY109" i="3416"/>
  <c r="DX109" i="3416"/>
  <c r="DW109" i="3416"/>
  <c r="DV109" i="3416"/>
  <c r="DU109" i="3416"/>
  <c r="DT109" i="3416"/>
  <c r="DS109" i="3416"/>
  <c r="DR109" i="3416"/>
  <c r="DQ109" i="3416"/>
  <c r="DP109" i="3416"/>
  <c r="DO109" i="3416"/>
  <c r="DN109" i="3416"/>
  <c r="DM109" i="3416"/>
  <c r="DL109" i="3416"/>
  <c r="DK109" i="3416"/>
  <c r="DJ109" i="3416"/>
  <c r="DI109" i="3416"/>
  <c r="DH109" i="3416"/>
  <c r="DG109" i="3416"/>
  <c r="DF109" i="3416"/>
  <c r="DE109" i="3416"/>
  <c r="DD109" i="3416"/>
  <c r="DC109" i="3416"/>
  <c r="DB109" i="3416"/>
  <c r="DA109" i="3416"/>
  <c r="CZ109" i="3416"/>
  <c r="CY109" i="3416"/>
  <c r="CX109" i="3416"/>
  <c r="CW109" i="3416"/>
  <c r="CV109" i="3416"/>
  <c r="CU109" i="3416"/>
  <c r="CT109" i="3416"/>
  <c r="CS109" i="3416"/>
  <c r="CR109" i="3416"/>
  <c r="CQ109" i="3416"/>
  <c r="CP109" i="3416"/>
  <c r="CO109" i="3416"/>
  <c r="CN109" i="3416"/>
  <c r="CM109" i="3416"/>
  <c r="CL109" i="3416"/>
  <c r="CK109" i="3416"/>
  <c r="CJ109" i="3416"/>
  <c r="CI109" i="3416"/>
  <c r="CH109" i="3416"/>
  <c r="CG109" i="3416"/>
  <c r="CF109" i="3416"/>
  <c r="CE109" i="3416"/>
  <c r="CD109" i="3416"/>
  <c r="CC109" i="3416"/>
  <c r="CB109" i="3416"/>
  <c r="CA109" i="3416"/>
  <c r="BZ109" i="3416"/>
  <c r="BY109" i="3416"/>
  <c r="BX109" i="3416"/>
  <c r="BW109" i="3416"/>
  <c r="BV109" i="3416"/>
  <c r="BU109" i="3416"/>
  <c r="BT109" i="3416"/>
  <c r="BS109" i="3416"/>
  <c r="BR109" i="3416"/>
  <c r="BQ109" i="3416"/>
  <c r="BP109" i="3416"/>
  <c r="BO109" i="3416"/>
  <c r="BN109" i="3416"/>
  <c r="BM109" i="3416"/>
  <c r="BL109" i="3416"/>
  <c r="BK109" i="3416"/>
  <c r="BJ109" i="3416"/>
  <c r="BI109" i="3416"/>
  <c r="BH109" i="3416"/>
  <c r="BG109" i="3416"/>
  <c r="BF109" i="3416"/>
  <c r="BE109" i="3416"/>
  <c r="BD109" i="3416"/>
  <c r="BC109" i="3416"/>
  <c r="BB109" i="3416"/>
  <c r="BA109" i="3416"/>
  <c r="AZ109" i="3416"/>
  <c r="AY109" i="3416"/>
  <c r="AX109" i="3416"/>
  <c r="AW109" i="3416"/>
  <c r="AV109" i="3416"/>
  <c r="AU109" i="3416"/>
  <c r="AT109" i="3416"/>
  <c r="AS109" i="3416"/>
  <c r="AR109" i="3416"/>
  <c r="AQ109" i="3416"/>
  <c r="AP109" i="3416"/>
  <c r="AO109" i="3416"/>
  <c r="AN109" i="3416"/>
  <c r="AM109" i="3416"/>
  <c r="AL109" i="3416"/>
  <c r="AK109" i="3416"/>
  <c r="AJ109" i="3416"/>
  <c r="AI109" i="3416"/>
  <c r="AH109" i="3416"/>
  <c r="AG109" i="3416"/>
  <c r="AF109" i="3416"/>
  <c r="AE109" i="3416"/>
  <c r="AD109" i="3416"/>
  <c r="AC109" i="3416"/>
  <c r="AB109" i="3416"/>
  <c r="AA109" i="3416"/>
  <c r="Z109" i="3416"/>
  <c r="Y109" i="3416"/>
  <c r="X109" i="3416"/>
  <c r="W109" i="3416"/>
  <c r="V109" i="3416"/>
  <c r="U109" i="3416"/>
  <c r="T109" i="3416"/>
  <c r="S109" i="3416"/>
  <c r="R109" i="3416"/>
  <c r="Q109" i="3416"/>
  <c r="P109" i="3416"/>
  <c r="O109" i="3416"/>
  <c r="N109" i="3416"/>
  <c r="M109" i="3416"/>
  <c r="L109" i="3416"/>
  <c r="K109" i="3416"/>
  <c r="J109" i="3416"/>
  <c r="I109" i="3416"/>
  <c r="H109" i="3416"/>
  <c r="G109" i="3416"/>
  <c r="F109" i="3416"/>
  <c r="E109" i="3416"/>
  <c r="D109" i="3416"/>
  <c r="C109" i="3416" a="1"/>
  <c r="C109" i="3416"/>
  <c r="A109" i="3416"/>
  <c r="EM108" i="3416"/>
  <c r="EL108" i="3416"/>
  <c r="EK108" i="3416"/>
  <c r="EJ108" i="3416"/>
  <c r="EI108" i="3416"/>
  <c r="EH108" i="3416"/>
  <c r="EG108" i="3416"/>
  <c r="EF108" i="3416"/>
  <c r="EE108" i="3416"/>
  <c r="ED108" i="3416"/>
  <c r="EC108" i="3416"/>
  <c r="EB108" i="3416"/>
  <c r="EA108" i="3416"/>
  <c r="DZ108" i="3416"/>
  <c r="DY108" i="3416"/>
  <c r="DX108" i="3416"/>
  <c r="DW108" i="3416"/>
  <c r="DV108" i="3416"/>
  <c r="DU108" i="3416"/>
  <c r="DT108" i="3416"/>
  <c r="DS108" i="3416"/>
  <c r="DR108" i="3416"/>
  <c r="DQ108" i="3416"/>
  <c r="DP108" i="3416"/>
  <c r="DO108" i="3416"/>
  <c r="DN108" i="3416"/>
  <c r="DM108" i="3416"/>
  <c r="DL108" i="3416"/>
  <c r="DK108" i="3416"/>
  <c r="DJ108" i="3416"/>
  <c r="DI108" i="3416"/>
  <c r="DH108" i="3416"/>
  <c r="DG108" i="3416"/>
  <c r="DF108" i="3416"/>
  <c r="DE108" i="3416"/>
  <c r="DD108" i="3416"/>
  <c r="DC108" i="3416"/>
  <c r="DB108" i="3416"/>
  <c r="DA108" i="3416"/>
  <c r="CZ108" i="3416"/>
  <c r="CY108" i="3416"/>
  <c r="CX108" i="3416"/>
  <c r="CW108" i="3416"/>
  <c r="CV108" i="3416"/>
  <c r="CU108" i="3416"/>
  <c r="CT108" i="3416"/>
  <c r="CS108" i="3416"/>
  <c r="CR108" i="3416"/>
  <c r="CQ108" i="3416"/>
  <c r="CP108" i="3416"/>
  <c r="CO108" i="3416"/>
  <c r="CN108" i="3416"/>
  <c r="CM108" i="3416"/>
  <c r="CL108" i="3416"/>
  <c r="CK108" i="3416"/>
  <c r="CJ108" i="3416"/>
  <c r="CI108" i="3416"/>
  <c r="CH108" i="3416"/>
  <c r="CG108" i="3416"/>
  <c r="CF108" i="3416"/>
  <c r="CE108" i="3416"/>
  <c r="CD108" i="3416"/>
  <c r="CC108" i="3416"/>
  <c r="CB108" i="3416"/>
  <c r="CA108" i="3416"/>
  <c r="BZ108" i="3416"/>
  <c r="BY108" i="3416"/>
  <c r="BX108" i="3416"/>
  <c r="BW108" i="3416"/>
  <c r="BV108" i="3416"/>
  <c r="BU108" i="3416"/>
  <c r="BT108" i="3416"/>
  <c r="BS108" i="3416"/>
  <c r="BR108" i="3416"/>
  <c r="BQ108" i="3416"/>
  <c r="BP108" i="3416"/>
  <c r="BO108" i="3416"/>
  <c r="BN108" i="3416"/>
  <c r="BM108" i="3416"/>
  <c r="BL108" i="3416"/>
  <c r="BK108" i="3416"/>
  <c r="BJ108" i="3416"/>
  <c r="BI108" i="3416"/>
  <c r="BH108" i="3416"/>
  <c r="BG108" i="3416"/>
  <c r="BF108" i="3416"/>
  <c r="BE108" i="3416"/>
  <c r="BD108" i="3416"/>
  <c r="BC108" i="3416"/>
  <c r="BB108" i="3416"/>
  <c r="BA108" i="3416"/>
  <c r="AZ108" i="3416"/>
  <c r="AY108" i="3416"/>
  <c r="AX108" i="3416"/>
  <c r="AW108" i="3416"/>
  <c r="AV108" i="3416"/>
  <c r="AU108" i="3416"/>
  <c r="AT108" i="3416"/>
  <c r="AS108" i="3416"/>
  <c r="AR108" i="3416"/>
  <c r="AQ108" i="3416"/>
  <c r="AP108" i="3416"/>
  <c r="AO108" i="3416"/>
  <c r="AN108" i="3416"/>
  <c r="AM108" i="3416"/>
  <c r="AL108" i="3416"/>
  <c r="AK108" i="3416"/>
  <c r="AJ108" i="3416"/>
  <c r="AI108" i="3416"/>
  <c r="AH108" i="3416"/>
  <c r="AG108" i="3416"/>
  <c r="AF108" i="3416"/>
  <c r="AE108" i="3416"/>
  <c r="AD108" i="3416"/>
  <c r="AC108" i="3416"/>
  <c r="AB108" i="3416"/>
  <c r="AA108" i="3416"/>
  <c r="Z108" i="3416"/>
  <c r="Y108" i="3416"/>
  <c r="X108" i="3416"/>
  <c r="W108" i="3416"/>
  <c r="V108" i="3416"/>
  <c r="U108" i="3416"/>
  <c r="T108" i="3416"/>
  <c r="S108" i="3416"/>
  <c r="R108" i="3416"/>
  <c r="Q108" i="3416"/>
  <c r="P108" i="3416"/>
  <c r="O108" i="3416"/>
  <c r="N108" i="3416"/>
  <c r="M108" i="3416"/>
  <c r="L108" i="3416"/>
  <c r="K108" i="3416"/>
  <c r="J108" i="3416"/>
  <c r="I108" i="3416"/>
  <c r="H108" i="3416"/>
  <c r="G108" i="3416"/>
  <c r="F108" i="3416"/>
  <c r="E108" i="3416"/>
  <c r="D108" i="3416"/>
  <c r="C108" i="3416" a="1"/>
  <c r="C108" i="3416"/>
  <c r="A108" i="3416"/>
  <c r="EM107" i="3416"/>
  <c r="EL107" i="3416"/>
  <c r="EK107" i="3416"/>
  <c r="EJ107" i="3416"/>
  <c r="EI107" i="3416"/>
  <c r="EH107" i="3416"/>
  <c r="EG107" i="3416"/>
  <c r="EF107" i="3416"/>
  <c r="EE107" i="3416"/>
  <c r="ED107" i="3416"/>
  <c r="EC107" i="3416"/>
  <c r="EB107" i="3416"/>
  <c r="EA107" i="3416"/>
  <c r="DZ107" i="3416"/>
  <c r="DY107" i="3416"/>
  <c r="DX107" i="3416"/>
  <c r="DW107" i="3416"/>
  <c r="DV107" i="3416"/>
  <c r="DU107" i="3416"/>
  <c r="DT107" i="3416"/>
  <c r="DS107" i="3416"/>
  <c r="DR107" i="3416"/>
  <c r="DQ107" i="3416"/>
  <c r="DP107" i="3416"/>
  <c r="DO107" i="3416"/>
  <c r="DN107" i="3416"/>
  <c r="DM107" i="3416"/>
  <c r="DL107" i="3416"/>
  <c r="DK107" i="3416"/>
  <c r="DJ107" i="3416"/>
  <c r="DI107" i="3416"/>
  <c r="DH107" i="3416"/>
  <c r="DG107" i="3416"/>
  <c r="DF107" i="3416"/>
  <c r="DE107" i="3416"/>
  <c r="DD107" i="3416"/>
  <c r="DC107" i="3416"/>
  <c r="DB107" i="3416"/>
  <c r="DA107" i="3416"/>
  <c r="CZ107" i="3416"/>
  <c r="CY107" i="3416"/>
  <c r="CX107" i="3416"/>
  <c r="CW107" i="3416"/>
  <c r="CV107" i="3416"/>
  <c r="CU107" i="3416"/>
  <c r="CT107" i="3416"/>
  <c r="CS107" i="3416"/>
  <c r="CR107" i="3416"/>
  <c r="CQ107" i="3416"/>
  <c r="CP107" i="3416"/>
  <c r="CO107" i="3416"/>
  <c r="CN107" i="3416"/>
  <c r="CM107" i="3416"/>
  <c r="CL107" i="3416"/>
  <c r="CK107" i="3416"/>
  <c r="CJ107" i="3416"/>
  <c r="CI107" i="3416"/>
  <c r="CH107" i="3416"/>
  <c r="CG107" i="3416"/>
  <c r="CF107" i="3416"/>
  <c r="CE107" i="3416"/>
  <c r="CD107" i="3416"/>
  <c r="CC107" i="3416"/>
  <c r="CB107" i="3416"/>
  <c r="CA107" i="3416"/>
  <c r="BZ107" i="3416"/>
  <c r="BY107" i="3416"/>
  <c r="BX107" i="3416"/>
  <c r="BW107" i="3416"/>
  <c r="BV107" i="3416"/>
  <c r="BU107" i="3416"/>
  <c r="BT107" i="3416"/>
  <c r="BS107" i="3416"/>
  <c r="BR107" i="3416"/>
  <c r="BQ107" i="3416"/>
  <c r="BP107" i="3416"/>
  <c r="BO107" i="3416"/>
  <c r="BN107" i="3416"/>
  <c r="BM107" i="3416"/>
  <c r="BL107" i="3416"/>
  <c r="BK107" i="3416"/>
  <c r="BJ107" i="3416"/>
  <c r="BI107" i="3416"/>
  <c r="BH107" i="3416"/>
  <c r="BG107" i="3416"/>
  <c r="BF107" i="3416"/>
  <c r="BE107" i="3416"/>
  <c r="BD107" i="3416"/>
  <c r="BC107" i="3416"/>
  <c r="BB107" i="3416"/>
  <c r="BA107" i="3416"/>
  <c r="AZ107" i="3416"/>
  <c r="AY107" i="3416"/>
  <c r="AX107" i="3416"/>
  <c r="AW107" i="3416"/>
  <c r="AV107" i="3416"/>
  <c r="AU107" i="3416"/>
  <c r="AT107" i="3416"/>
  <c r="AS107" i="3416"/>
  <c r="AR107" i="3416"/>
  <c r="AQ107" i="3416"/>
  <c r="AP107" i="3416"/>
  <c r="AO107" i="3416"/>
  <c r="AN107" i="3416"/>
  <c r="AM107" i="3416"/>
  <c r="AL107" i="3416"/>
  <c r="AK107" i="3416"/>
  <c r="AJ107" i="3416"/>
  <c r="AI107" i="3416"/>
  <c r="AH107" i="3416"/>
  <c r="AG107" i="3416"/>
  <c r="AF107" i="3416"/>
  <c r="AE107" i="3416"/>
  <c r="AD107" i="3416"/>
  <c r="AC107" i="3416"/>
  <c r="AB107" i="3416"/>
  <c r="AA107" i="3416"/>
  <c r="Z107" i="3416"/>
  <c r="Y107" i="3416"/>
  <c r="X107" i="3416"/>
  <c r="W107" i="3416"/>
  <c r="V107" i="3416"/>
  <c r="U107" i="3416"/>
  <c r="T107" i="3416"/>
  <c r="S107" i="3416"/>
  <c r="R107" i="3416"/>
  <c r="Q107" i="3416"/>
  <c r="P107" i="3416"/>
  <c r="O107" i="3416"/>
  <c r="N107" i="3416"/>
  <c r="M107" i="3416"/>
  <c r="L107" i="3416"/>
  <c r="K107" i="3416"/>
  <c r="J107" i="3416"/>
  <c r="I107" i="3416"/>
  <c r="H107" i="3416"/>
  <c r="G107" i="3416"/>
  <c r="F107" i="3416"/>
  <c r="E107" i="3416"/>
  <c r="D107" i="3416"/>
  <c r="C107" i="3416" a="1"/>
  <c r="C107" i="3416"/>
  <c r="A107" i="3416"/>
  <c r="EM106" i="3416"/>
  <c r="EL106" i="3416"/>
  <c r="EK106" i="3416"/>
  <c r="EJ106" i="3416"/>
  <c r="EI106" i="3416"/>
  <c r="EH106" i="3416"/>
  <c r="EG106" i="3416"/>
  <c r="EF106" i="3416"/>
  <c r="EE106" i="3416"/>
  <c r="ED106" i="3416"/>
  <c r="EC106" i="3416"/>
  <c r="EB106" i="3416"/>
  <c r="EA106" i="3416"/>
  <c r="DZ106" i="3416"/>
  <c r="DY106" i="3416"/>
  <c r="DX106" i="3416"/>
  <c r="DW106" i="3416"/>
  <c r="DV106" i="3416"/>
  <c r="DU106" i="3416"/>
  <c r="DT106" i="3416"/>
  <c r="DS106" i="3416"/>
  <c r="DR106" i="3416"/>
  <c r="DQ106" i="3416"/>
  <c r="DP106" i="3416"/>
  <c r="DO106" i="3416"/>
  <c r="DN106" i="3416"/>
  <c r="DM106" i="3416"/>
  <c r="DL106" i="3416"/>
  <c r="DK106" i="3416"/>
  <c r="DJ106" i="3416"/>
  <c r="DI106" i="3416"/>
  <c r="DH106" i="3416"/>
  <c r="DG106" i="3416"/>
  <c r="DF106" i="3416"/>
  <c r="DE106" i="3416"/>
  <c r="DD106" i="3416"/>
  <c r="DC106" i="3416"/>
  <c r="DB106" i="3416"/>
  <c r="DA106" i="3416"/>
  <c r="CZ106" i="3416"/>
  <c r="CY106" i="3416"/>
  <c r="CX106" i="3416"/>
  <c r="CW106" i="3416"/>
  <c r="CV106" i="3416"/>
  <c r="CU106" i="3416"/>
  <c r="CT106" i="3416"/>
  <c r="CS106" i="3416"/>
  <c r="CR106" i="3416"/>
  <c r="CQ106" i="3416"/>
  <c r="CP106" i="3416"/>
  <c r="CO106" i="3416"/>
  <c r="CN106" i="3416"/>
  <c r="CM106" i="3416"/>
  <c r="CL106" i="3416"/>
  <c r="CK106" i="3416"/>
  <c r="CJ106" i="3416"/>
  <c r="CI106" i="3416"/>
  <c r="CH106" i="3416"/>
  <c r="CG106" i="3416"/>
  <c r="CF106" i="3416"/>
  <c r="CE106" i="3416"/>
  <c r="CD106" i="3416"/>
  <c r="CC106" i="3416"/>
  <c r="CB106" i="3416"/>
  <c r="CA106" i="3416"/>
  <c r="BZ106" i="3416"/>
  <c r="BY106" i="3416"/>
  <c r="BX106" i="3416"/>
  <c r="BW106" i="3416"/>
  <c r="BV106" i="3416"/>
  <c r="BU106" i="3416"/>
  <c r="BT106" i="3416"/>
  <c r="BS106" i="3416"/>
  <c r="BR106" i="3416"/>
  <c r="BQ106" i="3416"/>
  <c r="BP106" i="3416"/>
  <c r="BO106" i="3416"/>
  <c r="BN106" i="3416"/>
  <c r="BM106" i="3416"/>
  <c r="BL106" i="3416"/>
  <c r="BK106" i="3416"/>
  <c r="BJ106" i="3416"/>
  <c r="BI106" i="3416"/>
  <c r="BH106" i="3416"/>
  <c r="BG106" i="3416"/>
  <c r="BF106" i="3416"/>
  <c r="BE106" i="3416"/>
  <c r="BD106" i="3416"/>
  <c r="BC106" i="3416"/>
  <c r="BB106" i="3416"/>
  <c r="BA106" i="3416"/>
  <c r="AZ106" i="3416"/>
  <c r="AY106" i="3416"/>
  <c r="AX106" i="3416"/>
  <c r="AW106" i="3416"/>
  <c r="AV106" i="3416"/>
  <c r="AU106" i="3416"/>
  <c r="AT106" i="3416"/>
  <c r="AS106" i="3416"/>
  <c r="AR106" i="3416"/>
  <c r="AQ106" i="3416"/>
  <c r="AP106" i="3416"/>
  <c r="AO106" i="3416"/>
  <c r="AN106" i="3416"/>
  <c r="AM106" i="3416"/>
  <c r="AL106" i="3416"/>
  <c r="AK106" i="3416"/>
  <c r="AJ106" i="3416"/>
  <c r="AI106" i="3416"/>
  <c r="AH106" i="3416"/>
  <c r="AG106" i="3416"/>
  <c r="AF106" i="3416"/>
  <c r="AE106" i="3416"/>
  <c r="AD106" i="3416"/>
  <c r="AC106" i="3416"/>
  <c r="AB106" i="3416"/>
  <c r="AA106" i="3416"/>
  <c r="Z106" i="3416"/>
  <c r="Y106" i="3416"/>
  <c r="X106" i="3416"/>
  <c r="W106" i="3416"/>
  <c r="V106" i="3416"/>
  <c r="U106" i="3416"/>
  <c r="T106" i="3416"/>
  <c r="S106" i="3416"/>
  <c r="R106" i="3416"/>
  <c r="Q106" i="3416"/>
  <c r="P106" i="3416"/>
  <c r="O106" i="3416"/>
  <c r="N106" i="3416"/>
  <c r="M106" i="3416"/>
  <c r="L106" i="3416"/>
  <c r="K106" i="3416"/>
  <c r="J106" i="3416"/>
  <c r="I106" i="3416"/>
  <c r="H106" i="3416"/>
  <c r="G106" i="3416"/>
  <c r="F106" i="3416"/>
  <c r="E106" i="3416"/>
  <c r="D106" i="3416"/>
  <c r="C106" i="3416" a="1"/>
  <c r="C106" i="3416"/>
  <c r="A106" i="3416"/>
  <c r="EM105" i="3416"/>
  <c r="EL105" i="3416"/>
  <c r="EK105" i="3416"/>
  <c r="EJ105" i="3416"/>
  <c r="EI105" i="3416"/>
  <c r="EH105" i="3416"/>
  <c r="EG105" i="3416"/>
  <c r="EF105" i="3416"/>
  <c r="EE105" i="3416"/>
  <c r="ED105" i="3416"/>
  <c r="EC105" i="3416"/>
  <c r="EB105" i="3416"/>
  <c r="EA105" i="3416"/>
  <c r="DZ105" i="3416"/>
  <c r="DY105" i="3416"/>
  <c r="DX105" i="3416"/>
  <c r="DW105" i="3416"/>
  <c r="DV105" i="3416"/>
  <c r="DU105" i="3416"/>
  <c r="DT105" i="3416"/>
  <c r="DS105" i="3416"/>
  <c r="DR105" i="3416"/>
  <c r="DQ105" i="3416"/>
  <c r="DP105" i="3416"/>
  <c r="DO105" i="3416"/>
  <c r="DN105" i="3416"/>
  <c r="DM105" i="3416"/>
  <c r="DL105" i="3416"/>
  <c r="DK105" i="3416"/>
  <c r="DJ105" i="3416"/>
  <c r="DI105" i="3416"/>
  <c r="DH105" i="3416"/>
  <c r="DG105" i="3416"/>
  <c r="DF105" i="3416"/>
  <c r="DE105" i="3416"/>
  <c r="DD105" i="3416"/>
  <c r="DC105" i="3416"/>
  <c r="DB105" i="3416"/>
  <c r="DA105" i="3416"/>
  <c r="CZ105" i="3416"/>
  <c r="CY105" i="3416"/>
  <c r="CX105" i="3416"/>
  <c r="CW105" i="3416"/>
  <c r="CV105" i="3416"/>
  <c r="CU105" i="3416"/>
  <c r="CT105" i="3416"/>
  <c r="CS105" i="3416"/>
  <c r="CR105" i="3416"/>
  <c r="CQ105" i="3416"/>
  <c r="CP105" i="3416"/>
  <c r="CO105" i="3416"/>
  <c r="CN105" i="3416"/>
  <c r="CM105" i="3416"/>
  <c r="CL105" i="3416"/>
  <c r="CK105" i="3416"/>
  <c r="CJ105" i="3416"/>
  <c r="CI105" i="3416"/>
  <c r="CH105" i="3416"/>
  <c r="CG105" i="3416"/>
  <c r="CF105" i="3416"/>
  <c r="CE105" i="3416"/>
  <c r="CD105" i="3416"/>
  <c r="CC105" i="3416"/>
  <c r="CB105" i="3416"/>
  <c r="CA105" i="3416"/>
  <c r="BZ105" i="3416"/>
  <c r="BY105" i="3416"/>
  <c r="BX105" i="3416"/>
  <c r="BW105" i="3416"/>
  <c r="BV105" i="3416"/>
  <c r="BU105" i="3416"/>
  <c r="BT105" i="3416"/>
  <c r="BS105" i="3416"/>
  <c r="BR105" i="3416"/>
  <c r="BQ105" i="3416"/>
  <c r="BP105" i="3416"/>
  <c r="BO105" i="3416"/>
  <c r="BN105" i="3416"/>
  <c r="BM105" i="3416"/>
  <c r="BL105" i="3416"/>
  <c r="BK105" i="3416"/>
  <c r="BJ105" i="3416"/>
  <c r="BI105" i="3416"/>
  <c r="BH105" i="3416"/>
  <c r="BG105" i="3416"/>
  <c r="BF105" i="3416"/>
  <c r="BE105" i="3416"/>
  <c r="BD105" i="3416"/>
  <c r="BC105" i="3416"/>
  <c r="BB105" i="3416"/>
  <c r="BA105" i="3416"/>
  <c r="AZ105" i="3416"/>
  <c r="AY105" i="3416"/>
  <c r="AX105" i="3416"/>
  <c r="AW105" i="3416"/>
  <c r="AV105" i="3416"/>
  <c r="AU105" i="3416"/>
  <c r="AT105" i="3416"/>
  <c r="AS105" i="3416"/>
  <c r="AR105" i="3416"/>
  <c r="AQ105" i="3416"/>
  <c r="AP105" i="3416"/>
  <c r="AO105" i="3416"/>
  <c r="AN105" i="3416"/>
  <c r="AM105" i="3416"/>
  <c r="AL105" i="3416"/>
  <c r="AK105" i="3416"/>
  <c r="AJ105" i="3416"/>
  <c r="AI105" i="3416"/>
  <c r="AH105" i="3416"/>
  <c r="AG105" i="3416"/>
  <c r="AF105" i="3416"/>
  <c r="AE105" i="3416"/>
  <c r="AD105" i="3416"/>
  <c r="AC105" i="3416"/>
  <c r="AB105" i="3416"/>
  <c r="AA105" i="3416"/>
  <c r="Z105" i="3416"/>
  <c r="Y105" i="3416"/>
  <c r="X105" i="3416"/>
  <c r="W105" i="3416"/>
  <c r="V105" i="3416"/>
  <c r="U105" i="3416"/>
  <c r="T105" i="3416"/>
  <c r="S105" i="3416"/>
  <c r="R105" i="3416"/>
  <c r="Q105" i="3416"/>
  <c r="P105" i="3416"/>
  <c r="O105" i="3416"/>
  <c r="N105" i="3416"/>
  <c r="M105" i="3416"/>
  <c r="L105" i="3416"/>
  <c r="K105" i="3416"/>
  <c r="J105" i="3416"/>
  <c r="I105" i="3416"/>
  <c r="H105" i="3416"/>
  <c r="G105" i="3416"/>
  <c r="F105" i="3416"/>
  <c r="E105" i="3416"/>
  <c r="D105" i="3416"/>
  <c r="C105" i="3416" a="1"/>
  <c r="C105" i="3416"/>
  <c r="A105" i="3416"/>
  <c r="EM104" i="3416"/>
  <c r="EL104" i="3416"/>
  <c r="EK104" i="3416"/>
  <c r="EJ104" i="3416"/>
  <c r="EI104" i="3416"/>
  <c r="EH104" i="3416"/>
  <c r="EG104" i="3416"/>
  <c r="EF104" i="3416"/>
  <c r="EE104" i="3416"/>
  <c r="ED104" i="3416"/>
  <c r="EC104" i="3416"/>
  <c r="EB104" i="3416"/>
  <c r="EA104" i="3416"/>
  <c r="DZ104" i="3416"/>
  <c r="DY104" i="3416"/>
  <c r="DX104" i="3416"/>
  <c r="DW104" i="3416"/>
  <c r="DV104" i="3416"/>
  <c r="DU104" i="3416"/>
  <c r="DT104" i="3416"/>
  <c r="DS104" i="3416"/>
  <c r="DR104" i="3416"/>
  <c r="DQ104" i="3416"/>
  <c r="DP104" i="3416"/>
  <c r="DO104" i="3416"/>
  <c r="DN104" i="3416"/>
  <c r="DM104" i="3416"/>
  <c r="DL104" i="3416"/>
  <c r="DK104" i="3416"/>
  <c r="DJ104" i="3416"/>
  <c r="DI104" i="3416"/>
  <c r="DH104" i="3416"/>
  <c r="DG104" i="3416"/>
  <c r="DF104" i="3416"/>
  <c r="DE104" i="3416"/>
  <c r="DD104" i="3416"/>
  <c r="DC104" i="3416"/>
  <c r="DB104" i="3416"/>
  <c r="DA104" i="3416"/>
  <c r="CZ104" i="3416"/>
  <c r="CY104" i="3416"/>
  <c r="CX104" i="3416"/>
  <c r="CW104" i="3416"/>
  <c r="CV104" i="3416"/>
  <c r="CU104" i="3416"/>
  <c r="CT104" i="3416"/>
  <c r="CS104" i="3416"/>
  <c r="CR104" i="3416"/>
  <c r="CQ104" i="3416"/>
  <c r="CP104" i="3416"/>
  <c r="CO104" i="3416"/>
  <c r="CN104" i="3416"/>
  <c r="CM104" i="3416"/>
  <c r="CL104" i="3416"/>
  <c r="CK104" i="3416"/>
  <c r="CJ104" i="3416"/>
  <c r="CI104" i="3416"/>
  <c r="CH104" i="3416"/>
  <c r="CG104" i="3416"/>
  <c r="CF104" i="3416"/>
  <c r="CE104" i="3416"/>
  <c r="CD104" i="3416"/>
  <c r="CC104" i="3416"/>
  <c r="CB104" i="3416"/>
  <c r="CA104" i="3416"/>
  <c r="BZ104" i="3416"/>
  <c r="BY104" i="3416"/>
  <c r="BX104" i="3416"/>
  <c r="BW104" i="3416"/>
  <c r="BV104" i="3416"/>
  <c r="BU104" i="3416"/>
  <c r="BT104" i="3416"/>
  <c r="BS104" i="3416"/>
  <c r="BR104" i="3416"/>
  <c r="BQ104" i="3416"/>
  <c r="BP104" i="3416"/>
  <c r="BO104" i="3416"/>
  <c r="BN104" i="3416"/>
  <c r="BM104" i="3416"/>
  <c r="BL104" i="3416"/>
  <c r="BK104" i="3416"/>
  <c r="BJ104" i="3416"/>
  <c r="BI104" i="3416"/>
  <c r="BH104" i="3416"/>
  <c r="BG104" i="3416"/>
  <c r="BF104" i="3416"/>
  <c r="BE104" i="3416"/>
  <c r="BD104" i="3416"/>
  <c r="BC104" i="3416"/>
  <c r="BB104" i="3416"/>
  <c r="BA104" i="3416"/>
  <c r="AZ104" i="3416"/>
  <c r="AY104" i="3416"/>
  <c r="AX104" i="3416"/>
  <c r="AW104" i="3416"/>
  <c r="AV104" i="3416"/>
  <c r="AU104" i="3416"/>
  <c r="AT104" i="3416"/>
  <c r="AS104" i="3416"/>
  <c r="AR104" i="3416"/>
  <c r="AQ104" i="3416"/>
  <c r="AP104" i="3416"/>
  <c r="AO104" i="3416"/>
  <c r="AN104" i="3416"/>
  <c r="AM104" i="3416"/>
  <c r="AL104" i="3416"/>
  <c r="AK104" i="3416"/>
  <c r="AJ104" i="3416"/>
  <c r="AI104" i="3416"/>
  <c r="AH104" i="3416"/>
  <c r="AG104" i="3416"/>
  <c r="AF104" i="3416"/>
  <c r="AE104" i="3416"/>
  <c r="AD104" i="3416"/>
  <c r="AC104" i="3416"/>
  <c r="AB104" i="3416"/>
  <c r="AA104" i="3416"/>
  <c r="Z104" i="3416"/>
  <c r="Y104" i="3416"/>
  <c r="X104" i="3416"/>
  <c r="W104" i="3416"/>
  <c r="V104" i="3416"/>
  <c r="U104" i="3416"/>
  <c r="T104" i="3416"/>
  <c r="S104" i="3416"/>
  <c r="R104" i="3416"/>
  <c r="Q104" i="3416"/>
  <c r="P104" i="3416"/>
  <c r="O104" i="3416"/>
  <c r="N104" i="3416"/>
  <c r="M104" i="3416"/>
  <c r="L104" i="3416"/>
  <c r="K104" i="3416"/>
  <c r="J104" i="3416"/>
  <c r="I104" i="3416"/>
  <c r="H104" i="3416"/>
  <c r="G104" i="3416"/>
  <c r="F104" i="3416"/>
  <c r="E104" i="3416"/>
  <c r="D104" i="3416"/>
  <c r="C104" i="3416" a="1"/>
  <c r="C104" i="3416"/>
  <c r="A104" i="3416"/>
  <c r="EM103" i="3416"/>
  <c r="EL103" i="3416"/>
  <c r="EK103" i="3416"/>
  <c r="EJ103" i="3416"/>
  <c r="EI103" i="3416"/>
  <c r="EH103" i="3416"/>
  <c r="EG103" i="3416"/>
  <c r="EF103" i="3416"/>
  <c r="EE103" i="3416"/>
  <c r="ED103" i="3416"/>
  <c r="EC103" i="3416"/>
  <c r="EB103" i="3416"/>
  <c r="EA103" i="3416"/>
  <c r="DZ103" i="3416"/>
  <c r="DY103" i="3416"/>
  <c r="DX103" i="3416"/>
  <c r="DW103" i="3416"/>
  <c r="DV103" i="3416"/>
  <c r="DU103" i="3416"/>
  <c r="DT103" i="3416"/>
  <c r="DS103" i="3416"/>
  <c r="DR103" i="3416"/>
  <c r="DQ103" i="3416"/>
  <c r="DP103" i="3416"/>
  <c r="DO103" i="3416"/>
  <c r="DN103" i="3416"/>
  <c r="DM103" i="3416"/>
  <c r="DL103" i="3416"/>
  <c r="DK103" i="3416"/>
  <c r="DJ103" i="3416"/>
  <c r="DI103" i="3416"/>
  <c r="DH103" i="3416"/>
  <c r="DG103" i="3416"/>
  <c r="DF103" i="3416"/>
  <c r="DE103" i="3416"/>
  <c r="DD103" i="3416"/>
  <c r="DC103" i="3416"/>
  <c r="DB103" i="3416"/>
  <c r="DA103" i="3416"/>
  <c r="CZ103" i="3416"/>
  <c r="CY103" i="3416"/>
  <c r="CX103" i="3416"/>
  <c r="CW103" i="3416"/>
  <c r="CV103" i="3416"/>
  <c r="CU103" i="3416"/>
  <c r="CT103" i="3416"/>
  <c r="CS103" i="3416"/>
  <c r="CR103" i="3416"/>
  <c r="CQ103" i="3416"/>
  <c r="CP103" i="3416"/>
  <c r="CO103" i="3416"/>
  <c r="CN103" i="3416"/>
  <c r="CM103" i="3416"/>
  <c r="CL103" i="3416"/>
  <c r="CK103" i="3416"/>
  <c r="CJ103" i="3416"/>
  <c r="CI103" i="3416"/>
  <c r="CH103" i="3416"/>
  <c r="CG103" i="3416"/>
  <c r="CF103" i="3416"/>
  <c r="CE103" i="3416"/>
  <c r="CD103" i="3416"/>
  <c r="CC103" i="3416"/>
  <c r="CB103" i="3416"/>
  <c r="CA103" i="3416"/>
  <c r="BZ103" i="3416"/>
  <c r="BY103" i="3416"/>
  <c r="BX103" i="3416"/>
  <c r="BW103" i="3416"/>
  <c r="BV103" i="3416"/>
  <c r="BU103" i="3416"/>
  <c r="BT103" i="3416"/>
  <c r="BS103" i="3416"/>
  <c r="BR103" i="3416"/>
  <c r="BQ103" i="3416"/>
  <c r="BP103" i="3416"/>
  <c r="BO103" i="3416"/>
  <c r="BN103" i="3416"/>
  <c r="BM103" i="3416"/>
  <c r="BL103" i="3416"/>
  <c r="BK103" i="3416"/>
  <c r="BJ103" i="3416"/>
  <c r="BI103" i="3416"/>
  <c r="BH103" i="3416"/>
  <c r="BG103" i="3416"/>
  <c r="BF103" i="3416"/>
  <c r="BE103" i="3416"/>
  <c r="BD103" i="3416"/>
  <c r="BC103" i="3416"/>
  <c r="BB103" i="3416"/>
  <c r="BA103" i="3416"/>
  <c r="AZ103" i="3416"/>
  <c r="AY103" i="3416"/>
  <c r="AX103" i="3416"/>
  <c r="AW103" i="3416"/>
  <c r="AV103" i="3416"/>
  <c r="AU103" i="3416"/>
  <c r="AT103" i="3416"/>
  <c r="AS103" i="3416"/>
  <c r="AR103" i="3416"/>
  <c r="AQ103" i="3416"/>
  <c r="AP103" i="3416"/>
  <c r="AO103" i="3416"/>
  <c r="AN103" i="3416"/>
  <c r="AM103" i="3416"/>
  <c r="AL103" i="3416"/>
  <c r="AK103" i="3416"/>
  <c r="AJ103" i="3416"/>
  <c r="AI103" i="3416"/>
  <c r="AH103" i="3416"/>
  <c r="AG103" i="3416"/>
  <c r="AF103" i="3416"/>
  <c r="AE103" i="3416"/>
  <c r="AD103" i="3416"/>
  <c r="AC103" i="3416"/>
  <c r="AB103" i="3416"/>
  <c r="AA103" i="3416"/>
  <c r="Z103" i="3416"/>
  <c r="Y103" i="3416"/>
  <c r="X103" i="3416"/>
  <c r="W103" i="3416"/>
  <c r="V103" i="3416"/>
  <c r="U103" i="3416"/>
  <c r="T103" i="3416"/>
  <c r="S103" i="3416"/>
  <c r="R103" i="3416"/>
  <c r="Q103" i="3416"/>
  <c r="P103" i="3416"/>
  <c r="O103" i="3416"/>
  <c r="N103" i="3416"/>
  <c r="M103" i="3416"/>
  <c r="L103" i="3416"/>
  <c r="K103" i="3416"/>
  <c r="J103" i="3416"/>
  <c r="I103" i="3416"/>
  <c r="H103" i="3416"/>
  <c r="G103" i="3416"/>
  <c r="F103" i="3416"/>
  <c r="E103" i="3416"/>
  <c r="D103" i="3416"/>
  <c r="C103" i="3416" a="1"/>
  <c r="C103" i="3416"/>
  <c r="A103" i="3416"/>
  <c r="EM102" i="3416"/>
  <c r="EL102" i="3416"/>
  <c r="EK102" i="3416"/>
  <c r="EJ102" i="3416"/>
  <c r="EI102" i="3416"/>
  <c r="EH102" i="3416"/>
  <c r="EG102" i="3416"/>
  <c r="EF102" i="3416"/>
  <c r="EE102" i="3416"/>
  <c r="ED102" i="3416"/>
  <c r="EC102" i="3416"/>
  <c r="EB102" i="3416"/>
  <c r="EA102" i="3416"/>
  <c r="DZ102" i="3416"/>
  <c r="DY102" i="3416"/>
  <c r="DX102" i="3416"/>
  <c r="DW102" i="3416"/>
  <c r="DV102" i="3416"/>
  <c r="DU102" i="3416"/>
  <c r="DT102" i="3416"/>
  <c r="DS102" i="3416"/>
  <c r="DR102" i="3416"/>
  <c r="DQ102" i="3416"/>
  <c r="DP102" i="3416"/>
  <c r="DO102" i="3416"/>
  <c r="DN102" i="3416"/>
  <c r="DM102" i="3416"/>
  <c r="DL102" i="3416"/>
  <c r="DK102" i="3416"/>
  <c r="DJ102" i="3416"/>
  <c r="DI102" i="3416"/>
  <c r="DH102" i="3416"/>
  <c r="DG102" i="3416"/>
  <c r="DF102" i="3416"/>
  <c r="DE102" i="3416"/>
  <c r="DD102" i="3416"/>
  <c r="DC102" i="3416"/>
  <c r="DB102" i="3416"/>
  <c r="DA102" i="3416"/>
  <c r="CZ102" i="3416"/>
  <c r="CY102" i="3416"/>
  <c r="CX102" i="3416"/>
  <c r="CW102" i="3416"/>
  <c r="CV102" i="3416"/>
  <c r="CU102" i="3416"/>
  <c r="CT102" i="3416"/>
  <c r="CS102" i="3416"/>
  <c r="CR102" i="3416"/>
  <c r="CQ102" i="3416"/>
  <c r="CP102" i="3416"/>
  <c r="CO102" i="3416"/>
  <c r="CN102" i="3416"/>
  <c r="CM102" i="3416"/>
  <c r="CL102" i="3416"/>
  <c r="CK102" i="3416"/>
  <c r="CJ102" i="3416"/>
  <c r="CI102" i="3416"/>
  <c r="CH102" i="3416"/>
  <c r="CG102" i="3416"/>
  <c r="CF102" i="3416"/>
  <c r="CE102" i="3416"/>
  <c r="CD102" i="3416"/>
  <c r="CC102" i="3416"/>
  <c r="CB102" i="3416"/>
  <c r="CA102" i="3416"/>
  <c r="BZ102" i="3416"/>
  <c r="BY102" i="3416"/>
  <c r="BX102" i="3416"/>
  <c r="BW102" i="3416"/>
  <c r="BV102" i="3416"/>
  <c r="BU102" i="3416"/>
  <c r="BT102" i="3416"/>
  <c r="BS102" i="3416"/>
  <c r="BR102" i="3416"/>
  <c r="BQ102" i="3416"/>
  <c r="BP102" i="3416"/>
  <c r="BO102" i="3416"/>
  <c r="BN102" i="3416"/>
  <c r="BM102" i="3416"/>
  <c r="BL102" i="3416"/>
  <c r="BK102" i="3416"/>
  <c r="BJ102" i="3416"/>
  <c r="BI102" i="3416"/>
  <c r="BH102" i="3416"/>
  <c r="BG102" i="3416"/>
  <c r="BF102" i="3416"/>
  <c r="BE102" i="3416"/>
  <c r="BD102" i="3416"/>
  <c r="BC102" i="3416"/>
  <c r="BB102" i="3416"/>
  <c r="BA102" i="3416"/>
  <c r="AZ102" i="3416"/>
  <c r="AY102" i="3416"/>
  <c r="AX102" i="3416"/>
  <c r="AW102" i="3416"/>
  <c r="AV102" i="3416"/>
  <c r="AU102" i="3416"/>
  <c r="AT102" i="3416"/>
  <c r="AS102" i="3416"/>
  <c r="AR102" i="3416"/>
  <c r="AQ102" i="3416"/>
  <c r="AP102" i="3416"/>
  <c r="AO102" i="3416"/>
  <c r="AN102" i="3416"/>
  <c r="AM102" i="3416"/>
  <c r="AL102" i="3416"/>
  <c r="AK102" i="3416"/>
  <c r="AJ102" i="3416"/>
  <c r="AI102" i="3416"/>
  <c r="AH102" i="3416"/>
  <c r="AG102" i="3416"/>
  <c r="AF102" i="3416"/>
  <c r="AE102" i="3416"/>
  <c r="AD102" i="3416"/>
  <c r="AC102" i="3416"/>
  <c r="AB102" i="3416"/>
  <c r="AA102" i="3416"/>
  <c r="Z102" i="3416"/>
  <c r="Y102" i="3416"/>
  <c r="X102" i="3416"/>
  <c r="W102" i="3416"/>
  <c r="V102" i="3416"/>
  <c r="U102" i="3416"/>
  <c r="T102" i="3416"/>
  <c r="S102" i="3416"/>
  <c r="R102" i="3416"/>
  <c r="Q102" i="3416"/>
  <c r="P102" i="3416"/>
  <c r="O102" i="3416"/>
  <c r="N102" i="3416"/>
  <c r="M102" i="3416"/>
  <c r="L102" i="3416"/>
  <c r="K102" i="3416"/>
  <c r="J102" i="3416"/>
  <c r="I102" i="3416"/>
  <c r="H102" i="3416"/>
  <c r="G102" i="3416"/>
  <c r="F102" i="3416"/>
  <c r="E102" i="3416"/>
  <c r="D102" i="3416"/>
  <c r="C102" i="3416" a="1"/>
  <c r="C102" i="3416"/>
  <c r="A102" i="3416"/>
  <c r="EM101" i="3416"/>
  <c r="EL101" i="3416"/>
  <c r="EK101" i="3416"/>
  <c r="EJ101" i="3416"/>
  <c r="EI101" i="3416"/>
  <c r="EH101" i="3416"/>
  <c r="EG101" i="3416"/>
  <c r="EF101" i="3416"/>
  <c r="EE101" i="3416"/>
  <c r="ED101" i="3416"/>
  <c r="EC101" i="3416"/>
  <c r="EB101" i="3416"/>
  <c r="EA101" i="3416"/>
  <c r="DZ101" i="3416"/>
  <c r="DY101" i="3416"/>
  <c r="DX101" i="3416"/>
  <c r="DW101" i="3416"/>
  <c r="DV101" i="3416"/>
  <c r="DU101" i="3416"/>
  <c r="DT101" i="3416"/>
  <c r="DS101" i="3416"/>
  <c r="DR101" i="3416"/>
  <c r="DQ101" i="3416"/>
  <c r="DP101" i="3416"/>
  <c r="DO101" i="3416"/>
  <c r="DN101" i="3416"/>
  <c r="DM101" i="3416"/>
  <c r="DL101" i="3416"/>
  <c r="DK101" i="3416"/>
  <c r="DJ101" i="3416"/>
  <c r="DI101" i="3416"/>
  <c r="DH101" i="3416"/>
  <c r="DG101" i="3416"/>
  <c r="DF101" i="3416"/>
  <c r="DE101" i="3416"/>
  <c r="DD101" i="3416"/>
  <c r="DC101" i="3416"/>
  <c r="DB101" i="3416"/>
  <c r="DA101" i="3416"/>
  <c r="CZ101" i="3416"/>
  <c r="CY101" i="3416"/>
  <c r="CX101" i="3416"/>
  <c r="CW101" i="3416"/>
  <c r="CV101" i="3416"/>
  <c r="CU101" i="3416"/>
  <c r="CT101" i="3416"/>
  <c r="CS101" i="3416"/>
  <c r="CR101" i="3416"/>
  <c r="CQ101" i="3416"/>
  <c r="CP101" i="3416"/>
  <c r="CO101" i="3416"/>
  <c r="CN101" i="3416"/>
  <c r="CM101" i="3416"/>
  <c r="CL101" i="3416"/>
  <c r="CK101" i="3416"/>
  <c r="CJ101" i="3416"/>
  <c r="CI101" i="3416"/>
  <c r="CH101" i="3416"/>
  <c r="CG101" i="3416"/>
  <c r="CF101" i="3416"/>
  <c r="CE101" i="3416"/>
  <c r="CD101" i="3416"/>
  <c r="CC101" i="3416"/>
  <c r="CB101" i="3416"/>
  <c r="CA101" i="3416"/>
  <c r="BZ101" i="3416"/>
  <c r="BY101" i="3416"/>
  <c r="BX101" i="3416"/>
  <c r="BW101" i="3416"/>
  <c r="BV101" i="3416"/>
  <c r="BU101" i="3416"/>
  <c r="BT101" i="3416"/>
  <c r="BS101" i="3416"/>
  <c r="BR101" i="3416"/>
  <c r="BQ101" i="3416"/>
  <c r="BP101" i="3416"/>
  <c r="BO101" i="3416"/>
  <c r="BN101" i="3416"/>
  <c r="BM101" i="3416"/>
  <c r="BL101" i="3416"/>
  <c r="BK101" i="3416"/>
  <c r="BJ101" i="3416"/>
  <c r="BI101" i="3416"/>
  <c r="BH101" i="3416"/>
  <c r="BG101" i="3416"/>
  <c r="BF101" i="3416"/>
  <c r="BE101" i="3416"/>
  <c r="BD101" i="3416"/>
  <c r="BC101" i="3416"/>
  <c r="BB101" i="3416"/>
  <c r="BA101" i="3416"/>
  <c r="AZ101" i="3416"/>
  <c r="AY101" i="3416"/>
  <c r="AX101" i="3416"/>
  <c r="AW101" i="3416"/>
  <c r="AV101" i="3416"/>
  <c r="AU101" i="3416"/>
  <c r="AT101" i="3416"/>
  <c r="AS101" i="3416"/>
  <c r="AR101" i="3416"/>
  <c r="AQ101" i="3416"/>
  <c r="AP101" i="3416"/>
  <c r="AO101" i="3416"/>
  <c r="AN101" i="3416"/>
  <c r="AM101" i="3416"/>
  <c r="AL101" i="3416"/>
  <c r="AK101" i="3416"/>
  <c r="AJ101" i="3416"/>
  <c r="AI101" i="3416"/>
  <c r="AH101" i="3416"/>
  <c r="AG101" i="3416"/>
  <c r="AF101" i="3416"/>
  <c r="AE101" i="3416"/>
  <c r="AD101" i="3416"/>
  <c r="AC101" i="3416"/>
  <c r="AB101" i="3416"/>
  <c r="AA101" i="3416"/>
  <c r="Z101" i="3416"/>
  <c r="Y101" i="3416"/>
  <c r="X101" i="3416"/>
  <c r="W101" i="3416"/>
  <c r="V101" i="3416"/>
  <c r="U101" i="3416"/>
  <c r="T101" i="3416"/>
  <c r="S101" i="3416"/>
  <c r="R101" i="3416"/>
  <c r="Q101" i="3416"/>
  <c r="P101" i="3416"/>
  <c r="O101" i="3416"/>
  <c r="N101" i="3416"/>
  <c r="M101" i="3416"/>
  <c r="L101" i="3416"/>
  <c r="K101" i="3416"/>
  <c r="J101" i="3416"/>
  <c r="I101" i="3416"/>
  <c r="H101" i="3416"/>
  <c r="G101" i="3416"/>
  <c r="F101" i="3416"/>
  <c r="E101" i="3416"/>
  <c r="D101" i="3416"/>
  <c r="C101" i="3416" a="1"/>
  <c r="C101" i="3416"/>
  <c r="A101" i="3416"/>
  <c r="EM100" i="3416"/>
  <c r="EL100" i="3416"/>
  <c r="EK100" i="3416"/>
  <c r="EJ100" i="3416"/>
  <c r="EI100" i="3416"/>
  <c r="EH100" i="3416"/>
  <c r="EG100" i="3416"/>
  <c r="EF100" i="3416"/>
  <c r="EE100" i="3416"/>
  <c r="ED100" i="3416"/>
  <c r="EC100" i="3416"/>
  <c r="EB100" i="3416"/>
  <c r="EA100" i="3416"/>
  <c r="DZ100" i="3416"/>
  <c r="DY100" i="3416"/>
  <c r="DX100" i="3416"/>
  <c r="DW100" i="3416"/>
  <c r="DV100" i="3416"/>
  <c r="DU100" i="3416"/>
  <c r="DT100" i="3416"/>
  <c r="DS100" i="3416"/>
  <c r="DR100" i="3416"/>
  <c r="DQ100" i="3416"/>
  <c r="DP100" i="3416"/>
  <c r="DO100" i="3416"/>
  <c r="DN100" i="3416"/>
  <c r="DM100" i="3416"/>
  <c r="DL100" i="3416"/>
  <c r="DK100" i="3416"/>
  <c r="DJ100" i="3416"/>
  <c r="DI100" i="3416"/>
  <c r="DH100" i="3416"/>
  <c r="DG100" i="3416"/>
  <c r="DF100" i="3416"/>
  <c r="DE100" i="3416"/>
  <c r="DD100" i="3416"/>
  <c r="DC100" i="3416"/>
  <c r="DB100" i="3416"/>
  <c r="DA100" i="3416"/>
  <c r="CZ100" i="3416"/>
  <c r="CY100" i="3416"/>
  <c r="CX100" i="3416"/>
  <c r="CW100" i="3416"/>
  <c r="CV100" i="3416"/>
  <c r="CU100" i="3416"/>
  <c r="CT100" i="3416"/>
  <c r="CS100" i="3416"/>
  <c r="CR100" i="3416"/>
  <c r="CQ100" i="3416"/>
  <c r="CP100" i="3416"/>
  <c r="CO100" i="3416"/>
  <c r="CN100" i="3416"/>
  <c r="CM100" i="3416"/>
  <c r="CL100" i="3416"/>
  <c r="CK100" i="3416"/>
  <c r="CJ100" i="3416"/>
  <c r="CI100" i="3416"/>
  <c r="CH100" i="3416"/>
  <c r="CG100" i="3416"/>
  <c r="CF100" i="3416"/>
  <c r="CE100" i="3416"/>
  <c r="CD100" i="3416"/>
  <c r="CC100" i="3416"/>
  <c r="CB100" i="3416"/>
  <c r="CA100" i="3416"/>
  <c r="BZ100" i="3416"/>
  <c r="BY100" i="3416"/>
  <c r="BX100" i="3416"/>
  <c r="BW100" i="3416"/>
  <c r="BV100" i="3416"/>
  <c r="BU100" i="3416"/>
  <c r="BT100" i="3416"/>
  <c r="BS100" i="3416"/>
  <c r="BR100" i="3416"/>
  <c r="BQ100" i="3416"/>
  <c r="BP100" i="3416"/>
  <c r="BO100" i="3416"/>
  <c r="BN100" i="3416"/>
  <c r="BM100" i="3416"/>
  <c r="BL100" i="3416"/>
  <c r="BK100" i="3416"/>
  <c r="BJ100" i="3416"/>
  <c r="BI100" i="3416"/>
  <c r="BH100" i="3416"/>
  <c r="BG100" i="3416"/>
  <c r="BF100" i="3416"/>
  <c r="BE100" i="3416"/>
  <c r="BD100" i="3416"/>
  <c r="BC100" i="3416"/>
  <c r="BB100" i="3416"/>
  <c r="BA100" i="3416"/>
  <c r="AZ100" i="3416"/>
  <c r="AY100" i="3416"/>
  <c r="AX100" i="3416"/>
  <c r="AW100" i="3416"/>
  <c r="AV100" i="3416"/>
  <c r="AU100" i="3416"/>
  <c r="AT100" i="3416"/>
  <c r="AS100" i="3416"/>
  <c r="AR100" i="3416"/>
  <c r="AQ100" i="3416"/>
  <c r="AP100" i="3416"/>
  <c r="AO100" i="3416"/>
  <c r="AN100" i="3416"/>
  <c r="AM100" i="3416"/>
  <c r="AL100" i="3416"/>
  <c r="AK100" i="3416"/>
  <c r="AJ100" i="3416"/>
  <c r="AI100" i="3416"/>
  <c r="AH100" i="3416"/>
  <c r="AG100" i="3416"/>
  <c r="AF100" i="3416"/>
  <c r="AE100" i="3416"/>
  <c r="AD100" i="3416"/>
  <c r="AC100" i="3416"/>
  <c r="AB100" i="3416"/>
  <c r="AA100" i="3416"/>
  <c r="Z100" i="3416"/>
  <c r="Y100" i="3416"/>
  <c r="X100" i="3416"/>
  <c r="W100" i="3416"/>
  <c r="V100" i="3416"/>
  <c r="U100" i="3416"/>
  <c r="T100" i="3416"/>
  <c r="S100" i="3416"/>
  <c r="R100" i="3416"/>
  <c r="Q100" i="3416"/>
  <c r="P100" i="3416"/>
  <c r="O100" i="3416"/>
  <c r="N100" i="3416"/>
  <c r="M100" i="3416"/>
  <c r="L100" i="3416"/>
  <c r="K100" i="3416"/>
  <c r="J100" i="3416"/>
  <c r="I100" i="3416"/>
  <c r="H100" i="3416"/>
  <c r="G100" i="3416"/>
  <c r="F100" i="3416"/>
  <c r="E100" i="3416"/>
  <c r="D100" i="3416"/>
  <c r="C100" i="3416" a="1"/>
  <c r="C100" i="3416"/>
  <c r="A100" i="3416"/>
  <c r="EM99" i="3416"/>
  <c r="EL99" i="3416"/>
  <c r="EK99" i="3416"/>
  <c r="EJ99" i="3416"/>
  <c r="EI99" i="3416"/>
  <c r="EH99" i="3416"/>
  <c r="EG99" i="3416"/>
  <c r="EF99" i="3416"/>
  <c r="EE99" i="3416"/>
  <c r="ED99" i="3416"/>
  <c r="EC99" i="3416"/>
  <c r="EB99" i="3416"/>
  <c r="EA99" i="3416"/>
  <c r="DZ99" i="3416"/>
  <c r="DY99" i="3416"/>
  <c r="DX99" i="3416"/>
  <c r="DW99" i="3416"/>
  <c r="DV99" i="3416"/>
  <c r="DU99" i="3416"/>
  <c r="DT99" i="3416"/>
  <c r="DS99" i="3416"/>
  <c r="DR99" i="3416"/>
  <c r="DQ99" i="3416"/>
  <c r="DP99" i="3416"/>
  <c r="DO99" i="3416"/>
  <c r="DN99" i="3416"/>
  <c r="DM99" i="3416"/>
  <c r="DL99" i="3416"/>
  <c r="DK99" i="3416"/>
  <c r="DJ99" i="3416"/>
  <c r="DI99" i="3416"/>
  <c r="DH99" i="3416"/>
  <c r="DG99" i="3416"/>
  <c r="DF99" i="3416"/>
  <c r="DE99" i="3416"/>
  <c r="DD99" i="3416"/>
  <c r="DC99" i="3416"/>
  <c r="DB99" i="3416"/>
  <c r="DA99" i="3416"/>
  <c r="CZ99" i="3416"/>
  <c r="CY99" i="3416"/>
  <c r="CX99" i="3416"/>
  <c r="CW99" i="3416"/>
  <c r="CV99" i="3416"/>
  <c r="CU99" i="3416"/>
  <c r="CT99" i="3416"/>
  <c r="CS99" i="3416"/>
  <c r="CR99" i="3416"/>
  <c r="CQ99" i="3416"/>
  <c r="CP99" i="3416"/>
  <c r="CO99" i="3416"/>
  <c r="CN99" i="3416"/>
  <c r="CM99" i="3416"/>
  <c r="CL99" i="3416"/>
  <c r="CK99" i="3416"/>
  <c r="CJ99" i="3416"/>
  <c r="CI99" i="3416"/>
  <c r="CH99" i="3416"/>
  <c r="CG99" i="3416"/>
  <c r="CF99" i="3416"/>
  <c r="CE99" i="3416"/>
  <c r="CD99" i="3416"/>
  <c r="CC99" i="3416"/>
  <c r="CB99" i="3416"/>
  <c r="CA99" i="3416"/>
  <c r="BZ99" i="3416"/>
  <c r="BY99" i="3416"/>
  <c r="BX99" i="3416"/>
  <c r="BW99" i="3416"/>
  <c r="BV99" i="3416"/>
  <c r="BU99" i="3416"/>
  <c r="BT99" i="3416"/>
  <c r="BS99" i="3416"/>
  <c r="BR99" i="3416"/>
  <c r="BQ99" i="3416"/>
  <c r="BP99" i="3416"/>
  <c r="BO99" i="3416"/>
  <c r="BN99" i="3416"/>
  <c r="BM99" i="3416"/>
  <c r="BL99" i="3416"/>
  <c r="BK99" i="3416"/>
  <c r="BJ99" i="3416"/>
  <c r="BI99" i="3416"/>
  <c r="BH99" i="3416"/>
  <c r="BG99" i="3416"/>
  <c r="BF99" i="3416"/>
  <c r="BE99" i="3416"/>
  <c r="BD99" i="3416"/>
  <c r="BC99" i="3416"/>
  <c r="BB99" i="3416"/>
  <c r="BA99" i="3416"/>
  <c r="AZ99" i="3416"/>
  <c r="AY99" i="3416"/>
  <c r="AX99" i="3416"/>
  <c r="AW99" i="3416"/>
  <c r="AV99" i="3416"/>
  <c r="AU99" i="3416"/>
  <c r="AT99" i="3416"/>
  <c r="AS99" i="3416"/>
  <c r="AR99" i="3416"/>
  <c r="AQ99" i="3416"/>
  <c r="AP99" i="3416"/>
  <c r="AO99" i="3416"/>
  <c r="AN99" i="3416"/>
  <c r="AM99" i="3416"/>
  <c r="AL99" i="3416"/>
  <c r="AK99" i="3416"/>
  <c r="AJ99" i="3416"/>
  <c r="AI99" i="3416"/>
  <c r="AH99" i="3416"/>
  <c r="AG99" i="3416"/>
  <c r="AF99" i="3416"/>
  <c r="AE99" i="3416"/>
  <c r="AD99" i="3416"/>
  <c r="AC99" i="3416"/>
  <c r="AB99" i="3416"/>
  <c r="AA99" i="3416"/>
  <c r="Z99" i="3416"/>
  <c r="Y99" i="3416"/>
  <c r="X99" i="3416"/>
  <c r="W99" i="3416"/>
  <c r="V99" i="3416"/>
  <c r="U99" i="3416"/>
  <c r="T99" i="3416"/>
  <c r="S99" i="3416"/>
  <c r="R99" i="3416"/>
  <c r="Q99" i="3416"/>
  <c r="P99" i="3416"/>
  <c r="O99" i="3416"/>
  <c r="N99" i="3416"/>
  <c r="M99" i="3416"/>
  <c r="L99" i="3416"/>
  <c r="K99" i="3416"/>
  <c r="J99" i="3416"/>
  <c r="I99" i="3416"/>
  <c r="H99" i="3416"/>
  <c r="G99" i="3416"/>
  <c r="F99" i="3416"/>
  <c r="E99" i="3416"/>
  <c r="D99" i="3416"/>
  <c r="C99" i="3416" a="1"/>
  <c r="C99" i="3416"/>
  <c r="A99" i="3416"/>
  <c r="EM98" i="3416"/>
  <c r="EL98" i="3416"/>
  <c r="EK98" i="3416"/>
  <c r="EJ98" i="3416"/>
  <c r="EI98" i="3416"/>
  <c r="EH98" i="3416"/>
  <c r="EG98" i="3416"/>
  <c r="EF98" i="3416"/>
  <c r="EE98" i="3416"/>
  <c r="ED98" i="3416"/>
  <c r="EC98" i="3416"/>
  <c r="EB98" i="3416"/>
  <c r="EA98" i="3416"/>
  <c r="DZ98" i="3416"/>
  <c r="DY98" i="3416"/>
  <c r="DX98" i="3416"/>
  <c r="DW98" i="3416"/>
  <c r="DV98" i="3416"/>
  <c r="DU98" i="3416"/>
  <c r="DT98" i="3416"/>
  <c r="DS98" i="3416"/>
  <c r="DR98" i="3416"/>
  <c r="DQ98" i="3416"/>
  <c r="DP98" i="3416"/>
  <c r="DO98" i="3416"/>
  <c r="DN98" i="3416"/>
  <c r="DM98" i="3416"/>
  <c r="DL98" i="3416"/>
  <c r="DK98" i="3416"/>
  <c r="DJ98" i="3416"/>
  <c r="DI98" i="3416"/>
  <c r="DH98" i="3416"/>
  <c r="DG98" i="3416"/>
  <c r="DF98" i="3416"/>
  <c r="DE98" i="3416"/>
  <c r="DD98" i="3416"/>
  <c r="DC98" i="3416"/>
  <c r="DB98" i="3416"/>
  <c r="DA98" i="3416"/>
  <c r="CZ98" i="3416"/>
  <c r="CY98" i="3416"/>
  <c r="CX98" i="3416"/>
  <c r="CW98" i="3416"/>
  <c r="CV98" i="3416"/>
  <c r="CU98" i="3416"/>
  <c r="CT98" i="3416"/>
  <c r="CS98" i="3416"/>
  <c r="CR98" i="3416"/>
  <c r="CQ98" i="3416"/>
  <c r="CP98" i="3416"/>
  <c r="CO98" i="3416"/>
  <c r="CN98" i="3416"/>
  <c r="CM98" i="3416"/>
  <c r="CL98" i="3416"/>
  <c r="CK98" i="3416"/>
  <c r="CJ98" i="3416"/>
  <c r="CI98" i="3416"/>
  <c r="CH98" i="3416"/>
  <c r="CG98" i="3416"/>
  <c r="CF98" i="3416"/>
  <c r="CE98" i="3416"/>
  <c r="CD98" i="3416"/>
  <c r="CC98" i="3416"/>
  <c r="CB98" i="3416"/>
  <c r="CA98" i="3416"/>
  <c r="BZ98" i="3416"/>
  <c r="BY98" i="3416"/>
  <c r="BX98" i="3416"/>
  <c r="BW98" i="3416"/>
  <c r="BV98" i="3416"/>
  <c r="BU98" i="3416"/>
  <c r="BT98" i="3416"/>
  <c r="BS98" i="3416"/>
  <c r="BR98" i="3416"/>
  <c r="BQ98" i="3416"/>
  <c r="BP98" i="3416"/>
  <c r="BO98" i="3416"/>
  <c r="BN98" i="3416"/>
  <c r="BM98" i="3416"/>
  <c r="BL98" i="3416"/>
  <c r="BK98" i="3416"/>
  <c r="BJ98" i="3416"/>
  <c r="BI98" i="3416"/>
  <c r="BH98" i="3416"/>
  <c r="BG98" i="3416"/>
  <c r="BF98" i="3416"/>
  <c r="BE98" i="3416"/>
  <c r="BD98" i="3416"/>
  <c r="BC98" i="3416"/>
  <c r="BB98" i="3416"/>
  <c r="BA98" i="3416"/>
  <c r="AZ98" i="3416"/>
  <c r="AY98" i="3416"/>
  <c r="AX98" i="3416"/>
  <c r="AW98" i="3416"/>
  <c r="AV98" i="3416"/>
  <c r="AU98" i="3416"/>
  <c r="AT98" i="3416"/>
  <c r="AS98" i="3416"/>
  <c r="AR98" i="3416"/>
  <c r="AQ98" i="3416"/>
  <c r="AP98" i="3416"/>
  <c r="AO98" i="3416"/>
  <c r="AN98" i="3416"/>
  <c r="AM98" i="3416"/>
  <c r="AL98" i="3416"/>
  <c r="AK98" i="3416"/>
  <c r="AJ98" i="3416"/>
  <c r="AI98" i="3416"/>
  <c r="AH98" i="3416"/>
  <c r="AG98" i="3416"/>
  <c r="AF98" i="3416"/>
  <c r="AE98" i="3416"/>
  <c r="AD98" i="3416"/>
  <c r="AC98" i="3416"/>
  <c r="AB98" i="3416"/>
  <c r="AA98" i="3416"/>
  <c r="Z98" i="3416"/>
  <c r="Y98" i="3416"/>
  <c r="X98" i="3416"/>
  <c r="W98" i="3416"/>
  <c r="V98" i="3416"/>
  <c r="U98" i="3416"/>
  <c r="T98" i="3416"/>
  <c r="S98" i="3416"/>
  <c r="R98" i="3416"/>
  <c r="Q98" i="3416"/>
  <c r="P98" i="3416"/>
  <c r="O98" i="3416"/>
  <c r="N98" i="3416"/>
  <c r="M98" i="3416"/>
  <c r="L98" i="3416"/>
  <c r="K98" i="3416"/>
  <c r="J98" i="3416"/>
  <c r="I98" i="3416"/>
  <c r="H98" i="3416"/>
  <c r="G98" i="3416"/>
  <c r="F98" i="3416"/>
  <c r="E98" i="3416"/>
  <c r="D98" i="3416"/>
  <c r="C98" i="3416" a="1"/>
  <c r="C98" i="3416"/>
  <c r="A98" i="3416"/>
  <c r="EM97" i="3416"/>
  <c r="EL97" i="3416"/>
  <c r="EK97" i="3416"/>
  <c r="EJ97" i="3416"/>
  <c r="EI97" i="3416"/>
  <c r="EH97" i="3416"/>
  <c r="EG97" i="3416"/>
  <c r="EF97" i="3416"/>
  <c r="EE97" i="3416"/>
  <c r="ED97" i="3416"/>
  <c r="EC97" i="3416"/>
  <c r="EB97" i="3416"/>
  <c r="EA97" i="3416"/>
  <c r="DZ97" i="3416"/>
  <c r="DY97" i="3416"/>
  <c r="DX97" i="3416"/>
  <c r="DW97" i="3416"/>
  <c r="DV97" i="3416"/>
  <c r="DU97" i="3416"/>
  <c r="DT97" i="3416"/>
  <c r="DS97" i="3416"/>
  <c r="DR97" i="3416"/>
  <c r="DQ97" i="3416"/>
  <c r="DP97" i="3416"/>
  <c r="DO97" i="3416"/>
  <c r="DN97" i="3416"/>
  <c r="DM97" i="3416"/>
  <c r="DL97" i="3416"/>
  <c r="DK97" i="3416"/>
  <c r="DJ97" i="3416"/>
  <c r="DI97" i="3416"/>
  <c r="DH97" i="3416"/>
  <c r="DG97" i="3416"/>
  <c r="DF97" i="3416"/>
  <c r="DE97" i="3416"/>
  <c r="DD97" i="3416"/>
  <c r="DC97" i="3416"/>
  <c r="DB97" i="3416"/>
  <c r="DA97" i="3416"/>
  <c r="CZ97" i="3416"/>
  <c r="CY97" i="3416"/>
  <c r="CX97" i="3416"/>
  <c r="CW97" i="3416"/>
  <c r="CV97" i="3416"/>
  <c r="CU97" i="3416"/>
  <c r="CT97" i="3416"/>
  <c r="CS97" i="3416"/>
  <c r="CR97" i="3416"/>
  <c r="CQ97" i="3416"/>
  <c r="CP97" i="3416"/>
  <c r="CO97" i="3416"/>
  <c r="CN97" i="3416"/>
  <c r="CM97" i="3416"/>
  <c r="CL97" i="3416"/>
  <c r="CK97" i="3416"/>
  <c r="CJ97" i="3416"/>
  <c r="CI97" i="3416"/>
  <c r="CH97" i="3416"/>
  <c r="CG97" i="3416"/>
  <c r="CF97" i="3416"/>
  <c r="CE97" i="3416"/>
  <c r="CD97" i="3416"/>
  <c r="CC97" i="3416"/>
  <c r="CB97" i="3416"/>
  <c r="CA97" i="3416"/>
  <c r="BZ97" i="3416"/>
  <c r="BY97" i="3416"/>
  <c r="BX97" i="3416"/>
  <c r="BW97" i="3416"/>
  <c r="BV97" i="3416"/>
  <c r="BU97" i="3416"/>
  <c r="BT97" i="3416"/>
  <c r="BS97" i="3416"/>
  <c r="BR97" i="3416"/>
  <c r="BQ97" i="3416"/>
  <c r="BP97" i="3416"/>
  <c r="BO97" i="3416"/>
  <c r="BN97" i="3416"/>
  <c r="BM97" i="3416"/>
  <c r="BL97" i="3416"/>
  <c r="BK97" i="3416"/>
  <c r="BJ97" i="3416"/>
  <c r="BI97" i="3416"/>
  <c r="BH97" i="3416"/>
  <c r="BG97" i="3416"/>
  <c r="BF97" i="3416"/>
  <c r="BE97" i="3416"/>
  <c r="BD97" i="3416"/>
  <c r="BC97" i="3416"/>
  <c r="BB97" i="3416"/>
  <c r="BA97" i="3416"/>
  <c r="AZ97" i="3416"/>
  <c r="AY97" i="3416"/>
  <c r="AX97" i="3416"/>
  <c r="AW97" i="3416"/>
  <c r="AV97" i="3416"/>
  <c r="AU97" i="3416"/>
  <c r="AT97" i="3416"/>
  <c r="AS97" i="3416"/>
  <c r="AR97" i="3416"/>
  <c r="AQ97" i="3416"/>
  <c r="AP97" i="3416"/>
  <c r="AO97" i="3416"/>
  <c r="AN97" i="3416"/>
  <c r="AM97" i="3416"/>
  <c r="AL97" i="3416"/>
  <c r="AK97" i="3416"/>
  <c r="AJ97" i="3416"/>
  <c r="AI97" i="3416"/>
  <c r="AH97" i="3416"/>
  <c r="AG97" i="3416"/>
  <c r="AF97" i="3416"/>
  <c r="AE97" i="3416"/>
  <c r="AD97" i="3416"/>
  <c r="AC97" i="3416"/>
  <c r="AB97" i="3416"/>
  <c r="AA97" i="3416"/>
  <c r="Z97" i="3416"/>
  <c r="Y97" i="3416"/>
  <c r="X97" i="3416"/>
  <c r="W97" i="3416"/>
  <c r="V97" i="3416"/>
  <c r="U97" i="3416"/>
  <c r="T97" i="3416"/>
  <c r="S97" i="3416"/>
  <c r="R97" i="3416"/>
  <c r="Q97" i="3416"/>
  <c r="P97" i="3416"/>
  <c r="O97" i="3416"/>
  <c r="N97" i="3416"/>
  <c r="M97" i="3416"/>
  <c r="L97" i="3416"/>
  <c r="K97" i="3416"/>
  <c r="J97" i="3416"/>
  <c r="I97" i="3416"/>
  <c r="H97" i="3416"/>
  <c r="G97" i="3416"/>
  <c r="F97" i="3416"/>
  <c r="E97" i="3416"/>
  <c r="D97" i="3416"/>
  <c r="C97" i="3416" a="1"/>
  <c r="C97" i="3416"/>
  <c r="A97" i="3416"/>
  <c r="EM96" i="3416"/>
  <c r="EL96" i="3416"/>
  <c r="EK96" i="3416"/>
  <c r="EJ96" i="3416"/>
  <c r="EI96" i="3416"/>
  <c r="EH96" i="3416"/>
  <c r="EG96" i="3416"/>
  <c r="EF96" i="3416"/>
  <c r="EE96" i="3416"/>
  <c r="ED96" i="3416"/>
  <c r="EC96" i="3416"/>
  <c r="EB96" i="3416"/>
  <c r="EA96" i="3416"/>
  <c r="DZ96" i="3416"/>
  <c r="DY96" i="3416"/>
  <c r="DX96" i="3416"/>
  <c r="DW96" i="3416"/>
  <c r="DV96" i="3416"/>
  <c r="DU96" i="3416"/>
  <c r="DT96" i="3416"/>
  <c r="DS96" i="3416"/>
  <c r="DR96" i="3416"/>
  <c r="DQ96" i="3416"/>
  <c r="DP96" i="3416"/>
  <c r="DO96" i="3416"/>
  <c r="DN96" i="3416"/>
  <c r="DM96" i="3416"/>
  <c r="DL96" i="3416"/>
  <c r="DK96" i="3416"/>
  <c r="DJ96" i="3416"/>
  <c r="DI96" i="3416"/>
  <c r="DH96" i="3416"/>
  <c r="DG96" i="3416"/>
  <c r="DF96" i="3416"/>
  <c r="DE96" i="3416"/>
  <c r="DD96" i="3416"/>
  <c r="DC96" i="3416"/>
  <c r="DB96" i="3416"/>
  <c r="DA96" i="3416"/>
  <c r="CZ96" i="3416"/>
  <c r="CY96" i="3416"/>
  <c r="CX96" i="3416"/>
  <c r="CW96" i="3416"/>
  <c r="CV96" i="3416"/>
  <c r="CU96" i="3416"/>
  <c r="CT96" i="3416"/>
  <c r="CS96" i="3416"/>
  <c r="CR96" i="3416"/>
  <c r="CQ96" i="3416"/>
  <c r="CP96" i="3416"/>
  <c r="CO96" i="3416"/>
  <c r="CN96" i="3416"/>
  <c r="CM96" i="3416"/>
  <c r="CL96" i="3416"/>
  <c r="CK96" i="3416"/>
  <c r="CJ96" i="3416"/>
  <c r="CI96" i="3416"/>
  <c r="CH96" i="3416"/>
  <c r="CG96" i="3416"/>
  <c r="CF96" i="3416"/>
  <c r="CE96" i="3416"/>
  <c r="CD96" i="3416"/>
  <c r="CC96" i="3416"/>
  <c r="CB96" i="3416"/>
  <c r="CA96" i="3416"/>
  <c r="BZ96" i="3416"/>
  <c r="BY96" i="3416"/>
  <c r="BX96" i="3416"/>
  <c r="BW96" i="3416"/>
  <c r="BV96" i="3416"/>
  <c r="BU96" i="3416"/>
  <c r="BT96" i="3416"/>
  <c r="BS96" i="3416"/>
  <c r="BR96" i="3416"/>
  <c r="BQ96" i="3416"/>
  <c r="BP96" i="3416"/>
  <c r="BO96" i="3416"/>
  <c r="BN96" i="3416"/>
  <c r="BM96" i="3416"/>
  <c r="BL96" i="3416"/>
  <c r="BK96" i="3416"/>
  <c r="BJ96" i="3416"/>
  <c r="BI96" i="3416"/>
  <c r="BH96" i="3416"/>
  <c r="BG96" i="3416"/>
  <c r="BF96" i="3416"/>
  <c r="BE96" i="3416"/>
  <c r="BD96" i="3416"/>
  <c r="BC96" i="3416"/>
  <c r="BB96" i="3416"/>
  <c r="BA96" i="3416"/>
  <c r="AZ96" i="3416"/>
  <c r="AY96" i="3416"/>
  <c r="AX96" i="3416"/>
  <c r="AW96" i="3416"/>
  <c r="AV96" i="3416"/>
  <c r="AU96" i="3416"/>
  <c r="AT96" i="3416"/>
  <c r="AS96" i="3416"/>
  <c r="AR96" i="3416"/>
  <c r="AQ96" i="3416"/>
  <c r="AP96" i="3416"/>
  <c r="AO96" i="3416"/>
  <c r="AN96" i="3416"/>
  <c r="AM96" i="3416"/>
  <c r="AL96" i="3416"/>
  <c r="AK96" i="3416"/>
  <c r="AJ96" i="3416"/>
  <c r="AI96" i="3416"/>
  <c r="AH96" i="3416"/>
  <c r="AG96" i="3416"/>
  <c r="AF96" i="3416"/>
  <c r="AE96" i="3416"/>
  <c r="AD96" i="3416"/>
  <c r="AC96" i="3416"/>
  <c r="AB96" i="3416"/>
  <c r="AA96" i="3416"/>
  <c r="Z96" i="3416"/>
  <c r="Y96" i="3416"/>
  <c r="X96" i="3416"/>
  <c r="W96" i="3416"/>
  <c r="V96" i="3416"/>
  <c r="U96" i="3416"/>
  <c r="T96" i="3416"/>
  <c r="S96" i="3416"/>
  <c r="R96" i="3416"/>
  <c r="Q96" i="3416"/>
  <c r="P96" i="3416"/>
  <c r="O96" i="3416"/>
  <c r="N96" i="3416"/>
  <c r="M96" i="3416"/>
  <c r="L96" i="3416"/>
  <c r="K96" i="3416"/>
  <c r="J96" i="3416"/>
  <c r="I96" i="3416"/>
  <c r="H96" i="3416"/>
  <c r="G96" i="3416"/>
  <c r="F96" i="3416"/>
  <c r="E96" i="3416"/>
  <c r="D96" i="3416"/>
  <c r="C96" i="3416" a="1"/>
  <c r="C96" i="3416"/>
  <c r="A96" i="3416"/>
  <c r="EM95" i="3416"/>
  <c r="EL95" i="3416"/>
  <c r="EK95" i="3416"/>
  <c r="EJ95" i="3416"/>
  <c r="EI95" i="3416"/>
  <c r="EH95" i="3416"/>
  <c r="EG95" i="3416"/>
  <c r="EF95" i="3416"/>
  <c r="EE95" i="3416"/>
  <c r="ED95" i="3416"/>
  <c r="EC95" i="3416"/>
  <c r="EB95" i="3416"/>
  <c r="EA95" i="3416"/>
  <c r="DZ95" i="3416"/>
  <c r="DY95" i="3416"/>
  <c r="DX95" i="3416"/>
  <c r="DW95" i="3416"/>
  <c r="DV95" i="3416"/>
  <c r="DU95" i="3416"/>
  <c r="DT95" i="3416"/>
  <c r="DS95" i="3416"/>
  <c r="DR95" i="3416"/>
  <c r="DQ95" i="3416"/>
  <c r="DP95" i="3416"/>
  <c r="DO95" i="3416"/>
  <c r="DN95" i="3416"/>
  <c r="DM95" i="3416"/>
  <c r="DL95" i="3416"/>
  <c r="DK95" i="3416"/>
  <c r="DJ95" i="3416"/>
  <c r="DI95" i="3416"/>
  <c r="DH95" i="3416"/>
  <c r="DG95" i="3416"/>
  <c r="DF95" i="3416"/>
  <c r="DE95" i="3416"/>
  <c r="DD95" i="3416"/>
  <c r="DC95" i="3416"/>
  <c r="DB95" i="3416"/>
  <c r="DA95" i="3416"/>
  <c r="CZ95" i="3416"/>
  <c r="CY95" i="3416"/>
  <c r="CX95" i="3416"/>
  <c r="CW95" i="3416"/>
  <c r="CV95" i="3416"/>
  <c r="CU95" i="3416"/>
  <c r="CT95" i="3416"/>
  <c r="CS95" i="3416"/>
  <c r="CR95" i="3416"/>
  <c r="CQ95" i="3416"/>
  <c r="CP95" i="3416"/>
  <c r="CO95" i="3416"/>
  <c r="CN95" i="3416"/>
  <c r="CM95" i="3416"/>
  <c r="CL95" i="3416"/>
  <c r="CK95" i="3416"/>
  <c r="CJ95" i="3416"/>
  <c r="CI95" i="3416"/>
  <c r="CH95" i="3416"/>
  <c r="CG95" i="3416"/>
  <c r="CF95" i="3416"/>
  <c r="CE95" i="3416"/>
  <c r="CD95" i="3416"/>
  <c r="CC95" i="3416"/>
  <c r="CB95" i="3416"/>
  <c r="CA95" i="3416"/>
  <c r="BZ95" i="3416"/>
  <c r="BY95" i="3416"/>
  <c r="BX95" i="3416"/>
  <c r="BW95" i="3416"/>
  <c r="BV95" i="3416"/>
  <c r="BU95" i="3416"/>
  <c r="BT95" i="3416"/>
  <c r="BS95" i="3416"/>
  <c r="BR95" i="3416"/>
  <c r="BQ95" i="3416"/>
  <c r="BP95" i="3416"/>
  <c r="BO95" i="3416"/>
  <c r="BN95" i="3416"/>
  <c r="BM95" i="3416"/>
  <c r="BL95" i="3416"/>
  <c r="BK95" i="3416"/>
  <c r="BJ95" i="3416"/>
  <c r="BI95" i="3416"/>
  <c r="BH95" i="3416"/>
  <c r="BG95" i="3416"/>
  <c r="BF95" i="3416"/>
  <c r="BE95" i="3416"/>
  <c r="BD95" i="3416"/>
  <c r="BC95" i="3416"/>
  <c r="BB95" i="3416"/>
  <c r="BA95" i="3416"/>
  <c r="AZ95" i="3416"/>
  <c r="AY95" i="3416"/>
  <c r="AX95" i="3416"/>
  <c r="AW95" i="3416"/>
  <c r="AV95" i="3416"/>
  <c r="AU95" i="3416"/>
  <c r="AT95" i="3416"/>
  <c r="AS95" i="3416"/>
  <c r="AR95" i="3416"/>
  <c r="AQ95" i="3416"/>
  <c r="AP95" i="3416"/>
  <c r="AO95" i="3416"/>
  <c r="AN95" i="3416"/>
  <c r="AM95" i="3416"/>
  <c r="AL95" i="3416"/>
  <c r="AK95" i="3416"/>
  <c r="AJ95" i="3416"/>
  <c r="AI95" i="3416"/>
  <c r="AH95" i="3416"/>
  <c r="AG95" i="3416"/>
  <c r="AF95" i="3416"/>
  <c r="AE95" i="3416"/>
  <c r="AD95" i="3416"/>
  <c r="AC95" i="3416"/>
  <c r="AB95" i="3416"/>
  <c r="AA95" i="3416"/>
  <c r="Z95" i="3416"/>
  <c r="Y95" i="3416"/>
  <c r="X95" i="3416"/>
  <c r="W95" i="3416"/>
  <c r="V95" i="3416"/>
  <c r="U95" i="3416"/>
  <c r="T95" i="3416"/>
  <c r="S95" i="3416"/>
  <c r="R95" i="3416"/>
  <c r="Q95" i="3416"/>
  <c r="P95" i="3416"/>
  <c r="O95" i="3416"/>
  <c r="N95" i="3416"/>
  <c r="M95" i="3416"/>
  <c r="L95" i="3416"/>
  <c r="K95" i="3416"/>
  <c r="J95" i="3416"/>
  <c r="I95" i="3416"/>
  <c r="H95" i="3416"/>
  <c r="G95" i="3416"/>
  <c r="F95" i="3416"/>
  <c r="E95" i="3416"/>
  <c r="D95" i="3416"/>
  <c r="C95" i="3416" a="1"/>
  <c r="C95" i="3416"/>
  <c r="A95" i="3416"/>
  <c r="EM94" i="3416"/>
  <c r="EL94" i="3416"/>
  <c r="EK94" i="3416"/>
  <c r="EJ94" i="3416"/>
  <c r="EI94" i="3416"/>
  <c r="EH94" i="3416"/>
  <c r="EG94" i="3416"/>
  <c r="EF94" i="3416"/>
  <c r="EE94" i="3416"/>
  <c r="ED94" i="3416"/>
  <c r="EC94" i="3416"/>
  <c r="EB94" i="3416"/>
  <c r="EA94" i="3416"/>
  <c r="DZ94" i="3416"/>
  <c r="DY94" i="3416"/>
  <c r="DX94" i="3416"/>
  <c r="DW94" i="3416"/>
  <c r="DV94" i="3416"/>
  <c r="DU94" i="3416"/>
  <c r="DT94" i="3416"/>
  <c r="DS94" i="3416"/>
  <c r="DR94" i="3416"/>
  <c r="DQ94" i="3416"/>
  <c r="DP94" i="3416"/>
  <c r="DO94" i="3416"/>
  <c r="DN94" i="3416"/>
  <c r="DM94" i="3416"/>
  <c r="DL94" i="3416"/>
  <c r="DK94" i="3416"/>
  <c r="DJ94" i="3416"/>
  <c r="DI94" i="3416"/>
  <c r="DH94" i="3416"/>
  <c r="DG94" i="3416"/>
  <c r="DF94" i="3416"/>
  <c r="DE94" i="3416"/>
  <c r="DD94" i="3416"/>
  <c r="DC94" i="3416"/>
  <c r="DB94" i="3416"/>
  <c r="DA94" i="3416"/>
  <c r="CZ94" i="3416"/>
  <c r="CY94" i="3416"/>
  <c r="CX94" i="3416"/>
  <c r="CW94" i="3416"/>
  <c r="CV94" i="3416"/>
  <c r="CU94" i="3416"/>
  <c r="CT94" i="3416"/>
  <c r="CS94" i="3416"/>
  <c r="CR94" i="3416"/>
  <c r="CQ94" i="3416"/>
  <c r="CP94" i="3416"/>
  <c r="CO94" i="3416"/>
  <c r="CN94" i="3416"/>
  <c r="CM94" i="3416"/>
  <c r="CL94" i="3416"/>
  <c r="CK94" i="3416"/>
  <c r="CJ94" i="3416"/>
  <c r="CI94" i="3416"/>
  <c r="CH94" i="3416"/>
  <c r="CG94" i="3416"/>
  <c r="CF94" i="3416"/>
  <c r="CE94" i="3416"/>
  <c r="CD94" i="3416"/>
  <c r="CC94" i="3416"/>
  <c r="CB94" i="3416"/>
  <c r="CA94" i="3416"/>
  <c r="BZ94" i="3416"/>
  <c r="BY94" i="3416"/>
  <c r="BX94" i="3416"/>
  <c r="BW94" i="3416"/>
  <c r="BV94" i="3416"/>
  <c r="BU94" i="3416"/>
  <c r="BT94" i="3416"/>
  <c r="BS94" i="3416"/>
  <c r="BR94" i="3416"/>
  <c r="BQ94" i="3416"/>
  <c r="BP94" i="3416"/>
  <c r="BO94" i="3416"/>
  <c r="BN94" i="3416"/>
  <c r="BM94" i="3416"/>
  <c r="BL94" i="3416"/>
  <c r="BK94" i="3416"/>
  <c r="BJ94" i="3416"/>
  <c r="BI94" i="3416"/>
  <c r="BH94" i="3416"/>
  <c r="BG94" i="3416"/>
  <c r="BF94" i="3416"/>
  <c r="BE94" i="3416"/>
  <c r="BD94" i="3416"/>
  <c r="BC94" i="3416"/>
  <c r="BB94" i="3416"/>
  <c r="BA94" i="3416"/>
  <c r="AZ94" i="3416"/>
  <c r="AY94" i="3416"/>
  <c r="AX94" i="3416"/>
  <c r="AW94" i="3416"/>
  <c r="AV94" i="3416"/>
  <c r="AU94" i="3416"/>
  <c r="AT94" i="3416"/>
  <c r="AS94" i="3416"/>
  <c r="AR94" i="3416"/>
  <c r="AQ94" i="3416"/>
  <c r="AP94" i="3416"/>
  <c r="AO94" i="3416"/>
  <c r="AN94" i="3416"/>
  <c r="AM94" i="3416"/>
  <c r="AL94" i="3416"/>
  <c r="AK94" i="3416"/>
  <c r="AJ94" i="3416"/>
  <c r="AI94" i="3416"/>
  <c r="AH94" i="3416"/>
  <c r="AG94" i="3416"/>
  <c r="AF94" i="3416"/>
  <c r="AE94" i="3416"/>
  <c r="AD94" i="3416"/>
  <c r="AC94" i="3416"/>
  <c r="AB94" i="3416"/>
  <c r="AA94" i="3416"/>
  <c r="Z94" i="3416"/>
  <c r="Y94" i="3416"/>
  <c r="X94" i="3416"/>
  <c r="W94" i="3416"/>
  <c r="V94" i="3416"/>
  <c r="U94" i="3416"/>
  <c r="T94" i="3416"/>
  <c r="S94" i="3416"/>
  <c r="R94" i="3416"/>
  <c r="Q94" i="3416"/>
  <c r="P94" i="3416"/>
  <c r="O94" i="3416"/>
  <c r="N94" i="3416"/>
  <c r="M94" i="3416"/>
  <c r="L94" i="3416"/>
  <c r="K94" i="3416"/>
  <c r="J94" i="3416"/>
  <c r="I94" i="3416"/>
  <c r="H94" i="3416"/>
  <c r="G94" i="3416"/>
  <c r="F94" i="3416"/>
  <c r="E94" i="3416"/>
  <c r="D94" i="3416"/>
  <c r="C94" i="3416" a="1"/>
  <c r="C94" i="3416"/>
  <c r="A94" i="3416"/>
  <c r="EM93" i="3416"/>
  <c r="EL93" i="3416"/>
  <c r="EK93" i="3416"/>
  <c r="EJ93" i="3416"/>
  <c r="EI93" i="3416"/>
  <c r="EH93" i="3416"/>
  <c r="EG93" i="3416"/>
  <c r="EF93" i="3416"/>
  <c r="EE93" i="3416"/>
  <c r="ED93" i="3416"/>
  <c r="EC93" i="3416"/>
  <c r="EB93" i="3416"/>
  <c r="EA93" i="3416"/>
  <c r="DZ93" i="3416"/>
  <c r="DY93" i="3416"/>
  <c r="DX93" i="3416"/>
  <c r="DW93" i="3416"/>
  <c r="DV93" i="3416"/>
  <c r="DU93" i="3416"/>
  <c r="DT93" i="3416"/>
  <c r="DS93" i="3416"/>
  <c r="DR93" i="3416"/>
  <c r="DQ93" i="3416"/>
  <c r="DP93" i="3416"/>
  <c r="DO93" i="3416"/>
  <c r="DN93" i="3416"/>
  <c r="DM93" i="3416"/>
  <c r="DL93" i="3416"/>
  <c r="DK93" i="3416"/>
  <c r="DJ93" i="3416"/>
  <c r="DI93" i="3416"/>
  <c r="DH93" i="3416"/>
  <c r="DG93" i="3416"/>
  <c r="DF93" i="3416"/>
  <c r="DE93" i="3416"/>
  <c r="DD93" i="3416"/>
  <c r="DC93" i="3416"/>
  <c r="DB93" i="3416"/>
  <c r="DA93" i="3416"/>
  <c r="CZ93" i="3416"/>
  <c r="CY93" i="3416"/>
  <c r="CX93" i="3416"/>
  <c r="CW93" i="3416"/>
  <c r="CV93" i="3416"/>
  <c r="CU93" i="3416"/>
  <c r="CT93" i="3416"/>
  <c r="CS93" i="3416"/>
  <c r="CR93" i="3416"/>
  <c r="CQ93" i="3416"/>
  <c r="CP93" i="3416"/>
  <c r="CO93" i="3416"/>
  <c r="CN93" i="3416"/>
  <c r="CM93" i="3416"/>
  <c r="CL93" i="3416"/>
  <c r="CK93" i="3416"/>
  <c r="CJ93" i="3416"/>
  <c r="CI93" i="3416"/>
  <c r="CH93" i="3416"/>
  <c r="CG93" i="3416"/>
  <c r="CF93" i="3416"/>
  <c r="CE93" i="3416"/>
  <c r="CD93" i="3416"/>
  <c r="CC93" i="3416"/>
  <c r="CB93" i="3416"/>
  <c r="CA93" i="3416"/>
  <c r="BZ93" i="3416"/>
  <c r="BY93" i="3416"/>
  <c r="BX93" i="3416"/>
  <c r="BW93" i="3416"/>
  <c r="BV93" i="3416"/>
  <c r="BU93" i="3416"/>
  <c r="BT93" i="3416"/>
  <c r="BS93" i="3416"/>
  <c r="BR93" i="3416"/>
  <c r="BQ93" i="3416"/>
  <c r="BP93" i="3416"/>
  <c r="BO93" i="3416"/>
  <c r="BN93" i="3416"/>
  <c r="BM93" i="3416"/>
  <c r="BL93" i="3416"/>
  <c r="BK93" i="3416"/>
  <c r="BJ93" i="3416"/>
  <c r="BI93" i="3416"/>
  <c r="BH93" i="3416"/>
  <c r="BG93" i="3416"/>
  <c r="BF93" i="3416"/>
  <c r="BE93" i="3416"/>
  <c r="BD93" i="3416"/>
  <c r="BC93" i="3416"/>
  <c r="BB93" i="3416"/>
  <c r="BA93" i="3416"/>
  <c r="AZ93" i="3416"/>
  <c r="AY93" i="3416"/>
  <c r="AX93" i="3416"/>
  <c r="AW93" i="3416"/>
  <c r="AV93" i="3416"/>
  <c r="AU93" i="3416"/>
  <c r="AT93" i="3416"/>
  <c r="AS93" i="3416"/>
  <c r="AR93" i="3416"/>
  <c r="AQ93" i="3416"/>
  <c r="AP93" i="3416"/>
  <c r="AO93" i="3416"/>
  <c r="AN93" i="3416"/>
  <c r="AM93" i="3416"/>
  <c r="AL93" i="3416"/>
  <c r="AK93" i="3416"/>
  <c r="AJ93" i="3416"/>
  <c r="AI93" i="3416"/>
  <c r="AH93" i="3416"/>
  <c r="AG93" i="3416"/>
  <c r="AF93" i="3416"/>
  <c r="AE93" i="3416"/>
  <c r="AD93" i="3416"/>
  <c r="AC93" i="3416"/>
  <c r="AB93" i="3416"/>
  <c r="AA93" i="3416"/>
  <c r="Z93" i="3416"/>
  <c r="Y93" i="3416"/>
  <c r="X93" i="3416"/>
  <c r="W93" i="3416"/>
  <c r="V93" i="3416"/>
  <c r="U93" i="3416"/>
  <c r="T93" i="3416"/>
  <c r="S93" i="3416"/>
  <c r="R93" i="3416"/>
  <c r="Q93" i="3416"/>
  <c r="P93" i="3416"/>
  <c r="O93" i="3416"/>
  <c r="N93" i="3416"/>
  <c r="M93" i="3416"/>
  <c r="L93" i="3416"/>
  <c r="K93" i="3416"/>
  <c r="J93" i="3416"/>
  <c r="I93" i="3416"/>
  <c r="H93" i="3416"/>
  <c r="G93" i="3416"/>
  <c r="F93" i="3416"/>
  <c r="E93" i="3416"/>
  <c r="D93" i="3416"/>
  <c r="C93" i="3416" a="1"/>
  <c r="C93" i="3416"/>
  <c r="A93" i="3416"/>
  <c r="EM92" i="3416"/>
  <c r="EL92" i="3416"/>
  <c r="EK92" i="3416"/>
  <c r="EJ92" i="3416"/>
  <c r="EI92" i="3416"/>
  <c r="EH92" i="3416"/>
  <c r="EG92" i="3416"/>
  <c r="EF92" i="3416"/>
  <c r="EE92" i="3416"/>
  <c r="ED92" i="3416"/>
  <c r="EC92" i="3416"/>
  <c r="EB92" i="3416"/>
  <c r="EA92" i="3416"/>
  <c r="DZ92" i="3416"/>
  <c r="DY92" i="3416"/>
  <c r="DX92" i="3416"/>
  <c r="DW92" i="3416"/>
  <c r="DV92" i="3416"/>
  <c r="DU92" i="3416"/>
  <c r="DT92" i="3416"/>
  <c r="DS92" i="3416"/>
  <c r="DR92" i="3416"/>
  <c r="DQ92" i="3416"/>
  <c r="DP92" i="3416"/>
  <c r="DO92" i="3416"/>
  <c r="DN92" i="3416"/>
  <c r="DM92" i="3416"/>
  <c r="DL92" i="3416"/>
  <c r="DK92" i="3416"/>
  <c r="DJ92" i="3416"/>
  <c r="DI92" i="3416"/>
  <c r="DH92" i="3416"/>
  <c r="DG92" i="3416"/>
  <c r="DF92" i="3416"/>
  <c r="DE92" i="3416"/>
  <c r="DD92" i="3416"/>
  <c r="DC92" i="3416"/>
  <c r="DB92" i="3416"/>
  <c r="DA92" i="3416"/>
  <c r="CZ92" i="3416"/>
  <c r="CY92" i="3416"/>
  <c r="CX92" i="3416"/>
  <c r="CW92" i="3416"/>
  <c r="CV92" i="3416"/>
  <c r="CU92" i="3416"/>
  <c r="CT92" i="3416"/>
  <c r="CS92" i="3416"/>
  <c r="CR92" i="3416"/>
  <c r="CQ92" i="3416"/>
  <c r="CP92" i="3416"/>
  <c r="CO92" i="3416"/>
  <c r="CN92" i="3416"/>
  <c r="CM92" i="3416"/>
  <c r="CL92" i="3416"/>
  <c r="CK92" i="3416"/>
  <c r="CJ92" i="3416"/>
  <c r="CI92" i="3416"/>
  <c r="CH92" i="3416"/>
  <c r="CG92" i="3416"/>
  <c r="CF92" i="3416"/>
  <c r="CE92" i="3416"/>
  <c r="CD92" i="3416"/>
  <c r="CC92" i="3416"/>
  <c r="CB92" i="3416"/>
  <c r="CA92" i="3416"/>
  <c r="BZ92" i="3416"/>
  <c r="BY92" i="3416"/>
  <c r="BX92" i="3416"/>
  <c r="BW92" i="3416"/>
  <c r="BV92" i="3416"/>
  <c r="BU92" i="3416"/>
  <c r="BT92" i="3416"/>
  <c r="BS92" i="3416"/>
  <c r="BR92" i="3416"/>
  <c r="BQ92" i="3416"/>
  <c r="BP92" i="3416"/>
  <c r="BO92" i="3416"/>
  <c r="BN92" i="3416"/>
  <c r="BM92" i="3416"/>
  <c r="BL92" i="3416"/>
  <c r="BK92" i="3416"/>
  <c r="BJ92" i="3416"/>
  <c r="BI92" i="3416"/>
  <c r="BH92" i="3416"/>
  <c r="BG92" i="3416"/>
  <c r="BF92" i="3416"/>
  <c r="BE92" i="3416"/>
  <c r="BD92" i="3416"/>
  <c r="BC92" i="3416"/>
  <c r="BB92" i="3416"/>
  <c r="BA92" i="3416"/>
  <c r="AZ92" i="3416"/>
  <c r="AY92" i="3416"/>
  <c r="AX92" i="3416"/>
  <c r="AW92" i="3416"/>
  <c r="AV92" i="3416"/>
  <c r="AU92" i="3416"/>
  <c r="AT92" i="3416"/>
  <c r="AS92" i="3416"/>
  <c r="AR92" i="3416"/>
  <c r="AQ92" i="3416"/>
  <c r="AP92" i="3416"/>
  <c r="AO92" i="3416"/>
  <c r="AN92" i="3416"/>
  <c r="AM92" i="3416"/>
  <c r="AL92" i="3416"/>
  <c r="AK92" i="3416"/>
  <c r="AJ92" i="3416"/>
  <c r="AI92" i="3416"/>
  <c r="AH92" i="3416"/>
  <c r="AG92" i="3416"/>
  <c r="AF92" i="3416"/>
  <c r="AE92" i="3416"/>
  <c r="AD92" i="3416"/>
  <c r="AC92" i="3416"/>
  <c r="AB92" i="3416"/>
  <c r="AA92" i="3416"/>
  <c r="Z92" i="3416"/>
  <c r="Y92" i="3416"/>
  <c r="X92" i="3416"/>
  <c r="W92" i="3416"/>
  <c r="V92" i="3416"/>
  <c r="U92" i="3416"/>
  <c r="T92" i="3416"/>
  <c r="S92" i="3416"/>
  <c r="R92" i="3416"/>
  <c r="Q92" i="3416"/>
  <c r="P92" i="3416"/>
  <c r="O92" i="3416"/>
  <c r="N92" i="3416"/>
  <c r="M92" i="3416"/>
  <c r="L92" i="3416"/>
  <c r="K92" i="3416"/>
  <c r="J92" i="3416"/>
  <c r="I92" i="3416"/>
  <c r="H92" i="3416"/>
  <c r="G92" i="3416"/>
  <c r="F92" i="3416"/>
  <c r="E92" i="3416"/>
  <c r="D92" i="3416"/>
  <c r="C92" i="3416" a="1"/>
  <c r="C92" i="3416"/>
  <c r="A92" i="3416"/>
  <c r="EM91" i="3416"/>
  <c r="EL91" i="3416"/>
  <c r="EK91" i="3416"/>
  <c r="EJ91" i="3416"/>
  <c r="EI91" i="3416"/>
  <c r="EH91" i="3416"/>
  <c r="EG91" i="3416"/>
  <c r="EF91" i="3416"/>
  <c r="EE91" i="3416"/>
  <c r="ED91" i="3416"/>
  <c r="EC91" i="3416"/>
  <c r="EB91" i="3416"/>
  <c r="EA91" i="3416"/>
  <c r="DZ91" i="3416"/>
  <c r="DY91" i="3416"/>
  <c r="DX91" i="3416"/>
  <c r="DW91" i="3416"/>
  <c r="DV91" i="3416"/>
  <c r="DU91" i="3416"/>
  <c r="DT91" i="3416"/>
  <c r="DS91" i="3416"/>
  <c r="DR91" i="3416"/>
  <c r="DQ91" i="3416"/>
  <c r="DP91" i="3416"/>
  <c r="DO91" i="3416"/>
  <c r="DN91" i="3416"/>
  <c r="DM91" i="3416"/>
  <c r="DL91" i="3416"/>
  <c r="DK91" i="3416"/>
  <c r="DJ91" i="3416"/>
  <c r="DI91" i="3416"/>
  <c r="DH91" i="3416"/>
  <c r="DG91" i="3416"/>
  <c r="DF91" i="3416"/>
  <c r="DE91" i="3416"/>
  <c r="DD91" i="3416"/>
  <c r="DC91" i="3416"/>
  <c r="DB91" i="3416"/>
  <c r="DA91" i="3416"/>
  <c r="CZ91" i="3416"/>
  <c r="CY91" i="3416"/>
  <c r="CX91" i="3416"/>
  <c r="CW91" i="3416"/>
  <c r="CV91" i="3416"/>
  <c r="CU91" i="3416"/>
  <c r="CT91" i="3416"/>
  <c r="CS91" i="3416"/>
  <c r="CR91" i="3416"/>
  <c r="CQ91" i="3416"/>
  <c r="CP91" i="3416"/>
  <c r="CO91" i="3416"/>
  <c r="CN91" i="3416"/>
  <c r="CM91" i="3416"/>
  <c r="CL91" i="3416"/>
  <c r="CK91" i="3416"/>
  <c r="CJ91" i="3416"/>
  <c r="CI91" i="3416"/>
  <c r="CH91" i="3416"/>
  <c r="CG91" i="3416"/>
  <c r="CF91" i="3416"/>
  <c r="CE91" i="3416"/>
  <c r="CD91" i="3416"/>
  <c r="CC91" i="3416"/>
  <c r="CB91" i="3416"/>
  <c r="CA91" i="3416"/>
  <c r="BZ91" i="3416"/>
  <c r="BY91" i="3416"/>
  <c r="BX91" i="3416"/>
  <c r="BW91" i="3416"/>
  <c r="BV91" i="3416"/>
  <c r="BU91" i="3416"/>
  <c r="BT91" i="3416"/>
  <c r="BS91" i="3416"/>
  <c r="BR91" i="3416"/>
  <c r="BQ91" i="3416"/>
  <c r="BP91" i="3416"/>
  <c r="BO91" i="3416"/>
  <c r="BN91" i="3416"/>
  <c r="BM91" i="3416"/>
  <c r="BL91" i="3416"/>
  <c r="BK91" i="3416"/>
  <c r="BJ91" i="3416"/>
  <c r="BI91" i="3416"/>
  <c r="BH91" i="3416"/>
  <c r="BG91" i="3416"/>
  <c r="BF91" i="3416"/>
  <c r="BE91" i="3416"/>
  <c r="BD91" i="3416"/>
  <c r="BC91" i="3416"/>
  <c r="BB91" i="3416"/>
  <c r="BA91" i="3416"/>
  <c r="AZ91" i="3416"/>
  <c r="AY91" i="3416"/>
  <c r="AX91" i="3416"/>
  <c r="AW91" i="3416"/>
  <c r="AV91" i="3416"/>
  <c r="AU91" i="3416"/>
  <c r="AT91" i="3416"/>
  <c r="AS91" i="3416"/>
  <c r="AR91" i="3416"/>
  <c r="AQ91" i="3416"/>
  <c r="AP91" i="3416"/>
  <c r="AO91" i="3416"/>
  <c r="AN91" i="3416"/>
  <c r="AM91" i="3416"/>
  <c r="AL91" i="3416"/>
  <c r="AK91" i="3416"/>
  <c r="AJ91" i="3416"/>
  <c r="AI91" i="3416"/>
  <c r="AH91" i="3416"/>
  <c r="AG91" i="3416"/>
  <c r="AF91" i="3416"/>
  <c r="AE91" i="3416"/>
  <c r="AD91" i="3416"/>
  <c r="AC91" i="3416"/>
  <c r="AB91" i="3416"/>
  <c r="AA91" i="3416"/>
  <c r="Z91" i="3416"/>
  <c r="Y91" i="3416"/>
  <c r="X91" i="3416"/>
  <c r="W91" i="3416"/>
  <c r="V91" i="3416"/>
  <c r="U91" i="3416"/>
  <c r="T91" i="3416"/>
  <c r="S91" i="3416"/>
  <c r="R91" i="3416"/>
  <c r="Q91" i="3416"/>
  <c r="P91" i="3416"/>
  <c r="O91" i="3416"/>
  <c r="N91" i="3416"/>
  <c r="M91" i="3416"/>
  <c r="L91" i="3416"/>
  <c r="K91" i="3416"/>
  <c r="J91" i="3416"/>
  <c r="I91" i="3416"/>
  <c r="H91" i="3416"/>
  <c r="G91" i="3416"/>
  <c r="F91" i="3416"/>
  <c r="E91" i="3416"/>
  <c r="D91" i="3416"/>
  <c r="C91" i="3416" a="1"/>
  <c r="C91" i="3416"/>
  <c r="A91" i="3416"/>
  <c r="EM90" i="3416"/>
  <c r="EL90" i="3416"/>
  <c r="EK90" i="3416"/>
  <c r="EJ90" i="3416"/>
  <c r="EI90" i="3416"/>
  <c r="EH90" i="3416"/>
  <c r="EG90" i="3416"/>
  <c r="EF90" i="3416"/>
  <c r="EE90" i="3416"/>
  <c r="ED90" i="3416"/>
  <c r="EC90" i="3416"/>
  <c r="EB90" i="3416"/>
  <c r="EA90" i="3416"/>
  <c r="DZ90" i="3416"/>
  <c r="DY90" i="3416"/>
  <c r="DX90" i="3416"/>
  <c r="DW90" i="3416"/>
  <c r="DV90" i="3416"/>
  <c r="DU90" i="3416"/>
  <c r="DT90" i="3416"/>
  <c r="DS90" i="3416"/>
  <c r="DR90" i="3416"/>
  <c r="DQ90" i="3416"/>
  <c r="DP90" i="3416"/>
  <c r="DO90" i="3416"/>
  <c r="DN90" i="3416"/>
  <c r="DM90" i="3416"/>
  <c r="DL90" i="3416"/>
  <c r="DK90" i="3416"/>
  <c r="DJ90" i="3416"/>
  <c r="DI90" i="3416"/>
  <c r="DH90" i="3416"/>
  <c r="DG90" i="3416"/>
  <c r="DF90" i="3416"/>
  <c r="DE90" i="3416"/>
  <c r="DD90" i="3416"/>
  <c r="DC90" i="3416"/>
  <c r="DB90" i="3416"/>
  <c r="DA90" i="3416"/>
  <c r="CZ90" i="3416"/>
  <c r="CY90" i="3416"/>
  <c r="CX90" i="3416"/>
  <c r="CW90" i="3416"/>
  <c r="CV90" i="3416"/>
  <c r="CU90" i="3416"/>
  <c r="CT90" i="3416"/>
  <c r="CS90" i="3416"/>
  <c r="CR90" i="3416"/>
  <c r="CQ90" i="3416"/>
  <c r="CP90" i="3416"/>
  <c r="CO90" i="3416"/>
  <c r="CN90" i="3416"/>
  <c r="CM90" i="3416"/>
  <c r="CL90" i="3416"/>
  <c r="CK90" i="3416"/>
  <c r="CJ90" i="3416"/>
  <c r="CI90" i="3416"/>
  <c r="CH90" i="3416"/>
  <c r="CG90" i="3416"/>
  <c r="CF90" i="3416"/>
  <c r="CE90" i="3416"/>
  <c r="CD90" i="3416"/>
  <c r="CC90" i="3416"/>
  <c r="CB90" i="3416"/>
  <c r="CA90" i="3416"/>
  <c r="BZ90" i="3416"/>
  <c r="BY90" i="3416"/>
  <c r="BX90" i="3416"/>
  <c r="BW90" i="3416"/>
  <c r="BV90" i="3416"/>
  <c r="BU90" i="3416"/>
  <c r="BT90" i="3416"/>
  <c r="BS90" i="3416"/>
  <c r="BR90" i="3416"/>
  <c r="BQ90" i="3416"/>
  <c r="BP90" i="3416"/>
  <c r="BO90" i="3416"/>
  <c r="BN90" i="3416"/>
  <c r="BM90" i="3416"/>
  <c r="BL90" i="3416"/>
  <c r="BK90" i="3416"/>
  <c r="BJ90" i="3416"/>
  <c r="BI90" i="3416"/>
  <c r="BH90" i="3416"/>
  <c r="BG90" i="3416"/>
  <c r="BF90" i="3416"/>
  <c r="BE90" i="3416"/>
  <c r="BD90" i="3416"/>
  <c r="BC90" i="3416"/>
  <c r="BB90" i="3416"/>
  <c r="BA90" i="3416"/>
  <c r="AZ90" i="3416"/>
  <c r="AY90" i="3416"/>
  <c r="AX90" i="3416"/>
  <c r="AW90" i="3416"/>
  <c r="AV90" i="3416"/>
  <c r="AU90" i="3416"/>
  <c r="AT90" i="3416"/>
  <c r="AS90" i="3416"/>
  <c r="AR90" i="3416"/>
  <c r="AQ90" i="3416"/>
  <c r="AP90" i="3416"/>
  <c r="AO90" i="3416"/>
  <c r="AN90" i="3416"/>
  <c r="AM90" i="3416"/>
  <c r="AL90" i="3416"/>
  <c r="AK90" i="3416"/>
  <c r="AJ90" i="3416"/>
  <c r="AI90" i="3416"/>
  <c r="AH90" i="3416"/>
  <c r="AG90" i="3416"/>
  <c r="AF90" i="3416"/>
  <c r="AE90" i="3416"/>
  <c r="AD90" i="3416"/>
  <c r="AC90" i="3416"/>
  <c r="AB90" i="3416"/>
  <c r="AA90" i="3416"/>
  <c r="Z90" i="3416"/>
  <c r="Y90" i="3416"/>
  <c r="X90" i="3416"/>
  <c r="W90" i="3416"/>
  <c r="V90" i="3416"/>
  <c r="U90" i="3416"/>
  <c r="T90" i="3416"/>
  <c r="S90" i="3416"/>
  <c r="R90" i="3416"/>
  <c r="Q90" i="3416"/>
  <c r="P90" i="3416"/>
  <c r="O90" i="3416"/>
  <c r="N90" i="3416"/>
  <c r="M90" i="3416"/>
  <c r="L90" i="3416"/>
  <c r="K90" i="3416"/>
  <c r="J90" i="3416"/>
  <c r="I90" i="3416"/>
  <c r="H90" i="3416"/>
  <c r="G90" i="3416"/>
  <c r="F90" i="3416"/>
  <c r="E90" i="3416"/>
  <c r="D90" i="3416"/>
  <c r="C90" i="3416" a="1"/>
  <c r="C90" i="3416"/>
  <c r="A90" i="3416"/>
  <c r="EM89" i="3416"/>
  <c r="EL89" i="3416"/>
  <c r="EK89" i="3416"/>
  <c r="EJ89" i="3416"/>
  <c r="EI89" i="3416"/>
  <c r="EH89" i="3416"/>
  <c r="EG89" i="3416"/>
  <c r="EF89" i="3416"/>
  <c r="EE89" i="3416"/>
  <c r="ED89" i="3416"/>
  <c r="EC89" i="3416"/>
  <c r="EB89" i="3416"/>
  <c r="EA89" i="3416"/>
  <c r="DZ89" i="3416"/>
  <c r="DY89" i="3416"/>
  <c r="DX89" i="3416"/>
  <c r="DW89" i="3416"/>
  <c r="DV89" i="3416"/>
  <c r="DU89" i="3416"/>
  <c r="DT89" i="3416"/>
  <c r="DS89" i="3416"/>
  <c r="DR89" i="3416"/>
  <c r="DQ89" i="3416"/>
  <c r="DP89" i="3416"/>
  <c r="DO89" i="3416"/>
  <c r="DN89" i="3416"/>
  <c r="DM89" i="3416"/>
  <c r="DL89" i="3416"/>
  <c r="DK89" i="3416"/>
  <c r="DJ89" i="3416"/>
  <c r="DI89" i="3416"/>
  <c r="DH89" i="3416"/>
  <c r="DG89" i="3416"/>
  <c r="DF89" i="3416"/>
  <c r="DE89" i="3416"/>
  <c r="DD89" i="3416"/>
  <c r="DC89" i="3416"/>
  <c r="DB89" i="3416"/>
  <c r="DA89" i="3416"/>
  <c r="CZ89" i="3416"/>
  <c r="CY89" i="3416"/>
  <c r="CX89" i="3416"/>
  <c r="CW89" i="3416"/>
  <c r="CV89" i="3416"/>
  <c r="CU89" i="3416"/>
  <c r="CT89" i="3416"/>
  <c r="CS89" i="3416"/>
  <c r="CR89" i="3416"/>
  <c r="CQ89" i="3416"/>
  <c r="CP89" i="3416"/>
  <c r="CO89" i="3416"/>
  <c r="CN89" i="3416"/>
  <c r="CM89" i="3416"/>
  <c r="CL89" i="3416"/>
  <c r="CK89" i="3416"/>
  <c r="CJ89" i="3416"/>
  <c r="CI89" i="3416"/>
  <c r="CH89" i="3416"/>
  <c r="CG89" i="3416"/>
  <c r="CF89" i="3416"/>
  <c r="CE89" i="3416"/>
  <c r="CD89" i="3416"/>
  <c r="CC89" i="3416"/>
  <c r="CB89" i="3416"/>
  <c r="CA89" i="3416"/>
  <c r="BZ89" i="3416"/>
  <c r="BY89" i="3416"/>
  <c r="BX89" i="3416"/>
  <c r="BW89" i="3416"/>
  <c r="BV89" i="3416"/>
  <c r="BU89" i="3416"/>
  <c r="BT89" i="3416"/>
  <c r="BS89" i="3416"/>
  <c r="BR89" i="3416"/>
  <c r="BQ89" i="3416"/>
  <c r="BP89" i="3416"/>
  <c r="BO89" i="3416"/>
  <c r="BN89" i="3416"/>
  <c r="BM89" i="3416"/>
  <c r="BL89" i="3416"/>
  <c r="BK89" i="3416"/>
  <c r="BJ89" i="3416"/>
  <c r="BI89" i="3416"/>
  <c r="BH89" i="3416"/>
  <c r="BG89" i="3416"/>
  <c r="BF89" i="3416"/>
  <c r="BE89" i="3416"/>
  <c r="BD89" i="3416"/>
  <c r="BC89" i="3416"/>
  <c r="BB89" i="3416"/>
  <c r="BA89" i="3416"/>
  <c r="AZ89" i="3416"/>
  <c r="AY89" i="3416"/>
  <c r="AX89" i="3416"/>
  <c r="AW89" i="3416"/>
  <c r="AV89" i="3416"/>
  <c r="AU89" i="3416"/>
  <c r="AT89" i="3416"/>
  <c r="AS89" i="3416"/>
  <c r="AR89" i="3416"/>
  <c r="AQ89" i="3416"/>
  <c r="AP89" i="3416"/>
  <c r="AO89" i="3416"/>
  <c r="AN89" i="3416"/>
  <c r="AM89" i="3416"/>
  <c r="AL89" i="3416"/>
  <c r="AK89" i="3416"/>
  <c r="AJ89" i="3416"/>
  <c r="AI89" i="3416"/>
  <c r="AH89" i="3416"/>
  <c r="AG89" i="3416"/>
  <c r="AF89" i="3416"/>
  <c r="AE89" i="3416"/>
  <c r="AD89" i="3416"/>
  <c r="AC89" i="3416"/>
  <c r="AB89" i="3416"/>
  <c r="AA89" i="3416"/>
  <c r="Z89" i="3416"/>
  <c r="Y89" i="3416"/>
  <c r="X89" i="3416"/>
  <c r="W89" i="3416"/>
  <c r="V89" i="3416"/>
  <c r="U89" i="3416"/>
  <c r="T89" i="3416"/>
  <c r="S89" i="3416"/>
  <c r="R89" i="3416"/>
  <c r="Q89" i="3416"/>
  <c r="P89" i="3416"/>
  <c r="O89" i="3416"/>
  <c r="N89" i="3416"/>
  <c r="M89" i="3416"/>
  <c r="L89" i="3416"/>
  <c r="K89" i="3416"/>
  <c r="J89" i="3416"/>
  <c r="I89" i="3416"/>
  <c r="H89" i="3416"/>
  <c r="G89" i="3416"/>
  <c r="F89" i="3416"/>
  <c r="E89" i="3416"/>
  <c r="D89" i="3416"/>
  <c r="C89" i="3416" a="1"/>
  <c r="C89" i="3416"/>
  <c r="A89" i="3416"/>
  <c r="EM88" i="3416"/>
  <c r="EL88" i="3416"/>
  <c r="EK88" i="3416"/>
  <c r="EJ88" i="3416"/>
  <c r="EI88" i="3416"/>
  <c r="EH88" i="3416"/>
  <c r="EG88" i="3416"/>
  <c r="EF88" i="3416"/>
  <c r="EE88" i="3416"/>
  <c r="ED88" i="3416"/>
  <c r="EC88" i="3416"/>
  <c r="EB88" i="3416"/>
  <c r="EA88" i="3416"/>
  <c r="DZ88" i="3416"/>
  <c r="DY88" i="3416"/>
  <c r="DX88" i="3416"/>
  <c r="DW88" i="3416"/>
  <c r="DV88" i="3416"/>
  <c r="DU88" i="3416"/>
  <c r="DT88" i="3416"/>
  <c r="DS88" i="3416"/>
  <c r="DR88" i="3416"/>
  <c r="DQ88" i="3416"/>
  <c r="DP88" i="3416"/>
  <c r="DO88" i="3416"/>
  <c r="DN88" i="3416"/>
  <c r="DM88" i="3416"/>
  <c r="DL88" i="3416"/>
  <c r="DK88" i="3416"/>
  <c r="DJ88" i="3416"/>
  <c r="DI88" i="3416"/>
  <c r="DH88" i="3416"/>
  <c r="DG88" i="3416"/>
  <c r="DF88" i="3416"/>
  <c r="DE88" i="3416"/>
  <c r="DD88" i="3416"/>
  <c r="DC88" i="3416"/>
  <c r="DB88" i="3416"/>
  <c r="DA88" i="3416"/>
  <c r="CZ88" i="3416"/>
  <c r="CY88" i="3416"/>
  <c r="CX88" i="3416"/>
  <c r="CW88" i="3416"/>
  <c r="CV88" i="3416"/>
  <c r="CU88" i="3416"/>
  <c r="CT88" i="3416"/>
  <c r="CS88" i="3416"/>
  <c r="CR88" i="3416"/>
  <c r="CQ88" i="3416"/>
  <c r="CP88" i="3416"/>
  <c r="CO88" i="3416"/>
  <c r="CN88" i="3416"/>
  <c r="CM88" i="3416"/>
  <c r="CL88" i="3416"/>
  <c r="CK88" i="3416"/>
  <c r="CJ88" i="3416"/>
  <c r="CI88" i="3416"/>
  <c r="CH88" i="3416"/>
  <c r="CG88" i="3416"/>
  <c r="CF88" i="3416"/>
  <c r="CE88" i="3416"/>
  <c r="CD88" i="3416"/>
  <c r="CC88" i="3416"/>
  <c r="CB88" i="3416"/>
  <c r="CA88" i="3416"/>
  <c r="BZ88" i="3416"/>
  <c r="BY88" i="3416"/>
  <c r="BX88" i="3416"/>
  <c r="BW88" i="3416"/>
  <c r="BV88" i="3416"/>
  <c r="BU88" i="3416"/>
  <c r="BT88" i="3416"/>
  <c r="BS88" i="3416"/>
  <c r="BR88" i="3416"/>
  <c r="BQ88" i="3416"/>
  <c r="BP88" i="3416"/>
  <c r="BO88" i="3416"/>
  <c r="BN88" i="3416"/>
  <c r="BM88" i="3416"/>
  <c r="BL88" i="3416"/>
  <c r="BK88" i="3416"/>
  <c r="BJ88" i="3416"/>
  <c r="BI88" i="3416"/>
  <c r="BH88" i="3416"/>
  <c r="BG88" i="3416"/>
  <c r="BF88" i="3416"/>
  <c r="BE88" i="3416"/>
  <c r="BD88" i="3416"/>
  <c r="BC88" i="3416"/>
  <c r="BB88" i="3416"/>
  <c r="BA88" i="3416"/>
  <c r="AZ88" i="3416"/>
  <c r="AY88" i="3416"/>
  <c r="AX88" i="3416"/>
  <c r="AW88" i="3416"/>
  <c r="AV88" i="3416"/>
  <c r="AU88" i="3416"/>
  <c r="AT88" i="3416"/>
  <c r="AS88" i="3416"/>
  <c r="AR88" i="3416"/>
  <c r="AQ88" i="3416"/>
  <c r="AP88" i="3416"/>
  <c r="AO88" i="3416"/>
  <c r="AN88" i="3416"/>
  <c r="AM88" i="3416"/>
  <c r="AL88" i="3416"/>
  <c r="AK88" i="3416"/>
  <c r="AJ88" i="3416"/>
  <c r="AI88" i="3416"/>
  <c r="AH88" i="3416"/>
  <c r="AG88" i="3416"/>
  <c r="AF88" i="3416"/>
  <c r="AE88" i="3416"/>
  <c r="AD88" i="3416"/>
  <c r="AC88" i="3416"/>
  <c r="AB88" i="3416"/>
  <c r="AA88" i="3416"/>
  <c r="Z88" i="3416"/>
  <c r="Y88" i="3416"/>
  <c r="X88" i="3416"/>
  <c r="W88" i="3416"/>
  <c r="V88" i="3416"/>
  <c r="U88" i="3416"/>
  <c r="T88" i="3416"/>
  <c r="S88" i="3416"/>
  <c r="R88" i="3416"/>
  <c r="Q88" i="3416"/>
  <c r="P88" i="3416"/>
  <c r="O88" i="3416"/>
  <c r="N88" i="3416"/>
  <c r="M88" i="3416"/>
  <c r="L88" i="3416"/>
  <c r="K88" i="3416"/>
  <c r="J88" i="3416"/>
  <c r="I88" i="3416"/>
  <c r="H88" i="3416"/>
  <c r="G88" i="3416"/>
  <c r="F88" i="3416"/>
  <c r="E88" i="3416"/>
  <c r="D88" i="3416"/>
  <c r="C88" i="3416" a="1"/>
  <c r="C88" i="3416"/>
  <c r="A88" i="3416"/>
  <c r="EM87" i="3416"/>
  <c r="EL87" i="3416"/>
  <c r="EK87" i="3416"/>
  <c r="EJ87" i="3416"/>
  <c r="EI87" i="3416"/>
  <c r="EH87" i="3416"/>
  <c r="EG87" i="3416"/>
  <c r="EF87" i="3416"/>
  <c r="EE87" i="3416"/>
  <c r="ED87" i="3416"/>
  <c r="EC87" i="3416"/>
  <c r="EB87" i="3416"/>
  <c r="EA87" i="3416"/>
  <c r="DZ87" i="3416"/>
  <c r="DY87" i="3416"/>
  <c r="DX87" i="3416"/>
  <c r="DW87" i="3416"/>
  <c r="DV87" i="3416"/>
  <c r="DU87" i="3416"/>
  <c r="DT87" i="3416"/>
  <c r="DS87" i="3416"/>
  <c r="DR87" i="3416"/>
  <c r="DQ87" i="3416"/>
  <c r="DP87" i="3416"/>
  <c r="DO87" i="3416"/>
  <c r="DN87" i="3416"/>
  <c r="DM87" i="3416"/>
  <c r="DL87" i="3416"/>
  <c r="DK87" i="3416"/>
  <c r="DJ87" i="3416"/>
  <c r="DI87" i="3416"/>
  <c r="DH87" i="3416"/>
  <c r="DG87" i="3416"/>
  <c r="DF87" i="3416"/>
  <c r="DE87" i="3416"/>
  <c r="DD87" i="3416"/>
  <c r="DC87" i="3416"/>
  <c r="DB87" i="3416"/>
  <c r="DA87" i="3416"/>
  <c r="CZ87" i="3416"/>
  <c r="CY87" i="3416"/>
  <c r="CX87" i="3416"/>
  <c r="CW87" i="3416"/>
  <c r="CV87" i="3416"/>
  <c r="CU87" i="3416"/>
  <c r="CT87" i="3416"/>
  <c r="CS87" i="3416"/>
  <c r="CR87" i="3416"/>
  <c r="CQ87" i="3416"/>
  <c r="CP87" i="3416"/>
  <c r="CO87" i="3416"/>
  <c r="CN87" i="3416"/>
  <c r="CM87" i="3416"/>
  <c r="CL87" i="3416"/>
  <c r="CK87" i="3416"/>
  <c r="CJ87" i="3416"/>
  <c r="CI87" i="3416"/>
  <c r="CH87" i="3416"/>
  <c r="CG87" i="3416"/>
  <c r="CF87" i="3416"/>
  <c r="CE87" i="3416"/>
  <c r="CD87" i="3416"/>
  <c r="CC87" i="3416"/>
  <c r="CB87" i="3416"/>
  <c r="CA87" i="3416"/>
  <c r="BZ87" i="3416"/>
  <c r="BY87" i="3416"/>
  <c r="BX87" i="3416"/>
  <c r="BW87" i="3416"/>
  <c r="BV87" i="3416"/>
  <c r="BU87" i="3416"/>
  <c r="BT87" i="3416"/>
  <c r="BS87" i="3416"/>
  <c r="BR87" i="3416"/>
  <c r="BQ87" i="3416"/>
  <c r="BP87" i="3416"/>
  <c r="BO87" i="3416"/>
  <c r="BN87" i="3416"/>
  <c r="BM87" i="3416"/>
  <c r="BL87" i="3416"/>
  <c r="BK87" i="3416"/>
  <c r="BJ87" i="3416"/>
  <c r="BI87" i="3416"/>
  <c r="BH87" i="3416"/>
  <c r="BG87" i="3416"/>
  <c r="BF87" i="3416"/>
  <c r="BE87" i="3416"/>
  <c r="BD87" i="3416"/>
  <c r="BC87" i="3416"/>
  <c r="BB87" i="3416"/>
  <c r="BA87" i="3416"/>
  <c r="AZ87" i="3416"/>
  <c r="AY87" i="3416"/>
  <c r="AX87" i="3416"/>
  <c r="AW87" i="3416"/>
  <c r="AV87" i="3416"/>
  <c r="AU87" i="3416"/>
  <c r="AT87" i="3416"/>
  <c r="AS87" i="3416"/>
  <c r="AR87" i="3416"/>
  <c r="AQ87" i="3416"/>
  <c r="AP87" i="3416"/>
  <c r="AO87" i="3416"/>
  <c r="AN87" i="3416"/>
  <c r="AM87" i="3416"/>
  <c r="AL87" i="3416"/>
  <c r="AK87" i="3416"/>
  <c r="AJ87" i="3416"/>
  <c r="AI87" i="3416"/>
  <c r="AH87" i="3416"/>
  <c r="AG87" i="3416"/>
  <c r="AF87" i="3416"/>
  <c r="AE87" i="3416"/>
  <c r="AD87" i="3416"/>
  <c r="AC87" i="3416"/>
  <c r="AB87" i="3416"/>
  <c r="AA87" i="3416"/>
  <c r="Z87" i="3416"/>
  <c r="Y87" i="3416"/>
  <c r="X87" i="3416"/>
  <c r="W87" i="3416"/>
  <c r="V87" i="3416"/>
  <c r="U87" i="3416"/>
  <c r="T87" i="3416"/>
  <c r="S87" i="3416"/>
  <c r="R87" i="3416"/>
  <c r="Q87" i="3416"/>
  <c r="P87" i="3416"/>
  <c r="O87" i="3416"/>
  <c r="N87" i="3416"/>
  <c r="M87" i="3416"/>
  <c r="L87" i="3416"/>
  <c r="K87" i="3416"/>
  <c r="J87" i="3416"/>
  <c r="I87" i="3416"/>
  <c r="H87" i="3416"/>
  <c r="G87" i="3416"/>
  <c r="F87" i="3416"/>
  <c r="E87" i="3416"/>
  <c r="D87" i="3416"/>
  <c r="C87" i="3416" a="1"/>
  <c r="C87" i="3416"/>
  <c r="A87" i="3416"/>
  <c r="EM86" i="3416"/>
  <c r="EL86" i="3416"/>
  <c r="EK86" i="3416"/>
  <c r="EJ86" i="3416"/>
  <c r="EI86" i="3416"/>
  <c r="EH86" i="3416"/>
  <c r="EG86" i="3416"/>
  <c r="EF86" i="3416"/>
  <c r="EE86" i="3416"/>
  <c r="ED86" i="3416"/>
  <c r="EC86" i="3416"/>
  <c r="EB86" i="3416"/>
  <c r="EA86" i="3416"/>
  <c r="DZ86" i="3416"/>
  <c r="DY86" i="3416"/>
  <c r="DX86" i="3416"/>
  <c r="DW86" i="3416"/>
  <c r="DV86" i="3416"/>
  <c r="DU86" i="3416"/>
  <c r="DT86" i="3416"/>
  <c r="DS86" i="3416"/>
  <c r="DR86" i="3416"/>
  <c r="DQ86" i="3416"/>
  <c r="DP86" i="3416"/>
  <c r="DO86" i="3416"/>
  <c r="DN86" i="3416"/>
  <c r="DM86" i="3416"/>
  <c r="DL86" i="3416"/>
  <c r="DK86" i="3416"/>
  <c r="DJ86" i="3416"/>
  <c r="DI86" i="3416"/>
  <c r="DH86" i="3416"/>
  <c r="DG86" i="3416"/>
  <c r="DF86" i="3416"/>
  <c r="DE86" i="3416"/>
  <c r="DD86" i="3416"/>
  <c r="DC86" i="3416"/>
  <c r="DB86" i="3416"/>
  <c r="DA86" i="3416"/>
  <c r="CZ86" i="3416"/>
  <c r="CY86" i="3416"/>
  <c r="CX86" i="3416"/>
  <c r="CW86" i="3416"/>
  <c r="CV86" i="3416"/>
  <c r="CU86" i="3416"/>
  <c r="CT86" i="3416"/>
  <c r="CS86" i="3416"/>
  <c r="CR86" i="3416"/>
  <c r="CQ86" i="3416"/>
  <c r="CP86" i="3416"/>
  <c r="CO86" i="3416"/>
  <c r="CN86" i="3416"/>
  <c r="CM86" i="3416"/>
  <c r="CL86" i="3416"/>
  <c r="CK86" i="3416"/>
  <c r="CJ86" i="3416"/>
  <c r="CI86" i="3416"/>
  <c r="CH86" i="3416"/>
  <c r="CG86" i="3416"/>
  <c r="CF86" i="3416"/>
  <c r="CE86" i="3416"/>
  <c r="CD86" i="3416"/>
  <c r="CC86" i="3416"/>
  <c r="CB86" i="3416"/>
  <c r="CA86" i="3416"/>
  <c r="BZ86" i="3416"/>
  <c r="BY86" i="3416"/>
  <c r="BX86" i="3416"/>
  <c r="BW86" i="3416"/>
  <c r="BV86" i="3416"/>
  <c r="BU86" i="3416"/>
  <c r="BT86" i="3416"/>
  <c r="BS86" i="3416"/>
  <c r="BR86" i="3416"/>
  <c r="BQ86" i="3416"/>
  <c r="BP86" i="3416"/>
  <c r="BO86" i="3416"/>
  <c r="BN86" i="3416"/>
  <c r="BM86" i="3416"/>
  <c r="BL86" i="3416"/>
  <c r="BK86" i="3416"/>
  <c r="BJ86" i="3416"/>
  <c r="BI86" i="3416"/>
  <c r="BH86" i="3416"/>
  <c r="BG86" i="3416"/>
  <c r="BF86" i="3416"/>
  <c r="BE86" i="3416"/>
  <c r="BD86" i="3416"/>
  <c r="BC86" i="3416"/>
  <c r="BB86" i="3416"/>
  <c r="BA86" i="3416"/>
  <c r="AZ86" i="3416"/>
  <c r="AY86" i="3416"/>
  <c r="AX86" i="3416"/>
  <c r="AW86" i="3416"/>
  <c r="AV86" i="3416"/>
  <c r="AU86" i="3416"/>
  <c r="AT86" i="3416"/>
  <c r="AS86" i="3416"/>
  <c r="AR86" i="3416"/>
  <c r="AQ86" i="3416"/>
  <c r="AP86" i="3416"/>
  <c r="AO86" i="3416"/>
  <c r="AN86" i="3416"/>
  <c r="AM86" i="3416"/>
  <c r="AL86" i="3416"/>
  <c r="AK86" i="3416"/>
  <c r="AJ86" i="3416"/>
  <c r="AI86" i="3416"/>
  <c r="AH86" i="3416"/>
  <c r="AG86" i="3416"/>
  <c r="AF86" i="3416"/>
  <c r="AE86" i="3416"/>
  <c r="AD86" i="3416"/>
  <c r="AC86" i="3416"/>
  <c r="AB86" i="3416"/>
  <c r="AA86" i="3416"/>
  <c r="Z86" i="3416"/>
  <c r="Y86" i="3416"/>
  <c r="X86" i="3416"/>
  <c r="W86" i="3416"/>
  <c r="V86" i="3416"/>
  <c r="U86" i="3416"/>
  <c r="T86" i="3416"/>
  <c r="S86" i="3416"/>
  <c r="R86" i="3416"/>
  <c r="Q86" i="3416"/>
  <c r="P86" i="3416"/>
  <c r="O86" i="3416"/>
  <c r="N86" i="3416"/>
  <c r="M86" i="3416"/>
  <c r="L86" i="3416"/>
  <c r="K86" i="3416"/>
  <c r="J86" i="3416"/>
  <c r="I86" i="3416"/>
  <c r="H86" i="3416"/>
  <c r="G86" i="3416"/>
  <c r="F86" i="3416"/>
  <c r="E86" i="3416"/>
  <c r="D86" i="3416"/>
  <c r="C86" i="3416" a="1"/>
  <c r="C86" i="3416"/>
  <c r="A86" i="3416"/>
  <c r="EM85" i="3416"/>
  <c r="EL85" i="3416"/>
  <c r="EK85" i="3416"/>
  <c r="EJ85" i="3416"/>
  <c r="EI85" i="3416"/>
  <c r="EH85" i="3416"/>
  <c r="EG85" i="3416"/>
  <c r="EF85" i="3416"/>
  <c r="EE85" i="3416"/>
  <c r="ED85" i="3416"/>
  <c r="EC85" i="3416"/>
  <c r="EB85" i="3416"/>
  <c r="EA85" i="3416"/>
  <c r="DZ85" i="3416"/>
  <c r="DY85" i="3416"/>
  <c r="DX85" i="3416"/>
  <c r="DW85" i="3416"/>
  <c r="DV85" i="3416"/>
  <c r="DU85" i="3416"/>
  <c r="DT85" i="3416"/>
  <c r="DS85" i="3416"/>
  <c r="DR85" i="3416"/>
  <c r="DQ85" i="3416"/>
  <c r="DP85" i="3416"/>
  <c r="DO85" i="3416"/>
  <c r="DN85" i="3416"/>
  <c r="DM85" i="3416"/>
  <c r="DL85" i="3416"/>
  <c r="DK85" i="3416"/>
  <c r="DJ85" i="3416"/>
  <c r="DI85" i="3416"/>
  <c r="DH85" i="3416"/>
  <c r="DG85" i="3416"/>
  <c r="DF85" i="3416"/>
  <c r="DE85" i="3416"/>
  <c r="DD85" i="3416"/>
  <c r="DC85" i="3416"/>
  <c r="DB85" i="3416"/>
  <c r="DA85" i="3416"/>
  <c r="CZ85" i="3416"/>
  <c r="CY85" i="3416"/>
  <c r="CX85" i="3416"/>
  <c r="CW85" i="3416"/>
  <c r="CV85" i="3416"/>
  <c r="CU85" i="3416"/>
  <c r="CT85" i="3416"/>
  <c r="CS85" i="3416"/>
  <c r="CR85" i="3416"/>
  <c r="CQ85" i="3416"/>
  <c r="CP85" i="3416"/>
  <c r="CO85" i="3416"/>
  <c r="CN85" i="3416"/>
  <c r="CM85" i="3416"/>
  <c r="CL85" i="3416"/>
  <c r="CK85" i="3416"/>
  <c r="CJ85" i="3416"/>
  <c r="CI85" i="3416"/>
  <c r="CH85" i="3416"/>
  <c r="CG85" i="3416"/>
  <c r="CF85" i="3416"/>
  <c r="CE85" i="3416"/>
  <c r="CD85" i="3416"/>
  <c r="CC85" i="3416"/>
  <c r="CB85" i="3416"/>
  <c r="CA85" i="3416"/>
  <c r="BZ85" i="3416"/>
  <c r="BY85" i="3416"/>
  <c r="BX85" i="3416"/>
  <c r="BW85" i="3416"/>
  <c r="BV85" i="3416"/>
  <c r="BU85" i="3416"/>
  <c r="BT85" i="3416"/>
  <c r="BS85" i="3416"/>
  <c r="BR85" i="3416"/>
  <c r="BQ85" i="3416"/>
  <c r="BP85" i="3416"/>
  <c r="BO85" i="3416"/>
  <c r="BN85" i="3416"/>
  <c r="BM85" i="3416"/>
  <c r="BL85" i="3416"/>
  <c r="BK85" i="3416"/>
  <c r="BJ85" i="3416"/>
  <c r="BI85" i="3416"/>
  <c r="BH85" i="3416"/>
  <c r="BG85" i="3416"/>
  <c r="BF85" i="3416"/>
  <c r="BE85" i="3416"/>
  <c r="BD85" i="3416"/>
  <c r="BC85" i="3416"/>
  <c r="BB85" i="3416"/>
  <c r="BA85" i="3416"/>
  <c r="AZ85" i="3416"/>
  <c r="AY85" i="3416"/>
  <c r="AX85" i="3416"/>
  <c r="AW85" i="3416"/>
  <c r="AV85" i="3416"/>
  <c r="AU85" i="3416"/>
  <c r="AT85" i="3416"/>
  <c r="AS85" i="3416"/>
  <c r="AR85" i="3416"/>
  <c r="AQ85" i="3416"/>
  <c r="AP85" i="3416"/>
  <c r="AO85" i="3416"/>
  <c r="AN85" i="3416"/>
  <c r="AM85" i="3416"/>
  <c r="AL85" i="3416"/>
  <c r="AK85" i="3416"/>
  <c r="AJ85" i="3416"/>
  <c r="AI85" i="3416"/>
  <c r="AH85" i="3416"/>
  <c r="AG85" i="3416"/>
  <c r="AF85" i="3416"/>
  <c r="AE85" i="3416"/>
  <c r="AD85" i="3416"/>
  <c r="AC85" i="3416"/>
  <c r="AB85" i="3416"/>
  <c r="AA85" i="3416"/>
  <c r="Z85" i="3416"/>
  <c r="Y85" i="3416"/>
  <c r="X85" i="3416"/>
  <c r="W85" i="3416"/>
  <c r="V85" i="3416"/>
  <c r="U85" i="3416"/>
  <c r="T85" i="3416"/>
  <c r="S85" i="3416"/>
  <c r="R85" i="3416"/>
  <c r="Q85" i="3416"/>
  <c r="P85" i="3416"/>
  <c r="O85" i="3416"/>
  <c r="N85" i="3416"/>
  <c r="M85" i="3416"/>
  <c r="L85" i="3416"/>
  <c r="K85" i="3416"/>
  <c r="J85" i="3416"/>
  <c r="I85" i="3416"/>
  <c r="H85" i="3416"/>
  <c r="G85" i="3416"/>
  <c r="F85" i="3416"/>
  <c r="E85" i="3416"/>
  <c r="D85" i="3416"/>
  <c r="C85" i="3416" a="1"/>
  <c r="C85" i="3416"/>
  <c r="A85" i="3416"/>
  <c r="EM84" i="3416"/>
  <c r="EL84" i="3416"/>
  <c r="EK84" i="3416"/>
  <c r="EJ84" i="3416"/>
  <c r="EI84" i="3416"/>
  <c r="EH84" i="3416"/>
  <c r="EG84" i="3416"/>
  <c r="EF84" i="3416"/>
  <c r="EE84" i="3416"/>
  <c r="ED84" i="3416"/>
  <c r="EC84" i="3416"/>
  <c r="EB84" i="3416"/>
  <c r="EA84" i="3416"/>
  <c r="DZ84" i="3416"/>
  <c r="DY84" i="3416"/>
  <c r="DX84" i="3416"/>
  <c r="DW84" i="3416"/>
  <c r="DV84" i="3416"/>
  <c r="DU84" i="3416"/>
  <c r="DT84" i="3416"/>
  <c r="DS84" i="3416"/>
  <c r="DR84" i="3416"/>
  <c r="DQ84" i="3416"/>
  <c r="DP84" i="3416"/>
  <c r="DO84" i="3416"/>
  <c r="DN84" i="3416"/>
  <c r="DM84" i="3416"/>
  <c r="DL84" i="3416"/>
  <c r="DK84" i="3416"/>
  <c r="DJ84" i="3416"/>
  <c r="DI84" i="3416"/>
  <c r="DH84" i="3416"/>
  <c r="DG84" i="3416"/>
  <c r="DF84" i="3416"/>
  <c r="DE84" i="3416"/>
  <c r="DD84" i="3416"/>
  <c r="DC84" i="3416"/>
  <c r="DB84" i="3416"/>
  <c r="DA84" i="3416"/>
  <c r="CZ84" i="3416"/>
  <c r="CY84" i="3416"/>
  <c r="CX84" i="3416"/>
  <c r="CW84" i="3416"/>
  <c r="CV84" i="3416"/>
  <c r="CU84" i="3416"/>
  <c r="CT84" i="3416"/>
  <c r="CS84" i="3416"/>
  <c r="CR84" i="3416"/>
  <c r="CQ84" i="3416"/>
  <c r="CP84" i="3416"/>
  <c r="CO84" i="3416"/>
  <c r="CN84" i="3416"/>
  <c r="CM84" i="3416"/>
  <c r="CL84" i="3416"/>
  <c r="CK84" i="3416"/>
  <c r="CJ84" i="3416"/>
  <c r="CI84" i="3416"/>
  <c r="CH84" i="3416"/>
  <c r="CG84" i="3416"/>
  <c r="CF84" i="3416"/>
  <c r="CE84" i="3416"/>
  <c r="CD84" i="3416"/>
  <c r="CC84" i="3416"/>
  <c r="CB84" i="3416"/>
  <c r="CA84" i="3416"/>
  <c r="BZ84" i="3416"/>
  <c r="BY84" i="3416"/>
  <c r="BX84" i="3416"/>
  <c r="BW84" i="3416"/>
  <c r="BV84" i="3416"/>
  <c r="BU84" i="3416"/>
  <c r="BT84" i="3416"/>
  <c r="BS84" i="3416"/>
  <c r="BR84" i="3416"/>
  <c r="BQ84" i="3416"/>
  <c r="BP84" i="3416"/>
  <c r="BO84" i="3416"/>
  <c r="BN84" i="3416"/>
  <c r="BM84" i="3416"/>
  <c r="BL84" i="3416"/>
  <c r="BK84" i="3416"/>
  <c r="BJ84" i="3416"/>
  <c r="BI84" i="3416"/>
  <c r="BH84" i="3416"/>
  <c r="BG84" i="3416"/>
  <c r="BF84" i="3416"/>
  <c r="BE84" i="3416"/>
  <c r="BD84" i="3416"/>
  <c r="BC84" i="3416"/>
  <c r="BB84" i="3416"/>
  <c r="BA84" i="3416"/>
  <c r="AZ84" i="3416"/>
  <c r="AY84" i="3416"/>
  <c r="AX84" i="3416"/>
  <c r="AW84" i="3416"/>
  <c r="AV84" i="3416"/>
  <c r="AU84" i="3416"/>
  <c r="AT84" i="3416"/>
  <c r="AS84" i="3416"/>
  <c r="AR84" i="3416"/>
  <c r="AQ84" i="3416"/>
  <c r="AP84" i="3416"/>
  <c r="AO84" i="3416"/>
  <c r="AN84" i="3416"/>
  <c r="AM84" i="3416"/>
  <c r="AL84" i="3416"/>
  <c r="AK84" i="3416"/>
  <c r="AJ84" i="3416"/>
  <c r="AI84" i="3416"/>
  <c r="AH84" i="3416"/>
  <c r="AG84" i="3416"/>
  <c r="AF84" i="3416"/>
  <c r="AE84" i="3416"/>
  <c r="AD84" i="3416"/>
  <c r="AC84" i="3416"/>
  <c r="AB84" i="3416"/>
  <c r="AA84" i="3416"/>
  <c r="Z84" i="3416"/>
  <c r="Y84" i="3416"/>
  <c r="X84" i="3416"/>
  <c r="W84" i="3416"/>
  <c r="V84" i="3416"/>
  <c r="U84" i="3416"/>
  <c r="T84" i="3416"/>
  <c r="S84" i="3416"/>
  <c r="R84" i="3416"/>
  <c r="Q84" i="3416"/>
  <c r="P84" i="3416"/>
  <c r="O84" i="3416"/>
  <c r="N84" i="3416"/>
  <c r="M84" i="3416"/>
  <c r="L84" i="3416"/>
  <c r="K84" i="3416"/>
  <c r="J84" i="3416"/>
  <c r="I84" i="3416"/>
  <c r="H84" i="3416"/>
  <c r="G84" i="3416"/>
  <c r="F84" i="3416"/>
  <c r="E84" i="3416"/>
  <c r="D84" i="3416"/>
  <c r="C84" i="3416" a="1"/>
  <c r="C84" i="3416"/>
  <c r="A84" i="3416"/>
  <c r="EM83" i="3416"/>
  <c r="EL83" i="3416"/>
  <c r="EK83" i="3416"/>
  <c r="EJ83" i="3416"/>
  <c r="EI83" i="3416"/>
  <c r="EH83" i="3416"/>
  <c r="EG83" i="3416"/>
  <c r="EF83" i="3416"/>
  <c r="EE83" i="3416"/>
  <c r="ED83" i="3416"/>
  <c r="EC83" i="3416"/>
  <c r="EB83" i="3416"/>
  <c r="EA83" i="3416"/>
  <c r="DZ83" i="3416"/>
  <c r="DY83" i="3416"/>
  <c r="DX83" i="3416"/>
  <c r="DW83" i="3416"/>
  <c r="DV83" i="3416"/>
  <c r="DU83" i="3416"/>
  <c r="DT83" i="3416"/>
  <c r="DS83" i="3416"/>
  <c r="DR83" i="3416"/>
  <c r="DQ83" i="3416"/>
  <c r="DP83" i="3416"/>
  <c r="DO83" i="3416"/>
  <c r="DN83" i="3416"/>
  <c r="DM83" i="3416"/>
  <c r="DL83" i="3416"/>
  <c r="DK83" i="3416"/>
  <c r="DJ83" i="3416"/>
  <c r="DI83" i="3416"/>
  <c r="DH83" i="3416"/>
  <c r="DG83" i="3416"/>
  <c r="DF83" i="3416"/>
  <c r="DE83" i="3416"/>
  <c r="DD83" i="3416"/>
  <c r="DC83" i="3416"/>
  <c r="DB83" i="3416"/>
  <c r="DA83" i="3416"/>
  <c r="CZ83" i="3416"/>
  <c r="CY83" i="3416"/>
  <c r="CX83" i="3416"/>
  <c r="CW83" i="3416"/>
  <c r="CV83" i="3416"/>
  <c r="CU83" i="3416"/>
  <c r="CT83" i="3416"/>
  <c r="CS83" i="3416"/>
  <c r="CR83" i="3416"/>
  <c r="CQ83" i="3416"/>
  <c r="CP83" i="3416"/>
  <c r="CO83" i="3416"/>
  <c r="CN83" i="3416"/>
  <c r="CM83" i="3416"/>
  <c r="CL83" i="3416"/>
  <c r="CK83" i="3416"/>
  <c r="CJ83" i="3416"/>
  <c r="CI83" i="3416"/>
  <c r="CH83" i="3416"/>
  <c r="CG83" i="3416"/>
  <c r="CF83" i="3416"/>
  <c r="CE83" i="3416"/>
  <c r="CD83" i="3416"/>
  <c r="CC83" i="3416"/>
  <c r="CB83" i="3416"/>
  <c r="CA83" i="3416"/>
  <c r="BZ83" i="3416"/>
  <c r="BY83" i="3416"/>
  <c r="BX83" i="3416"/>
  <c r="BW83" i="3416"/>
  <c r="BV83" i="3416"/>
  <c r="BU83" i="3416"/>
  <c r="BT83" i="3416"/>
  <c r="BS83" i="3416"/>
  <c r="BR83" i="3416"/>
  <c r="BQ83" i="3416"/>
  <c r="BP83" i="3416"/>
  <c r="BO83" i="3416"/>
  <c r="BN83" i="3416"/>
  <c r="BM83" i="3416"/>
  <c r="BL83" i="3416"/>
  <c r="BK83" i="3416"/>
  <c r="BJ83" i="3416"/>
  <c r="BI83" i="3416"/>
  <c r="BH83" i="3416"/>
  <c r="BG83" i="3416"/>
  <c r="BF83" i="3416"/>
  <c r="BE83" i="3416"/>
  <c r="BD83" i="3416"/>
  <c r="BC83" i="3416"/>
  <c r="BB83" i="3416"/>
  <c r="BA83" i="3416"/>
  <c r="AZ83" i="3416"/>
  <c r="AY83" i="3416"/>
  <c r="AX83" i="3416"/>
  <c r="AW83" i="3416"/>
  <c r="AV83" i="3416"/>
  <c r="AU83" i="3416"/>
  <c r="AT83" i="3416"/>
  <c r="AS83" i="3416"/>
  <c r="AR83" i="3416"/>
  <c r="AQ83" i="3416"/>
  <c r="AP83" i="3416"/>
  <c r="AO83" i="3416"/>
  <c r="AN83" i="3416"/>
  <c r="AM83" i="3416"/>
  <c r="AL83" i="3416"/>
  <c r="AK83" i="3416"/>
  <c r="AJ83" i="3416"/>
  <c r="AI83" i="3416"/>
  <c r="AH83" i="3416"/>
  <c r="AG83" i="3416"/>
  <c r="AF83" i="3416"/>
  <c r="AE83" i="3416"/>
  <c r="AD83" i="3416"/>
  <c r="AC83" i="3416"/>
  <c r="AB83" i="3416"/>
  <c r="AA83" i="3416"/>
  <c r="Z83" i="3416"/>
  <c r="Y83" i="3416"/>
  <c r="X83" i="3416"/>
  <c r="W83" i="3416"/>
  <c r="V83" i="3416"/>
  <c r="U83" i="3416"/>
  <c r="T83" i="3416"/>
  <c r="S83" i="3416"/>
  <c r="R83" i="3416"/>
  <c r="Q83" i="3416"/>
  <c r="P83" i="3416"/>
  <c r="O83" i="3416"/>
  <c r="N83" i="3416"/>
  <c r="M83" i="3416"/>
  <c r="L83" i="3416"/>
  <c r="K83" i="3416"/>
  <c r="J83" i="3416"/>
  <c r="I83" i="3416"/>
  <c r="H83" i="3416"/>
  <c r="G83" i="3416"/>
  <c r="F83" i="3416"/>
  <c r="E83" i="3416"/>
  <c r="D83" i="3416"/>
  <c r="C83" i="3416" a="1"/>
  <c r="C83" i="3416"/>
  <c r="A83" i="3416"/>
  <c r="EM82" i="3416"/>
  <c r="EL82" i="3416"/>
  <c r="EK82" i="3416"/>
  <c r="EJ82" i="3416"/>
  <c r="EI82" i="3416"/>
  <c r="EH82" i="3416"/>
  <c r="EG82" i="3416"/>
  <c r="EF82" i="3416"/>
  <c r="EE82" i="3416"/>
  <c r="ED82" i="3416"/>
  <c r="EC82" i="3416"/>
  <c r="EB82" i="3416"/>
  <c r="EA82" i="3416"/>
  <c r="DZ82" i="3416"/>
  <c r="DY82" i="3416"/>
  <c r="DX82" i="3416"/>
  <c r="DW82" i="3416"/>
  <c r="DV82" i="3416"/>
  <c r="DU82" i="3416"/>
  <c r="DT82" i="3416"/>
  <c r="DS82" i="3416"/>
  <c r="DR82" i="3416"/>
  <c r="DQ82" i="3416"/>
  <c r="DP82" i="3416"/>
  <c r="DO82" i="3416"/>
  <c r="DN82" i="3416"/>
  <c r="DM82" i="3416"/>
  <c r="DL82" i="3416"/>
  <c r="DK82" i="3416"/>
  <c r="DJ82" i="3416"/>
  <c r="DI82" i="3416"/>
  <c r="DH82" i="3416"/>
  <c r="DG82" i="3416"/>
  <c r="DF82" i="3416"/>
  <c r="DE82" i="3416"/>
  <c r="DD82" i="3416"/>
  <c r="DC82" i="3416"/>
  <c r="DB82" i="3416"/>
  <c r="DA82" i="3416"/>
  <c r="CZ82" i="3416"/>
  <c r="CY82" i="3416"/>
  <c r="CX82" i="3416"/>
  <c r="CW82" i="3416"/>
  <c r="CV82" i="3416"/>
  <c r="CU82" i="3416"/>
  <c r="CT82" i="3416"/>
  <c r="CS82" i="3416"/>
  <c r="CR82" i="3416"/>
  <c r="CQ82" i="3416"/>
  <c r="CP82" i="3416"/>
  <c r="CO82" i="3416"/>
  <c r="CN82" i="3416"/>
  <c r="CM82" i="3416"/>
  <c r="CL82" i="3416"/>
  <c r="CK82" i="3416"/>
  <c r="CJ82" i="3416"/>
  <c r="CI82" i="3416"/>
  <c r="CH82" i="3416"/>
  <c r="CG82" i="3416"/>
  <c r="CF82" i="3416"/>
  <c r="CE82" i="3416"/>
  <c r="CD82" i="3416"/>
  <c r="CC82" i="3416"/>
  <c r="CB82" i="3416"/>
  <c r="CA82" i="3416"/>
  <c r="BZ82" i="3416"/>
  <c r="BY82" i="3416"/>
  <c r="BX82" i="3416"/>
  <c r="BW82" i="3416"/>
  <c r="BV82" i="3416"/>
  <c r="BU82" i="3416"/>
  <c r="BT82" i="3416"/>
  <c r="BS82" i="3416"/>
  <c r="BR82" i="3416"/>
  <c r="BQ82" i="3416"/>
  <c r="BP82" i="3416"/>
  <c r="BO82" i="3416"/>
  <c r="BN82" i="3416"/>
  <c r="BM82" i="3416"/>
  <c r="BL82" i="3416"/>
  <c r="BK82" i="3416"/>
  <c r="BJ82" i="3416"/>
  <c r="BI82" i="3416"/>
  <c r="BH82" i="3416"/>
  <c r="BG82" i="3416"/>
  <c r="BF82" i="3416"/>
  <c r="BE82" i="3416"/>
  <c r="BD82" i="3416"/>
  <c r="BC82" i="3416"/>
  <c r="BB82" i="3416"/>
  <c r="BA82" i="3416"/>
  <c r="AZ82" i="3416"/>
  <c r="AY82" i="3416"/>
  <c r="AX82" i="3416"/>
  <c r="AW82" i="3416"/>
  <c r="AV82" i="3416"/>
  <c r="AU82" i="3416"/>
  <c r="AT82" i="3416"/>
  <c r="AS82" i="3416"/>
  <c r="AR82" i="3416"/>
  <c r="AQ82" i="3416"/>
  <c r="AP82" i="3416"/>
  <c r="AO82" i="3416"/>
  <c r="AN82" i="3416"/>
  <c r="AM82" i="3416"/>
  <c r="AL82" i="3416"/>
  <c r="AK82" i="3416"/>
  <c r="AJ82" i="3416"/>
  <c r="AI82" i="3416"/>
  <c r="AH82" i="3416"/>
  <c r="AG82" i="3416"/>
  <c r="AF82" i="3416"/>
  <c r="AE82" i="3416"/>
  <c r="AD82" i="3416"/>
  <c r="AC82" i="3416"/>
  <c r="AB82" i="3416"/>
  <c r="AA82" i="3416"/>
  <c r="Z82" i="3416"/>
  <c r="Y82" i="3416"/>
  <c r="X82" i="3416"/>
  <c r="W82" i="3416"/>
  <c r="V82" i="3416"/>
  <c r="U82" i="3416"/>
  <c r="T82" i="3416"/>
  <c r="S82" i="3416"/>
  <c r="R82" i="3416"/>
  <c r="Q82" i="3416"/>
  <c r="P82" i="3416"/>
  <c r="O82" i="3416"/>
  <c r="N82" i="3416"/>
  <c r="M82" i="3416"/>
  <c r="L82" i="3416"/>
  <c r="K82" i="3416"/>
  <c r="J82" i="3416"/>
  <c r="I82" i="3416"/>
  <c r="H82" i="3416"/>
  <c r="G82" i="3416"/>
  <c r="F82" i="3416"/>
  <c r="E82" i="3416"/>
  <c r="D82" i="3416"/>
  <c r="C82" i="3416" a="1"/>
  <c r="C82" i="3416"/>
  <c r="A82" i="3416"/>
  <c r="EM81" i="3416"/>
  <c r="EL81" i="3416"/>
  <c r="EK81" i="3416"/>
  <c r="EJ81" i="3416"/>
  <c r="EI81" i="3416"/>
  <c r="EH81" i="3416"/>
  <c r="EG81" i="3416"/>
  <c r="EF81" i="3416"/>
  <c r="EE81" i="3416"/>
  <c r="ED81" i="3416"/>
  <c r="EC81" i="3416"/>
  <c r="EB81" i="3416"/>
  <c r="EA81" i="3416"/>
  <c r="DZ81" i="3416"/>
  <c r="DY81" i="3416"/>
  <c r="DX81" i="3416"/>
  <c r="DW81" i="3416"/>
  <c r="DV81" i="3416"/>
  <c r="DU81" i="3416"/>
  <c r="DT81" i="3416"/>
  <c r="DS81" i="3416"/>
  <c r="DR81" i="3416"/>
  <c r="DQ81" i="3416"/>
  <c r="DP81" i="3416"/>
  <c r="DO81" i="3416"/>
  <c r="DN81" i="3416"/>
  <c r="DM81" i="3416"/>
  <c r="DL81" i="3416"/>
  <c r="DK81" i="3416"/>
  <c r="DJ81" i="3416"/>
  <c r="DI81" i="3416"/>
  <c r="DH81" i="3416"/>
  <c r="DG81" i="3416"/>
  <c r="DF81" i="3416"/>
  <c r="DE81" i="3416"/>
  <c r="DD81" i="3416"/>
  <c r="DC81" i="3416"/>
  <c r="DB81" i="3416"/>
  <c r="DA81" i="3416"/>
  <c r="CZ81" i="3416"/>
  <c r="CY81" i="3416"/>
  <c r="CX81" i="3416"/>
  <c r="CW81" i="3416"/>
  <c r="CV81" i="3416"/>
  <c r="CU81" i="3416"/>
  <c r="CT81" i="3416"/>
  <c r="CS81" i="3416"/>
  <c r="CR81" i="3416"/>
  <c r="CQ81" i="3416"/>
  <c r="CP81" i="3416"/>
  <c r="CO81" i="3416"/>
  <c r="CN81" i="3416"/>
  <c r="CM81" i="3416"/>
  <c r="CL81" i="3416"/>
  <c r="CK81" i="3416"/>
  <c r="CJ81" i="3416"/>
  <c r="CI81" i="3416"/>
  <c r="CH81" i="3416"/>
  <c r="CG81" i="3416"/>
  <c r="CF81" i="3416"/>
  <c r="CE81" i="3416"/>
  <c r="CD81" i="3416"/>
  <c r="CC81" i="3416"/>
  <c r="CB81" i="3416"/>
  <c r="CA81" i="3416"/>
  <c r="BZ81" i="3416"/>
  <c r="BY81" i="3416"/>
  <c r="BX81" i="3416"/>
  <c r="BW81" i="3416"/>
  <c r="BV81" i="3416"/>
  <c r="BU81" i="3416"/>
  <c r="BT81" i="3416"/>
  <c r="BS81" i="3416"/>
  <c r="BR81" i="3416"/>
  <c r="BQ81" i="3416"/>
  <c r="BP81" i="3416"/>
  <c r="BO81" i="3416"/>
  <c r="BN81" i="3416"/>
  <c r="BM81" i="3416"/>
  <c r="BL81" i="3416"/>
  <c r="BK81" i="3416"/>
  <c r="BJ81" i="3416"/>
  <c r="BI81" i="3416"/>
  <c r="BH81" i="3416"/>
  <c r="BG81" i="3416"/>
  <c r="BF81" i="3416"/>
  <c r="BE81" i="3416"/>
  <c r="BD81" i="3416"/>
  <c r="BC81" i="3416"/>
  <c r="BB81" i="3416"/>
  <c r="BA81" i="3416"/>
  <c r="AZ81" i="3416"/>
  <c r="AY81" i="3416"/>
  <c r="AX81" i="3416"/>
  <c r="AW81" i="3416"/>
  <c r="AV81" i="3416"/>
  <c r="AU81" i="3416"/>
  <c r="AT81" i="3416"/>
  <c r="AS81" i="3416"/>
  <c r="AR81" i="3416"/>
  <c r="AQ81" i="3416"/>
  <c r="AP81" i="3416"/>
  <c r="AO81" i="3416"/>
  <c r="AN81" i="3416"/>
  <c r="AM81" i="3416"/>
  <c r="AL81" i="3416"/>
  <c r="AK81" i="3416"/>
  <c r="AJ81" i="3416"/>
  <c r="AI81" i="3416"/>
  <c r="AH81" i="3416"/>
  <c r="AG81" i="3416"/>
  <c r="AF81" i="3416"/>
  <c r="AE81" i="3416"/>
  <c r="AD81" i="3416"/>
  <c r="AC81" i="3416"/>
  <c r="AB81" i="3416"/>
  <c r="AA81" i="3416"/>
  <c r="Z81" i="3416"/>
  <c r="Y81" i="3416"/>
  <c r="X81" i="3416"/>
  <c r="W81" i="3416"/>
  <c r="V81" i="3416"/>
  <c r="U81" i="3416"/>
  <c r="T81" i="3416"/>
  <c r="S81" i="3416"/>
  <c r="R81" i="3416"/>
  <c r="Q81" i="3416"/>
  <c r="P81" i="3416"/>
  <c r="O81" i="3416"/>
  <c r="N81" i="3416"/>
  <c r="M81" i="3416"/>
  <c r="L81" i="3416"/>
  <c r="K81" i="3416"/>
  <c r="J81" i="3416"/>
  <c r="I81" i="3416"/>
  <c r="H81" i="3416"/>
  <c r="G81" i="3416"/>
  <c r="F81" i="3416"/>
  <c r="E81" i="3416"/>
  <c r="D81" i="3416"/>
  <c r="C81" i="3416" a="1"/>
  <c r="C81" i="3416"/>
  <c r="A81" i="3416"/>
  <c r="EM80" i="3416"/>
  <c r="EL80" i="3416"/>
  <c r="EK80" i="3416"/>
  <c r="EJ80" i="3416"/>
  <c r="EI80" i="3416"/>
  <c r="EH80" i="3416"/>
  <c r="EG80" i="3416"/>
  <c r="EF80" i="3416"/>
  <c r="EE80" i="3416"/>
  <c r="ED80" i="3416"/>
  <c r="EC80" i="3416"/>
  <c r="EB80" i="3416"/>
  <c r="EA80" i="3416"/>
  <c r="DZ80" i="3416"/>
  <c r="DY80" i="3416"/>
  <c r="DX80" i="3416"/>
  <c r="DW80" i="3416"/>
  <c r="DV80" i="3416"/>
  <c r="DU80" i="3416"/>
  <c r="DT80" i="3416"/>
  <c r="DS80" i="3416"/>
  <c r="DR80" i="3416"/>
  <c r="DQ80" i="3416"/>
  <c r="DP80" i="3416"/>
  <c r="DO80" i="3416"/>
  <c r="DN80" i="3416"/>
  <c r="DM80" i="3416"/>
  <c r="DL80" i="3416"/>
  <c r="DK80" i="3416"/>
  <c r="DJ80" i="3416"/>
  <c r="DI80" i="3416"/>
  <c r="DH80" i="3416"/>
  <c r="DG80" i="3416"/>
  <c r="DF80" i="3416"/>
  <c r="DE80" i="3416"/>
  <c r="DD80" i="3416"/>
  <c r="DC80" i="3416"/>
  <c r="DB80" i="3416"/>
  <c r="DA80" i="3416"/>
  <c r="CZ80" i="3416"/>
  <c r="CY80" i="3416"/>
  <c r="CX80" i="3416"/>
  <c r="CW80" i="3416"/>
  <c r="CV80" i="3416"/>
  <c r="CU80" i="3416"/>
  <c r="CT80" i="3416"/>
  <c r="CS80" i="3416"/>
  <c r="CR80" i="3416"/>
  <c r="CQ80" i="3416"/>
  <c r="CP80" i="3416"/>
  <c r="CO80" i="3416"/>
  <c r="CN80" i="3416"/>
  <c r="CM80" i="3416"/>
  <c r="CL80" i="3416"/>
  <c r="CK80" i="3416"/>
  <c r="CJ80" i="3416"/>
  <c r="CI80" i="3416"/>
  <c r="CH80" i="3416"/>
  <c r="CG80" i="3416"/>
  <c r="CF80" i="3416"/>
  <c r="CE80" i="3416"/>
  <c r="CD80" i="3416"/>
  <c r="CC80" i="3416"/>
  <c r="CB80" i="3416"/>
  <c r="CA80" i="3416"/>
  <c r="BZ80" i="3416"/>
  <c r="BY80" i="3416"/>
  <c r="BX80" i="3416"/>
  <c r="BW80" i="3416"/>
  <c r="BV80" i="3416"/>
  <c r="BU80" i="3416"/>
  <c r="BT80" i="3416"/>
  <c r="BS80" i="3416"/>
  <c r="BR80" i="3416"/>
  <c r="BQ80" i="3416"/>
  <c r="BP80" i="3416"/>
  <c r="BO80" i="3416"/>
  <c r="BN80" i="3416"/>
  <c r="BM80" i="3416"/>
  <c r="BL80" i="3416"/>
  <c r="BK80" i="3416"/>
  <c r="BJ80" i="3416"/>
  <c r="BI80" i="3416"/>
  <c r="BH80" i="3416"/>
  <c r="BG80" i="3416"/>
  <c r="BF80" i="3416"/>
  <c r="BE80" i="3416"/>
  <c r="BD80" i="3416"/>
  <c r="BC80" i="3416"/>
  <c r="BB80" i="3416"/>
  <c r="BA80" i="3416"/>
  <c r="AZ80" i="3416"/>
  <c r="AY80" i="3416"/>
  <c r="AX80" i="3416"/>
  <c r="AW80" i="3416"/>
  <c r="AV80" i="3416"/>
  <c r="AU80" i="3416"/>
  <c r="AT80" i="3416"/>
  <c r="AS80" i="3416"/>
  <c r="AR80" i="3416"/>
  <c r="AQ80" i="3416"/>
  <c r="AP80" i="3416"/>
  <c r="AO80" i="3416"/>
  <c r="AN80" i="3416"/>
  <c r="AM80" i="3416"/>
  <c r="AL80" i="3416"/>
  <c r="AK80" i="3416"/>
  <c r="AJ80" i="3416"/>
  <c r="AI80" i="3416"/>
  <c r="AH80" i="3416"/>
  <c r="AG80" i="3416"/>
  <c r="AF80" i="3416"/>
  <c r="AE80" i="3416"/>
  <c r="AD80" i="3416"/>
  <c r="AC80" i="3416"/>
  <c r="AB80" i="3416"/>
  <c r="AA80" i="3416"/>
  <c r="Z80" i="3416"/>
  <c r="Y80" i="3416"/>
  <c r="X80" i="3416"/>
  <c r="W80" i="3416"/>
  <c r="V80" i="3416"/>
  <c r="U80" i="3416"/>
  <c r="T80" i="3416"/>
  <c r="S80" i="3416"/>
  <c r="R80" i="3416"/>
  <c r="Q80" i="3416"/>
  <c r="P80" i="3416"/>
  <c r="O80" i="3416"/>
  <c r="N80" i="3416"/>
  <c r="M80" i="3416"/>
  <c r="L80" i="3416"/>
  <c r="K80" i="3416"/>
  <c r="J80" i="3416"/>
  <c r="I80" i="3416"/>
  <c r="H80" i="3416"/>
  <c r="G80" i="3416"/>
  <c r="F80" i="3416"/>
  <c r="E80" i="3416"/>
  <c r="D80" i="3416"/>
  <c r="C80" i="3416" a="1"/>
  <c r="C80" i="3416"/>
  <c r="A80" i="3416"/>
  <c r="EM79" i="3416"/>
  <c r="EL79" i="3416"/>
  <c r="EK79" i="3416"/>
  <c r="EJ79" i="3416"/>
  <c r="EI79" i="3416"/>
  <c r="EH79" i="3416"/>
  <c r="EG79" i="3416"/>
  <c r="EF79" i="3416"/>
  <c r="EE79" i="3416"/>
  <c r="ED79" i="3416"/>
  <c r="EC79" i="3416"/>
  <c r="EB79" i="3416"/>
  <c r="EA79" i="3416"/>
  <c r="DZ79" i="3416"/>
  <c r="DY79" i="3416"/>
  <c r="DX79" i="3416"/>
  <c r="DW79" i="3416"/>
  <c r="DV79" i="3416"/>
  <c r="DU79" i="3416"/>
  <c r="DT79" i="3416"/>
  <c r="DS79" i="3416"/>
  <c r="DR79" i="3416"/>
  <c r="DQ79" i="3416"/>
  <c r="DP79" i="3416"/>
  <c r="DO79" i="3416"/>
  <c r="DN79" i="3416"/>
  <c r="DM79" i="3416"/>
  <c r="DL79" i="3416"/>
  <c r="DK79" i="3416"/>
  <c r="DJ79" i="3416"/>
  <c r="DI79" i="3416"/>
  <c r="DH79" i="3416"/>
  <c r="DG79" i="3416"/>
  <c r="DF79" i="3416"/>
  <c r="DE79" i="3416"/>
  <c r="DD79" i="3416"/>
  <c r="DC79" i="3416"/>
  <c r="DB79" i="3416"/>
  <c r="DA79" i="3416"/>
  <c r="CZ79" i="3416"/>
  <c r="CY79" i="3416"/>
  <c r="CX79" i="3416"/>
  <c r="CW79" i="3416"/>
  <c r="CV79" i="3416"/>
  <c r="CU79" i="3416"/>
  <c r="CT79" i="3416"/>
  <c r="CS79" i="3416"/>
  <c r="CR79" i="3416"/>
  <c r="CQ79" i="3416"/>
  <c r="CP79" i="3416"/>
  <c r="CO79" i="3416"/>
  <c r="CN79" i="3416"/>
  <c r="CM79" i="3416"/>
  <c r="CL79" i="3416"/>
  <c r="CK79" i="3416"/>
  <c r="CJ79" i="3416"/>
  <c r="CI79" i="3416"/>
  <c r="CH79" i="3416"/>
  <c r="CG79" i="3416"/>
  <c r="CF79" i="3416"/>
  <c r="CE79" i="3416"/>
  <c r="CD79" i="3416"/>
  <c r="CC79" i="3416"/>
  <c r="CB79" i="3416"/>
  <c r="CA79" i="3416"/>
  <c r="BZ79" i="3416"/>
  <c r="BY79" i="3416"/>
  <c r="BX79" i="3416"/>
  <c r="BW79" i="3416"/>
  <c r="BV79" i="3416"/>
  <c r="BU79" i="3416"/>
  <c r="BT79" i="3416"/>
  <c r="BS79" i="3416"/>
  <c r="BR79" i="3416"/>
  <c r="BQ79" i="3416"/>
  <c r="BP79" i="3416"/>
  <c r="BO79" i="3416"/>
  <c r="BN79" i="3416"/>
  <c r="BM79" i="3416"/>
  <c r="BL79" i="3416"/>
  <c r="BK79" i="3416"/>
  <c r="BJ79" i="3416"/>
  <c r="BI79" i="3416"/>
  <c r="BH79" i="3416"/>
  <c r="BG79" i="3416"/>
  <c r="BF79" i="3416"/>
  <c r="BE79" i="3416"/>
  <c r="BD79" i="3416"/>
  <c r="BC79" i="3416"/>
  <c r="BB79" i="3416"/>
  <c r="BA79" i="3416"/>
  <c r="AZ79" i="3416"/>
  <c r="AY79" i="3416"/>
  <c r="AX79" i="3416"/>
  <c r="AW79" i="3416"/>
  <c r="AV79" i="3416"/>
  <c r="AU79" i="3416"/>
  <c r="AT79" i="3416"/>
  <c r="AS79" i="3416"/>
  <c r="AR79" i="3416"/>
  <c r="AQ79" i="3416"/>
  <c r="AP79" i="3416"/>
  <c r="AO79" i="3416"/>
  <c r="AN79" i="3416"/>
  <c r="AM79" i="3416"/>
  <c r="AL79" i="3416"/>
  <c r="AK79" i="3416"/>
  <c r="AJ79" i="3416"/>
  <c r="AI79" i="3416"/>
  <c r="AH79" i="3416"/>
  <c r="AG79" i="3416"/>
  <c r="AF79" i="3416"/>
  <c r="AE79" i="3416"/>
  <c r="AD79" i="3416"/>
  <c r="AC79" i="3416"/>
  <c r="AB79" i="3416"/>
  <c r="AA79" i="3416"/>
  <c r="Z79" i="3416"/>
  <c r="Y79" i="3416"/>
  <c r="X79" i="3416"/>
  <c r="W79" i="3416"/>
  <c r="V79" i="3416"/>
  <c r="U79" i="3416"/>
  <c r="T79" i="3416"/>
  <c r="S79" i="3416"/>
  <c r="R79" i="3416"/>
  <c r="Q79" i="3416"/>
  <c r="P79" i="3416"/>
  <c r="O79" i="3416"/>
  <c r="N79" i="3416"/>
  <c r="M79" i="3416"/>
  <c r="L79" i="3416"/>
  <c r="K79" i="3416"/>
  <c r="J79" i="3416"/>
  <c r="I79" i="3416"/>
  <c r="H79" i="3416"/>
  <c r="G79" i="3416"/>
  <c r="F79" i="3416"/>
  <c r="E79" i="3416"/>
  <c r="D79" i="3416"/>
  <c r="C79" i="3416" a="1"/>
  <c r="C79" i="3416"/>
  <c r="A79" i="3416"/>
  <c r="EM78" i="3416"/>
  <c r="EL78" i="3416"/>
  <c r="EK78" i="3416"/>
  <c r="EJ78" i="3416"/>
  <c r="EI78" i="3416"/>
  <c r="EH78" i="3416"/>
  <c r="EG78" i="3416"/>
  <c r="EF78" i="3416"/>
  <c r="EE78" i="3416"/>
  <c r="ED78" i="3416"/>
  <c r="EC78" i="3416"/>
  <c r="EB78" i="3416"/>
  <c r="EA78" i="3416"/>
  <c r="DZ78" i="3416"/>
  <c r="DY78" i="3416"/>
  <c r="DX78" i="3416"/>
  <c r="DW78" i="3416"/>
  <c r="DV78" i="3416"/>
  <c r="DU78" i="3416"/>
  <c r="DT78" i="3416"/>
  <c r="DS78" i="3416"/>
  <c r="DR78" i="3416"/>
  <c r="DQ78" i="3416"/>
  <c r="DP78" i="3416"/>
  <c r="DO78" i="3416"/>
  <c r="DN78" i="3416"/>
  <c r="DM78" i="3416"/>
  <c r="DL78" i="3416"/>
  <c r="DK78" i="3416"/>
  <c r="DJ78" i="3416"/>
  <c r="DI78" i="3416"/>
  <c r="DH78" i="3416"/>
  <c r="DG78" i="3416"/>
  <c r="DF78" i="3416"/>
  <c r="DE78" i="3416"/>
  <c r="DD78" i="3416"/>
  <c r="DC78" i="3416"/>
  <c r="DB78" i="3416"/>
  <c r="DA78" i="3416"/>
  <c r="CZ78" i="3416"/>
  <c r="CY78" i="3416"/>
  <c r="CX78" i="3416"/>
  <c r="CW78" i="3416"/>
  <c r="CV78" i="3416"/>
  <c r="CU78" i="3416"/>
  <c r="CT78" i="3416"/>
  <c r="CS78" i="3416"/>
  <c r="CR78" i="3416"/>
  <c r="CQ78" i="3416"/>
  <c r="CP78" i="3416"/>
  <c r="CO78" i="3416"/>
  <c r="CN78" i="3416"/>
  <c r="CM78" i="3416"/>
  <c r="CL78" i="3416"/>
  <c r="CK78" i="3416"/>
  <c r="CJ78" i="3416"/>
  <c r="CI78" i="3416"/>
  <c r="CH78" i="3416"/>
  <c r="CG78" i="3416"/>
  <c r="CF78" i="3416"/>
  <c r="CE78" i="3416"/>
  <c r="CD78" i="3416"/>
  <c r="CC78" i="3416"/>
  <c r="CB78" i="3416"/>
  <c r="CA78" i="3416"/>
  <c r="BZ78" i="3416"/>
  <c r="BY78" i="3416"/>
  <c r="BX78" i="3416"/>
  <c r="BW78" i="3416"/>
  <c r="BV78" i="3416"/>
  <c r="BU78" i="3416"/>
  <c r="BT78" i="3416"/>
  <c r="BS78" i="3416"/>
  <c r="BR78" i="3416"/>
  <c r="BQ78" i="3416"/>
  <c r="BP78" i="3416"/>
  <c r="BO78" i="3416"/>
  <c r="BN78" i="3416"/>
  <c r="BM78" i="3416"/>
  <c r="BL78" i="3416"/>
  <c r="BK78" i="3416"/>
  <c r="BJ78" i="3416"/>
  <c r="BI78" i="3416"/>
  <c r="BH78" i="3416"/>
  <c r="BG78" i="3416"/>
  <c r="BF78" i="3416"/>
  <c r="BE78" i="3416"/>
  <c r="BD78" i="3416"/>
  <c r="BC78" i="3416"/>
  <c r="BB78" i="3416"/>
  <c r="BA78" i="3416"/>
  <c r="AZ78" i="3416"/>
  <c r="AY78" i="3416"/>
  <c r="AX78" i="3416"/>
  <c r="AW78" i="3416"/>
  <c r="AV78" i="3416"/>
  <c r="AU78" i="3416"/>
  <c r="AT78" i="3416"/>
  <c r="AS78" i="3416"/>
  <c r="AR78" i="3416"/>
  <c r="AQ78" i="3416"/>
  <c r="AP78" i="3416"/>
  <c r="AO78" i="3416"/>
  <c r="AN78" i="3416"/>
  <c r="AM78" i="3416"/>
  <c r="AL78" i="3416"/>
  <c r="AK78" i="3416"/>
  <c r="AJ78" i="3416"/>
  <c r="AI78" i="3416"/>
  <c r="AH78" i="3416"/>
  <c r="AG78" i="3416"/>
  <c r="AF78" i="3416"/>
  <c r="AE78" i="3416"/>
  <c r="AD78" i="3416"/>
  <c r="AC78" i="3416"/>
  <c r="AB78" i="3416"/>
  <c r="AA78" i="3416"/>
  <c r="Z78" i="3416"/>
  <c r="Y78" i="3416"/>
  <c r="X78" i="3416"/>
  <c r="W78" i="3416"/>
  <c r="V78" i="3416"/>
  <c r="U78" i="3416"/>
  <c r="T78" i="3416"/>
  <c r="S78" i="3416"/>
  <c r="R78" i="3416"/>
  <c r="Q78" i="3416"/>
  <c r="P78" i="3416"/>
  <c r="O78" i="3416"/>
  <c r="N78" i="3416"/>
  <c r="M78" i="3416"/>
  <c r="L78" i="3416"/>
  <c r="K78" i="3416"/>
  <c r="J78" i="3416"/>
  <c r="I78" i="3416"/>
  <c r="H78" i="3416"/>
  <c r="G78" i="3416"/>
  <c r="F78" i="3416"/>
  <c r="E78" i="3416"/>
  <c r="D78" i="3416"/>
  <c r="C78" i="3416" a="1"/>
  <c r="C78" i="3416"/>
  <c r="A78" i="3416"/>
  <c r="EM77" i="3416"/>
  <c r="EL77" i="3416"/>
  <c r="EK77" i="3416"/>
  <c r="EJ77" i="3416"/>
  <c r="EI77" i="3416"/>
  <c r="EH77" i="3416"/>
  <c r="EG77" i="3416"/>
  <c r="EF77" i="3416"/>
  <c r="EE77" i="3416"/>
  <c r="ED77" i="3416"/>
  <c r="EC77" i="3416"/>
  <c r="EB77" i="3416"/>
  <c r="EA77" i="3416"/>
  <c r="DZ77" i="3416"/>
  <c r="DY77" i="3416"/>
  <c r="DX77" i="3416"/>
  <c r="DW77" i="3416"/>
  <c r="DV77" i="3416"/>
  <c r="DU77" i="3416"/>
  <c r="DT77" i="3416"/>
  <c r="DS77" i="3416"/>
  <c r="DR77" i="3416"/>
  <c r="DQ77" i="3416"/>
  <c r="DP77" i="3416"/>
  <c r="DO77" i="3416"/>
  <c r="DN77" i="3416"/>
  <c r="DM77" i="3416"/>
  <c r="DL77" i="3416"/>
  <c r="DK77" i="3416"/>
  <c r="DJ77" i="3416"/>
  <c r="DI77" i="3416"/>
  <c r="DH77" i="3416"/>
  <c r="DG77" i="3416"/>
  <c r="DF77" i="3416"/>
  <c r="DE77" i="3416"/>
  <c r="DD77" i="3416"/>
  <c r="DC77" i="3416"/>
  <c r="DB77" i="3416"/>
  <c r="DA77" i="3416"/>
  <c r="CZ77" i="3416"/>
  <c r="CY77" i="3416"/>
  <c r="CX77" i="3416"/>
  <c r="CW77" i="3416"/>
  <c r="CV77" i="3416"/>
  <c r="CU77" i="3416"/>
  <c r="CT77" i="3416"/>
  <c r="CS77" i="3416"/>
  <c r="CR77" i="3416"/>
  <c r="CQ77" i="3416"/>
  <c r="CP77" i="3416"/>
  <c r="CO77" i="3416"/>
  <c r="CN77" i="3416"/>
  <c r="CM77" i="3416"/>
  <c r="CL77" i="3416"/>
  <c r="CK77" i="3416"/>
  <c r="CJ77" i="3416"/>
  <c r="CI77" i="3416"/>
  <c r="CH77" i="3416"/>
  <c r="CG77" i="3416"/>
  <c r="CF77" i="3416"/>
  <c r="CE77" i="3416"/>
  <c r="CD77" i="3416"/>
  <c r="CC77" i="3416"/>
  <c r="CB77" i="3416"/>
  <c r="CA77" i="3416"/>
  <c r="BZ77" i="3416"/>
  <c r="BY77" i="3416"/>
  <c r="BX77" i="3416"/>
  <c r="BW77" i="3416"/>
  <c r="BV77" i="3416"/>
  <c r="BU77" i="3416"/>
  <c r="BT77" i="3416"/>
  <c r="BS77" i="3416"/>
  <c r="BR77" i="3416"/>
  <c r="BQ77" i="3416"/>
  <c r="BP77" i="3416"/>
  <c r="BO77" i="3416"/>
  <c r="BN77" i="3416"/>
  <c r="BM77" i="3416"/>
  <c r="BL77" i="3416"/>
  <c r="BK77" i="3416"/>
  <c r="BJ77" i="3416"/>
  <c r="BI77" i="3416"/>
  <c r="BH77" i="3416"/>
  <c r="BG77" i="3416"/>
  <c r="BF77" i="3416"/>
  <c r="BE77" i="3416"/>
  <c r="BD77" i="3416"/>
  <c r="BC77" i="3416"/>
  <c r="BB77" i="3416"/>
  <c r="BA77" i="3416"/>
  <c r="AZ77" i="3416"/>
  <c r="AY77" i="3416"/>
  <c r="AX77" i="3416"/>
  <c r="AW77" i="3416"/>
  <c r="AV77" i="3416"/>
  <c r="AU77" i="3416"/>
  <c r="AT77" i="3416"/>
  <c r="AS77" i="3416"/>
  <c r="AR77" i="3416"/>
  <c r="AQ77" i="3416"/>
  <c r="AP77" i="3416"/>
  <c r="AO77" i="3416"/>
  <c r="AN77" i="3416"/>
  <c r="AM77" i="3416"/>
  <c r="AL77" i="3416"/>
  <c r="AK77" i="3416"/>
  <c r="AJ77" i="3416"/>
  <c r="AI77" i="3416"/>
  <c r="AH77" i="3416"/>
  <c r="AG77" i="3416"/>
  <c r="AF77" i="3416"/>
  <c r="AE77" i="3416"/>
  <c r="AD77" i="3416"/>
  <c r="AC77" i="3416"/>
  <c r="AB77" i="3416"/>
  <c r="AA77" i="3416"/>
  <c r="Z77" i="3416"/>
  <c r="Y77" i="3416"/>
  <c r="X77" i="3416"/>
  <c r="W77" i="3416"/>
  <c r="V77" i="3416"/>
  <c r="U77" i="3416"/>
  <c r="T77" i="3416"/>
  <c r="S77" i="3416"/>
  <c r="R77" i="3416"/>
  <c r="Q77" i="3416"/>
  <c r="P77" i="3416"/>
  <c r="O77" i="3416"/>
  <c r="N77" i="3416"/>
  <c r="M77" i="3416"/>
  <c r="L77" i="3416"/>
  <c r="K77" i="3416"/>
  <c r="J77" i="3416"/>
  <c r="I77" i="3416"/>
  <c r="H77" i="3416"/>
  <c r="G77" i="3416"/>
  <c r="F77" i="3416"/>
  <c r="E77" i="3416"/>
  <c r="D77" i="3416"/>
  <c r="C77" i="3416" a="1"/>
  <c r="C77" i="3416"/>
  <c r="A77" i="3416"/>
  <c r="EM76" i="3416"/>
  <c r="EL76" i="3416"/>
  <c r="EK76" i="3416"/>
  <c r="EJ76" i="3416"/>
  <c r="EI76" i="3416"/>
  <c r="EH76" i="3416"/>
  <c r="EG76" i="3416"/>
  <c r="EF76" i="3416"/>
  <c r="EE76" i="3416"/>
  <c r="ED76" i="3416"/>
  <c r="EC76" i="3416"/>
  <c r="EB76" i="3416"/>
  <c r="EA76" i="3416"/>
  <c r="DZ76" i="3416"/>
  <c r="DY76" i="3416"/>
  <c r="DX76" i="3416"/>
  <c r="DW76" i="3416"/>
  <c r="DV76" i="3416"/>
  <c r="DU76" i="3416"/>
  <c r="DT76" i="3416"/>
  <c r="DS76" i="3416"/>
  <c r="DR76" i="3416"/>
  <c r="DQ76" i="3416"/>
  <c r="DP76" i="3416"/>
  <c r="DO76" i="3416"/>
  <c r="DN76" i="3416"/>
  <c r="DM76" i="3416"/>
  <c r="DL76" i="3416"/>
  <c r="DK76" i="3416"/>
  <c r="DJ76" i="3416"/>
  <c r="DI76" i="3416"/>
  <c r="DH76" i="3416"/>
  <c r="DG76" i="3416"/>
  <c r="DF76" i="3416"/>
  <c r="DE76" i="3416"/>
  <c r="DD76" i="3416"/>
  <c r="DC76" i="3416"/>
  <c r="DB76" i="3416"/>
  <c r="DA76" i="3416"/>
  <c r="CZ76" i="3416"/>
  <c r="CY76" i="3416"/>
  <c r="CX76" i="3416"/>
  <c r="CW76" i="3416"/>
  <c r="CV76" i="3416"/>
  <c r="CU76" i="3416"/>
  <c r="CT76" i="3416"/>
  <c r="CS76" i="3416"/>
  <c r="CR76" i="3416"/>
  <c r="CQ76" i="3416"/>
  <c r="CP76" i="3416"/>
  <c r="CO76" i="3416"/>
  <c r="CN76" i="3416"/>
  <c r="CM76" i="3416"/>
  <c r="CL76" i="3416"/>
  <c r="CK76" i="3416"/>
  <c r="CJ76" i="3416"/>
  <c r="CI76" i="3416"/>
  <c r="CH76" i="3416"/>
  <c r="CG76" i="3416"/>
  <c r="CF76" i="3416"/>
  <c r="CE76" i="3416"/>
  <c r="CD76" i="3416"/>
  <c r="CC76" i="3416"/>
  <c r="CB76" i="3416"/>
  <c r="CA76" i="3416"/>
  <c r="BZ76" i="3416"/>
  <c r="BY76" i="3416"/>
  <c r="BX76" i="3416"/>
  <c r="BW76" i="3416"/>
  <c r="BV76" i="3416"/>
  <c r="BU76" i="3416"/>
  <c r="BT76" i="3416"/>
  <c r="BS76" i="3416"/>
  <c r="BR76" i="3416"/>
  <c r="BQ76" i="3416"/>
  <c r="BP76" i="3416"/>
  <c r="BO76" i="3416"/>
  <c r="BN76" i="3416"/>
  <c r="BM76" i="3416"/>
  <c r="BL76" i="3416"/>
  <c r="BK76" i="3416"/>
  <c r="BJ76" i="3416"/>
  <c r="BI76" i="3416"/>
  <c r="BH76" i="3416"/>
  <c r="BG76" i="3416"/>
  <c r="BF76" i="3416"/>
  <c r="BE76" i="3416"/>
  <c r="BD76" i="3416"/>
  <c r="BC76" i="3416"/>
  <c r="BB76" i="3416"/>
  <c r="BA76" i="3416"/>
  <c r="AZ76" i="3416"/>
  <c r="AY76" i="3416"/>
  <c r="AX76" i="3416"/>
  <c r="AW76" i="3416"/>
  <c r="AV76" i="3416"/>
  <c r="AU76" i="3416"/>
  <c r="AT76" i="3416"/>
  <c r="AS76" i="3416"/>
  <c r="AR76" i="3416"/>
  <c r="AQ76" i="3416"/>
  <c r="AP76" i="3416"/>
  <c r="AO76" i="3416"/>
  <c r="AN76" i="3416"/>
  <c r="AM76" i="3416"/>
  <c r="AL76" i="3416"/>
  <c r="AK76" i="3416"/>
  <c r="AJ76" i="3416"/>
  <c r="AI76" i="3416"/>
  <c r="AH76" i="3416"/>
  <c r="AG76" i="3416"/>
  <c r="AF76" i="3416"/>
  <c r="AE76" i="3416"/>
  <c r="AD76" i="3416"/>
  <c r="AC76" i="3416"/>
  <c r="AB76" i="3416"/>
  <c r="AA76" i="3416"/>
  <c r="Z76" i="3416"/>
  <c r="Y76" i="3416"/>
  <c r="X76" i="3416"/>
  <c r="W76" i="3416"/>
  <c r="V76" i="3416"/>
  <c r="U76" i="3416"/>
  <c r="T76" i="3416"/>
  <c r="S76" i="3416"/>
  <c r="R76" i="3416"/>
  <c r="Q76" i="3416"/>
  <c r="P76" i="3416"/>
  <c r="O76" i="3416"/>
  <c r="N76" i="3416"/>
  <c r="M76" i="3416"/>
  <c r="L76" i="3416"/>
  <c r="K76" i="3416"/>
  <c r="J76" i="3416"/>
  <c r="I76" i="3416"/>
  <c r="H76" i="3416"/>
  <c r="G76" i="3416"/>
  <c r="F76" i="3416"/>
  <c r="E76" i="3416"/>
  <c r="D76" i="3416"/>
  <c r="C76" i="3416" a="1"/>
  <c r="C76" i="3416"/>
  <c r="A76" i="3416"/>
  <c r="EM75" i="3416"/>
  <c r="EL75" i="3416"/>
  <c r="EK75" i="3416"/>
  <c r="EJ75" i="3416"/>
  <c r="EI75" i="3416"/>
  <c r="EH75" i="3416"/>
  <c r="EG75" i="3416"/>
  <c r="EF75" i="3416"/>
  <c r="EE75" i="3416"/>
  <c r="ED75" i="3416"/>
  <c r="EC75" i="3416"/>
  <c r="EB75" i="3416"/>
  <c r="EA75" i="3416"/>
  <c r="DZ75" i="3416"/>
  <c r="DY75" i="3416"/>
  <c r="DX75" i="3416"/>
  <c r="DW75" i="3416"/>
  <c r="DV75" i="3416"/>
  <c r="DU75" i="3416"/>
  <c r="DT75" i="3416"/>
  <c r="DS75" i="3416"/>
  <c r="DR75" i="3416"/>
  <c r="DQ75" i="3416"/>
  <c r="DP75" i="3416"/>
  <c r="DO75" i="3416"/>
  <c r="DN75" i="3416"/>
  <c r="DM75" i="3416"/>
  <c r="DL75" i="3416"/>
  <c r="DK75" i="3416"/>
  <c r="DJ75" i="3416"/>
  <c r="DI75" i="3416"/>
  <c r="DH75" i="3416"/>
  <c r="DG75" i="3416"/>
  <c r="DF75" i="3416"/>
  <c r="DE75" i="3416"/>
  <c r="DD75" i="3416"/>
  <c r="DC75" i="3416"/>
  <c r="DB75" i="3416"/>
  <c r="DA75" i="3416"/>
  <c r="CZ75" i="3416"/>
  <c r="CY75" i="3416"/>
  <c r="CX75" i="3416"/>
  <c r="CW75" i="3416"/>
  <c r="CV75" i="3416"/>
  <c r="CU75" i="3416"/>
  <c r="CT75" i="3416"/>
  <c r="CS75" i="3416"/>
  <c r="CR75" i="3416"/>
  <c r="CQ75" i="3416"/>
  <c r="CP75" i="3416"/>
  <c r="CO75" i="3416"/>
  <c r="CN75" i="3416"/>
  <c r="CM75" i="3416"/>
  <c r="CL75" i="3416"/>
  <c r="CK75" i="3416"/>
  <c r="CJ75" i="3416"/>
  <c r="CI75" i="3416"/>
  <c r="CH75" i="3416"/>
  <c r="CG75" i="3416"/>
  <c r="CF75" i="3416"/>
  <c r="CE75" i="3416"/>
  <c r="CD75" i="3416"/>
  <c r="CC75" i="3416"/>
  <c r="CB75" i="3416"/>
  <c r="CA75" i="3416"/>
  <c r="BZ75" i="3416"/>
  <c r="BY75" i="3416"/>
  <c r="BX75" i="3416"/>
  <c r="BW75" i="3416"/>
  <c r="BV75" i="3416"/>
  <c r="BU75" i="3416"/>
  <c r="BT75" i="3416"/>
  <c r="BS75" i="3416"/>
  <c r="BR75" i="3416"/>
  <c r="BQ75" i="3416"/>
  <c r="BP75" i="3416"/>
  <c r="BO75" i="3416"/>
  <c r="BN75" i="3416"/>
  <c r="BM75" i="3416"/>
  <c r="BL75" i="3416"/>
  <c r="BK75" i="3416"/>
  <c r="BJ75" i="3416"/>
  <c r="BI75" i="3416"/>
  <c r="BH75" i="3416"/>
  <c r="BG75" i="3416"/>
  <c r="BF75" i="3416"/>
  <c r="BE75" i="3416"/>
  <c r="BD75" i="3416"/>
  <c r="BC75" i="3416"/>
  <c r="BB75" i="3416"/>
  <c r="BA75" i="3416"/>
  <c r="AZ75" i="3416"/>
  <c r="AY75" i="3416"/>
  <c r="AX75" i="3416"/>
  <c r="AW75" i="3416"/>
  <c r="AV75" i="3416"/>
  <c r="AU75" i="3416"/>
  <c r="AT75" i="3416"/>
  <c r="AS75" i="3416"/>
  <c r="AR75" i="3416"/>
  <c r="AQ75" i="3416"/>
  <c r="AP75" i="3416"/>
  <c r="AO75" i="3416"/>
  <c r="AN75" i="3416"/>
  <c r="AM75" i="3416"/>
  <c r="AL75" i="3416"/>
  <c r="AK75" i="3416"/>
  <c r="AJ75" i="3416"/>
  <c r="AI75" i="3416"/>
  <c r="AH75" i="3416"/>
  <c r="AG75" i="3416"/>
  <c r="AF75" i="3416"/>
  <c r="AE75" i="3416"/>
  <c r="AD75" i="3416"/>
  <c r="AC75" i="3416"/>
  <c r="AB75" i="3416"/>
  <c r="AA75" i="3416"/>
  <c r="Z75" i="3416"/>
  <c r="Y75" i="3416"/>
  <c r="X75" i="3416"/>
  <c r="W75" i="3416"/>
  <c r="V75" i="3416"/>
  <c r="U75" i="3416"/>
  <c r="T75" i="3416"/>
  <c r="S75" i="3416"/>
  <c r="R75" i="3416"/>
  <c r="Q75" i="3416"/>
  <c r="P75" i="3416"/>
  <c r="O75" i="3416"/>
  <c r="N75" i="3416"/>
  <c r="M75" i="3416"/>
  <c r="L75" i="3416"/>
  <c r="K75" i="3416"/>
  <c r="J75" i="3416"/>
  <c r="I75" i="3416"/>
  <c r="H75" i="3416"/>
  <c r="G75" i="3416"/>
  <c r="F75" i="3416"/>
  <c r="E75" i="3416"/>
  <c r="D75" i="3416"/>
  <c r="C75" i="3416" a="1"/>
  <c r="C75" i="3416"/>
  <c r="A75" i="3416"/>
  <c r="EM74" i="3416"/>
  <c r="EL74" i="3416"/>
  <c r="EK74" i="3416"/>
  <c r="EJ74" i="3416"/>
  <c r="EI74" i="3416"/>
  <c r="EH74" i="3416"/>
  <c r="EG74" i="3416"/>
  <c r="EF74" i="3416"/>
  <c r="EE74" i="3416"/>
  <c r="ED74" i="3416"/>
  <c r="EC74" i="3416"/>
  <c r="EB74" i="3416"/>
  <c r="EA74" i="3416"/>
  <c r="DZ74" i="3416"/>
  <c r="DY74" i="3416"/>
  <c r="DX74" i="3416"/>
  <c r="DW74" i="3416"/>
  <c r="DV74" i="3416"/>
  <c r="DU74" i="3416"/>
  <c r="DT74" i="3416"/>
  <c r="DS74" i="3416"/>
  <c r="DR74" i="3416"/>
  <c r="DQ74" i="3416"/>
  <c r="DP74" i="3416"/>
  <c r="DO74" i="3416"/>
  <c r="DN74" i="3416"/>
  <c r="DM74" i="3416"/>
  <c r="DL74" i="3416"/>
  <c r="DK74" i="3416"/>
  <c r="DJ74" i="3416"/>
  <c r="DI74" i="3416"/>
  <c r="DH74" i="3416"/>
  <c r="DG74" i="3416"/>
  <c r="DF74" i="3416"/>
  <c r="DE74" i="3416"/>
  <c r="DD74" i="3416"/>
  <c r="DC74" i="3416"/>
  <c r="DB74" i="3416"/>
  <c r="DA74" i="3416"/>
  <c r="CZ74" i="3416"/>
  <c r="CY74" i="3416"/>
  <c r="CX74" i="3416"/>
  <c r="CW74" i="3416"/>
  <c r="CV74" i="3416"/>
  <c r="CU74" i="3416"/>
  <c r="CT74" i="3416"/>
  <c r="CS74" i="3416"/>
  <c r="CR74" i="3416"/>
  <c r="CQ74" i="3416"/>
  <c r="CP74" i="3416"/>
  <c r="CO74" i="3416"/>
  <c r="CN74" i="3416"/>
  <c r="CM74" i="3416"/>
  <c r="CL74" i="3416"/>
  <c r="CK74" i="3416"/>
  <c r="CJ74" i="3416"/>
  <c r="CI74" i="3416"/>
  <c r="CH74" i="3416"/>
  <c r="CG74" i="3416"/>
  <c r="CF74" i="3416"/>
  <c r="CE74" i="3416"/>
  <c r="CD74" i="3416"/>
  <c r="CC74" i="3416"/>
  <c r="CB74" i="3416"/>
  <c r="CA74" i="3416"/>
  <c r="BZ74" i="3416"/>
  <c r="BY74" i="3416"/>
  <c r="BX74" i="3416"/>
  <c r="BW74" i="3416"/>
  <c r="BV74" i="3416"/>
  <c r="BU74" i="3416"/>
  <c r="BT74" i="3416"/>
  <c r="BS74" i="3416"/>
  <c r="BR74" i="3416"/>
  <c r="BQ74" i="3416"/>
  <c r="BP74" i="3416"/>
  <c r="BO74" i="3416"/>
  <c r="BN74" i="3416"/>
  <c r="BM74" i="3416"/>
  <c r="BL74" i="3416"/>
  <c r="BK74" i="3416"/>
  <c r="BJ74" i="3416"/>
  <c r="BI74" i="3416"/>
  <c r="BH74" i="3416"/>
  <c r="BG74" i="3416"/>
  <c r="BF74" i="3416"/>
  <c r="BE74" i="3416"/>
  <c r="BD74" i="3416"/>
  <c r="BC74" i="3416"/>
  <c r="BB74" i="3416"/>
  <c r="BA74" i="3416"/>
  <c r="AZ74" i="3416"/>
  <c r="AY74" i="3416"/>
  <c r="AX74" i="3416"/>
  <c r="AW74" i="3416"/>
  <c r="AV74" i="3416"/>
  <c r="AU74" i="3416"/>
  <c r="AT74" i="3416"/>
  <c r="AS74" i="3416"/>
  <c r="AR74" i="3416"/>
  <c r="AQ74" i="3416"/>
  <c r="AP74" i="3416"/>
  <c r="AO74" i="3416"/>
  <c r="AN74" i="3416"/>
  <c r="AM74" i="3416"/>
  <c r="AL74" i="3416"/>
  <c r="AK74" i="3416"/>
  <c r="AJ74" i="3416"/>
  <c r="AI74" i="3416"/>
  <c r="AH74" i="3416"/>
  <c r="AG74" i="3416"/>
  <c r="AF74" i="3416"/>
  <c r="AE74" i="3416"/>
  <c r="AD74" i="3416"/>
  <c r="AC74" i="3416"/>
  <c r="AB74" i="3416"/>
  <c r="AA74" i="3416"/>
  <c r="Z74" i="3416"/>
  <c r="Y74" i="3416"/>
  <c r="X74" i="3416"/>
  <c r="W74" i="3416"/>
  <c r="V74" i="3416"/>
  <c r="U74" i="3416"/>
  <c r="T74" i="3416"/>
  <c r="S74" i="3416"/>
  <c r="R74" i="3416"/>
  <c r="Q74" i="3416"/>
  <c r="P74" i="3416"/>
  <c r="O74" i="3416"/>
  <c r="N74" i="3416"/>
  <c r="M74" i="3416"/>
  <c r="L74" i="3416"/>
  <c r="K74" i="3416"/>
  <c r="J74" i="3416"/>
  <c r="I74" i="3416"/>
  <c r="H74" i="3416"/>
  <c r="G74" i="3416"/>
  <c r="F74" i="3416"/>
  <c r="E74" i="3416"/>
  <c r="D74" i="3416"/>
  <c r="C74" i="3416" a="1"/>
  <c r="C74" i="3416"/>
  <c r="A74" i="3416"/>
  <c r="EM73" i="3416"/>
  <c r="EL73" i="3416"/>
  <c r="EK73" i="3416"/>
  <c r="EJ73" i="3416"/>
  <c r="EI73" i="3416"/>
  <c r="EH73" i="3416"/>
  <c r="EG73" i="3416"/>
  <c r="EF73" i="3416"/>
  <c r="EE73" i="3416"/>
  <c r="ED73" i="3416"/>
  <c r="EC73" i="3416"/>
  <c r="EB73" i="3416"/>
  <c r="EA73" i="3416"/>
  <c r="DZ73" i="3416"/>
  <c r="DY73" i="3416"/>
  <c r="DX73" i="3416"/>
  <c r="DW73" i="3416"/>
  <c r="DV73" i="3416"/>
  <c r="DU73" i="3416"/>
  <c r="DT73" i="3416"/>
  <c r="DS73" i="3416"/>
  <c r="DR73" i="3416"/>
  <c r="DQ73" i="3416"/>
  <c r="DP73" i="3416"/>
  <c r="DO73" i="3416"/>
  <c r="DN73" i="3416"/>
  <c r="DM73" i="3416"/>
  <c r="DL73" i="3416"/>
  <c r="DK73" i="3416"/>
  <c r="DJ73" i="3416"/>
  <c r="DI73" i="3416"/>
  <c r="DH73" i="3416"/>
  <c r="DG73" i="3416"/>
  <c r="DF73" i="3416"/>
  <c r="DE73" i="3416"/>
  <c r="DD73" i="3416"/>
  <c r="DC73" i="3416"/>
  <c r="DB73" i="3416"/>
  <c r="DA73" i="3416"/>
  <c r="CZ73" i="3416"/>
  <c r="CY73" i="3416"/>
  <c r="CX73" i="3416"/>
  <c r="CW73" i="3416"/>
  <c r="CV73" i="3416"/>
  <c r="CU73" i="3416"/>
  <c r="CT73" i="3416"/>
  <c r="CS73" i="3416"/>
  <c r="CR73" i="3416"/>
  <c r="CQ73" i="3416"/>
  <c r="CP73" i="3416"/>
  <c r="CO73" i="3416"/>
  <c r="CN73" i="3416"/>
  <c r="CM73" i="3416"/>
  <c r="CL73" i="3416"/>
  <c r="CK73" i="3416"/>
  <c r="CJ73" i="3416"/>
  <c r="CI73" i="3416"/>
  <c r="CH73" i="3416"/>
  <c r="CG73" i="3416"/>
  <c r="CF73" i="3416"/>
  <c r="CE73" i="3416"/>
  <c r="CD73" i="3416"/>
  <c r="CC73" i="3416"/>
  <c r="CB73" i="3416"/>
  <c r="CA73" i="3416"/>
  <c r="BZ73" i="3416"/>
  <c r="BY73" i="3416"/>
  <c r="BX73" i="3416"/>
  <c r="BW73" i="3416"/>
  <c r="BV73" i="3416"/>
  <c r="BU73" i="3416"/>
  <c r="BT73" i="3416"/>
  <c r="BS73" i="3416"/>
  <c r="BR73" i="3416"/>
  <c r="BQ73" i="3416"/>
  <c r="BP73" i="3416"/>
  <c r="BO73" i="3416"/>
  <c r="BN73" i="3416"/>
  <c r="BM73" i="3416"/>
  <c r="BL73" i="3416"/>
  <c r="BK73" i="3416"/>
  <c r="BJ73" i="3416"/>
  <c r="BI73" i="3416"/>
  <c r="BH73" i="3416"/>
  <c r="BG73" i="3416"/>
  <c r="BF73" i="3416"/>
  <c r="BE73" i="3416"/>
  <c r="BD73" i="3416"/>
  <c r="BC73" i="3416"/>
  <c r="BB73" i="3416"/>
  <c r="BA73" i="3416"/>
  <c r="AZ73" i="3416"/>
  <c r="AY73" i="3416"/>
  <c r="AX73" i="3416"/>
  <c r="AW73" i="3416"/>
  <c r="AV73" i="3416"/>
  <c r="AU73" i="3416"/>
  <c r="AT73" i="3416"/>
  <c r="AS73" i="3416"/>
  <c r="AR73" i="3416"/>
  <c r="AQ73" i="3416"/>
  <c r="AP73" i="3416"/>
  <c r="AO73" i="3416"/>
  <c r="AN73" i="3416"/>
  <c r="AM73" i="3416"/>
  <c r="AL73" i="3416"/>
  <c r="AK73" i="3416"/>
  <c r="AJ73" i="3416"/>
  <c r="AI73" i="3416"/>
  <c r="AH73" i="3416"/>
  <c r="AG73" i="3416"/>
  <c r="AF73" i="3416"/>
  <c r="AE73" i="3416"/>
  <c r="AD73" i="3416"/>
  <c r="AC73" i="3416"/>
  <c r="AB73" i="3416"/>
  <c r="AA73" i="3416"/>
  <c r="Z73" i="3416"/>
  <c r="Y73" i="3416"/>
  <c r="X73" i="3416"/>
  <c r="W73" i="3416"/>
  <c r="V73" i="3416"/>
  <c r="U73" i="3416"/>
  <c r="T73" i="3416"/>
  <c r="S73" i="3416"/>
  <c r="R73" i="3416"/>
  <c r="Q73" i="3416"/>
  <c r="P73" i="3416"/>
  <c r="O73" i="3416"/>
  <c r="N73" i="3416"/>
  <c r="M73" i="3416"/>
  <c r="L73" i="3416"/>
  <c r="K73" i="3416"/>
  <c r="J73" i="3416"/>
  <c r="I73" i="3416"/>
  <c r="H73" i="3416"/>
  <c r="G73" i="3416"/>
  <c r="F73" i="3416"/>
  <c r="E73" i="3416"/>
  <c r="D73" i="3416"/>
  <c r="C73" i="3416" a="1"/>
  <c r="C73" i="3416"/>
  <c r="A73" i="3416"/>
  <c r="EM72" i="3416"/>
  <c r="EL72" i="3416"/>
  <c r="EK72" i="3416"/>
  <c r="EJ72" i="3416"/>
  <c r="EI72" i="3416"/>
  <c r="EH72" i="3416"/>
  <c r="EG72" i="3416"/>
  <c r="EF72" i="3416"/>
  <c r="EE72" i="3416"/>
  <c r="ED72" i="3416"/>
  <c r="EC72" i="3416"/>
  <c r="EB72" i="3416"/>
  <c r="EA72" i="3416"/>
  <c r="DZ72" i="3416"/>
  <c r="DY72" i="3416"/>
  <c r="DX72" i="3416"/>
  <c r="DW72" i="3416"/>
  <c r="DV72" i="3416"/>
  <c r="DU72" i="3416"/>
  <c r="DT72" i="3416"/>
  <c r="DS72" i="3416"/>
  <c r="DR72" i="3416"/>
  <c r="DQ72" i="3416"/>
  <c r="DP72" i="3416"/>
  <c r="DO72" i="3416"/>
  <c r="DN72" i="3416"/>
  <c r="DM72" i="3416"/>
  <c r="DL72" i="3416"/>
  <c r="DK72" i="3416"/>
  <c r="DJ72" i="3416"/>
  <c r="DI72" i="3416"/>
  <c r="DH72" i="3416"/>
  <c r="DG72" i="3416"/>
  <c r="DF72" i="3416"/>
  <c r="DE72" i="3416"/>
  <c r="DD72" i="3416"/>
  <c r="DC72" i="3416"/>
  <c r="DB72" i="3416"/>
  <c r="DA72" i="3416"/>
  <c r="CZ72" i="3416"/>
  <c r="CY72" i="3416"/>
  <c r="CX72" i="3416"/>
  <c r="CW72" i="3416"/>
  <c r="CV72" i="3416"/>
  <c r="CU72" i="3416"/>
  <c r="CT72" i="3416"/>
  <c r="CS72" i="3416"/>
  <c r="CR72" i="3416"/>
  <c r="CQ72" i="3416"/>
  <c r="CP72" i="3416"/>
  <c r="CO72" i="3416"/>
  <c r="CN72" i="3416"/>
  <c r="CM72" i="3416"/>
  <c r="CL72" i="3416"/>
  <c r="CK72" i="3416"/>
  <c r="CJ72" i="3416"/>
  <c r="CI72" i="3416"/>
  <c r="CH72" i="3416"/>
  <c r="CG72" i="3416"/>
  <c r="CF72" i="3416"/>
  <c r="CE72" i="3416"/>
  <c r="CD72" i="3416"/>
  <c r="CC72" i="3416"/>
  <c r="CB72" i="3416"/>
  <c r="CA72" i="3416"/>
  <c r="BZ72" i="3416"/>
  <c r="BY72" i="3416"/>
  <c r="BX72" i="3416"/>
  <c r="BW72" i="3416"/>
  <c r="BV72" i="3416"/>
  <c r="BU72" i="3416"/>
  <c r="BT72" i="3416"/>
  <c r="BS72" i="3416"/>
  <c r="BR72" i="3416"/>
  <c r="BQ72" i="3416"/>
  <c r="BP72" i="3416"/>
  <c r="BO72" i="3416"/>
  <c r="BN72" i="3416"/>
  <c r="BM72" i="3416"/>
  <c r="BL72" i="3416"/>
  <c r="BK72" i="3416"/>
  <c r="BJ72" i="3416"/>
  <c r="BI72" i="3416"/>
  <c r="BH72" i="3416"/>
  <c r="BG72" i="3416"/>
  <c r="BF72" i="3416"/>
  <c r="BE72" i="3416"/>
  <c r="BD72" i="3416"/>
  <c r="BC72" i="3416"/>
  <c r="BB72" i="3416"/>
  <c r="BA72" i="3416"/>
  <c r="AZ72" i="3416"/>
  <c r="AY72" i="3416"/>
  <c r="AX72" i="3416"/>
  <c r="AW72" i="3416"/>
  <c r="AV72" i="3416"/>
  <c r="AU72" i="3416"/>
  <c r="AT72" i="3416"/>
  <c r="AS72" i="3416"/>
  <c r="AR72" i="3416"/>
  <c r="AQ72" i="3416"/>
  <c r="AP72" i="3416"/>
  <c r="AO72" i="3416"/>
  <c r="AN72" i="3416"/>
  <c r="AM72" i="3416"/>
  <c r="AL72" i="3416"/>
  <c r="AK72" i="3416"/>
  <c r="AJ72" i="3416"/>
  <c r="AI72" i="3416"/>
  <c r="AH72" i="3416"/>
  <c r="AG72" i="3416"/>
  <c r="AF72" i="3416"/>
  <c r="AE72" i="3416"/>
  <c r="AD72" i="3416"/>
  <c r="AC72" i="3416"/>
  <c r="AB72" i="3416"/>
  <c r="AA72" i="3416"/>
  <c r="Z72" i="3416"/>
  <c r="Y72" i="3416"/>
  <c r="X72" i="3416"/>
  <c r="W72" i="3416"/>
  <c r="V72" i="3416"/>
  <c r="U72" i="3416"/>
  <c r="T72" i="3416"/>
  <c r="S72" i="3416"/>
  <c r="R72" i="3416"/>
  <c r="Q72" i="3416"/>
  <c r="P72" i="3416"/>
  <c r="O72" i="3416"/>
  <c r="N72" i="3416"/>
  <c r="M72" i="3416"/>
  <c r="L72" i="3416"/>
  <c r="K72" i="3416"/>
  <c r="J72" i="3416"/>
  <c r="I72" i="3416"/>
  <c r="H72" i="3416"/>
  <c r="G72" i="3416"/>
  <c r="F72" i="3416"/>
  <c r="E72" i="3416"/>
  <c r="D72" i="3416"/>
  <c r="C72" i="3416" a="1"/>
  <c r="C72" i="3416"/>
  <c r="A72" i="3416"/>
  <c r="EM71" i="3416"/>
  <c r="EL71" i="3416"/>
  <c r="EK71" i="3416"/>
  <c r="EJ71" i="3416"/>
  <c r="EI71" i="3416"/>
  <c r="EH71" i="3416"/>
  <c r="EG71" i="3416"/>
  <c r="EF71" i="3416"/>
  <c r="EE71" i="3416"/>
  <c r="ED71" i="3416"/>
  <c r="EC71" i="3416"/>
  <c r="EB71" i="3416"/>
  <c r="EA71" i="3416"/>
  <c r="DZ71" i="3416"/>
  <c r="DY71" i="3416"/>
  <c r="DX71" i="3416"/>
  <c r="DW71" i="3416"/>
  <c r="DV71" i="3416"/>
  <c r="DU71" i="3416"/>
  <c r="DT71" i="3416"/>
  <c r="DS71" i="3416"/>
  <c r="DR71" i="3416"/>
  <c r="DQ71" i="3416"/>
  <c r="DP71" i="3416"/>
  <c r="DO71" i="3416"/>
  <c r="DN71" i="3416"/>
  <c r="DM71" i="3416"/>
  <c r="DL71" i="3416"/>
  <c r="DK71" i="3416"/>
  <c r="DJ71" i="3416"/>
  <c r="DI71" i="3416"/>
  <c r="DH71" i="3416"/>
  <c r="DG71" i="3416"/>
  <c r="DF71" i="3416"/>
  <c r="DE71" i="3416"/>
  <c r="DD71" i="3416"/>
  <c r="DC71" i="3416"/>
  <c r="DB71" i="3416"/>
  <c r="DA71" i="3416"/>
  <c r="CZ71" i="3416"/>
  <c r="CY71" i="3416"/>
  <c r="CX71" i="3416"/>
  <c r="CW71" i="3416"/>
  <c r="CV71" i="3416"/>
  <c r="CU71" i="3416"/>
  <c r="CT71" i="3416"/>
  <c r="CS71" i="3416"/>
  <c r="CR71" i="3416"/>
  <c r="CQ71" i="3416"/>
  <c r="CP71" i="3416"/>
  <c r="CO71" i="3416"/>
  <c r="CN71" i="3416"/>
  <c r="CM71" i="3416"/>
  <c r="CL71" i="3416"/>
  <c r="CK71" i="3416"/>
  <c r="CJ71" i="3416"/>
  <c r="CI71" i="3416"/>
  <c r="CH71" i="3416"/>
  <c r="CG71" i="3416"/>
  <c r="CF71" i="3416"/>
  <c r="CE71" i="3416"/>
  <c r="CD71" i="3416"/>
  <c r="CC71" i="3416"/>
  <c r="CB71" i="3416"/>
  <c r="CA71" i="3416"/>
  <c r="BZ71" i="3416"/>
  <c r="BY71" i="3416"/>
  <c r="BX71" i="3416"/>
  <c r="BW71" i="3416"/>
  <c r="BV71" i="3416"/>
  <c r="BU71" i="3416"/>
  <c r="BT71" i="3416"/>
  <c r="BS71" i="3416"/>
  <c r="BR71" i="3416"/>
  <c r="BQ71" i="3416"/>
  <c r="BP71" i="3416"/>
  <c r="BO71" i="3416"/>
  <c r="BN71" i="3416"/>
  <c r="BM71" i="3416"/>
  <c r="BL71" i="3416"/>
  <c r="BK71" i="3416"/>
  <c r="BJ71" i="3416"/>
  <c r="BI71" i="3416"/>
  <c r="BH71" i="3416"/>
  <c r="BG71" i="3416"/>
  <c r="BF71" i="3416"/>
  <c r="BE71" i="3416"/>
  <c r="BD71" i="3416"/>
  <c r="BC71" i="3416"/>
  <c r="BB71" i="3416"/>
  <c r="BA71" i="3416"/>
  <c r="AZ71" i="3416"/>
  <c r="AY71" i="3416"/>
  <c r="AX71" i="3416"/>
  <c r="AW71" i="3416"/>
  <c r="AV71" i="3416"/>
  <c r="AU71" i="3416"/>
  <c r="AT71" i="3416"/>
  <c r="AS71" i="3416"/>
  <c r="AR71" i="3416"/>
  <c r="AQ71" i="3416"/>
  <c r="AP71" i="3416"/>
  <c r="AO71" i="3416"/>
  <c r="AN71" i="3416"/>
  <c r="AM71" i="3416"/>
  <c r="AL71" i="3416"/>
  <c r="AK71" i="3416"/>
  <c r="AJ71" i="3416"/>
  <c r="AI71" i="3416"/>
  <c r="AH71" i="3416"/>
  <c r="AG71" i="3416"/>
  <c r="AF71" i="3416"/>
  <c r="AE71" i="3416"/>
  <c r="AD71" i="3416"/>
  <c r="AC71" i="3416"/>
  <c r="AB71" i="3416"/>
  <c r="AA71" i="3416"/>
  <c r="Z71" i="3416"/>
  <c r="Y71" i="3416"/>
  <c r="X71" i="3416"/>
  <c r="W71" i="3416"/>
  <c r="V71" i="3416"/>
  <c r="U71" i="3416"/>
  <c r="T71" i="3416"/>
  <c r="S71" i="3416"/>
  <c r="R71" i="3416"/>
  <c r="Q71" i="3416"/>
  <c r="P71" i="3416"/>
  <c r="O71" i="3416"/>
  <c r="N71" i="3416"/>
  <c r="M71" i="3416"/>
  <c r="L71" i="3416"/>
  <c r="K71" i="3416"/>
  <c r="J71" i="3416"/>
  <c r="I71" i="3416"/>
  <c r="H71" i="3416"/>
  <c r="G71" i="3416"/>
  <c r="F71" i="3416"/>
  <c r="E71" i="3416"/>
  <c r="D71" i="3416"/>
  <c r="C71" i="3416" a="1"/>
  <c r="C71" i="3416"/>
  <c r="A71" i="3416"/>
  <c r="EM70" i="3416"/>
  <c r="EL70" i="3416"/>
  <c r="EK70" i="3416"/>
  <c r="EJ70" i="3416"/>
  <c r="EI70" i="3416"/>
  <c r="EH70" i="3416"/>
  <c r="EG70" i="3416"/>
  <c r="EF70" i="3416"/>
  <c r="EE70" i="3416"/>
  <c r="ED70" i="3416"/>
  <c r="EC70" i="3416"/>
  <c r="EB70" i="3416"/>
  <c r="EA70" i="3416"/>
  <c r="DZ70" i="3416"/>
  <c r="DY70" i="3416"/>
  <c r="DX70" i="3416"/>
  <c r="DW70" i="3416"/>
  <c r="DV70" i="3416"/>
  <c r="DU70" i="3416"/>
  <c r="DT70" i="3416"/>
  <c r="DS70" i="3416"/>
  <c r="DR70" i="3416"/>
  <c r="DQ70" i="3416"/>
  <c r="DP70" i="3416"/>
  <c r="DO70" i="3416"/>
  <c r="DN70" i="3416"/>
  <c r="DM70" i="3416"/>
  <c r="DL70" i="3416"/>
  <c r="DK70" i="3416"/>
  <c r="DJ70" i="3416"/>
  <c r="DI70" i="3416"/>
  <c r="DH70" i="3416"/>
  <c r="DG70" i="3416"/>
  <c r="DF70" i="3416"/>
  <c r="DE70" i="3416"/>
  <c r="DD70" i="3416"/>
  <c r="DC70" i="3416"/>
  <c r="DB70" i="3416"/>
  <c r="DA70" i="3416"/>
  <c r="CZ70" i="3416"/>
  <c r="CY70" i="3416"/>
  <c r="CX70" i="3416"/>
  <c r="CW70" i="3416"/>
  <c r="CV70" i="3416"/>
  <c r="CU70" i="3416"/>
  <c r="CT70" i="3416"/>
  <c r="CS70" i="3416"/>
  <c r="CR70" i="3416"/>
  <c r="CQ70" i="3416"/>
  <c r="CP70" i="3416"/>
  <c r="CO70" i="3416"/>
  <c r="CN70" i="3416"/>
  <c r="CM70" i="3416"/>
  <c r="CL70" i="3416"/>
  <c r="CK70" i="3416"/>
  <c r="CJ70" i="3416"/>
  <c r="CI70" i="3416"/>
  <c r="CH70" i="3416"/>
  <c r="CG70" i="3416"/>
  <c r="CF70" i="3416"/>
  <c r="CE70" i="3416"/>
  <c r="CD70" i="3416"/>
  <c r="CC70" i="3416"/>
  <c r="CB70" i="3416"/>
  <c r="CA70" i="3416"/>
  <c r="BZ70" i="3416"/>
  <c r="BY70" i="3416"/>
  <c r="BX70" i="3416"/>
  <c r="BW70" i="3416"/>
  <c r="BV70" i="3416"/>
  <c r="BU70" i="3416"/>
  <c r="BT70" i="3416"/>
  <c r="BS70" i="3416"/>
  <c r="BR70" i="3416"/>
  <c r="BQ70" i="3416"/>
  <c r="BP70" i="3416"/>
  <c r="BO70" i="3416"/>
  <c r="BN70" i="3416"/>
  <c r="BM70" i="3416"/>
  <c r="BL70" i="3416"/>
  <c r="BK70" i="3416"/>
  <c r="BJ70" i="3416"/>
  <c r="BI70" i="3416"/>
  <c r="BH70" i="3416"/>
  <c r="BG70" i="3416"/>
  <c r="BF70" i="3416"/>
  <c r="BE70" i="3416"/>
  <c r="BD70" i="3416"/>
  <c r="BC70" i="3416"/>
  <c r="BB70" i="3416"/>
  <c r="BA70" i="3416"/>
  <c r="AZ70" i="3416"/>
  <c r="AY70" i="3416"/>
  <c r="AX70" i="3416"/>
  <c r="AW70" i="3416"/>
  <c r="AV70" i="3416"/>
  <c r="AU70" i="3416"/>
  <c r="AT70" i="3416"/>
  <c r="AS70" i="3416"/>
  <c r="AR70" i="3416"/>
  <c r="AQ70" i="3416"/>
  <c r="AP70" i="3416"/>
  <c r="AO70" i="3416"/>
  <c r="AN70" i="3416"/>
  <c r="AM70" i="3416"/>
  <c r="AL70" i="3416"/>
  <c r="AK70" i="3416"/>
  <c r="AJ70" i="3416"/>
  <c r="AI70" i="3416"/>
  <c r="AH70" i="3416"/>
  <c r="AG70" i="3416"/>
  <c r="AF70" i="3416"/>
  <c r="AE70" i="3416"/>
  <c r="AD70" i="3416"/>
  <c r="AC70" i="3416"/>
  <c r="AB70" i="3416"/>
  <c r="AA70" i="3416"/>
  <c r="Z70" i="3416"/>
  <c r="Y70" i="3416"/>
  <c r="X70" i="3416"/>
  <c r="W70" i="3416"/>
  <c r="V70" i="3416"/>
  <c r="U70" i="3416"/>
  <c r="T70" i="3416"/>
  <c r="S70" i="3416"/>
  <c r="R70" i="3416"/>
  <c r="Q70" i="3416"/>
  <c r="P70" i="3416"/>
  <c r="O70" i="3416"/>
  <c r="N70" i="3416"/>
  <c r="M70" i="3416"/>
  <c r="L70" i="3416"/>
  <c r="K70" i="3416"/>
  <c r="J70" i="3416"/>
  <c r="I70" i="3416"/>
  <c r="H70" i="3416"/>
  <c r="G70" i="3416"/>
  <c r="F70" i="3416"/>
  <c r="E70" i="3416"/>
  <c r="D70" i="3416"/>
  <c r="C70" i="3416" a="1"/>
  <c r="C70" i="3416"/>
  <c r="A70" i="3416"/>
  <c r="EM69" i="3416"/>
  <c r="EL69" i="3416"/>
  <c r="EK69" i="3416"/>
  <c r="EJ69" i="3416"/>
  <c r="EI69" i="3416"/>
  <c r="EH69" i="3416"/>
  <c r="EG69" i="3416"/>
  <c r="EF69" i="3416"/>
  <c r="EE69" i="3416"/>
  <c r="ED69" i="3416"/>
  <c r="EC69" i="3416"/>
  <c r="EB69" i="3416"/>
  <c r="EA69" i="3416"/>
  <c r="DZ69" i="3416"/>
  <c r="DY69" i="3416"/>
  <c r="DX69" i="3416"/>
  <c r="DW69" i="3416"/>
  <c r="DV69" i="3416"/>
  <c r="DU69" i="3416"/>
  <c r="DT69" i="3416"/>
  <c r="DS69" i="3416"/>
  <c r="DR69" i="3416"/>
  <c r="DQ69" i="3416"/>
  <c r="DP69" i="3416"/>
  <c r="DO69" i="3416"/>
  <c r="DN69" i="3416"/>
  <c r="DM69" i="3416"/>
  <c r="DL69" i="3416"/>
  <c r="DK69" i="3416"/>
  <c r="DJ69" i="3416"/>
  <c r="DI69" i="3416"/>
  <c r="DH69" i="3416"/>
  <c r="DG69" i="3416"/>
  <c r="DF69" i="3416"/>
  <c r="DE69" i="3416"/>
  <c r="DD69" i="3416"/>
  <c r="DC69" i="3416"/>
  <c r="DB69" i="3416"/>
  <c r="DA69" i="3416"/>
  <c r="CZ69" i="3416"/>
  <c r="CY69" i="3416"/>
  <c r="CX69" i="3416"/>
  <c r="CW69" i="3416"/>
  <c r="CV69" i="3416"/>
  <c r="CU69" i="3416"/>
  <c r="CT69" i="3416"/>
  <c r="CS69" i="3416"/>
  <c r="CR69" i="3416"/>
  <c r="CQ69" i="3416"/>
  <c r="CP69" i="3416"/>
  <c r="CO69" i="3416"/>
  <c r="CN69" i="3416"/>
  <c r="CM69" i="3416"/>
  <c r="CL69" i="3416"/>
  <c r="CK69" i="3416"/>
  <c r="CJ69" i="3416"/>
  <c r="CI69" i="3416"/>
  <c r="CH69" i="3416"/>
  <c r="CG69" i="3416"/>
  <c r="CF69" i="3416"/>
  <c r="CE69" i="3416"/>
  <c r="CD69" i="3416"/>
  <c r="CC69" i="3416"/>
  <c r="CB69" i="3416"/>
  <c r="CA69" i="3416"/>
  <c r="BZ69" i="3416"/>
  <c r="BY69" i="3416"/>
  <c r="BX69" i="3416"/>
  <c r="BW69" i="3416"/>
  <c r="BV69" i="3416"/>
  <c r="BU69" i="3416"/>
  <c r="BT69" i="3416"/>
  <c r="BS69" i="3416"/>
  <c r="BR69" i="3416"/>
  <c r="BQ69" i="3416"/>
  <c r="BP69" i="3416"/>
  <c r="BO69" i="3416"/>
  <c r="BN69" i="3416"/>
  <c r="BM69" i="3416"/>
  <c r="BL69" i="3416"/>
  <c r="BK69" i="3416"/>
  <c r="BJ69" i="3416"/>
  <c r="BI69" i="3416"/>
  <c r="BH69" i="3416"/>
  <c r="BG69" i="3416"/>
  <c r="BF69" i="3416"/>
  <c r="BE69" i="3416"/>
  <c r="BD69" i="3416"/>
  <c r="BC69" i="3416"/>
  <c r="BB69" i="3416"/>
  <c r="BA69" i="3416"/>
  <c r="AZ69" i="3416"/>
  <c r="AY69" i="3416"/>
  <c r="AX69" i="3416"/>
  <c r="AW69" i="3416"/>
  <c r="AV69" i="3416"/>
  <c r="AU69" i="3416"/>
  <c r="AT69" i="3416"/>
  <c r="AS69" i="3416"/>
  <c r="AR69" i="3416"/>
  <c r="AQ69" i="3416"/>
  <c r="AP69" i="3416"/>
  <c r="AO69" i="3416"/>
  <c r="AN69" i="3416"/>
  <c r="AM69" i="3416"/>
  <c r="AL69" i="3416"/>
  <c r="AK69" i="3416"/>
  <c r="AJ69" i="3416"/>
  <c r="AI69" i="3416"/>
  <c r="AH69" i="3416"/>
  <c r="AG69" i="3416"/>
  <c r="AF69" i="3416"/>
  <c r="AE69" i="3416"/>
  <c r="AD69" i="3416"/>
  <c r="AC69" i="3416"/>
  <c r="AB69" i="3416"/>
  <c r="AA69" i="3416"/>
  <c r="Z69" i="3416"/>
  <c r="Y69" i="3416"/>
  <c r="X69" i="3416"/>
  <c r="W69" i="3416"/>
  <c r="V69" i="3416"/>
  <c r="U69" i="3416"/>
  <c r="T69" i="3416"/>
  <c r="S69" i="3416"/>
  <c r="R69" i="3416"/>
  <c r="Q69" i="3416"/>
  <c r="P69" i="3416"/>
  <c r="O69" i="3416"/>
  <c r="N69" i="3416"/>
  <c r="M69" i="3416"/>
  <c r="L69" i="3416"/>
  <c r="K69" i="3416"/>
  <c r="J69" i="3416"/>
  <c r="I69" i="3416"/>
  <c r="H69" i="3416"/>
  <c r="G69" i="3416"/>
  <c r="F69" i="3416"/>
  <c r="E69" i="3416"/>
  <c r="D69" i="3416"/>
  <c r="C69" i="3416" a="1"/>
  <c r="C69" i="3416"/>
  <c r="A69" i="3416"/>
  <c r="EM68" i="3416"/>
  <c r="EL68" i="3416"/>
  <c r="EK68" i="3416"/>
  <c r="EJ68" i="3416"/>
  <c r="EI68" i="3416"/>
  <c r="EH68" i="3416"/>
  <c r="EG68" i="3416"/>
  <c r="EF68" i="3416"/>
  <c r="EE68" i="3416"/>
  <c r="ED68" i="3416"/>
  <c r="EC68" i="3416"/>
  <c r="EB68" i="3416"/>
  <c r="EA68" i="3416"/>
  <c r="DZ68" i="3416"/>
  <c r="DY68" i="3416"/>
  <c r="DX68" i="3416"/>
  <c r="DW68" i="3416"/>
  <c r="DV68" i="3416"/>
  <c r="DU68" i="3416"/>
  <c r="DT68" i="3416"/>
  <c r="DS68" i="3416"/>
  <c r="DR68" i="3416"/>
  <c r="DQ68" i="3416"/>
  <c r="DP68" i="3416"/>
  <c r="DO68" i="3416"/>
  <c r="DN68" i="3416"/>
  <c r="DM68" i="3416"/>
  <c r="DL68" i="3416"/>
  <c r="DK68" i="3416"/>
  <c r="DJ68" i="3416"/>
  <c r="DI68" i="3416"/>
  <c r="DH68" i="3416"/>
  <c r="DG68" i="3416"/>
  <c r="DF68" i="3416"/>
  <c r="DE68" i="3416"/>
  <c r="DD68" i="3416"/>
  <c r="DC68" i="3416"/>
  <c r="DB68" i="3416"/>
  <c r="DA68" i="3416"/>
  <c r="CZ68" i="3416"/>
  <c r="CY68" i="3416"/>
  <c r="CX68" i="3416"/>
  <c r="CW68" i="3416"/>
  <c r="CV68" i="3416"/>
  <c r="CU68" i="3416"/>
  <c r="CT68" i="3416"/>
  <c r="CS68" i="3416"/>
  <c r="CR68" i="3416"/>
  <c r="CQ68" i="3416"/>
  <c r="CP68" i="3416"/>
  <c r="CO68" i="3416"/>
  <c r="CN68" i="3416"/>
  <c r="CM68" i="3416"/>
  <c r="CL68" i="3416"/>
  <c r="CK68" i="3416"/>
  <c r="CJ68" i="3416"/>
  <c r="CI68" i="3416"/>
  <c r="CH68" i="3416"/>
  <c r="CG68" i="3416"/>
  <c r="CF68" i="3416"/>
  <c r="CE68" i="3416"/>
  <c r="CD68" i="3416"/>
  <c r="CC68" i="3416"/>
  <c r="CB68" i="3416"/>
  <c r="CA68" i="3416"/>
  <c r="BZ68" i="3416"/>
  <c r="BY68" i="3416"/>
  <c r="BX68" i="3416"/>
  <c r="BW68" i="3416"/>
  <c r="BV68" i="3416"/>
  <c r="BU68" i="3416"/>
  <c r="BT68" i="3416"/>
  <c r="BS68" i="3416"/>
  <c r="BR68" i="3416"/>
  <c r="BQ68" i="3416"/>
  <c r="BP68" i="3416"/>
  <c r="BO68" i="3416"/>
  <c r="BN68" i="3416"/>
  <c r="BM68" i="3416"/>
  <c r="BL68" i="3416"/>
  <c r="BK68" i="3416"/>
  <c r="BJ68" i="3416"/>
  <c r="BI68" i="3416"/>
  <c r="BH68" i="3416"/>
  <c r="BG68" i="3416"/>
  <c r="BF68" i="3416"/>
  <c r="BE68" i="3416"/>
  <c r="BD68" i="3416"/>
  <c r="BC68" i="3416"/>
  <c r="BB68" i="3416"/>
  <c r="BA68" i="3416"/>
  <c r="AZ68" i="3416"/>
  <c r="AY68" i="3416"/>
  <c r="AX68" i="3416"/>
  <c r="AW68" i="3416"/>
  <c r="AV68" i="3416"/>
  <c r="AU68" i="3416"/>
  <c r="AT68" i="3416"/>
  <c r="AS68" i="3416"/>
  <c r="AR68" i="3416"/>
  <c r="AQ68" i="3416"/>
  <c r="AP68" i="3416"/>
  <c r="AO68" i="3416"/>
  <c r="AN68" i="3416"/>
  <c r="AM68" i="3416"/>
  <c r="AL68" i="3416"/>
  <c r="AK68" i="3416"/>
  <c r="AJ68" i="3416"/>
  <c r="AI68" i="3416"/>
  <c r="AH68" i="3416"/>
  <c r="AG68" i="3416"/>
  <c r="AF68" i="3416"/>
  <c r="AE68" i="3416"/>
  <c r="AD68" i="3416"/>
  <c r="AC68" i="3416"/>
  <c r="AB68" i="3416"/>
  <c r="AA68" i="3416"/>
  <c r="Z68" i="3416"/>
  <c r="Y68" i="3416"/>
  <c r="X68" i="3416"/>
  <c r="W68" i="3416"/>
  <c r="V68" i="3416"/>
  <c r="U68" i="3416"/>
  <c r="T68" i="3416"/>
  <c r="S68" i="3416"/>
  <c r="R68" i="3416"/>
  <c r="Q68" i="3416"/>
  <c r="P68" i="3416"/>
  <c r="O68" i="3416"/>
  <c r="N68" i="3416"/>
  <c r="M68" i="3416"/>
  <c r="L68" i="3416"/>
  <c r="K68" i="3416"/>
  <c r="J68" i="3416"/>
  <c r="I68" i="3416"/>
  <c r="H68" i="3416"/>
  <c r="G68" i="3416"/>
  <c r="F68" i="3416"/>
  <c r="E68" i="3416"/>
  <c r="D68" i="3416"/>
  <c r="C68" i="3416" a="1"/>
  <c r="C68" i="3416"/>
  <c r="A68" i="3416"/>
  <c r="EM67" i="3416"/>
  <c r="EL67" i="3416"/>
  <c r="EK67" i="3416"/>
  <c r="EJ67" i="3416"/>
  <c r="EI67" i="3416"/>
  <c r="EH67" i="3416"/>
  <c r="EG67" i="3416"/>
  <c r="EF67" i="3416"/>
  <c r="EE67" i="3416"/>
  <c r="ED67" i="3416"/>
  <c r="EC67" i="3416"/>
  <c r="EB67" i="3416"/>
  <c r="EA67" i="3416"/>
  <c r="DZ67" i="3416"/>
  <c r="DY67" i="3416"/>
  <c r="DX67" i="3416"/>
  <c r="DW67" i="3416"/>
  <c r="DV67" i="3416"/>
  <c r="DU67" i="3416"/>
  <c r="DT67" i="3416"/>
  <c r="DS67" i="3416"/>
  <c r="DR67" i="3416"/>
  <c r="DQ67" i="3416"/>
  <c r="DP67" i="3416"/>
  <c r="DO67" i="3416"/>
  <c r="DN67" i="3416"/>
  <c r="DM67" i="3416"/>
  <c r="DL67" i="3416"/>
  <c r="DK67" i="3416"/>
  <c r="DJ67" i="3416"/>
  <c r="DI67" i="3416"/>
  <c r="DH67" i="3416"/>
  <c r="DG67" i="3416"/>
  <c r="DF67" i="3416"/>
  <c r="DE67" i="3416"/>
  <c r="DD67" i="3416"/>
  <c r="DC67" i="3416"/>
  <c r="DB67" i="3416"/>
  <c r="DA67" i="3416"/>
  <c r="CZ67" i="3416"/>
  <c r="CY67" i="3416"/>
  <c r="CX67" i="3416"/>
  <c r="CW67" i="3416"/>
  <c r="CV67" i="3416"/>
  <c r="CU67" i="3416"/>
  <c r="CT67" i="3416"/>
  <c r="CS67" i="3416"/>
  <c r="CR67" i="3416"/>
  <c r="CQ67" i="3416"/>
  <c r="CP67" i="3416"/>
  <c r="CO67" i="3416"/>
  <c r="CN67" i="3416"/>
  <c r="CM67" i="3416"/>
  <c r="CL67" i="3416"/>
  <c r="CK67" i="3416"/>
  <c r="CJ67" i="3416"/>
  <c r="CI67" i="3416"/>
  <c r="CH67" i="3416"/>
  <c r="CG67" i="3416"/>
  <c r="CF67" i="3416"/>
  <c r="CE67" i="3416"/>
  <c r="CD67" i="3416"/>
  <c r="CC67" i="3416"/>
  <c r="CB67" i="3416"/>
  <c r="CA67" i="3416"/>
  <c r="BZ67" i="3416"/>
  <c r="BY67" i="3416"/>
  <c r="BX67" i="3416"/>
  <c r="BW67" i="3416"/>
  <c r="BV67" i="3416"/>
  <c r="BU67" i="3416"/>
  <c r="BT67" i="3416"/>
  <c r="BS67" i="3416"/>
  <c r="BR67" i="3416"/>
  <c r="BQ67" i="3416"/>
  <c r="BP67" i="3416"/>
  <c r="BO67" i="3416"/>
  <c r="BN67" i="3416"/>
  <c r="BM67" i="3416"/>
  <c r="BL67" i="3416"/>
  <c r="BK67" i="3416"/>
  <c r="BJ67" i="3416"/>
  <c r="BI67" i="3416"/>
  <c r="BH67" i="3416"/>
  <c r="BG67" i="3416"/>
  <c r="BF67" i="3416"/>
  <c r="BE67" i="3416"/>
  <c r="BD67" i="3416"/>
  <c r="BC67" i="3416"/>
  <c r="BB67" i="3416"/>
  <c r="BA67" i="3416"/>
  <c r="AZ67" i="3416"/>
  <c r="AY67" i="3416"/>
  <c r="AX67" i="3416"/>
  <c r="AW67" i="3416"/>
  <c r="AV67" i="3416"/>
  <c r="AU67" i="3416"/>
  <c r="AT67" i="3416"/>
  <c r="AS67" i="3416"/>
  <c r="AR67" i="3416"/>
  <c r="AQ67" i="3416"/>
  <c r="AP67" i="3416"/>
  <c r="AO67" i="3416"/>
  <c r="AN67" i="3416"/>
  <c r="AM67" i="3416"/>
  <c r="AL67" i="3416"/>
  <c r="AK67" i="3416"/>
  <c r="AJ67" i="3416"/>
  <c r="AI67" i="3416"/>
  <c r="AH67" i="3416"/>
  <c r="AG67" i="3416"/>
  <c r="AF67" i="3416"/>
  <c r="AE67" i="3416"/>
  <c r="AD67" i="3416"/>
  <c r="AC67" i="3416"/>
  <c r="AB67" i="3416"/>
  <c r="AA67" i="3416"/>
  <c r="Z67" i="3416"/>
  <c r="Y67" i="3416"/>
  <c r="X67" i="3416"/>
  <c r="W67" i="3416"/>
  <c r="V67" i="3416"/>
  <c r="U67" i="3416"/>
  <c r="T67" i="3416"/>
  <c r="S67" i="3416"/>
  <c r="R67" i="3416"/>
  <c r="Q67" i="3416"/>
  <c r="P67" i="3416"/>
  <c r="O67" i="3416"/>
  <c r="N67" i="3416"/>
  <c r="M67" i="3416"/>
  <c r="L67" i="3416"/>
  <c r="K67" i="3416"/>
  <c r="J67" i="3416"/>
  <c r="I67" i="3416"/>
  <c r="H67" i="3416"/>
  <c r="G67" i="3416"/>
  <c r="F67" i="3416"/>
  <c r="E67" i="3416"/>
  <c r="D67" i="3416"/>
  <c r="C67" i="3416" a="1"/>
  <c r="C67" i="3416"/>
  <c r="A67" i="3416"/>
  <c r="EM66" i="3416"/>
  <c r="EL66" i="3416"/>
  <c r="EK66" i="3416"/>
  <c r="EJ66" i="3416"/>
  <c r="EI66" i="3416"/>
  <c r="EH66" i="3416"/>
  <c r="EG66" i="3416"/>
  <c r="EF66" i="3416"/>
  <c r="EE66" i="3416"/>
  <c r="ED66" i="3416"/>
  <c r="EC66" i="3416"/>
  <c r="EB66" i="3416"/>
  <c r="EA66" i="3416"/>
  <c r="DZ66" i="3416"/>
  <c r="DY66" i="3416"/>
  <c r="DX66" i="3416"/>
  <c r="DW66" i="3416"/>
  <c r="DV66" i="3416"/>
  <c r="DU66" i="3416"/>
  <c r="DT66" i="3416"/>
  <c r="DS66" i="3416"/>
  <c r="DR66" i="3416"/>
  <c r="DQ66" i="3416"/>
  <c r="DP66" i="3416"/>
  <c r="DO66" i="3416"/>
  <c r="DN66" i="3416"/>
  <c r="DM66" i="3416"/>
  <c r="DL66" i="3416"/>
  <c r="DK66" i="3416"/>
  <c r="DJ66" i="3416"/>
  <c r="DI66" i="3416"/>
  <c r="DH66" i="3416"/>
  <c r="DG66" i="3416"/>
  <c r="DF66" i="3416"/>
  <c r="DE66" i="3416"/>
  <c r="DD66" i="3416"/>
  <c r="DC66" i="3416"/>
  <c r="DB66" i="3416"/>
  <c r="DA66" i="3416"/>
  <c r="CZ66" i="3416"/>
  <c r="CY66" i="3416"/>
  <c r="CX66" i="3416"/>
  <c r="CW66" i="3416"/>
  <c r="CV66" i="3416"/>
  <c r="CU66" i="3416"/>
  <c r="CT66" i="3416"/>
  <c r="CS66" i="3416"/>
  <c r="CR66" i="3416"/>
  <c r="CQ66" i="3416"/>
  <c r="CP66" i="3416"/>
  <c r="CO66" i="3416"/>
  <c r="CN66" i="3416"/>
  <c r="CM66" i="3416"/>
  <c r="CL66" i="3416"/>
  <c r="CK66" i="3416"/>
  <c r="CJ66" i="3416"/>
  <c r="CI66" i="3416"/>
  <c r="CH66" i="3416"/>
  <c r="CG66" i="3416"/>
  <c r="CF66" i="3416"/>
  <c r="CE66" i="3416"/>
  <c r="CD66" i="3416"/>
  <c r="CC66" i="3416"/>
  <c r="CB66" i="3416"/>
  <c r="CA66" i="3416"/>
  <c r="BZ66" i="3416"/>
  <c r="BY66" i="3416"/>
  <c r="BX66" i="3416"/>
  <c r="BW66" i="3416"/>
  <c r="BV66" i="3416"/>
  <c r="BU66" i="3416"/>
  <c r="BT66" i="3416"/>
  <c r="BS66" i="3416"/>
  <c r="BR66" i="3416"/>
  <c r="BQ66" i="3416"/>
  <c r="BP66" i="3416"/>
  <c r="BO66" i="3416"/>
  <c r="BN66" i="3416"/>
  <c r="BM66" i="3416"/>
  <c r="BL66" i="3416"/>
  <c r="BK66" i="3416"/>
  <c r="BJ66" i="3416"/>
  <c r="BI66" i="3416"/>
  <c r="BH66" i="3416"/>
  <c r="BG66" i="3416"/>
  <c r="BF66" i="3416"/>
  <c r="BE66" i="3416"/>
  <c r="BD66" i="3416"/>
  <c r="BC66" i="3416"/>
  <c r="BB66" i="3416"/>
  <c r="BA66" i="3416"/>
  <c r="AZ66" i="3416"/>
  <c r="AY66" i="3416"/>
  <c r="AX66" i="3416"/>
  <c r="AW66" i="3416"/>
  <c r="AV66" i="3416"/>
  <c r="AU66" i="3416"/>
  <c r="AT66" i="3416"/>
  <c r="AS66" i="3416"/>
  <c r="AR66" i="3416"/>
  <c r="AQ66" i="3416"/>
  <c r="AP66" i="3416"/>
  <c r="AO66" i="3416"/>
  <c r="AN66" i="3416"/>
  <c r="AM66" i="3416"/>
  <c r="AL66" i="3416"/>
  <c r="AK66" i="3416"/>
  <c r="AJ66" i="3416"/>
  <c r="AI66" i="3416"/>
  <c r="AH66" i="3416"/>
  <c r="AG66" i="3416"/>
  <c r="AF66" i="3416"/>
  <c r="AE66" i="3416"/>
  <c r="AD66" i="3416"/>
  <c r="AC66" i="3416"/>
  <c r="AB66" i="3416"/>
  <c r="AA66" i="3416"/>
  <c r="Z66" i="3416"/>
  <c r="Y66" i="3416"/>
  <c r="X66" i="3416"/>
  <c r="W66" i="3416"/>
  <c r="V66" i="3416"/>
  <c r="U66" i="3416"/>
  <c r="T66" i="3416"/>
  <c r="S66" i="3416"/>
  <c r="R66" i="3416"/>
  <c r="Q66" i="3416"/>
  <c r="P66" i="3416"/>
  <c r="O66" i="3416"/>
  <c r="N66" i="3416"/>
  <c r="M66" i="3416"/>
  <c r="L66" i="3416"/>
  <c r="K66" i="3416"/>
  <c r="J66" i="3416"/>
  <c r="I66" i="3416"/>
  <c r="H66" i="3416"/>
  <c r="G66" i="3416"/>
  <c r="F66" i="3416"/>
  <c r="E66" i="3416"/>
  <c r="D66" i="3416"/>
  <c r="C66" i="3416" a="1"/>
  <c r="C66" i="3416"/>
  <c r="A66" i="3416"/>
  <c r="EM65" i="3416"/>
  <c r="EL65" i="3416"/>
  <c r="EK65" i="3416"/>
  <c r="EJ65" i="3416"/>
  <c r="EI65" i="3416"/>
  <c r="EH65" i="3416"/>
  <c r="EG65" i="3416"/>
  <c r="EF65" i="3416"/>
  <c r="EE65" i="3416"/>
  <c r="ED65" i="3416"/>
  <c r="EC65" i="3416"/>
  <c r="EB65" i="3416"/>
  <c r="EA65" i="3416"/>
  <c r="DZ65" i="3416"/>
  <c r="DY65" i="3416"/>
  <c r="DX65" i="3416"/>
  <c r="DW65" i="3416"/>
  <c r="DV65" i="3416"/>
  <c r="DU65" i="3416"/>
  <c r="DT65" i="3416"/>
  <c r="DS65" i="3416"/>
  <c r="DR65" i="3416"/>
  <c r="DQ65" i="3416"/>
  <c r="DP65" i="3416"/>
  <c r="DO65" i="3416"/>
  <c r="DN65" i="3416"/>
  <c r="DM65" i="3416"/>
  <c r="DL65" i="3416"/>
  <c r="DK65" i="3416"/>
  <c r="DJ65" i="3416"/>
  <c r="DI65" i="3416"/>
  <c r="DH65" i="3416"/>
  <c r="DG65" i="3416"/>
  <c r="DF65" i="3416"/>
  <c r="DE65" i="3416"/>
  <c r="DD65" i="3416"/>
  <c r="DC65" i="3416"/>
  <c r="DB65" i="3416"/>
  <c r="DA65" i="3416"/>
  <c r="CZ65" i="3416"/>
  <c r="CY65" i="3416"/>
  <c r="CX65" i="3416"/>
  <c r="CW65" i="3416"/>
  <c r="CV65" i="3416"/>
  <c r="CU65" i="3416"/>
  <c r="CT65" i="3416"/>
  <c r="CS65" i="3416"/>
  <c r="CR65" i="3416"/>
  <c r="CQ65" i="3416"/>
  <c r="CP65" i="3416"/>
  <c r="CO65" i="3416"/>
  <c r="CN65" i="3416"/>
  <c r="CM65" i="3416"/>
  <c r="CL65" i="3416"/>
  <c r="CK65" i="3416"/>
  <c r="CJ65" i="3416"/>
  <c r="CI65" i="3416"/>
  <c r="CH65" i="3416"/>
  <c r="CG65" i="3416"/>
  <c r="CF65" i="3416"/>
  <c r="CE65" i="3416"/>
  <c r="CD65" i="3416"/>
  <c r="CC65" i="3416"/>
  <c r="CB65" i="3416"/>
  <c r="CA65" i="3416"/>
  <c r="BZ65" i="3416"/>
  <c r="BY65" i="3416"/>
  <c r="BX65" i="3416"/>
  <c r="BW65" i="3416"/>
  <c r="BV65" i="3416"/>
  <c r="BU65" i="3416"/>
  <c r="BT65" i="3416"/>
  <c r="BS65" i="3416"/>
  <c r="BR65" i="3416"/>
  <c r="BQ65" i="3416"/>
  <c r="BP65" i="3416"/>
  <c r="BO65" i="3416"/>
  <c r="BN65" i="3416"/>
  <c r="BM65" i="3416"/>
  <c r="BL65" i="3416"/>
  <c r="BK65" i="3416"/>
  <c r="BJ65" i="3416"/>
  <c r="BI65" i="3416"/>
  <c r="BH65" i="3416"/>
  <c r="BG65" i="3416"/>
  <c r="BF65" i="3416"/>
  <c r="BE65" i="3416"/>
  <c r="BD65" i="3416"/>
  <c r="BC65" i="3416"/>
  <c r="BB65" i="3416"/>
  <c r="BA65" i="3416"/>
  <c r="AZ65" i="3416"/>
  <c r="AY65" i="3416"/>
  <c r="AX65" i="3416"/>
  <c r="AW65" i="3416"/>
  <c r="AV65" i="3416"/>
  <c r="AU65" i="3416"/>
  <c r="AT65" i="3416"/>
  <c r="AS65" i="3416"/>
  <c r="AR65" i="3416"/>
  <c r="AQ65" i="3416"/>
  <c r="AP65" i="3416"/>
  <c r="AO65" i="3416"/>
  <c r="AN65" i="3416"/>
  <c r="AM65" i="3416"/>
  <c r="AL65" i="3416"/>
  <c r="AK65" i="3416"/>
  <c r="AJ65" i="3416"/>
  <c r="AI65" i="3416"/>
  <c r="AH65" i="3416"/>
  <c r="AG65" i="3416"/>
  <c r="AF65" i="3416"/>
  <c r="AE65" i="3416"/>
  <c r="AD65" i="3416"/>
  <c r="AC65" i="3416"/>
  <c r="AB65" i="3416"/>
  <c r="AA65" i="3416"/>
  <c r="Z65" i="3416"/>
  <c r="Y65" i="3416"/>
  <c r="X65" i="3416"/>
  <c r="W65" i="3416"/>
  <c r="V65" i="3416"/>
  <c r="U65" i="3416"/>
  <c r="T65" i="3416"/>
  <c r="S65" i="3416"/>
  <c r="R65" i="3416"/>
  <c r="Q65" i="3416"/>
  <c r="P65" i="3416"/>
  <c r="O65" i="3416"/>
  <c r="N65" i="3416"/>
  <c r="M65" i="3416"/>
  <c r="L65" i="3416"/>
  <c r="K65" i="3416"/>
  <c r="J65" i="3416"/>
  <c r="I65" i="3416"/>
  <c r="H65" i="3416"/>
  <c r="G65" i="3416"/>
  <c r="F65" i="3416"/>
  <c r="E65" i="3416"/>
  <c r="D65" i="3416"/>
  <c r="C65" i="3416" a="1"/>
  <c r="C65" i="3416"/>
  <c r="A65" i="3416"/>
  <c r="EM64" i="3416"/>
  <c r="EL64" i="3416"/>
  <c r="EK64" i="3416"/>
  <c r="EJ64" i="3416"/>
  <c r="EI64" i="3416"/>
  <c r="EH64" i="3416"/>
  <c r="EG64" i="3416"/>
  <c r="EF64" i="3416"/>
  <c r="EE64" i="3416"/>
  <c r="ED64" i="3416"/>
  <c r="EC64" i="3416"/>
  <c r="EB64" i="3416"/>
  <c r="EA64" i="3416"/>
  <c r="DZ64" i="3416"/>
  <c r="DY64" i="3416"/>
  <c r="DX64" i="3416"/>
  <c r="DW64" i="3416"/>
  <c r="DV64" i="3416"/>
  <c r="DU64" i="3416"/>
  <c r="DT64" i="3416"/>
  <c r="DS64" i="3416"/>
  <c r="DR64" i="3416"/>
  <c r="DQ64" i="3416"/>
  <c r="DP64" i="3416"/>
  <c r="DO64" i="3416"/>
  <c r="DN64" i="3416"/>
  <c r="DM64" i="3416"/>
  <c r="DL64" i="3416"/>
  <c r="DK64" i="3416"/>
  <c r="DJ64" i="3416"/>
  <c r="DI64" i="3416"/>
  <c r="DH64" i="3416"/>
  <c r="DG64" i="3416"/>
  <c r="DF64" i="3416"/>
  <c r="DE64" i="3416"/>
  <c r="DD64" i="3416"/>
  <c r="DC64" i="3416"/>
  <c r="DB64" i="3416"/>
  <c r="DA64" i="3416"/>
  <c r="CZ64" i="3416"/>
  <c r="CY64" i="3416"/>
  <c r="CX64" i="3416"/>
  <c r="CW64" i="3416"/>
  <c r="CV64" i="3416"/>
  <c r="CU64" i="3416"/>
  <c r="CT64" i="3416"/>
  <c r="CS64" i="3416"/>
  <c r="CR64" i="3416"/>
  <c r="CQ64" i="3416"/>
  <c r="CP64" i="3416"/>
  <c r="CO64" i="3416"/>
  <c r="CN64" i="3416"/>
  <c r="CM64" i="3416"/>
  <c r="CL64" i="3416"/>
  <c r="CK64" i="3416"/>
  <c r="CJ64" i="3416"/>
  <c r="CI64" i="3416"/>
  <c r="CH64" i="3416"/>
  <c r="CG64" i="3416"/>
  <c r="CF64" i="3416"/>
  <c r="CE64" i="3416"/>
  <c r="CD64" i="3416"/>
  <c r="CC64" i="3416"/>
  <c r="CB64" i="3416"/>
  <c r="CA64" i="3416"/>
  <c r="BZ64" i="3416"/>
  <c r="BY64" i="3416"/>
  <c r="BX64" i="3416"/>
  <c r="BW64" i="3416"/>
  <c r="BV64" i="3416"/>
  <c r="BU64" i="3416"/>
  <c r="BT64" i="3416"/>
  <c r="BS64" i="3416"/>
  <c r="BR64" i="3416"/>
  <c r="BQ64" i="3416"/>
  <c r="BP64" i="3416"/>
  <c r="BO64" i="3416"/>
  <c r="BN64" i="3416"/>
  <c r="BM64" i="3416"/>
  <c r="BL64" i="3416"/>
  <c r="BK64" i="3416"/>
  <c r="BJ64" i="3416"/>
  <c r="BI64" i="3416"/>
  <c r="BH64" i="3416"/>
  <c r="BG64" i="3416"/>
  <c r="BF64" i="3416"/>
  <c r="BE64" i="3416"/>
  <c r="BD64" i="3416"/>
  <c r="BC64" i="3416"/>
  <c r="BB64" i="3416"/>
  <c r="BA64" i="3416"/>
  <c r="AZ64" i="3416"/>
  <c r="AY64" i="3416"/>
  <c r="AX64" i="3416"/>
  <c r="AW64" i="3416"/>
  <c r="AV64" i="3416"/>
  <c r="AU64" i="3416"/>
  <c r="AT64" i="3416"/>
  <c r="AS64" i="3416"/>
  <c r="AR64" i="3416"/>
  <c r="AQ64" i="3416"/>
  <c r="AP64" i="3416"/>
  <c r="AO64" i="3416"/>
  <c r="AN64" i="3416"/>
  <c r="AM64" i="3416"/>
  <c r="AL64" i="3416"/>
  <c r="AK64" i="3416"/>
  <c r="AJ64" i="3416"/>
  <c r="AI64" i="3416"/>
  <c r="AH64" i="3416"/>
  <c r="AG64" i="3416"/>
  <c r="AF64" i="3416"/>
  <c r="AE64" i="3416"/>
  <c r="AD64" i="3416"/>
  <c r="AC64" i="3416"/>
  <c r="AB64" i="3416"/>
  <c r="AA64" i="3416"/>
  <c r="Z64" i="3416"/>
  <c r="Y64" i="3416"/>
  <c r="X64" i="3416"/>
  <c r="W64" i="3416"/>
  <c r="V64" i="3416"/>
  <c r="U64" i="3416"/>
  <c r="T64" i="3416"/>
  <c r="S64" i="3416"/>
  <c r="R64" i="3416"/>
  <c r="Q64" i="3416"/>
  <c r="P64" i="3416"/>
  <c r="O64" i="3416"/>
  <c r="N64" i="3416"/>
  <c r="M64" i="3416"/>
  <c r="L64" i="3416"/>
  <c r="K64" i="3416"/>
  <c r="J64" i="3416"/>
  <c r="I64" i="3416"/>
  <c r="H64" i="3416"/>
  <c r="G64" i="3416"/>
  <c r="F64" i="3416"/>
  <c r="E64" i="3416"/>
  <c r="D64" i="3416"/>
  <c r="C64" i="3416" a="1"/>
  <c r="C64" i="3416"/>
  <c r="A64" i="3416"/>
  <c r="EM63" i="3416"/>
  <c r="EL63" i="3416"/>
  <c r="EK63" i="3416"/>
  <c r="EJ63" i="3416"/>
  <c r="EI63" i="3416"/>
  <c r="EH63" i="3416"/>
  <c r="EG63" i="3416"/>
  <c r="EF63" i="3416"/>
  <c r="EE63" i="3416"/>
  <c r="ED63" i="3416"/>
  <c r="EC63" i="3416"/>
  <c r="EB63" i="3416"/>
  <c r="EA63" i="3416"/>
  <c r="DZ63" i="3416"/>
  <c r="DY63" i="3416"/>
  <c r="DX63" i="3416"/>
  <c r="DW63" i="3416"/>
  <c r="DV63" i="3416"/>
  <c r="DU63" i="3416"/>
  <c r="DT63" i="3416"/>
  <c r="DS63" i="3416"/>
  <c r="DR63" i="3416"/>
  <c r="DQ63" i="3416"/>
  <c r="DP63" i="3416"/>
  <c r="DO63" i="3416"/>
  <c r="DN63" i="3416"/>
  <c r="DM63" i="3416"/>
  <c r="DL63" i="3416"/>
  <c r="DK63" i="3416"/>
  <c r="DJ63" i="3416"/>
  <c r="DI63" i="3416"/>
  <c r="DH63" i="3416"/>
  <c r="DG63" i="3416"/>
  <c r="DF63" i="3416"/>
  <c r="DE63" i="3416"/>
  <c r="DD63" i="3416"/>
  <c r="DC63" i="3416"/>
  <c r="DB63" i="3416"/>
  <c r="DA63" i="3416"/>
  <c r="CZ63" i="3416"/>
  <c r="CY63" i="3416"/>
  <c r="CX63" i="3416"/>
  <c r="CW63" i="3416"/>
  <c r="CV63" i="3416"/>
  <c r="CU63" i="3416"/>
  <c r="CT63" i="3416"/>
  <c r="CS63" i="3416"/>
  <c r="CR63" i="3416"/>
  <c r="CQ63" i="3416"/>
  <c r="CP63" i="3416"/>
  <c r="CO63" i="3416"/>
  <c r="CN63" i="3416"/>
  <c r="CM63" i="3416"/>
  <c r="CL63" i="3416"/>
  <c r="CK63" i="3416"/>
  <c r="CJ63" i="3416"/>
  <c r="CI63" i="3416"/>
  <c r="CH63" i="3416"/>
  <c r="CG63" i="3416"/>
  <c r="CF63" i="3416"/>
  <c r="CE63" i="3416"/>
  <c r="CD63" i="3416"/>
  <c r="CC63" i="3416"/>
  <c r="CB63" i="3416"/>
  <c r="CA63" i="3416"/>
  <c r="BZ63" i="3416"/>
  <c r="BY63" i="3416"/>
  <c r="BX63" i="3416"/>
  <c r="BW63" i="3416"/>
  <c r="BV63" i="3416"/>
  <c r="BU63" i="3416"/>
  <c r="BT63" i="3416"/>
  <c r="BS63" i="3416"/>
  <c r="BR63" i="3416"/>
  <c r="BQ63" i="3416"/>
  <c r="BP63" i="3416"/>
  <c r="BO63" i="3416"/>
  <c r="BN63" i="3416"/>
  <c r="BM63" i="3416"/>
  <c r="BL63" i="3416"/>
  <c r="BK63" i="3416"/>
  <c r="BJ63" i="3416"/>
  <c r="BI63" i="3416"/>
  <c r="BH63" i="3416"/>
  <c r="BG63" i="3416"/>
  <c r="BF63" i="3416"/>
  <c r="BE63" i="3416"/>
  <c r="BD63" i="3416"/>
  <c r="BC63" i="3416"/>
  <c r="BB63" i="3416"/>
  <c r="BA63" i="3416"/>
  <c r="AZ63" i="3416"/>
  <c r="AY63" i="3416"/>
  <c r="AX63" i="3416"/>
  <c r="AW63" i="3416"/>
  <c r="AV63" i="3416"/>
  <c r="AU63" i="3416"/>
  <c r="AT63" i="3416"/>
  <c r="AS63" i="3416"/>
  <c r="AR63" i="3416"/>
  <c r="AQ63" i="3416"/>
  <c r="AP63" i="3416"/>
  <c r="AO63" i="3416"/>
  <c r="AN63" i="3416"/>
  <c r="AM63" i="3416"/>
  <c r="AL63" i="3416"/>
  <c r="AK63" i="3416"/>
  <c r="AJ63" i="3416"/>
  <c r="AI63" i="3416"/>
  <c r="AH63" i="3416"/>
  <c r="AG63" i="3416"/>
  <c r="AF63" i="3416"/>
  <c r="AE63" i="3416"/>
  <c r="AD63" i="3416"/>
  <c r="AC63" i="3416"/>
  <c r="AB63" i="3416"/>
  <c r="AA63" i="3416"/>
  <c r="Z63" i="3416"/>
  <c r="Y63" i="3416"/>
  <c r="X63" i="3416"/>
  <c r="W63" i="3416"/>
  <c r="V63" i="3416"/>
  <c r="U63" i="3416"/>
  <c r="T63" i="3416"/>
  <c r="S63" i="3416"/>
  <c r="R63" i="3416"/>
  <c r="Q63" i="3416"/>
  <c r="P63" i="3416"/>
  <c r="O63" i="3416"/>
  <c r="N63" i="3416"/>
  <c r="M63" i="3416"/>
  <c r="L63" i="3416"/>
  <c r="K63" i="3416"/>
  <c r="J63" i="3416"/>
  <c r="I63" i="3416"/>
  <c r="H63" i="3416"/>
  <c r="G63" i="3416"/>
  <c r="F63" i="3416"/>
  <c r="E63" i="3416"/>
  <c r="D63" i="3416"/>
  <c r="C63" i="3416" a="1"/>
  <c r="C63" i="3416"/>
  <c r="A63" i="3416"/>
  <c r="EM62" i="3416"/>
  <c r="EL62" i="3416"/>
  <c r="EK62" i="3416"/>
  <c r="EJ62" i="3416"/>
  <c r="EI62" i="3416"/>
  <c r="EH62" i="3416"/>
  <c r="EG62" i="3416"/>
  <c r="EF62" i="3416"/>
  <c r="EE62" i="3416"/>
  <c r="ED62" i="3416"/>
  <c r="EC62" i="3416"/>
  <c r="EB62" i="3416"/>
  <c r="EA62" i="3416"/>
  <c r="DZ62" i="3416"/>
  <c r="DY62" i="3416"/>
  <c r="DX62" i="3416"/>
  <c r="DW62" i="3416"/>
  <c r="DV62" i="3416"/>
  <c r="DU62" i="3416"/>
  <c r="DT62" i="3416"/>
  <c r="DS62" i="3416"/>
  <c r="DR62" i="3416"/>
  <c r="DQ62" i="3416"/>
  <c r="DP62" i="3416"/>
  <c r="DO62" i="3416"/>
  <c r="DN62" i="3416"/>
  <c r="DM62" i="3416"/>
  <c r="DL62" i="3416"/>
  <c r="DK62" i="3416"/>
  <c r="DJ62" i="3416"/>
  <c r="DI62" i="3416"/>
  <c r="DH62" i="3416"/>
  <c r="DG62" i="3416"/>
  <c r="DF62" i="3416"/>
  <c r="DE62" i="3416"/>
  <c r="DD62" i="3416"/>
  <c r="DC62" i="3416"/>
  <c r="DB62" i="3416"/>
  <c r="DA62" i="3416"/>
  <c r="CZ62" i="3416"/>
  <c r="CY62" i="3416"/>
  <c r="CX62" i="3416"/>
  <c r="CW62" i="3416"/>
  <c r="CV62" i="3416"/>
  <c r="CU62" i="3416"/>
  <c r="CT62" i="3416"/>
  <c r="CS62" i="3416"/>
  <c r="CR62" i="3416"/>
  <c r="CQ62" i="3416"/>
  <c r="CP62" i="3416"/>
  <c r="CO62" i="3416"/>
  <c r="CN62" i="3416"/>
  <c r="CM62" i="3416"/>
  <c r="CL62" i="3416"/>
  <c r="CK62" i="3416"/>
  <c r="CJ62" i="3416"/>
  <c r="CI62" i="3416"/>
  <c r="CH62" i="3416"/>
  <c r="CG62" i="3416"/>
  <c r="CF62" i="3416"/>
  <c r="CE62" i="3416"/>
  <c r="CD62" i="3416"/>
  <c r="CC62" i="3416"/>
  <c r="CB62" i="3416"/>
  <c r="CA62" i="3416"/>
  <c r="BZ62" i="3416"/>
  <c r="BY62" i="3416"/>
  <c r="BX62" i="3416"/>
  <c r="BW62" i="3416"/>
  <c r="BV62" i="3416"/>
  <c r="BU62" i="3416"/>
  <c r="BT62" i="3416"/>
  <c r="BS62" i="3416"/>
  <c r="BR62" i="3416"/>
  <c r="BQ62" i="3416"/>
  <c r="BP62" i="3416"/>
  <c r="BO62" i="3416"/>
  <c r="BN62" i="3416"/>
  <c r="BM62" i="3416"/>
  <c r="BL62" i="3416"/>
  <c r="BK62" i="3416"/>
  <c r="BJ62" i="3416"/>
  <c r="BI62" i="3416"/>
  <c r="BH62" i="3416"/>
  <c r="BG62" i="3416"/>
  <c r="BF62" i="3416"/>
  <c r="BE62" i="3416"/>
  <c r="BD62" i="3416"/>
  <c r="BC62" i="3416"/>
  <c r="BB62" i="3416"/>
  <c r="BA62" i="3416"/>
  <c r="AZ62" i="3416"/>
  <c r="AY62" i="3416"/>
  <c r="AX62" i="3416"/>
  <c r="AW62" i="3416"/>
  <c r="AV62" i="3416"/>
  <c r="AU62" i="3416"/>
  <c r="AT62" i="3416"/>
  <c r="AS62" i="3416"/>
  <c r="AR62" i="3416"/>
  <c r="AQ62" i="3416"/>
  <c r="AP62" i="3416"/>
  <c r="AO62" i="3416"/>
  <c r="AN62" i="3416"/>
  <c r="AM62" i="3416"/>
  <c r="AL62" i="3416"/>
  <c r="AK62" i="3416"/>
  <c r="AJ62" i="3416"/>
  <c r="AI62" i="3416"/>
  <c r="AH62" i="3416"/>
  <c r="AG62" i="3416"/>
  <c r="AF62" i="3416"/>
  <c r="AE62" i="3416"/>
  <c r="AD62" i="3416"/>
  <c r="AC62" i="3416"/>
  <c r="AB62" i="3416"/>
  <c r="AA62" i="3416"/>
  <c r="Z62" i="3416"/>
  <c r="Y62" i="3416"/>
  <c r="X62" i="3416"/>
  <c r="W62" i="3416"/>
  <c r="V62" i="3416"/>
  <c r="U62" i="3416"/>
  <c r="T62" i="3416"/>
  <c r="S62" i="3416"/>
  <c r="R62" i="3416"/>
  <c r="Q62" i="3416"/>
  <c r="P62" i="3416"/>
  <c r="O62" i="3416"/>
  <c r="N62" i="3416"/>
  <c r="M62" i="3416"/>
  <c r="L62" i="3416"/>
  <c r="K62" i="3416"/>
  <c r="J62" i="3416"/>
  <c r="I62" i="3416"/>
  <c r="H62" i="3416"/>
  <c r="G62" i="3416"/>
  <c r="F62" i="3416"/>
  <c r="E62" i="3416"/>
  <c r="D62" i="3416"/>
  <c r="C62" i="3416" a="1"/>
  <c r="C62" i="3416"/>
  <c r="A62" i="3416"/>
  <c r="EM61" i="3416"/>
  <c r="EL61" i="3416"/>
  <c r="EK61" i="3416"/>
  <c r="EJ61" i="3416"/>
  <c r="EI61" i="3416"/>
  <c r="EH61" i="3416"/>
  <c r="EG61" i="3416"/>
  <c r="EF61" i="3416"/>
  <c r="EE61" i="3416"/>
  <c r="ED61" i="3416"/>
  <c r="EC61" i="3416"/>
  <c r="EB61" i="3416"/>
  <c r="EA61" i="3416"/>
  <c r="DZ61" i="3416"/>
  <c r="DY61" i="3416"/>
  <c r="DX61" i="3416"/>
  <c r="DW61" i="3416"/>
  <c r="DV61" i="3416"/>
  <c r="DU61" i="3416"/>
  <c r="DT61" i="3416"/>
  <c r="DS61" i="3416"/>
  <c r="DR61" i="3416"/>
  <c r="DQ61" i="3416"/>
  <c r="DP61" i="3416"/>
  <c r="DO61" i="3416"/>
  <c r="DN61" i="3416"/>
  <c r="DM61" i="3416"/>
  <c r="DL61" i="3416"/>
  <c r="DK61" i="3416"/>
  <c r="DJ61" i="3416"/>
  <c r="DI61" i="3416"/>
  <c r="DH61" i="3416"/>
  <c r="DG61" i="3416"/>
  <c r="DF61" i="3416"/>
  <c r="DE61" i="3416"/>
  <c r="DD61" i="3416"/>
  <c r="DC61" i="3416"/>
  <c r="DB61" i="3416"/>
  <c r="DA61" i="3416"/>
  <c r="CZ61" i="3416"/>
  <c r="CY61" i="3416"/>
  <c r="CX61" i="3416"/>
  <c r="CW61" i="3416"/>
  <c r="CV61" i="3416"/>
  <c r="CU61" i="3416"/>
  <c r="CT61" i="3416"/>
  <c r="CS61" i="3416"/>
  <c r="CR61" i="3416"/>
  <c r="CQ61" i="3416"/>
  <c r="CP61" i="3416"/>
  <c r="CO61" i="3416"/>
  <c r="CN61" i="3416"/>
  <c r="CM61" i="3416"/>
  <c r="CL61" i="3416"/>
  <c r="CK61" i="3416"/>
  <c r="CJ61" i="3416"/>
  <c r="CI61" i="3416"/>
  <c r="CH61" i="3416"/>
  <c r="CG61" i="3416"/>
  <c r="CF61" i="3416"/>
  <c r="CE61" i="3416"/>
  <c r="CD61" i="3416"/>
  <c r="CC61" i="3416"/>
  <c r="CB61" i="3416"/>
  <c r="CA61" i="3416"/>
  <c r="BZ61" i="3416"/>
  <c r="BY61" i="3416"/>
  <c r="BX61" i="3416"/>
  <c r="BW61" i="3416"/>
  <c r="BV61" i="3416"/>
  <c r="BU61" i="3416"/>
  <c r="BT61" i="3416"/>
  <c r="BS61" i="3416"/>
  <c r="BR61" i="3416"/>
  <c r="BQ61" i="3416"/>
  <c r="BP61" i="3416"/>
  <c r="BO61" i="3416"/>
  <c r="BN61" i="3416"/>
  <c r="BM61" i="3416"/>
  <c r="BL61" i="3416"/>
  <c r="BK61" i="3416"/>
  <c r="BJ61" i="3416"/>
  <c r="BI61" i="3416"/>
  <c r="BH61" i="3416"/>
  <c r="BG61" i="3416"/>
  <c r="BF61" i="3416"/>
  <c r="BE61" i="3416"/>
  <c r="BD61" i="3416"/>
  <c r="BC61" i="3416"/>
  <c r="BB61" i="3416"/>
  <c r="BA61" i="3416"/>
  <c r="AZ61" i="3416"/>
  <c r="AY61" i="3416"/>
  <c r="AX61" i="3416"/>
  <c r="AW61" i="3416"/>
  <c r="AV61" i="3416"/>
  <c r="AU61" i="3416"/>
  <c r="AT61" i="3416"/>
  <c r="AS61" i="3416"/>
  <c r="AR61" i="3416"/>
  <c r="AQ61" i="3416"/>
  <c r="AP61" i="3416"/>
  <c r="AO61" i="3416"/>
  <c r="AN61" i="3416"/>
  <c r="AM61" i="3416"/>
  <c r="AL61" i="3416"/>
  <c r="AK61" i="3416"/>
  <c r="AJ61" i="3416"/>
  <c r="AI61" i="3416"/>
  <c r="AH61" i="3416"/>
  <c r="AG61" i="3416"/>
  <c r="AF61" i="3416"/>
  <c r="AE61" i="3416"/>
  <c r="AD61" i="3416"/>
  <c r="AC61" i="3416"/>
  <c r="AB61" i="3416"/>
  <c r="AA61" i="3416"/>
  <c r="Z61" i="3416"/>
  <c r="Y61" i="3416"/>
  <c r="X61" i="3416"/>
  <c r="W61" i="3416"/>
  <c r="V61" i="3416"/>
  <c r="U61" i="3416"/>
  <c r="T61" i="3416"/>
  <c r="S61" i="3416"/>
  <c r="R61" i="3416"/>
  <c r="Q61" i="3416"/>
  <c r="P61" i="3416"/>
  <c r="O61" i="3416"/>
  <c r="N61" i="3416"/>
  <c r="M61" i="3416"/>
  <c r="L61" i="3416"/>
  <c r="K61" i="3416"/>
  <c r="J61" i="3416"/>
  <c r="I61" i="3416"/>
  <c r="H61" i="3416"/>
  <c r="G61" i="3416"/>
  <c r="F61" i="3416"/>
  <c r="E61" i="3416"/>
  <c r="D61" i="3416"/>
  <c r="C61" i="3416" a="1"/>
  <c r="C61" i="3416"/>
  <c r="A61" i="3416"/>
  <c r="EM60" i="3416"/>
  <c r="EL60" i="3416"/>
  <c r="EK60" i="3416"/>
  <c r="EJ60" i="3416"/>
  <c r="EI60" i="3416"/>
  <c r="EH60" i="3416"/>
  <c r="EG60" i="3416"/>
  <c r="EF60" i="3416"/>
  <c r="EE60" i="3416"/>
  <c r="ED60" i="3416"/>
  <c r="EC60" i="3416"/>
  <c r="EB60" i="3416"/>
  <c r="EA60" i="3416"/>
  <c r="DZ60" i="3416"/>
  <c r="DY60" i="3416"/>
  <c r="DX60" i="3416"/>
  <c r="DW60" i="3416"/>
  <c r="DV60" i="3416"/>
  <c r="DU60" i="3416"/>
  <c r="DT60" i="3416"/>
  <c r="DS60" i="3416"/>
  <c r="DR60" i="3416"/>
  <c r="DQ60" i="3416"/>
  <c r="DP60" i="3416"/>
  <c r="DO60" i="3416"/>
  <c r="DN60" i="3416"/>
  <c r="DM60" i="3416"/>
  <c r="DL60" i="3416"/>
  <c r="DK60" i="3416"/>
  <c r="DJ60" i="3416"/>
  <c r="DI60" i="3416"/>
  <c r="DH60" i="3416"/>
  <c r="DG60" i="3416"/>
  <c r="DF60" i="3416"/>
  <c r="DE60" i="3416"/>
  <c r="DD60" i="3416"/>
  <c r="DC60" i="3416"/>
  <c r="DB60" i="3416"/>
  <c r="DA60" i="3416"/>
  <c r="CZ60" i="3416"/>
  <c r="CY60" i="3416"/>
  <c r="CX60" i="3416"/>
  <c r="CW60" i="3416"/>
  <c r="CV60" i="3416"/>
  <c r="CU60" i="3416"/>
  <c r="CT60" i="3416"/>
  <c r="CS60" i="3416"/>
  <c r="CR60" i="3416"/>
  <c r="CQ60" i="3416"/>
  <c r="CP60" i="3416"/>
  <c r="CO60" i="3416"/>
  <c r="CN60" i="3416"/>
  <c r="CM60" i="3416"/>
  <c r="CL60" i="3416"/>
  <c r="CK60" i="3416"/>
  <c r="CJ60" i="3416"/>
  <c r="CI60" i="3416"/>
  <c r="CH60" i="3416"/>
  <c r="CG60" i="3416"/>
  <c r="CF60" i="3416"/>
  <c r="CE60" i="3416"/>
  <c r="CD60" i="3416"/>
  <c r="CC60" i="3416"/>
  <c r="CB60" i="3416"/>
  <c r="CA60" i="3416"/>
  <c r="BZ60" i="3416"/>
  <c r="BY60" i="3416"/>
  <c r="BX60" i="3416"/>
  <c r="BW60" i="3416"/>
  <c r="BV60" i="3416"/>
  <c r="BU60" i="3416"/>
  <c r="BT60" i="3416"/>
  <c r="BS60" i="3416"/>
  <c r="BR60" i="3416"/>
  <c r="BQ60" i="3416"/>
  <c r="BP60" i="3416"/>
  <c r="BO60" i="3416"/>
  <c r="BN60" i="3416"/>
  <c r="BM60" i="3416"/>
  <c r="BL60" i="3416"/>
  <c r="BK60" i="3416"/>
  <c r="BJ60" i="3416"/>
  <c r="BI60" i="3416"/>
  <c r="BH60" i="3416"/>
  <c r="BG60" i="3416"/>
  <c r="BF60" i="3416"/>
  <c r="BE60" i="3416"/>
  <c r="BD60" i="3416"/>
  <c r="BC60" i="3416"/>
  <c r="BB60" i="3416"/>
  <c r="BA60" i="3416"/>
  <c r="AZ60" i="3416"/>
  <c r="AY60" i="3416"/>
  <c r="AX60" i="3416"/>
  <c r="AW60" i="3416"/>
  <c r="AV60" i="3416"/>
  <c r="AU60" i="3416"/>
  <c r="AT60" i="3416"/>
  <c r="AS60" i="3416"/>
  <c r="AR60" i="3416"/>
  <c r="AQ60" i="3416"/>
  <c r="AP60" i="3416"/>
  <c r="AO60" i="3416"/>
  <c r="AN60" i="3416"/>
  <c r="AM60" i="3416"/>
  <c r="AL60" i="3416"/>
  <c r="AK60" i="3416"/>
  <c r="AJ60" i="3416"/>
  <c r="AI60" i="3416"/>
  <c r="AH60" i="3416"/>
  <c r="AG60" i="3416"/>
  <c r="AF60" i="3416"/>
  <c r="AE60" i="3416"/>
  <c r="AD60" i="3416"/>
  <c r="AC60" i="3416"/>
  <c r="AB60" i="3416"/>
  <c r="AA60" i="3416"/>
  <c r="Z60" i="3416"/>
  <c r="Y60" i="3416"/>
  <c r="X60" i="3416"/>
  <c r="W60" i="3416"/>
  <c r="V60" i="3416"/>
  <c r="U60" i="3416"/>
  <c r="T60" i="3416"/>
  <c r="S60" i="3416"/>
  <c r="R60" i="3416"/>
  <c r="Q60" i="3416"/>
  <c r="P60" i="3416"/>
  <c r="O60" i="3416"/>
  <c r="N60" i="3416"/>
  <c r="M60" i="3416"/>
  <c r="L60" i="3416"/>
  <c r="K60" i="3416"/>
  <c r="J60" i="3416"/>
  <c r="I60" i="3416"/>
  <c r="H60" i="3416"/>
  <c r="G60" i="3416"/>
  <c r="F60" i="3416"/>
  <c r="E60" i="3416"/>
  <c r="D60" i="3416"/>
  <c r="C60" i="3416" a="1"/>
  <c r="C60" i="3416"/>
  <c r="A60" i="3416"/>
  <c r="EM59" i="3416"/>
  <c r="EL59" i="3416"/>
  <c r="EK59" i="3416"/>
  <c r="EJ59" i="3416"/>
  <c r="EI59" i="3416"/>
  <c r="EH59" i="3416"/>
  <c r="EG59" i="3416"/>
  <c r="EF59" i="3416"/>
  <c r="EE59" i="3416"/>
  <c r="ED59" i="3416"/>
  <c r="EC59" i="3416"/>
  <c r="EB59" i="3416"/>
  <c r="EA59" i="3416"/>
  <c r="DZ59" i="3416"/>
  <c r="DY59" i="3416"/>
  <c r="DX59" i="3416"/>
  <c r="DW59" i="3416"/>
  <c r="DV59" i="3416"/>
  <c r="DU59" i="3416"/>
  <c r="DT59" i="3416"/>
  <c r="DS59" i="3416"/>
  <c r="DR59" i="3416"/>
  <c r="DQ59" i="3416"/>
  <c r="DP59" i="3416"/>
  <c r="DO59" i="3416"/>
  <c r="DN59" i="3416"/>
  <c r="DM59" i="3416"/>
  <c r="DL59" i="3416"/>
  <c r="DK59" i="3416"/>
  <c r="DJ59" i="3416"/>
  <c r="DI59" i="3416"/>
  <c r="DH59" i="3416"/>
  <c r="DG59" i="3416"/>
  <c r="DF59" i="3416"/>
  <c r="DE59" i="3416"/>
  <c r="DD59" i="3416"/>
  <c r="DC59" i="3416"/>
  <c r="DB59" i="3416"/>
  <c r="DA59" i="3416"/>
  <c r="CZ59" i="3416"/>
  <c r="CY59" i="3416"/>
  <c r="CX59" i="3416"/>
  <c r="CW59" i="3416"/>
  <c r="CV59" i="3416"/>
  <c r="CU59" i="3416"/>
  <c r="CT59" i="3416"/>
  <c r="CS59" i="3416"/>
  <c r="CR59" i="3416"/>
  <c r="CQ59" i="3416"/>
  <c r="CP59" i="3416"/>
  <c r="CO59" i="3416"/>
  <c r="CN59" i="3416"/>
  <c r="CM59" i="3416"/>
  <c r="CL59" i="3416"/>
  <c r="CK59" i="3416"/>
  <c r="CJ59" i="3416"/>
  <c r="CI59" i="3416"/>
  <c r="CH59" i="3416"/>
  <c r="CG59" i="3416"/>
  <c r="CF59" i="3416"/>
  <c r="CE59" i="3416"/>
  <c r="CD59" i="3416"/>
  <c r="CC59" i="3416"/>
  <c r="CB59" i="3416"/>
  <c r="CA59" i="3416"/>
  <c r="BZ59" i="3416"/>
  <c r="BY59" i="3416"/>
  <c r="BX59" i="3416"/>
  <c r="BW59" i="3416"/>
  <c r="BV59" i="3416"/>
  <c r="BU59" i="3416"/>
  <c r="BT59" i="3416"/>
  <c r="BS59" i="3416"/>
  <c r="BR59" i="3416"/>
  <c r="BQ59" i="3416"/>
  <c r="BP59" i="3416"/>
  <c r="BO59" i="3416"/>
  <c r="BN59" i="3416"/>
  <c r="BM59" i="3416"/>
  <c r="BL59" i="3416"/>
  <c r="BK59" i="3416"/>
  <c r="BJ59" i="3416"/>
  <c r="BI59" i="3416"/>
  <c r="BH59" i="3416"/>
  <c r="BG59" i="3416"/>
  <c r="BF59" i="3416"/>
  <c r="BE59" i="3416"/>
  <c r="BD59" i="3416"/>
  <c r="BC59" i="3416"/>
  <c r="BB59" i="3416"/>
  <c r="BA59" i="3416"/>
  <c r="AZ59" i="3416"/>
  <c r="AY59" i="3416"/>
  <c r="AX59" i="3416"/>
  <c r="AW59" i="3416"/>
  <c r="AV59" i="3416"/>
  <c r="AU59" i="3416"/>
  <c r="AT59" i="3416"/>
  <c r="AS59" i="3416"/>
  <c r="AR59" i="3416"/>
  <c r="AQ59" i="3416"/>
  <c r="AP59" i="3416"/>
  <c r="AO59" i="3416"/>
  <c r="AN59" i="3416"/>
  <c r="AM59" i="3416"/>
  <c r="AL59" i="3416"/>
  <c r="AK59" i="3416"/>
  <c r="AJ59" i="3416"/>
  <c r="AI59" i="3416"/>
  <c r="AH59" i="3416"/>
  <c r="AG59" i="3416"/>
  <c r="AF59" i="3416"/>
  <c r="AE59" i="3416"/>
  <c r="AD59" i="3416"/>
  <c r="AC59" i="3416"/>
  <c r="AB59" i="3416"/>
  <c r="AA59" i="3416"/>
  <c r="Z59" i="3416"/>
  <c r="Y59" i="3416"/>
  <c r="X59" i="3416"/>
  <c r="W59" i="3416"/>
  <c r="V59" i="3416"/>
  <c r="U59" i="3416"/>
  <c r="T59" i="3416"/>
  <c r="S59" i="3416"/>
  <c r="R59" i="3416"/>
  <c r="Q59" i="3416"/>
  <c r="P59" i="3416"/>
  <c r="O59" i="3416"/>
  <c r="N59" i="3416"/>
  <c r="M59" i="3416"/>
  <c r="L59" i="3416"/>
  <c r="K59" i="3416"/>
  <c r="J59" i="3416"/>
  <c r="I59" i="3416"/>
  <c r="H59" i="3416"/>
  <c r="G59" i="3416"/>
  <c r="F59" i="3416"/>
  <c r="E59" i="3416"/>
  <c r="D59" i="3416"/>
  <c r="C59" i="3416" a="1"/>
  <c r="C59" i="3416"/>
  <c r="A59" i="3416"/>
  <c r="EM58" i="3416"/>
  <c r="EL58" i="3416"/>
  <c r="EK58" i="3416"/>
  <c r="EJ58" i="3416"/>
  <c r="EI58" i="3416"/>
  <c r="EH58" i="3416"/>
  <c r="EG58" i="3416"/>
  <c r="EF58" i="3416"/>
  <c r="EE58" i="3416"/>
  <c r="ED58" i="3416"/>
  <c r="EC58" i="3416"/>
  <c r="EB58" i="3416"/>
  <c r="EA58" i="3416"/>
  <c r="DZ58" i="3416"/>
  <c r="DY58" i="3416"/>
  <c r="DX58" i="3416"/>
  <c r="DW58" i="3416"/>
  <c r="DV58" i="3416"/>
  <c r="DU58" i="3416"/>
  <c r="DT58" i="3416"/>
  <c r="DS58" i="3416"/>
  <c r="DR58" i="3416"/>
  <c r="DQ58" i="3416"/>
  <c r="DP58" i="3416"/>
  <c r="DO58" i="3416"/>
  <c r="DN58" i="3416"/>
  <c r="DM58" i="3416"/>
  <c r="DL58" i="3416"/>
  <c r="DK58" i="3416"/>
  <c r="DJ58" i="3416"/>
  <c r="DI58" i="3416"/>
  <c r="DH58" i="3416"/>
  <c r="DG58" i="3416"/>
  <c r="DF58" i="3416"/>
  <c r="DE58" i="3416"/>
  <c r="DD58" i="3416"/>
  <c r="DC58" i="3416"/>
  <c r="DB58" i="3416"/>
  <c r="DA58" i="3416"/>
  <c r="CZ58" i="3416"/>
  <c r="CY58" i="3416"/>
  <c r="CX58" i="3416"/>
  <c r="CW58" i="3416"/>
  <c r="CV58" i="3416"/>
  <c r="CU58" i="3416"/>
  <c r="CT58" i="3416"/>
  <c r="CS58" i="3416"/>
  <c r="CR58" i="3416"/>
  <c r="CQ58" i="3416"/>
  <c r="CP58" i="3416"/>
  <c r="CO58" i="3416"/>
  <c r="CN58" i="3416"/>
  <c r="CM58" i="3416"/>
  <c r="CL58" i="3416"/>
  <c r="CK58" i="3416"/>
  <c r="CJ58" i="3416"/>
  <c r="CI58" i="3416"/>
  <c r="CH58" i="3416"/>
  <c r="CG58" i="3416"/>
  <c r="CF58" i="3416"/>
  <c r="CE58" i="3416"/>
  <c r="CD58" i="3416"/>
  <c r="CC58" i="3416"/>
  <c r="CB58" i="3416"/>
  <c r="CA58" i="3416"/>
  <c r="BZ58" i="3416"/>
  <c r="BY58" i="3416"/>
  <c r="BX58" i="3416"/>
  <c r="BW58" i="3416"/>
  <c r="BV58" i="3416"/>
  <c r="BU58" i="3416"/>
  <c r="BT58" i="3416"/>
  <c r="BS58" i="3416"/>
  <c r="BR58" i="3416"/>
  <c r="BQ58" i="3416"/>
  <c r="BP58" i="3416"/>
  <c r="BO58" i="3416"/>
  <c r="BN58" i="3416"/>
  <c r="BM58" i="3416"/>
  <c r="BL58" i="3416"/>
  <c r="BK58" i="3416"/>
  <c r="BJ58" i="3416"/>
  <c r="BI58" i="3416"/>
  <c r="BH58" i="3416"/>
  <c r="BG58" i="3416"/>
  <c r="BF58" i="3416"/>
  <c r="BE58" i="3416"/>
  <c r="BD58" i="3416"/>
  <c r="BC58" i="3416"/>
  <c r="BB58" i="3416"/>
  <c r="BA58" i="3416"/>
  <c r="AZ58" i="3416"/>
  <c r="AY58" i="3416"/>
  <c r="AX58" i="3416"/>
  <c r="AW58" i="3416"/>
  <c r="AV58" i="3416"/>
  <c r="AU58" i="3416"/>
  <c r="AT58" i="3416"/>
  <c r="AS58" i="3416"/>
  <c r="AR58" i="3416"/>
  <c r="AQ58" i="3416"/>
  <c r="AP58" i="3416"/>
  <c r="AO58" i="3416"/>
  <c r="AN58" i="3416"/>
  <c r="AM58" i="3416"/>
  <c r="AL58" i="3416"/>
  <c r="AK58" i="3416"/>
  <c r="AJ58" i="3416"/>
  <c r="AI58" i="3416"/>
  <c r="AH58" i="3416"/>
  <c r="AG58" i="3416"/>
  <c r="AF58" i="3416"/>
  <c r="AE58" i="3416"/>
  <c r="AD58" i="3416"/>
  <c r="AC58" i="3416"/>
  <c r="AB58" i="3416"/>
  <c r="AA58" i="3416"/>
  <c r="Z58" i="3416"/>
  <c r="Y58" i="3416"/>
  <c r="X58" i="3416"/>
  <c r="W58" i="3416"/>
  <c r="V58" i="3416"/>
  <c r="U58" i="3416"/>
  <c r="T58" i="3416"/>
  <c r="S58" i="3416"/>
  <c r="R58" i="3416"/>
  <c r="Q58" i="3416"/>
  <c r="P58" i="3416"/>
  <c r="O58" i="3416"/>
  <c r="N58" i="3416"/>
  <c r="M58" i="3416"/>
  <c r="L58" i="3416"/>
  <c r="K58" i="3416"/>
  <c r="J58" i="3416"/>
  <c r="I58" i="3416"/>
  <c r="H58" i="3416"/>
  <c r="G58" i="3416"/>
  <c r="F58" i="3416"/>
  <c r="E58" i="3416"/>
  <c r="D58" i="3416"/>
  <c r="C58" i="3416" a="1"/>
  <c r="C58" i="3416"/>
  <c r="A58" i="3416"/>
  <c r="EM57" i="3416"/>
  <c r="EL57" i="3416"/>
  <c r="EK57" i="3416"/>
  <c r="EJ57" i="3416"/>
  <c r="EI57" i="3416"/>
  <c r="EH57" i="3416"/>
  <c r="EG57" i="3416"/>
  <c r="EF57" i="3416"/>
  <c r="EE57" i="3416"/>
  <c r="ED57" i="3416"/>
  <c r="EC57" i="3416"/>
  <c r="EB57" i="3416"/>
  <c r="EA57" i="3416"/>
  <c r="DZ57" i="3416"/>
  <c r="DY57" i="3416"/>
  <c r="DX57" i="3416"/>
  <c r="DW57" i="3416"/>
  <c r="DV57" i="3416"/>
  <c r="DU57" i="3416"/>
  <c r="DT57" i="3416"/>
  <c r="DS57" i="3416"/>
  <c r="DR57" i="3416"/>
  <c r="DQ57" i="3416"/>
  <c r="DP57" i="3416"/>
  <c r="DO57" i="3416"/>
  <c r="DN57" i="3416"/>
  <c r="DM57" i="3416"/>
  <c r="DL57" i="3416"/>
  <c r="DK57" i="3416"/>
  <c r="DJ57" i="3416"/>
  <c r="DI57" i="3416"/>
  <c r="DH57" i="3416"/>
  <c r="DG57" i="3416"/>
  <c r="DF57" i="3416"/>
  <c r="DE57" i="3416"/>
  <c r="DD57" i="3416"/>
  <c r="DC57" i="3416"/>
  <c r="DB57" i="3416"/>
  <c r="DA57" i="3416"/>
  <c r="CZ57" i="3416"/>
  <c r="CY57" i="3416"/>
  <c r="CX57" i="3416"/>
  <c r="CW57" i="3416"/>
  <c r="CV57" i="3416"/>
  <c r="CU57" i="3416"/>
  <c r="CT57" i="3416"/>
  <c r="CS57" i="3416"/>
  <c r="CR57" i="3416"/>
  <c r="CQ57" i="3416"/>
  <c r="CP57" i="3416"/>
  <c r="CO57" i="3416"/>
  <c r="CN57" i="3416"/>
  <c r="CM57" i="3416"/>
  <c r="CL57" i="3416"/>
  <c r="CK57" i="3416"/>
  <c r="CJ57" i="3416"/>
  <c r="CI57" i="3416"/>
  <c r="CH57" i="3416"/>
  <c r="CG57" i="3416"/>
  <c r="CF57" i="3416"/>
  <c r="CE57" i="3416"/>
  <c r="CD57" i="3416"/>
  <c r="CC57" i="3416"/>
  <c r="CB57" i="3416"/>
  <c r="CA57" i="3416"/>
  <c r="BZ57" i="3416"/>
  <c r="BY57" i="3416"/>
  <c r="BX57" i="3416"/>
  <c r="BW57" i="3416"/>
  <c r="BV57" i="3416"/>
  <c r="BU57" i="3416"/>
  <c r="BT57" i="3416"/>
  <c r="BS57" i="3416"/>
  <c r="BR57" i="3416"/>
  <c r="BQ57" i="3416"/>
  <c r="BP57" i="3416"/>
  <c r="BO57" i="3416"/>
  <c r="BN57" i="3416"/>
  <c r="BM57" i="3416"/>
  <c r="BL57" i="3416"/>
  <c r="BK57" i="3416"/>
  <c r="BJ57" i="3416"/>
  <c r="BI57" i="3416"/>
  <c r="BH57" i="3416"/>
  <c r="BG57" i="3416"/>
  <c r="BF57" i="3416"/>
  <c r="BE57" i="3416"/>
  <c r="BD57" i="3416"/>
  <c r="BC57" i="3416"/>
  <c r="BB57" i="3416"/>
  <c r="BA57" i="3416"/>
  <c r="AZ57" i="3416"/>
  <c r="AY57" i="3416"/>
  <c r="AX57" i="3416"/>
  <c r="AW57" i="3416"/>
  <c r="AV57" i="3416"/>
  <c r="AU57" i="3416"/>
  <c r="AT57" i="3416"/>
  <c r="AS57" i="3416"/>
  <c r="AR57" i="3416"/>
  <c r="AQ57" i="3416"/>
  <c r="AP57" i="3416"/>
  <c r="AO57" i="3416"/>
  <c r="AN57" i="3416"/>
  <c r="AM57" i="3416"/>
  <c r="AL57" i="3416"/>
  <c r="AK57" i="3416"/>
  <c r="AJ57" i="3416"/>
  <c r="AI57" i="3416"/>
  <c r="AH57" i="3416"/>
  <c r="AG57" i="3416"/>
  <c r="AF57" i="3416"/>
  <c r="AE57" i="3416"/>
  <c r="AD57" i="3416"/>
  <c r="AC57" i="3416"/>
  <c r="AB57" i="3416"/>
  <c r="AA57" i="3416"/>
  <c r="Z57" i="3416"/>
  <c r="Y57" i="3416"/>
  <c r="X57" i="3416"/>
  <c r="W57" i="3416"/>
  <c r="V57" i="3416"/>
  <c r="U57" i="3416"/>
  <c r="T57" i="3416"/>
  <c r="S57" i="3416"/>
  <c r="R57" i="3416"/>
  <c r="Q57" i="3416"/>
  <c r="P57" i="3416"/>
  <c r="O57" i="3416"/>
  <c r="N57" i="3416"/>
  <c r="M57" i="3416"/>
  <c r="L57" i="3416"/>
  <c r="K57" i="3416"/>
  <c r="J57" i="3416"/>
  <c r="I57" i="3416"/>
  <c r="H57" i="3416"/>
  <c r="G57" i="3416"/>
  <c r="F57" i="3416"/>
  <c r="E57" i="3416"/>
  <c r="D57" i="3416"/>
  <c r="C57" i="3416" a="1"/>
  <c r="C57" i="3416"/>
  <c r="A57" i="3416"/>
  <c r="EM56" i="3416"/>
  <c r="EL56" i="3416"/>
  <c r="EK56" i="3416"/>
  <c r="EJ56" i="3416"/>
  <c r="EI56" i="3416"/>
  <c r="EH56" i="3416"/>
  <c r="EG56" i="3416"/>
  <c r="EF56" i="3416"/>
  <c r="EE56" i="3416"/>
  <c r="ED56" i="3416"/>
  <c r="EC56" i="3416"/>
  <c r="EB56" i="3416"/>
  <c r="EA56" i="3416"/>
  <c r="DZ56" i="3416"/>
  <c r="DY56" i="3416"/>
  <c r="DX56" i="3416"/>
  <c r="DW56" i="3416"/>
  <c r="DV56" i="3416"/>
  <c r="DU56" i="3416"/>
  <c r="DT56" i="3416"/>
  <c r="DS56" i="3416"/>
  <c r="DR56" i="3416"/>
  <c r="DQ56" i="3416"/>
  <c r="DP56" i="3416"/>
  <c r="DO56" i="3416"/>
  <c r="DN56" i="3416"/>
  <c r="DM56" i="3416"/>
  <c r="DL56" i="3416"/>
  <c r="DK56" i="3416"/>
  <c r="DJ56" i="3416"/>
  <c r="DI56" i="3416"/>
  <c r="DH56" i="3416"/>
  <c r="DG56" i="3416"/>
  <c r="DF56" i="3416"/>
  <c r="DE56" i="3416"/>
  <c r="DD56" i="3416"/>
  <c r="DC56" i="3416"/>
  <c r="DB56" i="3416"/>
  <c r="DA56" i="3416"/>
  <c r="CZ56" i="3416"/>
  <c r="CY56" i="3416"/>
  <c r="CX56" i="3416"/>
  <c r="CW56" i="3416"/>
  <c r="CV56" i="3416"/>
  <c r="CU56" i="3416"/>
  <c r="CT56" i="3416"/>
  <c r="CS56" i="3416"/>
  <c r="CR56" i="3416"/>
  <c r="CQ56" i="3416"/>
  <c r="CP56" i="3416"/>
  <c r="CO56" i="3416"/>
  <c r="CN56" i="3416"/>
  <c r="CM56" i="3416"/>
  <c r="CL56" i="3416"/>
  <c r="CK56" i="3416"/>
  <c r="CJ56" i="3416"/>
  <c r="CI56" i="3416"/>
  <c r="CH56" i="3416"/>
  <c r="CG56" i="3416"/>
  <c r="CF56" i="3416"/>
  <c r="CE56" i="3416"/>
  <c r="CD56" i="3416"/>
  <c r="CC56" i="3416"/>
  <c r="CB56" i="3416"/>
  <c r="CA56" i="3416"/>
  <c r="BZ56" i="3416"/>
  <c r="BY56" i="3416"/>
  <c r="BX56" i="3416"/>
  <c r="BW56" i="3416"/>
  <c r="BV56" i="3416"/>
  <c r="BU56" i="3416"/>
  <c r="BT56" i="3416"/>
  <c r="BS56" i="3416"/>
  <c r="BR56" i="3416"/>
  <c r="BQ56" i="3416"/>
  <c r="BP56" i="3416"/>
  <c r="BO56" i="3416"/>
  <c r="BN56" i="3416"/>
  <c r="BM56" i="3416"/>
  <c r="BL56" i="3416"/>
  <c r="BK56" i="3416"/>
  <c r="BJ56" i="3416"/>
  <c r="BI56" i="3416"/>
  <c r="BH56" i="3416"/>
  <c r="BG56" i="3416"/>
  <c r="BF56" i="3416"/>
  <c r="BE56" i="3416"/>
  <c r="BD56" i="3416"/>
  <c r="BC56" i="3416"/>
  <c r="BB56" i="3416"/>
  <c r="BA56" i="3416"/>
  <c r="AZ56" i="3416"/>
  <c r="AY56" i="3416"/>
  <c r="AX56" i="3416"/>
  <c r="AW56" i="3416"/>
  <c r="AV56" i="3416"/>
  <c r="AU56" i="3416"/>
  <c r="AT56" i="3416"/>
  <c r="AS56" i="3416"/>
  <c r="AR56" i="3416"/>
  <c r="AQ56" i="3416"/>
  <c r="AP56" i="3416"/>
  <c r="AO56" i="3416"/>
  <c r="AN56" i="3416"/>
  <c r="AM56" i="3416"/>
  <c r="AL56" i="3416"/>
  <c r="AK56" i="3416"/>
  <c r="AJ56" i="3416"/>
  <c r="AI56" i="3416"/>
  <c r="AH56" i="3416"/>
  <c r="AG56" i="3416"/>
  <c r="AF56" i="3416"/>
  <c r="AE56" i="3416"/>
  <c r="AD56" i="3416"/>
  <c r="AC56" i="3416"/>
  <c r="AB56" i="3416"/>
  <c r="AA56" i="3416"/>
  <c r="Z56" i="3416"/>
  <c r="Y56" i="3416"/>
  <c r="X56" i="3416"/>
  <c r="W56" i="3416"/>
  <c r="V56" i="3416"/>
  <c r="U56" i="3416"/>
  <c r="T56" i="3416"/>
  <c r="S56" i="3416"/>
  <c r="R56" i="3416"/>
  <c r="Q56" i="3416"/>
  <c r="P56" i="3416"/>
  <c r="O56" i="3416"/>
  <c r="N56" i="3416"/>
  <c r="M56" i="3416"/>
  <c r="L56" i="3416"/>
  <c r="K56" i="3416"/>
  <c r="J56" i="3416"/>
  <c r="I56" i="3416"/>
  <c r="H56" i="3416"/>
  <c r="G56" i="3416"/>
  <c r="F56" i="3416"/>
  <c r="E56" i="3416"/>
  <c r="D56" i="3416"/>
  <c r="C56" i="3416" a="1"/>
  <c r="C56" i="3416"/>
  <c r="A56" i="3416"/>
  <c r="EM55" i="3416"/>
  <c r="EL55" i="3416"/>
  <c r="EK55" i="3416"/>
  <c r="EJ55" i="3416"/>
  <c r="EI55" i="3416"/>
  <c r="EH55" i="3416"/>
  <c r="EG55" i="3416"/>
  <c r="EF55" i="3416"/>
  <c r="EE55" i="3416"/>
  <c r="ED55" i="3416"/>
  <c r="EC55" i="3416"/>
  <c r="EB55" i="3416"/>
  <c r="EA55" i="3416"/>
  <c r="DZ55" i="3416"/>
  <c r="DY55" i="3416"/>
  <c r="DX55" i="3416"/>
  <c r="DW55" i="3416"/>
  <c r="DV55" i="3416"/>
  <c r="DU55" i="3416"/>
  <c r="DT55" i="3416"/>
  <c r="DS55" i="3416"/>
  <c r="DR55" i="3416"/>
  <c r="DQ55" i="3416"/>
  <c r="DP55" i="3416"/>
  <c r="DO55" i="3416"/>
  <c r="DN55" i="3416"/>
  <c r="DM55" i="3416"/>
  <c r="DL55" i="3416"/>
  <c r="DK55" i="3416"/>
  <c r="DJ55" i="3416"/>
  <c r="DI55" i="3416"/>
  <c r="DH55" i="3416"/>
  <c r="DG55" i="3416"/>
  <c r="DF55" i="3416"/>
  <c r="DE55" i="3416"/>
  <c r="DD55" i="3416"/>
  <c r="DC55" i="3416"/>
  <c r="DB55" i="3416"/>
  <c r="DA55" i="3416"/>
  <c r="CZ55" i="3416"/>
  <c r="CY55" i="3416"/>
  <c r="CX55" i="3416"/>
  <c r="CW55" i="3416"/>
  <c r="CV55" i="3416"/>
  <c r="CU55" i="3416"/>
  <c r="CT55" i="3416"/>
  <c r="CS55" i="3416"/>
  <c r="CR55" i="3416"/>
  <c r="CQ55" i="3416"/>
  <c r="CP55" i="3416"/>
  <c r="CO55" i="3416"/>
  <c r="CN55" i="3416"/>
  <c r="CM55" i="3416"/>
  <c r="CL55" i="3416"/>
  <c r="CK55" i="3416"/>
  <c r="CJ55" i="3416"/>
  <c r="CI55" i="3416"/>
  <c r="CH55" i="3416"/>
  <c r="CG55" i="3416"/>
  <c r="CF55" i="3416"/>
  <c r="CE55" i="3416"/>
  <c r="CD55" i="3416"/>
  <c r="CC55" i="3416"/>
  <c r="CB55" i="3416"/>
  <c r="CA55" i="3416"/>
  <c r="BZ55" i="3416"/>
  <c r="BY55" i="3416"/>
  <c r="BX55" i="3416"/>
  <c r="BW55" i="3416"/>
  <c r="BV55" i="3416"/>
  <c r="BU55" i="3416"/>
  <c r="BT55" i="3416"/>
  <c r="BS55" i="3416"/>
  <c r="BR55" i="3416"/>
  <c r="BQ55" i="3416"/>
  <c r="BP55" i="3416"/>
  <c r="BO55" i="3416"/>
  <c r="BN55" i="3416"/>
  <c r="BM55" i="3416"/>
  <c r="BL55" i="3416"/>
  <c r="BK55" i="3416"/>
  <c r="BJ55" i="3416"/>
  <c r="BI55" i="3416"/>
  <c r="BH55" i="3416"/>
  <c r="BG55" i="3416"/>
  <c r="BF55" i="3416"/>
  <c r="BE55" i="3416"/>
  <c r="BD55" i="3416"/>
  <c r="BC55" i="3416"/>
  <c r="BB55" i="3416"/>
  <c r="BA55" i="3416"/>
  <c r="AZ55" i="3416"/>
  <c r="AY55" i="3416"/>
  <c r="AX55" i="3416"/>
  <c r="AW55" i="3416"/>
  <c r="AV55" i="3416"/>
  <c r="AU55" i="3416"/>
  <c r="AT55" i="3416"/>
  <c r="AS55" i="3416"/>
  <c r="AR55" i="3416"/>
  <c r="AQ55" i="3416"/>
  <c r="AP55" i="3416"/>
  <c r="AO55" i="3416"/>
  <c r="AN55" i="3416"/>
  <c r="AM55" i="3416"/>
  <c r="AL55" i="3416"/>
  <c r="AK55" i="3416"/>
  <c r="AJ55" i="3416"/>
  <c r="AI55" i="3416"/>
  <c r="AH55" i="3416"/>
  <c r="AG55" i="3416"/>
  <c r="AF55" i="3416"/>
  <c r="AE55" i="3416"/>
  <c r="AD55" i="3416"/>
  <c r="AC55" i="3416"/>
  <c r="AB55" i="3416"/>
  <c r="AA55" i="3416"/>
  <c r="Z55" i="3416"/>
  <c r="Y55" i="3416"/>
  <c r="X55" i="3416"/>
  <c r="W55" i="3416"/>
  <c r="V55" i="3416"/>
  <c r="U55" i="3416"/>
  <c r="T55" i="3416"/>
  <c r="S55" i="3416"/>
  <c r="R55" i="3416"/>
  <c r="Q55" i="3416"/>
  <c r="P55" i="3416"/>
  <c r="O55" i="3416"/>
  <c r="N55" i="3416"/>
  <c r="M55" i="3416"/>
  <c r="L55" i="3416"/>
  <c r="K55" i="3416"/>
  <c r="J55" i="3416"/>
  <c r="I55" i="3416"/>
  <c r="H55" i="3416"/>
  <c r="G55" i="3416"/>
  <c r="F55" i="3416"/>
  <c r="E55" i="3416"/>
  <c r="D55" i="3416"/>
  <c r="C55" i="3416" a="1"/>
  <c r="C55" i="3416"/>
  <c r="A55" i="3416"/>
  <c r="EM54" i="3416"/>
  <c r="EL54" i="3416"/>
  <c r="EK54" i="3416"/>
  <c r="EJ54" i="3416"/>
  <c r="EI54" i="3416"/>
  <c r="EH54" i="3416"/>
  <c r="EG54" i="3416"/>
  <c r="EF54" i="3416"/>
  <c r="EE54" i="3416"/>
  <c r="ED54" i="3416"/>
  <c r="EC54" i="3416"/>
  <c r="EB54" i="3416"/>
  <c r="EA54" i="3416"/>
  <c r="DZ54" i="3416"/>
  <c r="DY54" i="3416"/>
  <c r="DX54" i="3416"/>
  <c r="DW54" i="3416"/>
  <c r="DV54" i="3416"/>
  <c r="DU54" i="3416"/>
  <c r="DT54" i="3416"/>
  <c r="DS54" i="3416"/>
  <c r="DR54" i="3416"/>
  <c r="DQ54" i="3416"/>
  <c r="DP54" i="3416"/>
  <c r="DO54" i="3416"/>
  <c r="DN54" i="3416"/>
  <c r="DM54" i="3416"/>
  <c r="DL54" i="3416"/>
  <c r="DK54" i="3416"/>
  <c r="DJ54" i="3416"/>
  <c r="DI54" i="3416"/>
  <c r="DH54" i="3416"/>
  <c r="DG54" i="3416"/>
  <c r="DF54" i="3416"/>
  <c r="DE54" i="3416"/>
  <c r="DD54" i="3416"/>
  <c r="DC54" i="3416"/>
  <c r="DB54" i="3416"/>
  <c r="DA54" i="3416"/>
  <c r="CZ54" i="3416"/>
  <c r="CY54" i="3416"/>
  <c r="CX54" i="3416"/>
  <c r="CW54" i="3416"/>
  <c r="CV54" i="3416"/>
  <c r="CU54" i="3416"/>
  <c r="CT54" i="3416"/>
  <c r="CS54" i="3416"/>
  <c r="CR54" i="3416"/>
  <c r="CQ54" i="3416"/>
  <c r="CP54" i="3416"/>
  <c r="CO54" i="3416"/>
  <c r="CN54" i="3416"/>
  <c r="CM54" i="3416"/>
  <c r="CL54" i="3416"/>
  <c r="CK54" i="3416"/>
  <c r="CJ54" i="3416"/>
  <c r="CI54" i="3416"/>
  <c r="CH54" i="3416"/>
  <c r="CG54" i="3416"/>
  <c r="CF54" i="3416"/>
  <c r="CE54" i="3416"/>
  <c r="CD54" i="3416"/>
  <c r="CC54" i="3416"/>
  <c r="CB54" i="3416"/>
  <c r="CA54" i="3416"/>
  <c r="BZ54" i="3416"/>
  <c r="BY54" i="3416"/>
  <c r="BX54" i="3416"/>
  <c r="BW54" i="3416"/>
  <c r="BV54" i="3416"/>
  <c r="BU54" i="3416"/>
  <c r="BT54" i="3416"/>
  <c r="BS54" i="3416"/>
  <c r="BR54" i="3416"/>
  <c r="BQ54" i="3416"/>
  <c r="BP54" i="3416"/>
  <c r="BO54" i="3416"/>
  <c r="BN54" i="3416"/>
  <c r="BM54" i="3416"/>
  <c r="BL54" i="3416"/>
  <c r="BK54" i="3416"/>
  <c r="BJ54" i="3416"/>
  <c r="BI54" i="3416"/>
  <c r="BH54" i="3416"/>
  <c r="BG54" i="3416"/>
  <c r="BF54" i="3416"/>
  <c r="BE54" i="3416"/>
  <c r="BD54" i="3416"/>
  <c r="BC54" i="3416"/>
  <c r="BB54" i="3416"/>
  <c r="BA54" i="3416"/>
  <c r="AZ54" i="3416"/>
  <c r="AY54" i="3416"/>
  <c r="AX54" i="3416"/>
  <c r="AW54" i="3416"/>
  <c r="AV54" i="3416"/>
  <c r="AU54" i="3416"/>
  <c r="AT54" i="3416"/>
  <c r="AS54" i="3416"/>
  <c r="AR54" i="3416"/>
  <c r="AQ54" i="3416"/>
  <c r="AP54" i="3416"/>
  <c r="AO54" i="3416"/>
  <c r="AN54" i="3416"/>
  <c r="AM54" i="3416"/>
  <c r="AL54" i="3416"/>
  <c r="AK54" i="3416"/>
  <c r="AJ54" i="3416"/>
  <c r="AI54" i="3416"/>
  <c r="AH54" i="3416"/>
  <c r="AG54" i="3416"/>
  <c r="AF54" i="3416"/>
  <c r="AE54" i="3416"/>
  <c r="AD54" i="3416"/>
  <c r="AC54" i="3416"/>
  <c r="AB54" i="3416"/>
  <c r="AA54" i="3416"/>
  <c r="Z54" i="3416"/>
  <c r="Y54" i="3416"/>
  <c r="X54" i="3416"/>
  <c r="W54" i="3416"/>
  <c r="V54" i="3416"/>
  <c r="U54" i="3416"/>
  <c r="T54" i="3416"/>
  <c r="S54" i="3416"/>
  <c r="R54" i="3416"/>
  <c r="Q54" i="3416"/>
  <c r="P54" i="3416"/>
  <c r="O54" i="3416"/>
  <c r="N54" i="3416"/>
  <c r="M54" i="3416"/>
  <c r="L54" i="3416"/>
  <c r="K54" i="3416"/>
  <c r="J54" i="3416"/>
  <c r="I54" i="3416"/>
  <c r="H54" i="3416"/>
  <c r="G54" i="3416"/>
  <c r="F54" i="3416"/>
  <c r="E54" i="3416"/>
  <c r="D54" i="3416"/>
  <c r="C54" i="3416" a="1"/>
  <c r="C54" i="3416"/>
  <c r="A54" i="3416"/>
  <c r="EM53" i="3416"/>
  <c r="EL53" i="3416"/>
  <c r="EK53" i="3416"/>
  <c r="EJ53" i="3416"/>
  <c r="EI53" i="3416"/>
  <c r="EH53" i="3416"/>
  <c r="EG53" i="3416"/>
  <c r="EF53" i="3416"/>
  <c r="EE53" i="3416"/>
  <c r="ED53" i="3416"/>
  <c r="EC53" i="3416"/>
  <c r="EB53" i="3416"/>
  <c r="EA53" i="3416"/>
  <c r="DZ53" i="3416"/>
  <c r="DY53" i="3416"/>
  <c r="DX53" i="3416"/>
  <c r="DW53" i="3416"/>
  <c r="DV53" i="3416"/>
  <c r="DU53" i="3416"/>
  <c r="DT53" i="3416"/>
  <c r="DS53" i="3416"/>
  <c r="DR53" i="3416"/>
  <c r="DQ53" i="3416"/>
  <c r="DP53" i="3416"/>
  <c r="DO53" i="3416"/>
  <c r="DN53" i="3416"/>
  <c r="DM53" i="3416"/>
  <c r="DL53" i="3416"/>
  <c r="DK53" i="3416"/>
  <c r="DJ53" i="3416"/>
  <c r="DI53" i="3416"/>
  <c r="DH53" i="3416"/>
  <c r="DG53" i="3416"/>
  <c r="DF53" i="3416"/>
  <c r="DE53" i="3416"/>
  <c r="DD53" i="3416"/>
  <c r="DC53" i="3416"/>
  <c r="DB53" i="3416"/>
  <c r="DA53" i="3416"/>
  <c r="CZ53" i="3416"/>
  <c r="CY53" i="3416"/>
  <c r="CX53" i="3416"/>
  <c r="CW53" i="3416"/>
  <c r="CV53" i="3416"/>
  <c r="CU53" i="3416"/>
  <c r="CT53" i="3416"/>
  <c r="CS53" i="3416"/>
  <c r="CR53" i="3416"/>
  <c r="CQ53" i="3416"/>
  <c r="CP53" i="3416"/>
  <c r="CO53" i="3416"/>
  <c r="CN53" i="3416"/>
  <c r="CM53" i="3416"/>
  <c r="CL53" i="3416"/>
  <c r="CK53" i="3416"/>
  <c r="CJ53" i="3416"/>
  <c r="CI53" i="3416"/>
  <c r="CH53" i="3416"/>
  <c r="CG53" i="3416"/>
  <c r="CF53" i="3416"/>
  <c r="CE53" i="3416"/>
  <c r="CD53" i="3416"/>
  <c r="CC53" i="3416"/>
  <c r="CB53" i="3416"/>
  <c r="CA53" i="3416"/>
  <c r="BZ53" i="3416"/>
  <c r="BY53" i="3416"/>
  <c r="BX53" i="3416"/>
  <c r="BW53" i="3416"/>
  <c r="BV53" i="3416"/>
  <c r="BU53" i="3416"/>
  <c r="BT53" i="3416"/>
  <c r="BS53" i="3416"/>
  <c r="BR53" i="3416"/>
  <c r="BQ53" i="3416"/>
  <c r="BP53" i="3416"/>
  <c r="BO53" i="3416"/>
  <c r="BN53" i="3416"/>
  <c r="BM53" i="3416"/>
  <c r="BL53" i="3416"/>
  <c r="BK53" i="3416"/>
  <c r="BJ53" i="3416"/>
  <c r="BI53" i="3416"/>
  <c r="BH53" i="3416"/>
  <c r="BG53" i="3416"/>
  <c r="BF53" i="3416"/>
  <c r="BE53" i="3416"/>
  <c r="BD53" i="3416"/>
  <c r="BC53" i="3416"/>
  <c r="BB53" i="3416"/>
  <c r="BA53" i="3416"/>
  <c r="AZ53" i="3416"/>
  <c r="AY53" i="3416"/>
  <c r="AX53" i="3416"/>
  <c r="AW53" i="3416"/>
  <c r="AV53" i="3416"/>
  <c r="AU53" i="3416"/>
  <c r="AT53" i="3416"/>
  <c r="AS53" i="3416"/>
  <c r="AR53" i="3416"/>
  <c r="AQ53" i="3416"/>
  <c r="AP53" i="3416"/>
  <c r="AO53" i="3416"/>
  <c r="AN53" i="3416"/>
  <c r="AM53" i="3416"/>
  <c r="AL53" i="3416"/>
  <c r="AK53" i="3416"/>
  <c r="AJ53" i="3416"/>
  <c r="AI53" i="3416"/>
  <c r="AH53" i="3416"/>
  <c r="AG53" i="3416"/>
  <c r="AF53" i="3416"/>
  <c r="AE53" i="3416"/>
  <c r="AD53" i="3416"/>
  <c r="AC53" i="3416"/>
  <c r="AB53" i="3416"/>
  <c r="AA53" i="3416"/>
  <c r="Z53" i="3416"/>
  <c r="Y53" i="3416"/>
  <c r="X53" i="3416"/>
  <c r="W53" i="3416"/>
  <c r="V53" i="3416"/>
  <c r="U53" i="3416"/>
  <c r="T53" i="3416"/>
  <c r="S53" i="3416"/>
  <c r="R53" i="3416"/>
  <c r="Q53" i="3416"/>
  <c r="P53" i="3416"/>
  <c r="O53" i="3416"/>
  <c r="N53" i="3416"/>
  <c r="M53" i="3416"/>
  <c r="L53" i="3416"/>
  <c r="K53" i="3416"/>
  <c r="J53" i="3416"/>
  <c r="I53" i="3416"/>
  <c r="H53" i="3416"/>
  <c r="G53" i="3416"/>
  <c r="F53" i="3416"/>
  <c r="E53" i="3416"/>
  <c r="D53" i="3416"/>
  <c r="C53" i="3416" a="1"/>
  <c r="C53" i="3416"/>
  <c r="A53" i="3416"/>
  <c r="EM52" i="3416"/>
  <c r="EL52" i="3416"/>
  <c r="EK52" i="3416"/>
  <c r="EJ52" i="3416"/>
  <c r="EI52" i="3416"/>
  <c r="EH52" i="3416"/>
  <c r="EG52" i="3416"/>
  <c r="EF52" i="3416"/>
  <c r="EE52" i="3416"/>
  <c r="ED52" i="3416"/>
  <c r="EC52" i="3416"/>
  <c r="EB52" i="3416"/>
  <c r="EA52" i="3416"/>
  <c r="DZ52" i="3416"/>
  <c r="DY52" i="3416"/>
  <c r="DX52" i="3416"/>
  <c r="DW52" i="3416"/>
  <c r="DV52" i="3416"/>
  <c r="DU52" i="3416"/>
  <c r="DT52" i="3416"/>
  <c r="DS52" i="3416"/>
  <c r="DR52" i="3416"/>
  <c r="DQ52" i="3416"/>
  <c r="DP52" i="3416"/>
  <c r="DO52" i="3416"/>
  <c r="DN52" i="3416"/>
  <c r="DM52" i="3416"/>
  <c r="DL52" i="3416"/>
  <c r="DK52" i="3416"/>
  <c r="DJ52" i="3416"/>
  <c r="DI52" i="3416"/>
  <c r="DH52" i="3416"/>
  <c r="DG52" i="3416"/>
  <c r="DF52" i="3416"/>
  <c r="DE52" i="3416"/>
  <c r="DD52" i="3416"/>
  <c r="DC52" i="3416"/>
  <c r="DB52" i="3416"/>
  <c r="DA52" i="3416"/>
  <c r="CZ52" i="3416"/>
  <c r="CY52" i="3416"/>
  <c r="CX52" i="3416"/>
  <c r="CW52" i="3416"/>
  <c r="CV52" i="3416"/>
  <c r="CU52" i="3416"/>
  <c r="CT52" i="3416"/>
  <c r="CS52" i="3416"/>
  <c r="CR52" i="3416"/>
  <c r="CQ52" i="3416"/>
  <c r="CP52" i="3416"/>
  <c r="CO52" i="3416"/>
  <c r="CN52" i="3416"/>
  <c r="CM52" i="3416"/>
  <c r="CL52" i="3416"/>
  <c r="CK52" i="3416"/>
  <c r="CJ52" i="3416"/>
  <c r="CI52" i="3416"/>
  <c r="CH52" i="3416"/>
  <c r="CG52" i="3416"/>
  <c r="CF52" i="3416"/>
  <c r="CE52" i="3416"/>
  <c r="CD52" i="3416"/>
  <c r="CC52" i="3416"/>
  <c r="CB52" i="3416"/>
  <c r="CA52" i="3416"/>
  <c r="BZ52" i="3416"/>
  <c r="BY52" i="3416"/>
  <c r="BX52" i="3416"/>
  <c r="BW52" i="3416"/>
  <c r="BV52" i="3416"/>
  <c r="BU52" i="3416"/>
  <c r="BT52" i="3416"/>
  <c r="BS52" i="3416"/>
  <c r="BR52" i="3416"/>
  <c r="BQ52" i="3416"/>
  <c r="BP52" i="3416"/>
  <c r="BO52" i="3416"/>
  <c r="BN52" i="3416"/>
  <c r="BM52" i="3416"/>
  <c r="BL52" i="3416"/>
  <c r="BK52" i="3416"/>
  <c r="BJ52" i="3416"/>
  <c r="BI52" i="3416"/>
  <c r="BH52" i="3416"/>
  <c r="BG52" i="3416"/>
  <c r="BF52" i="3416"/>
  <c r="BE52" i="3416"/>
  <c r="BD52" i="3416"/>
  <c r="BC52" i="3416"/>
  <c r="BB52" i="3416"/>
  <c r="BA52" i="3416"/>
  <c r="AZ52" i="3416"/>
  <c r="AY52" i="3416"/>
  <c r="AX52" i="3416"/>
  <c r="AW52" i="3416"/>
  <c r="AV52" i="3416"/>
  <c r="AU52" i="3416"/>
  <c r="AT52" i="3416"/>
  <c r="AS52" i="3416"/>
  <c r="AR52" i="3416"/>
  <c r="AQ52" i="3416"/>
  <c r="AP52" i="3416"/>
  <c r="AO52" i="3416"/>
  <c r="AN52" i="3416"/>
  <c r="AM52" i="3416"/>
  <c r="AL52" i="3416"/>
  <c r="AK52" i="3416"/>
  <c r="AJ52" i="3416"/>
  <c r="AI52" i="3416"/>
  <c r="AH52" i="3416"/>
  <c r="AG52" i="3416"/>
  <c r="AF52" i="3416"/>
  <c r="AE52" i="3416"/>
  <c r="AD52" i="3416"/>
  <c r="AC52" i="3416"/>
  <c r="AB52" i="3416"/>
  <c r="AA52" i="3416"/>
  <c r="Z52" i="3416"/>
  <c r="Y52" i="3416"/>
  <c r="X52" i="3416"/>
  <c r="W52" i="3416"/>
  <c r="V52" i="3416"/>
  <c r="U52" i="3416"/>
  <c r="T52" i="3416"/>
  <c r="S52" i="3416"/>
  <c r="R52" i="3416"/>
  <c r="Q52" i="3416"/>
  <c r="P52" i="3416"/>
  <c r="O52" i="3416"/>
  <c r="N52" i="3416"/>
  <c r="M52" i="3416"/>
  <c r="L52" i="3416"/>
  <c r="K52" i="3416"/>
  <c r="J52" i="3416"/>
  <c r="I52" i="3416"/>
  <c r="H52" i="3416"/>
  <c r="G52" i="3416"/>
  <c r="F52" i="3416"/>
  <c r="E52" i="3416"/>
  <c r="D52" i="3416"/>
  <c r="C52" i="3416" a="1"/>
  <c r="C52" i="3416"/>
  <c r="A52" i="3416"/>
  <c r="EM51" i="3416"/>
  <c r="EL51" i="3416"/>
  <c r="EK51" i="3416"/>
  <c r="EJ51" i="3416"/>
  <c r="EI51" i="3416"/>
  <c r="EH51" i="3416"/>
  <c r="EG51" i="3416"/>
  <c r="EF51" i="3416"/>
  <c r="EE51" i="3416"/>
  <c r="ED51" i="3416"/>
  <c r="EC51" i="3416"/>
  <c r="EB51" i="3416"/>
  <c r="EA51" i="3416"/>
  <c r="DZ51" i="3416"/>
  <c r="DY51" i="3416"/>
  <c r="DX51" i="3416"/>
  <c r="DW51" i="3416"/>
  <c r="DV51" i="3416"/>
  <c r="DU51" i="3416"/>
  <c r="DT51" i="3416"/>
  <c r="DS51" i="3416"/>
  <c r="DR51" i="3416"/>
  <c r="DQ51" i="3416"/>
  <c r="DP51" i="3416"/>
  <c r="DO51" i="3416"/>
  <c r="DN51" i="3416"/>
  <c r="DM51" i="3416"/>
  <c r="DL51" i="3416"/>
  <c r="DK51" i="3416"/>
  <c r="DJ51" i="3416"/>
  <c r="DI51" i="3416"/>
  <c r="DH51" i="3416"/>
  <c r="DG51" i="3416"/>
  <c r="DF51" i="3416"/>
  <c r="DE51" i="3416"/>
  <c r="DD51" i="3416"/>
  <c r="DC51" i="3416"/>
  <c r="DB51" i="3416"/>
  <c r="DA51" i="3416"/>
  <c r="CZ51" i="3416"/>
  <c r="CY51" i="3416"/>
  <c r="CX51" i="3416"/>
  <c r="CW51" i="3416"/>
  <c r="CV51" i="3416"/>
  <c r="CU51" i="3416"/>
  <c r="CT51" i="3416"/>
  <c r="CS51" i="3416"/>
  <c r="CR51" i="3416"/>
  <c r="CQ51" i="3416"/>
  <c r="CP51" i="3416"/>
  <c r="CO51" i="3416"/>
  <c r="CN51" i="3416"/>
  <c r="CM51" i="3416"/>
  <c r="CL51" i="3416"/>
  <c r="CK51" i="3416"/>
  <c r="CJ51" i="3416"/>
  <c r="CI51" i="3416"/>
  <c r="CH51" i="3416"/>
  <c r="CG51" i="3416"/>
  <c r="CF51" i="3416"/>
  <c r="CE51" i="3416"/>
  <c r="CD51" i="3416"/>
  <c r="CC51" i="3416"/>
  <c r="CB51" i="3416"/>
  <c r="CA51" i="3416"/>
  <c r="BZ51" i="3416"/>
  <c r="BY51" i="3416"/>
  <c r="BX51" i="3416"/>
  <c r="BW51" i="3416"/>
  <c r="BV51" i="3416"/>
  <c r="BU51" i="3416"/>
  <c r="BT51" i="3416"/>
  <c r="BS51" i="3416"/>
  <c r="BR51" i="3416"/>
  <c r="BQ51" i="3416"/>
  <c r="BP51" i="3416"/>
  <c r="BO51" i="3416"/>
  <c r="BN51" i="3416"/>
  <c r="BM51" i="3416"/>
  <c r="BL51" i="3416"/>
  <c r="BK51" i="3416"/>
  <c r="BJ51" i="3416"/>
  <c r="BI51" i="3416"/>
  <c r="BH51" i="3416"/>
  <c r="BG51" i="3416"/>
  <c r="BF51" i="3416"/>
  <c r="BE51" i="3416"/>
  <c r="BD51" i="3416"/>
  <c r="BC51" i="3416"/>
  <c r="BB51" i="3416"/>
  <c r="BA51" i="3416"/>
  <c r="AZ51" i="3416"/>
  <c r="AY51" i="3416"/>
  <c r="AX51" i="3416"/>
  <c r="AW51" i="3416"/>
  <c r="AV51" i="3416"/>
  <c r="AU51" i="3416"/>
  <c r="AT51" i="3416"/>
  <c r="AS51" i="3416"/>
  <c r="AR51" i="3416"/>
  <c r="AQ51" i="3416"/>
  <c r="AP51" i="3416"/>
  <c r="AO51" i="3416"/>
  <c r="AN51" i="3416"/>
  <c r="AM51" i="3416"/>
  <c r="AL51" i="3416"/>
  <c r="AK51" i="3416"/>
  <c r="AJ51" i="3416"/>
  <c r="AI51" i="3416"/>
  <c r="AH51" i="3416"/>
  <c r="AG51" i="3416"/>
  <c r="AF51" i="3416"/>
  <c r="AE51" i="3416"/>
  <c r="AD51" i="3416"/>
  <c r="AC51" i="3416"/>
  <c r="AB51" i="3416"/>
  <c r="AA51" i="3416"/>
  <c r="Z51" i="3416"/>
  <c r="Y51" i="3416"/>
  <c r="X51" i="3416"/>
  <c r="W51" i="3416"/>
  <c r="V51" i="3416"/>
  <c r="U51" i="3416"/>
  <c r="T51" i="3416"/>
  <c r="S51" i="3416"/>
  <c r="R51" i="3416"/>
  <c r="Q51" i="3416"/>
  <c r="P51" i="3416"/>
  <c r="O51" i="3416"/>
  <c r="N51" i="3416"/>
  <c r="M51" i="3416"/>
  <c r="L51" i="3416"/>
  <c r="K51" i="3416"/>
  <c r="J51" i="3416"/>
  <c r="I51" i="3416"/>
  <c r="H51" i="3416"/>
  <c r="G51" i="3416"/>
  <c r="F51" i="3416"/>
  <c r="E51" i="3416"/>
  <c r="D51" i="3416"/>
  <c r="C51" i="3416" a="1"/>
  <c r="C51" i="3416"/>
  <c r="A51" i="3416"/>
  <c r="EM50" i="3416"/>
  <c r="EL50" i="3416"/>
  <c r="EK50" i="3416"/>
  <c r="EJ50" i="3416"/>
  <c r="EI50" i="3416"/>
  <c r="EH50" i="3416"/>
  <c r="EG50" i="3416"/>
  <c r="EF50" i="3416"/>
  <c r="EE50" i="3416"/>
  <c r="ED50" i="3416"/>
  <c r="EC50" i="3416"/>
  <c r="EB50" i="3416"/>
  <c r="EA50" i="3416"/>
  <c r="DZ50" i="3416"/>
  <c r="DY50" i="3416"/>
  <c r="DX50" i="3416"/>
  <c r="DW50" i="3416"/>
  <c r="DV50" i="3416"/>
  <c r="DU50" i="3416"/>
  <c r="DT50" i="3416"/>
  <c r="DS50" i="3416"/>
  <c r="DR50" i="3416"/>
  <c r="DQ50" i="3416"/>
  <c r="DP50" i="3416"/>
  <c r="DO50" i="3416"/>
  <c r="DN50" i="3416"/>
  <c r="DM50" i="3416"/>
  <c r="DL50" i="3416"/>
  <c r="DK50" i="3416"/>
  <c r="DJ50" i="3416"/>
  <c r="DI50" i="3416"/>
  <c r="DH50" i="3416"/>
  <c r="DG50" i="3416"/>
  <c r="DF50" i="3416"/>
  <c r="DE50" i="3416"/>
  <c r="DD50" i="3416"/>
  <c r="DC50" i="3416"/>
  <c r="DB50" i="3416"/>
  <c r="DA50" i="3416"/>
  <c r="CZ50" i="3416"/>
  <c r="CY50" i="3416"/>
  <c r="CX50" i="3416"/>
  <c r="CW50" i="3416"/>
  <c r="CV50" i="3416"/>
  <c r="CU50" i="3416"/>
  <c r="CT50" i="3416"/>
  <c r="CS50" i="3416"/>
  <c r="CR50" i="3416"/>
  <c r="CQ50" i="3416"/>
  <c r="CP50" i="3416"/>
  <c r="CO50" i="3416"/>
  <c r="CN50" i="3416"/>
  <c r="CM50" i="3416"/>
  <c r="CL50" i="3416"/>
  <c r="CK50" i="3416"/>
  <c r="CJ50" i="3416"/>
  <c r="CI50" i="3416"/>
  <c r="CH50" i="3416"/>
  <c r="CG50" i="3416"/>
  <c r="CF50" i="3416"/>
  <c r="CE50" i="3416"/>
  <c r="CD50" i="3416"/>
  <c r="CC50" i="3416"/>
  <c r="CB50" i="3416"/>
  <c r="CA50" i="3416"/>
  <c r="BZ50" i="3416"/>
  <c r="BY50" i="3416"/>
  <c r="BX50" i="3416"/>
  <c r="BW50" i="3416"/>
  <c r="BV50" i="3416"/>
  <c r="BU50" i="3416"/>
  <c r="BT50" i="3416"/>
  <c r="BS50" i="3416"/>
  <c r="BR50" i="3416"/>
  <c r="BQ50" i="3416"/>
  <c r="BP50" i="3416"/>
  <c r="BO50" i="3416"/>
  <c r="BN50" i="3416"/>
  <c r="BM50" i="3416"/>
  <c r="BL50" i="3416"/>
  <c r="BK50" i="3416"/>
  <c r="BJ50" i="3416"/>
  <c r="BI50" i="3416"/>
  <c r="BH50" i="3416"/>
  <c r="BG50" i="3416"/>
  <c r="BF50" i="3416"/>
  <c r="BE50" i="3416"/>
  <c r="BD50" i="3416"/>
  <c r="BC50" i="3416"/>
  <c r="BB50" i="3416"/>
  <c r="BA50" i="3416"/>
  <c r="AZ50" i="3416"/>
  <c r="AY50" i="3416"/>
  <c r="AX50" i="3416"/>
  <c r="AW50" i="3416"/>
  <c r="AV50" i="3416"/>
  <c r="AU50" i="3416"/>
  <c r="AT50" i="3416"/>
  <c r="AS50" i="3416"/>
  <c r="AR50" i="3416"/>
  <c r="AQ50" i="3416"/>
  <c r="AP50" i="3416"/>
  <c r="AO50" i="3416"/>
  <c r="AN50" i="3416"/>
  <c r="AM50" i="3416"/>
  <c r="AL50" i="3416"/>
  <c r="AK50" i="3416"/>
  <c r="AJ50" i="3416"/>
  <c r="AI50" i="3416"/>
  <c r="AH50" i="3416"/>
  <c r="AG50" i="3416"/>
  <c r="AF50" i="3416"/>
  <c r="AE50" i="3416"/>
  <c r="AD50" i="3416"/>
  <c r="AC50" i="3416"/>
  <c r="AB50" i="3416"/>
  <c r="AA50" i="3416"/>
  <c r="Z50" i="3416"/>
  <c r="Y50" i="3416"/>
  <c r="X50" i="3416"/>
  <c r="W50" i="3416"/>
  <c r="V50" i="3416"/>
  <c r="U50" i="3416"/>
  <c r="T50" i="3416"/>
  <c r="S50" i="3416"/>
  <c r="R50" i="3416"/>
  <c r="Q50" i="3416"/>
  <c r="P50" i="3416"/>
  <c r="O50" i="3416"/>
  <c r="N50" i="3416"/>
  <c r="M50" i="3416"/>
  <c r="L50" i="3416"/>
  <c r="K50" i="3416"/>
  <c r="J50" i="3416"/>
  <c r="I50" i="3416"/>
  <c r="H50" i="3416"/>
  <c r="G50" i="3416"/>
  <c r="F50" i="3416"/>
  <c r="E50" i="3416"/>
  <c r="D50" i="3416"/>
  <c r="C50" i="3416" a="1"/>
  <c r="C50" i="3416"/>
  <c r="A50" i="3416"/>
  <c r="EM49" i="3416"/>
  <c r="EL49" i="3416"/>
  <c r="EK49" i="3416"/>
  <c r="EJ49" i="3416"/>
  <c r="EI49" i="3416"/>
  <c r="EH49" i="3416"/>
  <c r="EG49" i="3416"/>
  <c r="EF49" i="3416"/>
  <c r="EE49" i="3416"/>
  <c r="ED49" i="3416"/>
  <c r="EC49" i="3416"/>
  <c r="EB49" i="3416"/>
  <c r="EA49" i="3416"/>
  <c r="DZ49" i="3416"/>
  <c r="DY49" i="3416"/>
  <c r="DX49" i="3416"/>
  <c r="DW49" i="3416"/>
  <c r="DV49" i="3416"/>
  <c r="DU49" i="3416"/>
  <c r="DT49" i="3416"/>
  <c r="DS49" i="3416"/>
  <c r="DR49" i="3416"/>
  <c r="DQ49" i="3416"/>
  <c r="DP49" i="3416"/>
  <c r="DO49" i="3416"/>
  <c r="DN49" i="3416"/>
  <c r="DM49" i="3416"/>
  <c r="DL49" i="3416"/>
  <c r="DK49" i="3416"/>
  <c r="DJ49" i="3416"/>
  <c r="DI49" i="3416"/>
  <c r="DH49" i="3416"/>
  <c r="DG49" i="3416"/>
  <c r="DF49" i="3416"/>
  <c r="DE49" i="3416"/>
  <c r="DD49" i="3416"/>
  <c r="DC49" i="3416"/>
  <c r="DB49" i="3416"/>
  <c r="DA49" i="3416"/>
  <c r="CZ49" i="3416"/>
  <c r="CY49" i="3416"/>
  <c r="CX49" i="3416"/>
  <c r="CW49" i="3416"/>
  <c r="CV49" i="3416"/>
  <c r="CU49" i="3416"/>
  <c r="CT49" i="3416"/>
  <c r="CS49" i="3416"/>
  <c r="CR49" i="3416"/>
  <c r="CQ49" i="3416"/>
  <c r="CP49" i="3416"/>
  <c r="CO49" i="3416"/>
  <c r="CN49" i="3416"/>
  <c r="CM49" i="3416"/>
  <c r="CL49" i="3416"/>
  <c r="CK49" i="3416"/>
  <c r="CJ49" i="3416"/>
  <c r="CI49" i="3416"/>
  <c r="CH49" i="3416"/>
  <c r="CG49" i="3416"/>
  <c r="CF49" i="3416"/>
  <c r="CE49" i="3416"/>
  <c r="CD49" i="3416"/>
  <c r="CC49" i="3416"/>
  <c r="CB49" i="3416"/>
  <c r="CA49" i="3416"/>
  <c r="BZ49" i="3416"/>
  <c r="BY49" i="3416"/>
  <c r="BX49" i="3416"/>
  <c r="BW49" i="3416"/>
  <c r="BV49" i="3416"/>
  <c r="BU49" i="3416"/>
  <c r="BT49" i="3416"/>
  <c r="BS49" i="3416"/>
  <c r="BR49" i="3416"/>
  <c r="BQ49" i="3416"/>
  <c r="BP49" i="3416"/>
  <c r="BO49" i="3416"/>
  <c r="BN49" i="3416"/>
  <c r="BM49" i="3416"/>
  <c r="BL49" i="3416"/>
  <c r="BK49" i="3416"/>
  <c r="BJ49" i="3416"/>
  <c r="BI49" i="3416"/>
  <c r="BH49" i="3416"/>
  <c r="BG49" i="3416"/>
  <c r="BF49" i="3416"/>
  <c r="BE49" i="3416"/>
  <c r="BD49" i="3416"/>
  <c r="BC49" i="3416"/>
  <c r="BB49" i="3416"/>
  <c r="BA49" i="3416"/>
  <c r="AZ49" i="3416"/>
  <c r="AY49" i="3416"/>
  <c r="AX49" i="3416"/>
  <c r="AW49" i="3416"/>
  <c r="AV49" i="3416"/>
  <c r="AU49" i="3416"/>
  <c r="AT49" i="3416"/>
  <c r="AS49" i="3416"/>
  <c r="AR49" i="3416"/>
  <c r="AQ49" i="3416"/>
  <c r="AP49" i="3416"/>
  <c r="AO49" i="3416"/>
  <c r="AN49" i="3416"/>
  <c r="AM49" i="3416"/>
  <c r="AL49" i="3416"/>
  <c r="AK49" i="3416"/>
  <c r="AJ49" i="3416"/>
  <c r="AI49" i="3416"/>
  <c r="AH49" i="3416"/>
  <c r="AG49" i="3416"/>
  <c r="AF49" i="3416"/>
  <c r="AE49" i="3416"/>
  <c r="AD49" i="3416"/>
  <c r="AC49" i="3416"/>
  <c r="AB49" i="3416"/>
  <c r="AA49" i="3416"/>
  <c r="Z49" i="3416"/>
  <c r="Y49" i="3416"/>
  <c r="X49" i="3416"/>
  <c r="W49" i="3416"/>
  <c r="V49" i="3416"/>
  <c r="U49" i="3416"/>
  <c r="T49" i="3416"/>
  <c r="S49" i="3416"/>
  <c r="R49" i="3416"/>
  <c r="Q49" i="3416"/>
  <c r="P49" i="3416"/>
  <c r="O49" i="3416"/>
  <c r="N49" i="3416"/>
  <c r="M49" i="3416"/>
  <c r="L49" i="3416"/>
  <c r="K49" i="3416"/>
  <c r="J49" i="3416"/>
  <c r="I49" i="3416"/>
  <c r="H49" i="3416"/>
  <c r="G49" i="3416"/>
  <c r="F49" i="3416"/>
  <c r="E49" i="3416"/>
  <c r="D49" i="3416"/>
  <c r="C49" i="3416" a="1"/>
  <c r="C49" i="3416"/>
  <c r="A49" i="3416"/>
  <c r="EM48" i="3416"/>
  <c r="EL48" i="3416"/>
  <c r="EK48" i="3416"/>
  <c r="EJ48" i="3416"/>
  <c r="EI48" i="3416"/>
  <c r="EH48" i="3416"/>
  <c r="EG48" i="3416"/>
  <c r="EF48" i="3416"/>
  <c r="EE48" i="3416"/>
  <c r="ED48" i="3416"/>
  <c r="EC48" i="3416"/>
  <c r="EB48" i="3416"/>
  <c r="EA48" i="3416"/>
  <c r="DZ48" i="3416"/>
  <c r="DY48" i="3416"/>
  <c r="DX48" i="3416"/>
  <c r="DW48" i="3416"/>
  <c r="DV48" i="3416"/>
  <c r="DU48" i="3416"/>
  <c r="DT48" i="3416"/>
  <c r="DS48" i="3416"/>
  <c r="DR48" i="3416"/>
  <c r="DQ48" i="3416"/>
  <c r="DP48" i="3416"/>
  <c r="DO48" i="3416"/>
  <c r="DN48" i="3416"/>
  <c r="DM48" i="3416"/>
  <c r="DL48" i="3416"/>
  <c r="DK48" i="3416"/>
  <c r="DJ48" i="3416"/>
  <c r="DI48" i="3416"/>
  <c r="DH48" i="3416"/>
  <c r="DG48" i="3416"/>
  <c r="DF48" i="3416"/>
  <c r="DE48" i="3416"/>
  <c r="DD48" i="3416"/>
  <c r="DC48" i="3416"/>
  <c r="DB48" i="3416"/>
  <c r="DA48" i="3416"/>
  <c r="CZ48" i="3416"/>
  <c r="CY48" i="3416"/>
  <c r="CX48" i="3416"/>
  <c r="CW48" i="3416"/>
  <c r="CV48" i="3416"/>
  <c r="CU48" i="3416"/>
  <c r="CT48" i="3416"/>
  <c r="CS48" i="3416"/>
  <c r="CR48" i="3416"/>
  <c r="CQ48" i="3416"/>
  <c r="CP48" i="3416"/>
  <c r="CO48" i="3416"/>
  <c r="CN48" i="3416"/>
  <c r="CM48" i="3416"/>
  <c r="CL48" i="3416"/>
  <c r="CK48" i="3416"/>
  <c r="CJ48" i="3416"/>
  <c r="CI48" i="3416"/>
  <c r="CH48" i="3416"/>
  <c r="CG48" i="3416"/>
  <c r="CF48" i="3416"/>
  <c r="CE48" i="3416"/>
  <c r="CD48" i="3416"/>
  <c r="CC48" i="3416"/>
  <c r="CB48" i="3416"/>
  <c r="CA48" i="3416"/>
  <c r="BZ48" i="3416"/>
  <c r="BY48" i="3416"/>
  <c r="BX48" i="3416"/>
  <c r="BW48" i="3416"/>
  <c r="BV48" i="3416"/>
  <c r="BU48" i="3416"/>
  <c r="BT48" i="3416"/>
  <c r="BS48" i="3416"/>
  <c r="BR48" i="3416"/>
  <c r="BQ48" i="3416"/>
  <c r="BP48" i="3416"/>
  <c r="BO48" i="3416"/>
  <c r="BN48" i="3416"/>
  <c r="BM48" i="3416"/>
  <c r="BL48" i="3416"/>
  <c r="BK48" i="3416"/>
  <c r="BJ48" i="3416"/>
  <c r="BI48" i="3416"/>
  <c r="BH48" i="3416"/>
  <c r="BG48" i="3416"/>
  <c r="BF48" i="3416"/>
  <c r="BE48" i="3416"/>
  <c r="BD48" i="3416"/>
  <c r="BC48" i="3416"/>
  <c r="BB48" i="3416"/>
  <c r="BA48" i="3416"/>
  <c r="AZ48" i="3416"/>
  <c r="AY48" i="3416"/>
  <c r="AX48" i="3416"/>
  <c r="AW48" i="3416"/>
  <c r="AV48" i="3416"/>
  <c r="AU48" i="3416"/>
  <c r="AT48" i="3416"/>
  <c r="AS48" i="3416"/>
  <c r="AR48" i="3416"/>
  <c r="AQ48" i="3416"/>
  <c r="AP48" i="3416"/>
  <c r="AO48" i="3416"/>
  <c r="AN48" i="3416"/>
  <c r="AM48" i="3416"/>
  <c r="AL48" i="3416"/>
  <c r="AK48" i="3416"/>
  <c r="AJ48" i="3416"/>
  <c r="AI48" i="3416"/>
  <c r="AH48" i="3416"/>
  <c r="AG48" i="3416"/>
  <c r="AF48" i="3416"/>
  <c r="AE48" i="3416"/>
  <c r="AD48" i="3416"/>
  <c r="AC48" i="3416"/>
  <c r="AB48" i="3416"/>
  <c r="AA48" i="3416"/>
  <c r="Z48" i="3416"/>
  <c r="Y48" i="3416"/>
  <c r="X48" i="3416"/>
  <c r="W48" i="3416"/>
  <c r="V48" i="3416"/>
  <c r="U48" i="3416"/>
  <c r="T48" i="3416"/>
  <c r="S48" i="3416"/>
  <c r="R48" i="3416"/>
  <c r="Q48" i="3416"/>
  <c r="P48" i="3416"/>
  <c r="O48" i="3416"/>
  <c r="N48" i="3416"/>
  <c r="M48" i="3416"/>
  <c r="L48" i="3416"/>
  <c r="K48" i="3416"/>
  <c r="J48" i="3416"/>
  <c r="I48" i="3416"/>
  <c r="H48" i="3416"/>
  <c r="G48" i="3416"/>
  <c r="F48" i="3416"/>
  <c r="E48" i="3416"/>
  <c r="D48" i="3416"/>
  <c r="C48" i="3416" a="1"/>
  <c r="C48" i="3416"/>
  <c r="A48" i="3416"/>
  <c r="EM47" i="3416"/>
  <c r="EL47" i="3416"/>
  <c r="EK47" i="3416"/>
  <c r="EJ47" i="3416"/>
  <c r="EI47" i="3416"/>
  <c r="EH47" i="3416"/>
  <c r="EG47" i="3416"/>
  <c r="EF47" i="3416"/>
  <c r="EE47" i="3416"/>
  <c r="ED47" i="3416"/>
  <c r="EC47" i="3416"/>
  <c r="EB47" i="3416"/>
  <c r="EA47" i="3416"/>
  <c r="DZ47" i="3416"/>
  <c r="DY47" i="3416"/>
  <c r="DX47" i="3416"/>
  <c r="DW47" i="3416"/>
  <c r="DV47" i="3416"/>
  <c r="DU47" i="3416"/>
  <c r="DT47" i="3416"/>
  <c r="DS47" i="3416"/>
  <c r="DR47" i="3416"/>
  <c r="DQ47" i="3416"/>
  <c r="DP47" i="3416"/>
  <c r="DO47" i="3416"/>
  <c r="DN47" i="3416"/>
  <c r="DM47" i="3416"/>
  <c r="DL47" i="3416"/>
  <c r="DK47" i="3416"/>
  <c r="DJ47" i="3416"/>
  <c r="DI47" i="3416"/>
  <c r="DH47" i="3416"/>
  <c r="DG47" i="3416"/>
  <c r="DF47" i="3416"/>
  <c r="DE47" i="3416"/>
  <c r="DD47" i="3416"/>
  <c r="DC47" i="3416"/>
  <c r="DB47" i="3416"/>
  <c r="DA47" i="3416"/>
  <c r="CZ47" i="3416"/>
  <c r="CY47" i="3416"/>
  <c r="CX47" i="3416"/>
  <c r="CW47" i="3416"/>
  <c r="CV47" i="3416"/>
  <c r="CU47" i="3416"/>
  <c r="CT47" i="3416"/>
  <c r="CS47" i="3416"/>
  <c r="CR47" i="3416"/>
  <c r="CQ47" i="3416"/>
  <c r="CP47" i="3416"/>
  <c r="CO47" i="3416"/>
  <c r="CN47" i="3416"/>
  <c r="CM47" i="3416"/>
  <c r="CL47" i="3416"/>
  <c r="CK47" i="3416"/>
  <c r="CJ47" i="3416"/>
  <c r="CI47" i="3416"/>
  <c r="CH47" i="3416"/>
  <c r="CG47" i="3416"/>
  <c r="CF47" i="3416"/>
  <c r="CE47" i="3416"/>
  <c r="CD47" i="3416"/>
  <c r="CC47" i="3416"/>
  <c r="CB47" i="3416"/>
  <c r="CA47" i="3416"/>
  <c r="BZ47" i="3416"/>
  <c r="BY47" i="3416"/>
  <c r="BX47" i="3416"/>
  <c r="BW47" i="3416"/>
  <c r="BV47" i="3416"/>
  <c r="BU47" i="3416"/>
  <c r="BT47" i="3416"/>
  <c r="BS47" i="3416"/>
  <c r="BR47" i="3416"/>
  <c r="BQ47" i="3416"/>
  <c r="BP47" i="3416"/>
  <c r="BO47" i="3416"/>
  <c r="BN47" i="3416"/>
  <c r="BM47" i="3416"/>
  <c r="BL47" i="3416"/>
  <c r="BK47" i="3416"/>
  <c r="BJ47" i="3416"/>
  <c r="BI47" i="3416"/>
  <c r="BH47" i="3416"/>
  <c r="BG47" i="3416"/>
  <c r="BF47" i="3416"/>
  <c r="BE47" i="3416"/>
  <c r="BD47" i="3416"/>
  <c r="BC47" i="3416"/>
  <c r="BB47" i="3416"/>
  <c r="BA47" i="3416"/>
  <c r="AZ47" i="3416"/>
  <c r="AY47" i="3416"/>
  <c r="AX47" i="3416"/>
  <c r="AW47" i="3416"/>
  <c r="AV47" i="3416"/>
  <c r="AU47" i="3416"/>
  <c r="AT47" i="3416"/>
  <c r="AS47" i="3416"/>
  <c r="AR47" i="3416"/>
  <c r="AQ47" i="3416"/>
  <c r="AP47" i="3416"/>
  <c r="AO47" i="3416"/>
  <c r="AN47" i="3416"/>
  <c r="AM47" i="3416"/>
  <c r="AL47" i="3416"/>
  <c r="AK47" i="3416"/>
  <c r="AJ47" i="3416"/>
  <c r="AI47" i="3416"/>
  <c r="AH47" i="3416"/>
  <c r="AG47" i="3416"/>
  <c r="AF47" i="3416"/>
  <c r="AE47" i="3416"/>
  <c r="AD47" i="3416"/>
  <c r="AC47" i="3416"/>
  <c r="AB47" i="3416"/>
  <c r="AA47" i="3416"/>
  <c r="Z47" i="3416"/>
  <c r="Y47" i="3416"/>
  <c r="X47" i="3416"/>
  <c r="W47" i="3416"/>
  <c r="V47" i="3416"/>
  <c r="U47" i="3416"/>
  <c r="T47" i="3416"/>
  <c r="S47" i="3416"/>
  <c r="R47" i="3416"/>
  <c r="Q47" i="3416"/>
  <c r="P47" i="3416"/>
  <c r="O47" i="3416"/>
  <c r="N47" i="3416"/>
  <c r="M47" i="3416"/>
  <c r="L47" i="3416"/>
  <c r="K47" i="3416"/>
  <c r="J47" i="3416"/>
  <c r="I47" i="3416"/>
  <c r="H47" i="3416"/>
  <c r="G47" i="3416"/>
  <c r="F47" i="3416"/>
  <c r="E47" i="3416"/>
  <c r="D47" i="3416"/>
  <c r="C47" i="3416" a="1"/>
  <c r="C47" i="3416"/>
  <c r="A47" i="3416"/>
  <c r="EM46" i="3416"/>
  <c r="EL46" i="3416"/>
  <c r="EK46" i="3416"/>
  <c r="EJ46" i="3416"/>
  <c r="EI46" i="3416"/>
  <c r="EH46" i="3416"/>
  <c r="EG46" i="3416"/>
  <c r="EF46" i="3416"/>
  <c r="EE46" i="3416"/>
  <c r="ED46" i="3416"/>
  <c r="EC46" i="3416"/>
  <c r="EB46" i="3416"/>
  <c r="EA46" i="3416"/>
  <c r="DZ46" i="3416"/>
  <c r="DY46" i="3416"/>
  <c r="DX46" i="3416"/>
  <c r="DW46" i="3416"/>
  <c r="DV46" i="3416"/>
  <c r="DU46" i="3416"/>
  <c r="DT46" i="3416"/>
  <c r="DS46" i="3416"/>
  <c r="DR46" i="3416"/>
  <c r="DQ46" i="3416"/>
  <c r="DP46" i="3416"/>
  <c r="DO46" i="3416"/>
  <c r="DN46" i="3416"/>
  <c r="DM46" i="3416"/>
  <c r="DL46" i="3416"/>
  <c r="DK46" i="3416"/>
  <c r="DJ46" i="3416"/>
  <c r="DI46" i="3416"/>
  <c r="DH46" i="3416"/>
  <c r="DG46" i="3416"/>
  <c r="DF46" i="3416"/>
  <c r="DE46" i="3416"/>
  <c r="DD46" i="3416"/>
  <c r="DC46" i="3416"/>
  <c r="DB46" i="3416"/>
  <c r="DA46" i="3416"/>
  <c r="CZ46" i="3416"/>
  <c r="CY46" i="3416"/>
  <c r="CX46" i="3416"/>
  <c r="CW46" i="3416"/>
  <c r="CV46" i="3416"/>
  <c r="CU46" i="3416"/>
  <c r="CT46" i="3416"/>
  <c r="CS46" i="3416"/>
  <c r="CR46" i="3416"/>
  <c r="CQ46" i="3416"/>
  <c r="CP46" i="3416"/>
  <c r="CO46" i="3416"/>
  <c r="CN46" i="3416"/>
  <c r="CM46" i="3416"/>
  <c r="CL46" i="3416"/>
  <c r="CK46" i="3416"/>
  <c r="CJ46" i="3416"/>
  <c r="CI46" i="3416"/>
  <c r="CH46" i="3416"/>
  <c r="CG46" i="3416"/>
  <c r="CF46" i="3416"/>
  <c r="CE46" i="3416"/>
  <c r="CD46" i="3416"/>
  <c r="CC46" i="3416"/>
  <c r="CB46" i="3416"/>
  <c r="CA46" i="3416"/>
  <c r="BZ46" i="3416"/>
  <c r="BY46" i="3416"/>
  <c r="BX46" i="3416"/>
  <c r="BW46" i="3416"/>
  <c r="BV46" i="3416"/>
  <c r="BU46" i="3416"/>
  <c r="BT46" i="3416"/>
  <c r="BS46" i="3416"/>
  <c r="BR46" i="3416"/>
  <c r="BQ46" i="3416"/>
  <c r="BP46" i="3416"/>
  <c r="BO46" i="3416"/>
  <c r="BN46" i="3416"/>
  <c r="BM46" i="3416"/>
  <c r="BL46" i="3416"/>
  <c r="BK46" i="3416"/>
  <c r="BJ46" i="3416"/>
  <c r="BI46" i="3416"/>
  <c r="BH46" i="3416"/>
  <c r="BG46" i="3416"/>
  <c r="BF46" i="3416"/>
  <c r="BE46" i="3416"/>
  <c r="BD46" i="3416"/>
  <c r="BC46" i="3416"/>
  <c r="BB46" i="3416"/>
  <c r="BA46" i="3416"/>
  <c r="AZ46" i="3416"/>
  <c r="AY46" i="3416"/>
  <c r="AX46" i="3416"/>
  <c r="AW46" i="3416"/>
  <c r="AV46" i="3416"/>
  <c r="AU46" i="3416"/>
  <c r="AT46" i="3416"/>
  <c r="AS46" i="3416"/>
  <c r="AR46" i="3416"/>
  <c r="AQ46" i="3416"/>
  <c r="AP46" i="3416"/>
  <c r="AO46" i="3416"/>
  <c r="AN46" i="3416"/>
  <c r="AM46" i="3416"/>
  <c r="AL46" i="3416"/>
  <c r="AK46" i="3416"/>
  <c r="AJ46" i="3416"/>
  <c r="AI46" i="3416"/>
  <c r="AH46" i="3416"/>
  <c r="AG46" i="3416"/>
  <c r="AF46" i="3416"/>
  <c r="AE46" i="3416"/>
  <c r="AD46" i="3416"/>
  <c r="AC46" i="3416"/>
  <c r="AB46" i="3416"/>
  <c r="AA46" i="3416"/>
  <c r="Z46" i="3416"/>
  <c r="Y46" i="3416"/>
  <c r="X46" i="3416"/>
  <c r="W46" i="3416"/>
  <c r="V46" i="3416"/>
  <c r="U46" i="3416"/>
  <c r="T46" i="3416"/>
  <c r="S46" i="3416"/>
  <c r="R46" i="3416"/>
  <c r="Q46" i="3416"/>
  <c r="P46" i="3416"/>
  <c r="O46" i="3416"/>
  <c r="N46" i="3416"/>
  <c r="M46" i="3416"/>
  <c r="L46" i="3416"/>
  <c r="K46" i="3416"/>
  <c r="J46" i="3416"/>
  <c r="I46" i="3416"/>
  <c r="H46" i="3416"/>
  <c r="G46" i="3416"/>
  <c r="F46" i="3416"/>
  <c r="E46" i="3416"/>
  <c r="D46" i="3416"/>
  <c r="C46" i="3416" a="1"/>
  <c r="C46" i="3416"/>
  <c r="A46" i="3416"/>
  <c r="EM45" i="3416"/>
  <c r="EL45" i="3416"/>
  <c r="EK45" i="3416"/>
  <c r="EJ45" i="3416"/>
  <c r="EI45" i="3416"/>
  <c r="EH45" i="3416"/>
  <c r="EG45" i="3416"/>
  <c r="EF45" i="3416"/>
  <c r="EE45" i="3416"/>
  <c r="ED45" i="3416"/>
  <c r="EC45" i="3416"/>
  <c r="EB45" i="3416"/>
  <c r="EA45" i="3416"/>
  <c r="DZ45" i="3416"/>
  <c r="DY45" i="3416"/>
  <c r="DX45" i="3416"/>
  <c r="DW45" i="3416"/>
  <c r="DV45" i="3416"/>
  <c r="DU45" i="3416"/>
  <c r="DT45" i="3416"/>
  <c r="DS45" i="3416"/>
  <c r="DR45" i="3416"/>
  <c r="DQ45" i="3416"/>
  <c r="DP45" i="3416"/>
  <c r="DO45" i="3416"/>
  <c r="DN45" i="3416"/>
  <c r="DM45" i="3416"/>
  <c r="DL45" i="3416"/>
  <c r="DK45" i="3416"/>
  <c r="DJ45" i="3416"/>
  <c r="DI45" i="3416"/>
  <c r="DH45" i="3416"/>
  <c r="DG45" i="3416"/>
  <c r="DF45" i="3416"/>
  <c r="DE45" i="3416"/>
  <c r="DD45" i="3416"/>
  <c r="DC45" i="3416"/>
  <c r="DB45" i="3416"/>
  <c r="DA45" i="3416"/>
  <c r="CZ45" i="3416"/>
  <c r="CY45" i="3416"/>
  <c r="CX45" i="3416"/>
  <c r="CW45" i="3416"/>
  <c r="CV45" i="3416"/>
  <c r="CU45" i="3416"/>
  <c r="CT45" i="3416"/>
  <c r="CS45" i="3416"/>
  <c r="CR45" i="3416"/>
  <c r="CQ45" i="3416"/>
  <c r="CP45" i="3416"/>
  <c r="CO45" i="3416"/>
  <c r="CN45" i="3416"/>
  <c r="CM45" i="3416"/>
  <c r="CL45" i="3416"/>
  <c r="CK45" i="3416"/>
  <c r="CJ45" i="3416"/>
  <c r="CI45" i="3416"/>
  <c r="CH45" i="3416"/>
  <c r="CG45" i="3416"/>
  <c r="CF45" i="3416"/>
  <c r="CE45" i="3416"/>
  <c r="CD45" i="3416"/>
  <c r="CC45" i="3416"/>
  <c r="CB45" i="3416"/>
  <c r="CA45" i="3416"/>
  <c r="BZ45" i="3416"/>
  <c r="BY45" i="3416"/>
  <c r="BX45" i="3416"/>
  <c r="BW45" i="3416"/>
  <c r="BV45" i="3416"/>
  <c r="BU45" i="3416"/>
  <c r="BT45" i="3416"/>
  <c r="BS45" i="3416"/>
  <c r="BR45" i="3416"/>
  <c r="BQ45" i="3416"/>
  <c r="BP45" i="3416"/>
  <c r="BO45" i="3416"/>
  <c r="BN45" i="3416"/>
  <c r="BM45" i="3416"/>
  <c r="BL45" i="3416"/>
  <c r="BK45" i="3416"/>
  <c r="BJ45" i="3416"/>
  <c r="BI45" i="3416"/>
  <c r="BH45" i="3416"/>
  <c r="BG45" i="3416"/>
  <c r="BF45" i="3416"/>
  <c r="BE45" i="3416"/>
  <c r="BD45" i="3416"/>
  <c r="BC45" i="3416"/>
  <c r="BB45" i="3416"/>
  <c r="BA45" i="3416"/>
  <c r="AZ45" i="3416"/>
  <c r="AY45" i="3416"/>
  <c r="AX45" i="3416"/>
  <c r="AW45" i="3416"/>
  <c r="AV45" i="3416"/>
  <c r="AU45" i="3416"/>
  <c r="AT45" i="3416"/>
  <c r="AS45" i="3416"/>
  <c r="AR45" i="3416"/>
  <c r="AQ45" i="3416"/>
  <c r="AP45" i="3416"/>
  <c r="AO45" i="3416"/>
  <c r="AN45" i="3416"/>
  <c r="AM45" i="3416"/>
  <c r="AL45" i="3416"/>
  <c r="AK45" i="3416"/>
  <c r="AJ45" i="3416"/>
  <c r="AI45" i="3416"/>
  <c r="AH45" i="3416"/>
  <c r="AG45" i="3416"/>
  <c r="AF45" i="3416"/>
  <c r="AE45" i="3416"/>
  <c r="AD45" i="3416"/>
  <c r="AC45" i="3416"/>
  <c r="AB45" i="3416"/>
  <c r="AA45" i="3416"/>
  <c r="Z45" i="3416"/>
  <c r="Y45" i="3416"/>
  <c r="X45" i="3416"/>
  <c r="W45" i="3416"/>
  <c r="V45" i="3416"/>
  <c r="U45" i="3416"/>
  <c r="T45" i="3416"/>
  <c r="S45" i="3416"/>
  <c r="R45" i="3416"/>
  <c r="Q45" i="3416"/>
  <c r="P45" i="3416"/>
  <c r="O45" i="3416"/>
  <c r="N45" i="3416"/>
  <c r="M45" i="3416"/>
  <c r="L45" i="3416"/>
  <c r="K45" i="3416"/>
  <c r="J45" i="3416"/>
  <c r="I45" i="3416"/>
  <c r="H45" i="3416"/>
  <c r="G45" i="3416"/>
  <c r="F45" i="3416"/>
  <c r="E45" i="3416"/>
  <c r="D45" i="3416"/>
  <c r="C45" i="3416" a="1"/>
  <c r="C45" i="3416"/>
  <c r="A45" i="3416"/>
  <c r="EM44" i="3416"/>
  <c r="EL44" i="3416"/>
  <c r="EK44" i="3416"/>
  <c r="EJ44" i="3416"/>
  <c r="EI44" i="3416"/>
  <c r="EH44" i="3416"/>
  <c r="EG44" i="3416"/>
  <c r="EF44" i="3416"/>
  <c r="EE44" i="3416"/>
  <c r="ED44" i="3416"/>
  <c r="EC44" i="3416"/>
  <c r="EB44" i="3416"/>
  <c r="EA44" i="3416"/>
  <c r="DZ44" i="3416"/>
  <c r="DY44" i="3416"/>
  <c r="DX44" i="3416"/>
  <c r="DW44" i="3416"/>
  <c r="DV44" i="3416"/>
  <c r="DU44" i="3416"/>
  <c r="DT44" i="3416"/>
  <c r="DS44" i="3416"/>
  <c r="DR44" i="3416"/>
  <c r="DQ44" i="3416"/>
  <c r="DP44" i="3416"/>
  <c r="DO44" i="3416"/>
  <c r="DN44" i="3416"/>
  <c r="DM44" i="3416"/>
  <c r="DL44" i="3416"/>
  <c r="DK44" i="3416"/>
  <c r="DJ44" i="3416"/>
  <c r="DI44" i="3416"/>
  <c r="DH44" i="3416"/>
  <c r="DG44" i="3416"/>
  <c r="DF44" i="3416"/>
  <c r="DE44" i="3416"/>
  <c r="DD44" i="3416"/>
  <c r="DC44" i="3416"/>
  <c r="DB44" i="3416"/>
  <c r="DA44" i="3416"/>
  <c r="CZ44" i="3416"/>
  <c r="CY44" i="3416"/>
  <c r="CX44" i="3416"/>
  <c r="CW44" i="3416"/>
  <c r="CV44" i="3416"/>
  <c r="CU44" i="3416"/>
  <c r="CT44" i="3416"/>
  <c r="CS44" i="3416"/>
  <c r="CR44" i="3416"/>
  <c r="CQ44" i="3416"/>
  <c r="CP44" i="3416"/>
  <c r="CO44" i="3416"/>
  <c r="CN44" i="3416"/>
  <c r="CM44" i="3416"/>
  <c r="CL44" i="3416"/>
  <c r="CK44" i="3416"/>
  <c r="CJ44" i="3416"/>
  <c r="CI44" i="3416"/>
  <c r="CH44" i="3416"/>
  <c r="CG44" i="3416"/>
  <c r="CF44" i="3416"/>
  <c r="CE44" i="3416"/>
  <c r="CD44" i="3416"/>
  <c r="CC44" i="3416"/>
  <c r="CB44" i="3416"/>
  <c r="CA44" i="3416"/>
  <c r="BZ44" i="3416"/>
  <c r="BY44" i="3416"/>
  <c r="BX44" i="3416"/>
  <c r="BW44" i="3416"/>
  <c r="BV44" i="3416"/>
  <c r="BU44" i="3416"/>
  <c r="BT44" i="3416"/>
  <c r="BS44" i="3416"/>
  <c r="BR44" i="3416"/>
  <c r="BQ44" i="3416"/>
  <c r="BP44" i="3416"/>
  <c r="BO44" i="3416"/>
  <c r="BN44" i="3416"/>
  <c r="BM44" i="3416"/>
  <c r="BL44" i="3416"/>
  <c r="BK44" i="3416"/>
  <c r="BJ44" i="3416"/>
  <c r="BI44" i="3416"/>
  <c r="BH44" i="3416"/>
  <c r="BG44" i="3416"/>
  <c r="BF44" i="3416"/>
  <c r="BE44" i="3416"/>
  <c r="BD44" i="3416"/>
  <c r="BC44" i="3416"/>
  <c r="BB44" i="3416"/>
  <c r="BA44" i="3416"/>
  <c r="AZ44" i="3416"/>
  <c r="AY44" i="3416"/>
  <c r="AX44" i="3416"/>
  <c r="AW44" i="3416"/>
  <c r="AV44" i="3416"/>
  <c r="AU44" i="3416"/>
  <c r="AT44" i="3416"/>
  <c r="AS44" i="3416"/>
  <c r="AR44" i="3416"/>
  <c r="AQ44" i="3416"/>
  <c r="AP44" i="3416"/>
  <c r="AO44" i="3416"/>
  <c r="AN44" i="3416"/>
  <c r="AM44" i="3416"/>
  <c r="AL44" i="3416"/>
  <c r="AK44" i="3416"/>
  <c r="AJ44" i="3416"/>
  <c r="AI44" i="3416"/>
  <c r="AH44" i="3416"/>
  <c r="AG44" i="3416"/>
  <c r="AF44" i="3416"/>
  <c r="AE44" i="3416"/>
  <c r="AD44" i="3416"/>
  <c r="AC44" i="3416"/>
  <c r="AB44" i="3416"/>
  <c r="AA44" i="3416"/>
  <c r="Z44" i="3416"/>
  <c r="Y44" i="3416"/>
  <c r="X44" i="3416"/>
  <c r="W44" i="3416"/>
  <c r="V44" i="3416"/>
  <c r="U44" i="3416"/>
  <c r="T44" i="3416"/>
  <c r="S44" i="3416"/>
  <c r="R44" i="3416"/>
  <c r="Q44" i="3416"/>
  <c r="P44" i="3416"/>
  <c r="O44" i="3416"/>
  <c r="N44" i="3416"/>
  <c r="M44" i="3416"/>
  <c r="L44" i="3416"/>
  <c r="K44" i="3416"/>
  <c r="J44" i="3416"/>
  <c r="I44" i="3416"/>
  <c r="H44" i="3416"/>
  <c r="G44" i="3416"/>
  <c r="F44" i="3416"/>
  <c r="E44" i="3416"/>
  <c r="D44" i="3416"/>
  <c r="C44" i="3416" a="1"/>
  <c r="C44" i="3416"/>
  <c r="A44" i="3416"/>
  <c r="EM43" i="3416"/>
  <c r="EL43" i="3416"/>
  <c r="EK43" i="3416"/>
  <c r="EJ43" i="3416"/>
  <c r="EI43" i="3416"/>
  <c r="EH43" i="3416"/>
  <c r="EG43" i="3416"/>
  <c r="EF43" i="3416"/>
  <c r="EE43" i="3416"/>
  <c r="ED43" i="3416"/>
  <c r="EC43" i="3416"/>
  <c r="EB43" i="3416"/>
  <c r="EA43" i="3416"/>
  <c r="DZ43" i="3416"/>
  <c r="DY43" i="3416"/>
  <c r="DX43" i="3416"/>
  <c r="DW43" i="3416"/>
  <c r="DV43" i="3416"/>
  <c r="DU43" i="3416"/>
  <c r="DT43" i="3416"/>
  <c r="DS43" i="3416"/>
  <c r="DR43" i="3416"/>
  <c r="DQ43" i="3416"/>
  <c r="DP43" i="3416"/>
  <c r="DO43" i="3416"/>
  <c r="DN43" i="3416"/>
  <c r="DM43" i="3416"/>
  <c r="DL43" i="3416"/>
  <c r="DK43" i="3416"/>
  <c r="DJ43" i="3416"/>
  <c r="DI43" i="3416"/>
  <c r="DH43" i="3416"/>
  <c r="DG43" i="3416"/>
  <c r="DF43" i="3416"/>
  <c r="DE43" i="3416"/>
  <c r="DD43" i="3416"/>
  <c r="DC43" i="3416"/>
  <c r="DB43" i="3416"/>
  <c r="DA43" i="3416"/>
  <c r="CZ43" i="3416"/>
  <c r="CY43" i="3416"/>
  <c r="CX43" i="3416"/>
  <c r="CW43" i="3416"/>
  <c r="CV43" i="3416"/>
  <c r="CU43" i="3416"/>
  <c r="CT43" i="3416"/>
  <c r="CS43" i="3416"/>
  <c r="CR43" i="3416"/>
  <c r="CQ43" i="3416"/>
  <c r="CP43" i="3416"/>
  <c r="CO43" i="3416"/>
  <c r="CN43" i="3416"/>
  <c r="CM43" i="3416"/>
  <c r="CL43" i="3416"/>
  <c r="CK43" i="3416"/>
  <c r="CJ43" i="3416"/>
  <c r="CI43" i="3416"/>
  <c r="CH43" i="3416"/>
  <c r="CG43" i="3416"/>
  <c r="CF43" i="3416"/>
  <c r="CE43" i="3416"/>
  <c r="CD43" i="3416"/>
  <c r="CC43" i="3416"/>
  <c r="CB43" i="3416"/>
  <c r="CA43" i="3416"/>
  <c r="BZ43" i="3416"/>
  <c r="BY43" i="3416"/>
  <c r="BX43" i="3416"/>
  <c r="BW43" i="3416"/>
  <c r="BV43" i="3416"/>
  <c r="BU43" i="3416"/>
  <c r="BT43" i="3416"/>
  <c r="BS43" i="3416"/>
  <c r="BR43" i="3416"/>
  <c r="BQ43" i="3416"/>
  <c r="BP43" i="3416"/>
  <c r="BO43" i="3416"/>
  <c r="BN43" i="3416"/>
  <c r="BM43" i="3416"/>
  <c r="BL43" i="3416"/>
  <c r="BK43" i="3416"/>
  <c r="BJ43" i="3416"/>
  <c r="BI43" i="3416"/>
  <c r="BH43" i="3416"/>
  <c r="BG43" i="3416"/>
  <c r="BF43" i="3416"/>
  <c r="BE43" i="3416"/>
  <c r="BD43" i="3416"/>
  <c r="BC43" i="3416"/>
  <c r="BB43" i="3416"/>
  <c r="BA43" i="3416"/>
  <c r="AZ43" i="3416"/>
  <c r="AY43" i="3416"/>
  <c r="AX43" i="3416"/>
  <c r="AW43" i="3416"/>
  <c r="AV43" i="3416"/>
  <c r="AU43" i="3416"/>
  <c r="AT43" i="3416"/>
  <c r="AS43" i="3416"/>
  <c r="AR43" i="3416"/>
  <c r="AQ43" i="3416"/>
  <c r="AP43" i="3416"/>
  <c r="AO43" i="3416"/>
  <c r="AN43" i="3416"/>
  <c r="AM43" i="3416"/>
  <c r="AL43" i="3416"/>
  <c r="AK43" i="3416"/>
  <c r="AJ43" i="3416"/>
  <c r="AI43" i="3416"/>
  <c r="AH43" i="3416"/>
  <c r="AG43" i="3416"/>
  <c r="AF43" i="3416"/>
  <c r="AE43" i="3416"/>
  <c r="AD43" i="3416"/>
  <c r="AC43" i="3416"/>
  <c r="AB43" i="3416"/>
  <c r="AA43" i="3416"/>
  <c r="Z43" i="3416"/>
  <c r="Y43" i="3416"/>
  <c r="X43" i="3416"/>
  <c r="W43" i="3416"/>
  <c r="V43" i="3416"/>
  <c r="U43" i="3416"/>
  <c r="T43" i="3416"/>
  <c r="S43" i="3416"/>
  <c r="R43" i="3416"/>
  <c r="Q43" i="3416"/>
  <c r="P43" i="3416"/>
  <c r="O43" i="3416"/>
  <c r="N43" i="3416"/>
  <c r="M43" i="3416"/>
  <c r="L43" i="3416"/>
  <c r="K43" i="3416"/>
  <c r="J43" i="3416"/>
  <c r="I43" i="3416"/>
  <c r="H43" i="3416"/>
  <c r="G43" i="3416"/>
  <c r="F43" i="3416"/>
  <c r="E43" i="3416"/>
  <c r="D43" i="3416"/>
  <c r="C43" i="3416" a="1"/>
  <c r="C43" i="3416"/>
  <c r="A43" i="3416"/>
  <c r="EM42" i="3416"/>
  <c r="EL42" i="3416"/>
  <c r="EK42" i="3416"/>
  <c r="EJ42" i="3416"/>
  <c r="EI42" i="3416"/>
  <c r="EH42" i="3416"/>
  <c r="EG42" i="3416"/>
  <c r="EF42" i="3416"/>
  <c r="EE42" i="3416"/>
  <c r="ED42" i="3416"/>
  <c r="EC42" i="3416"/>
  <c r="EB42" i="3416"/>
  <c r="EA42" i="3416"/>
  <c r="DZ42" i="3416"/>
  <c r="DY42" i="3416"/>
  <c r="DX42" i="3416"/>
  <c r="DW42" i="3416"/>
  <c r="DV42" i="3416"/>
  <c r="DU42" i="3416"/>
  <c r="DT42" i="3416"/>
  <c r="DS42" i="3416"/>
  <c r="DR42" i="3416"/>
  <c r="DQ42" i="3416"/>
  <c r="DP42" i="3416"/>
  <c r="DO42" i="3416"/>
  <c r="DN42" i="3416"/>
  <c r="DM42" i="3416"/>
  <c r="DL42" i="3416"/>
  <c r="DK42" i="3416"/>
  <c r="DJ42" i="3416"/>
  <c r="DI42" i="3416"/>
  <c r="DH42" i="3416"/>
  <c r="DG42" i="3416"/>
  <c r="DF42" i="3416"/>
  <c r="DE42" i="3416"/>
  <c r="DD42" i="3416"/>
  <c r="DC42" i="3416"/>
  <c r="DB42" i="3416"/>
  <c r="DA42" i="3416"/>
  <c r="CZ42" i="3416"/>
  <c r="CY42" i="3416"/>
  <c r="CX42" i="3416"/>
  <c r="CW42" i="3416"/>
  <c r="CV42" i="3416"/>
  <c r="CU42" i="3416"/>
  <c r="CT42" i="3416"/>
  <c r="CS42" i="3416"/>
  <c r="CR42" i="3416"/>
  <c r="CQ42" i="3416"/>
  <c r="CP42" i="3416"/>
  <c r="CO42" i="3416"/>
  <c r="CN42" i="3416"/>
  <c r="CM42" i="3416"/>
  <c r="CL42" i="3416"/>
  <c r="CK42" i="3416"/>
  <c r="CJ42" i="3416"/>
  <c r="CI42" i="3416"/>
  <c r="CH42" i="3416"/>
  <c r="CG42" i="3416"/>
  <c r="CF42" i="3416"/>
  <c r="CE42" i="3416"/>
  <c r="CD42" i="3416"/>
  <c r="CC42" i="3416"/>
  <c r="CB42" i="3416"/>
  <c r="CA42" i="3416"/>
  <c r="BZ42" i="3416"/>
  <c r="BY42" i="3416"/>
  <c r="BX42" i="3416"/>
  <c r="BW42" i="3416"/>
  <c r="BV42" i="3416"/>
  <c r="BU42" i="3416"/>
  <c r="BT42" i="3416"/>
  <c r="BS42" i="3416"/>
  <c r="BR42" i="3416"/>
  <c r="BQ42" i="3416"/>
  <c r="BP42" i="3416"/>
  <c r="BO42" i="3416"/>
  <c r="BN42" i="3416"/>
  <c r="BM42" i="3416"/>
  <c r="BL42" i="3416"/>
  <c r="BK42" i="3416"/>
  <c r="BJ42" i="3416"/>
  <c r="BI42" i="3416"/>
  <c r="BH42" i="3416"/>
  <c r="BG42" i="3416"/>
  <c r="BF42" i="3416"/>
  <c r="BE42" i="3416"/>
  <c r="BD42" i="3416"/>
  <c r="BC42" i="3416"/>
  <c r="BB42" i="3416"/>
  <c r="BA42" i="3416"/>
  <c r="AZ42" i="3416"/>
  <c r="AY42" i="3416"/>
  <c r="AX42" i="3416"/>
  <c r="AW42" i="3416"/>
  <c r="AV42" i="3416"/>
  <c r="AU42" i="3416"/>
  <c r="AT42" i="3416"/>
  <c r="AS42" i="3416"/>
  <c r="AR42" i="3416"/>
  <c r="AQ42" i="3416"/>
  <c r="AP42" i="3416"/>
  <c r="AO42" i="3416"/>
  <c r="AN42" i="3416"/>
  <c r="AM42" i="3416"/>
  <c r="AL42" i="3416"/>
  <c r="AK42" i="3416"/>
  <c r="AJ42" i="3416"/>
  <c r="AI42" i="3416"/>
  <c r="AH42" i="3416"/>
  <c r="AG42" i="3416"/>
  <c r="AF42" i="3416"/>
  <c r="AE42" i="3416"/>
  <c r="AD42" i="3416"/>
  <c r="AC42" i="3416"/>
  <c r="AB42" i="3416"/>
  <c r="AA42" i="3416"/>
  <c r="Z42" i="3416"/>
  <c r="Y42" i="3416"/>
  <c r="X42" i="3416"/>
  <c r="W42" i="3416"/>
  <c r="V42" i="3416"/>
  <c r="U42" i="3416"/>
  <c r="T42" i="3416"/>
  <c r="S42" i="3416"/>
  <c r="R42" i="3416"/>
  <c r="Q42" i="3416"/>
  <c r="P42" i="3416"/>
  <c r="O42" i="3416"/>
  <c r="N42" i="3416"/>
  <c r="M42" i="3416"/>
  <c r="L42" i="3416"/>
  <c r="K42" i="3416"/>
  <c r="J42" i="3416"/>
  <c r="I42" i="3416"/>
  <c r="H42" i="3416"/>
  <c r="G42" i="3416"/>
  <c r="F42" i="3416"/>
  <c r="E42" i="3416"/>
  <c r="D42" i="3416"/>
  <c r="C42" i="3416" a="1"/>
  <c r="C42" i="3416"/>
  <c r="A42" i="3416"/>
  <c r="EM41" i="3416"/>
  <c r="EL41" i="3416"/>
  <c r="EK41" i="3416"/>
  <c r="EJ41" i="3416"/>
  <c r="EI41" i="3416"/>
  <c r="EH41" i="3416"/>
  <c r="EG41" i="3416"/>
  <c r="EF41" i="3416"/>
  <c r="EE41" i="3416"/>
  <c r="ED41" i="3416"/>
  <c r="EC41" i="3416"/>
  <c r="EB41" i="3416"/>
  <c r="EA41" i="3416"/>
  <c r="DZ41" i="3416"/>
  <c r="DY41" i="3416"/>
  <c r="DX41" i="3416"/>
  <c r="DW41" i="3416"/>
  <c r="DV41" i="3416"/>
  <c r="DU41" i="3416"/>
  <c r="DT41" i="3416"/>
  <c r="DS41" i="3416"/>
  <c r="DR41" i="3416"/>
  <c r="DQ41" i="3416"/>
  <c r="DP41" i="3416"/>
  <c r="DO41" i="3416"/>
  <c r="DN41" i="3416"/>
  <c r="DM41" i="3416"/>
  <c r="DL41" i="3416"/>
  <c r="DK41" i="3416"/>
  <c r="DJ41" i="3416"/>
  <c r="DI41" i="3416"/>
  <c r="DH41" i="3416"/>
  <c r="DG41" i="3416"/>
  <c r="DF41" i="3416"/>
  <c r="DE41" i="3416"/>
  <c r="DD41" i="3416"/>
  <c r="DC41" i="3416"/>
  <c r="DB41" i="3416"/>
  <c r="DA41" i="3416"/>
  <c r="CZ41" i="3416"/>
  <c r="CY41" i="3416"/>
  <c r="CX41" i="3416"/>
  <c r="CW41" i="3416"/>
  <c r="CV41" i="3416"/>
  <c r="CU41" i="3416"/>
  <c r="CT41" i="3416"/>
  <c r="CS41" i="3416"/>
  <c r="CR41" i="3416"/>
  <c r="CQ41" i="3416"/>
  <c r="CP41" i="3416"/>
  <c r="CO41" i="3416"/>
  <c r="CN41" i="3416"/>
  <c r="CM41" i="3416"/>
  <c r="CL41" i="3416"/>
  <c r="CK41" i="3416"/>
  <c r="CJ41" i="3416"/>
  <c r="CI41" i="3416"/>
  <c r="CH41" i="3416"/>
  <c r="CG41" i="3416"/>
  <c r="CF41" i="3416"/>
  <c r="CE41" i="3416"/>
  <c r="CD41" i="3416"/>
  <c r="CC41" i="3416"/>
  <c r="CB41" i="3416"/>
  <c r="CA41" i="3416"/>
  <c r="BZ41" i="3416"/>
  <c r="BY41" i="3416"/>
  <c r="BX41" i="3416"/>
  <c r="BW41" i="3416"/>
  <c r="BV41" i="3416"/>
  <c r="BU41" i="3416"/>
  <c r="BT41" i="3416"/>
  <c r="BS41" i="3416"/>
  <c r="BR41" i="3416"/>
  <c r="BQ41" i="3416"/>
  <c r="BP41" i="3416"/>
  <c r="BO41" i="3416"/>
  <c r="BN41" i="3416"/>
  <c r="BM41" i="3416"/>
  <c r="BL41" i="3416"/>
  <c r="BK41" i="3416"/>
  <c r="BJ41" i="3416"/>
  <c r="BI41" i="3416"/>
  <c r="BH41" i="3416"/>
  <c r="BG41" i="3416"/>
  <c r="BF41" i="3416"/>
  <c r="BE41" i="3416"/>
  <c r="BD41" i="3416"/>
  <c r="BC41" i="3416"/>
  <c r="BB41" i="3416"/>
  <c r="BA41" i="3416"/>
  <c r="AZ41" i="3416"/>
  <c r="AY41" i="3416"/>
  <c r="AX41" i="3416"/>
  <c r="AW41" i="3416"/>
  <c r="AV41" i="3416"/>
  <c r="AU41" i="3416"/>
  <c r="AT41" i="3416"/>
  <c r="AS41" i="3416"/>
  <c r="AR41" i="3416"/>
  <c r="AQ41" i="3416"/>
  <c r="AP41" i="3416"/>
  <c r="AO41" i="3416"/>
  <c r="AN41" i="3416"/>
  <c r="AM41" i="3416"/>
  <c r="AL41" i="3416"/>
  <c r="AK41" i="3416"/>
  <c r="AJ41" i="3416"/>
  <c r="AI41" i="3416"/>
  <c r="AH41" i="3416"/>
  <c r="AG41" i="3416"/>
  <c r="AF41" i="3416"/>
  <c r="AE41" i="3416"/>
  <c r="AD41" i="3416"/>
  <c r="AC41" i="3416"/>
  <c r="AB41" i="3416"/>
  <c r="AA41" i="3416"/>
  <c r="Z41" i="3416"/>
  <c r="Y41" i="3416"/>
  <c r="X41" i="3416"/>
  <c r="W41" i="3416"/>
  <c r="V41" i="3416"/>
  <c r="U41" i="3416"/>
  <c r="T41" i="3416"/>
  <c r="S41" i="3416"/>
  <c r="R41" i="3416"/>
  <c r="Q41" i="3416"/>
  <c r="P41" i="3416"/>
  <c r="O41" i="3416"/>
  <c r="N41" i="3416"/>
  <c r="M41" i="3416"/>
  <c r="L41" i="3416"/>
  <c r="K41" i="3416"/>
  <c r="J41" i="3416"/>
  <c r="I41" i="3416"/>
  <c r="H41" i="3416"/>
  <c r="G41" i="3416"/>
  <c r="F41" i="3416"/>
  <c r="E41" i="3416"/>
  <c r="D41" i="3416"/>
  <c r="C41" i="3416" a="1"/>
  <c r="C41" i="3416"/>
  <c r="A41" i="3416"/>
  <c r="EM40" i="3416"/>
  <c r="EL40" i="3416"/>
  <c r="EK40" i="3416"/>
  <c r="EJ40" i="3416"/>
  <c r="EI40" i="3416"/>
  <c r="EH40" i="3416"/>
  <c r="EG40" i="3416"/>
  <c r="EF40" i="3416"/>
  <c r="EE40" i="3416"/>
  <c r="ED40" i="3416"/>
  <c r="EC40" i="3416"/>
  <c r="EB40" i="3416"/>
  <c r="EA40" i="3416"/>
  <c r="DZ40" i="3416"/>
  <c r="DY40" i="3416"/>
  <c r="DX40" i="3416"/>
  <c r="DW40" i="3416"/>
  <c r="DV40" i="3416"/>
  <c r="DU40" i="3416"/>
  <c r="DT40" i="3416"/>
  <c r="DS40" i="3416"/>
  <c r="DR40" i="3416"/>
  <c r="DQ40" i="3416"/>
  <c r="DP40" i="3416"/>
  <c r="DO40" i="3416"/>
  <c r="DN40" i="3416"/>
  <c r="DM40" i="3416"/>
  <c r="DL40" i="3416"/>
  <c r="DK40" i="3416"/>
  <c r="DJ40" i="3416"/>
  <c r="DI40" i="3416"/>
  <c r="DH40" i="3416"/>
  <c r="DG40" i="3416"/>
  <c r="DF40" i="3416"/>
  <c r="DE40" i="3416"/>
  <c r="DD40" i="3416"/>
  <c r="DC40" i="3416"/>
  <c r="DB40" i="3416"/>
  <c r="DA40" i="3416"/>
  <c r="CZ40" i="3416"/>
  <c r="CY40" i="3416"/>
  <c r="CX40" i="3416"/>
  <c r="CW40" i="3416"/>
  <c r="CV40" i="3416"/>
  <c r="CU40" i="3416"/>
  <c r="CT40" i="3416"/>
  <c r="CS40" i="3416"/>
  <c r="CR40" i="3416"/>
  <c r="CQ40" i="3416"/>
  <c r="CP40" i="3416"/>
  <c r="CO40" i="3416"/>
  <c r="CN40" i="3416"/>
  <c r="CM40" i="3416"/>
  <c r="CL40" i="3416"/>
  <c r="CK40" i="3416"/>
  <c r="CJ40" i="3416"/>
  <c r="CI40" i="3416"/>
  <c r="CH40" i="3416"/>
  <c r="CG40" i="3416"/>
  <c r="CF40" i="3416"/>
  <c r="CE40" i="3416"/>
  <c r="CD40" i="3416"/>
  <c r="CC40" i="3416"/>
  <c r="CB40" i="3416"/>
  <c r="CA40" i="3416"/>
  <c r="BZ40" i="3416"/>
  <c r="BY40" i="3416"/>
  <c r="BX40" i="3416"/>
  <c r="BW40" i="3416"/>
  <c r="BV40" i="3416"/>
  <c r="BU40" i="3416"/>
  <c r="BT40" i="3416"/>
  <c r="BS40" i="3416"/>
  <c r="BR40" i="3416"/>
  <c r="BQ40" i="3416"/>
  <c r="BP40" i="3416"/>
  <c r="BO40" i="3416"/>
  <c r="BN40" i="3416"/>
  <c r="BM40" i="3416"/>
  <c r="BL40" i="3416"/>
  <c r="BK40" i="3416"/>
  <c r="BJ40" i="3416"/>
  <c r="BI40" i="3416"/>
  <c r="BH40" i="3416"/>
  <c r="BG40" i="3416"/>
  <c r="BF40" i="3416"/>
  <c r="BE40" i="3416"/>
  <c r="BD40" i="3416"/>
  <c r="BC40" i="3416"/>
  <c r="BB40" i="3416"/>
  <c r="BA40" i="3416"/>
  <c r="AZ40" i="3416"/>
  <c r="AY40" i="3416"/>
  <c r="AX40" i="3416"/>
  <c r="AW40" i="3416"/>
  <c r="AV40" i="3416"/>
  <c r="AU40" i="3416"/>
  <c r="AT40" i="3416"/>
  <c r="AS40" i="3416"/>
  <c r="AR40" i="3416"/>
  <c r="AQ40" i="3416"/>
  <c r="AP40" i="3416"/>
  <c r="AO40" i="3416"/>
  <c r="AN40" i="3416"/>
  <c r="AM40" i="3416"/>
  <c r="AL40" i="3416"/>
  <c r="AK40" i="3416"/>
  <c r="AJ40" i="3416"/>
  <c r="AI40" i="3416"/>
  <c r="AH40" i="3416"/>
  <c r="AG40" i="3416"/>
  <c r="AF40" i="3416"/>
  <c r="AE40" i="3416"/>
  <c r="AD40" i="3416"/>
  <c r="AC40" i="3416"/>
  <c r="AB40" i="3416"/>
  <c r="AA40" i="3416"/>
  <c r="Z40" i="3416"/>
  <c r="Y40" i="3416"/>
  <c r="X40" i="3416"/>
  <c r="W40" i="3416"/>
  <c r="V40" i="3416"/>
  <c r="U40" i="3416"/>
  <c r="T40" i="3416"/>
  <c r="S40" i="3416"/>
  <c r="R40" i="3416"/>
  <c r="Q40" i="3416"/>
  <c r="P40" i="3416"/>
  <c r="O40" i="3416"/>
  <c r="N40" i="3416"/>
  <c r="M40" i="3416"/>
  <c r="L40" i="3416"/>
  <c r="K40" i="3416"/>
  <c r="J40" i="3416"/>
  <c r="I40" i="3416"/>
  <c r="H40" i="3416"/>
  <c r="G40" i="3416"/>
  <c r="F40" i="3416"/>
  <c r="E40" i="3416"/>
  <c r="D40" i="3416"/>
  <c r="C40" i="3416" a="1"/>
  <c r="C40" i="3416"/>
  <c r="A40" i="3416"/>
  <c r="EM39" i="3416"/>
  <c r="EL39" i="3416"/>
  <c r="EK39" i="3416"/>
  <c r="EJ39" i="3416"/>
  <c r="EI39" i="3416"/>
  <c r="EH39" i="3416"/>
  <c r="EG39" i="3416"/>
  <c r="EF39" i="3416"/>
  <c r="EE39" i="3416"/>
  <c r="ED39" i="3416"/>
  <c r="EC39" i="3416"/>
  <c r="EB39" i="3416"/>
  <c r="EA39" i="3416"/>
  <c r="DZ39" i="3416"/>
  <c r="DY39" i="3416"/>
  <c r="DX39" i="3416"/>
  <c r="DW39" i="3416"/>
  <c r="DV39" i="3416"/>
  <c r="DU39" i="3416"/>
  <c r="DT39" i="3416"/>
  <c r="DS39" i="3416"/>
  <c r="DR39" i="3416"/>
  <c r="DQ39" i="3416"/>
  <c r="DP39" i="3416"/>
  <c r="DO39" i="3416"/>
  <c r="DN39" i="3416"/>
  <c r="DM39" i="3416"/>
  <c r="DL39" i="3416"/>
  <c r="DK39" i="3416"/>
  <c r="DJ39" i="3416"/>
  <c r="DI39" i="3416"/>
  <c r="DH39" i="3416"/>
  <c r="DG39" i="3416"/>
  <c r="DF39" i="3416"/>
  <c r="DE39" i="3416"/>
  <c r="DD39" i="3416"/>
  <c r="DC39" i="3416"/>
  <c r="DB39" i="3416"/>
  <c r="DA39" i="3416"/>
  <c r="CZ39" i="3416"/>
  <c r="CY39" i="3416"/>
  <c r="CX39" i="3416"/>
  <c r="CW39" i="3416"/>
  <c r="CV39" i="3416"/>
  <c r="CU39" i="3416"/>
  <c r="CT39" i="3416"/>
  <c r="CS39" i="3416"/>
  <c r="CR39" i="3416"/>
  <c r="CQ39" i="3416"/>
  <c r="CP39" i="3416"/>
  <c r="CO39" i="3416"/>
  <c r="CN39" i="3416"/>
  <c r="CM39" i="3416"/>
  <c r="CL39" i="3416"/>
  <c r="CK39" i="3416"/>
  <c r="CJ39" i="3416"/>
  <c r="CI39" i="3416"/>
  <c r="CH39" i="3416"/>
  <c r="CG39" i="3416"/>
  <c r="CF39" i="3416"/>
  <c r="CE39" i="3416"/>
  <c r="CD39" i="3416"/>
  <c r="CC39" i="3416"/>
  <c r="CB39" i="3416"/>
  <c r="CA39" i="3416"/>
  <c r="BZ39" i="3416"/>
  <c r="BY39" i="3416"/>
  <c r="BX39" i="3416"/>
  <c r="BW39" i="3416"/>
  <c r="BV39" i="3416"/>
  <c r="BU39" i="3416"/>
  <c r="BT39" i="3416"/>
  <c r="BS39" i="3416"/>
  <c r="BR39" i="3416"/>
  <c r="BQ39" i="3416"/>
  <c r="BP39" i="3416"/>
  <c r="BO39" i="3416"/>
  <c r="BN39" i="3416"/>
  <c r="BM39" i="3416"/>
  <c r="BL39" i="3416"/>
  <c r="BK39" i="3416"/>
  <c r="BJ39" i="3416"/>
  <c r="BI39" i="3416"/>
  <c r="BH39" i="3416"/>
  <c r="BG39" i="3416"/>
  <c r="BF39" i="3416"/>
  <c r="BE39" i="3416"/>
  <c r="BD39" i="3416"/>
  <c r="BC39" i="3416"/>
  <c r="BB39" i="3416"/>
  <c r="BA39" i="3416"/>
  <c r="AZ39" i="3416"/>
  <c r="AY39" i="3416"/>
  <c r="AX39" i="3416"/>
  <c r="AW39" i="3416"/>
  <c r="AV39" i="3416"/>
  <c r="AU39" i="3416"/>
  <c r="AT39" i="3416"/>
  <c r="AS39" i="3416"/>
  <c r="AR39" i="3416"/>
  <c r="AQ39" i="3416"/>
  <c r="AP39" i="3416"/>
  <c r="AO39" i="3416"/>
  <c r="AN39" i="3416"/>
  <c r="AM39" i="3416"/>
  <c r="AL39" i="3416"/>
  <c r="AK39" i="3416"/>
  <c r="AJ39" i="3416"/>
  <c r="AI39" i="3416"/>
  <c r="AH39" i="3416"/>
  <c r="AG39" i="3416"/>
  <c r="AF39" i="3416"/>
  <c r="AE39" i="3416"/>
  <c r="AD39" i="3416"/>
  <c r="AC39" i="3416"/>
  <c r="AB39" i="3416"/>
  <c r="AA39" i="3416"/>
  <c r="Z39" i="3416"/>
  <c r="Y39" i="3416"/>
  <c r="X39" i="3416"/>
  <c r="W39" i="3416"/>
  <c r="V39" i="3416"/>
  <c r="U39" i="3416"/>
  <c r="T39" i="3416"/>
  <c r="S39" i="3416"/>
  <c r="R39" i="3416"/>
  <c r="Q39" i="3416"/>
  <c r="P39" i="3416"/>
  <c r="O39" i="3416"/>
  <c r="N39" i="3416"/>
  <c r="M39" i="3416"/>
  <c r="L39" i="3416"/>
  <c r="K39" i="3416"/>
  <c r="J39" i="3416"/>
  <c r="I39" i="3416"/>
  <c r="H39" i="3416"/>
  <c r="G39" i="3416"/>
  <c r="F39" i="3416"/>
  <c r="E39" i="3416"/>
  <c r="D39" i="3416"/>
  <c r="C39" i="3416" a="1"/>
  <c r="C39" i="3416"/>
  <c r="A39" i="3416"/>
  <c r="EM38" i="3416"/>
  <c r="EL38" i="3416"/>
  <c r="EK38" i="3416"/>
  <c r="EJ38" i="3416"/>
  <c r="EI38" i="3416"/>
  <c r="EH38" i="3416"/>
  <c r="EG38" i="3416"/>
  <c r="EF38" i="3416"/>
  <c r="EE38" i="3416"/>
  <c r="ED38" i="3416"/>
  <c r="EC38" i="3416"/>
  <c r="EB38" i="3416"/>
  <c r="EA38" i="3416"/>
  <c r="DZ38" i="3416"/>
  <c r="DY38" i="3416"/>
  <c r="DX38" i="3416"/>
  <c r="DW38" i="3416"/>
  <c r="DV38" i="3416"/>
  <c r="DU38" i="3416"/>
  <c r="DT38" i="3416"/>
  <c r="DS38" i="3416"/>
  <c r="DR38" i="3416"/>
  <c r="DQ38" i="3416"/>
  <c r="DP38" i="3416"/>
  <c r="DO38" i="3416"/>
  <c r="DN38" i="3416"/>
  <c r="DM38" i="3416"/>
  <c r="DL38" i="3416"/>
  <c r="DK38" i="3416"/>
  <c r="DJ38" i="3416"/>
  <c r="DI38" i="3416"/>
  <c r="DH38" i="3416"/>
  <c r="DG38" i="3416"/>
  <c r="DF38" i="3416"/>
  <c r="DE38" i="3416"/>
  <c r="DD38" i="3416"/>
  <c r="DC38" i="3416"/>
  <c r="DB38" i="3416"/>
  <c r="DA38" i="3416"/>
  <c r="CZ38" i="3416"/>
  <c r="CY38" i="3416"/>
  <c r="CX38" i="3416"/>
  <c r="CW38" i="3416"/>
  <c r="CV38" i="3416"/>
  <c r="CU38" i="3416"/>
  <c r="CT38" i="3416"/>
  <c r="CS38" i="3416"/>
  <c r="CR38" i="3416"/>
  <c r="CQ38" i="3416"/>
  <c r="CP38" i="3416"/>
  <c r="CO38" i="3416"/>
  <c r="CN38" i="3416"/>
  <c r="CM38" i="3416"/>
  <c r="CL38" i="3416"/>
  <c r="CK38" i="3416"/>
  <c r="CJ38" i="3416"/>
  <c r="CI38" i="3416"/>
  <c r="CH38" i="3416"/>
  <c r="CG38" i="3416"/>
  <c r="CF38" i="3416"/>
  <c r="CE38" i="3416"/>
  <c r="CD38" i="3416"/>
  <c r="CC38" i="3416"/>
  <c r="CB38" i="3416"/>
  <c r="CA38" i="3416"/>
  <c r="BZ38" i="3416"/>
  <c r="BY38" i="3416"/>
  <c r="BX38" i="3416"/>
  <c r="BW38" i="3416"/>
  <c r="BV38" i="3416"/>
  <c r="BU38" i="3416"/>
  <c r="BT38" i="3416"/>
  <c r="BS38" i="3416"/>
  <c r="BR38" i="3416"/>
  <c r="BQ38" i="3416"/>
  <c r="BP38" i="3416"/>
  <c r="BO38" i="3416"/>
  <c r="BN38" i="3416"/>
  <c r="BM38" i="3416"/>
  <c r="BL38" i="3416"/>
  <c r="BK38" i="3416"/>
  <c r="BJ38" i="3416"/>
  <c r="BI38" i="3416"/>
  <c r="BH38" i="3416"/>
  <c r="BG38" i="3416"/>
  <c r="BF38" i="3416"/>
  <c r="BE38" i="3416"/>
  <c r="BD38" i="3416"/>
  <c r="BC38" i="3416"/>
  <c r="BB38" i="3416"/>
  <c r="BA38" i="3416"/>
  <c r="AZ38" i="3416"/>
  <c r="AY38" i="3416"/>
  <c r="AX38" i="3416"/>
  <c r="AW38" i="3416"/>
  <c r="AV38" i="3416"/>
  <c r="AU38" i="3416"/>
  <c r="AT38" i="3416"/>
  <c r="AS38" i="3416"/>
  <c r="AR38" i="3416"/>
  <c r="AQ38" i="3416"/>
  <c r="AP38" i="3416"/>
  <c r="AO38" i="3416"/>
  <c r="AN38" i="3416"/>
  <c r="AM38" i="3416"/>
  <c r="AL38" i="3416"/>
  <c r="AK38" i="3416"/>
  <c r="AJ38" i="3416"/>
  <c r="AI38" i="3416"/>
  <c r="AH38" i="3416"/>
  <c r="AG38" i="3416"/>
  <c r="AF38" i="3416"/>
  <c r="AE38" i="3416"/>
  <c r="AD38" i="3416"/>
  <c r="AC38" i="3416"/>
  <c r="AB38" i="3416"/>
  <c r="AA38" i="3416"/>
  <c r="Z38" i="3416"/>
  <c r="Y38" i="3416"/>
  <c r="X38" i="3416"/>
  <c r="W38" i="3416"/>
  <c r="V38" i="3416"/>
  <c r="U38" i="3416"/>
  <c r="T38" i="3416"/>
  <c r="S38" i="3416"/>
  <c r="R38" i="3416"/>
  <c r="Q38" i="3416"/>
  <c r="P38" i="3416"/>
  <c r="O38" i="3416"/>
  <c r="N38" i="3416"/>
  <c r="M38" i="3416"/>
  <c r="L38" i="3416"/>
  <c r="K38" i="3416"/>
  <c r="J38" i="3416"/>
  <c r="I38" i="3416"/>
  <c r="H38" i="3416"/>
  <c r="G38" i="3416"/>
  <c r="F38" i="3416"/>
  <c r="E38" i="3416"/>
  <c r="D38" i="3416"/>
  <c r="C38" i="3416" a="1"/>
  <c r="C38" i="3416"/>
  <c r="A38" i="3416"/>
  <c r="EM37" i="3416"/>
  <c r="EL37" i="3416"/>
  <c r="EK37" i="3416"/>
  <c r="EJ37" i="3416"/>
  <c r="EI37" i="3416"/>
  <c r="EH37" i="3416"/>
  <c r="EG37" i="3416"/>
  <c r="EF37" i="3416"/>
  <c r="EE37" i="3416"/>
  <c r="ED37" i="3416"/>
  <c r="EC37" i="3416"/>
  <c r="EB37" i="3416"/>
  <c r="EA37" i="3416"/>
  <c r="DZ37" i="3416"/>
  <c r="DY37" i="3416"/>
  <c r="DX37" i="3416"/>
  <c r="DW37" i="3416"/>
  <c r="DV37" i="3416"/>
  <c r="DU37" i="3416"/>
  <c r="DT37" i="3416"/>
  <c r="DS37" i="3416"/>
  <c r="DR37" i="3416"/>
  <c r="DQ37" i="3416"/>
  <c r="DP37" i="3416"/>
  <c r="DO37" i="3416"/>
  <c r="DN37" i="3416"/>
  <c r="DM37" i="3416"/>
  <c r="DL37" i="3416"/>
  <c r="DK37" i="3416"/>
  <c r="DJ37" i="3416"/>
  <c r="DI37" i="3416"/>
  <c r="DH37" i="3416"/>
  <c r="DG37" i="3416"/>
  <c r="DF37" i="3416"/>
  <c r="DE37" i="3416"/>
  <c r="DD37" i="3416"/>
  <c r="DC37" i="3416"/>
  <c r="DB37" i="3416"/>
  <c r="DA37" i="3416"/>
  <c r="CZ37" i="3416"/>
  <c r="CY37" i="3416"/>
  <c r="CX37" i="3416"/>
  <c r="CW37" i="3416"/>
  <c r="CV37" i="3416"/>
  <c r="CU37" i="3416"/>
  <c r="CT37" i="3416"/>
  <c r="CS37" i="3416"/>
  <c r="CR37" i="3416"/>
  <c r="CQ37" i="3416"/>
  <c r="CP37" i="3416"/>
  <c r="CO37" i="3416"/>
  <c r="CN37" i="3416"/>
  <c r="CM37" i="3416"/>
  <c r="CL37" i="3416"/>
  <c r="CK37" i="3416"/>
  <c r="CJ37" i="3416"/>
  <c r="CI37" i="3416"/>
  <c r="CH37" i="3416"/>
  <c r="CG37" i="3416"/>
  <c r="CF37" i="3416"/>
  <c r="CE37" i="3416"/>
  <c r="CD37" i="3416"/>
  <c r="CC37" i="3416"/>
  <c r="CB37" i="3416"/>
  <c r="CA37" i="3416"/>
  <c r="BZ37" i="3416"/>
  <c r="BY37" i="3416"/>
  <c r="BX37" i="3416"/>
  <c r="BW37" i="3416"/>
  <c r="BV37" i="3416"/>
  <c r="BU37" i="3416"/>
  <c r="BT37" i="3416"/>
  <c r="BS37" i="3416"/>
  <c r="BR37" i="3416"/>
  <c r="BQ37" i="3416"/>
  <c r="BP37" i="3416"/>
  <c r="BO37" i="3416"/>
  <c r="BN37" i="3416"/>
  <c r="BM37" i="3416"/>
  <c r="BL37" i="3416"/>
  <c r="BK37" i="3416"/>
  <c r="BJ37" i="3416"/>
  <c r="BI37" i="3416"/>
  <c r="BH37" i="3416"/>
  <c r="BG37" i="3416"/>
  <c r="BF37" i="3416"/>
  <c r="BE37" i="3416"/>
  <c r="BD37" i="3416"/>
  <c r="BC37" i="3416"/>
  <c r="BB37" i="3416"/>
  <c r="BA37" i="3416"/>
  <c r="AZ37" i="3416"/>
  <c r="AY37" i="3416"/>
  <c r="AX37" i="3416"/>
  <c r="AW37" i="3416"/>
  <c r="AV37" i="3416"/>
  <c r="AU37" i="3416"/>
  <c r="AT37" i="3416"/>
  <c r="AS37" i="3416"/>
  <c r="AR37" i="3416"/>
  <c r="AQ37" i="3416"/>
  <c r="AP37" i="3416"/>
  <c r="AO37" i="3416"/>
  <c r="AN37" i="3416"/>
  <c r="AM37" i="3416"/>
  <c r="AL37" i="3416"/>
  <c r="AK37" i="3416"/>
  <c r="AJ37" i="3416"/>
  <c r="AI37" i="3416"/>
  <c r="AH37" i="3416"/>
  <c r="AG37" i="3416"/>
  <c r="AF37" i="3416"/>
  <c r="AE37" i="3416"/>
  <c r="AD37" i="3416"/>
  <c r="AC37" i="3416"/>
  <c r="AB37" i="3416"/>
  <c r="AA37" i="3416"/>
  <c r="Z37" i="3416"/>
  <c r="Y37" i="3416"/>
  <c r="X37" i="3416"/>
  <c r="W37" i="3416"/>
  <c r="V37" i="3416"/>
  <c r="U37" i="3416"/>
  <c r="T37" i="3416"/>
  <c r="S37" i="3416"/>
  <c r="R37" i="3416"/>
  <c r="Q37" i="3416"/>
  <c r="P37" i="3416"/>
  <c r="O37" i="3416"/>
  <c r="N37" i="3416"/>
  <c r="M37" i="3416"/>
  <c r="L37" i="3416"/>
  <c r="K37" i="3416"/>
  <c r="J37" i="3416"/>
  <c r="I37" i="3416"/>
  <c r="H37" i="3416"/>
  <c r="G37" i="3416"/>
  <c r="F37" i="3416"/>
  <c r="E37" i="3416"/>
  <c r="D37" i="3416"/>
  <c r="C37" i="3416" a="1"/>
  <c r="C37" i="3416"/>
  <c r="A37" i="3416"/>
  <c r="EM36" i="3416"/>
  <c r="EL36" i="3416"/>
  <c r="EK36" i="3416"/>
  <c r="EJ36" i="3416"/>
  <c r="EI36" i="3416"/>
  <c r="EH36" i="3416"/>
  <c r="EG36" i="3416"/>
  <c r="EF36" i="3416"/>
  <c r="EE36" i="3416"/>
  <c r="ED36" i="3416"/>
  <c r="EC36" i="3416"/>
  <c r="EB36" i="3416"/>
  <c r="EA36" i="3416"/>
  <c r="DZ36" i="3416"/>
  <c r="DY36" i="3416"/>
  <c r="DX36" i="3416"/>
  <c r="DW36" i="3416"/>
  <c r="DV36" i="3416"/>
  <c r="DU36" i="3416"/>
  <c r="DT36" i="3416"/>
  <c r="DS36" i="3416"/>
  <c r="DR36" i="3416"/>
  <c r="DQ36" i="3416"/>
  <c r="DP36" i="3416"/>
  <c r="DO36" i="3416"/>
  <c r="DN36" i="3416"/>
  <c r="DM36" i="3416"/>
  <c r="DL36" i="3416"/>
  <c r="DK36" i="3416"/>
  <c r="DJ36" i="3416"/>
  <c r="DI36" i="3416"/>
  <c r="DH36" i="3416"/>
  <c r="DG36" i="3416"/>
  <c r="DF36" i="3416"/>
  <c r="DE36" i="3416"/>
  <c r="DD36" i="3416"/>
  <c r="DC36" i="3416"/>
  <c r="DB36" i="3416"/>
  <c r="DA36" i="3416"/>
  <c r="CZ36" i="3416"/>
  <c r="CY36" i="3416"/>
  <c r="CX36" i="3416"/>
  <c r="CW36" i="3416"/>
  <c r="CV36" i="3416"/>
  <c r="CU36" i="3416"/>
  <c r="CT36" i="3416"/>
  <c r="CS36" i="3416"/>
  <c r="CR36" i="3416"/>
  <c r="CQ36" i="3416"/>
  <c r="CP36" i="3416"/>
  <c r="CO36" i="3416"/>
  <c r="CN36" i="3416"/>
  <c r="CM36" i="3416"/>
  <c r="CL36" i="3416"/>
  <c r="CK36" i="3416"/>
  <c r="CJ36" i="3416"/>
  <c r="CI36" i="3416"/>
  <c r="CH36" i="3416"/>
  <c r="CG36" i="3416"/>
  <c r="CF36" i="3416"/>
  <c r="CE36" i="3416"/>
  <c r="CD36" i="3416"/>
  <c r="CC36" i="3416"/>
  <c r="CB36" i="3416"/>
  <c r="CA36" i="3416"/>
  <c r="BZ36" i="3416"/>
  <c r="BY36" i="3416"/>
  <c r="BX36" i="3416"/>
  <c r="BW36" i="3416"/>
  <c r="BV36" i="3416"/>
  <c r="BU36" i="3416"/>
  <c r="BT36" i="3416"/>
  <c r="BS36" i="3416"/>
  <c r="BR36" i="3416"/>
  <c r="BQ36" i="3416"/>
  <c r="BP36" i="3416"/>
  <c r="BO36" i="3416"/>
  <c r="BN36" i="3416"/>
  <c r="BM36" i="3416"/>
  <c r="BL36" i="3416"/>
  <c r="BK36" i="3416"/>
  <c r="BJ36" i="3416"/>
  <c r="BI36" i="3416"/>
  <c r="BH36" i="3416"/>
  <c r="BG36" i="3416"/>
  <c r="BF36" i="3416"/>
  <c r="BE36" i="3416"/>
  <c r="BD36" i="3416"/>
  <c r="BC36" i="3416"/>
  <c r="BB36" i="3416"/>
  <c r="BA36" i="3416"/>
  <c r="AZ36" i="3416"/>
  <c r="AY36" i="3416"/>
  <c r="AX36" i="3416"/>
  <c r="AW36" i="3416"/>
  <c r="AV36" i="3416"/>
  <c r="AU36" i="3416"/>
  <c r="AT36" i="3416"/>
  <c r="AS36" i="3416"/>
  <c r="AR36" i="3416"/>
  <c r="AQ36" i="3416"/>
  <c r="AP36" i="3416"/>
  <c r="AO36" i="3416"/>
  <c r="AN36" i="3416"/>
  <c r="AM36" i="3416"/>
  <c r="AL36" i="3416"/>
  <c r="AK36" i="3416"/>
  <c r="AJ36" i="3416"/>
  <c r="AI36" i="3416"/>
  <c r="AH36" i="3416"/>
  <c r="AG36" i="3416"/>
  <c r="AF36" i="3416"/>
  <c r="AE36" i="3416"/>
  <c r="AD36" i="3416"/>
  <c r="AC36" i="3416"/>
  <c r="AB36" i="3416"/>
  <c r="AA36" i="3416"/>
  <c r="Z36" i="3416"/>
  <c r="Y36" i="3416"/>
  <c r="X36" i="3416"/>
  <c r="W36" i="3416"/>
  <c r="V36" i="3416"/>
  <c r="U36" i="3416"/>
  <c r="T36" i="3416"/>
  <c r="S36" i="3416"/>
  <c r="R36" i="3416"/>
  <c r="Q36" i="3416"/>
  <c r="P36" i="3416"/>
  <c r="O36" i="3416"/>
  <c r="N36" i="3416"/>
  <c r="M36" i="3416"/>
  <c r="L36" i="3416"/>
  <c r="K36" i="3416"/>
  <c r="J36" i="3416"/>
  <c r="I36" i="3416"/>
  <c r="H36" i="3416"/>
  <c r="G36" i="3416"/>
  <c r="F36" i="3416"/>
  <c r="E36" i="3416"/>
  <c r="D36" i="3416"/>
  <c r="C36" i="3416" a="1"/>
  <c r="C36" i="3416"/>
  <c r="A36" i="3416"/>
  <c r="EM35" i="3416"/>
  <c r="EL35" i="3416"/>
  <c r="EK35" i="3416"/>
  <c r="EJ35" i="3416"/>
  <c r="EI35" i="3416"/>
  <c r="EH35" i="3416"/>
  <c r="EG35" i="3416"/>
  <c r="EF35" i="3416"/>
  <c r="EE35" i="3416"/>
  <c r="ED35" i="3416"/>
  <c r="EC35" i="3416"/>
  <c r="EB35" i="3416"/>
  <c r="EA35" i="3416"/>
  <c r="DZ35" i="3416"/>
  <c r="DY35" i="3416"/>
  <c r="DX35" i="3416"/>
  <c r="DW35" i="3416"/>
  <c r="DV35" i="3416"/>
  <c r="DU35" i="3416"/>
  <c r="DT35" i="3416"/>
  <c r="DS35" i="3416"/>
  <c r="DR35" i="3416"/>
  <c r="DQ35" i="3416"/>
  <c r="DP35" i="3416"/>
  <c r="DO35" i="3416"/>
  <c r="DN35" i="3416"/>
  <c r="DM35" i="3416"/>
  <c r="DL35" i="3416"/>
  <c r="DK35" i="3416"/>
  <c r="DJ35" i="3416"/>
  <c r="DI35" i="3416"/>
  <c r="DH35" i="3416"/>
  <c r="DG35" i="3416"/>
  <c r="DF35" i="3416"/>
  <c r="DE35" i="3416"/>
  <c r="DD35" i="3416"/>
  <c r="DC35" i="3416"/>
  <c r="DB35" i="3416"/>
  <c r="DA35" i="3416"/>
  <c r="CZ35" i="3416"/>
  <c r="CY35" i="3416"/>
  <c r="CX35" i="3416"/>
  <c r="CW35" i="3416"/>
  <c r="CV35" i="3416"/>
  <c r="CU35" i="3416"/>
  <c r="CT35" i="3416"/>
  <c r="CS35" i="3416"/>
  <c r="CR35" i="3416"/>
  <c r="CQ35" i="3416"/>
  <c r="CP35" i="3416"/>
  <c r="CO35" i="3416"/>
  <c r="CN35" i="3416"/>
  <c r="CM35" i="3416"/>
  <c r="CL35" i="3416"/>
  <c r="CK35" i="3416"/>
  <c r="CJ35" i="3416"/>
  <c r="CI35" i="3416"/>
  <c r="CH35" i="3416"/>
  <c r="CG35" i="3416"/>
  <c r="CF35" i="3416"/>
  <c r="CE35" i="3416"/>
  <c r="CD35" i="3416"/>
  <c r="CC35" i="3416"/>
  <c r="CB35" i="3416"/>
  <c r="CA35" i="3416"/>
  <c r="BZ35" i="3416"/>
  <c r="BY35" i="3416"/>
  <c r="BX35" i="3416"/>
  <c r="BW35" i="3416"/>
  <c r="BV35" i="3416"/>
  <c r="BU35" i="3416"/>
  <c r="BT35" i="3416"/>
  <c r="BS35" i="3416"/>
  <c r="BR35" i="3416"/>
  <c r="BQ35" i="3416"/>
  <c r="BP35" i="3416"/>
  <c r="BO35" i="3416"/>
  <c r="BN35" i="3416"/>
  <c r="BM35" i="3416"/>
  <c r="BL35" i="3416"/>
  <c r="BK35" i="3416"/>
  <c r="BJ35" i="3416"/>
  <c r="BI35" i="3416"/>
  <c r="BH35" i="3416"/>
  <c r="BG35" i="3416"/>
  <c r="BF35" i="3416"/>
  <c r="BE35" i="3416"/>
  <c r="BD35" i="3416"/>
  <c r="BC35" i="3416"/>
  <c r="BB35" i="3416"/>
  <c r="BA35" i="3416"/>
  <c r="AZ35" i="3416"/>
  <c r="AY35" i="3416"/>
  <c r="AX35" i="3416"/>
  <c r="AW35" i="3416"/>
  <c r="AV35" i="3416"/>
  <c r="AU35" i="3416"/>
  <c r="AT35" i="3416"/>
  <c r="AS35" i="3416"/>
  <c r="AR35" i="3416"/>
  <c r="AQ35" i="3416"/>
  <c r="AP35" i="3416"/>
  <c r="AO35" i="3416"/>
  <c r="AN35" i="3416"/>
  <c r="AM35" i="3416"/>
  <c r="AL35" i="3416"/>
  <c r="AK35" i="3416"/>
  <c r="AJ35" i="3416"/>
  <c r="AI35" i="3416"/>
  <c r="AH35" i="3416"/>
  <c r="AG35" i="3416"/>
  <c r="AF35" i="3416"/>
  <c r="AE35" i="3416"/>
  <c r="AD35" i="3416"/>
  <c r="AC35" i="3416"/>
  <c r="AB35" i="3416"/>
  <c r="AA35" i="3416"/>
  <c r="Z35" i="3416"/>
  <c r="Y35" i="3416"/>
  <c r="X35" i="3416"/>
  <c r="W35" i="3416"/>
  <c r="V35" i="3416"/>
  <c r="U35" i="3416"/>
  <c r="T35" i="3416"/>
  <c r="S35" i="3416"/>
  <c r="R35" i="3416"/>
  <c r="Q35" i="3416"/>
  <c r="P35" i="3416"/>
  <c r="O35" i="3416"/>
  <c r="N35" i="3416"/>
  <c r="M35" i="3416"/>
  <c r="L35" i="3416"/>
  <c r="K35" i="3416"/>
  <c r="J35" i="3416"/>
  <c r="I35" i="3416"/>
  <c r="H35" i="3416"/>
  <c r="G35" i="3416"/>
  <c r="F35" i="3416"/>
  <c r="E35" i="3416"/>
  <c r="D35" i="3416"/>
  <c r="C35" i="3416" a="1"/>
  <c r="C35" i="3416"/>
  <c r="A35" i="3416"/>
  <c r="EM34" i="3416"/>
  <c r="EL34" i="3416"/>
  <c r="EK34" i="3416"/>
  <c r="EJ34" i="3416"/>
  <c r="EI34" i="3416"/>
  <c r="EH34" i="3416"/>
  <c r="EG34" i="3416"/>
  <c r="EF34" i="3416"/>
  <c r="EE34" i="3416"/>
  <c r="ED34" i="3416"/>
  <c r="EC34" i="3416"/>
  <c r="EB34" i="3416"/>
  <c r="EA34" i="3416"/>
  <c r="DZ34" i="3416"/>
  <c r="DY34" i="3416"/>
  <c r="DX34" i="3416"/>
  <c r="DW34" i="3416"/>
  <c r="DV34" i="3416"/>
  <c r="DU34" i="3416"/>
  <c r="DT34" i="3416"/>
  <c r="DS34" i="3416"/>
  <c r="DR34" i="3416"/>
  <c r="DQ34" i="3416"/>
  <c r="DP34" i="3416"/>
  <c r="DO34" i="3416"/>
  <c r="DN34" i="3416"/>
  <c r="DM34" i="3416"/>
  <c r="DL34" i="3416"/>
  <c r="DK34" i="3416"/>
  <c r="DJ34" i="3416"/>
  <c r="DI34" i="3416"/>
  <c r="DH34" i="3416"/>
  <c r="DG34" i="3416"/>
  <c r="DF34" i="3416"/>
  <c r="DE34" i="3416"/>
  <c r="DD34" i="3416"/>
  <c r="DC34" i="3416"/>
  <c r="DB34" i="3416"/>
  <c r="DA34" i="3416"/>
  <c r="CZ34" i="3416"/>
  <c r="CY34" i="3416"/>
  <c r="CX34" i="3416"/>
  <c r="CW34" i="3416"/>
  <c r="CV34" i="3416"/>
  <c r="CU34" i="3416"/>
  <c r="CT34" i="3416"/>
  <c r="CS34" i="3416"/>
  <c r="CR34" i="3416"/>
  <c r="CQ34" i="3416"/>
  <c r="CP34" i="3416"/>
  <c r="CO34" i="3416"/>
  <c r="CN34" i="3416"/>
  <c r="CM34" i="3416"/>
  <c r="CL34" i="3416"/>
  <c r="CK34" i="3416"/>
  <c r="CJ34" i="3416"/>
  <c r="CI34" i="3416"/>
  <c r="CH34" i="3416"/>
  <c r="CG34" i="3416"/>
  <c r="CF34" i="3416"/>
  <c r="CE34" i="3416"/>
  <c r="CD34" i="3416"/>
  <c r="CC34" i="3416"/>
  <c r="CB34" i="3416"/>
  <c r="CA34" i="3416"/>
  <c r="BZ34" i="3416"/>
  <c r="BY34" i="3416"/>
  <c r="BX34" i="3416"/>
  <c r="BW34" i="3416"/>
  <c r="BV34" i="3416"/>
  <c r="BU34" i="3416"/>
  <c r="BT34" i="3416"/>
  <c r="BS34" i="3416"/>
  <c r="BR34" i="3416"/>
  <c r="BQ34" i="3416"/>
  <c r="BP34" i="3416"/>
  <c r="BO34" i="3416"/>
  <c r="BN34" i="3416"/>
  <c r="BM34" i="3416"/>
  <c r="BL34" i="3416"/>
  <c r="BK34" i="3416"/>
  <c r="BJ34" i="3416"/>
  <c r="BI34" i="3416"/>
  <c r="BH34" i="3416"/>
  <c r="BG34" i="3416"/>
  <c r="BF34" i="3416"/>
  <c r="BE34" i="3416"/>
  <c r="BD34" i="3416"/>
  <c r="BC34" i="3416"/>
  <c r="BB34" i="3416"/>
  <c r="BA34" i="3416"/>
  <c r="AZ34" i="3416"/>
  <c r="AY34" i="3416"/>
  <c r="AX34" i="3416"/>
  <c r="AW34" i="3416"/>
  <c r="AV34" i="3416"/>
  <c r="AU34" i="3416"/>
  <c r="AT34" i="3416"/>
  <c r="AS34" i="3416"/>
  <c r="AR34" i="3416"/>
  <c r="AQ34" i="3416"/>
  <c r="AP34" i="3416"/>
  <c r="AO34" i="3416"/>
  <c r="AN34" i="3416"/>
  <c r="AM34" i="3416"/>
  <c r="AL34" i="3416"/>
  <c r="AK34" i="3416"/>
  <c r="AJ34" i="3416"/>
  <c r="AI34" i="3416"/>
  <c r="AH34" i="3416"/>
  <c r="AG34" i="3416"/>
  <c r="AF34" i="3416"/>
  <c r="AE34" i="3416"/>
  <c r="AD34" i="3416"/>
  <c r="AC34" i="3416"/>
  <c r="AB34" i="3416"/>
  <c r="AA34" i="3416"/>
  <c r="Z34" i="3416"/>
  <c r="Y34" i="3416"/>
  <c r="X34" i="3416"/>
  <c r="W34" i="3416"/>
  <c r="V34" i="3416"/>
  <c r="U34" i="3416"/>
  <c r="T34" i="3416"/>
  <c r="S34" i="3416"/>
  <c r="R34" i="3416"/>
  <c r="Q34" i="3416"/>
  <c r="P34" i="3416"/>
  <c r="O34" i="3416"/>
  <c r="N34" i="3416"/>
  <c r="M34" i="3416"/>
  <c r="L34" i="3416"/>
  <c r="K34" i="3416"/>
  <c r="J34" i="3416"/>
  <c r="I34" i="3416"/>
  <c r="H34" i="3416"/>
  <c r="G34" i="3416"/>
  <c r="F34" i="3416"/>
  <c r="E34" i="3416"/>
  <c r="D34" i="3416"/>
  <c r="C34" i="3416" a="1"/>
  <c r="C34" i="3416"/>
  <c r="A34" i="3416"/>
  <c r="EM33" i="3416"/>
  <c r="EL33" i="3416"/>
  <c r="EK33" i="3416"/>
  <c r="EJ33" i="3416"/>
  <c r="EI33" i="3416"/>
  <c r="EH33" i="3416"/>
  <c r="EG33" i="3416"/>
  <c r="EF33" i="3416"/>
  <c r="EE33" i="3416"/>
  <c r="ED33" i="3416"/>
  <c r="EC33" i="3416"/>
  <c r="EB33" i="3416"/>
  <c r="EA33" i="3416"/>
  <c r="DZ33" i="3416"/>
  <c r="DY33" i="3416"/>
  <c r="DX33" i="3416"/>
  <c r="DW33" i="3416"/>
  <c r="DV33" i="3416"/>
  <c r="DU33" i="3416"/>
  <c r="DT33" i="3416"/>
  <c r="DS33" i="3416"/>
  <c r="DR33" i="3416"/>
  <c r="DQ33" i="3416"/>
  <c r="DP33" i="3416"/>
  <c r="DO33" i="3416"/>
  <c r="DN33" i="3416"/>
  <c r="DM33" i="3416"/>
  <c r="DL33" i="3416"/>
  <c r="DK33" i="3416"/>
  <c r="DJ33" i="3416"/>
  <c r="DI33" i="3416"/>
  <c r="DH33" i="3416"/>
  <c r="DG33" i="3416"/>
  <c r="DF33" i="3416"/>
  <c r="DE33" i="3416"/>
  <c r="DD33" i="3416"/>
  <c r="DC33" i="3416"/>
  <c r="DB33" i="3416"/>
  <c r="DA33" i="3416"/>
  <c r="CZ33" i="3416"/>
  <c r="CY33" i="3416"/>
  <c r="CX33" i="3416"/>
  <c r="CW33" i="3416"/>
  <c r="CV33" i="3416"/>
  <c r="CU33" i="3416"/>
  <c r="CT33" i="3416"/>
  <c r="CS33" i="3416"/>
  <c r="CR33" i="3416"/>
  <c r="CQ33" i="3416"/>
  <c r="CP33" i="3416"/>
  <c r="CO33" i="3416"/>
  <c r="CN33" i="3416"/>
  <c r="CM33" i="3416"/>
  <c r="CL33" i="3416"/>
  <c r="CK33" i="3416"/>
  <c r="CJ33" i="3416"/>
  <c r="CI33" i="3416"/>
  <c r="CH33" i="3416"/>
  <c r="CG33" i="3416"/>
  <c r="CF33" i="3416"/>
  <c r="CE33" i="3416"/>
  <c r="CD33" i="3416"/>
  <c r="CC33" i="3416"/>
  <c r="CB33" i="3416"/>
  <c r="CA33" i="3416"/>
  <c r="BZ33" i="3416"/>
  <c r="BY33" i="3416"/>
  <c r="BX33" i="3416"/>
  <c r="BW33" i="3416"/>
  <c r="BV33" i="3416"/>
  <c r="BU33" i="3416"/>
  <c r="BT33" i="3416"/>
  <c r="BS33" i="3416"/>
  <c r="BR33" i="3416"/>
  <c r="BQ33" i="3416"/>
  <c r="BP33" i="3416"/>
  <c r="BO33" i="3416"/>
  <c r="BN33" i="3416"/>
  <c r="BM33" i="3416"/>
  <c r="BL33" i="3416"/>
  <c r="BK33" i="3416"/>
  <c r="BJ33" i="3416"/>
  <c r="BI33" i="3416"/>
  <c r="BH33" i="3416"/>
  <c r="BG33" i="3416"/>
  <c r="BF33" i="3416"/>
  <c r="BE33" i="3416"/>
  <c r="BD33" i="3416"/>
  <c r="BC33" i="3416"/>
  <c r="BB33" i="3416"/>
  <c r="BA33" i="3416"/>
  <c r="AZ33" i="3416"/>
  <c r="AY33" i="3416"/>
  <c r="AX33" i="3416"/>
  <c r="AW33" i="3416"/>
  <c r="AV33" i="3416"/>
  <c r="AU33" i="3416"/>
  <c r="AT33" i="3416"/>
  <c r="AS33" i="3416"/>
  <c r="AR33" i="3416"/>
  <c r="AQ33" i="3416"/>
  <c r="AP33" i="3416"/>
  <c r="AO33" i="3416"/>
  <c r="AN33" i="3416"/>
  <c r="AM33" i="3416"/>
  <c r="AL33" i="3416"/>
  <c r="AK33" i="3416"/>
  <c r="AJ33" i="3416"/>
  <c r="AI33" i="3416"/>
  <c r="AH33" i="3416"/>
  <c r="AG33" i="3416"/>
  <c r="AF33" i="3416"/>
  <c r="AE33" i="3416"/>
  <c r="AD33" i="3416"/>
  <c r="AC33" i="3416"/>
  <c r="AB33" i="3416"/>
  <c r="AA33" i="3416"/>
  <c r="Z33" i="3416"/>
  <c r="Y33" i="3416"/>
  <c r="X33" i="3416"/>
  <c r="W33" i="3416"/>
  <c r="V33" i="3416"/>
  <c r="U33" i="3416"/>
  <c r="T33" i="3416"/>
  <c r="S33" i="3416"/>
  <c r="R33" i="3416"/>
  <c r="Q33" i="3416"/>
  <c r="P33" i="3416"/>
  <c r="O33" i="3416"/>
  <c r="N33" i="3416"/>
  <c r="M33" i="3416"/>
  <c r="L33" i="3416"/>
  <c r="K33" i="3416"/>
  <c r="J33" i="3416"/>
  <c r="I33" i="3416"/>
  <c r="H33" i="3416"/>
  <c r="G33" i="3416"/>
  <c r="F33" i="3416"/>
  <c r="E33" i="3416"/>
  <c r="D33" i="3416"/>
  <c r="C33" i="3416" a="1"/>
  <c r="C33" i="3416"/>
  <c r="A33" i="3416"/>
  <c r="EM32" i="3416"/>
  <c r="EL32" i="3416"/>
  <c r="EK32" i="3416"/>
  <c r="EJ32" i="3416"/>
  <c r="EI32" i="3416"/>
  <c r="EH32" i="3416"/>
  <c r="EG32" i="3416"/>
  <c r="EF32" i="3416"/>
  <c r="EE32" i="3416"/>
  <c r="ED32" i="3416"/>
  <c r="EC32" i="3416"/>
  <c r="EB32" i="3416"/>
  <c r="EA32" i="3416"/>
  <c r="DZ32" i="3416"/>
  <c r="DY32" i="3416"/>
  <c r="DX32" i="3416"/>
  <c r="DW32" i="3416"/>
  <c r="DV32" i="3416"/>
  <c r="DU32" i="3416"/>
  <c r="DT32" i="3416"/>
  <c r="DS32" i="3416"/>
  <c r="DR32" i="3416"/>
  <c r="DQ32" i="3416"/>
  <c r="DP32" i="3416"/>
  <c r="DO32" i="3416"/>
  <c r="DN32" i="3416"/>
  <c r="DM32" i="3416"/>
  <c r="DL32" i="3416"/>
  <c r="DK32" i="3416"/>
  <c r="DJ32" i="3416"/>
  <c r="DI32" i="3416"/>
  <c r="DH32" i="3416"/>
  <c r="DG32" i="3416"/>
  <c r="DF32" i="3416"/>
  <c r="DE32" i="3416"/>
  <c r="DD32" i="3416"/>
  <c r="DC32" i="3416"/>
  <c r="DB32" i="3416"/>
  <c r="DA32" i="3416"/>
  <c r="CZ32" i="3416"/>
  <c r="CY32" i="3416"/>
  <c r="CX32" i="3416"/>
  <c r="CW32" i="3416"/>
  <c r="CV32" i="3416"/>
  <c r="CU32" i="3416"/>
  <c r="CT32" i="3416"/>
  <c r="CS32" i="3416"/>
  <c r="CR32" i="3416"/>
  <c r="CQ32" i="3416"/>
  <c r="CP32" i="3416"/>
  <c r="CO32" i="3416"/>
  <c r="CN32" i="3416"/>
  <c r="CM32" i="3416"/>
  <c r="CL32" i="3416"/>
  <c r="CK32" i="3416"/>
  <c r="CJ32" i="3416"/>
  <c r="CI32" i="3416"/>
  <c r="CH32" i="3416"/>
  <c r="CG32" i="3416"/>
  <c r="CF32" i="3416"/>
  <c r="CE32" i="3416"/>
  <c r="CD32" i="3416"/>
  <c r="CC32" i="3416"/>
  <c r="CB32" i="3416"/>
  <c r="CA32" i="3416"/>
  <c r="BZ32" i="3416"/>
  <c r="BY32" i="3416"/>
  <c r="BX32" i="3416"/>
  <c r="BW32" i="3416"/>
  <c r="BV32" i="3416"/>
  <c r="BU32" i="3416"/>
  <c r="BT32" i="3416"/>
  <c r="BS32" i="3416"/>
  <c r="BR32" i="3416"/>
  <c r="BQ32" i="3416"/>
  <c r="BP32" i="3416"/>
  <c r="BO32" i="3416"/>
  <c r="BN32" i="3416"/>
  <c r="BM32" i="3416"/>
  <c r="BL32" i="3416"/>
  <c r="BK32" i="3416"/>
  <c r="BJ32" i="3416"/>
  <c r="BI32" i="3416"/>
  <c r="BH32" i="3416"/>
  <c r="BG32" i="3416"/>
  <c r="BF32" i="3416"/>
  <c r="BE32" i="3416"/>
  <c r="BD32" i="3416"/>
  <c r="BC32" i="3416"/>
  <c r="BB32" i="3416"/>
  <c r="BA32" i="3416"/>
  <c r="AZ32" i="3416"/>
  <c r="AY32" i="3416"/>
  <c r="AX32" i="3416"/>
  <c r="AW32" i="3416"/>
  <c r="AV32" i="3416"/>
  <c r="AU32" i="3416"/>
  <c r="AT32" i="3416"/>
  <c r="AS32" i="3416"/>
  <c r="AR32" i="3416"/>
  <c r="AQ32" i="3416"/>
  <c r="AP32" i="3416"/>
  <c r="AO32" i="3416"/>
  <c r="AN32" i="3416"/>
  <c r="AM32" i="3416"/>
  <c r="AL32" i="3416"/>
  <c r="AK32" i="3416"/>
  <c r="AJ32" i="3416"/>
  <c r="AI32" i="3416"/>
  <c r="AH32" i="3416"/>
  <c r="AG32" i="3416"/>
  <c r="AF32" i="3416"/>
  <c r="AE32" i="3416"/>
  <c r="AD32" i="3416"/>
  <c r="AC32" i="3416"/>
  <c r="AB32" i="3416"/>
  <c r="AA32" i="3416"/>
  <c r="Z32" i="3416"/>
  <c r="Y32" i="3416"/>
  <c r="X32" i="3416"/>
  <c r="W32" i="3416"/>
  <c r="V32" i="3416"/>
  <c r="U32" i="3416"/>
  <c r="T32" i="3416"/>
  <c r="S32" i="3416"/>
  <c r="R32" i="3416"/>
  <c r="Q32" i="3416"/>
  <c r="P32" i="3416"/>
  <c r="O32" i="3416"/>
  <c r="N32" i="3416"/>
  <c r="M32" i="3416"/>
  <c r="L32" i="3416"/>
  <c r="K32" i="3416"/>
  <c r="J32" i="3416"/>
  <c r="I32" i="3416"/>
  <c r="H32" i="3416"/>
  <c r="G32" i="3416"/>
  <c r="F32" i="3416"/>
  <c r="E32" i="3416"/>
  <c r="D32" i="3416"/>
  <c r="C32" i="3416" a="1"/>
  <c r="C32" i="3416"/>
  <c r="A32" i="3416"/>
  <c r="EM31" i="3416"/>
  <c r="EL31" i="3416"/>
  <c r="EK31" i="3416"/>
  <c r="EJ31" i="3416"/>
  <c r="EI31" i="3416"/>
  <c r="EH31" i="3416"/>
  <c r="EG31" i="3416"/>
  <c r="EF31" i="3416"/>
  <c r="EE31" i="3416"/>
  <c r="ED31" i="3416"/>
  <c r="EC31" i="3416"/>
  <c r="EB31" i="3416"/>
  <c r="EA31" i="3416"/>
  <c r="DZ31" i="3416"/>
  <c r="DY31" i="3416"/>
  <c r="DX31" i="3416"/>
  <c r="DW31" i="3416"/>
  <c r="DV31" i="3416"/>
  <c r="DU31" i="3416"/>
  <c r="DT31" i="3416"/>
  <c r="DS31" i="3416"/>
  <c r="DR31" i="3416"/>
  <c r="DQ31" i="3416"/>
  <c r="DP31" i="3416"/>
  <c r="DO31" i="3416"/>
  <c r="DN31" i="3416"/>
  <c r="DM31" i="3416"/>
  <c r="DL31" i="3416"/>
  <c r="DK31" i="3416"/>
  <c r="DJ31" i="3416"/>
  <c r="DI31" i="3416"/>
  <c r="DH31" i="3416"/>
  <c r="DG31" i="3416"/>
  <c r="DF31" i="3416"/>
  <c r="DE31" i="3416"/>
  <c r="DD31" i="3416"/>
  <c r="DC31" i="3416"/>
  <c r="DB31" i="3416"/>
  <c r="DA31" i="3416"/>
  <c r="CZ31" i="3416"/>
  <c r="CY31" i="3416"/>
  <c r="CX31" i="3416"/>
  <c r="CW31" i="3416"/>
  <c r="CV31" i="3416"/>
  <c r="CU31" i="3416"/>
  <c r="CT31" i="3416"/>
  <c r="CS31" i="3416"/>
  <c r="CR31" i="3416"/>
  <c r="CQ31" i="3416"/>
  <c r="CP31" i="3416"/>
  <c r="CO31" i="3416"/>
  <c r="CN31" i="3416"/>
  <c r="CM31" i="3416"/>
  <c r="CL31" i="3416"/>
  <c r="CK31" i="3416"/>
  <c r="CJ31" i="3416"/>
  <c r="CI31" i="3416"/>
  <c r="CH31" i="3416"/>
  <c r="CG31" i="3416"/>
  <c r="CF31" i="3416"/>
  <c r="CE31" i="3416"/>
  <c r="CD31" i="3416"/>
  <c r="CC31" i="3416"/>
  <c r="CB31" i="3416"/>
  <c r="CA31" i="3416"/>
  <c r="BZ31" i="3416"/>
  <c r="BY31" i="3416"/>
  <c r="BX31" i="3416"/>
  <c r="BW31" i="3416"/>
  <c r="BV31" i="3416"/>
  <c r="BU31" i="3416"/>
  <c r="BT31" i="3416"/>
  <c r="BS31" i="3416"/>
  <c r="BR31" i="3416"/>
  <c r="BQ31" i="3416"/>
  <c r="BP31" i="3416"/>
  <c r="BO31" i="3416"/>
  <c r="BN31" i="3416"/>
  <c r="BM31" i="3416"/>
  <c r="BL31" i="3416"/>
  <c r="BK31" i="3416"/>
  <c r="BJ31" i="3416"/>
  <c r="BI31" i="3416"/>
  <c r="BH31" i="3416"/>
  <c r="BG31" i="3416"/>
  <c r="BF31" i="3416"/>
  <c r="BE31" i="3416"/>
  <c r="BD31" i="3416"/>
  <c r="BC31" i="3416"/>
  <c r="BB31" i="3416"/>
  <c r="BA31" i="3416"/>
  <c r="AZ31" i="3416"/>
  <c r="AY31" i="3416"/>
  <c r="AX31" i="3416"/>
  <c r="AW31" i="3416"/>
  <c r="AV31" i="3416"/>
  <c r="AU31" i="3416"/>
  <c r="AT31" i="3416"/>
  <c r="AS31" i="3416"/>
  <c r="AR31" i="3416"/>
  <c r="AQ31" i="3416"/>
  <c r="AP31" i="3416"/>
  <c r="AO31" i="3416"/>
  <c r="AN31" i="3416"/>
  <c r="AM31" i="3416"/>
  <c r="AL31" i="3416"/>
  <c r="AK31" i="3416"/>
  <c r="AJ31" i="3416"/>
  <c r="AI31" i="3416"/>
  <c r="AH31" i="3416"/>
  <c r="AG31" i="3416"/>
  <c r="AF31" i="3416"/>
  <c r="AE31" i="3416"/>
  <c r="AD31" i="3416"/>
  <c r="AC31" i="3416"/>
  <c r="AB31" i="3416"/>
  <c r="AA31" i="3416"/>
  <c r="Z31" i="3416"/>
  <c r="Y31" i="3416"/>
  <c r="X31" i="3416"/>
  <c r="W31" i="3416"/>
  <c r="V31" i="3416"/>
  <c r="U31" i="3416"/>
  <c r="T31" i="3416"/>
  <c r="S31" i="3416"/>
  <c r="R31" i="3416"/>
  <c r="Q31" i="3416"/>
  <c r="P31" i="3416"/>
  <c r="O31" i="3416"/>
  <c r="N31" i="3416"/>
  <c r="M31" i="3416"/>
  <c r="L31" i="3416"/>
  <c r="K31" i="3416"/>
  <c r="J31" i="3416"/>
  <c r="I31" i="3416"/>
  <c r="H31" i="3416"/>
  <c r="G31" i="3416"/>
  <c r="F31" i="3416"/>
  <c r="E31" i="3416"/>
  <c r="D31" i="3416"/>
  <c r="C31" i="3416" a="1"/>
  <c r="C31" i="3416"/>
  <c r="A31" i="3416"/>
  <c r="EM30" i="3416"/>
  <c r="EL30" i="3416"/>
  <c r="EK30" i="3416"/>
  <c r="EJ30" i="3416"/>
  <c r="EI30" i="3416"/>
  <c r="EH30" i="3416"/>
  <c r="EG30" i="3416"/>
  <c r="EF30" i="3416"/>
  <c r="EE30" i="3416"/>
  <c r="ED30" i="3416"/>
  <c r="EC30" i="3416"/>
  <c r="EB30" i="3416"/>
  <c r="EA30" i="3416"/>
  <c r="DZ30" i="3416"/>
  <c r="DY30" i="3416"/>
  <c r="DX30" i="3416"/>
  <c r="DW30" i="3416"/>
  <c r="DV30" i="3416"/>
  <c r="DU30" i="3416"/>
  <c r="DT30" i="3416"/>
  <c r="DS30" i="3416"/>
  <c r="DR30" i="3416"/>
  <c r="DQ30" i="3416"/>
  <c r="DP30" i="3416"/>
  <c r="DO30" i="3416"/>
  <c r="DN30" i="3416"/>
  <c r="DM30" i="3416"/>
  <c r="DL30" i="3416"/>
  <c r="DK30" i="3416"/>
  <c r="DJ30" i="3416"/>
  <c r="DI30" i="3416"/>
  <c r="DH30" i="3416"/>
  <c r="DG30" i="3416"/>
  <c r="DF30" i="3416"/>
  <c r="DE30" i="3416"/>
  <c r="DD30" i="3416"/>
  <c r="DC30" i="3416"/>
  <c r="DB30" i="3416"/>
  <c r="DA30" i="3416"/>
  <c r="CZ30" i="3416"/>
  <c r="CY30" i="3416"/>
  <c r="CX30" i="3416"/>
  <c r="CW30" i="3416"/>
  <c r="CV30" i="3416"/>
  <c r="CU30" i="3416"/>
  <c r="CT30" i="3416"/>
  <c r="CS30" i="3416"/>
  <c r="CR30" i="3416"/>
  <c r="CQ30" i="3416"/>
  <c r="CP30" i="3416"/>
  <c r="CO30" i="3416"/>
  <c r="CN30" i="3416"/>
  <c r="CM30" i="3416"/>
  <c r="CL30" i="3416"/>
  <c r="CK30" i="3416"/>
  <c r="CJ30" i="3416"/>
  <c r="CI30" i="3416"/>
  <c r="CH30" i="3416"/>
  <c r="CG30" i="3416"/>
  <c r="CF30" i="3416"/>
  <c r="CE30" i="3416"/>
  <c r="CD30" i="3416"/>
  <c r="CC30" i="3416"/>
  <c r="CB30" i="3416"/>
  <c r="CA30" i="3416"/>
  <c r="BZ30" i="3416"/>
  <c r="BY30" i="3416"/>
  <c r="BX30" i="3416"/>
  <c r="BW30" i="3416"/>
  <c r="BV30" i="3416"/>
  <c r="BU30" i="3416"/>
  <c r="BT30" i="3416"/>
  <c r="BS30" i="3416"/>
  <c r="BR30" i="3416"/>
  <c r="BQ30" i="3416"/>
  <c r="BP30" i="3416"/>
  <c r="BO30" i="3416"/>
  <c r="BN30" i="3416"/>
  <c r="BM30" i="3416"/>
  <c r="BL30" i="3416"/>
  <c r="BK30" i="3416"/>
  <c r="BJ30" i="3416"/>
  <c r="BI30" i="3416"/>
  <c r="BH30" i="3416"/>
  <c r="BG30" i="3416"/>
  <c r="BF30" i="3416"/>
  <c r="BE30" i="3416"/>
  <c r="BD30" i="3416"/>
  <c r="BC30" i="3416"/>
  <c r="BB30" i="3416"/>
  <c r="BA30" i="3416"/>
  <c r="AZ30" i="3416"/>
  <c r="AY30" i="3416"/>
  <c r="AX30" i="3416"/>
  <c r="AW30" i="3416"/>
  <c r="AV30" i="3416"/>
  <c r="AU30" i="3416"/>
  <c r="AT30" i="3416"/>
  <c r="AS30" i="3416"/>
  <c r="AR30" i="3416"/>
  <c r="AQ30" i="3416"/>
  <c r="AP30" i="3416"/>
  <c r="AO30" i="3416"/>
  <c r="AN30" i="3416"/>
  <c r="AM30" i="3416"/>
  <c r="AL30" i="3416"/>
  <c r="AK30" i="3416"/>
  <c r="AJ30" i="3416"/>
  <c r="AI30" i="3416"/>
  <c r="AH30" i="3416"/>
  <c r="AG30" i="3416"/>
  <c r="AF30" i="3416"/>
  <c r="AE30" i="3416"/>
  <c r="AD30" i="3416"/>
  <c r="AC30" i="3416"/>
  <c r="AB30" i="3416"/>
  <c r="AA30" i="3416"/>
  <c r="Z30" i="3416"/>
  <c r="Y30" i="3416"/>
  <c r="X30" i="3416"/>
  <c r="W30" i="3416"/>
  <c r="V30" i="3416"/>
  <c r="U30" i="3416"/>
  <c r="T30" i="3416"/>
  <c r="S30" i="3416"/>
  <c r="R30" i="3416"/>
  <c r="Q30" i="3416"/>
  <c r="P30" i="3416"/>
  <c r="O30" i="3416"/>
  <c r="N30" i="3416"/>
  <c r="M30" i="3416"/>
  <c r="L30" i="3416"/>
  <c r="K30" i="3416"/>
  <c r="J30" i="3416"/>
  <c r="I30" i="3416"/>
  <c r="H30" i="3416"/>
  <c r="G30" i="3416"/>
  <c r="F30" i="3416"/>
  <c r="E30" i="3416"/>
  <c r="D30" i="3416"/>
  <c r="C30" i="3416" a="1"/>
  <c r="C30" i="3416"/>
  <c r="A30" i="3416"/>
  <c r="EM29" i="3416"/>
  <c r="EL29" i="3416"/>
  <c r="EK29" i="3416"/>
  <c r="EJ29" i="3416"/>
  <c r="EI29" i="3416"/>
  <c r="EH29" i="3416"/>
  <c r="EG29" i="3416"/>
  <c r="EF29" i="3416"/>
  <c r="EE29" i="3416"/>
  <c r="ED29" i="3416"/>
  <c r="EC29" i="3416"/>
  <c r="EB29" i="3416"/>
  <c r="EA29" i="3416"/>
  <c r="DZ29" i="3416"/>
  <c r="DY29" i="3416"/>
  <c r="DX29" i="3416"/>
  <c r="DW29" i="3416"/>
  <c r="DV29" i="3416"/>
  <c r="DU29" i="3416"/>
  <c r="DT29" i="3416"/>
  <c r="DS29" i="3416"/>
  <c r="DR29" i="3416"/>
  <c r="DQ29" i="3416"/>
  <c r="DP29" i="3416"/>
  <c r="DO29" i="3416"/>
  <c r="DN29" i="3416"/>
  <c r="DM29" i="3416"/>
  <c r="DL29" i="3416"/>
  <c r="DK29" i="3416"/>
  <c r="DJ29" i="3416"/>
  <c r="DI29" i="3416"/>
  <c r="DH29" i="3416"/>
  <c r="DG29" i="3416"/>
  <c r="DF29" i="3416"/>
  <c r="DE29" i="3416"/>
  <c r="DD29" i="3416"/>
  <c r="DC29" i="3416"/>
  <c r="DB29" i="3416"/>
  <c r="DA29" i="3416"/>
  <c r="CZ29" i="3416"/>
  <c r="CY29" i="3416"/>
  <c r="CX29" i="3416"/>
  <c r="CW29" i="3416"/>
  <c r="CV29" i="3416"/>
  <c r="CU29" i="3416"/>
  <c r="CT29" i="3416"/>
  <c r="CS29" i="3416"/>
  <c r="CR29" i="3416"/>
  <c r="CQ29" i="3416"/>
  <c r="CP29" i="3416"/>
  <c r="CO29" i="3416"/>
  <c r="CN29" i="3416"/>
  <c r="CM29" i="3416"/>
  <c r="CL29" i="3416"/>
  <c r="CK29" i="3416"/>
  <c r="CJ29" i="3416"/>
  <c r="CI29" i="3416"/>
  <c r="CH29" i="3416"/>
  <c r="CG29" i="3416"/>
  <c r="CF29" i="3416"/>
  <c r="CE29" i="3416"/>
  <c r="CD29" i="3416"/>
  <c r="CC29" i="3416"/>
  <c r="CB29" i="3416"/>
  <c r="CA29" i="3416"/>
  <c r="BZ29" i="3416"/>
  <c r="BY29" i="3416"/>
  <c r="BX29" i="3416"/>
  <c r="BW29" i="3416"/>
  <c r="BV29" i="3416"/>
  <c r="BU29" i="3416"/>
  <c r="BT29" i="3416"/>
  <c r="BS29" i="3416"/>
  <c r="BR29" i="3416"/>
  <c r="BQ29" i="3416"/>
  <c r="BP29" i="3416"/>
  <c r="BO29" i="3416"/>
  <c r="BN29" i="3416"/>
  <c r="BM29" i="3416"/>
  <c r="BL29" i="3416"/>
  <c r="BK29" i="3416"/>
  <c r="BJ29" i="3416"/>
  <c r="BI29" i="3416"/>
  <c r="BH29" i="3416"/>
  <c r="BG29" i="3416"/>
  <c r="BF29" i="3416"/>
  <c r="BE29" i="3416"/>
  <c r="BD29" i="3416"/>
  <c r="BC29" i="3416"/>
  <c r="BB29" i="3416"/>
  <c r="BA29" i="3416"/>
  <c r="AZ29" i="3416"/>
  <c r="AY29" i="3416"/>
  <c r="AX29" i="3416"/>
  <c r="AW29" i="3416"/>
  <c r="AV29" i="3416"/>
  <c r="AU29" i="3416"/>
  <c r="AT29" i="3416"/>
  <c r="AS29" i="3416"/>
  <c r="AR29" i="3416"/>
  <c r="AQ29" i="3416"/>
  <c r="AP29" i="3416"/>
  <c r="AO29" i="3416"/>
  <c r="AN29" i="3416"/>
  <c r="AM29" i="3416"/>
  <c r="AL29" i="3416"/>
  <c r="AK29" i="3416"/>
  <c r="AJ29" i="3416"/>
  <c r="AI29" i="3416"/>
  <c r="AH29" i="3416"/>
  <c r="AG29" i="3416"/>
  <c r="AF29" i="3416"/>
  <c r="AE29" i="3416"/>
  <c r="AD29" i="3416"/>
  <c r="AC29" i="3416"/>
  <c r="AB29" i="3416"/>
  <c r="AA29" i="3416"/>
  <c r="Z29" i="3416"/>
  <c r="Y29" i="3416"/>
  <c r="X29" i="3416"/>
  <c r="W29" i="3416"/>
  <c r="V29" i="3416"/>
  <c r="U29" i="3416"/>
  <c r="T29" i="3416"/>
  <c r="S29" i="3416"/>
  <c r="R29" i="3416"/>
  <c r="Q29" i="3416"/>
  <c r="P29" i="3416"/>
  <c r="O29" i="3416"/>
  <c r="N29" i="3416"/>
  <c r="M29" i="3416"/>
  <c r="L29" i="3416"/>
  <c r="K29" i="3416"/>
  <c r="J29" i="3416"/>
  <c r="I29" i="3416"/>
  <c r="H29" i="3416"/>
  <c r="G29" i="3416"/>
  <c r="F29" i="3416"/>
  <c r="E29" i="3416"/>
  <c r="D29" i="3416"/>
  <c r="C29" i="3416" a="1"/>
  <c r="C29" i="3416"/>
  <c r="A29" i="3416"/>
  <c r="EM28" i="3416"/>
  <c r="EL28" i="3416"/>
  <c r="EK28" i="3416"/>
  <c r="EJ28" i="3416"/>
  <c r="EI28" i="3416"/>
  <c r="EH28" i="3416"/>
  <c r="EG28" i="3416"/>
  <c r="EF28" i="3416"/>
  <c r="EE28" i="3416"/>
  <c r="ED28" i="3416"/>
  <c r="EC28" i="3416"/>
  <c r="EB28" i="3416"/>
  <c r="EA28" i="3416"/>
  <c r="DZ28" i="3416"/>
  <c r="DY28" i="3416"/>
  <c r="DX28" i="3416"/>
  <c r="DW28" i="3416"/>
  <c r="DV28" i="3416"/>
  <c r="DU28" i="3416"/>
  <c r="DT28" i="3416"/>
  <c r="DS28" i="3416"/>
  <c r="DR28" i="3416"/>
  <c r="DQ28" i="3416"/>
  <c r="DP28" i="3416"/>
  <c r="DO28" i="3416"/>
  <c r="DN28" i="3416"/>
  <c r="DM28" i="3416"/>
  <c r="DL28" i="3416"/>
  <c r="DK28" i="3416"/>
  <c r="DJ28" i="3416"/>
  <c r="DI28" i="3416"/>
  <c r="DH28" i="3416"/>
  <c r="DG28" i="3416"/>
  <c r="DF28" i="3416"/>
  <c r="DE28" i="3416"/>
  <c r="DD28" i="3416"/>
  <c r="DC28" i="3416"/>
  <c r="DB28" i="3416"/>
  <c r="DA28" i="3416"/>
  <c r="CZ28" i="3416"/>
  <c r="CY28" i="3416"/>
  <c r="CX28" i="3416"/>
  <c r="CW28" i="3416"/>
  <c r="CV28" i="3416"/>
  <c r="CU28" i="3416"/>
  <c r="CT28" i="3416"/>
  <c r="CS28" i="3416"/>
  <c r="CR28" i="3416"/>
  <c r="CQ28" i="3416"/>
  <c r="CP28" i="3416"/>
  <c r="CO28" i="3416"/>
  <c r="CN28" i="3416"/>
  <c r="CM28" i="3416"/>
  <c r="CL28" i="3416"/>
  <c r="CK28" i="3416"/>
  <c r="CJ28" i="3416"/>
  <c r="CI28" i="3416"/>
  <c r="CH28" i="3416"/>
  <c r="CG28" i="3416"/>
  <c r="CF28" i="3416"/>
  <c r="CE28" i="3416"/>
  <c r="CD28" i="3416"/>
  <c r="CC28" i="3416"/>
  <c r="CB28" i="3416"/>
  <c r="CA28" i="3416"/>
  <c r="BZ28" i="3416"/>
  <c r="BY28" i="3416"/>
  <c r="BX28" i="3416"/>
  <c r="BW28" i="3416"/>
  <c r="BV28" i="3416"/>
  <c r="BU28" i="3416"/>
  <c r="BT28" i="3416"/>
  <c r="BS28" i="3416"/>
  <c r="BR28" i="3416"/>
  <c r="BQ28" i="3416"/>
  <c r="BP28" i="3416"/>
  <c r="BO28" i="3416"/>
  <c r="BN28" i="3416"/>
  <c r="BM28" i="3416"/>
  <c r="BL28" i="3416"/>
  <c r="BK28" i="3416"/>
  <c r="BJ28" i="3416"/>
  <c r="BI28" i="3416"/>
  <c r="BH28" i="3416"/>
  <c r="BG28" i="3416"/>
  <c r="BF28" i="3416"/>
  <c r="BE28" i="3416"/>
  <c r="BD28" i="3416"/>
  <c r="BC28" i="3416"/>
  <c r="BB28" i="3416"/>
  <c r="BA28" i="3416"/>
  <c r="AZ28" i="3416"/>
  <c r="AY28" i="3416"/>
  <c r="AX28" i="3416"/>
  <c r="AW28" i="3416"/>
  <c r="AV28" i="3416"/>
  <c r="AU28" i="3416"/>
  <c r="AT28" i="3416"/>
  <c r="AS28" i="3416"/>
  <c r="AR28" i="3416"/>
  <c r="AQ28" i="3416"/>
  <c r="AP28" i="3416"/>
  <c r="AO28" i="3416"/>
  <c r="AN28" i="3416"/>
  <c r="AM28" i="3416"/>
  <c r="AL28" i="3416"/>
  <c r="AK28" i="3416"/>
  <c r="AJ28" i="3416"/>
  <c r="AI28" i="3416"/>
  <c r="AH28" i="3416"/>
  <c r="AG28" i="3416"/>
  <c r="AF28" i="3416"/>
  <c r="AE28" i="3416"/>
  <c r="AD28" i="3416"/>
  <c r="AC28" i="3416"/>
  <c r="AB28" i="3416"/>
  <c r="AA28" i="3416"/>
  <c r="Z28" i="3416"/>
  <c r="Y28" i="3416"/>
  <c r="X28" i="3416"/>
  <c r="W28" i="3416"/>
  <c r="V28" i="3416"/>
  <c r="U28" i="3416"/>
  <c r="T28" i="3416"/>
  <c r="S28" i="3416"/>
  <c r="R28" i="3416"/>
  <c r="Q28" i="3416"/>
  <c r="P28" i="3416"/>
  <c r="O28" i="3416"/>
  <c r="N28" i="3416"/>
  <c r="M28" i="3416"/>
  <c r="L28" i="3416"/>
  <c r="K28" i="3416"/>
  <c r="J28" i="3416"/>
  <c r="I28" i="3416"/>
  <c r="H28" i="3416"/>
  <c r="G28" i="3416"/>
  <c r="F28" i="3416"/>
  <c r="E28" i="3416"/>
  <c r="D28" i="3416"/>
  <c r="C28" i="3416" a="1"/>
  <c r="C28" i="3416"/>
  <c r="A28" i="3416"/>
  <c r="EM27" i="3416"/>
  <c r="EL27" i="3416"/>
  <c r="EK27" i="3416"/>
  <c r="EJ27" i="3416"/>
  <c r="EI27" i="3416"/>
  <c r="EH27" i="3416"/>
  <c r="EG27" i="3416"/>
  <c r="EF27" i="3416"/>
  <c r="EE27" i="3416"/>
  <c r="ED27" i="3416"/>
  <c r="EC27" i="3416"/>
  <c r="EB27" i="3416"/>
  <c r="EA27" i="3416"/>
  <c r="DZ27" i="3416"/>
  <c r="DY27" i="3416"/>
  <c r="DX27" i="3416"/>
  <c r="DW27" i="3416"/>
  <c r="DV27" i="3416"/>
  <c r="DU27" i="3416"/>
  <c r="DT27" i="3416"/>
  <c r="DS27" i="3416"/>
  <c r="DR27" i="3416"/>
  <c r="DQ27" i="3416"/>
  <c r="DP27" i="3416"/>
  <c r="DO27" i="3416"/>
  <c r="DN27" i="3416"/>
  <c r="DM27" i="3416"/>
  <c r="DL27" i="3416"/>
  <c r="DK27" i="3416"/>
  <c r="DJ27" i="3416"/>
  <c r="DI27" i="3416"/>
  <c r="DH27" i="3416"/>
  <c r="DG27" i="3416"/>
  <c r="DF27" i="3416"/>
  <c r="DE27" i="3416"/>
  <c r="DD27" i="3416"/>
  <c r="DC27" i="3416"/>
  <c r="DB27" i="3416"/>
  <c r="DA27" i="3416"/>
  <c r="CZ27" i="3416"/>
  <c r="CY27" i="3416"/>
  <c r="CX27" i="3416"/>
  <c r="CW27" i="3416"/>
  <c r="CV27" i="3416"/>
  <c r="CU27" i="3416"/>
  <c r="CT27" i="3416"/>
  <c r="CS27" i="3416"/>
  <c r="CR27" i="3416"/>
  <c r="CQ27" i="3416"/>
  <c r="CP27" i="3416"/>
  <c r="CO27" i="3416"/>
  <c r="CN27" i="3416"/>
  <c r="CM27" i="3416"/>
  <c r="CL27" i="3416"/>
  <c r="CK27" i="3416"/>
  <c r="CJ27" i="3416"/>
  <c r="CI27" i="3416"/>
  <c r="CH27" i="3416"/>
  <c r="CG27" i="3416"/>
  <c r="CF27" i="3416"/>
  <c r="CE27" i="3416"/>
  <c r="CD27" i="3416"/>
  <c r="CC27" i="3416"/>
  <c r="CB27" i="3416"/>
  <c r="CA27" i="3416"/>
  <c r="BZ27" i="3416"/>
  <c r="BY27" i="3416"/>
  <c r="BX27" i="3416"/>
  <c r="BW27" i="3416"/>
  <c r="BV27" i="3416"/>
  <c r="BU27" i="3416"/>
  <c r="BT27" i="3416"/>
  <c r="BS27" i="3416"/>
  <c r="BR27" i="3416"/>
  <c r="BQ27" i="3416"/>
  <c r="BP27" i="3416"/>
  <c r="BO27" i="3416"/>
  <c r="BN27" i="3416"/>
  <c r="BM27" i="3416"/>
  <c r="BL27" i="3416"/>
  <c r="BK27" i="3416"/>
  <c r="BJ27" i="3416"/>
  <c r="BI27" i="3416"/>
  <c r="BH27" i="3416"/>
  <c r="BG27" i="3416"/>
  <c r="BF27" i="3416"/>
  <c r="BE27" i="3416"/>
  <c r="BD27" i="3416"/>
  <c r="BC27" i="3416"/>
  <c r="BB27" i="3416"/>
  <c r="BA27" i="3416"/>
  <c r="AZ27" i="3416"/>
  <c r="AY27" i="3416"/>
  <c r="AX27" i="3416"/>
  <c r="AW27" i="3416"/>
  <c r="AV27" i="3416"/>
  <c r="AU27" i="3416"/>
  <c r="AT27" i="3416"/>
  <c r="AS27" i="3416"/>
  <c r="AR27" i="3416"/>
  <c r="AQ27" i="3416"/>
  <c r="AP27" i="3416"/>
  <c r="AO27" i="3416"/>
  <c r="AN27" i="3416"/>
  <c r="AM27" i="3416"/>
  <c r="AL27" i="3416"/>
  <c r="AK27" i="3416"/>
  <c r="AJ27" i="3416"/>
  <c r="AI27" i="3416"/>
  <c r="AH27" i="3416"/>
  <c r="AG27" i="3416"/>
  <c r="AF27" i="3416"/>
  <c r="AE27" i="3416"/>
  <c r="AD27" i="3416"/>
  <c r="AC27" i="3416"/>
  <c r="AB27" i="3416"/>
  <c r="AA27" i="3416"/>
  <c r="Z27" i="3416"/>
  <c r="Y27" i="3416"/>
  <c r="X27" i="3416"/>
  <c r="W27" i="3416"/>
  <c r="V27" i="3416"/>
  <c r="U27" i="3416"/>
  <c r="T27" i="3416"/>
  <c r="S27" i="3416"/>
  <c r="R27" i="3416"/>
  <c r="Q27" i="3416"/>
  <c r="P27" i="3416"/>
  <c r="O27" i="3416"/>
  <c r="N27" i="3416"/>
  <c r="M27" i="3416"/>
  <c r="L27" i="3416"/>
  <c r="K27" i="3416"/>
  <c r="J27" i="3416"/>
  <c r="I27" i="3416"/>
  <c r="H27" i="3416"/>
  <c r="G27" i="3416"/>
  <c r="F27" i="3416"/>
  <c r="E27" i="3416"/>
  <c r="D27" i="3416"/>
  <c r="C27" i="3416" a="1"/>
  <c r="C27" i="3416"/>
  <c r="A27" i="3416"/>
  <c r="EM26" i="3416"/>
  <c r="EL26" i="3416"/>
  <c r="EK26" i="3416"/>
  <c r="EJ26" i="3416"/>
  <c r="EI26" i="3416"/>
  <c r="EH26" i="3416"/>
  <c r="EG26" i="3416"/>
  <c r="EF26" i="3416"/>
  <c r="EE26" i="3416"/>
  <c r="ED26" i="3416"/>
  <c r="EC26" i="3416"/>
  <c r="EB26" i="3416"/>
  <c r="EA26" i="3416"/>
  <c r="DZ26" i="3416"/>
  <c r="DY26" i="3416"/>
  <c r="DX26" i="3416"/>
  <c r="DW26" i="3416"/>
  <c r="DV26" i="3416"/>
  <c r="DU26" i="3416"/>
  <c r="DT26" i="3416"/>
  <c r="DS26" i="3416"/>
  <c r="DR26" i="3416"/>
  <c r="DQ26" i="3416"/>
  <c r="DP26" i="3416"/>
  <c r="DO26" i="3416"/>
  <c r="DN26" i="3416"/>
  <c r="DM26" i="3416"/>
  <c r="DL26" i="3416"/>
  <c r="DK26" i="3416"/>
  <c r="DJ26" i="3416"/>
  <c r="DI26" i="3416"/>
  <c r="DH26" i="3416"/>
  <c r="DG26" i="3416"/>
  <c r="DF26" i="3416"/>
  <c r="DE26" i="3416"/>
  <c r="DD26" i="3416"/>
  <c r="DC26" i="3416"/>
  <c r="DB26" i="3416"/>
  <c r="DA26" i="3416"/>
  <c r="CZ26" i="3416"/>
  <c r="CY26" i="3416"/>
  <c r="CX26" i="3416"/>
  <c r="CW26" i="3416"/>
  <c r="CV26" i="3416"/>
  <c r="CU26" i="3416"/>
  <c r="CT26" i="3416"/>
  <c r="CS26" i="3416"/>
  <c r="CR26" i="3416"/>
  <c r="CQ26" i="3416"/>
  <c r="CP26" i="3416"/>
  <c r="CO26" i="3416"/>
  <c r="CN26" i="3416"/>
  <c r="CM26" i="3416"/>
  <c r="CL26" i="3416"/>
  <c r="CK26" i="3416"/>
  <c r="CJ26" i="3416"/>
  <c r="CI26" i="3416"/>
  <c r="CH26" i="3416"/>
  <c r="CG26" i="3416"/>
  <c r="CF26" i="3416"/>
  <c r="CE26" i="3416"/>
  <c r="CD26" i="3416"/>
  <c r="CC26" i="3416"/>
  <c r="CB26" i="3416"/>
  <c r="CA26" i="3416"/>
  <c r="BZ26" i="3416"/>
  <c r="BY26" i="3416"/>
  <c r="BX26" i="3416"/>
  <c r="BW26" i="3416"/>
  <c r="BV26" i="3416"/>
  <c r="BU26" i="3416"/>
  <c r="BT26" i="3416"/>
  <c r="BS26" i="3416"/>
  <c r="BR26" i="3416"/>
  <c r="BQ26" i="3416"/>
  <c r="BP26" i="3416"/>
  <c r="BO26" i="3416"/>
  <c r="BN26" i="3416"/>
  <c r="BM26" i="3416"/>
  <c r="BL26" i="3416"/>
  <c r="BK26" i="3416"/>
  <c r="BJ26" i="3416"/>
  <c r="BI26" i="3416"/>
  <c r="BH26" i="3416"/>
  <c r="BG26" i="3416"/>
  <c r="BF26" i="3416"/>
  <c r="BE26" i="3416"/>
  <c r="BD26" i="3416"/>
  <c r="BC26" i="3416"/>
  <c r="BB26" i="3416"/>
  <c r="BA26" i="3416"/>
  <c r="AZ26" i="3416"/>
  <c r="AY26" i="3416"/>
  <c r="AX26" i="3416"/>
  <c r="AW26" i="3416"/>
  <c r="AV26" i="3416"/>
  <c r="AU26" i="3416"/>
  <c r="AT26" i="3416"/>
  <c r="AS26" i="3416"/>
  <c r="AR26" i="3416"/>
  <c r="AQ26" i="3416"/>
  <c r="AP26" i="3416"/>
  <c r="AO26" i="3416"/>
  <c r="AN26" i="3416"/>
  <c r="AM26" i="3416"/>
  <c r="AL26" i="3416"/>
  <c r="AK26" i="3416"/>
  <c r="AJ26" i="3416"/>
  <c r="AI26" i="3416"/>
  <c r="AH26" i="3416"/>
  <c r="AG26" i="3416"/>
  <c r="AF26" i="3416"/>
  <c r="AE26" i="3416"/>
  <c r="AD26" i="3416"/>
  <c r="AC26" i="3416"/>
  <c r="AB26" i="3416"/>
  <c r="AA26" i="3416"/>
  <c r="Z26" i="3416"/>
  <c r="Y26" i="3416"/>
  <c r="X26" i="3416"/>
  <c r="W26" i="3416"/>
  <c r="V26" i="3416"/>
  <c r="U26" i="3416"/>
  <c r="T26" i="3416"/>
  <c r="S26" i="3416"/>
  <c r="R26" i="3416"/>
  <c r="Q26" i="3416"/>
  <c r="P26" i="3416"/>
  <c r="O26" i="3416"/>
  <c r="N26" i="3416"/>
  <c r="M26" i="3416"/>
  <c r="L26" i="3416"/>
  <c r="K26" i="3416"/>
  <c r="J26" i="3416"/>
  <c r="I26" i="3416"/>
  <c r="H26" i="3416"/>
  <c r="G26" i="3416"/>
  <c r="F26" i="3416"/>
  <c r="E26" i="3416"/>
  <c r="D26" i="3416"/>
  <c r="C26" i="3416" a="1"/>
  <c r="C26" i="3416"/>
  <c r="A26" i="3416"/>
  <c r="EM25" i="3416"/>
  <c r="EL25" i="3416"/>
  <c r="EK25" i="3416"/>
  <c r="EJ25" i="3416"/>
  <c r="EI25" i="3416"/>
  <c r="EH25" i="3416"/>
  <c r="EG25" i="3416"/>
  <c r="EF25" i="3416"/>
  <c r="EE25" i="3416"/>
  <c r="ED25" i="3416"/>
  <c r="EC25" i="3416"/>
  <c r="EB25" i="3416"/>
  <c r="EA25" i="3416"/>
  <c r="DZ25" i="3416"/>
  <c r="DY25" i="3416"/>
  <c r="DX25" i="3416"/>
  <c r="DW25" i="3416"/>
  <c r="DV25" i="3416"/>
  <c r="DU25" i="3416"/>
  <c r="DT25" i="3416"/>
  <c r="DS25" i="3416"/>
  <c r="DR25" i="3416"/>
  <c r="DQ25" i="3416"/>
  <c r="DP25" i="3416"/>
  <c r="DO25" i="3416"/>
  <c r="DN25" i="3416"/>
  <c r="DM25" i="3416"/>
  <c r="DL25" i="3416"/>
  <c r="DK25" i="3416"/>
  <c r="DJ25" i="3416"/>
  <c r="DI25" i="3416"/>
  <c r="DH25" i="3416"/>
  <c r="DG25" i="3416"/>
  <c r="DF25" i="3416"/>
  <c r="DE25" i="3416"/>
  <c r="DD25" i="3416"/>
  <c r="DC25" i="3416"/>
  <c r="DB25" i="3416"/>
  <c r="DA25" i="3416"/>
  <c r="CZ25" i="3416"/>
  <c r="CY25" i="3416"/>
  <c r="CX25" i="3416"/>
  <c r="CW25" i="3416"/>
  <c r="CV25" i="3416"/>
  <c r="CU25" i="3416"/>
  <c r="CT25" i="3416"/>
  <c r="CS25" i="3416"/>
  <c r="CR25" i="3416"/>
  <c r="CQ25" i="3416"/>
  <c r="CP25" i="3416"/>
  <c r="CO25" i="3416"/>
  <c r="CN25" i="3416"/>
  <c r="CM25" i="3416"/>
  <c r="CL25" i="3416"/>
  <c r="CK25" i="3416"/>
  <c r="CJ25" i="3416"/>
  <c r="CI25" i="3416"/>
  <c r="CH25" i="3416"/>
  <c r="CG25" i="3416"/>
  <c r="CF25" i="3416"/>
  <c r="CE25" i="3416"/>
  <c r="CD25" i="3416"/>
  <c r="CC25" i="3416"/>
  <c r="CB25" i="3416"/>
  <c r="CA25" i="3416"/>
  <c r="BZ25" i="3416"/>
  <c r="BY25" i="3416"/>
  <c r="BX25" i="3416"/>
  <c r="BW25" i="3416"/>
  <c r="BV25" i="3416"/>
  <c r="BU25" i="3416"/>
  <c r="BT25" i="3416"/>
  <c r="BS25" i="3416"/>
  <c r="BR25" i="3416"/>
  <c r="BQ25" i="3416"/>
  <c r="BP25" i="3416"/>
  <c r="BO25" i="3416"/>
  <c r="BN25" i="3416"/>
  <c r="BM25" i="3416"/>
  <c r="BL25" i="3416"/>
  <c r="BK25" i="3416"/>
  <c r="BJ25" i="3416"/>
  <c r="BI25" i="3416"/>
  <c r="BH25" i="3416"/>
  <c r="BG25" i="3416"/>
  <c r="BF25" i="3416"/>
  <c r="BE25" i="3416"/>
  <c r="BD25" i="3416"/>
  <c r="BC25" i="3416"/>
  <c r="BB25" i="3416"/>
  <c r="BA25" i="3416"/>
  <c r="AZ25" i="3416"/>
  <c r="AY25" i="3416"/>
  <c r="AX25" i="3416"/>
  <c r="AW25" i="3416"/>
  <c r="AV25" i="3416"/>
  <c r="AU25" i="3416"/>
  <c r="AT25" i="3416"/>
  <c r="AS25" i="3416"/>
  <c r="AR25" i="3416"/>
  <c r="AQ25" i="3416"/>
  <c r="AP25" i="3416"/>
  <c r="AO25" i="3416"/>
  <c r="AN25" i="3416"/>
  <c r="AM25" i="3416"/>
  <c r="AL25" i="3416"/>
  <c r="AK25" i="3416"/>
  <c r="AJ25" i="3416"/>
  <c r="AI25" i="3416"/>
  <c r="AH25" i="3416"/>
  <c r="AG25" i="3416"/>
  <c r="AF25" i="3416"/>
  <c r="AE25" i="3416"/>
  <c r="AD25" i="3416"/>
  <c r="AC25" i="3416"/>
  <c r="AB25" i="3416"/>
  <c r="AA25" i="3416"/>
  <c r="Z25" i="3416"/>
  <c r="Y25" i="3416"/>
  <c r="X25" i="3416"/>
  <c r="W25" i="3416"/>
  <c r="V25" i="3416"/>
  <c r="U25" i="3416"/>
  <c r="T25" i="3416"/>
  <c r="S25" i="3416"/>
  <c r="R25" i="3416"/>
  <c r="Q25" i="3416"/>
  <c r="P25" i="3416"/>
  <c r="O25" i="3416"/>
  <c r="N25" i="3416"/>
  <c r="M25" i="3416"/>
  <c r="L25" i="3416"/>
  <c r="K25" i="3416"/>
  <c r="J25" i="3416"/>
  <c r="I25" i="3416"/>
  <c r="H25" i="3416"/>
  <c r="G25" i="3416"/>
  <c r="F25" i="3416"/>
  <c r="E25" i="3416"/>
  <c r="D25" i="3416"/>
  <c r="C25" i="3416" a="1"/>
  <c r="C25" i="3416"/>
  <c r="A25" i="3416"/>
  <c r="EM24" i="3416"/>
  <c r="EL24" i="3416"/>
  <c r="EK24" i="3416"/>
  <c r="EJ24" i="3416"/>
  <c r="EI24" i="3416"/>
  <c r="EH24" i="3416"/>
  <c r="EG24" i="3416"/>
  <c r="EF24" i="3416"/>
  <c r="EE24" i="3416"/>
  <c r="ED24" i="3416"/>
  <c r="EC24" i="3416"/>
  <c r="EB24" i="3416"/>
  <c r="EA24" i="3416"/>
  <c r="DZ24" i="3416"/>
  <c r="DY24" i="3416"/>
  <c r="DX24" i="3416"/>
  <c r="DW24" i="3416"/>
  <c r="DV24" i="3416"/>
  <c r="DU24" i="3416"/>
  <c r="DT24" i="3416"/>
  <c r="DS24" i="3416"/>
  <c r="DR24" i="3416"/>
  <c r="DQ24" i="3416"/>
  <c r="DP24" i="3416"/>
  <c r="DO24" i="3416"/>
  <c r="DN24" i="3416"/>
  <c r="DM24" i="3416"/>
  <c r="DL24" i="3416"/>
  <c r="DK24" i="3416"/>
  <c r="DJ24" i="3416"/>
  <c r="DI24" i="3416"/>
  <c r="DH24" i="3416"/>
  <c r="DG24" i="3416"/>
  <c r="DF24" i="3416"/>
  <c r="DE24" i="3416"/>
  <c r="DD24" i="3416"/>
  <c r="DC24" i="3416"/>
  <c r="DB24" i="3416"/>
  <c r="DA24" i="3416"/>
  <c r="CZ24" i="3416"/>
  <c r="CY24" i="3416"/>
  <c r="CX24" i="3416"/>
  <c r="CW24" i="3416"/>
  <c r="CV24" i="3416"/>
  <c r="CU24" i="3416"/>
  <c r="CT24" i="3416"/>
  <c r="CS24" i="3416"/>
  <c r="CR24" i="3416"/>
  <c r="CQ24" i="3416"/>
  <c r="CP24" i="3416"/>
  <c r="CO24" i="3416"/>
  <c r="CN24" i="3416"/>
  <c r="CM24" i="3416"/>
  <c r="CL24" i="3416"/>
  <c r="CK24" i="3416"/>
  <c r="CJ24" i="3416"/>
  <c r="CI24" i="3416"/>
  <c r="CH24" i="3416"/>
  <c r="CG24" i="3416"/>
  <c r="CF24" i="3416"/>
  <c r="CE24" i="3416"/>
  <c r="CD24" i="3416"/>
  <c r="CC24" i="3416"/>
  <c r="CB24" i="3416"/>
  <c r="CA24" i="3416"/>
  <c r="BZ24" i="3416"/>
  <c r="BY24" i="3416"/>
  <c r="BX24" i="3416"/>
  <c r="BW24" i="3416"/>
  <c r="BV24" i="3416"/>
  <c r="BU24" i="3416"/>
  <c r="BT24" i="3416"/>
  <c r="BS24" i="3416"/>
  <c r="BR24" i="3416"/>
  <c r="BQ24" i="3416"/>
  <c r="BP24" i="3416"/>
  <c r="BO24" i="3416"/>
  <c r="BN24" i="3416"/>
  <c r="BM24" i="3416"/>
  <c r="BL24" i="3416"/>
  <c r="BK24" i="3416"/>
  <c r="BJ24" i="3416"/>
  <c r="BI24" i="3416"/>
  <c r="BH24" i="3416"/>
  <c r="BG24" i="3416"/>
  <c r="BF24" i="3416"/>
  <c r="BE24" i="3416"/>
  <c r="BD24" i="3416"/>
  <c r="BC24" i="3416"/>
  <c r="BB24" i="3416"/>
  <c r="BA24" i="3416"/>
  <c r="AZ24" i="3416"/>
  <c r="AY24" i="3416"/>
  <c r="AX24" i="3416"/>
  <c r="AW24" i="3416"/>
  <c r="AV24" i="3416"/>
  <c r="AU24" i="3416"/>
  <c r="AT24" i="3416"/>
  <c r="AS24" i="3416"/>
  <c r="AR24" i="3416"/>
  <c r="AQ24" i="3416"/>
  <c r="AP24" i="3416"/>
  <c r="AO24" i="3416"/>
  <c r="AN24" i="3416"/>
  <c r="AM24" i="3416"/>
  <c r="AL24" i="3416"/>
  <c r="AK24" i="3416"/>
  <c r="AJ24" i="3416"/>
  <c r="AI24" i="3416"/>
  <c r="AH24" i="3416"/>
  <c r="AG24" i="3416"/>
  <c r="AF24" i="3416"/>
  <c r="AE24" i="3416"/>
  <c r="AD24" i="3416"/>
  <c r="AC24" i="3416"/>
  <c r="AB24" i="3416"/>
  <c r="AA24" i="3416"/>
  <c r="Z24" i="3416"/>
  <c r="Y24" i="3416"/>
  <c r="X24" i="3416"/>
  <c r="W24" i="3416"/>
  <c r="V24" i="3416"/>
  <c r="U24" i="3416"/>
  <c r="T24" i="3416"/>
  <c r="S24" i="3416"/>
  <c r="R24" i="3416"/>
  <c r="Q24" i="3416"/>
  <c r="P24" i="3416"/>
  <c r="O24" i="3416"/>
  <c r="N24" i="3416"/>
  <c r="M24" i="3416"/>
  <c r="L24" i="3416"/>
  <c r="K24" i="3416"/>
  <c r="J24" i="3416"/>
  <c r="I24" i="3416"/>
  <c r="H24" i="3416"/>
  <c r="G24" i="3416"/>
  <c r="F24" i="3416"/>
  <c r="E24" i="3416"/>
  <c r="D24" i="3416"/>
  <c r="C24" i="3416" a="1"/>
  <c r="C24" i="3416"/>
  <c r="A24" i="3416"/>
  <c r="EM23" i="3416"/>
  <c r="EL23" i="3416"/>
  <c r="EK23" i="3416"/>
  <c r="EJ23" i="3416"/>
  <c r="EI23" i="3416"/>
  <c r="EH23" i="3416"/>
  <c r="EG23" i="3416"/>
  <c r="EF23" i="3416"/>
  <c r="EE23" i="3416"/>
  <c r="ED23" i="3416"/>
  <c r="EC23" i="3416"/>
  <c r="EB23" i="3416"/>
  <c r="EA23" i="3416"/>
  <c r="DZ23" i="3416"/>
  <c r="DY23" i="3416"/>
  <c r="DX23" i="3416"/>
  <c r="DW23" i="3416"/>
  <c r="DV23" i="3416"/>
  <c r="DU23" i="3416"/>
  <c r="DT23" i="3416"/>
  <c r="DS23" i="3416"/>
  <c r="DR23" i="3416"/>
  <c r="DQ23" i="3416"/>
  <c r="DP23" i="3416"/>
  <c r="DO23" i="3416"/>
  <c r="DN23" i="3416"/>
  <c r="DM23" i="3416"/>
  <c r="DL23" i="3416"/>
  <c r="DK23" i="3416"/>
  <c r="DJ23" i="3416"/>
  <c r="DI23" i="3416"/>
  <c r="DH23" i="3416"/>
  <c r="DG23" i="3416"/>
  <c r="DF23" i="3416"/>
  <c r="DE23" i="3416"/>
  <c r="DD23" i="3416"/>
  <c r="DC23" i="3416"/>
  <c r="DB23" i="3416"/>
  <c r="DA23" i="3416"/>
  <c r="CZ23" i="3416"/>
  <c r="CY23" i="3416"/>
  <c r="CX23" i="3416"/>
  <c r="CW23" i="3416"/>
  <c r="CV23" i="3416"/>
  <c r="CU23" i="3416"/>
  <c r="CT23" i="3416"/>
  <c r="CS23" i="3416"/>
  <c r="CR23" i="3416"/>
  <c r="CQ23" i="3416"/>
  <c r="CP23" i="3416"/>
  <c r="CO23" i="3416"/>
  <c r="CN23" i="3416"/>
  <c r="CM23" i="3416"/>
  <c r="CL23" i="3416"/>
  <c r="CK23" i="3416"/>
  <c r="CJ23" i="3416"/>
  <c r="CI23" i="3416"/>
  <c r="CH23" i="3416"/>
  <c r="CG23" i="3416"/>
  <c r="CF23" i="3416"/>
  <c r="CE23" i="3416"/>
  <c r="CD23" i="3416"/>
  <c r="CC23" i="3416"/>
  <c r="CB23" i="3416"/>
  <c r="CA23" i="3416"/>
  <c r="BZ23" i="3416"/>
  <c r="BY23" i="3416"/>
  <c r="BX23" i="3416"/>
  <c r="BW23" i="3416"/>
  <c r="BV23" i="3416"/>
  <c r="BU23" i="3416"/>
  <c r="BT23" i="3416"/>
  <c r="BS23" i="3416"/>
  <c r="BR23" i="3416"/>
  <c r="BQ23" i="3416"/>
  <c r="BP23" i="3416"/>
  <c r="BO23" i="3416"/>
  <c r="BN23" i="3416"/>
  <c r="BM23" i="3416"/>
  <c r="BL23" i="3416"/>
  <c r="BK23" i="3416"/>
  <c r="BJ23" i="3416"/>
  <c r="BI23" i="3416"/>
  <c r="BH23" i="3416"/>
  <c r="BG23" i="3416"/>
  <c r="BF23" i="3416"/>
  <c r="BE23" i="3416"/>
  <c r="BD23" i="3416"/>
  <c r="BC23" i="3416"/>
  <c r="BB23" i="3416"/>
  <c r="BA23" i="3416"/>
  <c r="AZ23" i="3416"/>
  <c r="AY23" i="3416"/>
  <c r="AX23" i="3416"/>
  <c r="AW23" i="3416"/>
  <c r="AV23" i="3416"/>
  <c r="AU23" i="3416"/>
  <c r="AT23" i="3416"/>
  <c r="AS23" i="3416"/>
  <c r="AR23" i="3416"/>
  <c r="AQ23" i="3416"/>
  <c r="AP23" i="3416"/>
  <c r="AO23" i="3416"/>
  <c r="AN23" i="3416"/>
  <c r="AM23" i="3416"/>
  <c r="AL23" i="3416"/>
  <c r="AK23" i="3416"/>
  <c r="AJ23" i="3416"/>
  <c r="AI23" i="3416"/>
  <c r="AH23" i="3416"/>
  <c r="AG23" i="3416"/>
  <c r="AF23" i="3416"/>
  <c r="AE23" i="3416"/>
  <c r="AD23" i="3416"/>
  <c r="AC23" i="3416"/>
  <c r="AB23" i="3416"/>
  <c r="AA23" i="3416"/>
  <c r="Z23" i="3416"/>
  <c r="Y23" i="3416"/>
  <c r="X23" i="3416"/>
  <c r="W23" i="3416"/>
  <c r="V23" i="3416"/>
  <c r="U23" i="3416"/>
  <c r="T23" i="3416"/>
  <c r="S23" i="3416"/>
  <c r="R23" i="3416"/>
  <c r="Q23" i="3416"/>
  <c r="P23" i="3416"/>
  <c r="O23" i="3416"/>
  <c r="N23" i="3416"/>
  <c r="M23" i="3416"/>
  <c r="L23" i="3416"/>
  <c r="K23" i="3416"/>
  <c r="J23" i="3416"/>
  <c r="I23" i="3416"/>
  <c r="H23" i="3416"/>
  <c r="G23" i="3416"/>
  <c r="F23" i="3416"/>
  <c r="E23" i="3416"/>
  <c r="D23" i="3416"/>
  <c r="C23" i="3416" a="1"/>
  <c r="C23" i="3416"/>
  <c r="A23" i="3416"/>
  <c r="EM22" i="3416"/>
  <c r="EL22" i="3416"/>
  <c r="EK22" i="3416"/>
  <c r="EJ22" i="3416"/>
  <c r="EI22" i="3416"/>
  <c r="EH22" i="3416"/>
  <c r="EG22" i="3416"/>
  <c r="EF22" i="3416"/>
  <c r="EE22" i="3416"/>
  <c r="ED22" i="3416"/>
  <c r="EC22" i="3416"/>
  <c r="EB22" i="3416"/>
  <c r="EA22" i="3416"/>
  <c r="DZ22" i="3416"/>
  <c r="DY22" i="3416"/>
  <c r="DX22" i="3416"/>
  <c r="DW22" i="3416"/>
  <c r="DV22" i="3416"/>
  <c r="DU22" i="3416"/>
  <c r="DT22" i="3416"/>
  <c r="DS22" i="3416"/>
  <c r="DR22" i="3416"/>
  <c r="DQ22" i="3416"/>
  <c r="DP22" i="3416"/>
  <c r="DO22" i="3416"/>
  <c r="DN22" i="3416"/>
  <c r="DM22" i="3416"/>
  <c r="DL22" i="3416"/>
  <c r="DK22" i="3416"/>
  <c r="DJ22" i="3416"/>
  <c r="DI22" i="3416"/>
  <c r="DH22" i="3416"/>
  <c r="DG22" i="3416"/>
  <c r="DF22" i="3416"/>
  <c r="DE22" i="3416"/>
  <c r="DD22" i="3416"/>
  <c r="DC22" i="3416"/>
  <c r="DB22" i="3416"/>
  <c r="DA22" i="3416"/>
  <c r="CZ22" i="3416"/>
  <c r="CY22" i="3416"/>
  <c r="CX22" i="3416"/>
  <c r="CW22" i="3416"/>
  <c r="CV22" i="3416"/>
  <c r="CU22" i="3416"/>
  <c r="CT22" i="3416"/>
  <c r="CS22" i="3416"/>
  <c r="CR22" i="3416"/>
  <c r="CQ22" i="3416"/>
  <c r="CP22" i="3416"/>
  <c r="CO22" i="3416"/>
  <c r="CN22" i="3416"/>
  <c r="CM22" i="3416"/>
  <c r="CL22" i="3416"/>
  <c r="CK22" i="3416"/>
  <c r="CJ22" i="3416"/>
  <c r="CI22" i="3416"/>
  <c r="CH22" i="3416"/>
  <c r="CG22" i="3416"/>
  <c r="CF22" i="3416"/>
  <c r="CE22" i="3416"/>
  <c r="CD22" i="3416"/>
  <c r="CC22" i="3416"/>
  <c r="CB22" i="3416"/>
  <c r="CA22" i="3416"/>
  <c r="BZ22" i="3416"/>
  <c r="BY22" i="3416"/>
  <c r="BX22" i="3416"/>
  <c r="BW22" i="3416"/>
  <c r="BV22" i="3416"/>
  <c r="BU22" i="3416"/>
  <c r="BT22" i="3416"/>
  <c r="BS22" i="3416"/>
  <c r="BR22" i="3416"/>
  <c r="BQ22" i="3416"/>
  <c r="BP22" i="3416"/>
  <c r="BO22" i="3416"/>
  <c r="BN22" i="3416"/>
  <c r="BM22" i="3416"/>
  <c r="BL22" i="3416"/>
  <c r="BK22" i="3416"/>
  <c r="BJ22" i="3416"/>
  <c r="BI22" i="3416"/>
  <c r="BH22" i="3416"/>
  <c r="BG22" i="3416"/>
  <c r="BF22" i="3416"/>
  <c r="BE22" i="3416"/>
  <c r="BD22" i="3416"/>
  <c r="BC22" i="3416"/>
  <c r="BB22" i="3416"/>
  <c r="BA22" i="3416"/>
  <c r="AZ22" i="3416"/>
  <c r="AY22" i="3416"/>
  <c r="AX22" i="3416"/>
  <c r="AW22" i="3416"/>
  <c r="AV22" i="3416"/>
  <c r="AU22" i="3416"/>
  <c r="AT22" i="3416"/>
  <c r="AS22" i="3416"/>
  <c r="AR22" i="3416"/>
  <c r="AQ22" i="3416"/>
  <c r="AP22" i="3416"/>
  <c r="AO22" i="3416"/>
  <c r="AN22" i="3416"/>
  <c r="AM22" i="3416"/>
  <c r="AL22" i="3416"/>
  <c r="AK22" i="3416"/>
  <c r="AJ22" i="3416"/>
  <c r="AI22" i="3416"/>
  <c r="AH22" i="3416"/>
  <c r="AG22" i="3416"/>
  <c r="AF22" i="3416"/>
  <c r="AE22" i="3416"/>
  <c r="AD22" i="3416"/>
  <c r="AC22" i="3416"/>
  <c r="AB22" i="3416"/>
  <c r="AA22" i="3416"/>
  <c r="Z22" i="3416"/>
  <c r="Y22" i="3416"/>
  <c r="X22" i="3416"/>
  <c r="W22" i="3416"/>
  <c r="V22" i="3416"/>
  <c r="U22" i="3416"/>
  <c r="T22" i="3416"/>
  <c r="S22" i="3416"/>
  <c r="R22" i="3416"/>
  <c r="Q22" i="3416"/>
  <c r="P22" i="3416"/>
  <c r="O22" i="3416"/>
  <c r="N22" i="3416"/>
  <c r="M22" i="3416"/>
  <c r="L22" i="3416"/>
  <c r="K22" i="3416"/>
  <c r="J22" i="3416"/>
  <c r="I22" i="3416"/>
  <c r="H22" i="3416"/>
  <c r="G22" i="3416"/>
  <c r="F22" i="3416"/>
  <c r="E22" i="3416"/>
  <c r="D22" i="3416"/>
  <c r="C22" i="3416" a="1"/>
  <c r="C22" i="3416"/>
  <c r="A22" i="3416"/>
  <c r="EM21" i="3416"/>
  <c r="EL21" i="3416"/>
  <c r="EK21" i="3416"/>
  <c r="EJ21" i="3416"/>
  <c r="EI21" i="3416"/>
  <c r="EH21" i="3416"/>
  <c r="EG21" i="3416"/>
  <c r="EF21" i="3416"/>
  <c r="EE21" i="3416"/>
  <c r="ED21" i="3416"/>
  <c r="EC21" i="3416"/>
  <c r="EB21" i="3416"/>
  <c r="EA21" i="3416"/>
  <c r="DZ21" i="3416"/>
  <c r="DY21" i="3416"/>
  <c r="DX21" i="3416"/>
  <c r="DW21" i="3416"/>
  <c r="DV21" i="3416"/>
  <c r="DU21" i="3416"/>
  <c r="DT21" i="3416"/>
  <c r="DS21" i="3416"/>
  <c r="DR21" i="3416"/>
  <c r="DQ21" i="3416"/>
  <c r="DP21" i="3416"/>
  <c r="DO21" i="3416"/>
  <c r="DN21" i="3416"/>
  <c r="DM21" i="3416"/>
  <c r="DL21" i="3416"/>
  <c r="DK21" i="3416"/>
  <c r="DJ21" i="3416"/>
  <c r="DI21" i="3416"/>
  <c r="DH21" i="3416"/>
  <c r="DG21" i="3416"/>
  <c r="DF21" i="3416"/>
  <c r="DE21" i="3416"/>
  <c r="DD21" i="3416"/>
  <c r="DC21" i="3416"/>
  <c r="DB21" i="3416"/>
  <c r="DA21" i="3416"/>
  <c r="CZ21" i="3416"/>
  <c r="CY21" i="3416"/>
  <c r="CX21" i="3416"/>
  <c r="CW21" i="3416"/>
  <c r="CV21" i="3416"/>
  <c r="CU21" i="3416"/>
  <c r="CT21" i="3416"/>
  <c r="CS21" i="3416"/>
  <c r="CR21" i="3416"/>
  <c r="CQ21" i="3416"/>
  <c r="CP21" i="3416"/>
  <c r="CO21" i="3416"/>
  <c r="CN21" i="3416"/>
  <c r="CM21" i="3416"/>
  <c r="CL21" i="3416"/>
  <c r="CK21" i="3416"/>
  <c r="CJ21" i="3416"/>
  <c r="CI21" i="3416"/>
  <c r="CH21" i="3416"/>
  <c r="CG21" i="3416"/>
  <c r="CF21" i="3416"/>
  <c r="CE21" i="3416"/>
  <c r="CD21" i="3416"/>
  <c r="CC21" i="3416"/>
  <c r="CB21" i="3416"/>
  <c r="CA21" i="3416"/>
  <c r="BZ21" i="3416"/>
  <c r="BY21" i="3416"/>
  <c r="BX21" i="3416"/>
  <c r="BW21" i="3416"/>
  <c r="BV21" i="3416"/>
  <c r="BU21" i="3416"/>
  <c r="BT21" i="3416"/>
  <c r="BS21" i="3416"/>
  <c r="BR21" i="3416"/>
  <c r="BQ21" i="3416"/>
  <c r="BP21" i="3416"/>
  <c r="BO21" i="3416"/>
  <c r="BN21" i="3416"/>
  <c r="BM21" i="3416"/>
  <c r="BL21" i="3416"/>
  <c r="BK21" i="3416"/>
  <c r="BJ21" i="3416"/>
  <c r="BI21" i="3416"/>
  <c r="BH21" i="3416"/>
  <c r="BG21" i="3416"/>
  <c r="BF21" i="3416"/>
  <c r="BE21" i="3416"/>
  <c r="BD21" i="3416"/>
  <c r="BC21" i="3416"/>
  <c r="BB21" i="3416"/>
  <c r="BA21" i="3416"/>
  <c r="AZ21" i="3416"/>
  <c r="AY21" i="3416"/>
  <c r="AX21" i="3416"/>
  <c r="AW21" i="3416"/>
  <c r="AV21" i="3416"/>
  <c r="AU21" i="3416"/>
  <c r="AT21" i="3416"/>
  <c r="AS21" i="3416"/>
  <c r="AR21" i="3416"/>
  <c r="AQ21" i="3416"/>
  <c r="AP21" i="3416"/>
  <c r="AO21" i="3416"/>
  <c r="AN21" i="3416"/>
  <c r="AM21" i="3416"/>
  <c r="AL21" i="3416"/>
  <c r="AK21" i="3416"/>
  <c r="AJ21" i="3416"/>
  <c r="AI21" i="3416"/>
  <c r="AH21" i="3416"/>
  <c r="AG21" i="3416"/>
  <c r="AF21" i="3416"/>
  <c r="AE21" i="3416"/>
  <c r="AD21" i="3416"/>
  <c r="AC21" i="3416"/>
  <c r="AB21" i="3416"/>
  <c r="AA21" i="3416"/>
  <c r="Z21" i="3416"/>
  <c r="Y21" i="3416"/>
  <c r="X21" i="3416"/>
  <c r="W21" i="3416"/>
  <c r="V21" i="3416"/>
  <c r="U21" i="3416"/>
  <c r="T21" i="3416"/>
  <c r="S21" i="3416"/>
  <c r="R21" i="3416"/>
  <c r="Q21" i="3416"/>
  <c r="P21" i="3416"/>
  <c r="O21" i="3416"/>
  <c r="N21" i="3416"/>
  <c r="M21" i="3416"/>
  <c r="L21" i="3416"/>
  <c r="K21" i="3416"/>
  <c r="J21" i="3416"/>
  <c r="I21" i="3416"/>
  <c r="H21" i="3416"/>
  <c r="G21" i="3416"/>
  <c r="F21" i="3416"/>
  <c r="E21" i="3416"/>
  <c r="D21" i="3416"/>
  <c r="C21" i="3416" a="1"/>
  <c r="C21" i="3416"/>
  <c r="A21" i="3416"/>
  <c r="EM20" i="3416"/>
  <c r="EL20" i="3416"/>
  <c r="EK20" i="3416"/>
  <c r="EJ20" i="3416"/>
  <c r="EI20" i="3416"/>
  <c r="EH20" i="3416"/>
  <c r="EG20" i="3416"/>
  <c r="EF20" i="3416"/>
  <c r="EE20" i="3416"/>
  <c r="ED20" i="3416"/>
  <c r="EC20" i="3416"/>
  <c r="EB20" i="3416"/>
  <c r="EA20" i="3416"/>
  <c r="DZ20" i="3416"/>
  <c r="DY20" i="3416"/>
  <c r="DX20" i="3416"/>
  <c r="DW20" i="3416"/>
  <c r="DV20" i="3416"/>
  <c r="DU20" i="3416"/>
  <c r="DT20" i="3416"/>
  <c r="DS20" i="3416"/>
  <c r="DR20" i="3416"/>
  <c r="DQ20" i="3416"/>
  <c r="DP20" i="3416"/>
  <c r="DO20" i="3416"/>
  <c r="DN20" i="3416"/>
  <c r="DM20" i="3416"/>
  <c r="DL20" i="3416"/>
  <c r="DK20" i="3416"/>
  <c r="DJ20" i="3416"/>
  <c r="DI20" i="3416"/>
  <c r="DH20" i="3416"/>
  <c r="DG20" i="3416"/>
  <c r="DF20" i="3416"/>
  <c r="DE20" i="3416"/>
  <c r="DD20" i="3416"/>
  <c r="DC20" i="3416"/>
  <c r="DB20" i="3416"/>
  <c r="DA20" i="3416"/>
  <c r="CZ20" i="3416"/>
  <c r="CY20" i="3416"/>
  <c r="CX20" i="3416"/>
  <c r="CW20" i="3416"/>
  <c r="CV20" i="3416"/>
  <c r="CU20" i="3416"/>
  <c r="CT20" i="3416"/>
  <c r="CS20" i="3416"/>
  <c r="CR20" i="3416"/>
  <c r="CQ20" i="3416"/>
  <c r="CP20" i="3416"/>
  <c r="CO20" i="3416"/>
  <c r="CN20" i="3416"/>
  <c r="CM20" i="3416"/>
  <c r="CL20" i="3416"/>
  <c r="CK20" i="3416"/>
  <c r="CJ20" i="3416"/>
  <c r="CI20" i="3416"/>
  <c r="CH20" i="3416"/>
  <c r="CG20" i="3416"/>
  <c r="CF20" i="3416"/>
  <c r="CE20" i="3416"/>
  <c r="CD20" i="3416"/>
  <c r="CC20" i="3416"/>
  <c r="CB20" i="3416"/>
  <c r="CA20" i="3416"/>
  <c r="BZ20" i="3416"/>
  <c r="BY20" i="3416"/>
  <c r="BX20" i="3416"/>
  <c r="BW20" i="3416"/>
  <c r="BV20" i="3416"/>
  <c r="BU20" i="3416"/>
  <c r="BT20" i="3416"/>
  <c r="BS20" i="3416"/>
  <c r="BR20" i="3416"/>
  <c r="BQ20" i="3416"/>
  <c r="BP20" i="3416"/>
  <c r="BO20" i="3416"/>
  <c r="BN20" i="3416"/>
  <c r="BM20" i="3416"/>
  <c r="BL20" i="3416"/>
  <c r="BK20" i="3416"/>
  <c r="BJ20" i="3416"/>
  <c r="BI20" i="3416"/>
  <c r="BH20" i="3416"/>
  <c r="BG20" i="3416"/>
  <c r="BF20" i="3416"/>
  <c r="BE20" i="3416"/>
  <c r="BD20" i="3416"/>
  <c r="BC20" i="3416"/>
  <c r="BB20" i="3416"/>
  <c r="BA20" i="3416"/>
  <c r="AZ20" i="3416"/>
  <c r="AY20" i="3416"/>
  <c r="AX20" i="3416"/>
  <c r="AW20" i="3416"/>
  <c r="AV20" i="3416"/>
  <c r="AU20" i="3416"/>
  <c r="AT20" i="3416"/>
  <c r="AS20" i="3416"/>
  <c r="AR20" i="3416"/>
  <c r="AQ20" i="3416"/>
  <c r="AP20" i="3416"/>
  <c r="AO20" i="3416"/>
  <c r="AN20" i="3416"/>
  <c r="AM20" i="3416"/>
  <c r="AL20" i="3416"/>
  <c r="AK20" i="3416"/>
  <c r="AJ20" i="3416"/>
  <c r="AI20" i="3416"/>
  <c r="AH20" i="3416"/>
  <c r="AG20" i="3416"/>
  <c r="AF20" i="3416"/>
  <c r="AE20" i="3416"/>
  <c r="AD20" i="3416"/>
  <c r="AC20" i="3416"/>
  <c r="AB20" i="3416"/>
  <c r="AA20" i="3416"/>
  <c r="Z20" i="3416"/>
  <c r="Y20" i="3416"/>
  <c r="X20" i="3416"/>
  <c r="W20" i="3416"/>
  <c r="V20" i="3416"/>
  <c r="U20" i="3416"/>
  <c r="T20" i="3416"/>
  <c r="S20" i="3416"/>
  <c r="R20" i="3416"/>
  <c r="Q20" i="3416"/>
  <c r="P20" i="3416"/>
  <c r="O20" i="3416"/>
  <c r="N20" i="3416"/>
  <c r="M20" i="3416"/>
  <c r="L20" i="3416"/>
  <c r="K20" i="3416"/>
  <c r="J20" i="3416"/>
  <c r="I20" i="3416"/>
  <c r="H20" i="3416"/>
  <c r="G20" i="3416"/>
  <c r="F20" i="3416"/>
  <c r="E20" i="3416"/>
  <c r="D20" i="3416"/>
  <c r="C20" i="3416" a="1"/>
  <c r="C20" i="3416"/>
  <c r="A20" i="3416"/>
  <c r="EM19" i="3416"/>
  <c r="EL19" i="3416"/>
  <c r="EK19" i="3416"/>
  <c r="EJ19" i="3416"/>
  <c r="EI19" i="3416"/>
  <c r="EH19" i="3416"/>
  <c r="EG19" i="3416"/>
  <c r="EF19" i="3416"/>
  <c r="EE19" i="3416"/>
  <c r="ED19" i="3416"/>
  <c r="EC19" i="3416"/>
  <c r="EB19" i="3416"/>
  <c r="EA19" i="3416"/>
  <c r="DZ19" i="3416"/>
  <c r="DY19" i="3416"/>
  <c r="DX19" i="3416"/>
  <c r="DW19" i="3416"/>
  <c r="DV19" i="3416"/>
  <c r="DU19" i="3416"/>
  <c r="DT19" i="3416"/>
  <c r="DS19" i="3416"/>
  <c r="DR19" i="3416"/>
  <c r="DQ19" i="3416"/>
  <c r="DP19" i="3416"/>
  <c r="DO19" i="3416"/>
  <c r="DN19" i="3416"/>
  <c r="DM19" i="3416"/>
  <c r="DL19" i="3416"/>
  <c r="DK19" i="3416"/>
  <c r="DJ19" i="3416"/>
  <c r="DI19" i="3416"/>
  <c r="DH19" i="3416"/>
  <c r="DG19" i="3416"/>
  <c r="DF19" i="3416"/>
  <c r="DE19" i="3416"/>
  <c r="DD19" i="3416"/>
  <c r="DC19" i="3416"/>
  <c r="DB19" i="3416"/>
  <c r="DA19" i="3416"/>
  <c r="CZ19" i="3416"/>
  <c r="CY19" i="3416"/>
  <c r="CX19" i="3416"/>
  <c r="CW19" i="3416"/>
  <c r="CV19" i="3416"/>
  <c r="CU19" i="3416"/>
  <c r="CT19" i="3416"/>
  <c r="CS19" i="3416"/>
  <c r="CR19" i="3416"/>
  <c r="CQ19" i="3416"/>
  <c r="CP19" i="3416"/>
  <c r="CO19" i="3416"/>
  <c r="CN19" i="3416"/>
  <c r="CM19" i="3416"/>
  <c r="CL19" i="3416"/>
  <c r="CK19" i="3416"/>
  <c r="CJ19" i="3416"/>
  <c r="CI19" i="3416"/>
  <c r="CH19" i="3416"/>
  <c r="CG19" i="3416"/>
  <c r="CF19" i="3416"/>
  <c r="CE19" i="3416"/>
  <c r="CD19" i="3416"/>
  <c r="CC19" i="3416"/>
  <c r="CB19" i="3416"/>
  <c r="CA19" i="3416"/>
  <c r="BZ19" i="3416"/>
  <c r="BY19" i="3416"/>
  <c r="BX19" i="3416"/>
  <c r="BW19" i="3416"/>
  <c r="BV19" i="3416"/>
  <c r="BU19" i="3416"/>
  <c r="BT19" i="3416"/>
  <c r="BS19" i="3416"/>
  <c r="BR19" i="3416"/>
  <c r="BQ19" i="3416"/>
  <c r="BP19" i="3416"/>
  <c r="BO19" i="3416"/>
  <c r="BN19" i="3416"/>
  <c r="BM19" i="3416"/>
  <c r="BL19" i="3416"/>
  <c r="BK19" i="3416"/>
  <c r="BJ19" i="3416"/>
  <c r="BI19" i="3416"/>
  <c r="BH19" i="3416"/>
  <c r="BG19" i="3416"/>
  <c r="BF19" i="3416"/>
  <c r="BE19" i="3416"/>
  <c r="BD19" i="3416"/>
  <c r="BC19" i="3416"/>
  <c r="BB19" i="3416"/>
  <c r="BA19" i="3416"/>
  <c r="AZ19" i="3416"/>
  <c r="AY19" i="3416"/>
  <c r="AX19" i="3416"/>
  <c r="AW19" i="3416"/>
  <c r="AV19" i="3416"/>
  <c r="AU19" i="3416"/>
  <c r="AT19" i="3416"/>
  <c r="AS19" i="3416"/>
  <c r="AR19" i="3416"/>
  <c r="AQ19" i="3416"/>
  <c r="AP19" i="3416"/>
  <c r="AO19" i="3416"/>
  <c r="AN19" i="3416"/>
  <c r="AM19" i="3416"/>
  <c r="AL19" i="3416"/>
  <c r="AK19" i="3416"/>
  <c r="AJ19" i="3416"/>
  <c r="AI19" i="3416"/>
  <c r="AH19" i="3416"/>
  <c r="AG19" i="3416"/>
  <c r="AF19" i="3416"/>
  <c r="AE19" i="3416"/>
  <c r="AD19" i="3416"/>
  <c r="AC19" i="3416"/>
  <c r="AB19" i="3416"/>
  <c r="AA19" i="3416"/>
  <c r="Z19" i="3416"/>
  <c r="Y19" i="3416"/>
  <c r="X19" i="3416"/>
  <c r="W19" i="3416"/>
  <c r="V19" i="3416"/>
  <c r="U19" i="3416"/>
  <c r="T19" i="3416"/>
  <c r="S19" i="3416"/>
  <c r="R19" i="3416"/>
  <c r="Q19" i="3416"/>
  <c r="P19" i="3416"/>
  <c r="O19" i="3416"/>
  <c r="N19" i="3416"/>
  <c r="M19" i="3416"/>
  <c r="L19" i="3416"/>
  <c r="K19" i="3416"/>
  <c r="J19" i="3416"/>
  <c r="I19" i="3416"/>
  <c r="H19" i="3416"/>
  <c r="G19" i="3416"/>
  <c r="F19" i="3416"/>
  <c r="E19" i="3416"/>
  <c r="D19" i="3416"/>
  <c r="C19" i="3416" a="1"/>
  <c r="C19" i="3416"/>
  <c r="A19" i="3416"/>
  <c r="EM18" i="3416"/>
  <c r="EL18" i="3416"/>
  <c r="EK18" i="3416"/>
  <c r="EJ18" i="3416"/>
  <c r="EI18" i="3416"/>
  <c r="EH18" i="3416"/>
  <c r="EG18" i="3416"/>
  <c r="EF18" i="3416"/>
  <c r="EE18" i="3416"/>
  <c r="ED18" i="3416"/>
  <c r="EC18" i="3416"/>
  <c r="EB18" i="3416"/>
  <c r="EA18" i="3416"/>
  <c r="DZ18" i="3416"/>
  <c r="DY18" i="3416"/>
  <c r="DX18" i="3416"/>
  <c r="DW18" i="3416"/>
  <c r="DV18" i="3416"/>
  <c r="DU18" i="3416"/>
  <c r="DT18" i="3416"/>
  <c r="DS18" i="3416"/>
  <c r="DR18" i="3416"/>
  <c r="DQ18" i="3416"/>
  <c r="DP18" i="3416"/>
  <c r="DO18" i="3416"/>
  <c r="DN18" i="3416"/>
  <c r="DM18" i="3416"/>
  <c r="DL18" i="3416"/>
  <c r="DK18" i="3416"/>
  <c r="DJ18" i="3416"/>
  <c r="DI18" i="3416"/>
  <c r="DH18" i="3416"/>
  <c r="DG18" i="3416"/>
  <c r="DF18" i="3416"/>
  <c r="DE18" i="3416"/>
  <c r="DD18" i="3416"/>
  <c r="DC18" i="3416"/>
  <c r="DB18" i="3416"/>
  <c r="DA18" i="3416"/>
  <c r="CZ18" i="3416"/>
  <c r="CY18" i="3416"/>
  <c r="CX18" i="3416"/>
  <c r="CW18" i="3416"/>
  <c r="CV18" i="3416"/>
  <c r="CU18" i="3416"/>
  <c r="CT18" i="3416"/>
  <c r="CS18" i="3416"/>
  <c r="CR18" i="3416"/>
  <c r="CQ18" i="3416"/>
  <c r="CP18" i="3416"/>
  <c r="CO18" i="3416"/>
  <c r="CN18" i="3416"/>
  <c r="CM18" i="3416"/>
  <c r="CL18" i="3416"/>
  <c r="CK18" i="3416"/>
  <c r="CJ18" i="3416"/>
  <c r="CI18" i="3416"/>
  <c r="CH18" i="3416"/>
  <c r="CG18" i="3416"/>
  <c r="CF18" i="3416"/>
  <c r="CE18" i="3416"/>
  <c r="CD18" i="3416"/>
  <c r="CC18" i="3416"/>
  <c r="CB18" i="3416"/>
  <c r="CA18" i="3416"/>
  <c r="BZ18" i="3416"/>
  <c r="BY18" i="3416"/>
  <c r="BX18" i="3416"/>
  <c r="BW18" i="3416"/>
  <c r="BV18" i="3416"/>
  <c r="BU18" i="3416"/>
  <c r="BT18" i="3416"/>
  <c r="BS18" i="3416"/>
  <c r="BR18" i="3416"/>
  <c r="BQ18" i="3416"/>
  <c r="BP18" i="3416"/>
  <c r="BO18" i="3416"/>
  <c r="BN18" i="3416"/>
  <c r="BM18" i="3416"/>
  <c r="BL18" i="3416"/>
  <c r="BK18" i="3416"/>
  <c r="BJ18" i="3416"/>
  <c r="BI18" i="3416"/>
  <c r="BH18" i="3416"/>
  <c r="BG18" i="3416"/>
  <c r="BF18" i="3416"/>
  <c r="BE18" i="3416"/>
  <c r="BD18" i="3416"/>
  <c r="BC18" i="3416"/>
  <c r="BB18" i="3416"/>
  <c r="BA18" i="3416"/>
  <c r="AZ18" i="3416"/>
  <c r="AY18" i="3416"/>
  <c r="AX18" i="3416"/>
  <c r="AW18" i="3416"/>
  <c r="AV18" i="3416"/>
  <c r="AU18" i="3416"/>
  <c r="AT18" i="3416"/>
  <c r="AS18" i="3416"/>
  <c r="AR18" i="3416"/>
  <c r="AQ18" i="3416"/>
  <c r="AP18" i="3416"/>
  <c r="AO18" i="3416"/>
  <c r="AN18" i="3416"/>
  <c r="AM18" i="3416"/>
  <c r="AL18" i="3416"/>
  <c r="AK18" i="3416"/>
  <c r="AJ18" i="3416"/>
  <c r="AI18" i="3416"/>
  <c r="AH18" i="3416"/>
  <c r="AG18" i="3416"/>
  <c r="AF18" i="3416"/>
  <c r="AE18" i="3416"/>
  <c r="AD18" i="3416"/>
  <c r="AC18" i="3416"/>
  <c r="AB18" i="3416"/>
  <c r="AA18" i="3416"/>
  <c r="Z18" i="3416"/>
  <c r="Y18" i="3416"/>
  <c r="X18" i="3416"/>
  <c r="W18" i="3416"/>
  <c r="V18" i="3416"/>
  <c r="U18" i="3416"/>
  <c r="T18" i="3416"/>
  <c r="S18" i="3416"/>
  <c r="R18" i="3416"/>
  <c r="Q18" i="3416"/>
  <c r="P18" i="3416"/>
  <c r="O18" i="3416"/>
  <c r="N18" i="3416"/>
  <c r="M18" i="3416"/>
  <c r="L18" i="3416"/>
  <c r="K18" i="3416"/>
  <c r="J18" i="3416"/>
  <c r="I18" i="3416"/>
  <c r="H18" i="3416"/>
  <c r="G18" i="3416"/>
  <c r="F18" i="3416"/>
  <c r="E18" i="3416"/>
  <c r="D18" i="3416"/>
  <c r="C18" i="3416" a="1"/>
  <c r="C18" i="3416"/>
  <c r="A18" i="3416"/>
  <c r="EM17" i="3416"/>
  <c r="EL17" i="3416"/>
  <c r="EK17" i="3416"/>
  <c r="EJ17" i="3416"/>
  <c r="EI17" i="3416"/>
  <c r="EH17" i="3416"/>
  <c r="EG17" i="3416"/>
  <c r="EF17" i="3416"/>
  <c r="EE17" i="3416"/>
  <c r="ED17" i="3416"/>
  <c r="EC17" i="3416"/>
  <c r="EB17" i="3416"/>
  <c r="EA17" i="3416"/>
  <c r="DZ17" i="3416"/>
  <c r="DY17" i="3416"/>
  <c r="DX17" i="3416"/>
  <c r="DW17" i="3416"/>
  <c r="DV17" i="3416"/>
  <c r="DU17" i="3416"/>
  <c r="DT17" i="3416"/>
  <c r="DS17" i="3416"/>
  <c r="DR17" i="3416"/>
  <c r="DQ17" i="3416"/>
  <c r="DP17" i="3416"/>
  <c r="DO17" i="3416"/>
  <c r="DN17" i="3416"/>
  <c r="DM17" i="3416"/>
  <c r="DL17" i="3416"/>
  <c r="DK17" i="3416"/>
  <c r="DJ17" i="3416"/>
  <c r="DI17" i="3416"/>
  <c r="DH17" i="3416"/>
  <c r="DG17" i="3416"/>
  <c r="DF17" i="3416"/>
  <c r="DE17" i="3416"/>
  <c r="DD17" i="3416"/>
  <c r="DC17" i="3416"/>
  <c r="DB17" i="3416"/>
  <c r="DA17" i="3416"/>
  <c r="CZ17" i="3416"/>
  <c r="CY17" i="3416"/>
  <c r="CX17" i="3416"/>
  <c r="CW17" i="3416"/>
  <c r="CV17" i="3416"/>
  <c r="CU17" i="3416"/>
  <c r="CT17" i="3416"/>
  <c r="CS17" i="3416"/>
  <c r="CR17" i="3416"/>
  <c r="CQ17" i="3416"/>
  <c r="CP17" i="3416"/>
  <c r="CO17" i="3416"/>
  <c r="CN17" i="3416"/>
  <c r="CM17" i="3416"/>
  <c r="CL17" i="3416"/>
  <c r="CK17" i="3416"/>
  <c r="CJ17" i="3416"/>
  <c r="CI17" i="3416"/>
  <c r="CH17" i="3416"/>
  <c r="CG17" i="3416"/>
  <c r="CF17" i="3416"/>
  <c r="CE17" i="3416"/>
  <c r="CD17" i="3416"/>
  <c r="CC17" i="3416"/>
  <c r="CB17" i="3416"/>
  <c r="CA17" i="3416"/>
  <c r="BZ17" i="3416"/>
  <c r="BY17" i="3416"/>
  <c r="BX17" i="3416"/>
  <c r="BW17" i="3416"/>
  <c r="BV17" i="3416"/>
  <c r="BU17" i="3416"/>
  <c r="BT17" i="3416"/>
  <c r="BS17" i="3416"/>
  <c r="BR17" i="3416"/>
  <c r="BQ17" i="3416"/>
  <c r="BP17" i="3416"/>
  <c r="BO17" i="3416"/>
  <c r="BN17" i="3416"/>
  <c r="BM17" i="3416"/>
  <c r="BL17" i="3416"/>
  <c r="BK17" i="3416"/>
  <c r="BJ17" i="3416"/>
  <c r="BI17" i="3416"/>
  <c r="BH17" i="3416"/>
  <c r="BG17" i="3416"/>
  <c r="BF17" i="3416"/>
  <c r="BE17" i="3416"/>
  <c r="BD17" i="3416"/>
  <c r="BC17" i="3416"/>
  <c r="BB17" i="3416"/>
  <c r="BA17" i="3416"/>
  <c r="AZ17" i="3416"/>
  <c r="AY17" i="3416"/>
  <c r="AX17" i="3416"/>
  <c r="AW17" i="3416"/>
  <c r="AV17" i="3416"/>
  <c r="AU17" i="3416"/>
  <c r="AT17" i="3416"/>
  <c r="AS17" i="3416"/>
  <c r="AR17" i="3416"/>
  <c r="AQ17" i="3416"/>
  <c r="AP17" i="3416"/>
  <c r="AO17" i="3416"/>
  <c r="AN17" i="3416"/>
  <c r="AM17" i="3416"/>
  <c r="AL17" i="3416"/>
  <c r="AK17" i="3416"/>
  <c r="AJ17" i="3416"/>
  <c r="AI17" i="3416"/>
  <c r="AH17" i="3416"/>
  <c r="AG17" i="3416"/>
  <c r="AF17" i="3416"/>
  <c r="AE17" i="3416"/>
  <c r="AD17" i="3416"/>
  <c r="AC17" i="3416"/>
  <c r="AB17" i="3416"/>
  <c r="AA17" i="3416"/>
  <c r="Z17" i="3416"/>
  <c r="Y17" i="3416"/>
  <c r="X17" i="3416"/>
  <c r="W17" i="3416"/>
  <c r="V17" i="3416"/>
  <c r="U17" i="3416"/>
  <c r="T17" i="3416"/>
  <c r="S17" i="3416"/>
  <c r="R17" i="3416"/>
  <c r="Q17" i="3416"/>
  <c r="P17" i="3416"/>
  <c r="O17" i="3416"/>
  <c r="N17" i="3416"/>
  <c r="M17" i="3416"/>
  <c r="L17" i="3416"/>
  <c r="K17" i="3416"/>
  <c r="J17" i="3416"/>
  <c r="I17" i="3416"/>
  <c r="H17" i="3416"/>
  <c r="G17" i="3416"/>
  <c r="F17" i="3416"/>
  <c r="E17" i="3416"/>
  <c r="D17" i="3416"/>
  <c r="C17" i="3416" a="1"/>
  <c r="C17" i="3416"/>
  <c r="A17" i="3416"/>
  <c r="EM16" i="3416"/>
  <c r="EL16" i="3416"/>
  <c r="EK16" i="3416"/>
  <c r="EJ16" i="3416"/>
  <c r="EI16" i="3416"/>
  <c r="EH16" i="3416"/>
  <c r="EG16" i="3416"/>
  <c r="EF16" i="3416"/>
  <c r="EE16" i="3416"/>
  <c r="ED16" i="3416"/>
  <c r="EC16" i="3416"/>
  <c r="EB16" i="3416"/>
  <c r="EA16" i="3416"/>
  <c r="DZ16" i="3416"/>
  <c r="DY16" i="3416"/>
  <c r="DX16" i="3416"/>
  <c r="DW16" i="3416"/>
  <c r="DV16" i="3416"/>
  <c r="DU16" i="3416"/>
  <c r="DT16" i="3416"/>
  <c r="DS16" i="3416"/>
  <c r="DR16" i="3416"/>
  <c r="DQ16" i="3416"/>
  <c r="DP16" i="3416"/>
  <c r="DO16" i="3416"/>
  <c r="DN16" i="3416"/>
  <c r="DM16" i="3416"/>
  <c r="DL16" i="3416"/>
  <c r="DK16" i="3416"/>
  <c r="DJ16" i="3416"/>
  <c r="DI16" i="3416"/>
  <c r="DH16" i="3416"/>
  <c r="DG16" i="3416"/>
  <c r="DF16" i="3416"/>
  <c r="DE16" i="3416"/>
  <c r="DD16" i="3416"/>
  <c r="DC16" i="3416"/>
  <c r="DB16" i="3416"/>
  <c r="DA16" i="3416"/>
  <c r="CZ16" i="3416"/>
  <c r="CY16" i="3416"/>
  <c r="CX16" i="3416"/>
  <c r="CW16" i="3416"/>
  <c r="CV16" i="3416"/>
  <c r="CU16" i="3416"/>
  <c r="CT16" i="3416"/>
  <c r="CS16" i="3416"/>
  <c r="CR16" i="3416"/>
  <c r="CQ16" i="3416"/>
  <c r="CP16" i="3416"/>
  <c r="CO16" i="3416"/>
  <c r="CN16" i="3416"/>
  <c r="CM16" i="3416"/>
  <c r="CL16" i="3416"/>
  <c r="CK16" i="3416"/>
  <c r="CJ16" i="3416"/>
  <c r="CI16" i="3416"/>
  <c r="CH16" i="3416"/>
  <c r="CG16" i="3416"/>
  <c r="CF16" i="3416"/>
  <c r="CE16" i="3416"/>
  <c r="CD16" i="3416"/>
  <c r="CC16" i="3416"/>
  <c r="CB16" i="3416"/>
  <c r="CA16" i="3416"/>
  <c r="BZ16" i="3416"/>
  <c r="BY16" i="3416"/>
  <c r="BX16" i="3416"/>
  <c r="BW16" i="3416"/>
  <c r="BV16" i="3416"/>
  <c r="BU16" i="3416"/>
  <c r="BT16" i="3416"/>
  <c r="BS16" i="3416"/>
  <c r="BR16" i="3416"/>
  <c r="BQ16" i="3416"/>
  <c r="BP16" i="3416"/>
  <c r="BO16" i="3416"/>
  <c r="BN16" i="3416"/>
  <c r="BM16" i="3416"/>
  <c r="BL16" i="3416"/>
  <c r="BK16" i="3416"/>
  <c r="BJ16" i="3416"/>
  <c r="BI16" i="3416"/>
  <c r="BH16" i="3416"/>
  <c r="BG16" i="3416"/>
  <c r="BF16" i="3416"/>
  <c r="BE16" i="3416"/>
  <c r="BD16" i="3416"/>
  <c r="BC16" i="3416"/>
  <c r="BB16" i="3416"/>
  <c r="BA16" i="3416"/>
  <c r="AZ16" i="3416"/>
  <c r="AY16" i="3416"/>
  <c r="AX16" i="3416"/>
  <c r="AW16" i="3416"/>
  <c r="AV16" i="3416"/>
  <c r="AU16" i="3416"/>
  <c r="AT16" i="3416"/>
  <c r="AS16" i="3416"/>
  <c r="AR16" i="3416"/>
  <c r="AQ16" i="3416"/>
  <c r="AP16" i="3416"/>
  <c r="AO16" i="3416"/>
  <c r="AN16" i="3416"/>
  <c r="AM16" i="3416"/>
  <c r="AL16" i="3416"/>
  <c r="AK16" i="3416"/>
  <c r="AJ16" i="3416"/>
  <c r="AI16" i="3416"/>
  <c r="AH16" i="3416"/>
  <c r="AG16" i="3416"/>
  <c r="AF16" i="3416"/>
  <c r="AE16" i="3416"/>
  <c r="AD16" i="3416"/>
  <c r="AC16" i="3416"/>
  <c r="AB16" i="3416"/>
  <c r="AA16" i="3416"/>
  <c r="Z16" i="3416"/>
  <c r="Y16" i="3416"/>
  <c r="X16" i="3416"/>
  <c r="W16" i="3416"/>
  <c r="V16" i="3416"/>
  <c r="U16" i="3416"/>
  <c r="T16" i="3416"/>
  <c r="S16" i="3416"/>
  <c r="R16" i="3416"/>
  <c r="Q16" i="3416"/>
  <c r="P16" i="3416"/>
  <c r="O16" i="3416"/>
  <c r="N16" i="3416"/>
  <c r="M16" i="3416"/>
  <c r="L16" i="3416"/>
  <c r="K16" i="3416"/>
  <c r="J16" i="3416"/>
  <c r="I16" i="3416"/>
  <c r="H16" i="3416"/>
  <c r="G16" i="3416"/>
  <c r="F16" i="3416"/>
  <c r="E16" i="3416"/>
  <c r="D16" i="3416"/>
  <c r="C16" i="3416" a="1"/>
  <c r="C16" i="3416"/>
  <c r="A16" i="3416"/>
  <c r="EM15" i="3416"/>
  <c r="EL15" i="3416"/>
  <c r="EK15" i="3416"/>
  <c r="EJ15" i="3416"/>
  <c r="EI15" i="3416"/>
  <c r="EH15" i="3416"/>
  <c r="EG15" i="3416"/>
  <c r="EF15" i="3416"/>
  <c r="EE15" i="3416"/>
  <c r="ED15" i="3416"/>
  <c r="EC15" i="3416"/>
  <c r="EB15" i="3416"/>
  <c r="EA15" i="3416"/>
  <c r="DZ15" i="3416"/>
  <c r="DY15" i="3416"/>
  <c r="DX15" i="3416"/>
  <c r="DW15" i="3416"/>
  <c r="DV15" i="3416"/>
  <c r="DU15" i="3416"/>
  <c r="DT15" i="3416"/>
  <c r="DS15" i="3416"/>
  <c r="DR15" i="3416"/>
  <c r="DQ15" i="3416"/>
  <c r="DP15" i="3416"/>
  <c r="DO15" i="3416"/>
  <c r="DN15" i="3416"/>
  <c r="DM15" i="3416"/>
  <c r="DL15" i="3416"/>
  <c r="DK15" i="3416"/>
  <c r="DJ15" i="3416"/>
  <c r="DI15" i="3416"/>
  <c r="DH15" i="3416"/>
  <c r="DG15" i="3416"/>
  <c r="DF15" i="3416"/>
  <c r="DE15" i="3416"/>
  <c r="DD15" i="3416"/>
  <c r="DC15" i="3416"/>
  <c r="DB15" i="3416"/>
  <c r="DA15" i="3416"/>
  <c r="CZ15" i="3416"/>
  <c r="CY15" i="3416"/>
  <c r="CX15" i="3416"/>
  <c r="CW15" i="3416"/>
  <c r="CV15" i="3416"/>
  <c r="CU15" i="3416"/>
  <c r="CT15" i="3416"/>
  <c r="CS15" i="3416"/>
  <c r="CR15" i="3416"/>
  <c r="CQ15" i="3416"/>
  <c r="CP15" i="3416"/>
  <c r="CO15" i="3416"/>
  <c r="CN15" i="3416"/>
  <c r="CM15" i="3416"/>
  <c r="CL15" i="3416"/>
  <c r="CK15" i="3416"/>
  <c r="CJ15" i="3416"/>
  <c r="CI15" i="3416"/>
  <c r="CH15" i="3416"/>
  <c r="CG15" i="3416"/>
  <c r="CF15" i="3416"/>
  <c r="CE15" i="3416"/>
  <c r="CD15" i="3416"/>
  <c r="CC15" i="3416"/>
  <c r="CB15" i="3416"/>
  <c r="CA15" i="3416"/>
  <c r="BZ15" i="3416"/>
  <c r="BY15" i="3416"/>
  <c r="BX15" i="3416"/>
  <c r="BW15" i="3416"/>
  <c r="BV15" i="3416"/>
  <c r="BU15" i="3416"/>
  <c r="BT15" i="3416"/>
  <c r="BS15" i="3416"/>
  <c r="BR15" i="3416"/>
  <c r="BQ15" i="3416"/>
  <c r="BP15" i="3416"/>
  <c r="BO15" i="3416"/>
  <c r="BN15" i="3416"/>
  <c r="BM15" i="3416"/>
  <c r="BL15" i="3416"/>
  <c r="BK15" i="3416"/>
  <c r="BJ15" i="3416"/>
  <c r="BI15" i="3416"/>
  <c r="BH15" i="3416"/>
  <c r="BG15" i="3416"/>
  <c r="BF15" i="3416"/>
  <c r="BE15" i="3416"/>
  <c r="BD15" i="3416"/>
  <c r="BC15" i="3416"/>
  <c r="BB15" i="3416"/>
  <c r="BA15" i="3416"/>
  <c r="AZ15" i="3416"/>
  <c r="AY15" i="3416"/>
  <c r="AX15" i="3416"/>
  <c r="AW15" i="3416"/>
  <c r="AV15" i="3416"/>
  <c r="AU15" i="3416"/>
  <c r="AT15" i="3416"/>
  <c r="AS15" i="3416"/>
  <c r="AR15" i="3416"/>
  <c r="AQ15" i="3416"/>
  <c r="AP15" i="3416"/>
  <c r="AO15" i="3416"/>
  <c r="AN15" i="3416"/>
  <c r="AM15" i="3416"/>
  <c r="AL15" i="3416"/>
  <c r="AK15" i="3416"/>
  <c r="AJ15" i="3416"/>
  <c r="AI15" i="3416"/>
  <c r="AH15" i="3416"/>
  <c r="AG15" i="3416"/>
  <c r="AF15" i="3416"/>
  <c r="AE15" i="3416"/>
  <c r="AD15" i="3416"/>
  <c r="AC15" i="3416"/>
  <c r="AB15" i="3416"/>
  <c r="AA15" i="3416"/>
  <c r="Z15" i="3416"/>
  <c r="Y15" i="3416"/>
  <c r="X15" i="3416"/>
  <c r="W15" i="3416"/>
  <c r="V15" i="3416"/>
  <c r="U15" i="3416"/>
  <c r="T15" i="3416"/>
  <c r="S15" i="3416"/>
  <c r="R15" i="3416"/>
  <c r="Q15" i="3416"/>
  <c r="P15" i="3416"/>
  <c r="O15" i="3416"/>
  <c r="N15" i="3416"/>
  <c r="M15" i="3416"/>
  <c r="L15" i="3416"/>
  <c r="K15" i="3416"/>
  <c r="J15" i="3416"/>
  <c r="I15" i="3416"/>
  <c r="H15" i="3416"/>
  <c r="G15" i="3416"/>
  <c r="F15" i="3416"/>
  <c r="E15" i="3416"/>
  <c r="D15" i="3416"/>
  <c r="C15" i="3416" a="1"/>
  <c r="C15" i="3416"/>
  <c r="A15" i="3416"/>
  <c r="EM14" i="3416"/>
  <c r="EL14" i="3416"/>
  <c r="EK14" i="3416"/>
  <c r="EJ14" i="3416"/>
  <c r="EI14" i="3416"/>
  <c r="EH14" i="3416"/>
  <c r="EG14" i="3416"/>
  <c r="EF14" i="3416"/>
  <c r="EE14" i="3416"/>
  <c r="ED14" i="3416"/>
  <c r="EC14" i="3416"/>
  <c r="EB14" i="3416"/>
  <c r="EA14" i="3416"/>
  <c r="DZ14" i="3416"/>
  <c r="DY14" i="3416"/>
  <c r="DX14" i="3416"/>
  <c r="DW14" i="3416"/>
  <c r="DV14" i="3416"/>
  <c r="DU14" i="3416"/>
  <c r="DT14" i="3416"/>
  <c r="DS14" i="3416"/>
  <c r="DR14" i="3416"/>
  <c r="DQ14" i="3416"/>
  <c r="DP14" i="3416"/>
  <c r="DO14" i="3416"/>
  <c r="DN14" i="3416"/>
  <c r="DM14" i="3416"/>
  <c r="DL14" i="3416"/>
  <c r="DK14" i="3416"/>
  <c r="DJ14" i="3416"/>
  <c r="DI14" i="3416"/>
  <c r="DH14" i="3416"/>
  <c r="DG14" i="3416"/>
  <c r="DF14" i="3416"/>
  <c r="DE14" i="3416"/>
  <c r="DD14" i="3416"/>
  <c r="DC14" i="3416"/>
  <c r="DB14" i="3416"/>
  <c r="DA14" i="3416"/>
  <c r="CZ14" i="3416"/>
  <c r="CY14" i="3416"/>
  <c r="CX14" i="3416"/>
  <c r="CW14" i="3416"/>
  <c r="CV14" i="3416"/>
  <c r="CU14" i="3416"/>
  <c r="CT14" i="3416"/>
  <c r="CS14" i="3416"/>
  <c r="CR14" i="3416"/>
  <c r="CQ14" i="3416"/>
  <c r="CP14" i="3416"/>
  <c r="CO14" i="3416"/>
  <c r="CN14" i="3416"/>
  <c r="CM14" i="3416"/>
  <c r="CL14" i="3416"/>
  <c r="CK14" i="3416"/>
  <c r="CJ14" i="3416"/>
  <c r="CI14" i="3416"/>
  <c r="CH14" i="3416"/>
  <c r="CG14" i="3416"/>
  <c r="CF14" i="3416"/>
  <c r="CE14" i="3416"/>
  <c r="CD14" i="3416"/>
  <c r="CC14" i="3416"/>
  <c r="CB14" i="3416"/>
  <c r="CA14" i="3416"/>
  <c r="BZ14" i="3416"/>
  <c r="BY14" i="3416"/>
  <c r="BX14" i="3416"/>
  <c r="BW14" i="3416"/>
  <c r="BV14" i="3416"/>
  <c r="BU14" i="3416"/>
  <c r="BT14" i="3416"/>
  <c r="BS14" i="3416"/>
  <c r="BR14" i="3416"/>
  <c r="BQ14" i="3416"/>
  <c r="BP14" i="3416"/>
  <c r="BO14" i="3416"/>
  <c r="BN14" i="3416"/>
  <c r="BM14" i="3416"/>
  <c r="BL14" i="3416"/>
  <c r="BK14" i="3416"/>
  <c r="BJ14" i="3416"/>
  <c r="BI14" i="3416"/>
  <c r="BH14" i="3416"/>
  <c r="BG14" i="3416"/>
  <c r="BF14" i="3416"/>
  <c r="BE14" i="3416"/>
  <c r="BD14" i="3416"/>
  <c r="BC14" i="3416"/>
  <c r="BB14" i="3416"/>
  <c r="BA14" i="3416"/>
  <c r="AZ14" i="3416"/>
  <c r="AY14" i="3416"/>
  <c r="AX14" i="3416"/>
  <c r="AW14" i="3416"/>
  <c r="AV14" i="3416"/>
  <c r="AU14" i="3416"/>
  <c r="AT14" i="3416"/>
  <c r="AS14" i="3416"/>
  <c r="AR14" i="3416"/>
  <c r="AQ14" i="3416"/>
  <c r="AP14" i="3416"/>
  <c r="AO14" i="3416"/>
  <c r="AN14" i="3416"/>
  <c r="AM14" i="3416"/>
  <c r="AL14" i="3416"/>
  <c r="AK14" i="3416"/>
  <c r="AJ14" i="3416"/>
  <c r="AI14" i="3416"/>
  <c r="AH14" i="3416"/>
  <c r="AG14" i="3416"/>
  <c r="AF14" i="3416"/>
  <c r="AE14" i="3416"/>
  <c r="AD14" i="3416"/>
  <c r="AC14" i="3416"/>
  <c r="AB14" i="3416"/>
  <c r="AA14" i="3416"/>
  <c r="Z14" i="3416"/>
  <c r="Y14" i="3416"/>
  <c r="X14" i="3416"/>
  <c r="W14" i="3416"/>
  <c r="V14" i="3416"/>
  <c r="U14" i="3416"/>
  <c r="T14" i="3416"/>
  <c r="S14" i="3416"/>
  <c r="R14" i="3416"/>
  <c r="Q14" i="3416"/>
  <c r="P14" i="3416"/>
  <c r="O14" i="3416"/>
  <c r="N14" i="3416"/>
  <c r="M14" i="3416"/>
  <c r="L14" i="3416"/>
  <c r="K14" i="3416"/>
  <c r="J14" i="3416"/>
  <c r="I14" i="3416"/>
  <c r="H14" i="3416"/>
  <c r="G14" i="3416"/>
  <c r="F14" i="3416"/>
  <c r="E14" i="3416"/>
  <c r="D14" i="3416"/>
  <c r="C14" i="3416" a="1"/>
  <c r="C14" i="3416"/>
  <c r="A14" i="3416"/>
  <c r="EM13" i="3416"/>
  <c r="EL13" i="3416"/>
  <c r="EK13" i="3416"/>
  <c r="EJ13" i="3416"/>
  <c r="EI13" i="3416"/>
  <c r="EH13" i="3416"/>
  <c r="EG13" i="3416"/>
  <c r="EF13" i="3416"/>
  <c r="EE13" i="3416"/>
  <c r="ED13" i="3416"/>
  <c r="EC13" i="3416"/>
  <c r="EB13" i="3416"/>
  <c r="EA13" i="3416"/>
  <c r="DZ13" i="3416"/>
  <c r="DY13" i="3416"/>
  <c r="DX13" i="3416"/>
  <c r="DW13" i="3416"/>
  <c r="DV13" i="3416"/>
  <c r="DU13" i="3416"/>
  <c r="DT13" i="3416"/>
  <c r="DS13" i="3416"/>
  <c r="DR13" i="3416"/>
  <c r="DQ13" i="3416"/>
  <c r="DP13" i="3416"/>
  <c r="DO13" i="3416"/>
  <c r="DN13" i="3416"/>
  <c r="DM13" i="3416"/>
  <c r="DL13" i="3416"/>
  <c r="DK13" i="3416"/>
  <c r="DJ13" i="3416"/>
  <c r="DI13" i="3416"/>
  <c r="DH13" i="3416"/>
  <c r="DG13" i="3416"/>
  <c r="DF13" i="3416"/>
  <c r="DE13" i="3416"/>
  <c r="DD13" i="3416"/>
  <c r="DC13" i="3416"/>
  <c r="DB13" i="3416"/>
  <c r="DA13" i="3416"/>
  <c r="CZ13" i="3416"/>
  <c r="CY13" i="3416"/>
  <c r="CX13" i="3416"/>
  <c r="CW13" i="3416"/>
  <c r="CV13" i="3416"/>
  <c r="CU13" i="3416"/>
  <c r="CT13" i="3416"/>
  <c r="CS13" i="3416"/>
  <c r="CR13" i="3416"/>
  <c r="CQ13" i="3416"/>
  <c r="CP13" i="3416"/>
  <c r="CO13" i="3416"/>
  <c r="CN13" i="3416"/>
  <c r="CM13" i="3416"/>
  <c r="CL13" i="3416"/>
  <c r="CK13" i="3416"/>
  <c r="CJ13" i="3416"/>
  <c r="CI13" i="3416"/>
  <c r="CH13" i="3416"/>
  <c r="CG13" i="3416"/>
  <c r="CF13" i="3416"/>
  <c r="CE13" i="3416"/>
  <c r="CD13" i="3416"/>
  <c r="CC13" i="3416"/>
  <c r="CB13" i="3416"/>
  <c r="CA13" i="3416"/>
  <c r="BZ13" i="3416"/>
  <c r="BY13" i="3416"/>
  <c r="BX13" i="3416"/>
  <c r="BW13" i="3416"/>
  <c r="BV13" i="3416"/>
  <c r="BU13" i="3416"/>
  <c r="BT13" i="3416"/>
  <c r="BS13" i="3416"/>
  <c r="BR13" i="3416"/>
  <c r="BQ13" i="3416"/>
  <c r="BP13" i="3416"/>
  <c r="BO13" i="3416"/>
  <c r="BN13" i="3416"/>
  <c r="BM13" i="3416"/>
  <c r="BL13" i="3416"/>
  <c r="BK13" i="3416"/>
  <c r="BJ13" i="3416"/>
  <c r="BI13" i="3416"/>
  <c r="BH13" i="3416"/>
  <c r="BG13" i="3416"/>
  <c r="BF13" i="3416"/>
  <c r="BE13" i="3416"/>
  <c r="BD13" i="3416"/>
  <c r="BC13" i="3416"/>
  <c r="BB13" i="3416"/>
  <c r="BA13" i="3416"/>
  <c r="AZ13" i="3416"/>
  <c r="AY13" i="3416"/>
  <c r="AX13" i="3416"/>
  <c r="AW13" i="3416"/>
  <c r="AV13" i="3416"/>
  <c r="AU13" i="3416"/>
  <c r="AT13" i="3416"/>
  <c r="AS13" i="3416"/>
  <c r="AR13" i="3416"/>
  <c r="AQ13" i="3416"/>
  <c r="AP13" i="3416"/>
  <c r="AO13" i="3416"/>
  <c r="AN13" i="3416"/>
  <c r="AM13" i="3416"/>
  <c r="AL13" i="3416"/>
  <c r="AK13" i="3416"/>
  <c r="AJ13" i="3416"/>
  <c r="AI13" i="3416"/>
  <c r="AH13" i="3416"/>
  <c r="AG13" i="3416"/>
  <c r="AF13" i="3416"/>
  <c r="AE13" i="3416"/>
  <c r="AD13" i="3416"/>
  <c r="AC13" i="3416"/>
  <c r="AB13" i="3416"/>
  <c r="AA13" i="3416"/>
  <c r="Z13" i="3416"/>
  <c r="Y13" i="3416"/>
  <c r="X13" i="3416"/>
  <c r="W13" i="3416"/>
  <c r="V13" i="3416"/>
  <c r="U13" i="3416"/>
  <c r="T13" i="3416"/>
  <c r="S13" i="3416"/>
  <c r="R13" i="3416"/>
  <c r="Q13" i="3416"/>
  <c r="P13" i="3416"/>
  <c r="O13" i="3416"/>
  <c r="N13" i="3416"/>
  <c r="M13" i="3416"/>
  <c r="L13" i="3416"/>
  <c r="K13" i="3416"/>
  <c r="J13" i="3416"/>
  <c r="I13" i="3416"/>
  <c r="H13" i="3416"/>
  <c r="G13" i="3416"/>
  <c r="F13" i="3416"/>
  <c r="E13" i="3416"/>
  <c r="D13" i="3416"/>
  <c r="C13" i="3416" a="1"/>
  <c r="C13" i="3416"/>
  <c r="A13" i="3416"/>
  <c r="EM12" i="3416"/>
  <c r="EL12" i="3416"/>
  <c r="EK12" i="3416"/>
  <c r="EJ12" i="3416"/>
  <c r="EI12" i="3416"/>
  <c r="EH12" i="3416"/>
  <c r="EG12" i="3416"/>
  <c r="EF12" i="3416"/>
  <c r="EE12" i="3416"/>
  <c r="ED12" i="3416"/>
  <c r="EC12" i="3416"/>
  <c r="EB12" i="3416"/>
  <c r="EA12" i="3416"/>
  <c r="DZ12" i="3416"/>
  <c r="DY12" i="3416"/>
  <c r="DX12" i="3416"/>
  <c r="DW12" i="3416"/>
  <c r="DV12" i="3416"/>
  <c r="DU12" i="3416"/>
  <c r="DT12" i="3416"/>
  <c r="DS12" i="3416"/>
  <c r="DR12" i="3416"/>
  <c r="DQ12" i="3416"/>
  <c r="DP12" i="3416"/>
  <c r="DO12" i="3416"/>
  <c r="DN12" i="3416"/>
  <c r="DM12" i="3416"/>
  <c r="DL12" i="3416"/>
  <c r="DK12" i="3416"/>
  <c r="DJ12" i="3416"/>
  <c r="DI12" i="3416"/>
  <c r="DH12" i="3416"/>
  <c r="DG12" i="3416"/>
  <c r="DF12" i="3416"/>
  <c r="DE12" i="3416"/>
  <c r="DD12" i="3416"/>
  <c r="DC12" i="3416"/>
  <c r="DB12" i="3416"/>
  <c r="DA12" i="3416"/>
  <c r="CZ12" i="3416"/>
  <c r="CY12" i="3416"/>
  <c r="CX12" i="3416"/>
  <c r="CW12" i="3416"/>
  <c r="CV12" i="3416"/>
  <c r="CU12" i="3416"/>
  <c r="CT12" i="3416"/>
  <c r="CS12" i="3416"/>
  <c r="CR12" i="3416"/>
  <c r="CQ12" i="3416"/>
  <c r="CP12" i="3416"/>
  <c r="CO12" i="3416"/>
  <c r="CN12" i="3416"/>
  <c r="CM12" i="3416"/>
  <c r="CL12" i="3416"/>
  <c r="CK12" i="3416"/>
  <c r="CJ12" i="3416"/>
  <c r="CI12" i="3416"/>
  <c r="CH12" i="3416"/>
  <c r="CG12" i="3416"/>
  <c r="CF12" i="3416"/>
  <c r="CE12" i="3416"/>
  <c r="CD12" i="3416"/>
  <c r="CC12" i="3416"/>
  <c r="CB12" i="3416"/>
  <c r="CA12" i="3416"/>
  <c r="BZ12" i="3416"/>
  <c r="BY12" i="3416"/>
  <c r="BX12" i="3416"/>
  <c r="BW12" i="3416"/>
  <c r="BV12" i="3416"/>
  <c r="BU12" i="3416"/>
  <c r="BT12" i="3416"/>
  <c r="BS12" i="3416"/>
  <c r="BR12" i="3416"/>
  <c r="BQ12" i="3416"/>
  <c r="BP12" i="3416"/>
  <c r="BO12" i="3416"/>
  <c r="BN12" i="3416"/>
  <c r="BM12" i="3416"/>
  <c r="BL12" i="3416"/>
  <c r="BK12" i="3416"/>
  <c r="BJ12" i="3416"/>
  <c r="BI12" i="3416"/>
  <c r="BH12" i="3416"/>
  <c r="BG12" i="3416"/>
  <c r="BF12" i="3416"/>
  <c r="BE12" i="3416"/>
  <c r="BD12" i="3416"/>
  <c r="BC12" i="3416"/>
  <c r="BB12" i="3416"/>
  <c r="BA12" i="3416"/>
  <c r="AZ12" i="3416"/>
  <c r="AY12" i="3416"/>
  <c r="AX12" i="3416"/>
  <c r="AW12" i="3416"/>
  <c r="AV12" i="3416"/>
  <c r="AU12" i="3416"/>
  <c r="AT12" i="3416"/>
  <c r="AS12" i="3416"/>
  <c r="AR12" i="3416"/>
  <c r="AQ12" i="3416"/>
  <c r="AP12" i="3416"/>
  <c r="AO12" i="3416"/>
  <c r="AN12" i="3416"/>
  <c r="AM12" i="3416"/>
  <c r="AL12" i="3416"/>
  <c r="AK12" i="3416"/>
  <c r="AJ12" i="3416"/>
  <c r="AI12" i="3416"/>
  <c r="AH12" i="3416"/>
  <c r="AG12" i="3416"/>
  <c r="AF12" i="3416"/>
  <c r="AE12" i="3416"/>
  <c r="AD12" i="3416"/>
  <c r="AC12" i="3416"/>
  <c r="AB12" i="3416"/>
  <c r="AA12" i="3416"/>
  <c r="Z12" i="3416"/>
  <c r="Y12" i="3416"/>
  <c r="X12" i="3416"/>
  <c r="W12" i="3416"/>
  <c r="V12" i="3416"/>
  <c r="U12" i="3416"/>
  <c r="T12" i="3416"/>
  <c r="S12" i="3416"/>
  <c r="R12" i="3416"/>
  <c r="Q12" i="3416"/>
  <c r="P12" i="3416"/>
  <c r="O12" i="3416"/>
  <c r="N12" i="3416"/>
  <c r="M12" i="3416"/>
  <c r="L12" i="3416"/>
  <c r="K12" i="3416"/>
  <c r="J12" i="3416"/>
  <c r="I12" i="3416"/>
  <c r="H12" i="3416"/>
  <c r="G12" i="3416"/>
  <c r="F12" i="3416"/>
  <c r="E12" i="3416"/>
  <c r="D12" i="3416"/>
  <c r="C12" i="3416" a="1"/>
  <c r="C12" i="3416"/>
  <c r="A12" i="3416"/>
  <c r="EM11" i="3416"/>
  <c r="EL11" i="3416"/>
  <c r="EK11" i="3416"/>
  <c r="EJ11" i="3416"/>
  <c r="EI11" i="3416"/>
  <c r="EH11" i="3416"/>
  <c r="EG11" i="3416"/>
  <c r="EF11" i="3416"/>
  <c r="EE11" i="3416"/>
  <c r="ED11" i="3416"/>
  <c r="EC11" i="3416"/>
  <c r="EB11" i="3416"/>
  <c r="EA11" i="3416"/>
  <c r="DZ11" i="3416"/>
  <c r="DY11" i="3416"/>
  <c r="DX11" i="3416"/>
  <c r="DW11" i="3416"/>
  <c r="DV11" i="3416"/>
  <c r="DU11" i="3416"/>
  <c r="DT11" i="3416"/>
  <c r="DS11" i="3416"/>
  <c r="DR11" i="3416"/>
  <c r="DQ11" i="3416"/>
  <c r="DP11" i="3416"/>
  <c r="DO11" i="3416"/>
  <c r="DN11" i="3416"/>
  <c r="DM11" i="3416"/>
  <c r="DL11" i="3416"/>
  <c r="DK11" i="3416"/>
  <c r="DJ11" i="3416"/>
  <c r="DI11" i="3416"/>
  <c r="DH11" i="3416"/>
  <c r="DG11" i="3416"/>
  <c r="DF11" i="3416"/>
  <c r="DE11" i="3416"/>
  <c r="DD11" i="3416"/>
  <c r="DC11" i="3416"/>
  <c r="DB11" i="3416"/>
  <c r="DA11" i="3416"/>
  <c r="CZ11" i="3416"/>
  <c r="CY11" i="3416"/>
  <c r="CX11" i="3416"/>
  <c r="CW11" i="3416"/>
  <c r="CV11" i="3416"/>
  <c r="CU11" i="3416"/>
  <c r="CT11" i="3416"/>
  <c r="CS11" i="3416"/>
  <c r="CR11" i="3416"/>
  <c r="CQ11" i="3416"/>
  <c r="CP11" i="3416"/>
  <c r="CO11" i="3416"/>
  <c r="CN11" i="3416"/>
  <c r="CM11" i="3416"/>
  <c r="CL11" i="3416"/>
  <c r="CK11" i="3416"/>
  <c r="CJ11" i="3416"/>
  <c r="CI11" i="3416"/>
  <c r="CH11" i="3416"/>
  <c r="CG11" i="3416"/>
  <c r="CF11" i="3416"/>
  <c r="CE11" i="3416"/>
  <c r="CD11" i="3416"/>
  <c r="CC11" i="3416"/>
  <c r="CB11" i="3416"/>
  <c r="CA11" i="3416"/>
  <c r="BZ11" i="3416"/>
  <c r="BY11" i="3416"/>
  <c r="BX11" i="3416"/>
  <c r="BW11" i="3416"/>
  <c r="BV11" i="3416"/>
  <c r="BU11" i="3416"/>
  <c r="BT11" i="3416"/>
  <c r="BS11" i="3416"/>
  <c r="BR11" i="3416"/>
  <c r="BQ11" i="3416"/>
  <c r="BP11" i="3416"/>
  <c r="BO11" i="3416"/>
  <c r="BN11" i="3416"/>
  <c r="BM11" i="3416"/>
  <c r="BL11" i="3416"/>
  <c r="BK11" i="3416"/>
  <c r="BJ11" i="3416"/>
  <c r="BI11" i="3416"/>
  <c r="BH11" i="3416"/>
  <c r="BG11" i="3416"/>
  <c r="BF11" i="3416"/>
  <c r="BE11" i="3416"/>
  <c r="BD11" i="3416"/>
  <c r="BC11" i="3416"/>
  <c r="BB11" i="3416"/>
  <c r="BA11" i="3416"/>
  <c r="AZ11" i="3416"/>
  <c r="AY11" i="3416"/>
  <c r="AX11" i="3416"/>
  <c r="AW11" i="3416"/>
  <c r="AV11" i="3416"/>
  <c r="AU11" i="3416"/>
  <c r="AT11" i="3416"/>
  <c r="AS11" i="3416"/>
  <c r="AR11" i="3416"/>
  <c r="AQ11" i="3416"/>
  <c r="AP11" i="3416"/>
  <c r="AO11" i="3416"/>
  <c r="AN11" i="3416"/>
  <c r="AM11" i="3416"/>
  <c r="AL11" i="3416"/>
  <c r="AK11" i="3416"/>
  <c r="AJ11" i="3416"/>
  <c r="AI11" i="3416"/>
  <c r="AH11" i="3416"/>
  <c r="AG11" i="3416"/>
  <c r="AF11" i="3416"/>
  <c r="AE11" i="3416"/>
  <c r="AD11" i="3416"/>
  <c r="AC11" i="3416"/>
  <c r="AB11" i="3416"/>
  <c r="AA11" i="3416"/>
  <c r="Z11" i="3416"/>
  <c r="Y11" i="3416"/>
  <c r="X11" i="3416"/>
  <c r="W11" i="3416"/>
  <c r="V11" i="3416"/>
  <c r="U11" i="3416"/>
  <c r="T11" i="3416"/>
  <c r="S11" i="3416"/>
  <c r="R11" i="3416"/>
  <c r="Q11" i="3416"/>
  <c r="P11" i="3416"/>
  <c r="O11" i="3416"/>
  <c r="N11" i="3416"/>
  <c r="M11" i="3416"/>
  <c r="L11" i="3416"/>
  <c r="K11" i="3416"/>
  <c r="J11" i="3416"/>
  <c r="I11" i="3416"/>
  <c r="H11" i="3416"/>
  <c r="G11" i="3416"/>
  <c r="F11" i="3416"/>
  <c r="E11" i="3416"/>
  <c r="D11" i="3416"/>
  <c r="C11" i="3416" a="1"/>
  <c r="C11" i="3416"/>
  <c r="A11" i="3416"/>
  <c r="EM10" i="3416"/>
  <c r="EL10" i="3416"/>
  <c r="EK10" i="3416"/>
  <c r="EJ10" i="3416"/>
  <c r="EI10" i="3416"/>
  <c r="EH10" i="3416"/>
  <c r="EG10" i="3416"/>
  <c r="EF10" i="3416"/>
  <c r="EE10" i="3416"/>
  <c r="ED10" i="3416"/>
  <c r="EC10" i="3416"/>
  <c r="EB10" i="3416"/>
  <c r="EA10" i="3416"/>
  <c r="DZ10" i="3416"/>
  <c r="DY10" i="3416"/>
  <c r="DX10" i="3416"/>
  <c r="DW10" i="3416"/>
  <c r="DV10" i="3416"/>
  <c r="DU10" i="3416"/>
  <c r="DT10" i="3416"/>
  <c r="DS10" i="3416"/>
  <c r="DR10" i="3416"/>
  <c r="DQ10" i="3416"/>
  <c r="DP10" i="3416"/>
  <c r="DO10" i="3416"/>
  <c r="DN10" i="3416"/>
  <c r="DM10" i="3416"/>
  <c r="DL10" i="3416"/>
  <c r="DK10" i="3416"/>
  <c r="DJ10" i="3416"/>
  <c r="DI10" i="3416"/>
  <c r="DH10" i="3416"/>
  <c r="DG10" i="3416"/>
  <c r="DF10" i="3416"/>
  <c r="DE10" i="3416"/>
  <c r="DD10" i="3416"/>
  <c r="DC10" i="3416"/>
  <c r="DB10" i="3416"/>
  <c r="DA10" i="3416"/>
  <c r="CZ10" i="3416"/>
  <c r="CY10" i="3416"/>
  <c r="CX10" i="3416"/>
  <c r="CW10" i="3416"/>
  <c r="CV10" i="3416"/>
  <c r="CU10" i="3416"/>
  <c r="CT10" i="3416"/>
  <c r="CS10" i="3416"/>
  <c r="CR10" i="3416"/>
  <c r="CQ10" i="3416"/>
  <c r="CP10" i="3416"/>
  <c r="CO10" i="3416"/>
  <c r="CN10" i="3416"/>
  <c r="CM10" i="3416"/>
  <c r="CL10" i="3416"/>
  <c r="CK10" i="3416"/>
  <c r="CJ10" i="3416"/>
  <c r="CI10" i="3416"/>
  <c r="CH10" i="3416"/>
  <c r="CG10" i="3416"/>
  <c r="CF10" i="3416"/>
  <c r="CE10" i="3416"/>
  <c r="CD10" i="3416"/>
  <c r="CC10" i="3416"/>
  <c r="CB10" i="3416"/>
  <c r="CA10" i="3416"/>
  <c r="BZ10" i="3416"/>
  <c r="BY10" i="3416"/>
  <c r="BX10" i="3416"/>
  <c r="BW10" i="3416"/>
  <c r="BV10" i="3416"/>
  <c r="BU10" i="3416"/>
  <c r="BT10" i="3416"/>
  <c r="BS10" i="3416"/>
  <c r="BR10" i="3416"/>
  <c r="BQ10" i="3416"/>
  <c r="BP10" i="3416"/>
  <c r="BO10" i="3416"/>
  <c r="BN10" i="3416"/>
  <c r="BM10" i="3416"/>
  <c r="BL10" i="3416"/>
  <c r="BK10" i="3416"/>
  <c r="BJ10" i="3416"/>
  <c r="BI10" i="3416"/>
  <c r="BH10" i="3416"/>
  <c r="BG10" i="3416"/>
  <c r="BF10" i="3416"/>
  <c r="BE10" i="3416"/>
  <c r="BD10" i="3416"/>
  <c r="BC10" i="3416"/>
  <c r="BB10" i="3416"/>
  <c r="BA10" i="3416"/>
  <c r="AZ10" i="3416"/>
  <c r="AY10" i="3416"/>
  <c r="AX10" i="3416"/>
  <c r="AW10" i="3416"/>
  <c r="AV10" i="3416"/>
  <c r="AU10" i="3416"/>
  <c r="AT10" i="3416"/>
  <c r="AS10" i="3416"/>
  <c r="AR10" i="3416"/>
  <c r="AQ10" i="3416"/>
  <c r="AP10" i="3416"/>
  <c r="AO10" i="3416"/>
  <c r="AN10" i="3416"/>
  <c r="AM10" i="3416"/>
  <c r="AL10" i="3416"/>
  <c r="AK10" i="3416"/>
  <c r="AJ10" i="3416"/>
  <c r="AI10" i="3416"/>
  <c r="AH10" i="3416"/>
  <c r="AG10" i="3416"/>
  <c r="AF10" i="3416"/>
  <c r="AE10" i="3416"/>
  <c r="AD10" i="3416"/>
  <c r="AC10" i="3416"/>
  <c r="AB10" i="3416"/>
  <c r="AA10" i="3416"/>
  <c r="Z10" i="3416"/>
  <c r="Y10" i="3416"/>
  <c r="X10" i="3416"/>
  <c r="W10" i="3416"/>
  <c r="V10" i="3416"/>
  <c r="U10" i="3416"/>
  <c r="T10" i="3416"/>
  <c r="S10" i="3416"/>
  <c r="R10" i="3416"/>
  <c r="Q10" i="3416"/>
  <c r="P10" i="3416"/>
  <c r="O10" i="3416"/>
  <c r="N10" i="3416"/>
  <c r="M10" i="3416"/>
  <c r="L10" i="3416"/>
  <c r="K10" i="3416"/>
  <c r="J10" i="3416"/>
  <c r="I10" i="3416"/>
  <c r="H10" i="3416"/>
  <c r="G10" i="3416"/>
  <c r="F10" i="3416"/>
  <c r="E10" i="3416"/>
  <c r="D10" i="3416"/>
  <c r="C10" i="3416" a="1"/>
  <c r="C10" i="3416"/>
  <c r="A10" i="3416"/>
  <c r="EM9" i="3416"/>
  <c r="EL9" i="3416"/>
  <c r="EK9" i="3416"/>
  <c r="EJ9" i="3416"/>
  <c r="EI9" i="3416"/>
  <c r="EH9" i="3416"/>
  <c r="EG9" i="3416"/>
  <c r="EF9" i="3416"/>
  <c r="EE9" i="3416"/>
  <c r="ED9" i="3416"/>
  <c r="EC9" i="3416"/>
  <c r="EB9" i="3416"/>
  <c r="EA9" i="3416"/>
  <c r="DZ9" i="3416"/>
  <c r="DY9" i="3416"/>
  <c r="DX9" i="3416"/>
  <c r="DW9" i="3416"/>
  <c r="DV9" i="3416"/>
  <c r="DU9" i="3416"/>
  <c r="DT9" i="3416"/>
  <c r="DS9" i="3416"/>
  <c r="DR9" i="3416"/>
  <c r="DQ9" i="3416"/>
  <c r="DP9" i="3416"/>
  <c r="DO9" i="3416"/>
  <c r="DN9" i="3416"/>
  <c r="DM9" i="3416"/>
  <c r="DL9" i="3416"/>
  <c r="DK9" i="3416"/>
  <c r="DJ9" i="3416"/>
  <c r="DI9" i="3416"/>
  <c r="DH9" i="3416"/>
  <c r="DG9" i="3416"/>
  <c r="DF9" i="3416"/>
  <c r="DE9" i="3416"/>
  <c r="DD9" i="3416"/>
  <c r="DC9" i="3416"/>
  <c r="DB9" i="3416"/>
  <c r="DA9" i="3416"/>
  <c r="CZ9" i="3416"/>
  <c r="CY9" i="3416"/>
  <c r="CX9" i="3416"/>
  <c r="CW9" i="3416"/>
  <c r="CV9" i="3416"/>
  <c r="CU9" i="3416"/>
  <c r="CT9" i="3416"/>
  <c r="CS9" i="3416"/>
  <c r="CR9" i="3416"/>
  <c r="CQ9" i="3416"/>
  <c r="CP9" i="3416"/>
  <c r="CO9" i="3416"/>
  <c r="CN9" i="3416"/>
  <c r="CM9" i="3416"/>
  <c r="CL9" i="3416"/>
  <c r="CK9" i="3416"/>
  <c r="CJ9" i="3416"/>
  <c r="CI9" i="3416"/>
  <c r="CH9" i="3416"/>
  <c r="CG9" i="3416"/>
  <c r="CF9" i="3416"/>
  <c r="CE9" i="3416"/>
  <c r="CD9" i="3416"/>
  <c r="CC9" i="3416"/>
  <c r="CB9" i="3416"/>
  <c r="CA9" i="3416"/>
  <c r="BZ9" i="3416"/>
  <c r="BY9" i="3416"/>
  <c r="BX9" i="3416"/>
  <c r="BW9" i="3416"/>
  <c r="BV9" i="3416"/>
  <c r="BU9" i="3416"/>
  <c r="BT9" i="3416"/>
  <c r="BS9" i="3416"/>
  <c r="BR9" i="3416"/>
  <c r="BQ9" i="3416"/>
  <c r="BP9" i="3416"/>
  <c r="BO9" i="3416"/>
  <c r="BN9" i="3416"/>
  <c r="BM9" i="3416"/>
  <c r="BL9" i="3416"/>
  <c r="BK9" i="3416"/>
  <c r="BJ9" i="3416"/>
  <c r="BI9" i="3416"/>
  <c r="BH9" i="3416"/>
  <c r="BG9" i="3416"/>
  <c r="BF9" i="3416"/>
  <c r="BE9" i="3416"/>
  <c r="BD9" i="3416"/>
  <c r="BC9" i="3416"/>
  <c r="BB9" i="3416"/>
  <c r="BA9" i="3416"/>
  <c r="AZ9" i="3416"/>
  <c r="AY9" i="3416"/>
  <c r="AX9" i="3416"/>
  <c r="AW9" i="3416"/>
  <c r="AV9" i="3416"/>
  <c r="AU9" i="3416"/>
  <c r="AT9" i="3416"/>
  <c r="AS9" i="3416"/>
  <c r="AR9" i="3416"/>
  <c r="AQ9" i="3416"/>
  <c r="AP9" i="3416"/>
  <c r="AO9" i="3416"/>
  <c r="AN9" i="3416"/>
  <c r="AM9" i="3416"/>
  <c r="AL9" i="3416"/>
  <c r="AK9" i="3416"/>
  <c r="AJ9" i="3416"/>
  <c r="AI9" i="3416"/>
  <c r="AH9" i="3416"/>
  <c r="AG9" i="3416"/>
  <c r="AF9" i="3416"/>
  <c r="AE9" i="3416"/>
  <c r="AD9" i="3416"/>
  <c r="AC9" i="3416"/>
  <c r="AB9" i="3416"/>
  <c r="AA9" i="3416"/>
  <c r="Z9" i="3416"/>
  <c r="Y9" i="3416"/>
  <c r="X9" i="3416"/>
  <c r="W9" i="3416"/>
  <c r="V9" i="3416"/>
  <c r="U9" i="3416"/>
  <c r="T9" i="3416"/>
  <c r="S9" i="3416"/>
  <c r="R9" i="3416"/>
  <c r="Q9" i="3416"/>
  <c r="P9" i="3416"/>
  <c r="O9" i="3416"/>
  <c r="N9" i="3416"/>
  <c r="M9" i="3416"/>
  <c r="L9" i="3416"/>
  <c r="K9" i="3416"/>
  <c r="J9" i="3416"/>
  <c r="I9" i="3416"/>
  <c r="H9" i="3416"/>
  <c r="G9" i="3416"/>
  <c r="F9" i="3416"/>
  <c r="E9" i="3416"/>
  <c r="D9" i="3416"/>
  <c r="C9" i="3416" a="1"/>
  <c r="C9" i="3416"/>
  <c r="A9" i="3416"/>
  <c r="EM8" i="3416"/>
  <c r="EL8" i="3416"/>
  <c r="EK8" i="3416"/>
  <c r="EJ8" i="3416"/>
  <c r="EI8" i="3416"/>
  <c r="EH8" i="3416"/>
  <c r="EG8" i="3416"/>
  <c r="EF8" i="3416"/>
  <c r="EE8" i="3416"/>
  <c r="ED8" i="3416"/>
  <c r="EC8" i="3416"/>
  <c r="EB8" i="3416"/>
  <c r="EA8" i="3416"/>
  <c r="DZ8" i="3416"/>
  <c r="DY8" i="3416"/>
  <c r="DX8" i="3416"/>
  <c r="DW8" i="3416"/>
  <c r="DV8" i="3416"/>
  <c r="DU8" i="3416"/>
  <c r="DT8" i="3416"/>
  <c r="DS8" i="3416"/>
  <c r="DR8" i="3416"/>
  <c r="DQ8" i="3416"/>
  <c r="DP8" i="3416"/>
  <c r="DO8" i="3416"/>
  <c r="DN8" i="3416"/>
  <c r="DM8" i="3416"/>
  <c r="DL8" i="3416"/>
  <c r="DK8" i="3416"/>
  <c r="DJ8" i="3416"/>
  <c r="DI8" i="3416"/>
  <c r="DH8" i="3416"/>
  <c r="DG8" i="3416"/>
  <c r="DF8" i="3416"/>
  <c r="DE8" i="3416"/>
  <c r="DD8" i="3416"/>
  <c r="DC8" i="3416"/>
  <c r="DB8" i="3416"/>
  <c r="DA8" i="3416"/>
  <c r="CZ8" i="3416"/>
  <c r="CY8" i="3416"/>
  <c r="CX8" i="3416"/>
  <c r="CW8" i="3416"/>
  <c r="CV8" i="3416"/>
  <c r="CU8" i="3416"/>
  <c r="CT8" i="3416"/>
  <c r="CS8" i="3416"/>
  <c r="CR8" i="3416"/>
  <c r="CQ8" i="3416"/>
  <c r="CP8" i="3416"/>
  <c r="CO8" i="3416"/>
  <c r="CN8" i="3416"/>
  <c r="CM8" i="3416"/>
  <c r="CL8" i="3416"/>
  <c r="CK8" i="3416"/>
  <c r="CJ8" i="3416"/>
  <c r="CI8" i="3416"/>
  <c r="CH8" i="3416"/>
  <c r="CG8" i="3416"/>
  <c r="CF8" i="3416"/>
  <c r="CE8" i="3416"/>
  <c r="CD8" i="3416"/>
  <c r="CC8" i="3416"/>
  <c r="CB8" i="3416"/>
  <c r="CA8" i="3416"/>
  <c r="BZ8" i="3416"/>
  <c r="BY8" i="3416"/>
  <c r="BX8" i="3416"/>
  <c r="BW8" i="3416"/>
  <c r="BV8" i="3416"/>
  <c r="BU8" i="3416"/>
  <c r="BT8" i="3416"/>
  <c r="BS8" i="3416"/>
  <c r="BR8" i="3416"/>
  <c r="BQ8" i="3416"/>
  <c r="BP8" i="3416"/>
  <c r="BO8" i="3416"/>
  <c r="BN8" i="3416"/>
  <c r="BM8" i="3416"/>
  <c r="BL8" i="3416"/>
  <c r="BK8" i="3416"/>
  <c r="BJ8" i="3416"/>
  <c r="BI8" i="3416"/>
  <c r="BH8" i="3416"/>
  <c r="BG8" i="3416"/>
  <c r="BF8" i="3416"/>
  <c r="BE8" i="3416"/>
  <c r="BD8" i="3416"/>
  <c r="BC8" i="3416"/>
  <c r="BB8" i="3416"/>
  <c r="BA8" i="3416"/>
  <c r="AZ8" i="3416"/>
  <c r="AY8" i="3416"/>
  <c r="AX8" i="3416"/>
  <c r="AW8" i="3416"/>
  <c r="AV8" i="3416"/>
  <c r="AU8" i="3416"/>
  <c r="AT8" i="3416"/>
  <c r="AS8" i="3416"/>
  <c r="AR8" i="3416"/>
  <c r="AQ8" i="3416"/>
  <c r="AP8" i="3416"/>
  <c r="AO8" i="3416"/>
  <c r="AN8" i="3416"/>
  <c r="AM8" i="3416"/>
  <c r="AL8" i="3416"/>
  <c r="AK8" i="3416"/>
  <c r="AJ8" i="3416"/>
  <c r="AI8" i="3416"/>
  <c r="AH8" i="3416"/>
  <c r="AG8" i="3416"/>
  <c r="AF8" i="3416"/>
  <c r="AE8" i="3416"/>
  <c r="AD8" i="3416"/>
  <c r="AC8" i="3416"/>
  <c r="AB8" i="3416"/>
  <c r="AA8" i="3416"/>
  <c r="Z8" i="3416"/>
  <c r="Y8" i="3416"/>
  <c r="X8" i="3416"/>
  <c r="W8" i="3416"/>
  <c r="V8" i="3416"/>
  <c r="U8" i="3416"/>
  <c r="T8" i="3416"/>
  <c r="S8" i="3416"/>
  <c r="R8" i="3416"/>
  <c r="Q8" i="3416"/>
  <c r="P8" i="3416"/>
  <c r="O8" i="3416"/>
  <c r="N8" i="3416"/>
  <c r="M8" i="3416"/>
  <c r="L8" i="3416"/>
  <c r="K8" i="3416"/>
  <c r="J8" i="3416"/>
  <c r="I8" i="3416"/>
  <c r="H8" i="3416"/>
  <c r="G8" i="3416"/>
  <c r="F8" i="3416"/>
  <c r="E8" i="3416"/>
  <c r="D8" i="3416"/>
  <c r="C8" i="3416" a="1"/>
  <c r="C8" i="3416"/>
  <c r="A8" i="3416"/>
  <c r="EM7" i="3416"/>
  <c r="EL7" i="3416"/>
  <c r="EK7" i="3416"/>
  <c r="EJ7" i="3416"/>
  <c r="EI7" i="3416"/>
  <c r="EH7" i="3416"/>
  <c r="EG7" i="3416"/>
  <c r="EF7" i="3416"/>
  <c r="EE7" i="3416"/>
  <c r="ED7" i="3416"/>
  <c r="EC7" i="3416"/>
  <c r="EB7" i="3416"/>
  <c r="EA7" i="3416"/>
  <c r="DZ7" i="3416"/>
  <c r="DY7" i="3416"/>
  <c r="DX7" i="3416"/>
  <c r="DW7" i="3416"/>
  <c r="DV7" i="3416"/>
  <c r="DU7" i="3416"/>
  <c r="DT7" i="3416"/>
  <c r="DS7" i="3416"/>
  <c r="DR7" i="3416"/>
  <c r="DQ7" i="3416"/>
  <c r="DP7" i="3416"/>
  <c r="DO7" i="3416"/>
  <c r="DN7" i="3416"/>
  <c r="DM7" i="3416"/>
  <c r="DL7" i="3416"/>
  <c r="DK7" i="3416"/>
  <c r="DJ7" i="3416"/>
  <c r="DI7" i="3416"/>
  <c r="DH7" i="3416"/>
  <c r="DG7" i="3416"/>
  <c r="DF7" i="3416"/>
  <c r="DE7" i="3416"/>
  <c r="DD7" i="3416"/>
  <c r="DC7" i="3416"/>
  <c r="DB7" i="3416"/>
  <c r="DA7" i="3416"/>
  <c r="CZ7" i="3416"/>
  <c r="CY7" i="3416"/>
  <c r="CX7" i="3416"/>
  <c r="CW7" i="3416"/>
  <c r="CV7" i="3416"/>
  <c r="CU7" i="3416"/>
  <c r="CT7" i="3416"/>
  <c r="CS7" i="3416"/>
  <c r="CR7" i="3416"/>
  <c r="CQ7" i="3416"/>
  <c r="CP7" i="3416"/>
  <c r="CO7" i="3416"/>
  <c r="CN7" i="3416"/>
  <c r="CM7" i="3416"/>
  <c r="CL7" i="3416"/>
  <c r="CK7" i="3416"/>
  <c r="CJ7" i="3416"/>
  <c r="CI7" i="3416"/>
  <c r="CH7" i="3416"/>
  <c r="CG7" i="3416"/>
  <c r="CF7" i="3416"/>
  <c r="CE7" i="3416"/>
  <c r="CD7" i="3416"/>
  <c r="CC7" i="3416"/>
  <c r="CB7" i="3416"/>
  <c r="CA7" i="3416"/>
  <c r="BZ7" i="3416"/>
  <c r="BY7" i="3416"/>
  <c r="BX7" i="3416"/>
  <c r="BW7" i="3416"/>
  <c r="BV7" i="3416"/>
  <c r="BU7" i="3416"/>
  <c r="BT7" i="3416"/>
  <c r="BS7" i="3416"/>
  <c r="BR7" i="3416"/>
  <c r="BQ7" i="3416"/>
  <c r="BP7" i="3416"/>
  <c r="BO7" i="3416"/>
  <c r="BN7" i="3416"/>
  <c r="BM7" i="3416"/>
  <c r="BL7" i="3416"/>
  <c r="BK7" i="3416"/>
  <c r="BJ7" i="3416"/>
  <c r="BI7" i="3416"/>
  <c r="BH7" i="3416"/>
  <c r="BG7" i="3416"/>
  <c r="BF7" i="3416"/>
  <c r="BE7" i="3416"/>
  <c r="BD7" i="3416"/>
  <c r="BC7" i="3416"/>
  <c r="BB7" i="3416"/>
  <c r="BA7" i="3416"/>
  <c r="AZ7" i="3416"/>
  <c r="AY7" i="3416"/>
  <c r="AX7" i="3416"/>
  <c r="AW7" i="3416"/>
  <c r="AV7" i="3416"/>
  <c r="AU7" i="3416"/>
  <c r="AT7" i="3416"/>
  <c r="AS7" i="3416"/>
  <c r="AR7" i="3416"/>
  <c r="AQ7" i="3416"/>
  <c r="AP7" i="3416"/>
  <c r="AO7" i="3416"/>
  <c r="AN7" i="3416"/>
  <c r="AM7" i="3416"/>
  <c r="AL7" i="3416"/>
  <c r="AK7" i="3416"/>
  <c r="AJ7" i="3416"/>
  <c r="AI7" i="3416"/>
  <c r="AH7" i="3416"/>
  <c r="AG7" i="3416"/>
  <c r="AF7" i="3416"/>
  <c r="AE7" i="3416"/>
  <c r="AD7" i="3416"/>
  <c r="AC7" i="3416"/>
  <c r="AB7" i="3416"/>
  <c r="AA7" i="3416"/>
  <c r="Z7" i="3416"/>
  <c r="Y7" i="3416"/>
  <c r="X7" i="3416"/>
  <c r="W7" i="3416"/>
  <c r="V7" i="3416"/>
  <c r="U7" i="3416"/>
  <c r="T7" i="3416"/>
  <c r="S7" i="3416"/>
  <c r="R7" i="3416"/>
  <c r="Q7" i="3416"/>
  <c r="P7" i="3416"/>
  <c r="O7" i="3416"/>
  <c r="N7" i="3416"/>
  <c r="M7" i="3416"/>
  <c r="L7" i="3416"/>
  <c r="K7" i="3416"/>
  <c r="J7" i="3416"/>
  <c r="I7" i="3416"/>
  <c r="H7" i="3416"/>
  <c r="G7" i="3416"/>
  <c r="F7" i="3416"/>
  <c r="E7" i="3416"/>
  <c r="D7" i="3416"/>
  <c r="C7" i="3416" a="1"/>
  <c r="C7" i="3416"/>
  <c r="A7" i="3416"/>
  <c r="EM6" i="3416"/>
  <c r="EL6" i="3416"/>
  <c r="EK6" i="3416"/>
  <c r="EJ6" i="3416"/>
  <c r="EI6" i="3416"/>
  <c r="EH6" i="3416"/>
  <c r="EG6" i="3416"/>
  <c r="EF6" i="3416"/>
  <c r="EE6" i="3416"/>
  <c r="ED6" i="3416"/>
  <c r="EC6" i="3416"/>
  <c r="EB6" i="3416"/>
  <c r="EA6" i="3416"/>
  <c r="DZ6" i="3416"/>
  <c r="DY6" i="3416"/>
  <c r="DX6" i="3416"/>
  <c r="DW6" i="3416"/>
  <c r="DV6" i="3416"/>
  <c r="DU6" i="3416"/>
  <c r="DT6" i="3416"/>
  <c r="DS6" i="3416"/>
  <c r="DR6" i="3416"/>
  <c r="DQ6" i="3416"/>
  <c r="DP6" i="3416"/>
  <c r="DO6" i="3416"/>
  <c r="DN6" i="3416"/>
  <c r="DM6" i="3416"/>
  <c r="DL6" i="3416"/>
  <c r="DK6" i="3416"/>
  <c r="DJ6" i="3416"/>
  <c r="DI6" i="3416"/>
  <c r="DH6" i="3416"/>
  <c r="DG6" i="3416"/>
  <c r="DF6" i="3416"/>
  <c r="DE6" i="3416"/>
  <c r="DD6" i="3416"/>
  <c r="DC6" i="3416"/>
  <c r="DB6" i="3416"/>
  <c r="DA6" i="3416"/>
  <c r="CZ6" i="3416"/>
  <c r="CY6" i="3416"/>
  <c r="CX6" i="3416"/>
  <c r="CW6" i="3416"/>
  <c r="CV6" i="3416"/>
  <c r="CU6" i="3416"/>
  <c r="CT6" i="3416"/>
  <c r="CS6" i="3416"/>
  <c r="CR6" i="3416"/>
  <c r="CQ6" i="3416"/>
  <c r="CP6" i="3416"/>
  <c r="CO6" i="3416"/>
  <c r="CN6" i="3416"/>
  <c r="CM6" i="3416"/>
  <c r="CL6" i="3416"/>
  <c r="CK6" i="3416"/>
  <c r="CJ6" i="3416"/>
  <c r="CI6" i="3416"/>
  <c r="CH6" i="3416"/>
  <c r="CG6" i="3416"/>
  <c r="CF6" i="3416"/>
  <c r="CE6" i="3416"/>
  <c r="CD6" i="3416"/>
  <c r="CC6" i="3416"/>
  <c r="CB6" i="3416"/>
  <c r="CA6" i="3416"/>
  <c r="BZ6" i="3416"/>
  <c r="BY6" i="3416"/>
  <c r="BX6" i="3416"/>
  <c r="BW6" i="3416"/>
  <c r="BV6" i="3416"/>
  <c r="BU6" i="3416"/>
  <c r="BT6" i="3416"/>
  <c r="BS6" i="3416"/>
  <c r="BR6" i="3416"/>
  <c r="BQ6" i="3416"/>
  <c r="BP6" i="3416"/>
  <c r="BO6" i="3416"/>
  <c r="BN6" i="3416"/>
  <c r="BM6" i="3416"/>
  <c r="BL6" i="3416"/>
  <c r="BK6" i="3416"/>
  <c r="BJ6" i="3416"/>
  <c r="BI6" i="3416"/>
  <c r="BH6" i="3416"/>
  <c r="BG6" i="3416"/>
  <c r="BF6" i="3416"/>
  <c r="BE6" i="3416"/>
  <c r="BD6" i="3416"/>
  <c r="BC6" i="3416"/>
  <c r="BB6" i="3416"/>
  <c r="BA6" i="3416"/>
  <c r="AZ6" i="3416"/>
  <c r="AY6" i="3416"/>
  <c r="AX6" i="3416"/>
  <c r="AW6" i="3416"/>
  <c r="AV6" i="3416"/>
  <c r="AU6" i="3416"/>
  <c r="AT6" i="3416"/>
  <c r="AS6" i="3416"/>
  <c r="AR6" i="3416"/>
  <c r="AQ6" i="3416"/>
  <c r="AP6" i="3416"/>
  <c r="AO6" i="3416"/>
  <c r="AN6" i="3416"/>
  <c r="AM6" i="3416"/>
  <c r="AL6" i="3416"/>
  <c r="AK6" i="3416"/>
  <c r="AJ6" i="3416"/>
  <c r="AI6" i="3416"/>
  <c r="AH6" i="3416"/>
  <c r="AG6" i="3416"/>
  <c r="AF6" i="3416"/>
  <c r="AE6" i="3416"/>
  <c r="AD6" i="3416"/>
  <c r="AC6" i="3416"/>
  <c r="AB6" i="3416"/>
  <c r="AA6" i="3416"/>
  <c r="Z6" i="3416"/>
  <c r="Y6" i="3416"/>
  <c r="X6" i="3416"/>
  <c r="W6" i="3416"/>
  <c r="V6" i="3416"/>
  <c r="U6" i="3416"/>
  <c r="T6" i="3416"/>
  <c r="S6" i="3416"/>
  <c r="R6" i="3416"/>
  <c r="Q6" i="3416"/>
  <c r="P6" i="3416"/>
  <c r="O6" i="3416"/>
  <c r="N6" i="3416"/>
  <c r="M6" i="3416"/>
  <c r="L6" i="3416"/>
  <c r="K6" i="3416"/>
  <c r="J6" i="3416"/>
  <c r="I6" i="3416"/>
  <c r="H6" i="3416"/>
  <c r="G6" i="3416"/>
  <c r="F6" i="3416"/>
  <c r="E6" i="3416"/>
  <c r="D6" i="3416"/>
  <c r="C6" i="3416" a="1"/>
  <c r="C6" i="3416"/>
  <c r="A6" i="3416"/>
  <c r="EM5" i="3416"/>
  <c r="EL5" i="3416"/>
  <c r="EK5" i="3416"/>
  <c r="EJ5" i="3416"/>
  <c r="EI5" i="3416"/>
  <c r="EH5" i="3416"/>
  <c r="EG5" i="3416"/>
  <c r="EF5" i="3416"/>
  <c r="EE5" i="3416"/>
  <c r="ED5" i="3416"/>
  <c r="EC5" i="3416"/>
  <c r="EB5" i="3416"/>
  <c r="EA5" i="3416"/>
  <c r="DZ5" i="3416"/>
  <c r="DY5" i="3416"/>
  <c r="DX5" i="3416"/>
  <c r="DW5" i="3416"/>
  <c r="DV5" i="3416"/>
  <c r="DU5" i="3416"/>
  <c r="DT5" i="3416"/>
  <c r="DS5" i="3416"/>
  <c r="DR5" i="3416"/>
  <c r="DQ5" i="3416"/>
  <c r="DP5" i="3416"/>
  <c r="DO5" i="3416"/>
  <c r="DN5" i="3416"/>
  <c r="DM5" i="3416"/>
  <c r="DL5" i="3416"/>
  <c r="DK5" i="3416"/>
  <c r="DJ5" i="3416"/>
  <c r="DI5" i="3416"/>
  <c r="DH5" i="3416"/>
  <c r="DG5" i="3416"/>
  <c r="DF5" i="3416"/>
  <c r="DE5" i="3416"/>
  <c r="DD5" i="3416"/>
  <c r="DC5" i="3416"/>
  <c r="DB5" i="3416"/>
  <c r="DA5" i="3416"/>
  <c r="CZ5" i="3416"/>
  <c r="CY5" i="3416"/>
  <c r="CX5" i="3416"/>
  <c r="CW5" i="3416"/>
  <c r="CV5" i="3416"/>
  <c r="CU5" i="3416"/>
  <c r="CT5" i="3416"/>
  <c r="CS5" i="3416"/>
  <c r="CR5" i="3416"/>
  <c r="CQ5" i="3416"/>
  <c r="CP5" i="3416"/>
  <c r="CO5" i="3416"/>
  <c r="CN5" i="3416"/>
  <c r="CM5" i="3416"/>
  <c r="CL5" i="3416"/>
  <c r="CK5" i="3416"/>
  <c r="CJ5" i="3416"/>
  <c r="CI5" i="3416"/>
  <c r="CH5" i="3416"/>
  <c r="CG5" i="3416"/>
  <c r="CF5" i="3416"/>
  <c r="CE5" i="3416"/>
  <c r="CD5" i="3416"/>
  <c r="CC5" i="3416"/>
  <c r="CB5" i="3416"/>
  <c r="CA5" i="3416"/>
  <c r="BZ5" i="3416"/>
  <c r="BY5" i="3416"/>
  <c r="BX5" i="3416"/>
  <c r="BW5" i="3416"/>
  <c r="BV5" i="3416"/>
  <c r="BU5" i="3416"/>
  <c r="BT5" i="3416"/>
  <c r="BS5" i="3416"/>
  <c r="BR5" i="3416"/>
  <c r="BQ5" i="3416"/>
  <c r="BP5" i="3416"/>
  <c r="BO5" i="3416"/>
  <c r="BN5" i="3416"/>
  <c r="BM5" i="3416"/>
  <c r="BL5" i="3416"/>
  <c r="BK5" i="3416"/>
  <c r="BJ5" i="3416"/>
  <c r="BI5" i="3416"/>
  <c r="BH5" i="3416"/>
  <c r="BG5" i="3416"/>
  <c r="BF5" i="3416"/>
  <c r="BE5" i="3416"/>
  <c r="BD5" i="3416"/>
  <c r="BC5" i="3416"/>
  <c r="BB5" i="3416"/>
  <c r="BA5" i="3416"/>
  <c r="AZ5" i="3416"/>
  <c r="AY5" i="3416"/>
  <c r="AX5" i="3416"/>
  <c r="AW5" i="3416"/>
  <c r="AV5" i="3416"/>
  <c r="AU5" i="3416"/>
  <c r="AT5" i="3416"/>
  <c r="AS5" i="3416"/>
  <c r="AR5" i="3416"/>
  <c r="AQ5" i="3416"/>
  <c r="AP5" i="3416"/>
  <c r="AO5" i="3416"/>
  <c r="AN5" i="3416"/>
  <c r="AM5" i="3416"/>
  <c r="AL5" i="3416"/>
  <c r="AK5" i="3416"/>
  <c r="AJ5" i="3416"/>
  <c r="AI5" i="3416"/>
  <c r="AH5" i="3416"/>
  <c r="AG5" i="3416"/>
  <c r="AF5" i="3416"/>
  <c r="AE5" i="3416"/>
  <c r="AD5" i="3416"/>
  <c r="AC5" i="3416"/>
  <c r="AB5" i="3416"/>
  <c r="AA5" i="3416"/>
  <c r="Z5" i="3416"/>
  <c r="Y5" i="3416"/>
  <c r="X5" i="3416"/>
  <c r="W5" i="3416"/>
  <c r="V5" i="3416"/>
  <c r="U5" i="3416"/>
  <c r="T5" i="3416"/>
  <c r="S5" i="3416"/>
  <c r="R5" i="3416"/>
  <c r="Q5" i="3416"/>
  <c r="P5" i="3416"/>
  <c r="O5" i="3416"/>
  <c r="N5" i="3416"/>
  <c r="M5" i="3416"/>
  <c r="L5" i="3416"/>
  <c r="K5" i="3416"/>
  <c r="J5" i="3416"/>
  <c r="I5" i="3416"/>
  <c r="H5" i="3416"/>
  <c r="G5" i="3416"/>
  <c r="F5" i="3416"/>
  <c r="E5" i="3416"/>
  <c r="D5" i="3416"/>
  <c r="C5" i="3416" a="1"/>
  <c r="C5" i="3416"/>
  <c r="A5" i="3416"/>
  <c r="EM4" i="3416"/>
  <c r="EL4" i="3416"/>
  <c r="EK4" i="3416"/>
  <c r="EJ4" i="3416"/>
  <c r="EI4" i="3416"/>
  <c r="EH4" i="3416"/>
  <c r="EG4" i="3416"/>
  <c r="EF4" i="3416"/>
  <c r="EE4" i="3416"/>
  <c r="ED4" i="3416"/>
  <c r="EC4" i="3416"/>
  <c r="EB4" i="3416"/>
  <c r="EA4" i="3416"/>
  <c r="DZ4" i="3416"/>
  <c r="DY4" i="3416"/>
  <c r="DX4" i="3416"/>
  <c r="DW4" i="3416"/>
  <c r="DV4" i="3416"/>
  <c r="DU4" i="3416"/>
  <c r="DT4" i="3416"/>
  <c r="DS4" i="3416"/>
  <c r="DR4" i="3416"/>
  <c r="DQ4" i="3416"/>
  <c r="DP4" i="3416"/>
  <c r="DO4" i="3416"/>
  <c r="DN4" i="3416"/>
  <c r="DM4" i="3416"/>
  <c r="DL4" i="3416"/>
  <c r="DK4" i="3416"/>
  <c r="DJ4" i="3416"/>
  <c r="DI4" i="3416"/>
  <c r="DH4" i="3416"/>
  <c r="DG4" i="3416"/>
  <c r="DF4" i="3416"/>
  <c r="DE4" i="3416"/>
  <c r="DD4" i="3416"/>
  <c r="DC4" i="3416"/>
  <c r="DB4" i="3416"/>
  <c r="DA4" i="3416"/>
  <c r="CZ4" i="3416"/>
  <c r="CY4" i="3416"/>
  <c r="CX4" i="3416"/>
  <c r="CW4" i="3416"/>
  <c r="CV4" i="3416"/>
  <c r="CU4" i="3416"/>
  <c r="CT4" i="3416"/>
  <c r="CS4" i="3416"/>
  <c r="CR4" i="3416"/>
  <c r="CQ4" i="3416"/>
  <c r="CP4" i="3416"/>
  <c r="CO4" i="3416"/>
  <c r="CN4" i="3416"/>
  <c r="CM4" i="3416"/>
  <c r="CL4" i="3416"/>
  <c r="CK4" i="3416"/>
  <c r="CJ4" i="3416"/>
  <c r="CI4" i="3416"/>
  <c r="CH4" i="3416"/>
  <c r="CG4" i="3416"/>
  <c r="CF4" i="3416"/>
  <c r="CE4" i="3416"/>
  <c r="CD4" i="3416"/>
  <c r="CC4" i="3416"/>
  <c r="CB4" i="3416"/>
  <c r="CA4" i="3416"/>
  <c r="BZ4" i="3416"/>
  <c r="BY4" i="3416"/>
  <c r="BX4" i="3416"/>
  <c r="BW4" i="3416"/>
  <c r="BV4" i="3416"/>
  <c r="BU4" i="3416"/>
  <c r="BT4" i="3416"/>
  <c r="BS4" i="3416"/>
  <c r="BR4" i="3416"/>
  <c r="BQ4" i="3416"/>
  <c r="BP4" i="3416"/>
  <c r="BO4" i="3416"/>
  <c r="BN4" i="3416"/>
  <c r="BM4" i="3416"/>
  <c r="BL4" i="3416"/>
  <c r="BK4" i="3416"/>
  <c r="BJ4" i="3416"/>
  <c r="BI4" i="3416"/>
  <c r="BH4" i="3416"/>
  <c r="BG4" i="3416"/>
  <c r="BF4" i="3416"/>
  <c r="BE4" i="3416"/>
  <c r="BD4" i="3416"/>
  <c r="BC4" i="3416"/>
  <c r="BB4" i="3416"/>
  <c r="BA4" i="3416"/>
  <c r="AZ4" i="3416"/>
  <c r="AY4" i="3416"/>
  <c r="AX4" i="3416"/>
  <c r="AW4" i="3416"/>
  <c r="AV4" i="3416"/>
  <c r="AU4" i="3416"/>
  <c r="AT4" i="3416"/>
  <c r="AS4" i="3416"/>
  <c r="AR4" i="3416"/>
  <c r="AQ4" i="3416"/>
  <c r="AP4" i="3416"/>
  <c r="AO4" i="3416"/>
  <c r="AN4" i="3416"/>
  <c r="AM4" i="3416"/>
  <c r="AL4" i="3416"/>
  <c r="AK4" i="3416"/>
  <c r="AJ4" i="3416"/>
  <c r="AI4" i="3416"/>
  <c r="AH4" i="3416"/>
  <c r="AG4" i="3416"/>
  <c r="AF4" i="3416"/>
  <c r="AE4" i="3416"/>
  <c r="AD4" i="3416"/>
  <c r="AC4" i="3416"/>
  <c r="AB4" i="3416"/>
  <c r="AA4" i="3416"/>
  <c r="Z4" i="3416"/>
  <c r="Y4" i="3416"/>
  <c r="X4" i="3416"/>
  <c r="W4" i="3416"/>
  <c r="V4" i="3416"/>
  <c r="U4" i="3416"/>
  <c r="T4" i="3416"/>
  <c r="S4" i="3416"/>
  <c r="R4" i="3416"/>
  <c r="Q4" i="3416"/>
  <c r="P4" i="3416"/>
  <c r="O4" i="3416"/>
  <c r="N4" i="3416"/>
  <c r="M4" i="3416"/>
  <c r="L4" i="3416"/>
  <c r="K4" i="3416"/>
  <c r="J4" i="3416"/>
  <c r="I4" i="3416"/>
  <c r="H4" i="3416"/>
  <c r="G4" i="3416"/>
  <c r="F4" i="3416"/>
  <c r="E4" i="3416"/>
  <c r="D4" i="3416"/>
  <c r="C4" i="3416" a="1"/>
  <c r="C4" i="3416"/>
  <c r="A4" i="3416"/>
  <c r="EM3" i="3416" a="1"/>
  <c r="EM3" i="3416"/>
  <c r="EL3" i="3416" a="1"/>
  <c r="EL3" i="3416"/>
  <c r="EK3" i="3416" a="1"/>
  <c r="EK3" i="3416"/>
  <c r="EJ3" i="3416" a="1"/>
  <c r="EJ3" i="3416"/>
  <c r="EI3" i="3416" a="1"/>
  <c r="EI3" i="3416"/>
  <c r="EH3" i="3416" a="1"/>
  <c r="EH3" i="3416"/>
  <c r="EG3" i="3416" a="1"/>
  <c r="EG3" i="3416"/>
  <c r="EF3" i="3416" a="1"/>
  <c r="EF3" i="3416"/>
  <c r="EE3" i="3416" a="1"/>
  <c r="EE3" i="3416"/>
  <c r="ED3" i="3416" a="1"/>
  <c r="ED3" i="3416"/>
  <c r="EC3" i="3416" a="1"/>
  <c r="EC3" i="3416"/>
  <c r="EB3" i="3416" a="1"/>
  <c r="EB3" i="3416"/>
  <c r="EA3" i="3416" a="1"/>
  <c r="EA3" i="3416"/>
  <c r="DZ3" i="3416" a="1"/>
  <c r="DZ3" i="3416"/>
  <c r="DY3" i="3416" a="1"/>
  <c r="DY3" i="3416"/>
  <c r="DX3" i="3416" a="1"/>
  <c r="DX3" i="3416"/>
  <c r="DW3" i="3416" a="1"/>
  <c r="DW3" i="3416"/>
  <c r="DV3" i="3416" a="1"/>
  <c r="DV3" i="3416"/>
  <c r="DU3" i="3416" a="1"/>
  <c r="DU3" i="3416"/>
  <c r="DT3" i="3416" a="1"/>
  <c r="DT3" i="3416"/>
  <c r="DS3" i="3416" a="1"/>
  <c r="DS3" i="3416"/>
  <c r="DR3" i="3416" a="1"/>
  <c r="DR3" i="3416"/>
  <c r="DQ3" i="3416" a="1"/>
  <c r="DQ3" i="3416"/>
  <c r="DP3" i="3416" a="1"/>
  <c r="DP3" i="3416"/>
  <c r="DO3" i="3416" a="1"/>
  <c r="DO3" i="3416"/>
  <c r="DN3" i="3416" a="1"/>
  <c r="DN3" i="3416"/>
  <c r="DM3" i="3416" a="1"/>
  <c r="DM3" i="3416"/>
  <c r="DL3" i="3416" a="1"/>
  <c r="DL3" i="3416"/>
  <c r="DK3" i="3416" a="1"/>
  <c r="DK3" i="3416"/>
  <c r="DJ3" i="3416" a="1"/>
  <c r="DJ3" i="3416"/>
  <c r="DI3" i="3416" a="1"/>
  <c r="DI3" i="3416"/>
  <c r="DH3" i="3416" a="1"/>
  <c r="DH3" i="3416"/>
  <c r="DG3" i="3416" a="1"/>
  <c r="DG3" i="3416"/>
  <c r="DF3" i="3416" a="1"/>
  <c r="DF3" i="3416"/>
  <c r="DE3" i="3416" a="1"/>
  <c r="DE3" i="3416"/>
  <c r="DD3" i="3416" a="1"/>
  <c r="DD3" i="3416"/>
  <c r="DC3" i="3416" a="1"/>
  <c r="DC3" i="3416"/>
  <c r="DB3" i="3416" a="1"/>
  <c r="DB3" i="3416"/>
  <c r="DA3" i="3416" a="1"/>
  <c r="DA3" i="3416"/>
  <c r="CZ3" i="3416" a="1"/>
  <c r="CZ3" i="3416"/>
  <c r="CY3" i="3416" a="1"/>
  <c r="CY3" i="3416"/>
  <c r="CX3" i="3416" a="1"/>
  <c r="CX3" i="3416"/>
  <c r="CW3" i="3416" a="1"/>
  <c r="CW3" i="3416"/>
  <c r="CV3" i="3416" a="1"/>
  <c r="CV3" i="3416"/>
  <c r="CU3" i="3416" a="1"/>
  <c r="CU3" i="3416"/>
  <c r="CT3" i="3416" a="1"/>
  <c r="CT3" i="3416"/>
  <c r="CS3" i="3416" a="1"/>
  <c r="CS3" i="3416"/>
  <c r="CR3" i="3416" a="1"/>
  <c r="CR3" i="3416"/>
  <c r="CQ3" i="3416" a="1"/>
  <c r="CQ3" i="3416"/>
  <c r="CP3" i="3416" a="1"/>
  <c r="CP3" i="3416"/>
  <c r="CO3" i="3416" a="1"/>
  <c r="CO3" i="3416"/>
  <c r="CN3" i="3416" a="1"/>
  <c r="CN3" i="3416"/>
  <c r="CM3" i="3416" a="1"/>
  <c r="CM3" i="3416"/>
  <c r="CL3" i="3416" a="1"/>
  <c r="CL3" i="3416"/>
  <c r="CK3" i="3416" a="1"/>
  <c r="CK3" i="3416"/>
  <c r="CJ3" i="3416" a="1"/>
  <c r="CJ3" i="3416"/>
  <c r="CI3" i="3416" a="1"/>
  <c r="CI3" i="3416"/>
  <c r="CH3" i="3416" a="1"/>
  <c r="CH3" i="3416"/>
  <c r="CG3" i="3416" a="1"/>
  <c r="CG3" i="3416"/>
  <c r="CF3" i="3416" a="1"/>
  <c r="CF3" i="3416"/>
  <c r="CE3" i="3416" a="1"/>
  <c r="CE3" i="3416"/>
  <c r="CD3" i="3416" a="1"/>
  <c r="CD3" i="3416"/>
  <c r="CC3" i="3416" a="1"/>
  <c r="CC3" i="3416"/>
  <c r="CB3" i="3416" a="1"/>
  <c r="CB3" i="3416"/>
  <c r="CA3" i="3416" a="1"/>
  <c r="CA3" i="3416"/>
  <c r="BZ3" i="3416" a="1"/>
  <c r="BZ3" i="3416"/>
  <c r="BY3" i="3416" a="1"/>
  <c r="BY3" i="3416"/>
  <c r="BX3" i="3416" a="1"/>
  <c r="BX3" i="3416"/>
  <c r="BW3" i="3416" a="1"/>
  <c r="BW3" i="3416"/>
  <c r="BV3" i="3416" a="1"/>
  <c r="BV3" i="3416"/>
  <c r="BU3" i="3416" a="1"/>
  <c r="BU3" i="3416"/>
  <c r="BT3" i="3416" a="1"/>
  <c r="BT3" i="3416"/>
  <c r="BS3" i="3416" a="1"/>
  <c r="BS3" i="3416"/>
  <c r="BR3" i="3416" a="1"/>
  <c r="BR3" i="3416"/>
  <c r="BQ3" i="3416" a="1"/>
  <c r="BQ3" i="3416"/>
  <c r="BP3" i="3416" a="1"/>
  <c r="BP3" i="3416"/>
  <c r="BO3" i="3416" a="1"/>
  <c r="BO3" i="3416"/>
  <c r="BN3" i="3416" a="1"/>
  <c r="BN3" i="3416"/>
  <c r="BM3" i="3416" a="1"/>
  <c r="BM3" i="3416"/>
  <c r="BL3" i="3416" a="1"/>
  <c r="BL3" i="3416"/>
  <c r="BK3" i="3416" a="1"/>
  <c r="BK3" i="3416"/>
  <c r="BJ3" i="3416" a="1"/>
  <c r="BJ3" i="3416"/>
  <c r="BI3" i="3416" a="1"/>
  <c r="BI3" i="3416"/>
  <c r="BH3" i="3416" a="1"/>
  <c r="BH3" i="3416"/>
  <c r="BG3" i="3416" a="1"/>
  <c r="BG3" i="3416"/>
  <c r="BF3" i="3416" a="1"/>
  <c r="BF3" i="3416"/>
  <c r="BE3" i="3416" a="1"/>
  <c r="BE3" i="3416"/>
  <c r="BD3" i="3416" a="1"/>
  <c r="BD3" i="3416"/>
  <c r="BC3" i="3416" a="1"/>
  <c r="BC3" i="3416"/>
  <c r="BB3" i="3416" a="1"/>
  <c r="BB3" i="3416"/>
  <c r="BA3" i="3416" a="1"/>
  <c r="BA3" i="3416"/>
  <c r="AZ3" i="3416" a="1"/>
  <c r="AZ3" i="3416"/>
  <c r="AY3" i="3416" a="1"/>
  <c r="AY3" i="3416"/>
  <c r="AX3" i="3416" a="1"/>
  <c r="AX3" i="3416"/>
  <c r="AW3" i="3416" a="1"/>
  <c r="AW3" i="3416"/>
  <c r="AV3" i="3416" a="1"/>
  <c r="AV3" i="3416"/>
  <c r="AU3" i="3416" a="1"/>
  <c r="AU3" i="3416"/>
  <c r="AT3" i="3416" a="1"/>
  <c r="AT3" i="3416"/>
  <c r="AS3" i="3416" a="1"/>
  <c r="AS3" i="3416"/>
  <c r="AR3" i="3416" a="1"/>
  <c r="AR3" i="3416"/>
  <c r="AQ3" i="3416" a="1"/>
  <c r="AQ3" i="3416"/>
  <c r="AP3" i="3416" a="1"/>
  <c r="AP3" i="3416"/>
  <c r="AO3" i="3416" a="1"/>
  <c r="AO3" i="3416"/>
  <c r="AN3" i="3416" a="1"/>
  <c r="AN3" i="3416"/>
  <c r="AM3" i="3416" a="1"/>
  <c r="AM3" i="3416"/>
  <c r="AL3" i="3416" a="1"/>
  <c r="AL3" i="3416"/>
  <c r="AK3" i="3416" a="1"/>
  <c r="AK3" i="3416"/>
  <c r="AJ3" i="3416" a="1"/>
  <c r="AJ3" i="3416"/>
  <c r="AI3" i="3416" a="1"/>
  <c r="AI3" i="3416"/>
  <c r="AH3" i="3416" a="1"/>
  <c r="AH3" i="3416"/>
  <c r="AG3" i="3416" a="1"/>
  <c r="AG3" i="3416"/>
  <c r="AF3" i="3416" a="1"/>
  <c r="AF3" i="3416"/>
  <c r="AE3" i="3416" a="1"/>
  <c r="AE3" i="3416"/>
  <c r="AD3" i="3416" a="1"/>
  <c r="AD3" i="3416"/>
  <c r="AC3" i="3416" a="1"/>
  <c r="AC3" i="3416"/>
  <c r="AB3" i="3416" a="1"/>
  <c r="AB3" i="3416"/>
  <c r="AA3" i="3416" a="1"/>
  <c r="AA3" i="3416"/>
  <c r="Z3" i="3416" a="1"/>
  <c r="Z3" i="3416"/>
  <c r="Y3" i="3416" a="1"/>
  <c r="Y3" i="3416"/>
  <c r="X3" i="3416" a="1"/>
  <c r="X3" i="3416"/>
  <c r="W3" i="3416" a="1"/>
  <c r="W3" i="3416"/>
  <c r="V3" i="3416" a="1"/>
  <c r="V3" i="3416"/>
  <c r="U3" i="3416" a="1"/>
  <c r="U3" i="3416"/>
  <c r="T3" i="3416" a="1"/>
  <c r="T3" i="3416"/>
  <c r="S3" i="3416" a="1"/>
  <c r="S3" i="3416"/>
  <c r="R3" i="3416" a="1"/>
  <c r="R3" i="3416"/>
  <c r="Q3" i="3416" a="1"/>
  <c r="Q3" i="3416"/>
  <c r="P3" i="3416" a="1"/>
  <c r="P3" i="3416"/>
  <c r="O3" i="3416" a="1"/>
  <c r="O3" i="3416"/>
  <c r="N3" i="3416" a="1"/>
  <c r="N3" i="3416"/>
  <c r="M3" i="3416" a="1"/>
  <c r="M3" i="3416"/>
  <c r="L3" i="3416" a="1"/>
  <c r="L3" i="3416"/>
  <c r="K3" i="3416" a="1"/>
  <c r="K3" i="3416"/>
  <c r="J3" i="3416" a="1"/>
  <c r="J3" i="3416"/>
  <c r="I3" i="3416" a="1"/>
  <c r="I3" i="3416"/>
  <c r="H3" i="3416" a="1"/>
  <c r="H3" i="3416"/>
  <c r="G3" i="3416" a="1"/>
  <c r="G3" i="3416"/>
  <c r="F3" i="3416" a="1"/>
  <c r="F3" i="3416"/>
  <c r="E3" i="3416" a="1"/>
  <c r="E3" i="3416"/>
  <c r="D3" i="3416" a="1"/>
  <c r="D3" i="3416"/>
  <c r="C2" i="3416"/>
  <c r="B2" i="3416"/>
  <c r="EM1" i="3416"/>
  <c r="EL1" i="3416"/>
  <c r="EK1" i="3416"/>
  <c r="EJ1" i="3416"/>
  <c r="EI1" i="3416"/>
  <c r="EH1" i="3416"/>
  <c r="EG1" i="3416"/>
  <c r="EF1" i="3416"/>
  <c r="EE1" i="3416"/>
  <c r="ED1" i="3416"/>
  <c r="EC1" i="3416"/>
  <c r="EB1" i="3416"/>
  <c r="EA1" i="3416"/>
  <c r="DZ1" i="3416"/>
  <c r="DY1" i="3416"/>
  <c r="DX1" i="3416"/>
  <c r="DW1" i="3416"/>
  <c r="DV1" i="3416"/>
  <c r="DU1" i="3416"/>
  <c r="DT1" i="3416"/>
  <c r="DS1" i="3416"/>
  <c r="DR1" i="3416"/>
  <c r="DQ1" i="3416"/>
  <c r="DP1" i="3416"/>
  <c r="DO1" i="3416"/>
  <c r="DN1" i="3416"/>
  <c r="DM1" i="3416"/>
  <c r="DL1" i="3416"/>
  <c r="DK1" i="3416"/>
  <c r="DJ1" i="3416"/>
  <c r="DI1" i="3416"/>
  <c r="DH1" i="3416"/>
  <c r="DG1" i="3416"/>
  <c r="DF1" i="3416"/>
  <c r="DE1" i="3416"/>
  <c r="DD1" i="3416"/>
  <c r="DC1" i="3416"/>
  <c r="DB1" i="3416"/>
  <c r="DA1" i="3416"/>
  <c r="CZ1" i="3416"/>
  <c r="CY1" i="3416"/>
  <c r="CX1" i="3416"/>
  <c r="CW1" i="3416"/>
  <c r="CV1" i="3416"/>
  <c r="CU1" i="3416"/>
  <c r="CT1" i="3416"/>
  <c r="CS1" i="3416"/>
  <c r="CR1" i="3416"/>
  <c r="CQ1" i="3416"/>
  <c r="CP1" i="3416"/>
  <c r="CO1" i="3416"/>
  <c r="CN1" i="3416"/>
  <c r="CM1" i="3416"/>
  <c r="CL1" i="3416"/>
  <c r="CK1" i="3416"/>
  <c r="CJ1" i="3416"/>
  <c r="CI1" i="3416"/>
  <c r="CH1" i="3416"/>
  <c r="CG1" i="3416"/>
  <c r="CF1" i="3416"/>
  <c r="CE1" i="3416"/>
  <c r="CD1" i="3416"/>
  <c r="CC1" i="3416"/>
  <c r="CB1" i="3416"/>
  <c r="CA1" i="3416"/>
  <c r="BZ1" i="3416"/>
  <c r="BY1" i="3416"/>
  <c r="BX1" i="3416"/>
  <c r="BW1" i="3416"/>
  <c r="BV1" i="3416"/>
  <c r="BU1" i="3416"/>
  <c r="BT1" i="3416"/>
  <c r="BS1" i="3416"/>
  <c r="BR1" i="3416"/>
  <c r="BQ1" i="3416"/>
  <c r="BP1" i="3416"/>
  <c r="BO1" i="3416"/>
  <c r="BN1" i="3416"/>
  <c r="BM1" i="3416"/>
  <c r="BL1" i="3416"/>
  <c r="BK1" i="3416"/>
  <c r="BJ1" i="3416"/>
  <c r="BI1" i="3416"/>
  <c r="BH1" i="3416"/>
  <c r="BG1" i="3416"/>
  <c r="BF1" i="3416"/>
  <c r="BE1" i="3416"/>
  <c r="BD1" i="3416"/>
  <c r="BC1" i="3416"/>
  <c r="BB1" i="3416"/>
  <c r="BA1" i="3416"/>
  <c r="AZ1" i="3416"/>
  <c r="AY1" i="3416"/>
  <c r="AX1" i="3416"/>
  <c r="AW1" i="3416"/>
  <c r="AV1" i="3416"/>
  <c r="AU1" i="3416"/>
  <c r="AT1" i="3416"/>
  <c r="AS1" i="3416"/>
  <c r="AR1" i="3416"/>
  <c r="AQ1" i="3416"/>
  <c r="AP1" i="3416"/>
  <c r="AO1" i="3416"/>
  <c r="AN1" i="3416"/>
  <c r="AM1" i="3416"/>
  <c r="AL1" i="3416"/>
  <c r="AK1" i="3416"/>
  <c r="AJ1" i="3416"/>
  <c r="AI1" i="3416"/>
  <c r="AH1" i="3416"/>
  <c r="AG1" i="3416"/>
  <c r="AF1" i="3416"/>
  <c r="AE1" i="3416"/>
  <c r="AD1" i="3416"/>
  <c r="AC1" i="3416"/>
  <c r="AB1" i="3416"/>
  <c r="AA1" i="3416"/>
  <c r="Z1" i="3416"/>
  <c r="Y1" i="3416"/>
  <c r="X1" i="3416"/>
  <c r="W1" i="3416"/>
  <c r="V1" i="3416"/>
  <c r="U1" i="3416"/>
  <c r="T1" i="3416"/>
  <c r="S1" i="3416"/>
  <c r="R1" i="3416"/>
  <c r="Q1" i="3416"/>
  <c r="P1" i="3416"/>
  <c r="O1" i="3416"/>
  <c r="N1" i="3416"/>
  <c r="M1" i="3416"/>
  <c r="L1" i="3416"/>
  <c r="K1" i="3416"/>
  <c r="J1" i="3416"/>
  <c r="I1" i="3416"/>
  <c r="H1" i="3416"/>
  <c r="G1" i="3416"/>
  <c r="F1" i="3416"/>
  <c r="E1" i="3416"/>
  <c r="D1" i="3416"/>
  <c r="P45" i="3448" l="1" a="1"/>
  <c r="P45" i="3448" s="1"/>
  <c r="BL45" i="3448" a="1"/>
  <c r="BL45" i="3448" s="1"/>
  <c r="AH56" i="3448" a="1"/>
  <c r="AH56" i="3448" s="1"/>
  <c r="BJ43" i="3419"/>
  <c r="BF60" i="3419"/>
  <c r="BA21" i="3419"/>
  <c r="BH36" i="3419"/>
  <c r="BH19" i="3419"/>
  <c r="BG57" i="3419"/>
  <c r="F31" i="3444" a="1"/>
  <c r="F31" i="3444" s="1"/>
  <c r="G74" i="3560" a="1"/>
  <c r="G74" i="3560" s="1"/>
  <c r="E85" i="3448" a="1"/>
  <c r="E85" i="3448" s="1"/>
  <c r="N85" i="3448" a="1"/>
  <c r="N85" i="3448" s="1"/>
  <c r="BA61" i="3419"/>
  <c r="N193" i="3445" a="1"/>
  <c r="N193" i="3445" s="1"/>
  <c r="AP31" i="3479"/>
  <c r="AD19" i="3576"/>
  <c r="BA19" i="3419"/>
  <c r="BD22" i="3419"/>
  <c r="AD66" i="3448" a="1"/>
  <c r="AD66" i="3448" s="1"/>
  <c r="BF15" i="3419"/>
  <c r="W67" i="3448" a="1"/>
  <c r="W67" i="3448" s="1"/>
  <c r="J156" i="3445" a="1"/>
  <c r="J156" i="3445" s="1"/>
  <c r="O248" i="3445"/>
  <c r="C30" i="3576"/>
  <c r="BA35" i="3419"/>
  <c r="BA58" i="3419"/>
  <c r="AI67" i="3448" a="1"/>
  <c r="AI67" i="3448" s="1"/>
  <c r="BE26" i="3419"/>
  <c r="BD46" i="3419"/>
  <c r="BF26" i="3419"/>
  <c r="A23" i="3576"/>
  <c r="A32" i="3576"/>
  <c r="A41" i="3576"/>
  <c r="A50" i="3576"/>
  <c r="A59" i="3576"/>
  <c r="A68" i="3576"/>
  <c r="A77" i="3576"/>
  <c r="A86" i="3576"/>
  <c r="BA27" i="3419"/>
  <c r="Z41" i="3448" a="1"/>
  <c r="Z41" i="3448" s="1"/>
  <c r="N221" i="3445" a="1"/>
  <c r="N221" i="3445" s="1"/>
  <c r="R42" i="3448" a="1"/>
  <c r="R42" i="3448" s="1"/>
  <c r="BH16" i="3419"/>
  <c r="BF34" i="3419"/>
  <c r="Y42" i="3448" a="1"/>
  <c r="Y42" i="3448" s="1"/>
  <c r="BC52" i="3419"/>
  <c r="AF42" i="3448" a="1"/>
  <c r="AF42" i="3448" s="1"/>
  <c r="H36" i="3528" a="1"/>
  <c r="H36" i="3528" s="1"/>
  <c r="AU42" i="3448" a="1"/>
  <c r="AU42" i="3448" s="1"/>
  <c r="BG41" i="3419"/>
  <c r="BE43" i="3419"/>
  <c r="BD29" i="3419"/>
  <c r="BZ95" i="3448"/>
  <c r="BZ96" i="3448" s="1"/>
  <c r="AO13" i="3448" a="1"/>
  <c r="AO13" i="3448" s="1"/>
  <c r="AO8" i="3448" s="1"/>
  <c r="X66" i="3448" a="1"/>
  <c r="X66" i="3448" s="1"/>
  <c r="BM13" i="3448" a="1"/>
  <c r="BM13" i="3448" s="1"/>
  <c r="BM8" i="3448" s="1"/>
  <c r="Y66" i="3448" a="1"/>
  <c r="Y66" i="3448" s="1"/>
  <c r="Y96" i="3448"/>
  <c r="AC96" i="3448" s="1"/>
  <c r="K120" i="3445" a="1"/>
  <c r="K120" i="3445" s="1"/>
  <c r="L120" i="3445" s="1"/>
  <c r="M120" i="3445" s="1"/>
  <c r="BD41" i="3419"/>
  <c r="AJ66" i="3448" a="1"/>
  <c r="AJ66" i="3448" s="1"/>
  <c r="E24" i="3576" a="1"/>
  <c r="E24" i="3576" s="1"/>
  <c r="AV66" i="3448" a="1"/>
  <c r="AV66" i="3448" s="1"/>
  <c r="V22" i="3448" a="1"/>
  <c r="V22" i="3448" s="1"/>
  <c r="BB24" i="3419"/>
  <c r="BH59" i="3419"/>
  <c r="W22" i="3448" a="1"/>
  <c r="W22" i="3448" s="1"/>
  <c r="N41" i="3448" a="1"/>
  <c r="N41" i="3448" s="1"/>
  <c r="AE61" i="3448" a="1"/>
  <c r="AE61" i="3448" s="1"/>
  <c r="Q221" i="3445"/>
  <c r="BE38" i="3419"/>
  <c r="BH22" i="3448" a="1"/>
  <c r="BH22" i="3448" s="1"/>
  <c r="U41" i="3448" a="1"/>
  <c r="U41" i="3448" s="1"/>
  <c r="AL61" i="3448" a="1"/>
  <c r="AL61" i="3448" s="1"/>
  <c r="BJ29" i="3419"/>
  <c r="BA30" i="3419"/>
  <c r="BI49" i="3419"/>
  <c r="Z67" i="3448" a="1"/>
  <c r="Z67" i="3448" s="1"/>
  <c r="S168" i="3445" a="1"/>
  <c r="S168" i="3445" s="1"/>
  <c r="BI31" i="3419"/>
  <c r="BC51" i="3419"/>
  <c r="AC67" i="3448" a="1"/>
  <c r="AC67" i="3448" s="1"/>
  <c r="I108" i="3445" a="1"/>
  <c r="I108" i="3445" s="1"/>
  <c r="T168" i="3445"/>
  <c r="T188" i="3445"/>
  <c r="BE56" i="3419"/>
  <c r="AJ67" i="3448" a="1"/>
  <c r="AJ67" i="3448" s="1"/>
  <c r="P226" i="3445"/>
  <c r="A191" i="3445"/>
  <c r="R83" i="3448" a="1"/>
  <c r="R83" i="3448" s="1"/>
  <c r="BF53" i="3419"/>
  <c r="AG42" i="3448" a="1"/>
  <c r="AG42" i="3448" s="1"/>
  <c r="AI83" i="3448" a="1"/>
  <c r="AI83" i="3448" s="1"/>
  <c r="T130" i="3445"/>
  <c r="J191" i="3445" a="1"/>
  <c r="J191" i="3445" s="1"/>
  <c r="BJ38" i="3419"/>
  <c r="AI42" i="3448" a="1"/>
  <c r="AI42" i="3448" s="1"/>
  <c r="AO83" i="3448" a="1"/>
  <c r="AO83" i="3448" s="1"/>
  <c r="K191" i="3445" a="1"/>
  <c r="K191" i="3445" s="1"/>
  <c r="L191" i="3445" s="1"/>
  <c r="M191" i="3445" s="1"/>
  <c r="L48" i="3560"/>
  <c r="BF48" i="3419"/>
  <c r="AP83" i="3448" a="1"/>
  <c r="AP83" i="3448" s="1"/>
  <c r="N191" i="3445" a="1"/>
  <c r="N191" i="3445" s="1"/>
  <c r="BH21" i="3419"/>
  <c r="BA39" i="3419"/>
  <c r="I13" i="3448" a="1"/>
  <c r="I13" i="3448" s="1"/>
  <c r="E22" i="3523" s="1"/>
  <c r="F22" i="3523" s="1" a="1"/>
  <c r="F22" i="3523" s="1"/>
  <c r="L22" i="3523" s="1" a="1"/>
  <c r="L22" i="3523" s="1"/>
  <c r="BJ21" i="3419"/>
  <c r="L13" i="3448" a="1"/>
  <c r="L13" i="3448" s="1"/>
  <c r="BC42" i="3419"/>
  <c r="BJ48" i="3419"/>
  <c r="B104" i="3528"/>
  <c r="BI30" i="3419"/>
  <c r="BI40" i="3419"/>
  <c r="O13" i="3448" a="1"/>
  <c r="O13" i="3448" s="1"/>
  <c r="O193" i="3445"/>
  <c r="K254" i="3445" a="1"/>
  <c r="K254" i="3445" s="1"/>
  <c r="L254" i="3445" s="1"/>
  <c r="M254" i="3445" s="1"/>
  <c r="BJ40" i="3419"/>
  <c r="AL13" i="3448" a="1"/>
  <c r="AL13" i="3448" s="1"/>
  <c r="AL8" i="3448" s="1"/>
  <c r="BH70" i="3448" a="1"/>
  <c r="BH70" i="3448" s="1"/>
  <c r="H39" i="3444" a="1"/>
  <c r="H39" i="3444" s="1"/>
  <c r="H158" i="3445"/>
  <c r="O254" i="3445"/>
  <c r="BJ58" i="3419"/>
  <c r="V66" i="3448" a="1"/>
  <c r="V66" i="3448" s="1"/>
  <c r="Q254" i="3445"/>
  <c r="K32" i="3528" a="1"/>
  <c r="K32" i="3528" s="1"/>
  <c r="K135" i="3528" s="1" a="1"/>
  <c r="K135" i="3528" s="1"/>
  <c r="AA135" i="3528" s="1"/>
  <c r="S32" i="3528" a="1"/>
  <c r="S32" i="3528" s="1"/>
  <c r="S100" i="3528" s="1" a="1"/>
  <c r="S100" i="3528" s="1"/>
  <c r="BL26" i="3448" a="1"/>
  <c r="BL26" i="3448" s="1"/>
  <c r="Q26" i="3448" a="1"/>
  <c r="Q26" i="3448" s="1"/>
  <c r="N173" i="3445" a="1"/>
  <c r="N173" i="3445" s="1"/>
  <c r="A173" i="3445"/>
  <c r="D77" i="3436" a="1"/>
  <c r="D77" i="3436" s="1"/>
  <c r="F77" i="3436" a="1"/>
  <c r="F77" i="3436" s="1"/>
  <c r="C77" i="3436" a="1"/>
  <c r="C77" i="3436" s="1"/>
  <c r="BB50" i="3419"/>
  <c r="G36" i="3528" a="1"/>
  <c r="G36" i="3528" s="1"/>
  <c r="E31" i="3436" a="1"/>
  <c r="E31" i="3436" s="1"/>
  <c r="BJ16" i="3419"/>
  <c r="BA55" i="3419"/>
  <c r="BE59" i="3419"/>
  <c r="AE42" i="3448" a="1"/>
  <c r="AE42" i="3448" s="1"/>
  <c r="BK45" i="3448" a="1"/>
  <c r="BK45" i="3448" s="1"/>
  <c r="AT66" i="3448" a="1"/>
  <c r="AT66" i="3448" s="1"/>
  <c r="N254" i="3445" a="1"/>
  <c r="N254" i="3445" s="1"/>
  <c r="K36" i="3528" a="1"/>
  <c r="K36" i="3528" s="1"/>
  <c r="K70" i="3528" s="1" a="1"/>
  <c r="K70" i="3528" s="1"/>
  <c r="BB51" i="3419"/>
  <c r="AW66" i="3448" a="1"/>
  <c r="AW66" i="3448" s="1"/>
  <c r="H26" i="3489" a="1"/>
  <c r="H26" i="3489" s="1"/>
  <c r="K107" i="3445" a="1"/>
  <c r="K107" i="3445" s="1"/>
  <c r="L107" i="3445" s="1"/>
  <c r="M107" i="3445" s="1"/>
  <c r="P254" i="3445"/>
  <c r="M36" i="3528" a="1"/>
  <c r="M36" i="3528" s="1"/>
  <c r="BD15" i="3419"/>
  <c r="BJ19" i="3419"/>
  <c r="S36" i="3528" a="1"/>
  <c r="S36" i="3528" s="1"/>
  <c r="BF24" i="3419"/>
  <c r="BF32" i="3419"/>
  <c r="BB40" i="3419"/>
  <c r="BH46" i="3419"/>
  <c r="AL54" i="3448" a="1"/>
  <c r="AL54" i="3448" s="1"/>
  <c r="AH64" i="3448" a="1"/>
  <c r="AH64" i="3448" s="1"/>
  <c r="BA50" i="3419"/>
  <c r="BD42" i="3448" a="1"/>
  <c r="BD42" i="3448" s="1"/>
  <c r="AI64" i="3448" a="1"/>
  <c r="AI64" i="3448" s="1"/>
  <c r="AS23" i="3444" a="1"/>
  <c r="AS23" i="3444" s="1"/>
  <c r="T108" i="3445"/>
  <c r="BF43" i="3419"/>
  <c r="BD54" i="3419"/>
  <c r="AP13" i="3448" a="1"/>
  <c r="AP13" i="3448" s="1"/>
  <c r="AP8" i="3448" s="1"/>
  <c r="BE42" i="3448" a="1"/>
  <c r="BE42" i="3448" s="1"/>
  <c r="AQ64" i="3448" a="1"/>
  <c r="AQ64" i="3448" s="1"/>
  <c r="T67" i="3448" a="1"/>
  <c r="T67" i="3448" s="1"/>
  <c r="BG23" i="3444" a="1"/>
  <c r="BG23" i="3444" s="1"/>
  <c r="Q191" i="3445"/>
  <c r="BC14" i="3419"/>
  <c r="BE29" i="3419"/>
  <c r="BH62" i="3419"/>
  <c r="BB23" i="3419"/>
  <c r="BI34" i="3419"/>
  <c r="BD37" i="3419"/>
  <c r="R61" i="3448" a="1"/>
  <c r="R61" i="3448" s="1"/>
  <c r="G49" i="3560" a="1"/>
  <c r="G49" i="3560" s="1"/>
  <c r="BD26" i="3419"/>
  <c r="BC28" i="3419"/>
  <c r="BE50" i="3419"/>
  <c r="BD58" i="3419"/>
  <c r="BA60" i="3419"/>
  <c r="AC61" i="3448" a="1"/>
  <c r="AC61" i="3448" s="1"/>
  <c r="A181" i="3445"/>
  <c r="BB61" i="3419"/>
  <c r="BD57" i="3419"/>
  <c r="AH61" i="3448" a="1"/>
  <c r="AH61" i="3448" s="1"/>
  <c r="D74" i="3448" a="1"/>
  <c r="D74" i="3448" s="1"/>
  <c r="BR74" i="3448" s="1" a="1"/>
  <c r="BR74" i="3448" s="1"/>
  <c r="BV74" i="3448" s="1" a="1"/>
  <c r="BV74" i="3448" s="1"/>
  <c r="J130" i="3445" a="1"/>
  <c r="J130" i="3445" s="1"/>
  <c r="S212" i="3445" a="1"/>
  <c r="S212" i="3445" s="1"/>
  <c r="BG26" i="3419"/>
  <c r="S130" i="3445" a="1"/>
  <c r="S130" i="3445" s="1"/>
  <c r="K181" i="3445" a="1"/>
  <c r="K181" i="3445" s="1"/>
  <c r="L181" i="3445" s="1"/>
  <c r="M181" i="3445" s="1"/>
  <c r="I44" i="3448" a="1"/>
  <c r="I44" i="3448" s="1"/>
  <c r="BE39" i="3419"/>
  <c r="Q44" i="3448" a="1"/>
  <c r="Q44" i="3448" s="1"/>
  <c r="AM61" i="3448" a="1"/>
  <c r="AM61" i="3448" s="1"/>
  <c r="P74" i="3448" a="1"/>
  <c r="P74" i="3448" s="1"/>
  <c r="H74" i="3560" a="1"/>
  <c r="H74" i="3560" s="1"/>
  <c r="BD44" i="3419"/>
  <c r="BC57" i="3419"/>
  <c r="V44" i="3448" a="1"/>
  <c r="V44" i="3448" s="1"/>
  <c r="AT61" i="3448" a="1"/>
  <c r="AT61" i="3448" s="1"/>
  <c r="Q74" i="3448" a="1"/>
  <c r="Q74" i="3448" s="1"/>
  <c r="BE32" i="3479"/>
  <c r="BG17" i="3419"/>
  <c r="BB44" i="3419"/>
  <c r="AG57" i="3448" a="1"/>
  <c r="AG57" i="3448" s="1"/>
  <c r="AG74" i="3448" a="1"/>
  <c r="AG74" i="3448" s="1"/>
  <c r="B541" i="3449" a="1"/>
  <c r="B541" i="3449" s="1"/>
  <c r="BA16" i="3419"/>
  <c r="BA22" i="3419"/>
  <c r="BH39" i="3419"/>
  <c r="BE57" i="3419"/>
  <c r="BL61" i="3448" a="1"/>
  <c r="BL61" i="3448" s="1"/>
  <c r="AK74" i="3448" a="1"/>
  <c r="AK74" i="3448" s="1"/>
  <c r="F70" i="3444" a="1"/>
  <c r="F70" i="3444" s="1"/>
  <c r="AM70" i="3444" s="1" a="1"/>
  <c r="AM70" i="3444" s="1"/>
  <c r="BJ20" i="3419"/>
  <c r="BB22" i="3419"/>
  <c r="BI28" i="3419"/>
  <c r="BE36" i="3419"/>
  <c r="BI44" i="3419"/>
  <c r="BA52" i="3419"/>
  <c r="Z66" i="3448" a="1"/>
  <c r="Z66" i="3448" s="1"/>
  <c r="AT74" i="3448" a="1"/>
  <c r="AT74" i="3448" s="1"/>
  <c r="AW74" i="3448" a="1"/>
  <c r="AW74" i="3448" s="1"/>
  <c r="L42" i="3448" a="1"/>
  <c r="L42" i="3448" s="1"/>
  <c r="BA58" i="3448" a="1"/>
  <c r="BA58" i="3448" s="1"/>
  <c r="AX74" i="3448" a="1"/>
  <c r="AX74" i="3448" s="1"/>
  <c r="O217" i="3445"/>
  <c r="B544" i="3449" a="1"/>
  <c r="B544" i="3449" s="1"/>
  <c r="BJ57" i="3419"/>
  <c r="BG59" i="3419"/>
  <c r="AG66" i="3448" a="1"/>
  <c r="AG66" i="3448" s="1"/>
  <c r="AY74" i="3448" a="1"/>
  <c r="AY74" i="3448" s="1"/>
  <c r="BG47" i="3419"/>
  <c r="BG56" i="3419"/>
  <c r="BF74" i="3448" a="1"/>
  <c r="BF74" i="3448" s="1"/>
  <c r="C31" i="3436" a="1"/>
  <c r="C31" i="3436" s="1"/>
  <c r="BH47" i="3419"/>
  <c r="AS66" i="3448" a="1"/>
  <c r="AS66" i="3448" s="1"/>
  <c r="F36" i="3444" a="1"/>
  <c r="F36" i="3444" s="1"/>
  <c r="N138" i="3445" a="1"/>
  <c r="N138" i="3445" s="1"/>
  <c r="A45" i="3560"/>
  <c r="H258" i="3445"/>
  <c r="T258" i="3445"/>
  <c r="T166" i="3445"/>
  <c r="N166" i="3445" a="1"/>
  <c r="N166" i="3445" s="1"/>
  <c r="A166" i="3445"/>
  <c r="E67" i="3444" a="1"/>
  <c r="E67" i="3444" s="1"/>
  <c r="A67" i="3444" s="1"/>
  <c r="H67" i="3444" a="1"/>
  <c r="H67" i="3444" s="1"/>
  <c r="F67" i="3444" a="1"/>
  <c r="F67" i="3444" s="1"/>
  <c r="AB67" i="3444" s="1" a="1"/>
  <c r="AB67" i="3444" s="1"/>
  <c r="G89" i="3560" a="1"/>
  <c r="G89" i="3560" s="1"/>
  <c r="M89" i="3560" a="1"/>
  <c r="M89" i="3560" s="1"/>
  <c r="H89" i="3560" a="1"/>
  <c r="H89" i="3560" s="1"/>
  <c r="J89" i="3560" s="1"/>
  <c r="M63" i="3560" a="1"/>
  <c r="M63" i="3560" s="1"/>
  <c r="H63" i="3560" a="1"/>
  <c r="H63" i="3560" s="1"/>
  <c r="K63" i="3560" s="1"/>
  <c r="G90" i="3489" a="1"/>
  <c r="G90" i="3489" s="1"/>
  <c r="H138" i="3445"/>
  <c r="H216" i="3445"/>
  <c r="T216" i="3445"/>
  <c r="J216" i="3445" a="1"/>
  <c r="J216" i="3445" s="1"/>
  <c r="S216" i="3445" a="1"/>
  <c r="S216" i="3445" s="1"/>
  <c r="Q216" i="3445"/>
  <c r="P216" i="3445"/>
  <c r="O216" i="3445"/>
  <c r="N216" i="3445" a="1"/>
  <c r="N216" i="3445" s="1"/>
  <c r="K243" i="3445" a="1"/>
  <c r="K243" i="3445" s="1"/>
  <c r="L243" i="3445" s="1"/>
  <c r="M243" i="3445" s="1"/>
  <c r="BE30" i="3479"/>
  <c r="CN31" i="3569" a="1"/>
  <c r="CN31" i="3569" s="1"/>
  <c r="CP31" i="3569" s="1"/>
  <c r="BB25" i="3419"/>
  <c r="BF52" i="3419"/>
  <c r="AD28" i="3448" a="1"/>
  <c r="AD28" i="3448" s="1"/>
  <c r="H90" i="3489" a="1"/>
  <c r="H90" i="3489" s="1"/>
  <c r="Q201" i="3445"/>
  <c r="S201" i="3445" a="1"/>
  <c r="S201" i="3445" s="1"/>
  <c r="P201" i="3445"/>
  <c r="P243" i="3445"/>
  <c r="D43" i="3436" a="1"/>
  <c r="D43" i="3436" s="1"/>
  <c r="BD62" i="3419"/>
  <c r="BF62" i="3419"/>
  <c r="H23" i="3489" a="1"/>
  <c r="H23" i="3489" s="1"/>
  <c r="J149" i="3445" a="1"/>
  <c r="J149" i="3445" s="1"/>
  <c r="P162" i="3445"/>
  <c r="H174" i="3445"/>
  <c r="K199" i="3445" a="1"/>
  <c r="K199" i="3445" s="1"/>
  <c r="L199" i="3445" s="1"/>
  <c r="M199" i="3445" s="1"/>
  <c r="G57" i="3560" a="1"/>
  <c r="G57" i="3560" s="1"/>
  <c r="D32" i="3436" a="1"/>
  <c r="D32" i="3436" s="1"/>
  <c r="C51" i="3436" a="1"/>
  <c r="C51" i="3436" s="1"/>
  <c r="F51" i="3436" a="1"/>
  <c r="F51" i="3436" s="1"/>
  <c r="AZ72" i="3448" a="1"/>
  <c r="AZ72" i="3448" s="1"/>
  <c r="BA72" i="3448" a="1"/>
  <c r="BA72" i="3448" s="1"/>
  <c r="BF72" i="3448" a="1"/>
  <c r="BF72" i="3448" s="1"/>
  <c r="BB72" i="3448" a="1"/>
  <c r="BB72" i="3448" s="1"/>
  <c r="AY72" i="3448" a="1"/>
  <c r="AY72" i="3448" s="1"/>
  <c r="BJ75" i="3448" a="1"/>
  <c r="BJ75" i="3448" s="1"/>
  <c r="AX75" i="3448" a="1"/>
  <c r="AX75" i="3448" s="1"/>
  <c r="I75" i="3448" a="1"/>
  <c r="I75" i="3448" s="1"/>
  <c r="E62" i="3523" s="1"/>
  <c r="F62" i="3523" s="1" a="1"/>
  <c r="F62" i="3523" s="1"/>
  <c r="AP75" i="3448" a="1"/>
  <c r="AP75" i="3448" s="1"/>
  <c r="AO75" i="3448" a="1"/>
  <c r="AO75" i="3448" s="1"/>
  <c r="AJ75" i="3448" a="1"/>
  <c r="AJ75" i="3448" s="1"/>
  <c r="W75" i="3448" a="1"/>
  <c r="W75" i="3448" s="1"/>
  <c r="P75" i="3448" a="1"/>
  <c r="P75" i="3448" s="1"/>
  <c r="AQ80" i="3448" a="1"/>
  <c r="AQ80" i="3448" s="1"/>
  <c r="AN80" i="3448" a="1"/>
  <c r="AN80" i="3448" s="1"/>
  <c r="E27" i="3576" a="1"/>
  <c r="E27" i="3576" s="1"/>
  <c r="K149" i="3445" a="1"/>
  <c r="K149" i="3445" s="1"/>
  <c r="L149" i="3445" s="1"/>
  <c r="M149" i="3445" s="1"/>
  <c r="I174" i="3445" a="1"/>
  <c r="I174" i="3445" s="1"/>
  <c r="P199" i="3445"/>
  <c r="H57" i="3560" a="1"/>
  <c r="H57" i="3560" s="1"/>
  <c r="E32" i="3436" a="1"/>
  <c r="E32" i="3436" s="1"/>
  <c r="BB28" i="3419"/>
  <c r="BC31" i="3419"/>
  <c r="E75" i="3448" a="1"/>
  <c r="E75" i="3448" s="1"/>
  <c r="G62" i="3523" s="1"/>
  <c r="E80" i="3448" a="1"/>
  <c r="E80" i="3448" s="1"/>
  <c r="G69" i="3523" s="1"/>
  <c r="A138" i="3445"/>
  <c r="T138" i="3445"/>
  <c r="P138" i="3445"/>
  <c r="N174" i="3445" a="1"/>
  <c r="N174" i="3445" s="1"/>
  <c r="Q189" i="3445"/>
  <c r="A189" i="3445"/>
  <c r="F32" i="3436" a="1"/>
  <c r="F32" i="3436" s="1"/>
  <c r="E51" i="3436" a="1"/>
  <c r="E51" i="3436" s="1"/>
  <c r="BI22" i="3419"/>
  <c r="BD31" i="3419"/>
  <c r="BB60" i="3419"/>
  <c r="BE28" i="3419"/>
  <c r="BB45" i="3419"/>
  <c r="BG52" i="3419"/>
  <c r="AJ28" i="3448" a="1"/>
  <c r="AJ28" i="3448" s="1"/>
  <c r="R72" i="3448" a="1"/>
  <c r="R72" i="3448" s="1"/>
  <c r="N80" i="3448" a="1"/>
  <c r="N80" i="3448" s="1"/>
  <c r="J90" i="3489" a="1"/>
  <c r="J90" i="3489" s="1"/>
  <c r="J138" i="3445" a="1"/>
  <c r="J138" i="3445" s="1"/>
  <c r="I216" i="3445" a="1"/>
  <c r="I216" i="3445" s="1"/>
  <c r="Q243" i="3445"/>
  <c r="CJ51" i="3569" a="1"/>
  <c r="CJ51" i="3569" s="1"/>
  <c r="CN51" i="3569" a="1"/>
  <c r="CN51" i="3569" s="1"/>
  <c r="CP51" i="3569" s="1"/>
  <c r="B554" i="3449" a="1"/>
  <c r="B554" i="3449" s="1"/>
  <c r="B552" i="3449" a="1"/>
  <c r="B552" i="3449" s="1"/>
  <c r="BH28" i="3419"/>
  <c r="AM58" i="3448" a="1"/>
  <c r="AM58" i="3448" s="1"/>
  <c r="S72" i="3448" a="1"/>
  <c r="S72" i="3448" s="1"/>
  <c r="BA75" i="3448" a="1"/>
  <c r="BA75" i="3448" s="1"/>
  <c r="S80" i="3448" a="1"/>
  <c r="S80" i="3448" s="1"/>
  <c r="K138" i="3445" a="1"/>
  <c r="K138" i="3445" s="1"/>
  <c r="L138" i="3445" s="1"/>
  <c r="M138" i="3445" s="1"/>
  <c r="T201" i="3445"/>
  <c r="S243" i="3445" a="1"/>
  <c r="S243" i="3445" s="1"/>
  <c r="AA28" i="3479"/>
  <c r="AC28" i="3479" s="1" a="1"/>
  <c r="AC28" i="3479" s="1"/>
  <c r="AD28" i="3479" s="1" a="1"/>
  <c r="AD28" i="3479" s="1"/>
  <c r="CI33" i="3479"/>
  <c r="EQ37" i="3479"/>
  <c r="M32" i="3528" a="1"/>
  <c r="M32" i="3528" s="1"/>
  <c r="BF25" i="3419"/>
  <c r="BD45" i="3419"/>
  <c r="BH57" i="3419"/>
  <c r="U72" i="3448" a="1"/>
  <c r="U72" i="3448" s="1"/>
  <c r="BB75" i="3448" a="1"/>
  <c r="BB75" i="3448" s="1"/>
  <c r="Z80" i="3448" a="1"/>
  <c r="Z80" i="3448" s="1"/>
  <c r="A231" i="3445"/>
  <c r="BB18" i="3419"/>
  <c r="BB49" i="3419"/>
  <c r="BC55" i="3419"/>
  <c r="BJ60" i="3419"/>
  <c r="BB80" i="3448" a="1"/>
  <c r="BB80" i="3448" s="1"/>
  <c r="H83" i="3489" a="1"/>
  <c r="H83" i="3489" s="1"/>
  <c r="G92" i="3489" a="1"/>
  <c r="G92" i="3489" s="1"/>
  <c r="I218" i="3445" a="1"/>
  <c r="I218" i="3445" s="1"/>
  <c r="BF75" i="3448" a="1"/>
  <c r="BF75" i="3448" s="1"/>
  <c r="B526" i="3449" a="1"/>
  <c r="B526" i="3449" s="1"/>
  <c r="B527" i="3449" a="1"/>
  <c r="B527" i="3449" s="1"/>
  <c r="BA24" i="3419"/>
  <c r="BH75" i="3448" a="1"/>
  <c r="BH75" i="3448" s="1"/>
  <c r="J49" i="3489" a="1"/>
  <c r="J49" i="3489" s="1"/>
  <c r="H49" i="3489" a="1"/>
  <c r="H49" i="3489" s="1"/>
  <c r="O138" i="3445"/>
  <c r="I204" i="3445" a="1"/>
  <c r="I204" i="3445" s="1"/>
  <c r="K204" i="3445" a="1"/>
  <c r="K204" i="3445" s="1"/>
  <c r="L204" i="3445" s="1"/>
  <c r="M204" i="3445" s="1"/>
  <c r="BE55" i="3419"/>
  <c r="AY69" i="3448" a="1"/>
  <c r="AY69" i="3448" s="1"/>
  <c r="AX69" i="3448" a="1"/>
  <c r="AX69" i="3448" s="1"/>
  <c r="BB69" i="3448" a="1"/>
  <c r="BB69" i="3448" s="1"/>
  <c r="AR76" i="3448" a="1"/>
  <c r="AR76" i="3448" s="1"/>
  <c r="AN76" i="3448" a="1"/>
  <c r="AN76" i="3448" s="1"/>
  <c r="AD80" i="3448" a="1"/>
  <c r="AD80" i="3448" s="1"/>
  <c r="H38" i="3489" a="1"/>
  <c r="H38" i="3489" s="1"/>
  <c r="F49" i="3489" a="1"/>
  <c r="F49" i="3489" s="1"/>
  <c r="H218" i="3445"/>
  <c r="BC49" i="3419"/>
  <c r="BD55" i="3419"/>
  <c r="A129" i="3445"/>
  <c r="T129" i="3445"/>
  <c r="C76" i="3577"/>
  <c r="B76" i="3577"/>
  <c r="BC34" i="3419"/>
  <c r="C75" i="3577"/>
  <c r="AB80" i="3448" a="1"/>
  <c r="AB80" i="3448" s="1"/>
  <c r="H65" i="3560" a="1"/>
  <c r="H65" i="3560" s="1"/>
  <c r="J65" i="3560" s="1"/>
  <c r="M65" i="3560" a="1"/>
  <c r="M65" i="3560" s="1"/>
  <c r="G65" i="3560" a="1"/>
  <c r="G65" i="3560" s="1"/>
  <c r="BJ15" i="3419"/>
  <c r="I220" i="3445" a="1"/>
  <c r="I220" i="3445" s="1"/>
  <c r="BG55" i="3419"/>
  <c r="W48" i="3448" a="1"/>
  <c r="W48" i="3448" s="1"/>
  <c r="AG64" i="3448" a="1"/>
  <c r="AG64" i="3448" s="1"/>
  <c r="BG64" i="3448" a="1"/>
  <c r="BG64" i="3448" s="1"/>
  <c r="BD64" i="3448" a="1"/>
  <c r="BD64" i="3448" s="1"/>
  <c r="AV18" i="3448" a="1"/>
  <c r="AV18" i="3448" s="1"/>
  <c r="BB18" i="3448" a="1"/>
  <c r="BB18" i="3448" s="1"/>
  <c r="AZ18" i="3448" a="1"/>
  <c r="AZ18" i="3448" s="1"/>
  <c r="BC56" i="3448" a="1"/>
  <c r="BC56" i="3448" s="1"/>
  <c r="AU56" i="3448" a="1"/>
  <c r="AU56" i="3448" s="1"/>
  <c r="BQ56" i="3448" a="1"/>
  <c r="BQ56" i="3448" s="1"/>
  <c r="BU56" i="3448" s="1" a="1"/>
  <c r="BU56" i="3448" s="1"/>
  <c r="U56" i="3448" a="1"/>
  <c r="U56" i="3448" s="1"/>
  <c r="O56" i="3448" a="1"/>
  <c r="O56" i="3448" s="1"/>
  <c r="BC80" i="3448" a="1"/>
  <c r="BC80" i="3448" s="1"/>
  <c r="G36" i="3560" a="1"/>
  <c r="G36" i="3560" s="1"/>
  <c r="BJ42" i="3419"/>
  <c r="BC54" i="3419"/>
  <c r="P18" i="3448" a="1"/>
  <c r="P18" i="3448" s="1"/>
  <c r="X48" i="3448" a="1"/>
  <c r="X48" i="3448" s="1"/>
  <c r="AZ60" i="3448" a="1"/>
  <c r="AZ60" i="3448" s="1"/>
  <c r="H31" i="3436"/>
  <c r="Q235" i="3445"/>
  <c r="M36" i="3560" a="1"/>
  <c r="M36" i="3560" s="1"/>
  <c r="G26" i="3560" a="1"/>
  <c r="G26" i="3560" s="1"/>
  <c r="A143" i="3445"/>
  <c r="I143" i="3445" a="1"/>
  <c r="I143" i="3445" s="1"/>
  <c r="BI18" i="3419"/>
  <c r="T18" i="3448" a="1"/>
  <c r="T18" i="3448" s="1"/>
  <c r="I56" i="3448" a="1"/>
  <c r="I56" i="3448" s="1"/>
  <c r="E37" i="3523" s="1"/>
  <c r="F37" i="3523" s="1" a="1"/>
  <c r="F37" i="3523" s="1"/>
  <c r="AT70" i="3448" a="1"/>
  <c r="AT70" i="3448" s="1"/>
  <c r="M68" i="3560" a="1"/>
  <c r="M68" i="3560" s="1"/>
  <c r="BF42" i="3419"/>
  <c r="BE80" i="3448" a="1"/>
  <c r="BE80" i="3448" s="1"/>
  <c r="N182" i="3445" a="1"/>
  <c r="N182" i="3445" s="1"/>
  <c r="T182" i="3445"/>
  <c r="P182" i="3445"/>
  <c r="BD35" i="3419"/>
  <c r="BE54" i="3419"/>
  <c r="AF18" i="3448" a="1"/>
  <c r="AF18" i="3448" s="1"/>
  <c r="K26" i="3448" a="1"/>
  <c r="K26" i="3448" s="1"/>
  <c r="N56" i="3448" a="1"/>
  <c r="N56" i="3448" s="1"/>
  <c r="I64" i="3448" a="1"/>
  <c r="I64" i="3448" s="1"/>
  <c r="E49" i="3523" s="1"/>
  <c r="F49" i="3523" s="1" a="1"/>
  <c r="F49" i="3523" s="1"/>
  <c r="AV70" i="3448" a="1"/>
  <c r="AV70" i="3448" s="1"/>
  <c r="BK77" i="3448" a="1"/>
  <c r="BK77" i="3448" s="1"/>
  <c r="E22" i="3489" a="1"/>
  <c r="E22" i="3489" s="1"/>
  <c r="H22" i="3489" a="1"/>
  <c r="H22" i="3489" s="1"/>
  <c r="T146" i="3445"/>
  <c r="I146" i="3445" a="1"/>
  <c r="I146" i="3445" s="1"/>
  <c r="A146" i="3445"/>
  <c r="T184" i="3445"/>
  <c r="N184" i="3445" a="1"/>
  <c r="N184" i="3445" s="1"/>
  <c r="AI72" i="3448" a="1"/>
  <c r="AI72" i="3448" s="1"/>
  <c r="D56" i="3448" a="1"/>
  <c r="D56" i="3448" s="1"/>
  <c r="BR56" i="3448" s="1" a="1"/>
  <c r="BR56" i="3448" s="1"/>
  <c r="BV56" i="3448" s="1" a="1"/>
  <c r="BV56" i="3448" s="1"/>
  <c r="C65" i="3436" a="1"/>
  <c r="C65" i="3436" s="1"/>
  <c r="BA20" i="3419"/>
  <c r="BG20" i="3419"/>
  <c r="BF35" i="3419"/>
  <c r="BG54" i="3419"/>
  <c r="AQ18" i="3448" a="1"/>
  <c r="AQ18" i="3448" s="1"/>
  <c r="R64" i="3448" a="1"/>
  <c r="R64" i="3448" s="1"/>
  <c r="BF70" i="3448" a="1"/>
  <c r="BF70" i="3448" s="1"/>
  <c r="T160" i="3445"/>
  <c r="N222" i="3445" a="1"/>
  <c r="N222" i="3445" s="1"/>
  <c r="Q222" i="3445"/>
  <c r="BC62" i="3419"/>
  <c r="Q161" i="3445"/>
  <c r="BG29" i="3419"/>
  <c r="E43" i="3436" a="1"/>
  <c r="E43" i="3436" s="1"/>
  <c r="AL62" i="3448" a="1"/>
  <c r="AL62" i="3448" s="1"/>
  <c r="AE62" i="3448" a="1"/>
  <c r="AE62" i="3448" s="1"/>
  <c r="BE62" i="3448" a="1"/>
  <c r="BE62" i="3448" s="1"/>
  <c r="BD62" i="3448" a="1"/>
  <c r="BD62" i="3448" s="1"/>
  <c r="N62" i="3448" a="1"/>
  <c r="N62" i="3448" s="1"/>
  <c r="AT62" i="3448" a="1"/>
  <c r="AT62" i="3448" s="1"/>
  <c r="AF62" i="3448" a="1"/>
  <c r="AF62" i="3448" s="1"/>
  <c r="BD18" i="3419"/>
  <c r="BC53" i="3419"/>
  <c r="P26" i="3448" a="1"/>
  <c r="P26" i="3448" s="1"/>
  <c r="BI42" i="3448" a="1"/>
  <c r="BI42" i="3448" s="1"/>
  <c r="BM42" i="3448" a="1"/>
  <c r="BM42" i="3448" s="1"/>
  <c r="AH42" i="3448" a="1"/>
  <c r="AH42" i="3448" s="1"/>
  <c r="T45" i="3448" a="1"/>
  <c r="T45" i="3448" s="1"/>
  <c r="S45" i="3448" a="1"/>
  <c r="S45" i="3448" s="1"/>
  <c r="V56" i="3448" a="1"/>
  <c r="V56" i="3448" s="1"/>
  <c r="Y64" i="3448" a="1"/>
  <c r="Y64" i="3448" s="1"/>
  <c r="BG70" i="3448" a="1"/>
  <c r="BG70" i="3448" s="1"/>
  <c r="G22" i="3489" a="1"/>
  <c r="G22" i="3489" s="1"/>
  <c r="AK22" i="3489" s="1" a="1"/>
  <c r="AK22" i="3489" s="1"/>
  <c r="N25" i="3445" a="1"/>
  <c r="N25" i="3445" s="1"/>
  <c r="T100" i="3445"/>
  <c r="S100" i="3445" a="1"/>
  <c r="S100" i="3445" s="1"/>
  <c r="CJ27" i="3569" a="1"/>
  <c r="CJ27" i="3569" s="1"/>
  <c r="CN27" i="3569" a="1"/>
  <c r="CN27" i="3569" s="1"/>
  <c r="CP27" i="3569" s="1"/>
  <c r="BE14" i="3419"/>
  <c r="BB17" i="3419"/>
  <c r="BI25" i="3419"/>
  <c r="BA41" i="3419"/>
  <c r="BE41" i="3419"/>
  <c r="BE60" i="3419"/>
  <c r="BG61" i="3419"/>
  <c r="BI62" i="3419"/>
  <c r="AK66" i="3448" a="1"/>
  <c r="AK66" i="3448" s="1"/>
  <c r="I192" i="3445" a="1"/>
  <c r="I192" i="3445" s="1"/>
  <c r="M54" i="3560" a="1"/>
  <c r="M54" i="3560" s="1"/>
  <c r="BC13" i="3419"/>
  <c r="BF14" i="3419"/>
  <c r="BD28" i="3419"/>
  <c r="BB31" i="3419"/>
  <c r="BB34" i="3419"/>
  <c r="BB41" i="3419"/>
  <c r="BE53" i="3419"/>
  <c r="BJ61" i="3419"/>
  <c r="BM61" i="3448" a="1"/>
  <c r="BM61" i="3448" s="1"/>
  <c r="AL66" i="3448" a="1"/>
  <c r="AL66" i="3448" s="1"/>
  <c r="BE74" i="3448" a="1"/>
  <c r="BE74" i="3448" s="1"/>
  <c r="Q173" i="3445"/>
  <c r="K257" i="3445" a="1"/>
  <c r="K257" i="3445" s="1"/>
  <c r="L257" i="3445" s="1"/>
  <c r="M257" i="3445" s="1"/>
  <c r="H45" i="3560" a="1"/>
  <c r="H45" i="3560" s="1"/>
  <c r="J45" i="3560" s="1"/>
  <c r="BF44" i="3419"/>
  <c r="BE49" i="3419"/>
  <c r="AX66" i="3448" a="1"/>
  <c r="AX66" i="3448" s="1"/>
  <c r="BF23" i="3419"/>
  <c r="BA33" i="3419"/>
  <c r="BB48" i="3419"/>
  <c r="BH49" i="3419"/>
  <c r="BG51" i="3419"/>
  <c r="BC58" i="3419"/>
  <c r="AU41" i="3448" a="1"/>
  <c r="AU41" i="3448" s="1"/>
  <c r="BB66" i="3448" a="1"/>
  <c r="BB66" i="3448" s="1"/>
  <c r="A205" i="3445"/>
  <c r="T223" i="3445"/>
  <c r="Q261" i="3445"/>
  <c r="M45" i="3560" a="1"/>
  <c r="M45" i="3560" s="1"/>
  <c r="BC40" i="3419"/>
  <c r="BE51" i="3419"/>
  <c r="BH13" i="3419"/>
  <c r="BH23" i="3419"/>
  <c r="BB30" i="3419"/>
  <c r="BB33" i="3419"/>
  <c r="BJ44" i="3419"/>
  <c r="AV41" i="3448" a="1"/>
  <c r="AV41" i="3448" s="1"/>
  <c r="I66" i="3448" a="1"/>
  <c r="I66" i="3448" s="1"/>
  <c r="E51" i="3523" s="1"/>
  <c r="F51" i="3523" s="1" a="1"/>
  <c r="F51" i="3523" s="1"/>
  <c r="BI66" i="3448" a="1"/>
  <c r="BI66" i="3448" s="1"/>
  <c r="AB94" i="3448"/>
  <c r="T261" i="3445"/>
  <c r="BD20" i="3419"/>
  <c r="BH41" i="3419"/>
  <c r="BD16" i="3419"/>
  <c r="BJ31" i="3419"/>
  <c r="BI13" i="3419"/>
  <c r="BA36" i="3419"/>
  <c r="BH40" i="3419"/>
  <c r="BC47" i="3419"/>
  <c r="BJ49" i="3419"/>
  <c r="AJ16" i="3448" a="1"/>
  <c r="AJ16" i="3448" s="1"/>
  <c r="BC41" i="3448" a="1"/>
  <c r="BC41" i="3448" s="1"/>
  <c r="N66" i="3448" a="1"/>
  <c r="N66" i="3448" s="1"/>
  <c r="BJ66" i="3448" a="1"/>
  <c r="BJ66" i="3448" s="1"/>
  <c r="AC94" i="3448"/>
  <c r="F24" i="3576" a="1"/>
  <c r="F24" i="3576" s="1"/>
  <c r="E45" i="3489" a="1"/>
  <c r="E45" i="3489" s="1"/>
  <c r="S120" i="3445" a="1"/>
  <c r="S120" i="3445" s="1"/>
  <c r="K168" i="3445" a="1"/>
  <c r="K168" i="3445" s="1"/>
  <c r="L168" i="3445" s="1"/>
  <c r="M168" i="3445" s="1"/>
  <c r="H196" i="3445"/>
  <c r="H238" i="3445"/>
  <c r="L73" i="3560"/>
  <c r="BE27" i="3419"/>
  <c r="BI20" i="3419"/>
  <c r="BB36" i="3419"/>
  <c r="BE47" i="3419"/>
  <c r="BJ51" i="3419"/>
  <c r="AQ16" i="3448" a="1"/>
  <c r="AQ16" i="3448" s="1"/>
  <c r="AG21" i="3448" a="1"/>
  <c r="AG21" i="3448" s="1"/>
  <c r="BD41" i="3448" a="1"/>
  <c r="BD41" i="3448" s="1"/>
  <c r="Y54" i="3448" a="1"/>
  <c r="Y54" i="3448" s="1"/>
  <c r="S57" i="3448" a="1"/>
  <c r="S57" i="3448" s="1"/>
  <c r="N61" i="3448" a="1"/>
  <c r="N61" i="3448" s="1"/>
  <c r="Q66" i="3448" a="1"/>
  <c r="Q66" i="3448" s="1"/>
  <c r="BM66" i="3448" a="1"/>
  <c r="BM66" i="3448" s="1"/>
  <c r="G24" i="3576" a="1"/>
  <c r="G24" i="3576" s="1"/>
  <c r="G45" i="3489" a="1"/>
  <c r="G45" i="3489" s="1"/>
  <c r="AY45" i="3489" s="1" a="1"/>
  <c r="AY45" i="3489" s="1"/>
  <c r="J107" i="3445" a="1"/>
  <c r="J107" i="3445" s="1"/>
  <c r="O168" i="3445"/>
  <c r="J196" i="3445" a="1"/>
  <c r="J196" i="3445" s="1"/>
  <c r="J205" i="3445" a="1"/>
  <c r="J205" i="3445" s="1"/>
  <c r="I238" i="3445" a="1"/>
  <c r="I238" i="3445" s="1"/>
  <c r="G34" i="3560" a="1"/>
  <c r="G34" i="3560" s="1"/>
  <c r="D34" i="3560" s="1"/>
  <c r="BC33" i="3419"/>
  <c r="BF59" i="3419"/>
  <c r="BH37" i="3419"/>
  <c r="BJ41" i="3419"/>
  <c r="BJ52" i="3419"/>
  <c r="BD33" i="3419"/>
  <c r="AV16" i="3448" a="1"/>
  <c r="AV16" i="3448" s="1"/>
  <c r="AI21" i="3448" a="1"/>
  <c r="AI21" i="3448" s="1"/>
  <c r="AD54" i="3448" a="1"/>
  <c r="AD54" i="3448" s="1"/>
  <c r="O61" i="3448" a="1"/>
  <c r="O61" i="3448" s="1"/>
  <c r="R66" i="3448" a="1"/>
  <c r="R66" i="3448" s="1"/>
  <c r="BQ66" i="3448" a="1"/>
  <c r="BQ66" i="3448" s="1"/>
  <c r="BU66" i="3448" s="1" a="1"/>
  <c r="BU66" i="3448" s="1"/>
  <c r="AK79" i="3448" a="1"/>
  <c r="AK79" i="3448" s="1"/>
  <c r="H45" i="3489" a="1"/>
  <c r="H45" i="3489" s="1"/>
  <c r="G65" i="3489" a="1"/>
  <c r="G65" i="3489" s="1"/>
  <c r="K65" i="3489" s="1" a="1"/>
  <c r="K65" i="3489" s="1"/>
  <c r="P168" i="3445"/>
  <c r="T196" i="3445"/>
  <c r="N238" i="3445" a="1"/>
  <c r="N238" i="3445" s="1"/>
  <c r="H34" i="3560" a="1"/>
  <c r="H34" i="3560" s="1"/>
  <c r="L34" i="3560" s="1"/>
  <c r="BJ17" i="3419"/>
  <c r="BE20" i="3419"/>
  <c r="BD40" i="3419"/>
  <c r="BF51" i="3419"/>
  <c r="BE15" i="3419"/>
  <c r="BE46" i="3419"/>
  <c r="BB55" i="3419"/>
  <c r="BD56" i="3419"/>
  <c r="BB16" i="3448" a="1"/>
  <c r="BB16" i="3448" s="1"/>
  <c r="BG41" i="3448" a="1"/>
  <c r="BG41" i="3448" s="1"/>
  <c r="P61" i="3448" a="1"/>
  <c r="P61" i="3448" s="1"/>
  <c r="U66" i="3448" a="1"/>
  <c r="U66" i="3448" s="1"/>
  <c r="J45" i="3489" a="1"/>
  <c r="J45" i="3489" s="1"/>
  <c r="G55" i="3489" a="1"/>
  <c r="G55" i="3489" s="1"/>
  <c r="J96" i="3489" a="1"/>
  <c r="J96" i="3489" s="1"/>
  <c r="N77" i="3564" a="1"/>
  <c r="N77" i="3564" s="1"/>
  <c r="M77" i="3564" a="1"/>
  <c r="M77" i="3564" s="1"/>
  <c r="L77" i="3564" a="1"/>
  <c r="L77" i="3564" s="1"/>
  <c r="P77" i="3564" a="1"/>
  <c r="P77" i="3564" s="1"/>
  <c r="O77" i="3564" a="1"/>
  <c r="O77" i="3564" s="1"/>
  <c r="K77" i="3564" a="1"/>
  <c r="K77" i="3564" s="1"/>
  <c r="BA38" i="3564"/>
  <c r="BB38" i="3564" s="1"/>
  <c r="BC38" i="3564" s="1"/>
  <c r="U38" i="3564"/>
  <c r="V38" i="3564" s="1"/>
  <c r="BA50" i="3564"/>
  <c r="BB50" i="3564" s="1"/>
  <c r="BC50" i="3564" s="1"/>
  <c r="U50" i="3564"/>
  <c r="V50" i="3564" s="1"/>
  <c r="Q19" i="3528" a="1"/>
  <c r="Q19" i="3528" s="1"/>
  <c r="Q122" i="3528" s="1" a="1"/>
  <c r="Q122" i="3528" s="1"/>
  <c r="S19" i="3528" a="1"/>
  <c r="S19" i="3528" s="1"/>
  <c r="S122" i="3528" s="1" a="1"/>
  <c r="S122" i="3528" s="1"/>
  <c r="G19" i="3528" a="1"/>
  <c r="G19" i="3528" s="1"/>
  <c r="G53" i="3528" s="1" a="1"/>
  <c r="G53" i="3528" s="1"/>
  <c r="E19" i="3528" a="1"/>
  <c r="E19" i="3528" s="1"/>
  <c r="E122" i="3528" s="1" a="1"/>
  <c r="E122" i="3528" s="1"/>
  <c r="U122" i="3528" s="1"/>
  <c r="C19" i="3528" a="1"/>
  <c r="C19" i="3528" s="1"/>
  <c r="C87" i="3528" s="1"/>
  <c r="BA54" i="3564"/>
  <c r="BB54" i="3564" s="1"/>
  <c r="BC54" i="3564" s="1"/>
  <c r="U54" i="3564"/>
  <c r="V54" i="3564" s="1"/>
  <c r="BA18" i="3564"/>
  <c r="BB18" i="3564" s="1"/>
  <c r="BC18" i="3564" s="1"/>
  <c r="U18" i="3564"/>
  <c r="V18" i="3564" s="1"/>
  <c r="U19" i="3564"/>
  <c r="V19" i="3564" s="1"/>
  <c r="BA19" i="3564"/>
  <c r="BB19" i="3564" s="1"/>
  <c r="BC19" i="3564" s="1"/>
  <c r="BA109" i="3564"/>
  <c r="BB109" i="3564" s="1"/>
  <c r="U109" i="3564"/>
  <c r="V109" i="3564" s="1"/>
  <c r="B465" i="3449" a="1"/>
  <c r="B465" i="3449" s="1"/>
  <c r="B475" i="3449" a="1"/>
  <c r="B475" i="3449" s="1"/>
  <c r="B458" i="3449" a="1"/>
  <c r="B458" i="3449" s="1"/>
  <c r="C8" i="3435" s="1"/>
  <c r="M40" i="3528" a="1"/>
  <c r="M40" i="3528" s="1"/>
  <c r="M143" i="3528" s="1" a="1"/>
  <c r="M143" i="3528" s="1"/>
  <c r="B108" i="3528"/>
  <c r="S40" i="3528" a="1"/>
  <c r="S40" i="3528" s="1"/>
  <c r="K40" i="3528" a="1"/>
  <c r="K40" i="3528" s="1"/>
  <c r="K74" i="3528" s="1" a="1"/>
  <c r="K74" i="3528" s="1"/>
  <c r="I40" i="3528" a="1"/>
  <c r="I40" i="3528" s="1"/>
  <c r="H40" i="3528" a="1"/>
  <c r="H40" i="3528" s="1"/>
  <c r="H143" i="3528" s="1" a="1"/>
  <c r="H143" i="3528" s="1"/>
  <c r="G40" i="3528" a="1"/>
  <c r="G40" i="3528" s="1"/>
  <c r="G74" i="3528" s="1" a="1"/>
  <c r="G74" i="3528" s="1"/>
  <c r="BA62" i="3564"/>
  <c r="BB62" i="3564" s="1"/>
  <c r="U62" i="3564"/>
  <c r="V62" i="3564" s="1"/>
  <c r="W62" i="3564" s="1"/>
  <c r="BS13" i="3564"/>
  <c r="BS14" i="3564" s="1"/>
  <c r="BZ12" i="3564"/>
  <c r="N81" i="3564" a="1"/>
  <c r="N81" i="3564" s="1"/>
  <c r="M81" i="3564" a="1"/>
  <c r="M81" i="3564" s="1"/>
  <c r="L81" i="3564" a="1"/>
  <c r="L81" i="3564" s="1"/>
  <c r="N107" i="3564" a="1"/>
  <c r="N107" i="3564" s="1"/>
  <c r="M107" i="3564" a="1"/>
  <c r="M107" i="3564" s="1"/>
  <c r="K107" i="3564" a="1"/>
  <c r="K107" i="3564" s="1"/>
  <c r="L119" i="3564" a="1"/>
  <c r="L119" i="3564" s="1"/>
  <c r="O119" i="3564" a="1"/>
  <c r="O119" i="3564" s="1"/>
  <c r="N119" i="3564" a="1"/>
  <c r="N119" i="3564" s="1"/>
  <c r="M119" i="3564" a="1"/>
  <c r="M119" i="3564" s="1"/>
  <c r="N13" i="3564" a="1"/>
  <c r="N13" i="3564" s="1"/>
  <c r="N17" i="3564" a="1"/>
  <c r="N17" i="3564" s="1"/>
  <c r="N24" i="3564" a="1"/>
  <c r="N24" i="3564" s="1"/>
  <c r="P28" i="3564" a="1"/>
  <c r="P28" i="3564" s="1"/>
  <c r="O38" i="3564" a="1"/>
  <c r="O38" i="3564" s="1"/>
  <c r="P42" i="3564" a="1"/>
  <c r="P42" i="3564" s="1"/>
  <c r="P46" i="3564" a="1"/>
  <c r="P46" i="3564" s="1"/>
  <c r="P50" i="3564" a="1"/>
  <c r="P50" i="3564" s="1"/>
  <c r="P54" i="3564" a="1"/>
  <c r="P54" i="3564" s="1"/>
  <c r="O62" i="3564" a="1"/>
  <c r="O62" i="3564" s="1"/>
  <c r="I95" i="3564"/>
  <c r="I182" i="3564"/>
  <c r="B504" i="3449" a="1"/>
  <c r="B504" i="3449" s="1"/>
  <c r="K23" i="3564" a="1"/>
  <c r="K23" i="3564" s="1"/>
  <c r="P57" i="3564" a="1"/>
  <c r="P57" i="3564" s="1"/>
  <c r="P62" i="3564" a="1"/>
  <c r="P62" i="3564" s="1"/>
  <c r="K81" i="3564" a="1"/>
  <c r="K81" i="3564" s="1"/>
  <c r="L107" i="3564" a="1"/>
  <c r="L107" i="3564" s="1"/>
  <c r="K119" i="3564" a="1"/>
  <c r="K119" i="3564" s="1"/>
  <c r="O13" i="3564" a="1"/>
  <c r="O13" i="3564" s="1"/>
  <c r="K14" i="3564" a="1"/>
  <c r="K14" i="3564" s="1"/>
  <c r="O17" i="3564" a="1"/>
  <c r="O17" i="3564" s="1"/>
  <c r="O24" i="3564" a="1"/>
  <c r="O24" i="3564" s="1"/>
  <c r="P38" i="3564" a="1"/>
  <c r="P38" i="3564" s="1"/>
  <c r="K40" i="3564" a="1"/>
  <c r="K40" i="3564" s="1"/>
  <c r="K44" i="3564" a="1"/>
  <c r="K44" i="3564" s="1"/>
  <c r="N93" i="3564" a="1"/>
  <c r="N93" i="3564" s="1"/>
  <c r="M93" i="3564" a="1"/>
  <c r="M93" i="3564" s="1"/>
  <c r="L93" i="3564" a="1"/>
  <c r="L93" i="3564" s="1"/>
  <c r="M23" i="3528" a="1"/>
  <c r="M23" i="3528" s="1"/>
  <c r="M57" i="3528" s="1" a="1"/>
  <c r="M57" i="3528" s="1"/>
  <c r="P12" i="3564" a="1"/>
  <c r="P12" i="3564" s="1"/>
  <c r="CA12" i="3564"/>
  <c r="L23" i="3564" a="1"/>
  <c r="L23" i="3564" s="1"/>
  <c r="P31" i="3564" a="1"/>
  <c r="P31" i="3564" s="1"/>
  <c r="K33" i="3564" a="1"/>
  <c r="K33" i="3564" s="1"/>
  <c r="I67" i="3564"/>
  <c r="O81" i="3564" a="1"/>
  <c r="O81" i="3564" s="1"/>
  <c r="I105" i="3564"/>
  <c r="O107" i="3564" a="1"/>
  <c r="O107" i="3564" s="1"/>
  <c r="P119" i="3564" a="1"/>
  <c r="P119" i="3564" s="1"/>
  <c r="I123" i="3564"/>
  <c r="I205" i="3564"/>
  <c r="N23" i="3528" a="1"/>
  <c r="N23" i="3528" s="1"/>
  <c r="N57" i="3528" s="1" a="1"/>
  <c r="N57" i="3528" s="1"/>
  <c r="B506" i="3449" a="1"/>
  <c r="B506" i="3449" s="1"/>
  <c r="P13" i="3564" a="1"/>
  <c r="P13" i="3564" s="1"/>
  <c r="L14" i="3564" a="1"/>
  <c r="L14" i="3564" s="1"/>
  <c r="K15" i="3564" a="1"/>
  <c r="K15" i="3564" s="1"/>
  <c r="P17" i="3564" a="1"/>
  <c r="P17" i="3564" s="1"/>
  <c r="P24" i="3564" a="1"/>
  <c r="P24" i="3564" s="1"/>
  <c r="K26" i="3564" a="1"/>
  <c r="K26" i="3564" s="1"/>
  <c r="I36" i="3564"/>
  <c r="L40" i="3564" a="1"/>
  <c r="L40" i="3564" s="1"/>
  <c r="L44" i="3564" a="1"/>
  <c r="L44" i="3564" s="1"/>
  <c r="L48" i="3564" a="1"/>
  <c r="L48" i="3564" s="1"/>
  <c r="L52" i="3564" a="1"/>
  <c r="L52" i="3564" s="1"/>
  <c r="L56" i="3564" a="1"/>
  <c r="L56" i="3564" s="1"/>
  <c r="K61" i="3564" a="1"/>
  <c r="K61" i="3564" s="1"/>
  <c r="I65" i="3564"/>
  <c r="I79" i="3564"/>
  <c r="K93" i="3564" a="1"/>
  <c r="K93" i="3564" s="1"/>
  <c r="P107" i="3564" a="1"/>
  <c r="P107" i="3564" s="1"/>
  <c r="I127" i="3564"/>
  <c r="I135" i="3564"/>
  <c r="I139" i="3564"/>
  <c r="I151" i="3564"/>
  <c r="Q23" i="3528" a="1"/>
  <c r="Q23" i="3528" s="1"/>
  <c r="Q57" i="3528" s="1" a="1"/>
  <c r="Q57" i="3528" s="1"/>
  <c r="U21" i="3564"/>
  <c r="V21" i="3564" s="1"/>
  <c r="M23" i="3564" a="1"/>
  <c r="M23" i="3564" s="1"/>
  <c r="L33" i="3564" a="1"/>
  <c r="L33" i="3564" s="1"/>
  <c r="P81" i="3564" a="1"/>
  <c r="P81" i="3564" s="1"/>
  <c r="I117" i="3564"/>
  <c r="M14" i="3564" a="1"/>
  <c r="M14" i="3564" s="1"/>
  <c r="L15" i="3564" a="1"/>
  <c r="L15" i="3564" s="1"/>
  <c r="I22" i="3564"/>
  <c r="L26" i="3564" a="1"/>
  <c r="L26" i="3564" s="1"/>
  <c r="M40" i="3564" a="1"/>
  <c r="M40" i="3564" s="1"/>
  <c r="I43" i="3564"/>
  <c r="M44" i="3564" a="1"/>
  <c r="M44" i="3564" s="1"/>
  <c r="I47" i="3564"/>
  <c r="M48" i="3564" a="1"/>
  <c r="M48" i="3564" s="1"/>
  <c r="I51" i="3564"/>
  <c r="M52" i="3564" a="1"/>
  <c r="M52" i="3564" s="1"/>
  <c r="I55" i="3564"/>
  <c r="M56" i="3564" a="1"/>
  <c r="M56" i="3564" s="1"/>
  <c r="I58" i="3564"/>
  <c r="L61" i="3564" a="1"/>
  <c r="L61" i="3564" s="1"/>
  <c r="I63" i="3564"/>
  <c r="O93" i="3564" a="1"/>
  <c r="O93" i="3564" s="1"/>
  <c r="G16" i="3528" a="1"/>
  <c r="G16" i="3528" s="1"/>
  <c r="G50" i="3528" s="1" a="1"/>
  <c r="G50" i="3528" s="1"/>
  <c r="I289" i="3564"/>
  <c r="I285" i="3564"/>
  <c r="I281" i="3564"/>
  <c r="I277" i="3564"/>
  <c r="I273" i="3564"/>
  <c r="I269" i="3564"/>
  <c r="I291" i="3564"/>
  <c r="I287" i="3564"/>
  <c r="I283" i="3564"/>
  <c r="I279" i="3564"/>
  <c r="I292" i="3564"/>
  <c r="I288" i="3564"/>
  <c r="I284" i="3564"/>
  <c r="I280" i="3564"/>
  <c r="I275" i="3564"/>
  <c r="I270" i="3564"/>
  <c r="I264" i="3564"/>
  <c r="I272" i="3564"/>
  <c r="I267" i="3564"/>
  <c r="I265" i="3564"/>
  <c r="I259" i="3564"/>
  <c r="I255" i="3564"/>
  <c r="I251" i="3564"/>
  <c r="I247" i="3564"/>
  <c r="I243" i="3564"/>
  <c r="I239" i="3564"/>
  <c r="I235" i="3564"/>
  <c r="I231" i="3564"/>
  <c r="I227" i="3564"/>
  <c r="I223" i="3564"/>
  <c r="I219" i="3564"/>
  <c r="I215" i="3564"/>
  <c r="I211" i="3564"/>
  <c r="I207" i="3564"/>
  <c r="I203" i="3564"/>
  <c r="I199" i="3564"/>
  <c r="I195" i="3564"/>
  <c r="I191" i="3564"/>
  <c r="I187" i="3564"/>
  <c r="I183" i="3564"/>
  <c r="I274" i="3564"/>
  <c r="I286" i="3564"/>
  <c r="I276" i="3564"/>
  <c r="I263" i="3564"/>
  <c r="I260" i="3564"/>
  <c r="I256" i="3564"/>
  <c r="I252" i="3564"/>
  <c r="I248" i="3564"/>
  <c r="I244" i="3564"/>
  <c r="I240" i="3564"/>
  <c r="I236" i="3564"/>
  <c r="I232" i="3564"/>
  <c r="I228" i="3564"/>
  <c r="I224" i="3564"/>
  <c r="I220" i="3564"/>
  <c r="I216" i="3564"/>
  <c r="I212" i="3564"/>
  <c r="I208" i="3564"/>
  <c r="I204" i="3564"/>
  <c r="I200" i="3564"/>
  <c r="I196" i="3564"/>
  <c r="I192" i="3564"/>
  <c r="I188" i="3564"/>
  <c r="I184" i="3564"/>
  <c r="I180" i="3564"/>
  <c r="I176" i="3564"/>
  <c r="I172" i="3564"/>
  <c r="I282" i="3564"/>
  <c r="I266" i="3564"/>
  <c r="I271" i="3564"/>
  <c r="I170" i="3564"/>
  <c r="I278" i="3564"/>
  <c r="I257" i="3564"/>
  <c r="I249" i="3564"/>
  <c r="I241" i="3564"/>
  <c r="I233" i="3564"/>
  <c r="I225" i="3564"/>
  <c r="I217" i="3564"/>
  <c r="I209" i="3564"/>
  <c r="I181" i="3564"/>
  <c r="I262" i="3564"/>
  <c r="I254" i="3564"/>
  <c r="I246" i="3564"/>
  <c r="I238" i="3564"/>
  <c r="I230" i="3564"/>
  <c r="I222" i="3564"/>
  <c r="I214" i="3564"/>
  <c r="I206" i="3564"/>
  <c r="I173" i="3564"/>
  <c r="I168" i="3564"/>
  <c r="I164" i="3564"/>
  <c r="I160" i="3564"/>
  <c r="I156" i="3564"/>
  <c r="I152" i="3564"/>
  <c r="I148" i="3564"/>
  <c r="I171" i="3564"/>
  <c r="I268" i="3564"/>
  <c r="I198" i="3564"/>
  <c r="I178" i="3564"/>
  <c r="I261" i="3564"/>
  <c r="I253" i="3564"/>
  <c r="I245" i="3564"/>
  <c r="I237" i="3564"/>
  <c r="I290" i="3564"/>
  <c r="I165" i="3564"/>
  <c r="I161" i="3564"/>
  <c r="I157" i="3564"/>
  <c r="I153" i="3564"/>
  <c r="I149" i="3564"/>
  <c r="I145" i="3564"/>
  <c r="I141" i="3564"/>
  <c r="I137" i="3564"/>
  <c r="I133" i="3564"/>
  <c r="I258" i="3564"/>
  <c r="I250" i="3564"/>
  <c r="I242" i="3564"/>
  <c r="I234" i="3564"/>
  <c r="I226" i="3564"/>
  <c r="I218" i="3564"/>
  <c r="I210" i="3564"/>
  <c r="I202" i="3564"/>
  <c r="I166" i="3564"/>
  <c r="I162" i="3564"/>
  <c r="I158" i="3564"/>
  <c r="I154" i="3564"/>
  <c r="I150" i="3564"/>
  <c r="I134" i="3564"/>
  <c r="I174" i="3564"/>
  <c r="I122" i="3564"/>
  <c r="I167" i="3564"/>
  <c r="I130" i="3564"/>
  <c r="I116" i="3564"/>
  <c r="I112" i="3564"/>
  <c r="I108" i="3564"/>
  <c r="I104" i="3564"/>
  <c r="I100" i="3564"/>
  <c r="I96" i="3564"/>
  <c r="I92" i="3564"/>
  <c r="I88" i="3564"/>
  <c r="I84" i="3564"/>
  <c r="I80" i="3564"/>
  <c r="I76" i="3564"/>
  <c r="I72" i="3564"/>
  <c r="I68" i="3564"/>
  <c r="I64" i="3564"/>
  <c r="I201" i="3564"/>
  <c r="I143" i="3564"/>
  <c r="I125" i="3564"/>
  <c r="I147" i="3564"/>
  <c r="I128" i="3564"/>
  <c r="I186" i="3564"/>
  <c r="I190" i="3564"/>
  <c r="I169" i="3564"/>
  <c r="I163" i="3564"/>
  <c r="I131" i="3564"/>
  <c r="I194" i="3564"/>
  <c r="I126" i="3564"/>
  <c r="I221" i="3564"/>
  <c r="I118" i="3564"/>
  <c r="I114" i="3564"/>
  <c r="I110" i="3564"/>
  <c r="I106" i="3564"/>
  <c r="I102" i="3564"/>
  <c r="I98" i="3564"/>
  <c r="I94" i="3564"/>
  <c r="I90" i="3564"/>
  <c r="I86" i="3564"/>
  <c r="I82" i="3564"/>
  <c r="I78" i="3564"/>
  <c r="I74" i="3564"/>
  <c r="I70" i="3564"/>
  <c r="I66" i="3564"/>
  <c r="I185" i="3564"/>
  <c r="I144" i="3564"/>
  <c r="I121" i="3564"/>
  <c r="I229" i="3564"/>
  <c r="I193" i="3564"/>
  <c r="I189" i="3564"/>
  <c r="I146" i="3564"/>
  <c r="I142" i="3564"/>
  <c r="I179" i="3564"/>
  <c r="I175" i="3564"/>
  <c r="L19" i="3564" a="1"/>
  <c r="L19" i="3564" s="1"/>
  <c r="N23" i="3564" a="1"/>
  <c r="N23" i="3564" s="1"/>
  <c r="K29" i="3564" a="1"/>
  <c r="K29" i="3564" s="1"/>
  <c r="M33" i="3564" a="1"/>
  <c r="M33" i="3564" s="1"/>
  <c r="I39" i="3564"/>
  <c r="M61" i="3564" a="1"/>
  <c r="M61" i="3564" s="1"/>
  <c r="I91" i="3564"/>
  <c r="N14" i="3564" a="1"/>
  <c r="N14" i="3564" s="1"/>
  <c r="M15" i="3564" a="1"/>
  <c r="M15" i="3564" s="1"/>
  <c r="M26" i="3564" a="1"/>
  <c r="M26" i="3564" s="1"/>
  <c r="N40" i="3564" a="1"/>
  <c r="N40" i="3564" s="1"/>
  <c r="N44" i="3564" a="1"/>
  <c r="N44" i="3564" s="1"/>
  <c r="AF44" i="3564" s="1"/>
  <c r="N48" i="3564" a="1"/>
  <c r="N48" i="3564" s="1"/>
  <c r="AF48" i="3564" s="1"/>
  <c r="N52" i="3564" a="1"/>
  <c r="N52" i="3564" s="1"/>
  <c r="N56" i="3564" a="1"/>
  <c r="N56" i="3564" s="1"/>
  <c r="AF56" i="3564" s="1"/>
  <c r="N61" i="3564" a="1"/>
  <c r="N61" i="3564" s="1"/>
  <c r="P93" i="3564" a="1"/>
  <c r="P93" i="3564" s="1"/>
  <c r="I111" i="3564"/>
  <c r="B558" i="3449" a="1"/>
  <c r="B558" i="3449" s="1"/>
  <c r="M19" i="3564" a="1"/>
  <c r="M19" i="3564" s="1"/>
  <c r="O23" i="3564" a="1"/>
  <c r="O23" i="3564" s="1"/>
  <c r="I25" i="3564"/>
  <c r="L29" i="3564" a="1"/>
  <c r="L29" i="3564" s="1"/>
  <c r="N33" i="3564" a="1"/>
  <c r="N33" i="3564" s="1"/>
  <c r="O61" i="3564" a="1"/>
  <c r="O61" i="3564" s="1"/>
  <c r="I89" i="3564"/>
  <c r="I120" i="3564"/>
  <c r="I159" i="3564"/>
  <c r="K32" i="3564" a="1"/>
  <c r="K32" i="3564" s="1"/>
  <c r="I103" i="3564"/>
  <c r="I124" i="3564"/>
  <c r="I132" i="3564"/>
  <c r="I140" i="3564"/>
  <c r="I197" i="3564"/>
  <c r="B559" i="3449" a="1"/>
  <c r="B559" i="3449" s="1"/>
  <c r="O33" i="3564" a="1"/>
  <c r="O33" i="3564" s="1"/>
  <c r="I35" i="3564"/>
  <c r="I75" i="3564"/>
  <c r="I136" i="3564"/>
  <c r="N101" i="3564" a="1"/>
  <c r="N101" i="3564" s="1"/>
  <c r="M101" i="3564" a="1"/>
  <c r="M101" i="3564" s="1"/>
  <c r="L101" i="3564" a="1"/>
  <c r="L101" i="3564" s="1"/>
  <c r="M177" i="3564" a="1"/>
  <c r="M177" i="3564" s="1"/>
  <c r="L177" i="3564" a="1"/>
  <c r="L177" i="3564" s="1"/>
  <c r="K177" i="3564" a="1"/>
  <c r="K177" i="3564" s="1"/>
  <c r="N177" i="3564" a="1"/>
  <c r="N177" i="3564" s="1"/>
  <c r="P177" i="3564" a="1"/>
  <c r="P177" i="3564" s="1"/>
  <c r="O177" i="3564" a="1"/>
  <c r="O177" i="3564" s="1"/>
  <c r="K60" i="3564" a="1"/>
  <c r="K60" i="3564" s="1"/>
  <c r="N109" i="3564" a="1"/>
  <c r="N109" i="3564" s="1"/>
  <c r="M109" i="3564" a="1"/>
  <c r="M109" i="3564" s="1"/>
  <c r="L109" i="3564" a="1"/>
  <c r="L109" i="3564" s="1"/>
  <c r="K28" i="3564" a="1"/>
  <c r="K28" i="3564" s="1"/>
  <c r="K42" i="3564" a="1"/>
  <c r="K42" i="3564" s="1"/>
  <c r="K46" i="3564" a="1"/>
  <c r="K46" i="3564" s="1"/>
  <c r="N73" i="3564" a="1"/>
  <c r="N73" i="3564" s="1"/>
  <c r="M73" i="3564" a="1"/>
  <c r="M73" i="3564" s="1"/>
  <c r="L73" i="3564" a="1"/>
  <c r="L73" i="3564" s="1"/>
  <c r="N87" i="3564" a="1"/>
  <c r="N87" i="3564" s="1"/>
  <c r="M87" i="3564" a="1"/>
  <c r="M87" i="3564" s="1"/>
  <c r="K101" i="3564" a="1"/>
  <c r="K101" i="3564" s="1"/>
  <c r="L28" i="3564" a="1"/>
  <c r="L28" i="3564" s="1"/>
  <c r="L42" i="3564" a="1"/>
  <c r="L42" i="3564" s="1"/>
  <c r="L46" i="3564" a="1"/>
  <c r="L46" i="3564" s="1"/>
  <c r="K73" i="3564" a="1"/>
  <c r="K73" i="3564" s="1"/>
  <c r="N85" i="3564" a="1"/>
  <c r="N85" i="3564" s="1"/>
  <c r="M85" i="3564" a="1"/>
  <c r="M85" i="3564" s="1"/>
  <c r="L85" i="3564" a="1"/>
  <c r="L85" i="3564" s="1"/>
  <c r="K87" i="3564" a="1"/>
  <c r="K87" i="3564" s="1"/>
  <c r="O115" i="3564" a="1"/>
  <c r="O115" i="3564" s="1"/>
  <c r="N115" i="3564" a="1"/>
  <c r="N115" i="3564" s="1"/>
  <c r="M115" i="3564" a="1"/>
  <c r="M115" i="3564" s="1"/>
  <c r="K115" i="3564" a="1"/>
  <c r="K115" i="3564" s="1"/>
  <c r="K12" i="3564" a="1"/>
  <c r="K12" i="3564" s="1"/>
  <c r="BN12" i="3564"/>
  <c r="L21" i="3564" a="1"/>
  <c r="L21" i="3564" s="1"/>
  <c r="K31" i="3564" a="1"/>
  <c r="K31" i="3564" s="1"/>
  <c r="L87" i="3564" a="1"/>
  <c r="L87" i="3564" s="1"/>
  <c r="N99" i="3564" a="1"/>
  <c r="N99" i="3564" s="1"/>
  <c r="M99" i="3564" a="1"/>
  <c r="M99" i="3564" s="1"/>
  <c r="O109" i="3564" a="1"/>
  <c r="O109" i="3564" s="1"/>
  <c r="I129" i="3564"/>
  <c r="I213" i="3564"/>
  <c r="H38" i="3528" a="1"/>
  <c r="H38" i="3528" s="1"/>
  <c r="H72" i="3528" s="1" a="1"/>
  <c r="H72" i="3528" s="1"/>
  <c r="B522" i="3449" a="1"/>
  <c r="B522" i="3449" s="1"/>
  <c r="BO12" i="3564"/>
  <c r="K13" i="3564" a="1"/>
  <c r="K13" i="3564" s="1"/>
  <c r="K17" i="3564" a="1"/>
  <c r="K17" i="3564" s="1"/>
  <c r="N18" i="3564" a="1"/>
  <c r="N18" i="3564" s="1"/>
  <c r="AF18" i="3564" s="1"/>
  <c r="K24" i="3564" a="1"/>
  <c r="K24" i="3564" s="1"/>
  <c r="M28" i="3564" a="1"/>
  <c r="M28" i="3564" s="1"/>
  <c r="O32" i="3564" a="1"/>
  <c r="O32" i="3564" s="1"/>
  <c r="I34" i="3564"/>
  <c r="L38" i="3564" a="1"/>
  <c r="L38" i="3564" s="1"/>
  <c r="I41" i="3564"/>
  <c r="M42" i="3564" a="1"/>
  <c r="M42" i="3564" s="1"/>
  <c r="I45" i="3564"/>
  <c r="M46" i="3564" a="1"/>
  <c r="M46" i="3564" s="1"/>
  <c r="I49" i="3564"/>
  <c r="M50" i="3564" a="1"/>
  <c r="M50" i="3564" s="1"/>
  <c r="I53" i="3564"/>
  <c r="M54" i="3564" a="1"/>
  <c r="M54" i="3564" s="1"/>
  <c r="K57" i="3564" a="1"/>
  <c r="K57" i="3564" s="1"/>
  <c r="N60" i="3564" a="1"/>
  <c r="N60" i="3564" s="1"/>
  <c r="O73" i="3564" a="1"/>
  <c r="O73" i="3564" s="1"/>
  <c r="K85" i="3564" a="1"/>
  <c r="K85" i="3564" s="1"/>
  <c r="P101" i="3564" a="1"/>
  <c r="P101" i="3564" s="1"/>
  <c r="L115" i="3564" a="1"/>
  <c r="L115" i="3564" s="1"/>
  <c r="M20" i="3528" a="1"/>
  <c r="M20" i="3528" s="1"/>
  <c r="M88" i="3528" s="1" a="1"/>
  <c r="M88" i="3528" s="1"/>
  <c r="H32" i="3528" a="1"/>
  <c r="H32" i="3528" s="1"/>
  <c r="K38" i="3528" a="1"/>
  <c r="K38" i="3528" s="1"/>
  <c r="L12" i="3564" a="1"/>
  <c r="L12" i="3564" s="1"/>
  <c r="AJ12" i="3564"/>
  <c r="BP12" i="3564"/>
  <c r="M21" i="3564" a="1"/>
  <c r="M21" i="3564" s="1"/>
  <c r="I27" i="3564"/>
  <c r="L31" i="3564" a="1"/>
  <c r="L31" i="3564" s="1"/>
  <c r="L62" i="3564" a="1"/>
  <c r="L62" i="3564" s="1"/>
  <c r="I71" i="3564"/>
  <c r="I97" i="3564"/>
  <c r="K99" i="3564" a="1"/>
  <c r="K99" i="3564" s="1"/>
  <c r="P109" i="3564" a="1"/>
  <c r="P109" i="3564" s="1"/>
  <c r="N20" i="3528" a="1"/>
  <c r="N20" i="3528" s="1"/>
  <c r="N88" i="3528" s="1" a="1"/>
  <c r="N88" i="3528" s="1"/>
  <c r="BQ12" i="3564"/>
  <c r="L13" i="3564" a="1"/>
  <c r="L13" i="3564" s="1"/>
  <c r="L17" i="3564" a="1"/>
  <c r="L17" i="3564" s="1"/>
  <c r="O18" i="3564" a="1"/>
  <c r="O18" i="3564" s="1"/>
  <c r="I20" i="3564"/>
  <c r="L24" i="3564" a="1"/>
  <c r="L24" i="3564" s="1"/>
  <c r="N28" i="3564" a="1"/>
  <c r="N28" i="3564" s="1"/>
  <c r="M38" i="3564" a="1"/>
  <c r="M38" i="3564" s="1"/>
  <c r="N42" i="3564" a="1"/>
  <c r="N42" i="3564" s="1"/>
  <c r="AF42" i="3564" s="1"/>
  <c r="N46" i="3564" a="1"/>
  <c r="N46" i="3564" s="1"/>
  <c r="N50" i="3564" a="1"/>
  <c r="N50" i="3564" s="1"/>
  <c r="AF50" i="3564" s="1"/>
  <c r="N54" i="3564" a="1"/>
  <c r="N54" i="3564" s="1"/>
  <c r="AF54" i="3564" s="1"/>
  <c r="L57" i="3564" a="1"/>
  <c r="L57" i="3564" s="1"/>
  <c r="O60" i="3564" a="1"/>
  <c r="O60" i="3564" s="1"/>
  <c r="M62" i="3564" a="1"/>
  <c r="M62" i="3564" s="1"/>
  <c r="I69" i="3564"/>
  <c r="P73" i="3564" a="1"/>
  <c r="P73" i="3564" s="1"/>
  <c r="O85" i="3564" a="1"/>
  <c r="O85" i="3564" s="1"/>
  <c r="O87" i="3564" a="1"/>
  <c r="O87" i="3564" s="1"/>
  <c r="L99" i="3564" a="1"/>
  <c r="L99" i="3564" s="1"/>
  <c r="P115" i="3564" a="1"/>
  <c r="P115" i="3564" s="1"/>
  <c r="I32" i="3528" a="1"/>
  <c r="I32" i="3528" s="1"/>
  <c r="BR12" i="3564"/>
  <c r="I37" i="3564"/>
  <c r="M57" i="3564" a="1"/>
  <c r="M57" i="3564" s="1"/>
  <c r="I59" i="3564"/>
  <c r="I83" i="3564"/>
  <c r="P87" i="3564" a="1"/>
  <c r="P87" i="3564" s="1"/>
  <c r="I113" i="3564"/>
  <c r="I138" i="3564"/>
  <c r="I155" i="3564"/>
  <c r="C2" i="3518"/>
  <c r="E53" i="3518" s="1" a="1"/>
  <c r="E53" i="3518" s="1"/>
  <c r="I16" i="3564"/>
  <c r="I30" i="3564"/>
  <c r="N62" i="3564" a="1"/>
  <c r="N62" i="3564" s="1"/>
  <c r="P85" i="3564" a="1"/>
  <c r="P85" i="3564" s="1"/>
  <c r="F50" i="3436" a="1"/>
  <c r="F50" i="3436" s="1"/>
  <c r="C50" i="3436" a="1"/>
  <c r="C50" i="3436" s="1"/>
  <c r="D37" i="3436" a="1"/>
  <c r="D37" i="3436" s="1"/>
  <c r="F37" i="3436" a="1"/>
  <c r="F37" i="3436" s="1"/>
  <c r="E37" i="3436" a="1"/>
  <c r="E37" i="3436" s="1"/>
  <c r="C37" i="3436" a="1"/>
  <c r="C37" i="3436" s="1"/>
  <c r="AK15" i="3448" a="1"/>
  <c r="AK15" i="3448" s="1"/>
  <c r="AX15" i="3448" a="1"/>
  <c r="AX15" i="3448" s="1"/>
  <c r="AW15" i="3448" a="1"/>
  <c r="AW15" i="3448" s="1"/>
  <c r="AO15" i="3448" a="1"/>
  <c r="AO15" i="3448" s="1"/>
  <c r="Y15" i="3448" a="1"/>
  <c r="Y15" i="3448" s="1"/>
  <c r="S15" i="3448" a="1"/>
  <c r="S15" i="3448" s="1"/>
  <c r="N15" i="3448" a="1"/>
  <c r="N15" i="3448" s="1"/>
  <c r="BM15" i="3448" a="1"/>
  <c r="BM15" i="3448" s="1"/>
  <c r="BH15" i="3448" a="1"/>
  <c r="BH15" i="3448" s="1"/>
  <c r="BA15" i="3448" a="1"/>
  <c r="BA15" i="3448" s="1"/>
  <c r="BE65" i="3448" a="1"/>
  <c r="BE65" i="3448" s="1"/>
  <c r="D65" i="3448" a="1"/>
  <c r="D65" i="3448" s="1"/>
  <c r="BR65" i="3448" s="1" a="1"/>
  <c r="BR65" i="3448" s="1"/>
  <c r="BV65" i="3448" s="1" a="1"/>
  <c r="BV65" i="3448" s="1"/>
  <c r="AH20" i="3448" a="1"/>
  <c r="AH20" i="3448" s="1"/>
  <c r="AA20" i="3448" a="1"/>
  <c r="AA20" i="3448" s="1"/>
  <c r="J20" i="3448" a="1"/>
  <c r="J20" i="3448" s="1"/>
  <c r="BK20" i="3448" a="1"/>
  <c r="BK20" i="3448" s="1"/>
  <c r="AY20" i="3448" a="1"/>
  <c r="AY20" i="3448" s="1"/>
  <c r="AT20" i="3448" a="1"/>
  <c r="AT20" i="3448" s="1"/>
  <c r="AN20" i="3448" a="1"/>
  <c r="AN20" i="3448" s="1"/>
  <c r="E28" i="3436" a="1"/>
  <c r="E28" i="3436" s="1"/>
  <c r="F70" i="3436" a="1"/>
  <c r="F70" i="3436" s="1"/>
  <c r="BF78" i="3448" a="1"/>
  <c r="BF78" i="3448" s="1"/>
  <c r="AY78" i="3448" a="1"/>
  <c r="AY78" i="3448" s="1"/>
  <c r="AX78" i="3448" a="1"/>
  <c r="AX78" i="3448" s="1"/>
  <c r="AW78" i="3448" a="1"/>
  <c r="AW78" i="3448" s="1"/>
  <c r="AU78" i="3448" a="1"/>
  <c r="AU78" i="3448" s="1"/>
  <c r="AR78" i="3448" a="1"/>
  <c r="AR78" i="3448" s="1"/>
  <c r="AO78" i="3448" a="1"/>
  <c r="AO78" i="3448" s="1"/>
  <c r="V78" i="3448" a="1"/>
  <c r="V78" i="3448" s="1"/>
  <c r="K78" i="3448" a="1"/>
  <c r="K78" i="3448" s="1"/>
  <c r="S67" i="3523" s="1"/>
  <c r="J78" i="3448" a="1"/>
  <c r="J78" i="3448" s="1"/>
  <c r="M67" i="3523" s="1"/>
  <c r="BK78" i="3448" a="1"/>
  <c r="BK78" i="3448" s="1"/>
  <c r="I78" i="3448" a="1"/>
  <c r="I78" i="3448" s="1"/>
  <c r="E67" i="3523" s="1"/>
  <c r="F67" i="3523" s="1" a="1"/>
  <c r="F67" i="3523" s="1"/>
  <c r="E78" i="3448" a="1"/>
  <c r="E78" i="3448" s="1"/>
  <c r="G67" i="3523" s="1"/>
  <c r="BI78" i="3448" a="1"/>
  <c r="BI78" i="3448" s="1"/>
  <c r="BA78" i="3448" a="1"/>
  <c r="BA78" i="3448" s="1"/>
  <c r="AM78" i="3448" a="1"/>
  <c r="AM78" i="3448" s="1"/>
  <c r="AI78" i="3448" a="1"/>
  <c r="AI78" i="3448" s="1"/>
  <c r="AH78" i="3448" a="1"/>
  <c r="AH78" i="3448" s="1"/>
  <c r="AE78" i="3448" a="1"/>
  <c r="AE78" i="3448" s="1"/>
  <c r="AC78" i="3448" a="1"/>
  <c r="AC78" i="3448" s="1"/>
  <c r="X78" i="3448" a="1"/>
  <c r="X78" i="3448" s="1"/>
  <c r="BE21" i="3419"/>
  <c r="BA28" i="3419"/>
  <c r="D25" i="3436" a="1"/>
  <c r="D25" i="3436" s="1"/>
  <c r="BH35" i="3419"/>
  <c r="BA54" i="3419"/>
  <c r="E25" i="3436" a="1"/>
  <c r="E25" i="3436" s="1"/>
  <c r="F56" i="3436" a="1"/>
  <c r="F56" i="3436" s="1"/>
  <c r="E56" i="3436" a="1"/>
  <c r="E56" i="3436" s="1"/>
  <c r="D56" i="3436" a="1"/>
  <c r="D56" i="3436" s="1"/>
  <c r="C56" i="3436" a="1"/>
  <c r="C56" i="3436" s="1"/>
  <c r="BF31" i="3419"/>
  <c r="BH38" i="3419"/>
  <c r="BC45" i="3419"/>
  <c r="F25" i="3436" a="1"/>
  <c r="F25" i="3436" s="1"/>
  <c r="BC20" i="3419"/>
  <c r="BJ32" i="3419"/>
  <c r="AJ82" i="3448" a="1"/>
  <c r="AJ82" i="3448" s="1"/>
  <c r="AI82" i="3448" a="1"/>
  <c r="AI82" i="3448" s="1"/>
  <c r="AH82" i="3448" a="1"/>
  <c r="AH82" i="3448" s="1"/>
  <c r="AC82" i="3448" a="1"/>
  <c r="AC82" i="3448" s="1"/>
  <c r="AA82" i="3448" a="1"/>
  <c r="AA82" i="3448" s="1"/>
  <c r="BQ82" i="3448" a="1"/>
  <c r="BQ82" i="3448" s="1"/>
  <c r="BU82" i="3448" s="1" a="1"/>
  <c r="BU82" i="3448" s="1"/>
  <c r="X82" i="3448" a="1"/>
  <c r="X82" i="3448" s="1"/>
  <c r="BD82" i="3448" a="1"/>
  <c r="BD82" i="3448" s="1"/>
  <c r="S82" i="3448" a="1"/>
  <c r="S82" i="3448" s="1"/>
  <c r="BC82" i="3448" a="1"/>
  <c r="BC82" i="3448" s="1"/>
  <c r="L82" i="3448" a="1"/>
  <c r="L82" i="3448" s="1"/>
  <c r="BA82" i="3448" a="1"/>
  <c r="BA82" i="3448" s="1"/>
  <c r="K82" i="3448" a="1"/>
  <c r="K82" i="3448" s="1"/>
  <c r="AY82" i="3448" a="1"/>
  <c r="AY82" i="3448" s="1"/>
  <c r="AW82" i="3448" a="1"/>
  <c r="AW82" i="3448" s="1"/>
  <c r="I82" i="3448" a="1"/>
  <c r="I82" i="3448" s="1"/>
  <c r="E71" i="3523" s="1"/>
  <c r="F71" i="3523" s="1" a="1"/>
  <c r="F71" i="3523" s="1"/>
  <c r="AV82" i="3448" a="1"/>
  <c r="AV82" i="3448" s="1"/>
  <c r="AQ82" i="3448" a="1"/>
  <c r="AQ82" i="3448" s="1"/>
  <c r="AP82" i="3448" a="1"/>
  <c r="AP82" i="3448" s="1"/>
  <c r="D82" i="3448" a="1"/>
  <c r="D82" i="3448" s="1"/>
  <c r="BR82" i="3448" s="1" a="1"/>
  <c r="BR82" i="3448" s="1"/>
  <c r="BV82" i="3448" s="1" a="1"/>
  <c r="BV82" i="3448" s="1"/>
  <c r="BM82" i="3448" a="1"/>
  <c r="BM82" i="3448" s="1"/>
  <c r="BK82" i="3448" a="1"/>
  <c r="BK82" i="3448" s="1"/>
  <c r="BF82" i="3448" a="1"/>
  <c r="BF82" i="3448" s="1"/>
  <c r="BE82" i="3448" a="1"/>
  <c r="BE82" i="3448" s="1"/>
  <c r="AO82" i="3448" a="1"/>
  <c r="AO82" i="3448" s="1"/>
  <c r="Y82" i="3448" a="1"/>
  <c r="Y82" i="3448" s="1"/>
  <c r="V82" i="3448" a="1"/>
  <c r="V82" i="3448" s="1"/>
  <c r="U82" i="3448" a="1"/>
  <c r="U82" i="3448" s="1"/>
  <c r="T82" i="3448" a="1"/>
  <c r="T82" i="3448" s="1"/>
  <c r="E82" i="3448" a="1"/>
  <c r="E82" i="3448" s="1"/>
  <c r="G71" i="3523" s="1"/>
  <c r="F71" i="3436" a="1"/>
  <c r="F71" i="3436" s="1"/>
  <c r="E71" i="3436" a="1"/>
  <c r="E71" i="3436" s="1"/>
  <c r="BE45" i="3419"/>
  <c r="BF45" i="3419"/>
  <c r="D71" i="3436" a="1"/>
  <c r="D71" i="3436" s="1"/>
  <c r="BI55" i="3419"/>
  <c r="BQ17" i="3448" a="1"/>
  <c r="BQ17" i="3448" s="1"/>
  <c r="BU17" i="3448" s="1" a="1"/>
  <c r="BU17" i="3448" s="1"/>
  <c r="AJ17" i="3448" a="1"/>
  <c r="AJ17" i="3448" s="1"/>
  <c r="AD17" i="3448" a="1"/>
  <c r="AD17" i="3448" s="1"/>
  <c r="Y17" i="3448" a="1"/>
  <c r="Y17" i="3448" s="1"/>
  <c r="R17" i="3448" a="1"/>
  <c r="R17" i="3448" s="1"/>
  <c r="J17" i="3448" a="1"/>
  <c r="J17" i="3448" s="1"/>
  <c r="M27" i="3523" s="1"/>
  <c r="L58" i="3523" s="1"/>
  <c r="BL17" i="3448" a="1"/>
  <c r="BL17" i="3448" s="1"/>
  <c r="BH17" i="3448" a="1"/>
  <c r="BH17" i="3448" s="1"/>
  <c r="BG17" i="3448" a="1"/>
  <c r="BG17" i="3448" s="1"/>
  <c r="AZ17" i="3448" a="1"/>
  <c r="AZ17" i="3448" s="1"/>
  <c r="AV17" i="3448" a="1"/>
  <c r="AV17" i="3448" s="1"/>
  <c r="AP17" i="3448" a="1"/>
  <c r="AP17" i="3448" s="1"/>
  <c r="BJ13" i="3419"/>
  <c r="D61" i="3436" a="1"/>
  <c r="D61" i="3436" s="1"/>
  <c r="F61" i="3436" a="1"/>
  <c r="F61" i="3436" s="1"/>
  <c r="E61" i="3436" a="1"/>
  <c r="E61" i="3436" s="1"/>
  <c r="C61" i="3436" a="1"/>
  <c r="C61" i="3436" s="1"/>
  <c r="E23" i="3436" a="1"/>
  <c r="E23" i="3436" s="1"/>
  <c r="D23" i="3436" a="1"/>
  <c r="D23" i="3436" s="1"/>
  <c r="C23" i="3436" a="1"/>
  <c r="C23" i="3436" s="1"/>
  <c r="E72" i="3436" a="1"/>
  <c r="E72" i="3436" s="1"/>
  <c r="F72" i="3436" a="1"/>
  <c r="F72" i="3436" s="1"/>
  <c r="C72" i="3436" a="1"/>
  <c r="C72" i="3436" s="1"/>
  <c r="BA18" i="3419"/>
  <c r="BC46" i="3419"/>
  <c r="D24" i="3523"/>
  <c r="BB14" i="3448" a="1"/>
  <c r="BB14" i="3448" s="1"/>
  <c r="AF14" i="3448" a="1"/>
  <c r="AF14" i="3448" s="1"/>
  <c r="AY14" i="3448" a="1"/>
  <c r="AY14" i="3448" s="1"/>
  <c r="AE14" i="3448" a="1"/>
  <c r="AE14" i="3448" s="1"/>
  <c r="J14" i="3448" a="1"/>
  <c r="J14" i="3448" s="1"/>
  <c r="M24" i="3523" s="1"/>
  <c r="L34" i="3523" s="1"/>
  <c r="AX14" i="3448" a="1"/>
  <c r="AX14" i="3448" s="1"/>
  <c r="I14" i="3448" a="1"/>
  <c r="I14" i="3448" s="1"/>
  <c r="E24" i="3523" s="1"/>
  <c r="AW14" i="3448" a="1"/>
  <c r="AW14" i="3448" s="1"/>
  <c r="AD14" i="3448" a="1"/>
  <c r="AD14" i="3448" s="1"/>
  <c r="AV14" i="3448" a="1"/>
  <c r="AV14" i="3448" s="1"/>
  <c r="AA14" i="3448" a="1"/>
  <c r="AA14" i="3448" s="1"/>
  <c r="AU14" i="3448" a="1"/>
  <c r="AU14" i="3448" s="1"/>
  <c r="Z14" i="3448" a="1"/>
  <c r="Z14" i="3448" s="1"/>
  <c r="BI14" i="3448" a="1"/>
  <c r="BI14" i="3448" s="1"/>
  <c r="AL14" i="3448" a="1"/>
  <c r="AL14" i="3448" s="1"/>
  <c r="S14" i="3448" a="1"/>
  <c r="S14" i="3448" s="1"/>
  <c r="BH14" i="3448" a="1"/>
  <c r="BH14" i="3448" s="1"/>
  <c r="AK14" i="3448" a="1"/>
  <c r="AK14" i="3448" s="1"/>
  <c r="BG14" i="3448" a="1"/>
  <c r="BG14" i="3448" s="1"/>
  <c r="AJ14" i="3448" a="1"/>
  <c r="AJ14" i="3448" s="1"/>
  <c r="R14" i="3448" a="1"/>
  <c r="R14" i="3448" s="1"/>
  <c r="O14" i="3448" a="1"/>
  <c r="O14" i="3448" s="1"/>
  <c r="BF14" i="3448" a="1"/>
  <c r="BF14" i="3448" s="1"/>
  <c r="AI14" i="3448" a="1"/>
  <c r="AI14" i="3448" s="1"/>
  <c r="BE14" i="3448" a="1"/>
  <c r="BE14" i="3448" s="1"/>
  <c r="N14" i="3448" a="1"/>
  <c r="N14" i="3448" s="1"/>
  <c r="U14" i="3448" a="1"/>
  <c r="U14" i="3448" s="1"/>
  <c r="BQ14" i="3448" a="1"/>
  <c r="BQ14" i="3448" s="1"/>
  <c r="BU14" i="3448" s="1" a="1"/>
  <c r="BU14" i="3448" s="1"/>
  <c r="T14" i="3448" a="1"/>
  <c r="T14" i="3448" s="1"/>
  <c r="BK14" i="3448" a="1"/>
  <c r="BK14" i="3448" s="1"/>
  <c r="L14" i="3448" a="1"/>
  <c r="L14" i="3448" s="1"/>
  <c r="BJ14" i="3448" a="1"/>
  <c r="BJ14" i="3448" s="1"/>
  <c r="BD14" i="3448" a="1"/>
  <c r="BD14" i="3448" s="1"/>
  <c r="K14" i="3448" a="1"/>
  <c r="K14" i="3448" s="1"/>
  <c r="S24" i="3523" s="1"/>
  <c r="BC14" i="3448" a="1"/>
  <c r="BC14" i="3448" s="1"/>
  <c r="AT14" i="3448" a="1"/>
  <c r="AT14" i="3448" s="1"/>
  <c r="D14" i="3448" a="1"/>
  <c r="D14" i="3448" s="1"/>
  <c r="AS14" i="3448" a="1"/>
  <c r="AS14" i="3448" s="1"/>
  <c r="AR14" i="3448" a="1"/>
  <c r="AR14" i="3448" s="1"/>
  <c r="AQ14" i="3448" a="1"/>
  <c r="AQ14" i="3448" s="1"/>
  <c r="AP14" i="3448" a="1"/>
  <c r="AP14" i="3448" s="1"/>
  <c r="AM14" i="3448" a="1"/>
  <c r="AM14" i="3448" s="1"/>
  <c r="AH14" i="3448" a="1"/>
  <c r="AH14" i="3448" s="1"/>
  <c r="AG14" i="3448" a="1"/>
  <c r="AG14" i="3448" s="1"/>
  <c r="Y14" i="3448" a="1"/>
  <c r="Y14" i="3448" s="1"/>
  <c r="X14" i="3448" a="1"/>
  <c r="X14" i="3448" s="1"/>
  <c r="BL50" i="3448" a="1"/>
  <c r="BL50" i="3448" s="1"/>
  <c r="P50" i="3448" a="1"/>
  <c r="P50" i="3448" s="1"/>
  <c r="BK50" i="3448" a="1"/>
  <c r="BK50" i="3448" s="1"/>
  <c r="O50" i="3448" a="1"/>
  <c r="O50" i="3448" s="1"/>
  <c r="BI50" i="3448" a="1"/>
  <c r="BI50" i="3448" s="1"/>
  <c r="M50" i="3448"/>
  <c r="BG50" i="3448" a="1"/>
  <c r="BG50" i="3448" s="1"/>
  <c r="J50" i="3448" a="1"/>
  <c r="J50" i="3448" s="1"/>
  <c r="BF50" i="3448" a="1"/>
  <c r="BF50" i="3448" s="1"/>
  <c r="BA50" i="3448" a="1"/>
  <c r="BA50" i="3448" s="1"/>
  <c r="I50" i="3448" a="1"/>
  <c r="I50" i="3448" s="1"/>
  <c r="AK50" i="3448" a="1"/>
  <c r="AK50" i="3448" s="1"/>
  <c r="AI50" i="3448" a="1"/>
  <c r="AI50" i="3448" s="1"/>
  <c r="AG50" i="3448" a="1"/>
  <c r="AG50" i="3448" s="1"/>
  <c r="AC50" i="3448" a="1"/>
  <c r="AC50" i="3448" s="1"/>
  <c r="AB50" i="3448" a="1"/>
  <c r="AB50" i="3448" s="1"/>
  <c r="U50" i="3448" a="1"/>
  <c r="U50" i="3448" s="1"/>
  <c r="AZ50" i="3448" a="1"/>
  <c r="AZ50" i="3448" s="1"/>
  <c r="AY50" i="3448" a="1"/>
  <c r="AY50" i="3448" s="1"/>
  <c r="AS50" i="3448" a="1"/>
  <c r="AS50" i="3448" s="1"/>
  <c r="AO50" i="3448" a="1"/>
  <c r="AO50" i="3448" s="1"/>
  <c r="AN50" i="3448" a="1"/>
  <c r="AN50" i="3448" s="1"/>
  <c r="AM50" i="3448" a="1"/>
  <c r="AM50" i="3448" s="1"/>
  <c r="V50" i="3448" a="1"/>
  <c r="V50" i="3448" s="1"/>
  <c r="Q50" i="3448" a="1"/>
  <c r="Q50" i="3448" s="1"/>
  <c r="V14" i="3448" a="1"/>
  <c r="V14" i="3448" s="1"/>
  <c r="E55" i="3436" a="1"/>
  <c r="E55" i="3436" s="1"/>
  <c r="D55" i="3436" a="1"/>
  <c r="D55" i="3436" s="1"/>
  <c r="F80" i="3436" a="1"/>
  <c r="F80" i="3436" s="1"/>
  <c r="E80" i="3436" a="1"/>
  <c r="E80" i="3436" s="1"/>
  <c r="D80" i="3436" a="1"/>
  <c r="D80" i="3436" s="1"/>
  <c r="C80" i="3436" a="1"/>
  <c r="C80" i="3436" s="1"/>
  <c r="W14" i="3448" a="1"/>
  <c r="W14" i="3448" s="1"/>
  <c r="AH100" i="3434"/>
  <c r="AI100" i="3434" s="1"/>
  <c r="AJ100" i="3434" s="1" a="1"/>
  <c r="AJ100" i="3434" s="1"/>
  <c r="BJ56" i="3419"/>
  <c r="BI22" i="3448" a="1"/>
  <c r="BI22" i="3448" s="1"/>
  <c r="Y46" i="3448" a="1"/>
  <c r="Y46" i="3448" s="1"/>
  <c r="O46" i="3448" a="1"/>
  <c r="O46" i="3448" s="1"/>
  <c r="N46" i="3448" a="1"/>
  <c r="N46" i="3448" s="1"/>
  <c r="E46" i="3448" a="1"/>
  <c r="E46" i="3448" s="1"/>
  <c r="D46" i="3448" a="1"/>
  <c r="D46" i="3448" s="1"/>
  <c r="AS46" i="3448" a="1"/>
  <c r="AS46" i="3448" s="1"/>
  <c r="AR46" i="3448" a="1"/>
  <c r="AR46" i="3448" s="1"/>
  <c r="AL46" i="3448" a="1"/>
  <c r="AL46" i="3448" s="1"/>
  <c r="AK46" i="3448" a="1"/>
  <c r="AK46" i="3448" s="1"/>
  <c r="AC48" i="3448" a="1"/>
  <c r="AC48" i="3448" s="1"/>
  <c r="AI69" i="3448" a="1"/>
  <c r="AI69" i="3448" s="1"/>
  <c r="BQ69" i="3448" a="1"/>
  <c r="BQ69" i="3448" s="1"/>
  <c r="BU69" i="3448" s="1" a="1"/>
  <c r="BU69" i="3448" s="1"/>
  <c r="AH69" i="3448" a="1"/>
  <c r="AH69" i="3448" s="1"/>
  <c r="BK69" i="3448" a="1"/>
  <c r="BK69" i="3448" s="1"/>
  <c r="AD69" i="3448" a="1"/>
  <c r="AD69" i="3448" s="1"/>
  <c r="AB69" i="3448" a="1"/>
  <c r="AB69" i="3448" s="1"/>
  <c r="BJ69" i="3448" a="1"/>
  <c r="BJ69" i="3448" s="1"/>
  <c r="X69" i="3448" a="1"/>
  <c r="X69" i="3448" s="1"/>
  <c r="W69" i="3448" a="1"/>
  <c r="W69" i="3448" s="1"/>
  <c r="AW69" i="3448" a="1"/>
  <c r="AW69" i="3448" s="1"/>
  <c r="K69" i="3448" a="1"/>
  <c r="K69" i="3448" s="1"/>
  <c r="AV69" i="3448" a="1"/>
  <c r="AV69" i="3448" s="1"/>
  <c r="AU69" i="3448" a="1"/>
  <c r="AU69" i="3448" s="1"/>
  <c r="D69" i="3448" a="1"/>
  <c r="D69" i="3448" s="1"/>
  <c r="BR69" i="3448" s="1" a="1"/>
  <c r="BR69" i="3448" s="1"/>
  <c r="BV69" i="3448" s="1" a="1"/>
  <c r="BV69" i="3448" s="1"/>
  <c r="AT69" i="3448" a="1"/>
  <c r="AT69" i="3448" s="1"/>
  <c r="AM69" i="3448" a="1"/>
  <c r="AM69" i="3448" s="1"/>
  <c r="AK69" i="3448" a="1"/>
  <c r="AK69" i="3448" s="1"/>
  <c r="S30" i="3495"/>
  <c r="S29" i="3495"/>
  <c r="S26" i="3495"/>
  <c r="Q26" i="3495"/>
  <c r="S25" i="3495"/>
  <c r="Q28" i="3495"/>
  <c r="S27" i="3495"/>
  <c r="Q29" i="3495"/>
  <c r="Q27" i="3495"/>
  <c r="P25" i="3495"/>
  <c r="R24" i="3495"/>
  <c r="O25" i="3495"/>
  <c r="Q24" i="3495"/>
  <c r="S23" i="3495"/>
  <c r="P24" i="3495"/>
  <c r="R23" i="3495"/>
  <c r="O24" i="3495"/>
  <c r="Q23" i="3495"/>
  <c r="S22" i="3495"/>
  <c r="P26" i="3495"/>
  <c r="P23" i="3495"/>
  <c r="R22" i="3495"/>
  <c r="O26" i="3495"/>
  <c r="O23" i="3495"/>
  <c r="Q22" i="3495"/>
  <c r="S20" i="3495"/>
  <c r="P22" i="3495"/>
  <c r="R20" i="3495"/>
  <c r="O22" i="3495"/>
  <c r="Q20" i="3495"/>
  <c r="P20" i="3495"/>
  <c r="K53" i="3445" a="1"/>
  <c r="K53" i="3445" s="1"/>
  <c r="L53" i="3445" s="1"/>
  <c r="M53" i="3445" s="1"/>
  <c r="Q209" i="3445"/>
  <c r="J209" i="3445" a="1"/>
  <c r="J209" i="3445" s="1"/>
  <c r="I209" i="3445" a="1"/>
  <c r="I209" i="3445" s="1"/>
  <c r="BG53" i="3419"/>
  <c r="AJ21" i="3448" a="1"/>
  <c r="AJ21" i="3448" s="1"/>
  <c r="X22" i="3448" a="1"/>
  <c r="X22" i="3448" s="1"/>
  <c r="BC30" i="3419"/>
  <c r="Y22" i="3448" a="1"/>
  <c r="Y22" i="3448" s="1"/>
  <c r="BF25" i="3448" a="1"/>
  <c r="BF25" i="3448" s="1"/>
  <c r="Y25" i="3448" a="1"/>
  <c r="Y25" i="3448" s="1"/>
  <c r="BC28" i="3448" a="1"/>
  <c r="BC28" i="3448" s="1"/>
  <c r="P28" i="3448" a="1"/>
  <c r="P28" i="3448" s="1"/>
  <c r="AW28" i="3448" a="1"/>
  <c r="AW28" i="3448" s="1"/>
  <c r="O28" i="3448" a="1"/>
  <c r="O28" i="3448" s="1"/>
  <c r="AV28" i="3448" a="1"/>
  <c r="AV28" i="3448" s="1"/>
  <c r="L28" i="3448" a="1"/>
  <c r="L28" i="3448" s="1"/>
  <c r="AQ28" i="3448" a="1"/>
  <c r="AQ28" i="3448" s="1"/>
  <c r="K28" i="3448" a="1"/>
  <c r="K28" i="3448" s="1"/>
  <c r="J28" i="3448" a="1"/>
  <c r="J28" i="3448" s="1"/>
  <c r="AP28" i="3448" a="1"/>
  <c r="AP28" i="3448" s="1"/>
  <c r="BK28" i="3448" a="1"/>
  <c r="BK28" i="3448" s="1"/>
  <c r="AB28" i="3448" a="1"/>
  <c r="AB28" i="3448" s="1"/>
  <c r="BI28" i="3448" a="1"/>
  <c r="BI28" i="3448" s="1"/>
  <c r="AA28" i="3448" a="1"/>
  <c r="AA28" i="3448" s="1"/>
  <c r="BH28" i="3448" a="1"/>
  <c r="BH28" i="3448" s="1"/>
  <c r="Y28" i="3448" a="1"/>
  <c r="Y28" i="3448" s="1"/>
  <c r="BB28" i="3448" a="1"/>
  <c r="BB28" i="3448" s="1"/>
  <c r="AZ28" i="3448" a="1"/>
  <c r="AZ28" i="3448" s="1"/>
  <c r="BB59" i="3448" a="1"/>
  <c r="BB59" i="3448" s="1"/>
  <c r="AD59" i="3448" a="1"/>
  <c r="AD59" i="3448" s="1"/>
  <c r="AB59" i="3448" a="1"/>
  <c r="AB59" i="3448" s="1"/>
  <c r="Z59" i="3448" a="1"/>
  <c r="Z59" i="3448" s="1"/>
  <c r="Q59" i="3448" a="1"/>
  <c r="Q59" i="3448" s="1"/>
  <c r="O59" i="3448" a="1"/>
  <c r="O59" i="3448" s="1"/>
  <c r="BK59" i="3448" a="1"/>
  <c r="BK59" i="3448" s="1"/>
  <c r="BF59" i="3448" a="1"/>
  <c r="BF59" i="3448" s="1"/>
  <c r="BE59" i="3448" a="1"/>
  <c r="BE59" i="3448" s="1"/>
  <c r="AZ59" i="3448" a="1"/>
  <c r="AZ59" i="3448" s="1"/>
  <c r="AY59" i="3448" a="1"/>
  <c r="AY59" i="3448" s="1"/>
  <c r="AS59" i="3448" a="1"/>
  <c r="AS59" i="3448" s="1"/>
  <c r="AH98" i="3434"/>
  <c r="AI98" i="3434" s="1"/>
  <c r="AJ98" i="3434" s="1" a="1"/>
  <c r="AJ98" i="3434" s="1"/>
  <c r="AE48" i="3480" s="1"/>
  <c r="BE30" i="3419"/>
  <c r="BA38" i="3419"/>
  <c r="BA47" i="3419"/>
  <c r="BB54" i="3419"/>
  <c r="Z19" i="3448" a="1"/>
  <c r="Z19" i="3448" s="1"/>
  <c r="O19" i="3448" a="1"/>
  <c r="O19" i="3448" s="1"/>
  <c r="AL21" i="3448" a="1"/>
  <c r="AL21" i="3448" s="1"/>
  <c r="L69" i="3448" a="1"/>
  <c r="L69" i="3448" s="1"/>
  <c r="M38" i="3560" a="1"/>
  <c r="M38" i="3560" s="1"/>
  <c r="G38" i="3560" a="1"/>
  <c r="G38" i="3560" s="1"/>
  <c r="H38" i="3560" a="1"/>
  <c r="H38" i="3560" s="1"/>
  <c r="I38" i="3560" s="1"/>
  <c r="BA23" i="3419"/>
  <c r="BC27" i="3419"/>
  <c r="BA29" i="3419"/>
  <c r="BB38" i="3419"/>
  <c r="BG46" i="3419"/>
  <c r="BF50" i="3419"/>
  <c r="BE58" i="3419"/>
  <c r="AY13" i="3448" a="1"/>
  <c r="AY13" i="3448" s="1"/>
  <c r="AY8" i="3448" s="1"/>
  <c r="D28" i="3448" a="1"/>
  <c r="D28" i="3448" s="1"/>
  <c r="E28" i="3448" s="1" a="1"/>
  <c r="E28" i="3448" s="1"/>
  <c r="U46" i="3448" a="1"/>
  <c r="U46" i="3448" s="1"/>
  <c r="N69" i="3448" a="1"/>
  <c r="N69" i="3448" s="1"/>
  <c r="BC37" i="3419"/>
  <c r="BC38" i="3419"/>
  <c r="BB47" i="3419"/>
  <c r="BJ62" i="3419"/>
  <c r="AG22" i="3448" a="1"/>
  <c r="AG22" i="3448" s="1"/>
  <c r="U45" i="3448" a="1"/>
  <c r="U45" i="3448" s="1"/>
  <c r="AH45" i="3448" a="1"/>
  <c r="AH45" i="3448" s="1"/>
  <c r="AG45" i="3448" a="1"/>
  <c r="AG45" i="3448" s="1"/>
  <c r="AB45" i="3448" a="1"/>
  <c r="AB45" i="3448" s="1"/>
  <c r="AA45" i="3448" a="1"/>
  <c r="AA45" i="3448" s="1"/>
  <c r="BB45" i="3448" a="1"/>
  <c r="BB45" i="3448" s="1"/>
  <c r="N45" i="3448" a="1"/>
  <c r="N45" i="3448" s="1"/>
  <c r="AX45" i="3448" a="1"/>
  <c r="AX45" i="3448" s="1"/>
  <c r="AT45" i="3448" a="1"/>
  <c r="AT45" i="3448" s="1"/>
  <c r="AS45" i="3448" a="1"/>
  <c r="AS45" i="3448" s="1"/>
  <c r="E45" i="3448" a="1"/>
  <c r="E45" i="3448" s="1"/>
  <c r="AR45" i="3448" a="1"/>
  <c r="AR45" i="3448" s="1"/>
  <c r="AQ45" i="3448" a="1"/>
  <c r="AQ45" i="3448" s="1"/>
  <c r="D45" i="3448" a="1"/>
  <c r="D45" i="3448" s="1"/>
  <c r="AC46" i="3448" a="1"/>
  <c r="AC46" i="3448" s="1"/>
  <c r="BK54" i="3448" a="1"/>
  <c r="BK54" i="3448" s="1"/>
  <c r="BD54" i="3448" a="1"/>
  <c r="BD54" i="3448" s="1"/>
  <c r="AY54" i="3448" a="1"/>
  <c r="AY54" i="3448" s="1"/>
  <c r="AS54" i="3448" a="1"/>
  <c r="AS54" i="3448" s="1"/>
  <c r="O69" i="3448" a="1"/>
  <c r="O69" i="3448" s="1"/>
  <c r="AT84" i="3448" a="1"/>
  <c r="AT84" i="3448" s="1"/>
  <c r="AS84" i="3448" a="1"/>
  <c r="AS84" i="3448" s="1"/>
  <c r="X84" i="3448" a="1"/>
  <c r="X84" i="3448" s="1"/>
  <c r="V84" i="3448" a="1"/>
  <c r="V84" i="3448" s="1"/>
  <c r="U84" i="3448" a="1"/>
  <c r="U84" i="3448" s="1"/>
  <c r="BC27" i="3495" a="1"/>
  <c r="BC27" i="3495" s="1"/>
  <c r="AD27" i="3495" a="1"/>
  <c r="AD27" i="3495" s="1"/>
  <c r="AA27" i="3495" a="1"/>
  <c r="AA27" i="3495" s="1"/>
  <c r="AB27" i="3495" s="1" a="1"/>
  <c r="AB27" i="3495" s="1"/>
  <c r="BH27" i="3495" a="1"/>
  <c r="BH27" i="3495" s="1"/>
  <c r="BE27" i="3495" a="1"/>
  <c r="BE27" i="3495" s="1"/>
  <c r="BC33" i="3489" a="1"/>
  <c r="BC33" i="3489" s="1"/>
  <c r="BB33" i="3489" a="1"/>
  <c r="BB33" i="3489" s="1"/>
  <c r="AL33" i="3489" a="1"/>
  <c r="AL33" i="3489" s="1"/>
  <c r="AK33" i="3489" a="1"/>
  <c r="AK33" i="3489" s="1"/>
  <c r="AJ33" i="3489" a="1"/>
  <c r="AJ33" i="3489" s="1"/>
  <c r="R33" i="3489" a="1"/>
  <c r="R33" i="3489" s="1"/>
  <c r="U33" i="3489" a="1"/>
  <c r="U33" i="3489" s="1"/>
  <c r="E72" i="3489" a="1"/>
  <c r="E72" i="3489" s="1"/>
  <c r="J72" i="3489" a="1"/>
  <c r="J72" i="3489" s="1"/>
  <c r="G72" i="3489" a="1"/>
  <c r="G72" i="3489" s="1"/>
  <c r="H72" i="3489" a="1"/>
  <c r="H72" i="3489" s="1"/>
  <c r="F72" i="3489" a="1"/>
  <c r="F72" i="3489" s="1"/>
  <c r="AH118" i="3577"/>
  <c r="AI118" i="3577" s="1"/>
  <c r="AJ118" i="3577" s="1" a="1"/>
  <c r="AJ118" i="3577" s="1"/>
  <c r="AK118" i="3577" s="1" a="1"/>
  <c r="AK118" i="3577" s="1"/>
  <c r="C66" i="3436" a="1"/>
  <c r="C66" i="3436" s="1"/>
  <c r="BA26" i="3419"/>
  <c r="BJ46" i="3419"/>
  <c r="BG58" i="3419"/>
  <c r="AV21" i="3448" a="1"/>
  <c r="AV21" i="3448" s="1"/>
  <c r="AW25" i="3448" a="1"/>
  <c r="AW25" i="3448" s="1"/>
  <c r="AY46" i="3448" a="1"/>
  <c r="AY46" i="3448" s="1"/>
  <c r="AL59" i="3448" a="1"/>
  <c r="AL59" i="3448" s="1"/>
  <c r="R69" i="3448" a="1"/>
  <c r="R69" i="3448" s="1"/>
  <c r="E44" i="3489" a="1"/>
  <c r="E44" i="3489" s="1"/>
  <c r="J44" i="3489" a="1"/>
  <c r="J44" i="3489" s="1"/>
  <c r="H44" i="3489" a="1"/>
  <c r="H44" i="3489" s="1"/>
  <c r="G44" i="3489" a="1"/>
  <c r="G44" i="3489" s="1"/>
  <c r="D66" i="3436" a="1"/>
  <c r="D66" i="3436" s="1"/>
  <c r="BC23" i="3419"/>
  <c r="BF38" i="3419"/>
  <c r="BH50" i="3419"/>
  <c r="AX13" i="3448" a="1"/>
  <c r="AX13" i="3448" s="1"/>
  <c r="AX8" i="3448" s="1"/>
  <c r="Y13" i="3448" a="1"/>
  <c r="Y13" i="3448" s="1"/>
  <c r="Y8" i="3448" s="1"/>
  <c r="AW13" i="3448" a="1"/>
  <c r="AW13" i="3448" s="1"/>
  <c r="AW8" i="3448" s="1"/>
  <c r="T13" i="3448" a="1"/>
  <c r="T13" i="3448" s="1"/>
  <c r="T8" i="3448" s="1"/>
  <c r="AS13" i="3448" a="1"/>
  <c r="AS13" i="3448" s="1"/>
  <c r="AS8" i="3448" s="1"/>
  <c r="R13" i="3448" a="1"/>
  <c r="R13" i="3448" s="1"/>
  <c r="R8" i="3448" s="1"/>
  <c r="AR13" i="3448" a="1"/>
  <c r="AR13" i="3448" s="1"/>
  <c r="AR8" i="3448" s="1"/>
  <c r="Q13" i="3448" a="1"/>
  <c r="Q13" i="3448" s="1"/>
  <c r="Q8" i="3448" s="1"/>
  <c r="BI13" i="3448" a="1"/>
  <c r="BI13" i="3448" s="1"/>
  <c r="BI8" i="3448" s="1"/>
  <c r="AF13" i="3448" a="1"/>
  <c r="AF13" i="3448" s="1"/>
  <c r="AF8" i="3448" s="1"/>
  <c r="BE13" i="3448" a="1"/>
  <c r="BE13" i="3448" s="1"/>
  <c r="BE8" i="3448" s="1"/>
  <c r="AD13" i="3448" a="1"/>
  <c r="AD13" i="3448" s="1"/>
  <c r="AD8" i="3448" s="1"/>
  <c r="BB13" i="3448" a="1"/>
  <c r="BB13" i="3448" s="1"/>
  <c r="BB8" i="3448" s="1"/>
  <c r="AC13" i="3448" a="1"/>
  <c r="AC13" i="3448" s="1"/>
  <c r="AC8" i="3448" s="1"/>
  <c r="BJ13" i="3448" a="1"/>
  <c r="BJ13" i="3448" s="1"/>
  <c r="BJ8" i="3448" s="1"/>
  <c r="AX21" i="3448" a="1"/>
  <c r="AX21" i="3448" s="1"/>
  <c r="AL22" i="3448" a="1"/>
  <c r="AL22" i="3448" s="1"/>
  <c r="AQ26" i="3448" a="1"/>
  <c r="AQ26" i="3448" s="1"/>
  <c r="AI26" i="3448" a="1"/>
  <c r="AI26" i="3448" s="1"/>
  <c r="AH26" i="3448" a="1"/>
  <c r="AH26" i="3448" s="1"/>
  <c r="AF26" i="3448" a="1"/>
  <c r="AF26" i="3448" s="1"/>
  <c r="AE26" i="3448" a="1"/>
  <c r="AE26" i="3448" s="1"/>
  <c r="BG26" i="3448" a="1"/>
  <c r="BG26" i="3448" s="1"/>
  <c r="J26" i="3448" a="1"/>
  <c r="J26" i="3448" s="1"/>
  <c r="BC26" i="3448" a="1"/>
  <c r="BC26" i="3448" s="1"/>
  <c r="I26" i="3448" a="1"/>
  <c r="I26" i="3448" s="1"/>
  <c r="BA26" i="3448" a="1"/>
  <c r="BA26" i="3448" s="1"/>
  <c r="AZ26" i="3448" a="1"/>
  <c r="AZ26" i="3448" s="1"/>
  <c r="AX59" i="3448" a="1"/>
  <c r="AX59" i="3448" s="1"/>
  <c r="O20" i="3495"/>
  <c r="G34" i="3489" a="1"/>
  <c r="G34" i="3489" s="1"/>
  <c r="J34" i="3489" a="1"/>
  <c r="J34" i="3489" s="1"/>
  <c r="H34" i="3489" a="1"/>
  <c r="H34" i="3489" s="1"/>
  <c r="E34" i="3489" a="1"/>
  <c r="E34" i="3489" s="1"/>
  <c r="T164" i="3445"/>
  <c r="S164" i="3445" a="1"/>
  <c r="S164" i="3445" s="1"/>
  <c r="N164" i="3445" a="1"/>
  <c r="N164" i="3445" s="1"/>
  <c r="Q164" i="3445"/>
  <c r="BC25" i="3419"/>
  <c r="BF27" i="3419"/>
  <c r="BB35" i="3419"/>
  <c r="BC35" i="3419"/>
  <c r="BG38" i="3419"/>
  <c r="BD47" i="3419"/>
  <c r="BH54" i="3419"/>
  <c r="D13" i="3448" a="1"/>
  <c r="D13" i="3448" s="1"/>
  <c r="E13" i="3448" s="1" a="1"/>
  <c r="E13" i="3448" s="1"/>
  <c r="G22" i="3523" s="1"/>
  <c r="R28" i="3448" a="1"/>
  <c r="R28" i="3448" s="1"/>
  <c r="BE46" i="3448" a="1"/>
  <c r="BE46" i="3448" s="1"/>
  <c r="J54" i="3448" a="1"/>
  <c r="J54" i="3448" s="1"/>
  <c r="M35" i="3523" s="1"/>
  <c r="BL59" i="3448" a="1"/>
  <c r="BL59" i="3448" s="1"/>
  <c r="S69" i="3448" a="1"/>
  <c r="S69" i="3448" s="1"/>
  <c r="D76" i="3448" a="1"/>
  <c r="D76" i="3448" s="1"/>
  <c r="BR76" i="3448" s="1" a="1"/>
  <c r="BR76" i="3448" s="1"/>
  <c r="BV76" i="3448" s="1" a="1"/>
  <c r="BV76" i="3448" s="1"/>
  <c r="AY76" i="3448" a="1"/>
  <c r="AY76" i="3448" s="1"/>
  <c r="AL76" i="3448" a="1"/>
  <c r="AL76" i="3448" s="1"/>
  <c r="W76" i="3448" a="1"/>
  <c r="W76" i="3448" s="1"/>
  <c r="V76" i="3448" a="1"/>
  <c r="V76" i="3448" s="1"/>
  <c r="N76" i="3448" a="1"/>
  <c r="N76" i="3448" s="1"/>
  <c r="K76" i="3448" a="1"/>
  <c r="K76" i="3448" s="1"/>
  <c r="J76" i="3448" a="1"/>
  <c r="J76" i="3448" s="1"/>
  <c r="M65" i="3523" s="1"/>
  <c r="O16" i="3495"/>
  <c r="Q25" i="3495"/>
  <c r="A233" i="3445"/>
  <c r="O233" i="3445"/>
  <c r="BJ28" i="3419"/>
  <c r="BD36" i="3419"/>
  <c r="BB39" i="3419"/>
  <c r="BJ50" i="3419"/>
  <c r="BC60" i="3419"/>
  <c r="BK13" i="3448" a="1"/>
  <c r="BK13" i="3448" s="1"/>
  <c r="BK8" i="3448" s="1"/>
  <c r="X28" i="3448" a="1"/>
  <c r="X28" i="3448" s="1"/>
  <c r="O45" i="3448" a="1"/>
  <c r="O45" i="3448" s="1"/>
  <c r="BI46" i="3448" a="1"/>
  <c r="BI46" i="3448" s="1"/>
  <c r="S54" i="3448" a="1"/>
  <c r="S54" i="3448" s="1"/>
  <c r="BG57" i="3448" a="1"/>
  <c r="BG57" i="3448" s="1"/>
  <c r="BA57" i="3448" a="1"/>
  <c r="BA57" i="3448" s="1"/>
  <c r="AZ57" i="3448" a="1"/>
  <c r="AZ57" i="3448" s="1"/>
  <c r="AT57" i="3448" a="1"/>
  <c r="AT57" i="3448" s="1"/>
  <c r="AQ57" i="3448" a="1"/>
  <c r="AQ57" i="3448" s="1"/>
  <c r="Q57" i="3448" a="1"/>
  <c r="Q57" i="3448" s="1"/>
  <c r="O57" i="3448" a="1"/>
  <c r="O57" i="3448" s="1"/>
  <c r="L57" i="3448" a="1"/>
  <c r="L57" i="3448" s="1"/>
  <c r="E57" i="3448" a="1"/>
  <c r="E57" i="3448" s="1"/>
  <c r="G38" i="3523" s="1"/>
  <c r="BM57" i="3448" a="1"/>
  <c r="BM57" i="3448" s="1"/>
  <c r="BM59" i="3448" a="1"/>
  <c r="BM59" i="3448" s="1"/>
  <c r="V69" i="3448" a="1"/>
  <c r="V69" i="3448" s="1"/>
  <c r="BM85" i="3448" a="1"/>
  <c r="BM85" i="3448" s="1"/>
  <c r="BL85" i="3448" a="1"/>
  <c r="BL85" i="3448" s="1"/>
  <c r="BK85" i="3448" a="1"/>
  <c r="BK85" i="3448" s="1"/>
  <c r="AY85" i="3448" a="1"/>
  <c r="AY85" i="3448" s="1"/>
  <c r="AX85" i="3448" a="1"/>
  <c r="AX85" i="3448" s="1"/>
  <c r="AP85" i="3448" a="1"/>
  <c r="AP85" i="3448" s="1"/>
  <c r="O85" i="3448" a="1"/>
  <c r="O85" i="3448" s="1"/>
  <c r="R25" i="3495"/>
  <c r="BC39" i="3419"/>
  <c r="BM22" i="3448" a="1"/>
  <c r="BM22" i="3448" s="1"/>
  <c r="AV22" i="3448" a="1"/>
  <c r="AV22" i="3448" s="1"/>
  <c r="AF22" i="3448" a="1"/>
  <c r="AF22" i="3448" s="1"/>
  <c r="M22" i="3448"/>
  <c r="L22" i="3448" a="1"/>
  <c r="L22" i="3448" s="1"/>
  <c r="AU22" i="3448" a="1"/>
  <c r="AU22" i="3448" s="1"/>
  <c r="AE22" i="3448" a="1"/>
  <c r="AE22" i="3448" s="1"/>
  <c r="K22" i="3448" a="1"/>
  <c r="K22" i="3448" s="1"/>
  <c r="AD22" i="3448" a="1"/>
  <c r="AD22" i="3448" s="1"/>
  <c r="AT22" i="3448" a="1"/>
  <c r="AT22" i="3448" s="1"/>
  <c r="J22" i="3448" a="1"/>
  <c r="J22" i="3448" s="1"/>
  <c r="BL22" i="3448" a="1"/>
  <c r="BL22" i="3448" s="1"/>
  <c r="AB22" i="3448" a="1"/>
  <c r="AB22" i="3448" s="1"/>
  <c r="I22" i="3448" a="1"/>
  <c r="I22" i="3448" s="1"/>
  <c r="BJ22" i="3448" a="1"/>
  <c r="BJ22" i="3448" s="1"/>
  <c r="AS22" i="3448" a="1"/>
  <c r="AS22" i="3448" s="1"/>
  <c r="Z22" i="3448" a="1"/>
  <c r="Z22" i="3448" s="1"/>
  <c r="BD22" i="3448" a="1"/>
  <c r="BD22" i="3448" s="1"/>
  <c r="AK22" i="3448" a="1"/>
  <c r="AK22" i="3448" s="1"/>
  <c r="T22" i="3448" a="1"/>
  <c r="T22" i="3448" s="1"/>
  <c r="AJ22" i="3448" a="1"/>
  <c r="AJ22" i="3448" s="1"/>
  <c r="BC22" i="3448" a="1"/>
  <c r="BC22" i="3448" s="1"/>
  <c r="S22" i="3448" a="1"/>
  <c r="S22" i="3448" s="1"/>
  <c r="BB22" i="3448" a="1"/>
  <c r="BB22" i="3448" s="1"/>
  <c r="AI22" i="3448" a="1"/>
  <c r="AI22" i="3448" s="1"/>
  <c r="AH22" i="3448" a="1"/>
  <c r="AH22" i="3448" s="1"/>
  <c r="R22" i="3448" a="1"/>
  <c r="R22" i="3448" s="1"/>
  <c r="AP22" i="3448" a="1"/>
  <c r="AP22" i="3448" s="1"/>
  <c r="AN47" i="3448" a="1"/>
  <c r="AN47" i="3448" s="1"/>
  <c r="AX47" i="3448" a="1"/>
  <c r="AX47" i="3448" s="1"/>
  <c r="AW47" i="3448" a="1"/>
  <c r="AW47" i="3448" s="1"/>
  <c r="AE47" i="3448" a="1"/>
  <c r="AE47" i="3448" s="1"/>
  <c r="AB47" i="3448" a="1"/>
  <c r="AB47" i="3448" s="1"/>
  <c r="Z47" i="3448" a="1"/>
  <c r="Z47" i="3448" s="1"/>
  <c r="R47" i="3448" a="1"/>
  <c r="R47" i="3448" s="1"/>
  <c r="BJ47" i="3448" a="1"/>
  <c r="BJ47" i="3448" s="1"/>
  <c r="P60" i="3448" a="1"/>
  <c r="P60" i="3448" s="1"/>
  <c r="N60" i="3448" a="1"/>
  <c r="N60" i="3448" s="1"/>
  <c r="K60" i="3448" a="1"/>
  <c r="K60" i="3448" s="1"/>
  <c r="S43" i="3523" s="1"/>
  <c r="BM60" i="3448" a="1"/>
  <c r="BM60" i="3448" s="1"/>
  <c r="J60" i="3448" a="1"/>
  <c r="J60" i="3448" s="1"/>
  <c r="M43" i="3523" s="1"/>
  <c r="BF60" i="3448" a="1"/>
  <c r="BF60" i="3448" s="1"/>
  <c r="AM60" i="3448" a="1"/>
  <c r="AM60" i="3448" s="1"/>
  <c r="AL60" i="3448" a="1"/>
  <c r="AL60" i="3448" s="1"/>
  <c r="AF60" i="3448" a="1"/>
  <c r="AF60" i="3448" s="1"/>
  <c r="AE60" i="3448" a="1"/>
  <c r="AE60" i="3448" s="1"/>
  <c r="AD60" i="3448" a="1"/>
  <c r="AD60" i="3448" s="1"/>
  <c r="AA60" i="3448" a="1"/>
  <c r="AA60" i="3448" s="1"/>
  <c r="Y60" i="3448" a="1"/>
  <c r="Y60" i="3448" s="1"/>
  <c r="W60" i="3448" a="1"/>
  <c r="W60" i="3448" s="1"/>
  <c r="BC17" i="3419"/>
  <c r="BB21" i="3419"/>
  <c r="BH29" i="3419"/>
  <c r="AE28" i="3448" a="1"/>
  <c r="AE28" i="3448" s="1"/>
  <c r="AL69" i="3448" a="1"/>
  <c r="AL69" i="3448" s="1"/>
  <c r="AE79" i="3448" a="1"/>
  <c r="AE79" i="3448" s="1"/>
  <c r="AF79" i="3448" a="1"/>
  <c r="AF79" i="3448" s="1"/>
  <c r="BC15" i="3419"/>
  <c r="BC19" i="3419"/>
  <c r="BC21" i="3419"/>
  <c r="BI23" i="3419"/>
  <c r="BH26" i="3419"/>
  <c r="BJ27" i="3419"/>
  <c r="BA48" i="3419"/>
  <c r="BA56" i="3419"/>
  <c r="AQ22" i="3448" a="1"/>
  <c r="AQ22" i="3448" s="1"/>
  <c r="BC16" i="3419"/>
  <c r="BD17" i="3419"/>
  <c r="BJ23" i="3419"/>
  <c r="BJ26" i="3419"/>
  <c r="BD34" i="3419"/>
  <c r="BA44" i="3419"/>
  <c r="BB56" i="3419"/>
  <c r="BG60" i="3419"/>
  <c r="D22" i="3448" a="1"/>
  <c r="D22" i="3448" s="1"/>
  <c r="E22" i="3448" s="1" a="1"/>
  <c r="E22" i="3448" s="1"/>
  <c r="AR22" i="3448" a="1"/>
  <c r="AR22" i="3448" s="1"/>
  <c r="BF22" i="3419"/>
  <c r="AU21" i="3448" a="1"/>
  <c r="AU21" i="3448" s="1"/>
  <c r="N21" i="3448" a="1"/>
  <c r="N21" i="3448" s="1"/>
  <c r="AS21" i="3448" a="1"/>
  <c r="AS21" i="3448" s="1"/>
  <c r="L21" i="3448" a="1"/>
  <c r="L21" i="3448" s="1"/>
  <c r="AR21" i="3448" a="1"/>
  <c r="AR21" i="3448" s="1"/>
  <c r="K21" i="3448" a="1"/>
  <c r="K21" i="3448" s="1"/>
  <c r="J21" i="3448" a="1"/>
  <c r="J21" i="3448" s="1"/>
  <c r="AM21" i="3448" a="1"/>
  <c r="AM21" i="3448" s="1"/>
  <c r="I21" i="3448" a="1"/>
  <c r="I21" i="3448" s="1"/>
  <c r="BJ21" i="3448" a="1"/>
  <c r="BJ21" i="3448" s="1"/>
  <c r="BH21" i="3448" a="1"/>
  <c r="BH21" i="3448" s="1"/>
  <c r="AA21" i="3448" a="1"/>
  <c r="AA21" i="3448" s="1"/>
  <c r="BE21" i="3448" a="1"/>
  <c r="BE21" i="3448" s="1"/>
  <c r="BD21" i="3448" a="1"/>
  <c r="BD21" i="3448" s="1"/>
  <c r="Z21" i="3448" a="1"/>
  <c r="Z21" i="3448" s="1"/>
  <c r="AY21" i="3448" a="1"/>
  <c r="AY21" i="3448" s="1"/>
  <c r="X21" i="3448" a="1"/>
  <c r="X21" i="3448" s="1"/>
  <c r="U21" i="3448" a="1"/>
  <c r="U21" i="3448" s="1"/>
  <c r="BE43" i="3448" a="1"/>
  <c r="BE43" i="3448" s="1"/>
  <c r="AC43" i="3448" a="1"/>
  <c r="AC43" i="3448" s="1"/>
  <c r="U43" i="3448" a="1"/>
  <c r="U43" i="3448" s="1"/>
  <c r="T43" i="3448" a="1"/>
  <c r="T43" i="3448" s="1"/>
  <c r="P43" i="3448" a="1"/>
  <c r="P43" i="3448" s="1"/>
  <c r="BG43" i="3448" a="1"/>
  <c r="BG43" i="3448" s="1"/>
  <c r="BF43" i="3448" a="1"/>
  <c r="BF43" i="3448" s="1"/>
  <c r="BA43" i="3448" a="1"/>
  <c r="BA43" i="3448" s="1"/>
  <c r="AT43" i="3448" a="1"/>
  <c r="AT43" i="3448" s="1"/>
  <c r="AO43" i="3448" a="1"/>
  <c r="AO43" i="3448" s="1"/>
  <c r="AG43" i="3448" a="1"/>
  <c r="AG43" i="3448" s="1"/>
  <c r="BB47" i="3448" a="1"/>
  <c r="BB47" i="3448" s="1"/>
  <c r="I60" i="3448" a="1"/>
  <c r="I60" i="3448" s="1"/>
  <c r="E43" i="3523" s="1"/>
  <c r="F43" i="3523" s="1" a="1"/>
  <c r="F43" i="3523" s="1"/>
  <c r="AV81" i="3448" a="1"/>
  <c r="AV81" i="3448" s="1"/>
  <c r="BL81" i="3448" a="1"/>
  <c r="BL81" i="3448" s="1"/>
  <c r="BG81" i="3448" a="1"/>
  <c r="BG81" i="3448" s="1"/>
  <c r="BE81" i="3448" a="1"/>
  <c r="BE81" i="3448" s="1"/>
  <c r="BA81" i="3448" a="1"/>
  <c r="BA81" i="3448" s="1"/>
  <c r="AS81" i="3448" a="1"/>
  <c r="AS81" i="3448" s="1"/>
  <c r="U81" i="3448" a="1"/>
  <c r="U81" i="3448" s="1"/>
  <c r="S81" i="3448" a="1"/>
  <c r="S81" i="3448" s="1"/>
  <c r="Q81" i="3448" a="1"/>
  <c r="Q81" i="3448" s="1"/>
  <c r="N81" i="3448" a="1"/>
  <c r="N81" i="3448" s="1"/>
  <c r="I81" i="3448" a="1"/>
  <c r="I81" i="3448" s="1"/>
  <c r="E70" i="3523" s="1"/>
  <c r="F70" i="3523" s="1" a="1"/>
  <c r="F70" i="3523" s="1"/>
  <c r="E81" i="3448" a="1"/>
  <c r="E81" i="3448" s="1"/>
  <c r="G70" i="3523" s="1"/>
  <c r="G27" i="3489" a="1"/>
  <c r="G27" i="3489" s="1"/>
  <c r="F27" i="3489" a="1"/>
  <c r="F27" i="3489" s="1"/>
  <c r="E27" i="3489" a="1"/>
  <c r="E27" i="3489" s="1"/>
  <c r="J27" i="3489" a="1"/>
  <c r="J27" i="3489" s="1"/>
  <c r="BB14" i="3419"/>
  <c r="BE16" i="3419"/>
  <c r="BI17" i="3419"/>
  <c r="BE18" i="3419"/>
  <c r="BE19" i="3419"/>
  <c r="BH22" i="3419"/>
  <c r="BJ25" i="3419"/>
  <c r="BB32" i="3419"/>
  <c r="BI35" i="3419"/>
  <c r="BI37" i="3419"/>
  <c r="BA43" i="3419"/>
  <c r="BH51" i="3419"/>
  <c r="BD52" i="3419"/>
  <c r="BD61" i="3419"/>
  <c r="AW22" i="3448" a="1"/>
  <c r="AW22" i="3448" s="1"/>
  <c r="BK48" i="3448" a="1"/>
  <c r="BK48" i="3448" s="1"/>
  <c r="AQ48" i="3448" a="1"/>
  <c r="AQ48" i="3448" s="1"/>
  <c r="AP48" i="3448" a="1"/>
  <c r="AP48" i="3448" s="1"/>
  <c r="AK48" i="3448" a="1"/>
  <c r="AK48" i="3448" s="1"/>
  <c r="AJ48" i="3448" a="1"/>
  <c r="AJ48" i="3448" s="1"/>
  <c r="AE48" i="3448" a="1"/>
  <c r="AE48" i="3448" s="1"/>
  <c r="BM48" i="3448" a="1"/>
  <c r="BM48" i="3448" s="1"/>
  <c r="L48" i="3448" a="1"/>
  <c r="L48" i="3448" s="1"/>
  <c r="BH48" i="3448" a="1"/>
  <c r="BH48" i="3448" s="1"/>
  <c r="K48" i="3448" a="1"/>
  <c r="K48" i="3448" s="1"/>
  <c r="BG48" i="3448" a="1"/>
  <c r="BG48" i="3448" s="1"/>
  <c r="BC48" i="3448" a="1"/>
  <c r="BC48" i="3448" s="1"/>
  <c r="BB48" i="3448" a="1"/>
  <c r="BB48" i="3448" s="1"/>
  <c r="E48" i="3448" a="1"/>
  <c r="E48" i="3448" s="1"/>
  <c r="AY48" i="3448" a="1"/>
  <c r="AY48" i="3448" s="1"/>
  <c r="BJ55" i="3448" a="1"/>
  <c r="BJ55" i="3448" s="1"/>
  <c r="BD55" i="3448" a="1"/>
  <c r="BD55" i="3448" s="1"/>
  <c r="W55" i="3448" a="1"/>
  <c r="W55" i="3448" s="1"/>
  <c r="R60" i="3448" a="1"/>
  <c r="R60" i="3448" s="1"/>
  <c r="H27" i="3489" a="1"/>
  <c r="H27" i="3489" s="1"/>
  <c r="BG18" i="3419"/>
  <c r="BG19" i="3419"/>
  <c r="BI24" i="3419"/>
  <c r="BH34" i="3419"/>
  <c r="BJ35" i="3419"/>
  <c r="BJ36" i="3419"/>
  <c r="BJ37" i="3419"/>
  <c r="BA42" i="3419"/>
  <c r="BB43" i="3419"/>
  <c r="BE48" i="3419"/>
  <c r="BE52" i="3419"/>
  <c r="BE61" i="3419"/>
  <c r="Z13" i="3448" a="1"/>
  <c r="Z13" i="3448" s="1"/>
  <c r="Z8" i="3448" s="1"/>
  <c r="AX22" i="3448" a="1"/>
  <c r="AX22" i="3448" s="1"/>
  <c r="S26" i="3448" a="1"/>
  <c r="S26" i="3448" s="1"/>
  <c r="AN28" i="3448" a="1"/>
  <c r="AN28" i="3448" s="1"/>
  <c r="AN45" i="3448" a="1"/>
  <c r="AN45" i="3448" s="1"/>
  <c r="AH57" i="3448" a="1"/>
  <c r="AH57" i="3448" s="1"/>
  <c r="X60" i="3448" a="1"/>
  <c r="X60" i="3448" s="1"/>
  <c r="BC69" i="3448" a="1"/>
  <c r="BC69" i="3448" s="1"/>
  <c r="AS76" i="3448" a="1"/>
  <c r="AS76" i="3448" s="1"/>
  <c r="AR80" i="3448" a="1"/>
  <c r="AR80" i="3448" s="1"/>
  <c r="AL80" i="3448" a="1"/>
  <c r="AL80" i="3448" s="1"/>
  <c r="BQ80" i="3448" a="1"/>
  <c r="BQ80" i="3448" s="1"/>
  <c r="BU80" i="3448" s="1" a="1"/>
  <c r="BU80" i="3448" s="1"/>
  <c r="AK80" i="3448" a="1"/>
  <c r="AK80" i="3448" s="1"/>
  <c r="L80" i="3448" a="1"/>
  <c r="L80" i="3448" s="1"/>
  <c r="BL80" i="3448" a="1"/>
  <c r="BL80" i="3448" s="1"/>
  <c r="K80" i="3448" a="1"/>
  <c r="K80" i="3448" s="1"/>
  <c r="BJ80" i="3448" a="1"/>
  <c r="BJ80" i="3448" s="1"/>
  <c r="AJ80" i="3448" a="1"/>
  <c r="AJ80" i="3448" s="1"/>
  <c r="BI80" i="3448" a="1"/>
  <c r="BI80" i="3448" s="1"/>
  <c r="AI80" i="3448" a="1"/>
  <c r="AI80" i="3448" s="1"/>
  <c r="J80" i="3448" a="1"/>
  <c r="J80" i="3448" s="1"/>
  <c r="M69" i="3523" s="1"/>
  <c r="BG80" i="3448" a="1"/>
  <c r="BG80" i="3448" s="1"/>
  <c r="AH80" i="3448" a="1"/>
  <c r="AH80" i="3448" s="1"/>
  <c r="I80" i="3448" a="1"/>
  <c r="I80" i="3448" s="1"/>
  <c r="E69" i="3523" s="1"/>
  <c r="F69" i="3523" s="1" a="1"/>
  <c r="F69" i="3523" s="1"/>
  <c r="BF80" i="3448" a="1"/>
  <c r="BF80" i="3448" s="1"/>
  <c r="AG80" i="3448" a="1"/>
  <c r="AG80" i="3448" s="1"/>
  <c r="BD80" i="3448" a="1"/>
  <c r="BD80" i="3448" s="1"/>
  <c r="AE80" i="3448" a="1"/>
  <c r="AE80" i="3448" s="1"/>
  <c r="AZ80" i="3448" a="1"/>
  <c r="AZ80" i="3448" s="1"/>
  <c r="AX80" i="3448" a="1"/>
  <c r="AX80" i="3448" s="1"/>
  <c r="Y80" i="3448" a="1"/>
  <c r="Y80" i="3448" s="1"/>
  <c r="AW80" i="3448" a="1"/>
  <c r="AW80" i="3448" s="1"/>
  <c r="X80" i="3448" a="1"/>
  <c r="X80" i="3448" s="1"/>
  <c r="AV80" i="3448" a="1"/>
  <c r="AV80" i="3448" s="1"/>
  <c r="W80" i="3448" a="1"/>
  <c r="W80" i="3448" s="1"/>
  <c r="AU80" i="3448" a="1"/>
  <c r="AU80" i="3448" s="1"/>
  <c r="V80" i="3448" a="1"/>
  <c r="V80" i="3448" s="1"/>
  <c r="AS80" i="3448" a="1"/>
  <c r="AS80" i="3448" s="1"/>
  <c r="T80" i="3448" a="1"/>
  <c r="T80" i="3448" s="1"/>
  <c r="AP80" i="3448" a="1"/>
  <c r="AP80" i="3448" s="1"/>
  <c r="R80" i="3448" a="1"/>
  <c r="R80" i="3448" s="1"/>
  <c r="S28" i="3495"/>
  <c r="BD14" i="3419"/>
  <c r="BJ22" i="3419"/>
  <c r="BD32" i="3419"/>
  <c r="BJ39" i="3419"/>
  <c r="BC56" i="3419"/>
  <c r="N22" i="3448" a="1"/>
  <c r="N22" i="3448" s="1"/>
  <c r="AZ22" i="3448" a="1"/>
  <c r="AZ22" i="3448" s="1"/>
  <c r="W26" i="3448" a="1"/>
  <c r="W26" i="3448" s="1"/>
  <c r="AS42" i="3448" a="1"/>
  <c r="AS42" i="3448" s="1"/>
  <c r="K42" i="3448" a="1"/>
  <c r="K42" i="3448" s="1"/>
  <c r="AR42" i="3448" a="1"/>
  <c r="AR42" i="3448" s="1"/>
  <c r="AQ42" i="3448" a="1"/>
  <c r="AQ42" i="3448" s="1"/>
  <c r="AP42" i="3448" a="1"/>
  <c r="AP42" i="3448" s="1"/>
  <c r="E42" i="3448" a="1"/>
  <c r="E42" i="3448" s="1"/>
  <c r="AJ42" i="3448" a="1"/>
  <c r="AJ42" i="3448" s="1"/>
  <c r="D42" i="3448" a="1"/>
  <c r="D42" i="3448" s="1"/>
  <c r="BC42" i="3448" a="1"/>
  <c r="BC42" i="3448" s="1"/>
  <c r="BB42" i="3448" a="1"/>
  <c r="BB42" i="3448" s="1"/>
  <c r="X42" i="3448" a="1"/>
  <c r="X42" i="3448" s="1"/>
  <c r="BA42" i="3448" a="1"/>
  <c r="BA42" i="3448" s="1"/>
  <c r="W42" i="3448" a="1"/>
  <c r="W42" i="3448" s="1"/>
  <c r="AW42" i="3448" a="1"/>
  <c r="AW42" i="3448" s="1"/>
  <c r="S42" i="3448" a="1"/>
  <c r="S42" i="3448" s="1"/>
  <c r="AV42" i="3448" a="1"/>
  <c r="AV42" i="3448" s="1"/>
  <c r="AT42" i="3448" a="1"/>
  <c r="AT42" i="3448" s="1"/>
  <c r="Q42" i="3448" a="1"/>
  <c r="Q42" i="3448" s="1"/>
  <c r="AP45" i="3448" a="1"/>
  <c r="AP45" i="3448" s="1"/>
  <c r="AM57" i="3448" a="1"/>
  <c r="AM57" i="3448" s="1"/>
  <c r="AT76" i="3448" a="1"/>
  <c r="AT76" i="3448" s="1"/>
  <c r="D80" i="3448" a="1"/>
  <c r="D80" i="3448" s="1"/>
  <c r="BR80" i="3448" s="1" a="1"/>
  <c r="BR80" i="3448" s="1"/>
  <c r="BV80" i="3448" s="1" a="1"/>
  <c r="BV80" i="3448" s="1"/>
  <c r="BJ24" i="3419"/>
  <c r="BA31" i="3419"/>
  <c r="BJ34" i="3419"/>
  <c r="BD42" i="3419"/>
  <c r="BH44" i="3419"/>
  <c r="BA53" i="3419"/>
  <c r="BJ55" i="3419"/>
  <c r="AA13" i="3448" a="1"/>
  <c r="AA13" i="3448" s="1"/>
  <c r="AA8" i="3448" s="1"/>
  <c r="O21" i="3448" a="1"/>
  <c r="O21" i="3448" s="1"/>
  <c r="P22" i="3448" a="1"/>
  <c r="P22" i="3448" s="1"/>
  <c r="BE22" i="3448" a="1"/>
  <c r="BE22" i="3448" s="1"/>
  <c r="AB26" i="3448" a="1"/>
  <c r="AB26" i="3448" s="1"/>
  <c r="AY28" i="3448" a="1"/>
  <c r="AY28" i="3448" s="1"/>
  <c r="AD43" i="3448" a="1"/>
  <c r="AD43" i="3448" s="1"/>
  <c r="M48" i="3448"/>
  <c r="J55" i="3448" a="1"/>
  <c r="J55" i="3448" s="1"/>
  <c r="M36" i="3523" s="1"/>
  <c r="AO57" i="3448" a="1"/>
  <c r="AO57" i="3448" s="1"/>
  <c r="AO60" i="3448" a="1"/>
  <c r="AO60" i="3448" s="1"/>
  <c r="BI69" i="3448" a="1"/>
  <c r="BI69" i="3448" s="1"/>
  <c r="AW76" i="3448" a="1"/>
  <c r="AW76" i="3448" s="1"/>
  <c r="AE81" i="3448" a="1"/>
  <c r="AE81" i="3448" s="1"/>
  <c r="AV83" i="3448" a="1"/>
  <c r="AV83" i="3448" s="1"/>
  <c r="BQ83" i="3448" a="1"/>
  <c r="BQ83" i="3448" s="1"/>
  <c r="BU83" i="3448" s="1" a="1"/>
  <c r="BU83" i="3448" s="1"/>
  <c r="L83" i="3448" a="1"/>
  <c r="L83" i="3448" s="1"/>
  <c r="BK83" i="3448" a="1"/>
  <c r="BK83" i="3448" s="1"/>
  <c r="K83" i="3448" a="1"/>
  <c r="K83" i="3448" s="1"/>
  <c r="BG83" i="3448" a="1"/>
  <c r="BG83" i="3448" s="1"/>
  <c r="J83" i="3448" a="1"/>
  <c r="J83" i="3448" s="1"/>
  <c r="M72" i="3523" s="1"/>
  <c r="BD83" i="3448" a="1"/>
  <c r="BD83" i="3448" s="1"/>
  <c r="BC83" i="3448" a="1"/>
  <c r="BC83" i="3448" s="1"/>
  <c r="AT83" i="3448" a="1"/>
  <c r="AT83" i="3448" s="1"/>
  <c r="AH83" i="3448" a="1"/>
  <c r="AH83" i="3448" s="1"/>
  <c r="AE83" i="3448" a="1"/>
  <c r="AE83" i="3448" s="1"/>
  <c r="AC83" i="3448" a="1"/>
  <c r="AC83" i="3448" s="1"/>
  <c r="S83" i="3448" a="1"/>
  <c r="S83" i="3448" s="1"/>
  <c r="Q83" i="3448" a="1"/>
  <c r="Q83" i="3448" s="1"/>
  <c r="BE39" i="3444" a="1"/>
  <c r="BE39" i="3444" s="1"/>
  <c r="BF39" i="3444" a="1"/>
  <c r="BF39" i="3444" s="1"/>
  <c r="AI39" i="3444" a="1"/>
  <c r="AI39" i="3444" s="1"/>
  <c r="BI14" i="3419"/>
  <c r="BE32" i="3419"/>
  <c r="BF33" i="3419"/>
  <c r="BH48" i="3419"/>
  <c r="BD49" i="3419"/>
  <c r="AG13" i="3448" a="1"/>
  <c r="AG13" i="3448" s="1"/>
  <c r="AG8" i="3448" s="1"/>
  <c r="T21" i="3448" a="1"/>
  <c r="T21" i="3448" s="1"/>
  <c r="BF22" i="3448" a="1"/>
  <c r="BF22" i="3448" s="1"/>
  <c r="AR26" i="3448" a="1"/>
  <c r="AR26" i="3448" s="1"/>
  <c r="BC45" i="3448" a="1"/>
  <c r="BC45" i="3448" s="1"/>
  <c r="BH57" i="3448" a="1"/>
  <c r="BH57" i="3448" s="1"/>
  <c r="AR60" i="3448" a="1"/>
  <c r="AR60" i="3448" s="1"/>
  <c r="AY70" i="3448" a="1"/>
  <c r="AY70" i="3448" s="1"/>
  <c r="AF70" i="3448" a="1"/>
  <c r="AF70" i="3448" s="1"/>
  <c r="AB70" i="3448" a="1"/>
  <c r="AB70" i="3448" s="1"/>
  <c r="R70" i="3448" a="1"/>
  <c r="R70" i="3448" s="1"/>
  <c r="I70" i="3448" a="1"/>
  <c r="I70" i="3448" s="1"/>
  <c r="E55" i="3523" s="1"/>
  <c r="F55" i="3523" s="1" a="1"/>
  <c r="F55" i="3523" s="1"/>
  <c r="AG81" i="3448" a="1"/>
  <c r="AG81" i="3448" s="1"/>
  <c r="AK13" i="3448" a="1"/>
  <c r="AK13" i="3448" s="1"/>
  <c r="AK8" i="3448" s="1"/>
  <c r="U22" i="3448" a="1"/>
  <c r="U22" i="3448" s="1"/>
  <c r="BG22" i="3448" a="1"/>
  <c r="BG22" i="3448" s="1"/>
  <c r="AU26" i="3448" a="1"/>
  <c r="AU26" i="3448" s="1"/>
  <c r="BL28" i="3448" a="1"/>
  <c r="BL28" i="3448" s="1"/>
  <c r="BK44" i="3448" a="1"/>
  <c r="BK44" i="3448" s="1"/>
  <c r="AU44" i="3448" a="1"/>
  <c r="AU44" i="3448" s="1"/>
  <c r="AR44" i="3448" a="1"/>
  <c r="AR44" i="3448" s="1"/>
  <c r="AQ44" i="3448" a="1"/>
  <c r="AQ44" i="3448" s="1"/>
  <c r="AH44" i="3448" a="1"/>
  <c r="AH44" i="3448" s="1"/>
  <c r="AD44" i="3448" a="1"/>
  <c r="AD44" i="3448" s="1"/>
  <c r="AC44" i="3448" a="1"/>
  <c r="AC44" i="3448" s="1"/>
  <c r="BC44" i="3448" a="1"/>
  <c r="BC44" i="3448" s="1"/>
  <c r="BD45" i="3448" a="1"/>
  <c r="BD45" i="3448" s="1"/>
  <c r="O48" i="3448" a="1"/>
  <c r="O48" i="3448" s="1"/>
  <c r="AL58" i="3448" a="1"/>
  <c r="AL58" i="3448" s="1"/>
  <c r="AG58" i="3448" a="1"/>
  <c r="AG58" i="3448" s="1"/>
  <c r="Y58" i="3448" a="1"/>
  <c r="Y58" i="3448" s="1"/>
  <c r="L58" i="3448" a="1"/>
  <c r="L58" i="3448" s="1"/>
  <c r="AK81" i="3448" a="1"/>
  <c r="AK81" i="3448" s="1"/>
  <c r="S24" i="3495"/>
  <c r="BI32" i="3419"/>
  <c r="BE42" i="3419"/>
  <c r="BA46" i="3419"/>
  <c r="BH56" i="3419"/>
  <c r="AF21" i="3448" a="1"/>
  <c r="AF21" i="3448" s="1"/>
  <c r="E44" i="3448" a="1"/>
  <c r="E44" i="3448" s="1"/>
  <c r="BJ45" i="3448" a="1"/>
  <c r="BJ45" i="3448" s="1"/>
  <c r="S48" i="3448" a="1"/>
  <c r="S48" i="3448" s="1"/>
  <c r="AY60" i="3448" a="1"/>
  <c r="AY60" i="3448" s="1"/>
  <c r="BF73" i="3448" a="1"/>
  <c r="BF73" i="3448" s="1"/>
  <c r="AI73" i="3448" a="1"/>
  <c r="AI73" i="3448" s="1"/>
  <c r="AQ81" i="3448" a="1"/>
  <c r="AQ81" i="3448" s="1"/>
  <c r="O83" i="3448" a="1"/>
  <c r="O83" i="3448" s="1"/>
  <c r="AJ22" i="3489" a="1"/>
  <c r="AJ22" i="3489" s="1"/>
  <c r="AS72" i="3444" a="1"/>
  <c r="AS72" i="3444" s="1"/>
  <c r="AN72" i="3444" a="1"/>
  <c r="AN72" i="3444" s="1"/>
  <c r="AG72" i="3444" a="1"/>
  <c r="AG72" i="3444" s="1"/>
  <c r="AE72" i="3444" a="1"/>
  <c r="AE72" i="3444" s="1"/>
  <c r="P72" i="3444" a="1"/>
  <c r="P72" i="3444" s="1"/>
  <c r="X72" i="3444" a="1"/>
  <c r="X72" i="3444" s="1"/>
  <c r="K72" i="3444" a="1"/>
  <c r="K72" i="3444" s="1"/>
  <c r="T153" i="3445"/>
  <c r="S153" i="3445" a="1"/>
  <c r="S153" i="3445" s="1"/>
  <c r="T217" i="3445"/>
  <c r="S217" i="3445" a="1"/>
  <c r="S217" i="3445" s="1"/>
  <c r="N217" i="3445" a="1"/>
  <c r="N217" i="3445" s="1"/>
  <c r="H217" i="3445"/>
  <c r="A250" i="3445"/>
  <c r="S250" i="3445" a="1"/>
  <c r="S250" i="3445" s="1"/>
  <c r="N250" i="3445" a="1"/>
  <c r="N250" i="3445" s="1"/>
  <c r="K250" i="3445" a="1"/>
  <c r="K250" i="3445" s="1"/>
  <c r="L250" i="3445" s="1"/>
  <c r="M250" i="3445" s="1"/>
  <c r="J250" i="3445" a="1"/>
  <c r="J250" i="3445" s="1"/>
  <c r="I250" i="3445" a="1"/>
  <c r="I250" i="3445" s="1"/>
  <c r="H250" i="3445"/>
  <c r="CX22" i="3479"/>
  <c r="E58" i="3444" a="1"/>
  <c r="E58" i="3444" s="1"/>
  <c r="H58" i="3444" a="1"/>
  <c r="H58" i="3444" s="1"/>
  <c r="F58" i="3444" a="1"/>
  <c r="F58" i="3444" s="1"/>
  <c r="A101" i="3445"/>
  <c r="N101" i="3445" a="1"/>
  <c r="N101" i="3445" s="1"/>
  <c r="A124" i="3445"/>
  <c r="K124" i="3445" a="1"/>
  <c r="K124" i="3445" s="1"/>
  <c r="L124" i="3445" s="1"/>
  <c r="M124" i="3445" s="1"/>
  <c r="H76" i="3560" a="1"/>
  <c r="H76" i="3560" s="1"/>
  <c r="G76" i="3560" a="1"/>
  <c r="G76" i="3560" s="1"/>
  <c r="A89" i="3560"/>
  <c r="D89" i="3560"/>
  <c r="AQ31" i="3479" a="1"/>
  <c r="AQ31" i="3479" s="1"/>
  <c r="AR31" i="3479" a="1"/>
  <c r="AR31" i="3479" s="1"/>
  <c r="AS31" i="3479" s="1" a="1"/>
  <c r="AS31" i="3479" s="1"/>
  <c r="AX31" i="3479" s="1" a="1"/>
  <c r="AX31" i="3479" s="1"/>
  <c r="CN44" i="3569" a="1"/>
  <c r="CN44" i="3569" s="1"/>
  <c r="CP44" i="3569" s="1"/>
  <c r="CJ44" i="3569" a="1"/>
  <c r="CJ44" i="3569" s="1"/>
  <c r="AD41" i="3448" a="1"/>
  <c r="AD41" i="3448" s="1"/>
  <c r="BQ61" i="3448" a="1"/>
  <c r="BQ61" i="3448" s="1"/>
  <c r="BU61" i="3448" s="1" a="1"/>
  <c r="BU61" i="3448" s="1"/>
  <c r="J66" i="3448" a="1"/>
  <c r="J66" i="3448" s="1"/>
  <c r="M51" i="3523" s="1"/>
  <c r="AH66" i="3448" a="1"/>
  <c r="AH66" i="3448" s="1"/>
  <c r="U74" i="3448" a="1"/>
  <c r="U74" i="3448" s="1"/>
  <c r="O75" i="3448" a="1"/>
  <c r="O75" i="3448" s="1"/>
  <c r="E63" i="3489" a="1"/>
  <c r="E63" i="3489" s="1"/>
  <c r="K30" i="3445" a="1"/>
  <c r="K30" i="3445" s="1"/>
  <c r="J30" i="3445" a="1"/>
  <c r="J30" i="3445" s="1"/>
  <c r="K85" i="3445" a="1"/>
  <c r="K85" i="3445" s="1"/>
  <c r="N85" i="3445" s="1" a="1"/>
  <c r="N85" i="3445" s="1"/>
  <c r="T112" i="3445"/>
  <c r="J112" i="3445" a="1"/>
  <c r="J112" i="3445" s="1"/>
  <c r="I112" i="3445" a="1"/>
  <c r="I112" i="3445" s="1"/>
  <c r="H112" i="3445"/>
  <c r="H124" i="3445"/>
  <c r="A154" i="3445"/>
  <c r="J154" i="3445" a="1"/>
  <c r="J154" i="3445" s="1"/>
  <c r="I211" i="3445" a="1"/>
  <c r="I211" i="3445" s="1"/>
  <c r="N211" i="3445" a="1"/>
  <c r="N211" i="3445" s="1"/>
  <c r="K211" i="3445" a="1"/>
  <c r="K211" i="3445" s="1"/>
  <c r="L211" i="3445" s="1"/>
  <c r="M211" i="3445" s="1"/>
  <c r="J211" i="3445" a="1"/>
  <c r="J211" i="3445" s="1"/>
  <c r="A211" i="3445"/>
  <c r="T211" i="3445"/>
  <c r="S211" i="3445" a="1"/>
  <c r="S211" i="3445" s="1"/>
  <c r="P211" i="3445"/>
  <c r="O211" i="3445"/>
  <c r="Q230" i="3445"/>
  <c r="N230" i="3445" a="1"/>
  <c r="N230" i="3445" s="1"/>
  <c r="K230" i="3445" a="1"/>
  <c r="K230" i="3445" s="1"/>
  <c r="L230" i="3445" s="1"/>
  <c r="M230" i="3445" s="1"/>
  <c r="J230" i="3445" a="1"/>
  <c r="J230" i="3445" s="1"/>
  <c r="A230" i="3445"/>
  <c r="T230" i="3445"/>
  <c r="P230" i="3445"/>
  <c r="O230" i="3445"/>
  <c r="P250" i="3445"/>
  <c r="AH41" i="3448" a="1"/>
  <c r="AH41" i="3448" s="1"/>
  <c r="H22" i="3444" a="1"/>
  <c r="H22" i="3444" s="1"/>
  <c r="F22" i="3444" a="1"/>
  <c r="F22" i="3444" s="1"/>
  <c r="E22" i="3444" a="1"/>
  <c r="E22" i="3444" s="1"/>
  <c r="AF70" i="3444" a="1"/>
  <c r="AF70" i="3444" s="1"/>
  <c r="AE70" i="3444" a="1"/>
  <c r="AE70" i="3444" s="1"/>
  <c r="X70" i="3444" a="1"/>
  <c r="X70" i="3444" s="1"/>
  <c r="W70" i="3444" a="1"/>
  <c r="W70" i="3444" s="1"/>
  <c r="U70" i="3444" a="1"/>
  <c r="U70" i="3444" s="1"/>
  <c r="BH70" i="3444" a="1"/>
  <c r="BH70" i="3444" s="1"/>
  <c r="BG70" i="3444" a="1"/>
  <c r="BG70" i="3444" s="1"/>
  <c r="AX70" i="3444" a="1"/>
  <c r="AX70" i="3444" s="1"/>
  <c r="AV70" i="3444" a="1"/>
  <c r="AV70" i="3444" s="1"/>
  <c r="AS70" i="3444" a="1"/>
  <c r="AS70" i="3444" s="1"/>
  <c r="AI70" i="3444" a="1"/>
  <c r="AI70" i="3444" s="1"/>
  <c r="AG70" i="3444" a="1"/>
  <c r="AG70" i="3444" s="1"/>
  <c r="O102" i="3445"/>
  <c r="N102" i="3445" a="1"/>
  <c r="N102" i="3445" s="1"/>
  <c r="K102" i="3445" a="1"/>
  <c r="K102" i="3445" s="1"/>
  <c r="L102" i="3445" s="1"/>
  <c r="M102" i="3445" s="1"/>
  <c r="J102" i="3445" a="1"/>
  <c r="J102" i="3445" s="1"/>
  <c r="I102" i="3445" a="1"/>
  <c r="I102" i="3445" s="1"/>
  <c r="H102" i="3445"/>
  <c r="Q102" i="3445"/>
  <c r="P102" i="3445"/>
  <c r="I124" i="3445" a="1"/>
  <c r="I124" i="3445" s="1"/>
  <c r="A155" i="3445"/>
  <c r="K155" i="3445" a="1"/>
  <c r="K155" i="3445" s="1"/>
  <c r="L155" i="3445" s="1"/>
  <c r="M155" i="3445" s="1"/>
  <c r="J155" i="3445" a="1"/>
  <c r="J155" i="3445" s="1"/>
  <c r="O155" i="3445"/>
  <c r="N155" i="3445" a="1"/>
  <c r="N155" i="3445" s="1"/>
  <c r="Q250" i="3445"/>
  <c r="H29" i="3560" a="1"/>
  <c r="H29" i="3560" s="1"/>
  <c r="M29" i="3560" a="1"/>
  <c r="M29" i="3560" s="1"/>
  <c r="I65" i="3560"/>
  <c r="M76" i="3560" a="1"/>
  <c r="M76" i="3560" s="1"/>
  <c r="AJ41" i="3448" a="1"/>
  <c r="AJ41" i="3448" s="1"/>
  <c r="V61" i="3448" a="1"/>
  <c r="V61" i="3448" s="1"/>
  <c r="AA72" i="3448" a="1"/>
  <c r="AA72" i="3448" s="1"/>
  <c r="V74" i="3448" a="1"/>
  <c r="V74" i="3448" s="1"/>
  <c r="S75" i="3448" a="1"/>
  <c r="S75" i="3448" s="1"/>
  <c r="BP95" i="3448"/>
  <c r="B127" i="3523" s="1"/>
  <c r="L127" i="3523" s="1" a="1"/>
  <c r="L127" i="3523" s="1"/>
  <c r="BC18" i="3495" a="1"/>
  <c r="BC18" i="3495" s="1"/>
  <c r="T102" i="3445"/>
  <c r="K112" i="3445" a="1"/>
  <c r="K112" i="3445" s="1"/>
  <c r="L112" i="3445" s="1"/>
  <c r="M112" i="3445" s="1"/>
  <c r="J124" i="3445" a="1"/>
  <c r="J124" i="3445" s="1"/>
  <c r="Q155" i="3445"/>
  <c r="P212" i="3445"/>
  <c r="O212" i="3445"/>
  <c r="N212" i="3445" a="1"/>
  <c r="N212" i="3445" s="1"/>
  <c r="A212" i="3445"/>
  <c r="S230" i="3445" a="1"/>
  <c r="S230" i="3445" s="1"/>
  <c r="T250" i="3445"/>
  <c r="H260" i="3445"/>
  <c r="O260" i="3445"/>
  <c r="N260" i="3445" a="1"/>
  <c r="N260" i="3445" s="1"/>
  <c r="K260" i="3445" a="1"/>
  <c r="K260" i="3445" s="1"/>
  <c r="L260" i="3445" s="1"/>
  <c r="M260" i="3445" s="1"/>
  <c r="J260" i="3445" a="1"/>
  <c r="J260" i="3445" s="1"/>
  <c r="I260" i="3445" a="1"/>
  <c r="I260" i="3445" s="1"/>
  <c r="A260" i="3445"/>
  <c r="T260" i="3445"/>
  <c r="S260" i="3445" a="1"/>
  <c r="S260" i="3445" s="1"/>
  <c r="Q260" i="3445"/>
  <c r="P260" i="3445"/>
  <c r="AL41" i="3448" a="1"/>
  <c r="AL41" i="3448" s="1"/>
  <c r="W61" i="3448" a="1"/>
  <c r="W61" i="3448" s="1"/>
  <c r="S64" i="3448" a="1"/>
  <c r="S64" i="3448" s="1"/>
  <c r="E67" i="3448" a="1"/>
  <c r="E67" i="3448" s="1"/>
  <c r="G52" i="3523" s="1"/>
  <c r="AH72" i="3448" a="1"/>
  <c r="AH72" i="3448" s="1"/>
  <c r="AC74" i="3448" a="1"/>
  <c r="AC74" i="3448" s="1"/>
  <c r="V75" i="3448" a="1"/>
  <c r="V75" i="3448" s="1"/>
  <c r="BR95" i="3448"/>
  <c r="D127" i="3523" s="1"/>
  <c r="V127" i="3523" s="1" a="1"/>
  <c r="V127" i="3523" s="1"/>
  <c r="J87" i="3489" a="1"/>
  <c r="J87" i="3489" s="1"/>
  <c r="H87" i="3489" a="1"/>
  <c r="H87" i="3489" s="1"/>
  <c r="J92" i="3489" a="1"/>
  <c r="J92" i="3489" s="1"/>
  <c r="E92" i="3489" a="1"/>
  <c r="E92" i="3489" s="1"/>
  <c r="H70" i="3444" a="1"/>
  <c r="H70" i="3444" s="1"/>
  <c r="H31" i="3445"/>
  <c r="P31" i="3445"/>
  <c r="Q31" i="3445" s="1"/>
  <c r="O31" i="3445"/>
  <c r="N31" i="3445" a="1"/>
  <c r="N31" i="3445" s="1"/>
  <c r="K31" i="3445" a="1"/>
  <c r="K31" i="3445" s="1"/>
  <c r="J31" i="3445" a="1"/>
  <c r="J31" i="3445" s="1"/>
  <c r="A31" i="3445"/>
  <c r="S31" i="3445" a="1"/>
  <c r="S31" i="3445" s="1"/>
  <c r="T31" i="3445" s="1"/>
  <c r="T103" i="3445"/>
  <c r="S103" i="3445" a="1"/>
  <c r="S103" i="3445" s="1"/>
  <c r="K103" i="3445" a="1"/>
  <c r="K103" i="3445" s="1"/>
  <c r="L103" i="3445" s="1"/>
  <c r="M103" i="3445" s="1"/>
  <c r="J103" i="3445" a="1"/>
  <c r="J103" i="3445" s="1"/>
  <c r="N112" i="3445" a="1"/>
  <c r="N112" i="3445" s="1"/>
  <c r="Q212" i="3445"/>
  <c r="N16" i="3448" a="1"/>
  <c r="N16" i="3448" s="1"/>
  <c r="AP41" i="3448" a="1"/>
  <c r="AP41" i="3448" s="1"/>
  <c r="BS95" i="3448"/>
  <c r="BH23" i="3444" a="1"/>
  <c r="BH23" i="3444" s="1"/>
  <c r="AF23" i="3444" a="1"/>
  <c r="AF23" i="3444" s="1"/>
  <c r="T23" i="3444" a="1"/>
  <c r="T23" i="3444" s="1"/>
  <c r="O23" i="3444" a="1"/>
  <c r="O23" i="3444" s="1"/>
  <c r="M23" i="3444" a="1"/>
  <c r="M23" i="3444" s="1"/>
  <c r="N70" i="3444" a="1"/>
  <c r="N70" i="3444" s="1"/>
  <c r="S104" i="3445" a="1"/>
  <c r="S104" i="3445" s="1"/>
  <c r="A104" i="3445"/>
  <c r="O242" i="3445"/>
  <c r="I242" i="3445" a="1"/>
  <c r="I242" i="3445" s="1"/>
  <c r="BT46" i="3479"/>
  <c r="CN33" i="3569" a="1"/>
  <c r="CN33" i="3569" s="1"/>
  <c r="CP33" i="3569" s="1"/>
  <c r="CJ33" i="3569" a="1"/>
  <c r="CJ33" i="3569" s="1"/>
  <c r="AF16" i="3448" a="1"/>
  <c r="AF16" i="3448" s="1"/>
  <c r="AT41" i="3448" a="1"/>
  <c r="AT41" i="3448" s="1"/>
  <c r="K62" i="3448" a="1"/>
  <c r="K62" i="3448" s="1"/>
  <c r="S45" i="3523" s="1"/>
  <c r="AO66" i="3448" a="1"/>
  <c r="AO66" i="3448" s="1"/>
  <c r="AQ72" i="3448" a="1"/>
  <c r="AQ72" i="3448" s="1"/>
  <c r="AB75" i="3448" a="1"/>
  <c r="AB75" i="3448" s="1"/>
  <c r="E81" i="3489" a="1"/>
  <c r="E81" i="3489" s="1"/>
  <c r="F81" i="3489" a="1"/>
  <c r="F81" i="3489" s="1"/>
  <c r="AD23" i="3444" a="1"/>
  <c r="AD23" i="3444" s="1"/>
  <c r="S70" i="3444" a="1"/>
  <c r="S70" i="3444" s="1"/>
  <c r="E78" i="3444" a="1"/>
  <c r="E78" i="3444" s="1"/>
  <c r="H78" i="3444" a="1"/>
  <c r="H78" i="3444" s="1"/>
  <c r="F78" i="3444" a="1"/>
  <c r="F78" i="3444" s="1"/>
  <c r="A89" i="3445"/>
  <c r="H104" i="3445"/>
  <c r="H242" i="3445"/>
  <c r="A252" i="3445"/>
  <c r="T252" i="3445"/>
  <c r="I252" i="3445" a="1"/>
  <c r="I252" i="3445" s="1"/>
  <c r="M32" i="3560" a="1"/>
  <c r="M32" i="3560" s="1"/>
  <c r="G32" i="3560" a="1"/>
  <c r="G32" i="3560" s="1"/>
  <c r="AD61" i="3448" a="1"/>
  <c r="AD61" i="3448" s="1"/>
  <c r="L62" i="3448" a="1"/>
  <c r="L62" i="3448" s="1"/>
  <c r="S66" i="3448" a="1"/>
  <c r="S66" i="3448" s="1"/>
  <c r="AP66" i="3448" a="1"/>
  <c r="AP66" i="3448" s="1"/>
  <c r="S67" i="3448" a="1"/>
  <c r="S67" i="3448" s="1"/>
  <c r="AS72" i="3448" a="1"/>
  <c r="AS72" i="3448" s="1"/>
  <c r="AH74" i="3448" a="1"/>
  <c r="AH74" i="3448" s="1"/>
  <c r="AH75" i="3448" a="1"/>
  <c r="AH75" i="3448" s="1"/>
  <c r="K25" i="3445" a="1"/>
  <c r="K25" i="3445" s="1"/>
  <c r="A25" i="3445"/>
  <c r="Q104" i="3445"/>
  <c r="I193" i="3445" a="1"/>
  <c r="I193" i="3445" s="1"/>
  <c r="T193" i="3445"/>
  <c r="Q193" i="3445"/>
  <c r="P193" i="3445"/>
  <c r="K193" i="3445" a="1"/>
  <c r="K193" i="3445" s="1"/>
  <c r="L193" i="3445" s="1"/>
  <c r="M193" i="3445" s="1"/>
  <c r="J193" i="3445" a="1"/>
  <c r="J193" i="3445" s="1"/>
  <c r="A193" i="3445"/>
  <c r="K242" i="3445" a="1"/>
  <c r="K242" i="3445" s="1"/>
  <c r="L242" i="3445" s="1"/>
  <c r="M242" i="3445" s="1"/>
  <c r="G89" i="3489" a="1"/>
  <c r="G89" i="3489" s="1"/>
  <c r="B89" i="3489" s="1"/>
  <c r="F89" i="3489" a="1"/>
  <c r="F89" i="3489" s="1"/>
  <c r="S115" i="3445" a="1"/>
  <c r="S115" i="3445" s="1"/>
  <c r="A115" i="3445"/>
  <c r="T115" i="3445"/>
  <c r="O115" i="3445"/>
  <c r="N115" i="3445" a="1"/>
  <c r="N115" i="3445" s="1"/>
  <c r="K115" i="3445" a="1"/>
  <c r="K115" i="3445" s="1"/>
  <c r="L115" i="3445" s="1"/>
  <c r="M115" i="3445" s="1"/>
  <c r="H221" i="3445"/>
  <c r="T221" i="3445"/>
  <c r="S221" i="3445" a="1"/>
  <c r="S221" i="3445" s="1"/>
  <c r="P221" i="3445"/>
  <c r="O221" i="3445"/>
  <c r="J221" i="3445" a="1"/>
  <c r="J221" i="3445" s="1"/>
  <c r="I221" i="3445" a="1"/>
  <c r="I221" i="3445" s="1"/>
  <c r="A221" i="3445"/>
  <c r="CJ45" i="3569" a="1"/>
  <c r="CJ45" i="3569" s="1"/>
  <c r="CN45" i="3569" a="1"/>
  <c r="CN45" i="3569" s="1"/>
  <c r="CP45" i="3569" s="1"/>
  <c r="AV49" i="3444" a="1"/>
  <c r="AV49" i="3444" s="1"/>
  <c r="AU49" i="3444" a="1"/>
  <c r="AU49" i="3444" s="1"/>
  <c r="Q49" i="3444" a="1"/>
  <c r="Q49" i="3444" s="1"/>
  <c r="K49" i="3444" a="1"/>
  <c r="K49" i="3444" s="1"/>
  <c r="S215" i="3445" a="1"/>
  <c r="S215" i="3445" s="1"/>
  <c r="K215" i="3445" a="1"/>
  <c r="K215" i="3445" s="1"/>
  <c r="L215" i="3445" s="1"/>
  <c r="M215" i="3445" s="1"/>
  <c r="CN20" i="3569" a="1"/>
  <c r="CN20" i="3569" s="1"/>
  <c r="CP20" i="3569" s="1"/>
  <c r="CJ20" i="3569" a="1"/>
  <c r="CJ20" i="3569" s="1"/>
  <c r="CN36" i="3569" a="1"/>
  <c r="CN36" i="3569" s="1"/>
  <c r="CP36" i="3569" s="1"/>
  <c r="CJ36" i="3569" a="1"/>
  <c r="CJ36" i="3569" s="1"/>
  <c r="N106" i="3445" a="1"/>
  <c r="N106" i="3445" s="1"/>
  <c r="K106" i="3445" a="1"/>
  <c r="K106" i="3445" s="1"/>
  <c r="L106" i="3445" s="1"/>
  <c r="M106" i="3445" s="1"/>
  <c r="A106" i="3445"/>
  <c r="A148" i="3445"/>
  <c r="T148" i="3445"/>
  <c r="N148" i="3445" a="1"/>
  <c r="N148" i="3445" s="1"/>
  <c r="K148" i="3445" a="1"/>
  <c r="K148" i="3445" s="1"/>
  <c r="L148" i="3445" s="1"/>
  <c r="M148" i="3445" s="1"/>
  <c r="H148" i="3445"/>
  <c r="K264" i="3445" a="1"/>
  <c r="K264" i="3445" s="1"/>
  <c r="L264" i="3445" s="1"/>
  <c r="M264" i="3445" s="1"/>
  <c r="J264" i="3445" a="1"/>
  <c r="J264" i="3445" s="1"/>
  <c r="I264" i="3445" a="1"/>
  <c r="I264" i="3445" s="1"/>
  <c r="H264" i="3445"/>
  <c r="A264" i="3445"/>
  <c r="T264" i="3445"/>
  <c r="S264" i="3445" a="1"/>
  <c r="S264" i="3445" s="1"/>
  <c r="Q264" i="3445"/>
  <c r="P264" i="3445"/>
  <c r="O264" i="3445"/>
  <c r="N264" i="3445" a="1"/>
  <c r="N264" i="3445" s="1"/>
  <c r="BB49" i="3444" a="1"/>
  <c r="BB49" i="3444" s="1"/>
  <c r="I148" i="3445" a="1"/>
  <c r="I148" i="3445" s="1"/>
  <c r="O186" i="3445"/>
  <c r="N186" i="3445" a="1"/>
  <c r="N186" i="3445" s="1"/>
  <c r="J186" i="3445" a="1"/>
  <c r="J186" i="3445" s="1"/>
  <c r="M71" i="3560" a="1"/>
  <c r="M71" i="3560" s="1"/>
  <c r="H71" i="3560" a="1"/>
  <c r="H71" i="3560" s="1"/>
  <c r="G71" i="3560" a="1"/>
  <c r="G71" i="3560" s="1"/>
  <c r="E40" i="3489" a="1"/>
  <c r="E40" i="3489" s="1"/>
  <c r="J40" i="3489" a="1"/>
  <c r="J40" i="3489" s="1"/>
  <c r="H40" i="3489" a="1"/>
  <c r="H40" i="3489" s="1"/>
  <c r="J75" i="3489" a="1"/>
  <c r="J75" i="3489" s="1"/>
  <c r="E75" i="3489" a="1"/>
  <c r="E75" i="3489" s="1"/>
  <c r="B90" i="3489"/>
  <c r="H72" i="3444" a="1"/>
  <c r="H72" i="3444" s="1"/>
  <c r="K234" i="3445" a="1"/>
  <c r="K234" i="3445" s="1"/>
  <c r="L234" i="3445" s="1"/>
  <c r="M234" i="3445" s="1"/>
  <c r="P234" i="3445"/>
  <c r="O234" i="3445"/>
  <c r="N234" i="3445" a="1"/>
  <c r="N234" i="3445" s="1"/>
  <c r="J234" i="3445" a="1"/>
  <c r="J234" i="3445" s="1"/>
  <c r="I234" i="3445" a="1"/>
  <c r="I234" i="3445" s="1"/>
  <c r="A234" i="3445"/>
  <c r="S234" i="3445" a="1"/>
  <c r="S234" i="3445" s="1"/>
  <c r="Q234" i="3445"/>
  <c r="CJ39" i="3569" a="1"/>
  <c r="CJ39" i="3569" s="1"/>
  <c r="CN39" i="3569" a="1"/>
  <c r="CN39" i="3569" s="1"/>
  <c r="CP39" i="3569" s="1"/>
  <c r="F95" i="3489" a="1"/>
  <c r="F95" i="3489" s="1"/>
  <c r="E95" i="3489" a="1"/>
  <c r="E95" i="3489" s="1"/>
  <c r="J95" i="3489" a="1"/>
  <c r="J95" i="3489" s="1"/>
  <c r="H95" i="3489" a="1"/>
  <c r="H95" i="3489" s="1"/>
  <c r="G95" i="3489" a="1"/>
  <c r="G95" i="3489" s="1"/>
  <c r="B95" i="3489" s="1"/>
  <c r="E25" i="3444" a="1"/>
  <c r="E25" i="3444" s="1"/>
  <c r="A25" i="3444" s="1"/>
  <c r="H25" i="3444" a="1"/>
  <c r="H25" i="3444" s="1"/>
  <c r="F25" i="3444" a="1"/>
  <c r="F25" i="3444" s="1"/>
  <c r="AY25" i="3444" s="1" a="1"/>
  <c r="AY25" i="3444" s="1"/>
  <c r="K118" i="3445" a="1"/>
  <c r="K118" i="3445" s="1"/>
  <c r="L118" i="3445" s="1"/>
  <c r="M118" i="3445" s="1"/>
  <c r="A178" i="3445"/>
  <c r="N178" i="3445" a="1"/>
  <c r="N178" i="3445" s="1"/>
  <c r="K178" i="3445" a="1"/>
  <c r="K178" i="3445" s="1"/>
  <c r="L178" i="3445" s="1"/>
  <c r="M178" i="3445" s="1"/>
  <c r="J178" i="3445" a="1"/>
  <c r="J178" i="3445" s="1"/>
  <c r="I178" i="3445" a="1"/>
  <c r="I178" i="3445" s="1"/>
  <c r="K186" i="3445" a="1"/>
  <c r="K186" i="3445" s="1"/>
  <c r="L186" i="3445" s="1"/>
  <c r="M186" i="3445" s="1"/>
  <c r="T234" i="3445"/>
  <c r="P266" i="3445"/>
  <c r="J266" i="3445" a="1"/>
  <c r="J266" i="3445" s="1"/>
  <c r="I266" i="3445" a="1"/>
  <c r="I266" i="3445" s="1"/>
  <c r="A266" i="3445"/>
  <c r="J139" i="3445" a="1"/>
  <c r="J139" i="3445" s="1"/>
  <c r="A139" i="3445"/>
  <c r="T139" i="3445"/>
  <c r="S139" i="3445" a="1"/>
  <c r="S139" i="3445" s="1"/>
  <c r="Q139" i="3445"/>
  <c r="P139" i="3445"/>
  <c r="O139" i="3445"/>
  <c r="K139" i="3445" a="1"/>
  <c r="K139" i="3445" s="1"/>
  <c r="L139" i="3445" s="1"/>
  <c r="M139" i="3445" s="1"/>
  <c r="I187" i="3445" a="1"/>
  <c r="I187" i="3445" s="1"/>
  <c r="J187" i="3445" a="1"/>
  <c r="J187" i="3445" s="1"/>
  <c r="A187" i="3445"/>
  <c r="T187" i="3445"/>
  <c r="S187" i="3445" a="1"/>
  <c r="S187" i="3445" s="1"/>
  <c r="Q187" i="3445"/>
  <c r="P187" i="3445"/>
  <c r="O187" i="3445"/>
  <c r="N187" i="3445" a="1"/>
  <c r="N187" i="3445" s="1"/>
  <c r="K187" i="3445" a="1"/>
  <c r="K187" i="3445" s="1"/>
  <c r="L187" i="3445" s="1"/>
  <c r="M187" i="3445" s="1"/>
  <c r="H82" i="3560" a="1"/>
  <c r="H82" i="3560" s="1"/>
  <c r="M82" i="3560" a="1"/>
  <c r="M82" i="3560" s="1"/>
  <c r="G82" i="3560" a="1"/>
  <c r="G82" i="3560" s="1"/>
  <c r="CJ23" i="3569" a="1"/>
  <c r="CJ23" i="3569" s="1"/>
  <c r="CN23" i="3569" a="1"/>
  <c r="CN23" i="3569" s="1"/>
  <c r="CP23" i="3569" s="1"/>
  <c r="BK62" i="3448" a="1"/>
  <c r="BK62" i="3448" s="1"/>
  <c r="BD74" i="3448" a="1"/>
  <c r="BD74" i="3448" s="1"/>
  <c r="BC75" i="3448" a="1"/>
  <c r="BC75" i="3448" s="1"/>
  <c r="E52" i="3444" a="1"/>
  <c r="E52" i="3444" s="1"/>
  <c r="A52" i="3444" s="1"/>
  <c r="H52" i="3444" a="1"/>
  <c r="H52" i="3444" s="1"/>
  <c r="A79" i="3445"/>
  <c r="N139" i="3445" a="1"/>
  <c r="N139" i="3445" s="1"/>
  <c r="T169" i="3445"/>
  <c r="N169" i="3445" a="1"/>
  <c r="N169" i="3445" s="1"/>
  <c r="K169" i="3445" a="1"/>
  <c r="K169" i="3445" s="1"/>
  <c r="L169" i="3445" s="1"/>
  <c r="M169" i="3445" s="1"/>
  <c r="J169" i="3445" a="1"/>
  <c r="J169" i="3445" s="1"/>
  <c r="A169" i="3445"/>
  <c r="S169" i="3445" a="1"/>
  <c r="S169" i="3445" s="1"/>
  <c r="P169" i="3445"/>
  <c r="O169" i="3445"/>
  <c r="M83" i="3560" a="1"/>
  <c r="M83" i="3560" s="1"/>
  <c r="H83" i="3560" a="1"/>
  <c r="H83" i="3560" s="1"/>
  <c r="J83" i="3560" s="1"/>
  <c r="AO56" i="3448" a="1"/>
  <c r="AO56" i="3448" s="1"/>
  <c r="BC66" i="3448" a="1"/>
  <c r="BC66" i="3448" s="1"/>
  <c r="AQ67" i="3448" a="1"/>
  <c r="AQ67" i="3448" s="1"/>
  <c r="AI45" i="3489" a="1"/>
  <c r="AI45" i="3489" s="1"/>
  <c r="BF45" i="3489" a="1"/>
  <c r="BF45" i="3489" s="1"/>
  <c r="BD45" i="3489" a="1"/>
  <c r="BD45" i="3489" s="1"/>
  <c r="BB45" i="3489" a="1"/>
  <c r="BB45" i="3489" s="1"/>
  <c r="AP45" i="3489" a="1"/>
  <c r="AP45" i="3489" s="1"/>
  <c r="H68" i="3489" a="1"/>
  <c r="H68" i="3489" s="1"/>
  <c r="AD90" i="3489" a="1"/>
  <c r="AD90" i="3489" s="1"/>
  <c r="F52" i="3444" a="1"/>
  <c r="F52" i="3444" s="1"/>
  <c r="AD52" i="3444" s="1" a="1"/>
  <c r="AD52" i="3444" s="1"/>
  <c r="AJ67" i="3444" a="1"/>
  <c r="AJ67" i="3444" s="1"/>
  <c r="AI67" i="3444" a="1"/>
  <c r="AI67" i="3444" s="1"/>
  <c r="W67" i="3444" a="1"/>
  <c r="W67" i="3444" s="1"/>
  <c r="V67" i="3444" a="1"/>
  <c r="V67" i="3444" s="1"/>
  <c r="R67" i="3444" a="1"/>
  <c r="R67" i="3444" s="1"/>
  <c r="BB67" i="3444" a="1"/>
  <c r="BB67" i="3444" s="1"/>
  <c r="AY67" i="3444" a="1"/>
  <c r="AY67" i="3444" s="1"/>
  <c r="AO67" i="3444" a="1"/>
  <c r="AO67" i="3444" s="1"/>
  <c r="AN67" i="3444" a="1"/>
  <c r="AN67" i="3444" s="1"/>
  <c r="S150" i="3445" a="1"/>
  <c r="S150" i="3445" s="1"/>
  <c r="Q150" i="3445"/>
  <c r="P150" i="3445"/>
  <c r="K150" i="3445" a="1"/>
  <c r="K150" i="3445" s="1"/>
  <c r="L150" i="3445" s="1"/>
  <c r="M150" i="3445" s="1"/>
  <c r="J150" i="3445" a="1"/>
  <c r="J150" i="3445" s="1"/>
  <c r="H150" i="3445"/>
  <c r="N247" i="3445" a="1"/>
  <c r="N247" i="3445" s="1"/>
  <c r="T247" i="3445"/>
  <c r="S247" i="3445" a="1"/>
  <c r="S247" i="3445" s="1"/>
  <c r="Q247" i="3445"/>
  <c r="O247" i="3445"/>
  <c r="K247" i="3445" a="1"/>
  <c r="K247" i="3445" s="1"/>
  <c r="L247" i="3445" s="1"/>
  <c r="M247" i="3445" s="1"/>
  <c r="A247" i="3445"/>
  <c r="Q266" i="3445"/>
  <c r="J36" i="3560"/>
  <c r="P36" i="3560" s="1" a="1"/>
  <c r="P36" i="3560" s="1"/>
  <c r="I36" i="3560"/>
  <c r="CJ43" i="3569" a="1"/>
  <c r="CJ43" i="3569" s="1"/>
  <c r="CN43" i="3569" a="1"/>
  <c r="CN43" i="3569" s="1"/>
  <c r="CP43" i="3569" s="1"/>
  <c r="AU61" i="3448" a="1"/>
  <c r="AU61" i="3448" s="1"/>
  <c r="AY40" i="3444" a="1"/>
  <c r="AY40" i="3444" s="1"/>
  <c r="Y40" i="3444" a="1"/>
  <c r="Y40" i="3444" s="1"/>
  <c r="T40" i="3444" a="1"/>
  <c r="T40" i="3444" s="1"/>
  <c r="K40" i="3444" a="1"/>
  <c r="K40" i="3444" s="1"/>
  <c r="BC40" i="3444" a="1"/>
  <c r="BC40" i="3444" s="1"/>
  <c r="AV40" i="3444" a="1"/>
  <c r="AV40" i="3444" s="1"/>
  <c r="AU40" i="3444" a="1"/>
  <c r="AU40" i="3444" s="1"/>
  <c r="AE40" i="3444" a="1"/>
  <c r="AE40" i="3444" s="1"/>
  <c r="Z40" i="3444" a="1"/>
  <c r="Z40" i="3444" s="1"/>
  <c r="Q141" i="3445"/>
  <c r="P141" i="3445"/>
  <c r="P180" i="3445"/>
  <c r="O180" i="3445"/>
  <c r="N180" i="3445" a="1"/>
  <c r="N180" i="3445" s="1"/>
  <c r="J180" i="3445" a="1"/>
  <c r="J180" i="3445" s="1"/>
  <c r="I180" i="3445" a="1"/>
  <c r="I180" i="3445" s="1"/>
  <c r="H180" i="3445"/>
  <c r="M24" i="3560" a="1"/>
  <c r="M24" i="3560" s="1"/>
  <c r="H24" i="3560" a="1"/>
  <c r="H24" i="3560" s="1"/>
  <c r="G24" i="3560" a="1"/>
  <c r="G24" i="3560" s="1"/>
  <c r="D61" i="3560"/>
  <c r="A61" i="3560"/>
  <c r="CX33" i="3479"/>
  <c r="BE38" i="3479"/>
  <c r="BD66" i="3448" a="1"/>
  <c r="BD66" i="3448" s="1"/>
  <c r="AZ67" i="3448" a="1"/>
  <c r="AZ67" i="3448" s="1"/>
  <c r="BK75" i="3448" a="1"/>
  <c r="BK75" i="3448" s="1"/>
  <c r="Y97" i="3448"/>
  <c r="AC97" i="3448" s="1"/>
  <c r="G69" i="3489" a="1"/>
  <c r="G69" i="3489" s="1"/>
  <c r="F69" i="3489" a="1"/>
  <c r="F69" i="3489" s="1"/>
  <c r="E69" i="3489" a="1"/>
  <c r="E69" i="3489" s="1"/>
  <c r="J69" i="3489" a="1"/>
  <c r="J69" i="3489" s="1"/>
  <c r="H69" i="3489" a="1"/>
  <c r="H69" i="3489" s="1"/>
  <c r="E77" i="3489" a="1"/>
  <c r="E77" i="3489" s="1"/>
  <c r="H91" i="3489" a="1"/>
  <c r="H91" i="3489" s="1"/>
  <c r="BE91" i="3489" s="1" a="1"/>
  <c r="BE91" i="3489" s="1"/>
  <c r="F91" i="3489" a="1"/>
  <c r="F91" i="3489" s="1"/>
  <c r="E91" i="3489" a="1"/>
  <c r="E91" i="3489" s="1"/>
  <c r="G91" i="3489" a="1"/>
  <c r="G91" i="3489" s="1"/>
  <c r="H28" i="3444" a="1"/>
  <c r="H28" i="3444" s="1"/>
  <c r="E28" i="3444" a="1"/>
  <c r="E28" i="3444" s="1"/>
  <c r="N79" i="3445" a="1"/>
  <c r="N79" i="3445" s="1"/>
  <c r="S109" i="3445" a="1"/>
  <c r="S109" i="3445" s="1"/>
  <c r="Q109" i="3445"/>
  <c r="J109" i="3445" a="1"/>
  <c r="J109" i="3445" s="1"/>
  <c r="J141" i="3445" a="1"/>
  <c r="J141" i="3445" s="1"/>
  <c r="T163" i="3445"/>
  <c r="P163" i="3445"/>
  <c r="O163" i="3445"/>
  <c r="N163" i="3445" a="1"/>
  <c r="N163" i="3445" s="1"/>
  <c r="K163" i="3445" a="1"/>
  <c r="K163" i="3445" s="1"/>
  <c r="L163" i="3445" s="1"/>
  <c r="M163" i="3445" s="1"/>
  <c r="J163" i="3445" a="1"/>
  <c r="J163" i="3445" s="1"/>
  <c r="A163" i="3445"/>
  <c r="Q180" i="3445"/>
  <c r="I41" i="3448" a="1"/>
  <c r="I41" i="3448" s="1"/>
  <c r="AV56" i="3448" a="1"/>
  <c r="AV56" i="3448" s="1"/>
  <c r="D61" i="3448" a="1"/>
  <c r="D61" i="3448" s="1"/>
  <c r="BR61" i="3448" s="1" a="1"/>
  <c r="BR61" i="3448" s="1"/>
  <c r="BV61" i="3448" s="1" a="1"/>
  <c r="BV61" i="3448" s="1"/>
  <c r="AY61" i="3448" a="1"/>
  <c r="AY61" i="3448" s="1"/>
  <c r="AY63" i="3448" a="1"/>
  <c r="AY63" i="3448" s="1"/>
  <c r="AE66" i="3448" a="1"/>
  <c r="AE66" i="3448" s="1"/>
  <c r="BA67" i="3448" a="1"/>
  <c r="BA67" i="3448" s="1"/>
  <c r="D72" i="3448" a="1"/>
  <c r="D72" i="3448" s="1"/>
  <c r="BR72" i="3448" s="1" a="1"/>
  <c r="BR72" i="3448" s="1"/>
  <c r="BV72" i="3448" s="1" a="1"/>
  <c r="BV72" i="3448" s="1"/>
  <c r="AF77" i="3448" a="1"/>
  <c r="AF77" i="3448" s="1"/>
  <c r="L45" i="3489" a="1"/>
  <c r="L45" i="3489" s="1"/>
  <c r="F77" i="3489" a="1"/>
  <c r="F77" i="3489" s="1"/>
  <c r="J91" i="3489" a="1"/>
  <c r="J91" i="3489" s="1"/>
  <c r="AQ40" i="3444" a="1"/>
  <c r="AQ40" i="3444" s="1"/>
  <c r="M67" i="3444" a="1"/>
  <c r="M67" i="3444" s="1"/>
  <c r="F75" i="3444" a="1"/>
  <c r="F75" i="3444" s="1"/>
  <c r="AN75" i="3444" s="1" a="1"/>
  <c r="AN75" i="3444" s="1"/>
  <c r="H75" i="3444" a="1"/>
  <c r="H75" i="3444" s="1"/>
  <c r="K141" i="3445" a="1"/>
  <c r="K141" i="3445" s="1"/>
  <c r="L141" i="3445" s="1"/>
  <c r="M141" i="3445" s="1"/>
  <c r="S180" i="3445" a="1"/>
  <c r="S180" i="3445" s="1"/>
  <c r="T206" i="3445"/>
  <c r="S206" i="3445" a="1"/>
  <c r="S206" i="3445" s="1"/>
  <c r="O206" i="3445"/>
  <c r="N206" i="3445" a="1"/>
  <c r="N206" i="3445" s="1"/>
  <c r="P247" i="3445"/>
  <c r="T268" i="3445"/>
  <c r="H268" i="3445"/>
  <c r="J25" i="3560"/>
  <c r="P25" i="3560" s="1" a="1"/>
  <c r="P25" i="3560" s="1"/>
  <c r="D74" i="3560"/>
  <c r="A74" i="3560"/>
  <c r="CJ48" i="3569" a="1"/>
  <c r="CJ48" i="3569" s="1"/>
  <c r="CN48" i="3569" a="1"/>
  <c r="CN48" i="3569" s="1"/>
  <c r="CP48" i="3569" s="1"/>
  <c r="BF56" i="3448" a="1"/>
  <c r="BF56" i="3448" s="1"/>
  <c r="BA61" i="3448" a="1"/>
  <c r="BA61" i="3448" s="1"/>
  <c r="D66" i="3448" a="1"/>
  <c r="D66" i="3448" s="1"/>
  <c r="BR66" i="3448" s="1" a="1"/>
  <c r="BR66" i="3448" s="1"/>
  <c r="BV66" i="3448" s="1" a="1"/>
  <c r="BV66" i="3448" s="1"/>
  <c r="BE66" i="3448" a="1"/>
  <c r="BE66" i="3448" s="1"/>
  <c r="E72" i="3448" a="1"/>
  <c r="E72" i="3448" s="1"/>
  <c r="G59" i="3523" s="1"/>
  <c r="AG77" i="3448" a="1"/>
  <c r="AG77" i="3448" s="1"/>
  <c r="O24" i="3576" a="1"/>
  <c r="O24" i="3576" s="1"/>
  <c r="L24" i="3576" a="1"/>
  <c r="L24" i="3576" s="1"/>
  <c r="K24" i="3576" a="1"/>
  <c r="K24" i="3576" s="1"/>
  <c r="X24" i="3576" s="1"/>
  <c r="E31" i="3489" a="1"/>
  <c r="E31" i="3489" s="1"/>
  <c r="H31" i="3489" a="1"/>
  <c r="H31" i="3489" s="1"/>
  <c r="G31" i="3489" a="1"/>
  <c r="G31" i="3489" s="1"/>
  <c r="AW31" i="3489" s="1" a="1"/>
  <c r="AW31" i="3489" s="1"/>
  <c r="F31" i="3489" a="1"/>
  <c r="F31" i="3489" s="1"/>
  <c r="J31" i="3489" a="1"/>
  <c r="J31" i="3489" s="1"/>
  <c r="G77" i="3489" a="1"/>
  <c r="G77" i="3489" s="1"/>
  <c r="BA77" i="3489" s="1" a="1"/>
  <c r="BA77" i="3489" s="1"/>
  <c r="F28" i="3444" a="1"/>
  <c r="F28" i="3444" s="1"/>
  <c r="Q28" i="3444" s="1" a="1"/>
  <c r="Q28" i="3444" s="1"/>
  <c r="H41" i="3444" a="1"/>
  <c r="H41" i="3444" s="1"/>
  <c r="F41" i="3444" a="1"/>
  <c r="F41" i="3444" s="1"/>
  <c r="U67" i="3444" a="1"/>
  <c r="U67" i="3444" s="1"/>
  <c r="P109" i="3445"/>
  <c r="A133" i="3445"/>
  <c r="K133" i="3445" a="1"/>
  <c r="K133" i="3445" s="1"/>
  <c r="L133" i="3445" s="1"/>
  <c r="M133" i="3445" s="1"/>
  <c r="T141" i="3445"/>
  <c r="S152" i="3445" a="1"/>
  <c r="S152" i="3445" s="1"/>
  <c r="Q152" i="3445"/>
  <c r="P152" i="3445"/>
  <c r="O152" i="3445"/>
  <c r="N152" i="3445" a="1"/>
  <c r="N152" i="3445" s="1"/>
  <c r="I152" i="3445" a="1"/>
  <c r="I152" i="3445" s="1"/>
  <c r="H152" i="3445"/>
  <c r="A152" i="3445"/>
  <c r="Q163" i="3445"/>
  <c r="K172" i="3445" a="1"/>
  <c r="K172" i="3445" s="1"/>
  <c r="L172" i="3445" s="1"/>
  <c r="M172" i="3445" s="1"/>
  <c r="J172" i="3445" a="1"/>
  <c r="J172" i="3445" s="1"/>
  <c r="A172" i="3445"/>
  <c r="BH56" i="3448" a="1"/>
  <c r="BH56" i="3448" s="1"/>
  <c r="BK61" i="3448" a="1"/>
  <c r="BK61" i="3448" s="1"/>
  <c r="E66" i="3448" a="1"/>
  <c r="E66" i="3448" s="1"/>
  <c r="G51" i="3523" s="1"/>
  <c r="AF66" i="3448" a="1"/>
  <c r="AF66" i="3448" s="1"/>
  <c r="BG67" i="3448" a="1"/>
  <c r="BG67" i="3448" s="1"/>
  <c r="T45" i="3489" a="1"/>
  <c r="T45" i="3489" s="1"/>
  <c r="H77" i="3489" a="1"/>
  <c r="H77" i="3489" s="1"/>
  <c r="N100" i="3445" a="1"/>
  <c r="N100" i="3445" s="1"/>
  <c r="I100" i="3445" a="1"/>
  <c r="I100" i="3445" s="1"/>
  <c r="H100" i="3445"/>
  <c r="S163" i="3445" a="1"/>
  <c r="S163" i="3445" s="1"/>
  <c r="I172" i="3445" a="1"/>
  <c r="I172" i="3445" s="1"/>
  <c r="I199" i="3445" a="1"/>
  <c r="I199" i="3445" s="1"/>
  <c r="T199" i="3445"/>
  <c r="S199" i="3445" a="1"/>
  <c r="S199" i="3445" s="1"/>
  <c r="Q199" i="3445"/>
  <c r="O199" i="3445"/>
  <c r="N199" i="3445" a="1"/>
  <c r="N199" i="3445" s="1"/>
  <c r="A199" i="3445"/>
  <c r="G37" i="3560" a="1"/>
  <c r="G37" i="3560" s="1"/>
  <c r="M37" i="3560" a="1"/>
  <c r="M37" i="3560" s="1"/>
  <c r="H37" i="3560" a="1"/>
  <c r="H37" i="3560" s="1"/>
  <c r="I63" i="3560"/>
  <c r="L63" i="3560"/>
  <c r="J63" i="3560"/>
  <c r="CN28" i="3569" a="1"/>
  <c r="CN28" i="3569" s="1"/>
  <c r="CP28" i="3569" s="1"/>
  <c r="CJ28" i="3569" a="1"/>
  <c r="CJ28" i="3569" s="1"/>
  <c r="G49" i="3489" a="1"/>
  <c r="G49" i="3489" s="1"/>
  <c r="BI49" i="3489" s="1" a="1"/>
  <c r="BI49" i="3489" s="1"/>
  <c r="H65" i="3489" a="1"/>
  <c r="H65" i="3489" s="1"/>
  <c r="AR65" i="3489" s="1" a="1"/>
  <c r="AR65" i="3489" s="1"/>
  <c r="F63" i="3444" a="1"/>
  <c r="F63" i="3444" s="1"/>
  <c r="O63" i="3444" s="1" a="1"/>
  <c r="O63" i="3444" s="1"/>
  <c r="H73" i="3444" a="1"/>
  <c r="H73" i="3444" s="1"/>
  <c r="K48" i="3445" a="1"/>
  <c r="K48" i="3445" s="1"/>
  <c r="L48" i="3445" s="1"/>
  <c r="M48" i="3445" s="1"/>
  <c r="H29" i="3436" s="1"/>
  <c r="H107" i="3445"/>
  <c r="H111" i="3445"/>
  <c r="Q120" i="3445"/>
  <c r="O128" i="3445"/>
  <c r="H143" i="3445"/>
  <c r="S162" i="3445" a="1"/>
  <c r="S162" i="3445" s="1"/>
  <c r="O173" i="3445"/>
  <c r="S182" i="3445" a="1"/>
  <c r="S182" i="3445" s="1"/>
  <c r="S205" i="3445" a="1"/>
  <c r="S205" i="3445" s="1"/>
  <c r="S218" i="3445" a="1"/>
  <c r="S218" i="3445" s="1"/>
  <c r="H223" i="3445"/>
  <c r="P238" i="3445"/>
  <c r="O243" i="3445"/>
  <c r="T248" i="3445"/>
  <c r="T251" i="3445"/>
  <c r="I257" i="3445" a="1"/>
  <c r="I257" i="3445" s="1"/>
  <c r="L45" i="3560"/>
  <c r="H53" i="3560" a="1"/>
  <c r="H53" i="3560" s="1"/>
  <c r="K60" i="3560"/>
  <c r="BE25" i="3479"/>
  <c r="CI25" i="3479"/>
  <c r="E23" i="3489" a="1"/>
  <c r="E23" i="3489" s="1"/>
  <c r="J65" i="3489" a="1"/>
  <c r="J65" i="3489" s="1"/>
  <c r="G83" i="3489" a="1"/>
  <c r="G83" i="3489" s="1"/>
  <c r="F47" i="3444" a="1"/>
  <c r="F47" i="3444" s="1"/>
  <c r="L47" i="3444" s="1" a="1"/>
  <c r="L47" i="3444" s="1"/>
  <c r="I111" i="3445" a="1"/>
  <c r="I111" i="3445" s="1"/>
  <c r="P173" i="3445"/>
  <c r="T205" i="3445"/>
  <c r="Q238" i="3445"/>
  <c r="J257" i="3445" a="1"/>
  <c r="J257" i="3445" s="1"/>
  <c r="L60" i="3560"/>
  <c r="J111" i="3445" a="1"/>
  <c r="J111" i="3445" s="1"/>
  <c r="I129" i="3445" a="1"/>
  <c r="I129" i="3445" s="1"/>
  <c r="K216" i="3445" a="1"/>
  <c r="K216" i="3445" s="1"/>
  <c r="L216" i="3445" s="1"/>
  <c r="M216" i="3445" s="1"/>
  <c r="A235" i="3445"/>
  <c r="S238" i="3445" a="1"/>
  <c r="S238" i="3445" s="1"/>
  <c r="N257" i="3445" a="1"/>
  <c r="N257" i="3445" s="1"/>
  <c r="L23" i="3560"/>
  <c r="AP35" i="3479"/>
  <c r="H55" i="3489" a="1"/>
  <c r="H55" i="3489" s="1"/>
  <c r="J83" i="3489" a="1"/>
  <c r="J83" i="3489" s="1"/>
  <c r="E96" i="3489" a="1"/>
  <c r="E96" i="3489" s="1"/>
  <c r="K111" i="3445" a="1"/>
  <c r="K111" i="3445" s="1"/>
  <c r="L111" i="3445" s="1"/>
  <c r="M111" i="3445" s="1"/>
  <c r="K143" i="3445" a="1"/>
  <c r="K143" i="3445" s="1"/>
  <c r="L143" i="3445" s="1"/>
  <c r="M143" i="3445" s="1"/>
  <c r="T238" i="3445"/>
  <c r="O257" i="3445"/>
  <c r="H39" i="3560" a="1"/>
  <c r="H39" i="3560" s="1"/>
  <c r="AA34" i="3479"/>
  <c r="AP27" i="3479"/>
  <c r="F96" i="3489" a="1"/>
  <c r="F96" i="3489" s="1"/>
  <c r="O111" i="3445"/>
  <c r="N143" i="3445" a="1"/>
  <c r="N143" i="3445" s="1"/>
  <c r="K226" i="3445" a="1"/>
  <c r="K226" i="3445" s="1"/>
  <c r="L226" i="3445" s="1"/>
  <c r="M226" i="3445" s="1"/>
  <c r="P257" i="3445"/>
  <c r="M23" i="3560" a="1"/>
  <c r="M23" i="3560" s="1"/>
  <c r="H81" i="3560" a="1"/>
  <c r="H81" i="3560" s="1"/>
  <c r="AP65" i="3479"/>
  <c r="F42" i="3489" a="1"/>
  <c r="F42" i="3489" s="1"/>
  <c r="G96" i="3489" a="1"/>
  <c r="G96" i="3489" s="1"/>
  <c r="L96" i="3489" s="1" a="1"/>
  <c r="L96" i="3489" s="1"/>
  <c r="S129" i="3445" a="1"/>
  <c r="S129" i="3445" s="1"/>
  <c r="P143" i="3445"/>
  <c r="N226" i="3445" a="1"/>
  <c r="N226" i="3445" s="1"/>
  <c r="O235" i="3445"/>
  <c r="A240" i="3445"/>
  <c r="S257" i="3445" a="1"/>
  <c r="S257" i="3445" s="1"/>
  <c r="P261" i="3445"/>
  <c r="H54" i="3560" a="1"/>
  <c r="H54" i="3560" s="1"/>
  <c r="O226" i="3445"/>
  <c r="P235" i="3445"/>
  <c r="T257" i="3445"/>
  <c r="J108" i="3445" a="1"/>
  <c r="J108" i="3445" s="1"/>
  <c r="H130" i="3445"/>
  <c r="Q226" i="3445"/>
  <c r="S235" i="3445" a="1"/>
  <c r="S235" i="3445" s="1"/>
  <c r="S240" i="3445" a="1"/>
  <c r="S240" i="3445" s="1"/>
  <c r="M48" i="3560" a="1"/>
  <c r="M48" i="3560" s="1"/>
  <c r="H69" i="3560" a="1"/>
  <c r="H69" i="3560" s="1"/>
  <c r="K69" i="3560" s="1"/>
  <c r="F22" i="3489" a="1"/>
  <c r="F22" i="3489" s="1"/>
  <c r="E90" i="3489" a="1"/>
  <c r="E90" i="3489" s="1"/>
  <c r="I130" i="3445" a="1"/>
  <c r="I130" i="3445" s="1"/>
  <c r="H149" i="3445"/>
  <c r="S226" i="3445" a="1"/>
  <c r="S226" i="3445" s="1"/>
  <c r="T235" i="3445"/>
  <c r="H33" i="3560" a="1"/>
  <c r="H33" i="3560" s="1"/>
  <c r="J33" i="3560" s="1"/>
  <c r="H41" i="3560" a="1"/>
  <c r="H41" i="3560" s="1"/>
  <c r="L41" i="3560" s="1"/>
  <c r="G63" i="3560" a="1"/>
  <c r="G63" i="3560" s="1"/>
  <c r="CJ21" i="3569" a="1"/>
  <c r="CJ21" i="3569" s="1"/>
  <c r="H49" i="3560" a="1"/>
  <c r="H49" i="3560" s="1"/>
  <c r="I49" i="3560" s="1"/>
  <c r="H189" i="3445"/>
  <c r="O146" i="3445"/>
  <c r="N181" i="3445" a="1"/>
  <c r="N181" i="3445" s="1"/>
  <c r="K205" i="3445" a="1"/>
  <c r="K205" i="3445" s="1"/>
  <c r="L205" i="3445" s="1"/>
  <c r="M205" i="3445" s="1"/>
  <c r="CN30" i="3569" a="1"/>
  <c r="CN30" i="3569" s="1"/>
  <c r="CP30" i="3569" s="1"/>
  <c r="H114" i="3445"/>
  <c r="S138" i="3445" a="1"/>
  <c r="S138" i="3445" s="1"/>
  <c r="I142" i="3445" a="1"/>
  <c r="I142" i="3445" s="1"/>
  <c r="P146" i="3445"/>
  <c r="O181" i="3445"/>
  <c r="S255" i="3445" a="1"/>
  <c r="S255" i="3445" s="1"/>
  <c r="I34" i="3560"/>
  <c r="F53" i="3489" a="1"/>
  <c r="F53" i="3489" s="1"/>
  <c r="E65" i="3489" a="1"/>
  <c r="E65" i="3489" s="1"/>
  <c r="K114" i="3445" a="1"/>
  <c r="K114" i="3445" s="1"/>
  <c r="L114" i="3445" s="1"/>
  <c r="M114" i="3445" s="1"/>
  <c r="J142" i="3445" a="1"/>
  <c r="J142" i="3445" s="1"/>
  <c r="Q146" i="3445"/>
  <c r="H173" i="3445"/>
  <c r="J238" i="3445" a="1"/>
  <c r="J238" i="3445" s="1"/>
  <c r="J267" i="3445" a="1"/>
  <c r="J267" i="3445" s="1"/>
  <c r="J34" i="3560"/>
  <c r="P34" i="3560" s="1" a="1"/>
  <c r="P34" i="3560" s="1"/>
  <c r="H84" i="3560" a="1"/>
  <c r="H84" i="3560" s="1"/>
  <c r="CN22" i="3569" a="1"/>
  <c r="CN22" i="3569" s="1"/>
  <c r="CP22" i="3569" s="1"/>
  <c r="O114" i="3445"/>
  <c r="I120" i="3445" a="1"/>
  <c r="I120" i="3445" s="1"/>
  <c r="K142" i="3445" a="1"/>
  <c r="K142" i="3445" s="1"/>
  <c r="L142" i="3445" s="1"/>
  <c r="M142" i="3445" s="1"/>
  <c r="I173" i="3445" a="1"/>
  <c r="I173" i="3445" s="1"/>
  <c r="N205" i="3445" a="1"/>
  <c r="N205" i="3445" s="1"/>
  <c r="K238" i="3445" a="1"/>
  <c r="K238" i="3445" s="1"/>
  <c r="L238" i="3445" s="1"/>
  <c r="M238" i="3445" s="1"/>
  <c r="N251" i="3445" a="1"/>
  <c r="N251" i="3445" s="1"/>
  <c r="K267" i="3445" a="1"/>
  <c r="K267" i="3445" s="1"/>
  <c r="L267" i="3445" s="1"/>
  <c r="M267" i="3445" s="1"/>
  <c r="K34" i="3560"/>
  <c r="E49" i="3489" a="1"/>
  <c r="E49" i="3489" s="1"/>
  <c r="E83" i="3489" a="1"/>
  <c r="E83" i="3489" s="1"/>
  <c r="P114" i="3445"/>
  <c r="J120" i="3445" a="1"/>
  <c r="J120" i="3445" s="1"/>
  <c r="H128" i="3445"/>
  <c r="H162" i="3445"/>
  <c r="O205" i="3445"/>
  <c r="H248" i="3445"/>
  <c r="O251" i="3445"/>
  <c r="A257" i="3445"/>
  <c r="N267" i="3445" a="1"/>
  <c r="N267" i="3445" s="1"/>
  <c r="G60" i="3560" a="1"/>
  <c r="G60" i="3560" s="1"/>
  <c r="O60" i="3560" s="1" a="1"/>
  <c r="O60" i="3560" s="1"/>
  <c r="CI29" i="3479"/>
  <c r="CJ29" i="3479" s="1" a="1"/>
  <c r="CJ29" i="3479" s="1"/>
  <c r="K173" i="3445" a="1"/>
  <c r="K173" i="3445" s="1"/>
  <c r="L173" i="3445" s="1"/>
  <c r="M173" i="3445" s="1"/>
  <c r="P205" i="3445"/>
  <c r="P251" i="3445"/>
  <c r="P267" i="3445"/>
  <c r="H31" i="3444" a="1"/>
  <c r="H31" i="3444" s="1"/>
  <c r="O120" i="3445"/>
  <c r="Q205" i="3445"/>
  <c r="O238" i="3445"/>
  <c r="S251" i="3445" a="1"/>
  <c r="S251" i="3445" s="1"/>
  <c r="Q267" i="3445"/>
  <c r="G21" i="3560" a="1"/>
  <c r="G21" i="3560" s="1"/>
  <c r="K45" i="3560"/>
  <c r="J60" i="3560"/>
  <c r="M84" i="3560" a="1"/>
  <c r="M84" i="3560" s="1"/>
  <c r="B406" i="3449" a="1"/>
  <c r="B406" i="3449" s="1"/>
  <c r="B405" i="3449"/>
  <c r="B408" i="3449" a="1"/>
  <c r="B408" i="3449" s="1"/>
  <c r="B407" i="3449" a="1"/>
  <c r="B407" i="3449" s="1"/>
  <c r="B615" i="3449" a="1"/>
  <c r="B615" i="3449" s="1"/>
  <c r="B603" i="3449" a="1"/>
  <c r="B603" i="3449" s="1"/>
  <c r="H3" i="3434" s="1"/>
  <c r="B619" i="3449" a="1"/>
  <c r="B619" i="3449" s="1"/>
  <c r="B542" i="3449" a="1"/>
  <c r="B542" i="3449" s="1"/>
  <c r="M74" i="3528" a="1"/>
  <c r="M74" i="3528" s="1"/>
  <c r="M108" i="3528" a="1"/>
  <c r="M108" i="3528" s="1"/>
  <c r="K125" i="3528" a="1"/>
  <c r="K125" i="3528" s="1"/>
  <c r="K90" i="3528" a="1"/>
  <c r="K90" i="3528" s="1"/>
  <c r="K56" i="3528" a="1"/>
  <c r="K56" i="3528" s="1"/>
  <c r="Q14" i="3528" a="1"/>
  <c r="Q14" i="3528" s="1"/>
  <c r="E14" i="3528" a="1"/>
  <c r="E14" i="3528" s="1"/>
  <c r="P14" i="3528" a="1"/>
  <c r="P14" i="3528" s="1"/>
  <c r="D14" i="3528" a="1"/>
  <c r="D14" i="3528" s="1"/>
  <c r="O14" i="3528" a="1"/>
  <c r="O14" i="3528" s="1"/>
  <c r="C14" i="3528" a="1"/>
  <c r="C14" i="3528" s="1"/>
  <c r="C82" i="3528" s="1"/>
  <c r="L14" i="3528" a="1"/>
  <c r="L14" i="3528" s="1"/>
  <c r="B82" i="3528"/>
  <c r="J14" i="3528" a="1"/>
  <c r="J14" i="3528" s="1"/>
  <c r="R14" i="3528" a="1"/>
  <c r="R14" i="3528" s="1"/>
  <c r="F14" i="3528" a="1"/>
  <c r="F14" i="3528" s="1"/>
  <c r="M14" i="3528" a="1"/>
  <c r="M14" i="3528" s="1"/>
  <c r="K14" i="3528" a="1"/>
  <c r="K14" i="3528" s="1"/>
  <c r="N14" i="3528" a="1"/>
  <c r="N14" i="3528" s="1"/>
  <c r="I14" i="3528" a="1"/>
  <c r="I14" i="3528" s="1"/>
  <c r="H14" i="3528" a="1"/>
  <c r="H14" i="3528" s="1"/>
  <c r="G14" i="3528" a="1"/>
  <c r="G14" i="3528" s="1"/>
  <c r="S14" i="3528" a="1"/>
  <c r="S14" i="3528" s="1"/>
  <c r="S126" i="3528" a="1"/>
  <c r="S126" i="3528" s="1"/>
  <c r="S91" i="3528" a="1"/>
  <c r="S91" i="3528" s="1"/>
  <c r="S57" i="3528" a="1"/>
  <c r="S57" i="3528" s="1"/>
  <c r="K33" i="3528" a="1"/>
  <c r="K33" i="3528" s="1"/>
  <c r="J33" i="3528" a="1"/>
  <c r="J33" i="3528" s="1"/>
  <c r="I33" i="3528" a="1"/>
  <c r="I33" i="3528" s="1"/>
  <c r="H33" i="3528" a="1"/>
  <c r="H33" i="3528" s="1"/>
  <c r="R33" i="3528" a="1"/>
  <c r="R33" i="3528" s="1"/>
  <c r="F33" i="3528" a="1"/>
  <c r="F33" i="3528" s="1"/>
  <c r="P33" i="3528" a="1"/>
  <c r="P33" i="3528" s="1"/>
  <c r="D33" i="3528" a="1"/>
  <c r="D33" i="3528" s="1"/>
  <c r="B101" i="3528"/>
  <c r="L33" i="3528" a="1"/>
  <c r="L33" i="3528" s="1"/>
  <c r="Q33" i="3528" a="1"/>
  <c r="Q33" i="3528" s="1"/>
  <c r="O33" i="3528" a="1"/>
  <c r="O33" i="3528" s="1"/>
  <c r="N33" i="3528" a="1"/>
  <c r="N33" i="3528" s="1"/>
  <c r="M33" i="3528" a="1"/>
  <c r="M33" i="3528" s="1"/>
  <c r="G33" i="3528" a="1"/>
  <c r="G33" i="3528" s="1"/>
  <c r="E33" i="3528" a="1"/>
  <c r="E33" i="3528" s="1"/>
  <c r="C33" i="3528" a="1"/>
  <c r="C33" i="3528" s="1"/>
  <c r="C101" i="3528" s="1"/>
  <c r="S33" i="3528" a="1"/>
  <c r="S33" i="3528" s="1"/>
  <c r="I108" i="3528" a="1"/>
  <c r="I108" i="3528" s="1"/>
  <c r="I143" i="3528" a="1"/>
  <c r="I143" i="3528" s="1"/>
  <c r="I74" i="3528" a="1"/>
  <c r="I74" i="3528" s="1"/>
  <c r="S50" i="3528" a="1"/>
  <c r="S50" i="3528" s="1"/>
  <c r="S84" i="3528" a="1"/>
  <c r="S84" i="3528" s="1"/>
  <c r="S119" i="3528" a="1"/>
  <c r="S119" i="3528" s="1"/>
  <c r="K35" i="3528" a="1"/>
  <c r="K35" i="3528" s="1"/>
  <c r="B103" i="3528"/>
  <c r="J35" i="3528" a="1"/>
  <c r="J35" i="3528" s="1"/>
  <c r="I35" i="3528" a="1"/>
  <c r="I35" i="3528" s="1"/>
  <c r="H35" i="3528" a="1"/>
  <c r="H35" i="3528" s="1"/>
  <c r="R35" i="3528" a="1"/>
  <c r="R35" i="3528" s="1"/>
  <c r="F35" i="3528" a="1"/>
  <c r="F35" i="3528" s="1"/>
  <c r="P35" i="3528" a="1"/>
  <c r="P35" i="3528" s="1"/>
  <c r="D35" i="3528" a="1"/>
  <c r="D35" i="3528" s="1"/>
  <c r="L35" i="3528" a="1"/>
  <c r="L35" i="3528" s="1"/>
  <c r="G35" i="3528" a="1"/>
  <c r="G35" i="3528" s="1"/>
  <c r="E35" i="3528" a="1"/>
  <c r="E35" i="3528" s="1"/>
  <c r="C35" i="3528" a="1"/>
  <c r="C35" i="3528" s="1"/>
  <c r="C103" i="3528" s="1"/>
  <c r="S35" i="3528" a="1"/>
  <c r="S35" i="3528" s="1"/>
  <c r="Q35" i="3528" a="1"/>
  <c r="Q35" i="3528" s="1"/>
  <c r="O35" i="3528" a="1"/>
  <c r="O35" i="3528" s="1"/>
  <c r="N35" i="3528" a="1"/>
  <c r="N35" i="3528" s="1"/>
  <c r="M35" i="3528" a="1"/>
  <c r="M35" i="3528" s="1"/>
  <c r="Q24" i="3528" a="1"/>
  <c r="Q24" i="3528" s="1"/>
  <c r="E24" i="3528" a="1"/>
  <c r="E24" i="3528" s="1"/>
  <c r="P24" i="3528" a="1"/>
  <c r="P24" i="3528" s="1"/>
  <c r="D24" i="3528" a="1"/>
  <c r="D24" i="3528" s="1"/>
  <c r="B92" i="3528"/>
  <c r="O24" i="3528" a="1"/>
  <c r="O24" i="3528" s="1"/>
  <c r="C24" i="3528" a="1"/>
  <c r="C24" i="3528" s="1"/>
  <c r="C92" i="3528" s="1"/>
  <c r="L24" i="3528" a="1"/>
  <c r="L24" i="3528" s="1"/>
  <c r="J24" i="3528" a="1"/>
  <c r="J24" i="3528" s="1"/>
  <c r="R24" i="3528" a="1"/>
  <c r="R24" i="3528" s="1"/>
  <c r="F24" i="3528" a="1"/>
  <c r="F24" i="3528" s="1"/>
  <c r="S24" i="3528" a="1"/>
  <c r="S24" i="3528" s="1"/>
  <c r="N24" i="3528" a="1"/>
  <c r="N24" i="3528" s="1"/>
  <c r="M24" i="3528" a="1"/>
  <c r="M24" i="3528" s="1"/>
  <c r="K24" i="3528" a="1"/>
  <c r="K24" i="3528" s="1"/>
  <c r="I24" i="3528" a="1"/>
  <c r="I24" i="3528" s="1"/>
  <c r="H24" i="3528" a="1"/>
  <c r="H24" i="3528" s="1"/>
  <c r="G24" i="3528" a="1"/>
  <c r="G24" i="3528" s="1"/>
  <c r="K41" i="3528" a="1"/>
  <c r="K41" i="3528" s="1"/>
  <c r="J41" i="3528" a="1"/>
  <c r="J41" i="3528" s="1"/>
  <c r="I41" i="3528" a="1"/>
  <c r="I41" i="3528" s="1"/>
  <c r="H41" i="3528" a="1"/>
  <c r="H41" i="3528" s="1"/>
  <c r="B109" i="3528"/>
  <c r="R41" i="3528" a="1"/>
  <c r="R41" i="3528" s="1"/>
  <c r="F41" i="3528" a="1"/>
  <c r="F41" i="3528" s="1"/>
  <c r="P41" i="3528" a="1"/>
  <c r="P41" i="3528" s="1"/>
  <c r="D41" i="3528" a="1"/>
  <c r="D41" i="3528" s="1"/>
  <c r="L41" i="3528" a="1"/>
  <c r="L41" i="3528" s="1"/>
  <c r="M41" i="3528" a="1"/>
  <c r="M41" i="3528" s="1"/>
  <c r="G41" i="3528" a="1"/>
  <c r="G41" i="3528" s="1"/>
  <c r="E41" i="3528" a="1"/>
  <c r="E41" i="3528" s="1"/>
  <c r="C41" i="3528" a="1"/>
  <c r="C41" i="3528" s="1"/>
  <c r="C109" i="3528" s="1"/>
  <c r="N41" i="3528" a="1"/>
  <c r="N41" i="3528" s="1"/>
  <c r="S41" i="3528" a="1"/>
  <c r="S41" i="3528" s="1"/>
  <c r="Q41" i="3528" a="1"/>
  <c r="Q41" i="3528" s="1"/>
  <c r="O41" i="3528" a="1"/>
  <c r="O41" i="3528" s="1"/>
  <c r="H128" i="3528" a="1"/>
  <c r="H128" i="3528" s="1"/>
  <c r="H59" i="3528" a="1"/>
  <c r="H59" i="3528" s="1"/>
  <c r="H93" i="3528" a="1"/>
  <c r="H93" i="3528" s="1"/>
  <c r="N123" i="3528" a="1"/>
  <c r="N123" i="3528" s="1"/>
  <c r="N54" i="3528" a="1"/>
  <c r="N54" i="3528" s="1"/>
  <c r="K17" i="3528" a="1"/>
  <c r="K17" i="3528" s="1"/>
  <c r="J17" i="3528" a="1"/>
  <c r="J17" i="3528" s="1"/>
  <c r="I17" i="3528" a="1"/>
  <c r="I17" i="3528" s="1"/>
  <c r="R17" i="3528" a="1"/>
  <c r="R17" i="3528" s="1"/>
  <c r="F17" i="3528" a="1"/>
  <c r="F17" i="3528" s="1"/>
  <c r="B85" i="3528"/>
  <c r="P17" i="3528" a="1"/>
  <c r="P17" i="3528" s="1"/>
  <c r="D17" i="3528" a="1"/>
  <c r="D17" i="3528" s="1"/>
  <c r="L17" i="3528" a="1"/>
  <c r="L17" i="3528" s="1"/>
  <c r="M17" i="3528" a="1"/>
  <c r="M17" i="3528" s="1"/>
  <c r="H17" i="3528" a="1"/>
  <c r="H17" i="3528" s="1"/>
  <c r="G17" i="3528" a="1"/>
  <c r="G17" i="3528" s="1"/>
  <c r="E17" i="3528" a="1"/>
  <c r="E17" i="3528" s="1"/>
  <c r="C17" i="3528" a="1"/>
  <c r="C17" i="3528" s="1"/>
  <c r="C85" i="3528" s="1"/>
  <c r="S17" i="3528" a="1"/>
  <c r="S17" i="3528" s="1"/>
  <c r="N17" i="3528" a="1"/>
  <c r="N17" i="3528" s="1"/>
  <c r="Q17" i="3528" a="1"/>
  <c r="Q17" i="3528" s="1"/>
  <c r="O17" i="3528" a="1"/>
  <c r="O17" i="3528" s="1"/>
  <c r="Q26" i="3528" a="1"/>
  <c r="Q26" i="3528" s="1"/>
  <c r="E26" i="3528" a="1"/>
  <c r="E26" i="3528" s="1"/>
  <c r="P26" i="3528" a="1"/>
  <c r="P26" i="3528" s="1"/>
  <c r="D26" i="3528" a="1"/>
  <c r="D26" i="3528" s="1"/>
  <c r="O26" i="3528" a="1"/>
  <c r="O26" i="3528" s="1"/>
  <c r="C26" i="3528" a="1"/>
  <c r="C26" i="3528" s="1"/>
  <c r="C94" i="3528" s="1"/>
  <c r="L26" i="3528" a="1"/>
  <c r="L26" i="3528" s="1"/>
  <c r="B94" i="3528"/>
  <c r="J26" i="3528" a="1"/>
  <c r="J26" i="3528" s="1"/>
  <c r="R26" i="3528" a="1"/>
  <c r="R26" i="3528" s="1"/>
  <c r="F26" i="3528" a="1"/>
  <c r="F26" i="3528" s="1"/>
  <c r="H26" i="3528" a="1"/>
  <c r="H26" i="3528" s="1"/>
  <c r="G26" i="3528" a="1"/>
  <c r="G26" i="3528" s="1"/>
  <c r="S26" i="3528" a="1"/>
  <c r="S26" i="3528" s="1"/>
  <c r="N26" i="3528" a="1"/>
  <c r="N26" i="3528" s="1"/>
  <c r="M26" i="3528" a="1"/>
  <c r="M26" i="3528" s="1"/>
  <c r="K26" i="3528" a="1"/>
  <c r="K26" i="3528" s="1"/>
  <c r="I26" i="3528" a="1"/>
  <c r="I26" i="3528" s="1"/>
  <c r="H139" i="3528" a="1"/>
  <c r="H139" i="3528" s="1"/>
  <c r="H70" i="3528" a="1"/>
  <c r="H70" i="3528" s="1"/>
  <c r="H104" i="3528" a="1"/>
  <c r="H104" i="3528" s="1"/>
  <c r="K27" i="3528" a="1"/>
  <c r="K27" i="3528" s="1"/>
  <c r="J27" i="3528" a="1"/>
  <c r="J27" i="3528" s="1"/>
  <c r="I27" i="3528" a="1"/>
  <c r="I27" i="3528" s="1"/>
  <c r="R27" i="3528" a="1"/>
  <c r="R27" i="3528" s="1"/>
  <c r="F27" i="3528" a="1"/>
  <c r="F27" i="3528" s="1"/>
  <c r="P27" i="3528" a="1"/>
  <c r="P27" i="3528" s="1"/>
  <c r="D27" i="3528" a="1"/>
  <c r="D27" i="3528" s="1"/>
  <c r="L27" i="3528" a="1"/>
  <c r="L27" i="3528" s="1"/>
  <c r="O27" i="3528" a="1"/>
  <c r="O27" i="3528" s="1"/>
  <c r="N27" i="3528" a="1"/>
  <c r="N27" i="3528" s="1"/>
  <c r="M27" i="3528" a="1"/>
  <c r="M27" i="3528" s="1"/>
  <c r="H27" i="3528" a="1"/>
  <c r="H27" i="3528" s="1"/>
  <c r="G27" i="3528" a="1"/>
  <c r="G27" i="3528" s="1"/>
  <c r="E27" i="3528" a="1"/>
  <c r="E27" i="3528" s="1"/>
  <c r="C27" i="3528" a="1"/>
  <c r="C27" i="3528" s="1"/>
  <c r="C95" i="3528" s="1"/>
  <c r="Q27" i="3528" a="1"/>
  <c r="Q27" i="3528" s="1"/>
  <c r="B95" i="3528"/>
  <c r="S27" i="3528" a="1"/>
  <c r="S27" i="3528" s="1"/>
  <c r="Q53" i="3528" a="1"/>
  <c r="Q53" i="3528" s="1"/>
  <c r="Q87" i="3528" a="1"/>
  <c r="Q87" i="3528" s="1"/>
  <c r="K29" i="3528" a="1"/>
  <c r="K29" i="3528" s="1"/>
  <c r="J29" i="3528" a="1"/>
  <c r="J29" i="3528" s="1"/>
  <c r="I29" i="3528" a="1"/>
  <c r="I29" i="3528" s="1"/>
  <c r="R29" i="3528" a="1"/>
  <c r="R29" i="3528" s="1"/>
  <c r="F29" i="3528" a="1"/>
  <c r="F29" i="3528" s="1"/>
  <c r="P29" i="3528" a="1"/>
  <c r="P29" i="3528" s="1"/>
  <c r="D29" i="3528" a="1"/>
  <c r="D29" i="3528" s="1"/>
  <c r="L29" i="3528" a="1"/>
  <c r="L29" i="3528" s="1"/>
  <c r="E29" i="3528" a="1"/>
  <c r="E29" i="3528" s="1"/>
  <c r="B97" i="3528"/>
  <c r="C29" i="3528" a="1"/>
  <c r="C29" i="3528" s="1"/>
  <c r="C97" i="3528" s="1"/>
  <c r="G29" i="3528" a="1"/>
  <c r="G29" i="3528" s="1"/>
  <c r="S29" i="3528" a="1"/>
  <c r="S29" i="3528" s="1"/>
  <c r="Q29" i="3528" a="1"/>
  <c r="Q29" i="3528" s="1"/>
  <c r="O29" i="3528" a="1"/>
  <c r="O29" i="3528" s="1"/>
  <c r="N29" i="3528" a="1"/>
  <c r="N29" i="3528" s="1"/>
  <c r="M29" i="3528" a="1"/>
  <c r="M29" i="3528" s="1"/>
  <c r="H29" i="3528" a="1"/>
  <c r="H29" i="3528" s="1"/>
  <c r="Q30" i="3528" a="1"/>
  <c r="Q30" i="3528" s="1"/>
  <c r="E30" i="3528" a="1"/>
  <c r="E30" i="3528" s="1"/>
  <c r="P30" i="3528" a="1"/>
  <c r="P30" i="3528" s="1"/>
  <c r="D30" i="3528" a="1"/>
  <c r="D30" i="3528" s="1"/>
  <c r="O30" i="3528" a="1"/>
  <c r="O30" i="3528" s="1"/>
  <c r="C30" i="3528" a="1"/>
  <c r="C30" i="3528" s="1"/>
  <c r="C98" i="3528" s="1"/>
  <c r="N30" i="3528" a="1"/>
  <c r="N30" i="3528" s="1"/>
  <c r="L30" i="3528" a="1"/>
  <c r="L30" i="3528" s="1"/>
  <c r="J30" i="3528" a="1"/>
  <c r="J30" i="3528" s="1"/>
  <c r="R30" i="3528" a="1"/>
  <c r="R30" i="3528" s="1"/>
  <c r="F30" i="3528" a="1"/>
  <c r="F30" i="3528" s="1"/>
  <c r="M30" i="3528" a="1"/>
  <c r="M30" i="3528" s="1"/>
  <c r="K30" i="3528" a="1"/>
  <c r="K30" i="3528" s="1"/>
  <c r="I30" i="3528" a="1"/>
  <c r="I30" i="3528" s="1"/>
  <c r="H30" i="3528" a="1"/>
  <c r="H30" i="3528" s="1"/>
  <c r="G30" i="3528" a="1"/>
  <c r="G30" i="3528" s="1"/>
  <c r="B98" i="3528"/>
  <c r="S30" i="3528" a="1"/>
  <c r="S30" i="3528" s="1"/>
  <c r="K37" i="3528" a="1"/>
  <c r="K37" i="3528" s="1"/>
  <c r="J37" i="3528" a="1"/>
  <c r="J37" i="3528" s="1"/>
  <c r="I37" i="3528" a="1"/>
  <c r="I37" i="3528" s="1"/>
  <c r="H37" i="3528" a="1"/>
  <c r="H37" i="3528" s="1"/>
  <c r="R37" i="3528" a="1"/>
  <c r="R37" i="3528" s="1"/>
  <c r="F37" i="3528" a="1"/>
  <c r="F37" i="3528" s="1"/>
  <c r="P37" i="3528" a="1"/>
  <c r="P37" i="3528" s="1"/>
  <c r="D37" i="3528" a="1"/>
  <c r="D37" i="3528" s="1"/>
  <c r="L37" i="3528" a="1"/>
  <c r="L37" i="3528" s="1"/>
  <c r="S37" i="3528" a="1"/>
  <c r="S37" i="3528" s="1"/>
  <c r="Q37" i="3528" a="1"/>
  <c r="Q37" i="3528" s="1"/>
  <c r="O37" i="3528" a="1"/>
  <c r="O37" i="3528" s="1"/>
  <c r="N37" i="3528" a="1"/>
  <c r="N37" i="3528" s="1"/>
  <c r="M37" i="3528" a="1"/>
  <c r="M37" i="3528" s="1"/>
  <c r="B105" i="3528"/>
  <c r="G37" i="3528" a="1"/>
  <c r="G37" i="3528" s="1"/>
  <c r="E37" i="3528" a="1"/>
  <c r="E37" i="3528" s="1"/>
  <c r="C37" i="3528" a="1"/>
  <c r="C37" i="3528" s="1"/>
  <c r="C105" i="3528" s="1"/>
  <c r="K31" i="3528" a="1"/>
  <c r="K31" i="3528" s="1"/>
  <c r="J31" i="3528" a="1"/>
  <c r="J31" i="3528" s="1"/>
  <c r="B99" i="3528"/>
  <c r="I31" i="3528" a="1"/>
  <c r="I31" i="3528" s="1"/>
  <c r="H31" i="3528" a="1"/>
  <c r="H31" i="3528" s="1"/>
  <c r="R31" i="3528" a="1"/>
  <c r="R31" i="3528" s="1"/>
  <c r="F31" i="3528" a="1"/>
  <c r="F31" i="3528" s="1"/>
  <c r="P31" i="3528" a="1"/>
  <c r="P31" i="3528" s="1"/>
  <c r="D31" i="3528" a="1"/>
  <c r="D31" i="3528" s="1"/>
  <c r="L31" i="3528" a="1"/>
  <c r="L31" i="3528" s="1"/>
  <c r="S31" i="3528" a="1"/>
  <c r="S31" i="3528" s="1"/>
  <c r="Q31" i="3528" a="1"/>
  <c r="Q31" i="3528" s="1"/>
  <c r="O31" i="3528" a="1"/>
  <c r="O31" i="3528" s="1"/>
  <c r="N31" i="3528" a="1"/>
  <c r="N31" i="3528" s="1"/>
  <c r="M31" i="3528" a="1"/>
  <c r="M31" i="3528" s="1"/>
  <c r="G31" i="3528" a="1"/>
  <c r="G31" i="3528" s="1"/>
  <c r="E31" i="3528" a="1"/>
  <c r="E31" i="3528" s="1"/>
  <c r="C31" i="3528" a="1"/>
  <c r="C31" i="3528" s="1"/>
  <c r="C99" i="3528" s="1"/>
  <c r="S106" i="3528" a="1"/>
  <c r="S106" i="3528" s="1"/>
  <c r="S141" i="3528" a="1"/>
  <c r="S141" i="3528" s="1"/>
  <c r="S72" i="3528" a="1"/>
  <c r="S72" i="3528" s="1"/>
  <c r="S54" i="3528" a="1"/>
  <c r="S54" i="3528" s="1"/>
  <c r="S123" i="3528" a="1"/>
  <c r="S123" i="3528" s="1"/>
  <c r="S88" i="3528" a="1"/>
  <c r="S88" i="3528" s="1"/>
  <c r="H141" i="3528" a="1"/>
  <c r="H141" i="3528" s="1"/>
  <c r="H106" i="3528" a="1"/>
  <c r="H106" i="3528" s="1"/>
  <c r="H66" i="3528" a="1"/>
  <c r="H66" i="3528" s="1"/>
  <c r="H135" i="3528" a="1"/>
  <c r="H135" i="3528" s="1"/>
  <c r="H100" i="3528" a="1"/>
  <c r="H100" i="3528" s="1"/>
  <c r="I135" i="3528" a="1"/>
  <c r="I135" i="3528" s="1"/>
  <c r="I66" i="3528" a="1"/>
  <c r="I66" i="3528" s="1"/>
  <c r="H16" i="3528" a="1"/>
  <c r="H16" i="3528" s="1"/>
  <c r="Q34" i="3528" a="1"/>
  <c r="Q34" i="3528" s="1"/>
  <c r="E34" i="3528" a="1"/>
  <c r="E34" i="3528" s="1"/>
  <c r="P34" i="3528" a="1"/>
  <c r="P34" i="3528" s="1"/>
  <c r="D34" i="3528" a="1"/>
  <c r="D34" i="3528" s="1"/>
  <c r="O34" i="3528" a="1"/>
  <c r="O34" i="3528" s="1"/>
  <c r="C34" i="3528" a="1"/>
  <c r="C34" i="3528" s="1"/>
  <c r="C102" i="3528" s="1"/>
  <c r="N34" i="3528" a="1"/>
  <c r="N34" i="3528" s="1"/>
  <c r="B102" i="3528"/>
  <c r="L34" i="3528" a="1"/>
  <c r="L34" i="3528" s="1"/>
  <c r="J34" i="3528" a="1"/>
  <c r="J34" i="3528" s="1"/>
  <c r="R34" i="3528" a="1"/>
  <c r="R34" i="3528" s="1"/>
  <c r="F34" i="3528" a="1"/>
  <c r="F34" i="3528" s="1"/>
  <c r="M38" i="3528" a="1"/>
  <c r="M38" i="3528" s="1"/>
  <c r="G143" i="3528" a="1"/>
  <c r="G143" i="3528" s="1"/>
  <c r="G108" i="3528" a="1"/>
  <c r="G108" i="3528" s="1"/>
  <c r="G131" i="3528" a="1"/>
  <c r="G131" i="3528" s="1"/>
  <c r="K15" i="3528" a="1"/>
  <c r="K15" i="3528" s="1"/>
  <c r="J15" i="3528" a="1"/>
  <c r="J15" i="3528" s="1"/>
  <c r="B83" i="3528"/>
  <c r="I15" i="3528" a="1"/>
  <c r="I15" i="3528" s="1"/>
  <c r="R15" i="3528" a="1"/>
  <c r="R15" i="3528" s="1"/>
  <c r="F15" i="3528" a="1"/>
  <c r="F15" i="3528" s="1"/>
  <c r="P15" i="3528" a="1"/>
  <c r="P15" i="3528" s="1"/>
  <c r="D15" i="3528" a="1"/>
  <c r="D15" i="3528" s="1"/>
  <c r="L15" i="3528" a="1"/>
  <c r="L15" i="3528" s="1"/>
  <c r="G122" i="3528" a="1"/>
  <c r="G122" i="3528" s="1"/>
  <c r="G87" i="3528" a="1"/>
  <c r="G87" i="3528" s="1"/>
  <c r="G22" i="3528" a="1"/>
  <c r="G22" i="3528" s="1"/>
  <c r="C25" i="3528" a="1"/>
  <c r="C25" i="3528" s="1"/>
  <c r="C93" i="3528" s="1"/>
  <c r="B96" i="3528"/>
  <c r="Q28" i="3528" a="1"/>
  <c r="Q28" i="3528" s="1"/>
  <c r="E28" i="3528" a="1"/>
  <c r="E28" i="3528" s="1"/>
  <c r="P28" i="3528" a="1"/>
  <c r="P28" i="3528" s="1"/>
  <c r="D28" i="3528" a="1"/>
  <c r="D28" i="3528" s="1"/>
  <c r="O28" i="3528" a="1"/>
  <c r="O28" i="3528" s="1"/>
  <c r="C28" i="3528" a="1"/>
  <c r="C28" i="3528" s="1"/>
  <c r="C96" i="3528" s="1"/>
  <c r="L28" i="3528" a="1"/>
  <c r="L28" i="3528" s="1"/>
  <c r="J28" i="3528" a="1"/>
  <c r="J28" i="3528" s="1"/>
  <c r="R28" i="3528" a="1"/>
  <c r="R28" i="3528" s="1"/>
  <c r="F28" i="3528" a="1"/>
  <c r="F28" i="3528" s="1"/>
  <c r="H74" i="3528" a="1"/>
  <c r="H74" i="3528" s="1"/>
  <c r="M54" i="3528" a="1"/>
  <c r="M54" i="3528" s="1"/>
  <c r="M123" i="3528" a="1"/>
  <c r="M123" i="3528" s="1"/>
  <c r="M126" i="3528" a="1"/>
  <c r="M126" i="3528" s="1"/>
  <c r="I16" i="3528" a="1"/>
  <c r="I16" i="3528" s="1"/>
  <c r="E25" i="3528" a="1"/>
  <c r="E25" i="3528" s="1"/>
  <c r="K16" i="3528" a="1"/>
  <c r="K16" i="3528" s="1"/>
  <c r="H19" i="3528" a="1"/>
  <c r="H19" i="3528" s="1"/>
  <c r="H22" i="3528" a="1"/>
  <c r="H22" i="3528" s="1"/>
  <c r="O23" i="3528" a="1"/>
  <c r="O23" i="3528" s="1"/>
  <c r="M135" i="3528" a="1"/>
  <c r="M135" i="3528" s="1"/>
  <c r="M100" i="3528" a="1"/>
  <c r="M100" i="3528" s="1"/>
  <c r="M66" i="3528" a="1"/>
  <c r="M66" i="3528" s="1"/>
  <c r="G34" i="3528" a="1"/>
  <c r="G34" i="3528" s="1"/>
  <c r="Q18" i="3528" a="1"/>
  <c r="Q18" i="3528" s="1"/>
  <c r="E18" i="3528" a="1"/>
  <c r="E18" i="3528" s="1"/>
  <c r="P18" i="3528" a="1"/>
  <c r="P18" i="3528" s="1"/>
  <c r="D18" i="3528" a="1"/>
  <c r="D18" i="3528" s="1"/>
  <c r="B86" i="3528"/>
  <c r="O18" i="3528" a="1"/>
  <c r="O18" i="3528" s="1"/>
  <c r="C18" i="3528" a="1"/>
  <c r="C18" i="3528" s="1"/>
  <c r="C86" i="3528" s="1"/>
  <c r="L18" i="3528" a="1"/>
  <c r="L18" i="3528" s="1"/>
  <c r="J18" i="3528" a="1"/>
  <c r="J18" i="3528" s="1"/>
  <c r="R18" i="3528" a="1"/>
  <c r="R18" i="3528" s="1"/>
  <c r="F18" i="3528" a="1"/>
  <c r="F18" i="3528" s="1"/>
  <c r="K21" i="3528" a="1"/>
  <c r="K21" i="3528" s="1"/>
  <c r="J21" i="3528" a="1"/>
  <c r="J21" i="3528" s="1"/>
  <c r="B89" i="3528"/>
  <c r="I21" i="3528" a="1"/>
  <c r="I21" i="3528" s="1"/>
  <c r="R21" i="3528" a="1"/>
  <c r="R21" i="3528" s="1"/>
  <c r="F21" i="3528" a="1"/>
  <c r="F21" i="3528" s="1"/>
  <c r="P21" i="3528" a="1"/>
  <c r="P21" i="3528" s="1"/>
  <c r="D21" i="3528" a="1"/>
  <c r="D21" i="3528" s="1"/>
  <c r="L21" i="3528" a="1"/>
  <c r="L21" i="3528" s="1"/>
  <c r="G25" i="3528" a="1"/>
  <c r="G25" i="3528" s="1"/>
  <c r="B107" i="3528"/>
  <c r="K39" i="3528" a="1"/>
  <c r="K39" i="3528" s="1"/>
  <c r="J39" i="3528" a="1"/>
  <c r="J39" i="3528" s="1"/>
  <c r="I39" i="3528" a="1"/>
  <c r="I39" i="3528" s="1"/>
  <c r="H39" i="3528" a="1"/>
  <c r="H39" i="3528" s="1"/>
  <c r="R39" i="3528" a="1"/>
  <c r="R39" i="3528" s="1"/>
  <c r="F39" i="3528" a="1"/>
  <c r="F39" i="3528" s="1"/>
  <c r="P39" i="3528" a="1"/>
  <c r="P39" i="3528" s="1"/>
  <c r="D39" i="3528" a="1"/>
  <c r="D39" i="3528" s="1"/>
  <c r="L39" i="3528" a="1"/>
  <c r="L39" i="3528" s="1"/>
  <c r="Q42" i="3528" a="1"/>
  <c r="Q42" i="3528" s="1"/>
  <c r="E42" i="3528" a="1"/>
  <c r="E42" i="3528" s="1"/>
  <c r="P42" i="3528" a="1"/>
  <c r="P42" i="3528" s="1"/>
  <c r="D42" i="3528" a="1"/>
  <c r="D42" i="3528" s="1"/>
  <c r="B110" i="3528"/>
  <c r="O42" i="3528" a="1"/>
  <c r="O42" i="3528" s="1"/>
  <c r="C42" i="3528" a="1"/>
  <c r="C42" i="3528" s="1"/>
  <c r="C110" i="3528" s="1"/>
  <c r="N42" i="3528" a="1"/>
  <c r="N42" i="3528" s="1"/>
  <c r="L42" i="3528" a="1"/>
  <c r="L42" i="3528" s="1"/>
  <c r="J42" i="3528" a="1"/>
  <c r="J42" i="3528" s="1"/>
  <c r="R42" i="3528" a="1"/>
  <c r="R42" i="3528" s="1"/>
  <c r="F42" i="3528" a="1"/>
  <c r="F42" i="3528" s="1"/>
  <c r="E15" i="3528" a="1"/>
  <c r="E15" i="3528" s="1"/>
  <c r="M16" i="3528" a="1"/>
  <c r="M16" i="3528" s="1"/>
  <c r="M19" i="3528" a="1"/>
  <c r="M19" i="3528" s="1"/>
  <c r="I22" i="3528" a="1"/>
  <c r="I22" i="3528" s="1"/>
  <c r="H34" i="3528" a="1"/>
  <c r="H34" i="3528" s="1"/>
  <c r="K66" i="3528" a="1"/>
  <c r="K66" i="3528" s="1"/>
  <c r="H28" i="3528" a="1"/>
  <c r="H28" i="3528" s="1"/>
  <c r="S66" i="3528" a="1"/>
  <c r="S66" i="3528" s="1"/>
  <c r="S135" i="3528" a="1"/>
  <c r="S135" i="3528" s="1"/>
  <c r="I100" i="3528" a="1"/>
  <c r="I100" i="3528" s="1"/>
  <c r="G15" i="3528" a="1"/>
  <c r="G15" i="3528" s="1"/>
  <c r="N16" i="3528" a="1"/>
  <c r="N16" i="3528" s="1"/>
  <c r="G18" i="3528" a="1"/>
  <c r="G18" i="3528" s="1"/>
  <c r="N19" i="3528" a="1"/>
  <c r="N19" i="3528" s="1"/>
  <c r="C21" i="3528" a="1"/>
  <c r="C21" i="3528" s="1"/>
  <c r="C89" i="3528" s="1"/>
  <c r="I34" i="3528" a="1"/>
  <c r="I34" i="3528" s="1"/>
  <c r="Q36" i="3528" a="1"/>
  <c r="Q36" i="3528" s="1"/>
  <c r="E36" i="3528" a="1"/>
  <c r="E36" i="3528" s="1"/>
  <c r="P36" i="3528" a="1"/>
  <c r="P36" i="3528" s="1"/>
  <c r="D36" i="3528" a="1"/>
  <c r="D36" i="3528" s="1"/>
  <c r="O36" i="3528" a="1"/>
  <c r="O36" i="3528" s="1"/>
  <c r="C36" i="3528" a="1"/>
  <c r="C36" i="3528" s="1"/>
  <c r="C104" i="3528" s="1"/>
  <c r="N36" i="3528" a="1"/>
  <c r="N36" i="3528" s="1"/>
  <c r="L36" i="3528" a="1"/>
  <c r="L36" i="3528" s="1"/>
  <c r="J36" i="3528" a="1"/>
  <c r="J36" i="3528" s="1"/>
  <c r="R36" i="3528" a="1"/>
  <c r="R36" i="3528" s="1"/>
  <c r="F36" i="3528" a="1"/>
  <c r="F36" i="3528" s="1"/>
  <c r="C39" i="3528" a="1"/>
  <c r="C39" i="3528" s="1"/>
  <c r="C107" i="3528" s="1"/>
  <c r="G42" i="3528" a="1"/>
  <c r="G42" i="3528" s="1"/>
  <c r="K100" i="3528" a="1"/>
  <c r="K100" i="3528" s="1"/>
  <c r="AQ135" i="3528"/>
  <c r="Q22" i="3528" a="1"/>
  <c r="Q22" i="3528" s="1"/>
  <c r="E22" i="3528" a="1"/>
  <c r="E22" i="3528" s="1"/>
  <c r="P22" i="3528" a="1"/>
  <c r="P22" i="3528" s="1"/>
  <c r="D22" i="3528" a="1"/>
  <c r="D22" i="3528" s="1"/>
  <c r="O22" i="3528" a="1"/>
  <c r="O22" i="3528" s="1"/>
  <c r="C22" i="3528" a="1"/>
  <c r="C22" i="3528" s="1"/>
  <c r="C90" i="3528" s="1"/>
  <c r="L22" i="3528" a="1"/>
  <c r="L22" i="3528" s="1"/>
  <c r="J22" i="3528" a="1"/>
  <c r="J22" i="3528" s="1"/>
  <c r="B90" i="3528"/>
  <c r="R22" i="3528" a="1"/>
  <c r="R22" i="3528" s="1"/>
  <c r="F22" i="3528" a="1"/>
  <c r="F22" i="3528" s="1"/>
  <c r="K25" i="3528" a="1"/>
  <c r="K25" i="3528" s="1"/>
  <c r="J25" i="3528" a="1"/>
  <c r="J25" i="3528" s="1"/>
  <c r="I25" i="3528" a="1"/>
  <c r="I25" i="3528" s="1"/>
  <c r="R25" i="3528" a="1"/>
  <c r="R25" i="3528" s="1"/>
  <c r="F25" i="3528" a="1"/>
  <c r="F25" i="3528" s="1"/>
  <c r="P25" i="3528" a="1"/>
  <c r="P25" i="3528" s="1"/>
  <c r="D25" i="3528" a="1"/>
  <c r="D25" i="3528" s="1"/>
  <c r="B93" i="3528"/>
  <c r="L25" i="3528" a="1"/>
  <c r="L25" i="3528" s="1"/>
  <c r="E21" i="3528" a="1"/>
  <c r="E21" i="3528" s="1"/>
  <c r="M22" i="3528" a="1"/>
  <c r="M22" i="3528" s="1"/>
  <c r="M25" i="3528" a="1"/>
  <c r="M25" i="3528" s="1"/>
  <c r="I28" i="3528" a="1"/>
  <c r="I28" i="3528" s="1"/>
  <c r="K34" i="3528" a="1"/>
  <c r="K34" i="3528" s="1"/>
  <c r="E39" i="3528" a="1"/>
  <c r="E39" i="3528" s="1"/>
  <c r="H15" i="3528" a="1"/>
  <c r="H15" i="3528" s="1"/>
  <c r="H18" i="3528" a="1"/>
  <c r="H18" i="3528" s="1"/>
  <c r="O19" i="3528" a="1"/>
  <c r="O19" i="3528" s="1"/>
  <c r="K28" i="3528" a="1"/>
  <c r="K28" i="3528" s="1"/>
  <c r="H42" i="3528" a="1"/>
  <c r="H42" i="3528" s="1"/>
  <c r="E87" i="3528" a="1"/>
  <c r="E87" i="3528" s="1"/>
  <c r="C7" i="3570"/>
  <c r="C7" i="3518"/>
  <c r="G21" i="3528" a="1"/>
  <c r="G21" i="3528" s="1"/>
  <c r="N22" i="3528" a="1"/>
  <c r="N22" i="3528" s="1"/>
  <c r="N25" i="3528" a="1"/>
  <c r="N25" i="3528" s="1"/>
  <c r="M34" i="3528" a="1"/>
  <c r="M34" i="3528" s="1"/>
  <c r="G139" i="3528" a="1"/>
  <c r="G139" i="3528" s="1"/>
  <c r="G70" i="3528" a="1"/>
  <c r="G70" i="3528" s="1"/>
  <c r="G39" i="3528" a="1"/>
  <c r="G39" i="3528" s="1"/>
  <c r="S74" i="3528" a="1"/>
  <c r="S74" i="3528" s="1"/>
  <c r="S108" i="3528" a="1"/>
  <c r="S108" i="3528" s="1"/>
  <c r="E53" i="3528" a="1"/>
  <c r="E53" i="3528" s="1"/>
  <c r="M91" i="3528" a="1"/>
  <c r="M91" i="3528" s="1"/>
  <c r="M15" i="3528" a="1"/>
  <c r="M15" i="3528" s="1"/>
  <c r="I18" i="3528" a="1"/>
  <c r="I18" i="3528" s="1"/>
  <c r="M28" i="3528" a="1"/>
  <c r="M28" i="3528" s="1"/>
  <c r="I42" i="3528" a="1"/>
  <c r="I42" i="3528" s="1"/>
  <c r="G96" i="3528" a="1"/>
  <c r="G96" i="3528" s="1"/>
  <c r="K18" i="3528" a="1"/>
  <c r="K18" i="3528" s="1"/>
  <c r="H21" i="3528" a="1"/>
  <c r="H21" i="3528" s="1"/>
  <c r="S22" i="3528" a="1"/>
  <c r="S22" i="3528" s="1"/>
  <c r="O25" i="3528" a="1"/>
  <c r="O25" i="3528" s="1"/>
  <c r="K42" i="3528" a="1"/>
  <c r="K42" i="3528" s="1"/>
  <c r="N15" i="3528" a="1"/>
  <c r="N15" i="3528" s="1"/>
  <c r="Q20" i="3528" a="1"/>
  <c r="Q20" i="3528" s="1"/>
  <c r="E20" i="3528" a="1"/>
  <c r="E20" i="3528" s="1"/>
  <c r="P20" i="3528" a="1"/>
  <c r="P20" i="3528" s="1"/>
  <c r="D20" i="3528" a="1"/>
  <c r="D20" i="3528" s="1"/>
  <c r="O20" i="3528" a="1"/>
  <c r="O20" i="3528" s="1"/>
  <c r="C20" i="3528" a="1"/>
  <c r="C20" i="3528" s="1"/>
  <c r="C88" i="3528" s="1"/>
  <c r="L20" i="3528" a="1"/>
  <c r="L20" i="3528" s="1"/>
  <c r="B88" i="3528"/>
  <c r="J20" i="3528" a="1"/>
  <c r="J20" i="3528" s="1"/>
  <c r="R20" i="3528" a="1"/>
  <c r="R20" i="3528" s="1"/>
  <c r="F20" i="3528" a="1"/>
  <c r="F20" i="3528" s="1"/>
  <c r="K23" i="3528" a="1"/>
  <c r="K23" i="3528" s="1"/>
  <c r="J23" i="3528" a="1"/>
  <c r="J23" i="3528" s="1"/>
  <c r="I23" i="3528" a="1"/>
  <c r="I23" i="3528" s="1"/>
  <c r="R23" i="3528" a="1"/>
  <c r="R23" i="3528" s="1"/>
  <c r="F23" i="3528" a="1"/>
  <c r="F23" i="3528" s="1"/>
  <c r="B91" i="3528"/>
  <c r="P23" i="3528" a="1"/>
  <c r="P23" i="3528" s="1"/>
  <c r="D23" i="3528" a="1"/>
  <c r="D23" i="3528" s="1"/>
  <c r="L23" i="3528" a="1"/>
  <c r="L23" i="3528" s="1"/>
  <c r="Q25" i="3528" a="1"/>
  <c r="Q25" i="3528" s="1"/>
  <c r="N28" i="3528" a="1"/>
  <c r="N28" i="3528" s="1"/>
  <c r="S137" i="3528" a="1"/>
  <c r="S137" i="3528" s="1"/>
  <c r="S102" i="3528" a="1"/>
  <c r="S102" i="3528" s="1"/>
  <c r="S68" i="3528" a="1"/>
  <c r="S68" i="3528" s="1"/>
  <c r="I104" i="3528" a="1"/>
  <c r="I104" i="3528" s="1"/>
  <c r="I139" i="3528" a="1"/>
  <c r="I139" i="3528" s="1"/>
  <c r="I70" i="3528" a="1"/>
  <c r="I70" i="3528" s="1"/>
  <c r="M39" i="3528" a="1"/>
  <c r="M39" i="3528" s="1"/>
  <c r="M18" i="3528" a="1"/>
  <c r="M18" i="3528" s="1"/>
  <c r="M21" i="3528" a="1"/>
  <c r="M21" i="3528" s="1"/>
  <c r="Q38" i="3528" a="1"/>
  <c r="Q38" i="3528" s="1"/>
  <c r="E38" i="3528" a="1"/>
  <c r="E38" i="3528" s="1"/>
  <c r="P38" i="3528" a="1"/>
  <c r="P38" i="3528" s="1"/>
  <c r="D38" i="3528" a="1"/>
  <c r="D38" i="3528" s="1"/>
  <c r="B106" i="3528"/>
  <c r="O38" i="3528" a="1"/>
  <c r="O38" i="3528" s="1"/>
  <c r="C38" i="3528" a="1"/>
  <c r="C38" i="3528" s="1"/>
  <c r="C106" i="3528" s="1"/>
  <c r="N38" i="3528" a="1"/>
  <c r="N38" i="3528" s="1"/>
  <c r="L38" i="3528" a="1"/>
  <c r="L38" i="3528" s="1"/>
  <c r="J38" i="3528" a="1"/>
  <c r="J38" i="3528" s="1"/>
  <c r="R38" i="3528" a="1"/>
  <c r="R38" i="3528" s="1"/>
  <c r="F38" i="3528" a="1"/>
  <c r="F38" i="3528" s="1"/>
  <c r="M42" i="3528" a="1"/>
  <c r="M42" i="3528" s="1"/>
  <c r="O15" i="3528" a="1"/>
  <c r="O15" i="3528" s="1"/>
  <c r="S25" i="3528" a="1"/>
  <c r="S25" i="3528" s="1"/>
  <c r="S28" i="3528" a="1"/>
  <c r="S28" i="3528" s="1"/>
  <c r="K104" i="3528" a="1"/>
  <c r="K104" i="3528" s="1"/>
  <c r="K139" i="3528" a="1"/>
  <c r="K139" i="3528" s="1"/>
  <c r="N39" i="3528" a="1"/>
  <c r="N39" i="3528" s="1"/>
  <c r="Q15" i="3528" a="1"/>
  <c r="Q15" i="3528" s="1"/>
  <c r="N18" i="3528" a="1"/>
  <c r="N18" i="3528" s="1"/>
  <c r="G20" i="3528" a="1"/>
  <c r="G20" i="3528" s="1"/>
  <c r="N21" i="3528" a="1"/>
  <c r="N21" i="3528" s="1"/>
  <c r="C23" i="3528" a="1"/>
  <c r="C23" i="3528" s="1"/>
  <c r="C91" i="3528" s="1"/>
  <c r="E23" i="3528" a="1"/>
  <c r="E23" i="3528" s="1"/>
  <c r="Q32" i="3528" a="1"/>
  <c r="Q32" i="3528" s="1"/>
  <c r="E32" i="3528" a="1"/>
  <c r="E32" i="3528" s="1"/>
  <c r="P32" i="3528" a="1"/>
  <c r="P32" i="3528" s="1"/>
  <c r="D32" i="3528" a="1"/>
  <c r="D32" i="3528" s="1"/>
  <c r="O32" i="3528" a="1"/>
  <c r="O32" i="3528" s="1"/>
  <c r="C32" i="3528" a="1"/>
  <c r="C32" i="3528" s="1"/>
  <c r="C100" i="3528" s="1"/>
  <c r="N32" i="3528" a="1"/>
  <c r="N32" i="3528" s="1"/>
  <c r="L32" i="3528" a="1"/>
  <c r="L32" i="3528" s="1"/>
  <c r="J32" i="3528" a="1"/>
  <c r="J32" i="3528" s="1"/>
  <c r="B100" i="3528"/>
  <c r="R32" i="3528" a="1"/>
  <c r="R32" i="3528" s="1"/>
  <c r="F32" i="3528" a="1"/>
  <c r="F32" i="3528" s="1"/>
  <c r="M104" i="3528" a="1"/>
  <c r="M104" i="3528" s="1"/>
  <c r="M139" i="3528" a="1"/>
  <c r="M139" i="3528" s="1"/>
  <c r="M70" i="3528" a="1"/>
  <c r="M70" i="3528" s="1"/>
  <c r="G38" i="3528" a="1"/>
  <c r="G38" i="3528" s="1"/>
  <c r="O39" i="3528" a="1"/>
  <c r="O39" i="3528" s="1"/>
  <c r="S42" i="3528" a="1"/>
  <c r="S42" i="3528" s="1"/>
  <c r="S143" i="3528" a="1"/>
  <c r="S143" i="3528" s="1"/>
  <c r="K72" i="3528" a="1"/>
  <c r="K72" i="3528" s="1"/>
  <c r="K141" i="3528" a="1"/>
  <c r="K141" i="3528" s="1"/>
  <c r="K106" i="3528" a="1"/>
  <c r="K106" i="3528" s="1"/>
  <c r="S15" i="3528" a="1"/>
  <c r="S15" i="3528" s="1"/>
  <c r="S18" i="3528" a="1"/>
  <c r="S18" i="3528" s="1"/>
  <c r="H20" i="3528" a="1"/>
  <c r="H20" i="3528" s="1"/>
  <c r="O21" i="3528" a="1"/>
  <c r="O21" i="3528" s="1"/>
  <c r="Q39" i="3528" a="1"/>
  <c r="Q39" i="3528" s="1"/>
  <c r="K19" i="3528" a="1"/>
  <c r="K19" i="3528" s="1"/>
  <c r="J19" i="3528" a="1"/>
  <c r="J19" i="3528" s="1"/>
  <c r="I19" i="3528" a="1"/>
  <c r="I19" i="3528" s="1"/>
  <c r="R19" i="3528" a="1"/>
  <c r="R19" i="3528" s="1"/>
  <c r="F19" i="3528" a="1"/>
  <c r="F19" i="3528" s="1"/>
  <c r="P19" i="3528" a="1"/>
  <c r="P19" i="3528" s="1"/>
  <c r="D19" i="3528" a="1"/>
  <c r="D19" i="3528" s="1"/>
  <c r="B87" i="3528"/>
  <c r="L19" i="3528" a="1"/>
  <c r="L19" i="3528" s="1"/>
  <c r="G23" i="3528" a="1"/>
  <c r="G23" i="3528" s="1"/>
  <c r="Q21" i="3528" a="1"/>
  <c r="Q21" i="3528" s="1"/>
  <c r="I20" i="3528" a="1"/>
  <c r="I20" i="3528" s="1"/>
  <c r="G32" i="3528" a="1"/>
  <c r="G32" i="3528" s="1"/>
  <c r="S139" i="3528" a="1"/>
  <c r="S139" i="3528" s="1"/>
  <c r="S70" i="3528" a="1"/>
  <c r="S70" i="3528" s="1"/>
  <c r="S104" i="3528" a="1"/>
  <c r="S104" i="3528" s="1"/>
  <c r="S39" i="3528" a="1"/>
  <c r="S39" i="3528" s="1"/>
  <c r="Q16" i="3528" a="1"/>
  <c r="Q16" i="3528" s="1"/>
  <c r="E16" i="3528" a="1"/>
  <c r="E16" i="3528" s="1"/>
  <c r="P16" i="3528" a="1"/>
  <c r="P16" i="3528" s="1"/>
  <c r="D16" i="3528" a="1"/>
  <c r="D16" i="3528" s="1"/>
  <c r="O16" i="3528" a="1"/>
  <c r="O16" i="3528" s="1"/>
  <c r="C16" i="3528" a="1"/>
  <c r="C16" i="3528" s="1"/>
  <c r="C84" i="3528" s="1"/>
  <c r="L16" i="3528" a="1"/>
  <c r="L16" i="3528" s="1"/>
  <c r="J16" i="3528" a="1"/>
  <c r="J16" i="3528" s="1"/>
  <c r="B84" i="3528"/>
  <c r="R16" i="3528" a="1"/>
  <c r="R16" i="3528" s="1"/>
  <c r="F16" i="3528" a="1"/>
  <c r="F16" i="3528" s="1"/>
  <c r="K20" i="3528" a="1"/>
  <c r="K20" i="3528" s="1"/>
  <c r="S21" i="3528" a="1"/>
  <c r="S21" i="3528" s="1"/>
  <c r="H23" i="3528" a="1"/>
  <c r="H23" i="3528" s="1"/>
  <c r="I38" i="3528" a="1"/>
  <c r="I38" i="3528" s="1"/>
  <c r="Q40" i="3528" a="1"/>
  <c r="Q40" i="3528" s="1"/>
  <c r="E40" i="3528" a="1"/>
  <c r="E40" i="3528" s="1"/>
  <c r="P40" i="3528" a="1"/>
  <c r="P40" i="3528" s="1"/>
  <c r="D40" i="3528" a="1"/>
  <c r="D40" i="3528" s="1"/>
  <c r="O40" i="3528" a="1"/>
  <c r="O40" i="3528" s="1"/>
  <c r="C40" i="3528" a="1"/>
  <c r="C40" i="3528" s="1"/>
  <c r="C108" i="3528" s="1"/>
  <c r="N40" i="3528" a="1"/>
  <c r="N40" i="3528" s="1"/>
  <c r="L40" i="3528" a="1"/>
  <c r="L40" i="3528" s="1"/>
  <c r="J40" i="3528" a="1"/>
  <c r="J40" i="3528" s="1"/>
  <c r="R40" i="3528" a="1"/>
  <c r="R40" i="3528" s="1"/>
  <c r="F40" i="3528" a="1"/>
  <c r="F40" i="3528" s="1"/>
  <c r="G104" i="3528" a="1"/>
  <c r="G104" i="3528" s="1"/>
  <c r="E26" i="3518" a="1"/>
  <c r="E26" i="3518" s="1"/>
  <c r="E16" i="3518" a="1"/>
  <c r="E16" i="3518" s="1"/>
  <c r="E23" i="3518" a="1"/>
  <c r="E23" i="3518" s="1"/>
  <c r="E29" i="3518" a="1"/>
  <c r="E29" i="3518" s="1"/>
  <c r="B502" i="3449" a="1"/>
  <c r="B502" i="3449" s="1"/>
  <c r="B494" i="3449" a="1"/>
  <c r="B494" i="3449" s="1"/>
  <c r="B510" i="3449" a="1"/>
  <c r="B510" i="3449" s="1"/>
  <c r="B501" i="3449" a="1"/>
  <c r="B501" i="3449" s="1"/>
  <c r="B493" i="3449" a="1"/>
  <c r="B493" i="3449" s="1"/>
  <c r="B505" i="3449" a="1"/>
  <c r="B505" i="3449" s="1"/>
  <c r="B497" i="3449" a="1"/>
  <c r="B497" i="3449" s="1"/>
  <c r="B500" i="3449" a="1"/>
  <c r="B500" i="3449" s="1"/>
  <c r="B508" i="3449" a="1"/>
  <c r="B508" i="3449" s="1"/>
  <c r="B509" i="3449" s="1"/>
  <c r="B498" i="3449" a="1"/>
  <c r="B498" i="3449" s="1"/>
  <c r="B503" i="3449" a="1"/>
  <c r="B503" i="3449" s="1"/>
  <c r="B499" i="3449" a="1"/>
  <c r="B499" i="3449" s="1"/>
  <c r="B511" i="3449" a="1"/>
  <c r="B511" i="3449" s="1"/>
  <c r="B496" i="3449" a="1"/>
  <c r="B496" i="3449" s="1"/>
  <c r="B507" i="3449" a="1"/>
  <c r="B507" i="3449" s="1"/>
  <c r="B495" i="3449" a="1"/>
  <c r="B495" i="3449" s="1"/>
  <c r="BP13" i="3564"/>
  <c r="BW12" i="3564"/>
  <c r="B491" i="3449" a="1"/>
  <c r="B491" i="3449" s="1"/>
  <c r="A10" i="3421"/>
  <c r="B457" i="3449" a="1"/>
  <c r="B457" i="3449" s="1"/>
  <c r="B534" i="3449" a="1"/>
  <c r="B534" i="3449" s="1"/>
  <c r="D10" i="3421"/>
  <c r="F10" i="3421" s="1" a="1"/>
  <c r="F10" i="3421" s="1"/>
  <c r="B472" i="3449" a="1"/>
  <c r="B472" i="3449" s="1"/>
  <c r="C10" i="3435" s="1"/>
  <c r="B519" i="3449" a="1"/>
  <c r="B519" i="3449" s="1"/>
  <c r="B580" i="3449" a="1"/>
  <c r="B580" i="3449" s="1"/>
  <c r="B611" i="3449" a="1"/>
  <c r="B611" i="3449" s="1"/>
  <c r="N61" i="3480" s="1"/>
  <c r="A11" i="3421"/>
  <c r="D11" i="3421"/>
  <c r="F11" i="3421" s="1" a="1"/>
  <c r="F11" i="3421" s="1"/>
  <c r="B460" i="3449" a="1"/>
  <c r="B460" i="3449" s="1"/>
  <c r="B523" i="3449" a="1"/>
  <c r="B523" i="3449" s="1"/>
  <c r="B476" i="3449" a="1"/>
  <c r="B476" i="3449" s="1"/>
  <c r="B599" i="3449" a="1"/>
  <c r="B599" i="3449" s="1"/>
  <c r="B46" i="3434" s="1"/>
  <c r="B584" i="3449" a="1"/>
  <c r="B584" i="3449" s="1"/>
  <c r="B3" i="3419"/>
  <c r="B3" i="3434"/>
  <c r="B622" i="3449" a="1"/>
  <c r="B622" i="3449" s="1"/>
  <c r="B613" i="3449" a="1"/>
  <c r="B613" i="3449" s="1"/>
  <c r="B605" i="3449" a="1"/>
  <c r="B605" i="3449" s="1"/>
  <c r="B621" i="3449" a="1"/>
  <c r="B621" i="3449" s="1"/>
  <c r="B612" i="3449" a="1"/>
  <c r="B612" i="3449" s="1"/>
  <c r="N64" i="3480" s="1"/>
  <c r="B604" i="3449" a="1"/>
  <c r="B604" i="3449" s="1"/>
  <c r="B614" i="3449" a="1"/>
  <c r="B614" i="3449" s="1"/>
  <c r="B606" i="3449" a="1"/>
  <c r="B606" i="3449" s="1"/>
  <c r="B610" i="3449" a="1"/>
  <c r="B610" i="3449" s="1"/>
  <c r="B620" i="3449" a="1"/>
  <c r="B620" i="3449" s="1"/>
  <c r="B609" i="3449" a="1"/>
  <c r="B609" i="3449" s="1"/>
  <c r="B616" i="3449" a="1"/>
  <c r="B616" i="3449" s="1"/>
  <c r="B623" i="3449" a="1"/>
  <c r="B623" i="3449" s="1"/>
  <c r="B617" i="3449" a="1"/>
  <c r="B617" i="3449" s="1"/>
  <c r="B464" i="3449" a="1"/>
  <c r="B464" i="3449" s="1"/>
  <c r="D12" i="3561"/>
  <c r="D21" i="3561" s="1" a="1"/>
  <c r="D21" i="3561" s="1"/>
  <c r="E21" i="3561" s="1"/>
  <c r="B470" i="3449" a="1"/>
  <c r="B470" i="3449" s="1"/>
  <c r="B462" i="3449" a="1"/>
  <c r="B462" i="3449" s="1"/>
  <c r="P23" i="3561" s="1"/>
  <c r="B454" i="3449" a="1"/>
  <c r="B454" i="3449" s="1"/>
  <c r="B453" i="3449" a="1"/>
  <c r="B453" i="3449" s="1"/>
  <c r="B469" i="3449" a="1"/>
  <c r="B469" i="3449" s="1"/>
  <c r="B461" i="3449" a="1"/>
  <c r="B461" i="3449" s="1"/>
  <c r="B474" i="3449" a="1"/>
  <c r="B474" i="3449" s="1"/>
  <c r="B463" i="3449" a="1"/>
  <c r="B463" i="3449" s="1"/>
  <c r="B455" i="3449" a="1"/>
  <c r="B455" i="3449" s="1"/>
  <c r="C2" i="3435"/>
  <c r="B473" i="3449" a="1"/>
  <c r="B473" i="3449" s="1"/>
  <c r="B627" i="3449" s="1"/>
  <c r="B459" i="3449" a="1"/>
  <c r="B459" i="3449" s="1"/>
  <c r="P22" i="3561" s="1"/>
  <c r="B466" i="3449" a="1"/>
  <c r="B466" i="3449" s="1"/>
  <c r="E10" i="3569"/>
  <c r="C2" i="3570"/>
  <c r="B529" i="3449" a="1"/>
  <c r="B529" i="3449" s="1"/>
  <c r="B521" i="3449" a="1"/>
  <c r="B521" i="3449" s="1"/>
  <c r="U12" i="3569" s="1"/>
  <c r="B528" i="3449" a="1"/>
  <c r="B528" i="3449" s="1"/>
  <c r="B520" i="3449" a="1"/>
  <c r="B520" i="3449" s="1"/>
  <c r="B532" i="3449" a="1"/>
  <c r="B532" i="3449" s="1"/>
  <c r="B533" i="3449" s="1"/>
  <c r="B524" i="3449" a="1"/>
  <c r="B524" i="3449" s="1"/>
  <c r="U13" i="3569" s="1"/>
  <c r="B516" i="3449" a="1"/>
  <c r="B516" i="3449" s="1"/>
  <c r="B525" i="3449" a="1"/>
  <c r="B525" i="3449" s="1"/>
  <c r="CR15" i="3569" s="1"/>
  <c r="B535" i="3449" a="1"/>
  <c r="B535" i="3449" s="1"/>
  <c r="B531" i="3449" a="1"/>
  <c r="B531" i="3449" s="1"/>
  <c r="B515" i="3449" a="1"/>
  <c r="B515" i="3449" s="1"/>
  <c r="B530" i="3449" a="1"/>
  <c r="B530" i="3449" s="1"/>
  <c r="B467" i="3449" a="1"/>
  <c r="B467" i="3449" s="1"/>
  <c r="B607" i="3449" a="1"/>
  <c r="B607" i="3449" s="1"/>
  <c r="B624" i="3449" a="1"/>
  <c r="B624" i="3449" s="1"/>
  <c r="B47" i="3434" s="1"/>
  <c r="A18" i="3445"/>
  <c r="A19" i="3445"/>
  <c r="B517" i="3449" a="1"/>
  <c r="B517" i="3449" s="1"/>
  <c r="B2" i="3434"/>
  <c r="B2" i="3419"/>
  <c r="B595" i="3449" a="1"/>
  <c r="B595" i="3449" s="1"/>
  <c r="B586" i="3449" a="1"/>
  <c r="B586" i="3449" s="1"/>
  <c r="B578" i="3449" a="1"/>
  <c r="B578" i="3449" s="1"/>
  <c r="B594" i="3449" a="1"/>
  <c r="B594" i="3449" s="1"/>
  <c r="B585" i="3449" a="1"/>
  <c r="B585" i="3449" s="1"/>
  <c r="B590" i="3449" a="1"/>
  <c r="B590" i="3449" s="1"/>
  <c r="B582" i="3449" a="1"/>
  <c r="B582" i="3449" s="1"/>
  <c r="B596" i="3449" a="1"/>
  <c r="B596" i="3449" s="1"/>
  <c r="B597" i="3449" a="1"/>
  <c r="B597" i="3449" s="1"/>
  <c r="B583" i="3449" a="1"/>
  <c r="B583" i="3449" s="1"/>
  <c r="B581" i="3449" a="1"/>
  <c r="B581" i="3449" s="1"/>
  <c r="B588" i="3449" a="1"/>
  <c r="B588" i="3449" s="1"/>
  <c r="B598" i="3449" a="1"/>
  <c r="B598" i="3449" s="1"/>
  <c r="B587" i="3449" a="1"/>
  <c r="B587" i="3449" s="1"/>
  <c r="E64" i="3480" s="1"/>
  <c r="B456" i="3449" a="1"/>
  <c r="B456" i="3449" s="1"/>
  <c r="B468" i="3449" a="1"/>
  <c r="B468" i="3449" s="1"/>
  <c r="B591" i="3449" a="1"/>
  <c r="B591" i="3449" s="1"/>
  <c r="B608" i="3449" a="1"/>
  <c r="B608" i="3449" s="1"/>
  <c r="B518" i="3449" a="1"/>
  <c r="B518" i="3449" s="1"/>
  <c r="B579" i="3449" a="1"/>
  <c r="B579" i="3449" s="1"/>
  <c r="B592" i="3449" a="1"/>
  <c r="B592" i="3449" s="1"/>
  <c r="B556" i="3449" a="1"/>
  <c r="B556" i="3449" s="1"/>
  <c r="B557" i="3449" s="1"/>
  <c r="B548" i="3449" a="1"/>
  <c r="B548" i="3449" s="1"/>
  <c r="B540" i="3449" a="1"/>
  <c r="B540" i="3449" s="1"/>
  <c r="B539" i="3449" a="1"/>
  <c r="B539" i="3449" s="1"/>
  <c r="B555" i="3449" a="1"/>
  <c r="B555" i="3449" s="1"/>
  <c r="B547" i="3449" a="1"/>
  <c r="B547" i="3449" s="1"/>
  <c r="B560" i="3449" a="1"/>
  <c r="B560" i="3449" s="1"/>
  <c r="B551" i="3449" a="1"/>
  <c r="B551" i="3449" s="1"/>
  <c r="B543" i="3449" a="1"/>
  <c r="B543" i="3449" s="1"/>
  <c r="B553" i="3449" a="1"/>
  <c r="B553" i="3449" s="1"/>
  <c r="B546" i="3449" a="1"/>
  <c r="B546" i="3449" s="1"/>
  <c r="B549" i="3449" a="1"/>
  <c r="B549" i="3449" s="1"/>
  <c r="BT14" i="3564"/>
  <c r="CA13" i="3564"/>
  <c r="B561" i="3449" a="1"/>
  <c r="B561" i="3449" s="1"/>
  <c r="B550" i="3449" a="1"/>
  <c r="B550" i="3449" s="1"/>
  <c r="AH106" i="3577"/>
  <c r="AI106" i="3577" s="1"/>
  <c r="AJ106" i="3577" s="1" a="1"/>
  <c r="AJ106" i="3577" s="1"/>
  <c r="AH110" i="3577"/>
  <c r="AI110" i="3577" s="1"/>
  <c r="AJ110" i="3577" s="1" a="1"/>
  <c r="AJ110" i="3577" s="1"/>
  <c r="D20" i="3436" a="1"/>
  <c r="D20" i="3436" s="1"/>
  <c r="C20" i="3436" a="1"/>
  <c r="C20" i="3436" s="1"/>
  <c r="E20" i="3436" a="1"/>
  <c r="E20" i="3436" s="1"/>
  <c r="H30" i="3436"/>
  <c r="E30" i="3436" a="1"/>
  <c r="E30" i="3436" s="1"/>
  <c r="D30" i="3436" a="1"/>
  <c r="D30" i="3436" s="1"/>
  <c r="F30" i="3436" a="1"/>
  <c r="F30" i="3436" s="1"/>
  <c r="C30" i="3436" a="1"/>
  <c r="C30" i="3436" s="1"/>
  <c r="AH105" i="3577"/>
  <c r="AI105" i="3577" s="1"/>
  <c r="AJ105" i="3577" s="1" a="1"/>
  <c r="AJ105" i="3577" s="1"/>
  <c r="F24" i="3436" a="1"/>
  <c r="F24" i="3436" s="1"/>
  <c r="E24" i="3436" a="1"/>
  <c r="E24" i="3436" s="1"/>
  <c r="C24" i="3436" a="1"/>
  <c r="C24" i="3436" s="1"/>
  <c r="D24" i="3436" a="1"/>
  <c r="D24" i="3436" s="1"/>
  <c r="AH102" i="3577"/>
  <c r="AI102" i="3577" s="1"/>
  <c r="AJ102" i="3577" s="1" a="1"/>
  <c r="AJ102" i="3577" s="1"/>
  <c r="AH116" i="3577"/>
  <c r="AI116" i="3577" s="1"/>
  <c r="AJ116" i="3577" s="1" a="1"/>
  <c r="AJ116" i="3577" s="1"/>
  <c r="AH113" i="3577"/>
  <c r="AI113" i="3577" s="1"/>
  <c r="AJ113" i="3577" s="1" a="1"/>
  <c r="AJ113" i="3577" s="1"/>
  <c r="C49" i="3436" a="1"/>
  <c r="C49" i="3436" s="1"/>
  <c r="F49" i="3436" a="1"/>
  <c r="F49" i="3436" s="1"/>
  <c r="D49" i="3436" a="1"/>
  <c r="D49" i="3436" s="1"/>
  <c r="E49" i="3436" a="1"/>
  <c r="E49" i="3436" s="1"/>
  <c r="AH115" i="3577"/>
  <c r="AI115" i="3577" s="1"/>
  <c r="AJ115" i="3577" s="1" a="1"/>
  <c r="AJ115" i="3577" s="1"/>
  <c r="C68" i="3436" a="1"/>
  <c r="C68" i="3436" s="1"/>
  <c r="F68" i="3436" a="1"/>
  <c r="F68" i="3436" s="1"/>
  <c r="E68" i="3436" a="1"/>
  <c r="E68" i="3436" s="1"/>
  <c r="D68" i="3436" a="1"/>
  <c r="D68" i="3436" s="1"/>
  <c r="H83" i="3445"/>
  <c r="H81" i="3445"/>
  <c r="H77" i="3445"/>
  <c r="H75" i="3445"/>
  <c r="I75" i="3445" s="1" a="1"/>
  <c r="I75" i="3445" s="1"/>
  <c r="H80" i="3445"/>
  <c r="H86" i="3445"/>
  <c r="H94" i="3445"/>
  <c r="H44" i="3445"/>
  <c r="H62" i="3445"/>
  <c r="I62" i="3445" s="1" a="1"/>
  <c r="I62" i="3445" s="1"/>
  <c r="H54" i="3445"/>
  <c r="H96" i="3445"/>
  <c r="H95" i="3445"/>
  <c r="H48" i="3445"/>
  <c r="H58" i="3445"/>
  <c r="H56" i="3445"/>
  <c r="H18" i="3436"/>
  <c r="F18" i="3436" a="1"/>
  <c r="F18" i="3436" s="1"/>
  <c r="C18" i="3436" a="1"/>
  <c r="C18" i="3436" s="1"/>
  <c r="Y69" i="3436" s="1"/>
  <c r="E18" i="3436" a="1"/>
  <c r="E18" i="3436" s="1"/>
  <c r="V18" i="3436" s="1" a="1"/>
  <c r="V18" i="3436" s="1"/>
  <c r="AH111" i="3577"/>
  <c r="AI111" i="3577" s="1"/>
  <c r="AJ111" i="3577" s="1" a="1"/>
  <c r="AJ111" i="3577" s="1"/>
  <c r="D18" i="3436" a="1"/>
  <c r="D18" i="3436" s="1"/>
  <c r="E63" i="3436" a="1"/>
  <c r="E63" i="3436" s="1"/>
  <c r="D63" i="3436" a="1"/>
  <c r="D63" i="3436" s="1"/>
  <c r="C63" i="3436" a="1"/>
  <c r="C63" i="3436" s="1"/>
  <c r="F63" i="3436" a="1"/>
  <c r="F63" i="3436" s="1"/>
  <c r="C73" i="3436" a="1"/>
  <c r="C73" i="3436" s="1"/>
  <c r="D73" i="3436" a="1"/>
  <c r="D73" i="3436" s="1"/>
  <c r="E73" i="3436" a="1"/>
  <c r="E73" i="3436" s="1"/>
  <c r="F73" i="3436" a="1"/>
  <c r="F73" i="3436" s="1"/>
  <c r="AH97" i="3577"/>
  <c r="AI97" i="3577" s="1"/>
  <c r="AJ97" i="3577" s="1" a="1"/>
  <c r="AJ97" i="3577" s="1"/>
  <c r="F41" i="3436" a="1"/>
  <c r="F41" i="3436" s="1"/>
  <c r="E41" i="3436" a="1"/>
  <c r="E41" i="3436" s="1"/>
  <c r="D41" i="3436" a="1"/>
  <c r="D41" i="3436" s="1"/>
  <c r="AE50" i="3480"/>
  <c r="AL100" i="3434" a="1"/>
  <c r="AL100" i="3434" s="1"/>
  <c r="AK100" i="3434" a="1"/>
  <c r="AK100" i="3434" s="1"/>
  <c r="D36" i="3436" a="1"/>
  <c r="D36" i="3436" s="1"/>
  <c r="C36" i="3436" a="1"/>
  <c r="C36" i="3436" s="1"/>
  <c r="E36" i="3436" a="1"/>
  <c r="E36" i="3436" s="1"/>
  <c r="F64" i="3436" a="1"/>
  <c r="F64" i="3436" s="1"/>
  <c r="E64" i="3436" a="1"/>
  <c r="E64" i="3436" s="1"/>
  <c r="H64" i="3436"/>
  <c r="D64" i="3436" a="1"/>
  <c r="D64" i="3436" s="1"/>
  <c r="C64" i="3436" a="1"/>
  <c r="C64" i="3436" s="1"/>
  <c r="F36" i="3436" a="1"/>
  <c r="F36" i="3436" s="1"/>
  <c r="AH93" i="3577"/>
  <c r="AI93" i="3577" s="1"/>
  <c r="AJ93" i="3577" s="1" a="1"/>
  <c r="AJ93" i="3577" s="1"/>
  <c r="AH100" i="3577"/>
  <c r="AI100" i="3577" s="1"/>
  <c r="AJ100" i="3577" s="1" a="1"/>
  <c r="AJ100" i="3577" s="1"/>
  <c r="AH107" i="3577"/>
  <c r="AI107" i="3577" s="1"/>
  <c r="AJ107" i="3577" s="1" a="1"/>
  <c r="AJ107" i="3577" s="1"/>
  <c r="F22" i="3436" a="1"/>
  <c r="F22" i="3436" s="1"/>
  <c r="D22" i="3436" a="1"/>
  <c r="D22" i="3436" s="1"/>
  <c r="C22" i="3436" a="1"/>
  <c r="C22" i="3436" s="1"/>
  <c r="E22" i="3436" a="1"/>
  <c r="E22" i="3436" s="1"/>
  <c r="AH98" i="3577"/>
  <c r="AI98" i="3577" s="1"/>
  <c r="AJ98" i="3577" s="1" a="1"/>
  <c r="AJ98" i="3577" s="1"/>
  <c r="E67" i="3436" a="1"/>
  <c r="E67" i="3436" s="1"/>
  <c r="D67" i="3436" a="1"/>
  <c r="D67" i="3436" s="1"/>
  <c r="C67" i="3436" a="1"/>
  <c r="C67" i="3436" s="1"/>
  <c r="F67" i="3436" a="1"/>
  <c r="F67" i="3436" s="1"/>
  <c r="S9" i="3419"/>
  <c r="C35" i="3436" a="1"/>
  <c r="C35" i="3436" s="1"/>
  <c r="F35" i="3436" a="1"/>
  <c r="F35" i="3436" s="1"/>
  <c r="E35" i="3436" a="1"/>
  <c r="E35" i="3436" s="1"/>
  <c r="E39" i="3436" a="1"/>
  <c r="E39" i="3436" s="1"/>
  <c r="F39" i="3436" a="1"/>
  <c r="F39" i="3436" s="1"/>
  <c r="D39" i="3436" a="1"/>
  <c r="D39" i="3436" s="1"/>
  <c r="C39" i="3436" a="1"/>
  <c r="C39" i="3436" s="1"/>
  <c r="H39" i="3436"/>
  <c r="BA34" i="3419"/>
  <c r="BD49" i="3448" a="1"/>
  <c r="BD49" i="3448" s="1"/>
  <c r="AR49" i="3448" a="1"/>
  <c r="AR49" i="3448" s="1"/>
  <c r="AF49" i="3448" a="1"/>
  <c r="AF49" i="3448" s="1"/>
  <c r="T49" i="3448" a="1"/>
  <c r="T49" i="3448" s="1"/>
  <c r="BC49" i="3448" a="1"/>
  <c r="BC49" i="3448" s="1"/>
  <c r="AQ49" i="3448" a="1"/>
  <c r="AQ49" i="3448" s="1"/>
  <c r="AE49" i="3448" a="1"/>
  <c r="AE49" i="3448" s="1"/>
  <c r="S49" i="3448" a="1"/>
  <c r="S49" i="3448" s="1"/>
  <c r="E49" i="3448" a="1"/>
  <c r="E49" i="3448" s="1"/>
  <c r="BK49" i="3448" a="1"/>
  <c r="BK49" i="3448" s="1"/>
  <c r="AY49" i="3448" a="1"/>
  <c r="AY49" i="3448" s="1"/>
  <c r="AM49" i="3448" a="1"/>
  <c r="AM49" i="3448" s="1"/>
  <c r="AA49" i="3448" a="1"/>
  <c r="AA49" i="3448" s="1"/>
  <c r="O49" i="3448" a="1"/>
  <c r="O49" i="3448" s="1"/>
  <c r="BI49" i="3448" a="1"/>
  <c r="BI49" i="3448" s="1"/>
  <c r="AW49" i="3448" a="1"/>
  <c r="AW49" i="3448" s="1"/>
  <c r="AK49" i="3448" a="1"/>
  <c r="AK49" i="3448" s="1"/>
  <c r="Y49" i="3448" a="1"/>
  <c r="Y49" i="3448" s="1"/>
  <c r="M49" i="3448"/>
  <c r="L49" i="3448" a="1"/>
  <c r="L49" i="3448" s="1"/>
  <c r="I49" i="3448" a="1"/>
  <c r="I49" i="3448" s="1"/>
  <c r="BE49" i="3448" a="1"/>
  <c r="BE49" i="3448" s="1"/>
  <c r="AS49" i="3448" a="1"/>
  <c r="AS49" i="3448" s="1"/>
  <c r="AG49" i="3448" a="1"/>
  <c r="AG49" i="3448" s="1"/>
  <c r="U49" i="3448" a="1"/>
  <c r="U49" i="3448" s="1"/>
  <c r="BM49" i="3448" a="1"/>
  <c r="BM49" i="3448" s="1"/>
  <c r="AP49" i="3448" a="1"/>
  <c r="AP49" i="3448" s="1"/>
  <c r="V49" i="3448" a="1"/>
  <c r="V49" i="3448" s="1"/>
  <c r="BL49" i="3448" a="1"/>
  <c r="BL49" i="3448" s="1"/>
  <c r="AO49" i="3448" a="1"/>
  <c r="AO49" i="3448" s="1"/>
  <c r="R49" i="3448" a="1"/>
  <c r="R49" i="3448" s="1"/>
  <c r="BH49" i="3448" a="1"/>
  <c r="BH49" i="3448" s="1"/>
  <c r="AL49" i="3448" a="1"/>
  <c r="AL49" i="3448" s="1"/>
  <c r="P49" i="3448" a="1"/>
  <c r="P49" i="3448" s="1"/>
  <c r="BG49" i="3448" a="1"/>
  <c r="BG49" i="3448" s="1"/>
  <c r="AJ49" i="3448" a="1"/>
  <c r="AJ49" i="3448" s="1"/>
  <c r="N49" i="3448" a="1"/>
  <c r="N49" i="3448" s="1"/>
  <c r="BF49" i="3448" a="1"/>
  <c r="BF49" i="3448" s="1"/>
  <c r="AI49" i="3448" a="1"/>
  <c r="AI49" i="3448" s="1"/>
  <c r="BA49" i="3448" a="1"/>
  <c r="BA49" i="3448" s="1"/>
  <c r="AD49" i="3448" a="1"/>
  <c r="AD49" i="3448" s="1"/>
  <c r="J49" i="3448" a="1"/>
  <c r="J49" i="3448" s="1"/>
  <c r="AZ49" i="3448" a="1"/>
  <c r="AZ49" i="3448" s="1"/>
  <c r="AC49" i="3448" a="1"/>
  <c r="AC49" i="3448" s="1"/>
  <c r="AX49" i="3448" a="1"/>
  <c r="AX49" i="3448" s="1"/>
  <c r="AB49" i="3448" a="1"/>
  <c r="AB49" i="3448" s="1"/>
  <c r="D49" i="3448" a="1"/>
  <c r="D49" i="3448" s="1"/>
  <c r="AV49" i="3448" a="1"/>
  <c r="AV49" i="3448" s="1"/>
  <c r="Z49" i="3448" a="1"/>
  <c r="Z49" i="3448" s="1"/>
  <c r="AT49" i="3448" a="1"/>
  <c r="AT49" i="3448" s="1"/>
  <c r="W49" i="3448" a="1"/>
  <c r="W49" i="3448" s="1"/>
  <c r="BJ49" i="3448" a="1"/>
  <c r="BJ49" i="3448" s="1"/>
  <c r="BB49" i="3448" a="1"/>
  <c r="BB49" i="3448" s="1"/>
  <c r="AU49" i="3448" a="1"/>
  <c r="AU49" i="3448" s="1"/>
  <c r="AN49" i="3448" a="1"/>
  <c r="AN49" i="3448" s="1"/>
  <c r="AH49" i="3448" a="1"/>
  <c r="AH49" i="3448" s="1"/>
  <c r="X49" i="3448" a="1"/>
  <c r="X49" i="3448" s="1"/>
  <c r="Q49" i="3448" a="1"/>
  <c r="Q49" i="3448" s="1"/>
  <c r="K49" i="3448" a="1"/>
  <c r="K49" i="3448" s="1"/>
  <c r="E46" i="3436" a="1"/>
  <c r="E46" i="3436" s="1"/>
  <c r="D46" i="3436" a="1"/>
  <c r="D46" i="3436" s="1"/>
  <c r="C46" i="3436" a="1"/>
  <c r="C46" i="3436" s="1"/>
  <c r="E62" i="3436" a="1"/>
  <c r="E62" i="3436" s="1"/>
  <c r="D62" i="3436" a="1"/>
  <c r="D62" i="3436" s="1"/>
  <c r="C62" i="3436" a="1"/>
  <c r="C62" i="3436" s="1"/>
  <c r="F62" i="3436" a="1"/>
  <c r="F62" i="3436" s="1"/>
  <c r="AL98" i="3434" a="1"/>
  <c r="AL98" i="3434" s="1"/>
  <c r="BD13" i="3419"/>
  <c r="D26" i="3436" a="1"/>
  <c r="D26" i="3436" s="1"/>
  <c r="C26" i="3436" a="1"/>
  <c r="C26" i="3436" s="1"/>
  <c r="F54" i="3436" a="1"/>
  <c r="F54" i="3436" s="1"/>
  <c r="D54" i="3436" a="1"/>
  <c r="D54" i="3436" s="1"/>
  <c r="C54" i="3436" a="1"/>
  <c r="C54" i="3436" s="1"/>
  <c r="D60" i="3436" a="1"/>
  <c r="D60" i="3436" s="1"/>
  <c r="C60" i="3436" a="1"/>
  <c r="C60" i="3436" s="1"/>
  <c r="H60" i="3436"/>
  <c r="E60" i="3436" a="1"/>
  <c r="E60" i="3436" s="1"/>
  <c r="AH97" i="3434"/>
  <c r="AI97" i="3434" s="1"/>
  <c r="AJ97" i="3434" s="1" a="1"/>
  <c r="AJ97" i="3434" s="1"/>
  <c r="AH107" i="3434"/>
  <c r="AI107" i="3434" s="1"/>
  <c r="AJ107" i="3434" s="1" a="1"/>
  <c r="AJ107" i="3434" s="1"/>
  <c r="AH94" i="3577"/>
  <c r="AI94" i="3577" s="1"/>
  <c r="AJ94" i="3577" s="1" a="1"/>
  <c r="AJ94" i="3577" s="1"/>
  <c r="AH99" i="3577"/>
  <c r="AI99" i="3577" s="1"/>
  <c r="AJ99" i="3577" s="1" a="1"/>
  <c r="AJ99" i="3577" s="1"/>
  <c r="AH112" i="3577"/>
  <c r="AI112" i="3577" s="1"/>
  <c r="AJ112" i="3577" s="1" a="1"/>
  <c r="AJ112" i="3577" s="1"/>
  <c r="AH117" i="3577"/>
  <c r="AI117" i="3577" s="1"/>
  <c r="AJ117" i="3577" s="1" a="1"/>
  <c r="AJ117" i="3577" s="1"/>
  <c r="F42" i="3436" a="1"/>
  <c r="F42" i="3436" s="1"/>
  <c r="E42" i="3436" a="1"/>
  <c r="E42" i="3436" s="1"/>
  <c r="D42" i="3436" a="1"/>
  <c r="D42" i="3436" s="1"/>
  <c r="F46" i="3436" a="1"/>
  <c r="F46" i="3436" s="1"/>
  <c r="E50" i="3436" a="1"/>
  <c r="E50" i="3436" s="1"/>
  <c r="AH119" i="3434"/>
  <c r="AI119" i="3434" s="1"/>
  <c r="AJ119" i="3434" s="1" a="1"/>
  <c r="AJ119" i="3434" s="1"/>
  <c r="AH104" i="3577"/>
  <c r="AI104" i="3577" s="1"/>
  <c r="AJ104" i="3577" s="1" a="1"/>
  <c r="AJ104" i="3577" s="1"/>
  <c r="E26" i="3436" a="1"/>
  <c r="E26" i="3436" s="1"/>
  <c r="E44" i="3436" a="1"/>
  <c r="E44" i="3436" s="1"/>
  <c r="D44" i="3436" a="1"/>
  <c r="D44" i="3436" s="1"/>
  <c r="C44" i="3436" a="1"/>
  <c r="C44" i="3436" s="1"/>
  <c r="F44" i="3436" a="1"/>
  <c r="F44" i="3436" s="1"/>
  <c r="AE45" i="3480"/>
  <c r="AL95" i="3434" a="1"/>
  <c r="AL95" i="3434" s="1"/>
  <c r="AK95" i="3434" a="1"/>
  <c r="AK95" i="3434" s="1"/>
  <c r="AH99" i="3434"/>
  <c r="AI99" i="3434" s="1"/>
  <c r="AJ99" i="3434" s="1" a="1"/>
  <c r="AJ99" i="3434" s="1"/>
  <c r="F60" i="3436" a="1"/>
  <c r="F60" i="3436" s="1"/>
  <c r="F48" i="3436" a="1"/>
  <c r="F48" i="3436" s="1"/>
  <c r="E48" i="3436" a="1"/>
  <c r="E48" i="3436" s="1"/>
  <c r="C48" i="3436" a="1"/>
  <c r="C48" i="3436" s="1"/>
  <c r="E52" i="3436" a="1"/>
  <c r="E52" i="3436" s="1"/>
  <c r="D52" i="3436" a="1"/>
  <c r="D52" i="3436" s="1"/>
  <c r="C52" i="3436" a="1"/>
  <c r="C52" i="3436" s="1"/>
  <c r="F52" i="3436" a="1"/>
  <c r="F52" i="3436" s="1"/>
  <c r="E54" i="3436" a="1"/>
  <c r="E54" i="3436" s="1"/>
  <c r="D75" i="3436" a="1"/>
  <c r="D75" i="3436" s="1"/>
  <c r="E75" i="3436" a="1"/>
  <c r="E75" i="3436" s="1"/>
  <c r="C75" i="3436" a="1"/>
  <c r="C75" i="3436" s="1"/>
  <c r="AH96" i="3577"/>
  <c r="AI96" i="3577" s="1"/>
  <c r="AJ96" i="3577" s="1" a="1"/>
  <c r="AJ96" i="3577" s="1"/>
  <c r="AH109" i="3577"/>
  <c r="AI109" i="3577" s="1"/>
  <c r="AJ109" i="3577" s="1" a="1"/>
  <c r="AJ109" i="3577" s="1"/>
  <c r="AH114" i="3577"/>
  <c r="AI114" i="3577" s="1"/>
  <c r="AJ114" i="3577" s="1" a="1"/>
  <c r="AJ114" i="3577" s="1"/>
  <c r="F23" i="3436" a="1"/>
  <c r="F23" i="3436" s="1"/>
  <c r="F40" i="3436" a="1"/>
  <c r="F40" i="3436" s="1"/>
  <c r="E40" i="3436" a="1"/>
  <c r="E40" i="3436" s="1"/>
  <c r="D40" i="3436" a="1"/>
  <c r="D40" i="3436" s="1"/>
  <c r="C40" i="3436" a="1"/>
  <c r="C40" i="3436" s="1"/>
  <c r="D50" i="3436" a="1"/>
  <c r="D50" i="3436" s="1"/>
  <c r="H69" i="3436"/>
  <c r="F69" i="3436" a="1"/>
  <c r="F69" i="3436" s="1"/>
  <c r="E69" i="3436" a="1"/>
  <c r="E69" i="3436" s="1"/>
  <c r="C69" i="3436" a="1"/>
  <c r="C69" i="3436" s="1"/>
  <c r="AH101" i="3577"/>
  <c r="AI101" i="3577" s="1"/>
  <c r="AJ101" i="3577" s="1" a="1"/>
  <c r="AJ101" i="3577" s="1"/>
  <c r="AH119" i="3577"/>
  <c r="AI119" i="3577" s="1"/>
  <c r="AJ119" i="3577" s="1" a="1"/>
  <c r="AJ119" i="3577" s="1"/>
  <c r="F21" i="3436" a="1"/>
  <c r="F21" i="3436" s="1"/>
  <c r="E21" i="3436" a="1"/>
  <c r="E21" i="3436" s="1"/>
  <c r="D21" i="3436" a="1"/>
  <c r="D21" i="3436" s="1"/>
  <c r="D48" i="3436" a="1"/>
  <c r="D48" i="3436" s="1"/>
  <c r="F65" i="3436" a="1"/>
  <c r="F65" i="3436" s="1"/>
  <c r="D65" i="3436" a="1"/>
  <c r="D65" i="3436" s="1"/>
  <c r="F75" i="3436" a="1"/>
  <c r="F75" i="3436" s="1"/>
  <c r="AH112" i="3434"/>
  <c r="AI112" i="3434" s="1"/>
  <c r="AJ112" i="3434" s="1" a="1"/>
  <c r="AJ112" i="3434" s="1"/>
  <c r="H19" i="3436"/>
  <c r="E19" i="3436" a="1"/>
  <c r="E19" i="3436" s="1"/>
  <c r="D19" i="3436" a="1"/>
  <c r="D19" i="3436" s="1"/>
  <c r="C19" i="3436" a="1"/>
  <c r="C19" i="3436" s="1"/>
  <c r="F19" i="3436" a="1"/>
  <c r="F19" i="3436" s="1"/>
  <c r="E38" i="3436" a="1"/>
  <c r="E38" i="3436" s="1"/>
  <c r="D38" i="3436" a="1"/>
  <c r="D38" i="3436" s="1"/>
  <c r="C38" i="3436" a="1"/>
  <c r="C38" i="3436" s="1"/>
  <c r="E29" i="3436" a="1"/>
  <c r="E29" i="3436" s="1"/>
  <c r="F29" i="3436" a="1"/>
  <c r="F29" i="3436" s="1"/>
  <c r="D29" i="3436" a="1"/>
  <c r="D29" i="3436" s="1"/>
  <c r="AH92" i="3577"/>
  <c r="AI92" i="3577" s="1"/>
  <c r="AJ92" i="3577" s="1" a="1"/>
  <c r="AJ92" i="3577" s="1"/>
  <c r="D27" i="3436" a="1"/>
  <c r="D27" i="3436" s="1"/>
  <c r="E27" i="3436" a="1"/>
  <c r="E27" i="3436" s="1"/>
  <c r="F27" i="3436" a="1"/>
  <c r="F27" i="3436" s="1"/>
  <c r="C29" i="3436" a="1"/>
  <c r="C29" i="3436" s="1"/>
  <c r="AH103" i="3577"/>
  <c r="AI103" i="3577" s="1"/>
  <c r="AJ103" i="3577" s="1" a="1"/>
  <c r="AJ103" i="3577" s="1"/>
  <c r="AH108" i="3577"/>
  <c r="AI108" i="3577" s="1"/>
  <c r="AJ108" i="3577" s="1" a="1"/>
  <c r="AJ108" i="3577" s="1"/>
  <c r="F45" i="3436" a="1"/>
  <c r="F45" i="3436" s="1"/>
  <c r="E45" i="3436" a="1"/>
  <c r="E45" i="3436" s="1"/>
  <c r="D45" i="3436" a="1"/>
  <c r="D45" i="3436" s="1"/>
  <c r="C45" i="3436" a="1"/>
  <c r="C45" i="3436" s="1"/>
  <c r="E53" i="3436" a="1"/>
  <c r="E53" i="3436" s="1"/>
  <c r="D53" i="3436" a="1"/>
  <c r="D53" i="3436" s="1"/>
  <c r="C53" i="3436" a="1"/>
  <c r="C53" i="3436" s="1"/>
  <c r="C59" i="3436" a="1"/>
  <c r="C59" i="3436" s="1"/>
  <c r="F59" i="3436" a="1"/>
  <c r="F59" i="3436" s="1"/>
  <c r="E59" i="3436" a="1"/>
  <c r="E59" i="3436" s="1"/>
  <c r="D59" i="3436" a="1"/>
  <c r="D59" i="3436" s="1"/>
  <c r="AH102" i="3434"/>
  <c r="AI102" i="3434" s="1"/>
  <c r="AJ102" i="3434" s="1" a="1"/>
  <c r="AJ102" i="3434" s="1"/>
  <c r="AH95" i="3577"/>
  <c r="AI95" i="3577" s="1"/>
  <c r="AJ95" i="3577" s="1" a="1"/>
  <c r="AJ95" i="3577" s="1"/>
  <c r="C43" i="3436" a="1"/>
  <c r="C43" i="3436" s="1"/>
  <c r="F53" i="3436" a="1"/>
  <c r="F53" i="3436" s="1"/>
  <c r="E57" i="3436" a="1"/>
  <c r="E57" i="3436" s="1"/>
  <c r="D57" i="3436" a="1"/>
  <c r="D57" i="3436" s="1"/>
  <c r="C57" i="3436" a="1"/>
  <c r="C57" i="3436" s="1"/>
  <c r="F57" i="3436" a="1"/>
  <c r="F57" i="3436" s="1"/>
  <c r="D70" i="3436" a="1"/>
  <c r="D70" i="3436" s="1"/>
  <c r="H70" i="3436"/>
  <c r="E70" i="3436" a="1"/>
  <c r="E70" i="3436" s="1"/>
  <c r="F76" i="3436" a="1"/>
  <c r="F76" i="3436" s="1"/>
  <c r="D76" i="3436" a="1"/>
  <c r="D76" i="3436" s="1"/>
  <c r="C76" i="3436" a="1"/>
  <c r="C76" i="3436" s="1"/>
  <c r="AH115" i="3434"/>
  <c r="AI115" i="3434" s="1"/>
  <c r="AJ115" i="3434" s="1" a="1"/>
  <c r="AJ115" i="3434" s="1"/>
  <c r="F55" i="3436" a="1"/>
  <c r="F55" i="3436" s="1"/>
  <c r="AH103" i="3434"/>
  <c r="AI103" i="3434" s="1"/>
  <c r="AJ103" i="3434" s="1" a="1"/>
  <c r="AJ103" i="3434" s="1"/>
  <c r="AH106" i="3434"/>
  <c r="AI106" i="3434" s="1"/>
  <c r="AJ106" i="3434" s="1" a="1"/>
  <c r="AJ106" i="3434" s="1"/>
  <c r="AH120" i="3434"/>
  <c r="AI120" i="3434" s="1"/>
  <c r="AJ120" i="3434" s="1" a="1"/>
  <c r="AJ120" i="3434" s="1"/>
  <c r="Q9" i="3419"/>
  <c r="BH27" i="3448" a="1"/>
  <c r="BH27" i="3448" s="1"/>
  <c r="AV27" i="3448" a="1"/>
  <c r="AV27" i="3448" s="1"/>
  <c r="AJ27" i="3448" a="1"/>
  <c r="AJ27" i="3448" s="1"/>
  <c r="X27" i="3448" a="1"/>
  <c r="X27" i="3448" s="1"/>
  <c r="K27" i="3448" a="1"/>
  <c r="K27" i="3448" s="1"/>
  <c r="BG27" i="3448" a="1"/>
  <c r="BG27" i="3448" s="1"/>
  <c r="AU27" i="3448" a="1"/>
  <c r="AU27" i="3448" s="1"/>
  <c r="AI27" i="3448" a="1"/>
  <c r="AI27" i="3448" s="1"/>
  <c r="W27" i="3448" a="1"/>
  <c r="W27" i="3448" s="1"/>
  <c r="J27" i="3448" a="1"/>
  <c r="J27" i="3448" s="1"/>
  <c r="BF27" i="3448" a="1"/>
  <c r="BF27" i="3448" s="1"/>
  <c r="AT27" i="3448" a="1"/>
  <c r="AT27" i="3448" s="1"/>
  <c r="AH27" i="3448" a="1"/>
  <c r="AH27" i="3448" s="1"/>
  <c r="V27" i="3448" a="1"/>
  <c r="V27" i="3448" s="1"/>
  <c r="BC27" i="3448" a="1"/>
  <c r="BC27" i="3448" s="1"/>
  <c r="AQ27" i="3448" a="1"/>
  <c r="AQ27" i="3448" s="1"/>
  <c r="AE27" i="3448" a="1"/>
  <c r="AE27" i="3448" s="1"/>
  <c r="S27" i="3448" a="1"/>
  <c r="S27" i="3448" s="1"/>
  <c r="BL27" i="3448" a="1"/>
  <c r="BL27" i="3448" s="1"/>
  <c r="AZ27" i="3448" a="1"/>
  <c r="AZ27" i="3448" s="1"/>
  <c r="AN27" i="3448" a="1"/>
  <c r="AN27" i="3448" s="1"/>
  <c r="AB27" i="3448" a="1"/>
  <c r="AB27" i="3448" s="1"/>
  <c r="P27" i="3448" a="1"/>
  <c r="P27" i="3448" s="1"/>
  <c r="BI27" i="3448" a="1"/>
  <c r="BI27" i="3448" s="1"/>
  <c r="AW27" i="3448" a="1"/>
  <c r="AW27" i="3448" s="1"/>
  <c r="AK27" i="3448" a="1"/>
  <c r="AK27" i="3448" s="1"/>
  <c r="Y27" i="3448" a="1"/>
  <c r="Y27" i="3448" s="1"/>
  <c r="AX27" i="3448" a="1"/>
  <c r="AX27" i="3448" s="1"/>
  <c r="N27" i="3448" a="1"/>
  <c r="N27" i="3448" s="1"/>
  <c r="AD27" i="3448" a="1"/>
  <c r="AD27" i="3448" s="1"/>
  <c r="L27" i="3448" a="1"/>
  <c r="L27" i="3448" s="1"/>
  <c r="BM27" i="3448" a="1"/>
  <c r="BM27" i="3448" s="1"/>
  <c r="AC27" i="3448" a="1"/>
  <c r="AC27" i="3448" s="1"/>
  <c r="I27" i="3448" a="1"/>
  <c r="I27" i="3448" s="1"/>
  <c r="BK27" i="3448" a="1"/>
  <c r="BK27" i="3448" s="1"/>
  <c r="AR27" i="3448" a="1"/>
  <c r="AR27" i="3448" s="1"/>
  <c r="AA27" i="3448" a="1"/>
  <c r="AA27" i="3448" s="1"/>
  <c r="BJ27" i="3448" a="1"/>
  <c r="BJ27" i="3448" s="1"/>
  <c r="Z27" i="3448" a="1"/>
  <c r="Z27" i="3448" s="1"/>
  <c r="BD27" i="3448" a="1"/>
  <c r="BD27" i="3448" s="1"/>
  <c r="AM27" i="3448" a="1"/>
  <c r="AM27" i="3448" s="1"/>
  <c r="T27" i="3448" a="1"/>
  <c r="T27" i="3448" s="1"/>
  <c r="AL27" i="3448" a="1"/>
  <c r="AL27" i="3448" s="1"/>
  <c r="BB27" i="3448" a="1"/>
  <c r="BB27" i="3448" s="1"/>
  <c r="R27" i="3448" a="1"/>
  <c r="R27" i="3448" s="1"/>
  <c r="BA27" i="3448" a="1"/>
  <c r="BA27" i="3448" s="1"/>
  <c r="Q27" i="3448" a="1"/>
  <c r="Q27" i="3448" s="1"/>
  <c r="AY27" i="3448" a="1"/>
  <c r="AY27" i="3448" s="1"/>
  <c r="AF27" i="3448" a="1"/>
  <c r="AF27" i="3448" s="1"/>
  <c r="O27" i="3448" a="1"/>
  <c r="O27" i="3448" s="1"/>
  <c r="AS27" i="3448" a="1"/>
  <c r="AS27" i="3448" s="1"/>
  <c r="AP27" i="3448" a="1"/>
  <c r="AP27" i="3448" s="1"/>
  <c r="AG27" i="3448" a="1"/>
  <c r="AG27" i="3448" s="1"/>
  <c r="U27" i="3448" a="1"/>
  <c r="U27" i="3448" s="1"/>
  <c r="D27" i="3448" a="1"/>
  <c r="D27" i="3448" s="1"/>
  <c r="E27" i="3448" s="1" a="1"/>
  <c r="E27" i="3448" s="1"/>
  <c r="BE27" i="3448" a="1"/>
  <c r="BE27" i="3448" s="1"/>
  <c r="AO27" i="3448" a="1"/>
  <c r="AO27" i="3448" s="1"/>
  <c r="T9" i="3419"/>
  <c r="AH118" i="3434"/>
  <c r="AI118" i="3434" s="1"/>
  <c r="AJ118" i="3434" s="1" a="1"/>
  <c r="AJ118" i="3434" s="1"/>
  <c r="AH137" i="3434"/>
  <c r="AI137" i="3434" s="1"/>
  <c r="AJ137" i="3434" s="1" a="1"/>
  <c r="AJ137" i="3434" s="1"/>
  <c r="R9" i="3419"/>
  <c r="V9" i="3419"/>
  <c r="AH139" i="3434"/>
  <c r="AI139" i="3434" s="1"/>
  <c r="AJ139" i="3434" s="1" a="1"/>
  <c r="AJ139" i="3434" s="1"/>
  <c r="AH114" i="3434"/>
  <c r="AI114" i="3434" s="1"/>
  <c r="AJ114" i="3434" s="1" a="1"/>
  <c r="AJ114" i="3434" s="1"/>
  <c r="AH121" i="3434"/>
  <c r="AI121" i="3434" s="1"/>
  <c r="AJ121" i="3434" s="1" a="1"/>
  <c r="AJ121" i="3434" s="1"/>
  <c r="AH124" i="3434"/>
  <c r="AI124" i="3434" s="1"/>
  <c r="AJ124" i="3434" s="1" a="1"/>
  <c r="AJ124" i="3434" s="1"/>
  <c r="W9" i="3419"/>
  <c r="U9" i="3419"/>
  <c r="X9" i="3419"/>
  <c r="F79" i="3436" a="1"/>
  <c r="F79" i="3436" s="1"/>
  <c r="AH96" i="3434"/>
  <c r="AI96" i="3434" s="1"/>
  <c r="AJ96" i="3434" s="1" a="1"/>
  <c r="AJ96" i="3434" s="1"/>
  <c r="AH140" i="3434"/>
  <c r="AI140" i="3434" s="1"/>
  <c r="AJ140" i="3434" s="1" a="1"/>
  <c r="AJ140" i="3434" s="1"/>
  <c r="AH141" i="3434"/>
  <c r="AI141" i="3434" s="1"/>
  <c r="AJ141" i="3434" s="1" a="1"/>
  <c r="AJ141" i="3434" s="1"/>
  <c r="BB13" i="3419"/>
  <c r="Y9" i="3419"/>
  <c r="BF37" i="3419"/>
  <c r="D47" i="3436" a="1"/>
  <c r="D47" i="3436" s="1"/>
  <c r="C79" i="3436" a="1"/>
  <c r="C79" i="3436" s="1"/>
  <c r="C28" i="3436" a="1"/>
  <c r="C28" i="3436" s="1"/>
  <c r="D34" i="3436" a="1"/>
  <c r="D34" i="3436" s="1"/>
  <c r="E47" i="3436" a="1"/>
  <c r="E47" i="3436" s="1"/>
  <c r="F74" i="3436" a="1"/>
  <c r="F74" i="3436" s="1"/>
  <c r="AH117" i="3434"/>
  <c r="AI117" i="3434" s="1"/>
  <c r="AJ117" i="3434" s="1" a="1"/>
  <c r="AJ117" i="3434" s="1"/>
  <c r="AH143" i="3434"/>
  <c r="AI143" i="3434" s="1"/>
  <c r="AJ143" i="3434" s="1" a="1"/>
  <c r="AJ143" i="3434" s="1"/>
  <c r="D79" i="3436" a="1"/>
  <c r="D79" i="3436" s="1"/>
  <c r="AH130" i="3434"/>
  <c r="AI130" i="3434" s="1"/>
  <c r="AJ130" i="3434" s="1" a="1"/>
  <c r="AJ130" i="3434" s="1"/>
  <c r="BI33" i="3419"/>
  <c r="D28" i="3436" a="1"/>
  <c r="D28" i="3436" s="1"/>
  <c r="E34" i="3436" a="1"/>
  <c r="E34" i="3436" s="1"/>
  <c r="F47" i="3436" a="1"/>
  <c r="F47" i="3436" s="1"/>
  <c r="D58" i="3436" a="1"/>
  <c r="D58" i="3436" s="1"/>
  <c r="BE13" i="3419"/>
  <c r="D33" i="3436" a="1"/>
  <c r="D33" i="3436" s="1"/>
  <c r="F34" i="3436" a="1"/>
  <c r="F34" i="3436" s="1"/>
  <c r="E58" i="3436" a="1"/>
  <c r="E58" i="3436" s="1"/>
  <c r="D74" i="3436" a="1"/>
  <c r="D74" i="3436" s="1"/>
  <c r="C78" i="3436" a="1"/>
  <c r="C78" i="3436" s="1"/>
  <c r="AH134" i="3434"/>
  <c r="AI134" i="3434" s="1"/>
  <c r="AJ134" i="3434" s="1" a="1"/>
  <c r="AJ134" i="3434" s="1"/>
  <c r="AH133" i="3434"/>
  <c r="AI133" i="3434" s="1"/>
  <c r="AJ133" i="3434" s="1" a="1"/>
  <c r="AJ133" i="3434" s="1"/>
  <c r="AH129" i="3434"/>
  <c r="AI129" i="3434" s="1"/>
  <c r="AJ129" i="3434" s="1" a="1"/>
  <c r="AJ129" i="3434" s="1"/>
  <c r="AH136" i="3434"/>
  <c r="AI136" i="3434" s="1"/>
  <c r="AJ136" i="3434" s="1" a="1"/>
  <c r="AJ136" i="3434" s="1"/>
  <c r="AH138" i="3434"/>
  <c r="AI138" i="3434" s="1"/>
  <c r="AJ138" i="3434" s="1" a="1"/>
  <c r="AJ138" i="3434" s="1"/>
  <c r="AH128" i="3434"/>
  <c r="AI128" i="3434" s="1"/>
  <c r="AJ128" i="3434" s="1" a="1"/>
  <c r="AJ128" i="3434" s="1"/>
  <c r="AH142" i="3434"/>
  <c r="AI142" i="3434" s="1"/>
  <c r="AJ142" i="3434" s="1" a="1"/>
  <c r="AJ142" i="3434" s="1"/>
  <c r="AH122" i="3434"/>
  <c r="AI122" i="3434" s="1"/>
  <c r="AJ122" i="3434" s="1" a="1"/>
  <c r="AJ122" i="3434" s="1"/>
  <c r="AH113" i="3434"/>
  <c r="AI113" i="3434" s="1"/>
  <c r="AJ113" i="3434" s="1" a="1"/>
  <c r="AJ113" i="3434" s="1"/>
  <c r="AH123" i="3434"/>
  <c r="AI123" i="3434" s="1"/>
  <c r="AJ123" i="3434" s="1" a="1"/>
  <c r="AJ123" i="3434" s="1"/>
  <c r="AH116" i="3434"/>
  <c r="AI116" i="3434" s="1"/>
  <c r="AJ116" i="3434" s="1" a="1"/>
  <c r="AJ116" i="3434" s="1"/>
  <c r="AH108" i="3434"/>
  <c r="AI108" i="3434" s="1"/>
  <c r="AJ108" i="3434" s="1" a="1"/>
  <c r="AJ108" i="3434" s="1"/>
  <c r="AH125" i="3434"/>
  <c r="AI125" i="3434" s="1"/>
  <c r="AJ125" i="3434" s="1" a="1"/>
  <c r="AJ125" i="3434" s="1"/>
  <c r="AH110" i="3434"/>
  <c r="AI110" i="3434" s="1"/>
  <c r="AJ110" i="3434" s="1" a="1"/>
  <c r="AJ110" i="3434" s="1"/>
  <c r="AH105" i="3434"/>
  <c r="AI105" i="3434" s="1"/>
  <c r="AJ105" i="3434" s="1" a="1"/>
  <c r="AJ105" i="3434" s="1"/>
  <c r="AH144" i="3434"/>
  <c r="AI144" i="3434" s="1"/>
  <c r="AJ144" i="3434" s="1" a="1"/>
  <c r="AJ144" i="3434" s="1"/>
  <c r="AH131" i="3434"/>
  <c r="AI131" i="3434" s="1"/>
  <c r="AJ131" i="3434" s="1" a="1"/>
  <c r="AJ131" i="3434" s="1"/>
  <c r="AH104" i="3434"/>
  <c r="AI104" i="3434" s="1"/>
  <c r="AJ104" i="3434" s="1" a="1"/>
  <c r="AJ104" i="3434" s="1"/>
  <c r="AH135" i="3434"/>
  <c r="AI135" i="3434" s="1"/>
  <c r="AJ135" i="3434" s="1" a="1"/>
  <c r="AJ135" i="3434" s="1"/>
  <c r="AH127" i="3434"/>
  <c r="AI127" i="3434" s="1"/>
  <c r="AJ127" i="3434" s="1" a="1"/>
  <c r="AJ127" i="3434" s="1"/>
  <c r="AH101" i="3434"/>
  <c r="AI101" i="3434" s="1"/>
  <c r="AJ101" i="3434" s="1" a="1"/>
  <c r="AJ101" i="3434" s="1"/>
  <c r="E33" i="3436" a="1"/>
  <c r="E33" i="3436" s="1"/>
  <c r="H34" i="3436"/>
  <c r="F58" i="3436" a="1"/>
  <c r="F58" i="3436" s="1"/>
  <c r="E74" i="3436" a="1"/>
  <c r="E74" i="3436" s="1"/>
  <c r="D78" i="3436" a="1"/>
  <c r="D78" i="3436" s="1"/>
  <c r="AH126" i="3434"/>
  <c r="AI126" i="3434" s="1"/>
  <c r="AJ126" i="3434" s="1" a="1"/>
  <c r="AJ126" i="3434" s="1"/>
  <c r="AH132" i="3434"/>
  <c r="AI132" i="3434" s="1"/>
  <c r="AJ132" i="3434" s="1" a="1"/>
  <c r="AJ132" i="3434" s="1"/>
  <c r="F31" i="3436" a="1"/>
  <c r="F31" i="3436" s="1"/>
  <c r="D51" i="3436" a="1"/>
  <c r="D51" i="3436" s="1"/>
  <c r="F66" i="3436" a="1"/>
  <c r="F66" i="3436" s="1"/>
  <c r="E77" i="3436" a="1"/>
  <c r="E77" i="3436" s="1"/>
  <c r="AH109" i="3434"/>
  <c r="AI109" i="3434" s="1"/>
  <c r="AJ109" i="3434" s="1" a="1"/>
  <c r="AJ109" i="3434" s="1"/>
  <c r="BH14" i="3419"/>
  <c r="F33" i="3436" a="1"/>
  <c r="F33" i="3436" s="1"/>
  <c r="H58" i="3436"/>
  <c r="E78" i="3436" a="1"/>
  <c r="E78" i="3436" s="1"/>
  <c r="AH111" i="3434"/>
  <c r="AI111" i="3434" s="1"/>
  <c r="AJ111" i="3434" s="1" a="1"/>
  <c r="AJ111" i="3434" s="1"/>
  <c r="BH25" i="3419"/>
  <c r="BH27" i="3419"/>
  <c r="BJ33" i="3419"/>
  <c r="BG16" i="3419"/>
  <c r="BF20" i="3419"/>
  <c r="BF30" i="3419"/>
  <c r="BE19" i="3448" a="1"/>
  <c r="BE19" i="3448" s="1"/>
  <c r="AS19" i="3448" a="1"/>
  <c r="AS19" i="3448" s="1"/>
  <c r="AG19" i="3448" a="1"/>
  <c r="AG19" i="3448" s="1"/>
  <c r="U19" i="3448" a="1"/>
  <c r="U19" i="3448" s="1"/>
  <c r="BD19" i="3448" a="1"/>
  <c r="BD19" i="3448" s="1"/>
  <c r="AR19" i="3448" a="1"/>
  <c r="AR19" i="3448" s="1"/>
  <c r="AF19" i="3448" a="1"/>
  <c r="AF19" i="3448" s="1"/>
  <c r="T19" i="3448" a="1"/>
  <c r="T19" i="3448" s="1"/>
  <c r="BC19" i="3448" a="1"/>
  <c r="BC19" i="3448" s="1"/>
  <c r="AQ19" i="3448" a="1"/>
  <c r="AQ19" i="3448" s="1"/>
  <c r="AE19" i="3448" a="1"/>
  <c r="AE19" i="3448" s="1"/>
  <c r="S19" i="3448" a="1"/>
  <c r="S19" i="3448" s="1"/>
  <c r="BL19" i="3448" a="1"/>
  <c r="BL19" i="3448" s="1"/>
  <c r="AZ19" i="3448" a="1"/>
  <c r="AZ19" i="3448" s="1"/>
  <c r="AN19" i="3448" a="1"/>
  <c r="AN19" i="3448" s="1"/>
  <c r="AB19" i="3448" a="1"/>
  <c r="AB19" i="3448" s="1"/>
  <c r="P19" i="3448" a="1"/>
  <c r="P19" i="3448" s="1"/>
  <c r="BI19" i="3448" a="1"/>
  <c r="BI19" i="3448" s="1"/>
  <c r="AW19" i="3448" a="1"/>
  <c r="AW19" i="3448" s="1"/>
  <c r="AK19" i="3448" a="1"/>
  <c r="AK19" i="3448" s="1"/>
  <c r="Y19" i="3448" a="1"/>
  <c r="Y19" i="3448" s="1"/>
  <c r="M19" i="3448"/>
  <c r="BF19" i="3448" a="1"/>
  <c r="BF19" i="3448" s="1"/>
  <c r="AT19" i="3448" a="1"/>
  <c r="AT19" i="3448" s="1"/>
  <c r="AH19" i="3448" a="1"/>
  <c r="AH19" i="3448" s="1"/>
  <c r="BG19" i="3448" a="1"/>
  <c r="BG19" i="3448" s="1"/>
  <c r="W19" i="3448" a="1"/>
  <c r="W19" i="3448" s="1"/>
  <c r="D19" i="3448" a="1"/>
  <c r="D19" i="3448" s="1"/>
  <c r="E19" i="3448" s="1" a="1"/>
  <c r="E19" i="3448" s="1"/>
  <c r="AM19" i="3448" a="1"/>
  <c r="AM19" i="3448" s="1"/>
  <c r="V19" i="3448" a="1"/>
  <c r="V19" i="3448" s="1"/>
  <c r="R19" i="3448" a="1"/>
  <c r="R19" i="3448" s="1"/>
  <c r="BA19" i="3448" a="1"/>
  <c r="BA19" i="3448" s="1"/>
  <c r="AJ19" i="3448" a="1"/>
  <c r="AJ19" i="3448" s="1"/>
  <c r="Q19" i="3448" a="1"/>
  <c r="Q19" i="3448" s="1"/>
  <c r="AY19" i="3448" a="1"/>
  <c r="AY19" i="3448" s="1"/>
  <c r="AD19" i="3448" a="1"/>
  <c r="AD19" i="3448" s="1"/>
  <c r="N19" i="3448" a="1"/>
  <c r="N19" i="3448" s="1"/>
  <c r="BM19" i="3448" a="1"/>
  <c r="BM19" i="3448" s="1"/>
  <c r="AV19" i="3448" a="1"/>
  <c r="AV19" i="3448" s="1"/>
  <c r="AC19" i="3448" a="1"/>
  <c r="AC19" i="3448" s="1"/>
  <c r="L19" i="3448" a="1"/>
  <c r="L19" i="3448" s="1"/>
  <c r="AU19" i="3448" a="1"/>
  <c r="AU19" i="3448" s="1"/>
  <c r="K19" i="3448" a="1"/>
  <c r="K19" i="3448" s="1"/>
  <c r="BK19" i="3448" a="1"/>
  <c r="BK19" i="3448" s="1"/>
  <c r="AA19" i="3448" a="1"/>
  <c r="AA19" i="3448" s="1"/>
  <c r="J19" i="3448" a="1"/>
  <c r="J19" i="3448" s="1"/>
  <c r="BH19" i="3448" a="1"/>
  <c r="BH19" i="3448" s="1"/>
  <c r="AO19" i="3448" a="1"/>
  <c r="AO19" i="3448" s="1"/>
  <c r="X19" i="3448" a="1"/>
  <c r="X19" i="3448" s="1"/>
  <c r="I19" i="3448" a="1"/>
  <c r="I19" i="3448" s="1"/>
  <c r="BB19" i="3448" a="1"/>
  <c r="BB19" i="3448" s="1"/>
  <c r="AX19" i="3448" a="1"/>
  <c r="AX19" i="3448" s="1"/>
  <c r="AP19" i="3448" a="1"/>
  <c r="AP19" i="3448" s="1"/>
  <c r="AL19" i="3448" a="1"/>
  <c r="AL19" i="3448" s="1"/>
  <c r="BG15" i="3419"/>
  <c r="BC24" i="3419"/>
  <c r="BC41" i="3419"/>
  <c r="BA51" i="3419"/>
  <c r="BF13" i="3419"/>
  <c r="BH15" i="3419"/>
  <c r="BB19" i="3419"/>
  <c r="O9" i="3419"/>
  <c r="BD24" i="3419"/>
  <c r="BC59" i="3419"/>
  <c r="BB62" i="3419"/>
  <c r="BE22" i="3419"/>
  <c r="BB26" i="3419"/>
  <c r="BC18" i="3419"/>
  <c r="BJ30" i="3419"/>
  <c r="BC32" i="3419"/>
  <c r="AI19" i="3448" a="1"/>
  <c r="AI19" i="3448" s="1"/>
  <c r="P9" i="3419"/>
  <c r="D53" i="3523"/>
  <c r="BK68" i="3448" a="1"/>
  <c r="BK68" i="3448" s="1"/>
  <c r="AY68" i="3448" a="1"/>
  <c r="AY68" i="3448" s="1"/>
  <c r="AM68" i="3448" a="1"/>
  <c r="AM68" i="3448" s="1"/>
  <c r="AA68" i="3448" a="1"/>
  <c r="AA68" i="3448" s="1"/>
  <c r="O68" i="3448" a="1"/>
  <c r="O68" i="3448" s="1"/>
  <c r="BJ68" i="3448" a="1"/>
  <c r="BJ68" i="3448" s="1"/>
  <c r="AX68" i="3448" a="1"/>
  <c r="AX68" i="3448" s="1"/>
  <c r="AL68" i="3448" a="1"/>
  <c r="AL68" i="3448" s="1"/>
  <c r="Z68" i="3448" a="1"/>
  <c r="Z68" i="3448" s="1"/>
  <c r="N68" i="3448" a="1"/>
  <c r="N68" i="3448" s="1"/>
  <c r="K68" i="3448" a="1"/>
  <c r="K68" i="3448" s="1"/>
  <c r="S53" i="3523" s="1"/>
  <c r="BF68" i="3448" a="1"/>
  <c r="BF68" i="3448" s="1"/>
  <c r="AT68" i="3448" a="1"/>
  <c r="AT68" i="3448" s="1"/>
  <c r="AH68" i="3448" a="1"/>
  <c r="AH68" i="3448" s="1"/>
  <c r="V68" i="3448" a="1"/>
  <c r="V68" i="3448" s="1"/>
  <c r="BM68" i="3448" a="1"/>
  <c r="BM68" i="3448" s="1"/>
  <c r="AV68" i="3448" a="1"/>
  <c r="AV68" i="3448" s="1"/>
  <c r="AF68" i="3448" a="1"/>
  <c r="AF68" i="3448" s="1"/>
  <c r="Q68" i="3448" a="1"/>
  <c r="Q68" i="3448" s="1"/>
  <c r="BL68" i="3448" a="1"/>
  <c r="BL68" i="3448" s="1"/>
  <c r="AE68" i="3448" a="1"/>
  <c r="AE68" i="3448" s="1"/>
  <c r="P68" i="3448" a="1"/>
  <c r="P68" i="3448" s="1"/>
  <c r="BI68" i="3448" a="1"/>
  <c r="BI68" i="3448" s="1"/>
  <c r="AS68" i="3448" a="1"/>
  <c r="AS68" i="3448" s="1"/>
  <c r="AD68" i="3448" a="1"/>
  <c r="AD68" i="3448" s="1"/>
  <c r="L68" i="3448" a="1"/>
  <c r="L68" i="3448" s="1"/>
  <c r="BG68" i="3448" a="1"/>
  <c r="BG68" i="3448" s="1"/>
  <c r="I68" i="3448" a="1"/>
  <c r="I68" i="3448" s="1"/>
  <c r="E53" i="3523" s="1"/>
  <c r="F53" i="3523" s="1" a="1"/>
  <c r="F53" i="3523" s="1"/>
  <c r="AZ68" i="3448" a="1"/>
  <c r="AZ68" i="3448" s="1"/>
  <c r="X68" i="3448" a="1"/>
  <c r="X68" i="3448" s="1"/>
  <c r="W68" i="3448" a="1"/>
  <c r="W68" i="3448" s="1"/>
  <c r="AW68" i="3448" a="1"/>
  <c r="AW68" i="3448" s="1"/>
  <c r="U68" i="3448" a="1"/>
  <c r="U68" i="3448" s="1"/>
  <c r="AU68" i="3448" a="1"/>
  <c r="AU68" i="3448" s="1"/>
  <c r="T68" i="3448" a="1"/>
  <c r="T68" i="3448" s="1"/>
  <c r="AR68" i="3448" a="1"/>
  <c r="AR68" i="3448" s="1"/>
  <c r="AP68" i="3448" a="1"/>
  <c r="AP68" i="3448" s="1"/>
  <c r="R68" i="3448" a="1"/>
  <c r="R68" i="3448" s="1"/>
  <c r="BQ68" i="3448" a="1"/>
  <c r="BQ68" i="3448" s="1"/>
  <c r="BU68" i="3448" s="1" a="1"/>
  <c r="BU68" i="3448" s="1"/>
  <c r="AO68" i="3448" a="1"/>
  <c r="AO68" i="3448" s="1"/>
  <c r="AN68" i="3448" a="1"/>
  <c r="AN68" i="3448" s="1"/>
  <c r="AK68" i="3448" a="1"/>
  <c r="AK68" i="3448" s="1"/>
  <c r="J68" i="3448" a="1"/>
  <c r="J68" i="3448" s="1"/>
  <c r="M53" i="3523" s="1"/>
  <c r="AJ68" i="3448" a="1"/>
  <c r="AJ68" i="3448" s="1"/>
  <c r="BE68" i="3448" a="1"/>
  <c r="BE68" i="3448" s="1"/>
  <c r="BA68" i="3448" a="1"/>
  <c r="BA68" i="3448" s="1"/>
  <c r="Y68" i="3448" a="1"/>
  <c r="Y68" i="3448" s="1"/>
  <c r="AI68" i="3448" a="1"/>
  <c r="AI68" i="3448" s="1"/>
  <c r="AG68" i="3448" a="1"/>
  <c r="AG68" i="3448" s="1"/>
  <c r="S68" i="3448" a="1"/>
  <c r="S68" i="3448" s="1"/>
  <c r="D68" i="3448" a="1"/>
  <c r="D68" i="3448" s="1"/>
  <c r="BR68" i="3448" s="1" a="1"/>
  <c r="BR68" i="3448" s="1"/>
  <c r="BV68" i="3448" s="1" a="1"/>
  <c r="BV68" i="3448" s="1"/>
  <c r="BH68" i="3448" a="1"/>
  <c r="BH68" i="3448" s="1"/>
  <c r="BD68" i="3448" a="1"/>
  <c r="BD68" i="3448" s="1"/>
  <c r="BB68" i="3448" a="1"/>
  <c r="BB68" i="3448" s="1"/>
  <c r="AQ68" i="3448" a="1"/>
  <c r="AQ68" i="3448" s="1"/>
  <c r="BC68" i="3448" a="1"/>
  <c r="BC68" i="3448" s="1"/>
  <c r="AC68" i="3448" a="1"/>
  <c r="AC68" i="3448" s="1"/>
  <c r="AB68" i="3448" a="1"/>
  <c r="AB68" i="3448" s="1"/>
  <c r="E68" i="3448" a="1"/>
  <c r="E68" i="3448" s="1"/>
  <c r="G53" i="3523" s="1"/>
  <c r="BJ14" i="3419"/>
  <c r="BA17" i="3419"/>
  <c r="BF19" i="3419"/>
  <c r="BG31" i="3419"/>
  <c r="BJ19" i="3448" a="1"/>
  <c r="BJ19" i="3448" s="1"/>
  <c r="BG32" i="3419"/>
  <c r="BJ47" i="3419"/>
  <c r="BD23" i="3419"/>
  <c r="BA25" i="3419"/>
  <c r="BC43" i="3419"/>
  <c r="BB27" i="3419"/>
  <c r="BI42" i="3419"/>
  <c r="BJ45" i="3419"/>
  <c r="BF17" i="3419"/>
  <c r="BJ18" i="3419"/>
  <c r="BF21" i="3419"/>
  <c r="BG21" i="3419"/>
  <c r="BD25" i="3419"/>
  <c r="BF46" i="3419"/>
  <c r="BA15" i="3419"/>
  <c r="BC29" i="3419"/>
  <c r="BE40" i="3419"/>
  <c r="BG43" i="3419"/>
  <c r="BC44" i="3419"/>
  <c r="BC48" i="3419"/>
  <c r="BB16" i="3419"/>
  <c r="BE37" i="3419"/>
  <c r="BG50" i="3419"/>
  <c r="BI61" i="3419"/>
  <c r="T55" i="3448" a="1"/>
  <c r="T55" i="3448" s="1"/>
  <c r="BG30" i="3419"/>
  <c r="S54" i="3523"/>
  <c r="Q224" i="3445"/>
  <c r="T224" i="3445"/>
  <c r="S224" i="3445" a="1"/>
  <c r="S224" i="3445" s="1"/>
  <c r="P224" i="3445"/>
  <c r="O224" i="3445"/>
  <c r="N224" i="3445" a="1"/>
  <c r="N224" i="3445" s="1"/>
  <c r="J224" i="3445" a="1"/>
  <c r="J224" i="3445" s="1"/>
  <c r="K224" i="3445" a="1"/>
  <c r="K224" i="3445" s="1"/>
  <c r="L224" i="3445" s="1"/>
  <c r="M224" i="3445" s="1"/>
  <c r="I224" i="3445" a="1"/>
  <c r="I224" i="3445" s="1"/>
  <c r="A224" i="3445"/>
  <c r="H224" i="3445"/>
  <c r="AD55" i="3448" a="1"/>
  <c r="AD55" i="3448" s="1"/>
  <c r="BH33" i="3419"/>
  <c r="BF36" i="3419"/>
  <c r="BH45" i="3419"/>
  <c r="D28" i="3523"/>
  <c r="BK18" i="3448" a="1"/>
  <c r="BK18" i="3448" s="1"/>
  <c r="AY18" i="3448" a="1"/>
  <c r="AY18" i="3448" s="1"/>
  <c r="AM18" i="3448" a="1"/>
  <c r="AM18" i="3448" s="1"/>
  <c r="AA18" i="3448" a="1"/>
  <c r="AA18" i="3448" s="1"/>
  <c r="O18" i="3448" a="1"/>
  <c r="O18" i="3448" s="1"/>
  <c r="BJ18" i="3448" a="1"/>
  <c r="BJ18" i="3448" s="1"/>
  <c r="AX18" i="3448" a="1"/>
  <c r="AX18" i="3448" s="1"/>
  <c r="AL18" i="3448" a="1"/>
  <c r="AL18" i="3448" s="1"/>
  <c r="Z18" i="3448" a="1"/>
  <c r="Z18" i="3448" s="1"/>
  <c r="N18" i="3448" a="1"/>
  <c r="N18" i="3448" s="1"/>
  <c r="J18" i="3448" a="1"/>
  <c r="J18" i="3448" s="1"/>
  <c r="M28" i="3523" s="1"/>
  <c r="BE18" i="3448" a="1"/>
  <c r="BE18" i="3448" s="1"/>
  <c r="AO18" i="3448" a="1"/>
  <c r="AO18" i="3448" s="1"/>
  <c r="W18" i="3448" a="1"/>
  <c r="W18" i="3448" s="1"/>
  <c r="V18" i="3448" a="1"/>
  <c r="V18" i="3448" s="1"/>
  <c r="D18" i="3448" a="1"/>
  <c r="D18" i="3448" s="1"/>
  <c r="BD18" i="3448" a="1"/>
  <c r="BD18" i="3448" s="1"/>
  <c r="AN18" i="3448" a="1"/>
  <c r="AN18" i="3448" s="1"/>
  <c r="BC18" i="3448" a="1"/>
  <c r="BC18" i="3448" s="1"/>
  <c r="AK18" i="3448" a="1"/>
  <c r="AK18" i="3448" s="1"/>
  <c r="U18" i="3448" a="1"/>
  <c r="U18" i="3448" s="1"/>
  <c r="S18" i="3448" a="1"/>
  <c r="S18" i="3448" s="1"/>
  <c r="BA18" i="3448" a="1"/>
  <c r="BA18" i="3448" s="1"/>
  <c r="AI18" i="3448" a="1"/>
  <c r="AI18" i="3448" s="1"/>
  <c r="AH18" i="3448" a="1"/>
  <c r="AH18" i="3448" s="1"/>
  <c r="R18" i="3448" a="1"/>
  <c r="R18" i="3448" s="1"/>
  <c r="BQ18" i="3448" a="1"/>
  <c r="BQ18" i="3448" s="1"/>
  <c r="BU18" i="3448" s="1" a="1"/>
  <c r="BU18" i="3448" s="1"/>
  <c r="AW18" i="3448" a="1"/>
  <c r="AW18" i="3448" s="1"/>
  <c r="AG18" i="3448" a="1"/>
  <c r="AG18" i="3448" s="1"/>
  <c r="Q18" i="3448" a="1"/>
  <c r="Q18" i="3448" s="1"/>
  <c r="AE18" i="3448" a="1"/>
  <c r="AE18" i="3448" s="1"/>
  <c r="BM18" i="3448" a="1"/>
  <c r="BM18" i="3448" s="1"/>
  <c r="AU18" i="3448" a="1"/>
  <c r="AU18" i="3448" s="1"/>
  <c r="L18" i="3448" a="1"/>
  <c r="L18" i="3448" s="1"/>
  <c r="AT18" i="3448" a="1"/>
  <c r="AT18" i="3448" s="1"/>
  <c r="AD18" i="3448" a="1"/>
  <c r="AD18" i="3448" s="1"/>
  <c r="BL18" i="3448" a="1"/>
  <c r="BL18" i="3448" s="1"/>
  <c r="K18" i="3448" a="1"/>
  <c r="K18" i="3448" s="1"/>
  <c r="S28" i="3523" s="1"/>
  <c r="BI18" i="3448" a="1"/>
  <c r="BI18" i="3448" s="1"/>
  <c r="AS18" i="3448" a="1"/>
  <c r="AS18" i="3448" s="1"/>
  <c r="AC18" i="3448" a="1"/>
  <c r="AC18" i="3448" s="1"/>
  <c r="BH18" i="3448" a="1"/>
  <c r="BH18" i="3448" s="1"/>
  <c r="AR18" i="3448" a="1"/>
  <c r="AR18" i="3448" s="1"/>
  <c r="AB18" i="3448" a="1"/>
  <c r="AB18" i="3448" s="1"/>
  <c r="I18" i="3448" a="1"/>
  <c r="I18" i="3448" s="1"/>
  <c r="E28" i="3523" s="1"/>
  <c r="BF18" i="3448" a="1"/>
  <c r="BF18" i="3448" s="1"/>
  <c r="AP18" i="3448" a="1"/>
  <c r="AP18" i="3448" s="1"/>
  <c r="X18" i="3448" a="1"/>
  <c r="X18" i="3448" s="1"/>
  <c r="BG18" i="3448" a="1"/>
  <c r="BG18" i="3448" s="1"/>
  <c r="BE25" i="3448" a="1"/>
  <c r="BE25" i="3448" s="1"/>
  <c r="AJ55" i="3448" a="1"/>
  <c r="AJ55" i="3448" s="1"/>
  <c r="BG42" i="3419"/>
  <c r="BI53" i="3419"/>
  <c r="BJ54" i="3419"/>
  <c r="BA57" i="3419"/>
  <c r="BH58" i="3419"/>
  <c r="BG36" i="3419"/>
  <c r="BB37" i="3419"/>
  <c r="BF39" i="3419"/>
  <c r="BA40" i="3419"/>
  <c r="BI45" i="3419"/>
  <c r="BA49" i="3419"/>
  <c r="BJ53" i="3419"/>
  <c r="BB57" i="3419"/>
  <c r="BL25" i="3448" a="1"/>
  <c r="BL25" i="3448" s="1"/>
  <c r="AZ25" i="3448" a="1"/>
  <c r="AZ25" i="3448" s="1"/>
  <c r="AN25" i="3448" a="1"/>
  <c r="AN25" i="3448" s="1"/>
  <c r="AB25" i="3448" a="1"/>
  <c r="AB25" i="3448" s="1"/>
  <c r="P25" i="3448" a="1"/>
  <c r="P25" i="3448" s="1"/>
  <c r="BK25" i="3448" a="1"/>
  <c r="BK25" i="3448" s="1"/>
  <c r="AY25" i="3448" a="1"/>
  <c r="AY25" i="3448" s="1"/>
  <c r="AM25" i="3448" a="1"/>
  <c r="AM25" i="3448" s="1"/>
  <c r="AA25" i="3448" a="1"/>
  <c r="AA25" i="3448" s="1"/>
  <c r="O25" i="3448" a="1"/>
  <c r="O25" i="3448" s="1"/>
  <c r="BJ25" i="3448" a="1"/>
  <c r="BJ25" i="3448" s="1"/>
  <c r="AX25" i="3448" a="1"/>
  <c r="AX25" i="3448" s="1"/>
  <c r="AL25" i="3448" a="1"/>
  <c r="AL25" i="3448" s="1"/>
  <c r="Z25" i="3448" a="1"/>
  <c r="Z25" i="3448" s="1"/>
  <c r="N25" i="3448" a="1"/>
  <c r="N25" i="3448" s="1"/>
  <c r="BG25" i="3448" a="1"/>
  <c r="BG25" i="3448" s="1"/>
  <c r="AU25" i="3448" a="1"/>
  <c r="AU25" i="3448" s="1"/>
  <c r="AI25" i="3448" a="1"/>
  <c r="AI25" i="3448" s="1"/>
  <c r="W25" i="3448" a="1"/>
  <c r="W25" i="3448" s="1"/>
  <c r="BD25" i="3448" a="1"/>
  <c r="BD25" i="3448" s="1"/>
  <c r="AR25" i="3448" a="1"/>
  <c r="AR25" i="3448" s="1"/>
  <c r="AF25" i="3448" a="1"/>
  <c r="AF25" i="3448" s="1"/>
  <c r="T25" i="3448" a="1"/>
  <c r="T25" i="3448" s="1"/>
  <c r="BM25" i="3448" a="1"/>
  <c r="BM25" i="3448" s="1"/>
  <c r="BA25" i="3448" a="1"/>
  <c r="BA25" i="3448" s="1"/>
  <c r="AO25" i="3448" a="1"/>
  <c r="AO25" i="3448" s="1"/>
  <c r="AC25" i="3448" a="1"/>
  <c r="AC25" i="3448" s="1"/>
  <c r="Q25" i="3448" a="1"/>
  <c r="Q25" i="3448" s="1"/>
  <c r="AD25" i="3448" a="1"/>
  <c r="AD25" i="3448" s="1"/>
  <c r="J25" i="3448" a="1"/>
  <c r="J25" i="3448" s="1"/>
  <c r="AT25" i="3448" a="1"/>
  <c r="AT25" i="3448" s="1"/>
  <c r="I25" i="3448" a="1"/>
  <c r="I25" i="3448" s="1"/>
  <c r="AS25" i="3448" a="1"/>
  <c r="AS25" i="3448" s="1"/>
  <c r="BH25" i="3448" a="1"/>
  <c r="BH25" i="3448" s="1"/>
  <c r="AQ25" i="3448" a="1"/>
  <c r="AQ25" i="3448" s="1"/>
  <c r="X25" i="3448" a="1"/>
  <c r="X25" i="3448" s="1"/>
  <c r="AP25" i="3448" a="1"/>
  <c r="AP25" i="3448" s="1"/>
  <c r="BC25" i="3448" a="1"/>
  <c r="BC25" i="3448" s="1"/>
  <c r="AJ25" i="3448" a="1"/>
  <c r="AJ25" i="3448" s="1"/>
  <c r="S25" i="3448" a="1"/>
  <c r="S25" i="3448" s="1"/>
  <c r="BB25" i="3448" a="1"/>
  <c r="BB25" i="3448" s="1"/>
  <c r="R25" i="3448" a="1"/>
  <c r="R25" i="3448" s="1"/>
  <c r="AH25" i="3448" a="1"/>
  <c r="AH25" i="3448" s="1"/>
  <c r="AG25" i="3448" a="1"/>
  <c r="AG25" i="3448" s="1"/>
  <c r="AV25" i="3448" a="1"/>
  <c r="AV25" i="3448" s="1"/>
  <c r="AE25" i="3448" a="1"/>
  <c r="AE25" i="3448" s="1"/>
  <c r="K25" i="3448" a="1"/>
  <c r="K25" i="3448" s="1"/>
  <c r="D46" i="3523"/>
  <c r="K63" i="3448" a="1"/>
  <c r="K63" i="3448" s="1"/>
  <c r="S46" i="3523" s="1"/>
  <c r="BG63" i="3448" a="1"/>
  <c r="BG63" i="3448" s="1"/>
  <c r="AU63" i="3448" a="1"/>
  <c r="AU63" i="3448" s="1"/>
  <c r="AI63" i="3448" a="1"/>
  <c r="AI63" i="3448" s="1"/>
  <c r="W63" i="3448" a="1"/>
  <c r="W63" i="3448" s="1"/>
  <c r="J63" i="3448" a="1"/>
  <c r="J63" i="3448" s="1"/>
  <c r="M46" i="3523" s="1"/>
  <c r="BD63" i="3448" a="1"/>
  <c r="BD63" i="3448" s="1"/>
  <c r="AR63" i="3448" a="1"/>
  <c r="AR63" i="3448" s="1"/>
  <c r="AF63" i="3448" a="1"/>
  <c r="AF63" i="3448" s="1"/>
  <c r="T63" i="3448" a="1"/>
  <c r="T63" i="3448" s="1"/>
  <c r="BH63" i="3448" a="1"/>
  <c r="BH63" i="3448" s="1"/>
  <c r="N63" i="3448" a="1"/>
  <c r="N63" i="3448" s="1"/>
  <c r="AP63" i="3448" a="1"/>
  <c r="AP63" i="3448" s="1"/>
  <c r="AK63" i="3448" a="1"/>
  <c r="AK63" i="3448" s="1"/>
  <c r="U63" i="3448" a="1"/>
  <c r="U63" i="3448" s="1"/>
  <c r="D63" i="3448" a="1"/>
  <c r="D63" i="3448" s="1"/>
  <c r="BR63" i="3448" s="1" a="1"/>
  <c r="BR63" i="3448" s="1"/>
  <c r="BV63" i="3448" s="1" a="1"/>
  <c r="BV63" i="3448" s="1"/>
  <c r="AT63" i="3448" a="1"/>
  <c r="AT63" i="3448" s="1"/>
  <c r="AC63" i="3448" a="1"/>
  <c r="AC63" i="3448" s="1"/>
  <c r="BK63" i="3448" a="1"/>
  <c r="BK63" i="3448" s="1"/>
  <c r="AB63" i="3448" a="1"/>
  <c r="AB63" i="3448" s="1"/>
  <c r="AS63" i="3448" a="1"/>
  <c r="AS63" i="3448" s="1"/>
  <c r="AA63" i="3448" a="1"/>
  <c r="AA63" i="3448" s="1"/>
  <c r="I63" i="3448" a="1"/>
  <c r="I63" i="3448" s="1"/>
  <c r="E46" i="3523" s="1"/>
  <c r="F46" i="3523" s="1" a="1"/>
  <c r="F46" i="3523" s="1"/>
  <c r="BJ63" i="3448" a="1"/>
  <c r="BJ63" i="3448" s="1"/>
  <c r="AQ63" i="3448" a="1"/>
  <c r="AQ63" i="3448" s="1"/>
  <c r="Z63" i="3448" a="1"/>
  <c r="Z63" i="3448" s="1"/>
  <c r="BI63" i="3448" a="1"/>
  <c r="BI63" i="3448" s="1"/>
  <c r="BF63" i="3448" a="1"/>
  <c r="BF63" i="3448" s="1"/>
  <c r="E63" i="3448" a="1"/>
  <c r="E63" i="3448" s="1"/>
  <c r="G46" i="3523" s="1"/>
  <c r="V63" i="3448" a="1"/>
  <c r="V63" i="3448" s="1"/>
  <c r="AM63" i="3448" a="1"/>
  <c r="AM63" i="3448" s="1"/>
  <c r="BC63" i="3448" a="1"/>
  <c r="BC63" i="3448" s="1"/>
  <c r="BB63" i="3448" a="1"/>
  <c r="BB63" i="3448" s="1"/>
  <c r="AL63" i="3448" a="1"/>
  <c r="AL63" i="3448" s="1"/>
  <c r="AJ63" i="3448" a="1"/>
  <c r="AJ63" i="3448" s="1"/>
  <c r="AZ63" i="3448" a="1"/>
  <c r="AZ63" i="3448" s="1"/>
  <c r="AH63" i="3448" a="1"/>
  <c r="AH63" i="3448" s="1"/>
  <c r="Q63" i="3448" a="1"/>
  <c r="Q63" i="3448" s="1"/>
  <c r="AD63" i="3448" a="1"/>
  <c r="AD63" i="3448" s="1"/>
  <c r="BL63" i="3448" a="1"/>
  <c r="BL63" i="3448" s="1"/>
  <c r="AV63" i="3448" a="1"/>
  <c r="AV63" i="3448" s="1"/>
  <c r="L63" i="3448" a="1"/>
  <c r="L63" i="3448" s="1"/>
  <c r="X63" i="3448" a="1"/>
  <c r="X63" i="3448" s="1"/>
  <c r="S63" i="3448" a="1"/>
  <c r="S63" i="3448" s="1"/>
  <c r="BQ63" i="3448" a="1"/>
  <c r="BQ63" i="3448" s="1"/>
  <c r="BU63" i="3448" s="1" a="1"/>
  <c r="BU63" i="3448" s="1"/>
  <c r="R63" i="3448" a="1"/>
  <c r="R63" i="3448" s="1"/>
  <c r="BE63" i="3448" a="1"/>
  <c r="BE63" i="3448" s="1"/>
  <c r="O63" i="3448" a="1"/>
  <c r="O63" i="3448" s="1"/>
  <c r="BA63" i="3448" a="1"/>
  <c r="BA63" i="3448" s="1"/>
  <c r="AW63" i="3448" a="1"/>
  <c r="AW63" i="3448" s="1"/>
  <c r="AO63" i="3448" a="1"/>
  <c r="AO63" i="3448" s="1"/>
  <c r="AN63" i="3448" a="1"/>
  <c r="AN63" i="3448" s="1"/>
  <c r="AG63" i="3448" a="1"/>
  <c r="AG63" i="3448" s="1"/>
  <c r="AE63" i="3448" a="1"/>
  <c r="AE63" i="3448" s="1"/>
  <c r="Y63" i="3448" a="1"/>
  <c r="Y63" i="3448" s="1"/>
  <c r="BB29" i="3419"/>
  <c r="BG48" i="3419"/>
  <c r="BH60" i="3419"/>
  <c r="D25" i="3523"/>
  <c r="BG15" i="3448" a="1"/>
  <c r="BG15" i="3448" s="1"/>
  <c r="AU15" i="3448" a="1"/>
  <c r="AU15" i="3448" s="1"/>
  <c r="AI15" i="3448" a="1"/>
  <c r="AI15" i="3448" s="1"/>
  <c r="W15" i="3448" a="1"/>
  <c r="W15" i="3448" s="1"/>
  <c r="J15" i="3448" a="1"/>
  <c r="J15" i="3448" s="1"/>
  <c r="M25" i="3523" s="1"/>
  <c r="BF15" i="3448" a="1"/>
  <c r="BF15" i="3448" s="1"/>
  <c r="AT15" i="3448" a="1"/>
  <c r="AT15" i="3448" s="1"/>
  <c r="AH15" i="3448" a="1"/>
  <c r="AH15" i="3448" s="1"/>
  <c r="V15" i="3448" a="1"/>
  <c r="V15" i="3448" s="1"/>
  <c r="I15" i="3448" a="1"/>
  <c r="I15" i="3448" s="1"/>
  <c r="E25" i="3523" s="1"/>
  <c r="BE15" i="3448" a="1"/>
  <c r="BE15" i="3448" s="1"/>
  <c r="AS15" i="3448" a="1"/>
  <c r="AS15" i="3448" s="1"/>
  <c r="AG15" i="3448" a="1"/>
  <c r="AG15" i="3448" s="1"/>
  <c r="U15" i="3448" a="1"/>
  <c r="U15" i="3448" s="1"/>
  <c r="BB15" i="3448" a="1"/>
  <c r="BB15" i="3448" s="1"/>
  <c r="AP15" i="3448" a="1"/>
  <c r="AP15" i="3448" s="1"/>
  <c r="AD15" i="3448" a="1"/>
  <c r="AD15" i="3448" s="1"/>
  <c r="R15" i="3448" a="1"/>
  <c r="R15" i="3448" s="1"/>
  <c r="D15" i="3448" a="1"/>
  <c r="D15" i="3448" s="1"/>
  <c r="BK15" i="3448" a="1"/>
  <c r="BK15" i="3448" s="1"/>
  <c r="AY15" i="3448" a="1"/>
  <c r="AY15" i="3448" s="1"/>
  <c r="AM15" i="3448" a="1"/>
  <c r="AM15" i="3448" s="1"/>
  <c r="AA15" i="3448" a="1"/>
  <c r="AA15" i="3448" s="1"/>
  <c r="O15" i="3448" a="1"/>
  <c r="O15" i="3448" s="1"/>
  <c r="BC15" i="3448" a="1"/>
  <c r="BC15" i="3448" s="1"/>
  <c r="AL15" i="3448" a="1"/>
  <c r="AL15" i="3448" s="1"/>
  <c r="T15" i="3448" a="1"/>
  <c r="T15" i="3448" s="1"/>
  <c r="AZ15" i="3448" a="1"/>
  <c r="AZ15" i="3448" s="1"/>
  <c r="AJ15" i="3448" a="1"/>
  <c r="AJ15" i="3448" s="1"/>
  <c r="Q15" i="3448" a="1"/>
  <c r="Q15" i="3448" s="1"/>
  <c r="BQ15" i="3448" a="1"/>
  <c r="BQ15" i="3448" s="1"/>
  <c r="BU15" i="3448" s="1" a="1"/>
  <c r="BU15" i="3448" s="1"/>
  <c r="BL15" i="3448" a="1"/>
  <c r="BL15" i="3448" s="1"/>
  <c r="AV15" i="3448" a="1"/>
  <c r="AV15" i="3448" s="1"/>
  <c r="AC15" i="3448" a="1"/>
  <c r="AC15" i="3448" s="1"/>
  <c r="L15" i="3448" a="1"/>
  <c r="L15" i="3448" s="1"/>
  <c r="BJ15" i="3448" a="1"/>
  <c r="BJ15" i="3448" s="1"/>
  <c r="AR15" i="3448" a="1"/>
  <c r="AR15" i="3448" s="1"/>
  <c r="AB15" i="3448" a="1"/>
  <c r="AB15" i="3448" s="1"/>
  <c r="K15" i="3448" a="1"/>
  <c r="K15" i="3448" s="1"/>
  <c r="S25" i="3523" s="1"/>
  <c r="BI15" i="3448" a="1"/>
  <c r="BI15" i="3448" s="1"/>
  <c r="AQ15" i="3448" a="1"/>
  <c r="AQ15" i="3448" s="1"/>
  <c r="Z15" i="3448" a="1"/>
  <c r="Z15" i="3448" s="1"/>
  <c r="BD15" i="3448" a="1"/>
  <c r="BD15" i="3448" s="1"/>
  <c r="AN15" i="3448" a="1"/>
  <c r="AN15" i="3448" s="1"/>
  <c r="X15" i="3448" a="1"/>
  <c r="X15" i="3448" s="1"/>
  <c r="BI25" i="3448" a="1"/>
  <c r="BI25" i="3448" s="1"/>
  <c r="AU55" i="3448" a="1"/>
  <c r="AU55" i="3448" s="1"/>
  <c r="BG39" i="3419"/>
  <c r="D25" i="3448" a="1"/>
  <c r="D25" i="3448" s="1"/>
  <c r="E25" i="3448" s="1" a="1"/>
  <c r="E25" i="3448" s="1"/>
  <c r="AW55" i="3448" a="1"/>
  <c r="AW55" i="3448" s="1"/>
  <c r="S65" i="3523"/>
  <c r="L25" i="3448" a="1"/>
  <c r="L25" i="3448" s="1"/>
  <c r="P63" i="3448" a="1"/>
  <c r="P63" i="3448" s="1"/>
  <c r="BI43" i="3419"/>
  <c r="D26" i="3523"/>
  <c r="BL16" i="3448" a="1"/>
  <c r="BL16" i="3448" s="1"/>
  <c r="AZ16" i="3448" a="1"/>
  <c r="AZ16" i="3448" s="1"/>
  <c r="AN16" i="3448" a="1"/>
  <c r="AN16" i="3448" s="1"/>
  <c r="AB16" i="3448" a="1"/>
  <c r="AB16" i="3448" s="1"/>
  <c r="P16" i="3448" a="1"/>
  <c r="P16" i="3448" s="1"/>
  <c r="BK16" i="3448" a="1"/>
  <c r="BK16" i="3448" s="1"/>
  <c r="AY16" i="3448" a="1"/>
  <c r="AY16" i="3448" s="1"/>
  <c r="AM16" i="3448" a="1"/>
  <c r="AM16" i="3448" s="1"/>
  <c r="AA16" i="3448" a="1"/>
  <c r="AA16" i="3448" s="1"/>
  <c r="O16" i="3448" a="1"/>
  <c r="O16" i="3448" s="1"/>
  <c r="K16" i="3448" a="1"/>
  <c r="K16" i="3448" s="1"/>
  <c r="S26" i="3523" s="1"/>
  <c r="BE16" i="3448" a="1"/>
  <c r="BE16" i="3448" s="1"/>
  <c r="AO16" i="3448" a="1"/>
  <c r="AO16" i="3448" s="1"/>
  <c r="BD16" i="3448" a="1"/>
  <c r="BD16" i="3448" s="1"/>
  <c r="AL16" i="3448" a="1"/>
  <c r="AL16" i="3448" s="1"/>
  <c r="V16" i="3448" a="1"/>
  <c r="V16" i="3448" s="1"/>
  <c r="D16" i="3448" a="1"/>
  <c r="D16" i="3448" s="1"/>
  <c r="BC16" i="3448" a="1"/>
  <c r="BC16" i="3448" s="1"/>
  <c r="AK16" i="3448" a="1"/>
  <c r="AK16" i="3448" s="1"/>
  <c r="U16" i="3448" a="1"/>
  <c r="U16" i="3448" s="1"/>
  <c r="AI16" i="3448" a="1"/>
  <c r="AI16" i="3448" s="1"/>
  <c r="S16" i="3448" a="1"/>
  <c r="S16" i="3448" s="1"/>
  <c r="BA16" i="3448" a="1"/>
  <c r="BA16" i="3448" s="1"/>
  <c r="AX16" i="3448" a="1"/>
  <c r="AX16" i="3448" s="1"/>
  <c r="AH16" i="3448" a="1"/>
  <c r="AH16" i="3448" s="1"/>
  <c r="R16" i="3448" a="1"/>
  <c r="R16" i="3448" s="1"/>
  <c r="BQ16" i="3448" a="1"/>
  <c r="BQ16" i="3448" s="1"/>
  <c r="BU16" i="3448" s="1" a="1"/>
  <c r="BU16" i="3448" s="1"/>
  <c r="AW16" i="3448" a="1"/>
  <c r="AW16" i="3448" s="1"/>
  <c r="AG16" i="3448" a="1"/>
  <c r="AG16" i="3448" s="1"/>
  <c r="Q16" i="3448" a="1"/>
  <c r="Q16" i="3448" s="1"/>
  <c r="AU16" i="3448" a="1"/>
  <c r="AU16" i="3448" s="1"/>
  <c r="AE16" i="3448" a="1"/>
  <c r="AE16" i="3448" s="1"/>
  <c r="BM16" i="3448" a="1"/>
  <c r="BM16" i="3448" s="1"/>
  <c r="L16" i="3448" a="1"/>
  <c r="L16" i="3448" s="1"/>
  <c r="BJ16" i="3448" a="1"/>
  <c r="BJ16" i="3448" s="1"/>
  <c r="AT16" i="3448" a="1"/>
  <c r="AT16" i="3448" s="1"/>
  <c r="AD16" i="3448" a="1"/>
  <c r="AD16" i="3448" s="1"/>
  <c r="BI16" i="3448" a="1"/>
  <c r="BI16" i="3448" s="1"/>
  <c r="AS16" i="3448" a="1"/>
  <c r="AS16" i="3448" s="1"/>
  <c r="AC16" i="3448" a="1"/>
  <c r="AC16" i="3448" s="1"/>
  <c r="J16" i="3448" a="1"/>
  <c r="J16" i="3448" s="1"/>
  <c r="M26" i="3523" s="1"/>
  <c r="AR16" i="3448" a="1"/>
  <c r="AR16" i="3448" s="1"/>
  <c r="Z16" i="3448" a="1"/>
  <c r="Z16" i="3448" s="1"/>
  <c r="BH16" i="3448" a="1"/>
  <c r="BH16" i="3448" s="1"/>
  <c r="I16" i="3448" a="1"/>
  <c r="I16" i="3448" s="1"/>
  <c r="E26" i="3523" s="1"/>
  <c r="BF16" i="3448" a="1"/>
  <c r="BF16" i="3448" s="1"/>
  <c r="AP16" i="3448" a="1"/>
  <c r="AP16" i="3448" s="1"/>
  <c r="X16" i="3448" a="1"/>
  <c r="X16" i="3448" s="1"/>
  <c r="W16" i="3448" a="1"/>
  <c r="W16" i="3448" s="1"/>
  <c r="BG16" i="3448" a="1"/>
  <c r="BG16" i="3448" s="1"/>
  <c r="BC20" i="3448" a="1"/>
  <c r="BC20" i="3448" s="1"/>
  <c r="AQ20" i="3448" a="1"/>
  <c r="AQ20" i="3448" s="1"/>
  <c r="AE20" i="3448" a="1"/>
  <c r="AE20" i="3448" s="1"/>
  <c r="S20" i="3448" a="1"/>
  <c r="S20" i="3448" s="1"/>
  <c r="BB20" i="3448" a="1"/>
  <c r="BB20" i="3448" s="1"/>
  <c r="AP20" i="3448" a="1"/>
  <c r="AP20" i="3448" s="1"/>
  <c r="AD20" i="3448" a="1"/>
  <c r="AD20" i="3448" s="1"/>
  <c r="R20" i="3448" a="1"/>
  <c r="R20" i="3448" s="1"/>
  <c r="D20" i="3448" a="1"/>
  <c r="D20" i="3448" s="1"/>
  <c r="E20" i="3448" s="1" a="1"/>
  <c r="E20" i="3448" s="1"/>
  <c r="BM20" i="3448" a="1"/>
  <c r="BM20" i="3448" s="1"/>
  <c r="BA20" i="3448" a="1"/>
  <c r="BA20" i="3448" s="1"/>
  <c r="AO20" i="3448" a="1"/>
  <c r="AO20" i="3448" s="1"/>
  <c r="AC20" i="3448" a="1"/>
  <c r="AC20" i="3448" s="1"/>
  <c r="Q20" i="3448" a="1"/>
  <c r="Q20" i="3448" s="1"/>
  <c r="BJ20" i="3448" a="1"/>
  <c r="BJ20" i="3448" s="1"/>
  <c r="AX20" i="3448" a="1"/>
  <c r="AX20" i="3448" s="1"/>
  <c r="AL20" i="3448" a="1"/>
  <c r="AL20" i="3448" s="1"/>
  <c r="Z20" i="3448" a="1"/>
  <c r="Z20" i="3448" s="1"/>
  <c r="N20" i="3448" a="1"/>
  <c r="N20" i="3448" s="1"/>
  <c r="BG20" i="3448" a="1"/>
  <c r="BG20" i="3448" s="1"/>
  <c r="AU20" i="3448" a="1"/>
  <c r="AU20" i="3448" s="1"/>
  <c r="AI20" i="3448" a="1"/>
  <c r="AI20" i="3448" s="1"/>
  <c r="W20" i="3448" a="1"/>
  <c r="W20" i="3448" s="1"/>
  <c r="BD20" i="3448" a="1"/>
  <c r="BD20" i="3448" s="1"/>
  <c r="AR20" i="3448" a="1"/>
  <c r="AR20" i="3448" s="1"/>
  <c r="AF20" i="3448" a="1"/>
  <c r="AF20" i="3448" s="1"/>
  <c r="T20" i="3448" a="1"/>
  <c r="T20" i="3448" s="1"/>
  <c r="AW20" i="3448" a="1"/>
  <c r="AW20" i="3448" s="1"/>
  <c r="M20" i="3448"/>
  <c r="L20" i="3448" a="1"/>
  <c r="L20" i="3448" s="1"/>
  <c r="AV20" i="3448" a="1"/>
  <c r="AV20" i="3448" s="1"/>
  <c r="BL20" i="3448" a="1"/>
  <c r="BL20" i="3448" s="1"/>
  <c r="AB20" i="3448" a="1"/>
  <c r="AB20" i="3448" s="1"/>
  <c r="K20" i="3448" a="1"/>
  <c r="K20" i="3448" s="1"/>
  <c r="I20" i="3448" a="1"/>
  <c r="I20" i="3448" s="1"/>
  <c r="AS20" i="3448" a="1"/>
  <c r="AS20" i="3448" s="1"/>
  <c r="BI20" i="3448" a="1"/>
  <c r="BI20" i="3448" s="1"/>
  <c r="Y20" i="3448" a="1"/>
  <c r="Y20" i="3448" s="1"/>
  <c r="BH20" i="3448" a="1"/>
  <c r="BH20" i="3448" s="1"/>
  <c r="X20" i="3448" a="1"/>
  <c r="X20" i="3448" s="1"/>
  <c r="BF20" i="3448" a="1"/>
  <c r="BF20" i="3448" s="1"/>
  <c r="AM20" i="3448" a="1"/>
  <c r="AM20" i="3448" s="1"/>
  <c r="V20" i="3448" a="1"/>
  <c r="V20" i="3448" s="1"/>
  <c r="BE20" i="3448" a="1"/>
  <c r="BE20" i="3448" s="1"/>
  <c r="U20" i="3448" a="1"/>
  <c r="U20" i="3448" s="1"/>
  <c r="AK20" i="3448" a="1"/>
  <c r="AK20" i="3448" s="1"/>
  <c r="AJ20" i="3448" a="1"/>
  <c r="AJ20" i="3448" s="1"/>
  <c r="AZ20" i="3448" a="1"/>
  <c r="AZ20" i="3448" s="1"/>
  <c r="P20" i="3448" a="1"/>
  <c r="P20" i="3448" s="1"/>
  <c r="AG20" i="3448" a="1"/>
  <c r="AG20" i="3448" s="1"/>
  <c r="BC61" i="3419"/>
  <c r="P15" i="3448" a="1"/>
  <c r="P15" i="3448" s="1"/>
  <c r="U25" i="3448" a="1"/>
  <c r="U25" i="3448" s="1"/>
  <c r="Y18" i="3448" a="1"/>
  <c r="Y18" i="3448" s="1"/>
  <c r="V25" i="3448" a="1"/>
  <c r="V25" i="3448" s="1"/>
  <c r="J47" i="3448" a="1"/>
  <c r="J47" i="3448" s="1"/>
  <c r="BF47" i="3448" a="1"/>
  <c r="BF47" i="3448" s="1"/>
  <c r="AT47" i="3448" a="1"/>
  <c r="AT47" i="3448" s="1"/>
  <c r="AH47" i="3448" a="1"/>
  <c r="AH47" i="3448" s="1"/>
  <c r="V47" i="3448" a="1"/>
  <c r="V47" i="3448" s="1"/>
  <c r="I47" i="3448" a="1"/>
  <c r="I47" i="3448" s="1"/>
  <c r="BE47" i="3448" a="1"/>
  <c r="BE47" i="3448" s="1"/>
  <c r="AS47" i="3448" a="1"/>
  <c r="AS47" i="3448" s="1"/>
  <c r="AG47" i="3448" a="1"/>
  <c r="AG47" i="3448" s="1"/>
  <c r="U47" i="3448" a="1"/>
  <c r="U47" i="3448" s="1"/>
  <c r="BM47" i="3448" a="1"/>
  <c r="BM47" i="3448" s="1"/>
  <c r="BA47" i="3448" a="1"/>
  <c r="BA47" i="3448" s="1"/>
  <c r="AO47" i="3448" a="1"/>
  <c r="AO47" i="3448" s="1"/>
  <c r="AC47" i="3448" a="1"/>
  <c r="AC47" i="3448" s="1"/>
  <c r="Q47" i="3448" a="1"/>
  <c r="Q47" i="3448" s="1"/>
  <c r="BK47" i="3448" a="1"/>
  <c r="BK47" i="3448" s="1"/>
  <c r="AY47" i="3448" a="1"/>
  <c r="AY47" i="3448" s="1"/>
  <c r="AM47" i="3448" a="1"/>
  <c r="AM47" i="3448" s="1"/>
  <c r="AA47" i="3448" a="1"/>
  <c r="AA47" i="3448" s="1"/>
  <c r="O47" i="3448" a="1"/>
  <c r="O47" i="3448" s="1"/>
  <c r="K47" i="3448" a="1"/>
  <c r="K47" i="3448" s="1"/>
  <c r="BG47" i="3448" a="1"/>
  <c r="BG47" i="3448" s="1"/>
  <c r="AU47" i="3448" a="1"/>
  <c r="AU47" i="3448" s="1"/>
  <c r="AI47" i="3448" a="1"/>
  <c r="AI47" i="3448" s="1"/>
  <c r="W47" i="3448" a="1"/>
  <c r="W47" i="3448" s="1"/>
  <c r="BH47" i="3448" a="1"/>
  <c r="BH47" i="3448" s="1"/>
  <c r="AK47" i="3448" a="1"/>
  <c r="AK47" i="3448" s="1"/>
  <c r="N47" i="3448" a="1"/>
  <c r="N47" i="3448" s="1"/>
  <c r="BD47" i="3448" a="1"/>
  <c r="BD47" i="3448" s="1"/>
  <c r="AJ47" i="3448" a="1"/>
  <c r="AJ47" i="3448" s="1"/>
  <c r="M47" i="3448"/>
  <c r="BC47" i="3448" a="1"/>
  <c r="BC47" i="3448" s="1"/>
  <c r="AF47" i="3448" a="1"/>
  <c r="AF47" i="3448" s="1"/>
  <c r="L47" i="3448" a="1"/>
  <c r="L47" i="3448" s="1"/>
  <c r="AZ47" i="3448" a="1"/>
  <c r="AZ47" i="3448" s="1"/>
  <c r="AD47" i="3448" a="1"/>
  <c r="AD47" i="3448" s="1"/>
  <c r="E47" i="3448" a="1"/>
  <c r="E47" i="3448" s="1"/>
  <c r="D47" i="3448" a="1"/>
  <c r="D47" i="3448" s="1"/>
  <c r="AV47" i="3448" a="1"/>
  <c r="AV47" i="3448" s="1"/>
  <c r="Y47" i="3448" a="1"/>
  <c r="Y47" i="3448" s="1"/>
  <c r="AR47" i="3448" a="1"/>
  <c r="AR47" i="3448" s="1"/>
  <c r="X47" i="3448" a="1"/>
  <c r="X47" i="3448" s="1"/>
  <c r="AQ47" i="3448" a="1"/>
  <c r="AQ47" i="3448" s="1"/>
  <c r="T47" i="3448" a="1"/>
  <c r="T47" i="3448" s="1"/>
  <c r="BL47" i="3448" a="1"/>
  <c r="BL47" i="3448" s="1"/>
  <c r="AP47" i="3448" a="1"/>
  <c r="AP47" i="3448" s="1"/>
  <c r="S47" i="3448" a="1"/>
  <c r="S47" i="3448" s="1"/>
  <c r="BI47" i="3448" a="1"/>
  <c r="BI47" i="3448" s="1"/>
  <c r="AL47" i="3448" a="1"/>
  <c r="AL47" i="3448" s="1"/>
  <c r="P47" i="3448" a="1"/>
  <c r="P47" i="3448" s="1"/>
  <c r="AX63" i="3448" a="1"/>
  <c r="AX63" i="3448" s="1"/>
  <c r="D50" i="3523"/>
  <c r="BG65" i="3448" a="1"/>
  <c r="BG65" i="3448" s="1"/>
  <c r="J65" i="3448" a="1"/>
  <c r="J65" i="3448" s="1"/>
  <c r="M50" i="3523" s="1"/>
  <c r="BF65" i="3448" a="1"/>
  <c r="BF65" i="3448" s="1"/>
  <c r="AT65" i="3448" a="1"/>
  <c r="AT65" i="3448" s="1"/>
  <c r="AH65" i="3448" a="1"/>
  <c r="AH65" i="3448" s="1"/>
  <c r="V65" i="3448" a="1"/>
  <c r="V65" i="3448" s="1"/>
  <c r="I65" i="3448" a="1"/>
  <c r="I65" i="3448" s="1"/>
  <c r="E50" i="3523" s="1"/>
  <c r="F50" i="3523" s="1" a="1"/>
  <c r="F50" i="3523" s="1"/>
  <c r="BQ65" i="3448" a="1"/>
  <c r="BQ65" i="3448" s="1"/>
  <c r="BU65" i="3448" s="1" a="1"/>
  <c r="BU65" i="3448" s="1"/>
  <c r="BC65" i="3448" a="1"/>
  <c r="BC65" i="3448" s="1"/>
  <c r="AQ65" i="3448" a="1"/>
  <c r="AQ65" i="3448" s="1"/>
  <c r="AE65" i="3448" a="1"/>
  <c r="AE65" i="3448" s="1"/>
  <c r="S65" i="3448" a="1"/>
  <c r="S65" i="3448" s="1"/>
  <c r="E65" i="3448" a="1"/>
  <c r="E65" i="3448" s="1"/>
  <c r="G50" i="3523" s="1"/>
  <c r="P65" i="3448" a="1"/>
  <c r="P65" i="3448" s="1"/>
  <c r="AS65" i="3448" a="1"/>
  <c r="AS65" i="3448" s="1"/>
  <c r="AD65" i="3448" a="1"/>
  <c r="AD65" i="3448" s="1"/>
  <c r="O65" i="3448" a="1"/>
  <c r="O65" i="3448" s="1"/>
  <c r="BB65" i="3448" a="1"/>
  <c r="BB65" i="3448" s="1"/>
  <c r="AM65" i="3448" a="1"/>
  <c r="AM65" i="3448" s="1"/>
  <c r="AG65" i="3448" a="1"/>
  <c r="AG65" i="3448" s="1"/>
  <c r="AX65" i="3448" a="1"/>
  <c r="AX65" i="3448" s="1"/>
  <c r="AF65" i="3448" a="1"/>
  <c r="AF65" i="3448" s="1"/>
  <c r="N65" i="3448" a="1"/>
  <c r="N65" i="3448" s="1"/>
  <c r="AW65" i="3448" a="1"/>
  <c r="AW65" i="3448" s="1"/>
  <c r="BM65" i="3448" a="1"/>
  <c r="BM65" i="3448" s="1"/>
  <c r="AC65" i="3448" a="1"/>
  <c r="AC65" i="3448" s="1"/>
  <c r="AV65" i="3448" a="1"/>
  <c r="AV65" i="3448" s="1"/>
  <c r="L65" i="3448" a="1"/>
  <c r="L65" i="3448" s="1"/>
  <c r="K65" i="3448" a="1"/>
  <c r="K65" i="3448" s="1"/>
  <c r="S50" i="3523" s="1"/>
  <c r="BK65" i="3448" a="1"/>
  <c r="BK65" i="3448" s="1"/>
  <c r="AR65" i="3448" a="1"/>
  <c r="AR65" i="3448" s="1"/>
  <c r="AA65" i="3448" a="1"/>
  <c r="AA65" i="3448" s="1"/>
  <c r="BJ65" i="3448" a="1"/>
  <c r="BJ65" i="3448" s="1"/>
  <c r="BI65" i="3448" a="1"/>
  <c r="BI65" i="3448" s="1"/>
  <c r="Z65" i="3448" a="1"/>
  <c r="Z65" i="3448" s="1"/>
  <c r="AP65" i="3448" a="1"/>
  <c r="AP65" i="3448" s="1"/>
  <c r="BH65" i="3448" a="1"/>
  <c r="BH65" i="3448" s="1"/>
  <c r="AO65" i="3448" a="1"/>
  <c r="AO65" i="3448" s="1"/>
  <c r="Y65" i="3448" a="1"/>
  <c r="Y65" i="3448" s="1"/>
  <c r="X65" i="3448" a="1"/>
  <c r="X65" i="3448" s="1"/>
  <c r="W65" i="3448" a="1"/>
  <c r="W65" i="3448" s="1"/>
  <c r="BD65" i="3448" a="1"/>
  <c r="BD65" i="3448" s="1"/>
  <c r="U65" i="3448" a="1"/>
  <c r="U65" i="3448" s="1"/>
  <c r="Q65" i="3448" a="1"/>
  <c r="Q65" i="3448" s="1"/>
  <c r="AY65" i="3448" a="1"/>
  <c r="AY65" i="3448" s="1"/>
  <c r="AI65" i="3448" a="1"/>
  <c r="AI65" i="3448" s="1"/>
  <c r="AB65" i="3448" a="1"/>
  <c r="AB65" i="3448" s="1"/>
  <c r="T65" i="3448" a="1"/>
  <c r="T65" i="3448" s="1"/>
  <c r="R65" i="3448" a="1"/>
  <c r="R65" i="3448" s="1"/>
  <c r="BL65" i="3448" a="1"/>
  <c r="BL65" i="3448" s="1"/>
  <c r="BA65" i="3448" a="1"/>
  <c r="BA65" i="3448" s="1"/>
  <c r="AZ65" i="3448" a="1"/>
  <c r="AZ65" i="3448" s="1"/>
  <c r="AU65" i="3448" a="1"/>
  <c r="AU65" i="3448" s="1"/>
  <c r="AN65" i="3448" a="1"/>
  <c r="AN65" i="3448" s="1"/>
  <c r="AL65" i="3448" a="1"/>
  <c r="AL65" i="3448" s="1"/>
  <c r="AJ65" i="3448" a="1"/>
  <c r="AJ65" i="3448" s="1"/>
  <c r="D36" i="3523"/>
  <c r="BK55" i="3448" a="1"/>
  <c r="BK55" i="3448" s="1"/>
  <c r="AY55" i="3448" a="1"/>
  <c r="AY55" i="3448" s="1"/>
  <c r="AM55" i="3448" a="1"/>
  <c r="AM55" i="3448" s="1"/>
  <c r="AA55" i="3448" a="1"/>
  <c r="AA55" i="3448" s="1"/>
  <c r="O55" i="3448" a="1"/>
  <c r="O55" i="3448" s="1"/>
  <c r="BE55" i="3448" a="1"/>
  <c r="BE55" i="3448" s="1"/>
  <c r="AS55" i="3448" a="1"/>
  <c r="AS55" i="3448" s="1"/>
  <c r="AG55" i="3448" a="1"/>
  <c r="AG55" i="3448" s="1"/>
  <c r="U55" i="3448" a="1"/>
  <c r="U55" i="3448" s="1"/>
  <c r="N55" i="3448" a="1"/>
  <c r="N55" i="3448" s="1"/>
  <c r="BA55" i="3448" a="1"/>
  <c r="BA55" i="3448" s="1"/>
  <c r="AN55" i="3448" a="1"/>
  <c r="AN55" i="3448" s="1"/>
  <c r="Z55" i="3448" a="1"/>
  <c r="Z55" i="3448" s="1"/>
  <c r="BM55" i="3448" a="1"/>
  <c r="BM55" i="3448" s="1"/>
  <c r="AZ55" i="3448" a="1"/>
  <c r="AZ55" i="3448" s="1"/>
  <c r="L55" i="3448" a="1"/>
  <c r="L55" i="3448" s="1"/>
  <c r="AL55" i="3448" a="1"/>
  <c r="AL55" i="3448" s="1"/>
  <c r="Y55" i="3448" a="1"/>
  <c r="Y55" i="3448" s="1"/>
  <c r="BL55" i="3448" a="1"/>
  <c r="BL55" i="3448" s="1"/>
  <c r="K55" i="3448" a="1"/>
  <c r="K55" i="3448" s="1"/>
  <c r="S36" i="3523" s="1"/>
  <c r="BI55" i="3448" a="1"/>
  <c r="BI55" i="3448" s="1"/>
  <c r="AV55" i="3448" a="1"/>
  <c r="AV55" i="3448" s="1"/>
  <c r="AI55" i="3448" a="1"/>
  <c r="AI55" i="3448" s="1"/>
  <c r="V55" i="3448" a="1"/>
  <c r="V55" i="3448" s="1"/>
  <c r="AF55" i="3448" a="1"/>
  <c r="AF55" i="3448" s="1"/>
  <c r="S55" i="3448" a="1"/>
  <c r="S55" i="3448" s="1"/>
  <c r="D55" i="3448" a="1"/>
  <c r="D55" i="3448" s="1"/>
  <c r="BR55" i="3448" s="1" a="1"/>
  <c r="BR55" i="3448" s="1"/>
  <c r="BV55" i="3448" s="1" a="1"/>
  <c r="BV55" i="3448" s="1"/>
  <c r="BF55" i="3448" a="1"/>
  <c r="BF55" i="3448" s="1"/>
  <c r="BQ55" i="3448" a="1"/>
  <c r="BQ55" i="3448" s="1"/>
  <c r="BU55" i="3448" s="1" a="1"/>
  <c r="BU55" i="3448" s="1"/>
  <c r="BB55" i="3448" a="1"/>
  <c r="BB55" i="3448" s="1"/>
  <c r="AO55" i="3448" a="1"/>
  <c r="AO55" i="3448" s="1"/>
  <c r="AB55" i="3448" a="1"/>
  <c r="AB55" i="3448" s="1"/>
  <c r="BG55" i="3448" a="1"/>
  <c r="BG55" i="3448" s="1"/>
  <c r="AE55" i="3448" a="1"/>
  <c r="AE55" i="3448" s="1"/>
  <c r="E55" i="3448" a="1"/>
  <c r="E55" i="3448" s="1"/>
  <c r="G36" i="3523" s="1"/>
  <c r="BC55" i="3448" a="1"/>
  <c r="BC55" i="3448" s="1"/>
  <c r="AC55" i="3448" a="1"/>
  <c r="AC55" i="3448" s="1"/>
  <c r="AX55" i="3448" a="1"/>
  <c r="AX55" i="3448" s="1"/>
  <c r="X55" i="3448" a="1"/>
  <c r="X55" i="3448" s="1"/>
  <c r="AT55" i="3448" a="1"/>
  <c r="AT55" i="3448" s="1"/>
  <c r="AR55" i="3448" a="1"/>
  <c r="AR55" i="3448" s="1"/>
  <c r="R55" i="3448" a="1"/>
  <c r="R55" i="3448" s="1"/>
  <c r="AQ55" i="3448" a="1"/>
  <c r="AQ55" i="3448" s="1"/>
  <c r="Q55" i="3448" a="1"/>
  <c r="Q55" i="3448" s="1"/>
  <c r="AP55" i="3448" a="1"/>
  <c r="AP55" i="3448" s="1"/>
  <c r="P55" i="3448" a="1"/>
  <c r="P55" i="3448" s="1"/>
  <c r="AK55" i="3448" a="1"/>
  <c r="AK55" i="3448" s="1"/>
  <c r="I55" i="3448" a="1"/>
  <c r="I55" i="3448" s="1"/>
  <c r="E36" i="3523" s="1"/>
  <c r="F36" i="3523" s="1" a="1"/>
  <c r="F36" i="3523" s="1"/>
  <c r="BH55" i="3448" a="1"/>
  <c r="BH55" i="3448" s="1"/>
  <c r="AH55" i="3448" a="1"/>
  <c r="AH55" i="3448" s="1"/>
  <c r="BD50" i="3419"/>
  <c r="BJ59" i="3419"/>
  <c r="AJ18" i="3448" a="1"/>
  <c r="AJ18" i="3448" s="1"/>
  <c r="O20" i="3448" a="1"/>
  <c r="O20" i="3448" s="1"/>
  <c r="D39" i="3523"/>
  <c r="AW58" i="3448" a="1"/>
  <c r="AW58" i="3448" s="1"/>
  <c r="AJ58" i="3448" a="1"/>
  <c r="AJ58" i="3448" s="1"/>
  <c r="W58" i="3448" a="1"/>
  <c r="W58" i="3448" s="1"/>
  <c r="BJ58" i="3448" a="1"/>
  <c r="BJ58" i="3448" s="1"/>
  <c r="I58" i="3448" a="1"/>
  <c r="I58" i="3448" s="1"/>
  <c r="E39" i="3523" s="1"/>
  <c r="F39" i="3523" s="1" a="1"/>
  <c r="F39" i="3523" s="1"/>
  <c r="BI58" i="3448" a="1"/>
  <c r="BI58" i="3448" s="1"/>
  <c r="AV58" i="3448" a="1"/>
  <c r="AV58" i="3448" s="1"/>
  <c r="AI58" i="3448" a="1"/>
  <c r="AI58" i="3448" s="1"/>
  <c r="V58" i="3448" a="1"/>
  <c r="V58" i="3448" s="1"/>
  <c r="BH58" i="3448" a="1"/>
  <c r="BH58" i="3448" s="1"/>
  <c r="AU58" i="3448" a="1"/>
  <c r="AU58" i="3448" s="1"/>
  <c r="AH58" i="3448" a="1"/>
  <c r="AH58" i="3448" s="1"/>
  <c r="U58" i="3448" a="1"/>
  <c r="U58" i="3448" s="1"/>
  <c r="E58" i="3448" a="1"/>
  <c r="E58" i="3448" s="1"/>
  <c r="G39" i="3523" s="1"/>
  <c r="S58" i="3448" a="1"/>
  <c r="S58" i="3448" s="1"/>
  <c r="D58" i="3448" a="1"/>
  <c r="D58" i="3448" s="1"/>
  <c r="BR58" i="3448" s="1" a="1"/>
  <c r="BR58" i="3448" s="1"/>
  <c r="BV58" i="3448" s="1" a="1"/>
  <c r="BV58" i="3448" s="1"/>
  <c r="BE58" i="3448" a="1"/>
  <c r="BE58" i="3448" s="1"/>
  <c r="AR58" i="3448" a="1"/>
  <c r="AR58" i="3448" s="1"/>
  <c r="AQ58" i="3448" a="1"/>
  <c r="AQ58" i="3448" s="1"/>
  <c r="AD58" i="3448" a="1"/>
  <c r="AD58" i="3448" s="1"/>
  <c r="Q58" i="3448" a="1"/>
  <c r="Q58" i="3448" s="1"/>
  <c r="BD58" i="3448" a="1"/>
  <c r="BD58" i="3448" s="1"/>
  <c r="BQ58" i="3448" a="1"/>
  <c r="BQ58" i="3448" s="1"/>
  <c r="BU58" i="3448" s="1" a="1"/>
  <c r="BU58" i="3448" s="1"/>
  <c r="BB58" i="3448" a="1"/>
  <c r="BB58" i="3448" s="1"/>
  <c r="AO58" i="3448" a="1"/>
  <c r="AO58" i="3448" s="1"/>
  <c r="AB58" i="3448" a="1"/>
  <c r="AB58" i="3448" s="1"/>
  <c r="O58" i="3448" a="1"/>
  <c r="O58" i="3448" s="1"/>
  <c r="AK58" i="3448" a="1"/>
  <c r="AK58" i="3448" s="1"/>
  <c r="X58" i="3448" a="1"/>
  <c r="X58" i="3448" s="1"/>
  <c r="BK58" i="3448" a="1"/>
  <c r="BK58" i="3448" s="1"/>
  <c r="AX58" i="3448" a="1"/>
  <c r="AX58" i="3448" s="1"/>
  <c r="J58" i="3448" a="1"/>
  <c r="J58" i="3448" s="1"/>
  <c r="M39" i="3523" s="1"/>
  <c r="R58" i="3448" a="1"/>
  <c r="R58" i="3448" s="1"/>
  <c r="AY58" i="3448" a="1"/>
  <c r="AY58" i="3448" s="1"/>
  <c r="P58" i="3448" a="1"/>
  <c r="P58" i="3448" s="1"/>
  <c r="AT58" i="3448" a="1"/>
  <c r="AT58" i="3448" s="1"/>
  <c r="AS58" i="3448" a="1"/>
  <c r="AS58" i="3448" s="1"/>
  <c r="N58" i="3448" a="1"/>
  <c r="N58" i="3448" s="1"/>
  <c r="AN58" i="3448" a="1"/>
  <c r="AN58" i="3448" s="1"/>
  <c r="K58" i="3448" a="1"/>
  <c r="K58" i="3448" s="1"/>
  <c r="BM58" i="3448" a="1"/>
  <c r="BM58" i="3448" s="1"/>
  <c r="AF58" i="3448" a="1"/>
  <c r="AF58" i="3448" s="1"/>
  <c r="AE58" i="3448" a="1"/>
  <c r="AE58" i="3448" s="1"/>
  <c r="BL58" i="3448" a="1"/>
  <c r="BL58" i="3448" s="1"/>
  <c r="AC58" i="3448" a="1"/>
  <c r="AC58" i="3448" s="1"/>
  <c r="BG58" i="3448" a="1"/>
  <c r="BG58" i="3448" s="1"/>
  <c r="BF58" i="3448" a="1"/>
  <c r="BF58" i="3448" s="1"/>
  <c r="AA58" i="3448" a="1"/>
  <c r="AA58" i="3448" s="1"/>
  <c r="BC58" i="3448" a="1"/>
  <c r="BC58" i="3448" s="1"/>
  <c r="Z58" i="3448" a="1"/>
  <c r="Z58" i="3448" s="1"/>
  <c r="T58" i="3448" a="1"/>
  <c r="T58" i="3448" s="1"/>
  <c r="AZ58" i="3448" a="1"/>
  <c r="AZ58" i="3448" s="1"/>
  <c r="BH24" i="3419"/>
  <c r="AE15" i="3448" a="1"/>
  <c r="AE15" i="3448" s="1"/>
  <c r="AK25" i="3448" a="1"/>
  <c r="AK25" i="3448" s="1"/>
  <c r="BI44" i="3448" a="1"/>
  <c r="BI44" i="3448" s="1"/>
  <c r="AW44" i="3448" a="1"/>
  <c r="AW44" i="3448" s="1"/>
  <c r="AK44" i="3448" a="1"/>
  <c r="AK44" i="3448" s="1"/>
  <c r="Y44" i="3448" a="1"/>
  <c r="Y44" i="3448" s="1"/>
  <c r="L44" i="3448" a="1"/>
  <c r="L44" i="3448" s="1"/>
  <c r="BH44" i="3448" a="1"/>
  <c r="BH44" i="3448" s="1"/>
  <c r="AV44" i="3448" a="1"/>
  <c r="AV44" i="3448" s="1"/>
  <c r="AJ44" i="3448" a="1"/>
  <c r="AJ44" i="3448" s="1"/>
  <c r="X44" i="3448" a="1"/>
  <c r="X44" i="3448" s="1"/>
  <c r="K44" i="3448" a="1"/>
  <c r="K44" i="3448" s="1"/>
  <c r="BJ44" i="3448" a="1"/>
  <c r="BJ44" i="3448" s="1"/>
  <c r="AX44" i="3448" a="1"/>
  <c r="AX44" i="3448" s="1"/>
  <c r="AL44" i="3448" a="1"/>
  <c r="AL44" i="3448" s="1"/>
  <c r="Z44" i="3448" a="1"/>
  <c r="Z44" i="3448" s="1"/>
  <c r="N44" i="3448" a="1"/>
  <c r="N44" i="3448" s="1"/>
  <c r="AF44" i="3448" a="1"/>
  <c r="AF44" i="3448" s="1"/>
  <c r="O44" i="3448" a="1"/>
  <c r="O44" i="3448" s="1"/>
  <c r="AZ44" i="3448" a="1"/>
  <c r="AZ44" i="3448" s="1"/>
  <c r="AE44" i="3448" a="1"/>
  <c r="AE44" i="3448" s="1"/>
  <c r="J44" i="3448" a="1"/>
  <c r="J44" i="3448" s="1"/>
  <c r="AY44" i="3448" a="1"/>
  <c r="AY44" i="3448" s="1"/>
  <c r="AT44" i="3448" a="1"/>
  <c r="AT44" i="3448" s="1"/>
  <c r="AB44" i="3448" a="1"/>
  <c r="AB44" i="3448" s="1"/>
  <c r="BM44" i="3448" a="1"/>
  <c r="BM44" i="3448" s="1"/>
  <c r="AS44" i="3448" a="1"/>
  <c r="AS44" i="3448" s="1"/>
  <c r="BL44" i="3448" a="1"/>
  <c r="BL44" i="3448" s="1"/>
  <c r="W44" i="3448" a="1"/>
  <c r="W44" i="3448" s="1"/>
  <c r="BG44" i="3448" a="1"/>
  <c r="BG44" i="3448" s="1"/>
  <c r="AP44" i="3448" a="1"/>
  <c r="AP44" i="3448" s="1"/>
  <c r="AO44" i="3448" a="1"/>
  <c r="AO44" i="3448" s="1"/>
  <c r="U44" i="3448" a="1"/>
  <c r="U44" i="3448" s="1"/>
  <c r="BF44" i="3448" a="1"/>
  <c r="BF44" i="3448" s="1"/>
  <c r="T44" i="3448" a="1"/>
  <c r="T44" i="3448" s="1"/>
  <c r="AN44" i="3448" a="1"/>
  <c r="AN44" i="3448" s="1"/>
  <c r="BE44" i="3448" a="1"/>
  <c r="BE44" i="3448" s="1"/>
  <c r="S44" i="3448" a="1"/>
  <c r="S44" i="3448" s="1"/>
  <c r="BD44" i="3448" a="1"/>
  <c r="BD44" i="3448" s="1"/>
  <c r="AM44" i="3448" a="1"/>
  <c r="AM44" i="3448" s="1"/>
  <c r="AI44" i="3448" a="1"/>
  <c r="AI44" i="3448" s="1"/>
  <c r="R44" i="3448" a="1"/>
  <c r="R44" i="3448" s="1"/>
  <c r="BB44" i="3448" a="1"/>
  <c r="BB44" i="3448" s="1"/>
  <c r="P44" i="3448" a="1"/>
  <c r="P44" i="3448" s="1"/>
  <c r="BA44" i="3448" a="1"/>
  <c r="BA44" i="3448" s="1"/>
  <c r="AG44" i="3448" a="1"/>
  <c r="AG44" i="3448" s="1"/>
  <c r="D35" i="3523"/>
  <c r="O54" i="3448" a="1"/>
  <c r="O54" i="3448" s="1"/>
  <c r="BQ54" i="3448" a="1"/>
  <c r="BQ54" i="3448" s="1"/>
  <c r="BU54" i="3448" s="1" a="1"/>
  <c r="BU54" i="3448" s="1"/>
  <c r="BB54" i="3448" a="1"/>
  <c r="BB54" i="3448" s="1"/>
  <c r="AO54" i="3448" a="1"/>
  <c r="AO54" i="3448" s="1"/>
  <c r="AB54" i="3448" a="1"/>
  <c r="AB54" i="3448" s="1"/>
  <c r="AA54" i="3448" a="1"/>
  <c r="AA54" i="3448" s="1"/>
  <c r="N54" i="3448" a="1"/>
  <c r="N54" i="3448" s="1"/>
  <c r="BA54" i="3448" a="1"/>
  <c r="BA54" i="3448" s="1"/>
  <c r="AN54" i="3448" a="1"/>
  <c r="AN54" i="3448" s="1"/>
  <c r="AM54" i="3448" a="1"/>
  <c r="AM54" i="3448" s="1"/>
  <c r="Z54" i="3448" a="1"/>
  <c r="Z54" i="3448" s="1"/>
  <c r="BM54" i="3448" a="1"/>
  <c r="BM54" i="3448" s="1"/>
  <c r="AZ54" i="3448" a="1"/>
  <c r="AZ54" i="3448" s="1"/>
  <c r="L54" i="3448" a="1"/>
  <c r="L54" i="3448" s="1"/>
  <c r="BJ54" i="3448" a="1"/>
  <c r="BJ54" i="3448" s="1"/>
  <c r="AW54" i="3448" a="1"/>
  <c r="AW54" i="3448" s="1"/>
  <c r="AJ54" i="3448" a="1"/>
  <c r="AJ54" i="3448" s="1"/>
  <c r="W54" i="3448" a="1"/>
  <c r="W54" i="3448" s="1"/>
  <c r="I54" i="3448" a="1"/>
  <c r="I54" i="3448" s="1"/>
  <c r="E35" i="3523" s="1"/>
  <c r="F35" i="3523" s="1" a="1"/>
  <c r="F35" i="3523" s="1"/>
  <c r="AG54" i="3448" a="1"/>
  <c r="AG54" i="3448" s="1"/>
  <c r="T54" i="3448" a="1"/>
  <c r="T54" i="3448" s="1"/>
  <c r="BG54" i="3448" a="1"/>
  <c r="BG54" i="3448" s="1"/>
  <c r="AT54" i="3448" a="1"/>
  <c r="AT54" i="3448" s="1"/>
  <c r="E54" i="3448" a="1"/>
  <c r="E54" i="3448" s="1"/>
  <c r="G35" i="3523" s="1"/>
  <c r="BC54" i="3448" a="1"/>
  <c r="BC54" i="3448" s="1"/>
  <c r="AP54" i="3448" a="1"/>
  <c r="AP54" i="3448" s="1"/>
  <c r="AC54" i="3448" a="1"/>
  <c r="AC54" i="3448" s="1"/>
  <c r="P54" i="3448" a="1"/>
  <c r="P54" i="3448" s="1"/>
  <c r="AV54" i="3448" a="1"/>
  <c r="AV54" i="3448" s="1"/>
  <c r="V54" i="3448" a="1"/>
  <c r="V54" i="3448" s="1"/>
  <c r="U54" i="3448" a="1"/>
  <c r="U54" i="3448" s="1"/>
  <c r="AU54" i="3448" a="1"/>
  <c r="AU54" i="3448" s="1"/>
  <c r="AR54" i="3448" a="1"/>
  <c r="AR54" i="3448" s="1"/>
  <c r="R54" i="3448" a="1"/>
  <c r="R54" i="3448" s="1"/>
  <c r="AQ54" i="3448" a="1"/>
  <c r="AQ54" i="3448" s="1"/>
  <c r="Q54" i="3448" a="1"/>
  <c r="Q54" i="3448" s="1"/>
  <c r="BL54" i="3448" a="1"/>
  <c r="BL54" i="3448" s="1"/>
  <c r="K54" i="3448" a="1"/>
  <c r="K54" i="3448" s="1"/>
  <c r="S35" i="3523" s="1"/>
  <c r="BI54" i="3448" a="1"/>
  <c r="BI54" i="3448" s="1"/>
  <c r="AI54" i="3448" a="1"/>
  <c r="AI54" i="3448" s="1"/>
  <c r="BH54" i="3448" a="1"/>
  <c r="BH54" i="3448" s="1"/>
  <c r="AH54" i="3448" a="1"/>
  <c r="AH54" i="3448" s="1"/>
  <c r="AF54" i="3448" a="1"/>
  <c r="AF54" i="3448" s="1"/>
  <c r="BF54" i="3448" a="1"/>
  <c r="BF54" i="3448" s="1"/>
  <c r="D54" i="3448" a="1"/>
  <c r="D54" i="3448" s="1"/>
  <c r="BR54" i="3448" s="1" a="1"/>
  <c r="BR54" i="3448" s="1"/>
  <c r="BV54" i="3448" s="1" a="1"/>
  <c r="BV54" i="3448" s="1"/>
  <c r="BE54" i="3448" a="1"/>
  <c r="BE54" i="3448" s="1"/>
  <c r="AE54" i="3448" a="1"/>
  <c r="AE54" i="3448" s="1"/>
  <c r="AX54" i="3448" a="1"/>
  <c r="AX54" i="3448" s="1"/>
  <c r="X54" i="3448" a="1"/>
  <c r="X54" i="3448" s="1"/>
  <c r="BG27" i="3419"/>
  <c r="BB58" i="3419"/>
  <c r="AF15" i="3448" a="1"/>
  <c r="AF15" i="3448" s="1"/>
  <c r="T16" i="3448" a="1"/>
  <c r="T16" i="3448" s="1"/>
  <c r="D44" i="3448" a="1"/>
  <c r="D44" i="3448" s="1"/>
  <c r="AK65" i="3448" a="1"/>
  <c r="AK65" i="3448" s="1"/>
  <c r="BD53" i="3419"/>
  <c r="BA59" i="3419"/>
  <c r="BA62" i="3419"/>
  <c r="BJ26" i="3448" a="1"/>
  <c r="BJ26" i="3448" s="1"/>
  <c r="AX26" i="3448" a="1"/>
  <c r="AX26" i="3448" s="1"/>
  <c r="AL26" i="3448" a="1"/>
  <c r="AL26" i="3448" s="1"/>
  <c r="Z26" i="3448" a="1"/>
  <c r="Z26" i="3448" s="1"/>
  <c r="N26" i="3448" a="1"/>
  <c r="N26" i="3448" s="1"/>
  <c r="BI26" i="3448" a="1"/>
  <c r="BI26" i="3448" s="1"/>
  <c r="AW26" i="3448" a="1"/>
  <c r="AW26" i="3448" s="1"/>
  <c r="AK26" i="3448" a="1"/>
  <c r="AK26" i="3448" s="1"/>
  <c r="Y26" i="3448" a="1"/>
  <c r="Y26" i="3448" s="1"/>
  <c r="L26" i="3448" a="1"/>
  <c r="L26" i="3448" s="1"/>
  <c r="BH26" i="3448" a="1"/>
  <c r="BH26" i="3448" s="1"/>
  <c r="AV26" i="3448" a="1"/>
  <c r="AV26" i="3448" s="1"/>
  <c r="AJ26" i="3448" a="1"/>
  <c r="AJ26" i="3448" s="1"/>
  <c r="X26" i="3448" a="1"/>
  <c r="X26" i="3448" s="1"/>
  <c r="BE26" i="3448" a="1"/>
  <c r="BE26" i="3448" s="1"/>
  <c r="AS26" i="3448" a="1"/>
  <c r="AS26" i="3448" s="1"/>
  <c r="AG26" i="3448" a="1"/>
  <c r="AG26" i="3448" s="1"/>
  <c r="U26" i="3448" a="1"/>
  <c r="U26" i="3448" s="1"/>
  <c r="BB26" i="3448" a="1"/>
  <c r="BB26" i="3448" s="1"/>
  <c r="AP26" i="3448" a="1"/>
  <c r="AP26" i="3448" s="1"/>
  <c r="AD26" i="3448" a="1"/>
  <c r="AD26" i="3448" s="1"/>
  <c r="R26" i="3448" a="1"/>
  <c r="R26" i="3448" s="1"/>
  <c r="D26" i="3448" a="1"/>
  <c r="D26" i="3448" s="1"/>
  <c r="E26" i="3448" s="1" a="1"/>
  <c r="E26" i="3448" s="1"/>
  <c r="BK26" i="3448" a="1"/>
  <c r="BK26" i="3448" s="1"/>
  <c r="AY26" i="3448" a="1"/>
  <c r="AY26" i="3448" s="1"/>
  <c r="AM26" i="3448" a="1"/>
  <c r="AM26" i="3448" s="1"/>
  <c r="AA26" i="3448" a="1"/>
  <c r="AA26" i="3448" s="1"/>
  <c r="O26" i="3448" a="1"/>
  <c r="O26" i="3448" s="1"/>
  <c r="AS41" i="3448" a="1"/>
  <c r="AS41" i="3448" s="1"/>
  <c r="BJ41" i="3448" a="1"/>
  <c r="BJ41" i="3448" s="1"/>
  <c r="S43" i="3448" a="1"/>
  <c r="S43" i="3448" s="1"/>
  <c r="AJ43" i="3448" a="1"/>
  <c r="AJ43" i="3448" s="1"/>
  <c r="I45" i="3448" a="1"/>
  <c r="I45" i="3448" s="1"/>
  <c r="AE45" i="3448" a="1"/>
  <c r="AE45" i="3448" s="1"/>
  <c r="AZ45" i="3448" a="1"/>
  <c r="AZ45" i="3448" s="1"/>
  <c r="R48" i="3448" a="1"/>
  <c r="R48" i="3448" s="1"/>
  <c r="AO48" i="3448" a="1"/>
  <c r="AO48" i="3448" s="1"/>
  <c r="BC50" i="3448" a="1"/>
  <c r="BC50" i="3448" s="1"/>
  <c r="AQ50" i="3448" a="1"/>
  <c r="AQ50" i="3448" s="1"/>
  <c r="AE50" i="3448" a="1"/>
  <c r="AE50" i="3448" s="1"/>
  <c r="S50" i="3448" a="1"/>
  <c r="S50" i="3448" s="1"/>
  <c r="E50" i="3448" a="1"/>
  <c r="E50" i="3448" s="1"/>
  <c r="BB50" i="3448" a="1"/>
  <c r="BB50" i="3448" s="1"/>
  <c r="AP50" i="3448" a="1"/>
  <c r="AP50" i="3448" s="1"/>
  <c r="AD50" i="3448" a="1"/>
  <c r="AD50" i="3448" s="1"/>
  <c r="R50" i="3448" a="1"/>
  <c r="R50" i="3448" s="1"/>
  <c r="D50" i="3448" a="1"/>
  <c r="D50" i="3448" s="1"/>
  <c r="BM50" i="3448" a="1"/>
  <c r="BM50" i="3448" s="1"/>
  <c r="BJ50" i="3448" a="1"/>
  <c r="BJ50" i="3448" s="1"/>
  <c r="AX50" i="3448" a="1"/>
  <c r="AX50" i="3448" s="1"/>
  <c r="AL50" i="3448" a="1"/>
  <c r="AL50" i="3448" s="1"/>
  <c r="Z50" i="3448" a="1"/>
  <c r="Z50" i="3448" s="1"/>
  <c r="N50" i="3448" a="1"/>
  <c r="N50" i="3448" s="1"/>
  <c r="BH50" i="3448" a="1"/>
  <c r="BH50" i="3448" s="1"/>
  <c r="AV50" i="3448" a="1"/>
  <c r="AV50" i="3448" s="1"/>
  <c r="AJ50" i="3448" a="1"/>
  <c r="AJ50" i="3448" s="1"/>
  <c r="X50" i="3448" a="1"/>
  <c r="X50" i="3448" s="1"/>
  <c r="K50" i="3448" a="1"/>
  <c r="K50" i="3448" s="1"/>
  <c r="BD50" i="3448" a="1"/>
  <c r="BD50" i="3448" s="1"/>
  <c r="AR50" i="3448" a="1"/>
  <c r="AR50" i="3448" s="1"/>
  <c r="AF50" i="3448" a="1"/>
  <c r="AF50" i="3448" s="1"/>
  <c r="T50" i="3448" a="1"/>
  <c r="T50" i="3448" s="1"/>
  <c r="AS56" i="3448" a="1"/>
  <c r="AS56" i="3448" s="1"/>
  <c r="D38" i="3523"/>
  <c r="BJ57" i="3448" a="1"/>
  <c r="BJ57" i="3448" s="1"/>
  <c r="AX57" i="3448" a="1"/>
  <c r="AX57" i="3448" s="1"/>
  <c r="AL57" i="3448" a="1"/>
  <c r="AL57" i="3448" s="1"/>
  <c r="Z57" i="3448" a="1"/>
  <c r="Z57" i="3448" s="1"/>
  <c r="N57" i="3448" a="1"/>
  <c r="N57" i="3448" s="1"/>
  <c r="BD57" i="3448" a="1"/>
  <c r="BD57" i="3448" s="1"/>
  <c r="AR57" i="3448" a="1"/>
  <c r="AR57" i="3448" s="1"/>
  <c r="AF57" i="3448" a="1"/>
  <c r="AF57" i="3448" s="1"/>
  <c r="T57" i="3448" a="1"/>
  <c r="T57" i="3448" s="1"/>
  <c r="AK57" i="3448" a="1"/>
  <c r="AK57" i="3448" s="1"/>
  <c r="X57" i="3448" a="1"/>
  <c r="X57" i="3448" s="1"/>
  <c r="BK57" i="3448" a="1"/>
  <c r="BK57" i="3448" s="1"/>
  <c r="J57" i="3448" a="1"/>
  <c r="J57" i="3448" s="1"/>
  <c r="M38" i="3523" s="1"/>
  <c r="AW57" i="3448" a="1"/>
  <c r="AW57" i="3448" s="1"/>
  <c r="AJ57" i="3448" a="1"/>
  <c r="AJ57" i="3448" s="1"/>
  <c r="W57" i="3448" a="1"/>
  <c r="W57" i="3448" s="1"/>
  <c r="I57" i="3448" a="1"/>
  <c r="I57" i="3448" s="1"/>
  <c r="E38" i="3523" s="1"/>
  <c r="F38" i="3523" s="1" a="1"/>
  <c r="F38" i="3523" s="1"/>
  <c r="BI57" i="3448" a="1"/>
  <c r="BI57" i="3448" s="1"/>
  <c r="AV57" i="3448" a="1"/>
  <c r="AV57" i="3448" s="1"/>
  <c r="AI57" i="3448" a="1"/>
  <c r="AI57" i="3448" s="1"/>
  <c r="V57" i="3448" a="1"/>
  <c r="V57" i="3448" s="1"/>
  <c r="BF57" i="3448" a="1"/>
  <c r="BF57" i="3448" s="1"/>
  <c r="AS57" i="3448" a="1"/>
  <c r="AS57" i="3448" s="1"/>
  <c r="D57" i="3448" a="1"/>
  <c r="D57" i="3448" s="1"/>
  <c r="BR57" i="3448" s="1" a="1"/>
  <c r="BR57" i="3448" s="1"/>
  <c r="BV57" i="3448" s="1" a="1"/>
  <c r="BV57" i="3448" s="1"/>
  <c r="AE57" i="3448" a="1"/>
  <c r="AE57" i="3448" s="1"/>
  <c r="R57" i="3448" a="1"/>
  <c r="R57" i="3448" s="1"/>
  <c r="BC57" i="3448" a="1"/>
  <c r="BC57" i="3448" s="1"/>
  <c r="AP57" i="3448" a="1"/>
  <c r="AP57" i="3448" s="1"/>
  <c r="AC57" i="3448" a="1"/>
  <c r="AC57" i="3448" s="1"/>
  <c r="P57" i="3448" a="1"/>
  <c r="P57" i="3448" s="1"/>
  <c r="Y57" i="3448" a="1"/>
  <c r="Y57" i="3448" s="1"/>
  <c r="BL57" i="3448" a="1"/>
  <c r="BL57" i="3448" s="1"/>
  <c r="AY57" i="3448" a="1"/>
  <c r="AY57" i="3448" s="1"/>
  <c r="K57" i="3448" a="1"/>
  <c r="K57" i="3448" s="1"/>
  <c r="S38" i="3523" s="1"/>
  <c r="BE57" i="3448" a="1"/>
  <c r="BE57" i="3448" s="1"/>
  <c r="X17" i="3448" a="1"/>
  <c r="X17" i="3448" s="1"/>
  <c r="AN17" i="3448" a="1"/>
  <c r="AN17" i="3448" s="1"/>
  <c r="V26" i="3448" a="1"/>
  <c r="V26" i="3448" s="1"/>
  <c r="AO26" i="3448" a="1"/>
  <c r="AO26" i="3448" s="1"/>
  <c r="BF26" i="3448" a="1"/>
  <c r="BF26" i="3448" s="1"/>
  <c r="Y41" i="3448" a="1"/>
  <c r="Y41" i="3448" s="1"/>
  <c r="BK42" i="3448" a="1"/>
  <c r="BK42" i="3448" s="1"/>
  <c r="AY42" i="3448" a="1"/>
  <c r="AY42" i="3448" s="1"/>
  <c r="AM42" i="3448" a="1"/>
  <c r="AM42" i="3448" s="1"/>
  <c r="AA42" i="3448" a="1"/>
  <c r="AA42" i="3448" s="1"/>
  <c r="O42" i="3448" a="1"/>
  <c r="O42" i="3448" s="1"/>
  <c r="BJ42" i="3448" a="1"/>
  <c r="BJ42" i="3448" s="1"/>
  <c r="AX42" i="3448" a="1"/>
  <c r="AX42" i="3448" s="1"/>
  <c r="AL42" i="3448" a="1"/>
  <c r="AL42" i="3448" s="1"/>
  <c r="Z42" i="3448" a="1"/>
  <c r="Z42" i="3448" s="1"/>
  <c r="N42" i="3448" a="1"/>
  <c r="N42" i="3448" s="1"/>
  <c r="J42" i="3448" a="1"/>
  <c r="J42" i="3448" s="1"/>
  <c r="BL42" i="3448" a="1"/>
  <c r="BL42" i="3448" s="1"/>
  <c r="AZ42" i="3448" a="1"/>
  <c r="AZ42" i="3448" s="1"/>
  <c r="AN42" i="3448" a="1"/>
  <c r="AN42" i="3448" s="1"/>
  <c r="AB42" i="3448" a="1"/>
  <c r="AB42" i="3448" s="1"/>
  <c r="P42" i="3448" a="1"/>
  <c r="P42" i="3448" s="1"/>
  <c r="V42" i="3448" a="1"/>
  <c r="V42" i="3448" s="1"/>
  <c r="BH42" i="3448" a="1"/>
  <c r="BH42" i="3448" s="1"/>
  <c r="AN43" i="3448" a="1"/>
  <c r="AN43" i="3448" s="1"/>
  <c r="AF45" i="3448" a="1"/>
  <c r="AF45" i="3448" s="1"/>
  <c r="AG46" i="3448" a="1"/>
  <c r="AG46" i="3448" s="1"/>
  <c r="BD46" i="3448" a="1"/>
  <c r="BD46" i="3448" s="1"/>
  <c r="AA50" i="3448" a="1"/>
  <c r="AA50" i="3448" s="1"/>
  <c r="AW50" i="3448" a="1"/>
  <c r="AW50" i="3448" s="1"/>
  <c r="S56" i="3448" a="1"/>
  <c r="S56" i="3448" s="1"/>
  <c r="AD57" i="3448" a="1"/>
  <c r="AD57" i="3448" s="1"/>
  <c r="L59" i="3448" a="1"/>
  <c r="L59" i="3448" s="1"/>
  <c r="AR59" i="3448" a="1"/>
  <c r="AR59" i="3448" s="1"/>
  <c r="AZ62" i="3448" a="1"/>
  <c r="AZ62" i="3448" s="1"/>
  <c r="D49" i="3523"/>
  <c r="BM64" i="3448" a="1"/>
  <c r="BM64" i="3448" s="1"/>
  <c r="BA64" i="3448" a="1"/>
  <c r="BA64" i="3448" s="1"/>
  <c r="AO64" i="3448" a="1"/>
  <c r="AO64" i="3448" s="1"/>
  <c r="AC64" i="3448" a="1"/>
  <c r="AC64" i="3448" s="1"/>
  <c r="Q64" i="3448" a="1"/>
  <c r="Q64" i="3448" s="1"/>
  <c r="BL64" i="3448" a="1"/>
  <c r="BL64" i="3448" s="1"/>
  <c r="AZ64" i="3448" a="1"/>
  <c r="AZ64" i="3448" s="1"/>
  <c r="AN64" i="3448" a="1"/>
  <c r="AN64" i="3448" s="1"/>
  <c r="AB64" i="3448" a="1"/>
  <c r="AB64" i="3448" s="1"/>
  <c r="P64" i="3448" a="1"/>
  <c r="P64" i="3448" s="1"/>
  <c r="BH64" i="3448" a="1"/>
  <c r="BH64" i="3448" s="1"/>
  <c r="AV64" i="3448" a="1"/>
  <c r="AV64" i="3448" s="1"/>
  <c r="AJ64" i="3448" a="1"/>
  <c r="AJ64" i="3448" s="1"/>
  <c r="X64" i="3448" a="1"/>
  <c r="X64" i="3448" s="1"/>
  <c r="AK64" i="3448" a="1"/>
  <c r="AK64" i="3448" s="1"/>
  <c r="V64" i="3448" a="1"/>
  <c r="V64" i="3448" s="1"/>
  <c r="BQ64" i="3448" a="1"/>
  <c r="BQ64" i="3448" s="1"/>
  <c r="BU64" i="3448" s="1" a="1"/>
  <c r="BU64" i="3448" s="1"/>
  <c r="AY64" i="3448" a="1"/>
  <c r="AY64" i="3448" s="1"/>
  <c r="U64" i="3448" a="1"/>
  <c r="U64" i="3448" s="1"/>
  <c r="AS64" i="3448" a="1"/>
  <c r="AS64" i="3448" s="1"/>
  <c r="AU64" i="3448" a="1"/>
  <c r="AU64" i="3448" s="1"/>
  <c r="AE64" i="3448" a="1"/>
  <c r="AE64" i="3448" s="1"/>
  <c r="L64" i="3448" a="1"/>
  <c r="L64" i="3448" s="1"/>
  <c r="AD64" i="3448" a="1"/>
  <c r="AD64" i="3448" s="1"/>
  <c r="K64" i="3448" a="1"/>
  <c r="K64" i="3448" s="1"/>
  <c r="S49" i="3523" s="1"/>
  <c r="BK64" i="3448" a="1"/>
  <c r="BK64" i="3448" s="1"/>
  <c r="AT64" i="3448" a="1"/>
  <c r="AT64" i="3448" s="1"/>
  <c r="J64" i="3448" a="1"/>
  <c r="J64" i="3448" s="1"/>
  <c r="M49" i="3523" s="1"/>
  <c r="BJ64" i="3448" a="1"/>
  <c r="BJ64" i="3448" s="1"/>
  <c r="AA64" i="3448" a="1"/>
  <c r="AA64" i="3448" s="1"/>
  <c r="Z64" i="3448" a="1"/>
  <c r="Z64" i="3448" s="1"/>
  <c r="BF64" i="3448" a="1"/>
  <c r="BF64" i="3448" s="1"/>
  <c r="AP64" i="3448" a="1"/>
  <c r="AP64" i="3448" s="1"/>
  <c r="E64" i="3448" a="1"/>
  <c r="E64" i="3448" s="1"/>
  <c r="G49" i="3523" s="1"/>
  <c r="W64" i="3448" a="1"/>
  <c r="W64" i="3448" s="1"/>
  <c r="D64" i="3448" a="1"/>
  <c r="D64" i="3448" s="1"/>
  <c r="BR64" i="3448" s="1" a="1"/>
  <c r="BR64" i="3448" s="1"/>
  <c r="BV64" i="3448" s="1" a="1"/>
  <c r="BV64" i="3448" s="1"/>
  <c r="BE64" i="3448" a="1"/>
  <c r="BE64" i="3448" s="1"/>
  <c r="AM64" i="3448" a="1"/>
  <c r="AM64" i="3448" s="1"/>
  <c r="AL64" i="3448" a="1"/>
  <c r="AL64" i="3448" s="1"/>
  <c r="T64" i="3448" a="1"/>
  <c r="T64" i="3448" s="1"/>
  <c r="BC64" i="3448" a="1"/>
  <c r="BC64" i="3448" s="1"/>
  <c r="AW64" i="3448" a="1"/>
  <c r="AW64" i="3448" s="1"/>
  <c r="O64" i="3448" a="1"/>
  <c r="O64" i="3448" s="1"/>
  <c r="AF64" i="3448" a="1"/>
  <c r="AF64" i="3448" s="1"/>
  <c r="N64" i="3448" a="1"/>
  <c r="N64" i="3448" s="1"/>
  <c r="BB64" i="3448" a="1"/>
  <c r="BB64" i="3448" s="1"/>
  <c r="BJ43" i="3448" a="1"/>
  <c r="BJ43" i="3448" s="1"/>
  <c r="AX43" i="3448" a="1"/>
  <c r="AX43" i="3448" s="1"/>
  <c r="AL43" i="3448" a="1"/>
  <c r="AL43" i="3448" s="1"/>
  <c r="Z43" i="3448" a="1"/>
  <c r="Z43" i="3448" s="1"/>
  <c r="N43" i="3448" a="1"/>
  <c r="N43" i="3448" s="1"/>
  <c r="BI43" i="3448" a="1"/>
  <c r="BI43" i="3448" s="1"/>
  <c r="AW43" i="3448" a="1"/>
  <c r="AW43" i="3448" s="1"/>
  <c r="AK43" i="3448" a="1"/>
  <c r="AK43" i="3448" s="1"/>
  <c r="Y43" i="3448" a="1"/>
  <c r="Y43" i="3448" s="1"/>
  <c r="L43" i="3448" a="1"/>
  <c r="L43" i="3448" s="1"/>
  <c r="I43" i="3448" a="1"/>
  <c r="I43" i="3448" s="1"/>
  <c r="BK43" i="3448" a="1"/>
  <c r="BK43" i="3448" s="1"/>
  <c r="AY43" i="3448" a="1"/>
  <c r="AY43" i="3448" s="1"/>
  <c r="AM43" i="3448" a="1"/>
  <c r="AM43" i="3448" s="1"/>
  <c r="AA43" i="3448" a="1"/>
  <c r="AA43" i="3448" s="1"/>
  <c r="O43" i="3448" a="1"/>
  <c r="O43" i="3448" s="1"/>
  <c r="V43" i="3448" a="1"/>
  <c r="V43" i="3448" s="1"/>
  <c r="AP43" i="3448" a="1"/>
  <c r="AP43" i="3448" s="1"/>
  <c r="D60" i="3523"/>
  <c r="BQ73" i="3448" a="1"/>
  <c r="BQ73" i="3448" s="1"/>
  <c r="BU73" i="3448" s="1" a="1"/>
  <c r="BU73" i="3448" s="1"/>
  <c r="BC73" i="3448" a="1"/>
  <c r="BC73" i="3448" s="1"/>
  <c r="AQ73" i="3448" a="1"/>
  <c r="AQ73" i="3448" s="1"/>
  <c r="AE73" i="3448" a="1"/>
  <c r="AE73" i="3448" s="1"/>
  <c r="S73" i="3448" a="1"/>
  <c r="S73" i="3448" s="1"/>
  <c r="E73" i="3448" a="1"/>
  <c r="E73" i="3448" s="1"/>
  <c r="G60" i="3523" s="1"/>
  <c r="BB73" i="3448" a="1"/>
  <c r="BB73" i="3448" s="1"/>
  <c r="AP73" i="3448" a="1"/>
  <c r="AP73" i="3448" s="1"/>
  <c r="AD73" i="3448" a="1"/>
  <c r="AD73" i="3448" s="1"/>
  <c r="R73" i="3448" a="1"/>
  <c r="R73" i="3448" s="1"/>
  <c r="D73" i="3448" a="1"/>
  <c r="D73" i="3448" s="1"/>
  <c r="BR73" i="3448" s="1" a="1"/>
  <c r="BR73" i="3448" s="1"/>
  <c r="BV73" i="3448" s="1" a="1"/>
  <c r="BV73" i="3448" s="1"/>
  <c r="BK73" i="3448" a="1"/>
  <c r="BK73" i="3448" s="1"/>
  <c r="AY73" i="3448" a="1"/>
  <c r="AY73" i="3448" s="1"/>
  <c r="AM73" i="3448" a="1"/>
  <c r="AM73" i="3448" s="1"/>
  <c r="AA73" i="3448" a="1"/>
  <c r="AA73" i="3448" s="1"/>
  <c r="O73" i="3448" a="1"/>
  <c r="O73" i="3448" s="1"/>
  <c r="BD73" i="3448" a="1"/>
  <c r="BD73" i="3448" s="1"/>
  <c r="W73" i="3448" a="1"/>
  <c r="W73" i="3448" s="1"/>
  <c r="AL73" i="3448" a="1"/>
  <c r="AL73" i="3448" s="1"/>
  <c r="BL73" i="3448" a="1"/>
  <c r="BL73" i="3448" s="1"/>
  <c r="AV73" i="3448" a="1"/>
  <c r="AV73" i="3448" s="1"/>
  <c r="AG73" i="3448" a="1"/>
  <c r="AG73" i="3448" s="1"/>
  <c r="P73" i="3448" a="1"/>
  <c r="P73" i="3448" s="1"/>
  <c r="AU73" i="3448" a="1"/>
  <c r="AU73" i="3448" s="1"/>
  <c r="AF73" i="3448" a="1"/>
  <c r="AF73" i="3448" s="1"/>
  <c r="BJ73" i="3448" a="1"/>
  <c r="BJ73" i="3448" s="1"/>
  <c r="N73" i="3448" a="1"/>
  <c r="N73" i="3448" s="1"/>
  <c r="BI73" i="3448" a="1"/>
  <c r="BI73" i="3448" s="1"/>
  <c r="AT73" i="3448" a="1"/>
  <c r="AT73" i="3448" s="1"/>
  <c r="AC73" i="3448" a="1"/>
  <c r="AC73" i="3448" s="1"/>
  <c r="L73" i="3448" a="1"/>
  <c r="L73" i="3448" s="1"/>
  <c r="K73" i="3448" a="1"/>
  <c r="K73" i="3448" s="1"/>
  <c r="S60" i="3523" s="1"/>
  <c r="Z73" i="3448" a="1"/>
  <c r="Z73" i="3448" s="1"/>
  <c r="J73" i="3448" a="1"/>
  <c r="J73" i="3448" s="1"/>
  <c r="M60" i="3523" s="1"/>
  <c r="BA73" i="3448" a="1"/>
  <c r="BA73" i="3448" s="1"/>
  <c r="Y73" i="3448" a="1"/>
  <c r="Y73" i="3448" s="1"/>
  <c r="AZ73" i="3448" a="1"/>
  <c r="AZ73" i="3448" s="1"/>
  <c r="X73" i="3448" a="1"/>
  <c r="X73" i="3448" s="1"/>
  <c r="AX73" i="3448" a="1"/>
  <c r="AX73" i="3448" s="1"/>
  <c r="V73" i="3448" a="1"/>
  <c r="V73" i="3448" s="1"/>
  <c r="AW73" i="3448" a="1"/>
  <c r="AW73" i="3448" s="1"/>
  <c r="U73" i="3448" a="1"/>
  <c r="U73" i="3448" s="1"/>
  <c r="T73" i="3448" a="1"/>
  <c r="T73" i="3448" s="1"/>
  <c r="AS73" i="3448" a="1"/>
  <c r="AS73" i="3448" s="1"/>
  <c r="AR73" i="3448" a="1"/>
  <c r="AR73" i="3448" s="1"/>
  <c r="Q73" i="3448" a="1"/>
  <c r="Q73" i="3448" s="1"/>
  <c r="AO73" i="3448" a="1"/>
  <c r="AO73" i="3448" s="1"/>
  <c r="AN73" i="3448" a="1"/>
  <c r="AN73" i="3448" s="1"/>
  <c r="AK73" i="3448" a="1"/>
  <c r="AK73" i="3448" s="1"/>
  <c r="BM73" i="3448" a="1"/>
  <c r="BM73" i="3448" s="1"/>
  <c r="AJ73" i="3448" a="1"/>
  <c r="AJ73" i="3448" s="1"/>
  <c r="I73" i="3448" a="1"/>
  <c r="I73" i="3448" s="1"/>
  <c r="E60" i="3523" s="1"/>
  <c r="F60" i="3523" s="1" a="1"/>
  <c r="F60" i="3523" s="1"/>
  <c r="BE73" i="3448" a="1"/>
  <c r="BE73" i="3448" s="1"/>
  <c r="AB73" i="3448" a="1"/>
  <c r="AB73" i="3448" s="1"/>
  <c r="BD59" i="3419"/>
  <c r="AA17" i="3448" a="1"/>
  <c r="AA17" i="3448" s="1"/>
  <c r="AQ17" i="3448" a="1"/>
  <c r="AQ17" i="3448" s="1"/>
  <c r="BI17" i="3448" a="1"/>
  <c r="BI17" i="3448" s="1"/>
  <c r="J41" i="3448" a="1"/>
  <c r="J41" i="3448" s="1"/>
  <c r="AE41" i="3448" a="1"/>
  <c r="AE41" i="3448" s="1"/>
  <c r="AQ43" i="3448" a="1"/>
  <c r="AQ43" i="3448" s="1"/>
  <c r="BH43" i="3448" a="1"/>
  <c r="BH43" i="3448" s="1"/>
  <c r="AL45" i="3448" a="1"/>
  <c r="AL45" i="3448" s="1"/>
  <c r="Q46" i="3448" a="1"/>
  <c r="Q46" i="3448" s="1"/>
  <c r="AM46" i="3448" a="1"/>
  <c r="AM46" i="3448" s="1"/>
  <c r="BJ46" i="3448" a="1"/>
  <c r="BJ46" i="3448" s="1"/>
  <c r="P62" i="3448" a="1"/>
  <c r="P62" i="3448" s="1"/>
  <c r="K17" i="3448" a="1"/>
  <c r="K17" i="3448" s="1"/>
  <c r="S27" i="3523" s="1"/>
  <c r="AW41" i="3448" a="1"/>
  <c r="AW41" i="3448" s="1"/>
  <c r="W43" i="3448" a="1"/>
  <c r="W43" i="3448" s="1"/>
  <c r="BL43" i="3448" a="1"/>
  <c r="BL43" i="3448" s="1"/>
  <c r="BE45" i="3448" a="1"/>
  <c r="BE45" i="3448" s="1"/>
  <c r="I48" i="3448" a="1"/>
  <c r="I48" i="3448" s="1"/>
  <c r="BE48" i="3448" a="1"/>
  <c r="BE48" i="3448" s="1"/>
  <c r="AS48" i="3448" a="1"/>
  <c r="AS48" i="3448" s="1"/>
  <c r="AG48" i="3448" a="1"/>
  <c r="AG48" i="3448" s="1"/>
  <c r="U48" i="3448" a="1"/>
  <c r="U48" i="3448" s="1"/>
  <c r="BD48" i="3448" a="1"/>
  <c r="BD48" i="3448" s="1"/>
  <c r="AR48" i="3448" a="1"/>
  <c r="AR48" i="3448" s="1"/>
  <c r="AF48" i="3448" a="1"/>
  <c r="AF48" i="3448" s="1"/>
  <c r="T48" i="3448" a="1"/>
  <c r="T48" i="3448" s="1"/>
  <c r="BL48" i="3448" a="1"/>
  <c r="BL48" i="3448" s="1"/>
  <c r="AZ48" i="3448" a="1"/>
  <c r="AZ48" i="3448" s="1"/>
  <c r="AN48" i="3448" a="1"/>
  <c r="AN48" i="3448" s="1"/>
  <c r="AB48" i="3448" a="1"/>
  <c r="AB48" i="3448" s="1"/>
  <c r="P48" i="3448" a="1"/>
  <c r="P48" i="3448" s="1"/>
  <c r="BJ48" i="3448" a="1"/>
  <c r="BJ48" i="3448" s="1"/>
  <c r="AX48" i="3448" a="1"/>
  <c r="AX48" i="3448" s="1"/>
  <c r="AL48" i="3448" a="1"/>
  <c r="AL48" i="3448" s="1"/>
  <c r="Z48" i="3448" a="1"/>
  <c r="Z48" i="3448" s="1"/>
  <c r="N48" i="3448" a="1"/>
  <c r="N48" i="3448" s="1"/>
  <c r="J48" i="3448" a="1"/>
  <c r="J48" i="3448" s="1"/>
  <c r="BF48" i="3448" a="1"/>
  <c r="BF48" i="3448" s="1"/>
  <c r="AT48" i="3448" a="1"/>
  <c r="AT48" i="3448" s="1"/>
  <c r="AH48" i="3448" a="1"/>
  <c r="AH48" i="3448" s="1"/>
  <c r="V48" i="3448" a="1"/>
  <c r="V48" i="3448" s="1"/>
  <c r="Y48" i="3448" a="1"/>
  <c r="Y48" i="3448" s="1"/>
  <c r="AV48" i="3448" a="1"/>
  <c r="AV48" i="3448" s="1"/>
  <c r="AB56" i="3448" a="1"/>
  <c r="AB56" i="3448" s="1"/>
  <c r="BB56" i="3448" a="1"/>
  <c r="BB56" i="3448" s="1"/>
  <c r="BQ62" i="3448" a="1"/>
  <c r="BQ62" i="3448" s="1"/>
  <c r="BU62" i="3448" s="1" a="1"/>
  <c r="BU62" i="3448" s="1"/>
  <c r="BH52" i="3419"/>
  <c r="AB17" i="3448" a="1"/>
  <c r="AB17" i="3448" s="1"/>
  <c r="AF41" i="3448" a="1"/>
  <c r="AF41" i="3448" s="1"/>
  <c r="D43" i="3448" a="1"/>
  <c r="D43" i="3448" s="1"/>
  <c r="AR43" i="3448" a="1"/>
  <c r="AR43" i="3448" s="1"/>
  <c r="R45" i="3448" a="1"/>
  <c r="R45" i="3448" s="1"/>
  <c r="AM45" i="3448" a="1"/>
  <c r="AM45" i="3448" s="1"/>
  <c r="S46" i="3448" a="1"/>
  <c r="S46" i="3448" s="1"/>
  <c r="AO46" i="3448" a="1"/>
  <c r="AO46" i="3448" s="1"/>
  <c r="BK46" i="3448" a="1"/>
  <c r="BK46" i="3448" s="1"/>
  <c r="AH50" i="3448" a="1"/>
  <c r="AH50" i="3448" s="1"/>
  <c r="BE50" i="3448" a="1"/>
  <c r="BE50" i="3448" s="1"/>
  <c r="AN57" i="3448" a="1"/>
  <c r="AN57" i="3448" s="1"/>
  <c r="BQ57" i="3448" a="1"/>
  <c r="BQ57" i="3448" s="1"/>
  <c r="BU57" i="3448" s="1" a="1"/>
  <c r="BU57" i="3448" s="1"/>
  <c r="X59" i="3448" a="1"/>
  <c r="X59" i="3448" s="1"/>
  <c r="L17" i="3448" a="1"/>
  <c r="L17" i="3448" s="1"/>
  <c r="AU17" i="3448" a="1"/>
  <c r="AU17" i="3448" s="1"/>
  <c r="BK17" i="3448" a="1"/>
  <c r="BK17" i="3448" s="1"/>
  <c r="AC26" i="3448" a="1"/>
  <c r="AC26" i="3448" s="1"/>
  <c r="AT26" i="3448" a="1"/>
  <c r="AT26" i="3448" s="1"/>
  <c r="BM26" i="3448" a="1"/>
  <c r="BM26" i="3448" s="1"/>
  <c r="L41" i="3448" a="1"/>
  <c r="L41" i="3448" s="1"/>
  <c r="AG41" i="3448" a="1"/>
  <c r="AG41" i="3448" s="1"/>
  <c r="AX41" i="3448" a="1"/>
  <c r="AX41" i="3448" s="1"/>
  <c r="I42" i="3448" a="1"/>
  <c r="I42" i="3448" s="1"/>
  <c r="AD42" i="3448" a="1"/>
  <c r="AD42" i="3448" s="1"/>
  <c r="E43" i="3448" a="1"/>
  <c r="E43" i="3448" s="1"/>
  <c r="X43" i="3448" a="1"/>
  <c r="X43" i="3448" s="1"/>
  <c r="BM43" i="3448" a="1"/>
  <c r="BM43" i="3448" s="1"/>
  <c r="BF45" i="3448" a="1"/>
  <c r="BF45" i="3448" s="1"/>
  <c r="D48" i="3448" a="1"/>
  <c r="D48" i="3448" s="1"/>
  <c r="AA48" i="3448" a="1"/>
  <c r="AA48" i="3448" s="1"/>
  <c r="AW48" i="3448" a="1"/>
  <c r="AW48" i="3448" s="1"/>
  <c r="L50" i="3448" a="1"/>
  <c r="L50" i="3448" s="1"/>
  <c r="AC56" i="3448" a="1"/>
  <c r="AC56" i="3448" s="1"/>
  <c r="BB41" i="3448" a="1"/>
  <c r="BB41" i="3448" s="1"/>
  <c r="AB43" i="3448" a="1"/>
  <c r="AB43" i="3448" s="1"/>
  <c r="AS43" i="3448" a="1"/>
  <c r="AS43" i="3448" s="1"/>
  <c r="T46" i="3448" a="1"/>
  <c r="T46" i="3448" s="1"/>
  <c r="AQ46" i="3448" a="1"/>
  <c r="AQ46" i="3448" s="1"/>
  <c r="BM46" i="3448" a="1"/>
  <c r="BM46" i="3448" s="1"/>
  <c r="D37" i="3523"/>
  <c r="BM56" i="3448" a="1"/>
  <c r="BM56" i="3448" s="1"/>
  <c r="AZ56" i="3448" a="1"/>
  <c r="AZ56" i="3448" s="1"/>
  <c r="AM56" i="3448" a="1"/>
  <c r="AM56" i="3448" s="1"/>
  <c r="L56" i="3448" a="1"/>
  <c r="L56" i="3448" s="1"/>
  <c r="AL56" i="3448" a="1"/>
  <c r="AL56" i="3448" s="1"/>
  <c r="Y56" i="3448" a="1"/>
  <c r="Y56" i="3448" s="1"/>
  <c r="BL56" i="3448" a="1"/>
  <c r="BL56" i="3448" s="1"/>
  <c r="AY56" i="3448" a="1"/>
  <c r="AY56" i="3448" s="1"/>
  <c r="K56" i="3448" a="1"/>
  <c r="K56" i="3448" s="1"/>
  <c r="S37" i="3523" s="1"/>
  <c r="AX56" i="3448" a="1"/>
  <c r="AX56" i="3448" s="1"/>
  <c r="AK56" i="3448" a="1"/>
  <c r="AK56" i="3448" s="1"/>
  <c r="X56" i="3448" a="1"/>
  <c r="X56" i="3448" s="1"/>
  <c r="BK56" i="3448" a="1"/>
  <c r="BK56" i="3448" s="1"/>
  <c r="J56" i="3448" a="1"/>
  <c r="J56" i="3448" s="1"/>
  <c r="M37" i="3523" s="1"/>
  <c r="BJ56" i="3448" a="1"/>
  <c r="BJ56" i="3448" s="1"/>
  <c r="AW56" i="3448" a="1"/>
  <c r="AW56" i="3448" s="1"/>
  <c r="AJ56" i="3448" a="1"/>
  <c r="AJ56" i="3448" s="1"/>
  <c r="W56" i="3448" a="1"/>
  <c r="W56" i="3448" s="1"/>
  <c r="T56" i="3448" a="1"/>
  <c r="T56" i="3448" s="1"/>
  <c r="BG56" i="3448" a="1"/>
  <c r="BG56" i="3448" s="1"/>
  <c r="AT56" i="3448" a="1"/>
  <c r="AT56" i="3448" s="1"/>
  <c r="AG56" i="3448" a="1"/>
  <c r="AG56" i="3448" s="1"/>
  <c r="E56" i="3448" a="1"/>
  <c r="E56" i="3448" s="1"/>
  <c r="G37" i="3523" s="1"/>
  <c r="BE56" i="3448" a="1"/>
  <c r="BE56" i="3448" s="1"/>
  <c r="BD56" i="3448" a="1"/>
  <c r="BD56" i="3448" s="1"/>
  <c r="AQ56" i="3448" a="1"/>
  <c r="AQ56" i="3448" s="1"/>
  <c r="AD56" i="3448" a="1"/>
  <c r="AD56" i="3448" s="1"/>
  <c r="Q56" i="3448" a="1"/>
  <c r="Q56" i="3448" s="1"/>
  <c r="BA56" i="3448" a="1"/>
  <c r="BA56" i="3448" s="1"/>
  <c r="AN56" i="3448" a="1"/>
  <c r="AN56" i="3448" s="1"/>
  <c r="AA56" i="3448" a="1"/>
  <c r="AA56" i="3448" s="1"/>
  <c r="Z56" i="3448" a="1"/>
  <c r="Z56" i="3448" s="1"/>
  <c r="D56" i="3523"/>
  <c r="BD71" i="3448" a="1"/>
  <c r="BD71" i="3448" s="1"/>
  <c r="AR71" i="3448" a="1"/>
  <c r="AR71" i="3448" s="1"/>
  <c r="AF71" i="3448" a="1"/>
  <c r="AF71" i="3448" s="1"/>
  <c r="T71" i="3448" a="1"/>
  <c r="T71" i="3448" s="1"/>
  <c r="BQ71" i="3448" a="1"/>
  <c r="BQ71" i="3448" s="1"/>
  <c r="BU71" i="3448" s="1" a="1"/>
  <c r="BU71" i="3448" s="1"/>
  <c r="BC71" i="3448" a="1"/>
  <c r="BC71" i="3448" s="1"/>
  <c r="AQ71" i="3448" a="1"/>
  <c r="AQ71" i="3448" s="1"/>
  <c r="AE71" i="3448" a="1"/>
  <c r="AE71" i="3448" s="1"/>
  <c r="S71" i="3448" a="1"/>
  <c r="S71" i="3448" s="1"/>
  <c r="E71" i="3448" a="1"/>
  <c r="E71" i="3448" s="1"/>
  <c r="G56" i="3523" s="1"/>
  <c r="BL71" i="3448" a="1"/>
  <c r="BL71" i="3448" s="1"/>
  <c r="AZ71" i="3448" a="1"/>
  <c r="AZ71" i="3448" s="1"/>
  <c r="AN71" i="3448" a="1"/>
  <c r="AN71" i="3448" s="1"/>
  <c r="AB71" i="3448" a="1"/>
  <c r="AB71" i="3448" s="1"/>
  <c r="P71" i="3448" a="1"/>
  <c r="P71" i="3448" s="1"/>
  <c r="L71" i="3448" a="1"/>
  <c r="L71" i="3448" s="1"/>
  <c r="BH71" i="3448" a="1"/>
  <c r="BH71" i="3448" s="1"/>
  <c r="AS71" i="3448" a="1"/>
  <c r="AS71" i="3448" s="1"/>
  <c r="BG71" i="3448" a="1"/>
  <c r="BG71" i="3448" s="1"/>
  <c r="AP71" i="3448" a="1"/>
  <c r="AP71" i="3448" s="1"/>
  <c r="Z71" i="3448" a="1"/>
  <c r="Z71" i="3448" s="1"/>
  <c r="D71" i="3448" a="1"/>
  <c r="D71" i="3448" s="1"/>
  <c r="BR71" i="3448" s="1" a="1"/>
  <c r="BR71" i="3448" s="1"/>
  <c r="BV71" i="3448" s="1" a="1"/>
  <c r="BV71" i="3448" s="1"/>
  <c r="AJ71" i="3448" a="1"/>
  <c r="AJ71" i="3448" s="1"/>
  <c r="U71" i="3448" a="1"/>
  <c r="U71" i="3448" s="1"/>
  <c r="AY71" i="3448" a="1"/>
  <c r="AY71" i="3448" s="1"/>
  <c r="AX71" i="3448" a="1"/>
  <c r="AX71" i="3448" s="1"/>
  <c r="AI71" i="3448" a="1"/>
  <c r="AI71" i="3448" s="1"/>
  <c r="R71" i="3448" a="1"/>
  <c r="R71" i="3448" s="1"/>
  <c r="BM71" i="3448" a="1"/>
  <c r="BM71" i="3448" s="1"/>
  <c r="AW71" i="3448" a="1"/>
  <c r="AW71" i="3448" s="1"/>
  <c r="AH71" i="3448" a="1"/>
  <c r="AH71" i="3448" s="1"/>
  <c r="Q71" i="3448" a="1"/>
  <c r="Q71" i="3448" s="1"/>
  <c r="AV71" i="3448" a="1"/>
  <c r="AV71" i="3448" s="1"/>
  <c r="AG71" i="3448" a="1"/>
  <c r="AG71" i="3448" s="1"/>
  <c r="BB71" i="3448" a="1"/>
  <c r="BB71" i="3448" s="1"/>
  <c r="Y71" i="3448" a="1"/>
  <c r="Y71" i="3448" s="1"/>
  <c r="BA71" i="3448" a="1"/>
  <c r="BA71" i="3448" s="1"/>
  <c r="X71" i="3448" a="1"/>
  <c r="X71" i="3448" s="1"/>
  <c r="W71" i="3448" a="1"/>
  <c r="W71" i="3448" s="1"/>
  <c r="AU71" i="3448" a="1"/>
  <c r="AU71" i="3448" s="1"/>
  <c r="V71" i="3448" a="1"/>
  <c r="V71" i="3448" s="1"/>
  <c r="AT71" i="3448" a="1"/>
  <c r="AT71" i="3448" s="1"/>
  <c r="O71" i="3448" a="1"/>
  <c r="O71" i="3448" s="1"/>
  <c r="N71" i="3448" a="1"/>
  <c r="N71" i="3448" s="1"/>
  <c r="AO71" i="3448" a="1"/>
  <c r="AO71" i="3448" s="1"/>
  <c r="K71" i="3448" a="1"/>
  <c r="K71" i="3448" s="1"/>
  <c r="S56" i="3523" s="1"/>
  <c r="BK71" i="3448" a="1"/>
  <c r="BK71" i="3448" s="1"/>
  <c r="AL71" i="3448" a="1"/>
  <c r="AL71" i="3448" s="1"/>
  <c r="BJ71" i="3448" a="1"/>
  <c r="BJ71" i="3448" s="1"/>
  <c r="AK71" i="3448" a="1"/>
  <c r="AK71" i="3448" s="1"/>
  <c r="I71" i="3448" a="1"/>
  <c r="I71" i="3448" s="1"/>
  <c r="E56" i="3523" s="1"/>
  <c r="F56" i="3523" s="1" a="1"/>
  <c r="F56" i="3523" s="1"/>
  <c r="AC71" i="3448" a="1"/>
  <c r="AC71" i="3448" s="1"/>
  <c r="BE71" i="3448" a="1"/>
  <c r="BE71" i="3448" s="1"/>
  <c r="AA71" i="3448" a="1"/>
  <c r="AA71" i="3448" s="1"/>
  <c r="AH73" i="3448" a="1"/>
  <c r="AH73" i="3448" s="1"/>
  <c r="O17" i="3448" a="1"/>
  <c r="O17" i="3448" s="1"/>
  <c r="AE17" i="3448" a="1"/>
  <c r="AE17" i="3448" s="1"/>
  <c r="AW17" i="3448" a="1"/>
  <c r="AW17" i="3448" s="1"/>
  <c r="R41" i="3448" a="1"/>
  <c r="R41" i="3448" s="1"/>
  <c r="AI41" i="3448" a="1"/>
  <c r="AI41" i="3448" s="1"/>
  <c r="AU43" i="3448" a="1"/>
  <c r="AU43" i="3448" s="1"/>
  <c r="AD48" i="3448" a="1"/>
  <c r="AD48" i="3448" s="1"/>
  <c r="BA48" i="3448" a="1"/>
  <c r="BA48" i="3448" s="1"/>
  <c r="AF56" i="3448" a="1"/>
  <c r="AF56" i="3448" s="1"/>
  <c r="P17" i="3448" a="1"/>
  <c r="P17" i="3448" s="1"/>
  <c r="S41" i="3448" a="1"/>
  <c r="S41" i="3448" s="1"/>
  <c r="BE41" i="3448" a="1"/>
  <c r="BE41" i="3448" s="1"/>
  <c r="J43" i="3448" a="1"/>
  <c r="J43" i="3448" s="1"/>
  <c r="AE43" i="3448" a="1"/>
  <c r="AE43" i="3448" s="1"/>
  <c r="AV43" i="3448" a="1"/>
  <c r="AV43" i="3448" s="1"/>
  <c r="K46" i="3448" a="1"/>
  <c r="K46" i="3448" s="1"/>
  <c r="BG46" i="3448" a="1"/>
  <c r="BG46" i="3448" s="1"/>
  <c r="AU46" i="3448" a="1"/>
  <c r="AU46" i="3448" s="1"/>
  <c r="AI46" i="3448" a="1"/>
  <c r="AI46" i="3448" s="1"/>
  <c r="W46" i="3448" a="1"/>
  <c r="W46" i="3448" s="1"/>
  <c r="J46" i="3448" a="1"/>
  <c r="J46" i="3448" s="1"/>
  <c r="BF46" i="3448" a="1"/>
  <c r="BF46" i="3448" s="1"/>
  <c r="AT46" i="3448" a="1"/>
  <c r="AT46" i="3448" s="1"/>
  <c r="AH46" i="3448" a="1"/>
  <c r="AH46" i="3448" s="1"/>
  <c r="V46" i="3448" a="1"/>
  <c r="V46" i="3448" s="1"/>
  <c r="I46" i="3448" a="1"/>
  <c r="I46" i="3448" s="1"/>
  <c r="BB46" i="3448" a="1"/>
  <c r="BB46" i="3448" s="1"/>
  <c r="AP46" i="3448" a="1"/>
  <c r="AP46" i="3448" s="1"/>
  <c r="AD46" i="3448" a="1"/>
  <c r="AD46" i="3448" s="1"/>
  <c r="R46" i="3448" a="1"/>
  <c r="R46" i="3448" s="1"/>
  <c r="BL46" i="3448" a="1"/>
  <c r="BL46" i="3448" s="1"/>
  <c r="AZ46" i="3448" a="1"/>
  <c r="AZ46" i="3448" s="1"/>
  <c r="AN46" i="3448" a="1"/>
  <c r="AN46" i="3448" s="1"/>
  <c r="AB46" i="3448" a="1"/>
  <c r="AB46" i="3448" s="1"/>
  <c r="P46" i="3448" a="1"/>
  <c r="P46" i="3448" s="1"/>
  <c r="L46" i="3448" a="1"/>
  <c r="L46" i="3448" s="1"/>
  <c r="BH46" i="3448" a="1"/>
  <c r="BH46" i="3448" s="1"/>
  <c r="AV46" i="3448" a="1"/>
  <c r="AV46" i="3448" s="1"/>
  <c r="AJ46" i="3448" a="1"/>
  <c r="AJ46" i="3448" s="1"/>
  <c r="X46" i="3448" a="1"/>
  <c r="X46" i="3448" s="1"/>
  <c r="Z46" i="3448" a="1"/>
  <c r="Z46" i="3448" s="1"/>
  <c r="AW46" i="3448" a="1"/>
  <c r="AW46" i="3448" s="1"/>
  <c r="J71" i="3448" a="1"/>
  <c r="J71" i="3448" s="1"/>
  <c r="M56" i="3523" s="1"/>
  <c r="BG73" i="3448" a="1"/>
  <c r="BG73" i="3448" s="1"/>
  <c r="AI17" i="3448" a="1"/>
  <c r="AI17" i="3448" s="1"/>
  <c r="AY17" i="3448" a="1"/>
  <c r="AY17" i="3448" s="1"/>
  <c r="AK41" i="3448" a="1"/>
  <c r="AK41" i="3448" s="1"/>
  <c r="AZ43" i="3448" a="1"/>
  <c r="AZ43" i="3448" s="1"/>
  <c r="L45" i="3448" a="1"/>
  <c r="L45" i="3448" s="1"/>
  <c r="BH45" i="3448" a="1"/>
  <c r="BH45" i="3448" s="1"/>
  <c r="AV45" i="3448" a="1"/>
  <c r="AV45" i="3448" s="1"/>
  <c r="AJ45" i="3448" a="1"/>
  <c r="AJ45" i="3448" s="1"/>
  <c r="X45" i="3448" a="1"/>
  <c r="X45" i="3448" s="1"/>
  <c r="K45" i="3448" a="1"/>
  <c r="K45" i="3448" s="1"/>
  <c r="BG45" i="3448" a="1"/>
  <c r="BG45" i="3448" s="1"/>
  <c r="AU45" i="3448" a="1"/>
  <c r="AU45" i="3448" s="1"/>
  <c r="AI45" i="3448" a="1"/>
  <c r="AI45" i="3448" s="1"/>
  <c r="W45" i="3448" a="1"/>
  <c r="W45" i="3448" s="1"/>
  <c r="J45" i="3448" a="1"/>
  <c r="J45" i="3448" s="1"/>
  <c r="BM45" i="3448" a="1"/>
  <c r="BM45" i="3448" s="1"/>
  <c r="BA45" i="3448" a="1"/>
  <c r="BA45" i="3448" s="1"/>
  <c r="AO45" i="3448" a="1"/>
  <c r="AO45" i="3448" s="1"/>
  <c r="AC45" i="3448" a="1"/>
  <c r="AC45" i="3448" s="1"/>
  <c r="Q45" i="3448" a="1"/>
  <c r="Q45" i="3448" s="1"/>
  <c r="BI45" i="3448" a="1"/>
  <c r="BI45" i="3448" s="1"/>
  <c r="AW45" i="3448" a="1"/>
  <c r="AW45" i="3448" s="1"/>
  <c r="AK45" i="3448" a="1"/>
  <c r="AK45" i="3448" s="1"/>
  <c r="Y45" i="3448" a="1"/>
  <c r="Y45" i="3448" s="1"/>
  <c r="Z45" i="3448" a="1"/>
  <c r="Z45" i="3448" s="1"/>
  <c r="AI48" i="3448" a="1"/>
  <c r="AI48" i="3448" s="1"/>
  <c r="AI56" i="3448" a="1"/>
  <c r="AI56" i="3448" s="1"/>
  <c r="BI56" i="3448" a="1"/>
  <c r="BI56" i="3448" s="1"/>
  <c r="AU57" i="3448" a="1"/>
  <c r="AU57" i="3448" s="1"/>
  <c r="D42" i="3523"/>
  <c r="BI59" i="3448" a="1"/>
  <c r="BI59" i="3448" s="1"/>
  <c r="AW59" i="3448" a="1"/>
  <c r="AW59" i="3448" s="1"/>
  <c r="AK59" i="3448" a="1"/>
  <c r="AK59" i="3448" s="1"/>
  <c r="Y59" i="3448" a="1"/>
  <c r="Y59" i="3448" s="1"/>
  <c r="BQ59" i="3448" a="1"/>
  <c r="BQ59" i="3448" s="1"/>
  <c r="BU59" i="3448" s="1" a="1"/>
  <c r="BU59" i="3448" s="1"/>
  <c r="BC59" i="3448" a="1"/>
  <c r="BC59" i="3448" s="1"/>
  <c r="AQ59" i="3448" a="1"/>
  <c r="AQ59" i="3448" s="1"/>
  <c r="AE59" i="3448" a="1"/>
  <c r="AE59" i="3448" s="1"/>
  <c r="S59" i="3448" a="1"/>
  <c r="S59" i="3448" s="1"/>
  <c r="E59" i="3448" a="1"/>
  <c r="E59" i="3448" s="1"/>
  <c r="G42" i="3523" s="1"/>
  <c r="AV59" i="3448" a="1"/>
  <c r="AV59" i="3448" s="1"/>
  <c r="AI59" i="3448" a="1"/>
  <c r="AI59" i="3448" s="1"/>
  <c r="V59" i="3448" a="1"/>
  <c r="V59" i="3448" s="1"/>
  <c r="BH59" i="3448" a="1"/>
  <c r="BH59" i="3448" s="1"/>
  <c r="AU59" i="3448" a="1"/>
  <c r="AU59" i="3448" s="1"/>
  <c r="AH59" i="3448" a="1"/>
  <c r="AH59" i="3448" s="1"/>
  <c r="U59" i="3448" a="1"/>
  <c r="U59" i="3448" s="1"/>
  <c r="BG59" i="3448" a="1"/>
  <c r="BG59" i="3448" s="1"/>
  <c r="AT59" i="3448" a="1"/>
  <c r="AT59" i="3448" s="1"/>
  <c r="AG59" i="3448" a="1"/>
  <c r="AG59" i="3448" s="1"/>
  <c r="T59" i="3448" a="1"/>
  <c r="T59" i="3448" s="1"/>
  <c r="D59" i="3448" a="1"/>
  <c r="D59" i="3448" s="1"/>
  <c r="BR59" i="3448" s="1" a="1"/>
  <c r="BR59" i="3448" s="1"/>
  <c r="BV59" i="3448" s="1" a="1"/>
  <c r="BV59" i="3448" s="1"/>
  <c r="R59" i="3448" a="1"/>
  <c r="R59" i="3448" s="1"/>
  <c r="BD59" i="3448" a="1"/>
  <c r="BD59" i="3448" s="1"/>
  <c r="AP59" i="3448" a="1"/>
  <c r="AP59" i="3448" s="1"/>
  <c r="AC59" i="3448" a="1"/>
  <c r="AC59" i="3448" s="1"/>
  <c r="P59" i="3448" a="1"/>
  <c r="P59" i="3448" s="1"/>
  <c r="BA59" i="3448" a="1"/>
  <c r="BA59" i="3448" s="1"/>
  <c r="AN59" i="3448" a="1"/>
  <c r="AN59" i="3448" s="1"/>
  <c r="AA59" i="3448" a="1"/>
  <c r="AA59" i="3448" s="1"/>
  <c r="N59" i="3448" a="1"/>
  <c r="N59" i="3448" s="1"/>
  <c r="AJ59" i="3448" a="1"/>
  <c r="AJ59" i="3448" s="1"/>
  <c r="W59" i="3448" a="1"/>
  <c r="W59" i="3448" s="1"/>
  <c r="BJ59" i="3448" a="1"/>
  <c r="BJ59" i="3448" s="1"/>
  <c r="I59" i="3448" a="1"/>
  <c r="I59" i="3448" s="1"/>
  <c r="E42" i="3523" s="1"/>
  <c r="F42" i="3523" s="1" a="1"/>
  <c r="F42" i="3523" s="1"/>
  <c r="AF59" i="3448" a="1"/>
  <c r="AF59" i="3448" s="1"/>
  <c r="BH73" i="3448" a="1"/>
  <c r="BH73" i="3448" s="1"/>
  <c r="T41" i="3448" a="1"/>
  <c r="T41" i="3448" s="1"/>
  <c r="K43" i="3448" a="1"/>
  <c r="K43" i="3448" s="1"/>
  <c r="AF43" i="3448" a="1"/>
  <c r="AF43" i="3448" s="1"/>
  <c r="AA46" i="3448" a="1"/>
  <c r="AA46" i="3448" s="1"/>
  <c r="AX46" i="3448" a="1"/>
  <c r="AX46" i="3448" s="1"/>
  <c r="AD71" i="3448" a="1"/>
  <c r="AD71" i="3448" s="1"/>
  <c r="D27" i="3523"/>
  <c r="BF17" i="3448" a="1"/>
  <c r="BF17" i="3448" s="1"/>
  <c r="AT17" i="3448" a="1"/>
  <c r="AT17" i="3448" s="1"/>
  <c r="AH17" i="3448" a="1"/>
  <c r="AH17" i="3448" s="1"/>
  <c r="V17" i="3448" a="1"/>
  <c r="V17" i="3448" s="1"/>
  <c r="I17" i="3448" a="1"/>
  <c r="I17" i="3448" s="1"/>
  <c r="E27" i="3523" s="1"/>
  <c r="BE17" i="3448" a="1"/>
  <c r="BE17" i="3448" s="1"/>
  <c r="AS17" i="3448" a="1"/>
  <c r="AS17" i="3448" s="1"/>
  <c r="AG17" i="3448" a="1"/>
  <c r="AG17" i="3448" s="1"/>
  <c r="U17" i="3448" a="1"/>
  <c r="U17" i="3448" s="1"/>
  <c r="BD17" i="3448" a="1"/>
  <c r="BD17" i="3448" s="1"/>
  <c r="AR17" i="3448" a="1"/>
  <c r="AR17" i="3448" s="1"/>
  <c r="AF17" i="3448" a="1"/>
  <c r="AF17" i="3448" s="1"/>
  <c r="T17" i="3448" a="1"/>
  <c r="T17" i="3448" s="1"/>
  <c r="BM17" i="3448" a="1"/>
  <c r="BM17" i="3448" s="1"/>
  <c r="BA17" i="3448" a="1"/>
  <c r="BA17" i="3448" s="1"/>
  <c r="AO17" i="3448" a="1"/>
  <c r="AO17" i="3448" s="1"/>
  <c r="AC17" i="3448" a="1"/>
  <c r="AC17" i="3448" s="1"/>
  <c r="Q17" i="3448" a="1"/>
  <c r="Q17" i="3448" s="1"/>
  <c r="BJ17" i="3448" a="1"/>
  <c r="BJ17" i="3448" s="1"/>
  <c r="AX17" i="3448" a="1"/>
  <c r="AX17" i="3448" s="1"/>
  <c r="AL17" i="3448" a="1"/>
  <c r="AL17" i="3448" s="1"/>
  <c r="Z17" i="3448" a="1"/>
  <c r="Z17" i="3448" s="1"/>
  <c r="N17" i="3448" a="1"/>
  <c r="N17" i="3448" s="1"/>
  <c r="S17" i="3448" a="1"/>
  <c r="S17" i="3448" s="1"/>
  <c r="AK17" i="3448" a="1"/>
  <c r="AK17" i="3448" s="1"/>
  <c r="BL41" i="3448" a="1"/>
  <c r="BL41" i="3448" s="1"/>
  <c r="AZ41" i="3448" a="1"/>
  <c r="AZ41" i="3448" s="1"/>
  <c r="AN41" i="3448" a="1"/>
  <c r="AN41" i="3448" s="1"/>
  <c r="AB41" i="3448" a="1"/>
  <c r="AB41" i="3448" s="1"/>
  <c r="P41" i="3448" a="1"/>
  <c r="P41" i="3448" s="1"/>
  <c r="BK41" i="3448" a="1"/>
  <c r="BK41" i="3448" s="1"/>
  <c r="AY41" i="3448" a="1"/>
  <c r="AY41" i="3448" s="1"/>
  <c r="AM41" i="3448" a="1"/>
  <c r="AM41" i="3448" s="1"/>
  <c r="AA41" i="3448" a="1"/>
  <c r="AA41" i="3448" s="1"/>
  <c r="O41" i="3448" a="1"/>
  <c r="O41" i="3448" s="1"/>
  <c r="K41" i="3448" a="1"/>
  <c r="K41" i="3448" s="1"/>
  <c r="BM41" i="3448" a="1"/>
  <c r="BM41" i="3448" s="1"/>
  <c r="BA41" i="3448" a="1"/>
  <c r="BA41" i="3448" s="1"/>
  <c r="AO41" i="3448" a="1"/>
  <c r="AO41" i="3448" s="1"/>
  <c r="AC41" i="3448" a="1"/>
  <c r="AC41" i="3448" s="1"/>
  <c r="Q41" i="3448" a="1"/>
  <c r="Q41" i="3448" s="1"/>
  <c r="V41" i="3448" a="1"/>
  <c r="V41" i="3448" s="1"/>
  <c r="BH41" i="3448" a="1"/>
  <c r="BH41" i="3448" s="1"/>
  <c r="AH43" i="3448" a="1"/>
  <c r="AH43" i="3448" s="1"/>
  <c r="BB43" i="3448" a="1"/>
  <c r="BB43" i="3448" s="1"/>
  <c r="D45" i="3523"/>
  <c r="BB62" i="3448" a="1"/>
  <c r="BB62" i="3448" s="1"/>
  <c r="AP62" i="3448" a="1"/>
  <c r="AP62" i="3448" s="1"/>
  <c r="AD62" i="3448" a="1"/>
  <c r="AD62" i="3448" s="1"/>
  <c r="R62" i="3448" a="1"/>
  <c r="R62" i="3448" s="1"/>
  <c r="D62" i="3448" a="1"/>
  <c r="D62" i="3448" s="1"/>
  <c r="BR62" i="3448" s="1" a="1"/>
  <c r="BR62" i="3448" s="1"/>
  <c r="BV62" i="3448" s="1" a="1"/>
  <c r="BV62" i="3448" s="1"/>
  <c r="BM62" i="3448" a="1"/>
  <c r="BM62" i="3448" s="1"/>
  <c r="BA62" i="3448" a="1"/>
  <c r="BA62" i="3448" s="1"/>
  <c r="AO62" i="3448" a="1"/>
  <c r="AO62" i="3448" s="1"/>
  <c r="AC62" i="3448" a="1"/>
  <c r="AC62" i="3448" s="1"/>
  <c r="Q62" i="3448" a="1"/>
  <c r="Q62" i="3448" s="1"/>
  <c r="BI62" i="3448" a="1"/>
  <c r="BI62" i="3448" s="1"/>
  <c r="AW62" i="3448" a="1"/>
  <c r="AW62" i="3448" s="1"/>
  <c r="AK62" i="3448" a="1"/>
  <c r="AK62" i="3448" s="1"/>
  <c r="Y62" i="3448" a="1"/>
  <c r="Y62" i="3448" s="1"/>
  <c r="AX62" i="3448" a="1"/>
  <c r="AX62" i="3448" s="1"/>
  <c r="AI62" i="3448" a="1"/>
  <c r="AI62" i="3448" s="1"/>
  <c r="BL62" i="3448" a="1"/>
  <c r="BL62" i="3448" s="1"/>
  <c r="AH62" i="3448" a="1"/>
  <c r="AH62" i="3448" s="1"/>
  <c r="BF62" i="3448" a="1"/>
  <c r="BF62" i="3448" s="1"/>
  <c r="Z62" i="3448" a="1"/>
  <c r="Z62" i="3448" s="1"/>
  <c r="I62" i="3448" a="1"/>
  <c r="I62" i="3448" s="1"/>
  <c r="E45" i="3523" s="1"/>
  <c r="F45" i="3523" s="1" a="1"/>
  <c r="F45" i="3523" s="1"/>
  <c r="BH62" i="3448" a="1"/>
  <c r="BH62" i="3448" s="1"/>
  <c r="AR62" i="3448" a="1"/>
  <c r="AR62" i="3448" s="1"/>
  <c r="AQ62" i="3448" a="1"/>
  <c r="AQ62" i="3448" s="1"/>
  <c r="BG62" i="3448" a="1"/>
  <c r="BG62" i="3448" s="1"/>
  <c r="X62" i="3448" a="1"/>
  <c r="X62" i="3448" s="1"/>
  <c r="AN62" i="3448" a="1"/>
  <c r="AN62" i="3448" s="1"/>
  <c r="W62" i="3448" a="1"/>
  <c r="W62" i="3448" s="1"/>
  <c r="E62" i="3448" a="1"/>
  <c r="E62" i="3448" s="1"/>
  <c r="G45" i="3523" s="1"/>
  <c r="AM62" i="3448" a="1"/>
  <c r="AM62" i="3448" s="1"/>
  <c r="V62" i="3448" a="1"/>
  <c r="V62" i="3448" s="1"/>
  <c r="U62" i="3448" a="1"/>
  <c r="U62" i="3448" s="1"/>
  <c r="BC62" i="3448" a="1"/>
  <c r="BC62" i="3448" s="1"/>
  <c r="T62" i="3448" a="1"/>
  <c r="T62" i="3448" s="1"/>
  <c r="AJ62" i="3448" a="1"/>
  <c r="AJ62" i="3448" s="1"/>
  <c r="S62" i="3448" a="1"/>
  <c r="S62" i="3448" s="1"/>
  <c r="AY62" i="3448" a="1"/>
  <c r="AY62" i="3448" s="1"/>
  <c r="AG62" i="3448" a="1"/>
  <c r="AG62" i="3448" s="1"/>
  <c r="O62" i="3448" a="1"/>
  <c r="O62" i="3448" s="1"/>
  <c r="BJ62" i="3448" a="1"/>
  <c r="BJ62" i="3448" s="1"/>
  <c r="AB62" i="3448" a="1"/>
  <c r="AB62" i="3448" s="1"/>
  <c r="J62" i="3448" a="1"/>
  <c r="J62" i="3448" s="1"/>
  <c r="M45" i="3523" s="1"/>
  <c r="AS62" i="3448" a="1"/>
  <c r="AS62" i="3448" s="1"/>
  <c r="AA62" i="3448" a="1"/>
  <c r="AA62" i="3448" s="1"/>
  <c r="D22" i="3523"/>
  <c r="BH13" i="3448" a="1"/>
  <c r="BH13" i="3448" s="1"/>
  <c r="BH8" i="3448" s="1"/>
  <c r="AV13" i="3448" a="1"/>
  <c r="AV13" i="3448" s="1"/>
  <c r="AV8" i="3448" s="1"/>
  <c r="AJ13" i="3448" a="1"/>
  <c r="AJ13" i="3448" s="1"/>
  <c r="AJ8" i="3448" s="1"/>
  <c r="X13" i="3448" a="1"/>
  <c r="X13" i="3448" s="1"/>
  <c r="X8" i="3448" s="1"/>
  <c r="K13" i="3448" a="1"/>
  <c r="K13" i="3448" s="1"/>
  <c r="BG13" i="3448" a="1"/>
  <c r="BG13" i="3448" s="1"/>
  <c r="BG8" i="3448" s="1"/>
  <c r="AU13" i="3448" a="1"/>
  <c r="AU13" i="3448" s="1"/>
  <c r="AU8" i="3448" s="1"/>
  <c r="AI13" i="3448" a="1"/>
  <c r="AI13" i="3448" s="1"/>
  <c r="AI8" i="3448" s="1"/>
  <c r="W13" i="3448" a="1"/>
  <c r="W13" i="3448" s="1"/>
  <c r="W8" i="3448" s="1"/>
  <c r="J13" i="3448" a="1"/>
  <c r="J13" i="3448" s="1"/>
  <c r="M22" i="3523" s="1"/>
  <c r="BF13" i="3448" a="1"/>
  <c r="BF13" i="3448" s="1"/>
  <c r="BF8" i="3448" s="1"/>
  <c r="AT13" i="3448" a="1"/>
  <c r="AT13" i="3448" s="1"/>
  <c r="AT8" i="3448" s="1"/>
  <c r="AH13" i="3448" a="1"/>
  <c r="AH13" i="3448" s="1"/>
  <c r="AH8" i="3448" s="1"/>
  <c r="V13" i="3448" a="1"/>
  <c r="V13" i="3448" s="1"/>
  <c r="V8" i="3448" s="1"/>
  <c r="BQ13" i="3448" a="1"/>
  <c r="BQ13" i="3448" s="1"/>
  <c r="BU13" i="3448" s="1" a="1"/>
  <c r="BU13" i="3448" s="1"/>
  <c r="BC13" i="3448" a="1"/>
  <c r="BC13" i="3448" s="1"/>
  <c r="BC8" i="3448" s="1"/>
  <c r="AQ13" i="3448" a="1"/>
  <c r="AQ13" i="3448" s="1"/>
  <c r="AQ8" i="3448" s="1"/>
  <c r="AE13" i="3448" a="1"/>
  <c r="AE13" i="3448" s="1"/>
  <c r="AE8" i="3448" s="1"/>
  <c r="S13" i="3448" a="1"/>
  <c r="S13" i="3448" s="1"/>
  <c r="S8" i="3448" s="1"/>
  <c r="BL13" i="3448" a="1"/>
  <c r="BL13" i="3448" s="1"/>
  <c r="BL8" i="3448" s="1"/>
  <c r="AZ13" i="3448" a="1"/>
  <c r="AZ13" i="3448" s="1"/>
  <c r="AZ8" i="3448" s="1"/>
  <c r="AN13" i="3448" a="1"/>
  <c r="AN13" i="3448" s="1"/>
  <c r="AN8" i="3448" s="1"/>
  <c r="AB13" i="3448" a="1"/>
  <c r="AB13" i="3448" s="1"/>
  <c r="AB8" i="3448" s="1"/>
  <c r="P13" i="3448" a="1"/>
  <c r="P13" i="3448" s="1"/>
  <c r="BB17" i="3448" a="1"/>
  <c r="BB17" i="3448" s="1"/>
  <c r="D41" i="3448" a="1"/>
  <c r="D41" i="3448" s="1"/>
  <c r="AQ41" i="3448" a="1"/>
  <c r="AQ41" i="3448" s="1"/>
  <c r="T42" i="3448" a="1"/>
  <c r="T42" i="3448" s="1"/>
  <c r="AK42" i="3448" a="1"/>
  <c r="AK42" i="3448" s="1"/>
  <c r="Q43" i="3448" a="1"/>
  <c r="Q43" i="3448" s="1"/>
  <c r="BC43" i="3448" a="1"/>
  <c r="BC43" i="3448" s="1"/>
  <c r="AE46" i="3448" a="1"/>
  <c r="AE46" i="3448" s="1"/>
  <c r="BA46" i="3448" a="1"/>
  <c r="BA46" i="3448" s="1"/>
  <c r="W50" i="3448" a="1"/>
  <c r="W50" i="3448" s="1"/>
  <c r="AT50" i="3448" a="1"/>
  <c r="AT50" i="3448" s="1"/>
  <c r="P56" i="3448" a="1"/>
  <c r="P56" i="3448" s="1"/>
  <c r="AP56" i="3448" a="1"/>
  <c r="AP56" i="3448" s="1"/>
  <c r="AA57" i="3448" a="1"/>
  <c r="AA57" i="3448" s="1"/>
  <c r="BB57" i="3448" a="1"/>
  <c r="BB57" i="3448" s="1"/>
  <c r="J59" i="3448" a="1"/>
  <c r="J59" i="3448" s="1"/>
  <c r="M42" i="3523" s="1"/>
  <c r="AM59" i="3448" a="1"/>
  <c r="AM59" i="3448" s="1"/>
  <c r="AU62" i="3448" a="1"/>
  <c r="AU62" i="3448" s="1"/>
  <c r="AR64" i="3448" a="1"/>
  <c r="AR64" i="3448" s="1"/>
  <c r="AM71" i="3448" a="1"/>
  <c r="AM71" i="3448" s="1"/>
  <c r="U13" i="3448" a="1"/>
  <c r="U13" i="3448" s="1"/>
  <c r="U8" i="3448" s="1"/>
  <c r="AM13" i="3448" a="1"/>
  <c r="AM13" i="3448" s="1"/>
  <c r="AM8" i="3448" s="1"/>
  <c r="BB21" i="3448" a="1"/>
  <c r="BB21" i="3448" s="1"/>
  <c r="AP21" i="3448" a="1"/>
  <c r="AP21" i="3448" s="1"/>
  <c r="AD21" i="3448" a="1"/>
  <c r="AD21" i="3448" s="1"/>
  <c r="R21" i="3448" a="1"/>
  <c r="R21" i="3448" s="1"/>
  <c r="D21" i="3448" a="1"/>
  <c r="D21" i="3448" s="1"/>
  <c r="E21" i="3448" s="1" a="1"/>
  <c r="E21" i="3448" s="1"/>
  <c r="BM21" i="3448" a="1"/>
  <c r="BM21" i="3448" s="1"/>
  <c r="BA21" i="3448" a="1"/>
  <c r="BA21" i="3448" s="1"/>
  <c r="AO21" i="3448" a="1"/>
  <c r="AO21" i="3448" s="1"/>
  <c r="AC21" i="3448" a="1"/>
  <c r="AC21" i="3448" s="1"/>
  <c r="Q21" i="3448" a="1"/>
  <c r="Q21" i="3448" s="1"/>
  <c r="BL21" i="3448" a="1"/>
  <c r="BL21" i="3448" s="1"/>
  <c r="AZ21" i="3448" a="1"/>
  <c r="AZ21" i="3448" s="1"/>
  <c r="AN21" i="3448" a="1"/>
  <c r="AN21" i="3448" s="1"/>
  <c r="AB21" i="3448" a="1"/>
  <c r="AB21" i="3448" s="1"/>
  <c r="P21" i="3448" a="1"/>
  <c r="P21" i="3448" s="1"/>
  <c r="BI21" i="3448" a="1"/>
  <c r="BI21" i="3448" s="1"/>
  <c r="AW21" i="3448" a="1"/>
  <c r="AW21" i="3448" s="1"/>
  <c r="AK21" i="3448" a="1"/>
  <c r="AK21" i="3448" s="1"/>
  <c r="Y21" i="3448" a="1"/>
  <c r="Y21" i="3448" s="1"/>
  <c r="M21" i="3448"/>
  <c r="BF21" i="3448" a="1"/>
  <c r="BF21" i="3448" s="1"/>
  <c r="AT21" i="3448" a="1"/>
  <c r="AT21" i="3448" s="1"/>
  <c r="AH21" i="3448" a="1"/>
  <c r="AH21" i="3448" s="1"/>
  <c r="V21" i="3448" a="1"/>
  <c r="V21" i="3448" s="1"/>
  <c r="BC21" i="3448" a="1"/>
  <c r="BC21" i="3448" s="1"/>
  <c r="AQ21" i="3448" a="1"/>
  <c r="AQ21" i="3448" s="1"/>
  <c r="AE21" i="3448" a="1"/>
  <c r="AE21" i="3448" s="1"/>
  <c r="S21" i="3448" a="1"/>
  <c r="S21" i="3448" s="1"/>
  <c r="W21" i="3448" a="1"/>
  <c r="W21" i="3448" s="1"/>
  <c r="BG21" i="3448" a="1"/>
  <c r="BG21" i="3448" s="1"/>
  <c r="T26" i="3448" a="1"/>
  <c r="T26" i="3448" s="1"/>
  <c r="BD26" i="3448" a="1"/>
  <c r="BD26" i="3448" s="1"/>
  <c r="S28" i="3448" a="1"/>
  <c r="S28" i="3448" s="1"/>
  <c r="W41" i="3448" a="1"/>
  <c r="W41" i="3448" s="1"/>
  <c r="BI41" i="3448" a="1"/>
  <c r="BI41" i="3448" s="1"/>
  <c r="AO42" i="3448" a="1"/>
  <c r="AO42" i="3448" s="1"/>
  <c r="BF42" i="3448" a="1"/>
  <c r="BF42" i="3448" s="1"/>
  <c r="AI43" i="3448" a="1"/>
  <c r="AI43" i="3448" s="1"/>
  <c r="AD45" i="3448" a="1"/>
  <c r="AD45" i="3448" s="1"/>
  <c r="AY45" i="3448" a="1"/>
  <c r="AY45" i="3448" s="1"/>
  <c r="Q48" i="3448" a="1"/>
  <c r="Q48" i="3448" s="1"/>
  <c r="AM48" i="3448" a="1"/>
  <c r="AM48" i="3448" s="1"/>
  <c r="BI48" i="3448" a="1"/>
  <c r="BI48" i="3448" s="1"/>
  <c r="D43" i="3523"/>
  <c r="BB60" i="3448" a="1"/>
  <c r="BB60" i="3448" s="1"/>
  <c r="BJ60" i="3448" a="1"/>
  <c r="BJ60" i="3448" s="1"/>
  <c r="BC60" i="3448" a="1"/>
  <c r="BC60" i="3448" s="1"/>
  <c r="BQ60" i="3448" a="1"/>
  <c r="BQ60" i="3448" s="1"/>
  <c r="BU60" i="3448" s="1" a="1"/>
  <c r="BU60" i="3448" s="1"/>
  <c r="BI60" i="3448" a="1"/>
  <c r="BI60" i="3448" s="1"/>
  <c r="L60" i="3448" a="1"/>
  <c r="L60" i="3448" s="1"/>
  <c r="AW60" i="3448" a="1"/>
  <c r="AW60" i="3448" s="1"/>
  <c r="AI60" i="3448" a="1"/>
  <c r="AI60" i="3448" s="1"/>
  <c r="BK60" i="3448" a="1"/>
  <c r="BK60" i="3448" s="1"/>
  <c r="AV60" i="3448" a="1"/>
  <c r="AV60" i="3448" s="1"/>
  <c r="U60" i="3448" a="1"/>
  <c r="U60" i="3448" s="1"/>
  <c r="AH60" i="3448" a="1"/>
  <c r="AH60" i="3448" s="1"/>
  <c r="E60" i="3448" a="1"/>
  <c r="E60" i="3448" s="1"/>
  <c r="G43" i="3523" s="1"/>
  <c r="AU60" i="3448" a="1"/>
  <c r="AU60" i="3448" s="1"/>
  <c r="T60" i="3448" a="1"/>
  <c r="T60" i="3448" s="1"/>
  <c r="D60" i="3448" a="1"/>
  <c r="D60" i="3448" s="1"/>
  <c r="BR60" i="3448" s="1" a="1"/>
  <c r="BR60" i="3448" s="1"/>
  <c r="BV60" i="3448" s="1" a="1"/>
  <c r="BV60" i="3448" s="1"/>
  <c r="AG60" i="3448" a="1"/>
  <c r="AG60" i="3448" s="1"/>
  <c r="BH60" i="3448" a="1"/>
  <c r="BH60" i="3448" s="1"/>
  <c r="AT60" i="3448" a="1"/>
  <c r="AT60" i="3448" s="1"/>
  <c r="S60" i="3448" a="1"/>
  <c r="S60" i="3448" s="1"/>
  <c r="BG60" i="3448" a="1"/>
  <c r="BG60" i="3448" s="1"/>
  <c r="AS60" i="3448" a="1"/>
  <c r="AS60" i="3448" s="1"/>
  <c r="Q60" i="3448" a="1"/>
  <c r="Q60" i="3448" s="1"/>
  <c r="AC60" i="3448" a="1"/>
  <c r="AC60" i="3448" s="1"/>
  <c r="BE60" i="3448" a="1"/>
  <c r="BE60" i="3448" s="1"/>
  <c r="AQ60" i="3448" a="1"/>
  <c r="AQ60" i="3448" s="1"/>
  <c r="O60" i="3448" a="1"/>
  <c r="O60" i="3448" s="1"/>
  <c r="AP60" i="3448" a="1"/>
  <c r="AP60" i="3448" s="1"/>
  <c r="AB60" i="3448" a="1"/>
  <c r="AB60" i="3448" s="1"/>
  <c r="AN60" i="3448" a="1"/>
  <c r="AN60" i="3448" s="1"/>
  <c r="BA60" i="3448" a="1"/>
  <c r="BA60" i="3448" s="1"/>
  <c r="Z60" i="3448" a="1"/>
  <c r="Z60" i="3448" s="1"/>
  <c r="AX60" i="3448" a="1"/>
  <c r="AX60" i="3448" s="1"/>
  <c r="AJ60" i="3448" a="1"/>
  <c r="AJ60" i="3448" s="1"/>
  <c r="BL60" i="3448" a="1"/>
  <c r="BL60" i="3448" s="1"/>
  <c r="V60" i="3448" a="1"/>
  <c r="V60" i="3448" s="1"/>
  <c r="AK60" i="3448" a="1"/>
  <c r="AK60" i="3448" s="1"/>
  <c r="AX64" i="3448" a="1"/>
  <c r="AX64" i="3448" s="1"/>
  <c r="BF71" i="3448" a="1"/>
  <c r="BF71" i="3448" s="1"/>
  <c r="S69" i="3523"/>
  <c r="BD13" i="3448" a="1"/>
  <c r="BD13" i="3448" s="1"/>
  <c r="BD8" i="3448" s="1"/>
  <c r="D17" i="3448" a="1"/>
  <c r="D17" i="3448" s="1"/>
  <c r="W17" i="3448" a="1"/>
  <c r="W17" i="3448" s="1"/>
  <c r="AM17" i="3448" a="1"/>
  <c r="AM17" i="3448" s="1"/>
  <c r="BC17" i="3448" a="1"/>
  <c r="BC17" i="3448" s="1"/>
  <c r="AN26" i="3448" a="1"/>
  <c r="AN26" i="3448" s="1"/>
  <c r="BF28" i="3448" a="1"/>
  <c r="BF28" i="3448" s="1"/>
  <c r="AT28" i="3448" a="1"/>
  <c r="AT28" i="3448" s="1"/>
  <c r="AH28" i="3448" a="1"/>
  <c r="AH28" i="3448" s="1"/>
  <c r="V28" i="3448" a="1"/>
  <c r="V28" i="3448" s="1"/>
  <c r="I28" i="3448" a="1"/>
  <c r="I28" i="3448" s="1"/>
  <c r="BE28" i="3448" a="1"/>
  <c r="BE28" i="3448" s="1"/>
  <c r="AS28" i="3448" a="1"/>
  <c r="AS28" i="3448" s="1"/>
  <c r="AG28" i="3448" a="1"/>
  <c r="AG28" i="3448" s="1"/>
  <c r="U28" i="3448" a="1"/>
  <c r="U28" i="3448" s="1"/>
  <c r="BD28" i="3448" a="1"/>
  <c r="BD28" i="3448" s="1"/>
  <c r="AR28" i="3448" a="1"/>
  <c r="AR28" i="3448" s="1"/>
  <c r="AF28" i="3448" a="1"/>
  <c r="AF28" i="3448" s="1"/>
  <c r="T28" i="3448" a="1"/>
  <c r="T28" i="3448" s="1"/>
  <c r="BM28" i="3448" a="1"/>
  <c r="BM28" i="3448" s="1"/>
  <c r="BA28" i="3448" a="1"/>
  <c r="BA28" i="3448" s="1"/>
  <c r="AO28" i="3448" a="1"/>
  <c r="AO28" i="3448" s="1"/>
  <c r="AC28" i="3448" a="1"/>
  <c r="AC28" i="3448" s="1"/>
  <c r="Q28" i="3448" a="1"/>
  <c r="Q28" i="3448" s="1"/>
  <c r="BJ28" i="3448" a="1"/>
  <c r="BJ28" i="3448" s="1"/>
  <c r="AX28" i="3448" a="1"/>
  <c r="AX28" i="3448" s="1"/>
  <c r="AL28" i="3448" a="1"/>
  <c r="AL28" i="3448" s="1"/>
  <c r="Z28" i="3448" a="1"/>
  <c r="Z28" i="3448" s="1"/>
  <c r="N28" i="3448" a="1"/>
  <c r="N28" i="3448" s="1"/>
  <c r="BG28" i="3448" a="1"/>
  <c r="BG28" i="3448" s="1"/>
  <c r="AU28" i="3448" a="1"/>
  <c r="AU28" i="3448" s="1"/>
  <c r="AI28" i="3448" a="1"/>
  <c r="AI28" i="3448" s="1"/>
  <c r="W28" i="3448" a="1"/>
  <c r="W28" i="3448" s="1"/>
  <c r="AM28" i="3448" a="1"/>
  <c r="AM28" i="3448" s="1"/>
  <c r="E41" i="3448" a="1"/>
  <c r="E41" i="3448" s="1"/>
  <c r="X41" i="3448" a="1"/>
  <c r="X41" i="3448" s="1"/>
  <c r="AR41" i="3448" a="1"/>
  <c r="AR41" i="3448" s="1"/>
  <c r="U42" i="3448" a="1"/>
  <c r="U42" i="3448" s="1"/>
  <c r="BG42" i="3448" a="1"/>
  <c r="BG42" i="3448" s="1"/>
  <c r="R43" i="3448" a="1"/>
  <c r="R43" i="3448" s="1"/>
  <c r="BD43" i="3448" a="1"/>
  <c r="BD43" i="3448" s="1"/>
  <c r="AF46" i="3448" a="1"/>
  <c r="AF46" i="3448" s="1"/>
  <c r="BC46" i="3448" a="1"/>
  <c r="BC46" i="3448" s="1"/>
  <c r="Y50" i="3448" a="1"/>
  <c r="Y50" i="3448" s="1"/>
  <c r="AU50" i="3448" a="1"/>
  <c r="AU50" i="3448" s="1"/>
  <c r="R56" i="3448" a="1"/>
  <c r="R56" i="3448" s="1"/>
  <c r="AR56" i="3448" a="1"/>
  <c r="AR56" i="3448" s="1"/>
  <c r="AB57" i="3448" a="1"/>
  <c r="AB57" i="3448" s="1"/>
  <c r="K59" i="3448" a="1"/>
  <c r="K59" i="3448" s="1"/>
  <c r="S42" i="3523" s="1"/>
  <c r="AO59" i="3448" a="1"/>
  <c r="AO59" i="3448" s="1"/>
  <c r="AV62" i="3448" a="1"/>
  <c r="AV62" i="3448" s="1"/>
  <c r="AR61" i="3448" a="1"/>
  <c r="AR61" i="3448" s="1"/>
  <c r="AO67" i="3448" a="1"/>
  <c r="AO67" i="3448" s="1"/>
  <c r="AP72" i="3448" a="1"/>
  <c r="AP72" i="3448" s="1"/>
  <c r="D65" i="3523"/>
  <c r="BQ76" i="3448" a="1"/>
  <c r="BQ76" i="3448" s="1"/>
  <c r="BU76" i="3448" s="1" a="1"/>
  <c r="BU76" i="3448" s="1"/>
  <c r="BM76" i="3448" a="1"/>
  <c r="BM76" i="3448" s="1"/>
  <c r="BA76" i="3448" a="1"/>
  <c r="BA76" i="3448" s="1"/>
  <c r="AO76" i="3448" a="1"/>
  <c r="AO76" i="3448" s="1"/>
  <c r="AC76" i="3448" a="1"/>
  <c r="AC76" i="3448" s="1"/>
  <c r="Q76" i="3448" a="1"/>
  <c r="Q76" i="3448" s="1"/>
  <c r="AD76" i="3448" a="1"/>
  <c r="AD76" i="3448" s="1"/>
  <c r="BD76" i="3448" a="1"/>
  <c r="BD76" i="3448" s="1"/>
  <c r="AQ76" i="3448" a="1"/>
  <c r="AQ76" i="3448" s="1"/>
  <c r="P76" i="3448" a="1"/>
  <c r="P76" i="3448" s="1"/>
  <c r="AP76" i="3448" a="1"/>
  <c r="AP76" i="3448" s="1"/>
  <c r="BC76" i="3448" a="1"/>
  <c r="BC76" i="3448" s="1"/>
  <c r="AB76" i="3448" a="1"/>
  <c r="AB76" i="3448" s="1"/>
  <c r="O76" i="3448" a="1"/>
  <c r="O76" i="3448" s="1"/>
  <c r="L76" i="3448" a="1"/>
  <c r="L76" i="3448" s="1"/>
  <c r="BK76" i="3448" a="1"/>
  <c r="BK76" i="3448" s="1"/>
  <c r="AX76" i="3448" a="1"/>
  <c r="AX76" i="3448" s="1"/>
  <c r="AK76" i="3448" a="1"/>
  <c r="AK76" i="3448" s="1"/>
  <c r="X76" i="3448" a="1"/>
  <c r="X76" i="3448" s="1"/>
  <c r="I76" i="3448" a="1"/>
  <c r="I76" i="3448" s="1"/>
  <c r="E65" i="3523" s="1"/>
  <c r="F65" i="3523" s="1" a="1"/>
  <c r="F65" i="3523" s="1"/>
  <c r="AU76" i="3448" a="1"/>
  <c r="AU76" i="3448" s="1"/>
  <c r="BL76" i="3448" a="1"/>
  <c r="BL76" i="3448" s="1"/>
  <c r="AA76" i="3448" a="1"/>
  <c r="AA76" i="3448" s="1"/>
  <c r="Z76" i="3448" a="1"/>
  <c r="Z76" i="3448" s="1"/>
  <c r="AM76" i="3448" a="1"/>
  <c r="AM76" i="3448" s="1"/>
  <c r="U76" i="3448" a="1"/>
  <c r="U76" i="3448" s="1"/>
  <c r="T76" i="3448" a="1"/>
  <c r="T76" i="3448" s="1"/>
  <c r="BE76" i="3448" a="1"/>
  <c r="BE76" i="3448" s="1"/>
  <c r="BB76" i="3448" a="1"/>
  <c r="BB76" i="3448" s="1"/>
  <c r="AJ76" i="3448" a="1"/>
  <c r="AJ76" i="3448" s="1"/>
  <c r="S76" i="3448" a="1"/>
  <c r="S76" i="3448" s="1"/>
  <c r="AI76" i="3448" a="1"/>
  <c r="AI76" i="3448" s="1"/>
  <c r="R76" i="3448" a="1"/>
  <c r="R76" i="3448" s="1"/>
  <c r="AZ76" i="3448" a="1"/>
  <c r="AZ76" i="3448" s="1"/>
  <c r="AH76" i="3448" a="1"/>
  <c r="AH76" i="3448" s="1"/>
  <c r="AG76" i="3448" a="1"/>
  <c r="AG76" i="3448" s="1"/>
  <c r="AF76" i="3448" a="1"/>
  <c r="AF76" i="3448" s="1"/>
  <c r="BJ76" i="3448" a="1"/>
  <c r="BJ76" i="3448" s="1"/>
  <c r="AE77" i="3448" a="1"/>
  <c r="AE77" i="3448" s="1"/>
  <c r="BI77" i="3448" a="1"/>
  <c r="BI77" i="3448" s="1"/>
  <c r="L61" i="3448" a="1"/>
  <c r="L61" i="3448" s="1"/>
  <c r="BJ61" i="3448" a="1"/>
  <c r="BJ61" i="3448" s="1"/>
  <c r="Q70" i="3448" a="1"/>
  <c r="Q70" i="3448" s="1"/>
  <c r="AQ70" i="3448" a="1"/>
  <c r="AQ70" i="3448" s="1"/>
  <c r="D66" i="3523"/>
  <c r="L77" i="3448" a="1"/>
  <c r="L77" i="3448" s="1"/>
  <c r="BH77" i="3448" a="1"/>
  <c r="BH77" i="3448" s="1"/>
  <c r="AV77" i="3448" a="1"/>
  <c r="AV77" i="3448" s="1"/>
  <c r="AJ77" i="3448" a="1"/>
  <c r="AJ77" i="3448" s="1"/>
  <c r="X77" i="3448" a="1"/>
  <c r="X77" i="3448" s="1"/>
  <c r="J77" i="3448" a="1"/>
  <c r="J77" i="3448" s="1"/>
  <c r="M66" i="3523" s="1"/>
  <c r="AR77" i="3448" a="1"/>
  <c r="AR77" i="3448" s="1"/>
  <c r="Q77" i="3448" a="1"/>
  <c r="Q77" i="3448" s="1"/>
  <c r="BE77" i="3448" a="1"/>
  <c r="BE77" i="3448" s="1"/>
  <c r="AD77" i="3448" a="1"/>
  <c r="AD77" i="3448" s="1"/>
  <c r="AQ77" i="3448" a="1"/>
  <c r="AQ77" i="3448" s="1"/>
  <c r="P77" i="3448" a="1"/>
  <c r="P77" i="3448" s="1"/>
  <c r="BD77" i="3448" a="1"/>
  <c r="BD77" i="3448" s="1"/>
  <c r="AC77" i="3448" a="1"/>
  <c r="AC77" i="3448" s="1"/>
  <c r="BQ77" i="3448" a="1"/>
  <c r="BQ77" i="3448" s="1"/>
  <c r="BU77" i="3448" s="1" a="1"/>
  <c r="BU77" i="3448" s="1"/>
  <c r="AN77" i="3448" a="1"/>
  <c r="AN77" i="3448" s="1"/>
  <c r="AZ77" i="3448" a="1"/>
  <c r="AZ77" i="3448" s="1"/>
  <c r="Y77" i="3448" a="1"/>
  <c r="Y77" i="3448" s="1"/>
  <c r="BL77" i="3448" a="1"/>
  <c r="BL77" i="3448" s="1"/>
  <c r="AK77" i="3448" a="1"/>
  <c r="AK77" i="3448" s="1"/>
  <c r="V77" i="3448" a="1"/>
  <c r="V77" i="3448" s="1"/>
  <c r="BC77" i="3448" a="1"/>
  <c r="BC77" i="3448" s="1"/>
  <c r="R77" i="3448" a="1"/>
  <c r="R77" i="3448" s="1"/>
  <c r="BB77" i="3448" a="1"/>
  <c r="BB77" i="3448" s="1"/>
  <c r="AH77" i="3448" a="1"/>
  <c r="AH77" i="3448" s="1"/>
  <c r="O77" i="3448" a="1"/>
  <c r="O77" i="3448" s="1"/>
  <c r="AW77" i="3448" a="1"/>
  <c r="AW77" i="3448" s="1"/>
  <c r="AU77" i="3448" a="1"/>
  <c r="AU77" i="3448" s="1"/>
  <c r="BM77" i="3448" a="1"/>
  <c r="BM77" i="3448" s="1"/>
  <c r="AT77" i="3448" a="1"/>
  <c r="AT77" i="3448" s="1"/>
  <c r="AA77" i="3448" a="1"/>
  <c r="AA77" i="3448" s="1"/>
  <c r="Z77" i="3448" a="1"/>
  <c r="Z77" i="3448" s="1"/>
  <c r="E77" i="3448" a="1"/>
  <c r="E77" i="3448" s="1"/>
  <c r="G66" i="3523" s="1"/>
  <c r="AS77" i="3448" a="1"/>
  <c r="AS77" i="3448" s="1"/>
  <c r="AP77" i="3448" a="1"/>
  <c r="AP77" i="3448" s="1"/>
  <c r="W77" i="3448" a="1"/>
  <c r="W77" i="3448" s="1"/>
  <c r="AO77" i="3448" a="1"/>
  <c r="AO77" i="3448" s="1"/>
  <c r="U77" i="3448" a="1"/>
  <c r="U77" i="3448" s="1"/>
  <c r="AI77" i="3448" a="1"/>
  <c r="AI77" i="3448" s="1"/>
  <c r="D68" i="3523"/>
  <c r="K79" i="3448" a="1"/>
  <c r="K79" i="3448" s="1"/>
  <c r="S68" i="3523" s="1"/>
  <c r="BG79" i="3448" a="1"/>
  <c r="BG79" i="3448" s="1"/>
  <c r="AU79" i="3448" a="1"/>
  <c r="AU79" i="3448" s="1"/>
  <c r="AI79" i="3448" a="1"/>
  <c r="AI79" i="3448" s="1"/>
  <c r="W79" i="3448" a="1"/>
  <c r="W79" i="3448" s="1"/>
  <c r="I79" i="3448" a="1"/>
  <c r="I79" i="3448" s="1"/>
  <c r="E68" i="3523" s="1"/>
  <c r="F68" i="3523" s="1" a="1"/>
  <c r="F68" i="3523" s="1"/>
  <c r="AW79" i="3448" a="1"/>
  <c r="AW79" i="3448" s="1"/>
  <c r="E79" i="3448" a="1"/>
  <c r="E79" i="3448" s="1"/>
  <c r="G68" i="3523" s="1"/>
  <c r="BJ79" i="3448" a="1"/>
  <c r="BJ79" i="3448" s="1"/>
  <c r="AH79" i="3448" a="1"/>
  <c r="AH79" i="3448" s="1"/>
  <c r="T79" i="3448" a="1"/>
  <c r="T79" i="3448" s="1"/>
  <c r="AV79" i="3448" a="1"/>
  <c r="AV79" i="3448" s="1"/>
  <c r="AG79" i="3448" a="1"/>
  <c r="AG79" i="3448" s="1"/>
  <c r="D79" i="3448" a="1"/>
  <c r="D79" i="3448" s="1"/>
  <c r="BR79" i="3448" s="1" a="1"/>
  <c r="BR79" i="3448" s="1"/>
  <c r="BV79" i="3448" s="1" a="1"/>
  <c r="BV79" i="3448" s="1"/>
  <c r="BI79" i="3448" a="1"/>
  <c r="BI79" i="3448" s="1"/>
  <c r="S79" i="3448" a="1"/>
  <c r="S79" i="3448" s="1"/>
  <c r="BE79" i="3448" a="1"/>
  <c r="BE79" i="3448" s="1"/>
  <c r="AD79" i="3448" a="1"/>
  <c r="AD79" i="3448" s="1"/>
  <c r="AP79" i="3448" a="1"/>
  <c r="AP79" i="3448" s="1"/>
  <c r="O79" i="3448" a="1"/>
  <c r="O79" i="3448" s="1"/>
  <c r="BB79" i="3448" a="1"/>
  <c r="BB79" i="3448" s="1"/>
  <c r="AA79" i="3448" a="1"/>
  <c r="AA79" i="3448" s="1"/>
  <c r="BF79" i="3448" a="1"/>
  <c r="BF79" i="3448" s="1"/>
  <c r="AM79" i="3448" a="1"/>
  <c r="AM79" i="3448" s="1"/>
  <c r="R79" i="3448" a="1"/>
  <c r="R79" i="3448" s="1"/>
  <c r="BD79" i="3448" a="1"/>
  <c r="BD79" i="3448" s="1"/>
  <c r="AL79" i="3448" a="1"/>
  <c r="AL79" i="3448" s="1"/>
  <c r="BC79" i="3448" a="1"/>
  <c r="BC79" i="3448" s="1"/>
  <c r="Q79" i="3448" a="1"/>
  <c r="Q79" i="3448" s="1"/>
  <c r="BA79" i="3448" a="1"/>
  <c r="BA79" i="3448" s="1"/>
  <c r="AJ79" i="3448" a="1"/>
  <c r="AJ79" i="3448" s="1"/>
  <c r="AY79" i="3448" a="1"/>
  <c r="AY79" i="3448" s="1"/>
  <c r="BQ79" i="3448" a="1"/>
  <c r="BQ79" i="3448" s="1"/>
  <c r="BU79" i="3448" s="1" a="1"/>
  <c r="BU79" i="3448" s="1"/>
  <c r="AX79" i="3448" a="1"/>
  <c r="AX79" i="3448" s="1"/>
  <c r="AC79" i="3448" a="1"/>
  <c r="AC79" i="3448" s="1"/>
  <c r="AB79" i="3448" a="1"/>
  <c r="AB79" i="3448" s="1"/>
  <c r="AT79" i="3448" a="1"/>
  <c r="AT79" i="3448" s="1"/>
  <c r="AS79" i="3448" a="1"/>
  <c r="AS79" i="3448" s="1"/>
  <c r="AR79" i="3448" a="1"/>
  <c r="AR79" i="3448" s="1"/>
  <c r="BK79" i="3448" a="1"/>
  <c r="BK79" i="3448" s="1"/>
  <c r="AN79" i="3448" a="1"/>
  <c r="AN79" i="3448" s="1"/>
  <c r="AF61" i="3448" a="1"/>
  <c r="AF61" i="3448" s="1"/>
  <c r="AW61" i="3448" a="1"/>
  <c r="AW61" i="3448" s="1"/>
  <c r="AX67" i="3448" a="1"/>
  <c r="AX67" i="3448" s="1"/>
  <c r="X70" i="3448" a="1"/>
  <c r="X70" i="3448" s="1"/>
  <c r="V72" i="3448" a="1"/>
  <c r="V72" i="3448" s="1"/>
  <c r="D77" i="3448" a="1"/>
  <c r="D77" i="3448" s="1"/>
  <c r="BR77" i="3448" s="1" a="1"/>
  <c r="BR77" i="3448" s="1"/>
  <c r="BV77" i="3448" s="1" a="1"/>
  <c r="BV77" i="3448" s="1"/>
  <c r="AL77" i="3448" a="1"/>
  <c r="AL77" i="3448" s="1"/>
  <c r="AO79" i="3448" a="1"/>
  <c r="AO79" i="3448" s="1"/>
  <c r="AA70" i="3448" a="1"/>
  <c r="AA70" i="3448" s="1"/>
  <c r="AM77" i="3448" a="1"/>
  <c r="AM77" i="3448" s="1"/>
  <c r="I77" i="3448" a="1"/>
  <c r="I77" i="3448" s="1"/>
  <c r="E66" i="3523" s="1"/>
  <c r="F66" i="3523" s="1" a="1"/>
  <c r="F66" i="3523" s="1"/>
  <c r="D44" i="3523"/>
  <c r="BH61" i="3448" a="1"/>
  <c r="BH61" i="3448" s="1"/>
  <c r="AV61" i="3448" a="1"/>
  <c r="AV61" i="3448" s="1"/>
  <c r="AJ61" i="3448" a="1"/>
  <c r="AJ61" i="3448" s="1"/>
  <c r="K61" i="3448" a="1"/>
  <c r="K61" i="3448" s="1"/>
  <c r="BE61" i="3448" a="1"/>
  <c r="BE61" i="3448" s="1"/>
  <c r="AS61" i="3448" a="1"/>
  <c r="AS61" i="3448" s="1"/>
  <c r="AG61" i="3448" a="1"/>
  <c r="AG61" i="3448" s="1"/>
  <c r="U61" i="3448" a="1"/>
  <c r="U61" i="3448" s="1"/>
  <c r="AP61" i="3448" a="1"/>
  <c r="AP61" i="3448" s="1"/>
  <c r="AB61" i="3448" a="1"/>
  <c r="AB61" i="3448" s="1"/>
  <c r="BC61" i="3448" a="1"/>
  <c r="BC61" i="3448" s="1"/>
  <c r="AO61" i="3448" a="1"/>
  <c r="AO61" i="3448" s="1"/>
  <c r="AA61" i="3448" a="1"/>
  <c r="AA61" i="3448" s="1"/>
  <c r="AX61" i="3448" a="1"/>
  <c r="AX61" i="3448" s="1"/>
  <c r="AI61" i="3448" a="1"/>
  <c r="AI61" i="3448" s="1"/>
  <c r="J79" i="3448" a="1"/>
  <c r="J79" i="3448" s="1"/>
  <c r="M68" i="3523" s="1"/>
  <c r="S61" i="3448" a="1"/>
  <c r="S61" i="3448" s="1"/>
  <c r="AZ61" i="3448" a="1"/>
  <c r="AZ61" i="3448" s="1"/>
  <c r="D52" i="3523"/>
  <c r="BF67" i="3448" a="1"/>
  <c r="BF67" i="3448" s="1"/>
  <c r="AT67" i="3448" a="1"/>
  <c r="AT67" i="3448" s="1"/>
  <c r="AH67" i="3448" a="1"/>
  <c r="AH67" i="3448" s="1"/>
  <c r="V67" i="3448" a="1"/>
  <c r="V67" i="3448" s="1"/>
  <c r="I67" i="3448" a="1"/>
  <c r="I67" i="3448" s="1"/>
  <c r="E52" i="3523" s="1"/>
  <c r="F52" i="3523" s="1" a="1"/>
  <c r="F52" i="3523" s="1"/>
  <c r="BE67" i="3448" a="1"/>
  <c r="BE67" i="3448" s="1"/>
  <c r="AS67" i="3448" a="1"/>
  <c r="AS67" i="3448" s="1"/>
  <c r="AG67" i="3448" a="1"/>
  <c r="AG67" i="3448" s="1"/>
  <c r="U67" i="3448" a="1"/>
  <c r="U67" i="3448" s="1"/>
  <c r="BB67" i="3448" a="1"/>
  <c r="BB67" i="3448" s="1"/>
  <c r="AP67" i="3448" a="1"/>
  <c r="AP67" i="3448" s="1"/>
  <c r="AD67" i="3448" a="1"/>
  <c r="AD67" i="3448" s="1"/>
  <c r="R67" i="3448" a="1"/>
  <c r="R67" i="3448" s="1"/>
  <c r="D67" i="3448" a="1"/>
  <c r="D67" i="3448" s="1"/>
  <c r="BR67" i="3448" s="1" a="1"/>
  <c r="BR67" i="3448" s="1"/>
  <c r="BV67" i="3448" s="1" a="1"/>
  <c r="BV67" i="3448" s="1"/>
  <c r="BD67" i="3448" a="1"/>
  <c r="BD67" i="3448" s="1"/>
  <c r="AN67" i="3448" a="1"/>
  <c r="AN67" i="3448" s="1"/>
  <c r="Y67" i="3448" a="1"/>
  <c r="Y67" i="3448" s="1"/>
  <c r="BC67" i="3448" a="1"/>
  <c r="BC67" i="3448" s="1"/>
  <c r="AM67" i="3448" a="1"/>
  <c r="AM67" i="3448" s="1"/>
  <c r="X67" i="3448" a="1"/>
  <c r="X67" i="3448" s="1"/>
  <c r="BM67" i="3448" a="1"/>
  <c r="BM67" i="3448" s="1"/>
  <c r="Q67" i="3448" a="1"/>
  <c r="Q67" i="3448" s="1"/>
  <c r="BL67" i="3448" a="1"/>
  <c r="BL67" i="3448" s="1"/>
  <c r="AW67" i="3448" a="1"/>
  <c r="AW67" i="3448" s="1"/>
  <c r="AF67" i="3448" a="1"/>
  <c r="AF67" i="3448" s="1"/>
  <c r="P67" i="3448" a="1"/>
  <c r="P67" i="3448" s="1"/>
  <c r="BK67" i="3448" a="1"/>
  <c r="BK67" i="3448" s="1"/>
  <c r="AV67" i="3448" a="1"/>
  <c r="AV67" i="3448" s="1"/>
  <c r="AE67" i="3448" a="1"/>
  <c r="AE67" i="3448" s="1"/>
  <c r="O67" i="3448" a="1"/>
  <c r="O67" i="3448" s="1"/>
  <c r="BJ67" i="3448" a="1"/>
  <c r="BJ67" i="3448" s="1"/>
  <c r="AU67" i="3448" a="1"/>
  <c r="AU67" i="3448" s="1"/>
  <c r="N67" i="3448" a="1"/>
  <c r="N67" i="3448" s="1"/>
  <c r="BI67" i="3448" a="1"/>
  <c r="BI67" i="3448" s="1"/>
  <c r="AR67" i="3448" a="1"/>
  <c r="AR67" i="3448" s="1"/>
  <c r="AB67" i="3448" a="1"/>
  <c r="AB67" i="3448" s="1"/>
  <c r="AA67" i="3448" a="1"/>
  <c r="AA67" i="3448" s="1"/>
  <c r="D55" i="3523"/>
  <c r="BJ70" i="3448" a="1"/>
  <c r="BJ70" i="3448" s="1"/>
  <c r="AX70" i="3448" a="1"/>
  <c r="AX70" i="3448" s="1"/>
  <c r="AL70" i="3448" a="1"/>
  <c r="AL70" i="3448" s="1"/>
  <c r="Z70" i="3448" a="1"/>
  <c r="Z70" i="3448" s="1"/>
  <c r="N70" i="3448" a="1"/>
  <c r="N70" i="3448" s="1"/>
  <c r="BI70" i="3448" a="1"/>
  <c r="BI70" i="3448" s="1"/>
  <c r="AW70" i="3448" a="1"/>
  <c r="AW70" i="3448" s="1"/>
  <c r="AK70" i="3448" a="1"/>
  <c r="AK70" i="3448" s="1"/>
  <c r="Y70" i="3448" a="1"/>
  <c r="Y70" i="3448" s="1"/>
  <c r="J70" i="3448" a="1"/>
  <c r="J70" i="3448" s="1"/>
  <c r="M55" i="3523" s="1"/>
  <c r="BE70" i="3448" a="1"/>
  <c r="BE70" i="3448" s="1"/>
  <c r="AS70" i="3448" a="1"/>
  <c r="AS70" i="3448" s="1"/>
  <c r="AG70" i="3448" a="1"/>
  <c r="AG70" i="3448" s="1"/>
  <c r="U70" i="3448" a="1"/>
  <c r="U70" i="3448" s="1"/>
  <c r="BL70" i="3448" a="1"/>
  <c r="BL70" i="3448" s="1"/>
  <c r="AU70" i="3448" a="1"/>
  <c r="AU70" i="3448" s="1"/>
  <c r="AE70" i="3448" a="1"/>
  <c r="AE70" i="3448" s="1"/>
  <c r="P70" i="3448" a="1"/>
  <c r="P70" i="3448" s="1"/>
  <c r="BK70" i="3448" a="1"/>
  <c r="BK70" i="3448" s="1"/>
  <c r="AD70" i="3448" a="1"/>
  <c r="AD70" i="3448" s="1"/>
  <c r="O70" i="3448" a="1"/>
  <c r="O70" i="3448" s="1"/>
  <c r="BC70" i="3448" a="1"/>
  <c r="BC70" i="3448" s="1"/>
  <c r="AN70" i="3448" a="1"/>
  <c r="AN70" i="3448" s="1"/>
  <c r="W70" i="3448" a="1"/>
  <c r="W70" i="3448" s="1"/>
  <c r="E70" i="3448" a="1"/>
  <c r="E70" i="3448" s="1"/>
  <c r="G55" i="3523" s="1"/>
  <c r="V70" i="3448" a="1"/>
  <c r="V70" i="3448" s="1"/>
  <c r="BB70" i="3448" a="1"/>
  <c r="BB70" i="3448" s="1"/>
  <c r="AM70" i="3448" a="1"/>
  <c r="AM70" i="3448" s="1"/>
  <c r="D70" i="3448" a="1"/>
  <c r="D70" i="3448" s="1"/>
  <c r="BR70" i="3448" s="1" a="1"/>
  <c r="BR70" i="3448" s="1"/>
  <c r="BV70" i="3448" s="1" a="1"/>
  <c r="BV70" i="3448" s="1"/>
  <c r="BA70" i="3448" a="1"/>
  <c r="BA70" i="3448" s="1"/>
  <c r="AJ70" i="3448" a="1"/>
  <c r="AJ70" i="3448" s="1"/>
  <c r="T70" i="3448" a="1"/>
  <c r="T70" i="3448" s="1"/>
  <c r="BQ70" i="3448" a="1"/>
  <c r="BQ70" i="3448" s="1"/>
  <c r="BU70" i="3448" s="1" a="1"/>
  <c r="BU70" i="3448" s="1"/>
  <c r="AZ70" i="3448" a="1"/>
  <c r="AZ70" i="3448" s="1"/>
  <c r="AI70" i="3448" a="1"/>
  <c r="AI70" i="3448" s="1"/>
  <c r="S70" i="3448" a="1"/>
  <c r="S70" i="3448" s="1"/>
  <c r="AC70" i="3448" a="1"/>
  <c r="AC70" i="3448" s="1"/>
  <c r="BD70" i="3448" a="1"/>
  <c r="BD70" i="3448" s="1"/>
  <c r="D59" i="3523"/>
  <c r="BI72" i="3448" a="1"/>
  <c r="BI72" i="3448" s="1"/>
  <c r="AW72" i="3448" a="1"/>
  <c r="AW72" i="3448" s="1"/>
  <c r="AK72" i="3448" a="1"/>
  <c r="AK72" i="3448" s="1"/>
  <c r="Y72" i="3448" a="1"/>
  <c r="Y72" i="3448" s="1"/>
  <c r="L72" i="3448" a="1"/>
  <c r="L72" i="3448" s="1"/>
  <c r="BH72" i="3448" a="1"/>
  <c r="BH72" i="3448" s="1"/>
  <c r="AV72" i="3448" a="1"/>
  <c r="AV72" i="3448" s="1"/>
  <c r="AJ72" i="3448" a="1"/>
  <c r="AJ72" i="3448" s="1"/>
  <c r="X72" i="3448" a="1"/>
  <c r="X72" i="3448" s="1"/>
  <c r="I72" i="3448" a="1"/>
  <c r="I72" i="3448" s="1"/>
  <c r="E59" i="3523" s="1"/>
  <c r="F59" i="3523" s="1" a="1"/>
  <c r="F59" i="3523" s="1"/>
  <c r="BD72" i="3448" a="1"/>
  <c r="BD72" i="3448" s="1"/>
  <c r="AR72" i="3448" a="1"/>
  <c r="AR72" i="3448" s="1"/>
  <c r="AF72" i="3448" a="1"/>
  <c r="AF72" i="3448" s="1"/>
  <c r="T72" i="3448" a="1"/>
  <c r="T72" i="3448" s="1"/>
  <c r="BE72" i="3448" a="1"/>
  <c r="BE72" i="3448" s="1"/>
  <c r="AO72" i="3448" a="1"/>
  <c r="AO72" i="3448" s="1"/>
  <c r="Z72" i="3448" a="1"/>
  <c r="Z72" i="3448" s="1"/>
  <c r="BC72" i="3448" a="1"/>
  <c r="BC72" i="3448" s="1"/>
  <c r="AN72" i="3448" a="1"/>
  <c r="AN72" i="3448" s="1"/>
  <c r="W72" i="3448" a="1"/>
  <c r="W72" i="3448" s="1"/>
  <c r="AG72" i="3448" a="1"/>
  <c r="AG72" i="3448" s="1"/>
  <c r="BM72" i="3448" a="1"/>
  <c r="BM72" i="3448" s="1"/>
  <c r="AX72" i="3448" a="1"/>
  <c r="AX72" i="3448" s="1"/>
  <c r="Q72" i="3448" a="1"/>
  <c r="Q72" i="3448" s="1"/>
  <c r="BL72" i="3448" a="1"/>
  <c r="BL72" i="3448" s="1"/>
  <c r="AU72" i="3448" a="1"/>
  <c r="AU72" i="3448" s="1"/>
  <c r="AE72" i="3448" a="1"/>
  <c r="AE72" i="3448" s="1"/>
  <c r="P72" i="3448" a="1"/>
  <c r="P72" i="3448" s="1"/>
  <c r="BK72" i="3448" a="1"/>
  <c r="BK72" i="3448" s="1"/>
  <c r="AT72" i="3448" a="1"/>
  <c r="AT72" i="3448" s="1"/>
  <c r="AD72" i="3448" a="1"/>
  <c r="AD72" i="3448" s="1"/>
  <c r="O72" i="3448" a="1"/>
  <c r="O72" i="3448" s="1"/>
  <c r="BJ72" i="3448" a="1"/>
  <c r="BJ72" i="3448" s="1"/>
  <c r="AC72" i="3448" a="1"/>
  <c r="AC72" i="3448" s="1"/>
  <c r="N72" i="3448" a="1"/>
  <c r="N72" i="3448" s="1"/>
  <c r="AB72" i="3448" a="1"/>
  <c r="AB72" i="3448" s="1"/>
  <c r="K77" i="3448" a="1"/>
  <c r="K77" i="3448" s="1"/>
  <c r="S66" i="3523" s="1"/>
  <c r="L79" i="3448" a="1"/>
  <c r="L79" i="3448" s="1"/>
  <c r="S72" i="3523"/>
  <c r="T61" i="3448" a="1"/>
  <c r="T61" i="3448" s="1"/>
  <c r="AK61" i="3448" a="1"/>
  <c r="AK61" i="3448" s="1"/>
  <c r="D61" i="3523"/>
  <c r="L74" i="3448" a="1"/>
  <c r="L74" i="3448" s="1"/>
  <c r="BH74" i="3448" a="1"/>
  <c r="BH74" i="3448" s="1"/>
  <c r="AV74" i="3448" a="1"/>
  <c r="AV74" i="3448" s="1"/>
  <c r="AJ74" i="3448" a="1"/>
  <c r="AJ74" i="3448" s="1"/>
  <c r="X74" i="3448" a="1"/>
  <c r="X74" i="3448" s="1"/>
  <c r="K74" i="3448" a="1"/>
  <c r="K74" i="3448" s="1"/>
  <c r="S61" i="3523" s="1"/>
  <c r="BG74" i="3448" a="1"/>
  <c r="BG74" i="3448" s="1"/>
  <c r="AU74" i="3448" a="1"/>
  <c r="AU74" i="3448" s="1"/>
  <c r="AI74" i="3448" a="1"/>
  <c r="AI74" i="3448" s="1"/>
  <c r="W74" i="3448" a="1"/>
  <c r="W74" i="3448" s="1"/>
  <c r="BQ74" i="3448" a="1"/>
  <c r="BQ74" i="3448" s="1"/>
  <c r="BU74" i="3448" s="1" a="1"/>
  <c r="BU74" i="3448" s="1"/>
  <c r="BC74" i="3448" a="1"/>
  <c r="BC74" i="3448" s="1"/>
  <c r="AQ74" i="3448" a="1"/>
  <c r="AQ74" i="3448" s="1"/>
  <c r="AE74" i="3448" a="1"/>
  <c r="AE74" i="3448" s="1"/>
  <c r="S74" i="3448" a="1"/>
  <c r="S74" i="3448" s="1"/>
  <c r="E74" i="3448" a="1"/>
  <c r="E74" i="3448" s="1"/>
  <c r="G61" i="3523" s="1"/>
  <c r="BB74" i="3448" a="1"/>
  <c r="BB74" i="3448" s="1"/>
  <c r="AL74" i="3448" a="1"/>
  <c r="AL74" i="3448" s="1"/>
  <c r="T74" i="3448" a="1"/>
  <c r="T74" i="3448" s="1"/>
  <c r="BA74" i="3448" a="1"/>
  <c r="BA74" i="3448" s="1"/>
  <c r="AZ74" i="3448" a="1"/>
  <c r="AZ74" i="3448" s="1"/>
  <c r="R74" i="3448" a="1"/>
  <c r="R74" i="3448" s="1"/>
  <c r="BL74" i="3448" a="1"/>
  <c r="BL74" i="3448" s="1"/>
  <c r="AD74" i="3448" a="1"/>
  <c r="AD74" i="3448" s="1"/>
  <c r="N74" i="3448" a="1"/>
  <c r="N74" i="3448" s="1"/>
  <c r="BK74" i="3448" a="1"/>
  <c r="BK74" i="3448" s="1"/>
  <c r="AS74" i="3448" a="1"/>
  <c r="AS74" i="3448" s="1"/>
  <c r="AB74" i="3448" a="1"/>
  <c r="AB74" i="3448" s="1"/>
  <c r="J74" i="3448" a="1"/>
  <c r="J74" i="3448" s="1"/>
  <c r="M61" i="3523" s="1"/>
  <c r="BJ74" i="3448" a="1"/>
  <c r="BJ74" i="3448" s="1"/>
  <c r="AR74" i="3448" a="1"/>
  <c r="AR74" i="3448" s="1"/>
  <c r="AA74" i="3448" a="1"/>
  <c r="AA74" i="3448" s="1"/>
  <c r="I74" i="3448" a="1"/>
  <c r="I74" i="3448" s="1"/>
  <c r="E61" i="3523" s="1"/>
  <c r="F61" i="3523" s="1" a="1"/>
  <c r="F61" i="3523" s="1"/>
  <c r="AP74" i="3448" a="1"/>
  <c r="AP74" i="3448" s="1"/>
  <c r="Z74" i="3448" a="1"/>
  <c r="Z74" i="3448" s="1"/>
  <c r="Y74" i="3448" a="1"/>
  <c r="Y74" i="3448" s="1"/>
  <c r="AF74" i="3448" a="1"/>
  <c r="AF74" i="3448" s="1"/>
  <c r="BI74" i="3448" a="1"/>
  <c r="BI74" i="3448" s="1"/>
  <c r="AV76" i="3448" a="1"/>
  <c r="AV76" i="3448" s="1"/>
  <c r="AZ79" i="3448" a="1"/>
  <c r="AZ79" i="3448" s="1"/>
  <c r="S71" i="3523"/>
  <c r="N77" i="3448" a="1"/>
  <c r="N77" i="3448" s="1"/>
  <c r="N79" i="3448" a="1"/>
  <c r="N79" i="3448" s="1"/>
  <c r="AX77" i="3448" a="1"/>
  <c r="AX77" i="3448" s="1"/>
  <c r="E61" i="3448" a="1"/>
  <c r="E61" i="3448" s="1"/>
  <c r="G44" i="3523" s="1"/>
  <c r="BB61" i="3448" a="1"/>
  <c r="BB61" i="3448" s="1"/>
  <c r="BG72" i="3448" a="1"/>
  <c r="BG72" i="3448" s="1"/>
  <c r="AY77" i="3448" a="1"/>
  <c r="AY77" i="3448" s="1"/>
  <c r="P79" i="3448" a="1"/>
  <c r="P79" i="3448" s="1"/>
  <c r="S77" i="3448" a="1"/>
  <c r="S77" i="3448" s="1"/>
  <c r="U79" i="3448" a="1"/>
  <c r="U79" i="3448" s="1"/>
  <c r="BH79" i="3448" a="1"/>
  <c r="BH79" i="3448" s="1"/>
  <c r="X61" i="3448" a="1"/>
  <c r="X61" i="3448" s="1"/>
  <c r="BD61" i="3448" a="1"/>
  <c r="BD61" i="3448" s="1"/>
  <c r="J67" i="3448" a="1"/>
  <c r="J67" i="3448" s="1"/>
  <c r="M52" i="3523" s="1"/>
  <c r="BH67" i="3448" a="1"/>
  <c r="BH67" i="3448" s="1"/>
  <c r="BF76" i="3448" a="1"/>
  <c r="BF76" i="3448" s="1"/>
  <c r="V79" i="3448" a="1"/>
  <c r="V79" i="3448" s="1"/>
  <c r="O22" i="3448" a="1"/>
  <c r="O22" i="3448" s="1"/>
  <c r="AA22" i="3448" a="1"/>
  <c r="AA22" i="3448" s="1"/>
  <c r="AM22" i="3448" a="1"/>
  <c r="AM22" i="3448" s="1"/>
  <c r="AY22" i="3448" a="1"/>
  <c r="AY22" i="3448" s="1"/>
  <c r="BK22" i="3448" a="1"/>
  <c r="BK22" i="3448" s="1"/>
  <c r="AN61" i="3448" a="1"/>
  <c r="AN61" i="3448" s="1"/>
  <c r="AK67" i="3448" a="1"/>
  <c r="AK67" i="3448" s="1"/>
  <c r="D54" i="3523"/>
  <c r="BE69" i="3448" a="1"/>
  <c r="BE69" i="3448" s="1"/>
  <c r="AS69" i="3448" a="1"/>
  <c r="AS69" i="3448" s="1"/>
  <c r="AG69" i="3448" a="1"/>
  <c r="AG69" i="3448" s="1"/>
  <c r="U69" i="3448" a="1"/>
  <c r="U69" i="3448" s="1"/>
  <c r="BD69" i="3448" a="1"/>
  <c r="BD69" i="3448" s="1"/>
  <c r="AR69" i="3448" a="1"/>
  <c r="AR69" i="3448" s="1"/>
  <c r="AF69" i="3448" a="1"/>
  <c r="AF69" i="3448" s="1"/>
  <c r="T69" i="3448" a="1"/>
  <c r="T69" i="3448" s="1"/>
  <c r="BM69" i="3448" a="1"/>
  <c r="BM69" i="3448" s="1"/>
  <c r="BA69" i="3448" a="1"/>
  <c r="BA69" i="3448" s="1"/>
  <c r="AO69" i="3448" a="1"/>
  <c r="AO69" i="3448" s="1"/>
  <c r="AC69" i="3448" a="1"/>
  <c r="AC69" i="3448" s="1"/>
  <c r="Q69" i="3448" a="1"/>
  <c r="Q69" i="3448" s="1"/>
  <c r="BL69" i="3448" a="1"/>
  <c r="BL69" i="3448" s="1"/>
  <c r="P69" i="3448" a="1"/>
  <c r="P69" i="3448" s="1"/>
  <c r="BH69" i="3448" a="1"/>
  <c r="BH69" i="3448" s="1"/>
  <c r="AQ69" i="3448" a="1"/>
  <c r="AQ69" i="3448" s="1"/>
  <c r="AA69" i="3448" a="1"/>
  <c r="AA69" i="3448" s="1"/>
  <c r="BG69" i="3448" a="1"/>
  <c r="BG69" i="3448" s="1"/>
  <c r="AP69" i="3448" a="1"/>
  <c r="AP69" i="3448" s="1"/>
  <c r="Z69" i="3448" a="1"/>
  <c r="Z69" i="3448" s="1"/>
  <c r="J69" i="3448" a="1"/>
  <c r="J69" i="3448" s="1"/>
  <c r="M54" i="3523" s="1"/>
  <c r="BF69" i="3448" a="1"/>
  <c r="BF69" i="3448" s="1"/>
  <c r="Y69" i="3448" a="1"/>
  <c r="Y69" i="3448" s="1"/>
  <c r="AN69" i="3448" a="1"/>
  <c r="AN69" i="3448" s="1"/>
  <c r="I69" i="3448" a="1"/>
  <c r="I69" i="3448" s="1"/>
  <c r="E54" i="3523" s="1"/>
  <c r="F54" i="3523" s="1" a="1"/>
  <c r="F54" i="3523" s="1"/>
  <c r="AZ69" i="3448" a="1"/>
  <c r="AZ69" i="3448" s="1"/>
  <c r="AH70" i="3448" a="1"/>
  <c r="AH70" i="3448" s="1"/>
  <c r="AL72" i="3448" a="1"/>
  <c r="AL72" i="3448" s="1"/>
  <c r="AM74" i="3448" a="1"/>
  <c r="AM74" i="3448" s="1"/>
  <c r="BG76" i="3448" a="1"/>
  <c r="BG76" i="3448" s="1"/>
  <c r="T77" i="3448" a="1"/>
  <c r="T77" i="3448" s="1"/>
  <c r="BA77" i="3448" a="1"/>
  <c r="BA77" i="3448" s="1"/>
  <c r="BL79" i="3448" a="1"/>
  <c r="BL79" i="3448" s="1"/>
  <c r="D73" i="3523"/>
  <c r="BK84" i="3448" a="1"/>
  <c r="BK84" i="3448" s="1"/>
  <c r="AY84" i="3448" a="1"/>
  <c r="AY84" i="3448" s="1"/>
  <c r="AM84" i="3448" a="1"/>
  <c r="AM84" i="3448" s="1"/>
  <c r="AA84" i="3448" a="1"/>
  <c r="AA84" i="3448" s="1"/>
  <c r="O84" i="3448" a="1"/>
  <c r="O84" i="3448" s="1"/>
  <c r="BI84" i="3448" a="1"/>
  <c r="BI84" i="3448" s="1"/>
  <c r="AW84" i="3448" a="1"/>
  <c r="AW84" i="3448" s="1"/>
  <c r="AK84" i="3448" a="1"/>
  <c r="AK84" i="3448" s="1"/>
  <c r="Y84" i="3448" a="1"/>
  <c r="Y84" i="3448" s="1"/>
  <c r="BE84" i="3448" a="1"/>
  <c r="BE84" i="3448" s="1"/>
  <c r="AP84" i="3448" a="1"/>
  <c r="AP84" i="3448" s="1"/>
  <c r="AB84" i="3448" a="1"/>
  <c r="AB84" i="3448" s="1"/>
  <c r="L84" i="3448" a="1"/>
  <c r="L84" i="3448" s="1"/>
  <c r="BD84" i="3448" a="1"/>
  <c r="BD84" i="3448" s="1"/>
  <c r="BC84" i="3448" a="1"/>
  <c r="BC84" i="3448" s="1"/>
  <c r="AO84" i="3448" a="1"/>
  <c r="AO84" i="3448" s="1"/>
  <c r="Z84" i="3448" a="1"/>
  <c r="Z84" i="3448" s="1"/>
  <c r="K84" i="3448" a="1"/>
  <c r="K84" i="3448" s="1"/>
  <c r="S73" i="3523" s="1"/>
  <c r="W84" i="3448" a="1"/>
  <c r="W84" i="3448" s="1"/>
  <c r="BM84" i="3448" a="1"/>
  <c r="BM84" i="3448" s="1"/>
  <c r="AX84" i="3448" a="1"/>
  <c r="AX84" i="3448" s="1"/>
  <c r="E84" i="3448" a="1"/>
  <c r="E84" i="3448" s="1"/>
  <c r="G73" i="3523" s="1"/>
  <c r="BL84" i="3448" a="1"/>
  <c r="BL84" i="3448" s="1"/>
  <c r="AV84" i="3448" a="1"/>
  <c r="AV84" i="3448" s="1"/>
  <c r="AH84" i="3448" a="1"/>
  <c r="AH84" i="3448" s="1"/>
  <c r="T84" i="3448" a="1"/>
  <c r="T84" i="3448" s="1"/>
  <c r="BF84" i="3448" a="1"/>
  <c r="BF84" i="3448" s="1"/>
  <c r="AR84" i="3448" a="1"/>
  <c r="AR84" i="3448" s="1"/>
  <c r="AQ84" i="3448" a="1"/>
  <c r="AQ84" i="3448" s="1"/>
  <c r="AC84" i="3448" a="1"/>
  <c r="AC84" i="3448" s="1"/>
  <c r="N84" i="3448" a="1"/>
  <c r="N84" i="3448" s="1"/>
  <c r="BQ84" i="3448" a="1"/>
  <c r="BQ84" i="3448" s="1"/>
  <c r="BU84" i="3448" s="1" a="1"/>
  <c r="BU84" i="3448" s="1"/>
  <c r="S84" i="3448" a="1"/>
  <c r="S84" i="3448" s="1"/>
  <c r="AN84" i="3448" a="1"/>
  <c r="AN84" i="3448" s="1"/>
  <c r="R84" i="3448" a="1"/>
  <c r="R84" i="3448" s="1"/>
  <c r="BJ84" i="3448" a="1"/>
  <c r="BJ84" i="3448" s="1"/>
  <c r="AL84" i="3448" a="1"/>
  <c r="AL84" i="3448" s="1"/>
  <c r="Q84" i="3448" a="1"/>
  <c r="Q84" i="3448" s="1"/>
  <c r="AJ84" i="3448" a="1"/>
  <c r="AJ84" i="3448" s="1"/>
  <c r="P84" i="3448" a="1"/>
  <c r="P84" i="3448" s="1"/>
  <c r="BH84" i="3448" a="1"/>
  <c r="BH84" i="3448" s="1"/>
  <c r="AI84" i="3448" a="1"/>
  <c r="AI84" i="3448" s="1"/>
  <c r="J84" i="3448" a="1"/>
  <c r="J84" i="3448" s="1"/>
  <c r="M73" i="3523" s="1"/>
  <c r="BG84" i="3448" a="1"/>
  <c r="BG84" i="3448" s="1"/>
  <c r="AG84" i="3448" a="1"/>
  <c r="AG84" i="3448" s="1"/>
  <c r="I84" i="3448" a="1"/>
  <c r="I84" i="3448" s="1"/>
  <c r="E73" i="3523" s="1"/>
  <c r="F73" i="3523" s="1" a="1"/>
  <c r="F73" i="3523" s="1"/>
  <c r="BB84" i="3448" a="1"/>
  <c r="BB84" i="3448" s="1"/>
  <c r="AF84" i="3448" a="1"/>
  <c r="AF84" i="3448" s="1"/>
  <c r="AE84" i="3448" a="1"/>
  <c r="AE84" i="3448" s="1"/>
  <c r="BA84" i="3448" a="1"/>
  <c r="BA84" i="3448" s="1"/>
  <c r="D84" i="3448" a="1"/>
  <c r="D84" i="3448" s="1"/>
  <c r="BR84" i="3448" s="1" a="1"/>
  <c r="BR84" i="3448" s="1"/>
  <c r="BV84" i="3448" s="1" a="1"/>
  <c r="BV84" i="3448" s="1"/>
  <c r="AZ84" i="3448" a="1"/>
  <c r="AZ84" i="3448" s="1"/>
  <c r="AD84" i="3448" a="1"/>
  <c r="AD84" i="3448" s="1"/>
  <c r="AU84" i="3448" a="1"/>
  <c r="AU84" i="3448" s="1"/>
  <c r="P14" i="3448" a="1"/>
  <c r="P14" i="3448" s="1"/>
  <c r="AB14" i="3448" a="1"/>
  <c r="AB14" i="3448" s="1"/>
  <c r="AN14" i="3448" a="1"/>
  <c r="AN14" i="3448" s="1"/>
  <c r="AZ14" i="3448" a="1"/>
  <c r="AZ14" i="3448" s="1"/>
  <c r="BL14" i="3448" a="1"/>
  <c r="BL14" i="3448" s="1"/>
  <c r="I61" i="3448" a="1"/>
  <c r="I61" i="3448" s="1"/>
  <c r="E44" i="3523" s="1"/>
  <c r="F44" i="3523" s="1" a="1"/>
  <c r="F44" i="3523" s="1"/>
  <c r="Y61" i="3448" a="1"/>
  <c r="Y61" i="3448" s="1"/>
  <c r="BF61" i="3448" a="1"/>
  <c r="BF61" i="3448" s="1"/>
  <c r="K67" i="3448" a="1"/>
  <c r="K67" i="3448" s="1"/>
  <c r="S52" i="3523" s="1"/>
  <c r="K70" i="3448" a="1"/>
  <c r="K70" i="3448" s="1"/>
  <c r="S55" i="3523" s="1"/>
  <c r="BM70" i="3448" a="1"/>
  <c r="BM70" i="3448" s="1"/>
  <c r="Y76" i="3448" a="1"/>
  <c r="Y76" i="3448" s="1"/>
  <c r="X79" i="3448" a="1"/>
  <c r="X79" i="3448" s="1"/>
  <c r="BM79" i="3448" a="1"/>
  <c r="BM79" i="3448" s="1"/>
  <c r="H24" i="3523" a="1"/>
  <c r="H24" i="3523" s="1"/>
  <c r="F24" i="3523" a="1"/>
  <c r="F24" i="3523" s="1"/>
  <c r="L24" i="3523" s="1" a="1"/>
  <c r="L24" i="3523" s="1"/>
  <c r="AL67" i="3448" a="1"/>
  <c r="AL67" i="3448" s="1"/>
  <c r="J72" i="3448" a="1"/>
  <c r="J72" i="3448" s="1"/>
  <c r="M59" i="3523" s="1"/>
  <c r="AM72" i="3448" a="1"/>
  <c r="AM72" i="3448" s="1"/>
  <c r="BQ72" i="3448" a="1"/>
  <c r="BQ72" i="3448" s="1"/>
  <c r="BU72" i="3448" s="1" a="1"/>
  <c r="BU72" i="3448" s="1"/>
  <c r="AN74" i="3448" a="1"/>
  <c r="AN74" i="3448" s="1"/>
  <c r="BH76" i="3448" a="1"/>
  <c r="BH76" i="3448" s="1"/>
  <c r="BF77" i="3448" a="1"/>
  <c r="BF77" i="3448" s="1"/>
  <c r="Y79" i="3448" a="1"/>
  <c r="Y79" i="3448" s="1"/>
  <c r="Q14" i="3448" a="1"/>
  <c r="Q14" i="3448" s="1"/>
  <c r="AC14" i="3448" a="1"/>
  <c r="AC14" i="3448" s="1"/>
  <c r="AO14" i="3448" a="1"/>
  <c r="AO14" i="3448" s="1"/>
  <c r="BA14" i="3448" a="1"/>
  <c r="BA14" i="3448" s="1"/>
  <c r="BM14" i="3448" a="1"/>
  <c r="BM14" i="3448" s="1"/>
  <c r="J61" i="3448" a="1"/>
  <c r="J61" i="3448" s="1"/>
  <c r="M44" i="3523" s="1"/>
  <c r="Z61" i="3448" a="1"/>
  <c r="Z61" i="3448" s="1"/>
  <c r="BG61" i="3448" a="1"/>
  <c r="BG61" i="3448" s="1"/>
  <c r="L67" i="3448" a="1"/>
  <c r="L67" i="3448" s="1"/>
  <c r="L70" i="3448" a="1"/>
  <c r="L70" i="3448" s="1"/>
  <c r="AO70" i="3448" a="1"/>
  <c r="AO70" i="3448" s="1"/>
  <c r="O74" i="3448" a="1"/>
  <c r="O74" i="3448" s="1"/>
  <c r="AO74" i="3448" a="1"/>
  <c r="AO74" i="3448" s="1"/>
  <c r="D62" i="3523"/>
  <c r="BI75" i="3448" a="1"/>
  <c r="BI75" i="3448" s="1"/>
  <c r="AW75" i="3448" a="1"/>
  <c r="AW75" i="3448" s="1"/>
  <c r="AK75" i="3448" a="1"/>
  <c r="AK75" i="3448" s="1"/>
  <c r="Y75" i="3448" a="1"/>
  <c r="Y75" i="3448" s="1"/>
  <c r="D75" i="3448" a="1"/>
  <c r="D75" i="3448" s="1"/>
  <c r="BR75" i="3448" s="1" a="1"/>
  <c r="BR75" i="3448" s="1"/>
  <c r="BV75" i="3448" s="1" a="1"/>
  <c r="BV75" i="3448" s="1"/>
  <c r="BE75" i="3448" a="1"/>
  <c r="BE75" i="3448" s="1"/>
  <c r="AR75" i="3448" a="1"/>
  <c r="AR75" i="3448" s="1"/>
  <c r="AE75" i="3448" a="1"/>
  <c r="AE75" i="3448" s="1"/>
  <c r="R75" i="3448" a="1"/>
  <c r="R75" i="3448" s="1"/>
  <c r="BD75" i="3448" a="1"/>
  <c r="BD75" i="3448" s="1"/>
  <c r="AQ75" i="3448" a="1"/>
  <c r="AQ75" i="3448" s="1"/>
  <c r="AD75" i="3448" a="1"/>
  <c r="AD75" i="3448" s="1"/>
  <c r="Q75" i="3448" a="1"/>
  <c r="Q75" i="3448" s="1"/>
  <c r="BM75" i="3448" a="1"/>
  <c r="BM75" i="3448" s="1"/>
  <c r="AZ75" i="3448" a="1"/>
  <c r="AZ75" i="3448" s="1"/>
  <c r="AM75" i="3448" a="1"/>
  <c r="AM75" i="3448" s="1"/>
  <c r="Z75" i="3448" a="1"/>
  <c r="Z75" i="3448" s="1"/>
  <c r="L75" i="3448" a="1"/>
  <c r="L75" i="3448" s="1"/>
  <c r="X75" i="3448" a="1"/>
  <c r="X75" i="3448" s="1"/>
  <c r="BG75" i="3448" a="1"/>
  <c r="BG75" i="3448" s="1"/>
  <c r="AN75" i="3448" a="1"/>
  <c r="AN75" i="3448" s="1"/>
  <c r="U75" i="3448" a="1"/>
  <c r="U75" i="3448" s="1"/>
  <c r="AL75" i="3448" a="1"/>
  <c r="AL75" i="3448" s="1"/>
  <c r="T75" i="3448" a="1"/>
  <c r="T75" i="3448" s="1"/>
  <c r="AY75" i="3448" a="1"/>
  <c r="AY75" i="3448" s="1"/>
  <c r="AG75" i="3448" a="1"/>
  <c r="AG75" i="3448" s="1"/>
  <c r="N75" i="3448" a="1"/>
  <c r="N75" i="3448" s="1"/>
  <c r="AF75" i="3448" a="1"/>
  <c r="AF75" i="3448" s="1"/>
  <c r="BQ75" i="3448" a="1"/>
  <c r="BQ75" i="3448" s="1"/>
  <c r="BU75" i="3448" s="1" a="1"/>
  <c r="BU75" i="3448" s="1"/>
  <c r="K75" i="3448" a="1"/>
  <c r="K75" i="3448" s="1"/>
  <c r="S62" i="3523" s="1"/>
  <c r="AV75" i="3448" a="1"/>
  <c r="AV75" i="3448" s="1"/>
  <c r="AC75" i="3448" a="1"/>
  <c r="AC75" i="3448" s="1"/>
  <c r="J75" i="3448" a="1"/>
  <c r="J75" i="3448" s="1"/>
  <c r="M62" i="3523" s="1"/>
  <c r="AU75" i="3448" a="1"/>
  <c r="AU75" i="3448" s="1"/>
  <c r="BL75" i="3448" a="1"/>
  <c r="BL75" i="3448" s="1"/>
  <c r="AT75" i="3448" a="1"/>
  <c r="AT75" i="3448" s="1"/>
  <c r="AA75" i="3448" a="1"/>
  <c r="AA75" i="3448" s="1"/>
  <c r="AS75" i="3448" a="1"/>
  <c r="AS75" i="3448" s="1"/>
  <c r="AE76" i="3448" a="1"/>
  <c r="AE76" i="3448" s="1"/>
  <c r="BG77" i="3448" a="1"/>
  <c r="BG77" i="3448" s="1"/>
  <c r="Z79" i="3448" a="1"/>
  <c r="Z79" i="3448" s="1"/>
  <c r="Q22" i="3448" a="1"/>
  <c r="Q22" i="3448" s="1"/>
  <c r="AC22" i="3448" a="1"/>
  <c r="AC22" i="3448" s="1"/>
  <c r="AO22" i="3448" a="1"/>
  <c r="AO22" i="3448" s="1"/>
  <c r="BA22" i="3448" a="1"/>
  <c r="BA22" i="3448" s="1"/>
  <c r="AQ61" i="3448" a="1"/>
  <c r="AQ61" i="3448" s="1"/>
  <c r="BI61" i="3448" a="1"/>
  <c r="BI61" i="3448" s="1"/>
  <c r="BQ67" i="3448" a="1"/>
  <c r="BQ67" i="3448" s="1"/>
  <c r="BU67" i="3448" s="1" a="1"/>
  <c r="BU67" i="3448" s="1"/>
  <c r="E69" i="3448" a="1"/>
  <c r="E69" i="3448" s="1"/>
  <c r="G54" i="3523" s="1"/>
  <c r="AE69" i="3448" a="1"/>
  <c r="AE69" i="3448" s="1"/>
  <c r="AP70" i="3448" a="1"/>
  <c r="AP70" i="3448" s="1"/>
  <c r="K72" i="3448" a="1"/>
  <c r="K72" i="3448" s="1"/>
  <c r="S59" i="3523" s="1"/>
  <c r="AI75" i="3448" a="1"/>
  <c r="AI75" i="3448" s="1"/>
  <c r="BI76" i="3448" a="1"/>
  <c r="BI76" i="3448" s="1"/>
  <c r="AB77" i="3448" a="1"/>
  <c r="AB77" i="3448" s="1"/>
  <c r="BD85" i="3448" a="1"/>
  <c r="BD85" i="3448" s="1"/>
  <c r="AR85" i="3448" a="1"/>
  <c r="AR85" i="3448" s="1"/>
  <c r="AF85" i="3448" a="1"/>
  <c r="AF85" i="3448" s="1"/>
  <c r="T85" i="3448" a="1"/>
  <c r="T85" i="3448" s="1"/>
  <c r="BI85" i="3448" a="1"/>
  <c r="BI85" i="3448" s="1"/>
  <c r="AW85" i="3448" a="1"/>
  <c r="AW85" i="3448" s="1"/>
  <c r="AK85" i="3448" a="1"/>
  <c r="AK85" i="3448" s="1"/>
  <c r="Y85" i="3448" a="1"/>
  <c r="Y85" i="3448" s="1"/>
  <c r="M85" i="3448"/>
  <c r="AU85" i="3448" a="1"/>
  <c r="AU85" i="3448" s="1"/>
  <c r="AG85" i="3448" a="1"/>
  <c r="AG85" i="3448" s="1"/>
  <c r="Q85" i="3448" a="1"/>
  <c r="Q85" i="3448" s="1"/>
  <c r="BH85" i="3448" a="1"/>
  <c r="BH85" i="3448" s="1"/>
  <c r="AT85" i="3448" a="1"/>
  <c r="AT85" i="3448" s="1"/>
  <c r="AE85" i="3448" a="1"/>
  <c r="AE85" i="3448" s="1"/>
  <c r="AD85" i="3448" a="1"/>
  <c r="AD85" i="3448" s="1"/>
  <c r="P85" i="3448" a="1"/>
  <c r="P85" i="3448" s="1"/>
  <c r="BE85" i="3448" a="1"/>
  <c r="BE85" i="3448" s="1"/>
  <c r="BB85" i="3448" a="1"/>
  <c r="BB85" i="3448" s="1"/>
  <c r="AN85" i="3448" a="1"/>
  <c r="AN85" i="3448" s="1"/>
  <c r="Z85" i="3448" a="1"/>
  <c r="Z85" i="3448" s="1"/>
  <c r="K85" i="3448" a="1"/>
  <c r="K85" i="3448" s="1"/>
  <c r="BA85" i="3448" a="1"/>
  <c r="BA85" i="3448" s="1"/>
  <c r="AM85" i="3448" a="1"/>
  <c r="AM85" i="3448" s="1"/>
  <c r="J85" i="3448" a="1"/>
  <c r="J85" i="3448" s="1"/>
  <c r="BQ85" i="3448" a="1"/>
  <c r="BQ85" i="3448" s="1"/>
  <c r="BU85" i="3448" s="1" a="1"/>
  <c r="BU85" i="3448" s="1"/>
  <c r="X85" i="3448" a="1"/>
  <c r="X85" i="3448" s="1"/>
  <c r="AV85" i="3448" a="1"/>
  <c r="AV85" i="3448" s="1"/>
  <c r="AH85" i="3448" a="1"/>
  <c r="AH85" i="3448" s="1"/>
  <c r="S85" i="3448" a="1"/>
  <c r="S85" i="3448" s="1"/>
  <c r="BJ85" i="3448" a="1"/>
  <c r="BJ85" i="3448" s="1"/>
  <c r="R85" i="3448" a="1"/>
  <c r="R85" i="3448" s="1"/>
  <c r="AA85" i="3448" a="1"/>
  <c r="AA85" i="3448" s="1"/>
  <c r="T81" i="3448" a="1"/>
  <c r="T81" i="3448" s="1"/>
  <c r="AR81" i="3448" a="1"/>
  <c r="AR81" i="3448" s="1"/>
  <c r="T83" i="3448" a="1"/>
  <c r="T83" i="3448" s="1"/>
  <c r="AR83" i="3448" a="1"/>
  <c r="AR83" i="3448" s="1"/>
  <c r="D85" i="3448" a="1"/>
  <c r="D85" i="3448" s="1"/>
  <c r="BR85" i="3448" s="1" a="1"/>
  <c r="BR85" i="3448" s="1"/>
  <c r="BV85" i="3448" s="1" a="1"/>
  <c r="BV85" i="3448" s="1"/>
  <c r="AB85" i="3448" a="1"/>
  <c r="AB85" i="3448" s="1"/>
  <c r="AZ85" i="3448" a="1"/>
  <c r="AZ85" i="3448" s="1"/>
  <c r="W81" i="3448" a="1"/>
  <c r="W81" i="3448" s="1"/>
  <c r="BQ81" i="3448" a="1"/>
  <c r="BQ81" i="3448" s="1"/>
  <c r="BU81" i="3448" s="1" a="1"/>
  <c r="BU81" i="3448" s="1"/>
  <c r="Y83" i="3448" a="1"/>
  <c r="Y83" i="3448" s="1"/>
  <c r="AC85" i="3448" a="1"/>
  <c r="AC85" i="3448" s="1"/>
  <c r="BC85" i="3448" a="1"/>
  <c r="BC85" i="3448" s="1"/>
  <c r="BR96" i="3448"/>
  <c r="O78" i="3448" a="1"/>
  <c r="O78" i="3448" s="1"/>
  <c r="BC78" i="3448" a="1"/>
  <c r="BC78" i="3448" s="1"/>
  <c r="X81" i="3448" a="1"/>
  <c r="X81" i="3448" s="1"/>
  <c r="E127" i="3523"/>
  <c r="AA127" i="3523" s="1" a="1"/>
  <c r="AA127" i="3523" s="1"/>
  <c r="BS96" i="3448"/>
  <c r="AJ78" i="3448" a="1"/>
  <c r="AJ78" i="3448" s="1"/>
  <c r="D72" i="3523"/>
  <c r="I83" i="3448" a="1"/>
  <c r="I83" i="3448" s="1"/>
  <c r="E72" i="3523" s="1"/>
  <c r="F72" i="3523" s="1" a="1"/>
  <c r="F72" i="3523" s="1"/>
  <c r="BE83" i="3448" a="1"/>
  <c r="BE83" i="3448" s="1"/>
  <c r="AS83" i="3448" a="1"/>
  <c r="AS83" i="3448" s="1"/>
  <c r="AG83" i="3448" a="1"/>
  <c r="AG83" i="3448" s="1"/>
  <c r="U83" i="3448" a="1"/>
  <c r="U83" i="3448" s="1"/>
  <c r="BJ83" i="3448" a="1"/>
  <c r="BJ83" i="3448" s="1"/>
  <c r="AX83" i="3448" a="1"/>
  <c r="AX83" i="3448" s="1"/>
  <c r="AL83" i="3448" a="1"/>
  <c r="AL83" i="3448" s="1"/>
  <c r="Z83" i="3448" a="1"/>
  <c r="Z83" i="3448" s="1"/>
  <c r="N83" i="3448" a="1"/>
  <c r="N83" i="3448" s="1"/>
  <c r="AK83" i="3448" a="1"/>
  <c r="AK83" i="3448" s="1"/>
  <c r="W83" i="3448" a="1"/>
  <c r="W83" i="3448" s="1"/>
  <c r="BM83" i="3448" a="1"/>
  <c r="BM83" i="3448" s="1"/>
  <c r="AY83" i="3448" a="1"/>
  <c r="AY83" i="3448" s="1"/>
  <c r="E83" i="3448" a="1"/>
  <c r="E83" i="3448" s="1"/>
  <c r="G72" i="3523" s="1"/>
  <c r="AJ83" i="3448" a="1"/>
  <c r="AJ83" i="3448" s="1"/>
  <c r="V83" i="3448" a="1"/>
  <c r="V83" i="3448" s="1"/>
  <c r="BL83" i="3448" a="1"/>
  <c r="BL83" i="3448" s="1"/>
  <c r="D83" i="3448" a="1"/>
  <c r="D83" i="3448" s="1"/>
  <c r="BR83" i="3448" s="1" a="1"/>
  <c r="BR83" i="3448" s="1"/>
  <c r="BV83" i="3448" s="1" a="1"/>
  <c r="BV83" i="3448" s="1"/>
  <c r="BI83" i="3448" a="1"/>
  <c r="BI83" i="3448" s="1"/>
  <c r="AU83" i="3448" a="1"/>
  <c r="AU83" i="3448" s="1"/>
  <c r="AF83" i="3448" a="1"/>
  <c r="AF83" i="3448" s="1"/>
  <c r="AD83" i="3448" a="1"/>
  <c r="AD83" i="3448" s="1"/>
  <c r="P83" i="3448" a="1"/>
  <c r="P83" i="3448" s="1"/>
  <c r="BF83" i="3448" a="1"/>
  <c r="BF83" i="3448" s="1"/>
  <c r="X83" i="3448" a="1"/>
  <c r="X83" i="3448" s="1"/>
  <c r="AZ83" i="3448" a="1"/>
  <c r="AZ83" i="3448" s="1"/>
  <c r="AA83" i="3448" a="1"/>
  <c r="AA83" i="3448" s="1"/>
  <c r="AI85" i="3448" a="1"/>
  <c r="AI85" i="3448" s="1"/>
  <c r="BF85" i="3448" a="1"/>
  <c r="BF85" i="3448" s="1"/>
  <c r="D51" i="3523"/>
  <c r="BL66" i="3448" a="1"/>
  <c r="BL66" i="3448" s="1"/>
  <c r="AZ66" i="3448" a="1"/>
  <c r="AZ66" i="3448" s="1"/>
  <c r="AN66" i="3448" a="1"/>
  <c r="AN66" i="3448" s="1"/>
  <c r="AB66" i="3448" a="1"/>
  <c r="AB66" i="3448" s="1"/>
  <c r="P66" i="3448" a="1"/>
  <c r="P66" i="3448" s="1"/>
  <c r="BK66" i="3448" a="1"/>
  <c r="BK66" i="3448" s="1"/>
  <c r="AY66" i="3448" a="1"/>
  <c r="AY66" i="3448" s="1"/>
  <c r="AM66" i="3448" a="1"/>
  <c r="AM66" i="3448" s="1"/>
  <c r="AA66" i="3448" a="1"/>
  <c r="AA66" i="3448" s="1"/>
  <c r="O66" i="3448" a="1"/>
  <c r="O66" i="3448" s="1"/>
  <c r="L66" i="3448" a="1"/>
  <c r="L66" i="3448" s="1"/>
  <c r="BG66" i="3448" a="1"/>
  <c r="BG66" i="3448" s="1"/>
  <c r="AU66" i="3448" a="1"/>
  <c r="AU66" i="3448" s="1"/>
  <c r="AI66" i="3448" a="1"/>
  <c r="AI66" i="3448" s="1"/>
  <c r="W66" i="3448" a="1"/>
  <c r="W66" i="3448" s="1"/>
  <c r="T66" i="3448" a="1"/>
  <c r="T66" i="3448" s="1"/>
  <c r="BA66" i="3448" a="1"/>
  <c r="BA66" i="3448" s="1"/>
  <c r="AW83" i="3448" a="1"/>
  <c r="AW83" i="3448" s="1"/>
  <c r="I85" i="3448" a="1"/>
  <c r="I85" i="3448" s="1"/>
  <c r="T78" i="3448" a="1"/>
  <c r="T78" i="3448" s="1"/>
  <c r="AK78" i="3448" a="1"/>
  <c r="AK78" i="3448" s="1"/>
  <c r="BE78" i="3448" a="1"/>
  <c r="BE78" i="3448" s="1"/>
  <c r="D70" i="3523"/>
  <c r="J81" i="3448" a="1"/>
  <c r="J81" i="3448" s="1"/>
  <c r="M70" i="3523" s="1"/>
  <c r="BF81" i="3448" a="1"/>
  <c r="BF81" i="3448" s="1"/>
  <c r="AT81" i="3448" a="1"/>
  <c r="AT81" i="3448" s="1"/>
  <c r="AH81" i="3448" a="1"/>
  <c r="AH81" i="3448" s="1"/>
  <c r="V81" i="3448" a="1"/>
  <c r="V81" i="3448" s="1"/>
  <c r="BK81" i="3448" a="1"/>
  <c r="BK81" i="3448" s="1"/>
  <c r="AY81" i="3448" a="1"/>
  <c r="AY81" i="3448" s="1"/>
  <c r="AM81" i="3448" a="1"/>
  <c r="AM81" i="3448" s="1"/>
  <c r="AA81" i="3448" a="1"/>
  <c r="AA81" i="3448" s="1"/>
  <c r="O81" i="3448" a="1"/>
  <c r="O81" i="3448" s="1"/>
  <c r="BC81" i="3448" a="1"/>
  <c r="BC81" i="3448" s="1"/>
  <c r="AO81" i="3448" a="1"/>
  <c r="AO81" i="3448" s="1"/>
  <c r="L81" i="3448" a="1"/>
  <c r="L81" i="3448" s="1"/>
  <c r="Z81" i="3448" a="1"/>
  <c r="Z81" i="3448" s="1"/>
  <c r="BB81" i="3448" a="1"/>
  <c r="BB81" i="3448" s="1"/>
  <c r="AN81" i="3448" a="1"/>
  <c r="AN81" i="3448" s="1"/>
  <c r="K81" i="3448" a="1"/>
  <c r="K81" i="3448" s="1"/>
  <c r="S70" i="3523" s="1"/>
  <c r="Y81" i="3448" a="1"/>
  <c r="Y81" i="3448" s="1"/>
  <c r="BM81" i="3448" a="1"/>
  <c r="BM81" i="3448" s="1"/>
  <c r="AW81" i="3448" a="1"/>
  <c r="AW81" i="3448" s="1"/>
  <c r="AI81" i="3448" a="1"/>
  <c r="AI81" i="3448" s="1"/>
  <c r="D81" i="3448" a="1"/>
  <c r="D81" i="3448" s="1"/>
  <c r="BR81" i="3448" s="1" a="1"/>
  <c r="BR81" i="3448" s="1"/>
  <c r="BV81" i="3448" s="1" a="1"/>
  <c r="BV81" i="3448" s="1"/>
  <c r="AF81" i="3448" a="1"/>
  <c r="AF81" i="3448" s="1"/>
  <c r="R81" i="3448" a="1"/>
  <c r="R81" i="3448" s="1"/>
  <c r="BD81" i="3448" a="1"/>
  <c r="BD81" i="3448" s="1"/>
  <c r="AP81" i="3448" a="1"/>
  <c r="AP81" i="3448" s="1"/>
  <c r="AB81" i="3448" a="1"/>
  <c r="AB81" i="3448" s="1"/>
  <c r="AC81" i="3448" a="1"/>
  <c r="AC81" i="3448" s="1"/>
  <c r="AX81" i="3448" a="1"/>
  <c r="AX81" i="3448" s="1"/>
  <c r="AB83" i="3448" a="1"/>
  <c r="AB83" i="3448" s="1"/>
  <c r="BA83" i="3448" a="1"/>
  <c r="BA83" i="3448" s="1"/>
  <c r="AJ85" i="3448" a="1"/>
  <c r="AJ85" i="3448" s="1"/>
  <c r="BG85" i="3448" a="1"/>
  <c r="BG85" i="3448" s="1"/>
  <c r="CG96" i="3448"/>
  <c r="BZ97" i="3448"/>
  <c r="U78" i="3448" a="1"/>
  <c r="U78" i="3448" s="1"/>
  <c r="AD81" i="3448" a="1"/>
  <c r="AD81" i="3448" s="1"/>
  <c r="AZ81" i="3448" a="1"/>
  <c r="AZ81" i="3448" s="1"/>
  <c r="BB83" i="3448" a="1"/>
  <c r="BB83" i="3448" s="1"/>
  <c r="L85" i="3448" a="1"/>
  <c r="L85" i="3448" s="1"/>
  <c r="D67" i="3523"/>
  <c r="BB78" i="3448" a="1"/>
  <c r="BB78" i="3448" s="1"/>
  <c r="AP78" i="3448" a="1"/>
  <c r="AP78" i="3448" s="1"/>
  <c r="AD78" i="3448" a="1"/>
  <c r="AD78" i="3448" s="1"/>
  <c r="R78" i="3448" a="1"/>
  <c r="R78" i="3448" s="1"/>
  <c r="D78" i="3448" a="1"/>
  <c r="D78" i="3448" s="1"/>
  <c r="BR78" i="3448" s="1" a="1"/>
  <c r="BR78" i="3448" s="1"/>
  <c r="BV78" i="3448" s="1" a="1"/>
  <c r="BV78" i="3448" s="1"/>
  <c r="BL78" i="3448" a="1"/>
  <c r="BL78" i="3448" s="1"/>
  <c r="AZ78" i="3448" a="1"/>
  <c r="AZ78" i="3448" s="1"/>
  <c r="AN78" i="3448" a="1"/>
  <c r="AN78" i="3448" s="1"/>
  <c r="AB78" i="3448" a="1"/>
  <c r="AB78" i="3448" s="1"/>
  <c r="P78" i="3448" a="1"/>
  <c r="P78" i="3448" s="1"/>
  <c r="BH78" i="3448" a="1"/>
  <c r="BH78" i="3448" s="1"/>
  <c r="AG78" i="3448" a="1"/>
  <c r="AG78" i="3448" s="1"/>
  <c r="AT78" i="3448" a="1"/>
  <c r="AT78" i="3448" s="1"/>
  <c r="S78" i="3448" a="1"/>
  <c r="S78" i="3448" s="1"/>
  <c r="BG78" i="3448" a="1"/>
  <c r="BG78" i="3448" s="1"/>
  <c r="AF78" i="3448" a="1"/>
  <c r="AF78" i="3448" s="1"/>
  <c r="AS78" i="3448" a="1"/>
  <c r="AS78" i="3448" s="1"/>
  <c r="Q78" i="3448" a="1"/>
  <c r="Q78" i="3448" s="1"/>
  <c r="BD78" i="3448" a="1"/>
  <c r="BD78" i="3448" s="1"/>
  <c r="N78" i="3448" a="1"/>
  <c r="N78" i="3448" s="1"/>
  <c r="Z78" i="3448" a="1"/>
  <c r="Z78" i="3448" s="1"/>
  <c r="L78" i="3448" a="1"/>
  <c r="L78" i="3448" s="1"/>
  <c r="AL78" i="3448" a="1"/>
  <c r="AL78" i="3448" s="1"/>
  <c r="W78" i="3448" a="1"/>
  <c r="W78" i="3448" s="1"/>
  <c r="AQ78" i="3448" a="1"/>
  <c r="AQ78" i="3448" s="1"/>
  <c r="BJ78" i="3448" a="1"/>
  <c r="BJ78" i="3448" s="1"/>
  <c r="AO85" i="3448" a="1"/>
  <c r="AO85" i="3448" s="1"/>
  <c r="U85" i="3448" a="1"/>
  <c r="U85" i="3448" s="1"/>
  <c r="AQ85" i="3448" a="1"/>
  <c r="AQ85" i="3448" s="1"/>
  <c r="CG95" i="3448"/>
  <c r="AQ66" i="3448" a="1"/>
  <c r="AQ66" i="3448" s="1"/>
  <c r="BF66" i="3448" a="1"/>
  <c r="BF66" i="3448" s="1"/>
  <c r="Y78" i="3448" a="1"/>
  <c r="Y78" i="3448" s="1"/>
  <c r="AJ81" i="3448" a="1"/>
  <c r="AJ81" i="3448" s="1"/>
  <c r="BH81" i="3448" a="1"/>
  <c r="BH81" i="3448" s="1"/>
  <c r="AM83" i="3448" a="1"/>
  <c r="AM83" i="3448" s="1"/>
  <c r="BH83" i="3448" a="1"/>
  <c r="BH83" i="3448" s="1"/>
  <c r="V85" i="3448" a="1"/>
  <c r="V85" i="3448" s="1"/>
  <c r="AS85" i="3448" a="1"/>
  <c r="AS85" i="3448" s="1"/>
  <c r="X96" i="3448"/>
  <c r="AB95" i="3448"/>
  <c r="K66" i="3448" a="1"/>
  <c r="K66" i="3448" s="1"/>
  <c r="AC66" i="3448" a="1"/>
  <c r="AC66" i="3448" s="1"/>
  <c r="AR66" i="3448" a="1"/>
  <c r="AR66" i="3448" s="1"/>
  <c r="BM78" i="3448" a="1"/>
  <c r="BM78" i="3448" s="1"/>
  <c r="P81" i="3448" a="1"/>
  <c r="P81" i="3448" s="1"/>
  <c r="BI81" i="3448" a="1"/>
  <c r="BI81" i="3448" s="1"/>
  <c r="AN83" i="3448" a="1"/>
  <c r="AN83" i="3448" s="1"/>
  <c r="AA78" i="3448" a="1"/>
  <c r="AA78" i="3448" s="1"/>
  <c r="AV78" i="3448" a="1"/>
  <c r="AV78" i="3448" s="1"/>
  <c r="BQ78" i="3448" a="1"/>
  <c r="BQ78" i="3448" s="1"/>
  <c r="BU78" i="3448" s="1" a="1"/>
  <c r="BU78" i="3448" s="1"/>
  <c r="AL81" i="3448" a="1"/>
  <c r="AL81" i="3448" s="1"/>
  <c r="BJ81" i="3448" a="1"/>
  <c r="BJ81" i="3448" s="1"/>
  <c r="W85" i="3448" a="1"/>
  <c r="W85" i="3448" s="1"/>
  <c r="AD94" i="3448"/>
  <c r="Z95" i="3448"/>
  <c r="H21" i="3489" a="1"/>
  <c r="H21" i="3489" s="1"/>
  <c r="E21" i="3489" a="1"/>
  <c r="E21" i="3489" s="1"/>
  <c r="J21" i="3489" a="1"/>
  <c r="J21" i="3489" s="1"/>
  <c r="F21" i="3489" a="1"/>
  <c r="F21" i="3489" s="1"/>
  <c r="G21" i="3489" a="1"/>
  <c r="G21" i="3489" s="1"/>
  <c r="D71" i="3523"/>
  <c r="BL82" i="3448" a="1"/>
  <c r="BL82" i="3448" s="1"/>
  <c r="AZ82" i="3448" a="1"/>
  <c r="AZ82" i="3448" s="1"/>
  <c r="AN82" i="3448" a="1"/>
  <c r="AN82" i="3448" s="1"/>
  <c r="AB82" i="3448" a="1"/>
  <c r="AB82" i="3448" s="1"/>
  <c r="P82" i="3448" a="1"/>
  <c r="P82" i="3448" s="1"/>
  <c r="BJ82" i="3448" a="1"/>
  <c r="BJ82" i="3448" s="1"/>
  <c r="AX82" i="3448" a="1"/>
  <c r="AX82" i="3448" s="1"/>
  <c r="AL82" i="3448" a="1"/>
  <c r="AL82" i="3448" s="1"/>
  <c r="Z82" i="3448" a="1"/>
  <c r="Z82" i="3448" s="1"/>
  <c r="N82" i="3448" a="1"/>
  <c r="N82" i="3448" s="1"/>
  <c r="R82" i="3448" a="1"/>
  <c r="R82" i="3448" s="1"/>
  <c r="AF82" i="3448" a="1"/>
  <c r="AF82" i="3448" s="1"/>
  <c r="F126" i="3523"/>
  <c r="AF126" i="3523" s="1" a="1"/>
  <c r="AF126" i="3523" s="1"/>
  <c r="BT95" i="3448"/>
  <c r="H21" i="3576" a="1"/>
  <c r="H21" i="3576" s="1"/>
  <c r="G21" i="3576" a="1"/>
  <c r="G21" i="3576" s="1"/>
  <c r="O21" i="3576" a="1"/>
  <c r="O21" i="3576" s="1"/>
  <c r="L21" i="3576" a="1"/>
  <c r="L21" i="3576" s="1"/>
  <c r="U21" i="3576" s="1" a="1"/>
  <c r="U21" i="3576" s="1"/>
  <c r="AD21" i="3576" s="1"/>
  <c r="K21" i="3576" a="1"/>
  <c r="K21" i="3576" s="1"/>
  <c r="X21" i="3576" s="1"/>
  <c r="F21" i="3576" a="1"/>
  <c r="F21" i="3576" s="1"/>
  <c r="E21" i="3576" a="1"/>
  <c r="E21" i="3576" s="1"/>
  <c r="B24" i="3576"/>
  <c r="AG82" i="3448" a="1"/>
  <c r="AG82" i="3448" s="1"/>
  <c r="AU82" i="3448" a="1"/>
  <c r="AU82" i="3448" s="1"/>
  <c r="BI82" i="3448" a="1"/>
  <c r="BI82" i="3448" s="1"/>
  <c r="I21" i="3576" a="1"/>
  <c r="I21" i="3576" s="1"/>
  <c r="J21" i="3576" a="1"/>
  <c r="J21" i="3576" s="1"/>
  <c r="H56" i="3489" a="1"/>
  <c r="H56" i="3489" s="1"/>
  <c r="G56" i="3489" a="1"/>
  <c r="G56" i="3489" s="1"/>
  <c r="F56" i="3489" a="1"/>
  <c r="F56" i="3489" s="1"/>
  <c r="E56" i="3489" a="1"/>
  <c r="E56" i="3489" s="1"/>
  <c r="J56" i="3489" a="1"/>
  <c r="J56" i="3489" s="1"/>
  <c r="W82" i="3448" a="1"/>
  <c r="W82" i="3448" s="1"/>
  <c r="AK82" i="3448" a="1"/>
  <c r="AK82" i="3448" s="1"/>
  <c r="H20" i="3489" a="1"/>
  <c r="H20" i="3489" s="1"/>
  <c r="E20" i="3489" a="1"/>
  <c r="E20" i="3489" s="1"/>
  <c r="J20" i="3489" a="1"/>
  <c r="J20" i="3489" s="1"/>
  <c r="G20" i="3489" a="1"/>
  <c r="G20" i="3489" s="1"/>
  <c r="F20" i="3489" a="1"/>
  <c r="F20" i="3489" s="1"/>
  <c r="J24" i="3489" a="1"/>
  <c r="J24" i="3489" s="1"/>
  <c r="H24" i="3489" a="1"/>
  <c r="H24" i="3489" s="1"/>
  <c r="G24" i="3489" a="1"/>
  <c r="G24" i="3489" s="1"/>
  <c r="F24" i="3489" a="1"/>
  <c r="F24" i="3489" s="1"/>
  <c r="E24" i="3489" a="1"/>
  <c r="E24" i="3489" s="1"/>
  <c r="P80" i="3448" a="1"/>
  <c r="P80" i="3448" s="1"/>
  <c r="J82" i="3448" a="1"/>
  <c r="J82" i="3448" s="1"/>
  <c r="M71" i="3523" s="1"/>
  <c r="AM82" i="3448" a="1"/>
  <c r="AM82" i="3448" s="1"/>
  <c r="BB82" i="3448" a="1"/>
  <c r="BB82" i="3448" s="1"/>
  <c r="D69" i="3523"/>
  <c r="BM80" i="3448" a="1"/>
  <c r="BM80" i="3448" s="1"/>
  <c r="BA80" i="3448" a="1"/>
  <c r="BA80" i="3448" s="1"/>
  <c r="AO80" i="3448" a="1"/>
  <c r="AO80" i="3448" s="1"/>
  <c r="AC80" i="3448" a="1"/>
  <c r="AC80" i="3448" s="1"/>
  <c r="Q80" i="3448" a="1"/>
  <c r="Q80" i="3448" s="1"/>
  <c r="BK80" i="3448" a="1"/>
  <c r="BK80" i="3448" s="1"/>
  <c r="AY80" i="3448" a="1"/>
  <c r="AY80" i="3448" s="1"/>
  <c r="AM80" i="3448" a="1"/>
  <c r="AM80" i="3448" s="1"/>
  <c r="AA80" i="3448" a="1"/>
  <c r="AA80" i="3448" s="1"/>
  <c r="O80" i="3448" a="1"/>
  <c r="O80" i="3448" s="1"/>
  <c r="AF80" i="3448" a="1"/>
  <c r="AF80" i="3448" s="1"/>
  <c r="AT80" i="3448" a="1"/>
  <c r="AT80" i="3448" s="1"/>
  <c r="BH80" i="3448" a="1"/>
  <c r="BH80" i="3448" s="1"/>
  <c r="G47" i="3489" a="1"/>
  <c r="G47" i="3489" s="1"/>
  <c r="E47" i="3489" a="1"/>
  <c r="E47" i="3489" s="1"/>
  <c r="J47" i="3489" a="1"/>
  <c r="J47" i="3489" s="1"/>
  <c r="H47" i="3489" a="1"/>
  <c r="H47" i="3489" s="1"/>
  <c r="F47" i="3489" a="1"/>
  <c r="F47" i="3489" s="1"/>
  <c r="L27" i="3576" a="1"/>
  <c r="L27" i="3576" s="1"/>
  <c r="U27" i="3576" s="1" a="1"/>
  <c r="U27" i="3576" s="1"/>
  <c r="AD27" i="3576" s="1"/>
  <c r="K27" i="3576" a="1"/>
  <c r="K27" i="3576" s="1"/>
  <c r="X27" i="3576" s="1"/>
  <c r="O27" i="3576" a="1"/>
  <c r="O27" i="3576" s="1"/>
  <c r="I27" i="3576" a="1"/>
  <c r="I27" i="3576" s="1"/>
  <c r="H27" i="3576" a="1"/>
  <c r="H27" i="3576" s="1"/>
  <c r="G27" i="3576" a="1"/>
  <c r="G27" i="3576" s="1"/>
  <c r="F27" i="3576" a="1"/>
  <c r="F27" i="3576" s="1"/>
  <c r="U80" i="3448" a="1"/>
  <c r="U80" i="3448" s="1"/>
  <c r="O82" i="3448" a="1"/>
  <c r="O82" i="3448" s="1"/>
  <c r="AD82" i="3448" a="1"/>
  <c r="AD82" i="3448" s="1"/>
  <c r="AR82" i="3448" a="1"/>
  <c r="AR82" i="3448" s="1"/>
  <c r="L126" i="3523" a="1"/>
  <c r="L126" i="3523" s="1"/>
  <c r="AS82" i="3448" a="1"/>
  <c r="AS82" i="3448" s="1"/>
  <c r="BG82" i="3448" a="1"/>
  <c r="BG82" i="3448" s="1"/>
  <c r="C126" i="3523"/>
  <c r="Q126" i="3523" s="1" a="1"/>
  <c r="Q126" i="3523" s="1"/>
  <c r="BQ95" i="3448"/>
  <c r="J25" i="3489" a="1"/>
  <c r="J25" i="3489" s="1"/>
  <c r="H25" i="3489" a="1"/>
  <c r="H25" i="3489" s="1"/>
  <c r="E25" i="3489" a="1"/>
  <c r="E25" i="3489" s="1"/>
  <c r="G25" i="3489" a="1"/>
  <c r="G25" i="3489" s="1"/>
  <c r="F25" i="3489" a="1"/>
  <c r="F25" i="3489" s="1"/>
  <c r="Q82" i="3448" a="1"/>
  <c r="Q82" i="3448" s="1"/>
  <c r="AE82" i="3448" a="1"/>
  <c r="AE82" i="3448" s="1"/>
  <c r="AT82" i="3448" a="1"/>
  <c r="AT82" i="3448" s="1"/>
  <c r="BH82" i="3448" a="1"/>
  <c r="BH82" i="3448" s="1"/>
  <c r="J37" i="3489" a="1"/>
  <c r="J37" i="3489" s="1"/>
  <c r="H37" i="3489" a="1"/>
  <c r="H37" i="3489" s="1"/>
  <c r="G37" i="3489" a="1"/>
  <c r="G37" i="3489" s="1"/>
  <c r="F37" i="3489" a="1"/>
  <c r="F37" i="3489" s="1"/>
  <c r="E37" i="3489" a="1"/>
  <c r="E37" i="3489" s="1"/>
  <c r="BB22" i="3489" a="1"/>
  <c r="BB22" i="3489" s="1"/>
  <c r="AP22" i="3489" a="1"/>
  <c r="AP22" i="3489" s="1"/>
  <c r="AD22" i="3489" a="1"/>
  <c r="AD22" i="3489" s="1"/>
  <c r="R22" i="3489" a="1"/>
  <c r="R22" i="3489" s="1"/>
  <c r="BA22" i="3489" a="1"/>
  <c r="BA22" i="3489" s="1"/>
  <c r="AO22" i="3489" a="1"/>
  <c r="AO22" i="3489" s="1"/>
  <c r="AC22" i="3489" a="1"/>
  <c r="AC22" i="3489" s="1"/>
  <c r="Q22" i="3489" a="1"/>
  <c r="Q22" i="3489" s="1"/>
  <c r="AW22" i="3489" a="1"/>
  <c r="AW22" i="3489" s="1"/>
  <c r="T22" i="3489" a="1"/>
  <c r="T22" i="3489" s="1"/>
  <c r="B22" i="3489"/>
  <c r="AH22" i="3489" a="1"/>
  <c r="AH22" i="3489" s="1"/>
  <c r="AV22" i="3489" a="1"/>
  <c r="AV22" i="3489" s="1"/>
  <c r="S22" i="3489" a="1"/>
  <c r="S22" i="3489" s="1"/>
  <c r="AG22" i="3489" a="1"/>
  <c r="AG22" i="3489" s="1"/>
  <c r="P22" i="3489" a="1"/>
  <c r="P22" i="3489" s="1"/>
  <c r="BG22" i="3489" a="1"/>
  <c r="BG22" i="3489" s="1"/>
  <c r="M22" i="3489" a="1"/>
  <c r="M22" i="3489" s="1"/>
  <c r="BC22" i="3489" a="1"/>
  <c r="BC22" i="3489" s="1"/>
  <c r="N22" i="3489" a="1"/>
  <c r="N22" i="3489" s="1"/>
  <c r="AZ22" i="3489" a="1"/>
  <c r="AZ22" i="3489" s="1"/>
  <c r="AI22" i="3489" a="1"/>
  <c r="AI22" i="3489" s="1"/>
  <c r="AY22" i="3489" a="1"/>
  <c r="AY22" i="3489" s="1"/>
  <c r="AF22" i="3489" a="1"/>
  <c r="AF22" i="3489" s="1"/>
  <c r="L22" i="3489" a="1"/>
  <c r="L22" i="3489" s="1"/>
  <c r="AU22" i="3489" a="1"/>
  <c r="AU22" i="3489" s="1"/>
  <c r="AA22" i="3489" a="1"/>
  <c r="AA22" i="3489" s="1"/>
  <c r="AS22" i="3489" a="1"/>
  <c r="AS22" i="3489" s="1"/>
  <c r="Y22" i="3489" a="1"/>
  <c r="Y22" i="3489" s="1"/>
  <c r="AQ22" i="3489" a="1"/>
  <c r="AQ22" i="3489" s="1"/>
  <c r="AM22" i="3489" a="1"/>
  <c r="AM22" i="3489" s="1"/>
  <c r="V22" i="3489" a="1"/>
  <c r="V22" i="3489" s="1"/>
  <c r="BF22" i="3489" a="1"/>
  <c r="BF22" i="3489" s="1"/>
  <c r="E57" i="3489" a="1"/>
  <c r="E57" i="3489" s="1"/>
  <c r="J57" i="3489" a="1"/>
  <c r="J57" i="3489" s="1"/>
  <c r="H57" i="3489" a="1"/>
  <c r="H57" i="3489" s="1"/>
  <c r="F57" i="3489" a="1"/>
  <c r="F57" i="3489" s="1"/>
  <c r="G57" i="3489" a="1"/>
  <c r="G57" i="3489" s="1"/>
  <c r="H36" i="3489" a="1"/>
  <c r="H36" i="3489" s="1"/>
  <c r="F36" i="3489" a="1"/>
  <c r="F36" i="3489" s="1"/>
  <c r="G36" i="3489" a="1"/>
  <c r="G36" i="3489" s="1"/>
  <c r="E36" i="3489" a="1"/>
  <c r="E36" i="3489" s="1"/>
  <c r="H35" i="3489" a="1"/>
  <c r="H35" i="3489" s="1"/>
  <c r="G35" i="3489" a="1"/>
  <c r="G35" i="3489" s="1"/>
  <c r="F35" i="3489" a="1"/>
  <c r="F35" i="3489" s="1"/>
  <c r="J35" i="3489" a="1"/>
  <c r="J35" i="3489" s="1"/>
  <c r="AR22" i="3489" a="1"/>
  <c r="AR22" i="3489" s="1"/>
  <c r="BG33" i="3489" a="1"/>
  <c r="BG33" i="3489" s="1"/>
  <c r="AT33" i="3489" a="1"/>
  <c r="AT33" i="3489" s="1"/>
  <c r="AG33" i="3489" a="1"/>
  <c r="AG33" i="3489" s="1"/>
  <c r="T33" i="3489" a="1"/>
  <c r="T33" i="3489" s="1"/>
  <c r="BF33" i="3489" a="1"/>
  <c r="BF33" i="3489" s="1"/>
  <c r="AS33" i="3489" a="1"/>
  <c r="AS33" i="3489" s="1"/>
  <c r="AF33" i="3489" a="1"/>
  <c r="AF33" i="3489" s="1"/>
  <c r="S33" i="3489" a="1"/>
  <c r="S33" i="3489" s="1"/>
  <c r="BA33" i="3489" a="1"/>
  <c r="BA33" i="3489" s="1"/>
  <c r="AM33" i="3489" a="1"/>
  <c r="AM33" i="3489" s="1"/>
  <c r="Z33" i="3489" a="1"/>
  <c r="Z33" i="3489" s="1"/>
  <c r="M33" i="3489" a="1"/>
  <c r="M33" i="3489" s="1"/>
  <c r="AZ33" i="3489" a="1"/>
  <c r="AZ33" i="3489" s="1"/>
  <c r="AB33" i="3489" a="1"/>
  <c r="AB33" i="3489" s="1"/>
  <c r="AU33" i="3489" a="1"/>
  <c r="AU33" i="3489" s="1"/>
  <c r="AA33" i="3489" a="1"/>
  <c r="AA33" i="3489" s="1"/>
  <c r="AR33" i="3489" a="1"/>
  <c r="AR33" i="3489" s="1"/>
  <c r="Y33" i="3489" a="1"/>
  <c r="Y33" i="3489" s="1"/>
  <c r="X33" i="3489" a="1"/>
  <c r="X33" i="3489" s="1"/>
  <c r="BI33" i="3489" a="1"/>
  <c r="BI33" i="3489" s="1"/>
  <c r="AP33" i="3489" a="1"/>
  <c r="AP33" i="3489" s="1"/>
  <c r="B33" i="3489"/>
  <c r="W33" i="3489" a="1"/>
  <c r="W33" i="3489" s="1"/>
  <c r="BH33" i="3489" a="1"/>
  <c r="BH33" i="3489" s="1"/>
  <c r="AO33" i="3489" a="1"/>
  <c r="AO33" i="3489" s="1"/>
  <c r="BE33" i="3489" a="1"/>
  <c r="BE33" i="3489" s="1"/>
  <c r="AN33" i="3489" a="1"/>
  <c r="AN33" i="3489" s="1"/>
  <c r="V33" i="3489" a="1"/>
  <c r="V33" i="3489" s="1"/>
  <c r="AI33" i="3489" a="1"/>
  <c r="AI33" i="3489" s="1"/>
  <c r="O33" i="3489" a="1"/>
  <c r="O33" i="3489" s="1"/>
  <c r="AX33" i="3489" a="1"/>
  <c r="AX33" i="3489" s="1"/>
  <c r="Q33" i="3489" a="1"/>
  <c r="Q33" i="3489" s="1"/>
  <c r="P33" i="3489" a="1"/>
  <c r="P33" i="3489" s="1"/>
  <c r="AW33" i="3489" a="1"/>
  <c r="AW33" i="3489" s="1"/>
  <c r="N33" i="3489" a="1"/>
  <c r="N33" i="3489" s="1"/>
  <c r="AV33" i="3489" a="1"/>
  <c r="AV33" i="3489" s="1"/>
  <c r="AQ33" i="3489" a="1"/>
  <c r="AQ33" i="3489" s="1"/>
  <c r="L33" i="3489" a="1"/>
  <c r="L33" i="3489" s="1"/>
  <c r="K33" i="3489" a="1"/>
  <c r="K33" i="3489" s="1"/>
  <c r="AH33" i="3489" a="1"/>
  <c r="AH33" i="3489" s="1"/>
  <c r="AE33" i="3489" a="1"/>
  <c r="AE33" i="3489" s="1"/>
  <c r="AD33" i="3489" a="1"/>
  <c r="AD33" i="3489" s="1"/>
  <c r="BD33" i="3489" a="1"/>
  <c r="BD33" i="3489" s="1"/>
  <c r="AC33" i="3489" a="1"/>
  <c r="AC33" i="3489" s="1"/>
  <c r="AR34" i="3489" a="1"/>
  <c r="AR34" i="3489" s="1"/>
  <c r="X34" i="3489" a="1"/>
  <c r="X34" i="3489" s="1"/>
  <c r="AO34" i="3489" a="1"/>
  <c r="AO34" i="3489" s="1"/>
  <c r="V34" i="3489" a="1"/>
  <c r="V34" i="3489" s="1"/>
  <c r="BF34" i="3489" a="1"/>
  <c r="BF34" i="3489" s="1"/>
  <c r="AL34" i="3489" a="1"/>
  <c r="AL34" i="3489" s="1"/>
  <c r="T34" i="3489" a="1"/>
  <c r="T34" i="3489" s="1"/>
  <c r="BE34" i="3489" a="1"/>
  <c r="BE34" i="3489" s="1"/>
  <c r="S34" i="3489" a="1"/>
  <c r="S34" i="3489" s="1"/>
  <c r="L34" i="3489" a="1"/>
  <c r="L34" i="3489" s="1"/>
  <c r="AW34" i="3489" a="1"/>
  <c r="AW34" i="3489" s="1"/>
  <c r="P34" i="3489" a="1"/>
  <c r="P34" i="3489" s="1"/>
  <c r="AV34" i="3489" a="1"/>
  <c r="AV34" i="3489" s="1"/>
  <c r="O34" i="3489" a="1"/>
  <c r="O34" i="3489" s="1"/>
  <c r="AT34" i="3489" a="1"/>
  <c r="AT34" i="3489" s="1"/>
  <c r="AP34" i="3489" a="1"/>
  <c r="AP34" i="3489" s="1"/>
  <c r="AD34" i="3489" a="1"/>
  <c r="AD34" i="3489" s="1"/>
  <c r="BG34" i="3489" a="1"/>
  <c r="BG34" i="3489" s="1"/>
  <c r="AC34" i="3489" a="1"/>
  <c r="AC34" i="3489" s="1"/>
  <c r="J36" i="3489" a="1"/>
  <c r="J36" i="3489" s="1"/>
  <c r="X49" i="3489" a="1"/>
  <c r="X49" i="3489" s="1"/>
  <c r="AZ49" i="3489" a="1"/>
  <c r="AZ49" i="3489" s="1"/>
  <c r="N49" i="3489" a="1"/>
  <c r="N49" i="3489" s="1"/>
  <c r="BG49" i="3489" a="1"/>
  <c r="BG49" i="3489" s="1"/>
  <c r="AM49" i="3489" a="1"/>
  <c r="AM49" i="3489" s="1"/>
  <c r="W49" i="3489" a="1"/>
  <c r="W49" i="3489" s="1"/>
  <c r="AX49" i="3489" a="1"/>
  <c r="AX49" i="3489" s="1"/>
  <c r="Y49" i="3489" a="1"/>
  <c r="Y49" i="3489" s="1"/>
  <c r="AI27" i="3489" a="1"/>
  <c r="AI27" i="3489" s="1"/>
  <c r="E35" i="3489" a="1"/>
  <c r="E35" i="3489" s="1"/>
  <c r="AT22" i="3489" a="1"/>
  <c r="AT22" i="3489" s="1"/>
  <c r="AJ27" i="3489" a="1"/>
  <c r="AJ27" i="3489" s="1"/>
  <c r="J29" i="3489" a="1"/>
  <c r="J29" i="3489" s="1"/>
  <c r="H29" i="3489" a="1"/>
  <c r="H29" i="3489" s="1"/>
  <c r="AQ29" i="3489" s="1" a="1"/>
  <c r="AQ29" i="3489" s="1"/>
  <c r="F29" i="3489" a="1"/>
  <c r="F29" i="3489" s="1"/>
  <c r="E29" i="3489" a="1"/>
  <c r="E29" i="3489" s="1"/>
  <c r="K22" i="3489" a="1"/>
  <c r="K22" i="3489" s="1"/>
  <c r="E32" i="3489" a="1"/>
  <c r="E32" i="3489" s="1"/>
  <c r="J32" i="3489" a="1"/>
  <c r="J32" i="3489" s="1"/>
  <c r="G32" i="3489" a="1"/>
  <c r="G32" i="3489" s="1"/>
  <c r="F32" i="3489" a="1"/>
  <c r="F32" i="3489" s="1"/>
  <c r="H32" i="3489" a="1"/>
  <c r="H32" i="3489" s="1"/>
  <c r="B29" i="3489"/>
  <c r="J43" i="3489" a="1"/>
  <c r="J43" i="3489" s="1"/>
  <c r="E43" i="3489" a="1"/>
  <c r="E43" i="3489" s="1"/>
  <c r="G43" i="3489" a="1"/>
  <c r="G43" i="3489" s="1"/>
  <c r="F43" i="3489" a="1"/>
  <c r="F43" i="3489" s="1"/>
  <c r="E46" i="3489" a="1"/>
  <c r="E46" i="3489" s="1"/>
  <c r="J46" i="3489" a="1"/>
  <c r="J46" i="3489" s="1"/>
  <c r="H46" i="3489" a="1"/>
  <c r="H46" i="3489" s="1"/>
  <c r="G46" i="3489" a="1"/>
  <c r="G46" i="3489" s="1"/>
  <c r="F46" i="3489" a="1"/>
  <c r="F46" i="3489" s="1"/>
  <c r="O22" i="3489" a="1"/>
  <c r="O22" i="3489" s="1"/>
  <c r="AX22" i="3489" a="1"/>
  <c r="AX22" i="3489" s="1"/>
  <c r="F93" i="3489" a="1"/>
  <c r="F93" i="3489" s="1"/>
  <c r="J93" i="3489" a="1"/>
  <c r="J93" i="3489" s="1"/>
  <c r="H93" i="3489" a="1"/>
  <c r="H93" i="3489" s="1"/>
  <c r="G93" i="3489" a="1"/>
  <c r="G93" i="3489" s="1"/>
  <c r="E93" i="3489" a="1"/>
  <c r="E93" i="3489" s="1"/>
  <c r="BC27" i="3489" a="1"/>
  <c r="BC27" i="3489" s="1"/>
  <c r="AD27" i="3489" a="1"/>
  <c r="AD27" i="3489" s="1"/>
  <c r="AP27" i="3489" a="1"/>
  <c r="AP27" i="3489" s="1"/>
  <c r="Q27" i="3489" a="1"/>
  <c r="Q27" i="3489" s="1"/>
  <c r="BB27" i="3489" a="1"/>
  <c r="BB27" i="3489" s="1"/>
  <c r="B27" i="3489"/>
  <c r="P27" i="3489" a="1"/>
  <c r="P27" i="3489" s="1"/>
  <c r="AB27" i="3489" a="1"/>
  <c r="AB27" i="3489" s="1"/>
  <c r="O27" i="3489" a="1"/>
  <c r="O27" i="3489" s="1"/>
  <c r="N27" i="3489" a="1"/>
  <c r="N27" i="3489" s="1"/>
  <c r="AE27" i="3489" a="1"/>
  <c r="AE27" i="3489" s="1"/>
  <c r="M27" i="3489" a="1"/>
  <c r="M27" i="3489" s="1"/>
  <c r="AA27" i="3489" a="1"/>
  <c r="AA27" i="3489" s="1"/>
  <c r="L27" i="3489" a="1"/>
  <c r="L27" i="3489" s="1"/>
  <c r="BI27" i="3489" a="1"/>
  <c r="BI27" i="3489" s="1"/>
  <c r="AS27" i="3489" a="1"/>
  <c r="AS27" i="3489" s="1"/>
  <c r="BG27" i="3489" a="1"/>
  <c r="BG27" i="3489" s="1"/>
  <c r="U27" i="3489" a="1"/>
  <c r="U27" i="3489" s="1"/>
  <c r="AN27" i="3489" a="1"/>
  <c r="AN27" i="3489" s="1"/>
  <c r="AM27" i="3489" a="1"/>
  <c r="AM27" i="3489" s="1"/>
  <c r="T27" i="3489" a="1"/>
  <c r="T27" i="3489" s="1"/>
  <c r="S27" i="3489" a="1"/>
  <c r="S27" i="3489" s="1"/>
  <c r="AY27" i="3489" a="1"/>
  <c r="AY27" i="3489" s="1"/>
  <c r="X27" i="3489" a="1"/>
  <c r="X27" i="3489" s="1"/>
  <c r="K29" i="3489" a="1"/>
  <c r="K29" i="3489" s="1"/>
  <c r="H43" i="3489" a="1"/>
  <c r="H43" i="3489" s="1"/>
  <c r="J48" i="3489" a="1"/>
  <c r="J48" i="3489" s="1"/>
  <c r="G48" i="3489" a="1"/>
  <c r="G48" i="3489" s="1"/>
  <c r="H48" i="3489" a="1"/>
  <c r="H48" i="3489" s="1"/>
  <c r="E48" i="3489" a="1"/>
  <c r="E48" i="3489" s="1"/>
  <c r="BD22" i="3489" a="1"/>
  <c r="BD22" i="3489" s="1"/>
  <c r="G39" i="3489" a="1"/>
  <c r="G39" i="3489" s="1"/>
  <c r="F39" i="3489" a="1"/>
  <c r="F39" i="3489" s="1"/>
  <c r="E39" i="3489" a="1"/>
  <c r="E39" i="3489" s="1"/>
  <c r="J30" i="3489" a="1"/>
  <c r="J30" i="3489" s="1"/>
  <c r="H30" i="3489" a="1"/>
  <c r="H30" i="3489" s="1"/>
  <c r="G30" i="3489" a="1"/>
  <c r="G30" i="3489" s="1"/>
  <c r="E30" i="3489" a="1"/>
  <c r="E30" i="3489" s="1"/>
  <c r="W22" i="3489" a="1"/>
  <c r="W22" i="3489" s="1"/>
  <c r="BE22" i="3489" a="1"/>
  <c r="BE22" i="3489" s="1"/>
  <c r="H39" i="3489" a="1"/>
  <c r="H39" i="3489" s="1"/>
  <c r="X22" i="3489" a="1"/>
  <c r="X22" i="3489" s="1"/>
  <c r="AZ27" i="3489" a="1"/>
  <c r="AZ27" i="3489" s="1"/>
  <c r="J39" i="3489" a="1"/>
  <c r="J39" i="3489" s="1"/>
  <c r="J54" i="3489" a="1"/>
  <c r="J54" i="3489" s="1"/>
  <c r="G54" i="3489" a="1"/>
  <c r="G54" i="3489" s="1"/>
  <c r="H54" i="3489" a="1"/>
  <c r="H54" i="3489" s="1"/>
  <c r="F54" i="3489" a="1"/>
  <c r="F54" i="3489" s="1"/>
  <c r="E54" i="3489" a="1"/>
  <c r="E54" i="3489" s="1"/>
  <c r="J24" i="3576" a="1"/>
  <c r="J24" i="3576" s="1"/>
  <c r="I24" i="3576" a="1"/>
  <c r="I24" i="3576" s="1"/>
  <c r="Q24" i="3576" s="1"/>
  <c r="BH22" i="3489" a="1"/>
  <c r="BH22" i="3489" s="1"/>
  <c r="F30" i="3489" a="1"/>
  <c r="F30" i="3489" s="1"/>
  <c r="AE34" i="3489" a="1"/>
  <c r="AE34" i="3489" s="1"/>
  <c r="BI22" i="3489" a="1"/>
  <c r="BI22" i="3489" s="1"/>
  <c r="Z22" i="3489" a="1"/>
  <c r="Z22" i="3489" s="1"/>
  <c r="K27" i="3489" a="1"/>
  <c r="K27" i="3489" s="1"/>
  <c r="BE27" i="3489" a="1"/>
  <c r="BE27" i="3489" s="1"/>
  <c r="J26" i="3489" a="1"/>
  <c r="J26" i="3489" s="1"/>
  <c r="G26" i="3489" a="1"/>
  <c r="G26" i="3489" s="1"/>
  <c r="E26" i="3489" a="1"/>
  <c r="E26" i="3489" s="1"/>
  <c r="AB22" i="3489" a="1"/>
  <c r="AB22" i="3489" s="1"/>
  <c r="BF27" i="3489" a="1"/>
  <c r="BF27" i="3489" s="1"/>
  <c r="AY33" i="3489" a="1"/>
  <c r="AY33" i="3489" s="1"/>
  <c r="K122" i="3445" a="1"/>
  <c r="K122" i="3445" s="1"/>
  <c r="L122" i="3445" s="1"/>
  <c r="M122" i="3445" s="1"/>
  <c r="J122" i="3445" a="1"/>
  <c r="J122" i="3445" s="1"/>
  <c r="A122" i="3445"/>
  <c r="S122" i="3445" a="1"/>
  <c r="S122" i="3445" s="1"/>
  <c r="N122" i="3445" a="1"/>
  <c r="N122" i="3445" s="1"/>
  <c r="I122" i="3445" a="1"/>
  <c r="I122" i="3445" s="1"/>
  <c r="T122" i="3445"/>
  <c r="Q122" i="3445"/>
  <c r="P122" i="3445"/>
  <c r="O122" i="3445"/>
  <c r="H122" i="3445"/>
  <c r="J50" i="3489" a="1"/>
  <c r="J50" i="3489" s="1"/>
  <c r="H50" i="3489" a="1"/>
  <c r="H50" i="3489" s="1"/>
  <c r="G50" i="3489" a="1"/>
  <c r="G50" i="3489" s="1"/>
  <c r="F50" i="3489" a="1"/>
  <c r="F50" i="3489" s="1"/>
  <c r="E50" i="3489" a="1"/>
  <c r="E50" i="3489" s="1"/>
  <c r="E58" i="3489" a="1"/>
  <c r="E58" i="3489" s="1"/>
  <c r="J58" i="3489" a="1"/>
  <c r="J58" i="3489" s="1"/>
  <c r="H58" i="3489" a="1"/>
  <c r="H58" i="3489" s="1"/>
  <c r="G58" i="3489" a="1"/>
  <c r="G58" i="3489" s="1"/>
  <c r="F58" i="3489" a="1"/>
  <c r="F58" i="3489" s="1"/>
  <c r="H38" i="3444" a="1"/>
  <c r="H38" i="3444" s="1"/>
  <c r="F38" i="3444" a="1"/>
  <c r="F38" i="3444" s="1"/>
  <c r="E38" i="3444" a="1"/>
  <c r="E38" i="3444" s="1"/>
  <c r="G53" i="3489" a="1"/>
  <c r="G53" i="3489" s="1"/>
  <c r="E53" i="3489" a="1"/>
  <c r="E53" i="3489" s="1"/>
  <c r="J53" i="3489" a="1"/>
  <c r="J53" i="3489" s="1"/>
  <c r="J70" i="3489" a="1"/>
  <c r="J70" i="3489" s="1"/>
  <c r="H70" i="3489" a="1"/>
  <c r="H70" i="3489" s="1"/>
  <c r="G70" i="3489" a="1"/>
  <c r="G70" i="3489" s="1"/>
  <c r="E70" i="3489" a="1"/>
  <c r="E70" i="3489" s="1"/>
  <c r="G23" i="3489" a="1"/>
  <c r="G23" i="3489" s="1"/>
  <c r="F23" i="3489" a="1"/>
  <c r="F23" i="3489" s="1"/>
  <c r="B52" i="3489"/>
  <c r="K52" i="3489" a="1"/>
  <c r="K52" i="3489" s="1"/>
  <c r="F70" i="3489" a="1"/>
  <c r="F70" i="3489" s="1"/>
  <c r="G63" i="3489" a="1"/>
  <c r="G63" i="3489" s="1"/>
  <c r="J63" i="3489" a="1"/>
  <c r="J63" i="3489" s="1"/>
  <c r="F63" i="3489" a="1"/>
  <c r="F63" i="3489" s="1"/>
  <c r="H79" i="3489" a="1"/>
  <c r="H79" i="3489" s="1"/>
  <c r="E79" i="3489" a="1"/>
  <c r="E79" i="3489" s="1"/>
  <c r="J79" i="3489" a="1"/>
  <c r="J79" i="3489" s="1"/>
  <c r="G79" i="3489" a="1"/>
  <c r="G79" i="3489" s="1"/>
  <c r="F79" i="3489" a="1"/>
  <c r="F79" i="3489" s="1"/>
  <c r="BF31" i="3489" a="1"/>
  <c r="BF31" i="3489" s="1"/>
  <c r="AS31" i="3489" a="1"/>
  <c r="AS31" i="3489" s="1"/>
  <c r="AR31" i="3489" a="1"/>
  <c r="AR31" i="3489" s="1"/>
  <c r="AE31" i="3489" a="1"/>
  <c r="AE31" i="3489" s="1"/>
  <c r="R31" i="3489" a="1"/>
  <c r="R31" i="3489" s="1"/>
  <c r="BD31" i="3489" a="1"/>
  <c r="BD31" i="3489" s="1"/>
  <c r="AQ31" i="3489" a="1"/>
  <c r="AQ31" i="3489" s="1"/>
  <c r="AD31" i="3489" a="1"/>
  <c r="AD31" i="3489" s="1"/>
  <c r="B31" i="3489"/>
  <c r="L31" i="3489" a="1"/>
  <c r="L31" i="3489" s="1"/>
  <c r="AY31" i="3489" a="1"/>
  <c r="AY31" i="3489" s="1"/>
  <c r="AL31" i="3489" a="1"/>
  <c r="AL31" i="3489" s="1"/>
  <c r="AH31" i="3489" a="1"/>
  <c r="AH31" i="3489" s="1"/>
  <c r="AZ31" i="3489" a="1"/>
  <c r="AZ31" i="3489" s="1"/>
  <c r="AG31" i="3489" a="1"/>
  <c r="AG31" i="3489" s="1"/>
  <c r="N31" i="3489" a="1"/>
  <c r="N31" i="3489" s="1"/>
  <c r="AX31" i="3489" a="1"/>
  <c r="AX31" i="3489" s="1"/>
  <c r="AC31" i="3489" a="1"/>
  <c r="AC31" i="3489" s="1"/>
  <c r="AA31" i="3489" a="1"/>
  <c r="AA31" i="3489" s="1"/>
  <c r="AN31" i="3489" a="1"/>
  <c r="AN31" i="3489" s="1"/>
  <c r="G41" i="3489" a="1"/>
  <c r="G41" i="3489" s="1"/>
  <c r="E41" i="3489" a="1"/>
  <c r="E41" i="3489" s="1"/>
  <c r="F41" i="3489" a="1"/>
  <c r="F41" i="3489" s="1"/>
  <c r="G61" i="3489" a="1"/>
  <c r="G61" i="3489" s="1"/>
  <c r="H61" i="3489" a="1"/>
  <c r="H61" i="3489" s="1"/>
  <c r="F61" i="3489" a="1"/>
  <c r="F61" i="3489" s="1"/>
  <c r="E61" i="3489" a="1"/>
  <c r="E61" i="3489" s="1"/>
  <c r="J61" i="3489" a="1"/>
  <c r="J61" i="3489" s="1"/>
  <c r="G38" i="3489" a="1"/>
  <c r="G38" i="3489" s="1"/>
  <c r="F38" i="3489" a="1"/>
  <c r="F38" i="3489" s="1"/>
  <c r="H41" i="3489" a="1"/>
  <c r="H41" i="3489" s="1"/>
  <c r="AO31" i="3489" a="1"/>
  <c r="AO31" i="3489" s="1"/>
  <c r="E38" i="3489" a="1"/>
  <c r="E38" i="3489" s="1"/>
  <c r="J41" i="3489" a="1"/>
  <c r="J41" i="3489" s="1"/>
  <c r="A28" i="3444"/>
  <c r="O45" i="3489" a="1"/>
  <c r="O45" i="3489" s="1"/>
  <c r="BE45" i="3489" a="1"/>
  <c r="BE45" i="3489" s="1"/>
  <c r="H67" i="3489" a="1"/>
  <c r="H67" i="3489" s="1"/>
  <c r="G67" i="3489" a="1"/>
  <c r="G67" i="3489" s="1"/>
  <c r="F67" i="3489" a="1"/>
  <c r="F67" i="3489" s="1"/>
  <c r="J67" i="3489" a="1"/>
  <c r="J67" i="3489" s="1"/>
  <c r="Q45" i="3489" a="1"/>
  <c r="Q45" i="3489" s="1"/>
  <c r="AK45" i="3489" a="1"/>
  <c r="AK45" i="3489" s="1"/>
  <c r="F62" i="3489" a="1"/>
  <c r="F62" i="3489" s="1"/>
  <c r="J62" i="3489" a="1"/>
  <c r="J62" i="3489" s="1"/>
  <c r="H62" i="3489" a="1"/>
  <c r="H62" i="3489" s="1"/>
  <c r="G62" i="3489" a="1"/>
  <c r="G62" i="3489" s="1"/>
  <c r="E62" i="3489" a="1"/>
  <c r="E62" i="3489" s="1"/>
  <c r="AQ45" i="3489" a="1"/>
  <c r="AQ45" i="3489" s="1"/>
  <c r="J60" i="3489" a="1"/>
  <c r="J60" i="3489" s="1"/>
  <c r="F60" i="3489" a="1"/>
  <c r="F60" i="3489" s="1"/>
  <c r="E60" i="3489" a="1"/>
  <c r="E60" i="3489" s="1"/>
  <c r="H60" i="3489" a="1"/>
  <c r="H60" i="3489" s="1"/>
  <c r="G60" i="3489" a="1"/>
  <c r="G60" i="3489" s="1"/>
  <c r="BB72" i="3489" a="1"/>
  <c r="BB72" i="3489" s="1"/>
  <c r="R72" i="3489" a="1"/>
  <c r="R72" i="3489" s="1"/>
  <c r="AH72" i="3489" a="1"/>
  <c r="AH72" i="3489" s="1"/>
  <c r="AW72" i="3489" a="1"/>
  <c r="AW72" i="3489" s="1"/>
  <c r="AG72" i="3489" a="1"/>
  <c r="AG72" i="3489" s="1"/>
  <c r="Q72" i="3489" a="1"/>
  <c r="Q72" i="3489" s="1"/>
  <c r="P72" i="3489" a="1"/>
  <c r="P72" i="3489" s="1"/>
  <c r="N72" i="3489" a="1"/>
  <c r="N72" i="3489" s="1"/>
  <c r="BI72" i="3489" a="1"/>
  <c r="BI72" i="3489" s="1"/>
  <c r="BA72" i="3489" a="1"/>
  <c r="BA72" i="3489" s="1"/>
  <c r="AT72" i="3489" a="1"/>
  <c r="AT72" i="3489" s="1"/>
  <c r="AS72" i="3489" a="1"/>
  <c r="AS72" i="3489" s="1"/>
  <c r="AR72" i="3489" a="1"/>
  <c r="AR72" i="3489" s="1"/>
  <c r="AP72" i="3489" a="1"/>
  <c r="AP72" i="3489" s="1"/>
  <c r="J74" i="3489" a="1"/>
  <c r="J74" i="3489" s="1"/>
  <c r="H74" i="3489" a="1"/>
  <c r="H74" i="3489" s="1"/>
  <c r="G74" i="3489" a="1"/>
  <c r="G74" i="3489" s="1"/>
  <c r="F74" i="3489" a="1"/>
  <c r="F74" i="3489" s="1"/>
  <c r="E74" i="3489" a="1"/>
  <c r="E74" i="3489" s="1"/>
  <c r="H76" i="3489" a="1"/>
  <c r="H76" i="3489" s="1"/>
  <c r="J76" i="3489" a="1"/>
  <c r="J76" i="3489" s="1"/>
  <c r="G76" i="3489" a="1"/>
  <c r="G76" i="3489" s="1"/>
  <c r="F76" i="3489" a="1"/>
  <c r="F76" i="3489" s="1"/>
  <c r="E76" i="3489" a="1"/>
  <c r="E76" i="3489" s="1"/>
  <c r="F84" i="3489" a="1"/>
  <c r="F84" i="3489" s="1"/>
  <c r="J84" i="3489" a="1"/>
  <c r="J84" i="3489" s="1"/>
  <c r="H84" i="3489" a="1"/>
  <c r="H84" i="3489" s="1"/>
  <c r="G84" i="3489" a="1"/>
  <c r="G84" i="3489" s="1"/>
  <c r="E84" i="3489" a="1"/>
  <c r="E84" i="3489" s="1"/>
  <c r="AZ31" i="3444" a="1"/>
  <c r="AZ31" i="3444" s="1"/>
  <c r="AN31" i="3444" a="1"/>
  <c r="AN31" i="3444" s="1"/>
  <c r="AS31" i="3444" a="1"/>
  <c r="AS31" i="3444" s="1"/>
  <c r="BF31" i="3444" a="1"/>
  <c r="BF31" i="3444" s="1"/>
  <c r="AE31" i="3444" a="1"/>
  <c r="AE31" i="3444" s="1"/>
  <c r="R31" i="3444" a="1"/>
  <c r="R31" i="3444" s="1"/>
  <c r="AR31" i="3444" a="1"/>
  <c r="AR31" i="3444" s="1"/>
  <c r="Q31" i="3444" a="1"/>
  <c r="Q31" i="3444" s="1"/>
  <c r="BD31" i="3444" a="1"/>
  <c r="BD31" i="3444" s="1"/>
  <c r="AB31" i="3444" a="1"/>
  <c r="AB31" i="3444" s="1"/>
  <c r="O31" i="3444" a="1"/>
  <c r="O31" i="3444" s="1"/>
  <c r="AP31" i="3444" a="1"/>
  <c r="AP31" i="3444" s="1"/>
  <c r="BG31" i="3444" a="1"/>
  <c r="BG31" i="3444" s="1"/>
  <c r="AM31" i="3444" a="1"/>
  <c r="AM31" i="3444" s="1"/>
  <c r="BE31" i="3444" a="1"/>
  <c r="BE31" i="3444" s="1"/>
  <c r="W31" i="3444" a="1"/>
  <c r="W31" i="3444" s="1"/>
  <c r="AL31" i="3444" a="1"/>
  <c r="AL31" i="3444" s="1"/>
  <c r="BC31" i="3444" a="1"/>
  <c r="BC31" i="3444" s="1"/>
  <c r="V31" i="3444" a="1"/>
  <c r="V31" i="3444" s="1"/>
  <c r="AK31" i="3444" a="1"/>
  <c r="AK31" i="3444" s="1"/>
  <c r="BB31" i="3444" a="1"/>
  <c r="BB31" i="3444" s="1"/>
  <c r="U31" i="3444" a="1"/>
  <c r="U31" i="3444" s="1"/>
  <c r="BA31" i="3444" a="1"/>
  <c r="BA31" i="3444" s="1"/>
  <c r="AJ31" i="3444" a="1"/>
  <c r="AJ31" i="3444" s="1"/>
  <c r="T31" i="3444" a="1"/>
  <c r="T31" i="3444" s="1"/>
  <c r="AY31" i="3444" a="1"/>
  <c r="AY31" i="3444" s="1"/>
  <c r="AI31" i="3444" a="1"/>
  <c r="AI31" i="3444" s="1"/>
  <c r="S31" i="3444" a="1"/>
  <c r="S31" i="3444" s="1"/>
  <c r="AV31" i="3444" a="1"/>
  <c r="AV31" i="3444" s="1"/>
  <c r="AF31" i="3444" a="1"/>
  <c r="AF31" i="3444" s="1"/>
  <c r="M31" i="3444" a="1"/>
  <c r="M31" i="3444" s="1"/>
  <c r="AD31" i="3444" a="1"/>
  <c r="AD31" i="3444" s="1"/>
  <c r="AU31" i="3444" a="1"/>
  <c r="AU31" i="3444" s="1"/>
  <c r="AC31" i="3444" a="1"/>
  <c r="AC31" i="3444" s="1"/>
  <c r="L31" i="3444" a="1"/>
  <c r="L31" i="3444" s="1"/>
  <c r="BH31" i="3444" a="1"/>
  <c r="BH31" i="3444" s="1"/>
  <c r="AO31" i="3444" a="1"/>
  <c r="AO31" i="3444" s="1"/>
  <c r="X31" i="3444" a="1"/>
  <c r="X31" i="3444" s="1"/>
  <c r="Z31" i="3444" a="1"/>
  <c r="Z31" i="3444" s="1"/>
  <c r="Y31" i="3444" a="1"/>
  <c r="Y31" i="3444" s="1"/>
  <c r="P31" i="3444" a="1"/>
  <c r="P31" i="3444" s="1"/>
  <c r="K31" i="3444" a="1"/>
  <c r="K31" i="3444" s="1"/>
  <c r="AX31" i="3444" a="1"/>
  <c r="AX31" i="3444" s="1"/>
  <c r="AW31" i="3444" a="1"/>
  <c r="AW31" i="3444" s="1"/>
  <c r="AT31" i="3444" a="1"/>
  <c r="AT31" i="3444" s="1"/>
  <c r="AA31" i="3444" a="1"/>
  <c r="AA31" i="3444" s="1"/>
  <c r="AQ31" i="3444" a="1"/>
  <c r="AQ31" i="3444" s="1"/>
  <c r="AH31" i="3444" a="1"/>
  <c r="AH31" i="3444" s="1"/>
  <c r="AG31" i="3444" a="1"/>
  <c r="AG31" i="3444" s="1"/>
  <c r="N31" i="3444" a="1"/>
  <c r="N31" i="3444" s="1"/>
  <c r="W45" i="3489" a="1"/>
  <c r="W45" i="3489" s="1"/>
  <c r="J80" i="3489" a="1"/>
  <c r="J80" i="3489" s="1"/>
  <c r="H80" i="3489" a="1"/>
  <c r="H80" i="3489" s="1"/>
  <c r="G80" i="3489" a="1"/>
  <c r="G80" i="3489" s="1"/>
  <c r="F80" i="3489" a="1"/>
  <c r="F80" i="3489" s="1"/>
  <c r="E80" i="3489" a="1"/>
  <c r="E80" i="3489" s="1"/>
  <c r="AR45" i="3489" a="1"/>
  <c r="AR45" i="3489" s="1"/>
  <c r="AQ55" i="3489" a="1"/>
  <c r="AQ55" i="3489" s="1"/>
  <c r="H66" i="3489" a="1"/>
  <c r="H66" i="3489" s="1"/>
  <c r="F66" i="3489" a="1"/>
  <c r="F66" i="3489" s="1"/>
  <c r="J66" i="3489" a="1"/>
  <c r="J66" i="3489" s="1"/>
  <c r="G66" i="3489" a="1"/>
  <c r="G66" i="3489" s="1"/>
  <c r="E66" i="3489" a="1"/>
  <c r="E66" i="3489" s="1"/>
  <c r="X45" i="3489" a="1"/>
  <c r="X45" i="3489" s="1"/>
  <c r="E52" i="3489" a="1"/>
  <c r="E52" i="3489" s="1"/>
  <c r="F52" i="3489" a="1"/>
  <c r="F52" i="3489" s="1"/>
  <c r="B55" i="3489"/>
  <c r="H94" i="3489" a="1"/>
  <c r="H94" i="3489" s="1"/>
  <c r="J94" i="3489" a="1"/>
  <c r="J94" i="3489" s="1"/>
  <c r="G94" i="3489" a="1"/>
  <c r="G94" i="3489" s="1"/>
  <c r="F94" i="3489" a="1"/>
  <c r="F94" i="3489" s="1"/>
  <c r="E94" i="3489" a="1"/>
  <c r="E94" i="3489" s="1"/>
  <c r="F33" i="3489" a="1"/>
  <c r="F33" i="3489" s="1"/>
  <c r="E33" i="3489" a="1"/>
  <c r="E33" i="3489" s="1"/>
  <c r="H51" i="3489" a="1"/>
  <c r="H51" i="3489" s="1"/>
  <c r="G51" i="3489" a="1"/>
  <c r="G51" i="3489" s="1"/>
  <c r="F51" i="3489" a="1"/>
  <c r="F51" i="3489" s="1"/>
  <c r="AZ45" i="3489" a="1"/>
  <c r="AZ45" i="3489" s="1"/>
  <c r="AN45" i="3489" a="1"/>
  <c r="AN45" i="3489" s="1"/>
  <c r="AB45" i="3489" a="1"/>
  <c r="AB45" i="3489" s="1"/>
  <c r="P45" i="3489" a="1"/>
  <c r="P45" i="3489" s="1"/>
  <c r="B45" i="3489"/>
  <c r="AX45" i="3489" a="1"/>
  <c r="AX45" i="3489" s="1"/>
  <c r="AL45" i="3489" a="1"/>
  <c r="AL45" i="3489" s="1"/>
  <c r="Z45" i="3489" a="1"/>
  <c r="Z45" i="3489" s="1"/>
  <c r="N45" i="3489" a="1"/>
  <c r="N45" i="3489" s="1"/>
  <c r="BI45" i="3489" a="1"/>
  <c r="BI45" i="3489" s="1"/>
  <c r="AU45" i="3489" a="1"/>
  <c r="AU45" i="3489" s="1"/>
  <c r="AG45" i="3489" a="1"/>
  <c r="AG45" i="3489" s="1"/>
  <c r="S45" i="3489" a="1"/>
  <c r="S45" i="3489" s="1"/>
  <c r="BH45" i="3489" a="1"/>
  <c r="BH45" i="3489" s="1"/>
  <c r="AT45" i="3489" a="1"/>
  <c r="AT45" i="3489" s="1"/>
  <c r="AF45" i="3489" a="1"/>
  <c r="AF45" i="3489" s="1"/>
  <c r="R45" i="3489" a="1"/>
  <c r="R45" i="3489" s="1"/>
  <c r="BC45" i="3489" a="1"/>
  <c r="BC45" i="3489" s="1"/>
  <c r="AO45" i="3489" a="1"/>
  <c r="AO45" i="3489" s="1"/>
  <c r="Y45" i="3489" a="1"/>
  <c r="Y45" i="3489" s="1"/>
  <c r="K45" i="3489" a="1"/>
  <c r="K45" i="3489" s="1"/>
  <c r="AM45" i="3489" a="1"/>
  <c r="AM45" i="3489" s="1"/>
  <c r="AV45" i="3489" a="1"/>
  <c r="AV45" i="3489" s="1"/>
  <c r="AV55" i="3489" a="1"/>
  <c r="AV55" i="3489" s="1"/>
  <c r="X55" i="3489" a="1"/>
  <c r="X55" i="3489" s="1"/>
  <c r="BG55" i="3489" a="1"/>
  <c r="BG55" i="3489" s="1"/>
  <c r="AU55" i="3489" a="1"/>
  <c r="AU55" i="3489" s="1"/>
  <c r="AI55" i="3489" a="1"/>
  <c r="AI55" i="3489" s="1"/>
  <c r="W55" i="3489" a="1"/>
  <c r="W55" i="3489" s="1"/>
  <c r="K55" i="3489" a="1"/>
  <c r="K55" i="3489" s="1"/>
  <c r="AH55" i="3489" a="1"/>
  <c r="AH55" i="3489" s="1"/>
  <c r="AP55" i="3489" a="1"/>
  <c r="AP55" i="3489" s="1"/>
  <c r="BE55" i="3489" a="1"/>
  <c r="BE55" i="3489" s="1"/>
  <c r="Y55" i="3489" a="1"/>
  <c r="Y55" i="3489" s="1"/>
  <c r="AN55" i="3489" a="1"/>
  <c r="AN55" i="3489" s="1"/>
  <c r="BB55" i="3489" a="1"/>
  <c r="BB55" i="3489" s="1"/>
  <c r="BA55" i="3489" a="1"/>
  <c r="BA55" i="3489" s="1"/>
  <c r="AK55" i="3489" a="1"/>
  <c r="AK55" i="3489" s="1"/>
  <c r="AX55" i="3489" a="1"/>
  <c r="AX55" i="3489" s="1"/>
  <c r="O55" i="3489" a="1"/>
  <c r="O55" i="3489" s="1"/>
  <c r="N55" i="3489" a="1"/>
  <c r="N55" i="3489" s="1"/>
  <c r="AD55" i="3489" a="1"/>
  <c r="AD55" i="3489" s="1"/>
  <c r="J28" i="3489" a="1"/>
  <c r="J28" i="3489" s="1"/>
  <c r="H28" i="3489" a="1"/>
  <c r="H28" i="3489" s="1"/>
  <c r="G28" i="3489" a="1"/>
  <c r="G28" i="3489" s="1"/>
  <c r="BB34" i="3489" a="1"/>
  <c r="BB34" i="3489" s="1"/>
  <c r="BA34" i="3489" a="1"/>
  <c r="BA34" i="3489" s="1"/>
  <c r="AN34" i="3489" a="1"/>
  <c r="AN34" i="3489" s="1"/>
  <c r="AA34" i="3489" a="1"/>
  <c r="AA34" i="3489" s="1"/>
  <c r="N34" i="3489" a="1"/>
  <c r="N34" i="3489" s="1"/>
  <c r="AZ34" i="3489" a="1"/>
  <c r="AZ34" i="3489" s="1"/>
  <c r="AM34" i="3489" a="1"/>
  <c r="AM34" i="3489" s="1"/>
  <c r="Z34" i="3489" a="1"/>
  <c r="Z34" i="3489" s="1"/>
  <c r="M34" i="3489" a="1"/>
  <c r="M34" i="3489" s="1"/>
  <c r="BH34" i="3489" a="1"/>
  <c r="BH34" i="3489" s="1"/>
  <c r="AU34" i="3489" a="1"/>
  <c r="AU34" i="3489" s="1"/>
  <c r="AH34" i="3489" a="1"/>
  <c r="AH34" i="3489" s="1"/>
  <c r="U34" i="3489" a="1"/>
  <c r="U34" i="3489" s="1"/>
  <c r="W34" i="3489" a="1"/>
  <c r="W34" i="3489" s="1"/>
  <c r="AQ34" i="3489" a="1"/>
  <c r="AQ34" i="3489" s="1"/>
  <c r="AX44" i="3489" a="1"/>
  <c r="AX44" i="3489" s="1"/>
  <c r="AL44" i="3489" a="1"/>
  <c r="AL44" i="3489" s="1"/>
  <c r="N44" i="3489" a="1"/>
  <c r="N44" i="3489" s="1"/>
  <c r="BH44" i="3489" a="1"/>
  <c r="BH44" i="3489" s="1"/>
  <c r="AV44" i="3489" a="1"/>
  <c r="AV44" i="3489" s="1"/>
  <c r="X44" i="3489" a="1"/>
  <c r="X44" i="3489" s="1"/>
  <c r="L44" i="3489" a="1"/>
  <c r="L44" i="3489" s="1"/>
  <c r="AH44" i="3489" a="1"/>
  <c r="AH44" i="3489" s="1"/>
  <c r="T44" i="3489" a="1"/>
  <c r="T44" i="3489" s="1"/>
  <c r="S44" i="3489" a="1"/>
  <c r="S44" i="3489" s="1"/>
  <c r="BI44" i="3489" a="1"/>
  <c r="BI44" i="3489" s="1"/>
  <c r="AT44" i="3489" a="1"/>
  <c r="AT44" i="3489" s="1"/>
  <c r="AF44" i="3489" a="1"/>
  <c r="AF44" i="3489" s="1"/>
  <c r="B44" i="3489"/>
  <c r="BC44" i="3489" a="1"/>
  <c r="BC44" i="3489" s="1"/>
  <c r="AO44" i="3489" a="1"/>
  <c r="AO44" i="3489" s="1"/>
  <c r="AA44" i="3489" a="1"/>
  <c r="AA44" i="3489" s="1"/>
  <c r="K44" i="3489" a="1"/>
  <c r="K44" i="3489" s="1"/>
  <c r="AB44" i="3489" a="1"/>
  <c r="AB44" i="3489" s="1"/>
  <c r="AA45" i="3489" a="1"/>
  <c r="AA45" i="3489" s="1"/>
  <c r="AS55" i="3489" a="1"/>
  <c r="AS55" i="3489" s="1"/>
  <c r="AC72" i="3489" a="1"/>
  <c r="AC72" i="3489" s="1"/>
  <c r="H33" i="3489" a="1"/>
  <c r="H33" i="3489" s="1"/>
  <c r="BI34" i="3489" a="1"/>
  <c r="BI34" i="3489" s="1"/>
  <c r="AW44" i="3489" a="1"/>
  <c r="AW44" i="3489" s="1"/>
  <c r="AC45" i="3489" a="1"/>
  <c r="AC45" i="3489" s="1"/>
  <c r="AW45" i="3489" a="1"/>
  <c r="AW45" i="3489" s="1"/>
  <c r="J51" i="3489" a="1"/>
  <c r="J51" i="3489" s="1"/>
  <c r="H52" i="3489" a="1"/>
  <c r="H52" i="3489" s="1"/>
  <c r="V52" i="3489" s="1" a="1"/>
  <c r="V52" i="3489" s="1"/>
  <c r="AD72" i="3489" a="1"/>
  <c r="AD72" i="3489" s="1"/>
  <c r="E28" i="3489" a="1"/>
  <c r="E28" i="3489" s="1"/>
  <c r="J42" i="3489" a="1"/>
  <c r="J42" i="3489" s="1"/>
  <c r="G42" i="3489" a="1"/>
  <c r="G42" i="3489" s="1"/>
  <c r="E42" i="3489" a="1"/>
  <c r="E42" i="3489" s="1"/>
  <c r="AC44" i="3489" a="1"/>
  <c r="AC44" i="3489" s="1"/>
  <c r="AY44" i="3489" a="1"/>
  <c r="AY44" i="3489" s="1"/>
  <c r="AZ55" i="3489" a="1"/>
  <c r="AZ55" i="3489" s="1"/>
  <c r="AG65" i="3489" a="1"/>
  <c r="AG65" i="3489" s="1"/>
  <c r="BG65" i="3489" a="1"/>
  <c r="BG65" i="3489" s="1"/>
  <c r="Z65" i="3489" a="1"/>
  <c r="Z65" i="3489" s="1"/>
  <c r="AV65" i="3489" a="1"/>
  <c r="AV65" i="3489" s="1"/>
  <c r="R65" i="3489" a="1"/>
  <c r="R65" i="3489" s="1"/>
  <c r="Q65" i="3489" a="1"/>
  <c r="Q65" i="3489" s="1"/>
  <c r="P65" i="3489" a="1"/>
  <c r="P65" i="3489" s="1"/>
  <c r="L65" i="3489" a="1"/>
  <c r="L65" i="3489" s="1"/>
  <c r="AO65" i="3489" a="1"/>
  <c r="AO65" i="3489" s="1"/>
  <c r="F28" i="3489" a="1"/>
  <c r="F28" i="3489" s="1"/>
  <c r="J33" i="3489" a="1"/>
  <c r="J33" i="3489" s="1"/>
  <c r="F34" i="3489" a="1"/>
  <c r="F34" i="3489" s="1"/>
  <c r="AD45" i="3489" a="1"/>
  <c r="AD45" i="3489" s="1"/>
  <c r="J52" i="3489" a="1"/>
  <c r="J52" i="3489" s="1"/>
  <c r="E71" i="3489" a="1"/>
  <c r="E71" i="3489" s="1"/>
  <c r="J71" i="3489" a="1"/>
  <c r="J71" i="3489" s="1"/>
  <c r="H71" i="3489" a="1"/>
  <c r="H71" i="3489" s="1"/>
  <c r="G71" i="3489" a="1"/>
  <c r="G71" i="3489" s="1"/>
  <c r="BI69" i="3489" a="1"/>
  <c r="BI69" i="3489" s="1"/>
  <c r="Z69" i="3489" a="1"/>
  <c r="Z69" i="3489" s="1"/>
  <c r="X69" i="3489" a="1"/>
  <c r="X69" i="3489" s="1"/>
  <c r="A31" i="3444"/>
  <c r="J68" i="3489" a="1"/>
  <c r="J68" i="3489" s="1"/>
  <c r="E68" i="3489" a="1"/>
  <c r="E68" i="3489" s="1"/>
  <c r="G68" i="3489" a="1"/>
  <c r="G68" i="3489" s="1"/>
  <c r="AY90" i="3489" a="1"/>
  <c r="AY90" i="3489" s="1"/>
  <c r="H97" i="3489" a="1"/>
  <c r="H97" i="3489" s="1"/>
  <c r="G97" i="3489" a="1"/>
  <c r="G97" i="3489" s="1"/>
  <c r="E97" i="3489" a="1"/>
  <c r="E97" i="3489" s="1"/>
  <c r="F97" i="3489" a="1"/>
  <c r="F97" i="3489" s="1"/>
  <c r="G59" i="3489" a="1"/>
  <c r="G59" i="3489" s="1"/>
  <c r="H59" i="3489" a="1"/>
  <c r="H59" i="3489" s="1"/>
  <c r="F59" i="3489" a="1"/>
  <c r="F59" i="3489" s="1"/>
  <c r="J86" i="3489" a="1"/>
  <c r="J86" i="3489" s="1"/>
  <c r="H86" i="3489" a="1"/>
  <c r="H86" i="3489" s="1"/>
  <c r="G86" i="3489" a="1"/>
  <c r="G86" i="3489" s="1"/>
  <c r="F86" i="3489" a="1"/>
  <c r="F86" i="3489" s="1"/>
  <c r="E86" i="3489" a="1"/>
  <c r="E86" i="3489" s="1"/>
  <c r="K92" i="3489" a="1"/>
  <c r="K92" i="3489" s="1"/>
  <c r="B92" i="3489"/>
  <c r="P69" i="3489" a="1"/>
  <c r="P69" i="3489" s="1"/>
  <c r="E59" i="3489" a="1"/>
  <c r="E59" i="3489" s="1"/>
  <c r="Q69" i="3489" a="1"/>
  <c r="Q69" i="3489" s="1"/>
  <c r="K64" i="3445" a="1"/>
  <c r="K64" i="3445" s="1"/>
  <c r="L64" i="3445" s="1"/>
  <c r="M64" i="3445" s="1"/>
  <c r="H45" i="3436" s="1"/>
  <c r="H64" i="3445"/>
  <c r="J59" i="3489" a="1"/>
  <c r="J59" i="3489" s="1"/>
  <c r="AM28" i="3444" a="1"/>
  <c r="AM28" i="3444" s="1"/>
  <c r="O28" i="3444" a="1"/>
  <c r="O28" i="3444" s="1"/>
  <c r="AW28" i="3444" a="1"/>
  <c r="AW28" i="3444" s="1"/>
  <c r="Y28" i="3444" a="1"/>
  <c r="Y28" i="3444" s="1"/>
  <c r="M28" i="3444" a="1"/>
  <c r="M28" i="3444" s="1"/>
  <c r="BA28" i="3444" a="1"/>
  <c r="BA28" i="3444" s="1"/>
  <c r="U28" i="3444" a="1"/>
  <c r="U28" i="3444" s="1"/>
  <c r="AZ28" i="3444" a="1"/>
  <c r="AZ28" i="3444" s="1"/>
  <c r="AI28" i="3444" a="1"/>
  <c r="AI28" i="3444" s="1"/>
  <c r="AX28" i="3444" a="1"/>
  <c r="AX28" i="3444" s="1"/>
  <c r="T28" i="3444" a="1"/>
  <c r="T28" i="3444" s="1"/>
  <c r="AH28" i="3444" a="1"/>
  <c r="AH28" i="3444" s="1"/>
  <c r="AV28" i="3444" a="1"/>
  <c r="AV28" i="3444" s="1"/>
  <c r="S28" i="3444" a="1"/>
  <c r="S28" i="3444" s="1"/>
  <c r="AU28" i="3444" a="1"/>
  <c r="AU28" i="3444" s="1"/>
  <c r="R28" i="3444" a="1"/>
  <c r="R28" i="3444" s="1"/>
  <c r="AT28" i="3444" a="1"/>
  <c r="AT28" i="3444" s="1"/>
  <c r="P28" i="3444" a="1"/>
  <c r="P28" i="3444" s="1"/>
  <c r="AR28" i="3444" a="1"/>
  <c r="AR28" i="3444" s="1"/>
  <c r="BF28" i="3444" a="1"/>
  <c r="BF28" i="3444" s="1"/>
  <c r="AC28" i="3444" a="1"/>
  <c r="AC28" i="3444" s="1"/>
  <c r="BE28" i="3444" a="1"/>
  <c r="BE28" i="3444" s="1"/>
  <c r="K28" i="3444" a="1"/>
  <c r="K28" i="3444" s="1"/>
  <c r="BB28" i="3444" a="1"/>
  <c r="BB28" i="3444" s="1"/>
  <c r="AL28" i="3444" a="1"/>
  <c r="AL28" i="3444" s="1"/>
  <c r="V28" i="3444" a="1"/>
  <c r="V28" i="3444" s="1"/>
  <c r="AO28" i="3444" a="1"/>
  <c r="AO28" i="3444" s="1"/>
  <c r="AE28" i="3444" a="1"/>
  <c r="AE28" i="3444" s="1"/>
  <c r="AD28" i="3444" a="1"/>
  <c r="AD28" i="3444" s="1"/>
  <c r="Z28" i="3444" a="1"/>
  <c r="Z28" i="3444" s="1"/>
  <c r="N28" i="3444" a="1"/>
  <c r="N28" i="3444" s="1"/>
  <c r="BH28" i="3444" a="1"/>
  <c r="BH28" i="3444" s="1"/>
  <c r="BG28" i="3444" a="1"/>
  <c r="BG28" i="3444" s="1"/>
  <c r="BC28" i="3444" a="1"/>
  <c r="BC28" i="3444" s="1"/>
  <c r="F64" i="3489" a="1"/>
  <c r="F64" i="3489" s="1"/>
  <c r="J64" i="3489" a="1"/>
  <c r="J64" i="3489" s="1"/>
  <c r="H64" i="3489" a="1"/>
  <c r="H64" i="3489" s="1"/>
  <c r="F78" i="3489" a="1"/>
  <c r="F78" i="3489" s="1"/>
  <c r="J78" i="3489" a="1"/>
  <c r="J78" i="3489" s="1"/>
  <c r="H78" i="3489" a="1"/>
  <c r="H78" i="3489" s="1"/>
  <c r="E78" i="3489" a="1"/>
  <c r="E78" i="3489" s="1"/>
  <c r="G78" i="3489" a="1"/>
  <c r="G78" i="3489" s="1"/>
  <c r="J82" i="3489" a="1"/>
  <c r="J82" i="3489" s="1"/>
  <c r="H82" i="3489" a="1"/>
  <c r="H82" i="3489" s="1"/>
  <c r="G82" i="3489" a="1"/>
  <c r="G82" i="3489" s="1"/>
  <c r="F82" i="3489" a="1"/>
  <c r="F82" i="3489" s="1"/>
  <c r="AJ90" i="3489" a="1"/>
  <c r="AJ90" i="3489" s="1"/>
  <c r="AX90" i="3489" a="1"/>
  <c r="AX90" i="3489" s="1"/>
  <c r="E64" i="3489" a="1"/>
  <c r="E64" i="3489" s="1"/>
  <c r="AN77" i="3489" a="1"/>
  <c r="AN77" i="3489" s="1"/>
  <c r="U77" i="3489" a="1"/>
  <c r="U77" i="3489" s="1"/>
  <c r="AJ77" i="3489" a="1"/>
  <c r="AJ77" i="3489" s="1"/>
  <c r="AF77" i="3489" a="1"/>
  <c r="AF77" i="3489" s="1"/>
  <c r="N77" i="3489" a="1"/>
  <c r="N77" i="3489" s="1"/>
  <c r="E82" i="3489" a="1"/>
  <c r="E82" i="3489" s="1"/>
  <c r="E89" i="3489" a="1"/>
  <c r="E89" i="3489" s="1"/>
  <c r="J89" i="3489" a="1"/>
  <c r="J89" i="3489" s="1"/>
  <c r="H89" i="3489" a="1"/>
  <c r="H89" i="3489" s="1"/>
  <c r="AL89" i="3489" s="1" a="1"/>
  <c r="AL89" i="3489" s="1"/>
  <c r="BD28" i="3444" a="1"/>
  <c r="BD28" i="3444" s="1"/>
  <c r="E55" i="3489" a="1"/>
  <c r="E55" i="3489" s="1"/>
  <c r="F40" i="3489" a="1"/>
  <c r="F40" i="3489" s="1"/>
  <c r="G64" i="3489" a="1"/>
  <c r="G64" i="3489" s="1"/>
  <c r="K89" i="3489" a="1"/>
  <c r="K89" i="3489" s="1"/>
  <c r="V90" i="3489" a="1"/>
  <c r="V90" i="3489" s="1"/>
  <c r="F55" i="3489" a="1"/>
  <c r="F55" i="3489" s="1"/>
  <c r="F73" i="3489" a="1"/>
  <c r="F73" i="3489" s="1"/>
  <c r="E73" i="3489" a="1"/>
  <c r="E73" i="3489" s="1"/>
  <c r="J73" i="3489" a="1"/>
  <c r="J73" i="3489" s="1"/>
  <c r="H73" i="3489" a="1"/>
  <c r="H73" i="3489" s="1"/>
  <c r="G73" i="3489" a="1"/>
  <c r="G73" i="3489" s="1"/>
  <c r="W90" i="3489" a="1"/>
  <c r="W90" i="3489" s="1"/>
  <c r="G40" i="3489" a="1"/>
  <c r="G40" i="3489" s="1"/>
  <c r="BB65" i="3489" a="1"/>
  <c r="BB65" i="3489" s="1"/>
  <c r="AN65" i="3489" a="1"/>
  <c r="AN65" i="3489" s="1"/>
  <c r="AA65" i="3489" a="1"/>
  <c r="AA65" i="3489" s="1"/>
  <c r="N65" i="3489" a="1"/>
  <c r="N65" i="3489" s="1"/>
  <c r="BA65" i="3489" a="1"/>
  <c r="BA65" i="3489" s="1"/>
  <c r="AM65" i="3489" a="1"/>
  <c r="AM65" i="3489" s="1"/>
  <c r="W65" i="3489" a="1"/>
  <c r="W65" i="3489" s="1"/>
  <c r="AL65" i="3489" a="1"/>
  <c r="AL65" i="3489" s="1"/>
  <c r="BC65" i="3489" a="1"/>
  <c r="BC65" i="3489" s="1"/>
  <c r="AZ65" i="3489" a="1"/>
  <c r="AZ65" i="3489" s="1"/>
  <c r="AJ65" i="3489" a="1"/>
  <c r="AJ65" i="3489" s="1"/>
  <c r="U65" i="3489" a="1"/>
  <c r="U65" i="3489" s="1"/>
  <c r="AI65" i="3489" a="1"/>
  <c r="AI65" i="3489" s="1"/>
  <c r="T65" i="3489" a="1"/>
  <c r="T65" i="3489" s="1"/>
  <c r="B65" i="3489"/>
  <c r="AW65" i="3489" a="1"/>
  <c r="AW65" i="3489" s="1"/>
  <c r="AH65" i="3489" a="1"/>
  <c r="AH65" i="3489" s="1"/>
  <c r="BI65" i="3489" a="1"/>
  <c r="BI65" i="3489" s="1"/>
  <c r="O65" i="3489" a="1"/>
  <c r="O65" i="3489" s="1"/>
  <c r="AS65" i="3489" a="1"/>
  <c r="AS65" i="3489" s="1"/>
  <c r="M65" i="3489" a="1"/>
  <c r="M65" i="3489" s="1"/>
  <c r="BE65" i="3489" a="1"/>
  <c r="BE65" i="3489" s="1"/>
  <c r="AP65" i="3489" a="1"/>
  <c r="AP65" i="3489" s="1"/>
  <c r="X65" i="3489" a="1"/>
  <c r="X65" i="3489" s="1"/>
  <c r="AI69" i="3489" a="1"/>
  <c r="AI69" i="3489" s="1"/>
  <c r="X90" i="3489" a="1"/>
  <c r="X90" i="3489" s="1"/>
  <c r="AZ72" i="3489" a="1"/>
  <c r="AZ72" i="3489" s="1"/>
  <c r="AM72" i="3489" a="1"/>
  <c r="AM72" i="3489" s="1"/>
  <c r="Z72" i="3489" a="1"/>
  <c r="Z72" i="3489" s="1"/>
  <c r="M72" i="3489" a="1"/>
  <c r="M72" i="3489" s="1"/>
  <c r="AY72" i="3489" a="1"/>
  <c r="AY72" i="3489" s="1"/>
  <c r="AL72" i="3489" a="1"/>
  <c r="AL72" i="3489" s="1"/>
  <c r="Y72" i="3489" a="1"/>
  <c r="Y72" i="3489" s="1"/>
  <c r="L72" i="3489" a="1"/>
  <c r="L72" i="3489" s="1"/>
  <c r="AX72" i="3489" a="1"/>
  <c r="AX72" i="3489" s="1"/>
  <c r="AK72" i="3489" a="1"/>
  <c r="AK72" i="3489" s="1"/>
  <c r="X72" i="3489" a="1"/>
  <c r="X72" i="3489" s="1"/>
  <c r="K72" i="3489" a="1"/>
  <c r="K72" i="3489" s="1"/>
  <c r="S72" i="3489" a="1"/>
  <c r="S72" i="3489" s="1"/>
  <c r="AQ72" i="3489" a="1"/>
  <c r="AQ72" i="3489" s="1"/>
  <c r="BH72" i="3489" a="1"/>
  <c r="BH72" i="3489" s="1"/>
  <c r="AU72" i="3489" a="1"/>
  <c r="AU72" i="3489" s="1"/>
  <c r="O83" i="3489" a="1"/>
  <c r="O83" i="3489" s="1"/>
  <c r="AF90" i="3489" a="1"/>
  <c r="AF90" i="3489" s="1"/>
  <c r="BG90" i="3489" a="1"/>
  <c r="BG90" i="3489" s="1"/>
  <c r="AE72" i="3489" a="1"/>
  <c r="AE72" i="3489" s="1"/>
  <c r="AV72" i="3489" a="1"/>
  <c r="AV72" i="3489" s="1"/>
  <c r="BE77" i="3489" a="1"/>
  <c r="BE77" i="3489" s="1"/>
  <c r="AG90" i="3489" a="1"/>
  <c r="AG90" i="3489" s="1"/>
  <c r="AC96" i="3489" a="1"/>
  <c r="AC96" i="3489" s="1"/>
  <c r="O72" i="3489" a="1"/>
  <c r="O72" i="3489" s="1"/>
  <c r="AF72" i="3489" a="1"/>
  <c r="AF72" i="3489" s="1"/>
  <c r="BC90" i="3489" a="1"/>
  <c r="BC90" i="3489" s="1"/>
  <c r="AQ90" i="3489" a="1"/>
  <c r="AQ90" i="3489" s="1"/>
  <c r="AE90" i="3489" a="1"/>
  <c r="AE90" i="3489" s="1"/>
  <c r="S90" i="3489" a="1"/>
  <c r="S90" i="3489" s="1"/>
  <c r="BI90" i="3489" a="1"/>
  <c r="BI90" i="3489" s="1"/>
  <c r="AW90" i="3489" a="1"/>
  <c r="AW90" i="3489" s="1"/>
  <c r="AK90" i="3489" a="1"/>
  <c r="AK90" i="3489" s="1"/>
  <c r="Y90" i="3489" a="1"/>
  <c r="Y90" i="3489" s="1"/>
  <c r="M90" i="3489" a="1"/>
  <c r="M90" i="3489" s="1"/>
  <c r="AP90" i="3489" a="1"/>
  <c r="AP90" i="3489" s="1"/>
  <c r="AB90" i="3489" a="1"/>
  <c r="AB90" i="3489" s="1"/>
  <c r="N90" i="3489" a="1"/>
  <c r="N90" i="3489" s="1"/>
  <c r="BE90" i="3489" a="1"/>
  <c r="BE90" i="3489" s="1"/>
  <c r="AO90" i="3489" a="1"/>
  <c r="AO90" i="3489" s="1"/>
  <c r="AA90" i="3489" a="1"/>
  <c r="AA90" i="3489" s="1"/>
  <c r="BD90" i="3489" a="1"/>
  <c r="BD90" i="3489" s="1"/>
  <c r="L90" i="3489" a="1"/>
  <c r="L90" i="3489" s="1"/>
  <c r="K90" i="3489" a="1"/>
  <c r="K90" i="3489" s="1"/>
  <c r="BA90" i="3489" a="1"/>
  <c r="BA90" i="3489" s="1"/>
  <c r="AM90" i="3489" a="1"/>
  <c r="AM90" i="3489" s="1"/>
  <c r="AZ90" i="3489" a="1"/>
  <c r="AZ90" i="3489" s="1"/>
  <c r="AL90" i="3489" a="1"/>
  <c r="AL90" i="3489" s="1"/>
  <c r="AV90" i="3489" a="1"/>
  <c r="AV90" i="3489" s="1"/>
  <c r="AH90" i="3489" a="1"/>
  <c r="AH90" i="3489" s="1"/>
  <c r="T90" i="3489" a="1"/>
  <c r="T90" i="3489" s="1"/>
  <c r="AC90" i="3489" a="1"/>
  <c r="AC90" i="3489" s="1"/>
  <c r="O90" i="3489" a="1"/>
  <c r="O90" i="3489" s="1"/>
  <c r="BF90" i="3489" a="1"/>
  <c r="BF90" i="3489" s="1"/>
  <c r="AR90" i="3489" a="1"/>
  <c r="AR90" i="3489" s="1"/>
  <c r="AI90" i="3489" a="1"/>
  <c r="AI90" i="3489" s="1"/>
  <c r="H32" i="3444" a="1"/>
  <c r="H32" i="3444" s="1"/>
  <c r="F32" i="3444" a="1"/>
  <c r="F32" i="3444" s="1"/>
  <c r="E32" i="3444" a="1"/>
  <c r="E32" i="3444" s="1"/>
  <c r="BA47" i="3444" a="1"/>
  <c r="BA47" i="3444" s="1"/>
  <c r="Q47" i="3444" a="1"/>
  <c r="Q47" i="3444" s="1"/>
  <c r="AZ47" i="3444" a="1"/>
  <c r="AZ47" i="3444" s="1"/>
  <c r="AN47" i="3444" a="1"/>
  <c r="AN47" i="3444" s="1"/>
  <c r="AB47" i="3444" a="1"/>
  <c r="AB47" i="3444" s="1"/>
  <c r="AQ47" i="3444" a="1"/>
  <c r="AQ47" i="3444" s="1"/>
  <c r="BE47" i="3444" a="1"/>
  <c r="BE47" i="3444" s="1"/>
  <c r="Z47" i="3444" a="1"/>
  <c r="Z47" i="3444" s="1"/>
  <c r="BD47" i="3444" a="1"/>
  <c r="BD47" i="3444" s="1"/>
  <c r="AM47" i="3444" a="1"/>
  <c r="AM47" i="3444" s="1"/>
  <c r="X47" i="3444" a="1"/>
  <c r="X47" i="3444" s="1"/>
  <c r="BC47" i="3444" a="1"/>
  <c r="BC47" i="3444" s="1"/>
  <c r="AX47" i="3444" a="1"/>
  <c r="AX47" i="3444" s="1"/>
  <c r="AI47" i="3444" a="1"/>
  <c r="AI47" i="3444" s="1"/>
  <c r="T47" i="3444" a="1"/>
  <c r="T47" i="3444" s="1"/>
  <c r="AH47" i="3444" a="1"/>
  <c r="AH47" i="3444" s="1"/>
  <c r="AV47" i="3444" a="1"/>
  <c r="AV47" i="3444" s="1"/>
  <c r="S47" i="3444" a="1"/>
  <c r="S47" i="3444" s="1"/>
  <c r="BG47" i="3444" a="1"/>
  <c r="BG47" i="3444" s="1"/>
  <c r="AR47" i="3444" a="1"/>
  <c r="AR47" i="3444" s="1"/>
  <c r="AU47" i="3444" a="1"/>
  <c r="AU47" i="3444" s="1"/>
  <c r="R47" i="3444" a="1"/>
  <c r="R47" i="3444" s="1"/>
  <c r="AP47" i="3444" a="1"/>
  <c r="AP47" i="3444" s="1"/>
  <c r="AL47" i="3444" a="1"/>
  <c r="AL47" i="3444" s="1"/>
  <c r="AK47" i="3444" a="1"/>
  <c r="AK47" i="3444" s="1"/>
  <c r="AG47" i="3444" a="1"/>
  <c r="AG47" i="3444" s="1"/>
  <c r="AF47" i="3444" a="1"/>
  <c r="AF47" i="3444" s="1"/>
  <c r="V47" i="3444" a="1"/>
  <c r="V47" i="3444" s="1"/>
  <c r="AY47" i="3444" a="1"/>
  <c r="AY47" i="3444" s="1"/>
  <c r="BB47" i="3444" a="1"/>
  <c r="BB47" i="3444" s="1"/>
  <c r="AE47" i="3444" a="1"/>
  <c r="AE47" i="3444" s="1"/>
  <c r="Y47" i="3444" a="1"/>
  <c r="Y47" i="3444" s="1"/>
  <c r="W47" i="3444" a="1"/>
  <c r="W47" i="3444" s="1"/>
  <c r="G81" i="3489" a="1"/>
  <c r="G81" i="3489" s="1"/>
  <c r="AI72" i="3489" a="1"/>
  <c r="AI72" i="3489" s="1"/>
  <c r="E85" i="3489" a="1"/>
  <c r="E85" i="3489" s="1"/>
  <c r="E88" i="3489" a="1"/>
  <c r="E88" i="3489" s="1"/>
  <c r="A22" i="3444"/>
  <c r="H81" i="3489" a="1"/>
  <c r="H81" i="3489" s="1"/>
  <c r="AP96" i="3489" a="1"/>
  <c r="AP96" i="3489" s="1"/>
  <c r="T72" i="3489" a="1"/>
  <c r="T72" i="3489" s="1"/>
  <c r="AJ72" i="3489" a="1"/>
  <c r="AJ72" i="3489" s="1"/>
  <c r="BC72" i="3489" a="1"/>
  <c r="BC72" i="3489" s="1"/>
  <c r="AO77" i="3489" a="1"/>
  <c r="AO77" i="3489" s="1"/>
  <c r="Q77" i="3489" a="1"/>
  <c r="Q77" i="3489" s="1"/>
  <c r="Y77" i="3489" a="1"/>
  <c r="Y77" i="3489" s="1"/>
  <c r="K77" i="3489" a="1"/>
  <c r="K77" i="3489" s="1"/>
  <c r="AK77" i="3489" a="1"/>
  <c r="AK77" i="3489" s="1"/>
  <c r="S77" i="3489" a="1"/>
  <c r="S77" i="3489" s="1"/>
  <c r="BA83" i="3489" a="1"/>
  <c r="BA83" i="3489" s="1"/>
  <c r="AO83" i="3489" a="1"/>
  <c r="AO83" i="3489" s="1"/>
  <c r="AC83" i="3489" a="1"/>
  <c r="AC83" i="3489" s="1"/>
  <c r="Q83" i="3489" a="1"/>
  <c r="Q83" i="3489" s="1"/>
  <c r="BI83" i="3489" a="1"/>
  <c r="BI83" i="3489" s="1"/>
  <c r="AH83" i="3489" a="1"/>
  <c r="AH83" i="3489" s="1"/>
  <c r="AU83" i="3489" a="1"/>
  <c r="AU83" i="3489" s="1"/>
  <c r="T83" i="3489" a="1"/>
  <c r="T83" i="3489" s="1"/>
  <c r="BH83" i="3489" a="1"/>
  <c r="BH83" i="3489" s="1"/>
  <c r="AG83" i="3489" a="1"/>
  <c r="AG83" i="3489" s="1"/>
  <c r="AT83" i="3489" a="1"/>
  <c r="AT83" i="3489" s="1"/>
  <c r="S83" i="3489" a="1"/>
  <c r="S83" i="3489" s="1"/>
  <c r="AS83" i="3489" a="1"/>
  <c r="AS83" i="3489" s="1"/>
  <c r="R83" i="3489" a="1"/>
  <c r="R83" i="3489" s="1"/>
  <c r="BB83" i="3489" a="1"/>
  <c r="BB83" i="3489" s="1"/>
  <c r="AM83" i="3489" a="1"/>
  <c r="AM83" i="3489" s="1"/>
  <c r="L83" i="3489" a="1"/>
  <c r="L83" i="3489" s="1"/>
  <c r="AI83" i="3489" a="1"/>
  <c r="AI83" i="3489" s="1"/>
  <c r="F85" i="3489" a="1"/>
  <c r="F85" i="3489" s="1"/>
  <c r="F88" i="3489" a="1"/>
  <c r="F88" i="3489" s="1"/>
  <c r="P90" i="3489" a="1"/>
  <c r="P90" i="3489" s="1"/>
  <c r="AN90" i="3489" a="1"/>
  <c r="AN90" i="3489" s="1"/>
  <c r="AV96" i="3489" a="1"/>
  <c r="AV96" i="3489" s="1"/>
  <c r="BH22" i="3444" a="1"/>
  <c r="BH22" i="3444" s="1"/>
  <c r="AV22" i="3444" a="1"/>
  <c r="AV22" i="3444" s="1"/>
  <c r="AJ22" i="3444" a="1"/>
  <c r="AJ22" i="3444" s="1"/>
  <c r="X22" i="3444" a="1"/>
  <c r="X22" i="3444" s="1"/>
  <c r="L22" i="3444" a="1"/>
  <c r="L22" i="3444" s="1"/>
  <c r="BF22" i="3444" a="1"/>
  <c r="BF22" i="3444" s="1"/>
  <c r="AT22" i="3444" a="1"/>
  <c r="AT22" i="3444" s="1"/>
  <c r="AH22" i="3444" a="1"/>
  <c r="AH22" i="3444" s="1"/>
  <c r="V22" i="3444" a="1"/>
  <c r="V22" i="3444" s="1"/>
  <c r="AZ22" i="3444" a="1"/>
  <c r="AZ22" i="3444" s="1"/>
  <c r="AK22" i="3444" a="1"/>
  <c r="AK22" i="3444" s="1"/>
  <c r="T22" i="3444" a="1"/>
  <c r="T22" i="3444" s="1"/>
  <c r="AY22" i="3444" a="1"/>
  <c r="AY22" i="3444" s="1"/>
  <c r="AI22" i="3444" a="1"/>
  <c r="AI22" i="3444" s="1"/>
  <c r="S22" i="3444" a="1"/>
  <c r="S22" i="3444" s="1"/>
  <c r="AX22" i="3444" a="1"/>
  <c r="AX22" i="3444" s="1"/>
  <c r="AG22" i="3444" a="1"/>
  <c r="AG22" i="3444" s="1"/>
  <c r="AU22" i="3444" a="1"/>
  <c r="AU22" i="3444" s="1"/>
  <c r="Q22" i="3444" a="1"/>
  <c r="Q22" i="3444" s="1"/>
  <c r="AD22" i="3444" a="1"/>
  <c r="AD22" i="3444" s="1"/>
  <c r="BG22" i="3444" a="1"/>
  <c r="BG22" i="3444" s="1"/>
  <c r="AC22" i="3444" a="1"/>
  <c r="AC22" i="3444" s="1"/>
  <c r="AQ22" i="3444" a="1"/>
  <c r="AQ22" i="3444" s="1"/>
  <c r="N22" i="3444" a="1"/>
  <c r="N22" i="3444" s="1"/>
  <c r="BE22" i="3444" a="1"/>
  <c r="BE22" i="3444" s="1"/>
  <c r="AB22" i="3444" a="1"/>
  <c r="AB22" i="3444" s="1"/>
  <c r="AP22" i="3444" a="1"/>
  <c r="AP22" i="3444" s="1"/>
  <c r="M22" i="3444" a="1"/>
  <c r="M22" i="3444" s="1"/>
  <c r="AM22" i="3444" a="1"/>
  <c r="AM22" i="3444" s="1"/>
  <c r="W22" i="3444" a="1"/>
  <c r="W22" i="3444" s="1"/>
  <c r="BA22" i="3444" a="1"/>
  <c r="BA22" i="3444" s="1"/>
  <c r="AA22" i="3444" a="1"/>
  <c r="AA22" i="3444" s="1"/>
  <c r="BC22" i="3444" a="1"/>
  <c r="BC22" i="3444" s="1"/>
  <c r="Y22" i="3444" a="1"/>
  <c r="Y22" i="3444" s="1"/>
  <c r="U22" i="3444" a="1"/>
  <c r="U22" i="3444" s="1"/>
  <c r="BB22" i="3444" a="1"/>
  <c r="BB22" i="3444" s="1"/>
  <c r="R22" i="3444" a="1"/>
  <c r="R22" i="3444" s="1"/>
  <c r="AR22" i="3444" a="1"/>
  <c r="AR22" i="3444" s="1"/>
  <c r="K22" i="3444" a="1"/>
  <c r="K22" i="3444" s="1"/>
  <c r="AO22" i="3444" a="1"/>
  <c r="AO22" i="3444" s="1"/>
  <c r="AF22" i="3444" a="1"/>
  <c r="AF22" i="3444" s="1"/>
  <c r="AE22" i="3444" a="1"/>
  <c r="AE22" i="3444" s="1"/>
  <c r="AZ36" i="3444" a="1"/>
  <c r="AZ36" i="3444" s="1"/>
  <c r="AN36" i="3444" a="1"/>
  <c r="AN36" i="3444" s="1"/>
  <c r="AB36" i="3444" a="1"/>
  <c r="AB36" i="3444" s="1"/>
  <c r="P36" i="3444" a="1"/>
  <c r="P36" i="3444" s="1"/>
  <c r="AY36" i="3444" a="1"/>
  <c r="AY36" i="3444" s="1"/>
  <c r="AM36" i="3444" a="1"/>
  <c r="AM36" i="3444" s="1"/>
  <c r="AA36" i="3444" a="1"/>
  <c r="AA36" i="3444" s="1"/>
  <c r="O36" i="3444" a="1"/>
  <c r="O36" i="3444" s="1"/>
  <c r="BH36" i="3444" a="1"/>
  <c r="BH36" i="3444" s="1"/>
  <c r="AV36" i="3444" a="1"/>
  <c r="AV36" i="3444" s="1"/>
  <c r="AJ36" i="3444" a="1"/>
  <c r="AJ36" i="3444" s="1"/>
  <c r="X36" i="3444" a="1"/>
  <c r="X36" i="3444" s="1"/>
  <c r="L36" i="3444" a="1"/>
  <c r="L36" i="3444" s="1"/>
  <c r="AG36" i="3444" a="1"/>
  <c r="AG36" i="3444" s="1"/>
  <c r="AU36" i="3444" a="1"/>
  <c r="AU36" i="3444" s="1"/>
  <c r="R36" i="3444" a="1"/>
  <c r="R36" i="3444" s="1"/>
  <c r="AF36" i="3444" a="1"/>
  <c r="AF36" i="3444" s="1"/>
  <c r="AS36" i="3444" a="1"/>
  <c r="AS36" i="3444" s="1"/>
  <c r="N36" i="3444" a="1"/>
  <c r="N36" i="3444" s="1"/>
  <c r="BG36" i="3444" a="1"/>
  <c r="BG36" i="3444" s="1"/>
  <c r="AD36" i="3444" a="1"/>
  <c r="AD36" i="3444" s="1"/>
  <c r="BC36" i="3444" a="1"/>
  <c r="BC36" i="3444" s="1"/>
  <c r="W36" i="3444" a="1"/>
  <c r="W36" i="3444" s="1"/>
  <c r="AQ36" i="3444" a="1"/>
  <c r="AQ36" i="3444" s="1"/>
  <c r="V36" i="3444" a="1"/>
  <c r="V36" i="3444" s="1"/>
  <c r="AP36" i="3444" a="1"/>
  <c r="AP36" i="3444" s="1"/>
  <c r="U36" i="3444" a="1"/>
  <c r="U36" i="3444" s="1"/>
  <c r="AO36" i="3444" a="1"/>
  <c r="AO36" i="3444" s="1"/>
  <c r="BF36" i="3444" a="1"/>
  <c r="BF36" i="3444" s="1"/>
  <c r="AL36" i="3444" a="1"/>
  <c r="AL36" i="3444" s="1"/>
  <c r="T36" i="3444" a="1"/>
  <c r="T36" i="3444" s="1"/>
  <c r="BE36" i="3444" a="1"/>
  <c r="BE36" i="3444" s="1"/>
  <c r="AK36" i="3444" a="1"/>
  <c r="AK36" i="3444" s="1"/>
  <c r="S36" i="3444" a="1"/>
  <c r="S36" i="3444" s="1"/>
  <c r="Q36" i="3444" a="1"/>
  <c r="Q36" i="3444" s="1"/>
  <c r="AI36" i="3444" a="1"/>
  <c r="AI36" i="3444" s="1"/>
  <c r="M36" i="3444" a="1"/>
  <c r="M36" i="3444" s="1"/>
  <c r="BB36" i="3444" a="1"/>
  <c r="BB36" i="3444" s="1"/>
  <c r="AH36" i="3444" a="1"/>
  <c r="AH36" i="3444" s="1"/>
  <c r="K36" i="3444" a="1"/>
  <c r="K36" i="3444" s="1"/>
  <c r="BA36" i="3444" a="1"/>
  <c r="BA36" i="3444" s="1"/>
  <c r="AE36" i="3444" a="1"/>
  <c r="AE36" i="3444" s="1"/>
  <c r="Y36" i="3444" a="1"/>
  <c r="Y36" i="3444" s="1"/>
  <c r="AR36" i="3444" a="1"/>
  <c r="AR36" i="3444" s="1"/>
  <c r="Z36" i="3444" a="1"/>
  <c r="Z36" i="3444" s="1"/>
  <c r="BD36" i="3444" a="1"/>
  <c r="BD36" i="3444" s="1"/>
  <c r="AX36" i="3444" a="1"/>
  <c r="AX36" i="3444" s="1"/>
  <c r="AC36" i="3444" a="1"/>
  <c r="AC36" i="3444" s="1"/>
  <c r="BD72" i="3489" a="1"/>
  <c r="BD72" i="3489" s="1"/>
  <c r="AA77" i="3489" a="1"/>
  <c r="AA77" i="3489" s="1"/>
  <c r="AS77" i="3489" a="1"/>
  <c r="AS77" i="3489" s="1"/>
  <c r="J81" i="3489" a="1"/>
  <c r="J81" i="3489" s="1"/>
  <c r="Y83" i="3489" a="1"/>
  <c r="Y83" i="3489" s="1"/>
  <c r="AR83" i="3489" a="1"/>
  <c r="AR83" i="3489" s="1"/>
  <c r="AS90" i="3489" a="1"/>
  <c r="AS90" i="3489" s="1"/>
  <c r="U72" i="3489" a="1"/>
  <c r="U72" i="3489" s="1"/>
  <c r="Z83" i="3489" a="1"/>
  <c r="Z83" i="3489" s="1"/>
  <c r="G85" i="3489" a="1"/>
  <c r="G85" i="3489" s="1"/>
  <c r="G88" i="3489" a="1"/>
  <c r="G88" i="3489" s="1"/>
  <c r="Q90" i="3489" a="1"/>
  <c r="Q90" i="3489" s="1"/>
  <c r="AV91" i="3489" a="1"/>
  <c r="AV91" i="3489" s="1"/>
  <c r="AC91" i="3489" a="1"/>
  <c r="AC91" i="3489" s="1"/>
  <c r="AT36" i="3444" a="1"/>
  <c r="AT36" i="3444" s="1"/>
  <c r="B72" i="3489"/>
  <c r="AN72" i="3489" a="1"/>
  <c r="AN72" i="3489" s="1"/>
  <c r="BE72" i="3489" a="1"/>
  <c r="BE72" i="3489" s="1"/>
  <c r="AB77" i="3489" a="1"/>
  <c r="AB77" i="3489" s="1"/>
  <c r="J85" i="3489" a="1"/>
  <c r="J85" i="3489" s="1"/>
  <c r="AT90" i="3489" a="1"/>
  <c r="AT90" i="3489" s="1"/>
  <c r="BA96" i="3489" a="1"/>
  <c r="BA96" i="3489" s="1"/>
  <c r="K96" i="3489" a="1"/>
  <c r="K96" i="3489" s="1"/>
  <c r="BH96" i="3489" a="1"/>
  <c r="BH96" i="3489" s="1"/>
  <c r="AG96" i="3489" a="1"/>
  <c r="AG96" i="3489" s="1"/>
  <c r="BG96" i="3489" a="1"/>
  <c r="BG96" i="3489" s="1"/>
  <c r="AF96" i="3489" a="1"/>
  <c r="AF96" i="3489" s="1"/>
  <c r="R96" i="3489" a="1"/>
  <c r="R96" i="3489" s="1"/>
  <c r="B96" i="3489"/>
  <c r="Q96" i="3489" a="1"/>
  <c r="Q96" i="3489" s="1"/>
  <c r="Z96" i="3489" a="1"/>
  <c r="Z96" i="3489" s="1"/>
  <c r="AR96" i="3489" a="1"/>
  <c r="AR96" i="3489" s="1"/>
  <c r="X96" i="3489" a="1"/>
  <c r="X96" i="3489" s="1"/>
  <c r="AQ96" i="3489" a="1"/>
  <c r="AQ96" i="3489" s="1"/>
  <c r="AO96" i="3489" a="1"/>
  <c r="AO96" i="3489" s="1"/>
  <c r="V96" i="3489" a="1"/>
  <c r="V96" i="3489" s="1"/>
  <c r="T96" i="3489" a="1"/>
  <c r="T96" i="3489" s="1"/>
  <c r="BB96" i="3489" a="1"/>
  <c r="BB96" i="3489" s="1"/>
  <c r="N96" i="3489" a="1"/>
  <c r="N96" i="3489" s="1"/>
  <c r="AX96" i="3489" a="1"/>
  <c r="AX96" i="3489" s="1"/>
  <c r="AE96" i="3489" a="1"/>
  <c r="AE96" i="3489" s="1"/>
  <c r="AA96" i="3489" a="1"/>
  <c r="AA96" i="3489" s="1"/>
  <c r="AU96" i="3489" a="1"/>
  <c r="AU96" i="3489" s="1"/>
  <c r="H33" i="3444" a="1"/>
  <c r="H33" i="3444" s="1"/>
  <c r="F33" i="3444" a="1"/>
  <c r="F33" i="3444" s="1"/>
  <c r="V72" i="3489" a="1"/>
  <c r="V72" i="3489" s="1"/>
  <c r="H75" i="3489" a="1"/>
  <c r="H75" i="3489" s="1"/>
  <c r="G75" i="3489" a="1"/>
  <c r="G75" i="3489" s="1"/>
  <c r="F75" i="3489" a="1"/>
  <c r="F75" i="3489" s="1"/>
  <c r="AU77" i="3489" a="1"/>
  <c r="AU77" i="3489" s="1"/>
  <c r="AA83" i="3489" a="1"/>
  <c r="AA83" i="3489" s="1"/>
  <c r="AV83" i="3489" a="1"/>
  <c r="AV83" i="3489" s="1"/>
  <c r="J88" i="3489" a="1"/>
  <c r="J88" i="3489" s="1"/>
  <c r="R90" i="3489" a="1"/>
  <c r="R90" i="3489" s="1"/>
  <c r="P22" i="3444" a="1"/>
  <c r="P22" i="3444" s="1"/>
  <c r="H30" i="3444" a="1"/>
  <c r="H30" i="3444" s="1"/>
  <c r="F30" i="3444" a="1"/>
  <c r="F30" i="3444" s="1"/>
  <c r="E30" i="3444" a="1"/>
  <c r="E30" i="3444" s="1"/>
  <c r="AW36" i="3444" a="1"/>
  <c r="AW36" i="3444" s="1"/>
  <c r="AO72" i="3489" a="1"/>
  <c r="AO72" i="3489" s="1"/>
  <c r="BF72" i="3489" a="1"/>
  <c r="BF72" i="3489" s="1"/>
  <c r="AW83" i="3489" a="1"/>
  <c r="AW83" i="3489" s="1"/>
  <c r="F87" i="3489" a="1"/>
  <c r="F87" i="3489" s="1"/>
  <c r="E87" i="3489" a="1"/>
  <c r="E87" i="3489" s="1"/>
  <c r="G87" i="3489" a="1"/>
  <c r="G87" i="3489" s="1"/>
  <c r="U90" i="3489" a="1"/>
  <c r="U90" i="3489" s="1"/>
  <c r="AU90" i="3489" a="1"/>
  <c r="AU90" i="3489" s="1"/>
  <c r="AK91" i="3489" a="1"/>
  <c r="AK91" i="3489" s="1"/>
  <c r="BC96" i="3489" a="1"/>
  <c r="BC96" i="3489" s="1"/>
  <c r="E33" i="3444" a="1"/>
  <c r="E33" i="3444" s="1"/>
  <c r="W72" i="3489" a="1"/>
  <c r="W72" i="3489" s="1"/>
  <c r="BG72" i="3489" a="1"/>
  <c r="BG72" i="3489" s="1"/>
  <c r="AE77" i="3489" a="1"/>
  <c r="AE77" i="3489" s="1"/>
  <c r="AV77" i="3489" a="1"/>
  <c r="AV77" i="3489" s="1"/>
  <c r="AB83" i="3489" a="1"/>
  <c r="AB83" i="3489" s="1"/>
  <c r="Z22" i="3444" a="1"/>
  <c r="Z22" i="3444" s="1"/>
  <c r="BA23" i="3444" a="1"/>
  <c r="BA23" i="3444" s="1"/>
  <c r="AO23" i="3444" a="1"/>
  <c r="AO23" i="3444" s="1"/>
  <c r="AC23" i="3444" a="1"/>
  <c r="AC23" i="3444" s="1"/>
  <c r="Q23" i="3444" a="1"/>
  <c r="Q23" i="3444" s="1"/>
  <c r="AZ23" i="3444" a="1"/>
  <c r="AZ23" i="3444" s="1"/>
  <c r="AN23" i="3444" a="1"/>
  <c r="AN23" i="3444" s="1"/>
  <c r="AB23" i="3444" a="1"/>
  <c r="AB23" i="3444" s="1"/>
  <c r="P23" i="3444" a="1"/>
  <c r="P23" i="3444" s="1"/>
  <c r="AX23" i="3444" a="1"/>
  <c r="AX23" i="3444" s="1"/>
  <c r="AL23" i="3444" a="1"/>
  <c r="AL23" i="3444" s="1"/>
  <c r="Z23" i="3444" a="1"/>
  <c r="Z23" i="3444" s="1"/>
  <c r="N23" i="3444" a="1"/>
  <c r="N23" i="3444" s="1"/>
  <c r="AQ23" i="3444" a="1"/>
  <c r="AQ23" i="3444" s="1"/>
  <c r="AA23" i="3444" a="1"/>
  <c r="AA23" i="3444" s="1"/>
  <c r="BE23" i="3444" a="1"/>
  <c r="BE23" i="3444" s="1"/>
  <c r="K23" i="3444" a="1"/>
  <c r="K23" i="3444" s="1"/>
  <c r="AP23" i="3444" a="1"/>
  <c r="AP23" i="3444" s="1"/>
  <c r="Y23" i="3444" a="1"/>
  <c r="Y23" i="3444" s="1"/>
  <c r="BD23" i="3444" a="1"/>
  <c r="BD23" i="3444" s="1"/>
  <c r="X23" i="3444" a="1"/>
  <c r="X23" i="3444" s="1"/>
  <c r="BC23" i="3444" a="1"/>
  <c r="BC23" i="3444" s="1"/>
  <c r="AM23" i="3444" a="1"/>
  <c r="AM23" i="3444" s="1"/>
  <c r="W23" i="3444" a="1"/>
  <c r="W23" i="3444" s="1"/>
  <c r="BB23" i="3444" a="1"/>
  <c r="BB23" i="3444" s="1"/>
  <c r="AK23" i="3444" a="1"/>
  <c r="AK23" i="3444" s="1"/>
  <c r="V23" i="3444" a="1"/>
  <c r="V23" i="3444" s="1"/>
  <c r="AI23" i="3444" a="1"/>
  <c r="AI23" i="3444" s="1"/>
  <c r="AH23" i="3444" a="1"/>
  <c r="AH23" i="3444" s="1"/>
  <c r="AV23" i="3444" a="1"/>
  <c r="AV23" i="3444" s="1"/>
  <c r="S23" i="3444" a="1"/>
  <c r="S23" i="3444" s="1"/>
  <c r="AG23" i="3444" a="1"/>
  <c r="AG23" i="3444" s="1"/>
  <c r="AU23" i="3444" a="1"/>
  <c r="AU23" i="3444" s="1"/>
  <c r="R23" i="3444" a="1"/>
  <c r="R23" i="3444" s="1"/>
  <c r="AR23" i="3444" a="1"/>
  <c r="AR23" i="3444" s="1"/>
  <c r="BF23" i="3444" a="1"/>
  <c r="BF23" i="3444" s="1"/>
  <c r="L23" i="3444" a="1"/>
  <c r="L23" i="3444" s="1"/>
  <c r="AY23" i="3444" a="1"/>
  <c r="AY23" i="3444" s="1"/>
  <c r="F27" i="3444" a="1"/>
  <c r="F27" i="3444" s="1"/>
  <c r="E27" i="3444" a="1"/>
  <c r="E27" i="3444" s="1"/>
  <c r="L39" i="3444" a="1"/>
  <c r="L39" i="3444" s="1"/>
  <c r="AX49" i="3444" a="1"/>
  <c r="AX49" i="3444" s="1"/>
  <c r="AL49" i="3444" a="1"/>
  <c r="AL49" i="3444" s="1"/>
  <c r="Z49" i="3444" a="1"/>
  <c r="Z49" i="3444" s="1"/>
  <c r="N49" i="3444" a="1"/>
  <c r="N49" i="3444" s="1"/>
  <c r="AM49" i="3444" a="1"/>
  <c r="AM49" i="3444" s="1"/>
  <c r="BA49" i="3444" a="1"/>
  <c r="BA49" i="3444" s="1"/>
  <c r="AK49" i="3444" a="1"/>
  <c r="AK49" i="3444" s="1"/>
  <c r="V49" i="3444" a="1"/>
  <c r="V49" i="3444" s="1"/>
  <c r="AJ49" i="3444" a="1"/>
  <c r="AJ49" i="3444" s="1"/>
  <c r="U49" i="3444" a="1"/>
  <c r="U49" i="3444" s="1"/>
  <c r="AZ49" i="3444" a="1"/>
  <c r="AZ49" i="3444" s="1"/>
  <c r="R49" i="3444" a="1"/>
  <c r="R49" i="3444" s="1"/>
  <c r="BG49" i="3444" a="1"/>
  <c r="BG49" i="3444" s="1"/>
  <c r="AR49" i="3444" a="1"/>
  <c r="AR49" i="3444" s="1"/>
  <c r="O49" i="3444" a="1"/>
  <c r="O49" i="3444" s="1"/>
  <c r="BF49" i="3444" a="1"/>
  <c r="BF49" i="3444" s="1"/>
  <c r="AQ49" i="3444" a="1"/>
  <c r="AQ49" i="3444" s="1"/>
  <c r="AG49" i="3444" a="1"/>
  <c r="AG49" i="3444" s="1"/>
  <c r="M49" i="3444" a="1"/>
  <c r="M49" i="3444" s="1"/>
  <c r="BC49" i="3444" a="1"/>
  <c r="BC49" i="3444" s="1"/>
  <c r="AF49" i="3444" a="1"/>
  <c r="AF49" i="3444" s="1"/>
  <c r="L49" i="3444" a="1"/>
  <c r="L49" i="3444" s="1"/>
  <c r="AY49" i="3444" a="1"/>
  <c r="AY49" i="3444" s="1"/>
  <c r="AD49" i="3444" a="1"/>
  <c r="AD49" i="3444" s="1"/>
  <c r="AW49" i="3444" a="1"/>
  <c r="AW49" i="3444" s="1"/>
  <c r="AC49" i="3444" a="1"/>
  <c r="AC49" i="3444" s="1"/>
  <c r="X49" i="3444" a="1"/>
  <c r="X49" i="3444" s="1"/>
  <c r="W49" i="3444" a="1"/>
  <c r="W49" i="3444" s="1"/>
  <c r="AP49" i="3444" a="1"/>
  <c r="AP49" i="3444" s="1"/>
  <c r="T49" i="3444" a="1"/>
  <c r="T49" i="3444" s="1"/>
  <c r="P49" i="3444" a="1"/>
  <c r="P49" i="3444" s="1"/>
  <c r="BD49" i="3444" a="1"/>
  <c r="BD49" i="3444" s="1"/>
  <c r="AH49" i="3444" a="1"/>
  <c r="AH49" i="3444" s="1"/>
  <c r="AS49" i="3444" a="1"/>
  <c r="AS49" i="3444" s="1"/>
  <c r="AO49" i="3444" a="1"/>
  <c r="AO49" i="3444" s="1"/>
  <c r="AN49" i="3444" a="1"/>
  <c r="AN49" i="3444" s="1"/>
  <c r="AI49" i="3444" a="1"/>
  <c r="AI49" i="3444" s="1"/>
  <c r="AE49" i="3444" a="1"/>
  <c r="AE49" i="3444" s="1"/>
  <c r="AB49" i="3444" a="1"/>
  <c r="AB49" i="3444" s="1"/>
  <c r="AA49" i="3444" a="1"/>
  <c r="AA49" i="3444" s="1"/>
  <c r="Y49" i="3444" a="1"/>
  <c r="Y49" i="3444" s="1"/>
  <c r="S49" i="3444" a="1"/>
  <c r="S49" i="3444" s="1"/>
  <c r="BH49" i="3444" a="1"/>
  <c r="BH49" i="3444" s="1"/>
  <c r="BE49" i="3444" a="1"/>
  <c r="BE49" i="3444" s="1"/>
  <c r="AT49" i="3444" a="1"/>
  <c r="AT49" i="3444" s="1"/>
  <c r="N95" i="3489" a="1"/>
  <c r="N95" i="3489" s="1"/>
  <c r="AY52" i="3444" a="1"/>
  <c r="AY52" i="3444" s="1"/>
  <c r="AM52" i="3444" a="1"/>
  <c r="AM52" i="3444" s="1"/>
  <c r="AA52" i="3444" a="1"/>
  <c r="AA52" i="3444" s="1"/>
  <c r="AX52" i="3444" a="1"/>
  <c r="AX52" i="3444" s="1"/>
  <c r="AL52" i="3444" a="1"/>
  <c r="AL52" i="3444" s="1"/>
  <c r="Z52" i="3444" a="1"/>
  <c r="Z52" i="3444" s="1"/>
  <c r="AI52" i="3444" a="1"/>
  <c r="AI52" i="3444" s="1"/>
  <c r="W52" i="3444" a="1"/>
  <c r="W52" i="3444" s="1"/>
  <c r="AK52" i="3444" a="1"/>
  <c r="AK52" i="3444" s="1"/>
  <c r="V52" i="3444" a="1"/>
  <c r="V52" i="3444" s="1"/>
  <c r="BA52" i="3444" a="1"/>
  <c r="BA52" i="3444" s="1"/>
  <c r="U52" i="3444" a="1"/>
  <c r="U52" i="3444" s="1"/>
  <c r="R52" i="3444" a="1"/>
  <c r="R52" i="3444" s="1"/>
  <c r="BE52" i="3444" a="1"/>
  <c r="BE52" i="3444" s="1"/>
  <c r="AH52" i="3444" a="1"/>
  <c r="AH52" i="3444" s="1"/>
  <c r="BD52" i="3444" a="1"/>
  <c r="BD52" i="3444" s="1"/>
  <c r="BC52" i="3444" a="1"/>
  <c r="BC52" i="3444" s="1"/>
  <c r="AF52" i="3444" a="1"/>
  <c r="AF52" i="3444" s="1"/>
  <c r="AV52" i="3444" a="1"/>
  <c r="AV52" i="3444" s="1"/>
  <c r="X52" i="3444" a="1"/>
  <c r="X52" i="3444" s="1"/>
  <c r="BH52" i="3444" a="1"/>
  <c r="BH52" i="3444" s="1"/>
  <c r="AW52" i="3444" a="1"/>
  <c r="AW52" i="3444" s="1"/>
  <c r="AP52" i="3444" a="1"/>
  <c r="AP52" i="3444" s="1"/>
  <c r="AO52" i="3444" a="1"/>
  <c r="AO52" i="3444" s="1"/>
  <c r="AC52" i="3444" a="1"/>
  <c r="AC52" i="3444" s="1"/>
  <c r="T52" i="3444" a="1"/>
  <c r="T52" i="3444" s="1"/>
  <c r="H24" i="3444" a="1"/>
  <c r="H24" i="3444" s="1"/>
  <c r="E24" i="3444" a="1"/>
  <c r="E24" i="3444" s="1"/>
  <c r="F24" i="3444" a="1"/>
  <c r="F24" i="3444" s="1"/>
  <c r="E34" i="3444" a="1"/>
  <c r="E34" i="3444" s="1"/>
  <c r="F34" i="3444" a="1"/>
  <c r="F34" i="3444" s="1"/>
  <c r="H34" i="3444" a="1"/>
  <c r="H34" i="3444" s="1"/>
  <c r="AJ39" i="3444" a="1"/>
  <c r="AJ39" i="3444" s="1"/>
  <c r="F53" i="3444" a="1"/>
  <c r="F53" i="3444" s="1"/>
  <c r="E53" i="3444" a="1"/>
  <c r="E53" i="3444" s="1"/>
  <c r="H44" i="3444" a="1"/>
  <c r="H44" i="3444" s="1"/>
  <c r="F44" i="3444" a="1"/>
  <c r="F44" i="3444" s="1"/>
  <c r="AH95" i="3489" a="1"/>
  <c r="AH95" i="3489" s="1"/>
  <c r="U23" i="3444" a="1"/>
  <c r="U23" i="3444" s="1"/>
  <c r="AX41" i="3444" a="1"/>
  <c r="AX41" i="3444" s="1"/>
  <c r="AL41" i="3444" a="1"/>
  <c r="AL41" i="3444" s="1"/>
  <c r="Z41" i="3444" a="1"/>
  <c r="Z41" i="3444" s="1"/>
  <c r="N41" i="3444" a="1"/>
  <c r="N41" i="3444" s="1"/>
  <c r="AW41" i="3444" a="1"/>
  <c r="AW41" i="3444" s="1"/>
  <c r="AK41" i="3444" a="1"/>
  <c r="AK41" i="3444" s="1"/>
  <c r="Y41" i="3444" a="1"/>
  <c r="Y41" i="3444" s="1"/>
  <c r="M41" i="3444" a="1"/>
  <c r="M41" i="3444" s="1"/>
  <c r="AQ41" i="3444" a="1"/>
  <c r="AQ41" i="3444" s="1"/>
  <c r="L41" i="3444" a="1"/>
  <c r="L41" i="3444" s="1"/>
  <c r="BE41" i="3444" a="1"/>
  <c r="BE41" i="3444" s="1"/>
  <c r="AB41" i="3444" a="1"/>
  <c r="AB41" i="3444" s="1"/>
  <c r="AP41" i="3444" a="1"/>
  <c r="AP41" i="3444" s="1"/>
  <c r="K41" i="3444" a="1"/>
  <c r="K41" i="3444" s="1"/>
  <c r="BC41" i="3444" a="1"/>
  <c r="BC41" i="3444" s="1"/>
  <c r="X41" i="3444" a="1"/>
  <c r="X41" i="3444" s="1"/>
  <c r="AN41" i="3444" a="1"/>
  <c r="AN41" i="3444" s="1"/>
  <c r="AY41" i="3444" a="1"/>
  <c r="AY41" i="3444" s="1"/>
  <c r="AH41" i="3444" a="1"/>
  <c r="AH41" i="3444" s="1"/>
  <c r="S41" i="3444" a="1"/>
  <c r="S41" i="3444" s="1"/>
  <c r="BF41" i="3444" a="1"/>
  <c r="BF41" i="3444" s="1"/>
  <c r="AC41" i="3444" a="1"/>
  <c r="AC41" i="3444" s="1"/>
  <c r="BA41" i="3444" a="1"/>
  <c r="BA41" i="3444" s="1"/>
  <c r="AE41" i="3444" a="1"/>
  <c r="AE41" i="3444" s="1"/>
  <c r="AZ41" i="3444" a="1"/>
  <c r="AZ41" i="3444" s="1"/>
  <c r="AD41" i="3444" a="1"/>
  <c r="AD41" i="3444" s="1"/>
  <c r="AV41" i="3444" a="1"/>
  <c r="AV41" i="3444" s="1"/>
  <c r="AA41" i="3444" a="1"/>
  <c r="AA41" i="3444" s="1"/>
  <c r="AU41" i="3444" a="1"/>
  <c r="AU41" i="3444" s="1"/>
  <c r="W41" i="3444" a="1"/>
  <c r="W41" i="3444" s="1"/>
  <c r="AT41" i="3444" a="1"/>
  <c r="AT41" i="3444" s="1"/>
  <c r="V41" i="3444" a="1"/>
  <c r="V41" i="3444" s="1"/>
  <c r="AR41" i="3444" a="1"/>
  <c r="AR41" i="3444" s="1"/>
  <c r="T41" i="3444" a="1"/>
  <c r="T41" i="3444" s="1"/>
  <c r="AO41" i="3444" a="1"/>
  <c r="AO41" i="3444" s="1"/>
  <c r="R41" i="3444" a="1"/>
  <c r="R41" i="3444" s="1"/>
  <c r="AM41" i="3444" a="1"/>
  <c r="AM41" i="3444" s="1"/>
  <c r="Q41" i="3444" a="1"/>
  <c r="Q41" i="3444" s="1"/>
  <c r="BB41" i="3444" a="1"/>
  <c r="BB41" i="3444" s="1"/>
  <c r="AF41" i="3444" a="1"/>
  <c r="AF41" i="3444" s="1"/>
  <c r="H53" i="3444" a="1"/>
  <c r="H53" i="3444" s="1"/>
  <c r="E44" i="3444" a="1"/>
  <c r="E44" i="3444" s="1"/>
  <c r="F54" i="3444" a="1"/>
  <c r="F54" i="3444" s="1"/>
  <c r="E54" i="3444" a="1"/>
  <c r="E54" i="3444" s="1"/>
  <c r="H54" i="3444" a="1"/>
  <c r="H54" i="3444" s="1"/>
  <c r="AQ95" i="3489" a="1"/>
  <c r="AQ95" i="3489" s="1"/>
  <c r="Q95" i="3489" a="1"/>
  <c r="Q95" i="3489" s="1"/>
  <c r="BD95" i="3489" a="1"/>
  <c r="BD95" i="3489" s="1"/>
  <c r="AC95" i="3489" a="1"/>
  <c r="AC95" i="3489" s="1"/>
  <c r="AX95" i="3489" a="1"/>
  <c r="AX95" i="3489" s="1"/>
  <c r="AJ95" i="3489" a="1"/>
  <c r="AJ95" i="3489" s="1"/>
  <c r="AW95" i="3489" a="1"/>
  <c r="AW95" i="3489" s="1"/>
  <c r="W95" i="3489" a="1"/>
  <c r="W95" i="3489" s="1"/>
  <c r="K95" i="3489" a="1"/>
  <c r="K95" i="3489" s="1"/>
  <c r="AI95" i="3489" a="1"/>
  <c r="AI95" i="3489" s="1"/>
  <c r="V95" i="3489" a="1"/>
  <c r="V95" i="3489" s="1"/>
  <c r="BG95" i="3489" a="1"/>
  <c r="BG95" i="3489" s="1"/>
  <c r="AX25" i="3444" a="1"/>
  <c r="AX25" i="3444" s="1"/>
  <c r="AL25" i="3444" a="1"/>
  <c r="AL25" i="3444" s="1"/>
  <c r="Z25" i="3444" a="1"/>
  <c r="Z25" i="3444" s="1"/>
  <c r="N25" i="3444" a="1"/>
  <c r="N25" i="3444" s="1"/>
  <c r="AW25" i="3444" a="1"/>
  <c r="AW25" i="3444" s="1"/>
  <c r="AK25" i="3444" a="1"/>
  <c r="AK25" i="3444" s="1"/>
  <c r="AJ25" i="3444" a="1"/>
  <c r="AJ25" i="3444" s="1"/>
  <c r="AH25" i="3444" a="1"/>
  <c r="AH25" i="3444" s="1"/>
  <c r="O25" i="3444" a="1"/>
  <c r="O25" i="3444" s="1"/>
  <c r="BF25" i="3444" a="1"/>
  <c r="BF25" i="3444" s="1"/>
  <c r="AB25" i="3444" a="1"/>
  <c r="AB25" i="3444" s="1"/>
  <c r="L25" i="3444" a="1"/>
  <c r="L25" i="3444" s="1"/>
  <c r="BB25" i="3444" a="1"/>
  <c r="BB25" i="3444" s="1"/>
  <c r="AM25" i="3444" a="1"/>
  <c r="AM25" i="3444" s="1"/>
  <c r="V25" i="3444" a="1"/>
  <c r="V25" i="3444" s="1"/>
  <c r="AT25" i="3444" a="1"/>
  <c r="AT25" i="3444" s="1"/>
  <c r="A36" i="3444"/>
  <c r="U41" i="3444" a="1"/>
  <c r="U41" i="3444" s="1"/>
  <c r="AO95" i="3489" a="1"/>
  <c r="AO95" i="3489" s="1"/>
  <c r="AG41" i="3444" a="1"/>
  <c r="AG41" i="3444" s="1"/>
  <c r="BH95" i="3489" a="1"/>
  <c r="BH95" i="3489" s="1"/>
  <c r="E20" i="3444" a="1"/>
  <c r="E20" i="3444" s="1"/>
  <c r="BC25" i="3444" a="1"/>
  <c r="BC25" i="3444" s="1"/>
  <c r="AI41" i="3444" a="1"/>
  <c r="AI41" i="3444" s="1"/>
  <c r="H55" i="3444" a="1"/>
  <c r="H55" i="3444" s="1"/>
  <c r="F55" i="3444" a="1"/>
  <c r="F55" i="3444" s="1"/>
  <c r="AP95" i="3489" a="1"/>
  <c r="AP95" i="3489" s="1"/>
  <c r="AJ23" i="3444" a="1"/>
  <c r="AJ23" i="3444" s="1"/>
  <c r="E55" i="3444" a="1"/>
  <c r="E55" i="3444" s="1"/>
  <c r="H92" i="3489" a="1"/>
  <c r="H92" i="3489" s="1"/>
  <c r="AZ92" i="3489" s="1" a="1"/>
  <c r="AZ92" i="3489" s="1"/>
  <c r="Y95" i="3489" a="1"/>
  <c r="Y95" i="3489" s="1"/>
  <c r="AR95" i="3489" a="1"/>
  <c r="AR95" i="3489" s="1"/>
  <c r="F20" i="3444" a="1"/>
  <c r="F20" i="3444" s="1"/>
  <c r="BD25" i="3444" a="1"/>
  <c r="BD25" i="3444" s="1"/>
  <c r="H36" i="3444" a="1"/>
  <c r="H36" i="3444" s="1"/>
  <c r="AJ41" i="3444" a="1"/>
  <c r="AJ41" i="3444" s="1"/>
  <c r="BA39" i="3444" a="1"/>
  <c r="BA39" i="3444" s="1"/>
  <c r="AO39" i="3444" a="1"/>
  <c r="AO39" i="3444" s="1"/>
  <c r="AC39" i="3444" a="1"/>
  <c r="AC39" i="3444" s="1"/>
  <c r="Q39" i="3444" a="1"/>
  <c r="Q39" i="3444" s="1"/>
  <c r="AZ39" i="3444" a="1"/>
  <c r="AZ39" i="3444" s="1"/>
  <c r="AN39" i="3444" a="1"/>
  <c r="AN39" i="3444" s="1"/>
  <c r="AB39" i="3444" a="1"/>
  <c r="AB39" i="3444" s="1"/>
  <c r="P39" i="3444" a="1"/>
  <c r="P39" i="3444" s="1"/>
  <c r="AV39" i="3444" a="1"/>
  <c r="AV39" i="3444" s="1"/>
  <c r="S39" i="3444" a="1"/>
  <c r="S39" i="3444" s="1"/>
  <c r="AG39" i="3444" a="1"/>
  <c r="AG39" i="3444" s="1"/>
  <c r="AU39" i="3444" a="1"/>
  <c r="AU39" i="3444" s="1"/>
  <c r="R39" i="3444" a="1"/>
  <c r="R39" i="3444" s="1"/>
  <c r="BH39" i="3444" a="1"/>
  <c r="BH39" i="3444" s="1"/>
  <c r="AE39" i="3444" a="1"/>
  <c r="AE39" i="3444" s="1"/>
  <c r="AS39" i="3444" a="1"/>
  <c r="AS39" i="3444" s="1"/>
  <c r="N39" i="3444" a="1"/>
  <c r="N39" i="3444" s="1"/>
  <c r="BD39" i="3444" a="1"/>
  <c r="BD39" i="3444" s="1"/>
  <c r="AM39" i="3444" a="1"/>
  <c r="AM39" i="3444" s="1"/>
  <c r="X39" i="3444" a="1"/>
  <c r="X39" i="3444" s="1"/>
  <c r="AH39" i="3444" a="1"/>
  <c r="AH39" i="3444" s="1"/>
  <c r="BB39" i="3444" a="1"/>
  <c r="BB39" i="3444" s="1"/>
  <c r="AD39" i="3444" a="1"/>
  <c r="AD39" i="3444" s="1"/>
  <c r="AY39" i="3444" a="1"/>
  <c r="AY39" i="3444" s="1"/>
  <c r="AA39" i="3444" a="1"/>
  <c r="AA39" i="3444" s="1"/>
  <c r="AX39" i="3444" a="1"/>
  <c r="AX39" i="3444" s="1"/>
  <c r="Z39" i="3444" a="1"/>
  <c r="Z39" i="3444" s="1"/>
  <c r="AW39" i="3444" a="1"/>
  <c r="AW39" i="3444" s="1"/>
  <c r="Y39" i="3444" a="1"/>
  <c r="Y39" i="3444" s="1"/>
  <c r="AT39" i="3444" a="1"/>
  <c r="AT39" i="3444" s="1"/>
  <c r="W39" i="3444" a="1"/>
  <c r="W39" i="3444" s="1"/>
  <c r="AR39" i="3444" a="1"/>
  <c r="AR39" i="3444" s="1"/>
  <c r="V39" i="3444" a="1"/>
  <c r="V39" i="3444" s="1"/>
  <c r="AQ39" i="3444" a="1"/>
  <c r="AQ39" i="3444" s="1"/>
  <c r="U39" i="3444" a="1"/>
  <c r="U39" i="3444" s="1"/>
  <c r="AP39" i="3444" a="1"/>
  <c r="AP39" i="3444" s="1"/>
  <c r="T39" i="3444" a="1"/>
  <c r="T39" i="3444" s="1"/>
  <c r="AL39" i="3444" a="1"/>
  <c r="AL39" i="3444" s="1"/>
  <c r="O39" i="3444" a="1"/>
  <c r="O39" i="3444" s="1"/>
  <c r="BG39" i="3444" a="1"/>
  <c r="BG39" i="3444" s="1"/>
  <c r="AK39" i="3444" a="1"/>
  <c r="AK39" i="3444" s="1"/>
  <c r="M39" i="3444" a="1"/>
  <c r="M39" i="3444" s="1"/>
  <c r="BC39" i="3444" a="1"/>
  <c r="BC39" i="3444" s="1"/>
  <c r="AF39" i="3444" a="1"/>
  <c r="AF39" i="3444" s="1"/>
  <c r="Z95" i="3489" a="1"/>
  <c r="Z95" i="3489" s="1"/>
  <c r="H20" i="3444" a="1"/>
  <c r="H20" i="3444" s="1"/>
  <c r="H23" i="3444" a="1"/>
  <c r="H23" i="3444" s="1"/>
  <c r="BH25" i="3444" a="1"/>
  <c r="BH25" i="3444" s="1"/>
  <c r="AS41" i="3444" a="1"/>
  <c r="AS41" i="3444" s="1"/>
  <c r="L95" i="3489" a="1"/>
  <c r="L95" i="3489" s="1"/>
  <c r="AT23" i="3444" a="1"/>
  <c r="AT23" i="3444" s="1"/>
  <c r="H26" i="3444" a="1"/>
  <c r="H26" i="3444" s="1"/>
  <c r="F26" i="3444" a="1"/>
  <c r="F26" i="3444" s="1"/>
  <c r="BD41" i="3444" a="1"/>
  <c r="BD41" i="3444" s="1"/>
  <c r="F59" i="3444" a="1"/>
  <c r="F59" i="3444" s="1"/>
  <c r="E59" i="3444" a="1"/>
  <c r="E59" i="3444" s="1"/>
  <c r="H59" i="3444" a="1"/>
  <c r="H59" i="3444" s="1"/>
  <c r="AA95" i="3489" a="1"/>
  <c r="AA95" i="3489" s="1"/>
  <c r="AT95" i="3489" a="1"/>
  <c r="AT95" i="3489" s="1"/>
  <c r="F21" i="3444" a="1"/>
  <c r="F21" i="3444" s="1"/>
  <c r="E21" i="3444" a="1"/>
  <c r="E21" i="3444" s="1"/>
  <c r="H21" i="3444" a="1"/>
  <c r="H21" i="3444" s="1"/>
  <c r="A26" i="3444"/>
  <c r="H35" i="3444" a="1"/>
  <c r="H35" i="3444" s="1"/>
  <c r="F35" i="3444" a="1"/>
  <c r="F35" i="3444" s="1"/>
  <c r="E35" i="3444" a="1"/>
  <c r="E35" i="3444" s="1"/>
  <c r="K39" i="3444" a="1"/>
  <c r="K39" i="3444" s="1"/>
  <c r="BG41" i="3444" a="1"/>
  <c r="BG41" i="3444" s="1"/>
  <c r="E23" i="3444" a="1"/>
  <c r="E23" i="3444" s="1"/>
  <c r="AW23" i="3444" a="1"/>
  <c r="AW23" i="3444" s="1"/>
  <c r="X25" i="3444" a="1"/>
  <c r="X25" i="3444" s="1"/>
  <c r="F45" i="3444" a="1"/>
  <c r="F45" i="3444" s="1"/>
  <c r="E45" i="3444" a="1"/>
  <c r="E45" i="3444" s="1"/>
  <c r="H45" i="3444" a="1"/>
  <c r="H45" i="3444" s="1"/>
  <c r="E49" i="3444" a="1"/>
  <c r="E49" i="3444" s="1"/>
  <c r="H49" i="3444" a="1"/>
  <c r="H49" i="3444" s="1"/>
  <c r="H56" i="3444" a="1"/>
  <c r="H56" i="3444" s="1"/>
  <c r="F56" i="3444" a="1"/>
  <c r="F56" i="3444" s="1"/>
  <c r="E56" i="3444" a="1"/>
  <c r="E56" i="3444" s="1"/>
  <c r="E42" i="3444" a="1"/>
  <c r="E42" i="3444" s="1"/>
  <c r="H42" i="3444" a="1"/>
  <c r="H42" i="3444" s="1"/>
  <c r="AA40" i="3444" a="1"/>
  <c r="AA40" i="3444" s="1"/>
  <c r="AW40" i="3444" a="1"/>
  <c r="AW40" i="3444" s="1"/>
  <c r="H48" i="3444" a="1"/>
  <c r="H48" i="3444" s="1"/>
  <c r="F48" i="3444" a="1"/>
  <c r="F48" i="3444" s="1"/>
  <c r="E48" i="3444" a="1"/>
  <c r="E48" i="3444" s="1"/>
  <c r="A65" i="3444"/>
  <c r="H40" i="3444" a="1"/>
  <c r="H40" i="3444" s="1"/>
  <c r="E40" i="3444" a="1"/>
  <c r="E40" i="3444" s="1"/>
  <c r="F42" i="3444" a="1"/>
  <c r="F42" i="3444" s="1"/>
  <c r="E50" i="3444" a="1"/>
  <c r="E50" i="3444" s="1"/>
  <c r="F50" i="3444" a="1"/>
  <c r="F50" i="3444" s="1"/>
  <c r="H50" i="3444" a="1"/>
  <c r="H50" i="3444" s="1"/>
  <c r="F65" i="3444" a="1"/>
  <c r="F65" i="3444" s="1"/>
  <c r="AB40" i="3444" a="1"/>
  <c r="AB40" i="3444" s="1"/>
  <c r="H47" i="3444" a="1"/>
  <c r="H47" i="3444" s="1"/>
  <c r="A63" i="3444"/>
  <c r="H65" i="3444" a="1"/>
  <c r="H65" i="3444" s="1"/>
  <c r="BF40" i="3444" a="1"/>
  <c r="BF40" i="3444" s="1"/>
  <c r="AT40" i="3444" a="1"/>
  <c r="AT40" i="3444" s="1"/>
  <c r="AH40" i="3444" a="1"/>
  <c r="AH40" i="3444" s="1"/>
  <c r="V40" i="3444" a="1"/>
  <c r="V40" i="3444" s="1"/>
  <c r="BE40" i="3444" a="1"/>
  <c r="BE40" i="3444" s="1"/>
  <c r="AS40" i="3444" a="1"/>
  <c r="AS40" i="3444" s="1"/>
  <c r="AG40" i="3444" a="1"/>
  <c r="AG40" i="3444" s="1"/>
  <c r="U40" i="3444" a="1"/>
  <c r="U40" i="3444" s="1"/>
  <c r="BB40" i="3444" a="1"/>
  <c r="BB40" i="3444" s="1"/>
  <c r="AP40" i="3444" a="1"/>
  <c r="AP40" i="3444" s="1"/>
  <c r="AD40" i="3444" a="1"/>
  <c r="AD40" i="3444" s="1"/>
  <c r="R40" i="3444" a="1"/>
  <c r="R40" i="3444" s="1"/>
  <c r="AL40" i="3444" a="1"/>
  <c r="AL40" i="3444" s="1"/>
  <c r="AZ40" i="3444" a="1"/>
  <c r="AZ40" i="3444" s="1"/>
  <c r="W40" i="3444" a="1"/>
  <c r="W40" i="3444" s="1"/>
  <c r="AK40" i="3444" a="1"/>
  <c r="AK40" i="3444" s="1"/>
  <c r="AX40" i="3444" a="1"/>
  <c r="AX40" i="3444" s="1"/>
  <c r="S40" i="3444" a="1"/>
  <c r="S40" i="3444" s="1"/>
  <c r="AI40" i="3444" a="1"/>
  <c r="AI40" i="3444" s="1"/>
  <c r="AR40" i="3444" a="1"/>
  <c r="AR40" i="3444" s="1"/>
  <c r="AC40" i="3444" a="1"/>
  <c r="AC40" i="3444" s="1"/>
  <c r="BH40" i="3444" a="1"/>
  <c r="BH40" i="3444" s="1"/>
  <c r="N40" i="3444" a="1"/>
  <c r="N40" i="3444" s="1"/>
  <c r="BA40" i="3444" a="1"/>
  <c r="BA40" i="3444" s="1"/>
  <c r="X40" i="3444" a="1"/>
  <c r="X40" i="3444" s="1"/>
  <c r="H46" i="3444" a="1"/>
  <c r="H46" i="3444" s="1"/>
  <c r="E46" i="3444" a="1"/>
  <c r="E46" i="3444" s="1"/>
  <c r="F46" i="3444" a="1"/>
  <c r="F46" i="3444" s="1"/>
  <c r="A47" i="3444"/>
  <c r="A58" i="3444"/>
  <c r="BC63" i="3444" a="1"/>
  <c r="BC63" i="3444" s="1"/>
  <c r="AC63" i="3444" a="1"/>
  <c r="AC63" i="3444" s="1"/>
  <c r="Q63" i="3444" a="1"/>
  <c r="Q63" i="3444" s="1"/>
  <c r="AK63" i="3444" a="1"/>
  <c r="AK63" i="3444" s="1"/>
  <c r="BD63" i="3444" a="1"/>
  <c r="BD63" i="3444" s="1"/>
  <c r="AZ63" i="3444" a="1"/>
  <c r="AZ63" i="3444" s="1"/>
  <c r="AI63" i="3444" a="1"/>
  <c r="AI63" i="3444" s="1"/>
  <c r="S63" i="3444" a="1"/>
  <c r="S63" i="3444" s="1"/>
  <c r="AX63" i="3444" a="1"/>
  <c r="AX63" i="3444" s="1"/>
  <c r="AF63" i="3444" a="1"/>
  <c r="AF63" i="3444" s="1"/>
  <c r="AE63" i="3444" a="1"/>
  <c r="AE63" i="3444" s="1"/>
  <c r="M63" i="3444" a="1"/>
  <c r="M63" i="3444" s="1"/>
  <c r="AU63" i="3444" a="1"/>
  <c r="AU63" i="3444" s="1"/>
  <c r="AS63" i="3444" a="1"/>
  <c r="AS63" i="3444" s="1"/>
  <c r="AA63" i="3444" a="1"/>
  <c r="AA63" i="3444" s="1"/>
  <c r="AQ63" i="3444" a="1"/>
  <c r="AQ63" i="3444" s="1"/>
  <c r="Y63" i="3444" a="1"/>
  <c r="Y63" i="3444" s="1"/>
  <c r="AP63" i="3444" a="1"/>
  <c r="AP63" i="3444" s="1"/>
  <c r="AM63" i="3444" a="1"/>
  <c r="AM63" i="3444" s="1"/>
  <c r="AL63" i="3444" a="1"/>
  <c r="AL63" i="3444" s="1"/>
  <c r="AH63" i="3444" a="1"/>
  <c r="AH63" i="3444" s="1"/>
  <c r="W63" i="3444" a="1"/>
  <c r="W63" i="3444" s="1"/>
  <c r="BG63" i="3444" a="1"/>
  <c r="BG63" i="3444" s="1"/>
  <c r="R63" i="3444" a="1"/>
  <c r="R63" i="3444" s="1"/>
  <c r="H29" i="3445"/>
  <c r="N29" i="3445" a="1"/>
  <c r="N29" i="3445" s="1"/>
  <c r="A29" i="3445"/>
  <c r="K29" i="3445" a="1"/>
  <c r="K29" i="3445" s="1"/>
  <c r="F29" i="3444" a="1"/>
  <c r="F29" i="3444" s="1"/>
  <c r="E29" i="3444" a="1"/>
  <c r="E29" i="3444" s="1"/>
  <c r="X63" i="3444" a="1"/>
  <c r="X63" i="3444" s="1"/>
  <c r="L40" i="3444" a="1"/>
  <c r="L40" i="3444" s="1"/>
  <c r="AF40" i="3444" a="1"/>
  <c r="AF40" i="3444" s="1"/>
  <c r="BD40" i="3444" a="1"/>
  <c r="BD40" i="3444" s="1"/>
  <c r="AD63" i="3444" a="1"/>
  <c r="AD63" i="3444" s="1"/>
  <c r="I127" i="3445" a="1"/>
  <c r="I127" i="3445" s="1"/>
  <c r="H127" i="3445"/>
  <c r="P127" i="3445"/>
  <c r="T127" i="3445"/>
  <c r="S127" i="3445" a="1"/>
  <c r="S127" i="3445" s="1"/>
  <c r="K127" i="3445" a="1"/>
  <c r="K127" i="3445" s="1"/>
  <c r="L127" i="3445" s="1"/>
  <c r="M127" i="3445" s="1"/>
  <c r="J127" i="3445" a="1"/>
  <c r="J127" i="3445" s="1"/>
  <c r="O127" i="3445"/>
  <c r="N127" i="3445" a="1"/>
  <c r="N127" i="3445" s="1"/>
  <c r="Q127" i="3445"/>
  <c r="A127" i="3445"/>
  <c r="H29" i="3444" a="1"/>
  <c r="H29" i="3444" s="1"/>
  <c r="M40" i="3444" a="1"/>
  <c r="M40" i="3444" s="1"/>
  <c r="AJ40" i="3444" a="1"/>
  <c r="AJ40" i="3444" s="1"/>
  <c r="BG40" i="3444" a="1"/>
  <c r="BG40" i="3444" s="1"/>
  <c r="F51" i="3444" a="1"/>
  <c r="F51" i="3444" s="1"/>
  <c r="E51" i="3444" a="1"/>
  <c r="E51" i="3444" s="1"/>
  <c r="H51" i="3444" a="1"/>
  <c r="H51" i="3444" s="1"/>
  <c r="AG63" i="3444" a="1"/>
  <c r="AG63" i="3444" s="1"/>
  <c r="E66" i="3444" a="1"/>
  <c r="E66" i="3444" s="1"/>
  <c r="H66" i="3444" a="1"/>
  <c r="H66" i="3444" s="1"/>
  <c r="F66" i="3444" a="1"/>
  <c r="F66" i="3444" s="1"/>
  <c r="H60" i="3444" a="1"/>
  <c r="H60" i="3444" s="1"/>
  <c r="E60" i="3444" a="1"/>
  <c r="E60" i="3444" s="1"/>
  <c r="O40" i="3444" a="1"/>
  <c r="O40" i="3444" s="1"/>
  <c r="AM40" i="3444" a="1"/>
  <c r="AM40" i="3444" s="1"/>
  <c r="F60" i="3444" a="1"/>
  <c r="F60" i="3444" s="1"/>
  <c r="AY63" i="3444" a="1"/>
  <c r="AY63" i="3444" s="1"/>
  <c r="K59" i="3445" a="1"/>
  <c r="K59" i="3445" s="1"/>
  <c r="L59" i="3445" s="1"/>
  <c r="M59" i="3445" s="1"/>
  <c r="H40" i="3436" s="1"/>
  <c r="H59" i="3445"/>
  <c r="I59" i="3445" s="1" a="1"/>
  <c r="I59" i="3445" s="1"/>
  <c r="F37" i="3444" a="1"/>
  <c r="F37" i="3444" s="1"/>
  <c r="E37" i="3444" a="1"/>
  <c r="E37" i="3444" s="1"/>
  <c r="H37" i="3444" a="1"/>
  <c r="H37" i="3444" s="1"/>
  <c r="F43" i="3444" a="1"/>
  <c r="F43" i="3444" s="1"/>
  <c r="E39" i="3444" a="1"/>
  <c r="E39" i="3444" s="1"/>
  <c r="P40" i="3444" a="1"/>
  <c r="P40" i="3444" s="1"/>
  <c r="AN40" i="3444" a="1"/>
  <c r="AN40" i="3444" s="1"/>
  <c r="E41" i="3444" a="1"/>
  <c r="E41" i="3444" s="1"/>
  <c r="H43" i="3444" a="1"/>
  <c r="H43" i="3444" s="1"/>
  <c r="Q40" i="3444" a="1"/>
  <c r="Q40" i="3444" s="1"/>
  <c r="AO40" i="3444" a="1"/>
  <c r="AO40" i="3444" s="1"/>
  <c r="K40" i="3445" a="1"/>
  <c r="K40" i="3445" s="1"/>
  <c r="L40" i="3445" s="1"/>
  <c r="M40" i="3445" s="1"/>
  <c r="H21" i="3436" s="1"/>
  <c r="H40" i="3445"/>
  <c r="BD58" i="3444" a="1"/>
  <c r="BD58" i="3444" s="1"/>
  <c r="A79" i="3444"/>
  <c r="AB58" i="3444" a="1"/>
  <c r="AB58" i="3444" s="1"/>
  <c r="BC58" i="3444" a="1"/>
  <c r="BC58" i="3444" s="1"/>
  <c r="AQ58" i="3444" a="1"/>
  <c r="AQ58" i="3444" s="1"/>
  <c r="AE58" i="3444" a="1"/>
  <c r="AE58" i="3444" s="1"/>
  <c r="S58" i="3444" a="1"/>
  <c r="S58" i="3444" s="1"/>
  <c r="BB58" i="3444" a="1"/>
  <c r="BB58" i="3444" s="1"/>
  <c r="AP58" i="3444" a="1"/>
  <c r="AP58" i="3444" s="1"/>
  <c r="AD58" i="3444" a="1"/>
  <c r="AD58" i="3444" s="1"/>
  <c r="R58" i="3444" a="1"/>
  <c r="R58" i="3444" s="1"/>
  <c r="BA58" i="3444" a="1"/>
  <c r="BA58" i="3444" s="1"/>
  <c r="AO58" i="3444" a="1"/>
  <c r="AO58" i="3444" s="1"/>
  <c r="AC58" i="3444" a="1"/>
  <c r="AC58" i="3444" s="1"/>
  <c r="Q58" i="3444" a="1"/>
  <c r="Q58" i="3444" s="1"/>
  <c r="AX58" i="3444" a="1"/>
  <c r="AX58" i="3444" s="1"/>
  <c r="AL58" i="3444" a="1"/>
  <c r="AL58" i="3444" s="1"/>
  <c r="Z58" i="3444" a="1"/>
  <c r="Z58" i="3444" s="1"/>
  <c r="N58" i="3444" a="1"/>
  <c r="N58" i="3444" s="1"/>
  <c r="P58" i="3444" a="1"/>
  <c r="P58" i="3444" s="1"/>
  <c r="AV58" i="3444" a="1"/>
  <c r="AV58" i="3444" s="1"/>
  <c r="AG58" i="3444" a="1"/>
  <c r="AG58" i="3444" s="1"/>
  <c r="O58" i="3444" a="1"/>
  <c r="O58" i="3444" s="1"/>
  <c r="AU58" i="3444" a="1"/>
  <c r="AU58" i="3444" s="1"/>
  <c r="AF58" i="3444" a="1"/>
  <c r="AF58" i="3444" s="1"/>
  <c r="BH58" i="3444" a="1"/>
  <c r="BH58" i="3444" s="1"/>
  <c r="AS58" i="3444" a="1"/>
  <c r="AS58" i="3444" s="1"/>
  <c r="L58" i="3444" a="1"/>
  <c r="L58" i="3444" s="1"/>
  <c r="AA58" i="3444" a="1"/>
  <c r="AA58" i="3444" s="1"/>
  <c r="BF58" i="3444" a="1"/>
  <c r="BF58" i="3444" s="1"/>
  <c r="Y58" i="3444" a="1"/>
  <c r="Y58" i="3444" s="1"/>
  <c r="AM58" i="3444" a="1"/>
  <c r="AM58" i="3444" s="1"/>
  <c r="AK58" i="3444" a="1"/>
  <c r="AK58" i="3444" s="1"/>
  <c r="V58" i="3444" a="1"/>
  <c r="V58" i="3444" s="1"/>
  <c r="AI58" i="3444" a="1"/>
  <c r="AI58" i="3444" s="1"/>
  <c r="K27" i="3445" a="1"/>
  <c r="K27" i="3445" s="1"/>
  <c r="N27" i="3445" a="1"/>
  <c r="N27" i="3445" s="1"/>
  <c r="H27" i="3445"/>
  <c r="I27" i="3445" s="1" a="1"/>
  <c r="I27" i="3445" s="1"/>
  <c r="A27" i="3445"/>
  <c r="H61" i="3445"/>
  <c r="K61" i="3445" a="1"/>
  <c r="K61" i="3445" s="1"/>
  <c r="L61" i="3445" s="1"/>
  <c r="M61" i="3445" s="1"/>
  <c r="H42" i="3436" s="1"/>
  <c r="H91" i="3445"/>
  <c r="I91" i="3445" s="1" a="1"/>
  <c r="I91" i="3445" s="1"/>
  <c r="K91" i="3445" a="1"/>
  <c r="K91" i="3445" s="1"/>
  <c r="L91" i="3445" s="1"/>
  <c r="M91" i="3445" s="1"/>
  <c r="H72" i="3436" s="1"/>
  <c r="AJ58" i="3444" a="1"/>
  <c r="AJ58" i="3444" s="1"/>
  <c r="L42" i="3445"/>
  <c r="M42" i="3445" s="1"/>
  <c r="H23" i="3436" s="1"/>
  <c r="N42" i="3445" a="1"/>
  <c r="N42" i="3445" s="1"/>
  <c r="F62" i="3444" a="1"/>
  <c r="F62" i="3444" s="1"/>
  <c r="E62" i="3444" a="1"/>
  <c r="E62" i="3444" s="1"/>
  <c r="H43" i="3445"/>
  <c r="K43" i="3445" a="1"/>
  <c r="K43" i="3445" s="1"/>
  <c r="L43" i="3445" s="1"/>
  <c r="M43" i="3445" s="1"/>
  <c r="H24" i="3436" s="1"/>
  <c r="K58" i="3444" a="1"/>
  <c r="K58" i="3444" s="1"/>
  <c r="F64" i="3444" a="1"/>
  <c r="F64" i="3444" s="1"/>
  <c r="E64" i="3444" a="1"/>
  <c r="E64" i="3444" s="1"/>
  <c r="N105" i="3445" a="1"/>
  <c r="N105" i="3445" s="1"/>
  <c r="J105" i="3445" a="1"/>
  <c r="J105" i="3445" s="1"/>
  <c r="I105" i="3445" a="1"/>
  <c r="I105" i="3445" s="1"/>
  <c r="T105" i="3445"/>
  <c r="S105" i="3445" a="1"/>
  <c r="S105" i="3445" s="1"/>
  <c r="Q105" i="3445"/>
  <c r="P105" i="3445"/>
  <c r="O105" i="3445"/>
  <c r="K105" i="3445" a="1"/>
  <c r="K105" i="3445" s="1"/>
  <c r="L105" i="3445" s="1"/>
  <c r="M105" i="3445" s="1"/>
  <c r="A105" i="3445"/>
  <c r="AN58" i="3444" a="1"/>
  <c r="AN58" i="3444" s="1"/>
  <c r="K45" i="3445" a="1"/>
  <c r="K45" i="3445" s="1"/>
  <c r="L45" i="3445" s="1"/>
  <c r="M45" i="3445" s="1"/>
  <c r="H26" i="3436" s="1"/>
  <c r="H45" i="3445"/>
  <c r="J32" i="3445" a="1"/>
  <c r="J32" i="3445" s="1"/>
  <c r="I32" i="3445" a="1"/>
  <c r="I32" i="3445" s="1"/>
  <c r="P32" i="3445"/>
  <c r="Q32" i="3445" s="1"/>
  <c r="O32" i="3445"/>
  <c r="S32" i="3445" a="1"/>
  <c r="S32" i="3445" s="1"/>
  <c r="T32" i="3445" s="1"/>
  <c r="N32" i="3445" a="1"/>
  <c r="N32" i="3445" s="1"/>
  <c r="A32" i="3445"/>
  <c r="K32" i="3445" a="1"/>
  <c r="K32" i="3445" s="1"/>
  <c r="H32" i="3445"/>
  <c r="U58" i="3444" a="1"/>
  <c r="U58" i="3444" s="1"/>
  <c r="AW58" i="3444" a="1"/>
  <c r="AW58" i="3444" s="1"/>
  <c r="F61" i="3444" a="1"/>
  <c r="F61" i="3444" s="1"/>
  <c r="E61" i="3444" a="1"/>
  <c r="E61" i="3444" s="1"/>
  <c r="H61" i="3444" a="1"/>
  <c r="H61" i="3444" s="1"/>
  <c r="H71" i="3444" a="1"/>
  <c r="H71" i="3444" s="1"/>
  <c r="F71" i="3444" a="1"/>
  <c r="F71" i="3444" s="1"/>
  <c r="E71" i="3444" a="1"/>
  <c r="E71" i="3444" s="1"/>
  <c r="W58" i="3444" a="1"/>
  <c r="W58" i="3444" s="1"/>
  <c r="H69" i="3444" a="1"/>
  <c r="H69" i="3444" s="1"/>
  <c r="F69" i="3444" a="1"/>
  <c r="F69" i="3444" s="1"/>
  <c r="E69" i="3444" a="1"/>
  <c r="E69" i="3444" s="1"/>
  <c r="X58" i="3444" a="1"/>
  <c r="X58" i="3444" s="1"/>
  <c r="AY58" i="3444" a="1"/>
  <c r="AY58" i="3444" s="1"/>
  <c r="K68" i="3445" a="1"/>
  <c r="K68" i="3445" s="1"/>
  <c r="L68" i="3445" s="1"/>
  <c r="M68" i="3445" s="1"/>
  <c r="H49" i="3436" s="1"/>
  <c r="H68" i="3445"/>
  <c r="H63" i="3444" a="1"/>
  <c r="H63" i="3444" s="1"/>
  <c r="H57" i="3444" a="1"/>
  <c r="H57" i="3444" s="1"/>
  <c r="F57" i="3444" a="1"/>
  <c r="F57" i="3444" s="1"/>
  <c r="AZ58" i="3444" a="1"/>
  <c r="AZ58" i="3444" s="1"/>
  <c r="AW67" i="3444" a="1"/>
  <c r="AW67" i="3444" s="1"/>
  <c r="AH67" i="3444" a="1"/>
  <c r="AH67" i="3444" s="1"/>
  <c r="T67" i="3444" a="1"/>
  <c r="T67" i="3444" s="1"/>
  <c r="AV67" i="3444" a="1"/>
  <c r="AV67" i="3444" s="1"/>
  <c r="AU67" i="3444" a="1"/>
  <c r="AU67" i="3444" s="1"/>
  <c r="AG67" i="3444" a="1"/>
  <c r="AG67" i="3444" s="1"/>
  <c r="S67" i="3444" a="1"/>
  <c r="S67" i="3444" s="1"/>
  <c r="N67" i="3444" a="1"/>
  <c r="N67" i="3444" s="1"/>
  <c r="BE67" i="3444" a="1"/>
  <c r="BE67" i="3444" s="1"/>
  <c r="AQ67" i="3444" a="1"/>
  <c r="AQ67" i="3444" s="1"/>
  <c r="AC67" i="3444" a="1"/>
  <c r="AC67" i="3444" s="1"/>
  <c r="Z67" i="3444" a="1"/>
  <c r="Z67" i="3444" s="1"/>
  <c r="L67" i="3444" a="1"/>
  <c r="L67" i="3444" s="1"/>
  <c r="BC67" i="3444" a="1"/>
  <c r="BC67" i="3444" s="1"/>
  <c r="AM67" i="3444" a="1"/>
  <c r="AM67" i="3444" s="1"/>
  <c r="AL67" i="3444" a="1"/>
  <c r="AL67" i="3444" s="1"/>
  <c r="Q67" i="3444" a="1"/>
  <c r="Q67" i="3444" s="1"/>
  <c r="BH67" i="3444" a="1"/>
  <c r="BH67" i="3444" s="1"/>
  <c r="P67" i="3444" a="1"/>
  <c r="P67" i="3444" s="1"/>
  <c r="BG67" i="3444" a="1"/>
  <c r="BG67" i="3444" s="1"/>
  <c r="AK67" i="3444" a="1"/>
  <c r="AK67" i="3444" s="1"/>
  <c r="O67" i="3444" a="1"/>
  <c r="O67" i="3444" s="1"/>
  <c r="BD67" i="3444" a="1"/>
  <c r="BD67" i="3444" s="1"/>
  <c r="AF67" i="3444" a="1"/>
  <c r="AF67" i="3444" s="1"/>
  <c r="BA67" i="3444" a="1"/>
  <c r="BA67" i="3444" s="1"/>
  <c r="AZ67" i="3444" a="1"/>
  <c r="AZ67" i="3444" s="1"/>
  <c r="AD67" i="3444" a="1"/>
  <c r="AD67" i="3444" s="1"/>
  <c r="AX67" i="3444" a="1"/>
  <c r="AX67" i="3444" s="1"/>
  <c r="AA67" i="3444" a="1"/>
  <c r="AA67" i="3444" s="1"/>
  <c r="AT67" i="3444" a="1"/>
  <c r="AT67" i="3444" s="1"/>
  <c r="Y67" i="3444" a="1"/>
  <c r="Y67" i="3444" s="1"/>
  <c r="AS67" i="3444" a="1"/>
  <c r="AS67" i="3444" s="1"/>
  <c r="X67" i="3444" a="1"/>
  <c r="X67" i="3444" s="1"/>
  <c r="AR67" i="3444" a="1"/>
  <c r="AR67" i="3444" s="1"/>
  <c r="BF67" i="3444" a="1"/>
  <c r="BF67" i="3444" s="1"/>
  <c r="H80" i="3444" a="1"/>
  <c r="H80" i="3444" s="1"/>
  <c r="F80" i="3444" a="1"/>
  <c r="F80" i="3444" s="1"/>
  <c r="E80" i="3444" a="1"/>
  <c r="E80" i="3444" s="1"/>
  <c r="H77" i="3444" a="1"/>
  <c r="H77" i="3444" s="1"/>
  <c r="E77" i="3444" a="1"/>
  <c r="E77" i="3444" s="1"/>
  <c r="H79" i="3444" a="1"/>
  <c r="H79" i="3444" s="1"/>
  <c r="F79" i="3444" a="1"/>
  <c r="F79" i="3444" s="1"/>
  <c r="H26" i="3445"/>
  <c r="K26" i="3445" a="1"/>
  <c r="K26" i="3445" s="1"/>
  <c r="A26" i="3445"/>
  <c r="N26" i="3445" a="1"/>
  <c r="N26" i="3445" s="1"/>
  <c r="AY72" i="3444" a="1"/>
  <c r="AY72" i="3444" s="1"/>
  <c r="AM72" i="3444" a="1"/>
  <c r="AM72" i="3444" s="1"/>
  <c r="AA72" i="3444" a="1"/>
  <c r="AA72" i="3444" s="1"/>
  <c r="O72" i="3444" a="1"/>
  <c r="O72" i="3444" s="1"/>
  <c r="AX72" i="3444" a="1"/>
  <c r="AX72" i="3444" s="1"/>
  <c r="AL72" i="3444" a="1"/>
  <c r="AL72" i="3444" s="1"/>
  <c r="Z72" i="3444" a="1"/>
  <c r="Z72" i="3444" s="1"/>
  <c r="N72" i="3444" a="1"/>
  <c r="N72" i="3444" s="1"/>
  <c r="AW72" i="3444" a="1"/>
  <c r="AW72" i="3444" s="1"/>
  <c r="AK72" i="3444" a="1"/>
  <c r="AK72" i="3444" s="1"/>
  <c r="Y72" i="3444" a="1"/>
  <c r="Y72" i="3444" s="1"/>
  <c r="M72" i="3444" a="1"/>
  <c r="M72" i="3444" s="1"/>
  <c r="BF72" i="3444" a="1"/>
  <c r="BF72" i="3444" s="1"/>
  <c r="AT72" i="3444" a="1"/>
  <c r="AT72" i="3444" s="1"/>
  <c r="AH72" i="3444" a="1"/>
  <c r="AH72" i="3444" s="1"/>
  <c r="V72" i="3444" a="1"/>
  <c r="V72" i="3444" s="1"/>
  <c r="BB72" i="3444" a="1"/>
  <c r="BB72" i="3444" s="1"/>
  <c r="W72" i="3444" a="1"/>
  <c r="W72" i="3444" s="1"/>
  <c r="BA72" i="3444" a="1"/>
  <c r="BA72" i="3444" s="1"/>
  <c r="AJ72" i="3444" a="1"/>
  <c r="AJ72" i="3444" s="1"/>
  <c r="U72" i="3444" a="1"/>
  <c r="U72" i="3444" s="1"/>
  <c r="AZ72" i="3444" a="1"/>
  <c r="AZ72" i="3444" s="1"/>
  <c r="AI72" i="3444" a="1"/>
  <c r="AI72" i="3444" s="1"/>
  <c r="T72" i="3444" a="1"/>
  <c r="T72" i="3444" s="1"/>
  <c r="S72" i="3444" a="1"/>
  <c r="S72" i="3444" s="1"/>
  <c r="R72" i="3444" a="1"/>
  <c r="R72" i="3444" s="1"/>
  <c r="AU72" i="3444" a="1"/>
  <c r="AU72" i="3444" s="1"/>
  <c r="AF72" i="3444" a="1"/>
  <c r="AF72" i="3444" s="1"/>
  <c r="Q72" i="3444" a="1"/>
  <c r="Q72" i="3444" s="1"/>
  <c r="AD72" i="3444" a="1"/>
  <c r="AD72" i="3444" s="1"/>
  <c r="BG72" i="3444" a="1"/>
  <c r="BG72" i="3444" s="1"/>
  <c r="AR72" i="3444" a="1"/>
  <c r="AR72" i="3444" s="1"/>
  <c r="BE72" i="3444" a="1"/>
  <c r="BE72" i="3444" s="1"/>
  <c r="AB72" i="3444" a="1"/>
  <c r="AB72" i="3444" s="1"/>
  <c r="BD72" i="3444" a="1"/>
  <c r="BD72" i="3444" s="1"/>
  <c r="AO72" i="3444" a="1"/>
  <c r="AO72" i="3444" s="1"/>
  <c r="E74" i="3444" a="1"/>
  <c r="E74" i="3444" s="1"/>
  <c r="H74" i="3444" a="1"/>
  <c r="H74" i="3444" s="1"/>
  <c r="O207" i="3445"/>
  <c r="N207" i="3445" a="1"/>
  <c r="N207" i="3445" s="1"/>
  <c r="K207" i="3445" a="1"/>
  <c r="K207" i="3445" s="1"/>
  <c r="L207" i="3445" s="1"/>
  <c r="M207" i="3445" s="1"/>
  <c r="J207" i="3445" a="1"/>
  <c r="J207" i="3445" s="1"/>
  <c r="T207" i="3445"/>
  <c r="S207" i="3445" a="1"/>
  <c r="S207" i="3445" s="1"/>
  <c r="Q207" i="3445"/>
  <c r="P207" i="3445"/>
  <c r="I207" i="3445" a="1"/>
  <c r="I207" i="3445" s="1"/>
  <c r="H207" i="3445"/>
  <c r="A207" i="3445"/>
  <c r="AP72" i="3444" a="1"/>
  <c r="AP72" i="3444" s="1"/>
  <c r="K87" i="3445" a="1"/>
  <c r="K87" i="3445" s="1"/>
  <c r="L87" i="3445" s="1"/>
  <c r="M87" i="3445" s="1"/>
  <c r="H68" i="3436" s="1"/>
  <c r="H87" i="3445"/>
  <c r="I87" i="3445" s="1" a="1"/>
  <c r="I87" i="3445" s="1"/>
  <c r="T131" i="3445"/>
  <c r="S131" i="3445" a="1"/>
  <c r="S131" i="3445" s="1"/>
  <c r="O131" i="3445"/>
  <c r="K131" i="3445" a="1"/>
  <c r="K131" i="3445" s="1"/>
  <c r="L131" i="3445" s="1"/>
  <c r="M131" i="3445" s="1"/>
  <c r="J131" i="3445" a="1"/>
  <c r="J131" i="3445" s="1"/>
  <c r="I131" i="3445" a="1"/>
  <c r="I131" i="3445" s="1"/>
  <c r="H131" i="3445"/>
  <c r="N131" i="3445" a="1"/>
  <c r="N131" i="3445" s="1"/>
  <c r="A131" i="3445"/>
  <c r="Q131" i="3445"/>
  <c r="P131" i="3445"/>
  <c r="AQ72" i="3444" a="1"/>
  <c r="AQ72" i="3444" s="1"/>
  <c r="F74" i="3444" a="1"/>
  <c r="F74" i="3444" s="1"/>
  <c r="F77" i="3444" a="1"/>
  <c r="F77" i="3444" s="1"/>
  <c r="A126" i="3445"/>
  <c r="H126" i="3445"/>
  <c r="K126" i="3445" a="1"/>
  <c r="K126" i="3445" s="1"/>
  <c r="L126" i="3445" s="1"/>
  <c r="M126" i="3445" s="1"/>
  <c r="J126" i="3445" a="1"/>
  <c r="J126" i="3445" s="1"/>
  <c r="P126" i="3445"/>
  <c r="O126" i="3445"/>
  <c r="N126" i="3445" a="1"/>
  <c r="N126" i="3445" s="1"/>
  <c r="I126" i="3445" a="1"/>
  <c r="I126" i="3445" s="1"/>
  <c r="T126" i="3445"/>
  <c r="Q126" i="3445"/>
  <c r="K38" i="3445" a="1"/>
  <c r="K38" i="3445" s="1"/>
  <c r="T38" i="3445" s="1"/>
  <c r="H38" i="3445"/>
  <c r="I38" i="3445" s="1" a="1"/>
  <c r="I38" i="3445" s="1"/>
  <c r="S126" i="3445" a="1"/>
  <c r="S126" i="3445" s="1"/>
  <c r="K65" i="3445" a="1"/>
  <c r="K65" i="3445" s="1"/>
  <c r="L65" i="3445" s="1"/>
  <c r="M65" i="3445" s="1"/>
  <c r="H46" i="3436" s="1"/>
  <c r="H65" i="3445"/>
  <c r="L72" i="3444" a="1"/>
  <c r="L72" i="3444" s="1"/>
  <c r="AV72" i="3444" a="1"/>
  <c r="AV72" i="3444" s="1"/>
  <c r="A78" i="3444"/>
  <c r="H82" i="3445"/>
  <c r="I82" i="3445" s="1" a="1"/>
  <c r="I82" i="3445" s="1"/>
  <c r="K82" i="3445" a="1"/>
  <c r="K82" i="3445" s="1"/>
  <c r="L82" i="3445" s="1"/>
  <c r="M82" i="3445" s="1"/>
  <c r="H63" i="3436" s="1"/>
  <c r="BC72" i="3444" a="1"/>
  <c r="BC72" i="3444" s="1"/>
  <c r="AZ75" i="3444" a="1"/>
  <c r="AZ75" i="3444" s="1"/>
  <c r="AB75" i="3444" a="1"/>
  <c r="AB75" i="3444" s="1"/>
  <c r="AL75" i="3444" a="1"/>
  <c r="AL75" i="3444" s="1"/>
  <c r="W75" i="3444" a="1"/>
  <c r="W75" i="3444" s="1"/>
  <c r="BB75" i="3444" a="1"/>
  <c r="BB75" i="3444" s="1"/>
  <c r="AK75" i="3444" a="1"/>
  <c r="AK75" i="3444" s="1"/>
  <c r="BA75" i="3444" a="1"/>
  <c r="BA75" i="3444" s="1"/>
  <c r="AY75" i="3444" a="1"/>
  <c r="AY75" i="3444" s="1"/>
  <c r="U75" i="3444" a="1"/>
  <c r="U75" i="3444" s="1"/>
  <c r="AI75" i="3444" a="1"/>
  <c r="AI75" i="3444" s="1"/>
  <c r="T75" i="3444" a="1"/>
  <c r="T75" i="3444" s="1"/>
  <c r="AW75" i="3444" a="1"/>
  <c r="AW75" i="3444" s="1"/>
  <c r="AH75" i="3444" a="1"/>
  <c r="AH75" i="3444" s="1"/>
  <c r="AV75" i="3444" a="1"/>
  <c r="AV75" i="3444" s="1"/>
  <c r="AG75" i="3444" a="1"/>
  <c r="AG75" i="3444" s="1"/>
  <c r="AU75" i="3444" a="1"/>
  <c r="AU75" i="3444" s="1"/>
  <c r="R75" i="3444" a="1"/>
  <c r="R75" i="3444" s="1"/>
  <c r="AF75" i="3444" a="1"/>
  <c r="AF75" i="3444" s="1"/>
  <c r="AE75" i="3444" a="1"/>
  <c r="AE75" i="3444" s="1"/>
  <c r="O75" i="3444" a="1"/>
  <c r="O75" i="3444" s="1"/>
  <c r="AS75" i="3444" a="1"/>
  <c r="AS75" i="3444" s="1"/>
  <c r="BG75" i="3444" a="1"/>
  <c r="BG75" i="3444" s="1"/>
  <c r="AD75" i="3444" a="1"/>
  <c r="AD75" i="3444" s="1"/>
  <c r="AQ75" i="3444" a="1"/>
  <c r="AQ75" i="3444" s="1"/>
  <c r="AA75" i="3444" a="1"/>
  <c r="AA75" i="3444" s="1"/>
  <c r="AP75" i="3444" a="1"/>
  <c r="AP75" i="3444" s="1"/>
  <c r="AT75" i="3444" a="1"/>
  <c r="AT75" i="3444" s="1"/>
  <c r="H76" i="3445"/>
  <c r="K76" i="3445" a="1"/>
  <c r="K76" i="3445" s="1"/>
  <c r="F82" i="3444" a="1"/>
  <c r="F82" i="3444" s="1"/>
  <c r="E82" i="3444" a="1"/>
  <c r="E82" i="3444" s="1"/>
  <c r="K90" i="3445" a="1"/>
  <c r="K90" i="3445" s="1"/>
  <c r="N90" i="3445" s="1" a="1"/>
  <c r="N90" i="3445" s="1"/>
  <c r="H90" i="3445"/>
  <c r="I90" i="3445" s="1" a="1"/>
  <c r="I90" i="3445" s="1"/>
  <c r="A70" i="3444"/>
  <c r="BH72" i="3444" a="1"/>
  <c r="BH72" i="3444" s="1"/>
  <c r="K75" i="3444" a="1"/>
  <c r="K75" i="3444" s="1"/>
  <c r="BE75" i="3444" a="1"/>
  <c r="BE75" i="3444" s="1"/>
  <c r="E81" i="3444" a="1"/>
  <c r="E81" i="3444" s="1"/>
  <c r="H81" i="3444" a="1"/>
  <c r="H81" i="3444" s="1"/>
  <c r="N41" i="3445" a="1"/>
  <c r="N41" i="3445" s="1"/>
  <c r="L41" i="3445"/>
  <c r="M41" i="3445" s="1"/>
  <c r="H22" i="3436" s="1"/>
  <c r="A41" i="3445"/>
  <c r="BF75" i="3444" a="1"/>
  <c r="BF75" i="3444" s="1"/>
  <c r="F81" i="3444" a="1"/>
  <c r="F81" i="3444" s="1"/>
  <c r="H70" i="3445"/>
  <c r="K70" i="3445" a="1"/>
  <c r="K70" i="3445" s="1"/>
  <c r="A70" i="3445" s="1"/>
  <c r="BB70" i="3444" a="1"/>
  <c r="BB70" i="3444" s="1"/>
  <c r="AP70" i="3444" a="1"/>
  <c r="AP70" i="3444" s="1"/>
  <c r="AD70" i="3444" a="1"/>
  <c r="AD70" i="3444" s="1"/>
  <c r="R70" i="3444" a="1"/>
  <c r="R70" i="3444" s="1"/>
  <c r="BA70" i="3444" a="1"/>
  <c r="BA70" i="3444" s="1"/>
  <c r="AO70" i="3444" a="1"/>
  <c r="AO70" i="3444" s="1"/>
  <c r="AC70" i="3444" a="1"/>
  <c r="AC70" i="3444" s="1"/>
  <c r="Q70" i="3444" a="1"/>
  <c r="Q70" i="3444" s="1"/>
  <c r="AZ70" i="3444" a="1"/>
  <c r="AZ70" i="3444" s="1"/>
  <c r="AN70" i="3444" a="1"/>
  <c r="AN70" i="3444" s="1"/>
  <c r="AB70" i="3444" a="1"/>
  <c r="AB70" i="3444" s="1"/>
  <c r="P70" i="3444" a="1"/>
  <c r="P70" i="3444" s="1"/>
  <c r="AW70" i="3444" a="1"/>
  <c r="AW70" i="3444" s="1"/>
  <c r="AK70" i="3444" a="1"/>
  <c r="AK70" i="3444" s="1"/>
  <c r="Y70" i="3444" a="1"/>
  <c r="Y70" i="3444" s="1"/>
  <c r="M70" i="3444" a="1"/>
  <c r="M70" i="3444" s="1"/>
  <c r="AR70" i="3444" a="1"/>
  <c r="AR70" i="3444" s="1"/>
  <c r="BF70" i="3444" a="1"/>
  <c r="BF70" i="3444" s="1"/>
  <c r="AA70" i="3444" a="1"/>
  <c r="AA70" i="3444" s="1"/>
  <c r="L70" i="3444" a="1"/>
  <c r="L70" i="3444" s="1"/>
  <c r="AQ70" i="3444" a="1"/>
  <c r="AQ70" i="3444" s="1"/>
  <c r="BE70" i="3444" a="1"/>
  <c r="BE70" i="3444" s="1"/>
  <c r="Z70" i="3444" a="1"/>
  <c r="Z70" i="3444" s="1"/>
  <c r="K70" i="3444" a="1"/>
  <c r="K70" i="3444" s="1"/>
  <c r="BD70" i="3444" a="1"/>
  <c r="BD70" i="3444" s="1"/>
  <c r="BC70" i="3444" a="1"/>
  <c r="BC70" i="3444" s="1"/>
  <c r="V70" i="3444" a="1"/>
  <c r="V70" i="3444" s="1"/>
  <c r="AY70" i="3444" a="1"/>
  <c r="AY70" i="3444" s="1"/>
  <c r="AJ70" i="3444" a="1"/>
  <c r="AJ70" i="3444" s="1"/>
  <c r="T70" i="3444" a="1"/>
  <c r="T70" i="3444" s="1"/>
  <c r="AH70" i="3444" a="1"/>
  <c r="AH70" i="3444" s="1"/>
  <c r="AU70" i="3444" a="1"/>
  <c r="AU70" i="3444" s="1"/>
  <c r="AT70" i="3444" a="1"/>
  <c r="AT70" i="3444" s="1"/>
  <c r="O70" i="3444" a="1"/>
  <c r="O70" i="3444" s="1"/>
  <c r="AL70" i="3444" a="1"/>
  <c r="AL70" i="3444" s="1"/>
  <c r="M75" i="3444" a="1"/>
  <c r="M75" i="3444" s="1"/>
  <c r="T137" i="3445"/>
  <c r="S137" i="3445" a="1"/>
  <c r="S137" i="3445" s="1"/>
  <c r="N137" i="3445" a="1"/>
  <c r="N137" i="3445" s="1"/>
  <c r="Q137" i="3445"/>
  <c r="P137" i="3445"/>
  <c r="J137" i="3445" a="1"/>
  <c r="J137" i="3445" s="1"/>
  <c r="I137" i="3445" a="1"/>
  <c r="I137" i="3445" s="1"/>
  <c r="H137" i="3445"/>
  <c r="A137" i="3445"/>
  <c r="O137" i="3445"/>
  <c r="K137" i="3445" a="1"/>
  <c r="K137" i="3445" s="1"/>
  <c r="L137" i="3445" s="1"/>
  <c r="M137" i="3445" s="1"/>
  <c r="H68" i="3444" a="1"/>
  <c r="H68" i="3444" s="1"/>
  <c r="F68" i="3444" a="1"/>
  <c r="F68" i="3444" s="1"/>
  <c r="E68" i="3444" a="1"/>
  <c r="E68" i="3444" s="1"/>
  <c r="AC72" i="3444" a="1"/>
  <c r="AC72" i="3444" s="1"/>
  <c r="Q75" i="3444" a="1"/>
  <c r="Q75" i="3444" s="1"/>
  <c r="H76" i="3444" a="1"/>
  <c r="H76" i="3444" s="1"/>
  <c r="F76" i="3444" a="1"/>
  <c r="F76" i="3444" s="1"/>
  <c r="E76" i="3444" a="1"/>
  <c r="E76" i="3444" s="1"/>
  <c r="N117" i="3445" a="1"/>
  <c r="N117" i="3445" s="1"/>
  <c r="H117" i="3445"/>
  <c r="Q117" i="3445"/>
  <c r="O117" i="3445"/>
  <c r="K117" i="3445" a="1"/>
  <c r="K117" i="3445" s="1"/>
  <c r="L117" i="3445" s="1"/>
  <c r="M117" i="3445" s="1"/>
  <c r="J117" i="3445" a="1"/>
  <c r="J117" i="3445" s="1"/>
  <c r="T117" i="3445"/>
  <c r="S117" i="3445" a="1"/>
  <c r="S117" i="3445" s="1"/>
  <c r="P117" i="3445"/>
  <c r="A117" i="3445"/>
  <c r="I117" i="3445" a="1"/>
  <c r="I117" i="3445" s="1"/>
  <c r="T167" i="3445"/>
  <c r="S167" i="3445" a="1"/>
  <c r="S167" i="3445" s="1"/>
  <c r="N167" i="3445" a="1"/>
  <c r="N167" i="3445" s="1"/>
  <c r="H167" i="3445"/>
  <c r="A167" i="3445"/>
  <c r="P167" i="3445"/>
  <c r="K167" i="3445" a="1"/>
  <c r="K167" i="3445" s="1"/>
  <c r="L167" i="3445" s="1"/>
  <c r="M167" i="3445" s="1"/>
  <c r="J167" i="3445" a="1"/>
  <c r="J167" i="3445" s="1"/>
  <c r="Q167" i="3445"/>
  <c r="O167" i="3445"/>
  <c r="I167" i="3445" a="1"/>
  <c r="I167" i="3445" s="1"/>
  <c r="K116" i="3445" a="1"/>
  <c r="K116" i="3445" s="1"/>
  <c r="L116" i="3445" s="1"/>
  <c r="M116" i="3445" s="1"/>
  <c r="J116" i="3445" a="1"/>
  <c r="J116" i="3445" s="1"/>
  <c r="I116" i="3445" a="1"/>
  <c r="I116" i="3445" s="1"/>
  <c r="A116" i="3445"/>
  <c r="Q116" i="3445"/>
  <c r="P116" i="3445"/>
  <c r="O116" i="3445"/>
  <c r="N116" i="3445" a="1"/>
  <c r="N116" i="3445" s="1"/>
  <c r="S116" i="3445" a="1"/>
  <c r="S116" i="3445" s="1"/>
  <c r="H116" i="3445"/>
  <c r="I121" i="3445" a="1"/>
  <c r="I121" i="3445" s="1"/>
  <c r="H121" i="3445"/>
  <c r="P121" i="3445"/>
  <c r="N121" i="3445" a="1"/>
  <c r="N121" i="3445" s="1"/>
  <c r="K121" i="3445" a="1"/>
  <c r="K121" i="3445" s="1"/>
  <c r="L121" i="3445" s="1"/>
  <c r="M121" i="3445" s="1"/>
  <c r="Q121" i="3445"/>
  <c r="O121" i="3445"/>
  <c r="J121" i="3445" a="1"/>
  <c r="J121" i="3445" s="1"/>
  <c r="A121" i="3445"/>
  <c r="T121" i="3445"/>
  <c r="S136" i="3445" a="1"/>
  <c r="S136" i="3445" s="1"/>
  <c r="Q136" i="3445"/>
  <c r="P136" i="3445"/>
  <c r="O136" i="3445"/>
  <c r="K136" i="3445" a="1"/>
  <c r="K136" i="3445" s="1"/>
  <c r="L136" i="3445" s="1"/>
  <c r="M136" i="3445" s="1"/>
  <c r="J136" i="3445" a="1"/>
  <c r="J136" i="3445" s="1"/>
  <c r="I136" i="3445" a="1"/>
  <c r="I136" i="3445" s="1"/>
  <c r="H136" i="3445"/>
  <c r="T136" i="3445"/>
  <c r="N136" i="3445" a="1"/>
  <c r="N136" i="3445" s="1"/>
  <c r="I157" i="3445" a="1"/>
  <c r="I157" i="3445" s="1"/>
  <c r="H157" i="3445"/>
  <c r="J157" i="3445" a="1"/>
  <c r="J157" i="3445" s="1"/>
  <c r="S157" i="3445" a="1"/>
  <c r="S157" i="3445" s="1"/>
  <c r="T157" i="3445"/>
  <c r="Q157" i="3445"/>
  <c r="P157" i="3445"/>
  <c r="O157" i="3445"/>
  <c r="N157" i="3445" a="1"/>
  <c r="N157" i="3445" s="1"/>
  <c r="A157" i="3445"/>
  <c r="A204" i="3445"/>
  <c r="T204" i="3445"/>
  <c r="S204" i="3445" a="1"/>
  <c r="S204" i="3445" s="1"/>
  <c r="N204" i="3445" a="1"/>
  <c r="N204" i="3445" s="1"/>
  <c r="O204" i="3445"/>
  <c r="J204" i="3445" a="1"/>
  <c r="J204" i="3445" s="1"/>
  <c r="H204" i="3445"/>
  <c r="P204" i="3445"/>
  <c r="Q204" i="3445"/>
  <c r="K56" i="3445" a="1"/>
  <c r="K56" i="3445" s="1"/>
  <c r="N56" i="3445" s="1" a="1"/>
  <c r="N56" i="3445" s="1"/>
  <c r="I56" i="3445" a="1"/>
  <c r="I56" i="3445" s="1"/>
  <c r="L95" i="3445"/>
  <c r="M95" i="3445" s="1"/>
  <c r="H76" i="3436" s="1"/>
  <c r="A95" i="3445"/>
  <c r="T113" i="3445"/>
  <c r="S113" i="3445" a="1"/>
  <c r="S113" i="3445" s="1"/>
  <c r="I113" i="3445" a="1"/>
  <c r="I113" i="3445" s="1"/>
  <c r="A113" i="3445"/>
  <c r="K113" i="3445" a="1"/>
  <c r="K113" i="3445" s="1"/>
  <c r="L113" i="3445" s="1"/>
  <c r="M113" i="3445" s="1"/>
  <c r="J113" i="3445" a="1"/>
  <c r="J113" i="3445" s="1"/>
  <c r="P113" i="3445"/>
  <c r="H113" i="3445"/>
  <c r="K170" i="3445" a="1"/>
  <c r="K170" i="3445" s="1"/>
  <c r="L170" i="3445" s="1"/>
  <c r="M170" i="3445" s="1"/>
  <c r="J170" i="3445" a="1"/>
  <c r="J170" i="3445" s="1"/>
  <c r="O170" i="3445"/>
  <c r="N170" i="3445" a="1"/>
  <c r="N170" i="3445" s="1"/>
  <c r="A170" i="3445"/>
  <c r="T170" i="3445"/>
  <c r="S170" i="3445" a="1"/>
  <c r="S170" i="3445" s="1"/>
  <c r="Q170" i="3445"/>
  <c r="H170" i="3445"/>
  <c r="T249" i="3445"/>
  <c r="S249" i="3445" a="1"/>
  <c r="S249" i="3445" s="1"/>
  <c r="Q249" i="3445"/>
  <c r="P249" i="3445"/>
  <c r="O249" i="3445"/>
  <c r="N249" i="3445" a="1"/>
  <c r="N249" i="3445" s="1"/>
  <c r="J249" i="3445" a="1"/>
  <c r="J249" i="3445" s="1"/>
  <c r="K249" i="3445" a="1"/>
  <c r="K249" i="3445" s="1"/>
  <c r="L249" i="3445" s="1"/>
  <c r="M249" i="3445" s="1"/>
  <c r="I249" i="3445" a="1"/>
  <c r="I249" i="3445" s="1"/>
  <c r="H249" i="3445"/>
  <c r="A249" i="3445"/>
  <c r="K51" i="3445" a="1"/>
  <c r="K51" i="3445" s="1"/>
  <c r="N51" i="3445" s="1" a="1"/>
  <c r="N51" i="3445" s="1"/>
  <c r="H51" i="3445"/>
  <c r="H71" i="3445"/>
  <c r="I71" i="3445" s="1" a="1"/>
  <c r="I71" i="3445" s="1"/>
  <c r="K71" i="3445" a="1"/>
  <c r="K71" i="3445" s="1"/>
  <c r="K74" i="3445" a="1"/>
  <c r="K74" i="3445" s="1"/>
  <c r="K110" i="3445" a="1"/>
  <c r="K110" i="3445" s="1"/>
  <c r="L110" i="3445" s="1"/>
  <c r="M110" i="3445" s="1"/>
  <c r="J110" i="3445" a="1"/>
  <c r="J110" i="3445" s="1"/>
  <c r="O110" i="3445"/>
  <c r="I110" i="3445" a="1"/>
  <c r="I110" i="3445" s="1"/>
  <c r="A110" i="3445"/>
  <c r="H110" i="3445"/>
  <c r="T110" i="3445"/>
  <c r="Q110" i="3445"/>
  <c r="P110" i="3445"/>
  <c r="N110" i="3445" a="1"/>
  <c r="N110" i="3445" s="1"/>
  <c r="O113" i="3445"/>
  <c r="P170" i="3445"/>
  <c r="I239" i="3445" a="1"/>
  <c r="I239" i="3445" s="1"/>
  <c r="K239" i="3445" a="1"/>
  <c r="K239" i="3445" s="1"/>
  <c r="L239" i="3445" s="1"/>
  <c r="M239" i="3445" s="1"/>
  <c r="J239" i="3445" a="1"/>
  <c r="J239" i="3445" s="1"/>
  <c r="H239" i="3445"/>
  <c r="A239" i="3445"/>
  <c r="T239" i="3445"/>
  <c r="S239" i="3445" a="1"/>
  <c r="S239" i="3445" s="1"/>
  <c r="Q239" i="3445"/>
  <c r="P239" i="3445"/>
  <c r="O239" i="3445"/>
  <c r="N239" i="3445" a="1"/>
  <c r="N239" i="3445" s="1"/>
  <c r="AG78" i="3444" a="1"/>
  <c r="AG78" i="3444" s="1"/>
  <c r="K46" i="3445" a="1"/>
  <c r="K46" i="3445" s="1"/>
  <c r="H46" i="3445"/>
  <c r="I46" i="3445" s="1" a="1"/>
  <c r="I46" i="3445" s="1"/>
  <c r="H74" i="3445"/>
  <c r="Q113" i="3445"/>
  <c r="Q118" i="3445"/>
  <c r="P118" i="3445"/>
  <c r="O118" i="3445"/>
  <c r="J118" i="3445" a="1"/>
  <c r="J118" i="3445" s="1"/>
  <c r="I118" i="3445" a="1"/>
  <c r="I118" i="3445" s="1"/>
  <c r="H118" i="3445"/>
  <c r="T118" i="3445"/>
  <c r="S118" i="3445" a="1"/>
  <c r="S118" i="3445" s="1"/>
  <c r="A118" i="3445"/>
  <c r="L44" i="3560"/>
  <c r="K44" i="3560"/>
  <c r="J44" i="3560"/>
  <c r="I44" i="3560"/>
  <c r="N123" i="3445" a="1"/>
  <c r="N123" i="3445" s="1"/>
  <c r="H123" i="3445"/>
  <c r="I123" i="3445" a="1"/>
  <c r="I123" i="3445" s="1"/>
  <c r="A123" i="3445"/>
  <c r="T123" i="3445"/>
  <c r="S123" i="3445" a="1"/>
  <c r="S123" i="3445" s="1"/>
  <c r="Q123" i="3445"/>
  <c r="O123" i="3445"/>
  <c r="A132" i="3445"/>
  <c r="H132" i="3445"/>
  <c r="T132" i="3445"/>
  <c r="S132" i="3445" a="1"/>
  <c r="S132" i="3445" s="1"/>
  <c r="Q132" i="3445"/>
  <c r="P132" i="3445"/>
  <c r="O132" i="3445"/>
  <c r="I132" i="3445" a="1"/>
  <c r="I132" i="3445" s="1"/>
  <c r="N132" i="3445" a="1"/>
  <c r="N132" i="3445" s="1"/>
  <c r="O147" i="3445"/>
  <c r="N147" i="3445" a="1"/>
  <c r="N147" i="3445" s="1"/>
  <c r="Q147" i="3445"/>
  <c r="T147" i="3445"/>
  <c r="J147" i="3445" a="1"/>
  <c r="J147" i="3445" s="1"/>
  <c r="I147" i="3445" a="1"/>
  <c r="I147" i="3445" s="1"/>
  <c r="H147" i="3445"/>
  <c r="P147" i="3445"/>
  <c r="A147" i="3445"/>
  <c r="S154" i="3445" a="1"/>
  <c r="S154" i="3445" s="1"/>
  <c r="Q154" i="3445"/>
  <c r="P154" i="3445"/>
  <c r="O154" i="3445"/>
  <c r="T154" i="3445"/>
  <c r="N154" i="3445" a="1"/>
  <c r="N154" i="3445" s="1"/>
  <c r="I154" i="3445" a="1"/>
  <c r="I154" i="3445" s="1"/>
  <c r="H154" i="3445"/>
  <c r="K246" i="3445" a="1"/>
  <c r="K246" i="3445" s="1"/>
  <c r="L246" i="3445" s="1"/>
  <c r="M246" i="3445" s="1"/>
  <c r="A246" i="3445"/>
  <c r="T246" i="3445"/>
  <c r="S246" i="3445" a="1"/>
  <c r="S246" i="3445" s="1"/>
  <c r="N246" i="3445" a="1"/>
  <c r="N246" i="3445" s="1"/>
  <c r="H246" i="3445"/>
  <c r="Q246" i="3445"/>
  <c r="P246" i="3445"/>
  <c r="O246" i="3445"/>
  <c r="J246" i="3445" a="1"/>
  <c r="J246" i="3445" s="1"/>
  <c r="M64" i="3560" a="1"/>
  <c r="M64" i="3560" s="1"/>
  <c r="H64" i="3560" a="1"/>
  <c r="H64" i="3560" s="1"/>
  <c r="G64" i="3560" a="1"/>
  <c r="G64" i="3560" s="1"/>
  <c r="O159" i="3445"/>
  <c r="N159" i="3445" a="1"/>
  <c r="N159" i="3445" s="1"/>
  <c r="P159" i="3445"/>
  <c r="K159" i="3445" a="1"/>
  <c r="K159" i="3445" s="1"/>
  <c r="L159" i="3445" s="1"/>
  <c r="M159" i="3445" s="1"/>
  <c r="J159" i="3445" a="1"/>
  <c r="J159" i="3445" s="1"/>
  <c r="S159" i="3445" a="1"/>
  <c r="S159" i="3445" s="1"/>
  <c r="Q159" i="3445"/>
  <c r="T159" i="3445"/>
  <c r="I159" i="3445" a="1"/>
  <c r="I159" i="3445" s="1"/>
  <c r="H159" i="3445"/>
  <c r="O183" i="3445"/>
  <c r="N183" i="3445" a="1"/>
  <c r="N183" i="3445" s="1"/>
  <c r="J183" i="3445" a="1"/>
  <c r="J183" i="3445" s="1"/>
  <c r="Q183" i="3445"/>
  <c r="K183" i="3445" a="1"/>
  <c r="K183" i="3445" s="1"/>
  <c r="L183" i="3445" s="1"/>
  <c r="M183" i="3445" s="1"/>
  <c r="T183" i="3445"/>
  <c r="P183" i="3445"/>
  <c r="I183" i="3445" a="1"/>
  <c r="I183" i="3445" s="1"/>
  <c r="H183" i="3445"/>
  <c r="S183" i="3445" a="1"/>
  <c r="S183" i="3445" s="1"/>
  <c r="A183" i="3445"/>
  <c r="I227" i="3445" a="1"/>
  <c r="I227" i="3445" s="1"/>
  <c r="O227" i="3445"/>
  <c r="N227" i="3445" a="1"/>
  <c r="N227" i="3445" s="1"/>
  <c r="K227" i="3445" a="1"/>
  <c r="K227" i="3445" s="1"/>
  <c r="L227" i="3445" s="1"/>
  <c r="M227" i="3445" s="1"/>
  <c r="J227" i="3445" a="1"/>
  <c r="J227" i="3445" s="1"/>
  <c r="H227" i="3445"/>
  <c r="T227" i="3445"/>
  <c r="S227" i="3445" a="1"/>
  <c r="S227" i="3445" s="1"/>
  <c r="Q227" i="3445"/>
  <c r="A227" i="3445"/>
  <c r="M59" i="3560" a="1"/>
  <c r="M59" i="3560" s="1"/>
  <c r="H59" i="3560" a="1"/>
  <c r="H59" i="3560" s="1"/>
  <c r="G59" i="3560" a="1"/>
  <c r="G59" i="3560" s="1"/>
  <c r="AI78" i="3444" a="1"/>
  <c r="AI78" i="3444" s="1"/>
  <c r="K84" i="3445" a="1"/>
  <c r="K84" i="3445" s="1"/>
  <c r="H84" i="3445"/>
  <c r="I84" i="3445" s="1" a="1"/>
  <c r="I84" i="3445" s="1"/>
  <c r="A88" i="3445"/>
  <c r="K92" i="3445" a="1"/>
  <c r="K92" i="3445" s="1"/>
  <c r="N92" i="3445" s="1" a="1"/>
  <c r="N92" i="3445" s="1"/>
  <c r="K123" i="3445" a="1"/>
  <c r="K123" i="3445" s="1"/>
  <c r="L123" i="3445" s="1"/>
  <c r="M123" i="3445" s="1"/>
  <c r="K132" i="3445" a="1"/>
  <c r="K132" i="3445" s="1"/>
  <c r="L132" i="3445" s="1"/>
  <c r="M132" i="3445" s="1"/>
  <c r="S147" i="3445" a="1"/>
  <c r="S147" i="3445" s="1"/>
  <c r="I151" i="3445" a="1"/>
  <c r="I151" i="3445" s="1"/>
  <c r="H151" i="3445"/>
  <c r="O151" i="3445"/>
  <c r="N151" i="3445" a="1"/>
  <c r="N151" i="3445" s="1"/>
  <c r="K151" i="3445" a="1"/>
  <c r="K151" i="3445" s="1"/>
  <c r="L151" i="3445" s="1"/>
  <c r="M151" i="3445" s="1"/>
  <c r="J151" i="3445" a="1"/>
  <c r="J151" i="3445" s="1"/>
  <c r="A151" i="3445"/>
  <c r="T151" i="3445"/>
  <c r="K154" i="3445" a="1"/>
  <c r="K154" i="3445" s="1"/>
  <c r="L154" i="3445" s="1"/>
  <c r="M154" i="3445" s="1"/>
  <c r="P227" i="3445"/>
  <c r="F73" i="3444" a="1"/>
  <c r="F73" i="3444" s="1"/>
  <c r="T78" i="3444" a="1"/>
  <c r="T78" i="3444" s="1"/>
  <c r="H30" i="3445"/>
  <c r="I30" i="3445" a="1"/>
  <c r="I30" i="3445" s="1"/>
  <c r="A30" i="3445"/>
  <c r="S30" i="3445" a="1"/>
  <c r="S30" i="3445" s="1"/>
  <c r="T30" i="3445" s="1"/>
  <c r="N30" i="3445" a="1"/>
  <c r="N30" i="3445" s="1"/>
  <c r="A49" i="3445"/>
  <c r="H57" i="3445"/>
  <c r="I57" i="3445" s="1" a="1"/>
  <c r="I57" i="3445" s="1"/>
  <c r="K57" i="3445" a="1"/>
  <c r="K57" i="3445" s="1"/>
  <c r="N57" i="3445" s="1" a="1"/>
  <c r="N57" i="3445" s="1"/>
  <c r="Q88" i="3445"/>
  <c r="P88" i="3445"/>
  <c r="O88" i="3445"/>
  <c r="T88" i="3445"/>
  <c r="H88" i="3445"/>
  <c r="H92" i="3445"/>
  <c r="I92" i="3445" s="1" a="1"/>
  <c r="I92" i="3445" s="1"/>
  <c r="P123" i="3445"/>
  <c r="I246" i="3445" a="1"/>
  <c r="I246" i="3445" s="1"/>
  <c r="H72" i="3445"/>
  <c r="I72" i="3445" s="1" a="1"/>
  <c r="I72" i="3445" s="1"/>
  <c r="T101" i="3445"/>
  <c r="S101" i="3445" a="1"/>
  <c r="S101" i="3445" s="1"/>
  <c r="P101" i="3445"/>
  <c r="Q101" i="3445"/>
  <c r="J101" i="3445" a="1"/>
  <c r="J101" i="3445" s="1"/>
  <c r="I101" i="3445" a="1"/>
  <c r="I101" i="3445" s="1"/>
  <c r="H101" i="3445"/>
  <c r="P151" i="3445"/>
  <c r="H52" i="3445"/>
  <c r="Q151" i="3445"/>
  <c r="A38" i="3560"/>
  <c r="O38" i="3560" a="1"/>
  <c r="O38" i="3560" s="1"/>
  <c r="D38" i="3560"/>
  <c r="CK33" i="3479" a="1"/>
  <c r="CK33" i="3479" s="1"/>
  <c r="CL33" i="3479" s="1" a="1"/>
  <c r="CL33" i="3479" s="1"/>
  <c r="CJ33" i="3479" a="1"/>
  <c r="CJ33" i="3479" s="1"/>
  <c r="K44" i="3445" a="1"/>
  <c r="K44" i="3445" s="1"/>
  <c r="N44" i="3445" s="1" a="1"/>
  <c r="N44" i="3445" s="1"/>
  <c r="H66" i="3445"/>
  <c r="K72" i="3445" a="1"/>
  <c r="K72" i="3445" s="1"/>
  <c r="L72" i="3445" s="1"/>
  <c r="M72" i="3445" s="1"/>
  <c r="H53" i="3436" s="1"/>
  <c r="H78" i="3445"/>
  <c r="N88" i="3445" a="1"/>
  <c r="N88" i="3445" s="1"/>
  <c r="K101" i="3445" a="1"/>
  <c r="K101" i="3445" s="1"/>
  <c r="L101" i="3445" s="1"/>
  <c r="M101" i="3445" s="1"/>
  <c r="K140" i="3445" a="1"/>
  <c r="K140" i="3445" s="1"/>
  <c r="L140" i="3445" s="1"/>
  <c r="M140" i="3445" s="1"/>
  <c r="J140" i="3445" a="1"/>
  <c r="J140" i="3445" s="1"/>
  <c r="T140" i="3445"/>
  <c r="O140" i="3445"/>
  <c r="N140" i="3445" a="1"/>
  <c r="N140" i="3445" s="1"/>
  <c r="I140" i="3445" a="1"/>
  <c r="I140" i="3445" s="1"/>
  <c r="H140" i="3445"/>
  <c r="S140" i="3445" a="1"/>
  <c r="S140" i="3445" s="1"/>
  <c r="Q140" i="3445"/>
  <c r="P140" i="3445"/>
  <c r="A144" i="3445"/>
  <c r="P144" i="3445"/>
  <c r="O144" i="3445"/>
  <c r="N144" i="3445" a="1"/>
  <c r="N144" i="3445" s="1"/>
  <c r="K144" i="3445" a="1"/>
  <c r="K144" i="3445" s="1"/>
  <c r="L144" i="3445" s="1"/>
  <c r="M144" i="3445" s="1"/>
  <c r="H144" i="3445"/>
  <c r="T144" i="3445"/>
  <c r="S144" i="3445" a="1"/>
  <c r="S144" i="3445" s="1"/>
  <c r="Q144" i="3445"/>
  <c r="J144" i="3445" a="1"/>
  <c r="J144" i="3445" s="1"/>
  <c r="H47" i="3445"/>
  <c r="I47" i="3445" s="1" a="1"/>
  <c r="I47" i="3445" s="1"/>
  <c r="S88" i="3445" a="1"/>
  <c r="S88" i="3445" s="1"/>
  <c r="K93" i="3445" a="1"/>
  <c r="K93" i="3445" s="1"/>
  <c r="L93" i="3445" s="1"/>
  <c r="M93" i="3445" s="1"/>
  <c r="H74" i="3436" s="1"/>
  <c r="H93" i="3445"/>
  <c r="I93" i="3445" s="1" a="1"/>
  <c r="I93" i="3445" s="1"/>
  <c r="N97" i="3445" a="1"/>
  <c r="N97" i="3445" s="1"/>
  <c r="L97" i="3445"/>
  <c r="M97" i="3445" s="1"/>
  <c r="H78" i="3436" s="1"/>
  <c r="K176" i="3445" a="1"/>
  <c r="K176" i="3445" s="1"/>
  <c r="L176" i="3445" s="1"/>
  <c r="M176" i="3445" s="1"/>
  <c r="J176" i="3445" a="1"/>
  <c r="J176" i="3445" s="1"/>
  <c r="N176" i="3445" a="1"/>
  <c r="N176" i="3445" s="1"/>
  <c r="H176" i="3445"/>
  <c r="A176" i="3445"/>
  <c r="T176" i="3445"/>
  <c r="S176" i="3445" a="1"/>
  <c r="S176" i="3445" s="1"/>
  <c r="Q176" i="3445"/>
  <c r="O176" i="3445"/>
  <c r="BB78" i="3444" a="1"/>
  <c r="BB78" i="3444" s="1"/>
  <c r="AP78" i="3444" a="1"/>
  <c r="AP78" i="3444" s="1"/>
  <c r="AD78" i="3444" a="1"/>
  <c r="AD78" i="3444" s="1"/>
  <c r="R78" i="3444" a="1"/>
  <c r="R78" i="3444" s="1"/>
  <c r="BA78" i="3444" a="1"/>
  <c r="BA78" i="3444" s="1"/>
  <c r="AO78" i="3444" a="1"/>
  <c r="AO78" i="3444" s="1"/>
  <c r="AC78" i="3444" a="1"/>
  <c r="AC78" i="3444" s="1"/>
  <c r="Q78" i="3444" a="1"/>
  <c r="Q78" i="3444" s="1"/>
  <c r="AZ78" i="3444" a="1"/>
  <c r="AZ78" i="3444" s="1"/>
  <c r="AN78" i="3444" a="1"/>
  <c r="AN78" i="3444" s="1"/>
  <c r="AB78" i="3444" a="1"/>
  <c r="AB78" i="3444" s="1"/>
  <c r="P78" i="3444" a="1"/>
  <c r="P78" i="3444" s="1"/>
  <c r="AW78" i="3444" a="1"/>
  <c r="AW78" i="3444" s="1"/>
  <c r="AK78" i="3444" a="1"/>
  <c r="AK78" i="3444" s="1"/>
  <c r="Y78" i="3444" a="1"/>
  <c r="Y78" i="3444" s="1"/>
  <c r="M78" i="3444" a="1"/>
  <c r="M78" i="3444" s="1"/>
  <c r="W78" i="3444" a="1"/>
  <c r="W78" i="3444" s="1"/>
  <c r="K39" i="3445" a="1"/>
  <c r="K39" i="3445" s="1"/>
  <c r="L39" i="3445" s="1"/>
  <c r="M39" i="3445" s="1"/>
  <c r="H20" i="3436" s="1"/>
  <c r="H39" i="3445"/>
  <c r="N49" i="3445" a="1"/>
  <c r="N49" i="3445" s="1"/>
  <c r="K69" i="3445" a="1"/>
  <c r="K69" i="3445" s="1"/>
  <c r="L69" i="3445" s="1"/>
  <c r="M69" i="3445" s="1"/>
  <c r="H50" i="3436" s="1"/>
  <c r="H69" i="3445"/>
  <c r="I69" i="3445" s="1" a="1"/>
  <c r="I69" i="3445" s="1"/>
  <c r="O101" i="3445"/>
  <c r="K134" i="3445" a="1"/>
  <c r="K134" i="3445" s="1"/>
  <c r="L134" i="3445" s="1"/>
  <c r="M134" i="3445" s="1"/>
  <c r="J134" i="3445" a="1"/>
  <c r="J134" i="3445" s="1"/>
  <c r="P134" i="3445"/>
  <c r="I134" i="3445" a="1"/>
  <c r="I134" i="3445" s="1"/>
  <c r="O134" i="3445"/>
  <c r="N134" i="3445" a="1"/>
  <c r="N134" i="3445" s="1"/>
  <c r="A134" i="3445"/>
  <c r="Q134" i="3445"/>
  <c r="I176" i="3445" a="1"/>
  <c r="I176" i="3445" s="1"/>
  <c r="AM78" i="3444" a="1"/>
  <c r="AM78" i="3444" s="1"/>
  <c r="BD78" i="3444" a="1"/>
  <c r="BD78" i="3444" s="1"/>
  <c r="K52" i="3445" a="1"/>
  <c r="K52" i="3445" s="1"/>
  <c r="L52" i="3445" s="1"/>
  <c r="M52" i="3445" s="1"/>
  <c r="H33" i="3436" s="1"/>
  <c r="H63" i="3445"/>
  <c r="I63" i="3445" s="1" a="1"/>
  <c r="I63" i="3445" s="1"/>
  <c r="K66" i="3445" a="1"/>
  <c r="K66" i="3445" s="1"/>
  <c r="A66" i="3445" s="1"/>
  <c r="H134" i="3445"/>
  <c r="S262" i="3445" a="1"/>
  <c r="S262" i="3445" s="1"/>
  <c r="Q262" i="3445"/>
  <c r="P262" i="3445"/>
  <c r="O262" i="3445"/>
  <c r="T262" i="3445"/>
  <c r="N262" i="3445" a="1"/>
  <c r="N262" i="3445" s="1"/>
  <c r="K262" i="3445" a="1"/>
  <c r="K262" i="3445" s="1"/>
  <c r="L262" i="3445" s="1"/>
  <c r="M262" i="3445" s="1"/>
  <c r="I262" i="3445" a="1"/>
  <c r="I262" i="3445" s="1"/>
  <c r="J262" i="3445" a="1"/>
  <c r="J262" i="3445" s="1"/>
  <c r="H262" i="3445"/>
  <c r="A262" i="3445"/>
  <c r="A80" i="3560"/>
  <c r="D80" i="3560"/>
  <c r="E75" i="3444" a="1"/>
  <c r="E75" i="3444" s="1"/>
  <c r="X78" i="3444" a="1"/>
  <c r="X78" i="3444" s="1"/>
  <c r="N28" i="3445" a="1"/>
  <c r="N28" i="3445" s="1"/>
  <c r="K28" i="3445" a="1"/>
  <c r="K28" i="3445" s="1"/>
  <c r="H28" i="3445"/>
  <c r="I28" i="3445" s="1" a="1"/>
  <c r="I28" i="3445" s="1"/>
  <c r="A28" i="3445"/>
  <c r="K47" i="3445" a="1"/>
  <c r="K47" i="3445" s="1"/>
  <c r="K78" i="3445" a="1"/>
  <c r="K78" i="3445" s="1"/>
  <c r="L78" i="3445" s="1"/>
  <c r="M78" i="3445" s="1"/>
  <c r="H59" i="3436" s="1"/>
  <c r="K98" i="3445" a="1"/>
  <c r="K98" i="3445" s="1"/>
  <c r="L98" i="3445" s="1"/>
  <c r="M98" i="3445" s="1"/>
  <c r="H79" i="3436" s="1"/>
  <c r="H98" i="3445"/>
  <c r="P176" i="3445"/>
  <c r="T185" i="3445"/>
  <c r="S185" i="3445" a="1"/>
  <c r="S185" i="3445" s="1"/>
  <c r="P185" i="3445"/>
  <c r="O185" i="3445"/>
  <c r="N185" i="3445" a="1"/>
  <c r="N185" i="3445" s="1"/>
  <c r="J185" i="3445" a="1"/>
  <c r="J185" i="3445" s="1"/>
  <c r="I185" i="3445" a="1"/>
  <c r="I185" i="3445" s="1"/>
  <c r="Q185" i="3445"/>
  <c r="K185" i="3445" a="1"/>
  <c r="K185" i="3445" s="1"/>
  <c r="L185" i="3445" s="1"/>
  <c r="M185" i="3445" s="1"/>
  <c r="H185" i="3445"/>
  <c r="E72" i="3444" a="1"/>
  <c r="E72" i="3444" s="1"/>
  <c r="BE78" i="3444" a="1"/>
  <c r="BE78" i="3444" s="1"/>
  <c r="O30" i="3445"/>
  <c r="A42" i="3445"/>
  <c r="K50" i="3445" a="1"/>
  <c r="K50" i="3445" s="1"/>
  <c r="S50" i="3445" s="1" a="1"/>
  <c r="S50" i="3445" s="1"/>
  <c r="S134" i="3445" a="1"/>
  <c r="S134" i="3445" s="1"/>
  <c r="O165" i="3445"/>
  <c r="N165" i="3445" a="1"/>
  <c r="N165" i="3445" s="1"/>
  <c r="T165" i="3445"/>
  <c r="K165" i="3445" a="1"/>
  <c r="K165" i="3445" s="1"/>
  <c r="L165" i="3445" s="1"/>
  <c r="M165" i="3445" s="1"/>
  <c r="S165" i="3445" a="1"/>
  <c r="S165" i="3445" s="1"/>
  <c r="Q165" i="3445"/>
  <c r="J165" i="3445" a="1"/>
  <c r="J165" i="3445" s="1"/>
  <c r="I165" i="3445" a="1"/>
  <c r="I165" i="3445" s="1"/>
  <c r="P165" i="3445"/>
  <c r="H165" i="3445"/>
  <c r="M40" i="3560" a="1"/>
  <c r="M40" i="3560" s="1"/>
  <c r="H40" i="3560" a="1"/>
  <c r="H40" i="3560" s="1"/>
  <c r="G40" i="3560" a="1"/>
  <c r="G40" i="3560" s="1"/>
  <c r="P30" i="3445"/>
  <c r="Q30" i="3445" s="1"/>
  <c r="H42" i="3445"/>
  <c r="I42" i="3445" s="1" a="1"/>
  <c r="I42" i="3445" s="1"/>
  <c r="O42" i="3445" s="1"/>
  <c r="N89" i="3445" a="1"/>
  <c r="N89" i="3445" s="1"/>
  <c r="T134" i="3445"/>
  <c r="Z78" i="3444" a="1"/>
  <c r="Z78" i="3444" s="1"/>
  <c r="AQ78" i="3444" a="1"/>
  <c r="AQ78" i="3444" s="1"/>
  <c r="BF78" i="3444" a="1"/>
  <c r="BF78" i="3444" s="1"/>
  <c r="H50" i="3445"/>
  <c r="I50" i="3445" s="1" a="1"/>
  <c r="I50" i="3445" s="1"/>
  <c r="H53" i="3445"/>
  <c r="I53" i="3445" s="1" a="1"/>
  <c r="I53" i="3445" s="1"/>
  <c r="O53" i="3445" s="1"/>
  <c r="A53" i="3445"/>
  <c r="L55" i="3445"/>
  <c r="M55" i="3445" s="1"/>
  <c r="H36" i="3436" s="1"/>
  <c r="K63" i="3445" a="1"/>
  <c r="K63" i="3445" s="1"/>
  <c r="L63" i="3445" s="1"/>
  <c r="M63" i="3445" s="1"/>
  <c r="H44" i="3436" s="1"/>
  <c r="O135" i="3445"/>
  <c r="N135" i="3445" a="1"/>
  <c r="N135" i="3445" s="1"/>
  <c r="A135" i="3445"/>
  <c r="T135" i="3445"/>
  <c r="P135" i="3445"/>
  <c r="J135" i="3445" a="1"/>
  <c r="J135" i="3445" s="1"/>
  <c r="S135" i="3445" a="1"/>
  <c r="S135" i="3445" s="1"/>
  <c r="Q135" i="3445"/>
  <c r="K135" i="3445" a="1"/>
  <c r="K135" i="3445" s="1"/>
  <c r="L135" i="3445" s="1"/>
  <c r="M135" i="3445" s="1"/>
  <c r="I135" i="3445" a="1"/>
  <c r="I135" i="3445" s="1"/>
  <c r="H135" i="3445"/>
  <c r="S160" i="3445" a="1"/>
  <c r="S160" i="3445" s="1"/>
  <c r="Q160" i="3445"/>
  <c r="P160" i="3445"/>
  <c r="O160" i="3445"/>
  <c r="I160" i="3445" a="1"/>
  <c r="I160" i="3445" s="1"/>
  <c r="A160" i="3445"/>
  <c r="K160" i="3445" a="1"/>
  <c r="K160" i="3445" s="1"/>
  <c r="L160" i="3445" s="1"/>
  <c r="M160" i="3445" s="1"/>
  <c r="J160" i="3445" a="1"/>
  <c r="J160" i="3445" s="1"/>
  <c r="K194" i="3445" a="1"/>
  <c r="K194" i="3445" s="1"/>
  <c r="L194" i="3445" s="1"/>
  <c r="M194" i="3445" s="1"/>
  <c r="J194" i="3445" a="1"/>
  <c r="J194" i="3445" s="1"/>
  <c r="I194" i="3445" a="1"/>
  <c r="I194" i="3445" s="1"/>
  <c r="H194" i="3445"/>
  <c r="O194" i="3445"/>
  <c r="N194" i="3445" a="1"/>
  <c r="N194" i="3445" s="1"/>
  <c r="A194" i="3445"/>
  <c r="T194" i="3445"/>
  <c r="Q194" i="3445"/>
  <c r="P194" i="3445"/>
  <c r="T203" i="3445"/>
  <c r="S203" i="3445" a="1"/>
  <c r="S203" i="3445" s="1"/>
  <c r="P203" i="3445"/>
  <c r="O203" i="3445"/>
  <c r="I203" i="3445" a="1"/>
  <c r="I203" i="3445" s="1"/>
  <c r="A203" i="3445"/>
  <c r="N203" i="3445" a="1"/>
  <c r="N203" i="3445" s="1"/>
  <c r="K203" i="3445" a="1"/>
  <c r="K203" i="3445" s="1"/>
  <c r="L203" i="3445" s="1"/>
  <c r="M203" i="3445" s="1"/>
  <c r="J203" i="3445" a="1"/>
  <c r="J203" i="3445" s="1"/>
  <c r="H203" i="3445"/>
  <c r="T215" i="3445"/>
  <c r="Q215" i="3445"/>
  <c r="P215" i="3445"/>
  <c r="O215" i="3445"/>
  <c r="N215" i="3445" a="1"/>
  <c r="N215" i="3445" s="1"/>
  <c r="J215" i="3445" a="1"/>
  <c r="J215" i="3445" s="1"/>
  <c r="H215" i="3445"/>
  <c r="I215" i="3445" a="1"/>
  <c r="I215" i="3445" s="1"/>
  <c r="K96" i="3445" a="1"/>
  <c r="K96" i="3445" s="1"/>
  <c r="N96" i="3445" s="1" a="1"/>
  <c r="N96" i="3445" s="1"/>
  <c r="H160" i="3445"/>
  <c r="Q203" i="3445"/>
  <c r="T125" i="3445"/>
  <c r="S125" i="3445" a="1"/>
  <c r="S125" i="3445" s="1"/>
  <c r="A125" i="3445"/>
  <c r="O125" i="3445"/>
  <c r="Q125" i="3445"/>
  <c r="N125" i="3445" a="1"/>
  <c r="N125" i="3445" s="1"/>
  <c r="T161" i="3445"/>
  <c r="S161" i="3445" a="1"/>
  <c r="S161" i="3445" s="1"/>
  <c r="O161" i="3445"/>
  <c r="N161" i="3445" a="1"/>
  <c r="N161" i="3445" s="1"/>
  <c r="K161" i="3445" a="1"/>
  <c r="K161" i="3445" s="1"/>
  <c r="L161" i="3445" s="1"/>
  <c r="M161" i="3445" s="1"/>
  <c r="H161" i="3445"/>
  <c r="P161" i="3445"/>
  <c r="J24" i="3560"/>
  <c r="P24" i="3560" s="1" a="1"/>
  <c r="P24" i="3560" s="1"/>
  <c r="L24" i="3560"/>
  <c r="K24" i="3560"/>
  <c r="I24" i="3560"/>
  <c r="O24" i="3560" s="1" a="1"/>
  <c r="O24" i="3560" s="1"/>
  <c r="A108" i="3445"/>
  <c r="S108" i="3445" a="1"/>
  <c r="S108" i="3445" s="1"/>
  <c r="N108" i="3445" a="1"/>
  <c r="N108" i="3445" s="1"/>
  <c r="O108" i="3445"/>
  <c r="K108" i="3445" a="1"/>
  <c r="K108" i="3445" s="1"/>
  <c r="L108" i="3445" s="1"/>
  <c r="M108" i="3445" s="1"/>
  <c r="H108" i="3445"/>
  <c r="H125" i="3445"/>
  <c r="I161" i="3445" a="1"/>
  <c r="I161" i="3445" s="1"/>
  <c r="S208" i="3445" a="1"/>
  <c r="S208" i="3445" s="1"/>
  <c r="Q208" i="3445"/>
  <c r="P208" i="3445"/>
  <c r="O208" i="3445"/>
  <c r="N208" i="3445" a="1"/>
  <c r="N208" i="3445" s="1"/>
  <c r="I208" i="3445" a="1"/>
  <c r="I208" i="3445" s="1"/>
  <c r="K208" i="3445" a="1"/>
  <c r="K208" i="3445" s="1"/>
  <c r="L208" i="3445" s="1"/>
  <c r="M208" i="3445" s="1"/>
  <c r="H208" i="3445"/>
  <c r="T208" i="3445"/>
  <c r="J208" i="3445" a="1"/>
  <c r="J208" i="3445" s="1"/>
  <c r="A208" i="3445"/>
  <c r="Q236" i="3445"/>
  <c r="S236" i="3445" a="1"/>
  <c r="S236" i="3445" s="1"/>
  <c r="P236" i="3445"/>
  <c r="O236" i="3445"/>
  <c r="N236" i="3445" a="1"/>
  <c r="N236" i="3445" s="1"/>
  <c r="K236" i="3445" a="1"/>
  <c r="K236" i="3445" s="1"/>
  <c r="L236" i="3445" s="1"/>
  <c r="M236" i="3445" s="1"/>
  <c r="J236" i="3445" a="1"/>
  <c r="J236" i="3445" s="1"/>
  <c r="H236" i="3445"/>
  <c r="T236" i="3445"/>
  <c r="I236" i="3445" a="1"/>
  <c r="I236" i="3445" s="1"/>
  <c r="A236" i="3445"/>
  <c r="D39" i="3560"/>
  <c r="A39" i="3560"/>
  <c r="K86" i="3445" a="1"/>
  <c r="K86" i="3445" s="1"/>
  <c r="A86" i="3445" s="1"/>
  <c r="K94" i="3445" a="1"/>
  <c r="K94" i="3445" s="1"/>
  <c r="A94" i="3445" s="1"/>
  <c r="I103" i="3445" a="1"/>
  <c r="I103" i="3445" s="1"/>
  <c r="H103" i="3445"/>
  <c r="Q103" i="3445"/>
  <c r="P103" i="3445"/>
  <c r="O103" i="3445"/>
  <c r="N103" i="3445" a="1"/>
  <c r="N103" i="3445" s="1"/>
  <c r="A103" i="3445"/>
  <c r="Q130" i="3445"/>
  <c r="P130" i="3445"/>
  <c r="O130" i="3445"/>
  <c r="N130" i="3445" a="1"/>
  <c r="N130" i="3445" s="1"/>
  <c r="K130" i="3445" a="1"/>
  <c r="K130" i="3445" s="1"/>
  <c r="L130" i="3445" s="1"/>
  <c r="M130" i="3445" s="1"/>
  <c r="S142" i="3445" a="1"/>
  <c r="S142" i="3445" s="1"/>
  <c r="Q142" i="3445"/>
  <c r="P142" i="3445"/>
  <c r="O142" i="3445"/>
  <c r="H142" i="3445"/>
  <c r="T142" i="3445"/>
  <c r="N142" i="3445" a="1"/>
  <c r="N142" i="3445" s="1"/>
  <c r="I175" i="3445" a="1"/>
  <c r="I175" i="3445" s="1"/>
  <c r="H175" i="3445"/>
  <c r="A175" i="3445"/>
  <c r="S175" i="3445" a="1"/>
  <c r="S175" i="3445" s="1"/>
  <c r="P175" i="3445"/>
  <c r="O175" i="3445"/>
  <c r="T175" i="3445"/>
  <c r="Q175" i="3445"/>
  <c r="N175" i="3445" a="1"/>
  <c r="N175" i="3445" s="1"/>
  <c r="K175" i="3445" a="1"/>
  <c r="K175" i="3445" s="1"/>
  <c r="L175" i="3445" s="1"/>
  <c r="M175" i="3445" s="1"/>
  <c r="A192" i="3445"/>
  <c r="T192" i="3445"/>
  <c r="S192" i="3445" a="1"/>
  <c r="S192" i="3445" s="1"/>
  <c r="Q192" i="3445"/>
  <c r="J192" i="3445" a="1"/>
  <c r="J192" i="3445" s="1"/>
  <c r="H192" i="3445"/>
  <c r="O192" i="3445"/>
  <c r="N192" i="3445" a="1"/>
  <c r="N192" i="3445" s="1"/>
  <c r="K192" i="3445" a="1"/>
  <c r="K192" i="3445" s="1"/>
  <c r="L192" i="3445" s="1"/>
  <c r="M192" i="3445" s="1"/>
  <c r="N229" i="3445" a="1"/>
  <c r="N229" i="3445" s="1"/>
  <c r="A229" i="3445"/>
  <c r="T229" i="3445"/>
  <c r="S229" i="3445" a="1"/>
  <c r="S229" i="3445" s="1"/>
  <c r="Q229" i="3445"/>
  <c r="K229" i="3445" a="1"/>
  <c r="K229" i="3445" s="1"/>
  <c r="L229" i="3445" s="1"/>
  <c r="M229" i="3445" s="1"/>
  <c r="J229" i="3445" a="1"/>
  <c r="J229" i="3445" s="1"/>
  <c r="P229" i="3445"/>
  <c r="O229" i="3445"/>
  <c r="I229" i="3445" a="1"/>
  <c r="I229" i="3445" s="1"/>
  <c r="H229" i="3445"/>
  <c r="I125" i="3445" a="1"/>
  <c r="I125" i="3445" s="1"/>
  <c r="J161" i="3445" a="1"/>
  <c r="J161" i="3445" s="1"/>
  <c r="T179" i="3445"/>
  <c r="S179" i="3445" a="1"/>
  <c r="S179" i="3445" s="1"/>
  <c r="P179" i="3445"/>
  <c r="N179" i="3445" a="1"/>
  <c r="N179" i="3445" s="1"/>
  <c r="H179" i="3445"/>
  <c r="A179" i="3445"/>
  <c r="Q179" i="3445"/>
  <c r="O179" i="3445"/>
  <c r="J179" i="3445" a="1"/>
  <c r="J179" i="3445" s="1"/>
  <c r="I179" i="3445" a="1"/>
  <c r="I179" i="3445" s="1"/>
  <c r="T209" i="3445"/>
  <c r="S209" i="3445" a="1"/>
  <c r="S209" i="3445" s="1"/>
  <c r="P209" i="3445"/>
  <c r="O209" i="3445"/>
  <c r="K209" i="3445" a="1"/>
  <c r="K209" i="3445" s="1"/>
  <c r="L209" i="3445" s="1"/>
  <c r="M209" i="3445" s="1"/>
  <c r="N209" i="3445" a="1"/>
  <c r="N209" i="3445" s="1"/>
  <c r="H209" i="3445"/>
  <c r="A209" i="3445"/>
  <c r="T237" i="3445"/>
  <c r="S237" i="3445" a="1"/>
  <c r="S237" i="3445" s="1"/>
  <c r="Q237" i="3445"/>
  <c r="P237" i="3445"/>
  <c r="O237" i="3445"/>
  <c r="N237" i="3445" a="1"/>
  <c r="N237" i="3445" s="1"/>
  <c r="K237" i="3445" a="1"/>
  <c r="K237" i="3445" s="1"/>
  <c r="L237" i="3445" s="1"/>
  <c r="M237" i="3445" s="1"/>
  <c r="H237" i="3445"/>
  <c r="A237" i="3445"/>
  <c r="I237" i="3445" a="1"/>
  <c r="I237" i="3445" s="1"/>
  <c r="J39" i="3560"/>
  <c r="P39" i="3560" s="1" a="1"/>
  <c r="P39" i="3560" s="1"/>
  <c r="I39" i="3560"/>
  <c r="O39" i="3560" s="1" a="1"/>
  <c r="O39" i="3560" s="1"/>
  <c r="L39" i="3560"/>
  <c r="K39" i="3560"/>
  <c r="A220" i="3445"/>
  <c r="T220" i="3445"/>
  <c r="S220" i="3445" a="1"/>
  <c r="S220" i="3445" s="1"/>
  <c r="Q220" i="3445"/>
  <c r="P220" i="3445"/>
  <c r="O220" i="3445"/>
  <c r="H220" i="3445"/>
  <c r="N220" i="3445" a="1"/>
  <c r="N220" i="3445" s="1"/>
  <c r="D35" i="3560"/>
  <c r="A35" i="3560"/>
  <c r="H99" i="3445"/>
  <c r="J125" i="3445" a="1"/>
  <c r="J125" i="3445" s="1"/>
  <c r="I133" i="3445" a="1"/>
  <c r="I133" i="3445" s="1"/>
  <c r="H133" i="3445"/>
  <c r="S133" i="3445" a="1"/>
  <c r="S133" i="3445" s="1"/>
  <c r="Q133" i="3445"/>
  <c r="P133" i="3445"/>
  <c r="O133" i="3445"/>
  <c r="I145" i="3445" a="1"/>
  <c r="I145" i="3445" s="1"/>
  <c r="H145" i="3445"/>
  <c r="K145" i="3445" a="1"/>
  <c r="K145" i="3445" s="1"/>
  <c r="L145" i="3445" s="1"/>
  <c r="M145" i="3445" s="1"/>
  <c r="A145" i="3445"/>
  <c r="P145" i="3445"/>
  <c r="N145" i="3445" a="1"/>
  <c r="N145" i="3445" s="1"/>
  <c r="K158" i="3445" a="1"/>
  <c r="K158" i="3445" s="1"/>
  <c r="L158" i="3445" s="1"/>
  <c r="M158" i="3445" s="1"/>
  <c r="J158" i="3445" a="1"/>
  <c r="J158" i="3445" s="1"/>
  <c r="Q158" i="3445"/>
  <c r="A158" i="3445"/>
  <c r="S158" i="3445" a="1"/>
  <c r="S158" i="3445" s="1"/>
  <c r="P158" i="3445"/>
  <c r="O158" i="3445"/>
  <c r="N158" i="3445" a="1"/>
  <c r="N158" i="3445" s="1"/>
  <c r="I158" i="3445" a="1"/>
  <c r="I158" i="3445" s="1"/>
  <c r="I245" i="3445" a="1"/>
  <c r="I245" i="3445" s="1"/>
  <c r="T245" i="3445"/>
  <c r="S245" i="3445" a="1"/>
  <c r="S245" i="3445" s="1"/>
  <c r="Q245" i="3445"/>
  <c r="P245" i="3445"/>
  <c r="O245" i="3445"/>
  <c r="N245" i="3445" a="1"/>
  <c r="N245" i="3445" s="1"/>
  <c r="J245" i="3445" a="1"/>
  <c r="J245" i="3445" s="1"/>
  <c r="K245" i="3445" a="1"/>
  <c r="K245" i="3445" s="1"/>
  <c r="L245" i="3445" s="1"/>
  <c r="M245" i="3445" s="1"/>
  <c r="H245" i="3445"/>
  <c r="A245" i="3445"/>
  <c r="H49" i="3445"/>
  <c r="K54" i="3445" a="1"/>
  <c r="K54" i="3445" s="1"/>
  <c r="A54" i="3445" s="1"/>
  <c r="Q106" i="3445"/>
  <c r="P106" i="3445"/>
  <c r="O106" i="3445"/>
  <c r="J106" i="3445" a="1"/>
  <c r="J106" i="3445" s="1"/>
  <c r="T106" i="3445"/>
  <c r="S106" i="3445" a="1"/>
  <c r="S106" i="3445" s="1"/>
  <c r="I106" i="3445" a="1"/>
  <c r="I106" i="3445" s="1"/>
  <c r="H106" i="3445"/>
  <c r="P108" i="3445"/>
  <c r="K125" i="3445" a="1"/>
  <c r="K125" i="3445" s="1"/>
  <c r="L125" i="3445" s="1"/>
  <c r="M125" i="3445" s="1"/>
  <c r="K128" i="3445" a="1"/>
  <c r="K128" i="3445" s="1"/>
  <c r="L128" i="3445" s="1"/>
  <c r="M128" i="3445" s="1"/>
  <c r="J128" i="3445" a="1"/>
  <c r="J128" i="3445" s="1"/>
  <c r="S128" i="3445" a="1"/>
  <c r="S128" i="3445" s="1"/>
  <c r="N128" i="3445" a="1"/>
  <c r="N128" i="3445" s="1"/>
  <c r="A128" i="3445"/>
  <c r="T128" i="3445"/>
  <c r="Q128" i="3445"/>
  <c r="J133" i="3445" a="1"/>
  <c r="J133" i="3445" s="1"/>
  <c r="J145" i="3445" a="1"/>
  <c r="J145" i="3445" s="1"/>
  <c r="A162" i="3445"/>
  <c r="K162" i="3445" a="1"/>
  <c r="K162" i="3445" s="1"/>
  <c r="L162" i="3445" s="1"/>
  <c r="M162" i="3445" s="1"/>
  <c r="O162" i="3445"/>
  <c r="N162" i="3445" a="1"/>
  <c r="N162" i="3445" s="1"/>
  <c r="J162" i="3445" a="1"/>
  <c r="J162" i="3445" s="1"/>
  <c r="I162" i="3445" a="1"/>
  <c r="I162" i="3445" s="1"/>
  <c r="O189" i="3445"/>
  <c r="N189" i="3445" a="1"/>
  <c r="N189" i="3445" s="1"/>
  <c r="K189" i="3445" a="1"/>
  <c r="K189" i="3445" s="1"/>
  <c r="L189" i="3445" s="1"/>
  <c r="M189" i="3445" s="1"/>
  <c r="J189" i="3445" a="1"/>
  <c r="J189" i="3445" s="1"/>
  <c r="I189" i="3445" a="1"/>
  <c r="I189" i="3445" s="1"/>
  <c r="T189" i="3445"/>
  <c r="J220" i="3445" a="1"/>
  <c r="J220" i="3445" s="1"/>
  <c r="J237" i="3445" a="1"/>
  <c r="J237" i="3445" s="1"/>
  <c r="I58" i="3445" a="1"/>
  <c r="I58" i="3445" s="1"/>
  <c r="K99" i="3445" a="1"/>
  <c r="K99" i="3445" s="1"/>
  <c r="N99" i="3445" s="1" a="1"/>
  <c r="N99" i="3445" s="1"/>
  <c r="O145" i="3445"/>
  <c r="T197" i="3445"/>
  <c r="S197" i="3445" a="1"/>
  <c r="S197" i="3445" s="1"/>
  <c r="P197" i="3445"/>
  <c r="O197" i="3445"/>
  <c r="Q197" i="3445"/>
  <c r="N197" i="3445" a="1"/>
  <c r="N197" i="3445" s="1"/>
  <c r="J197" i="3445" a="1"/>
  <c r="J197" i="3445" s="1"/>
  <c r="I197" i="3445" a="1"/>
  <c r="I197" i="3445" s="1"/>
  <c r="K197" i="3445" a="1"/>
  <c r="K197" i="3445" s="1"/>
  <c r="L197" i="3445" s="1"/>
  <c r="M197" i="3445" s="1"/>
  <c r="H197" i="3445"/>
  <c r="K54" i="3560"/>
  <c r="I54" i="3560"/>
  <c r="O54" i="3560" s="1" a="1"/>
  <c r="O54" i="3560" s="1"/>
  <c r="J54" i="3560"/>
  <c r="P54" i="3560" s="1" a="1"/>
  <c r="P54" i="3560" s="1"/>
  <c r="L54" i="3560"/>
  <c r="M80" i="3560" a="1"/>
  <c r="M80" i="3560" s="1"/>
  <c r="H80" i="3560" a="1"/>
  <c r="H80" i="3560" s="1"/>
  <c r="H41" i="3445"/>
  <c r="I41" i="3445" s="1" a="1"/>
  <c r="I41" i="3445" s="1"/>
  <c r="O41" i="3445" s="1"/>
  <c r="H73" i="3445"/>
  <c r="K75" i="3445" a="1"/>
  <c r="K75" i="3445" s="1"/>
  <c r="A75" i="3445" s="1"/>
  <c r="N77" i="3445" a="1"/>
  <c r="N77" i="3445" s="1"/>
  <c r="A77" i="3445"/>
  <c r="K81" i="3445" a="1"/>
  <c r="K81" i="3445" s="1"/>
  <c r="N81" i="3445" s="1" a="1"/>
  <c r="N81" i="3445" s="1"/>
  <c r="K104" i="3445" a="1"/>
  <c r="K104" i="3445" s="1"/>
  <c r="L104" i="3445" s="1"/>
  <c r="M104" i="3445" s="1"/>
  <c r="J104" i="3445" a="1"/>
  <c r="J104" i="3445" s="1"/>
  <c r="T104" i="3445"/>
  <c r="O104" i="3445"/>
  <c r="I104" i="3445" a="1"/>
  <c r="I104" i="3445" s="1"/>
  <c r="P104" i="3445"/>
  <c r="N104" i="3445" a="1"/>
  <c r="N104" i="3445" s="1"/>
  <c r="I109" i="3445" a="1"/>
  <c r="I109" i="3445" s="1"/>
  <c r="H109" i="3445"/>
  <c r="T109" i="3445"/>
  <c r="N109" i="3445" a="1"/>
  <c r="N109" i="3445" s="1"/>
  <c r="K109" i="3445" a="1"/>
  <c r="K109" i="3445" s="1"/>
  <c r="L109" i="3445" s="1"/>
  <c r="M109" i="3445" s="1"/>
  <c r="N133" i="3445" a="1"/>
  <c r="N133" i="3445" s="1"/>
  <c r="O153" i="3445"/>
  <c r="N153" i="3445" a="1"/>
  <c r="N153" i="3445" s="1"/>
  <c r="Q153" i="3445"/>
  <c r="P153" i="3445"/>
  <c r="I153" i="3445" a="1"/>
  <c r="I153" i="3445" s="1"/>
  <c r="H153" i="3445"/>
  <c r="A153" i="3445"/>
  <c r="A198" i="3445"/>
  <c r="T198" i="3445"/>
  <c r="S198" i="3445" a="1"/>
  <c r="S198" i="3445" s="1"/>
  <c r="I198" i="3445" a="1"/>
  <c r="I198" i="3445" s="1"/>
  <c r="Q198" i="3445"/>
  <c r="P198" i="3445"/>
  <c r="N198" i="3445" a="1"/>
  <c r="N198" i="3445" s="1"/>
  <c r="K198" i="3445" a="1"/>
  <c r="K198" i="3445" s="1"/>
  <c r="L198" i="3445" s="1"/>
  <c r="M198" i="3445" s="1"/>
  <c r="J198" i="3445" a="1"/>
  <c r="J198" i="3445" s="1"/>
  <c r="H198" i="3445"/>
  <c r="O213" i="3445"/>
  <c r="N213" i="3445" a="1"/>
  <c r="N213" i="3445" s="1"/>
  <c r="K213" i="3445" a="1"/>
  <c r="K213" i="3445" s="1"/>
  <c r="L213" i="3445" s="1"/>
  <c r="M213" i="3445" s="1"/>
  <c r="J213" i="3445" a="1"/>
  <c r="J213" i="3445" s="1"/>
  <c r="T213" i="3445"/>
  <c r="S213" i="3445" a="1"/>
  <c r="S213" i="3445" s="1"/>
  <c r="Q213" i="3445"/>
  <c r="P213" i="3445"/>
  <c r="H213" i="3445"/>
  <c r="A213" i="3445"/>
  <c r="I213" i="3445" a="1"/>
  <c r="I213" i="3445" s="1"/>
  <c r="H25" i="3445"/>
  <c r="H60" i="3445"/>
  <c r="I60" i="3445" s="1" a="1"/>
  <c r="I60" i="3445" s="1"/>
  <c r="H79" i="3445"/>
  <c r="K83" i="3445" a="1"/>
  <c r="K83" i="3445" s="1"/>
  <c r="S83" i="3445" s="1" a="1"/>
  <c r="S83" i="3445" s="1"/>
  <c r="A114" i="3445"/>
  <c r="S114" i="3445" a="1"/>
  <c r="S114" i="3445" s="1"/>
  <c r="N114" i="3445" a="1"/>
  <c r="N114" i="3445" s="1"/>
  <c r="T114" i="3445"/>
  <c r="J114" i="3445" a="1"/>
  <c r="J114" i="3445" s="1"/>
  <c r="I114" i="3445" a="1"/>
  <c r="I114" i="3445" s="1"/>
  <c r="S145" i="3445" a="1"/>
  <c r="S145" i="3445" s="1"/>
  <c r="T162" i="3445"/>
  <c r="S189" i="3445" a="1"/>
  <c r="S189" i="3445" s="1"/>
  <c r="O198" i="3445"/>
  <c r="I29" i="3560"/>
  <c r="K29" i="3560"/>
  <c r="T119" i="3445"/>
  <c r="S119" i="3445" a="1"/>
  <c r="S119" i="3445" s="1"/>
  <c r="I119" i="3445" a="1"/>
  <c r="I119" i="3445" s="1"/>
  <c r="A119" i="3445"/>
  <c r="Q119" i="3445"/>
  <c r="P119" i="3445"/>
  <c r="O119" i="3445"/>
  <c r="H119" i="3445"/>
  <c r="T133" i="3445"/>
  <c r="T145" i="3445"/>
  <c r="O171" i="3445"/>
  <c r="N171" i="3445" a="1"/>
  <c r="N171" i="3445" s="1"/>
  <c r="S171" i="3445" a="1"/>
  <c r="S171" i="3445" s="1"/>
  <c r="J171" i="3445" a="1"/>
  <c r="J171" i="3445" s="1"/>
  <c r="I171" i="3445" a="1"/>
  <c r="I171" i="3445" s="1"/>
  <c r="T171" i="3445"/>
  <c r="Q171" i="3445"/>
  <c r="P171" i="3445"/>
  <c r="A171" i="3445"/>
  <c r="O177" i="3445"/>
  <c r="N177" i="3445" a="1"/>
  <c r="N177" i="3445" s="1"/>
  <c r="J177" i="3445" a="1"/>
  <c r="J177" i="3445" s="1"/>
  <c r="S177" i="3445" a="1"/>
  <c r="S177" i="3445" s="1"/>
  <c r="H177" i="3445"/>
  <c r="T177" i="3445"/>
  <c r="Q177" i="3445"/>
  <c r="P177" i="3445"/>
  <c r="K177" i="3445" a="1"/>
  <c r="K177" i="3445" s="1"/>
  <c r="L177" i="3445" s="1"/>
  <c r="M177" i="3445" s="1"/>
  <c r="A177" i="3445"/>
  <c r="S190" i="3445" a="1"/>
  <c r="S190" i="3445" s="1"/>
  <c r="Q190" i="3445"/>
  <c r="P190" i="3445"/>
  <c r="O190" i="3445"/>
  <c r="N190" i="3445" a="1"/>
  <c r="N190" i="3445" s="1"/>
  <c r="J190" i="3445" a="1"/>
  <c r="J190" i="3445" s="1"/>
  <c r="I190" i="3445" a="1"/>
  <c r="I190" i="3445" s="1"/>
  <c r="T190" i="3445"/>
  <c r="K190" i="3445" a="1"/>
  <c r="K190" i="3445" s="1"/>
  <c r="L190" i="3445" s="1"/>
  <c r="M190" i="3445" s="1"/>
  <c r="H190" i="3445"/>
  <c r="A190" i="3445"/>
  <c r="Q100" i="3445"/>
  <c r="P100" i="3445"/>
  <c r="O100" i="3445"/>
  <c r="J100" i="3445" a="1"/>
  <c r="J100" i="3445" s="1"/>
  <c r="K100" i="3445" a="1"/>
  <c r="K100" i="3445" s="1"/>
  <c r="L100" i="3445" s="1"/>
  <c r="M100" i="3445" s="1"/>
  <c r="A100" i="3445"/>
  <c r="T107" i="3445"/>
  <c r="S107" i="3445" a="1"/>
  <c r="S107" i="3445" s="1"/>
  <c r="P107" i="3445"/>
  <c r="I107" i="3445" a="1"/>
  <c r="I107" i="3445" s="1"/>
  <c r="A107" i="3445"/>
  <c r="Q107" i="3445"/>
  <c r="O107" i="3445"/>
  <c r="P128" i="3445"/>
  <c r="J29" i="3560"/>
  <c r="K58" i="3445" a="1"/>
  <c r="K58" i="3445" s="1"/>
  <c r="Q58" i="3445" s="1"/>
  <c r="K60" i="3445" a="1"/>
  <c r="K60" i="3445" s="1"/>
  <c r="A60" i="3445" s="1"/>
  <c r="K62" i="3445" a="1"/>
  <c r="K62" i="3445" s="1"/>
  <c r="A62" i="3445" s="1"/>
  <c r="K73" i="3445" a="1"/>
  <c r="K73" i="3445" s="1"/>
  <c r="I81" i="3445" a="1"/>
  <c r="I81" i="3445" s="1"/>
  <c r="Q112" i="3445"/>
  <c r="P112" i="3445"/>
  <c r="O112" i="3445"/>
  <c r="A112" i="3445"/>
  <c r="S112" i="3445" a="1"/>
  <c r="S112" i="3445" s="1"/>
  <c r="J119" i="3445" a="1"/>
  <c r="J119" i="3445" s="1"/>
  <c r="O141" i="3445"/>
  <c r="N141" i="3445" a="1"/>
  <c r="N141" i="3445" s="1"/>
  <c r="S141" i="3445" a="1"/>
  <c r="S141" i="3445" s="1"/>
  <c r="I141" i="3445" a="1"/>
  <c r="I141" i="3445" s="1"/>
  <c r="H141" i="3445"/>
  <c r="A141" i="3445"/>
  <c r="K153" i="3445" a="1"/>
  <c r="K153" i="3445" s="1"/>
  <c r="L153" i="3445" s="1"/>
  <c r="M153" i="3445" s="1"/>
  <c r="H171" i="3445"/>
  <c r="I177" i="3445" a="1"/>
  <c r="I177" i="3445" s="1"/>
  <c r="S202" i="3445" a="1"/>
  <c r="S202" i="3445" s="1"/>
  <c r="Q202" i="3445"/>
  <c r="P202" i="3445"/>
  <c r="O202" i="3445"/>
  <c r="N202" i="3445" a="1"/>
  <c r="N202" i="3445" s="1"/>
  <c r="T202" i="3445"/>
  <c r="J202" i="3445" a="1"/>
  <c r="J202" i="3445" s="1"/>
  <c r="I202" i="3445" a="1"/>
  <c r="I202" i="3445" s="1"/>
  <c r="K202" i="3445" a="1"/>
  <c r="K202" i="3445" s="1"/>
  <c r="L202" i="3445" s="1"/>
  <c r="M202" i="3445" s="1"/>
  <c r="H202" i="3445"/>
  <c r="L29" i="3560"/>
  <c r="L37" i="3560"/>
  <c r="K37" i="3560"/>
  <c r="J37" i="3560"/>
  <c r="P37" i="3560" s="1" a="1"/>
  <c r="P37" i="3560" s="1"/>
  <c r="I37" i="3560"/>
  <c r="O37" i="3560" s="1" a="1"/>
  <c r="O37" i="3560" s="1"/>
  <c r="L57" i="3560"/>
  <c r="K57" i="3560"/>
  <c r="J57" i="3560"/>
  <c r="P57" i="3560" s="1" a="1"/>
  <c r="P57" i="3560" s="1"/>
  <c r="I57" i="3560"/>
  <c r="O57" i="3560" s="1" a="1"/>
  <c r="O57" i="3560" s="1"/>
  <c r="H55" i="3445"/>
  <c r="N55" i="3445" a="1"/>
  <c r="N55" i="3445" s="1"/>
  <c r="A55" i="3445"/>
  <c r="O109" i="3445"/>
  <c r="K119" i="3445" a="1"/>
  <c r="K119" i="3445" s="1"/>
  <c r="L119" i="3445" s="1"/>
  <c r="M119" i="3445" s="1"/>
  <c r="N129" i="3445" a="1"/>
  <c r="N129" i="3445" s="1"/>
  <c r="H129" i="3445"/>
  <c r="Q129" i="3445"/>
  <c r="P129" i="3445"/>
  <c r="O129" i="3445"/>
  <c r="K129" i="3445" a="1"/>
  <c r="K129" i="3445" s="1"/>
  <c r="L129" i="3445" s="1"/>
  <c r="M129" i="3445" s="1"/>
  <c r="K171" i="3445" a="1"/>
  <c r="K171" i="3445" s="1"/>
  <c r="L171" i="3445" s="1"/>
  <c r="M171" i="3445" s="1"/>
  <c r="A174" i="3445"/>
  <c r="T174" i="3445"/>
  <c r="P174" i="3445"/>
  <c r="K174" i="3445" a="1"/>
  <c r="K174" i="3445" s="1"/>
  <c r="L174" i="3445" s="1"/>
  <c r="M174" i="3445" s="1"/>
  <c r="J174" i="3445" a="1"/>
  <c r="J174" i="3445" s="1"/>
  <c r="S174" i="3445" a="1"/>
  <c r="S174" i="3445" s="1"/>
  <c r="Q174" i="3445"/>
  <c r="A215" i="3445"/>
  <c r="L69" i="3560"/>
  <c r="J69" i="3560"/>
  <c r="I69" i="3560"/>
  <c r="A210" i="3445"/>
  <c r="T210" i="3445"/>
  <c r="S210" i="3445" a="1"/>
  <c r="S210" i="3445" s="1"/>
  <c r="N210" i="3445" a="1"/>
  <c r="N210" i="3445" s="1"/>
  <c r="K210" i="3445" a="1"/>
  <c r="K210" i="3445" s="1"/>
  <c r="L210" i="3445" s="1"/>
  <c r="M210" i="3445" s="1"/>
  <c r="J210" i="3445" a="1"/>
  <c r="J210" i="3445" s="1"/>
  <c r="I210" i="3445" a="1"/>
  <c r="I210" i="3445" s="1"/>
  <c r="H210" i="3445"/>
  <c r="K228" i="3445" a="1"/>
  <c r="K228" i="3445" s="1"/>
  <c r="L228" i="3445" s="1"/>
  <c r="M228" i="3445" s="1"/>
  <c r="T228" i="3445"/>
  <c r="S228" i="3445" a="1"/>
  <c r="S228" i="3445" s="1"/>
  <c r="Q228" i="3445"/>
  <c r="P228" i="3445"/>
  <c r="O228" i="3445"/>
  <c r="N228" i="3445" a="1"/>
  <c r="N228" i="3445" s="1"/>
  <c r="I228" i="3445" a="1"/>
  <c r="I228" i="3445" s="1"/>
  <c r="H228" i="3445"/>
  <c r="A228" i="3445"/>
  <c r="I33" i="3560"/>
  <c r="L33" i="3560"/>
  <c r="K33" i="3560"/>
  <c r="M44" i="3560" a="1"/>
  <c r="M44" i="3560" s="1"/>
  <c r="G44" i="3560" a="1"/>
  <c r="G44" i="3560" s="1"/>
  <c r="A54" i="3560"/>
  <c r="D54" i="3560"/>
  <c r="D49" i="3560"/>
  <c r="A49" i="3560"/>
  <c r="O49" i="3560" a="1"/>
  <c r="O49" i="3560" s="1"/>
  <c r="H55" i="3560" a="1"/>
  <c r="H55" i="3560" s="1"/>
  <c r="M55" i="3560" a="1"/>
  <c r="M55" i="3560" s="1"/>
  <c r="G55" i="3560" a="1"/>
  <c r="G55" i="3560" s="1"/>
  <c r="L36" i="3479"/>
  <c r="L23" i="3479"/>
  <c r="L42" i="3479"/>
  <c r="L40" i="3479"/>
  <c r="L51" i="3479"/>
  <c r="L34" i="3479"/>
  <c r="L24" i="3479"/>
  <c r="L26" i="3479"/>
  <c r="L30" i="3479"/>
  <c r="L33" i="3479"/>
  <c r="L43" i="3479"/>
  <c r="L28" i="3479"/>
  <c r="L25" i="3479"/>
  <c r="L37" i="3479"/>
  <c r="L22" i="3479"/>
  <c r="L46" i="3479"/>
  <c r="AI28" i="3479" a="1"/>
  <c r="AI28" i="3479" s="1"/>
  <c r="H67" i="3445"/>
  <c r="I67" i="3445" s="1" a="1"/>
  <c r="I67" i="3445" s="1"/>
  <c r="K80" i="3445" a="1"/>
  <c r="K80" i="3445" s="1"/>
  <c r="H85" i="3445"/>
  <c r="I85" i="3445" s="1" a="1"/>
  <c r="I85" i="3445" s="1"/>
  <c r="O85" i="3445" s="1"/>
  <c r="A111" i="3445"/>
  <c r="Q115" i="3445"/>
  <c r="P120" i="3445"/>
  <c r="O143" i="3445"/>
  <c r="I181" i="3445" a="1"/>
  <c r="I181" i="3445" s="1"/>
  <c r="H181" i="3445"/>
  <c r="J181" i="3445" a="1"/>
  <c r="J181" i="3445" s="1"/>
  <c r="S181" i="3445" a="1"/>
  <c r="S181" i="3445" s="1"/>
  <c r="O210" i="3445"/>
  <c r="J228" i="3445" a="1"/>
  <c r="J228" i="3445" s="1"/>
  <c r="K231" i="3445" a="1"/>
  <c r="K231" i="3445" s="1"/>
  <c r="L231" i="3445" s="1"/>
  <c r="M231" i="3445" s="1"/>
  <c r="J231" i="3445" a="1"/>
  <c r="J231" i="3445" s="1"/>
  <c r="I231" i="3445" a="1"/>
  <c r="I231" i="3445" s="1"/>
  <c r="H231" i="3445"/>
  <c r="T231" i="3445"/>
  <c r="Q231" i="3445"/>
  <c r="P231" i="3445"/>
  <c r="N231" i="3445" a="1"/>
  <c r="N231" i="3445" s="1"/>
  <c r="M25" i="3560" a="1"/>
  <c r="M25" i="3560" s="1"/>
  <c r="G25" i="3560" a="1"/>
  <c r="G25" i="3560" s="1"/>
  <c r="K49" i="3560"/>
  <c r="J49" i="3560"/>
  <c r="P49" i="3560" s="1" a="1"/>
  <c r="P49" i="3560" s="1"/>
  <c r="L49" i="3560"/>
  <c r="M56" i="3560" a="1"/>
  <c r="M56" i="3560" s="1"/>
  <c r="H56" i="3560" a="1"/>
  <c r="H56" i="3560" s="1"/>
  <c r="G56" i="3560" a="1"/>
  <c r="G56" i="3560" s="1"/>
  <c r="M61" i="3560" a="1"/>
  <c r="M61" i="3560" s="1"/>
  <c r="H61" i="3560" a="1"/>
  <c r="H61" i="3560" s="1"/>
  <c r="G85" i="3560" a="1"/>
  <c r="G85" i="3560" s="1"/>
  <c r="M85" i="3560" a="1"/>
  <c r="M85" i="3560" s="1"/>
  <c r="H85" i="3560" a="1"/>
  <c r="H85" i="3560" s="1"/>
  <c r="Q124" i="3445"/>
  <c r="P124" i="3445"/>
  <c r="O124" i="3445"/>
  <c r="T149" i="3445"/>
  <c r="S149" i="3445" a="1"/>
  <c r="S149" i="3445" s="1"/>
  <c r="Q149" i="3445"/>
  <c r="I149" i="3445" a="1"/>
  <c r="I149" i="3445" s="1"/>
  <c r="A156" i="3445"/>
  <c r="S156" i="3445" a="1"/>
  <c r="S156" i="3445" s="1"/>
  <c r="N156" i="3445" a="1"/>
  <c r="N156" i="3445" s="1"/>
  <c r="P210" i="3445"/>
  <c r="O255" i="3445"/>
  <c r="A255" i="3445"/>
  <c r="Q255" i="3445"/>
  <c r="P255" i="3445"/>
  <c r="N255" i="3445" a="1"/>
  <c r="N255" i="3445" s="1"/>
  <c r="K255" i="3445" a="1"/>
  <c r="K255" i="3445" s="1"/>
  <c r="L255" i="3445" s="1"/>
  <c r="M255" i="3445" s="1"/>
  <c r="J255" i="3445" a="1"/>
  <c r="J255" i="3445" s="1"/>
  <c r="I255" i="3445" a="1"/>
  <c r="I255" i="3445" s="1"/>
  <c r="AB28" i="3479" a="1"/>
  <c r="AB28" i="3479" s="1"/>
  <c r="AE28" i="3479" s="1" a="1"/>
  <c r="AE28" i="3479" s="1"/>
  <c r="AF28" i="3479" s="1" a="1"/>
  <c r="AF28" i="3479" s="1"/>
  <c r="Q143" i="3445"/>
  <c r="H156" i="3445"/>
  <c r="Q210" i="3445"/>
  <c r="Q218" i="3445"/>
  <c r="O218" i="3445"/>
  <c r="N218" i="3445" a="1"/>
  <c r="N218" i="3445" s="1"/>
  <c r="K218" i="3445" a="1"/>
  <c r="K218" i="3445" s="1"/>
  <c r="L218" i="3445" s="1"/>
  <c r="M218" i="3445" s="1"/>
  <c r="J218" i="3445" a="1"/>
  <c r="J218" i="3445" s="1"/>
  <c r="T218" i="3445"/>
  <c r="P218" i="3445"/>
  <c r="H255" i="3445"/>
  <c r="I25" i="3560"/>
  <c r="O25" i="3560" s="1" a="1"/>
  <c r="O25" i="3560" s="1"/>
  <c r="H86" i="3560" a="1"/>
  <c r="H86" i="3560" s="1"/>
  <c r="G86" i="3560" a="1"/>
  <c r="G86" i="3560" s="1"/>
  <c r="M86" i="3560" a="1"/>
  <c r="M86" i="3560" s="1"/>
  <c r="A225" i="3445"/>
  <c r="T225" i="3445"/>
  <c r="S225" i="3445" a="1"/>
  <c r="S225" i="3445" s="1"/>
  <c r="N225" i="3445" a="1"/>
  <c r="N225" i="3445" s="1"/>
  <c r="P225" i="3445"/>
  <c r="O225" i="3445"/>
  <c r="K225" i="3445" a="1"/>
  <c r="K225" i="3445" s="1"/>
  <c r="L225" i="3445" s="1"/>
  <c r="M225" i="3445" s="1"/>
  <c r="J225" i="3445" a="1"/>
  <c r="J225" i="3445" s="1"/>
  <c r="H225" i="3445"/>
  <c r="A259" i="3445"/>
  <c r="T259" i="3445"/>
  <c r="S259" i="3445" a="1"/>
  <c r="S259" i="3445" s="1"/>
  <c r="Q259" i="3445"/>
  <c r="P259" i="3445"/>
  <c r="O259" i="3445"/>
  <c r="N259" i="3445" a="1"/>
  <c r="N259" i="3445" s="1"/>
  <c r="K259" i="3445" a="1"/>
  <c r="K259" i="3445" s="1"/>
  <c r="L259" i="3445" s="1"/>
  <c r="M259" i="3445" s="1"/>
  <c r="J259" i="3445" a="1"/>
  <c r="J259" i="3445" s="1"/>
  <c r="I259" i="3445" a="1"/>
  <c r="I259" i="3445" s="1"/>
  <c r="H259" i="3445"/>
  <c r="A37" i="3560"/>
  <c r="D37" i="3560"/>
  <c r="M62" i="3560" a="1"/>
  <c r="M62" i="3560" s="1"/>
  <c r="H62" i="3560" a="1"/>
  <c r="H62" i="3560" s="1"/>
  <c r="G62" i="3560" a="1"/>
  <c r="G62" i="3560" s="1"/>
  <c r="L76" i="3560"/>
  <c r="J76" i="3560"/>
  <c r="P76" i="3560" s="1" a="1"/>
  <c r="P76" i="3560" s="1"/>
  <c r="I76" i="3560"/>
  <c r="O76" i="3560" s="1" a="1"/>
  <c r="O76" i="3560" s="1"/>
  <c r="K76" i="3560"/>
  <c r="A48" i="3445"/>
  <c r="K67" i="3445" a="1"/>
  <c r="K67" i="3445" s="1"/>
  <c r="I156" i="3445" a="1"/>
  <c r="I156" i="3445" s="1"/>
  <c r="A186" i="3445"/>
  <c r="T186" i="3445"/>
  <c r="S186" i="3445" a="1"/>
  <c r="S186" i="3445" s="1"/>
  <c r="I186" i="3445" a="1"/>
  <c r="I186" i="3445" s="1"/>
  <c r="Q186" i="3445"/>
  <c r="P186" i="3445"/>
  <c r="I225" i="3445" a="1"/>
  <c r="I225" i="3445" s="1"/>
  <c r="S231" i="3445" a="1"/>
  <c r="S231" i="3445" s="1"/>
  <c r="L25" i="3560"/>
  <c r="D57" i="3560"/>
  <c r="A57" i="3560"/>
  <c r="H66" i="3560" a="1"/>
  <c r="H66" i="3560" s="1"/>
  <c r="M66" i="3560" a="1"/>
  <c r="M66" i="3560" s="1"/>
  <c r="G66" i="3560" a="1"/>
  <c r="G66" i="3560" s="1"/>
  <c r="A253" i="3445"/>
  <c r="P253" i="3445"/>
  <c r="O253" i="3445"/>
  <c r="N253" i="3445" a="1"/>
  <c r="N253" i="3445" s="1"/>
  <c r="T253" i="3445"/>
  <c r="S253" i="3445" a="1"/>
  <c r="S253" i="3445" s="1"/>
  <c r="Q253" i="3445"/>
  <c r="K253" i="3445" a="1"/>
  <c r="K253" i="3445" s="1"/>
  <c r="L253" i="3445" s="1"/>
  <c r="M253" i="3445" s="1"/>
  <c r="G31" i="3560" a="1"/>
  <c r="G31" i="3560" s="1"/>
  <c r="M31" i="3560" a="1"/>
  <c r="M31" i="3560" s="1"/>
  <c r="H31" i="3560" a="1"/>
  <c r="H31" i="3560" s="1"/>
  <c r="K200" i="3445" a="1"/>
  <c r="K200" i="3445" s="1"/>
  <c r="L200" i="3445" s="1"/>
  <c r="M200" i="3445" s="1"/>
  <c r="J200" i="3445" a="1"/>
  <c r="J200" i="3445" s="1"/>
  <c r="I200" i="3445" a="1"/>
  <c r="I200" i="3445" s="1"/>
  <c r="H200" i="3445"/>
  <c r="T200" i="3445"/>
  <c r="Q200" i="3445"/>
  <c r="P200" i="3445"/>
  <c r="N200" i="3445" a="1"/>
  <c r="N200" i="3445" s="1"/>
  <c r="Q225" i="3445"/>
  <c r="S256" i="3445" a="1"/>
  <c r="S256" i="3445" s="1"/>
  <c r="I256" i="3445" a="1"/>
  <c r="I256" i="3445" s="1"/>
  <c r="T256" i="3445"/>
  <c r="Q256" i="3445"/>
  <c r="P256" i="3445"/>
  <c r="O256" i="3445"/>
  <c r="N256" i="3445" a="1"/>
  <c r="N256" i="3445" s="1"/>
  <c r="J256" i="3445" a="1"/>
  <c r="J256" i="3445" s="1"/>
  <c r="H256" i="3445"/>
  <c r="A256" i="3445"/>
  <c r="M51" i="3560" a="1"/>
  <c r="M51" i="3560" s="1"/>
  <c r="H51" i="3560" a="1"/>
  <c r="H51" i="3560" s="1"/>
  <c r="G51" i="3560" a="1"/>
  <c r="G51" i="3560" s="1"/>
  <c r="A88" i="3560"/>
  <c r="D88" i="3560"/>
  <c r="S166" i="3445" a="1"/>
  <c r="S166" i="3445" s="1"/>
  <c r="Q166" i="3445"/>
  <c r="P166" i="3445"/>
  <c r="O166" i="3445"/>
  <c r="H166" i="3445"/>
  <c r="S184" i="3445" a="1"/>
  <c r="S184" i="3445" s="1"/>
  <c r="Q184" i="3445"/>
  <c r="P184" i="3445"/>
  <c r="O184" i="3445"/>
  <c r="J184" i="3445" a="1"/>
  <c r="J184" i="3445" s="1"/>
  <c r="K188" i="3445" a="1"/>
  <c r="K188" i="3445" s="1"/>
  <c r="L188" i="3445" s="1"/>
  <c r="M188" i="3445" s="1"/>
  <c r="J188" i="3445" a="1"/>
  <c r="J188" i="3445" s="1"/>
  <c r="I188" i="3445" a="1"/>
  <c r="I188" i="3445" s="1"/>
  <c r="H188" i="3445"/>
  <c r="Q188" i="3445"/>
  <c r="P188" i="3445"/>
  <c r="N188" i="3445" a="1"/>
  <c r="N188" i="3445" s="1"/>
  <c r="O195" i="3445"/>
  <c r="N195" i="3445" a="1"/>
  <c r="N195" i="3445" s="1"/>
  <c r="K195" i="3445" a="1"/>
  <c r="K195" i="3445" s="1"/>
  <c r="L195" i="3445" s="1"/>
  <c r="M195" i="3445" s="1"/>
  <c r="J195" i="3445" a="1"/>
  <c r="J195" i="3445" s="1"/>
  <c r="T195" i="3445"/>
  <c r="Q195" i="3445"/>
  <c r="P195" i="3445"/>
  <c r="I195" i="3445" a="1"/>
  <c r="I195" i="3445" s="1"/>
  <c r="A214" i="3445"/>
  <c r="T214" i="3445"/>
  <c r="S214" i="3445" a="1"/>
  <c r="S214" i="3445" s="1"/>
  <c r="Q214" i="3445"/>
  <c r="P214" i="3445"/>
  <c r="O214" i="3445"/>
  <c r="H214" i="3445"/>
  <c r="T219" i="3445"/>
  <c r="S219" i="3445" a="1"/>
  <c r="S219" i="3445" s="1"/>
  <c r="Q219" i="3445"/>
  <c r="P219" i="3445"/>
  <c r="O219" i="3445"/>
  <c r="N219" i="3445" a="1"/>
  <c r="N219" i="3445" s="1"/>
  <c r="J219" i="3445" a="1"/>
  <c r="J219" i="3445" s="1"/>
  <c r="I219" i="3445" a="1"/>
  <c r="I219" i="3445" s="1"/>
  <c r="H219" i="3445"/>
  <c r="A219" i="3445"/>
  <c r="I233" i="3445" a="1"/>
  <c r="I233" i="3445" s="1"/>
  <c r="T233" i="3445"/>
  <c r="S233" i="3445" a="1"/>
  <c r="S233" i="3445" s="1"/>
  <c r="Q233" i="3445"/>
  <c r="P233" i="3445"/>
  <c r="N233" i="3445" a="1"/>
  <c r="N233" i="3445" s="1"/>
  <c r="N241" i="3445" a="1"/>
  <c r="N241" i="3445" s="1"/>
  <c r="T241" i="3445"/>
  <c r="S241" i="3445" a="1"/>
  <c r="S241" i="3445" s="1"/>
  <c r="Q241" i="3445"/>
  <c r="P241" i="3445"/>
  <c r="O241" i="3445"/>
  <c r="J241" i="3445" a="1"/>
  <c r="J241" i="3445" s="1"/>
  <c r="I241" i="3445" a="1"/>
  <c r="I241" i="3445" s="1"/>
  <c r="A241" i="3445"/>
  <c r="H253" i="3445"/>
  <c r="G42" i="3560" a="1"/>
  <c r="G42" i="3560" s="1"/>
  <c r="H42" i="3560" a="1"/>
  <c r="H42" i="3560" s="1"/>
  <c r="H46" i="3560" a="1"/>
  <c r="H46" i="3560" s="1"/>
  <c r="G46" i="3560" a="1"/>
  <c r="G46" i="3560" s="1"/>
  <c r="M46" i="3560" a="1"/>
  <c r="M46" i="3560" s="1"/>
  <c r="D67" i="3560"/>
  <c r="A67" i="3560"/>
  <c r="M72" i="3560" a="1"/>
  <c r="M72" i="3560" s="1"/>
  <c r="G72" i="3560" a="1"/>
  <c r="G72" i="3560" s="1"/>
  <c r="AR27" i="3479" a="1"/>
  <c r="AR27" i="3479" s="1"/>
  <c r="AS27" i="3479" s="1" a="1"/>
  <c r="AS27" i="3479" s="1"/>
  <c r="AQ27" i="3479" a="1"/>
  <c r="AQ27" i="3479" s="1"/>
  <c r="K164" i="3445" a="1"/>
  <c r="K164" i="3445" s="1"/>
  <c r="L164" i="3445" s="1"/>
  <c r="M164" i="3445" s="1"/>
  <c r="J164" i="3445" a="1"/>
  <c r="J164" i="3445" s="1"/>
  <c r="P164" i="3445"/>
  <c r="O164" i="3445"/>
  <c r="I164" i="3445" a="1"/>
  <c r="I164" i="3445" s="1"/>
  <c r="A164" i="3445"/>
  <c r="A168" i="3445"/>
  <c r="Q168" i="3445"/>
  <c r="H241" i="3445"/>
  <c r="A244" i="3445"/>
  <c r="O244" i="3445"/>
  <c r="N244" i="3445" a="1"/>
  <c r="N244" i="3445" s="1"/>
  <c r="K244" i="3445" a="1"/>
  <c r="K244" i="3445" s="1"/>
  <c r="L244" i="3445" s="1"/>
  <c r="M244" i="3445" s="1"/>
  <c r="J244" i="3445" a="1"/>
  <c r="J244" i="3445" s="1"/>
  <c r="I244" i="3445" a="1"/>
  <c r="I244" i="3445" s="1"/>
  <c r="T244" i="3445"/>
  <c r="Q244" i="3445"/>
  <c r="K256" i="3445" a="1"/>
  <c r="K256" i="3445" s="1"/>
  <c r="L256" i="3445" s="1"/>
  <c r="M256" i="3445" s="1"/>
  <c r="M58" i="3560" a="1"/>
  <c r="M58" i="3560" s="1"/>
  <c r="H58" i="3560" a="1"/>
  <c r="H58" i="3560" s="1"/>
  <c r="G58" i="3560" a="1"/>
  <c r="G58" i="3560" s="1"/>
  <c r="D82" i="3560"/>
  <c r="A82" i="3560"/>
  <c r="H97" i="3445"/>
  <c r="I97" i="3445" s="1" a="1"/>
  <c r="I97" i="3445" s="1"/>
  <c r="O97" i="3445" s="1"/>
  <c r="A102" i="3445"/>
  <c r="S102" i="3445" a="1"/>
  <c r="S102" i="3445" s="1"/>
  <c r="P111" i="3445"/>
  <c r="K146" i="3445" a="1"/>
  <c r="K146" i="3445" s="1"/>
  <c r="L146" i="3445" s="1"/>
  <c r="M146" i="3445" s="1"/>
  <c r="J146" i="3445" a="1"/>
  <c r="J146" i="3445" s="1"/>
  <c r="S146" i="3445" a="1"/>
  <c r="S146" i="3445" s="1"/>
  <c r="N146" i="3445" a="1"/>
  <c r="N146" i="3445" s="1"/>
  <c r="H146" i="3445"/>
  <c r="N149" i="3445" a="1"/>
  <c r="N149" i="3445" s="1"/>
  <c r="O156" i="3445"/>
  <c r="I166" i="3445" a="1"/>
  <c r="I166" i="3445" s="1"/>
  <c r="H168" i="3445"/>
  <c r="Q181" i="3445"/>
  <c r="H184" i="3445"/>
  <c r="T191" i="3445"/>
  <c r="S191" i="3445" a="1"/>
  <c r="S191" i="3445" s="1"/>
  <c r="P191" i="3445"/>
  <c r="O191" i="3445"/>
  <c r="I191" i="3445" a="1"/>
  <c r="I191" i="3445" s="1"/>
  <c r="H195" i="3445"/>
  <c r="K219" i="3445" a="1"/>
  <c r="K219" i="3445" s="1"/>
  <c r="L219" i="3445" s="1"/>
  <c r="M219" i="3445" s="1"/>
  <c r="H233" i="3445"/>
  <c r="H244" i="3445"/>
  <c r="I253" i="3445" a="1"/>
  <c r="I253" i="3445" s="1"/>
  <c r="A265" i="3445"/>
  <c r="J265" i="3445" a="1"/>
  <c r="J265" i="3445" s="1"/>
  <c r="I265" i="3445" a="1"/>
  <c r="I265" i="3445" s="1"/>
  <c r="Q265" i="3445"/>
  <c r="P265" i="3445"/>
  <c r="O265" i="3445"/>
  <c r="N265" i="3445" a="1"/>
  <c r="N265" i="3445" s="1"/>
  <c r="K265" i="3445" a="1"/>
  <c r="K265" i="3445" s="1"/>
  <c r="L265" i="3445" s="1"/>
  <c r="M265" i="3445" s="1"/>
  <c r="T265" i="3445"/>
  <c r="S265" i="3445" a="1"/>
  <c r="S265" i="3445" s="1"/>
  <c r="H265" i="3445"/>
  <c r="D68" i="3560"/>
  <c r="A68" i="3560"/>
  <c r="H72" i="3560" a="1"/>
  <c r="H72" i="3560" s="1"/>
  <c r="H89" i="3445"/>
  <c r="Q111" i="3445"/>
  <c r="N124" i="3445" a="1"/>
  <c r="N124" i="3445" s="1"/>
  <c r="S148" i="3445" a="1"/>
  <c r="S148" i="3445" s="1"/>
  <c r="Q148" i="3445"/>
  <c r="P148" i="3445"/>
  <c r="O148" i="3445"/>
  <c r="J148" i="3445" a="1"/>
  <c r="J148" i="3445" s="1"/>
  <c r="O149" i="3445"/>
  <c r="P156" i="3445"/>
  <c r="H164" i="3445"/>
  <c r="A180" i="3445"/>
  <c r="T180" i="3445"/>
  <c r="K180" i="3445" a="1"/>
  <c r="K180" i="3445" s="1"/>
  <c r="L180" i="3445" s="1"/>
  <c r="M180" i="3445" s="1"/>
  <c r="T181" i="3445"/>
  <c r="O200" i="3445"/>
  <c r="I214" i="3445" a="1"/>
  <c r="I214" i="3445" s="1"/>
  <c r="K222" i="3445" a="1"/>
  <c r="K222" i="3445" s="1"/>
  <c r="L222" i="3445" s="1"/>
  <c r="M222" i="3445" s="1"/>
  <c r="J222" i="3445" a="1"/>
  <c r="J222" i="3445" s="1"/>
  <c r="I222" i="3445" a="1"/>
  <c r="I222" i="3445" s="1"/>
  <c r="H222" i="3445"/>
  <c r="A222" i="3445"/>
  <c r="T222" i="3445"/>
  <c r="S222" i="3445" a="1"/>
  <c r="S222" i="3445" s="1"/>
  <c r="P222" i="3445"/>
  <c r="O222" i="3445"/>
  <c r="G23" i="3560" a="1"/>
  <c r="G23" i="3560" s="1"/>
  <c r="S111" i="3445" a="1"/>
  <c r="S111" i="3445" s="1"/>
  <c r="S124" i="3445" a="1"/>
  <c r="S124" i="3445" s="1"/>
  <c r="P149" i="3445"/>
  <c r="T155" i="3445"/>
  <c r="S155" i="3445" a="1"/>
  <c r="S155" i="3445" s="1"/>
  <c r="P155" i="3445"/>
  <c r="I155" i="3445" a="1"/>
  <c r="I155" i="3445" s="1"/>
  <c r="Q156" i="3445"/>
  <c r="J166" i="3445" a="1"/>
  <c r="J166" i="3445" s="1"/>
  <c r="I168" i="3445" a="1"/>
  <c r="I168" i="3445" s="1"/>
  <c r="S178" i="3445" a="1"/>
  <c r="S178" i="3445" s="1"/>
  <c r="Q178" i="3445"/>
  <c r="P178" i="3445"/>
  <c r="O178" i="3445"/>
  <c r="H178" i="3445"/>
  <c r="T178" i="3445"/>
  <c r="K182" i="3445" a="1"/>
  <c r="K182" i="3445" s="1"/>
  <c r="L182" i="3445" s="1"/>
  <c r="M182" i="3445" s="1"/>
  <c r="J182" i="3445" a="1"/>
  <c r="J182" i="3445" s="1"/>
  <c r="H182" i="3445"/>
  <c r="Q182" i="3445"/>
  <c r="A182" i="3445"/>
  <c r="I184" i="3445" a="1"/>
  <c r="I184" i="3445" s="1"/>
  <c r="O188" i="3445"/>
  <c r="J214" i="3445" a="1"/>
  <c r="J214" i="3445" s="1"/>
  <c r="J233" i="3445" a="1"/>
  <c r="J233" i="3445" s="1"/>
  <c r="K241" i="3445" a="1"/>
  <c r="K241" i="3445" s="1"/>
  <c r="L241" i="3445" s="1"/>
  <c r="M241" i="3445" s="1"/>
  <c r="P244" i="3445"/>
  <c r="J253" i="3445" a="1"/>
  <c r="J253" i="3445" s="1"/>
  <c r="Q263" i="3445"/>
  <c r="H263" i="3445"/>
  <c r="A263" i="3445"/>
  <c r="T263" i="3445"/>
  <c r="O263" i="3445"/>
  <c r="P263" i="3445"/>
  <c r="N263" i="3445" a="1"/>
  <c r="N263" i="3445" s="1"/>
  <c r="J263" i="3445" a="1"/>
  <c r="J263" i="3445" s="1"/>
  <c r="I263" i="3445" a="1"/>
  <c r="I263" i="3445" s="1"/>
  <c r="I23" i="3560"/>
  <c r="O23" i="3560" s="1" a="1"/>
  <c r="O23" i="3560" s="1"/>
  <c r="M42" i="3560" a="1"/>
  <c r="M42" i="3560" s="1"/>
  <c r="N95" i="3445" a="1"/>
  <c r="N95" i="3445" s="1"/>
  <c r="T111" i="3445"/>
  <c r="I115" i="3445" a="1"/>
  <c r="I115" i="3445" s="1"/>
  <c r="H115" i="3445"/>
  <c r="P115" i="3445"/>
  <c r="T124" i="3445"/>
  <c r="T143" i="3445"/>
  <c r="S143" i="3445" a="1"/>
  <c r="S143" i="3445" s="1"/>
  <c r="J143" i="3445" a="1"/>
  <c r="J143" i="3445" s="1"/>
  <c r="S172" i="3445" a="1"/>
  <c r="S172" i="3445" s="1"/>
  <c r="Q172" i="3445"/>
  <c r="P172" i="3445"/>
  <c r="O172" i="3445"/>
  <c r="H172" i="3445"/>
  <c r="T172" i="3445"/>
  <c r="N172" i="3445" a="1"/>
  <c r="N172" i="3445" s="1"/>
  <c r="S195" i="3445" a="1"/>
  <c r="S195" i="3445" s="1"/>
  <c r="S200" i="3445" a="1"/>
  <c r="S200" i="3445" s="1"/>
  <c r="S244" i="3445" a="1"/>
  <c r="S244" i="3445" s="1"/>
  <c r="J23" i="3560"/>
  <c r="P23" i="3560" s="1" a="1"/>
  <c r="P23" i="3560" s="1"/>
  <c r="M47" i="3560" a="1"/>
  <c r="M47" i="3560" s="1"/>
  <c r="G47" i="3560" a="1"/>
  <c r="G47" i="3560" s="1"/>
  <c r="H47" i="3560" a="1"/>
  <c r="H47" i="3560" s="1"/>
  <c r="P83" i="3560" a="1"/>
  <c r="P83" i="3560" s="1"/>
  <c r="D83" i="3560"/>
  <c r="A83" i="3560"/>
  <c r="A120" i="3445"/>
  <c r="N120" i="3445" a="1"/>
  <c r="N120" i="3445" s="1"/>
  <c r="H120" i="3445"/>
  <c r="A150" i="3445"/>
  <c r="T150" i="3445"/>
  <c r="O150" i="3445"/>
  <c r="N150" i="3445" a="1"/>
  <c r="N150" i="3445" s="1"/>
  <c r="H155" i="3445"/>
  <c r="T156" i="3445"/>
  <c r="K166" i="3445" a="1"/>
  <c r="K166" i="3445" s="1"/>
  <c r="L166" i="3445" s="1"/>
  <c r="M166" i="3445" s="1"/>
  <c r="J168" i="3445" a="1"/>
  <c r="J168" i="3445" s="1"/>
  <c r="I182" i="3445" a="1"/>
  <c r="I182" i="3445" s="1"/>
  <c r="K184" i="3445" a="1"/>
  <c r="K184" i="3445" s="1"/>
  <c r="L184" i="3445" s="1"/>
  <c r="M184" i="3445" s="1"/>
  <c r="S188" i="3445" a="1"/>
  <c r="S188" i="3445" s="1"/>
  <c r="S196" i="3445" a="1"/>
  <c r="S196" i="3445" s="1"/>
  <c r="Q196" i="3445"/>
  <c r="P196" i="3445"/>
  <c r="O196" i="3445"/>
  <c r="N196" i="3445" a="1"/>
  <c r="N196" i="3445" s="1"/>
  <c r="I196" i="3445" a="1"/>
  <c r="I196" i="3445" s="1"/>
  <c r="A196" i="3445"/>
  <c r="O201" i="3445"/>
  <c r="N201" i="3445" a="1"/>
  <c r="N201" i="3445" s="1"/>
  <c r="K201" i="3445" a="1"/>
  <c r="K201" i="3445" s="1"/>
  <c r="L201" i="3445" s="1"/>
  <c r="M201" i="3445" s="1"/>
  <c r="J201" i="3445" a="1"/>
  <c r="J201" i="3445" s="1"/>
  <c r="I201" i="3445" a="1"/>
  <c r="I201" i="3445" s="1"/>
  <c r="A201" i="3445"/>
  <c r="K206" i="3445" a="1"/>
  <c r="K206" i="3445" s="1"/>
  <c r="L206" i="3445" s="1"/>
  <c r="M206" i="3445" s="1"/>
  <c r="J206" i="3445" a="1"/>
  <c r="J206" i="3445" s="1"/>
  <c r="I206" i="3445" a="1"/>
  <c r="I206" i="3445" s="1"/>
  <c r="H206" i="3445"/>
  <c r="Q206" i="3445"/>
  <c r="P206" i="3445"/>
  <c r="K214" i="3445" a="1"/>
  <c r="K214" i="3445" s="1"/>
  <c r="L214" i="3445" s="1"/>
  <c r="M214" i="3445" s="1"/>
  <c r="K233" i="3445" a="1"/>
  <c r="K233" i="3445" s="1"/>
  <c r="L233" i="3445" s="1"/>
  <c r="M233" i="3445" s="1"/>
  <c r="Q242" i="3445"/>
  <c r="A242" i="3445"/>
  <c r="T242" i="3445"/>
  <c r="N242" i="3445" a="1"/>
  <c r="N242" i="3445" s="1"/>
  <c r="S242" i="3445" a="1"/>
  <c r="S242" i="3445" s="1"/>
  <c r="P242" i="3445"/>
  <c r="J242" i="3445" a="1"/>
  <c r="J242" i="3445" s="1"/>
  <c r="Q248" i="3445"/>
  <c r="P248" i="3445"/>
  <c r="N248" i="3445" a="1"/>
  <c r="N248" i="3445" s="1"/>
  <c r="K248" i="3445" a="1"/>
  <c r="K248" i="3445" s="1"/>
  <c r="L248" i="3445" s="1"/>
  <c r="M248" i="3445" s="1"/>
  <c r="J248" i="3445" a="1"/>
  <c r="J248" i="3445" s="1"/>
  <c r="I248" i="3445" a="1"/>
  <c r="I248" i="3445" s="1"/>
  <c r="A248" i="3445"/>
  <c r="K263" i="3445" a="1"/>
  <c r="K263" i="3445" s="1"/>
  <c r="L263" i="3445" s="1"/>
  <c r="M263" i="3445" s="1"/>
  <c r="M28" i="3560" a="1"/>
  <c r="M28" i="3560" s="1"/>
  <c r="H28" i="3560" a="1"/>
  <c r="H28" i="3560" s="1"/>
  <c r="G28" i="3560" a="1"/>
  <c r="G28" i="3560" s="1"/>
  <c r="G69" i="3560" a="1"/>
  <c r="G69" i="3560" s="1"/>
  <c r="I89" i="3560"/>
  <c r="O89" i="3560" s="1" a="1"/>
  <c r="O89" i="3560" s="1"/>
  <c r="L89" i="3560"/>
  <c r="K89" i="3560"/>
  <c r="Q258" i="3445"/>
  <c r="P258" i="3445"/>
  <c r="N258" i="3445" a="1"/>
  <c r="N258" i="3445" s="1"/>
  <c r="K258" i="3445" a="1"/>
  <c r="K258" i="3445" s="1"/>
  <c r="L258" i="3445" s="1"/>
  <c r="M258" i="3445" s="1"/>
  <c r="J258" i="3445" a="1"/>
  <c r="J258" i="3445" s="1"/>
  <c r="I258" i="3445" a="1"/>
  <c r="I258" i="3445" s="1"/>
  <c r="A258" i="3445"/>
  <c r="M30" i="3560" a="1"/>
  <c r="M30" i="3560" s="1"/>
  <c r="G30" i="3560" a="1"/>
  <c r="G30" i="3560" s="1"/>
  <c r="A81" i="3560"/>
  <c r="D81" i="3560"/>
  <c r="BG30" i="3479" a="1"/>
  <c r="BG30" i="3479" s="1"/>
  <c r="BH30" i="3479" s="1" a="1"/>
  <c r="BH30" i="3479" s="1"/>
  <c r="BF30" i="3479" a="1"/>
  <c r="BF30" i="3479" s="1"/>
  <c r="CI38" i="3479"/>
  <c r="K152" i="3445" a="1"/>
  <c r="K152" i="3445" s="1"/>
  <c r="L152" i="3445" s="1"/>
  <c r="M152" i="3445" s="1"/>
  <c r="J152" i="3445" a="1"/>
  <c r="J152" i="3445" s="1"/>
  <c r="T173" i="3445"/>
  <c r="S173" i="3445" a="1"/>
  <c r="S173" i="3445" s="1"/>
  <c r="K240" i="3445" a="1"/>
  <c r="K240" i="3445" s="1"/>
  <c r="L240" i="3445" s="1"/>
  <c r="M240" i="3445" s="1"/>
  <c r="Q240" i="3445"/>
  <c r="P240" i="3445"/>
  <c r="O240" i="3445"/>
  <c r="N240" i="3445" a="1"/>
  <c r="N240" i="3445" s="1"/>
  <c r="J240" i="3445" a="1"/>
  <c r="J240" i="3445" s="1"/>
  <c r="I240" i="3445" a="1"/>
  <c r="I240" i="3445" s="1"/>
  <c r="O258" i="3445"/>
  <c r="G33" i="3560" a="1"/>
  <c r="G33" i="3560" s="1"/>
  <c r="BG25" i="3479" a="1"/>
  <c r="BG25" i="3479" s="1"/>
  <c r="BH25" i="3479" s="1" a="1"/>
  <c r="BH25" i="3479" s="1"/>
  <c r="BF25" i="3479" a="1"/>
  <c r="BF25" i="3479" s="1"/>
  <c r="BT22" i="3479"/>
  <c r="BT29" i="3479"/>
  <c r="BT21" i="3479"/>
  <c r="BT36" i="3479"/>
  <c r="BT31" i="3479"/>
  <c r="Q138" i="3445"/>
  <c r="H240" i="3445"/>
  <c r="S258" i="3445" a="1"/>
  <c r="S258" i="3445" s="1"/>
  <c r="H21" i="3560" a="1"/>
  <c r="H21" i="3560" s="1"/>
  <c r="H30" i="3560" a="1"/>
  <c r="H30" i="3560" s="1"/>
  <c r="M35" i="3560" a="1"/>
  <c r="M35" i="3560" s="1"/>
  <c r="H35" i="3560" a="1"/>
  <c r="H35" i="3560" s="1"/>
  <c r="H70" i="3560" a="1"/>
  <c r="H70" i="3560" s="1"/>
  <c r="G70" i="3560" a="1"/>
  <c r="G70" i="3560" s="1"/>
  <c r="M70" i="3560" a="1"/>
  <c r="M70" i="3560" s="1"/>
  <c r="DM38" i="3479"/>
  <c r="DM36" i="3479"/>
  <c r="ES37" i="3479" a="1"/>
  <c r="ES37" i="3479" s="1"/>
  <c r="ET37" i="3479" s="1" a="1"/>
  <c r="ET37" i="3479" s="1"/>
  <c r="ER37" i="3479" a="1"/>
  <c r="ER37" i="3479" s="1"/>
  <c r="EU37" i="3479" s="1" a="1"/>
  <c r="EU37" i="3479" s="1"/>
  <c r="EV37" i="3479" s="1" a="1"/>
  <c r="EV37" i="3479" s="1"/>
  <c r="DM26" i="3479"/>
  <c r="K217" i="3445" a="1"/>
  <c r="K217" i="3445" s="1"/>
  <c r="L217" i="3445" s="1"/>
  <c r="M217" i="3445" s="1"/>
  <c r="J217" i="3445" a="1"/>
  <c r="J217" i="3445" s="1"/>
  <c r="I217" i="3445" a="1"/>
  <c r="I217" i="3445" s="1"/>
  <c r="L38" i="3560"/>
  <c r="K38" i="3560"/>
  <c r="M78" i="3560" a="1"/>
  <c r="M78" i="3560" s="1"/>
  <c r="H78" i="3560" a="1"/>
  <c r="H78" i="3560" s="1"/>
  <c r="G78" i="3560" a="1"/>
  <c r="G78" i="3560" s="1"/>
  <c r="A232" i="3445"/>
  <c r="S232" i="3445" a="1"/>
  <c r="S232" i="3445" s="1"/>
  <c r="Q232" i="3445"/>
  <c r="P232" i="3445"/>
  <c r="O232" i="3445"/>
  <c r="N232" i="3445" a="1"/>
  <c r="N232" i="3445" s="1"/>
  <c r="K232" i="3445" a="1"/>
  <c r="K232" i="3445" s="1"/>
  <c r="L232" i="3445" s="1"/>
  <c r="M232" i="3445" s="1"/>
  <c r="I232" i="3445" a="1"/>
  <c r="I232" i="3445" s="1"/>
  <c r="K74" i="3560"/>
  <c r="J74" i="3560"/>
  <c r="P74" i="3560" s="1" a="1"/>
  <c r="P74" i="3560" s="1"/>
  <c r="L74" i="3560"/>
  <c r="I74" i="3560"/>
  <c r="O74" i="3560" s="1" a="1"/>
  <c r="O74" i="3560" s="1"/>
  <c r="I139" i="3445" a="1"/>
  <c r="I139" i="3445" s="1"/>
  <c r="H139" i="3445"/>
  <c r="J173" i="3445" a="1"/>
  <c r="J173" i="3445" s="1"/>
  <c r="H232" i="3445"/>
  <c r="J243" i="3445" a="1"/>
  <c r="J243" i="3445" s="1"/>
  <c r="I243" i="3445" a="1"/>
  <c r="I243" i="3445" s="1"/>
  <c r="H243" i="3445"/>
  <c r="A243" i="3445"/>
  <c r="T243" i="3445"/>
  <c r="O261" i="3445"/>
  <c r="K261" i="3445" a="1"/>
  <c r="K261" i="3445" s="1"/>
  <c r="L261" i="3445" s="1"/>
  <c r="M261" i="3445" s="1"/>
  <c r="J261" i="3445" a="1"/>
  <c r="J261" i="3445" s="1"/>
  <c r="N261" i="3445" a="1"/>
  <c r="N261" i="3445" s="1"/>
  <c r="I261" i="3445" a="1"/>
  <c r="I261" i="3445" s="1"/>
  <c r="H261" i="3445"/>
  <c r="A261" i="3445"/>
  <c r="J38" i="3560"/>
  <c r="P38" i="3560" s="1" a="1"/>
  <c r="P38" i="3560" s="1"/>
  <c r="K48" i="3560"/>
  <c r="I48" i="3560"/>
  <c r="N223" i="3445" a="1"/>
  <c r="N223" i="3445" s="1"/>
  <c r="Q223" i="3445"/>
  <c r="P223" i="3445"/>
  <c r="O223" i="3445"/>
  <c r="K223" i="3445" a="1"/>
  <c r="K223" i="3445" s="1"/>
  <c r="L223" i="3445" s="1"/>
  <c r="M223" i="3445" s="1"/>
  <c r="J223" i="3445" a="1"/>
  <c r="J223" i="3445" s="1"/>
  <c r="I223" i="3445" a="1"/>
  <c r="I223" i="3445" s="1"/>
  <c r="S268" i="3445" a="1"/>
  <c r="S268" i="3445" s="1"/>
  <c r="A268" i="3445"/>
  <c r="Q268" i="3445"/>
  <c r="P268" i="3445"/>
  <c r="O268" i="3445"/>
  <c r="N268" i="3445" a="1"/>
  <c r="N268" i="3445" s="1"/>
  <c r="K268" i="3445" a="1"/>
  <c r="K268" i="3445" s="1"/>
  <c r="L268" i="3445" s="1"/>
  <c r="M268" i="3445" s="1"/>
  <c r="J268" i="3445" a="1"/>
  <c r="J268" i="3445" s="1"/>
  <c r="O36" i="3560" a="1"/>
  <c r="O36" i="3560" s="1"/>
  <c r="D36" i="3560"/>
  <c r="A36" i="3560"/>
  <c r="K252" i="3445" a="1"/>
  <c r="K252" i="3445" s="1"/>
  <c r="L252" i="3445" s="1"/>
  <c r="M252" i="3445" s="1"/>
  <c r="S252" i="3445" a="1"/>
  <c r="S252" i="3445" s="1"/>
  <c r="Q252" i="3445"/>
  <c r="P252" i="3445"/>
  <c r="O252" i="3445"/>
  <c r="N252" i="3445" a="1"/>
  <c r="N252" i="3445" s="1"/>
  <c r="J252" i="3445" a="1"/>
  <c r="J252" i="3445" s="1"/>
  <c r="BG38" i="3479" a="1"/>
  <c r="BG38" i="3479" s="1"/>
  <c r="BH38" i="3479" s="1" a="1"/>
  <c r="BH38" i="3479" s="1"/>
  <c r="BF38" i="3479" a="1"/>
  <c r="BF38" i="3479" s="1"/>
  <c r="M22" i="3560" a="1"/>
  <c r="M22" i="3560" s="1"/>
  <c r="H22" i="3560" a="1"/>
  <c r="H22" i="3560" s="1"/>
  <c r="G22" i="3560" a="1"/>
  <c r="G22" i="3560" s="1"/>
  <c r="CK29" i="3479" a="1"/>
  <c r="CK29" i="3479" s="1"/>
  <c r="CL29" i="3479" s="1" a="1"/>
  <c r="CL29" i="3479" s="1"/>
  <c r="CK25" i="3479" a="1"/>
  <c r="CK25" i="3479" s="1"/>
  <c r="CL25" i="3479" s="1" a="1"/>
  <c r="CL25" i="3479" s="1"/>
  <c r="CJ25" i="3479" a="1"/>
  <c r="CJ25" i="3479" s="1"/>
  <c r="I163" i="3445" a="1"/>
  <c r="I163" i="3445" s="1"/>
  <c r="H163" i="3445"/>
  <c r="K212" i="3445" a="1"/>
  <c r="K212" i="3445" s="1"/>
  <c r="L212" i="3445" s="1"/>
  <c r="M212" i="3445" s="1"/>
  <c r="J212" i="3445" a="1"/>
  <c r="J212" i="3445" s="1"/>
  <c r="I212" i="3445" a="1"/>
  <c r="I212" i="3445" s="1"/>
  <c r="H212" i="3445"/>
  <c r="P217" i="3445"/>
  <c r="H252" i="3445"/>
  <c r="O266" i="3445"/>
  <c r="N266" i="3445" a="1"/>
  <c r="N266" i="3445" s="1"/>
  <c r="T266" i="3445"/>
  <c r="S266" i="3445" a="1"/>
  <c r="S266" i="3445" s="1"/>
  <c r="K266" i="3445" a="1"/>
  <c r="K266" i="3445" s="1"/>
  <c r="L266" i="3445" s="1"/>
  <c r="M266" i="3445" s="1"/>
  <c r="K36" i="3560"/>
  <c r="H52" i="3560" a="1"/>
  <c r="H52" i="3560" s="1"/>
  <c r="M52" i="3560" a="1"/>
  <c r="M52" i="3560" s="1"/>
  <c r="G52" i="3560" a="1"/>
  <c r="G52" i="3560" s="1"/>
  <c r="M67" i="3560" a="1"/>
  <c r="M67" i="3560" s="1"/>
  <c r="H67" i="3560" a="1"/>
  <c r="H67" i="3560" s="1"/>
  <c r="K83" i="3560"/>
  <c r="L83" i="3560"/>
  <c r="I83" i="3560"/>
  <c r="O83" i="3560" s="1" a="1"/>
  <c r="O83" i="3560" s="1"/>
  <c r="CI21" i="3479"/>
  <c r="CI35" i="3479"/>
  <c r="I169" i="3445" a="1"/>
  <c r="I169" i="3445" s="1"/>
  <c r="H169" i="3445"/>
  <c r="Q217" i="3445"/>
  <c r="S223" i="3445" a="1"/>
  <c r="S223" i="3445" s="1"/>
  <c r="T232" i="3445"/>
  <c r="I268" i="3445" a="1"/>
  <c r="I268" i="3445" s="1"/>
  <c r="L36" i="3560"/>
  <c r="P45" i="3560" a="1"/>
  <c r="P45" i="3560" s="1"/>
  <c r="M75" i="3560" a="1"/>
  <c r="M75" i="3560" s="1"/>
  <c r="H75" i="3560" a="1"/>
  <c r="H75" i="3560" s="1"/>
  <c r="G75" i="3560" a="1"/>
  <c r="G75" i="3560" s="1"/>
  <c r="AC34" i="3479" a="1"/>
  <c r="AC34" i="3479" s="1"/>
  <c r="AD34" i="3479" s="1" a="1"/>
  <c r="AD34" i="3479" s="1"/>
  <c r="AB34" i="3479" a="1"/>
  <c r="AB34" i="3479" s="1"/>
  <c r="EQ35" i="3479"/>
  <c r="CZ22" i="3479" a="1"/>
  <c r="CZ22" i="3479" s="1"/>
  <c r="DA22" i="3479" s="1" a="1"/>
  <c r="DA22" i="3479" s="1"/>
  <c r="CY22" i="3479" a="1"/>
  <c r="CY22" i="3479" s="1"/>
  <c r="DB22" i="3479" s="1" a="1"/>
  <c r="DB22" i="3479" s="1"/>
  <c r="DC22" i="3479" s="1" a="1"/>
  <c r="DC22" i="3479" s="1"/>
  <c r="T226" i="3445"/>
  <c r="CY33" i="3479" a="1"/>
  <c r="CY33" i="3479" s="1"/>
  <c r="DB33" i="3479" s="1" a="1"/>
  <c r="DB33" i="3479" s="1"/>
  <c r="DC33" i="3479" s="1" a="1"/>
  <c r="DC33" i="3479" s="1"/>
  <c r="CZ33" i="3479" a="1"/>
  <c r="CZ33" i="3479" s="1"/>
  <c r="DA33" i="3479" s="1" a="1"/>
  <c r="DA33" i="3479" s="1"/>
  <c r="D65" i="3560"/>
  <c r="A65" i="3560"/>
  <c r="P89" i="3560" a="1"/>
  <c r="P89" i="3560" s="1"/>
  <c r="H43" i="3560" a="1"/>
  <c r="H43" i="3560" s="1"/>
  <c r="G43" i="3560" a="1"/>
  <c r="G43" i="3560" s="1"/>
  <c r="I45" i="3560"/>
  <c r="O45" i="3560" s="1" a="1"/>
  <c r="O45" i="3560" s="1"/>
  <c r="J73" i="3560"/>
  <c r="I73" i="3560"/>
  <c r="J81" i="3560"/>
  <c r="P81" i="3560" s="1" a="1"/>
  <c r="P81" i="3560" s="1"/>
  <c r="CX68" i="3479"/>
  <c r="CX70" i="3479"/>
  <c r="CX67" i="3479"/>
  <c r="CX71" i="3479"/>
  <c r="CX62" i="3479"/>
  <c r="CX64" i="3479"/>
  <c r="CX61" i="3479"/>
  <c r="CX66" i="3479"/>
  <c r="CX49" i="3479"/>
  <c r="CX55" i="3479"/>
  <c r="CX65" i="3479"/>
  <c r="CX60" i="3479"/>
  <c r="CX54" i="3479"/>
  <c r="CX63" i="3479"/>
  <c r="CX59" i="3479"/>
  <c r="CX57" i="3479"/>
  <c r="CX58" i="3479"/>
  <c r="CX52" i="3479"/>
  <c r="CX69" i="3479"/>
  <c r="CX30" i="3479"/>
  <c r="CX37" i="3479"/>
  <c r="CX44" i="3479"/>
  <c r="CX39" i="3479"/>
  <c r="CX45" i="3479"/>
  <c r="CX35" i="3479"/>
  <c r="CX28" i="3479"/>
  <c r="CX31" i="3479"/>
  <c r="CX47" i="3479"/>
  <c r="CX42" i="3479"/>
  <c r="CX48" i="3479"/>
  <c r="CX24" i="3479"/>
  <c r="CX53" i="3479"/>
  <c r="CX38" i="3479"/>
  <c r="CX25" i="3479"/>
  <c r="CX51" i="3479"/>
  <c r="CX43" i="3479"/>
  <c r="CX56" i="3479"/>
  <c r="CX34" i="3479"/>
  <c r="CX36" i="3479"/>
  <c r="CX26" i="3479"/>
  <c r="CX50" i="3479"/>
  <c r="CX40" i="3479"/>
  <c r="CX27" i="3479"/>
  <c r="CX32" i="3479"/>
  <c r="CX29" i="3479"/>
  <c r="CX21" i="3479"/>
  <c r="CX23" i="3479"/>
  <c r="CX46" i="3479"/>
  <c r="H235" i="3445"/>
  <c r="G41" i="3560" a="1"/>
  <c r="G41" i="3560" s="1"/>
  <c r="G73" i="3560" a="1"/>
  <c r="G73" i="3560" s="1"/>
  <c r="K81" i="3560"/>
  <c r="J84" i="3560"/>
  <c r="P84" i="3560" s="1" a="1"/>
  <c r="P84" i="3560" s="1"/>
  <c r="H87" i="3560" a="1"/>
  <c r="H87" i="3560" s="1"/>
  <c r="G87" i="3560" a="1"/>
  <c r="G87" i="3560" s="1"/>
  <c r="M87" i="3560" a="1"/>
  <c r="M87" i="3560" s="1"/>
  <c r="Q251" i="3445"/>
  <c r="I251" i="3445" a="1"/>
  <c r="I251" i="3445" s="1"/>
  <c r="H251" i="3445"/>
  <c r="H226" i="3445"/>
  <c r="I235" i="3445" a="1"/>
  <c r="I235" i="3445" s="1"/>
  <c r="T254" i="3445"/>
  <c r="S254" i="3445" a="1"/>
  <c r="S254" i="3445" s="1"/>
  <c r="O267" i="3445"/>
  <c r="T267" i="3445"/>
  <c r="S267" i="3445" a="1"/>
  <c r="S267" i="3445" s="1"/>
  <c r="BE26" i="3479"/>
  <c r="I26" i="3560"/>
  <c r="O26" i="3560" s="1" a="1"/>
  <c r="O26" i="3560" s="1"/>
  <c r="H32" i="3560" a="1"/>
  <c r="H32" i="3560" s="1"/>
  <c r="D60" i="3560"/>
  <c r="A60" i="3560"/>
  <c r="K65" i="3560"/>
  <c r="H68" i="3560" a="1"/>
  <c r="H68" i="3560" s="1"/>
  <c r="EQ29" i="3479"/>
  <c r="H187" i="3445"/>
  <c r="H193" i="3445"/>
  <c r="H199" i="3445"/>
  <c r="H205" i="3445"/>
  <c r="H211" i="3445"/>
  <c r="I226" i="3445" a="1"/>
  <c r="I226" i="3445" s="1"/>
  <c r="H230" i="3445"/>
  <c r="J235" i="3445" a="1"/>
  <c r="J235" i="3445" s="1"/>
  <c r="H247" i="3445"/>
  <c r="J251" i="3445" a="1"/>
  <c r="J251" i="3445" s="1"/>
  <c r="H254" i="3445"/>
  <c r="H267" i="3445"/>
  <c r="J26" i="3560"/>
  <c r="P26" i="3560" s="1" a="1"/>
  <c r="P26" i="3560" s="1"/>
  <c r="G29" i="3560" a="1"/>
  <c r="G29" i="3560" s="1"/>
  <c r="J41" i="3560"/>
  <c r="G48" i="3560" a="1"/>
  <c r="G48" i="3560" s="1"/>
  <c r="G50" i="3560" a="1"/>
  <c r="G50" i="3560" s="1"/>
  <c r="M73" i="3560" a="1"/>
  <c r="M73" i="3560" s="1"/>
  <c r="A76" i="3560"/>
  <c r="D76" i="3560"/>
  <c r="EQ24" i="3479"/>
  <c r="I254" i="3445" a="1"/>
  <c r="I254" i="3445" s="1"/>
  <c r="H257" i="3445"/>
  <c r="K26" i="3560"/>
  <c r="M39" i="3560" a="1"/>
  <c r="M39" i="3560" s="1"/>
  <c r="K41" i="3560"/>
  <c r="G53" i="3560" a="1"/>
  <c r="G53" i="3560" s="1"/>
  <c r="H79" i="3560" a="1"/>
  <c r="H79" i="3560" s="1"/>
  <c r="G79" i="3560" a="1"/>
  <c r="G79" i="3560" s="1"/>
  <c r="M79" i="3560" a="1"/>
  <c r="M79" i="3560" s="1"/>
  <c r="AP26" i="3479"/>
  <c r="AP36" i="3479"/>
  <c r="AP22" i="3479"/>
  <c r="J226" i="3445" a="1"/>
  <c r="J226" i="3445" s="1"/>
  <c r="I230" i="3445" a="1"/>
  <c r="I230" i="3445" s="1"/>
  <c r="H234" i="3445"/>
  <c r="K235" i="3445" a="1"/>
  <c r="K235" i="3445" s="1"/>
  <c r="L235" i="3445" s="1"/>
  <c r="M235" i="3445" s="1"/>
  <c r="I247" i="3445" a="1"/>
  <c r="I247" i="3445" s="1"/>
  <c r="K251" i="3445" a="1"/>
  <c r="K251" i="3445" s="1"/>
  <c r="L251" i="3445" s="1"/>
  <c r="M251" i="3445" s="1"/>
  <c r="I267" i="3445" a="1"/>
  <c r="I267" i="3445" s="1"/>
  <c r="H50" i="3560" a="1"/>
  <c r="H50" i="3560" s="1"/>
  <c r="D63" i="3560"/>
  <c r="A63" i="3560"/>
  <c r="O63" i="3560" a="1"/>
  <c r="O63" i="3560" s="1"/>
  <c r="L82" i="3560"/>
  <c r="K82" i="3560"/>
  <c r="J82" i="3560"/>
  <c r="P82" i="3560" s="1" a="1"/>
  <c r="P82" i="3560" s="1"/>
  <c r="I82" i="3560"/>
  <c r="O82" i="3560" s="1" a="1"/>
  <c r="O82" i="3560" s="1"/>
  <c r="EB28" i="3479"/>
  <c r="EB23" i="3479"/>
  <c r="EB22" i="3479"/>
  <c r="EB33" i="3479"/>
  <c r="EB54" i="3479"/>
  <c r="EB27" i="3479"/>
  <c r="EB51" i="3479"/>
  <c r="EB42" i="3479"/>
  <c r="EB37" i="3479"/>
  <c r="EB35" i="3479"/>
  <c r="EB25" i="3479"/>
  <c r="EB40" i="3479"/>
  <c r="EB38" i="3479"/>
  <c r="EB31" i="3479"/>
  <c r="EB36" i="3479"/>
  <c r="CI27" i="3479"/>
  <c r="CI55" i="3479"/>
  <c r="J254" i="3445" a="1"/>
  <c r="J254" i="3445" s="1"/>
  <c r="M26" i="3560" a="1"/>
  <c r="M26" i="3560" s="1"/>
  <c r="O65" i="3560" a="1"/>
  <c r="O65" i="3560" s="1"/>
  <c r="M88" i="3560" a="1"/>
  <c r="M88" i="3560" s="1"/>
  <c r="H88" i="3560" a="1"/>
  <c r="H88" i="3560" s="1"/>
  <c r="CX41" i="3479"/>
  <c r="BT26" i="3479"/>
  <c r="AA69" i="3479"/>
  <c r="AA71" i="3479"/>
  <c r="AA68" i="3479"/>
  <c r="AA63" i="3479"/>
  <c r="AA60" i="3479"/>
  <c r="AA62" i="3479"/>
  <c r="AA59" i="3479"/>
  <c r="AA57" i="3479"/>
  <c r="AA47" i="3479"/>
  <c r="AA54" i="3479"/>
  <c r="AA67" i="3479"/>
  <c r="AA61" i="3479"/>
  <c r="AA50" i="3479"/>
  <c r="AA70" i="3479"/>
  <c r="AA64" i="3479"/>
  <c r="AA55" i="3479"/>
  <c r="AA44" i="3479"/>
  <c r="AA66" i="3479"/>
  <c r="AA51" i="3479"/>
  <c r="AA41" i="3479"/>
  <c r="AA31" i="3479"/>
  <c r="AA65" i="3479"/>
  <c r="AA48" i="3479"/>
  <c r="AA45" i="3479"/>
  <c r="AA53" i="3479"/>
  <c r="AA21" i="3479"/>
  <c r="AA39" i="3479"/>
  <c r="AA46" i="3479"/>
  <c r="AA43" i="3479"/>
  <c r="AA29" i="3479"/>
  <c r="AA24" i="3479"/>
  <c r="AA52" i="3479"/>
  <c r="AA38" i="3479"/>
  <c r="AA33" i="3479"/>
  <c r="AA26" i="3479"/>
  <c r="AA49" i="3479"/>
  <c r="AA37" i="3479"/>
  <c r="AA36" i="3479"/>
  <c r="AA25" i="3479"/>
  <c r="AA22" i="3479"/>
  <c r="AA56" i="3479"/>
  <c r="AA58" i="3479"/>
  <c r="AA40" i="3479"/>
  <c r="AA35" i="3479"/>
  <c r="AA27" i="3479"/>
  <c r="EB32" i="3479"/>
  <c r="BE23" i="3479"/>
  <c r="AA30" i="3479"/>
  <c r="AT31" i="3479" a="1"/>
  <c r="AT31" i="3479" s="1"/>
  <c r="AU31" i="3479" s="1" a="1"/>
  <c r="AU31" i="3479" s="1"/>
  <c r="AW31" i="3479" a="1"/>
  <c r="AW31" i="3479" s="1"/>
  <c r="AY31" i="3479" a="1"/>
  <c r="AY31" i="3479" s="1"/>
  <c r="BT32" i="3479"/>
  <c r="AA23" i="3479"/>
  <c r="AR35" i="3479" a="1"/>
  <c r="AR35" i="3479" s="1"/>
  <c r="AS35" i="3479" s="1" a="1"/>
  <c r="AS35" i="3479" s="1"/>
  <c r="AQ35" i="3479" a="1"/>
  <c r="AQ35" i="3479" s="1"/>
  <c r="BE22" i="3479"/>
  <c r="AR65" i="3479" a="1"/>
  <c r="AR65" i="3479" s="1"/>
  <c r="AS65" i="3479" s="1" a="1"/>
  <c r="AS65" i="3479" s="1"/>
  <c r="AQ65" i="3479" a="1"/>
  <c r="AQ65" i="3479" s="1"/>
  <c r="M60" i="3560" a="1"/>
  <c r="M60" i="3560" s="1"/>
  <c r="M77" i="3560" a="1"/>
  <c r="M77" i="3560" s="1"/>
  <c r="H77" i="3560" a="1"/>
  <c r="H77" i="3560" s="1"/>
  <c r="M81" i="3560" a="1"/>
  <c r="M81" i="3560" s="1"/>
  <c r="AA32" i="3479"/>
  <c r="AA42" i="3479"/>
  <c r="BT49" i="3479"/>
  <c r="G77" i="3560" a="1"/>
  <c r="G77" i="3560" s="1"/>
  <c r="DM68" i="3479"/>
  <c r="DM67" i="3479"/>
  <c r="DM59" i="3479"/>
  <c r="DM70" i="3479"/>
  <c r="DM53" i="3479"/>
  <c r="DM63" i="3479"/>
  <c r="DM49" i="3479"/>
  <c r="DM65" i="3479"/>
  <c r="DM48" i="3479"/>
  <c r="DM64" i="3479"/>
  <c r="DM60" i="3479"/>
  <c r="DM43" i="3479"/>
  <c r="DM69" i="3479"/>
  <c r="DM51" i="3479"/>
  <c r="DM40" i="3479"/>
  <c r="DM61" i="3479"/>
  <c r="DM66" i="3479"/>
  <c r="DM58" i="3479"/>
  <c r="DM41" i="3479"/>
  <c r="DM45" i="3479"/>
  <c r="DM30" i="3479"/>
  <c r="DM37" i="3479"/>
  <c r="DM56" i="3479"/>
  <c r="DM55" i="3479"/>
  <c r="DM50" i="3479"/>
  <c r="DM46" i="3479"/>
  <c r="DM35" i="3479"/>
  <c r="DM62" i="3479"/>
  <c r="DM32" i="3479"/>
  <c r="DM33" i="3479"/>
  <c r="DM57" i="3479"/>
  <c r="DM47" i="3479"/>
  <c r="DM42" i="3479"/>
  <c r="DM39" i="3479"/>
  <c r="DM54" i="3479"/>
  <c r="DM44" i="3479"/>
  <c r="DM27" i="3479"/>
  <c r="DM23" i="3479"/>
  <c r="DM28" i="3479"/>
  <c r="DM52" i="3479"/>
  <c r="DM25" i="3479"/>
  <c r="DM71" i="3479"/>
  <c r="DM24" i="3479"/>
  <c r="DM34" i="3479"/>
  <c r="DM31" i="3479"/>
  <c r="DM22" i="3479"/>
  <c r="D71" i="3560"/>
  <c r="A71" i="3560"/>
  <c r="A84" i="3560"/>
  <c r="D84" i="3560"/>
  <c r="DM21" i="3479"/>
  <c r="DM29" i="3479"/>
  <c r="AP23" i="3479"/>
  <c r="AP41" i="3479"/>
  <c r="AP53" i="3479"/>
  <c r="AP39" i="3479"/>
  <c r="AP38" i="3479"/>
  <c r="CI23" i="3479"/>
  <c r="L44" i="3479"/>
  <c r="EQ71" i="3479"/>
  <c r="EQ68" i="3479"/>
  <c r="EQ65" i="3479"/>
  <c r="EQ64" i="3479"/>
  <c r="EQ59" i="3479"/>
  <c r="EQ49" i="3479"/>
  <c r="EQ60" i="3479"/>
  <c r="EQ46" i="3479"/>
  <c r="EQ47" i="3479"/>
  <c r="EQ58" i="3479"/>
  <c r="EQ54" i="3479"/>
  <c r="EQ70" i="3479"/>
  <c r="EQ67" i="3479"/>
  <c r="EQ69" i="3479"/>
  <c r="EQ50" i="3479"/>
  <c r="EQ66" i="3479"/>
  <c r="EQ55" i="3479"/>
  <c r="EQ56" i="3479"/>
  <c r="EQ57" i="3479"/>
  <c r="EQ61" i="3479"/>
  <c r="EQ63" i="3479"/>
  <c r="EQ62" i="3479"/>
  <c r="EQ33" i="3479"/>
  <c r="EQ48" i="3479"/>
  <c r="EQ40" i="3479"/>
  <c r="EQ41" i="3479"/>
  <c r="EQ38" i="3479"/>
  <c r="EQ39" i="3479"/>
  <c r="EQ31" i="3479"/>
  <c r="EQ27" i="3479"/>
  <c r="EQ23" i="3479"/>
  <c r="EQ51" i="3479"/>
  <c r="EQ43" i="3479"/>
  <c r="EQ42" i="3479"/>
  <c r="EQ32" i="3479"/>
  <c r="EQ36" i="3479"/>
  <c r="EQ26" i="3479"/>
  <c r="EQ22" i="3479"/>
  <c r="EQ30" i="3479"/>
  <c r="EQ34" i="3479"/>
  <c r="EQ44" i="3479"/>
  <c r="EQ45" i="3479"/>
  <c r="EQ28" i="3479"/>
  <c r="EQ25" i="3479"/>
  <c r="EQ52" i="3479"/>
  <c r="AP33" i="3479"/>
  <c r="BE63" i="3479"/>
  <c r="BE66" i="3479"/>
  <c r="BE69" i="3479"/>
  <c r="BE67" i="3479"/>
  <c r="BE71" i="3479"/>
  <c r="BE65" i="3479"/>
  <c r="BE59" i="3479"/>
  <c r="BE68" i="3479"/>
  <c r="BE70" i="3479"/>
  <c r="BE53" i="3479"/>
  <c r="BE54" i="3479"/>
  <c r="BE57" i="3479"/>
  <c r="BE55" i="3479"/>
  <c r="BE64" i="3479"/>
  <c r="BE46" i="3479"/>
  <c r="BE52" i="3479"/>
  <c r="BE49" i="3479"/>
  <c r="BE47" i="3479"/>
  <c r="BE48" i="3479"/>
  <c r="BE62" i="3479"/>
  <c r="BE56" i="3479"/>
  <c r="BE43" i="3479"/>
  <c r="BE34" i="3479"/>
  <c r="BE51" i="3479"/>
  <c r="BE61" i="3479"/>
  <c r="BE58" i="3479"/>
  <c r="BE42" i="3479"/>
  <c r="BE36" i="3479"/>
  <c r="BE60" i="3479"/>
  <c r="BE50" i="3479"/>
  <c r="BE44" i="3479"/>
  <c r="BE33" i="3479"/>
  <c r="BE28" i="3479"/>
  <c r="BE24" i="3479"/>
  <c r="BE40" i="3479"/>
  <c r="BE35" i="3479"/>
  <c r="BE29" i="3479"/>
  <c r="BE45" i="3479"/>
  <c r="BE27" i="3479"/>
  <c r="BE41" i="3479"/>
  <c r="BE39" i="3479"/>
  <c r="BE31" i="3479"/>
  <c r="BE37" i="3479"/>
  <c r="EQ21" i="3479"/>
  <c r="BE21" i="3479"/>
  <c r="BT25" i="3479"/>
  <c r="BT23" i="3479"/>
  <c r="AP48" i="3479"/>
  <c r="AP30" i="3479"/>
  <c r="BT51" i="3479"/>
  <c r="EQ53" i="3479"/>
  <c r="CI67" i="3479"/>
  <c r="CI62" i="3479"/>
  <c r="CI68" i="3479"/>
  <c r="CI61" i="3479"/>
  <c r="CI63" i="3479"/>
  <c r="CI53" i="3479"/>
  <c r="CI50" i="3479"/>
  <c r="CI59" i="3479"/>
  <c r="CI69" i="3479"/>
  <c r="CI51" i="3479"/>
  <c r="CI70" i="3479"/>
  <c r="CI56" i="3479"/>
  <c r="CI58" i="3479"/>
  <c r="CI64" i="3479"/>
  <c r="CI60" i="3479"/>
  <c r="CI57" i="3479"/>
  <c r="CI52" i="3479"/>
  <c r="CI37" i="3479"/>
  <c r="CI46" i="3479"/>
  <c r="CI39" i="3479"/>
  <c r="CI71" i="3479"/>
  <c r="CI47" i="3479"/>
  <c r="CI42" i="3479"/>
  <c r="CI28" i="3479"/>
  <c r="CI48" i="3479"/>
  <c r="CI30" i="3479"/>
  <c r="CI24" i="3479"/>
  <c r="CI65" i="3479"/>
  <c r="CI36" i="3479"/>
  <c r="CI43" i="3479"/>
  <c r="CI45" i="3479"/>
  <c r="CI44" i="3479"/>
  <c r="CI41" i="3479"/>
  <c r="CI40" i="3479"/>
  <c r="CI32" i="3479"/>
  <c r="CI26" i="3479"/>
  <c r="CI22" i="3479"/>
  <c r="CI66" i="3479"/>
  <c r="CI31" i="3479"/>
  <c r="CI54" i="3479"/>
  <c r="CI49" i="3479"/>
  <c r="CI34" i="3479"/>
  <c r="BT27" i="3479"/>
  <c r="BT67" i="3479"/>
  <c r="BT64" i="3479"/>
  <c r="BT70" i="3479"/>
  <c r="BT65" i="3479"/>
  <c r="BT60" i="3479"/>
  <c r="BT50" i="3479"/>
  <c r="BT58" i="3479"/>
  <c r="BT56" i="3479"/>
  <c r="BT53" i="3479"/>
  <c r="BT66" i="3479"/>
  <c r="BT68" i="3479"/>
  <c r="BT47" i="3479"/>
  <c r="BT71" i="3479"/>
  <c r="BT69" i="3479"/>
  <c r="BT61" i="3479"/>
  <c r="BT59" i="3479"/>
  <c r="BT40" i="3479"/>
  <c r="BT45" i="3479"/>
  <c r="BT44" i="3479"/>
  <c r="BT42" i="3479"/>
  <c r="BT39" i="3479"/>
  <c r="BT43" i="3479"/>
  <c r="BT34" i="3479"/>
  <c r="BT63" i="3479"/>
  <c r="BT54" i="3479"/>
  <c r="BT41" i="3479"/>
  <c r="BT38" i="3479"/>
  <c r="BT62" i="3479"/>
  <c r="BT55" i="3479"/>
  <c r="BT37" i="3479"/>
  <c r="BT30" i="3479"/>
  <c r="BT48" i="3479"/>
  <c r="BT28" i="3479"/>
  <c r="BT24" i="3479"/>
  <c r="BT52" i="3479"/>
  <c r="BT35" i="3479"/>
  <c r="BT57" i="3479"/>
  <c r="BT33" i="3479"/>
  <c r="CO40" i="3569"/>
  <c r="CN40" i="3569" a="1"/>
  <c r="CN40" i="3569" s="1"/>
  <c r="CP40" i="3569" s="1"/>
  <c r="CJ40" i="3569" a="1"/>
  <c r="CJ40" i="3569" s="1"/>
  <c r="EB52" i="3479"/>
  <c r="AP37" i="3479"/>
  <c r="EB41" i="3479"/>
  <c r="AP29" i="3479"/>
  <c r="AP32" i="3479"/>
  <c r="CO42" i="3569"/>
  <c r="CN42" i="3569" a="1"/>
  <c r="CN42" i="3569" s="1"/>
  <c r="CP42" i="3569" s="1"/>
  <c r="CJ42" i="3569" a="1"/>
  <c r="CJ42" i="3569" s="1"/>
  <c r="AP69" i="3479"/>
  <c r="AP60" i="3479"/>
  <c r="AP70" i="3479"/>
  <c r="AP50" i="3479"/>
  <c r="AP63" i="3479"/>
  <c r="AP59" i="3479"/>
  <c r="AP57" i="3479"/>
  <c r="AP47" i="3479"/>
  <c r="AP62" i="3479"/>
  <c r="AP71" i="3479"/>
  <c r="AP52" i="3479"/>
  <c r="AP68" i="3479"/>
  <c r="AP45" i="3479"/>
  <c r="AP51" i="3479"/>
  <c r="AP46" i="3479"/>
  <c r="AP49" i="3479"/>
  <c r="AP61" i="3479"/>
  <c r="AP58" i="3479"/>
  <c r="AP66" i="3479"/>
  <c r="AP64" i="3479"/>
  <c r="AP55" i="3479"/>
  <c r="AP34" i="3479"/>
  <c r="AP44" i="3479"/>
  <c r="AP67" i="3479"/>
  <c r="AP43" i="3479"/>
  <c r="AP28" i="3479"/>
  <c r="AP24" i="3479"/>
  <c r="AP56" i="3479"/>
  <c r="EB68" i="3479"/>
  <c r="EB70" i="3479"/>
  <c r="EB66" i="3479"/>
  <c r="EB64" i="3479"/>
  <c r="EB59" i="3479"/>
  <c r="EB71" i="3479"/>
  <c r="EB56" i="3479"/>
  <c r="EB46" i="3479"/>
  <c r="EB53" i="3479"/>
  <c r="EB67" i="3479"/>
  <c r="EB65" i="3479"/>
  <c r="EB61" i="3479"/>
  <c r="EB57" i="3479"/>
  <c r="EB49" i="3479"/>
  <c r="EB60" i="3479"/>
  <c r="EB50" i="3479"/>
  <c r="EB58" i="3479"/>
  <c r="EB47" i="3479"/>
  <c r="EB30" i="3479"/>
  <c r="EB39" i="3479"/>
  <c r="EB69" i="3479"/>
  <c r="EB44" i="3479"/>
  <c r="EB63" i="3479"/>
  <c r="EB26" i="3479"/>
  <c r="EB55" i="3479"/>
  <c r="EB34" i="3479"/>
  <c r="EB29" i="3479"/>
  <c r="EB48" i="3479"/>
  <c r="EB45" i="3479"/>
  <c r="EB24" i="3479"/>
  <c r="AP42" i="3479"/>
  <c r="AP54" i="3479"/>
  <c r="AP21" i="3479"/>
  <c r="EB21" i="3479"/>
  <c r="AP40" i="3479"/>
  <c r="EB62" i="3479"/>
  <c r="EB43" i="3479"/>
  <c r="AP25" i="3479"/>
  <c r="CN25" i="3569" a="1"/>
  <c r="CN25" i="3569" s="1"/>
  <c r="CP25" i="3569" s="1"/>
  <c r="CJ25" i="3569" a="1"/>
  <c r="CJ25" i="3569" s="1"/>
  <c r="CO25" i="3569"/>
  <c r="L70" i="3479"/>
  <c r="CN41" i="3569" a="1"/>
  <c r="CN41" i="3569" s="1"/>
  <c r="CP41" i="3569" s="1"/>
  <c r="CO41" i="3569"/>
  <c r="CJ41" i="3569" a="1"/>
  <c r="CJ41" i="3569" s="1"/>
  <c r="L27" i="3479"/>
  <c r="L59" i="3479"/>
  <c r="L32" i="3479"/>
  <c r="L69" i="3479"/>
  <c r="L66" i="3479"/>
  <c r="L60" i="3479"/>
  <c r="L71" i="3479"/>
  <c r="L65" i="3479"/>
  <c r="L62" i="3479"/>
  <c r="L54" i="3479"/>
  <c r="L67" i="3479"/>
  <c r="L64" i="3479"/>
  <c r="L68" i="3479"/>
  <c r="L61" i="3479"/>
  <c r="L48" i="3479"/>
  <c r="L47" i="3479"/>
  <c r="L55" i="3479"/>
  <c r="L50" i="3479"/>
  <c r="L56" i="3479"/>
  <c r="L52" i="3479"/>
  <c r="L57" i="3479"/>
  <c r="L41" i="3479"/>
  <c r="L58" i="3479"/>
  <c r="L49" i="3479"/>
  <c r="L45" i="3479"/>
  <c r="L63" i="3479"/>
  <c r="L53" i="3479"/>
  <c r="L31" i="3479"/>
  <c r="L38" i="3479"/>
  <c r="L35" i="3479"/>
  <c r="L29" i="3479"/>
  <c r="L39" i="3479"/>
  <c r="CO13" i="3569"/>
  <c r="CN13" i="3569" a="1"/>
  <c r="CN13" i="3569" s="1"/>
  <c r="L21" i="3479"/>
  <c r="CJ19" i="3569" a="1"/>
  <c r="CJ19" i="3569" s="1"/>
  <c r="CO19" i="3569"/>
  <c r="CJ38" i="3569" a="1"/>
  <c r="CJ38" i="3569" s="1"/>
  <c r="CO38" i="3569"/>
  <c r="CN38" i="3569" a="1"/>
  <c r="CN38" i="3569" s="1"/>
  <c r="CP38" i="3569" s="1"/>
  <c r="CO46" i="3569"/>
  <c r="CN46" i="3569" a="1"/>
  <c r="CN46" i="3569" s="1"/>
  <c r="CP46" i="3569" s="1"/>
  <c r="CJ46" i="3569" a="1"/>
  <c r="CJ46" i="3569" s="1"/>
  <c r="CO18" i="3569"/>
  <c r="CJ18" i="3569" a="1"/>
  <c r="CJ18" i="3569" s="1"/>
  <c r="CO32" i="3569"/>
  <c r="CN32" i="3569" a="1"/>
  <c r="CN32" i="3569" s="1"/>
  <c r="CP32" i="3569" s="1"/>
  <c r="CJ32" i="3569" a="1"/>
  <c r="CJ32" i="3569" s="1"/>
  <c r="CO49" i="3569"/>
  <c r="CN49" i="3569" a="1"/>
  <c r="CN49" i="3569" s="1"/>
  <c r="CP49" i="3569" s="1"/>
  <c r="CJ49" i="3569" a="1"/>
  <c r="CJ49" i="3569" s="1"/>
  <c r="CN18" i="3569" a="1"/>
  <c r="CN18" i="3569" s="1"/>
  <c r="CP18" i="3569" s="1"/>
  <c r="CO47" i="3569"/>
  <c r="CN47" i="3569" a="1"/>
  <c r="CN47" i="3569" s="1"/>
  <c r="CP47" i="3569" s="1"/>
  <c r="CO16" i="3569"/>
  <c r="CN16" i="3569" a="1"/>
  <c r="CN16" i="3569" s="1"/>
  <c r="CP16" i="3569" s="1"/>
  <c r="CJ16" i="3569" a="1"/>
  <c r="CJ16" i="3569" s="1"/>
  <c r="CO34" i="3569"/>
  <c r="CN34" i="3569" a="1"/>
  <c r="CN34" i="3569" s="1"/>
  <c r="CP34" i="3569" s="1"/>
  <c r="CJ34" i="3569" a="1"/>
  <c r="CJ34" i="3569" s="1"/>
  <c r="CO50" i="3569"/>
  <c r="CN50" i="3569" a="1"/>
  <c r="CN50" i="3569" s="1"/>
  <c r="CP50" i="3569" s="1"/>
  <c r="CN17" i="3569" a="1"/>
  <c r="CN17" i="3569" s="1"/>
  <c r="CP17" i="3569" s="1"/>
  <c r="CJ17" i="3569" a="1"/>
  <c r="CJ17" i="3569" s="1"/>
  <c r="CO20" i="3569"/>
  <c r="CO24" i="3569"/>
  <c r="CN24" i="3569" a="1"/>
  <c r="CN24" i="3569" s="1"/>
  <c r="CP24" i="3569" s="1"/>
  <c r="CO29" i="3569"/>
  <c r="CN29" i="3569" a="1"/>
  <c r="CN29" i="3569" s="1"/>
  <c r="CP29" i="3569" s="1"/>
  <c r="CJ29" i="3569" a="1"/>
  <c r="CJ29" i="3569" s="1"/>
  <c r="CJ15" i="3569" a="1"/>
  <c r="CJ15" i="3569" s="1"/>
  <c r="CN15" i="3569" a="1"/>
  <c r="CN15" i="3569" s="1"/>
  <c r="CP15" i="3569" s="1"/>
  <c r="CJ35" i="3569" a="1"/>
  <c r="CJ35" i="3569" s="1"/>
  <c r="CO35" i="3569"/>
  <c r="CO37" i="3569"/>
  <c r="CO15" i="3569"/>
  <c r="CN26" i="3569" a="1"/>
  <c r="CN26" i="3569" s="1"/>
  <c r="CP26" i="3569" s="1"/>
  <c r="CJ26" i="3569" a="1"/>
  <c r="CJ26" i="3569" s="1"/>
  <c r="CO21" i="3569"/>
  <c r="CO26" i="3569"/>
  <c r="CN35" i="3569" a="1"/>
  <c r="CN35" i="3569" s="1"/>
  <c r="CP35" i="3569" s="1"/>
  <c r="CN37" i="3569" a="1"/>
  <c r="CN37" i="3569" s="1"/>
  <c r="CP37" i="3569" s="1"/>
  <c r="I65" i="3445" l="1" a="1"/>
  <c r="I65" i="3445" s="1"/>
  <c r="M95" i="3489" a="1"/>
  <c r="M95" i="3489" s="1"/>
  <c r="AS95" i="3489" a="1"/>
  <c r="AS95" i="3489" s="1"/>
  <c r="AT77" i="3489" a="1"/>
  <c r="AT77" i="3489" s="1"/>
  <c r="S65" i="3489" a="1"/>
  <c r="S65" i="3489" s="1"/>
  <c r="AQ28" i="3444" a="1"/>
  <c r="AQ28" i="3444" s="1"/>
  <c r="AT31" i="3489" a="1"/>
  <c r="AT31" i="3489" s="1"/>
  <c r="W29" i="3489" a="1"/>
  <c r="W29" i="3489" s="1"/>
  <c r="B49" i="3489"/>
  <c r="AV27" i="3489" a="1"/>
  <c r="AV27" i="3489" s="1"/>
  <c r="P89" i="3489" a="1"/>
  <c r="P89" i="3489" s="1"/>
  <c r="AY65" i="3489" a="1"/>
  <c r="AY65" i="3489" s="1"/>
  <c r="AF28" i="3444" a="1"/>
  <c r="AF28" i="3444" s="1"/>
  <c r="O31" i="3489" a="1"/>
  <c r="O31" i="3489" s="1"/>
  <c r="X77" i="3489" a="1"/>
  <c r="X77" i="3489" s="1"/>
  <c r="BF69" i="3489" a="1"/>
  <c r="BF69" i="3489" s="1"/>
  <c r="AF34" i="3489" a="1"/>
  <c r="AF34" i="3489" s="1"/>
  <c r="AE65" i="3489" a="1"/>
  <c r="AE65" i="3489" s="1"/>
  <c r="AC65" i="3489" a="1"/>
  <c r="AC65" i="3489" s="1"/>
  <c r="AB49" i="3489" a="1"/>
  <c r="AB49" i="3489" s="1"/>
  <c r="AD95" i="3489" a="1"/>
  <c r="AD95" i="3489" s="1"/>
  <c r="AT65" i="3489" a="1"/>
  <c r="AT65" i="3489" s="1"/>
  <c r="AB28" i="3444" a="1"/>
  <c r="AB28" i="3444" s="1"/>
  <c r="AA28" i="3444" a="1"/>
  <c r="AA28" i="3444" s="1"/>
  <c r="AF65" i="3489" a="1"/>
  <c r="AF65" i="3489" s="1"/>
  <c r="BG31" i="3489" a="1"/>
  <c r="BG31" i="3489" s="1"/>
  <c r="AC49" i="3489" a="1"/>
  <c r="AC49" i="3489" s="1"/>
  <c r="V63" i="3444" a="1"/>
  <c r="V63" i="3444" s="1"/>
  <c r="AB63" i="3444" a="1"/>
  <c r="AB63" i="3444" s="1"/>
  <c r="AI25" i="3444" a="1"/>
  <c r="AI25" i="3444" s="1"/>
  <c r="AL77" i="3489" a="1"/>
  <c r="AL77" i="3489" s="1"/>
  <c r="O34" i="3560" a="1"/>
  <c r="O34" i="3560" s="1"/>
  <c r="N38" i="3445" a="1"/>
  <c r="N38" i="3445" s="1"/>
  <c r="I54" i="3445" a="1"/>
  <c r="I54" i="3445" s="1"/>
  <c r="I40" i="3445" a="1"/>
  <c r="I40" i="3445" s="1"/>
  <c r="BF77" i="3489" a="1"/>
  <c r="BF77" i="3489" s="1"/>
  <c r="T63" i="3444" a="1"/>
  <c r="T63" i="3444" s="1"/>
  <c r="AR25" i="3444" a="1"/>
  <c r="AR25" i="3444" s="1"/>
  <c r="AW55" i="3489" a="1"/>
  <c r="AW55" i="3489" s="1"/>
  <c r="AE67" i="3444" a="1"/>
  <c r="AE67" i="3444" s="1"/>
  <c r="I41" i="3560"/>
  <c r="AJ63" i="3444" a="1"/>
  <c r="AJ63" i="3444" s="1"/>
  <c r="P25" i="3444" a="1"/>
  <c r="P25" i="3444" s="1"/>
  <c r="BD77" i="3489" a="1"/>
  <c r="BD77" i="3489" s="1"/>
  <c r="BH65" i="3489" a="1"/>
  <c r="BH65" i="3489" s="1"/>
  <c r="AP28" i="3444" a="1"/>
  <c r="AP28" i="3444" s="1"/>
  <c r="AJ28" i="3444" a="1"/>
  <c r="AJ28" i="3444" s="1"/>
  <c r="AU65" i="3489" a="1"/>
  <c r="AU65" i="3489" s="1"/>
  <c r="AK34" i="3489" a="1"/>
  <c r="AK34" i="3489" s="1"/>
  <c r="U63" i="3444" a="1"/>
  <c r="U63" i="3444" s="1"/>
  <c r="BE63" i="3444" a="1"/>
  <c r="BE63" i="3444" s="1"/>
  <c r="U25" i="3444" a="1"/>
  <c r="U25" i="3444" s="1"/>
  <c r="BH63" i="3444" a="1"/>
  <c r="BH63" i="3444" s="1"/>
  <c r="P63" i="3444" a="1"/>
  <c r="P63" i="3444" s="1"/>
  <c r="BA25" i="3444" a="1"/>
  <c r="BA25" i="3444" s="1"/>
  <c r="AU44" i="3489" a="1"/>
  <c r="AU44" i="3489" s="1"/>
  <c r="AE49" i="3489" a="1"/>
  <c r="AE49" i="3489" s="1"/>
  <c r="K108" i="3528" a="1"/>
  <c r="K108" i="3528" s="1"/>
  <c r="AI91" i="3489" a="1"/>
  <c r="AI91" i="3489" s="1"/>
  <c r="T77" i="3489" a="1"/>
  <c r="T77" i="3489" s="1"/>
  <c r="BH69" i="3489" a="1"/>
  <c r="BH69" i="3489" s="1"/>
  <c r="AL49" i="3489" a="1"/>
  <c r="AL49" i="3489" s="1"/>
  <c r="AJ45" i="3489" a="1"/>
  <c r="AJ45" i="3489" s="1"/>
  <c r="AN49" i="3489" a="1"/>
  <c r="AN49" i="3489" s="1"/>
  <c r="AP91" i="3489" a="1"/>
  <c r="AP91" i="3489" s="1"/>
  <c r="BA45" i="3489" a="1"/>
  <c r="BA45" i="3489" s="1"/>
  <c r="AF27" i="3489" a="1"/>
  <c r="AF27" i="3489" s="1"/>
  <c r="BG45" i="3489" a="1"/>
  <c r="BG45" i="3489" s="1"/>
  <c r="AX75" i="3444" a="1"/>
  <c r="AX75" i="3444" s="1"/>
  <c r="Z63" i="3444" a="1"/>
  <c r="Z63" i="3444" s="1"/>
  <c r="AN63" i="3444" a="1"/>
  <c r="AN63" i="3444" s="1"/>
  <c r="AS25" i="3444" a="1"/>
  <c r="AS25" i="3444" s="1"/>
  <c r="AZ77" i="3489" a="1"/>
  <c r="AZ77" i="3489" s="1"/>
  <c r="V77" i="3489" a="1"/>
  <c r="V77" i="3489" s="1"/>
  <c r="AD49" i="3489" a="1"/>
  <c r="AD49" i="3489" s="1"/>
  <c r="U45" i="3489" a="1"/>
  <c r="U45" i="3489" s="1"/>
  <c r="AR63" i="3444" a="1"/>
  <c r="AR63" i="3444" s="1"/>
  <c r="BA63" i="3444" a="1"/>
  <c r="BA63" i="3444" s="1"/>
  <c r="AF25" i="3444" a="1"/>
  <c r="AF25" i="3444" s="1"/>
  <c r="L77" i="3489" a="1"/>
  <c r="L77" i="3489" s="1"/>
  <c r="BG77" i="3489" a="1"/>
  <c r="BG77" i="3489" s="1"/>
  <c r="S49" i="3489" a="1"/>
  <c r="S49" i="3489" s="1"/>
  <c r="V45" i="3489" a="1"/>
  <c r="V45" i="3489" s="1"/>
  <c r="AJ75" i="3444" a="1"/>
  <c r="AJ75" i="3444" s="1"/>
  <c r="K63" i="3444" a="1"/>
  <c r="K63" i="3444" s="1"/>
  <c r="BB63" i="3444" a="1"/>
  <c r="BB63" i="3444" s="1"/>
  <c r="Q25" i="3444" a="1"/>
  <c r="Q25" i="3444" s="1"/>
  <c r="R25" i="3444" a="1"/>
  <c r="R25" i="3444" s="1"/>
  <c r="AM77" i="3489" a="1"/>
  <c r="AM77" i="3489" s="1"/>
  <c r="AQ77" i="3489" a="1"/>
  <c r="AQ77" i="3489" s="1"/>
  <c r="AY49" i="3489" a="1"/>
  <c r="AY49" i="3489" s="1"/>
  <c r="H108" i="3528" a="1"/>
  <c r="H108" i="3528" s="1"/>
  <c r="AE45" i="3489" a="1"/>
  <c r="AE45" i="3489" s="1"/>
  <c r="AV25" i="3444" a="1"/>
  <c r="AV25" i="3444" s="1"/>
  <c r="N91" i="3489" a="1"/>
  <c r="N91" i="3489" s="1"/>
  <c r="Z77" i="3489" a="1"/>
  <c r="Z77" i="3489" s="1"/>
  <c r="BH77" i="3489" a="1"/>
  <c r="BH77" i="3489" s="1"/>
  <c r="AI49" i="3489" a="1"/>
  <c r="AI49" i="3489" s="1"/>
  <c r="AH45" i="3489" a="1"/>
  <c r="AH45" i="3489" s="1"/>
  <c r="I66" i="3445" a="1"/>
  <c r="I66" i="3445" s="1"/>
  <c r="O66" i="3445" s="1"/>
  <c r="L75" i="3444" a="1"/>
  <c r="L75" i="3444" s="1"/>
  <c r="V75" i="3444" a="1"/>
  <c r="V75" i="3444" s="1"/>
  <c r="L63" i="3444" a="1"/>
  <c r="L63" i="3444" s="1"/>
  <c r="AO63" i="3444" a="1"/>
  <c r="AO63" i="3444" s="1"/>
  <c r="T25" i="3444" a="1"/>
  <c r="T25" i="3444" s="1"/>
  <c r="AQ91" i="3489" a="1"/>
  <c r="AQ91" i="3489" s="1"/>
  <c r="AC77" i="3489" a="1"/>
  <c r="AC77" i="3489" s="1"/>
  <c r="AR77" i="3489" a="1"/>
  <c r="AR77" i="3489" s="1"/>
  <c r="AK49" i="3489" a="1"/>
  <c r="AK49" i="3489" s="1"/>
  <c r="BR13" i="3448" a="1"/>
  <c r="BR13" i="3448" s="1"/>
  <c r="BV13" i="3448" s="1" a="1"/>
  <c r="BV13" i="3448" s="1"/>
  <c r="L79" i="3523"/>
  <c r="AS45" i="3489" a="1"/>
  <c r="AS45" i="3489" s="1"/>
  <c r="AD28" i="3576" a="1"/>
  <c r="AD28" i="3576" s="1"/>
  <c r="CM33" i="3479" a="1"/>
  <c r="CM33" i="3479" s="1"/>
  <c r="CN33" i="3479" s="1" a="1"/>
  <c r="CN33" i="3479" s="1"/>
  <c r="BA91" i="3489" a="1"/>
  <c r="BA91" i="3489" s="1"/>
  <c r="V49" i="3489" a="1"/>
  <c r="V49" i="3489" s="1"/>
  <c r="M45" i="3489" a="1"/>
  <c r="M45" i="3489" s="1"/>
  <c r="L91" i="3489" a="1"/>
  <c r="L91" i="3489" s="1"/>
  <c r="P49" i="3489" a="1"/>
  <c r="P49" i="3489" s="1"/>
  <c r="AH49" i="3489" a="1"/>
  <c r="AH49" i="3489" s="1"/>
  <c r="AV63" i="3444" a="1"/>
  <c r="AV63" i="3444" s="1"/>
  <c r="K25" i="3444" a="1"/>
  <c r="K25" i="3444" s="1"/>
  <c r="BD91" i="3489" a="1"/>
  <c r="BD91" i="3489" s="1"/>
  <c r="BC89" i="3489" a="1"/>
  <c r="BC89" i="3489" s="1"/>
  <c r="R49" i="3489" a="1"/>
  <c r="R49" i="3489" s="1"/>
  <c r="AT49" i="3489" a="1"/>
  <c r="AT49" i="3489" s="1"/>
  <c r="N75" i="3444" a="1"/>
  <c r="N75" i="3444" s="1"/>
  <c r="P75" i="3444" a="1"/>
  <c r="P75" i="3444" s="1"/>
  <c r="AT63" i="3444" a="1"/>
  <c r="AT63" i="3444" s="1"/>
  <c r="N63" i="3444" a="1"/>
  <c r="N63" i="3444" s="1"/>
  <c r="W25" i="3444" a="1"/>
  <c r="W25" i="3444" s="1"/>
  <c r="AY91" i="3489" a="1"/>
  <c r="AY91" i="3489" s="1"/>
  <c r="U49" i="3489" a="1"/>
  <c r="U49" i="3489" s="1"/>
  <c r="L49" i="3489" a="1"/>
  <c r="L49" i="3489" s="1"/>
  <c r="AL118" i="3577" a="1"/>
  <c r="AL118" i="3577" s="1"/>
  <c r="BH75" i="3444" a="1"/>
  <c r="BH75" i="3444" s="1"/>
  <c r="BF63" i="3444" a="1"/>
  <c r="BF63" i="3444" s="1"/>
  <c r="AW63" i="3444" a="1"/>
  <c r="AW63" i="3444" s="1"/>
  <c r="AU25" i="3444" a="1"/>
  <c r="AU25" i="3444" s="1"/>
  <c r="AW49" i="3489" a="1"/>
  <c r="AW49" i="3489" s="1"/>
  <c r="AJ49" i="3489" a="1"/>
  <c r="AJ49" i="3489" s="1"/>
  <c r="AM118" i="3577" a="1"/>
  <c r="AM118" i="3577" s="1"/>
  <c r="P65" i="3560" a="1"/>
  <c r="P65" i="3560" s="1"/>
  <c r="I64" i="3445" a="1"/>
  <c r="I64" i="3445" s="1"/>
  <c r="O64" i="3445" s="1"/>
  <c r="U24" i="3576" a="1"/>
  <c r="U24" i="3576" s="1"/>
  <c r="AD24" i="3576" s="1"/>
  <c r="AD25" i="3576" a="1"/>
  <c r="AD25" i="3576" s="1"/>
  <c r="M77" i="3489" a="1"/>
  <c r="M77" i="3489" s="1"/>
  <c r="AD77" i="3489" a="1"/>
  <c r="AD77" i="3489" s="1"/>
  <c r="BB49" i="3489" a="1"/>
  <c r="BB49" i="3489" s="1"/>
  <c r="K143" i="3528" a="1"/>
  <c r="K143" i="3528" s="1"/>
  <c r="AD22" i="3576" a="1"/>
  <c r="AD22" i="3576" s="1"/>
  <c r="BH90" i="3489" a="1"/>
  <c r="BH90" i="3489" s="1"/>
  <c r="E38" i="3518" a="1"/>
  <c r="E38" i="3518" s="1"/>
  <c r="E35" i="3518" a="1"/>
  <c r="E35" i="3518" s="1"/>
  <c r="E54" i="3518" a="1"/>
  <c r="E54" i="3518" s="1"/>
  <c r="U55" i="3489" a="1"/>
  <c r="U55" i="3489" s="1"/>
  <c r="E24" i="3518" a="1"/>
  <c r="E24" i="3518" s="1"/>
  <c r="E62" i="3518" a="1"/>
  <c r="E62" i="3518" s="1"/>
  <c r="E33" i="3518" a="1"/>
  <c r="E33" i="3518" s="1"/>
  <c r="E50" i="3518" a="1"/>
  <c r="E50" i="3518" s="1"/>
  <c r="E20" i="3518" a="1"/>
  <c r="E20" i="3518" s="1"/>
  <c r="E47" i="3518" a="1"/>
  <c r="E47" i="3518" s="1"/>
  <c r="AO55" i="3489" a="1"/>
  <c r="AO55" i="3489" s="1"/>
  <c r="E60" i="3518" a="1"/>
  <c r="E60" i="3518" s="1"/>
  <c r="F60" i="3518" s="1" a="1"/>
  <c r="F60" i="3518" s="1"/>
  <c r="E44" i="3518" a="1"/>
  <c r="E44" i="3518" s="1"/>
  <c r="BD34" i="3489" a="1"/>
  <c r="BD34" i="3489" s="1"/>
  <c r="E18" i="3518" a="1"/>
  <c r="E18" i="3518" s="1"/>
  <c r="Q126" i="3528" a="1"/>
  <c r="Q126" i="3528" s="1"/>
  <c r="E56" i="3518" a="1"/>
  <c r="E56" i="3518" s="1"/>
  <c r="V55" i="3489" a="1"/>
  <c r="V55" i="3489" s="1"/>
  <c r="E52" i="3518" a="1"/>
  <c r="E52" i="3518" s="1"/>
  <c r="AT55" i="3489" a="1"/>
  <c r="AT55" i="3489" s="1"/>
  <c r="AQ27" i="3489" a="1"/>
  <c r="AQ27" i="3489" s="1"/>
  <c r="Y98" i="3448"/>
  <c r="E25" i="3518" a="1"/>
  <c r="E25" i="3518" s="1"/>
  <c r="Y27" i="3489" a="1"/>
  <c r="Y27" i="3489" s="1"/>
  <c r="E36" i="3518" a="1"/>
  <c r="E36" i="3518" s="1"/>
  <c r="E34" i="3518" a="1"/>
  <c r="E34" i="3518" s="1"/>
  <c r="E59" i="3518" a="1"/>
  <c r="E59" i="3518" s="1"/>
  <c r="E48" i="3518" a="1"/>
  <c r="E48" i="3518" s="1"/>
  <c r="AF55" i="3489" a="1"/>
  <c r="AF55" i="3489" s="1"/>
  <c r="AJ55" i="3489" a="1"/>
  <c r="AJ55" i="3489" s="1"/>
  <c r="E45" i="3518" a="1"/>
  <c r="E45" i="3518" s="1"/>
  <c r="E32" i="3518" a="1"/>
  <c r="E32" i="3518" s="1"/>
  <c r="N70" i="3445" a="1"/>
  <c r="N70" i="3445" s="1"/>
  <c r="I26" i="3445" a="1"/>
  <c r="I26" i="3445" s="1"/>
  <c r="O26" i="3445" s="1"/>
  <c r="Y91" i="3489" a="1"/>
  <c r="Y91" i="3489" s="1"/>
  <c r="P55" i="3489" a="1"/>
  <c r="P55" i="3489" s="1"/>
  <c r="BH55" i="3489" a="1"/>
  <c r="BH55" i="3489" s="1"/>
  <c r="AT27" i="3489" a="1"/>
  <c r="AT27" i="3489" s="1"/>
  <c r="AU27" i="3489" a="1"/>
  <c r="AU27" i="3489" s="1"/>
  <c r="E14" i="3518" a="1"/>
  <c r="E14" i="3518" s="1"/>
  <c r="E55" i="3518" a="1"/>
  <c r="E55" i="3518" s="1"/>
  <c r="AG55" i="3489" a="1"/>
  <c r="AG55" i="3489" s="1"/>
  <c r="AB91" i="3489" a="1"/>
  <c r="AB91" i="3489" s="1"/>
  <c r="U47" i="3444" a="1"/>
  <c r="U47" i="3444" s="1"/>
  <c r="AY55" i="3489" a="1"/>
  <c r="AY55" i="3489" s="1"/>
  <c r="R27" i="3489" a="1"/>
  <c r="R27" i="3489" s="1"/>
  <c r="B41" i="3434"/>
  <c r="E28" i="3518" a="1"/>
  <c r="E28" i="3518" s="1"/>
  <c r="AR69" i="3489" a="1"/>
  <c r="AR69" i="3489" s="1"/>
  <c r="AL91" i="3489" a="1"/>
  <c r="AL91" i="3489" s="1"/>
  <c r="S55" i="3489" a="1"/>
  <c r="S55" i="3489" s="1"/>
  <c r="E61" i="3518" a="1"/>
  <c r="E61" i="3518" s="1"/>
  <c r="A34" i="3560"/>
  <c r="C33" i="3576"/>
  <c r="C31" i="3576"/>
  <c r="D30" i="3576" a="1"/>
  <c r="D30" i="3576" s="1"/>
  <c r="AG69" i="3489" a="1"/>
  <c r="AG69" i="3489" s="1"/>
  <c r="AN69" i="3489" a="1"/>
  <c r="AN69" i="3489" s="1"/>
  <c r="BE69" i="3489" a="1"/>
  <c r="BE69" i="3489" s="1"/>
  <c r="Y69" i="3489" a="1"/>
  <c r="Y69" i="3489" s="1"/>
  <c r="I76" i="3445" a="1"/>
  <c r="I76" i="3445" s="1"/>
  <c r="O76" i="3445" s="1"/>
  <c r="V69" i="3489" a="1"/>
  <c r="V69" i="3489" s="1"/>
  <c r="AO69" i="3489" a="1"/>
  <c r="AO69" i="3489" s="1"/>
  <c r="AS49" i="3489" a="1"/>
  <c r="AS49" i="3489" s="1"/>
  <c r="P63" i="3560" a="1"/>
  <c r="P63" i="3560" s="1"/>
  <c r="Y31" i="3489" a="1"/>
  <c r="Y31" i="3489" s="1"/>
  <c r="Y64" i="3436"/>
  <c r="AP69" i="3489" a="1"/>
  <c r="AP69" i="3489" s="1"/>
  <c r="M69" i="3489" a="1"/>
  <c r="M69" i="3489" s="1"/>
  <c r="BG69" i="3489" a="1"/>
  <c r="BG69" i="3489" s="1"/>
  <c r="AF69" i="3489" a="1"/>
  <c r="AF69" i="3489" s="1"/>
  <c r="BD69" i="3489" a="1"/>
  <c r="BD69" i="3489" s="1"/>
  <c r="AQ69" i="3489" a="1"/>
  <c r="AQ69" i="3489" s="1"/>
  <c r="BB77" i="3489" a="1"/>
  <c r="BB77" i="3489" s="1"/>
  <c r="AW77" i="3489" a="1"/>
  <c r="AW77" i="3489" s="1"/>
  <c r="BC69" i="3489" a="1"/>
  <c r="BC69" i="3489" s="1"/>
  <c r="AW69" i="3489" a="1"/>
  <c r="AW69" i="3489" s="1"/>
  <c r="AA69" i="3489" a="1"/>
  <c r="AA69" i="3489" s="1"/>
  <c r="Z44" i="3489" a="1"/>
  <c r="Z44" i="3489" s="1"/>
  <c r="AA29" i="3489" a="1"/>
  <c r="AA29" i="3489" s="1"/>
  <c r="BD49" i="3489" a="1"/>
  <c r="BD49" i="3489" s="1"/>
  <c r="AQ49" i="3489" a="1"/>
  <c r="AQ49" i="3489" s="1"/>
  <c r="T49" i="3489" a="1"/>
  <c r="T49" i="3489" s="1"/>
  <c r="E21" i="3518" a="1"/>
  <c r="E21" i="3518" s="1"/>
  <c r="Q91" i="3528" a="1"/>
  <c r="Q91" i="3528" s="1"/>
  <c r="K69" i="3489" a="1"/>
  <c r="K69" i="3489" s="1"/>
  <c r="BB69" i="3489" a="1"/>
  <c r="BB69" i="3489" s="1"/>
  <c r="AS69" i="3489" a="1"/>
  <c r="AS69" i="3489" s="1"/>
  <c r="AH69" i="3489" a="1"/>
  <c r="AH69" i="3489" s="1"/>
  <c r="AZ69" i="3489" a="1"/>
  <c r="AZ69" i="3489" s="1"/>
  <c r="AM69" i="3489" a="1"/>
  <c r="AM69" i="3489" s="1"/>
  <c r="AB69" i="3489" a="1"/>
  <c r="AB69" i="3489" s="1"/>
  <c r="O69" i="3489" a="1"/>
  <c r="O69" i="3489" s="1"/>
  <c r="N69" i="3489" a="1"/>
  <c r="N69" i="3489" s="1"/>
  <c r="L69" i="3489" a="1"/>
  <c r="L69" i="3489" s="1"/>
  <c r="AF49" i="3489" a="1"/>
  <c r="AF49" i="3489" s="1"/>
  <c r="BF49" i="3489" a="1"/>
  <c r="BF49" i="3489" s="1"/>
  <c r="E22" i="3518" a="1"/>
  <c r="E22" i="3518" s="1"/>
  <c r="E19" i="3518" a="1"/>
  <c r="E19" i="3518" s="1"/>
  <c r="Z90" i="3489" a="1"/>
  <c r="Z90" i="3489" s="1"/>
  <c r="AU69" i="3489" a="1"/>
  <c r="AU69" i="3489" s="1"/>
  <c r="AC69" i="3489" a="1"/>
  <c r="AC69" i="3489" s="1"/>
  <c r="I44" i="3445" a="1"/>
  <c r="I44" i="3445" s="1"/>
  <c r="E37" i="3518" a="1"/>
  <c r="E37" i="3518" s="1"/>
  <c r="E57" i="3518" a="1"/>
  <c r="E57" i="3518" s="1"/>
  <c r="E31" i="3518" a="1"/>
  <c r="E31" i="3518" s="1"/>
  <c r="B69" i="3489"/>
  <c r="AT69" i="3489" a="1"/>
  <c r="AT69" i="3489" s="1"/>
  <c r="E17" i="3518" a="1"/>
  <c r="E17" i="3518" s="1"/>
  <c r="E15" i="3518" a="1"/>
  <c r="E15" i="3518" s="1"/>
  <c r="E43" i="3518" a="1"/>
  <c r="E43" i="3518" s="1"/>
  <c r="AP89" i="3489" a="1"/>
  <c r="AP89" i="3489" s="1"/>
  <c r="BI77" i="3489" a="1"/>
  <c r="BI77" i="3489" s="1"/>
  <c r="T69" i="3489" a="1"/>
  <c r="T69" i="3489" s="1"/>
  <c r="AJ69" i="3489" a="1"/>
  <c r="AJ69" i="3489" s="1"/>
  <c r="AP49" i="3489" a="1"/>
  <c r="AP49" i="3489" s="1"/>
  <c r="AV49" i="3489" a="1"/>
  <c r="AV49" i="3489" s="1"/>
  <c r="E46" i="3518" a="1"/>
  <c r="E46" i="3518" s="1"/>
  <c r="E27" i="3518" a="1"/>
  <c r="E27" i="3518" s="1"/>
  <c r="AM91" i="3489" a="1"/>
  <c r="AM91" i="3489" s="1"/>
  <c r="AV95" i="3489" a="1"/>
  <c r="AV95" i="3489" s="1"/>
  <c r="AK69" i="3489" a="1"/>
  <c r="AK69" i="3489" s="1"/>
  <c r="AX69" i="3489" a="1"/>
  <c r="AX69" i="3489" s="1"/>
  <c r="AR52" i="3489" a="1"/>
  <c r="AR52" i="3489" s="1"/>
  <c r="BE49" i="3489" a="1"/>
  <c r="BE49" i="3489" s="1"/>
  <c r="BH49" i="3489" a="1"/>
  <c r="BH49" i="3489" s="1"/>
  <c r="E41" i="3518" a="1"/>
  <c r="E41" i="3518" s="1"/>
  <c r="E39" i="3518" a="1"/>
  <c r="E39" i="3518" s="1"/>
  <c r="S69" i="3489" a="1"/>
  <c r="S69" i="3489" s="1"/>
  <c r="W69" i="3489" a="1"/>
  <c r="W69" i="3489" s="1"/>
  <c r="AI89" i="3489" a="1"/>
  <c r="AI89" i="3489" s="1"/>
  <c r="BA69" i="3489" a="1"/>
  <c r="BA69" i="3489" s="1"/>
  <c r="R69" i="3489" a="1"/>
  <c r="R69" i="3489" s="1"/>
  <c r="BH52" i="3489" a="1"/>
  <c r="BH52" i="3489" s="1"/>
  <c r="K49" i="3489" a="1"/>
  <c r="K49" i="3489" s="1"/>
  <c r="U69" i="3489" a="1"/>
  <c r="U69" i="3489" s="1"/>
  <c r="AE69" i="3489" a="1"/>
  <c r="AE69" i="3489" s="1"/>
  <c r="E49" i="3518" a="1"/>
  <c r="E49" i="3518" s="1"/>
  <c r="E40" i="3518" a="1"/>
  <c r="E40" i="3518" s="1"/>
  <c r="O90" i="3445"/>
  <c r="AY69" i="3489" a="1"/>
  <c r="AY69" i="3489" s="1"/>
  <c r="AL69" i="3489" a="1"/>
  <c r="AL69" i="3489" s="1"/>
  <c r="O29" i="3489" a="1"/>
  <c r="O29" i="3489" s="1"/>
  <c r="M49" i="3489" a="1"/>
  <c r="M49" i="3489" s="1"/>
  <c r="N24" i="3576" a="1"/>
  <c r="N24" i="3576" s="1"/>
  <c r="E13" i="3518" a="1"/>
  <c r="E13" i="3518" s="1"/>
  <c r="O92" i="3445"/>
  <c r="BF96" i="3489" a="1"/>
  <c r="BF96" i="3489" s="1"/>
  <c r="AM96" i="3489" a="1"/>
  <c r="AM96" i="3489" s="1"/>
  <c r="AB96" i="3489" a="1"/>
  <c r="AB96" i="3489" s="1"/>
  <c r="AH89" i="3489" a="1"/>
  <c r="AH89" i="3489" s="1"/>
  <c r="N126" i="3528" a="1"/>
  <c r="N126" i="3528" s="1"/>
  <c r="AR55" i="3489" a="1"/>
  <c r="AR55" i="3489" s="1"/>
  <c r="S24" i="3576" a="1"/>
  <c r="S24" i="3576" s="1"/>
  <c r="N66" i="3445" a="1"/>
  <c r="N66" i="3445" s="1"/>
  <c r="BI95" i="3489" a="1"/>
  <c r="BI95" i="3489" s="1"/>
  <c r="AN95" i="3489" a="1"/>
  <c r="AN95" i="3489" s="1"/>
  <c r="BI96" i="3489" a="1"/>
  <c r="BI96" i="3489" s="1"/>
  <c r="M47" i="3444" a="1"/>
  <c r="M47" i="3444" s="1"/>
  <c r="AC47" i="3444" a="1"/>
  <c r="AC47" i="3444" s="1"/>
  <c r="AD65" i="3489" a="1"/>
  <c r="AD65" i="3489" s="1"/>
  <c r="BD65" i="3489" a="1"/>
  <c r="BD65" i="3489" s="1"/>
  <c r="M89" i="3489" a="1"/>
  <c r="M89" i="3489" s="1"/>
  <c r="X28" i="3444" a="1"/>
  <c r="X28" i="3444" s="1"/>
  <c r="AG28" i="3444" a="1"/>
  <c r="AG28" i="3444" s="1"/>
  <c r="AJ44" i="3489" a="1"/>
  <c r="AJ44" i="3489" s="1"/>
  <c r="AB24" i="3576" a="1"/>
  <c r="AB24" i="3576" s="1"/>
  <c r="AE25" i="3576" s="1"/>
  <c r="A43" i="3445"/>
  <c r="W96" i="3489" a="1"/>
  <c r="W96" i="3489" s="1"/>
  <c r="AD47" i="3444" a="1"/>
  <c r="AD47" i="3444" s="1"/>
  <c r="AO47" i="3444" a="1"/>
  <c r="AO47" i="3444" s="1"/>
  <c r="AB89" i="3489" a="1"/>
  <c r="AB89" i="3489" s="1"/>
  <c r="M24" i="3576" a="1"/>
  <c r="M24" i="3576" s="1"/>
  <c r="Z24" i="3576" s="1" a="1"/>
  <c r="Z24" i="3576" s="1"/>
  <c r="L65" i="3560"/>
  <c r="BZ13" i="3564"/>
  <c r="AS96" i="3489" a="1"/>
  <c r="AS96" i="3489" s="1"/>
  <c r="BC55" i="3489" a="1"/>
  <c r="BC55" i="3489" s="1"/>
  <c r="AS91" i="3489" a="1"/>
  <c r="AS91" i="3489" s="1"/>
  <c r="BF32" i="3479" a="1"/>
  <c r="BF32" i="3479" s="1"/>
  <c r="BG32" i="3479" a="1"/>
  <c r="BG32" i="3479" s="1"/>
  <c r="BH32" i="3479" s="1" a="1"/>
  <c r="BH32" i="3479" s="1"/>
  <c r="O69" i="3445"/>
  <c r="A91" i="3445"/>
  <c r="AQ65" i="3489" a="1"/>
  <c r="AQ65" i="3489" s="1"/>
  <c r="AH96" i="3489" a="1"/>
  <c r="AH96" i="3489" s="1"/>
  <c r="S96" i="3489" a="1"/>
  <c r="S96" i="3489" s="1"/>
  <c r="AD96" i="3489" a="1"/>
  <c r="AD96" i="3489" s="1"/>
  <c r="I61" i="3445" a="1"/>
  <c r="I61" i="3445" s="1"/>
  <c r="X95" i="3489" a="1"/>
  <c r="X95" i="3489" s="1"/>
  <c r="BE95" i="3489" a="1"/>
  <c r="BE95" i="3489" s="1"/>
  <c r="S95" i="3489" a="1"/>
  <c r="S95" i="3489" s="1"/>
  <c r="AY96" i="3489" a="1"/>
  <c r="AY96" i="3489" s="1"/>
  <c r="AT96" i="3489" a="1"/>
  <c r="AT96" i="3489" s="1"/>
  <c r="M91" i="3489" a="1"/>
  <c r="M91" i="3489" s="1"/>
  <c r="AJ47" i="3444" a="1"/>
  <c r="AJ47" i="3444" s="1"/>
  <c r="K47" i="3444" a="1"/>
  <c r="K47" i="3444" s="1"/>
  <c r="AX65" i="3489" a="1"/>
  <c r="AX65" i="3489" s="1"/>
  <c r="L28" i="3444" a="1"/>
  <c r="L28" i="3444" s="1"/>
  <c r="AK28" i="3444" a="1"/>
  <c r="AK28" i="3444" s="1"/>
  <c r="R44" i="3489" a="1"/>
  <c r="R44" i="3489" s="1"/>
  <c r="Y39" i="3436"/>
  <c r="N72" i="3445" a="1"/>
  <c r="N72" i="3445" s="1"/>
  <c r="AK96" i="3489" a="1"/>
  <c r="AK96" i="3489" s="1"/>
  <c r="AL96" i="3489" a="1"/>
  <c r="AL96" i="3489" s="1"/>
  <c r="O91" i="3489" a="1"/>
  <c r="O91" i="3489" s="1"/>
  <c r="N47" i="3444" a="1"/>
  <c r="N47" i="3444" s="1"/>
  <c r="AA47" i="3444" a="1"/>
  <c r="AA47" i="3444" s="1"/>
  <c r="AY89" i="3489" a="1"/>
  <c r="AY89" i="3489" s="1"/>
  <c r="AT52" i="3489" a="1"/>
  <c r="AT52" i="3489" s="1"/>
  <c r="Y19" i="3436"/>
  <c r="O63" i="3445"/>
  <c r="AU95" i="3489" a="1"/>
  <c r="AU95" i="3489" s="1"/>
  <c r="BE96" i="3489" a="1"/>
  <c r="BE96" i="3489" s="1"/>
  <c r="AZ96" i="3489" a="1"/>
  <c r="AZ96" i="3489" s="1"/>
  <c r="AA91" i="3489" a="1"/>
  <c r="AA91" i="3489" s="1"/>
  <c r="AS47" i="3444" a="1"/>
  <c r="AS47" i="3444" s="1"/>
  <c r="BF47" i="3444" a="1"/>
  <c r="BF47" i="3444" s="1"/>
  <c r="V65" i="3489" a="1"/>
  <c r="V65" i="3489" s="1"/>
  <c r="AE89" i="3489" a="1"/>
  <c r="AE89" i="3489" s="1"/>
  <c r="W28" i="3444" a="1"/>
  <c r="W28" i="3444" s="1"/>
  <c r="AS28" i="3444" a="1"/>
  <c r="AS28" i="3444" s="1"/>
  <c r="AY28" i="3444" a="1"/>
  <c r="AY28" i="3444" s="1"/>
  <c r="AG44" i="3489" a="1"/>
  <c r="AG44" i="3489" s="1"/>
  <c r="AE29" i="3489" a="1"/>
  <c r="AE29" i="3489" s="1"/>
  <c r="I77" i="3445" a="1"/>
  <c r="I77" i="3445" s="1"/>
  <c r="O77" i="3445" s="1"/>
  <c r="AL22" i="3489" a="1"/>
  <c r="AL22" i="3489" s="1"/>
  <c r="I59" i="3436"/>
  <c r="S78" i="3445" s="1" a="1"/>
  <c r="S78" i="3445" s="1"/>
  <c r="T78" i="3445" s="1"/>
  <c r="A63" i="3445"/>
  <c r="O65" i="3445"/>
  <c r="AB95" i="3489" a="1"/>
  <c r="AB95" i="3489" s="1"/>
  <c r="U96" i="3489" a="1"/>
  <c r="U96" i="3489" s="1"/>
  <c r="Y96" i="3489" a="1"/>
  <c r="Y96" i="3489" s="1"/>
  <c r="AT47" i="3444" a="1"/>
  <c r="AT47" i="3444" s="1"/>
  <c r="P47" i="3444" a="1"/>
  <c r="P47" i="3444" s="1"/>
  <c r="AK65" i="3489" a="1"/>
  <c r="AK65" i="3489" s="1"/>
  <c r="BB89" i="3489" a="1"/>
  <c r="BB89" i="3489" s="1"/>
  <c r="AN28" i="3444" a="1"/>
  <c r="AN28" i="3444" s="1"/>
  <c r="N29" i="3489" a="1"/>
  <c r="N29" i="3489" s="1"/>
  <c r="N91" i="3528" a="1"/>
  <c r="N91" i="3528" s="1"/>
  <c r="AN22" i="3489" a="1"/>
  <c r="AN22" i="3489" s="1"/>
  <c r="AN96" i="3489" a="1"/>
  <c r="AN96" i="3489" s="1"/>
  <c r="O89" i="3489" a="1"/>
  <c r="O89" i="3489" s="1"/>
  <c r="S38" i="3445" a="1"/>
  <c r="S38" i="3445" s="1"/>
  <c r="AZ25" i="3444" a="1"/>
  <c r="AZ25" i="3444" s="1"/>
  <c r="AE52" i="3444" a="1"/>
  <c r="AE52" i="3444" s="1"/>
  <c r="AJ52" i="3444" a="1"/>
  <c r="AJ52" i="3444" s="1"/>
  <c r="BF91" i="3489" a="1"/>
  <c r="BF91" i="3489" s="1"/>
  <c r="Z89" i="3489" a="1"/>
  <c r="Z89" i="3489" s="1"/>
  <c r="Q55" i="3489" a="1"/>
  <c r="Q55" i="3489" s="1"/>
  <c r="L55" i="3489" a="1"/>
  <c r="L55" i="3489" s="1"/>
  <c r="AM31" i="3489" a="1"/>
  <c r="AM31" i="3489" s="1"/>
  <c r="Q31" i="3489" a="1"/>
  <c r="Q31" i="3489" s="1"/>
  <c r="AA52" i="3489" a="1"/>
  <c r="AA52" i="3489" s="1"/>
  <c r="AA49" i="3489" a="1"/>
  <c r="AA49" i="3489" s="1"/>
  <c r="AU49" i="3489" a="1"/>
  <c r="AU49" i="3489" s="1"/>
  <c r="C3" i="3419"/>
  <c r="Y42" i="3436"/>
  <c r="M63" i="3448"/>
  <c r="Q52" i="3444" a="1"/>
  <c r="Q52" i="3444" s="1"/>
  <c r="K52" i="3444" a="1"/>
  <c r="K52" i="3444" s="1"/>
  <c r="T89" i="3489" a="1"/>
  <c r="T89" i="3489" s="1"/>
  <c r="BC52" i="3489" a="1"/>
  <c r="BC52" i="3489" s="1"/>
  <c r="N87" i="3445" a="1"/>
  <c r="N87" i="3445" s="1"/>
  <c r="X89" i="3489" a="1"/>
  <c r="X89" i="3489" s="1"/>
  <c r="AB52" i="3489" a="1"/>
  <c r="AB52" i="3489" s="1"/>
  <c r="Y52" i="3436"/>
  <c r="BE25" i="3444" a="1"/>
  <c r="BE25" i="3444" s="1"/>
  <c r="BG25" i="3444" a="1"/>
  <c r="BG25" i="3444" s="1"/>
  <c r="AS52" i="3444" a="1"/>
  <c r="AS52" i="3444" s="1"/>
  <c r="AU52" i="3444" a="1"/>
  <c r="AU52" i="3444" s="1"/>
  <c r="Z91" i="3489" a="1"/>
  <c r="Z91" i="3489" s="1"/>
  <c r="AZ89" i="3489" a="1"/>
  <c r="AZ89" i="3489" s="1"/>
  <c r="AA55" i="3489" a="1"/>
  <c r="AA55" i="3489" s="1"/>
  <c r="AB31" i="3489" a="1"/>
  <c r="AB31" i="3489" s="1"/>
  <c r="BE31" i="3489" a="1"/>
  <c r="BE31" i="3489" s="1"/>
  <c r="AN52" i="3489" a="1"/>
  <c r="AN52" i="3489" s="1"/>
  <c r="AQ25" i="3444" a="1"/>
  <c r="AQ25" i="3444" s="1"/>
  <c r="M25" i="3444" a="1"/>
  <c r="M25" i="3444" s="1"/>
  <c r="Y52" i="3444" a="1"/>
  <c r="Y52" i="3444" s="1"/>
  <c r="BG52" i="3444" a="1"/>
  <c r="BG52" i="3444" s="1"/>
  <c r="AO91" i="3489" a="1"/>
  <c r="AO91" i="3489" s="1"/>
  <c r="BH47" i="3444" a="1"/>
  <c r="BH47" i="3444" s="1"/>
  <c r="AW47" i="3444" a="1"/>
  <c r="AW47" i="3444" s="1"/>
  <c r="Y89" i="3489" a="1"/>
  <c r="Y89" i="3489" s="1"/>
  <c r="AM55" i="3489" a="1"/>
  <c r="AM55" i="3489" s="1"/>
  <c r="AU31" i="3489" a="1"/>
  <c r="AU31" i="3489" s="1"/>
  <c r="S31" i="3489" a="1"/>
  <c r="S31" i="3489" s="1"/>
  <c r="Z31" i="3489" a="1"/>
  <c r="Z31" i="3489" s="1"/>
  <c r="AG49" i="3489" a="1"/>
  <c r="AG49" i="3489" s="1"/>
  <c r="BA49" i="3489" a="1"/>
  <c r="BA49" i="3489" s="1"/>
  <c r="I80" i="3445" a="1"/>
  <c r="I80" i="3445" s="1"/>
  <c r="AL55" i="3489" a="1"/>
  <c r="AL55" i="3489" s="1"/>
  <c r="I98" i="3445" a="1"/>
  <c r="I98" i="3445" s="1"/>
  <c r="AC25" i="3444" a="1"/>
  <c r="AC25" i="3444" s="1"/>
  <c r="Y25" i="3444" a="1"/>
  <c r="Y25" i="3444" s="1"/>
  <c r="AT52" i="3444" a="1"/>
  <c r="AT52" i="3444" s="1"/>
  <c r="N52" i="3444" a="1"/>
  <c r="N52" i="3444" s="1"/>
  <c r="BC91" i="3489" a="1"/>
  <c r="BC91" i="3489" s="1"/>
  <c r="AM89" i="3489" a="1"/>
  <c r="AM89" i="3489" s="1"/>
  <c r="BD55" i="3489" a="1"/>
  <c r="BD55" i="3489" s="1"/>
  <c r="AV31" i="3489" a="1"/>
  <c r="AV31" i="3489" s="1"/>
  <c r="AF31" i="3489" a="1"/>
  <c r="AF31" i="3489" s="1"/>
  <c r="M43" i="3448"/>
  <c r="BI30" i="3479" a="1"/>
  <c r="BI30" i="3479" s="1"/>
  <c r="BJ30" i="3479" s="1" a="1"/>
  <c r="BJ30" i="3479" s="1"/>
  <c r="A96" i="3445"/>
  <c r="AG52" i="3444" a="1"/>
  <c r="AG52" i="3444" s="1"/>
  <c r="O52" i="3444" a="1"/>
  <c r="O52" i="3444" s="1"/>
  <c r="AA89" i="3489" a="1"/>
  <c r="AA89" i="3489" s="1"/>
  <c r="M55" i="3489" a="1"/>
  <c r="M55" i="3489" s="1"/>
  <c r="K67" i="3444" a="1"/>
  <c r="K67" i="3444" s="1"/>
  <c r="AP67" i="3444" a="1"/>
  <c r="AP67" i="3444" s="1"/>
  <c r="R55" i="3489" a="1"/>
  <c r="R55" i="3489" s="1"/>
  <c r="A90" i="3445"/>
  <c r="BF52" i="3444" a="1"/>
  <c r="BF52" i="3444" s="1"/>
  <c r="P52" i="3444" a="1"/>
  <c r="P52" i="3444" s="1"/>
  <c r="Y77" i="3436"/>
  <c r="T55" i="3489" a="1"/>
  <c r="T55" i="3489" s="1"/>
  <c r="N53" i="3445" a="1"/>
  <c r="N53" i="3445" s="1"/>
  <c r="BB90" i="3489" a="1"/>
  <c r="BB90" i="3489" s="1"/>
  <c r="AG25" i="3444" a="1"/>
  <c r="AG25" i="3444" s="1"/>
  <c r="L52" i="3444" a="1"/>
  <c r="L52" i="3444" s="1"/>
  <c r="AB52" i="3444" a="1"/>
  <c r="AB52" i="3444" s="1"/>
  <c r="AG91" i="3489" a="1"/>
  <c r="AG91" i="3489" s="1"/>
  <c r="AE55" i="3489" a="1"/>
  <c r="AE55" i="3489" s="1"/>
  <c r="BF55" i="3489" a="1"/>
  <c r="BF55" i="3489" s="1"/>
  <c r="K31" i="3489" a="1"/>
  <c r="K31" i="3489" s="1"/>
  <c r="BC31" i="3489" a="1"/>
  <c r="BC31" i="3489" s="1"/>
  <c r="AR49" i="3489" a="1"/>
  <c r="AR49" i="3489" s="1"/>
  <c r="AN118" i="3577" a="1"/>
  <c r="AN118" i="3577" s="1"/>
  <c r="Z55" i="3489" a="1"/>
  <c r="Z55" i="3489" s="1"/>
  <c r="O91" i="3445"/>
  <c r="O38" i="3445"/>
  <c r="S25" i="3444" a="1"/>
  <c r="S25" i="3444" s="1"/>
  <c r="AQ52" i="3444" a="1"/>
  <c r="AQ52" i="3444" s="1"/>
  <c r="AN52" i="3444" a="1"/>
  <c r="AN52" i="3444" s="1"/>
  <c r="O47" i="3444" a="1"/>
  <c r="O47" i="3444" s="1"/>
  <c r="AJ34" i="3489" a="1"/>
  <c r="AJ34" i="3489" s="1"/>
  <c r="O49" i="3489" a="1"/>
  <c r="O49" i="3489" s="1"/>
  <c r="G84" i="3528" a="1"/>
  <c r="G84" i="3528" s="1"/>
  <c r="AB55" i="3489" a="1"/>
  <c r="AB55" i="3489" s="1"/>
  <c r="U22" i="3489" a="1"/>
  <c r="U22" i="3489" s="1"/>
  <c r="BB52" i="3444" a="1"/>
  <c r="BB52" i="3444" s="1"/>
  <c r="M52" i="3444" a="1"/>
  <c r="M52" i="3444" s="1"/>
  <c r="AZ52" i="3444" a="1"/>
  <c r="AZ52" i="3444" s="1"/>
  <c r="AF89" i="3489" a="1"/>
  <c r="AF89" i="3489" s="1"/>
  <c r="AK98" i="3434" a="1"/>
  <c r="AK98" i="3434" s="1"/>
  <c r="W48" i="3480" s="1"/>
  <c r="G119" i="3528" a="1"/>
  <c r="G119" i="3528" s="1"/>
  <c r="AM119" i="3528" s="1"/>
  <c r="AE22" i="3489" a="1"/>
  <c r="AE22" i="3489" s="1"/>
  <c r="P38" i="3445"/>
  <c r="Q38" i="3445"/>
  <c r="S52" i="3444" a="1"/>
  <c r="S52" i="3444" s="1"/>
  <c r="AR52" i="3444" a="1"/>
  <c r="AR52" i="3444" s="1"/>
  <c r="AK89" i="3489" a="1"/>
  <c r="AK89" i="3489" s="1"/>
  <c r="G78" i="3436"/>
  <c r="I80" i="3444" s="1"/>
  <c r="B41" i="3577"/>
  <c r="AK122" i="3528"/>
  <c r="Y65" i="3489" a="1"/>
  <c r="Y65" i="3489" s="1"/>
  <c r="G20" i="3436"/>
  <c r="I22" i="3444" s="1"/>
  <c r="A32" i="3560"/>
  <c r="D32" i="3560"/>
  <c r="BM24" i="3495" a="1"/>
  <c r="BM24" i="3495" s="1"/>
  <c r="AI24" i="3495" a="1"/>
  <c r="AI24" i="3495" s="1"/>
  <c r="AF24" i="3495" a="1"/>
  <c r="AF24" i="3495" s="1"/>
  <c r="AG24" i="3495" s="1" a="1"/>
  <c r="AG24" i="3495" s="1"/>
  <c r="BJ24" i="3495"/>
  <c r="N113" i="3564" a="1"/>
  <c r="N113" i="3564" s="1"/>
  <c r="M113" i="3564" a="1"/>
  <c r="M113" i="3564" s="1"/>
  <c r="L113" i="3564" a="1"/>
  <c r="L113" i="3564" s="1"/>
  <c r="P113" i="3564" a="1"/>
  <c r="P113" i="3564" s="1"/>
  <c r="O113" i="3564" a="1"/>
  <c r="O113" i="3564" s="1"/>
  <c r="K113" i="3564" a="1"/>
  <c r="K113" i="3564" s="1"/>
  <c r="BA85" i="3564"/>
  <c r="BB85" i="3564" s="1"/>
  <c r="U85" i="3564"/>
  <c r="V85" i="3564" s="1"/>
  <c r="P213" i="3564" a="1"/>
  <c r="P213" i="3564" s="1"/>
  <c r="O213" i="3564" a="1"/>
  <c r="O213" i="3564" s="1"/>
  <c r="M213" i="3564" a="1"/>
  <c r="M213" i="3564" s="1"/>
  <c r="L213" i="3564" a="1"/>
  <c r="L213" i="3564" s="1"/>
  <c r="K213" i="3564" a="1"/>
  <c r="K213" i="3564" s="1"/>
  <c r="N213" i="3564" a="1"/>
  <c r="N213" i="3564" s="1"/>
  <c r="N75" i="3564" a="1"/>
  <c r="N75" i="3564" s="1"/>
  <c r="M75" i="3564" a="1"/>
  <c r="M75" i="3564" s="1"/>
  <c r="P75" i="3564" a="1"/>
  <c r="P75" i="3564" s="1"/>
  <c r="O75" i="3564" a="1"/>
  <c r="O75" i="3564" s="1"/>
  <c r="L75" i="3564" a="1"/>
  <c r="L75" i="3564" s="1"/>
  <c r="K75" i="3564" a="1"/>
  <c r="K75" i="3564" s="1"/>
  <c r="P66" i="3564" a="1"/>
  <c r="P66" i="3564" s="1"/>
  <c r="K66" i="3564" a="1"/>
  <c r="K66" i="3564" s="1"/>
  <c r="O66" i="3564" a="1"/>
  <c r="O66" i="3564" s="1"/>
  <c r="N66" i="3564" a="1"/>
  <c r="N66" i="3564" s="1"/>
  <c r="M66" i="3564" a="1"/>
  <c r="M66" i="3564" s="1"/>
  <c r="L66" i="3564" a="1"/>
  <c r="L66" i="3564" s="1"/>
  <c r="L125" i="3564" a="1"/>
  <c r="L125" i="3564" s="1"/>
  <c r="K125" i="3564" a="1"/>
  <c r="K125" i="3564" s="1"/>
  <c r="P125" i="3564" a="1"/>
  <c r="P125" i="3564" s="1"/>
  <c r="O125" i="3564" a="1"/>
  <c r="O125" i="3564" s="1"/>
  <c r="N125" i="3564" a="1"/>
  <c r="N125" i="3564" s="1"/>
  <c r="M125" i="3564" a="1"/>
  <c r="M125" i="3564" s="1"/>
  <c r="P158" i="3564" a="1"/>
  <c r="P158" i="3564" s="1"/>
  <c r="O158" i="3564" a="1"/>
  <c r="O158" i="3564" s="1"/>
  <c r="M158" i="3564" a="1"/>
  <c r="M158" i="3564" s="1"/>
  <c r="L158" i="3564" a="1"/>
  <c r="L158" i="3564" s="1"/>
  <c r="N158" i="3564" a="1"/>
  <c r="N158" i="3564" s="1"/>
  <c r="K158" i="3564" a="1"/>
  <c r="K158" i="3564" s="1"/>
  <c r="P261" i="3564" a="1"/>
  <c r="P261" i="3564" s="1"/>
  <c r="O261" i="3564" a="1"/>
  <c r="O261" i="3564" s="1"/>
  <c r="M261" i="3564" a="1"/>
  <c r="M261" i="3564" s="1"/>
  <c r="L261" i="3564" a="1"/>
  <c r="L261" i="3564" s="1"/>
  <c r="K261" i="3564" a="1"/>
  <c r="K261" i="3564" s="1"/>
  <c r="N261" i="3564" a="1"/>
  <c r="N261" i="3564" s="1"/>
  <c r="P233" i="3564" a="1"/>
  <c r="P233" i="3564" s="1"/>
  <c r="O233" i="3564" a="1"/>
  <c r="O233" i="3564" s="1"/>
  <c r="M233" i="3564" a="1"/>
  <c r="M233" i="3564" s="1"/>
  <c r="L233" i="3564" a="1"/>
  <c r="L233" i="3564" s="1"/>
  <c r="K233" i="3564" a="1"/>
  <c r="K233" i="3564" s="1"/>
  <c r="N233" i="3564" a="1"/>
  <c r="N233" i="3564" s="1"/>
  <c r="M232" i="3564" a="1"/>
  <c r="M232" i="3564" s="1"/>
  <c r="L232" i="3564" a="1"/>
  <c r="L232" i="3564" s="1"/>
  <c r="P232" i="3564" a="1"/>
  <c r="P232" i="3564" s="1"/>
  <c r="O232" i="3564" a="1"/>
  <c r="O232" i="3564" s="1"/>
  <c r="N232" i="3564" a="1"/>
  <c r="N232" i="3564" s="1"/>
  <c r="K232" i="3564" a="1"/>
  <c r="K232" i="3564" s="1"/>
  <c r="O231" i="3564" a="1"/>
  <c r="O231" i="3564" s="1"/>
  <c r="P231" i="3564" a="1"/>
  <c r="P231" i="3564" s="1"/>
  <c r="N231" i="3564" a="1"/>
  <c r="N231" i="3564" s="1"/>
  <c r="M231" i="3564" a="1"/>
  <c r="M231" i="3564" s="1"/>
  <c r="L231" i="3564" a="1"/>
  <c r="L231" i="3564" s="1"/>
  <c r="K231" i="3564" a="1"/>
  <c r="K231" i="3564" s="1"/>
  <c r="O277" i="3564" a="1"/>
  <c r="O277" i="3564" s="1"/>
  <c r="N277" i="3564" a="1"/>
  <c r="N277" i="3564" s="1"/>
  <c r="P277" i="3564" a="1"/>
  <c r="P277" i="3564" s="1"/>
  <c r="M277" i="3564" a="1"/>
  <c r="M277" i="3564" s="1"/>
  <c r="L277" i="3564" a="1"/>
  <c r="L277" i="3564" s="1"/>
  <c r="K277" i="3564" a="1"/>
  <c r="K277" i="3564" s="1"/>
  <c r="U14" i="3564"/>
  <c r="V14" i="3564" s="1"/>
  <c r="W14" i="3564" s="1"/>
  <c r="BA14" i="3564"/>
  <c r="BB14" i="3564" s="1"/>
  <c r="O47" i="3445"/>
  <c r="N40" i="3445" a="1"/>
  <c r="N40" i="3445" s="1"/>
  <c r="G32" i="3436"/>
  <c r="J51" i="3445" s="1" a="1"/>
  <c r="J51" i="3445" s="1"/>
  <c r="P51" i="3445" s="1"/>
  <c r="Q51" i="3445" s="1"/>
  <c r="V25" i="3495" a="1"/>
  <c r="V25" i="3495" s="1"/>
  <c r="W25" i="3495" s="1" a="1"/>
  <c r="W25" i="3495" s="1"/>
  <c r="AZ25" i="3495" a="1"/>
  <c r="AZ25" i="3495" s="1"/>
  <c r="AU25" i="3495" a="1"/>
  <c r="AU25" i="3495" s="1"/>
  <c r="Y25" i="3495" a="1"/>
  <c r="Y25" i="3495" s="1"/>
  <c r="AX25" i="3495" a="1"/>
  <c r="AX25" i="3495" s="1"/>
  <c r="K20" i="3564" a="1"/>
  <c r="K20" i="3564" s="1"/>
  <c r="P20" i="3564" a="1"/>
  <c r="P20" i="3564" s="1"/>
  <c r="O20" i="3564" a="1"/>
  <c r="O20" i="3564" s="1"/>
  <c r="N20" i="3564" a="1"/>
  <c r="N20" i="3564" s="1"/>
  <c r="M20" i="3564" a="1"/>
  <c r="M20" i="3564" s="1"/>
  <c r="L20" i="3564" a="1"/>
  <c r="L20" i="3564" s="1"/>
  <c r="O129" i="3564" a="1"/>
  <c r="O129" i="3564" s="1"/>
  <c r="N129" i="3564" a="1"/>
  <c r="N129" i="3564" s="1"/>
  <c r="M129" i="3564" a="1"/>
  <c r="M129" i="3564" s="1"/>
  <c r="L129" i="3564" a="1"/>
  <c r="L129" i="3564" s="1"/>
  <c r="K129" i="3564" a="1"/>
  <c r="K129" i="3564" s="1"/>
  <c r="P129" i="3564" a="1"/>
  <c r="P129" i="3564" s="1"/>
  <c r="O35" i="3564" a="1"/>
  <c r="O35" i="3564" s="1"/>
  <c r="N35" i="3564" a="1"/>
  <c r="N35" i="3564" s="1"/>
  <c r="AF35" i="3564" s="1"/>
  <c r="M35" i="3564" a="1"/>
  <c r="M35" i="3564" s="1"/>
  <c r="L35" i="3564" a="1"/>
  <c r="L35" i="3564" s="1"/>
  <c r="K35" i="3564" a="1"/>
  <c r="K35" i="3564" s="1"/>
  <c r="P35" i="3564" a="1"/>
  <c r="P35" i="3564" s="1"/>
  <c r="P70" i="3564" a="1"/>
  <c r="P70" i="3564" s="1"/>
  <c r="K70" i="3564" a="1"/>
  <c r="K70" i="3564" s="1"/>
  <c r="O70" i="3564" a="1"/>
  <c r="O70" i="3564" s="1"/>
  <c r="N70" i="3564" a="1"/>
  <c r="N70" i="3564" s="1"/>
  <c r="M70" i="3564" a="1"/>
  <c r="M70" i="3564" s="1"/>
  <c r="L70" i="3564" a="1"/>
  <c r="L70" i="3564" s="1"/>
  <c r="L143" i="3564" a="1"/>
  <c r="L143" i="3564" s="1"/>
  <c r="K143" i="3564" a="1"/>
  <c r="K143" i="3564" s="1"/>
  <c r="P143" i="3564" a="1"/>
  <c r="P143" i="3564" s="1"/>
  <c r="M143" i="3564" a="1"/>
  <c r="M143" i="3564" s="1"/>
  <c r="O143" i="3564" a="1"/>
  <c r="O143" i="3564" s="1"/>
  <c r="N143" i="3564" a="1"/>
  <c r="N143" i="3564" s="1"/>
  <c r="P162" i="3564" a="1"/>
  <c r="P162" i="3564" s="1"/>
  <c r="O162" i="3564" a="1"/>
  <c r="O162" i="3564" s="1"/>
  <c r="M162" i="3564" a="1"/>
  <c r="M162" i="3564" s="1"/>
  <c r="L162" i="3564" a="1"/>
  <c r="L162" i="3564" s="1"/>
  <c r="N162" i="3564" a="1"/>
  <c r="N162" i="3564" s="1"/>
  <c r="K162" i="3564" a="1"/>
  <c r="K162" i="3564" s="1"/>
  <c r="L178" i="3564" a="1"/>
  <c r="L178" i="3564" s="1"/>
  <c r="P178" i="3564" a="1"/>
  <c r="P178" i="3564" s="1"/>
  <c r="N178" i="3564" a="1"/>
  <c r="N178" i="3564" s="1"/>
  <c r="M178" i="3564" a="1"/>
  <c r="M178" i="3564" s="1"/>
  <c r="K178" i="3564" a="1"/>
  <c r="K178" i="3564" s="1"/>
  <c r="O178" i="3564" a="1"/>
  <c r="O178" i="3564" s="1"/>
  <c r="P241" i="3564" a="1"/>
  <c r="P241" i="3564" s="1"/>
  <c r="O241" i="3564" a="1"/>
  <c r="O241" i="3564" s="1"/>
  <c r="M241" i="3564" a="1"/>
  <c r="M241" i="3564" s="1"/>
  <c r="L241" i="3564" a="1"/>
  <c r="L241" i="3564" s="1"/>
  <c r="K241" i="3564" a="1"/>
  <c r="K241" i="3564" s="1"/>
  <c r="N241" i="3564" a="1"/>
  <c r="N241" i="3564" s="1"/>
  <c r="M236" i="3564" a="1"/>
  <c r="M236" i="3564" s="1"/>
  <c r="L236" i="3564" a="1"/>
  <c r="L236" i="3564" s="1"/>
  <c r="P236" i="3564" a="1"/>
  <c r="P236" i="3564" s="1"/>
  <c r="K236" i="3564" a="1"/>
  <c r="K236" i="3564" s="1"/>
  <c r="O236" i="3564" a="1"/>
  <c r="O236" i="3564" s="1"/>
  <c r="N236" i="3564" a="1"/>
  <c r="N236" i="3564" s="1"/>
  <c r="O235" i="3564" a="1"/>
  <c r="O235" i="3564" s="1"/>
  <c r="P235" i="3564" a="1"/>
  <c r="P235" i="3564" s="1"/>
  <c r="M235" i="3564" a="1"/>
  <c r="M235" i="3564" s="1"/>
  <c r="L235" i="3564" a="1"/>
  <c r="L235" i="3564" s="1"/>
  <c r="K235" i="3564" a="1"/>
  <c r="K235" i="3564" s="1"/>
  <c r="N235" i="3564" a="1"/>
  <c r="N235" i="3564" s="1"/>
  <c r="P281" i="3564" a="1"/>
  <c r="P281" i="3564" s="1"/>
  <c r="O281" i="3564" a="1"/>
  <c r="O281" i="3564" s="1"/>
  <c r="N281" i="3564" a="1"/>
  <c r="N281" i="3564" s="1"/>
  <c r="M281" i="3564" a="1"/>
  <c r="M281" i="3564" s="1"/>
  <c r="K281" i="3564" a="1"/>
  <c r="K281" i="3564" s="1"/>
  <c r="L281" i="3564" a="1"/>
  <c r="L281" i="3564" s="1"/>
  <c r="U107" i="3564"/>
  <c r="V107" i="3564" s="1"/>
  <c r="BA107" i="3564"/>
  <c r="BB107" i="3564" s="1"/>
  <c r="G28" i="3448"/>
  <c r="Y44" i="3436"/>
  <c r="G26" i="3436"/>
  <c r="I28" i="3444" s="1"/>
  <c r="I81" i="3560"/>
  <c r="O81" i="3560" s="1" a="1"/>
  <c r="O81" i="3560" s="1"/>
  <c r="L81" i="3560"/>
  <c r="AS24" i="3495" a="1"/>
  <c r="AS24" i="3495" s="1"/>
  <c r="AP24" i="3495" a="1"/>
  <c r="AP24" i="3495" s="1"/>
  <c r="AQ24" i="3495" s="1" a="1"/>
  <c r="AQ24" i="3495" s="1"/>
  <c r="BO24" i="3495" a="1"/>
  <c r="BO24" i="3495" s="1"/>
  <c r="AK24" i="3495" a="1"/>
  <c r="AK24" i="3495" s="1"/>
  <c r="AL24" i="3495" s="1" a="1"/>
  <c r="AL24" i="3495" s="1"/>
  <c r="BR24" i="3495" a="1"/>
  <c r="BR24" i="3495" s="1"/>
  <c r="AN24" i="3495" a="1"/>
  <c r="AN24" i="3495" s="1"/>
  <c r="N83" i="3564" a="1"/>
  <c r="N83" i="3564" s="1"/>
  <c r="M83" i="3564" a="1"/>
  <c r="M83" i="3564" s="1"/>
  <c r="P83" i="3564" a="1"/>
  <c r="P83" i="3564" s="1"/>
  <c r="O83" i="3564" a="1"/>
  <c r="O83" i="3564" s="1"/>
  <c r="L83" i="3564" a="1"/>
  <c r="L83" i="3564" s="1"/>
  <c r="K83" i="3564" a="1"/>
  <c r="K83" i="3564" s="1"/>
  <c r="P74" i="3564" a="1"/>
  <c r="P74" i="3564" s="1"/>
  <c r="O74" i="3564" a="1"/>
  <c r="O74" i="3564" s="1"/>
  <c r="K74" i="3564" a="1"/>
  <c r="K74" i="3564" s="1"/>
  <c r="N74" i="3564" a="1"/>
  <c r="N74" i="3564" s="1"/>
  <c r="M74" i="3564" a="1"/>
  <c r="M74" i="3564" s="1"/>
  <c r="L74" i="3564" a="1"/>
  <c r="L74" i="3564" s="1"/>
  <c r="P201" i="3564" a="1"/>
  <c r="P201" i="3564" s="1"/>
  <c r="O201" i="3564" a="1"/>
  <c r="O201" i="3564" s="1"/>
  <c r="M201" i="3564" a="1"/>
  <c r="M201" i="3564" s="1"/>
  <c r="L201" i="3564" a="1"/>
  <c r="L201" i="3564" s="1"/>
  <c r="K201" i="3564" a="1"/>
  <c r="K201" i="3564" s="1"/>
  <c r="N201" i="3564" a="1"/>
  <c r="N201" i="3564" s="1"/>
  <c r="P166" i="3564" a="1"/>
  <c r="P166" i="3564" s="1"/>
  <c r="O166" i="3564" a="1"/>
  <c r="O166" i="3564" s="1"/>
  <c r="M166" i="3564" a="1"/>
  <c r="M166" i="3564" s="1"/>
  <c r="L166" i="3564" a="1"/>
  <c r="L166" i="3564" s="1"/>
  <c r="K166" i="3564" a="1"/>
  <c r="K166" i="3564" s="1"/>
  <c r="N166" i="3564" a="1"/>
  <c r="N166" i="3564" s="1"/>
  <c r="L198" i="3564" a="1"/>
  <c r="L198" i="3564" s="1"/>
  <c r="P198" i="3564" a="1"/>
  <c r="P198" i="3564" s="1"/>
  <c r="O198" i="3564" a="1"/>
  <c r="O198" i="3564" s="1"/>
  <c r="N198" i="3564" a="1"/>
  <c r="N198" i="3564" s="1"/>
  <c r="M198" i="3564" a="1"/>
  <c r="M198" i="3564" s="1"/>
  <c r="K198" i="3564" a="1"/>
  <c r="K198" i="3564" s="1"/>
  <c r="P249" i="3564" a="1"/>
  <c r="P249" i="3564" s="1"/>
  <c r="O249" i="3564" a="1"/>
  <c r="O249" i="3564" s="1"/>
  <c r="M249" i="3564" a="1"/>
  <c r="M249" i="3564" s="1"/>
  <c r="L249" i="3564" a="1"/>
  <c r="L249" i="3564" s="1"/>
  <c r="K249" i="3564" a="1"/>
  <c r="K249" i="3564" s="1"/>
  <c r="N249" i="3564" a="1"/>
  <c r="N249" i="3564" s="1"/>
  <c r="M240" i="3564" a="1"/>
  <c r="M240" i="3564" s="1"/>
  <c r="L240" i="3564" a="1"/>
  <c r="L240" i="3564" s="1"/>
  <c r="P240" i="3564" a="1"/>
  <c r="P240" i="3564" s="1"/>
  <c r="O240" i="3564" a="1"/>
  <c r="O240" i="3564" s="1"/>
  <c r="N240" i="3564" a="1"/>
  <c r="N240" i="3564" s="1"/>
  <c r="K240" i="3564" a="1"/>
  <c r="K240" i="3564" s="1"/>
  <c r="O239" i="3564" a="1"/>
  <c r="O239" i="3564" s="1"/>
  <c r="P239" i="3564" a="1"/>
  <c r="P239" i="3564" s="1"/>
  <c r="N239" i="3564" a="1"/>
  <c r="N239" i="3564" s="1"/>
  <c r="M239" i="3564" a="1"/>
  <c r="M239" i="3564" s="1"/>
  <c r="L239" i="3564" a="1"/>
  <c r="L239" i="3564" s="1"/>
  <c r="K239" i="3564" a="1"/>
  <c r="K239" i="3564" s="1"/>
  <c r="P285" i="3564" a="1"/>
  <c r="P285" i="3564" s="1"/>
  <c r="O285" i="3564" a="1"/>
  <c r="O285" i="3564" s="1"/>
  <c r="N285" i="3564" a="1"/>
  <c r="N285" i="3564" s="1"/>
  <c r="M285" i="3564" a="1"/>
  <c r="M285" i="3564" s="1"/>
  <c r="L285" i="3564" a="1"/>
  <c r="L285" i="3564" s="1"/>
  <c r="K285" i="3564" a="1"/>
  <c r="K285" i="3564" s="1"/>
  <c r="BA119" i="3564"/>
  <c r="BB119" i="3564" s="1"/>
  <c r="U119" i="3564"/>
  <c r="V119" i="3564" s="1"/>
  <c r="G50" i="3448"/>
  <c r="G26" i="3448"/>
  <c r="M44" i="3448"/>
  <c r="G19" i="3436"/>
  <c r="I21" i="3444" s="1"/>
  <c r="Y26" i="3436"/>
  <c r="AC75" i="3444" a="1"/>
  <c r="AC75" i="3444" s="1"/>
  <c r="Z75" i="3444" a="1"/>
  <c r="Z75" i="3444" s="1"/>
  <c r="Y75" i="3444" a="1"/>
  <c r="Y75" i="3444" s="1"/>
  <c r="X75" i="3444" a="1"/>
  <c r="X75" i="3444" s="1"/>
  <c r="S75" i="3444" a="1"/>
  <c r="S75" i="3444" s="1"/>
  <c r="AM75" i="3444" a="1"/>
  <c r="AM75" i="3444" s="1"/>
  <c r="BD75" i="3444" a="1"/>
  <c r="BD75" i="3444" s="1"/>
  <c r="BC75" i="3444" a="1"/>
  <c r="BC75" i="3444" s="1"/>
  <c r="AR75" i="3444" a="1"/>
  <c r="AR75" i="3444" s="1"/>
  <c r="AO75" i="3444" a="1"/>
  <c r="AO75" i="3444" s="1"/>
  <c r="AA25" i="3495" a="1"/>
  <c r="AA25" i="3495" s="1"/>
  <c r="AB25" i="3495" s="1" a="1"/>
  <c r="AB25" i="3495" s="1"/>
  <c r="BE25" i="3495" a="1"/>
  <c r="BE25" i="3495" s="1"/>
  <c r="BC25" i="3495" a="1"/>
  <c r="BC25" i="3495" s="1"/>
  <c r="AD25" i="3495" a="1"/>
  <c r="AD25" i="3495" s="1"/>
  <c r="BH25" i="3495" a="1"/>
  <c r="BH25" i="3495" s="1"/>
  <c r="N59" i="3564" a="1"/>
  <c r="N59" i="3564" s="1"/>
  <c r="P59" i="3564" a="1"/>
  <c r="P59" i="3564" s="1"/>
  <c r="O59" i="3564" a="1"/>
  <c r="O59" i="3564" s="1"/>
  <c r="M59" i="3564" a="1"/>
  <c r="M59" i="3564" s="1"/>
  <c r="L59" i="3564" a="1"/>
  <c r="L59" i="3564" s="1"/>
  <c r="K59" i="3564" a="1"/>
  <c r="K59" i="3564" s="1"/>
  <c r="BA57" i="3564"/>
  <c r="BB57" i="3564" s="1"/>
  <c r="BC57" i="3564" s="1"/>
  <c r="U57" i="3564"/>
  <c r="V57" i="3564" s="1"/>
  <c r="P78" i="3564" a="1"/>
  <c r="P78" i="3564" s="1"/>
  <c r="O78" i="3564" a="1"/>
  <c r="O78" i="3564" s="1"/>
  <c r="K78" i="3564" a="1"/>
  <c r="K78" i="3564" s="1"/>
  <c r="N78" i="3564" a="1"/>
  <c r="N78" i="3564" s="1"/>
  <c r="M78" i="3564" a="1"/>
  <c r="M78" i="3564" s="1"/>
  <c r="L78" i="3564" a="1"/>
  <c r="L78" i="3564" s="1"/>
  <c r="K64" i="3564" a="1"/>
  <c r="K64" i="3564" s="1"/>
  <c r="P64" i="3564" a="1"/>
  <c r="P64" i="3564" s="1"/>
  <c r="M64" i="3564" a="1"/>
  <c r="M64" i="3564" s="1"/>
  <c r="L64" i="3564" a="1"/>
  <c r="L64" i="3564" s="1"/>
  <c r="O64" i="3564" a="1"/>
  <c r="O64" i="3564" s="1"/>
  <c r="N64" i="3564" a="1"/>
  <c r="N64" i="3564" s="1"/>
  <c r="L202" i="3564" a="1"/>
  <c r="L202" i="3564" s="1"/>
  <c r="P202" i="3564" a="1"/>
  <c r="P202" i="3564" s="1"/>
  <c r="O202" i="3564" a="1"/>
  <c r="O202" i="3564" s="1"/>
  <c r="N202" i="3564" a="1"/>
  <c r="N202" i="3564" s="1"/>
  <c r="M202" i="3564" a="1"/>
  <c r="M202" i="3564" s="1"/>
  <c r="K202" i="3564" a="1"/>
  <c r="K202" i="3564" s="1"/>
  <c r="N268" i="3564" a="1"/>
  <c r="N268" i="3564" s="1"/>
  <c r="L268" i="3564" a="1"/>
  <c r="L268" i="3564" s="1"/>
  <c r="K268" i="3564" a="1"/>
  <c r="K268" i="3564" s="1"/>
  <c r="P268" i="3564" a="1"/>
  <c r="P268" i="3564" s="1"/>
  <c r="O268" i="3564" a="1"/>
  <c r="O268" i="3564" s="1"/>
  <c r="M268" i="3564" a="1"/>
  <c r="M268" i="3564" s="1"/>
  <c r="P257" i="3564" a="1"/>
  <c r="P257" i="3564" s="1"/>
  <c r="O257" i="3564" a="1"/>
  <c r="O257" i="3564" s="1"/>
  <c r="M257" i="3564" a="1"/>
  <c r="M257" i="3564" s="1"/>
  <c r="L257" i="3564" a="1"/>
  <c r="L257" i="3564" s="1"/>
  <c r="K257" i="3564" a="1"/>
  <c r="K257" i="3564" s="1"/>
  <c r="N257" i="3564" a="1"/>
  <c r="N257" i="3564" s="1"/>
  <c r="M244" i="3564" a="1"/>
  <c r="M244" i="3564" s="1"/>
  <c r="L244" i="3564" a="1"/>
  <c r="L244" i="3564" s="1"/>
  <c r="P244" i="3564" a="1"/>
  <c r="P244" i="3564" s="1"/>
  <c r="K244" i="3564" a="1"/>
  <c r="K244" i="3564" s="1"/>
  <c r="O244" i="3564" a="1"/>
  <c r="O244" i="3564" s="1"/>
  <c r="N244" i="3564" a="1"/>
  <c r="N244" i="3564" s="1"/>
  <c r="O243" i="3564" a="1"/>
  <c r="O243" i="3564" s="1"/>
  <c r="P243" i="3564" a="1"/>
  <c r="P243" i="3564" s="1"/>
  <c r="M243" i="3564" a="1"/>
  <c r="M243" i="3564" s="1"/>
  <c r="L243" i="3564" a="1"/>
  <c r="L243" i="3564" s="1"/>
  <c r="K243" i="3564" a="1"/>
  <c r="K243" i="3564" s="1"/>
  <c r="N243" i="3564" a="1"/>
  <c r="N243" i="3564" s="1"/>
  <c r="P289" i="3564" a="1"/>
  <c r="P289" i="3564" s="1"/>
  <c r="O289" i="3564" a="1"/>
  <c r="O289" i="3564" s="1"/>
  <c r="N289" i="3564" a="1"/>
  <c r="N289" i="3564" s="1"/>
  <c r="M289" i="3564" a="1"/>
  <c r="M289" i="3564" s="1"/>
  <c r="L289" i="3564" a="1"/>
  <c r="L289" i="3564" s="1"/>
  <c r="K289" i="3564" a="1"/>
  <c r="K289" i="3564" s="1"/>
  <c r="P205" i="3564" a="1"/>
  <c r="P205" i="3564" s="1"/>
  <c r="O205" i="3564" a="1"/>
  <c r="O205" i="3564" s="1"/>
  <c r="M205" i="3564" a="1"/>
  <c r="M205" i="3564" s="1"/>
  <c r="L205" i="3564" a="1"/>
  <c r="L205" i="3564" s="1"/>
  <c r="N205" i="3564" a="1"/>
  <c r="N205" i="3564" s="1"/>
  <c r="K205" i="3564" a="1"/>
  <c r="K205" i="3564" s="1"/>
  <c r="N47" i="3445" a="1"/>
  <c r="N47" i="3445" s="1"/>
  <c r="O50" i="3445"/>
  <c r="M52" i="3489" a="1"/>
  <c r="M52" i="3489" s="1"/>
  <c r="BP74" i="3448"/>
  <c r="M56" i="3448"/>
  <c r="Y74" i="3436"/>
  <c r="Y67" i="3436"/>
  <c r="N48" i="3445" a="1"/>
  <c r="N48" i="3445" s="1"/>
  <c r="Y34" i="3489" a="1"/>
  <c r="Y34" i="3489" s="1"/>
  <c r="R34" i="3489" a="1"/>
  <c r="R34" i="3489" s="1"/>
  <c r="Q34" i="3489" a="1"/>
  <c r="Q34" i="3489" s="1"/>
  <c r="K34" i="3489" a="1"/>
  <c r="K34" i="3489" s="1"/>
  <c r="B34" i="3489"/>
  <c r="BC34" i="3489" a="1"/>
  <c r="BC34" i="3489" s="1"/>
  <c r="AY34" i="3489" a="1"/>
  <c r="AY34" i="3489" s="1"/>
  <c r="AX34" i="3489" a="1"/>
  <c r="AX34" i="3489" s="1"/>
  <c r="AI34" i="3489" a="1"/>
  <c r="AI34" i="3489" s="1"/>
  <c r="AG34" i="3489" a="1"/>
  <c r="AG34" i="3489" s="1"/>
  <c r="AS34" i="3489" a="1"/>
  <c r="AS34" i="3489" s="1"/>
  <c r="AB34" i="3489" a="1"/>
  <c r="AB34" i="3489" s="1"/>
  <c r="BM27" i="3495" a="1"/>
  <c r="BM27" i="3495" s="1"/>
  <c r="BJ27" i="3495"/>
  <c r="AI27" i="3495" a="1"/>
  <c r="AI27" i="3495" s="1"/>
  <c r="AF27" i="3495" a="1"/>
  <c r="AF27" i="3495" s="1"/>
  <c r="AG27" i="3495" s="1" a="1"/>
  <c r="AG27" i="3495" s="1"/>
  <c r="P197" i="3564" a="1"/>
  <c r="P197" i="3564" s="1"/>
  <c r="O197" i="3564" a="1"/>
  <c r="O197" i="3564" s="1"/>
  <c r="M197" i="3564" a="1"/>
  <c r="M197" i="3564" s="1"/>
  <c r="L197" i="3564" a="1"/>
  <c r="L197" i="3564" s="1"/>
  <c r="N197" i="3564" a="1"/>
  <c r="N197" i="3564" s="1"/>
  <c r="K197" i="3564" a="1"/>
  <c r="K197" i="3564" s="1"/>
  <c r="P82" i="3564" a="1"/>
  <c r="P82" i="3564" s="1"/>
  <c r="O82" i="3564" a="1"/>
  <c r="O82" i="3564" s="1"/>
  <c r="K82" i="3564" a="1"/>
  <c r="K82" i="3564" s="1"/>
  <c r="N82" i="3564" a="1"/>
  <c r="N82" i="3564" s="1"/>
  <c r="M82" i="3564" a="1"/>
  <c r="M82" i="3564" s="1"/>
  <c r="L82" i="3564" a="1"/>
  <c r="L82" i="3564" s="1"/>
  <c r="K68" i="3564" a="1"/>
  <c r="K68" i="3564" s="1"/>
  <c r="P68" i="3564" a="1"/>
  <c r="P68" i="3564" s="1"/>
  <c r="O68" i="3564" a="1"/>
  <c r="O68" i="3564" s="1"/>
  <c r="N68" i="3564" a="1"/>
  <c r="N68" i="3564" s="1"/>
  <c r="AF68" i="3564" s="1"/>
  <c r="M68" i="3564" a="1"/>
  <c r="M68" i="3564" s="1"/>
  <c r="L68" i="3564" a="1"/>
  <c r="L68" i="3564" s="1"/>
  <c r="L210" i="3564" a="1"/>
  <c r="L210" i="3564" s="1"/>
  <c r="P210" i="3564" a="1"/>
  <c r="P210" i="3564" s="1"/>
  <c r="O210" i="3564" a="1"/>
  <c r="O210" i="3564" s="1"/>
  <c r="N210" i="3564" a="1"/>
  <c r="N210" i="3564" s="1"/>
  <c r="K210" i="3564" a="1"/>
  <c r="K210" i="3564" s="1"/>
  <c r="M210" i="3564" a="1"/>
  <c r="M210" i="3564" s="1"/>
  <c r="O171" i="3564" a="1"/>
  <c r="O171" i="3564" s="1"/>
  <c r="M171" i="3564" a="1"/>
  <c r="M171" i="3564" s="1"/>
  <c r="L171" i="3564" a="1"/>
  <c r="L171" i="3564" s="1"/>
  <c r="K171" i="3564" a="1"/>
  <c r="K171" i="3564" s="1"/>
  <c r="P171" i="3564" a="1"/>
  <c r="P171" i="3564" s="1"/>
  <c r="N171" i="3564" a="1"/>
  <c r="N171" i="3564" s="1"/>
  <c r="M278" i="3564" a="1"/>
  <c r="M278" i="3564" s="1"/>
  <c r="L278" i="3564" a="1"/>
  <c r="L278" i="3564" s="1"/>
  <c r="P278" i="3564" a="1"/>
  <c r="P278" i="3564" s="1"/>
  <c r="O278" i="3564" a="1"/>
  <c r="O278" i="3564" s="1"/>
  <c r="N278" i="3564" a="1"/>
  <c r="N278" i="3564" s="1"/>
  <c r="K278" i="3564" a="1"/>
  <c r="K278" i="3564" s="1"/>
  <c r="M248" i="3564" a="1"/>
  <c r="M248" i="3564" s="1"/>
  <c r="L248" i="3564" a="1"/>
  <c r="L248" i="3564" s="1"/>
  <c r="P248" i="3564" a="1"/>
  <c r="P248" i="3564" s="1"/>
  <c r="O248" i="3564" a="1"/>
  <c r="O248" i="3564" s="1"/>
  <c r="N248" i="3564" a="1"/>
  <c r="N248" i="3564" s="1"/>
  <c r="K248" i="3564" a="1"/>
  <c r="K248" i="3564" s="1"/>
  <c r="O247" i="3564" a="1"/>
  <c r="O247" i="3564" s="1"/>
  <c r="P247" i="3564" a="1"/>
  <c r="P247" i="3564" s="1"/>
  <c r="N247" i="3564" a="1"/>
  <c r="N247" i="3564" s="1"/>
  <c r="M247" i="3564" a="1"/>
  <c r="M247" i="3564" s="1"/>
  <c r="L247" i="3564" a="1"/>
  <c r="L247" i="3564" s="1"/>
  <c r="K247" i="3564" a="1"/>
  <c r="K247" i="3564" s="1"/>
  <c r="L151" i="3564" a="1"/>
  <c r="L151" i="3564" s="1"/>
  <c r="K151" i="3564" a="1"/>
  <c r="K151" i="3564" s="1"/>
  <c r="P151" i="3564" a="1"/>
  <c r="P151" i="3564" s="1"/>
  <c r="M151" i="3564" a="1"/>
  <c r="M151" i="3564" s="1"/>
  <c r="O151" i="3564" a="1"/>
  <c r="O151" i="3564" s="1"/>
  <c r="N151" i="3564" a="1"/>
  <c r="N151" i="3564" s="1"/>
  <c r="L123" i="3564" a="1"/>
  <c r="L123" i="3564" s="1"/>
  <c r="O123" i="3564" a="1"/>
  <c r="O123" i="3564" s="1"/>
  <c r="N123" i="3564" a="1"/>
  <c r="N123" i="3564" s="1"/>
  <c r="M123" i="3564" a="1"/>
  <c r="M123" i="3564" s="1"/>
  <c r="P123" i="3564" a="1"/>
  <c r="P123" i="3564" s="1"/>
  <c r="K123" i="3564" a="1"/>
  <c r="K123" i="3564" s="1"/>
  <c r="BA81" i="3564"/>
  <c r="BB81" i="3564" s="1"/>
  <c r="U81" i="3564"/>
  <c r="V81" i="3564" s="1"/>
  <c r="M79" i="3448"/>
  <c r="M64" i="3448"/>
  <c r="M68" i="3448"/>
  <c r="U64" i="3436" a="1"/>
  <c r="U64" i="3436" s="1"/>
  <c r="U18" i="3436" a="1"/>
  <c r="U18" i="3436" s="1"/>
  <c r="BE58" i="3444" a="1"/>
  <c r="BE58" i="3444" s="1"/>
  <c r="BG58" i="3444" a="1"/>
  <c r="BG58" i="3444" s="1"/>
  <c r="M58" i="3444" a="1"/>
  <c r="M58" i="3444" s="1"/>
  <c r="AT58" i="3444" a="1"/>
  <c r="AT58" i="3444" s="1"/>
  <c r="AR58" i="3444" a="1"/>
  <c r="AR58" i="3444" s="1"/>
  <c r="AH58" i="3444" a="1"/>
  <c r="AH58" i="3444" s="1"/>
  <c r="T58" i="3444" a="1"/>
  <c r="T58" i="3444" s="1"/>
  <c r="AZ20" i="3495" a="1"/>
  <c r="AZ20" i="3495" s="1"/>
  <c r="AX20" i="3495" a="1"/>
  <c r="AX20" i="3495" s="1"/>
  <c r="AU20" i="3495" a="1"/>
  <c r="AU20" i="3495" s="1"/>
  <c r="V20" i="3495" a="1"/>
  <c r="V20" i="3495" s="1"/>
  <c r="W20" i="3495" s="1" a="1"/>
  <c r="W20" i="3495" s="1"/>
  <c r="Y20" i="3495" a="1"/>
  <c r="Y20" i="3495" s="1"/>
  <c r="AF29" i="3495" a="1"/>
  <c r="AF29" i="3495" s="1"/>
  <c r="AG29" i="3495" s="1" a="1"/>
  <c r="AG29" i="3495" s="1"/>
  <c r="AI29" i="3495" a="1"/>
  <c r="AI29" i="3495" s="1"/>
  <c r="P37" i="3564" a="1"/>
  <c r="P37" i="3564" s="1"/>
  <c r="O37" i="3564" a="1"/>
  <c r="O37" i="3564" s="1"/>
  <c r="N37" i="3564" a="1"/>
  <c r="N37" i="3564" s="1"/>
  <c r="M37" i="3564" a="1"/>
  <c r="M37" i="3564" s="1"/>
  <c r="L37" i="3564" a="1"/>
  <c r="L37" i="3564" s="1"/>
  <c r="K37" i="3564" a="1"/>
  <c r="K37" i="3564" s="1"/>
  <c r="BX12" i="3564"/>
  <c r="BQ13" i="3564"/>
  <c r="L53" i="3564" a="1"/>
  <c r="L53" i="3564" s="1"/>
  <c r="K53" i="3564" a="1"/>
  <c r="K53" i="3564" s="1"/>
  <c r="P53" i="3564" a="1"/>
  <c r="P53" i="3564" s="1"/>
  <c r="O53" i="3564" a="1"/>
  <c r="O53" i="3564" s="1"/>
  <c r="N53" i="3564" a="1"/>
  <c r="N53" i="3564" s="1"/>
  <c r="AF53" i="3564" s="1"/>
  <c r="M53" i="3564" a="1"/>
  <c r="M53" i="3564" s="1"/>
  <c r="BA46" i="3564"/>
  <c r="BB46" i="3564" s="1"/>
  <c r="U46" i="3564"/>
  <c r="V46" i="3564" s="1"/>
  <c r="W46" i="3564" s="1"/>
  <c r="O140" i="3564" a="1"/>
  <c r="O140" i="3564" s="1"/>
  <c r="N140" i="3564" a="1"/>
  <c r="N140" i="3564" s="1"/>
  <c r="L140" i="3564" a="1"/>
  <c r="L140" i="3564" s="1"/>
  <c r="P140" i="3564" a="1"/>
  <c r="P140" i="3564" s="1"/>
  <c r="M140" i="3564" a="1"/>
  <c r="M140" i="3564" s="1"/>
  <c r="K140" i="3564" a="1"/>
  <c r="K140" i="3564" s="1"/>
  <c r="P86" i="3564" a="1"/>
  <c r="P86" i="3564" s="1"/>
  <c r="O86" i="3564" a="1"/>
  <c r="O86" i="3564" s="1"/>
  <c r="K86" i="3564" a="1"/>
  <c r="K86" i="3564" s="1"/>
  <c r="N86" i="3564" a="1"/>
  <c r="N86" i="3564" s="1"/>
  <c r="M86" i="3564" a="1"/>
  <c r="M86" i="3564" s="1"/>
  <c r="L86" i="3564" a="1"/>
  <c r="L86" i="3564" s="1"/>
  <c r="K72" i="3564" a="1"/>
  <c r="K72" i="3564" s="1"/>
  <c r="P72" i="3564" a="1"/>
  <c r="P72" i="3564" s="1"/>
  <c r="O72" i="3564" a="1"/>
  <c r="O72" i="3564" s="1"/>
  <c r="N72" i="3564" a="1"/>
  <c r="N72" i="3564" s="1"/>
  <c r="M72" i="3564" a="1"/>
  <c r="M72" i="3564" s="1"/>
  <c r="L72" i="3564" a="1"/>
  <c r="L72" i="3564" s="1"/>
  <c r="L218" i="3564" a="1"/>
  <c r="L218" i="3564" s="1"/>
  <c r="P218" i="3564" a="1"/>
  <c r="P218" i="3564" s="1"/>
  <c r="O218" i="3564" a="1"/>
  <c r="O218" i="3564" s="1"/>
  <c r="N218" i="3564" a="1"/>
  <c r="N218" i="3564" s="1"/>
  <c r="K218" i="3564" a="1"/>
  <c r="K218" i="3564" s="1"/>
  <c r="M218" i="3564" a="1"/>
  <c r="M218" i="3564" s="1"/>
  <c r="O148" i="3564" a="1"/>
  <c r="O148" i="3564" s="1"/>
  <c r="N148" i="3564" a="1"/>
  <c r="N148" i="3564" s="1"/>
  <c r="L148" i="3564" a="1"/>
  <c r="L148" i="3564" s="1"/>
  <c r="P148" i="3564" a="1"/>
  <c r="P148" i="3564" s="1"/>
  <c r="K148" i="3564" a="1"/>
  <c r="K148" i="3564" s="1"/>
  <c r="M148" i="3564" a="1"/>
  <c r="M148" i="3564" s="1"/>
  <c r="L170" i="3564" a="1"/>
  <c r="L170" i="3564" s="1"/>
  <c r="P170" i="3564" a="1"/>
  <c r="P170" i="3564" s="1"/>
  <c r="O170" i="3564" a="1"/>
  <c r="O170" i="3564" s="1"/>
  <c r="N170" i="3564" a="1"/>
  <c r="N170" i="3564" s="1"/>
  <c r="M170" i="3564" a="1"/>
  <c r="M170" i="3564" s="1"/>
  <c r="K170" i="3564" a="1"/>
  <c r="K170" i="3564" s="1"/>
  <c r="M252" i="3564" a="1"/>
  <c r="M252" i="3564" s="1"/>
  <c r="L252" i="3564" a="1"/>
  <c r="L252" i="3564" s="1"/>
  <c r="P252" i="3564" a="1"/>
  <c r="P252" i="3564" s="1"/>
  <c r="K252" i="3564" a="1"/>
  <c r="K252" i="3564" s="1"/>
  <c r="O252" i="3564" a="1"/>
  <c r="O252" i="3564" s="1"/>
  <c r="N252" i="3564" a="1"/>
  <c r="N252" i="3564" s="1"/>
  <c r="O251" i="3564" a="1"/>
  <c r="O251" i="3564" s="1"/>
  <c r="P251" i="3564" a="1"/>
  <c r="P251" i="3564" s="1"/>
  <c r="M251" i="3564" a="1"/>
  <c r="M251" i="3564" s="1"/>
  <c r="L251" i="3564" a="1"/>
  <c r="L251" i="3564" s="1"/>
  <c r="K251" i="3564" a="1"/>
  <c r="K251" i="3564" s="1"/>
  <c r="N251" i="3564" a="1"/>
  <c r="N251" i="3564" s="1"/>
  <c r="L139" i="3564" a="1"/>
  <c r="L139" i="3564" s="1"/>
  <c r="K139" i="3564" a="1"/>
  <c r="K139" i="3564" s="1"/>
  <c r="P139" i="3564" a="1"/>
  <c r="P139" i="3564" s="1"/>
  <c r="N139" i="3564" a="1"/>
  <c r="N139" i="3564" s="1"/>
  <c r="M139" i="3564" a="1"/>
  <c r="M139" i="3564" s="1"/>
  <c r="O139" i="3564" a="1"/>
  <c r="O139" i="3564" s="1"/>
  <c r="A52" i="3445"/>
  <c r="AH92" i="3489" a="1"/>
  <c r="AH92" i="3489" s="1"/>
  <c r="AY52" i="3489" a="1"/>
  <c r="AY52" i="3489" s="1"/>
  <c r="M75" i="3448"/>
  <c r="BO74" i="3448"/>
  <c r="G43" i="3448"/>
  <c r="V19" i="3436" a="1"/>
  <c r="V19" i="3436" s="1"/>
  <c r="U39" i="3436" a="1"/>
  <c r="U39" i="3436" s="1"/>
  <c r="AD20" i="3495" a="1"/>
  <c r="AD20" i="3495" s="1"/>
  <c r="BH20" i="3495" a="1"/>
  <c r="BH20" i="3495" s="1"/>
  <c r="BE20" i="3495" a="1"/>
  <c r="BE20" i="3495" s="1"/>
  <c r="BC20" i="3495" a="1"/>
  <c r="BC20" i="3495" s="1"/>
  <c r="AA20" i="3495" a="1"/>
  <c r="AA20" i="3495" s="1"/>
  <c r="AB20" i="3495" s="1" a="1"/>
  <c r="AB20" i="3495" s="1"/>
  <c r="AP27" i="3495" a="1"/>
  <c r="AP27" i="3495" s="1"/>
  <c r="AQ27" i="3495" s="1" a="1"/>
  <c r="AQ27" i="3495" s="1"/>
  <c r="AS27" i="3495" a="1"/>
  <c r="AS27" i="3495" s="1"/>
  <c r="BY12" i="3564"/>
  <c r="BR13" i="3564"/>
  <c r="BA31" i="3564"/>
  <c r="BB31" i="3564" s="1"/>
  <c r="BC31" i="3564" s="1"/>
  <c r="U31" i="3564"/>
  <c r="V31" i="3564" s="1"/>
  <c r="BA42" i="3564"/>
  <c r="BB42" i="3564" s="1"/>
  <c r="BC42" i="3564" s="1"/>
  <c r="U42" i="3564"/>
  <c r="V42" i="3564" s="1"/>
  <c r="O132" i="3564" a="1"/>
  <c r="O132" i="3564" s="1"/>
  <c r="N132" i="3564" a="1"/>
  <c r="N132" i="3564" s="1"/>
  <c r="L132" i="3564" a="1"/>
  <c r="L132" i="3564" s="1"/>
  <c r="P132" i="3564" a="1"/>
  <c r="P132" i="3564" s="1"/>
  <c r="M132" i="3564" a="1"/>
  <c r="M132" i="3564" s="1"/>
  <c r="K132" i="3564" a="1"/>
  <c r="K132" i="3564" s="1"/>
  <c r="P90" i="3564" a="1"/>
  <c r="P90" i="3564" s="1"/>
  <c r="O90" i="3564" a="1"/>
  <c r="O90" i="3564" s="1"/>
  <c r="K90" i="3564" a="1"/>
  <c r="K90" i="3564" s="1"/>
  <c r="L90" i="3564" a="1"/>
  <c r="L90" i="3564" s="1"/>
  <c r="N90" i="3564" a="1"/>
  <c r="N90" i="3564" s="1"/>
  <c r="M90" i="3564" a="1"/>
  <c r="M90" i="3564" s="1"/>
  <c r="K76" i="3564" a="1"/>
  <c r="K76" i="3564" s="1"/>
  <c r="P76" i="3564" a="1"/>
  <c r="P76" i="3564" s="1"/>
  <c r="L76" i="3564" a="1"/>
  <c r="L76" i="3564" s="1"/>
  <c r="O76" i="3564" a="1"/>
  <c r="O76" i="3564" s="1"/>
  <c r="N76" i="3564" a="1"/>
  <c r="N76" i="3564" s="1"/>
  <c r="M76" i="3564" a="1"/>
  <c r="M76" i="3564" s="1"/>
  <c r="L226" i="3564" a="1"/>
  <c r="L226" i="3564" s="1"/>
  <c r="P226" i="3564" a="1"/>
  <c r="P226" i="3564" s="1"/>
  <c r="O226" i="3564" a="1"/>
  <c r="O226" i="3564" s="1"/>
  <c r="N226" i="3564" a="1"/>
  <c r="N226" i="3564" s="1"/>
  <c r="K226" i="3564" a="1"/>
  <c r="K226" i="3564" s="1"/>
  <c r="M226" i="3564" a="1"/>
  <c r="M226" i="3564" s="1"/>
  <c r="O152" i="3564" a="1"/>
  <c r="O152" i="3564" s="1"/>
  <c r="N152" i="3564" a="1"/>
  <c r="N152" i="3564" s="1"/>
  <c r="L152" i="3564" a="1"/>
  <c r="L152" i="3564" s="1"/>
  <c r="P152" i="3564" a="1"/>
  <c r="P152" i="3564" s="1"/>
  <c r="M152" i="3564" a="1"/>
  <c r="M152" i="3564" s="1"/>
  <c r="K152" i="3564" a="1"/>
  <c r="K152" i="3564" s="1"/>
  <c r="P271" i="3564" a="1"/>
  <c r="P271" i="3564" s="1"/>
  <c r="O271" i="3564" a="1"/>
  <c r="O271" i="3564" s="1"/>
  <c r="K271" i="3564" a="1"/>
  <c r="K271" i="3564" s="1"/>
  <c r="M271" i="3564" a="1"/>
  <c r="M271" i="3564" s="1"/>
  <c r="L271" i="3564" a="1"/>
  <c r="L271" i="3564" s="1"/>
  <c r="N271" i="3564" a="1"/>
  <c r="N271" i="3564" s="1"/>
  <c r="M256" i="3564" a="1"/>
  <c r="M256" i="3564" s="1"/>
  <c r="L256" i="3564" a="1"/>
  <c r="L256" i="3564" s="1"/>
  <c r="P256" i="3564" a="1"/>
  <c r="P256" i="3564" s="1"/>
  <c r="O256" i="3564" a="1"/>
  <c r="O256" i="3564" s="1"/>
  <c r="N256" i="3564" a="1"/>
  <c r="N256" i="3564" s="1"/>
  <c r="K256" i="3564" a="1"/>
  <c r="K256" i="3564" s="1"/>
  <c r="O255" i="3564" a="1"/>
  <c r="O255" i="3564" s="1"/>
  <c r="P255" i="3564" a="1"/>
  <c r="P255" i="3564" s="1"/>
  <c r="N255" i="3564" a="1"/>
  <c r="N255" i="3564" s="1"/>
  <c r="M255" i="3564" a="1"/>
  <c r="M255" i="3564" s="1"/>
  <c r="L255" i="3564" a="1"/>
  <c r="L255" i="3564" s="1"/>
  <c r="K255" i="3564" a="1"/>
  <c r="K255" i="3564" s="1"/>
  <c r="N63" i="3564" a="1"/>
  <c r="N63" i="3564" s="1"/>
  <c r="M63" i="3564" a="1"/>
  <c r="M63" i="3564" s="1"/>
  <c r="P63" i="3564" a="1"/>
  <c r="P63" i="3564" s="1"/>
  <c r="O63" i="3564" a="1"/>
  <c r="O63" i="3564" s="1"/>
  <c r="L63" i="3564" a="1"/>
  <c r="L63" i="3564" s="1"/>
  <c r="K63" i="3564" a="1"/>
  <c r="K63" i="3564" s="1"/>
  <c r="L135" i="3564" a="1"/>
  <c r="L135" i="3564" s="1"/>
  <c r="K135" i="3564" a="1"/>
  <c r="K135" i="3564" s="1"/>
  <c r="P135" i="3564" a="1"/>
  <c r="P135" i="3564" s="1"/>
  <c r="O135" i="3564" a="1"/>
  <c r="O135" i="3564" s="1"/>
  <c r="N135" i="3564" a="1"/>
  <c r="N135" i="3564" s="1"/>
  <c r="M135" i="3564" a="1"/>
  <c r="M135" i="3564" s="1"/>
  <c r="G61" i="3448"/>
  <c r="BW61" i="3448" s="1"/>
  <c r="M26" i="3448"/>
  <c r="AB72" i="3489" a="1"/>
  <c r="AB72" i="3489" s="1"/>
  <c r="AA72" i="3489" a="1"/>
  <c r="AA72" i="3489" s="1"/>
  <c r="AF20" i="3495" a="1"/>
  <c r="AF20" i="3495" s="1"/>
  <c r="AG20" i="3495" s="1" a="1"/>
  <c r="AG20" i="3495" s="1"/>
  <c r="AI20" i="3495" a="1"/>
  <c r="AI20" i="3495" s="1"/>
  <c r="BM20" i="3495" a="1"/>
  <c r="BM20" i="3495" s="1"/>
  <c r="BJ20" i="3495"/>
  <c r="AF28" i="3495" a="1"/>
  <c r="AF28" i="3495" s="1"/>
  <c r="AG28" i="3495" s="1" a="1"/>
  <c r="AG28" i="3495" s="1"/>
  <c r="AI28" i="3495" a="1"/>
  <c r="AI28" i="3495" s="1"/>
  <c r="L49" i="3564" a="1"/>
  <c r="L49" i="3564" s="1"/>
  <c r="K49" i="3564" a="1"/>
  <c r="K49" i="3564" s="1"/>
  <c r="P49" i="3564" a="1"/>
  <c r="P49" i="3564" s="1"/>
  <c r="O49" i="3564" a="1"/>
  <c r="O49" i="3564" s="1"/>
  <c r="N49" i="3564" a="1"/>
  <c r="N49" i="3564" s="1"/>
  <c r="M49" i="3564" a="1"/>
  <c r="M49" i="3564" s="1"/>
  <c r="BA28" i="3564"/>
  <c r="BB28" i="3564" s="1"/>
  <c r="U28" i="3564"/>
  <c r="V28" i="3564" s="1"/>
  <c r="W28" i="3564" s="1"/>
  <c r="O124" i="3564" a="1"/>
  <c r="O124" i="3564" s="1"/>
  <c r="N124" i="3564" a="1"/>
  <c r="N124" i="3564" s="1"/>
  <c r="M124" i="3564" a="1"/>
  <c r="M124" i="3564" s="1"/>
  <c r="L124" i="3564" a="1"/>
  <c r="L124" i="3564" s="1"/>
  <c r="K124" i="3564" a="1"/>
  <c r="K124" i="3564" s="1"/>
  <c r="P124" i="3564" a="1"/>
  <c r="P124" i="3564" s="1"/>
  <c r="N91" i="3564" a="1"/>
  <c r="N91" i="3564" s="1"/>
  <c r="M91" i="3564" a="1"/>
  <c r="M91" i="3564" s="1"/>
  <c r="P91" i="3564" a="1"/>
  <c r="P91" i="3564" s="1"/>
  <c r="O91" i="3564" a="1"/>
  <c r="O91" i="3564" s="1"/>
  <c r="L91" i="3564" a="1"/>
  <c r="L91" i="3564" s="1"/>
  <c r="K91" i="3564" a="1"/>
  <c r="K91" i="3564" s="1"/>
  <c r="P94" i="3564" a="1"/>
  <c r="P94" i="3564" s="1"/>
  <c r="O94" i="3564" a="1"/>
  <c r="O94" i="3564" s="1"/>
  <c r="K94" i="3564" a="1"/>
  <c r="K94" i="3564" s="1"/>
  <c r="N94" i="3564" a="1"/>
  <c r="N94" i="3564" s="1"/>
  <c r="M94" i="3564" a="1"/>
  <c r="M94" i="3564" s="1"/>
  <c r="L94" i="3564" a="1"/>
  <c r="L94" i="3564" s="1"/>
  <c r="K80" i="3564" a="1"/>
  <c r="K80" i="3564" s="1"/>
  <c r="P80" i="3564" a="1"/>
  <c r="P80" i="3564" s="1"/>
  <c r="O80" i="3564" a="1"/>
  <c r="O80" i="3564" s="1"/>
  <c r="N80" i="3564" a="1"/>
  <c r="N80" i="3564" s="1"/>
  <c r="M80" i="3564" a="1"/>
  <c r="M80" i="3564" s="1"/>
  <c r="L80" i="3564" a="1"/>
  <c r="L80" i="3564" s="1"/>
  <c r="L234" i="3564" a="1"/>
  <c r="L234" i="3564" s="1"/>
  <c r="P234" i="3564" a="1"/>
  <c r="P234" i="3564" s="1"/>
  <c r="O234" i="3564" a="1"/>
  <c r="O234" i="3564" s="1"/>
  <c r="N234" i="3564" a="1"/>
  <c r="N234" i="3564" s="1"/>
  <c r="K234" i="3564" a="1"/>
  <c r="K234" i="3564" s="1"/>
  <c r="M234" i="3564" a="1"/>
  <c r="M234" i="3564" s="1"/>
  <c r="O156" i="3564" a="1"/>
  <c r="O156" i="3564" s="1"/>
  <c r="N156" i="3564" a="1"/>
  <c r="N156" i="3564" s="1"/>
  <c r="L156" i="3564" a="1"/>
  <c r="L156" i="3564" s="1"/>
  <c r="P156" i="3564" a="1"/>
  <c r="P156" i="3564" s="1"/>
  <c r="M156" i="3564" a="1"/>
  <c r="M156" i="3564" s="1"/>
  <c r="K156" i="3564" a="1"/>
  <c r="K156" i="3564" s="1"/>
  <c r="L266" i="3564" a="1"/>
  <c r="L266" i="3564" s="1"/>
  <c r="P266" i="3564" a="1"/>
  <c r="P266" i="3564" s="1"/>
  <c r="N266" i="3564" a="1"/>
  <c r="N266" i="3564" s="1"/>
  <c r="M266" i="3564" a="1"/>
  <c r="M266" i="3564" s="1"/>
  <c r="K266" i="3564" a="1"/>
  <c r="K266" i="3564" s="1"/>
  <c r="O266" i="3564" a="1"/>
  <c r="O266" i="3564" s="1"/>
  <c r="M260" i="3564" a="1"/>
  <c r="M260" i="3564" s="1"/>
  <c r="L260" i="3564" a="1"/>
  <c r="L260" i="3564" s="1"/>
  <c r="P260" i="3564" a="1"/>
  <c r="P260" i="3564" s="1"/>
  <c r="K260" i="3564" a="1"/>
  <c r="K260" i="3564" s="1"/>
  <c r="O260" i="3564" a="1"/>
  <c r="O260" i="3564" s="1"/>
  <c r="N260" i="3564" a="1"/>
  <c r="N260" i="3564" s="1"/>
  <c r="O259" i="3564" a="1"/>
  <c r="O259" i="3564" s="1"/>
  <c r="P259" i="3564" a="1"/>
  <c r="P259" i="3564" s="1"/>
  <c r="M259" i="3564" a="1"/>
  <c r="M259" i="3564" s="1"/>
  <c r="L259" i="3564" a="1"/>
  <c r="L259" i="3564" s="1"/>
  <c r="K259" i="3564" a="1"/>
  <c r="K259" i="3564" s="1"/>
  <c r="N259" i="3564" a="1"/>
  <c r="N259" i="3564" s="1"/>
  <c r="L127" i="3564" a="1"/>
  <c r="L127" i="3564" s="1"/>
  <c r="P127" i="3564" a="1"/>
  <c r="P127" i="3564" s="1"/>
  <c r="O127" i="3564" a="1"/>
  <c r="O127" i="3564" s="1"/>
  <c r="N127" i="3564" a="1"/>
  <c r="N127" i="3564" s="1"/>
  <c r="K127" i="3564" a="1"/>
  <c r="K127" i="3564" s="1"/>
  <c r="M127" i="3564" a="1"/>
  <c r="M127" i="3564" s="1"/>
  <c r="N105" i="3564" a="1"/>
  <c r="N105" i="3564" s="1"/>
  <c r="M105" i="3564" a="1"/>
  <c r="M105" i="3564" s="1"/>
  <c r="L105" i="3564" a="1"/>
  <c r="L105" i="3564" s="1"/>
  <c r="P105" i="3564" a="1"/>
  <c r="P105" i="3564" s="1"/>
  <c r="O105" i="3564" a="1"/>
  <c r="O105" i="3564" s="1"/>
  <c r="K105" i="3564" a="1"/>
  <c r="K105" i="3564" s="1"/>
  <c r="U23" i="3564"/>
  <c r="V23" i="3564" s="1"/>
  <c r="W23" i="3564" s="1"/>
  <c r="BA23" i="3564"/>
  <c r="BB23" i="3564" s="1"/>
  <c r="U92" i="3489" a="1"/>
  <c r="U92" i="3489" s="1"/>
  <c r="BI25" i="3479" a="1"/>
  <c r="BI25" i="3479" s="1"/>
  <c r="BJ25" i="3479" s="1" a="1"/>
  <c r="BJ25" i="3479" s="1"/>
  <c r="Y92" i="3489" a="1"/>
  <c r="Y92" i="3489" s="1"/>
  <c r="BP26" i="3448"/>
  <c r="BP18" i="3448"/>
  <c r="AY78" i="3444" a="1"/>
  <c r="AY78" i="3444" s="1"/>
  <c r="AR78" i="3444" a="1"/>
  <c r="AR78" i="3444" s="1"/>
  <c r="AL78" i="3444" a="1"/>
  <c r="AL78" i="3444" s="1"/>
  <c r="AJ78" i="3444" a="1"/>
  <c r="AJ78" i="3444" s="1"/>
  <c r="AH78" i="3444" a="1"/>
  <c r="AH78" i="3444" s="1"/>
  <c r="AE78" i="3444" a="1"/>
  <c r="AE78" i="3444" s="1"/>
  <c r="BH78" i="3444" a="1"/>
  <c r="BH78" i="3444" s="1"/>
  <c r="U78" i="3444" a="1"/>
  <c r="U78" i="3444" s="1"/>
  <c r="S78" i="3444" a="1"/>
  <c r="S78" i="3444" s="1"/>
  <c r="BG78" i="3444" a="1"/>
  <c r="BG78" i="3444" s="1"/>
  <c r="O78" i="3444" a="1"/>
  <c r="O78" i="3444" s="1"/>
  <c r="BC78" i="3444" a="1"/>
  <c r="BC78" i="3444" s="1"/>
  <c r="N78" i="3444" a="1"/>
  <c r="N78" i="3444" s="1"/>
  <c r="AX78" i="3444" a="1"/>
  <c r="AX78" i="3444" s="1"/>
  <c r="AV78" i="3444" a="1"/>
  <c r="AV78" i="3444" s="1"/>
  <c r="L78" i="3444" a="1"/>
  <c r="L78" i="3444" s="1"/>
  <c r="K78" i="3444" a="1"/>
  <c r="K78" i="3444" s="1"/>
  <c r="AU78" i="3444" a="1"/>
  <c r="AU78" i="3444" s="1"/>
  <c r="AS78" i="3444" a="1"/>
  <c r="AS78" i="3444" s="1"/>
  <c r="AT78" i="3444" a="1"/>
  <c r="AT78" i="3444" s="1"/>
  <c r="AF78" i="3444" a="1"/>
  <c r="AF78" i="3444" s="1"/>
  <c r="AA78" i="3444" a="1"/>
  <c r="AA78" i="3444" s="1"/>
  <c r="V78" i="3444" a="1"/>
  <c r="V78" i="3444" s="1"/>
  <c r="AX22" i="3495" a="1"/>
  <c r="AX22" i="3495" s="1"/>
  <c r="AU22" i="3495" a="1"/>
  <c r="AU22" i="3495" s="1"/>
  <c r="V22" i="3495" a="1"/>
  <c r="V22" i="3495" s="1"/>
  <c r="W22" i="3495" s="1" a="1"/>
  <c r="W22" i="3495" s="1"/>
  <c r="AZ22" i="3495" a="1"/>
  <c r="AZ22" i="3495" s="1"/>
  <c r="Y22" i="3495" a="1"/>
  <c r="Y22" i="3495" s="1"/>
  <c r="AS25" i="3495" a="1"/>
  <c r="AS25" i="3495" s="1"/>
  <c r="AP25" i="3495" a="1"/>
  <c r="AP25" i="3495" s="1"/>
  <c r="AQ25" i="3495" s="1" a="1"/>
  <c r="AQ25" i="3495" s="1"/>
  <c r="BN13" i="3564"/>
  <c r="BU12" i="3564"/>
  <c r="N103" i="3564" a="1"/>
  <c r="N103" i="3564" s="1"/>
  <c r="M103" i="3564" a="1"/>
  <c r="M103" i="3564" s="1"/>
  <c r="P103" i="3564" a="1"/>
  <c r="P103" i="3564" s="1"/>
  <c r="O103" i="3564" a="1"/>
  <c r="O103" i="3564" s="1"/>
  <c r="L103" i="3564" a="1"/>
  <c r="L103" i="3564" s="1"/>
  <c r="K103" i="3564" a="1"/>
  <c r="K103" i="3564" s="1"/>
  <c r="P98" i="3564" a="1"/>
  <c r="P98" i="3564" s="1"/>
  <c r="O98" i="3564" a="1"/>
  <c r="O98" i="3564" s="1"/>
  <c r="K98" i="3564" a="1"/>
  <c r="K98" i="3564" s="1"/>
  <c r="N98" i="3564" a="1"/>
  <c r="N98" i="3564" s="1"/>
  <c r="M98" i="3564" a="1"/>
  <c r="M98" i="3564" s="1"/>
  <c r="L98" i="3564" a="1"/>
  <c r="L98" i="3564" s="1"/>
  <c r="K84" i="3564" a="1"/>
  <c r="K84" i="3564" s="1"/>
  <c r="P84" i="3564" a="1"/>
  <c r="P84" i="3564" s="1"/>
  <c r="O84" i="3564" a="1"/>
  <c r="O84" i="3564" s="1"/>
  <c r="N84" i="3564" a="1"/>
  <c r="N84" i="3564" s="1"/>
  <c r="M84" i="3564" a="1"/>
  <c r="M84" i="3564" s="1"/>
  <c r="L84" i="3564" a="1"/>
  <c r="L84" i="3564" s="1"/>
  <c r="L242" i="3564" a="1"/>
  <c r="L242" i="3564" s="1"/>
  <c r="P242" i="3564" a="1"/>
  <c r="P242" i="3564" s="1"/>
  <c r="O242" i="3564" a="1"/>
  <c r="O242" i="3564" s="1"/>
  <c r="N242" i="3564" a="1"/>
  <c r="N242" i="3564" s="1"/>
  <c r="M242" i="3564" a="1"/>
  <c r="M242" i="3564" s="1"/>
  <c r="K242" i="3564" a="1"/>
  <c r="K242" i="3564" s="1"/>
  <c r="O160" i="3564" a="1"/>
  <c r="O160" i="3564" s="1"/>
  <c r="N160" i="3564" a="1"/>
  <c r="N160" i="3564" s="1"/>
  <c r="L160" i="3564" a="1"/>
  <c r="L160" i="3564" s="1"/>
  <c r="P160" i="3564" a="1"/>
  <c r="P160" i="3564" s="1"/>
  <c r="M160" i="3564" a="1"/>
  <c r="M160" i="3564" s="1"/>
  <c r="K160" i="3564" a="1"/>
  <c r="K160" i="3564" s="1"/>
  <c r="M282" i="3564" a="1"/>
  <c r="M282" i="3564" s="1"/>
  <c r="L282" i="3564" a="1"/>
  <c r="L282" i="3564" s="1"/>
  <c r="P282" i="3564" a="1"/>
  <c r="P282" i="3564" s="1"/>
  <c r="O282" i="3564" a="1"/>
  <c r="O282" i="3564" s="1"/>
  <c r="N282" i="3564" a="1"/>
  <c r="N282" i="3564" s="1"/>
  <c r="K282" i="3564" a="1"/>
  <c r="K282" i="3564" s="1"/>
  <c r="O263" i="3564" a="1"/>
  <c r="O263" i="3564" s="1"/>
  <c r="M263" i="3564" a="1"/>
  <c r="M263" i="3564" s="1"/>
  <c r="L263" i="3564" a="1"/>
  <c r="L263" i="3564" s="1"/>
  <c r="P263" i="3564" a="1"/>
  <c r="P263" i="3564" s="1"/>
  <c r="N263" i="3564" a="1"/>
  <c r="N263" i="3564" s="1"/>
  <c r="K263" i="3564" a="1"/>
  <c r="K263" i="3564" s="1"/>
  <c r="O265" i="3564" a="1"/>
  <c r="O265" i="3564" s="1"/>
  <c r="N265" i="3564" a="1"/>
  <c r="N265" i="3564" s="1"/>
  <c r="P265" i="3564" a="1"/>
  <c r="P265" i="3564" s="1"/>
  <c r="M265" i="3564" a="1"/>
  <c r="M265" i="3564" s="1"/>
  <c r="L265" i="3564" a="1"/>
  <c r="L265" i="3564" s="1"/>
  <c r="K265" i="3564" a="1"/>
  <c r="K265" i="3564" s="1"/>
  <c r="K58" i="3564" a="1"/>
  <c r="K58" i="3564" s="1"/>
  <c r="P58" i="3564" a="1"/>
  <c r="P58" i="3564" s="1"/>
  <c r="O58" i="3564" a="1"/>
  <c r="O58" i="3564" s="1"/>
  <c r="N58" i="3564" a="1"/>
  <c r="N58" i="3564" s="1"/>
  <c r="M58" i="3564" a="1"/>
  <c r="M58" i="3564" s="1"/>
  <c r="L58" i="3564" a="1"/>
  <c r="L58" i="3564" s="1"/>
  <c r="AE92" i="3489" a="1"/>
  <c r="AE92" i="3489" s="1"/>
  <c r="Y58" i="3436"/>
  <c r="BR20" i="3495" a="1"/>
  <c r="BR20" i="3495" s="1"/>
  <c r="AN20" i="3495" a="1"/>
  <c r="AN20" i="3495" s="1"/>
  <c r="AK20" i="3495" a="1"/>
  <c r="AK20" i="3495" s="1"/>
  <c r="AL20" i="3495" s="1" a="1"/>
  <c r="AL20" i="3495" s="1"/>
  <c r="BO20" i="3495" a="1"/>
  <c r="BO20" i="3495" s="1"/>
  <c r="AF26" i="3495" a="1"/>
  <c r="AF26" i="3495" s="1"/>
  <c r="AG26" i="3495" s="1" a="1"/>
  <c r="AG26" i="3495" s="1"/>
  <c r="BJ26" i="3495"/>
  <c r="BM26" i="3495" a="1"/>
  <c r="BM26" i="3495" s="1"/>
  <c r="AI26" i="3495" a="1"/>
  <c r="AI26" i="3495" s="1"/>
  <c r="U99" i="3564"/>
  <c r="V99" i="3564" s="1"/>
  <c r="BA99" i="3564"/>
  <c r="BB99" i="3564" s="1"/>
  <c r="L45" i="3564" a="1"/>
  <c r="L45" i="3564" s="1"/>
  <c r="K45" i="3564" a="1"/>
  <c r="K45" i="3564" s="1"/>
  <c r="P45" i="3564" a="1"/>
  <c r="P45" i="3564" s="1"/>
  <c r="O45" i="3564" a="1"/>
  <c r="O45" i="3564" s="1"/>
  <c r="N45" i="3564" a="1"/>
  <c r="N45" i="3564" s="1"/>
  <c r="AF45" i="3564" s="1"/>
  <c r="M45" i="3564" a="1"/>
  <c r="M45" i="3564" s="1"/>
  <c r="BA32" i="3564"/>
  <c r="BB32" i="3564" s="1"/>
  <c r="U32" i="3564"/>
  <c r="V32" i="3564" s="1"/>
  <c r="W32" i="3564" s="1"/>
  <c r="P39" i="3564" a="1"/>
  <c r="P39" i="3564" s="1"/>
  <c r="O39" i="3564" a="1"/>
  <c r="O39" i="3564" s="1"/>
  <c r="N39" i="3564" a="1"/>
  <c r="N39" i="3564" s="1"/>
  <c r="AF39" i="3564" s="1"/>
  <c r="M39" i="3564" a="1"/>
  <c r="M39" i="3564" s="1"/>
  <c r="L39" i="3564" a="1"/>
  <c r="L39" i="3564" s="1"/>
  <c r="K39" i="3564" a="1"/>
  <c r="K39" i="3564" s="1"/>
  <c r="P102" i="3564" a="1"/>
  <c r="P102" i="3564" s="1"/>
  <c r="O102" i="3564" a="1"/>
  <c r="O102" i="3564" s="1"/>
  <c r="K102" i="3564" a="1"/>
  <c r="K102" i="3564" s="1"/>
  <c r="N102" i="3564" a="1"/>
  <c r="N102" i="3564" s="1"/>
  <c r="M102" i="3564" a="1"/>
  <c r="M102" i="3564" s="1"/>
  <c r="L102" i="3564" a="1"/>
  <c r="L102" i="3564" s="1"/>
  <c r="K88" i="3564" a="1"/>
  <c r="K88" i="3564" s="1"/>
  <c r="P88" i="3564" a="1"/>
  <c r="P88" i="3564" s="1"/>
  <c r="O88" i="3564" a="1"/>
  <c r="O88" i="3564" s="1"/>
  <c r="N88" i="3564" a="1"/>
  <c r="N88" i="3564" s="1"/>
  <c r="M88" i="3564" a="1"/>
  <c r="M88" i="3564" s="1"/>
  <c r="L88" i="3564" a="1"/>
  <c r="L88" i="3564" s="1"/>
  <c r="L250" i="3564" a="1"/>
  <c r="L250" i="3564" s="1"/>
  <c r="P250" i="3564" a="1"/>
  <c r="P250" i="3564" s="1"/>
  <c r="O250" i="3564" a="1"/>
  <c r="O250" i="3564" s="1"/>
  <c r="N250" i="3564" a="1"/>
  <c r="N250" i="3564" s="1"/>
  <c r="M250" i="3564" a="1"/>
  <c r="M250" i="3564" s="1"/>
  <c r="K250" i="3564" a="1"/>
  <c r="K250" i="3564" s="1"/>
  <c r="O164" i="3564" a="1"/>
  <c r="O164" i="3564" s="1"/>
  <c r="N164" i="3564" a="1"/>
  <c r="N164" i="3564" s="1"/>
  <c r="L164" i="3564" a="1"/>
  <c r="L164" i="3564" s="1"/>
  <c r="P164" i="3564" a="1"/>
  <c r="P164" i="3564" s="1"/>
  <c r="M164" i="3564" a="1"/>
  <c r="M164" i="3564" s="1"/>
  <c r="K164" i="3564" a="1"/>
  <c r="K164" i="3564" s="1"/>
  <c r="P172" i="3564" a="1"/>
  <c r="P172" i="3564" s="1"/>
  <c r="N172" i="3564" a="1"/>
  <c r="N172" i="3564" s="1"/>
  <c r="K172" i="3564" a="1"/>
  <c r="K172" i="3564" s="1"/>
  <c r="O172" i="3564" a="1"/>
  <c r="O172" i="3564" s="1"/>
  <c r="M172" i="3564" a="1"/>
  <c r="M172" i="3564" s="1"/>
  <c r="L172" i="3564" a="1"/>
  <c r="L172" i="3564" s="1"/>
  <c r="N276" i="3564" a="1"/>
  <c r="N276" i="3564" s="1"/>
  <c r="L276" i="3564" a="1"/>
  <c r="L276" i="3564" s="1"/>
  <c r="K276" i="3564" a="1"/>
  <c r="K276" i="3564" s="1"/>
  <c r="P276" i="3564" a="1"/>
  <c r="P276" i="3564" s="1"/>
  <c r="O276" i="3564" a="1"/>
  <c r="O276" i="3564" s="1"/>
  <c r="M276" i="3564" a="1"/>
  <c r="M276" i="3564" s="1"/>
  <c r="P267" i="3564" a="1"/>
  <c r="P267" i="3564" s="1"/>
  <c r="O267" i="3564" a="1"/>
  <c r="O267" i="3564" s="1"/>
  <c r="N267" i="3564" a="1"/>
  <c r="N267" i="3564" s="1"/>
  <c r="K267" i="3564" a="1"/>
  <c r="K267" i="3564" s="1"/>
  <c r="M267" i="3564" a="1"/>
  <c r="M267" i="3564" s="1"/>
  <c r="L267" i="3564" a="1"/>
  <c r="L267" i="3564" s="1"/>
  <c r="BA93" i="3564"/>
  <c r="BB93" i="3564" s="1"/>
  <c r="U93" i="3564"/>
  <c r="V93" i="3564" s="1"/>
  <c r="N67" i="3564" a="1"/>
  <c r="N67" i="3564" s="1"/>
  <c r="AF67" i="3564" s="1"/>
  <c r="M67" i="3564" a="1"/>
  <c r="M67" i="3564" s="1"/>
  <c r="P67" i="3564" a="1"/>
  <c r="P67" i="3564" s="1"/>
  <c r="O67" i="3564" a="1"/>
  <c r="O67" i="3564" s="1"/>
  <c r="L67" i="3564" a="1"/>
  <c r="L67" i="3564" s="1"/>
  <c r="K67" i="3564" a="1"/>
  <c r="K67" i="3564" s="1"/>
  <c r="L182" i="3564" a="1"/>
  <c r="L182" i="3564" s="1"/>
  <c r="P182" i="3564" a="1"/>
  <c r="P182" i="3564" s="1"/>
  <c r="O182" i="3564" a="1"/>
  <c r="O182" i="3564" s="1"/>
  <c r="M182" i="3564" a="1"/>
  <c r="M182" i="3564" s="1"/>
  <c r="K182" i="3564" a="1"/>
  <c r="K182" i="3564" s="1"/>
  <c r="N182" i="3564" a="1"/>
  <c r="N182" i="3564" s="1"/>
  <c r="AG92" i="3489" a="1"/>
  <c r="AG92" i="3489" s="1"/>
  <c r="G22" i="3448"/>
  <c r="G47" i="3436"/>
  <c r="I49" i="3444" s="1"/>
  <c r="Y62" i="3436"/>
  <c r="BI91" i="3489" a="1"/>
  <c r="BI91" i="3489" s="1"/>
  <c r="AU91" i="3489" a="1"/>
  <c r="AU91" i="3489" s="1"/>
  <c r="AT91" i="3489" a="1"/>
  <c r="AT91" i="3489" s="1"/>
  <c r="AR91" i="3489" a="1"/>
  <c r="AR91" i="3489" s="1"/>
  <c r="AN91" i="3489" a="1"/>
  <c r="AN91" i="3489" s="1"/>
  <c r="AJ91" i="3489" a="1"/>
  <c r="AJ91" i="3489" s="1"/>
  <c r="AF91" i="3489" a="1"/>
  <c r="AF91" i="3489" s="1"/>
  <c r="B91" i="3489"/>
  <c r="V91" i="3489" a="1"/>
  <c r="V91" i="3489" s="1"/>
  <c r="T91" i="3489" a="1"/>
  <c r="T91" i="3489" s="1"/>
  <c r="R91" i="3489" a="1"/>
  <c r="R91" i="3489" s="1"/>
  <c r="BH91" i="3489" a="1"/>
  <c r="BH91" i="3489" s="1"/>
  <c r="BG91" i="3489" a="1"/>
  <c r="BG91" i="3489" s="1"/>
  <c r="Q91" i="3489" a="1"/>
  <c r="Q91" i="3489" s="1"/>
  <c r="BB91" i="3489" a="1"/>
  <c r="BB91" i="3489" s="1"/>
  <c r="P91" i="3489" a="1"/>
  <c r="P91" i="3489" s="1"/>
  <c r="AW91" i="3489" a="1"/>
  <c r="AW91" i="3489" s="1"/>
  <c r="X91" i="3489" a="1"/>
  <c r="X91" i="3489" s="1"/>
  <c r="W91" i="3489" a="1"/>
  <c r="W91" i="3489" s="1"/>
  <c r="AX91" i="3489" a="1"/>
  <c r="AX91" i="3489" s="1"/>
  <c r="AE91" i="3489" a="1"/>
  <c r="AE91" i="3489" s="1"/>
  <c r="AD91" i="3489" a="1"/>
  <c r="AD91" i="3489" s="1"/>
  <c r="AR27" i="3489" a="1"/>
  <c r="AR27" i="3489" s="1"/>
  <c r="BH27" i="3489" a="1"/>
  <c r="BH27" i="3489" s="1"/>
  <c r="AG27" i="3489" a="1"/>
  <c r="AG27" i="3489" s="1"/>
  <c r="Z27" i="3489" a="1"/>
  <c r="Z27" i="3489" s="1"/>
  <c r="W27" i="3489" a="1"/>
  <c r="W27" i="3489" s="1"/>
  <c r="V27" i="3489" a="1"/>
  <c r="V27" i="3489" s="1"/>
  <c r="AD22" i="3495" a="1"/>
  <c r="AD22" i="3495" s="1"/>
  <c r="AA22" i="3495" a="1"/>
  <c r="AA22" i="3495" s="1"/>
  <c r="AB22" i="3495" s="1" a="1"/>
  <c r="AB22" i="3495" s="1"/>
  <c r="BE22" i="3495" a="1"/>
  <c r="BE22" i="3495" s="1"/>
  <c r="BC22" i="3495" a="1"/>
  <c r="BC22" i="3495" s="1"/>
  <c r="BH22" i="3495" a="1"/>
  <c r="BH22" i="3495" s="1"/>
  <c r="AS26" i="3495" a="1"/>
  <c r="AS26" i="3495" s="1"/>
  <c r="AP26" i="3495" a="1"/>
  <c r="AP26" i="3495" s="1"/>
  <c r="AQ26" i="3495" s="1" a="1"/>
  <c r="AQ26" i="3495" s="1"/>
  <c r="N97" i="3564" a="1"/>
  <c r="N97" i="3564" s="1"/>
  <c r="M97" i="3564" a="1"/>
  <c r="M97" i="3564" s="1"/>
  <c r="L97" i="3564" a="1"/>
  <c r="L97" i="3564" s="1"/>
  <c r="K97" i="3564" a="1"/>
  <c r="K97" i="3564" s="1"/>
  <c r="P97" i="3564" a="1"/>
  <c r="P97" i="3564" s="1"/>
  <c r="O97" i="3564" a="1"/>
  <c r="O97" i="3564" s="1"/>
  <c r="BA12" i="3564"/>
  <c r="BB12" i="3564" s="1"/>
  <c r="U12" i="3564"/>
  <c r="V12" i="3564" s="1"/>
  <c r="L159" i="3564" a="1"/>
  <c r="L159" i="3564" s="1"/>
  <c r="K159" i="3564" a="1"/>
  <c r="K159" i="3564" s="1"/>
  <c r="P159" i="3564" a="1"/>
  <c r="P159" i="3564" s="1"/>
  <c r="O159" i="3564" a="1"/>
  <c r="O159" i="3564" s="1"/>
  <c r="M159" i="3564" a="1"/>
  <c r="M159" i="3564" s="1"/>
  <c r="N159" i="3564" a="1"/>
  <c r="N159" i="3564" s="1"/>
  <c r="P106" i="3564" a="1"/>
  <c r="P106" i="3564" s="1"/>
  <c r="O106" i="3564" a="1"/>
  <c r="O106" i="3564" s="1"/>
  <c r="K106" i="3564" a="1"/>
  <c r="K106" i="3564" s="1"/>
  <c r="N106" i="3564" a="1"/>
  <c r="N106" i="3564" s="1"/>
  <c r="M106" i="3564" a="1"/>
  <c r="M106" i="3564" s="1"/>
  <c r="L106" i="3564" a="1"/>
  <c r="L106" i="3564" s="1"/>
  <c r="K92" i="3564" a="1"/>
  <c r="K92" i="3564" s="1"/>
  <c r="P92" i="3564" a="1"/>
  <c r="P92" i="3564" s="1"/>
  <c r="N92" i="3564" a="1"/>
  <c r="N92" i="3564" s="1"/>
  <c r="M92" i="3564" a="1"/>
  <c r="M92" i="3564" s="1"/>
  <c r="L92" i="3564" a="1"/>
  <c r="L92" i="3564" s="1"/>
  <c r="O92" i="3564" a="1"/>
  <c r="O92" i="3564" s="1"/>
  <c r="L258" i="3564" a="1"/>
  <c r="L258" i="3564" s="1"/>
  <c r="P258" i="3564" a="1"/>
  <c r="P258" i="3564" s="1"/>
  <c r="O258" i="3564" a="1"/>
  <c r="O258" i="3564" s="1"/>
  <c r="N258" i="3564" a="1"/>
  <c r="N258" i="3564" s="1"/>
  <c r="M258" i="3564" a="1"/>
  <c r="M258" i="3564" s="1"/>
  <c r="K258" i="3564" a="1"/>
  <c r="K258" i="3564" s="1"/>
  <c r="O168" i="3564" a="1"/>
  <c r="O168" i="3564" s="1"/>
  <c r="N168" i="3564" a="1"/>
  <c r="N168" i="3564" s="1"/>
  <c r="L168" i="3564" a="1"/>
  <c r="L168" i="3564" s="1"/>
  <c r="P168" i="3564" a="1"/>
  <c r="P168" i="3564" s="1"/>
  <c r="M168" i="3564" a="1"/>
  <c r="M168" i="3564" s="1"/>
  <c r="K168" i="3564" a="1"/>
  <c r="K168" i="3564" s="1"/>
  <c r="P176" i="3564" a="1"/>
  <c r="P176" i="3564" s="1"/>
  <c r="O176" i="3564" a="1"/>
  <c r="O176" i="3564" s="1"/>
  <c r="N176" i="3564" a="1"/>
  <c r="N176" i="3564" s="1"/>
  <c r="M176" i="3564" a="1"/>
  <c r="M176" i="3564" s="1"/>
  <c r="L176" i="3564" a="1"/>
  <c r="L176" i="3564" s="1"/>
  <c r="K176" i="3564" a="1"/>
  <c r="K176" i="3564" s="1"/>
  <c r="M286" i="3564" a="1"/>
  <c r="M286" i="3564" s="1"/>
  <c r="L286" i="3564" a="1"/>
  <c r="L286" i="3564" s="1"/>
  <c r="P286" i="3564" a="1"/>
  <c r="P286" i="3564" s="1"/>
  <c r="N286" i="3564" a="1"/>
  <c r="N286" i="3564" s="1"/>
  <c r="K286" i="3564" a="1"/>
  <c r="K286" i="3564" s="1"/>
  <c r="O286" i="3564" a="1"/>
  <c r="O286" i="3564" s="1"/>
  <c r="N272" i="3564" a="1"/>
  <c r="N272" i="3564" s="1"/>
  <c r="L272" i="3564" a="1"/>
  <c r="L272" i="3564" s="1"/>
  <c r="K272" i="3564" a="1"/>
  <c r="K272" i="3564" s="1"/>
  <c r="P272" i="3564" a="1"/>
  <c r="P272" i="3564" s="1"/>
  <c r="M272" i="3564" a="1"/>
  <c r="M272" i="3564" s="1"/>
  <c r="O272" i="3564" a="1"/>
  <c r="O272" i="3564" s="1"/>
  <c r="O55" i="3564" a="1"/>
  <c r="O55" i="3564" s="1"/>
  <c r="P55" i="3564" a="1"/>
  <c r="P55" i="3564" s="1"/>
  <c r="N55" i="3564" a="1"/>
  <c r="N55" i="3564" s="1"/>
  <c r="M55" i="3564" a="1"/>
  <c r="M55" i="3564" s="1"/>
  <c r="L55" i="3564" a="1"/>
  <c r="L55" i="3564" s="1"/>
  <c r="K55" i="3564" a="1"/>
  <c r="K55" i="3564" s="1"/>
  <c r="N79" i="3564" a="1"/>
  <c r="N79" i="3564" s="1"/>
  <c r="M79" i="3564" a="1"/>
  <c r="M79" i="3564" s="1"/>
  <c r="P79" i="3564" a="1"/>
  <c r="P79" i="3564" s="1"/>
  <c r="O79" i="3564" a="1"/>
  <c r="O79" i="3564" s="1"/>
  <c r="L79" i="3564" a="1"/>
  <c r="L79" i="3564" s="1"/>
  <c r="K79" i="3564" a="1"/>
  <c r="K79" i="3564" s="1"/>
  <c r="U33" i="3564"/>
  <c r="V33" i="3564" s="1"/>
  <c r="BA33" i="3564"/>
  <c r="BB33" i="3564" s="1"/>
  <c r="N95" i="3564" a="1"/>
  <c r="N95" i="3564" s="1"/>
  <c r="M95" i="3564" a="1"/>
  <c r="M95" i="3564" s="1"/>
  <c r="P95" i="3564" a="1"/>
  <c r="P95" i="3564" s="1"/>
  <c r="O95" i="3564" a="1"/>
  <c r="O95" i="3564" s="1"/>
  <c r="L95" i="3564" a="1"/>
  <c r="L95" i="3564" s="1"/>
  <c r="K95" i="3564" a="1"/>
  <c r="K95" i="3564" s="1"/>
  <c r="N58" i="3445" a="1"/>
  <c r="N58" i="3445" s="1"/>
  <c r="O27" i="3445"/>
  <c r="AP92" i="3489" a="1"/>
  <c r="AP92" i="3489" s="1"/>
  <c r="AZ52" i="3489" a="1"/>
  <c r="AZ52" i="3489" s="1"/>
  <c r="BO28" i="3448"/>
  <c r="Y76" i="3436"/>
  <c r="AS20" i="3495" a="1"/>
  <c r="AS20" i="3495" s="1"/>
  <c r="AP20" i="3495" a="1"/>
  <c r="AP20" i="3495" s="1"/>
  <c r="AQ20" i="3495" s="1" a="1"/>
  <c r="AQ20" i="3495" s="1"/>
  <c r="AS29" i="3495" a="1"/>
  <c r="AS29" i="3495" s="1"/>
  <c r="AP29" i="3495" a="1"/>
  <c r="AP29" i="3495" s="1"/>
  <c r="AQ29" i="3495" s="1" a="1"/>
  <c r="AQ29" i="3495" s="1"/>
  <c r="N71" i="3564" a="1"/>
  <c r="N71" i="3564" s="1"/>
  <c r="M71" i="3564" a="1"/>
  <c r="M71" i="3564" s="1"/>
  <c r="L71" i="3564" a="1"/>
  <c r="L71" i="3564" s="1"/>
  <c r="K71" i="3564" a="1"/>
  <c r="K71" i="3564" s="1"/>
  <c r="P71" i="3564" a="1"/>
  <c r="P71" i="3564" s="1"/>
  <c r="O71" i="3564" a="1"/>
  <c r="O71" i="3564" s="1"/>
  <c r="L41" i="3564" a="1"/>
  <c r="L41" i="3564" s="1"/>
  <c r="K41" i="3564" a="1"/>
  <c r="K41" i="3564" s="1"/>
  <c r="P41" i="3564" a="1"/>
  <c r="P41" i="3564" s="1"/>
  <c r="O41" i="3564" a="1"/>
  <c r="O41" i="3564" s="1"/>
  <c r="N41" i="3564" a="1"/>
  <c r="N41" i="3564" s="1"/>
  <c r="AF41" i="3564" s="1"/>
  <c r="M41" i="3564" a="1"/>
  <c r="M41" i="3564" s="1"/>
  <c r="U115" i="3564"/>
  <c r="V115" i="3564" s="1"/>
  <c r="BA115" i="3564"/>
  <c r="BB115" i="3564" s="1"/>
  <c r="O120" i="3564" a="1"/>
  <c r="O120" i="3564" s="1"/>
  <c r="M120" i="3564" a="1"/>
  <c r="M120" i="3564" s="1"/>
  <c r="L120" i="3564" a="1"/>
  <c r="L120" i="3564" s="1"/>
  <c r="K120" i="3564" a="1"/>
  <c r="K120" i="3564" s="1"/>
  <c r="P120" i="3564" a="1"/>
  <c r="P120" i="3564" s="1"/>
  <c r="N120" i="3564" a="1"/>
  <c r="N120" i="3564" s="1"/>
  <c r="U29" i="3564"/>
  <c r="V29" i="3564" s="1"/>
  <c r="W29" i="3564" s="1"/>
  <c r="BA29" i="3564"/>
  <c r="BB29" i="3564" s="1"/>
  <c r="P110" i="3564" a="1"/>
  <c r="P110" i="3564" s="1"/>
  <c r="O110" i="3564" a="1"/>
  <c r="O110" i="3564" s="1"/>
  <c r="L110" i="3564" a="1"/>
  <c r="L110" i="3564" s="1"/>
  <c r="K110" i="3564" a="1"/>
  <c r="K110" i="3564" s="1"/>
  <c r="N110" i="3564" a="1"/>
  <c r="N110" i="3564" s="1"/>
  <c r="M110" i="3564" a="1"/>
  <c r="M110" i="3564" s="1"/>
  <c r="K96" i="3564" a="1"/>
  <c r="K96" i="3564" s="1"/>
  <c r="P96" i="3564" a="1"/>
  <c r="P96" i="3564" s="1"/>
  <c r="O96" i="3564" a="1"/>
  <c r="O96" i="3564" s="1"/>
  <c r="N96" i="3564" a="1"/>
  <c r="N96" i="3564" s="1"/>
  <c r="M96" i="3564" a="1"/>
  <c r="M96" i="3564" s="1"/>
  <c r="L96" i="3564" a="1"/>
  <c r="L96" i="3564" s="1"/>
  <c r="O133" i="3564" a="1"/>
  <c r="O133" i="3564" s="1"/>
  <c r="P133" i="3564" a="1"/>
  <c r="P133" i="3564" s="1"/>
  <c r="L133" i="3564" a="1"/>
  <c r="L133" i="3564" s="1"/>
  <c r="K133" i="3564" a="1"/>
  <c r="K133" i="3564" s="1"/>
  <c r="N133" i="3564" a="1"/>
  <c r="N133" i="3564" s="1"/>
  <c r="M133" i="3564" a="1"/>
  <c r="M133" i="3564" s="1"/>
  <c r="M173" i="3564" a="1"/>
  <c r="M173" i="3564" s="1"/>
  <c r="P173" i="3564" a="1"/>
  <c r="P173" i="3564" s="1"/>
  <c r="L173" i="3564" a="1"/>
  <c r="L173" i="3564" s="1"/>
  <c r="O173" i="3564" a="1"/>
  <c r="O173" i="3564" s="1"/>
  <c r="N173" i="3564" a="1"/>
  <c r="N173" i="3564" s="1"/>
  <c r="K173" i="3564" a="1"/>
  <c r="K173" i="3564" s="1"/>
  <c r="M180" i="3564" a="1"/>
  <c r="M180" i="3564" s="1"/>
  <c r="L180" i="3564" a="1"/>
  <c r="L180" i="3564" s="1"/>
  <c r="P180" i="3564" a="1"/>
  <c r="P180" i="3564" s="1"/>
  <c r="N180" i="3564" a="1"/>
  <c r="N180" i="3564" s="1"/>
  <c r="K180" i="3564" a="1"/>
  <c r="K180" i="3564" s="1"/>
  <c r="O180" i="3564" a="1"/>
  <c r="O180" i="3564" s="1"/>
  <c r="M274" i="3564" a="1"/>
  <c r="M274" i="3564" s="1"/>
  <c r="L274" i="3564" a="1"/>
  <c r="L274" i="3564" s="1"/>
  <c r="P274" i="3564" a="1"/>
  <c r="P274" i="3564" s="1"/>
  <c r="O274" i="3564" a="1"/>
  <c r="O274" i="3564" s="1"/>
  <c r="N274" i="3564" a="1"/>
  <c r="N274" i="3564" s="1"/>
  <c r="K274" i="3564" a="1"/>
  <c r="K274" i="3564" s="1"/>
  <c r="P264" i="3564" a="1"/>
  <c r="P264" i="3564" s="1"/>
  <c r="O264" i="3564" a="1"/>
  <c r="O264" i="3564" s="1"/>
  <c r="M264" i="3564" a="1"/>
  <c r="M264" i="3564" s="1"/>
  <c r="N264" i="3564" a="1"/>
  <c r="N264" i="3564" s="1"/>
  <c r="L264" i="3564" a="1"/>
  <c r="L264" i="3564" s="1"/>
  <c r="K264" i="3564" a="1"/>
  <c r="K264" i="3564" s="1"/>
  <c r="N65" i="3564" a="1"/>
  <c r="N65" i="3564" s="1"/>
  <c r="M65" i="3564" a="1"/>
  <c r="M65" i="3564" s="1"/>
  <c r="P65" i="3564" a="1"/>
  <c r="P65" i="3564" s="1"/>
  <c r="O65" i="3564" a="1"/>
  <c r="O65" i="3564" s="1"/>
  <c r="L65" i="3564" a="1"/>
  <c r="L65" i="3564" s="1"/>
  <c r="K65" i="3564" a="1"/>
  <c r="K65" i="3564" s="1"/>
  <c r="I22" i="3436"/>
  <c r="S41" i="3445" s="1" a="1"/>
  <c r="S41" i="3445" s="1"/>
  <c r="T41" i="3445" s="1"/>
  <c r="N75" i="3445" a="1"/>
  <c r="N75" i="3445" s="1"/>
  <c r="O58" i="3445"/>
  <c r="BD92" i="3489" a="1"/>
  <c r="BD92" i="3489" s="1"/>
  <c r="R52" i="3489" a="1"/>
  <c r="R52" i="3489" s="1"/>
  <c r="Y28" i="3436"/>
  <c r="AO25" i="3444" a="1"/>
  <c r="AO25" i="3444" s="1"/>
  <c r="AP25" i="3444" a="1"/>
  <c r="AP25" i="3444" s="1"/>
  <c r="AN25" i="3444" a="1"/>
  <c r="AN25" i="3444" s="1"/>
  <c r="AE25" i="3444" a="1"/>
  <c r="AE25" i="3444" s="1"/>
  <c r="AD25" i="3444" a="1"/>
  <c r="AD25" i="3444" s="1"/>
  <c r="AA25" i="3444" a="1"/>
  <c r="AA25" i="3444" s="1"/>
  <c r="BF65" i="3489" a="1"/>
  <c r="BF65" i="3489" s="1"/>
  <c r="AF22" i="3495" a="1"/>
  <c r="AF22" i="3495" s="1"/>
  <c r="AG22" i="3495" s="1" a="1"/>
  <c r="AG22" i="3495" s="1"/>
  <c r="AI22" i="3495" a="1"/>
  <c r="AI22" i="3495" s="1"/>
  <c r="BJ22" i="3495"/>
  <c r="BM22" i="3495" a="1"/>
  <c r="BM22" i="3495" s="1"/>
  <c r="AS30" i="3495" a="1"/>
  <c r="AS30" i="3495" s="1"/>
  <c r="AP30" i="3495" a="1"/>
  <c r="AP30" i="3495" s="1"/>
  <c r="AQ30" i="3495" s="1" a="1"/>
  <c r="AQ30" i="3495" s="1"/>
  <c r="BA60" i="3564"/>
  <c r="BB60" i="3564" s="1"/>
  <c r="U60" i="3564"/>
  <c r="V60" i="3564" s="1"/>
  <c r="W60" i="3564" s="1"/>
  <c r="N89" i="3564" a="1"/>
  <c r="N89" i="3564" s="1"/>
  <c r="M89" i="3564" a="1"/>
  <c r="M89" i="3564" s="1"/>
  <c r="L89" i="3564" a="1"/>
  <c r="L89" i="3564" s="1"/>
  <c r="P89" i="3564" a="1"/>
  <c r="P89" i="3564" s="1"/>
  <c r="O89" i="3564" a="1"/>
  <c r="O89" i="3564" s="1"/>
  <c r="K89" i="3564" a="1"/>
  <c r="K89" i="3564" s="1"/>
  <c r="P114" i="3564" a="1"/>
  <c r="P114" i="3564" s="1"/>
  <c r="O114" i="3564" a="1"/>
  <c r="O114" i="3564" s="1"/>
  <c r="L114" i="3564" a="1"/>
  <c r="L114" i="3564" s="1"/>
  <c r="K114" i="3564" a="1"/>
  <c r="K114" i="3564" s="1"/>
  <c r="N114" i="3564" a="1"/>
  <c r="N114" i="3564" s="1"/>
  <c r="M114" i="3564" a="1"/>
  <c r="M114" i="3564" s="1"/>
  <c r="K100" i="3564" a="1"/>
  <c r="K100" i="3564" s="1"/>
  <c r="P100" i="3564" a="1"/>
  <c r="P100" i="3564" s="1"/>
  <c r="O100" i="3564" a="1"/>
  <c r="O100" i="3564" s="1"/>
  <c r="N100" i="3564" a="1"/>
  <c r="N100" i="3564" s="1"/>
  <c r="M100" i="3564" a="1"/>
  <c r="M100" i="3564" s="1"/>
  <c r="L100" i="3564" a="1"/>
  <c r="L100" i="3564" s="1"/>
  <c r="O137" i="3564" a="1"/>
  <c r="O137" i="3564" s="1"/>
  <c r="P137" i="3564" a="1"/>
  <c r="P137" i="3564" s="1"/>
  <c r="N137" i="3564" a="1"/>
  <c r="N137" i="3564" s="1"/>
  <c r="M137" i="3564" a="1"/>
  <c r="M137" i="3564" s="1"/>
  <c r="L137" i="3564" a="1"/>
  <c r="L137" i="3564" s="1"/>
  <c r="K137" i="3564" a="1"/>
  <c r="K137" i="3564" s="1"/>
  <c r="L206" i="3564" a="1"/>
  <c r="L206" i="3564" s="1"/>
  <c r="P206" i="3564" a="1"/>
  <c r="P206" i="3564" s="1"/>
  <c r="O206" i="3564" a="1"/>
  <c r="O206" i="3564" s="1"/>
  <c r="N206" i="3564" a="1"/>
  <c r="N206" i="3564" s="1"/>
  <c r="K206" i="3564" a="1"/>
  <c r="K206" i="3564" s="1"/>
  <c r="M206" i="3564" a="1"/>
  <c r="M206" i="3564" s="1"/>
  <c r="M184" i="3564" a="1"/>
  <c r="M184" i="3564" s="1"/>
  <c r="L184" i="3564" a="1"/>
  <c r="L184" i="3564" s="1"/>
  <c r="P184" i="3564" a="1"/>
  <c r="P184" i="3564" s="1"/>
  <c r="O184" i="3564" a="1"/>
  <c r="O184" i="3564" s="1"/>
  <c r="N184" i="3564" a="1"/>
  <c r="N184" i="3564" s="1"/>
  <c r="K184" i="3564" a="1"/>
  <c r="K184" i="3564" s="1"/>
  <c r="O183" i="3564" a="1"/>
  <c r="O183" i="3564" s="1"/>
  <c r="L183" i="3564" a="1"/>
  <c r="L183" i="3564" s="1"/>
  <c r="K183" i="3564" a="1"/>
  <c r="K183" i="3564" s="1"/>
  <c r="P183" i="3564" a="1"/>
  <c r="P183" i="3564" s="1"/>
  <c r="M183" i="3564" a="1"/>
  <c r="M183" i="3564" s="1"/>
  <c r="N183" i="3564" a="1"/>
  <c r="N183" i="3564" s="1"/>
  <c r="M270" i="3564" a="1"/>
  <c r="M270" i="3564" s="1"/>
  <c r="L270" i="3564" a="1"/>
  <c r="L270" i="3564" s="1"/>
  <c r="P270" i="3564" a="1"/>
  <c r="P270" i="3564" s="1"/>
  <c r="N270" i="3564" a="1"/>
  <c r="N270" i="3564" s="1"/>
  <c r="K270" i="3564" a="1"/>
  <c r="K270" i="3564" s="1"/>
  <c r="O270" i="3564" a="1"/>
  <c r="O270" i="3564" s="1"/>
  <c r="P51" i="3564" a="1"/>
  <c r="P51" i="3564" s="1"/>
  <c r="O51" i="3564" a="1"/>
  <c r="O51" i="3564" s="1"/>
  <c r="N51" i="3564" a="1"/>
  <c r="N51" i="3564" s="1"/>
  <c r="AF51" i="3564" s="1"/>
  <c r="M51" i="3564" a="1"/>
  <c r="M51" i="3564" s="1"/>
  <c r="L51" i="3564" a="1"/>
  <c r="L51" i="3564" s="1"/>
  <c r="K51" i="3564" a="1"/>
  <c r="K51" i="3564" s="1"/>
  <c r="U61" i="3564"/>
  <c r="V61" i="3564" s="1"/>
  <c r="W61" i="3564" s="1"/>
  <c r="BA61" i="3564"/>
  <c r="BB61" i="3564" s="1"/>
  <c r="S87" i="3528" a="1"/>
  <c r="S87" i="3528" s="1"/>
  <c r="S53" i="3528" a="1"/>
  <c r="S53" i="3528" s="1"/>
  <c r="CM29" i="3479" a="1"/>
  <c r="CM29" i="3479" s="1"/>
  <c r="CN29" i="3479" s="1" a="1"/>
  <c r="CN29" i="3479" s="1"/>
  <c r="I73" i="3445" a="1"/>
  <c r="I73" i="3445" s="1"/>
  <c r="O73" i="3445" s="1"/>
  <c r="P58" i="3445"/>
  <c r="A59" i="3445"/>
  <c r="U91" i="3489" a="1"/>
  <c r="U91" i="3489" s="1"/>
  <c r="BD89" i="3489" a="1"/>
  <c r="BD89" i="3489" s="1"/>
  <c r="N92" i="3489" a="1"/>
  <c r="N92" i="3489" s="1"/>
  <c r="M76" i="3448"/>
  <c r="M17" i="3448"/>
  <c r="G45" i="3448"/>
  <c r="Y46" i="3436"/>
  <c r="Y41" i="3436"/>
  <c r="AU23" i="3495" a="1"/>
  <c r="AU23" i="3495" s="1"/>
  <c r="Y23" i="3495" a="1"/>
  <c r="Y23" i="3495" s="1"/>
  <c r="AZ23" i="3495" a="1"/>
  <c r="AZ23" i="3495" s="1"/>
  <c r="AX23" i="3495" a="1"/>
  <c r="AX23" i="3495" s="1"/>
  <c r="V23" i="3495" a="1"/>
  <c r="V23" i="3495" s="1"/>
  <c r="W23" i="3495" s="1" a="1"/>
  <c r="W23" i="3495" s="1"/>
  <c r="E14" i="3448" a="1"/>
  <c r="E14" i="3448" s="1"/>
  <c r="G24" i="3523" s="1"/>
  <c r="I24" i="3523" s="1" a="1"/>
  <c r="I24" i="3523" s="1"/>
  <c r="BR14" i="3448" a="1"/>
  <c r="BR14" i="3448" s="1"/>
  <c r="BV14" i="3448" s="1" a="1"/>
  <c r="BV14" i="3448" s="1"/>
  <c r="L34" i="3564" a="1"/>
  <c r="L34" i="3564" s="1"/>
  <c r="K34" i="3564" a="1"/>
  <c r="K34" i="3564" s="1"/>
  <c r="P34" i="3564" a="1"/>
  <c r="P34" i="3564" s="1"/>
  <c r="O34" i="3564" a="1"/>
  <c r="O34" i="3564" s="1"/>
  <c r="N34" i="3564" a="1"/>
  <c r="N34" i="3564" s="1"/>
  <c r="M34" i="3564" a="1"/>
  <c r="M34" i="3564" s="1"/>
  <c r="P118" i="3564" a="1"/>
  <c r="P118" i="3564" s="1"/>
  <c r="L118" i="3564" a="1"/>
  <c r="L118" i="3564" s="1"/>
  <c r="K118" i="3564" a="1"/>
  <c r="K118" i="3564" s="1"/>
  <c r="O118" i="3564" a="1"/>
  <c r="O118" i="3564" s="1"/>
  <c r="N118" i="3564" a="1"/>
  <c r="N118" i="3564" s="1"/>
  <c r="M118" i="3564" a="1"/>
  <c r="M118" i="3564" s="1"/>
  <c r="K104" i="3564" a="1"/>
  <c r="K104" i="3564" s="1"/>
  <c r="P104" i="3564" a="1"/>
  <c r="P104" i="3564" s="1"/>
  <c r="N104" i="3564" a="1"/>
  <c r="N104" i="3564" s="1"/>
  <c r="M104" i="3564" a="1"/>
  <c r="M104" i="3564" s="1"/>
  <c r="L104" i="3564" a="1"/>
  <c r="L104" i="3564" s="1"/>
  <c r="O104" i="3564" a="1"/>
  <c r="O104" i="3564" s="1"/>
  <c r="O141" i="3564" a="1"/>
  <c r="O141" i="3564" s="1"/>
  <c r="N141" i="3564" a="1"/>
  <c r="N141" i="3564" s="1"/>
  <c r="M141" i="3564" a="1"/>
  <c r="M141" i="3564" s="1"/>
  <c r="L141" i="3564" a="1"/>
  <c r="L141" i="3564" s="1"/>
  <c r="K141" i="3564" a="1"/>
  <c r="K141" i="3564" s="1"/>
  <c r="P141" i="3564" a="1"/>
  <c r="P141" i="3564" s="1"/>
  <c r="L214" i="3564" a="1"/>
  <c r="L214" i="3564" s="1"/>
  <c r="P214" i="3564" a="1"/>
  <c r="P214" i="3564" s="1"/>
  <c r="O214" i="3564" a="1"/>
  <c r="O214" i="3564" s="1"/>
  <c r="N214" i="3564" a="1"/>
  <c r="N214" i="3564" s="1"/>
  <c r="M214" i="3564" a="1"/>
  <c r="M214" i="3564" s="1"/>
  <c r="K214" i="3564" a="1"/>
  <c r="K214" i="3564" s="1"/>
  <c r="M188" i="3564" a="1"/>
  <c r="M188" i="3564" s="1"/>
  <c r="L188" i="3564" a="1"/>
  <c r="L188" i="3564" s="1"/>
  <c r="P188" i="3564" a="1"/>
  <c r="P188" i="3564" s="1"/>
  <c r="N188" i="3564" a="1"/>
  <c r="N188" i="3564" s="1"/>
  <c r="O188" i="3564" a="1"/>
  <c r="O188" i="3564" s="1"/>
  <c r="K188" i="3564" a="1"/>
  <c r="K188" i="3564" s="1"/>
  <c r="O187" i="3564" a="1"/>
  <c r="O187" i="3564" s="1"/>
  <c r="M187" i="3564" a="1"/>
  <c r="M187" i="3564" s="1"/>
  <c r="P187" i="3564" a="1"/>
  <c r="P187" i="3564" s="1"/>
  <c r="N187" i="3564" a="1"/>
  <c r="N187" i="3564" s="1"/>
  <c r="L187" i="3564" a="1"/>
  <c r="L187" i="3564" s="1"/>
  <c r="K187" i="3564" a="1"/>
  <c r="K187" i="3564" s="1"/>
  <c r="P275" i="3564" a="1"/>
  <c r="P275" i="3564" s="1"/>
  <c r="O275" i="3564" a="1"/>
  <c r="O275" i="3564" s="1"/>
  <c r="K275" i="3564" a="1"/>
  <c r="K275" i="3564" s="1"/>
  <c r="N275" i="3564" a="1"/>
  <c r="N275" i="3564" s="1"/>
  <c r="M275" i="3564" a="1"/>
  <c r="M275" i="3564" s="1"/>
  <c r="L275" i="3564" a="1"/>
  <c r="L275" i="3564" s="1"/>
  <c r="Z52" i="3489" a="1"/>
  <c r="Z52" i="3489" s="1"/>
  <c r="P83" i="3489" a="1"/>
  <c r="P83" i="3489" s="1"/>
  <c r="AQ83" i="3489" a="1"/>
  <c r="AQ83" i="3489" s="1"/>
  <c r="AP83" i="3489" a="1"/>
  <c r="AP83" i="3489" s="1"/>
  <c r="AN83" i="3489" a="1"/>
  <c r="AN83" i="3489" s="1"/>
  <c r="AL83" i="3489" a="1"/>
  <c r="AL83" i="3489" s="1"/>
  <c r="B83" i="3489"/>
  <c r="AK83" i="3489" a="1"/>
  <c r="AK83" i="3489" s="1"/>
  <c r="AF83" i="3489" a="1"/>
  <c r="AF83" i="3489" s="1"/>
  <c r="V83" i="3489" a="1"/>
  <c r="V83" i="3489" s="1"/>
  <c r="BG83" i="3489" a="1"/>
  <c r="BG83" i="3489" s="1"/>
  <c r="U83" i="3489" a="1"/>
  <c r="U83" i="3489" s="1"/>
  <c r="BF83" i="3489" a="1"/>
  <c r="BF83" i="3489" s="1"/>
  <c r="N83" i="3489" a="1"/>
  <c r="N83" i="3489" s="1"/>
  <c r="BE83" i="3489" a="1"/>
  <c r="BE83" i="3489" s="1"/>
  <c r="M83" i="3489" a="1"/>
  <c r="M83" i="3489" s="1"/>
  <c r="BD83" i="3489" a="1"/>
  <c r="BD83" i="3489" s="1"/>
  <c r="K83" i="3489" a="1"/>
  <c r="K83" i="3489" s="1"/>
  <c r="BC83" i="3489" a="1"/>
  <c r="BC83" i="3489" s="1"/>
  <c r="AZ83" i="3489" a="1"/>
  <c r="AZ83" i="3489" s="1"/>
  <c r="AY83" i="3489" a="1"/>
  <c r="AY83" i="3489" s="1"/>
  <c r="AX83" i="3489" a="1"/>
  <c r="AX83" i="3489" s="1"/>
  <c r="AJ83" i="3489" a="1"/>
  <c r="AJ83" i="3489" s="1"/>
  <c r="AE83" i="3489" a="1"/>
  <c r="AE83" i="3489" s="1"/>
  <c r="AD83" i="3489" a="1"/>
  <c r="AD83" i="3489" s="1"/>
  <c r="W83" i="3489" a="1"/>
  <c r="W83" i="3489" s="1"/>
  <c r="X83" i="3489" a="1"/>
  <c r="X83" i="3489" s="1"/>
  <c r="AS28" i="3495" a="1"/>
  <c r="AS28" i="3495" s="1"/>
  <c r="AP28" i="3495" a="1"/>
  <c r="AP28" i="3495" s="1"/>
  <c r="AQ28" i="3495" s="1" a="1"/>
  <c r="AQ28" i="3495" s="1"/>
  <c r="BR25" i="3495" a="1"/>
  <c r="BR25" i="3495" s="1"/>
  <c r="BO25" i="3495" a="1"/>
  <c r="BO25" i="3495" s="1"/>
  <c r="AK25" i="3495" a="1"/>
  <c r="AK25" i="3495" s="1"/>
  <c r="AL25" i="3495" s="1" a="1"/>
  <c r="AL25" i="3495" s="1"/>
  <c r="AN25" i="3495" a="1"/>
  <c r="AN25" i="3495" s="1"/>
  <c r="V26" i="3495" a="1"/>
  <c r="V26" i="3495" s="1"/>
  <c r="W26" i="3495" s="1" a="1"/>
  <c r="W26" i="3495" s="1"/>
  <c r="AU26" i="3495" a="1"/>
  <c r="AU26" i="3495" s="1"/>
  <c r="AZ26" i="3495" a="1"/>
  <c r="AZ26" i="3495" s="1"/>
  <c r="AX26" i="3495" a="1"/>
  <c r="AX26" i="3495" s="1"/>
  <c r="Y26" i="3495" a="1"/>
  <c r="Y26" i="3495" s="1"/>
  <c r="N69" i="3564" a="1"/>
  <c r="N69" i="3564" s="1"/>
  <c r="M69" i="3564" a="1"/>
  <c r="M69" i="3564" s="1"/>
  <c r="K69" i="3564" a="1"/>
  <c r="K69" i="3564" s="1"/>
  <c r="P69" i="3564" a="1"/>
  <c r="P69" i="3564" s="1"/>
  <c r="O69" i="3564" a="1"/>
  <c r="O69" i="3564" s="1"/>
  <c r="L69" i="3564" a="1"/>
  <c r="L69" i="3564" s="1"/>
  <c r="K27" i="3564" a="1"/>
  <c r="K27" i="3564" s="1"/>
  <c r="P27" i="3564" a="1"/>
  <c r="P27" i="3564" s="1"/>
  <c r="O27" i="3564" a="1"/>
  <c r="O27" i="3564" s="1"/>
  <c r="N27" i="3564" a="1"/>
  <c r="N27" i="3564" s="1"/>
  <c r="L27" i="3564" a="1"/>
  <c r="L27" i="3564" s="1"/>
  <c r="M27" i="3564" a="1"/>
  <c r="M27" i="3564" s="1"/>
  <c r="O175" i="3564" a="1"/>
  <c r="O175" i="3564" s="1"/>
  <c r="M175" i="3564" a="1"/>
  <c r="M175" i="3564" s="1"/>
  <c r="P175" i="3564" a="1"/>
  <c r="P175" i="3564" s="1"/>
  <c r="L175" i="3564" a="1"/>
  <c r="L175" i="3564" s="1"/>
  <c r="K175" i="3564" a="1"/>
  <c r="K175" i="3564" s="1"/>
  <c r="N175" i="3564" a="1"/>
  <c r="N175" i="3564" s="1"/>
  <c r="P221" i="3564" a="1"/>
  <c r="P221" i="3564" s="1"/>
  <c r="O221" i="3564" a="1"/>
  <c r="O221" i="3564" s="1"/>
  <c r="M221" i="3564" a="1"/>
  <c r="M221" i="3564" s="1"/>
  <c r="L221" i="3564" a="1"/>
  <c r="L221" i="3564" s="1"/>
  <c r="K221" i="3564" a="1"/>
  <c r="K221" i="3564" s="1"/>
  <c r="N221" i="3564" a="1"/>
  <c r="N221" i="3564" s="1"/>
  <c r="K108" i="3564" a="1"/>
  <c r="K108" i="3564" s="1"/>
  <c r="P108" i="3564" a="1"/>
  <c r="P108" i="3564" s="1"/>
  <c r="N108" i="3564" a="1"/>
  <c r="N108" i="3564" s="1"/>
  <c r="O108" i="3564" a="1"/>
  <c r="O108" i="3564" s="1"/>
  <c r="M108" i="3564" a="1"/>
  <c r="M108" i="3564" s="1"/>
  <c r="L108" i="3564" a="1"/>
  <c r="L108" i="3564" s="1"/>
  <c r="O145" i="3564" a="1"/>
  <c r="O145" i="3564" s="1"/>
  <c r="L145" i="3564" a="1"/>
  <c r="L145" i="3564" s="1"/>
  <c r="N145" i="3564" a="1"/>
  <c r="N145" i="3564" s="1"/>
  <c r="M145" i="3564" a="1"/>
  <c r="M145" i="3564" s="1"/>
  <c r="K145" i="3564" a="1"/>
  <c r="K145" i="3564" s="1"/>
  <c r="P145" i="3564" a="1"/>
  <c r="P145" i="3564" s="1"/>
  <c r="L222" i="3564" a="1"/>
  <c r="L222" i="3564" s="1"/>
  <c r="P222" i="3564" a="1"/>
  <c r="P222" i="3564" s="1"/>
  <c r="O222" i="3564" a="1"/>
  <c r="O222" i="3564" s="1"/>
  <c r="N222" i="3564" a="1"/>
  <c r="N222" i="3564" s="1"/>
  <c r="M222" i="3564" a="1"/>
  <c r="M222" i="3564" s="1"/>
  <c r="K222" i="3564" a="1"/>
  <c r="K222" i="3564" s="1"/>
  <c r="M192" i="3564" a="1"/>
  <c r="M192" i="3564" s="1"/>
  <c r="L192" i="3564" a="1"/>
  <c r="L192" i="3564" s="1"/>
  <c r="P192" i="3564" a="1"/>
  <c r="P192" i="3564" s="1"/>
  <c r="K192" i="3564" a="1"/>
  <c r="K192" i="3564" s="1"/>
  <c r="N192" i="3564" a="1"/>
  <c r="N192" i="3564" s="1"/>
  <c r="O192" i="3564" a="1"/>
  <c r="O192" i="3564" s="1"/>
  <c r="O191" i="3564" a="1"/>
  <c r="O191" i="3564" s="1"/>
  <c r="P191" i="3564" a="1"/>
  <c r="P191" i="3564" s="1"/>
  <c r="M191" i="3564" a="1"/>
  <c r="M191" i="3564" s="1"/>
  <c r="K191" i="3564" a="1"/>
  <c r="K191" i="3564" s="1"/>
  <c r="N191" i="3564" a="1"/>
  <c r="N191" i="3564" s="1"/>
  <c r="L191" i="3564" a="1"/>
  <c r="L191" i="3564" s="1"/>
  <c r="N280" i="3564" a="1"/>
  <c r="N280" i="3564" s="1"/>
  <c r="M280" i="3564" a="1"/>
  <c r="M280" i="3564" s="1"/>
  <c r="L280" i="3564" a="1"/>
  <c r="L280" i="3564" s="1"/>
  <c r="K280" i="3564" a="1"/>
  <c r="K280" i="3564" s="1"/>
  <c r="P280" i="3564" a="1"/>
  <c r="P280" i="3564" s="1"/>
  <c r="O280" i="3564" a="1"/>
  <c r="O280" i="3564" s="1"/>
  <c r="P47" i="3564" a="1"/>
  <c r="P47" i="3564" s="1"/>
  <c r="O47" i="3564" a="1"/>
  <c r="O47" i="3564" s="1"/>
  <c r="N47" i="3564" a="1"/>
  <c r="N47" i="3564" s="1"/>
  <c r="AF47" i="3564" s="1"/>
  <c r="M47" i="3564" a="1"/>
  <c r="M47" i="3564" s="1"/>
  <c r="L47" i="3564" a="1"/>
  <c r="L47" i="3564" s="1"/>
  <c r="K47" i="3564" a="1"/>
  <c r="K47" i="3564" s="1"/>
  <c r="A82" i="3445"/>
  <c r="AV92" i="3489" a="1"/>
  <c r="AV92" i="3489" s="1"/>
  <c r="BP75" i="3448"/>
  <c r="M71" i="3448"/>
  <c r="BJ8" i="3419"/>
  <c r="O8" i="3419" s="1"/>
  <c r="O5" i="3419" s="1"/>
  <c r="Y70" i="3436"/>
  <c r="BH41" i="3444" a="1"/>
  <c r="BH41" i="3444" s="1"/>
  <c r="O41" i="3444" a="1"/>
  <c r="O41" i="3444" s="1"/>
  <c r="P41" i="3444" a="1"/>
  <c r="P41" i="3444" s="1"/>
  <c r="BC95" i="3489" a="1"/>
  <c r="BC95" i="3489" s="1"/>
  <c r="BB95" i="3489" a="1"/>
  <c r="BB95" i="3489" s="1"/>
  <c r="BA95" i="3489" a="1"/>
  <c r="BA95" i="3489" s="1"/>
  <c r="AZ95" i="3489" a="1"/>
  <c r="AZ95" i="3489" s="1"/>
  <c r="AY95" i="3489" a="1"/>
  <c r="AY95" i="3489" s="1"/>
  <c r="AM95" i="3489" a="1"/>
  <c r="AM95" i="3489" s="1"/>
  <c r="AG95" i="3489" a="1"/>
  <c r="AG95" i="3489" s="1"/>
  <c r="U95" i="3489" a="1"/>
  <c r="U95" i="3489" s="1"/>
  <c r="T95" i="3489" a="1"/>
  <c r="T95" i="3489" s="1"/>
  <c r="R95" i="3489" a="1"/>
  <c r="R95" i="3489" s="1"/>
  <c r="P95" i="3489" a="1"/>
  <c r="P95" i="3489" s="1"/>
  <c r="O95" i="3489" a="1"/>
  <c r="O95" i="3489" s="1"/>
  <c r="BF95" i="3489" a="1"/>
  <c r="BF95" i="3489" s="1"/>
  <c r="AL95" i="3489" a="1"/>
  <c r="AL95" i="3489" s="1"/>
  <c r="AK95" i="3489" a="1"/>
  <c r="AK95" i="3489" s="1"/>
  <c r="AF95" i="3489" a="1"/>
  <c r="AF95" i="3489" s="1"/>
  <c r="AE95" i="3489" a="1"/>
  <c r="AE95" i="3489" s="1"/>
  <c r="BB44" i="3489" a="1"/>
  <c r="BB44" i="3489" s="1"/>
  <c r="BA44" i="3489" a="1"/>
  <c r="BA44" i="3489" s="1"/>
  <c r="O44" i="3489" a="1"/>
  <c r="O44" i="3489" s="1"/>
  <c r="AZ44" i="3489" a="1"/>
  <c r="AZ44" i="3489" s="1"/>
  <c r="M44" i="3489" a="1"/>
  <c r="M44" i="3489" s="1"/>
  <c r="AS44" i="3489" a="1"/>
  <c r="AS44" i="3489" s="1"/>
  <c r="AR44" i="3489" a="1"/>
  <c r="AR44" i="3489" s="1"/>
  <c r="AI44" i="3489" a="1"/>
  <c r="AI44" i="3489" s="1"/>
  <c r="AE44" i="3489" a="1"/>
  <c r="AE44" i="3489" s="1"/>
  <c r="AD44" i="3489" a="1"/>
  <c r="AD44" i="3489" s="1"/>
  <c r="Y44" i="3489" a="1"/>
  <c r="Y44" i="3489" s="1"/>
  <c r="BG44" i="3489" a="1"/>
  <c r="BG44" i="3489" s="1"/>
  <c r="W44" i="3489" a="1"/>
  <c r="W44" i="3489" s="1"/>
  <c r="V44" i="3489" a="1"/>
  <c r="V44" i="3489" s="1"/>
  <c r="BF44" i="3489" a="1"/>
  <c r="BF44" i="3489" s="1"/>
  <c r="BE44" i="3489" a="1"/>
  <c r="BE44" i="3489" s="1"/>
  <c r="BD44" i="3489" a="1"/>
  <c r="BD44" i="3489" s="1"/>
  <c r="Q44" i="3489" a="1"/>
  <c r="Q44" i="3489" s="1"/>
  <c r="AP44" i="3489" a="1"/>
  <c r="AP44" i="3489" s="1"/>
  <c r="AN44" i="3489" a="1"/>
  <c r="AN44" i="3489" s="1"/>
  <c r="AM44" i="3489" a="1"/>
  <c r="AM44" i="3489" s="1"/>
  <c r="AK44" i="3489" a="1"/>
  <c r="AK44" i="3489" s="1"/>
  <c r="U44" i="3489" a="1"/>
  <c r="U44" i="3489" s="1"/>
  <c r="P44" i="3489" a="1"/>
  <c r="P44" i="3489" s="1"/>
  <c r="AQ44" i="3489" a="1"/>
  <c r="AQ44" i="3489" s="1"/>
  <c r="BR22" i="3495" a="1"/>
  <c r="BR22" i="3495" s="1"/>
  <c r="BO22" i="3495" a="1"/>
  <c r="BO22" i="3495" s="1"/>
  <c r="AK22" i="3495" a="1"/>
  <c r="AK22" i="3495" s="1"/>
  <c r="AL22" i="3495" s="1" a="1"/>
  <c r="AL22" i="3495" s="1"/>
  <c r="AN22" i="3495" a="1"/>
  <c r="AN22" i="3495" s="1"/>
  <c r="U87" i="3564"/>
  <c r="V87" i="3564" s="1"/>
  <c r="BA87" i="3564"/>
  <c r="BB87" i="3564" s="1"/>
  <c r="O179" i="3564" a="1"/>
  <c r="O179" i="3564" s="1"/>
  <c r="P179" i="3564" a="1"/>
  <c r="P179" i="3564" s="1"/>
  <c r="K179" i="3564" a="1"/>
  <c r="K179" i="3564" s="1"/>
  <c r="N179" i="3564" a="1"/>
  <c r="N179" i="3564" s="1"/>
  <c r="M179" i="3564" a="1"/>
  <c r="M179" i="3564" s="1"/>
  <c r="L179" i="3564" a="1"/>
  <c r="L179" i="3564" s="1"/>
  <c r="P126" i="3564" a="1"/>
  <c r="P126" i="3564" s="1"/>
  <c r="O126" i="3564" a="1"/>
  <c r="O126" i="3564" s="1"/>
  <c r="L126" i="3564" a="1"/>
  <c r="L126" i="3564" s="1"/>
  <c r="K126" i="3564" a="1"/>
  <c r="K126" i="3564" s="1"/>
  <c r="M126" i="3564" a="1"/>
  <c r="M126" i="3564" s="1"/>
  <c r="N126" i="3564" a="1"/>
  <c r="N126" i="3564" s="1"/>
  <c r="K112" i="3564" a="1"/>
  <c r="K112" i="3564" s="1"/>
  <c r="P112" i="3564" a="1"/>
  <c r="P112" i="3564" s="1"/>
  <c r="N112" i="3564" a="1"/>
  <c r="N112" i="3564" s="1"/>
  <c r="O112" i="3564" a="1"/>
  <c r="O112" i="3564" s="1"/>
  <c r="M112" i="3564" a="1"/>
  <c r="M112" i="3564" s="1"/>
  <c r="L112" i="3564" a="1"/>
  <c r="L112" i="3564" s="1"/>
  <c r="O149" i="3564" a="1"/>
  <c r="O149" i="3564" s="1"/>
  <c r="M149" i="3564" a="1"/>
  <c r="M149" i="3564" s="1"/>
  <c r="L149" i="3564" a="1"/>
  <c r="L149" i="3564" s="1"/>
  <c r="K149" i="3564" a="1"/>
  <c r="K149" i="3564" s="1"/>
  <c r="P149" i="3564" a="1"/>
  <c r="P149" i="3564" s="1"/>
  <c r="N149" i="3564" a="1"/>
  <c r="N149" i="3564" s="1"/>
  <c r="L230" i="3564" a="1"/>
  <c r="L230" i="3564" s="1"/>
  <c r="P230" i="3564" a="1"/>
  <c r="P230" i="3564" s="1"/>
  <c r="O230" i="3564" a="1"/>
  <c r="O230" i="3564" s="1"/>
  <c r="N230" i="3564" a="1"/>
  <c r="N230" i="3564" s="1"/>
  <c r="M230" i="3564" a="1"/>
  <c r="M230" i="3564" s="1"/>
  <c r="K230" i="3564" a="1"/>
  <c r="K230" i="3564" s="1"/>
  <c r="M196" i="3564" a="1"/>
  <c r="M196" i="3564" s="1"/>
  <c r="L196" i="3564" a="1"/>
  <c r="L196" i="3564" s="1"/>
  <c r="N196" i="3564" a="1"/>
  <c r="N196" i="3564" s="1"/>
  <c r="K196" i="3564" a="1"/>
  <c r="K196" i="3564" s="1"/>
  <c r="P196" i="3564" a="1"/>
  <c r="P196" i="3564" s="1"/>
  <c r="O196" i="3564" a="1"/>
  <c r="O196" i="3564" s="1"/>
  <c r="O195" i="3564" a="1"/>
  <c r="O195" i="3564" s="1"/>
  <c r="P195" i="3564" a="1"/>
  <c r="P195" i="3564" s="1"/>
  <c r="N195" i="3564" a="1"/>
  <c r="N195" i="3564" s="1"/>
  <c r="L195" i="3564" a="1"/>
  <c r="L195" i="3564" s="1"/>
  <c r="K195" i="3564" a="1"/>
  <c r="K195" i="3564" s="1"/>
  <c r="M195" i="3564" a="1"/>
  <c r="M195" i="3564" s="1"/>
  <c r="N284" i="3564" a="1"/>
  <c r="N284" i="3564" s="1"/>
  <c r="M284" i="3564" a="1"/>
  <c r="M284" i="3564" s="1"/>
  <c r="L284" i="3564" a="1"/>
  <c r="L284" i="3564" s="1"/>
  <c r="K284" i="3564" a="1"/>
  <c r="K284" i="3564" s="1"/>
  <c r="O284" i="3564" a="1"/>
  <c r="O284" i="3564" s="1"/>
  <c r="P284" i="3564" a="1"/>
  <c r="P284" i="3564" s="1"/>
  <c r="O28" i="3445"/>
  <c r="BB92" i="3489" a="1"/>
  <c r="BB92" i="3489" s="1"/>
  <c r="M65" i="3448"/>
  <c r="AD23" i="3495" a="1"/>
  <c r="AD23" i="3495" s="1"/>
  <c r="AA23" i="3495" a="1"/>
  <c r="AA23" i="3495" s="1"/>
  <c r="AB23" i="3495" s="1" a="1"/>
  <c r="AB23" i="3495" s="1"/>
  <c r="BE23" i="3495" a="1"/>
  <c r="BE23" i="3495" s="1"/>
  <c r="BC23" i="3495" a="1"/>
  <c r="BC23" i="3495" s="1"/>
  <c r="BH23" i="3495" a="1"/>
  <c r="BH23" i="3495" s="1"/>
  <c r="BA24" i="3564"/>
  <c r="BB24" i="3564" s="1"/>
  <c r="U24" i="3564"/>
  <c r="V24" i="3564" s="1"/>
  <c r="W24" i="3564" s="1"/>
  <c r="P25" i="3564" a="1"/>
  <c r="P25" i="3564" s="1"/>
  <c r="O25" i="3564" a="1"/>
  <c r="O25" i="3564" s="1"/>
  <c r="N25" i="3564" a="1"/>
  <c r="N25" i="3564" s="1"/>
  <c r="M25" i="3564" a="1"/>
  <c r="M25" i="3564" s="1"/>
  <c r="L25" i="3564" a="1"/>
  <c r="L25" i="3564" s="1"/>
  <c r="K25" i="3564" a="1"/>
  <c r="K25" i="3564" s="1"/>
  <c r="O142" i="3564" a="1"/>
  <c r="O142" i="3564" s="1"/>
  <c r="M142" i="3564" a="1"/>
  <c r="M142" i="3564" s="1"/>
  <c r="N142" i="3564" a="1"/>
  <c r="N142" i="3564" s="1"/>
  <c r="L142" i="3564" a="1"/>
  <c r="L142" i="3564" s="1"/>
  <c r="K142" i="3564" a="1"/>
  <c r="K142" i="3564" s="1"/>
  <c r="P142" i="3564" a="1"/>
  <c r="P142" i="3564" s="1"/>
  <c r="L194" i="3564" a="1"/>
  <c r="L194" i="3564" s="1"/>
  <c r="P194" i="3564" a="1"/>
  <c r="P194" i="3564" s="1"/>
  <c r="O194" i="3564" a="1"/>
  <c r="O194" i="3564" s="1"/>
  <c r="M194" i="3564" a="1"/>
  <c r="M194" i="3564" s="1"/>
  <c r="K194" i="3564" a="1"/>
  <c r="K194" i="3564" s="1"/>
  <c r="N194" i="3564" a="1"/>
  <c r="N194" i="3564" s="1"/>
  <c r="K116" i="3564" a="1"/>
  <c r="K116" i="3564" s="1"/>
  <c r="P116" i="3564" a="1"/>
  <c r="P116" i="3564" s="1"/>
  <c r="N116" i="3564" a="1"/>
  <c r="N116" i="3564" s="1"/>
  <c r="O116" i="3564" a="1"/>
  <c r="O116" i="3564" s="1"/>
  <c r="M116" i="3564" a="1"/>
  <c r="M116" i="3564" s="1"/>
  <c r="L116" i="3564" a="1"/>
  <c r="L116" i="3564" s="1"/>
  <c r="O153" i="3564" a="1"/>
  <c r="O153" i="3564" s="1"/>
  <c r="M153" i="3564" a="1"/>
  <c r="M153" i="3564" s="1"/>
  <c r="L153" i="3564" a="1"/>
  <c r="L153" i="3564" s="1"/>
  <c r="P153" i="3564" a="1"/>
  <c r="P153" i="3564" s="1"/>
  <c r="N153" i="3564" a="1"/>
  <c r="N153" i="3564" s="1"/>
  <c r="K153" i="3564" a="1"/>
  <c r="K153" i="3564" s="1"/>
  <c r="L238" i="3564" a="1"/>
  <c r="L238" i="3564" s="1"/>
  <c r="P238" i="3564" a="1"/>
  <c r="P238" i="3564" s="1"/>
  <c r="O238" i="3564" a="1"/>
  <c r="O238" i="3564" s="1"/>
  <c r="N238" i="3564" a="1"/>
  <c r="N238" i="3564" s="1"/>
  <c r="M238" i="3564" a="1"/>
  <c r="M238" i="3564" s="1"/>
  <c r="K238" i="3564" a="1"/>
  <c r="K238" i="3564" s="1"/>
  <c r="M200" i="3564" a="1"/>
  <c r="M200" i="3564" s="1"/>
  <c r="L200" i="3564" a="1"/>
  <c r="L200" i="3564" s="1"/>
  <c r="P200" i="3564" a="1"/>
  <c r="P200" i="3564" s="1"/>
  <c r="N200" i="3564" a="1"/>
  <c r="N200" i="3564" s="1"/>
  <c r="K200" i="3564" a="1"/>
  <c r="K200" i="3564" s="1"/>
  <c r="O200" i="3564" a="1"/>
  <c r="O200" i="3564" s="1"/>
  <c r="O199" i="3564" a="1"/>
  <c r="O199" i="3564" s="1"/>
  <c r="L199" i="3564" a="1"/>
  <c r="L199" i="3564" s="1"/>
  <c r="K199" i="3564" a="1"/>
  <c r="K199" i="3564" s="1"/>
  <c r="P199" i="3564" a="1"/>
  <c r="P199" i="3564" s="1"/>
  <c r="N199" i="3564" a="1"/>
  <c r="N199" i="3564" s="1"/>
  <c r="M199" i="3564" a="1"/>
  <c r="M199" i="3564" s="1"/>
  <c r="N288" i="3564" a="1"/>
  <c r="N288" i="3564" s="1"/>
  <c r="M288" i="3564" a="1"/>
  <c r="M288" i="3564" s="1"/>
  <c r="L288" i="3564" a="1"/>
  <c r="L288" i="3564" s="1"/>
  <c r="K288" i="3564" a="1"/>
  <c r="K288" i="3564" s="1"/>
  <c r="P288" i="3564" a="1"/>
  <c r="P288" i="3564" s="1"/>
  <c r="O288" i="3564" a="1"/>
  <c r="O288" i="3564" s="1"/>
  <c r="P43" i="3564" a="1"/>
  <c r="P43" i="3564" s="1"/>
  <c r="O43" i="3564" a="1"/>
  <c r="O43" i="3564" s="1"/>
  <c r="N43" i="3564" a="1"/>
  <c r="N43" i="3564" s="1"/>
  <c r="M43" i="3564" a="1"/>
  <c r="M43" i="3564" s="1"/>
  <c r="L43" i="3564" a="1"/>
  <c r="L43" i="3564" s="1"/>
  <c r="K43" i="3564" a="1"/>
  <c r="K43" i="3564" s="1"/>
  <c r="AN92" i="3489" a="1"/>
  <c r="AN92" i="3489" s="1"/>
  <c r="I94" i="3445" a="1"/>
  <c r="I94" i="3445" s="1"/>
  <c r="O94" i="3445" s="1"/>
  <c r="BH26" i="3495" a="1"/>
  <c r="BH26" i="3495" s="1"/>
  <c r="BE26" i="3495" a="1"/>
  <c r="BE26" i="3495" s="1"/>
  <c r="AD26" i="3495" a="1"/>
  <c r="AD26" i="3495" s="1"/>
  <c r="BC26" i="3495" a="1"/>
  <c r="BC26" i="3495" s="1"/>
  <c r="AA26" i="3495" a="1"/>
  <c r="AA26" i="3495" s="1"/>
  <c r="AB26" i="3495" s="1" a="1"/>
  <c r="AB26" i="3495" s="1"/>
  <c r="AQ12" i="3564"/>
  <c r="BA177" i="3564"/>
  <c r="BB177" i="3564" s="1"/>
  <c r="U177" i="3564"/>
  <c r="V177" i="3564" s="1"/>
  <c r="O146" i="3564" a="1"/>
  <c r="O146" i="3564" s="1"/>
  <c r="M146" i="3564" a="1"/>
  <c r="M146" i="3564" s="1"/>
  <c r="P146" i="3564" a="1"/>
  <c r="P146" i="3564" s="1"/>
  <c r="N146" i="3564" a="1"/>
  <c r="N146" i="3564" s="1"/>
  <c r="L146" i="3564" a="1"/>
  <c r="L146" i="3564" s="1"/>
  <c r="K146" i="3564" a="1"/>
  <c r="K146" i="3564" s="1"/>
  <c r="L131" i="3564" a="1"/>
  <c r="L131" i="3564" s="1"/>
  <c r="K131" i="3564" a="1"/>
  <c r="K131" i="3564" s="1"/>
  <c r="P131" i="3564" a="1"/>
  <c r="P131" i="3564" s="1"/>
  <c r="O131" i="3564" a="1"/>
  <c r="O131" i="3564" s="1"/>
  <c r="N131" i="3564" a="1"/>
  <c r="N131" i="3564" s="1"/>
  <c r="M131" i="3564" a="1"/>
  <c r="M131" i="3564" s="1"/>
  <c r="M130" i="3564" a="1"/>
  <c r="M130" i="3564" s="1"/>
  <c r="K130" i="3564" a="1"/>
  <c r="K130" i="3564" s="1"/>
  <c r="O130" i="3564" a="1"/>
  <c r="O130" i="3564" s="1"/>
  <c r="L130" i="3564" a="1"/>
  <c r="L130" i="3564" s="1"/>
  <c r="P130" i="3564" a="1"/>
  <c r="P130" i="3564" s="1"/>
  <c r="N130" i="3564" a="1"/>
  <c r="N130" i="3564" s="1"/>
  <c r="O157" i="3564" a="1"/>
  <c r="O157" i="3564" s="1"/>
  <c r="M157" i="3564" a="1"/>
  <c r="M157" i="3564" s="1"/>
  <c r="L157" i="3564" a="1"/>
  <c r="L157" i="3564" s="1"/>
  <c r="P157" i="3564" a="1"/>
  <c r="P157" i="3564" s="1"/>
  <c r="N157" i="3564" a="1"/>
  <c r="N157" i="3564" s="1"/>
  <c r="K157" i="3564" a="1"/>
  <c r="K157" i="3564" s="1"/>
  <c r="L246" i="3564" a="1"/>
  <c r="L246" i="3564" s="1"/>
  <c r="P246" i="3564" a="1"/>
  <c r="P246" i="3564" s="1"/>
  <c r="O246" i="3564" a="1"/>
  <c r="O246" i="3564" s="1"/>
  <c r="N246" i="3564" a="1"/>
  <c r="N246" i="3564" s="1"/>
  <c r="M246" i="3564" a="1"/>
  <c r="M246" i="3564" s="1"/>
  <c r="K246" i="3564" a="1"/>
  <c r="K246" i="3564" s="1"/>
  <c r="M204" i="3564" a="1"/>
  <c r="M204" i="3564" s="1"/>
  <c r="L204" i="3564" a="1"/>
  <c r="L204" i="3564" s="1"/>
  <c r="N204" i="3564" a="1"/>
  <c r="N204" i="3564" s="1"/>
  <c r="K204" i="3564" a="1"/>
  <c r="K204" i="3564" s="1"/>
  <c r="P204" i="3564" a="1"/>
  <c r="P204" i="3564" s="1"/>
  <c r="O204" i="3564" a="1"/>
  <c r="O204" i="3564" s="1"/>
  <c r="O203" i="3564" a="1"/>
  <c r="O203" i="3564" s="1"/>
  <c r="N203" i="3564" a="1"/>
  <c r="N203" i="3564" s="1"/>
  <c r="L203" i="3564" a="1"/>
  <c r="L203" i="3564" s="1"/>
  <c r="K203" i="3564" a="1"/>
  <c r="K203" i="3564" s="1"/>
  <c r="P203" i="3564" a="1"/>
  <c r="P203" i="3564" s="1"/>
  <c r="M203" i="3564" a="1"/>
  <c r="M203" i="3564" s="1"/>
  <c r="N292" i="3564" a="1"/>
  <c r="N292" i="3564" s="1"/>
  <c r="M292" i="3564" a="1"/>
  <c r="M292" i="3564" s="1"/>
  <c r="L292" i="3564" a="1"/>
  <c r="L292" i="3564" s="1"/>
  <c r="K292" i="3564" a="1"/>
  <c r="K292" i="3564" s="1"/>
  <c r="P292" i="3564" a="1"/>
  <c r="P292" i="3564" s="1"/>
  <c r="O292" i="3564" a="1"/>
  <c r="O292" i="3564" s="1"/>
  <c r="A78" i="3445"/>
  <c r="O82" i="3445"/>
  <c r="AH91" i="3489" a="1"/>
  <c r="AH91" i="3489" s="1"/>
  <c r="L89" i="3489" a="1"/>
  <c r="L89" i="3489" s="1"/>
  <c r="W89" i="3489" a="1"/>
  <c r="W89" i="3489" s="1"/>
  <c r="AA92" i="3489" a="1"/>
  <c r="AA92" i="3489" s="1"/>
  <c r="AX27" i="3489" a="1"/>
  <c r="AX27" i="3489" s="1"/>
  <c r="BA27" i="3489" a="1"/>
  <c r="BA27" i="3489" s="1"/>
  <c r="AK27" i="3489" a="1"/>
  <c r="AK27" i="3489" s="1"/>
  <c r="M78" i="3448"/>
  <c r="G46" i="3448"/>
  <c r="Y57" i="3436"/>
  <c r="I84" i="3560"/>
  <c r="O84" i="3560" s="1" a="1"/>
  <c r="O84" i="3560" s="1"/>
  <c r="L84" i="3560"/>
  <c r="K84" i="3560"/>
  <c r="BC49" i="3489" a="1"/>
  <c r="BC49" i="3489" s="1"/>
  <c r="AO49" i="3489" a="1"/>
  <c r="AO49" i="3489" s="1"/>
  <c r="Z49" i="3489" a="1"/>
  <c r="Z49" i="3489" s="1"/>
  <c r="Q49" i="3489" a="1"/>
  <c r="Q49" i="3489" s="1"/>
  <c r="W77" i="3489" a="1"/>
  <c r="W77" i="3489" s="1"/>
  <c r="AH77" i="3489" a="1"/>
  <c r="AH77" i="3489" s="1"/>
  <c r="AG77" i="3489" a="1"/>
  <c r="AG77" i="3489" s="1"/>
  <c r="R77" i="3489" a="1"/>
  <c r="R77" i="3489" s="1"/>
  <c r="P77" i="3489" a="1"/>
  <c r="P77" i="3489" s="1"/>
  <c r="O77" i="3489" a="1"/>
  <c r="O77" i="3489" s="1"/>
  <c r="BC77" i="3489" a="1"/>
  <c r="BC77" i="3489" s="1"/>
  <c r="AY77" i="3489" a="1"/>
  <c r="AY77" i="3489" s="1"/>
  <c r="AP77" i="3489" a="1"/>
  <c r="AP77" i="3489" s="1"/>
  <c r="AI77" i="3489" a="1"/>
  <c r="AI77" i="3489" s="1"/>
  <c r="B77" i="3489"/>
  <c r="AX77" i="3489" a="1"/>
  <c r="AX77" i="3489" s="1"/>
  <c r="AL22" i="3444" a="1"/>
  <c r="AL22" i="3444" s="1"/>
  <c r="O22" i="3444" a="1"/>
  <c r="O22" i="3444" s="1"/>
  <c r="BD22" i="3444" a="1"/>
  <c r="BD22" i="3444" s="1"/>
  <c r="AW22" i="3444" a="1"/>
  <c r="AW22" i="3444" s="1"/>
  <c r="AN22" i="3444" a="1"/>
  <c r="AN22" i="3444" s="1"/>
  <c r="AS22" i="3444" a="1"/>
  <c r="AS22" i="3444" s="1"/>
  <c r="AS22" i="3495" a="1"/>
  <c r="AS22" i="3495" s="1"/>
  <c r="AP22" i="3495" a="1"/>
  <c r="AP22" i="3495" s="1"/>
  <c r="AQ22" i="3495" s="1" a="1"/>
  <c r="AQ22" i="3495" s="1"/>
  <c r="BA17" i="3564"/>
  <c r="BB17" i="3564" s="1"/>
  <c r="U17" i="3564"/>
  <c r="V17" i="3564" s="1"/>
  <c r="W17" i="3564" s="1"/>
  <c r="P189" i="3564" a="1"/>
  <c r="P189" i="3564" s="1"/>
  <c r="O189" i="3564" a="1"/>
  <c r="O189" i="3564" s="1"/>
  <c r="M189" i="3564" a="1"/>
  <c r="M189" i="3564" s="1"/>
  <c r="K189" i="3564" a="1"/>
  <c r="K189" i="3564" s="1"/>
  <c r="N189" i="3564" a="1"/>
  <c r="N189" i="3564" s="1"/>
  <c r="L189" i="3564" a="1"/>
  <c r="L189" i="3564" s="1"/>
  <c r="L163" i="3564" a="1"/>
  <c r="L163" i="3564" s="1"/>
  <c r="K163" i="3564" a="1"/>
  <c r="K163" i="3564" s="1"/>
  <c r="P163" i="3564" a="1"/>
  <c r="P163" i="3564" s="1"/>
  <c r="O163" i="3564" a="1"/>
  <c r="O163" i="3564" s="1"/>
  <c r="M163" i="3564" a="1"/>
  <c r="M163" i="3564" s="1"/>
  <c r="N163" i="3564" a="1"/>
  <c r="N163" i="3564" s="1"/>
  <c r="L167" i="3564" a="1"/>
  <c r="L167" i="3564" s="1"/>
  <c r="K167" i="3564" a="1"/>
  <c r="K167" i="3564" s="1"/>
  <c r="P167" i="3564" a="1"/>
  <c r="P167" i="3564" s="1"/>
  <c r="O167" i="3564" a="1"/>
  <c r="O167" i="3564" s="1"/>
  <c r="M167" i="3564" a="1"/>
  <c r="M167" i="3564" s="1"/>
  <c r="N167" i="3564" a="1"/>
  <c r="N167" i="3564" s="1"/>
  <c r="O161" i="3564" a="1"/>
  <c r="O161" i="3564" s="1"/>
  <c r="M161" i="3564" a="1"/>
  <c r="M161" i="3564" s="1"/>
  <c r="L161" i="3564" a="1"/>
  <c r="L161" i="3564" s="1"/>
  <c r="P161" i="3564" a="1"/>
  <c r="P161" i="3564" s="1"/>
  <c r="N161" i="3564" a="1"/>
  <c r="N161" i="3564" s="1"/>
  <c r="K161" i="3564" a="1"/>
  <c r="K161" i="3564" s="1"/>
  <c r="L254" i="3564" a="1"/>
  <c r="L254" i="3564" s="1"/>
  <c r="P254" i="3564" a="1"/>
  <c r="P254" i="3564" s="1"/>
  <c r="O254" i="3564" a="1"/>
  <c r="O254" i="3564" s="1"/>
  <c r="N254" i="3564" a="1"/>
  <c r="N254" i="3564" s="1"/>
  <c r="M254" i="3564" a="1"/>
  <c r="M254" i="3564" s="1"/>
  <c r="K254" i="3564" a="1"/>
  <c r="K254" i="3564" s="1"/>
  <c r="M208" i="3564" a="1"/>
  <c r="M208" i="3564" s="1"/>
  <c r="L208" i="3564" a="1"/>
  <c r="L208" i="3564" s="1"/>
  <c r="P208" i="3564" a="1"/>
  <c r="P208" i="3564" s="1"/>
  <c r="N208" i="3564" a="1"/>
  <c r="N208" i="3564" s="1"/>
  <c r="K208" i="3564" a="1"/>
  <c r="K208" i="3564" s="1"/>
  <c r="O208" i="3564" a="1"/>
  <c r="O208" i="3564" s="1"/>
  <c r="O207" i="3564" a="1"/>
  <c r="O207" i="3564" s="1"/>
  <c r="P207" i="3564" a="1"/>
  <c r="P207" i="3564" s="1"/>
  <c r="N207" i="3564" a="1"/>
  <c r="N207" i="3564" s="1"/>
  <c r="M207" i="3564" a="1"/>
  <c r="M207" i="3564" s="1"/>
  <c r="L207" i="3564" a="1"/>
  <c r="L207" i="3564" s="1"/>
  <c r="K207" i="3564" a="1"/>
  <c r="K207" i="3564" s="1"/>
  <c r="P279" i="3564" a="1"/>
  <c r="P279" i="3564" s="1"/>
  <c r="O279" i="3564" a="1"/>
  <c r="O279" i="3564" s="1"/>
  <c r="K279" i="3564" a="1"/>
  <c r="K279" i="3564" s="1"/>
  <c r="N279" i="3564" a="1"/>
  <c r="N279" i="3564" s="1"/>
  <c r="M279" i="3564" a="1"/>
  <c r="M279" i="3564" s="1"/>
  <c r="L279" i="3564" a="1"/>
  <c r="L279" i="3564" s="1"/>
  <c r="P36" i="3564" a="1"/>
  <c r="P36" i="3564" s="1"/>
  <c r="O36" i="3564" a="1"/>
  <c r="O36" i="3564" s="1"/>
  <c r="N36" i="3564" a="1"/>
  <c r="N36" i="3564" s="1"/>
  <c r="AF36" i="3564" s="1"/>
  <c r="M36" i="3564" a="1"/>
  <c r="M36" i="3564" s="1"/>
  <c r="L36" i="3564" a="1"/>
  <c r="L36" i="3564" s="1"/>
  <c r="K36" i="3564" a="1"/>
  <c r="K36" i="3564" s="1"/>
  <c r="U77" i="3564"/>
  <c r="V77" i="3564" s="1"/>
  <c r="BA77" i="3564"/>
  <c r="BB77" i="3564" s="1"/>
  <c r="BP60" i="3448"/>
  <c r="M41" i="3448"/>
  <c r="M15" i="3448"/>
  <c r="V69" i="3436" a="1"/>
  <c r="V69" i="3436" s="1"/>
  <c r="Y73" i="3436"/>
  <c r="Y30" i="3436"/>
  <c r="AB65" i="3489" a="1"/>
  <c r="AB65" i="3489" s="1"/>
  <c r="AV69" i="3489" a="1"/>
  <c r="AV69" i="3489" s="1"/>
  <c r="AD69" i="3489" a="1"/>
  <c r="AD69" i="3489" s="1"/>
  <c r="I71" i="3560"/>
  <c r="O71" i="3560" s="1" a="1"/>
  <c r="O71" i="3560" s="1"/>
  <c r="L71" i="3560"/>
  <c r="K71" i="3560"/>
  <c r="J71" i="3560"/>
  <c r="P71" i="3560" s="1" a="1"/>
  <c r="P71" i="3560" s="1"/>
  <c r="BM23" i="3495" a="1"/>
  <c r="BM23" i="3495" s="1"/>
  <c r="AI23" i="3495" a="1"/>
  <c r="AI23" i="3495" s="1"/>
  <c r="AF23" i="3495" a="1"/>
  <c r="AF23" i="3495" s="1"/>
  <c r="AG23" i="3495" s="1" a="1"/>
  <c r="AG23" i="3495" s="1"/>
  <c r="BJ23" i="3495"/>
  <c r="P30" i="3564" a="1"/>
  <c r="P30" i="3564" s="1"/>
  <c r="O30" i="3564" a="1"/>
  <c r="O30" i="3564" s="1"/>
  <c r="N30" i="3564" a="1"/>
  <c r="N30" i="3564" s="1"/>
  <c r="AF30" i="3564" s="1"/>
  <c r="M30" i="3564" a="1"/>
  <c r="M30" i="3564" s="1"/>
  <c r="L30" i="3564" a="1"/>
  <c r="L30" i="3564" s="1"/>
  <c r="K30" i="3564" a="1"/>
  <c r="K30" i="3564" s="1"/>
  <c r="U13" i="3564"/>
  <c r="V13" i="3564" s="1"/>
  <c r="BA13" i="3564"/>
  <c r="BB13" i="3564" s="1"/>
  <c r="BA73" i="3564"/>
  <c r="BB73" i="3564" s="1"/>
  <c r="U73" i="3564"/>
  <c r="V73" i="3564" s="1"/>
  <c r="W73" i="3564" s="1"/>
  <c r="P193" i="3564" a="1"/>
  <c r="P193" i="3564" s="1"/>
  <c r="O193" i="3564" a="1"/>
  <c r="O193" i="3564" s="1"/>
  <c r="M193" i="3564" a="1"/>
  <c r="M193" i="3564" s="1"/>
  <c r="L193" i="3564" a="1"/>
  <c r="L193" i="3564" s="1"/>
  <c r="N193" i="3564" a="1"/>
  <c r="N193" i="3564" s="1"/>
  <c r="K193" i="3564" a="1"/>
  <c r="K193" i="3564" s="1"/>
  <c r="P169" i="3564" a="1"/>
  <c r="P169" i="3564" s="1"/>
  <c r="O169" i="3564" a="1"/>
  <c r="O169" i="3564" s="1"/>
  <c r="N169" i="3564" a="1"/>
  <c r="N169" i="3564" s="1"/>
  <c r="M169" i="3564" a="1"/>
  <c r="M169" i="3564" s="1"/>
  <c r="L169" i="3564" a="1"/>
  <c r="L169" i="3564" s="1"/>
  <c r="K169" i="3564" a="1"/>
  <c r="K169" i="3564" s="1"/>
  <c r="K122" i="3564" a="1"/>
  <c r="K122" i="3564" s="1"/>
  <c r="P122" i="3564" a="1"/>
  <c r="P122" i="3564" s="1"/>
  <c r="N122" i="3564" a="1"/>
  <c r="N122" i="3564" s="1"/>
  <c r="L122" i="3564" a="1"/>
  <c r="L122" i="3564" s="1"/>
  <c r="O122" i="3564" a="1"/>
  <c r="O122" i="3564" s="1"/>
  <c r="M122" i="3564" a="1"/>
  <c r="M122" i="3564" s="1"/>
  <c r="O165" i="3564" a="1"/>
  <c r="O165" i="3564" s="1"/>
  <c r="M165" i="3564" a="1"/>
  <c r="M165" i="3564" s="1"/>
  <c r="L165" i="3564" a="1"/>
  <c r="L165" i="3564" s="1"/>
  <c r="P165" i="3564" a="1"/>
  <c r="P165" i="3564" s="1"/>
  <c r="N165" i="3564" a="1"/>
  <c r="N165" i="3564" s="1"/>
  <c r="K165" i="3564" a="1"/>
  <c r="K165" i="3564" s="1"/>
  <c r="N262" i="3564" a="1"/>
  <c r="N262" i="3564" s="1"/>
  <c r="O262" i="3564" a="1"/>
  <c r="O262" i="3564" s="1"/>
  <c r="M262" i="3564" a="1"/>
  <c r="M262" i="3564" s="1"/>
  <c r="K262" i="3564" a="1"/>
  <c r="K262" i="3564" s="1"/>
  <c r="P262" i="3564" a="1"/>
  <c r="P262" i="3564" s="1"/>
  <c r="L262" i="3564" a="1"/>
  <c r="L262" i="3564" s="1"/>
  <c r="M212" i="3564" a="1"/>
  <c r="M212" i="3564" s="1"/>
  <c r="L212" i="3564" a="1"/>
  <c r="L212" i="3564" s="1"/>
  <c r="P212" i="3564" a="1"/>
  <c r="P212" i="3564" s="1"/>
  <c r="K212" i="3564" a="1"/>
  <c r="K212" i="3564" s="1"/>
  <c r="O212" i="3564" a="1"/>
  <c r="O212" i="3564" s="1"/>
  <c r="N212" i="3564" a="1"/>
  <c r="N212" i="3564" s="1"/>
  <c r="O211" i="3564" a="1"/>
  <c r="O211" i="3564" s="1"/>
  <c r="P211" i="3564" a="1"/>
  <c r="P211" i="3564" s="1"/>
  <c r="L211" i="3564" a="1"/>
  <c r="L211" i="3564" s="1"/>
  <c r="N211" i="3564" a="1"/>
  <c r="N211" i="3564" s="1"/>
  <c r="K211" i="3564" a="1"/>
  <c r="K211" i="3564" s="1"/>
  <c r="M211" i="3564" a="1"/>
  <c r="M211" i="3564" s="1"/>
  <c r="P283" i="3564" a="1"/>
  <c r="P283" i="3564" s="1"/>
  <c r="O283" i="3564" a="1"/>
  <c r="O283" i="3564" s="1"/>
  <c r="K283" i="3564" a="1"/>
  <c r="K283" i="3564" s="1"/>
  <c r="N283" i="3564" a="1"/>
  <c r="N283" i="3564" s="1"/>
  <c r="M283" i="3564" a="1"/>
  <c r="M283" i="3564" s="1"/>
  <c r="L283" i="3564" a="1"/>
  <c r="L283" i="3564" s="1"/>
  <c r="P22" i="3564" a="1"/>
  <c r="P22" i="3564" s="1"/>
  <c r="O22" i="3564" a="1"/>
  <c r="O22" i="3564" s="1"/>
  <c r="N22" i="3564" a="1"/>
  <c r="N22" i="3564" s="1"/>
  <c r="AF22" i="3564" s="1"/>
  <c r="M22" i="3564" a="1"/>
  <c r="M22" i="3564" s="1"/>
  <c r="L22" i="3564" a="1"/>
  <c r="L22" i="3564" s="1"/>
  <c r="K22" i="3564" a="1"/>
  <c r="K22" i="3564" s="1"/>
  <c r="U26" i="3564"/>
  <c r="V26" i="3564" s="1"/>
  <c r="W26" i="3564" s="1"/>
  <c r="BA26" i="3564"/>
  <c r="BB26" i="3564" s="1"/>
  <c r="U44" i="3564"/>
  <c r="V44" i="3564" s="1"/>
  <c r="BA44" i="3564"/>
  <c r="BB44" i="3564" s="1"/>
  <c r="BC44" i="3564" s="1"/>
  <c r="S91" i="3489" a="1"/>
  <c r="S91" i="3489" s="1"/>
  <c r="AN89" i="3489" a="1"/>
  <c r="AN89" i="3489" s="1"/>
  <c r="AC89" i="3489" a="1"/>
  <c r="AC89" i="3489" s="1"/>
  <c r="BA92" i="3489" a="1"/>
  <c r="BA92" i="3489" s="1"/>
  <c r="AH27" i="3489" a="1"/>
  <c r="AH27" i="3489" s="1"/>
  <c r="AO27" i="3489" a="1"/>
  <c r="AO27" i="3489" s="1"/>
  <c r="BO26" i="3448"/>
  <c r="G51" i="3436"/>
  <c r="J70" i="3445" s="1" a="1"/>
  <c r="J70" i="3445" s="1"/>
  <c r="P70" i="3445" s="1"/>
  <c r="Q70" i="3445" s="1"/>
  <c r="Y29" i="3436"/>
  <c r="P60" i="3560" a="1"/>
  <c r="P60" i="3560" s="1"/>
  <c r="BI55" i="3489" a="1"/>
  <c r="BI55" i="3489" s="1"/>
  <c r="AC55" i="3489" a="1"/>
  <c r="AC55" i="3489" s="1"/>
  <c r="I53" i="3560"/>
  <c r="L53" i="3560"/>
  <c r="K53" i="3560"/>
  <c r="J53" i="3560"/>
  <c r="AW27" i="3489" a="1"/>
  <c r="AW27" i="3489" s="1"/>
  <c r="AU24" i="3495" a="1"/>
  <c r="AU24" i="3495" s="1"/>
  <c r="Y24" i="3495" a="1"/>
  <c r="Y24" i="3495" s="1"/>
  <c r="AZ24" i="3495" a="1"/>
  <c r="AZ24" i="3495" s="1"/>
  <c r="AX24" i="3495" a="1"/>
  <c r="AX24" i="3495" s="1"/>
  <c r="V24" i="3495" a="1"/>
  <c r="V24" i="3495" s="1"/>
  <c r="W24" i="3495" s="1" a="1"/>
  <c r="W24" i="3495" s="1"/>
  <c r="P16" i="3564" a="1"/>
  <c r="P16" i="3564" s="1"/>
  <c r="O16" i="3564" a="1"/>
  <c r="O16" i="3564" s="1"/>
  <c r="N16" i="3564" a="1"/>
  <c r="N16" i="3564" s="1"/>
  <c r="AF16" i="3564" s="1"/>
  <c r="M16" i="3564" a="1"/>
  <c r="M16" i="3564" s="1"/>
  <c r="L16" i="3564" a="1"/>
  <c r="L16" i="3564" s="1"/>
  <c r="K16" i="3564" a="1"/>
  <c r="K16" i="3564" s="1"/>
  <c r="BO13" i="3564"/>
  <c r="BV12" i="3564"/>
  <c r="O111" i="3564" a="1"/>
  <c r="O111" i="3564" s="1"/>
  <c r="N111" i="3564" a="1"/>
  <c r="N111" i="3564" s="1"/>
  <c r="M111" i="3564" a="1"/>
  <c r="M111" i="3564" s="1"/>
  <c r="K111" i="3564" a="1"/>
  <c r="K111" i="3564" s="1"/>
  <c r="P111" i="3564" a="1"/>
  <c r="P111" i="3564" s="1"/>
  <c r="L111" i="3564" a="1"/>
  <c r="L111" i="3564" s="1"/>
  <c r="P229" i="3564" a="1"/>
  <c r="P229" i="3564" s="1"/>
  <c r="O229" i="3564" a="1"/>
  <c r="O229" i="3564" s="1"/>
  <c r="M229" i="3564" a="1"/>
  <c r="M229" i="3564" s="1"/>
  <c r="L229" i="3564" a="1"/>
  <c r="L229" i="3564" s="1"/>
  <c r="K229" i="3564" a="1"/>
  <c r="K229" i="3564" s="1"/>
  <c r="N229" i="3564" a="1"/>
  <c r="N229" i="3564" s="1"/>
  <c r="L190" i="3564" a="1"/>
  <c r="L190" i="3564" s="1"/>
  <c r="P190" i="3564" a="1"/>
  <c r="P190" i="3564" s="1"/>
  <c r="O190" i="3564" a="1"/>
  <c r="O190" i="3564" s="1"/>
  <c r="N190" i="3564" a="1"/>
  <c r="N190" i="3564" s="1"/>
  <c r="M190" i="3564" a="1"/>
  <c r="M190" i="3564" s="1"/>
  <c r="K190" i="3564" a="1"/>
  <c r="K190" i="3564" s="1"/>
  <c r="L174" i="3564" a="1"/>
  <c r="L174" i="3564" s="1"/>
  <c r="P174" i="3564" a="1"/>
  <c r="P174" i="3564" s="1"/>
  <c r="O174" i="3564" a="1"/>
  <c r="O174" i="3564" s="1"/>
  <c r="N174" i="3564" a="1"/>
  <c r="N174" i="3564" s="1"/>
  <c r="M174" i="3564" a="1"/>
  <c r="M174" i="3564" s="1"/>
  <c r="K174" i="3564" a="1"/>
  <c r="K174" i="3564" s="1"/>
  <c r="M290" i="3564" a="1"/>
  <c r="M290" i="3564" s="1"/>
  <c r="L290" i="3564" a="1"/>
  <c r="L290" i="3564" s="1"/>
  <c r="P290" i="3564" a="1"/>
  <c r="P290" i="3564" s="1"/>
  <c r="O290" i="3564" a="1"/>
  <c r="O290" i="3564" s="1"/>
  <c r="N290" i="3564" a="1"/>
  <c r="N290" i="3564" s="1"/>
  <c r="K290" i="3564" a="1"/>
  <c r="K290" i="3564" s="1"/>
  <c r="P181" i="3564" a="1"/>
  <c r="P181" i="3564" s="1"/>
  <c r="O181" i="3564" a="1"/>
  <c r="O181" i="3564" s="1"/>
  <c r="M181" i="3564" a="1"/>
  <c r="M181" i="3564" s="1"/>
  <c r="K181" i="3564" a="1"/>
  <c r="K181" i="3564" s="1"/>
  <c r="L181" i="3564" a="1"/>
  <c r="L181" i="3564" s="1"/>
  <c r="N181" i="3564" a="1"/>
  <c r="N181" i="3564" s="1"/>
  <c r="M216" i="3564" a="1"/>
  <c r="M216" i="3564" s="1"/>
  <c r="L216" i="3564" a="1"/>
  <c r="L216" i="3564" s="1"/>
  <c r="P216" i="3564" a="1"/>
  <c r="P216" i="3564" s="1"/>
  <c r="N216" i="3564" a="1"/>
  <c r="N216" i="3564" s="1"/>
  <c r="K216" i="3564" a="1"/>
  <c r="K216" i="3564" s="1"/>
  <c r="O216" i="3564" a="1"/>
  <c r="O216" i="3564" s="1"/>
  <c r="O215" i="3564" a="1"/>
  <c r="O215" i="3564" s="1"/>
  <c r="P215" i="3564" a="1"/>
  <c r="P215" i="3564" s="1"/>
  <c r="N215" i="3564" a="1"/>
  <c r="N215" i="3564" s="1"/>
  <c r="M215" i="3564" a="1"/>
  <c r="M215" i="3564" s="1"/>
  <c r="L215" i="3564" a="1"/>
  <c r="L215" i="3564" s="1"/>
  <c r="K215" i="3564" a="1"/>
  <c r="K215" i="3564" s="1"/>
  <c r="P287" i="3564" a="1"/>
  <c r="P287" i="3564" s="1"/>
  <c r="O287" i="3564" a="1"/>
  <c r="O287" i="3564" s="1"/>
  <c r="K287" i="3564" a="1"/>
  <c r="K287" i="3564" s="1"/>
  <c r="M287" i="3564" a="1"/>
  <c r="M287" i="3564" s="1"/>
  <c r="L287" i="3564" a="1"/>
  <c r="L287" i="3564" s="1"/>
  <c r="N287" i="3564" a="1"/>
  <c r="N287" i="3564" s="1"/>
  <c r="U40" i="3564"/>
  <c r="V40" i="3564" s="1"/>
  <c r="W40" i="3564" s="1"/>
  <c r="BA40" i="3564"/>
  <c r="BB40" i="3564" s="1"/>
  <c r="AZ91" i="3489" a="1"/>
  <c r="AZ91" i="3489" s="1"/>
  <c r="S89" i="3489" a="1"/>
  <c r="S89" i="3489" s="1"/>
  <c r="AO89" i="3489" a="1"/>
  <c r="AO89" i="3489" s="1"/>
  <c r="M62" i="3448"/>
  <c r="U31" i="3436" a="1"/>
  <c r="U31" i="3436" s="1"/>
  <c r="J33" i="3444" s="1"/>
  <c r="Y60" i="3436"/>
  <c r="AW96" i="3489" a="1"/>
  <c r="AW96" i="3489" s="1"/>
  <c r="BD96" i="3489" a="1"/>
  <c r="BD96" i="3489" s="1"/>
  <c r="O96" i="3489" a="1"/>
  <c r="O96" i="3489" s="1"/>
  <c r="M96" i="3489" a="1"/>
  <c r="M96" i="3489" s="1"/>
  <c r="AJ96" i="3489" a="1"/>
  <c r="AJ96" i="3489" s="1"/>
  <c r="AI96" i="3489" a="1"/>
  <c r="AI96" i="3489" s="1"/>
  <c r="P96" i="3489" a="1"/>
  <c r="P96" i="3489" s="1"/>
  <c r="BO23" i="3495" a="1"/>
  <c r="BO23" i="3495" s="1"/>
  <c r="AK23" i="3495" a="1"/>
  <c r="AK23" i="3495" s="1"/>
  <c r="AL23" i="3495" s="1" a="1"/>
  <c r="AL23" i="3495" s="1"/>
  <c r="AN23" i="3495" a="1"/>
  <c r="AN23" i="3495" s="1"/>
  <c r="BR23" i="3495" a="1"/>
  <c r="BR23" i="3495" s="1"/>
  <c r="E42" i="3518" a="1"/>
  <c r="E42" i="3518" s="1"/>
  <c r="E30" i="3518" a="1"/>
  <c r="E30" i="3518" s="1"/>
  <c r="E51" i="3518" a="1"/>
  <c r="E51" i="3518" s="1"/>
  <c r="E58" i="3518" a="1"/>
  <c r="E58" i="3518" s="1"/>
  <c r="N121" i="3564" a="1"/>
  <c r="N121" i="3564" s="1"/>
  <c r="M121" i="3564" a="1"/>
  <c r="M121" i="3564" s="1"/>
  <c r="L121" i="3564" a="1"/>
  <c r="L121" i="3564" s="1"/>
  <c r="K121" i="3564" a="1"/>
  <c r="K121" i="3564" s="1"/>
  <c r="P121" i="3564" a="1"/>
  <c r="P121" i="3564" s="1"/>
  <c r="O121" i="3564" a="1"/>
  <c r="O121" i="3564" s="1"/>
  <c r="L186" i="3564" a="1"/>
  <c r="L186" i="3564" s="1"/>
  <c r="P186" i="3564" a="1"/>
  <c r="P186" i="3564" s="1"/>
  <c r="O186" i="3564" a="1"/>
  <c r="O186" i="3564" s="1"/>
  <c r="N186" i="3564" a="1"/>
  <c r="N186" i="3564" s="1"/>
  <c r="M186" i="3564" a="1"/>
  <c r="M186" i="3564" s="1"/>
  <c r="K186" i="3564" a="1"/>
  <c r="K186" i="3564" s="1"/>
  <c r="M134" i="3564" a="1"/>
  <c r="M134" i="3564" s="1"/>
  <c r="P134" i="3564" a="1"/>
  <c r="P134" i="3564" s="1"/>
  <c r="O134" i="3564" a="1"/>
  <c r="O134" i="3564" s="1"/>
  <c r="N134" i="3564" a="1"/>
  <c r="N134" i="3564" s="1"/>
  <c r="L134" i="3564" a="1"/>
  <c r="L134" i="3564" s="1"/>
  <c r="K134" i="3564" a="1"/>
  <c r="K134" i="3564" s="1"/>
  <c r="P237" i="3564" a="1"/>
  <c r="P237" i="3564" s="1"/>
  <c r="O237" i="3564" a="1"/>
  <c r="O237" i="3564" s="1"/>
  <c r="M237" i="3564" a="1"/>
  <c r="M237" i="3564" s="1"/>
  <c r="L237" i="3564" a="1"/>
  <c r="L237" i="3564" s="1"/>
  <c r="K237" i="3564" a="1"/>
  <c r="K237" i="3564" s="1"/>
  <c r="N237" i="3564" a="1"/>
  <c r="N237" i="3564" s="1"/>
  <c r="P209" i="3564" a="1"/>
  <c r="P209" i="3564" s="1"/>
  <c r="O209" i="3564" a="1"/>
  <c r="O209" i="3564" s="1"/>
  <c r="M209" i="3564" a="1"/>
  <c r="M209" i="3564" s="1"/>
  <c r="L209" i="3564" a="1"/>
  <c r="L209" i="3564" s="1"/>
  <c r="K209" i="3564" a="1"/>
  <c r="K209" i="3564" s="1"/>
  <c r="N209" i="3564" a="1"/>
  <c r="N209" i="3564" s="1"/>
  <c r="M220" i="3564" a="1"/>
  <c r="M220" i="3564" s="1"/>
  <c r="L220" i="3564" a="1"/>
  <c r="L220" i="3564" s="1"/>
  <c r="P220" i="3564" a="1"/>
  <c r="P220" i="3564" s="1"/>
  <c r="K220" i="3564" a="1"/>
  <c r="K220" i="3564" s="1"/>
  <c r="O220" i="3564" a="1"/>
  <c r="O220" i="3564" s="1"/>
  <c r="N220" i="3564" a="1"/>
  <c r="N220" i="3564" s="1"/>
  <c r="O219" i="3564" a="1"/>
  <c r="O219" i="3564" s="1"/>
  <c r="P219" i="3564" a="1"/>
  <c r="P219" i="3564" s="1"/>
  <c r="L219" i="3564" a="1"/>
  <c r="L219" i="3564" s="1"/>
  <c r="M219" i="3564" a="1"/>
  <c r="M219" i="3564" s="1"/>
  <c r="K219" i="3564" a="1"/>
  <c r="K219" i="3564" s="1"/>
  <c r="N219" i="3564" a="1"/>
  <c r="N219" i="3564" s="1"/>
  <c r="P291" i="3564" a="1"/>
  <c r="P291" i="3564" s="1"/>
  <c r="O291" i="3564" a="1"/>
  <c r="O291" i="3564" s="1"/>
  <c r="K291" i="3564" a="1"/>
  <c r="K291" i="3564" s="1"/>
  <c r="N291" i="3564" a="1"/>
  <c r="N291" i="3564" s="1"/>
  <c r="M291" i="3564" a="1"/>
  <c r="M291" i="3564" s="1"/>
  <c r="L291" i="3564" a="1"/>
  <c r="L291" i="3564" s="1"/>
  <c r="A47" i="3445"/>
  <c r="A65" i="3445"/>
  <c r="AT89" i="3489" a="1"/>
  <c r="AT89" i="3489" s="1"/>
  <c r="BA89" i="3489" a="1"/>
  <c r="BA89" i="3489" s="1"/>
  <c r="O92" i="3489" a="1"/>
  <c r="O92" i="3489" s="1"/>
  <c r="W92" i="3489" a="1"/>
  <c r="W92" i="3489" s="1"/>
  <c r="BD27" i="3489" a="1"/>
  <c r="BD27" i="3489" s="1"/>
  <c r="AL27" i="3489" a="1"/>
  <c r="AL27" i="3489" s="1"/>
  <c r="AC27" i="3489" a="1"/>
  <c r="AC27" i="3489" s="1"/>
  <c r="M81" i="3448"/>
  <c r="BP96" i="3448"/>
  <c r="B128" i="3523" s="1"/>
  <c r="Y31" i="3436"/>
  <c r="Y50" i="3436"/>
  <c r="BH31" i="3489" a="1"/>
  <c r="BH31" i="3489" s="1"/>
  <c r="BI31" i="3489" a="1"/>
  <c r="BI31" i="3489" s="1"/>
  <c r="BB31" i="3489" a="1"/>
  <c r="BB31" i="3489" s="1"/>
  <c r="X31" i="3489" a="1"/>
  <c r="X31" i="3489" s="1"/>
  <c r="W31" i="3489" a="1"/>
  <c r="W31" i="3489" s="1"/>
  <c r="V31" i="3489" a="1"/>
  <c r="V31" i="3489" s="1"/>
  <c r="U31" i="3489" a="1"/>
  <c r="U31" i="3489" s="1"/>
  <c r="T31" i="3489" a="1"/>
  <c r="T31" i="3489" s="1"/>
  <c r="P31" i="3489" a="1"/>
  <c r="P31" i="3489" s="1"/>
  <c r="M31" i="3489" a="1"/>
  <c r="M31" i="3489" s="1"/>
  <c r="BA31" i="3489" a="1"/>
  <c r="BA31" i="3489" s="1"/>
  <c r="AP31" i="3489" a="1"/>
  <c r="AP31" i="3489" s="1"/>
  <c r="AK31" i="3489" a="1"/>
  <c r="AK31" i="3489" s="1"/>
  <c r="AJ31" i="3489" a="1"/>
  <c r="AJ31" i="3489" s="1"/>
  <c r="AI31" i="3489" a="1"/>
  <c r="AI31" i="3489" s="1"/>
  <c r="AI25" i="3495" a="1"/>
  <c r="AI25" i="3495" s="1"/>
  <c r="AF25" i="3495" a="1"/>
  <c r="AF25" i="3495" s="1"/>
  <c r="AG25" i="3495" s="1" a="1"/>
  <c r="AG25" i="3495" s="1"/>
  <c r="BM25" i="3495" a="1"/>
  <c r="BM25" i="3495" s="1"/>
  <c r="BJ25" i="3495"/>
  <c r="AA24" i="3495" a="1"/>
  <c r="AA24" i="3495" s="1"/>
  <c r="AB24" i="3495" s="1" a="1"/>
  <c r="AB24" i="3495" s="1"/>
  <c r="BH24" i="3495" a="1"/>
  <c r="BH24" i="3495" s="1"/>
  <c r="BC24" i="3495" a="1"/>
  <c r="BC24" i="3495" s="1"/>
  <c r="BE24" i="3495" a="1"/>
  <c r="BE24" i="3495" s="1"/>
  <c r="AD24" i="3495" a="1"/>
  <c r="AD24" i="3495" s="1"/>
  <c r="L155" i="3564" a="1"/>
  <c r="L155" i="3564" s="1"/>
  <c r="K155" i="3564" a="1"/>
  <c r="K155" i="3564" s="1"/>
  <c r="P155" i="3564" a="1"/>
  <c r="P155" i="3564" s="1"/>
  <c r="O155" i="3564" a="1"/>
  <c r="O155" i="3564" s="1"/>
  <c r="M155" i="3564" a="1"/>
  <c r="M155" i="3564" s="1"/>
  <c r="N155" i="3564" a="1"/>
  <c r="N155" i="3564" s="1"/>
  <c r="O144" i="3564" a="1"/>
  <c r="O144" i="3564" s="1"/>
  <c r="N144" i="3564" a="1"/>
  <c r="N144" i="3564" s="1"/>
  <c r="L144" i="3564" a="1"/>
  <c r="L144" i="3564" s="1"/>
  <c r="P144" i="3564" a="1"/>
  <c r="P144" i="3564" s="1"/>
  <c r="M144" i="3564" a="1"/>
  <c r="M144" i="3564" s="1"/>
  <c r="K144" i="3564" a="1"/>
  <c r="K144" i="3564" s="1"/>
  <c r="O128" i="3564" a="1"/>
  <c r="O128" i="3564" s="1"/>
  <c r="N128" i="3564" a="1"/>
  <c r="N128" i="3564" s="1"/>
  <c r="M128" i="3564" a="1"/>
  <c r="M128" i="3564" s="1"/>
  <c r="L128" i="3564" a="1"/>
  <c r="L128" i="3564" s="1"/>
  <c r="K128" i="3564" a="1"/>
  <c r="K128" i="3564" s="1"/>
  <c r="P128" i="3564" a="1"/>
  <c r="P128" i="3564" s="1"/>
  <c r="P150" i="3564" a="1"/>
  <c r="P150" i="3564" s="1"/>
  <c r="O150" i="3564" a="1"/>
  <c r="O150" i="3564" s="1"/>
  <c r="M150" i="3564" a="1"/>
  <c r="M150" i="3564" s="1"/>
  <c r="L150" i="3564" a="1"/>
  <c r="L150" i="3564" s="1"/>
  <c r="K150" i="3564" a="1"/>
  <c r="K150" i="3564" s="1"/>
  <c r="N150" i="3564" a="1"/>
  <c r="N150" i="3564" s="1"/>
  <c r="P245" i="3564" a="1"/>
  <c r="P245" i="3564" s="1"/>
  <c r="O245" i="3564" a="1"/>
  <c r="O245" i="3564" s="1"/>
  <c r="M245" i="3564" a="1"/>
  <c r="M245" i="3564" s="1"/>
  <c r="L245" i="3564" a="1"/>
  <c r="L245" i="3564" s="1"/>
  <c r="K245" i="3564" a="1"/>
  <c r="K245" i="3564" s="1"/>
  <c r="N245" i="3564" a="1"/>
  <c r="N245" i="3564" s="1"/>
  <c r="P217" i="3564" a="1"/>
  <c r="P217" i="3564" s="1"/>
  <c r="O217" i="3564" a="1"/>
  <c r="O217" i="3564" s="1"/>
  <c r="M217" i="3564" a="1"/>
  <c r="M217" i="3564" s="1"/>
  <c r="L217" i="3564" a="1"/>
  <c r="L217" i="3564" s="1"/>
  <c r="K217" i="3564" a="1"/>
  <c r="K217" i="3564" s="1"/>
  <c r="N217" i="3564" a="1"/>
  <c r="N217" i="3564" s="1"/>
  <c r="M224" i="3564" a="1"/>
  <c r="M224" i="3564" s="1"/>
  <c r="L224" i="3564" a="1"/>
  <c r="L224" i="3564" s="1"/>
  <c r="P224" i="3564" a="1"/>
  <c r="P224" i="3564" s="1"/>
  <c r="N224" i="3564" a="1"/>
  <c r="N224" i="3564" s="1"/>
  <c r="K224" i="3564" a="1"/>
  <c r="K224" i="3564" s="1"/>
  <c r="O224" i="3564" a="1"/>
  <c r="O224" i="3564" s="1"/>
  <c r="O223" i="3564" a="1"/>
  <c r="O223" i="3564" s="1"/>
  <c r="P223" i="3564" a="1"/>
  <c r="P223" i="3564" s="1"/>
  <c r="N223" i="3564" a="1"/>
  <c r="N223" i="3564" s="1"/>
  <c r="M223" i="3564" a="1"/>
  <c r="M223" i="3564" s="1"/>
  <c r="L223" i="3564" a="1"/>
  <c r="L223" i="3564" s="1"/>
  <c r="K223" i="3564" a="1"/>
  <c r="K223" i="3564" s="1"/>
  <c r="O269" i="3564" a="1"/>
  <c r="O269" i="3564" s="1"/>
  <c r="N269" i="3564" a="1"/>
  <c r="N269" i="3564" s="1"/>
  <c r="P269" i="3564" a="1"/>
  <c r="P269" i="3564" s="1"/>
  <c r="M269" i="3564" a="1"/>
  <c r="M269" i="3564" s="1"/>
  <c r="L269" i="3564" a="1"/>
  <c r="L269" i="3564" s="1"/>
  <c r="K269" i="3564" a="1"/>
  <c r="K269" i="3564" s="1"/>
  <c r="N117" i="3564" a="1"/>
  <c r="N117" i="3564" s="1"/>
  <c r="M117" i="3564" a="1"/>
  <c r="M117" i="3564" s="1"/>
  <c r="L117" i="3564" a="1"/>
  <c r="L117" i="3564" s="1"/>
  <c r="P117" i="3564" a="1"/>
  <c r="P117" i="3564" s="1"/>
  <c r="O117" i="3564" a="1"/>
  <c r="O117" i="3564" s="1"/>
  <c r="K117" i="3564" a="1"/>
  <c r="K117" i="3564" s="1"/>
  <c r="U15" i="3564"/>
  <c r="V15" i="3564" s="1"/>
  <c r="BA15" i="3564"/>
  <c r="BB15" i="3564" s="1"/>
  <c r="BC15" i="3564" s="1"/>
  <c r="AO92" i="3489" a="1"/>
  <c r="AO92" i="3489" s="1"/>
  <c r="A99" i="3445"/>
  <c r="I39" i="3445" a="1"/>
  <c r="I39" i="3445" s="1"/>
  <c r="J45" i="3445" a="1"/>
  <c r="J45" i="3445" s="1"/>
  <c r="P45" i="3445" s="1"/>
  <c r="O40" i="3445"/>
  <c r="K91" i="3489" a="1"/>
  <c r="K91" i="3489" s="1"/>
  <c r="U89" i="3489" a="1"/>
  <c r="U89" i="3489" s="1"/>
  <c r="AH52" i="3489" a="1"/>
  <c r="AH52" i="3489" s="1"/>
  <c r="M45" i="3448"/>
  <c r="M27" i="3448"/>
  <c r="Y63" i="3436"/>
  <c r="BV46" i="3479" a="1"/>
  <c r="BV46" i="3479" s="1"/>
  <c r="BW46" i="3479" s="1" a="1"/>
  <c r="BW46" i="3479" s="1"/>
  <c r="BU46" i="3479" a="1"/>
  <c r="BU46" i="3479" s="1"/>
  <c r="A85" i="3445"/>
  <c r="L85" i="3445"/>
  <c r="M85" i="3445" s="1"/>
  <c r="H66" i="3436" s="1"/>
  <c r="V16" i="3495" a="1"/>
  <c r="V16" i="3495" s="1"/>
  <c r="W16" i="3495" s="1" a="1"/>
  <c r="W16" i="3495" s="1"/>
  <c r="AU16" i="3495" a="1"/>
  <c r="AU16" i="3495" s="1"/>
  <c r="AS23" i="3495" a="1"/>
  <c r="AS23" i="3495" s="1"/>
  <c r="AP23" i="3495" a="1"/>
  <c r="AP23" i="3495" s="1"/>
  <c r="AQ23" i="3495" s="1" a="1"/>
  <c r="AQ23" i="3495" s="1"/>
  <c r="M138" i="3564" a="1"/>
  <c r="M138" i="3564" s="1"/>
  <c r="P138" i="3564" a="1"/>
  <c r="P138" i="3564" s="1"/>
  <c r="O138" i="3564" a="1"/>
  <c r="O138" i="3564" s="1"/>
  <c r="N138" i="3564" a="1"/>
  <c r="N138" i="3564" s="1"/>
  <c r="K138" i="3564" a="1"/>
  <c r="K138" i="3564" s="1"/>
  <c r="L138" i="3564" a="1"/>
  <c r="L138" i="3564" s="1"/>
  <c r="U101" i="3564"/>
  <c r="V101" i="3564" s="1"/>
  <c r="BA101" i="3564"/>
  <c r="BB101" i="3564" s="1"/>
  <c r="O136" i="3564" a="1"/>
  <c r="O136" i="3564" s="1"/>
  <c r="N136" i="3564" a="1"/>
  <c r="N136" i="3564" s="1"/>
  <c r="L136" i="3564" a="1"/>
  <c r="L136" i="3564" s="1"/>
  <c r="P136" i="3564" a="1"/>
  <c r="P136" i="3564" s="1"/>
  <c r="K136" i="3564" a="1"/>
  <c r="K136" i="3564" s="1"/>
  <c r="M136" i="3564" a="1"/>
  <c r="M136" i="3564" s="1"/>
  <c r="P185" i="3564" a="1"/>
  <c r="P185" i="3564" s="1"/>
  <c r="O185" i="3564" a="1"/>
  <c r="O185" i="3564" s="1"/>
  <c r="M185" i="3564" a="1"/>
  <c r="M185" i="3564" s="1"/>
  <c r="N185" i="3564" a="1"/>
  <c r="N185" i="3564" s="1"/>
  <c r="L185" i="3564" a="1"/>
  <c r="L185" i="3564" s="1"/>
  <c r="K185" i="3564" a="1"/>
  <c r="K185" i="3564" s="1"/>
  <c r="L147" i="3564" a="1"/>
  <c r="L147" i="3564" s="1"/>
  <c r="K147" i="3564" a="1"/>
  <c r="K147" i="3564" s="1"/>
  <c r="P147" i="3564" a="1"/>
  <c r="P147" i="3564" s="1"/>
  <c r="M147" i="3564" a="1"/>
  <c r="M147" i="3564" s="1"/>
  <c r="N147" i="3564" a="1"/>
  <c r="N147" i="3564" s="1"/>
  <c r="O147" i="3564" a="1"/>
  <c r="O147" i="3564" s="1"/>
  <c r="P154" i="3564" a="1"/>
  <c r="P154" i="3564" s="1"/>
  <c r="O154" i="3564" a="1"/>
  <c r="O154" i="3564" s="1"/>
  <c r="M154" i="3564" a="1"/>
  <c r="M154" i="3564" s="1"/>
  <c r="L154" i="3564" a="1"/>
  <c r="L154" i="3564" s="1"/>
  <c r="N154" i="3564" a="1"/>
  <c r="N154" i="3564" s="1"/>
  <c r="K154" i="3564" a="1"/>
  <c r="K154" i="3564" s="1"/>
  <c r="P253" i="3564" a="1"/>
  <c r="P253" i="3564" s="1"/>
  <c r="O253" i="3564" a="1"/>
  <c r="O253" i="3564" s="1"/>
  <c r="M253" i="3564" a="1"/>
  <c r="M253" i="3564" s="1"/>
  <c r="L253" i="3564" a="1"/>
  <c r="L253" i="3564" s="1"/>
  <c r="K253" i="3564" a="1"/>
  <c r="K253" i="3564" s="1"/>
  <c r="N253" i="3564" a="1"/>
  <c r="N253" i="3564" s="1"/>
  <c r="P225" i="3564" a="1"/>
  <c r="P225" i="3564" s="1"/>
  <c r="O225" i="3564" a="1"/>
  <c r="O225" i="3564" s="1"/>
  <c r="M225" i="3564" a="1"/>
  <c r="M225" i="3564" s="1"/>
  <c r="L225" i="3564" a="1"/>
  <c r="L225" i="3564" s="1"/>
  <c r="K225" i="3564" a="1"/>
  <c r="K225" i="3564" s="1"/>
  <c r="N225" i="3564" a="1"/>
  <c r="N225" i="3564" s="1"/>
  <c r="M228" i="3564" a="1"/>
  <c r="M228" i="3564" s="1"/>
  <c r="L228" i="3564" a="1"/>
  <c r="L228" i="3564" s="1"/>
  <c r="P228" i="3564" a="1"/>
  <c r="P228" i="3564" s="1"/>
  <c r="K228" i="3564" a="1"/>
  <c r="K228" i="3564" s="1"/>
  <c r="O228" i="3564" a="1"/>
  <c r="O228" i="3564" s="1"/>
  <c r="N228" i="3564" a="1"/>
  <c r="N228" i="3564" s="1"/>
  <c r="O227" i="3564" a="1"/>
  <c r="O227" i="3564" s="1"/>
  <c r="P227" i="3564" a="1"/>
  <c r="P227" i="3564" s="1"/>
  <c r="M227" i="3564" a="1"/>
  <c r="M227" i="3564" s="1"/>
  <c r="L227" i="3564" a="1"/>
  <c r="L227" i="3564" s="1"/>
  <c r="N227" i="3564" a="1"/>
  <c r="N227" i="3564" s="1"/>
  <c r="K227" i="3564" a="1"/>
  <c r="K227" i="3564" s="1"/>
  <c r="O273" i="3564" a="1"/>
  <c r="O273" i="3564" s="1"/>
  <c r="N273" i="3564" a="1"/>
  <c r="N273" i="3564" s="1"/>
  <c r="P273" i="3564" a="1"/>
  <c r="P273" i="3564" s="1"/>
  <c r="M273" i="3564" a="1"/>
  <c r="M273" i="3564" s="1"/>
  <c r="K273" i="3564" a="1"/>
  <c r="K273" i="3564" s="1"/>
  <c r="L273" i="3564" a="1"/>
  <c r="L273" i="3564" s="1"/>
  <c r="I26" i="3436"/>
  <c r="S45" i="3445" s="1" a="1"/>
  <c r="S45" i="3445" s="1"/>
  <c r="I23" i="3436"/>
  <c r="S42" i="3445" s="1" a="1"/>
  <c r="S42" i="3445" s="1"/>
  <c r="T42" i="3445" s="1"/>
  <c r="I44" i="3436"/>
  <c r="S63" i="3445" s="1" a="1"/>
  <c r="S63" i="3445" s="1"/>
  <c r="T63" i="3445" s="1"/>
  <c r="I45" i="3436"/>
  <c r="I20" i="3436"/>
  <c r="ES66" i="3479" a="1"/>
  <c r="ES66" i="3479" s="1"/>
  <c r="ET66" i="3479" s="1" a="1"/>
  <c r="ET66" i="3479" s="1"/>
  <c r="ER66" i="3479" a="1"/>
  <c r="ER66" i="3479" s="1"/>
  <c r="EU66" i="3479" s="1" a="1"/>
  <c r="EU66" i="3479" s="1"/>
  <c r="EV66" i="3479" s="1" a="1"/>
  <c r="EV66" i="3479" s="1"/>
  <c r="L86" i="3560"/>
  <c r="K86" i="3560"/>
  <c r="J86" i="3560"/>
  <c r="I86" i="3560"/>
  <c r="DO55" i="3479" a="1"/>
  <c r="DO55" i="3479" s="1"/>
  <c r="DP55" i="3479" s="1" a="1"/>
  <c r="DP55" i="3479" s="1"/>
  <c r="DN55" i="3479" a="1"/>
  <c r="DN55" i="3479" s="1"/>
  <c r="DQ55" i="3479" s="1" a="1"/>
  <c r="DQ55" i="3479" s="1"/>
  <c r="DR55" i="3479" s="1" a="1"/>
  <c r="DR55" i="3479" s="1"/>
  <c r="K30" i="3560"/>
  <c r="L30" i="3560"/>
  <c r="J30" i="3560"/>
  <c r="P30" i="3560" s="1" a="1"/>
  <c r="P30" i="3560" s="1"/>
  <c r="I30" i="3560"/>
  <c r="O30" i="3560" s="1" a="1"/>
  <c r="O30" i="3560" s="1"/>
  <c r="BB26" i="3444" a="1"/>
  <c r="BB26" i="3444" s="1"/>
  <c r="AP26" i="3444" a="1"/>
  <c r="AP26" i="3444" s="1"/>
  <c r="AD26" i="3444" a="1"/>
  <c r="AD26" i="3444" s="1"/>
  <c r="R26" i="3444" a="1"/>
  <c r="R26" i="3444" s="1"/>
  <c r="AZ26" i="3444" a="1"/>
  <c r="AZ26" i="3444" s="1"/>
  <c r="AN26" i="3444" a="1"/>
  <c r="AN26" i="3444" s="1"/>
  <c r="AB26" i="3444" a="1"/>
  <c r="AB26" i="3444" s="1"/>
  <c r="P26" i="3444" a="1"/>
  <c r="P26" i="3444" s="1"/>
  <c r="AQ26" i="3444" a="1"/>
  <c r="AQ26" i="3444" s="1"/>
  <c r="Z26" i="3444" a="1"/>
  <c r="Z26" i="3444" s="1"/>
  <c r="BE26" i="3444" a="1"/>
  <c r="BE26" i="3444" s="1"/>
  <c r="AO26" i="3444" a="1"/>
  <c r="AO26" i="3444" s="1"/>
  <c r="K26" i="3444" a="1"/>
  <c r="K26" i="3444" s="1"/>
  <c r="Y26" i="3444" a="1"/>
  <c r="Y26" i="3444" s="1"/>
  <c r="BD26" i="3444" a="1"/>
  <c r="BD26" i="3444" s="1"/>
  <c r="AM26" i="3444" a="1"/>
  <c r="AM26" i="3444" s="1"/>
  <c r="X26" i="3444" a="1"/>
  <c r="X26" i="3444" s="1"/>
  <c r="BC26" i="3444" a="1"/>
  <c r="BC26" i="3444" s="1"/>
  <c r="AL26" i="3444" a="1"/>
  <c r="AL26" i="3444" s="1"/>
  <c r="BA26" i="3444" a="1"/>
  <c r="BA26" i="3444" s="1"/>
  <c r="W26" i="3444" a="1"/>
  <c r="W26" i="3444" s="1"/>
  <c r="AK26" i="3444" a="1"/>
  <c r="AK26" i="3444" s="1"/>
  <c r="AY26" i="3444" a="1"/>
  <c r="AY26" i="3444" s="1"/>
  <c r="V26" i="3444" a="1"/>
  <c r="V26" i="3444" s="1"/>
  <c r="AJ26" i="3444" a="1"/>
  <c r="AJ26" i="3444" s="1"/>
  <c r="AI26" i="3444" a="1"/>
  <c r="AI26" i="3444" s="1"/>
  <c r="AH26" i="3444" a="1"/>
  <c r="AH26" i="3444" s="1"/>
  <c r="AV26" i="3444" a="1"/>
  <c r="AV26" i="3444" s="1"/>
  <c r="S26" i="3444" a="1"/>
  <c r="S26" i="3444" s="1"/>
  <c r="AG26" i="3444" a="1"/>
  <c r="AG26" i="3444" s="1"/>
  <c r="Q26" i="3444" a="1"/>
  <c r="Q26" i="3444" s="1"/>
  <c r="AU26" i="3444" a="1"/>
  <c r="AU26" i="3444" s="1"/>
  <c r="AR26" i="3444" a="1"/>
  <c r="AR26" i="3444" s="1"/>
  <c r="AA26" i="3444" a="1"/>
  <c r="AA26" i="3444" s="1"/>
  <c r="BF26" i="3444" a="1"/>
  <c r="BF26" i="3444" s="1"/>
  <c r="L26" i="3444" a="1"/>
  <c r="L26" i="3444" s="1"/>
  <c r="M26" i="3444" a="1"/>
  <c r="M26" i="3444" s="1"/>
  <c r="BH26" i="3444" a="1"/>
  <c r="BH26" i="3444" s="1"/>
  <c r="BG26" i="3444" a="1"/>
  <c r="BG26" i="3444" s="1"/>
  <c r="AW26" i="3444" a="1"/>
  <c r="AW26" i="3444" s="1"/>
  <c r="AT26" i="3444" a="1"/>
  <c r="AT26" i="3444" s="1"/>
  <c r="AS26" i="3444" a="1"/>
  <c r="AS26" i="3444" s="1"/>
  <c r="AE26" i="3444" a="1"/>
  <c r="AE26" i="3444" s="1"/>
  <c r="AC26" i="3444" a="1"/>
  <c r="AC26" i="3444" s="1"/>
  <c r="N26" i="3444" a="1"/>
  <c r="N26" i="3444" s="1"/>
  <c r="AX26" i="3444" a="1"/>
  <c r="AX26" i="3444" s="1"/>
  <c r="AF26" i="3444" a="1"/>
  <c r="AF26" i="3444" s="1"/>
  <c r="U26" i="3444" a="1"/>
  <c r="U26" i="3444" s="1"/>
  <c r="T26" i="3444" a="1"/>
  <c r="T26" i="3444" s="1"/>
  <c r="O26" i="3444" a="1"/>
  <c r="O26" i="3444" s="1"/>
  <c r="G82" i="3448"/>
  <c r="BW82" i="3448" s="1"/>
  <c r="BP82" i="3448"/>
  <c r="BO82" i="3448"/>
  <c r="EC21" i="3479" a="1"/>
  <c r="EC21" i="3479" s="1"/>
  <c r="EF21" i="3479" s="1" a="1"/>
  <c r="EF21" i="3479" s="1"/>
  <c r="EG21" i="3479" s="1" a="1"/>
  <c r="EG21" i="3479" s="1"/>
  <c r="ED21" i="3479" a="1"/>
  <c r="ED21" i="3479" s="1"/>
  <c r="EE21" i="3479" s="1" a="1"/>
  <c r="EE21" i="3479" s="1"/>
  <c r="CK40" i="3479" a="1"/>
  <c r="CK40" i="3479" s="1"/>
  <c r="CL40" i="3479" s="1" a="1"/>
  <c r="CL40" i="3479" s="1"/>
  <c r="CJ40" i="3479" a="1"/>
  <c r="CJ40" i="3479" s="1"/>
  <c r="BF55" i="3479" a="1"/>
  <c r="BF55" i="3479" s="1"/>
  <c r="BG55" i="3479" a="1"/>
  <c r="BG55" i="3479" s="1"/>
  <c r="BH55" i="3479" s="1" a="1"/>
  <c r="BH55" i="3479" s="1"/>
  <c r="AB22" i="3479" a="1"/>
  <c r="AB22" i="3479" s="1"/>
  <c r="AC22" i="3479" a="1"/>
  <c r="AC22" i="3479" s="1"/>
  <c r="AD22" i="3479" s="1" a="1"/>
  <c r="AD22" i="3479" s="1"/>
  <c r="AR45" i="3479" a="1"/>
  <c r="AR45" i="3479" s="1"/>
  <c r="AS45" i="3479" s="1" a="1"/>
  <c r="AS45" i="3479" s="1"/>
  <c r="AQ45" i="3479" a="1"/>
  <c r="AQ45" i="3479" s="1"/>
  <c r="AC64" i="3479" a="1"/>
  <c r="AC64" i="3479" s="1"/>
  <c r="AD64" i="3479" s="1" a="1"/>
  <c r="AD64" i="3479" s="1"/>
  <c r="AB64" i="3479" a="1"/>
  <c r="AB64" i="3479" s="1"/>
  <c r="M39" i="3479" a="1"/>
  <c r="M39" i="3479" s="1"/>
  <c r="N39" i="3479" a="1"/>
  <c r="N39" i="3479" s="1"/>
  <c r="O39" i="3479" s="1" a="1"/>
  <c r="O39" i="3479" s="1"/>
  <c r="N65" i="3479" a="1"/>
  <c r="N65" i="3479" s="1"/>
  <c r="O65" i="3479" s="1" a="1"/>
  <c r="O65" i="3479" s="1"/>
  <c r="M65" i="3479" a="1"/>
  <c r="M65" i="3479" s="1"/>
  <c r="ED59" i="3479" a="1"/>
  <c r="ED59" i="3479" s="1"/>
  <c r="EE59" i="3479" s="1" a="1"/>
  <c r="EE59" i="3479" s="1"/>
  <c r="EC59" i="3479" a="1"/>
  <c r="EC59" i="3479" s="1"/>
  <c r="EF59" i="3479" s="1" a="1"/>
  <c r="EF59" i="3479" s="1"/>
  <c r="EG59" i="3479" s="1" a="1"/>
  <c r="EG59" i="3479" s="1"/>
  <c r="AQ62" i="3479" a="1"/>
  <c r="AQ62" i="3479" s="1"/>
  <c r="AR62" i="3479" a="1"/>
  <c r="AR62" i="3479" s="1"/>
  <c r="AS62" i="3479" s="1" a="1"/>
  <c r="AS62" i="3479" s="1"/>
  <c r="BU24" i="3479" a="1"/>
  <c r="BU24" i="3479" s="1"/>
  <c r="BV24" i="3479" a="1"/>
  <c r="BV24" i="3479" s="1"/>
  <c r="BW24" i="3479" s="1" a="1"/>
  <c r="BW24" i="3479" s="1"/>
  <c r="BV66" i="3479" a="1"/>
  <c r="BV66" i="3479" s="1"/>
  <c r="BW66" i="3479" s="1" a="1"/>
  <c r="BW66" i="3479" s="1"/>
  <c r="BU66" i="3479" a="1"/>
  <c r="BU66" i="3479" s="1"/>
  <c r="CJ63" i="3479" a="1"/>
  <c r="CJ63" i="3479" s="1"/>
  <c r="CK63" i="3479" a="1"/>
  <c r="CK63" i="3479" s="1"/>
  <c r="CL63" i="3479" s="1" a="1"/>
  <c r="CL63" i="3479" s="1"/>
  <c r="BF33" i="3479" a="1"/>
  <c r="BF33" i="3479" s="1"/>
  <c r="BG33" i="3479" a="1"/>
  <c r="BG33" i="3479" s="1"/>
  <c r="BH33" i="3479" s="1" a="1"/>
  <c r="BH33" i="3479" s="1"/>
  <c r="BF68" i="3479" a="1"/>
  <c r="BF68" i="3479" s="1"/>
  <c r="BG68" i="3479" a="1"/>
  <c r="BG68" i="3479" s="1"/>
  <c r="BH68" i="3479" s="1" a="1"/>
  <c r="BH68" i="3479" s="1"/>
  <c r="ES49" i="3479" a="1"/>
  <c r="ES49" i="3479" s="1"/>
  <c r="ET49" i="3479" s="1" a="1"/>
  <c r="ET49" i="3479" s="1"/>
  <c r="ER49" i="3479" a="1"/>
  <c r="ER49" i="3479" s="1"/>
  <c r="EU49" i="3479" s="1" a="1"/>
  <c r="EU49" i="3479" s="1"/>
  <c r="EV49" i="3479" s="1" a="1"/>
  <c r="EV49" i="3479" s="1"/>
  <c r="DO25" i="3479" a="1"/>
  <c r="DO25" i="3479" s="1"/>
  <c r="DP25" i="3479" s="1" a="1"/>
  <c r="DP25" i="3479" s="1"/>
  <c r="DN25" i="3479" a="1"/>
  <c r="DN25" i="3479" s="1"/>
  <c r="DQ25" i="3479" s="1" a="1"/>
  <c r="DQ25" i="3479" s="1"/>
  <c r="DR25" i="3479" s="1" a="1"/>
  <c r="DR25" i="3479" s="1"/>
  <c r="AB26" i="3479" a="1"/>
  <c r="AB26" i="3479" s="1"/>
  <c r="AC26" i="3479" a="1"/>
  <c r="AC26" i="3479" s="1"/>
  <c r="AD26" i="3479" s="1" a="1"/>
  <c r="AD26" i="3479" s="1"/>
  <c r="AB67" i="3479" a="1"/>
  <c r="AB67" i="3479" s="1"/>
  <c r="AC67" i="3479" a="1"/>
  <c r="AC67" i="3479" s="1"/>
  <c r="AD67" i="3479" s="1" a="1"/>
  <c r="AD67" i="3479" s="1"/>
  <c r="ED40" i="3479" a="1"/>
  <c r="ED40" i="3479" s="1"/>
  <c r="EE40" i="3479" s="1" a="1"/>
  <c r="EE40" i="3479" s="1"/>
  <c r="EC40" i="3479" a="1"/>
  <c r="EC40" i="3479" s="1"/>
  <c r="EF40" i="3479" s="1" a="1"/>
  <c r="EF40" i="3479" s="1"/>
  <c r="EG40" i="3479" s="1" a="1"/>
  <c r="EG40" i="3479" s="1"/>
  <c r="BG26" i="3479" a="1"/>
  <c r="BG26" i="3479" s="1"/>
  <c r="BH26" i="3479" s="1" a="1"/>
  <c r="BH26" i="3479" s="1"/>
  <c r="BF26" i="3479" a="1"/>
  <c r="BF26" i="3479" s="1"/>
  <c r="CY32" i="3479" a="1"/>
  <c r="CY32" i="3479" s="1"/>
  <c r="DB32" i="3479" s="1" a="1"/>
  <c r="DB32" i="3479" s="1"/>
  <c r="DC32" i="3479" s="1" a="1"/>
  <c r="DC32" i="3479" s="1"/>
  <c r="CZ32" i="3479" a="1"/>
  <c r="CZ32" i="3479" s="1"/>
  <c r="DA32" i="3479" s="1" a="1"/>
  <c r="DA32" i="3479" s="1"/>
  <c r="M29" i="3479" a="1"/>
  <c r="M29" i="3479" s="1"/>
  <c r="N29" i="3479" a="1"/>
  <c r="N29" i="3479" s="1"/>
  <c r="O29" i="3479" s="1" a="1"/>
  <c r="O29" i="3479" s="1"/>
  <c r="N71" i="3479" a="1"/>
  <c r="N71" i="3479" s="1"/>
  <c r="O71" i="3479" s="1" a="1"/>
  <c r="O71" i="3479" s="1"/>
  <c r="M71" i="3479" a="1"/>
  <c r="M71" i="3479" s="1"/>
  <c r="EC48" i="3479" a="1"/>
  <c r="EC48" i="3479" s="1"/>
  <c r="EF48" i="3479" s="1" a="1"/>
  <c r="EF48" i="3479" s="1"/>
  <c r="EG48" i="3479" s="1" a="1"/>
  <c r="EG48" i="3479" s="1"/>
  <c r="ED48" i="3479" a="1"/>
  <c r="ED48" i="3479" s="1"/>
  <c r="EE48" i="3479" s="1" a="1"/>
  <c r="EE48" i="3479" s="1"/>
  <c r="EC64" i="3479" a="1"/>
  <c r="EC64" i="3479" s="1"/>
  <c r="EF64" i="3479" s="1" a="1"/>
  <c r="EF64" i="3479" s="1"/>
  <c r="EG64" i="3479" s="1" a="1"/>
  <c r="EG64" i="3479" s="1"/>
  <c r="ED64" i="3479" a="1"/>
  <c r="ED64" i="3479" s="1"/>
  <c r="EE64" i="3479" s="1" a="1"/>
  <c r="EE64" i="3479" s="1"/>
  <c r="AR47" i="3479" a="1"/>
  <c r="AR47" i="3479" s="1"/>
  <c r="AS47" i="3479" s="1" a="1"/>
  <c r="AS47" i="3479" s="1"/>
  <c r="AQ47" i="3479" a="1"/>
  <c r="AQ47" i="3479" s="1"/>
  <c r="BU28" i="3479" a="1"/>
  <c r="BU28" i="3479" s="1"/>
  <c r="BV28" i="3479" a="1"/>
  <c r="BV28" i="3479" s="1"/>
  <c r="BW28" i="3479" s="1" a="1"/>
  <c r="BW28" i="3479" s="1"/>
  <c r="BV53" i="3479" a="1"/>
  <c r="BV53" i="3479" s="1"/>
  <c r="BW53" i="3479" s="1" a="1"/>
  <c r="BW53" i="3479" s="1"/>
  <c r="BU53" i="3479" a="1"/>
  <c r="BU53" i="3479" s="1"/>
  <c r="CJ65" i="3479" a="1"/>
  <c r="CJ65" i="3479" s="1"/>
  <c r="CK65" i="3479" a="1"/>
  <c r="CK65" i="3479" s="1"/>
  <c r="CL65" i="3479" s="1" a="1"/>
  <c r="CL65" i="3479" s="1"/>
  <c r="CJ61" i="3479" a="1"/>
  <c r="CJ61" i="3479" s="1"/>
  <c r="CK61" i="3479" a="1"/>
  <c r="CK61" i="3479" s="1"/>
  <c r="CL61" i="3479" s="1" a="1"/>
  <c r="CL61" i="3479" s="1"/>
  <c r="BG44" i="3479" a="1"/>
  <c r="BG44" i="3479" s="1"/>
  <c r="BH44" i="3479" s="1" a="1"/>
  <c r="BH44" i="3479" s="1"/>
  <c r="BF44" i="3479" a="1"/>
  <c r="BF44" i="3479" s="1"/>
  <c r="BG59" i="3479" a="1"/>
  <c r="BG59" i="3479" s="1"/>
  <c r="BH59" i="3479" s="1" a="1"/>
  <c r="BH59" i="3479" s="1"/>
  <c r="BF59" i="3479" a="1"/>
  <c r="BF59" i="3479" s="1"/>
  <c r="ES31" i="3479" a="1"/>
  <c r="ES31" i="3479" s="1"/>
  <c r="ET31" i="3479" s="1" a="1"/>
  <c r="ET31" i="3479" s="1"/>
  <c r="ER31" i="3479" a="1"/>
  <c r="ER31" i="3479" s="1"/>
  <c r="EU31" i="3479" s="1" a="1"/>
  <c r="EU31" i="3479" s="1"/>
  <c r="EV31" i="3479" s="1" a="1"/>
  <c r="EV31" i="3479" s="1"/>
  <c r="ER59" i="3479" a="1"/>
  <c r="ER59" i="3479" s="1"/>
  <c r="EU59" i="3479" s="1" a="1"/>
  <c r="EU59" i="3479" s="1"/>
  <c r="EV59" i="3479" s="1" a="1"/>
  <c r="EV59" i="3479" s="1"/>
  <c r="ES59" i="3479" a="1"/>
  <c r="ES59" i="3479" s="1"/>
  <c r="ET59" i="3479" s="1" a="1"/>
  <c r="ET59" i="3479" s="1"/>
  <c r="DO52" i="3479" a="1"/>
  <c r="DO52" i="3479" s="1"/>
  <c r="DP52" i="3479" s="1" a="1"/>
  <c r="DP52" i="3479" s="1"/>
  <c r="DN52" i="3479" a="1"/>
  <c r="DN52" i="3479" s="1"/>
  <c r="DQ52" i="3479" s="1" a="1"/>
  <c r="DQ52" i="3479" s="1"/>
  <c r="DR52" i="3479" s="1" a="1"/>
  <c r="DR52" i="3479" s="1"/>
  <c r="DO61" i="3479" a="1"/>
  <c r="DO61" i="3479" s="1"/>
  <c r="DP61" i="3479" s="1" a="1"/>
  <c r="DP61" i="3479" s="1"/>
  <c r="DN61" i="3479" a="1"/>
  <c r="DN61" i="3479" s="1"/>
  <c r="DQ61" i="3479" s="1" a="1"/>
  <c r="DQ61" i="3479" s="1"/>
  <c r="DR61" i="3479" s="1" a="1"/>
  <c r="DR61" i="3479" s="1"/>
  <c r="AT65" i="3479" a="1"/>
  <c r="AT65" i="3479" s="1"/>
  <c r="AU65" i="3479" s="1" a="1"/>
  <c r="AU65" i="3479" s="1"/>
  <c r="AB33" i="3479" a="1"/>
  <c r="AB33" i="3479" s="1"/>
  <c r="AC33" i="3479" a="1"/>
  <c r="AC33" i="3479" s="1"/>
  <c r="AD33" i="3479" s="1" a="1"/>
  <c r="AD33" i="3479" s="1"/>
  <c r="AC54" i="3479" a="1"/>
  <c r="AC54" i="3479" s="1"/>
  <c r="AD54" i="3479" s="1" a="1"/>
  <c r="AD54" i="3479" s="1"/>
  <c r="AB54" i="3479" a="1"/>
  <c r="AB54" i="3479" s="1"/>
  <c r="ED25" i="3479" a="1"/>
  <c r="ED25" i="3479" s="1"/>
  <c r="EE25" i="3479" s="1" a="1"/>
  <c r="EE25" i="3479" s="1"/>
  <c r="EC25" i="3479" a="1"/>
  <c r="EC25" i="3479" s="1"/>
  <c r="EF25" i="3479" s="1" a="1"/>
  <c r="EF25" i="3479" s="1"/>
  <c r="EG25" i="3479" s="1" a="1"/>
  <c r="EG25" i="3479" s="1"/>
  <c r="O29" i="3560" a="1"/>
  <c r="O29" i="3560" s="1"/>
  <c r="P29" i="3560" a="1"/>
  <c r="P29" i="3560" s="1"/>
  <c r="D29" i="3560"/>
  <c r="A29" i="3560"/>
  <c r="CZ27" i="3479" a="1"/>
  <c r="CZ27" i="3479" s="1"/>
  <c r="DA27" i="3479" s="1" a="1"/>
  <c r="DA27" i="3479" s="1"/>
  <c r="CY27" i="3479" a="1"/>
  <c r="CY27" i="3479" s="1"/>
  <c r="DB27" i="3479" s="1" a="1"/>
  <c r="DB27" i="3479" s="1"/>
  <c r="DC27" i="3479" s="1" a="1"/>
  <c r="DC27" i="3479" s="1"/>
  <c r="CZ69" i="3479" a="1"/>
  <c r="CZ69" i="3479" s="1"/>
  <c r="DA69" i="3479" s="1" a="1"/>
  <c r="DA69" i="3479" s="1"/>
  <c r="CY69" i="3479" a="1"/>
  <c r="CY69" i="3479" s="1"/>
  <c r="DB69" i="3479" s="1" a="1"/>
  <c r="DB69" i="3479" s="1"/>
  <c r="DC69" i="3479" s="1" a="1"/>
  <c r="DC69" i="3479" s="1"/>
  <c r="L43" i="3560"/>
  <c r="K43" i="3560"/>
  <c r="J43" i="3560"/>
  <c r="I43" i="3560"/>
  <c r="BV29" i="3479" a="1"/>
  <c r="BV29" i="3479" s="1"/>
  <c r="BW29" i="3479" s="1" a="1"/>
  <c r="BW29" i="3479" s="1"/>
  <c r="BU29" i="3479" a="1"/>
  <c r="BU29" i="3479" s="1"/>
  <c r="D30" i="3560"/>
  <c r="A30" i="3560"/>
  <c r="D47" i="3560"/>
  <c r="A47" i="3560"/>
  <c r="K58" i="3560"/>
  <c r="I58" i="3560"/>
  <c r="J58" i="3560"/>
  <c r="L58" i="3560"/>
  <c r="L51" i="3560"/>
  <c r="K51" i="3560"/>
  <c r="J51" i="3560"/>
  <c r="I51" i="3560"/>
  <c r="N37" i="3479" a="1"/>
  <c r="N37" i="3479" s="1"/>
  <c r="O37" i="3479" s="1" a="1"/>
  <c r="O37" i="3479" s="1"/>
  <c r="M37" i="3479" a="1"/>
  <c r="M37" i="3479" s="1"/>
  <c r="L66" i="3445"/>
  <c r="M66" i="3445" s="1"/>
  <c r="H47" i="3436" s="1"/>
  <c r="L44" i="3445"/>
  <c r="M44" i="3445" s="1"/>
  <c r="H25" i="3436" s="1"/>
  <c r="I24" i="3436" s="1"/>
  <c r="A44" i="3445"/>
  <c r="L92" i="3445"/>
  <c r="M92" i="3445" s="1"/>
  <c r="H73" i="3436" s="1"/>
  <c r="I73" i="3436" s="1"/>
  <c r="S92" i="3445" s="1" a="1"/>
  <c r="S92" i="3445" s="1"/>
  <c r="T92" i="3445" s="1"/>
  <c r="A92" i="3445"/>
  <c r="D64" i="3560"/>
  <c r="A64" i="3560"/>
  <c r="O87" i="3445"/>
  <c r="A74" i="3444"/>
  <c r="A77" i="3444"/>
  <c r="A68" i="3445"/>
  <c r="A61" i="3444"/>
  <c r="A60" i="3444"/>
  <c r="BB40" i="3489" a="1"/>
  <c r="BB40" i="3489" s="1"/>
  <c r="AP40" i="3489" a="1"/>
  <c r="AP40" i="3489" s="1"/>
  <c r="AD40" i="3489" a="1"/>
  <c r="AD40" i="3489" s="1"/>
  <c r="R40" i="3489" a="1"/>
  <c r="R40" i="3489" s="1"/>
  <c r="AZ40" i="3489" a="1"/>
  <c r="AZ40" i="3489" s="1"/>
  <c r="AN40" i="3489" a="1"/>
  <c r="AN40" i="3489" s="1"/>
  <c r="AB40" i="3489" a="1"/>
  <c r="AB40" i="3489" s="1"/>
  <c r="P40" i="3489" a="1"/>
  <c r="P40" i="3489" s="1"/>
  <c r="B40" i="3489"/>
  <c r="AX40" i="3489" a="1"/>
  <c r="AX40" i="3489" s="1"/>
  <c r="AJ40" i="3489" a="1"/>
  <c r="AJ40" i="3489" s="1"/>
  <c r="V40" i="3489" a="1"/>
  <c r="V40" i="3489" s="1"/>
  <c r="AW40" i="3489" a="1"/>
  <c r="AW40" i="3489" s="1"/>
  <c r="AI40" i="3489" a="1"/>
  <c r="AI40" i="3489" s="1"/>
  <c r="U40" i="3489" a="1"/>
  <c r="U40" i="3489" s="1"/>
  <c r="AV40" i="3489" a="1"/>
  <c r="AV40" i="3489" s="1"/>
  <c r="AH40" i="3489" a="1"/>
  <c r="AH40" i="3489" s="1"/>
  <c r="T40" i="3489" a="1"/>
  <c r="T40" i="3489" s="1"/>
  <c r="BE40" i="3489" a="1"/>
  <c r="BE40" i="3489" s="1"/>
  <c r="AQ40" i="3489" a="1"/>
  <c r="AQ40" i="3489" s="1"/>
  <c r="AA40" i="3489" a="1"/>
  <c r="AA40" i="3489" s="1"/>
  <c r="M40" i="3489" a="1"/>
  <c r="M40" i="3489" s="1"/>
  <c r="BI40" i="3489" a="1"/>
  <c r="BI40" i="3489" s="1"/>
  <c r="AO40" i="3489" a="1"/>
  <c r="AO40" i="3489" s="1"/>
  <c r="W40" i="3489" a="1"/>
  <c r="W40" i="3489" s="1"/>
  <c r="BH40" i="3489" a="1"/>
  <c r="BH40" i="3489" s="1"/>
  <c r="AM40" i="3489" a="1"/>
  <c r="AM40" i="3489" s="1"/>
  <c r="S40" i="3489" a="1"/>
  <c r="S40" i="3489" s="1"/>
  <c r="AL40" i="3489" a="1"/>
  <c r="AL40" i="3489" s="1"/>
  <c r="BF40" i="3489" a="1"/>
  <c r="BF40" i="3489" s="1"/>
  <c r="AK40" i="3489" a="1"/>
  <c r="AK40" i="3489" s="1"/>
  <c r="O40" i="3489" a="1"/>
  <c r="O40" i="3489" s="1"/>
  <c r="BD40" i="3489" a="1"/>
  <c r="BD40" i="3489" s="1"/>
  <c r="N40" i="3489" a="1"/>
  <c r="N40" i="3489" s="1"/>
  <c r="AC40" i="3489" a="1"/>
  <c r="AC40" i="3489" s="1"/>
  <c r="AE40" i="3489" a="1"/>
  <c r="AE40" i="3489" s="1"/>
  <c r="Z40" i="3489" a="1"/>
  <c r="Z40" i="3489" s="1"/>
  <c r="Y40" i="3489" a="1"/>
  <c r="Y40" i="3489" s="1"/>
  <c r="BC40" i="3489" a="1"/>
  <c r="BC40" i="3489" s="1"/>
  <c r="BA40" i="3489" a="1"/>
  <c r="BA40" i="3489" s="1"/>
  <c r="Q40" i="3489" a="1"/>
  <c r="Q40" i="3489" s="1"/>
  <c r="AY40" i="3489" a="1"/>
  <c r="AY40" i="3489" s="1"/>
  <c r="AU40" i="3489" a="1"/>
  <c r="AU40" i="3489" s="1"/>
  <c r="K40" i="3489" a="1"/>
  <c r="K40" i="3489" s="1"/>
  <c r="AT40" i="3489" a="1"/>
  <c r="AT40" i="3489" s="1"/>
  <c r="AS40" i="3489" a="1"/>
  <c r="AS40" i="3489" s="1"/>
  <c r="AR40" i="3489" a="1"/>
  <c r="AR40" i="3489" s="1"/>
  <c r="AG40" i="3489" a="1"/>
  <c r="AG40" i="3489" s="1"/>
  <c r="AF40" i="3489" a="1"/>
  <c r="AF40" i="3489" s="1"/>
  <c r="X40" i="3489" a="1"/>
  <c r="X40" i="3489" s="1"/>
  <c r="L40" i="3489" a="1"/>
  <c r="L40" i="3489" s="1"/>
  <c r="BG40" i="3489" a="1"/>
  <c r="BG40" i="3489" s="1"/>
  <c r="AT92" i="3489" a="1"/>
  <c r="AT92" i="3489" s="1"/>
  <c r="AE52" i="3489" a="1"/>
  <c r="AE52" i="3489" s="1"/>
  <c r="BF54" i="3489" a="1"/>
  <c r="BF54" i="3489" s="1"/>
  <c r="AT54" i="3489" a="1"/>
  <c r="AT54" i="3489" s="1"/>
  <c r="AH54" i="3489" a="1"/>
  <c r="AH54" i="3489" s="1"/>
  <c r="V54" i="3489" a="1"/>
  <c r="V54" i="3489" s="1"/>
  <c r="BD54" i="3489" a="1"/>
  <c r="BD54" i="3489" s="1"/>
  <c r="AR54" i="3489" a="1"/>
  <c r="AR54" i="3489" s="1"/>
  <c r="AF54" i="3489" a="1"/>
  <c r="AF54" i="3489" s="1"/>
  <c r="T54" i="3489" a="1"/>
  <c r="T54" i="3489" s="1"/>
  <c r="AG54" i="3489" a="1"/>
  <c r="AG54" i="3489" s="1"/>
  <c r="AW54" i="3489" a="1"/>
  <c r="AW54" i="3489" s="1"/>
  <c r="Q54" i="3489" a="1"/>
  <c r="Q54" i="3489" s="1"/>
  <c r="AV54" i="3489" a="1"/>
  <c r="AV54" i="3489" s="1"/>
  <c r="AE54" i="3489" a="1"/>
  <c r="AE54" i="3489" s="1"/>
  <c r="P54" i="3489" a="1"/>
  <c r="P54" i="3489" s="1"/>
  <c r="O54" i="3489" a="1"/>
  <c r="O54" i="3489" s="1"/>
  <c r="BI54" i="3489" a="1"/>
  <c r="BI54" i="3489" s="1"/>
  <c r="BG54" i="3489" a="1"/>
  <c r="BG54" i="3489" s="1"/>
  <c r="AP54" i="3489" a="1"/>
  <c r="AP54" i="3489" s="1"/>
  <c r="Z54" i="3489" a="1"/>
  <c r="Z54" i="3489" s="1"/>
  <c r="K54" i="3489" a="1"/>
  <c r="K54" i="3489" s="1"/>
  <c r="BE54" i="3489" a="1"/>
  <c r="BE54" i="3489" s="1"/>
  <c r="AO54" i="3489" a="1"/>
  <c r="AO54" i="3489" s="1"/>
  <c r="Y54" i="3489" a="1"/>
  <c r="Y54" i="3489" s="1"/>
  <c r="BC54" i="3489" a="1"/>
  <c r="BC54" i="3489" s="1"/>
  <c r="AN54" i="3489" a="1"/>
  <c r="AN54" i="3489" s="1"/>
  <c r="X54" i="3489" a="1"/>
  <c r="X54" i="3489" s="1"/>
  <c r="AM54" i="3489" a="1"/>
  <c r="AM54" i="3489" s="1"/>
  <c r="BB54" i="3489" a="1"/>
  <c r="BB54" i="3489" s="1"/>
  <c r="AL54" i="3489" a="1"/>
  <c r="AL54" i="3489" s="1"/>
  <c r="W54" i="3489" a="1"/>
  <c r="W54" i="3489" s="1"/>
  <c r="AI54" i="3489" a="1"/>
  <c r="AI54" i="3489" s="1"/>
  <c r="AD54" i="3489" a="1"/>
  <c r="AD54" i="3489" s="1"/>
  <c r="AC54" i="3489" a="1"/>
  <c r="AC54" i="3489" s="1"/>
  <c r="AB54" i="3489" a="1"/>
  <c r="AB54" i="3489" s="1"/>
  <c r="AA54" i="3489" a="1"/>
  <c r="AA54" i="3489" s="1"/>
  <c r="U54" i="3489" a="1"/>
  <c r="U54" i="3489" s="1"/>
  <c r="BH54" i="3489" a="1"/>
  <c r="BH54" i="3489" s="1"/>
  <c r="AX54" i="3489" a="1"/>
  <c r="AX54" i="3489" s="1"/>
  <c r="M54" i="3489" a="1"/>
  <c r="M54" i="3489" s="1"/>
  <c r="AU54" i="3489" a="1"/>
  <c r="AU54" i="3489" s="1"/>
  <c r="L54" i="3489" a="1"/>
  <c r="L54" i="3489" s="1"/>
  <c r="BA54" i="3489" a="1"/>
  <c r="BA54" i="3489" s="1"/>
  <c r="AZ54" i="3489" a="1"/>
  <c r="AZ54" i="3489" s="1"/>
  <c r="AY54" i="3489" a="1"/>
  <c r="AY54" i="3489" s="1"/>
  <c r="AS54" i="3489" a="1"/>
  <c r="AS54" i="3489" s="1"/>
  <c r="AQ54" i="3489" a="1"/>
  <c r="AQ54" i="3489" s="1"/>
  <c r="AK54" i="3489" a="1"/>
  <c r="AK54" i="3489" s="1"/>
  <c r="S54" i="3489" a="1"/>
  <c r="S54" i="3489" s="1"/>
  <c r="R54" i="3489" a="1"/>
  <c r="R54" i="3489" s="1"/>
  <c r="N54" i="3489" a="1"/>
  <c r="N54" i="3489" s="1"/>
  <c r="AJ54" i="3489" a="1"/>
  <c r="AJ54" i="3489" s="1"/>
  <c r="B54" i="3489"/>
  <c r="BI93" i="3489" a="1"/>
  <c r="BI93" i="3489" s="1"/>
  <c r="AW93" i="3489" a="1"/>
  <c r="AW93" i="3489" s="1"/>
  <c r="AK93" i="3489" a="1"/>
  <c r="AK93" i="3489" s="1"/>
  <c r="Y93" i="3489" a="1"/>
  <c r="Y93" i="3489" s="1"/>
  <c r="M93" i="3489" a="1"/>
  <c r="M93" i="3489" s="1"/>
  <c r="BC93" i="3489" a="1"/>
  <c r="BC93" i="3489" s="1"/>
  <c r="AQ93" i="3489" a="1"/>
  <c r="AQ93" i="3489" s="1"/>
  <c r="AE93" i="3489" a="1"/>
  <c r="AE93" i="3489" s="1"/>
  <c r="S93" i="3489" a="1"/>
  <c r="S93" i="3489" s="1"/>
  <c r="AO93" i="3489" a="1"/>
  <c r="AO93" i="3489" s="1"/>
  <c r="AA93" i="3489" a="1"/>
  <c r="AA93" i="3489" s="1"/>
  <c r="K93" i="3489" a="1"/>
  <c r="K93" i="3489" s="1"/>
  <c r="BB93" i="3489" a="1"/>
  <c r="BB93" i="3489" s="1"/>
  <c r="AN93" i="3489" a="1"/>
  <c r="AN93" i="3489" s="1"/>
  <c r="Z93" i="3489" a="1"/>
  <c r="Z93" i="3489" s="1"/>
  <c r="X93" i="3489" a="1"/>
  <c r="X93" i="3489" s="1"/>
  <c r="W93" i="3489" a="1"/>
  <c r="W93" i="3489" s="1"/>
  <c r="AZ93" i="3489" a="1"/>
  <c r="AZ93" i="3489" s="1"/>
  <c r="AL93" i="3489" a="1"/>
  <c r="AL93" i="3489" s="1"/>
  <c r="AJ93" i="3489" a="1"/>
  <c r="AJ93" i="3489" s="1"/>
  <c r="AY93" i="3489" a="1"/>
  <c r="AY93" i="3489" s="1"/>
  <c r="AI93" i="3489" a="1"/>
  <c r="AI93" i="3489" s="1"/>
  <c r="R93" i="3489" a="1"/>
  <c r="R93" i="3489" s="1"/>
  <c r="B93" i="3489"/>
  <c r="BH93" i="3489" a="1"/>
  <c r="BH93" i="3489" s="1"/>
  <c r="AT93" i="3489" a="1"/>
  <c r="AT93" i="3489" s="1"/>
  <c r="AF93" i="3489" a="1"/>
  <c r="AF93" i="3489" s="1"/>
  <c r="AP93" i="3489" a="1"/>
  <c r="AP93" i="3489" s="1"/>
  <c r="AB93" i="3489" a="1"/>
  <c r="AB93" i="3489" s="1"/>
  <c r="N93" i="3489" a="1"/>
  <c r="N93" i="3489" s="1"/>
  <c r="BD93" i="3489" a="1"/>
  <c r="BD93" i="3489" s="1"/>
  <c r="L93" i="3489" a="1"/>
  <c r="L93" i="3489" s="1"/>
  <c r="AC93" i="3489" a="1"/>
  <c r="AC93" i="3489" s="1"/>
  <c r="BF93" i="3489" a="1"/>
  <c r="BF93" i="3489" s="1"/>
  <c r="BE93" i="3489" a="1"/>
  <c r="BE93" i="3489" s="1"/>
  <c r="V93" i="3489" a="1"/>
  <c r="V93" i="3489" s="1"/>
  <c r="BA93" i="3489" a="1"/>
  <c r="BA93" i="3489" s="1"/>
  <c r="U93" i="3489" a="1"/>
  <c r="U93" i="3489" s="1"/>
  <c r="AX93" i="3489" a="1"/>
  <c r="AX93" i="3489" s="1"/>
  <c r="AV93" i="3489" a="1"/>
  <c r="AV93" i="3489" s="1"/>
  <c r="T93" i="3489" a="1"/>
  <c r="T93" i="3489" s="1"/>
  <c r="AU93" i="3489" a="1"/>
  <c r="AU93" i="3489" s="1"/>
  <c r="Q93" i="3489" a="1"/>
  <c r="Q93" i="3489" s="1"/>
  <c r="AS93" i="3489" a="1"/>
  <c r="AS93" i="3489" s="1"/>
  <c r="AR93" i="3489" a="1"/>
  <c r="AR93" i="3489" s="1"/>
  <c r="O93" i="3489" a="1"/>
  <c r="O93" i="3489" s="1"/>
  <c r="AM93" i="3489" a="1"/>
  <c r="AM93" i="3489" s="1"/>
  <c r="AD93" i="3489" a="1"/>
  <c r="AD93" i="3489" s="1"/>
  <c r="BG93" i="3489" a="1"/>
  <c r="BG93" i="3489" s="1"/>
  <c r="AH93" i="3489" a="1"/>
  <c r="AH93" i="3489" s="1"/>
  <c r="AG93" i="3489" a="1"/>
  <c r="AG93" i="3489" s="1"/>
  <c r="P93" i="3489" a="1"/>
  <c r="P93" i="3489" s="1"/>
  <c r="Y29" i="3489" a="1"/>
  <c r="Y29" i="3489" s="1"/>
  <c r="BD29" i="3489" a="1"/>
  <c r="BD29" i="3489" s="1"/>
  <c r="G41" i="3448"/>
  <c r="I37" i="3523" a="1"/>
  <c r="I37" i="3523" s="1"/>
  <c r="H37" i="3523" a="1"/>
  <c r="H37" i="3523" s="1"/>
  <c r="I36" i="3523" a="1"/>
  <c r="I36" i="3523" s="1"/>
  <c r="H36" i="3523" a="1"/>
  <c r="H36" i="3523" s="1"/>
  <c r="H26" i="3523" a="1"/>
  <c r="H26" i="3523" s="1"/>
  <c r="F26" i="3523" a="1"/>
  <c r="F26" i="3523" s="1"/>
  <c r="L26" i="3523" s="1" a="1"/>
  <c r="L26" i="3523" s="1"/>
  <c r="BP28" i="3448"/>
  <c r="AE72" i="3480"/>
  <c r="AK122" i="3434" a="1"/>
  <c r="AK122" i="3434" s="1"/>
  <c r="AL122" i="3434" a="1"/>
  <c r="AL122" i="3434" s="1"/>
  <c r="Y78" i="3436"/>
  <c r="BP27" i="3448"/>
  <c r="BO27" i="3448"/>
  <c r="G27" i="3448"/>
  <c r="AE70" i="3480"/>
  <c r="AL120" i="3434" a="1"/>
  <c r="AL120" i="3434" s="1"/>
  <c r="AK120" i="3434" a="1"/>
  <c r="AK120" i="3434" s="1"/>
  <c r="G59" i="3436"/>
  <c r="I61" i="3444" s="1"/>
  <c r="Y35" i="3436"/>
  <c r="AK97" i="3577" a="1"/>
  <c r="AK97" i="3577" s="1"/>
  <c r="AN97" i="3577" a="1"/>
  <c r="AN97" i="3577" s="1"/>
  <c r="AL97" i="3577" a="1"/>
  <c r="AL97" i="3577" s="1"/>
  <c r="AM97" i="3577" a="1"/>
  <c r="AM97" i="3577" s="1"/>
  <c r="Y80" i="3436"/>
  <c r="P24" i="3561"/>
  <c r="P25" i="3561"/>
  <c r="I141" i="3434" a="1"/>
  <c r="I141" i="3434" s="1"/>
  <c r="L141" i="3434" s="1" a="1"/>
  <c r="L141" i="3434" s="1"/>
  <c r="I129" i="3434" a="1"/>
  <c r="I129" i="3434" s="1"/>
  <c r="L129" i="3434" s="1" a="1"/>
  <c r="L129" i="3434" s="1"/>
  <c r="I117" i="3434" a="1"/>
  <c r="I117" i="3434" s="1"/>
  <c r="L117" i="3434" s="1" a="1"/>
  <c r="L117" i="3434" s="1"/>
  <c r="I140" i="3434" a="1"/>
  <c r="I140" i="3434" s="1"/>
  <c r="L140" i="3434" s="1" a="1"/>
  <c r="L140" i="3434" s="1"/>
  <c r="I142" i="3434" a="1"/>
  <c r="I142" i="3434" s="1"/>
  <c r="L142" i="3434" s="1" a="1"/>
  <c r="L142" i="3434" s="1"/>
  <c r="I134" i="3434" a="1"/>
  <c r="I134" i="3434" s="1"/>
  <c r="L134" i="3434" s="1" a="1"/>
  <c r="L134" i="3434" s="1"/>
  <c r="I109" i="3434" a="1"/>
  <c r="I109" i="3434" s="1"/>
  <c r="L109" i="3434" s="1" a="1"/>
  <c r="L109" i="3434" s="1"/>
  <c r="I102" i="3434" a="1"/>
  <c r="I102" i="3434" s="1"/>
  <c r="L102" i="3434" s="1" a="1"/>
  <c r="L102" i="3434" s="1"/>
  <c r="I116" i="3434" a="1"/>
  <c r="I116" i="3434" s="1"/>
  <c r="L116" i="3434" s="1" a="1"/>
  <c r="L116" i="3434" s="1"/>
  <c r="I130" i="3434" a="1"/>
  <c r="I130" i="3434" s="1"/>
  <c r="L130" i="3434" s="1" a="1"/>
  <c r="L130" i="3434" s="1"/>
  <c r="I144" i="3434" a="1"/>
  <c r="I144" i="3434" s="1"/>
  <c r="L144" i="3434" s="1" a="1"/>
  <c r="L144" i="3434" s="1"/>
  <c r="I138" i="3434" a="1"/>
  <c r="I138" i="3434" s="1"/>
  <c r="L138" i="3434" s="1" a="1"/>
  <c r="L138" i="3434" s="1"/>
  <c r="I135" i="3434" a="1"/>
  <c r="I135" i="3434" s="1"/>
  <c r="L135" i="3434" s="1" a="1"/>
  <c r="L135" i="3434" s="1"/>
  <c r="I131" i="3434" a="1"/>
  <c r="I131" i="3434" s="1"/>
  <c r="L131" i="3434" s="1" a="1"/>
  <c r="L131" i="3434" s="1"/>
  <c r="I126" i="3434" a="1"/>
  <c r="I126" i="3434" s="1"/>
  <c r="L126" i="3434" s="1" a="1"/>
  <c r="L126" i="3434" s="1"/>
  <c r="I127" i="3434" a="1"/>
  <c r="I127" i="3434" s="1"/>
  <c r="L127" i="3434" s="1" a="1"/>
  <c r="L127" i="3434" s="1"/>
  <c r="I119" i="3434" a="1"/>
  <c r="I119" i="3434" s="1"/>
  <c r="L119" i="3434" s="1" a="1"/>
  <c r="L119" i="3434" s="1"/>
  <c r="I95" i="3434" a="1"/>
  <c r="I95" i="3434" s="1"/>
  <c r="L95" i="3434" s="1" a="1"/>
  <c r="L95" i="3434" s="1"/>
  <c r="I136" i="3434" a="1"/>
  <c r="I136" i="3434" s="1"/>
  <c r="L136" i="3434" s="1" a="1"/>
  <c r="L136" i="3434" s="1"/>
  <c r="I128" i="3434" a="1"/>
  <c r="I128" i="3434" s="1"/>
  <c r="L128" i="3434" s="1" a="1"/>
  <c r="L128" i="3434" s="1"/>
  <c r="I133" i="3434" a="1"/>
  <c r="I133" i="3434" s="1"/>
  <c r="L133" i="3434" s="1" a="1"/>
  <c r="L133" i="3434" s="1"/>
  <c r="I124" i="3434" a="1"/>
  <c r="I124" i="3434" s="1"/>
  <c r="L124" i="3434" s="1" a="1"/>
  <c r="L124" i="3434" s="1"/>
  <c r="I110" i="3434" a="1"/>
  <c r="I110" i="3434" s="1"/>
  <c r="L110" i="3434" s="1" a="1"/>
  <c r="L110" i="3434" s="1"/>
  <c r="I96" i="3434" a="1"/>
  <c r="I96" i="3434" s="1"/>
  <c r="L96" i="3434" s="1" a="1"/>
  <c r="L96" i="3434" s="1"/>
  <c r="I121" i="3434" a="1"/>
  <c r="I121" i="3434" s="1"/>
  <c r="L121" i="3434" s="1" a="1"/>
  <c r="L121" i="3434" s="1"/>
  <c r="I114" i="3434" a="1"/>
  <c r="I114" i="3434" s="1"/>
  <c r="L114" i="3434" s="1" a="1"/>
  <c r="L114" i="3434" s="1"/>
  <c r="B62" i="3434" a="1"/>
  <c r="B62" i="3434" s="1"/>
  <c r="B63" i="3434" s="1"/>
  <c r="I137" i="3434" a="1"/>
  <c r="I137" i="3434" s="1"/>
  <c r="L137" i="3434" s="1" a="1"/>
  <c r="L137" i="3434" s="1"/>
  <c r="I108" i="3434" a="1"/>
  <c r="I108" i="3434" s="1"/>
  <c r="L108" i="3434" s="1" a="1"/>
  <c r="L108" i="3434" s="1"/>
  <c r="I112" i="3434" a="1"/>
  <c r="I112" i="3434" s="1"/>
  <c r="L112" i="3434" s="1" a="1"/>
  <c r="L112" i="3434" s="1"/>
  <c r="I105" i="3434" a="1"/>
  <c r="I105" i="3434" s="1"/>
  <c r="L105" i="3434" s="1" a="1"/>
  <c r="L105" i="3434" s="1"/>
  <c r="I123" i="3434" a="1"/>
  <c r="I123" i="3434" s="1"/>
  <c r="L123" i="3434" s="1" a="1"/>
  <c r="L123" i="3434" s="1"/>
  <c r="I120" i="3434" a="1"/>
  <c r="I120" i="3434" s="1"/>
  <c r="L120" i="3434" s="1" a="1"/>
  <c r="L120" i="3434" s="1"/>
  <c r="I118" i="3434" a="1"/>
  <c r="I118" i="3434" s="1"/>
  <c r="L118" i="3434" s="1" a="1"/>
  <c r="L118" i="3434" s="1"/>
  <c r="I100" i="3434" a="1"/>
  <c r="I100" i="3434" s="1"/>
  <c r="L100" i="3434" s="1" a="1"/>
  <c r="L100" i="3434" s="1"/>
  <c r="I97" i="3434" a="1"/>
  <c r="I97" i="3434" s="1"/>
  <c r="L97" i="3434" s="1" a="1"/>
  <c r="L97" i="3434" s="1"/>
  <c r="I132" i="3434" a="1"/>
  <c r="I132" i="3434" s="1"/>
  <c r="L132" i="3434" s="1" a="1"/>
  <c r="L132" i="3434" s="1"/>
  <c r="I106" i="3434" a="1"/>
  <c r="I106" i="3434" s="1"/>
  <c r="L106" i="3434" s="1" a="1"/>
  <c r="L106" i="3434" s="1"/>
  <c r="I113" i="3434" a="1"/>
  <c r="I113" i="3434" s="1"/>
  <c r="L113" i="3434" s="1" a="1"/>
  <c r="L113" i="3434" s="1"/>
  <c r="I111" i="3434" a="1"/>
  <c r="I111" i="3434" s="1"/>
  <c r="L111" i="3434" s="1" a="1"/>
  <c r="L111" i="3434" s="1"/>
  <c r="I103" i="3434" a="1"/>
  <c r="I103" i="3434" s="1"/>
  <c r="L103" i="3434" s="1" a="1"/>
  <c r="L103" i="3434" s="1"/>
  <c r="I122" i="3434" a="1"/>
  <c r="I122" i="3434" s="1"/>
  <c r="L122" i="3434" s="1" a="1"/>
  <c r="L122" i="3434" s="1"/>
  <c r="I115" i="3434" a="1"/>
  <c r="I115" i="3434" s="1"/>
  <c r="L115" i="3434" s="1" a="1"/>
  <c r="L115" i="3434" s="1"/>
  <c r="I98" i="3434" a="1"/>
  <c r="I98" i="3434" s="1"/>
  <c r="L98" i="3434" s="1" a="1"/>
  <c r="L98" i="3434" s="1"/>
  <c r="I107" i="3434" a="1"/>
  <c r="I107" i="3434" s="1"/>
  <c r="L107" i="3434" s="1" a="1"/>
  <c r="L107" i="3434" s="1"/>
  <c r="I125" i="3434" a="1"/>
  <c r="I125" i="3434" s="1"/>
  <c r="L125" i="3434" s="1" a="1"/>
  <c r="L125" i="3434" s="1"/>
  <c r="I139" i="3434" a="1"/>
  <c r="I139" i="3434" s="1"/>
  <c r="L139" i="3434" s="1" a="1"/>
  <c r="L139" i="3434" s="1"/>
  <c r="I99" i="3434" a="1"/>
  <c r="I99" i="3434" s="1"/>
  <c r="L99" i="3434" s="1" a="1"/>
  <c r="L99" i="3434" s="1"/>
  <c r="I104" i="3434" a="1"/>
  <c r="I104" i="3434" s="1"/>
  <c r="L104" i="3434" s="1" a="1"/>
  <c r="L104" i="3434" s="1"/>
  <c r="I143" i="3434" a="1"/>
  <c r="I143" i="3434" s="1"/>
  <c r="L143" i="3434" s="1" a="1"/>
  <c r="L143" i="3434" s="1"/>
  <c r="I101" i="3434" a="1"/>
  <c r="I101" i="3434" s="1"/>
  <c r="L101" i="3434" s="1" a="1"/>
  <c r="L101" i="3434" s="1"/>
  <c r="F62" i="3518" a="1"/>
  <c r="F62" i="3518" s="1"/>
  <c r="G62" i="3518" a="1"/>
  <c r="G62" i="3518" s="1"/>
  <c r="F50" i="3528" a="1"/>
  <c r="F50" i="3528" s="1"/>
  <c r="F119" i="3528" a="1"/>
  <c r="F119" i="3528" s="1"/>
  <c r="F84" i="3528" a="1"/>
  <c r="F84" i="3528" s="1"/>
  <c r="R53" i="3528" a="1"/>
  <c r="R53" i="3528" s="1"/>
  <c r="R122" i="3528" a="1"/>
  <c r="R122" i="3528" s="1"/>
  <c r="R87" i="3528" a="1"/>
  <c r="R87" i="3528" s="1"/>
  <c r="N100" i="3528" a="1"/>
  <c r="N100" i="3528" s="1"/>
  <c r="N135" i="3528" a="1"/>
  <c r="N135" i="3528" s="1"/>
  <c r="N66" i="3528" a="1"/>
  <c r="N66" i="3528" s="1"/>
  <c r="L141" i="3528" a="1"/>
  <c r="L141" i="3528" s="1"/>
  <c r="L72" i="3528" a="1"/>
  <c r="L72" i="3528" s="1"/>
  <c r="L106" i="3528" a="1"/>
  <c r="L106" i="3528" s="1"/>
  <c r="F126" i="3528" a="1"/>
  <c r="F126" i="3528" s="1"/>
  <c r="F91" i="3528" a="1"/>
  <c r="F91" i="3528" s="1"/>
  <c r="F57" i="3528" a="1"/>
  <c r="F57" i="3528" s="1"/>
  <c r="H49" i="3528" a="1"/>
  <c r="H49" i="3528" s="1"/>
  <c r="H118" i="3528" a="1"/>
  <c r="H118" i="3528" s="1"/>
  <c r="H83" i="3528" a="1"/>
  <c r="H83" i="3528" s="1"/>
  <c r="P125" i="3528" a="1"/>
  <c r="P125" i="3528" s="1"/>
  <c r="P56" i="3528" a="1"/>
  <c r="P56" i="3528" s="1"/>
  <c r="P90" i="3528" a="1"/>
  <c r="P90" i="3528" s="1"/>
  <c r="O110" i="3528" a="1"/>
  <c r="O110" i="3528" s="1"/>
  <c r="O76" i="3528" a="1"/>
  <c r="O76" i="3528" s="1"/>
  <c r="O145" i="3528" a="1"/>
  <c r="O145" i="3528" s="1"/>
  <c r="I124" i="3528" a="1"/>
  <c r="I124" i="3528" s="1"/>
  <c r="I55" i="3528" a="1"/>
  <c r="I55" i="3528" s="1"/>
  <c r="I89" i="3528" a="1"/>
  <c r="I89" i="3528" s="1"/>
  <c r="I119" i="3528" a="1"/>
  <c r="I119" i="3528" s="1"/>
  <c r="I84" i="3528" a="1"/>
  <c r="I84" i="3528" s="1"/>
  <c r="I50" i="3528" a="1"/>
  <c r="I50" i="3528" s="1"/>
  <c r="Q102" i="3528" a="1"/>
  <c r="Q102" i="3528" s="1"/>
  <c r="Q137" i="3528" a="1"/>
  <c r="Q137" i="3528" s="1"/>
  <c r="Q68" i="3528" a="1"/>
  <c r="Q68" i="3528" s="1"/>
  <c r="L134" i="3528" a="1"/>
  <c r="L134" i="3528" s="1"/>
  <c r="L65" i="3528" a="1"/>
  <c r="L65" i="3528" s="1"/>
  <c r="L99" i="3528" a="1"/>
  <c r="L99" i="3528" s="1"/>
  <c r="H105" i="3528" a="1"/>
  <c r="H105" i="3528" s="1"/>
  <c r="H140" i="3528" a="1"/>
  <c r="H140" i="3528" s="1"/>
  <c r="H71" i="3528" a="1"/>
  <c r="H71" i="3528" s="1"/>
  <c r="N132" i="3528" a="1"/>
  <c r="N132" i="3528" s="1"/>
  <c r="N63" i="3528" a="1"/>
  <c r="N63" i="3528" s="1"/>
  <c r="N97" i="3528" a="1"/>
  <c r="N97" i="3528" s="1"/>
  <c r="G95" i="3528" a="1"/>
  <c r="G95" i="3528" s="1"/>
  <c r="G61" i="3528" a="1"/>
  <c r="G61" i="3528" s="1"/>
  <c r="G130" i="3528" a="1"/>
  <c r="G130" i="3528" s="1"/>
  <c r="R129" i="3528" a="1"/>
  <c r="R129" i="3528" s="1"/>
  <c r="R94" i="3528" a="1"/>
  <c r="R94" i="3528" s="1"/>
  <c r="R60" i="3528" a="1"/>
  <c r="R60" i="3528" s="1"/>
  <c r="R85" i="3528" a="1"/>
  <c r="R85" i="3528" s="1"/>
  <c r="R51" i="3528" a="1"/>
  <c r="R51" i="3528" s="1"/>
  <c r="R120" i="3528" a="1"/>
  <c r="R120" i="3528" s="1"/>
  <c r="H144" i="3528" a="1"/>
  <c r="H144" i="3528" s="1"/>
  <c r="H109" i="3528" a="1"/>
  <c r="H109" i="3528" s="1"/>
  <c r="H75" i="3528" a="1"/>
  <c r="H75" i="3528" s="1"/>
  <c r="O138" i="3528" a="1"/>
  <c r="O138" i="3528" s="1"/>
  <c r="O103" i="3528" a="1"/>
  <c r="O103" i="3528" s="1"/>
  <c r="O69" i="3528" a="1"/>
  <c r="O69" i="3528" s="1"/>
  <c r="S82" i="3528" a="1"/>
  <c r="S82" i="3528" s="1"/>
  <c r="S117" i="3528" a="1"/>
  <c r="S117" i="3528" s="1"/>
  <c r="S48" i="3528" a="1"/>
  <c r="S48" i="3528" s="1"/>
  <c r="N48" i="3479" a="1"/>
  <c r="N48" i="3479" s="1"/>
  <c r="O48" i="3479" s="1" a="1"/>
  <c r="O48" i="3479" s="1"/>
  <c r="M48" i="3479" a="1"/>
  <c r="M48" i="3479" s="1"/>
  <c r="CJ24" i="3479" a="1"/>
  <c r="CJ24" i="3479" s="1"/>
  <c r="CK24" i="3479" a="1"/>
  <c r="CK24" i="3479" s="1"/>
  <c r="CL24" i="3479" s="1" a="1"/>
  <c r="CL24" i="3479" s="1"/>
  <c r="AB47" i="3479" a="1"/>
  <c r="AB47" i="3479" s="1"/>
  <c r="AC47" i="3479" a="1"/>
  <c r="AC47" i="3479" s="1"/>
  <c r="AD47" i="3479" s="1" a="1"/>
  <c r="AD47" i="3479" s="1"/>
  <c r="BU22" i="3479" a="1"/>
  <c r="BU22" i="3479" s="1"/>
  <c r="BV22" i="3479" a="1"/>
  <c r="BV22" i="3479" s="1"/>
  <c r="BW22" i="3479" s="1" a="1"/>
  <c r="BW22" i="3479" s="1"/>
  <c r="BO14" i="3448"/>
  <c r="BP14" i="3448"/>
  <c r="G14" i="3448"/>
  <c r="BW14" i="3448" s="1"/>
  <c r="M14" i="3448"/>
  <c r="M73" i="3448"/>
  <c r="BP55" i="3448"/>
  <c r="BO55" i="3448"/>
  <c r="G55" i="3448"/>
  <c r="BW55" i="3448" s="1"/>
  <c r="BP25" i="3448"/>
  <c r="BO25" i="3448"/>
  <c r="G25" i="3448"/>
  <c r="M28" i="3448"/>
  <c r="AE92" i="3480"/>
  <c r="AK142" i="3434" a="1"/>
  <c r="AK142" i="3434" s="1"/>
  <c r="AL142" i="3434" a="1"/>
  <c r="AL142" i="3434" s="1"/>
  <c r="AE74" i="3480"/>
  <c r="AL124" i="3434" a="1"/>
  <c r="AL124" i="3434" s="1"/>
  <c r="AK124" i="3434" a="1"/>
  <c r="AK124" i="3434" s="1"/>
  <c r="AE56" i="3480"/>
  <c r="AL106" i="3434" a="1"/>
  <c r="AL106" i="3434" s="1"/>
  <c r="AK106" i="3434" a="1"/>
  <c r="AK106" i="3434" s="1"/>
  <c r="AM92" i="3577" a="1"/>
  <c r="AM92" i="3577" s="1"/>
  <c r="AQ92" i="3577" s="1" a="1"/>
  <c r="AQ92" i="3577" s="1"/>
  <c r="AN92" i="3577" a="1"/>
  <c r="AN92" i="3577" s="1"/>
  <c r="AR92" i="3577" s="1" a="1"/>
  <c r="AR92" i="3577" s="1"/>
  <c r="AL92" i="3577" a="1"/>
  <c r="AL92" i="3577" s="1"/>
  <c r="AP92" i="3577" s="1" a="1"/>
  <c r="AP92" i="3577" s="1"/>
  <c r="AK92" i="3577" a="1"/>
  <c r="AK92" i="3577" s="1"/>
  <c r="Y65" i="3436"/>
  <c r="AN104" i="3577" a="1"/>
  <c r="AN104" i="3577" s="1"/>
  <c r="AM104" i="3577" a="1"/>
  <c r="AM104" i="3577" s="1"/>
  <c r="AK104" i="3577" a="1"/>
  <c r="AK104" i="3577" s="1"/>
  <c r="AL104" i="3577" a="1"/>
  <c r="AL104" i="3577" s="1"/>
  <c r="I60" i="3436"/>
  <c r="X48" i="3480"/>
  <c r="G64" i="3436"/>
  <c r="G73" i="3436"/>
  <c r="G68" i="3436"/>
  <c r="G38" i="3436"/>
  <c r="I40" i="3444" s="1"/>
  <c r="AA58" i="3419" a="1"/>
  <c r="AA58" i="3419" s="1"/>
  <c r="AA62" i="3419" a="1"/>
  <c r="AA62" i="3419" s="1"/>
  <c r="AA50" i="3419" a="1"/>
  <c r="AA50" i="3419" s="1"/>
  <c r="AA55" i="3419" a="1"/>
  <c r="AA55" i="3419" s="1"/>
  <c r="Z55" i="3419" s="1" a="1"/>
  <c r="Z55" i="3419" s="1"/>
  <c r="AB55" i="3419" s="1" a="1"/>
  <c r="AB55" i="3419" s="1"/>
  <c r="AA54" i="3419" a="1"/>
  <c r="AA54" i="3419" s="1"/>
  <c r="Z54" i="3419" s="1" a="1"/>
  <c r="Z54" i="3419" s="1"/>
  <c r="AB54" i="3419" s="1" a="1"/>
  <c r="AB54" i="3419" s="1"/>
  <c r="AA53" i="3419" a="1"/>
  <c r="AA53" i="3419" s="1"/>
  <c r="AA56" i="3419" a="1"/>
  <c r="AA56" i="3419" s="1"/>
  <c r="AA57" i="3419" a="1"/>
  <c r="AA57" i="3419" s="1"/>
  <c r="AA60" i="3419" a="1"/>
  <c r="AA60" i="3419" s="1"/>
  <c r="AA35" i="3419" a="1"/>
  <c r="AA35" i="3419" s="1"/>
  <c r="Z35" i="3419" s="1" a="1"/>
  <c r="Z35" i="3419" s="1"/>
  <c r="AB35" i="3419" s="1" a="1"/>
  <c r="AB35" i="3419" s="1"/>
  <c r="AA24" i="3419" a="1"/>
  <c r="AA24" i="3419" s="1"/>
  <c r="Z24" i="3419" s="1" a="1"/>
  <c r="Z24" i="3419" s="1"/>
  <c r="AB24" i="3419" s="1" a="1"/>
  <c r="AB24" i="3419" s="1"/>
  <c r="AA19" i="3419" a="1"/>
  <c r="AA19" i="3419" s="1"/>
  <c r="AA61" i="3419" a="1"/>
  <c r="AA61" i="3419" s="1"/>
  <c r="Z61" i="3419" s="1" a="1"/>
  <c r="Z61" i="3419" s="1"/>
  <c r="AB61" i="3419" s="1" a="1"/>
  <c r="AB61" i="3419" s="1"/>
  <c r="AA44" i="3419" a="1"/>
  <c r="AA44" i="3419" s="1"/>
  <c r="AA49" i="3419" a="1"/>
  <c r="AA49" i="3419" s="1"/>
  <c r="AA29" i="3419" a="1"/>
  <c r="AA29" i="3419" s="1"/>
  <c r="AA40" i="3419" a="1"/>
  <c r="AA40" i="3419" s="1"/>
  <c r="AA37" i="3419" a="1"/>
  <c r="AA37" i="3419" s="1"/>
  <c r="AA16" i="3419" a="1"/>
  <c r="AA16" i="3419" s="1"/>
  <c r="AA18" i="3419" a="1"/>
  <c r="AA18" i="3419" s="1"/>
  <c r="AA48" i="3419" a="1"/>
  <c r="AA48" i="3419" s="1"/>
  <c r="AA39" i="3419" a="1"/>
  <c r="AA39" i="3419" s="1"/>
  <c r="AA31" i="3419" a="1"/>
  <c r="AA31" i="3419" s="1"/>
  <c r="AA36" i="3419" a="1"/>
  <c r="AA36" i="3419" s="1"/>
  <c r="AA20" i="3419" a="1"/>
  <c r="AA20" i="3419" s="1"/>
  <c r="AA42" i="3419" a="1"/>
  <c r="AA42" i="3419" s="1"/>
  <c r="AA45" i="3419" a="1"/>
  <c r="AA45" i="3419" s="1"/>
  <c r="AA33" i="3419" a="1"/>
  <c r="AA33" i="3419" s="1"/>
  <c r="AA28" i="3419" a="1"/>
  <c r="AA28" i="3419" s="1"/>
  <c r="AA47" i="3419" a="1"/>
  <c r="AA47" i="3419" s="1"/>
  <c r="AA38" i="3419" a="1"/>
  <c r="AA38" i="3419" s="1"/>
  <c r="AA51" i="3419" a="1"/>
  <c r="AA51" i="3419" s="1"/>
  <c r="Z51" i="3419" s="1" a="1"/>
  <c r="Z51" i="3419" s="1"/>
  <c r="AB51" i="3419" s="1" a="1"/>
  <c r="AB51" i="3419" s="1"/>
  <c r="AA41" i="3419" a="1"/>
  <c r="AA41" i="3419" s="1"/>
  <c r="AA22" i="3419" a="1"/>
  <c r="AA22" i="3419" s="1"/>
  <c r="Z22" i="3419" s="1" a="1"/>
  <c r="Z22" i="3419" s="1"/>
  <c r="AB22" i="3419" s="1" a="1"/>
  <c r="AB22" i="3419" s="1"/>
  <c r="AA25" i="3419" a="1"/>
  <c r="AA25" i="3419" s="1"/>
  <c r="AA27" i="3419" a="1"/>
  <c r="AA27" i="3419" s="1"/>
  <c r="AA17" i="3419" a="1"/>
  <c r="AA17" i="3419" s="1"/>
  <c r="Z17" i="3419" s="1" a="1"/>
  <c r="Z17" i="3419" s="1"/>
  <c r="AB17" i="3419" s="1" a="1"/>
  <c r="AB17" i="3419" s="1"/>
  <c r="AA52" i="3419" a="1"/>
  <c r="AA52" i="3419" s="1"/>
  <c r="AA46" i="3419" a="1"/>
  <c r="AA46" i="3419" s="1"/>
  <c r="Z46" i="3419" s="1" a="1"/>
  <c r="Z46" i="3419" s="1"/>
  <c r="AB46" i="3419" s="1" a="1"/>
  <c r="AB46" i="3419" s="1"/>
  <c r="AA23" i="3419" a="1"/>
  <c r="AA23" i="3419" s="1"/>
  <c r="AA21" i="3419" a="1"/>
  <c r="AA21" i="3419" s="1"/>
  <c r="AA43" i="3419" a="1"/>
  <c r="AA43" i="3419" s="1"/>
  <c r="AA32" i="3419" a="1"/>
  <c r="AA32" i="3419" s="1"/>
  <c r="AA59" i="3419" a="1"/>
  <c r="AA59" i="3419" s="1"/>
  <c r="AA26" i="3419" a="1"/>
  <c r="AA26" i="3419" s="1"/>
  <c r="AA14" i="3419" a="1"/>
  <c r="AA14" i="3419" s="1"/>
  <c r="AA13" i="3419" a="1"/>
  <c r="AA13" i="3419" s="1"/>
  <c r="AA15" i="3419" a="1"/>
  <c r="AA15" i="3419" s="1"/>
  <c r="AA30" i="3419" a="1"/>
  <c r="AA30" i="3419" s="1"/>
  <c r="AA34" i="3419" a="1"/>
  <c r="AA34" i="3419" s="1"/>
  <c r="Z34" i="3419" s="1" a="1"/>
  <c r="Z34" i="3419" s="1"/>
  <c r="AB34" i="3419" s="1" a="1"/>
  <c r="AB34" i="3419" s="1"/>
  <c r="G36" i="3518" a="1"/>
  <c r="G36" i="3518" s="1"/>
  <c r="F36" i="3518" a="1"/>
  <c r="F36" i="3518" s="1"/>
  <c r="F50" i="3518" a="1"/>
  <c r="F50" i="3518" s="1"/>
  <c r="G50" i="3518" a="1"/>
  <c r="G50" i="3518" s="1"/>
  <c r="R50" i="3528" a="1"/>
  <c r="R50" i="3528" s="1"/>
  <c r="R119" i="3528" a="1"/>
  <c r="R119" i="3528" s="1"/>
  <c r="R84" i="3528" a="1"/>
  <c r="R84" i="3528" s="1"/>
  <c r="I53" i="3528" a="1"/>
  <c r="I53" i="3528" s="1"/>
  <c r="I87" i="3528" a="1"/>
  <c r="I87" i="3528" s="1"/>
  <c r="I122" i="3528" a="1"/>
  <c r="I122" i="3528" s="1"/>
  <c r="N72" i="3528" a="1"/>
  <c r="N72" i="3528" s="1"/>
  <c r="N141" i="3528" a="1"/>
  <c r="N141" i="3528" s="1"/>
  <c r="N106" i="3528" a="1"/>
  <c r="N106" i="3528" s="1"/>
  <c r="R126" i="3528" a="1"/>
  <c r="R126" i="3528" s="1"/>
  <c r="R91" i="3528" a="1"/>
  <c r="R91" i="3528" s="1"/>
  <c r="R57" i="3528" a="1"/>
  <c r="R57" i="3528" s="1"/>
  <c r="I145" i="3528" a="1"/>
  <c r="I145" i="3528" s="1"/>
  <c r="I76" i="3528" a="1"/>
  <c r="I76" i="3528" s="1"/>
  <c r="I110" i="3528" a="1"/>
  <c r="I110" i="3528" s="1"/>
  <c r="E142" i="3528" a="1"/>
  <c r="E142" i="3528" s="1"/>
  <c r="E73" i="3528" a="1"/>
  <c r="E73" i="3528" s="1"/>
  <c r="E107" i="3528" a="1"/>
  <c r="E107" i="3528" s="1"/>
  <c r="E90" i="3528" a="1"/>
  <c r="E90" i="3528" s="1"/>
  <c r="E125" i="3528" a="1"/>
  <c r="E125" i="3528" s="1"/>
  <c r="E56" i="3528" a="1"/>
  <c r="E56" i="3528" s="1"/>
  <c r="AS126" i="3528"/>
  <c r="AC126" i="3528"/>
  <c r="P118" i="3528" a="1"/>
  <c r="P118" i="3528" s="1"/>
  <c r="P83" i="3528" a="1"/>
  <c r="P83" i="3528" s="1"/>
  <c r="P49" i="3528" a="1"/>
  <c r="P49" i="3528" s="1"/>
  <c r="H50" i="3528" a="1"/>
  <c r="H50" i="3528" s="1"/>
  <c r="H119" i="3528" a="1"/>
  <c r="H119" i="3528" s="1"/>
  <c r="H84" i="3528" a="1"/>
  <c r="H84" i="3528" s="1"/>
  <c r="I105" i="3528" a="1"/>
  <c r="I105" i="3528" s="1"/>
  <c r="I140" i="3528" a="1"/>
  <c r="I140" i="3528" s="1"/>
  <c r="I71" i="3528" a="1"/>
  <c r="I71" i="3528" s="1"/>
  <c r="O132" i="3528" a="1"/>
  <c r="O132" i="3528" s="1"/>
  <c r="O63" i="3528" a="1"/>
  <c r="O63" i="3528" s="1"/>
  <c r="O97" i="3528" a="1"/>
  <c r="O97" i="3528" s="1"/>
  <c r="H61" i="3528" a="1"/>
  <c r="H61" i="3528" s="1"/>
  <c r="H95" i="3528" a="1"/>
  <c r="H95" i="3528" s="1"/>
  <c r="H130" i="3528" a="1"/>
  <c r="H130" i="3528" s="1"/>
  <c r="J94" i="3528" a="1"/>
  <c r="J94" i="3528" s="1"/>
  <c r="J129" i="3528" a="1"/>
  <c r="J129" i="3528" s="1"/>
  <c r="J60" i="3528" a="1"/>
  <c r="J60" i="3528" s="1"/>
  <c r="I120" i="3528" a="1"/>
  <c r="I120" i="3528" s="1"/>
  <c r="I85" i="3528" a="1"/>
  <c r="I85" i="3528" s="1"/>
  <c r="I51" i="3528" a="1"/>
  <c r="I51" i="3528" s="1"/>
  <c r="I144" i="3528" a="1"/>
  <c r="I144" i="3528" s="1"/>
  <c r="I109" i="3528" a="1"/>
  <c r="I109" i="3528" s="1"/>
  <c r="I75" i="3528" a="1"/>
  <c r="I75" i="3528" s="1"/>
  <c r="Q103" i="3528" a="1"/>
  <c r="Q103" i="3528" s="1"/>
  <c r="Q138" i="3528" a="1"/>
  <c r="Q138" i="3528" s="1"/>
  <c r="Q69" i="3528" a="1"/>
  <c r="Q69" i="3528" s="1"/>
  <c r="AO143" i="3528"/>
  <c r="Y143" i="3528"/>
  <c r="G82" i="3528" a="1"/>
  <c r="G82" i="3528" s="1"/>
  <c r="G117" i="3528" a="1"/>
  <c r="G117" i="3528" s="1"/>
  <c r="G48" i="3528" a="1"/>
  <c r="G48" i="3528" s="1"/>
  <c r="BF46" i="3479" a="1"/>
  <c r="BF46" i="3479" s="1"/>
  <c r="BG46" i="3479" a="1"/>
  <c r="BG46" i="3479" s="1"/>
  <c r="BH46" i="3479" s="1" a="1"/>
  <c r="BH46" i="3479" s="1"/>
  <c r="ES64" i="3479" a="1"/>
  <c r="ES64" i="3479" s="1"/>
  <c r="ET64" i="3479" s="1" a="1"/>
  <c r="ET64" i="3479" s="1"/>
  <c r="ER64" i="3479" a="1"/>
  <c r="ER64" i="3479" s="1"/>
  <c r="EU64" i="3479" s="1" a="1"/>
  <c r="EU64" i="3479" s="1"/>
  <c r="EV64" i="3479" s="1" a="1"/>
  <c r="EV64" i="3479" s="1"/>
  <c r="N67" i="3445" a="1"/>
  <c r="N67" i="3445" s="1"/>
  <c r="L67" i="3445"/>
  <c r="M67" i="3445" s="1"/>
  <c r="H48" i="3436" s="1"/>
  <c r="A67" i="3445"/>
  <c r="O67" i="3445"/>
  <c r="P44" i="3560" a="1"/>
  <c r="P44" i="3560" s="1"/>
  <c r="D44" i="3560"/>
  <c r="A44" i="3560"/>
  <c r="O44" i="3560" a="1"/>
  <c r="O44" i="3560" s="1"/>
  <c r="BD61" i="3444" a="1"/>
  <c r="BD61" i="3444" s="1"/>
  <c r="AR61" i="3444" a="1"/>
  <c r="AR61" i="3444" s="1"/>
  <c r="AF61" i="3444" a="1"/>
  <c r="AF61" i="3444" s="1"/>
  <c r="T61" i="3444" a="1"/>
  <c r="T61" i="3444" s="1"/>
  <c r="BC61" i="3444" a="1"/>
  <c r="BC61" i="3444" s="1"/>
  <c r="AQ61" i="3444" a="1"/>
  <c r="AQ61" i="3444" s="1"/>
  <c r="AE61" i="3444" a="1"/>
  <c r="AE61" i="3444" s="1"/>
  <c r="S61" i="3444" a="1"/>
  <c r="S61" i="3444" s="1"/>
  <c r="M61" i="3444" a="1"/>
  <c r="M61" i="3444" s="1"/>
  <c r="AU61" i="3444" a="1"/>
  <c r="AU61" i="3444" s="1"/>
  <c r="AC61" i="3444" a="1"/>
  <c r="AC61" i="3444" s="1"/>
  <c r="L61" i="3444" a="1"/>
  <c r="L61" i="3444" s="1"/>
  <c r="AT61" i="3444" a="1"/>
  <c r="AT61" i="3444" s="1"/>
  <c r="AB61" i="3444" a="1"/>
  <c r="AB61" i="3444" s="1"/>
  <c r="Y61" i="3444" a="1"/>
  <c r="Y61" i="3444" s="1"/>
  <c r="BG61" i="3444" a="1"/>
  <c r="BG61" i="3444" s="1"/>
  <c r="AO61" i="3444" a="1"/>
  <c r="AO61" i="3444" s="1"/>
  <c r="BF61" i="3444" a="1"/>
  <c r="BF61" i="3444" s="1"/>
  <c r="AN61" i="3444" a="1"/>
  <c r="AN61" i="3444" s="1"/>
  <c r="AM61" i="3444" a="1"/>
  <c r="AM61" i="3444" s="1"/>
  <c r="W61" i="3444" a="1"/>
  <c r="W61" i="3444" s="1"/>
  <c r="BB61" i="3444" a="1"/>
  <c r="BB61" i="3444" s="1"/>
  <c r="AL61" i="3444" a="1"/>
  <c r="AL61" i="3444" s="1"/>
  <c r="V61" i="3444" a="1"/>
  <c r="V61" i="3444" s="1"/>
  <c r="AK61" i="3444" a="1"/>
  <c r="AK61" i="3444" s="1"/>
  <c r="AJ61" i="3444" a="1"/>
  <c r="AJ61" i="3444" s="1"/>
  <c r="R61" i="3444" a="1"/>
  <c r="R61" i="3444" s="1"/>
  <c r="AZ61" i="3444" a="1"/>
  <c r="AZ61" i="3444" s="1"/>
  <c r="AV61" i="3444" a="1"/>
  <c r="AV61" i="3444" s="1"/>
  <c r="N61" i="3444" a="1"/>
  <c r="N61" i="3444" s="1"/>
  <c r="K61" i="3444" a="1"/>
  <c r="K61" i="3444" s="1"/>
  <c r="AS61" i="3444" a="1"/>
  <c r="AS61" i="3444" s="1"/>
  <c r="AP61" i="3444" a="1"/>
  <c r="AP61" i="3444" s="1"/>
  <c r="AG61" i="3444" a="1"/>
  <c r="AG61" i="3444" s="1"/>
  <c r="AD61" i="3444" a="1"/>
  <c r="AD61" i="3444" s="1"/>
  <c r="AA61" i="3444" a="1"/>
  <c r="AA61" i="3444" s="1"/>
  <c r="BH61" i="3444" a="1"/>
  <c r="BH61" i="3444" s="1"/>
  <c r="Z61" i="3444" a="1"/>
  <c r="Z61" i="3444" s="1"/>
  <c r="X61" i="3444" a="1"/>
  <c r="X61" i="3444" s="1"/>
  <c r="AY61" i="3444" a="1"/>
  <c r="AY61" i="3444" s="1"/>
  <c r="Q61" i="3444" a="1"/>
  <c r="Q61" i="3444" s="1"/>
  <c r="AX61" i="3444" a="1"/>
  <c r="AX61" i="3444" s="1"/>
  <c r="P61" i="3444" a="1"/>
  <c r="P61" i="3444" s="1"/>
  <c r="AW61" i="3444" a="1"/>
  <c r="AW61" i="3444" s="1"/>
  <c r="O61" i="3444" a="1"/>
  <c r="O61" i="3444" s="1"/>
  <c r="BE61" i="3444" a="1"/>
  <c r="BE61" i="3444" s="1"/>
  <c r="BA61" i="3444" a="1"/>
  <c r="BA61" i="3444" s="1"/>
  <c r="AI61" i="3444" a="1"/>
  <c r="AI61" i="3444" s="1"/>
  <c r="AH61" i="3444" a="1"/>
  <c r="AH61" i="3444" s="1"/>
  <c r="U61" i="3444" a="1"/>
  <c r="U61" i="3444" s="1"/>
  <c r="ED70" i="3479" a="1"/>
  <c r="ED70" i="3479" s="1"/>
  <c r="EE70" i="3479" s="1" a="1"/>
  <c r="EE70" i="3479" s="1"/>
  <c r="EC70" i="3479" a="1"/>
  <c r="EC70" i="3479" s="1"/>
  <c r="EF70" i="3479" s="1" a="1"/>
  <c r="EF70" i="3479" s="1"/>
  <c r="EG70" i="3479" s="1" a="1"/>
  <c r="EG70" i="3479" s="1"/>
  <c r="ES65" i="3479" a="1"/>
  <c r="ES65" i="3479" s="1"/>
  <c r="ET65" i="3479" s="1" a="1"/>
  <c r="ET65" i="3479" s="1"/>
  <c r="ER65" i="3479" a="1"/>
  <c r="ER65" i="3479" s="1"/>
  <c r="EU65" i="3479" s="1" a="1"/>
  <c r="EU65" i="3479" s="1"/>
  <c r="EV65" i="3479" s="1" a="1"/>
  <c r="EV65" i="3479" s="1"/>
  <c r="EC37" i="3479" a="1"/>
  <c r="EC37" i="3479" s="1"/>
  <c r="EF37" i="3479" s="1" a="1"/>
  <c r="EF37" i="3479" s="1"/>
  <c r="EG37" i="3479" s="1" a="1"/>
  <c r="EG37" i="3479" s="1"/>
  <c r="ED37" i="3479" a="1"/>
  <c r="ED37" i="3479" s="1"/>
  <c r="EE37" i="3479" s="1" a="1"/>
  <c r="EE37" i="3479" s="1"/>
  <c r="A72" i="3445"/>
  <c r="N68" i="3445" a="1"/>
  <c r="N68" i="3445" s="1"/>
  <c r="I43" i="3445" a="1"/>
  <c r="I43" i="3445" s="1"/>
  <c r="U73" i="3489" a="1"/>
  <c r="U73" i="3489" s="1"/>
  <c r="BH73" i="3489" a="1"/>
  <c r="BH73" i="3489" s="1"/>
  <c r="AU73" i="3489" a="1"/>
  <c r="AU73" i="3489" s="1"/>
  <c r="AH73" i="3489" a="1"/>
  <c r="AH73" i="3489" s="1"/>
  <c r="T73" i="3489" a="1"/>
  <c r="T73" i="3489" s="1"/>
  <c r="AG73" i="3489" a="1"/>
  <c r="AG73" i="3489" s="1"/>
  <c r="BG73" i="3489" a="1"/>
  <c r="BG73" i="3489" s="1"/>
  <c r="AT73" i="3489" a="1"/>
  <c r="AT73" i="3489" s="1"/>
  <c r="AF73" i="3489" a="1"/>
  <c r="AF73" i="3489" s="1"/>
  <c r="S73" i="3489" a="1"/>
  <c r="S73" i="3489" s="1"/>
  <c r="BF73" i="3489" a="1"/>
  <c r="BF73" i="3489" s="1"/>
  <c r="AR73" i="3489" a="1"/>
  <c r="AR73" i="3489" s="1"/>
  <c r="AE73" i="3489" a="1"/>
  <c r="AE73" i="3489" s="1"/>
  <c r="R73" i="3489" a="1"/>
  <c r="R73" i="3489" s="1"/>
  <c r="AZ73" i="3489" a="1"/>
  <c r="AZ73" i="3489" s="1"/>
  <c r="AJ73" i="3489" a="1"/>
  <c r="AJ73" i="3489" s="1"/>
  <c r="P73" i="3489" a="1"/>
  <c r="P73" i="3489" s="1"/>
  <c r="AY73" i="3489" a="1"/>
  <c r="AY73" i="3489" s="1"/>
  <c r="AI73" i="3489" a="1"/>
  <c r="AI73" i="3489" s="1"/>
  <c r="O73" i="3489" a="1"/>
  <c r="O73" i="3489" s="1"/>
  <c r="AX73" i="3489" a="1"/>
  <c r="AX73" i="3489" s="1"/>
  <c r="AD73" i="3489" a="1"/>
  <c r="AD73" i="3489" s="1"/>
  <c r="N73" i="3489" a="1"/>
  <c r="N73" i="3489" s="1"/>
  <c r="AW73" i="3489" a="1"/>
  <c r="AW73" i="3489" s="1"/>
  <c r="M73" i="3489" a="1"/>
  <c r="M73" i="3489" s="1"/>
  <c r="AC73" i="3489" a="1"/>
  <c r="AC73" i="3489" s="1"/>
  <c r="AV73" i="3489" a="1"/>
  <c r="AV73" i="3489" s="1"/>
  <c r="L73" i="3489" a="1"/>
  <c r="L73" i="3489" s="1"/>
  <c r="AS73" i="3489" a="1"/>
  <c r="AS73" i="3489" s="1"/>
  <c r="AB73" i="3489" a="1"/>
  <c r="AB73" i="3489" s="1"/>
  <c r="K73" i="3489" a="1"/>
  <c r="K73" i="3489" s="1"/>
  <c r="Z73" i="3489" a="1"/>
  <c r="Z73" i="3489" s="1"/>
  <c r="AP73" i="3489" a="1"/>
  <c r="AP73" i="3489" s="1"/>
  <c r="BI73" i="3489" a="1"/>
  <c r="BI73" i="3489" s="1"/>
  <c r="Y73" i="3489" a="1"/>
  <c r="Y73" i="3489" s="1"/>
  <c r="BE73" i="3489" a="1"/>
  <c r="BE73" i="3489" s="1"/>
  <c r="X73" i="3489" a="1"/>
  <c r="X73" i="3489" s="1"/>
  <c r="AK73" i="3489" a="1"/>
  <c r="AK73" i="3489" s="1"/>
  <c r="BD73" i="3489" a="1"/>
  <c r="BD73" i="3489" s="1"/>
  <c r="BC73" i="3489" a="1"/>
  <c r="BC73" i="3489" s="1"/>
  <c r="B73" i="3489"/>
  <c r="BB73" i="3489" a="1"/>
  <c r="BB73" i="3489" s="1"/>
  <c r="BA73" i="3489" a="1"/>
  <c r="BA73" i="3489" s="1"/>
  <c r="AO73" i="3489" a="1"/>
  <c r="AO73" i="3489" s="1"/>
  <c r="AN73" i="3489" a="1"/>
  <c r="AN73" i="3489" s="1"/>
  <c r="AL73" i="3489" a="1"/>
  <c r="AL73" i="3489" s="1"/>
  <c r="AA73" i="3489" a="1"/>
  <c r="AA73" i="3489" s="1"/>
  <c r="W73" i="3489" a="1"/>
  <c r="W73" i="3489" s="1"/>
  <c r="V73" i="3489" a="1"/>
  <c r="V73" i="3489" s="1"/>
  <c r="AQ73" i="3489" a="1"/>
  <c r="AQ73" i="3489" s="1"/>
  <c r="AM73" i="3489" a="1"/>
  <c r="AM73" i="3489" s="1"/>
  <c r="Q73" i="3489" a="1"/>
  <c r="Q73" i="3489" s="1"/>
  <c r="AJ92" i="3489" a="1"/>
  <c r="AJ92" i="3489" s="1"/>
  <c r="P92" i="3489" a="1"/>
  <c r="P92" i="3489" s="1"/>
  <c r="AK92" i="3489" a="1"/>
  <c r="AK92" i="3489" s="1"/>
  <c r="S52" i="3489" a="1"/>
  <c r="S52" i="3489" s="1"/>
  <c r="AU52" i="3489" a="1"/>
  <c r="AU52" i="3489" s="1"/>
  <c r="Z29" i="3489" a="1"/>
  <c r="Z29" i="3489" s="1"/>
  <c r="AH29" i="3489" a="1"/>
  <c r="AH29" i="3489" s="1"/>
  <c r="Q29" i="3489" a="1"/>
  <c r="Q29" i="3489" s="1"/>
  <c r="AX56" i="3489" a="1"/>
  <c r="AX56" i="3489" s="1"/>
  <c r="AL56" i="3489" a="1"/>
  <c r="AL56" i="3489" s="1"/>
  <c r="Z56" i="3489" a="1"/>
  <c r="Z56" i="3489" s="1"/>
  <c r="AZ56" i="3489" a="1"/>
  <c r="AZ56" i="3489" s="1"/>
  <c r="AA56" i="3489" a="1"/>
  <c r="AA56" i="3489" s="1"/>
  <c r="AM56" i="3489" a="1"/>
  <c r="AM56" i="3489" s="1"/>
  <c r="N56" i="3489" a="1"/>
  <c r="N56" i="3489" s="1"/>
  <c r="AY56" i="3489" a="1"/>
  <c r="AY56" i="3489" s="1"/>
  <c r="Y56" i="3489" a="1"/>
  <c r="Y56" i="3489" s="1"/>
  <c r="M56" i="3489" a="1"/>
  <c r="M56" i="3489" s="1"/>
  <c r="AW56" i="3489" a="1"/>
  <c r="AW56" i="3489" s="1"/>
  <c r="X56" i="3489" a="1"/>
  <c r="X56" i="3489" s="1"/>
  <c r="L56" i="3489" a="1"/>
  <c r="L56" i="3489" s="1"/>
  <c r="BE56" i="3489" a="1"/>
  <c r="BE56" i="3489" s="1"/>
  <c r="AF56" i="3489" a="1"/>
  <c r="AF56" i="3489" s="1"/>
  <c r="BD56" i="3489" a="1"/>
  <c r="BD56" i="3489" s="1"/>
  <c r="AE56" i="3489" a="1"/>
  <c r="AE56" i="3489" s="1"/>
  <c r="BA56" i="3489" a="1"/>
  <c r="BA56" i="3489" s="1"/>
  <c r="AH56" i="3489" a="1"/>
  <c r="AH56" i="3489" s="1"/>
  <c r="Q56" i="3489" a="1"/>
  <c r="Q56" i="3489" s="1"/>
  <c r="AG56" i="3489" a="1"/>
  <c r="AG56" i="3489" s="1"/>
  <c r="P56" i="3489" a="1"/>
  <c r="P56" i="3489" s="1"/>
  <c r="AV56" i="3489" a="1"/>
  <c r="AV56" i="3489" s="1"/>
  <c r="AU56" i="3489" a="1"/>
  <c r="AU56" i="3489" s="1"/>
  <c r="AD56" i="3489" a="1"/>
  <c r="AD56" i="3489" s="1"/>
  <c r="K56" i="3489" a="1"/>
  <c r="K56" i="3489" s="1"/>
  <c r="BI56" i="3489" a="1"/>
  <c r="BI56" i="3489" s="1"/>
  <c r="AS56" i="3489" a="1"/>
  <c r="AS56" i="3489" s="1"/>
  <c r="AB56" i="3489" a="1"/>
  <c r="AB56" i="3489" s="1"/>
  <c r="AR56" i="3489" a="1"/>
  <c r="AR56" i="3489" s="1"/>
  <c r="BH56" i="3489" a="1"/>
  <c r="BH56" i="3489" s="1"/>
  <c r="AQ56" i="3489" a="1"/>
  <c r="AQ56" i="3489" s="1"/>
  <c r="BG56" i="3489" a="1"/>
  <c r="BG56" i="3489" s="1"/>
  <c r="AP56" i="3489" a="1"/>
  <c r="AP56" i="3489" s="1"/>
  <c r="W56" i="3489" a="1"/>
  <c r="W56" i="3489" s="1"/>
  <c r="BF56" i="3489" a="1"/>
  <c r="BF56" i="3489" s="1"/>
  <c r="AO56" i="3489" a="1"/>
  <c r="AO56" i="3489" s="1"/>
  <c r="V56" i="3489" a="1"/>
  <c r="V56" i="3489" s="1"/>
  <c r="AJ56" i="3489" a="1"/>
  <c r="AJ56" i="3489" s="1"/>
  <c r="AI56" i="3489" a="1"/>
  <c r="AI56" i="3489" s="1"/>
  <c r="AC56" i="3489" a="1"/>
  <c r="AC56" i="3489" s="1"/>
  <c r="U56" i="3489" a="1"/>
  <c r="U56" i="3489" s="1"/>
  <c r="BC56" i="3489" a="1"/>
  <c r="BC56" i="3489" s="1"/>
  <c r="B56" i="3489"/>
  <c r="AT56" i="3489" a="1"/>
  <c r="AT56" i="3489" s="1"/>
  <c r="AK56" i="3489" a="1"/>
  <c r="AK56" i="3489" s="1"/>
  <c r="T56" i="3489" a="1"/>
  <c r="T56" i="3489" s="1"/>
  <c r="S56" i="3489" a="1"/>
  <c r="S56" i="3489" s="1"/>
  <c r="R56" i="3489" a="1"/>
  <c r="R56" i="3489" s="1"/>
  <c r="O56" i="3489" a="1"/>
  <c r="O56" i="3489" s="1"/>
  <c r="BB56" i="3489" a="1"/>
  <c r="BB56" i="3489" s="1"/>
  <c r="AN56" i="3489" a="1"/>
  <c r="AN56" i="3489" s="1"/>
  <c r="S51" i="3523"/>
  <c r="M66" i="3448"/>
  <c r="D128" i="3523"/>
  <c r="V128" i="3523" s="1" a="1"/>
  <c r="V128" i="3523" s="1"/>
  <c r="BR97" i="3448"/>
  <c r="BO76" i="3448"/>
  <c r="G76" i="3448"/>
  <c r="BW76" i="3448" s="1"/>
  <c r="BP76" i="3448"/>
  <c r="G58" i="3448"/>
  <c r="BW58" i="3448" s="1"/>
  <c r="BP58" i="3448"/>
  <c r="BO58" i="3448"/>
  <c r="BP63" i="3448"/>
  <c r="BO63" i="3448"/>
  <c r="G63" i="3448"/>
  <c r="BW63" i="3448" s="1"/>
  <c r="AE82" i="3480"/>
  <c r="AL132" i="3434" a="1"/>
  <c r="AL132" i="3434" s="1"/>
  <c r="AK132" i="3434" a="1"/>
  <c r="AK132" i="3434" s="1"/>
  <c r="AE78" i="3480"/>
  <c r="AL128" i="3434" a="1"/>
  <c r="AL128" i="3434" s="1"/>
  <c r="AK128" i="3434" a="1"/>
  <c r="AK128" i="3434" s="1"/>
  <c r="AE93" i="3480"/>
  <c r="AK143" i="3434" a="1"/>
  <c r="AK143" i="3434" s="1"/>
  <c r="AL143" i="3434" a="1"/>
  <c r="AL143" i="3434" s="1"/>
  <c r="AE71" i="3480"/>
  <c r="AL121" i="3434" a="1"/>
  <c r="AL121" i="3434" s="1"/>
  <c r="AK121" i="3434" a="1"/>
  <c r="AK121" i="3434" s="1"/>
  <c r="AE53" i="3480"/>
  <c r="AK103" i="3434" a="1"/>
  <c r="AK103" i="3434" s="1"/>
  <c r="AL103" i="3434" a="1"/>
  <c r="AL103" i="3434" s="1"/>
  <c r="Y23" i="3436"/>
  <c r="G48" i="3436"/>
  <c r="AE69" i="3480"/>
  <c r="AK119" i="3434" a="1"/>
  <c r="AK119" i="3434" s="1"/>
  <c r="AL119" i="3434" a="1"/>
  <c r="AL119" i="3434" s="1"/>
  <c r="G62" i="3436"/>
  <c r="I64" i="3444" s="1"/>
  <c r="Y18" i="3436"/>
  <c r="Y68" i="3436"/>
  <c r="G56" i="3436"/>
  <c r="F23" i="3518" a="1"/>
  <c r="F23" i="3518" s="1"/>
  <c r="G23" i="3518" a="1"/>
  <c r="G23" i="3518" s="1"/>
  <c r="F47" i="3518" a="1"/>
  <c r="F47" i="3518" s="1"/>
  <c r="G47" i="3518" a="1"/>
  <c r="G47" i="3518" s="1"/>
  <c r="J53" i="3528" a="1"/>
  <c r="J53" i="3528" s="1"/>
  <c r="J122" i="3528" a="1"/>
  <c r="J122" i="3528" s="1"/>
  <c r="J87" i="3528" a="1"/>
  <c r="J87" i="3528" s="1"/>
  <c r="O100" i="3528" a="1"/>
  <c r="O100" i="3528" s="1"/>
  <c r="O66" i="3528" a="1"/>
  <c r="O66" i="3528" s="1"/>
  <c r="O135" i="3528" a="1"/>
  <c r="O135" i="3528" s="1"/>
  <c r="I91" i="3528" a="1"/>
  <c r="I91" i="3528" s="1"/>
  <c r="I57" i="3528" a="1"/>
  <c r="I57" i="3528" s="1"/>
  <c r="I126" i="3528" a="1"/>
  <c r="I126" i="3528" s="1"/>
  <c r="M131" i="3528" a="1"/>
  <c r="M131" i="3528" s="1"/>
  <c r="M96" i="3528" a="1"/>
  <c r="M96" i="3528" s="1"/>
  <c r="M62" i="3528" a="1"/>
  <c r="M62" i="3528" s="1"/>
  <c r="K137" i="3528" a="1"/>
  <c r="K137" i="3528" s="1"/>
  <c r="K68" i="3528" a="1"/>
  <c r="K68" i="3528" s="1"/>
  <c r="K102" i="3528" a="1"/>
  <c r="K102" i="3528" s="1"/>
  <c r="Q125" i="3528" a="1"/>
  <c r="Q125" i="3528" s="1"/>
  <c r="Q56" i="3528" a="1"/>
  <c r="Q56" i="3528" s="1"/>
  <c r="Q90" i="3528" a="1"/>
  <c r="Q90" i="3528" s="1"/>
  <c r="J55" i="3528" a="1"/>
  <c r="J55" i="3528" s="1"/>
  <c r="J124" i="3528" a="1"/>
  <c r="J124" i="3528" s="1"/>
  <c r="J89" i="3528" a="1"/>
  <c r="J89" i="3528" s="1"/>
  <c r="AC123" i="3528"/>
  <c r="AS123" i="3528"/>
  <c r="F118" i="3528" a="1"/>
  <c r="F118" i="3528" s="1"/>
  <c r="F83" i="3528" a="1"/>
  <c r="F83" i="3528" s="1"/>
  <c r="F49" i="3528" a="1"/>
  <c r="F49" i="3528" s="1"/>
  <c r="P134" i="3528" a="1"/>
  <c r="P134" i="3528" s="1"/>
  <c r="P99" i="3528" a="1"/>
  <c r="P99" i="3528" s="1"/>
  <c r="P65" i="3528" a="1"/>
  <c r="P65" i="3528" s="1"/>
  <c r="J140" i="3528" a="1"/>
  <c r="J140" i="3528" s="1"/>
  <c r="J105" i="3528" a="1"/>
  <c r="J105" i="3528" s="1"/>
  <c r="J71" i="3528" a="1"/>
  <c r="J71" i="3528" s="1"/>
  <c r="Q63" i="3528" a="1"/>
  <c r="Q63" i="3528" s="1"/>
  <c r="Q132" i="3528" a="1"/>
  <c r="Q132" i="3528" s="1"/>
  <c r="Q97" i="3528" a="1"/>
  <c r="Q97" i="3528" s="1"/>
  <c r="M95" i="3528" a="1"/>
  <c r="M95" i="3528" s="1"/>
  <c r="M61" i="3528" a="1"/>
  <c r="M61" i="3528" s="1"/>
  <c r="M130" i="3528" a="1"/>
  <c r="M130" i="3528" s="1"/>
  <c r="J120" i="3528" a="1"/>
  <c r="J120" i="3528" s="1"/>
  <c r="J85" i="3528" a="1"/>
  <c r="J85" i="3528" s="1"/>
  <c r="J51" i="3528" a="1"/>
  <c r="J51" i="3528" s="1"/>
  <c r="J75" i="3528" a="1"/>
  <c r="J75" i="3528" s="1"/>
  <c r="J144" i="3528" a="1"/>
  <c r="J144" i="3528" s="1"/>
  <c r="J109" i="3528" a="1"/>
  <c r="J109" i="3528" s="1"/>
  <c r="S138" i="3528" a="1"/>
  <c r="S138" i="3528" s="1"/>
  <c r="S69" i="3528" a="1"/>
  <c r="S69" i="3528" s="1"/>
  <c r="S103" i="3528" a="1"/>
  <c r="S103" i="3528" s="1"/>
  <c r="H82" i="3528" a="1"/>
  <c r="H82" i="3528" s="1"/>
  <c r="H117" i="3528" a="1"/>
  <c r="H117" i="3528" s="1"/>
  <c r="H48" i="3528" a="1"/>
  <c r="H48" i="3528" s="1"/>
  <c r="D77" i="3560"/>
  <c r="A77" i="3560"/>
  <c r="D73" i="3560"/>
  <c r="A73" i="3560"/>
  <c r="N35" i="3479" a="1"/>
  <c r="N35" i="3479" s="1"/>
  <c r="O35" i="3479" s="1" a="1"/>
  <c r="O35" i="3479" s="1"/>
  <c r="M35" i="3479" a="1"/>
  <c r="M35" i="3479" s="1"/>
  <c r="ES39" i="3479" a="1"/>
  <c r="ES39" i="3479" s="1"/>
  <c r="ET39" i="3479" s="1" a="1"/>
  <c r="ET39" i="3479" s="1"/>
  <c r="ER39" i="3479" a="1"/>
  <c r="ER39" i="3479" s="1"/>
  <c r="EU39" i="3479" s="1" a="1"/>
  <c r="EU39" i="3479" s="1"/>
  <c r="EV39" i="3479" s="1" a="1"/>
  <c r="EV39" i="3479" s="1"/>
  <c r="ED35" i="3479" a="1"/>
  <c r="ED35" i="3479" s="1"/>
  <c r="EE35" i="3479" s="1" a="1"/>
  <c r="EE35" i="3479" s="1"/>
  <c r="EC35" i="3479" a="1"/>
  <c r="EC35" i="3479" s="1"/>
  <c r="EF35" i="3479" s="1" a="1"/>
  <c r="EF35" i="3479" s="1"/>
  <c r="EG35" i="3479" s="1" a="1"/>
  <c r="EG35" i="3479" s="1"/>
  <c r="CY52" i="3479" a="1"/>
  <c r="CY52" i="3479" s="1"/>
  <c r="DB52" i="3479" s="1" a="1"/>
  <c r="DB52" i="3479" s="1"/>
  <c r="DC52" i="3479" s="1" a="1"/>
  <c r="DC52" i="3479" s="1"/>
  <c r="CZ52" i="3479" a="1"/>
  <c r="CZ52" i="3479" s="1"/>
  <c r="DA52" i="3479" s="1" a="1"/>
  <c r="DA52" i="3479" s="1"/>
  <c r="N25" i="3479" a="1"/>
  <c r="N25" i="3479" s="1"/>
  <c r="O25" i="3479" s="1" a="1"/>
  <c r="O25" i="3479" s="1"/>
  <c r="M25" i="3479" a="1"/>
  <c r="M25" i="3479" s="1"/>
  <c r="I74" i="3445" a="1"/>
  <c r="I74" i="3445" s="1"/>
  <c r="O74" i="3445" s="1"/>
  <c r="M63" i="3489" a="1"/>
  <c r="M63" i="3489" s="1"/>
  <c r="AZ63" i="3489" a="1"/>
  <c r="AZ63" i="3489" s="1"/>
  <c r="AM63" i="3489" a="1"/>
  <c r="AM63" i="3489" s="1"/>
  <c r="Z63" i="3489" a="1"/>
  <c r="Z63" i="3489" s="1"/>
  <c r="L63" i="3489" a="1"/>
  <c r="L63" i="3489" s="1"/>
  <c r="AY63" i="3489" a="1"/>
  <c r="AY63" i="3489" s="1"/>
  <c r="AL63" i="3489" a="1"/>
  <c r="AL63" i="3489" s="1"/>
  <c r="X63" i="3489" a="1"/>
  <c r="X63" i="3489" s="1"/>
  <c r="K63" i="3489" a="1"/>
  <c r="K63" i="3489" s="1"/>
  <c r="BI63" i="3489" a="1"/>
  <c r="BI63" i="3489" s="1"/>
  <c r="AT63" i="3489" a="1"/>
  <c r="AT63" i="3489" s="1"/>
  <c r="Q63" i="3489" a="1"/>
  <c r="Q63" i="3489" s="1"/>
  <c r="BH63" i="3489" a="1"/>
  <c r="BH63" i="3489" s="1"/>
  <c r="AE63" i="3489" a="1"/>
  <c r="AE63" i="3489" s="1"/>
  <c r="AS63" i="3489" a="1"/>
  <c r="AS63" i="3489" s="1"/>
  <c r="P63" i="3489" a="1"/>
  <c r="P63" i="3489" s="1"/>
  <c r="BG63" i="3489" a="1"/>
  <c r="BG63" i="3489" s="1"/>
  <c r="AD63" i="3489" a="1"/>
  <c r="AD63" i="3489" s="1"/>
  <c r="AR63" i="3489" a="1"/>
  <c r="AR63" i="3489" s="1"/>
  <c r="O63" i="3489" a="1"/>
  <c r="O63" i="3489" s="1"/>
  <c r="BF63" i="3489" a="1"/>
  <c r="BF63" i="3489" s="1"/>
  <c r="AC63" i="3489" a="1"/>
  <c r="AC63" i="3489" s="1"/>
  <c r="BB63" i="3489" a="1"/>
  <c r="BB63" i="3489" s="1"/>
  <c r="AK63" i="3489" a="1"/>
  <c r="AK63" i="3489" s="1"/>
  <c r="V63" i="3489" a="1"/>
  <c r="V63" i="3489" s="1"/>
  <c r="U63" i="3489" a="1"/>
  <c r="U63" i="3489" s="1"/>
  <c r="AU63" i="3489" a="1"/>
  <c r="AU63" i="3489" s="1"/>
  <c r="R63" i="3489" a="1"/>
  <c r="R63" i="3489" s="1"/>
  <c r="AO63" i="3489" a="1"/>
  <c r="AO63" i="3489" s="1"/>
  <c r="N63" i="3489" a="1"/>
  <c r="N63" i="3489" s="1"/>
  <c r="AN63" i="3489" a="1"/>
  <c r="AN63" i="3489" s="1"/>
  <c r="AJ63" i="3489" a="1"/>
  <c r="AJ63" i="3489" s="1"/>
  <c r="AI63" i="3489" a="1"/>
  <c r="AI63" i="3489" s="1"/>
  <c r="AH63" i="3489" a="1"/>
  <c r="AH63" i="3489" s="1"/>
  <c r="BE63" i="3489" a="1"/>
  <c r="BE63" i="3489" s="1"/>
  <c r="BC63" i="3489" a="1"/>
  <c r="BC63" i="3489" s="1"/>
  <c r="AB63" i="3489" a="1"/>
  <c r="AB63" i="3489" s="1"/>
  <c r="B63" i="3489"/>
  <c r="BA63" i="3489" a="1"/>
  <c r="BA63" i="3489" s="1"/>
  <c r="AA63" i="3489" a="1"/>
  <c r="AA63" i="3489" s="1"/>
  <c r="Y63" i="3489" a="1"/>
  <c r="Y63" i="3489" s="1"/>
  <c r="AX63" i="3489" a="1"/>
  <c r="AX63" i="3489" s="1"/>
  <c r="AW63" i="3489" a="1"/>
  <c r="AW63" i="3489" s="1"/>
  <c r="W63" i="3489" a="1"/>
  <c r="W63" i="3489" s="1"/>
  <c r="S63" i="3489" a="1"/>
  <c r="S63" i="3489" s="1"/>
  <c r="BD63" i="3489" a="1"/>
  <c r="BD63" i="3489" s="1"/>
  <c r="AV63" i="3489" a="1"/>
  <c r="AV63" i="3489" s="1"/>
  <c r="AQ63" i="3489" a="1"/>
  <c r="AQ63" i="3489" s="1"/>
  <c r="AP63" i="3489" a="1"/>
  <c r="AP63" i="3489" s="1"/>
  <c r="AF63" i="3489" a="1"/>
  <c r="AF63" i="3489" s="1"/>
  <c r="T63" i="3489" a="1"/>
  <c r="T63" i="3489" s="1"/>
  <c r="AG63" i="3489" a="1"/>
  <c r="AG63" i="3489" s="1"/>
  <c r="AN29" i="3489" a="1"/>
  <c r="AN29" i="3489" s="1"/>
  <c r="AX20" i="3489" a="1"/>
  <c r="AX20" i="3489" s="1"/>
  <c r="AL20" i="3489" a="1"/>
  <c r="AL20" i="3489" s="1"/>
  <c r="Z20" i="3489" a="1"/>
  <c r="Z20" i="3489" s="1"/>
  <c r="N20" i="3489" a="1"/>
  <c r="N20" i="3489" s="1"/>
  <c r="BI20" i="3489" a="1"/>
  <c r="BI20" i="3489" s="1"/>
  <c r="AW20" i="3489" a="1"/>
  <c r="AW20" i="3489" s="1"/>
  <c r="AK20" i="3489" a="1"/>
  <c r="AK20" i="3489" s="1"/>
  <c r="Y20" i="3489" a="1"/>
  <c r="Y20" i="3489" s="1"/>
  <c r="M20" i="3489" a="1"/>
  <c r="M20" i="3489" s="1"/>
  <c r="BH20" i="3489" a="1"/>
  <c r="BH20" i="3489" s="1"/>
  <c r="AE20" i="3489" a="1"/>
  <c r="AE20" i="3489" s="1"/>
  <c r="AS20" i="3489" a="1"/>
  <c r="AS20" i="3489" s="1"/>
  <c r="P20" i="3489" a="1"/>
  <c r="P20" i="3489" s="1"/>
  <c r="BG20" i="3489" a="1"/>
  <c r="BG20" i="3489" s="1"/>
  <c r="AD20" i="3489" a="1"/>
  <c r="AD20" i="3489" s="1"/>
  <c r="AR20" i="3489" a="1"/>
  <c r="AR20" i="3489" s="1"/>
  <c r="O20" i="3489" a="1"/>
  <c r="O20" i="3489" s="1"/>
  <c r="AO20" i="3489" a="1"/>
  <c r="AO20" i="3489" s="1"/>
  <c r="X20" i="3489" a="1"/>
  <c r="X20" i="3489" s="1"/>
  <c r="AM20" i="3489" a="1"/>
  <c r="AM20" i="3489" s="1"/>
  <c r="BD20" i="3489" a="1"/>
  <c r="BD20" i="3489" s="1"/>
  <c r="AJ20" i="3489" a="1"/>
  <c r="AJ20" i="3489" s="1"/>
  <c r="S20" i="3489" a="1"/>
  <c r="S20" i="3489" s="1"/>
  <c r="BC20" i="3489" a="1"/>
  <c r="BC20" i="3489" s="1"/>
  <c r="AI20" i="3489" a="1"/>
  <c r="AI20" i="3489" s="1"/>
  <c r="R20" i="3489" a="1"/>
  <c r="R20" i="3489" s="1"/>
  <c r="BB20" i="3489" a="1"/>
  <c r="BB20" i="3489" s="1"/>
  <c r="AG20" i="3489" a="1"/>
  <c r="AG20" i="3489" s="1"/>
  <c r="AV20" i="3489" a="1"/>
  <c r="AV20" i="3489" s="1"/>
  <c r="AC20" i="3489" a="1"/>
  <c r="AC20" i="3489" s="1"/>
  <c r="AQ20" i="3489" a="1"/>
  <c r="AQ20" i="3489" s="1"/>
  <c r="W20" i="3489" a="1"/>
  <c r="W20" i="3489" s="1"/>
  <c r="AA20" i="3489" a="1"/>
  <c r="AA20" i="3489" s="1"/>
  <c r="BE20" i="3489" a="1"/>
  <c r="BE20" i="3489" s="1"/>
  <c r="BA20" i="3489" a="1"/>
  <c r="BA20" i="3489" s="1"/>
  <c r="V20" i="3489" a="1"/>
  <c r="V20" i="3489" s="1"/>
  <c r="AZ20" i="3489" a="1"/>
  <c r="AZ20" i="3489" s="1"/>
  <c r="U20" i="3489" a="1"/>
  <c r="U20" i="3489" s="1"/>
  <c r="AY20" i="3489" a="1"/>
  <c r="AY20" i="3489" s="1"/>
  <c r="T20" i="3489" a="1"/>
  <c r="T20" i="3489" s="1"/>
  <c r="AU20" i="3489" a="1"/>
  <c r="AU20" i="3489" s="1"/>
  <c r="Q20" i="3489" a="1"/>
  <c r="Q20" i="3489" s="1"/>
  <c r="AT20" i="3489" a="1"/>
  <c r="AT20" i="3489" s="1"/>
  <c r="L20" i="3489" a="1"/>
  <c r="L20" i="3489" s="1"/>
  <c r="K20" i="3489" a="1"/>
  <c r="K20" i="3489" s="1"/>
  <c r="AP20" i="3489" a="1"/>
  <c r="AP20" i="3489" s="1"/>
  <c r="AN20" i="3489" a="1"/>
  <c r="AN20" i="3489" s="1"/>
  <c r="BF20" i="3489" a="1"/>
  <c r="BF20" i="3489" s="1"/>
  <c r="AH20" i="3489" a="1"/>
  <c r="AH20" i="3489" s="1"/>
  <c r="AF20" i="3489" a="1"/>
  <c r="AF20" i="3489" s="1"/>
  <c r="B20" i="3489"/>
  <c r="AB20" i="3489" a="1"/>
  <c r="AB20" i="3489" s="1"/>
  <c r="M38" i="3479" a="1"/>
  <c r="M38" i="3479" s="1"/>
  <c r="N38" i="3479" a="1"/>
  <c r="N38" i="3479" s="1"/>
  <c r="O38" i="3479" s="1" a="1"/>
  <c r="O38" i="3479" s="1"/>
  <c r="ED34" i="3479" a="1"/>
  <c r="ED34" i="3479" s="1"/>
  <c r="EE34" i="3479" s="1" a="1"/>
  <c r="EE34" i="3479" s="1"/>
  <c r="EC34" i="3479" a="1"/>
  <c r="EC34" i="3479" s="1"/>
  <c r="EF34" i="3479" s="1" a="1"/>
  <c r="EF34" i="3479" s="1"/>
  <c r="EG34" i="3479" s="1" a="1"/>
  <c r="EG34" i="3479" s="1"/>
  <c r="BV30" i="3479" a="1"/>
  <c r="BV30" i="3479" s="1"/>
  <c r="BW30" i="3479" s="1" a="1"/>
  <c r="BW30" i="3479" s="1"/>
  <c r="BU30" i="3479" a="1"/>
  <c r="BU30" i="3479" s="1"/>
  <c r="CJ30" i="3479" a="1"/>
  <c r="CJ30" i="3479" s="1"/>
  <c r="CK30" i="3479" a="1"/>
  <c r="CK30" i="3479" s="1"/>
  <c r="CL30" i="3479" s="1" a="1"/>
  <c r="CL30" i="3479" s="1"/>
  <c r="CK62" i="3479" a="1"/>
  <c r="CK62" i="3479" s="1"/>
  <c r="CL62" i="3479" s="1" a="1"/>
  <c r="CL62" i="3479" s="1"/>
  <c r="CJ62" i="3479" a="1"/>
  <c r="CJ62" i="3479" s="1"/>
  <c r="BF71" i="3479" a="1"/>
  <c r="BF71" i="3479" s="1"/>
  <c r="BG71" i="3479" a="1"/>
  <c r="BG71" i="3479" s="1"/>
  <c r="BH71" i="3479" s="1" a="1"/>
  <c r="BH71" i="3479" s="1"/>
  <c r="ER38" i="3479" a="1"/>
  <c r="ER38" i="3479" s="1"/>
  <c r="EU38" i="3479" s="1" a="1"/>
  <c r="EU38" i="3479" s="1"/>
  <c r="EV38" i="3479" s="1" a="1"/>
  <c r="EV38" i="3479" s="1"/>
  <c r="ES38" i="3479" a="1"/>
  <c r="ES38" i="3479" s="1"/>
  <c r="ET38" i="3479" s="1" a="1"/>
  <c r="ET38" i="3479" s="1"/>
  <c r="DN23" i="3479" a="1"/>
  <c r="DN23" i="3479" s="1"/>
  <c r="DQ23" i="3479" s="1" a="1"/>
  <c r="DQ23" i="3479" s="1"/>
  <c r="DR23" i="3479" s="1" a="1"/>
  <c r="DR23" i="3479" s="1"/>
  <c r="DO23" i="3479" a="1"/>
  <c r="DO23" i="3479" s="1"/>
  <c r="DP23" i="3479" s="1" a="1"/>
  <c r="DP23" i="3479" s="1"/>
  <c r="BG22" i="3479" a="1"/>
  <c r="BG22" i="3479" s="1"/>
  <c r="BH22" i="3479" s="1" a="1"/>
  <c r="BH22" i="3479" s="1"/>
  <c r="BF22" i="3479" a="1"/>
  <c r="BF22" i="3479" s="1"/>
  <c r="AC52" i="3479" a="1"/>
  <c r="AC52" i="3479" s="1"/>
  <c r="AD52" i="3479" s="1" a="1"/>
  <c r="AD52" i="3479" s="1"/>
  <c r="AB52" i="3479" a="1"/>
  <c r="AB52" i="3479" s="1"/>
  <c r="AB57" i="3479" a="1"/>
  <c r="AB57" i="3479" s="1"/>
  <c r="AC57" i="3479" a="1"/>
  <c r="AC57" i="3479" s="1"/>
  <c r="AD57" i="3479" s="1" a="1"/>
  <c r="AD57" i="3479" s="1"/>
  <c r="AR22" i="3479" a="1"/>
  <c r="AR22" i="3479" s="1"/>
  <c r="AS22" i="3479" s="1" a="1"/>
  <c r="AS22" i="3479" s="1"/>
  <c r="AQ22" i="3479" a="1"/>
  <c r="AQ22" i="3479" s="1"/>
  <c r="CZ50" i="3479" a="1"/>
  <c r="CZ50" i="3479" s="1"/>
  <c r="DA50" i="3479" s="1" a="1"/>
  <c r="DA50" i="3479" s="1"/>
  <c r="CY50" i="3479" a="1"/>
  <c r="CY50" i="3479" s="1"/>
  <c r="DB50" i="3479" s="1" a="1"/>
  <c r="DB50" i="3479" s="1"/>
  <c r="DC50" i="3479" s="1" a="1"/>
  <c r="DC50" i="3479" s="1"/>
  <c r="CZ58" i="3479" a="1"/>
  <c r="CZ58" i="3479" s="1"/>
  <c r="DA58" i="3479" s="1" a="1"/>
  <c r="DA58" i="3479" s="1"/>
  <c r="CY58" i="3479" a="1"/>
  <c r="CY58" i="3479" s="1"/>
  <c r="DB58" i="3479" s="1" a="1"/>
  <c r="DB58" i="3479" s="1"/>
  <c r="DC58" i="3479" s="1" a="1"/>
  <c r="DC58" i="3479" s="1"/>
  <c r="N28" i="3479" a="1"/>
  <c r="N28" i="3479" s="1"/>
  <c r="O28" i="3479" s="1" a="1"/>
  <c r="O28" i="3479" s="1"/>
  <c r="M28" i="3479" a="1"/>
  <c r="M28" i="3479" s="1"/>
  <c r="I55" i="3445" a="1"/>
  <c r="I55" i="3445" s="1"/>
  <c r="O55" i="3445" s="1"/>
  <c r="O83" i="3445"/>
  <c r="CR33" i="3479" a="1"/>
  <c r="CR33" i="3479" s="1"/>
  <c r="CQ33" i="3479" a="1"/>
  <c r="CQ33" i="3479" s="1"/>
  <c r="CP33" i="3479" a="1"/>
  <c r="CP33" i="3479" s="1"/>
  <c r="N31" i="3479" a="1"/>
  <c r="N31" i="3479" s="1"/>
  <c r="O31" i="3479" s="1" a="1"/>
  <c r="O31" i="3479" s="1"/>
  <c r="M31" i="3479" a="1"/>
  <c r="M31" i="3479" s="1"/>
  <c r="M69" i="3479" a="1"/>
  <c r="M69" i="3479" s="1"/>
  <c r="N69" i="3479" a="1"/>
  <c r="N69" i="3479" s="1"/>
  <c r="O69" i="3479" s="1" a="1"/>
  <c r="O69" i="3479" s="1"/>
  <c r="ED55" i="3479" a="1"/>
  <c r="ED55" i="3479" s="1"/>
  <c r="EE55" i="3479" s="1" a="1"/>
  <c r="EE55" i="3479" s="1"/>
  <c r="EC55" i="3479" a="1"/>
  <c r="EC55" i="3479" s="1"/>
  <c r="EF55" i="3479" s="1" a="1"/>
  <c r="EF55" i="3479" s="1"/>
  <c r="EG55" i="3479" s="1" a="1"/>
  <c r="EG55" i="3479" s="1"/>
  <c r="EC68" i="3479" a="1"/>
  <c r="EC68" i="3479" s="1"/>
  <c r="EF68" i="3479" s="1" a="1"/>
  <c r="EF68" i="3479" s="1"/>
  <c r="EG68" i="3479" s="1" a="1"/>
  <c r="EG68" i="3479" s="1"/>
  <c r="ED68" i="3479" a="1"/>
  <c r="ED68" i="3479" s="1"/>
  <c r="EE68" i="3479" s="1" a="1"/>
  <c r="EE68" i="3479" s="1"/>
  <c r="AR63" i="3479" a="1"/>
  <c r="AR63" i="3479" s="1"/>
  <c r="AS63" i="3479" s="1" a="1"/>
  <c r="AS63" i="3479" s="1"/>
  <c r="AQ63" i="3479" a="1"/>
  <c r="AQ63" i="3479" s="1"/>
  <c r="BV37" i="3479" a="1"/>
  <c r="BV37" i="3479" s="1"/>
  <c r="BW37" i="3479" s="1" a="1"/>
  <c r="BW37" i="3479" s="1"/>
  <c r="BU37" i="3479" a="1"/>
  <c r="BU37" i="3479" s="1"/>
  <c r="BU50" i="3479" a="1"/>
  <c r="BU50" i="3479" s="1"/>
  <c r="BV50" i="3479" a="1"/>
  <c r="BV50" i="3479" s="1"/>
  <c r="BW50" i="3479" s="1" a="1"/>
  <c r="BW50" i="3479" s="1"/>
  <c r="CK48" i="3479" a="1"/>
  <c r="CK48" i="3479" s="1"/>
  <c r="CL48" i="3479" s="1" a="1"/>
  <c r="CL48" i="3479" s="1"/>
  <c r="CJ48" i="3479" a="1"/>
  <c r="CJ48" i="3479" s="1"/>
  <c r="CJ67" i="3479" a="1"/>
  <c r="CJ67" i="3479" s="1"/>
  <c r="CK67" i="3479" a="1"/>
  <c r="CK67" i="3479" s="1"/>
  <c r="CL67" i="3479" s="1" a="1"/>
  <c r="CL67" i="3479" s="1"/>
  <c r="BG36" i="3479" a="1"/>
  <c r="BG36" i="3479" s="1"/>
  <c r="BH36" i="3479" s="1" a="1"/>
  <c r="BH36" i="3479" s="1"/>
  <c r="BF36" i="3479" a="1"/>
  <c r="BF36" i="3479" s="1"/>
  <c r="BG67" i="3479" a="1"/>
  <c r="BG67" i="3479" s="1"/>
  <c r="BH67" i="3479" s="1" a="1"/>
  <c r="BH67" i="3479" s="1"/>
  <c r="BF67" i="3479" a="1"/>
  <c r="BF67" i="3479" s="1"/>
  <c r="ES41" i="3479" a="1"/>
  <c r="ES41" i="3479" s="1"/>
  <c r="ET41" i="3479" s="1" a="1"/>
  <c r="ET41" i="3479" s="1"/>
  <c r="ER41" i="3479" a="1"/>
  <c r="ER41" i="3479" s="1"/>
  <c r="EU41" i="3479" s="1" a="1"/>
  <c r="EU41" i="3479" s="1"/>
  <c r="EV41" i="3479" s="1" a="1"/>
  <c r="EV41" i="3479" s="1"/>
  <c r="ER68" i="3479" a="1"/>
  <c r="ER68" i="3479" s="1"/>
  <c r="EU68" i="3479" s="1" a="1"/>
  <c r="EU68" i="3479" s="1"/>
  <c r="EV68" i="3479" s="1" a="1"/>
  <c r="EV68" i="3479" s="1"/>
  <c r="ES68" i="3479" a="1"/>
  <c r="ES68" i="3479" s="1"/>
  <c r="ET68" i="3479" s="1" a="1"/>
  <c r="ET68" i="3479" s="1"/>
  <c r="DN27" i="3479" a="1"/>
  <c r="DN27" i="3479" s="1"/>
  <c r="DQ27" i="3479" s="1" a="1"/>
  <c r="DQ27" i="3479" s="1"/>
  <c r="DR27" i="3479" s="1" a="1"/>
  <c r="DR27" i="3479" s="1"/>
  <c r="DO27" i="3479" a="1"/>
  <c r="DO27" i="3479" s="1"/>
  <c r="DP27" i="3479" s="1" a="1"/>
  <c r="DP27" i="3479" s="1"/>
  <c r="DN69" i="3479" a="1"/>
  <c r="DN69" i="3479" s="1"/>
  <c r="DQ69" i="3479" s="1" a="1"/>
  <c r="DQ69" i="3479" s="1"/>
  <c r="DR69" i="3479" s="1" a="1"/>
  <c r="DR69" i="3479" s="1"/>
  <c r="DO69" i="3479" a="1"/>
  <c r="DO69" i="3479" s="1"/>
  <c r="DP69" i="3479" s="1" a="1"/>
  <c r="DP69" i="3479" s="1"/>
  <c r="AT35" i="3479" a="1"/>
  <c r="AT35" i="3479" s="1"/>
  <c r="AU35" i="3479" s="1" a="1"/>
  <c r="AU35" i="3479" s="1"/>
  <c r="AC24" i="3479" a="1"/>
  <c r="AC24" i="3479" s="1"/>
  <c r="AD24" i="3479" s="1" a="1"/>
  <c r="AD24" i="3479" s="1"/>
  <c r="AB24" i="3479" a="1"/>
  <c r="AB24" i="3479" s="1"/>
  <c r="AB59" i="3479" a="1"/>
  <c r="AB59" i="3479" s="1"/>
  <c r="AC59" i="3479" a="1"/>
  <c r="AC59" i="3479" s="1"/>
  <c r="AD59" i="3479" s="1" a="1"/>
  <c r="AD59" i="3479" s="1"/>
  <c r="ED42" i="3479" a="1"/>
  <c r="ED42" i="3479" s="1"/>
  <c r="EE42" i="3479" s="1" a="1"/>
  <c r="EE42" i="3479" s="1"/>
  <c r="EC42" i="3479" a="1"/>
  <c r="EC42" i="3479" s="1"/>
  <c r="EF42" i="3479" s="1" a="1"/>
  <c r="EF42" i="3479" s="1"/>
  <c r="EG42" i="3479" s="1" a="1"/>
  <c r="EG42" i="3479" s="1"/>
  <c r="AR36" i="3479" a="1"/>
  <c r="AR36" i="3479" s="1"/>
  <c r="AS36" i="3479" s="1" a="1"/>
  <c r="AS36" i="3479" s="1"/>
  <c r="AQ36" i="3479" a="1"/>
  <c r="AQ36" i="3479" s="1"/>
  <c r="CZ26" i="3479" a="1"/>
  <c r="CZ26" i="3479" s="1"/>
  <c r="DA26" i="3479" s="1" a="1"/>
  <c r="DA26" i="3479" s="1"/>
  <c r="CY26" i="3479" a="1"/>
  <c r="CY26" i="3479" s="1"/>
  <c r="DB26" i="3479" s="1" a="1"/>
  <c r="DB26" i="3479" s="1"/>
  <c r="DC26" i="3479" s="1" a="1"/>
  <c r="DC26" i="3479" s="1"/>
  <c r="CY57" i="3479" a="1"/>
  <c r="CY57" i="3479" s="1"/>
  <c r="DB57" i="3479" s="1" a="1"/>
  <c r="DB57" i="3479" s="1"/>
  <c r="DC57" i="3479" s="1" a="1"/>
  <c r="DC57" i="3479" s="1"/>
  <c r="CZ57" i="3479" a="1"/>
  <c r="CZ57" i="3479" s="1"/>
  <c r="DA57" i="3479" s="1" a="1"/>
  <c r="DA57" i="3479" s="1"/>
  <c r="BM25" i="3479" a="1"/>
  <c r="BM25" i="3479" s="1"/>
  <c r="BL25" i="3479" a="1"/>
  <c r="BL25" i="3479" s="1"/>
  <c r="BN25" i="3479" a="1"/>
  <c r="BN25" i="3479" s="1"/>
  <c r="I85" i="3560"/>
  <c r="O85" i="3560" s="1" a="1"/>
  <c r="O85" i="3560" s="1"/>
  <c r="L85" i="3560"/>
  <c r="J85" i="3560"/>
  <c r="P85" i="3560" s="1" a="1"/>
  <c r="P85" i="3560" s="1"/>
  <c r="K85" i="3560"/>
  <c r="N43" i="3479" a="1"/>
  <c r="N43" i="3479" s="1"/>
  <c r="O43" i="3479" s="1" a="1"/>
  <c r="O43" i="3479" s="1"/>
  <c r="M43" i="3479" a="1"/>
  <c r="M43" i="3479" s="1"/>
  <c r="I99" i="3445" a="1"/>
  <c r="I99" i="3445" s="1"/>
  <c r="A80" i="3444"/>
  <c r="A62" i="3444"/>
  <c r="N61" i="3445" a="1"/>
  <c r="N61" i="3445" s="1"/>
  <c r="BG43" i="3444" a="1"/>
  <c r="BG43" i="3444" s="1"/>
  <c r="AU43" i="3444" a="1"/>
  <c r="AU43" i="3444" s="1"/>
  <c r="AI43" i="3444" a="1"/>
  <c r="AI43" i="3444" s="1"/>
  <c r="W43" i="3444" a="1"/>
  <c r="W43" i="3444" s="1"/>
  <c r="K43" i="3444" a="1"/>
  <c r="K43" i="3444" s="1"/>
  <c r="BF43" i="3444" a="1"/>
  <c r="BF43" i="3444" s="1"/>
  <c r="AT43" i="3444" a="1"/>
  <c r="AT43" i="3444" s="1"/>
  <c r="AH43" i="3444" a="1"/>
  <c r="AH43" i="3444" s="1"/>
  <c r="V43" i="3444" a="1"/>
  <c r="V43" i="3444" s="1"/>
  <c r="AL43" i="3444" a="1"/>
  <c r="AL43" i="3444" s="1"/>
  <c r="AZ43" i="3444" a="1"/>
  <c r="AZ43" i="3444" s="1"/>
  <c r="U43" i="3444" a="1"/>
  <c r="U43" i="3444" s="1"/>
  <c r="AK43" i="3444" a="1"/>
  <c r="AK43" i="3444" s="1"/>
  <c r="AX43" i="3444" a="1"/>
  <c r="AX43" i="3444" s="1"/>
  <c r="AG43" i="3444" a="1"/>
  <c r="AG43" i="3444" s="1"/>
  <c r="R43" i="3444" a="1"/>
  <c r="R43" i="3444" s="1"/>
  <c r="AR43" i="3444" a="1"/>
  <c r="AR43" i="3444" s="1"/>
  <c r="AC43" i="3444" a="1"/>
  <c r="AC43" i="3444" s="1"/>
  <c r="BH43" i="3444" a="1"/>
  <c r="BH43" i="3444" s="1"/>
  <c r="AQ43" i="3444" a="1"/>
  <c r="AQ43" i="3444" s="1"/>
  <c r="N43" i="3444" a="1"/>
  <c r="N43" i="3444" s="1"/>
  <c r="BA43" i="3444" a="1"/>
  <c r="BA43" i="3444" s="1"/>
  <c r="X43" i="3444" a="1"/>
  <c r="X43" i="3444" s="1"/>
  <c r="BC43" i="3444" a="1"/>
  <c r="BC43" i="3444" s="1"/>
  <c r="AE43" i="3444" a="1"/>
  <c r="AE43" i="3444" s="1"/>
  <c r="BB43" i="3444" a="1"/>
  <c r="BB43" i="3444" s="1"/>
  <c r="AD43" i="3444" a="1"/>
  <c r="AD43" i="3444" s="1"/>
  <c r="AY43" i="3444" a="1"/>
  <c r="AY43" i="3444" s="1"/>
  <c r="AB43" i="3444" a="1"/>
  <c r="AB43" i="3444" s="1"/>
  <c r="AW43" i="3444" a="1"/>
  <c r="AW43" i="3444" s="1"/>
  <c r="AA43" i="3444" a="1"/>
  <c r="AA43" i="3444" s="1"/>
  <c r="AV43" i="3444" a="1"/>
  <c r="AV43" i="3444" s="1"/>
  <c r="Z43" i="3444" a="1"/>
  <c r="Z43" i="3444" s="1"/>
  <c r="T43" i="3444" a="1"/>
  <c r="T43" i="3444" s="1"/>
  <c r="AP43" i="3444" a="1"/>
  <c r="AP43" i="3444" s="1"/>
  <c r="S43" i="3444" a="1"/>
  <c r="S43" i="3444" s="1"/>
  <c r="AO43" i="3444" a="1"/>
  <c r="AO43" i="3444" s="1"/>
  <c r="Q43" i="3444" a="1"/>
  <c r="Q43" i="3444" s="1"/>
  <c r="BD43" i="3444" a="1"/>
  <c r="BD43" i="3444" s="1"/>
  <c r="AF43" i="3444" a="1"/>
  <c r="AF43" i="3444" s="1"/>
  <c r="L43" i="3444" a="1"/>
  <c r="L43" i="3444" s="1"/>
  <c r="Y43" i="3444" a="1"/>
  <c r="Y43" i="3444" s="1"/>
  <c r="P43" i="3444" a="1"/>
  <c r="P43" i="3444" s="1"/>
  <c r="O43" i="3444" a="1"/>
  <c r="O43" i="3444" s="1"/>
  <c r="M43" i="3444" a="1"/>
  <c r="M43" i="3444" s="1"/>
  <c r="BE43" i="3444" a="1"/>
  <c r="BE43" i="3444" s="1"/>
  <c r="AJ43" i="3444" a="1"/>
  <c r="AJ43" i="3444" s="1"/>
  <c r="AS43" i="3444" a="1"/>
  <c r="AS43" i="3444" s="1"/>
  <c r="AN43" i="3444" a="1"/>
  <c r="AN43" i="3444" s="1"/>
  <c r="AM43" i="3444" a="1"/>
  <c r="AM43" i="3444" s="1"/>
  <c r="BH66" i="3444" a="1"/>
  <c r="BH66" i="3444" s="1"/>
  <c r="AV66" i="3444" a="1"/>
  <c r="AV66" i="3444" s="1"/>
  <c r="AJ66" i="3444" a="1"/>
  <c r="AJ66" i="3444" s="1"/>
  <c r="X66" i="3444" a="1"/>
  <c r="X66" i="3444" s="1"/>
  <c r="L66" i="3444" a="1"/>
  <c r="L66" i="3444" s="1"/>
  <c r="BG66" i="3444" a="1"/>
  <c r="BG66" i="3444" s="1"/>
  <c r="AU66" i="3444" a="1"/>
  <c r="AU66" i="3444" s="1"/>
  <c r="AI66" i="3444" a="1"/>
  <c r="AI66" i="3444" s="1"/>
  <c r="W66" i="3444" a="1"/>
  <c r="W66" i="3444" s="1"/>
  <c r="K66" i="3444" a="1"/>
  <c r="K66" i="3444" s="1"/>
  <c r="BF66" i="3444" a="1"/>
  <c r="BF66" i="3444" s="1"/>
  <c r="AT66" i="3444" a="1"/>
  <c r="AT66" i="3444" s="1"/>
  <c r="AH66" i="3444" a="1"/>
  <c r="AH66" i="3444" s="1"/>
  <c r="V66" i="3444" a="1"/>
  <c r="V66" i="3444" s="1"/>
  <c r="BC66" i="3444" a="1"/>
  <c r="BC66" i="3444" s="1"/>
  <c r="AQ66" i="3444" a="1"/>
  <c r="AQ66" i="3444" s="1"/>
  <c r="AE66" i="3444" a="1"/>
  <c r="AE66" i="3444" s="1"/>
  <c r="S66" i="3444" a="1"/>
  <c r="S66" i="3444" s="1"/>
  <c r="R66" i="3444" a="1"/>
  <c r="R66" i="3444" s="1"/>
  <c r="AF66" i="3444" a="1"/>
  <c r="AF66" i="3444" s="1"/>
  <c r="Q66" i="3444" a="1"/>
  <c r="Q66" i="3444" s="1"/>
  <c r="AS66" i="3444" a="1"/>
  <c r="AS66" i="3444" s="1"/>
  <c r="AD66" i="3444" a="1"/>
  <c r="AD66" i="3444" s="1"/>
  <c r="P66" i="3444" a="1"/>
  <c r="P66" i="3444" s="1"/>
  <c r="AO66" i="3444" a="1"/>
  <c r="AO66" i="3444" s="1"/>
  <c r="AA66" i="3444" a="1"/>
  <c r="AA66" i="3444" s="1"/>
  <c r="M66" i="3444" a="1"/>
  <c r="M66" i="3444" s="1"/>
  <c r="BA66" i="3444" a="1"/>
  <c r="BA66" i="3444" s="1"/>
  <c r="AM66" i="3444" a="1"/>
  <c r="AM66" i="3444" s="1"/>
  <c r="Y66" i="3444" a="1"/>
  <c r="Y66" i="3444" s="1"/>
  <c r="AG66" i="3444" a="1"/>
  <c r="AG66" i="3444" s="1"/>
  <c r="AZ66" i="3444" a="1"/>
  <c r="AZ66" i="3444" s="1"/>
  <c r="AC66" i="3444" a="1"/>
  <c r="AC66" i="3444" s="1"/>
  <c r="AY66" i="3444" a="1"/>
  <c r="AY66" i="3444" s="1"/>
  <c r="AW66" i="3444" a="1"/>
  <c r="AW66" i="3444" s="1"/>
  <c r="AN66" i="3444" a="1"/>
  <c r="AN66" i="3444" s="1"/>
  <c r="T66" i="3444" a="1"/>
  <c r="T66" i="3444" s="1"/>
  <c r="AL66" i="3444" a="1"/>
  <c r="AL66" i="3444" s="1"/>
  <c r="BE66" i="3444" a="1"/>
  <c r="BE66" i="3444" s="1"/>
  <c r="AK66" i="3444" a="1"/>
  <c r="AK66" i="3444" s="1"/>
  <c r="O66" i="3444" a="1"/>
  <c r="O66" i="3444" s="1"/>
  <c r="N66" i="3444" a="1"/>
  <c r="N66" i="3444" s="1"/>
  <c r="BD66" i="3444" a="1"/>
  <c r="BD66" i="3444" s="1"/>
  <c r="AR66" i="3444" a="1"/>
  <c r="AR66" i="3444" s="1"/>
  <c r="AP66" i="3444" a="1"/>
  <c r="AP66" i="3444" s="1"/>
  <c r="U66" i="3444" a="1"/>
  <c r="U66" i="3444" s="1"/>
  <c r="AX66" i="3444" a="1"/>
  <c r="AX66" i="3444" s="1"/>
  <c r="AB66" i="3444" a="1"/>
  <c r="AB66" i="3444" s="1"/>
  <c r="Z66" i="3444" a="1"/>
  <c r="Z66" i="3444" s="1"/>
  <c r="BB66" i="3444" a="1"/>
  <c r="BB66" i="3444" s="1"/>
  <c r="A42" i="3444"/>
  <c r="BG27" i="3444" a="1"/>
  <c r="BG27" i="3444" s="1"/>
  <c r="AU27" i="3444" a="1"/>
  <c r="AU27" i="3444" s="1"/>
  <c r="AI27" i="3444" a="1"/>
  <c r="AI27" i="3444" s="1"/>
  <c r="W27" i="3444" a="1"/>
  <c r="W27" i="3444" s="1"/>
  <c r="K27" i="3444" a="1"/>
  <c r="K27" i="3444" s="1"/>
  <c r="BF27" i="3444" a="1"/>
  <c r="BF27" i="3444" s="1"/>
  <c r="AT27" i="3444" a="1"/>
  <c r="AT27" i="3444" s="1"/>
  <c r="AH27" i="3444" a="1"/>
  <c r="AH27" i="3444" s="1"/>
  <c r="V27" i="3444" a="1"/>
  <c r="V27" i="3444" s="1"/>
  <c r="BD27" i="3444" a="1"/>
  <c r="BD27" i="3444" s="1"/>
  <c r="AR27" i="3444" a="1"/>
  <c r="AR27" i="3444" s="1"/>
  <c r="AF27" i="3444" a="1"/>
  <c r="AF27" i="3444" s="1"/>
  <c r="T27" i="3444" a="1"/>
  <c r="T27" i="3444" s="1"/>
  <c r="AV27" i="3444" a="1"/>
  <c r="AV27" i="3444" s="1"/>
  <c r="AE27" i="3444" a="1"/>
  <c r="AE27" i="3444" s="1"/>
  <c r="P27" i="3444" a="1"/>
  <c r="P27" i="3444" s="1"/>
  <c r="AD27" i="3444" a="1"/>
  <c r="AD27" i="3444" s="1"/>
  <c r="AS27" i="3444" a="1"/>
  <c r="AS27" i="3444" s="1"/>
  <c r="O27" i="3444" a="1"/>
  <c r="O27" i="3444" s="1"/>
  <c r="AC27" i="3444" a="1"/>
  <c r="AC27" i="3444" s="1"/>
  <c r="BH27" i="3444" a="1"/>
  <c r="BH27" i="3444" s="1"/>
  <c r="AQ27" i="3444" a="1"/>
  <c r="AQ27" i="3444" s="1"/>
  <c r="N27" i="3444" a="1"/>
  <c r="N27" i="3444" s="1"/>
  <c r="AB27" i="3444" a="1"/>
  <c r="AB27" i="3444" s="1"/>
  <c r="AP27" i="3444" a="1"/>
  <c r="AP27" i="3444" s="1"/>
  <c r="M27" i="3444" a="1"/>
  <c r="M27" i="3444" s="1"/>
  <c r="BE27" i="3444" a="1"/>
  <c r="BE27" i="3444" s="1"/>
  <c r="AA27" i="3444" a="1"/>
  <c r="AA27" i="3444" s="1"/>
  <c r="AO27" i="3444" a="1"/>
  <c r="AO27" i="3444" s="1"/>
  <c r="L27" i="3444" a="1"/>
  <c r="L27" i="3444" s="1"/>
  <c r="AN27" i="3444" a="1"/>
  <c r="AN27" i="3444" s="1"/>
  <c r="AM27" i="3444" a="1"/>
  <c r="AM27" i="3444" s="1"/>
  <c r="BA27" i="3444" a="1"/>
  <c r="BA27" i="3444" s="1"/>
  <c r="X27" i="3444" a="1"/>
  <c r="X27" i="3444" s="1"/>
  <c r="AL27" i="3444" a="1"/>
  <c r="AL27" i="3444" s="1"/>
  <c r="AZ27" i="3444" a="1"/>
  <c r="AZ27" i="3444" s="1"/>
  <c r="AW27" i="3444" a="1"/>
  <c r="AW27" i="3444" s="1"/>
  <c r="AG27" i="3444" a="1"/>
  <c r="AG27" i="3444" s="1"/>
  <c r="Q27" i="3444" a="1"/>
  <c r="Q27" i="3444" s="1"/>
  <c r="BB27" i="3444" a="1"/>
  <c r="BB27" i="3444" s="1"/>
  <c r="AY27" i="3444" a="1"/>
  <c r="AY27" i="3444" s="1"/>
  <c r="AK27" i="3444" a="1"/>
  <c r="AK27" i="3444" s="1"/>
  <c r="AJ27" i="3444" a="1"/>
  <c r="AJ27" i="3444" s="1"/>
  <c r="Y27" i="3444" a="1"/>
  <c r="Y27" i="3444" s="1"/>
  <c r="U27" i="3444" a="1"/>
  <c r="U27" i="3444" s="1"/>
  <c r="S27" i="3444" a="1"/>
  <c r="S27" i="3444" s="1"/>
  <c r="BC27" i="3444" a="1"/>
  <c r="BC27" i="3444" s="1"/>
  <c r="AX27" i="3444" a="1"/>
  <c r="AX27" i="3444" s="1"/>
  <c r="Z27" i="3444" a="1"/>
  <c r="Z27" i="3444" s="1"/>
  <c r="R27" i="3444" a="1"/>
  <c r="R27" i="3444" s="1"/>
  <c r="A33" i="3444"/>
  <c r="AW75" i="3489" a="1"/>
  <c r="AW75" i="3489" s="1"/>
  <c r="AV75" i="3489" a="1"/>
  <c r="AV75" i="3489" s="1"/>
  <c r="AI75" i="3489" a="1"/>
  <c r="AI75" i="3489" s="1"/>
  <c r="V75" i="3489" a="1"/>
  <c r="V75" i="3489" s="1"/>
  <c r="BI75" i="3489" a="1"/>
  <c r="BI75" i="3489" s="1"/>
  <c r="BH75" i="3489" a="1"/>
  <c r="BH75" i="3489" s="1"/>
  <c r="AU75" i="3489" a="1"/>
  <c r="AU75" i="3489" s="1"/>
  <c r="AH75" i="3489" a="1"/>
  <c r="AH75" i="3489" s="1"/>
  <c r="U75" i="3489" a="1"/>
  <c r="U75" i="3489" s="1"/>
  <c r="BG75" i="3489" a="1"/>
  <c r="BG75" i="3489" s="1"/>
  <c r="AT75" i="3489" a="1"/>
  <c r="AT75" i="3489" s="1"/>
  <c r="AG75" i="3489" a="1"/>
  <c r="AG75" i="3489" s="1"/>
  <c r="T75" i="3489" a="1"/>
  <c r="T75" i="3489" s="1"/>
  <c r="AO75" i="3489" a="1"/>
  <c r="AO75" i="3489" s="1"/>
  <c r="X75" i="3489" a="1"/>
  <c r="X75" i="3489" s="1"/>
  <c r="BE75" i="3489" a="1"/>
  <c r="BE75" i="3489" s="1"/>
  <c r="AN75" i="3489" a="1"/>
  <c r="AN75" i="3489" s="1"/>
  <c r="W75" i="3489" a="1"/>
  <c r="W75" i="3489" s="1"/>
  <c r="BD75" i="3489" a="1"/>
  <c r="BD75" i="3489" s="1"/>
  <c r="B75" i="3489"/>
  <c r="AM75" i="3489" a="1"/>
  <c r="AM75" i="3489" s="1"/>
  <c r="BC75" i="3489" a="1"/>
  <c r="BC75" i="3489" s="1"/>
  <c r="S75" i="3489" a="1"/>
  <c r="S75" i="3489" s="1"/>
  <c r="BB75" i="3489" a="1"/>
  <c r="BB75" i="3489" s="1"/>
  <c r="AL75" i="3489" a="1"/>
  <c r="AL75" i="3489" s="1"/>
  <c r="AK75" i="3489" a="1"/>
  <c r="AK75" i="3489" s="1"/>
  <c r="R75" i="3489" a="1"/>
  <c r="R75" i="3489" s="1"/>
  <c r="BA75" i="3489" a="1"/>
  <c r="BA75" i="3489" s="1"/>
  <c r="AJ75" i="3489" a="1"/>
  <c r="AJ75" i="3489" s="1"/>
  <c r="Q75" i="3489" a="1"/>
  <c r="Q75" i="3489" s="1"/>
  <c r="AZ75" i="3489" a="1"/>
  <c r="AZ75" i="3489" s="1"/>
  <c r="AY75" i="3489" a="1"/>
  <c r="AY75" i="3489" s="1"/>
  <c r="O75" i="3489" a="1"/>
  <c r="O75" i="3489" s="1"/>
  <c r="AE75" i="3489" a="1"/>
  <c r="AE75" i="3489" s="1"/>
  <c r="AX75" i="3489" a="1"/>
  <c r="AX75" i="3489" s="1"/>
  <c r="N75" i="3489" a="1"/>
  <c r="N75" i="3489" s="1"/>
  <c r="L75" i="3489" a="1"/>
  <c r="L75" i="3489" s="1"/>
  <c r="Z75" i="3489" a="1"/>
  <c r="Z75" i="3489" s="1"/>
  <c r="AP75" i="3489" a="1"/>
  <c r="AP75" i="3489" s="1"/>
  <c r="AF75" i="3489" a="1"/>
  <c r="AF75" i="3489" s="1"/>
  <c r="AD75" i="3489" a="1"/>
  <c r="AD75" i="3489" s="1"/>
  <c r="AC75" i="3489" a="1"/>
  <c r="AC75" i="3489" s="1"/>
  <c r="AB75" i="3489" a="1"/>
  <c r="AB75" i="3489" s="1"/>
  <c r="Y75" i="3489" a="1"/>
  <c r="Y75" i="3489" s="1"/>
  <c r="K75" i="3489" a="1"/>
  <c r="K75" i="3489" s="1"/>
  <c r="BF75" i="3489" a="1"/>
  <c r="BF75" i="3489" s="1"/>
  <c r="AQ75" i="3489" a="1"/>
  <c r="AQ75" i="3489" s="1"/>
  <c r="AA75" i="3489" a="1"/>
  <c r="AA75" i="3489" s="1"/>
  <c r="AS75" i="3489" a="1"/>
  <c r="AS75" i="3489" s="1"/>
  <c r="AR75" i="3489" a="1"/>
  <c r="AR75" i="3489" s="1"/>
  <c r="P75" i="3489" a="1"/>
  <c r="P75" i="3489" s="1"/>
  <c r="M75" i="3489" a="1"/>
  <c r="M75" i="3489" s="1"/>
  <c r="AD89" i="3489" a="1"/>
  <c r="AD89" i="3489" s="1"/>
  <c r="AU89" i="3489" a="1"/>
  <c r="AU89" i="3489" s="1"/>
  <c r="AR92" i="3489" a="1"/>
  <c r="AR92" i="3489" s="1"/>
  <c r="AY92" i="3489" a="1"/>
  <c r="AY92" i="3489" s="1"/>
  <c r="BG80" i="3489" a="1"/>
  <c r="BG80" i="3489" s="1"/>
  <c r="AU80" i="3489" a="1"/>
  <c r="AU80" i="3489" s="1"/>
  <c r="AI80" i="3489" a="1"/>
  <c r="AI80" i="3489" s="1"/>
  <c r="W80" i="3489" a="1"/>
  <c r="W80" i="3489" s="1"/>
  <c r="K80" i="3489" a="1"/>
  <c r="K80" i="3489" s="1"/>
  <c r="AR80" i="3489" a="1"/>
  <c r="AR80" i="3489" s="1"/>
  <c r="Q80" i="3489" a="1"/>
  <c r="Q80" i="3489" s="1"/>
  <c r="BE80" i="3489" a="1"/>
  <c r="BE80" i="3489" s="1"/>
  <c r="AD80" i="3489" a="1"/>
  <c r="AD80" i="3489" s="1"/>
  <c r="AQ80" i="3489" a="1"/>
  <c r="AQ80" i="3489" s="1"/>
  <c r="P80" i="3489" a="1"/>
  <c r="P80" i="3489" s="1"/>
  <c r="BD80" i="3489" a="1"/>
  <c r="BD80" i="3489" s="1"/>
  <c r="AC80" i="3489" a="1"/>
  <c r="AC80" i="3489" s="1"/>
  <c r="BC80" i="3489" a="1"/>
  <c r="BC80" i="3489" s="1"/>
  <c r="AB80" i="3489" a="1"/>
  <c r="AB80" i="3489" s="1"/>
  <c r="AK80" i="3489" a="1"/>
  <c r="AK80" i="3489" s="1"/>
  <c r="V80" i="3489" a="1"/>
  <c r="V80" i="3489" s="1"/>
  <c r="BB80" i="3489" a="1"/>
  <c r="BB80" i="3489" s="1"/>
  <c r="S80" i="3489" a="1"/>
  <c r="S80" i="3489" s="1"/>
  <c r="BA80" i="3489" a="1"/>
  <c r="BA80" i="3489" s="1"/>
  <c r="AJ80" i="3489" a="1"/>
  <c r="AJ80" i="3489" s="1"/>
  <c r="R80" i="3489" a="1"/>
  <c r="R80" i="3489" s="1"/>
  <c r="AH80" i="3489" a="1"/>
  <c r="AH80" i="3489" s="1"/>
  <c r="AZ80" i="3489" a="1"/>
  <c r="AZ80" i="3489" s="1"/>
  <c r="O80" i="3489" a="1"/>
  <c r="O80" i="3489" s="1"/>
  <c r="AG80" i="3489" a="1"/>
  <c r="AG80" i="3489" s="1"/>
  <c r="N80" i="3489" a="1"/>
  <c r="N80" i="3489" s="1"/>
  <c r="AY80" i="3489" a="1"/>
  <c r="AY80" i="3489" s="1"/>
  <c r="AX80" i="3489" a="1"/>
  <c r="AX80" i="3489" s="1"/>
  <c r="AF80" i="3489" a="1"/>
  <c r="AF80" i="3489" s="1"/>
  <c r="M80" i="3489" a="1"/>
  <c r="M80" i="3489" s="1"/>
  <c r="AW80" i="3489" a="1"/>
  <c r="AW80" i="3489" s="1"/>
  <c r="AE80" i="3489" a="1"/>
  <c r="AE80" i="3489" s="1"/>
  <c r="L80" i="3489" a="1"/>
  <c r="L80" i="3489" s="1"/>
  <c r="AT80" i="3489" a="1"/>
  <c r="AT80" i="3489" s="1"/>
  <c r="AA80" i="3489" a="1"/>
  <c r="AA80" i="3489" s="1"/>
  <c r="AS80" i="3489" a="1"/>
  <c r="AS80" i="3489" s="1"/>
  <c r="Z80" i="3489" a="1"/>
  <c r="Z80" i="3489" s="1"/>
  <c r="AP80" i="3489" a="1"/>
  <c r="AP80" i="3489" s="1"/>
  <c r="Y80" i="3489" a="1"/>
  <c r="Y80" i="3489" s="1"/>
  <c r="T80" i="3489" a="1"/>
  <c r="T80" i="3489" s="1"/>
  <c r="BI80" i="3489" a="1"/>
  <c r="BI80" i="3489" s="1"/>
  <c r="B80" i="3489"/>
  <c r="AV80" i="3489" a="1"/>
  <c r="AV80" i="3489" s="1"/>
  <c r="AO80" i="3489" a="1"/>
  <c r="AO80" i="3489" s="1"/>
  <c r="AN80" i="3489" a="1"/>
  <c r="AN80" i="3489" s="1"/>
  <c r="AM80" i="3489" a="1"/>
  <c r="AM80" i="3489" s="1"/>
  <c r="BH80" i="3489" a="1"/>
  <c r="BH80" i="3489" s="1"/>
  <c r="BF80" i="3489" a="1"/>
  <c r="BF80" i="3489" s="1"/>
  <c r="AL80" i="3489" a="1"/>
  <c r="AL80" i="3489" s="1"/>
  <c r="X80" i="3489" a="1"/>
  <c r="X80" i="3489" s="1"/>
  <c r="U80" i="3489" a="1"/>
  <c r="U80" i="3489" s="1"/>
  <c r="Q52" i="3489" a="1"/>
  <c r="Q52" i="3489" s="1"/>
  <c r="AG52" i="3489" a="1"/>
  <c r="AG52" i="3489" s="1"/>
  <c r="AY70" i="3489" a="1"/>
  <c r="AY70" i="3489" s="1"/>
  <c r="AX70" i="3489" a="1"/>
  <c r="AX70" i="3489" s="1"/>
  <c r="AK70" i="3489" a="1"/>
  <c r="AK70" i="3489" s="1"/>
  <c r="X70" i="3489" a="1"/>
  <c r="X70" i="3489" s="1"/>
  <c r="K70" i="3489" a="1"/>
  <c r="K70" i="3489" s="1"/>
  <c r="AW70" i="3489" a="1"/>
  <c r="AW70" i="3489" s="1"/>
  <c r="AJ70" i="3489" a="1"/>
  <c r="AJ70" i="3489" s="1"/>
  <c r="W70" i="3489" a="1"/>
  <c r="W70" i="3489" s="1"/>
  <c r="BI70" i="3489" a="1"/>
  <c r="BI70" i="3489" s="1"/>
  <c r="AV70" i="3489" a="1"/>
  <c r="AV70" i="3489" s="1"/>
  <c r="AI70" i="3489" a="1"/>
  <c r="AI70" i="3489" s="1"/>
  <c r="V70" i="3489" a="1"/>
  <c r="V70" i="3489" s="1"/>
  <c r="BB70" i="3489" a="1"/>
  <c r="BB70" i="3489" s="1"/>
  <c r="T70" i="3489" a="1"/>
  <c r="T70" i="3489" s="1"/>
  <c r="B70" i="3489"/>
  <c r="BA70" i="3489" a="1"/>
  <c r="BA70" i="3489" s="1"/>
  <c r="S70" i="3489" a="1"/>
  <c r="S70" i="3489" s="1"/>
  <c r="AH70" i="3489" a="1"/>
  <c r="AH70" i="3489" s="1"/>
  <c r="AZ70" i="3489" a="1"/>
  <c r="AZ70" i="3489" s="1"/>
  <c r="R70" i="3489" a="1"/>
  <c r="R70" i="3489" s="1"/>
  <c r="AG70" i="3489" a="1"/>
  <c r="AG70" i="3489" s="1"/>
  <c r="Q70" i="3489" a="1"/>
  <c r="Q70" i="3489" s="1"/>
  <c r="AF70" i="3489" a="1"/>
  <c r="AF70" i="3489" s="1"/>
  <c r="P70" i="3489" a="1"/>
  <c r="P70" i="3489" s="1"/>
  <c r="AU70" i="3489" a="1"/>
  <c r="AU70" i="3489" s="1"/>
  <c r="O70" i="3489" a="1"/>
  <c r="O70" i="3489" s="1"/>
  <c r="AS70" i="3489" a="1"/>
  <c r="AS70" i="3489" s="1"/>
  <c r="AC70" i="3489" a="1"/>
  <c r="AC70" i="3489" s="1"/>
  <c r="BH70" i="3489" a="1"/>
  <c r="BH70" i="3489" s="1"/>
  <c r="L70" i="3489" a="1"/>
  <c r="L70" i="3489" s="1"/>
  <c r="AR70" i="3489" a="1"/>
  <c r="AR70" i="3489" s="1"/>
  <c r="AB70" i="3489" a="1"/>
  <c r="AB70" i="3489" s="1"/>
  <c r="Z70" i="3489" a="1"/>
  <c r="Z70" i="3489" s="1"/>
  <c r="BC70" i="3489" a="1"/>
  <c r="BC70" i="3489" s="1"/>
  <c r="AM70" i="3489" a="1"/>
  <c r="AM70" i="3489" s="1"/>
  <c r="U70" i="3489" a="1"/>
  <c r="U70" i="3489" s="1"/>
  <c r="BE70" i="3489" a="1"/>
  <c r="BE70" i="3489" s="1"/>
  <c r="N70" i="3489" a="1"/>
  <c r="N70" i="3489" s="1"/>
  <c r="BD70" i="3489" a="1"/>
  <c r="BD70" i="3489" s="1"/>
  <c r="M70" i="3489" a="1"/>
  <c r="M70" i="3489" s="1"/>
  <c r="AT70" i="3489" a="1"/>
  <c r="AT70" i="3489" s="1"/>
  <c r="AQ70" i="3489" a="1"/>
  <c r="AQ70" i="3489" s="1"/>
  <c r="AP70" i="3489" a="1"/>
  <c r="AP70" i="3489" s="1"/>
  <c r="AN70" i="3489" a="1"/>
  <c r="AN70" i="3489" s="1"/>
  <c r="AL70" i="3489" a="1"/>
  <c r="AL70" i="3489" s="1"/>
  <c r="AE70" i="3489" a="1"/>
  <c r="AE70" i="3489" s="1"/>
  <c r="AD70" i="3489" a="1"/>
  <c r="AD70" i="3489" s="1"/>
  <c r="AA70" i="3489" a="1"/>
  <c r="AA70" i="3489" s="1"/>
  <c r="BF70" i="3489" a="1"/>
  <c r="BF70" i="3489" s="1"/>
  <c r="BG70" i="3489" a="1"/>
  <c r="BG70" i="3489" s="1"/>
  <c r="AO70" i="3489" a="1"/>
  <c r="AO70" i="3489" s="1"/>
  <c r="Y70" i="3489" a="1"/>
  <c r="Y70" i="3489" s="1"/>
  <c r="BF48" i="3489" a="1"/>
  <c r="BF48" i="3489" s="1"/>
  <c r="AT48" i="3489" a="1"/>
  <c r="AT48" i="3489" s="1"/>
  <c r="AH48" i="3489" a="1"/>
  <c r="AH48" i="3489" s="1"/>
  <c r="V48" i="3489" a="1"/>
  <c r="V48" i="3489" s="1"/>
  <c r="BD48" i="3489" a="1"/>
  <c r="BD48" i="3489" s="1"/>
  <c r="AR48" i="3489" a="1"/>
  <c r="AR48" i="3489" s="1"/>
  <c r="AF48" i="3489" a="1"/>
  <c r="AF48" i="3489" s="1"/>
  <c r="T48" i="3489" a="1"/>
  <c r="T48" i="3489" s="1"/>
  <c r="AV48" i="3489" a="1"/>
  <c r="AV48" i="3489" s="1"/>
  <c r="AE48" i="3489" a="1"/>
  <c r="AE48" i="3489" s="1"/>
  <c r="Q48" i="3489" a="1"/>
  <c r="Q48" i="3489" s="1"/>
  <c r="AU48" i="3489" a="1"/>
  <c r="AU48" i="3489" s="1"/>
  <c r="BI48" i="3489" a="1"/>
  <c r="BI48" i="3489" s="1"/>
  <c r="AS48" i="3489" a="1"/>
  <c r="AS48" i="3489" s="1"/>
  <c r="AD48" i="3489" a="1"/>
  <c r="AD48" i="3489" s="1"/>
  <c r="P48" i="3489" a="1"/>
  <c r="P48" i="3489" s="1"/>
  <c r="BE48" i="3489" a="1"/>
  <c r="BE48" i="3489" s="1"/>
  <c r="AP48" i="3489" a="1"/>
  <c r="AP48" i="3489" s="1"/>
  <c r="AN48" i="3489" a="1"/>
  <c r="AN48" i="3489" s="1"/>
  <c r="BB48" i="3489" a="1"/>
  <c r="BB48" i="3489" s="1"/>
  <c r="Y48" i="3489" a="1"/>
  <c r="Y48" i="3489" s="1"/>
  <c r="K48" i="3489" a="1"/>
  <c r="K48" i="3489" s="1"/>
  <c r="AM48" i="3489" a="1"/>
  <c r="AM48" i="3489" s="1"/>
  <c r="AW48" i="3489" a="1"/>
  <c r="AW48" i="3489" s="1"/>
  <c r="X48" i="3489" a="1"/>
  <c r="X48" i="3489" s="1"/>
  <c r="B48" i="3489"/>
  <c r="W48" i="3489" a="1"/>
  <c r="W48" i="3489" s="1"/>
  <c r="AQ48" i="3489" a="1"/>
  <c r="AQ48" i="3489" s="1"/>
  <c r="U48" i="3489" a="1"/>
  <c r="U48" i="3489" s="1"/>
  <c r="AO48" i="3489" a="1"/>
  <c r="AO48" i="3489" s="1"/>
  <c r="S48" i="3489" a="1"/>
  <c r="S48" i="3489" s="1"/>
  <c r="AL48" i="3489" a="1"/>
  <c r="AL48" i="3489" s="1"/>
  <c r="R48" i="3489" a="1"/>
  <c r="R48" i="3489" s="1"/>
  <c r="O48" i="3489" a="1"/>
  <c r="O48" i="3489" s="1"/>
  <c r="AG48" i="3489" a="1"/>
  <c r="AG48" i="3489" s="1"/>
  <c r="L48" i="3489" a="1"/>
  <c r="L48" i="3489" s="1"/>
  <c r="BC48" i="3489" a="1"/>
  <c r="BC48" i="3489" s="1"/>
  <c r="AA48" i="3489" a="1"/>
  <c r="AA48" i="3489" s="1"/>
  <c r="Z48" i="3489" a="1"/>
  <c r="Z48" i="3489" s="1"/>
  <c r="BH48" i="3489" a="1"/>
  <c r="BH48" i="3489" s="1"/>
  <c r="N48" i="3489" a="1"/>
  <c r="N48" i="3489" s="1"/>
  <c r="BA48" i="3489" a="1"/>
  <c r="BA48" i="3489" s="1"/>
  <c r="AY48" i="3489" a="1"/>
  <c r="AY48" i="3489" s="1"/>
  <c r="AX48" i="3489" a="1"/>
  <c r="AX48" i="3489" s="1"/>
  <c r="AJ48" i="3489" a="1"/>
  <c r="AJ48" i="3489" s="1"/>
  <c r="AK48" i="3489" a="1"/>
  <c r="AK48" i="3489" s="1"/>
  <c r="AI48" i="3489" a="1"/>
  <c r="AI48" i="3489" s="1"/>
  <c r="AC48" i="3489" a="1"/>
  <c r="AC48" i="3489" s="1"/>
  <c r="AB48" i="3489" a="1"/>
  <c r="AB48" i="3489" s="1"/>
  <c r="M48" i="3489" a="1"/>
  <c r="M48" i="3489" s="1"/>
  <c r="BG48" i="3489" a="1"/>
  <c r="BG48" i="3489" s="1"/>
  <c r="AZ48" i="3489" a="1"/>
  <c r="AZ48" i="3489" s="1"/>
  <c r="R29" i="3489" a="1"/>
  <c r="R29" i="3489" s="1"/>
  <c r="AD29" i="3489" a="1"/>
  <c r="AD29" i="3489" s="1"/>
  <c r="BO77" i="3448"/>
  <c r="BP77" i="3448"/>
  <c r="G77" i="3448"/>
  <c r="BW77" i="3448" s="1"/>
  <c r="I42" i="3523" a="1"/>
  <c r="I42" i="3523" s="1"/>
  <c r="H42" i="3523" a="1"/>
  <c r="H42" i="3523" s="1"/>
  <c r="I38" i="3523" a="1"/>
  <c r="I38" i="3523" s="1"/>
  <c r="H38" i="3523" a="1"/>
  <c r="H38" i="3523" s="1"/>
  <c r="BP54" i="3448"/>
  <c r="BO54" i="3448"/>
  <c r="G54" i="3448"/>
  <c r="BW54" i="3448" s="1"/>
  <c r="AE76" i="3480"/>
  <c r="AK126" i="3434" a="1"/>
  <c r="AK126" i="3434" s="1"/>
  <c r="AL126" i="3434" a="1"/>
  <c r="AL126" i="3434" s="1"/>
  <c r="AE88" i="3480"/>
  <c r="AL138" i="3434" a="1"/>
  <c r="AL138" i="3434" s="1"/>
  <c r="AK138" i="3434" a="1"/>
  <c r="AK138" i="3434" s="1"/>
  <c r="AE67" i="3480"/>
  <c r="AL117" i="3434" a="1"/>
  <c r="AL117" i="3434" s="1"/>
  <c r="AK117" i="3434" a="1"/>
  <c r="AK117" i="3434" s="1"/>
  <c r="AE64" i="3480"/>
  <c r="AK114" i="3434" a="1"/>
  <c r="AK114" i="3434" s="1"/>
  <c r="AL114" i="3434" a="1"/>
  <c r="AL114" i="3434" s="1"/>
  <c r="G53" i="3436"/>
  <c r="G65" i="3436"/>
  <c r="G23" i="3436"/>
  <c r="I39" i="3436"/>
  <c r="S27" i="3445" s="1" a="1"/>
  <c r="S27" i="3445" s="1"/>
  <c r="T27" i="3445" s="1"/>
  <c r="AN98" i="3577" a="1"/>
  <c r="AN98" i="3577" s="1"/>
  <c r="AK98" i="3577" a="1"/>
  <c r="AK98" i="3577" s="1"/>
  <c r="AL98" i="3577" a="1"/>
  <c r="AL98" i="3577" s="1"/>
  <c r="AM98" i="3577" a="1"/>
  <c r="AM98" i="3577" s="1"/>
  <c r="G71" i="3436"/>
  <c r="G18" i="3436"/>
  <c r="P10" i="3421" s="1" a="1"/>
  <c r="P10" i="3421" s="1"/>
  <c r="AN116" i="3577" a="1"/>
  <c r="AN116" i="3577" s="1"/>
  <c r="AK116" i="3577" a="1"/>
  <c r="AK116" i="3577" s="1"/>
  <c r="AM116" i="3577" a="1"/>
  <c r="AM116" i="3577" s="1"/>
  <c r="AL116" i="3577" a="1"/>
  <c r="AL116" i="3577" s="1"/>
  <c r="Y20" i="3436"/>
  <c r="E61" i="3480"/>
  <c r="C2" i="3434"/>
  <c r="B37" i="3434"/>
  <c r="BZ14" i="3564"/>
  <c r="BS15" i="3564"/>
  <c r="G20" i="3518" a="1"/>
  <c r="G20" i="3518" s="1"/>
  <c r="F20" i="3518" a="1"/>
  <c r="F20" i="3518" s="1"/>
  <c r="F16" i="3518" a="1"/>
  <c r="F16" i="3518" s="1"/>
  <c r="G16" i="3518" a="1"/>
  <c r="G16" i="3518" s="1"/>
  <c r="G27" i="3518" a="1"/>
  <c r="G27" i="3518" s="1"/>
  <c r="F27" i="3518" a="1"/>
  <c r="F27" i="3518" s="1"/>
  <c r="F44" i="3518" a="1"/>
  <c r="F44" i="3518" s="1"/>
  <c r="G44" i="3518" a="1"/>
  <c r="G44" i="3518" s="1"/>
  <c r="J84" i="3528" a="1"/>
  <c r="J84" i="3528" s="1"/>
  <c r="J119" i="3528" a="1"/>
  <c r="J119" i="3528" s="1"/>
  <c r="J50" i="3528" a="1"/>
  <c r="J50" i="3528" s="1"/>
  <c r="K53" i="3528" a="1"/>
  <c r="K53" i="3528" s="1"/>
  <c r="K122" i="3528" a="1"/>
  <c r="K122" i="3528" s="1"/>
  <c r="K87" i="3528" a="1"/>
  <c r="K87" i="3528" s="1"/>
  <c r="O141" i="3528" a="1"/>
  <c r="O141" i="3528" s="1"/>
  <c r="O72" i="3528" a="1"/>
  <c r="O72" i="3528" s="1"/>
  <c r="O106" i="3528" a="1"/>
  <c r="O106" i="3528" s="1"/>
  <c r="J91" i="3528" a="1"/>
  <c r="J91" i="3528" s="1"/>
  <c r="J57" i="3528" a="1"/>
  <c r="J57" i="3528" s="1"/>
  <c r="J126" i="3528" a="1"/>
  <c r="J126" i="3528" s="1"/>
  <c r="I52" i="3528" a="1"/>
  <c r="I52" i="3528" s="1"/>
  <c r="I121" i="3528" a="1"/>
  <c r="I121" i="3528" s="1"/>
  <c r="I86" i="3528" a="1"/>
  <c r="I86" i="3528" s="1"/>
  <c r="I131" i="3528" a="1"/>
  <c r="I131" i="3528" s="1"/>
  <c r="I96" i="3528" a="1"/>
  <c r="I96" i="3528" s="1"/>
  <c r="I62" i="3528" a="1"/>
  <c r="I62" i="3528" s="1"/>
  <c r="P110" i="3528" a="1"/>
  <c r="P110" i="3528" s="1"/>
  <c r="P145" i="3528" a="1"/>
  <c r="P145" i="3528" s="1"/>
  <c r="P76" i="3528" a="1"/>
  <c r="P76" i="3528" s="1"/>
  <c r="K124" i="3528" a="1"/>
  <c r="K124" i="3528" s="1"/>
  <c r="K89" i="3528" a="1"/>
  <c r="K89" i="3528" s="1"/>
  <c r="K55" i="3528" a="1"/>
  <c r="K55" i="3528" s="1"/>
  <c r="R83" i="3528" a="1"/>
  <c r="R83" i="3528" s="1"/>
  <c r="R118" i="3528" a="1"/>
  <c r="R118" i="3528" s="1"/>
  <c r="R49" i="3528" a="1"/>
  <c r="R49" i="3528" s="1"/>
  <c r="Y135" i="3528"/>
  <c r="AO135" i="3528"/>
  <c r="F134" i="3528" a="1"/>
  <c r="F134" i="3528" s="1"/>
  <c r="F99" i="3528" a="1"/>
  <c r="F99" i="3528" s="1"/>
  <c r="F65" i="3528" a="1"/>
  <c r="F65" i="3528" s="1"/>
  <c r="K140" i="3528" a="1"/>
  <c r="K140" i="3528" s="1"/>
  <c r="K105" i="3528" a="1"/>
  <c r="K105" i="3528" s="1"/>
  <c r="K71" i="3528" a="1"/>
  <c r="K71" i="3528" s="1"/>
  <c r="S132" i="3528" a="1"/>
  <c r="S132" i="3528" s="1"/>
  <c r="S97" i="3528" a="1"/>
  <c r="S97" i="3528" s="1"/>
  <c r="S63" i="3528" a="1"/>
  <c r="S63" i="3528" s="1"/>
  <c r="N130" i="3528" a="1"/>
  <c r="N130" i="3528" s="1"/>
  <c r="N61" i="3528" a="1"/>
  <c r="N61" i="3528" s="1"/>
  <c r="N95" i="3528" a="1"/>
  <c r="N95" i="3528" s="1"/>
  <c r="L60" i="3528" a="1"/>
  <c r="L60" i="3528" s="1"/>
  <c r="L94" i="3528" a="1"/>
  <c r="L94" i="3528" s="1"/>
  <c r="L129" i="3528" a="1"/>
  <c r="L129" i="3528" s="1"/>
  <c r="K120" i="3528" a="1"/>
  <c r="K120" i="3528" s="1"/>
  <c r="K85" i="3528" a="1"/>
  <c r="K85" i="3528" s="1"/>
  <c r="K51" i="3528" a="1"/>
  <c r="K51" i="3528" s="1"/>
  <c r="K144" i="3528" a="1"/>
  <c r="K144" i="3528" s="1"/>
  <c r="K75" i="3528" a="1"/>
  <c r="K75" i="3528" s="1"/>
  <c r="K109" i="3528" a="1"/>
  <c r="K109" i="3528" s="1"/>
  <c r="S101" i="3528" a="1"/>
  <c r="S101" i="3528" s="1"/>
  <c r="S136" i="3528" a="1"/>
  <c r="S136" i="3528" s="1"/>
  <c r="S67" i="3528" a="1"/>
  <c r="S67" i="3528" s="1"/>
  <c r="I82" i="3528" a="1"/>
  <c r="I82" i="3528" s="1"/>
  <c r="I117" i="3528" a="1"/>
  <c r="I117" i="3528" s="1"/>
  <c r="I48" i="3528" a="1"/>
  <c r="I48" i="3528" s="1"/>
  <c r="CZ59" i="3479" a="1"/>
  <c r="CZ59" i="3479" s="1"/>
  <c r="DA59" i="3479" s="1" a="1"/>
  <c r="DA59" i="3479" s="1"/>
  <c r="CY59" i="3479" a="1"/>
  <c r="CY59" i="3479" s="1"/>
  <c r="DB59" i="3479" s="1" a="1"/>
  <c r="DB59" i="3479" s="1"/>
  <c r="DC59" i="3479" s="1" a="1"/>
  <c r="DC59" i="3479" s="1"/>
  <c r="M33" i="3479" a="1"/>
  <c r="M33" i="3479" s="1"/>
  <c r="N33" i="3479" a="1"/>
  <c r="N33" i="3479" s="1"/>
  <c r="O33" i="3479" s="1" a="1"/>
  <c r="O33" i="3479" s="1"/>
  <c r="BC73" i="3444" a="1"/>
  <c r="BC73" i="3444" s="1"/>
  <c r="AQ73" i="3444" a="1"/>
  <c r="AQ73" i="3444" s="1"/>
  <c r="AE73" i="3444" a="1"/>
  <c r="AE73" i="3444" s="1"/>
  <c r="S73" i="3444" a="1"/>
  <c r="S73" i="3444" s="1"/>
  <c r="BG73" i="3444" a="1"/>
  <c r="BG73" i="3444" s="1"/>
  <c r="AB73" i="3444" a="1"/>
  <c r="AB73" i="3444" s="1"/>
  <c r="M73" i="3444" a="1"/>
  <c r="M73" i="3444" s="1"/>
  <c r="AR73" i="3444" a="1"/>
  <c r="AR73" i="3444" s="1"/>
  <c r="BF73" i="3444" a="1"/>
  <c r="BF73" i="3444" s="1"/>
  <c r="AP73" i="3444" a="1"/>
  <c r="AP73" i="3444" s="1"/>
  <c r="AA73" i="3444" a="1"/>
  <c r="AA73" i="3444" s="1"/>
  <c r="L73" i="3444" a="1"/>
  <c r="L73" i="3444" s="1"/>
  <c r="AO73" i="3444" a="1"/>
  <c r="AO73" i="3444" s="1"/>
  <c r="Z73" i="3444" a="1"/>
  <c r="Z73" i="3444" s="1"/>
  <c r="BE73" i="3444" a="1"/>
  <c r="BE73" i="3444" s="1"/>
  <c r="K73" i="3444" a="1"/>
  <c r="K73" i="3444" s="1"/>
  <c r="AN73" i="3444" a="1"/>
  <c r="AN73" i="3444" s="1"/>
  <c r="Y73" i="3444" a="1"/>
  <c r="Y73" i="3444" s="1"/>
  <c r="BD73" i="3444" a="1"/>
  <c r="BD73" i="3444" s="1"/>
  <c r="BB73" i="3444" a="1"/>
  <c r="BB73" i="3444" s="1"/>
  <c r="AM73" i="3444" a="1"/>
  <c r="AM73" i="3444" s="1"/>
  <c r="X73" i="3444" a="1"/>
  <c r="X73" i="3444" s="1"/>
  <c r="W73" i="3444" a="1"/>
  <c r="W73" i="3444" s="1"/>
  <c r="AZ73" i="3444" a="1"/>
  <c r="AZ73" i="3444" s="1"/>
  <c r="AK73" i="3444" a="1"/>
  <c r="AK73" i="3444" s="1"/>
  <c r="V73" i="3444" a="1"/>
  <c r="V73" i="3444" s="1"/>
  <c r="AI73" i="3444" a="1"/>
  <c r="AI73" i="3444" s="1"/>
  <c r="AW73" i="3444" a="1"/>
  <c r="AW73" i="3444" s="1"/>
  <c r="T73" i="3444" a="1"/>
  <c r="T73" i="3444" s="1"/>
  <c r="AG73" i="3444" a="1"/>
  <c r="AG73" i="3444" s="1"/>
  <c r="AF73" i="3444" a="1"/>
  <c r="AF73" i="3444" s="1"/>
  <c r="AV73" i="3444" a="1"/>
  <c r="AV73" i="3444" s="1"/>
  <c r="AU73" i="3444" a="1"/>
  <c r="AU73" i="3444" s="1"/>
  <c r="AT73" i="3444" a="1"/>
  <c r="AT73" i="3444" s="1"/>
  <c r="AJ73" i="3444" a="1"/>
  <c r="AJ73" i="3444" s="1"/>
  <c r="AC73" i="3444" a="1"/>
  <c r="AC73" i="3444" s="1"/>
  <c r="U73" i="3444" a="1"/>
  <c r="U73" i="3444" s="1"/>
  <c r="BH73" i="3444" a="1"/>
  <c r="BH73" i="3444" s="1"/>
  <c r="Q73" i="3444" a="1"/>
  <c r="Q73" i="3444" s="1"/>
  <c r="AY73" i="3444" a="1"/>
  <c r="AY73" i="3444" s="1"/>
  <c r="N73" i="3444" a="1"/>
  <c r="N73" i="3444" s="1"/>
  <c r="BA73" i="3444" a="1"/>
  <c r="BA73" i="3444" s="1"/>
  <c r="AX73" i="3444" a="1"/>
  <c r="AX73" i="3444" s="1"/>
  <c r="AS73" i="3444" a="1"/>
  <c r="AS73" i="3444" s="1"/>
  <c r="AL73" i="3444" a="1"/>
  <c r="AL73" i="3444" s="1"/>
  <c r="AH73" i="3444" a="1"/>
  <c r="AH73" i="3444" s="1"/>
  <c r="AD73" i="3444" a="1"/>
  <c r="AD73" i="3444" s="1"/>
  <c r="R73" i="3444" a="1"/>
  <c r="R73" i="3444" s="1"/>
  <c r="P73" i="3444" a="1"/>
  <c r="P73" i="3444" s="1"/>
  <c r="O73" i="3444" a="1"/>
  <c r="O73" i="3444" s="1"/>
  <c r="L74" i="3445"/>
  <c r="M74" i="3445" s="1"/>
  <c r="H55" i="3436" s="1"/>
  <c r="N74" i="3445" a="1"/>
  <c r="N74" i="3445" s="1"/>
  <c r="A74" i="3445"/>
  <c r="A87" i="3445"/>
  <c r="AY80" i="3444" a="1"/>
  <c r="AY80" i="3444" s="1"/>
  <c r="AM80" i="3444" a="1"/>
  <c r="AM80" i="3444" s="1"/>
  <c r="AA80" i="3444" a="1"/>
  <c r="AA80" i="3444" s="1"/>
  <c r="O80" i="3444" a="1"/>
  <c r="O80" i="3444" s="1"/>
  <c r="AX80" i="3444" a="1"/>
  <c r="AX80" i="3444" s="1"/>
  <c r="AL80" i="3444" a="1"/>
  <c r="AL80" i="3444" s="1"/>
  <c r="Z80" i="3444" a="1"/>
  <c r="Z80" i="3444" s="1"/>
  <c r="N80" i="3444" a="1"/>
  <c r="N80" i="3444" s="1"/>
  <c r="AW80" i="3444" a="1"/>
  <c r="AW80" i="3444" s="1"/>
  <c r="AK80" i="3444" a="1"/>
  <c r="AK80" i="3444" s="1"/>
  <c r="Y80" i="3444" a="1"/>
  <c r="Y80" i="3444" s="1"/>
  <c r="M80" i="3444" a="1"/>
  <c r="M80" i="3444" s="1"/>
  <c r="BF80" i="3444" a="1"/>
  <c r="BF80" i="3444" s="1"/>
  <c r="AT80" i="3444" a="1"/>
  <c r="AT80" i="3444" s="1"/>
  <c r="AH80" i="3444" a="1"/>
  <c r="AH80" i="3444" s="1"/>
  <c r="V80" i="3444" a="1"/>
  <c r="V80" i="3444" s="1"/>
  <c r="BC80" i="3444" a="1"/>
  <c r="BC80" i="3444" s="1"/>
  <c r="AQ80" i="3444" a="1"/>
  <c r="AQ80" i="3444" s="1"/>
  <c r="AE80" i="3444" a="1"/>
  <c r="AE80" i="3444" s="1"/>
  <c r="AB80" i="3444" a="1"/>
  <c r="AB80" i="3444" s="1"/>
  <c r="K80" i="3444" a="1"/>
  <c r="K80" i="3444" s="1"/>
  <c r="BH80" i="3444" a="1"/>
  <c r="BH80" i="3444" s="1"/>
  <c r="AR80" i="3444" a="1"/>
  <c r="AR80" i="3444" s="1"/>
  <c r="BG80" i="3444" a="1"/>
  <c r="BG80" i="3444" s="1"/>
  <c r="AP80" i="3444" a="1"/>
  <c r="AP80" i="3444" s="1"/>
  <c r="X80" i="3444" a="1"/>
  <c r="X80" i="3444" s="1"/>
  <c r="AO80" i="3444" a="1"/>
  <c r="AO80" i="3444" s="1"/>
  <c r="BE80" i="3444" a="1"/>
  <c r="BE80" i="3444" s="1"/>
  <c r="W80" i="3444" a="1"/>
  <c r="W80" i="3444" s="1"/>
  <c r="AN80" i="3444" a="1"/>
  <c r="AN80" i="3444" s="1"/>
  <c r="BD80" i="3444" a="1"/>
  <c r="BD80" i="3444" s="1"/>
  <c r="U80" i="3444" a="1"/>
  <c r="U80" i="3444" s="1"/>
  <c r="BB80" i="3444" a="1"/>
  <c r="BB80" i="3444" s="1"/>
  <c r="AJ80" i="3444" a="1"/>
  <c r="AJ80" i="3444" s="1"/>
  <c r="T80" i="3444" a="1"/>
  <c r="T80" i="3444" s="1"/>
  <c r="BA80" i="3444" a="1"/>
  <c r="BA80" i="3444" s="1"/>
  <c r="S80" i="3444" a="1"/>
  <c r="S80" i="3444" s="1"/>
  <c r="AI80" i="3444" a="1"/>
  <c r="AI80" i="3444" s="1"/>
  <c r="AZ80" i="3444" a="1"/>
  <c r="AZ80" i="3444" s="1"/>
  <c r="R80" i="3444" a="1"/>
  <c r="R80" i="3444" s="1"/>
  <c r="AV80" i="3444" a="1"/>
  <c r="AV80" i="3444" s="1"/>
  <c r="AF80" i="3444" a="1"/>
  <c r="AF80" i="3444" s="1"/>
  <c r="P80" i="3444" a="1"/>
  <c r="P80" i="3444" s="1"/>
  <c r="AU80" i="3444" a="1"/>
  <c r="AU80" i="3444" s="1"/>
  <c r="AD80" i="3444" a="1"/>
  <c r="AD80" i="3444" s="1"/>
  <c r="AG80" i="3444" a="1"/>
  <c r="AG80" i="3444" s="1"/>
  <c r="AC80" i="3444" a="1"/>
  <c r="AC80" i="3444" s="1"/>
  <c r="Q80" i="3444" a="1"/>
  <c r="Q80" i="3444" s="1"/>
  <c r="AS80" i="3444" a="1"/>
  <c r="AS80" i="3444" s="1"/>
  <c r="L80" i="3444" a="1"/>
  <c r="L80" i="3444" s="1"/>
  <c r="I68" i="3445" a="1"/>
  <c r="I68" i="3445" s="1"/>
  <c r="O68" i="3445" s="1"/>
  <c r="AW62" i="3444" a="1"/>
  <c r="AW62" i="3444" s="1"/>
  <c r="AK62" i="3444" a="1"/>
  <c r="AK62" i="3444" s="1"/>
  <c r="Y62" i="3444" a="1"/>
  <c r="Y62" i="3444" s="1"/>
  <c r="M62" i="3444" a="1"/>
  <c r="M62" i="3444" s="1"/>
  <c r="BH62" i="3444" a="1"/>
  <c r="BH62" i="3444" s="1"/>
  <c r="AV62" i="3444" a="1"/>
  <c r="AV62" i="3444" s="1"/>
  <c r="AJ62" i="3444" a="1"/>
  <c r="AJ62" i="3444" s="1"/>
  <c r="X62" i="3444" a="1"/>
  <c r="X62" i="3444" s="1"/>
  <c r="L62" i="3444" a="1"/>
  <c r="L62" i="3444" s="1"/>
  <c r="BG62" i="3444" a="1"/>
  <c r="BG62" i="3444" s="1"/>
  <c r="AU62" i="3444" a="1"/>
  <c r="AU62" i="3444" s="1"/>
  <c r="AI62" i="3444" a="1"/>
  <c r="AI62" i="3444" s="1"/>
  <c r="W62" i="3444" a="1"/>
  <c r="W62" i="3444" s="1"/>
  <c r="K62" i="3444" a="1"/>
  <c r="K62" i="3444" s="1"/>
  <c r="BD62" i="3444" a="1"/>
  <c r="BD62" i="3444" s="1"/>
  <c r="AR62" i="3444" a="1"/>
  <c r="AR62" i="3444" s="1"/>
  <c r="AF62" i="3444" a="1"/>
  <c r="AF62" i="3444" s="1"/>
  <c r="T62" i="3444" a="1"/>
  <c r="T62" i="3444" s="1"/>
  <c r="BB62" i="3444" a="1"/>
  <c r="BB62" i="3444" s="1"/>
  <c r="AP62" i="3444" a="1"/>
  <c r="AP62" i="3444" s="1"/>
  <c r="AD62" i="3444" a="1"/>
  <c r="AD62" i="3444" s="1"/>
  <c r="R62" i="3444" a="1"/>
  <c r="R62" i="3444" s="1"/>
  <c r="BF62" i="3444" a="1"/>
  <c r="BF62" i="3444" s="1"/>
  <c r="Z62" i="3444" a="1"/>
  <c r="Z62" i="3444" s="1"/>
  <c r="AO62" i="3444" a="1"/>
  <c r="AO62" i="3444" s="1"/>
  <c r="BE62" i="3444" a="1"/>
  <c r="BE62" i="3444" s="1"/>
  <c r="AN62" i="3444" a="1"/>
  <c r="AN62" i="3444" s="1"/>
  <c r="V62" i="3444" a="1"/>
  <c r="V62" i="3444" s="1"/>
  <c r="AL62" i="3444" a="1"/>
  <c r="AL62" i="3444" s="1"/>
  <c r="BA62" i="3444" a="1"/>
  <c r="BA62" i="3444" s="1"/>
  <c r="S62" i="3444" a="1"/>
  <c r="S62" i="3444" s="1"/>
  <c r="AZ62" i="3444" a="1"/>
  <c r="AZ62" i="3444" s="1"/>
  <c r="AH62" i="3444" a="1"/>
  <c r="AH62" i="3444" s="1"/>
  <c r="Q62" i="3444" a="1"/>
  <c r="Q62" i="3444" s="1"/>
  <c r="P62" i="3444" a="1"/>
  <c r="P62" i="3444" s="1"/>
  <c r="AX62" i="3444" a="1"/>
  <c r="AX62" i="3444" s="1"/>
  <c r="AE62" i="3444" a="1"/>
  <c r="AE62" i="3444" s="1"/>
  <c r="AT62" i="3444" a="1"/>
  <c r="AT62" i="3444" s="1"/>
  <c r="N62" i="3444" a="1"/>
  <c r="N62" i="3444" s="1"/>
  <c r="U62" i="3444" a="1"/>
  <c r="U62" i="3444" s="1"/>
  <c r="BC62" i="3444" a="1"/>
  <c r="BC62" i="3444" s="1"/>
  <c r="O62" i="3444" a="1"/>
  <c r="O62" i="3444" s="1"/>
  <c r="AQ62" i="3444" a="1"/>
  <c r="AQ62" i="3444" s="1"/>
  <c r="AM62" i="3444" a="1"/>
  <c r="AM62" i="3444" s="1"/>
  <c r="AA62" i="3444" a="1"/>
  <c r="AA62" i="3444" s="1"/>
  <c r="AY62" i="3444" a="1"/>
  <c r="AY62" i="3444" s="1"/>
  <c r="AS62" i="3444" a="1"/>
  <c r="AS62" i="3444" s="1"/>
  <c r="AG62" i="3444" a="1"/>
  <c r="AG62" i="3444" s="1"/>
  <c r="AC62" i="3444" a="1"/>
  <c r="AC62" i="3444" s="1"/>
  <c r="AB62" i="3444" a="1"/>
  <c r="AB62" i="3444" s="1"/>
  <c r="O61" i="3445"/>
  <c r="A56" i="3444"/>
  <c r="AY20" i="3444" a="1"/>
  <c r="AY20" i="3444" s="1"/>
  <c r="AM20" i="3444" a="1"/>
  <c r="AM20" i="3444" s="1"/>
  <c r="AA20" i="3444" a="1"/>
  <c r="AA20" i="3444" s="1"/>
  <c r="O20" i="3444" a="1"/>
  <c r="O20" i="3444" s="1"/>
  <c r="AW20" i="3444" a="1"/>
  <c r="AW20" i="3444" s="1"/>
  <c r="AK20" i="3444" a="1"/>
  <c r="AK20" i="3444" s="1"/>
  <c r="Y20" i="3444" a="1"/>
  <c r="Y20" i="3444" s="1"/>
  <c r="M20" i="3444" a="1"/>
  <c r="M20" i="3444" s="1"/>
  <c r="AP20" i="3444" a="1"/>
  <c r="AP20" i="3444" s="1"/>
  <c r="Z20" i="3444" a="1"/>
  <c r="Z20" i="3444" s="1"/>
  <c r="BD20" i="3444" a="1"/>
  <c r="BD20" i="3444" s="1"/>
  <c r="AO20" i="3444" a="1"/>
  <c r="AO20" i="3444" s="1"/>
  <c r="X20" i="3444" a="1"/>
  <c r="X20" i="3444" s="1"/>
  <c r="BC20" i="3444" a="1"/>
  <c r="BC20" i="3444" s="1"/>
  <c r="AX20" i="3444" a="1"/>
  <c r="AX20" i="3444" s="1"/>
  <c r="T20" i="3444" a="1"/>
  <c r="T20" i="3444" s="1"/>
  <c r="AV20" i="3444" a="1"/>
  <c r="AV20" i="3444" s="1"/>
  <c r="S20" i="3444" a="1"/>
  <c r="S20" i="3444" s="1"/>
  <c r="AG20" i="3444" a="1"/>
  <c r="AG20" i="3444" s="1"/>
  <c r="AU20" i="3444" a="1"/>
  <c r="AU20" i="3444" s="1"/>
  <c r="R20" i="3444" a="1"/>
  <c r="R20" i="3444" s="1"/>
  <c r="AF20" i="3444" a="1"/>
  <c r="AF20" i="3444" s="1"/>
  <c r="AQ20" i="3444" a="1"/>
  <c r="AQ20" i="3444" s="1"/>
  <c r="AJ20" i="3444" a="1"/>
  <c r="AJ20" i="3444" s="1"/>
  <c r="L20" i="3444" a="1"/>
  <c r="L20" i="3444" s="1"/>
  <c r="BH20" i="3444" a="1"/>
  <c r="BH20" i="3444" s="1"/>
  <c r="K20" i="3444" a="1"/>
  <c r="K20" i="3444" s="1"/>
  <c r="AI20" i="3444" a="1"/>
  <c r="AI20" i="3444" s="1"/>
  <c r="BF20" i="3444" a="1"/>
  <c r="BF20" i="3444" s="1"/>
  <c r="AE20" i="3444" a="1"/>
  <c r="AE20" i="3444" s="1"/>
  <c r="BE20" i="3444" a="1"/>
  <c r="BE20" i="3444" s="1"/>
  <c r="AD20" i="3444" a="1"/>
  <c r="AD20" i="3444" s="1"/>
  <c r="BB20" i="3444" a="1"/>
  <c r="BB20" i="3444" s="1"/>
  <c r="AC20" i="3444" a="1"/>
  <c r="AC20" i="3444" s="1"/>
  <c r="AT20" i="3444" a="1"/>
  <c r="AT20" i="3444" s="1"/>
  <c r="V20" i="3444" a="1"/>
  <c r="V20" i="3444" s="1"/>
  <c r="AS20" i="3444" a="1"/>
  <c r="AS20" i="3444" s="1"/>
  <c r="U20" i="3444" a="1"/>
  <c r="U20" i="3444" s="1"/>
  <c r="AN20" i="3444" a="1"/>
  <c r="AN20" i="3444" s="1"/>
  <c r="P20" i="3444" a="1"/>
  <c r="P20" i="3444" s="1"/>
  <c r="AL20" i="3444" a="1"/>
  <c r="AL20" i="3444" s="1"/>
  <c r="N20" i="3444" a="1"/>
  <c r="N20" i="3444" s="1"/>
  <c r="BG20" i="3444" a="1"/>
  <c r="BG20" i="3444" s="1"/>
  <c r="BA20" i="3444" a="1"/>
  <c r="BA20" i="3444" s="1"/>
  <c r="AZ20" i="3444" a="1"/>
  <c r="AZ20" i="3444" s="1"/>
  <c r="AR20" i="3444" a="1"/>
  <c r="AR20" i="3444" s="1"/>
  <c r="AH20" i="3444" a="1"/>
  <c r="AH20" i="3444" s="1"/>
  <c r="AB20" i="3444" a="1"/>
  <c r="AB20" i="3444" s="1"/>
  <c r="W20" i="3444" a="1"/>
  <c r="W20" i="3444" s="1"/>
  <c r="Q20" i="3444" a="1"/>
  <c r="Q20" i="3444" s="1"/>
  <c r="AR89" i="3489" a="1"/>
  <c r="AR89" i="3489" s="1"/>
  <c r="BG89" i="3489" a="1"/>
  <c r="BG89" i="3489" s="1"/>
  <c r="S92" i="3489" a="1"/>
  <c r="S92" i="3489" s="1"/>
  <c r="X92" i="3489" a="1"/>
  <c r="X92" i="3489" s="1"/>
  <c r="AW52" i="3489" a="1"/>
  <c r="AW52" i="3489" s="1"/>
  <c r="BA29" i="3489" a="1"/>
  <c r="BA29" i="3489" s="1"/>
  <c r="AB96" i="3448"/>
  <c r="X97" i="3448"/>
  <c r="I67" i="3523" a="1"/>
  <c r="I67" i="3523" s="1"/>
  <c r="H67" i="3523" a="1"/>
  <c r="H67" i="3523" s="1"/>
  <c r="I49" i="3523" a="1"/>
  <c r="I49" i="3523" s="1"/>
  <c r="H49" i="3523" a="1"/>
  <c r="H49" i="3523" s="1"/>
  <c r="AE86" i="3480"/>
  <c r="AL136" i="3434" a="1"/>
  <c r="AL136" i="3434" s="1"/>
  <c r="AK136" i="3434" a="1"/>
  <c r="AK136" i="3434" s="1"/>
  <c r="G74" i="3436"/>
  <c r="G55" i="3436"/>
  <c r="I57" i="3444" s="1"/>
  <c r="Y48" i="3436"/>
  <c r="G77" i="3436"/>
  <c r="I79" i="3444" s="1"/>
  <c r="Y66" i="3436"/>
  <c r="I18" i="3436"/>
  <c r="AM102" i="3577" a="1"/>
  <c r="AM102" i="3577" s="1"/>
  <c r="AK102" i="3577" a="1"/>
  <c r="AK102" i="3577" s="1"/>
  <c r="AN102" i="3577" a="1"/>
  <c r="AN102" i="3577" s="1"/>
  <c r="AL102" i="3577" a="1"/>
  <c r="AL102" i="3577" s="1"/>
  <c r="AV132" i="3434" a="1"/>
  <c r="AV132" i="3434" s="1"/>
  <c r="AV136" i="3434" a="1"/>
  <c r="AV136" i="3434" s="1"/>
  <c r="AV144" i="3434" a="1"/>
  <c r="AV144" i="3434" s="1"/>
  <c r="AV120" i="3434" a="1"/>
  <c r="AV120" i="3434" s="1"/>
  <c r="B21" i="3434"/>
  <c r="AV116" i="3434" a="1"/>
  <c r="AV116" i="3434" s="1"/>
  <c r="AV112" i="3434" a="1"/>
  <c r="AV112" i="3434" s="1"/>
  <c r="AV105" i="3434" a="1"/>
  <c r="AV105" i="3434" s="1"/>
  <c r="AV124" i="3434" a="1"/>
  <c r="AV124" i="3434" s="1"/>
  <c r="AV123" i="3434" a="1"/>
  <c r="AV123" i="3434" s="1"/>
  <c r="AV109" i="3434" a="1"/>
  <c r="AV109" i="3434" s="1"/>
  <c r="AV125" i="3434" a="1"/>
  <c r="AV125" i="3434" s="1"/>
  <c r="AV96" i="3434" a="1"/>
  <c r="AV96" i="3434" s="1"/>
  <c r="F39" i="3518" a="1"/>
  <c r="F39" i="3518" s="1"/>
  <c r="G39" i="3518" a="1"/>
  <c r="G39" i="3518" s="1"/>
  <c r="L119" i="3528" a="1"/>
  <c r="L119" i="3528" s="1"/>
  <c r="L84" i="3528" a="1"/>
  <c r="L84" i="3528" s="1"/>
  <c r="L50" i="3528" a="1"/>
  <c r="L50" i="3528" s="1"/>
  <c r="Q142" i="3528" a="1"/>
  <c r="Q142" i="3528" s="1"/>
  <c r="Q107" i="3528" a="1"/>
  <c r="Q107" i="3528" s="1"/>
  <c r="Q73" i="3528" a="1"/>
  <c r="Q73" i="3528" s="1"/>
  <c r="P135" i="3528" a="1"/>
  <c r="P135" i="3528" s="1"/>
  <c r="P66" i="3528" a="1"/>
  <c r="P66" i="3528" s="1"/>
  <c r="P100" i="3528" a="1"/>
  <c r="P100" i="3528" s="1"/>
  <c r="K57" i="3528" a="1"/>
  <c r="K57" i="3528" s="1"/>
  <c r="K126" i="3528" a="1"/>
  <c r="K126" i="3528" s="1"/>
  <c r="K91" i="3528" a="1"/>
  <c r="K91" i="3528" s="1"/>
  <c r="M83" i="3528" a="1"/>
  <c r="M83" i="3528" s="1"/>
  <c r="M49" i="3528" a="1"/>
  <c r="M49" i="3528" s="1"/>
  <c r="M118" i="3528" a="1"/>
  <c r="M118" i="3528" s="1"/>
  <c r="M93" i="3528" a="1"/>
  <c r="M93" i="3528" s="1"/>
  <c r="M128" i="3528" a="1"/>
  <c r="M128" i="3528" s="1"/>
  <c r="M59" i="3528" a="1"/>
  <c r="M59" i="3528" s="1"/>
  <c r="E110" i="3528" a="1"/>
  <c r="E110" i="3528" s="1"/>
  <c r="E145" i="3528" a="1"/>
  <c r="E145" i="3528" s="1"/>
  <c r="E76" i="3528" a="1"/>
  <c r="E76" i="3528" s="1"/>
  <c r="F86" i="3528" a="1"/>
  <c r="F86" i="3528" s="1"/>
  <c r="F121" i="3528" a="1"/>
  <c r="F121" i="3528" s="1"/>
  <c r="F52" i="3528" a="1"/>
  <c r="F52" i="3528" s="1"/>
  <c r="I49" i="3528" a="1"/>
  <c r="I49" i="3528" s="1"/>
  <c r="I118" i="3528" a="1"/>
  <c r="I118" i="3528" s="1"/>
  <c r="I83" i="3528" a="1"/>
  <c r="I83" i="3528" s="1"/>
  <c r="R134" i="3528" a="1"/>
  <c r="R134" i="3528" s="1"/>
  <c r="R99" i="3528" a="1"/>
  <c r="R99" i="3528" s="1"/>
  <c r="R65" i="3528" a="1"/>
  <c r="R65" i="3528" s="1"/>
  <c r="S98" i="3528" a="1"/>
  <c r="S98" i="3528" s="1"/>
  <c r="S133" i="3528" a="1"/>
  <c r="S133" i="3528" s="1"/>
  <c r="S64" i="3528" a="1"/>
  <c r="S64" i="3528" s="1"/>
  <c r="G132" i="3528" a="1"/>
  <c r="G132" i="3528" s="1"/>
  <c r="G63" i="3528" a="1"/>
  <c r="G63" i="3528" s="1"/>
  <c r="G97" i="3528" a="1"/>
  <c r="G97" i="3528" s="1"/>
  <c r="O130" i="3528" a="1"/>
  <c r="O130" i="3528" s="1"/>
  <c r="O95" i="3528" a="1"/>
  <c r="O95" i="3528" s="1"/>
  <c r="O61" i="3528" a="1"/>
  <c r="O61" i="3528" s="1"/>
  <c r="G58" i="3528" a="1"/>
  <c r="G58" i="3528" s="1"/>
  <c r="G127" i="3528" a="1"/>
  <c r="G127" i="3528" s="1"/>
  <c r="G92" i="3528" a="1"/>
  <c r="G92" i="3528" s="1"/>
  <c r="E103" i="3528" a="1"/>
  <c r="E103" i="3528" s="1"/>
  <c r="E138" i="3528" a="1"/>
  <c r="E138" i="3528" s="1"/>
  <c r="E69" i="3528" a="1"/>
  <c r="E69" i="3528" s="1"/>
  <c r="N48" i="3528" a="1"/>
  <c r="N48" i="3528" s="1"/>
  <c r="N82" i="3528" a="1"/>
  <c r="N82" i="3528" s="1"/>
  <c r="N117" i="3528" a="1"/>
  <c r="N117" i="3528" s="1"/>
  <c r="ED41" i="3479" a="1"/>
  <c r="ED41" i="3479" s="1"/>
  <c r="EE41" i="3479" s="1" a="1"/>
  <c r="EE41" i="3479" s="1"/>
  <c r="EC41" i="3479" a="1"/>
  <c r="EC41" i="3479" s="1"/>
  <c r="EF41" i="3479" s="1" a="1"/>
  <c r="EF41" i="3479" s="1"/>
  <c r="EG41" i="3479" s="1" a="1"/>
  <c r="EG41" i="3479" s="1"/>
  <c r="AQ49" i="3479" a="1"/>
  <c r="AQ49" i="3479" s="1"/>
  <c r="AR49" i="3479" a="1"/>
  <c r="AR49" i="3479" s="1"/>
  <c r="AS49" i="3479" s="1" a="1"/>
  <c r="AS49" i="3479" s="1"/>
  <c r="BV56" i="3479" a="1"/>
  <c r="BV56" i="3479" s="1"/>
  <c r="BW56" i="3479" s="1" a="1"/>
  <c r="BW56" i="3479" s="1"/>
  <c r="BU56" i="3479" a="1"/>
  <c r="BU56" i="3479" s="1"/>
  <c r="AX65" i="3479" a="1"/>
  <c r="AX65" i="3479" s="1"/>
  <c r="AY65" i="3479" a="1"/>
  <c r="AY65" i="3479" s="1"/>
  <c r="AW65" i="3479" a="1"/>
  <c r="AW65" i="3479" s="1"/>
  <c r="CY40" i="3479" a="1"/>
  <c r="CY40" i="3479" s="1"/>
  <c r="DB40" i="3479" s="1" a="1"/>
  <c r="DB40" i="3479" s="1"/>
  <c r="DC40" i="3479" s="1" a="1"/>
  <c r="DC40" i="3479" s="1"/>
  <c r="CZ40" i="3479" a="1"/>
  <c r="CZ40" i="3479" s="1"/>
  <c r="DA40" i="3479" s="1" a="1"/>
  <c r="DA40" i="3479" s="1"/>
  <c r="A83" i="3445"/>
  <c r="L83" i="3445"/>
  <c r="M83" i="3445" s="1"/>
  <c r="Q83" i="3445"/>
  <c r="P83" i="3445"/>
  <c r="N83" i="3445" a="1"/>
  <c r="N83" i="3445" s="1"/>
  <c r="L64" i="3560"/>
  <c r="K64" i="3560"/>
  <c r="I64" i="3560"/>
  <c r="O64" i="3560" s="1" a="1"/>
  <c r="O64" i="3560" s="1"/>
  <c r="J64" i="3560"/>
  <c r="P64" i="3560" s="1" a="1"/>
  <c r="P64" i="3560" s="1"/>
  <c r="A27" i="3444"/>
  <c r="BG86" i="3489" a="1"/>
  <c r="BG86" i="3489" s="1"/>
  <c r="AU86" i="3489" a="1"/>
  <c r="AU86" i="3489" s="1"/>
  <c r="AI86" i="3489" a="1"/>
  <c r="AI86" i="3489" s="1"/>
  <c r="W86" i="3489" a="1"/>
  <c r="W86" i="3489" s="1"/>
  <c r="K86" i="3489" a="1"/>
  <c r="K86" i="3489" s="1"/>
  <c r="AZ86" i="3489" a="1"/>
  <c r="AZ86" i="3489" s="1"/>
  <c r="Y86" i="3489" a="1"/>
  <c r="Y86" i="3489" s="1"/>
  <c r="AL86" i="3489" a="1"/>
  <c r="AL86" i="3489" s="1"/>
  <c r="AY86" i="3489" a="1"/>
  <c r="AY86" i="3489" s="1"/>
  <c r="X86" i="3489" a="1"/>
  <c r="X86" i="3489" s="1"/>
  <c r="AK86" i="3489" a="1"/>
  <c r="AK86" i="3489" s="1"/>
  <c r="V86" i="3489" a="1"/>
  <c r="V86" i="3489" s="1"/>
  <c r="AJ86" i="3489" a="1"/>
  <c r="AJ86" i="3489" s="1"/>
  <c r="U86" i="3489" a="1"/>
  <c r="U86" i="3489" s="1"/>
  <c r="BE86" i="3489" a="1"/>
  <c r="BE86" i="3489" s="1"/>
  <c r="AD86" i="3489" a="1"/>
  <c r="AD86" i="3489" s="1"/>
  <c r="AQ86" i="3489" a="1"/>
  <c r="AQ86" i="3489" s="1"/>
  <c r="P86" i="3489" a="1"/>
  <c r="P86" i="3489" s="1"/>
  <c r="BA86" i="3489" a="1"/>
  <c r="BA86" i="3489" s="1"/>
  <c r="Z86" i="3489" a="1"/>
  <c r="Z86" i="3489" s="1"/>
  <c r="AM86" i="3489" a="1"/>
  <c r="AM86" i="3489" s="1"/>
  <c r="L86" i="3489" a="1"/>
  <c r="L86" i="3489" s="1"/>
  <c r="AP86" i="3489" a="1"/>
  <c r="AP86" i="3489" s="1"/>
  <c r="S86" i="3489" a="1"/>
  <c r="S86" i="3489" s="1"/>
  <c r="AO86" i="3489" a="1"/>
  <c r="AO86" i="3489" s="1"/>
  <c r="R86" i="3489" a="1"/>
  <c r="R86" i="3489" s="1"/>
  <c r="BI86" i="3489" a="1"/>
  <c r="BI86" i="3489" s="1"/>
  <c r="AN86" i="3489" a="1"/>
  <c r="AN86" i="3489" s="1"/>
  <c r="Q86" i="3489" a="1"/>
  <c r="Q86" i="3489" s="1"/>
  <c r="BH86" i="3489" a="1"/>
  <c r="BH86" i="3489" s="1"/>
  <c r="BF86" i="3489" a="1"/>
  <c r="BF86" i="3489" s="1"/>
  <c r="AH86" i="3489" a="1"/>
  <c r="AH86" i="3489" s="1"/>
  <c r="O86" i="3489" a="1"/>
  <c r="O86" i="3489" s="1"/>
  <c r="BD86" i="3489" a="1"/>
  <c r="BD86" i="3489" s="1"/>
  <c r="AG86" i="3489" a="1"/>
  <c r="AG86" i="3489" s="1"/>
  <c r="N86" i="3489" a="1"/>
  <c r="N86" i="3489" s="1"/>
  <c r="BB86" i="3489" a="1"/>
  <c r="BB86" i="3489" s="1"/>
  <c r="AE86" i="3489" a="1"/>
  <c r="AE86" i="3489" s="1"/>
  <c r="AX86" i="3489" a="1"/>
  <c r="AX86" i="3489" s="1"/>
  <c r="AC86" i="3489" a="1"/>
  <c r="AC86" i="3489" s="1"/>
  <c r="AW86" i="3489" a="1"/>
  <c r="AW86" i="3489" s="1"/>
  <c r="AV86" i="3489" a="1"/>
  <c r="AV86" i="3489" s="1"/>
  <c r="AT86" i="3489" a="1"/>
  <c r="AT86" i="3489" s="1"/>
  <c r="AS86" i="3489" a="1"/>
  <c r="AS86" i="3489" s="1"/>
  <c r="AR86" i="3489" a="1"/>
  <c r="AR86" i="3489" s="1"/>
  <c r="AB86" i="3489" a="1"/>
  <c r="AB86" i="3489" s="1"/>
  <c r="T86" i="3489" a="1"/>
  <c r="T86" i="3489" s="1"/>
  <c r="M86" i="3489" a="1"/>
  <c r="M86" i="3489" s="1"/>
  <c r="B86" i="3489"/>
  <c r="BC86" i="3489" a="1"/>
  <c r="BC86" i="3489" s="1"/>
  <c r="AF86" i="3489" a="1"/>
  <c r="AF86" i="3489" s="1"/>
  <c r="AA86" i="3489" a="1"/>
  <c r="AA86" i="3489" s="1"/>
  <c r="AX61" i="3489" a="1"/>
  <c r="AX61" i="3489" s="1"/>
  <c r="AK61" i="3489" a="1"/>
  <c r="AK61" i="3489" s="1"/>
  <c r="Y61" i="3489" a="1"/>
  <c r="Y61" i="3489" s="1"/>
  <c r="M61" i="3489" a="1"/>
  <c r="M61" i="3489" s="1"/>
  <c r="AW61" i="3489" a="1"/>
  <c r="AW61" i="3489" s="1"/>
  <c r="AJ61" i="3489" a="1"/>
  <c r="AJ61" i="3489" s="1"/>
  <c r="X61" i="3489" a="1"/>
  <c r="X61" i="3489" s="1"/>
  <c r="L61" i="3489" a="1"/>
  <c r="L61" i="3489" s="1"/>
  <c r="AQ61" i="3489" a="1"/>
  <c r="AQ61" i="3489" s="1"/>
  <c r="P61" i="3489" a="1"/>
  <c r="P61" i="3489" s="1"/>
  <c r="BF61" i="3489" a="1"/>
  <c r="BF61" i="3489" s="1"/>
  <c r="AC61" i="3489" a="1"/>
  <c r="AC61" i="3489" s="1"/>
  <c r="BE61" i="3489" a="1"/>
  <c r="BE61" i="3489" s="1"/>
  <c r="AP61" i="3489" a="1"/>
  <c r="AP61" i="3489" s="1"/>
  <c r="O61" i="3489" a="1"/>
  <c r="O61" i="3489" s="1"/>
  <c r="BD61" i="3489" a="1"/>
  <c r="BD61" i="3489" s="1"/>
  <c r="AB61" i="3489" a="1"/>
  <c r="AB61" i="3489" s="1"/>
  <c r="AO61" i="3489" a="1"/>
  <c r="AO61" i="3489" s="1"/>
  <c r="N61" i="3489" a="1"/>
  <c r="N61" i="3489" s="1"/>
  <c r="BC61" i="3489" a="1"/>
  <c r="BC61" i="3489" s="1"/>
  <c r="AA61" i="3489" a="1"/>
  <c r="AA61" i="3489" s="1"/>
  <c r="AY61" i="3489" a="1"/>
  <c r="AY61" i="3489" s="1"/>
  <c r="AI61" i="3489" a="1"/>
  <c r="AI61" i="3489" s="1"/>
  <c r="U61" i="3489" a="1"/>
  <c r="U61" i="3489" s="1"/>
  <c r="AV61" i="3489" a="1"/>
  <c r="AV61" i="3489" s="1"/>
  <c r="T61" i="3489" a="1"/>
  <c r="T61" i="3489" s="1"/>
  <c r="AR61" i="3489" a="1"/>
  <c r="AR61" i="3489" s="1"/>
  <c r="Q61" i="3489" a="1"/>
  <c r="Q61" i="3489" s="1"/>
  <c r="BG61" i="3489" a="1"/>
  <c r="BG61" i="3489" s="1"/>
  <c r="AF61" i="3489" a="1"/>
  <c r="AF61" i="3489" s="1"/>
  <c r="BB61" i="3489" a="1"/>
  <c r="BB61" i="3489" s="1"/>
  <c r="AE61" i="3489" a="1"/>
  <c r="AE61" i="3489" s="1"/>
  <c r="BA61" i="3489" a="1"/>
  <c r="BA61" i="3489" s="1"/>
  <c r="AD61" i="3489" a="1"/>
  <c r="AD61" i="3489" s="1"/>
  <c r="B61" i="3489"/>
  <c r="V61" i="3489" a="1"/>
  <c r="V61" i="3489" s="1"/>
  <c r="AT61" i="3489" a="1"/>
  <c r="AT61" i="3489" s="1"/>
  <c r="AS61" i="3489" a="1"/>
  <c r="AS61" i="3489" s="1"/>
  <c r="S61" i="3489" a="1"/>
  <c r="S61" i="3489" s="1"/>
  <c r="AN61" i="3489" a="1"/>
  <c r="AN61" i="3489" s="1"/>
  <c r="R61" i="3489" a="1"/>
  <c r="R61" i="3489" s="1"/>
  <c r="AM61" i="3489" a="1"/>
  <c r="AM61" i="3489" s="1"/>
  <c r="AH61" i="3489" a="1"/>
  <c r="AH61" i="3489" s="1"/>
  <c r="AG61" i="3489" a="1"/>
  <c r="AG61" i="3489" s="1"/>
  <c r="Z61" i="3489" a="1"/>
  <c r="Z61" i="3489" s="1"/>
  <c r="W61" i="3489" a="1"/>
  <c r="W61" i="3489" s="1"/>
  <c r="K61" i="3489" a="1"/>
  <c r="K61" i="3489" s="1"/>
  <c r="AL61" i="3489" a="1"/>
  <c r="AL61" i="3489" s="1"/>
  <c r="BI61" i="3489" a="1"/>
  <c r="BI61" i="3489" s="1"/>
  <c r="BH61" i="3489" a="1"/>
  <c r="BH61" i="3489" s="1"/>
  <c r="AZ61" i="3489" a="1"/>
  <c r="AZ61" i="3489" s="1"/>
  <c r="AU61" i="3489" a="1"/>
  <c r="AU61" i="3489" s="1"/>
  <c r="BD23" i="3489" a="1"/>
  <c r="BD23" i="3489" s="1"/>
  <c r="AR23" i="3489" a="1"/>
  <c r="AR23" i="3489" s="1"/>
  <c r="AF23" i="3489" a="1"/>
  <c r="AF23" i="3489" s="1"/>
  <c r="T23" i="3489" a="1"/>
  <c r="T23" i="3489" s="1"/>
  <c r="BC23" i="3489" a="1"/>
  <c r="BC23" i="3489" s="1"/>
  <c r="AQ23" i="3489" a="1"/>
  <c r="AQ23" i="3489" s="1"/>
  <c r="AE23" i="3489" a="1"/>
  <c r="AE23" i="3489" s="1"/>
  <c r="S23" i="3489" a="1"/>
  <c r="S23" i="3489" s="1"/>
  <c r="AK23" i="3489" a="1"/>
  <c r="AK23" i="3489" s="1"/>
  <c r="AY23" i="3489" a="1"/>
  <c r="AY23" i="3489" s="1"/>
  <c r="V23" i="3489" a="1"/>
  <c r="V23" i="3489" s="1"/>
  <c r="AJ23" i="3489" a="1"/>
  <c r="AJ23" i="3489" s="1"/>
  <c r="AX23" i="3489" a="1"/>
  <c r="AX23" i="3489" s="1"/>
  <c r="U23" i="3489" a="1"/>
  <c r="U23" i="3489" s="1"/>
  <c r="B23" i="3489"/>
  <c r="AU23" i="3489" a="1"/>
  <c r="AU23" i="3489" s="1"/>
  <c r="AD23" i="3489" a="1"/>
  <c r="AD23" i="3489" s="1"/>
  <c r="AZ23" i="3489" a="1"/>
  <c r="AZ23" i="3489" s="1"/>
  <c r="AG23" i="3489" a="1"/>
  <c r="AG23" i="3489" s="1"/>
  <c r="M23" i="3489" a="1"/>
  <c r="M23" i="3489" s="1"/>
  <c r="AW23" i="3489" a="1"/>
  <c r="AW23" i="3489" s="1"/>
  <c r="AC23" i="3489" a="1"/>
  <c r="AC23" i="3489" s="1"/>
  <c r="L23" i="3489" a="1"/>
  <c r="L23" i="3489" s="1"/>
  <c r="AA23" i="3489" a="1"/>
  <c r="AA23" i="3489" s="1"/>
  <c r="AP23" i="3489" a="1"/>
  <c r="AP23" i="3489" s="1"/>
  <c r="Y23" i="3489" a="1"/>
  <c r="Y23" i="3489" s="1"/>
  <c r="BH23" i="3489" a="1"/>
  <c r="BH23" i="3489" s="1"/>
  <c r="BG23" i="3489" a="1"/>
  <c r="BG23" i="3489" s="1"/>
  <c r="R23" i="3489" a="1"/>
  <c r="R23" i="3489" s="1"/>
  <c r="AM23" i="3489" a="1"/>
  <c r="AM23" i="3489" s="1"/>
  <c r="BF23" i="3489" a="1"/>
  <c r="BF23" i="3489" s="1"/>
  <c r="Q23" i="3489" a="1"/>
  <c r="Q23" i="3489" s="1"/>
  <c r="AN23" i="3489" a="1"/>
  <c r="AN23" i="3489" s="1"/>
  <c r="AL23" i="3489" a="1"/>
  <c r="AL23" i="3489" s="1"/>
  <c r="AI23" i="3489" a="1"/>
  <c r="AI23" i="3489" s="1"/>
  <c r="AH23" i="3489" a="1"/>
  <c r="AH23" i="3489" s="1"/>
  <c r="AB23" i="3489" a="1"/>
  <c r="AB23" i="3489" s="1"/>
  <c r="BI23" i="3489" a="1"/>
  <c r="BI23" i="3489" s="1"/>
  <c r="Z23" i="3489" a="1"/>
  <c r="Z23" i="3489" s="1"/>
  <c r="X23" i="3489" a="1"/>
  <c r="X23" i="3489" s="1"/>
  <c r="BE23" i="3489" a="1"/>
  <c r="BE23" i="3489" s="1"/>
  <c r="W23" i="3489" a="1"/>
  <c r="W23" i="3489" s="1"/>
  <c r="BB23" i="3489" a="1"/>
  <c r="BB23" i="3489" s="1"/>
  <c r="P23" i="3489" a="1"/>
  <c r="P23" i="3489" s="1"/>
  <c r="BA23" i="3489" a="1"/>
  <c r="BA23" i="3489" s="1"/>
  <c r="O23" i="3489" a="1"/>
  <c r="O23" i="3489" s="1"/>
  <c r="N23" i="3489" a="1"/>
  <c r="N23" i="3489" s="1"/>
  <c r="AT23" i="3489" a="1"/>
  <c r="AT23" i="3489" s="1"/>
  <c r="K23" i="3489" a="1"/>
  <c r="K23" i="3489" s="1"/>
  <c r="AV23" i="3489" a="1"/>
  <c r="AV23" i="3489" s="1"/>
  <c r="AO23" i="3489" a="1"/>
  <c r="AO23" i="3489" s="1"/>
  <c r="AS23" i="3489" a="1"/>
  <c r="AS23" i="3489" s="1"/>
  <c r="AI29" i="3489" a="1"/>
  <c r="AI29" i="3489" s="1"/>
  <c r="AG29" i="3489" a="1"/>
  <c r="AG29" i="3489" s="1"/>
  <c r="AR29" i="3489" a="1"/>
  <c r="AR29" i="3489" s="1"/>
  <c r="N66" i="3479" a="1"/>
  <c r="N66" i="3479" s="1"/>
  <c r="O66" i="3479" s="1" a="1"/>
  <c r="O66" i="3479" s="1"/>
  <c r="M66" i="3479" a="1"/>
  <c r="M66" i="3479" s="1"/>
  <c r="AQ59" i="3479" a="1"/>
  <c r="AQ59" i="3479" s="1"/>
  <c r="AR59" i="3479" a="1"/>
  <c r="AR59" i="3479" s="1"/>
  <c r="AS59" i="3479" s="1" a="1"/>
  <c r="AS59" i="3479" s="1"/>
  <c r="BU58" i="3479" a="1"/>
  <c r="BU58" i="3479" s="1"/>
  <c r="BV58" i="3479" a="1"/>
  <c r="BV58" i="3479" s="1"/>
  <c r="BW58" i="3479" s="1" a="1"/>
  <c r="BW58" i="3479" s="1"/>
  <c r="BF60" i="3479" a="1"/>
  <c r="BF60" i="3479" s="1"/>
  <c r="BG60" i="3479" a="1"/>
  <c r="BG60" i="3479" s="1"/>
  <c r="BH60" i="3479" s="1" a="1"/>
  <c r="BH60" i="3479" s="1"/>
  <c r="DO51" i="3479" a="1"/>
  <c r="DO51" i="3479" s="1"/>
  <c r="DP51" i="3479" s="1" a="1"/>
  <c r="DP51" i="3479" s="1"/>
  <c r="DN51" i="3479" a="1"/>
  <c r="DN51" i="3479" s="1"/>
  <c r="DQ51" i="3479" s="1" a="1"/>
  <c r="DQ51" i="3479" s="1"/>
  <c r="DR51" i="3479" s="1" a="1"/>
  <c r="DR51" i="3479" s="1"/>
  <c r="N53" i="3479" a="1"/>
  <c r="N53" i="3479" s="1"/>
  <c r="O53" i="3479" s="1" a="1"/>
  <c r="O53" i="3479" s="1"/>
  <c r="M53" i="3479" a="1"/>
  <c r="M53" i="3479" s="1"/>
  <c r="M32" i="3479" a="1"/>
  <c r="M32" i="3479" s="1"/>
  <c r="N32" i="3479" a="1"/>
  <c r="N32" i="3479" s="1"/>
  <c r="O32" i="3479" s="1" a="1"/>
  <c r="O32" i="3479" s="1"/>
  <c r="ED26" i="3479" a="1"/>
  <c r="ED26" i="3479" s="1"/>
  <c r="EE26" i="3479" s="1" a="1"/>
  <c r="EE26" i="3479" s="1"/>
  <c r="EC26" i="3479" a="1"/>
  <c r="EC26" i="3479" s="1"/>
  <c r="EF26" i="3479" s="1" a="1"/>
  <c r="EF26" i="3479" s="1"/>
  <c r="EG26" i="3479" s="1" a="1"/>
  <c r="EG26" i="3479" s="1"/>
  <c r="AR56" i="3479" a="1"/>
  <c r="AR56" i="3479" s="1"/>
  <c r="AS56" i="3479" s="1" a="1"/>
  <c r="AS56" i="3479" s="1"/>
  <c r="AQ56" i="3479" a="1"/>
  <c r="AQ56" i="3479" s="1"/>
  <c r="AR50" i="3479" a="1"/>
  <c r="AR50" i="3479" s="1"/>
  <c r="AS50" i="3479" s="1" a="1"/>
  <c r="AS50" i="3479" s="1"/>
  <c r="AQ50" i="3479" a="1"/>
  <c r="AQ50" i="3479" s="1"/>
  <c r="BU55" i="3479" a="1"/>
  <c r="BU55" i="3479" s="1"/>
  <c r="BV55" i="3479" a="1"/>
  <c r="BV55" i="3479" s="1"/>
  <c r="BW55" i="3479" s="1" a="1"/>
  <c r="BW55" i="3479" s="1"/>
  <c r="BV60" i="3479" a="1"/>
  <c r="BV60" i="3479" s="1"/>
  <c r="BW60" i="3479" s="1" a="1"/>
  <c r="BW60" i="3479" s="1"/>
  <c r="BU60" i="3479" a="1"/>
  <c r="BU60" i="3479" s="1"/>
  <c r="CK28" i="3479" a="1"/>
  <c r="CK28" i="3479" s="1"/>
  <c r="CL28" i="3479" s="1" a="1"/>
  <c r="CL28" i="3479" s="1"/>
  <c r="CJ28" i="3479" a="1"/>
  <c r="CJ28" i="3479" s="1"/>
  <c r="ES53" i="3479" a="1"/>
  <c r="ES53" i="3479" s="1"/>
  <c r="ET53" i="3479" s="1" a="1"/>
  <c r="ET53" i="3479" s="1"/>
  <c r="ER53" i="3479" a="1"/>
  <c r="ER53" i="3479" s="1"/>
  <c r="EU53" i="3479" s="1" a="1"/>
  <c r="EU53" i="3479" s="1"/>
  <c r="EV53" i="3479" s="1" a="1"/>
  <c r="EV53" i="3479" s="1"/>
  <c r="BG42" i="3479" a="1"/>
  <c r="BG42" i="3479" s="1"/>
  <c r="BH42" i="3479" s="1" a="1"/>
  <c r="BH42" i="3479" s="1"/>
  <c r="BF42" i="3479" a="1"/>
  <c r="BF42" i="3479" s="1"/>
  <c r="BG69" i="3479" a="1"/>
  <c r="BG69" i="3479" s="1"/>
  <c r="BH69" i="3479" s="1" a="1"/>
  <c r="BH69" i="3479" s="1"/>
  <c r="BF69" i="3479" a="1"/>
  <c r="BF69" i="3479" s="1"/>
  <c r="ER40" i="3479" a="1"/>
  <c r="ER40" i="3479" s="1"/>
  <c r="EU40" i="3479" s="1" a="1"/>
  <c r="EU40" i="3479" s="1"/>
  <c r="EV40" i="3479" s="1" a="1"/>
  <c r="EV40" i="3479" s="1"/>
  <c r="ES40" i="3479" a="1"/>
  <c r="ES40" i="3479" s="1"/>
  <c r="ET40" i="3479" s="1" a="1"/>
  <c r="ET40" i="3479" s="1"/>
  <c r="ER71" i="3479" a="1"/>
  <c r="ER71" i="3479" s="1"/>
  <c r="EU71" i="3479" s="1" a="1"/>
  <c r="EU71" i="3479" s="1"/>
  <c r="EV71" i="3479" s="1" a="1"/>
  <c r="EV71" i="3479" s="1"/>
  <c r="ES71" i="3479" a="1"/>
  <c r="ES71" i="3479" s="1"/>
  <c r="ET71" i="3479" s="1" a="1"/>
  <c r="ET71" i="3479" s="1"/>
  <c r="DO44" i="3479" a="1"/>
  <c r="DO44" i="3479" s="1"/>
  <c r="DP44" i="3479" s="1" a="1"/>
  <c r="DP44" i="3479" s="1"/>
  <c r="DN44" i="3479" a="1"/>
  <c r="DN44" i="3479" s="1"/>
  <c r="DQ44" i="3479" s="1" a="1"/>
  <c r="DQ44" i="3479" s="1"/>
  <c r="DR44" i="3479" s="1" a="1"/>
  <c r="DR44" i="3479" s="1"/>
  <c r="DN43" i="3479" a="1"/>
  <c r="DN43" i="3479" s="1"/>
  <c r="DQ43" i="3479" s="1" a="1"/>
  <c r="DQ43" i="3479" s="1"/>
  <c r="DR43" i="3479" s="1" a="1"/>
  <c r="DR43" i="3479" s="1"/>
  <c r="DO43" i="3479" a="1"/>
  <c r="DO43" i="3479" s="1"/>
  <c r="DP43" i="3479" s="1" a="1"/>
  <c r="DP43" i="3479" s="1"/>
  <c r="AW35" i="3479" a="1"/>
  <c r="AW35" i="3479" s="1"/>
  <c r="AX35" i="3479" a="1"/>
  <c r="AX35" i="3479" s="1"/>
  <c r="AY35" i="3479" a="1"/>
  <c r="AY35" i="3479" s="1"/>
  <c r="AB29" i="3479" a="1"/>
  <c r="AB29" i="3479" s="1"/>
  <c r="AC29" i="3479" a="1"/>
  <c r="AC29" i="3479" s="1"/>
  <c r="AD29" i="3479" s="1" a="1"/>
  <c r="AD29" i="3479" s="1"/>
  <c r="AC62" i="3479" a="1"/>
  <c r="AC62" i="3479" s="1"/>
  <c r="AD62" i="3479" s="1" a="1"/>
  <c r="AD62" i="3479" s="1"/>
  <c r="AB62" i="3479" a="1"/>
  <c r="AB62" i="3479" s="1"/>
  <c r="EC51" i="3479" a="1"/>
  <c r="EC51" i="3479" s="1"/>
  <c r="EF51" i="3479" s="1" a="1"/>
  <c r="EF51" i="3479" s="1"/>
  <c r="EG51" i="3479" s="1" a="1"/>
  <c r="EG51" i="3479" s="1"/>
  <c r="ED51" i="3479" a="1"/>
  <c r="ED51" i="3479" s="1"/>
  <c r="EE51" i="3479" s="1" a="1"/>
  <c r="EE51" i="3479" s="1"/>
  <c r="AR26" i="3479" a="1"/>
  <c r="AR26" i="3479" s="1"/>
  <c r="AS26" i="3479" s="1" a="1"/>
  <c r="AS26" i="3479" s="1"/>
  <c r="AQ26" i="3479" a="1"/>
  <c r="AQ26" i="3479" s="1"/>
  <c r="CZ36" i="3479" a="1"/>
  <c r="CZ36" i="3479" s="1"/>
  <c r="DA36" i="3479" s="1" a="1"/>
  <c r="DA36" i="3479" s="1"/>
  <c r="CY36" i="3479" a="1"/>
  <c r="CY36" i="3479" s="1"/>
  <c r="DB36" i="3479" s="1" a="1"/>
  <c r="DB36" i="3479" s="1"/>
  <c r="DC36" i="3479" s="1" a="1"/>
  <c r="DC36" i="3479" s="1"/>
  <c r="A33" i="3560"/>
  <c r="O33" i="3560" a="1"/>
  <c r="O33" i="3560" s="1"/>
  <c r="P33" i="3560" a="1"/>
  <c r="P33" i="3560" s="1"/>
  <c r="D33" i="3560"/>
  <c r="T83" i="3445"/>
  <c r="M63" i="3479" a="1"/>
  <c r="M63" i="3479" s="1"/>
  <c r="N63" i="3479" a="1"/>
  <c r="N63" i="3479" s="1"/>
  <c r="O63" i="3479" s="1" a="1"/>
  <c r="O63" i="3479" s="1"/>
  <c r="N59" i="3479" a="1"/>
  <c r="N59" i="3479" s="1"/>
  <c r="O59" i="3479" s="1" a="1"/>
  <c r="O59" i="3479" s="1"/>
  <c r="M59" i="3479" a="1"/>
  <c r="M59" i="3479" s="1"/>
  <c r="ED63" i="3479" a="1"/>
  <c r="ED63" i="3479" s="1"/>
  <c r="EE63" i="3479" s="1" a="1"/>
  <c r="EE63" i="3479" s="1"/>
  <c r="EC63" i="3479" a="1"/>
  <c r="EC63" i="3479" s="1"/>
  <c r="EF63" i="3479" s="1" a="1"/>
  <c r="EF63" i="3479" s="1"/>
  <c r="EG63" i="3479" s="1" a="1"/>
  <c r="EG63" i="3479" s="1"/>
  <c r="AQ24" i="3479" a="1"/>
  <c r="AQ24" i="3479" s="1"/>
  <c r="AR24" i="3479" a="1"/>
  <c r="AR24" i="3479" s="1"/>
  <c r="AS24" i="3479" s="1" a="1"/>
  <c r="AS24" i="3479" s="1"/>
  <c r="AR70" i="3479" a="1"/>
  <c r="AR70" i="3479" s="1"/>
  <c r="AS70" i="3479" s="1" a="1"/>
  <c r="AS70" i="3479" s="1"/>
  <c r="AQ70" i="3479" a="1"/>
  <c r="AQ70" i="3479" s="1"/>
  <c r="BV62" i="3479" a="1"/>
  <c r="BV62" i="3479" s="1"/>
  <c r="BW62" i="3479" s="1" a="1"/>
  <c r="BW62" i="3479" s="1"/>
  <c r="BU62" i="3479" a="1"/>
  <c r="BU62" i="3479" s="1"/>
  <c r="BU65" i="3479" a="1"/>
  <c r="BU65" i="3479" s="1"/>
  <c r="BV65" i="3479" a="1"/>
  <c r="BV65" i="3479" s="1"/>
  <c r="BW65" i="3479" s="1" a="1"/>
  <c r="BW65" i="3479" s="1"/>
  <c r="CJ42" i="3479" a="1"/>
  <c r="CJ42" i="3479" s="1"/>
  <c r="CK42" i="3479" a="1"/>
  <c r="CK42" i="3479" s="1"/>
  <c r="CL42" i="3479" s="1" a="1"/>
  <c r="CL42" i="3479" s="1"/>
  <c r="BU51" i="3479" a="1"/>
  <c r="BU51" i="3479" s="1"/>
  <c r="BV51" i="3479" a="1"/>
  <c r="BV51" i="3479" s="1"/>
  <c r="BW51" i="3479" s="1" a="1"/>
  <c r="BW51" i="3479" s="1"/>
  <c r="BG58" i="3479" a="1"/>
  <c r="BG58" i="3479" s="1"/>
  <c r="BH58" i="3479" s="1" a="1"/>
  <c r="BH58" i="3479" s="1"/>
  <c r="BF58" i="3479" a="1"/>
  <c r="BF58" i="3479" s="1"/>
  <c r="BG66" i="3479" a="1"/>
  <c r="BG66" i="3479" s="1"/>
  <c r="BH66" i="3479" s="1" a="1"/>
  <c r="BH66" i="3479" s="1"/>
  <c r="BF66" i="3479" a="1"/>
  <c r="BF66" i="3479" s="1"/>
  <c r="ES48" i="3479" a="1"/>
  <c r="ES48" i="3479" s="1"/>
  <c r="ET48" i="3479" s="1" a="1"/>
  <c r="ET48" i="3479" s="1"/>
  <c r="ER48" i="3479" a="1"/>
  <c r="ER48" i="3479" s="1"/>
  <c r="EU48" i="3479" s="1" a="1"/>
  <c r="EU48" i="3479" s="1"/>
  <c r="EV48" i="3479" s="1" a="1"/>
  <c r="EV48" i="3479" s="1"/>
  <c r="M44" i="3479" a="1"/>
  <c r="M44" i="3479" s="1"/>
  <c r="N44" i="3479" a="1"/>
  <c r="N44" i="3479" s="1"/>
  <c r="O44" i="3479" s="1" a="1"/>
  <c r="O44" i="3479" s="1"/>
  <c r="DO54" i="3479" a="1"/>
  <c r="DO54" i="3479" s="1"/>
  <c r="DP54" i="3479" s="1" a="1"/>
  <c r="DP54" i="3479" s="1"/>
  <c r="DN54" i="3479" a="1"/>
  <c r="DN54" i="3479" s="1"/>
  <c r="DQ54" i="3479" s="1" a="1"/>
  <c r="DQ54" i="3479" s="1"/>
  <c r="DR54" i="3479" s="1" a="1"/>
  <c r="DR54" i="3479" s="1"/>
  <c r="DO60" i="3479" a="1"/>
  <c r="DO60" i="3479" s="1"/>
  <c r="DP60" i="3479" s="1" a="1"/>
  <c r="DP60" i="3479" s="1"/>
  <c r="DN60" i="3479" a="1"/>
  <c r="DN60" i="3479" s="1"/>
  <c r="DQ60" i="3479" s="1" a="1"/>
  <c r="DQ60" i="3479" s="1"/>
  <c r="DR60" i="3479" s="1" a="1"/>
  <c r="DR60" i="3479" s="1"/>
  <c r="AC23" i="3479" a="1"/>
  <c r="AC23" i="3479" s="1"/>
  <c r="AD23" i="3479" s="1" a="1"/>
  <c r="AD23" i="3479" s="1"/>
  <c r="AB23" i="3479" a="1"/>
  <c r="AB23" i="3479" s="1"/>
  <c r="AC43" i="3479" a="1"/>
  <c r="AC43" i="3479" s="1"/>
  <c r="AD43" i="3479" s="1" a="1"/>
  <c r="AD43" i="3479" s="1"/>
  <c r="AB43" i="3479" a="1"/>
  <c r="AB43" i="3479" s="1"/>
  <c r="AC60" i="3479" a="1"/>
  <c r="AC60" i="3479" s="1"/>
  <c r="AD60" i="3479" s="1" a="1"/>
  <c r="AD60" i="3479" s="1"/>
  <c r="AB60" i="3479" a="1"/>
  <c r="AB60" i="3479" s="1"/>
  <c r="ED27" i="3479" a="1"/>
  <c r="ED27" i="3479" s="1"/>
  <c r="EE27" i="3479" s="1" a="1"/>
  <c r="EE27" i="3479" s="1"/>
  <c r="EC27" i="3479" a="1"/>
  <c r="EC27" i="3479" s="1"/>
  <c r="EF27" i="3479" s="1" a="1"/>
  <c r="EF27" i="3479" s="1"/>
  <c r="EG27" i="3479" s="1" a="1"/>
  <c r="EG27" i="3479" s="1"/>
  <c r="CZ34" i="3479" a="1"/>
  <c r="CZ34" i="3479" s="1"/>
  <c r="DA34" i="3479" s="1" a="1"/>
  <c r="DA34" i="3479" s="1"/>
  <c r="CY34" i="3479" a="1"/>
  <c r="CY34" i="3479" s="1"/>
  <c r="DB34" i="3479" s="1" a="1"/>
  <c r="DB34" i="3479" s="1"/>
  <c r="DC34" i="3479" s="1" a="1"/>
  <c r="DC34" i="3479" s="1"/>
  <c r="CZ63" i="3479" a="1"/>
  <c r="CZ63" i="3479" s="1"/>
  <c r="DA63" i="3479" s="1" a="1"/>
  <c r="DA63" i="3479" s="1"/>
  <c r="CY63" i="3479" a="1"/>
  <c r="CY63" i="3479" s="1"/>
  <c r="DB63" i="3479" s="1" a="1"/>
  <c r="DB63" i="3479" s="1"/>
  <c r="DC63" i="3479" s="1" a="1"/>
  <c r="DC63" i="3479" s="1"/>
  <c r="CK35" i="3479" a="1"/>
  <c r="CK35" i="3479" s="1"/>
  <c r="CL35" i="3479" s="1" a="1"/>
  <c r="CL35" i="3479" s="1"/>
  <c r="CJ35" i="3479" a="1"/>
  <c r="CJ35" i="3479" s="1"/>
  <c r="CM25" i="3479" a="1"/>
  <c r="CM25" i="3479" s="1"/>
  <c r="CN25" i="3479" s="1" a="1"/>
  <c r="CN25" i="3479" s="1"/>
  <c r="A46" i="3560"/>
  <c r="D46" i="3560"/>
  <c r="A85" i="3560"/>
  <c r="D85" i="3560"/>
  <c r="N30" i="3479" a="1"/>
  <c r="N30" i="3479" s="1"/>
  <c r="O30" i="3479" s="1" a="1"/>
  <c r="O30" i="3479" s="1"/>
  <c r="M30" i="3479" a="1"/>
  <c r="M30" i="3479" s="1"/>
  <c r="L81" i="3445"/>
  <c r="M81" i="3445" s="1"/>
  <c r="H62" i="3436" s="1"/>
  <c r="I62" i="3436" s="1"/>
  <c r="S81" i="3445" s="1" a="1"/>
  <c r="S81" i="3445" s="1"/>
  <c r="T81" i="3445" s="1"/>
  <c r="O81" i="3445"/>
  <c r="A81" i="3445"/>
  <c r="L80" i="3560"/>
  <c r="K80" i="3560"/>
  <c r="J80" i="3560"/>
  <c r="P80" i="3560" s="1" a="1"/>
  <c r="P80" i="3560" s="1"/>
  <c r="I80" i="3560"/>
  <c r="O80" i="3560" s="1" a="1"/>
  <c r="O80" i="3560" s="1"/>
  <c r="L90" i="3445"/>
  <c r="M90" i="3445" s="1"/>
  <c r="H71" i="3436" s="1"/>
  <c r="N65" i="3445" a="1"/>
  <c r="N65" i="3445" s="1"/>
  <c r="A40" i="3445"/>
  <c r="A37" i="3444"/>
  <c r="BF56" i="3444" a="1"/>
  <c r="BF56" i="3444" s="1"/>
  <c r="AT56" i="3444" a="1"/>
  <c r="AT56" i="3444" s="1"/>
  <c r="AH56" i="3444" a="1"/>
  <c r="AH56" i="3444" s="1"/>
  <c r="V56" i="3444" a="1"/>
  <c r="V56" i="3444" s="1"/>
  <c r="BE56" i="3444" a="1"/>
  <c r="BE56" i="3444" s="1"/>
  <c r="AS56" i="3444" a="1"/>
  <c r="AS56" i="3444" s="1"/>
  <c r="AG56" i="3444" a="1"/>
  <c r="AG56" i="3444" s="1"/>
  <c r="U56" i="3444" a="1"/>
  <c r="U56" i="3444" s="1"/>
  <c r="BD56" i="3444" a="1"/>
  <c r="BD56" i="3444" s="1"/>
  <c r="AR56" i="3444" a="1"/>
  <c r="AR56" i="3444" s="1"/>
  <c r="AF56" i="3444" a="1"/>
  <c r="AF56" i="3444" s="1"/>
  <c r="T56" i="3444" a="1"/>
  <c r="T56" i="3444" s="1"/>
  <c r="BA56" i="3444" a="1"/>
  <c r="BA56" i="3444" s="1"/>
  <c r="AO56" i="3444" a="1"/>
  <c r="AO56" i="3444" s="1"/>
  <c r="AC56" i="3444" a="1"/>
  <c r="AC56" i="3444" s="1"/>
  <c r="Q56" i="3444" a="1"/>
  <c r="Q56" i="3444" s="1"/>
  <c r="AW56" i="3444" a="1"/>
  <c r="AW56" i="3444" s="1"/>
  <c r="P56" i="3444" a="1"/>
  <c r="P56" i="3444" s="1"/>
  <c r="AE56" i="3444" a="1"/>
  <c r="AE56" i="3444" s="1"/>
  <c r="AV56" i="3444" a="1"/>
  <c r="AV56" i="3444" s="1"/>
  <c r="O56" i="3444" a="1"/>
  <c r="O56" i="3444" s="1"/>
  <c r="AB56" i="3444" a="1"/>
  <c r="AB56" i="3444" s="1"/>
  <c r="M56" i="3444" a="1"/>
  <c r="M56" i="3444" s="1"/>
  <c r="AQ56" i="3444" a="1"/>
  <c r="AQ56" i="3444" s="1"/>
  <c r="BG56" i="3444" a="1"/>
  <c r="BG56" i="3444" s="1"/>
  <c r="BC56" i="3444" a="1"/>
  <c r="BC56" i="3444" s="1"/>
  <c r="BB56" i="3444" a="1"/>
  <c r="BB56" i="3444" s="1"/>
  <c r="AK56" i="3444" a="1"/>
  <c r="AK56" i="3444" s="1"/>
  <c r="L56" i="3444" a="1"/>
  <c r="L56" i="3444" s="1"/>
  <c r="BH56" i="3444" a="1"/>
  <c r="BH56" i="3444" s="1"/>
  <c r="AJ56" i="3444" a="1"/>
  <c r="AJ56" i="3444" s="1"/>
  <c r="K56" i="3444" a="1"/>
  <c r="K56" i="3444" s="1"/>
  <c r="AI56" i="3444" a="1"/>
  <c r="AI56" i="3444" s="1"/>
  <c r="AD56" i="3444" a="1"/>
  <c r="AD56" i="3444" s="1"/>
  <c r="AX56" i="3444" a="1"/>
  <c r="AX56" i="3444" s="1"/>
  <c r="Y56" i="3444" a="1"/>
  <c r="Y56" i="3444" s="1"/>
  <c r="X56" i="3444" a="1"/>
  <c r="X56" i="3444" s="1"/>
  <c r="AU56" i="3444" a="1"/>
  <c r="AU56" i="3444" s="1"/>
  <c r="W56" i="3444" a="1"/>
  <c r="W56" i="3444" s="1"/>
  <c r="AP56" i="3444" a="1"/>
  <c r="AP56" i="3444" s="1"/>
  <c r="S56" i="3444" a="1"/>
  <c r="S56" i="3444" s="1"/>
  <c r="AL56" i="3444" a="1"/>
  <c r="AL56" i="3444" s="1"/>
  <c r="N56" i="3444" a="1"/>
  <c r="N56" i="3444" s="1"/>
  <c r="AZ56" i="3444" a="1"/>
  <c r="AZ56" i="3444" s="1"/>
  <c r="AY56" i="3444" a="1"/>
  <c r="AY56" i="3444" s="1"/>
  <c r="AN56" i="3444" a="1"/>
  <c r="AN56" i="3444" s="1"/>
  <c r="AM56" i="3444" a="1"/>
  <c r="AM56" i="3444" s="1"/>
  <c r="AA56" i="3444" a="1"/>
  <c r="AA56" i="3444" s="1"/>
  <c r="R56" i="3444" a="1"/>
  <c r="R56" i="3444" s="1"/>
  <c r="Z56" i="3444" a="1"/>
  <c r="Z56" i="3444" s="1"/>
  <c r="BF89" i="3489" a="1"/>
  <c r="BF89" i="3489" s="1"/>
  <c r="Q89" i="3489" a="1"/>
  <c r="Q89" i="3489" s="1"/>
  <c r="A64" i="3445"/>
  <c r="AS92" i="3489" a="1"/>
  <c r="AS92" i="3489" s="1"/>
  <c r="AL92" i="3489" a="1"/>
  <c r="AL92" i="3489" s="1"/>
  <c r="AZ51" i="3489" a="1"/>
  <c r="AZ51" i="3489" s="1"/>
  <c r="AN51" i="3489" a="1"/>
  <c r="AN51" i="3489" s="1"/>
  <c r="AB51" i="3489" a="1"/>
  <c r="AB51" i="3489" s="1"/>
  <c r="P51" i="3489" a="1"/>
  <c r="P51" i="3489" s="1"/>
  <c r="B51" i="3489"/>
  <c r="AX51" i="3489" a="1"/>
  <c r="AX51" i="3489" s="1"/>
  <c r="AL51" i="3489" a="1"/>
  <c r="AL51" i="3489" s="1"/>
  <c r="Z51" i="3489" a="1"/>
  <c r="Z51" i="3489" s="1"/>
  <c r="N51" i="3489" a="1"/>
  <c r="N51" i="3489" s="1"/>
  <c r="AV51" i="3489" a="1"/>
  <c r="AV51" i="3489" s="1"/>
  <c r="AF51" i="3489" a="1"/>
  <c r="AF51" i="3489" s="1"/>
  <c r="Q51" i="3489" a="1"/>
  <c r="Q51" i="3489" s="1"/>
  <c r="O51" i="3489" a="1"/>
  <c r="O51" i="3489" s="1"/>
  <c r="AU51" i="3489" a="1"/>
  <c r="AU51" i="3489" s="1"/>
  <c r="AE51" i="3489" a="1"/>
  <c r="AE51" i="3489" s="1"/>
  <c r="BI51" i="3489" a="1"/>
  <c r="BI51" i="3489" s="1"/>
  <c r="AT51" i="3489" a="1"/>
  <c r="AT51" i="3489" s="1"/>
  <c r="AD51" i="3489" a="1"/>
  <c r="AD51" i="3489" s="1"/>
  <c r="M51" i="3489" a="1"/>
  <c r="M51" i="3489" s="1"/>
  <c r="BG51" i="3489" a="1"/>
  <c r="BG51" i="3489" s="1"/>
  <c r="AQ51" i="3489" a="1"/>
  <c r="AQ51" i="3489" s="1"/>
  <c r="K51" i="3489" a="1"/>
  <c r="K51" i="3489" s="1"/>
  <c r="BE51" i="3489" a="1"/>
  <c r="BE51" i="3489" s="1"/>
  <c r="BD51" i="3489" a="1"/>
  <c r="BD51" i="3489" s="1"/>
  <c r="AO51" i="3489" a="1"/>
  <c r="AO51" i="3489" s="1"/>
  <c r="X51" i="3489" a="1"/>
  <c r="X51" i="3489" s="1"/>
  <c r="AM51" i="3489" a="1"/>
  <c r="AM51" i="3489" s="1"/>
  <c r="BC51" i="3489" a="1"/>
  <c r="BC51" i="3489" s="1"/>
  <c r="W51" i="3489" a="1"/>
  <c r="W51" i="3489" s="1"/>
  <c r="BB51" i="3489" a="1"/>
  <c r="BB51" i="3489" s="1"/>
  <c r="U51" i="3489" a="1"/>
  <c r="U51" i="3489" s="1"/>
  <c r="AP51" i="3489" a="1"/>
  <c r="AP51" i="3489" s="1"/>
  <c r="AK51" i="3489" a="1"/>
  <c r="AK51" i="3489" s="1"/>
  <c r="AJ51" i="3489" a="1"/>
  <c r="AJ51" i="3489" s="1"/>
  <c r="AI51" i="3489" a="1"/>
  <c r="AI51" i="3489" s="1"/>
  <c r="AH51" i="3489" a="1"/>
  <c r="AH51" i="3489" s="1"/>
  <c r="AG51" i="3489" a="1"/>
  <c r="AG51" i="3489" s="1"/>
  <c r="BH51" i="3489" a="1"/>
  <c r="BH51" i="3489" s="1"/>
  <c r="AY51" i="3489" a="1"/>
  <c r="AY51" i="3489" s="1"/>
  <c r="V51" i="3489" a="1"/>
  <c r="V51" i="3489" s="1"/>
  <c r="T51" i="3489" a="1"/>
  <c r="T51" i="3489" s="1"/>
  <c r="AC51" i="3489" a="1"/>
  <c r="AC51" i="3489" s="1"/>
  <c r="AA51" i="3489" a="1"/>
  <c r="AA51" i="3489" s="1"/>
  <c r="Y51" i="3489" a="1"/>
  <c r="Y51" i="3489" s="1"/>
  <c r="S51" i="3489" a="1"/>
  <c r="S51" i="3489" s="1"/>
  <c r="L51" i="3489" a="1"/>
  <c r="L51" i="3489" s="1"/>
  <c r="BF51" i="3489" a="1"/>
  <c r="BF51" i="3489" s="1"/>
  <c r="BA51" i="3489" a="1"/>
  <c r="BA51" i="3489" s="1"/>
  <c r="AW51" i="3489" a="1"/>
  <c r="AW51" i="3489" s="1"/>
  <c r="AS51" i="3489" a="1"/>
  <c r="AS51" i="3489" s="1"/>
  <c r="AR51" i="3489" a="1"/>
  <c r="AR51" i="3489" s="1"/>
  <c r="R51" i="3489" a="1"/>
  <c r="R51" i="3489" s="1"/>
  <c r="BC67" i="3489" a="1"/>
  <c r="BC67" i="3489" s="1"/>
  <c r="AP67" i="3489" a="1"/>
  <c r="AP67" i="3489" s="1"/>
  <c r="AC67" i="3489" a="1"/>
  <c r="AC67" i="3489" s="1"/>
  <c r="P67" i="3489" a="1"/>
  <c r="P67" i="3489" s="1"/>
  <c r="BI67" i="3489" a="1"/>
  <c r="BI67" i="3489" s="1"/>
  <c r="AW67" i="3489" a="1"/>
  <c r="AW67" i="3489" s="1"/>
  <c r="AH67" i="3489" a="1"/>
  <c r="AH67" i="3489" s="1"/>
  <c r="R67" i="3489" a="1"/>
  <c r="R67" i="3489" s="1"/>
  <c r="AG67" i="3489" a="1"/>
  <c r="AG67" i="3489" s="1"/>
  <c r="AV67" i="3489" a="1"/>
  <c r="AV67" i="3489" s="1"/>
  <c r="AF67" i="3489" a="1"/>
  <c r="AF67" i="3489" s="1"/>
  <c r="Q67" i="3489" a="1"/>
  <c r="Q67" i="3489" s="1"/>
  <c r="AU67" i="3489" a="1"/>
  <c r="AU67" i="3489" s="1"/>
  <c r="AE67" i="3489" a="1"/>
  <c r="AE67" i="3489" s="1"/>
  <c r="O67" i="3489" a="1"/>
  <c r="O67" i="3489" s="1"/>
  <c r="N67" i="3489" a="1"/>
  <c r="N67" i="3489" s="1"/>
  <c r="AT67" i="3489" a="1"/>
  <c r="AT67" i="3489" s="1"/>
  <c r="AD67" i="3489" a="1"/>
  <c r="AD67" i="3489" s="1"/>
  <c r="M67" i="3489" a="1"/>
  <c r="M67" i="3489" s="1"/>
  <c r="AS67" i="3489" a="1"/>
  <c r="AS67" i="3489" s="1"/>
  <c r="BH67" i="3489" a="1"/>
  <c r="BH67" i="3489" s="1"/>
  <c r="AR67" i="3489" a="1"/>
  <c r="AR67" i="3489" s="1"/>
  <c r="AB67" i="3489" a="1"/>
  <c r="AB67" i="3489" s="1"/>
  <c r="L67" i="3489" a="1"/>
  <c r="L67" i="3489" s="1"/>
  <c r="BE67" i="3489" a="1"/>
  <c r="BE67" i="3489" s="1"/>
  <c r="AN67" i="3489" a="1"/>
  <c r="AN67" i="3489" s="1"/>
  <c r="BD67" i="3489" a="1"/>
  <c r="BD67" i="3489" s="1"/>
  <c r="AM67" i="3489" a="1"/>
  <c r="AM67" i="3489" s="1"/>
  <c r="X67" i="3489" a="1"/>
  <c r="X67" i="3489" s="1"/>
  <c r="BB67" i="3489" a="1"/>
  <c r="BB67" i="3489" s="1"/>
  <c r="AL67" i="3489" a="1"/>
  <c r="AL67" i="3489" s="1"/>
  <c r="W67" i="3489" a="1"/>
  <c r="W67" i="3489" s="1"/>
  <c r="AX67" i="3489" a="1"/>
  <c r="AX67" i="3489" s="1"/>
  <c r="AI67" i="3489" a="1"/>
  <c r="AI67" i="3489" s="1"/>
  <c r="S67" i="3489" a="1"/>
  <c r="S67" i="3489" s="1"/>
  <c r="B67" i="3489"/>
  <c r="BA67" i="3489" a="1"/>
  <c r="BA67" i="3489" s="1"/>
  <c r="U67" i="3489" a="1"/>
  <c r="U67" i="3489" s="1"/>
  <c r="AZ67" i="3489" a="1"/>
  <c r="AZ67" i="3489" s="1"/>
  <c r="T67" i="3489" a="1"/>
  <c r="T67" i="3489" s="1"/>
  <c r="AY67" i="3489" a="1"/>
  <c r="AY67" i="3489" s="1"/>
  <c r="K67" i="3489" a="1"/>
  <c r="K67" i="3489" s="1"/>
  <c r="AQ67" i="3489" a="1"/>
  <c r="AQ67" i="3489" s="1"/>
  <c r="AK67" i="3489" a="1"/>
  <c r="AK67" i="3489" s="1"/>
  <c r="AJ67" i="3489" a="1"/>
  <c r="AJ67" i="3489" s="1"/>
  <c r="AA67" i="3489" a="1"/>
  <c r="AA67" i="3489" s="1"/>
  <c r="BF67" i="3489" a="1"/>
  <c r="BF67" i="3489" s="1"/>
  <c r="BG67" i="3489" a="1"/>
  <c r="BG67" i="3489" s="1"/>
  <c r="AO67" i="3489" a="1"/>
  <c r="AO67" i="3489" s="1"/>
  <c r="Z67" i="3489" a="1"/>
  <c r="Z67" i="3489" s="1"/>
  <c r="Y67" i="3489" a="1"/>
  <c r="Y67" i="3489" s="1"/>
  <c r="V67" i="3489" a="1"/>
  <c r="V67" i="3489" s="1"/>
  <c r="BD41" i="3489" a="1"/>
  <c r="BD41" i="3489" s="1"/>
  <c r="AR41" i="3489" a="1"/>
  <c r="AR41" i="3489" s="1"/>
  <c r="AF41" i="3489" a="1"/>
  <c r="AF41" i="3489" s="1"/>
  <c r="T41" i="3489" a="1"/>
  <c r="T41" i="3489" s="1"/>
  <c r="BB41" i="3489" a="1"/>
  <c r="BB41" i="3489" s="1"/>
  <c r="AP41" i="3489" a="1"/>
  <c r="AP41" i="3489" s="1"/>
  <c r="AD41" i="3489" a="1"/>
  <c r="AD41" i="3489" s="1"/>
  <c r="R41" i="3489" a="1"/>
  <c r="R41" i="3489" s="1"/>
  <c r="AX41" i="3489" a="1"/>
  <c r="AX41" i="3489" s="1"/>
  <c r="AJ41" i="3489" a="1"/>
  <c r="AJ41" i="3489" s="1"/>
  <c r="V41" i="3489" a="1"/>
  <c r="V41" i="3489" s="1"/>
  <c r="AW41" i="3489" a="1"/>
  <c r="AW41" i="3489" s="1"/>
  <c r="AI41" i="3489" a="1"/>
  <c r="AI41" i="3489" s="1"/>
  <c r="U41" i="3489" a="1"/>
  <c r="U41" i="3489" s="1"/>
  <c r="S41" i="3489" a="1"/>
  <c r="S41" i="3489" s="1"/>
  <c r="AV41" i="3489" a="1"/>
  <c r="AV41" i="3489" s="1"/>
  <c r="AH41" i="3489" a="1"/>
  <c r="AH41" i="3489" s="1"/>
  <c r="B41" i="3489"/>
  <c r="BE41" i="3489" a="1"/>
  <c r="BE41" i="3489" s="1"/>
  <c r="AO41" i="3489" a="1"/>
  <c r="AO41" i="3489" s="1"/>
  <c r="AA41" i="3489" a="1"/>
  <c r="AA41" i="3489" s="1"/>
  <c r="M41" i="3489" a="1"/>
  <c r="M41" i="3489" s="1"/>
  <c r="AS41" i="3489" a="1"/>
  <c r="AS41" i="3489" s="1"/>
  <c r="AQ41" i="3489" a="1"/>
  <c r="AQ41" i="3489" s="1"/>
  <c r="X41" i="3489" a="1"/>
  <c r="X41" i="3489" s="1"/>
  <c r="BI41" i="3489" a="1"/>
  <c r="BI41" i="3489" s="1"/>
  <c r="W41" i="3489" a="1"/>
  <c r="W41" i="3489" s="1"/>
  <c r="BH41" i="3489" a="1"/>
  <c r="BH41" i="3489" s="1"/>
  <c r="AM41" i="3489" a="1"/>
  <c r="AM41" i="3489" s="1"/>
  <c r="Q41" i="3489" a="1"/>
  <c r="Q41" i="3489" s="1"/>
  <c r="BG41" i="3489" a="1"/>
  <c r="BG41" i="3489" s="1"/>
  <c r="AL41" i="3489" a="1"/>
  <c r="AL41" i="3489" s="1"/>
  <c r="P41" i="3489" a="1"/>
  <c r="P41" i="3489" s="1"/>
  <c r="BF41" i="3489" a="1"/>
  <c r="BF41" i="3489" s="1"/>
  <c r="AZ41" i="3489" a="1"/>
  <c r="AZ41" i="3489" s="1"/>
  <c r="K41" i="3489" a="1"/>
  <c r="K41" i="3489" s="1"/>
  <c r="AU41" i="3489" a="1"/>
  <c r="AU41" i="3489" s="1"/>
  <c r="AT41" i="3489" a="1"/>
  <c r="AT41" i="3489" s="1"/>
  <c r="AN41" i="3489" a="1"/>
  <c r="AN41" i="3489" s="1"/>
  <c r="AK41" i="3489" a="1"/>
  <c r="AK41" i="3489" s="1"/>
  <c r="AG41" i="3489" a="1"/>
  <c r="AG41" i="3489" s="1"/>
  <c r="AB41" i="3489" a="1"/>
  <c r="AB41" i="3489" s="1"/>
  <c r="Z41" i="3489" a="1"/>
  <c r="Z41" i="3489" s="1"/>
  <c r="BC41" i="3489" a="1"/>
  <c r="BC41" i="3489" s="1"/>
  <c r="Y41" i="3489" a="1"/>
  <c r="Y41" i="3489" s="1"/>
  <c r="O41" i="3489" a="1"/>
  <c r="O41" i="3489" s="1"/>
  <c r="BA41" i="3489" a="1"/>
  <c r="BA41" i="3489" s="1"/>
  <c r="AY41" i="3489" a="1"/>
  <c r="AY41" i="3489" s="1"/>
  <c r="AE41" i="3489" a="1"/>
  <c r="AE41" i="3489" s="1"/>
  <c r="AC41" i="3489" a="1"/>
  <c r="AC41" i="3489" s="1"/>
  <c r="N41" i="3489" a="1"/>
  <c r="N41" i="3489" s="1"/>
  <c r="L41" i="3489" a="1"/>
  <c r="L41" i="3489" s="1"/>
  <c r="Y52" i="3489" a="1"/>
  <c r="Y52" i="3489" s="1"/>
  <c r="T52" i="3489" a="1"/>
  <c r="T52" i="3489" s="1"/>
  <c r="AK29" i="3489" a="1"/>
  <c r="AK29" i="3489" s="1"/>
  <c r="BE29" i="3489" a="1"/>
  <c r="BE29" i="3489" s="1"/>
  <c r="G69" i="3448"/>
  <c r="BW69" i="3448" s="1"/>
  <c r="BO69" i="3448"/>
  <c r="BP69" i="3448"/>
  <c r="S22" i="3523"/>
  <c r="M13" i="3448"/>
  <c r="AE79" i="3480"/>
  <c r="AL129" i="3434" a="1"/>
  <c r="AL129" i="3434" s="1"/>
  <c r="AK129" i="3434" a="1"/>
  <c r="AK129" i="3434" s="1"/>
  <c r="Y55" i="3436"/>
  <c r="G29" i="3436"/>
  <c r="I31" i="3444" s="1"/>
  <c r="G61" i="3436"/>
  <c r="AN110" i="3577" a="1"/>
  <c r="AN110" i="3577" s="1"/>
  <c r="AM110" i="3577" a="1"/>
  <c r="AM110" i="3577" s="1"/>
  <c r="AL110" i="3577" a="1"/>
  <c r="AL110" i="3577" s="1"/>
  <c r="AK110" i="3577" a="1"/>
  <c r="AK110" i="3577" s="1"/>
  <c r="C2" i="3419"/>
  <c r="B40" i="3434"/>
  <c r="H2" i="3434"/>
  <c r="B40" i="3577"/>
  <c r="C8" i="3570"/>
  <c r="C8" i="3518"/>
  <c r="F34" i="3518" a="1"/>
  <c r="F34" i="3518" s="1"/>
  <c r="G34" i="3518" a="1"/>
  <c r="G34" i="3518" s="1"/>
  <c r="O124" i="3528" a="1"/>
  <c r="O124" i="3528" s="1"/>
  <c r="O55" i="3528" a="1"/>
  <c r="O55" i="3528" s="1"/>
  <c r="O89" i="3528" a="1"/>
  <c r="O89" i="3528" s="1"/>
  <c r="E66" i="3528" a="1"/>
  <c r="E66" i="3528" s="1"/>
  <c r="E135" i="3528" a="1"/>
  <c r="E135" i="3528" s="1"/>
  <c r="E100" i="3528" a="1"/>
  <c r="E100" i="3528" s="1"/>
  <c r="F123" i="3528" a="1"/>
  <c r="F123" i="3528" s="1"/>
  <c r="F54" i="3528" a="1"/>
  <c r="F54" i="3528" s="1"/>
  <c r="F88" i="3528" a="1"/>
  <c r="F88" i="3528" s="1"/>
  <c r="M90" i="3528" a="1"/>
  <c r="M90" i="3528" s="1"/>
  <c r="M56" i="3528" a="1"/>
  <c r="M56" i="3528" s="1"/>
  <c r="M125" i="3528" a="1"/>
  <c r="M125" i="3528" s="1"/>
  <c r="G145" i="3528" a="1"/>
  <c r="G145" i="3528" s="1"/>
  <c r="G76" i="3528" a="1"/>
  <c r="G76" i="3528" s="1"/>
  <c r="G110" i="3528" a="1"/>
  <c r="G110" i="3528" s="1"/>
  <c r="AY122" i="3528"/>
  <c r="AI122" i="3528"/>
  <c r="Q110" i="3528" a="1"/>
  <c r="Q110" i="3528" s="1"/>
  <c r="Q145" i="3528" a="1"/>
  <c r="Q145" i="3528" s="1"/>
  <c r="Q76" i="3528" a="1"/>
  <c r="Q76" i="3528" s="1"/>
  <c r="R121" i="3528" a="1"/>
  <c r="R121" i="3528" s="1"/>
  <c r="R86" i="3528" a="1"/>
  <c r="R86" i="3528" s="1"/>
  <c r="R52" i="3528" a="1"/>
  <c r="R52" i="3528" s="1"/>
  <c r="X135" i="3528"/>
  <c r="AN135" i="3528"/>
  <c r="H65" i="3528" a="1"/>
  <c r="H65" i="3528" s="1"/>
  <c r="H134" i="3528" a="1"/>
  <c r="H134" i="3528" s="1"/>
  <c r="H99" i="3528" a="1"/>
  <c r="H99" i="3528" s="1"/>
  <c r="L130" i="3528" a="1"/>
  <c r="L130" i="3528" s="1"/>
  <c r="L95" i="3528" a="1"/>
  <c r="L95" i="3528" s="1"/>
  <c r="L61" i="3528" a="1"/>
  <c r="L61" i="3528" s="1"/>
  <c r="O129" i="3528" a="1"/>
  <c r="O129" i="3528" s="1"/>
  <c r="O94" i="3528" a="1"/>
  <c r="O94" i="3528" s="1"/>
  <c r="O60" i="3528" a="1"/>
  <c r="O60" i="3528" s="1"/>
  <c r="H58" i="3528" a="1"/>
  <c r="H58" i="3528" s="1"/>
  <c r="H92" i="3528" a="1"/>
  <c r="H92" i="3528" s="1"/>
  <c r="H127" i="3528" a="1"/>
  <c r="H127" i="3528" s="1"/>
  <c r="G138" i="3528" a="1"/>
  <c r="G138" i="3528" s="1"/>
  <c r="G69" i="3528" a="1"/>
  <c r="G69" i="3528" s="1"/>
  <c r="G103" i="3528" a="1"/>
  <c r="G103" i="3528" s="1"/>
  <c r="E136" i="3528" a="1"/>
  <c r="E136" i="3528" s="1"/>
  <c r="E67" i="3528" a="1"/>
  <c r="E67" i="3528" s="1"/>
  <c r="E101" i="3528" a="1"/>
  <c r="E101" i="3528" s="1"/>
  <c r="K117" i="3528" a="1"/>
  <c r="K117" i="3528" s="1"/>
  <c r="K48" i="3528" a="1"/>
  <c r="K48" i="3528" s="1"/>
  <c r="K82" i="3528" a="1"/>
  <c r="K82" i="3528" s="1"/>
  <c r="M26" i="3479" a="1"/>
  <c r="M26" i="3479" s="1"/>
  <c r="N26" i="3479" a="1"/>
  <c r="N26" i="3479" s="1"/>
  <c r="O26" i="3479" s="1" a="1"/>
  <c r="O26" i="3479" s="1"/>
  <c r="S79" i="3445" a="1"/>
  <c r="S79" i="3445" s="1"/>
  <c r="T79" i="3445" s="1"/>
  <c r="A75" i="3444"/>
  <c r="BH81" i="3444" a="1"/>
  <c r="BH81" i="3444" s="1"/>
  <c r="AV81" i="3444" a="1"/>
  <c r="AV81" i="3444" s="1"/>
  <c r="AJ81" i="3444" a="1"/>
  <c r="AJ81" i="3444" s="1"/>
  <c r="X81" i="3444" a="1"/>
  <c r="X81" i="3444" s="1"/>
  <c r="AF81" i="3444" a="1"/>
  <c r="AF81" i="3444" s="1"/>
  <c r="BE81" i="3444" a="1"/>
  <c r="BE81" i="3444" s="1"/>
  <c r="AR81" i="3444" a="1"/>
  <c r="AR81" i="3444" s="1"/>
  <c r="S81" i="3444" a="1"/>
  <c r="S81" i="3444" s="1"/>
  <c r="AE81" i="3444" a="1"/>
  <c r="AE81" i="3444" s="1"/>
  <c r="AD81" i="3444" a="1"/>
  <c r="AD81" i="3444" s="1"/>
  <c r="AA81" i="3444" a="1"/>
  <c r="AA81" i="3444" s="1"/>
  <c r="AK81" i="3444" a="1"/>
  <c r="AK81" i="3444" s="1"/>
  <c r="L81" i="3444" a="1"/>
  <c r="L81" i="3444" s="1"/>
  <c r="AW81" i="3444" a="1"/>
  <c r="AW81" i="3444" s="1"/>
  <c r="BG81" i="3444" a="1"/>
  <c r="BG81" i="3444" s="1"/>
  <c r="AN81" i="3444" a="1"/>
  <c r="AN81" i="3444" s="1"/>
  <c r="V81" i="3444" a="1"/>
  <c r="V81" i="3444" s="1"/>
  <c r="BF81" i="3444" a="1"/>
  <c r="BF81" i="3444" s="1"/>
  <c r="AM81" i="3444" a="1"/>
  <c r="AM81" i="3444" s="1"/>
  <c r="BD81" i="3444" a="1"/>
  <c r="BD81" i="3444" s="1"/>
  <c r="U81" i="3444" a="1"/>
  <c r="U81" i="3444" s="1"/>
  <c r="BC81" i="3444" a="1"/>
  <c r="BC81" i="3444" s="1"/>
  <c r="AL81" i="3444" a="1"/>
  <c r="AL81" i="3444" s="1"/>
  <c r="T81" i="3444" a="1"/>
  <c r="T81" i="3444" s="1"/>
  <c r="BB81" i="3444" a="1"/>
  <c r="BB81" i="3444" s="1"/>
  <c r="R81" i="3444" a="1"/>
  <c r="R81" i="3444" s="1"/>
  <c r="AI81" i="3444" a="1"/>
  <c r="AI81" i="3444" s="1"/>
  <c r="Q81" i="3444" a="1"/>
  <c r="Q81" i="3444" s="1"/>
  <c r="BA81" i="3444" a="1"/>
  <c r="BA81" i="3444" s="1"/>
  <c r="AZ81" i="3444" a="1"/>
  <c r="AZ81" i="3444" s="1"/>
  <c r="AH81" i="3444" a="1"/>
  <c r="AH81" i="3444" s="1"/>
  <c r="P81" i="3444" a="1"/>
  <c r="P81" i="3444" s="1"/>
  <c r="AY81" i="3444" a="1"/>
  <c r="AY81" i="3444" s="1"/>
  <c r="AG81" i="3444" a="1"/>
  <c r="AG81" i="3444" s="1"/>
  <c r="O81" i="3444" a="1"/>
  <c r="O81" i="3444" s="1"/>
  <c r="AX81" i="3444" a="1"/>
  <c r="AX81" i="3444" s="1"/>
  <c r="N81" i="3444" a="1"/>
  <c r="N81" i="3444" s="1"/>
  <c r="M81" i="3444" a="1"/>
  <c r="M81" i="3444" s="1"/>
  <c r="AU81" i="3444" a="1"/>
  <c r="AU81" i="3444" s="1"/>
  <c r="AC81" i="3444" a="1"/>
  <c r="AC81" i="3444" s="1"/>
  <c r="AQ81" i="3444" a="1"/>
  <c r="AQ81" i="3444" s="1"/>
  <c r="Z81" i="3444" a="1"/>
  <c r="Z81" i="3444" s="1"/>
  <c r="AT81" i="3444" a="1"/>
  <c r="AT81" i="3444" s="1"/>
  <c r="AP81" i="3444" a="1"/>
  <c r="AP81" i="3444" s="1"/>
  <c r="AO81" i="3444" a="1"/>
  <c r="AO81" i="3444" s="1"/>
  <c r="AB81" i="3444" a="1"/>
  <c r="AB81" i="3444" s="1"/>
  <c r="K81" i="3444" a="1"/>
  <c r="K81" i="3444" s="1"/>
  <c r="AS81" i="3444" a="1"/>
  <c r="AS81" i="3444" s="1"/>
  <c r="Y81" i="3444" a="1"/>
  <c r="Y81" i="3444" s="1"/>
  <c r="W81" i="3444" a="1"/>
  <c r="W81" i="3444" s="1"/>
  <c r="BD37" i="3444" a="1"/>
  <c r="BD37" i="3444" s="1"/>
  <c r="AR37" i="3444" a="1"/>
  <c r="AR37" i="3444" s="1"/>
  <c r="AF37" i="3444" a="1"/>
  <c r="AF37" i="3444" s="1"/>
  <c r="T37" i="3444" a="1"/>
  <c r="T37" i="3444" s="1"/>
  <c r="BC37" i="3444" a="1"/>
  <c r="BC37" i="3444" s="1"/>
  <c r="AQ37" i="3444" a="1"/>
  <c r="AQ37" i="3444" s="1"/>
  <c r="AE37" i="3444" a="1"/>
  <c r="AE37" i="3444" s="1"/>
  <c r="S37" i="3444" a="1"/>
  <c r="S37" i="3444" s="1"/>
  <c r="BA37" i="3444" a="1"/>
  <c r="BA37" i="3444" s="1"/>
  <c r="AL37" i="3444" a="1"/>
  <c r="AL37" i="3444" s="1"/>
  <c r="AZ37" i="3444" a="1"/>
  <c r="AZ37" i="3444" s="1"/>
  <c r="W37" i="3444" a="1"/>
  <c r="W37" i="3444" s="1"/>
  <c r="AK37" i="3444" a="1"/>
  <c r="AK37" i="3444" s="1"/>
  <c r="AX37" i="3444" a="1"/>
  <c r="AX37" i="3444" s="1"/>
  <c r="U37" i="3444" a="1"/>
  <c r="U37" i="3444" s="1"/>
  <c r="AI37" i="3444" a="1"/>
  <c r="AI37" i="3444" s="1"/>
  <c r="BH37" i="3444" a="1"/>
  <c r="BH37" i="3444" s="1"/>
  <c r="AC37" i="3444" a="1"/>
  <c r="AC37" i="3444" s="1"/>
  <c r="N37" i="3444" a="1"/>
  <c r="N37" i="3444" s="1"/>
  <c r="X37" i="3444" a="1"/>
  <c r="X37" i="3444" s="1"/>
  <c r="AW37" i="3444" a="1"/>
  <c r="AW37" i="3444" s="1"/>
  <c r="AB37" i="3444" a="1"/>
  <c r="AB37" i="3444" s="1"/>
  <c r="AV37" i="3444" a="1"/>
  <c r="AV37" i="3444" s="1"/>
  <c r="AA37" i="3444" a="1"/>
  <c r="AA37" i="3444" s="1"/>
  <c r="AU37" i="3444" a="1"/>
  <c r="AU37" i="3444" s="1"/>
  <c r="Z37" i="3444" a="1"/>
  <c r="Z37" i="3444" s="1"/>
  <c r="AT37" i="3444" a="1"/>
  <c r="AT37" i="3444" s="1"/>
  <c r="Y37" i="3444" a="1"/>
  <c r="Y37" i="3444" s="1"/>
  <c r="AS37" i="3444" a="1"/>
  <c r="AS37" i="3444" s="1"/>
  <c r="V37" i="3444" a="1"/>
  <c r="V37" i="3444" s="1"/>
  <c r="AP37" i="3444" a="1"/>
  <c r="AP37" i="3444" s="1"/>
  <c r="AO37" i="3444" a="1"/>
  <c r="AO37" i="3444" s="1"/>
  <c r="AN37" i="3444" a="1"/>
  <c r="AN37" i="3444" s="1"/>
  <c r="Q37" i="3444" a="1"/>
  <c r="Q37" i="3444" s="1"/>
  <c r="P37" i="3444" a="1"/>
  <c r="P37" i="3444" s="1"/>
  <c r="AM37" i="3444" a="1"/>
  <c r="AM37" i="3444" s="1"/>
  <c r="BG37" i="3444" a="1"/>
  <c r="BG37" i="3444" s="1"/>
  <c r="O37" i="3444" a="1"/>
  <c r="O37" i="3444" s="1"/>
  <c r="AJ37" i="3444" a="1"/>
  <c r="AJ37" i="3444" s="1"/>
  <c r="AY37" i="3444" a="1"/>
  <c r="AY37" i="3444" s="1"/>
  <c r="AD37" i="3444" a="1"/>
  <c r="AD37" i="3444" s="1"/>
  <c r="K37" i="3444" a="1"/>
  <c r="K37" i="3444" s="1"/>
  <c r="BB37" i="3444" a="1"/>
  <c r="BB37" i="3444" s="1"/>
  <c r="AH37" i="3444" a="1"/>
  <c r="AH37" i="3444" s="1"/>
  <c r="AG37" i="3444" a="1"/>
  <c r="AG37" i="3444" s="1"/>
  <c r="R37" i="3444" a="1"/>
  <c r="R37" i="3444" s="1"/>
  <c r="M37" i="3444" a="1"/>
  <c r="M37" i="3444" s="1"/>
  <c r="BE37" i="3444" a="1"/>
  <c r="BE37" i="3444" s="1"/>
  <c r="L37" i="3444" a="1"/>
  <c r="L37" i="3444" s="1"/>
  <c r="BF37" i="3444" a="1"/>
  <c r="BF37" i="3444" s="1"/>
  <c r="J66" i="3444"/>
  <c r="A66" i="3444"/>
  <c r="AX33" i="3444" a="1"/>
  <c r="AX33" i="3444" s="1"/>
  <c r="AL33" i="3444" a="1"/>
  <c r="AL33" i="3444" s="1"/>
  <c r="AW33" i="3444" a="1"/>
  <c r="AW33" i="3444" s="1"/>
  <c r="AK33" i="3444" a="1"/>
  <c r="AK33" i="3444" s="1"/>
  <c r="Y33" i="3444" a="1"/>
  <c r="Y33" i="3444" s="1"/>
  <c r="M33" i="3444" a="1"/>
  <c r="M33" i="3444" s="1"/>
  <c r="AV33" i="3444" a="1"/>
  <c r="AV33" i="3444" s="1"/>
  <c r="AG33" i="3444" a="1"/>
  <c r="AG33" i="3444" s="1"/>
  <c r="S33" i="3444" a="1"/>
  <c r="S33" i="3444" s="1"/>
  <c r="AU33" i="3444" a="1"/>
  <c r="AU33" i="3444" s="1"/>
  <c r="AF33" i="3444" a="1"/>
  <c r="AF33" i="3444" s="1"/>
  <c r="R33" i="3444" a="1"/>
  <c r="R33" i="3444" s="1"/>
  <c r="BH33" i="3444" a="1"/>
  <c r="BH33" i="3444" s="1"/>
  <c r="AS33" i="3444" a="1"/>
  <c r="AS33" i="3444" s="1"/>
  <c r="AD33" i="3444" a="1"/>
  <c r="AD33" i="3444" s="1"/>
  <c r="P33" i="3444" a="1"/>
  <c r="P33" i="3444" s="1"/>
  <c r="BD33" i="3444" a="1"/>
  <c r="BD33" i="3444" s="1"/>
  <c r="AM33" i="3444" a="1"/>
  <c r="AM33" i="3444" s="1"/>
  <c r="T33" i="3444" a="1"/>
  <c r="T33" i="3444" s="1"/>
  <c r="BC33" i="3444" a="1"/>
  <c r="BC33" i="3444" s="1"/>
  <c r="AJ33" i="3444" a="1"/>
  <c r="AJ33" i="3444" s="1"/>
  <c r="Q33" i="3444" a="1"/>
  <c r="Q33" i="3444" s="1"/>
  <c r="BB33" i="3444" a="1"/>
  <c r="BB33" i="3444" s="1"/>
  <c r="AI33" i="3444" a="1"/>
  <c r="AI33" i="3444" s="1"/>
  <c r="AH33" i="3444" a="1"/>
  <c r="AH33" i="3444" s="1"/>
  <c r="O33" i="3444" a="1"/>
  <c r="O33" i="3444" s="1"/>
  <c r="BA33" i="3444" a="1"/>
  <c r="BA33" i="3444" s="1"/>
  <c r="N33" i="3444" a="1"/>
  <c r="N33" i="3444" s="1"/>
  <c r="AZ33" i="3444" a="1"/>
  <c r="AZ33" i="3444" s="1"/>
  <c r="AE33" i="3444" a="1"/>
  <c r="AE33" i="3444" s="1"/>
  <c r="L33" i="3444" a="1"/>
  <c r="L33" i="3444" s="1"/>
  <c r="AT33" i="3444" a="1"/>
  <c r="AT33" i="3444" s="1"/>
  <c r="AB33" i="3444" a="1"/>
  <c r="AB33" i="3444" s="1"/>
  <c r="AR33" i="3444" a="1"/>
  <c r="AR33" i="3444" s="1"/>
  <c r="AA33" i="3444" a="1"/>
  <c r="AA33" i="3444" s="1"/>
  <c r="Z33" i="3444" a="1"/>
  <c r="Z33" i="3444" s="1"/>
  <c r="AQ33" i="3444" a="1"/>
  <c r="AQ33" i="3444" s="1"/>
  <c r="BE33" i="3444" a="1"/>
  <c r="BE33" i="3444" s="1"/>
  <c r="AN33" i="3444" a="1"/>
  <c r="AN33" i="3444" s="1"/>
  <c r="U33" i="3444" a="1"/>
  <c r="U33" i="3444" s="1"/>
  <c r="AP33" i="3444" a="1"/>
  <c r="AP33" i="3444" s="1"/>
  <c r="AO33" i="3444" a="1"/>
  <c r="AO33" i="3444" s="1"/>
  <c r="X33" i="3444" a="1"/>
  <c r="X33" i="3444" s="1"/>
  <c r="W33" i="3444" a="1"/>
  <c r="W33" i="3444" s="1"/>
  <c r="V33" i="3444" a="1"/>
  <c r="V33" i="3444" s="1"/>
  <c r="K33" i="3444" a="1"/>
  <c r="K33" i="3444" s="1"/>
  <c r="AY33" i="3444" a="1"/>
  <c r="AY33" i="3444" s="1"/>
  <c r="AC33" i="3444" a="1"/>
  <c r="AC33" i="3444" s="1"/>
  <c r="BF33" i="3444" a="1"/>
  <c r="BF33" i="3444" s="1"/>
  <c r="BG33" i="3444" a="1"/>
  <c r="BG33" i="3444" s="1"/>
  <c r="AW92" i="3489" a="1"/>
  <c r="AW92" i="3489" s="1"/>
  <c r="BF52" i="3489" a="1"/>
  <c r="BF52" i="3489" s="1"/>
  <c r="AJ52" i="3489" a="1"/>
  <c r="AJ52" i="3489" s="1"/>
  <c r="BI29" i="3489" a="1"/>
  <c r="BI29" i="3489" s="1"/>
  <c r="T29" i="3489" a="1"/>
  <c r="T29" i="3489" s="1"/>
  <c r="AT29" i="3489" a="1"/>
  <c r="AT29" i="3489" s="1"/>
  <c r="B21" i="3576"/>
  <c r="N21" i="3576" a="1"/>
  <c r="N21" i="3576" s="1"/>
  <c r="P21" i="3576" s="1" a="1"/>
  <c r="P21" i="3576" s="1"/>
  <c r="AB21" i="3576" a="1"/>
  <c r="AB21" i="3576" s="1"/>
  <c r="AE22" i="3576" s="1"/>
  <c r="S21" i="3576" a="1"/>
  <c r="S21" i="3576" s="1"/>
  <c r="Q21" i="3576"/>
  <c r="M21" i="3576" a="1"/>
  <c r="M21" i="3576" s="1"/>
  <c r="Z21" i="3576" s="1" a="1"/>
  <c r="Z21" i="3576" s="1"/>
  <c r="I55" i="3523" a="1"/>
  <c r="I55" i="3523" s="1"/>
  <c r="H55" i="3523" a="1"/>
  <c r="H55" i="3523" s="1"/>
  <c r="F27" i="3523" a="1"/>
  <c r="F27" i="3523" s="1"/>
  <c r="L27" i="3523" s="1" a="1"/>
  <c r="L27" i="3523" s="1"/>
  <c r="H27" i="3523" a="1"/>
  <c r="H27" i="3523" s="1"/>
  <c r="L48" i="3523"/>
  <c r="L92" i="3523"/>
  <c r="H46" i="3523" a="1"/>
  <c r="H46" i="3523" s="1"/>
  <c r="I46" i="3523" a="1"/>
  <c r="I46" i="3523" s="1"/>
  <c r="AE83" i="3480"/>
  <c r="AL133" i="3434" a="1"/>
  <c r="AL133" i="3434" s="1"/>
  <c r="AK133" i="3434" a="1"/>
  <c r="AK133" i="3434" s="1"/>
  <c r="AE89" i="3480"/>
  <c r="AL139" i="3434" a="1"/>
  <c r="AL139" i="3434" s="1"/>
  <c r="AK139" i="3434" a="1"/>
  <c r="AK139" i="3434" s="1"/>
  <c r="AE65" i="3480"/>
  <c r="AL115" i="3434" a="1"/>
  <c r="AL115" i="3434" s="1"/>
  <c r="AK115" i="3434" a="1"/>
  <c r="AK115" i="3434" s="1"/>
  <c r="Y53" i="3436"/>
  <c r="I29" i="3436"/>
  <c r="V29" i="3436" s="1" a="1"/>
  <c r="V29" i="3436" s="1"/>
  <c r="AM114" i="3577" a="1"/>
  <c r="AM114" i="3577" s="1"/>
  <c r="AL114" i="3577" a="1"/>
  <c r="AL114" i="3577" s="1"/>
  <c r="AN114" i="3577" a="1"/>
  <c r="AN114" i="3577" s="1"/>
  <c r="AK114" i="3577" a="1"/>
  <c r="AK114" i="3577" s="1"/>
  <c r="Z60" i="3419" a="1"/>
  <c r="Z60" i="3419" s="1"/>
  <c r="AB60" i="3419" s="1" a="1"/>
  <c r="AB60" i="3419" s="1"/>
  <c r="Z59" i="3419" a="1"/>
  <c r="Z59" i="3419" s="1"/>
  <c r="AB59" i="3419" s="1" a="1"/>
  <c r="AB59" i="3419" s="1"/>
  <c r="Z52" i="3419" a="1"/>
  <c r="Z52" i="3419" s="1"/>
  <c r="AB52" i="3419" s="1" a="1"/>
  <c r="AB52" i="3419" s="1"/>
  <c r="Z53" i="3419" a="1"/>
  <c r="Z53" i="3419" s="1"/>
  <c r="AB53" i="3419" s="1" a="1"/>
  <c r="AB53" i="3419" s="1"/>
  <c r="Z41" i="3419" a="1"/>
  <c r="Z41" i="3419" s="1"/>
  <c r="AB41" i="3419" s="1" a="1"/>
  <c r="AB41" i="3419" s="1"/>
  <c r="Z16" i="3419" a="1"/>
  <c r="Z16" i="3419" s="1"/>
  <c r="AB16" i="3419" s="1" a="1"/>
  <c r="AB16" i="3419" s="1"/>
  <c r="Z57" i="3419" a="1"/>
  <c r="Z57" i="3419" s="1"/>
  <c r="AB57" i="3419" s="1" a="1"/>
  <c r="AB57" i="3419" s="1"/>
  <c r="Z43" i="3419" a="1"/>
  <c r="Z43" i="3419" s="1"/>
  <c r="AB43" i="3419" s="1" a="1"/>
  <c r="AB43" i="3419" s="1"/>
  <c r="Z31" i="3419" a="1"/>
  <c r="Z31" i="3419" s="1"/>
  <c r="AB31" i="3419" s="1" a="1"/>
  <c r="AB31" i="3419" s="1"/>
  <c r="Z13" i="3419" a="1"/>
  <c r="Z13" i="3419" s="1"/>
  <c r="AB13" i="3419" s="1" a="1"/>
  <c r="AB13" i="3419" s="1"/>
  <c r="F46" i="3518" a="1"/>
  <c r="F46" i="3518" s="1"/>
  <c r="G46" i="3518" a="1"/>
  <c r="G46" i="3518" s="1"/>
  <c r="F21" i="3518" a="1"/>
  <c r="F21" i="3518" s="1"/>
  <c r="G21" i="3518" a="1"/>
  <c r="G21" i="3518" s="1"/>
  <c r="O50" i="3528" a="1"/>
  <c r="O50" i="3528" s="1"/>
  <c r="O119" i="3528" a="1"/>
  <c r="O119" i="3528" s="1"/>
  <c r="O84" i="3528" a="1"/>
  <c r="O84" i="3528" s="1"/>
  <c r="H123" i="3528" a="1"/>
  <c r="H123" i="3528" s="1"/>
  <c r="H54" i="3528" a="1"/>
  <c r="H54" i="3528" s="1"/>
  <c r="H88" i="3528" a="1"/>
  <c r="H88" i="3528" s="1"/>
  <c r="Q66" i="3528" a="1"/>
  <c r="Q66" i="3528" s="1"/>
  <c r="Q135" i="3528" a="1"/>
  <c r="Q135" i="3528" s="1"/>
  <c r="Q100" i="3528" a="1"/>
  <c r="Q100" i="3528" s="1"/>
  <c r="P106" i="3528" a="1"/>
  <c r="P106" i="3528" s="1"/>
  <c r="P141" i="3528" a="1"/>
  <c r="P141" i="3528" s="1"/>
  <c r="P72" i="3528" a="1"/>
  <c r="P72" i="3528" s="1"/>
  <c r="R54" i="3528" a="1"/>
  <c r="R54" i="3528" s="1"/>
  <c r="R123" i="3528" a="1"/>
  <c r="R123" i="3528" s="1"/>
  <c r="R88" i="3528" a="1"/>
  <c r="R88" i="3528" s="1"/>
  <c r="E55" i="3528" a="1"/>
  <c r="E55" i="3528" s="1"/>
  <c r="E89" i="3528" a="1"/>
  <c r="E89" i="3528" s="1"/>
  <c r="E124" i="3528" a="1"/>
  <c r="E124" i="3528" s="1"/>
  <c r="L107" i="3528" a="1"/>
  <c r="L107" i="3528" s="1"/>
  <c r="L73" i="3528" a="1"/>
  <c r="L73" i="3528" s="1"/>
  <c r="L142" i="3528" a="1"/>
  <c r="L142" i="3528" s="1"/>
  <c r="J121" i="3528" a="1"/>
  <c r="J121" i="3528" s="1"/>
  <c r="J86" i="3528" a="1"/>
  <c r="J86" i="3528" s="1"/>
  <c r="J52" i="3528" a="1"/>
  <c r="J52" i="3528" s="1"/>
  <c r="J49" i="3528" a="1"/>
  <c r="J49" i="3528" s="1"/>
  <c r="J118" i="3528" a="1"/>
  <c r="J118" i="3528" s="1"/>
  <c r="J83" i="3528" a="1"/>
  <c r="J83" i="3528" s="1"/>
  <c r="I65" i="3528" a="1"/>
  <c r="I65" i="3528" s="1"/>
  <c r="I134" i="3528" a="1"/>
  <c r="I134" i="3528" s="1"/>
  <c r="I99" i="3528" a="1"/>
  <c r="I99" i="3528" s="1"/>
  <c r="G98" i="3528" a="1"/>
  <c r="G98" i="3528" s="1"/>
  <c r="G133" i="3528" a="1"/>
  <c r="G133" i="3528" s="1"/>
  <c r="G64" i="3528" a="1"/>
  <c r="G64" i="3528" s="1"/>
  <c r="AT123" i="3528"/>
  <c r="AD123" i="3528"/>
  <c r="I58" i="3528" a="1"/>
  <c r="I58" i="3528" s="1"/>
  <c r="I92" i="3528" a="1"/>
  <c r="I92" i="3528" s="1"/>
  <c r="I127" i="3528" a="1"/>
  <c r="I127" i="3528" s="1"/>
  <c r="L138" i="3528" a="1"/>
  <c r="L138" i="3528" s="1"/>
  <c r="L103" i="3528" a="1"/>
  <c r="L103" i="3528" s="1"/>
  <c r="L69" i="3528" a="1"/>
  <c r="L69" i="3528" s="1"/>
  <c r="G101" i="3528" a="1"/>
  <c r="G101" i="3528" s="1"/>
  <c r="G136" i="3528" a="1"/>
  <c r="G136" i="3528" s="1"/>
  <c r="G67" i="3528" a="1"/>
  <c r="G67" i="3528" s="1"/>
  <c r="M48" i="3528" a="1"/>
  <c r="M48" i="3528" s="1"/>
  <c r="M82" i="3528" a="1"/>
  <c r="M82" i="3528" s="1"/>
  <c r="M117" i="3528" a="1"/>
  <c r="M117" i="3528" s="1"/>
  <c r="DO35" i="3479" a="1"/>
  <c r="DO35" i="3479" s="1"/>
  <c r="DP35" i="3479" s="1" a="1"/>
  <c r="DP35" i="3479" s="1"/>
  <c r="DN35" i="3479" a="1"/>
  <c r="DN35" i="3479" s="1"/>
  <c r="DQ35" i="3479" s="1" a="1"/>
  <c r="DQ35" i="3479" s="1"/>
  <c r="DR35" i="3479" s="1" a="1"/>
  <c r="DR35" i="3479" s="1"/>
  <c r="BB46" i="3489" a="1"/>
  <c r="BB46" i="3489" s="1"/>
  <c r="AP46" i="3489" a="1"/>
  <c r="AP46" i="3489" s="1"/>
  <c r="AD46" i="3489" a="1"/>
  <c r="AD46" i="3489" s="1"/>
  <c r="R46" i="3489" a="1"/>
  <c r="R46" i="3489" s="1"/>
  <c r="AZ46" i="3489" a="1"/>
  <c r="AZ46" i="3489" s="1"/>
  <c r="AN46" i="3489" a="1"/>
  <c r="AN46" i="3489" s="1"/>
  <c r="AB46" i="3489" a="1"/>
  <c r="AB46" i="3489" s="1"/>
  <c r="P46" i="3489" a="1"/>
  <c r="P46" i="3489" s="1"/>
  <c r="B46" i="3489"/>
  <c r="BI46" i="3489" a="1"/>
  <c r="BI46" i="3489" s="1"/>
  <c r="AU46" i="3489" a="1"/>
  <c r="AU46" i="3489" s="1"/>
  <c r="AG46" i="3489" a="1"/>
  <c r="AG46" i="3489" s="1"/>
  <c r="S46" i="3489" a="1"/>
  <c r="S46" i="3489" s="1"/>
  <c r="Q46" i="3489" a="1"/>
  <c r="Q46" i="3489" s="1"/>
  <c r="BH46" i="3489" a="1"/>
  <c r="BH46" i="3489" s="1"/>
  <c r="AT46" i="3489" a="1"/>
  <c r="AT46" i="3489" s="1"/>
  <c r="AF46" i="3489" a="1"/>
  <c r="AF46" i="3489" s="1"/>
  <c r="BC46" i="3489" a="1"/>
  <c r="BC46" i="3489" s="1"/>
  <c r="AM46" i="3489" a="1"/>
  <c r="AM46" i="3489" s="1"/>
  <c r="Y46" i="3489" a="1"/>
  <c r="Y46" i="3489" s="1"/>
  <c r="K46" i="3489" a="1"/>
  <c r="K46" i="3489" s="1"/>
  <c r="BA46" i="3489" a="1"/>
  <c r="BA46" i="3489" s="1"/>
  <c r="AI46" i="3489" a="1"/>
  <c r="AI46" i="3489" s="1"/>
  <c r="BD46" i="3489" a="1"/>
  <c r="BD46" i="3489" s="1"/>
  <c r="L46" i="3489" a="1"/>
  <c r="L46" i="3489" s="1"/>
  <c r="AH46" i="3489" a="1"/>
  <c r="AH46" i="3489" s="1"/>
  <c r="AE46" i="3489" a="1"/>
  <c r="AE46" i="3489" s="1"/>
  <c r="AY46" i="3489" a="1"/>
  <c r="AY46" i="3489" s="1"/>
  <c r="AC46" i="3489" a="1"/>
  <c r="AC46" i="3489" s="1"/>
  <c r="AX46" i="3489" a="1"/>
  <c r="AX46" i="3489" s="1"/>
  <c r="AA46" i="3489" a="1"/>
  <c r="AA46" i="3489" s="1"/>
  <c r="AW46" i="3489" a="1"/>
  <c r="AW46" i="3489" s="1"/>
  <c r="Z46" i="3489" a="1"/>
  <c r="Z46" i="3489" s="1"/>
  <c r="AQ46" i="3489" a="1"/>
  <c r="AQ46" i="3489" s="1"/>
  <c r="AO46" i="3489" a="1"/>
  <c r="AO46" i="3489" s="1"/>
  <c r="U46" i="3489" a="1"/>
  <c r="U46" i="3489" s="1"/>
  <c r="BG46" i="3489" a="1"/>
  <c r="BG46" i="3489" s="1"/>
  <c r="O46" i="3489" a="1"/>
  <c r="O46" i="3489" s="1"/>
  <c r="BF46" i="3489" a="1"/>
  <c r="BF46" i="3489" s="1"/>
  <c r="N46" i="3489" a="1"/>
  <c r="N46" i="3489" s="1"/>
  <c r="BE46" i="3489" a="1"/>
  <c r="BE46" i="3489" s="1"/>
  <c r="M46" i="3489" a="1"/>
  <c r="M46" i="3489" s="1"/>
  <c r="AV46" i="3489" a="1"/>
  <c r="AV46" i="3489" s="1"/>
  <c r="AR46" i="3489" a="1"/>
  <c r="AR46" i="3489" s="1"/>
  <c r="AL46" i="3489" a="1"/>
  <c r="AL46" i="3489" s="1"/>
  <c r="AK46" i="3489" a="1"/>
  <c r="AK46" i="3489" s="1"/>
  <c r="X46" i="3489" a="1"/>
  <c r="X46" i="3489" s="1"/>
  <c r="AS46" i="3489" a="1"/>
  <c r="AS46" i="3489" s="1"/>
  <c r="AJ46" i="3489" a="1"/>
  <c r="AJ46" i="3489" s="1"/>
  <c r="W46" i="3489" a="1"/>
  <c r="W46" i="3489" s="1"/>
  <c r="V46" i="3489" a="1"/>
  <c r="V46" i="3489" s="1"/>
  <c r="T46" i="3489" a="1"/>
  <c r="T46" i="3489" s="1"/>
  <c r="AL29" i="3489" a="1"/>
  <c r="AL29" i="3489" s="1"/>
  <c r="F127" i="3523"/>
  <c r="AF127" i="3523" s="1" a="1"/>
  <c r="AF127" i="3523" s="1"/>
  <c r="BT96" i="3448"/>
  <c r="BP66" i="3448"/>
  <c r="BO66" i="3448"/>
  <c r="G66" i="3448"/>
  <c r="BW66" i="3448" s="1"/>
  <c r="E16" i="3448" a="1"/>
  <c r="E16" i="3448" s="1"/>
  <c r="G26" i="3523" s="1"/>
  <c r="I26" i="3523" s="1" a="1"/>
  <c r="I26" i="3523" s="1"/>
  <c r="BR16" i="3448" a="1"/>
  <c r="BR16" i="3448" s="1"/>
  <c r="BV16" i="3448" s="1" a="1"/>
  <c r="BV16" i="3448" s="1"/>
  <c r="BO61" i="3448"/>
  <c r="M25" i="3448"/>
  <c r="E18" i="3448" a="1"/>
  <c r="E18" i="3448" s="1"/>
  <c r="G28" i="3523" s="1"/>
  <c r="BR18" i="3448" a="1"/>
  <c r="BR18" i="3448" s="1"/>
  <c r="BV18" i="3448" s="1" a="1"/>
  <c r="BV18" i="3448" s="1"/>
  <c r="G58" i="3436"/>
  <c r="U58" i="3436" s="1" a="1"/>
  <c r="U58" i="3436" s="1"/>
  <c r="J60" i="3444" s="1"/>
  <c r="AE84" i="3480"/>
  <c r="AK134" i="3434" a="1"/>
  <c r="AK134" i="3434" s="1"/>
  <c r="AL134" i="3434" a="1"/>
  <c r="AL134" i="3434" s="1"/>
  <c r="Y43" i="3436"/>
  <c r="Y21" i="3436"/>
  <c r="AK109" i="3577" a="1"/>
  <c r="AK109" i="3577" s="1"/>
  <c r="AN109" i="3577" a="1"/>
  <c r="AN109" i="3577" s="1"/>
  <c r="AM109" i="3577" a="1"/>
  <c r="AM109" i="3577" s="1"/>
  <c r="AL109" i="3577" a="1"/>
  <c r="AL109" i="3577" s="1"/>
  <c r="Y71" i="3436"/>
  <c r="G39" i="3436"/>
  <c r="J58" i="3445" s="1" a="1"/>
  <c r="J58" i="3445" s="1"/>
  <c r="Y22" i="3436"/>
  <c r="Y36" i="3436"/>
  <c r="I48" i="3445" a="1"/>
  <c r="I48" i="3445" s="1"/>
  <c r="O48" i="3445" s="1"/>
  <c r="AK106" i="3577" a="1"/>
  <c r="AK106" i="3577" s="1"/>
  <c r="AM106" i="3577" a="1"/>
  <c r="AM106" i="3577" s="1"/>
  <c r="AL106" i="3577" a="1"/>
  <c r="AL106" i="3577" s="1"/>
  <c r="AN106" i="3577" a="1"/>
  <c r="AN106" i="3577" s="1"/>
  <c r="G41" i="3518" a="1"/>
  <c r="G41" i="3518" s="1"/>
  <c r="F41" i="3518" a="1"/>
  <c r="F41" i="3518" s="1"/>
  <c r="G59" i="3518" a="1"/>
  <c r="G59" i="3518" s="1"/>
  <c r="F59" i="3518" a="1"/>
  <c r="F59" i="3518" s="1"/>
  <c r="S52" i="3528" a="1"/>
  <c r="S52" i="3528" s="1"/>
  <c r="S121" i="3528" a="1"/>
  <c r="S121" i="3528" s="1"/>
  <c r="S86" i="3528" a="1"/>
  <c r="S86" i="3528" s="1"/>
  <c r="E126" i="3528" a="1"/>
  <c r="E126" i="3528" s="1"/>
  <c r="E91" i="3528" a="1"/>
  <c r="E91" i="3528" s="1"/>
  <c r="E57" i="3528" a="1"/>
  <c r="E57" i="3528" s="1"/>
  <c r="E141" i="3528" a="1"/>
  <c r="E141" i="3528" s="1"/>
  <c r="E106" i="3528" a="1"/>
  <c r="E106" i="3528" s="1"/>
  <c r="E72" i="3528" a="1"/>
  <c r="E72" i="3528" s="1"/>
  <c r="J88" i="3528" a="1"/>
  <c r="J88" i="3528" s="1"/>
  <c r="J123" i="3528" a="1"/>
  <c r="J123" i="3528" s="1"/>
  <c r="J54" i="3528" a="1"/>
  <c r="J54" i="3528" s="1"/>
  <c r="L128" i="3528" a="1"/>
  <c r="L128" i="3528" s="1"/>
  <c r="L93" i="3528" a="1"/>
  <c r="L93" i="3528" s="1"/>
  <c r="L59" i="3528" a="1"/>
  <c r="L59" i="3528" s="1"/>
  <c r="F70" i="3528" a="1"/>
  <c r="F70" i="3528" s="1"/>
  <c r="F139" i="3528" a="1"/>
  <c r="F139" i="3528" s="1"/>
  <c r="F104" i="3528" a="1"/>
  <c r="F104" i="3528" s="1"/>
  <c r="AI135" i="3528"/>
  <c r="AY135" i="3528"/>
  <c r="L52" i="3528" a="1"/>
  <c r="L52" i="3528" s="1"/>
  <c r="L121" i="3528" a="1"/>
  <c r="L121" i="3528" s="1"/>
  <c r="L86" i="3528" a="1"/>
  <c r="L86" i="3528" s="1"/>
  <c r="AN143" i="3528"/>
  <c r="X143" i="3528"/>
  <c r="K49" i="3528" a="1"/>
  <c r="K49" i="3528" s="1"/>
  <c r="K118" i="3528" a="1"/>
  <c r="K118" i="3528" s="1"/>
  <c r="K83" i="3528" a="1"/>
  <c r="K83" i="3528" s="1"/>
  <c r="H98" i="3528" a="1"/>
  <c r="H98" i="3528" s="1"/>
  <c r="H133" i="3528" a="1"/>
  <c r="H133" i="3528" s="1"/>
  <c r="H64" i="3528" a="1"/>
  <c r="H64" i="3528" s="1"/>
  <c r="E63" i="3528" a="1"/>
  <c r="E63" i="3528" s="1"/>
  <c r="E97" i="3528" a="1"/>
  <c r="E97" i="3528" s="1"/>
  <c r="E132" i="3528" a="1"/>
  <c r="E132" i="3528" s="1"/>
  <c r="P130" i="3528" a="1"/>
  <c r="P130" i="3528" s="1"/>
  <c r="P61" i="3528" a="1"/>
  <c r="P61" i="3528" s="1"/>
  <c r="P95" i="3528" a="1"/>
  <c r="P95" i="3528" s="1"/>
  <c r="P129" i="3528" a="1"/>
  <c r="P129" i="3528" s="1"/>
  <c r="P94" i="3528" a="1"/>
  <c r="P94" i="3528" s="1"/>
  <c r="P60" i="3528" a="1"/>
  <c r="P60" i="3528" s="1"/>
  <c r="K127" i="3528" a="1"/>
  <c r="K127" i="3528" s="1"/>
  <c r="K92" i="3528" a="1"/>
  <c r="K92" i="3528" s="1"/>
  <c r="K58" i="3528" a="1"/>
  <c r="K58" i="3528" s="1"/>
  <c r="M67" i="3528" a="1"/>
  <c r="M67" i="3528" s="1"/>
  <c r="M101" i="3528" a="1"/>
  <c r="M101" i="3528" s="1"/>
  <c r="M136" i="3528" a="1"/>
  <c r="M136" i="3528" s="1"/>
  <c r="F82" i="3528" a="1"/>
  <c r="F82" i="3528" s="1"/>
  <c r="F117" i="3528" a="1"/>
  <c r="F117" i="3528" s="1"/>
  <c r="F48" i="3528" a="1"/>
  <c r="F48" i="3528" s="1"/>
  <c r="N36" i="3479" a="1"/>
  <c r="N36" i="3479" s="1"/>
  <c r="O36" i="3479" s="1" a="1"/>
  <c r="O36" i="3479" s="1"/>
  <c r="M36" i="3479" a="1"/>
  <c r="M36" i="3479" s="1"/>
  <c r="ES26" i="3479" a="1"/>
  <c r="ES26" i="3479" s="1"/>
  <c r="ET26" i="3479" s="1" a="1"/>
  <c r="ET26" i="3479" s="1"/>
  <c r="ER26" i="3479" a="1"/>
  <c r="ER26" i="3479" s="1"/>
  <c r="EU26" i="3479" s="1" a="1"/>
  <c r="EU26" i="3479" s="1"/>
  <c r="EV26" i="3479" s="1" a="1"/>
  <c r="EV26" i="3479" s="1"/>
  <c r="CZ67" i="3479" a="1"/>
  <c r="CZ67" i="3479" s="1"/>
  <c r="DA67" i="3479" s="1" a="1"/>
  <c r="DA67" i="3479" s="1"/>
  <c r="CY67" i="3479" a="1"/>
  <c r="CY67" i="3479" s="1"/>
  <c r="DB67" i="3479" s="1" a="1"/>
  <c r="DB67" i="3479" s="1"/>
  <c r="DC67" i="3479" s="1" a="1"/>
  <c r="DC67" i="3479" s="1"/>
  <c r="I51" i="3445" a="1"/>
  <c r="I51" i="3445" s="1"/>
  <c r="N60" i="3479" a="1"/>
  <c r="N60" i="3479" s="1"/>
  <c r="O60" i="3479" s="1" a="1"/>
  <c r="O60" i="3479" s="1"/>
  <c r="M60" i="3479" a="1"/>
  <c r="M60" i="3479" s="1"/>
  <c r="BU48" i="3479" a="1"/>
  <c r="BU48" i="3479" s="1"/>
  <c r="BV48" i="3479" a="1"/>
  <c r="BV48" i="3479" s="1"/>
  <c r="BW48" i="3479" s="1" a="1"/>
  <c r="BW48" i="3479" s="1"/>
  <c r="CJ68" i="3479" a="1"/>
  <c r="CJ68" i="3479" s="1"/>
  <c r="CK68" i="3479" a="1"/>
  <c r="CK68" i="3479" s="1"/>
  <c r="CL68" i="3479" s="1" a="1"/>
  <c r="CL68" i="3479" s="1"/>
  <c r="DN40" i="3479" a="1"/>
  <c r="DN40" i="3479" s="1"/>
  <c r="DQ40" i="3479" s="1" a="1"/>
  <c r="DQ40" i="3479" s="1"/>
  <c r="DR40" i="3479" s="1" a="1"/>
  <c r="DR40" i="3479" s="1"/>
  <c r="DO40" i="3479" a="1"/>
  <c r="DO40" i="3479" s="1"/>
  <c r="DP40" i="3479" s="1" a="1"/>
  <c r="DP40" i="3479" s="1"/>
  <c r="ER33" i="3479" a="1"/>
  <c r="ER33" i="3479" s="1"/>
  <c r="EU33" i="3479" s="1" a="1"/>
  <c r="EU33" i="3479" s="1"/>
  <c r="EV33" i="3479" s="1" a="1"/>
  <c r="EV33" i="3479" s="1"/>
  <c r="ES33" i="3479" a="1"/>
  <c r="ES33" i="3479" s="1"/>
  <c r="ET33" i="3479" s="1" a="1"/>
  <c r="ET33" i="3479" s="1"/>
  <c r="K61" i="3560"/>
  <c r="J61" i="3560"/>
  <c r="P61" i="3560" s="1" a="1"/>
  <c r="P61" i="3560" s="1"/>
  <c r="I61" i="3560"/>
  <c r="O61" i="3560" s="1" a="1"/>
  <c r="O61" i="3560" s="1"/>
  <c r="L61" i="3560"/>
  <c r="AR43" i="3479" a="1"/>
  <c r="AR43" i="3479" s="1"/>
  <c r="AS43" i="3479" s="1" a="1"/>
  <c r="AS43" i="3479" s="1"/>
  <c r="AQ43" i="3479" a="1"/>
  <c r="AQ43" i="3479" s="1"/>
  <c r="CK71" i="3479" a="1"/>
  <c r="CK71" i="3479" s="1"/>
  <c r="CL71" i="3479" s="1" a="1"/>
  <c r="CL71" i="3479" s="1"/>
  <c r="CJ71" i="3479" a="1"/>
  <c r="CJ71" i="3479" s="1"/>
  <c r="ES62" i="3479" a="1"/>
  <c r="ES62" i="3479" s="1"/>
  <c r="ET62" i="3479" s="1" a="1"/>
  <c r="ET62" i="3479" s="1"/>
  <c r="ER62" i="3479" a="1"/>
  <c r="ER62" i="3479" s="1"/>
  <c r="EU62" i="3479" s="1" a="1"/>
  <c r="EU62" i="3479" s="1"/>
  <c r="EV62" i="3479" s="1" a="1"/>
  <c r="EV62" i="3479" s="1"/>
  <c r="DO42" i="3479" a="1"/>
  <c r="DO42" i="3479" s="1"/>
  <c r="DP42" i="3479" s="1" a="1"/>
  <c r="DP42" i="3479" s="1"/>
  <c r="DN42" i="3479" a="1"/>
  <c r="DN42" i="3479" s="1"/>
  <c r="DQ42" i="3479" s="1" a="1"/>
  <c r="DQ42" i="3479" s="1"/>
  <c r="DR42" i="3479" s="1" a="1"/>
  <c r="DR42" i="3479" s="1"/>
  <c r="AC68" i="3479" a="1"/>
  <c r="AC68" i="3479" s="1"/>
  <c r="AD68" i="3479" s="1" a="1"/>
  <c r="AD68" i="3479" s="1"/>
  <c r="AB68" i="3479" a="1"/>
  <c r="AB68" i="3479" s="1"/>
  <c r="CZ43" i="3479" a="1"/>
  <c r="CZ43" i="3479" s="1"/>
  <c r="DA43" i="3479" s="1" a="1"/>
  <c r="DA43" i="3479" s="1"/>
  <c r="CY43" i="3479" a="1"/>
  <c r="CY43" i="3479" s="1"/>
  <c r="DB43" i="3479" s="1" a="1"/>
  <c r="DB43" i="3479" s="1"/>
  <c r="DC43" i="3479" s="1" a="1"/>
  <c r="DC43" i="3479" s="1"/>
  <c r="I79" i="3445" a="1"/>
  <c r="I79" i="3445" s="1"/>
  <c r="O79" i="3445" s="1"/>
  <c r="I88" i="3445" a="1"/>
  <c r="I88" i="3445" s="1"/>
  <c r="L84" i="3445"/>
  <c r="M84" i="3445" s="1"/>
  <c r="H65" i="3436" s="1"/>
  <c r="L71" i="3445"/>
  <c r="M71" i="3445" s="1"/>
  <c r="H52" i="3436" s="1"/>
  <c r="O71" i="3445"/>
  <c r="N71" i="3445" a="1"/>
  <c r="N71" i="3445" s="1"/>
  <c r="A71" i="3445"/>
  <c r="AE65" i="3444" a="1"/>
  <c r="AE65" i="3444" s="1"/>
  <c r="P65" i="3444" a="1"/>
  <c r="P65" i="3444" s="1"/>
  <c r="BG65" i="3444" a="1"/>
  <c r="BG65" i="3444" s="1"/>
  <c r="AS65" i="3444" a="1"/>
  <c r="AS65" i="3444" s="1"/>
  <c r="AD65" i="3444" a="1"/>
  <c r="AD65" i="3444" s="1"/>
  <c r="AC65" i="3444" a="1"/>
  <c r="AC65" i="3444" s="1"/>
  <c r="O65" i="3444" a="1"/>
  <c r="O65" i="3444" s="1"/>
  <c r="BF65" i="3444" a="1"/>
  <c r="BF65" i="3444" s="1"/>
  <c r="AR65" i="3444" a="1"/>
  <c r="AR65" i="3444" s="1"/>
  <c r="N65" i="3444" a="1"/>
  <c r="N65" i="3444" s="1"/>
  <c r="AQ65" i="3444" a="1"/>
  <c r="AQ65" i="3444" s="1"/>
  <c r="AB65" i="3444" a="1"/>
  <c r="AB65" i="3444" s="1"/>
  <c r="BA65" i="3444" a="1"/>
  <c r="BA65" i="3444" s="1"/>
  <c r="AM65" i="3444" a="1"/>
  <c r="AM65" i="3444" s="1"/>
  <c r="AY65" i="3444" a="1"/>
  <c r="AY65" i="3444" s="1"/>
  <c r="AU65" i="3444" a="1"/>
  <c r="AU65" i="3444" s="1"/>
  <c r="Y65" i="3444" a="1"/>
  <c r="Y65" i="3444" s="1"/>
  <c r="X65" i="3444" a="1"/>
  <c r="X65" i="3444" s="1"/>
  <c r="AT65" i="3444" a="1"/>
  <c r="AT65" i="3444" s="1"/>
  <c r="AP65" i="3444" a="1"/>
  <c r="AP65" i="3444" s="1"/>
  <c r="W65" i="3444" a="1"/>
  <c r="W65" i="3444" s="1"/>
  <c r="AL65" i="3444" a="1"/>
  <c r="AL65" i="3444" s="1"/>
  <c r="T65" i="3444" a="1"/>
  <c r="T65" i="3444" s="1"/>
  <c r="BE65" i="3444" a="1"/>
  <c r="BE65" i="3444" s="1"/>
  <c r="AK65" i="3444" a="1"/>
  <c r="AK65" i="3444" s="1"/>
  <c r="R65" i="3444" a="1"/>
  <c r="R65" i="3444" s="1"/>
  <c r="AJ65" i="3444" a="1"/>
  <c r="AJ65" i="3444" s="1"/>
  <c r="Q65" i="3444" a="1"/>
  <c r="Q65" i="3444" s="1"/>
  <c r="BC65" i="3444" a="1"/>
  <c r="BC65" i="3444" s="1"/>
  <c r="AI65" i="3444" a="1"/>
  <c r="AI65" i="3444" s="1"/>
  <c r="M65" i="3444" a="1"/>
  <c r="M65" i="3444" s="1"/>
  <c r="BB65" i="3444" a="1"/>
  <c r="BB65" i="3444" s="1"/>
  <c r="AH65" i="3444" a="1"/>
  <c r="AH65" i="3444" s="1"/>
  <c r="L65" i="3444" a="1"/>
  <c r="L65" i="3444" s="1"/>
  <c r="AZ65" i="3444" a="1"/>
  <c r="AZ65" i="3444" s="1"/>
  <c r="AG65" i="3444" a="1"/>
  <c r="AG65" i="3444" s="1"/>
  <c r="K65" i="3444" a="1"/>
  <c r="K65" i="3444" s="1"/>
  <c r="AF65" i="3444" a="1"/>
  <c r="AF65" i="3444" s="1"/>
  <c r="V65" i="3444" a="1"/>
  <c r="V65" i="3444" s="1"/>
  <c r="U65" i="3444" a="1"/>
  <c r="U65" i="3444" s="1"/>
  <c r="S65" i="3444" a="1"/>
  <c r="S65" i="3444" s="1"/>
  <c r="AW65" i="3444" a="1"/>
  <c r="AW65" i="3444" s="1"/>
  <c r="AV65" i="3444" a="1"/>
  <c r="AV65" i="3444" s="1"/>
  <c r="AO65" i="3444" a="1"/>
  <c r="AO65" i="3444" s="1"/>
  <c r="AN65" i="3444" a="1"/>
  <c r="AN65" i="3444" s="1"/>
  <c r="AA65" i="3444" a="1"/>
  <c r="AA65" i="3444" s="1"/>
  <c r="Z65" i="3444" a="1"/>
  <c r="Z65" i="3444" s="1"/>
  <c r="BH65" i="3444" a="1"/>
  <c r="BH65" i="3444" s="1"/>
  <c r="BD65" i="3444" a="1"/>
  <c r="BD65" i="3444" s="1"/>
  <c r="AX65" i="3444" a="1"/>
  <c r="AX65" i="3444" s="1"/>
  <c r="A21" i="3444"/>
  <c r="BV67" i="3479" a="1"/>
  <c r="BV67" i="3479" s="1"/>
  <c r="BW67" i="3479" s="1" a="1"/>
  <c r="BW67" i="3479" s="1"/>
  <c r="BU67" i="3479" a="1"/>
  <c r="BU67" i="3479" s="1"/>
  <c r="BF34" i="3479" a="1"/>
  <c r="BF34" i="3479" s="1"/>
  <c r="BG34" i="3479" a="1"/>
  <c r="BG34" i="3479" s="1"/>
  <c r="BH34" i="3479" s="1" a="1"/>
  <c r="BH34" i="3479" s="1"/>
  <c r="AR39" i="3479" a="1"/>
  <c r="AR39" i="3479" s="1"/>
  <c r="AS39" i="3479" s="1" a="1"/>
  <c r="AS39" i="3479" s="1"/>
  <c r="AQ39" i="3479" a="1"/>
  <c r="AQ39" i="3479" s="1"/>
  <c r="AB71" i="3479" a="1"/>
  <c r="AB71" i="3479" s="1"/>
  <c r="AC71" i="3479" a="1"/>
  <c r="AC71" i="3479" s="1"/>
  <c r="AD71" i="3479" s="1" a="1"/>
  <c r="AD71" i="3479" s="1"/>
  <c r="O53" i="3560" a="1"/>
  <c r="O53" i="3560" s="1"/>
  <c r="D53" i="3560"/>
  <c r="A53" i="3560"/>
  <c r="P53" i="3560" a="1"/>
  <c r="P53" i="3560" s="1"/>
  <c r="N98" i="3445" a="1"/>
  <c r="N98" i="3445" s="1"/>
  <c r="O93" i="3445"/>
  <c r="N82" i="3445" a="1"/>
  <c r="N82" i="3445" s="1"/>
  <c r="BD21" i="3444" a="1"/>
  <c r="BD21" i="3444" s="1"/>
  <c r="AR21" i="3444" a="1"/>
  <c r="AR21" i="3444" s="1"/>
  <c r="AF21" i="3444" a="1"/>
  <c r="AF21" i="3444" s="1"/>
  <c r="T21" i="3444" a="1"/>
  <c r="T21" i="3444" s="1"/>
  <c r="BC21" i="3444" a="1"/>
  <c r="BC21" i="3444" s="1"/>
  <c r="AQ21" i="3444" a="1"/>
  <c r="AQ21" i="3444" s="1"/>
  <c r="AE21" i="3444" a="1"/>
  <c r="AE21" i="3444" s="1"/>
  <c r="S21" i="3444" a="1"/>
  <c r="S21" i="3444" s="1"/>
  <c r="BA21" i="3444" a="1"/>
  <c r="BA21" i="3444" s="1"/>
  <c r="AO21" i="3444" a="1"/>
  <c r="AO21" i="3444" s="1"/>
  <c r="AC21" i="3444" a="1"/>
  <c r="AC21" i="3444" s="1"/>
  <c r="Q21" i="3444" a="1"/>
  <c r="Q21" i="3444" s="1"/>
  <c r="AU21" i="3444" a="1"/>
  <c r="AU21" i="3444" s="1"/>
  <c r="O21" i="3444" a="1"/>
  <c r="O21" i="3444" s="1"/>
  <c r="AT21" i="3444" a="1"/>
  <c r="AT21" i="3444" s="1"/>
  <c r="AD21" i="3444" a="1"/>
  <c r="AD21" i="3444" s="1"/>
  <c r="BH21" i="3444" a="1"/>
  <c r="BH21" i="3444" s="1"/>
  <c r="N21" i="3444" a="1"/>
  <c r="N21" i="3444" s="1"/>
  <c r="Y21" i="3444" a="1"/>
  <c r="Y21" i="3444" s="1"/>
  <c r="BB21" i="3444" a="1"/>
  <c r="BB21" i="3444" s="1"/>
  <c r="X21" i="3444" a="1"/>
  <c r="X21" i="3444" s="1"/>
  <c r="AL21" i="3444" a="1"/>
  <c r="AL21" i="3444" s="1"/>
  <c r="AZ21" i="3444" a="1"/>
  <c r="AZ21" i="3444" s="1"/>
  <c r="W21" i="3444" a="1"/>
  <c r="W21" i="3444" s="1"/>
  <c r="AK21" i="3444" a="1"/>
  <c r="AK21" i="3444" s="1"/>
  <c r="AV21" i="3444" a="1"/>
  <c r="AV21" i="3444" s="1"/>
  <c r="AI21" i="3444" a="1"/>
  <c r="AI21" i="3444" s="1"/>
  <c r="BG21" i="3444" a="1"/>
  <c r="BG21" i="3444" s="1"/>
  <c r="AH21" i="3444" a="1"/>
  <c r="AH21" i="3444" s="1"/>
  <c r="BF21" i="3444" a="1"/>
  <c r="BF21" i="3444" s="1"/>
  <c r="AG21" i="3444" a="1"/>
  <c r="AG21" i="3444" s="1"/>
  <c r="BE21" i="3444" a="1"/>
  <c r="BE21" i="3444" s="1"/>
  <c r="AA21" i="3444" a="1"/>
  <c r="AA21" i="3444" s="1"/>
  <c r="AY21" i="3444" a="1"/>
  <c r="AY21" i="3444" s="1"/>
  <c r="Z21" i="3444" a="1"/>
  <c r="Z21" i="3444" s="1"/>
  <c r="AX21" i="3444" a="1"/>
  <c r="AX21" i="3444" s="1"/>
  <c r="AS21" i="3444" a="1"/>
  <c r="AS21" i="3444" s="1"/>
  <c r="R21" i="3444" a="1"/>
  <c r="R21" i="3444" s="1"/>
  <c r="AP21" i="3444" a="1"/>
  <c r="AP21" i="3444" s="1"/>
  <c r="P21" i="3444" a="1"/>
  <c r="P21" i="3444" s="1"/>
  <c r="AJ21" i="3444" a="1"/>
  <c r="AJ21" i="3444" s="1"/>
  <c r="K21" i="3444" a="1"/>
  <c r="K21" i="3444" s="1"/>
  <c r="M21" i="3444" a="1"/>
  <c r="M21" i="3444" s="1"/>
  <c r="L21" i="3444" a="1"/>
  <c r="L21" i="3444" s="1"/>
  <c r="AW21" i="3444" a="1"/>
  <c r="AW21" i="3444" s="1"/>
  <c r="AN21" i="3444" a="1"/>
  <c r="AN21" i="3444" s="1"/>
  <c r="U21" i="3444" a="1"/>
  <c r="U21" i="3444" s="1"/>
  <c r="AB21" i="3444" a="1"/>
  <c r="AB21" i="3444" s="1"/>
  <c r="V21" i="3444" a="1"/>
  <c r="V21" i="3444" s="1"/>
  <c r="AM21" i="3444" a="1"/>
  <c r="AM21" i="3444" s="1"/>
  <c r="AM92" i="3489" a="1"/>
  <c r="AM92" i="3489" s="1"/>
  <c r="T92" i="3489" a="1"/>
  <c r="T92" i="3489" s="1"/>
  <c r="BI87" i="3489" a="1"/>
  <c r="BI87" i="3489" s="1"/>
  <c r="AW87" i="3489" a="1"/>
  <c r="AW87" i="3489" s="1"/>
  <c r="AK87" i="3489" a="1"/>
  <c r="AK87" i="3489" s="1"/>
  <c r="Y87" i="3489" a="1"/>
  <c r="Y87" i="3489" s="1"/>
  <c r="M87" i="3489" a="1"/>
  <c r="M87" i="3489" s="1"/>
  <c r="AV87" i="3489" a="1"/>
  <c r="AV87" i="3489" s="1"/>
  <c r="U87" i="3489" a="1"/>
  <c r="U87" i="3489" s="1"/>
  <c r="AH87" i="3489" a="1"/>
  <c r="AH87" i="3489" s="1"/>
  <c r="AU87" i="3489" a="1"/>
  <c r="AU87" i="3489" s="1"/>
  <c r="T87" i="3489" a="1"/>
  <c r="T87" i="3489" s="1"/>
  <c r="BH87" i="3489" a="1"/>
  <c r="BH87" i="3489" s="1"/>
  <c r="AG87" i="3489" a="1"/>
  <c r="AG87" i="3489" s="1"/>
  <c r="BG87" i="3489" a="1"/>
  <c r="BG87" i="3489" s="1"/>
  <c r="AF87" i="3489" a="1"/>
  <c r="AF87" i="3489" s="1"/>
  <c r="AO87" i="3489" a="1"/>
  <c r="AO87" i="3489" s="1"/>
  <c r="N87" i="3489" a="1"/>
  <c r="N87" i="3489" s="1"/>
  <c r="BB87" i="3489" a="1"/>
  <c r="BB87" i="3489" s="1"/>
  <c r="AA87" i="3489" a="1"/>
  <c r="AA87" i="3489" s="1"/>
  <c r="L87" i="3489" a="1"/>
  <c r="L87" i="3489" s="1"/>
  <c r="V87" i="3489" a="1"/>
  <c r="V87" i="3489" s="1"/>
  <c r="AX87" i="3489" a="1"/>
  <c r="AX87" i="3489" s="1"/>
  <c r="AI87" i="3489" a="1"/>
  <c r="AI87" i="3489" s="1"/>
  <c r="AY87" i="3489" a="1"/>
  <c r="AY87" i="3489" s="1"/>
  <c r="AB87" i="3489" a="1"/>
  <c r="AB87" i="3489" s="1"/>
  <c r="AT87" i="3489" a="1"/>
  <c r="AT87" i="3489" s="1"/>
  <c r="B87" i="3489"/>
  <c r="AS87" i="3489" a="1"/>
  <c r="AS87" i="3489" s="1"/>
  <c r="Z87" i="3489" a="1"/>
  <c r="Z87" i="3489" s="1"/>
  <c r="X87" i="3489" a="1"/>
  <c r="X87" i="3489" s="1"/>
  <c r="AR87" i="3489" a="1"/>
  <c r="AR87" i="3489" s="1"/>
  <c r="W87" i="3489" a="1"/>
  <c r="W87" i="3489" s="1"/>
  <c r="AQ87" i="3489" a="1"/>
  <c r="AQ87" i="3489" s="1"/>
  <c r="S87" i="3489" a="1"/>
  <c r="S87" i="3489" s="1"/>
  <c r="AP87" i="3489" a="1"/>
  <c r="AP87" i="3489" s="1"/>
  <c r="R87" i="3489" a="1"/>
  <c r="R87" i="3489" s="1"/>
  <c r="BF87" i="3489" a="1"/>
  <c r="BF87" i="3489" s="1"/>
  <c r="AM87" i="3489" a="1"/>
  <c r="AM87" i="3489" s="1"/>
  <c r="P87" i="3489" a="1"/>
  <c r="P87" i="3489" s="1"/>
  <c r="BE87" i="3489" a="1"/>
  <c r="BE87" i="3489" s="1"/>
  <c r="AL87" i="3489" a="1"/>
  <c r="AL87" i="3489" s="1"/>
  <c r="O87" i="3489" a="1"/>
  <c r="O87" i="3489" s="1"/>
  <c r="AJ87" i="3489" a="1"/>
  <c r="AJ87" i="3489" s="1"/>
  <c r="BC87" i="3489" a="1"/>
  <c r="BC87" i="3489" s="1"/>
  <c r="BA87" i="3489" a="1"/>
  <c r="BA87" i="3489" s="1"/>
  <c r="AZ87" i="3489" a="1"/>
  <c r="AZ87" i="3489" s="1"/>
  <c r="AN87" i="3489" a="1"/>
  <c r="AN87" i="3489" s="1"/>
  <c r="AE87" i="3489" a="1"/>
  <c r="AE87" i="3489" s="1"/>
  <c r="AC87" i="3489" a="1"/>
  <c r="AC87" i="3489" s="1"/>
  <c r="Q87" i="3489" a="1"/>
  <c r="Q87" i="3489" s="1"/>
  <c r="K87" i="3489" a="1"/>
  <c r="K87" i="3489" s="1"/>
  <c r="AD87" i="3489" a="1"/>
  <c r="AD87" i="3489" s="1"/>
  <c r="BD87" i="3489" a="1"/>
  <c r="BD87" i="3489" s="1"/>
  <c r="V92" i="3489" a="1"/>
  <c r="V92" i="3489" s="1"/>
  <c r="L92" i="3489" a="1"/>
  <c r="L92" i="3489" s="1"/>
  <c r="BF42" i="3489" a="1"/>
  <c r="BF42" i="3489" s="1"/>
  <c r="AT42" i="3489" a="1"/>
  <c r="AT42" i="3489" s="1"/>
  <c r="AH42" i="3489" a="1"/>
  <c r="AH42" i="3489" s="1"/>
  <c r="V42" i="3489" a="1"/>
  <c r="V42" i="3489" s="1"/>
  <c r="BD42" i="3489" a="1"/>
  <c r="BD42" i="3489" s="1"/>
  <c r="AR42" i="3489" a="1"/>
  <c r="AR42" i="3489" s="1"/>
  <c r="AF42" i="3489" a="1"/>
  <c r="AF42" i="3489" s="1"/>
  <c r="T42" i="3489" a="1"/>
  <c r="T42" i="3489" s="1"/>
  <c r="AX42" i="3489" a="1"/>
  <c r="AX42" i="3489" s="1"/>
  <c r="AJ42" i="3489" a="1"/>
  <c r="AJ42" i="3489" s="1"/>
  <c r="AW42" i="3489" a="1"/>
  <c r="AW42" i="3489" s="1"/>
  <c r="AI42" i="3489" a="1"/>
  <c r="AI42" i="3489" s="1"/>
  <c r="S42" i="3489" a="1"/>
  <c r="S42" i="3489" s="1"/>
  <c r="AG42" i="3489" a="1"/>
  <c r="AG42" i="3489" s="1"/>
  <c r="AV42" i="3489" a="1"/>
  <c r="AV42" i="3489" s="1"/>
  <c r="R42" i="3489" a="1"/>
  <c r="R42" i="3489" s="1"/>
  <c r="B42" i="3489"/>
  <c r="BC42" i="3489" a="1"/>
  <c r="BC42" i="3489" s="1"/>
  <c r="AO42" i="3489" a="1"/>
  <c r="AO42" i="3489" s="1"/>
  <c r="AA42" i="3489" a="1"/>
  <c r="AA42" i="3489" s="1"/>
  <c r="M42" i="3489" a="1"/>
  <c r="M42" i="3489" s="1"/>
  <c r="AS42" i="3489" a="1"/>
  <c r="AS42" i="3489" s="1"/>
  <c r="Z42" i="3489" a="1"/>
  <c r="Z42" i="3489" s="1"/>
  <c r="Y42" i="3489" a="1"/>
  <c r="Y42" i="3489" s="1"/>
  <c r="AQ42" i="3489" a="1"/>
  <c r="AQ42" i="3489" s="1"/>
  <c r="AP42" i="3489" a="1"/>
  <c r="AP42" i="3489" s="1"/>
  <c r="BI42" i="3489" a="1"/>
  <c r="BI42" i="3489" s="1"/>
  <c r="W42" i="3489" a="1"/>
  <c r="W42" i="3489" s="1"/>
  <c r="AN42" i="3489" a="1"/>
  <c r="AN42" i="3489" s="1"/>
  <c r="U42" i="3489" a="1"/>
  <c r="U42" i="3489" s="1"/>
  <c r="BH42" i="3489" a="1"/>
  <c r="BH42" i="3489" s="1"/>
  <c r="AM42" i="3489" a="1"/>
  <c r="AM42" i="3489" s="1"/>
  <c r="Q42" i="3489" a="1"/>
  <c r="Q42" i="3489" s="1"/>
  <c r="N42" i="3489" a="1"/>
  <c r="N42" i="3489" s="1"/>
  <c r="BA42" i="3489" a="1"/>
  <c r="BA42" i="3489" s="1"/>
  <c r="AE42" i="3489" a="1"/>
  <c r="AE42" i="3489" s="1"/>
  <c r="BE42" i="3489" a="1"/>
  <c r="BE42" i="3489" s="1"/>
  <c r="X42" i="3489" a="1"/>
  <c r="X42" i="3489" s="1"/>
  <c r="P42" i="3489" a="1"/>
  <c r="P42" i="3489" s="1"/>
  <c r="BB42" i="3489" a="1"/>
  <c r="BB42" i="3489" s="1"/>
  <c r="O42" i="3489" a="1"/>
  <c r="O42" i="3489" s="1"/>
  <c r="AZ42" i="3489" a="1"/>
  <c r="AZ42" i="3489" s="1"/>
  <c r="AY42" i="3489" a="1"/>
  <c r="AY42" i="3489" s="1"/>
  <c r="K42" i="3489" a="1"/>
  <c r="K42" i="3489" s="1"/>
  <c r="AL42" i="3489" a="1"/>
  <c r="AL42" i="3489" s="1"/>
  <c r="AD42" i="3489" a="1"/>
  <c r="AD42" i="3489" s="1"/>
  <c r="BG42" i="3489" a="1"/>
  <c r="BG42" i="3489" s="1"/>
  <c r="AU42" i="3489" a="1"/>
  <c r="AU42" i="3489" s="1"/>
  <c r="AC42" i="3489" a="1"/>
  <c r="AC42" i="3489" s="1"/>
  <c r="L42" i="3489" a="1"/>
  <c r="L42" i="3489" s="1"/>
  <c r="AB42" i="3489" a="1"/>
  <c r="AB42" i="3489" s="1"/>
  <c r="AK42" i="3489" a="1"/>
  <c r="AK42" i="3489" s="1"/>
  <c r="AI52" i="3489" a="1"/>
  <c r="AI52" i="3489" s="1"/>
  <c r="U52" i="3489" a="1"/>
  <c r="U52" i="3489" s="1"/>
  <c r="BD53" i="3489" a="1"/>
  <c r="BD53" i="3489" s="1"/>
  <c r="AR53" i="3489" a="1"/>
  <c r="AR53" i="3489" s="1"/>
  <c r="AF53" i="3489" a="1"/>
  <c r="AF53" i="3489" s="1"/>
  <c r="T53" i="3489" a="1"/>
  <c r="T53" i="3489" s="1"/>
  <c r="BB53" i="3489" a="1"/>
  <c r="BB53" i="3489" s="1"/>
  <c r="AP53" i="3489" a="1"/>
  <c r="AP53" i="3489" s="1"/>
  <c r="AD53" i="3489" a="1"/>
  <c r="AD53" i="3489" s="1"/>
  <c r="R53" i="3489" a="1"/>
  <c r="R53" i="3489" s="1"/>
  <c r="BH53" i="3489" a="1"/>
  <c r="BH53" i="3489" s="1"/>
  <c r="AS53" i="3489" a="1"/>
  <c r="AS53" i="3489" s="1"/>
  <c r="AB53" i="3489" a="1"/>
  <c r="AB53" i="3489" s="1"/>
  <c r="L53" i="3489" a="1"/>
  <c r="L53" i="3489" s="1"/>
  <c r="AQ53" i="3489" a="1"/>
  <c r="AQ53" i="3489" s="1"/>
  <c r="BG53" i="3489" a="1"/>
  <c r="BG53" i="3489" s="1"/>
  <c r="AA53" i="3489" a="1"/>
  <c r="AA53" i="3489" s="1"/>
  <c r="K53" i="3489" a="1"/>
  <c r="K53" i="3489" s="1"/>
  <c r="BF53" i="3489" a="1"/>
  <c r="BF53" i="3489" s="1"/>
  <c r="AO53" i="3489" a="1"/>
  <c r="AO53" i="3489" s="1"/>
  <c r="Z53" i="3489" a="1"/>
  <c r="Z53" i="3489" s="1"/>
  <c r="AM53" i="3489" a="1"/>
  <c r="AM53" i="3489" s="1"/>
  <c r="W53" i="3489" a="1"/>
  <c r="W53" i="3489" s="1"/>
  <c r="AK53" i="3489" a="1"/>
  <c r="AK53" i="3489" s="1"/>
  <c r="AZ53" i="3489" a="1"/>
  <c r="AZ53" i="3489" s="1"/>
  <c r="AJ53" i="3489" a="1"/>
  <c r="AJ53" i="3489" s="1"/>
  <c r="U53" i="3489" a="1"/>
  <c r="U53" i="3489" s="1"/>
  <c r="B53" i="3489"/>
  <c r="S53" i="3489" a="1"/>
  <c r="S53" i="3489" s="1"/>
  <c r="AY53" i="3489" a="1"/>
  <c r="AY53" i="3489" s="1"/>
  <c r="AI53" i="3489" a="1"/>
  <c r="AI53" i="3489" s="1"/>
  <c r="AX53" i="3489" a="1"/>
  <c r="AX53" i="3489" s="1"/>
  <c r="AH53" i="3489" a="1"/>
  <c r="AH53" i="3489" s="1"/>
  <c r="Q53" i="3489" a="1"/>
  <c r="Q53" i="3489" s="1"/>
  <c r="AW53" i="3489" a="1"/>
  <c r="AW53" i="3489" s="1"/>
  <c r="BE53" i="3489" a="1"/>
  <c r="BE53" i="3489" s="1"/>
  <c r="BC53" i="3489" a="1"/>
  <c r="BC53" i="3489" s="1"/>
  <c r="V53" i="3489" a="1"/>
  <c r="V53" i="3489" s="1"/>
  <c r="P53" i="3489" a="1"/>
  <c r="P53" i="3489" s="1"/>
  <c r="BA53" i="3489" a="1"/>
  <c r="BA53" i="3489" s="1"/>
  <c r="AV53" i="3489" a="1"/>
  <c r="AV53" i="3489" s="1"/>
  <c r="O53" i="3489" a="1"/>
  <c r="O53" i="3489" s="1"/>
  <c r="AU53" i="3489" a="1"/>
  <c r="AU53" i="3489" s="1"/>
  <c r="N53" i="3489" a="1"/>
  <c r="N53" i="3489" s="1"/>
  <c r="M53" i="3489" a="1"/>
  <c r="M53" i="3489" s="1"/>
  <c r="AT53" i="3489" a="1"/>
  <c r="AT53" i="3489" s="1"/>
  <c r="AL53" i="3489" a="1"/>
  <c r="AL53" i="3489" s="1"/>
  <c r="AG53" i="3489" a="1"/>
  <c r="AG53" i="3489" s="1"/>
  <c r="AN53" i="3489" a="1"/>
  <c r="AN53" i="3489" s="1"/>
  <c r="AE53" i="3489" a="1"/>
  <c r="AE53" i="3489" s="1"/>
  <c r="AC53" i="3489" a="1"/>
  <c r="AC53" i="3489" s="1"/>
  <c r="BI53" i="3489" a="1"/>
  <c r="BI53" i="3489" s="1"/>
  <c r="Y53" i="3489" a="1"/>
  <c r="Y53" i="3489" s="1"/>
  <c r="X53" i="3489" a="1"/>
  <c r="X53" i="3489" s="1"/>
  <c r="BF29" i="3489" a="1"/>
  <c r="BF29" i="3489" s="1"/>
  <c r="M67" i="3448"/>
  <c r="I45" i="3523" a="1"/>
  <c r="I45" i="3523" s="1"/>
  <c r="H45" i="3523" a="1"/>
  <c r="H45" i="3523" s="1"/>
  <c r="H60" i="3523" a="1"/>
  <c r="H60" i="3523" s="1"/>
  <c r="I60" i="3523" a="1"/>
  <c r="I60" i="3523" s="1"/>
  <c r="M46" i="3448"/>
  <c r="I35" i="3523" a="1"/>
  <c r="I35" i="3523" s="1"/>
  <c r="H35" i="3523" a="1"/>
  <c r="H35" i="3523" s="1"/>
  <c r="BP61" i="3448"/>
  <c r="Y34" i="3436"/>
  <c r="Y45" i="3436"/>
  <c r="AM96" i="3577" a="1"/>
  <c r="AM96" i="3577" s="1"/>
  <c r="AL96" i="3577" a="1"/>
  <c r="AL96" i="3577" s="1"/>
  <c r="AN96" i="3577" a="1"/>
  <c r="AN96" i="3577" s="1"/>
  <c r="AK96" i="3577" a="1"/>
  <c r="AK96" i="3577" s="1"/>
  <c r="G60" i="3436"/>
  <c r="I62" i="3444" s="1"/>
  <c r="G46" i="3436"/>
  <c r="U46" i="3436" s="1" a="1"/>
  <c r="U46" i="3436" s="1"/>
  <c r="J48" i="3444" s="1"/>
  <c r="I95" i="3445" a="1"/>
  <c r="I95" i="3445" s="1"/>
  <c r="O95" i="3445" s="1"/>
  <c r="AK115" i="3577" a="1"/>
  <c r="AK115" i="3577" s="1"/>
  <c r="AN115" i="3577" a="1"/>
  <c r="AN115" i="3577" s="1"/>
  <c r="AM115" i="3577" a="1"/>
  <c r="AM115" i="3577" s="1"/>
  <c r="AL115" i="3577" a="1"/>
  <c r="AL115" i="3577" s="1"/>
  <c r="G24" i="3436"/>
  <c r="I26" i="3444" s="1"/>
  <c r="D48" i="3419" a="1"/>
  <c r="D48" i="3419" s="1"/>
  <c r="D45" i="3419" a="1"/>
  <c r="D45" i="3419" s="1"/>
  <c r="D42" i="3419" a="1"/>
  <c r="D42" i="3419" s="1"/>
  <c r="D39" i="3419" a="1"/>
  <c r="D39" i="3419" s="1"/>
  <c r="D36" i="3419" a="1"/>
  <c r="D36" i="3419" s="1"/>
  <c r="D33" i="3419" a="1"/>
  <c r="D33" i="3419" s="1"/>
  <c r="D30" i="3419" a="1"/>
  <c r="D30" i="3419" s="1"/>
  <c r="D27" i="3419" a="1"/>
  <c r="D27" i="3419" s="1"/>
  <c r="D24" i="3419" a="1"/>
  <c r="D24" i="3419" s="1"/>
  <c r="D21" i="3419" a="1"/>
  <c r="D21" i="3419" s="1"/>
  <c r="D62" i="3419" a="1"/>
  <c r="D62" i="3419" s="1"/>
  <c r="D59" i="3419" a="1"/>
  <c r="D59" i="3419" s="1"/>
  <c r="D55" i="3419" a="1"/>
  <c r="D55" i="3419" s="1"/>
  <c r="D54" i="3419" a="1"/>
  <c r="D54" i="3419" s="1"/>
  <c r="D57" i="3419" a="1"/>
  <c r="D57" i="3419" s="1"/>
  <c r="D56" i="3419" a="1"/>
  <c r="D56" i="3419" s="1"/>
  <c r="D58" i="3419" a="1"/>
  <c r="D58" i="3419" s="1"/>
  <c r="D60" i="3419" a="1"/>
  <c r="D60" i="3419" s="1"/>
  <c r="D23" i="3419" a="1"/>
  <c r="D23" i="3419" s="1"/>
  <c r="D31" i="3419" a="1"/>
  <c r="D31" i="3419" s="1"/>
  <c r="D51" i="3419" a="1"/>
  <c r="D51" i="3419" s="1"/>
  <c r="D25" i="3419" a="1"/>
  <c r="D25" i="3419" s="1"/>
  <c r="D50" i="3419" a="1"/>
  <c r="D50" i="3419" s="1"/>
  <c r="D38" i="3419" a="1"/>
  <c r="D38" i="3419" s="1"/>
  <c r="D17" i="3419" a="1"/>
  <c r="D17" i="3419" s="1"/>
  <c r="D47" i="3419" a="1"/>
  <c r="D47" i="3419" s="1"/>
  <c r="D35" i="3419" a="1"/>
  <c r="D35" i="3419" s="1"/>
  <c r="D44" i="3419" a="1"/>
  <c r="D44" i="3419" s="1"/>
  <c r="D32" i="3419" a="1"/>
  <c r="D32" i="3419" s="1"/>
  <c r="D49" i="3419" a="1"/>
  <c r="D49" i="3419" s="1"/>
  <c r="D40" i="3419" a="1"/>
  <c r="D40" i="3419" s="1"/>
  <c r="D43" i="3419" a="1"/>
  <c r="D43" i="3419" s="1"/>
  <c r="D46" i="3419" a="1"/>
  <c r="D46" i="3419" s="1"/>
  <c r="D34" i="3419" a="1"/>
  <c r="D34" i="3419" s="1"/>
  <c r="D14" i="3419" a="1"/>
  <c r="D14" i="3419" s="1"/>
  <c r="D15" i="3419" a="1"/>
  <c r="D15" i="3419" s="1"/>
  <c r="D61" i="3419" a="1"/>
  <c r="D61" i="3419" s="1"/>
  <c r="D16" i="3419" a="1"/>
  <c r="D16" i="3419" s="1"/>
  <c r="D37" i="3419" a="1"/>
  <c r="D37" i="3419" s="1"/>
  <c r="D29" i="3419" a="1"/>
  <c r="D29" i="3419" s="1"/>
  <c r="D52" i="3419" a="1"/>
  <c r="D52" i="3419" s="1"/>
  <c r="D18" i="3419" a="1"/>
  <c r="D18" i="3419" s="1"/>
  <c r="D26" i="3419" a="1"/>
  <c r="D26" i="3419" s="1"/>
  <c r="D28" i="3419" a="1"/>
  <c r="D28" i="3419" s="1"/>
  <c r="D41" i="3419" a="1"/>
  <c r="D41" i="3419" s="1"/>
  <c r="D22" i="3419" a="1"/>
  <c r="D22" i="3419" s="1"/>
  <c r="D13" i="3419" a="1"/>
  <c r="D13" i="3419" s="1"/>
  <c r="D20" i="3419" a="1"/>
  <c r="D20" i="3419" s="1"/>
  <c r="D19" i="3419" a="1"/>
  <c r="D19" i="3419" s="1"/>
  <c r="D53" i="3419" a="1"/>
  <c r="D53" i="3419" s="1"/>
  <c r="F35" i="3518" a="1"/>
  <c r="F35" i="3518" s="1"/>
  <c r="G35" i="3518" a="1"/>
  <c r="G35" i="3518" s="1"/>
  <c r="G60" i="3518" a="1"/>
  <c r="G60" i="3518" s="1"/>
  <c r="G48" i="3518" a="1"/>
  <c r="G48" i="3518" s="1"/>
  <c r="F48" i="3518" a="1"/>
  <c r="F48" i="3518" s="1"/>
  <c r="P119" i="3528" a="1"/>
  <c r="P119" i="3528" s="1"/>
  <c r="P84" i="3528" a="1"/>
  <c r="P84" i="3528" s="1"/>
  <c r="P50" i="3528" a="1"/>
  <c r="P50" i="3528" s="1"/>
  <c r="S118" i="3528" a="1"/>
  <c r="S118" i="3528" s="1"/>
  <c r="S83" i="3528" a="1"/>
  <c r="S83" i="3528" s="1"/>
  <c r="S49" i="3528" a="1"/>
  <c r="S49" i="3528" s="1"/>
  <c r="Q141" i="3528" a="1"/>
  <c r="Q141" i="3528" s="1"/>
  <c r="Q106" i="3528" a="1"/>
  <c r="Q106" i="3528" s="1"/>
  <c r="Q72" i="3528" a="1"/>
  <c r="Q72" i="3528" s="1"/>
  <c r="R70" i="3528" a="1"/>
  <c r="R70" i="3528" s="1"/>
  <c r="R104" i="3528" a="1"/>
  <c r="R104" i="3528" s="1"/>
  <c r="R139" i="3528" a="1"/>
  <c r="R139" i="3528" s="1"/>
  <c r="P107" i="3528" a="1"/>
  <c r="P107" i="3528" s="1"/>
  <c r="P142" i="3528" a="1"/>
  <c r="P142" i="3528" s="1"/>
  <c r="P73" i="3528" a="1"/>
  <c r="P73" i="3528" s="1"/>
  <c r="F62" i="3528" a="1"/>
  <c r="F62" i="3528" s="1"/>
  <c r="F96" i="3528" a="1"/>
  <c r="F96" i="3528" s="1"/>
  <c r="F131" i="3528" a="1"/>
  <c r="F131" i="3528" s="1"/>
  <c r="AM131" i="3528"/>
  <c r="W131" i="3528"/>
  <c r="J65" i="3528" a="1"/>
  <c r="J65" i="3528" s="1"/>
  <c r="J134" i="3528" a="1"/>
  <c r="J134" i="3528" s="1"/>
  <c r="J99" i="3528" a="1"/>
  <c r="J99" i="3528" s="1"/>
  <c r="I98" i="3528" a="1"/>
  <c r="I98" i="3528" s="1"/>
  <c r="I133" i="3528" a="1"/>
  <c r="I133" i="3528" s="1"/>
  <c r="I64" i="3528" a="1"/>
  <c r="I64" i="3528" s="1"/>
  <c r="L97" i="3528" a="1"/>
  <c r="L97" i="3528" s="1"/>
  <c r="L132" i="3528" a="1"/>
  <c r="L132" i="3528" s="1"/>
  <c r="L63" i="3528" a="1"/>
  <c r="L63" i="3528" s="1"/>
  <c r="F95" i="3528" a="1"/>
  <c r="F95" i="3528" s="1"/>
  <c r="F61" i="3528" a="1"/>
  <c r="F61" i="3528" s="1"/>
  <c r="F130" i="3528" a="1"/>
  <c r="F130" i="3528" s="1"/>
  <c r="E129" i="3528" a="1"/>
  <c r="E129" i="3528" s="1"/>
  <c r="E94" i="3528" a="1"/>
  <c r="E94" i="3528" s="1"/>
  <c r="E60" i="3528" a="1"/>
  <c r="E60" i="3528" s="1"/>
  <c r="M127" i="3528" a="1"/>
  <c r="M127" i="3528" s="1"/>
  <c r="M92" i="3528" a="1"/>
  <c r="M92" i="3528" s="1"/>
  <c r="M58" i="3528" a="1"/>
  <c r="M58" i="3528" s="1"/>
  <c r="P138" i="3528" a="1"/>
  <c r="P138" i="3528" s="1"/>
  <c r="P103" i="3528" a="1"/>
  <c r="P103" i="3528" s="1"/>
  <c r="P69" i="3528" a="1"/>
  <c r="P69" i="3528" s="1"/>
  <c r="N136" i="3528" a="1"/>
  <c r="N136" i="3528" s="1"/>
  <c r="N67" i="3528" a="1"/>
  <c r="N67" i="3528" s="1"/>
  <c r="N101" i="3528" a="1"/>
  <c r="N101" i="3528" s="1"/>
  <c r="R82" i="3528" a="1"/>
  <c r="R82" i="3528" s="1"/>
  <c r="R117" i="3528" a="1"/>
  <c r="R117" i="3528" s="1"/>
  <c r="R48" i="3528" a="1"/>
  <c r="R48" i="3528" s="1"/>
  <c r="DN21" i="3479" a="1"/>
  <c r="DN21" i="3479" s="1"/>
  <c r="DQ21" i="3479" s="1" a="1"/>
  <c r="DQ21" i="3479" s="1"/>
  <c r="DR21" i="3479" s="1" a="1"/>
  <c r="DR21" i="3479" s="1"/>
  <c r="DO21" i="3479" a="1"/>
  <c r="DO21" i="3479" s="1"/>
  <c r="DP21" i="3479" s="1" a="1"/>
  <c r="DP21" i="3479" s="1"/>
  <c r="BG27" i="3479" a="1"/>
  <c r="BG27" i="3479" s="1"/>
  <c r="BH27" i="3479" s="1" a="1"/>
  <c r="BH27" i="3479" s="1"/>
  <c r="BF27" i="3479" a="1"/>
  <c r="BF27" i="3479" s="1"/>
  <c r="CY31" i="3479" a="1"/>
  <c r="CY31" i="3479" s="1"/>
  <c r="DB31" i="3479" s="1" a="1"/>
  <c r="DB31" i="3479" s="1"/>
  <c r="DC31" i="3479" s="1" a="1"/>
  <c r="DC31" i="3479" s="1"/>
  <c r="CZ31" i="3479" a="1"/>
  <c r="CZ31" i="3479" s="1"/>
  <c r="DA31" i="3479" s="1" a="1"/>
  <c r="DA31" i="3479" s="1"/>
  <c r="EC66" i="3479" a="1"/>
  <c r="EC66" i="3479" s="1"/>
  <c r="EF66" i="3479" s="1" a="1"/>
  <c r="EF66" i="3479" s="1"/>
  <c r="EG66" i="3479" s="1" a="1"/>
  <c r="EG66" i="3479" s="1"/>
  <c r="ED66" i="3479" a="1"/>
  <c r="ED66" i="3479" s="1"/>
  <c r="EE66" i="3479" s="1" a="1"/>
  <c r="EE66" i="3479" s="1"/>
  <c r="BG50" i="3479" a="1"/>
  <c r="BG50" i="3479" s="1"/>
  <c r="BH50" i="3479" s="1" a="1"/>
  <c r="BH50" i="3479" s="1"/>
  <c r="BF50" i="3479" a="1"/>
  <c r="BF50" i="3479" s="1"/>
  <c r="N45" i="3479" a="1"/>
  <c r="N45" i="3479" s="1"/>
  <c r="O45" i="3479" s="1" a="1"/>
  <c r="O45" i="3479" s="1"/>
  <c r="M45" i="3479" a="1"/>
  <c r="M45" i="3479" s="1"/>
  <c r="AR28" i="3479" a="1"/>
  <c r="AR28" i="3479" s="1"/>
  <c r="AS28" i="3479" s="1" a="1"/>
  <c r="AS28" i="3479" s="1"/>
  <c r="AQ28" i="3479" a="1"/>
  <c r="AQ28" i="3479" s="1"/>
  <c r="BU38" i="3479" a="1"/>
  <c r="BU38" i="3479" s="1"/>
  <c r="BV38" i="3479" a="1"/>
  <c r="BV38" i="3479" s="1"/>
  <c r="BW38" i="3479" s="1" a="1"/>
  <c r="BW38" i="3479" s="1"/>
  <c r="BG61" i="3479" a="1"/>
  <c r="BG61" i="3479" s="1"/>
  <c r="BH61" i="3479" s="1" a="1"/>
  <c r="BH61" i="3479" s="1"/>
  <c r="BF61" i="3479" a="1"/>
  <c r="BF61" i="3479" s="1"/>
  <c r="DN64" i="3479" a="1"/>
  <c r="DN64" i="3479" s="1"/>
  <c r="DQ64" i="3479" s="1" a="1"/>
  <c r="DQ64" i="3479" s="1"/>
  <c r="DR64" i="3479" s="1" a="1"/>
  <c r="DR64" i="3479" s="1"/>
  <c r="DO64" i="3479" a="1"/>
  <c r="DO64" i="3479" s="1"/>
  <c r="DP64" i="3479" s="1" a="1"/>
  <c r="DP64" i="3479" s="1"/>
  <c r="EC54" i="3479" a="1"/>
  <c r="EC54" i="3479" s="1"/>
  <c r="EF54" i="3479" s="1" a="1"/>
  <c r="EF54" i="3479" s="1"/>
  <c r="EG54" i="3479" s="1" a="1"/>
  <c r="EG54" i="3479" s="1"/>
  <c r="ED54" i="3479" a="1"/>
  <c r="ED54" i="3479" s="1"/>
  <c r="EE54" i="3479" s="1" a="1"/>
  <c r="EE54" i="3479" s="1"/>
  <c r="DG33" i="3479" a="1"/>
  <c r="DG33" i="3479" s="1"/>
  <c r="DE33" i="3479" a="1"/>
  <c r="DE33" i="3479" s="1"/>
  <c r="DF33" i="3479" a="1"/>
  <c r="DF33" i="3479" s="1"/>
  <c r="EC69" i="3479" a="1"/>
  <c r="EC69" i="3479" s="1"/>
  <c r="EF69" i="3479" s="1" a="1"/>
  <c r="EF69" i="3479" s="1"/>
  <c r="EG69" i="3479" s="1" a="1"/>
  <c r="EG69" i="3479" s="1"/>
  <c r="ED69" i="3479" a="1"/>
  <c r="ED69" i="3479" s="1"/>
  <c r="EE69" i="3479" s="1" a="1"/>
  <c r="EE69" i="3479" s="1"/>
  <c r="BV64" i="3479" a="1"/>
  <c r="BV64" i="3479" s="1"/>
  <c r="BW64" i="3479" s="1" a="1"/>
  <c r="BW64" i="3479" s="1"/>
  <c r="BU64" i="3479" a="1"/>
  <c r="BU64" i="3479" s="1"/>
  <c r="AR33" i="3479" a="1"/>
  <c r="AR33" i="3479" s="1"/>
  <c r="AS33" i="3479" s="1" a="1"/>
  <c r="AS33" i="3479" s="1"/>
  <c r="AQ33" i="3479" a="1"/>
  <c r="AQ33" i="3479" s="1"/>
  <c r="DN48" i="3479" a="1"/>
  <c r="DN48" i="3479" s="1"/>
  <c r="DQ48" i="3479" s="1" a="1"/>
  <c r="DQ48" i="3479" s="1"/>
  <c r="DR48" i="3479" s="1" a="1"/>
  <c r="DR48" i="3479" s="1"/>
  <c r="DO48" i="3479" a="1"/>
  <c r="DO48" i="3479" s="1"/>
  <c r="DP48" i="3479" s="1" a="1"/>
  <c r="DP48" i="3479" s="1"/>
  <c r="ED33" i="3479" a="1"/>
  <c r="ED33" i="3479" s="1"/>
  <c r="EE33" i="3479" s="1" a="1"/>
  <c r="EE33" i="3479" s="1"/>
  <c r="EC33" i="3479" a="1"/>
  <c r="EC33" i="3479" s="1"/>
  <c r="EF33" i="3479" s="1" a="1"/>
  <c r="EF33" i="3479" s="1"/>
  <c r="EG33" i="3479" s="1" a="1"/>
  <c r="EG33" i="3479" s="1"/>
  <c r="CY60" i="3479" a="1"/>
  <c r="CY60" i="3479" s="1"/>
  <c r="DB60" i="3479" s="1" a="1"/>
  <c r="DB60" i="3479" s="1"/>
  <c r="DC60" i="3479" s="1" a="1"/>
  <c r="DC60" i="3479" s="1"/>
  <c r="CZ60" i="3479" a="1"/>
  <c r="CZ60" i="3479" s="1"/>
  <c r="DA60" i="3479" s="1" a="1"/>
  <c r="DA60" i="3479" s="1"/>
  <c r="I42" i="3560"/>
  <c r="O42" i="3560" s="1" a="1"/>
  <c r="O42" i="3560" s="1"/>
  <c r="L42" i="3560"/>
  <c r="K42" i="3560"/>
  <c r="J42" i="3560"/>
  <c r="P42" i="3560" s="1" a="1"/>
  <c r="P42" i="3560" s="1"/>
  <c r="N24" i="3479" a="1"/>
  <c r="N24" i="3479" s="1"/>
  <c r="O24" i="3479" s="1" a="1"/>
  <c r="O24" i="3479" s="1"/>
  <c r="M24" i="3479" a="1"/>
  <c r="M24" i="3479" s="1"/>
  <c r="BD59" i="3489" a="1"/>
  <c r="BD59" i="3489" s="1"/>
  <c r="AR59" i="3489" a="1"/>
  <c r="AR59" i="3489" s="1"/>
  <c r="AF59" i="3489" a="1"/>
  <c r="AF59" i="3489" s="1"/>
  <c r="T59" i="3489" a="1"/>
  <c r="T59" i="3489" s="1"/>
  <c r="BA59" i="3489" a="1"/>
  <c r="BA59" i="3489" s="1"/>
  <c r="AB59" i="3489" a="1"/>
  <c r="AB59" i="3489" s="1"/>
  <c r="AN59" i="3489" a="1"/>
  <c r="AN59" i="3489" s="1"/>
  <c r="O59" i="3489" a="1"/>
  <c r="O59" i="3489" s="1"/>
  <c r="AZ59" i="3489" a="1"/>
  <c r="AZ59" i="3489" s="1"/>
  <c r="AA59" i="3489" a="1"/>
  <c r="AA59" i="3489" s="1"/>
  <c r="AM59" i="3489" a="1"/>
  <c r="AM59" i="3489" s="1"/>
  <c r="N59" i="3489" a="1"/>
  <c r="N59" i="3489" s="1"/>
  <c r="AY59" i="3489" a="1"/>
  <c r="AY59" i="3489" s="1"/>
  <c r="Z59" i="3489" a="1"/>
  <c r="Z59" i="3489" s="1"/>
  <c r="AL59" i="3489" a="1"/>
  <c r="AL59" i="3489" s="1"/>
  <c r="M59" i="3489" a="1"/>
  <c r="M59" i="3489" s="1"/>
  <c r="BG59" i="3489" a="1"/>
  <c r="BG59" i="3489" s="1"/>
  <c r="AH59" i="3489" a="1"/>
  <c r="AH59" i="3489" s="1"/>
  <c r="AT59" i="3489" a="1"/>
  <c r="AT59" i="3489" s="1"/>
  <c r="U59" i="3489" a="1"/>
  <c r="U59" i="3489" s="1"/>
  <c r="AS59" i="3489" a="1"/>
  <c r="AS59" i="3489" s="1"/>
  <c r="BB59" i="3489" a="1"/>
  <c r="BB59" i="3489" s="1"/>
  <c r="AC59" i="3489" a="1"/>
  <c r="AC59" i="3489" s="1"/>
  <c r="B59" i="3489"/>
  <c r="BH59" i="3489" a="1"/>
  <c r="BH59" i="3489" s="1"/>
  <c r="AK59" i="3489" a="1"/>
  <c r="AK59" i="3489" s="1"/>
  <c r="Q59" i="3489" a="1"/>
  <c r="Q59" i="3489" s="1"/>
  <c r="BF59" i="3489" a="1"/>
  <c r="BF59" i="3489" s="1"/>
  <c r="AJ59" i="3489" a="1"/>
  <c r="AJ59" i="3489" s="1"/>
  <c r="P59" i="3489" a="1"/>
  <c r="P59" i="3489" s="1"/>
  <c r="BE59" i="3489" a="1"/>
  <c r="BE59" i="3489" s="1"/>
  <c r="AI59" i="3489" a="1"/>
  <c r="AI59" i="3489" s="1"/>
  <c r="L59" i="3489" a="1"/>
  <c r="L59" i="3489" s="1"/>
  <c r="AE59" i="3489" a="1"/>
  <c r="AE59" i="3489" s="1"/>
  <c r="AW59" i="3489" a="1"/>
  <c r="AW59" i="3489" s="1"/>
  <c r="AV59" i="3489" a="1"/>
  <c r="AV59" i="3489" s="1"/>
  <c r="Y59" i="3489" a="1"/>
  <c r="Y59" i="3489" s="1"/>
  <c r="AU59" i="3489" a="1"/>
  <c r="AU59" i="3489" s="1"/>
  <c r="X59" i="3489" a="1"/>
  <c r="X59" i="3489" s="1"/>
  <c r="W59" i="3489" a="1"/>
  <c r="W59" i="3489" s="1"/>
  <c r="BI59" i="3489" a="1"/>
  <c r="BI59" i="3489" s="1"/>
  <c r="AO59" i="3489" a="1"/>
  <c r="AO59" i="3489" s="1"/>
  <c r="V59" i="3489" a="1"/>
  <c r="V59" i="3489" s="1"/>
  <c r="S59" i="3489" a="1"/>
  <c r="S59" i="3489" s="1"/>
  <c r="R59" i="3489" a="1"/>
  <c r="R59" i="3489" s="1"/>
  <c r="K59" i="3489" a="1"/>
  <c r="K59" i="3489" s="1"/>
  <c r="AG59" i="3489" a="1"/>
  <c r="AG59" i="3489" s="1"/>
  <c r="AD59" i="3489" a="1"/>
  <c r="AD59" i="3489" s="1"/>
  <c r="BC59" i="3489" a="1"/>
  <c r="BC59" i="3489" s="1"/>
  <c r="AQ59" i="3489" a="1"/>
  <c r="AQ59" i="3489" s="1"/>
  <c r="AP59" i="3489" a="1"/>
  <c r="AP59" i="3489" s="1"/>
  <c r="AX59" i="3489" a="1"/>
  <c r="AX59" i="3489" s="1"/>
  <c r="BF71" i="3489" a="1"/>
  <c r="BF71" i="3489" s="1"/>
  <c r="AS71" i="3489" a="1"/>
  <c r="AS71" i="3489" s="1"/>
  <c r="AF71" i="3489" a="1"/>
  <c r="AF71" i="3489" s="1"/>
  <c r="S71" i="3489" a="1"/>
  <c r="S71" i="3489" s="1"/>
  <c r="BE71" i="3489" a="1"/>
  <c r="BE71" i="3489" s="1"/>
  <c r="AR71" i="3489" a="1"/>
  <c r="AR71" i="3489" s="1"/>
  <c r="AE71" i="3489" a="1"/>
  <c r="AE71" i="3489" s="1"/>
  <c r="R71" i="3489" a="1"/>
  <c r="R71" i="3489" s="1"/>
  <c r="B71" i="3489"/>
  <c r="BD71" i="3489" a="1"/>
  <c r="BD71" i="3489" s="1"/>
  <c r="AQ71" i="3489" a="1"/>
  <c r="AQ71" i="3489" s="1"/>
  <c r="AD71" i="3489" a="1"/>
  <c r="AD71" i="3489" s="1"/>
  <c r="P71" i="3489" a="1"/>
  <c r="P71" i="3489" s="1"/>
  <c r="AB71" i="3489" a="1"/>
  <c r="AB71" i="3489" s="1"/>
  <c r="L71" i="3489" a="1"/>
  <c r="L71" i="3489" s="1"/>
  <c r="AU71" i="3489" a="1"/>
  <c r="AU71" i="3489" s="1"/>
  <c r="K71" i="3489" a="1"/>
  <c r="K71" i="3489" s="1"/>
  <c r="AA71" i="3489" a="1"/>
  <c r="AA71" i="3489" s="1"/>
  <c r="AT71" i="3489" a="1"/>
  <c r="AT71" i="3489" s="1"/>
  <c r="Z71" i="3489" a="1"/>
  <c r="Z71" i="3489" s="1"/>
  <c r="BI71" i="3489" a="1"/>
  <c r="BI71" i="3489" s="1"/>
  <c r="AP71" i="3489" a="1"/>
  <c r="AP71" i="3489" s="1"/>
  <c r="Y71" i="3489" a="1"/>
  <c r="Y71" i="3489" s="1"/>
  <c r="BH71" i="3489" a="1"/>
  <c r="BH71" i="3489" s="1"/>
  <c r="AO71" i="3489" a="1"/>
  <c r="AO71" i="3489" s="1"/>
  <c r="X71" i="3489" a="1"/>
  <c r="X71" i="3489" s="1"/>
  <c r="AN71" i="3489" a="1"/>
  <c r="AN71" i="3489" s="1"/>
  <c r="AM71" i="3489" a="1"/>
  <c r="AM71" i="3489" s="1"/>
  <c r="BC71" i="3489" a="1"/>
  <c r="BC71" i="3489" s="1"/>
  <c r="AL71" i="3489" a="1"/>
  <c r="AL71" i="3489" s="1"/>
  <c r="AK71" i="3489" a="1"/>
  <c r="AK71" i="3489" s="1"/>
  <c r="U71" i="3489" a="1"/>
  <c r="U71" i="3489" s="1"/>
  <c r="BB71" i="3489" a="1"/>
  <c r="BB71" i="3489" s="1"/>
  <c r="AZ71" i="3489" a="1"/>
  <c r="AZ71" i="3489" s="1"/>
  <c r="Q71" i="3489" a="1"/>
  <c r="Q71" i="3489" s="1"/>
  <c r="M71" i="3489" a="1"/>
  <c r="M71" i="3489" s="1"/>
  <c r="AJ71" i="3489" a="1"/>
  <c r="AJ71" i="3489" s="1"/>
  <c r="AI71" i="3489" a="1"/>
  <c r="AI71" i="3489" s="1"/>
  <c r="AH71" i="3489" a="1"/>
  <c r="AH71" i="3489" s="1"/>
  <c r="AC71" i="3489" a="1"/>
  <c r="AC71" i="3489" s="1"/>
  <c r="W71" i="3489" a="1"/>
  <c r="W71" i="3489" s="1"/>
  <c r="T71" i="3489" a="1"/>
  <c r="T71" i="3489" s="1"/>
  <c r="O71" i="3489" a="1"/>
  <c r="O71" i="3489" s="1"/>
  <c r="BG71" i="3489" a="1"/>
  <c r="BG71" i="3489" s="1"/>
  <c r="N71" i="3489" a="1"/>
  <c r="N71" i="3489" s="1"/>
  <c r="BA71" i="3489" a="1"/>
  <c r="BA71" i="3489" s="1"/>
  <c r="AV71" i="3489" a="1"/>
  <c r="AV71" i="3489" s="1"/>
  <c r="AY71" i="3489" a="1"/>
  <c r="AY71" i="3489" s="1"/>
  <c r="AX71" i="3489" a="1"/>
  <c r="AX71" i="3489" s="1"/>
  <c r="AW71" i="3489" a="1"/>
  <c r="AW71" i="3489" s="1"/>
  <c r="AG71" i="3489" a="1"/>
  <c r="AG71" i="3489" s="1"/>
  <c r="V71" i="3489" a="1"/>
  <c r="V71" i="3489" s="1"/>
  <c r="N58" i="3479" a="1"/>
  <c r="N58" i="3479" s="1"/>
  <c r="O58" i="3479" s="1" a="1"/>
  <c r="O58" i="3479" s="1"/>
  <c r="M58" i="3479" a="1"/>
  <c r="M58" i="3479" s="1"/>
  <c r="ED39" i="3479" a="1"/>
  <c r="ED39" i="3479" s="1"/>
  <c r="EE39" i="3479" s="1" a="1"/>
  <c r="EE39" i="3479" s="1"/>
  <c r="EC39" i="3479" a="1"/>
  <c r="EC39" i="3479" s="1"/>
  <c r="EF39" i="3479" s="1" a="1"/>
  <c r="EF39" i="3479" s="1"/>
  <c r="EG39" i="3479" s="1" a="1"/>
  <c r="EG39" i="3479" s="1"/>
  <c r="AR67" i="3479" a="1"/>
  <c r="AR67" i="3479" s="1"/>
  <c r="AS67" i="3479" s="1" a="1"/>
  <c r="AS67" i="3479" s="1"/>
  <c r="AQ67" i="3479" a="1"/>
  <c r="AQ67" i="3479" s="1"/>
  <c r="BV54" i="3479" a="1"/>
  <c r="BV54" i="3479" s="1"/>
  <c r="BW54" i="3479" s="1" a="1"/>
  <c r="BW54" i="3479" s="1"/>
  <c r="BU54" i="3479" a="1"/>
  <c r="BU54" i="3479" s="1"/>
  <c r="CK39" i="3479" a="1"/>
  <c r="CK39" i="3479" s="1"/>
  <c r="CL39" i="3479" s="1" a="1"/>
  <c r="CL39" i="3479" s="1"/>
  <c r="CJ39" i="3479" a="1"/>
  <c r="CJ39" i="3479" s="1"/>
  <c r="BU23" i="3479" a="1"/>
  <c r="BU23" i="3479" s="1"/>
  <c r="BV23" i="3479" a="1"/>
  <c r="BV23" i="3479" s="1"/>
  <c r="BW23" i="3479" s="1" a="1"/>
  <c r="BW23" i="3479" s="1"/>
  <c r="ES52" i="3479" a="1"/>
  <c r="ES52" i="3479" s="1"/>
  <c r="ET52" i="3479" s="1" a="1"/>
  <c r="ET52" i="3479" s="1"/>
  <c r="ER52" i="3479" a="1"/>
  <c r="ER52" i="3479" s="1"/>
  <c r="EU52" i="3479" s="1" a="1"/>
  <c r="EU52" i="3479" s="1"/>
  <c r="EV52" i="3479" s="1" a="1"/>
  <c r="EV52" i="3479" s="1"/>
  <c r="ES63" i="3479" a="1"/>
  <c r="ES63" i="3479" s="1"/>
  <c r="ET63" i="3479" s="1" a="1"/>
  <c r="ET63" i="3479" s="1"/>
  <c r="ER63" i="3479" a="1"/>
  <c r="ER63" i="3479" s="1"/>
  <c r="EU63" i="3479" s="1" a="1"/>
  <c r="EU63" i="3479" s="1"/>
  <c r="EV63" i="3479" s="1" a="1"/>
  <c r="EV63" i="3479" s="1"/>
  <c r="DO47" i="3479" a="1"/>
  <c r="DO47" i="3479" s="1"/>
  <c r="DP47" i="3479" s="1" a="1"/>
  <c r="DP47" i="3479" s="1"/>
  <c r="DN47" i="3479" a="1"/>
  <c r="DN47" i="3479" s="1"/>
  <c r="DQ47" i="3479" s="1" a="1"/>
  <c r="DQ47" i="3479" s="1"/>
  <c r="DR47" i="3479" s="1" a="1"/>
  <c r="DR47" i="3479" s="1"/>
  <c r="DN65" i="3479" a="1"/>
  <c r="DN65" i="3479" s="1"/>
  <c r="DQ65" i="3479" s="1" a="1"/>
  <c r="DQ65" i="3479" s="1"/>
  <c r="DR65" i="3479" s="1" a="1"/>
  <c r="DR65" i="3479" s="1"/>
  <c r="DO65" i="3479" a="1"/>
  <c r="DO65" i="3479" s="1"/>
  <c r="DP65" i="3479" s="1" a="1"/>
  <c r="DP65" i="3479" s="1"/>
  <c r="AB21" i="3479" a="1"/>
  <c r="AB21" i="3479" s="1"/>
  <c r="AC21" i="3479" a="1"/>
  <c r="AC21" i="3479" s="1"/>
  <c r="AD21" i="3479" s="1" a="1"/>
  <c r="AD21" i="3479" s="1"/>
  <c r="EC22" i="3479" a="1"/>
  <c r="EC22" i="3479" s="1"/>
  <c r="EF22" i="3479" s="1" a="1"/>
  <c r="EF22" i="3479" s="1"/>
  <c r="EG22" i="3479" s="1" a="1"/>
  <c r="EG22" i="3479" s="1"/>
  <c r="ED22" i="3479" a="1"/>
  <c r="ED22" i="3479" s="1"/>
  <c r="EE22" i="3479" s="1" a="1"/>
  <c r="EE22" i="3479" s="1"/>
  <c r="CZ51" i="3479" a="1"/>
  <c r="CZ51" i="3479" s="1"/>
  <c r="DA51" i="3479" s="1" a="1"/>
  <c r="DA51" i="3479" s="1"/>
  <c r="CY51" i="3479" a="1"/>
  <c r="CY51" i="3479" s="1"/>
  <c r="DB51" i="3479" s="1" a="1"/>
  <c r="DB51" i="3479" s="1"/>
  <c r="DC51" i="3479" s="1" a="1"/>
  <c r="DC51" i="3479" s="1"/>
  <c r="CY65" i="3479" a="1"/>
  <c r="CY65" i="3479" s="1"/>
  <c r="DB65" i="3479" s="1" a="1"/>
  <c r="DB65" i="3479" s="1"/>
  <c r="DC65" i="3479" s="1" a="1"/>
  <c r="DC65" i="3479" s="1"/>
  <c r="CZ65" i="3479" a="1"/>
  <c r="CZ65" i="3479" s="1"/>
  <c r="DA65" i="3479" s="1" a="1"/>
  <c r="DA65" i="3479" s="1"/>
  <c r="CR29" i="3479" a="1"/>
  <c r="CR29" i="3479" s="1"/>
  <c r="CQ29" i="3479" a="1"/>
  <c r="CQ29" i="3479" s="1"/>
  <c r="CP29" i="3479" a="1"/>
  <c r="CP29" i="3479" s="1"/>
  <c r="EZ37" i="3479" a="1"/>
  <c r="EZ37" i="3479" s="1"/>
  <c r="EY37" i="3479" a="1"/>
  <c r="EY37" i="3479" s="1"/>
  <c r="EX37" i="3479" a="1"/>
  <c r="EX37" i="3479" s="1"/>
  <c r="D42" i="3560"/>
  <c r="A42" i="3560"/>
  <c r="A66" i="3560"/>
  <c r="D66" i="3560"/>
  <c r="A62" i="3560"/>
  <c r="D62" i="3560"/>
  <c r="D56" i="3560"/>
  <c r="A56" i="3560"/>
  <c r="N34" i="3479" a="1"/>
  <c r="N34" i="3479" s="1"/>
  <c r="O34" i="3479" s="1" a="1"/>
  <c r="O34" i="3479" s="1"/>
  <c r="M34" i="3479" a="1"/>
  <c r="M34" i="3479" s="1"/>
  <c r="I78" i="3445" a="1"/>
  <c r="I78" i="3445" s="1"/>
  <c r="O78" i="3445" s="1"/>
  <c r="O84" i="3445"/>
  <c r="M41" i="3479" a="1"/>
  <c r="M41" i="3479" s="1"/>
  <c r="N41" i="3479" a="1"/>
  <c r="N41" i="3479" s="1"/>
  <c r="O41" i="3479" s="1" a="1"/>
  <c r="O41" i="3479" s="1"/>
  <c r="EC30" i="3479" a="1"/>
  <c r="EC30" i="3479" s="1"/>
  <c r="EF30" i="3479" s="1" a="1"/>
  <c r="EF30" i="3479" s="1"/>
  <c r="EG30" i="3479" s="1" a="1"/>
  <c r="EG30" i="3479" s="1"/>
  <c r="ED30" i="3479" a="1"/>
  <c r="ED30" i="3479" s="1"/>
  <c r="EE30" i="3479" s="1" a="1"/>
  <c r="EE30" i="3479" s="1"/>
  <c r="AR44" i="3479" a="1"/>
  <c r="AR44" i="3479" s="1"/>
  <c r="AS44" i="3479" s="1" a="1"/>
  <c r="AS44" i="3479" s="1"/>
  <c r="AQ44" i="3479" a="1"/>
  <c r="AQ44" i="3479" s="1"/>
  <c r="BV63" i="3479" a="1"/>
  <c r="BV63" i="3479" s="1"/>
  <c r="BW63" i="3479" s="1" a="1"/>
  <c r="BW63" i="3479" s="1"/>
  <c r="BU63" i="3479" a="1"/>
  <c r="BU63" i="3479" s="1"/>
  <c r="BV27" i="3479" a="1"/>
  <c r="BV27" i="3479" s="1"/>
  <c r="BW27" i="3479" s="1" a="1"/>
  <c r="BW27" i="3479" s="1"/>
  <c r="BU27" i="3479" a="1"/>
  <c r="BU27" i="3479" s="1"/>
  <c r="CK46" i="3479" a="1"/>
  <c r="CK46" i="3479" s="1"/>
  <c r="CL46" i="3479" s="1" a="1"/>
  <c r="CL46" i="3479" s="1"/>
  <c r="CJ46" i="3479" a="1"/>
  <c r="CJ46" i="3479" s="1"/>
  <c r="BV25" i="3479" a="1"/>
  <c r="BV25" i="3479" s="1"/>
  <c r="BW25" i="3479" s="1" a="1"/>
  <c r="BW25" i="3479" s="1"/>
  <c r="BU25" i="3479" a="1"/>
  <c r="BU25" i="3479" s="1"/>
  <c r="BG43" i="3479" a="1"/>
  <c r="BG43" i="3479" s="1"/>
  <c r="BH43" i="3479" s="1" a="1"/>
  <c r="BH43" i="3479" s="1"/>
  <c r="BF43" i="3479" a="1"/>
  <c r="BF43" i="3479" s="1"/>
  <c r="ER25" i="3479" a="1"/>
  <c r="ER25" i="3479" s="1"/>
  <c r="EU25" i="3479" s="1" a="1"/>
  <c r="EU25" i="3479" s="1"/>
  <c r="EV25" i="3479" s="1" a="1"/>
  <c r="EV25" i="3479" s="1"/>
  <c r="ES25" i="3479" a="1"/>
  <c r="ES25" i="3479" s="1"/>
  <c r="ET25" i="3479" s="1" a="1"/>
  <c r="ET25" i="3479" s="1"/>
  <c r="ER61" i="3479" a="1"/>
  <c r="ER61" i="3479" s="1"/>
  <c r="EU61" i="3479" s="1" a="1"/>
  <c r="EU61" i="3479" s="1"/>
  <c r="EV61" i="3479" s="1" a="1"/>
  <c r="EV61" i="3479" s="1"/>
  <c r="ES61" i="3479" a="1"/>
  <c r="ES61" i="3479" s="1"/>
  <c r="ET61" i="3479" s="1" a="1"/>
  <c r="ET61" i="3479" s="1"/>
  <c r="AR53" i="3479" a="1"/>
  <c r="AR53" i="3479" s="1"/>
  <c r="AS53" i="3479" s="1" a="1"/>
  <c r="AS53" i="3479" s="1"/>
  <c r="AQ53" i="3479" a="1"/>
  <c r="AQ53" i="3479" s="1"/>
  <c r="DN57" i="3479" a="1"/>
  <c r="DN57" i="3479" s="1"/>
  <c r="DQ57" i="3479" s="1" a="1"/>
  <c r="DQ57" i="3479" s="1"/>
  <c r="DR57" i="3479" s="1" a="1"/>
  <c r="DR57" i="3479" s="1"/>
  <c r="DO57" i="3479" a="1"/>
  <c r="DO57" i="3479" s="1"/>
  <c r="DP57" i="3479" s="1" a="1"/>
  <c r="DP57" i="3479" s="1"/>
  <c r="DO49" i="3479" a="1"/>
  <c r="DO49" i="3479" s="1"/>
  <c r="DP49" i="3479" s="1" a="1"/>
  <c r="DP49" i="3479" s="1"/>
  <c r="DN49" i="3479" a="1"/>
  <c r="DN49" i="3479" s="1"/>
  <c r="DQ49" i="3479" s="1" a="1"/>
  <c r="DQ49" i="3479" s="1"/>
  <c r="DR49" i="3479" s="1" a="1"/>
  <c r="DR49" i="3479" s="1"/>
  <c r="AC53" i="3479" a="1"/>
  <c r="AC53" i="3479" s="1"/>
  <c r="AD53" i="3479" s="1" a="1"/>
  <c r="AD53" i="3479" s="1"/>
  <c r="AB53" i="3479" a="1"/>
  <c r="AB53" i="3479" s="1"/>
  <c r="AB69" i="3479" a="1"/>
  <c r="AB69" i="3479" s="1"/>
  <c r="AC69" i="3479" a="1"/>
  <c r="AC69" i="3479" s="1"/>
  <c r="AD69" i="3479" s="1" a="1"/>
  <c r="AD69" i="3479" s="1"/>
  <c r="ED23" i="3479" a="1"/>
  <c r="ED23" i="3479" s="1"/>
  <c r="EE23" i="3479" s="1" a="1"/>
  <c r="EE23" i="3479" s="1"/>
  <c r="EC23" i="3479" a="1"/>
  <c r="EC23" i="3479" s="1"/>
  <c r="EF23" i="3479" s="1" a="1"/>
  <c r="EF23" i="3479" s="1"/>
  <c r="EG23" i="3479" s="1" a="1"/>
  <c r="EG23" i="3479" s="1"/>
  <c r="CZ25" i="3479" a="1"/>
  <c r="CZ25" i="3479" s="1"/>
  <c r="DA25" i="3479" s="1" a="1"/>
  <c r="DA25" i="3479" s="1"/>
  <c r="CY25" i="3479" a="1"/>
  <c r="CY25" i="3479" s="1"/>
  <c r="DB25" i="3479" s="1" a="1"/>
  <c r="DB25" i="3479" s="1"/>
  <c r="DC25" i="3479" s="1" a="1"/>
  <c r="DC25" i="3479" s="1"/>
  <c r="CY55" i="3479" a="1"/>
  <c r="CY55" i="3479" s="1"/>
  <c r="DB55" i="3479" s="1" a="1"/>
  <c r="DB55" i="3479" s="1"/>
  <c r="DC55" i="3479" s="1" a="1"/>
  <c r="DC55" i="3479" s="1"/>
  <c r="CZ55" i="3479" a="1"/>
  <c r="CZ55" i="3479" s="1"/>
  <c r="DA55" i="3479" s="1" a="1"/>
  <c r="DA55" i="3479" s="1"/>
  <c r="DO36" i="3479" a="1"/>
  <c r="DO36" i="3479" s="1"/>
  <c r="DP36" i="3479" s="1" a="1"/>
  <c r="DP36" i="3479" s="1"/>
  <c r="DN36" i="3479" a="1"/>
  <c r="DN36" i="3479" s="1"/>
  <c r="DQ36" i="3479" s="1" a="1"/>
  <c r="DQ36" i="3479" s="1"/>
  <c r="DR36" i="3479" s="1" a="1"/>
  <c r="DR36" i="3479" s="1"/>
  <c r="K62" i="3560"/>
  <c r="I62" i="3560"/>
  <c r="O62" i="3560" s="1" a="1"/>
  <c r="O62" i="3560" s="1"/>
  <c r="L62" i="3560"/>
  <c r="J62" i="3560"/>
  <c r="P62" i="3560" s="1" a="1"/>
  <c r="P62" i="3560" s="1"/>
  <c r="J56" i="3560"/>
  <c r="P56" i="3560" s="1" a="1"/>
  <c r="P56" i="3560" s="1"/>
  <c r="I56" i="3560"/>
  <c r="O56" i="3560" s="1" a="1"/>
  <c r="O56" i="3560" s="1"/>
  <c r="L56" i="3560"/>
  <c r="K56" i="3560"/>
  <c r="M51" i="3479" a="1"/>
  <c r="M51" i="3479" s="1"/>
  <c r="N51" i="3479" a="1"/>
  <c r="N51" i="3479" s="1"/>
  <c r="O51" i="3479" s="1" a="1"/>
  <c r="O51" i="3479" s="1"/>
  <c r="N63" i="3445" a="1"/>
  <c r="N63" i="3445" s="1"/>
  <c r="A69" i="3445"/>
  <c r="N78" i="3445" a="1"/>
  <c r="N78" i="3445" s="1"/>
  <c r="O56" i="3445"/>
  <c r="L56" i="3445"/>
  <c r="M56" i="3445" s="1"/>
  <c r="H37" i="3436" s="1"/>
  <c r="A56" i="3445"/>
  <c r="N91" i="3445" a="1"/>
  <c r="N91" i="3445" s="1"/>
  <c r="A51" i="3444"/>
  <c r="A29" i="3444"/>
  <c r="A55" i="3444"/>
  <c r="BI92" i="3489" a="1"/>
  <c r="BI92" i="3489" s="1"/>
  <c r="AW89" i="3489" a="1"/>
  <c r="AW89" i="3489" s="1"/>
  <c r="BG64" i="3489" a="1"/>
  <c r="BG64" i="3489" s="1"/>
  <c r="AT64" i="3489" a="1"/>
  <c r="AT64" i="3489" s="1"/>
  <c r="AG64" i="3489" a="1"/>
  <c r="AG64" i="3489" s="1"/>
  <c r="T64" i="3489" a="1"/>
  <c r="T64" i="3489" s="1"/>
  <c r="AX64" i="3489" a="1"/>
  <c r="AX64" i="3489" s="1"/>
  <c r="AI64" i="3489" a="1"/>
  <c r="AI64" i="3489" s="1"/>
  <c r="S64" i="3489" a="1"/>
  <c r="S64" i="3489" s="1"/>
  <c r="R64" i="3489" a="1"/>
  <c r="R64" i="3489" s="1"/>
  <c r="AW64" i="3489" a="1"/>
  <c r="AW64" i="3489" s="1"/>
  <c r="AH64" i="3489" a="1"/>
  <c r="AH64" i="3489" s="1"/>
  <c r="Q64" i="3489" a="1"/>
  <c r="Q64" i="3489" s="1"/>
  <c r="AV64" i="3489" a="1"/>
  <c r="AV64" i="3489" s="1"/>
  <c r="AF64" i="3489" a="1"/>
  <c r="AF64" i="3489" s="1"/>
  <c r="P64" i="3489" a="1"/>
  <c r="P64" i="3489" s="1"/>
  <c r="AE64" i="3489" a="1"/>
  <c r="AE64" i="3489" s="1"/>
  <c r="O64" i="3489" a="1"/>
  <c r="O64" i="3489" s="1"/>
  <c r="AU64" i="3489" a="1"/>
  <c r="AU64" i="3489" s="1"/>
  <c r="AD64" i="3489" a="1"/>
  <c r="AD64" i="3489" s="1"/>
  <c r="BI64" i="3489" a="1"/>
  <c r="BI64" i="3489" s="1"/>
  <c r="AS64" i="3489" a="1"/>
  <c r="AS64" i="3489" s="1"/>
  <c r="AC64" i="3489" a="1"/>
  <c r="AC64" i="3489" s="1"/>
  <c r="BE64" i="3489" a="1"/>
  <c r="BE64" i="3489" s="1"/>
  <c r="BD64" i="3489" a="1"/>
  <c r="BD64" i="3489" s="1"/>
  <c r="AO64" i="3489" a="1"/>
  <c r="AO64" i="3489" s="1"/>
  <c r="Y64" i="3489" a="1"/>
  <c r="Y64" i="3489" s="1"/>
  <c r="BC64" i="3489" a="1"/>
  <c r="BC64" i="3489" s="1"/>
  <c r="AN64" i="3489" a="1"/>
  <c r="AN64" i="3489" s="1"/>
  <c r="X64" i="3489" a="1"/>
  <c r="X64" i="3489" s="1"/>
  <c r="AZ64" i="3489" a="1"/>
  <c r="AZ64" i="3489" s="1"/>
  <c r="AJ64" i="3489" a="1"/>
  <c r="AJ64" i="3489" s="1"/>
  <c r="U64" i="3489" a="1"/>
  <c r="U64" i="3489" s="1"/>
  <c r="B64" i="3489"/>
  <c r="AL64" i="3489" a="1"/>
  <c r="AL64" i="3489" s="1"/>
  <c r="AK64" i="3489" a="1"/>
  <c r="AK64" i="3489" s="1"/>
  <c r="BH64" i="3489" a="1"/>
  <c r="BH64" i="3489" s="1"/>
  <c r="AB64" i="3489" a="1"/>
  <c r="AB64" i="3489" s="1"/>
  <c r="AA64" i="3489" a="1"/>
  <c r="AA64" i="3489" s="1"/>
  <c r="BB64" i="3489" a="1"/>
  <c r="BB64" i="3489" s="1"/>
  <c r="W64" i="3489" a="1"/>
  <c r="W64" i="3489" s="1"/>
  <c r="BA64" i="3489" a="1"/>
  <c r="BA64" i="3489" s="1"/>
  <c r="V64" i="3489" a="1"/>
  <c r="V64" i="3489" s="1"/>
  <c r="AY64" i="3489" a="1"/>
  <c r="AY64" i="3489" s="1"/>
  <c r="N64" i="3489" a="1"/>
  <c r="N64" i="3489" s="1"/>
  <c r="BF64" i="3489" a="1"/>
  <c r="BF64" i="3489" s="1"/>
  <c r="AM64" i="3489" a="1"/>
  <c r="AM64" i="3489" s="1"/>
  <c r="AQ64" i="3489" a="1"/>
  <c r="AQ64" i="3489" s="1"/>
  <c r="AP64" i="3489" a="1"/>
  <c r="AP64" i="3489" s="1"/>
  <c r="Z64" i="3489" a="1"/>
  <c r="Z64" i="3489" s="1"/>
  <c r="M64" i="3489" a="1"/>
  <c r="M64" i="3489" s="1"/>
  <c r="AR64" i="3489" a="1"/>
  <c r="AR64" i="3489" s="1"/>
  <c r="K64" i="3489" a="1"/>
  <c r="K64" i="3489" s="1"/>
  <c r="L64" i="3489" a="1"/>
  <c r="L64" i="3489" s="1"/>
  <c r="AX92" i="3489" a="1"/>
  <c r="AX92" i="3489" s="1"/>
  <c r="Z92" i="3489" a="1"/>
  <c r="Z92" i="3489" s="1"/>
  <c r="AM52" i="3489" a="1"/>
  <c r="AM52" i="3489" s="1"/>
  <c r="AK52" i="3489" a="1"/>
  <c r="AK52" i="3489" s="1"/>
  <c r="U29" i="3489" a="1"/>
  <c r="U29" i="3489" s="1"/>
  <c r="I73" i="3523" a="1"/>
  <c r="I73" i="3523" s="1"/>
  <c r="H73" i="3523" a="1"/>
  <c r="H73" i="3523" s="1"/>
  <c r="G72" i="3448"/>
  <c r="BW72" i="3448" s="1"/>
  <c r="BO72" i="3448"/>
  <c r="BP72" i="3448"/>
  <c r="M72" i="3448"/>
  <c r="M60" i="3448"/>
  <c r="G60" i="3448"/>
  <c r="BW60" i="3448" s="1"/>
  <c r="G75" i="3448"/>
  <c r="BW75" i="3448" s="1"/>
  <c r="BP73" i="3448"/>
  <c r="BO73" i="3448"/>
  <c r="G73" i="3448"/>
  <c r="BW73" i="3448" s="1"/>
  <c r="G76" i="3436"/>
  <c r="J95" i="3445" s="1" a="1"/>
  <c r="J95" i="3445" s="1"/>
  <c r="P95" i="3445" s="1"/>
  <c r="Q95" i="3445" s="1"/>
  <c r="G21" i="3436"/>
  <c r="V39" i="3436" a="1"/>
  <c r="V39" i="3436" s="1"/>
  <c r="G54" i="3436"/>
  <c r="I56" i="3444" s="1"/>
  <c r="I96" i="3445" a="1"/>
  <c r="I96" i="3445" s="1"/>
  <c r="G72" i="3436"/>
  <c r="H142" i="3434" a="1"/>
  <c r="H142" i="3434" s="1"/>
  <c r="K142" i="3434" s="1" a="1"/>
  <c r="K142" i="3434" s="1"/>
  <c r="H130" i="3434" a="1"/>
  <c r="H130" i="3434" s="1"/>
  <c r="K130" i="3434" s="1" a="1"/>
  <c r="K130" i="3434" s="1"/>
  <c r="H118" i="3434" a="1"/>
  <c r="H118" i="3434" s="1"/>
  <c r="K118" i="3434" s="1" a="1"/>
  <c r="K118" i="3434" s="1"/>
  <c r="H141" i="3434" a="1"/>
  <c r="H141" i="3434" s="1"/>
  <c r="K141" i="3434" s="1" a="1"/>
  <c r="K141" i="3434" s="1"/>
  <c r="H129" i="3434" a="1"/>
  <c r="H129" i="3434" s="1"/>
  <c r="K129" i="3434" s="1" a="1"/>
  <c r="K129" i="3434" s="1"/>
  <c r="H143" i="3434" a="1"/>
  <c r="H143" i="3434" s="1"/>
  <c r="K143" i="3434" s="1" a="1"/>
  <c r="K143" i="3434" s="1"/>
  <c r="H144" i="3434" a="1"/>
  <c r="H144" i="3434" s="1"/>
  <c r="K144" i="3434" s="1" a="1"/>
  <c r="K144" i="3434" s="1"/>
  <c r="H110" i="3434" a="1"/>
  <c r="H110" i="3434" s="1"/>
  <c r="K110" i="3434" s="1" a="1"/>
  <c r="K110" i="3434" s="1"/>
  <c r="H103" i="3434" a="1"/>
  <c r="H103" i="3434" s="1"/>
  <c r="K103" i="3434" s="1" a="1"/>
  <c r="K103" i="3434" s="1"/>
  <c r="H134" i="3434" a="1"/>
  <c r="H134" i="3434" s="1"/>
  <c r="K134" i="3434" s="1" a="1"/>
  <c r="K134" i="3434" s="1"/>
  <c r="H115" i="3434" a="1"/>
  <c r="H115" i="3434" s="1"/>
  <c r="K115" i="3434" s="1" a="1"/>
  <c r="K115" i="3434" s="1"/>
  <c r="H124" i="3434" a="1"/>
  <c r="H124" i="3434" s="1"/>
  <c r="K124" i="3434" s="1" a="1"/>
  <c r="K124" i="3434" s="1"/>
  <c r="H125" i="3434" a="1"/>
  <c r="H125" i="3434" s="1"/>
  <c r="K125" i="3434" s="1" a="1"/>
  <c r="K125" i="3434" s="1"/>
  <c r="H138" i="3434" a="1"/>
  <c r="H138" i="3434" s="1"/>
  <c r="K138" i="3434" s="1" a="1"/>
  <c r="K138" i="3434" s="1"/>
  <c r="H104" i="3434" a="1"/>
  <c r="H104" i="3434" s="1"/>
  <c r="K104" i="3434" s="1" a="1"/>
  <c r="K104" i="3434" s="1"/>
  <c r="H102" i="3434" a="1"/>
  <c r="H102" i="3434" s="1"/>
  <c r="K102" i="3434" s="1" a="1"/>
  <c r="K102" i="3434" s="1"/>
  <c r="H101" i="3434" a="1"/>
  <c r="H101" i="3434" s="1"/>
  <c r="K101" i="3434" s="1" a="1"/>
  <c r="K101" i="3434" s="1"/>
  <c r="H100" i="3434" a="1"/>
  <c r="H100" i="3434" s="1"/>
  <c r="K100" i="3434" s="1" a="1"/>
  <c r="K100" i="3434" s="1"/>
  <c r="H99" i="3434" a="1"/>
  <c r="H99" i="3434" s="1"/>
  <c r="K99" i="3434" s="1" a="1"/>
  <c r="K99" i="3434" s="1"/>
  <c r="H139" i="3434" a="1"/>
  <c r="H139" i="3434" s="1"/>
  <c r="K139" i="3434" s="1" a="1"/>
  <c r="K139" i="3434" s="1"/>
  <c r="H132" i="3434" a="1"/>
  <c r="H132" i="3434" s="1"/>
  <c r="K132" i="3434" s="1" a="1"/>
  <c r="K132" i="3434" s="1"/>
  <c r="H136" i="3434" a="1"/>
  <c r="H136" i="3434" s="1"/>
  <c r="K136" i="3434" s="1" a="1"/>
  <c r="K136" i="3434" s="1"/>
  <c r="H121" i="3434" a="1"/>
  <c r="H121" i="3434" s="1"/>
  <c r="K121" i="3434" s="1" a="1"/>
  <c r="K121" i="3434" s="1"/>
  <c r="H112" i="3434" a="1"/>
  <c r="H112" i="3434" s="1"/>
  <c r="K112" i="3434" s="1" a="1"/>
  <c r="K112" i="3434" s="1"/>
  <c r="H96" i="3434" a="1"/>
  <c r="H96" i="3434" s="1"/>
  <c r="K96" i="3434" s="1" a="1"/>
  <c r="K96" i="3434" s="1"/>
  <c r="H114" i="3434" a="1"/>
  <c r="H114" i="3434" s="1"/>
  <c r="K114" i="3434" s="1" a="1"/>
  <c r="K114" i="3434" s="1"/>
  <c r="H137" i="3434" a="1"/>
  <c r="H137" i="3434" s="1"/>
  <c r="K137" i="3434" s="1" a="1"/>
  <c r="K137" i="3434" s="1"/>
  <c r="H135" i="3434" a="1"/>
  <c r="H135" i="3434" s="1"/>
  <c r="K135" i="3434" s="1" a="1"/>
  <c r="K135" i="3434" s="1"/>
  <c r="H128" i="3434" a="1"/>
  <c r="H128" i="3434" s="1"/>
  <c r="K128" i="3434" s="1" a="1"/>
  <c r="K128" i="3434" s="1"/>
  <c r="H108" i="3434" a="1"/>
  <c r="H108" i="3434" s="1"/>
  <c r="K108" i="3434" s="1" a="1"/>
  <c r="K108" i="3434" s="1"/>
  <c r="H105" i="3434" a="1"/>
  <c r="H105" i="3434" s="1"/>
  <c r="K105" i="3434" s="1" a="1"/>
  <c r="K105" i="3434" s="1"/>
  <c r="H127" i="3434" a="1"/>
  <c r="H127" i="3434" s="1"/>
  <c r="K127" i="3434" s="1" a="1"/>
  <c r="K127" i="3434" s="1"/>
  <c r="H123" i="3434" a="1"/>
  <c r="H123" i="3434" s="1"/>
  <c r="K123" i="3434" s="1" a="1"/>
  <c r="K123" i="3434" s="1"/>
  <c r="H116" i="3434" a="1"/>
  <c r="H116" i="3434" s="1"/>
  <c r="K116" i="3434" s="1" a="1"/>
  <c r="K116" i="3434" s="1"/>
  <c r="H133" i="3434" a="1"/>
  <c r="H133" i="3434" s="1"/>
  <c r="K133" i="3434" s="1" a="1"/>
  <c r="K133" i="3434" s="1"/>
  <c r="H120" i="3434" a="1"/>
  <c r="H120" i="3434" s="1"/>
  <c r="K120" i="3434" s="1" a="1"/>
  <c r="K120" i="3434" s="1"/>
  <c r="H97" i="3434" a="1"/>
  <c r="H97" i="3434" s="1"/>
  <c r="K97" i="3434" s="1" a="1"/>
  <c r="K97" i="3434" s="1"/>
  <c r="H131" i="3434" a="1"/>
  <c r="H131" i="3434" s="1"/>
  <c r="K131" i="3434" s="1" a="1"/>
  <c r="K131" i="3434" s="1"/>
  <c r="H126" i="3434" a="1"/>
  <c r="H126" i="3434" s="1"/>
  <c r="K126" i="3434" s="1" a="1"/>
  <c r="K126" i="3434" s="1"/>
  <c r="H113" i="3434" a="1"/>
  <c r="H113" i="3434" s="1"/>
  <c r="K113" i="3434" s="1" a="1"/>
  <c r="K113" i="3434" s="1"/>
  <c r="H109" i="3434" a="1"/>
  <c r="H109" i="3434" s="1"/>
  <c r="K109" i="3434" s="1" a="1"/>
  <c r="K109" i="3434" s="1"/>
  <c r="H95" i="3434" a="1"/>
  <c r="H95" i="3434" s="1"/>
  <c r="K95" i="3434" s="1" a="1"/>
  <c r="K95" i="3434" s="1"/>
  <c r="H119" i="3434" a="1"/>
  <c r="H119" i="3434" s="1"/>
  <c r="K119" i="3434" s="1" a="1"/>
  <c r="K119" i="3434" s="1"/>
  <c r="H140" i="3434" a="1"/>
  <c r="H140" i="3434" s="1"/>
  <c r="K140" i="3434" s="1" a="1"/>
  <c r="K140" i="3434" s="1"/>
  <c r="H98" i="3434" a="1"/>
  <c r="H98" i="3434" s="1"/>
  <c r="K98" i="3434" s="1" a="1"/>
  <c r="K98" i="3434" s="1"/>
  <c r="H111" i="3434" a="1"/>
  <c r="H111" i="3434" s="1"/>
  <c r="K111" i="3434" s="1" a="1"/>
  <c r="K111" i="3434" s="1"/>
  <c r="H117" i="3434" a="1"/>
  <c r="H117" i="3434" s="1"/>
  <c r="K117" i="3434" s="1" a="1"/>
  <c r="K117" i="3434" s="1"/>
  <c r="H122" i="3434" a="1"/>
  <c r="H122" i="3434" s="1"/>
  <c r="K122" i="3434" s="1" a="1"/>
  <c r="K122" i="3434" s="1"/>
  <c r="H106" i="3434" a="1"/>
  <c r="H106" i="3434" s="1"/>
  <c r="K106" i="3434" s="1" a="1"/>
  <c r="K106" i="3434" s="1"/>
  <c r="B55" i="3434" a="1"/>
  <c r="B55" i="3434" s="1"/>
  <c r="B56" i="3434" s="1"/>
  <c r="B58" i="3434" s="1"/>
  <c r="G13" i="3480" s="1"/>
  <c r="H107" i="3434" a="1"/>
  <c r="H107" i="3434" s="1"/>
  <c r="K107" i="3434" s="1" a="1"/>
  <c r="K107" i="3434" s="1"/>
  <c r="E58" i="3570" a="1"/>
  <c r="E58" i="3570" s="1"/>
  <c r="E65" i="3570" a="1"/>
  <c r="E65" i="3570" s="1"/>
  <c r="E49" i="3570" a="1"/>
  <c r="E49" i="3570" s="1"/>
  <c r="E41" i="3570" a="1"/>
  <c r="E41" i="3570" s="1"/>
  <c r="E33" i="3570" a="1"/>
  <c r="E33" i="3570" s="1"/>
  <c r="E25" i="3570" a="1"/>
  <c r="E25" i="3570" s="1"/>
  <c r="E17" i="3570" a="1"/>
  <c r="E17" i="3570" s="1"/>
  <c r="E63" i="3570" a="1"/>
  <c r="E63" i="3570" s="1"/>
  <c r="E64" i="3570" a="1"/>
  <c r="E64" i="3570" s="1"/>
  <c r="E62" i="3570" a="1"/>
  <c r="E62" i="3570" s="1"/>
  <c r="E61" i="3570" a="1"/>
  <c r="E61" i="3570" s="1"/>
  <c r="E53" i="3570" a="1"/>
  <c r="E53" i="3570" s="1"/>
  <c r="E56" i="3570" a="1"/>
  <c r="E56" i="3570" s="1"/>
  <c r="E38" i="3570" a="1"/>
  <c r="E38" i="3570" s="1"/>
  <c r="E28" i="3570" a="1"/>
  <c r="E28" i="3570" s="1"/>
  <c r="E42" i="3570" a="1"/>
  <c r="E42" i="3570" s="1"/>
  <c r="E23" i="3570" a="1"/>
  <c r="E23" i="3570" s="1"/>
  <c r="E18" i="3570" a="1"/>
  <c r="E18" i="3570" s="1"/>
  <c r="E39" i="3570" a="1"/>
  <c r="E39" i="3570" s="1"/>
  <c r="E34" i="3570" a="1"/>
  <c r="E34" i="3570" s="1"/>
  <c r="E22" i="3570" a="1"/>
  <c r="E22" i="3570" s="1"/>
  <c r="E35" i="3570" a="1"/>
  <c r="E35" i="3570" s="1"/>
  <c r="E26" i="3570" a="1"/>
  <c r="E26" i="3570" s="1"/>
  <c r="E43" i="3570" a="1"/>
  <c r="E43" i="3570" s="1"/>
  <c r="E55" i="3570" a="1"/>
  <c r="E55" i="3570" s="1"/>
  <c r="E46" i="3570" a="1"/>
  <c r="E46" i="3570" s="1"/>
  <c r="E40" i="3570" a="1"/>
  <c r="E40" i="3570" s="1"/>
  <c r="E21" i="3570" a="1"/>
  <c r="E21" i="3570" s="1"/>
  <c r="E57" i="3570" a="1"/>
  <c r="E57" i="3570" s="1"/>
  <c r="E52" i="3570" a="1"/>
  <c r="E52" i="3570" s="1"/>
  <c r="E36" i="3570" a="1"/>
  <c r="E36" i="3570" s="1"/>
  <c r="E16" i="3570" a="1"/>
  <c r="E16" i="3570" s="1"/>
  <c r="E20" i="3570" a="1"/>
  <c r="E20" i="3570" s="1"/>
  <c r="E50" i="3570" a="1"/>
  <c r="E50" i="3570" s="1"/>
  <c r="E44" i="3570" a="1"/>
  <c r="E44" i="3570" s="1"/>
  <c r="E30" i="3570" a="1"/>
  <c r="E30" i="3570" s="1"/>
  <c r="E19" i="3570" a="1"/>
  <c r="E19" i="3570" s="1"/>
  <c r="E60" i="3570" a="1"/>
  <c r="E60" i="3570" s="1"/>
  <c r="E45" i="3570" a="1"/>
  <c r="E45" i="3570" s="1"/>
  <c r="E29" i="3570" a="1"/>
  <c r="E29" i="3570" s="1"/>
  <c r="E54" i="3570" a="1"/>
  <c r="E54" i="3570" s="1"/>
  <c r="E51" i="3570" a="1"/>
  <c r="E51" i="3570" s="1"/>
  <c r="E32" i="3570" a="1"/>
  <c r="E32" i="3570" s="1"/>
  <c r="E24" i="3570" a="1"/>
  <c r="E24" i="3570" s="1"/>
  <c r="E31" i="3570" a="1"/>
  <c r="E31" i="3570" s="1"/>
  <c r="E27" i="3570" a="1"/>
  <c r="E27" i="3570" s="1"/>
  <c r="E48" i="3570" a="1"/>
  <c r="E48" i="3570" s="1"/>
  <c r="E37" i="3570" a="1"/>
  <c r="E37" i="3570" s="1"/>
  <c r="E59" i="3570" a="1"/>
  <c r="E59" i="3570" s="1"/>
  <c r="E47" i="3570" a="1"/>
  <c r="E47" i="3570" s="1"/>
  <c r="F24" i="3518" a="1"/>
  <c r="F24" i="3518" s="1"/>
  <c r="G24" i="3518" a="1"/>
  <c r="G24" i="3518" s="1"/>
  <c r="F49" i="3518" a="1"/>
  <c r="F49" i="3518" s="1"/>
  <c r="G49" i="3518" a="1"/>
  <c r="G49" i="3518" s="1"/>
  <c r="G45" i="3518" a="1"/>
  <c r="G45" i="3518" s="1"/>
  <c r="F45" i="3518" a="1"/>
  <c r="F45" i="3518" s="1"/>
  <c r="F74" i="3528" a="1"/>
  <c r="F74" i="3528" s="1"/>
  <c r="F143" i="3528" a="1"/>
  <c r="F143" i="3528" s="1"/>
  <c r="F108" i="3528" a="1"/>
  <c r="F108" i="3528" s="1"/>
  <c r="E50" i="3528" a="1"/>
  <c r="E50" i="3528" s="1"/>
  <c r="E119" i="3528" a="1"/>
  <c r="E119" i="3528" s="1"/>
  <c r="E84" i="3528" a="1"/>
  <c r="E84" i="3528" s="1"/>
  <c r="N124" i="3528" a="1"/>
  <c r="N124" i="3528" s="1"/>
  <c r="N55" i="3528" a="1"/>
  <c r="N55" i="3528" s="1"/>
  <c r="N89" i="3528" a="1"/>
  <c r="N89" i="3528" s="1"/>
  <c r="M124" i="3528" a="1"/>
  <c r="M124" i="3528" s="1"/>
  <c r="M89" i="3528" a="1"/>
  <c r="M89" i="3528" s="1"/>
  <c r="M55" i="3528" a="1"/>
  <c r="M55" i="3528" s="1"/>
  <c r="L123" i="3528" a="1"/>
  <c r="L123" i="3528" s="1"/>
  <c r="L54" i="3528" a="1"/>
  <c r="L54" i="3528" s="1"/>
  <c r="L88" i="3528" a="1"/>
  <c r="L88" i="3528" s="1"/>
  <c r="G142" i="3528" a="1"/>
  <c r="G142" i="3528" s="1"/>
  <c r="G73" i="3528" a="1"/>
  <c r="G73" i="3528" s="1"/>
  <c r="G107" i="3528" a="1"/>
  <c r="G107" i="3528" s="1"/>
  <c r="J104" i="3528" a="1"/>
  <c r="J104" i="3528" s="1"/>
  <c r="J139" i="3528" a="1"/>
  <c r="J139" i="3528" s="1"/>
  <c r="J70" i="3528" a="1"/>
  <c r="J70" i="3528" s="1"/>
  <c r="H62" i="3528" a="1"/>
  <c r="H62" i="3528" s="1"/>
  <c r="H96" i="3528" a="1"/>
  <c r="H96" i="3528" s="1"/>
  <c r="H131" i="3528" a="1"/>
  <c r="H131" i="3528" s="1"/>
  <c r="F142" i="3528" a="1"/>
  <c r="F142" i="3528" s="1"/>
  <c r="F73" i="3528" a="1"/>
  <c r="F73" i="3528" s="1"/>
  <c r="F107" i="3528" a="1"/>
  <c r="F107" i="3528" s="1"/>
  <c r="O121" i="3528" a="1"/>
  <c r="O121" i="3528" s="1"/>
  <c r="O86" i="3528" a="1"/>
  <c r="O86" i="3528" s="1"/>
  <c r="O52" i="3528" a="1"/>
  <c r="O52" i="3528" s="1"/>
  <c r="R131" i="3528" a="1"/>
  <c r="R131" i="3528" s="1"/>
  <c r="R62" i="3528" a="1"/>
  <c r="R62" i="3528" s="1"/>
  <c r="R96" i="3528" a="1"/>
  <c r="R96" i="3528" s="1"/>
  <c r="AN141" i="3528"/>
  <c r="X141" i="3528"/>
  <c r="K65" i="3528" a="1"/>
  <c r="K65" i="3528" s="1"/>
  <c r="K134" i="3528" a="1"/>
  <c r="K134" i="3528" s="1"/>
  <c r="K99" i="3528" a="1"/>
  <c r="K99" i="3528" s="1"/>
  <c r="K133" i="3528" a="1"/>
  <c r="K133" i="3528" s="1"/>
  <c r="K64" i="3528" a="1"/>
  <c r="K64" i="3528" s="1"/>
  <c r="K98" i="3528" a="1"/>
  <c r="K98" i="3528" s="1"/>
  <c r="R130" i="3528" a="1"/>
  <c r="R130" i="3528" s="1"/>
  <c r="R95" i="3528" a="1"/>
  <c r="R95" i="3528" s="1"/>
  <c r="R61" i="3528" a="1"/>
  <c r="R61" i="3528" s="1"/>
  <c r="Q129" i="3528" a="1"/>
  <c r="Q129" i="3528" s="1"/>
  <c r="Q94" i="3528" a="1"/>
  <c r="Q94" i="3528" s="1"/>
  <c r="Q60" i="3528" a="1"/>
  <c r="Q60" i="3528" s="1"/>
  <c r="X128" i="3528"/>
  <c r="AN128" i="3528"/>
  <c r="N127" i="3528" a="1"/>
  <c r="N127" i="3528" s="1"/>
  <c r="N92" i="3528" a="1"/>
  <c r="N92" i="3528" s="1"/>
  <c r="N58" i="3528" a="1"/>
  <c r="N58" i="3528" s="1"/>
  <c r="F69" i="3528" a="1"/>
  <c r="F69" i="3528" s="1"/>
  <c r="F138" i="3528" a="1"/>
  <c r="F138" i="3528" s="1"/>
  <c r="F103" i="3528" a="1"/>
  <c r="F103" i="3528" s="1"/>
  <c r="O67" i="3528" a="1"/>
  <c r="O67" i="3528" s="1"/>
  <c r="O101" i="3528" a="1"/>
  <c r="O101" i="3528" s="1"/>
  <c r="O136" i="3528" a="1"/>
  <c r="O136" i="3528" s="1"/>
  <c r="J82" i="3528" a="1"/>
  <c r="J82" i="3528" s="1"/>
  <c r="J117" i="3528" a="1"/>
  <c r="J117" i="3528" s="1"/>
  <c r="J48" i="3528" a="1"/>
  <c r="J48" i="3528" s="1"/>
  <c r="ES34" i="3479" a="1"/>
  <c r="ES34" i="3479" s="1"/>
  <c r="ET34" i="3479" s="1" a="1"/>
  <c r="ET34" i="3479" s="1"/>
  <c r="ER34" i="3479" a="1"/>
  <c r="ER34" i="3479" s="1"/>
  <c r="EU34" i="3479" s="1" a="1"/>
  <c r="EU34" i="3479" s="1"/>
  <c r="EV34" i="3479" s="1" a="1"/>
  <c r="EV34" i="3479" s="1"/>
  <c r="EC62" i="3479" a="1"/>
  <c r="EC62" i="3479" s="1"/>
  <c r="EF62" i="3479" s="1" a="1"/>
  <c r="EF62" i="3479" s="1"/>
  <c r="EG62" i="3479" s="1" a="1"/>
  <c r="EG62" i="3479" s="1"/>
  <c r="ED62" i="3479" a="1"/>
  <c r="ED62" i="3479" s="1"/>
  <c r="EE62" i="3479" s="1" a="1"/>
  <c r="EE62" i="3479" s="1"/>
  <c r="EC29" i="3479" a="1"/>
  <c r="EC29" i="3479" s="1"/>
  <c r="EF29" i="3479" s="1" a="1"/>
  <c r="EF29" i="3479" s="1"/>
  <c r="EG29" i="3479" s="1" a="1"/>
  <c r="EG29" i="3479" s="1"/>
  <c r="ED29" i="3479" a="1"/>
  <c r="ED29" i="3479" s="1"/>
  <c r="EE29" i="3479" s="1" a="1"/>
  <c r="EE29" i="3479" s="1"/>
  <c r="AB38" i="3479" a="1"/>
  <c r="AB38" i="3479" s="1"/>
  <c r="AC38" i="3479" a="1"/>
  <c r="AC38" i="3479" s="1"/>
  <c r="AD38" i="3479" s="1" a="1"/>
  <c r="AD38" i="3479" s="1"/>
  <c r="N27" i="3479" a="1"/>
  <c r="N27" i="3479" s="1"/>
  <c r="O27" i="3479" s="1" a="1"/>
  <c r="O27" i="3479" s="1"/>
  <c r="M27" i="3479" a="1"/>
  <c r="M27" i="3479" s="1"/>
  <c r="BV70" i="3479" a="1"/>
  <c r="BV70" i="3479" s="1"/>
  <c r="BW70" i="3479" s="1" a="1"/>
  <c r="BW70" i="3479" s="1"/>
  <c r="BU70" i="3479" a="1"/>
  <c r="BU70" i="3479" s="1"/>
  <c r="CK23" i="3479" a="1"/>
  <c r="CK23" i="3479" s="1"/>
  <c r="CL23" i="3479" s="1" a="1"/>
  <c r="CL23" i="3479" s="1"/>
  <c r="CJ23" i="3479" a="1"/>
  <c r="CJ23" i="3479" s="1"/>
  <c r="AC46" i="3479" a="1"/>
  <c r="AC46" i="3479" s="1"/>
  <c r="AD46" i="3479" s="1" a="1"/>
  <c r="AD46" i="3479" s="1"/>
  <c r="AB46" i="3479" a="1"/>
  <c r="AB46" i="3479" s="1"/>
  <c r="CZ56" i="3479" a="1"/>
  <c r="CZ56" i="3479" s="1"/>
  <c r="DA56" i="3479" s="1" a="1"/>
  <c r="DA56" i="3479" s="1"/>
  <c r="CY56" i="3479" a="1"/>
  <c r="CY56" i="3479" s="1"/>
  <c r="DB56" i="3479" s="1" a="1"/>
  <c r="DB56" i="3479" s="1"/>
  <c r="DC56" i="3479" s="1" a="1"/>
  <c r="DC56" i="3479" s="1"/>
  <c r="CR25" i="3479" a="1"/>
  <c r="CR25" i="3479" s="1"/>
  <c r="CQ25" i="3479" a="1"/>
  <c r="CQ25" i="3479" s="1"/>
  <c r="CP25" i="3479" a="1"/>
  <c r="CP25" i="3479" s="1"/>
  <c r="I46" i="3560"/>
  <c r="O46" i="3560" s="1" a="1"/>
  <c r="O46" i="3560" s="1"/>
  <c r="L46" i="3560"/>
  <c r="K46" i="3560"/>
  <c r="J46" i="3560"/>
  <c r="P46" i="3560" s="1" a="1"/>
  <c r="P46" i="3560" s="1"/>
  <c r="BV41" i="3479" a="1"/>
  <c r="BV41" i="3479" s="1"/>
  <c r="BW41" i="3479" s="1" a="1"/>
  <c r="BW41" i="3479" s="1"/>
  <c r="BU41" i="3479" a="1"/>
  <c r="BU41" i="3479" s="1"/>
  <c r="AR38" i="3479" a="1"/>
  <c r="AR38" i="3479" s="1"/>
  <c r="AS38" i="3479" s="1" a="1"/>
  <c r="AS38" i="3479" s="1"/>
  <c r="AQ38" i="3479" a="1"/>
  <c r="AQ38" i="3479" s="1"/>
  <c r="K79" i="3560"/>
  <c r="L79" i="3560"/>
  <c r="I79" i="3560"/>
  <c r="O79" i="3560" s="1" a="1"/>
  <c r="O79" i="3560" s="1"/>
  <c r="J79" i="3560"/>
  <c r="P79" i="3560" s="1" a="1"/>
  <c r="P79" i="3560" s="1"/>
  <c r="N94" i="3445" a="1"/>
  <c r="N94" i="3445" s="1"/>
  <c r="L94" i="3445"/>
  <c r="M94" i="3445" s="1"/>
  <c r="H75" i="3436" s="1"/>
  <c r="M70" i="3479" a="1"/>
  <c r="M70" i="3479" s="1"/>
  <c r="N70" i="3479" a="1"/>
  <c r="N70" i="3479" s="1"/>
  <c r="O70" i="3479" s="1" a="1"/>
  <c r="O70" i="3479" s="1"/>
  <c r="AQ34" i="3479" a="1"/>
  <c r="AQ34" i="3479" s="1"/>
  <c r="AR34" i="3479" a="1"/>
  <c r="AR34" i="3479" s="1"/>
  <c r="AS34" i="3479" s="1" a="1"/>
  <c r="AS34" i="3479" s="1"/>
  <c r="BU34" i="3479" a="1"/>
  <c r="BU34" i="3479" s="1"/>
  <c r="BV34" i="3479" a="1"/>
  <c r="BV34" i="3479" s="1"/>
  <c r="BW34" i="3479" s="1" a="1"/>
  <c r="BW34" i="3479" s="1"/>
  <c r="CK37" i="3479" a="1"/>
  <c r="CK37" i="3479" s="1"/>
  <c r="CL37" i="3479" s="1" a="1"/>
  <c r="CL37" i="3479" s="1"/>
  <c r="CJ37" i="3479" a="1"/>
  <c r="CJ37" i="3479" s="1"/>
  <c r="ES28" i="3479" a="1"/>
  <c r="ES28" i="3479" s="1"/>
  <c r="ET28" i="3479" s="1" a="1"/>
  <c r="ET28" i="3479" s="1"/>
  <c r="ER28" i="3479" a="1"/>
  <c r="ER28" i="3479" s="1"/>
  <c r="EU28" i="3479" s="1" a="1"/>
  <c r="EU28" i="3479" s="1"/>
  <c r="EV28" i="3479" s="1" a="1"/>
  <c r="EV28" i="3479" s="1"/>
  <c r="AQ41" i="3479" a="1"/>
  <c r="AQ41" i="3479" s="1"/>
  <c r="AR41" i="3479" a="1"/>
  <c r="AR41" i="3479" s="1"/>
  <c r="AS41" i="3479" s="1" a="1"/>
  <c r="AS41" i="3479" s="1"/>
  <c r="DO63" i="3479" a="1"/>
  <c r="DO63" i="3479" s="1"/>
  <c r="DP63" i="3479" s="1" a="1"/>
  <c r="DP63" i="3479" s="1"/>
  <c r="DN63" i="3479" a="1"/>
  <c r="DN63" i="3479" s="1"/>
  <c r="DQ63" i="3479" s="1" a="1"/>
  <c r="DQ63" i="3479" s="1"/>
  <c r="DR63" i="3479" s="1" a="1"/>
  <c r="DR63" i="3479" s="1"/>
  <c r="AC45" i="3479" a="1"/>
  <c r="AC45" i="3479" s="1"/>
  <c r="AD45" i="3479" s="1" a="1"/>
  <c r="AD45" i="3479" s="1"/>
  <c r="AB45" i="3479" a="1"/>
  <c r="AB45" i="3479" s="1"/>
  <c r="EC28" i="3479" a="1"/>
  <c r="EC28" i="3479" s="1"/>
  <c r="EF28" i="3479" s="1" a="1"/>
  <c r="EF28" i="3479" s="1"/>
  <c r="EG28" i="3479" s="1" a="1"/>
  <c r="EG28" i="3479" s="1"/>
  <c r="ED28" i="3479" a="1"/>
  <c r="ED28" i="3479" s="1"/>
  <c r="EE28" i="3479" s="1" a="1"/>
  <c r="EE28" i="3479" s="1"/>
  <c r="CZ38" i="3479" a="1"/>
  <c r="CZ38" i="3479" s="1"/>
  <c r="DA38" i="3479" s="1" a="1"/>
  <c r="DA38" i="3479" s="1"/>
  <c r="CY38" i="3479" a="1"/>
  <c r="CY38" i="3479" s="1"/>
  <c r="DB38" i="3479" s="1" a="1"/>
  <c r="DB38" i="3479" s="1"/>
  <c r="DC38" i="3479" s="1" a="1"/>
  <c r="DC38" i="3479" s="1"/>
  <c r="CY49" i="3479" a="1"/>
  <c r="CY49" i="3479" s="1"/>
  <c r="DB49" i="3479" s="1" a="1"/>
  <c r="DB49" i="3479" s="1"/>
  <c r="DC49" i="3479" s="1" a="1"/>
  <c r="DC49" i="3479" s="1"/>
  <c r="CZ49" i="3479" a="1"/>
  <c r="CZ49" i="3479" s="1"/>
  <c r="DA49" i="3479" s="1" a="1"/>
  <c r="DA49" i="3479" s="1"/>
  <c r="L67" i="3560"/>
  <c r="K67" i="3560"/>
  <c r="J67" i="3560"/>
  <c r="P67" i="3560" s="1" a="1"/>
  <c r="P67" i="3560" s="1"/>
  <c r="I67" i="3560"/>
  <c r="O67" i="3560" s="1" a="1"/>
  <c r="O67" i="3560" s="1"/>
  <c r="K66" i="3560"/>
  <c r="I66" i="3560"/>
  <c r="O66" i="3560" s="1" a="1"/>
  <c r="O66" i="3560" s="1"/>
  <c r="J66" i="3560"/>
  <c r="P66" i="3560" s="1" a="1"/>
  <c r="P66" i="3560" s="1"/>
  <c r="L66" i="3560"/>
  <c r="M40" i="3479" a="1"/>
  <c r="M40" i="3479" s="1"/>
  <c r="N40" i="3479" a="1"/>
  <c r="N40" i="3479" s="1"/>
  <c r="O40" i="3479" s="1" a="1"/>
  <c r="O40" i="3479" s="1"/>
  <c r="L50" i="3445"/>
  <c r="M50" i="3445" s="1"/>
  <c r="A50" i="3445"/>
  <c r="Q50" i="3445"/>
  <c r="N50" i="3445" a="1"/>
  <c r="N50" i="3445" s="1"/>
  <c r="T50" i="3445"/>
  <c r="P50" i="3445"/>
  <c r="AW77" i="3444" a="1"/>
  <c r="AW77" i="3444" s="1"/>
  <c r="AK77" i="3444" a="1"/>
  <c r="AK77" i="3444" s="1"/>
  <c r="Y77" i="3444" a="1"/>
  <c r="Y77" i="3444" s="1"/>
  <c r="M77" i="3444" a="1"/>
  <c r="M77" i="3444" s="1"/>
  <c r="BB77" i="3444" a="1"/>
  <c r="BB77" i="3444" s="1"/>
  <c r="AP77" i="3444" a="1"/>
  <c r="AP77" i="3444" s="1"/>
  <c r="AD77" i="3444" a="1"/>
  <c r="AD77" i="3444" s="1"/>
  <c r="R77" i="3444" a="1"/>
  <c r="R77" i="3444" s="1"/>
  <c r="S77" i="3444" a="1"/>
  <c r="S77" i="3444" s="1"/>
  <c r="AY77" i="3444" a="1"/>
  <c r="AY77" i="3444" s="1"/>
  <c r="AH77" i="3444" a="1"/>
  <c r="AH77" i="3444" s="1"/>
  <c r="AX77" i="3444" a="1"/>
  <c r="AX77" i="3444" s="1"/>
  <c r="AG77" i="3444" a="1"/>
  <c r="AG77" i="3444" s="1"/>
  <c r="Q77" i="3444" a="1"/>
  <c r="Q77" i="3444" s="1"/>
  <c r="AV77" i="3444" a="1"/>
  <c r="AV77" i="3444" s="1"/>
  <c r="AF77" i="3444" a="1"/>
  <c r="AF77" i="3444" s="1"/>
  <c r="AU77" i="3444" a="1"/>
  <c r="AU77" i="3444" s="1"/>
  <c r="P77" i="3444" a="1"/>
  <c r="P77" i="3444" s="1"/>
  <c r="AE77" i="3444" a="1"/>
  <c r="AE77" i="3444" s="1"/>
  <c r="AT77" i="3444" a="1"/>
  <c r="AT77" i="3444" s="1"/>
  <c r="O77" i="3444" a="1"/>
  <c r="O77" i="3444" s="1"/>
  <c r="AS77" i="3444" a="1"/>
  <c r="AS77" i="3444" s="1"/>
  <c r="AC77" i="3444" a="1"/>
  <c r="AC77" i="3444" s="1"/>
  <c r="N77" i="3444" a="1"/>
  <c r="N77" i="3444" s="1"/>
  <c r="BH77" i="3444" a="1"/>
  <c r="BH77" i="3444" s="1"/>
  <c r="AR77" i="3444" a="1"/>
  <c r="AR77" i="3444" s="1"/>
  <c r="L77" i="3444" a="1"/>
  <c r="L77" i="3444" s="1"/>
  <c r="BG77" i="3444" a="1"/>
  <c r="BG77" i="3444" s="1"/>
  <c r="AB77" i="3444" a="1"/>
  <c r="AB77" i="3444" s="1"/>
  <c r="K77" i="3444" a="1"/>
  <c r="K77" i="3444" s="1"/>
  <c r="BF77" i="3444" a="1"/>
  <c r="BF77" i="3444" s="1"/>
  <c r="AA77" i="3444" a="1"/>
  <c r="AA77" i="3444" s="1"/>
  <c r="BE77" i="3444" a="1"/>
  <c r="BE77" i="3444" s="1"/>
  <c r="AO77" i="3444" a="1"/>
  <c r="AO77" i="3444" s="1"/>
  <c r="Z77" i="3444" a="1"/>
  <c r="Z77" i="3444" s="1"/>
  <c r="BC77" i="3444" a="1"/>
  <c r="BC77" i="3444" s="1"/>
  <c r="AN77" i="3444" a="1"/>
  <c r="AN77" i="3444" s="1"/>
  <c r="AM77" i="3444" a="1"/>
  <c r="AM77" i="3444" s="1"/>
  <c r="AL77" i="3444" a="1"/>
  <c r="AL77" i="3444" s="1"/>
  <c r="AJ77" i="3444" a="1"/>
  <c r="AJ77" i="3444" s="1"/>
  <c r="X77" i="3444" a="1"/>
  <c r="X77" i="3444" s="1"/>
  <c r="W77" i="3444" a="1"/>
  <c r="W77" i="3444" s="1"/>
  <c r="U77" i="3444" a="1"/>
  <c r="U77" i="3444" s="1"/>
  <c r="T77" i="3444" a="1"/>
  <c r="T77" i="3444" s="1"/>
  <c r="BD77" i="3444" a="1"/>
  <c r="BD77" i="3444" s="1"/>
  <c r="AQ77" i="3444" a="1"/>
  <c r="AQ77" i="3444" s="1"/>
  <c r="V77" i="3444" a="1"/>
  <c r="V77" i="3444" s="1"/>
  <c r="BA77" i="3444" a="1"/>
  <c r="BA77" i="3444" s="1"/>
  <c r="AI77" i="3444" a="1"/>
  <c r="AI77" i="3444" s="1"/>
  <c r="AZ77" i="3444" a="1"/>
  <c r="AZ77" i="3444" s="1"/>
  <c r="BG51" i="3444" a="1"/>
  <c r="BG51" i="3444" s="1"/>
  <c r="AU51" i="3444" a="1"/>
  <c r="AU51" i="3444" s="1"/>
  <c r="AI51" i="3444" a="1"/>
  <c r="AI51" i="3444" s="1"/>
  <c r="W51" i="3444" a="1"/>
  <c r="W51" i="3444" s="1"/>
  <c r="K51" i="3444" a="1"/>
  <c r="K51" i="3444" s="1"/>
  <c r="AF51" i="3444" a="1"/>
  <c r="AF51" i="3444" s="1"/>
  <c r="Q51" i="3444" a="1"/>
  <c r="Q51" i="3444" s="1"/>
  <c r="AV51" i="3444" a="1"/>
  <c r="AV51" i="3444" s="1"/>
  <c r="AT51" i="3444" a="1"/>
  <c r="AT51" i="3444" s="1"/>
  <c r="AE51" i="3444" a="1"/>
  <c r="AE51" i="3444" s="1"/>
  <c r="P51" i="3444" a="1"/>
  <c r="P51" i="3444" s="1"/>
  <c r="AS51" i="3444" a="1"/>
  <c r="AS51" i="3444" s="1"/>
  <c r="AD51" i="3444" a="1"/>
  <c r="AD51" i="3444" s="1"/>
  <c r="BE51" i="3444" a="1"/>
  <c r="BE51" i="3444" s="1"/>
  <c r="AP51" i="3444" a="1"/>
  <c r="AP51" i="3444" s="1"/>
  <c r="M51" i="3444" a="1"/>
  <c r="M51" i="3444" s="1"/>
  <c r="AM51" i="3444" a="1"/>
  <c r="AM51" i="3444" s="1"/>
  <c r="AL51" i="3444" a="1"/>
  <c r="AL51" i="3444" s="1"/>
  <c r="V51" i="3444" a="1"/>
  <c r="V51" i="3444" s="1"/>
  <c r="AY51" i="3444" a="1"/>
  <c r="AY51" i="3444" s="1"/>
  <c r="AB51" i="3444" a="1"/>
  <c r="AB51" i="3444" s="1"/>
  <c r="AX51" i="3444" a="1"/>
  <c r="AX51" i="3444" s="1"/>
  <c r="AA51" i="3444" a="1"/>
  <c r="AA51" i="3444" s="1"/>
  <c r="AW51" i="3444" a="1"/>
  <c r="AW51" i="3444" s="1"/>
  <c r="Z51" i="3444" a="1"/>
  <c r="Z51" i="3444" s="1"/>
  <c r="AR51" i="3444" a="1"/>
  <c r="AR51" i="3444" s="1"/>
  <c r="Y51" i="3444" a="1"/>
  <c r="Y51" i="3444" s="1"/>
  <c r="AN51" i="3444" a="1"/>
  <c r="AN51" i="3444" s="1"/>
  <c r="S51" i="3444" a="1"/>
  <c r="S51" i="3444" s="1"/>
  <c r="R51" i="3444" a="1"/>
  <c r="R51" i="3444" s="1"/>
  <c r="BH51" i="3444" a="1"/>
  <c r="BH51" i="3444" s="1"/>
  <c r="BF51" i="3444" a="1"/>
  <c r="BF51" i="3444" s="1"/>
  <c r="O51" i="3444" a="1"/>
  <c r="O51" i="3444" s="1"/>
  <c r="AZ51" i="3444" a="1"/>
  <c r="AZ51" i="3444" s="1"/>
  <c r="AC51" i="3444" a="1"/>
  <c r="AC51" i="3444" s="1"/>
  <c r="BD51" i="3444" a="1"/>
  <c r="BD51" i="3444" s="1"/>
  <c r="N51" i="3444" a="1"/>
  <c r="N51" i="3444" s="1"/>
  <c r="BC51" i="3444" a="1"/>
  <c r="BC51" i="3444" s="1"/>
  <c r="BB51" i="3444" a="1"/>
  <c r="BB51" i="3444" s="1"/>
  <c r="L51" i="3444" a="1"/>
  <c r="L51" i="3444" s="1"/>
  <c r="BA51" i="3444" a="1"/>
  <c r="BA51" i="3444" s="1"/>
  <c r="AQ51" i="3444" a="1"/>
  <c r="AQ51" i="3444" s="1"/>
  <c r="AK51" i="3444" a="1"/>
  <c r="AK51" i="3444" s="1"/>
  <c r="AJ51" i="3444" a="1"/>
  <c r="AJ51" i="3444" s="1"/>
  <c r="AH51" i="3444" a="1"/>
  <c r="AH51" i="3444" s="1"/>
  <c r="AG51" i="3444" a="1"/>
  <c r="AG51" i="3444" s="1"/>
  <c r="T51" i="3444" a="1"/>
  <c r="T51" i="3444" s="1"/>
  <c r="AO51" i="3444" a="1"/>
  <c r="AO51" i="3444" s="1"/>
  <c r="X51" i="3444" a="1"/>
  <c r="X51" i="3444" s="1"/>
  <c r="U51" i="3444" a="1"/>
  <c r="U51" i="3444" s="1"/>
  <c r="BD29" i="3444" a="1"/>
  <c r="BD29" i="3444" s="1"/>
  <c r="AR29" i="3444" a="1"/>
  <c r="AR29" i="3444" s="1"/>
  <c r="AF29" i="3444" a="1"/>
  <c r="AF29" i="3444" s="1"/>
  <c r="T29" i="3444" a="1"/>
  <c r="T29" i="3444" s="1"/>
  <c r="BC29" i="3444" a="1"/>
  <c r="BC29" i="3444" s="1"/>
  <c r="AQ29" i="3444" a="1"/>
  <c r="AQ29" i="3444" s="1"/>
  <c r="AE29" i="3444" a="1"/>
  <c r="AE29" i="3444" s="1"/>
  <c r="S29" i="3444" a="1"/>
  <c r="S29" i="3444" s="1"/>
  <c r="BA29" i="3444" a="1"/>
  <c r="BA29" i="3444" s="1"/>
  <c r="AO29" i="3444" a="1"/>
  <c r="AO29" i="3444" s="1"/>
  <c r="AC29" i="3444" a="1"/>
  <c r="AC29" i="3444" s="1"/>
  <c r="Q29" i="3444" a="1"/>
  <c r="Q29" i="3444" s="1"/>
  <c r="BF29" i="3444" a="1"/>
  <c r="BF29" i="3444" s="1"/>
  <c r="AP29" i="3444" a="1"/>
  <c r="AP29" i="3444" s="1"/>
  <c r="L29" i="3444" a="1"/>
  <c r="L29" i="3444" s="1"/>
  <c r="Z29" i="3444" a="1"/>
  <c r="Z29" i="3444" s="1"/>
  <c r="BE29" i="3444" a="1"/>
  <c r="BE29" i="3444" s="1"/>
  <c r="AN29" i="3444" a="1"/>
  <c r="AN29" i="3444" s="1"/>
  <c r="K29" i="3444" a="1"/>
  <c r="K29" i="3444" s="1"/>
  <c r="Y29" i="3444" a="1"/>
  <c r="Y29" i="3444" s="1"/>
  <c r="AM29" i="3444" a="1"/>
  <c r="AM29" i="3444" s="1"/>
  <c r="BB29" i="3444" a="1"/>
  <c r="BB29" i="3444" s="1"/>
  <c r="X29" i="3444" a="1"/>
  <c r="X29" i="3444" s="1"/>
  <c r="AL29" i="3444" a="1"/>
  <c r="AL29" i="3444" s="1"/>
  <c r="AZ29" i="3444" a="1"/>
  <c r="AZ29" i="3444" s="1"/>
  <c r="W29" i="3444" a="1"/>
  <c r="W29" i="3444" s="1"/>
  <c r="AK29" i="3444" a="1"/>
  <c r="AK29" i="3444" s="1"/>
  <c r="AY29" i="3444" a="1"/>
  <c r="AY29" i="3444" s="1"/>
  <c r="V29" i="3444" a="1"/>
  <c r="V29" i="3444" s="1"/>
  <c r="AX29" i="3444" a="1"/>
  <c r="AX29" i="3444" s="1"/>
  <c r="U29" i="3444" a="1"/>
  <c r="U29" i="3444" s="1"/>
  <c r="AW29" i="3444" a="1"/>
  <c r="AW29" i="3444" s="1"/>
  <c r="AH29" i="3444" a="1"/>
  <c r="AH29" i="3444" s="1"/>
  <c r="R29" i="3444" a="1"/>
  <c r="R29" i="3444" s="1"/>
  <c r="AV29" i="3444" a="1"/>
  <c r="AV29" i="3444" s="1"/>
  <c r="AG29" i="3444" a="1"/>
  <c r="AG29" i="3444" s="1"/>
  <c r="P29" i="3444" a="1"/>
  <c r="P29" i="3444" s="1"/>
  <c r="BG29" i="3444" a="1"/>
  <c r="BG29" i="3444" s="1"/>
  <c r="M29" i="3444" a="1"/>
  <c r="M29" i="3444" s="1"/>
  <c r="AA29" i="3444" a="1"/>
  <c r="AA29" i="3444" s="1"/>
  <c r="AJ29" i="3444" a="1"/>
  <c r="AJ29" i="3444" s="1"/>
  <c r="AI29" i="3444" a="1"/>
  <c r="AI29" i="3444" s="1"/>
  <c r="AB29" i="3444" a="1"/>
  <c r="AB29" i="3444" s="1"/>
  <c r="O29" i="3444" a="1"/>
  <c r="O29" i="3444" s="1"/>
  <c r="BH29" i="3444" a="1"/>
  <c r="BH29" i="3444" s="1"/>
  <c r="AS29" i="3444" a="1"/>
  <c r="AS29" i="3444" s="1"/>
  <c r="AU29" i="3444" a="1"/>
  <c r="AU29" i="3444" s="1"/>
  <c r="AT29" i="3444" a="1"/>
  <c r="AT29" i="3444" s="1"/>
  <c r="AD29" i="3444" a="1"/>
  <c r="AD29" i="3444" s="1"/>
  <c r="N29" i="3444" a="1"/>
  <c r="N29" i="3444" s="1"/>
  <c r="BC50" i="3444" a="1"/>
  <c r="BC50" i="3444" s="1"/>
  <c r="AQ50" i="3444" a="1"/>
  <c r="AQ50" i="3444" s="1"/>
  <c r="AE50" i="3444" a="1"/>
  <c r="AE50" i="3444" s="1"/>
  <c r="S50" i="3444" a="1"/>
  <c r="S50" i="3444" s="1"/>
  <c r="BB50" i="3444" a="1"/>
  <c r="BB50" i="3444" s="1"/>
  <c r="AP50" i="3444" a="1"/>
  <c r="AP50" i="3444" s="1"/>
  <c r="AD50" i="3444" a="1"/>
  <c r="AD50" i="3444" s="1"/>
  <c r="R50" i="3444" a="1"/>
  <c r="R50" i="3444" s="1"/>
  <c r="BA50" i="3444" a="1"/>
  <c r="BA50" i="3444" s="1"/>
  <c r="AO50" i="3444" a="1"/>
  <c r="AO50" i="3444" s="1"/>
  <c r="AC50" i="3444" a="1"/>
  <c r="AC50" i="3444" s="1"/>
  <c r="Q50" i="3444" a="1"/>
  <c r="Q50" i="3444" s="1"/>
  <c r="AX50" i="3444" a="1"/>
  <c r="AX50" i="3444" s="1"/>
  <c r="AL50" i="3444" a="1"/>
  <c r="AL50" i="3444" s="1"/>
  <c r="Z50" i="3444" a="1"/>
  <c r="Z50" i="3444" s="1"/>
  <c r="N50" i="3444" a="1"/>
  <c r="N50" i="3444" s="1"/>
  <c r="BF50" i="3444" a="1"/>
  <c r="BF50" i="3444" s="1"/>
  <c r="AA50" i="3444" a="1"/>
  <c r="AA50" i="3444" s="1"/>
  <c r="L50" i="3444" a="1"/>
  <c r="L50" i="3444" s="1"/>
  <c r="BE50" i="3444" a="1"/>
  <c r="BE50" i="3444" s="1"/>
  <c r="K50" i="3444" a="1"/>
  <c r="K50" i="3444" s="1"/>
  <c r="AN50" i="3444" a="1"/>
  <c r="AN50" i="3444" s="1"/>
  <c r="Y50" i="3444" a="1"/>
  <c r="Y50" i="3444" s="1"/>
  <c r="AZ50" i="3444" a="1"/>
  <c r="AZ50" i="3444" s="1"/>
  <c r="AK50" i="3444" a="1"/>
  <c r="AK50" i="3444" s="1"/>
  <c r="AH50" i="3444" a="1"/>
  <c r="AH50" i="3444" s="1"/>
  <c r="AG50" i="3444" a="1"/>
  <c r="AG50" i="3444" s="1"/>
  <c r="AR50" i="3444" a="1"/>
  <c r="AR50" i="3444" s="1"/>
  <c r="U50" i="3444" a="1"/>
  <c r="U50" i="3444" s="1"/>
  <c r="AM50" i="3444" a="1"/>
  <c r="AM50" i="3444" s="1"/>
  <c r="T50" i="3444" a="1"/>
  <c r="T50" i="3444" s="1"/>
  <c r="BH50" i="3444" a="1"/>
  <c r="BH50" i="3444" s="1"/>
  <c r="P50" i="3444" a="1"/>
  <c r="P50" i="3444" s="1"/>
  <c r="BG50" i="3444" a="1"/>
  <c r="BG50" i="3444" s="1"/>
  <c r="AJ50" i="3444" a="1"/>
  <c r="AJ50" i="3444" s="1"/>
  <c r="O50" i="3444" a="1"/>
  <c r="O50" i="3444" s="1"/>
  <c r="AF50" i="3444" a="1"/>
  <c r="AF50" i="3444" s="1"/>
  <c r="AY50" i="3444" a="1"/>
  <c r="AY50" i="3444" s="1"/>
  <c r="AS50" i="3444" a="1"/>
  <c r="AS50" i="3444" s="1"/>
  <c r="V50" i="3444" a="1"/>
  <c r="V50" i="3444" s="1"/>
  <c r="AB50" i="3444" a="1"/>
  <c r="AB50" i="3444" s="1"/>
  <c r="X50" i="3444" a="1"/>
  <c r="X50" i="3444" s="1"/>
  <c r="W50" i="3444" a="1"/>
  <c r="W50" i="3444" s="1"/>
  <c r="BD50" i="3444" a="1"/>
  <c r="BD50" i="3444" s="1"/>
  <c r="AW50" i="3444" a="1"/>
  <c r="AW50" i="3444" s="1"/>
  <c r="AV50" i="3444" a="1"/>
  <c r="AV50" i="3444" s="1"/>
  <c r="AU50" i="3444" a="1"/>
  <c r="AU50" i="3444" s="1"/>
  <c r="AT50" i="3444" a="1"/>
  <c r="AT50" i="3444" s="1"/>
  <c r="AI50" i="3444" a="1"/>
  <c r="AI50" i="3444" s="1"/>
  <c r="M50" i="3444" a="1"/>
  <c r="M50" i="3444" s="1"/>
  <c r="A49" i="3444"/>
  <c r="AO52" i="3489" a="1"/>
  <c r="AO52" i="3489" s="1"/>
  <c r="BA52" i="3489" a="1"/>
  <c r="BA52" i="3489" s="1"/>
  <c r="A38" i="3444"/>
  <c r="AM29" i="3489" a="1"/>
  <c r="AM29" i="3489" s="1"/>
  <c r="AX29" i="3489" a="1"/>
  <c r="AX29" i="3489" s="1"/>
  <c r="BI35" i="3489" a="1"/>
  <c r="BI35" i="3489" s="1"/>
  <c r="AV35" i="3489" a="1"/>
  <c r="AV35" i="3489" s="1"/>
  <c r="AI35" i="3489" a="1"/>
  <c r="AI35" i="3489" s="1"/>
  <c r="V35" i="3489" a="1"/>
  <c r="V35" i="3489" s="1"/>
  <c r="BH35" i="3489" a="1"/>
  <c r="BH35" i="3489" s="1"/>
  <c r="AU35" i="3489" a="1"/>
  <c r="AU35" i="3489" s="1"/>
  <c r="AH35" i="3489" a="1"/>
  <c r="AH35" i="3489" s="1"/>
  <c r="U35" i="3489" a="1"/>
  <c r="U35" i="3489" s="1"/>
  <c r="T35" i="3489" a="1"/>
  <c r="T35" i="3489" s="1"/>
  <c r="BB35" i="3489" a="1"/>
  <c r="BB35" i="3489" s="1"/>
  <c r="AO35" i="3489" a="1"/>
  <c r="AO35" i="3489" s="1"/>
  <c r="AB35" i="3489" a="1"/>
  <c r="AB35" i="3489" s="1"/>
  <c r="O35" i="3489" a="1"/>
  <c r="O35" i="3489" s="1"/>
  <c r="BG35" i="3489" a="1"/>
  <c r="BG35" i="3489" s="1"/>
  <c r="X35" i="3489" a="1"/>
  <c r="X35" i="3489" s="1"/>
  <c r="B35" i="3489"/>
  <c r="AN35" i="3489" a="1"/>
  <c r="AN35" i="3489" s="1"/>
  <c r="BF35" i="3489" a="1"/>
  <c r="BF35" i="3489" s="1"/>
  <c r="W35" i="3489" a="1"/>
  <c r="W35" i="3489" s="1"/>
  <c r="AM35" i="3489" a="1"/>
  <c r="AM35" i="3489" s="1"/>
  <c r="S35" i="3489" a="1"/>
  <c r="S35" i="3489" s="1"/>
  <c r="BD35" i="3489" a="1"/>
  <c r="BD35" i="3489" s="1"/>
  <c r="AL35" i="3489" a="1"/>
  <c r="AL35" i="3489" s="1"/>
  <c r="R35" i="3489" a="1"/>
  <c r="R35" i="3489" s="1"/>
  <c r="BC35" i="3489" a="1"/>
  <c r="BC35" i="3489" s="1"/>
  <c r="AK35" i="3489" a="1"/>
  <c r="AK35" i="3489" s="1"/>
  <c r="Q35" i="3489" a="1"/>
  <c r="Q35" i="3489" s="1"/>
  <c r="BA35" i="3489" a="1"/>
  <c r="BA35" i="3489" s="1"/>
  <c r="AJ35" i="3489" a="1"/>
  <c r="AJ35" i="3489" s="1"/>
  <c r="P35" i="3489" a="1"/>
  <c r="P35" i="3489" s="1"/>
  <c r="AW35" i="3489" a="1"/>
  <c r="AW35" i="3489" s="1"/>
  <c r="AC35" i="3489" a="1"/>
  <c r="AC35" i="3489" s="1"/>
  <c r="Y35" i="3489" a="1"/>
  <c r="Y35" i="3489" s="1"/>
  <c r="AY35" i="3489" a="1"/>
  <c r="AY35" i="3489" s="1"/>
  <c r="AX35" i="3489" a="1"/>
  <c r="AX35" i="3489" s="1"/>
  <c r="N35" i="3489" a="1"/>
  <c r="N35" i="3489" s="1"/>
  <c r="AT35" i="3489" a="1"/>
  <c r="AT35" i="3489" s="1"/>
  <c r="AS35" i="3489" a="1"/>
  <c r="AS35" i="3489" s="1"/>
  <c r="AP35" i="3489" a="1"/>
  <c r="AP35" i="3489" s="1"/>
  <c r="AG35" i="3489" a="1"/>
  <c r="AG35" i="3489" s="1"/>
  <c r="AF35" i="3489" a="1"/>
  <c r="AF35" i="3489" s="1"/>
  <c r="AD35" i="3489" a="1"/>
  <c r="AD35" i="3489" s="1"/>
  <c r="AR35" i="3489" a="1"/>
  <c r="AR35" i="3489" s="1"/>
  <c r="AQ35" i="3489" a="1"/>
  <c r="AQ35" i="3489" s="1"/>
  <c r="AE35" i="3489" a="1"/>
  <c r="AE35" i="3489" s="1"/>
  <c r="AA35" i="3489" a="1"/>
  <c r="AA35" i="3489" s="1"/>
  <c r="Z35" i="3489" a="1"/>
  <c r="Z35" i="3489" s="1"/>
  <c r="M35" i="3489" a="1"/>
  <c r="M35" i="3489" s="1"/>
  <c r="L35" i="3489" a="1"/>
  <c r="L35" i="3489" s="1"/>
  <c r="K35" i="3489" a="1"/>
  <c r="K35" i="3489" s="1"/>
  <c r="AZ35" i="3489" a="1"/>
  <c r="AZ35" i="3489" s="1"/>
  <c r="BE35" i="3489" a="1"/>
  <c r="BE35" i="3489" s="1"/>
  <c r="BO85" i="3448"/>
  <c r="G85" i="3448"/>
  <c r="BW85" i="3448" s="1"/>
  <c r="BP85" i="3448"/>
  <c r="P8" i="3448"/>
  <c r="BP13" i="3448"/>
  <c r="BO13" i="3448"/>
  <c r="G13" i="3448"/>
  <c r="BW13" i="3448" s="1"/>
  <c r="I22" i="3523" a="1"/>
  <c r="I22" i="3523" s="1"/>
  <c r="H22" i="3523" a="1"/>
  <c r="H22" i="3523" s="1"/>
  <c r="M57" i="3448"/>
  <c r="BO75" i="3448"/>
  <c r="M55" i="3448"/>
  <c r="I50" i="3523" a="1"/>
  <c r="I50" i="3523" s="1"/>
  <c r="H50" i="3523" a="1"/>
  <c r="H50" i="3523" s="1"/>
  <c r="BO18" i="3448"/>
  <c r="G19" i="3448"/>
  <c r="BP19" i="3448"/>
  <c r="BO19" i="3448"/>
  <c r="AE61" i="3480"/>
  <c r="AK111" i="3434" a="1"/>
  <c r="AK111" i="3434" s="1"/>
  <c r="AL111" i="3434" a="1"/>
  <c r="AL111" i="3434" s="1"/>
  <c r="Y47" i="3436"/>
  <c r="AE87" i="3480"/>
  <c r="AK137" i="3434" a="1"/>
  <c r="AK137" i="3434" s="1"/>
  <c r="AL137" i="3434" a="1"/>
  <c r="AL137" i="3434" s="1"/>
  <c r="U19" i="3436" a="1"/>
  <c r="U19" i="3436" s="1"/>
  <c r="U26" i="3436" s="1" a="1"/>
  <c r="U26" i="3436" s="1"/>
  <c r="J28" i="3444" s="1"/>
  <c r="AN119" i="3577" a="1"/>
  <c r="AN119" i="3577" s="1"/>
  <c r="AM119" i="3577" a="1"/>
  <c r="AM119" i="3577" s="1"/>
  <c r="AL119" i="3577" a="1"/>
  <c r="AL119" i="3577" s="1"/>
  <c r="AK119" i="3577" a="1"/>
  <c r="AK119" i="3577" s="1"/>
  <c r="G28" i="3436"/>
  <c r="CO23" i="3569"/>
  <c r="CO31" i="3569"/>
  <c r="CO36" i="3569"/>
  <c r="CO22" i="3569"/>
  <c r="CO27" i="3569"/>
  <c r="CO17" i="3569"/>
  <c r="CO43" i="3569"/>
  <c r="CO28" i="3569"/>
  <c r="CO44" i="3569"/>
  <c r="CO45" i="3569"/>
  <c r="CO33" i="3569"/>
  <c r="CO48" i="3569"/>
  <c r="CO39" i="3569"/>
  <c r="CO30" i="3569"/>
  <c r="CO51" i="3569"/>
  <c r="B50" i="3434"/>
  <c r="B53" i="3434" s="1"/>
  <c r="B47" i="3577"/>
  <c r="B50" i="3577" s="1"/>
  <c r="B618" i="3449"/>
  <c r="F37" i="3518" a="1"/>
  <c r="F37" i="3518" s="1"/>
  <c r="G37" i="3518" a="1"/>
  <c r="G37" i="3518" s="1"/>
  <c r="F33" i="3518" a="1"/>
  <c r="F33" i="3518" s="1"/>
  <c r="G33" i="3518" a="1"/>
  <c r="G33" i="3518" s="1"/>
  <c r="R74" i="3528" a="1"/>
  <c r="R74" i="3528" s="1"/>
  <c r="R108" i="3528" a="1"/>
  <c r="R108" i="3528" s="1"/>
  <c r="R143" i="3528" a="1"/>
  <c r="R143" i="3528" s="1"/>
  <c r="Q50" i="3528" a="1"/>
  <c r="Q50" i="3528" s="1"/>
  <c r="Q119" i="3528" a="1"/>
  <c r="Q119" i="3528" s="1"/>
  <c r="Q84" i="3528" a="1"/>
  <c r="Q84" i="3528" s="1"/>
  <c r="AQ141" i="3528"/>
  <c r="AA141" i="3528"/>
  <c r="G123" i="3528" a="1"/>
  <c r="G123" i="3528" s="1"/>
  <c r="G54" i="3528" a="1"/>
  <c r="G54" i="3528" s="1"/>
  <c r="G88" i="3528" a="1"/>
  <c r="G88" i="3528" s="1"/>
  <c r="M52" i="3528" a="1"/>
  <c r="M52" i="3528" s="1"/>
  <c r="M86" i="3528" a="1"/>
  <c r="M86" i="3528" s="1"/>
  <c r="M121" i="3528" a="1"/>
  <c r="M121" i="3528" s="1"/>
  <c r="P59" i="3528" a="1"/>
  <c r="P59" i="3528" s="1"/>
  <c r="P128" i="3528" a="1"/>
  <c r="P128" i="3528" s="1"/>
  <c r="P93" i="3528" a="1"/>
  <c r="P93" i="3528" s="1"/>
  <c r="L139" i="3528" a="1"/>
  <c r="L139" i="3528" s="1"/>
  <c r="L104" i="3528" a="1"/>
  <c r="L104" i="3528" s="1"/>
  <c r="L70" i="3528" a="1"/>
  <c r="L70" i="3528" s="1"/>
  <c r="R142" i="3528" a="1"/>
  <c r="R142" i="3528" s="1"/>
  <c r="R73" i="3528" a="1"/>
  <c r="R73" i="3528" s="1"/>
  <c r="R107" i="3528" a="1"/>
  <c r="R107" i="3528" s="1"/>
  <c r="J96" i="3528" a="1"/>
  <c r="J96" i="3528" s="1"/>
  <c r="J62" i="3528" a="1"/>
  <c r="J62" i="3528" s="1"/>
  <c r="J131" i="3528" a="1"/>
  <c r="J131" i="3528" s="1"/>
  <c r="W143" i="3528"/>
  <c r="AM143" i="3528"/>
  <c r="M133" i="3528" a="1"/>
  <c r="M133" i="3528" s="1"/>
  <c r="M64" i="3528" a="1"/>
  <c r="M64" i="3528" s="1"/>
  <c r="M98" i="3528" a="1"/>
  <c r="M98" i="3528" s="1"/>
  <c r="P63" i="3528" a="1"/>
  <c r="P63" i="3528" s="1"/>
  <c r="P132" i="3528" a="1"/>
  <c r="P132" i="3528" s="1"/>
  <c r="P97" i="3528" a="1"/>
  <c r="P97" i="3528" s="1"/>
  <c r="I61" i="3528" a="1"/>
  <c r="I61" i="3528" s="1"/>
  <c r="I130" i="3528" a="1"/>
  <c r="I130" i="3528" s="1"/>
  <c r="I95" i="3528" a="1"/>
  <c r="I95" i="3528" s="1"/>
  <c r="O51" i="3528" a="1"/>
  <c r="O51" i="3528" s="1"/>
  <c r="O120" i="3528" a="1"/>
  <c r="O120" i="3528" s="1"/>
  <c r="O85" i="3528" a="1"/>
  <c r="O85" i="3528" s="1"/>
  <c r="O144" i="3528" a="1"/>
  <c r="O144" i="3528" s="1"/>
  <c r="O75" i="3528" a="1"/>
  <c r="O75" i="3528" s="1"/>
  <c r="O109" i="3528" a="1"/>
  <c r="O109" i="3528" s="1"/>
  <c r="S127" i="3528" a="1"/>
  <c r="S127" i="3528" s="1"/>
  <c r="S58" i="3528" a="1"/>
  <c r="S58" i="3528" s="1"/>
  <c r="S92" i="3528" a="1"/>
  <c r="S92" i="3528" s="1"/>
  <c r="R69" i="3528" a="1"/>
  <c r="R69" i="3528" s="1"/>
  <c r="R103" i="3528" a="1"/>
  <c r="R103" i="3528" s="1"/>
  <c r="R138" i="3528" a="1"/>
  <c r="R138" i="3528" s="1"/>
  <c r="Q136" i="3528" a="1"/>
  <c r="Q136" i="3528" s="1"/>
  <c r="Q67" i="3528" a="1"/>
  <c r="Q67" i="3528" s="1"/>
  <c r="Q101" i="3528" a="1"/>
  <c r="Q101" i="3528" s="1"/>
  <c r="CJ26" i="3479" a="1"/>
  <c r="CJ26" i="3479" s="1"/>
  <c r="CK26" i="3479" a="1"/>
  <c r="CK26" i="3479" s="1"/>
  <c r="CL26" i="3479" s="1" a="1"/>
  <c r="CL26" i="3479" s="1"/>
  <c r="BG65" i="3479" a="1"/>
  <c r="BG65" i="3479" s="1"/>
  <c r="BH65" i="3479" s="1" a="1"/>
  <c r="BH65" i="3479" s="1"/>
  <c r="BF65" i="3479" a="1"/>
  <c r="BF65" i="3479" s="1"/>
  <c r="AQ60" i="3479" a="1"/>
  <c r="AQ60" i="3479" s="1"/>
  <c r="AR60" i="3479" a="1"/>
  <c r="AR60" i="3479" s="1"/>
  <c r="AS60" i="3479" s="1" a="1"/>
  <c r="AS60" i="3479" s="1"/>
  <c r="CK47" i="3479" a="1"/>
  <c r="CK47" i="3479" s="1"/>
  <c r="CL47" i="3479" s="1" a="1"/>
  <c r="CL47" i="3479" s="1"/>
  <c r="CJ47" i="3479" a="1"/>
  <c r="CJ47" i="3479" s="1"/>
  <c r="BF63" i="3479" a="1"/>
  <c r="BF63" i="3479" s="1"/>
  <c r="BG63" i="3479" a="1"/>
  <c r="BG63" i="3479" s="1"/>
  <c r="BH63" i="3479" s="1" a="1"/>
  <c r="BH63" i="3479" s="1"/>
  <c r="BU32" i="3479" a="1"/>
  <c r="BU32" i="3479" s="1"/>
  <c r="BV32" i="3479" a="1"/>
  <c r="BV32" i="3479" s="1"/>
  <c r="BW32" i="3479" s="1" a="1"/>
  <c r="BW32" i="3479" s="1"/>
  <c r="D79" i="3560"/>
  <c r="A79" i="3560"/>
  <c r="CK21" i="3479" a="1"/>
  <c r="CK21" i="3479" s="1"/>
  <c r="CL21" i="3479" s="1" a="1"/>
  <c r="CL21" i="3479" s="1"/>
  <c r="CJ21" i="3479" a="1"/>
  <c r="CJ21" i="3479" s="1"/>
  <c r="DO26" i="3479" a="1"/>
  <c r="DO26" i="3479" s="1"/>
  <c r="DP26" i="3479" s="1" a="1"/>
  <c r="DP26" i="3479" s="1"/>
  <c r="DN26" i="3479" a="1"/>
  <c r="DN26" i="3479" s="1"/>
  <c r="DQ26" i="3479" s="1" a="1"/>
  <c r="DQ26" i="3479" s="1"/>
  <c r="DR26" i="3479" s="1" a="1"/>
  <c r="DR26" i="3479" s="1"/>
  <c r="AQ69" i="3479" a="1"/>
  <c r="AQ69" i="3479" s="1"/>
  <c r="AR69" i="3479" a="1"/>
  <c r="AR69" i="3479" s="1"/>
  <c r="AS69" i="3479" s="1" a="1"/>
  <c r="AS69" i="3479" s="1"/>
  <c r="BG51" i="3479" a="1"/>
  <c r="BG51" i="3479" s="1"/>
  <c r="BH51" i="3479" s="1" a="1"/>
  <c r="BH51" i="3479" s="1"/>
  <c r="BF51" i="3479" a="1"/>
  <c r="BF51" i="3479" s="1"/>
  <c r="ED47" i="3479" a="1"/>
  <c r="ED47" i="3479" s="1"/>
  <c r="EE47" i="3479" s="1" a="1"/>
  <c r="EE47" i="3479" s="1"/>
  <c r="EC47" i="3479" a="1"/>
  <c r="EC47" i="3479" s="1"/>
  <c r="EF47" i="3479" s="1" a="1"/>
  <c r="EF47" i="3479" s="1"/>
  <c r="EG47" i="3479" s="1" a="1"/>
  <c r="EG47" i="3479" s="1"/>
  <c r="CJ34" i="3479" a="1"/>
  <c r="CJ34" i="3479" s="1"/>
  <c r="CK34" i="3479" a="1"/>
  <c r="CK34" i="3479" s="1"/>
  <c r="CL34" i="3479" s="1" a="1"/>
  <c r="CL34" i="3479" s="1"/>
  <c r="BG21" i="3479" a="1"/>
  <c r="BG21" i="3479" s="1"/>
  <c r="BH21" i="3479" s="1" a="1"/>
  <c r="BH21" i="3479" s="1"/>
  <c r="BF21" i="3479" a="1"/>
  <c r="BF21" i="3479" s="1"/>
  <c r="BG56" i="3479" a="1"/>
  <c r="BG56" i="3479" s="1"/>
  <c r="BH56" i="3479" s="1" a="1"/>
  <c r="BH56" i="3479" s="1"/>
  <c r="BF56" i="3479" a="1"/>
  <c r="BF56" i="3479" s="1"/>
  <c r="ES57" i="3479" a="1"/>
  <c r="ES57" i="3479" s="1"/>
  <c r="ET57" i="3479" s="1" a="1"/>
  <c r="ET57" i="3479" s="1"/>
  <c r="ER57" i="3479" a="1"/>
  <c r="ER57" i="3479" s="1"/>
  <c r="EU57" i="3479" s="1" a="1"/>
  <c r="EU57" i="3479" s="1"/>
  <c r="EV57" i="3479" s="1" a="1"/>
  <c r="EV57" i="3479" s="1"/>
  <c r="DN33" i="3479" a="1"/>
  <c r="DN33" i="3479" s="1"/>
  <c r="DQ33" i="3479" s="1" a="1"/>
  <c r="DQ33" i="3479" s="1"/>
  <c r="DR33" i="3479" s="1" a="1"/>
  <c r="DR33" i="3479" s="1"/>
  <c r="DO33" i="3479" a="1"/>
  <c r="DO33" i="3479" s="1"/>
  <c r="DP33" i="3479" s="1" a="1"/>
  <c r="DP33" i="3479" s="1"/>
  <c r="AC30" i="3479" a="1"/>
  <c r="AC30" i="3479" s="1"/>
  <c r="AD30" i="3479" s="1" a="1"/>
  <c r="AD30" i="3479" s="1"/>
  <c r="AB30" i="3479" a="1"/>
  <c r="AB30" i="3479" s="1"/>
  <c r="DF22" i="3479" a="1"/>
  <c r="DF22" i="3479" s="1"/>
  <c r="DE22" i="3479" a="1"/>
  <c r="DE22" i="3479" s="1"/>
  <c r="DG22" i="3479" a="1"/>
  <c r="DG22" i="3479" s="1"/>
  <c r="K22" i="3560"/>
  <c r="J22" i="3560"/>
  <c r="P22" i="3560" s="1" a="1"/>
  <c r="P22" i="3560" s="1"/>
  <c r="I22" i="3560"/>
  <c r="O22" i="3560" s="1" a="1"/>
  <c r="O22" i="3560" s="1"/>
  <c r="L22" i="3560"/>
  <c r="DO38" i="3479" a="1"/>
  <c r="DO38" i="3479" s="1"/>
  <c r="DP38" i="3479" s="1" a="1"/>
  <c r="DP38" i="3479" s="1"/>
  <c r="DN38" i="3479" a="1"/>
  <c r="DN38" i="3479" s="1"/>
  <c r="DQ38" i="3479" s="1" a="1"/>
  <c r="DQ38" i="3479" s="1"/>
  <c r="DR38" i="3479" s="1" a="1"/>
  <c r="DR38" i="3479" s="1"/>
  <c r="J25" i="3445" a="1"/>
  <c r="J25" i="3445" s="1"/>
  <c r="P25" i="3445" s="1"/>
  <c r="Q25" i="3445" s="1"/>
  <c r="I25" i="3445" a="1"/>
  <c r="I25" i="3445" s="1"/>
  <c r="O25" i="3445" s="1"/>
  <c r="S39" i="3445" a="1"/>
  <c r="S39" i="3445" s="1"/>
  <c r="A84" i="3445"/>
  <c r="A82" i="3444"/>
  <c r="A54" i="3444"/>
  <c r="AZ44" i="3444" a="1"/>
  <c r="AZ44" i="3444" s="1"/>
  <c r="AN44" i="3444" a="1"/>
  <c r="AN44" i="3444" s="1"/>
  <c r="AB44" i="3444" a="1"/>
  <c r="AB44" i="3444" s="1"/>
  <c r="P44" i="3444" a="1"/>
  <c r="P44" i="3444" s="1"/>
  <c r="AY44" i="3444" a="1"/>
  <c r="AY44" i="3444" s="1"/>
  <c r="AM44" i="3444" a="1"/>
  <c r="AM44" i="3444" s="1"/>
  <c r="AA44" i="3444" a="1"/>
  <c r="AA44" i="3444" s="1"/>
  <c r="O44" i="3444" a="1"/>
  <c r="O44" i="3444" s="1"/>
  <c r="BH44" i="3444" a="1"/>
  <c r="BH44" i="3444" s="1"/>
  <c r="AV44" i="3444" a="1"/>
  <c r="AV44" i="3444" s="1"/>
  <c r="AJ44" i="3444" a="1"/>
  <c r="AJ44" i="3444" s="1"/>
  <c r="X44" i="3444" a="1"/>
  <c r="X44" i="3444" s="1"/>
  <c r="L44" i="3444" a="1"/>
  <c r="L44" i="3444" s="1"/>
  <c r="AQ44" i="3444" a="1"/>
  <c r="AQ44" i="3444" s="1"/>
  <c r="BE44" i="3444" a="1"/>
  <c r="BE44" i="3444" s="1"/>
  <c r="Z44" i="3444" a="1"/>
  <c r="Z44" i="3444" s="1"/>
  <c r="K44" i="3444" a="1"/>
  <c r="K44" i="3444" s="1"/>
  <c r="AP44" i="3444" a="1"/>
  <c r="AP44" i="3444" s="1"/>
  <c r="BC44" i="3444" a="1"/>
  <c r="BC44" i="3444" s="1"/>
  <c r="AL44" i="3444" a="1"/>
  <c r="AL44" i="3444" s="1"/>
  <c r="W44" i="3444" a="1"/>
  <c r="W44" i="3444" s="1"/>
  <c r="AW44" i="3444" a="1"/>
  <c r="AW44" i="3444" s="1"/>
  <c r="AH44" i="3444" a="1"/>
  <c r="AH44" i="3444" s="1"/>
  <c r="S44" i="3444" a="1"/>
  <c r="S44" i="3444" s="1"/>
  <c r="AG44" i="3444" a="1"/>
  <c r="AG44" i="3444" s="1"/>
  <c r="AR44" i="3444" a="1"/>
  <c r="AR44" i="3444" s="1"/>
  <c r="BF44" i="3444" a="1"/>
  <c r="BF44" i="3444" s="1"/>
  <c r="AC44" i="3444" a="1"/>
  <c r="AC44" i="3444" s="1"/>
  <c r="AU44" i="3444" a="1"/>
  <c r="AU44" i="3444" s="1"/>
  <c r="V44" i="3444" a="1"/>
  <c r="V44" i="3444" s="1"/>
  <c r="AT44" i="3444" a="1"/>
  <c r="AT44" i="3444" s="1"/>
  <c r="U44" i="3444" a="1"/>
  <c r="U44" i="3444" s="1"/>
  <c r="AS44" i="3444" a="1"/>
  <c r="AS44" i="3444" s="1"/>
  <c r="T44" i="3444" a="1"/>
  <c r="T44" i="3444" s="1"/>
  <c r="R44" i="3444" a="1"/>
  <c r="R44" i="3444" s="1"/>
  <c r="AO44" i="3444" a="1"/>
  <c r="AO44" i="3444" s="1"/>
  <c r="Q44" i="3444" a="1"/>
  <c r="Q44" i="3444" s="1"/>
  <c r="M44" i="3444" a="1"/>
  <c r="M44" i="3444" s="1"/>
  <c r="AI44" i="3444" a="1"/>
  <c r="AI44" i="3444" s="1"/>
  <c r="BG44" i="3444" a="1"/>
  <c r="BG44" i="3444" s="1"/>
  <c r="AF44" i="3444" a="1"/>
  <c r="AF44" i="3444" s="1"/>
  <c r="Y44" i="3444" a="1"/>
  <c r="Y44" i="3444" s="1"/>
  <c r="AX44" i="3444" a="1"/>
  <c r="AX44" i="3444" s="1"/>
  <c r="BD44" i="3444" a="1"/>
  <c r="BD44" i="3444" s="1"/>
  <c r="BB44" i="3444" a="1"/>
  <c r="BB44" i="3444" s="1"/>
  <c r="BA44" i="3444" a="1"/>
  <c r="BA44" i="3444" s="1"/>
  <c r="AK44" i="3444" a="1"/>
  <c r="AK44" i="3444" s="1"/>
  <c r="AE44" i="3444" a="1"/>
  <c r="AE44" i="3444" s="1"/>
  <c r="AD44" i="3444" a="1"/>
  <c r="AD44" i="3444" s="1"/>
  <c r="N44" i="3444" a="1"/>
  <c r="N44" i="3444" s="1"/>
  <c r="AX97" i="3489" a="1"/>
  <c r="AX97" i="3489" s="1"/>
  <c r="W97" i="3489" a="1"/>
  <c r="W97" i="3489" s="1"/>
  <c r="AJ97" i="3489" a="1"/>
  <c r="AJ97" i="3489" s="1"/>
  <c r="AW97" i="3489" a="1"/>
  <c r="AW97" i="3489" s="1"/>
  <c r="V97" i="3489" a="1"/>
  <c r="V97" i="3489" s="1"/>
  <c r="AQ97" i="3489" a="1"/>
  <c r="AQ97" i="3489" s="1"/>
  <c r="AC97" i="3489" a="1"/>
  <c r="AC97" i="3489" s="1"/>
  <c r="BE97" i="3489" a="1"/>
  <c r="BE97" i="3489" s="1"/>
  <c r="O97" i="3489" a="1"/>
  <c r="O97" i="3489" s="1"/>
  <c r="BD97" i="3489" a="1"/>
  <c r="BD97" i="3489" s="1"/>
  <c r="AP97" i="3489" a="1"/>
  <c r="AP97" i="3489" s="1"/>
  <c r="AB97" i="3489" a="1"/>
  <c r="AB97" i="3489" s="1"/>
  <c r="BC97" i="3489" a="1"/>
  <c r="BC97" i="3489" s="1"/>
  <c r="AO97" i="3489" a="1"/>
  <c r="AO97" i="3489" s="1"/>
  <c r="N97" i="3489" a="1"/>
  <c r="N97" i="3489" s="1"/>
  <c r="AY97" i="3489" a="1"/>
  <c r="AY97" i="3489" s="1"/>
  <c r="AT97" i="3489" a="1"/>
  <c r="AT97" i="3489" s="1"/>
  <c r="Y97" i="3489" a="1"/>
  <c r="Y97" i="3489" s="1"/>
  <c r="AS97" i="3489" a="1"/>
  <c r="AS97" i="3489" s="1"/>
  <c r="AR97" i="3489" a="1"/>
  <c r="AR97" i="3489" s="1"/>
  <c r="X97" i="3489" a="1"/>
  <c r="X97" i="3489" s="1"/>
  <c r="B97" i="3489"/>
  <c r="BI97" i="3489" a="1"/>
  <c r="BI97" i="3489" s="1"/>
  <c r="AN97" i="3489" a="1"/>
  <c r="AN97" i="3489" s="1"/>
  <c r="U97" i="3489" a="1"/>
  <c r="U97" i="3489" s="1"/>
  <c r="BH97" i="3489" a="1"/>
  <c r="BH97" i="3489" s="1"/>
  <c r="AM97" i="3489" a="1"/>
  <c r="AM97" i="3489" s="1"/>
  <c r="T97" i="3489" a="1"/>
  <c r="T97" i="3489" s="1"/>
  <c r="S97" i="3489" a="1"/>
  <c r="S97" i="3489" s="1"/>
  <c r="BG97" i="3489" a="1"/>
  <c r="BG97" i="3489" s="1"/>
  <c r="AL97" i="3489" a="1"/>
  <c r="AL97" i="3489" s="1"/>
  <c r="BA97" i="3489" a="1"/>
  <c r="BA97" i="3489" s="1"/>
  <c r="AH97" i="3489" a="1"/>
  <c r="AH97" i="3489" s="1"/>
  <c r="M97" i="3489" a="1"/>
  <c r="M97" i="3489" s="1"/>
  <c r="AZ97" i="3489" a="1"/>
  <c r="AZ97" i="3489" s="1"/>
  <c r="AF97" i="3489" a="1"/>
  <c r="AF97" i="3489" s="1"/>
  <c r="L97" i="3489" a="1"/>
  <c r="L97" i="3489" s="1"/>
  <c r="AU97" i="3489" a="1"/>
  <c r="AU97" i="3489" s="1"/>
  <c r="Z97" i="3489" a="1"/>
  <c r="Z97" i="3489" s="1"/>
  <c r="AK97" i="3489" a="1"/>
  <c r="AK97" i="3489" s="1"/>
  <c r="AI97" i="3489" a="1"/>
  <c r="AI97" i="3489" s="1"/>
  <c r="AG97" i="3489" a="1"/>
  <c r="AG97" i="3489" s="1"/>
  <c r="AE97" i="3489" a="1"/>
  <c r="AE97" i="3489" s="1"/>
  <c r="AD97" i="3489" a="1"/>
  <c r="AD97" i="3489" s="1"/>
  <c r="AA97" i="3489" a="1"/>
  <c r="AA97" i="3489" s="1"/>
  <c r="Q97" i="3489" a="1"/>
  <c r="Q97" i="3489" s="1"/>
  <c r="P97" i="3489" a="1"/>
  <c r="P97" i="3489" s="1"/>
  <c r="AV97" i="3489" a="1"/>
  <c r="AV97" i="3489" s="1"/>
  <c r="BB97" i="3489" a="1"/>
  <c r="BB97" i="3489" s="1"/>
  <c r="R97" i="3489" a="1"/>
  <c r="R97" i="3489" s="1"/>
  <c r="K97" i="3489" a="1"/>
  <c r="K97" i="3489" s="1"/>
  <c r="BF97" i="3489" a="1"/>
  <c r="BF97" i="3489" s="1"/>
  <c r="BC84" i="3489" a="1"/>
  <c r="BC84" i="3489" s="1"/>
  <c r="AQ84" i="3489" a="1"/>
  <c r="AQ84" i="3489" s="1"/>
  <c r="AE84" i="3489" a="1"/>
  <c r="AE84" i="3489" s="1"/>
  <c r="S84" i="3489" a="1"/>
  <c r="S84" i="3489" s="1"/>
  <c r="AS84" i="3489" a="1"/>
  <c r="AS84" i="3489" s="1"/>
  <c r="AD84" i="3489" a="1"/>
  <c r="AD84" i="3489" s="1"/>
  <c r="BF84" i="3489" a="1"/>
  <c r="BF84" i="3489" s="1"/>
  <c r="P84" i="3489" a="1"/>
  <c r="P84" i="3489" s="1"/>
  <c r="AR84" i="3489" a="1"/>
  <c r="AR84" i="3489" s="1"/>
  <c r="AC84" i="3489" a="1"/>
  <c r="AC84" i="3489" s="1"/>
  <c r="BE84" i="3489" a="1"/>
  <c r="BE84" i="3489" s="1"/>
  <c r="AP84" i="3489" a="1"/>
  <c r="AP84" i="3489" s="1"/>
  <c r="O84" i="3489" a="1"/>
  <c r="O84" i="3489" s="1"/>
  <c r="BD84" i="3489" a="1"/>
  <c r="BD84" i="3489" s="1"/>
  <c r="AO84" i="3489" a="1"/>
  <c r="AO84" i="3489" s="1"/>
  <c r="N84" i="3489" a="1"/>
  <c r="N84" i="3489" s="1"/>
  <c r="AX84" i="3489" a="1"/>
  <c r="AX84" i="3489" s="1"/>
  <c r="W84" i="3489" a="1"/>
  <c r="W84" i="3489" s="1"/>
  <c r="AT84" i="3489" a="1"/>
  <c r="AT84" i="3489" s="1"/>
  <c r="B84" i="3489"/>
  <c r="BG84" i="3489" a="1"/>
  <c r="BG84" i="3489" s="1"/>
  <c r="AF84" i="3489" a="1"/>
  <c r="AF84" i="3489" s="1"/>
  <c r="AB84" i="3489" a="1"/>
  <c r="AB84" i="3489" s="1"/>
  <c r="AA84" i="3489" a="1"/>
  <c r="AA84" i="3489" s="1"/>
  <c r="AW84" i="3489" a="1"/>
  <c r="AW84" i="3489" s="1"/>
  <c r="Z84" i="3489" a="1"/>
  <c r="Z84" i="3489" s="1"/>
  <c r="AV84" i="3489" a="1"/>
  <c r="AV84" i="3489" s="1"/>
  <c r="Y84" i="3489" a="1"/>
  <c r="Y84" i="3489" s="1"/>
  <c r="AU84" i="3489" a="1"/>
  <c r="AU84" i="3489" s="1"/>
  <c r="X84" i="3489" a="1"/>
  <c r="X84" i="3489" s="1"/>
  <c r="AN84" i="3489" a="1"/>
  <c r="AN84" i="3489" s="1"/>
  <c r="V84" i="3489" a="1"/>
  <c r="V84" i="3489" s="1"/>
  <c r="AM84" i="3489" a="1"/>
  <c r="AM84" i="3489" s="1"/>
  <c r="U84" i="3489" a="1"/>
  <c r="U84" i="3489" s="1"/>
  <c r="BI84" i="3489" a="1"/>
  <c r="BI84" i="3489" s="1"/>
  <c r="AL84" i="3489" a="1"/>
  <c r="AL84" i="3489" s="1"/>
  <c r="T84" i="3489" a="1"/>
  <c r="T84" i="3489" s="1"/>
  <c r="BH84" i="3489" a="1"/>
  <c r="BH84" i="3489" s="1"/>
  <c r="R84" i="3489" a="1"/>
  <c r="R84" i="3489" s="1"/>
  <c r="AK84" i="3489" a="1"/>
  <c r="AK84" i="3489" s="1"/>
  <c r="Q84" i="3489" a="1"/>
  <c r="Q84" i="3489" s="1"/>
  <c r="AH84" i="3489" a="1"/>
  <c r="AH84" i="3489" s="1"/>
  <c r="AG84" i="3489" a="1"/>
  <c r="AG84" i="3489" s="1"/>
  <c r="L84" i="3489" a="1"/>
  <c r="L84" i="3489" s="1"/>
  <c r="BB84" i="3489" a="1"/>
  <c r="BB84" i="3489" s="1"/>
  <c r="BA84" i="3489" a="1"/>
  <c r="BA84" i="3489" s="1"/>
  <c r="AZ84" i="3489" a="1"/>
  <c r="AZ84" i="3489" s="1"/>
  <c r="AY84" i="3489" a="1"/>
  <c r="AY84" i="3489" s="1"/>
  <c r="AJ84" i="3489" a="1"/>
  <c r="AJ84" i="3489" s="1"/>
  <c r="AI84" i="3489" a="1"/>
  <c r="AI84" i="3489" s="1"/>
  <c r="M84" i="3489" a="1"/>
  <c r="M84" i="3489" s="1"/>
  <c r="K84" i="3489" a="1"/>
  <c r="K84" i="3489" s="1"/>
  <c r="M52" i="3479" a="1"/>
  <c r="M52" i="3479" s="1"/>
  <c r="N52" i="3479" a="1"/>
  <c r="N52" i="3479" s="1"/>
  <c r="O52" i="3479" s="1" a="1"/>
  <c r="O52" i="3479" s="1"/>
  <c r="EC58" i="3479" a="1"/>
  <c r="EC58" i="3479" s="1"/>
  <c r="EF58" i="3479" s="1" a="1"/>
  <c r="EF58" i="3479" s="1"/>
  <c r="EG58" i="3479" s="1" a="1"/>
  <c r="EG58" i="3479" s="1"/>
  <c r="ED58" i="3479" a="1"/>
  <c r="ED58" i="3479" s="1"/>
  <c r="EE58" i="3479" s="1" a="1"/>
  <c r="EE58" i="3479" s="1"/>
  <c r="AR55" i="3479" a="1"/>
  <c r="AR55" i="3479" s="1"/>
  <c r="AS55" i="3479" s="1" a="1"/>
  <c r="AS55" i="3479" s="1"/>
  <c r="AQ55" i="3479" a="1"/>
  <c r="AQ55" i="3479" s="1"/>
  <c r="AR32" i="3479" a="1"/>
  <c r="AR32" i="3479" s="1"/>
  <c r="AS32" i="3479" s="1" a="1"/>
  <c r="AS32" i="3479" s="1"/>
  <c r="AQ32" i="3479" a="1"/>
  <c r="AQ32" i="3479" s="1"/>
  <c r="BU43" i="3479" a="1"/>
  <c r="BU43" i="3479" s="1"/>
  <c r="BV43" i="3479" a="1"/>
  <c r="BV43" i="3479" s="1"/>
  <c r="BW43" i="3479" s="1" a="1"/>
  <c r="BW43" i="3479" s="1"/>
  <c r="CK49" i="3479" a="1"/>
  <c r="CK49" i="3479" s="1"/>
  <c r="CL49" i="3479" s="1" a="1"/>
  <c r="CL49" i="3479" s="1"/>
  <c r="CJ49" i="3479" a="1"/>
  <c r="CJ49" i="3479" s="1"/>
  <c r="CK52" i="3479" a="1"/>
  <c r="CK52" i="3479" s="1"/>
  <c r="CL52" i="3479" s="1" a="1"/>
  <c r="CL52" i="3479" s="1"/>
  <c r="CJ52" i="3479" a="1"/>
  <c r="CJ52" i="3479" s="1"/>
  <c r="ES21" i="3479" a="1"/>
  <c r="ES21" i="3479" s="1"/>
  <c r="ET21" i="3479" s="1" a="1"/>
  <c r="ET21" i="3479" s="1"/>
  <c r="ER21" i="3479" a="1"/>
  <c r="ER21" i="3479" s="1"/>
  <c r="EU21" i="3479" s="1" a="1"/>
  <c r="EU21" i="3479" s="1"/>
  <c r="EV21" i="3479" s="1" a="1"/>
  <c r="EV21" i="3479" s="1"/>
  <c r="BG62" i="3479" a="1"/>
  <c r="BG62" i="3479" s="1"/>
  <c r="BH62" i="3479" s="1" a="1"/>
  <c r="BH62" i="3479" s="1"/>
  <c r="BF62" i="3479" a="1"/>
  <c r="BF62" i="3479" s="1"/>
  <c r="ES45" i="3479" a="1"/>
  <c r="ES45" i="3479" s="1"/>
  <c r="ET45" i="3479" s="1" a="1"/>
  <c r="ET45" i="3479" s="1"/>
  <c r="ER45" i="3479" a="1"/>
  <c r="ER45" i="3479" s="1"/>
  <c r="EU45" i="3479" s="1" a="1"/>
  <c r="EU45" i="3479" s="1"/>
  <c r="EV45" i="3479" s="1" a="1"/>
  <c r="EV45" i="3479" s="1"/>
  <c r="ER56" i="3479" a="1"/>
  <c r="ER56" i="3479" s="1"/>
  <c r="EU56" i="3479" s="1" a="1"/>
  <c r="EU56" i="3479" s="1"/>
  <c r="EV56" i="3479" s="1" a="1"/>
  <c r="EV56" i="3479" s="1"/>
  <c r="ES56" i="3479" a="1"/>
  <c r="ES56" i="3479" s="1"/>
  <c r="ET56" i="3479" s="1" a="1"/>
  <c r="ET56" i="3479" s="1"/>
  <c r="AR23" i="3479" a="1"/>
  <c r="AR23" i="3479" s="1"/>
  <c r="AS23" i="3479" s="1" a="1"/>
  <c r="AS23" i="3479" s="1"/>
  <c r="AQ23" i="3479" a="1"/>
  <c r="AQ23" i="3479" s="1"/>
  <c r="DN32" i="3479" a="1"/>
  <c r="DN32" i="3479" s="1"/>
  <c r="DQ32" i="3479" s="1" a="1"/>
  <c r="DQ32" i="3479" s="1"/>
  <c r="DR32" i="3479" s="1" a="1"/>
  <c r="DR32" i="3479" s="1"/>
  <c r="DO32" i="3479" a="1"/>
  <c r="DO32" i="3479" s="1"/>
  <c r="DP32" i="3479" s="1" a="1"/>
  <c r="DP32" i="3479" s="1"/>
  <c r="DN53" i="3479" a="1"/>
  <c r="DN53" i="3479" s="1"/>
  <c r="DQ53" i="3479" s="1" a="1"/>
  <c r="DQ53" i="3479" s="1"/>
  <c r="DR53" i="3479" s="1" a="1"/>
  <c r="DR53" i="3479" s="1"/>
  <c r="DO53" i="3479" a="1"/>
  <c r="DO53" i="3479" s="1"/>
  <c r="DP53" i="3479" s="1" a="1"/>
  <c r="DP53" i="3479" s="1"/>
  <c r="BF23" i="3479" a="1"/>
  <c r="BF23" i="3479" s="1"/>
  <c r="BG23" i="3479" a="1"/>
  <c r="BG23" i="3479" s="1"/>
  <c r="BH23" i="3479" s="1" a="1"/>
  <c r="BH23" i="3479" s="1"/>
  <c r="AC48" i="3479" a="1"/>
  <c r="AC48" i="3479" s="1"/>
  <c r="AD48" i="3479" s="1" a="1"/>
  <c r="AD48" i="3479" s="1"/>
  <c r="AB48" i="3479" a="1"/>
  <c r="AB48" i="3479" s="1"/>
  <c r="BU26" i="3479" a="1"/>
  <c r="BU26" i="3479" s="1"/>
  <c r="BV26" i="3479" a="1"/>
  <c r="BV26" i="3479" s="1"/>
  <c r="BW26" i="3479" s="1" a="1"/>
  <c r="BW26" i="3479" s="1"/>
  <c r="CZ53" i="3479" a="1"/>
  <c r="CZ53" i="3479" s="1"/>
  <c r="DA53" i="3479" s="1" a="1"/>
  <c r="DA53" i="3479" s="1"/>
  <c r="CY53" i="3479" a="1"/>
  <c r="CY53" i="3479" s="1"/>
  <c r="DB53" i="3479" s="1" a="1"/>
  <c r="DB53" i="3479" s="1"/>
  <c r="DC53" i="3479" s="1" a="1"/>
  <c r="DC53" i="3479" s="1"/>
  <c r="CZ66" i="3479" a="1"/>
  <c r="CZ66" i="3479" s="1"/>
  <c r="DA66" i="3479" s="1" a="1"/>
  <c r="DA66" i="3479" s="1"/>
  <c r="CY66" i="3479" a="1"/>
  <c r="CY66" i="3479" s="1"/>
  <c r="DB66" i="3479" s="1" a="1"/>
  <c r="DB66" i="3479" s="1"/>
  <c r="DC66" i="3479" s="1" a="1"/>
  <c r="DC66" i="3479" s="1"/>
  <c r="ES35" i="3479" a="1"/>
  <c r="ES35" i="3479" s="1"/>
  <c r="ET35" i="3479" s="1" a="1"/>
  <c r="ET35" i="3479" s="1"/>
  <c r="ER35" i="3479" a="1"/>
  <c r="ER35" i="3479" s="1"/>
  <c r="EU35" i="3479" s="1" a="1"/>
  <c r="EU35" i="3479" s="1"/>
  <c r="EV35" i="3479" s="1" a="1"/>
  <c r="EV35" i="3479" s="1"/>
  <c r="N42" i="3479" a="1"/>
  <c r="N42" i="3479" s="1"/>
  <c r="O42" i="3479" s="1" a="1"/>
  <c r="O42" i="3479" s="1"/>
  <c r="M42" i="3479" a="1"/>
  <c r="M42" i="3479" s="1"/>
  <c r="L86" i="3445"/>
  <c r="M86" i="3445" s="1"/>
  <c r="H67" i="3436" s="1"/>
  <c r="N86" i="3445" a="1"/>
  <c r="N86" i="3445" s="1"/>
  <c r="N69" i="3445" a="1"/>
  <c r="N69" i="3445" s="1"/>
  <c r="BC82" i="3444" a="1"/>
  <c r="BC82" i="3444" s="1"/>
  <c r="AQ82" i="3444" a="1"/>
  <c r="AQ82" i="3444" s="1"/>
  <c r="BE82" i="3444" a="1"/>
  <c r="BE82" i="3444" s="1"/>
  <c r="AF82" i="3444" a="1"/>
  <c r="AF82" i="3444" s="1"/>
  <c r="T82" i="3444" a="1"/>
  <c r="T82" i="3444" s="1"/>
  <c r="AR82" i="3444" a="1"/>
  <c r="AR82" i="3444" s="1"/>
  <c r="BA82" i="3444" a="1"/>
  <c r="BA82" i="3444" s="1"/>
  <c r="AY82" i="3444" a="1"/>
  <c r="AY82" i="3444" s="1"/>
  <c r="AB82" i="3444" a="1"/>
  <c r="AB82" i="3444" s="1"/>
  <c r="O82" i="3444" a="1"/>
  <c r="O82" i="3444" s="1"/>
  <c r="BD82" i="3444" a="1"/>
  <c r="BD82" i="3444" s="1"/>
  <c r="AO82" i="3444" a="1"/>
  <c r="AO82" i="3444" s="1"/>
  <c r="AN82" i="3444" a="1"/>
  <c r="AN82" i="3444" s="1"/>
  <c r="AA82" i="3444" a="1"/>
  <c r="AA82" i="3444" s="1"/>
  <c r="N82" i="3444" a="1"/>
  <c r="N82" i="3444" s="1"/>
  <c r="BB82" i="3444" a="1"/>
  <c r="BB82" i="3444" s="1"/>
  <c r="AM82" i="3444" a="1"/>
  <c r="AM82" i="3444" s="1"/>
  <c r="Z82" i="3444" a="1"/>
  <c r="Z82" i="3444" s="1"/>
  <c r="M82" i="3444" a="1"/>
  <c r="M82" i="3444" s="1"/>
  <c r="AX82" i="3444" a="1"/>
  <c r="AX82" i="3444" s="1"/>
  <c r="AJ82" i="3444" a="1"/>
  <c r="AJ82" i="3444" s="1"/>
  <c r="W82" i="3444" a="1"/>
  <c r="W82" i="3444" s="1"/>
  <c r="AU82" i="3444" a="1"/>
  <c r="AU82" i="3444" s="1"/>
  <c r="AG82" i="3444" a="1"/>
  <c r="AG82" i="3444" s="1"/>
  <c r="V82" i="3444" a="1"/>
  <c r="V82" i="3444" s="1"/>
  <c r="BH82" i="3444" a="1"/>
  <c r="BH82" i="3444" s="1"/>
  <c r="AL82" i="3444" a="1"/>
  <c r="AL82" i="3444" s="1"/>
  <c r="U82" i="3444" a="1"/>
  <c r="U82" i="3444" s="1"/>
  <c r="S82" i="3444" a="1"/>
  <c r="S82" i="3444" s="1"/>
  <c r="BG82" i="3444" a="1"/>
  <c r="BG82" i="3444" s="1"/>
  <c r="AK82" i="3444" a="1"/>
  <c r="AK82" i="3444" s="1"/>
  <c r="R82" i="3444" a="1"/>
  <c r="R82" i="3444" s="1"/>
  <c r="BF82" i="3444" a="1"/>
  <c r="BF82" i="3444" s="1"/>
  <c r="AI82" i="3444" a="1"/>
  <c r="AI82" i="3444" s="1"/>
  <c r="Q82" i="3444" a="1"/>
  <c r="Q82" i="3444" s="1"/>
  <c r="P82" i="3444" a="1"/>
  <c r="P82" i="3444" s="1"/>
  <c r="AH82" i="3444" a="1"/>
  <c r="AH82" i="3444" s="1"/>
  <c r="AZ82" i="3444" a="1"/>
  <c r="AZ82" i="3444" s="1"/>
  <c r="AE82" i="3444" a="1"/>
  <c r="AE82" i="3444" s="1"/>
  <c r="L82" i="3444" a="1"/>
  <c r="L82" i="3444" s="1"/>
  <c r="AW82" i="3444" a="1"/>
  <c r="AW82" i="3444" s="1"/>
  <c r="AD82" i="3444" a="1"/>
  <c r="AD82" i="3444" s="1"/>
  <c r="K82" i="3444" a="1"/>
  <c r="K82" i="3444" s="1"/>
  <c r="AT82" i="3444" a="1"/>
  <c r="AT82" i="3444" s="1"/>
  <c r="AS82" i="3444" a="1"/>
  <c r="AS82" i="3444" s="1"/>
  <c r="X82" i="3444" a="1"/>
  <c r="X82" i="3444" s="1"/>
  <c r="AV82" i="3444" a="1"/>
  <c r="AV82" i="3444" s="1"/>
  <c r="Y82" i="3444" a="1"/>
  <c r="Y82" i="3444" s="1"/>
  <c r="AC82" i="3444" a="1"/>
  <c r="AC82" i="3444" s="1"/>
  <c r="AP82" i="3444" a="1"/>
  <c r="AP82" i="3444" s="1"/>
  <c r="BH74" i="3444" a="1"/>
  <c r="BH74" i="3444" s="1"/>
  <c r="AV74" i="3444" a="1"/>
  <c r="AV74" i="3444" s="1"/>
  <c r="AJ74" i="3444" a="1"/>
  <c r="AJ74" i="3444" s="1"/>
  <c r="X74" i="3444" a="1"/>
  <c r="X74" i="3444" s="1"/>
  <c r="L74" i="3444" a="1"/>
  <c r="L74" i="3444" s="1"/>
  <c r="BG74" i="3444" a="1"/>
  <c r="BG74" i="3444" s="1"/>
  <c r="AU74" i="3444" a="1"/>
  <c r="AU74" i="3444" s="1"/>
  <c r="AI74" i="3444" a="1"/>
  <c r="AI74" i="3444" s="1"/>
  <c r="W74" i="3444" a="1"/>
  <c r="W74" i="3444" s="1"/>
  <c r="K74" i="3444" a="1"/>
  <c r="K74" i="3444" s="1"/>
  <c r="BF74" i="3444" a="1"/>
  <c r="BF74" i="3444" s="1"/>
  <c r="AT74" i="3444" a="1"/>
  <c r="AT74" i="3444" s="1"/>
  <c r="AH74" i="3444" a="1"/>
  <c r="AH74" i="3444" s="1"/>
  <c r="V74" i="3444" a="1"/>
  <c r="V74" i="3444" s="1"/>
  <c r="BC74" i="3444" a="1"/>
  <c r="BC74" i="3444" s="1"/>
  <c r="AQ74" i="3444" a="1"/>
  <c r="AQ74" i="3444" s="1"/>
  <c r="AE74" i="3444" a="1"/>
  <c r="AE74" i="3444" s="1"/>
  <c r="S74" i="3444" a="1"/>
  <c r="S74" i="3444" s="1"/>
  <c r="AG74" i="3444" a="1"/>
  <c r="AG74" i="3444" s="1"/>
  <c r="R74" i="3444" a="1"/>
  <c r="R74" i="3444" s="1"/>
  <c r="AW74" i="3444" a="1"/>
  <c r="AW74" i="3444" s="1"/>
  <c r="AF74" i="3444" a="1"/>
  <c r="AF74" i="3444" s="1"/>
  <c r="Q74" i="3444" a="1"/>
  <c r="Q74" i="3444" s="1"/>
  <c r="P74" i="3444" a="1"/>
  <c r="P74" i="3444" s="1"/>
  <c r="AS74" i="3444" a="1"/>
  <c r="AS74" i="3444" s="1"/>
  <c r="AD74" i="3444" a="1"/>
  <c r="AD74" i="3444" s="1"/>
  <c r="O74" i="3444" a="1"/>
  <c r="O74" i="3444" s="1"/>
  <c r="AR74" i="3444" a="1"/>
  <c r="AR74" i="3444" s="1"/>
  <c r="AC74" i="3444" a="1"/>
  <c r="AC74" i="3444" s="1"/>
  <c r="AB74" i="3444" a="1"/>
  <c r="AB74" i="3444" s="1"/>
  <c r="BE74" i="3444" a="1"/>
  <c r="BE74" i="3444" s="1"/>
  <c r="AP74" i="3444" a="1"/>
  <c r="AP74" i="3444" s="1"/>
  <c r="M74" i="3444" a="1"/>
  <c r="M74" i="3444" s="1"/>
  <c r="AA74" i="3444" a="1"/>
  <c r="AA74" i="3444" s="1"/>
  <c r="AN74" i="3444" a="1"/>
  <c r="AN74" i="3444" s="1"/>
  <c r="BB74" i="3444" a="1"/>
  <c r="BB74" i="3444" s="1"/>
  <c r="Y74" i="3444" a="1"/>
  <c r="Y74" i="3444" s="1"/>
  <c r="AL74" i="3444" a="1"/>
  <c r="AL74" i="3444" s="1"/>
  <c r="AK74" i="3444" a="1"/>
  <c r="AK74" i="3444" s="1"/>
  <c r="U74" i="3444" a="1"/>
  <c r="U74" i="3444" s="1"/>
  <c r="BD74" i="3444" a="1"/>
  <c r="BD74" i="3444" s="1"/>
  <c r="BA74" i="3444" a="1"/>
  <c r="BA74" i="3444" s="1"/>
  <c r="AZ74" i="3444" a="1"/>
  <c r="AZ74" i="3444" s="1"/>
  <c r="AY74" i="3444" a="1"/>
  <c r="AY74" i="3444" s="1"/>
  <c r="AX74" i="3444" a="1"/>
  <c r="AX74" i="3444" s="1"/>
  <c r="AO74" i="3444" a="1"/>
  <c r="AO74" i="3444" s="1"/>
  <c r="AM74" i="3444" a="1"/>
  <c r="AM74" i="3444" s="1"/>
  <c r="T74" i="3444" a="1"/>
  <c r="T74" i="3444" s="1"/>
  <c r="Z74" i="3444" a="1"/>
  <c r="Z74" i="3444" s="1"/>
  <c r="N74" i="3444" a="1"/>
  <c r="N74" i="3444" s="1"/>
  <c r="A64" i="3444"/>
  <c r="I21" i="3436"/>
  <c r="N59" i="3445" a="1"/>
  <c r="N59" i="3445" s="1"/>
  <c r="I29" i="3445" a="1"/>
  <c r="I29" i="3445" s="1"/>
  <c r="O29" i="3445" s="1"/>
  <c r="A50" i="3444"/>
  <c r="AW54" i="3444" a="1"/>
  <c r="AW54" i="3444" s="1"/>
  <c r="AK54" i="3444" a="1"/>
  <c r="AK54" i="3444" s="1"/>
  <c r="Y54" i="3444" a="1"/>
  <c r="Y54" i="3444" s="1"/>
  <c r="M54" i="3444" a="1"/>
  <c r="M54" i="3444" s="1"/>
  <c r="BH54" i="3444" a="1"/>
  <c r="BH54" i="3444" s="1"/>
  <c r="AV54" i="3444" a="1"/>
  <c r="AV54" i="3444" s="1"/>
  <c r="AJ54" i="3444" a="1"/>
  <c r="AJ54" i="3444" s="1"/>
  <c r="X54" i="3444" a="1"/>
  <c r="X54" i="3444" s="1"/>
  <c r="L54" i="3444" a="1"/>
  <c r="L54" i="3444" s="1"/>
  <c r="BG54" i="3444" a="1"/>
  <c r="BG54" i="3444" s="1"/>
  <c r="AU54" i="3444" a="1"/>
  <c r="AU54" i="3444" s="1"/>
  <c r="AI54" i="3444" a="1"/>
  <c r="AI54" i="3444" s="1"/>
  <c r="W54" i="3444" a="1"/>
  <c r="W54" i="3444" s="1"/>
  <c r="K54" i="3444" a="1"/>
  <c r="K54" i="3444" s="1"/>
  <c r="BD54" i="3444" a="1"/>
  <c r="BD54" i="3444" s="1"/>
  <c r="AR54" i="3444" a="1"/>
  <c r="AR54" i="3444" s="1"/>
  <c r="AF54" i="3444" a="1"/>
  <c r="AF54" i="3444" s="1"/>
  <c r="T54" i="3444" a="1"/>
  <c r="T54" i="3444" s="1"/>
  <c r="Q54" i="3444" a="1"/>
  <c r="Q54" i="3444" s="1"/>
  <c r="AT54" i="3444" a="1"/>
  <c r="AT54" i="3444" s="1"/>
  <c r="AE54" i="3444" a="1"/>
  <c r="AE54" i="3444" s="1"/>
  <c r="P54" i="3444" a="1"/>
  <c r="P54" i="3444" s="1"/>
  <c r="BF54" i="3444" a="1"/>
  <c r="BF54" i="3444" s="1"/>
  <c r="AB54" i="3444" a="1"/>
  <c r="AB54" i="3444" s="1"/>
  <c r="V54" i="3444" a="1"/>
  <c r="V54" i="3444" s="1"/>
  <c r="BC54" i="3444" a="1"/>
  <c r="BC54" i="3444" s="1"/>
  <c r="BB54" i="3444" a="1"/>
  <c r="BB54" i="3444" s="1"/>
  <c r="AG54" i="3444" a="1"/>
  <c r="AG54" i="3444" s="1"/>
  <c r="BA54" i="3444" a="1"/>
  <c r="BA54" i="3444" s="1"/>
  <c r="AD54" i="3444" a="1"/>
  <c r="AD54" i="3444" s="1"/>
  <c r="AZ54" i="3444" a="1"/>
  <c r="AZ54" i="3444" s="1"/>
  <c r="AC54" i="3444" a="1"/>
  <c r="AC54" i="3444" s="1"/>
  <c r="AY54" i="3444" a="1"/>
  <c r="AY54" i="3444" s="1"/>
  <c r="AQ54" i="3444" a="1"/>
  <c r="AQ54" i="3444" s="1"/>
  <c r="AP54" i="3444" a="1"/>
  <c r="AP54" i="3444" s="1"/>
  <c r="U54" i="3444" a="1"/>
  <c r="U54" i="3444" s="1"/>
  <c r="AO54" i="3444" a="1"/>
  <c r="AO54" i="3444" s="1"/>
  <c r="AN54" i="3444" a="1"/>
  <c r="AN54" i="3444" s="1"/>
  <c r="N54" i="3444" a="1"/>
  <c r="N54" i="3444" s="1"/>
  <c r="AH54" i="3444" a="1"/>
  <c r="AH54" i="3444" s="1"/>
  <c r="BE54" i="3444" a="1"/>
  <c r="BE54" i="3444" s="1"/>
  <c r="AX54" i="3444" a="1"/>
  <c r="AX54" i="3444" s="1"/>
  <c r="AS54" i="3444" a="1"/>
  <c r="AS54" i="3444" s="1"/>
  <c r="AM54" i="3444" a="1"/>
  <c r="AM54" i="3444" s="1"/>
  <c r="AL54" i="3444" a="1"/>
  <c r="AL54" i="3444" s="1"/>
  <c r="Z54" i="3444" a="1"/>
  <c r="Z54" i="3444" s="1"/>
  <c r="S54" i="3444" a="1"/>
  <c r="S54" i="3444" s="1"/>
  <c r="R54" i="3444" a="1"/>
  <c r="R54" i="3444" s="1"/>
  <c r="AA54" i="3444" a="1"/>
  <c r="AA54" i="3444" s="1"/>
  <c r="O54" i="3444" a="1"/>
  <c r="O54" i="3444" s="1"/>
  <c r="AY88" i="3489" a="1"/>
  <c r="AY88" i="3489" s="1"/>
  <c r="AM88" i="3489" a="1"/>
  <c r="AM88" i="3489" s="1"/>
  <c r="AA88" i="3489" a="1"/>
  <c r="AA88" i="3489" s="1"/>
  <c r="O88" i="3489" a="1"/>
  <c r="O88" i="3489" s="1"/>
  <c r="AS88" i="3489" a="1"/>
  <c r="AS88" i="3489" s="1"/>
  <c r="R88" i="3489" a="1"/>
  <c r="R88" i="3489" s="1"/>
  <c r="BF88" i="3489" a="1"/>
  <c r="BF88" i="3489" s="1"/>
  <c r="AE88" i="3489" a="1"/>
  <c r="AE88" i="3489" s="1"/>
  <c r="B88" i="3489"/>
  <c r="AR88" i="3489" a="1"/>
  <c r="AR88" i="3489" s="1"/>
  <c r="Q88" i="3489" a="1"/>
  <c r="Q88" i="3489" s="1"/>
  <c r="BE88" i="3489" a="1"/>
  <c r="BE88" i="3489" s="1"/>
  <c r="AD88" i="3489" a="1"/>
  <c r="AD88" i="3489" s="1"/>
  <c r="BD88" i="3489" a="1"/>
  <c r="BD88" i="3489" s="1"/>
  <c r="AC88" i="3489" a="1"/>
  <c r="AC88" i="3489" s="1"/>
  <c r="N88" i="3489" a="1"/>
  <c r="N88" i="3489" s="1"/>
  <c r="AP88" i="3489" a="1"/>
  <c r="AP88" i="3489" s="1"/>
  <c r="AO88" i="3489" a="1"/>
  <c r="AO88" i="3489" s="1"/>
  <c r="Z88" i="3489" a="1"/>
  <c r="Z88" i="3489" s="1"/>
  <c r="AX88" i="3489" a="1"/>
  <c r="AX88" i="3489" s="1"/>
  <c r="W88" i="3489" a="1"/>
  <c r="W88" i="3489" s="1"/>
  <c r="AJ88" i="3489" a="1"/>
  <c r="AJ88" i="3489" s="1"/>
  <c r="AT88" i="3489" a="1"/>
  <c r="AT88" i="3489" s="1"/>
  <c r="S88" i="3489" a="1"/>
  <c r="S88" i="3489" s="1"/>
  <c r="BG88" i="3489" a="1"/>
  <c r="BG88" i="3489" s="1"/>
  <c r="AF88" i="3489" a="1"/>
  <c r="AF88" i="3489" s="1"/>
  <c r="BI88" i="3489" a="1"/>
  <c r="BI88" i="3489" s="1"/>
  <c r="AI88" i="3489" a="1"/>
  <c r="AI88" i="3489" s="1"/>
  <c r="K88" i="3489" a="1"/>
  <c r="K88" i="3489" s="1"/>
  <c r="BH88" i="3489" a="1"/>
  <c r="BH88" i="3489" s="1"/>
  <c r="AH88" i="3489" a="1"/>
  <c r="AH88" i="3489" s="1"/>
  <c r="BC88" i="3489" a="1"/>
  <c r="BC88" i="3489" s="1"/>
  <c r="AG88" i="3489" a="1"/>
  <c r="AG88" i="3489" s="1"/>
  <c r="BB88" i="3489" a="1"/>
  <c r="BB88" i="3489" s="1"/>
  <c r="AB88" i="3489" a="1"/>
  <c r="AB88" i="3489" s="1"/>
  <c r="BA88" i="3489" a="1"/>
  <c r="BA88" i="3489" s="1"/>
  <c r="Y88" i="3489" a="1"/>
  <c r="Y88" i="3489" s="1"/>
  <c r="AZ88" i="3489" a="1"/>
  <c r="AZ88" i="3489" s="1"/>
  <c r="AW88" i="3489" a="1"/>
  <c r="AW88" i="3489" s="1"/>
  <c r="X88" i="3489" a="1"/>
  <c r="X88" i="3489" s="1"/>
  <c r="AV88" i="3489" a="1"/>
  <c r="AV88" i="3489" s="1"/>
  <c r="V88" i="3489" a="1"/>
  <c r="V88" i="3489" s="1"/>
  <c r="AU88" i="3489" a="1"/>
  <c r="AU88" i="3489" s="1"/>
  <c r="U88" i="3489" a="1"/>
  <c r="U88" i="3489" s="1"/>
  <c r="AQ88" i="3489" a="1"/>
  <c r="AQ88" i="3489" s="1"/>
  <c r="T88" i="3489" a="1"/>
  <c r="T88" i="3489" s="1"/>
  <c r="AK88" i="3489" a="1"/>
  <c r="AK88" i="3489" s="1"/>
  <c r="L88" i="3489" a="1"/>
  <c r="L88" i="3489" s="1"/>
  <c r="P88" i="3489" a="1"/>
  <c r="P88" i="3489" s="1"/>
  <c r="M88" i="3489" a="1"/>
  <c r="M88" i="3489" s="1"/>
  <c r="AN88" i="3489" a="1"/>
  <c r="AN88" i="3489" s="1"/>
  <c r="AL88" i="3489" a="1"/>
  <c r="AL88" i="3489" s="1"/>
  <c r="S64" i="3445" a="1"/>
  <c r="S64" i="3445" s="1"/>
  <c r="T64" i="3445" s="1"/>
  <c r="AD92" i="3489" a="1"/>
  <c r="AD92" i="3489" s="1"/>
  <c r="BC92" i="3489" a="1"/>
  <c r="BC92" i="3489" s="1"/>
  <c r="AY94" i="3489" a="1"/>
  <c r="AY94" i="3489" s="1"/>
  <c r="AM94" i="3489" a="1"/>
  <c r="AM94" i="3489" s="1"/>
  <c r="AA94" i="3489" a="1"/>
  <c r="AA94" i="3489" s="1"/>
  <c r="O94" i="3489" a="1"/>
  <c r="O94" i="3489" s="1"/>
  <c r="BE94" i="3489" a="1"/>
  <c r="BE94" i="3489" s="1"/>
  <c r="AS94" i="3489" a="1"/>
  <c r="AS94" i="3489" s="1"/>
  <c r="AG94" i="3489" a="1"/>
  <c r="AG94" i="3489" s="1"/>
  <c r="U94" i="3489" a="1"/>
  <c r="U94" i="3489" s="1"/>
  <c r="AP94" i="3489" a="1"/>
  <c r="AP94" i="3489" s="1"/>
  <c r="Z94" i="3489" a="1"/>
  <c r="Z94" i="3489" s="1"/>
  <c r="BD94" i="3489" a="1"/>
  <c r="BD94" i="3489" s="1"/>
  <c r="K94" i="3489" a="1"/>
  <c r="K94" i="3489" s="1"/>
  <c r="AO94" i="3489" a="1"/>
  <c r="AO94" i="3489" s="1"/>
  <c r="Y94" i="3489" a="1"/>
  <c r="Y94" i="3489" s="1"/>
  <c r="BC94" i="3489" a="1"/>
  <c r="BC94" i="3489" s="1"/>
  <c r="BB94" i="3489" a="1"/>
  <c r="BB94" i="3489" s="1"/>
  <c r="AL94" i="3489" a="1"/>
  <c r="AL94" i="3489" s="1"/>
  <c r="W94" i="3489" a="1"/>
  <c r="W94" i="3489" s="1"/>
  <c r="BA94" i="3489" a="1"/>
  <c r="BA94" i="3489" s="1"/>
  <c r="AK94" i="3489" a="1"/>
  <c r="AK94" i="3489" s="1"/>
  <c r="V94" i="3489" a="1"/>
  <c r="V94" i="3489" s="1"/>
  <c r="AZ94" i="3489" a="1"/>
  <c r="AZ94" i="3489" s="1"/>
  <c r="AJ94" i="3489" a="1"/>
  <c r="AJ94" i="3489" s="1"/>
  <c r="AV94" i="3489" a="1"/>
  <c r="AV94" i="3489" s="1"/>
  <c r="R94" i="3489" a="1"/>
  <c r="R94" i="3489" s="1"/>
  <c r="AF94" i="3489" a="1"/>
  <c r="AF94" i="3489" s="1"/>
  <c r="AQ94" i="3489" a="1"/>
  <c r="AQ94" i="3489" s="1"/>
  <c r="BF94" i="3489" a="1"/>
  <c r="BF94" i="3489" s="1"/>
  <c r="AB94" i="3489" a="1"/>
  <c r="AB94" i="3489" s="1"/>
  <c r="L94" i="3489" a="1"/>
  <c r="L94" i="3489" s="1"/>
  <c r="AE94" i="3489" a="1"/>
  <c r="AE94" i="3489" s="1"/>
  <c r="BI94" i="3489" a="1"/>
  <c r="BI94" i="3489" s="1"/>
  <c r="AD94" i="3489" a="1"/>
  <c r="AD94" i="3489" s="1"/>
  <c r="BH94" i="3489" a="1"/>
  <c r="BH94" i="3489" s="1"/>
  <c r="AC94" i="3489" a="1"/>
  <c r="AC94" i="3489" s="1"/>
  <c r="X94" i="3489" a="1"/>
  <c r="X94" i="3489" s="1"/>
  <c r="BG94" i="3489" a="1"/>
  <c r="BG94" i="3489" s="1"/>
  <c r="T94" i="3489" a="1"/>
  <c r="T94" i="3489" s="1"/>
  <c r="AX94" i="3489" a="1"/>
  <c r="AX94" i="3489" s="1"/>
  <c r="S94" i="3489" a="1"/>
  <c r="S94" i="3489" s="1"/>
  <c r="AW94" i="3489" a="1"/>
  <c r="AW94" i="3489" s="1"/>
  <c r="Q94" i="3489" a="1"/>
  <c r="Q94" i="3489" s="1"/>
  <c r="AU94" i="3489" a="1"/>
  <c r="AU94" i="3489" s="1"/>
  <c r="P94" i="3489" a="1"/>
  <c r="P94" i="3489" s="1"/>
  <c r="N94" i="3489" a="1"/>
  <c r="N94" i="3489" s="1"/>
  <c r="AT94" i="3489" a="1"/>
  <c r="AT94" i="3489" s="1"/>
  <c r="M94" i="3489" a="1"/>
  <c r="M94" i="3489" s="1"/>
  <c r="AR94" i="3489" a="1"/>
  <c r="AR94" i="3489" s="1"/>
  <c r="AH94" i="3489" a="1"/>
  <c r="AH94" i="3489" s="1"/>
  <c r="AN94" i="3489" a="1"/>
  <c r="AN94" i="3489" s="1"/>
  <c r="AI94" i="3489" a="1"/>
  <c r="AI94" i="3489" s="1"/>
  <c r="B94" i="3489"/>
  <c r="AQ52" i="3489" a="1"/>
  <c r="AQ52" i="3489" s="1"/>
  <c r="AW38" i="3444" a="1"/>
  <c r="AW38" i="3444" s="1"/>
  <c r="AK38" i="3444" a="1"/>
  <c r="AK38" i="3444" s="1"/>
  <c r="Y38" i="3444" a="1"/>
  <c r="Y38" i="3444" s="1"/>
  <c r="M38" i="3444" a="1"/>
  <c r="M38" i="3444" s="1"/>
  <c r="BH38" i="3444" a="1"/>
  <c r="BH38" i="3444" s="1"/>
  <c r="AV38" i="3444" a="1"/>
  <c r="AV38" i="3444" s="1"/>
  <c r="AJ38" i="3444" a="1"/>
  <c r="AJ38" i="3444" s="1"/>
  <c r="X38" i="3444" a="1"/>
  <c r="X38" i="3444" s="1"/>
  <c r="L38" i="3444" a="1"/>
  <c r="L38" i="3444" s="1"/>
  <c r="BE38" i="3444" a="1"/>
  <c r="BE38" i="3444" s="1"/>
  <c r="AS38" i="3444" a="1"/>
  <c r="AS38" i="3444" s="1"/>
  <c r="AG38" i="3444" a="1"/>
  <c r="AG38" i="3444" s="1"/>
  <c r="U38" i="3444" a="1"/>
  <c r="U38" i="3444" s="1"/>
  <c r="BF38" i="3444" a="1"/>
  <c r="BF38" i="3444" s="1"/>
  <c r="AQ38" i="3444" a="1"/>
  <c r="AQ38" i="3444" s="1"/>
  <c r="N38" i="3444" a="1"/>
  <c r="N38" i="3444" s="1"/>
  <c r="AB38" i="3444" a="1"/>
  <c r="AB38" i="3444" s="1"/>
  <c r="AP38" i="3444" a="1"/>
  <c r="AP38" i="3444" s="1"/>
  <c r="K38" i="3444" a="1"/>
  <c r="K38" i="3444" s="1"/>
  <c r="BC38" i="3444" a="1"/>
  <c r="BC38" i="3444" s="1"/>
  <c r="Z38" i="3444" a="1"/>
  <c r="Z38" i="3444" s="1"/>
  <c r="AN38" i="3444" a="1"/>
  <c r="AN38" i="3444" s="1"/>
  <c r="AY38" i="3444" a="1"/>
  <c r="AY38" i="3444" s="1"/>
  <c r="AH38" i="3444" a="1"/>
  <c r="AH38" i="3444" s="1"/>
  <c r="S38" i="3444" a="1"/>
  <c r="S38" i="3444" s="1"/>
  <c r="AC38" i="3444" a="1"/>
  <c r="AC38" i="3444" s="1"/>
  <c r="AM38" i="3444" a="1"/>
  <c r="AM38" i="3444" s="1"/>
  <c r="Q38" i="3444" a="1"/>
  <c r="Q38" i="3444" s="1"/>
  <c r="AL38" i="3444" a="1"/>
  <c r="AL38" i="3444" s="1"/>
  <c r="P38" i="3444" a="1"/>
  <c r="P38" i="3444" s="1"/>
  <c r="BG38" i="3444" a="1"/>
  <c r="BG38" i="3444" s="1"/>
  <c r="AI38" i="3444" a="1"/>
  <c r="AI38" i="3444" s="1"/>
  <c r="O38" i="3444" a="1"/>
  <c r="O38" i="3444" s="1"/>
  <c r="BD38" i="3444" a="1"/>
  <c r="BD38" i="3444" s="1"/>
  <c r="BB38" i="3444" a="1"/>
  <c r="BB38" i="3444" s="1"/>
  <c r="AF38" i="3444" a="1"/>
  <c r="AF38" i="3444" s="1"/>
  <c r="AZ38" i="3444" a="1"/>
  <c r="AZ38" i="3444" s="1"/>
  <c r="AD38" i="3444" a="1"/>
  <c r="AD38" i="3444" s="1"/>
  <c r="AX38" i="3444" a="1"/>
  <c r="AX38" i="3444" s="1"/>
  <c r="AA38" i="3444" a="1"/>
  <c r="AA38" i="3444" s="1"/>
  <c r="AU38" i="3444" a="1"/>
  <c r="AU38" i="3444" s="1"/>
  <c r="W38" i="3444" a="1"/>
  <c r="W38" i="3444" s="1"/>
  <c r="AO38" i="3444" a="1"/>
  <c r="AO38" i="3444" s="1"/>
  <c r="R38" i="3444" a="1"/>
  <c r="R38" i="3444" s="1"/>
  <c r="BA38" i="3444" a="1"/>
  <c r="BA38" i="3444" s="1"/>
  <c r="AT38" i="3444" a="1"/>
  <c r="AT38" i="3444" s="1"/>
  <c r="AR38" i="3444" a="1"/>
  <c r="AR38" i="3444" s="1"/>
  <c r="V38" i="3444" a="1"/>
  <c r="V38" i="3444" s="1"/>
  <c r="T38" i="3444" a="1"/>
  <c r="T38" i="3444" s="1"/>
  <c r="AE38" i="3444" a="1"/>
  <c r="AE38" i="3444" s="1"/>
  <c r="M29" i="3489" a="1"/>
  <c r="M29" i="3489" s="1"/>
  <c r="BG29" i="3489" a="1"/>
  <c r="BG29" i="3489" s="1"/>
  <c r="N27" i="3576" a="1"/>
  <c r="N27" i="3576" s="1"/>
  <c r="P27" i="3576" s="1" a="1"/>
  <c r="P27" i="3576" s="1"/>
  <c r="M27" i="3576" a="1"/>
  <c r="M27" i="3576" s="1"/>
  <c r="Z27" i="3576" s="1" a="1"/>
  <c r="Z27" i="3576" s="1"/>
  <c r="Q27" i="3576"/>
  <c r="AB27" i="3576" a="1"/>
  <c r="AB27" i="3576" s="1"/>
  <c r="AE28" i="3576" s="1"/>
  <c r="B27" i="3576"/>
  <c r="S27" i="3576" a="1"/>
  <c r="S27" i="3576" s="1"/>
  <c r="H62" i="3523" a="1"/>
  <c r="H62" i="3523" s="1"/>
  <c r="I62" i="3523" a="1"/>
  <c r="I62" i="3523" s="1"/>
  <c r="G70" i="3448"/>
  <c r="BW70" i="3448" s="1"/>
  <c r="BP70" i="3448"/>
  <c r="BO70" i="3448"/>
  <c r="G44" i="3448"/>
  <c r="G18" i="3448"/>
  <c r="BW18" i="3448" s="1"/>
  <c r="AE51" i="3480"/>
  <c r="AL101" i="3434" a="1"/>
  <c r="AL101" i="3434" s="1"/>
  <c r="AK101" i="3434" a="1"/>
  <c r="AK101" i="3434" s="1"/>
  <c r="G34" i="3436"/>
  <c r="AE68" i="3480"/>
  <c r="AK118" i="3434" a="1"/>
  <c r="AK118" i="3434" s="1"/>
  <c r="AL118" i="3434" a="1"/>
  <c r="AL118" i="3434" s="1"/>
  <c r="AN101" i="3577" a="1"/>
  <c r="AN101" i="3577" s="1"/>
  <c r="AM101" i="3577" a="1"/>
  <c r="AM101" i="3577" s="1"/>
  <c r="AL101" i="3577" a="1"/>
  <c r="AL101" i="3577" s="1"/>
  <c r="AK101" i="3577" a="1"/>
  <c r="AK101" i="3577" s="1"/>
  <c r="AE49" i="3480"/>
  <c r="AL99" i="3434" a="1"/>
  <c r="AL99" i="3434" s="1"/>
  <c r="AK99" i="3434" a="1"/>
  <c r="AK99" i="3434" s="1"/>
  <c r="G35" i="3436"/>
  <c r="I37" i="3444" s="1"/>
  <c r="G22" i="3436"/>
  <c r="I24" i="3444" s="1"/>
  <c r="B49" i="3434"/>
  <c r="B52" i="3434" s="1"/>
  <c r="B46" i="3577"/>
  <c r="B49" i="3577" s="1"/>
  <c r="B593" i="3449"/>
  <c r="F22" i="3518" a="1"/>
  <c r="F22" i="3518" s="1"/>
  <c r="G22" i="3518" a="1"/>
  <c r="G22" i="3518" s="1"/>
  <c r="J143" i="3528" a="1"/>
  <c r="J143" i="3528" s="1"/>
  <c r="J108" i="3528" a="1"/>
  <c r="J108" i="3528" s="1"/>
  <c r="J74" i="3528" a="1"/>
  <c r="J74" i="3528" s="1"/>
  <c r="S142" i="3528" a="1"/>
  <c r="S142" i="3528" s="1"/>
  <c r="S73" i="3528" a="1"/>
  <c r="S73" i="3528" s="1"/>
  <c r="S107" i="3528" a="1"/>
  <c r="S107" i="3528" s="1"/>
  <c r="N52" i="3528" a="1"/>
  <c r="N52" i="3528" s="1"/>
  <c r="N121" i="3528" a="1"/>
  <c r="N121" i="3528" s="1"/>
  <c r="N86" i="3528" a="1"/>
  <c r="N86" i="3528" s="1"/>
  <c r="M107" i="3528" a="1"/>
  <c r="M107" i="3528" s="1"/>
  <c r="M73" i="3528" a="1"/>
  <c r="M73" i="3528" s="1"/>
  <c r="M142" i="3528" a="1"/>
  <c r="M142" i="3528" s="1"/>
  <c r="O54" i="3528" a="1"/>
  <c r="O54" i="3528" s="1"/>
  <c r="O88" i="3528" a="1"/>
  <c r="O88" i="3528" s="1"/>
  <c r="O123" i="3528" a="1"/>
  <c r="O123" i="3528" s="1"/>
  <c r="W139" i="3528"/>
  <c r="AM139" i="3528"/>
  <c r="F128" i="3528" a="1"/>
  <c r="F128" i="3528" s="1"/>
  <c r="F59" i="3528" a="1"/>
  <c r="F59" i="3528" s="1"/>
  <c r="F93" i="3528" a="1"/>
  <c r="F93" i="3528" s="1"/>
  <c r="N104" i="3528" a="1"/>
  <c r="N104" i="3528" s="1"/>
  <c r="N139" i="3528" a="1"/>
  <c r="N139" i="3528" s="1"/>
  <c r="N70" i="3528" a="1"/>
  <c r="N70" i="3528" s="1"/>
  <c r="AQ143" i="3528"/>
  <c r="AA143" i="3528"/>
  <c r="H142" i="3528" a="1"/>
  <c r="H142" i="3528" s="1"/>
  <c r="H73" i="3528" a="1"/>
  <c r="H73" i="3528" s="1"/>
  <c r="H107" i="3528" a="1"/>
  <c r="H107" i="3528" s="1"/>
  <c r="L131" i="3528" a="1"/>
  <c r="L131" i="3528" s="1"/>
  <c r="L96" i="3528" a="1"/>
  <c r="L96" i="3528" s="1"/>
  <c r="L62" i="3528" a="1"/>
  <c r="L62" i="3528" s="1"/>
  <c r="AY123" i="3528"/>
  <c r="AI123" i="3528"/>
  <c r="E140" i="3528" a="1"/>
  <c r="E140" i="3528" s="1"/>
  <c r="E71" i="3528" a="1"/>
  <c r="E71" i="3528" s="1"/>
  <c r="E105" i="3528" a="1"/>
  <c r="E105" i="3528" s="1"/>
  <c r="F98" i="3528" a="1"/>
  <c r="F98" i="3528" s="1"/>
  <c r="F133" i="3528" a="1"/>
  <c r="F133" i="3528" s="1"/>
  <c r="F64" i="3528" a="1"/>
  <c r="F64" i="3528" s="1"/>
  <c r="F97" i="3528" a="1"/>
  <c r="F97" i="3528" s="1"/>
  <c r="F132" i="3528" a="1"/>
  <c r="F132" i="3528" s="1"/>
  <c r="F63" i="3528" a="1"/>
  <c r="F63" i="3528" s="1"/>
  <c r="J130" i="3528" a="1"/>
  <c r="J130" i="3528" s="1"/>
  <c r="J61" i="3528" a="1"/>
  <c r="J61" i="3528" s="1"/>
  <c r="J95" i="3528" a="1"/>
  <c r="J95" i="3528" s="1"/>
  <c r="Q51" i="3528" a="1"/>
  <c r="Q51" i="3528" s="1"/>
  <c r="Q120" i="3528" a="1"/>
  <c r="Q120" i="3528" s="1"/>
  <c r="Q85" i="3528" a="1"/>
  <c r="Q85" i="3528" s="1"/>
  <c r="Q75" i="3528" a="1"/>
  <c r="Q75" i="3528" s="1"/>
  <c r="Q144" i="3528" a="1"/>
  <c r="Q144" i="3528" s="1"/>
  <c r="Q109" i="3528" a="1"/>
  <c r="Q109" i="3528" s="1"/>
  <c r="F92" i="3528" a="1"/>
  <c r="F92" i="3528" s="1"/>
  <c r="F58" i="3528" a="1"/>
  <c r="F58" i="3528" s="1"/>
  <c r="F127" i="3528" a="1"/>
  <c r="F127" i="3528" s="1"/>
  <c r="H69" i="3528" a="1"/>
  <c r="H69" i="3528" s="1"/>
  <c r="H138" i="3528" a="1"/>
  <c r="H138" i="3528" s="1"/>
  <c r="H103" i="3528" a="1"/>
  <c r="H103" i="3528" s="1"/>
  <c r="L136" i="3528" a="1"/>
  <c r="L136" i="3528" s="1"/>
  <c r="L67" i="3528" a="1"/>
  <c r="L67" i="3528" s="1"/>
  <c r="L101" i="3528" a="1"/>
  <c r="L101" i="3528" s="1"/>
  <c r="L48" i="3528" a="1"/>
  <c r="L48" i="3528" s="1"/>
  <c r="L117" i="3528" a="1"/>
  <c r="L117" i="3528" s="1"/>
  <c r="L82" i="3528" a="1"/>
  <c r="L82" i="3528" s="1"/>
  <c r="AR66" i="3479" a="1"/>
  <c r="AR66" i="3479" s="1"/>
  <c r="AS66" i="3479" s="1" a="1"/>
  <c r="AS66" i="3479" s="1"/>
  <c r="AQ66" i="3479" a="1"/>
  <c r="AQ66" i="3479" s="1"/>
  <c r="AB31" i="3479" a="1"/>
  <c r="AB31" i="3479" s="1"/>
  <c r="AC31" i="3479" a="1"/>
  <c r="AC31" i="3479" s="1"/>
  <c r="AD31" i="3479" s="1" a="1"/>
  <c r="AD31" i="3479" s="1"/>
  <c r="CJ56" i="3479" a="1"/>
  <c r="CJ56" i="3479" s="1"/>
  <c r="CK56" i="3479" a="1"/>
  <c r="CK56" i="3479" s="1"/>
  <c r="CL56" i="3479" s="1" a="1"/>
  <c r="CL56" i="3479" s="1"/>
  <c r="AR57" i="3479" a="1"/>
  <c r="AR57" i="3479" s="1"/>
  <c r="AS57" i="3479" s="1" a="1"/>
  <c r="AS57" i="3479" s="1"/>
  <c r="AQ57" i="3479" a="1"/>
  <c r="AQ57" i="3479" s="1"/>
  <c r="DN28" i="3479" a="1"/>
  <c r="DN28" i="3479" s="1"/>
  <c r="DQ28" i="3479" s="1" a="1"/>
  <c r="DQ28" i="3479" s="1"/>
  <c r="DR28" i="3479" s="1" a="1"/>
  <c r="DR28" i="3479" s="1"/>
  <c r="DO28" i="3479" a="1"/>
  <c r="DO28" i="3479" s="1"/>
  <c r="DP28" i="3479" s="1" a="1"/>
  <c r="DP28" i="3479" s="1"/>
  <c r="EC44" i="3479" a="1"/>
  <c r="EC44" i="3479" s="1"/>
  <c r="EF44" i="3479" s="1" a="1"/>
  <c r="EF44" i="3479" s="1"/>
  <c r="EG44" i="3479" s="1" a="1"/>
  <c r="EG44" i="3479" s="1"/>
  <c r="ED44" i="3479" a="1"/>
  <c r="ED44" i="3479" s="1"/>
  <c r="EE44" i="3479" s="1" a="1"/>
  <c r="EE44" i="3479" s="1"/>
  <c r="AR30" i="3479" a="1"/>
  <c r="AR30" i="3479" s="1"/>
  <c r="AS30" i="3479" s="1" a="1"/>
  <c r="AS30" i="3479" s="1"/>
  <c r="AQ30" i="3479" a="1"/>
  <c r="AQ30" i="3479" s="1"/>
  <c r="DN39" i="3479" a="1"/>
  <c r="DN39" i="3479" s="1"/>
  <c r="DQ39" i="3479" s="1" a="1"/>
  <c r="DQ39" i="3479" s="1"/>
  <c r="DR39" i="3479" s="1" a="1"/>
  <c r="DR39" i="3479" s="1"/>
  <c r="DO39" i="3479" a="1"/>
  <c r="DO39" i="3479" s="1"/>
  <c r="DP39" i="3479" s="1" a="1"/>
  <c r="DP39" i="3479" s="1"/>
  <c r="AB63" i="3479" a="1"/>
  <c r="AB63" i="3479" s="1"/>
  <c r="AC63" i="3479" a="1"/>
  <c r="AC63" i="3479" s="1"/>
  <c r="AD63" i="3479" s="1" a="1"/>
  <c r="AD63" i="3479" s="1"/>
  <c r="CZ54" i="3479" a="1"/>
  <c r="CZ54" i="3479" s="1"/>
  <c r="DA54" i="3479" s="1" a="1"/>
  <c r="DA54" i="3479" s="1"/>
  <c r="CY54" i="3479" a="1"/>
  <c r="CY54" i="3479" s="1"/>
  <c r="DB54" i="3479" s="1" a="1"/>
  <c r="DB54" i="3479" s="1"/>
  <c r="DC54" i="3479" s="1" a="1"/>
  <c r="DC54" i="3479" s="1"/>
  <c r="N49" i="3479" a="1"/>
  <c r="N49" i="3479" s="1"/>
  <c r="O49" i="3479" s="1" a="1"/>
  <c r="O49" i="3479" s="1"/>
  <c r="M49" i="3479" a="1"/>
  <c r="M49" i="3479" s="1"/>
  <c r="AQ48" i="3479" a="1"/>
  <c r="AQ48" i="3479" s="1"/>
  <c r="AR48" i="3479" a="1"/>
  <c r="AR48" i="3479" s="1"/>
  <c r="AS48" i="3479" s="1" a="1"/>
  <c r="AS48" i="3479" s="1"/>
  <c r="AC39" i="3479" a="1"/>
  <c r="AC39" i="3479" s="1"/>
  <c r="AD39" i="3479" s="1" a="1"/>
  <c r="AD39" i="3479" s="1"/>
  <c r="AB39" i="3479" a="1"/>
  <c r="AB39" i="3479" s="1"/>
  <c r="N57" i="3479" a="1"/>
  <c r="N57" i="3479" s="1"/>
  <c r="O57" i="3479" s="1" a="1"/>
  <c r="O57" i="3479" s="1"/>
  <c r="M57" i="3479" a="1"/>
  <c r="M57" i="3479" s="1"/>
  <c r="N56" i="3479" a="1"/>
  <c r="N56" i="3479" s="1"/>
  <c r="O56" i="3479" s="1" a="1"/>
  <c r="O56" i="3479" s="1"/>
  <c r="M56" i="3479" a="1"/>
  <c r="M56" i="3479" s="1"/>
  <c r="ED50" i="3479" a="1"/>
  <c r="ED50" i="3479" s="1"/>
  <c r="EE50" i="3479" s="1" a="1"/>
  <c r="EE50" i="3479" s="1"/>
  <c r="EC50" i="3479" a="1"/>
  <c r="EC50" i="3479" s="1"/>
  <c r="EF50" i="3479" s="1" a="1"/>
  <c r="EF50" i="3479" s="1"/>
  <c r="EG50" i="3479" s="1" a="1"/>
  <c r="EG50" i="3479" s="1"/>
  <c r="AR64" i="3479" a="1"/>
  <c r="AR64" i="3479" s="1"/>
  <c r="AS64" i="3479" s="1" a="1"/>
  <c r="AS64" i="3479" s="1"/>
  <c r="AQ64" i="3479" a="1"/>
  <c r="AQ64" i="3479" s="1"/>
  <c r="AR29" i="3479" a="1"/>
  <c r="AR29" i="3479" s="1"/>
  <c r="AS29" i="3479" s="1" a="1"/>
  <c r="AS29" i="3479" s="1"/>
  <c r="AQ29" i="3479" a="1"/>
  <c r="AQ29" i="3479" s="1"/>
  <c r="BU39" i="3479" a="1"/>
  <c r="BU39" i="3479" s="1"/>
  <c r="BV39" i="3479" a="1"/>
  <c r="BV39" i="3479" s="1"/>
  <c r="BW39" i="3479" s="1" a="1"/>
  <c r="BW39" i="3479" s="1"/>
  <c r="CK54" i="3479" a="1"/>
  <c r="CK54" i="3479" s="1"/>
  <c r="CL54" i="3479" s="1" a="1"/>
  <c r="CL54" i="3479" s="1"/>
  <c r="CJ54" i="3479" a="1"/>
  <c r="CJ54" i="3479" s="1"/>
  <c r="CK57" i="3479" a="1"/>
  <c r="CK57" i="3479" s="1"/>
  <c r="CL57" i="3479" s="1" a="1"/>
  <c r="CL57" i="3479" s="1"/>
  <c r="CJ57" i="3479" a="1"/>
  <c r="CJ57" i="3479" s="1"/>
  <c r="BG37" i="3479" a="1"/>
  <c r="BG37" i="3479" s="1"/>
  <c r="BH37" i="3479" s="1" a="1"/>
  <c r="BH37" i="3479" s="1"/>
  <c r="BF37" i="3479" a="1"/>
  <c r="BF37" i="3479" s="1"/>
  <c r="BG48" i="3479" a="1"/>
  <c r="BG48" i="3479" s="1"/>
  <c r="BH48" i="3479" s="1" a="1"/>
  <c r="BH48" i="3479" s="1"/>
  <c r="BF48" i="3479" a="1"/>
  <c r="BF48" i="3479" s="1"/>
  <c r="ES44" i="3479" a="1"/>
  <c r="ES44" i="3479" s="1"/>
  <c r="ET44" i="3479" s="1" a="1"/>
  <c r="ET44" i="3479" s="1"/>
  <c r="ER44" i="3479" a="1"/>
  <c r="ER44" i="3479" s="1"/>
  <c r="EU44" i="3479" s="1" a="1"/>
  <c r="EU44" i="3479" s="1"/>
  <c r="EV44" i="3479" s="1" a="1"/>
  <c r="EV44" i="3479" s="1"/>
  <c r="ER55" i="3479" a="1"/>
  <c r="ER55" i="3479" s="1"/>
  <c r="EU55" i="3479" s="1" a="1"/>
  <c r="EU55" i="3479" s="1"/>
  <c r="EV55" i="3479" s="1" a="1"/>
  <c r="EV55" i="3479" s="1"/>
  <c r="ES55" i="3479" a="1"/>
  <c r="ES55" i="3479" s="1"/>
  <c r="ET55" i="3479" s="1" a="1"/>
  <c r="ET55" i="3479" s="1"/>
  <c r="DO29" i="3479" a="1"/>
  <c r="DO29" i="3479" s="1"/>
  <c r="DP29" i="3479" s="1" a="1"/>
  <c r="DP29" i="3479" s="1"/>
  <c r="DN29" i="3479" a="1"/>
  <c r="DN29" i="3479" s="1"/>
  <c r="DQ29" i="3479" s="1" a="1"/>
  <c r="DQ29" i="3479" s="1"/>
  <c r="DR29" i="3479" s="1" a="1"/>
  <c r="DR29" i="3479" s="1"/>
  <c r="DN62" i="3479" a="1"/>
  <c r="DN62" i="3479" s="1"/>
  <c r="DQ62" i="3479" s="1" a="1"/>
  <c r="DQ62" i="3479" s="1"/>
  <c r="DR62" i="3479" s="1" a="1"/>
  <c r="DR62" i="3479" s="1"/>
  <c r="DO62" i="3479" a="1"/>
  <c r="DO62" i="3479" s="1"/>
  <c r="DP62" i="3479" s="1" a="1"/>
  <c r="DP62" i="3479" s="1"/>
  <c r="DO70" i="3479" a="1"/>
  <c r="DO70" i="3479" s="1"/>
  <c r="DP70" i="3479" s="1" a="1"/>
  <c r="DP70" i="3479" s="1"/>
  <c r="DN70" i="3479" a="1"/>
  <c r="DN70" i="3479" s="1"/>
  <c r="DQ70" i="3479" s="1" a="1"/>
  <c r="DQ70" i="3479" s="1"/>
  <c r="DR70" i="3479" s="1" a="1"/>
  <c r="DR70" i="3479" s="1"/>
  <c r="ED32" i="3479" a="1"/>
  <c r="ED32" i="3479" s="1"/>
  <c r="EE32" i="3479" s="1" a="1"/>
  <c r="EE32" i="3479" s="1"/>
  <c r="EC32" i="3479" a="1"/>
  <c r="EC32" i="3479" s="1"/>
  <c r="EF32" i="3479" s="1" a="1"/>
  <c r="EF32" i="3479" s="1"/>
  <c r="EG32" i="3479" s="1" a="1"/>
  <c r="EG32" i="3479" s="1"/>
  <c r="AC65" i="3479" a="1"/>
  <c r="AC65" i="3479" s="1"/>
  <c r="AD65" i="3479" s="1" a="1"/>
  <c r="AD65" i="3479" s="1"/>
  <c r="AB65" i="3479" a="1"/>
  <c r="AB65" i="3479" s="1"/>
  <c r="CZ41" i="3479" a="1"/>
  <c r="CZ41" i="3479" s="1"/>
  <c r="DA41" i="3479" s="1" a="1"/>
  <c r="DA41" i="3479" s="1"/>
  <c r="CY41" i="3479" a="1"/>
  <c r="CY41" i="3479" s="1"/>
  <c r="DB41" i="3479" s="1" a="1"/>
  <c r="DB41" i="3479" s="1"/>
  <c r="DC41" i="3479" s="1" a="1"/>
  <c r="DC41" i="3479" s="1"/>
  <c r="D87" i="3560"/>
  <c r="A87" i="3560"/>
  <c r="CZ24" i="3479" a="1"/>
  <c r="CZ24" i="3479" s="1"/>
  <c r="DA24" i="3479" s="1" a="1"/>
  <c r="DA24" i="3479" s="1"/>
  <c r="CY24" i="3479" a="1"/>
  <c r="CY24" i="3479" s="1"/>
  <c r="DB24" i="3479" s="1" a="1"/>
  <c r="DB24" i="3479" s="1"/>
  <c r="DC24" i="3479" s="1" a="1"/>
  <c r="DC24" i="3479" s="1"/>
  <c r="CZ61" i="3479" a="1"/>
  <c r="CZ61" i="3479" s="1"/>
  <c r="DA61" i="3479" s="1" a="1"/>
  <c r="DA61" i="3479" s="1"/>
  <c r="CY61" i="3479" a="1"/>
  <c r="CY61" i="3479" s="1"/>
  <c r="DB61" i="3479" s="1" a="1"/>
  <c r="DB61" i="3479" s="1"/>
  <c r="DC61" i="3479" s="1" a="1"/>
  <c r="DC61" i="3479" s="1"/>
  <c r="D52" i="3560"/>
  <c r="A52" i="3560"/>
  <c r="BI38" i="3479" a="1"/>
  <c r="BI38" i="3479" s="1"/>
  <c r="BJ38" i="3479" s="1" a="1"/>
  <c r="BJ38" i="3479" s="1"/>
  <c r="A70" i="3560"/>
  <c r="D70" i="3560"/>
  <c r="D69" i="3560"/>
  <c r="O69" i="3560" a="1"/>
  <c r="O69" i="3560" s="1"/>
  <c r="A69" i="3560"/>
  <c r="P69" i="3560" a="1"/>
  <c r="P69" i="3560" s="1"/>
  <c r="J97" i="3445" a="1"/>
  <c r="J97" i="3445" s="1"/>
  <c r="P97" i="3445" s="1"/>
  <c r="Q97" i="3445" s="1"/>
  <c r="A86" i="3560"/>
  <c r="P86" i="3560" a="1"/>
  <c r="P86" i="3560" s="1"/>
  <c r="O86" i="3560" a="1"/>
  <c r="O86" i="3560" s="1"/>
  <c r="D86" i="3560"/>
  <c r="M23" i="3479" a="1"/>
  <c r="M23" i="3479" s="1"/>
  <c r="N23" i="3479" a="1"/>
  <c r="N23" i="3479" s="1"/>
  <c r="O23" i="3479" s="1" a="1"/>
  <c r="O23" i="3479" s="1"/>
  <c r="A76" i="3444"/>
  <c r="N76" i="3445" a="1"/>
  <c r="N76" i="3445" s="1"/>
  <c r="L76" i="3445"/>
  <c r="M76" i="3445" s="1"/>
  <c r="H57" i="3436" s="1"/>
  <c r="BC42" i="3444" a="1"/>
  <c r="BC42" i="3444" s="1"/>
  <c r="AQ42" i="3444" a="1"/>
  <c r="AQ42" i="3444" s="1"/>
  <c r="AE42" i="3444" a="1"/>
  <c r="AE42" i="3444" s="1"/>
  <c r="S42" i="3444" a="1"/>
  <c r="S42" i="3444" s="1"/>
  <c r="BB42" i="3444" a="1"/>
  <c r="BB42" i="3444" s="1"/>
  <c r="AP42" i="3444" a="1"/>
  <c r="AP42" i="3444" s="1"/>
  <c r="AD42" i="3444" a="1"/>
  <c r="AD42" i="3444" s="1"/>
  <c r="R42" i="3444" a="1"/>
  <c r="R42" i="3444" s="1"/>
  <c r="AY42" i="3444" a="1"/>
  <c r="AY42" i="3444" s="1"/>
  <c r="AM42" i="3444" a="1"/>
  <c r="AM42" i="3444" s="1"/>
  <c r="AA42" i="3444" a="1"/>
  <c r="AA42" i="3444" s="1"/>
  <c r="O42" i="3444" a="1"/>
  <c r="O42" i="3444" s="1"/>
  <c r="AG42" i="3444" a="1"/>
  <c r="AG42" i="3444" s="1"/>
  <c r="AU42" i="3444" a="1"/>
  <c r="AU42" i="3444" s="1"/>
  <c r="P42" i="3444" a="1"/>
  <c r="P42" i="3444" s="1"/>
  <c r="AF42" i="3444" a="1"/>
  <c r="AF42" i="3444" s="1"/>
  <c r="AS42" i="3444" a="1"/>
  <c r="AS42" i="3444" s="1"/>
  <c r="BG42" i="3444" a="1"/>
  <c r="BG42" i="3444" s="1"/>
  <c r="AB42" i="3444" a="1"/>
  <c r="AB42" i="3444" s="1"/>
  <c r="M42" i="3444" a="1"/>
  <c r="M42" i="3444" s="1"/>
  <c r="X42" i="3444" a="1"/>
  <c r="X42" i="3444" s="1"/>
  <c r="BA42" i="3444" a="1"/>
  <c r="BA42" i="3444" s="1"/>
  <c r="AL42" i="3444" a="1"/>
  <c r="AL42" i="3444" s="1"/>
  <c r="AV42" i="3444" a="1"/>
  <c r="AV42" i="3444" s="1"/>
  <c r="Q42" i="3444" a="1"/>
  <c r="Q42" i="3444" s="1"/>
  <c r="AO42" i="3444" a="1"/>
  <c r="AO42" i="3444" s="1"/>
  <c r="U42" i="3444" a="1"/>
  <c r="U42" i="3444" s="1"/>
  <c r="AN42" i="3444" a="1"/>
  <c r="AN42" i="3444" s="1"/>
  <c r="T42" i="3444" a="1"/>
  <c r="T42" i="3444" s="1"/>
  <c r="BH42" i="3444" a="1"/>
  <c r="BH42" i="3444" s="1"/>
  <c r="AK42" i="3444" a="1"/>
  <c r="AK42" i="3444" s="1"/>
  <c r="N42" i="3444" a="1"/>
  <c r="N42" i="3444" s="1"/>
  <c r="BF42" i="3444" a="1"/>
  <c r="BF42" i="3444" s="1"/>
  <c r="AJ42" i="3444" a="1"/>
  <c r="AJ42" i="3444" s="1"/>
  <c r="L42" i="3444" a="1"/>
  <c r="L42" i="3444" s="1"/>
  <c r="BD42" i="3444" a="1"/>
  <c r="BD42" i="3444" s="1"/>
  <c r="AH42" i="3444" a="1"/>
  <c r="AH42" i="3444" s="1"/>
  <c r="AZ42" i="3444" a="1"/>
  <c r="AZ42" i="3444" s="1"/>
  <c r="AC42" i="3444" a="1"/>
  <c r="AC42" i="3444" s="1"/>
  <c r="AR42" i="3444" a="1"/>
  <c r="AR42" i="3444" s="1"/>
  <c r="V42" i="3444" a="1"/>
  <c r="V42" i="3444" s="1"/>
  <c r="BE42" i="3444" a="1"/>
  <c r="BE42" i="3444" s="1"/>
  <c r="AX42" i="3444" a="1"/>
  <c r="AX42" i="3444" s="1"/>
  <c r="AW42" i="3444" a="1"/>
  <c r="AW42" i="3444" s="1"/>
  <c r="AT42" i="3444" a="1"/>
  <c r="AT42" i="3444" s="1"/>
  <c r="AI42" i="3444" a="1"/>
  <c r="AI42" i="3444" s="1"/>
  <c r="Z42" i="3444" a="1"/>
  <c r="Z42" i="3444" s="1"/>
  <c r="Y42" i="3444" a="1"/>
  <c r="Y42" i="3444" s="1"/>
  <c r="W42" i="3444" a="1"/>
  <c r="W42" i="3444" s="1"/>
  <c r="K42" i="3444" a="1"/>
  <c r="K42" i="3444" s="1"/>
  <c r="A59" i="3444"/>
  <c r="A44" i="3444"/>
  <c r="BE85" i="3489" a="1"/>
  <c r="BE85" i="3489" s="1"/>
  <c r="AS85" i="3489" a="1"/>
  <c r="AS85" i="3489" s="1"/>
  <c r="AG85" i="3489" a="1"/>
  <c r="AG85" i="3489" s="1"/>
  <c r="U85" i="3489" a="1"/>
  <c r="U85" i="3489" s="1"/>
  <c r="AO85" i="3489" a="1"/>
  <c r="AO85" i="3489" s="1"/>
  <c r="N85" i="3489" a="1"/>
  <c r="N85" i="3489" s="1"/>
  <c r="BB85" i="3489" a="1"/>
  <c r="BB85" i="3489" s="1"/>
  <c r="AA85" i="3489" a="1"/>
  <c r="AA85" i="3489" s="1"/>
  <c r="AN85" i="3489" a="1"/>
  <c r="AN85" i="3489" s="1"/>
  <c r="M85" i="3489" a="1"/>
  <c r="M85" i="3489" s="1"/>
  <c r="BA85" i="3489" a="1"/>
  <c r="BA85" i="3489" s="1"/>
  <c r="Z85" i="3489" a="1"/>
  <c r="Z85" i="3489" s="1"/>
  <c r="AZ85" i="3489" a="1"/>
  <c r="AZ85" i="3489" s="1"/>
  <c r="Y85" i="3489" a="1"/>
  <c r="Y85" i="3489" s="1"/>
  <c r="BI85" i="3489" a="1"/>
  <c r="BI85" i="3489" s="1"/>
  <c r="AH85" i="3489" a="1"/>
  <c r="AH85" i="3489" s="1"/>
  <c r="S85" i="3489" a="1"/>
  <c r="S85" i="3489" s="1"/>
  <c r="AU85" i="3489" a="1"/>
  <c r="AU85" i="3489" s="1"/>
  <c r="AF85" i="3489" a="1"/>
  <c r="AF85" i="3489" s="1"/>
  <c r="AP85" i="3489" a="1"/>
  <c r="AP85" i="3489" s="1"/>
  <c r="O85" i="3489" a="1"/>
  <c r="O85" i="3489" s="1"/>
  <c r="BC85" i="3489" a="1"/>
  <c r="BC85" i="3489" s="1"/>
  <c r="AB85" i="3489" a="1"/>
  <c r="AB85" i="3489" s="1"/>
  <c r="L85" i="3489" a="1"/>
  <c r="L85" i="3489" s="1"/>
  <c r="BF85" i="3489" a="1"/>
  <c r="BF85" i="3489" s="1"/>
  <c r="AI85" i="3489" a="1"/>
  <c r="AI85" i="3489" s="1"/>
  <c r="K85" i="3489" a="1"/>
  <c r="K85" i="3489" s="1"/>
  <c r="BD85" i="3489" a="1"/>
  <c r="BD85" i="3489" s="1"/>
  <c r="AE85" i="3489" a="1"/>
  <c r="AE85" i="3489" s="1"/>
  <c r="AY85" i="3489" a="1"/>
  <c r="AY85" i="3489" s="1"/>
  <c r="AD85" i="3489" a="1"/>
  <c r="AD85" i="3489" s="1"/>
  <c r="AX85" i="3489" a="1"/>
  <c r="AX85" i="3489" s="1"/>
  <c r="AC85" i="3489" a="1"/>
  <c r="AC85" i="3489" s="1"/>
  <c r="AW85" i="3489" a="1"/>
  <c r="AW85" i="3489" s="1"/>
  <c r="AT85" i="3489" a="1"/>
  <c r="AT85" i="3489" s="1"/>
  <c r="W85" i="3489" a="1"/>
  <c r="W85" i="3489" s="1"/>
  <c r="AR85" i="3489" a="1"/>
  <c r="AR85" i="3489" s="1"/>
  <c r="V85" i="3489" a="1"/>
  <c r="V85" i="3489" s="1"/>
  <c r="AQ85" i="3489" a="1"/>
  <c r="AQ85" i="3489" s="1"/>
  <c r="T85" i="3489" a="1"/>
  <c r="T85" i="3489" s="1"/>
  <c r="P85" i="3489" a="1"/>
  <c r="P85" i="3489" s="1"/>
  <c r="AK85" i="3489" a="1"/>
  <c r="AK85" i="3489" s="1"/>
  <c r="AJ85" i="3489" a="1"/>
  <c r="AJ85" i="3489" s="1"/>
  <c r="X85" i="3489" a="1"/>
  <c r="X85" i="3489" s="1"/>
  <c r="R85" i="3489" a="1"/>
  <c r="R85" i="3489" s="1"/>
  <c r="Q85" i="3489" a="1"/>
  <c r="Q85" i="3489" s="1"/>
  <c r="B85" i="3489"/>
  <c r="AM85" i="3489" a="1"/>
  <c r="AM85" i="3489" s="1"/>
  <c r="BH85" i="3489" a="1"/>
  <c r="BH85" i="3489" s="1"/>
  <c r="BG85" i="3489" a="1"/>
  <c r="BG85" i="3489" s="1"/>
  <c r="AV85" i="3489" a="1"/>
  <c r="AV85" i="3489" s="1"/>
  <c r="AL85" i="3489" a="1"/>
  <c r="AL85" i="3489" s="1"/>
  <c r="N64" i="3445" a="1"/>
  <c r="N64" i="3445" s="1"/>
  <c r="BE92" i="3489" a="1"/>
  <c r="BE92" i="3489" s="1"/>
  <c r="M92" i="3489" a="1"/>
  <c r="M92" i="3489" s="1"/>
  <c r="X52" i="3489" a="1"/>
  <c r="X52" i="3489" s="1"/>
  <c r="W52" i="3489" a="1"/>
  <c r="W52" i="3489" s="1"/>
  <c r="BE52" i="3489" a="1"/>
  <c r="BE52" i="3489" s="1"/>
  <c r="BD52" i="3489" a="1"/>
  <c r="BD52" i="3489" s="1"/>
  <c r="O52" i="3489" a="1"/>
  <c r="O52" i="3489" s="1"/>
  <c r="AX52" i="3489" a="1"/>
  <c r="AX52" i="3489" s="1"/>
  <c r="AV52" i="3489" a="1"/>
  <c r="AV52" i="3489" s="1"/>
  <c r="AL52" i="3489" a="1"/>
  <c r="AL52" i="3489" s="1"/>
  <c r="BH43" i="3489" a="1"/>
  <c r="BH43" i="3489" s="1"/>
  <c r="AV43" i="3489" a="1"/>
  <c r="AV43" i="3489" s="1"/>
  <c r="AJ43" i="3489" a="1"/>
  <c r="AJ43" i="3489" s="1"/>
  <c r="X43" i="3489" a="1"/>
  <c r="X43" i="3489" s="1"/>
  <c r="L43" i="3489" a="1"/>
  <c r="L43" i="3489" s="1"/>
  <c r="BF43" i="3489" a="1"/>
  <c r="BF43" i="3489" s="1"/>
  <c r="AT43" i="3489" a="1"/>
  <c r="AT43" i="3489" s="1"/>
  <c r="AH43" i="3489" a="1"/>
  <c r="AH43" i="3489" s="1"/>
  <c r="V43" i="3489" a="1"/>
  <c r="V43" i="3489" s="1"/>
  <c r="AX43" i="3489" a="1"/>
  <c r="AX43" i="3489" s="1"/>
  <c r="T43" i="3489" a="1"/>
  <c r="T43" i="3489" s="1"/>
  <c r="AW43" i="3489" a="1"/>
  <c r="AW43" i="3489" s="1"/>
  <c r="AG43" i="3489" a="1"/>
  <c r="AG43" i="3489" s="1"/>
  <c r="S43" i="3489" a="1"/>
  <c r="S43" i="3489" s="1"/>
  <c r="AU43" i="3489" a="1"/>
  <c r="AU43" i="3489" s="1"/>
  <c r="AF43" i="3489" a="1"/>
  <c r="AF43" i="3489" s="1"/>
  <c r="R43" i="3489" a="1"/>
  <c r="R43" i="3489" s="1"/>
  <c r="B43" i="3489"/>
  <c r="BC43" i="3489" a="1"/>
  <c r="BC43" i="3489" s="1"/>
  <c r="AO43" i="3489" a="1"/>
  <c r="AO43" i="3489" s="1"/>
  <c r="AA43" i="3489" a="1"/>
  <c r="AA43" i="3489" s="1"/>
  <c r="M43" i="3489" a="1"/>
  <c r="M43" i="3489" s="1"/>
  <c r="AB43" i="3489" a="1"/>
  <c r="AB43" i="3489" s="1"/>
  <c r="AS43" i="3489" a="1"/>
  <c r="AS43" i="3489" s="1"/>
  <c r="Z43" i="3489" a="1"/>
  <c r="Z43" i="3489" s="1"/>
  <c r="Y43" i="3489" a="1"/>
  <c r="Y43" i="3489" s="1"/>
  <c r="AQ43" i="3489" a="1"/>
  <c r="AQ43" i="3489" s="1"/>
  <c r="W43" i="3489" a="1"/>
  <c r="W43" i="3489" s="1"/>
  <c r="AP43" i="3489" a="1"/>
  <c r="AP43" i="3489" s="1"/>
  <c r="BI43" i="3489" a="1"/>
  <c r="BI43" i="3489" s="1"/>
  <c r="U43" i="3489" a="1"/>
  <c r="U43" i="3489" s="1"/>
  <c r="BD43" i="3489" a="1"/>
  <c r="BD43" i="3489" s="1"/>
  <c r="AK43" i="3489" a="1"/>
  <c r="AK43" i="3489" s="1"/>
  <c r="O43" i="3489" a="1"/>
  <c r="O43" i="3489" s="1"/>
  <c r="AL43" i="3489" a="1"/>
  <c r="AL43" i="3489" s="1"/>
  <c r="AI43" i="3489" a="1"/>
  <c r="AI43" i="3489" s="1"/>
  <c r="AE43" i="3489" a="1"/>
  <c r="AE43" i="3489" s="1"/>
  <c r="AD43" i="3489" a="1"/>
  <c r="AD43" i="3489" s="1"/>
  <c r="BG43" i="3489" a="1"/>
  <c r="BG43" i="3489" s="1"/>
  <c r="AC43" i="3489" a="1"/>
  <c r="AC43" i="3489" s="1"/>
  <c r="Q43" i="3489" a="1"/>
  <c r="Q43" i="3489" s="1"/>
  <c r="BB43" i="3489" a="1"/>
  <c r="BB43" i="3489" s="1"/>
  <c r="P43" i="3489" a="1"/>
  <c r="P43" i="3489" s="1"/>
  <c r="BA43" i="3489" a="1"/>
  <c r="BA43" i="3489" s="1"/>
  <c r="AZ43" i="3489" a="1"/>
  <c r="AZ43" i="3489" s="1"/>
  <c r="K43" i="3489" a="1"/>
  <c r="K43" i="3489" s="1"/>
  <c r="AY43" i="3489" a="1"/>
  <c r="AY43" i="3489" s="1"/>
  <c r="AR43" i="3489" a="1"/>
  <c r="AR43" i="3489" s="1"/>
  <c r="AN43" i="3489" a="1"/>
  <c r="AN43" i="3489" s="1"/>
  <c r="AM43" i="3489" a="1"/>
  <c r="AM43" i="3489" s="1"/>
  <c r="N43" i="3489" a="1"/>
  <c r="N43" i="3489" s="1"/>
  <c r="BE43" i="3489" a="1"/>
  <c r="BE43" i="3489" s="1"/>
  <c r="V29" i="3489" a="1"/>
  <c r="V29" i="3489" s="1"/>
  <c r="BO80" i="3448"/>
  <c r="G80" i="3448"/>
  <c r="BW80" i="3448" s="1"/>
  <c r="BP80" i="3448"/>
  <c r="Z96" i="3448"/>
  <c r="AD95" i="3448"/>
  <c r="I51" i="3523" a="1"/>
  <c r="I51" i="3523" s="1"/>
  <c r="H51" i="3523" a="1"/>
  <c r="H51" i="3523" s="1"/>
  <c r="S44" i="3523"/>
  <c r="M61" i="3448"/>
  <c r="I65" i="3523" a="1"/>
  <c r="I65" i="3523" s="1"/>
  <c r="H65" i="3523" a="1"/>
  <c r="H65" i="3523" s="1"/>
  <c r="BP62" i="3448"/>
  <c r="BO62" i="3448"/>
  <c r="G62" i="3448"/>
  <c r="BW62" i="3448" s="1"/>
  <c r="G47" i="3448"/>
  <c r="L64" i="3523"/>
  <c r="L105" i="3523"/>
  <c r="Z92" i="3523"/>
  <c r="AE77" i="3480"/>
  <c r="AL127" i="3434" a="1"/>
  <c r="AL127" i="3434" s="1"/>
  <c r="AK127" i="3434" a="1"/>
  <c r="AK127" i="3434" s="1"/>
  <c r="Y33" i="3436"/>
  <c r="Y75" i="3436"/>
  <c r="G45" i="3436"/>
  <c r="I47" i="3444" s="1"/>
  <c r="Y38" i="3436"/>
  <c r="G42" i="3436"/>
  <c r="G37" i="3436"/>
  <c r="G63" i="3436"/>
  <c r="I65" i="3444" s="1"/>
  <c r="Y49" i="3436"/>
  <c r="Y24" i="3436"/>
  <c r="F3" i="3434"/>
  <c r="F2" i="3434"/>
  <c r="G13" i="3518" a="1"/>
  <c r="G13" i="3518" s="1"/>
  <c r="F13" i="3518" a="1"/>
  <c r="F13" i="3518" s="1"/>
  <c r="G28" i="3518" a="1"/>
  <c r="G28" i="3518" s="1"/>
  <c r="F28" i="3518" a="1"/>
  <c r="F28" i="3518" s="1"/>
  <c r="L108" i="3528" a="1"/>
  <c r="L108" i="3528" s="1"/>
  <c r="L143" i="3528" a="1"/>
  <c r="L143" i="3528" s="1"/>
  <c r="L74" i="3528" a="1"/>
  <c r="L74" i="3528" s="1"/>
  <c r="AY143" i="3528"/>
  <c r="AI143" i="3528"/>
  <c r="Q83" i="3528" a="1"/>
  <c r="Q83" i="3528" s="1"/>
  <c r="Q118" i="3528" a="1"/>
  <c r="Q118" i="3528" s="1"/>
  <c r="Q49" i="3528" a="1"/>
  <c r="Q49" i="3528" s="1"/>
  <c r="M137" i="3528" a="1"/>
  <c r="M137" i="3528" s="1"/>
  <c r="M68" i="3528" a="1"/>
  <c r="M68" i="3528" s="1"/>
  <c r="M102" i="3528" a="1"/>
  <c r="M102" i="3528" s="1"/>
  <c r="R59" i="3528" a="1"/>
  <c r="R59" i="3528" s="1"/>
  <c r="R93" i="3528" a="1"/>
  <c r="R93" i="3528" s="1"/>
  <c r="R128" i="3528" a="1"/>
  <c r="R128" i="3528" s="1"/>
  <c r="I73" i="3528" a="1"/>
  <c r="I73" i="3528" s="1"/>
  <c r="I142" i="3528" a="1"/>
  <c r="I142" i="3528" s="1"/>
  <c r="I107" i="3528" a="1"/>
  <c r="I107" i="3528" s="1"/>
  <c r="P121" i="3528" a="1"/>
  <c r="P121" i="3528" s="1"/>
  <c r="P86" i="3528" a="1"/>
  <c r="P86" i="3528" s="1"/>
  <c r="P52" i="3528" a="1"/>
  <c r="P52" i="3528" s="1"/>
  <c r="M72" i="3528" a="1"/>
  <c r="M72" i="3528" s="1"/>
  <c r="M141" i="3528" a="1"/>
  <c r="M141" i="3528" s="1"/>
  <c r="M106" i="3528" a="1"/>
  <c r="M106" i="3528" s="1"/>
  <c r="G105" i="3528" a="1"/>
  <c r="G105" i="3528" s="1"/>
  <c r="G140" i="3528" a="1"/>
  <c r="G140" i="3528" s="1"/>
  <c r="G71" i="3528" a="1"/>
  <c r="G71" i="3528" s="1"/>
  <c r="R98" i="3528" a="1"/>
  <c r="R98" i="3528" s="1"/>
  <c r="R64" i="3528" a="1"/>
  <c r="R64" i="3528" s="1"/>
  <c r="R133" i="3528" a="1"/>
  <c r="R133" i="3528" s="1"/>
  <c r="R97" i="3528" a="1"/>
  <c r="R97" i="3528" s="1"/>
  <c r="R63" i="3528" a="1"/>
  <c r="R63" i="3528" s="1"/>
  <c r="R132" i="3528" a="1"/>
  <c r="R132" i="3528" s="1"/>
  <c r="K130" i="3528" a="1"/>
  <c r="K130" i="3528" s="1"/>
  <c r="K61" i="3528" a="1"/>
  <c r="K61" i="3528" s="1"/>
  <c r="K95" i="3528" a="1"/>
  <c r="K95" i="3528" s="1"/>
  <c r="N51" i="3528" a="1"/>
  <c r="N51" i="3528" s="1"/>
  <c r="N120" i="3528" a="1"/>
  <c r="N120" i="3528" s="1"/>
  <c r="N85" i="3528" a="1"/>
  <c r="N85" i="3528" s="1"/>
  <c r="S144" i="3528" a="1"/>
  <c r="S144" i="3528" s="1"/>
  <c r="S109" i="3528" a="1"/>
  <c r="S109" i="3528" s="1"/>
  <c r="S75" i="3528" a="1"/>
  <c r="S75" i="3528" s="1"/>
  <c r="R92" i="3528" a="1"/>
  <c r="R92" i="3528" s="1"/>
  <c r="R58" i="3528" a="1"/>
  <c r="R58" i="3528" s="1"/>
  <c r="R127" i="3528" a="1"/>
  <c r="R127" i="3528" s="1"/>
  <c r="I69" i="3528" a="1"/>
  <c r="I69" i="3528" s="1"/>
  <c r="I138" i="3528" a="1"/>
  <c r="I138" i="3528" s="1"/>
  <c r="I103" i="3528" a="1"/>
  <c r="I103" i="3528" s="1"/>
  <c r="CK31" i="3479" a="1"/>
  <c r="CK31" i="3479" s="1"/>
  <c r="CL31" i="3479" s="1" a="1"/>
  <c r="CL31" i="3479" s="1"/>
  <c r="CJ31" i="3479" a="1"/>
  <c r="CJ31" i="3479" s="1"/>
  <c r="CY64" i="3479" a="1"/>
  <c r="CY64" i="3479" s="1"/>
  <c r="DB64" i="3479" s="1" a="1"/>
  <c r="DB64" i="3479" s="1"/>
  <c r="DC64" i="3479" s="1" a="1"/>
  <c r="DC64" i="3479" s="1"/>
  <c r="CZ64" i="3479" a="1"/>
  <c r="CZ64" i="3479" s="1"/>
  <c r="DA64" i="3479" s="1" a="1"/>
  <c r="DA64" i="3479" s="1"/>
  <c r="D40" i="3560"/>
  <c r="A40" i="3560"/>
  <c r="BE76" i="3444" a="1"/>
  <c r="BE76" i="3444" s="1"/>
  <c r="AS76" i="3444" a="1"/>
  <c r="AS76" i="3444" s="1"/>
  <c r="AG76" i="3444" a="1"/>
  <c r="AG76" i="3444" s="1"/>
  <c r="U76" i="3444" a="1"/>
  <c r="U76" i="3444" s="1"/>
  <c r="BD76" i="3444" a="1"/>
  <c r="BD76" i="3444" s="1"/>
  <c r="AR76" i="3444" a="1"/>
  <c r="AR76" i="3444" s="1"/>
  <c r="AF76" i="3444" a="1"/>
  <c r="AF76" i="3444" s="1"/>
  <c r="T76" i="3444" a="1"/>
  <c r="T76" i="3444" s="1"/>
  <c r="BC76" i="3444" a="1"/>
  <c r="BC76" i="3444" s="1"/>
  <c r="AQ76" i="3444" a="1"/>
  <c r="AQ76" i="3444" s="1"/>
  <c r="AE76" i="3444" a="1"/>
  <c r="AE76" i="3444" s="1"/>
  <c r="S76" i="3444" a="1"/>
  <c r="S76" i="3444" s="1"/>
  <c r="AZ76" i="3444" a="1"/>
  <c r="AZ76" i="3444" s="1"/>
  <c r="AN76" i="3444" a="1"/>
  <c r="AN76" i="3444" s="1"/>
  <c r="AB76" i="3444" a="1"/>
  <c r="AB76" i="3444" s="1"/>
  <c r="P76" i="3444" a="1"/>
  <c r="P76" i="3444" s="1"/>
  <c r="BG76" i="3444" a="1"/>
  <c r="BG76" i="3444" s="1"/>
  <c r="M76" i="3444" a="1"/>
  <c r="M76" i="3444" s="1"/>
  <c r="AP76" i="3444" a="1"/>
  <c r="AP76" i="3444" s="1"/>
  <c r="AA76" i="3444" a="1"/>
  <c r="AA76" i="3444" s="1"/>
  <c r="BF76" i="3444" a="1"/>
  <c r="BF76" i="3444" s="1"/>
  <c r="L76" i="3444" a="1"/>
  <c r="L76" i="3444" s="1"/>
  <c r="AO76" i="3444" a="1"/>
  <c r="AO76" i="3444" s="1"/>
  <c r="Z76" i="3444" a="1"/>
  <c r="Z76" i="3444" s="1"/>
  <c r="K76" i="3444" a="1"/>
  <c r="K76" i="3444" s="1"/>
  <c r="Y76" i="3444" a="1"/>
  <c r="Y76" i="3444" s="1"/>
  <c r="BB76" i="3444" a="1"/>
  <c r="BB76" i="3444" s="1"/>
  <c r="AM76" i="3444" a="1"/>
  <c r="AM76" i="3444" s="1"/>
  <c r="BA76" i="3444" a="1"/>
  <c r="BA76" i="3444" s="1"/>
  <c r="AL76" i="3444" a="1"/>
  <c r="AL76" i="3444" s="1"/>
  <c r="W76" i="3444" a="1"/>
  <c r="W76" i="3444" s="1"/>
  <c r="AK76" i="3444" a="1"/>
  <c r="AK76" i="3444" s="1"/>
  <c r="AJ76" i="3444" a="1"/>
  <c r="AJ76" i="3444" s="1"/>
  <c r="AX76" i="3444" a="1"/>
  <c r="AX76" i="3444" s="1"/>
  <c r="AI76" i="3444" a="1"/>
  <c r="AI76" i="3444" s="1"/>
  <c r="AV76" i="3444" a="1"/>
  <c r="AV76" i="3444" s="1"/>
  <c r="Q76" i="3444" a="1"/>
  <c r="Q76" i="3444" s="1"/>
  <c r="AU76" i="3444" a="1"/>
  <c r="AU76" i="3444" s="1"/>
  <c r="AW76" i="3444" a="1"/>
  <c r="AW76" i="3444" s="1"/>
  <c r="AD76" i="3444" a="1"/>
  <c r="AD76" i="3444" s="1"/>
  <c r="AC76" i="3444" a="1"/>
  <c r="AC76" i="3444" s="1"/>
  <c r="X76" i="3444" a="1"/>
  <c r="X76" i="3444" s="1"/>
  <c r="V76" i="3444" a="1"/>
  <c r="V76" i="3444" s="1"/>
  <c r="R76" i="3444" a="1"/>
  <c r="R76" i="3444" s="1"/>
  <c r="O76" i="3444" a="1"/>
  <c r="O76" i="3444" s="1"/>
  <c r="BH76" i="3444" a="1"/>
  <c r="BH76" i="3444" s="1"/>
  <c r="AY76" i="3444" a="1"/>
  <c r="AY76" i="3444" s="1"/>
  <c r="N76" i="3444" a="1"/>
  <c r="N76" i="3444" s="1"/>
  <c r="AT76" i="3444" a="1"/>
  <c r="AT76" i="3444" s="1"/>
  <c r="AH76" i="3444" a="1"/>
  <c r="AH76" i="3444" s="1"/>
  <c r="AY64" i="3444" a="1"/>
  <c r="AY64" i="3444" s="1"/>
  <c r="AM64" i="3444" a="1"/>
  <c r="AM64" i="3444" s="1"/>
  <c r="AA64" i="3444" a="1"/>
  <c r="AA64" i="3444" s="1"/>
  <c r="O64" i="3444" a="1"/>
  <c r="O64" i="3444" s="1"/>
  <c r="AX64" i="3444" a="1"/>
  <c r="AX64" i="3444" s="1"/>
  <c r="AL64" i="3444" a="1"/>
  <c r="AL64" i="3444" s="1"/>
  <c r="Z64" i="3444" a="1"/>
  <c r="Z64" i="3444" s="1"/>
  <c r="N64" i="3444" a="1"/>
  <c r="N64" i="3444" s="1"/>
  <c r="AW64" i="3444" a="1"/>
  <c r="AW64" i="3444" s="1"/>
  <c r="AK64" i="3444" a="1"/>
  <c r="AK64" i="3444" s="1"/>
  <c r="Y64" i="3444" a="1"/>
  <c r="Y64" i="3444" s="1"/>
  <c r="M64" i="3444" a="1"/>
  <c r="M64" i="3444" s="1"/>
  <c r="BF64" i="3444" a="1"/>
  <c r="BF64" i="3444" s="1"/>
  <c r="AT64" i="3444" a="1"/>
  <c r="AT64" i="3444" s="1"/>
  <c r="AH64" i="3444" a="1"/>
  <c r="AH64" i="3444" s="1"/>
  <c r="V64" i="3444" a="1"/>
  <c r="V64" i="3444" s="1"/>
  <c r="BE64" i="3444" a="1"/>
  <c r="BE64" i="3444" s="1"/>
  <c r="AQ64" i="3444" a="1"/>
  <c r="AQ64" i="3444" s="1"/>
  <c r="AC64" i="3444" a="1"/>
  <c r="AC64" i="3444" s="1"/>
  <c r="BD64" i="3444" a="1"/>
  <c r="BD64" i="3444" s="1"/>
  <c r="AP64" i="3444" a="1"/>
  <c r="AP64" i="3444" s="1"/>
  <c r="AB64" i="3444" a="1"/>
  <c r="AB64" i="3444" s="1"/>
  <c r="L64" i="3444" a="1"/>
  <c r="L64" i="3444" s="1"/>
  <c r="BC64" i="3444" a="1"/>
  <c r="BC64" i="3444" s="1"/>
  <c r="AO64" i="3444" a="1"/>
  <c r="AO64" i="3444" s="1"/>
  <c r="AZ64" i="3444" a="1"/>
  <c r="AZ64" i="3444" s="1"/>
  <c r="T64" i="3444" a="1"/>
  <c r="T64" i="3444" s="1"/>
  <c r="AN64" i="3444" a="1"/>
  <c r="AN64" i="3444" s="1"/>
  <c r="BH64" i="3444" a="1"/>
  <c r="BH64" i="3444" s="1"/>
  <c r="S64" i="3444" a="1"/>
  <c r="S64" i="3444" s="1"/>
  <c r="BG64" i="3444" a="1"/>
  <c r="BG64" i="3444" s="1"/>
  <c r="R64" i="3444" a="1"/>
  <c r="R64" i="3444" s="1"/>
  <c r="BB64" i="3444" a="1"/>
  <c r="BB64" i="3444" s="1"/>
  <c r="P64" i="3444" a="1"/>
  <c r="P64" i="3444" s="1"/>
  <c r="AG64" i="3444" a="1"/>
  <c r="AG64" i="3444" s="1"/>
  <c r="AF64" i="3444" a="1"/>
  <c r="AF64" i="3444" s="1"/>
  <c r="AV64" i="3444" a="1"/>
  <c r="AV64" i="3444" s="1"/>
  <c r="AD64" i="3444" a="1"/>
  <c r="AD64" i="3444" s="1"/>
  <c r="AU64" i="3444" a="1"/>
  <c r="AU64" i="3444" s="1"/>
  <c r="AS64" i="3444" a="1"/>
  <c r="AS64" i="3444" s="1"/>
  <c r="AE64" i="3444" a="1"/>
  <c r="AE64" i="3444" s="1"/>
  <c r="X64" i="3444" a="1"/>
  <c r="X64" i="3444" s="1"/>
  <c r="W64" i="3444" a="1"/>
  <c r="W64" i="3444" s="1"/>
  <c r="U64" i="3444" a="1"/>
  <c r="U64" i="3444" s="1"/>
  <c r="BA64" i="3444" a="1"/>
  <c r="BA64" i="3444" s="1"/>
  <c r="AI64" i="3444" a="1"/>
  <c r="AI64" i="3444" s="1"/>
  <c r="K64" i="3444" a="1"/>
  <c r="K64" i="3444" s="1"/>
  <c r="AR64" i="3444" a="1"/>
  <c r="AR64" i="3444" s="1"/>
  <c r="AJ64" i="3444" a="1"/>
  <c r="AJ64" i="3444" s="1"/>
  <c r="Q64" i="3444" a="1"/>
  <c r="Q64" i="3444" s="1"/>
  <c r="BP79" i="3448"/>
  <c r="BO79" i="3448"/>
  <c r="G79" i="3448"/>
  <c r="BW79" i="3448" s="1"/>
  <c r="I39" i="3523" a="1"/>
  <c r="I39" i="3523" s="1"/>
  <c r="H39" i="3523" a="1"/>
  <c r="H39" i="3523" s="1"/>
  <c r="L41" i="3523"/>
  <c r="Z79" i="3523"/>
  <c r="G33" i="3436"/>
  <c r="I35" i="3444" s="1"/>
  <c r="AE85" i="3480"/>
  <c r="AK135" i="3434" a="1"/>
  <c r="AK135" i="3434" s="1"/>
  <c r="AL135" i="3434" a="1"/>
  <c r="AL135" i="3434" s="1"/>
  <c r="Y54" i="3436"/>
  <c r="AM105" i="3577" a="1"/>
  <c r="AM105" i="3577" s="1"/>
  <c r="AN105" i="3577" a="1"/>
  <c r="AN105" i="3577" s="1"/>
  <c r="AL105" i="3577" a="1"/>
  <c r="AL105" i="3577" s="1"/>
  <c r="AK105" i="3577" a="1"/>
  <c r="AK105" i="3577" s="1"/>
  <c r="I11" i="3421" a="1"/>
  <c r="I11" i="3421" s="1"/>
  <c r="H11" i="3421" a="1"/>
  <c r="H11" i="3421" s="1"/>
  <c r="G11" i="3421" a="1"/>
  <c r="G11" i="3421" s="1"/>
  <c r="E11" i="3421" a="1"/>
  <c r="E11" i="3421" s="1"/>
  <c r="P11" i="3421" a="1"/>
  <c r="P11" i="3421" s="1"/>
  <c r="K11" i="3421" a="1"/>
  <c r="K11" i="3421" s="1"/>
  <c r="J11" i="3421" a="1"/>
  <c r="J11" i="3421" s="1"/>
  <c r="G17" i="3518" a="1"/>
  <c r="G17" i="3518" s="1"/>
  <c r="F17" i="3518" a="1"/>
  <c r="F17" i="3518" s="1"/>
  <c r="G18" i="3518" a="1"/>
  <c r="G18" i="3518" s="1"/>
  <c r="F18" i="3518" a="1"/>
  <c r="F18" i="3518" s="1"/>
  <c r="G32" i="3518" a="1"/>
  <c r="G32" i="3518" s="1"/>
  <c r="F32" i="3518" a="1"/>
  <c r="F32" i="3518" s="1"/>
  <c r="G40" i="3518" a="1"/>
  <c r="G40" i="3518" s="1"/>
  <c r="F40" i="3518" a="1"/>
  <c r="F40" i="3518" s="1"/>
  <c r="N143" i="3528" a="1"/>
  <c r="N143" i="3528" s="1"/>
  <c r="N108" i="3528" a="1"/>
  <c r="N108" i="3528" s="1"/>
  <c r="N74" i="3528" a="1"/>
  <c r="N74" i="3528" s="1"/>
  <c r="S145" i="3528" a="1"/>
  <c r="S145" i="3528" s="1"/>
  <c r="S76" i="3528" a="1"/>
  <c r="S76" i="3528" s="1"/>
  <c r="S110" i="3528" a="1"/>
  <c r="S110" i="3528" s="1"/>
  <c r="AO139" i="3528"/>
  <c r="Y139" i="3528"/>
  <c r="P123" i="3528" a="1"/>
  <c r="P123" i="3528" s="1"/>
  <c r="P54" i="3528" a="1"/>
  <c r="P54" i="3528" s="1"/>
  <c r="P88" i="3528" a="1"/>
  <c r="P88" i="3528" s="1"/>
  <c r="N93" i="3528" a="1"/>
  <c r="N93" i="3528" s="1"/>
  <c r="N59" i="3528" a="1"/>
  <c r="N59" i="3528" s="1"/>
  <c r="N128" i="3528" a="1"/>
  <c r="N128" i="3528" s="1"/>
  <c r="I128" i="3528" a="1"/>
  <c r="I128" i="3528" s="1"/>
  <c r="I93" i="3528" a="1"/>
  <c r="I93" i="3528" s="1"/>
  <c r="I59" i="3528" a="1"/>
  <c r="I59" i="3528" s="1"/>
  <c r="O139" i="3528" a="1"/>
  <c r="O139" i="3528" s="1"/>
  <c r="O70" i="3528" a="1"/>
  <c r="O70" i="3528" s="1"/>
  <c r="O104" i="3528" a="1"/>
  <c r="O104" i="3528" s="1"/>
  <c r="H102" i="3528" a="1"/>
  <c r="H102" i="3528" s="1"/>
  <c r="H137" i="3528" a="1"/>
  <c r="H137" i="3528" s="1"/>
  <c r="H68" i="3528" a="1"/>
  <c r="H68" i="3528" s="1"/>
  <c r="J142" i="3528" a="1"/>
  <c r="J142" i="3528" s="1"/>
  <c r="J73" i="3528" a="1"/>
  <c r="J73" i="3528" s="1"/>
  <c r="J107" i="3528" a="1"/>
  <c r="J107" i="3528" s="1"/>
  <c r="E121" i="3528" a="1"/>
  <c r="E121" i="3528" s="1"/>
  <c r="E86" i="3528" a="1"/>
  <c r="E86" i="3528" s="1"/>
  <c r="E52" i="3528" a="1"/>
  <c r="E52" i="3528" s="1"/>
  <c r="O131" i="3528" a="1"/>
  <c r="O131" i="3528" s="1"/>
  <c r="O96" i="3528" a="1"/>
  <c r="O96" i="3528" s="1"/>
  <c r="O62" i="3528" a="1"/>
  <c r="O62" i="3528" s="1"/>
  <c r="F102" i="3528" a="1"/>
  <c r="F102" i="3528" s="1"/>
  <c r="F137" i="3528" a="1"/>
  <c r="F137" i="3528" s="1"/>
  <c r="F68" i="3528" a="1"/>
  <c r="F68" i="3528" s="1"/>
  <c r="J133" i="3528" a="1"/>
  <c r="J133" i="3528" s="1"/>
  <c r="J64" i="3528" a="1"/>
  <c r="J64" i="3528" s="1"/>
  <c r="J98" i="3528" a="1"/>
  <c r="J98" i="3528" s="1"/>
  <c r="I132" i="3528" a="1"/>
  <c r="I132" i="3528" s="1"/>
  <c r="I63" i="3528" a="1"/>
  <c r="I63" i="3528" s="1"/>
  <c r="I97" i="3528" a="1"/>
  <c r="I97" i="3528" s="1"/>
  <c r="S120" i="3528" a="1"/>
  <c r="S120" i="3528" s="1"/>
  <c r="S85" i="3528" a="1"/>
  <c r="S85" i="3528" s="1"/>
  <c r="S51" i="3528" a="1"/>
  <c r="S51" i="3528" s="1"/>
  <c r="N75" i="3528" a="1"/>
  <c r="N75" i="3528" s="1"/>
  <c r="N144" i="3528" a="1"/>
  <c r="N144" i="3528" s="1"/>
  <c r="N109" i="3528" a="1"/>
  <c r="N109" i="3528" s="1"/>
  <c r="J127" i="3528" a="1"/>
  <c r="J127" i="3528" s="1"/>
  <c r="J92" i="3528" a="1"/>
  <c r="J92" i="3528" s="1"/>
  <c r="J58" i="3528" a="1"/>
  <c r="J58" i="3528" s="1"/>
  <c r="J69" i="3528" a="1"/>
  <c r="J69" i="3528" s="1"/>
  <c r="J138" i="3528" a="1"/>
  <c r="J138" i="3528" s="1"/>
  <c r="J103" i="3528" a="1"/>
  <c r="J103" i="3528" s="1"/>
  <c r="O82" i="3528" a="1"/>
  <c r="O82" i="3528" s="1"/>
  <c r="O48" i="3528" a="1"/>
  <c r="O48" i="3528" s="1"/>
  <c r="O117" i="3528" a="1"/>
  <c r="O117" i="3528" s="1"/>
  <c r="BV42" i="3479" a="1"/>
  <c r="BV42" i="3479" s="1"/>
  <c r="BW42" i="3479" s="1" a="1"/>
  <c r="BW42" i="3479" s="1"/>
  <c r="BU42" i="3479" a="1"/>
  <c r="BU42" i="3479" s="1"/>
  <c r="CY48" i="3479" a="1"/>
  <c r="CY48" i="3479" s="1"/>
  <c r="DB48" i="3479" s="1" a="1"/>
  <c r="DB48" i="3479" s="1"/>
  <c r="DC48" i="3479" s="1" a="1"/>
  <c r="DC48" i="3479" s="1"/>
  <c r="CZ48" i="3479" a="1"/>
  <c r="CZ48" i="3479" s="1"/>
  <c r="DA48" i="3479" s="1" a="1"/>
  <c r="DA48" i="3479" s="1"/>
  <c r="A69" i="3444"/>
  <c r="BA55" i="3444" a="1"/>
  <c r="BA55" i="3444" s="1"/>
  <c r="AO55" i="3444" a="1"/>
  <c r="AO55" i="3444" s="1"/>
  <c r="AC55" i="3444" a="1"/>
  <c r="AC55" i="3444" s="1"/>
  <c r="Q55" i="3444" a="1"/>
  <c r="Q55" i="3444" s="1"/>
  <c r="AZ55" i="3444" a="1"/>
  <c r="AZ55" i="3444" s="1"/>
  <c r="AN55" i="3444" a="1"/>
  <c r="AN55" i="3444" s="1"/>
  <c r="AB55" i="3444" a="1"/>
  <c r="AB55" i="3444" s="1"/>
  <c r="P55" i="3444" a="1"/>
  <c r="P55" i="3444" s="1"/>
  <c r="BE55" i="3444" a="1"/>
  <c r="BE55" i="3444" s="1"/>
  <c r="AP55" i="3444" a="1"/>
  <c r="AP55" i="3444" s="1"/>
  <c r="X55" i="3444" a="1"/>
  <c r="X55" i="3444" s="1"/>
  <c r="AM55" i="3444" a="1"/>
  <c r="AM55" i="3444" s="1"/>
  <c r="BD55" i="3444" a="1"/>
  <c r="BD55" i="3444" s="1"/>
  <c r="W55" i="3444" a="1"/>
  <c r="W55" i="3444" s="1"/>
  <c r="AL55" i="3444" a="1"/>
  <c r="AL55" i="3444" s="1"/>
  <c r="AY55" i="3444" a="1"/>
  <c r="AY55" i="3444" s="1"/>
  <c r="AI55" i="3444" a="1"/>
  <c r="AI55" i="3444" s="1"/>
  <c r="T55" i="3444" a="1"/>
  <c r="T55" i="3444" s="1"/>
  <c r="AU55" i="3444" a="1"/>
  <c r="AU55" i="3444" s="1"/>
  <c r="AF55" i="3444" a="1"/>
  <c r="AF55" i="3444" s="1"/>
  <c r="AT55" i="3444" a="1"/>
  <c r="AT55" i="3444" s="1"/>
  <c r="AE55" i="3444" a="1"/>
  <c r="AE55" i="3444" s="1"/>
  <c r="AS55" i="3444" a="1"/>
  <c r="AS55" i="3444" s="1"/>
  <c r="U55" i="3444" a="1"/>
  <c r="U55" i="3444" s="1"/>
  <c r="AR55" i="3444" a="1"/>
  <c r="AR55" i="3444" s="1"/>
  <c r="AQ55" i="3444" a="1"/>
  <c r="AQ55" i="3444" s="1"/>
  <c r="S55" i="3444" a="1"/>
  <c r="S55" i="3444" s="1"/>
  <c r="R55" i="3444" a="1"/>
  <c r="R55" i="3444" s="1"/>
  <c r="AH55" i="3444" a="1"/>
  <c r="AH55" i="3444" s="1"/>
  <c r="BF55" i="3444" a="1"/>
  <c r="BF55" i="3444" s="1"/>
  <c r="K55" i="3444" a="1"/>
  <c r="K55" i="3444" s="1"/>
  <c r="AG55" i="3444" a="1"/>
  <c r="AG55" i="3444" s="1"/>
  <c r="BC55" i="3444" a="1"/>
  <c r="BC55" i="3444" s="1"/>
  <c r="BB55" i="3444" a="1"/>
  <c r="BB55" i="3444" s="1"/>
  <c r="AX55" i="3444" a="1"/>
  <c r="AX55" i="3444" s="1"/>
  <c r="AD55" i="3444" a="1"/>
  <c r="AD55" i="3444" s="1"/>
  <c r="Y55" i="3444" a="1"/>
  <c r="Y55" i="3444" s="1"/>
  <c r="V55" i="3444" a="1"/>
  <c r="V55" i="3444" s="1"/>
  <c r="BH55" i="3444" a="1"/>
  <c r="BH55" i="3444" s="1"/>
  <c r="BG55" i="3444" a="1"/>
  <c r="BG55" i="3444" s="1"/>
  <c r="AW55" i="3444" a="1"/>
  <c r="AW55" i="3444" s="1"/>
  <c r="AV55" i="3444" a="1"/>
  <c r="AV55" i="3444" s="1"/>
  <c r="AK55" i="3444" a="1"/>
  <c r="AK55" i="3444" s="1"/>
  <c r="AJ55" i="3444" a="1"/>
  <c r="AJ55" i="3444" s="1"/>
  <c r="AA55" i="3444" a="1"/>
  <c r="AA55" i="3444" s="1"/>
  <c r="Z55" i="3444" a="1"/>
  <c r="Z55" i="3444" s="1"/>
  <c r="O55" i="3444" a="1"/>
  <c r="O55" i="3444" s="1"/>
  <c r="M55" i="3444" a="1"/>
  <c r="M55" i="3444" s="1"/>
  <c r="N55" i="3444" a="1"/>
  <c r="N55" i="3444" s="1"/>
  <c r="L55" i="3444" a="1"/>
  <c r="L55" i="3444" s="1"/>
  <c r="AR25" i="3479" a="1"/>
  <c r="AR25" i="3479" s="1"/>
  <c r="AS25" i="3479" s="1" a="1"/>
  <c r="AS25" i="3479" s="1"/>
  <c r="AQ25" i="3479" a="1"/>
  <c r="AQ25" i="3479" s="1"/>
  <c r="AR37" i="3479" a="1"/>
  <c r="AR37" i="3479" s="1"/>
  <c r="AS37" i="3479" s="1" a="1"/>
  <c r="AS37" i="3479" s="1"/>
  <c r="AQ37" i="3479" a="1"/>
  <c r="AQ37" i="3479" s="1"/>
  <c r="BG39" i="3479" a="1"/>
  <c r="BG39" i="3479" s="1"/>
  <c r="BH39" i="3479" s="1" a="1"/>
  <c r="BH39" i="3479" s="1"/>
  <c r="BF39" i="3479" a="1"/>
  <c r="BF39" i="3479" s="1"/>
  <c r="ES50" i="3479" a="1"/>
  <c r="ES50" i="3479" s="1"/>
  <c r="ET50" i="3479" s="1" a="1"/>
  <c r="ET50" i="3479" s="1"/>
  <c r="ER50" i="3479" a="1"/>
  <c r="ER50" i="3479" s="1"/>
  <c r="EU50" i="3479" s="1" a="1"/>
  <c r="EU50" i="3479" s="1"/>
  <c r="EV50" i="3479" s="1" a="1"/>
  <c r="EV50" i="3479" s="1"/>
  <c r="AC35" i="3479" a="1"/>
  <c r="AC35" i="3479" s="1"/>
  <c r="AD35" i="3479" s="1" a="1"/>
  <c r="AD35" i="3479" s="1"/>
  <c r="AB35" i="3479" a="1"/>
  <c r="AB35" i="3479" s="1"/>
  <c r="L54" i="3445"/>
  <c r="M54" i="3445" s="1"/>
  <c r="H35" i="3436" s="1"/>
  <c r="N54" i="3445" a="1"/>
  <c r="N54" i="3445" s="1"/>
  <c r="O54" i="3445"/>
  <c r="L59" i="3560"/>
  <c r="K59" i="3560"/>
  <c r="J59" i="3560"/>
  <c r="P59" i="3560" s="1" a="1"/>
  <c r="P59" i="3560" s="1"/>
  <c r="I59" i="3560"/>
  <c r="O59" i="3560" s="1" a="1"/>
  <c r="O59" i="3560" s="1"/>
  <c r="AW69" i="3444" a="1"/>
  <c r="AW69" i="3444" s="1"/>
  <c r="AK69" i="3444" a="1"/>
  <c r="AK69" i="3444" s="1"/>
  <c r="AN69" i="3444" a="1"/>
  <c r="AN69" i="3444" s="1"/>
  <c r="Y69" i="3444" a="1"/>
  <c r="Y69" i="3444" s="1"/>
  <c r="BB69" i="3444" a="1"/>
  <c r="BB69" i="3444" s="1"/>
  <c r="X69" i="3444" a="1"/>
  <c r="X69" i="3444" s="1"/>
  <c r="AM69" i="3444" a="1"/>
  <c r="AM69" i="3444" s="1"/>
  <c r="W69" i="3444" a="1"/>
  <c r="W69" i="3444" s="1"/>
  <c r="BA69" i="3444" a="1"/>
  <c r="BA69" i="3444" s="1"/>
  <c r="AL69" i="3444" a="1"/>
  <c r="AL69" i="3444" s="1"/>
  <c r="V69" i="3444" a="1"/>
  <c r="V69" i="3444" s="1"/>
  <c r="AZ69" i="3444" a="1"/>
  <c r="AZ69" i="3444" s="1"/>
  <c r="AJ69" i="3444" a="1"/>
  <c r="AJ69" i="3444" s="1"/>
  <c r="AY69" i="3444" a="1"/>
  <c r="AY69" i="3444" s="1"/>
  <c r="AV69" i="3444" a="1"/>
  <c r="AV69" i="3444" s="1"/>
  <c r="AG69" i="3444" a="1"/>
  <c r="AG69" i="3444" s="1"/>
  <c r="AU69" i="3444" a="1"/>
  <c r="AU69" i="3444" s="1"/>
  <c r="AF69" i="3444" a="1"/>
  <c r="AF69" i="3444" s="1"/>
  <c r="R69" i="3444" a="1"/>
  <c r="R69" i="3444" s="1"/>
  <c r="BH69" i="3444" a="1"/>
  <c r="BH69" i="3444" s="1"/>
  <c r="AS69" i="3444" a="1"/>
  <c r="AS69" i="3444" s="1"/>
  <c r="AD69" i="3444" a="1"/>
  <c r="AD69" i="3444" s="1"/>
  <c r="P69" i="3444" a="1"/>
  <c r="P69" i="3444" s="1"/>
  <c r="BF69" i="3444" a="1"/>
  <c r="BF69" i="3444" s="1"/>
  <c r="AQ69" i="3444" a="1"/>
  <c r="AQ69" i="3444" s="1"/>
  <c r="BE69" i="3444" a="1"/>
  <c r="BE69" i="3444" s="1"/>
  <c r="AP69" i="3444" a="1"/>
  <c r="AP69" i="3444" s="1"/>
  <c r="M69" i="3444" a="1"/>
  <c r="M69" i="3444" s="1"/>
  <c r="AH69" i="3444" a="1"/>
  <c r="AH69" i="3444" s="1"/>
  <c r="AE69" i="3444" a="1"/>
  <c r="AE69" i="3444" s="1"/>
  <c r="AA69" i="3444" a="1"/>
  <c r="AA69" i="3444" s="1"/>
  <c r="U69" i="3444" a="1"/>
  <c r="U69" i="3444" s="1"/>
  <c r="BC69" i="3444" a="1"/>
  <c r="BC69" i="3444" s="1"/>
  <c r="T69" i="3444" a="1"/>
  <c r="T69" i="3444" s="1"/>
  <c r="S69" i="3444" a="1"/>
  <c r="S69" i="3444" s="1"/>
  <c r="AX69" i="3444" a="1"/>
  <c r="AX69" i="3444" s="1"/>
  <c r="Q69" i="3444" a="1"/>
  <c r="Q69" i="3444" s="1"/>
  <c r="AT69" i="3444" a="1"/>
  <c r="AT69" i="3444" s="1"/>
  <c r="AR69" i="3444" a="1"/>
  <c r="AR69" i="3444" s="1"/>
  <c r="O69" i="3444" a="1"/>
  <c r="O69" i="3444" s="1"/>
  <c r="L69" i="3444" a="1"/>
  <c r="L69" i="3444" s="1"/>
  <c r="N69" i="3444" a="1"/>
  <c r="N69" i="3444" s="1"/>
  <c r="K69" i="3444" a="1"/>
  <c r="K69" i="3444" s="1"/>
  <c r="BG69" i="3444" a="1"/>
  <c r="BG69" i="3444" s="1"/>
  <c r="BD69" i="3444" a="1"/>
  <c r="BD69" i="3444" s="1"/>
  <c r="AO69" i="3444" a="1"/>
  <c r="AO69" i="3444" s="1"/>
  <c r="AC69" i="3444" a="1"/>
  <c r="AC69" i="3444" s="1"/>
  <c r="Z69" i="3444" a="1"/>
  <c r="Z69" i="3444" s="1"/>
  <c r="AI69" i="3444" a="1"/>
  <c r="AI69" i="3444" s="1"/>
  <c r="AB69" i="3444" a="1"/>
  <c r="AB69" i="3444" s="1"/>
  <c r="J91" i="3445" a="1"/>
  <c r="J91" i="3445" s="1"/>
  <c r="P91" i="3445" s="1"/>
  <c r="Q91" i="3445" s="1"/>
  <c r="A45" i="3444"/>
  <c r="A53" i="3444"/>
  <c r="AQ92" i="3489" a="1"/>
  <c r="AQ92" i="3489" s="1"/>
  <c r="BF92" i="3489" a="1"/>
  <c r="BF92" i="3489" s="1"/>
  <c r="Q92" i="3489" a="1"/>
  <c r="Q92" i="3489" s="1"/>
  <c r="BF60" i="3489" a="1"/>
  <c r="BF60" i="3489" s="1"/>
  <c r="AT60" i="3489" a="1"/>
  <c r="AT60" i="3489" s="1"/>
  <c r="AH60" i="3489" a="1"/>
  <c r="AH60" i="3489" s="1"/>
  <c r="V60" i="3489" a="1"/>
  <c r="V60" i="3489" s="1"/>
  <c r="AU60" i="3489" a="1"/>
  <c r="AU60" i="3489" s="1"/>
  <c r="BH60" i="3489" a="1"/>
  <c r="BH60" i="3489" s="1"/>
  <c r="AG60" i="3489" a="1"/>
  <c r="AG60" i="3489" s="1"/>
  <c r="T60" i="3489" a="1"/>
  <c r="T60" i="3489" s="1"/>
  <c r="BG60" i="3489" a="1"/>
  <c r="BG60" i="3489" s="1"/>
  <c r="AS60" i="3489" a="1"/>
  <c r="AS60" i="3489" s="1"/>
  <c r="AF60" i="3489" a="1"/>
  <c r="AF60" i="3489" s="1"/>
  <c r="S60" i="3489" a="1"/>
  <c r="S60" i="3489" s="1"/>
  <c r="BE60" i="3489" a="1"/>
  <c r="BE60" i="3489" s="1"/>
  <c r="AR60" i="3489" a="1"/>
  <c r="AR60" i="3489" s="1"/>
  <c r="AE60" i="3489" a="1"/>
  <c r="AE60" i="3489" s="1"/>
  <c r="R60" i="3489" a="1"/>
  <c r="R60" i="3489" s="1"/>
  <c r="BA60" i="3489" a="1"/>
  <c r="BA60" i="3489" s="1"/>
  <c r="AN60" i="3489" a="1"/>
  <c r="AN60" i="3489" s="1"/>
  <c r="AA60" i="3489" a="1"/>
  <c r="AA60" i="3489" s="1"/>
  <c r="N60" i="3489" a="1"/>
  <c r="N60" i="3489" s="1"/>
  <c r="AI60" i="3489" a="1"/>
  <c r="AI60" i="3489" s="1"/>
  <c r="X60" i="3489" a="1"/>
  <c r="X60" i="3489" s="1"/>
  <c r="AQ60" i="3489" a="1"/>
  <c r="AQ60" i="3489" s="1"/>
  <c r="W60" i="3489" a="1"/>
  <c r="W60" i="3489" s="1"/>
  <c r="AP60" i="3489" a="1"/>
  <c r="AP60" i="3489" s="1"/>
  <c r="U60" i="3489" a="1"/>
  <c r="U60" i="3489" s="1"/>
  <c r="AO60" i="3489" a="1"/>
  <c r="AO60" i="3489" s="1"/>
  <c r="Q60" i="3489" a="1"/>
  <c r="Q60" i="3489" s="1"/>
  <c r="AM60" i="3489" a="1"/>
  <c r="AM60" i="3489" s="1"/>
  <c r="P60" i="3489" a="1"/>
  <c r="P60" i="3489" s="1"/>
  <c r="AL60" i="3489" a="1"/>
  <c r="AL60" i="3489" s="1"/>
  <c r="BD60" i="3489" a="1"/>
  <c r="BD60" i="3489" s="1"/>
  <c r="M60" i="3489" a="1"/>
  <c r="M60" i="3489" s="1"/>
  <c r="AJ60" i="3489" a="1"/>
  <c r="AJ60" i="3489" s="1"/>
  <c r="L60" i="3489" a="1"/>
  <c r="L60" i="3489" s="1"/>
  <c r="BC60" i="3489" a="1"/>
  <c r="BC60" i="3489" s="1"/>
  <c r="K60" i="3489" a="1"/>
  <c r="K60" i="3489" s="1"/>
  <c r="BB60" i="3489" a="1"/>
  <c r="BB60" i="3489" s="1"/>
  <c r="AD60" i="3489" a="1"/>
  <c r="AD60" i="3489" s="1"/>
  <c r="AZ60" i="3489" a="1"/>
  <c r="AZ60" i="3489" s="1"/>
  <c r="AC60" i="3489" a="1"/>
  <c r="AC60" i="3489" s="1"/>
  <c r="AW60" i="3489" a="1"/>
  <c r="AW60" i="3489" s="1"/>
  <c r="Y60" i="3489" a="1"/>
  <c r="Y60" i="3489" s="1"/>
  <c r="AB60" i="3489" a="1"/>
  <c r="AB60" i="3489" s="1"/>
  <c r="Z60" i="3489" a="1"/>
  <c r="Z60" i="3489" s="1"/>
  <c r="O60" i="3489" a="1"/>
  <c r="O60" i="3489" s="1"/>
  <c r="AY60" i="3489" a="1"/>
  <c r="AY60" i="3489" s="1"/>
  <c r="BI60" i="3489" a="1"/>
  <c r="BI60" i="3489" s="1"/>
  <c r="AX60" i="3489" a="1"/>
  <c r="AX60" i="3489" s="1"/>
  <c r="AK60" i="3489" a="1"/>
  <c r="AK60" i="3489" s="1"/>
  <c r="B60" i="3489"/>
  <c r="AV60" i="3489" a="1"/>
  <c r="AV60" i="3489" s="1"/>
  <c r="BG52" i="3489" a="1"/>
  <c r="BG52" i="3489" s="1"/>
  <c r="AJ29" i="3489" a="1"/>
  <c r="AJ29" i="3489" s="1"/>
  <c r="BH37" i="3489" a="1"/>
  <c r="BH37" i="3489" s="1"/>
  <c r="AV37" i="3489" a="1"/>
  <c r="AV37" i="3489" s="1"/>
  <c r="AJ37" i="3489" a="1"/>
  <c r="AJ37" i="3489" s="1"/>
  <c r="X37" i="3489" a="1"/>
  <c r="X37" i="3489" s="1"/>
  <c r="L37" i="3489" a="1"/>
  <c r="L37" i="3489" s="1"/>
  <c r="BF37" i="3489" a="1"/>
  <c r="BF37" i="3489" s="1"/>
  <c r="AM37" i="3489" a="1"/>
  <c r="AM37" i="3489" s="1"/>
  <c r="AZ37" i="3489" a="1"/>
  <c r="AZ37" i="3489" s="1"/>
  <c r="Y37" i="3489" a="1"/>
  <c r="Y37" i="3489" s="1"/>
  <c r="AL37" i="3489" a="1"/>
  <c r="AL37" i="3489" s="1"/>
  <c r="W37" i="3489" a="1"/>
  <c r="W37" i="3489" s="1"/>
  <c r="AY37" i="3489" a="1"/>
  <c r="AY37" i="3489" s="1"/>
  <c r="AK37" i="3489" a="1"/>
  <c r="AK37" i="3489" s="1"/>
  <c r="V37" i="3489" a="1"/>
  <c r="V37" i="3489" s="1"/>
  <c r="AE37" i="3489" a="1"/>
  <c r="AE37" i="3489" s="1"/>
  <c r="B37" i="3489"/>
  <c r="AR37" i="3489" a="1"/>
  <c r="AR37" i="3489" s="1"/>
  <c r="Q37" i="3489" a="1"/>
  <c r="Q37" i="3489" s="1"/>
  <c r="BC37" i="3489" a="1"/>
  <c r="BC37" i="3489" s="1"/>
  <c r="AH37" i="3489" a="1"/>
  <c r="AH37" i="3489" s="1"/>
  <c r="P37" i="3489" a="1"/>
  <c r="P37" i="3489" s="1"/>
  <c r="BB37" i="3489" a="1"/>
  <c r="BB37" i="3489" s="1"/>
  <c r="AG37" i="3489" a="1"/>
  <c r="AG37" i="3489" s="1"/>
  <c r="O37" i="3489" a="1"/>
  <c r="O37" i="3489" s="1"/>
  <c r="BA37" i="3489" a="1"/>
  <c r="BA37" i="3489" s="1"/>
  <c r="AF37" i="3489" a="1"/>
  <c r="AF37" i="3489" s="1"/>
  <c r="N37" i="3489" a="1"/>
  <c r="N37" i="3489" s="1"/>
  <c r="AX37" i="3489" a="1"/>
  <c r="AX37" i="3489" s="1"/>
  <c r="AD37" i="3489" a="1"/>
  <c r="AD37" i="3489" s="1"/>
  <c r="M37" i="3489" a="1"/>
  <c r="M37" i="3489" s="1"/>
  <c r="AW37" i="3489" a="1"/>
  <c r="AW37" i="3489" s="1"/>
  <c r="K37" i="3489" a="1"/>
  <c r="K37" i="3489" s="1"/>
  <c r="AU37" i="3489" a="1"/>
  <c r="AU37" i="3489" s="1"/>
  <c r="AC37" i="3489" a="1"/>
  <c r="AC37" i="3489" s="1"/>
  <c r="AB37" i="3489" a="1"/>
  <c r="AB37" i="3489" s="1"/>
  <c r="AA37" i="3489" a="1"/>
  <c r="AA37" i="3489" s="1"/>
  <c r="BI37" i="3489" a="1"/>
  <c r="BI37" i="3489" s="1"/>
  <c r="BE37" i="3489" a="1"/>
  <c r="BE37" i="3489" s="1"/>
  <c r="U37" i="3489" a="1"/>
  <c r="U37" i="3489" s="1"/>
  <c r="S37" i="3489" a="1"/>
  <c r="S37" i="3489" s="1"/>
  <c r="AT37" i="3489" a="1"/>
  <c r="AT37" i="3489" s="1"/>
  <c r="R37" i="3489" a="1"/>
  <c r="R37" i="3489" s="1"/>
  <c r="AS37" i="3489" a="1"/>
  <c r="AS37" i="3489" s="1"/>
  <c r="AQ37" i="3489" a="1"/>
  <c r="AQ37" i="3489" s="1"/>
  <c r="AP37" i="3489" a="1"/>
  <c r="AP37" i="3489" s="1"/>
  <c r="BG37" i="3489" a="1"/>
  <c r="BG37" i="3489" s="1"/>
  <c r="BD37" i="3489" a="1"/>
  <c r="BD37" i="3489" s="1"/>
  <c r="AO37" i="3489" a="1"/>
  <c r="AO37" i="3489" s="1"/>
  <c r="AN37" i="3489" a="1"/>
  <c r="AN37" i="3489" s="1"/>
  <c r="AI37" i="3489" a="1"/>
  <c r="AI37" i="3489" s="1"/>
  <c r="Z37" i="3489" a="1"/>
  <c r="Z37" i="3489" s="1"/>
  <c r="T37" i="3489" a="1"/>
  <c r="T37" i="3489" s="1"/>
  <c r="I59" i="3523" a="1"/>
  <c r="I59" i="3523" s="1"/>
  <c r="H59" i="3523" a="1"/>
  <c r="H59" i="3523" s="1"/>
  <c r="I56" i="3523" a="1"/>
  <c r="I56" i="3523" s="1"/>
  <c r="H56" i="3523" a="1"/>
  <c r="H56" i="3523" s="1"/>
  <c r="G48" i="3448"/>
  <c r="AE54" i="3480"/>
  <c r="AL104" i="3434" a="1"/>
  <c r="AL104" i="3434" s="1"/>
  <c r="AK104" i="3434" a="1"/>
  <c r="AK104" i="3434" s="1"/>
  <c r="X45" i="3480"/>
  <c r="W45" i="3480"/>
  <c r="AN117" i="3577" a="1"/>
  <c r="AN117" i="3577" s="1"/>
  <c r="AK117" i="3577" a="1"/>
  <c r="AK117" i="3577" s="1"/>
  <c r="AM117" i="3577" a="1"/>
  <c r="AM117" i="3577" s="1"/>
  <c r="AL117" i="3577" a="1"/>
  <c r="AL117" i="3577" s="1"/>
  <c r="AN107" i="3577" a="1"/>
  <c r="AN107" i="3577" s="1"/>
  <c r="AM107" i="3577" a="1"/>
  <c r="AM107" i="3577" s="1"/>
  <c r="AL107" i="3577" a="1"/>
  <c r="AL107" i="3577" s="1"/>
  <c r="AK107" i="3577" a="1"/>
  <c r="AK107" i="3577" s="1"/>
  <c r="X50" i="3480"/>
  <c r="W50" i="3480"/>
  <c r="I86" i="3445" a="1"/>
  <c r="I86" i="3445" s="1"/>
  <c r="O86" i="3445" s="1"/>
  <c r="G49" i="3436"/>
  <c r="J68" i="3445" s="1" a="1"/>
  <c r="J68" i="3445" s="1"/>
  <c r="P68" i="3445" s="1"/>
  <c r="Q68" i="3445" s="1"/>
  <c r="B65" i="3434"/>
  <c r="G18" i="3480" s="1"/>
  <c r="E58" i="3435" a="1"/>
  <c r="E58" i="3435" s="1"/>
  <c r="E51" i="3435" a="1"/>
  <c r="E51" i="3435" s="1"/>
  <c r="E61" i="3435" a="1"/>
  <c r="E61" i="3435" s="1"/>
  <c r="E37" i="3435" a="1"/>
  <c r="E37" i="3435" s="1"/>
  <c r="E54" i="3435" a="1"/>
  <c r="E54" i="3435" s="1"/>
  <c r="E30" i="3435" a="1"/>
  <c r="E30" i="3435" s="1"/>
  <c r="E47" i="3435" a="1"/>
  <c r="E47" i="3435" s="1"/>
  <c r="E56" i="3435" a="1"/>
  <c r="E56" i="3435" s="1"/>
  <c r="E49" i="3435" a="1"/>
  <c r="E49" i="3435" s="1"/>
  <c r="E62" i="3435" a="1"/>
  <c r="E62" i="3435" s="1"/>
  <c r="E57" i="3435" a="1"/>
  <c r="E57" i="3435" s="1"/>
  <c r="E38" i="3435" a="1"/>
  <c r="E38" i="3435" s="1"/>
  <c r="E27" i="3435" a="1"/>
  <c r="E27" i="3435" s="1"/>
  <c r="E16" i="3435" a="1"/>
  <c r="E16" i="3435" s="1"/>
  <c r="E48" i="3435" a="1"/>
  <c r="E48" i="3435" s="1"/>
  <c r="E34" i="3435" a="1"/>
  <c r="E34" i="3435" s="1"/>
  <c r="E28" i="3435" a="1"/>
  <c r="E28" i="3435" s="1"/>
  <c r="E19" i="3435" a="1"/>
  <c r="E19" i="3435" s="1"/>
  <c r="E50" i="3435" a="1"/>
  <c r="E50" i="3435" s="1"/>
  <c r="E60" i="3435" a="1"/>
  <c r="E60" i="3435" s="1"/>
  <c r="E45" i="3435" a="1"/>
  <c r="E45" i="3435" s="1"/>
  <c r="E24" i="3435" a="1"/>
  <c r="E24" i="3435" s="1"/>
  <c r="E42" i="3435" a="1"/>
  <c r="E42" i="3435" s="1"/>
  <c r="E55" i="3435" a="1"/>
  <c r="E55" i="3435" s="1"/>
  <c r="E40" i="3435" a="1"/>
  <c r="E40" i="3435" s="1"/>
  <c r="E41" i="3435" a="1"/>
  <c r="E41" i="3435" s="1"/>
  <c r="E39" i="3435" a="1"/>
  <c r="E39" i="3435" s="1"/>
  <c r="E22" i="3435" a="1"/>
  <c r="E22" i="3435" s="1"/>
  <c r="E63" i="3435" a="1"/>
  <c r="E63" i="3435" s="1"/>
  <c r="E46" i="3435" a="1"/>
  <c r="E46" i="3435" s="1"/>
  <c r="E33" i="3435" a="1"/>
  <c r="E33" i="3435" s="1"/>
  <c r="E26" i="3435" a="1"/>
  <c r="E26" i="3435" s="1"/>
  <c r="E52" i="3435" a="1"/>
  <c r="E52" i="3435" s="1"/>
  <c r="E32" i="3435" a="1"/>
  <c r="E32" i="3435" s="1"/>
  <c r="E20" i="3435" a="1"/>
  <c r="E20" i="3435" s="1"/>
  <c r="E59" i="3435" a="1"/>
  <c r="E59" i="3435" s="1"/>
  <c r="E43" i="3435" a="1"/>
  <c r="E43" i="3435" s="1"/>
  <c r="E35" i="3435" a="1"/>
  <c r="E35" i="3435" s="1"/>
  <c r="E44" i="3435" a="1"/>
  <c r="E44" i="3435" s="1"/>
  <c r="E21" i="3435" a="1"/>
  <c r="E21" i="3435" s="1"/>
  <c r="E53" i="3435" a="1"/>
  <c r="E53" i="3435" s="1"/>
  <c r="E36" i="3435" a="1"/>
  <c r="E36" i="3435" s="1"/>
  <c r="E31" i="3435" a="1"/>
  <c r="E31" i="3435" s="1"/>
  <c r="E23" i="3435" a="1"/>
  <c r="E23" i="3435" s="1"/>
  <c r="E25" i="3435" a="1"/>
  <c r="E25" i="3435" s="1"/>
  <c r="E18" i="3435" a="1"/>
  <c r="E18" i="3435" s="1"/>
  <c r="E15" i="3435" a="1"/>
  <c r="E15" i="3435" s="1"/>
  <c r="E17" i="3435" a="1"/>
  <c r="E17" i="3435" s="1"/>
  <c r="E64" i="3435" a="1"/>
  <c r="E64" i="3435" s="1"/>
  <c r="E29" i="3435" a="1"/>
  <c r="E29" i="3435" s="1"/>
  <c r="F14" i="3518" a="1"/>
  <c r="F14" i="3518" s="1"/>
  <c r="G14" i="3518" a="1"/>
  <c r="G14" i="3518" s="1"/>
  <c r="G53" i="3518" a="1"/>
  <c r="G53" i="3518" s="1"/>
  <c r="F53" i="3518" a="1"/>
  <c r="F53" i="3518" s="1"/>
  <c r="AI139" i="3528"/>
  <c r="AY139" i="3528"/>
  <c r="O142" i="3528" a="1"/>
  <c r="O142" i="3528" s="1"/>
  <c r="O107" i="3528" a="1"/>
  <c r="O107" i="3528" s="1"/>
  <c r="O73" i="3528" a="1"/>
  <c r="O73" i="3528" s="1"/>
  <c r="N107" i="3528" a="1"/>
  <c r="N107" i="3528" s="1"/>
  <c r="N142" i="3528" a="1"/>
  <c r="N142" i="3528" s="1"/>
  <c r="N73" i="3528" a="1"/>
  <c r="N73" i="3528" s="1"/>
  <c r="E123" i="3528" a="1"/>
  <c r="E123" i="3528" s="1"/>
  <c r="E54" i="3528" a="1"/>
  <c r="E54" i="3528" s="1"/>
  <c r="E88" i="3528" a="1"/>
  <c r="E88" i="3528" s="1"/>
  <c r="N90" i="3528" a="1"/>
  <c r="N90" i="3528" s="1"/>
  <c r="N56" i="3528" a="1"/>
  <c r="N56" i="3528" s="1"/>
  <c r="N125" i="3528" a="1"/>
  <c r="N125" i="3528" s="1"/>
  <c r="J128" i="3528" a="1"/>
  <c r="J128" i="3528" s="1"/>
  <c r="J93" i="3528" a="1"/>
  <c r="J93" i="3528" s="1"/>
  <c r="J59" i="3528" a="1"/>
  <c r="J59" i="3528" s="1"/>
  <c r="I125" i="3528" a="1"/>
  <c r="I125" i="3528" s="1"/>
  <c r="I90" i="3528" a="1"/>
  <c r="I90" i="3528" s="1"/>
  <c r="I56" i="3528" a="1"/>
  <c r="I56" i="3528" s="1"/>
  <c r="K142" i="3528" a="1"/>
  <c r="K142" i="3528" s="1"/>
  <c r="K73" i="3528" a="1"/>
  <c r="K73" i="3528" s="1"/>
  <c r="K107" i="3528" a="1"/>
  <c r="K107" i="3528" s="1"/>
  <c r="Q121" i="3528" a="1"/>
  <c r="Q121" i="3528" s="1"/>
  <c r="Q86" i="3528" a="1"/>
  <c r="Q86" i="3528" s="1"/>
  <c r="Q52" i="3528" a="1"/>
  <c r="Q52" i="3528" s="1"/>
  <c r="R102" i="3528" a="1"/>
  <c r="R102" i="3528" s="1"/>
  <c r="R137" i="3528" a="1"/>
  <c r="R137" i="3528" s="1"/>
  <c r="R68" i="3528" a="1"/>
  <c r="R68" i="3528" s="1"/>
  <c r="AY141" i="3528"/>
  <c r="AI141" i="3528"/>
  <c r="M140" i="3528" a="1"/>
  <c r="M140" i="3528" s="1"/>
  <c r="M71" i="3528" a="1"/>
  <c r="M71" i="3528" s="1"/>
  <c r="M105" i="3528" a="1"/>
  <c r="M105" i="3528" s="1"/>
  <c r="L133" i="3528" a="1"/>
  <c r="L133" i="3528" s="1"/>
  <c r="L64" i="3528" a="1"/>
  <c r="L64" i="3528" s="1"/>
  <c r="L98" i="3528" a="1"/>
  <c r="L98" i="3528" s="1"/>
  <c r="J97" i="3528" a="1"/>
  <c r="J97" i="3528" s="1"/>
  <c r="J132" i="3528" a="1"/>
  <c r="J132" i="3528" s="1"/>
  <c r="J63" i="3528" a="1"/>
  <c r="J63" i="3528" s="1"/>
  <c r="L127" i="3528" a="1"/>
  <c r="L127" i="3528" s="1"/>
  <c r="L92" i="3528" a="1"/>
  <c r="L92" i="3528" s="1"/>
  <c r="L58" i="3528" a="1"/>
  <c r="L58" i="3528" s="1"/>
  <c r="P136" i="3528" a="1"/>
  <c r="P136" i="3528" s="1"/>
  <c r="P67" i="3528" a="1"/>
  <c r="P67" i="3528" s="1"/>
  <c r="P101" i="3528" a="1"/>
  <c r="P101" i="3528" s="1"/>
  <c r="M50" i="3479" a="1"/>
  <c r="M50" i="3479" s="1"/>
  <c r="N50" i="3479" a="1"/>
  <c r="N50" i="3479" s="1"/>
  <c r="O50" i="3479" s="1" a="1"/>
  <c r="O50" i="3479" s="1"/>
  <c r="CK60" i="3479" a="1"/>
  <c r="CK60" i="3479" s="1"/>
  <c r="CL60" i="3479" s="1" a="1"/>
  <c r="CL60" i="3479" s="1"/>
  <c r="CJ60" i="3479" a="1"/>
  <c r="CJ60" i="3479" s="1"/>
  <c r="AC27" i="3479" a="1"/>
  <c r="AC27" i="3479" s="1"/>
  <c r="AD27" i="3479" s="1" a="1"/>
  <c r="AD27" i="3479" s="1"/>
  <c r="AB27" i="3479" a="1"/>
  <c r="AB27" i="3479" s="1"/>
  <c r="K87" i="3560"/>
  <c r="L87" i="3560"/>
  <c r="J87" i="3560"/>
  <c r="P87" i="3560" s="1" a="1"/>
  <c r="P87" i="3560" s="1"/>
  <c r="I87" i="3560"/>
  <c r="O87" i="3560" s="1" a="1"/>
  <c r="O87" i="3560" s="1"/>
  <c r="K70" i="3560"/>
  <c r="I70" i="3560"/>
  <c r="O70" i="3560" s="1" a="1"/>
  <c r="O70" i="3560" s="1"/>
  <c r="L70" i="3560"/>
  <c r="J70" i="3560"/>
  <c r="P70" i="3560" s="1" a="1"/>
  <c r="P70" i="3560" s="1"/>
  <c r="D59" i="3560"/>
  <c r="A59" i="3560"/>
  <c r="A40" i="3444"/>
  <c r="BG59" i="3444" a="1"/>
  <c r="BG59" i="3444" s="1"/>
  <c r="AU59" i="3444" a="1"/>
  <c r="AU59" i="3444" s="1"/>
  <c r="AI59" i="3444" a="1"/>
  <c r="AI59" i="3444" s="1"/>
  <c r="W59" i="3444" a="1"/>
  <c r="W59" i="3444" s="1"/>
  <c r="K59" i="3444" a="1"/>
  <c r="K59" i="3444" s="1"/>
  <c r="BF59" i="3444" a="1"/>
  <c r="BF59" i="3444" s="1"/>
  <c r="AT59" i="3444" a="1"/>
  <c r="AT59" i="3444" s="1"/>
  <c r="AH59" i="3444" a="1"/>
  <c r="AH59" i="3444" s="1"/>
  <c r="V59" i="3444" a="1"/>
  <c r="V59" i="3444" s="1"/>
  <c r="AO59" i="3444" a="1"/>
  <c r="AO59" i="3444" s="1"/>
  <c r="Z59" i="3444" a="1"/>
  <c r="Z59" i="3444" s="1"/>
  <c r="BD59" i="3444" a="1"/>
  <c r="BD59" i="3444" s="1"/>
  <c r="AN59" i="3444" a="1"/>
  <c r="AN59" i="3444" s="1"/>
  <c r="Y59" i="3444" a="1"/>
  <c r="Y59" i="3444" s="1"/>
  <c r="BC59" i="3444" a="1"/>
  <c r="BC59" i="3444" s="1"/>
  <c r="T59" i="3444" a="1"/>
  <c r="T59" i="3444" s="1"/>
  <c r="AZ59" i="3444" a="1"/>
  <c r="AZ59" i="3444" s="1"/>
  <c r="AK59" i="3444" a="1"/>
  <c r="AK59" i="3444" s="1"/>
  <c r="AY59" i="3444" a="1"/>
  <c r="AY59" i="3444" s="1"/>
  <c r="AJ59" i="3444" a="1"/>
  <c r="AJ59" i="3444" s="1"/>
  <c r="AG59" i="3444" a="1"/>
  <c r="AG59" i="3444" s="1"/>
  <c r="AF59" i="3444" a="1"/>
  <c r="AF59" i="3444" s="1"/>
  <c r="AW59" i="3444" a="1"/>
  <c r="AW59" i="3444" s="1"/>
  <c r="P59" i="3444" a="1"/>
  <c r="P59" i="3444" s="1"/>
  <c r="AV59" i="3444" a="1"/>
  <c r="AV59" i="3444" s="1"/>
  <c r="AD59" i="3444" a="1"/>
  <c r="AD59" i="3444" s="1"/>
  <c r="O59" i="3444" a="1"/>
  <c r="O59" i="3444" s="1"/>
  <c r="AS59" i="3444" a="1"/>
  <c r="AS59" i="3444" s="1"/>
  <c r="BH59" i="3444" a="1"/>
  <c r="BH59" i="3444" s="1"/>
  <c r="AA59" i="3444" a="1"/>
  <c r="AA59" i="3444" s="1"/>
  <c r="BE59" i="3444" a="1"/>
  <c r="BE59" i="3444" s="1"/>
  <c r="BB59" i="3444" a="1"/>
  <c r="BB59" i="3444" s="1"/>
  <c r="X59" i="3444" a="1"/>
  <c r="X59" i="3444" s="1"/>
  <c r="U59" i="3444" a="1"/>
  <c r="U59" i="3444" s="1"/>
  <c r="BA59" i="3444" a="1"/>
  <c r="BA59" i="3444" s="1"/>
  <c r="S59" i="3444" a="1"/>
  <c r="S59" i="3444" s="1"/>
  <c r="AX59" i="3444" a="1"/>
  <c r="AX59" i="3444" s="1"/>
  <c r="R59" i="3444" a="1"/>
  <c r="R59" i="3444" s="1"/>
  <c r="AQ59" i="3444" a="1"/>
  <c r="AQ59" i="3444" s="1"/>
  <c r="AP59" i="3444" a="1"/>
  <c r="AP59" i="3444" s="1"/>
  <c r="M59" i="3444" a="1"/>
  <c r="M59" i="3444" s="1"/>
  <c r="AM59" i="3444" a="1"/>
  <c r="AM59" i="3444" s="1"/>
  <c r="L59" i="3444" a="1"/>
  <c r="L59" i="3444" s="1"/>
  <c r="AL59" i="3444" a="1"/>
  <c r="AL59" i="3444" s="1"/>
  <c r="AC59" i="3444" a="1"/>
  <c r="AC59" i="3444" s="1"/>
  <c r="AB59" i="3444" a="1"/>
  <c r="AB59" i="3444" s="1"/>
  <c r="AR59" i="3444" a="1"/>
  <c r="AR59" i="3444" s="1"/>
  <c r="AE59" i="3444" a="1"/>
  <c r="AE59" i="3444" s="1"/>
  <c r="Q59" i="3444" a="1"/>
  <c r="Q59" i="3444" s="1"/>
  <c r="N59" i="3444" a="1"/>
  <c r="N59" i="3444" s="1"/>
  <c r="AY82" i="3489" a="1"/>
  <c r="AY82" i="3489" s="1"/>
  <c r="AM82" i="3489" a="1"/>
  <c r="AM82" i="3489" s="1"/>
  <c r="AA82" i="3489" a="1"/>
  <c r="AA82" i="3489" s="1"/>
  <c r="O82" i="3489" a="1"/>
  <c r="O82" i="3489" s="1"/>
  <c r="AZ82" i="3489" a="1"/>
  <c r="AZ82" i="3489" s="1"/>
  <c r="AK82" i="3489" a="1"/>
  <c r="AK82" i="3489" s="1"/>
  <c r="AX82" i="3489" a="1"/>
  <c r="AX82" i="3489" s="1"/>
  <c r="W82" i="3489" a="1"/>
  <c r="W82" i="3489" s="1"/>
  <c r="AJ82" i="3489" a="1"/>
  <c r="AJ82" i="3489" s="1"/>
  <c r="AW82" i="3489" a="1"/>
  <c r="AW82" i="3489" s="1"/>
  <c r="V82" i="3489" a="1"/>
  <c r="V82" i="3489" s="1"/>
  <c r="AV82" i="3489" a="1"/>
  <c r="AV82" i="3489" s="1"/>
  <c r="U82" i="3489" a="1"/>
  <c r="U82" i="3489" s="1"/>
  <c r="BE82" i="3489" a="1"/>
  <c r="BE82" i="3489" s="1"/>
  <c r="AD82" i="3489" a="1"/>
  <c r="AD82" i="3489" s="1"/>
  <c r="BA82" i="3489" a="1"/>
  <c r="BA82" i="3489" s="1"/>
  <c r="AL82" i="3489" a="1"/>
  <c r="AL82" i="3489" s="1"/>
  <c r="K82" i="3489" a="1"/>
  <c r="K82" i="3489" s="1"/>
  <c r="BC82" i="3489" a="1"/>
  <c r="BC82" i="3489" s="1"/>
  <c r="P82" i="3489" a="1"/>
  <c r="P82" i="3489" s="1"/>
  <c r="AG82" i="3489" a="1"/>
  <c r="AG82" i="3489" s="1"/>
  <c r="N82" i="3489" a="1"/>
  <c r="N82" i="3489" s="1"/>
  <c r="BB82" i="3489" a="1"/>
  <c r="BB82" i="3489" s="1"/>
  <c r="AF82" i="3489" a="1"/>
  <c r="AF82" i="3489" s="1"/>
  <c r="M82" i="3489" a="1"/>
  <c r="M82" i="3489" s="1"/>
  <c r="AE82" i="3489" a="1"/>
  <c r="AE82" i="3489" s="1"/>
  <c r="L82" i="3489" a="1"/>
  <c r="L82" i="3489" s="1"/>
  <c r="AU82" i="3489" a="1"/>
  <c r="AU82" i="3489" s="1"/>
  <c r="AC82" i="3489" a="1"/>
  <c r="AC82" i="3489" s="1"/>
  <c r="AT82" i="3489" a="1"/>
  <c r="AT82" i="3489" s="1"/>
  <c r="AB82" i="3489" a="1"/>
  <c r="AB82" i="3489" s="1"/>
  <c r="BI82" i="3489" a="1"/>
  <c r="BI82" i="3489" s="1"/>
  <c r="AR82" i="3489" a="1"/>
  <c r="AR82" i="3489" s="1"/>
  <c r="Y82" i="3489" a="1"/>
  <c r="Y82" i="3489" s="1"/>
  <c r="AQ82" i="3489" a="1"/>
  <c r="AQ82" i="3489" s="1"/>
  <c r="X82" i="3489" a="1"/>
  <c r="X82" i="3489" s="1"/>
  <c r="BH82" i="3489" a="1"/>
  <c r="BH82" i="3489" s="1"/>
  <c r="B82" i="3489"/>
  <c r="AP82" i="3489" a="1"/>
  <c r="AP82" i="3489" s="1"/>
  <c r="BD82" i="3489" a="1"/>
  <c r="BD82" i="3489" s="1"/>
  <c r="AI82" i="3489" a="1"/>
  <c r="AI82" i="3489" s="1"/>
  <c r="S82" i="3489" a="1"/>
  <c r="S82" i="3489" s="1"/>
  <c r="R82" i="3489" a="1"/>
  <c r="R82" i="3489" s="1"/>
  <c r="Q82" i="3489" a="1"/>
  <c r="Q82" i="3489" s="1"/>
  <c r="BG82" i="3489" a="1"/>
  <c r="BG82" i="3489" s="1"/>
  <c r="AS82" i="3489" a="1"/>
  <c r="AS82" i="3489" s="1"/>
  <c r="AO82" i="3489" a="1"/>
  <c r="AO82" i="3489" s="1"/>
  <c r="T82" i="3489" a="1"/>
  <c r="T82" i="3489" s="1"/>
  <c r="BF82" i="3489" a="1"/>
  <c r="BF82" i="3489" s="1"/>
  <c r="AN82" i="3489" a="1"/>
  <c r="AN82" i="3489" s="1"/>
  <c r="AH82" i="3489" a="1"/>
  <c r="AH82" i="3489" s="1"/>
  <c r="Z82" i="3489" a="1"/>
  <c r="Z82" i="3489" s="1"/>
  <c r="AW28" i="3489" a="1"/>
  <c r="AW28" i="3489" s="1"/>
  <c r="AJ28" i="3489" a="1"/>
  <c r="AJ28" i="3489" s="1"/>
  <c r="W28" i="3489" a="1"/>
  <c r="W28" i="3489" s="1"/>
  <c r="BI28" i="3489" a="1"/>
  <c r="BI28" i="3489" s="1"/>
  <c r="AV28" i="3489" a="1"/>
  <c r="AV28" i="3489" s="1"/>
  <c r="AI28" i="3489" a="1"/>
  <c r="AI28" i="3489" s="1"/>
  <c r="V28" i="3489" a="1"/>
  <c r="V28" i="3489" s="1"/>
  <c r="BH28" i="3489" a="1"/>
  <c r="BH28" i="3489" s="1"/>
  <c r="AU28" i="3489" a="1"/>
  <c r="AU28" i="3489" s="1"/>
  <c r="AH28" i="3489" a="1"/>
  <c r="AH28" i="3489" s="1"/>
  <c r="U28" i="3489" a="1"/>
  <c r="U28" i="3489" s="1"/>
  <c r="AP28" i="3489" a="1"/>
  <c r="AP28" i="3489" s="1"/>
  <c r="BC28" i="3489" a="1"/>
  <c r="BC28" i="3489" s="1"/>
  <c r="AO28" i="3489" a="1"/>
  <c r="AO28" i="3489" s="1"/>
  <c r="AB28" i="3489" a="1"/>
  <c r="AB28" i="3489" s="1"/>
  <c r="AR28" i="3489" a="1"/>
  <c r="AR28" i="3489" s="1"/>
  <c r="Y28" i="3489" a="1"/>
  <c r="Y28" i="3489" s="1"/>
  <c r="AQ28" i="3489" a="1"/>
  <c r="AQ28" i="3489" s="1"/>
  <c r="BG28" i="3489" a="1"/>
  <c r="BG28" i="3489" s="1"/>
  <c r="X28" i="3489" a="1"/>
  <c r="X28" i="3489" s="1"/>
  <c r="BF28" i="3489" a="1"/>
  <c r="BF28" i="3489" s="1"/>
  <c r="AM28" i="3489" a="1"/>
  <c r="AM28" i="3489" s="1"/>
  <c r="T28" i="3489" a="1"/>
  <c r="T28" i="3489" s="1"/>
  <c r="BD28" i="3489" a="1"/>
  <c r="BD28" i="3489" s="1"/>
  <c r="R28" i="3489" a="1"/>
  <c r="R28" i="3489" s="1"/>
  <c r="BB28" i="3489" a="1"/>
  <c r="BB28" i="3489" s="1"/>
  <c r="AE28" i="3489" a="1"/>
  <c r="AE28" i="3489" s="1"/>
  <c r="BA28" i="3489" a="1"/>
  <c r="BA28" i="3489" s="1"/>
  <c r="AD28" i="3489" a="1"/>
  <c r="AD28" i="3489" s="1"/>
  <c r="AC28" i="3489" a="1"/>
  <c r="AC28" i="3489" s="1"/>
  <c r="B28" i="3489"/>
  <c r="AZ28" i="3489" a="1"/>
  <c r="AZ28" i="3489" s="1"/>
  <c r="Z28" i="3489" a="1"/>
  <c r="Z28" i="3489" s="1"/>
  <c r="AT28" i="3489" a="1"/>
  <c r="AT28" i="3489" s="1"/>
  <c r="Q28" i="3489" a="1"/>
  <c r="Q28" i="3489" s="1"/>
  <c r="O28" i="3489" a="1"/>
  <c r="O28" i="3489" s="1"/>
  <c r="N28" i="3489" a="1"/>
  <c r="N28" i="3489" s="1"/>
  <c r="AL28" i="3489" a="1"/>
  <c r="AL28" i="3489" s="1"/>
  <c r="AK28" i="3489" a="1"/>
  <c r="AK28" i="3489" s="1"/>
  <c r="M28" i="3489" a="1"/>
  <c r="M28" i="3489" s="1"/>
  <c r="AN28" i="3489" a="1"/>
  <c r="AN28" i="3489" s="1"/>
  <c r="AG28" i="3489" a="1"/>
  <c r="AG28" i="3489" s="1"/>
  <c r="AF28" i="3489" a="1"/>
  <c r="AF28" i="3489" s="1"/>
  <c r="AA28" i="3489" a="1"/>
  <c r="AA28" i="3489" s="1"/>
  <c r="S28" i="3489" a="1"/>
  <c r="S28" i="3489" s="1"/>
  <c r="P28" i="3489" a="1"/>
  <c r="P28" i="3489" s="1"/>
  <c r="L28" i="3489" a="1"/>
  <c r="L28" i="3489" s="1"/>
  <c r="BE28" i="3489" a="1"/>
  <c r="BE28" i="3489" s="1"/>
  <c r="AY28" i="3489" a="1"/>
  <c r="AY28" i="3489" s="1"/>
  <c r="AX28" i="3489" a="1"/>
  <c r="AX28" i="3489" s="1"/>
  <c r="AS28" i="3489" a="1"/>
  <c r="AS28" i="3489" s="1"/>
  <c r="K28" i="3489" a="1"/>
  <c r="K28" i="3489" s="1"/>
  <c r="H70" i="3523" a="1"/>
  <c r="H70" i="3523" s="1"/>
  <c r="I70" i="3523" a="1"/>
  <c r="I70" i="3523" s="1"/>
  <c r="M55" i="3479" a="1"/>
  <c r="M55" i="3479" s="1"/>
  <c r="N55" i="3479" a="1"/>
  <c r="N55" i="3479" s="1"/>
  <c r="O55" i="3479" s="1" a="1"/>
  <c r="O55" i="3479" s="1"/>
  <c r="EC49" i="3479" a="1"/>
  <c r="EC49" i="3479" s="1"/>
  <c r="EF49" i="3479" s="1" a="1"/>
  <c r="EF49" i="3479" s="1"/>
  <c r="EG49" i="3479" s="1" a="1"/>
  <c r="EG49" i="3479" s="1"/>
  <c r="ED49" i="3479" a="1"/>
  <c r="ED49" i="3479" s="1"/>
  <c r="EE49" i="3479" s="1" a="1"/>
  <c r="EE49" i="3479" s="1"/>
  <c r="AR58" i="3479" a="1"/>
  <c r="AR58" i="3479" s="1"/>
  <c r="AS58" i="3479" s="1" a="1"/>
  <c r="AS58" i="3479" s="1"/>
  <c r="AQ58" i="3479" a="1"/>
  <c r="AQ58" i="3479" s="1"/>
  <c r="BU44" i="3479" a="1"/>
  <c r="BU44" i="3479" s="1"/>
  <c r="BV44" i="3479" a="1"/>
  <c r="BV44" i="3479" s="1"/>
  <c r="BW44" i="3479" s="1" a="1"/>
  <c r="BW44" i="3479" s="1"/>
  <c r="CK66" i="3479" a="1"/>
  <c r="CK66" i="3479" s="1"/>
  <c r="CL66" i="3479" s="1" a="1"/>
  <c r="CL66" i="3479" s="1"/>
  <c r="CJ66" i="3479" a="1"/>
  <c r="CJ66" i="3479" s="1"/>
  <c r="CK64" i="3479" a="1"/>
  <c r="CK64" i="3479" s="1"/>
  <c r="CL64" i="3479" s="1" a="1"/>
  <c r="CL64" i="3479" s="1"/>
  <c r="CJ64" i="3479" a="1"/>
  <c r="CJ64" i="3479" s="1"/>
  <c r="BG49" i="3479" a="1"/>
  <c r="BG49" i="3479" s="1"/>
  <c r="BH49" i="3479" s="1" a="1"/>
  <c r="BH49" i="3479" s="1"/>
  <c r="BF49" i="3479" a="1"/>
  <c r="BF49" i="3479" s="1"/>
  <c r="ER30" i="3479" a="1"/>
  <c r="ER30" i="3479" s="1"/>
  <c r="EU30" i="3479" s="1" a="1"/>
  <c r="EU30" i="3479" s="1"/>
  <c r="EV30" i="3479" s="1" a="1"/>
  <c r="EV30" i="3479" s="1"/>
  <c r="ES30" i="3479" a="1"/>
  <c r="ES30" i="3479" s="1"/>
  <c r="ET30" i="3479" s="1" a="1"/>
  <c r="ET30" i="3479" s="1"/>
  <c r="DO46" i="3479" a="1"/>
  <c r="DO46" i="3479" s="1"/>
  <c r="DP46" i="3479" s="1" a="1"/>
  <c r="DP46" i="3479" s="1"/>
  <c r="DN46" i="3479" a="1"/>
  <c r="DN46" i="3479" s="1"/>
  <c r="DQ46" i="3479" s="1" a="1"/>
  <c r="DQ46" i="3479" s="1"/>
  <c r="DR46" i="3479" s="1" a="1"/>
  <c r="DR46" i="3479" s="1"/>
  <c r="DO67" i="3479" a="1"/>
  <c r="DO67" i="3479" s="1"/>
  <c r="DP67" i="3479" s="1" a="1"/>
  <c r="DP67" i="3479" s="1"/>
  <c r="DN67" i="3479" a="1"/>
  <c r="DN67" i="3479" s="1"/>
  <c r="DQ67" i="3479" s="1" a="1"/>
  <c r="DQ67" i="3479" s="1"/>
  <c r="DR67" i="3479" s="1" a="1"/>
  <c r="DR67" i="3479" s="1"/>
  <c r="AC41" i="3479" a="1"/>
  <c r="AC41" i="3479" s="1"/>
  <c r="AD41" i="3479" s="1" a="1"/>
  <c r="AD41" i="3479" s="1"/>
  <c r="AB41" i="3479" a="1"/>
  <c r="AB41" i="3479" s="1"/>
  <c r="ES29" i="3479" a="1"/>
  <c r="ES29" i="3479" s="1"/>
  <c r="ET29" i="3479" s="1" a="1"/>
  <c r="ET29" i="3479" s="1"/>
  <c r="ER29" i="3479" a="1"/>
  <c r="ER29" i="3479" s="1"/>
  <c r="EU29" i="3479" s="1" a="1"/>
  <c r="EU29" i="3479" s="1"/>
  <c r="EV29" i="3479" s="1" a="1"/>
  <c r="EV29" i="3479" s="1"/>
  <c r="CZ42" i="3479" a="1"/>
  <c r="CZ42" i="3479" s="1"/>
  <c r="DA42" i="3479" s="1" a="1"/>
  <c r="DA42" i="3479" s="1"/>
  <c r="CY42" i="3479" a="1"/>
  <c r="CY42" i="3479" s="1"/>
  <c r="DB42" i="3479" s="1" a="1"/>
  <c r="DB42" i="3479" s="1"/>
  <c r="DC42" i="3479" s="1" a="1"/>
  <c r="DC42" i="3479" s="1"/>
  <c r="CZ62" i="3479" a="1"/>
  <c r="CZ62" i="3479" s="1"/>
  <c r="DA62" i="3479" s="1" a="1"/>
  <c r="DA62" i="3479" s="1"/>
  <c r="CY62" i="3479" a="1"/>
  <c r="CY62" i="3479" s="1"/>
  <c r="DB62" i="3479" s="1" a="1"/>
  <c r="DB62" i="3479" s="1"/>
  <c r="DC62" i="3479" s="1" a="1"/>
  <c r="DC62" i="3479" s="1"/>
  <c r="K52" i="3560"/>
  <c r="J52" i="3560"/>
  <c r="P52" i="3560" s="1" a="1"/>
  <c r="P52" i="3560" s="1"/>
  <c r="L52" i="3560"/>
  <c r="I52" i="3560"/>
  <c r="O52" i="3560" s="1" a="1"/>
  <c r="O52" i="3560" s="1"/>
  <c r="J35" i="3560"/>
  <c r="P35" i="3560" s="1" a="1"/>
  <c r="P35" i="3560" s="1"/>
  <c r="L35" i="3560"/>
  <c r="K35" i="3560"/>
  <c r="I35" i="3560"/>
  <c r="O35" i="3560" s="1" a="1"/>
  <c r="O35" i="3560" s="1"/>
  <c r="D28" i="3560"/>
  <c r="A28" i="3560"/>
  <c r="A55" i="3560"/>
  <c r="D55" i="3560"/>
  <c r="L75" i="3445"/>
  <c r="M75" i="3445" s="1"/>
  <c r="H56" i="3436" s="1"/>
  <c r="O75" i="3445"/>
  <c r="L40" i="3560"/>
  <c r="J40" i="3560"/>
  <c r="I40" i="3560"/>
  <c r="K40" i="3560"/>
  <c r="O98" i="3445"/>
  <c r="N93" i="3445" a="1"/>
  <c r="N93" i="3445" s="1"/>
  <c r="J66" i="3445" a="1"/>
  <c r="J66" i="3445" s="1"/>
  <c r="P66" i="3445" s="1"/>
  <c r="Q66" i="3445" s="1"/>
  <c r="L57" i="3445"/>
  <c r="M57" i="3445" s="1"/>
  <c r="H38" i="3436" s="1"/>
  <c r="O57" i="3445"/>
  <c r="A57" i="3445"/>
  <c r="L51" i="3445"/>
  <c r="M51" i="3445" s="1"/>
  <c r="H32" i="3436" s="1"/>
  <c r="A51" i="3445"/>
  <c r="N47" i="3479" a="1"/>
  <c r="N47" i="3479" s="1"/>
  <c r="O47" i="3479" s="1" a="1"/>
  <c r="O47" i="3479" s="1"/>
  <c r="M47" i="3479" a="1"/>
  <c r="M47" i="3479" s="1"/>
  <c r="EC43" i="3479" a="1"/>
  <c r="EC43" i="3479" s="1"/>
  <c r="EF43" i="3479" s="1" a="1"/>
  <c r="EF43" i="3479" s="1"/>
  <c r="EG43" i="3479" s="1" a="1"/>
  <c r="EG43" i="3479" s="1"/>
  <c r="ED43" i="3479" a="1"/>
  <c r="ED43" i="3479" s="1"/>
  <c r="EE43" i="3479" s="1" a="1"/>
  <c r="EE43" i="3479" s="1"/>
  <c r="ED57" i="3479" a="1"/>
  <c r="ED57" i="3479" s="1"/>
  <c r="EE57" i="3479" s="1" a="1"/>
  <c r="EE57" i="3479" s="1"/>
  <c r="EC57" i="3479" a="1"/>
  <c r="EC57" i="3479" s="1"/>
  <c r="EF57" i="3479" s="1" a="1"/>
  <c r="EF57" i="3479" s="1"/>
  <c r="EG57" i="3479" s="1" a="1"/>
  <c r="EG57" i="3479" s="1"/>
  <c r="AQ61" i="3479" a="1"/>
  <c r="AQ61" i="3479" s="1"/>
  <c r="AR61" i="3479" a="1"/>
  <c r="AR61" i="3479" s="1"/>
  <c r="AS61" i="3479" s="1" a="1"/>
  <c r="AS61" i="3479" s="1"/>
  <c r="ED52" i="3479" a="1"/>
  <c r="ED52" i="3479" s="1"/>
  <c r="EE52" i="3479" s="1" a="1"/>
  <c r="EE52" i="3479" s="1"/>
  <c r="EC52" i="3479" a="1"/>
  <c r="EC52" i="3479" s="1"/>
  <c r="EF52" i="3479" s="1" a="1"/>
  <c r="EF52" i="3479" s="1"/>
  <c r="EG52" i="3479" s="1" a="1"/>
  <c r="EG52" i="3479" s="1"/>
  <c r="BU45" i="3479" a="1"/>
  <c r="BU45" i="3479" s="1"/>
  <c r="BV45" i="3479" a="1"/>
  <c r="BV45" i="3479" s="1"/>
  <c r="BW45" i="3479" s="1" a="1"/>
  <c r="BW45" i="3479" s="1"/>
  <c r="CK22" i="3479" a="1"/>
  <c r="CK22" i="3479" s="1"/>
  <c r="CL22" i="3479" s="1" a="1"/>
  <c r="CL22" i="3479" s="1"/>
  <c r="CJ22" i="3479" a="1"/>
  <c r="CJ22" i="3479" s="1"/>
  <c r="CK58" i="3479" a="1"/>
  <c r="CK58" i="3479" s="1"/>
  <c r="CL58" i="3479" s="1" a="1"/>
  <c r="CL58" i="3479" s="1"/>
  <c r="CJ58" i="3479" a="1"/>
  <c r="CJ58" i="3479" s="1"/>
  <c r="BG41" i="3479" a="1"/>
  <c r="BG41" i="3479" s="1"/>
  <c r="BH41" i="3479" s="1" a="1"/>
  <c r="BH41" i="3479" s="1"/>
  <c r="BF41" i="3479" a="1"/>
  <c r="BF41" i="3479" s="1"/>
  <c r="BG52" i="3479" a="1"/>
  <c r="BG52" i="3479" s="1"/>
  <c r="BH52" i="3479" s="1" a="1"/>
  <c r="BH52" i="3479" s="1"/>
  <c r="BF52" i="3479" a="1"/>
  <c r="BF52" i="3479" s="1"/>
  <c r="ES22" i="3479" a="1"/>
  <c r="ES22" i="3479" s="1"/>
  <c r="ET22" i="3479" s="1" a="1"/>
  <c r="ET22" i="3479" s="1"/>
  <c r="ER22" i="3479" a="1"/>
  <c r="ER22" i="3479" s="1"/>
  <c r="EU22" i="3479" s="1" a="1"/>
  <c r="EU22" i="3479" s="1"/>
  <c r="EV22" i="3479" s="1" a="1"/>
  <c r="EV22" i="3479" s="1"/>
  <c r="ES69" i="3479" a="1"/>
  <c r="ES69" i="3479" s="1"/>
  <c r="ET69" i="3479" s="1" a="1"/>
  <c r="ET69" i="3479" s="1"/>
  <c r="ER69" i="3479" a="1"/>
  <c r="ER69" i="3479" s="1"/>
  <c r="EU69" i="3479" s="1" a="1"/>
  <c r="EU69" i="3479" s="1"/>
  <c r="EV69" i="3479" s="1" a="1"/>
  <c r="EV69" i="3479" s="1"/>
  <c r="DN50" i="3479" a="1"/>
  <c r="DN50" i="3479" s="1"/>
  <c r="DQ50" i="3479" s="1" a="1"/>
  <c r="DQ50" i="3479" s="1"/>
  <c r="DR50" i="3479" s="1" a="1"/>
  <c r="DR50" i="3479" s="1"/>
  <c r="DO50" i="3479" a="1"/>
  <c r="DO50" i="3479" s="1"/>
  <c r="DP50" i="3479" s="1" a="1"/>
  <c r="DP50" i="3479" s="1"/>
  <c r="DO68" i="3479" a="1"/>
  <c r="DO68" i="3479" s="1"/>
  <c r="DP68" i="3479" s="1" a="1"/>
  <c r="DP68" i="3479" s="1"/>
  <c r="DN68" i="3479" a="1"/>
  <c r="DN68" i="3479" s="1"/>
  <c r="DQ68" i="3479" s="1" a="1"/>
  <c r="DQ68" i="3479" s="1"/>
  <c r="DR68" i="3479" s="1" a="1"/>
  <c r="DR68" i="3479" s="1"/>
  <c r="AC40" i="3479" a="1"/>
  <c r="AC40" i="3479" s="1"/>
  <c r="AD40" i="3479" s="1" a="1"/>
  <c r="AD40" i="3479" s="1"/>
  <c r="AB40" i="3479" a="1"/>
  <c r="AB40" i="3479" s="1"/>
  <c r="AC51" i="3479" a="1"/>
  <c r="AC51" i="3479" s="1"/>
  <c r="AD51" i="3479" s="1" a="1"/>
  <c r="AD51" i="3479" s="1"/>
  <c r="AB51" i="3479" a="1"/>
  <c r="AB51" i="3479" s="1"/>
  <c r="L68" i="3560"/>
  <c r="K68" i="3560"/>
  <c r="J68" i="3560"/>
  <c r="P68" i="3560" s="1" a="1"/>
  <c r="P68" i="3560" s="1"/>
  <c r="I68" i="3560"/>
  <c r="O68" i="3560" s="1" a="1"/>
  <c r="O68" i="3560" s="1"/>
  <c r="CZ47" i="3479" a="1"/>
  <c r="CZ47" i="3479" s="1"/>
  <c r="DA47" i="3479" s="1" a="1"/>
  <c r="DA47" i="3479" s="1"/>
  <c r="CY47" i="3479" a="1"/>
  <c r="CY47" i="3479" s="1"/>
  <c r="DB47" i="3479" s="1" a="1"/>
  <c r="DB47" i="3479" s="1"/>
  <c r="DC47" i="3479" s="1" a="1"/>
  <c r="DC47" i="3479" s="1"/>
  <c r="CZ71" i="3479" a="1"/>
  <c r="CZ71" i="3479" s="1"/>
  <c r="DA71" i="3479" s="1" a="1"/>
  <c r="DA71" i="3479" s="1"/>
  <c r="CY71" i="3479" a="1"/>
  <c r="CY71" i="3479" s="1"/>
  <c r="DB71" i="3479" s="1" a="1"/>
  <c r="DB71" i="3479" s="1"/>
  <c r="DC71" i="3479" s="1" a="1"/>
  <c r="DC71" i="3479" s="1"/>
  <c r="AE34" i="3479" a="1"/>
  <c r="AE34" i="3479" s="1"/>
  <c r="AF34" i="3479" s="1" a="1"/>
  <c r="AF34" i="3479" s="1"/>
  <c r="K28" i="3560"/>
  <c r="L28" i="3560"/>
  <c r="J28" i="3560"/>
  <c r="I28" i="3560"/>
  <c r="I89" i="3445" a="1"/>
  <c r="I89" i="3445" s="1"/>
  <c r="O89" i="3445" s="1"/>
  <c r="L80" i="3445"/>
  <c r="M80" i="3445" s="1"/>
  <c r="H61" i="3436" s="1"/>
  <c r="N80" i="3445" a="1"/>
  <c r="N80" i="3445" s="1"/>
  <c r="A80" i="3445"/>
  <c r="O80" i="3445"/>
  <c r="A76" i="3445"/>
  <c r="Q45" i="3445"/>
  <c r="O59" i="3445"/>
  <c r="BD45" i="3444" a="1"/>
  <c r="BD45" i="3444" s="1"/>
  <c r="AR45" i="3444" a="1"/>
  <c r="AR45" i="3444" s="1"/>
  <c r="AF45" i="3444" a="1"/>
  <c r="AF45" i="3444" s="1"/>
  <c r="T45" i="3444" a="1"/>
  <c r="T45" i="3444" s="1"/>
  <c r="BC45" i="3444" a="1"/>
  <c r="BC45" i="3444" s="1"/>
  <c r="AQ45" i="3444" a="1"/>
  <c r="AQ45" i="3444" s="1"/>
  <c r="AE45" i="3444" a="1"/>
  <c r="AE45" i="3444" s="1"/>
  <c r="S45" i="3444" a="1"/>
  <c r="S45" i="3444" s="1"/>
  <c r="AV45" i="3444" a="1"/>
  <c r="AV45" i="3444" s="1"/>
  <c r="Q45" i="3444" a="1"/>
  <c r="Q45" i="3444" s="1"/>
  <c r="AG45" i="3444" a="1"/>
  <c r="AG45" i="3444" s="1"/>
  <c r="P45" i="3444" a="1"/>
  <c r="P45" i="3444" s="1"/>
  <c r="AU45" i="3444" a="1"/>
  <c r="AU45" i="3444" s="1"/>
  <c r="AT45" i="3444" a="1"/>
  <c r="AT45" i="3444" s="1"/>
  <c r="BH45" i="3444" a="1"/>
  <c r="BH45" i="3444" s="1"/>
  <c r="AC45" i="3444" a="1"/>
  <c r="AC45" i="3444" s="1"/>
  <c r="N45" i="3444" a="1"/>
  <c r="N45" i="3444" s="1"/>
  <c r="AS45" i="3444" a="1"/>
  <c r="AS45" i="3444" s="1"/>
  <c r="AB45" i="3444" a="1"/>
  <c r="AB45" i="3444" s="1"/>
  <c r="BB45" i="3444" a="1"/>
  <c r="BB45" i="3444" s="1"/>
  <c r="AM45" i="3444" a="1"/>
  <c r="AM45" i="3444" s="1"/>
  <c r="X45" i="3444" a="1"/>
  <c r="X45" i="3444" s="1"/>
  <c r="BA45" i="3444" a="1"/>
  <c r="BA45" i="3444" s="1"/>
  <c r="AL45" i="3444" a="1"/>
  <c r="AL45" i="3444" s="1"/>
  <c r="AW45" i="3444" a="1"/>
  <c r="AW45" i="3444" s="1"/>
  <c r="R45" i="3444" a="1"/>
  <c r="R45" i="3444" s="1"/>
  <c r="AH45" i="3444" a="1"/>
  <c r="AH45" i="3444" s="1"/>
  <c r="U45" i="3444" a="1"/>
  <c r="U45" i="3444" s="1"/>
  <c r="AP45" i="3444" a="1"/>
  <c r="AP45" i="3444" s="1"/>
  <c r="O45" i="3444" a="1"/>
  <c r="O45" i="3444" s="1"/>
  <c r="AO45" i="3444" a="1"/>
  <c r="AO45" i="3444" s="1"/>
  <c r="M45" i="3444" a="1"/>
  <c r="M45" i="3444" s="1"/>
  <c r="AN45" i="3444" a="1"/>
  <c r="AN45" i="3444" s="1"/>
  <c r="L45" i="3444" a="1"/>
  <c r="L45" i="3444" s="1"/>
  <c r="AK45" i="3444" a="1"/>
  <c r="AK45" i="3444" s="1"/>
  <c r="K45" i="3444" a="1"/>
  <c r="K45" i="3444" s="1"/>
  <c r="AJ45" i="3444" a="1"/>
  <c r="AJ45" i="3444" s="1"/>
  <c r="BG45" i="3444" a="1"/>
  <c r="BG45" i="3444" s="1"/>
  <c r="AI45" i="3444" a="1"/>
  <c r="AI45" i="3444" s="1"/>
  <c r="AD45" i="3444" a="1"/>
  <c r="AD45" i="3444" s="1"/>
  <c r="BF45" i="3444" a="1"/>
  <c r="BF45" i="3444" s="1"/>
  <c r="AA45" i="3444" a="1"/>
  <c r="AA45" i="3444" s="1"/>
  <c r="AX45" i="3444" a="1"/>
  <c r="AX45" i="3444" s="1"/>
  <c r="V45" i="3444" a="1"/>
  <c r="V45" i="3444" s="1"/>
  <c r="AZ45" i="3444" a="1"/>
  <c r="AZ45" i="3444" s="1"/>
  <c r="AY45" i="3444" a="1"/>
  <c r="AY45" i="3444" s="1"/>
  <c r="W45" i="3444" a="1"/>
  <c r="W45" i="3444" s="1"/>
  <c r="BE45" i="3444" a="1"/>
  <c r="BE45" i="3444" s="1"/>
  <c r="Y45" i="3444" a="1"/>
  <c r="Y45" i="3444" s="1"/>
  <c r="Z45" i="3444" a="1"/>
  <c r="Z45" i="3444" s="1"/>
  <c r="BD53" i="3444" a="1"/>
  <c r="BD53" i="3444" s="1"/>
  <c r="AR53" i="3444" a="1"/>
  <c r="AR53" i="3444" s="1"/>
  <c r="AF53" i="3444" a="1"/>
  <c r="AF53" i="3444" s="1"/>
  <c r="T53" i="3444" a="1"/>
  <c r="T53" i="3444" s="1"/>
  <c r="AP53" i="3444" a="1"/>
  <c r="AP53" i="3444" s="1"/>
  <c r="AA53" i="3444" a="1"/>
  <c r="AA53" i="3444" s="1"/>
  <c r="BF53" i="3444" a="1"/>
  <c r="BF53" i="3444" s="1"/>
  <c r="L53" i="3444" a="1"/>
  <c r="L53" i="3444" s="1"/>
  <c r="AO53" i="3444" a="1"/>
  <c r="AO53" i="3444" s="1"/>
  <c r="Z53" i="3444" a="1"/>
  <c r="Z53" i="3444" s="1"/>
  <c r="BE53" i="3444" a="1"/>
  <c r="BE53" i="3444" s="1"/>
  <c r="K53" i="3444" a="1"/>
  <c r="K53" i="3444" s="1"/>
  <c r="W53" i="3444" a="1"/>
  <c r="W53" i="3444" s="1"/>
  <c r="AW53" i="3444" a="1"/>
  <c r="AW53" i="3444" s="1"/>
  <c r="R53" i="3444" a="1"/>
  <c r="R53" i="3444" s="1"/>
  <c r="AV53" i="3444" a="1"/>
  <c r="AV53" i="3444" s="1"/>
  <c r="Q53" i="3444" a="1"/>
  <c r="Q53" i="3444" s="1"/>
  <c r="X53" i="3444" a="1"/>
  <c r="X53" i="3444" s="1"/>
  <c r="AT53" i="3444" a="1"/>
  <c r="AT53" i="3444" s="1"/>
  <c r="AS53" i="3444" a="1"/>
  <c r="AS53" i="3444" s="1"/>
  <c r="V53" i="3444" a="1"/>
  <c r="V53" i="3444" s="1"/>
  <c r="AQ53" i="3444" a="1"/>
  <c r="AQ53" i="3444" s="1"/>
  <c r="AN53" i="3444" a="1"/>
  <c r="AN53" i="3444" s="1"/>
  <c r="U53" i="3444" a="1"/>
  <c r="U53" i="3444" s="1"/>
  <c r="AM53" i="3444" a="1"/>
  <c r="AM53" i="3444" s="1"/>
  <c r="S53" i="3444" a="1"/>
  <c r="S53" i="3444" s="1"/>
  <c r="BG53" i="3444" a="1"/>
  <c r="BG53" i="3444" s="1"/>
  <c r="AJ53" i="3444" a="1"/>
  <c r="AJ53" i="3444" s="1"/>
  <c r="BC53" i="3444" a="1"/>
  <c r="BC53" i="3444" s="1"/>
  <c r="N53" i="3444" a="1"/>
  <c r="N53" i="3444" s="1"/>
  <c r="BB53" i="3444" a="1"/>
  <c r="BB53" i="3444" s="1"/>
  <c r="AI53" i="3444" a="1"/>
  <c r="AI53" i="3444" s="1"/>
  <c r="AH53" i="3444" a="1"/>
  <c r="AH53" i="3444" s="1"/>
  <c r="M53" i="3444" a="1"/>
  <c r="M53" i="3444" s="1"/>
  <c r="BA53" i="3444" a="1"/>
  <c r="BA53" i="3444" s="1"/>
  <c r="AG53" i="3444" a="1"/>
  <c r="AG53" i="3444" s="1"/>
  <c r="AY53" i="3444" a="1"/>
  <c r="AY53" i="3444" s="1"/>
  <c r="AD53" i="3444" a="1"/>
  <c r="AD53" i="3444" s="1"/>
  <c r="Y53" i="3444" a="1"/>
  <c r="Y53" i="3444" s="1"/>
  <c r="AU53" i="3444" a="1"/>
  <c r="AU53" i="3444" s="1"/>
  <c r="AZ53" i="3444" a="1"/>
  <c r="AZ53" i="3444" s="1"/>
  <c r="AX53" i="3444" a="1"/>
  <c r="AX53" i="3444" s="1"/>
  <c r="AL53" i="3444" a="1"/>
  <c r="AL53" i="3444" s="1"/>
  <c r="AK53" i="3444" a="1"/>
  <c r="AK53" i="3444" s="1"/>
  <c r="AE53" i="3444" a="1"/>
  <c r="AE53" i="3444" s="1"/>
  <c r="AC53" i="3444" a="1"/>
  <c r="AC53" i="3444" s="1"/>
  <c r="AB53" i="3444" a="1"/>
  <c r="AB53" i="3444" s="1"/>
  <c r="P53" i="3444" a="1"/>
  <c r="P53" i="3444" s="1"/>
  <c r="BH53" i="3444" a="1"/>
  <c r="BH53" i="3444" s="1"/>
  <c r="O53" i="3444" a="1"/>
  <c r="O53" i="3444" s="1"/>
  <c r="A30" i="3444"/>
  <c r="BI89" i="3489" a="1"/>
  <c r="BI89" i="3489" s="1"/>
  <c r="BH89" i="3489" a="1"/>
  <c r="BH89" i="3489" s="1"/>
  <c r="AS89" i="3489" a="1"/>
  <c r="AS89" i="3489" s="1"/>
  <c r="AJ89" i="3489" a="1"/>
  <c r="AJ89" i="3489" s="1"/>
  <c r="AG89" i="3489" a="1"/>
  <c r="AG89" i="3489" s="1"/>
  <c r="R89" i="3489" a="1"/>
  <c r="R89" i="3489" s="1"/>
  <c r="BH92" i="3489" a="1"/>
  <c r="BH92" i="3489" s="1"/>
  <c r="AC92" i="3489" a="1"/>
  <c r="AC92" i="3489" s="1"/>
  <c r="AX68" i="3489" a="1"/>
  <c r="AX68" i="3489" s="1"/>
  <c r="AK68" i="3489" a="1"/>
  <c r="AK68" i="3489" s="1"/>
  <c r="X68" i="3489" a="1"/>
  <c r="X68" i="3489" s="1"/>
  <c r="W68" i="3489" a="1"/>
  <c r="W68" i="3489" s="1"/>
  <c r="AI68" i="3489" a="1"/>
  <c r="AI68" i="3489" s="1"/>
  <c r="AU68" i="3489" a="1"/>
  <c r="AU68" i="3489" s="1"/>
  <c r="BC68" i="3489" a="1"/>
  <c r="BC68" i="3489" s="1"/>
  <c r="AP68" i="3489" a="1"/>
  <c r="AP68" i="3489" s="1"/>
  <c r="AC68" i="3489" a="1"/>
  <c r="AC68" i="3489" s="1"/>
  <c r="P68" i="3489" a="1"/>
  <c r="P68" i="3489" s="1"/>
  <c r="Y68" i="3489" a="1"/>
  <c r="Y68" i="3489" s="1"/>
  <c r="BD68" i="3489" a="1"/>
  <c r="BD68" i="3489" s="1"/>
  <c r="AN68" i="3489" a="1"/>
  <c r="AN68" i="3489" s="1"/>
  <c r="V68" i="3489" a="1"/>
  <c r="V68" i="3489" s="1"/>
  <c r="AM68" i="3489" a="1"/>
  <c r="AM68" i="3489" s="1"/>
  <c r="U68" i="3489" a="1"/>
  <c r="U68" i="3489" s="1"/>
  <c r="BB68" i="3489" a="1"/>
  <c r="BB68" i="3489" s="1"/>
  <c r="T68" i="3489" a="1"/>
  <c r="T68" i="3489" s="1"/>
  <c r="AL68" i="3489" a="1"/>
  <c r="AL68" i="3489" s="1"/>
  <c r="B68" i="3489"/>
  <c r="BA68" i="3489" a="1"/>
  <c r="BA68" i="3489" s="1"/>
  <c r="S68" i="3489" a="1"/>
  <c r="S68" i="3489" s="1"/>
  <c r="AJ68" i="3489" a="1"/>
  <c r="AJ68" i="3489" s="1"/>
  <c r="AZ68" i="3489" a="1"/>
  <c r="AZ68" i="3489" s="1"/>
  <c r="AH68" i="3489" a="1"/>
  <c r="AH68" i="3489" s="1"/>
  <c r="R68" i="3489" a="1"/>
  <c r="R68" i="3489" s="1"/>
  <c r="AW68" i="3489" a="1"/>
  <c r="AW68" i="3489" s="1"/>
  <c r="AV68" i="3489" a="1"/>
  <c r="AV68" i="3489" s="1"/>
  <c r="AE68" i="3489" a="1"/>
  <c r="AE68" i="3489" s="1"/>
  <c r="O68" i="3489" a="1"/>
  <c r="O68" i="3489" s="1"/>
  <c r="AT68" i="3489" a="1"/>
  <c r="AT68" i="3489" s="1"/>
  <c r="AS68" i="3489" a="1"/>
  <c r="AS68" i="3489" s="1"/>
  <c r="Z68" i="3489" a="1"/>
  <c r="Z68" i="3489" s="1"/>
  <c r="AB68" i="3489" a="1"/>
  <c r="AB68" i="3489" s="1"/>
  <c r="AA68" i="3489" a="1"/>
  <c r="AA68" i="3489" s="1"/>
  <c r="BI68" i="3489" a="1"/>
  <c r="BI68" i="3489" s="1"/>
  <c r="BG68" i="3489" a="1"/>
  <c r="BG68" i="3489" s="1"/>
  <c r="Q68" i="3489" a="1"/>
  <c r="Q68" i="3489" s="1"/>
  <c r="BF68" i="3489" a="1"/>
  <c r="BF68" i="3489" s="1"/>
  <c r="AY68" i="3489" a="1"/>
  <c r="AY68" i="3489" s="1"/>
  <c r="M68" i="3489" a="1"/>
  <c r="M68" i="3489" s="1"/>
  <c r="L68" i="3489" a="1"/>
  <c r="L68" i="3489" s="1"/>
  <c r="K68" i="3489" a="1"/>
  <c r="K68" i="3489" s="1"/>
  <c r="AR68" i="3489" a="1"/>
  <c r="AR68" i="3489" s="1"/>
  <c r="AQ68" i="3489" a="1"/>
  <c r="AQ68" i="3489" s="1"/>
  <c r="AF68" i="3489" a="1"/>
  <c r="AF68" i="3489" s="1"/>
  <c r="AG68" i="3489" a="1"/>
  <c r="AG68" i="3489" s="1"/>
  <c r="BH68" i="3489" a="1"/>
  <c r="BH68" i="3489" s="1"/>
  <c r="AO68" i="3489" a="1"/>
  <c r="AO68" i="3489" s="1"/>
  <c r="AD68" i="3489" a="1"/>
  <c r="AD68" i="3489" s="1"/>
  <c r="N68" i="3489" a="1"/>
  <c r="N68" i="3489" s="1"/>
  <c r="BE68" i="3489" a="1"/>
  <c r="BE68" i="3489" s="1"/>
  <c r="AF52" i="3489" a="1"/>
  <c r="AF52" i="3489" s="1"/>
  <c r="L52" i="3489" a="1"/>
  <c r="L52" i="3489" s="1"/>
  <c r="P52" i="3489" a="1"/>
  <c r="P52" i="3489" s="1"/>
  <c r="BB58" i="3489" a="1"/>
  <c r="BB58" i="3489" s="1"/>
  <c r="AP58" i="3489" a="1"/>
  <c r="AP58" i="3489" s="1"/>
  <c r="AD58" i="3489" a="1"/>
  <c r="AD58" i="3489" s="1"/>
  <c r="R58" i="3489" a="1"/>
  <c r="R58" i="3489" s="1"/>
  <c r="BI58" i="3489" a="1"/>
  <c r="BI58" i="3489" s="1"/>
  <c r="AJ58" i="3489" a="1"/>
  <c r="AJ58" i="3489" s="1"/>
  <c r="K58" i="3489" a="1"/>
  <c r="K58" i="3489" s="1"/>
  <c r="AV58" i="3489" a="1"/>
  <c r="AV58" i="3489" s="1"/>
  <c r="W58" i="3489" a="1"/>
  <c r="W58" i="3489" s="1"/>
  <c r="BH58" i="3489" a="1"/>
  <c r="BH58" i="3489" s="1"/>
  <c r="AI58" i="3489" a="1"/>
  <c r="AI58" i="3489" s="1"/>
  <c r="AU58" i="3489" a="1"/>
  <c r="AU58" i="3489" s="1"/>
  <c r="V58" i="3489" a="1"/>
  <c r="V58" i="3489" s="1"/>
  <c r="BG58" i="3489" a="1"/>
  <c r="BG58" i="3489" s="1"/>
  <c r="AT58" i="3489" a="1"/>
  <c r="AT58" i="3489" s="1"/>
  <c r="U58" i="3489" a="1"/>
  <c r="U58" i="3489" s="1"/>
  <c r="AC58" i="3489" a="1"/>
  <c r="AC58" i="3489" s="1"/>
  <c r="B58" i="3489"/>
  <c r="AO58" i="3489" a="1"/>
  <c r="AO58" i="3489" s="1"/>
  <c r="P58" i="3489" a="1"/>
  <c r="P58" i="3489" s="1"/>
  <c r="AN58" i="3489" a="1"/>
  <c r="AN58" i="3489" s="1"/>
  <c r="O58" i="3489" a="1"/>
  <c r="O58" i="3489" s="1"/>
  <c r="AK58" i="3489" a="1"/>
  <c r="AK58" i="3489" s="1"/>
  <c r="L58" i="3489" a="1"/>
  <c r="L58" i="3489" s="1"/>
  <c r="BA58" i="3489" a="1"/>
  <c r="BA58" i="3489" s="1"/>
  <c r="AZ58" i="3489" a="1"/>
  <c r="AZ58" i="3489" s="1"/>
  <c r="AF58" i="3489" a="1"/>
  <c r="AF58" i="3489" s="1"/>
  <c r="M58" i="3489" a="1"/>
  <c r="M58" i="3489" s="1"/>
  <c r="AY58" i="3489" a="1"/>
  <c r="AY58" i="3489" s="1"/>
  <c r="AE58" i="3489" a="1"/>
  <c r="AE58" i="3489" s="1"/>
  <c r="AX58" i="3489" a="1"/>
  <c r="AX58" i="3489" s="1"/>
  <c r="AA58" i="3489" a="1"/>
  <c r="AA58" i="3489" s="1"/>
  <c r="AR58" i="3489" a="1"/>
  <c r="AR58" i="3489" s="1"/>
  <c r="Y58" i="3489" a="1"/>
  <c r="Y58" i="3489" s="1"/>
  <c r="X58" i="3489" a="1"/>
  <c r="X58" i="3489" s="1"/>
  <c r="AQ58" i="3489" a="1"/>
  <c r="AQ58" i="3489" s="1"/>
  <c r="T58" i="3489" a="1"/>
  <c r="T58" i="3489" s="1"/>
  <c r="BF58" i="3489" a="1"/>
  <c r="BF58" i="3489" s="1"/>
  <c r="AM58" i="3489" a="1"/>
  <c r="AM58" i="3489" s="1"/>
  <c r="S58" i="3489" a="1"/>
  <c r="S58" i="3489" s="1"/>
  <c r="AH58" i="3489" a="1"/>
  <c r="AH58" i="3489" s="1"/>
  <c r="AB58" i="3489" a="1"/>
  <c r="AB58" i="3489" s="1"/>
  <c r="Z58" i="3489" a="1"/>
  <c r="Z58" i="3489" s="1"/>
  <c r="Q58" i="3489" a="1"/>
  <c r="Q58" i="3489" s="1"/>
  <c r="N58" i="3489" a="1"/>
  <c r="N58" i="3489" s="1"/>
  <c r="BC58" i="3489" a="1"/>
  <c r="BC58" i="3489" s="1"/>
  <c r="AW58" i="3489" a="1"/>
  <c r="AW58" i="3489" s="1"/>
  <c r="BE58" i="3489" a="1"/>
  <c r="BE58" i="3489" s="1"/>
  <c r="AL58" i="3489" a="1"/>
  <c r="AL58" i="3489" s="1"/>
  <c r="AG58" i="3489" a="1"/>
  <c r="AG58" i="3489" s="1"/>
  <c r="BD58" i="3489" a="1"/>
  <c r="BD58" i="3489" s="1"/>
  <c r="AS58" i="3489" a="1"/>
  <c r="AS58" i="3489" s="1"/>
  <c r="AY30" i="3489" a="1"/>
  <c r="AY30" i="3489" s="1"/>
  <c r="AL30" i="3489" a="1"/>
  <c r="AL30" i="3489" s="1"/>
  <c r="Y30" i="3489" a="1"/>
  <c r="Y30" i="3489" s="1"/>
  <c r="L30" i="3489" a="1"/>
  <c r="L30" i="3489" s="1"/>
  <c r="AX30" i="3489" a="1"/>
  <c r="AX30" i="3489" s="1"/>
  <c r="AK30" i="3489" a="1"/>
  <c r="AK30" i="3489" s="1"/>
  <c r="X30" i="3489" a="1"/>
  <c r="X30" i="3489" s="1"/>
  <c r="K30" i="3489" a="1"/>
  <c r="K30" i="3489" s="1"/>
  <c r="AW30" i="3489" a="1"/>
  <c r="AW30" i="3489" s="1"/>
  <c r="AJ30" i="3489" a="1"/>
  <c r="AJ30" i="3489" s="1"/>
  <c r="W30" i="3489" a="1"/>
  <c r="W30" i="3489" s="1"/>
  <c r="BD30" i="3489" a="1"/>
  <c r="BD30" i="3489" s="1"/>
  <c r="AQ30" i="3489" a="1"/>
  <c r="AQ30" i="3489" s="1"/>
  <c r="AD30" i="3489" a="1"/>
  <c r="AD30" i="3489" s="1"/>
  <c r="Q30" i="3489" a="1"/>
  <c r="Q30" i="3489" s="1"/>
  <c r="B30" i="3489"/>
  <c r="AM30" i="3489" a="1"/>
  <c r="AM30" i="3489" s="1"/>
  <c r="S30" i="3489" a="1"/>
  <c r="S30" i="3489" s="1"/>
  <c r="BC30" i="3489" a="1"/>
  <c r="BC30" i="3489" s="1"/>
  <c r="R30" i="3489" a="1"/>
  <c r="R30" i="3489" s="1"/>
  <c r="BB30" i="3489" a="1"/>
  <c r="BB30" i="3489" s="1"/>
  <c r="AI30" i="3489" a="1"/>
  <c r="AI30" i="3489" s="1"/>
  <c r="BA30" i="3489" a="1"/>
  <c r="BA30" i="3489" s="1"/>
  <c r="AG30" i="3489" a="1"/>
  <c r="AG30" i="3489" s="1"/>
  <c r="O30" i="3489" a="1"/>
  <c r="O30" i="3489" s="1"/>
  <c r="AZ30" i="3489" a="1"/>
  <c r="AZ30" i="3489" s="1"/>
  <c r="AE30" i="3489" a="1"/>
  <c r="AE30" i="3489" s="1"/>
  <c r="AR30" i="3489" a="1"/>
  <c r="AR30" i="3489" s="1"/>
  <c r="P30" i="3489" a="1"/>
  <c r="P30" i="3489" s="1"/>
  <c r="AP30" i="3489" a="1"/>
  <c r="AP30" i="3489" s="1"/>
  <c r="N30" i="3489" a="1"/>
  <c r="N30" i="3489" s="1"/>
  <c r="AO30" i="3489" a="1"/>
  <c r="AO30" i="3489" s="1"/>
  <c r="M30" i="3489" a="1"/>
  <c r="M30" i="3489" s="1"/>
  <c r="BG30" i="3489" a="1"/>
  <c r="BG30" i="3489" s="1"/>
  <c r="AB30" i="3489" a="1"/>
  <c r="AB30" i="3489" s="1"/>
  <c r="BE30" i="3489" a="1"/>
  <c r="BE30" i="3489" s="1"/>
  <c r="AA30" i="3489" a="1"/>
  <c r="AA30" i="3489" s="1"/>
  <c r="Z30" i="3489" a="1"/>
  <c r="Z30" i="3489" s="1"/>
  <c r="T30" i="3489" a="1"/>
  <c r="T30" i="3489" s="1"/>
  <c r="BI30" i="3489" a="1"/>
  <c r="BI30" i="3489" s="1"/>
  <c r="BH30" i="3489" a="1"/>
  <c r="BH30" i="3489" s="1"/>
  <c r="BF30" i="3489" a="1"/>
  <c r="BF30" i="3489" s="1"/>
  <c r="AV30" i="3489" a="1"/>
  <c r="AV30" i="3489" s="1"/>
  <c r="AU30" i="3489" a="1"/>
  <c r="AU30" i="3489" s="1"/>
  <c r="AT30" i="3489" a="1"/>
  <c r="AT30" i="3489" s="1"/>
  <c r="AS30" i="3489" a="1"/>
  <c r="AS30" i="3489" s="1"/>
  <c r="AN30" i="3489" a="1"/>
  <c r="AN30" i="3489" s="1"/>
  <c r="AH30" i="3489" a="1"/>
  <c r="AH30" i="3489" s="1"/>
  <c r="AF30" i="3489" a="1"/>
  <c r="AF30" i="3489" s="1"/>
  <c r="AC30" i="3489" a="1"/>
  <c r="AC30" i="3489" s="1"/>
  <c r="V30" i="3489" a="1"/>
  <c r="V30" i="3489" s="1"/>
  <c r="U30" i="3489" a="1"/>
  <c r="U30" i="3489" s="1"/>
  <c r="AZ29" i="3489" a="1"/>
  <c r="AZ29" i="3489" s="1"/>
  <c r="AW29" i="3489" a="1"/>
  <c r="AW29" i="3489" s="1"/>
  <c r="M74" i="3448"/>
  <c r="H66" i="3523" a="1"/>
  <c r="H66" i="3523" s="1"/>
  <c r="I66" i="3523" a="1"/>
  <c r="I66" i="3523" s="1"/>
  <c r="M16" i="3448"/>
  <c r="M18" i="3448"/>
  <c r="M69" i="3448"/>
  <c r="I53" i="3523" a="1"/>
  <c r="I53" i="3523" s="1"/>
  <c r="H53" i="3523" a="1"/>
  <c r="H53" i="3523" s="1"/>
  <c r="AE59" i="3480"/>
  <c r="AL109" i="3434" a="1"/>
  <c r="AL109" i="3434" s="1"/>
  <c r="AK109" i="3434" a="1"/>
  <c r="AK109" i="3434" s="1"/>
  <c r="AE81" i="3480"/>
  <c r="AK131" i="3434" a="1"/>
  <c r="AK131" i="3434" s="1"/>
  <c r="AL131" i="3434" a="1"/>
  <c r="AL131" i="3434" s="1"/>
  <c r="AE91" i="3480"/>
  <c r="AL141" i="3434" a="1"/>
  <c r="AL141" i="3434" s="1"/>
  <c r="AK141" i="3434" a="1"/>
  <c r="AK141" i="3434" s="1"/>
  <c r="V31" i="3436" a="1"/>
  <c r="V31" i="3436" s="1"/>
  <c r="G52" i="3436"/>
  <c r="U52" i="3436" s="1" a="1"/>
  <c r="U52" i="3436" s="1"/>
  <c r="J54" i="3444" s="1"/>
  <c r="AK112" i="3577" a="1"/>
  <c r="AK112" i="3577" s="1"/>
  <c r="AM112" i="3577" a="1"/>
  <c r="AM112" i="3577" s="1"/>
  <c r="AL112" i="3577" a="1"/>
  <c r="AL112" i="3577" s="1"/>
  <c r="AN112" i="3577" a="1"/>
  <c r="AN112" i="3577" s="1"/>
  <c r="G49" i="3448"/>
  <c r="AK100" i="3577" a="1"/>
  <c r="AK100" i="3577" s="1"/>
  <c r="AN100" i="3577" a="1"/>
  <c r="AN100" i="3577" s="1"/>
  <c r="AL100" i="3577" a="1"/>
  <c r="AL100" i="3577" s="1"/>
  <c r="AM100" i="3577" a="1"/>
  <c r="AM100" i="3577" s="1"/>
  <c r="G30" i="3436"/>
  <c r="I32" i="3444" s="1"/>
  <c r="BT15" i="3564"/>
  <c r="CA14" i="3564"/>
  <c r="D14" i="3561"/>
  <c r="B631" i="3449"/>
  <c r="B38" i="3434"/>
  <c r="C3" i="3434"/>
  <c r="BP14" i="3564"/>
  <c r="BW13" i="3564"/>
  <c r="G56" i="3518" a="1"/>
  <c r="G56" i="3518" s="1"/>
  <c r="F56" i="3518" a="1"/>
  <c r="F56" i="3518" s="1"/>
  <c r="O143" i="3528" a="1"/>
  <c r="O143" i="3528" s="1"/>
  <c r="O74" i="3528" a="1"/>
  <c r="O74" i="3528" s="1"/>
  <c r="O108" i="3528" a="1"/>
  <c r="O108" i="3528" s="1"/>
  <c r="G66" i="3528" a="1"/>
  <c r="G66" i="3528" s="1"/>
  <c r="G135" i="3528" a="1"/>
  <c r="G135" i="3528" s="1"/>
  <c r="G100" i="3528" a="1"/>
  <c r="G100" i="3528" s="1"/>
  <c r="G106" i="3528" a="1"/>
  <c r="G106" i="3528" s="1"/>
  <c r="G72" i="3528" a="1"/>
  <c r="G72" i="3528" s="1"/>
  <c r="G141" i="3528" a="1"/>
  <c r="G141" i="3528" s="1"/>
  <c r="AQ139" i="3528"/>
  <c r="AA139" i="3528"/>
  <c r="Q54" i="3528" a="1"/>
  <c r="Q54" i="3528" s="1"/>
  <c r="Q123" i="3528" a="1"/>
  <c r="Q123" i="3528" s="1"/>
  <c r="Q88" i="3528" a="1"/>
  <c r="Q88" i="3528" s="1"/>
  <c r="G89" i="3528" a="1"/>
  <c r="G89" i="3528" s="1"/>
  <c r="G55" i="3528" a="1"/>
  <c r="G55" i="3528" s="1"/>
  <c r="G124" i="3528" a="1"/>
  <c r="G124" i="3528" s="1"/>
  <c r="K128" i="3528" a="1"/>
  <c r="K128" i="3528" s="1"/>
  <c r="K93" i="3528" a="1"/>
  <c r="K93" i="3528" s="1"/>
  <c r="K59" i="3528" a="1"/>
  <c r="K59" i="3528" s="1"/>
  <c r="P70" i="3528" a="1"/>
  <c r="P70" i="3528" s="1"/>
  <c r="P139" i="3528" a="1"/>
  <c r="P139" i="3528" s="1"/>
  <c r="P104" i="3528" a="1"/>
  <c r="P104" i="3528" s="1"/>
  <c r="M122" i="3528" a="1"/>
  <c r="M122" i="3528" s="1"/>
  <c r="M87" i="3528" a="1"/>
  <c r="M87" i="3528" s="1"/>
  <c r="M53" i="3528" a="1"/>
  <c r="M53" i="3528" s="1"/>
  <c r="G137" i="3528" a="1"/>
  <c r="G137" i="3528" s="1"/>
  <c r="G102" i="3528" a="1"/>
  <c r="G102" i="3528" s="1"/>
  <c r="G68" i="3528" a="1"/>
  <c r="G68" i="3528" s="1"/>
  <c r="P131" i="3528" a="1"/>
  <c r="P131" i="3528" s="1"/>
  <c r="P96" i="3528" a="1"/>
  <c r="P96" i="3528" s="1"/>
  <c r="P62" i="3528" a="1"/>
  <c r="P62" i="3528" s="1"/>
  <c r="J137" i="3528" a="1"/>
  <c r="J137" i="3528" s="1"/>
  <c r="J68" i="3528" a="1"/>
  <c r="J68" i="3528" s="1"/>
  <c r="J102" i="3528" a="1"/>
  <c r="J102" i="3528" s="1"/>
  <c r="N140" i="3528" a="1"/>
  <c r="N140" i="3528" s="1"/>
  <c r="N71" i="3528" a="1"/>
  <c r="N71" i="3528" s="1"/>
  <c r="N105" i="3528" a="1"/>
  <c r="N105" i="3528" s="1"/>
  <c r="N133" i="3528" a="1"/>
  <c r="N133" i="3528" s="1"/>
  <c r="N64" i="3528" a="1"/>
  <c r="N64" i="3528" s="1"/>
  <c r="N98" i="3528" a="1"/>
  <c r="N98" i="3528" s="1"/>
  <c r="K97" i="3528" a="1"/>
  <c r="K97" i="3528" s="1"/>
  <c r="K132" i="3528" a="1"/>
  <c r="K132" i="3528" s="1"/>
  <c r="K63" i="3528" a="1"/>
  <c r="K63" i="3528" s="1"/>
  <c r="AN139" i="3528"/>
  <c r="X139" i="3528"/>
  <c r="E51" i="3528" a="1"/>
  <c r="E51" i="3528" s="1"/>
  <c r="E85" i="3528" a="1"/>
  <c r="E85" i="3528" s="1"/>
  <c r="E120" i="3528" a="1"/>
  <c r="E120" i="3528" s="1"/>
  <c r="E75" i="3528" a="1"/>
  <c r="E75" i="3528" s="1"/>
  <c r="E144" i="3528" a="1"/>
  <c r="E144" i="3528" s="1"/>
  <c r="E109" i="3528" a="1"/>
  <c r="E109" i="3528" s="1"/>
  <c r="K69" i="3528" a="1"/>
  <c r="K69" i="3528" s="1"/>
  <c r="K138" i="3528" a="1"/>
  <c r="K138" i="3528" s="1"/>
  <c r="K103" i="3528" a="1"/>
  <c r="K103" i="3528" s="1"/>
  <c r="F101" i="3528" a="1"/>
  <c r="F101" i="3528" s="1"/>
  <c r="F136" i="3528" a="1"/>
  <c r="F136" i="3528" s="1"/>
  <c r="F67" i="3528" a="1"/>
  <c r="F67" i="3528" s="1"/>
  <c r="P117" i="3528" a="1"/>
  <c r="P117" i="3528" s="1"/>
  <c r="P82" i="3528" a="1"/>
  <c r="P82" i="3528" s="1"/>
  <c r="P48" i="3528" a="1"/>
  <c r="P48" i="3528" s="1"/>
  <c r="AC66" i="3479" a="1"/>
  <c r="AC66" i="3479" s="1"/>
  <c r="AD66" i="3479" s="1" a="1"/>
  <c r="AD66" i="3479" s="1"/>
  <c r="AB66" i="3479" a="1"/>
  <c r="AB66" i="3479" s="1"/>
  <c r="G84" i="3448"/>
  <c r="BW84" i="3448" s="1"/>
  <c r="BP84" i="3448"/>
  <c r="BO84" i="3448"/>
  <c r="I44" i="3523" a="1"/>
  <c r="I44" i="3523" s="1"/>
  <c r="H44" i="3523" a="1"/>
  <c r="H44" i="3523" s="1"/>
  <c r="I43" i="3523" a="1"/>
  <c r="I43" i="3523" s="1"/>
  <c r="H43" i="3523" a="1"/>
  <c r="H43" i="3523" s="1"/>
  <c r="AE94" i="3480"/>
  <c r="AL144" i="3434" a="1"/>
  <c r="AL144" i="3434" s="1"/>
  <c r="AK144" i="3434" a="1"/>
  <c r="AK144" i="3434" s="1"/>
  <c r="AE90" i="3480"/>
  <c r="AL140" i="3434" a="1"/>
  <c r="AL140" i="3434" s="1"/>
  <c r="AK140" i="3434" a="1"/>
  <c r="AK140" i="3434" s="1"/>
  <c r="AM108" i="3577" a="1"/>
  <c r="AM108" i="3577" s="1"/>
  <c r="AL108" i="3577" a="1"/>
  <c r="AL108" i="3577" s="1"/>
  <c r="AK108" i="3577" a="1"/>
  <c r="AK108" i="3577" s="1"/>
  <c r="AN108" i="3577" a="1"/>
  <c r="AN108" i="3577" s="1"/>
  <c r="G69" i="3436"/>
  <c r="I71" i="3444" s="1"/>
  <c r="AN99" i="3577" a="1"/>
  <c r="AN99" i="3577" s="1"/>
  <c r="AK99" i="3577" a="1"/>
  <c r="AK99" i="3577" s="1"/>
  <c r="AM99" i="3577" a="1"/>
  <c r="AM99" i="3577" s="1"/>
  <c r="AL99" i="3577" a="1"/>
  <c r="AL99" i="3577" s="1"/>
  <c r="AK93" i="3577" a="1"/>
  <c r="AK93" i="3577" s="1"/>
  <c r="AM93" i="3577" a="1"/>
  <c r="AM93" i="3577" s="1"/>
  <c r="AN93" i="3577" a="1"/>
  <c r="AN93" i="3577" s="1"/>
  <c r="AL93" i="3577" a="1"/>
  <c r="AL93" i="3577" s="1"/>
  <c r="D15" i="3561"/>
  <c r="B481" i="3449" a="1"/>
  <c r="B481" i="3449" s="1"/>
  <c r="B480" i="3449"/>
  <c r="C480" i="3449" s="1"/>
  <c r="B646" i="3449"/>
  <c r="C3" i="3435"/>
  <c r="C481" i="3449"/>
  <c r="F52" i="3518" a="1"/>
  <c r="F52" i="3518" s="1"/>
  <c r="G52" i="3518" a="1"/>
  <c r="G52" i="3518" s="1"/>
  <c r="G61" i="3518" a="1"/>
  <c r="G61" i="3518" s="1"/>
  <c r="F61" i="3518" a="1"/>
  <c r="F61" i="3518" s="1"/>
  <c r="I88" i="3528" a="1"/>
  <c r="I88" i="3528" s="1"/>
  <c r="I123" i="3528" a="1"/>
  <c r="I123" i="3528" s="1"/>
  <c r="I54" i="3528" a="1"/>
  <c r="I54" i="3528" s="1"/>
  <c r="N83" i="3528" a="1"/>
  <c r="N83" i="3528" s="1"/>
  <c r="N118" i="3528" a="1"/>
  <c r="N118" i="3528" s="1"/>
  <c r="N49" i="3528" a="1"/>
  <c r="N49" i="3528" s="1"/>
  <c r="F125" i="3528" a="1"/>
  <c r="F125" i="3528" s="1"/>
  <c r="F90" i="3528" a="1"/>
  <c r="F90" i="3528" s="1"/>
  <c r="F56" i="3528" a="1"/>
  <c r="F56" i="3528" s="1"/>
  <c r="E139" i="3528" a="1"/>
  <c r="E139" i="3528" s="1"/>
  <c r="E70" i="3528" a="1"/>
  <c r="E70" i="3528" s="1"/>
  <c r="E104" i="3528" a="1"/>
  <c r="E104" i="3528" s="1"/>
  <c r="M119" i="3528" a="1"/>
  <c r="M119" i="3528" s="1"/>
  <c r="M84" i="3528" a="1"/>
  <c r="M84" i="3528" s="1"/>
  <c r="M50" i="3528" a="1"/>
  <c r="M50" i="3528" s="1"/>
  <c r="G128" i="3528" a="1"/>
  <c r="G128" i="3528" s="1"/>
  <c r="G93" i="3528" a="1"/>
  <c r="G93" i="3528" s="1"/>
  <c r="G59" i="3528" a="1"/>
  <c r="G59" i="3528" s="1"/>
  <c r="E62" i="3528" a="1"/>
  <c r="E62" i="3528" s="1"/>
  <c r="E96" i="3528" a="1"/>
  <c r="E96" i="3528" s="1"/>
  <c r="E131" i="3528" a="1"/>
  <c r="E131" i="3528" s="1"/>
  <c r="L137" i="3528" a="1"/>
  <c r="L137" i="3528" s="1"/>
  <c r="L68" i="3528" a="1"/>
  <c r="L68" i="3528" s="1"/>
  <c r="L102" i="3528" a="1"/>
  <c r="L102" i="3528" s="1"/>
  <c r="O140" i="3528" a="1"/>
  <c r="O140" i="3528" s="1"/>
  <c r="O71" i="3528" a="1"/>
  <c r="O71" i="3528" s="1"/>
  <c r="O105" i="3528" a="1"/>
  <c r="O105" i="3528" s="1"/>
  <c r="I94" i="3528" a="1"/>
  <c r="I94" i="3528" s="1"/>
  <c r="I60" i="3528" a="1"/>
  <c r="I60" i="3528" s="1"/>
  <c r="I129" i="3528" a="1"/>
  <c r="I129" i="3528" s="1"/>
  <c r="G120" i="3528" a="1"/>
  <c r="G120" i="3528" s="1"/>
  <c r="G85" i="3528" a="1"/>
  <c r="G85" i="3528" s="1"/>
  <c r="G51" i="3528" a="1"/>
  <c r="G51" i="3528" s="1"/>
  <c r="G109" i="3528" a="1"/>
  <c r="G109" i="3528" s="1"/>
  <c r="G144" i="3528" a="1"/>
  <c r="G144" i="3528" s="1"/>
  <c r="G75" i="3528" a="1"/>
  <c r="G75" i="3528" s="1"/>
  <c r="O127" i="3528" a="1"/>
  <c r="O127" i="3528" s="1"/>
  <c r="O92" i="3528" a="1"/>
  <c r="O92" i="3528" s="1"/>
  <c r="O58" i="3528" a="1"/>
  <c r="O58" i="3528" s="1"/>
  <c r="AI119" i="3528"/>
  <c r="AY119" i="3528"/>
  <c r="R67" i="3528" a="1"/>
  <c r="R67" i="3528" s="1"/>
  <c r="R136" i="3528" a="1"/>
  <c r="R136" i="3528" s="1"/>
  <c r="R101" i="3528" a="1"/>
  <c r="R101" i="3528" s="1"/>
  <c r="E82" i="3528" a="1"/>
  <c r="E82" i="3528" s="1"/>
  <c r="E48" i="3528" a="1"/>
  <c r="E48" i="3528" s="1"/>
  <c r="E117" i="3528" a="1"/>
  <c r="E117" i="3528" s="1"/>
  <c r="DO56" i="3479" a="1"/>
  <c r="DO56" i="3479" s="1"/>
  <c r="DP56" i="3479" s="1" a="1"/>
  <c r="DP56" i="3479" s="1"/>
  <c r="DN56" i="3479" a="1"/>
  <c r="DN56" i="3479" s="1"/>
  <c r="DQ56" i="3479" s="1" a="1"/>
  <c r="DQ56" i="3479" s="1"/>
  <c r="DR56" i="3479" s="1" a="1"/>
  <c r="DR56" i="3479" s="1"/>
  <c r="BU49" i="3479" a="1"/>
  <c r="BU49" i="3479" s="1"/>
  <c r="BV49" i="3479" a="1"/>
  <c r="BV49" i="3479" s="1"/>
  <c r="BW49" i="3479" s="1" a="1"/>
  <c r="BW49" i="3479" s="1"/>
  <c r="AC56" i="3479" a="1"/>
  <c r="AC56" i="3479" s="1"/>
  <c r="AD56" i="3479" s="1" a="1"/>
  <c r="AD56" i="3479" s="1"/>
  <c r="AB56" i="3479" a="1"/>
  <c r="AB56" i="3479" s="1"/>
  <c r="AC44" i="3479" a="1"/>
  <c r="AC44" i="3479" s="1"/>
  <c r="AD44" i="3479" s="1" a="1"/>
  <c r="AD44" i="3479" s="1"/>
  <c r="AB44" i="3479" a="1"/>
  <c r="AB44" i="3479" s="1"/>
  <c r="ES24" i="3479" a="1"/>
  <c r="ES24" i="3479" s="1"/>
  <c r="ET24" i="3479" s="1" a="1"/>
  <c r="ET24" i="3479" s="1"/>
  <c r="ER24" i="3479" a="1"/>
  <c r="ER24" i="3479" s="1"/>
  <c r="EU24" i="3479" s="1" a="1"/>
  <c r="EU24" i="3479" s="1"/>
  <c r="EV24" i="3479" s="1" a="1"/>
  <c r="EV24" i="3479" s="1"/>
  <c r="P41" i="3560" a="1"/>
  <c r="P41" i="3560" s="1"/>
  <c r="O41" i="3560" a="1"/>
  <c r="O41" i="3560" s="1"/>
  <c r="A41" i="3560"/>
  <c r="D41" i="3560"/>
  <c r="CZ28" i="3479" a="1"/>
  <c r="CZ28" i="3479" s="1"/>
  <c r="DA28" i="3479" s="1" a="1"/>
  <c r="DA28" i="3479" s="1"/>
  <c r="CY28" i="3479" a="1"/>
  <c r="CY28" i="3479" s="1"/>
  <c r="DB28" i="3479" s="1" a="1"/>
  <c r="DB28" i="3479" s="1"/>
  <c r="DC28" i="3479" s="1" a="1"/>
  <c r="DC28" i="3479" s="1"/>
  <c r="CY70" i="3479" a="1"/>
  <c r="CY70" i="3479" s="1"/>
  <c r="DB70" i="3479" s="1" a="1"/>
  <c r="DB70" i="3479" s="1"/>
  <c r="DC70" i="3479" s="1" a="1"/>
  <c r="DC70" i="3479" s="1"/>
  <c r="CZ70" i="3479" a="1"/>
  <c r="CZ70" i="3479" s="1"/>
  <c r="DA70" i="3479" s="1" a="1"/>
  <c r="DA70" i="3479" s="1"/>
  <c r="D75" i="3560"/>
  <c r="A75" i="3560"/>
  <c r="J21" i="3560"/>
  <c r="P21" i="3560" s="1" a="1"/>
  <c r="P21" i="3560" s="1"/>
  <c r="L21" i="3560"/>
  <c r="K21" i="3560"/>
  <c r="I21" i="3560"/>
  <c r="O21" i="3560" s="1" a="1"/>
  <c r="O21" i="3560" s="1"/>
  <c r="CK38" i="3479" a="1"/>
  <c r="CK38" i="3479" s="1"/>
  <c r="CL38" i="3479" s="1" a="1"/>
  <c r="CL38" i="3479" s="1"/>
  <c r="CJ38" i="3479" a="1"/>
  <c r="CJ38" i="3479" s="1"/>
  <c r="L73" i="3445"/>
  <c r="M73" i="3445" s="1"/>
  <c r="H54" i="3436" s="1"/>
  <c r="I53" i="3436" s="1"/>
  <c r="A73" i="3445"/>
  <c r="N73" i="3445" a="1"/>
  <c r="N73" i="3445" s="1"/>
  <c r="I49" i="3445" a="1"/>
  <c r="I49" i="3445" s="1"/>
  <c r="O49" i="3445" s="1"/>
  <c r="I52" i="3445" a="1"/>
  <c r="I52" i="3445" s="1"/>
  <c r="N84" i="3445" a="1"/>
  <c r="N84" i="3445" s="1"/>
  <c r="O51" i="3445"/>
  <c r="A68" i="3444"/>
  <c r="J20" i="3444"/>
  <c r="A20" i="3444"/>
  <c r="BI81" i="3489" a="1"/>
  <c r="BI81" i="3489" s="1"/>
  <c r="AW81" i="3489" a="1"/>
  <c r="AW81" i="3489" s="1"/>
  <c r="AK81" i="3489" a="1"/>
  <c r="AK81" i="3489" s="1"/>
  <c r="Y81" i="3489" a="1"/>
  <c r="Y81" i="3489" s="1"/>
  <c r="M81" i="3489" a="1"/>
  <c r="M81" i="3489" s="1"/>
  <c r="BC81" i="3489" a="1"/>
  <c r="BC81" i="3489" s="1"/>
  <c r="AB81" i="3489" a="1"/>
  <c r="AB81" i="3489" s="1"/>
  <c r="AO81" i="3489" a="1"/>
  <c r="AO81" i="3489" s="1"/>
  <c r="N81" i="3489" a="1"/>
  <c r="N81" i="3489" s="1"/>
  <c r="BB81" i="3489" a="1"/>
  <c r="BB81" i="3489" s="1"/>
  <c r="AA81" i="3489" a="1"/>
  <c r="AA81" i="3489" s="1"/>
  <c r="L81" i="3489" a="1"/>
  <c r="L81" i="3489" s="1"/>
  <c r="AN81" i="3489" a="1"/>
  <c r="AN81" i="3489" s="1"/>
  <c r="AM81" i="3489" a="1"/>
  <c r="AM81" i="3489" s="1"/>
  <c r="X81" i="3489" a="1"/>
  <c r="X81" i="3489" s="1"/>
  <c r="BH81" i="3489" a="1"/>
  <c r="BH81" i="3489" s="1"/>
  <c r="AG81" i="3489" a="1"/>
  <c r="AG81" i="3489" s="1"/>
  <c r="BD81" i="3489" a="1"/>
  <c r="BD81" i="3489" s="1"/>
  <c r="AC81" i="3489" a="1"/>
  <c r="AC81" i="3489" s="1"/>
  <c r="Q81" i="3489" a="1"/>
  <c r="Q81" i="3489" s="1"/>
  <c r="BA81" i="3489" a="1"/>
  <c r="BA81" i="3489" s="1"/>
  <c r="AH81" i="3489" a="1"/>
  <c r="AH81" i="3489" s="1"/>
  <c r="AZ81" i="3489" a="1"/>
  <c r="AZ81" i="3489" s="1"/>
  <c r="P81" i="3489" a="1"/>
  <c r="P81" i="3489" s="1"/>
  <c r="O81" i="3489" a="1"/>
  <c r="O81" i="3489" s="1"/>
  <c r="AY81" i="3489" a="1"/>
  <c r="AY81" i="3489" s="1"/>
  <c r="AF81" i="3489" a="1"/>
  <c r="AF81" i="3489" s="1"/>
  <c r="K81" i="3489" a="1"/>
  <c r="K81" i="3489" s="1"/>
  <c r="AX81" i="3489" a="1"/>
  <c r="AX81" i="3489" s="1"/>
  <c r="AE81" i="3489" a="1"/>
  <c r="AE81" i="3489" s="1"/>
  <c r="AV81" i="3489" a="1"/>
  <c r="AV81" i="3489" s="1"/>
  <c r="AD81" i="3489" a="1"/>
  <c r="AD81" i="3489" s="1"/>
  <c r="AU81" i="3489" a="1"/>
  <c r="AU81" i="3489" s="1"/>
  <c r="AT81" i="3489" a="1"/>
  <c r="AT81" i="3489" s="1"/>
  <c r="AS81" i="3489" a="1"/>
  <c r="AS81" i="3489" s="1"/>
  <c r="W81" i="3489" a="1"/>
  <c r="W81" i="3489" s="1"/>
  <c r="AR81" i="3489" a="1"/>
  <c r="AR81" i="3489" s="1"/>
  <c r="V81" i="3489" a="1"/>
  <c r="V81" i="3489" s="1"/>
  <c r="AQ81" i="3489" a="1"/>
  <c r="AQ81" i="3489" s="1"/>
  <c r="B81" i="3489"/>
  <c r="BE81" i="3489" a="1"/>
  <c r="BE81" i="3489" s="1"/>
  <c r="R81" i="3489" a="1"/>
  <c r="R81" i="3489" s="1"/>
  <c r="S81" i="3489" a="1"/>
  <c r="S81" i="3489" s="1"/>
  <c r="BG81" i="3489" a="1"/>
  <c r="BG81" i="3489" s="1"/>
  <c r="AP81" i="3489" a="1"/>
  <c r="AP81" i="3489" s="1"/>
  <c r="AL81" i="3489" a="1"/>
  <c r="AL81" i="3489" s="1"/>
  <c r="AJ81" i="3489" a="1"/>
  <c r="AJ81" i="3489" s="1"/>
  <c r="AI81" i="3489" a="1"/>
  <c r="AI81" i="3489" s="1"/>
  <c r="BF81" i="3489" a="1"/>
  <c r="BF81" i="3489" s="1"/>
  <c r="Z81" i="3489" a="1"/>
  <c r="Z81" i="3489" s="1"/>
  <c r="T81" i="3489" a="1"/>
  <c r="T81" i="3489" s="1"/>
  <c r="U81" i="3489" a="1"/>
  <c r="U81" i="3489" s="1"/>
  <c r="BH29" i="3489" a="1"/>
  <c r="BH29" i="3489" s="1"/>
  <c r="AB29" i="3489" a="1"/>
  <c r="AB29" i="3489" s="1"/>
  <c r="BC36" i="3489" a="1"/>
  <c r="BC36" i="3489" s="1"/>
  <c r="AP36" i="3489" a="1"/>
  <c r="AP36" i="3489" s="1"/>
  <c r="AC36" i="3489" a="1"/>
  <c r="AC36" i="3489" s="1"/>
  <c r="P36" i="3489" a="1"/>
  <c r="P36" i="3489" s="1"/>
  <c r="BB36" i="3489" a="1"/>
  <c r="BB36" i="3489" s="1"/>
  <c r="AO36" i="3489" a="1"/>
  <c r="AO36" i="3489" s="1"/>
  <c r="AB36" i="3489" a="1"/>
  <c r="AB36" i="3489" s="1"/>
  <c r="O36" i="3489" a="1"/>
  <c r="O36" i="3489" s="1"/>
  <c r="AW36" i="3489" a="1"/>
  <c r="AW36" i="3489" s="1"/>
  <c r="AJ36" i="3489" a="1"/>
  <c r="AJ36" i="3489" s="1"/>
  <c r="W36" i="3489" a="1"/>
  <c r="W36" i="3489" s="1"/>
  <c r="V36" i="3489" a="1"/>
  <c r="V36" i="3489" s="1"/>
  <c r="BE36" i="3489" a="1"/>
  <c r="BE36" i="3489" s="1"/>
  <c r="AL36" i="3489" a="1"/>
  <c r="AL36" i="3489" s="1"/>
  <c r="S36" i="3489" a="1"/>
  <c r="S36" i="3489" s="1"/>
  <c r="BD36" i="3489" a="1"/>
  <c r="BD36" i="3489" s="1"/>
  <c r="AK36" i="3489" a="1"/>
  <c r="AK36" i="3489" s="1"/>
  <c r="BA36" i="3489" a="1"/>
  <c r="BA36" i="3489" s="1"/>
  <c r="R36" i="3489" a="1"/>
  <c r="R36" i="3489" s="1"/>
  <c r="AZ36" i="3489" a="1"/>
  <c r="AZ36" i="3489" s="1"/>
  <c r="AH36" i="3489" a="1"/>
  <c r="AH36" i="3489" s="1"/>
  <c r="Q36" i="3489" a="1"/>
  <c r="Q36" i="3489" s="1"/>
  <c r="AG36" i="3489" a="1"/>
  <c r="AG36" i="3489" s="1"/>
  <c r="N36" i="3489" a="1"/>
  <c r="N36" i="3489" s="1"/>
  <c r="AY36" i="3489" a="1"/>
  <c r="AY36" i="3489" s="1"/>
  <c r="AF36" i="3489" a="1"/>
  <c r="AF36" i="3489" s="1"/>
  <c r="M36" i="3489" a="1"/>
  <c r="M36" i="3489" s="1"/>
  <c r="AX36" i="3489" a="1"/>
  <c r="AX36" i="3489" s="1"/>
  <c r="BH36" i="3489" a="1"/>
  <c r="BH36" i="3489" s="1"/>
  <c r="Z36" i="3489" a="1"/>
  <c r="Z36" i="3489" s="1"/>
  <c r="Y36" i="3489" a="1"/>
  <c r="Y36" i="3489" s="1"/>
  <c r="BG36" i="3489" a="1"/>
  <c r="BG36" i="3489" s="1"/>
  <c r="BF36" i="3489" a="1"/>
  <c r="BF36" i="3489" s="1"/>
  <c r="X36" i="3489" a="1"/>
  <c r="X36" i="3489" s="1"/>
  <c r="U36" i="3489" a="1"/>
  <c r="U36" i="3489" s="1"/>
  <c r="T36" i="3489" a="1"/>
  <c r="T36" i="3489" s="1"/>
  <c r="AR36" i="3489" a="1"/>
  <c r="AR36" i="3489" s="1"/>
  <c r="K36" i="3489" a="1"/>
  <c r="K36" i="3489" s="1"/>
  <c r="AQ36" i="3489" a="1"/>
  <c r="AQ36" i="3489" s="1"/>
  <c r="AN36" i="3489" a="1"/>
  <c r="AN36" i="3489" s="1"/>
  <c r="AM36" i="3489" a="1"/>
  <c r="AM36" i="3489" s="1"/>
  <c r="AI36" i="3489" a="1"/>
  <c r="AI36" i="3489" s="1"/>
  <c r="AV36" i="3489" a="1"/>
  <c r="AV36" i="3489" s="1"/>
  <c r="AU36" i="3489" a="1"/>
  <c r="AU36" i="3489" s="1"/>
  <c r="AT36" i="3489" a="1"/>
  <c r="AT36" i="3489" s="1"/>
  <c r="AS36" i="3489" a="1"/>
  <c r="AS36" i="3489" s="1"/>
  <c r="AE36" i="3489" a="1"/>
  <c r="AE36" i="3489" s="1"/>
  <c r="AD36" i="3489" a="1"/>
  <c r="AD36" i="3489" s="1"/>
  <c r="AA36" i="3489" a="1"/>
  <c r="AA36" i="3489" s="1"/>
  <c r="L36" i="3489" a="1"/>
  <c r="L36" i="3489" s="1"/>
  <c r="B36" i="3489"/>
  <c r="BI36" i="3489" a="1"/>
  <c r="BI36" i="3489" s="1"/>
  <c r="C127" i="3523"/>
  <c r="BQ96" i="3448"/>
  <c r="I69" i="3523" a="1"/>
  <c r="I69" i="3523" s="1"/>
  <c r="H69" i="3523" a="1"/>
  <c r="H69" i="3523" s="1"/>
  <c r="G74" i="3448"/>
  <c r="BW74" i="3448" s="1"/>
  <c r="BO60" i="3448"/>
  <c r="BP15" i="3448"/>
  <c r="BO15" i="3448"/>
  <c r="G15" i="3448"/>
  <c r="BW15" i="3448" s="1"/>
  <c r="BP68" i="3448"/>
  <c r="BO68" i="3448"/>
  <c r="G68" i="3448"/>
  <c r="BW68" i="3448" s="1"/>
  <c r="AE55" i="3480"/>
  <c r="AK105" i="3434" a="1"/>
  <c r="AK105" i="3434" s="1"/>
  <c r="AL105" i="3434" a="1"/>
  <c r="AL105" i="3434" s="1"/>
  <c r="U34" i="3436" a="1"/>
  <c r="U34" i="3436" s="1"/>
  <c r="J36" i="3444" s="1"/>
  <c r="AE46" i="3480"/>
  <c r="AL96" i="3434" a="1"/>
  <c r="AL96" i="3434" s="1"/>
  <c r="AK96" i="3434" a="1"/>
  <c r="AK96" i="3434" s="1"/>
  <c r="AK103" i="3577" a="1"/>
  <c r="AK103" i="3577" s="1"/>
  <c r="AN103" i="3577" a="1"/>
  <c r="AN103" i="3577" s="1"/>
  <c r="AM103" i="3577" a="1"/>
  <c r="AM103" i="3577" s="1"/>
  <c r="AL103" i="3577" a="1"/>
  <c r="AL103" i="3577" s="1"/>
  <c r="I69" i="3436"/>
  <c r="S29" i="3445" s="1" a="1"/>
  <c r="S29" i="3445" s="1"/>
  <c r="T29" i="3445" s="1"/>
  <c r="G44" i="3436"/>
  <c r="J63" i="3445" s="1" a="1"/>
  <c r="J63" i="3445" s="1"/>
  <c r="P63" i="3445" s="1"/>
  <c r="Q63" i="3445" s="1"/>
  <c r="AK94" i="3577" a="1"/>
  <c r="AK94" i="3577" s="1"/>
  <c r="AL94" i="3577" a="1"/>
  <c r="AL94" i="3577" s="1"/>
  <c r="AN94" i="3577" a="1"/>
  <c r="AN94" i="3577" s="1"/>
  <c r="AM94" i="3577" a="1"/>
  <c r="AM94" i="3577" s="1"/>
  <c r="G36" i="3436"/>
  <c r="J55" i="3445" s="1" a="1"/>
  <c r="J55" i="3445" s="1"/>
  <c r="P55" i="3445" s="1"/>
  <c r="Q55" i="3445" s="1"/>
  <c r="P143" i="3528" a="1"/>
  <c r="P143" i="3528" s="1"/>
  <c r="P74" i="3528" a="1"/>
  <c r="P74" i="3528" s="1"/>
  <c r="P108" i="3528" a="1"/>
  <c r="P108" i="3528" s="1"/>
  <c r="Q55" i="3528" a="1"/>
  <c r="Q55" i="3528" s="1"/>
  <c r="Q89" i="3528" a="1"/>
  <c r="Q89" i="3528" s="1"/>
  <c r="Q124" i="3528" a="1"/>
  <c r="Q124" i="3528" s="1"/>
  <c r="AS139" i="3528"/>
  <c r="AC139" i="3528"/>
  <c r="S62" i="3528" a="1"/>
  <c r="S62" i="3528" s="1"/>
  <c r="S131" i="3528" a="1"/>
  <c r="S131" i="3528" s="1"/>
  <c r="S96" i="3528" a="1"/>
  <c r="S96" i="3528" s="1"/>
  <c r="AY137" i="3528"/>
  <c r="AI137" i="3528"/>
  <c r="R56" i="3528" a="1"/>
  <c r="R56" i="3528" s="1"/>
  <c r="R125" i="3528" a="1"/>
  <c r="R125" i="3528" s="1"/>
  <c r="R90" i="3528" a="1"/>
  <c r="R90" i="3528" s="1"/>
  <c r="Q139" i="3528" a="1"/>
  <c r="Q139" i="3528" s="1"/>
  <c r="Q70" i="3528" a="1"/>
  <c r="Q70" i="3528" s="1"/>
  <c r="Q104" i="3528" a="1"/>
  <c r="Q104" i="3528" s="1"/>
  <c r="E118" i="3528" a="1"/>
  <c r="E118" i="3528" s="1"/>
  <c r="E83" i="3528" a="1"/>
  <c r="E83" i="3528" s="1"/>
  <c r="E49" i="3528" a="1"/>
  <c r="E49" i="3528" s="1"/>
  <c r="Q131" i="3528" a="1"/>
  <c r="Q131" i="3528" s="1"/>
  <c r="Q62" i="3528" a="1"/>
  <c r="Q62" i="3528" s="1"/>
  <c r="Q96" i="3528" a="1"/>
  <c r="Q96" i="3528" s="1"/>
  <c r="E99" i="3528" a="1"/>
  <c r="E99" i="3528" s="1"/>
  <c r="E134" i="3528" a="1"/>
  <c r="E134" i="3528" s="1"/>
  <c r="E65" i="3528" a="1"/>
  <c r="E65" i="3528" s="1"/>
  <c r="Q140" i="3528" a="1"/>
  <c r="Q140" i="3528" s="1"/>
  <c r="Q71" i="3528" a="1"/>
  <c r="Q71" i="3528" s="1"/>
  <c r="Q105" i="3528" a="1"/>
  <c r="Q105" i="3528" s="1"/>
  <c r="O98" i="3528" a="1"/>
  <c r="O98" i="3528" s="1"/>
  <c r="O133" i="3528" a="1"/>
  <c r="O133" i="3528" s="1"/>
  <c r="O64" i="3528" a="1"/>
  <c r="O64" i="3528" s="1"/>
  <c r="K94" i="3528" a="1"/>
  <c r="K94" i="3528" s="1"/>
  <c r="K60" i="3528" a="1"/>
  <c r="K60" i="3528" s="1"/>
  <c r="K129" i="3528" a="1"/>
  <c r="K129" i="3528" s="1"/>
  <c r="H120" i="3528" a="1"/>
  <c r="H120" i="3528" s="1"/>
  <c r="H85" i="3528" a="1"/>
  <c r="H85" i="3528" s="1"/>
  <c r="H51" i="3528" a="1"/>
  <c r="H51" i="3528" s="1"/>
  <c r="M144" i="3528" a="1"/>
  <c r="M144" i="3528" s="1"/>
  <c r="M75" i="3528" a="1"/>
  <c r="M75" i="3528" s="1"/>
  <c r="M109" i="3528" a="1"/>
  <c r="M109" i="3528" s="1"/>
  <c r="H101" i="3528" a="1"/>
  <c r="H101" i="3528" s="1"/>
  <c r="H136" i="3528" a="1"/>
  <c r="H136" i="3528" s="1"/>
  <c r="H67" i="3528" a="1"/>
  <c r="H67" i="3528" s="1"/>
  <c r="Q82" i="3528" a="1"/>
  <c r="Q82" i="3528" s="1"/>
  <c r="Q117" i="3528" a="1"/>
  <c r="Q117" i="3528" s="1"/>
  <c r="Q48" i="3528" a="1"/>
  <c r="Q48" i="3528" s="1"/>
  <c r="CK51" i="3479" a="1"/>
  <c r="CK51" i="3479" s="1"/>
  <c r="CL51" i="3479" s="1" a="1"/>
  <c r="CL51" i="3479" s="1"/>
  <c r="CJ51" i="3479" a="1"/>
  <c r="CJ51" i="3479" s="1"/>
  <c r="AF29" i="3489" a="1"/>
  <c r="AF29" i="3489" s="1"/>
  <c r="AO29" i="3489" a="1"/>
  <c r="AO29" i="3489" s="1"/>
  <c r="BA32" i="3489" a="1"/>
  <c r="BA32" i="3489" s="1"/>
  <c r="AN32" i="3489" a="1"/>
  <c r="AN32" i="3489" s="1"/>
  <c r="AA32" i="3489" a="1"/>
  <c r="AA32" i="3489" s="1"/>
  <c r="M32" i="3489" a="1"/>
  <c r="M32" i="3489" s="1"/>
  <c r="Z32" i="3489" a="1"/>
  <c r="Z32" i="3489" s="1"/>
  <c r="AZ32" i="3489" a="1"/>
  <c r="AZ32" i="3489" s="1"/>
  <c r="AM32" i="3489" a="1"/>
  <c r="AM32" i="3489" s="1"/>
  <c r="Y32" i="3489" a="1"/>
  <c r="Y32" i="3489" s="1"/>
  <c r="L32" i="3489" a="1"/>
  <c r="L32" i="3489" s="1"/>
  <c r="AL32" i="3489" a="1"/>
  <c r="AL32" i="3489" s="1"/>
  <c r="AY32" i="3489" a="1"/>
  <c r="AY32" i="3489" s="1"/>
  <c r="AK32" i="3489" a="1"/>
  <c r="AK32" i="3489" s="1"/>
  <c r="X32" i="3489" a="1"/>
  <c r="X32" i="3489" s="1"/>
  <c r="K32" i="3489" a="1"/>
  <c r="K32" i="3489" s="1"/>
  <c r="BF32" i="3489" a="1"/>
  <c r="BF32" i="3489" s="1"/>
  <c r="AS32" i="3489" a="1"/>
  <c r="AS32" i="3489" s="1"/>
  <c r="AF32" i="3489" a="1"/>
  <c r="AF32" i="3489" s="1"/>
  <c r="S32" i="3489" a="1"/>
  <c r="S32" i="3489" s="1"/>
  <c r="AE32" i="3489" a="1"/>
  <c r="AE32" i="3489" s="1"/>
  <c r="N32" i="3489" a="1"/>
  <c r="N32" i="3489" s="1"/>
  <c r="AV32" i="3489" a="1"/>
  <c r="AV32" i="3489" s="1"/>
  <c r="AD32" i="3489" a="1"/>
  <c r="AD32" i="3489" s="1"/>
  <c r="AU32" i="3489" a="1"/>
  <c r="AU32" i="3489" s="1"/>
  <c r="AT32" i="3489" a="1"/>
  <c r="AT32" i="3489" s="1"/>
  <c r="AB32" i="3489" a="1"/>
  <c r="AB32" i="3489" s="1"/>
  <c r="AR32" i="3489" a="1"/>
  <c r="AR32" i="3489" s="1"/>
  <c r="BI32" i="3489" a="1"/>
  <c r="BI32" i="3489" s="1"/>
  <c r="AQ32" i="3489" a="1"/>
  <c r="AQ32" i="3489" s="1"/>
  <c r="W32" i="3489" a="1"/>
  <c r="W32" i="3489" s="1"/>
  <c r="BD32" i="3489" a="1"/>
  <c r="BD32" i="3489" s="1"/>
  <c r="AJ32" i="3489" a="1"/>
  <c r="AJ32" i="3489" s="1"/>
  <c r="AW32" i="3489" a="1"/>
  <c r="AW32" i="3489" s="1"/>
  <c r="Q32" i="3489" a="1"/>
  <c r="Q32" i="3489" s="1"/>
  <c r="P32" i="3489" a="1"/>
  <c r="P32" i="3489" s="1"/>
  <c r="AP32" i="3489" a="1"/>
  <c r="AP32" i="3489" s="1"/>
  <c r="O32" i="3489" a="1"/>
  <c r="O32" i="3489" s="1"/>
  <c r="AO32" i="3489" a="1"/>
  <c r="AO32" i="3489" s="1"/>
  <c r="AH32" i="3489" a="1"/>
  <c r="AH32" i="3489" s="1"/>
  <c r="AG32" i="3489" a="1"/>
  <c r="AG32" i="3489" s="1"/>
  <c r="BG32" i="3489" a="1"/>
  <c r="BG32" i="3489" s="1"/>
  <c r="BE32" i="3489" a="1"/>
  <c r="BE32" i="3489" s="1"/>
  <c r="V32" i="3489" a="1"/>
  <c r="V32" i="3489" s="1"/>
  <c r="AX32" i="3489" a="1"/>
  <c r="AX32" i="3489" s="1"/>
  <c r="AI32" i="3489" a="1"/>
  <c r="AI32" i="3489" s="1"/>
  <c r="AC32" i="3489" a="1"/>
  <c r="AC32" i="3489" s="1"/>
  <c r="U32" i="3489" a="1"/>
  <c r="U32" i="3489" s="1"/>
  <c r="T32" i="3489" a="1"/>
  <c r="T32" i="3489" s="1"/>
  <c r="R32" i="3489" a="1"/>
  <c r="R32" i="3489" s="1"/>
  <c r="B32" i="3489"/>
  <c r="BH32" i="3489" a="1"/>
  <c r="BH32" i="3489" s="1"/>
  <c r="BC32" i="3489" a="1"/>
  <c r="BC32" i="3489" s="1"/>
  <c r="BB32" i="3489" a="1"/>
  <c r="BB32" i="3489" s="1"/>
  <c r="BP78" i="3448"/>
  <c r="BO78" i="3448"/>
  <c r="G78" i="3448"/>
  <c r="BW78" i="3448" s="1"/>
  <c r="I61" i="3523" a="1"/>
  <c r="I61" i="3523" s="1"/>
  <c r="H61" i="3523" a="1"/>
  <c r="H61" i="3523" s="1"/>
  <c r="Y99" i="3448"/>
  <c r="AC98" i="3448"/>
  <c r="G64" i="3448"/>
  <c r="BW64" i="3448" s="1"/>
  <c r="BP64" i="3448"/>
  <c r="BO64" i="3448"/>
  <c r="G42" i="3448"/>
  <c r="F25" i="3523" a="1"/>
  <c r="F25" i="3523" s="1"/>
  <c r="L25" i="3523" s="1" a="1"/>
  <c r="L25" i="3523" s="1"/>
  <c r="H25" i="3523" a="1"/>
  <c r="H25" i="3523" s="1"/>
  <c r="AE60" i="3480"/>
  <c r="AK110" i="3434" a="1"/>
  <c r="AK110" i="3434" s="1"/>
  <c r="AL110" i="3434" a="1"/>
  <c r="AL110" i="3434" s="1"/>
  <c r="G79" i="3436"/>
  <c r="G70" i="3436"/>
  <c r="G25" i="3436"/>
  <c r="U69" i="3436" a="1"/>
  <c r="U69" i="3436" s="1"/>
  <c r="U77" i="3436" s="1" a="1"/>
  <c r="U77" i="3436" s="1"/>
  <c r="J79" i="3444" s="1"/>
  <c r="AE57" i="3480"/>
  <c r="AL107" i="3434" a="1"/>
  <c r="AL107" i="3434" s="1"/>
  <c r="AK107" i="3434" a="1"/>
  <c r="AK107" i="3434" s="1"/>
  <c r="V64" i="3436" a="1"/>
  <c r="V64" i="3436" s="1"/>
  <c r="J81" i="3445" a="1"/>
  <c r="J81" i="3445" s="1"/>
  <c r="P81" i="3445" s="1"/>
  <c r="Q81" i="3445" s="1"/>
  <c r="Y25" i="3436"/>
  <c r="I30" i="3436"/>
  <c r="S49" i="3445" s="1" a="1"/>
  <c r="S49" i="3445" s="1"/>
  <c r="T49" i="3445" s="1"/>
  <c r="C6" i="3570"/>
  <c r="C6" i="3518"/>
  <c r="E74" i="3528" a="1"/>
  <c r="E74" i="3528" s="1"/>
  <c r="E143" i="3528" a="1"/>
  <c r="E143" i="3528" s="1"/>
  <c r="E108" i="3528" a="1"/>
  <c r="E108" i="3528" s="1"/>
  <c r="G126" i="3528" a="1"/>
  <c r="G126" i="3528" s="1"/>
  <c r="G91" i="3528" a="1"/>
  <c r="G91" i="3528" s="1"/>
  <c r="G57" i="3528" a="1"/>
  <c r="G57" i="3528" s="1"/>
  <c r="S128" i="3528" a="1"/>
  <c r="S128" i="3528" s="1"/>
  <c r="S93" i="3528" a="1"/>
  <c r="S93" i="3528" s="1"/>
  <c r="S59" i="3528" a="1"/>
  <c r="S59" i="3528" s="1"/>
  <c r="N131" i="3528" a="1"/>
  <c r="N131" i="3528" s="1"/>
  <c r="N96" i="3528" a="1"/>
  <c r="N96" i="3528" s="1"/>
  <c r="N62" i="3528" a="1"/>
  <c r="N62" i="3528" s="1"/>
  <c r="K145" i="3528" a="1"/>
  <c r="K145" i="3528" s="1"/>
  <c r="K76" i="3528" a="1"/>
  <c r="K76" i="3528" s="1"/>
  <c r="K110" i="3528" a="1"/>
  <c r="K110" i="3528" s="1"/>
  <c r="I137" i="3528" a="1"/>
  <c r="I137" i="3528" s="1"/>
  <c r="I68" i="3528" a="1"/>
  <c r="I68" i="3528" s="1"/>
  <c r="I102" i="3528" a="1"/>
  <c r="I102" i="3528" s="1"/>
  <c r="F145" i="3528" a="1"/>
  <c r="F145" i="3528" s="1"/>
  <c r="F110" i="3528" a="1"/>
  <c r="F110" i="3528" s="1"/>
  <c r="F76" i="3528" a="1"/>
  <c r="F76" i="3528" s="1"/>
  <c r="AW126" i="3528"/>
  <c r="AG126" i="3528"/>
  <c r="AC135" i="3528"/>
  <c r="AS135" i="3528"/>
  <c r="N137" i="3528" a="1"/>
  <c r="N137" i="3528" s="1"/>
  <c r="N68" i="3528" a="1"/>
  <c r="N68" i="3528" s="1"/>
  <c r="N102" i="3528" a="1"/>
  <c r="N102" i="3528" s="1"/>
  <c r="G134" i="3528" a="1"/>
  <c r="G134" i="3528" s="1"/>
  <c r="G65" i="3528" a="1"/>
  <c r="G65" i="3528" s="1"/>
  <c r="G99" i="3528" a="1"/>
  <c r="G99" i="3528" s="1"/>
  <c r="S105" i="3528" a="1"/>
  <c r="S105" i="3528" s="1"/>
  <c r="S140" i="3528" a="1"/>
  <c r="S140" i="3528" s="1"/>
  <c r="S71" i="3528" a="1"/>
  <c r="S71" i="3528" s="1"/>
  <c r="AG122" i="3528"/>
  <c r="AW122" i="3528"/>
  <c r="M60" i="3528" a="1"/>
  <c r="M60" i="3528" s="1"/>
  <c r="M129" i="3528" a="1"/>
  <c r="M129" i="3528" s="1"/>
  <c r="M94" i="3528" a="1"/>
  <c r="M94" i="3528" s="1"/>
  <c r="M85" i="3528" a="1"/>
  <c r="M85" i="3528" s="1"/>
  <c r="M51" i="3528" a="1"/>
  <c r="M51" i="3528" s="1"/>
  <c r="M120" i="3528" a="1"/>
  <c r="M120" i="3528" s="1"/>
  <c r="L75" i="3528" a="1"/>
  <c r="L75" i="3528" s="1"/>
  <c r="L144" i="3528" a="1"/>
  <c r="L144" i="3528" s="1"/>
  <c r="L109" i="3528" a="1"/>
  <c r="L109" i="3528" s="1"/>
  <c r="I136" i="3528" a="1"/>
  <c r="I136" i="3528" s="1"/>
  <c r="I101" i="3528" a="1"/>
  <c r="I101" i="3528" s="1"/>
  <c r="I67" i="3528" a="1"/>
  <c r="I67" i="3528" s="1"/>
  <c r="M61" i="3479" a="1"/>
  <c r="M61" i="3479" s="1"/>
  <c r="N61" i="3479" a="1"/>
  <c r="N61" i="3479" s="1"/>
  <c r="O61" i="3479" s="1" a="1"/>
  <c r="O61" i="3479" s="1"/>
  <c r="ER36" i="3479" a="1"/>
  <c r="ER36" i="3479" s="1"/>
  <c r="EU36" i="3479" s="1" a="1"/>
  <c r="EU36" i="3479" s="1"/>
  <c r="EV36" i="3479" s="1" a="1"/>
  <c r="EV36" i="3479" s="1"/>
  <c r="ES36" i="3479" a="1"/>
  <c r="ES36" i="3479" s="1"/>
  <c r="ET36" i="3479" s="1" a="1"/>
  <c r="ET36" i="3479" s="1"/>
  <c r="ER32" i="3479" a="1"/>
  <c r="ER32" i="3479" s="1"/>
  <c r="EU32" i="3479" s="1" a="1"/>
  <c r="EU32" i="3479" s="1"/>
  <c r="EV32" i="3479" s="1" a="1"/>
  <c r="EV32" i="3479" s="1"/>
  <c r="ES32" i="3479" a="1"/>
  <c r="ES32" i="3479" s="1"/>
  <c r="ET32" i="3479" s="1" a="1"/>
  <c r="ET32" i="3479" s="1"/>
  <c r="DO22" i="3479" a="1"/>
  <c r="DO22" i="3479" s="1"/>
  <c r="DP22" i="3479" s="1" a="1"/>
  <c r="DP22" i="3479" s="1"/>
  <c r="DN22" i="3479" a="1"/>
  <c r="DN22" i="3479" s="1"/>
  <c r="DQ22" i="3479" s="1" a="1"/>
  <c r="DQ22" i="3479" s="1"/>
  <c r="DR22" i="3479" s="1" a="1"/>
  <c r="DR22" i="3479" s="1"/>
  <c r="AC42" i="3479" a="1"/>
  <c r="AC42" i="3479" s="1"/>
  <c r="AD42" i="3479" s="1" a="1"/>
  <c r="AD42" i="3479" s="1"/>
  <c r="AB42" i="3479" a="1"/>
  <c r="AB42" i="3479" s="1"/>
  <c r="AC55" i="3479" a="1"/>
  <c r="AC55" i="3479" s="1"/>
  <c r="AD55" i="3479" s="1" a="1"/>
  <c r="AD55" i="3479" s="1"/>
  <c r="AB55" i="3479" a="1"/>
  <c r="AB55" i="3479" s="1"/>
  <c r="I75" i="3560"/>
  <c r="O75" i="3560" s="1" a="1"/>
  <c r="O75" i="3560" s="1"/>
  <c r="L75" i="3560"/>
  <c r="K75" i="3560"/>
  <c r="J75" i="3560"/>
  <c r="P75" i="3560" s="1" a="1"/>
  <c r="P75" i="3560" s="1"/>
  <c r="BC34" i="3444" a="1"/>
  <c r="BC34" i="3444" s="1"/>
  <c r="AQ34" i="3444" a="1"/>
  <c r="AQ34" i="3444" s="1"/>
  <c r="AE34" i="3444" a="1"/>
  <c r="AE34" i="3444" s="1"/>
  <c r="S34" i="3444" a="1"/>
  <c r="S34" i="3444" s="1"/>
  <c r="BB34" i="3444" a="1"/>
  <c r="BB34" i="3444" s="1"/>
  <c r="AP34" i="3444" a="1"/>
  <c r="AP34" i="3444" s="1"/>
  <c r="AD34" i="3444" a="1"/>
  <c r="AD34" i="3444" s="1"/>
  <c r="R34" i="3444" a="1"/>
  <c r="R34" i="3444" s="1"/>
  <c r="AY34" i="3444" a="1"/>
  <c r="AY34" i="3444" s="1"/>
  <c r="AM34" i="3444" a="1"/>
  <c r="AM34" i="3444" s="1"/>
  <c r="AA34" i="3444" a="1"/>
  <c r="AA34" i="3444" s="1"/>
  <c r="O34" i="3444" a="1"/>
  <c r="O34" i="3444" s="1"/>
  <c r="W34" i="3444" a="1"/>
  <c r="W34" i="3444" s="1"/>
  <c r="AZ34" i="3444" a="1"/>
  <c r="AZ34" i="3444" s="1"/>
  <c r="AK34" i="3444" a="1"/>
  <c r="AK34" i="3444" s="1"/>
  <c r="V34" i="3444" a="1"/>
  <c r="V34" i="3444" s="1"/>
  <c r="AI34" i="3444" a="1"/>
  <c r="AI34" i="3444" s="1"/>
  <c r="AW34" i="3444" a="1"/>
  <c r="AW34" i="3444" s="1"/>
  <c r="T34" i="3444" a="1"/>
  <c r="T34" i="3444" s="1"/>
  <c r="BF34" i="3444" a="1"/>
  <c r="BF34" i="3444" s="1"/>
  <c r="Q34" i="3444" a="1"/>
  <c r="Q34" i="3444" s="1"/>
  <c r="AL34" i="3444" a="1"/>
  <c r="AL34" i="3444" s="1"/>
  <c r="BE34" i="3444" a="1"/>
  <c r="BE34" i="3444" s="1"/>
  <c r="AJ34" i="3444" a="1"/>
  <c r="AJ34" i="3444" s="1"/>
  <c r="P34" i="3444" a="1"/>
  <c r="P34" i="3444" s="1"/>
  <c r="BD34" i="3444" a="1"/>
  <c r="BD34" i="3444" s="1"/>
  <c r="AH34" i="3444" a="1"/>
  <c r="AH34" i="3444" s="1"/>
  <c r="N34" i="3444" a="1"/>
  <c r="N34" i="3444" s="1"/>
  <c r="BA34" i="3444" a="1"/>
  <c r="BA34" i="3444" s="1"/>
  <c r="AG34" i="3444" a="1"/>
  <c r="AG34" i="3444" s="1"/>
  <c r="M34" i="3444" a="1"/>
  <c r="M34" i="3444" s="1"/>
  <c r="AX34" i="3444" a="1"/>
  <c r="AX34" i="3444" s="1"/>
  <c r="AF34" i="3444" a="1"/>
  <c r="AF34" i="3444" s="1"/>
  <c r="AV34" i="3444" a="1"/>
  <c r="AV34" i="3444" s="1"/>
  <c r="AC34" i="3444" a="1"/>
  <c r="AC34" i="3444" s="1"/>
  <c r="K34" i="3444" a="1"/>
  <c r="K34" i="3444" s="1"/>
  <c r="AU34" i="3444" a="1"/>
  <c r="AU34" i="3444" s="1"/>
  <c r="AB34" i="3444" a="1"/>
  <c r="AB34" i="3444" s="1"/>
  <c r="AT34" i="3444" a="1"/>
  <c r="AT34" i="3444" s="1"/>
  <c r="Z34" i="3444" a="1"/>
  <c r="Z34" i="3444" s="1"/>
  <c r="BG34" i="3444" a="1"/>
  <c r="BG34" i="3444" s="1"/>
  <c r="AN34" i="3444" a="1"/>
  <c r="AN34" i="3444" s="1"/>
  <c r="U34" i="3444" a="1"/>
  <c r="U34" i="3444" s="1"/>
  <c r="BH34" i="3444" a="1"/>
  <c r="BH34" i="3444" s="1"/>
  <c r="AS34" i="3444" a="1"/>
  <c r="AS34" i="3444" s="1"/>
  <c r="AR34" i="3444" a="1"/>
  <c r="AR34" i="3444" s="1"/>
  <c r="AO34" i="3444" a="1"/>
  <c r="AO34" i="3444" s="1"/>
  <c r="X34" i="3444" a="1"/>
  <c r="X34" i="3444" s="1"/>
  <c r="L34" i="3444" a="1"/>
  <c r="L34" i="3444" s="1"/>
  <c r="Y34" i="3444" a="1"/>
  <c r="Y34" i="3444" s="1"/>
  <c r="P24" i="3576" a="1"/>
  <c r="P24" i="3576" s="1"/>
  <c r="R24" i="3576" s="1"/>
  <c r="X25" i="3576" s="1"/>
  <c r="AS29" i="3489" a="1"/>
  <c r="AS29" i="3489" s="1"/>
  <c r="BZ98" i="3448"/>
  <c r="CG97" i="3448"/>
  <c r="G83" i="3448"/>
  <c r="BW83" i="3448" s="1"/>
  <c r="BO83" i="3448"/>
  <c r="BP83" i="3448"/>
  <c r="I72" i="3523" a="1"/>
  <c r="I72" i="3523" s="1"/>
  <c r="H72" i="3523" a="1"/>
  <c r="H72" i="3523" s="1"/>
  <c r="BP67" i="3448"/>
  <c r="G67" i="3448"/>
  <c r="BW67" i="3448" s="1"/>
  <c r="BO67" i="3448"/>
  <c r="BO16" i="3448"/>
  <c r="G16" i="3448"/>
  <c r="BW16" i="3448" s="1"/>
  <c r="BP16" i="3448"/>
  <c r="G66" i="3436"/>
  <c r="I68" i="3444" s="1"/>
  <c r="AE75" i="3480"/>
  <c r="AL125" i="3434" a="1"/>
  <c r="AL125" i="3434" s="1"/>
  <c r="AK125" i="3434" a="1"/>
  <c r="AK125" i="3434" s="1"/>
  <c r="Y79" i="3436"/>
  <c r="AN95" i="3577" a="1"/>
  <c r="AN95" i="3577" s="1"/>
  <c r="AK95" i="3577" a="1"/>
  <c r="AK95" i="3577" s="1"/>
  <c r="AM95" i="3577" a="1"/>
  <c r="AM95" i="3577" s="1"/>
  <c r="AL95" i="3577" a="1"/>
  <c r="AL95" i="3577" s="1"/>
  <c r="G50" i="3436"/>
  <c r="AE47" i="3480"/>
  <c r="AL97" i="3434" a="1"/>
  <c r="AL97" i="3434" s="1"/>
  <c r="AK97" i="3434" a="1"/>
  <c r="AK97" i="3434" s="1"/>
  <c r="I31" i="3436"/>
  <c r="S26" i="3445" s="1" a="1"/>
  <c r="S26" i="3445" s="1"/>
  <c r="T26" i="3445" s="1"/>
  <c r="J83" i="3445" a="1"/>
  <c r="J83" i="3445" s="1"/>
  <c r="I83" i="3445" a="1"/>
  <c r="I83" i="3445" s="1"/>
  <c r="AN113" i="3577" a="1"/>
  <c r="AN113" i="3577" s="1"/>
  <c r="AK113" i="3577" a="1"/>
  <c r="AK113" i="3577" s="1"/>
  <c r="AM113" i="3577" a="1"/>
  <c r="AM113" i="3577" s="1"/>
  <c r="AL113" i="3577" a="1"/>
  <c r="AL113" i="3577" s="1"/>
  <c r="D16" i="3561"/>
  <c r="C4" i="3435"/>
  <c r="F57" i="3518" a="1"/>
  <c r="F57" i="3518" s="1"/>
  <c r="G57" i="3518" a="1"/>
  <c r="G57" i="3518" s="1"/>
  <c r="G29" i="3518" a="1"/>
  <c r="G29" i="3518" s="1"/>
  <c r="F29" i="3518" a="1"/>
  <c r="F29" i="3518" s="1"/>
  <c r="G19" i="3518" a="1"/>
  <c r="G19" i="3518" s="1"/>
  <c r="F19" i="3518" a="1"/>
  <c r="F19" i="3518" s="1"/>
  <c r="Q74" i="3528" a="1"/>
  <c r="Q74" i="3528" s="1"/>
  <c r="Q108" i="3528" a="1"/>
  <c r="Q108" i="3528" s="1"/>
  <c r="Q143" i="3528" a="1"/>
  <c r="Q143" i="3528" s="1"/>
  <c r="L122" i="3528" a="1"/>
  <c r="L122" i="3528" s="1"/>
  <c r="L87" i="3528" a="1"/>
  <c r="L87" i="3528" s="1"/>
  <c r="L53" i="3528" a="1"/>
  <c r="L53" i="3528" s="1"/>
  <c r="F66" i="3528" a="1"/>
  <c r="F66" i="3528" s="1"/>
  <c r="F135" i="3528" a="1"/>
  <c r="F135" i="3528" s="1"/>
  <c r="F100" i="3528" a="1"/>
  <c r="F100" i="3528" s="1"/>
  <c r="O83" i="3528" a="1"/>
  <c r="O83" i="3528" s="1"/>
  <c r="O49" i="3528" a="1"/>
  <c r="O49" i="3528" s="1"/>
  <c r="O118" i="3528" a="1"/>
  <c r="O118" i="3528" s="1"/>
  <c r="Q59" i="3528" a="1"/>
  <c r="Q59" i="3528" s="1"/>
  <c r="Q128" i="3528" a="1"/>
  <c r="Q128" i="3528" s="1"/>
  <c r="Q93" i="3528" a="1"/>
  <c r="Q93" i="3528" s="1"/>
  <c r="O59" i="3528" a="1"/>
  <c r="O59" i="3528" s="1"/>
  <c r="O93" i="3528" a="1"/>
  <c r="O93" i="3528" s="1"/>
  <c r="O128" i="3528" a="1"/>
  <c r="O128" i="3528" s="1"/>
  <c r="J125" i="3528" a="1"/>
  <c r="J125" i="3528" s="1"/>
  <c r="J90" i="3528" a="1"/>
  <c r="J90" i="3528" s="1"/>
  <c r="J56" i="3528" a="1"/>
  <c r="J56" i="3528" s="1"/>
  <c r="R145" i="3528" a="1"/>
  <c r="R145" i="3528" s="1"/>
  <c r="R110" i="3528" a="1"/>
  <c r="R110" i="3528" s="1"/>
  <c r="R76" i="3528" a="1"/>
  <c r="R76" i="3528" s="1"/>
  <c r="L124" i="3528" a="1"/>
  <c r="L124" i="3528" s="1"/>
  <c r="L55" i="3528" a="1"/>
  <c r="L55" i="3528" s="1"/>
  <c r="L89" i="3528" a="1"/>
  <c r="L89" i="3528" s="1"/>
  <c r="O126" i="3528" a="1"/>
  <c r="O126" i="3528" s="1"/>
  <c r="O91" i="3528" a="1"/>
  <c r="O91" i="3528" s="1"/>
  <c r="O57" i="3528" a="1"/>
  <c r="O57" i="3528" s="1"/>
  <c r="M99" i="3528" a="1"/>
  <c r="M99" i="3528" s="1"/>
  <c r="M134" i="3528" a="1"/>
  <c r="M134" i="3528" s="1"/>
  <c r="M65" i="3528" a="1"/>
  <c r="M65" i="3528" s="1"/>
  <c r="L140" i="3528" a="1"/>
  <c r="L140" i="3528" s="1"/>
  <c r="L71" i="3528" a="1"/>
  <c r="L71" i="3528" s="1"/>
  <c r="L105" i="3528" a="1"/>
  <c r="L105" i="3528" s="1"/>
  <c r="P98" i="3528" a="1"/>
  <c r="P98" i="3528" s="1"/>
  <c r="P64" i="3528" a="1"/>
  <c r="P64" i="3528" s="1"/>
  <c r="P133" i="3528" a="1"/>
  <c r="P133" i="3528" s="1"/>
  <c r="S130" i="3528" a="1"/>
  <c r="S130" i="3528" s="1"/>
  <c r="S95" i="3528" a="1"/>
  <c r="S95" i="3528" s="1"/>
  <c r="S61" i="3528" a="1"/>
  <c r="S61" i="3528" s="1"/>
  <c r="N60" i="3528" a="1"/>
  <c r="N60" i="3528" s="1"/>
  <c r="N94" i="3528" a="1"/>
  <c r="N94" i="3528" s="1"/>
  <c r="N129" i="3528" a="1"/>
  <c r="N129" i="3528" s="1"/>
  <c r="L51" i="3528" a="1"/>
  <c r="L51" i="3528" s="1"/>
  <c r="L85" i="3528" a="1"/>
  <c r="L85" i="3528" s="1"/>
  <c r="L120" i="3528" a="1"/>
  <c r="L120" i="3528" s="1"/>
  <c r="P92" i="3528" a="1"/>
  <c r="P92" i="3528" s="1"/>
  <c r="P127" i="3528" a="1"/>
  <c r="P127" i="3528" s="1"/>
  <c r="P58" i="3528" a="1"/>
  <c r="P58" i="3528" s="1"/>
  <c r="J101" i="3528" a="1"/>
  <c r="J101" i="3528" s="1"/>
  <c r="J136" i="3528" a="1"/>
  <c r="J136" i="3528" s="1"/>
  <c r="J67" i="3528" a="1"/>
  <c r="J67" i="3528" s="1"/>
  <c r="DO59" i="3479" a="1"/>
  <c r="DO59" i="3479" s="1"/>
  <c r="DP59" i="3479" s="1" a="1"/>
  <c r="DP59" i="3479" s="1"/>
  <c r="DN59" i="3479" a="1"/>
  <c r="DN59" i="3479" s="1"/>
  <c r="DQ59" i="3479" s="1" a="1"/>
  <c r="DQ59" i="3479" s="1"/>
  <c r="DR59" i="3479" s="1" a="1"/>
  <c r="DR59" i="3479" s="1"/>
  <c r="BV40" i="3479" a="1"/>
  <c r="BV40" i="3479" s="1"/>
  <c r="BW40" i="3479" s="1" a="1"/>
  <c r="BW40" i="3479" s="1"/>
  <c r="BU40" i="3479" a="1"/>
  <c r="BU40" i="3479" s="1"/>
  <c r="AJ34" i="3479" a="1"/>
  <c r="AJ34" i="3479" s="1"/>
  <c r="AI34" i="3479" a="1"/>
  <c r="AI34" i="3479" s="1"/>
  <c r="AH34" i="3479" a="1"/>
  <c r="AH34" i="3479" s="1"/>
  <c r="BC78" i="3489" a="1"/>
  <c r="BC78" i="3489" s="1"/>
  <c r="AQ78" i="3489" a="1"/>
  <c r="AQ78" i="3489" s="1"/>
  <c r="AE78" i="3489" a="1"/>
  <c r="AE78" i="3489" s="1"/>
  <c r="S78" i="3489" a="1"/>
  <c r="S78" i="3489" s="1"/>
  <c r="AK78" i="3489" a="1"/>
  <c r="AK78" i="3489" s="1"/>
  <c r="AX78" i="3489" a="1"/>
  <c r="AX78" i="3489" s="1"/>
  <c r="W78" i="3489" a="1"/>
  <c r="W78" i="3489" s="1"/>
  <c r="AJ78" i="3489" a="1"/>
  <c r="AJ78" i="3489" s="1"/>
  <c r="AW78" i="3489" a="1"/>
  <c r="AW78" i="3489" s="1"/>
  <c r="V78" i="3489" a="1"/>
  <c r="V78" i="3489" s="1"/>
  <c r="AV78" i="3489" a="1"/>
  <c r="AV78" i="3489" s="1"/>
  <c r="U78" i="3489" a="1"/>
  <c r="U78" i="3489" s="1"/>
  <c r="BE78" i="3489" a="1"/>
  <c r="BE78" i="3489" s="1"/>
  <c r="AP78" i="3489" a="1"/>
  <c r="AP78" i="3489" s="1"/>
  <c r="O78" i="3489" a="1"/>
  <c r="O78" i="3489" s="1"/>
  <c r="AA78" i="3489" a="1"/>
  <c r="AA78" i="3489" s="1"/>
  <c r="AS78" i="3489" a="1"/>
  <c r="AS78" i="3489" s="1"/>
  <c r="BI78" i="3489" a="1"/>
  <c r="BI78" i="3489" s="1"/>
  <c r="Z78" i="3489" a="1"/>
  <c r="Z78" i="3489" s="1"/>
  <c r="AR78" i="3489" a="1"/>
  <c r="AR78" i="3489" s="1"/>
  <c r="BH78" i="3489" a="1"/>
  <c r="BH78" i="3489" s="1"/>
  <c r="Y78" i="3489" a="1"/>
  <c r="Y78" i="3489" s="1"/>
  <c r="AO78" i="3489" a="1"/>
  <c r="AO78" i="3489" s="1"/>
  <c r="B78" i="3489"/>
  <c r="BG78" i="3489" a="1"/>
  <c r="BG78" i="3489" s="1"/>
  <c r="X78" i="3489" a="1"/>
  <c r="X78" i="3489" s="1"/>
  <c r="AN78" i="3489" a="1"/>
  <c r="AN78" i="3489" s="1"/>
  <c r="BF78" i="3489" a="1"/>
  <c r="BF78" i="3489" s="1"/>
  <c r="AM78" i="3489" a="1"/>
  <c r="AM78" i="3489" s="1"/>
  <c r="T78" i="3489" a="1"/>
  <c r="T78" i="3489" s="1"/>
  <c r="R78" i="3489" a="1"/>
  <c r="R78" i="3489" s="1"/>
  <c r="BB78" i="3489" a="1"/>
  <c r="BB78" i="3489" s="1"/>
  <c r="Q78" i="3489" a="1"/>
  <c r="Q78" i="3489" s="1"/>
  <c r="AI78" i="3489" a="1"/>
  <c r="AI78" i="3489" s="1"/>
  <c r="BA78" i="3489" a="1"/>
  <c r="BA78" i="3489" s="1"/>
  <c r="AH78" i="3489" a="1"/>
  <c r="AH78" i="3489" s="1"/>
  <c r="P78" i="3489" a="1"/>
  <c r="P78" i="3489" s="1"/>
  <c r="AZ78" i="3489" a="1"/>
  <c r="AZ78" i="3489" s="1"/>
  <c r="AG78" i="3489" a="1"/>
  <c r="AG78" i="3489" s="1"/>
  <c r="AB78" i="3489" a="1"/>
  <c r="AB78" i="3489" s="1"/>
  <c r="M78" i="3489" a="1"/>
  <c r="M78" i="3489" s="1"/>
  <c r="L78" i="3489" a="1"/>
  <c r="L78" i="3489" s="1"/>
  <c r="K78" i="3489" a="1"/>
  <c r="K78" i="3489" s="1"/>
  <c r="BD78" i="3489" a="1"/>
  <c r="BD78" i="3489" s="1"/>
  <c r="AU78" i="3489" a="1"/>
  <c r="AU78" i="3489" s="1"/>
  <c r="AT78" i="3489" a="1"/>
  <c r="AT78" i="3489" s="1"/>
  <c r="AL78" i="3489" a="1"/>
  <c r="AL78" i="3489" s="1"/>
  <c r="AF78" i="3489" a="1"/>
  <c r="AF78" i="3489" s="1"/>
  <c r="N78" i="3489" a="1"/>
  <c r="N78" i="3489" s="1"/>
  <c r="AY78" i="3489" a="1"/>
  <c r="AY78" i="3489" s="1"/>
  <c r="AC78" i="3489" a="1"/>
  <c r="AC78" i="3489" s="1"/>
  <c r="AD78" i="3489" a="1"/>
  <c r="AD78" i="3489" s="1"/>
  <c r="AR40" i="3479" a="1"/>
  <c r="AR40" i="3479" s="1"/>
  <c r="AS40" i="3479" s="1" a="1"/>
  <c r="AS40" i="3479" s="1"/>
  <c r="AQ40" i="3479" a="1"/>
  <c r="AQ40" i="3479" s="1"/>
  <c r="AR46" i="3479" a="1"/>
  <c r="AR46" i="3479" s="1"/>
  <c r="AS46" i="3479" s="1" a="1"/>
  <c r="AS46" i="3479" s="1"/>
  <c r="AQ46" i="3479" a="1"/>
  <c r="AQ46" i="3479" s="1"/>
  <c r="CK32" i="3479" a="1"/>
  <c r="CK32" i="3479" s="1"/>
  <c r="CL32" i="3479" s="1" a="1"/>
  <c r="CL32" i="3479" s="1"/>
  <c r="CJ32" i="3479" a="1"/>
  <c r="CJ32" i="3479" s="1"/>
  <c r="BF45" i="3479" a="1"/>
  <c r="BF45" i="3479" s="1"/>
  <c r="BG45" i="3479" a="1"/>
  <c r="BG45" i="3479" s="1"/>
  <c r="BH45" i="3479" s="1" a="1"/>
  <c r="BH45" i="3479" s="1"/>
  <c r="ER70" i="3479" a="1"/>
  <c r="ER70" i="3479" s="1"/>
  <c r="EU70" i="3479" s="1" a="1"/>
  <c r="EU70" i="3479" s="1"/>
  <c r="EV70" i="3479" s="1" a="1"/>
  <c r="EV70" i="3479" s="1"/>
  <c r="ES70" i="3479" a="1"/>
  <c r="ES70" i="3479" s="1"/>
  <c r="ET70" i="3479" s="1" a="1"/>
  <c r="ET70" i="3479" s="1"/>
  <c r="M68" i="3479" a="1"/>
  <c r="M68" i="3479" s="1"/>
  <c r="N68" i="3479" a="1"/>
  <c r="N68" i="3479" s="1"/>
  <c r="O68" i="3479" s="1" a="1"/>
  <c r="O68" i="3479" s="1"/>
  <c r="AR51" i="3479" a="1"/>
  <c r="AR51" i="3479" s="1"/>
  <c r="AS51" i="3479" s="1" a="1"/>
  <c r="AS51" i="3479" s="1"/>
  <c r="AQ51" i="3479" a="1"/>
  <c r="AQ51" i="3479" s="1"/>
  <c r="BG29" i="3479" a="1"/>
  <c r="BG29" i="3479" s="1"/>
  <c r="BH29" i="3479" s="1" a="1"/>
  <c r="BH29" i="3479" s="1"/>
  <c r="BF29" i="3479" a="1"/>
  <c r="BF29" i="3479" s="1"/>
  <c r="ES54" i="3479" a="1"/>
  <c r="ES54" i="3479" s="1"/>
  <c r="ET54" i="3479" s="1" a="1"/>
  <c r="ET54" i="3479" s="1"/>
  <c r="ER54" i="3479" a="1"/>
  <c r="ER54" i="3479" s="1"/>
  <c r="EU54" i="3479" s="1" a="1"/>
  <c r="EU54" i="3479" s="1"/>
  <c r="EV54" i="3479" s="1" a="1"/>
  <c r="EV54" i="3479" s="1"/>
  <c r="CK55" i="3479" a="1"/>
  <c r="CK55" i="3479" s="1"/>
  <c r="CL55" i="3479" s="1" a="1"/>
  <c r="CL55" i="3479" s="1"/>
  <c r="CJ55" i="3479" a="1"/>
  <c r="CJ55" i="3479" s="1"/>
  <c r="K50" i="3560"/>
  <c r="I50" i="3560"/>
  <c r="O50" i="3560" s="1" a="1"/>
  <c r="O50" i="3560" s="1"/>
  <c r="J50" i="3560"/>
  <c r="P50" i="3560" s="1" a="1"/>
  <c r="P50" i="3560" s="1"/>
  <c r="L50" i="3560"/>
  <c r="CZ35" i="3479" a="1"/>
  <c r="CZ35" i="3479" s="1"/>
  <c r="DA35" i="3479" s="1" a="1"/>
  <c r="DA35" i="3479" s="1"/>
  <c r="CY35" i="3479" a="1"/>
  <c r="CY35" i="3479" s="1"/>
  <c r="DB35" i="3479" s="1" a="1"/>
  <c r="DB35" i="3479" s="1"/>
  <c r="DC35" i="3479" s="1" a="1"/>
  <c r="DC35" i="3479" s="1"/>
  <c r="L46" i="3445"/>
  <c r="M46" i="3445" s="1"/>
  <c r="H27" i="3436" s="1"/>
  <c r="A46" i="3445"/>
  <c r="BE68" i="3444" a="1"/>
  <c r="BE68" i="3444" s="1"/>
  <c r="AS68" i="3444" a="1"/>
  <c r="AS68" i="3444" s="1"/>
  <c r="AG68" i="3444" a="1"/>
  <c r="AG68" i="3444" s="1"/>
  <c r="U68" i="3444" a="1"/>
  <c r="U68" i="3444" s="1"/>
  <c r="BD68" i="3444" a="1"/>
  <c r="BD68" i="3444" s="1"/>
  <c r="AR68" i="3444" a="1"/>
  <c r="AR68" i="3444" s="1"/>
  <c r="AF68" i="3444" a="1"/>
  <c r="AF68" i="3444" s="1"/>
  <c r="T68" i="3444" a="1"/>
  <c r="T68" i="3444" s="1"/>
  <c r="BC68" i="3444" a="1"/>
  <c r="BC68" i="3444" s="1"/>
  <c r="AQ68" i="3444" a="1"/>
  <c r="AQ68" i="3444" s="1"/>
  <c r="AE68" i="3444" a="1"/>
  <c r="AE68" i="3444" s="1"/>
  <c r="S68" i="3444" a="1"/>
  <c r="S68" i="3444" s="1"/>
  <c r="AZ68" i="3444" a="1"/>
  <c r="AZ68" i="3444" s="1"/>
  <c r="AN68" i="3444" a="1"/>
  <c r="AN68" i="3444" s="1"/>
  <c r="AB68" i="3444" a="1"/>
  <c r="AB68" i="3444" s="1"/>
  <c r="P68" i="3444" a="1"/>
  <c r="P68" i="3444" s="1"/>
  <c r="AY68" i="3444" a="1"/>
  <c r="AY68" i="3444" s="1"/>
  <c r="AK68" i="3444" a="1"/>
  <c r="AK68" i="3444" s="1"/>
  <c r="W68" i="3444" a="1"/>
  <c r="W68" i="3444" s="1"/>
  <c r="AX68" i="3444" a="1"/>
  <c r="AX68" i="3444" s="1"/>
  <c r="AJ68" i="3444" a="1"/>
  <c r="AJ68" i="3444" s="1"/>
  <c r="V68" i="3444" a="1"/>
  <c r="V68" i="3444" s="1"/>
  <c r="AW68" i="3444" a="1"/>
  <c r="AW68" i="3444" s="1"/>
  <c r="AI68" i="3444" a="1"/>
  <c r="AI68" i="3444" s="1"/>
  <c r="BH68" i="3444" a="1"/>
  <c r="BH68" i="3444" s="1"/>
  <c r="AT68" i="3444" a="1"/>
  <c r="AT68" i="3444" s="1"/>
  <c r="AD68" i="3444" a="1"/>
  <c r="AD68" i="3444" s="1"/>
  <c r="BF68" i="3444" a="1"/>
  <c r="BF68" i="3444" s="1"/>
  <c r="N68" i="3444" a="1"/>
  <c r="N68" i="3444" s="1"/>
  <c r="AP68" i="3444" a="1"/>
  <c r="AP68" i="3444" s="1"/>
  <c r="Z68" i="3444" a="1"/>
  <c r="Z68" i="3444" s="1"/>
  <c r="L68" i="3444" a="1"/>
  <c r="L68" i="3444" s="1"/>
  <c r="AM68" i="3444" a="1"/>
  <c r="AM68" i="3444" s="1"/>
  <c r="BG68" i="3444" a="1"/>
  <c r="BG68" i="3444" s="1"/>
  <c r="AC68" i="3444" a="1"/>
  <c r="AC68" i="3444" s="1"/>
  <c r="BA68" i="3444" a="1"/>
  <c r="BA68" i="3444" s="1"/>
  <c r="Y68" i="3444" a="1"/>
  <c r="Y68" i="3444" s="1"/>
  <c r="AV68" i="3444" a="1"/>
  <c r="AV68" i="3444" s="1"/>
  <c r="Q68" i="3444" a="1"/>
  <c r="Q68" i="3444" s="1"/>
  <c r="O68" i="3444" a="1"/>
  <c r="O68" i="3444" s="1"/>
  <c r="AO68" i="3444" a="1"/>
  <c r="AO68" i="3444" s="1"/>
  <c r="M68" i="3444" a="1"/>
  <c r="M68" i="3444" s="1"/>
  <c r="AH68" i="3444" a="1"/>
  <c r="AH68" i="3444" s="1"/>
  <c r="BB68" i="3444" a="1"/>
  <c r="BB68" i="3444" s="1"/>
  <c r="AA68" i="3444" a="1"/>
  <c r="AA68" i="3444" s="1"/>
  <c r="X68" i="3444" a="1"/>
  <c r="X68" i="3444" s="1"/>
  <c r="R68" i="3444" a="1"/>
  <c r="R68" i="3444" s="1"/>
  <c r="AU68" i="3444" a="1"/>
  <c r="AU68" i="3444" s="1"/>
  <c r="K68" i="3444" a="1"/>
  <c r="K68" i="3444" s="1"/>
  <c r="AL68" i="3444" a="1"/>
  <c r="AL68" i="3444" s="1"/>
  <c r="A71" i="3444"/>
  <c r="A48" i="3444"/>
  <c r="A23" i="3444"/>
  <c r="N64" i="3479" a="1"/>
  <c r="N64" i="3479" s="1"/>
  <c r="O64" i="3479" s="1" a="1"/>
  <c r="O64" i="3479" s="1"/>
  <c r="M64" i="3479" a="1"/>
  <c r="M64" i="3479" s="1"/>
  <c r="ED53" i="3479" a="1"/>
  <c r="ED53" i="3479" s="1"/>
  <c r="EE53" i="3479" s="1" a="1"/>
  <c r="EE53" i="3479" s="1"/>
  <c r="EC53" i="3479" a="1"/>
  <c r="EC53" i="3479" s="1"/>
  <c r="EF53" i="3479" s="1" a="1"/>
  <c r="EF53" i="3479" s="1"/>
  <c r="EG53" i="3479" s="1" a="1"/>
  <c r="EG53" i="3479" s="1"/>
  <c r="BV33" i="3479" a="1"/>
  <c r="BV33" i="3479" s="1"/>
  <c r="BW33" i="3479" s="1" a="1"/>
  <c r="BW33" i="3479" s="1"/>
  <c r="BU33" i="3479" a="1"/>
  <c r="BU33" i="3479" s="1"/>
  <c r="BV69" i="3479" a="1"/>
  <c r="BV69" i="3479" s="1"/>
  <c r="BW69" i="3479" s="1" a="1"/>
  <c r="BW69" i="3479" s="1"/>
  <c r="BU69" i="3479" a="1"/>
  <c r="BU69" i="3479" s="1"/>
  <c r="CK41" i="3479" a="1"/>
  <c r="CK41" i="3479" s="1"/>
  <c r="CL41" i="3479" s="1" a="1"/>
  <c r="CL41" i="3479" s="1"/>
  <c r="CJ41" i="3479" a="1"/>
  <c r="CJ41" i="3479" s="1"/>
  <c r="CK69" i="3479" a="1"/>
  <c r="CK69" i="3479" s="1"/>
  <c r="CL69" i="3479" s="1" a="1"/>
  <c r="CL69" i="3479" s="1"/>
  <c r="CJ69" i="3479" a="1"/>
  <c r="CJ69" i="3479" s="1"/>
  <c r="BF35" i="3479" a="1"/>
  <c r="BF35" i="3479" s="1"/>
  <c r="BG35" i="3479" a="1"/>
  <c r="BG35" i="3479" s="1"/>
  <c r="BH35" i="3479" s="1" a="1"/>
  <c r="BH35" i="3479" s="1"/>
  <c r="BG57" i="3479" a="1"/>
  <c r="BG57" i="3479" s="1"/>
  <c r="BH57" i="3479" s="1" a="1"/>
  <c r="BH57" i="3479" s="1"/>
  <c r="BF57" i="3479" a="1"/>
  <c r="BF57" i="3479" s="1"/>
  <c r="ES58" i="3479" a="1"/>
  <c r="ES58" i="3479" s="1"/>
  <c r="ET58" i="3479" s="1" a="1"/>
  <c r="ET58" i="3479" s="1"/>
  <c r="ER58" i="3479" a="1"/>
  <c r="ER58" i="3479" s="1"/>
  <c r="EU58" i="3479" s="1" a="1"/>
  <c r="EU58" i="3479" s="1"/>
  <c r="EV58" i="3479" s="1" a="1"/>
  <c r="EV58" i="3479" s="1"/>
  <c r="DO31" i="3479" a="1"/>
  <c r="DO31" i="3479" s="1"/>
  <c r="DP31" i="3479" s="1" a="1"/>
  <c r="DP31" i="3479" s="1"/>
  <c r="DN31" i="3479" a="1"/>
  <c r="DN31" i="3479" s="1"/>
  <c r="DQ31" i="3479" s="1" a="1"/>
  <c r="DQ31" i="3479" s="1"/>
  <c r="DR31" i="3479" s="1" a="1"/>
  <c r="DR31" i="3479" s="1"/>
  <c r="DO30" i="3479" a="1"/>
  <c r="DO30" i="3479" s="1"/>
  <c r="DP30" i="3479" s="1" a="1"/>
  <c r="DP30" i="3479" s="1"/>
  <c r="DN30" i="3479" a="1"/>
  <c r="DN30" i="3479" s="1"/>
  <c r="DQ30" i="3479" s="1" a="1"/>
  <c r="DQ30" i="3479" s="1"/>
  <c r="DR30" i="3479" s="1" a="1"/>
  <c r="DR30" i="3479" s="1"/>
  <c r="AC32" i="3479" a="1"/>
  <c r="AC32" i="3479" s="1"/>
  <c r="AD32" i="3479" s="1" a="1"/>
  <c r="AD32" i="3479" s="1"/>
  <c r="AB32" i="3479" a="1"/>
  <c r="AB32" i="3479" s="1"/>
  <c r="AC25" i="3479" a="1"/>
  <c r="AC25" i="3479" s="1"/>
  <c r="AD25" i="3479" s="1" a="1"/>
  <c r="AD25" i="3479" s="1"/>
  <c r="AB25" i="3479" a="1"/>
  <c r="AB25" i="3479" s="1"/>
  <c r="CK27" i="3479" a="1"/>
  <c r="CK27" i="3479" s="1"/>
  <c r="CL27" i="3479" s="1" a="1"/>
  <c r="CL27" i="3479" s="1"/>
  <c r="CJ27" i="3479" a="1"/>
  <c r="CJ27" i="3479" s="1"/>
  <c r="L72" i="3560"/>
  <c r="K72" i="3560"/>
  <c r="I72" i="3560"/>
  <c r="O72" i="3560" s="1" a="1"/>
  <c r="O72" i="3560" s="1"/>
  <c r="J72" i="3560"/>
  <c r="P72" i="3560" s="1" a="1"/>
  <c r="P72" i="3560" s="1"/>
  <c r="O39" i="3445"/>
  <c r="AX57" i="3444" a="1"/>
  <c r="AX57" i="3444" s="1"/>
  <c r="AL57" i="3444" a="1"/>
  <c r="AL57" i="3444" s="1"/>
  <c r="Z57" i="3444" a="1"/>
  <c r="Z57" i="3444" s="1"/>
  <c r="N57" i="3444" a="1"/>
  <c r="N57" i="3444" s="1"/>
  <c r="AW57" i="3444" a="1"/>
  <c r="AW57" i="3444" s="1"/>
  <c r="AK57" i="3444" a="1"/>
  <c r="AK57" i="3444" s="1"/>
  <c r="Y57" i="3444" a="1"/>
  <c r="Y57" i="3444" s="1"/>
  <c r="M57" i="3444" a="1"/>
  <c r="M57" i="3444" s="1"/>
  <c r="BE57" i="3444" a="1"/>
  <c r="BE57" i="3444" s="1"/>
  <c r="AP57" i="3444" a="1"/>
  <c r="AP57" i="3444" s="1"/>
  <c r="AA57" i="3444" a="1"/>
  <c r="AA57" i="3444" s="1"/>
  <c r="X57" i="3444" a="1"/>
  <c r="X57" i="3444" s="1"/>
  <c r="BD57" i="3444" a="1"/>
  <c r="BD57" i="3444" s="1"/>
  <c r="AO57" i="3444" a="1"/>
  <c r="AO57" i="3444" s="1"/>
  <c r="W57" i="3444" a="1"/>
  <c r="W57" i="3444" s="1"/>
  <c r="AJ57" i="3444" a="1"/>
  <c r="AJ57" i="3444" s="1"/>
  <c r="BA57" i="3444" a="1"/>
  <c r="BA57" i="3444" s="1"/>
  <c r="T57" i="3444" a="1"/>
  <c r="T57" i="3444" s="1"/>
  <c r="AH57" i="3444" a="1"/>
  <c r="AH57" i="3444" s="1"/>
  <c r="AF57" i="3444" a="1"/>
  <c r="AF57" i="3444" s="1"/>
  <c r="Q57" i="3444" a="1"/>
  <c r="Q57" i="3444" s="1"/>
  <c r="AE57" i="3444" a="1"/>
  <c r="AE57" i="3444" s="1"/>
  <c r="P57" i="3444" a="1"/>
  <c r="P57" i="3444" s="1"/>
  <c r="BF57" i="3444" a="1"/>
  <c r="BF57" i="3444" s="1"/>
  <c r="BC57" i="3444" a="1"/>
  <c r="BC57" i="3444" s="1"/>
  <c r="AD57" i="3444" a="1"/>
  <c r="AD57" i="3444" s="1"/>
  <c r="BB57" i="3444" a="1"/>
  <c r="BB57" i="3444" s="1"/>
  <c r="AC57" i="3444" a="1"/>
  <c r="AC57" i="3444" s="1"/>
  <c r="AZ57" i="3444" a="1"/>
  <c r="AZ57" i="3444" s="1"/>
  <c r="AB57" i="3444" a="1"/>
  <c r="AB57" i="3444" s="1"/>
  <c r="AY57" i="3444" a="1"/>
  <c r="AY57" i="3444" s="1"/>
  <c r="S57" i="3444" a="1"/>
  <c r="S57" i="3444" s="1"/>
  <c r="AR57" i="3444" a="1"/>
  <c r="AR57" i="3444" s="1"/>
  <c r="R57" i="3444" a="1"/>
  <c r="R57" i="3444" s="1"/>
  <c r="AQ57" i="3444" a="1"/>
  <c r="AQ57" i="3444" s="1"/>
  <c r="AN57" i="3444" a="1"/>
  <c r="AN57" i="3444" s="1"/>
  <c r="O57" i="3444" a="1"/>
  <c r="O57" i="3444" s="1"/>
  <c r="L57" i="3444" a="1"/>
  <c r="L57" i="3444" s="1"/>
  <c r="BH57" i="3444" a="1"/>
  <c r="BH57" i="3444" s="1"/>
  <c r="BG57" i="3444" a="1"/>
  <c r="BG57" i="3444" s="1"/>
  <c r="K57" i="3444" a="1"/>
  <c r="K57" i="3444" s="1"/>
  <c r="AV57" i="3444" a="1"/>
  <c r="AV57" i="3444" s="1"/>
  <c r="AU57" i="3444" a="1"/>
  <c r="AU57" i="3444" s="1"/>
  <c r="AT57" i="3444" a="1"/>
  <c r="AT57" i="3444" s="1"/>
  <c r="AM57" i="3444" a="1"/>
  <c r="AM57" i="3444" s="1"/>
  <c r="V57" i="3444" a="1"/>
  <c r="V57" i="3444" s="1"/>
  <c r="U57" i="3444" a="1"/>
  <c r="U57" i="3444" s="1"/>
  <c r="AS57" i="3444" a="1"/>
  <c r="AS57" i="3444" s="1"/>
  <c r="AI57" i="3444" a="1"/>
  <c r="AI57" i="3444" s="1"/>
  <c r="AG57" i="3444" a="1"/>
  <c r="AG57" i="3444" s="1"/>
  <c r="A41" i="3444"/>
  <c r="J41" i="3444"/>
  <c r="BB29" i="3489" a="1"/>
  <c r="BB29" i="3489" s="1"/>
  <c r="AT27" i="3479" a="1"/>
  <c r="AT27" i="3479" s="1"/>
  <c r="AU27" i="3479" s="1" a="1"/>
  <c r="AU27" i="3479" s="1"/>
  <c r="AH28" i="3479" a="1"/>
  <c r="AH28" i="3479" s="1"/>
  <c r="O62" i="3445"/>
  <c r="N62" i="3445" a="1"/>
  <c r="N62" i="3445" s="1"/>
  <c r="L62" i="3445"/>
  <c r="M62" i="3445" s="1"/>
  <c r="H43" i="3436" s="1"/>
  <c r="J73" i="3445" a="1"/>
  <c r="J73" i="3445" s="1"/>
  <c r="P73" i="3445" s="1"/>
  <c r="Q73" i="3445" s="1"/>
  <c r="T39" i="3445"/>
  <c r="A72" i="3444"/>
  <c r="O44" i="3445"/>
  <c r="N52" i="3445" a="1"/>
  <c r="N52" i="3445" s="1"/>
  <c r="O46" i="3445"/>
  <c r="L70" i="3445"/>
  <c r="M70" i="3445" s="1"/>
  <c r="H51" i="3436" s="1"/>
  <c r="A45" i="3445"/>
  <c r="A34" i="3444"/>
  <c r="A32" i="3444"/>
  <c r="AV89" i="3489" a="1"/>
  <c r="AV89" i="3489" s="1"/>
  <c r="AQ89" i="3489" a="1"/>
  <c r="AQ89" i="3489" s="1"/>
  <c r="AB92" i="3489" a="1"/>
  <c r="AB92" i="3489" s="1"/>
  <c r="AI92" i="3489" a="1"/>
  <c r="AI92" i="3489" s="1"/>
  <c r="AX38" i="3489" a="1"/>
  <c r="AX38" i="3489" s="1"/>
  <c r="AL38" i="3489" a="1"/>
  <c r="AL38" i="3489" s="1"/>
  <c r="Z38" i="3489" a="1"/>
  <c r="Z38" i="3489" s="1"/>
  <c r="N38" i="3489" a="1"/>
  <c r="N38" i="3489" s="1"/>
  <c r="BH38" i="3489" a="1"/>
  <c r="BH38" i="3489" s="1"/>
  <c r="AV38" i="3489" a="1"/>
  <c r="AV38" i="3489" s="1"/>
  <c r="AJ38" i="3489" a="1"/>
  <c r="AJ38" i="3489" s="1"/>
  <c r="X38" i="3489" a="1"/>
  <c r="X38" i="3489" s="1"/>
  <c r="L38" i="3489" a="1"/>
  <c r="L38" i="3489" s="1"/>
  <c r="AK38" i="3489" a="1"/>
  <c r="AK38" i="3489" s="1"/>
  <c r="AZ38" i="3489" a="1"/>
  <c r="AZ38" i="3489" s="1"/>
  <c r="V38" i="3489" a="1"/>
  <c r="V38" i="3489" s="1"/>
  <c r="AY38" i="3489" a="1"/>
  <c r="AY38" i="3489" s="1"/>
  <c r="AI38" i="3489" a="1"/>
  <c r="AI38" i="3489" s="1"/>
  <c r="U38" i="3489" a="1"/>
  <c r="U38" i="3489" s="1"/>
  <c r="AW38" i="3489" a="1"/>
  <c r="AW38" i="3489" s="1"/>
  <c r="BF38" i="3489" a="1"/>
  <c r="BF38" i="3489" s="1"/>
  <c r="AR38" i="3489" a="1"/>
  <c r="AR38" i="3489" s="1"/>
  <c r="AD38" i="3489" a="1"/>
  <c r="AD38" i="3489" s="1"/>
  <c r="P38" i="3489" a="1"/>
  <c r="P38" i="3489" s="1"/>
  <c r="AN38" i="3489" a="1"/>
  <c r="AN38" i="3489" s="1"/>
  <c r="R38" i="3489" a="1"/>
  <c r="R38" i="3489" s="1"/>
  <c r="BE38" i="3489" a="1"/>
  <c r="BE38" i="3489" s="1"/>
  <c r="AM38" i="3489" a="1"/>
  <c r="AM38" i="3489" s="1"/>
  <c r="Q38" i="3489" a="1"/>
  <c r="Q38" i="3489" s="1"/>
  <c r="BD38" i="3489" a="1"/>
  <c r="BD38" i="3489" s="1"/>
  <c r="AH38" i="3489" a="1"/>
  <c r="AH38" i="3489" s="1"/>
  <c r="BC38" i="3489" a="1"/>
  <c r="BC38" i="3489" s="1"/>
  <c r="AG38" i="3489" a="1"/>
  <c r="AG38" i="3489" s="1"/>
  <c r="M38" i="3489" a="1"/>
  <c r="M38" i="3489" s="1"/>
  <c r="BB38" i="3489" a="1"/>
  <c r="BB38" i="3489" s="1"/>
  <c r="AF38" i="3489" a="1"/>
  <c r="AF38" i="3489" s="1"/>
  <c r="K38" i="3489" a="1"/>
  <c r="K38" i="3489" s="1"/>
  <c r="BA38" i="3489" a="1"/>
  <c r="BA38" i="3489" s="1"/>
  <c r="AE38" i="3489" a="1"/>
  <c r="AE38" i="3489" s="1"/>
  <c r="AS38" i="3489" a="1"/>
  <c r="AS38" i="3489" s="1"/>
  <c r="Y38" i="3489" a="1"/>
  <c r="Y38" i="3489" s="1"/>
  <c r="AQ38" i="3489" a="1"/>
  <c r="AQ38" i="3489" s="1"/>
  <c r="AP38" i="3489" a="1"/>
  <c r="AP38" i="3489" s="1"/>
  <c r="B38" i="3489"/>
  <c r="AO38" i="3489" a="1"/>
  <c r="AO38" i="3489" s="1"/>
  <c r="BI38" i="3489" a="1"/>
  <c r="BI38" i="3489" s="1"/>
  <c r="AA38" i="3489" a="1"/>
  <c r="AA38" i="3489" s="1"/>
  <c r="T38" i="3489" a="1"/>
  <c r="T38" i="3489" s="1"/>
  <c r="S38" i="3489" a="1"/>
  <c r="S38" i="3489" s="1"/>
  <c r="BG38" i="3489" a="1"/>
  <c r="BG38" i="3489" s="1"/>
  <c r="AU38" i="3489" a="1"/>
  <c r="AU38" i="3489" s="1"/>
  <c r="AT38" i="3489" a="1"/>
  <c r="AT38" i="3489" s="1"/>
  <c r="AB38" i="3489" a="1"/>
  <c r="AB38" i="3489" s="1"/>
  <c r="W38" i="3489" a="1"/>
  <c r="W38" i="3489" s="1"/>
  <c r="O38" i="3489" a="1"/>
  <c r="O38" i="3489" s="1"/>
  <c r="AC38" i="3489" a="1"/>
  <c r="AC38" i="3489" s="1"/>
  <c r="AS52" i="3489" a="1"/>
  <c r="AS52" i="3489" s="1"/>
  <c r="AD52" i="3489" a="1"/>
  <c r="AD52" i="3489" s="1"/>
  <c r="S29" i="3489" a="1"/>
  <c r="S29" i="3489" s="1"/>
  <c r="P29" i="3489" a="1"/>
  <c r="P29" i="3489" s="1"/>
  <c r="AZ57" i="3489" a="1"/>
  <c r="AZ57" i="3489" s="1"/>
  <c r="AN57" i="3489" a="1"/>
  <c r="AN57" i="3489" s="1"/>
  <c r="AB57" i="3489" a="1"/>
  <c r="AB57" i="3489" s="1"/>
  <c r="P57" i="3489" a="1"/>
  <c r="P57" i="3489" s="1"/>
  <c r="B57" i="3489"/>
  <c r="AR57" i="3489" a="1"/>
  <c r="AR57" i="3489" s="1"/>
  <c r="S57" i="3489" a="1"/>
  <c r="S57" i="3489" s="1"/>
  <c r="BD57" i="3489" a="1"/>
  <c r="BD57" i="3489" s="1"/>
  <c r="AE57" i="3489" a="1"/>
  <c r="AE57" i="3489" s="1"/>
  <c r="AQ57" i="3489" a="1"/>
  <c r="AQ57" i="3489" s="1"/>
  <c r="R57" i="3489" a="1"/>
  <c r="R57" i="3489" s="1"/>
  <c r="BC57" i="3489" a="1"/>
  <c r="BC57" i="3489" s="1"/>
  <c r="AD57" i="3489" a="1"/>
  <c r="AD57" i="3489" s="1"/>
  <c r="BB57" i="3489" a="1"/>
  <c r="BB57" i="3489" s="1"/>
  <c r="AC57" i="3489" a="1"/>
  <c r="AC57" i="3489" s="1"/>
  <c r="AK57" i="3489" a="1"/>
  <c r="AK57" i="3489" s="1"/>
  <c r="L57" i="3489" a="1"/>
  <c r="L57" i="3489" s="1"/>
  <c r="AW57" i="3489" a="1"/>
  <c r="AW57" i="3489" s="1"/>
  <c r="X57" i="3489" a="1"/>
  <c r="X57" i="3489" s="1"/>
  <c r="AV57" i="3489" a="1"/>
  <c r="AV57" i="3489" s="1"/>
  <c r="W57" i="3489" a="1"/>
  <c r="W57" i="3489" s="1"/>
  <c r="AS57" i="3489" a="1"/>
  <c r="AS57" i="3489" s="1"/>
  <c r="T57" i="3489" a="1"/>
  <c r="T57" i="3489" s="1"/>
  <c r="AG57" i="3489" a="1"/>
  <c r="AG57" i="3489" s="1"/>
  <c r="AY57" i="3489" a="1"/>
  <c r="AY57" i="3489" s="1"/>
  <c r="AF57" i="3489" a="1"/>
  <c r="AF57" i="3489" s="1"/>
  <c r="K57" i="3489" a="1"/>
  <c r="K57" i="3489" s="1"/>
  <c r="AX57" i="3489" a="1"/>
  <c r="AX57" i="3489" s="1"/>
  <c r="AA57" i="3489" a="1"/>
  <c r="AA57" i="3489" s="1"/>
  <c r="Z57" i="3489" a="1"/>
  <c r="Z57" i="3489" s="1"/>
  <c r="AT57" i="3489" a="1"/>
  <c r="AT57" i="3489" s="1"/>
  <c r="AP57" i="3489" a="1"/>
  <c r="AP57" i="3489" s="1"/>
  <c r="AO57" i="3489" a="1"/>
  <c r="AO57" i="3489" s="1"/>
  <c r="V57" i="3489" a="1"/>
  <c r="V57" i="3489" s="1"/>
  <c r="BI57" i="3489" a="1"/>
  <c r="BI57" i="3489" s="1"/>
  <c r="BH57" i="3489" a="1"/>
  <c r="BH57" i="3489" s="1"/>
  <c r="U57" i="3489" a="1"/>
  <c r="U57" i="3489" s="1"/>
  <c r="AM57" i="3489" a="1"/>
  <c r="AM57" i="3489" s="1"/>
  <c r="BG57" i="3489" a="1"/>
  <c r="BG57" i="3489" s="1"/>
  <c r="AL57" i="3489" a="1"/>
  <c r="AL57" i="3489" s="1"/>
  <c r="Q57" i="3489" a="1"/>
  <c r="Q57" i="3489" s="1"/>
  <c r="BA57" i="3489" a="1"/>
  <c r="BA57" i="3489" s="1"/>
  <c r="AH57" i="3489" a="1"/>
  <c r="AH57" i="3489" s="1"/>
  <c r="Y57" i="3489" a="1"/>
  <c r="Y57" i="3489" s="1"/>
  <c r="O57" i="3489" a="1"/>
  <c r="O57" i="3489" s="1"/>
  <c r="N57" i="3489" a="1"/>
  <c r="N57" i="3489" s="1"/>
  <c r="M57" i="3489" a="1"/>
  <c r="M57" i="3489" s="1"/>
  <c r="AJ57" i="3489" a="1"/>
  <c r="AJ57" i="3489" s="1"/>
  <c r="AI57" i="3489" a="1"/>
  <c r="AI57" i="3489" s="1"/>
  <c r="BF57" i="3489" a="1"/>
  <c r="BF57" i="3489" s="1"/>
  <c r="BE57" i="3489" a="1"/>
  <c r="BE57" i="3489" s="1"/>
  <c r="AU57" i="3489" a="1"/>
  <c r="AU57" i="3489" s="1"/>
  <c r="BD47" i="3489" a="1"/>
  <c r="BD47" i="3489" s="1"/>
  <c r="AR47" i="3489" a="1"/>
  <c r="AR47" i="3489" s="1"/>
  <c r="AF47" i="3489" a="1"/>
  <c r="AF47" i="3489" s="1"/>
  <c r="T47" i="3489" a="1"/>
  <c r="T47" i="3489" s="1"/>
  <c r="BB47" i="3489" a="1"/>
  <c r="BB47" i="3489" s="1"/>
  <c r="AP47" i="3489" a="1"/>
  <c r="AP47" i="3489" s="1"/>
  <c r="AD47" i="3489" a="1"/>
  <c r="AD47" i="3489" s="1"/>
  <c r="R47" i="3489" a="1"/>
  <c r="R47" i="3489" s="1"/>
  <c r="BI47" i="3489" a="1"/>
  <c r="BI47" i="3489" s="1"/>
  <c r="AU47" i="3489" a="1"/>
  <c r="AU47" i="3489" s="1"/>
  <c r="AG47" i="3489" a="1"/>
  <c r="AG47" i="3489" s="1"/>
  <c r="Q47" i="3489" a="1"/>
  <c r="Q47" i="3489" s="1"/>
  <c r="AE47" i="3489" a="1"/>
  <c r="AE47" i="3489" s="1"/>
  <c r="BH47" i="3489" a="1"/>
  <c r="BH47" i="3489" s="1"/>
  <c r="AT47" i="3489" a="1"/>
  <c r="AT47" i="3489" s="1"/>
  <c r="P47" i="3489" a="1"/>
  <c r="P47" i="3489" s="1"/>
  <c r="BA47" i="3489" a="1"/>
  <c r="BA47" i="3489" s="1"/>
  <c r="AM47" i="3489" a="1"/>
  <c r="AM47" i="3489" s="1"/>
  <c r="Y47" i="3489" a="1"/>
  <c r="Y47" i="3489" s="1"/>
  <c r="K47" i="3489" a="1"/>
  <c r="K47" i="3489" s="1"/>
  <c r="AN47" i="3489" a="1"/>
  <c r="AN47" i="3489" s="1"/>
  <c r="S47" i="3489" a="1"/>
  <c r="S47" i="3489" s="1"/>
  <c r="AL47" i="3489" a="1"/>
  <c r="AL47" i="3489" s="1"/>
  <c r="BG47" i="3489" a="1"/>
  <c r="BG47" i="3489" s="1"/>
  <c r="O47" i="3489" a="1"/>
  <c r="O47" i="3489" s="1"/>
  <c r="AK47" i="3489" a="1"/>
  <c r="AK47" i="3489" s="1"/>
  <c r="BF47" i="3489" a="1"/>
  <c r="BF47" i="3489" s="1"/>
  <c r="N47" i="3489" a="1"/>
  <c r="N47" i="3489" s="1"/>
  <c r="AJ47" i="3489" a="1"/>
  <c r="AJ47" i="3489" s="1"/>
  <c r="BE47" i="3489" a="1"/>
  <c r="BE47" i="3489" s="1"/>
  <c r="M47" i="3489" a="1"/>
  <c r="M47" i="3489" s="1"/>
  <c r="BC47" i="3489" a="1"/>
  <c r="BC47" i="3489" s="1"/>
  <c r="AI47" i="3489" a="1"/>
  <c r="AI47" i="3489" s="1"/>
  <c r="L47" i="3489" a="1"/>
  <c r="L47" i="3489" s="1"/>
  <c r="AZ47" i="3489" a="1"/>
  <c r="AZ47" i="3489" s="1"/>
  <c r="AH47" i="3489" a="1"/>
  <c r="AH47" i="3489" s="1"/>
  <c r="AW47" i="3489" a="1"/>
  <c r="AW47" i="3489" s="1"/>
  <c r="Z47" i="3489" a="1"/>
  <c r="Z47" i="3489" s="1"/>
  <c r="AO47" i="3489" a="1"/>
  <c r="AO47" i="3489" s="1"/>
  <c r="AC47" i="3489" a="1"/>
  <c r="AC47" i="3489" s="1"/>
  <c r="AA47" i="3489" a="1"/>
  <c r="AA47" i="3489" s="1"/>
  <c r="W47" i="3489" a="1"/>
  <c r="W47" i="3489" s="1"/>
  <c r="V47" i="3489" a="1"/>
  <c r="V47" i="3489" s="1"/>
  <c r="AY47" i="3489" a="1"/>
  <c r="AY47" i="3489" s="1"/>
  <c r="AX47" i="3489" a="1"/>
  <c r="AX47" i="3489" s="1"/>
  <c r="AV47" i="3489" a="1"/>
  <c r="AV47" i="3489" s="1"/>
  <c r="AS47" i="3489" a="1"/>
  <c r="AS47" i="3489" s="1"/>
  <c r="AQ47" i="3489" a="1"/>
  <c r="AQ47" i="3489" s="1"/>
  <c r="AB47" i="3489" a="1"/>
  <c r="AB47" i="3489" s="1"/>
  <c r="U47" i="3489" a="1"/>
  <c r="U47" i="3489" s="1"/>
  <c r="B47" i="3489"/>
  <c r="X47" i="3489" a="1"/>
  <c r="X47" i="3489" s="1"/>
  <c r="I54" i="3523" a="1"/>
  <c r="I54" i="3523" s="1"/>
  <c r="H54" i="3523" a="1"/>
  <c r="H54" i="3523" s="1"/>
  <c r="M70" i="3448"/>
  <c r="BR17" i="3448" a="1"/>
  <c r="BR17" i="3448" s="1"/>
  <c r="BV17" i="3448" s="1" a="1"/>
  <c r="BV17" i="3448" s="1"/>
  <c r="E17" i="3448" a="1"/>
  <c r="E17" i="3448" s="1"/>
  <c r="G27" i="3523" s="1"/>
  <c r="I27" i="3523" s="1" a="1"/>
  <c r="I27" i="3523" s="1"/>
  <c r="BO17" i="3448"/>
  <c r="G17" i="3448"/>
  <c r="BW17" i="3448" s="1"/>
  <c r="BP17" i="3448"/>
  <c r="M54" i="3448"/>
  <c r="BO65" i="3448"/>
  <c r="BP65" i="3448"/>
  <c r="G65" i="3448"/>
  <c r="BW65" i="3448" s="1"/>
  <c r="G20" i="3448"/>
  <c r="AE58" i="3480"/>
  <c r="AL108" i="3434" a="1"/>
  <c r="AL108" i="3434" s="1"/>
  <c r="AK108" i="3434" a="1"/>
  <c r="AK108" i="3434" s="1"/>
  <c r="AE80" i="3480"/>
  <c r="AK130" i="3434" a="1"/>
  <c r="AK130" i="3434" s="1"/>
  <c r="AL130" i="3434" a="1"/>
  <c r="AL130" i="3434" s="1"/>
  <c r="G57" i="3436"/>
  <c r="I59" i="3444" s="1"/>
  <c r="AE52" i="3480"/>
  <c r="AL102" i="3434" a="1"/>
  <c r="AL102" i="3434" s="1"/>
  <c r="AK102" i="3434" a="1"/>
  <c r="AK102" i="3434" s="1"/>
  <c r="G67" i="3436"/>
  <c r="U67" i="3436" s="1" a="1"/>
  <c r="U67" i="3436" s="1"/>
  <c r="J69" i="3444" s="1"/>
  <c r="AK111" i="3577" a="1"/>
  <c r="AK111" i="3577" s="1"/>
  <c r="AN111" i="3577" a="1"/>
  <c r="AN111" i="3577" s="1"/>
  <c r="AM111" i="3577" a="1"/>
  <c r="AM111" i="3577" s="1"/>
  <c r="AL111" i="3577" a="1"/>
  <c r="AL111" i="3577" s="1"/>
  <c r="E62" i="3480"/>
  <c r="D2" i="3434"/>
  <c r="G31" i="3518" a="1"/>
  <c r="G31" i="3518" s="1"/>
  <c r="F31" i="3518" a="1"/>
  <c r="F31" i="3518" s="1"/>
  <c r="I72" i="3528" a="1"/>
  <c r="I72" i="3528" s="1"/>
  <c r="I141" i="3528" a="1"/>
  <c r="I141" i="3528" s="1"/>
  <c r="I106" i="3528" a="1"/>
  <c r="I106" i="3528" s="1"/>
  <c r="R66" i="3528" a="1"/>
  <c r="R66" i="3528" s="1"/>
  <c r="R135" i="3528" a="1"/>
  <c r="R135" i="3528" s="1"/>
  <c r="R100" i="3528" a="1"/>
  <c r="R100" i="3528" s="1"/>
  <c r="M145" i="3528" a="1"/>
  <c r="M145" i="3528" s="1"/>
  <c r="M76" i="3528" a="1"/>
  <c r="M76" i="3528" s="1"/>
  <c r="M110" i="3528" a="1"/>
  <c r="M110" i="3528" s="1"/>
  <c r="L126" i="3528" a="1"/>
  <c r="L126" i="3528" s="1"/>
  <c r="L57" i="3528" a="1"/>
  <c r="L57" i="3528" s="1"/>
  <c r="L91" i="3528" a="1"/>
  <c r="L91" i="3528" s="1"/>
  <c r="S125" i="3528" a="1"/>
  <c r="S125" i="3528" s="1"/>
  <c r="S90" i="3528" a="1"/>
  <c r="S90" i="3528" s="1"/>
  <c r="S56" i="3528" a="1"/>
  <c r="S56" i="3528" s="1"/>
  <c r="H145" i="3528" a="1"/>
  <c r="H145" i="3528" s="1"/>
  <c r="H76" i="3528" a="1"/>
  <c r="H76" i="3528" s="1"/>
  <c r="H110" i="3528" a="1"/>
  <c r="H110" i="3528" s="1"/>
  <c r="L125" i="3528" a="1"/>
  <c r="L125" i="3528" s="1"/>
  <c r="L90" i="3528" a="1"/>
  <c r="L90" i="3528" s="1"/>
  <c r="L56" i="3528" a="1"/>
  <c r="L56" i="3528" s="1"/>
  <c r="N87" i="3528" a="1"/>
  <c r="N87" i="3528" s="1"/>
  <c r="N122" i="3528" a="1"/>
  <c r="N122" i="3528" s="1"/>
  <c r="N53" i="3528" a="1"/>
  <c r="N53" i="3528" s="1"/>
  <c r="J145" i="3528" a="1"/>
  <c r="J145" i="3528" s="1"/>
  <c r="J76" i="3528" a="1"/>
  <c r="J76" i="3528" s="1"/>
  <c r="J110" i="3528" a="1"/>
  <c r="J110" i="3528" s="1"/>
  <c r="H125" i="3528" a="1"/>
  <c r="H125" i="3528" s="1"/>
  <c r="H90" i="3528" a="1"/>
  <c r="H90" i="3528" s="1"/>
  <c r="H56" i="3528" a="1"/>
  <c r="H56" i="3528" s="1"/>
  <c r="G125" i="3528" a="1"/>
  <c r="G125" i="3528" s="1"/>
  <c r="G90" i="3528" a="1"/>
  <c r="G90" i="3528" s="1"/>
  <c r="G56" i="3528" a="1"/>
  <c r="G56" i="3528" s="1"/>
  <c r="O102" i="3528" a="1"/>
  <c r="O102" i="3528" s="1"/>
  <c r="O137" i="3528" a="1"/>
  <c r="O137" i="3528" s="1"/>
  <c r="O68" i="3528" a="1"/>
  <c r="O68" i="3528" s="1"/>
  <c r="N99" i="3528" a="1"/>
  <c r="N99" i="3528" s="1"/>
  <c r="N65" i="3528" a="1"/>
  <c r="N65" i="3528" s="1"/>
  <c r="N134" i="3528" a="1"/>
  <c r="N134" i="3528" s="1"/>
  <c r="E98" i="3528" a="1"/>
  <c r="E98" i="3528" s="1"/>
  <c r="E133" i="3528" a="1"/>
  <c r="E133" i="3528" s="1"/>
  <c r="E64" i="3528" a="1"/>
  <c r="E64" i="3528" s="1"/>
  <c r="S129" i="3528" a="1"/>
  <c r="S129" i="3528" s="1"/>
  <c r="S94" i="3528" a="1"/>
  <c r="S94" i="3528" s="1"/>
  <c r="S60" i="3528" a="1"/>
  <c r="S60" i="3528" s="1"/>
  <c r="P75" i="3528" a="1"/>
  <c r="P75" i="3528" s="1"/>
  <c r="P144" i="3528" a="1"/>
  <c r="P144" i="3528" s="1"/>
  <c r="P109" i="3528" a="1"/>
  <c r="P109" i="3528" s="1"/>
  <c r="E92" i="3528" a="1"/>
  <c r="E92" i="3528" s="1"/>
  <c r="E58" i="3528" a="1"/>
  <c r="E58" i="3528" s="1"/>
  <c r="E127" i="3528" a="1"/>
  <c r="E127" i="3528" s="1"/>
  <c r="K101" i="3528" a="1"/>
  <c r="K101" i="3528" s="1"/>
  <c r="K136" i="3528" a="1"/>
  <c r="K136" i="3528" s="1"/>
  <c r="K67" i="3528" a="1"/>
  <c r="K67" i="3528" s="1"/>
  <c r="AA125" i="3528"/>
  <c r="AQ125" i="3528"/>
  <c r="ED60" i="3479" a="1"/>
  <c r="ED60" i="3479" s="1"/>
  <c r="EE60" i="3479" s="1" a="1"/>
  <c r="EE60" i="3479" s="1"/>
  <c r="EC60" i="3479" a="1"/>
  <c r="EC60" i="3479" s="1"/>
  <c r="EF60" i="3479" s="1" a="1"/>
  <c r="EF60" i="3479" s="1"/>
  <c r="EG60" i="3479" s="1" a="1"/>
  <c r="EG60" i="3479" s="1"/>
  <c r="L88" i="3560"/>
  <c r="J88" i="3560"/>
  <c r="P88" i="3560" s="1" a="1"/>
  <c r="P88" i="3560" s="1"/>
  <c r="I88" i="3560"/>
  <c r="O88" i="3560" s="1" a="1"/>
  <c r="O88" i="3560" s="1"/>
  <c r="K88" i="3560"/>
  <c r="AC58" i="3479" a="1"/>
  <c r="AC58" i="3479" s="1"/>
  <c r="AD58" i="3479" s="1" a="1"/>
  <c r="AD58" i="3479" s="1"/>
  <c r="AB58" i="3479" a="1"/>
  <c r="AB58" i="3479" s="1"/>
  <c r="ED65" i="3479" a="1"/>
  <c r="ED65" i="3479" s="1"/>
  <c r="EE65" i="3479" s="1" a="1"/>
  <c r="EE65" i="3479" s="1"/>
  <c r="EC65" i="3479" a="1"/>
  <c r="EC65" i="3479" s="1"/>
  <c r="EF65" i="3479" s="1" a="1"/>
  <c r="EF65" i="3479" s="1"/>
  <c r="EG65" i="3479" s="1" a="1"/>
  <c r="EG65" i="3479" s="1"/>
  <c r="BV59" i="3479" a="1"/>
  <c r="BV59" i="3479" s="1"/>
  <c r="BW59" i="3479" s="1" a="1"/>
  <c r="BW59" i="3479" s="1"/>
  <c r="BU59" i="3479" a="1"/>
  <c r="BU59" i="3479" s="1"/>
  <c r="CJ70" i="3479" a="1"/>
  <c r="CJ70" i="3479" s="1"/>
  <c r="CK70" i="3479" a="1"/>
  <c r="CK70" i="3479" s="1"/>
  <c r="CL70" i="3479" s="1" a="1"/>
  <c r="CL70" i="3479" s="1"/>
  <c r="BG64" i="3479" a="1"/>
  <c r="BG64" i="3479" s="1"/>
  <c r="BH64" i="3479" s="1" a="1"/>
  <c r="BH64" i="3479" s="1"/>
  <c r="BF64" i="3479" a="1"/>
  <c r="BF64" i="3479" s="1"/>
  <c r="BU61" i="3479" a="1"/>
  <c r="BU61" i="3479" s="1"/>
  <c r="BV61" i="3479" a="1"/>
  <c r="BV61" i="3479" s="1"/>
  <c r="BW61" i="3479" s="1" a="1"/>
  <c r="BW61" i="3479" s="1"/>
  <c r="DN37" i="3479" a="1"/>
  <c r="DN37" i="3479" s="1"/>
  <c r="DQ37" i="3479" s="1" a="1"/>
  <c r="DQ37" i="3479" s="1"/>
  <c r="DR37" i="3479" s="1" a="1"/>
  <c r="DR37" i="3479" s="1"/>
  <c r="DO37" i="3479" a="1"/>
  <c r="DO37" i="3479" s="1"/>
  <c r="DP37" i="3479" s="1" a="1"/>
  <c r="DP37" i="3479" s="1"/>
  <c r="CZ68" i="3479" a="1"/>
  <c r="CZ68" i="3479" s="1"/>
  <c r="DA68" i="3479" s="1" a="1"/>
  <c r="DA68" i="3479" s="1"/>
  <c r="CY68" i="3479" a="1"/>
  <c r="CY68" i="3479" s="1"/>
  <c r="DB68" i="3479" s="1" a="1"/>
  <c r="DB68" i="3479" s="1"/>
  <c r="DC68" i="3479" s="1" a="1"/>
  <c r="DC68" i="3479" s="1"/>
  <c r="ES42" i="3479" a="1"/>
  <c r="ES42" i="3479" s="1"/>
  <c r="ET42" i="3479" s="1" a="1"/>
  <c r="ET42" i="3479" s="1"/>
  <c r="ER42" i="3479" a="1"/>
  <c r="ER42" i="3479" s="1"/>
  <c r="EU42" i="3479" s="1" a="1"/>
  <c r="EU42" i="3479" s="1"/>
  <c r="EV42" i="3479" s="1" a="1"/>
  <c r="EV42" i="3479" s="1"/>
  <c r="BN30" i="3479" a="1"/>
  <c r="BN30" i="3479" s="1"/>
  <c r="BM30" i="3479" a="1"/>
  <c r="BM30" i="3479" s="1"/>
  <c r="BL30" i="3479" a="1"/>
  <c r="BL30" i="3479" s="1"/>
  <c r="I45" i="3445" a="1"/>
  <c r="I45" i="3445" s="1"/>
  <c r="O45" i="3445" s="1"/>
  <c r="M21" i="3479" a="1"/>
  <c r="M21" i="3479" s="1"/>
  <c r="N21" i="3479" a="1"/>
  <c r="N21" i="3479" s="1"/>
  <c r="O21" i="3479" s="1" a="1"/>
  <c r="O21" i="3479" s="1"/>
  <c r="N67" i="3479" a="1"/>
  <c r="N67" i="3479" s="1"/>
  <c r="O67" i="3479" s="1" a="1"/>
  <c r="O67" i="3479" s="1"/>
  <c r="M67" i="3479" a="1"/>
  <c r="M67" i="3479" s="1"/>
  <c r="AR54" i="3479" a="1"/>
  <c r="AR54" i="3479" s="1"/>
  <c r="AS54" i="3479" s="1" a="1"/>
  <c r="AS54" i="3479" s="1"/>
  <c r="AQ54" i="3479" a="1"/>
  <c r="AQ54" i="3479" s="1"/>
  <c r="EC46" i="3479" a="1"/>
  <c r="EC46" i="3479" s="1"/>
  <c r="EF46" i="3479" s="1" a="1"/>
  <c r="EF46" i="3479" s="1"/>
  <c r="EG46" i="3479" s="1" a="1"/>
  <c r="EG46" i="3479" s="1"/>
  <c r="ED46" i="3479" a="1"/>
  <c r="ED46" i="3479" s="1"/>
  <c r="EE46" i="3479" s="1" a="1"/>
  <c r="EE46" i="3479" s="1"/>
  <c r="AR68" i="3479" a="1"/>
  <c r="AR68" i="3479" s="1"/>
  <c r="AS68" i="3479" s="1" a="1"/>
  <c r="AS68" i="3479" s="1"/>
  <c r="AQ68" i="3479" a="1"/>
  <c r="AQ68" i="3479" s="1"/>
  <c r="BV57" i="3479" a="1"/>
  <c r="BV57" i="3479" s="1"/>
  <c r="BW57" i="3479" s="1" a="1"/>
  <c r="BW57" i="3479" s="1"/>
  <c r="BU57" i="3479" a="1"/>
  <c r="BU57" i="3479" s="1"/>
  <c r="BV71" i="3479" a="1"/>
  <c r="BV71" i="3479" s="1"/>
  <c r="BW71" i="3479" s="1" a="1"/>
  <c r="BW71" i="3479" s="1"/>
  <c r="BU71" i="3479" a="1"/>
  <c r="BU71" i="3479" s="1"/>
  <c r="CK44" i="3479" a="1"/>
  <c r="CK44" i="3479" s="1"/>
  <c r="CL44" i="3479" s="1" a="1"/>
  <c r="CL44" i="3479" s="1"/>
  <c r="CJ44" i="3479" a="1"/>
  <c r="CJ44" i="3479" s="1"/>
  <c r="CJ59" i="3479" a="1"/>
  <c r="CJ59" i="3479" s="1"/>
  <c r="CK59" i="3479" a="1"/>
  <c r="CK59" i="3479" s="1"/>
  <c r="CL59" i="3479" s="1" a="1"/>
  <c r="CL59" i="3479" s="1"/>
  <c r="BG40" i="3479" a="1"/>
  <c r="BG40" i="3479" s="1"/>
  <c r="BH40" i="3479" s="1" a="1"/>
  <c r="BH40" i="3479" s="1"/>
  <c r="BF40" i="3479" a="1"/>
  <c r="BF40" i="3479" s="1"/>
  <c r="BF54" i="3479" a="1"/>
  <c r="BF54" i="3479" s="1"/>
  <c r="BG54" i="3479" a="1"/>
  <c r="BG54" i="3479" s="1"/>
  <c r="BH54" i="3479" s="1" a="1"/>
  <c r="BH54" i="3479" s="1"/>
  <c r="ES43" i="3479" a="1"/>
  <c r="ES43" i="3479" s="1"/>
  <c r="ET43" i="3479" s="1" a="1"/>
  <c r="ET43" i="3479" s="1"/>
  <c r="ER43" i="3479" a="1"/>
  <c r="ER43" i="3479" s="1"/>
  <c r="EU43" i="3479" s="1" a="1"/>
  <c r="EU43" i="3479" s="1"/>
  <c r="EV43" i="3479" s="1" a="1"/>
  <c r="EV43" i="3479" s="1"/>
  <c r="DO34" i="3479" a="1"/>
  <c r="DO34" i="3479" s="1"/>
  <c r="DP34" i="3479" s="1" a="1"/>
  <c r="DP34" i="3479" s="1"/>
  <c r="DN34" i="3479" a="1"/>
  <c r="DN34" i="3479" s="1"/>
  <c r="DQ34" i="3479" s="1" a="1"/>
  <c r="DQ34" i="3479" s="1"/>
  <c r="DR34" i="3479" s="1" a="1"/>
  <c r="DR34" i="3479" s="1"/>
  <c r="DN45" i="3479" a="1"/>
  <c r="DN45" i="3479" s="1"/>
  <c r="DQ45" i="3479" s="1" a="1"/>
  <c r="DQ45" i="3479" s="1"/>
  <c r="DR45" i="3479" s="1" a="1"/>
  <c r="DR45" i="3479" s="1"/>
  <c r="DO45" i="3479" a="1"/>
  <c r="DO45" i="3479" s="1"/>
  <c r="DP45" i="3479" s="1" a="1"/>
  <c r="DP45" i="3479" s="1"/>
  <c r="AB70" i="3479" a="1"/>
  <c r="AB70" i="3479" s="1"/>
  <c r="AC70" i="3479" a="1"/>
  <c r="AC70" i="3479" s="1"/>
  <c r="AD70" i="3479" s="1" a="1"/>
  <c r="AD70" i="3479" s="1"/>
  <c r="CZ23" i="3479" a="1"/>
  <c r="CZ23" i="3479" s="1"/>
  <c r="DA23" i="3479" s="1" a="1"/>
  <c r="DA23" i="3479" s="1"/>
  <c r="CY23" i="3479" a="1"/>
  <c r="CY23" i="3479" s="1"/>
  <c r="DB23" i="3479" s="1" a="1"/>
  <c r="DB23" i="3479" s="1"/>
  <c r="DC23" i="3479" s="1" a="1"/>
  <c r="DC23" i="3479" s="1"/>
  <c r="CY39" i="3479" a="1"/>
  <c r="CY39" i="3479" s="1"/>
  <c r="DB39" i="3479" s="1" a="1"/>
  <c r="DB39" i="3479" s="1"/>
  <c r="DC39" i="3479" s="1" a="1"/>
  <c r="DC39" i="3479" s="1"/>
  <c r="CZ39" i="3479" a="1"/>
  <c r="CZ39" i="3479" s="1"/>
  <c r="DA39" i="3479" s="1" a="1"/>
  <c r="DA39" i="3479" s="1"/>
  <c r="M54" i="3479" a="1"/>
  <c r="M54" i="3479" s="1"/>
  <c r="N54" i="3479" a="1"/>
  <c r="N54" i="3479" s="1"/>
  <c r="O54" i="3479" s="1" a="1"/>
  <c r="O54" i="3479" s="1"/>
  <c r="AQ42" i="3479" a="1"/>
  <c r="AQ42" i="3479" s="1"/>
  <c r="AR42" i="3479" a="1"/>
  <c r="AR42" i="3479" s="1"/>
  <c r="AS42" i="3479" s="1" a="1"/>
  <c r="AS42" i="3479" s="1"/>
  <c r="ED56" i="3479" a="1"/>
  <c r="ED56" i="3479" s="1"/>
  <c r="EE56" i="3479" s="1" a="1"/>
  <c r="EE56" i="3479" s="1"/>
  <c r="EC56" i="3479" a="1"/>
  <c r="EC56" i="3479" s="1"/>
  <c r="EF56" i="3479" s="1" a="1"/>
  <c r="EF56" i="3479" s="1"/>
  <c r="EG56" i="3479" s="1" a="1"/>
  <c r="EG56" i="3479" s="1"/>
  <c r="AQ52" i="3479" a="1"/>
  <c r="AQ52" i="3479" s="1"/>
  <c r="AR52" i="3479" a="1"/>
  <c r="AR52" i="3479" s="1"/>
  <c r="AS52" i="3479" s="1" a="1"/>
  <c r="AS52" i="3479" s="1"/>
  <c r="BV35" i="3479" a="1"/>
  <c r="BV35" i="3479" s="1"/>
  <c r="BW35" i="3479" s="1" a="1"/>
  <c r="BW35" i="3479" s="1"/>
  <c r="BU35" i="3479" a="1"/>
  <c r="BU35" i="3479" s="1"/>
  <c r="BU47" i="3479" a="1"/>
  <c r="BU47" i="3479" s="1"/>
  <c r="BV47" i="3479" a="1"/>
  <c r="BV47" i="3479" s="1"/>
  <c r="BW47" i="3479" s="1" a="1"/>
  <c r="BW47" i="3479" s="1"/>
  <c r="CJ45" i="3479" a="1"/>
  <c r="CJ45" i="3479" s="1"/>
  <c r="CK45" i="3479" a="1"/>
  <c r="CK45" i="3479" s="1"/>
  <c r="CL45" i="3479" s="1" a="1"/>
  <c r="CL45" i="3479" s="1"/>
  <c r="CK50" i="3479" a="1"/>
  <c r="CK50" i="3479" s="1"/>
  <c r="CL50" i="3479" s="1" a="1"/>
  <c r="CL50" i="3479" s="1"/>
  <c r="CJ50" i="3479" a="1"/>
  <c r="CJ50" i="3479" s="1"/>
  <c r="BG24" i="3479" a="1"/>
  <c r="BG24" i="3479" s="1"/>
  <c r="BH24" i="3479" s="1" a="1"/>
  <c r="BH24" i="3479" s="1"/>
  <c r="BF24" i="3479" a="1"/>
  <c r="BF24" i="3479" s="1"/>
  <c r="BF53" i="3479" a="1"/>
  <c r="BF53" i="3479" s="1"/>
  <c r="BG53" i="3479" a="1"/>
  <c r="BG53" i="3479" s="1"/>
  <c r="BH53" i="3479" s="1" a="1"/>
  <c r="BH53" i="3479" s="1"/>
  <c r="ES51" i="3479" a="1"/>
  <c r="ES51" i="3479" s="1"/>
  <c r="ET51" i="3479" s="1" a="1"/>
  <c r="ET51" i="3479" s="1"/>
  <c r="ER51" i="3479" a="1"/>
  <c r="ER51" i="3479" s="1"/>
  <c r="EU51" i="3479" s="1" a="1"/>
  <c r="EU51" i="3479" s="1"/>
  <c r="EV51" i="3479" s="1" a="1"/>
  <c r="EV51" i="3479" s="1"/>
  <c r="ER46" i="3479" a="1"/>
  <c r="ER46" i="3479" s="1"/>
  <c r="EU46" i="3479" s="1" a="1"/>
  <c r="EU46" i="3479" s="1"/>
  <c r="EV46" i="3479" s="1" a="1"/>
  <c r="EV46" i="3479" s="1"/>
  <c r="ES46" i="3479" a="1"/>
  <c r="ES46" i="3479" s="1"/>
  <c r="ET46" i="3479" s="1" a="1"/>
  <c r="ET46" i="3479" s="1"/>
  <c r="DO24" i="3479" a="1"/>
  <c r="DO24" i="3479" s="1"/>
  <c r="DP24" i="3479" s="1" a="1"/>
  <c r="DP24" i="3479" s="1"/>
  <c r="DN24" i="3479" a="1"/>
  <c r="DN24" i="3479" s="1"/>
  <c r="DQ24" i="3479" s="1" a="1"/>
  <c r="DQ24" i="3479" s="1"/>
  <c r="DR24" i="3479" s="1" a="1"/>
  <c r="DR24" i="3479" s="1"/>
  <c r="DN41" i="3479" a="1"/>
  <c r="DN41" i="3479" s="1"/>
  <c r="DQ41" i="3479" s="1" a="1"/>
  <c r="DQ41" i="3479" s="1"/>
  <c r="DR41" i="3479" s="1" a="1"/>
  <c r="DR41" i="3479" s="1"/>
  <c r="DO41" i="3479" a="1"/>
  <c r="DO41" i="3479" s="1"/>
  <c r="DP41" i="3479" s="1" a="1"/>
  <c r="DP41" i="3479" s="1"/>
  <c r="L77" i="3560"/>
  <c r="K77" i="3560"/>
  <c r="J77" i="3560"/>
  <c r="P77" i="3560" s="1" a="1"/>
  <c r="P77" i="3560" s="1"/>
  <c r="I77" i="3560"/>
  <c r="O77" i="3560" s="1" a="1"/>
  <c r="O77" i="3560" s="1"/>
  <c r="AB37" i="3479" a="1"/>
  <c r="AB37" i="3479" s="1"/>
  <c r="AC37" i="3479" a="1"/>
  <c r="AC37" i="3479" s="1"/>
  <c r="AD37" i="3479" s="1" a="1"/>
  <c r="AD37" i="3479" s="1"/>
  <c r="AB50" i="3479" a="1"/>
  <c r="AB50" i="3479" s="1"/>
  <c r="AC50" i="3479" a="1"/>
  <c r="AC50" i="3479" s="1"/>
  <c r="AD50" i="3479" s="1" a="1"/>
  <c r="AD50" i="3479" s="1"/>
  <c r="ED31" i="3479" a="1"/>
  <c r="ED31" i="3479" s="1"/>
  <c r="EE31" i="3479" s="1" a="1"/>
  <c r="EE31" i="3479" s="1"/>
  <c r="EC31" i="3479" a="1"/>
  <c r="EC31" i="3479" s="1"/>
  <c r="EF31" i="3479" s="1" a="1"/>
  <c r="EF31" i="3479" s="1"/>
  <c r="EG31" i="3479" s="1" a="1"/>
  <c r="EG31" i="3479" s="1"/>
  <c r="A50" i="3560"/>
  <c r="D50" i="3560"/>
  <c r="J32" i="3560"/>
  <c r="P32" i="3560" s="1" a="1"/>
  <c r="P32" i="3560" s="1"/>
  <c r="L32" i="3560"/>
  <c r="K32" i="3560"/>
  <c r="I32" i="3560"/>
  <c r="O32" i="3560" s="1" a="1"/>
  <c r="O32" i="3560" s="1"/>
  <c r="CZ21" i="3479" a="1"/>
  <c r="CZ21" i="3479" s="1"/>
  <c r="DA21" i="3479" s="1" a="1"/>
  <c r="DA21" i="3479" s="1"/>
  <c r="CY21" i="3479" a="1"/>
  <c r="CY21" i="3479" s="1"/>
  <c r="DB21" i="3479" s="1" a="1"/>
  <c r="DB21" i="3479" s="1"/>
  <c r="DC21" i="3479" s="1" a="1"/>
  <c r="DC21" i="3479" s="1"/>
  <c r="CY44" i="3479" a="1"/>
  <c r="CY44" i="3479" s="1"/>
  <c r="DB44" i="3479" s="1" a="1"/>
  <c r="DB44" i="3479" s="1"/>
  <c r="DC44" i="3479" s="1" a="1"/>
  <c r="DC44" i="3479" s="1"/>
  <c r="CZ44" i="3479" a="1"/>
  <c r="CZ44" i="3479" s="1"/>
  <c r="DA44" i="3479" s="1" a="1"/>
  <c r="DA44" i="3479" s="1"/>
  <c r="BV31" i="3479" a="1"/>
  <c r="BV31" i="3479" s="1"/>
  <c r="BW31" i="3479" s="1" a="1"/>
  <c r="BW31" i="3479" s="1"/>
  <c r="BU31" i="3479" a="1"/>
  <c r="BU31" i="3479" s="1"/>
  <c r="AX27" i="3479" a="1"/>
  <c r="AX27" i="3479" s="1"/>
  <c r="AY27" i="3479" a="1"/>
  <c r="AY27" i="3479" s="1"/>
  <c r="AW27" i="3479" a="1"/>
  <c r="AW27" i="3479" s="1"/>
  <c r="J31" i="3560"/>
  <c r="P31" i="3560" s="1" a="1"/>
  <c r="P31" i="3560" s="1"/>
  <c r="L31" i="3560"/>
  <c r="K31" i="3560"/>
  <c r="I31" i="3560"/>
  <c r="O31" i="3560" s="1" a="1"/>
  <c r="O31" i="3560" s="1"/>
  <c r="AJ28" i="3479" a="1"/>
  <c r="AJ28" i="3479" s="1"/>
  <c r="L60" i="3445"/>
  <c r="M60" i="3445" s="1"/>
  <c r="H41" i="3436" s="1"/>
  <c r="O60" i="3445"/>
  <c r="N60" i="3445" a="1"/>
  <c r="N60" i="3445" s="1"/>
  <c r="L47" i="3445"/>
  <c r="M47" i="3445" s="1"/>
  <c r="H28" i="3436" s="1"/>
  <c r="A39" i="3445"/>
  <c r="N46" i="3445" a="1"/>
  <c r="N46" i="3445" s="1"/>
  <c r="BF79" i="3444" a="1"/>
  <c r="BF79" i="3444" s="1"/>
  <c r="AT79" i="3444" a="1"/>
  <c r="AT79" i="3444" s="1"/>
  <c r="AH79" i="3444" a="1"/>
  <c r="AH79" i="3444" s="1"/>
  <c r="V79" i="3444" a="1"/>
  <c r="V79" i="3444" s="1"/>
  <c r="AY79" i="3444" a="1"/>
  <c r="AY79" i="3444" s="1"/>
  <c r="AM79" i="3444" a="1"/>
  <c r="AM79" i="3444" s="1"/>
  <c r="AA79" i="3444" a="1"/>
  <c r="AA79" i="3444" s="1"/>
  <c r="O79" i="3444" a="1"/>
  <c r="O79" i="3444" s="1"/>
  <c r="AX79" i="3444" a="1"/>
  <c r="AX79" i="3444" s="1"/>
  <c r="AI79" i="3444" a="1"/>
  <c r="AI79" i="3444" s="1"/>
  <c r="R79" i="3444" a="1"/>
  <c r="R79" i="3444" s="1"/>
  <c r="AG79" i="3444" a="1"/>
  <c r="AG79" i="3444" s="1"/>
  <c r="Q79" i="3444" a="1"/>
  <c r="Q79" i="3444" s="1"/>
  <c r="AW79" i="3444" a="1"/>
  <c r="AW79" i="3444" s="1"/>
  <c r="AF79" i="3444" a="1"/>
  <c r="AF79" i="3444" s="1"/>
  <c r="P79" i="3444" a="1"/>
  <c r="P79" i="3444" s="1"/>
  <c r="AV79" i="3444" a="1"/>
  <c r="AV79" i="3444" s="1"/>
  <c r="AE79" i="3444" a="1"/>
  <c r="AE79" i="3444" s="1"/>
  <c r="AU79" i="3444" a="1"/>
  <c r="AU79" i="3444" s="1"/>
  <c r="AD79" i="3444" a="1"/>
  <c r="AD79" i="3444" s="1"/>
  <c r="N79" i="3444" a="1"/>
  <c r="N79" i="3444" s="1"/>
  <c r="AS79" i="3444" a="1"/>
  <c r="AS79" i="3444" s="1"/>
  <c r="AC79" i="3444" a="1"/>
  <c r="AC79" i="3444" s="1"/>
  <c r="AR79" i="3444" a="1"/>
  <c r="AR79" i="3444" s="1"/>
  <c r="M79" i="3444" a="1"/>
  <c r="M79" i="3444" s="1"/>
  <c r="AB79" i="3444" a="1"/>
  <c r="AB79" i="3444" s="1"/>
  <c r="BH79" i="3444" a="1"/>
  <c r="BH79" i="3444" s="1"/>
  <c r="AQ79" i="3444" a="1"/>
  <c r="AQ79" i="3444" s="1"/>
  <c r="L79" i="3444" a="1"/>
  <c r="L79" i="3444" s="1"/>
  <c r="BG79" i="3444" a="1"/>
  <c r="BG79" i="3444" s="1"/>
  <c r="AP79" i="3444" a="1"/>
  <c r="AP79" i="3444" s="1"/>
  <c r="Z79" i="3444" a="1"/>
  <c r="Z79" i="3444" s="1"/>
  <c r="K79" i="3444" a="1"/>
  <c r="K79" i="3444" s="1"/>
  <c r="BE79" i="3444" a="1"/>
  <c r="BE79" i="3444" s="1"/>
  <c r="AO79" i="3444" a="1"/>
  <c r="AO79" i="3444" s="1"/>
  <c r="BD79" i="3444" a="1"/>
  <c r="BD79" i="3444" s="1"/>
  <c r="Y79" i="3444" a="1"/>
  <c r="Y79" i="3444" s="1"/>
  <c r="BA79" i="3444" a="1"/>
  <c r="BA79" i="3444" s="1"/>
  <c r="U79" i="3444" a="1"/>
  <c r="U79" i="3444" s="1"/>
  <c r="BC79" i="3444" a="1"/>
  <c r="BC79" i="3444" s="1"/>
  <c r="BB79" i="3444" a="1"/>
  <c r="BB79" i="3444" s="1"/>
  <c r="AZ79" i="3444" a="1"/>
  <c r="AZ79" i="3444" s="1"/>
  <c r="AL79" i="3444" a="1"/>
  <c r="AL79" i="3444" s="1"/>
  <c r="AK79" i="3444" a="1"/>
  <c r="AK79" i="3444" s="1"/>
  <c r="AJ79" i="3444" a="1"/>
  <c r="AJ79" i="3444" s="1"/>
  <c r="W79" i="3444" a="1"/>
  <c r="W79" i="3444" s="1"/>
  <c r="T79" i="3444" a="1"/>
  <c r="T79" i="3444" s="1"/>
  <c r="S79" i="3444" a="1"/>
  <c r="S79" i="3444" s="1"/>
  <c r="X79" i="3444" a="1"/>
  <c r="X79" i="3444" s="1"/>
  <c r="AN79" i="3444" a="1"/>
  <c r="AN79" i="3444" s="1"/>
  <c r="N43" i="3445" a="1"/>
  <c r="N43" i="3445" s="1"/>
  <c r="AW46" i="3444" a="1"/>
  <c r="AW46" i="3444" s="1"/>
  <c r="AK46" i="3444" a="1"/>
  <c r="AK46" i="3444" s="1"/>
  <c r="Y46" i="3444" a="1"/>
  <c r="Y46" i="3444" s="1"/>
  <c r="M46" i="3444" a="1"/>
  <c r="M46" i="3444" s="1"/>
  <c r="BH46" i="3444" a="1"/>
  <c r="BH46" i="3444" s="1"/>
  <c r="AV46" i="3444" a="1"/>
  <c r="AV46" i="3444" s="1"/>
  <c r="AJ46" i="3444" a="1"/>
  <c r="AJ46" i="3444" s="1"/>
  <c r="X46" i="3444" a="1"/>
  <c r="X46" i="3444" s="1"/>
  <c r="L46" i="3444" a="1"/>
  <c r="L46" i="3444" s="1"/>
  <c r="BE46" i="3444" a="1"/>
  <c r="BE46" i="3444" s="1"/>
  <c r="AS46" i="3444" a="1"/>
  <c r="AS46" i="3444" s="1"/>
  <c r="AG46" i="3444" a="1"/>
  <c r="AG46" i="3444" s="1"/>
  <c r="U46" i="3444" a="1"/>
  <c r="U46" i="3444" s="1"/>
  <c r="BA46" i="3444" a="1"/>
  <c r="BA46" i="3444" s="1"/>
  <c r="V46" i="3444" a="1"/>
  <c r="V46" i="3444" s="1"/>
  <c r="AL46" i="3444" a="1"/>
  <c r="AL46" i="3444" s="1"/>
  <c r="AZ46" i="3444" a="1"/>
  <c r="AZ46" i="3444" s="1"/>
  <c r="AY46" i="3444" a="1"/>
  <c r="AY46" i="3444" s="1"/>
  <c r="AH46" i="3444" a="1"/>
  <c r="AH46" i="3444" s="1"/>
  <c r="S46" i="3444" a="1"/>
  <c r="S46" i="3444" s="1"/>
  <c r="AX46" i="3444" a="1"/>
  <c r="AX46" i="3444" s="1"/>
  <c r="BG46" i="3444" a="1"/>
  <c r="BG46" i="3444" s="1"/>
  <c r="AR46" i="3444" a="1"/>
  <c r="AR46" i="3444" s="1"/>
  <c r="O46" i="3444" a="1"/>
  <c r="O46" i="3444" s="1"/>
  <c r="AC46" i="3444" a="1"/>
  <c r="AC46" i="3444" s="1"/>
  <c r="BF46" i="3444" a="1"/>
  <c r="BF46" i="3444" s="1"/>
  <c r="AQ46" i="3444" a="1"/>
  <c r="AQ46" i="3444" s="1"/>
  <c r="N46" i="3444" a="1"/>
  <c r="N46" i="3444" s="1"/>
  <c r="BB46" i="3444" a="1"/>
  <c r="BB46" i="3444" s="1"/>
  <c r="W46" i="3444" a="1"/>
  <c r="W46" i="3444" s="1"/>
  <c r="AM46" i="3444" a="1"/>
  <c r="AM46" i="3444" s="1"/>
  <c r="AT46" i="3444" a="1"/>
  <c r="AT46" i="3444" s="1"/>
  <c r="Q46" i="3444" a="1"/>
  <c r="Q46" i="3444" s="1"/>
  <c r="P46" i="3444" a="1"/>
  <c r="P46" i="3444" s="1"/>
  <c r="AP46" i="3444" a="1"/>
  <c r="AP46" i="3444" s="1"/>
  <c r="AO46" i="3444" a="1"/>
  <c r="AO46" i="3444" s="1"/>
  <c r="K46" i="3444" a="1"/>
  <c r="K46" i="3444" s="1"/>
  <c r="AN46" i="3444" a="1"/>
  <c r="AN46" i="3444" s="1"/>
  <c r="AI46" i="3444" a="1"/>
  <c r="AI46" i="3444" s="1"/>
  <c r="AF46" i="3444" a="1"/>
  <c r="AF46" i="3444" s="1"/>
  <c r="AE46" i="3444" a="1"/>
  <c r="AE46" i="3444" s="1"/>
  <c r="AD46" i="3444" a="1"/>
  <c r="AD46" i="3444" s="1"/>
  <c r="BD46" i="3444" a="1"/>
  <c r="BD46" i="3444" s="1"/>
  <c r="AB46" i="3444" a="1"/>
  <c r="AB46" i="3444" s="1"/>
  <c r="BC46" i="3444" a="1"/>
  <c r="BC46" i="3444" s="1"/>
  <c r="AA46" i="3444" a="1"/>
  <c r="AA46" i="3444" s="1"/>
  <c r="AU46" i="3444" a="1"/>
  <c r="AU46" i="3444" s="1"/>
  <c r="T46" i="3444" a="1"/>
  <c r="T46" i="3444" s="1"/>
  <c r="R46" i="3444" a="1"/>
  <c r="R46" i="3444" s="1"/>
  <c r="Z46" i="3444" a="1"/>
  <c r="Z46" i="3444" s="1"/>
  <c r="BE24" i="3444" a="1"/>
  <c r="BE24" i="3444" s="1"/>
  <c r="AS24" i="3444" a="1"/>
  <c r="AS24" i="3444" s="1"/>
  <c r="AG24" i="3444" a="1"/>
  <c r="AG24" i="3444" s="1"/>
  <c r="U24" i="3444" a="1"/>
  <c r="U24" i="3444" s="1"/>
  <c r="BC24" i="3444" a="1"/>
  <c r="BC24" i="3444" s="1"/>
  <c r="AQ24" i="3444" a="1"/>
  <c r="AQ24" i="3444" s="1"/>
  <c r="AE24" i="3444" a="1"/>
  <c r="AE24" i="3444" s="1"/>
  <c r="S24" i="3444" a="1"/>
  <c r="S24" i="3444" s="1"/>
  <c r="AV24" i="3444" a="1"/>
  <c r="AV24" i="3444" s="1"/>
  <c r="AF24" i="3444" a="1"/>
  <c r="AF24" i="3444" s="1"/>
  <c r="P24" i="3444" a="1"/>
  <c r="P24" i="3444" s="1"/>
  <c r="AU24" i="3444" a="1"/>
  <c r="AU24" i="3444" s="1"/>
  <c r="AD24" i="3444" a="1"/>
  <c r="AD24" i="3444" s="1"/>
  <c r="O24" i="3444" a="1"/>
  <c r="O24" i="3444" s="1"/>
  <c r="AT24" i="3444" a="1"/>
  <c r="AT24" i="3444" s="1"/>
  <c r="AC24" i="3444" a="1"/>
  <c r="AC24" i="3444" s="1"/>
  <c r="BH24" i="3444" a="1"/>
  <c r="BH24" i="3444" s="1"/>
  <c r="AR24" i="3444" a="1"/>
  <c r="AR24" i="3444" s="1"/>
  <c r="N24" i="3444" a="1"/>
  <c r="N24" i="3444" s="1"/>
  <c r="AB24" i="3444" a="1"/>
  <c r="AB24" i="3444" s="1"/>
  <c r="BG24" i="3444" a="1"/>
  <c r="BG24" i="3444" s="1"/>
  <c r="AP24" i="3444" a="1"/>
  <c r="AP24" i="3444" s="1"/>
  <c r="M24" i="3444" a="1"/>
  <c r="M24" i="3444" s="1"/>
  <c r="AA24" i="3444" a="1"/>
  <c r="AA24" i="3444" s="1"/>
  <c r="AN24" i="3444" a="1"/>
  <c r="AN24" i="3444" s="1"/>
  <c r="K24" i="3444" a="1"/>
  <c r="K24" i="3444" s="1"/>
  <c r="AM24" i="3444" a="1"/>
  <c r="AM24" i="3444" s="1"/>
  <c r="BA24" i="3444" a="1"/>
  <c r="BA24" i="3444" s="1"/>
  <c r="X24" i="3444" a="1"/>
  <c r="X24" i="3444" s="1"/>
  <c r="AL24" i="3444" a="1"/>
  <c r="AL24" i="3444" s="1"/>
  <c r="AZ24" i="3444" a="1"/>
  <c r="AZ24" i="3444" s="1"/>
  <c r="W24" i="3444" a="1"/>
  <c r="W24" i="3444" s="1"/>
  <c r="AW24" i="3444" a="1"/>
  <c r="AW24" i="3444" s="1"/>
  <c r="AH24" i="3444" a="1"/>
  <c r="AH24" i="3444" s="1"/>
  <c r="Q24" i="3444" a="1"/>
  <c r="Q24" i="3444" s="1"/>
  <c r="AK24" i="3444" a="1"/>
  <c r="AK24" i="3444" s="1"/>
  <c r="AJ24" i="3444" a="1"/>
  <c r="AJ24" i="3444" s="1"/>
  <c r="Z24" i="3444" a="1"/>
  <c r="Z24" i="3444" s="1"/>
  <c r="Y24" i="3444" a="1"/>
  <c r="Y24" i="3444" s="1"/>
  <c r="V24" i="3444" a="1"/>
  <c r="V24" i="3444" s="1"/>
  <c r="T24" i="3444" a="1"/>
  <c r="T24" i="3444" s="1"/>
  <c r="BD24" i="3444" a="1"/>
  <c r="BD24" i="3444" s="1"/>
  <c r="BB24" i="3444" a="1"/>
  <c r="BB24" i="3444" s="1"/>
  <c r="AY24" i="3444" a="1"/>
  <c r="AY24" i="3444" s="1"/>
  <c r="AX24" i="3444" a="1"/>
  <c r="AX24" i="3444" s="1"/>
  <c r="AO24" i="3444" a="1"/>
  <c r="AO24" i="3444" s="1"/>
  <c r="AI24" i="3444" a="1"/>
  <c r="AI24" i="3444" s="1"/>
  <c r="BF24" i="3444" a="1"/>
  <c r="BF24" i="3444" s="1"/>
  <c r="L24" i="3444" a="1"/>
  <c r="L24" i="3444" s="1"/>
  <c r="R24" i="3444" a="1"/>
  <c r="R24" i="3444" s="1"/>
  <c r="BF32" i="3444" a="1"/>
  <c r="BF32" i="3444" s="1"/>
  <c r="AT32" i="3444" a="1"/>
  <c r="AT32" i="3444" s="1"/>
  <c r="AH32" i="3444" a="1"/>
  <c r="AH32" i="3444" s="1"/>
  <c r="V32" i="3444" a="1"/>
  <c r="V32" i="3444" s="1"/>
  <c r="BE32" i="3444" a="1"/>
  <c r="BE32" i="3444" s="1"/>
  <c r="AS32" i="3444" a="1"/>
  <c r="AS32" i="3444" s="1"/>
  <c r="AG32" i="3444" a="1"/>
  <c r="AG32" i="3444" s="1"/>
  <c r="U32" i="3444" a="1"/>
  <c r="U32" i="3444" s="1"/>
  <c r="BB32" i="3444" a="1"/>
  <c r="BB32" i="3444" s="1"/>
  <c r="AP32" i="3444" a="1"/>
  <c r="AP32" i="3444" s="1"/>
  <c r="AD32" i="3444" a="1"/>
  <c r="AD32" i="3444" s="1"/>
  <c r="R32" i="3444" a="1"/>
  <c r="R32" i="3444" s="1"/>
  <c r="AE32" i="3444" a="1"/>
  <c r="AE32" i="3444" s="1"/>
  <c r="BH32" i="3444" a="1"/>
  <c r="BH32" i="3444" s="1"/>
  <c r="P32" i="3444" a="1"/>
  <c r="P32" i="3444" s="1"/>
  <c r="AR32" i="3444" a="1"/>
  <c r="AR32" i="3444" s="1"/>
  <c r="AB32" i="3444" a="1"/>
  <c r="AB32" i="3444" s="1"/>
  <c r="N32" i="3444" a="1"/>
  <c r="N32" i="3444" s="1"/>
  <c r="BD32" i="3444" a="1"/>
  <c r="BD32" i="3444" s="1"/>
  <c r="BC32" i="3444" a="1"/>
  <c r="BC32" i="3444" s="1"/>
  <c r="AL32" i="3444" a="1"/>
  <c r="AL32" i="3444" s="1"/>
  <c r="T32" i="3444" a="1"/>
  <c r="T32" i="3444" s="1"/>
  <c r="AK32" i="3444" a="1"/>
  <c r="AK32" i="3444" s="1"/>
  <c r="S32" i="3444" a="1"/>
  <c r="S32" i="3444" s="1"/>
  <c r="BA32" i="3444" a="1"/>
  <c r="BA32" i="3444" s="1"/>
  <c r="AJ32" i="3444" a="1"/>
  <c r="AJ32" i="3444" s="1"/>
  <c r="AZ32" i="3444" a="1"/>
  <c r="AZ32" i="3444" s="1"/>
  <c r="Q32" i="3444" a="1"/>
  <c r="Q32" i="3444" s="1"/>
  <c r="AI32" i="3444" a="1"/>
  <c r="AI32" i="3444" s="1"/>
  <c r="O32" i="3444" a="1"/>
  <c r="O32" i="3444" s="1"/>
  <c r="AY32" i="3444" a="1"/>
  <c r="AY32" i="3444" s="1"/>
  <c r="M32" i="3444" a="1"/>
  <c r="M32" i="3444" s="1"/>
  <c r="AX32" i="3444" a="1"/>
  <c r="AX32" i="3444" s="1"/>
  <c r="AF32" i="3444" a="1"/>
  <c r="AF32" i="3444" s="1"/>
  <c r="AW32" i="3444" a="1"/>
  <c r="AW32" i="3444" s="1"/>
  <c r="AC32" i="3444" a="1"/>
  <c r="AC32" i="3444" s="1"/>
  <c r="AV32" i="3444" a="1"/>
  <c r="AV32" i="3444" s="1"/>
  <c r="AA32" i="3444" a="1"/>
  <c r="AA32" i="3444" s="1"/>
  <c r="AU32" i="3444" a="1"/>
  <c r="AU32" i="3444" s="1"/>
  <c r="Z32" i="3444" a="1"/>
  <c r="Z32" i="3444" s="1"/>
  <c r="AM32" i="3444" a="1"/>
  <c r="AM32" i="3444" s="1"/>
  <c r="Y32" i="3444" a="1"/>
  <c r="Y32" i="3444" s="1"/>
  <c r="X32" i="3444" a="1"/>
  <c r="X32" i="3444" s="1"/>
  <c r="W32" i="3444" a="1"/>
  <c r="W32" i="3444" s="1"/>
  <c r="L32" i="3444" a="1"/>
  <c r="L32" i="3444" s="1"/>
  <c r="K32" i="3444" a="1"/>
  <c r="K32" i="3444" s="1"/>
  <c r="BG32" i="3444" a="1"/>
  <c r="BG32" i="3444" s="1"/>
  <c r="AQ32" i="3444" a="1"/>
  <c r="AQ32" i="3444" s="1"/>
  <c r="AO32" i="3444" a="1"/>
  <c r="AO32" i="3444" s="1"/>
  <c r="AN32" i="3444" a="1"/>
  <c r="AN32" i="3444" s="1"/>
  <c r="V89" i="3489" a="1"/>
  <c r="V89" i="3489" s="1"/>
  <c r="BE89" i="3489" a="1"/>
  <c r="BE89" i="3489" s="1"/>
  <c r="AU92" i="3489" a="1"/>
  <c r="AU92" i="3489" s="1"/>
  <c r="BB74" i="3489" a="1"/>
  <c r="BB74" i="3489" s="1"/>
  <c r="AO74" i="3489" a="1"/>
  <c r="AO74" i="3489" s="1"/>
  <c r="AB74" i="3489" a="1"/>
  <c r="AB74" i="3489" s="1"/>
  <c r="O74" i="3489" a="1"/>
  <c r="O74" i="3489" s="1"/>
  <c r="BA74" i="3489" a="1"/>
  <c r="BA74" i="3489" s="1"/>
  <c r="AN74" i="3489" a="1"/>
  <c r="AN74" i="3489" s="1"/>
  <c r="AA74" i="3489" a="1"/>
  <c r="AA74" i="3489" s="1"/>
  <c r="N74" i="3489" a="1"/>
  <c r="N74" i="3489" s="1"/>
  <c r="AZ74" i="3489" a="1"/>
  <c r="AZ74" i="3489" s="1"/>
  <c r="AM74" i="3489" a="1"/>
  <c r="AM74" i="3489" s="1"/>
  <c r="Z74" i="3489" a="1"/>
  <c r="Z74" i="3489" s="1"/>
  <c r="M74" i="3489" a="1"/>
  <c r="M74" i="3489" s="1"/>
  <c r="AU74" i="3489" a="1"/>
  <c r="AU74" i="3489" s="1"/>
  <c r="AT74" i="3489" a="1"/>
  <c r="AT74" i="3489" s="1"/>
  <c r="AD74" i="3489" a="1"/>
  <c r="AD74" i="3489" s="1"/>
  <c r="K74" i="3489" a="1"/>
  <c r="K74" i="3489" s="1"/>
  <c r="AS74" i="3489" a="1"/>
  <c r="AS74" i="3489" s="1"/>
  <c r="AC74" i="3489" a="1"/>
  <c r="AC74" i="3489" s="1"/>
  <c r="AR74" i="3489" a="1"/>
  <c r="AR74" i="3489" s="1"/>
  <c r="BI74" i="3489" a="1"/>
  <c r="BI74" i="3489" s="1"/>
  <c r="Y74" i="3489" a="1"/>
  <c r="Y74" i="3489" s="1"/>
  <c r="BH74" i="3489" a="1"/>
  <c r="BH74" i="3489" s="1"/>
  <c r="AQ74" i="3489" a="1"/>
  <c r="AQ74" i="3489" s="1"/>
  <c r="BG74" i="3489" a="1"/>
  <c r="BG74" i="3489" s="1"/>
  <c r="X74" i="3489" a="1"/>
  <c r="X74" i="3489" s="1"/>
  <c r="BF74" i="3489" a="1"/>
  <c r="BF74" i="3489" s="1"/>
  <c r="AP74" i="3489" a="1"/>
  <c r="AP74" i="3489" s="1"/>
  <c r="W74" i="3489" a="1"/>
  <c r="W74" i="3489" s="1"/>
  <c r="V74" i="3489" a="1"/>
  <c r="V74" i="3489" s="1"/>
  <c r="BE74" i="3489" a="1"/>
  <c r="BE74" i="3489" s="1"/>
  <c r="BD74" i="3489" a="1"/>
  <c r="BD74" i="3489" s="1"/>
  <c r="T74" i="3489" a="1"/>
  <c r="T74" i="3489" s="1"/>
  <c r="B74" i="3489"/>
  <c r="AK74" i="3489" a="1"/>
  <c r="AK74" i="3489" s="1"/>
  <c r="BC74" i="3489" a="1"/>
  <c r="BC74" i="3489" s="1"/>
  <c r="S74" i="3489" a="1"/>
  <c r="S74" i="3489" s="1"/>
  <c r="AI74" i="3489" a="1"/>
  <c r="AI74" i="3489" s="1"/>
  <c r="R74" i="3489" a="1"/>
  <c r="R74" i="3489" s="1"/>
  <c r="AE74" i="3489" a="1"/>
  <c r="AE74" i="3489" s="1"/>
  <c r="AX74" i="3489" a="1"/>
  <c r="AX74" i="3489" s="1"/>
  <c r="AW74" i="3489" a="1"/>
  <c r="AW74" i="3489" s="1"/>
  <c r="AV74" i="3489" a="1"/>
  <c r="AV74" i="3489" s="1"/>
  <c r="AL74" i="3489" a="1"/>
  <c r="AL74" i="3489" s="1"/>
  <c r="AJ74" i="3489" a="1"/>
  <c r="AJ74" i="3489" s="1"/>
  <c r="AG74" i="3489" a="1"/>
  <c r="AG74" i="3489" s="1"/>
  <c r="U74" i="3489" a="1"/>
  <c r="U74" i="3489" s="1"/>
  <c r="Q74" i="3489" a="1"/>
  <c r="Q74" i="3489" s="1"/>
  <c r="P74" i="3489" a="1"/>
  <c r="P74" i="3489" s="1"/>
  <c r="AY74" i="3489" a="1"/>
  <c r="AY74" i="3489" s="1"/>
  <c r="AH74" i="3489" a="1"/>
  <c r="AH74" i="3489" s="1"/>
  <c r="AF74" i="3489" a="1"/>
  <c r="AF74" i="3489" s="1"/>
  <c r="L74" i="3489" a="1"/>
  <c r="L74" i="3489" s="1"/>
  <c r="BE62" i="3489" a="1"/>
  <c r="BE62" i="3489" s="1"/>
  <c r="AR62" i="3489" a="1"/>
  <c r="AR62" i="3489" s="1"/>
  <c r="AE62" i="3489" a="1"/>
  <c r="AE62" i="3489" s="1"/>
  <c r="R62" i="3489" a="1"/>
  <c r="R62" i="3489" s="1"/>
  <c r="BD62" i="3489" a="1"/>
  <c r="BD62" i="3489" s="1"/>
  <c r="AQ62" i="3489" a="1"/>
  <c r="AQ62" i="3489" s="1"/>
  <c r="AD62" i="3489" a="1"/>
  <c r="AD62" i="3489" s="1"/>
  <c r="Q62" i="3489" a="1"/>
  <c r="Q62" i="3489" s="1"/>
  <c r="B62" i="3489"/>
  <c r="AS62" i="3489" a="1"/>
  <c r="AS62" i="3489" s="1"/>
  <c r="AC62" i="3489" a="1"/>
  <c r="AC62" i="3489" s="1"/>
  <c r="BH62" i="3489" a="1"/>
  <c r="BH62" i="3489" s="1"/>
  <c r="N62" i="3489" a="1"/>
  <c r="N62" i="3489" s="1"/>
  <c r="BG62" i="3489" a="1"/>
  <c r="BG62" i="3489" s="1"/>
  <c r="AB62" i="3489" a="1"/>
  <c r="AB62" i="3489" s="1"/>
  <c r="BF62" i="3489" a="1"/>
  <c r="BF62" i="3489" s="1"/>
  <c r="AP62" i="3489" a="1"/>
  <c r="AP62" i="3489" s="1"/>
  <c r="M62" i="3489" a="1"/>
  <c r="M62" i="3489" s="1"/>
  <c r="AA62" i="3489" a="1"/>
  <c r="AA62" i="3489" s="1"/>
  <c r="AO62" i="3489" a="1"/>
  <c r="AO62" i="3489" s="1"/>
  <c r="L62" i="3489" a="1"/>
  <c r="L62" i="3489" s="1"/>
  <c r="AK62" i="3489" a="1"/>
  <c r="AK62" i="3489" s="1"/>
  <c r="AY62" i="3489" a="1"/>
  <c r="AY62" i="3489" s="1"/>
  <c r="U62" i="3489" a="1"/>
  <c r="U62" i="3489" s="1"/>
  <c r="AX62" i="3489" a="1"/>
  <c r="AX62" i="3489" s="1"/>
  <c r="AI62" i="3489" a="1"/>
  <c r="AI62" i="3489" s="1"/>
  <c r="T62" i="3489" a="1"/>
  <c r="T62" i="3489" s="1"/>
  <c r="AT62" i="3489" a="1"/>
  <c r="AT62" i="3489" s="1"/>
  <c r="X62" i="3489" a="1"/>
  <c r="X62" i="3489" s="1"/>
  <c r="AW62" i="3489" a="1"/>
  <c r="AW62" i="3489" s="1"/>
  <c r="W62" i="3489" a="1"/>
  <c r="W62" i="3489" s="1"/>
  <c r="V62" i="3489" a="1"/>
  <c r="V62" i="3489" s="1"/>
  <c r="AV62" i="3489" a="1"/>
  <c r="AV62" i="3489" s="1"/>
  <c r="AU62" i="3489" a="1"/>
  <c r="AU62" i="3489" s="1"/>
  <c r="S62" i="3489" a="1"/>
  <c r="S62" i="3489" s="1"/>
  <c r="AN62" i="3489" a="1"/>
  <c r="AN62" i="3489" s="1"/>
  <c r="P62" i="3489" a="1"/>
  <c r="P62" i="3489" s="1"/>
  <c r="AL62" i="3489" a="1"/>
  <c r="AL62" i="3489" s="1"/>
  <c r="AJ62" i="3489" a="1"/>
  <c r="AJ62" i="3489" s="1"/>
  <c r="AH62" i="3489" a="1"/>
  <c r="AH62" i="3489" s="1"/>
  <c r="BI62" i="3489" a="1"/>
  <c r="BI62" i="3489" s="1"/>
  <c r="BC62" i="3489" a="1"/>
  <c r="BC62" i="3489" s="1"/>
  <c r="AG62" i="3489" a="1"/>
  <c r="AG62" i="3489" s="1"/>
  <c r="AZ62" i="3489" a="1"/>
  <c r="AZ62" i="3489" s="1"/>
  <c r="Y62" i="3489" a="1"/>
  <c r="Y62" i="3489" s="1"/>
  <c r="BA62" i="3489" a="1"/>
  <c r="BA62" i="3489" s="1"/>
  <c r="AM62" i="3489" a="1"/>
  <c r="AM62" i="3489" s="1"/>
  <c r="AF62" i="3489" a="1"/>
  <c r="AF62" i="3489" s="1"/>
  <c r="Z62" i="3489" a="1"/>
  <c r="Z62" i="3489" s="1"/>
  <c r="O62" i="3489" a="1"/>
  <c r="O62" i="3489" s="1"/>
  <c r="K62" i="3489" a="1"/>
  <c r="K62" i="3489" s="1"/>
  <c r="BB62" i="3489" a="1"/>
  <c r="BB62" i="3489" s="1"/>
  <c r="BI52" i="3489" a="1"/>
  <c r="BI52" i="3489" s="1"/>
  <c r="AP52" i="3489" a="1"/>
  <c r="AP52" i="3489" s="1"/>
  <c r="AX50" i="3489" a="1"/>
  <c r="AX50" i="3489" s="1"/>
  <c r="AL50" i="3489" a="1"/>
  <c r="AL50" i="3489" s="1"/>
  <c r="Z50" i="3489" a="1"/>
  <c r="Z50" i="3489" s="1"/>
  <c r="N50" i="3489" a="1"/>
  <c r="N50" i="3489" s="1"/>
  <c r="BH50" i="3489" a="1"/>
  <c r="BH50" i="3489" s="1"/>
  <c r="AV50" i="3489" a="1"/>
  <c r="AV50" i="3489" s="1"/>
  <c r="AJ50" i="3489" a="1"/>
  <c r="AJ50" i="3489" s="1"/>
  <c r="X50" i="3489" a="1"/>
  <c r="X50" i="3489" s="1"/>
  <c r="L50" i="3489" a="1"/>
  <c r="L50" i="3489" s="1"/>
  <c r="AQ50" i="3489" a="1"/>
  <c r="AQ50" i="3489" s="1"/>
  <c r="BF50" i="3489" a="1"/>
  <c r="BF50" i="3489" s="1"/>
  <c r="AP50" i="3489" a="1"/>
  <c r="AP50" i="3489" s="1"/>
  <c r="AA50" i="3489" a="1"/>
  <c r="AA50" i="3489" s="1"/>
  <c r="Y50" i="3489" a="1"/>
  <c r="Y50" i="3489" s="1"/>
  <c r="BE50" i="3489" a="1"/>
  <c r="BE50" i="3489" s="1"/>
  <c r="AO50" i="3489" a="1"/>
  <c r="AO50" i="3489" s="1"/>
  <c r="AK50" i="3489" a="1"/>
  <c r="AK50" i="3489" s="1"/>
  <c r="AZ50" i="3489" a="1"/>
  <c r="AZ50" i="3489" s="1"/>
  <c r="AI50" i="3489" a="1"/>
  <c r="AI50" i="3489" s="1"/>
  <c r="T50" i="3489" a="1"/>
  <c r="T50" i="3489" s="1"/>
  <c r="B50" i="3489"/>
  <c r="S50" i="3489" a="1"/>
  <c r="S50" i="3489" s="1"/>
  <c r="AY50" i="3489" a="1"/>
  <c r="AY50" i="3489" s="1"/>
  <c r="AH50" i="3489" a="1"/>
  <c r="AH50" i="3489" s="1"/>
  <c r="R50" i="3489" a="1"/>
  <c r="R50" i="3489" s="1"/>
  <c r="AW50" i="3489" a="1"/>
  <c r="AW50" i="3489" s="1"/>
  <c r="AU50" i="3489" a="1"/>
  <c r="AU50" i="3489" s="1"/>
  <c r="AF50" i="3489" a="1"/>
  <c r="AF50" i="3489" s="1"/>
  <c r="P50" i="3489" a="1"/>
  <c r="P50" i="3489" s="1"/>
  <c r="AN50" i="3489" a="1"/>
  <c r="AN50" i="3489" s="1"/>
  <c r="K50" i="3489" a="1"/>
  <c r="K50" i="3489" s="1"/>
  <c r="AM50" i="3489" a="1"/>
  <c r="AM50" i="3489" s="1"/>
  <c r="AG50" i="3489" a="1"/>
  <c r="AG50" i="3489" s="1"/>
  <c r="BI50" i="3489" a="1"/>
  <c r="BI50" i="3489" s="1"/>
  <c r="AE50" i="3489" a="1"/>
  <c r="AE50" i="3489" s="1"/>
  <c r="AD50" i="3489" a="1"/>
  <c r="AD50" i="3489" s="1"/>
  <c r="V50" i="3489" a="1"/>
  <c r="V50" i="3489" s="1"/>
  <c r="U50" i="3489" a="1"/>
  <c r="U50" i="3489" s="1"/>
  <c r="AT50" i="3489" a="1"/>
  <c r="AT50" i="3489" s="1"/>
  <c r="AS50" i="3489" a="1"/>
  <c r="AS50" i="3489" s="1"/>
  <c r="AR50" i="3489" a="1"/>
  <c r="AR50" i="3489" s="1"/>
  <c r="AC50" i="3489" a="1"/>
  <c r="AC50" i="3489" s="1"/>
  <c r="AB50" i="3489" a="1"/>
  <c r="AB50" i="3489" s="1"/>
  <c r="W50" i="3489" a="1"/>
  <c r="W50" i="3489" s="1"/>
  <c r="Q50" i="3489" a="1"/>
  <c r="Q50" i="3489" s="1"/>
  <c r="O50" i="3489" a="1"/>
  <c r="O50" i="3489" s="1"/>
  <c r="BG50" i="3489" a="1"/>
  <c r="BG50" i="3489" s="1"/>
  <c r="BD50" i="3489" a="1"/>
  <c r="BD50" i="3489" s="1"/>
  <c r="M50" i="3489" a="1"/>
  <c r="M50" i="3489" s="1"/>
  <c r="BC50" i="3489" a="1"/>
  <c r="BC50" i="3489" s="1"/>
  <c r="BA50" i="3489" a="1"/>
  <c r="BA50" i="3489" s="1"/>
  <c r="BB50" i="3489" a="1"/>
  <c r="BB50" i="3489" s="1"/>
  <c r="AZ39" i="3489" a="1"/>
  <c r="AZ39" i="3489" s="1"/>
  <c r="AN39" i="3489" a="1"/>
  <c r="AN39" i="3489" s="1"/>
  <c r="AB39" i="3489" a="1"/>
  <c r="AB39" i="3489" s="1"/>
  <c r="P39" i="3489" a="1"/>
  <c r="P39" i="3489" s="1"/>
  <c r="B39" i="3489"/>
  <c r="AX39" i="3489" a="1"/>
  <c r="AX39" i="3489" s="1"/>
  <c r="AL39" i="3489" a="1"/>
  <c r="AL39" i="3489" s="1"/>
  <c r="Z39" i="3489" a="1"/>
  <c r="Z39" i="3489" s="1"/>
  <c r="N39" i="3489" a="1"/>
  <c r="N39" i="3489" s="1"/>
  <c r="AJ39" i="3489" a="1"/>
  <c r="AJ39" i="3489" s="1"/>
  <c r="V39" i="3489" a="1"/>
  <c r="V39" i="3489" s="1"/>
  <c r="AW39" i="3489" a="1"/>
  <c r="AW39" i="3489" s="1"/>
  <c r="AI39" i="3489" a="1"/>
  <c r="AI39" i="3489" s="1"/>
  <c r="U39" i="3489" a="1"/>
  <c r="U39" i="3489" s="1"/>
  <c r="AV39" i="3489" a="1"/>
  <c r="AV39" i="3489" s="1"/>
  <c r="AH39" i="3489" a="1"/>
  <c r="AH39" i="3489" s="1"/>
  <c r="T39" i="3489" a="1"/>
  <c r="T39" i="3489" s="1"/>
  <c r="BE39" i="3489" a="1"/>
  <c r="BE39" i="3489" s="1"/>
  <c r="AQ39" i="3489" a="1"/>
  <c r="AQ39" i="3489" s="1"/>
  <c r="AC39" i="3489" a="1"/>
  <c r="AC39" i="3489" s="1"/>
  <c r="M39" i="3489" a="1"/>
  <c r="M39" i="3489" s="1"/>
  <c r="BH39" i="3489" a="1"/>
  <c r="BH39" i="3489" s="1"/>
  <c r="AO39" i="3489" a="1"/>
  <c r="AO39" i="3489" s="1"/>
  <c r="S39" i="3489" a="1"/>
  <c r="S39" i="3489" s="1"/>
  <c r="BG39" i="3489" a="1"/>
  <c r="BG39" i="3489" s="1"/>
  <c r="AM39" i="3489" a="1"/>
  <c r="AM39" i="3489" s="1"/>
  <c r="R39" i="3489" a="1"/>
  <c r="R39" i="3489" s="1"/>
  <c r="AK39" i="3489" a="1"/>
  <c r="AK39" i="3489" s="1"/>
  <c r="Q39" i="3489" a="1"/>
  <c r="Q39" i="3489" s="1"/>
  <c r="BD39" i="3489" a="1"/>
  <c r="BD39" i="3489" s="1"/>
  <c r="O39" i="3489" a="1"/>
  <c r="O39" i="3489" s="1"/>
  <c r="BC39" i="3489" a="1"/>
  <c r="BC39" i="3489" s="1"/>
  <c r="AG39" i="3489" a="1"/>
  <c r="AG39" i="3489" s="1"/>
  <c r="L39" i="3489" a="1"/>
  <c r="L39" i="3489" s="1"/>
  <c r="W39" i="3489" a="1"/>
  <c r="W39" i="3489" s="1"/>
  <c r="BA39" i="3489" a="1"/>
  <c r="BA39" i="3489" s="1"/>
  <c r="AY39" i="3489" a="1"/>
  <c r="AY39" i="3489" s="1"/>
  <c r="AU39" i="3489" a="1"/>
  <c r="AU39" i="3489" s="1"/>
  <c r="K39" i="3489" a="1"/>
  <c r="K39" i="3489" s="1"/>
  <c r="AT39" i="3489" a="1"/>
  <c r="AT39" i="3489" s="1"/>
  <c r="AS39" i="3489" a="1"/>
  <c r="AS39" i="3489" s="1"/>
  <c r="AP39" i="3489" a="1"/>
  <c r="AP39" i="3489" s="1"/>
  <c r="AF39" i="3489" a="1"/>
  <c r="AF39" i="3489" s="1"/>
  <c r="AD39" i="3489" a="1"/>
  <c r="AD39" i="3489" s="1"/>
  <c r="AA39" i="3489" a="1"/>
  <c r="AA39" i="3489" s="1"/>
  <c r="Y39" i="3489" a="1"/>
  <c r="Y39" i="3489" s="1"/>
  <c r="X39" i="3489" a="1"/>
  <c r="X39" i="3489" s="1"/>
  <c r="BI39" i="3489" a="1"/>
  <c r="BI39" i="3489" s="1"/>
  <c r="BB39" i="3489" a="1"/>
  <c r="BB39" i="3489" s="1"/>
  <c r="BF39" i="3489" a="1"/>
  <c r="BF39" i="3489" s="1"/>
  <c r="AR39" i="3489" a="1"/>
  <c r="AR39" i="3489" s="1"/>
  <c r="AE39" i="3489" a="1"/>
  <c r="AE39" i="3489" s="1"/>
  <c r="AU29" i="3489" a="1"/>
  <c r="AU29" i="3489" s="1"/>
  <c r="AC29" i="3489" a="1"/>
  <c r="AC29" i="3489" s="1"/>
  <c r="AY29" i="3489" a="1"/>
  <c r="AY29" i="3489" s="1"/>
  <c r="A126" i="3523"/>
  <c r="BF24" i="3489" a="1"/>
  <c r="BF24" i="3489" s="1"/>
  <c r="AT24" i="3489" a="1"/>
  <c r="AT24" i="3489" s="1"/>
  <c r="AH24" i="3489" a="1"/>
  <c r="AH24" i="3489" s="1"/>
  <c r="V24" i="3489" a="1"/>
  <c r="V24" i="3489" s="1"/>
  <c r="BE24" i="3489" a="1"/>
  <c r="BE24" i="3489" s="1"/>
  <c r="AS24" i="3489" a="1"/>
  <c r="AS24" i="3489" s="1"/>
  <c r="AG24" i="3489" a="1"/>
  <c r="AG24" i="3489" s="1"/>
  <c r="U24" i="3489" a="1"/>
  <c r="U24" i="3489" s="1"/>
  <c r="BB24" i="3489" a="1"/>
  <c r="BB24" i="3489" s="1"/>
  <c r="Y24" i="3489" a="1"/>
  <c r="Y24" i="3489" s="1"/>
  <c r="AM24" i="3489" a="1"/>
  <c r="AM24" i="3489" s="1"/>
  <c r="BA24" i="3489" a="1"/>
  <c r="BA24" i="3489" s="1"/>
  <c r="X24" i="3489" a="1"/>
  <c r="X24" i="3489" s="1"/>
  <c r="AL24" i="3489" a="1"/>
  <c r="AL24" i="3489" s="1"/>
  <c r="AI24" i="3489" a="1"/>
  <c r="AI24" i="3489" s="1"/>
  <c r="R24" i="3489" a="1"/>
  <c r="R24" i="3489" s="1"/>
  <c r="AX24" i="3489" a="1"/>
  <c r="AX24" i="3489" s="1"/>
  <c r="AD24" i="3489" a="1"/>
  <c r="AD24" i="3489" s="1"/>
  <c r="M24" i="3489" a="1"/>
  <c r="M24" i="3489" s="1"/>
  <c r="AW24" i="3489" a="1"/>
  <c r="AW24" i="3489" s="1"/>
  <c r="AC24" i="3489" a="1"/>
  <c r="AC24" i="3489" s="1"/>
  <c r="L24" i="3489" a="1"/>
  <c r="L24" i="3489" s="1"/>
  <c r="AV24" i="3489" a="1"/>
  <c r="AV24" i="3489" s="1"/>
  <c r="AR24" i="3489" a="1"/>
  <c r="AR24" i="3489" s="1"/>
  <c r="AA24" i="3489" a="1"/>
  <c r="AA24" i="3489" s="1"/>
  <c r="AP24" i="3489" a="1"/>
  <c r="AP24" i="3489" s="1"/>
  <c r="W24" i="3489" a="1"/>
  <c r="W24" i="3489" s="1"/>
  <c r="BH24" i="3489" a="1"/>
  <c r="BH24" i="3489" s="1"/>
  <c r="S24" i="3489" a="1"/>
  <c r="S24" i="3489" s="1"/>
  <c r="BG24" i="3489" a="1"/>
  <c r="BG24" i="3489" s="1"/>
  <c r="BD24" i="3489" a="1"/>
  <c r="BD24" i="3489" s="1"/>
  <c r="AK24" i="3489" a="1"/>
  <c r="AK24" i="3489" s="1"/>
  <c r="Q24" i="3489" a="1"/>
  <c r="Q24" i="3489" s="1"/>
  <c r="AY24" i="3489" a="1"/>
  <c r="AY24" i="3489" s="1"/>
  <c r="O24" i="3489" a="1"/>
  <c r="O24" i="3489" s="1"/>
  <c r="AU24" i="3489" a="1"/>
  <c r="AU24" i="3489" s="1"/>
  <c r="N24" i="3489" a="1"/>
  <c r="N24" i="3489" s="1"/>
  <c r="K24" i="3489" a="1"/>
  <c r="K24" i="3489" s="1"/>
  <c r="AQ24" i="3489" a="1"/>
  <c r="AQ24" i="3489" s="1"/>
  <c r="AO24" i="3489" a="1"/>
  <c r="AO24" i="3489" s="1"/>
  <c r="B24" i="3489"/>
  <c r="AN24" i="3489" a="1"/>
  <c r="AN24" i="3489" s="1"/>
  <c r="AJ24" i="3489" a="1"/>
  <c r="AJ24" i="3489" s="1"/>
  <c r="AF24" i="3489" a="1"/>
  <c r="AF24" i="3489" s="1"/>
  <c r="AE24" i="3489" a="1"/>
  <c r="AE24" i="3489" s="1"/>
  <c r="AB24" i="3489" a="1"/>
  <c r="AB24" i="3489" s="1"/>
  <c r="T24" i="3489" a="1"/>
  <c r="T24" i="3489" s="1"/>
  <c r="AZ24" i="3489" a="1"/>
  <c r="AZ24" i="3489" s="1"/>
  <c r="Z24" i="3489" a="1"/>
  <c r="Z24" i="3489" s="1"/>
  <c r="BI24" i="3489" a="1"/>
  <c r="BI24" i="3489" s="1"/>
  <c r="BC24" i="3489" a="1"/>
  <c r="BC24" i="3489" s="1"/>
  <c r="P24" i="3489" a="1"/>
  <c r="P24" i="3489" s="1"/>
  <c r="H71" i="3523" a="1"/>
  <c r="H71" i="3523" s="1"/>
  <c r="I71" i="3523" a="1"/>
  <c r="I71" i="3523" s="1"/>
  <c r="E128" i="3523"/>
  <c r="AA128" i="3523" s="1" a="1"/>
  <c r="AA128" i="3523" s="1"/>
  <c r="BS97" i="3448"/>
  <c r="M83" i="3448"/>
  <c r="H52" i="3523" a="1"/>
  <c r="H52" i="3523" s="1"/>
  <c r="I52" i="3523" a="1"/>
  <c r="I52" i="3523" s="1"/>
  <c r="G21" i="3448"/>
  <c r="BP57" i="3448"/>
  <c r="BO57" i="3448"/>
  <c r="G57" i="3448"/>
  <c r="BW57" i="3448" s="1"/>
  <c r="S39" i="3523"/>
  <c r="M58" i="3448"/>
  <c r="M42" i="3448"/>
  <c r="Y51" i="3436"/>
  <c r="AE66" i="3480"/>
  <c r="AL116" i="3434" a="1"/>
  <c r="AL116" i="3434" s="1"/>
  <c r="AK116" i="3434" a="1"/>
  <c r="AK116" i="3434" s="1"/>
  <c r="G80" i="3436"/>
  <c r="G27" i="3436"/>
  <c r="I19" i="3436"/>
  <c r="S25" i="3445" s="1" a="1"/>
  <c r="S25" i="3445" s="1"/>
  <c r="T25" i="3445" s="1"/>
  <c r="Y40" i="3436"/>
  <c r="G43" i="3436"/>
  <c r="U68" i="3436" a="1"/>
  <c r="U68" i="3436" s="1"/>
  <c r="J70" i="3444" s="1"/>
  <c r="D13" i="3561"/>
  <c r="B629" i="3449"/>
  <c r="C9" i="3435"/>
  <c r="G15" i="3518" a="1"/>
  <c r="G15" i="3518" s="1"/>
  <c r="F15" i="3518" a="1"/>
  <c r="F15" i="3518" s="1"/>
  <c r="G43" i="3518" a="1"/>
  <c r="G43" i="3518" s="1"/>
  <c r="F43" i="3518" a="1"/>
  <c r="F43" i="3518" s="1"/>
  <c r="F26" i="3518" a="1"/>
  <c r="F26" i="3518" s="1"/>
  <c r="G26" i="3518" a="1"/>
  <c r="G26" i="3518" s="1"/>
  <c r="H91" i="3528" a="1"/>
  <c r="H91" i="3528" s="1"/>
  <c r="H57" i="3528" a="1"/>
  <c r="H57" i="3528" s="1"/>
  <c r="H126" i="3528" a="1"/>
  <c r="H126" i="3528" s="1"/>
  <c r="F141" i="3528" a="1"/>
  <c r="F141" i="3528" s="1"/>
  <c r="F106" i="3528" a="1"/>
  <c r="F106" i="3528" s="1"/>
  <c r="F72" i="3528" a="1"/>
  <c r="F72" i="3528" s="1"/>
  <c r="H124" i="3528" a="1"/>
  <c r="H124" i="3528" s="1"/>
  <c r="H55" i="3528" a="1"/>
  <c r="H55" i="3528" s="1"/>
  <c r="H89" i="3528" a="1"/>
  <c r="H89" i="3528" s="1"/>
  <c r="K131" i="3528" a="1"/>
  <c r="K131" i="3528" s="1"/>
  <c r="K96" i="3528" a="1"/>
  <c r="K96" i="3528" s="1"/>
  <c r="K62" i="3528" a="1"/>
  <c r="K62" i="3528" s="1"/>
  <c r="G52" i="3528" a="1"/>
  <c r="G52" i="3528" s="1"/>
  <c r="G86" i="3528" a="1"/>
  <c r="G86" i="3528" s="1"/>
  <c r="G121" i="3528" a="1"/>
  <c r="G121" i="3528" s="1"/>
  <c r="L76" i="3528" a="1"/>
  <c r="L76" i="3528" s="1"/>
  <c r="L110" i="3528" a="1"/>
  <c r="L110" i="3528" s="1"/>
  <c r="L145" i="3528" a="1"/>
  <c r="L145" i="3528" s="1"/>
  <c r="P124" i="3528" a="1"/>
  <c r="P124" i="3528" s="1"/>
  <c r="P55" i="3528" a="1"/>
  <c r="P55" i="3528" s="1"/>
  <c r="P89" i="3528" a="1"/>
  <c r="P89" i="3528" s="1"/>
  <c r="H53" i="3528" a="1"/>
  <c r="H53" i="3528" s="1"/>
  <c r="H122" i="3528" a="1"/>
  <c r="H122" i="3528" s="1"/>
  <c r="H87" i="3528" a="1"/>
  <c r="H87" i="3528" s="1"/>
  <c r="O99" i="3528" a="1"/>
  <c r="O99" i="3528" s="1"/>
  <c r="O134" i="3528" a="1"/>
  <c r="O134" i="3528" s="1"/>
  <c r="O65" i="3528" a="1"/>
  <c r="O65" i="3528" s="1"/>
  <c r="P140" i="3528" a="1"/>
  <c r="P140" i="3528" s="1"/>
  <c r="P71" i="3528" a="1"/>
  <c r="P71" i="3528" s="1"/>
  <c r="P105" i="3528" a="1"/>
  <c r="P105" i="3528" s="1"/>
  <c r="Q98" i="3528" a="1"/>
  <c r="Q98" i="3528" s="1"/>
  <c r="Q64" i="3528" a="1"/>
  <c r="Q64" i="3528" s="1"/>
  <c r="Q133" i="3528" a="1"/>
  <c r="Q133" i="3528" s="1"/>
  <c r="Q95" i="3528" a="1"/>
  <c r="Q95" i="3528" s="1"/>
  <c r="Q130" i="3528" a="1"/>
  <c r="Q130" i="3528" s="1"/>
  <c r="Q61" i="3528" a="1"/>
  <c r="Q61" i="3528" s="1"/>
  <c r="G129" i="3528" a="1"/>
  <c r="G129" i="3528" s="1"/>
  <c r="G60" i="3528" a="1"/>
  <c r="G60" i="3528" s="1"/>
  <c r="G94" i="3528" a="1"/>
  <c r="G94" i="3528" s="1"/>
  <c r="P51" i="3528" a="1"/>
  <c r="P51" i="3528" s="1"/>
  <c r="P85" i="3528" a="1"/>
  <c r="P85" i="3528" s="1"/>
  <c r="P120" i="3528" a="1"/>
  <c r="P120" i="3528" s="1"/>
  <c r="F144" i="3528" a="1"/>
  <c r="F144" i="3528" s="1"/>
  <c r="F109" i="3528" a="1"/>
  <c r="F109" i="3528" s="1"/>
  <c r="F75" i="3528" a="1"/>
  <c r="F75" i="3528" s="1"/>
  <c r="Q92" i="3528" a="1"/>
  <c r="Q92" i="3528" s="1"/>
  <c r="Q58" i="3528" a="1"/>
  <c r="Q58" i="3528" s="1"/>
  <c r="Q127" i="3528" a="1"/>
  <c r="Q127" i="3528" s="1"/>
  <c r="BF47" i="3479" a="1"/>
  <c r="BF47" i="3479" s="1"/>
  <c r="BG47" i="3479" a="1"/>
  <c r="BG47" i="3479" s="1"/>
  <c r="BH47" i="3479" s="1" a="1"/>
  <c r="BH47" i="3479" s="1"/>
  <c r="BN38" i="3479" a="1"/>
  <c r="BN38" i="3479" s="1"/>
  <c r="BM38" i="3479" a="1"/>
  <c r="BM38" i="3479" s="1"/>
  <c r="BL38" i="3479" a="1"/>
  <c r="BL38" i="3479" s="1"/>
  <c r="ED61" i="3479" a="1"/>
  <c r="ED61" i="3479" s="1"/>
  <c r="EE61" i="3479" s="1" a="1"/>
  <c r="EE61" i="3479" s="1"/>
  <c r="EC61" i="3479" a="1"/>
  <c r="EC61" i="3479" s="1"/>
  <c r="EF61" i="3479" s="1" a="1"/>
  <c r="EF61" i="3479" s="1"/>
  <c r="EG61" i="3479" s="1" a="1"/>
  <c r="EG61" i="3479" s="1"/>
  <c r="L55" i="3560"/>
  <c r="K55" i="3560"/>
  <c r="I55" i="3560"/>
  <c r="O55" i="3560" s="1" a="1"/>
  <c r="O55" i="3560" s="1"/>
  <c r="J55" i="3560"/>
  <c r="P55" i="3560" s="1" a="1"/>
  <c r="P55" i="3560" s="1"/>
  <c r="J57" i="3445" a="1"/>
  <c r="J57" i="3445" s="1"/>
  <c r="P57" i="3445" s="1"/>
  <c r="Q57" i="3445" s="1"/>
  <c r="A81" i="3444"/>
  <c r="BH30" i="3444" a="1"/>
  <c r="BH30" i="3444" s="1"/>
  <c r="AV30" i="3444" a="1"/>
  <c r="AV30" i="3444" s="1"/>
  <c r="AJ30" i="3444" a="1"/>
  <c r="AJ30" i="3444" s="1"/>
  <c r="X30" i="3444" a="1"/>
  <c r="X30" i="3444" s="1"/>
  <c r="L30" i="3444" a="1"/>
  <c r="L30" i="3444" s="1"/>
  <c r="BF30" i="3444" a="1"/>
  <c r="BF30" i="3444" s="1"/>
  <c r="AT30" i="3444" a="1"/>
  <c r="AT30" i="3444" s="1"/>
  <c r="AH30" i="3444" a="1"/>
  <c r="AH30" i="3444" s="1"/>
  <c r="V30" i="3444" a="1"/>
  <c r="V30" i="3444" s="1"/>
  <c r="AU30" i="3444" a="1"/>
  <c r="AU30" i="3444" s="1"/>
  <c r="Q30" i="3444" a="1"/>
  <c r="Q30" i="3444" s="1"/>
  <c r="AE30" i="3444" a="1"/>
  <c r="AE30" i="3444" s="1"/>
  <c r="AS30" i="3444" a="1"/>
  <c r="AS30" i="3444" s="1"/>
  <c r="P30" i="3444" a="1"/>
  <c r="P30" i="3444" s="1"/>
  <c r="AD30" i="3444" a="1"/>
  <c r="AD30" i="3444" s="1"/>
  <c r="AR30" i="3444" a="1"/>
  <c r="AR30" i="3444" s="1"/>
  <c r="O30" i="3444" a="1"/>
  <c r="O30" i="3444" s="1"/>
  <c r="BG30" i="3444" a="1"/>
  <c r="BG30" i="3444" s="1"/>
  <c r="AC30" i="3444" a="1"/>
  <c r="AC30" i="3444" s="1"/>
  <c r="AQ30" i="3444" a="1"/>
  <c r="AQ30" i="3444" s="1"/>
  <c r="N30" i="3444" a="1"/>
  <c r="N30" i="3444" s="1"/>
  <c r="BE30" i="3444" a="1"/>
  <c r="BE30" i="3444" s="1"/>
  <c r="AB30" i="3444" a="1"/>
  <c r="AB30" i="3444" s="1"/>
  <c r="AP30" i="3444" a="1"/>
  <c r="AP30" i="3444" s="1"/>
  <c r="M30" i="3444" a="1"/>
  <c r="M30" i="3444" s="1"/>
  <c r="BD30" i="3444" a="1"/>
  <c r="BD30" i="3444" s="1"/>
  <c r="AA30" i="3444" a="1"/>
  <c r="AA30" i="3444" s="1"/>
  <c r="K30" i="3444" a="1"/>
  <c r="K30" i="3444" s="1"/>
  <c r="BC30" i="3444" a="1"/>
  <c r="BC30" i="3444" s="1"/>
  <c r="Z30" i="3444" a="1"/>
  <c r="Z30" i="3444" s="1"/>
  <c r="BB30" i="3444" a="1"/>
  <c r="BB30" i="3444" s="1"/>
  <c r="Y30" i="3444" a="1"/>
  <c r="Y30" i="3444" s="1"/>
  <c r="AM30" i="3444" a="1"/>
  <c r="AM30" i="3444" s="1"/>
  <c r="W30" i="3444" a="1"/>
  <c r="W30" i="3444" s="1"/>
  <c r="BA30" i="3444" a="1"/>
  <c r="BA30" i="3444" s="1"/>
  <c r="AL30" i="3444" a="1"/>
  <c r="AL30" i="3444" s="1"/>
  <c r="U30" i="3444" a="1"/>
  <c r="U30" i="3444" s="1"/>
  <c r="R30" i="3444" a="1"/>
  <c r="R30" i="3444" s="1"/>
  <c r="AW30" i="3444" a="1"/>
  <c r="AW30" i="3444" s="1"/>
  <c r="AF30" i="3444" a="1"/>
  <c r="AF30" i="3444" s="1"/>
  <c r="AI30" i="3444" a="1"/>
  <c r="AI30" i="3444" s="1"/>
  <c r="AG30" i="3444" a="1"/>
  <c r="AG30" i="3444" s="1"/>
  <c r="T30" i="3444" a="1"/>
  <c r="T30" i="3444" s="1"/>
  <c r="S30" i="3444" a="1"/>
  <c r="S30" i="3444" s="1"/>
  <c r="AZ30" i="3444" a="1"/>
  <c r="AZ30" i="3444" s="1"/>
  <c r="AY30" i="3444" a="1"/>
  <c r="AY30" i="3444" s="1"/>
  <c r="AK30" i="3444" a="1"/>
  <c r="AK30" i="3444" s="1"/>
  <c r="AO30" i="3444" a="1"/>
  <c r="AO30" i="3444" s="1"/>
  <c r="AX30" i="3444" a="1"/>
  <c r="AX30" i="3444" s="1"/>
  <c r="AN30" i="3444" a="1"/>
  <c r="AN30" i="3444" s="1"/>
  <c r="AY76" i="3489" a="1"/>
  <c r="AY76" i="3489" s="1"/>
  <c r="AM76" i="3489" a="1"/>
  <c r="AM76" i="3489" s="1"/>
  <c r="AA76" i="3489" a="1"/>
  <c r="AA76" i="3489" s="1"/>
  <c r="AR76" i="3489" a="1"/>
  <c r="AR76" i="3489" s="1"/>
  <c r="Q76" i="3489" a="1"/>
  <c r="Q76" i="3489" s="1"/>
  <c r="B76" i="3489"/>
  <c r="BE76" i="3489" a="1"/>
  <c r="BE76" i="3489" s="1"/>
  <c r="AD76" i="3489" a="1"/>
  <c r="AD76" i="3489" s="1"/>
  <c r="AQ76" i="3489" a="1"/>
  <c r="AQ76" i="3489" s="1"/>
  <c r="P76" i="3489" a="1"/>
  <c r="P76" i="3489" s="1"/>
  <c r="BD76" i="3489" a="1"/>
  <c r="BD76" i="3489" s="1"/>
  <c r="AC76" i="3489" a="1"/>
  <c r="AC76" i="3489" s="1"/>
  <c r="O76" i="3489" a="1"/>
  <c r="O76" i="3489" s="1"/>
  <c r="BC76" i="3489" a="1"/>
  <c r="BC76" i="3489" s="1"/>
  <c r="AB76" i="3489" a="1"/>
  <c r="AB76" i="3489" s="1"/>
  <c r="AW76" i="3489" a="1"/>
  <c r="AW76" i="3489" s="1"/>
  <c r="V76" i="3489" a="1"/>
  <c r="V76" i="3489" s="1"/>
  <c r="BA76" i="3489" a="1"/>
  <c r="BA76" i="3489" s="1"/>
  <c r="R76" i="3489" a="1"/>
  <c r="R76" i="3489" s="1"/>
  <c r="AH76" i="3489" a="1"/>
  <c r="AH76" i="3489" s="1"/>
  <c r="AZ76" i="3489" a="1"/>
  <c r="AZ76" i="3489" s="1"/>
  <c r="N76" i="3489" a="1"/>
  <c r="N76" i="3489" s="1"/>
  <c r="AX76" i="3489" a="1"/>
  <c r="AX76" i="3489" s="1"/>
  <c r="AG76" i="3489" a="1"/>
  <c r="AG76" i="3489" s="1"/>
  <c r="M76" i="3489" a="1"/>
  <c r="M76" i="3489" s="1"/>
  <c r="AF76" i="3489" a="1"/>
  <c r="AF76" i="3489" s="1"/>
  <c r="L76" i="3489" a="1"/>
  <c r="L76" i="3489" s="1"/>
  <c r="AV76" i="3489" a="1"/>
  <c r="AV76" i="3489" s="1"/>
  <c r="AE76" i="3489" a="1"/>
  <c r="AE76" i="3489" s="1"/>
  <c r="K76" i="3489" a="1"/>
  <c r="K76" i="3489" s="1"/>
  <c r="AU76" i="3489" a="1"/>
  <c r="AU76" i="3489" s="1"/>
  <c r="Z76" i="3489" a="1"/>
  <c r="Z76" i="3489" s="1"/>
  <c r="AT76" i="3489" a="1"/>
  <c r="AT76" i="3489" s="1"/>
  <c r="AS76" i="3489" a="1"/>
  <c r="AS76" i="3489" s="1"/>
  <c r="BI76" i="3489" a="1"/>
  <c r="BI76" i="3489" s="1"/>
  <c r="X76" i="3489" a="1"/>
  <c r="X76" i="3489" s="1"/>
  <c r="AP76" i="3489" a="1"/>
  <c r="AP76" i="3489" s="1"/>
  <c r="BH76" i="3489" a="1"/>
  <c r="BH76" i="3489" s="1"/>
  <c r="AO76" i="3489" a="1"/>
  <c r="AO76" i="3489" s="1"/>
  <c r="BB76" i="3489" a="1"/>
  <c r="BB76" i="3489" s="1"/>
  <c r="AJ76" i="3489" a="1"/>
  <c r="AJ76" i="3489" s="1"/>
  <c r="S76" i="3489" a="1"/>
  <c r="S76" i="3489" s="1"/>
  <c r="AI76" i="3489" a="1"/>
  <c r="AI76" i="3489" s="1"/>
  <c r="Y76" i="3489" a="1"/>
  <c r="Y76" i="3489" s="1"/>
  <c r="W76" i="3489" a="1"/>
  <c r="W76" i="3489" s="1"/>
  <c r="U76" i="3489" a="1"/>
  <c r="U76" i="3489" s="1"/>
  <c r="BG76" i="3489" a="1"/>
  <c r="BG76" i="3489" s="1"/>
  <c r="BF76" i="3489" a="1"/>
  <c r="BF76" i="3489" s="1"/>
  <c r="AK76" i="3489" a="1"/>
  <c r="AK76" i="3489" s="1"/>
  <c r="AN76" i="3489" a="1"/>
  <c r="AN76" i="3489" s="1"/>
  <c r="AL76" i="3489" a="1"/>
  <c r="AL76" i="3489" s="1"/>
  <c r="T76" i="3489" a="1"/>
  <c r="T76" i="3489" s="1"/>
  <c r="ED67" i="3479" a="1"/>
  <c r="ED67" i="3479" s="1"/>
  <c r="EE67" i="3479" s="1" a="1"/>
  <c r="EE67" i="3479" s="1"/>
  <c r="EC67" i="3479" a="1"/>
  <c r="EC67" i="3479" s="1"/>
  <c r="EF67" i="3479" s="1" a="1"/>
  <c r="EF67" i="3479" s="1"/>
  <c r="EG67" i="3479" s="1" a="1"/>
  <c r="EG67" i="3479" s="1"/>
  <c r="AQ21" i="3479" a="1"/>
  <c r="AQ21" i="3479" s="1"/>
  <c r="AR21" i="3479" a="1"/>
  <c r="AR21" i="3479" s="1"/>
  <c r="AS21" i="3479" s="1" a="1"/>
  <c r="AS21" i="3479" s="1"/>
  <c r="CY46" i="3479" a="1"/>
  <c r="CY46" i="3479" s="1"/>
  <c r="DB46" i="3479" s="1" a="1"/>
  <c r="DB46" i="3479" s="1"/>
  <c r="DC46" i="3479" s="1" a="1"/>
  <c r="DC46" i="3479" s="1"/>
  <c r="CZ46" i="3479" a="1"/>
  <c r="CZ46" i="3479" s="1"/>
  <c r="DA46" i="3479" s="1" a="1"/>
  <c r="DA46" i="3479" s="1"/>
  <c r="A93" i="3445"/>
  <c r="BF71" i="3444" a="1"/>
  <c r="BF71" i="3444" s="1"/>
  <c r="AT71" i="3444" a="1"/>
  <c r="AT71" i="3444" s="1"/>
  <c r="AH71" i="3444" a="1"/>
  <c r="AH71" i="3444" s="1"/>
  <c r="V71" i="3444" a="1"/>
  <c r="V71" i="3444" s="1"/>
  <c r="AW71" i="3444" a="1"/>
  <c r="AW71" i="3444" s="1"/>
  <c r="AG71" i="3444" a="1"/>
  <c r="AG71" i="3444" s="1"/>
  <c r="R71" i="3444" a="1"/>
  <c r="R71" i="3444" s="1"/>
  <c r="AF71" i="3444" a="1"/>
  <c r="AF71" i="3444" s="1"/>
  <c r="Q71" i="3444" a="1"/>
  <c r="Q71" i="3444" s="1"/>
  <c r="AV71" i="3444" a="1"/>
  <c r="AV71" i="3444" s="1"/>
  <c r="AE71" i="3444" a="1"/>
  <c r="AE71" i="3444" s="1"/>
  <c r="P71" i="3444" a="1"/>
  <c r="P71" i="3444" s="1"/>
  <c r="AU71" i="3444" a="1"/>
  <c r="AU71" i="3444" s="1"/>
  <c r="AS71" i="3444" a="1"/>
  <c r="AS71" i="3444" s="1"/>
  <c r="AD71" i="3444" a="1"/>
  <c r="AD71" i="3444" s="1"/>
  <c r="O71" i="3444" a="1"/>
  <c r="O71" i="3444" s="1"/>
  <c r="BH71" i="3444" a="1"/>
  <c r="BH71" i="3444" s="1"/>
  <c r="N71" i="3444" a="1"/>
  <c r="N71" i="3444" s="1"/>
  <c r="BG71" i="3444" a="1"/>
  <c r="BG71" i="3444" s="1"/>
  <c r="BE71" i="3444" a="1"/>
  <c r="BE71" i="3444" s="1"/>
  <c r="AP71" i="3444" a="1"/>
  <c r="AP71" i="3444" s="1"/>
  <c r="AA71" i="3444" a="1"/>
  <c r="AA71" i="3444" s="1"/>
  <c r="BD71" i="3444" a="1"/>
  <c r="BD71" i="3444" s="1"/>
  <c r="AO71" i="3444" a="1"/>
  <c r="AO71" i="3444" s="1"/>
  <c r="L71" i="3444" a="1"/>
  <c r="L71" i="3444" s="1"/>
  <c r="Y71" i="3444" a="1"/>
  <c r="Y71" i="3444" s="1"/>
  <c r="BB71" i="3444" a="1"/>
  <c r="BB71" i="3444" s="1"/>
  <c r="AM71" i="3444" a="1"/>
  <c r="AM71" i="3444" s="1"/>
  <c r="AZ71" i="3444" a="1"/>
  <c r="AZ71" i="3444" s="1"/>
  <c r="W71" i="3444" a="1"/>
  <c r="W71" i="3444" s="1"/>
  <c r="AY71" i="3444" a="1"/>
  <c r="AY71" i="3444" s="1"/>
  <c r="T71" i="3444" a="1"/>
  <c r="T71" i="3444" s="1"/>
  <c r="S71" i="3444" a="1"/>
  <c r="S71" i="3444" s="1"/>
  <c r="AX71" i="3444" a="1"/>
  <c r="AX71" i="3444" s="1"/>
  <c r="AN71" i="3444" a="1"/>
  <c r="AN71" i="3444" s="1"/>
  <c r="AL71" i="3444" a="1"/>
  <c r="AL71" i="3444" s="1"/>
  <c r="AK71" i="3444" a="1"/>
  <c r="AK71" i="3444" s="1"/>
  <c r="AI71" i="3444" a="1"/>
  <c r="AI71" i="3444" s="1"/>
  <c r="AC71" i="3444" a="1"/>
  <c r="AC71" i="3444" s="1"/>
  <c r="AB71" i="3444" a="1"/>
  <c r="AB71" i="3444" s="1"/>
  <c r="BA71" i="3444" a="1"/>
  <c r="BA71" i="3444" s="1"/>
  <c r="U71" i="3444" a="1"/>
  <c r="U71" i="3444" s="1"/>
  <c r="M71" i="3444" a="1"/>
  <c r="M71" i="3444" s="1"/>
  <c r="K71" i="3444" a="1"/>
  <c r="K71" i="3444" s="1"/>
  <c r="BC71" i="3444" a="1"/>
  <c r="BC71" i="3444" s="1"/>
  <c r="AR71" i="3444" a="1"/>
  <c r="AR71" i="3444" s="1"/>
  <c r="AQ71" i="3444" a="1"/>
  <c r="AQ71" i="3444" s="1"/>
  <c r="AJ71" i="3444" a="1"/>
  <c r="AJ71" i="3444" s="1"/>
  <c r="X71" i="3444" a="1"/>
  <c r="X71" i="3444" s="1"/>
  <c r="Z71" i="3444" a="1"/>
  <c r="Z71" i="3444" s="1"/>
  <c r="AZ60" i="3444" a="1"/>
  <c r="AZ60" i="3444" s="1"/>
  <c r="AN60" i="3444" a="1"/>
  <c r="AN60" i="3444" s="1"/>
  <c r="AB60" i="3444" a="1"/>
  <c r="AB60" i="3444" s="1"/>
  <c r="P60" i="3444" a="1"/>
  <c r="P60" i="3444" s="1"/>
  <c r="AY60" i="3444" a="1"/>
  <c r="AY60" i="3444" s="1"/>
  <c r="AM60" i="3444" a="1"/>
  <c r="AM60" i="3444" s="1"/>
  <c r="AA60" i="3444" a="1"/>
  <c r="AA60" i="3444" s="1"/>
  <c r="O60" i="3444" a="1"/>
  <c r="O60" i="3444" s="1"/>
  <c r="AX60" i="3444" a="1"/>
  <c r="AX60" i="3444" s="1"/>
  <c r="AL60" i="3444" a="1"/>
  <c r="AL60" i="3444" s="1"/>
  <c r="Z60" i="3444" a="1"/>
  <c r="Z60" i="3444" s="1"/>
  <c r="N60" i="3444" a="1"/>
  <c r="N60" i="3444" s="1"/>
  <c r="BG60" i="3444" a="1"/>
  <c r="BG60" i="3444" s="1"/>
  <c r="AU60" i="3444" a="1"/>
  <c r="AU60" i="3444" s="1"/>
  <c r="AI60" i="3444" a="1"/>
  <c r="AI60" i="3444" s="1"/>
  <c r="W60" i="3444" a="1"/>
  <c r="W60" i="3444" s="1"/>
  <c r="K60" i="3444" a="1"/>
  <c r="K60" i="3444" s="1"/>
  <c r="BE60" i="3444" a="1"/>
  <c r="BE60" i="3444" s="1"/>
  <c r="AS60" i="3444" a="1"/>
  <c r="AS60" i="3444" s="1"/>
  <c r="AG60" i="3444" a="1"/>
  <c r="AG60" i="3444" s="1"/>
  <c r="U60" i="3444" a="1"/>
  <c r="U60" i="3444" s="1"/>
  <c r="BA60" i="3444" a="1"/>
  <c r="BA60" i="3444" s="1"/>
  <c r="AH60" i="3444" a="1"/>
  <c r="AH60" i="3444" s="1"/>
  <c r="R60" i="3444" a="1"/>
  <c r="R60" i="3444" s="1"/>
  <c r="AW60" i="3444" a="1"/>
  <c r="AW60" i="3444" s="1"/>
  <c r="Q60" i="3444" a="1"/>
  <c r="Q60" i="3444" s="1"/>
  <c r="AT60" i="3444" a="1"/>
  <c r="AT60" i="3444" s="1"/>
  <c r="AD60" i="3444" a="1"/>
  <c r="AD60" i="3444" s="1"/>
  <c r="L60" i="3444" a="1"/>
  <c r="L60" i="3444" s="1"/>
  <c r="AC60" i="3444" a="1"/>
  <c r="AC60" i="3444" s="1"/>
  <c r="AR60" i="3444" a="1"/>
  <c r="AR60" i="3444" s="1"/>
  <c r="AQ60" i="3444" a="1"/>
  <c r="AQ60" i="3444" s="1"/>
  <c r="Y60" i="3444" a="1"/>
  <c r="Y60" i="3444" s="1"/>
  <c r="AO60" i="3444" a="1"/>
  <c r="AO60" i="3444" s="1"/>
  <c r="AJ60" i="3444" a="1"/>
  <c r="AJ60" i="3444" s="1"/>
  <c r="AF60" i="3444" a="1"/>
  <c r="AF60" i="3444" s="1"/>
  <c r="AE60" i="3444" a="1"/>
  <c r="AE60" i="3444" s="1"/>
  <c r="BH60" i="3444" a="1"/>
  <c r="BH60" i="3444" s="1"/>
  <c r="T60" i="3444" a="1"/>
  <c r="T60" i="3444" s="1"/>
  <c r="BB60" i="3444" a="1"/>
  <c r="BB60" i="3444" s="1"/>
  <c r="S60" i="3444" a="1"/>
  <c r="S60" i="3444" s="1"/>
  <c r="AV60" i="3444" a="1"/>
  <c r="AV60" i="3444" s="1"/>
  <c r="M60" i="3444" a="1"/>
  <c r="M60" i="3444" s="1"/>
  <c r="AK60" i="3444" a="1"/>
  <c r="AK60" i="3444" s="1"/>
  <c r="V60" i="3444" a="1"/>
  <c r="V60" i="3444" s="1"/>
  <c r="BF60" i="3444" a="1"/>
  <c r="BF60" i="3444" s="1"/>
  <c r="X60" i="3444" a="1"/>
  <c r="X60" i="3444" s="1"/>
  <c r="AP60" i="3444" a="1"/>
  <c r="AP60" i="3444" s="1"/>
  <c r="BC60" i="3444" a="1"/>
  <c r="BC60" i="3444" s="1"/>
  <c r="BD60" i="3444" a="1"/>
  <c r="BD60" i="3444" s="1"/>
  <c r="BF48" i="3444" a="1"/>
  <c r="BF48" i="3444" s="1"/>
  <c r="AT48" i="3444" a="1"/>
  <c r="AT48" i="3444" s="1"/>
  <c r="BE48" i="3444" a="1"/>
  <c r="BE48" i="3444" s="1"/>
  <c r="AS48" i="3444" a="1"/>
  <c r="AS48" i="3444" s="1"/>
  <c r="BD48" i="3444" a="1"/>
  <c r="BD48" i="3444" s="1"/>
  <c r="AR48" i="3444" a="1"/>
  <c r="AR48" i="3444" s="1"/>
  <c r="BA48" i="3444" a="1"/>
  <c r="BA48" i="3444" s="1"/>
  <c r="AO48" i="3444" a="1"/>
  <c r="AO48" i="3444" s="1"/>
  <c r="AH48" i="3444" a="1"/>
  <c r="AH48" i="3444" s="1"/>
  <c r="V48" i="3444" a="1"/>
  <c r="V48" i="3444" s="1"/>
  <c r="AV48" i="3444" a="1"/>
  <c r="AV48" i="3444" s="1"/>
  <c r="AG48" i="3444" a="1"/>
  <c r="AG48" i="3444" s="1"/>
  <c r="U48" i="3444" a="1"/>
  <c r="U48" i="3444" s="1"/>
  <c r="AU48" i="3444" a="1"/>
  <c r="AU48" i="3444" s="1"/>
  <c r="BG48" i="3444" a="1"/>
  <c r="BG48" i="3444" s="1"/>
  <c r="AD48" i="3444" a="1"/>
  <c r="AD48" i="3444" s="1"/>
  <c r="R48" i="3444" a="1"/>
  <c r="R48" i="3444" s="1"/>
  <c r="BB48" i="3444" a="1"/>
  <c r="BB48" i="3444" s="1"/>
  <c r="AX48" i="3444" a="1"/>
  <c r="AX48" i="3444" s="1"/>
  <c r="AE48" i="3444" a="1"/>
  <c r="AE48" i="3444" s="1"/>
  <c r="P48" i="3444" a="1"/>
  <c r="P48" i="3444" s="1"/>
  <c r="AC48" i="3444" a="1"/>
  <c r="AC48" i="3444" s="1"/>
  <c r="N48" i="3444" a="1"/>
  <c r="N48" i="3444" s="1"/>
  <c r="AB48" i="3444" a="1"/>
  <c r="AB48" i="3444" s="1"/>
  <c r="BH48" i="3444" a="1"/>
  <c r="BH48" i="3444" s="1"/>
  <c r="Y48" i="3444" a="1"/>
  <c r="Y48" i="3444" s="1"/>
  <c r="AM48" i="3444" a="1"/>
  <c r="AM48" i="3444" s="1"/>
  <c r="X48" i="3444" a="1"/>
  <c r="X48" i="3444" s="1"/>
  <c r="AL48" i="3444" a="1"/>
  <c r="AL48" i="3444" s="1"/>
  <c r="AY48" i="3444" a="1"/>
  <c r="AY48" i="3444" s="1"/>
  <c r="AF48" i="3444" a="1"/>
  <c r="AF48" i="3444" s="1"/>
  <c r="Q48" i="3444" a="1"/>
  <c r="Q48" i="3444" s="1"/>
  <c r="W48" i="3444" a="1"/>
  <c r="W48" i="3444" s="1"/>
  <c r="BC48" i="3444" a="1"/>
  <c r="BC48" i="3444" s="1"/>
  <c r="T48" i="3444" a="1"/>
  <c r="T48" i="3444" s="1"/>
  <c r="S48" i="3444" a="1"/>
  <c r="S48" i="3444" s="1"/>
  <c r="AZ48" i="3444" a="1"/>
  <c r="AZ48" i="3444" s="1"/>
  <c r="AW48" i="3444" a="1"/>
  <c r="AW48" i="3444" s="1"/>
  <c r="O48" i="3444" a="1"/>
  <c r="O48" i="3444" s="1"/>
  <c r="AQ48" i="3444" a="1"/>
  <c r="AQ48" i="3444" s="1"/>
  <c r="M48" i="3444" a="1"/>
  <c r="M48" i="3444" s="1"/>
  <c r="AP48" i="3444" a="1"/>
  <c r="AP48" i="3444" s="1"/>
  <c r="AN48" i="3444" a="1"/>
  <c r="AN48" i="3444" s="1"/>
  <c r="K48" i="3444" a="1"/>
  <c r="K48" i="3444" s="1"/>
  <c r="AK48" i="3444" a="1"/>
  <c r="AK48" i="3444" s="1"/>
  <c r="AJ48" i="3444" a="1"/>
  <c r="AJ48" i="3444" s="1"/>
  <c r="AI48" i="3444" a="1"/>
  <c r="AI48" i="3444" s="1"/>
  <c r="Z48" i="3444" a="1"/>
  <c r="Z48" i="3444" s="1"/>
  <c r="AA48" i="3444" a="1"/>
  <c r="AA48" i="3444" s="1"/>
  <c r="L48" i="3444" a="1"/>
  <c r="L48" i="3444" s="1"/>
  <c r="BI66" i="3489" a="1"/>
  <c r="BI66" i="3489" s="1"/>
  <c r="AV66" i="3489" a="1"/>
  <c r="AV66" i="3489" s="1"/>
  <c r="AI66" i="3489" a="1"/>
  <c r="AI66" i="3489" s="1"/>
  <c r="V66" i="3489" a="1"/>
  <c r="V66" i="3489" s="1"/>
  <c r="S66" i="3489" a="1"/>
  <c r="S66" i="3489" s="1"/>
  <c r="BH66" i="3489" a="1"/>
  <c r="BH66" i="3489" s="1"/>
  <c r="AR66" i="3489" a="1"/>
  <c r="AR66" i="3489" s="1"/>
  <c r="AB66" i="3489" a="1"/>
  <c r="AB66" i="3489" s="1"/>
  <c r="M66" i="3489" a="1"/>
  <c r="M66" i="3489" s="1"/>
  <c r="BG66" i="3489" a="1"/>
  <c r="BG66" i="3489" s="1"/>
  <c r="AQ66" i="3489" a="1"/>
  <c r="AQ66" i="3489" s="1"/>
  <c r="BF66" i="3489" a="1"/>
  <c r="BF66" i="3489" s="1"/>
  <c r="AP66" i="3489" a="1"/>
  <c r="AP66" i="3489" s="1"/>
  <c r="AA66" i="3489" a="1"/>
  <c r="AA66" i="3489" s="1"/>
  <c r="L66" i="3489" a="1"/>
  <c r="L66" i="3489" s="1"/>
  <c r="BE66" i="3489" a="1"/>
  <c r="BE66" i="3489" s="1"/>
  <c r="AO66" i="3489" a="1"/>
  <c r="AO66" i="3489" s="1"/>
  <c r="Z66" i="3489" a="1"/>
  <c r="Z66" i="3489" s="1"/>
  <c r="K66" i="3489" a="1"/>
  <c r="K66" i="3489" s="1"/>
  <c r="BD66" i="3489" a="1"/>
  <c r="BD66" i="3489" s="1"/>
  <c r="AN66" i="3489" a="1"/>
  <c r="AN66" i="3489" s="1"/>
  <c r="Y66" i="3489" a="1"/>
  <c r="Y66" i="3489" s="1"/>
  <c r="BC66" i="3489" a="1"/>
  <c r="BC66" i="3489" s="1"/>
  <c r="BB66" i="3489" a="1"/>
  <c r="BB66" i="3489" s="1"/>
  <c r="AM66" i="3489" a="1"/>
  <c r="AM66" i="3489" s="1"/>
  <c r="X66" i="3489" a="1"/>
  <c r="X66" i="3489" s="1"/>
  <c r="T66" i="3489" a="1"/>
  <c r="T66" i="3489" s="1"/>
  <c r="AY66" i="3489" a="1"/>
  <c r="AY66" i="3489" s="1"/>
  <c r="AJ66" i="3489" a="1"/>
  <c r="AJ66" i="3489" s="1"/>
  <c r="R66" i="3489" a="1"/>
  <c r="R66" i="3489" s="1"/>
  <c r="AX66" i="3489" a="1"/>
  <c r="AX66" i="3489" s="1"/>
  <c r="AH66" i="3489" a="1"/>
  <c r="AH66" i="3489" s="1"/>
  <c r="Q66" i="3489" a="1"/>
  <c r="Q66" i="3489" s="1"/>
  <c r="AS66" i="3489" a="1"/>
  <c r="AS66" i="3489" s="1"/>
  <c r="AC66" i="3489" a="1"/>
  <c r="AC66" i="3489" s="1"/>
  <c r="N66" i="3489" a="1"/>
  <c r="N66" i="3489" s="1"/>
  <c r="AT66" i="3489" a="1"/>
  <c r="AT66" i="3489" s="1"/>
  <c r="AL66" i="3489" a="1"/>
  <c r="AL66" i="3489" s="1"/>
  <c r="B66" i="3489"/>
  <c r="AK66" i="3489" a="1"/>
  <c r="AK66" i="3489" s="1"/>
  <c r="AG66" i="3489" a="1"/>
  <c r="AG66" i="3489" s="1"/>
  <c r="AF66" i="3489" a="1"/>
  <c r="AF66" i="3489" s="1"/>
  <c r="W66" i="3489" a="1"/>
  <c r="W66" i="3489" s="1"/>
  <c r="BA66" i="3489" a="1"/>
  <c r="BA66" i="3489" s="1"/>
  <c r="U66" i="3489" a="1"/>
  <c r="U66" i="3489" s="1"/>
  <c r="AE66" i="3489" a="1"/>
  <c r="AE66" i="3489" s="1"/>
  <c r="AD66" i="3489" a="1"/>
  <c r="AD66" i="3489" s="1"/>
  <c r="P66" i="3489" a="1"/>
  <c r="P66" i="3489" s="1"/>
  <c r="O66" i="3489" a="1"/>
  <c r="O66" i="3489" s="1"/>
  <c r="AZ66" i="3489" a="1"/>
  <c r="AZ66" i="3489" s="1"/>
  <c r="AW66" i="3489" a="1"/>
  <c r="AW66" i="3489" s="1"/>
  <c r="AU66" i="3489" a="1"/>
  <c r="AU66" i="3489" s="1"/>
  <c r="BE79" i="3489" a="1"/>
  <c r="BE79" i="3489" s="1"/>
  <c r="AS79" i="3489" a="1"/>
  <c r="AS79" i="3489" s="1"/>
  <c r="AG79" i="3489" a="1"/>
  <c r="AG79" i="3489" s="1"/>
  <c r="U79" i="3489" a="1"/>
  <c r="U79" i="3489" s="1"/>
  <c r="AV79" i="3489" a="1"/>
  <c r="AV79" i="3489" s="1"/>
  <c r="BI79" i="3489" a="1"/>
  <c r="BI79" i="3489" s="1"/>
  <c r="AH79" i="3489" a="1"/>
  <c r="AH79" i="3489" s="1"/>
  <c r="S79" i="3489" a="1"/>
  <c r="S79" i="3489" s="1"/>
  <c r="AU79" i="3489" a="1"/>
  <c r="AU79" i="3489" s="1"/>
  <c r="AF79" i="3489" a="1"/>
  <c r="AF79" i="3489" s="1"/>
  <c r="BH79" i="3489" a="1"/>
  <c r="BH79" i="3489" s="1"/>
  <c r="R79" i="3489" a="1"/>
  <c r="R79" i="3489" s="1"/>
  <c r="BG79" i="3489" a="1"/>
  <c r="BG79" i="3489" s="1"/>
  <c r="AR79" i="3489" a="1"/>
  <c r="AR79" i="3489" s="1"/>
  <c r="Q79" i="3489" a="1"/>
  <c r="Q79" i="3489" s="1"/>
  <c r="BA79" i="3489" a="1"/>
  <c r="BA79" i="3489" s="1"/>
  <c r="Z79" i="3489" a="1"/>
  <c r="Z79" i="3489" s="1"/>
  <c r="B79" i="3489"/>
  <c r="BF79" i="3489" a="1"/>
  <c r="BF79" i="3489" s="1"/>
  <c r="AN79" i="3489" a="1"/>
  <c r="AN79" i="3489" s="1"/>
  <c r="W79" i="3489" a="1"/>
  <c r="W79" i="3489" s="1"/>
  <c r="BD79" i="3489" a="1"/>
  <c r="BD79" i="3489" s="1"/>
  <c r="AM79" i="3489" a="1"/>
  <c r="AM79" i="3489" s="1"/>
  <c r="V79" i="3489" a="1"/>
  <c r="V79" i="3489" s="1"/>
  <c r="BC79" i="3489" a="1"/>
  <c r="BC79" i="3489" s="1"/>
  <c r="AL79" i="3489" a="1"/>
  <c r="AL79" i="3489" s="1"/>
  <c r="T79" i="3489" a="1"/>
  <c r="T79" i="3489" s="1"/>
  <c r="BB79" i="3489" a="1"/>
  <c r="BB79" i="3489" s="1"/>
  <c r="AK79" i="3489" a="1"/>
  <c r="AK79" i="3489" s="1"/>
  <c r="P79" i="3489" a="1"/>
  <c r="P79" i="3489" s="1"/>
  <c r="AJ79" i="3489" a="1"/>
  <c r="AJ79" i="3489" s="1"/>
  <c r="AZ79" i="3489" a="1"/>
  <c r="AZ79" i="3489" s="1"/>
  <c r="O79" i="3489" a="1"/>
  <c r="O79" i="3489" s="1"/>
  <c r="AI79" i="3489" a="1"/>
  <c r="AI79" i="3489" s="1"/>
  <c r="AD79" i="3489" a="1"/>
  <c r="AD79" i="3489" s="1"/>
  <c r="AX79" i="3489" a="1"/>
  <c r="AX79" i="3489" s="1"/>
  <c r="M79" i="3489" a="1"/>
  <c r="M79" i="3489" s="1"/>
  <c r="AC79" i="3489" a="1"/>
  <c r="AC79" i="3489" s="1"/>
  <c r="L79" i="3489" a="1"/>
  <c r="L79" i="3489" s="1"/>
  <c r="AW79" i="3489" a="1"/>
  <c r="AW79" i="3489" s="1"/>
  <c r="AB79" i="3489" a="1"/>
  <c r="AB79" i="3489" s="1"/>
  <c r="K79" i="3489" a="1"/>
  <c r="K79" i="3489" s="1"/>
  <c r="N79" i="3489" a="1"/>
  <c r="N79" i="3489" s="1"/>
  <c r="AT79" i="3489" a="1"/>
  <c r="AT79" i="3489" s="1"/>
  <c r="AQ79" i="3489" a="1"/>
  <c r="AQ79" i="3489" s="1"/>
  <c r="AP79" i="3489" a="1"/>
  <c r="AP79" i="3489" s="1"/>
  <c r="AO79" i="3489" a="1"/>
  <c r="AO79" i="3489" s="1"/>
  <c r="AE79" i="3489" a="1"/>
  <c r="AE79" i="3489" s="1"/>
  <c r="Y79" i="3489" a="1"/>
  <c r="Y79" i="3489" s="1"/>
  <c r="X79" i="3489" a="1"/>
  <c r="X79" i="3489" s="1"/>
  <c r="AY79" i="3489" a="1"/>
  <c r="AY79" i="3489" s="1"/>
  <c r="AA79" i="3489" a="1"/>
  <c r="AA79" i="3489" s="1"/>
  <c r="ES47" i="3479" a="1"/>
  <c r="ES47" i="3479" s="1"/>
  <c r="ET47" i="3479" s="1" a="1"/>
  <c r="ET47" i="3479" s="1"/>
  <c r="ER47" i="3479" a="1"/>
  <c r="ER47" i="3479" s="1"/>
  <c r="EU47" i="3479" s="1" a="1"/>
  <c r="EU47" i="3479" s="1"/>
  <c r="EV47" i="3479" s="1" a="1"/>
  <c r="EV47" i="3479" s="1"/>
  <c r="AC36" i="3479" a="1"/>
  <c r="AC36" i="3479" s="1"/>
  <c r="AD36" i="3479" s="1" a="1"/>
  <c r="AD36" i="3479" s="1"/>
  <c r="AB36" i="3479" a="1"/>
  <c r="AB36" i="3479" s="1"/>
  <c r="ED36" i="3479" a="1"/>
  <c r="ED36" i="3479" s="1"/>
  <c r="EE36" i="3479" s="1" a="1"/>
  <c r="EE36" i="3479" s="1"/>
  <c r="EC36" i="3479" a="1"/>
  <c r="EC36" i="3479" s="1"/>
  <c r="EF36" i="3479" s="1" a="1"/>
  <c r="EF36" i="3479" s="1"/>
  <c r="EG36" i="3479" s="1" a="1"/>
  <c r="EG36" i="3479" s="1"/>
  <c r="N62" i="3479" a="1"/>
  <c r="N62" i="3479" s="1"/>
  <c r="O62" i="3479" s="1" a="1"/>
  <c r="O62" i="3479" s="1"/>
  <c r="M62" i="3479" a="1"/>
  <c r="M62" i="3479" s="1"/>
  <c r="ED24" i="3479" a="1"/>
  <c r="ED24" i="3479" s="1"/>
  <c r="EE24" i="3479" s="1" a="1"/>
  <c r="EE24" i="3479" s="1"/>
  <c r="EC24" i="3479" a="1"/>
  <c r="EC24" i="3479" s="1"/>
  <c r="EF24" i="3479" s="1" a="1"/>
  <c r="EF24" i="3479" s="1"/>
  <c r="EG24" i="3479" s="1" a="1"/>
  <c r="EG24" i="3479" s="1"/>
  <c r="EC71" i="3479" a="1"/>
  <c r="EC71" i="3479" s="1"/>
  <c r="EF71" i="3479" s="1" a="1"/>
  <c r="EF71" i="3479" s="1"/>
  <c r="EG71" i="3479" s="1" a="1"/>
  <c r="EG71" i="3479" s="1"/>
  <c r="ED71" i="3479" a="1"/>
  <c r="ED71" i="3479" s="1"/>
  <c r="EE71" i="3479" s="1" a="1"/>
  <c r="EE71" i="3479" s="1"/>
  <c r="AR71" i="3479" a="1"/>
  <c r="AR71" i="3479" s="1"/>
  <c r="AS71" i="3479" s="1" a="1"/>
  <c r="AS71" i="3479" s="1"/>
  <c r="AQ71" i="3479" a="1"/>
  <c r="AQ71" i="3479" s="1"/>
  <c r="BU52" i="3479" a="1"/>
  <c r="BU52" i="3479" s="1"/>
  <c r="BV52" i="3479" a="1"/>
  <c r="BV52" i="3479" s="1"/>
  <c r="BW52" i="3479" s="1" a="1"/>
  <c r="BW52" i="3479" s="1"/>
  <c r="BV68" i="3479" a="1"/>
  <c r="BV68" i="3479" s="1"/>
  <c r="BW68" i="3479" s="1" a="1"/>
  <c r="BW68" i="3479" s="1"/>
  <c r="BU68" i="3479" a="1"/>
  <c r="BU68" i="3479" s="1"/>
  <c r="CK43" i="3479" a="1"/>
  <c r="CK43" i="3479" s="1"/>
  <c r="CL43" i="3479" s="1" a="1"/>
  <c r="CL43" i="3479" s="1"/>
  <c r="CJ43" i="3479" a="1"/>
  <c r="CJ43" i="3479" s="1"/>
  <c r="CJ53" i="3479" a="1"/>
  <c r="CJ53" i="3479" s="1"/>
  <c r="CK53" i="3479" a="1"/>
  <c r="CK53" i="3479" s="1"/>
  <c r="CL53" i="3479" s="1" a="1"/>
  <c r="CL53" i="3479" s="1"/>
  <c r="BG28" i="3479" a="1"/>
  <c r="BG28" i="3479" s="1"/>
  <c r="BH28" i="3479" s="1" a="1"/>
  <c r="BH28" i="3479" s="1"/>
  <c r="BF28" i="3479" a="1"/>
  <c r="BF28" i="3479" s="1"/>
  <c r="BI28" i="3479" s="1" a="1"/>
  <c r="BI28" i="3479" s="1"/>
  <c r="BJ28" i="3479" s="1" a="1"/>
  <c r="BJ28" i="3479" s="1"/>
  <c r="BF70" i="3479" a="1"/>
  <c r="BF70" i="3479" s="1"/>
  <c r="BG70" i="3479" a="1"/>
  <c r="BG70" i="3479" s="1"/>
  <c r="BH70" i="3479" s="1" a="1"/>
  <c r="BH70" i="3479" s="1"/>
  <c r="ES23" i="3479" a="1"/>
  <c r="ES23" i="3479" s="1"/>
  <c r="ET23" i="3479" s="1" a="1"/>
  <c r="ET23" i="3479" s="1"/>
  <c r="ER23" i="3479" a="1"/>
  <c r="ER23" i="3479" s="1"/>
  <c r="EU23" i="3479" s="1" a="1"/>
  <c r="EU23" i="3479" s="1"/>
  <c r="EV23" i="3479" s="1" a="1"/>
  <c r="EV23" i="3479" s="1"/>
  <c r="ES60" i="3479" a="1"/>
  <c r="ES60" i="3479" s="1"/>
  <c r="ET60" i="3479" s="1" a="1"/>
  <c r="ET60" i="3479" s="1"/>
  <c r="ER60" i="3479" a="1"/>
  <c r="ER60" i="3479" s="1"/>
  <c r="EU60" i="3479" s="1" a="1"/>
  <c r="EU60" i="3479" s="1"/>
  <c r="EV60" i="3479" s="1" a="1"/>
  <c r="EV60" i="3479" s="1"/>
  <c r="DO71" i="3479" a="1"/>
  <c r="DO71" i="3479" s="1"/>
  <c r="DP71" i="3479" s="1" a="1"/>
  <c r="DP71" i="3479" s="1"/>
  <c r="DN71" i="3479" a="1"/>
  <c r="DN71" i="3479" s="1"/>
  <c r="DQ71" i="3479" s="1" a="1"/>
  <c r="DQ71" i="3479" s="1"/>
  <c r="DR71" i="3479" s="1" a="1"/>
  <c r="DR71" i="3479" s="1"/>
  <c r="DN58" i="3479" a="1"/>
  <c r="DN58" i="3479" s="1"/>
  <c r="DQ58" i="3479" s="1" a="1"/>
  <c r="DQ58" i="3479" s="1"/>
  <c r="DR58" i="3479" s="1" a="1"/>
  <c r="DR58" i="3479" s="1"/>
  <c r="DO58" i="3479" a="1"/>
  <c r="DO58" i="3479" s="1"/>
  <c r="DP58" i="3479" s="1" a="1"/>
  <c r="DP58" i="3479" s="1"/>
  <c r="AC49" i="3479" a="1"/>
  <c r="AC49" i="3479" s="1"/>
  <c r="AD49" i="3479" s="1" a="1"/>
  <c r="AD49" i="3479" s="1"/>
  <c r="AB49" i="3479" a="1"/>
  <c r="AB49" i="3479" s="1"/>
  <c r="AC61" i="3479" a="1"/>
  <c r="AC61" i="3479" s="1"/>
  <c r="AD61" i="3479" s="1" a="1"/>
  <c r="AD61" i="3479" s="1"/>
  <c r="AB61" i="3479" a="1"/>
  <c r="AB61" i="3479" s="1"/>
  <c r="EC38" i="3479" a="1"/>
  <c r="EC38" i="3479" s="1"/>
  <c r="EF38" i="3479" s="1" a="1"/>
  <c r="EF38" i="3479" s="1"/>
  <c r="EG38" i="3479" s="1" a="1"/>
  <c r="EG38" i="3479" s="1"/>
  <c r="ED38" i="3479" a="1"/>
  <c r="ED38" i="3479" s="1"/>
  <c r="EE38" i="3479" s="1" a="1"/>
  <c r="EE38" i="3479" s="1"/>
  <c r="D48" i="3560"/>
  <c r="A48" i="3560"/>
  <c r="CY29" i="3479" a="1"/>
  <c r="CY29" i="3479" s="1"/>
  <c r="DB29" i="3479" s="1" a="1"/>
  <c r="DB29" i="3479" s="1"/>
  <c r="DC29" i="3479" s="1" a="1"/>
  <c r="DC29" i="3479" s="1"/>
  <c r="CZ29" i="3479" a="1"/>
  <c r="CZ29" i="3479" s="1"/>
  <c r="DA29" i="3479" s="1" a="1"/>
  <c r="DA29" i="3479" s="1"/>
  <c r="CZ37" i="3479" a="1"/>
  <c r="CZ37" i="3479" s="1"/>
  <c r="DA37" i="3479" s="1" a="1"/>
  <c r="DA37" i="3479" s="1"/>
  <c r="CY37" i="3479" a="1"/>
  <c r="CY37" i="3479" s="1"/>
  <c r="DB37" i="3479" s="1" a="1"/>
  <c r="DB37" i="3479" s="1"/>
  <c r="DC37" i="3479" s="1" a="1"/>
  <c r="DC37" i="3479" s="1"/>
  <c r="D78" i="3560"/>
  <c r="A78" i="3560"/>
  <c r="BV36" i="3479" a="1"/>
  <c r="BV36" i="3479" s="1"/>
  <c r="BW36" i="3479" s="1" a="1"/>
  <c r="BW36" i="3479" s="1"/>
  <c r="BU36" i="3479" a="1"/>
  <c r="BU36" i="3479" s="1"/>
  <c r="D72" i="3560"/>
  <c r="A72" i="3560"/>
  <c r="M46" i="3479" a="1"/>
  <c r="M46" i="3479" s="1"/>
  <c r="N46" i="3479" a="1"/>
  <c r="N46" i="3479" s="1"/>
  <c r="O46" i="3479" s="1" a="1"/>
  <c r="O46" i="3479" s="1"/>
  <c r="L58" i="3445"/>
  <c r="M58" i="3445" s="1"/>
  <c r="A58" i="3445"/>
  <c r="S58" i="3445" a="1"/>
  <c r="S58" i="3445" s="1"/>
  <c r="T58" i="3445"/>
  <c r="L99" i="3445"/>
  <c r="M99" i="3445" s="1"/>
  <c r="H80" i="3436" s="1"/>
  <c r="O99" i="3445"/>
  <c r="O96" i="3445"/>
  <c r="L96" i="3445"/>
  <c r="M96" i="3445" s="1"/>
  <c r="H77" i="3436" s="1"/>
  <c r="N39" i="3445" a="1"/>
  <c r="N39" i="3445" s="1"/>
  <c r="O52" i="3445"/>
  <c r="O72" i="3445"/>
  <c r="I70" i="3445" a="1"/>
  <c r="I70" i="3445" s="1"/>
  <c r="O70" i="3445" s="1"/>
  <c r="L38" i="3445"/>
  <c r="M38" i="3445" s="1"/>
  <c r="A38" i="3445"/>
  <c r="T45" i="3445"/>
  <c r="O43" i="3445"/>
  <c r="A61" i="3445"/>
  <c r="A46" i="3444"/>
  <c r="A35" i="3444"/>
  <c r="A24" i="3444"/>
  <c r="AX89" i="3489" a="1"/>
  <c r="AX89" i="3489" s="1"/>
  <c r="N89" i="3489" a="1"/>
  <c r="N89" i="3489" s="1"/>
  <c r="R92" i="3489" a="1"/>
  <c r="R92" i="3489" s="1"/>
  <c r="BG92" i="3489" a="1"/>
  <c r="BG92" i="3489" s="1"/>
  <c r="AC52" i="3489" a="1"/>
  <c r="AC52" i="3489" s="1"/>
  <c r="BB52" i="3489" a="1"/>
  <c r="BB52" i="3489" s="1"/>
  <c r="AY26" i="3489" a="1"/>
  <c r="AY26" i="3489" s="1"/>
  <c r="AL26" i="3489" a="1"/>
  <c r="AL26" i="3489" s="1"/>
  <c r="Z26" i="3489" a="1"/>
  <c r="Z26" i="3489" s="1"/>
  <c r="N26" i="3489" a="1"/>
  <c r="N26" i="3489" s="1"/>
  <c r="AX26" i="3489" a="1"/>
  <c r="AX26" i="3489" s="1"/>
  <c r="AW26" i="3489" a="1"/>
  <c r="AW26" i="3489" s="1"/>
  <c r="AK26" i="3489" a="1"/>
  <c r="AK26" i="3489" s="1"/>
  <c r="Y26" i="3489" a="1"/>
  <c r="Y26" i="3489" s="1"/>
  <c r="M26" i="3489" a="1"/>
  <c r="M26" i="3489" s="1"/>
  <c r="BI26" i="3489" a="1"/>
  <c r="BI26" i="3489" s="1"/>
  <c r="AD26" i="3489" a="1"/>
  <c r="AD26" i="3489" s="1"/>
  <c r="BG26" i="3489" a="1"/>
  <c r="BG26" i="3489" s="1"/>
  <c r="AR26" i="3489" a="1"/>
  <c r="AR26" i="3489" s="1"/>
  <c r="O26" i="3489" a="1"/>
  <c r="O26" i="3489" s="1"/>
  <c r="AC26" i="3489" a="1"/>
  <c r="AC26" i="3489" s="1"/>
  <c r="L26" i="3489" a="1"/>
  <c r="L26" i="3489" s="1"/>
  <c r="BF26" i="3489" a="1"/>
  <c r="BF26" i="3489" s="1"/>
  <c r="AQ26" i="3489" a="1"/>
  <c r="AQ26" i="3489" s="1"/>
  <c r="BE26" i="3489" a="1"/>
  <c r="BE26" i="3489" s="1"/>
  <c r="AP26" i="3489" a="1"/>
  <c r="AP26" i="3489" s="1"/>
  <c r="AA26" i="3489" a="1"/>
  <c r="AA26" i="3489" s="1"/>
  <c r="BC26" i="3489" a="1"/>
  <c r="BC26" i="3489" s="1"/>
  <c r="AN26" i="3489" a="1"/>
  <c r="AN26" i="3489" s="1"/>
  <c r="W26" i="3489" a="1"/>
  <c r="W26" i="3489" s="1"/>
  <c r="BH26" i="3489" a="1"/>
  <c r="BH26" i="3489" s="1"/>
  <c r="AI26" i="3489" a="1"/>
  <c r="AI26" i="3489" s="1"/>
  <c r="Q26" i="3489" a="1"/>
  <c r="Q26" i="3489" s="1"/>
  <c r="BD26" i="3489" a="1"/>
  <c r="BD26" i="3489" s="1"/>
  <c r="AH26" i="3489" a="1"/>
  <c r="AH26" i="3489" s="1"/>
  <c r="P26" i="3489" a="1"/>
  <c r="P26" i="3489" s="1"/>
  <c r="K26" i="3489" a="1"/>
  <c r="K26" i="3489" s="1"/>
  <c r="BA26" i="3489" a="1"/>
  <c r="BA26" i="3489" s="1"/>
  <c r="AF26" i="3489" a="1"/>
  <c r="AF26" i="3489" s="1"/>
  <c r="AV26" i="3489" a="1"/>
  <c r="AV26" i="3489" s="1"/>
  <c r="AB26" i="3489" a="1"/>
  <c r="AB26" i="3489" s="1"/>
  <c r="AS26" i="3489" a="1"/>
  <c r="AS26" i="3489" s="1"/>
  <c r="U26" i="3489" a="1"/>
  <c r="U26" i="3489" s="1"/>
  <c r="AT26" i="3489" a="1"/>
  <c r="AT26" i="3489" s="1"/>
  <c r="AO26" i="3489" a="1"/>
  <c r="AO26" i="3489" s="1"/>
  <c r="B26" i="3489"/>
  <c r="AM26" i="3489" a="1"/>
  <c r="AM26" i="3489" s="1"/>
  <c r="AJ26" i="3489" a="1"/>
  <c r="AJ26" i="3489" s="1"/>
  <c r="AG26" i="3489" a="1"/>
  <c r="AG26" i="3489" s="1"/>
  <c r="AE26" i="3489" a="1"/>
  <c r="AE26" i="3489" s="1"/>
  <c r="X26" i="3489" a="1"/>
  <c r="X26" i="3489" s="1"/>
  <c r="V26" i="3489" a="1"/>
  <c r="V26" i="3489" s="1"/>
  <c r="T26" i="3489" a="1"/>
  <c r="T26" i="3489" s="1"/>
  <c r="S26" i="3489" a="1"/>
  <c r="S26" i="3489" s="1"/>
  <c r="R26" i="3489" a="1"/>
  <c r="R26" i="3489" s="1"/>
  <c r="BB26" i="3489" a="1"/>
  <c r="BB26" i="3489" s="1"/>
  <c r="AZ26" i="3489" a="1"/>
  <c r="AZ26" i="3489" s="1"/>
  <c r="AU26" i="3489" a="1"/>
  <c r="AU26" i="3489" s="1"/>
  <c r="L29" i="3489" a="1"/>
  <c r="L29" i="3489" s="1"/>
  <c r="X29" i="3489" a="1"/>
  <c r="X29" i="3489" s="1"/>
  <c r="AP29" i="3489" a="1"/>
  <c r="AP29" i="3489" s="1"/>
  <c r="AZ21" i="3489" a="1"/>
  <c r="AZ21" i="3489" s="1"/>
  <c r="AN21" i="3489" a="1"/>
  <c r="AN21" i="3489" s="1"/>
  <c r="AB21" i="3489" a="1"/>
  <c r="AB21" i="3489" s="1"/>
  <c r="P21" i="3489" a="1"/>
  <c r="P21" i="3489" s="1"/>
  <c r="B21" i="3489"/>
  <c r="AY21" i="3489" a="1"/>
  <c r="AY21" i="3489" s="1"/>
  <c r="AM21" i="3489" a="1"/>
  <c r="AM21" i="3489" s="1"/>
  <c r="AA21" i="3489" a="1"/>
  <c r="AA21" i="3489" s="1"/>
  <c r="O21" i="3489" a="1"/>
  <c r="O21" i="3489" s="1"/>
  <c r="AG21" i="3489" a="1"/>
  <c r="AG21" i="3489" s="1"/>
  <c r="AU21" i="3489" a="1"/>
  <c r="AU21" i="3489" s="1"/>
  <c r="R21" i="3489" a="1"/>
  <c r="R21" i="3489" s="1"/>
  <c r="BI21" i="3489" a="1"/>
  <c r="BI21" i="3489" s="1"/>
  <c r="AF21" i="3489" a="1"/>
  <c r="AF21" i="3489" s="1"/>
  <c r="AT21" i="3489" a="1"/>
  <c r="AT21" i="3489" s="1"/>
  <c r="Q21" i="3489" a="1"/>
  <c r="Q21" i="3489" s="1"/>
  <c r="AQ21" i="3489" a="1"/>
  <c r="AQ21" i="3489" s="1"/>
  <c r="Z21" i="3489" a="1"/>
  <c r="Z21" i="3489" s="1"/>
  <c r="BD21" i="3489" a="1"/>
  <c r="BD21" i="3489" s="1"/>
  <c r="AJ21" i="3489" a="1"/>
  <c r="AJ21" i="3489" s="1"/>
  <c r="S21" i="3489" a="1"/>
  <c r="S21" i="3489" s="1"/>
  <c r="BC21" i="3489" a="1"/>
  <c r="BC21" i="3489" s="1"/>
  <c r="N21" i="3489" a="1"/>
  <c r="N21" i="3489" s="1"/>
  <c r="AI21" i="3489" a="1"/>
  <c r="AI21" i="3489" s="1"/>
  <c r="BB21" i="3489" a="1"/>
  <c r="BB21" i="3489" s="1"/>
  <c r="M21" i="3489" a="1"/>
  <c r="M21" i="3489" s="1"/>
  <c r="AX21" i="3489" a="1"/>
  <c r="AX21" i="3489" s="1"/>
  <c r="AE21" i="3489" a="1"/>
  <c r="AE21" i="3489" s="1"/>
  <c r="K21" i="3489" a="1"/>
  <c r="K21" i="3489" s="1"/>
  <c r="AV21" i="3489" a="1"/>
  <c r="AV21" i="3489" s="1"/>
  <c r="AC21" i="3489" a="1"/>
  <c r="AC21" i="3489" s="1"/>
  <c r="BH21" i="3489" a="1"/>
  <c r="BH21" i="3489" s="1"/>
  <c r="W21" i="3489" a="1"/>
  <c r="W21" i="3489" s="1"/>
  <c r="BG21" i="3489" a="1"/>
  <c r="BG21" i="3489" s="1"/>
  <c r="BF21" i="3489" a="1"/>
  <c r="BF21" i="3489" s="1"/>
  <c r="Y21" i="3489" a="1"/>
  <c r="Y21" i="3489" s="1"/>
  <c r="BE21" i="3489" a="1"/>
  <c r="BE21" i="3489" s="1"/>
  <c r="X21" i="3489" a="1"/>
  <c r="X21" i="3489" s="1"/>
  <c r="BA21" i="3489" a="1"/>
  <c r="BA21" i="3489" s="1"/>
  <c r="V21" i="3489" a="1"/>
  <c r="V21" i="3489" s="1"/>
  <c r="AW21" i="3489" a="1"/>
  <c r="AW21" i="3489" s="1"/>
  <c r="U21" i="3489" a="1"/>
  <c r="U21" i="3489" s="1"/>
  <c r="T21" i="3489" a="1"/>
  <c r="T21" i="3489" s="1"/>
  <c r="AS21" i="3489" a="1"/>
  <c r="AS21" i="3489" s="1"/>
  <c r="AR21" i="3489" a="1"/>
  <c r="AR21" i="3489" s="1"/>
  <c r="L21" i="3489" a="1"/>
  <c r="L21" i="3489" s="1"/>
  <c r="AP21" i="3489" a="1"/>
  <c r="AP21" i="3489" s="1"/>
  <c r="AO21" i="3489" a="1"/>
  <c r="AO21" i="3489" s="1"/>
  <c r="AK21" i="3489" a="1"/>
  <c r="AK21" i="3489" s="1"/>
  <c r="AD21" i="3489" a="1"/>
  <c r="AD21" i="3489" s="1"/>
  <c r="AL21" i="3489" a="1"/>
  <c r="AL21" i="3489" s="1"/>
  <c r="AH21" i="3489" a="1"/>
  <c r="AH21" i="3489" s="1"/>
  <c r="G81" i="3448"/>
  <c r="BW81" i="3448" s="1"/>
  <c r="BP81" i="3448"/>
  <c r="BO81" i="3448"/>
  <c r="M82" i="3448"/>
  <c r="H68" i="3523" a="1"/>
  <c r="H68" i="3523" s="1"/>
  <c r="I68" i="3523" a="1"/>
  <c r="I68" i="3523" s="1"/>
  <c r="M77" i="3448"/>
  <c r="M80" i="3448"/>
  <c r="G56" i="3448"/>
  <c r="BW56" i="3448" s="1"/>
  <c r="BP56" i="3448"/>
  <c r="BO56" i="3448"/>
  <c r="M59" i="3448"/>
  <c r="AE73" i="3480"/>
  <c r="AK123" i="3434" a="1"/>
  <c r="AK123" i="3434" s="1"/>
  <c r="AL123" i="3434" a="1"/>
  <c r="AL123" i="3434" s="1"/>
  <c r="Y59" i="3436"/>
  <c r="AE62" i="3480"/>
  <c r="AK112" i="3434" a="1"/>
  <c r="AK112" i="3434" s="1"/>
  <c r="AL112" i="3434" a="1"/>
  <c r="AL112" i="3434" s="1"/>
  <c r="G41" i="3436"/>
  <c r="I43" i="3444" s="1"/>
  <c r="N62" i="3480"/>
  <c r="D3" i="3434"/>
  <c r="G55" i="3518" a="1"/>
  <c r="G55" i="3518" s="1"/>
  <c r="F55" i="3518" a="1"/>
  <c r="F55" i="3518" s="1"/>
  <c r="F38" i="3518" a="1"/>
  <c r="F38" i="3518" s="1"/>
  <c r="G38" i="3518" a="1"/>
  <c r="G38" i="3518" s="1"/>
  <c r="S89" i="3528" a="1"/>
  <c r="S89" i="3528" s="1"/>
  <c r="S55" i="3528" a="1"/>
  <c r="S55" i="3528" s="1"/>
  <c r="S124" i="3528" a="1"/>
  <c r="S124" i="3528" s="1"/>
  <c r="P53" i="3528" a="1"/>
  <c r="P53" i="3528" s="1"/>
  <c r="P87" i="3528" a="1"/>
  <c r="P87" i="3528" s="1"/>
  <c r="P122" i="3528" a="1"/>
  <c r="P122" i="3528" s="1"/>
  <c r="J135" i="3528" a="1"/>
  <c r="J135" i="3528" s="1"/>
  <c r="J100" i="3528" a="1"/>
  <c r="J100" i="3528" s="1"/>
  <c r="J66" i="3528" a="1"/>
  <c r="J66" i="3528" s="1"/>
  <c r="R141" i="3528" a="1"/>
  <c r="R141" i="3528" s="1"/>
  <c r="R106" i="3528" a="1"/>
  <c r="R106" i="3528" s="1"/>
  <c r="R72" i="3528" a="1"/>
  <c r="R72" i="3528" s="1"/>
  <c r="P126" i="3528" a="1"/>
  <c r="P126" i="3528" s="1"/>
  <c r="P57" i="3528" a="1"/>
  <c r="P57" i="3528" s="1"/>
  <c r="P91" i="3528" a="1"/>
  <c r="P91" i="3528" s="1"/>
  <c r="K52" i="3528" a="1"/>
  <c r="K52" i="3528" s="1"/>
  <c r="K86" i="3528" a="1"/>
  <c r="K86" i="3528" s="1"/>
  <c r="K121" i="3528" a="1"/>
  <c r="K121" i="3528" s="1"/>
  <c r="O87" i="3528" a="1"/>
  <c r="O87" i="3528" s="1"/>
  <c r="O53" i="3528" a="1"/>
  <c r="O53" i="3528" s="1"/>
  <c r="O122" i="3528" a="1"/>
  <c r="O122" i="3528" s="1"/>
  <c r="O90" i="3528" a="1"/>
  <c r="O90" i="3528" s="1"/>
  <c r="O56" i="3528" a="1"/>
  <c r="O56" i="3528" s="1"/>
  <c r="O125" i="3528" a="1"/>
  <c r="O125" i="3528" s="1"/>
  <c r="N119" i="3528" a="1"/>
  <c r="N119" i="3528" s="1"/>
  <c r="N84" i="3528" a="1"/>
  <c r="N84" i="3528" s="1"/>
  <c r="N50" i="3528" a="1"/>
  <c r="N50" i="3528" s="1"/>
  <c r="N145" i="3528" a="1"/>
  <c r="N145" i="3528" s="1"/>
  <c r="N76" i="3528" a="1"/>
  <c r="N76" i="3528" s="1"/>
  <c r="N110" i="3528" a="1"/>
  <c r="N110" i="3528" s="1"/>
  <c r="F89" i="3528" a="1"/>
  <c r="F89" i="3528" s="1"/>
  <c r="F55" i="3528" a="1"/>
  <c r="F55" i="3528" s="1"/>
  <c r="F124" i="3528" a="1"/>
  <c r="F124" i="3528" s="1"/>
  <c r="K119" i="3528" a="1"/>
  <c r="K119" i="3528" s="1"/>
  <c r="K84" i="3528" a="1"/>
  <c r="K84" i="3528" s="1"/>
  <c r="K50" i="3528" a="1"/>
  <c r="K50" i="3528" s="1"/>
  <c r="W122" i="3528"/>
  <c r="AM122" i="3528"/>
  <c r="P102" i="3528" a="1"/>
  <c r="P102" i="3528" s="1"/>
  <c r="P137" i="3528" a="1"/>
  <c r="P137" i="3528" s="1"/>
  <c r="P68" i="3528" a="1"/>
  <c r="P68" i="3528" s="1"/>
  <c r="Q99" i="3528" a="1"/>
  <c r="Q99" i="3528" s="1"/>
  <c r="Q134" i="3528" a="1"/>
  <c r="Q134" i="3528" s="1"/>
  <c r="Q65" i="3528" a="1"/>
  <c r="Q65" i="3528" s="1"/>
  <c r="F140" i="3528" a="1"/>
  <c r="F140" i="3528" s="1"/>
  <c r="F71" i="3528" a="1"/>
  <c r="F71" i="3528" s="1"/>
  <c r="F105" i="3528" a="1"/>
  <c r="F105" i="3528" s="1"/>
  <c r="H132" i="3528" a="1"/>
  <c r="H132" i="3528" s="1"/>
  <c r="H97" i="3528" a="1"/>
  <c r="H97" i="3528" s="1"/>
  <c r="H63" i="3528" a="1"/>
  <c r="H63" i="3528" s="1"/>
  <c r="H129" i="3528" a="1"/>
  <c r="H129" i="3528" s="1"/>
  <c r="H94" i="3528" a="1"/>
  <c r="H94" i="3528" s="1"/>
  <c r="H60" i="3528" a="1"/>
  <c r="H60" i="3528" s="1"/>
  <c r="R144" i="3528" a="1"/>
  <c r="R144" i="3528" s="1"/>
  <c r="R109" i="3528" a="1"/>
  <c r="R109" i="3528" s="1"/>
  <c r="R75" i="3528" a="1"/>
  <c r="R75" i="3528" s="1"/>
  <c r="M138" i="3528" a="1"/>
  <c r="M138" i="3528" s="1"/>
  <c r="M103" i="3528" a="1"/>
  <c r="M103" i="3528" s="1"/>
  <c r="M69" i="3528" a="1"/>
  <c r="M69" i="3528" s="1"/>
  <c r="BG31" i="3479" a="1"/>
  <c r="BG31" i="3479" s="1"/>
  <c r="BH31" i="3479" s="1" a="1"/>
  <c r="BH31" i="3479" s="1"/>
  <c r="BF31" i="3479" a="1"/>
  <c r="BF31" i="3479" s="1"/>
  <c r="ER67" i="3479" a="1"/>
  <c r="ER67" i="3479" s="1"/>
  <c r="EU67" i="3479" s="1" a="1"/>
  <c r="EU67" i="3479" s="1"/>
  <c r="EV67" i="3479" s="1" a="1"/>
  <c r="EV67" i="3479" s="1"/>
  <c r="ES67" i="3479" a="1"/>
  <c r="ES67" i="3479" s="1"/>
  <c r="ET67" i="3479" s="1" a="1"/>
  <c r="ET67" i="3479" s="1"/>
  <c r="CZ45" i="3479" a="1"/>
  <c r="CZ45" i="3479" s="1"/>
  <c r="DA45" i="3479" s="1" a="1"/>
  <c r="DA45" i="3479" s="1"/>
  <c r="CY45" i="3479" a="1"/>
  <c r="CY45" i="3479" s="1"/>
  <c r="DB45" i="3479" s="1" a="1"/>
  <c r="DB45" i="3479" s="1"/>
  <c r="DC45" i="3479" s="1" a="1"/>
  <c r="DC45" i="3479" s="1"/>
  <c r="ED45" i="3479" a="1"/>
  <c r="ED45" i="3479" s="1"/>
  <c r="EE45" i="3479" s="1" a="1"/>
  <c r="EE45" i="3479" s="1"/>
  <c r="EC45" i="3479" a="1"/>
  <c r="EC45" i="3479" s="1"/>
  <c r="EF45" i="3479" s="1" a="1"/>
  <c r="EF45" i="3479" s="1"/>
  <c r="EG45" i="3479" s="1" a="1"/>
  <c r="EG45" i="3479" s="1"/>
  <c r="CK36" i="3479" a="1"/>
  <c r="CK36" i="3479" s="1"/>
  <c r="CL36" i="3479" s="1" a="1"/>
  <c r="CL36" i="3479" s="1"/>
  <c r="CJ36" i="3479" a="1"/>
  <c r="CJ36" i="3479" s="1"/>
  <c r="ES27" i="3479" a="1"/>
  <c r="ES27" i="3479" s="1"/>
  <c r="ET27" i="3479" s="1" a="1"/>
  <c r="ET27" i="3479" s="1"/>
  <c r="ER27" i="3479" a="1"/>
  <c r="ER27" i="3479" s="1"/>
  <c r="EU27" i="3479" s="1" a="1"/>
  <c r="EU27" i="3479" s="1"/>
  <c r="EV27" i="3479" s="1" a="1"/>
  <c r="EV27" i="3479" s="1"/>
  <c r="DO66" i="3479" a="1"/>
  <c r="DO66" i="3479" s="1"/>
  <c r="DP66" i="3479" s="1" a="1"/>
  <c r="DP66" i="3479" s="1"/>
  <c r="DN66" i="3479" a="1"/>
  <c r="DN66" i="3479" s="1"/>
  <c r="DQ66" i="3479" s="1" a="1"/>
  <c r="DQ66" i="3479" s="1"/>
  <c r="DR66" i="3479" s="1" a="1"/>
  <c r="DR66" i="3479" s="1"/>
  <c r="CZ30" i="3479" a="1"/>
  <c r="CZ30" i="3479" s="1"/>
  <c r="DA30" i="3479" s="1" a="1"/>
  <c r="DA30" i="3479" s="1"/>
  <c r="CY30" i="3479" a="1"/>
  <c r="CY30" i="3479" s="1"/>
  <c r="DB30" i="3479" s="1" a="1"/>
  <c r="DB30" i="3479" s="1"/>
  <c r="DC30" i="3479" s="1" a="1"/>
  <c r="DC30" i="3479" s="1"/>
  <c r="P43" i="3560" a="1"/>
  <c r="P43" i="3560" s="1"/>
  <c r="O43" i="3560" a="1"/>
  <c r="O43" i="3560" s="1"/>
  <c r="D43" i="3560"/>
  <c r="A43" i="3560"/>
  <c r="K78" i="3560"/>
  <c r="J78" i="3560"/>
  <c r="I78" i="3560"/>
  <c r="L78" i="3560"/>
  <c r="BV21" i="3479" a="1"/>
  <c r="BV21" i="3479" s="1"/>
  <c r="BW21" i="3479" s="1" a="1"/>
  <c r="BW21" i="3479" s="1"/>
  <c r="BU21" i="3479" a="1"/>
  <c r="BU21" i="3479" s="1"/>
  <c r="L47" i="3560"/>
  <c r="J47" i="3560"/>
  <c r="P47" i="3560" s="1" a="1"/>
  <c r="P47" i="3560" s="1"/>
  <c r="K47" i="3560"/>
  <c r="I47" i="3560"/>
  <c r="O47" i="3560" s="1" a="1"/>
  <c r="O47" i="3560" s="1"/>
  <c r="A58" i="3560"/>
  <c r="P58" i="3560" a="1"/>
  <c r="P58" i="3560" s="1"/>
  <c r="O58" i="3560" a="1"/>
  <c r="O58" i="3560" s="1"/>
  <c r="D58" i="3560"/>
  <c r="D51" i="3560"/>
  <c r="A51" i="3560"/>
  <c r="O51" i="3560" a="1"/>
  <c r="O51" i="3560" s="1"/>
  <c r="P51" i="3560" a="1"/>
  <c r="P51" i="3560" s="1"/>
  <c r="D31" i="3560"/>
  <c r="A31" i="3560"/>
  <c r="N22" i="3479" a="1"/>
  <c r="N22" i="3479" s="1"/>
  <c r="O22" i="3479" s="1" a="1"/>
  <c r="O22" i="3479" s="1"/>
  <c r="M22" i="3479" a="1"/>
  <c r="M22" i="3479" s="1"/>
  <c r="A98" i="3445"/>
  <c r="N45" i="3445" a="1"/>
  <c r="N45" i="3445" s="1"/>
  <c r="A39" i="3444"/>
  <c r="BG35" i="3444" a="1"/>
  <c r="BG35" i="3444" s="1"/>
  <c r="AU35" i="3444" a="1"/>
  <c r="AU35" i="3444" s="1"/>
  <c r="AI35" i="3444" a="1"/>
  <c r="AI35" i="3444" s="1"/>
  <c r="W35" i="3444" a="1"/>
  <c r="W35" i="3444" s="1"/>
  <c r="K35" i="3444" a="1"/>
  <c r="K35" i="3444" s="1"/>
  <c r="BF35" i="3444" a="1"/>
  <c r="BF35" i="3444" s="1"/>
  <c r="AT35" i="3444" a="1"/>
  <c r="AT35" i="3444" s="1"/>
  <c r="AH35" i="3444" a="1"/>
  <c r="AH35" i="3444" s="1"/>
  <c r="V35" i="3444" a="1"/>
  <c r="V35" i="3444" s="1"/>
  <c r="AB35" i="3444" a="1"/>
  <c r="AB35" i="3444" s="1"/>
  <c r="BE35" i="3444" a="1"/>
  <c r="BE35" i="3444" s="1"/>
  <c r="AP35" i="3444" a="1"/>
  <c r="AP35" i="3444" s="1"/>
  <c r="M35" i="3444" a="1"/>
  <c r="M35" i="3444" s="1"/>
  <c r="AA35" i="3444" a="1"/>
  <c r="AA35" i="3444" s="1"/>
  <c r="AN35" i="3444" a="1"/>
  <c r="AN35" i="3444" s="1"/>
  <c r="BB35" i="3444" a="1"/>
  <c r="BB35" i="3444" s="1"/>
  <c r="Y35" i="3444" a="1"/>
  <c r="Y35" i="3444" s="1"/>
  <c r="AM35" i="3444" a="1"/>
  <c r="AM35" i="3444" s="1"/>
  <c r="T35" i="3444" a="1"/>
  <c r="T35" i="3444" s="1"/>
  <c r="S35" i="3444" a="1"/>
  <c r="S35" i="3444" s="1"/>
  <c r="BH35" i="3444" a="1"/>
  <c r="BH35" i="3444" s="1"/>
  <c r="AL35" i="3444" a="1"/>
  <c r="AL35" i="3444" s="1"/>
  <c r="BD35" i="3444" a="1"/>
  <c r="BD35" i="3444" s="1"/>
  <c r="R35" i="3444" a="1"/>
  <c r="R35" i="3444" s="1"/>
  <c r="BC35" i="3444" a="1"/>
  <c r="BC35" i="3444" s="1"/>
  <c r="AK35" i="3444" a="1"/>
  <c r="AK35" i="3444" s="1"/>
  <c r="Q35" i="3444" a="1"/>
  <c r="Q35" i="3444" s="1"/>
  <c r="BA35" i="3444" a="1"/>
  <c r="BA35" i="3444" s="1"/>
  <c r="AJ35" i="3444" a="1"/>
  <c r="AJ35" i="3444" s="1"/>
  <c r="P35" i="3444" a="1"/>
  <c r="P35" i="3444" s="1"/>
  <c r="AZ35" i="3444" a="1"/>
  <c r="AZ35" i="3444" s="1"/>
  <c r="AG35" i="3444" a="1"/>
  <c r="AG35" i="3444" s="1"/>
  <c r="AY35" i="3444" a="1"/>
  <c r="AY35" i="3444" s="1"/>
  <c r="AF35" i="3444" a="1"/>
  <c r="AF35" i="3444" s="1"/>
  <c r="AE35" i="3444" a="1"/>
  <c r="AE35" i="3444" s="1"/>
  <c r="N35" i="3444" a="1"/>
  <c r="N35" i="3444" s="1"/>
  <c r="AX35" i="3444" a="1"/>
  <c r="AX35" i="3444" s="1"/>
  <c r="L35" i="3444" a="1"/>
  <c r="L35" i="3444" s="1"/>
  <c r="AD35" i="3444" a="1"/>
  <c r="AD35" i="3444" s="1"/>
  <c r="AW35" i="3444" a="1"/>
  <c r="AW35" i="3444" s="1"/>
  <c r="AC35" i="3444" a="1"/>
  <c r="AC35" i="3444" s="1"/>
  <c r="AQ35" i="3444" a="1"/>
  <c r="AQ35" i="3444" s="1"/>
  <c r="AO35" i="3444" a="1"/>
  <c r="AO35" i="3444" s="1"/>
  <c r="U35" i="3444" a="1"/>
  <c r="U35" i="3444" s="1"/>
  <c r="AS35" i="3444" a="1"/>
  <c r="AS35" i="3444" s="1"/>
  <c r="AR35" i="3444" a="1"/>
  <c r="AR35" i="3444" s="1"/>
  <c r="O35" i="3444" a="1"/>
  <c r="O35" i="3444" s="1"/>
  <c r="AV35" i="3444" a="1"/>
  <c r="AV35" i="3444" s="1"/>
  <c r="X35" i="3444" a="1"/>
  <c r="X35" i="3444" s="1"/>
  <c r="Z35" i="3444" a="1"/>
  <c r="Z35" i="3444" s="1"/>
  <c r="AF92" i="3489" a="1"/>
  <c r="AF92" i="3489" s="1"/>
  <c r="N52" i="3489" a="1"/>
  <c r="N52" i="3489" s="1"/>
  <c r="AV29" i="3489" a="1"/>
  <c r="AV29" i="3489" s="1"/>
  <c r="BC29" i="3489" a="1"/>
  <c r="BC29" i="3489" s="1"/>
  <c r="BH25" i="3489" a="1"/>
  <c r="BH25" i="3489" s="1"/>
  <c r="AV25" i="3489" a="1"/>
  <c r="AV25" i="3489" s="1"/>
  <c r="AJ25" i="3489" a="1"/>
  <c r="AJ25" i="3489" s="1"/>
  <c r="X25" i="3489" a="1"/>
  <c r="X25" i="3489" s="1"/>
  <c r="L25" i="3489" a="1"/>
  <c r="L25" i="3489" s="1"/>
  <c r="BG25" i="3489" a="1"/>
  <c r="BG25" i="3489" s="1"/>
  <c r="AU25" i="3489" a="1"/>
  <c r="AU25" i="3489" s="1"/>
  <c r="AI25" i="3489" a="1"/>
  <c r="AI25" i="3489" s="1"/>
  <c r="W25" i="3489" a="1"/>
  <c r="W25" i="3489" s="1"/>
  <c r="K25" i="3489" a="1"/>
  <c r="K25" i="3489" s="1"/>
  <c r="AP25" i="3489" a="1"/>
  <c r="AP25" i="3489" s="1"/>
  <c r="M25" i="3489" a="1"/>
  <c r="M25" i="3489" s="1"/>
  <c r="BD25" i="3489" a="1"/>
  <c r="BD25" i="3489" s="1"/>
  <c r="AA25" i="3489" a="1"/>
  <c r="AA25" i="3489" s="1"/>
  <c r="AO25" i="3489" a="1"/>
  <c r="AO25" i="3489" s="1"/>
  <c r="BC25" i="3489" a="1"/>
  <c r="BC25" i="3489" s="1"/>
  <c r="Z25" i="3489" a="1"/>
  <c r="Z25" i="3489" s="1"/>
  <c r="BB25" i="3489" a="1"/>
  <c r="BB25" i="3489" s="1"/>
  <c r="AM25" i="3489" a="1"/>
  <c r="AM25" i="3489" s="1"/>
  <c r="AZ25" i="3489" a="1"/>
  <c r="AZ25" i="3489" s="1"/>
  <c r="AE25" i="3489" a="1"/>
  <c r="AE25" i="3489" s="1"/>
  <c r="N25" i="3489" a="1"/>
  <c r="N25" i="3489" s="1"/>
  <c r="AY25" i="3489" a="1"/>
  <c r="AY25" i="3489" s="1"/>
  <c r="AD25" i="3489" a="1"/>
  <c r="AD25" i="3489" s="1"/>
  <c r="AX25" i="3489" a="1"/>
  <c r="AX25" i="3489" s="1"/>
  <c r="AC25" i="3489" a="1"/>
  <c r="AC25" i="3489" s="1"/>
  <c r="U25" i="3489" a="1"/>
  <c r="U25" i="3489" s="1"/>
  <c r="AN25" i="3489" a="1"/>
  <c r="AN25" i="3489" s="1"/>
  <c r="S25" i="3489" a="1"/>
  <c r="S25" i="3489" s="1"/>
  <c r="AL25" i="3489" a="1"/>
  <c r="AL25" i="3489" s="1"/>
  <c r="R25" i="3489" a="1"/>
  <c r="R25" i="3489" s="1"/>
  <c r="BI25" i="3489" a="1"/>
  <c r="BI25" i="3489" s="1"/>
  <c r="AK25" i="3489" a="1"/>
  <c r="AK25" i="3489" s="1"/>
  <c r="BF25" i="3489" a="1"/>
  <c r="BF25" i="3489" s="1"/>
  <c r="AH25" i="3489" a="1"/>
  <c r="AH25" i="3489" s="1"/>
  <c r="Q25" i="3489" a="1"/>
  <c r="Q25" i="3489" s="1"/>
  <c r="Y25" i="3489" a="1"/>
  <c r="Y25" i="3489" s="1"/>
  <c r="V25" i="3489" a="1"/>
  <c r="V25" i="3489" s="1"/>
  <c r="T25" i="3489" a="1"/>
  <c r="T25" i="3489" s="1"/>
  <c r="BE25" i="3489" a="1"/>
  <c r="BE25" i="3489" s="1"/>
  <c r="BA25" i="3489" a="1"/>
  <c r="BA25" i="3489" s="1"/>
  <c r="P25" i="3489" a="1"/>
  <c r="P25" i="3489" s="1"/>
  <c r="AW25" i="3489" a="1"/>
  <c r="AW25" i="3489" s="1"/>
  <c r="O25" i="3489" a="1"/>
  <c r="O25" i="3489" s="1"/>
  <c r="AT25" i="3489" a="1"/>
  <c r="AT25" i="3489" s="1"/>
  <c r="AS25" i="3489" a="1"/>
  <c r="AS25" i="3489" s="1"/>
  <c r="AR25" i="3489" a="1"/>
  <c r="AR25" i="3489" s="1"/>
  <c r="AQ25" i="3489" a="1"/>
  <c r="AQ25" i="3489" s="1"/>
  <c r="B25" i="3489"/>
  <c r="AG25" i="3489" a="1"/>
  <c r="AG25" i="3489" s="1"/>
  <c r="AB25" i="3489" a="1"/>
  <c r="AB25" i="3489" s="1"/>
  <c r="AF25" i="3489" a="1"/>
  <c r="AF25" i="3489" s="1"/>
  <c r="M84" i="3448"/>
  <c r="G59" i="3448"/>
  <c r="BW59" i="3448" s="1"/>
  <c r="BP59" i="3448"/>
  <c r="BO59" i="3448"/>
  <c r="G71" i="3448"/>
  <c r="BW71" i="3448" s="1"/>
  <c r="BP71" i="3448"/>
  <c r="BO71" i="3448"/>
  <c r="BR15" i="3448" a="1"/>
  <c r="BR15" i="3448" s="1"/>
  <c r="BV15" i="3448" s="1" a="1"/>
  <c r="BV15" i="3448" s="1"/>
  <c r="E15" i="3448" a="1"/>
  <c r="E15" i="3448" s="1"/>
  <c r="G25" i="3523" s="1"/>
  <c r="I25" i="3523" s="1" a="1"/>
  <c r="I25" i="3523" s="1"/>
  <c r="H28" i="3523" a="1"/>
  <c r="H28" i="3523" s="1"/>
  <c r="F28" i="3523" a="1"/>
  <c r="F28" i="3523" s="1"/>
  <c r="L28" i="3523" s="1" a="1"/>
  <c r="L28" i="3523" s="1"/>
  <c r="I28" i="3523" a="1"/>
  <c r="I28" i="3523" s="1"/>
  <c r="G31" i="3436"/>
  <c r="I33" i="3444" s="1"/>
  <c r="AE63" i="3480"/>
  <c r="AK113" i="3434" a="1"/>
  <c r="AK113" i="3434" s="1"/>
  <c r="AL113" i="3434" a="1"/>
  <c r="AL113" i="3434" s="1"/>
  <c r="Y27" i="3436"/>
  <c r="G75" i="3436"/>
  <c r="G40" i="3436"/>
  <c r="I42" i="3444" s="1"/>
  <c r="I64" i="3436"/>
  <c r="S28" i="3445" s="1" a="1"/>
  <c r="S28" i="3445" s="1"/>
  <c r="T28" i="3445" s="1"/>
  <c r="Y37" i="3436"/>
  <c r="Y56" i="3436"/>
  <c r="Y32" i="3436"/>
  <c r="U32" i="3436" s="1" a="1"/>
  <c r="U32" i="3436" s="1"/>
  <c r="J34" i="3444" s="1"/>
  <c r="Y61" i="3436"/>
  <c r="Y72" i="3436"/>
  <c r="B471" i="3449"/>
  <c r="C11" i="3435" s="1"/>
  <c r="B630" i="3449"/>
  <c r="I10" i="3421" a="1"/>
  <c r="I10" i="3421" s="1"/>
  <c r="H10" i="3421" a="1"/>
  <c r="H10" i="3421" s="1"/>
  <c r="G10" i="3421" a="1"/>
  <c r="G10" i="3421" s="1"/>
  <c r="E10" i="3421" a="1"/>
  <c r="E10" i="3421" s="1"/>
  <c r="K10" i="3421" a="1"/>
  <c r="K10" i="3421" s="1"/>
  <c r="J10" i="3421" a="1"/>
  <c r="J10" i="3421" s="1"/>
  <c r="C9" i="3570"/>
  <c r="C9" i="3518"/>
  <c r="G25" i="3518" a="1"/>
  <c r="G25" i="3518" s="1"/>
  <c r="F25" i="3518" a="1"/>
  <c r="F25" i="3518" s="1"/>
  <c r="F54" i="3518" a="1"/>
  <c r="F54" i="3518" s="1"/>
  <c r="G54" i="3518" a="1"/>
  <c r="G54" i="3518" s="1"/>
  <c r="K88" i="3528" a="1"/>
  <c r="K88" i="3528" s="1"/>
  <c r="K123" i="3528" a="1"/>
  <c r="K123" i="3528" s="1"/>
  <c r="K54" i="3528" a="1"/>
  <c r="K54" i="3528" s="1"/>
  <c r="F53" i="3528" a="1"/>
  <c r="F53" i="3528" s="1"/>
  <c r="F87" i="3528" a="1"/>
  <c r="F87" i="3528" s="1"/>
  <c r="F122" i="3528" a="1"/>
  <c r="F122" i="3528" s="1"/>
  <c r="L135" i="3528" a="1"/>
  <c r="L135" i="3528" s="1"/>
  <c r="L100" i="3528" a="1"/>
  <c r="L100" i="3528" s="1"/>
  <c r="L66" i="3528" a="1"/>
  <c r="L66" i="3528" s="1"/>
  <c r="J141" i="3528" a="1"/>
  <c r="J141" i="3528" s="1"/>
  <c r="J72" i="3528" a="1"/>
  <c r="J72" i="3528" s="1"/>
  <c r="J106" i="3528" a="1"/>
  <c r="J106" i="3528" s="1"/>
  <c r="H121" i="3528" a="1"/>
  <c r="H121" i="3528" s="1"/>
  <c r="H86" i="3528" a="1"/>
  <c r="H86" i="3528" s="1"/>
  <c r="H52" i="3528" a="1"/>
  <c r="H52" i="3528" s="1"/>
  <c r="G118" i="3528" a="1"/>
  <c r="G118" i="3528" s="1"/>
  <c r="G83" i="3528" a="1"/>
  <c r="G83" i="3528" s="1"/>
  <c r="G49" i="3528" a="1"/>
  <c r="G49" i="3528" s="1"/>
  <c r="R89" i="3528" a="1"/>
  <c r="R89" i="3528" s="1"/>
  <c r="R124" i="3528" a="1"/>
  <c r="R124" i="3528" s="1"/>
  <c r="R55" i="3528" a="1"/>
  <c r="R55" i="3528" s="1"/>
  <c r="E59" i="3528" a="1"/>
  <c r="E59" i="3528" s="1"/>
  <c r="E128" i="3528" a="1"/>
  <c r="E128" i="3528" s="1"/>
  <c r="E93" i="3528" a="1"/>
  <c r="E93" i="3528" s="1"/>
  <c r="L118" i="3528" a="1"/>
  <c r="L118" i="3528" s="1"/>
  <c r="L49" i="3528" a="1"/>
  <c r="L49" i="3528" s="1"/>
  <c r="L83" i="3528" a="1"/>
  <c r="L83" i="3528" s="1"/>
  <c r="E102" i="3528" a="1"/>
  <c r="E102" i="3528" s="1"/>
  <c r="E137" i="3528" a="1"/>
  <c r="E137" i="3528" s="1"/>
  <c r="E68" i="3528" a="1"/>
  <c r="E68" i="3528" s="1"/>
  <c r="S134" i="3528" a="1"/>
  <c r="S134" i="3528" s="1"/>
  <c r="S65" i="3528" a="1"/>
  <c r="S65" i="3528" s="1"/>
  <c r="S99" i="3528" a="1"/>
  <c r="S99" i="3528" s="1"/>
  <c r="R105" i="3528" a="1"/>
  <c r="R105" i="3528" s="1"/>
  <c r="R140" i="3528" a="1"/>
  <c r="R140" i="3528" s="1"/>
  <c r="R71" i="3528" a="1"/>
  <c r="R71" i="3528" s="1"/>
  <c r="M97" i="3528" a="1"/>
  <c r="M97" i="3528" s="1"/>
  <c r="M132" i="3528" a="1"/>
  <c r="M132" i="3528" s="1"/>
  <c r="M63" i="3528" a="1"/>
  <c r="M63" i="3528" s="1"/>
  <c r="E130" i="3528" a="1"/>
  <c r="E130" i="3528" s="1"/>
  <c r="E95" i="3528" a="1"/>
  <c r="E95" i="3528" s="1"/>
  <c r="E61" i="3528" a="1"/>
  <c r="E61" i="3528" s="1"/>
  <c r="F129" i="3528" a="1"/>
  <c r="F129" i="3528" s="1"/>
  <c r="F94" i="3528" a="1"/>
  <c r="F94" i="3528" s="1"/>
  <c r="F60" i="3528" a="1"/>
  <c r="F60" i="3528" s="1"/>
  <c r="F120" i="3528" a="1"/>
  <c r="F120" i="3528" s="1"/>
  <c r="F85" i="3528" a="1"/>
  <c r="F85" i="3528" s="1"/>
  <c r="F51" i="3528" a="1"/>
  <c r="F51" i="3528" s="1"/>
  <c r="N138" i="3528" a="1"/>
  <c r="N138" i="3528" s="1"/>
  <c r="N103" i="3528" a="1"/>
  <c r="N103" i="3528" s="1"/>
  <c r="N69" i="3528" a="1"/>
  <c r="N69" i="3528" s="1"/>
  <c r="AT126" i="3528"/>
  <c r="AD126" i="3528"/>
  <c r="AI126" i="3528"/>
  <c r="AY126" i="3528"/>
  <c r="AS143" i="3528"/>
  <c r="AC143" i="3528"/>
  <c r="Z38" i="3419" l="1" a="1"/>
  <c r="Z38" i="3419" s="1"/>
  <c r="AB38" i="3419" s="1" a="1"/>
  <c r="AB38" i="3419" s="1"/>
  <c r="Z56" i="3419" a="1"/>
  <c r="Z56" i="3419" s="1"/>
  <c r="AB56" i="3419" s="1" a="1"/>
  <c r="AB56" i="3419" s="1"/>
  <c r="AV126" i="3434" a="1"/>
  <c r="AV126" i="3434" s="1"/>
  <c r="AV127" i="3434" a="1"/>
  <c r="AV127" i="3434" s="1"/>
  <c r="AV100" i="3434" a="1"/>
  <c r="AV100" i="3434" s="1"/>
  <c r="Z21" i="3419" a="1"/>
  <c r="Z21" i="3419" s="1"/>
  <c r="AB21" i="3419" s="1" a="1"/>
  <c r="AB21" i="3419" s="1"/>
  <c r="AV108" i="3434" a="1"/>
  <c r="AV108" i="3434" s="1"/>
  <c r="AV121" i="3434" a="1"/>
  <c r="AV121" i="3434" s="1"/>
  <c r="Z25" i="3419" a="1"/>
  <c r="Z25" i="3419" s="1"/>
  <c r="AB25" i="3419" s="1" a="1"/>
  <c r="AB25" i="3419" s="1"/>
  <c r="BI32" i="3479" a="1"/>
  <c r="BI32" i="3479" s="1"/>
  <c r="BJ32" i="3479" s="1" a="1"/>
  <c r="BJ32" i="3479" s="1"/>
  <c r="J96" i="3445" a="1"/>
  <c r="J96" i="3445" s="1"/>
  <c r="P96" i="3445" s="1"/>
  <c r="Q96" i="3445" s="1"/>
  <c r="AV99" i="3434" a="1"/>
  <c r="AV99" i="3434" s="1"/>
  <c r="AV95" i="3434" a="1"/>
  <c r="AV95" i="3434" s="1"/>
  <c r="AV142" i="3434" a="1"/>
  <c r="AV142" i="3434" s="1"/>
  <c r="I34" i="3444"/>
  <c r="Z45" i="3419" a="1"/>
  <c r="Z45" i="3419" s="1"/>
  <c r="AB45" i="3419" s="1" a="1"/>
  <c r="AB45" i="3419" s="1"/>
  <c r="V20" i="3436" a="1"/>
  <c r="V20" i="3436" s="1"/>
  <c r="Z32" i="3419" a="1"/>
  <c r="Z32" i="3419" s="1"/>
  <c r="AB32" i="3419" s="1" a="1"/>
  <c r="AB32" i="3419" s="1"/>
  <c r="Z42" i="3419" a="1"/>
  <c r="Z42" i="3419" s="1"/>
  <c r="AB42" i="3419" s="1" a="1"/>
  <c r="AB42" i="3419" s="1"/>
  <c r="J48" i="3445" a="1"/>
  <c r="J48" i="3445" s="1"/>
  <c r="P48" i="3445" s="1"/>
  <c r="Q48" i="3445" s="1"/>
  <c r="Z23" i="3419" a="1"/>
  <c r="Z23" i="3419" s="1"/>
  <c r="AB23" i="3419" s="1" a="1"/>
  <c r="AB23" i="3419" s="1"/>
  <c r="Z29" i="3419" a="1"/>
  <c r="Z29" i="3419" s="1"/>
  <c r="AB29" i="3419" s="1" a="1"/>
  <c r="AB29" i="3419" s="1"/>
  <c r="Z44" i="3419" a="1"/>
  <c r="Z44" i="3419" s="1"/>
  <c r="AB44" i="3419" s="1" a="1"/>
  <c r="AB44" i="3419" s="1"/>
  <c r="AI44" i="3419" s="1" a="1"/>
  <c r="AI44" i="3419" s="1"/>
  <c r="U66" i="3436" a="1"/>
  <c r="U66" i="3436" s="1"/>
  <c r="J68" i="3444" s="1"/>
  <c r="Z37" i="3419" a="1"/>
  <c r="Z37" i="3419" s="1"/>
  <c r="AB37" i="3419" s="1" a="1"/>
  <c r="AB37" i="3419" s="1"/>
  <c r="Z27" i="3419" a="1"/>
  <c r="Z27" i="3419" s="1"/>
  <c r="AB27" i="3419" s="1" a="1"/>
  <c r="AB27" i="3419" s="1"/>
  <c r="Z19" i="3419" a="1"/>
  <c r="Z19" i="3419" s="1"/>
  <c r="AB19" i="3419" s="1" a="1"/>
  <c r="AB19" i="3419" s="1"/>
  <c r="Z49" i="3419" a="1"/>
  <c r="Z49" i="3419" s="1"/>
  <c r="AB49" i="3419" s="1" a="1"/>
  <c r="AB49" i="3419" s="1"/>
  <c r="AV113" i="3434" a="1"/>
  <c r="AV113" i="3434" s="1"/>
  <c r="T24" i="3576"/>
  <c r="BI61" i="3479" a="1"/>
  <c r="BI61" i="3479" s="1"/>
  <c r="BJ61" i="3479" s="1" a="1"/>
  <c r="BJ61" i="3479" s="1"/>
  <c r="AV98" i="3434" a="1"/>
  <c r="AV98" i="3434" s="1"/>
  <c r="BP97" i="3448"/>
  <c r="Z47" i="3419" a="1"/>
  <c r="Z47" i="3419" s="1"/>
  <c r="AB47" i="3419" s="1" a="1"/>
  <c r="AB47" i="3419" s="1"/>
  <c r="W119" i="3528"/>
  <c r="Z28" i="3419" a="1"/>
  <c r="Z28" i="3419" s="1"/>
  <c r="AB28" i="3419" s="1" a="1"/>
  <c r="AB28" i="3419" s="1"/>
  <c r="V21" i="3436" a="1"/>
  <c r="V21" i="3436" s="1"/>
  <c r="AV139" i="3434" a="1"/>
  <c r="AV139" i="3434" s="1"/>
  <c r="Z50" i="3419" a="1"/>
  <c r="Z50" i="3419" s="1"/>
  <c r="AB50" i="3419" s="1" a="1"/>
  <c r="AB50" i="3419" s="1"/>
  <c r="Z18" i="3419" a="1"/>
  <c r="Z18" i="3419" s="1"/>
  <c r="AB18" i="3419" s="1" a="1"/>
  <c r="AB18" i="3419" s="1"/>
  <c r="Z62" i="3419" a="1"/>
  <c r="Z62" i="3419" s="1"/>
  <c r="AB62" i="3419" s="1" a="1"/>
  <c r="AB62" i="3419" s="1"/>
  <c r="AV140" i="3434" a="1"/>
  <c r="AV140" i="3434" s="1"/>
  <c r="Z30" i="3419" a="1"/>
  <c r="Z30" i="3419" s="1"/>
  <c r="AB30" i="3419" s="1" a="1"/>
  <c r="AB30" i="3419" s="1"/>
  <c r="Z20" i="3419" a="1"/>
  <c r="Z20" i="3419" s="1"/>
  <c r="AB20" i="3419" s="1" a="1"/>
  <c r="AB20" i="3419" s="1"/>
  <c r="Z58" i="3419" a="1"/>
  <c r="Z58" i="3419" s="1"/>
  <c r="AB58" i="3419" s="1" a="1"/>
  <c r="AB58" i="3419" s="1"/>
  <c r="Z15" i="3419" a="1"/>
  <c r="Z15" i="3419" s="1"/>
  <c r="AB15" i="3419" s="1" a="1"/>
  <c r="AB15" i="3419" s="1"/>
  <c r="Z36" i="3419" a="1"/>
  <c r="Z36" i="3419" s="1"/>
  <c r="AB36" i="3419" s="1" a="1"/>
  <c r="AB36" i="3419" s="1"/>
  <c r="Z33" i="3419" a="1"/>
  <c r="Z33" i="3419" s="1"/>
  <c r="AB33" i="3419" s="1" a="1"/>
  <c r="AB33" i="3419" s="1"/>
  <c r="AI33" i="3419" s="1" a="1"/>
  <c r="AI33" i="3419" s="1"/>
  <c r="Z14" i="3419" a="1"/>
  <c r="Z14" i="3419" s="1"/>
  <c r="AB14" i="3419" s="1" a="1"/>
  <c r="AB14" i="3419" s="1"/>
  <c r="Z39" i="3419" a="1"/>
  <c r="Z39" i="3419" s="1"/>
  <c r="AB39" i="3419" s="1" a="1"/>
  <c r="AB39" i="3419" s="1"/>
  <c r="Z40" i="3419" a="1"/>
  <c r="Z40" i="3419" s="1"/>
  <c r="AB40" i="3419" s="1" a="1"/>
  <c r="AB40" i="3419" s="1"/>
  <c r="AH40" i="3419" s="1" a="1"/>
  <c r="AH40" i="3419" s="1"/>
  <c r="AV110" i="3434" a="1"/>
  <c r="AV110" i="3434" s="1"/>
  <c r="Z26" i="3419" a="1"/>
  <c r="Z26" i="3419" s="1"/>
  <c r="AB26" i="3419" s="1" a="1"/>
  <c r="AB26" i="3419" s="1"/>
  <c r="Z48" i="3419" a="1"/>
  <c r="Z48" i="3419" s="1"/>
  <c r="AB48" i="3419" s="1" a="1"/>
  <c r="AB48" i="3419" s="1"/>
  <c r="U38" i="3436" a="1"/>
  <c r="U38" i="3436" s="1"/>
  <c r="J40" i="3444" s="1"/>
  <c r="CM62" i="3479" a="1"/>
  <c r="CM62" i="3479" s="1"/>
  <c r="CN62" i="3479" s="1" a="1"/>
  <c r="CN62" i="3479" s="1"/>
  <c r="AE55" i="3479" a="1"/>
  <c r="AE55" i="3479" s="1"/>
  <c r="AF55" i="3479" s="1" a="1"/>
  <c r="AF55" i="3479" s="1"/>
  <c r="P28" i="3479" a="1"/>
  <c r="P28" i="3479" s="1"/>
  <c r="Q28" i="3479" s="1" a="1"/>
  <c r="Q28" i="3479" s="1"/>
  <c r="BX30" i="3479" a="1"/>
  <c r="BX30" i="3479" s="1"/>
  <c r="BY30" i="3479" s="1" a="1"/>
  <c r="BY30" i="3479" s="1"/>
  <c r="BI59" i="3479" a="1"/>
  <c r="BI59" i="3479" s="1"/>
  <c r="BJ59" i="3479" s="1" a="1"/>
  <c r="BJ59" i="3479" s="1"/>
  <c r="BI26" i="3479" a="1"/>
  <c r="BI26" i="3479" s="1"/>
  <c r="BJ26" i="3479" s="1" a="1"/>
  <c r="BJ26" i="3479" s="1"/>
  <c r="H30" i="3576" a="1"/>
  <c r="H30" i="3576" s="1"/>
  <c r="L30" i="3576" a="1"/>
  <c r="L30" i="3576" s="1"/>
  <c r="J30" i="3576" a="1"/>
  <c r="J30" i="3576" s="1"/>
  <c r="O30" i="3576" a="1"/>
  <c r="O30" i="3576" s="1"/>
  <c r="G30" i="3576" a="1"/>
  <c r="G30" i="3576" s="1"/>
  <c r="F30" i="3576" a="1"/>
  <c r="F30" i="3576" s="1"/>
  <c r="E30" i="3576" a="1"/>
  <c r="E30" i="3576" s="1"/>
  <c r="K30" i="3576" a="1"/>
  <c r="K30" i="3576" s="1"/>
  <c r="X30" i="3576" s="1"/>
  <c r="I30" i="3576" a="1"/>
  <c r="I30" i="3576" s="1"/>
  <c r="AT34" i="3479" a="1"/>
  <c r="AT34" i="3479" s="1"/>
  <c r="AU34" i="3479" s="1" a="1"/>
  <c r="AU34" i="3479" s="1"/>
  <c r="I66" i="3436"/>
  <c r="S85" i="3445" s="1" a="1"/>
  <c r="S85" i="3445" s="1"/>
  <c r="T85" i="3445" s="1"/>
  <c r="AV134" i="3434" a="1"/>
  <c r="AV134" i="3434" s="1"/>
  <c r="AV111" i="3434" a="1"/>
  <c r="AV111" i="3434" s="1"/>
  <c r="C36" i="3576"/>
  <c r="C34" i="3576"/>
  <c r="D33" i="3576" a="1"/>
  <c r="D33" i="3576" s="1"/>
  <c r="CM55" i="3479" a="1"/>
  <c r="CM55" i="3479" s="1"/>
  <c r="CN55" i="3479" s="1" a="1"/>
  <c r="CN55" i="3479" s="1"/>
  <c r="AV102" i="3434" a="1"/>
  <c r="AV102" i="3434" s="1"/>
  <c r="AV130" i="3434" a="1"/>
  <c r="AV130" i="3434" s="1"/>
  <c r="AV138" i="3434" a="1"/>
  <c r="AV138" i="3434" s="1"/>
  <c r="AV129" i="3434" a="1"/>
  <c r="AV129" i="3434" s="1"/>
  <c r="BX35" i="3479" a="1"/>
  <c r="BX35" i="3479" s="1"/>
  <c r="BY35" i="3479" s="1" a="1"/>
  <c r="BY35" i="3479" s="1"/>
  <c r="BI40" i="3479" a="1"/>
  <c r="BI40" i="3479" s="1"/>
  <c r="BJ40" i="3479" s="1" a="1"/>
  <c r="BJ40" i="3479" s="1"/>
  <c r="V22" i="3436" a="1"/>
  <c r="V22" i="3436" s="1"/>
  <c r="AV118" i="3434" a="1"/>
  <c r="AV118" i="3434" s="1"/>
  <c r="P59" i="3479" a="1"/>
  <c r="P59" i="3479" s="1"/>
  <c r="Q59" i="3479" s="1" a="1"/>
  <c r="Q59" i="3479" s="1"/>
  <c r="AV97" i="3434" a="1"/>
  <c r="AV97" i="3434" s="1"/>
  <c r="P45" i="3479" a="1"/>
  <c r="P45" i="3479" s="1"/>
  <c r="Q45" i="3479" s="1" a="1"/>
  <c r="Q45" i="3479" s="1"/>
  <c r="BX42" i="3479" a="1"/>
  <c r="BX42" i="3479" s="1"/>
  <c r="BY42" i="3479" s="1" a="1"/>
  <c r="BY42" i="3479" s="1"/>
  <c r="P61" i="3479" a="1"/>
  <c r="P61" i="3479" s="1"/>
  <c r="Q61" i="3479" s="1" a="1"/>
  <c r="Q61" i="3479" s="1"/>
  <c r="AT60" i="3479" a="1"/>
  <c r="AT60" i="3479" s="1"/>
  <c r="AU60" i="3479" s="1" a="1"/>
  <c r="AU60" i="3479" s="1"/>
  <c r="BI29" i="3479" a="1"/>
  <c r="BI29" i="3479" s="1"/>
  <c r="BJ29" i="3479" s="1" a="1"/>
  <c r="BJ29" i="3479" s="1"/>
  <c r="AV143" i="3434" a="1"/>
  <c r="AV143" i="3434" s="1"/>
  <c r="CM36" i="3479" a="1"/>
  <c r="CM36" i="3479" s="1"/>
  <c r="CN36" i="3479" s="1" a="1"/>
  <c r="CN36" i="3479" s="1"/>
  <c r="I53" i="3444"/>
  <c r="P56" i="3479" a="1"/>
  <c r="P56" i="3479" s="1"/>
  <c r="Q56" i="3479" s="1" a="1"/>
  <c r="Q56" i="3479" s="1"/>
  <c r="CM23" i="3479" a="1"/>
  <c r="CM23" i="3479" s="1"/>
  <c r="CN23" i="3479" s="1" a="1"/>
  <c r="CN23" i="3479" s="1"/>
  <c r="O7" i="3419"/>
  <c r="O6" i="3419" s="1"/>
  <c r="P57" i="3479" a="1"/>
  <c r="P57" i="3479" s="1"/>
  <c r="Q57" i="3479" s="1" a="1"/>
  <c r="Q57" i="3479" s="1"/>
  <c r="AT67" i="3479" a="1"/>
  <c r="AT67" i="3479" s="1"/>
  <c r="AU67" i="3479" s="1" a="1"/>
  <c r="AU67" i="3479" s="1"/>
  <c r="P42" i="3479" a="1"/>
  <c r="P42" i="3479" s="1"/>
  <c r="Q42" i="3479" s="1" a="1"/>
  <c r="Q42" i="3479" s="1"/>
  <c r="BI62" i="3479" a="1"/>
  <c r="BI62" i="3479" s="1"/>
  <c r="BJ62" i="3479" s="1" a="1"/>
  <c r="BJ62" i="3479" s="1"/>
  <c r="AE71" i="3479" a="1"/>
  <c r="AE71" i="3479" s="1"/>
  <c r="AF71" i="3479" s="1" a="1"/>
  <c r="AF71" i="3479" s="1"/>
  <c r="CM52" i="3479" a="1"/>
  <c r="CM52" i="3479" s="1"/>
  <c r="CN52" i="3479" s="1" a="1"/>
  <c r="CN52" i="3479" s="1"/>
  <c r="BN32" i="3479" a="1"/>
  <c r="BN32" i="3479" s="1"/>
  <c r="BL32" i="3479" a="1"/>
  <c r="BL32" i="3479" s="1"/>
  <c r="BM32" i="3479" a="1"/>
  <c r="BM32" i="3479" s="1"/>
  <c r="T21" i="3576"/>
  <c r="CM67" i="3479" a="1"/>
  <c r="CM67" i="3479" s="1"/>
  <c r="CN67" i="3479" s="1" a="1"/>
  <c r="CN67" i="3479" s="1"/>
  <c r="AE36" i="3479" a="1"/>
  <c r="AE36" i="3479" s="1"/>
  <c r="AF36" i="3479" s="1" a="1"/>
  <c r="AF36" i="3479" s="1"/>
  <c r="AE66" i="3479" a="1"/>
  <c r="AE66" i="3479" s="1"/>
  <c r="AF66" i="3479" s="1" a="1"/>
  <c r="AF66" i="3479" s="1"/>
  <c r="AT40" i="3479" a="1"/>
  <c r="AT40" i="3479" s="1"/>
  <c r="AU40" i="3479" s="1" a="1"/>
  <c r="AU40" i="3479" s="1"/>
  <c r="P52" i="3479" a="1"/>
  <c r="P52" i="3479" s="1"/>
  <c r="Q52" i="3479" s="1" a="1"/>
  <c r="Q52" i="3479" s="1"/>
  <c r="AV106" i="3434" a="1"/>
  <c r="AV106" i="3434" s="1"/>
  <c r="J39" i="3445" a="1"/>
  <c r="J39" i="3445" s="1"/>
  <c r="P39" i="3445" s="1"/>
  <c r="Q39" i="3445" s="1"/>
  <c r="BI35" i="3479" a="1"/>
  <c r="BI35" i="3479" s="1"/>
  <c r="BJ35" i="3479" s="1" a="1"/>
  <c r="BJ35" i="3479" s="1"/>
  <c r="CM46" i="3479" a="1"/>
  <c r="CM46" i="3479" s="1"/>
  <c r="CN46" i="3479" s="1" a="1"/>
  <c r="CN46" i="3479" s="1"/>
  <c r="CM69" i="3479" a="1"/>
  <c r="CM69" i="3479" s="1"/>
  <c r="CN69" i="3479" s="1" a="1"/>
  <c r="CN69" i="3479" s="1"/>
  <c r="AT30" i="3479" a="1"/>
  <c r="AT30" i="3479" s="1"/>
  <c r="AU30" i="3479" s="1" a="1"/>
  <c r="AU30" i="3479" s="1"/>
  <c r="BI23" i="3479" a="1"/>
  <c r="BI23" i="3479" s="1"/>
  <c r="BJ23" i="3479" s="1" a="1"/>
  <c r="BJ23" i="3479" s="1"/>
  <c r="AV101" i="3434" a="1"/>
  <c r="AV101" i="3434" s="1"/>
  <c r="AV114" i="3434" a="1"/>
  <c r="AV114" i="3434" s="1"/>
  <c r="AE49" i="3479" a="1"/>
  <c r="AE49" i="3479" s="1"/>
  <c r="AF49" i="3479" s="1" a="1"/>
  <c r="AF49" i="3479" s="1"/>
  <c r="BI43" i="3479" a="1"/>
  <c r="BI43" i="3479" s="1"/>
  <c r="BJ43" i="3479" s="1" a="1"/>
  <c r="BJ43" i="3479" s="1"/>
  <c r="AT26" i="3479" a="1"/>
  <c r="AT26" i="3479" s="1"/>
  <c r="AU26" i="3479" s="1" a="1"/>
  <c r="AU26" i="3479" s="1"/>
  <c r="AT59" i="3479" a="1"/>
  <c r="AT59" i="3479" s="1"/>
  <c r="AU59" i="3479" s="1" a="1"/>
  <c r="AU59" i="3479" s="1"/>
  <c r="AV131" i="3434" a="1"/>
  <c r="AV131" i="3434" s="1"/>
  <c r="BI68" i="3479" a="1"/>
  <c r="BI68" i="3479" s="1"/>
  <c r="BJ68" i="3479" s="1" a="1"/>
  <c r="BJ68" i="3479" s="1"/>
  <c r="BI55" i="3479" a="1"/>
  <c r="BI55" i="3479" s="1"/>
  <c r="BJ55" i="3479" s="1" a="1"/>
  <c r="BJ55" i="3479" s="1"/>
  <c r="AT61" i="3479" a="1"/>
  <c r="AT61" i="3479" s="1"/>
  <c r="AU61" i="3479" s="1" a="1"/>
  <c r="AU61" i="3479" s="1"/>
  <c r="BI53" i="3479" a="1"/>
  <c r="BI53" i="3479" s="1"/>
  <c r="BJ53" i="3479" s="1" a="1"/>
  <c r="BJ53" i="3479" s="1"/>
  <c r="AE70" i="3479" a="1"/>
  <c r="AE70" i="3479" s="1"/>
  <c r="AF70" i="3479" s="1" a="1"/>
  <c r="AF70" i="3479" s="1"/>
  <c r="AV117" i="3434" a="1"/>
  <c r="AV117" i="3434" s="1"/>
  <c r="AT51" i="3479" a="1"/>
  <c r="AT51" i="3479" s="1"/>
  <c r="AU51" i="3479" s="1" a="1"/>
  <c r="AU51" i="3479" s="1"/>
  <c r="CM64" i="3479" a="1"/>
  <c r="CM64" i="3479" s="1"/>
  <c r="CN64" i="3479" s="1" a="1"/>
  <c r="CN64" i="3479" s="1"/>
  <c r="AE30" i="3479" a="1"/>
  <c r="AE30" i="3479" s="1"/>
  <c r="AF30" i="3479" s="1" a="1"/>
  <c r="AF30" i="3479" s="1"/>
  <c r="AV122" i="3434" a="1"/>
  <c r="AV122" i="3434" s="1"/>
  <c r="BX46" i="3479" a="1"/>
  <c r="BX46" i="3479" s="1"/>
  <c r="BY46" i="3479" s="1" a="1"/>
  <c r="BY46" i="3479" s="1"/>
  <c r="U55" i="3436" a="1"/>
  <c r="U55" i="3436" s="1"/>
  <c r="J57" i="3444" s="1"/>
  <c r="AE23" i="3479" a="1"/>
  <c r="AE23" i="3479" s="1"/>
  <c r="AF23" i="3479" s="1" a="1"/>
  <c r="AF23" i="3479" s="1"/>
  <c r="BX36" i="3479" a="1"/>
  <c r="BX36" i="3479" s="1"/>
  <c r="BY36" i="3479" s="1" a="1"/>
  <c r="BY36" i="3479" s="1"/>
  <c r="CM45" i="3479" a="1"/>
  <c r="CM45" i="3479" s="1"/>
  <c r="CN45" i="3479" s="1" a="1"/>
  <c r="CN45" i="3479" s="1"/>
  <c r="BX44" i="3479" a="1"/>
  <c r="BX44" i="3479" s="1"/>
  <c r="BY44" i="3479" s="1" a="1"/>
  <c r="BY44" i="3479" s="1"/>
  <c r="AE39" i="3479" a="1"/>
  <c r="AE39" i="3479" s="1"/>
  <c r="AF39" i="3479" s="1" a="1"/>
  <c r="AF39" i="3479" s="1"/>
  <c r="AT66" i="3479" a="1"/>
  <c r="AT66" i="3479" s="1"/>
  <c r="AU66" i="3479" s="1" a="1"/>
  <c r="AU66" i="3479" s="1"/>
  <c r="BI56" i="3479" a="1"/>
  <c r="BI56" i="3479" s="1"/>
  <c r="BJ56" i="3479" s="1" a="1"/>
  <c r="BJ56" i="3479" s="1"/>
  <c r="BI44" i="3479" a="1"/>
  <c r="BI44" i="3479" s="1"/>
  <c r="BJ44" i="3479" s="1" a="1"/>
  <c r="BJ44" i="3479" s="1"/>
  <c r="P65" i="3479" a="1"/>
  <c r="P65" i="3479" s="1"/>
  <c r="Q65" i="3479" s="1" a="1"/>
  <c r="Q65" i="3479" s="1"/>
  <c r="I46" i="3436"/>
  <c r="S65" i="3445" s="1" a="1"/>
  <c r="S65" i="3445" s="1"/>
  <c r="T65" i="3445" s="1"/>
  <c r="AT52" i="3479" a="1"/>
  <c r="AT52" i="3479" s="1"/>
  <c r="AU52" i="3479" s="1" a="1"/>
  <c r="AU52" i="3479" s="1"/>
  <c r="CM59" i="3479" a="1"/>
  <c r="CM59" i="3479" s="1"/>
  <c r="CN59" i="3479" s="1" a="1"/>
  <c r="CN59" i="3479" s="1"/>
  <c r="AV128" i="3434" a="1"/>
  <c r="AV128" i="3434" s="1"/>
  <c r="CM57" i="3479" a="1"/>
  <c r="CM57" i="3479" s="1"/>
  <c r="CN57" i="3479" s="1" a="1"/>
  <c r="CN57" i="3479" s="1"/>
  <c r="BX71" i="3479" a="1"/>
  <c r="BX71" i="3479" s="1"/>
  <c r="BY71" i="3479" s="1" a="1"/>
  <c r="BY71" i="3479" s="1"/>
  <c r="AE41" i="3479" a="1"/>
  <c r="AE41" i="3479" s="1"/>
  <c r="AF41" i="3479" s="1" a="1"/>
  <c r="AF41" i="3479" s="1"/>
  <c r="AE48" i="3479" a="1"/>
  <c r="AE48" i="3479" s="1"/>
  <c r="AF48" i="3479" s="1" a="1"/>
  <c r="AF48" i="3479" s="1"/>
  <c r="AT32" i="3479" a="1"/>
  <c r="AT32" i="3479" s="1"/>
  <c r="AU32" i="3479" s="1" a="1"/>
  <c r="AU32" i="3479" s="1"/>
  <c r="BX41" i="3479" a="1"/>
  <c r="BX41" i="3479" s="1"/>
  <c r="BY41" i="3479" s="1" a="1"/>
  <c r="BY41" i="3479" s="1"/>
  <c r="J78" i="3445" a="1"/>
  <c r="J78" i="3445" s="1"/>
  <c r="P78" i="3445" s="1"/>
  <c r="Q78" i="3445" s="1"/>
  <c r="V30" i="3436" a="1"/>
  <c r="V30" i="3436" s="1"/>
  <c r="BI47" i="3479" a="1"/>
  <c r="BI47" i="3479" s="1"/>
  <c r="BJ47" i="3479" s="1" a="1"/>
  <c r="BJ47" i="3479" s="1"/>
  <c r="I33" i="3436"/>
  <c r="S52" i="3445" s="1" a="1"/>
  <c r="S52" i="3445" s="1"/>
  <c r="T52" i="3445" s="1"/>
  <c r="G58" i="3518" a="1"/>
  <c r="G58" i="3518" s="1"/>
  <c r="F58" i="3518" a="1"/>
  <c r="F58" i="3518" s="1"/>
  <c r="T58" i="3518" s="1"/>
  <c r="U165" i="3564"/>
  <c r="V165" i="3564" s="1"/>
  <c r="BA165" i="3564"/>
  <c r="BB165" i="3564" s="1"/>
  <c r="U192" i="3564"/>
  <c r="V192" i="3564" s="1"/>
  <c r="BA192" i="3564"/>
  <c r="BB192" i="3564" s="1"/>
  <c r="U188" i="3564"/>
  <c r="V188" i="3564" s="1"/>
  <c r="BA188" i="3564"/>
  <c r="BB188" i="3564" s="1"/>
  <c r="U172" i="3564"/>
  <c r="V172" i="3564" s="1"/>
  <c r="BA172" i="3564"/>
  <c r="BB172" i="3564" s="1"/>
  <c r="BA102" i="3564"/>
  <c r="BB102" i="3564" s="1"/>
  <c r="U102" i="3564"/>
  <c r="V102" i="3564" s="1"/>
  <c r="BA148" i="3564"/>
  <c r="BB148" i="3564" s="1"/>
  <c r="U148" i="3564"/>
  <c r="V148" i="3564" s="1"/>
  <c r="BI66" i="3479" a="1"/>
  <c r="BI66" i="3479" s="1"/>
  <c r="BJ66" i="3479" s="1" a="1"/>
  <c r="BJ66" i="3479" s="1"/>
  <c r="AT49" i="3479" a="1"/>
  <c r="AT49" i="3479" s="1"/>
  <c r="AU49" i="3479" s="1" a="1"/>
  <c r="AU49" i="3479" s="1"/>
  <c r="AV137" i="3434" a="1"/>
  <c r="AV137" i="3434" s="1"/>
  <c r="AE33" i="3479" a="1"/>
  <c r="AE33" i="3479" s="1"/>
  <c r="AF33" i="3479" s="1" a="1"/>
  <c r="AF33" i="3479" s="1"/>
  <c r="CM40" i="3479" a="1"/>
  <c r="CM40" i="3479" s="1"/>
  <c r="CN40" i="3479" s="1" a="1"/>
  <c r="CN40" i="3479" s="1"/>
  <c r="U228" i="3564"/>
  <c r="V228" i="3564" s="1"/>
  <c r="BA228" i="3564"/>
  <c r="BB228" i="3564" s="1"/>
  <c r="U237" i="3564"/>
  <c r="V237" i="3564" s="1"/>
  <c r="BA237" i="3564"/>
  <c r="BB237" i="3564" s="1"/>
  <c r="G51" i="3518" a="1"/>
  <c r="G51" i="3518" s="1"/>
  <c r="H51" i="3518" s="1"/>
  <c r="J51" i="3518" s="1"/>
  <c r="K51" i="3518" s="1"/>
  <c r="F51" i="3518" a="1"/>
  <c r="F51" i="3518" s="1"/>
  <c r="T51" i="3518" s="1"/>
  <c r="U290" i="3564"/>
  <c r="V290" i="3564" s="1"/>
  <c r="BA290" i="3564"/>
  <c r="BB290" i="3564" s="1"/>
  <c r="U131" i="3564"/>
  <c r="V131" i="3564" s="1"/>
  <c r="BA131" i="3564"/>
  <c r="BB131" i="3564" s="1"/>
  <c r="BA195" i="3564"/>
  <c r="BB195" i="3564" s="1"/>
  <c r="U195" i="3564"/>
  <c r="V195" i="3564" s="1"/>
  <c r="BA67" i="3564"/>
  <c r="BB67" i="3564" s="1"/>
  <c r="BC67" i="3564" s="1"/>
  <c r="U67" i="3564"/>
  <c r="V67" i="3564" s="1"/>
  <c r="BA80" i="3564"/>
  <c r="BB80" i="3564" s="1"/>
  <c r="U80" i="3564"/>
  <c r="V80" i="3564" s="1"/>
  <c r="BA197" i="3564"/>
  <c r="BB197" i="3564" s="1"/>
  <c r="U197" i="3564"/>
  <c r="V197" i="3564" s="1"/>
  <c r="P46" i="3479" a="1"/>
  <c r="P46" i="3479" s="1"/>
  <c r="Q46" i="3479" s="1" a="1"/>
  <c r="Q46" i="3479" s="1"/>
  <c r="BX69" i="3479" a="1"/>
  <c r="BX69" i="3479" s="1"/>
  <c r="BY69" i="3479" s="1" a="1"/>
  <c r="BY69" i="3479" s="1"/>
  <c r="BI69" i="3479" a="1"/>
  <c r="BI69" i="3479" s="1"/>
  <c r="BJ69" i="3479" s="1" a="1"/>
  <c r="BJ69" i="3479" s="1"/>
  <c r="AV135" i="3434" a="1"/>
  <c r="AV135" i="3434" s="1"/>
  <c r="G30" i="3518" a="1"/>
  <c r="G30" i="3518" s="1"/>
  <c r="F30" i="3518" a="1"/>
  <c r="F30" i="3518" s="1"/>
  <c r="T30" i="3518" s="1"/>
  <c r="U208" i="3564"/>
  <c r="V208" i="3564" s="1"/>
  <c r="BA208" i="3564"/>
  <c r="BB208" i="3564" s="1"/>
  <c r="U153" i="3564"/>
  <c r="V153" i="3564" s="1"/>
  <c r="BA153" i="3564"/>
  <c r="BB153" i="3564" s="1"/>
  <c r="BA25" i="3564"/>
  <c r="BB25" i="3564" s="1"/>
  <c r="U25" i="3564"/>
  <c r="V25" i="3564" s="1"/>
  <c r="U286" i="3564"/>
  <c r="V286" i="3564" s="1"/>
  <c r="BA286" i="3564"/>
  <c r="BB286" i="3564" s="1"/>
  <c r="U98" i="3564"/>
  <c r="V98" i="3564" s="1"/>
  <c r="BA98" i="3564"/>
  <c r="BB98" i="3564" s="1"/>
  <c r="BA105" i="3564"/>
  <c r="BB105" i="3564" s="1"/>
  <c r="U105" i="3564"/>
  <c r="V105" i="3564" s="1"/>
  <c r="BA49" i="3564"/>
  <c r="BB49" i="3564" s="1"/>
  <c r="U49" i="3564"/>
  <c r="V49" i="3564" s="1"/>
  <c r="W49" i="3564" s="1"/>
  <c r="BA255" i="3564"/>
  <c r="BB255" i="3564" s="1"/>
  <c r="U255" i="3564"/>
  <c r="V255" i="3564" s="1"/>
  <c r="BA239" i="3564"/>
  <c r="BB239" i="3564" s="1"/>
  <c r="U239" i="3564"/>
  <c r="V239" i="3564" s="1"/>
  <c r="BA231" i="3564"/>
  <c r="BB231" i="3564" s="1"/>
  <c r="U231" i="3564"/>
  <c r="V231" i="3564" s="1"/>
  <c r="U158" i="3564"/>
  <c r="V158" i="3564" s="1"/>
  <c r="BA158" i="3564"/>
  <c r="BB158" i="3564" s="1"/>
  <c r="U147" i="3564"/>
  <c r="V147" i="3564" s="1"/>
  <c r="BA147" i="3564"/>
  <c r="BB147" i="3564" s="1"/>
  <c r="BA291" i="3564"/>
  <c r="BB291" i="3564" s="1"/>
  <c r="U291" i="3564"/>
  <c r="V291" i="3564" s="1"/>
  <c r="G42" i="3518" a="1"/>
  <c r="G42" i="3518" s="1"/>
  <c r="F42" i="3518" a="1"/>
  <c r="F42" i="3518" s="1"/>
  <c r="T42" i="3518" s="1"/>
  <c r="U111" i="3564"/>
  <c r="V111" i="3564" s="1"/>
  <c r="BA111" i="3564"/>
  <c r="BB111" i="3564" s="1"/>
  <c r="BA283" i="3564"/>
  <c r="BB283" i="3564" s="1"/>
  <c r="U283" i="3564"/>
  <c r="V283" i="3564" s="1"/>
  <c r="U246" i="3564"/>
  <c r="V246" i="3564" s="1"/>
  <c r="BA246" i="3564"/>
  <c r="BB246" i="3564" s="1"/>
  <c r="U146" i="3564"/>
  <c r="V146" i="3564" s="1"/>
  <c r="BA146" i="3564"/>
  <c r="BB146" i="3564" s="1"/>
  <c r="U118" i="3564"/>
  <c r="V118" i="3564" s="1"/>
  <c r="BA118" i="3564"/>
  <c r="BB118" i="3564" s="1"/>
  <c r="BA183" i="3564"/>
  <c r="BB183" i="3564" s="1"/>
  <c r="U183" i="3564"/>
  <c r="V183" i="3564" s="1"/>
  <c r="U274" i="3564"/>
  <c r="V274" i="3564" s="1"/>
  <c r="BA274" i="3564"/>
  <c r="BB274" i="3564" s="1"/>
  <c r="BA164" i="3564"/>
  <c r="BB164" i="3564" s="1"/>
  <c r="U164" i="3564"/>
  <c r="V164" i="3564" s="1"/>
  <c r="BA39" i="3564"/>
  <c r="BB39" i="3564" s="1"/>
  <c r="BC39" i="3564" s="1"/>
  <c r="U39" i="3564"/>
  <c r="V39" i="3564" s="1"/>
  <c r="U266" i="3564"/>
  <c r="V266" i="3564" s="1"/>
  <c r="BA266" i="3564"/>
  <c r="BB266" i="3564" s="1"/>
  <c r="U226" i="3564"/>
  <c r="V226" i="3564" s="1"/>
  <c r="BA226" i="3564"/>
  <c r="BB226" i="3564" s="1"/>
  <c r="U139" i="3564"/>
  <c r="V139" i="3564" s="1"/>
  <c r="BA139" i="3564"/>
  <c r="BB139" i="3564" s="1"/>
  <c r="BA171" i="3564"/>
  <c r="BB171" i="3564" s="1"/>
  <c r="U171" i="3564"/>
  <c r="V171" i="3564" s="1"/>
  <c r="U166" i="3564"/>
  <c r="V166" i="3564" s="1"/>
  <c r="BA166" i="3564"/>
  <c r="BB166" i="3564" s="1"/>
  <c r="U213" i="3564"/>
  <c r="V213" i="3564" s="1"/>
  <c r="BA213" i="3564"/>
  <c r="BB213" i="3564" s="1"/>
  <c r="BI24" i="3479" a="1"/>
  <c r="BI24" i="3479" s="1"/>
  <c r="BJ24" i="3479" s="1" a="1"/>
  <c r="BJ24" i="3479" s="1"/>
  <c r="P67" i="3479" a="1"/>
  <c r="P67" i="3479" s="1"/>
  <c r="Q67" i="3479" s="1" a="1"/>
  <c r="Q67" i="3479" s="1"/>
  <c r="AE58" i="3479" a="1"/>
  <c r="AE58" i="3479" s="1"/>
  <c r="AF58" i="3479" s="1" a="1"/>
  <c r="AF58" i="3479" s="1"/>
  <c r="BX33" i="3479" a="1"/>
  <c r="BX33" i="3479" s="1"/>
  <c r="BY33" i="3479" s="1" a="1"/>
  <c r="BY33" i="3479" s="1"/>
  <c r="P55" i="3479" a="1"/>
  <c r="P55" i="3479" s="1"/>
  <c r="Q55" i="3479" s="1" a="1"/>
  <c r="Q55" i="3479" s="1"/>
  <c r="BI42" i="3479" a="1"/>
  <c r="BI42" i="3479" s="1"/>
  <c r="BJ42" i="3479" s="1" a="1"/>
  <c r="BJ42" i="3479" s="1"/>
  <c r="AT36" i="3479" a="1"/>
  <c r="AT36" i="3479" s="1"/>
  <c r="AU36" i="3479" s="1" a="1"/>
  <c r="AU36" i="3479" s="1"/>
  <c r="BA269" i="3564"/>
  <c r="BB269" i="3564" s="1"/>
  <c r="U269" i="3564"/>
  <c r="V269" i="3564" s="1"/>
  <c r="BA287" i="3564"/>
  <c r="BB287" i="3564" s="1"/>
  <c r="U287" i="3564"/>
  <c r="V287" i="3564" s="1"/>
  <c r="U30" i="3564"/>
  <c r="V30" i="3564" s="1"/>
  <c r="BA30" i="3564"/>
  <c r="BB30" i="3564" s="1"/>
  <c r="BC30" i="3564" s="1"/>
  <c r="U288" i="3564"/>
  <c r="V288" i="3564" s="1"/>
  <c r="BA288" i="3564"/>
  <c r="BB288" i="3564" s="1"/>
  <c r="U47" i="3564"/>
  <c r="V47" i="3564" s="1"/>
  <c r="BA47" i="3564"/>
  <c r="BB47" i="3564" s="1"/>
  <c r="BC47" i="3564" s="1"/>
  <c r="U222" i="3564"/>
  <c r="V222" i="3564" s="1"/>
  <c r="BA222" i="3564"/>
  <c r="BB222" i="3564" s="1"/>
  <c r="U244" i="3564"/>
  <c r="V244" i="3564" s="1"/>
  <c r="BA244" i="3564"/>
  <c r="BB244" i="3564" s="1"/>
  <c r="U47" i="3436" a="1"/>
  <c r="U47" i="3436" s="1"/>
  <c r="J49" i="3444" s="1"/>
  <c r="U53" i="3436" a="1"/>
  <c r="U53" i="3436" s="1"/>
  <c r="J55" i="3444" s="1"/>
  <c r="BA185" i="3564"/>
  <c r="BB185" i="3564" s="1"/>
  <c r="U185" i="3564"/>
  <c r="V185" i="3564" s="1"/>
  <c r="U245" i="3564"/>
  <c r="V245" i="3564" s="1"/>
  <c r="BA245" i="3564"/>
  <c r="BB245" i="3564" s="1"/>
  <c r="U163" i="3564"/>
  <c r="V163" i="3564" s="1"/>
  <c r="BA163" i="3564"/>
  <c r="BB163" i="3564" s="1"/>
  <c r="BA112" i="3564"/>
  <c r="BB112" i="3564" s="1"/>
  <c r="U112" i="3564"/>
  <c r="V112" i="3564" s="1"/>
  <c r="BA175" i="3564"/>
  <c r="BB175" i="3564" s="1"/>
  <c r="U175" i="3564"/>
  <c r="V175" i="3564" s="1"/>
  <c r="BA100" i="3564"/>
  <c r="BB100" i="3564" s="1"/>
  <c r="U100" i="3564"/>
  <c r="V100" i="3564" s="1"/>
  <c r="BA41" i="3564"/>
  <c r="BB41" i="3564" s="1"/>
  <c r="BC41" i="3564" s="1"/>
  <c r="U41" i="3564"/>
  <c r="V41" i="3564" s="1"/>
  <c r="BA160" i="3564"/>
  <c r="BB160" i="3564" s="1"/>
  <c r="U160" i="3564"/>
  <c r="V160" i="3564" s="1"/>
  <c r="U103" i="3564"/>
  <c r="V103" i="3564" s="1"/>
  <c r="BA103" i="3564"/>
  <c r="BB103" i="3564" s="1"/>
  <c r="BA94" i="3564"/>
  <c r="BB94" i="3564" s="1"/>
  <c r="U94" i="3564"/>
  <c r="V94" i="3564" s="1"/>
  <c r="U151" i="3564"/>
  <c r="V151" i="3564" s="1"/>
  <c r="BA151" i="3564"/>
  <c r="BB151" i="3564" s="1"/>
  <c r="U236" i="3564"/>
  <c r="V236" i="3564" s="1"/>
  <c r="BA236" i="3564"/>
  <c r="BB236" i="3564" s="1"/>
  <c r="CM50" i="3479" a="1"/>
  <c r="CM50" i="3479" s="1"/>
  <c r="CN50" i="3479" s="1" a="1"/>
  <c r="CN50" i="3479" s="1"/>
  <c r="CM37" i="3479" a="1"/>
  <c r="CM37" i="3479" s="1"/>
  <c r="CN37" i="3479" s="1" a="1"/>
  <c r="CN37" i="3479" s="1"/>
  <c r="BX51" i="3479" a="1"/>
  <c r="BX51" i="3479" s="1"/>
  <c r="BY51" i="3479" s="1" a="1"/>
  <c r="BY51" i="3479" s="1"/>
  <c r="BX50" i="3479" a="1"/>
  <c r="BX50" i="3479" s="1"/>
  <c r="BY50" i="3479" s="1" a="1"/>
  <c r="BY50" i="3479" s="1"/>
  <c r="AT22" i="3479" a="1"/>
  <c r="AT22" i="3479" s="1"/>
  <c r="AU22" i="3479" s="1" a="1"/>
  <c r="AU22" i="3479" s="1"/>
  <c r="BX29" i="3479" a="1"/>
  <c r="BX29" i="3479" s="1"/>
  <c r="BY29" i="3479" s="1" a="1"/>
  <c r="BY29" i="3479" s="1"/>
  <c r="BA225" i="3564"/>
  <c r="BB225" i="3564" s="1"/>
  <c r="U225" i="3564"/>
  <c r="V225" i="3564" s="1"/>
  <c r="U134" i="3564"/>
  <c r="V134" i="3564" s="1"/>
  <c r="BA134" i="3564"/>
  <c r="BB134" i="3564" s="1"/>
  <c r="U214" i="3564"/>
  <c r="V214" i="3564" s="1"/>
  <c r="BA214" i="3564"/>
  <c r="BB214" i="3564" s="1"/>
  <c r="U184" i="3564"/>
  <c r="V184" i="3564" s="1"/>
  <c r="BA184" i="3564"/>
  <c r="BB184" i="3564" s="1"/>
  <c r="BA92" i="3564"/>
  <c r="BB92" i="3564" s="1"/>
  <c r="U92" i="3564"/>
  <c r="V92" i="3564" s="1"/>
  <c r="BR14" i="3564"/>
  <c r="BY13" i="3564"/>
  <c r="BA251" i="3564"/>
  <c r="BB251" i="3564" s="1"/>
  <c r="U251" i="3564"/>
  <c r="V251" i="3564" s="1"/>
  <c r="U218" i="3564"/>
  <c r="V218" i="3564" s="1"/>
  <c r="BA218" i="3564"/>
  <c r="BB218" i="3564" s="1"/>
  <c r="BA219" i="3564"/>
  <c r="BB219" i="3564" s="1"/>
  <c r="U219" i="3564"/>
  <c r="V219" i="3564" s="1"/>
  <c r="BA215" i="3564"/>
  <c r="BB215" i="3564" s="1"/>
  <c r="U215" i="3564"/>
  <c r="V215" i="3564" s="1"/>
  <c r="U174" i="3564"/>
  <c r="V174" i="3564" s="1"/>
  <c r="BA174" i="3564"/>
  <c r="BB174" i="3564" s="1"/>
  <c r="BA211" i="3564"/>
  <c r="BB211" i="3564" s="1"/>
  <c r="U211" i="3564"/>
  <c r="V211" i="3564" s="1"/>
  <c r="U36" i="3564"/>
  <c r="V36" i="3564" s="1"/>
  <c r="BA36" i="3564"/>
  <c r="BB36" i="3564" s="1"/>
  <c r="BC36" i="3564" s="1"/>
  <c r="U254" i="3564"/>
  <c r="V254" i="3564" s="1"/>
  <c r="BA254" i="3564"/>
  <c r="BB254" i="3564" s="1"/>
  <c r="U79" i="3564"/>
  <c r="V79" i="3564" s="1"/>
  <c r="BA79" i="3564"/>
  <c r="BB79" i="3564" s="1"/>
  <c r="U176" i="3564"/>
  <c r="V176" i="3564" s="1"/>
  <c r="BA176" i="3564"/>
  <c r="BB176" i="3564" s="1"/>
  <c r="BA247" i="3564"/>
  <c r="BB247" i="3564" s="1"/>
  <c r="U247" i="3564"/>
  <c r="V247" i="3564" s="1"/>
  <c r="BA64" i="3564"/>
  <c r="BB64" i="3564" s="1"/>
  <c r="U64" i="3564"/>
  <c r="V64" i="3564" s="1"/>
  <c r="W64" i="3564" s="1"/>
  <c r="U143" i="3564"/>
  <c r="V143" i="3564" s="1"/>
  <c r="BA143" i="3564"/>
  <c r="BB143" i="3564" s="1"/>
  <c r="AE25" i="3479" a="1"/>
  <c r="AE25" i="3479" s="1"/>
  <c r="AF25" i="3479" s="1" a="1"/>
  <c r="AF25" i="3479" s="1"/>
  <c r="P64" i="3479" a="1"/>
  <c r="P64" i="3479" s="1"/>
  <c r="Q64" i="3479" s="1" a="1"/>
  <c r="Q64" i="3479" s="1"/>
  <c r="AE44" i="3479" a="1"/>
  <c r="AE44" i="3479" s="1"/>
  <c r="AF44" i="3479" s="1" a="1"/>
  <c r="AF44" i="3479" s="1"/>
  <c r="T27" i="3576"/>
  <c r="CM47" i="3479" a="1"/>
  <c r="CM47" i="3479" s="1"/>
  <c r="CN47" i="3479" s="1" a="1"/>
  <c r="CN47" i="3479" s="1"/>
  <c r="BX67" i="3479" a="1"/>
  <c r="BX67" i="3479" s="1"/>
  <c r="BY67" i="3479" s="1" a="1"/>
  <c r="BY67" i="3479" s="1"/>
  <c r="I79" i="3436"/>
  <c r="S98" i="3445" s="1" a="1"/>
  <c r="S98" i="3445" s="1"/>
  <c r="T98" i="3445" s="1"/>
  <c r="CM28" i="3479" a="1"/>
  <c r="CM28" i="3479" s="1"/>
  <c r="CN28" i="3479" s="1" a="1"/>
  <c r="CN28" i="3479" s="1"/>
  <c r="P66" i="3479" a="1"/>
  <c r="P66" i="3479" s="1"/>
  <c r="Q66" i="3479" s="1" a="1"/>
  <c r="Q66" i="3479" s="1"/>
  <c r="AV141" i="3434" a="1"/>
  <c r="AV141" i="3434" s="1"/>
  <c r="P33" i="3479" a="1"/>
  <c r="P33" i="3479" s="1"/>
  <c r="Q33" i="3479" s="1" a="1"/>
  <c r="Q33" i="3479" s="1"/>
  <c r="P29" i="3479" a="1"/>
  <c r="P29" i="3479" s="1"/>
  <c r="Q29" i="3479" s="1" a="1"/>
  <c r="Q29" i="3479" s="1"/>
  <c r="BX24" i="3479" a="1"/>
  <c r="BX24" i="3479" s="1"/>
  <c r="BY24" i="3479" s="1" a="1"/>
  <c r="BY24" i="3479" s="1"/>
  <c r="CC46" i="3479" a="1"/>
  <c r="CC46" i="3479" s="1"/>
  <c r="CB46" i="3479" a="1"/>
  <c r="CB46" i="3479" s="1"/>
  <c r="CA46" i="3479" a="1"/>
  <c r="CA46" i="3479" s="1"/>
  <c r="U155" i="3564"/>
  <c r="V155" i="3564" s="1"/>
  <c r="BA155" i="3564"/>
  <c r="BB155" i="3564" s="1"/>
  <c r="BO14" i="3564"/>
  <c r="BV13" i="3564"/>
  <c r="U196" i="3564"/>
  <c r="V196" i="3564" s="1"/>
  <c r="BA196" i="3564"/>
  <c r="BB196" i="3564" s="1"/>
  <c r="BA126" i="3564"/>
  <c r="BB126" i="3564" s="1"/>
  <c r="U126" i="3564"/>
  <c r="V126" i="3564" s="1"/>
  <c r="BA114" i="3564"/>
  <c r="BB114" i="3564" s="1"/>
  <c r="U114" i="3564"/>
  <c r="V114" i="3564" s="1"/>
  <c r="BA96" i="3564"/>
  <c r="BB96" i="3564" s="1"/>
  <c r="U96" i="3564"/>
  <c r="V96" i="3564" s="1"/>
  <c r="BA156" i="3564"/>
  <c r="BB156" i="3564" s="1"/>
  <c r="U156" i="3564"/>
  <c r="V156" i="3564" s="1"/>
  <c r="U91" i="3564"/>
  <c r="V91" i="3564" s="1"/>
  <c r="BA91" i="3564"/>
  <c r="BB91" i="3564" s="1"/>
  <c r="U256" i="3564"/>
  <c r="V256" i="3564" s="1"/>
  <c r="BA256" i="3564"/>
  <c r="BB256" i="3564" s="1"/>
  <c r="U210" i="3564"/>
  <c r="V210" i="3564" s="1"/>
  <c r="BA210" i="3564"/>
  <c r="BB210" i="3564" s="1"/>
  <c r="BA205" i="3564"/>
  <c r="BB205" i="3564" s="1"/>
  <c r="U205" i="3564"/>
  <c r="V205" i="3564" s="1"/>
  <c r="U240" i="3564"/>
  <c r="V240" i="3564" s="1"/>
  <c r="BA240" i="3564"/>
  <c r="BB240" i="3564" s="1"/>
  <c r="BA20" i="3564"/>
  <c r="BB20" i="3564" s="1"/>
  <c r="U20" i="3564"/>
  <c r="V20" i="3564" s="1"/>
  <c r="W20" i="3564" s="1"/>
  <c r="U232" i="3564"/>
  <c r="V232" i="3564" s="1"/>
  <c r="BA232" i="3564"/>
  <c r="BB232" i="3564" s="1"/>
  <c r="U16" i="3564"/>
  <c r="V16" i="3564" s="1"/>
  <c r="BA16" i="3564"/>
  <c r="BB16" i="3564" s="1"/>
  <c r="BC16" i="3564" s="1"/>
  <c r="BA189" i="3564"/>
  <c r="BB189" i="3564" s="1"/>
  <c r="U189" i="3564"/>
  <c r="V189" i="3564" s="1"/>
  <c r="U157" i="3564"/>
  <c r="V157" i="3564" s="1"/>
  <c r="BA157" i="3564"/>
  <c r="BB157" i="3564" s="1"/>
  <c r="BA71" i="3564"/>
  <c r="BB71" i="3564" s="1"/>
  <c r="U71" i="3564"/>
  <c r="V71" i="3564" s="1"/>
  <c r="W71" i="3564" s="1"/>
  <c r="U250" i="3564"/>
  <c r="V250" i="3564" s="1"/>
  <c r="BA250" i="3564"/>
  <c r="BB250" i="3564" s="1"/>
  <c r="BA127" i="3564"/>
  <c r="BB127" i="3564" s="1"/>
  <c r="U127" i="3564"/>
  <c r="V127" i="3564" s="1"/>
  <c r="BA257" i="3564"/>
  <c r="BB257" i="3564" s="1"/>
  <c r="U257" i="3564"/>
  <c r="V257" i="3564" s="1"/>
  <c r="U201" i="3564"/>
  <c r="V201" i="3564" s="1"/>
  <c r="BA201" i="3564"/>
  <c r="BB201" i="3564" s="1"/>
  <c r="P22" i="3479" a="1"/>
  <c r="P22" i="3479" s="1"/>
  <c r="Q22" i="3479" s="1" a="1"/>
  <c r="Q22" i="3479" s="1"/>
  <c r="AE32" i="3479" a="1"/>
  <c r="AE32" i="3479" s="1"/>
  <c r="AF32" i="3479" s="1" a="1"/>
  <c r="AF32" i="3479" s="1"/>
  <c r="P68" i="3479" a="1"/>
  <c r="P68" i="3479" s="1"/>
  <c r="Q68" i="3479" s="1" a="1"/>
  <c r="Q68" i="3479" s="1"/>
  <c r="AE56" i="3479" a="1"/>
  <c r="AE56" i="3479" s="1"/>
  <c r="AF56" i="3479" s="1" a="1"/>
  <c r="AF56" i="3479" s="1"/>
  <c r="J21" i="3444"/>
  <c r="AE24" i="3479" a="1"/>
  <c r="AE24" i="3479" s="1"/>
  <c r="AF24" i="3479" s="1" a="1"/>
  <c r="AF24" i="3479" s="1"/>
  <c r="BA223" i="3564"/>
  <c r="BB223" i="3564" s="1"/>
  <c r="U223" i="3564"/>
  <c r="V223" i="3564" s="1"/>
  <c r="BA34" i="3564"/>
  <c r="BB34" i="3564" s="1"/>
  <c r="U34" i="3564"/>
  <c r="V34" i="3564" s="1"/>
  <c r="W34" i="3564" s="1"/>
  <c r="U180" i="3564"/>
  <c r="V180" i="3564" s="1"/>
  <c r="BA180" i="3564"/>
  <c r="BB180" i="3564" s="1"/>
  <c r="BA106" i="3564"/>
  <c r="BB106" i="3564" s="1"/>
  <c r="U106" i="3564"/>
  <c r="V106" i="3564" s="1"/>
  <c r="U58" i="3564"/>
  <c r="V58" i="3564" s="1"/>
  <c r="BA58" i="3564"/>
  <c r="BB58" i="3564" s="1"/>
  <c r="BA241" i="3564"/>
  <c r="BB241" i="3564" s="1"/>
  <c r="U241" i="3564"/>
  <c r="V241" i="3564" s="1"/>
  <c r="BA113" i="3564"/>
  <c r="BB113" i="3564" s="1"/>
  <c r="U113" i="3564"/>
  <c r="V113" i="3564" s="1"/>
  <c r="U150" i="3564"/>
  <c r="V150" i="3564" s="1"/>
  <c r="BA150" i="3564"/>
  <c r="BB150" i="3564" s="1"/>
  <c r="BA122" i="3564"/>
  <c r="BB122" i="3564" s="1"/>
  <c r="U122" i="3564"/>
  <c r="V122" i="3564" s="1"/>
  <c r="U292" i="3564"/>
  <c r="V292" i="3564" s="1"/>
  <c r="BA292" i="3564"/>
  <c r="BB292" i="3564" s="1"/>
  <c r="BA199" i="3564"/>
  <c r="BB199" i="3564" s="1"/>
  <c r="U199" i="3564"/>
  <c r="V199" i="3564" s="1"/>
  <c r="U145" i="3564"/>
  <c r="V145" i="3564" s="1"/>
  <c r="BA145" i="3564"/>
  <c r="BB145" i="3564" s="1"/>
  <c r="BA110" i="3564"/>
  <c r="BB110" i="3564" s="1"/>
  <c r="U110" i="3564"/>
  <c r="V110" i="3564" s="1"/>
  <c r="BA267" i="3564"/>
  <c r="BB267" i="3564" s="1"/>
  <c r="U267" i="3564"/>
  <c r="V267" i="3564" s="1"/>
  <c r="U265" i="3564"/>
  <c r="V265" i="3564" s="1"/>
  <c r="BA265" i="3564"/>
  <c r="BB265" i="3564" s="1"/>
  <c r="U242" i="3564"/>
  <c r="V242" i="3564" s="1"/>
  <c r="BA242" i="3564"/>
  <c r="BB242" i="3564" s="1"/>
  <c r="BA53" i="3564"/>
  <c r="BB53" i="3564" s="1"/>
  <c r="BC53" i="3564" s="1"/>
  <c r="BE12" i="3564" s="1"/>
  <c r="U53" i="3564"/>
  <c r="V53" i="3564" s="1"/>
  <c r="BA78" i="3564"/>
  <c r="BB78" i="3564" s="1"/>
  <c r="U78" i="3564"/>
  <c r="V78" i="3564" s="1"/>
  <c r="BA273" i="3564"/>
  <c r="BB273" i="3564" s="1"/>
  <c r="U273" i="3564"/>
  <c r="V273" i="3564" s="1"/>
  <c r="U253" i="3564"/>
  <c r="V253" i="3564" s="1"/>
  <c r="BA253" i="3564"/>
  <c r="BB253" i="3564" s="1"/>
  <c r="BA136" i="3564"/>
  <c r="BB136" i="3564" s="1"/>
  <c r="U136" i="3564"/>
  <c r="V136" i="3564" s="1"/>
  <c r="U186" i="3564"/>
  <c r="V186" i="3564" s="1"/>
  <c r="BA186" i="3564"/>
  <c r="BB186" i="3564" s="1"/>
  <c r="AI12" i="3564"/>
  <c r="AH12" i="3564"/>
  <c r="AL12" i="3564"/>
  <c r="AK12" i="3564"/>
  <c r="AM12" i="3564"/>
  <c r="AG12" i="3564"/>
  <c r="BA169" i="3564"/>
  <c r="BB169" i="3564" s="1"/>
  <c r="U169" i="3564"/>
  <c r="V169" i="3564" s="1"/>
  <c r="AJ13" i="3564"/>
  <c r="U230" i="3564"/>
  <c r="V230" i="3564" s="1"/>
  <c r="BA230" i="3564"/>
  <c r="BB230" i="3564" s="1"/>
  <c r="U280" i="3564"/>
  <c r="V280" i="3564" s="1"/>
  <c r="BA280" i="3564"/>
  <c r="BB280" i="3564" s="1"/>
  <c r="U51" i="3564"/>
  <c r="V51" i="3564" s="1"/>
  <c r="BA51" i="3564"/>
  <c r="BB51" i="3564" s="1"/>
  <c r="BC51" i="3564" s="1"/>
  <c r="U89" i="3564"/>
  <c r="V89" i="3564" s="1"/>
  <c r="BA89" i="3564"/>
  <c r="BB89" i="3564" s="1"/>
  <c r="BU13" i="3564"/>
  <c r="BN14" i="3564"/>
  <c r="U125" i="3564"/>
  <c r="V125" i="3564" s="1"/>
  <c r="BA125" i="3564"/>
  <c r="BB125" i="3564" s="1"/>
  <c r="BX23" i="3479" a="1"/>
  <c r="BX23" i="3479" s="1"/>
  <c r="BY23" i="3479" s="1" a="1"/>
  <c r="BY23" i="3479" s="1"/>
  <c r="U190" i="3564"/>
  <c r="V190" i="3564" s="1"/>
  <c r="BA190" i="3564"/>
  <c r="BB190" i="3564" s="1"/>
  <c r="U161" i="3564"/>
  <c r="V161" i="3564" s="1"/>
  <c r="BA161" i="3564"/>
  <c r="BB161" i="3564" s="1"/>
  <c r="BA116" i="3564"/>
  <c r="BB116" i="3564" s="1"/>
  <c r="U116" i="3564"/>
  <c r="V116" i="3564" s="1"/>
  <c r="U141" i="3564"/>
  <c r="V141" i="3564" s="1"/>
  <c r="BA141" i="3564"/>
  <c r="BB141" i="3564" s="1"/>
  <c r="U206" i="3564"/>
  <c r="V206" i="3564" s="1"/>
  <c r="BA206" i="3564"/>
  <c r="BB206" i="3564" s="1"/>
  <c r="U55" i="3564"/>
  <c r="V55" i="3564" s="1"/>
  <c r="W55" i="3564" s="1"/>
  <c r="BA55" i="3564"/>
  <c r="BB55" i="3564" s="1"/>
  <c r="BA168" i="3564"/>
  <c r="BB168" i="3564" s="1"/>
  <c r="U168" i="3564"/>
  <c r="V168" i="3564" s="1"/>
  <c r="BA76" i="3564"/>
  <c r="BB76" i="3564" s="1"/>
  <c r="U76" i="3564"/>
  <c r="V76" i="3564" s="1"/>
  <c r="U252" i="3564"/>
  <c r="V252" i="3564" s="1"/>
  <c r="BA252" i="3564"/>
  <c r="BB252" i="3564" s="1"/>
  <c r="BQ14" i="3564"/>
  <c r="BX13" i="3564"/>
  <c r="U248" i="3564"/>
  <c r="V248" i="3564" s="1"/>
  <c r="BA248" i="3564"/>
  <c r="BB248" i="3564" s="1"/>
  <c r="U70" i="3564"/>
  <c r="V70" i="3564" s="1"/>
  <c r="W70" i="3564" s="1"/>
  <c r="BA70" i="3564"/>
  <c r="BB70" i="3564" s="1"/>
  <c r="BX49" i="3479" a="1"/>
  <c r="BX49" i="3479" s="1"/>
  <c r="BY49" i="3479" s="1" a="1"/>
  <c r="BY49" i="3479" s="1"/>
  <c r="J71" i="3444"/>
  <c r="CM34" i="3479" a="1"/>
  <c r="CM34" i="3479" s="1"/>
  <c r="CN34" i="3479" s="1" a="1"/>
  <c r="CN34" i="3479" s="1"/>
  <c r="I78" i="3436"/>
  <c r="V78" i="3436" s="1" a="1"/>
  <c r="V78" i="3436" s="1"/>
  <c r="AV104" i="3434" a="1"/>
  <c r="AV104" i="3434" s="1"/>
  <c r="U220" i="3564"/>
  <c r="V220" i="3564" s="1"/>
  <c r="BA220" i="3564"/>
  <c r="BB220" i="3564" s="1"/>
  <c r="U216" i="3564"/>
  <c r="V216" i="3564" s="1"/>
  <c r="BA216" i="3564"/>
  <c r="BB216" i="3564" s="1"/>
  <c r="U212" i="3564"/>
  <c r="V212" i="3564" s="1"/>
  <c r="BA212" i="3564"/>
  <c r="BB212" i="3564" s="1"/>
  <c r="BA289" i="3564"/>
  <c r="BB289" i="3564" s="1"/>
  <c r="U289" i="3564"/>
  <c r="V289" i="3564" s="1"/>
  <c r="I58" i="3436"/>
  <c r="S77" i="3445" s="1" a="1"/>
  <c r="S77" i="3445" s="1"/>
  <c r="T77" i="3445" s="1"/>
  <c r="U200" i="3564"/>
  <c r="V200" i="3564" s="1"/>
  <c r="BA200" i="3564"/>
  <c r="BB200" i="3564" s="1"/>
  <c r="U194" i="3564"/>
  <c r="V194" i="3564" s="1"/>
  <c r="BA194" i="3564"/>
  <c r="BB194" i="3564" s="1"/>
  <c r="BA179" i="3564"/>
  <c r="BB179" i="3564" s="1"/>
  <c r="U179" i="3564"/>
  <c r="V179" i="3564" s="1"/>
  <c r="BA27" i="3564"/>
  <c r="BB27" i="3564" s="1"/>
  <c r="U27" i="3564"/>
  <c r="V27" i="3564" s="1"/>
  <c r="W27" i="3564" s="1"/>
  <c r="BA275" i="3564"/>
  <c r="BB275" i="3564" s="1"/>
  <c r="U275" i="3564"/>
  <c r="V275" i="3564" s="1"/>
  <c r="BA65" i="3564"/>
  <c r="BB65" i="3564" s="1"/>
  <c r="U65" i="3564"/>
  <c r="V65" i="3564" s="1"/>
  <c r="W65" i="3564" s="1"/>
  <c r="BA173" i="3564"/>
  <c r="BB173" i="3564" s="1"/>
  <c r="U173" i="3564"/>
  <c r="V173" i="3564" s="1"/>
  <c r="BA45" i="3564"/>
  <c r="BB45" i="3564" s="1"/>
  <c r="BC45" i="3564" s="1"/>
  <c r="U45" i="3564"/>
  <c r="V45" i="3564" s="1"/>
  <c r="BA259" i="3564"/>
  <c r="BB259" i="3564" s="1"/>
  <c r="U259" i="3564"/>
  <c r="V259" i="3564" s="1"/>
  <c r="U234" i="3564"/>
  <c r="V234" i="3564" s="1"/>
  <c r="BA234" i="3564"/>
  <c r="BB234" i="3564" s="1"/>
  <c r="BA124" i="3564"/>
  <c r="BB124" i="3564" s="1"/>
  <c r="U124" i="3564"/>
  <c r="V124" i="3564" s="1"/>
  <c r="BA37" i="3564"/>
  <c r="BB37" i="3564" s="1"/>
  <c r="U37" i="3564"/>
  <c r="V37" i="3564" s="1"/>
  <c r="W37" i="3564" s="1"/>
  <c r="Z12" i="3564" s="1"/>
  <c r="BA249" i="3564"/>
  <c r="BB249" i="3564" s="1"/>
  <c r="U249" i="3564"/>
  <c r="V249" i="3564" s="1"/>
  <c r="BA233" i="3564"/>
  <c r="BB233" i="3564" s="1"/>
  <c r="U233" i="3564"/>
  <c r="V233" i="3564" s="1"/>
  <c r="CM44" i="3479" a="1"/>
  <c r="CM44" i="3479" s="1"/>
  <c r="CN44" i="3479" s="1" a="1"/>
  <c r="CN44" i="3479" s="1"/>
  <c r="AE40" i="3479" a="1"/>
  <c r="AE40" i="3479" s="1"/>
  <c r="AF40" i="3479" s="1" a="1"/>
  <c r="AF40" i="3479" s="1"/>
  <c r="BX26" i="3479" a="1"/>
  <c r="BX26" i="3479" s="1"/>
  <c r="BY26" i="3479" s="1" a="1"/>
  <c r="BY26" i="3479" s="1"/>
  <c r="BX43" i="3479" a="1"/>
  <c r="BX43" i="3479" s="1"/>
  <c r="BY43" i="3479" s="1" a="1"/>
  <c r="BY43" i="3479" s="1"/>
  <c r="AE69" i="3479" a="1"/>
  <c r="AE69" i="3479" s="1"/>
  <c r="AF69" i="3479" s="1" a="1"/>
  <c r="AF69" i="3479" s="1"/>
  <c r="BX54" i="3479" a="1"/>
  <c r="BX54" i="3479" s="1"/>
  <c r="BY54" i="3479" s="1" a="1"/>
  <c r="BY54" i="3479" s="1"/>
  <c r="P69" i="3479" a="1"/>
  <c r="P69" i="3479" s="1"/>
  <c r="Q69" i="3479" s="1" a="1"/>
  <c r="Q69" i="3479" s="1"/>
  <c r="BA279" i="3564"/>
  <c r="BB279" i="3564" s="1"/>
  <c r="U279" i="3564"/>
  <c r="V279" i="3564" s="1"/>
  <c r="BA72" i="3564"/>
  <c r="BB72" i="3564" s="1"/>
  <c r="U72" i="3564"/>
  <c r="V72" i="3564" s="1"/>
  <c r="W72" i="3564" s="1"/>
  <c r="BA59" i="3564"/>
  <c r="BB59" i="3564" s="1"/>
  <c r="U59" i="3564"/>
  <c r="V59" i="3564" s="1"/>
  <c r="W59" i="3564" s="1"/>
  <c r="BA281" i="3564"/>
  <c r="BB281" i="3564" s="1"/>
  <c r="U281" i="3564"/>
  <c r="V281" i="3564" s="1"/>
  <c r="U178" i="3564"/>
  <c r="V178" i="3564" s="1"/>
  <c r="BA178" i="3564"/>
  <c r="BB178" i="3564" s="1"/>
  <c r="BA35" i="3564"/>
  <c r="BB35" i="3564" s="1"/>
  <c r="BC35" i="3564" s="1"/>
  <c r="U35" i="3564"/>
  <c r="V35" i="3564" s="1"/>
  <c r="BA227" i="3564"/>
  <c r="BB227" i="3564" s="1"/>
  <c r="U227" i="3564"/>
  <c r="V227" i="3564" s="1"/>
  <c r="U154" i="3564"/>
  <c r="V154" i="3564" s="1"/>
  <c r="BA154" i="3564"/>
  <c r="BB154" i="3564" s="1"/>
  <c r="U224" i="3564"/>
  <c r="V224" i="3564" s="1"/>
  <c r="BA224" i="3564"/>
  <c r="BB224" i="3564" s="1"/>
  <c r="BA128" i="3564"/>
  <c r="BB128" i="3564" s="1"/>
  <c r="U128" i="3564"/>
  <c r="V128" i="3564" s="1"/>
  <c r="BA203" i="3564"/>
  <c r="BB203" i="3564" s="1"/>
  <c r="U203" i="3564"/>
  <c r="V203" i="3564" s="1"/>
  <c r="U159" i="3564"/>
  <c r="V159" i="3564" s="1"/>
  <c r="BA159" i="3564"/>
  <c r="BB159" i="3564" s="1"/>
  <c r="BA263" i="3564"/>
  <c r="BB263" i="3564" s="1"/>
  <c r="U263" i="3564"/>
  <c r="V263" i="3564" s="1"/>
  <c r="BA271" i="3564"/>
  <c r="BB271" i="3564" s="1"/>
  <c r="U271" i="3564"/>
  <c r="V271" i="3564" s="1"/>
  <c r="BA90" i="3564"/>
  <c r="BB90" i="3564" s="1"/>
  <c r="U90" i="3564"/>
  <c r="V90" i="3564" s="1"/>
  <c r="U170" i="3564"/>
  <c r="V170" i="3564" s="1"/>
  <c r="BA170" i="3564"/>
  <c r="BB170" i="3564" s="1"/>
  <c r="U268" i="3564"/>
  <c r="V268" i="3564" s="1"/>
  <c r="BA268" i="3564"/>
  <c r="BB268" i="3564" s="1"/>
  <c r="BA74" i="3564"/>
  <c r="BB74" i="3564" s="1"/>
  <c r="U74" i="3564"/>
  <c r="V74" i="3564" s="1"/>
  <c r="W74" i="3564" s="1"/>
  <c r="AE38" i="3479" a="1"/>
  <c r="AE38" i="3479" s="1"/>
  <c r="AF38" i="3479" s="1" a="1"/>
  <c r="AF38" i="3479" s="1"/>
  <c r="S48" i="3445" a="1"/>
  <c r="S48" i="3445" s="1"/>
  <c r="T48" i="3445" s="1"/>
  <c r="CM65" i="3479" a="1"/>
  <c r="CM65" i="3479" s="1"/>
  <c r="CN65" i="3479" s="1" a="1"/>
  <c r="CN65" i="3479" s="1"/>
  <c r="AE26" i="3479" a="1"/>
  <c r="AE26" i="3479" s="1"/>
  <c r="AF26" i="3479" s="1" a="1"/>
  <c r="AF26" i="3479" s="1"/>
  <c r="U22" i="3564"/>
  <c r="V22" i="3564" s="1"/>
  <c r="BA22" i="3564"/>
  <c r="BB22" i="3564" s="1"/>
  <c r="BC22" i="3564" s="1"/>
  <c r="U193" i="3564"/>
  <c r="V193" i="3564" s="1"/>
  <c r="BA193" i="3564"/>
  <c r="BB193" i="3564" s="1"/>
  <c r="BA191" i="3564"/>
  <c r="BB191" i="3564" s="1"/>
  <c r="U191" i="3564"/>
  <c r="V191" i="3564" s="1"/>
  <c r="BA187" i="3564"/>
  <c r="BB187" i="3564" s="1"/>
  <c r="U187" i="3564"/>
  <c r="V187" i="3564" s="1"/>
  <c r="U137" i="3564"/>
  <c r="V137" i="3564" s="1"/>
  <c r="BA137" i="3564"/>
  <c r="BB137" i="3564" s="1"/>
  <c r="U276" i="3564"/>
  <c r="V276" i="3564" s="1"/>
  <c r="BA276" i="3564"/>
  <c r="BB276" i="3564" s="1"/>
  <c r="BA135" i="3564"/>
  <c r="BB135" i="3564" s="1"/>
  <c r="U135" i="3564"/>
  <c r="V135" i="3564" s="1"/>
  <c r="BA68" i="3564"/>
  <c r="BB68" i="3564" s="1"/>
  <c r="BC68" i="3564" s="1"/>
  <c r="U68" i="3564"/>
  <c r="V68" i="3564" s="1"/>
  <c r="BA66" i="3564"/>
  <c r="BB66" i="3564" s="1"/>
  <c r="U66" i="3564"/>
  <c r="V66" i="3564" s="1"/>
  <c r="W66" i="3564" s="1"/>
  <c r="I72" i="3436"/>
  <c r="S91" i="3445" s="1" a="1"/>
  <c r="S91" i="3445" s="1"/>
  <c r="T91" i="3445" s="1"/>
  <c r="AE61" i="3479" a="1"/>
  <c r="AE61" i="3479" s="1"/>
  <c r="AF61" i="3479" s="1" a="1"/>
  <c r="AF61" i="3479" s="1"/>
  <c r="AT71" i="3479" a="1"/>
  <c r="AT71" i="3479" s="1"/>
  <c r="AU71" i="3479" s="1" a="1"/>
  <c r="AU71" i="3479" s="1"/>
  <c r="BX31" i="3479" a="1"/>
  <c r="BX31" i="3479" s="1"/>
  <c r="BY31" i="3479" s="1" a="1"/>
  <c r="BY31" i="3479" s="1"/>
  <c r="CM66" i="3479" a="1"/>
  <c r="CM66" i="3479" s="1"/>
  <c r="CN66" i="3479" s="1" a="1"/>
  <c r="CN66" i="3479" s="1"/>
  <c r="AV107" i="3434" a="1"/>
  <c r="AV107" i="3434" s="1"/>
  <c r="BX53" i="3479" a="1"/>
  <c r="BX53" i="3479" s="1"/>
  <c r="BY53" i="3479" s="1" a="1"/>
  <c r="BY53" i="3479" s="1"/>
  <c r="AT45" i="3479" a="1"/>
  <c r="AT45" i="3479" s="1"/>
  <c r="AU45" i="3479" s="1" a="1"/>
  <c r="AU45" i="3479" s="1"/>
  <c r="BA209" i="3564"/>
  <c r="BB209" i="3564" s="1"/>
  <c r="U209" i="3564"/>
  <c r="V209" i="3564" s="1"/>
  <c r="BA207" i="3564"/>
  <c r="BB207" i="3564" s="1"/>
  <c r="U207" i="3564"/>
  <c r="V207" i="3564" s="1"/>
  <c r="U130" i="3564"/>
  <c r="V130" i="3564" s="1"/>
  <c r="BA130" i="3564"/>
  <c r="BB130" i="3564" s="1"/>
  <c r="BA69" i="3564"/>
  <c r="BB69" i="3564" s="1"/>
  <c r="U69" i="3564"/>
  <c r="V69" i="3564" s="1"/>
  <c r="W69" i="3564" s="1"/>
  <c r="U270" i="3564"/>
  <c r="V270" i="3564" s="1"/>
  <c r="BA270" i="3564"/>
  <c r="BB270" i="3564" s="1"/>
  <c r="BA120" i="3564"/>
  <c r="BB120" i="3564" s="1"/>
  <c r="U120" i="3564"/>
  <c r="V120" i="3564" s="1"/>
  <c r="U258" i="3564"/>
  <c r="V258" i="3564" s="1"/>
  <c r="BA258" i="3564"/>
  <c r="BB258" i="3564" s="1"/>
  <c r="BA123" i="3564"/>
  <c r="BB123" i="3564" s="1"/>
  <c r="U123" i="3564"/>
  <c r="V123" i="3564" s="1"/>
  <c r="U278" i="3564"/>
  <c r="V278" i="3564" s="1"/>
  <c r="BA278" i="3564"/>
  <c r="BB278" i="3564" s="1"/>
  <c r="Y12" i="3564"/>
  <c r="BX57" i="3479" a="1"/>
  <c r="BX57" i="3479" s="1"/>
  <c r="BY57" i="3479" s="1" a="1"/>
  <c r="BY57" i="3479" s="1"/>
  <c r="AE42" i="3479" a="1"/>
  <c r="AE42" i="3479" s="1"/>
  <c r="AF42" i="3479" s="1" a="1"/>
  <c r="AF42" i="3479" s="1"/>
  <c r="P47" i="3479" a="1"/>
  <c r="P47" i="3479" s="1"/>
  <c r="Q47" i="3479" s="1" a="1"/>
  <c r="Q47" i="3479" s="1"/>
  <c r="CM31" i="3479" a="1"/>
  <c r="CM31" i="3479" s="1"/>
  <c r="CN31" i="3479" s="1" a="1"/>
  <c r="CN31" i="3479" s="1"/>
  <c r="AT38" i="3479" a="1"/>
  <c r="AT38" i="3479" s="1"/>
  <c r="AU38" i="3479" s="1" a="1"/>
  <c r="AU38" i="3479" s="1"/>
  <c r="AT33" i="3479" a="1"/>
  <c r="AT33" i="3479" s="1"/>
  <c r="AU33" i="3479" s="1" a="1"/>
  <c r="AU33" i="3479" s="1"/>
  <c r="AV115" i="3434" a="1"/>
  <c r="AV115" i="3434" s="1"/>
  <c r="U138" i="3564"/>
  <c r="V138" i="3564" s="1"/>
  <c r="BA138" i="3564"/>
  <c r="BB138" i="3564" s="1"/>
  <c r="BD12" i="3564"/>
  <c r="BF12" i="3564"/>
  <c r="U121" i="3564"/>
  <c r="V121" i="3564" s="1"/>
  <c r="BA121" i="3564"/>
  <c r="BB121" i="3564" s="1"/>
  <c r="U229" i="3564"/>
  <c r="V229" i="3564" s="1"/>
  <c r="BA229" i="3564"/>
  <c r="BB229" i="3564" s="1"/>
  <c r="BA262" i="3564"/>
  <c r="BB262" i="3564" s="1"/>
  <c r="U262" i="3564"/>
  <c r="V262" i="3564" s="1"/>
  <c r="U43" i="3564"/>
  <c r="V43" i="3564" s="1"/>
  <c r="W43" i="3564" s="1"/>
  <c r="BA43" i="3564"/>
  <c r="BB43" i="3564" s="1"/>
  <c r="U238" i="3564"/>
  <c r="V238" i="3564" s="1"/>
  <c r="BA238" i="3564"/>
  <c r="BB238" i="3564" s="1"/>
  <c r="U284" i="3564"/>
  <c r="V284" i="3564" s="1"/>
  <c r="BA284" i="3564"/>
  <c r="BB284" i="3564" s="1"/>
  <c r="U149" i="3564"/>
  <c r="V149" i="3564" s="1"/>
  <c r="BA149" i="3564"/>
  <c r="BB149" i="3564" s="1"/>
  <c r="U182" i="3564"/>
  <c r="V182" i="3564" s="1"/>
  <c r="BA182" i="3564"/>
  <c r="BB182" i="3564" s="1"/>
  <c r="BA88" i="3564"/>
  <c r="BB88" i="3564" s="1"/>
  <c r="U88" i="3564"/>
  <c r="V88" i="3564" s="1"/>
  <c r="U63" i="3564"/>
  <c r="V63" i="3564" s="1"/>
  <c r="BA63" i="3564"/>
  <c r="BB63" i="3564" s="1"/>
  <c r="BA152" i="3564"/>
  <c r="BB152" i="3564" s="1"/>
  <c r="U152" i="3564"/>
  <c r="V152" i="3564" s="1"/>
  <c r="BA132" i="3564"/>
  <c r="BB132" i="3564" s="1"/>
  <c r="U132" i="3564"/>
  <c r="V132" i="3564" s="1"/>
  <c r="BA86" i="3564"/>
  <c r="BB86" i="3564" s="1"/>
  <c r="U86" i="3564"/>
  <c r="V86" i="3564" s="1"/>
  <c r="U202" i="3564"/>
  <c r="V202" i="3564" s="1"/>
  <c r="BA202" i="3564"/>
  <c r="BB202" i="3564" s="1"/>
  <c r="BA285" i="3564"/>
  <c r="BB285" i="3564" s="1"/>
  <c r="U285" i="3564"/>
  <c r="V285" i="3564" s="1"/>
  <c r="U198" i="3564"/>
  <c r="V198" i="3564" s="1"/>
  <c r="BA198" i="3564"/>
  <c r="BB198" i="3564" s="1"/>
  <c r="U83" i="3564"/>
  <c r="V83" i="3564" s="1"/>
  <c r="BA83" i="3564"/>
  <c r="BB83" i="3564" s="1"/>
  <c r="BA277" i="3564"/>
  <c r="BB277" i="3564" s="1"/>
  <c r="U277" i="3564"/>
  <c r="V277" i="3564" s="1"/>
  <c r="U75" i="3564"/>
  <c r="V75" i="3564" s="1"/>
  <c r="BA75" i="3564"/>
  <c r="BB75" i="3564" s="1"/>
  <c r="V66" i="3436" a="1"/>
  <c r="V66" i="3436" s="1"/>
  <c r="I40" i="3436"/>
  <c r="S59" i="3445" s="1" a="1"/>
  <c r="S59" i="3445" s="1"/>
  <c r="T59" i="3445" s="1"/>
  <c r="P60" i="3479" a="1"/>
  <c r="P60" i="3479" s="1"/>
  <c r="Q60" i="3479" s="1" a="1"/>
  <c r="Q60" i="3479" s="1"/>
  <c r="AV133" i="3434" a="1"/>
  <c r="AV133" i="3434" s="1"/>
  <c r="U48" i="3436" a="1"/>
  <c r="U48" i="3436" s="1"/>
  <c r="J50" i="3444" s="1"/>
  <c r="BA181" i="3564"/>
  <c r="BB181" i="3564" s="1"/>
  <c r="U181" i="3564"/>
  <c r="V181" i="3564" s="1"/>
  <c r="U142" i="3564"/>
  <c r="V142" i="3564" s="1"/>
  <c r="BA142" i="3564"/>
  <c r="BB142" i="3564" s="1"/>
  <c r="BA108" i="3564"/>
  <c r="BB108" i="3564" s="1"/>
  <c r="U108" i="3564"/>
  <c r="V108" i="3564" s="1"/>
  <c r="U264" i="3564"/>
  <c r="V264" i="3564" s="1"/>
  <c r="BA264" i="3564"/>
  <c r="BB264" i="3564" s="1"/>
  <c r="BA243" i="3564"/>
  <c r="BB243" i="3564" s="1"/>
  <c r="U243" i="3564"/>
  <c r="V243" i="3564" s="1"/>
  <c r="U162" i="3564"/>
  <c r="V162" i="3564" s="1"/>
  <c r="BA162" i="3564"/>
  <c r="BB162" i="3564" s="1"/>
  <c r="U261" i="3564"/>
  <c r="V261" i="3564" s="1"/>
  <c r="BA261" i="3564"/>
  <c r="BB261" i="3564" s="1"/>
  <c r="U117" i="3564"/>
  <c r="V117" i="3564" s="1"/>
  <c r="BA117" i="3564"/>
  <c r="BB117" i="3564" s="1"/>
  <c r="BA144" i="3564"/>
  <c r="BB144" i="3564" s="1"/>
  <c r="U144" i="3564"/>
  <c r="V144" i="3564" s="1"/>
  <c r="U272" i="3564"/>
  <c r="V272" i="3564" s="1"/>
  <c r="BA272" i="3564"/>
  <c r="BB272" i="3564" s="1"/>
  <c r="BA84" i="3564"/>
  <c r="BB84" i="3564" s="1"/>
  <c r="U84" i="3564"/>
  <c r="V84" i="3564" s="1"/>
  <c r="U260" i="3564"/>
  <c r="V260" i="3564" s="1"/>
  <c r="BA260" i="3564"/>
  <c r="BB260" i="3564" s="1"/>
  <c r="U82" i="3564"/>
  <c r="V82" i="3564" s="1"/>
  <c r="BA82" i="3564"/>
  <c r="BB82" i="3564" s="1"/>
  <c r="BA235" i="3564"/>
  <c r="BB235" i="3564" s="1"/>
  <c r="U235" i="3564"/>
  <c r="V235" i="3564" s="1"/>
  <c r="U129" i="3564"/>
  <c r="V129" i="3564" s="1"/>
  <c r="BA129" i="3564"/>
  <c r="BB129" i="3564" s="1"/>
  <c r="AT58" i="3479" a="1"/>
  <c r="AT58" i="3479" s="1"/>
  <c r="AU58" i="3479" s="1" a="1"/>
  <c r="AU58" i="3479" s="1"/>
  <c r="AT53" i="3479" a="1"/>
  <c r="AT53" i="3479" s="1"/>
  <c r="AU53" i="3479" s="1" a="1"/>
  <c r="AU53" i="3479" s="1"/>
  <c r="P34" i="3479" a="1"/>
  <c r="P34" i="3479" s="1"/>
  <c r="Q34" i="3479" s="1" a="1"/>
  <c r="Q34" i="3479" s="1"/>
  <c r="AE68" i="3479" a="1"/>
  <c r="AE68" i="3479" s="1"/>
  <c r="AF68" i="3479" s="1" a="1"/>
  <c r="AF68" i="3479" s="1"/>
  <c r="BI36" i="3479" a="1"/>
  <c r="BI36" i="3479" s="1"/>
  <c r="BJ36" i="3479" s="1" a="1"/>
  <c r="BJ36" i="3479" s="1"/>
  <c r="CM30" i="3479" a="1"/>
  <c r="CM30" i="3479" s="1"/>
  <c r="CN30" i="3479" s="1" a="1"/>
  <c r="CN30" i="3479" s="1"/>
  <c r="BA217" i="3564"/>
  <c r="BB217" i="3564" s="1"/>
  <c r="U217" i="3564"/>
  <c r="V217" i="3564" s="1"/>
  <c r="U167" i="3564"/>
  <c r="V167" i="3564" s="1"/>
  <c r="BA167" i="3564"/>
  <c r="BB167" i="3564" s="1"/>
  <c r="U204" i="3564"/>
  <c r="V204" i="3564" s="1"/>
  <c r="BA204" i="3564"/>
  <c r="BB204" i="3564" s="1"/>
  <c r="U221" i="3564"/>
  <c r="V221" i="3564" s="1"/>
  <c r="BA221" i="3564"/>
  <c r="BB221" i="3564" s="1"/>
  <c r="BA104" i="3564"/>
  <c r="BB104" i="3564" s="1"/>
  <c r="U104" i="3564"/>
  <c r="V104" i="3564" s="1"/>
  <c r="U133" i="3564"/>
  <c r="V133" i="3564" s="1"/>
  <c r="BA133" i="3564"/>
  <c r="BB133" i="3564" s="1"/>
  <c r="U95" i="3564"/>
  <c r="V95" i="3564" s="1"/>
  <c r="BA95" i="3564"/>
  <c r="BB95" i="3564" s="1"/>
  <c r="BA97" i="3564"/>
  <c r="BB97" i="3564" s="1"/>
  <c r="U97" i="3564"/>
  <c r="V97" i="3564" s="1"/>
  <c r="U282" i="3564"/>
  <c r="V282" i="3564" s="1"/>
  <c r="BA282" i="3564"/>
  <c r="BB282" i="3564" s="1"/>
  <c r="BA140" i="3564"/>
  <c r="BB140" i="3564" s="1"/>
  <c r="U140" i="3564"/>
  <c r="V140" i="3564" s="1"/>
  <c r="J38" i="3445" a="1"/>
  <c r="J38" i="3445" s="1"/>
  <c r="S43" i="3445" a="1"/>
  <c r="S43" i="3445" s="1"/>
  <c r="T43" i="3445" s="1"/>
  <c r="AF51" i="3419" a="1"/>
  <c r="AF51" i="3419" s="1"/>
  <c r="AK51" i="3419" a="1"/>
  <c r="AK51" i="3419" s="1"/>
  <c r="EZ70" i="3479" a="1"/>
  <c r="EZ70" i="3479" s="1"/>
  <c r="EY70" i="3479" a="1"/>
  <c r="EY70" i="3479" s="1"/>
  <c r="EX70" i="3479" a="1"/>
  <c r="EX70" i="3479" s="1"/>
  <c r="AY128" i="3528"/>
  <c r="AI128" i="3528"/>
  <c r="I72" i="3444"/>
  <c r="U70" i="3436" a="1"/>
  <c r="U70" i="3436" s="1"/>
  <c r="J72" i="3444" s="1"/>
  <c r="AG124" i="3528"/>
  <c r="AW124" i="3528"/>
  <c r="AI44" i="3479" a="1"/>
  <c r="AI44" i="3479" s="1"/>
  <c r="AJ44" i="3479" a="1"/>
  <c r="AJ44" i="3479" s="1"/>
  <c r="AH44" i="3479" a="1"/>
  <c r="AH44" i="3479" s="1"/>
  <c r="AO129" i="3528"/>
  <c r="Y129" i="3528"/>
  <c r="AH66" i="3479" a="1"/>
  <c r="AH66" i="3479" s="1"/>
  <c r="AJ66" i="3479" a="1"/>
  <c r="AJ66" i="3479" s="1"/>
  <c r="AI66" i="3479" a="1"/>
  <c r="AI66" i="3479" s="1"/>
  <c r="BX45" i="3479" a="1"/>
  <c r="BX45" i="3479" s="1"/>
  <c r="BY45" i="3479" s="1" a="1"/>
  <c r="BY45" i="3479" s="1"/>
  <c r="AS140" i="3528"/>
  <c r="AC140" i="3528"/>
  <c r="G35" i="3435" a="1"/>
  <c r="G35" i="3435" s="1"/>
  <c r="I35" i="3435" a="1"/>
  <c r="I35" i="3435" s="1"/>
  <c r="F35" i="3435" a="1"/>
  <c r="F35" i="3435" s="1"/>
  <c r="G16" i="3435" a="1"/>
  <c r="G16" i="3435" s="1"/>
  <c r="F16" i="3435" a="1"/>
  <c r="F16" i="3435" s="1"/>
  <c r="I16" i="3435" a="1"/>
  <c r="I16" i="3435" s="1"/>
  <c r="Y132" i="3528"/>
  <c r="AO132" i="3528"/>
  <c r="Y128" i="3528"/>
  <c r="AO128" i="3528"/>
  <c r="AT120" i="3528"/>
  <c r="AD120" i="3528"/>
  <c r="Z97" i="3448"/>
  <c r="AD96" i="3448"/>
  <c r="CB39" i="3479" a="1"/>
  <c r="CB39" i="3479" s="1"/>
  <c r="CA39" i="3479" a="1"/>
  <c r="CA39" i="3479" s="1"/>
  <c r="CC39" i="3479" a="1"/>
  <c r="CC39" i="3479" s="1"/>
  <c r="AR131" i="3528"/>
  <c r="AB131" i="3528"/>
  <c r="DU53" i="3479" a="1"/>
  <c r="DU53" i="3479" s="1"/>
  <c r="DT53" i="3479" a="1"/>
  <c r="DT53" i="3479" s="1"/>
  <c r="DV53" i="3479" a="1"/>
  <c r="DV53" i="3479" s="1"/>
  <c r="EK58" i="3479" a="1"/>
  <c r="EK58" i="3479" s="1"/>
  <c r="EJ58" i="3479" a="1"/>
  <c r="EJ58" i="3479" s="1"/>
  <c r="EI58" i="3479" a="1"/>
  <c r="EI58" i="3479" s="1"/>
  <c r="DU38" i="3479" a="1"/>
  <c r="DU38" i="3479" s="1"/>
  <c r="DT38" i="3479" a="1"/>
  <c r="DT38" i="3479" s="1"/>
  <c r="DV38" i="3479" a="1"/>
  <c r="DV38" i="3479" s="1"/>
  <c r="AW69" i="3479" a="1"/>
  <c r="AW69" i="3479" s="1"/>
  <c r="AY69" i="3479" a="1"/>
  <c r="AY69" i="3479" s="1"/>
  <c r="AX69" i="3479" a="1"/>
  <c r="AX69" i="3479" s="1"/>
  <c r="AW136" i="3528"/>
  <c r="AG136" i="3528"/>
  <c r="AP131" i="3528"/>
  <c r="Z131" i="3528"/>
  <c r="X61" i="3480"/>
  <c r="W61" i="3480"/>
  <c r="AT41" i="3479" a="1"/>
  <c r="AT41" i="3479" s="1"/>
  <c r="AU41" i="3479" s="1" a="1"/>
  <c r="AU41" i="3479" s="1"/>
  <c r="AP117" i="3528"/>
  <c r="Z117" i="3528"/>
  <c r="I37" i="3570" a="1"/>
  <c r="I37" i="3570" s="1"/>
  <c r="BE37" i="3570" s="1"/>
  <c r="G37" i="3570" a="1"/>
  <c r="G37" i="3570" s="1"/>
  <c r="F37" i="3570" a="1"/>
  <c r="F37" i="3570" s="1"/>
  <c r="I50" i="3570" a="1"/>
  <c r="I50" i="3570" s="1"/>
  <c r="BE50" i="3570" s="1"/>
  <c r="G50" i="3570" a="1"/>
  <c r="G50" i="3570" s="1"/>
  <c r="F50" i="3570" a="1"/>
  <c r="F50" i="3570" s="1"/>
  <c r="DE55" i="3479" a="1"/>
  <c r="DE55" i="3479" s="1"/>
  <c r="DG55" i="3479" a="1"/>
  <c r="DG55" i="3479" s="1"/>
  <c r="DF55" i="3479" a="1"/>
  <c r="DF55" i="3479" s="1"/>
  <c r="I65" i="3436"/>
  <c r="S84" i="3445" s="1" a="1"/>
  <c r="S84" i="3445" s="1"/>
  <c r="T84" i="3445" s="1"/>
  <c r="CM68" i="3479" a="1"/>
  <c r="CM68" i="3479" s="1"/>
  <c r="CN68" i="3479" s="1" a="1"/>
  <c r="CN68" i="3479" s="1"/>
  <c r="AV129" i="3528"/>
  <c r="AF129" i="3528"/>
  <c r="X123" i="3528"/>
  <c r="AN123" i="3528"/>
  <c r="AJ17" i="3419" a="1"/>
  <c r="AJ17" i="3419" s="1"/>
  <c r="AG17" i="3419" a="1"/>
  <c r="AG17" i="3419" s="1"/>
  <c r="AI22" i="3419" a="1"/>
  <c r="AI22" i="3419" s="1"/>
  <c r="AE22" i="3419" a="1"/>
  <c r="AE22" i="3419" s="1"/>
  <c r="CC51" i="3479" a="1"/>
  <c r="CC51" i="3479" s="1"/>
  <c r="CB51" i="3479" a="1"/>
  <c r="CB51" i="3479" s="1"/>
  <c r="CA51" i="3479" a="1"/>
  <c r="CA51" i="3479" s="1"/>
  <c r="BN69" i="3479" a="1"/>
  <c r="BN69" i="3479" s="1"/>
  <c r="BM69" i="3479" a="1"/>
  <c r="BM69" i="3479" s="1"/>
  <c r="BL69" i="3479" a="1"/>
  <c r="BL69" i="3479" s="1"/>
  <c r="BI60" i="3479" a="1"/>
  <c r="BI60" i="3479" s="1"/>
  <c r="BJ60" i="3479" s="1" a="1"/>
  <c r="BJ60" i="3479" s="1"/>
  <c r="AX49" i="3479" a="1"/>
  <c r="AX49" i="3479" s="1"/>
  <c r="AY49" i="3479" a="1"/>
  <c r="AY49" i="3479" s="1"/>
  <c r="AW49" i="3479" a="1"/>
  <c r="AW49" i="3479" s="1"/>
  <c r="AH134" i="3528"/>
  <c r="AX134" i="3528"/>
  <c r="I76" i="3444"/>
  <c r="J93" i="3445" a="1"/>
  <c r="J93" i="3445" s="1"/>
  <c r="P93" i="3445" s="1"/>
  <c r="Q93" i="3445" s="1"/>
  <c r="V134" i="3528"/>
  <c r="AL134" i="3528"/>
  <c r="U31" i="3479" a="1"/>
  <c r="U31" i="3479" s="1"/>
  <c r="T31" i="3479" a="1"/>
  <c r="T31" i="3479" s="1"/>
  <c r="S31" i="3479" a="1"/>
  <c r="S31" i="3479" s="1"/>
  <c r="EZ38" i="3479" a="1"/>
  <c r="EZ38" i="3479" s="1"/>
  <c r="EX38" i="3479" a="1"/>
  <c r="EX38" i="3479" s="1"/>
  <c r="EY38" i="3479" a="1"/>
  <c r="EY38" i="3479" s="1"/>
  <c r="Z144" i="3528"/>
  <c r="AP144" i="3528"/>
  <c r="W117" i="3528"/>
  <c r="AM117" i="3528"/>
  <c r="AD141" i="3528"/>
  <c r="AT141" i="3528"/>
  <c r="AR134" i="3528"/>
  <c r="AB134" i="3528"/>
  <c r="AR141" i="3528"/>
  <c r="AB141" i="3528"/>
  <c r="I76" i="3436"/>
  <c r="U54" i="3436" a="1"/>
  <c r="U54" i="3436" s="1"/>
  <c r="J56" i="3444" s="1"/>
  <c r="AY43" i="3479" a="1"/>
  <c r="AY43" i="3479" s="1"/>
  <c r="AX43" i="3479" a="1"/>
  <c r="AX43" i="3479" s="1"/>
  <c r="AW43" i="3479" a="1"/>
  <c r="AW43" i="3479" s="1"/>
  <c r="DU66" i="3479" a="1"/>
  <c r="DU66" i="3479" s="1"/>
  <c r="DT66" i="3479" a="1"/>
  <c r="DT66" i="3479" s="1"/>
  <c r="DV66" i="3479" a="1"/>
  <c r="DV66" i="3479" s="1"/>
  <c r="AE125" i="3528"/>
  <c r="AU125" i="3528"/>
  <c r="AG127" i="3528"/>
  <c r="AW127" i="3528"/>
  <c r="W125" i="3528"/>
  <c r="AM125" i="3528"/>
  <c r="AD133" i="3528"/>
  <c r="AT133" i="3528"/>
  <c r="EY60" i="3479" a="1"/>
  <c r="EY60" i="3479" s="1"/>
  <c r="EX60" i="3479" a="1"/>
  <c r="EX60" i="3479" s="1"/>
  <c r="EZ60" i="3479" a="1"/>
  <c r="EZ60" i="3479" s="1"/>
  <c r="EJ36" i="3479" a="1"/>
  <c r="EJ36" i="3479" s="1"/>
  <c r="EI36" i="3479" a="1"/>
  <c r="EI36" i="3479" s="1"/>
  <c r="EK36" i="3479" a="1"/>
  <c r="EK36" i="3479" s="1"/>
  <c r="EK56" i="3479" a="1"/>
  <c r="EK56" i="3479" s="1"/>
  <c r="EJ56" i="3479" a="1"/>
  <c r="EJ56" i="3479" s="1"/>
  <c r="EI56" i="3479" a="1"/>
  <c r="EI56" i="3479" s="1"/>
  <c r="CP44" i="3479" a="1"/>
  <c r="CP44" i="3479" s="1"/>
  <c r="CQ44" i="3479" a="1"/>
  <c r="CQ44" i="3479" s="1"/>
  <c r="CR44" i="3479" a="1"/>
  <c r="CR44" i="3479" s="1"/>
  <c r="DF68" i="3479" a="1"/>
  <c r="DF68" i="3479" s="1"/>
  <c r="DE68" i="3479" a="1"/>
  <c r="DE68" i="3479" s="1"/>
  <c r="DG68" i="3479" a="1"/>
  <c r="DG68" i="3479" s="1"/>
  <c r="AQ136" i="3528"/>
  <c r="AA136" i="3528"/>
  <c r="J98" i="3445" a="1"/>
  <c r="J98" i="3445" s="1"/>
  <c r="P98" i="3445" s="1"/>
  <c r="Q98" i="3445" s="1"/>
  <c r="I81" i="3444"/>
  <c r="AG140" i="3528"/>
  <c r="AW140" i="3528"/>
  <c r="AT118" i="3528"/>
  <c r="AD118" i="3528"/>
  <c r="AW123" i="3528"/>
  <c r="AG123" i="3528"/>
  <c r="EY29" i="3479" a="1"/>
  <c r="EY29" i="3479" s="1"/>
  <c r="EZ29" i="3479" a="1"/>
  <c r="EZ29" i="3479" s="1"/>
  <c r="EX29" i="3479" a="1"/>
  <c r="EX29" i="3479" s="1"/>
  <c r="AD142" i="3528"/>
  <c r="AT142" i="3528"/>
  <c r="G43" i="3435" a="1"/>
  <c r="G43" i="3435" s="1"/>
  <c r="I43" i="3435" a="1"/>
  <c r="I43" i="3435" s="1"/>
  <c r="F43" i="3435" a="1"/>
  <c r="F43" i="3435" s="1"/>
  <c r="G27" i="3435" a="1"/>
  <c r="G27" i="3435" s="1"/>
  <c r="F27" i="3435" a="1"/>
  <c r="F27" i="3435" s="1"/>
  <c r="I27" i="3435" a="1"/>
  <c r="I27" i="3435" s="1"/>
  <c r="AD128" i="3528"/>
  <c r="AT128" i="3528"/>
  <c r="DE41" i="3479" a="1"/>
  <c r="DE41" i="3479" s="1"/>
  <c r="DG41" i="3479" a="1"/>
  <c r="DG41" i="3479" s="1"/>
  <c r="DF41" i="3479" a="1"/>
  <c r="DF41" i="3479" s="1"/>
  <c r="BX39" i="3479" a="1"/>
  <c r="BX39" i="3479" s="1"/>
  <c r="BY39" i="3479" s="1" a="1"/>
  <c r="BY39" i="3479" s="1"/>
  <c r="AX30" i="3479" a="1"/>
  <c r="AX30" i="3479" s="1"/>
  <c r="AY30" i="3479" a="1"/>
  <c r="AY30" i="3479" s="1"/>
  <c r="AW30" i="3479" a="1"/>
  <c r="AW30" i="3479" s="1"/>
  <c r="AY142" i="3528"/>
  <c r="AI142" i="3528"/>
  <c r="AT69" i="3479" a="1"/>
  <c r="AT69" i="3479" s="1"/>
  <c r="AU69" i="3479" s="1" a="1"/>
  <c r="AU69" i="3479" s="1"/>
  <c r="AH138" i="3528"/>
  <c r="AX138" i="3528"/>
  <c r="I48" i="3570" a="1"/>
  <c r="I48" i="3570" s="1"/>
  <c r="BE48" i="3570" s="1"/>
  <c r="G48" i="3570" a="1"/>
  <c r="G48" i="3570" s="1"/>
  <c r="F48" i="3570" a="1"/>
  <c r="F48" i="3570" s="1"/>
  <c r="F20" i="3570" a="1"/>
  <c r="F20" i="3570" s="1"/>
  <c r="I20" i="3570" a="1"/>
  <c r="I20" i="3570" s="1"/>
  <c r="BE20" i="3570" s="1"/>
  <c r="G20" i="3570" a="1"/>
  <c r="G20" i="3570" s="1"/>
  <c r="G35" i="3570" a="1"/>
  <c r="G35" i="3570" s="1"/>
  <c r="I35" i="3570" a="1"/>
  <c r="I35" i="3570" s="1"/>
  <c r="BE35" i="3570" s="1"/>
  <c r="F35" i="3570" a="1"/>
  <c r="F35" i="3570" s="1"/>
  <c r="I62" i="3570" a="1"/>
  <c r="I62" i="3570" s="1"/>
  <c r="BE62" i="3570" s="1"/>
  <c r="G62" i="3570" a="1"/>
  <c r="G62" i="3570" s="1"/>
  <c r="F62" i="3570" a="1"/>
  <c r="F62" i="3570" s="1"/>
  <c r="I37" i="3436"/>
  <c r="S56" i="3445" s="1" a="1"/>
  <c r="S56" i="3445" s="1"/>
  <c r="T56" i="3445" s="1"/>
  <c r="CQ46" i="3479" a="1"/>
  <c r="CQ46" i="3479" s="1"/>
  <c r="CR46" i="3479" a="1"/>
  <c r="CR46" i="3479" s="1"/>
  <c r="CP46" i="3479" a="1"/>
  <c r="CP46" i="3479" s="1"/>
  <c r="DT47" i="3479" a="1"/>
  <c r="DT47" i="3479" s="1"/>
  <c r="DU47" i="3479" a="1"/>
  <c r="DU47" i="3479" s="1"/>
  <c r="DV47" i="3479" a="1"/>
  <c r="DV47" i="3479" s="1"/>
  <c r="DT64" i="3479" a="1"/>
  <c r="DT64" i="3479" s="1"/>
  <c r="DU64" i="3479" a="1"/>
  <c r="DU64" i="3479" s="1"/>
  <c r="DV64" i="3479" a="1"/>
  <c r="DV64" i="3479" s="1"/>
  <c r="H35" i="3518"/>
  <c r="J35" i="3518" s="1"/>
  <c r="K35" i="3518" s="1"/>
  <c r="T35" i="3518"/>
  <c r="I34" i="3436"/>
  <c r="J60" i="3445" a="1"/>
  <c r="J60" i="3445" s="1"/>
  <c r="P60" i="3445" s="1"/>
  <c r="Q60" i="3445" s="1"/>
  <c r="CB48" i="3479" a="1"/>
  <c r="CB48" i="3479" s="1"/>
  <c r="CA48" i="3479" a="1"/>
  <c r="CA48" i="3479" s="1"/>
  <c r="CC48" i="3479" a="1"/>
  <c r="CC48" i="3479" s="1"/>
  <c r="AB128" i="3528"/>
  <c r="AR128" i="3528"/>
  <c r="AK41" i="3419" a="1"/>
  <c r="AK41" i="3419" s="1"/>
  <c r="AH41" i="3419" a="1"/>
  <c r="AH41" i="3419" s="1"/>
  <c r="W65" i="3480"/>
  <c r="X65" i="3480"/>
  <c r="R21" i="3576"/>
  <c r="X22" i="3576" s="1"/>
  <c r="X79" i="3480"/>
  <c r="W79" i="3480"/>
  <c r="DE63" i="3479" a="1"/>
  <c r="DE63" i="3479" s="1"/>
  <c r="DG63" i="3479" a="1"/>
  <c r="DG63" i="3479" s="1"/>
  <c r="DF63" i="3479" a="1"/>
  <c r="DF63" i="3479" s="1"/>
  <c r="CB58" i="3479" a="1"/>
  <c r="CB58" i="3479" s="1"/>
  <c r="CC58" i="3479" a="1"/>
  <c r="CC58" i="3479" s="1"/>
  <c r="CA58" i="3479" a="1"/>
  <c r="CA58" i="3479" s="1"/>
  <c r="AG142" i="3528"/>
  <c r="AW142" i="3528"/>
  <c r="AU141" i="3528"/>
  <c r="AE141" i="3528"/>
  <c r="P25" i="3479" a="1"/>
  <c r="P25" i="3479" s="1"/>
  <c r="Q25" i="3479" s="1" a="1"/>
  <c r="Q25" i="3479" s="1"/>
  <c r="I58" i="3444"/>
  <c r="J75" i="3445" a="1"/>
  <c r="J75" i="3445" s="1"/>
  <c r="P75" i="3445" s="1"/>
  <c r="Q75" i="3445" s="1"/>
  <c r="EK37" i="3479" a="1"/>
  <c r="EK37" i="3479" s="1"/>
  <c r="EI37" i="3479" a="1"/>
  <c r="EI37" i="3479" s="1"/>
  <c r="EJ37" i="3479" a="1"/>
  <c r="EJ37" i="3479" s="1"/>
  <c r="X92" i="3480"/>
  <c r="W92" i="3480"/>
  <c r="P37" i="3479" a="1"/>
  <c r="P37" i="3479" s="1"/>
  <c r="Q37" i="3479" s="1" a="1"/>
  <c r="Q37" i="3479" s="1"/>
  <c r="BL59" i="3479" a="1"/>
  <c r="BL59" i="3479" s="1"/>
  <c r="BN59" i="3479" a="1"/>
  <c r="BN59" i="3479" s="1"/>
  <c r="BM59" i="3479" a="1"/>
  <c r="BM59" i="3479" s="1"/>
  <c r="BM26" i="3479" a="1"/>
  <c r="BM26" i="3479" s="1"/>
  <c r="BL26" i="3479" a="1"/>
  <c r="BL26" i="3479" s="1"/>
  <c r="BN26" i="3479" a="1"/>
  <c r="BN26" i="3479" s="1"/>
  <c r="EJ59" i="3479" a="1"/>
  <c r="EJ59" i="3479" s="1"/>
  <c r="EI59" i="3479" a="1"/>
  <c r="EI59" i="3479" s="1"/>
  <c r="EK59" i="3479" a="1"/>
  <c r="EK59" i="3479" s="1"/>
  <c r="J79" i="3445" a="1"/>
  <c r="J79" i="3445" s="1"/>
  <c r="P79" i="3445" s="1"/>
  <c r="Q79" i="3445" s="1"/>
  <c r="J74" i="3445" a="1"/>
  <c r="J74" i="3445" s="1"/>
  <c r="P74" i="3445" s="1"/>
  <c r="Q74" i="3445" s="1"/>
  <c r="W128" i="3528"/>
  <c r="AM128" i="3528"/>
  <c r="AX21" i="3479" a="1"/>
  <c r="AX21" i="3479" s="1"/>
  <c r="AW21" i="3479" a="1"/>
  <c r="AW21" i="3479" s="1"/>
  <c r="AY21" i="3479" a="1"/>
  <c r="AY21" i="3479" s="1"/>
  <c r="DG42" i="3479" a="1"/>
  <c r="DG42" i="3479" s="1"/>
  <c r="DF42" i="3479" a="1"/>
  <c r="DF42" i="3479" s="1"/>
  <c r="DE42" i="3479" a="1"/>
  <c r="DE42" i="3479" s="1"/>
  <c r="V129" i="3528"/>
  <c r="AL129" i="3528"/>
  <c r="EZ27" i="3479" a="1"/>
  <c r="EZ27" i="3479" s="1"/>
  <c r="EY27" i="3479" a="1"/>
  <c r="EY27" i="3479" s="1"/>
  <c r="EX27" i="3479" a="1"/>
  <c r="EX27" i="3479" s="1"/>
  <c r="AU126" i="3528"/>
  <c r="AE126" i="3528"/>
  <c r="AR122" i="3528"/>
  <c r="AB122" i="3528"/>
  <c r="X47" i="3480"/>
  <c r="W47" i="3480"/>
  <c r="X46" i="3480"/>
  <c r="W46" i="3480"/>
  <c r="AE122" i="3528"/>
  <c r="AU122" i="3528"/>
  <c r="DV41" i="3479" a="1"/>
  <c r="DV41" i="3479" s="1"/>
  <c r="DU41" i="3479" a="1"/>
  <c r="DU41" i="3479" s="1"/>
  <c r="DT41" i="3479" a="1"/>
  <c r="DT41" i="3479" s="1"/>
  <c r="X125" i="3528"/>
  <c r="AN125" i="3528"/>
  <c r="BL45" i="3479" a="1"/>
  <c r="BL45" i="3479" s="1"/>
  <c r="BN45" i="3479" a="1"/>
  <c r="BN45" i="3479" s="1"/>
  <c r="BM45" i="3479" a="1"/>
  <c r="BM45" i="3479" s="1"/>
  <c r="AG143" i="3528"/>
  <c r="AW143" i="3528"/>
  <c r="I52" i="3444"/>
  <c r="CG98" i="3448"/>
  <c r="BZ99" i="3448"/>
  <c r="AM134" i="3528"/>
  <c r="W134" i="3528"/>
  <c r="I54" i="3436"/>
  <c r="S73" i="3445" s="1" a="1"/>
  <c r="S73" i="3445" s="1"/>
  <c r="T73" i="3445" s="1"/>
  <c r="AI56" i="3479" a="1"/>
  <c r="AI56" i="3479" s="1"/>
  <c r="AJ56" i="3479" a="1"/>
  <c r="AJ56" i="3479" s="1"/>
  <c r="AH56" i="3479" a="1"/>
  <c r="AH56" i="3479" s="1"/>
  <c r="AD140" i="3528"/>
  <c r="AT140" i="3528"/>
  <c r="EJ52" i="3479" a="1"/>
  <c r="EJ52" i="3479" s="1"/>
  <c r="EK52" i="3479" a="1"/>
  <c r="EK52" i="3479" s="1"/>
  <c r="EI52" i="3479" a="1"/>
  <c r="EI52" i="3479" s="1"/>
  <c r="F59" i="3435" a="1"/>
  <c r="F59" i="3435" s="1"/>
  <c r="I59" i="3435" a="1"/>
  <c r="I59" i="3435" s="1"/>
  <c r="G59" i="3435" a="1"/>
  <c r="G59" i="3435" s="1"/>
  <c r="I38" i="3435" a="1"/>
  <c r="I38" i="3435" s="1"/>
  <c r="AI38" i="3435" s="1"/>
  <c r="G38" i="3435" a="1"/>
  <c r="G38" i="3435" s="1"/>
  <c r="F38" i="3435" a="1"/>
  <c r="F38" i="3435" s="1"/>
  <c r="AE65" i="3479" a="1"/>
  <c r="AE65" i="3479" s="1"/>
  <c r="AF65" i="3479" s="1" a="1"/>
  <c r="AF65" i="3479" s="1"/>
  <c r="AT29" i="3479" a="1"/>
  <c r="AT29" i="3479" s="1"/>
  <c r="AU29" i="3479" s="1" a="1"/>
  <c r="AU29" i="3479" s="1"/>
  <c r="EK44" i="3479" a="1"/>
  <c r="EK44" i="3479" s="1"/>
  <c r="EJ44" i="3479" a="1"/>
  <c r="EJ44" i="3479" s="1"/>
  <c r="EI44" i="3479" a="1"/>
  <c r="EI44" i="3479" s="1"/>
  <c r="DU32" i="3479" a="1"/>
  <c r="DU32" i="3479" s="1"/>
  <c r="DT32" i="3479" a="1"/>
  <c r="DT32" i="3479" s="1"/>
  <c r="DV32" i="3479" a="1"/>
  <c r="DV32" i="3479" s="1"/>
  <c r="S52" i="3479" a="1"/>
  <c r="S52" i="3479" s="1"/>
  <c r="U52" i="3479" a="1"/>
  <c r="U52" i="3479" s="1"/>
  <c r="T52" i="3479" a="1"/>
  <c r="T52" i="3479" s="1"/>
  <c r="J54" i="3445" a="1"/>
  <c r="J54" i="3445" s="1"/>
  <c r="P54" i="3445" s="1"/>
  <c r="Q54" i="3445" s="1"/>
  <c r="EZ28" i="3479" a="1"/>
  <c r="EZ28" i="3479" s="1"/>
  <c r="EY28" i="3479" a="1"/>
  <c r="EY28" i="3479" s="1"/>
  <c r="EX28" i="3479" a="1"/>
  <c r="EX28" i="3479" s="1"/>
  <c r="AE136" i="3528"/>
  <c r="AU136" i="3528"/>
  <c r="AC124" i="3528"/>
  <c r="AS124" i="3528"/>
  <c r="I27" i="3570" a="1"/>
  <c r="I27" i="3570" s="1"/>
  <c r="BE27" i="3570" s="1"/>
  <c r="G27" i="3570" a="1"/>
  <c r="G27" i="3570" s="1"/>
  <c r="F27" i="3570" a="1"/>
  <c r="F27" i="3570" s="1"/>
  <c r="I74" i="3444"/>
  <c r="U72" i="3436" a="1"/>
  <c r="U72" i="3436" s="1"/>
  <c r="U74" i="3436" s="1" a="1"/>
  <c r="U74" i="3436" s="1"/>
  <c r="J76" i="3444" s="1"/>
  <c r="BX27" i="3479" a="1"/>
  <c r="BX27" i="3479" s="1"/>
  <c r="BY27" i="3479" s="1" a="1"/>
  <c r="BY27" i="3479" s="1"/>
  <c r="P24" i="3479" a="1"/>
  <c r="P24" i="3479" s="1"/>
  <c r="Q24" i="3479" s="1" a="1"/>
  <c r="Q24" i="3479" s="1"/>
  <c r="AD136" i="3528"/>
  <c r="AT136" i="3528"/>
  <c r="AL131" i="3528"/>
  <c r="V131" i="3528"/>
  <c r="BX48" i="3479" a="1"/>
  <c r="BX48" i="3479" s="1"/>
  <c r="BY48" i="3479" s="1" a="1"/>
  <c r="BY48" i="3479" s="1"/>
  <c r="AP118" i="3528"/>
  <c r="Z118" i="3528"/>
  <c r="AE119" i="3528"/>
  <c r="AU119" i="3528"/>
  <c r="AI40" i="3419" a="1"/>
  <c r="AI40" i="3419" s="1"/>
  <c r="AH56" i="3419" a="1"/>
  <c r="AH56" i="3419" s="1"/>
  <c r="AK56" i="3419" a="1"/>
  <c r="AK56" i="3419" s="1"/>
  <c r="S26" i="3479" a="1"/>
  <c r="S26" i="3479" s="1"/>
  <c r="T26" i="3479" a="1"/>
  <c r="T26" i="3479" s="1"/>
  <c r="U26" i="3479" a="1"/>
  <c r="U26" i="3479" s="1"/>
  <c r="AE124" i="3528"/>
  <c r="AU124" i="3528"/>
  <c r="CP42" i="3479" a="1"/>
  <c r="CP42" i="3479" s="1"/>
  <c r="CQ42" i="3479" a="1"/>
  <c r="CQ42" i="3479" s="1"/>
  <c r="CR42" i="3479" a="1"/>
  <c r="CR42" i="3479" s="1"/>
  <c r="BN42" i="3479" a="1"/>
  <c r="BN42" i="3479" s="1"/>
  <c r="BM42" i="3479" a="1"/>
  <c r="BM42" i="3479" s="1"/>
  <c r="BL42" i="3479" a="1"/>
  <c r="BL42" i="3479" s="1"/>
  <c r="BX58" i="3479" a="1"/>
  <c r="BX58" i="3479" s="1"/>
  <c r="BY58" i="3479" s="1" a="1"/>
  <c r="BY58" i="3479" s="1"/>
  <c r="AO118" i="3528"/>
  <c r="Y118" i="3528"/>
  <c r="AI136" i="3528"/>
  <c r="AY136" i="3528"/>
  <c r="EX41" i="3479" a="1"/>
  <c r="EX41" i="3479" s="1"/>
  <c r="EZ41" i="3479" a="1"/>
  <c r="EZ41" i="3479" s="1"/>
  <c r="EY41" i="3479" a="1"/>
  <c r="EY41" i="3479" s="1"/>
  <c r="BN71" i="3479" a="1"/>
  <c r="BN71" i="3479" s="1"/>
  <c r="BL71" i="3479" a="1"/>
  <c r="BL71" i="3479" s="1"/>
  <c r="BM71" i="3479" a="1"/>
  <c r="BM71" i="3479" s="1"/>
  <c r="U25" i="3479" a="1"/>
  <c r="U25" i="3479" s="1"/>
  <c r="T25" i="3479" a="1"/>
  <c r="T25" i="3479" s="1"/>
  <c r="S25" i="3479" a="1"/>
  <c r="S25" i="3479" s="1"/>
  <c r="AN119" i="3528"/>
  <c r="X119" i="3528"/>
  <c r="Y122" i="3528"/>
  <c r="AO122" i="3528"/>
  <c r="AW137" i="3528"/>
  <c r="AG137" i="3528"/>
  <c r="AD135" i="3528"/>
  <c r="AT135" i="3528"/>
  <c r="T37" i="3479" a="1"/>
  <c r="T37" i="3479" s="1"/>
  <c r="S37" i="3479" a="1"/>
  <c r="S37" i="3479" s="1"/>
  <c r="U37" i="3479" a="1"/>
  <c r="U37" i="3479" s="1"/>
  <c r="DF69" i="3479" a="1"/>
  <c r="DF69" i="3479" s="1"/>
  <c r="DG69" i="3479" a="1"/>
  <c r="DG69" i="3479" s="1"/>
  <c r="DE69" i="3479" a="1"/>
  <c r="DE69" i="3479" s="1"/>
  <c r="U35" i="3436" a="1"/>
  <c r="U35" i="3436" s="1"/>
  <c r="J37" i="3444" s="1"/>
  <c r="U62" i="3479" a="1"/>
  <c r="U62" i="3479" s="1"/>
  <c r="T62" i="3479" a="1"/>
  <c r="T62" i="3479" s="1"/>
  <c r="S62" i="3479" a="1"/>
  <c r="S62" i="3479" s="1"/>
  <c r="W66" i="3480"/>
  <c r="X66" i="3480"/>
  <c r="J61" i="3445" a="1"/>
  <c r="J61" i="3445" s="1"/>
  <c r="P61" i="3445" s="1"/>
  <c r="Q61" i="3445" s="1"/>
  <c r="I44" i="3444"/>
  <c r="T43" i="3518"/>
  <c r="H43" i="3518"/>
  <c r="J43" i="3518" s="1"/>
  <c r="K43" i="3518" s="1"/>
  <c r="AH135" i="3528"/>
  <c r="AX135" i="3528"/>
  <c r="DV31" i="3479" a="1"/>
  <c r="DV31" i="3479" s="1"/>
  <c r="DU31" i="3479" a="1"/>
  <c r="DU31" i="3479" s="1"/>
  <c r="DT31" i="3479" a="1"/>
  <c r="DT31" i="3479" s="1"/>
  <c r="AL140" i="3528"/>
  <c r="V140" i="3528"/>
  <c r="EI67" i="3479" a="1"/>
  <c r="EI67" i="3479" s="1"/>
  <c r="EK67" i="3479" a="1"/>
  <c r="EK67" i="3479" s="1"/>
  <c r="EJ67" i="3479" a="1"/>
  <c r="EJ67" i="3479" s="1"/>
  <c r="AW42" i="3479" a="1"/>
  <c r="AW42" i="3479" s="1"/>
  <c r="AY42" i="3479" a="1"/>
  <c r="AY42" i="3479" s="1"/>
  <c r="AX42" i="3479" a="1"/>
  <c r="AX42" i="3479" s="1"/>
  <c r="DT37" i="3479" a="1"/>
  <c r="DT37" i="3479" s="1"/>
  <c r="DV37" i="3479" a="1"/>
  <c r="DV37" i="3479" s="1"/>
  <c r="DU37" i="3479" a="1"/>
  <c r="DU37" i="3479" s="1"/>
  <c r="X63" i="3480"/>
  <c r="W63" i="3480"/>
  <c r="CR36" i="3479" a="1"/>
  <c r="CR36" i="3479" s="1"/>
  <c r="CQ36" i="3479" a="1"/>
  <c r="CQ36" i="3479" s="1"/>
  <c r="CP36" i="3479" a="1"/>
  <c r="CP36" i="3479" s="1"/>
  <c r="EZ23" i="3479" a="1"/>
  <c r="EZ23" i="3479" s="1"/>
  <c r="EY23" i="3479" a="1"/>
  <c r="EY23" i="3479" s="1"/>
  <c r="EX23" i="3479" a="1"/>
  <c r="EX23" i="3479" s="1"/>
  <c r="AH36" i="3479" a="1"/>
  <c r="AH36" i="3479" s="1"/>
  <c r="AJ36" i="3479" a="1"/>
  <c r="AJ36" i="3479" s="1"/>
  <c r="AI36" i="3479" a="1"/>
  <c r="AI36" i="3479" s="1"/>
  <c r="T15" i="3518"/>
  <c r="H15" i="3518"/>
  <c r="J15" i="3518" s="1"/>
  <c r="K15" i="3518" s="1"/>
  <c r="CC31" i="3479" a="1"/>
  <c r="CC31" i="3479" s="1"/>
  <c r="CA31" i="3479" a="1"/>
  <c r="CA31" i="3479" s="1"/>
  <c r="CB31" i="3479" a="1"/>
  <c r="CB31" i="3479" s="1"/>
  <c r="AT42" i="3479" a="1"/>
  <c r="AT42" i="3479" s="1"/>
  <c r="AU42" i="3479" s="1" a="1"/>
  <c r="AU42" i="3479" s="1"/>
  <c r="CC71" i="3479" a="1"/>
  <c r="CC71" i="3479" s="1"/>
  <c r="CA71" i="3479" a="1"/>
  <c r="CA71" i="3479" s="1"/>
  <c r="CB71" i="3479" a="1"/>
  <c r="CB71" i="3479" s="1"/>
  <c r="U127" i="3528"/>
  <c r="AK127" i="3528"/>
  <c r="EX58" i="3479" a="1"/>
  <c r="EX58" i="3479" s="1"/>
  <c r="EY58" i="3479" a="1"/>
  <c r="EY58" i="3479" s="1"/>
  <c r="EZ58" i="3479" a="1"/>
  <c r="EZ58" i="3479" s="1"/>
  <c r="BI45" i="3479" a="1"/>
  <c r="BI45" i="3479" s="1"/>
  <c r="BJ45" i="3479" s="1" a="1"/>
  <c r="BJ45" i="3479" s="1"/>
  <c r="AV127" i="3528"/>
  <c r="AF127" i="3528"/>
  <c r="AM126" i="3528"/>
  <c r="W126" i="3528"/>
  <c r="CM51" i="3479" a="1"/>
  <c r="CM51" i="3479" s="1"/>
  <c r="CN51" i="3479" s="1" a="1"/>
  <c r="CN51" i="3479" s="1"/>
  <c r="U134" i="3528"/>
  <c r="AK134" i="3528"/>
  <c r="CM38" i="3479" a="1"/>
  <c r="CM38" i="3479" s="1"/>
  <c r="CN38" i="3479" s="1" a="1"/>
  <c r="CN38" i="3479" s="1"/>
  <c r="CC49" i="3479" a="1"/>
  <c r="CC49" i="3479" s="1"/>
  <c r="CB49" i="3479" a="1"/>
  <c r="CB49" i="3479" s="1"/>
  <c r="CA49" i="3479" a="1"/>
  <c r="CA49" i="3479" s="1"/>
  <c r="AV117" i="3528"/>
  <c r="AF117" i="3528"/>
  <c r="X59" i="3480"/>
  <c r="W59" i="3480"/>
  <c r="AE51" i="3479" a="1"/>
  <c r="AE51" i="3479" s="1"/>
  <c r="AF51" i="3479" s="1" a="1"/>
  <c r="AF51" i="3479" s="1"/>
  <c r="AX61" i="3479" a="1"/>
  <c r="AX61" i="3479" s="1"/>
  <c r="AW61" i="3479" a="1"/>
  <c r="AW61" i="3479" s="1"/>
  <c r="AY61" i="3479" a="1"/>
  <c r="AY61" i="3479" s="1"/>
  <c r="AJ41" i="3479" a="1"/>
  <c r="AJ41" i="3479" s="1"/>
  <c r="AI41" i="3479" a="1"/>
  <c r="AI41" i="3479" s="1"/>
  <c r="AH41" i="3479" a="1"/>
  <c r="AH41" i="3479" s="1"/>
  <c r="I20" i="3435" a="1"/>
  <c r="I20" i="3435" s="1"/>
  <c r="G20" i="3435" a="1"/>
  <c r="G20" i="3435" s="1"/>
  <c r="F20" i="3435" a="1"/>
  <c r="F20" i="3435" s="1"/>
  <c r="I57" i="3435" a="1"/>
  <c r="I57" i="3435" s="1"/>
  <c r="AI57" i="3435" s="1"/>
  <c r="G57" i="3435" a="1"/>
  <c r="G57" i="3435" s="1"/>
  <c r="F57" i="3435" a="1"/>
  <c r="F57" i="3435" s="1"/>
  <c r="DF48" i="3479" a="1"/>
  <c r="DF48" i="3479" s="1"/>
  <c r="DE48" i="3479" a="1"/>
  <c r="DE48" i="3479" s="1"/>
  <c r="DG48" i="3479" a="1"/>
  <c r="DG48" i="3479" s="1"/>
  <c r="Z133" i="3528"/>
  <c r="AP133" i="3528"/>
  <c r="AH65" i="3479" a="1"/>
  <c r="AH65" i="3479" s="1"/>
  <c r="AJ65" i="3479" a="1"/>
  <c r="AJ65" i="3479" s="1"/>
  <c r="AI65" i="3479" a="1"/>
  <c r="AI65" i="3479" s="1"/>
  <c r="AY29" i="3479" a="1"/>
  <c r="AY29" i="3479" s="1"/>
  <c r="AX29" i="3479" a="1"/>
  <c r="AX29" i="3479" s="1"/>
  <c r="AW29" i="3479" a="1"/>
  <c r="AW29" i="3479" s="1"/>
  <c r="AG144" i="3528"/>
  <c r="AW144" i="3528"/>
  <c r="X142" i="3528"/>
  <c r="AN142" i="3528"/>
  <c r="DT26" i="3479" a="1"/>
  <c r="DT26" i="3479" s="1"/>
  <c r="DV26" i="3479" a="1"/>
  <c r="DV26" i="3479" s="1"/>
  <c r="DU26" i="3479" a="1"/>
  <c r="DU26" i="3479" s="1"/>
  <c r="H33" i="3518"/>
  <c r="J33" i="3518" s="1"/>
  <c r="K33" i="3518" s="1"/>
  <c r="T33" i="3518"/>
  <c r="S40" i="3479" a="1"/>
  <c r="S40" i="3479" s="1"/>
  <c r="T40" i="3479" a="1"/>
  <c r="T40" i="3479" s="1"/>
  <c r="U40" i="3479" a="1"/>
  <c r="U40" i="3479" s="1"/>
  <c r="G31" i="3570" a="1"/>
  <c r="G31" i="3570" s="1"/>
  <c r="I31" i="3570" a="1"/>
  <c r="I31" i="3570" s="1"/>
  <c r="BE31" i="3570" s="1"/>
  <c r="F31" i="3570" a="1"/>
  <c r="F31" i="3570" s="1"/>
  <c r="I22" i="3570" a="1"/>
  <c r="I22" i="3570" s="1"/>
  <c r="BE22" i="3570" s="1"/>
  <c r="G22" i="3570" a="1"/>
  <c r="G22" i="3570" s="1"/>
  <c r="F22" i="3570" a="1"/>
  <c r="F22" i="3570" s="1"/>
  <c r="DE25" i="3479" a="1"/>
  <c r="DE25" i="3479" s="1"/>
  <c r="DF25" i="3479" a="1"/>
  <c r="DF25" i="3479" s="1"/>
  <c r="DG25" i="3479" a="1"/>
  <c r="DG25" i="3479" s="1"/>
  <c r="CC27" i="3479" a="1"/>
  <c r="CC27" i="3479" s="1"/>
  <c r="CB27" i="3479" a="1"/>
  <c r="CB27" i="3479" s="1"/>
  <c r="CA27" i="3479" a="1"/>
  <c r="CA27" i="3479" s="1"/>
  <c r="EZ63" i="3479" a="1"/>
  <c r="EZ63" i="3479" s="1"/>
  <c r="EY63" i="3479" a="1"/>
  <c r="EY63" i="3479" s="1"/>
  <c r="EX63" i="3479" a="1"/>
  <c r="EX63" i="3479" s="1"/>
  <c r="U24" i="3479" a="1"/>
  <c r="U24" i="3479" s="1"/>
  <c r="T24" i="3479" a="1"/>
  <c r="T24" i="3479" s="1"/>
  <c r="S24" i="3479" a="1"/>
  <c r="S24" i="3479" s="1"/>
  <c r="AV130" i="3528"/>
  <c r="AF130" i="3528"/>
  <c r="AP123" i="3528"/>
  <c r="Z123" i="3528"/>
  <c r="AG44" i="3419" a="1"/>
  <c r="AG44" i="3419" s="1"/>
  <c r="AH54" i="3419" a="1"/>
  <c r="AH54" i="3419" s="1"/>
  <c r="AK54" i="3419" a="1"/>
  <c r="AK54" i="3419" s="1"/>
  <c r="P26" i="3479" a="1"/>
  <c r="P26" i="3479" s="1"/>
  <c r="Q26" i="3479" s="1" a="1"/>
  <c r="Q26" i="3479" s="1"/>
  <c r="DF34" i="3479" a="1"/>
  <c r="DF34" i="3479" s="1"/>
  <c r="DE34" i="3479" a="1"/>
  <c r="DE34" i="3479" s="1"/>
  <c r="DG34" i="3479" a="1"/>
  <c r="DG34" i="3479" s="1"/>
  <c r="CM42" i="3479" a="1"/>
  <c r="CM42" i="3479" s="1"/>
  <c r="CN42" i="3479" s="1" a="1"/>
  <c r="CN42" i="3479" s="1"/>
  <c r="DG36" i="3479" a="1"/>
  <c r="DG36" i="3479" s="1"/>
  <c r="DE36" i="3479" a="1"/>
  <c r="DE36" i="3479" s="1"/>
  <c r="DF36" i="3479" a="1"/>
  <c r="DF36" i="3479" s="1"/>
  <c r="AY59" i="3479" a="1"/>
  <c r="AY59" i="3479" s="1"/>
  <c r="AW59" i="3479" a="1"/>
  <c r="AW59" i="3479" s="1"/>
  <c r="AX59" i="3479" a="1"/>
  <c r="AX59" i="3479" s="1"/>
  <c r="EJ41" i="3479" a="1"/>
  <c r="EJ41" i="3479" s="1"/>
  <c r="EI41" i="3479" a="1"/>
  <c r="EI41" i="3479" s="1"/>
  <c r="EK41" i="3479" a="1"/>
  <c r="EK41" i="3479" s="1"/>
  <c r="AV103" i="3434" a="1"/>
  <c r="AV103" i="3434" s="1"/>
  <c r="AA122" i="3528"/>
  <c r="AQ122" i="3528"/>
  <c r="I73" i="3444"/>
  <c r="U71" i="3436" a="1"/>
  <c r="U71" i="3436" s="1"/>
  <c r="J73" i="3444" s="1"/>
  <c r="W88" i="3480"/>
  <c r="X88" i="3480"/>
  <c r="BI67" i="3479" a="1"/>
  <c r="BI67" i="3479" s="1"/>
  <c r="BJ67" i="3479" s="1" a="1"/>
  <c r="BJ67" i="3479" s="1"/>
  <c r="BI71" i="3479" a="1"/>
  <c r="BI71" i="3479" s="1"/>
  <c r="BJ71" i="3479" s="1" a="1"/>
  <c r="BJ71" i="3479" s="1"/>
  <c r="DG52" i="3479" a="1"/>
  <c r="DG52" i="3479" s="1"/>
  <c r="DF52" i="3479" a="1"/>
  <c r="DF52" i="3479" s="1"/>
  <c r="DE52" i="3479" a="1"/>
  <c r="DE52" i="3479" s="1"/>
  <c r="AW125" i="3528"/>
  <c r="AG125" i="3528"/>
  <c r="X93" i="3480"/>
  <c r="W93" i="3480"/>
  <c r="AE138" i="3528"/>
  <c r="AU138" i="3528"/>
  <c r="BL44" i="3479" a="1"/>
  <c r="BL44" i="3479" s="1"/>
  <c r="BN44" i="3479" a="1"/>
  <c r="BN44" i="3479" s="1"/>
  <c r="BM44" i="3479" a="1"/>
  <c r="BM44" i="3479" s="1"/>
  <c r="EJ40" i="3479" a="1"/>
  <c r="EJ40" i="3479" s="1"/>
  <c r="EI40" i="3479" a="1"/>
  <c r="EI40" i="3479" s="1"/>
  <c r="EK40" i="3479" a="1"/>
  <c r="EK40" i="3479" s="1"/>
  <c r="S65" i="3479" a="1"/>
  <c r="S65" i="3479" s="1"/>
  <c r="U65" i="3479" a="1"/>
  <c r="U65" i="3479" s="1"/>
  <c r="T65" i="3479" a="1"/>
  <c r="T65" i="3479" s="1"/>
  <c r="J64" i="3445" a="1"/>
  <c r="J64" i="3445" s="1"/>
  <c r="P64" i="3445" s="1"/>
  <c r="Q64" i="3445" s="1"/>
  <c r="AL124" i="3528"/>
  <c r="V124" i="3528"/>
  <c r="AT143" i="3528"/>
  <c r="AD143" i="3528"/>
  <c r="F41" i="3570" a="1"/>
  <c r="F41" i="3570" s="1"/>
  <c r="I41" i="3570" a="1"/>
  <c r="I41" i="3570" s="1"/>
  <c r="BE41" i="3570" s="1"/>
  <c r="G41" i="3570" a="1"/>
  <c r="G41" i="3570" s="1"/>
  <c r="X122" i="3528"/>
  <c r="AN122" i="3528"/>
  <c r="U130" i="3528"/>
  <c r="AK130" i="3528"/>
  <c r="DF44" i="3479" a="1"/>
  <c r="DF44" i="3479" s="1"/>
  <c r="DG44" i="3479" a="1"/>
  <c r="DG44" i="3479" s="1"/>
  <c r="DE44" i="3479" a="1"/>
  <c r="DE44" i="3479" s="1"/>
  <c r="U54" i="3479" a="1"/>
  <c r="U54" i="3479" s="1"/>
  <c r="T54" i="3479" a="1"/>
  <c r="T54" i="3479" s="1"/>
  <c r="S54" i="3479" a="1"/>
  <c r="S54" i="3479" s="1"/>
  <c r="CC61" i="3479" a="1"/>
  <c r="CC61" i="3479" s="1"/>
  <c r="CB61" i="3479" a="1"/>
  <c r="CB61" i="3479" s="1"/>
  <c r="CA61" i="3479" a="1"/>
  <c r="CA61" i="3479" s="1"/>
  <c r="AO141" i="3528"/>
  <c r="Y141" i="3528"/>
  <c r="X80" i="3480"/>
  <c r="W80" i="3480"/>
  <c r="BI57" i="3479" a="1"/>
  <c r="BI57" i="3479" s="1"/>
  <c r="BJ57" i="3479" s="1" a="1"/>
  <c r="BJ57" i="3479" s="1"/>
  <c r="CM32" i="3479" a="1"/>
  <c r="CM32" i="3479" s="1"/>
  <c r="CN32" i="3479" s="1" a="1"/>
  <c r="CN32" i="3479" s="1"/>
  <c r="AR124" i="3528"/>
  <c r="AB124" i="3528"/>
  <c r="CQ51" i="3479" a="1"/>
  <c r="CQ51" i="3479" s="1"/>
  <c r="CP51" i="3479" a="1"/>
  <c r="CP51" i="3479" s="1"/>
  <c r="CR51" i="3479" a="1"/>
  <c r="CR51" i="3479" s="1"/>
  <c r="CR38" i="3479" a="1"/>
  <c r="CR38" i="3479" s="1"/>
  <c r="CQ38" i="3479" a="1"/>
  <c r="CQ38" i="3479" s="1"/>
  <c r="CP38" i="3479" a="1"/>
  <c r="CP38" i="3479" s="1"/>
  <c r="AO123" i="3528"/>
  <c r="Y123" i="3528"/>
  <c r="AJ51" i="3479" a="1"/>
  <c r="AJ51" i="3479" s="1"/>
  <c r="AI51" i="3479" a="1"/>
  <c r="AI51" i="3479" s="1"/>
  <c r="AH51" i="3479" a="1"/>
  <c r="AH51" i="3479" s="1"/>
  <c r="AE27" i="3479" a="1"/>
  <c r="AE27" i="3479" s="1"/>
  <c r="AF27" i="3479" s="1" a="1"/>
  <c r="AF27" i="3479" s="1"/>
  <c r="AX137" i="3528"/>
  <c r="AH137" i="3528"/>
  <c r="I32" i="3435" a="1"/>
  <c r="I32" i="3435" s="1"/>
  <c r="G32" i="3435" a="1"/>
  <c r="G32" i="3435" s="1"/>
  <c r="F32" i="3435" a="1"/>
  <c r="F32" i="3435" s="1"/>
  <c r="F62" i="3435" a="1"/>
  <c r="F62" i="3435" s="1"/>
  <c r="I62" i="3435" a="1"/>
  <c r="I62" i="3435" s="1"/>
  <c r="G62" i="3435" a="1"/>
  <c r="G62" i="3435" s="1"/>
  <c r="BI11" i="3421" a="1"/>
  <c r="BI11" i="3421" s="1"/>
  <c r="AW11" i="3421" a="1"/>
  <c r="AW11" i="3421" s="1"/>
  <c r="AK11" i="3421" a="1"/>
  <c r="AK11" i="3421" s="1"/>
  <c r="Y11" i="3421" a="1"/>
  <c r="Y11" i="3421" s="1"/>
  <c r="BH11" i="3421" a="1"/>
  <c r="BH11" i="3421" s="1"/>
  <c r="AV11" i="3421" a="1"/>
  <c r="AV11" i="3421" s="1"/>
  <c r="AJ11" i="3421" a="1"/>
  <c r="AJ11" i="3421" s="1"/>
  <c r="X11" i="3421" a="1"/>
  <c r="X11" i="3421" s="1"/>
  <c r="BG11" i="3421" a="1"/>
  <c r="BG11" i="3421" s="1"/>
  <c r="AU11" i="3421" a="1"/>
  <c r="AU11" i="3421" s="1"/>
  <c r="AI11" i="3421" a="1"/>
  <c r="AI11" i="3421" s="1"/>
  <c r="W11" i="3421" a="1"/>
  <c r="W11" i="3421" s="1"/>
  <c r="BN11" i="3421" a="1"/>
  <c r="BN11" i="3421" s="1"/>
  <c r="BB11" i="3421" a="1"/>
  <c r="BB11" i="3421" s="1"/>
  <c r="AP11" i="3421" a="1"/>
  <c r="AP11" i="3421" s="1"/>
  <c r="AD11" i="3421" a="1"/>
  <c r="AD11" i="3421" s="1"/>
  <c r="R11" i="3421" a="1"/>
  <c r="R11" i="3421" s="1"/>
  <c r="BJ11" i="3421" a="1"/>
  <c r="BJ11" i="3421" s="1"/>
  <c r="AX11" i="3421" a="1"/>
  <c r="AX11" i="3421" s="1"/>
  <c r="AL11" i="3421" a="1"/>
  <c r="AL11" i="3421" s="1"/>
  <c r="Z11" i="3421" a="1"/>
  <c r="Z11" i="3421" s="1"/>
  <c r="BO11" i="3421" a="1"/>
  <c r="BO11" i="3421" s="1"/>
  <c r="AT11" i="3421" a="1"/>
  <c r="AT11" i="3421" s="1"/>
  <c r="AB11" i="3421" a="1"/>
  <c r="AB11" i="3421" s="1"/>
  <c r="BM11" i="3421" a="1"/>
  <c r="BM11" i="3421" s="1"/>
  <c r="AS11" i="3421" a="1"/>
  <c r="AS11" i="3421" s="1"/>
  <c r="AA11" i="3421" a="1"/>
  <c r="AA11" i="3421" s="1"/>
  <c r="V11" i="3421" a="1"/>
  <c r="V11" i="3421" s="1"/>
  <c r="AZ11" i="3421" a="1"/>
  <c r="AZ11" i="3421" s="1"/>
  <c r="U11" i="3421" a="1"/>
  <c r="U11" i="3421" s="1"/>
  <c r="AY11" i="3421" a="1"/>
  <c r="AY11" i="3421" s="1"/>
  <c r="T11" i="3421" a="1"/>
  <c r="T11" i="3421" s="1"/>
  <c r="AR11" i="3421" a="1"/>
  <c r="AR11" i="3421" s="1"/>
  <c r="S11" i="3421" a="1"/>
  <c r="S11" i="3421" s="1"/>
  <c r="AQ11" i="3421" a="1"/>
  <c r="AQ11" i="3421" s="1"/>
  <c r="AO11" i="3421" a="1"/>
  <c r="AO11" i="3421" s="1"/>
  <c r="AN11" i="3421" a="1"/>
  <c r="AN11" i="3421" s="1"/>
  <c r="BL11" i="3421" a="1"/>
  <c r="BL11" i="3421" s="1"/>
  <c r="AM11" i="3421" a="1"/>
  <c r="AM11" i="3421" s="1"/>
  <c r="BK11" i="3421" a="1"/>
  <c r="BK11" i="3421" s="1"/>
  <c r="AH11" i="3421" a="1"/>
  <c r="AH11" i="3421" s="1"/>
  <c r="BF11" i="3421" a="1"/>
  <c r="BF11" i="3421" s="1"/>
  <c r="AG11" i="3421" a="1"/>
  <c r="AG11" i="3421" s="1"/>
  <c r="BC11" i="3421" a="1"/>
  <c r="BC11" i="3421" s="1"/>
  <c r="BA11" i="3421" a="1"/>
  <c r="BA11" i="3421" s="1"/>
  <c r="BE11" i="3421" a="1"/>
  <c r="BE11" i="3421" s="1"/>
  <c r="BD11" i="3421" a="1"/>
  <c r="BD11" i="3421" s="1"/>
  <c r="AF11" i="3421" a="1"/>
  <c r="AF11" i="3421" s="1"/>
  <c r="AE11" i="3421" a="1"/>
  <c r="AE11" i="3421" s="1"/>
  <c r="AC11" i="3421" a="1"/>
  <c r="AC11" i="3421" s="1"/>
  <c r="AA130" i="3528"/>
  <c r="AQ130" i="3528"/>
  <c r="AS137" i="3528"/>
  <c r="AC137" i="3528"/>
  <c r="AT64" i="3479" a="1"/>
  <c r="AT64" i="3479" s="1"/>
  <c r="AU64" i="3479" s="1" a="1"/>
  <c r="AU64" i="3479" s="1"/>
  <c r="DV28" i="3479" a="1"/>
  <c r="DV28" i="3479" s="1"/>
  <c r="DU28" i="3479" a="1"/>
  <c r="DU28" i="3479" s="1"/>
  <c r="DT28" i="3479" a="1"/>
  <c r="DT28" i="3479" s="1"/>
  <c r="Z143" i="3528"/>
  <c r="AP143" i="3528"/>
  <c r="AT23" i="3479" a="1"/>
  <c r="AT23" i="3479" s="1"/>
  <c r="AU23" i="3479" s="1" a="1"/>
  <c r="AU23" i="3479" s="1"/>
  <c r="CM21" i="3479" a="1"/>
  <c r="CM21" i="3479" s="1"/>
  <c r="CN21" i="3479" s="1" a="1"/>
  <c r="CN21" i="3479" s="1"/>
  <c r="U28" i="3436" a="1"/>
  <c r="U28" i="3436" s="1"/>
  <c r="J30" i="3444" s="1"/>
  <c r="I30" i="3444"/>
  <c r="P40" i="3479" a="1"/>
  <c r="P40" i="3479" s="1"/>
  <c r="Q40" i="3479" s="1" a="1"/>
  <c r="Q40" i="3479" s="1"/>
  <c r="CR37" i="3479" a="1"/>
  <c r="CR37" i="3479" s="1"/>
  <c r="CQ37" i="3479" a="1"/>
  <c r="CQ37" i="3479" s="1"/>
  <c r="CP37" i="3479" a="1"/>
  <c r="CP37" i="3479" s="1"/>
  <c r="I24" i="3570" a="1"/>
  <c r="I24" i="3570" s="1"/>
  <c r="BE24" i="3570" s="1"/>
  <c r="G24" i="3570" a="1"/>
  <c r="G24" i="3570" s="1"/>
  <c r="F24" i="3570" a="1"/>
  <c r="F24" i="3570" s="1"/>
  <c r="BX63" i="3479" a="1"/>
  <c r="BX63" i="3479" s="1"/>
  <c r="BY63" i="3479" s="1" a="1"/>
  <c r="BY63" i="3479" s="1"/>
  <c r="BM61" i="3479" a="1"/>
  <c r="BM61" i="3479" s="1"/>
  <c r="BN61" i="3479" a="1"/>
  <c r="BN61" i="3479" s="1"/>
  <c r="BL61" i="3479" a="1"/>
  <c r="BL61" i="3479" s="1"/>
  <c r="DG43" i="3479" a="1"/>
  <c r="DG43" i="3479" s="1"/>
  <c r="DF43" i="3479" a="1"/>
  <c r="DF43" i="3479" s="1"/>
  <c r="DE43" i="3479" a="1"/>
  <c r="DE43" i="3479" s="1"/>
  <c r="T60" i="3479" a="1"/>
  <c r="T60" i="3479" s="1"/>
  <c r="S60" i="3479" a="1"/>
  <c r="S60" i="3479" s="1"/>
  <c r="U60" i="3479" a="1"/>
  <c r="U60" i="3479" s="1"/>
  <c r="AK132" i="3528"/>
  <c r="U132" i="3528"/>
  <c r="DT35" i="3479" a="1"/>
  <c r="DT35" i="3479" s="1"/>
  <c r="DV35" i="3479" a="1"/>
  <c r="DV35" i="3479" s="1"/>
  <c r="DU35" i="3479" a="1"/>
  <c r="DU35" i="3479" s="1"/>
  <c r="AI25" i="3419" a="1"/>
  <c r="AI25" i="3419" s="1"/>
  <c r="AG25" i="3419" a="1"/>
  <c r="AG25" i="3419" s="1"/>
  <c r="AH55" i="3419" a="1"/>
  <c r="AH55" i="3419" s="1"/>
  <c r="AJ55" i="3419" a="1"/>
  <c r="AJ55" i="3419" s="1"/>
  <c r="H34" i="3518"/>
  <c r="J34" i="3518" s="1"/>
  <c r="K34" i="3518" s="1"/>
  <c r="T34" i="3518"/>
  <c r="CC65" i="3479" a="1"/>
  <c r="CC65" i="3479" s="1"/>
  <c r="CB65" i="3479" a="1"/>
  <c r="CB65" i="3479" s="1"/>
  <c r="CA65" i="3479" a="1"/>
  <c r="CA65" i="3479" s="1"/>
  <c r="EZ53" i="3479" a="1"/>
  <c r="EZ53" i="3479" s="1"/>
  <c r="EY53" i="3479" a="1"/>
  <c r="EY53" i="3479" s="1"/>
  <c r="EX53" i="3479" a="1"/>
  <c r="EX53" i="3479" s="1"/>
  <c r="AD117" i="3528"/>
  <c r="AT117" i="3528"/>
  <c r="AR119" i="3528"/>
  <c r="AB119" i="3528"/>
  <c r="AX118" i="3528"/>
  <c r="AH118" i="3528"/>
  <c r="BL67" i="3479" a="1"/>
  <c r="BL67" i="3479" s="1"/>
  <c r="BM67" i="3479" a="1"/>
  <c r="BM67" i="3479" s="1"/>
  <c r="BN67" i="3479" a="1"/>
  <c r="BN67" i="3479" s="1"/>
  <c r="Z120" i="3528"/>
  <c r="AP120" i="3528"/>
  <c r="EY65" i="3479" a="1"/>
  <c r="EY65" i="3479" s="1"/>
  <c r="EX65" i="3479" a="1"/>
  <c r="EX65" i="3479" s="1"/>
  <c r="EZ65" i="3479" a="1"/>
  <c r="EZ65" i="3479" s="1"/>
  <c r="DG27" i="3479" a="1"/>
  <c r="DG27" i="3479" s="1"/>
  <c r="DF27" i="3479" a="1"/>
  <c r="DF27" i="3479" s="1"/>
  <c r="DE27" i="3479" a="1"/>
  <c r="DE27" i="3479" s="1"/>
  <c r="CR61" i="3479" a="1"/>
  <c r="CR61" i="3479" s="1"/>
  <c r="CQ61" i="3479" a="1"/>
  <c r="CQ61" i="3479" s="1"/>
  <c r="CP61" i="3479" a="1"/>
  <c r="CP61" i="3479" s="1"/>
  <c r="AJ67" i="3479" a="1"/>
  <c r="AJ67" i="3479" s="1"/>
  <c r="AI67" i="3479" a="1"/>
  <c r="AI67" i="3479" s="1"/>
  <c r="AH67" i="3479" a="1"/>
  <c r="AH67" i="3479" s="1"/>
  <c r="U39" i="3479" a="1"/>
  <c r="U39" i="3479" s="1"/>
  <c r="T39" i="3479" a="1"/>
  <c r="T39" i="3479" s="1"/>
  <c r="S39" i="3479" a="1"/>
  <c r="S39" i="3479" s="1"/>
  <c r="DV55" i="3479" a="1"/>
  <c r="DV55" i="3479" s="1"/>
  <c r="DU55" i="3479" a="1"/>
  <c r="DU55" i="3479" s="1"/>
  <c r="DT55" i="3479" a="1"/>
  <c r="DT55" i="3479" s="1"/>
  <c r="J47" i="3445" a="1"/>
  <c r="J47" i="3445" s="1"/>
  <c r="P47" i="3445" s="1"/>
  <c r="Q47" i="3445" s="1"/>
  <c r="AJ35" i="3479" a="1"/>
  <c r="AJ35" i="3479" s="1"/>
  <c r="AI35" i="3479" a="1"/>
  <c r="AI35" i="3479" s="1"/>
  <c r="AH35" i="3479" a="1"/>
  <c r="AH35" i="3479" s="1"/>
  <c r="I29" i="3570" a="1"/>
  <c r="I29" i="3570" s="1"/>
  <c r="BE29" i="3570" s="1"/>
  <c r="G29" i="3570" a="1"/>
  <c r="G29" i="3570" s="1"/>
  <c r="F29" i="3570" a="1"/>
  <c r="F29" i="3570" s="1"/>
  <c r="AL117" i="3528"/>
  <c r="V117" i="3528"/>
  <c r="J44" i="3445" a="1"/>
  <c r="J44" i="3445" s="1"/>
  <c r="P44" i="3445" s="1"/>
  <c r="Q44" i="3445" s="1"/>
  <c r="I27" i="3444"/>
  <c r="W120" i="3528"/>
  <c r="AM120" i="3528"/>
  <c r="V125" i="3528"/>
  <c r="AL125" i="3528"/>
  <c r="I48" i="3435" a="1"/>
  <c r="I48" i="3435" s="1"/>
  <c r="G48" i="3435" a="1"/>
  <c r="G48" i="3435" s="1"/>
  <c r="F48" i="3435" a="1"/>
  <c r="F48" i="3435" s="1"/>
  <c r="CP54" i="3479" a="1"/>
  <c r="CP54" i="3479" s="1"/>
  <c r="CR54" i="3479" a="1"/>
  <c r="CR54" i="3479" s="1"/>
  <c r="CQ54" i="3479" a="1"/>
  <c r="CQ54" i="3479" s="1"/>
  <c r="AH124" i="3528"/>
  <c r="AX124" i="3528"/>
  <c r="AT21" i="3479" a="1"/>
  <c r="AT21" i="3479" s="1"/>
  <c r="AU21" i="3479" s="1" a="1"/>
  <c r="AU21" i="3479" s="1"/>
  <c r="T26" i="3518"/>
  <c r="H26" i="3518"/>
  <c r="J26" i="3518" s="1"/>
  <c r="K26" i="3518" s="1"/>
  <c r="T55" i="3518"/>
  <c r="H55" i="3518"/>
  <c r="J55" i="3518" s="1"/>
  <c r="K55" i="3518" s="1"/>
  <c r="AM118" i="3528"/>
  <c r="W118" i="3528"/>
  <c r="AG134" i="3528"/>
  <c r="AW134" i="3528"/>
  <c r="V144" i="3528"/>
  <c r="AL144" i="3528"/>
  <c r="EK45" i="3479" a="1"/>
  <c r="EK45" i="3479" s="1"/>
  <c r="EI45" i="3479" a="1"/>
  <c r="EI45" i="3479" s="1"/>
  <c r="EJ45" i="3479" a="1"/>
  <c r="EJ45" i="3479" s="1"/>
  <c r="P54" i="3479" a="1"/>
  <c r="P54" i="3479" s="1"/>
  <c r="Q54" i="3479" s="1" a="1"/>
  <c r="Q54" i="3479" s="1"/>
  <c r="J26" i="3445" a="1"/>
  <c r="J26" i="3445" s="1"/>
  <c r="P26" i="3445" s="1"/>
  <c r="Q26" i="3445" s="1"/>
  <c r="BM57" i="3479" a="1"/>
  <c r="BM57" i="3479" s="1"/>
  <c r="BN57" i="3479" a="1"/>
  <c r="BN57" i="3479" s="1"/>
  <c r="BL57" i="3479" a="1"/>
  <c r="BL57" i="3479" s="1"/>
  <c r="CP32" i="3479" a="1"/>
  <c r="CP32" i="3479" s="1"/>
  <c r="CQ32" i="3479" a="1"/>
  <c r="CQ32" i="3479" s="1"/>
  <c r="CR32" i="3479" a="1"/>
  <c r="CR32" i="3479" s="1"/>
  <c r="AK143" i="3528"/>
  <c r="U143" i="3528"/>
  <c r="I56" i="3436"/>
  <c r="S75" i="3445" s="1" a="1"/>
  <c r="S75" i="3445" s="1"/>
  <c r="T75" i="3445" s="1"/>
  <c r="DT67" i="3479" a="1"/>
  <c r="DT67" i="3479" s="1"/>
  <c r="DU67" i="3479" a="1"/>
  <c r="DU67" i="3479" s="1"/>
  <c r="DV67" i="3479" a="1"/>
  <c r="DV67" i="3479" s="1"/>
  <c r="AH27" i="3479" a="1"/>
  <c r="AH27" i="3479" s="1"/>
  <c r="AI27" i="3479" a="1"/>
  <c r="AI27" i="3479" s="1"/>
  <c r="AJ27" i="3479" a="1"/>
  <c r="AJ27" i="3479" s="1"/>
  <c r="AU142" i="3528"/>
  <c r="AE142" i="3528"/>
  <c r="G52" i="3435" a="1"/>
  <c r="G52" i="3435" s="1"/>
  <c r="I52" i="3435" a="1"/>
  <c r="I52" i="3435" s="1"/>
  <c r="AI52" i="3435" s="1"/>
  <c r="F52" i="3435" a="1"/>
  <c r="F52" i="3435" s="1"/>
  <c r="F49" i="3435" a="1"/>
  <c r="F49" i="3435" s="1"/>
  <c r="G49" i="3435" a="1"/>
  <c r="G49" i="3435" s="1"/>
  <c r="I49" i="3435" a="1"/>
  <c r="I49" i="3435" s="1"/>
  <c r="AI49" i="3435" s="1"/>
  <c r="AL137" i="3528"/>
  <c r="V137" i="3528"/>
  <c r="AX132" i="3528"/>
  <c r="AH132" i="3528"/>
  <c r="EK32" i="3479" a="1"/>
  <c r="EK32" i="3479" s="1"/>
  <c r="EJ32" i="3479" a="1"/>
  <c r="EJ32" i="3479" s="1"/>
  <c r="EI32" i="3479" a="1"/>
  <c r="EI32" i="3479" s="1"/>
  <c r="AY64" i="3479" a="1"/>
  <c r="AY64" i="3479" s="1"/>
  <c r="AW64" i="3479" a="1"/>
  <c r="AW64" i="3479" s="1"/>
  <c r="AX64" i="3479" a="1"/>
  <c r="AX64" i="3479" s="1"/>
  <c r="X68" i="3480"/>
  <c r="W68" i="3480"/>
  <c r="AY23" i="3479" a="1"/>
  <c r="AY23" i="3479" s="1"/>
  <c r="AX23" i="3479" a="1"/>
  <c r="AX23" i="3479" s="1"/>
  <c r="AW23" i="3479" a="1"/>
  <c r="AW23" i="3479" s="1"/>
  <c r="CR21" i="3479" a="1"/>
  <c r="CR21" i="3479" s="1"/>
  <c r="CQ21" i="3479" a="1"/>
  <c r="CQ21" i="3479" s="1"/>
  <c r="CP21" i="3479" a="1"/>
  <c r="CP21" i="3479" s="1"/>
  <c r="AH142" i="3528"/>
  <c r="AX142" i="3528"/>
  <c r="H37" i="3518"/>
  <c r="J37" i="3518" s="1"/>
  <c r="K37" i="3518" s="1"/>
  <c r="T37" i="3518"/>
  <c r="CC34" i="3479" a="1"/>
  <c r="CC34" i="3479" s="1"/>
  <c r="CB34" i="3479" a="1"/>
  <c r="CB34" i="3479" s="1"/>
  <c r="CA34" i="3479" a="1"/>
  <c r="CA34" i="3479" s="1"/>
  <c r="AH131" i="3528"/>
  <c r="AX131" i="3528"/>
  <c r="AD124" i="3528"/>
  <c r="AT124" i="3528"/>
  <c r="I16" i="3570" a="1"/>
  <c r="I16" i="3570" s="1"/>
  <c r="BE16" i="3570" s="1"/>
  <c r="G16" i="3570" a="1"/>
  <c r="G16" i="3570" s="1"/>
  <c r="F16" i="3570" a="1"/>
  <c r="F16" i="3570" s="1"/>
  <c r="EK23" i="3479" a="1"/>
  <c r="EK23" i="3479" s="1"/>
  <c r="EJ23" i="3479" a="1"/>
  <c r="EJ23" i="3479" s="1"/>
  <c r="EI23" i="3479" a="1"/>
  <c r="EI23" i="3479" s="1"/>
  <c r="CA63" i="3479" a="1"/>
  <c r="CA63" i="3479" s="1"/>
  <c r="CB63" i="3479" a="1"/>
  <c r="CB63" i="3479" s="1"/>
  <c r="CC63" i="3479" a="1"/>
  <c r="CC63" i="3479" s="1"/>
  <c r="EY52" i="3479" a="1"/>
  <c r="EY52" i="3479" s="1"/>
  <c r="EZ52" i="3479" a="1"/>
  <c r="EZ52" i="3479" s="1"/>
  <c r="EX52" i="3479" a="1"/>
  <c r="EX52" i="3479" s="1"/>
  <c r="CC38" i="3479" a="1"/>
  <c r="CC38" i="3479" s="1"/>
  <c r="CB38" i="3479" a="1"/>
  <c r="CB38" i="3479" s="1"/>
  <c r="CA38" i="3479" a="1"/>
  <c r="CA38" i="3479" s="1"/>
  <c r="AF138" i="3528"/>
  <c r="AV138" i="3528"/>
  <c r="I41" i="3444"/>
  <c r="J27" i="3445" a="1"/>
  <c r="J27" i="3445" s="1"/>
  <c r="P27" i="3445" s="1"/>
  <c r="Q27" i="3445" s="1"/>
  <c r="AC117" i="3528"/>
  <c r="AS117" i="3528"/>
  <c r="AF38" i="3419" a="1"/>
  <c r="AF38" i="3419" s="1"/>
  <c r="AK38" i="3419" a="1"/>
  <c r="AK38" i="3419" s="1"/>
  <c r="AJ53" i="3419" a="1"/>
  <c r="AJ53" i="3419" s="1"/>
  <c r="AD53" i="3419" a="1"/>
  <c r="AD53" i="3419" s="1"/>
  <c r="EK27" i="3479" a="1"/>
  <c r="EK27" i="3479" s="1"/>
  <c r="EJ27" i="3479" a="1"/>
  <c r="EJ27" i="3479" s="1"/>
  <c r="EI27" i="3479" a="1"/>
  <c r="EI27" i="3479" s="1"/>
  <c r="BX65" i="3479" a="1"/>
  <c r="BX65" i="3479" s="1"/>
  <c r="BY65" i="3479" s="1" a="1"/>
  <c r="BY65" i="3479" s="1"/>
  <c r="AX26" i="3479" a="1"/>
  <c r="AX26" i="3479" s="1"/>
  <c r="AW26" i="3479" a="1"/>
  <c r="AW26" i="3479" s="1"/>
  <c r="AY26" i="3479" a="1"/>
  <c r="AY26" i="3479" s="1"/>
  <c r="X86" i="3480"/>
  <c r="W86" i="3480"/>
  <c r="CP62" i="3479" a="1"/>
  <c r="CP62" i="3479" s="1"/>
  <c r="CR62" i="3479" a="1"/>
  <c r="CR62" i="3479" s="1"/>
  <c r="CQ62" i="3479" a="1"/>
  <c r="CQ62" i="3479" s="1"/>
  <c r="AC130" i="3528"/>
  <c r="AS130" i="3528"/>
  <c r="AG138" i="3528"/>
  <c r="AW138" i="3528"/>
  <c r="AH122" i="3528"/>
  <c r="AX122" i="3528"/>
  <c r="CM61" i="3479" a="1"/>
  <c r="CM61" i="3479" s="1"/>
  <c r="CN61" i="3479" s="1" a="1"/>
  <c r="CN61" i="3479" s="1"/>
  <c r="AE67" i="3479" a="1"/>
  <c r="AE67" i="3479" s="1"/>
  <c r="AF67" i="3479" s="1" a="1"/>
  <c r="AF67" i="3479" s="1"/>
  <c r="P39" i="3479" a="1"/>
  <c r="P39" i="3479" s="1"/>
  <c r="Q39" i="3479" s="1" a="1"/>
  <c r="Q39" i="3479" s="1"/>
  <c r="J82" i="3445" a="1"/>
  <c r="J82" i="3445" s="1"/>
  <c r="P82" i="3445" s="1"/>
  <c r="Q82" i="3445" s="1"/>
  <c r="U20" i="3436" a="1"/>
  <c r="U20" i="3436" s="1"/>
  <c r="J22" i="3444" s="1"/>
  <c r="AG133" i="3528"/>
  <c r="AW133" i="3528"/>
  <c r="AC122" i="3528"/>
  <c r="AS122" i="3528"/>
  <c r="U123" i="3528"/>
  <c r="AK123" i="3528"/>
  <c r="AQ121" i="3528"/>
  <c r="AA121" i="3528"/>
  <c r="BI70" i="3479" a="1"/>
  <c r="BI70" i="3479" s="1"/>
  <c r="BJ70" i="3479" s="1" a="1"/>
  <c r="BJ70" i="3479" s="1"/>
  <c r="AV120" i="3528"/>
  <c r="AF120" i="3528"/>
  <c r="DT24" i="3479" a="1"/>
  <c r="DT24" i="3479" s="1"/>
  <c r="DV24" i="3479" a="1"/>
  <c r="DV24" i="3479" s="1"/>
  <c r="DU24" i="3479" a="1"/>
  <c r="DU24" i="3479" s="1"/>
  <c r="CB57" i="3479" a="1"/>
  <c r="CB57" i="3479" s="1"/>
  <c r="CA57" i="3479" a="1"/>
  <c r="CA57" i="3479" s="1"/>
  <c r="CC57" i="3479" a="1"/>
  <c r="CC57" i="3479" s="1"/>
  <c r="AF143" i="3528"/>
  <c r="AV143" i="3528"/>
  <c r="AE140" i="3528"/>
  <c r="AU140" i="3528"/>
  <c r="AL136" i="3528"/>
  <c r="V136" i="3528"/>
  <c r="W141" i="3528"/>
  <c r="AM141" i="3528"/>
  <c r="B636" i="3449"/>
  <c r="B635" i="3449"/>
  <c r="EX46" i="3479" a="1"/>
  <c r="EX46" i="3479" s="1"/>
  <c r="EZ46" i="3479" a="1"/>
  <c r="EZ46" i="3479" s="1"/>
  <c r="EY46" i="3479" a="1"/>
  <c r="EY46" i="3479" s="1"/>
  <c r="DE39" i="3479" a="1"/>
  <c r="DE39" i="3479" s="1"/>
  <c r="DG39" i="3479" a="1"/>
  <c r="DG39" i="3479" s="1"/>
  <c r="DF39" i="3479" a="1"/>
  <c r="DF39" i="3479" s="1"/>
  <c r="AT68" i="3479" a="1"/>
  <c r="AT68" i="3479" s="1"/>
  <c r="AU68" i="3479" s="1" a="1"/>
  <c r="AU68" i="3479" s="1"/>
  <c r="BI64" i="3479" a="1"/>
  <c r="BI64" i="3479" s="1"/>
  <c r="BJ64" i="3479" s="1" a="1"/>
  <c r="BJ64" i="3479" s="1"/>
  <c r="T31" i="3518"/>
  <c r="H31" i="3518"/>
  <c r="J31" i="3518" s="1"/>
  <c r="K31" i="3518" s="1"/>
  <c r="I51" i="3436"/>
  <c r="S70" i="3445" s="1" a="1"/>
  <c r="S70" i="3445" s="1"/>
  <c r="T70" i="3445" s="1"/>
  <c r="BM35" i="3479" a="1"/>
  <c r="BM35" i="3479" s="1"/>
  <c r="BL35" i="3479" a="1"/>
  <c r="BL35" i="3479" s="1"/>
  <c r="BN35" i="3479" a="1"/>
  <c r="BN35" i="3479" s="1"/>
  <c r="I27" i="3436"/>
  <c r="AT46" i="3479" a="1"/>
  <c r="AT46" i="3479" s="1"/>
  <c r="AU46" i="3479" s="1" a="1"/>
  <c r="AU46" i="3479" s="1"/>
  <c r="J76" i="3445" a="1"/>
  <c r="J76" i="3445" s="1"/>
  <c r="P76" i="3445" s="1"/>
  <c r="Q76" i="3445" s="1"/>
  <c r="W60" i="3480"/>
  <c r="X60" i="3480"/>
  <c r="AW117" i="3528"/>
  <c r="AG117" i="3528"/>
  <c r="DV56" i="3479" a="1"/>
  <c r="DV56" i="3479" s="1"/>
  <c r="DU56" i="3479" a="1"/>
  <c r="DU56" i="3479" s="1"/>
  <c r="DT56" i="3479" a="1"/>
  <c r="DT56" i="3479" s="1"/>
  <c r="H61" i="3518"/>
  <c r="J61" i="3518" s="1"/>
  <c r="K61" i="3518" s="1"/>
  <c r="T61" i="3518"/>
  <c r="AI40" i="3479" a="1"/>
  <c r="AI40" i="3479" s="1"/>
  <c r="AH40" i="3479" a="1"/>
  <c r="AH40" i="3479" s="1"/>
  <c r="AJ40" i="3479" a="1"/>
  <c r="AJ40" i="3479" s="1"/>
  <c r="EK57" i="3479" a="1"/>
  <c r="EK57" i="3479" s="1"/>
  <c r="EI57" i="3479" a="1"/>
  <c r="EI57" i="3479" s="1"/>
  <c r="EJ57" i="3479" a="1"/>
  <c r="EJ57" i="3479" s="1"/>
  <c r="CM60" i="3479" a="1"/>
  <c r="CM60" i="3479" s="1"/>
  <c r="CN60" i="3479" s="1" a="1"/>
  <c r="CN60" i="3479" s="1"/>
  <c r="G26" i="3435" a="1"/>
  <c r="G26" i="3435" s="1"/>
  <c r="I26" i="3435" a="1"/>
  <c r="I26" i="3435" s="1"/>
  <c r="AI26" i="3435" s="1"/>
  <c r="F26" i="3435" a="1"/>
  <c r="F26" i="3435" s="1"/>
  <c r="I56" i="3435" a="1"/>
  <c r="I56" i="3435" s="1"/>
  <c r="AI56" i="3435" s="1"/>
  <c r="G56" i="3435" a="1"/>
  <c r="G56" i="3435" s="1"/>
  <c r="F56" i="3435" a="1"/>
  <c r="F56" i="3435" s="1"/>
  <c r="CB42" i="3479" a="1"/>
  <c r="CB42" i="3479" s="1"/>
  <c r="CC42" i="3479" a="1"/>
  <c r="CC42" i="3479" s="1"/>
  <c r="CA42" i="3479" a="1"/>
  <c r="CA42" i="3479" s="1"/>
  <c r="AV123" i="3528"/>
  <c r="AF123" i="3528"/>
  <c r="DF11" i="3421" a="1"/>
  <c r="DF11" i="3421" s="1"/>
  <c r="FE11" i="3421" s="1"/>
  <c r="HD11" i="3421" s="1"/>
  <c r="CT11" i="3421" a="1"/>
  <c r="CT11" i="3421" s="1"/>
  <c r="ES11" i="3421" s="1"/>
  <c r="GR11" i="3421" s="1"/>
  <c r="CH11" i="3421" a="1"/>
  <c r="CH11" i="3421" s="1"/>
  <c r="EG11" i="3421" s="1"/>
  <c r="GF11" i="3421" s="1"/>
  <c r="BV11" i="3421" a="1"/>
  <c r="BV11" i="3421" s="1"/>
  <c r="DU11" i="3421" s="1"/>
  <c r="FT11" i="3421" s="1"/>
  <c r="DE11" i="3421" a="1"/>
  <c r="DE11" i="3421" s="1"/>
  <c r="FD11" i="3421" s="1"/>
  <c r="HC11" i="3421" s="1"/>
  <c r="CS11" i="3421" a="1"/>
  <c r="CS11" i="3421" s="1"/>
  <c r="ER11" i="3421" s="1"/>
  <c r="GQ11" i="3421" s="1"/>
  <c r="CG11" i="3421" a="1"/>
  <c r="CG11" i="3421" s="1"/>
  <c r="EF11" i="3421" s="1"/>
  <c r="GE11" i="3421" s="1"/>
  <c r="BU11" i="3421" a="1"/>
  <c r="BU11" i="3421" s="1"/>
  <c r="DT11" i="3421" s="1"/>
  <c r="FS11" i="3421" s="1"/>
  <c r="DD11" i="3421" a="1"/>
  <c r="DD11" i="3421" s="1"/>
  <c r="FC11" i="3421" s="1"/>
  <c r="HB11" i="3421" s="1"/>
  <c r="CR11" i="3421" a="1"/>
  <c r="CR11" i="3421" s="1"/>
  <c r="EQ11" i="3421" s="1"/>
  <c r="GP11" i="3421" s="1"/>
  <c r="CF11" i="3421" a="1"/>
  <c r="CF11" i="3421" s="1"/>
  <c r="EE11" i="3421" s="1"/>
  <c r="GD11" i="3421" s="1"/>
  <c r="BT11" i="3421" a="1"/>
  <c r="BT11" i="3421" s="1"/>
  <c r="DS11" i="3421" s="1"/>
  <c r="FR11" i="3421" s="1"/>
  <c r="DK11" i="3421" a="1"/>
  <c r="DK11" i="3421" s="1"/>
  <c r="FJ11" i="3421" s="1"/>
  <c r="HI11" i="3421" s="1"/>
  <c r="CY11" i="3421" a="1"/>
  <c r="CY11" i="3421" s="1"/>
  <c r="EX11" i="3421" s="1"/>
  <c r="GW11" i="3421" s="1"/>
  <c r="CM11" i="3421" a="1"/>
  <c r="CM11" i="3421" s="1"/>
  <c r="EL11" i="3421" s="1"/>
  <c r="GK11" i="3421" s="1"/>
  <c r="CA11" i="3421" a="1"/>
  <c r="CA11" i="3421" s="1"/>
  <c r="DZ11" i="3421" s="1"/>
  <c r="FY11" i="3421" s="1"/>
  <c r="DG11" i="3421" a="1"/>
  <c r="DG11" i="3421" s="1"/>
  <c r="FF11" i="3421" s="1"/>
  <c r="HE11" i="3421" s="1"/>
  <c r="CU11" i="3421" a="1"/>
  <c r="CU11" i="3421" s="1"/>
  <c r="ET11" i="3421" s="1"/>
  <c r="GS11" i="3421" s="1"/>
  <c r="CI11" i="3421" a="1"/>
  <c r="CI11" i="3421" s="1"/>
  <c r="EH11" i="3421" s="1"/>
  <c r="GG11" i="3421" s="1"/>
  <c r="BW11" i="3421" a="1"/>
  <c r="BW11" i="3421" s="1"/>
  <c r="DV11" i="3421" s="1"/>
  <c r="FU11" i="3421" s="1"/>
  <c r="CJ11" i="3421" a="1"/>
  <c r="CJ11" i="3421" s="1"/>
  <c r="EI11" i="3421" s="1"/>
  <c r="GH11" i="3421" s="1"/>
  <c r="DA11" i="3421" a="1"/>
  <c r="DA11" i="3421" s="1"/>
  <c r="EZ11" i="3421" s="1"/>
  <c r="GY11" i="3421" s="1"/>
  <c r="CZ11" i="3421" a="1"/>
  <c r="CZ11" i="3421" s="1"/>
  <c r="EY11" i="3421" s="1"/>
  <c r="GX11" i="3421" s="1"/>
  <c r="CE11" i="3421" a="1"/>
  <c r="CE11" i="3421" s="1"/>
  <c r="ED11" i="3421" s="1"/>
  <c r="GC11" i="3421" s="1"/>
  <c r="CW11" i="3421" a="1"/>
  <c r="CW11" i="3421" s="1"/>
  <c r="EV11" i="3421" s="1"/>
  <c r="GU11" i="3421" s="1"/>
  <c r="CC11" i="3421" a="1"/>
  <c r="CC11" i="3421" s="1"/>
  <c r="EB11" i="3421" s="1"/>
  <c r="GA11" i="3421" s="1"/>
  <c r="DI11" i="3421" a="1"/>
  <c r="DI11" i="3421" s="1"/>
  <c r="FH11" i="3421" s="1"/>
  <c r="HG11" i="3421" s="1"/>
  <c r="CO11" i="3421" a="1"/>
  <c r="CO11" i="3421" s="1"/>
  <c r="EN11" i="3421" s="1"/>
  <c r="GM11" i="3421" s="1"/>
  <c r="CK11" i="3421" a="1"/>
  <c r="CK11" i="3421" s="1"/>
  <c r="EJ11" i="3421" s="1"/>
  <c r="GI11" i="3421" s="1"/>
  <c r="BQ11" i="3421" a="1"/>
  <c r="BQ11" i="3421" s="1"/>
  <c r="DP11" i="3421" s="1"/>
  <c r="FO11" i="3421" s="1"/>
  <c r="DC11" i="3421" a="1"/>
  <c r="DC11" i="3421" s="1"/>
  <c r="FB11" i="3421" s="1"/>
  <c r="HA11" i="3421" s="1"/>
  <c r="DB11" i="3421" a="1"/>
  <c r="DB11" i="3421" s="1"/>
  <c r="FA11" i="3421" s="1"/>
  <c r="GZ11" i="3421" s="1"/>
  <c r="BZ11" i="3421" a="1"/>
  <c r="BZ11" i="3421" s="1"/>
  <c r="DY11" i="3421" s="1"/>
  <c r="FX11" i="3421" s="1"/>
  <c r="CX11" i="3421" a="1"/>
  <c r="CX11" i="3421" s="1"/>
  <c r="EW11" i="3421" s="1"/>
  <c r="GV11" i="3421" s="1"/>
  <c r="BY11" i="3421" a="1"/>
  <c r="BY11" i="3421" s="1"/>
  <c r="DX11" i="3421" s="1"/>
  <c r="FW11" i="3421" s="1"/>
  <c r="BX11" i="3421" a="1"/>
  <c r="BX11" i="3421" s="1"/>
  <c r="DW11" i="3421" s="1"/>
  <c r="FV11" i="3421" s="1"/>
  <c r="CV11" i="3421" a="1"/>
  <c r="CV11" i="3421" s="1"/>
  <c r="EU11" i="3421" s="1"/>
  <c r="GT11" i="3421" s="1"/>
  <c r="BS11" i="3421" a="1"/>
  <c r="BS11" i="3421" s="1"/>
  <c r="DR11" i="3421" s="1"/>
  <c r="FQ11" i="3421" s="1"/>
  <c r="CQ11" i="3421" a="1"/>
  <c r="CQ11" i="3421" s="1"/>
  <c r="EP11" i="3421" s="1"/>
  <c r="GO11" i="3421" s="1"/>
  <c r="BR11" i="3421" a="1"/>
  <c r="BR11" i="3421" s="1"/>
  <c r="DQ11" i="3421" s="1"/>
  <c r="FP11" i="3421" s="1"/>
  <c r="M11" i="3421"/>
  <c r="L11" i="3421"/>
  <c r="CP11" i="3421" a="1"/>
  <c r="CP11" i="3421" s="1"/>
  <c r="EO11" i="3421" s="1"/>
  <c r="GN11" i="3421" s="1"/>
  <c r="DN11" i="3421" a="1"/>
  <c r="DN11" i="3421" s="1"/>
  <c r="FM11" i="3421" s="1"/>
  <c r="HL11" i="3421" s="1"/>
  <c r="DM11" i="3421" a="1"/>
  <c r="DM11" i="3421" s="1"/>
  <c r="FL11" i="3421" s="1"/>
  <c r="HK11" i="3421" s="1"/>
  <c r="CN11" i="3421" a="1"/>
  <c r="CN11" i="3421" s="1"/>
  <c r="EM11" i="3421" s="1"/>
  <c r="GL11" i="3421" s="1"/>
  <c r="DL11" i="3421" a="1"/>
  <c r="DL11" i="3421" s="1"/>
  <c r="FK11" i="3421" s="1"/>
  <c r="HJ11" i="3421" s="1"/>
  <c r="CL11" i="3421" a="1"/>
  <c r="CL11" i="3421" s="1"/>
  <c r="EK11" i="3421" s="1"/>
  <c r="GJ11" i="3421" s="1"/>
  <c r="CB11" i="3421" a="1"/>
  <c r="CB11" i="3421" s="1"/>
  <c r="EA11" i="3421" s="1"/>
  <c r="FZ11" i="3421" s="1"/>
  <c r="DJ11" i="3421" a="1"/>
  <c r="DJ11" i="3421" s="1"/>
  <c r="FI11" i="3421" s="1"/>
  <c r="HH11" i="3421" s="1"/>
  <c r="DH11" i="3421" a="1"/>
  <c r="DH11" i="3421" s="1"/>
  <c r="FG11" i="3421" s="1"/>
  <c r="HF11" i="3421" s="1"/>
  <c r="CD11" i="3421" a="1"/>
  <c r="CD11" i="3421" s="1"/>
  <c r="EC11" i="3421" s="1"/>
  <c r="GB11" i="3421" s="1"/>
  <c r="AW118" i="3528"/>
  <c r="AG118" i="3528"/>
  <c r="AT57" i="3479" a="1"/>
  <c r="AT57" i="3479" s="1"/>
  <c r="AU57" i="3479" s="1" a="1"/>
  <c r="AU57" i="3479" s="1"/>
  <c r="AW120" i="3528"/>
  <c r="AG120" i="3528"/>
  <c r="H22" i="3518"/>
  <c r="J22" i="3518" s="1"/>
  <c r="K22" i="3518" s="1"/>
  <c r="T22" i="3518"/>
  <c r="I36" i="3444"/>
  <c r="J53" i="3445" a="1"/>
  <c r="J53" i="3445" s="1"/>
  <c r="P53" i="3445" s="1"/>
  <c r="Q53" i="3445" s="1"/>
  <c r="EX56" i="3479" a="1"/>
  <c r="EX56" i="3479" s="1"/>
  <c r="EY56" i="3479" a="1"/>
  <c r="EY56" i="3479" s="1"/>
  <c r="EZ56" i="3479" a="1"/>
  <c r="EZ56" i="3479" s="1"/>
  <c r="AI127" i="3528"/>
  <c r="AY127" i="3528"/>
  <c r="BX34" i="3479" a="1"/>
  <c r="BX34" i="3479" s="1"/>
  <c r="BY34" i="3479" s="1" a="1"/>
  <c r="BY34" i="3479" s="1"/>
  <c r="DG56" i="3479" a="1"/>
  <c r="DG56" i="3479" s="1"/>
  <c r="DF56" i="3479" a="1"/>
  <c r="DF56" i="3479" s="1"/>
  <c r="DE56" i="3479" a="1"/>
  <c r="DE56" i="3479" s="1"/>
  <c r="AL138" i="3528"/>
  <c r="V138" i="3528"/>
  <c r="I64" i="3570" a="1"/>
  <c r="I64" i="3570" s="1"/>
  <c r="BE64" i="3570" s="1"/>
  <c r="G64" i="3570" a="1"/>
  <c r="G64" i="3570" s="1"/>
  <c r="F64" i="3570" a="1"/>
  <c r="F64" i="3570" s="1"/>
  <c r="AJ69" i="3479" a="1"/>
  <c r="AJ69" i="3479" s="1"/>
  <c r="AI69" i="3479" a="1"/>
  <c r="AI69" i="3479" s="1"/>
  <c r="AH69" i="3479" a="1"/>
  <c r="AH69" i="3479" s="1"/>
  <c r="AT44" i="3479" a="1"/>
  <c r="AT44" i="3479" s="1"/>
  <c r="AU44" i="3479" s="1" a="1"/>
  <c r="AU44" i="3479" s="1"/>
  <c r="CC23" i="3479" a="1"/>
  <c r="CC23" i="3479" s="1"/>
  <c r="CB23" i="3479" a="1"/>
  <c r="CB23" i="3479" s="1"/>
  <c r="CA23" i="3479" a="1"/>
  <c r="CA23" i="3479" s="1"/>
  <c r="BX38" i="3479" a="1"/>
  <c r="BX38" i="3479" s="1"/>
  <c r="BY38" i="3479" s="1" a="1"/>
  <c r="BY38" i="3479" s="1"/>
  <c r="AV142" i="3528"/>
  <c r="AF142" i="3528"/>
  <c r="AJ71" i="3479" a="1"/>
  <c r="AJ71" i="3479" s="1"/>
  <c r="AI71" i="3479" a="1"/>
  <c r="AI71" i="3479" s="1"/>
  <c r="AH71" i="3479" a="1"/>
  <c r="AH71" i="3479" s="1"/>
  <c r="AJ68" i="3479" a="1"/>
  <c r="AJ68" i="3479" s="1"/>
  <c r="AH68" i="3479" a="1"/>
  <c r="AH68" i="3479" s="1"/>
  <c r="AI68" i="3479" a="1"/>
  <c r="AI68" i="3479" s="1"/>
  <c r="J49" i="3445" a="1"/>
  <c r="J49" i="3445" s="1"/>
  <c r="P49" i="3445" s="1"/>
  <c r="Q49" i="3445" s="1"/>
  <c r="AP121" i="3528"/>
  <c r="Z121" i="3528"/>
  <c r="AJ30" i="3419" a="1"/>
  <c r="AJ30" i="3419" s="1"/>
  <c r="AF30" i="3419" a="1"/>
  <c r="AF30" i="3419" s="1"/>
  <c r="AK50" i="3419" a="1"/>
  <c r="AK50" i="3419" s="1"/>
  <c r="AE50" i="3419" a="1"/>
  <c r="AE50" i="3419" s="1"/>
  <c r="X89" i="3480"/>
  <c r="W89" i="3480"/>
  <c r="AA117" i="3528"/>
  <c r="AQ117" i="3528"/>
  <c r="AH121" i="3528"/>
  <c r="AX121" i="3528"/>
  <c r="AE60" i="3479" a="1"/>
  <c r="AE60" i="3479" s="1"/>
  <c r="AF60" i="3479" s="1" a="1"/>
  <c r="AF60" i="3479" s="1"/>
  <c r="BX62" i="3479" a="1"/>
  <c r="BX62" i="3479" s="1"/>
  <c r="BY62" i="3479" s="1" a="1"/>
  <c r="BY62" i="3479" s="1"/>
  <c r="EJ51" i="3479" a="1"/>
  <c r="EJ51" i="3479" s="1"/>
  <c r="EI51" i="3479" a="1"/>
  <c r="EI51" i="3479" s="1"/>
  <c r="EK51" i="3479" a="1"/>
  <c r="EK51" i="3479" s="1"/>
  <c r="CP28" i="3479" a="1"/>
  <c r="CP28" i="3479" s="1"/>
  <c r="CR28" i="3479" a="1"/>
  <c r="CR28" i="3479" s="1"/>
  <c r="CQ28" i="3479" a="1"/>
  <c r="CQ28" i="3479" s="1"/>
  <c r="T66" i="3479" a="1"/>
  <c r="T66" i="3479" s="1"/>
  <c r="S66" i="3479" a="1"/>
  <c r="S66" i="3479" s="1"/>
  <c r="U66" i="3479" a="1"/>
  <c r="U66" i="3479" s="1"/>
  <c r="AL121" i="3528"/>
  <c r="V121" i="3528"/>
  <c r="T39" i="3518"/>
  <c r="H39" i="3518"/>
  <c r="J39" i="3518" s="1"/>
  <c r="K39" i="3518" s="1"/>
  <c r="AV119" i="3434" a="1"/>
  <c r="AV119" i="3434" s="1"/>
  <c r="AQ144" i="3528"/>
  <c r="AA144" i="3528"/>
  <c r="Z119" i="3528"/>
  <c r="AP119" i="3528"/>
  <c r="DE57" i="3479" a="1"/>
  <c r="DE57" i="3479" s="1"/>
  <c r="DG57" i="3479" a="1"/>
  <c r="DG57" i="3479" s="1"/>
  <c r="DF57" i="3479" a="1"/>
  <c r="DF57" i="3479" s="1"/>
  <c r="BM36" i="3479" a="1"/>
  <c r="BM36" i="3479" s="1"/>
  <c r="BN36" i="3479" a="1"/>
  <c r="BN36" i="3479" s="1"/>
  <c r="BL36" i="3479" a="1"/>
  <c r="BL36" i="3479" s="1"/>
  <c r="CR30" i="3479" a="1"/>
  <c r="CR30" i="3479" s="1"/>
  <c r="CQ30" i="3479" a="1"/>
  <c r="CQ30" i="3479" s="1"/>
  <c r="CP30" i="3479" a="1"/>
  <c r="CP30" i="3479" s="1"/>
  <c r="EI35" i="3479" a="1"/>
  <c r="EI35" i="3479" s="1"/>
  <c r="EK35" i="3479" a="1"/>
  <c r="EK35" i="3479" s="1"/>
  <c r="EJ35" i="3479" a="1"/>
  <c r="EJ35" i="3479" s="1"/>
  <c r="AA137" i="3528"/>
  <c r="AQ137" i="3528"/>
  <c r="EK70" i="3479" a="1"/>
  <c r="EK70" i="3479" s="1"/>
  <c r="EJ70" i="3479" a="1"/>
  <c r="EJ70" i="3479" s="1"/>
  <c r="EI70" i="3479" a="1"/>
  <c r="EI70" i="3479" s="1"/>
  <c r="AF118" i="3528"/>
  <c r="AV118" i="3528"/>
  <c r="AH119" i="3528"/>
  <c r="AX119" i="3528"/>
  <c r="X144" i="3528"/>
  <c r="AN144" i="3528"/>
  <c r="Y119" i="3528"/>
  <c r="AO119" i="3528"/>
  <c r="X70" i="3480"/>
  <c r="W70" i="3480"/>
  <c r="CQ65" i="3479" a="1"/>
  <c r="CQ65" i="3479" s="1"/>
  <c r="CR65" i="3479" a="1"/>
  <c r="CR65" i="3479" s="1"/>
  <c r="CP65" i="3479" a="1"/>
  <c r="CP65" i="3479" s="1"/>
  <c r="AH26" i="3479" a="1"/>
  <c r="AH26" i="3479" s="1"/>
  <c r="AJ26" i="3479" a="1"/>
  <c r="AJ26" i="3479" s="1"/>
  <c r="AI26" i="3479" a="1"/>
  <c r="AI26" i="3479" s="1"/>
  <c r="AE64" i="3479" a="1"/>
  <c r="AE64" i="3479" s="1"/>
  <c r="AF64" i="3479" s="1" a="1"/>
  <c r="AF64" i="3479" s="1"/>
  <c r="I50" i="3436"/>
  <c r="AQ123" i="3528"/>
  <c r="AA123" i="3528"/>
  <c r="BT16" i="3564"/>
  <c r="CA15" i="3564"/>
  <c r="CA45" i="3479" a="1"/>
  <c r="CA45" i="3479" s="1"/>
  <c r="CB45" i="3479" a="1"/>
  <c r="CB45" i="3479" s="1"/>
  <c r="CC45" i="3479" a="1"/>
  <c r="CC45" i="3479" s="1"/>
  <c r="F44" i="3435" a="1"/>
  <c r="F44" i="3435" s="1"/>
  <c r="I44" i="3435" a="1"/>
  <c r="I44" i="3435" s="1"/>
  <c r="AI44" i="3435" s="1"/>
  <c r="G44" i="3435" a="1"/>
  <c r="G44" i="3435" s="1"/>
  <c r="T38" i="3518"/>
  <c r="H38" i="3518"/>
  <c r="J38" i="3518" s="1"/>
  <c r="K38" i="3518" s="1"/>
  <c r="BN70" i="3479" a="1"/>
  <c r="BN70" i="3479" s="1"/>
  <c r="BM70" i="3479" a="1"/>
  <c r="BM70" i="3479" s="1"/>
  <c r="BL70" i="3479" a="1"/>
  <c r="BL70" i="3479" s="1"/>
  <c r="AF124" i="3528"/>
  <c r="AV124" i="3528"/>
  <c r="BI10" i="3421" a="1"/>
  <c r="BI10" i="3421" s="1"/>
  <c r="AW10" i="3421" a="1"/>
  <c r="AW10" i="3421" s="1"/>
  <c r="AK10" i="3421" a="1"/>
  <c r="AK10" i="3421" s="1"/>
  <c r="Y10" i="3421" a="1"/>
  <c r="Y10" i="3421" s="1"/>
  <c r="BH10" i="3421" a="1"/>
  <c r="BH10" i="3421" s="1"/>
  <c r="AV10" i="3421" a="1"/>
  <c r="AV10" i="3421" s="1"/>
  <c r="AJ10" i="3421" a="1"/>
  <c r="AJ10" i="3421" s="1"/>
  <c r="X10" i="3421" a="1"/>
  <c r="X10" i="3421" s="1"/>
  <c r="BG10" i="3421" a="1"/>
  <c r="BG10" i="3421" s="1"/>
  <c r="AU10" i="3421" a="1"/>
  <c r="AU10" i="3421" s="1"/>
  <c r="AI10" i="3421" a="1"/>
  <c r="AI10" i="3421" s="1"/>
  <c r="W10" i="3421" a="1"/>
  <c r="W10" i="3421" s="1"/>
  <c r="BN10" i="3421" a="1"/>
  <c r="BN10" i="3421" s="1"/>
  <c r="BB10" i="3421" a="1"/>
  <c r="BB10" i="3421" s="1"/>
  <c r="AP10" i="3421" a="1"/>
  <c r="AP10" i="3421" s="1"/>
  <c r="AD10" i="3421" a="1"/>
  <c r="AD10" i="3421" s="1"/>
  <c r="R10" i="3421" a="1"/>
  <c r="R10" i="3421" s="1"/>
  <c r="BJ10" i="3421" a="1"/>
  <c r="BJ10" i="3421" s="1"/>
  <c r="AX10" i="3421" a="1"/>
  <c r="AX10" i="3421" s="1"/>
  <c r="AL10" i="3421" a="1"/>
  <c r="AL10" i="3421" s="1"/>
  <c r="Z10" i="3421" a="1"/>
  <c r="Z10" i="3421" s="1"/>
  <c r="AY10" i="3421" a="1"/>
  <c r="AY10" i="3421" s="1"/>
  <c r="AE10" i="3421" a="1"/>
  <c r="AE10" i="3421" s="1"/>
  <c r="AC10" i="3421" a="1"/>
  <c r="AC10" i="3421" s="1"/>
  <c r="BO10" i="3421" a="1"/>
  <c r="BO10" i="3421" s="1"/>
  <c r="AT10" i="3421" a="1"/>
  <c r="AT10" i="3421" s="1"/>
  <c r="BL10" i="3421" a="1"/>
  <c r="BL10" i="3421" s="1"/>
  <c r="AR10" i="3421" a="1"/>
  <c r="AR10" i="3421" s="1"/>
  <c r="BD10" i="3421" a="1"/>
  <c r="BD10" i="3421" s="1"/>
  <c r="AZ10" i="3421" a="1"/>
  <c r="AZ10" i="3421" s="1"/>
  <c r="AF10" i="3421" a="1"/>
  <c r="AF10" i="3421" s="1"/>
  <c r="BF10" i="3421" a="1"/>
  <c r="BF10" i="3421" s="1"/>
  <c r="AG10" i="3421" a="1"/>
  <c r="AG10" i="3421" s="1"/>
  <c r="BE10" i="3421" a="1"/>
  <c r="BE10" i="3421" s="1"/>
  <c r="AB10" i="3421" a="1"/>
  <c r="AB10" i="3421" s="1"/>
  <c r="BC10" i="3421" a="1"/>
  <c r="BC10" i="3421" s="1"/>
  <c r="AA10" i="3421" a="1"/>
  <c r="AA10" i="3421" s="1"/>
  <c r="BA10" i="3421" a="1"/>
  <c r="BA10" i="3421" s="1"/>
  <c r="V10" i="3421" a="1"/>
  <c r="V10" i="3421" s="1"/>
  <c r="U10" i="3421" a="1"/>
  <c r="U10" i="3421" s="1"/>
  <c r="AS10" i="3421" a="1"/>
  <c r="AS10" i="3421" s="1"/>
  <c r="T10" i="3421" a="1"/>
  <c r="T10" i="3421" s="1"/>
  <c r="S10" i="3421" a="1"/>
  <c r="S10" i="3421" s="1"/>
  <c r="AQ10" i="3421" a="1"/>
  <c r="AQ10" i="3421" s="1"/>
  <c r="BK10" i="3421" a="1"/>
  <c r="BK10" i="3421" s="1"/>
  <c r="AH10" i="3421" a="1"/>
  <c r="AH10" i="3421" s="1"/>
  <c r="BM10" i="3421" a="1"/>
  <c r="BM10" i="3421" s="1"/>
  <c r="AO10" i="3421" a="1"/>
  <c r="AO10" i="3421" s="1"/>
  <c r="AN10" i="3421" a="1"/>
  <c r="AN10" i="3421" s="1"/>
  <c r="AM10" i="3421" a="1"/>
  <c r="AM10" i="3421" s="1"/>
  <c r="CC36" i="3479" a="1"/>
  <c r="CC36" i="3479" s="1"/>
  <c r="CB36" i="3479" a="1"/>
  <c r="CB36" i="3479" s="1"/>
  <c r="CA36" i="3479" a="1"/>
  <c r="CA36" i="3479" s="1"/>
  <c r="EZ47" i="3479" a="1"/>
  <c r="EZ47" i="3479" s="1"/>
  <c r="EX47" i="3479" a="1"/>
  <c r="EX47" i="3479" s="1"/>
  <c r="EY47" i="3479" a="1"/>
  <c r="EY47" i="3479" s="1"/>
  <c r="AB145" i="3528"/>
  <c r="AR145" i="3528"/>
  <c r="BX61" i="3479" a="1"/>
  <c r="BX61" i="3479" s="1"/>
  <c r="BY61" i="3479" s="1" a="1"/>
  <c r="BY61" i="3479" s="1"/>
  <c r="AP145" i="3528"/>
  <c r="Z145" i="3528"/>
  <c r="AB120" i="3528"/>
  <c r="AR120" i="3528"/>
  <c r="T19" i="3518"/>
  <c r="H19" i="3518"/>
  <c r="J19" i="3518" s="1"/>
  <c r="K19" i="3518" s="1"/>
  <c r="AD137" i="3528"/>
  <c r="AT137" i="3528"/>
  <c r="Z137" i="3528"/>
  <c r="AP137" i="3528"/>
  <c r="AC132" i="3528"/>
  <c r="AS132" i="3528"/>
  <c r="AN121" i="3528"/>
  <c r="X121" i="3528"/>
  <c r="BW10" i="3421" a="1"/>
  <c r="BW10" i="3421" s="1"/>
  <c r="DV10" i="3421" s="1"/>
  <c r="FU10" i="3421" s="1"/>
  <c r="DN10" i="3421" a="1"/>
  <c r="DN10" i="3421" s="1"/>
  <c r="FM10" i="3421" s="1"/>
  <c r="HL10" i="3421" s="1"/>
  <c r="L10" i="3421"/>
  <c r="M10" i="3421"/>
  <c r="DF45" i="3479" a="1"/>
  <c r="DF45" i="3479" s="1"/>
  <c r="DE45" i="3479" a="1"/>
  <c r="DE45" i="3479" s="1"/>
  <c r="DG45" i="3479" a="1"/>
  <c r="DG45" i="3479" s="1"/>
  <c r="AF137" i="3528"/>
  <c r="AV137" i="3528"/>
  <c r="BN28" i="3479" a="1"/>
  <c r="BN28" i="3479" s="1"/>
  <c r="BM28" i="3479" a="1"/>
  <c r="BM28" i="3479" s="1"/>
  <c r="BL28" i="3479" a="1"/>
  <c r="BL28" i="3479" s="1"/>
  <c r="T9" i="3561"/>
  <c r="Z9" i="3561" s="1"/>
  <c r="Y9" i="3561"/>
  <c r="X9" i="3561"/>
  <c r="DG21" i="3479" a="1"/>
  <c r="DG21" i="3479" s="1"/>
  <c r="DF21" i="3479" a="1"/>
  <c r="DF21" i="3479" s="1"/>
  <c r="DE21" i="3479" a="1"/>
  <c r="DE21" i="3479" s="1"/>
  <c r="AX68" i="3479" a="1"/>
  <c r="AX68" i="3479" s="1"/>
  <c r="AW68" i="3479" a="1"/>
  <c r="AW68" i="3479" s="1"/>
  <c r="AY68" i="3479" a="1"/>
  <c r="AY68" i="3479" s="1"/>
  <c r="BL64" i="3479" a="1"/>
  <c r="BL64" i="3479" s="1"/>
  <c r="BN64" i="3479" a="1"/>
  <c r="BN64" i="3479" s="1"/>
  <c r="BM64" i="3479" a="1"/>
  <c r="BM64" i="3479" s="1"/>
  <c r="AV144" i="3528"/>
  <c r="AF144" i="3528"/>
  <c r="AT122" i="3528"/>
  <c r="AD122" i="3528"/>
  <c r="AY46" i="3479" a="1"/>
  <c r="AY46" i="3479" s="1"/>
  <c r="AW46" i="3479" a="1"/>
  <c r="AW46" i="3479" s="1"/>
  <c r="AX46" i="3479" a="1"/>
  <c r="AX46" i="3479" s="1"/>
  <c r="AH145" i="3528"/>
  <c r="AX145" i="3528"/>
  <c r="T29" i="3518"/>
  <c r="H29" i="3518"/>
  <c r="J29" i="3518" s="1"/>
  <c r="K29" i="3518" s="1"/>
  <c r="AG131" i="3528"/>
  <c r="AW131" i="3528"/>
  <c r="U117" i="3528"/>
  <c r="AK117" i="3528"/>
  <c r="EJ43" i="3479" a="1"/>
  <c r="EJ43" i="3479" s="1"/>
  <c r="EI43" i="3479" a="1"/>
  <c r="EI43" i="3479" s="1"/>
  <c r="EK43" i="3479" a="1"/>
  <c r="EK43" i="3479" s="1"/>
  <c r="DU46" i="3479" a="1"/>
  <c r="DU46" i="3479" s="1"/>
  <c r="DV46" i="3479" a="1"/>
  <c r="DV46" i="3479" s="1"/>
  <c r="DT46" i="3479" a="1"/>
  <c r="DT46" i="3479" s="1"/>
  <c r="CP60" i="3479" a="1"/>
  <c r="CP60" i="3479" s="1"/>
  <c r="CR60" i="3479" a="1"/>
  <c r="CR60" i="3479" s="1"/>
  <c r="CQ60" i="3479" a="1"/>
  <c r="CQ60" i="3479" s="1"/>
  <c r="G33" i="3435" a="1"/>
  <c r="G33" i="3435" s="1"/>
  <c r="F33" i="3435" a="1"/>
  <c r="F33" i="3435" s="1"/>
  <c r="I33" i="3435" a="1"/>
  <c r="I33" i="3435" s="1"/>
  <c r="AI33" i="3435" s="1"/>
  <c r="G47" i="3435" a="1"/>
  <c r="G47" i="3435" s="1"/>
  <c r="F47" i="3435" a="1"/>
  <c r="F47" i="3435" s="1"/>
  <c r="I47" i="3435" a="1"/>
  <c r="I47" i="3435" s="1"/>
  <c r="AI47" i="3435" s="1"/>
  <c r="AU117" i="3528"/>
  <c r="AE117" i="3528"/>
  <c r="DU70" i="3479" a="1"/>
  <c r="DU70" i="3479" s="1"/>
  <c r="DT70" i="3479" a="1"/>
  <c r="DT70" i="3479" s="1"/>
  <c r="DV70" i="3479" a="1"/>
  <c r="DV70" i="3479" s="1"/>
  <c r="EK50" i="3479" a="1"/>
  <c r="EK50" i="3479" s="1"/>
  <c r="EJ50" i="3479" a="1"/>
  <c r="EJ50" i="3479" s="1"/>
  <c r="EI50" i="3479" a="1"/>
  <c r="EI50" i="3479" s="1"/>
  <c r="AX57" i="3479" a="1"/>
  <c r="AX57" i="3479" s="1"/>
  <c r="AW57" i="3479" a="1"/>
  <c r="AW57" i="3479" s="1"/>
  <c r="AY57" i="3479" a="1"/>
  <c r="AY57" i="3479" s="1"/>
  <c r="AT139" i="3528"/>
  <c r="AD139" i="3528"/>
  <c r="I67" i="3436"/>
  <c r="S86" i="3445" s="1" a="1"/>
  <c r="S86" i="3445" s="1"/>
  <c r="T86" i="3445" s="1"/>
  <c r="AY34" i="3479" a="1"/>
  <c r="AY34" i="3479" s="1"/>
  <c r="AX34" i="3479" a="1"/>
  <c r="AX34" i="3479" s="1"/>
  <c r="AW34" i="3479" a="1"/>
  <c r="AW34" i="3479" s="1"/>
  <c r="AE46" i="3479" a="1"/>
  <c r="AE46" i="3479" s="1"/>
  <c r="AF46" i="3479" s="1" a="1"/>
  <c r="AF46" i="3479" s="1"/>
  <c r="AK119" i="3528"/>
  <c r="U119" i="3528"/>
  <c r="I32" i="3570" a="1"/>
  <c r="I32" i="3570" s="1"/>
  <c r="BE32" i="3570" s="1"/>
  <c r="G32" i="3570" a="1"/>
  <c r="G32" i="3570" s="1"/>
  <c r="F32" i="3570" a="1"/>
  <c r="F32" i="3570" s="1"/>
  <c r="I34" i="3570" a="1"/>
  <c r="I34" i="3570" s="1"/>
  <c r="BE34" i="3570" s="1"/>
  <c r="F34" i="3570" a="1"/>
  <c r="F34" i="3570" s="1"/>
  <c r="G34" i="3570" a="1"/>
  <c r="G34" i="3570" s="1"/>
  <c r="G63" i="3570" a="1"/>
  <c r="G63" i="3570" s="1"/>
  <c r="I63" i="3570" a="1"/>
  <c r="I63" i="3570" s="1"/>
  <c r="BE63" i="3570" s="1"/>
  <c r="F63" i="3570" a="1"/>
  <c r="F63" i="3570" s="1"/>
  <c r="AY44" i="3479" a="1"/>
  <c r="AY44" i="3479" s="1"/>
  <c r="AX44" i="3479" a="1"/>
  <c r="AX44" i="3479" s="1"/>
  <c r="AW44" i="3479" a="1"/>
  <c r="AW44" i="3479" s="1"/>
  <c r="AT28" i="3479" a="1"/>
  <c r="AT28" i="3479" s="1"/>
  <c r="AU28" i="3479" s="1" a="1"/>
  <c r="AU28" i="3479" s="1"/>
  <c r="AK141" i="3528"/>
  <c r="U141" i="3528"/>
  <c r="AB142" i="3528"/>
  <c r="AR142" i="3528"/>
  <c r="T21" i="3518"/>
  <c r="H21" i="3518"/>
  <c r="J21" i="3518" s="1"/>
  <c r="K21" i="3518" s="1"/>
  <c r="AC45" i="3419" a="1"/>
  <c r="AC45" i="3419" s="1"/>
  <c r="AI45" i="3419" a="1"/>
  <c r="AI45" i="3419" s="1"/>
  <c r="AI60" i="3479" a="1"/>
  <c r="AI60" i="3479" s="1"/>
  <c r="AH60" i="3479" a="1"/>
  <c r="AH60" i="3479" s="1"/>
  <c r="AJ60" i="3479" a="1"/>
  <c r="AJ60" i="3479" s="1"/>
  <c r="CC62" i="3479" a="1"/>
  <c r="CC62" i="3479" s="1"/>
  <c r="CB62" i="3479" a="1"/>
  <c r="CB62" i="3479" s="1"/>
  <c r="CA62" i="3479" a="1"/>
  <c r="CA62" i="3479" s="1"/>
  <c r="BX60" i="3479" a="1"/>
  <c r="BX60" i="3479" s="1"/>
  <c r="BY60" i="3479" s="1" a="1"/>
  <c r="BY60" i="3479" s="1"/>
  <c r="CR67" i="3479" a="1"/>
  <c r="CR67" i="3479" s="1"/>
  <c r="CQ67" i="3479" a="1"/>
  <c r="CQ67" i="3479" s="1"/>
  <c r="CP67" i="3479" a="1"/>
  <c r="CP67" i="3479" s="1"/>
  <c r="AX120" i="3528"/>
  <c r="AH120" i="3528"/>
  <c r="J90" i="3445" a="1"/>
  <c r="J90" i="3445" s="1"/>
  <c r="P90" i="3445" s="1"/>
  <c r="Q90" i="3445" s="1"/>
  <c r="AH64" i="3479" a="1"/>
  <c r="AH64" i="3479" s="1"/>
  <c r="AJ64" i="3479" a="1"/>
  <c r="AJ64" i="3479" s="1"/>
  <c r="AI64" i="3479" a="1"/>
  <c r="AI64" i="3479" s="1"/>
  <c r="AE123" i="3528"/>
  <c r="AU123" i="3528"/>
  <c r="CQ53" i="3479" a="1"/>
  <c r="CQ53" i="3479" s="1"/>
  <c r="CR53" i="3479" a="1"/>
  <c r="CR53" i="3479" s="1"/>
  <c r="CP53" i="3479" a="1"/>
  <c r="CP53" i="3479" s="1"/>
  <c r="AT129" i="3528"/>
  <c r="AD129" i="3528"/>
  <c r="W55" i="3480"/>
  <c r="X55" i="3480"/>
  <c r="H53" i="3518"/>
  <c r="J53" i="3518" s="1"/>
  <c r="K53" i="3518" s="1"/>
  <c r="T53" i="3518"/>
  <c r="I46" i="3435" a="1"/>
  <c r="I46" i="3435" s="1"/>
  <c r="AI46" i="3435" s="1"/>
  <c r="F46" i="3435" a="1"/>
  <c r="F46" i="3435" s="1"/>
  <c r="G46" i="3435" a="1"/>
  <c r="G46" i="3435" s="1"/>
  <c r="I30" i="3435" a="1"/>
  <c r="I30" i="3435" s="1"/>
  <c r="AI30" i="3435" s="1"/>
  <c r="F30" i="3435" a="1"/>
  <c r="F30" i="3435" s="1"/>
  <c r="G30" i="3435" a="1"/>
  <c r="G30" i="3435" s="1"/>
  <c r="AH133" i="3528"/>
  <c r="AX133" i="3528"/>
  <c r="X77" i="3480"/>
  <c r="W77" i="3480"/>
  <c r="DV62" i="3479" a="1"/>
  <c r="DV62" i="3479" s="1"/>
  <c r="DT62" i="3479" a="1"/>
  <c r="DT62" i="3479" s="1"/>
  <c r="DU62" i="3479" a="1"/>
  <c r="DU62" i="3479" s="1"/>
  <c r="CR56" i="3479" a="1"/>
  <c r="CR56" i="3479" s="1"/>
  <c r="CP56" i="3479" a="1"/>
  <c r="CP56" i="3479" s="1"/>
  <c r="CQ56" i="3479" a="1"/>
  <c r="CQ56" i="3479" s="1"/>
  <c r="AR139" i="3528"/>
  <c r="AB139" i="3528"/>
  <c r="AJ46" i="3479" a="1"/>
  <c r="AJ46" i="3479" s="1"/>
  <c r="AI46" i="3479" a="1"/>
  <c r="AI46" i="3479" s="1"/>
  <c r="AH46" i="3479" a="1"/>
  <c r="AH46" i="3479" s="1"/>
  <c r="AE121" i="3528"/>
  <c r="AU121" i="3528"/>
  <c r="G51" i="3570" a="1"/>
  <c r="G51" i="3570" s="1"/>
  <c r="F51" i="3570" a="1"/>
  <c r="F51" i="3570" s="1"/>
  <c r="I51" i="3570" a="1"/>
  <c r="I51" i="3570" s="1"/>
  <c r="BE51" i="3570" s="1"/>
  <c r="G39" i="3570" a="1"/>
  <c r="G39" i="3570" s="1"/>
  <c r="I39" i="3570" a="1"/>
  <c r="I39" i="3570" s="1"/>
  <c r="BE39" i="3570" s="1"/>
  <c r="F39" i="3570" a="1"/>
  <c r="F39" i="3570" s="1"/>
  <c r="I17" i="3570" a="1"/>
  <c r="I17" i="3570" s="1"/>
  <c r="BE17" i="3570" s="1"/>
  <c r="F17" i="3570" a="1"/>
  <c r="F17" i="3570" s="1"/>
  <c r="G17" i="3570" a="1"/>
  <c r="G17" i="3570" s="1"/>
  <c r="J40" i="3445" a="1"/>
  <c r="J40" i="3445" s="1"/>
  <c r="P40" i="3445" s="1"/>
  <c r="Q40" i="3445" s="1"/>
  <c r="I23" i="3444"/>
  <c r="AE53" i="3479" a="1"/>
  <c r="AE53" i="3479" s="1"/>
  <c r="AF53" i="3479" s="1" a="1"/>
  <c r="AF53" i="3479" s="1"/>
  <c r="EI30" i="3479" a="1"/>
  <c r="EI30" i="3479" s="1"/>
  <c r="EK30" i="3479" a="1"/>
  <c r="EK30" i="3479" s="1"/>
  <c r="EJ30" i="3479" a="1"/>
  <c r="EJ30" i="3479" s="1"/>
  <c r="CM39" i="3479" a="1"/>
  <c r="CM39" i="3479" s="1"/>
  <c r="CN39" i="3479" s="1" a="1"/>
  <c r="CN39" i="3479" s="1"/>
  <c r="DG60" i="3479" a="1"/>
  <c r="DG60" i="3479" s="1"/>
  <c r="DF60" i="3479" a="1"/>
  <c r="DF60" i="3479" s="1"/>
  <c r="DE60" i="3479" a="1"/>
  <c r="DE60" i="3479" s="1"/>
  <c r="AX28" i="3479" a="1"/>
  <c r="AX28" i="3479" s="1"/>
  <c r="AY28" i="3479" a="1"/>
  <c r="AY28" i="3479" s="1"/>
  <c r="AW28" i="3479" a="1"/>
  <c r="AW28" i="3479" s="1"/>
  <c r="AS127" i="3528"/>
  <c r="AC127" i="3528"/>
  <c r="AH139" i="3528"/>
  <c r="AX139" i="3528"/>
  <c r="AT39" i="3479" a="1"/>
  <c r="AT39" i="3479" s="1"/>
  <c r="AU39" i="3479" s="1" a="1"/>
  <c r="AU39" i="3479" s="1"/>
  <c r="DU42" i="3479" a="1"/>
  <c r="DU42" i="3479" s="1"/>
  <c r="DT42" i="3479" a="1"/>
  <c r="DT42" i="3479" s="1"/>
  <c r="DV42" i="3479" a="1"/>
  <c r="DV42" i="3479" s="1"/>
  <c r="DG67" i="3479" a="1"/>
  <c r="DG67" i="3479" s="1"/>
  <c r="DF67" i="3479" a="1"/>
  <c r="DF67" i="3479" s="1"/>
  <c r="DE67" i="3479" a="1"/>
  <c r="DE67" i="3479" s="1"/>
  <c r="AN133" i="3528"/>
  <c r="X133" i="3528"/>
  <c r="AJ42" i="3419" a="1"/>
  <c r="AJ42" i="3419" s="1"/>
  <c r="AD42" i="3419" a="1"/>
  <c r="AD42" i="3419" s="1"/>
  <c r="AD52" i="3419" a="1"/>
  <c r="AD52" i="3419" s="1"/>
  <c r="AK52" i="3419" a="1"/>
  <c r="AK52" i="3419" s="1"/>
  <c r="AG145" i="3528"/>
  <c r="AW145" i="3528"/>
  <c r="AU139" i="3434" a="1"/>
  <c r="AU139" i="3434" s="1"/>
  <c r="AW139" i="3434" s="1"/>
  <c r="AU134" i="3434" a="1"/>
  <c r="AU134" i="3434" s="1"/>
  <c r="AW134" i="3434" s="1"/>
  <c r="AU133" i="3434" a="1"/>
  <c r="AU133" i="3434" s="1"/>
  <c r="AU128" i="3434" a="1"/>
  <c r="AU128" i="3434" s="1"/>
  <c r="AW128" i="3434" s="1"/>
  <c r="AU124" i="3434" a="1"/>
  <c r="AU124" i="3434" s="1"/>
  <c r="AW124" i="3434" s="1"/>
  <c r="AU112" i="3434" a="1"/>
  <c r="AU112" i="3434" s="1"/>
  <c r="AW112" i="3434" s="1"/>
  <c r="AU97" i="3434" a="1"/>
  <c r="AU97" i="3434" s="1"/>
  <c r="AW97" i="3434" s="1"/>
  <c r="AU131" i="3434" a="1"/>
  <c r="AU131" i="3434" s="1"/>
  <c r="AW131" i="3434" s="1"/>
  <c r="AU126" i="3434" a="1"/>
  <c r="AU126" i="3434" s="1"/>
  <c r="AW126" i="3434" s="1"/>
  <c r="AU118" i="3434" a="1"/>
  <c r="AU118" i="3434" s="1"/>
  <c r="AW118" i="3434" s="1"/>
  <c r="AU144" i="3434" a="1"/>
  <c r="AU144" i="3434" s="1"/>
  <c r="AW144" i="3434" s="1"/>
  <c r="AU138" i="3434" a="1"/>
  <c r="AU138" i="3434" s="1"/>
  <c r="AW138" i="3434" s="1"/>
  <c r="AU135" i="3434" a="1"/>
  <c r="AU135" i="3434" s="1"/>
  <c r="AW135" i="3434" s="1"/>
  <c r="AU119" i="3434" a="1"/>
  <c r="AU119" i="3434" s="1"/>
  <c r="AU111" i="3434" a="1"/>
  <c r="AU111" i="3434" s="1"/>
  <c r="AW111" i="3434" s="1"/>
  <c r="AU141" i="3434" a="1"/>
  <c r="AU141" i="3434" s="1"/>
  <c r="AW141" i="3434" s="1"/>
  <c r="AU127" i="3434" a="1"/>
  <c r="AU127" i="3434" s="1"/>
  <c r="AW127" i="3434" s="1"/>
  <c r="AU132" i="3434" a="1"/>
  <c r="AU132" i="3434" s="1"/>
  <c r="AW132" i="3434" s="1"/>
  <c r="AU121" i="3434" a="1"/>
  <c r="AU121" i="3434" s="1"/>
  <c r="AW121" i="3434" s="1"/>
  <c r="AU136" i="3434" a="1"/>
  <c r="AU136" i="3434" s="1"/>
  <c r="AW136" i="3434" s="1"/>
  <c r="AU113" i="3434" a="1"/>
  <c r="AU113" i="3434" s="1"/>
  <c r="AW113" i="3434" s="1"/>
  <c r="AU142" i="3434" a="1"/>
  <c r="AU142" i="3434" s="1"/>
  <c r="AW142" i="3434" s="1"/>
  <c r="AU129" i="3434" a="1"/>
  <c r="AU129" i="3434" s="1"/>
  <c r="AW129" i="3434" s="1"/>
  <c r="AU140" i="3434" a="1"/>
  <c r="AU140" i="3434" s="1"/>
  <c r="AW140" i="3434" s="1"/>
  <c r="AU130" i="3434" a="1"/>
  <c r="AU130" i="3434" s="1"/>
  <c r="AW130" i="3434" s="1"/>
  <c r="AU125" i="3434" a="1"/>
  <c r="AU125" i="3434" s="1"/>
  <c r="AW125" i="3434" s="1"/>
  <c r="AU102" i="3434" a="1"/>
  <c r="AU102" i="3434" s="1"/>
  <c r="AW102" i="3434" s="1"/>
  <c r="AU143" i="3434" a="1"/>
  <c r="AU143" i="3434" s="1"/>
  <c r="AW143" i="3434" s="1"/>
  <c r="AU108" i="3434" a="1"/>
  <c r="AU108" i="3434" s="1"/>
  <c r="AW108" i="3434" s="1"/>
  <c r="AU105" i="3434" a="1"/>
  <c r="AU105" i="3434" s="1"/>
  <c r="AW105" i="3434" s="1"/>
  <c r="B18" i="3434"/>
  <c r="AU114" i="3434" a="1"/>
  <c r="AU114" i="3434" s="1"/>
  <c r="AU100" i="3434" a="1"/>
  <c r="AU100" i="3434" s="1"/>
  <c r="AW100" i="3434" s="1"/>
  <c r="AU116" i="3434" a="1"/>
  <c r="AU116" i="3434" s="1"/>
  <c r="AW116" i="3434" s="1"/>
  <c r="AU106" i="3434" a="1"/>
  <c r="AU106" i="3434" s="1"/>
  <c r="AW106" i="3434" s="1"/>
  <c r="AU103" i="3434" a="1"/>
  <c r="AU103" i="3434" s="1"/>
  <c r="AU137" i="3434" a="1"/>
  <c r="AU137" i="3434" s="1"/>
  <c r="AW137" i="3434" s="1"/>
  <c r="AU123" i="3434" a="1"/>
  <c r="AU123" i="3434" s="1"/>
  <c r="AW123" i="3434" s="1"/>
  <c r="AU120" i="3434" a="1"/>
  <c r="AU120" i="3434" s="1"/>
  <c r="AW120" i="3434" s="1"/>
  <c r="AU101" i="3434" a="1"/>
  <c r="AU101" i="3434" s="1"/>
  <c r="AU107" i="3434" a="1"/>
  <c r="AU107" i="3434" s="1"/>
  <c r="AW107" i="3434" s="1"/>
  <c r="AU115" i="3434" a="1"/>
  <c r="AU115" i="3434" s="1"/>
  <c r="AU122" i="3434" a="1"/>
  <c r="AU122" i="3434" s="1"/>
  <c r="AU117" i="3434" a="1"/>
  <c r="AU117" i="3434" s="1"/>
  <c r="AW117" i="3434" s="1"/>
  <c r="AU110" i="3434" a="1"/>
  <c r="AU110" i="3434" s="1"/>
  <c r="AW110" i="3434" s="1"/>
  <c r="AU104" i="3434" a="1"/>
  <c r="AU104" i="3434" s="1"/>
  <c r="AW104" i="3434" s="1"/>
  <c r="AU98" i="3434" a="1"/>
  <c r="AU98" i="3434" s="1"/>
  <c r="AW98" i="3434" s="1"/>
  <c r="AU99" i="3434" a="1"/>
  <c r="AU99" i="3434" s="1"/>
  <c r="AW99" i="3434" s="1"/>
  <c r="AU109" i="3434" a="1"/>
  <c r="AU109" i="3434" s="1"/>
  <c r="AW109" i="3434" s="1"/>
  <c r="AU96" i="3434" a="1"/>
  <c r="AU96" i="3434" s="1"/>
  <c r="AW96" i="3434" s="1"/>
  <c r="AU95" i="3434" a="1"/>
  <c r="AU95" i="3434" s="1"/>
  <c r="AW95" i="3434" s="1"/>
  <c r="AE43" i="3479" a="1"/>
  <c r="AE43" i="3479" s="1"/>
  <c r="AF43" i="3479" s="1" a="1"/>
  <c r="AF43" i="3479" s="1"/>
  <c r="AT70" i="3479" a="1"/>
  <c r="AT70" i="3479" s="1"/>
  <c r="AU70" i="3479" s="1" a="1"/>
  <c r="AU70" i="3479" s="1"/>
  <c r="AE62" i="3479" a="1"/>
  <c r="AE62" i="3479" s="1"/>
  <c r="AF62" i="3479" s="1" a="1"/>
  <c r="AF62" i="3479" s="1"/>
  <c r="CB60" i="3479" a="1"/>
  <c r="CB60" i="3479" s="1"/>
  <c r="CC60" i="3479" a="1"/>
  <c r="CC60" i="3479" s="1"/>
  <c r="CA60" i="3479" a="1"/>
  <c r="CA60" i="3479" s="1"/>
  <c r="AK138" i="3528"/>
  <c r="U138" i="3528"/>
  <c r="AQ124" i="3528"/>
  <c r="AA124" i="3528"/>
  <c r="X76" i="3480"/>
  <c r="W76" i="3480"/>
  <c r="EZ39" i="3479" a="1"/>
  <c r="EZ39" i="3479" s="1"/>
  <c r="EY39" i="3479" a="1"/>
  <c r="EY39" i="3479" s="1"/>
  <c r="EX39" i="3479" a="1"/>
  <c r="EX39" i="3479" s="1"/>
  <c r="X78" i="3480"/>
  <c r="W78" i="3480"/>
  <c r="AL119" i="3528"/>
  <c r="V119" i="3528"/>
  <c r="U79" i="3436" a="1"/>
  <c r="U79" i="3436" s="1"/>
  <c r="J81" i="3444" s="1"/>
  <c r="I32" i="3436"/>
  <c r="S51" i="3445" s="1" a="1"/>
  <c r="S51" i="3445" s="1"/>
  <c r="T51" i="3445" s="1"/>
  <c r="CP70" i="3479" a="1"/>
  <c r="CP70" i="3479" s="1"/>
  <c r="CQ70" i="3479" a="1"/>
  <c r="CQ70" i="3479" s="1"/>
  <c r="CR70" i="3479" a="1"/>
  <c r="CR70" i="3479" s="1"/>
  <c r="DV68" i="3479" a="1"/>
  <c r="DV68" i="3479" s="1"/>
  <c r="DT68" i="3479" a="1"/>
  <c r="DT68" i="3479" s="1"/>
  <c r="DU68" i="3479" a="1"/>
  <c r="DU68" i="3479" s="1"/>
  <c r="EZ30" i="3479" a="1"/>
  <c r="EZ30" i="3479" s="1"/>
  <c r="EX30" i="3479" a="1"/>
  <c r="EX30" i="3479" s="1"/>
  <c r="EY30" i="3479" a="1"/>
  <c r="EY30" i="3479" s="1"/>
  <c r="AG121" i="3528"/>
  <c r="AW121" i="3528"/>
  <c r="DF37" i="3479" a="1"/>
  <c r="DF37" i="3479" s="1"/>
  <c r="DE37" i="3479" a="1"/>
  <c r="DE37" i="3479" s="1"/>
  <c r="DG37" i="3479" a="1"/>
  <c r="DG37" i="3479" s="1"/>
  <c r="CM70" i="3479" a="1"/>
  <c r="CM70" i="3479" s="1"/>
  <c r="CN70" i="3479" s="1" a="1"/>
  <c r="CN70" i="3479" s="1"/>
  <c r="X58" i="3480"/>
  <c r="W58" i="3480"/>
  <c r="J52" i="3445" a="1"/>
  <c r="J52" i="3445" s="1"/>
  <c r="P52" i="3445" s="1"/>
  <c r="Q52" i="3445" s="1"/>
  <c r="DG35" i="3479" a="1"/>
  <c r="DG35" i="3479" s="1"/>
  <c r="DF35" i="3479" a="1"/>
  <c r="DF35" i="3479" s="1"/>
  <c r="DE35" i="3479" a="1"/>
  <c r="DE35" i="3479" s="1"/>
  <c r="AO136" i="3528"/>
  <c r="Y136" i="3528"/>
  <c r="AN136" i="3528"/>
  <c r="X136" i="3528"/>
  <c r="AK131" i="3528"/>
  <c r="U131" i="3528"/>
  <c r="H52" i="3518"/>
  <c r="J52" i="3518" s="1"/>
  <c r="K52" i="3518" s="1"/>
  <c r="T52" i="3518"/>
  <c r="X90" i="3480"/>
  <c r="W90" i="3480"/>
  <c r="AM135" i="3528"/>
  <c r="W135" i="3528"/>
  <c r="DT50" i="3479" a="1"/>
  <c r="DT50" i="3479" s="1"/>
  <c r="DV50" i="3479" a="1"/>
  <c r="DV50" i="3479" s="1"/>
  <c r="DU50" i="3479" a="1"/>
  <c r="DU50" i="3479" s="1"/>
  <c r="P50" i="3479" a="1"/>
  <c r="P50" i="3479" s="1"/>
  <c r="Q50" i="3479" s="1" a="1"/>
  <c r="Q50" i="3479" s="1"/>
  <c r="I63" i="3435" a="1"/>
  <c r="I63" i="3435" s="1"/>
  <c r="AI63" i="3435" s="1"/>
  <c r="G63" i="3435" a="1"/>
  <c r="G63" i="3435" s="1"/>
  <c r="F63" i="3435" a="1"/>
  <c r="F63" i="3435" s="1"/>
  <c r="G54" i="3435" a="1"/>
  <c r="G54" i="3435" s="1"/>
  <c r="F54" i="3435" a="1"/>
  <c r="F54" i="3435" s="1"/>
  <c r="I54" i="3435" a="1"/>
  <c r="I54" i="3435" s="1"/>
  <c r="AI54" i="3435" s="1"/>
  <c r="AU131" i="3528"/>
  <c r="AE131" i="3528"/>
  <c r="U56" i="3479" a="1"/>
  <c r="U56" i="3479" s="1"/>
  <c r="T56" i="3479" a="1"/>
  <c r="T56" i="3479" s="1"/>
  <c r="S56" i="3479" a="1"/>
  <c r="S56" i="3479" s="1"/>
  <c r="CM56" i="3479" a="1"/>
  <c r="CM56" i="3479" s="1"/>
  <c r="CN56" i="3479" s="1" a="1"/>
  <c r="CN56" i="3479" s="1"/>
  <c r="S42" i="3479" a="1"/>
  <c r="S42" i="3479" s="1"/>
  <c r="U42" i="3479" a="1"/>
  <c r="U42" i="3479" s="1"/>
  <c r="T42" i="3479" a="1"/>
  <c r="T42" i="3479" s="1"/>
  <c r="EY45" i="3479" a="1"/>
  <c r="EY45" i="3479" s="1"/>
  <c r="EZ45" i="3479" a="1"/>
  <c r="EZ45" i="3479" s="1"/>
  <c r="EX45" i="3479" a="1"/>
  <c r="EX45" i="3479" s="1"/>
  <c r="AI30" i="3479" a="1"/>
  <c r="AI30" i="3479" s="1"/>
  <c r="AH30" i="3479" a="1"/>
  <c r="AH30" i="3479" s="1"/>
  <c r="AJ30" i="3479" a="1"/>
  <c r="AJ30" i="3479" s="1"/>
  <c r="AU144" i="3528"/>
  <c r="AE144" i="3528"/>
  <c r="U70" i="3479" a="1"/>
  <c r="U70" i="3479" s="1"/>
  <c r="T70" i="3479" a="1"/>
  <c r="T70" i="3479" s="1"/>
  <c r="S70" i="3479" a="1"/>
  <c r="S70" i="3479" s="1"/>
  <c r="F36" i="3570" a="1"/>
  <c r="F36" i="3570" s="1"/>
  <c r="G36" i="3570" a="1"/>
  <c r="G36" i="3570" s="1"/>
  <c r="I36" i="3570" a="1"/>
  <c r="I36" i="3570" s="1"/>
  <c r="BE36" i="3570" s="1"/>
  <c r="I18" i="3570" a="1"/>
  <c r="I18" i="3570" s="1"/>
  <c r="BE18" i="3570" s="1"/>
  <c r="F18" i="3570" a="1"/>
  <c r="F18" i="3570" s="1"/>
  <c r="G18" i="3570" a="1"/>
  <c r="G18" i="3570" s="1"/>
  <c r="I78" i="3444"/>
  <c r="U76" i="3436" a="1"/>
  <c r="U76" i="3436" s="1"/>
  <c r="J78" i="3444" s="1"/>
  <c r="AI53" i="3479" a="1"/>
  <c r="AI53" i="3479" s="1"/>
  <c r="AH53" i="3479" a="1"/>
  <c r="AH53" i="3479" s="1"/>
  <c r="AJ53" i="3479" a="1"/>
  <c r="AJ53" i="3479" s="1"/>
  <c r="CR39" i="3479" a="1"/>
  <c r="CR39" i="3479" s="1"/>
  <c r="CQ39" i="3479" a="1"/>
  <c r="CQ39" i="3479" s="1"/>
  <c r="CP39" i="3479" a="1"/>
  <c r="CP39" i="3479" s="1"/>
  <c r="AW39" i="3479" a="1"/>
  <c r="AW39" i="3479" s="1"/>
  <c r="AY39" i="3479" a="1"/>
  <c r="AY39" i="3479" s="1"/>
  <c r="AX39" i="3479" a="1"/>
  <c r="AX39" i="3479" s="1"/>
  <c r="AM136" i="3528"/>
  <c r="W136" i="3528"/>
  <c r="H46" i="3518"/>
  <c r="J46" i="3518" s="1"/>
  <c r="K46" i="3518" s="1"/>
  <c r="T46" i="3518"/>
  <c r="AJ20" i="3419" a="1"/>
  <c r="AJ20" i="3419" s="1"/>
  <c r="AD20" i="3419" a="1"/>
  <c r="AD20" i="3419" s="1"/>
  <c r="AK59" i="3419" a="1"/>
  <c r="AK59" i="3419" s="1"/>
  <c r="AD59" i="3419" a="1"/>
  <c r="AD59" i="3419" s="1"/>
  <c r="AK136" i="3528"/>
  <c r="U136" i="3528"/>
  <c r="AH43" i="3479" a="1"/>
  <c r="AH43" i="3479" s="1"/>
  <c r="AJ43" i="3479" a="1"/>
  <c r="AJ43" i="3479" s="1"/>
  <c r="AI43" i="3479" a="1"/>
  <c r="AI43" i="3479" s="1"/>
  <c r="AW70" i="3479" a="1"/>
  <c r="AW70" i="3479" s="1"/>
  <c r="AX70" i="3479" a="1"/>
  <c r="AX70" i="3479" s="1"/>
  <c r="AY70" i="3479" a="1"/>
  <c r="AY70" i="3479" s="1"/>
  <c r="AH62" i="3479" a="1"/>
  <c r="AH62" i="3479" s="1"/>
  <c r="AJ62" i="3479" a="1"/>
  <c r="AJ62" i="3479" s="1"/>
  <c r="AI62" i="3479" a="1"/>
  <c r="AI62" i="3479" s="1"/>
  <c r="CB55" i="3479" a="1"/>
  <c r="CB55" i="3479" s="1"/>
  <c r="CA55" i="3479" a="1"/>
  <c r="CA55" i="3479" s="1"/>
  <c r="CC55" i="3479" a="1"/>
  <c r="CC55" i="3479" s="1"/>
  <c r="AK145" i="3528"/>
  <c r="U145" i="3528"/>
  <c r="AA120" i="3528"/>
  <c r="AQ120" i="3528"/>
  <c r="T44" i="3518"/>
  <c r="H44" i="3518"/>
  <c r="J44" i="3518" s="1"/>
  <c r="K44" i="3518" s="1"/>
  <c r="I25" i="3444"/>
  <c r="J42" i="3445" a="1"/>
  <c r="J42" i="3445" s="1"/>
  <c r="P42" i="3445" s="1"/>
  <c r="Q42" i="3445" s="1"/>
  <c r="DG26" i="3479" a="1"/>
  <c r="DG26" i="3479" s="1"/>
  <c r="DF26" i="3479" a="1"/>
  <c r="DF26" i="3479" s="1"/>
  <c r="DE26" i="3479" a="1"/>
  <c r="DE26" i="3479" s="1"/>
  <c r="CM48" i="3479" a="1"/>
  <c r="CM48" i="3479" s="1"/>
  <c r="CN48" i="3479" s="1" a="1"/>
  <c r="CN48" i="3479" s="1"/>
  <c r="U28" i="3479" a="1"/>
  <c r="U28" i="3479" s="1"/>
  <c r="S28" i="3479" a="1"/>
  <c r="S28" i="3479" s="1"/>
  <c r="T28" i="3479" a="1"/>
  <c r="T28" i="3479" s="1"/>
  <c r="CC30" i="3479" a="1"/>
  <c r="CC30" i="3479" s="1"/>
  <c r="CB30" i="3479" a="1"/>
  <c r="CB30" i="3479" s="1"/>
  <c r="CA30" i="3479" a="1"/>
  <c r="CA30" i="3479" s="1"/>
  <c r="P35" i="3479" a="1"/>
  <c r="P35" i="3479" s="1"/>
  <c r="Q35" i="3479" s="1" a="1"/>
  <c r="Q35" i="3479" s="1"/>
  <c r="AW132" i="3528"/>
  <c r="AG132" i="3528"/>
  <c r="AS131" i="3528"/>
  <c r="AC131" i="3528"/>
  <c r="Y144" i="3528"/>
  <c r="AO144" i="3528"/>
  <c r="T50" i="3518"/>
  <c r="H50" i="3518"/>
  <c r="J50" i="3518" s="1"/>
  <c r="K50" i="3518" s="1"/>
  <c r="AO124" i="3528"/>
  <c r="Y124" i="3528"/>
  <c r="CB53" i="3479" a="1"/>
  <c r="CB53" i="3479" s="1"/>
  <c r="CA53" i="3479" a="1"/>
  <c r="CA53" i="3479" s="1"/>
  <c r="CC53" i="3479" a="1"/>
  <c r="CC53" i="3479" s="1"/>
  <c r="DT25" i="3479" a="1"/>
  <c r="DT25" i="3479" s="1"/>
  <c r="DV25" i="3479" a="1"/>
  <c r="DV25" i="3479" s="1"/>
  <c r="DU25" i="3479" a="1"/>
  <c r="DU25" i="3479" s="1"/>
  <c r="AW45" i="3479" a="1"/>
  <c r="AW45" i="3479" s="1"/>
  <c r="AY45" i="3479" a="1"/>
  <c r="AY45" i="3479" s="1"/>
  <c r="AX45" i="3479" a="1"/>
  <c r="AX45" i="3479" s="1"/>
  <c r="I63" i="3436"/>
  <c r="I42" i="3570" a="1"/>
  <c r="I42" i="3570" s="1"/>
  <c r="BE42" i="3570" s="1"/>
  <c r="F42" i="3570" a="1"/>
  <c r="F42" i="3570" s="1"/>
  <c r="G42" i="3570" a="1"/>
  <c r="G42" i="3570" s="1"/>
  <c r="Z135" i="3528"/>
  <c r="AP135" i="3528"/>
  <c r="DV71" i="3479" a="1"/>
  <c r="DV71" i="3479" s="1"/>
  <c r="DU71" i="3479" a="1"/>
  <c r="DU71" i="3479" s="1"/>
  <c r="DT71" i="3479" a="1"/>
  <c r="DT71" i="3479" s="1"/>
  <c r="EK46" i="3479" a="1"/>
  <c r="EK46" i="3479" s="1"/>
  <c r="EJ46" i="3479" a="1"/>
  <c r="EJ46" i="3479" s="1"/>
  <c r="EI46" i="3479" a="1"/>
  <c r="EI46" i="3479" s="1"/>
  <c r="U50" i="3479" a="1"/>
  <c r="U50" i="3479" s="1"/>
  <c r="S50" i="3479" a="1"/>
  <c r="S50" i="3479" s="1"/>
  <c r="T50" i="3479" a="1"/>
  <c r="T50" i="3479" s="1"/>
  <c r="AH140" i="3528"/>
  <c r="AX140" i="3528"/>
  <c r="U40" i="3436" a="1"/>
  <c r="U40" i="3436" s="1"/>
  <c r="J42" i="3444" s="1"/>
  <c r="CM53" i="3479" a="1"/>
  <c r="CM53" i="3479" s="1"/>
  <c r="CN53" i="3479" s="1" a="1"/>
  <c r="CN53" i="3479" s="1"/>
  <c r="EY51" i="3479" a="1"/>
  <c r="EY51" i="3479" s="1"/>
  <c r="EX51" i="3479" a="1"/>
  <c r="EX51" i="3479" s="1"/>
  <c r="EZ51" i="3479" a="1"/>
  <c r="EZ51" i="3479" s="1"/>
  <c r="DE23" i="3479" a="1"/>
  <c r="DE23" i="3479" s="1"/>
  <c r="DG23" i="3479" a="1"/>
  <c r="DG23" i="3479" s="1"/>
  <c r="DF23" i="3479" a="1"/>
  <c r="DF23" i="3479" s="1"/>
  <c r="CR69" i="3479" a="1"/>
  <c r="CR69" i="3479" s="1"/>
  <c r="CQ69" i="3479" a="1"/>
  <c r="CQ69" i="3479" s="1"/>
  <c r="CP69" i="3479" a="1"/>
  <c r="CP69" i="3479" s="1"/>
  <c r="AY40" i="3479" a="1"/>
  <c r="AY40" i="3479" s="1"/>
  <c r="AW40" i="3479" a="1"/>
  <c r="AW40" i="3479" s="1"/>
  <c r="AX40" i="3479" a="1"/>
  <c r="AX40" i="3479" s="1"/>
  <c r="AP141" i="3528"/>
  <c r="Z141" i="3528"/>
  <c r="BX21" i="3479" a="1"/>
  <c r="BX21" i="3479" s="1"/>
  <c r="BY21" i="3479" s="1" a="1"/>
  <c r="BY21" i="3479" s="1"/>
  <c r="BI31" i="3479" a="1"/>
  <c r="BI31" i="3479" s="1"/>
  <c r="BJ31" i="3479" s="1" a="1"/>
  <c r="BJ31" i="3479" s="1"/>
  <c r="AV126" i="3528"/>
  <c r="AF126" i="3528"/>
  <c r="V40" i="3436" a="1"/>
  <c r="V40" i="3436" s="1"/>
  <c r="DE29" i="3479" a="1"/>
  <c r="DE29" i="3479" s="1"/>
  <c r="DG29" i="3479" a="1"/>
  <c r="DG29" i="3479" s="1"/>
  <c r="DF29" i="3479" a="1"/>
  <c r="DF29" i="3479" s="1"/>
  <c r="CM43" i="3479" a="1"/>
  <c r="CM43" i="3479" s="1"/>
  <c r="CN43" i="3479" s="1" a="1"/>
  <c r="CN43" i="3479" s="1"/>
  <c r="W129" i="3528"/>
  <c r="AM129" i="3528"/>
  <c r="BL53" i="3479" a="1"/>
  <c r="BL53" i="3479" s="1"/>
  <c r="BM53" i="3479" a="1"/>
  <c r="BM53" i="3479" s="1"/>
  <c r="BN53" i="3479" a="1"/>
  <c r="BN53" i="3479" s="1"/>
  <c r="AJ70" i="3479" a="1"/>
  <c r="AJ70" i="3479" s="1"/>
  <c r="AI70" i="3479" a="1"/>
  <c r="AI70" i="3479" s="1"/>
  <c r="AH70" i="3479" a="1"/>
  <c r="AH70" i="3479" s="1"/>
  <c r="AT54" i="3479" a="1"/>
  <c r="AT54" i="3479" s="1"/>
  <c r="AU54" i="3479" s="1" a="1"/>
  <c r="AU54" i="3479" s="1"/>
  <c r="BX59" i="3479" a="1"/>
  <c r="BX59" i="3479" s="1"/>
  <c r="BY59" i="3479" s="1" a="1"/>
  <c r="BY59" i="3479" s="1"/>
  <c r="S72" i="3445" a="1"/>
  <c r="S72" i="3445" s="1"/>
  <c r="T72" i="3445" s="1"/>
  <c r="CM41" i="3479" a="1"/>
  <c r="CM41" i="3479" s="1"/>
  <c r="CN41" i="3479" s="1" a="1"/>
  <c r="CN41" i="3479" s="1"/>
  <c r="Z125" i="3528"/>
  <c r="AP125" i="3528"/>
  <c r="H57" i="3518"/>
  <c r="J57" i="3518" s="1"/>
  <c r="K57" i="3518" s="1"/>
  <c r="T57" i="3518"/>
  <c r="AK118" i="3528"/>
  <c r="U118" i="3528"/>
  <c r="U36" i="3436" a="1"/>
  <c r="U36" i="3436" s="1"/>
  <c r="J38" i="3444" s="1"/>
  <c r="I38" i="3444"/>
  <c r="I54" i="3444"/>
  <c r="J71" i="3445" a="1"/>
  <c r="J71" i="3445" s="1"/>
  <c r="P71" i="3445" s="1"/>
  <c r="Q71" i="3445" s="1"/>
  <c r="S47" i="3479" a="1"/>
  <c r="S47" i="3479" s="1"/>
  <c r="U47" i="3479" a="1"/>
  <c r="U47" i="3479" s="1"/>
  <c r="T47" i="3479" a="1"/>
  <c r="T47" i="3479" s="1"/>
  <c r="BI49" i="3479" a="1"/>
  <c r="BI49" i="3479" s="1"/>
  <c r="BJ49" i="3479" s="1" a="1"/>
  <c r="BJ49" i="3479" s="1"/>
  <c r="G22" i="3435" a="1"/>
  <c r="G22" i="3435" s="1"/>
  <c r="I22" i="3435" a="1"/>
  <c r="I22" i="3435" s="1"/>
  <c r="AI22" i="3435" s="1"/>
  <c r="F22" i="3435" a="1"/>
  <c r="F22" i="3435" s="1"/>
  <c r="F37" i="3435" a="1"/>
  <c r="F37" i="3435" s="1"/>
  <c r="I37" i="3435" a="1"/>
  <c r="I37" i="3435" s="1"/>
  <c r="AI37" i="3435" s="1"/>
  <c r="G37" i="3435" a="1"/>
  <c r="G37" i="3435" s="1"/>
  <c r="DF64" i="3479" a="1"/>
  <c r="DF64" i="3479" s="1"/>
  <c r="DG64" i="3479" a="1"/>
  <c r="DG64" i="3479" s="1"/>
  <c r="DE64" i="3479" a="1"/>
  <c r="DE64" i="3479" s="1"/>
  <c r="AJ31" i="3479" a="1"/>
  <c r="AJ31" i="3479" s="1"/>
  <c r="AI31" i="3479" a="1"/>
  <c r="AI31" i="3479" s="1"/>
  <c r="AH31" i="3479" a="1"/>
  <c r="AH31" i="3479" s="1"/>
  <c r="Z130" i="3528"/>
  <c r="AP130" i="3528"/>
  <c r="DU33" i="3479" a="1"/>
  <c r="DU33" i="3479" s="1"/>
  <c r="DT33" i="3479" a="1"/>
  <c r="DT33" i="3479" s="1"/>
  <c r="DV33" i="3479" a="1"/>
  <c r="DV33" i="3479" s="1"/>
  <c r="CA32" i="3479" a="1"/>
  <c r="CA32" i="3479" s="1"/>
  <c r="CC32" i="3479" a="1"/>
  <c r="CC32" i="3479" s="1"/>
  <c r="CB32" i="3479" a="1"/>
  <c r="CB32" i="3479" s="1"/>
  <c r="AF128" i="3528"/>
  <c r="AV128" i="3528"/>
  <c r="P70" i="3479" a="1"/>
  <c r="P70" i="3479" s="1"/>
  <c r="Q70" i="3479" s="1" a="1"/>
  <c r="Q70" i="3479" s="1"/>
  <c r="CR23" i="3479" a="1"/>
  <c r="CR23" i="3479" s="1"/>
  <c r="CQ23" i="3479" a="1"/>
  <c r="CQ23" i="3479" s="1"/>
  <c r="CP23" i="3479" a="1"/>
  <c r="CP23" i="3479" s="1"/>
  <c r="AT127" i="3528"/>
  <c r="AD127" i="3528"/>
  <c r="AL143" i="3528"/>
  <c r="V143" i="3528"/>
  <c r="F52" i="3570" a="1"/>
  <c r="F52" i="3570" s="1"/>
  <c r="G52" i="3570" a="1"/>
  <c r="G52" i="3570" s="1"/>
  <c r="I52" i="3570" a="1"/>
  <c r="I52" i="3570" s="1"/>
  <c r="BE52" i="3570" s="1"/>
  <c r="I25" i="3570" a="1"/>
  <c r="I25" i="3570" s="1"/>
  <c r="BE25" i="3570" s="1"/>
  <c r="G25" i="3570" a="1"/>
  <c r="G25" i="3570" s="1"/>
  <c r="F25" i="3570" a="1"/>
  <c r="F25" i="3570" s="1"/>
  <c r="U33" i="3436" a="1"/>
  <c r="U33" i="3436" s="1"/>
  <c r="J35" i="3444" s="1"/>
  <c r="T41" i="3479" a="1"/>
  <c r="T41" i="3479" s="1"/>
  <c r="S41" i="3479" a="1"/>
  <c r="S41" i="3479" s="1"/>
  <c r="U41" i="3479" a="1"/>
  <c r="U41" i="3479" s="1"/>
  <c r="T45" i="3479" a="1"/>
  <c r="T45" i="3479" s="1"/>
  <c r="U45" i="3479" a="1"/>
  <c r="U45" i="3479" s="1"/>
  <c r="S45" i="3479" a="1"/>
  <c r="S45" i="3479" s="1"/>
  <c r="BL34" i="3479" a="1"/>
  <c r="BL34" i="3479" s="1"/>
  <c r="BN34" i="3479" a="1"/>
  <c r="BN34" i="3479" s="1"/>
  <c r="BM34" i="3479" a="1"/>
  <c r="BM34" i="3479" s="1"/>
  <c r="EZ62" i="3479" a="1"/>
  <c r="EZ62" i="3479" s="1"/>
  <c r="EY62" i="3479" a="1"/>
  <c r="EY62" i="3479" s="1"/>
  <c r="EX62" i="3479" a="1"/>
  <c r="EX62" i="3479" s="1"/>
  <c r="EY26" i="3479" a="1"/>
  <c r="EY26" i="3479" s="1"/>
  <c r="EZ26" i="3479" a="1"/>
  <c r="EZ26" i="3479" s="1"/>
  <c r="EX26" i="3479" a="1"/>
  <c r="EX26" i="3479" s="1"/>
  <c r="U126" i="3528"/>
  <c r="AK126" i="3528"/>
  <c r="AK124" i="3528"/>
  <c r="U124" i="3528"/>
  <c r="AK36" i="3419" a="1"/>
  <c r="AK36" i="3419" s="1"/>
  <c r="AE36" i="3419" a="1"/>
  <c r="AE36" i="3419" s="1"/>
  <c r="AH61" i="3419" a="1"/>
  <c r="AH61" i="3419" s="1"/>
  <c r="AJ61" i="3419" a="1"/>
  <c r="AJ61" i="3419" s="1"/>
  <c r="C55" i="3419" a="1"/>
  <c r="C55" i="3419" s="1"/>
  <c r="E55" i="3419" s="1" a="1"/>
  <c r="E55" i="3419" s="1"/>
  <c r="C54" i="3419" a="1"/>
  <c r="C54" i="3419" s="1"/>
  <c r="E54" i="3419" s="1" a="1"/>
  <c r="E54" i="3419" s="1"/>
  <c r="C53" i="3419" a="1"/>
  <c r="C53" i="3419" s="1"/>
  <c r="E53" i="3419" s="1" a="1"/>
  <c r="E53" i="3419" s="1"/>
  <c r="C60" i="3419" a="1"/>
  <c r="C60" i="3419" s="1"/>
  <c r="E60" i="3419" s="1" a="1"/>
  <c r="E60" i="3419" s="1"/>
  <c r="C58" i="3419" a="1"/>
  <c r="C58" i="3419" s="1"/>
  <c r="E58" i="3419" s="1" a="1"/>
  <c r="E58" i="3419" s="1"/>
  <c r="C61" i="3419" a="1"/>
  <c r="C61" i="3419" s="1"/>
  <c r="E61" i="3419" s="1" a="1"/>
  <c r="E61" i="3419" s="1"/>
  <c r="C48" i="3419" a="1"/>
  <c r="C48" i="3419" s="1"/>
  <c r="E48" i="3419" s="1" a="1"/>
  <c r="E48" i="3419" s="1"/>
  <c r="C46" i="3419" a="1"/>
  <c r="C46" i="3419" s="1"/>
  <c r="E46" i="3419" s="1" a="1"/>
  <c r="E46" i="3419" s="1"/>
  <c r="C34" i="3419" a="1"/>
  <c r="C34" i="3419" s="1"/>
  <c r="E34" i="3419" s="1" a="1"/>
  <c r="E34" i="3419" s="1"/>
  <c r="C18" i="3419" a="1"/>
  <c r="C18" i="3419" s="1"/>
  <c r="E18" i="3419" s="1" a="1"/>
  <c r="E18" i="3419" s="1"/>
  <c r="C39" i="3419" a="1"/>
  <c r="C39" i="3419" s="1"/>
  <c r="E39" i="3419" s="1" a="1"/>
  <c r="E39" i="3419" s="1"/>
  <c r="C23" i="3419" a="1"/>
  <c r="C23" i="3419" s="1"/>
  <c r="E23" i="3419" s="1" a="1"/>
  <c r="E23" i="3419" s="1"/>
  <c r="C42" i="3419" a="1"/>
  <c r="C42" i="3419" s="1"/>
  <c r="E42" i="3419" s="1" a="1"/>
  <c r="E42" i="3419" s="1"/>
  <c r="C33" i="3419" a="1"/>
  <c r="C33" i="3419" s="1"/>
  <c r="E33" i="3419" s="1" a="1"/>
  <c r="E33" i="3419" s="1"/>
  <c r="C28" i="3419" a="1"/>
  <c r="C28" i="3419" s="1"/>
  <c r="E28" i="3419" s="1" a="1"/>
  <c r="E28" i="3419" s="1"/>
  <c r="C51" i="3419" a="1"/>
  <c r="C51" i="3419" s="1"/>
  <c r="E51" i="3419" s="1" a="1"/>
  <c r="E51" i="3419" s="1"/>
  <c r="C25" i="3419" a="1"/>
  <c r="C25" i="3419" s="1"/>
  <c r="E25" i="3419" s="1" a="1"/>
  <c r="E25" i="3419" s="1"/>
  <c r="C41" i="3419" a="1"/>
  <c r="C41" i="3419" s="1"/>
  <c r="E41" i="3419" s="1" a="1"/>
  <c r="E41" i="3419" s="1"/>
  <c r="C47" i="3419" a="1"/>
  <c r="C47" i="3419" s="1"/>
  <c r="E47" i="3419" s="1" a="1"/>
  <c r="E47" i="3419" s="1"/>
  <c r="C35" i="3419" a="1"/>
  <c r="C35" i="3419" s="1"/>
  <c r="E35" i="3419" s="1" a="1"/>
  <c r="E35" i="3419" s="1"/>
  <c r="C24" i="3419" a="1"/>
  <c r="C24" i="3419" s="1"/>
  <c r="E24" i="3419" s="1" a="1"/>
  <c r="E24" i="3419" s="1"/>
  <c r="C62" i="3419" a="1"/>
  <c r="C62" i="3419" s="1"/>
  <c r="E62" i="3419" s="1" a="1"/>
  <c r="E62" i="3419" s="1"/>
  <c r="C56" i="3419" a="1"/>
  <c r="C56" i="3419" s="1"/>
  <c r="E56" i="3419" s="1" a="1"/>
  <c r="E56" i="3419" s="1"/>
  <c r="C59" i="3419" a="1"/>
  <c r="C59" i="3419" s="1"/>
  <c r="E59" i="3419" s="1" a="1"/>
  <c r="E59" i="3419" s="1"/>
  <c r="C44" i="3419" a="1"/>
  <c r="C44" i="3419" s="1"/>
  <c r="E44" i="3419" s="1" a="1"/>
  <c r="E44" i="3419" s="1"/>
  <c r="C32" i="3419" a="1"/>
  <c r="C32" i="3419" s="1"/>
  <c r="E32" i="3419" s="1" a="1"/>
  <c r="E32" i="3419" s="1"/>
  <c r="C37" i="3419" a="1"/>
  <c r="C37" i="3419" s="1"/>
  <c r="E37" i="3419" s="1" a="1"/>
  <c r="E37" i="3419" s="1"/>
  <c r="C26" i="3419" a="1"/>
  <c r="C26" i="3419" s="1"/>
  <c r="E26" i="3419" s="1" a="1"/>
  <c r="E26" i="3419" s="1"/>
  <c r="C16" i="3419" a="1"/>
  <c r="C16" i="3419" s="1"/>
  <c r="E16" i="3419" s="1" a="1"/>
  <c r="E16" i="3419" s="1"/>
  <c r="C20" i="3419" a="1"/>
  <c r="C20" i="3419" s="1"/>
  <c r="E20" i="3419" s="1" a="1"/>
  <c r="E20" i="3419" s="1"/>
  <c r="C14" i="3419" a="1"/>
  <c r="C14" i="3419" s="1"/>
  <c r="E14" i="3419" s="1" a="1"/>
  <c r="E14" i="3419" s="1"/>
  <c r="C13" i="3419" a="1"/>
  <c r="C13" i="3419" s="1"/>
  <c r="E13" i="3419" s="1" a="1"/>
  <c r="E13" i="3419" s="1"/>
  <c r="C38" i="3419" a="1"/>
  <c r="C38" i="3419" s="1"/>
  <c r="E38" i="3419" s="1" a="1"/>
  <c r="E38" i="3419" s="1"/>
  <c r="C57" i="3419" a="1"/>
  <c r="C57" i="3419" s="1"/>
  <c r="E57" i="3419" s="1" a="1"/>
  <c r="E57" i="3419" s="1"/>
  <c r="C15" i="3419" a="1"/>
  <c r="C15" i="3419" s="1"/>
  <c r="E15" i="3419" s="1" a="1"/>
  <c r="E15" i="3419" s="1"/>
  <c r="C29" i="3419" a="1"/>
  <c r="C29" i="3419" s="1"/>
  <c r="E29" i="3419" s="1" a="1"/>
  <c r="E29" i="3419" s="1"/>
  <c r="C50" i="3419" a="1"/>
  <c r="C50" i="3419" s="1"/>
  <c r="E50" i="3419" s="1" a="1"/>
  <c r="E50" i="3419" s="1"/>
  <c r="C27" i="3419" a="1"/>
  <c r="C27" i="3419" s="1"/>
  <c r="E27" i="3419" s="1" a="1"/>
  <c r="E27" i="3419" s="1"/>
  <c r="C52" i="3419" a="1"/>
  <c r="C52" i="3419" s="1"/>
  <c r="E52" i="3419" s="1" a="1"/>
  <c r="E52" i="3419" s="1"/>
  <c r="C43" i="3419" a="1"/>
  <c r="C43" i="3419" s="1"/>
  <c r="E43" i="3419" s="1" a="1"/>
  <c r="E43" i="3419" s="1"/>
  <c r="C40" i="3419" a="1"/>
  <c r="C40" i="3419" s="1"/>
  <c r="E40" i="3419" s="1" a="1"/>
  <c r="E40" i="3419" s="1"/>
  <c r="C21" i="3419" a="1"/>
  <c r="C21" i="3419" s="1"/>
  <c r="E21" i="3419" s="1" a="1"/>
  <c r="E21" i="3419" s="1"/>
  <c r="C17" i="3419" a="1"/>
  <c r="C17" i="3419" s="1"/>
  <c r="E17" i="3419" s="1" a="1"/>
  <c r="E17" i="3419" s="1"/>
  <c r="C36" i="3419" a="1"/>
  <c r="C36" i="3419" s="1"/>
  <c r="E36" i="3419" s="1" a="1"/>
  <c r="E36" i="3419" s="1"/>
  <c r="C31" i="3419" a="1"/>
  <c r="C31" i="3419" s="1"/>
  <c r="E31" i="3419" s="1" a="1"/>
  <c r="E31" i="3419" s="1"/>
  <c r="C45" i="3419" a="1"/>
  <c r="C45" i="3419" s="1"/>
  <c r="E45" i="3419" s="1" a="1"/>
  <c r="E45" i="3419" s="1"/>
  <c r="C49" i="3419" a="1"/>
  <c r="C49" i="3419" s="1"/>
  <c r="E49" i="3419" s="1" a="1"/>
  <c r="E49" i="3419" s="1"/>
  <c r="C22" i="3419" a="1"/>
  <c r="C22" i="3419" s="1"/>
  <c r="E22" i="3419" s="1" a="1"/>
  <c r="E22" i="3419" s="1"/>
  <c r="C30" i="3419" a="1"/>
  <c r="C30" i="3419" s="1"/>
  <c r="E30" i="3419" s="1" a="1"/>
  <c r="E30" i="3419" s="1"/>
  <c r="C19" i="3419" a="1"/>
  <c r="C19" i="3419" s="1"/>
  <c r="E19" i="3419" s="1" a="1"/>
  <c r="E19" i="3419" s="1"/>
  <c r="AY24" i="3479" a="1"/>
  <c r="AY24" i="3479" s="1"/>
  <c r="AX24" i="3479" a="1"/>
  <c r="AX24" i="3479" s="1"/>
  <c r="AW24" i="3479" a="1"/>
  <c r="AW24" i="3479" s="1"/>
  <c r="AJ29" i="3479" a="1"/>
  <c r="AJ29" i="3479" s="1"/>
  <c r="AI29" i="3479" a="1"/>
  <c r="AI29" i="3479" s="1"/>
  <c r="AH29" i="3479" a="1"/>
  <c r="AH29" i="3479" s="1"/>
  <c r="BX55" i="3479" a="1"/>
  <c r="BX55" i="3479" s="1"/>
  <c r="BY55" i="3479" s="1" a="1"/>
  <c r="BY55" i="3479" s="1"/>
  <c r="X98" i="3448"/>
  <c r="AB97" i="3448"/>
  <c r="AR129" i="3528"/>
  <c r="AB129" i="3528"/>
  <c r="AF145" i="3528"/>
  <c r="AV145" i="3528"/>
  <c r="T27" i="3518"/>
  <c r="H27" i="3518"/>
  <c r="J27" i="3518" s="1"/>
  <c r="K27" i="3518" s="1"/>
  <c r="I67" i="3444"/>
  <c r="U65" i="3436" a="1"/>
  <c r="U65" i="3436" s="1"/>
  <c r="J67" i="3444" s="1"/>
  <c r="CR48" i="3479" a="1"/>
  <c r="CR48" i="3479" s="1"/>
  <c r="CP48" i="3479" a="1"/>
  <c r="CP48" i="3479" s="1"/>
  <c r="CQ48" i="3479" a="1"/>
  <c r="CQ48" i="3479" s="1"/>
  <c r="U35" i="3479" a="1"/>
  <c r="U35" i="3479" s="1"/>
  <c r="T35" i="3479" a="1"/>
  <c r="T35" i="3479" s="1"/>
  <c r="S35" i="3479" a="1"/>
  <c r="S35" i="3479" s="1"/>
  <c r="AO126" i="3528"/>
  <c r="Y126" i="3528"/>
  <c r="X69" i="3480"/>
  <c r="W69" i="3480"/>
  <c r="H36" i="3518"/>
  <c r="J36" i="3518" s="1"/>
  <c r="K36" i="3518" s="1"/>
  <c r="T36" i="3518"/>
  <c r="U57" i="3436" a="1"/>
  <c r="U57" i="3436" s="1"/>
  <c r="J59" i="3444" s="1"/>
  <c r="AU145" i="3528"/>
  <c r="AE145" i="3528"/>
  <c r="EI25" i="3479" a="1"/>
  <c r="EI25" i="3479" s="1"/>
  <c r="EK25" i="3479" a="1"/>
  <c r="EK25" i="3479" s="1"/>
  <c r="EJ25" i="3479" a="1"/>
  <c r="EJ25" i="3479" s="1"/>
  <c r="CC28" i="3479" a="1"/>
  <c r="CC28" i="3479" s="1"/>
  <c r="CB28" i="3479" a="1"/>
  <c r="CB28" i="3479" s="1"/>
  <c r="CA28" i="3479" a="1"/>
  <c r="CA28" i="3479" s="1"/>
  <c r="AI22" i="3479" a="1"/>
  <c r="AI22" i="3479" s="1"/>
  <c r="AH22" i="3479" a="1"/>
  <c r="AH22" i="3479" s="1"/>
  <c r="AJ22" i="3479" a="1"/>
  <c r="AJ22" i="3479" s="1"/>
  <c r="EX66" i="3479" a="1"/>
  <c r="EX66" i="3479" s="1"/>
  <c r="EZ66" i="3479" a="1"/>
  <c r="EZ66" i="3479" s="1"/>
  <c r="EY66" i="3479" a="1"/>
  <c r="EY66" i="3479" s="1"/>
  <c r="I74" i="3436"/>
  <c r="Y125" i="3528"/>
  <c r="AO125" i="3528"/>
  <c r="AX48" i="3479" a="1"/>
  <c r="AX48" i="3479" s="1"/>
  <c r="AW48" i="3479" a="1"/>
  <c r="AW48" i="3479" s="1"/>
  <c r="AY48" i="3479" a="1"/>
  <c r="AY48" i="3479" s="1"/>
  <c r="X132" i="3528"/>
  <c r="AN132" i="3528"/>
  <c r="DU30" i="3479" a="1"/>
  <c r="DU30" i="3479" s="1"/>
  <c r="DT30" i="3479" a="1"/>
  <c r="DT30" i="3479" s="1"/>
  <c r="DV30" i="3479" a="1"/>
  <c r="DV30" i="3479" s="1"/>
  <c r="AY129" i="3528"/>
  <c r="AI129" i="3528"/>
  <c r="AK144" i="3528"/>
  <c r="U144" i="3528"/>
  <c r="AM137" i="3528"/>
  <c r="W137" i="3528"/>
  <c r="I61" i="3436"/>
  <c r="S80" i="3445" s="1" a="1"/>
  <c r="S80" i="3445" s="1"/>
  <c r="T80" i="3445" s="1"/>
  <c r="BN49" i="3479" a="1"/>
  <c r="BN49" i="3479" s="1"/>
  <c r="BM49" i="3479" a="1"/>
  <c r="BM49" i="3479" s="1"/>
  <c r="BL49" i="3479" a="1"/>
  <c r="BL49" i="3479" s="1"/>
  <c r="AA142" i="3528"/>
  <c r="AQ142" i="3528"/>
  <c r="T14" i="3518"/>
  <c r="H14" i="3518"/>
  <c r="J14" i="3518" s="1"/>
  <c r="K14" i="3518" s="1"/>
  <c r="G39" i="3435" a="1"/>
  <c r="G39" i="3435" s="1"/>
  <c r="F39" i="3435" a="1"/>
  <c r="F39" i="3435" s="1"/>
  <c r="I39" i="3435" a="1"/>
  <c r="I39" i="3435" s="1"/>
  <c r="AI39" i="3435" s="1"/>
  <c r="F61" i="3435" a="1"/>
  <c r="F61" i="3435" s="1"/>
  <c r="I61" i="3435" a="1"/>
  <c r="I61" i="3435" s="1"/>
  <c r="AI61" i="3435" s="1"/>
  <c r="G61" i="3435" a="1"/>
  <c r="G61" i="3435" s="1"/>
  <c r="AP138" i="3528"/>
  <c r="Z138" i="3528"/>
  <c r="AI145" i="3528"/>
  <c r="AY145" i="3528"/>
  <c r="AR143" i="3528"/>
  <c r="AB143" i="3528"/>
  <c r="DT29" i="3479" a="1"/>
  <c r="DT29" i="3479" s="1"/>
  <c r="DV29" i="3479" a="1"/>
  <c r="DV29" i="3479" s="1"/>
  <c r="DU29" i="3479" a="1"/>
  <c r="DU29" i="3479" s="1"/>
  <c r="S57" i="3479" a="1"/>
  <c r="S57" i="3479" s="1"/>
  <c r="U57" i="3479" a="1"/>
  <c r="U57" i="3479" s="1"/>
  <c r="T57" i="3479" a="1"/>
  <c r="T57" i="3479" s="1"/>
  <c r="AE31" i="3479" a="1"/>
  <c r="AE31" i="3479" s="1"/>
  <c r="AF31" i="3479" s="1" a="1"/>
  <c r="AF31" i="3479" s="1"/>
  <c r="V128" i="3528"/>
  <c r="AL128" i="3528"/>
  <c r="X51" i="3480"/>
  <c r="W51" i="3480"/>
  <c r="J85" i="3445" a="1"/>
  <c r="J85" i="3445" s="1"/>
  <c r="P85" i="3445" s="1"/>
  <c r="Q85" i="3445" s="1"/>
  <c r="BM62" i="3479" a="1"/>
  <c r="BM62" i="3479" s="1"/>
  <c r="BL62" i="3479" a="1"/>
  <c r="BL62" i="3479" s="1"/>
  <c r="BN62" i="3479" a="1"/>
  <c r="BN62" i="3479" s="1"/>
  <c r="BX32" i="3479" a="1"/>
  <c r="BX32" i="3479" s="1"/>
  <c r="BY32" i="3479" s="1" a="1"/>
  <c r="BY32" i="3479" s="1"/>
  <c r="AU120" i="3528"/>
  <c r="AE120" i="3528"/>
  <c r="BX70" i="3479" a="1"/>
  <c r="BX70" i="3479" s="1"/>
  <c r="BY70" i="3479" s="1" a="1"/>
  <c r="BY70" i="3479" s="1"/>
  <c r="V142" i="3528"/>
  <c r="AL142" i="3528"/>
  <c r="I57" i="3570" a="1"/>
  <c r="I57" i="3570" s="1"/>
  <c r="BE57" i="3570" s="1"/>
  <c r="G57" i="3570" a="1"/>
  <c r="G57" i="3570" s="1"/>
  <c r="F57" i="3570" a="1"/>
  <c r="F57" i="3570" s="1"/>
  <c r="G23" i="3570" a="1"/>
  <c r="G23" i="3570" s="1"/>
  <c r="F23" i="3570" a="1"/>
  <c r="F23" i="3570" s="1"/>
  <c r="I23" i="3570" a="1"/>
  <c r="I23" i="3570" s="1"/>
  <c r="BE23" i="3570" s="1"/>
  <c r="J50" i="3445" a="1"/>
  <c r="J50" i="3445" s="1"/>
  <c r="DT49" i="3479" a="1"/>
  <c r="DT49" i="3479" s="1"/>
  <c r="DV49" i="3479" a="1"/>
  <c r="DV49" i="3479" s="1"/>
  <c r="DU49" i="3479" a="1"/>
  <c r="DU49" i="3479" s="1"/>
  <c r="P41" i="3479" a="1"/>
  <c r="P41" i="3479" s="1"/>
  <c r="Q41" i="3479" s="1" a="1"/>
  <c r="Q41" i="3479" s="1"/>
  <c r="CB54" i="3479" a="1"/>
  <c r="CB54" i="3479" s="1"/>
  <c r="CA54" i="3479" a="1"/>
  <c r="CA54" i="3479" s="1"/>
  <c r="CC54" i="3479" a="1"/>
  <c r="CC54" i="3479" s="1"/>
  <c r="EK33" i="3479" a="1"/>
  <c r="EK33" i="3479" s="1"/>
  <c r="EJ33" i="3479" a="1"/>
  <c r="EJ33" i="3479" s="1"/>
  <c r="EI33" i="3479" a="1"/>
  <c r="EI33" i="3479" s="1"/>
  <c r="BI50" i="3479" a="1"/>
  <c r="BI50" i="3479" s="1"/>
  <c r="BJ50" i="3479" s="1" a="1"/>
  <c r="BJ50" i="3479" s="1"/>
  <c r="U129" i="3528"/>
  <c r="AK129" i="3528"/>
  <c r="BI34" i="3479" a="1"/>
  <c r="BI34" i="3479" s="1"/>
  <c r="BJ34" i="3479" s="1" a="1"/>
  <c r="BJ34" i="3479" s="1"/>
  <c r="CM71" i="3479" a="1"/>
  <c r="CM71" i="3479" s="1"/>
  <c r="CN71" i="3479" s="1" a="1"/>
  <c r="CN71" i="3479" s="1"/>
  <c r="P36" i="3479" a="1"/>
  <c r="P36" i="3479" s="1"/>
  <c r="Q36" i="3479" s="1" a="1"/>
  <c r="Q36" i="3479" s="1"/>
  <c r="AA118" i="3528"/>
  <c r="AQ118" i="3528"/>
  <c r="F128" i="3523"/>
  <c r="AF128" i="3523" s="1" a="1"/>
  <c r="AF128" i="3523" s="1"/>
  <c r="BT97" i="3448"/>
  <c r="AJ31" i="3419" a="1"/>
  <c r="AJ31" i="3419" s="1"/>
  <c r="AG31" i="3419" a="1"/>
  <c r="AG31" i="3419" s="1"/>
  <c r="AK58" i="3419" a="1"/>
  <c r="AK58" i="3419" s="1"/>
  <c r="AH58" i="3419" a="1"/>
  <c r="AH58" i="3419" s="1"/>
  <c r="P30" i="3479" a="1"/>
  <c r="P30" i="3479" s="1"/>
  <c r="Q30" i="3479" s="1" a="1"/>
  <c r="Q30" i="3479" s="1"/>
  <c r="AJ23" i="3479" a="1"/>
  <c r="AJ23" i="3479" s="1"/>
  <c r="AI23" i="3479" a="1"/>
  <c r="AI23" i="3479" s="1"/>
  <c r="AH23" i="3479" a="1"/>
  <c r="AH23" i="3479" s="1"/>
  <c r="AT24" i="3479" a="1"/>
  <c r="AT24" i="3479" s="1"/>
  <c r="AU24" i="3479" s="1" a="1"/>
  <c r="AU24" i="3479" s="1"/>
  <c r="AE29" i="3479" a="1"/>
  <c r="AE29" i="3479" s="1"/>
  <c r="AF29" i="3479" s="1" a="1"/>
  <c r="AF29" i="3479" s="1"/>
  <c r="AT50" i="3479" a="1"/>
  <c r="AT50" i="3479" s="1"/>
  <c r="AU50" i="3479" s="1" a="1"/>
  <c r="AU50" i="3479" s="1"/>
  <c r="W127" i="3528"/>
  <c r="AM127" i="3528"/>
  <c r="U29" i="3436" a="1"/>
  <c r="U29" i="3436" s="1"/>
  <c r="J31" i="3444" s="1"/>
  <c r="AX36" i="3479" a="1"/>
  <c r="AX36" i="3479" s="1"/>
  <c r="AW36" i="3479" a="1"/>
  <c r="AW36" i="3479" s="1"/>
  <c r="AY36" i="3479" a="1"/>
  <c r="AY36" i="3479" s="1"/>
  <c r="CC50" i="3479" a="1"/>
  <c r="CC50" i="3479" s="1"/>
  <c r="CA50" i="3479" a="1"/>
  <c r="CA50" i="3479" s="1"/>
  <c r="CB50" i="3479" a="1"/>
  <c r="CB50" i="3479" s="1"/>
  <c r="DG58" i="3479" a="1"/>
  <c r="DG58" i="3479" s="1"/>
  <c r="DF58" i="3479" a="1"/>
  <c r="DF58" i="3479" s="1"/>
  <c r="DE58" i="3479" a="1"/>
  <c r="DE58" i="3479" s="1"/>
  <c r="EI34" i="3479" a="1"/>
  <c r="EI34" i="3479" s="1"/>
  <c r="EK34" i="3479" a="1"/>
  <c r="EK34" i="3479" s="1"/>
  <c r="EJ34" i="3479" a="1"/>
  <c r="EJ34" i="3479" s="1"/>
  <c r="J67" i="3445" a="1"/>
  <c r="J67" i="3445" s="1"/>
  <c r="P67" i="3445" s="1"/>
  <c r="Q67" i="3445" s="1"/>
  <c r="I50" i="3444"/>
  <c r="T62" i="3518"/>
  <c r="H62" i="3518"/>
  <c r="J62" i="3518" s="1"/>
  <c r="K62" i="3518" s="1"/>
  <c r="AE54" i="3479" a="1"/>
  <c r="AE54" i="3479" s="1"/>
  <c r="AF54" i="3479" s="1" a="1"/>
  <c r="AF54" i="3479" s="1"/>
  <c r="BX28" i="3479" a="1"/>
  <c r="BX28" i="3479" s="1"/>
  <c r="BY28" i="3479" s="1" a="1"/>
  <c r="BY28" i="3479" s="1"/>
  <c r="EY49" i="3479" a="1"/>
  <c r="EY49" i="3479" s="1"/>
  <c r="EZ49" i="3479" a="1"/>
  <c r="EZ49" i="3479" s="1"/>
  <c r="EX49" i="3479" a="1"/>
  <c r="EX49" i="3479" s="1"/>
  <c r="AE22" i="3479" a="1"/>
  <c r="AE22" i="3479" s="1"/>
  <c r="AF22" i="3479" s="1" a="1"/>
  <c r="AF22" i="3479" s="1"/>
  <c r="U30" i="3436" a="1"/>
  <c r="U30" i="3436" s="1"/>
  <c r="J32" i="3444" s="1"/>
  <c r="I49" i="3436"/>
  <c r="AN145" i="3528"/>
  <c r="X145" i="3528"/>
  <c r="X94" i="3480"/>
  <c r="W94" i="3480"/>
  <c r="S27" i="3479" a="1"/>
  <c r="S27" i="3479" s="1"/>
  <c r="U27" i="3479" a="1"/>
  <c r="U27" i="3479" s="1"/>
  <c r="T27" i="3479" a="1"/>
  <c r="T27" i="3479" s="1"/>
  <c r="CA21" i="3479" a="1"/>
  <c r="CA21" i="3479" s="1"/>
  <c r="CC21" i="3479" a="1"/>
  <c r="CC21" i="3479" s="1"/>
  <c r="CB21" i="3479" a="1"/>
  <c r="CB21" i="3479" s="1"/>
  <c r="BN31" i="3479" a="1"/>
  <c r="BN31" i="3479" s="1"/>
  <c r="BM31" i="3479" a="1"/>
  <c r="BM31" i="3479" s="1"/>
  <c r="BL31" i="3479" a="1"/>
  <c r="BL31" i="3479" s="1"/>
  <c r="CP43" i="3479" a="1"/>
  <c r="CP43" i="3479" s="1"/>
  <c r="CR43" i="3479" a="1"/>
  <c r="CR43" i="3479" s="1"/>
  <c r="CQ43" i="3479" a="1"/>
  <c r="CQ43" i="3479" s="1"/>
  <c r="J62" i="3445" a="1"/>
  <c r="J62" i="3445" s="1"/>
  <c r="P62" i="3445" s="1"/>
  <c r="Q62" i="3445" s="1"/>
  <c r="I45" i="3444"/>
  <c r="U43" i="3436" a="1"/>
  <c r="U43" i="3436" s="1"/>
  <c r="U44" i="3436" s="1" a="1"/>
  <c r="U44" i="3436" s="1"/>
  <c r="J46" i="3444" s="1"/>
  <c r="E129" i="3523"/>
  <c r="AA129" i="3523" s="1" a="1"/>
  <c r="AA129" i="3523" s="1"/>
  <c r="BS98" i="3448"/>
  <c r="AW54" i="3479" a="1"/>
  <c r="AW54" i="3479" s="1"/>
  <c r="AX54" i="3479" a="1"/>
  <c r="AX54" i="3479" s="1"/>
  <c r="AY54" i="3479" a="1"/>
  <c r="AY54" i="3479" s="1"/>
  <c r="CB59" i="3479" a="1"/>
  <c r="CB59" i="3479" s="1"/>
  <c r="CA59" i="3479" a="1"/>
  <c r="CA59" i="3479" s="1"/>
  <c r="CC59" i="3479" a="1"/>
  <c r="CC59" i="3479" s="1"/>
  <c r="AB125" i="3528"/>
  <c r="AR125" i="3528"/>
  <c r="CR41" i="3479" a="1"/>
  <c r="CR41" i="3479" s="1"/>
  <c r="CQ41" i="3479" a="1"/>
  <c r="CQ41" i="3479" s="1"/>
  <c r="CP41" i="3479" a="1"/>
  <c r="CP41" i="3479" s="1"/>
  <c r="AE128" i="3528"/>
  <c r="AU128" i="3528"/>
  <c r="AO10" i="3435" a="1"/>
  <c r="AO10" i="3435" s="1"/>
  <c r="AN10" i="3435" a="1"/>
  <c r="AN10" i="3435" s="1"/>
  <c r="AM10" i="3435" a="1"/>
  <c r="AM10" i="3435" s="1"/>
  <c r="AP10" i="3435" a="1"/>
  <c r="AP10" i="3435" s="1"/>
  <c r="AQ10" i="3435" a="1"/>
  <c r="AQ10" i="3435" s="1"/>
  <c r="AL10" i="3435" a="1"/>
  <c r="AL10" i="3435" s="1"/>
  <c r="AK10" i="3435" a="1"/>
  <c r="AK10" i="3435" s="1"/>
  <c r="AR144" i="3528"/>
  <c r="AB144" i="3528"/>
  <c r="AH136" i="3528"/>
  <c r="AX136" i="3528"/>
  <c r="AI59" i="3435"/>
  <c r="AI35" i="3435"/>
  <c r="AI62" i="3435"/>
  <c r="AL11" i="3435"/>
  <c r="AK11" i="3435"/>
  <c r="AI43" i="3435"/>
  <c r="AI20" i="3435"/>
  <c r="AI32" i="3435"/>
  <c r="AO11" i="3435"/>
  <c r="AP11" i="3435"/>
  <c r="AN11" i="3435"/>
  <c r="AM11" i="3435"/>
  <c r="AI27" i="3435"/>
  <c r="AI48" i="3435"/>
  <c r="AI16" i="3435"/>
  <c r="AQ11" i="3435"/>
  <c r="I77" i="3436"/>
  <c r="BX68" i="3479" a="1"/>
  <c r="BX68" i="3479" s="1"/>
  <c r="BY68" i="3479" s="1" a="1"/>
  <c r="BY68" i="3479" s="1"/>
  <c r="AW130" i="3528"/>
  <c r="AG130" i="3528"/>
  <c r="I28" i="3436"/>
  <c r="S47" i="3445" s="1" a="1"/>
  <c r="S47" i="3445" s="1"/>
  <c r="T47" i="3445" s="1"/>
  <c r="DV45" i="3479" a="1"/>
  <c r="DV45" i="3479" s="1"/>
  <c r="DU45" i="3479" a="1"/>
  <c r="DU45" i="3479" s="1"/>
  <c r="DT45" i="3479" a="1"/>
  <c r="DT45" i="3479" s="1"/>
  <c r="W75" i="3480"/>
  <c r="X75" i="3480"/>
  <c r="V145" i="3528"/>
  <c r="AL145" i="3528"/>
  <c r="I70" i="3436"/>
  <c r="J89" i="3445" a="1"/>
  <c r="J89" i="3445" s="1"/>
  <c r="P89" i="3445" s="1"/>
  <c r="Q89" i="3445" s="1"/>
  <c r="EZ69" i="3479" a="1"/>
  <c r="EZ69" i="3479" s="1"/>
  <c r="EX69" i="3479" a="1"/>
  <c r="EX69" i="3479" s="1"/>
  <c r="EY69" i="3479" a="1"/>
  <c r="EY69" i="3479" s="1"/>
  <c r="AF136" i="3528"/>
  <c r="AV136" i="3528"/>
  <c r="I29" i="3435" a="1"/>
  <c r="I29" i="3435" s="1"/>
  <c r="AI29" i="3435" s="1"/>
  <c r="G29" i="3435" a="1"/>
  <c r="G29" i="3435" s="1"/>
  <c r="F29" i="3435" a="1"/>
  <c r="F29" i="3435" s="1"/>
  <c r="F41" i="3435" a="1"/>
  <c r="F41" i="3435" s="1"/>
  <c r="I41" i="3435" a="1"/>
  <c r="I41" i="3435" s="1"/>
  <c r="AI41" i="3435" s="1"/>
  <c r="G41" i="3435" a="1"/>
  <c r="G41" i="3435" s="1"/>
  <c r="I51" i="3435" a="1"/>
  <c r="I51" i="3435" s="1"/>
  <c r="AI51" i="3435" s="1"/>
  <c r="G51" i="3435" a="1"/>
  <c r="G51" i="3435" s="1"/>
  <c r="F51" i="3435" a="1"/>
  <c r="F51" i="3435" s="1"/>
  <c r="I35" i="3436"/>
  <c r="S54" i="3445" s="1" a="1"/>
  <c r="S54" i="3445" s="1"/>
  <c r="T54" i="3445" s="1"/>
  <c r="AK121" i="3528"/>
  <c r="U121" i="3528"/>
  <c r="AM140" i="3528"/>
  <c r="W140" i="3528"/>
  <c r="EZ55" i="3479" a="1"/>
  <c r="EZ55" i="3479" s="1"/>
  <c r="EX55" i="3479" a="1"/>
  <c r="EX55" i="3479" s="1"/>
  <c r="EY55" i="3479" a="1"/>
  <c r="EY55" i="3479" s="1"/>
  <c r="V132" i="3528"/>
  <c r="AL132" i="3528"/>
  <c r="U78" i="3436" a="1"/>
  <c r="U78" i="3436" s="1"/>
  <c r="J80" i="3444" s="1"/>
  <c r="BL63" i="3479" a="1"/>
  <c r="BL63" i="3479" s="1"/>
  <c r="BN63" i="3479" a="1"/>
  <c r="BN63" i="3479" s="1"/>
  <c r="BM63" i="3479" a="1"/>
  <c r="BM63" i="3479" s="1"/>
  <c r="AS121" i="3528"/>
  <c r="AC121" i="3528"/>
  <c r="I75" i="3436"/>
  <c r="CA70" i="3479" a="1"/>
  <c r="CA70" i="3479" s="1"/>
  <c r="CB70" i="3479" a="1"/>
  <c r="CB70" i="3479" s="1"/>
  <c r="CC70" i="3479" a="1"/>
  <c r="CC70" i="3479" s="1"/>
  <c r="AN131" i="3528"/>
  <c r="X131" i="3528"/>
  <c r="T45" i="3518"/>
  <c r="H45" i="3518"/>
  <c r="J45" i="3518" s="1"/>
  <c r="K45" i="3518" s="1"/>
  <c r="G21" i="3570" a="1"/>
  <c r="G21" i="3570" s="1"/>
  <c r="F21" i="3570" a="1"/>
  <c r="F21" i="3570" s="1"/>
  <c r="I21" i="3570" a="1"/>
  <c r="I21" i="3570" s="1"/>
  <c r="BE21" i="3570" s="1"/>
  <c r="F33" i="3570" a="1"/>
  <c r="F33" i="3570" s="1"/>
  <c r="I33" i="3570" a="1"/>
  <c r="I33" i="3570" s="1"/>
  <c r="BE33" i="3570" s="1"/>
  <c r="G33" i="3570" a="1"/>
  <c r="G33" i="3570" s="1"/>
  <c r="U51" i="3479" a="1"/>
  <c r="U51" i="3479" s="1"/>
  <c r="S51" i="3479" a="1"/>
  <c r="S51" i="3479" s="1"/>
  <c r="T51" i="3479" a="1"/>
  <c r="T51" i="3479" s="1"/>
  <c r="DV57" i="3479" a="1"/>
  <c r="DV57" i="3479" s="1"/>
  <c r="DU57" i="3479" a="1"/>
  <c r="DU57" i="3479" s="1"/>
  <c r="DT57" i="3479" a="1"/>
  <c r="DT57" i="3479" s="1"/>
  <c r="DT48" i="3479" a="1"/>
  <c r="DT48" i="3479" s="1"/>
  <c r="DV48" i="3479" a="1"/>
  <c r="DV48" i="3479" s="1"/>
  <c r="DU48" i="3479" a="1"/>
  <c r="DU48" i="3479" s="1"/>
  <c r="BM50" i="3479" a="1"/>
  <c r="BM50" i="3479" s="1"/>
  <c r="BL50" i="3479" a="1"/>
  <c r="BL50" i="3479" s="1"/>
  <c r="BN50" i="3479" a="1"/>
  <c r="BN50" i="3479" s="1"/>
  <c r="V130" i="3528"/>
  <c r="AL130" i="3528"/>
  <c r="CR71" i="3479" a="1"/>
  <c r="CR71" i="3479" s="1"/>
  <c r="CP71" i="3479" a="1"/>
  <c r="CP71" i="3479" s="1"/>
  <c r="CQ71" i="3479" a="1"/>
  <c r="CQ71" i="3479" s="1"/>
  <c r="S36" i="3479" a="1"/>
  <c r="S36" i="3479" s="1"/>
  <c r="U36" i="3479" a="1"/>
  <c r="U36" i="3479" s="1"/>
  <c r="T36" i="3479" a="1"/>
  <c r="T36" i="3479" s="1"/>
  <c r="AI121" i="3528"/>
  <c r="AY121" i="3528"/>
  <c r="AK15" i="3419" a="1"/>
  <c r="AK15" i="3419" s="1"/>
  <c r="AD15" i="3419" a="1"/>
  <c r="AD15" i="3419" s="1"/>
  <c r="AF39" i="3419" a="1"/>
  <c r="AF39" i="3419" s="1"/>
  <c r="AK39" i="3419" a="1"/>
  <c r="AK39" i="3419" s="1"/>
  <c r="AK60" i="3419" a="1"/>
  <c r="AK60" i="3419" s="1"/>
  <c r="AF60" i="3419" a="1"/>
  <c r="AF60" i="3419" s="1"/>
  <c r="AM138" i="3528"/>
  <c r="W138" i="3528"/>
  <c r="S30" i="3479" a="1"/>
  <c r="S30" i="3479" s="1"/>
  <c r="U30" i="3479" a="1"/>
  <c r="U30" i="3479" s="1"/>
  <c r="T30" i="3479" a="1"/>
  <c r="T30" i="3479" s="1"/>
  <c r="AY50" i="3479" a="1"/>
  <c r="AY50" i="3479" s="1"/>
  <c r="AW50" i="3479" a="1"/>
  <c r="AW50" i="3479" s="1"/>
  <c r="AX50" i="3479" a="1"/>
  <c r="AX50" i="3479" s="1"/>
  <c r="AC128" i="3528"/>
  <c r="AS128" i="3528"/>
  <c r="J72" i="3445" a="1"/>
  <c r="J72" i="3445" s="1"/>
  <c r="P72" i="3445" s="1"/>
  <c r="Q72" i="3445" s="1"/>
  <c r="I55" i="3444"/>
  <c r="S38" i="3479" a="1"/>
  <c r="S38" i="3479" s="1"/>
  <c r="U38" i="3479" a="1"/>
  <c r="U38" i="3479" s="1"/>
  <c r="T38" i="3479" a="1"/>
  <c r="T38" i="3479" s="1"/>
  <c r="Y120" i="3528"/>
  <c r="AO120" i="3528"/>
  <c r="U125" i="3528"/>
  <c r="AK125" i="3528"/>
  <c r="AX129" i="3528"/>
  <c r="AH129" i="3528"/>
  <c r="AI54" i="3479" a="1"/>
  <c r="AI54" i="3479" s="1"/>
  <c r="AJ54" i="3479" a="1"/>
  <c r="AJ54" i="3479" s="1"/>
  <c r="AH54" i="3479" a="1"/>
  <c r="AH54" i="3479" s="1"/>
  <c r="AT47" i="3479" a="1"/>
  <c r="AT47" i="3479" s="1"/>
  <c r="AU47" i="3479" s="1" a="1"/>
  <c r="AU47" i="3479" s="1"/>
  <c r="BN68" i="3479" a="1"/>
  <c r="BN68" i="3479" s="1"/>
  <c r="BL68" i="3479" a="1"/>
  <c r="BL68" i="3479" s="1"/>
  <c r="BM68" i="3479" a="1"/>
  <c r="BM68" i="3479" s="1"/>
  <c r="BL55" i="3479" a="1"/>
  <c r="BL55" i="3479" s="1"/>
  <c r="BN55" i="3479" a="1"/>
  <c r="BN55" i="3479" s="1"/>
  <c r="BM55" i="3479" a="1"/>
  <c r="BM55" i="3479" s="1"/>
  <c r="AL122" i="3528"/>
  <c r="V122" i="3528"/>
  <c r="AF133" i="3528"/>
  <c r="AV133" i="3528"/>
  <c r="EI71" i="3479" a="1"/>
  <c r="EI71" i="3479" s="1"/>
  <c r="EJ71" i="3479" a="1"/>
  <c r="EJ71" i="3479" s="1"/>
  <c r="EK71" i="3479" a="1"/>
  <c r="EK71" i="3479" s="1"/>
  <c r="Q127" i="3523" a="1"/>
  <c r="Q127" i="3523" s="1"/>
  <c r="A127" i="3523"/>
  <c r="EZ67" i="3479" a="1"/>
  <c r="EZ67" i="3479" s="1"/>
  <c r="EX67" i="3479" a="1"/>
  <c r="EX67" i="3479" s="1"/>
  <c r="EY67" i="3479" a="1"/>
  <c r="EY67" i="3479" s="1"/>
  <c r="AM121" i="3528"/>
  <c r="W121" i="3528"/>
  <c r="AB137" i="3528"/>
  <c r="AR137" i="3528"/>
  <c r="AQ138" i="3528"/>
  <c r="AA138" i="3528"/>
  <c r="AV131" i="3528"/>
  <c r="AF131" i="3528"/>
  <c r="AI134" i="3528"/>
  <c r="AY134" i="3528"/>
  <c r="AB135" i="3528"/>
  <c r="AR135" i="3528"/>
  <c r="AA119" i="3528"/>
  <c r="AQ119" i="3528"/>
  <c r="AX141" i="3528"/>
  <c r="AH141" i="3528"/>
  <c r="CA68" i="3479" a="1"/>
  <c r="CA68" i="3479" s="1"/>
  <c r="CC68" i="3479" a="1"/>
  <c r="CC68" i="3479" s="1"/>
  <c r="CB68" i="3479" a="1"/>
  <c r="CB68" i="3479" s="1"/>
  <c r="AQ131" i="3528"/>
  <c r="AA131" i="3528"/>
  <c r="BM24" i="3479" a="1"/>
  <c r="BM24" i="3479" s="1"/>
  <c r="BL24" i="3479" a="1"/>
  <c r="BL24" i="3479" s="1"/>
  <c r="BN24" i="3479" a="1"/>
  <c r="BN24" i="3479" s="1"/>
  <c r="S67" i="3479" a="1"/>
  <c r="S67" i="3479" s="1"/>
  <c r="U67" i="3479" a="1"/>
  <c r="U67" i="3479" s="1"/>
  <c r="T67" i="3479" a="1"/>
  <c r="T67" i="3479" s="1"/>
  <c r="EK65" i="3479" a="1"/>
  <c r="EK65" i="3479" s="1"/>
  <c r="EJ65" i="3479" a="1"/>
  <c r="EJ65" i="3479" s="1"/>
  <c r="EI65" i="3479" a="1"/>
  <c r="EI65" i="3479" s="1"/>
  <c r="AK133" i="3528"/>
  <c r="U133" i="3528"/>
  <c r="CA69" i="3479" a="1"/>
  <c r="CA69" i="3479" s="1"/>
  <c r="CB69" i="3479" a="1"/>
  <c r="CB69" i="3479" s="1"/>
  <c r="CC69" i="3479" a="1"/>
  <c r="CC69" i="3479" s="1"/>
  <c r="AY130" i="3528"/>
  <c r="AI130" i="3528"/>
  <c r="AJ55" i="3479" a="1"/>
  <c r="AJ55" i="3479" s="1"/>
  <c r="AI55" i="3479" a="1"/>
  <c r="AI55" i="3479" s="1"/>
  <c r="AH55" i="3479" a="1"/>
  <c r="AH55" i="3479" s="1"/>
  <c r="AC120" i="3528"/>
  <c r="AS120" i="3528"/>
  <c r="AS144" i="3528"/>
  <c r="AC144" i="3528"/>
  <c r="AW139" i="3528"/>
  <c r="AG139" i="3528"/>
  <c r="DF70" i="3479" a="1"/>
  <c r="DF70" i="3479" s="1"/>
  <c r="DE70" i="3479" a="1"/>
  <c r="DE70" i="3479" s="1"/>
  <c r="DG70" i="3479" a="1"/>
  <c r="DG70" i="3479" s="1"/>
  <c r="B484" i="3449"/>
  <c r="U120" i="3528"/>
  <c r="AK120" i="3528"/>
  <c r="AU143" i="3528"/>
  <c r="AE143" i="3528"/>
  <c r="CR64" i="3479" a="1"/>
  <c r="CR64" i="3479" s="1"/>
  <c r="CP64" i="3479" a="1"/>
  <c r="CP64" i="3479" s="1"/>
  <c r="CQ64" i="3479" a="1"/>
  <c r="CQ64" i="3479" s="1"/>
  <c r="G64" i="3435" a="1"/>
  <c r="G64" i="3435" s="1"/>
  <c r="F64" i="3435" a="1"/>
  <c r="F64" i="3435" s="1"/>
  <c r="I64" i="3435" a="1"/>
  <c r="I64" i="3435" s="1"/>
  <c r="AI64" i="3435" s="1"/>
  <c r="F40" i="3435" a="1"/>
  <c r="F40" i="3435" s="1"/>
  <c r="I40" i="3435" a="1"/>
  <c r="I40" i="3435" s="1"/>
  <c r="AI40" i="3435" s="1"/>
  <c r="G40" i="3435" a="1"/>
  <c r="G40" i="3435" s="1"/>
  <c r="F58" i="3435" a="1"/>
  <c r="F58" i="3435" s="1"/>
  <c r="I58" i="3435" a="1"/>
  <c r="I58" i="3435" s="1"/>
  <c r="AI58" i="3435" s="1"/>
  <c r="G58" i="3435" a="1"/>
  <c r="G58" i="3435" s="1"/>
  <c r="AE35" i="3479" a="1"/>
  <c r="AE35" i="3479" s="1"/>
  <c r="AF35" i="3479" s="1" a="1"/>
  <c r="AF35" i="3479" s="1"/>
  <c r="CR31" i="3479" a="1"/>
  <c r="CR31" i="3479" s="1"/>
  <c r="CQ31" i="3479" a="1"/>
  <c r="CQ31" i="3479" s="1"/>
  <c r="CP31" i="3479" a="1"/>
  <c r="CP31" i="3479" s="1"/>
  <c r="T28" i="3518"/>
  <c r="H28" i="3518"/>
  <c r="J28" i="3518" s="1"/>
  <c r="K28" i="3518" s="1"/>
  <c r="I57" i="3436"/>
  <c r="AI39" i="3479" a="1"/>
  <c r="AI39" i="3479" s="1"/>
  <c r="AJ39" i="3479" a="1"/>
  <c r="AJ39" i="3479" s="1"/>
  <c r="AH39" i="3479" a="1"/>
  <c r="AH39" i="3479" s="1"/>
  <c r="AX66" i="3479" a="1"/>
  <c r="AX66" i="3479" s="1"/>
  <c r="AW66" i="3479" a="1"/>
  <c r="AW66" i="3479" s="1"/>
  <c r="AY66" i="3479" a="1"/>
  <c r="AY66" i="3479" s="1"/>
  <c r="EY35" i="3479" a="1"/>
  <c r="EY35" i="3479" s="1"/>
  <c r="EX35" i="3479" a="1"/>
  <c r="EX35" i="3479" s="1"/>
  <c r="EZ35" i="3479" a="1"/>
  <c r="EZ35" i="3479" s="1"/>
  <c r="EX21" i="3479" a="1"/>
  <c r="EX21" i="3479" s="1"/>
  <c r="EZ21" i="3479" a="1"/>
  <c r="EZ21" i="3479" s="1"/>
  <c r="EY21" i="3479" a="1"/>
  <c r="EY21" i="3479" s="1"/>
  <c r="EX57" i="3479" a="1"/>
  <c r="EX57" i="3479" s="1"/>
  <c r="EY57" i="3479" a="1"/>
  <c r="EY57" i="3479" s="1"/>
  <c r="EZ57" i="3479" a="1"/>
  <c r="EZ57" i="3479" s="1"/>
  <c r="BI63" i="3479" a="1"/>
  <c r="BI63" i="3479" s="1"/>
  <c r="BJ63" i="3479" s="1" a="1"/>
  <c r="BJ63" i="3479" s="1"/>
  <c r="DF49" i="3479" a="1"/>
  <c r="DF49" i="3479" s="1"/>
  <c r="DE49" i="3479" a="1"/>
  <c r="DE49" i="3479" s="1"/>
  <c r="DG49" i="3479" a="1"/>
  <c r="DG49" i="3479" s="1"/>
  <c r="P27" i="3479" a="1"/>
  <c r="P27" i="3479" s="1"/>
  <c r="Q27" i="3479" s="1" a="1"/>
  <c r="Q27" i="3479" s="1"/>
  <c r="I54" i="3570" a="1"/>
  <c r="I54" i="3570" s="1"/>
  <c r="BE54" i="3570" s="1"/>
  <c r="G54" i="3570" a="1"/>
  <c r="G54" i="3570" s="1"/>
  <c r="F54" i="3570" a="1"/>
  <c r="F54" i="3570" s="1"/>
  <c r="P51" i="3479" a="1"/>
  <c r="P51" i="3479" s="1"/>
  <c r="Q51" i="3479" s="1" a="1"/>
  <c r="Q51" i="3479" s="1"/>
  <c r="AW67" i="3479" a="1"/>
  <c r="AW67" i="3479" s="1"/>
  <c r="AY67" i="3479" a="1"/>
  <c r="AY67" i="3479" s="1"/>
  <c r="AX67" i="3479" a="1"/>
  <c r="AX67" i="3479" s="1"/>
  <c r="EK66" i="3479" a="1"/>
  <c r="EK66" i="3479" s="1"/>
  <c r="EJ66" i="3479" a="1"/>
  <c r="EJ66" i="3479" s="1"/>
  <c r="EI66" i="3479" a="1"/>
  <c r="EI66" i="3479" s="1"/>
  <c r="AW141" i="3528"/>
  <c r="AG141" i="3528"/>
  <c r="CB67" i="3479" a="1"/>
  <c r="CB67" i="3479" s="1"/>
  <c r="CC67" i="3479" a="1"/>
  <c r="CC67" i="3479" s="1"/>
  <c r="CA67" i="3479" a="1"/>
  <c r="CA67" i="3479" s="1"/>
  <c r="AT43" i="3479" a="1"/>
  <c r="AT43" i="3479" s="1"/>
  <c r="AU43" i="3479" s="1" a="1"/>
  <c r="AU43" i="3479" s="1"/>
  <c r="AR138" i="3528"/>
  <c r="AB138" i="3528"/>
  <c r="AI13" i="3419" a="1"/>
  <c r="AI13" i="3419" s="1"/>
  <c r="AC13" i="3419" a="1"/>
  <c r="AC13" i="3419" s="1"/>
  <c r="AF48" i="3419" a="1"/>
  <c r="AF48" i="3419" s="1"/>
  <c r="AK48" i="3419" a="1"/>
  <c r="AK48" i="3419" s="1"/>
  <c r="AI62" i="3419" a="1"/>
  <c r="AI62" i="3419" s="1"/>
  <c r="AG62" i="3419" a="1"/>
  <c r="AG62" i="3419" s="1"/>
  <c r="X83" i="3480"/>
  <c r="W83" i="3480"/>
  <c r="AN127" i="3528"/>
  <c r="X127" i="3528"/>
  <c r="DV60" i="3479" a="1"/>
  <c r="DV60" i="3479" s="1"/>
  <c r="DU60" i="3479" a="1"/>
  <c r="DU60" i="3479" s="1"/>
  <c r="DT60" i="3479" a="1"/>
  <c r="DT60" i="3479" s="1"/>
  <c r="EK63" i="3479" a="1"/>
  <c r="EK63" i="3479" s="1"/>
  <c r="EJ63" i="3479" a="1"/>
  <c r="EJ63" i="3479" s="1"/>
  <c r="EI63" i="3479" a="1"/>
  <c r="EI63" i="3479" s="1"/>
  <c r="AT56" i="3479" a="1"/>
  <c r="AT56" i="3479" s="1"/>
  <c r="AU56" i="3479" s="1" a="1"/>
  <c r="AU56" i="3479" s="1"/>
  <c r="H42" i="3518"/>
  <c r="J42" i="3518" s="1"/>
  <c r="K42" i="3518" s="1"/>
  <c r="T16" i="3518"/>
  <c r="H16" i="3518"/>
  <c r="J16" i="3518" s="1"/>
  <c r="K16" i="3518" s="1"/>
  <c r="EI42" i="3479" a="1"/>
  <c r="EI42" i="3479" s="1"/>
  <c r="EK42" i="3479" a="1"/>
  <c r="EK42" i="3479" s="1"/>
  <c r="EJ42" i="3479" a="1"/>
  <c r="EJ42" i="3479" s="1"/>
  <c r="BX37" i="3479" a="1"/>
  <c r="BX37" i="3479" s="1"/>
  <c r="BY37" i="3479" s="1" a="1"/>
  <c r="BY37" i="3479" s="1"/>
  <c r="DG50" i="3479" a="1"/>
  <c r="DG50" i="3479" s="1"/>
  <c r="DF50" i="3479" a="1"/>
  <c r="DF50" i="3479" s="1"/>
  <c r="DE50" i="3479" a="1"/>
  <c r="DE50" i="3479" s="1"/>
  <c r="P38" i="3479" a="1"/>
  <c r="P38" i="3479" s="1"/>
  <c r="Q38" i="3479" s="1" a="1"/>
  <c r="Q38" i="3479" s="1"/>
  <c r="Z140" i="3528"/>
  <c r="AP140" i="3528"/>
  <c r="AE135" i="3528"/>
  <c r="AU135" i="3528"/>
  <c r="X82" i="3480"/>
  <c r="W82" i="3480"/>
  <c r="AM130" i="3528"/>
  <c r="W130" i="3528"/>
  <c r="AJ33" i="3479" a="1"/>
  <c r="AJ33" i="3479" s="1"/>
  <c r="AI33" i="3479" a="1"/>
  <c r="AI33" i="3479" s="1"/>
  <c r="AH33" i="3479" a="1"/>
  <c r="AH33" i="3479" s="1"/>
  <c r="AY47" i="3479" a="1"/>
  <c r="AY47" i="3479" s="1"/>
  <c r="AX47" i="3479" a="1"/>
  <c r="AX47" i="3479" s="1"/>
  <c r="AW47" i="3479" a="1"/>
  <c r="AW47" i="3479" s="1"/>
  <c r="DF65" i="3479" a="1"/>
  <c r="DF65" i="3479" s="1"/>
  <c r="DE65" i="3479" a="1"/>
  <c r="DE65" i="3479" s="1"/>
  <c r="DG65" i="3479" a="1"/>
  <c r="DG65" i="3479" s="1"/>
  <c r="Y127" i="3528"/>
  <c r="AO127" i="3528"/>
  <c r="AX123" i="3528"/>
  <c r="AH123" i="3528"/>
  <c r="AC14" i="3419" a="1"/>
  <c r="AC14" i="3419" s="1"/>
  <c r="AI14" i="3419" a="1"/>
  <c r="AI14" i="3419" s="1"/>
  <c r="AG23" i="3419" a="1"/>
  <c r="AG23" i="3419" s="1"/>
  <c r="AI23" i="3419" a="1"/>
  <c r="AI23" i="3419" s="1"/>
  <c r="AC118" i="3528"/>
  <c r="AS118" i="3528"/>
  <c r="I55" i="3436"/>
  <c r="S74" i="3445" s="1" a="1"/>
  <c r="S74" i="3445" s="1"/>
  <c r="T74" i="3445" s="1"/>
  <c r="H20" i="3518"/>
  <c r="J20" i="3518" s="1"/>
  <c r="K20" i="3518" s="1"/>
  <c r="T20" i="3518"/>
  <c r="AJ59" i="3479" a="1"/>
  <c r="AJ59" i="3479" s="1"/>
  <c r="AI59" i="3479" a="1"/>
  <c r="AI59" i="3479" s="1"/>
  <c r="AH59" i="3479" a="1"/>
  <c r="AH59" i="3479" s="1"/>
  <c r="CC37" i="3479" a="1"/>
  <c r="CC37" i="3479" s="1"/>
  <c r="CA37" i="3479" a="1"/>
  <c r="CA37" i="3479" s="1"/>
  <c r="CB37" i="3479" a="1"/>
  <c r="CB37" i="3479" s="1"/>
  <c r="AP129" i="3528"/>
  <c r="Z129" i="3528"/>
  <c r="CA22" i="3479" a="1"/>
  <c r="CA22" i="3479" s="1"/>
  <c r="CC22" i="3479" a="1"/>
  <c r="CC22" i="3479" s="1"/>
  <c r="CB22" i="3479" a="1"/>
  <c r="CB22" i="3479" s="1"/>
  <c r="B64" i="3434"/>
  <c r="G17" i="3480" s="1"/>
  <c r="B67" i="3434"/>
  <c r="B66" i="3434" s="1"/>
  <c r="EI64" i="3479" a="1"/>
  <c r="EI64" i="3479" s="1"/>
  <c r="EK64" i="3479" a="1"/>
  <c r="EK64" i="3479" s="1"/>
  <c r="EJ64" i="3479" a="1"/>
  <c r="EJ64" i="3479" s="1"/>
  <c r="BN33" i="3479" a="1"/>
  <c r="BN33" i="3479" s="1"/>
  <c r="BM33" i="3479" a="1"/>
  <c r="BM33" i="3479" s="1"/>
  <c r="BL33" i="3479" a="1"/>
  <c r="BL33" i="3479" s="1"/>
  <c r="I68" i="3436"/>
  <c r="AM145" i="3528"/>
  <c r="W145" i="3528"/>
  <c r="AY56" i="3479" a="1"/>
  <c r="AY56" i="3479" s="1"/>
  <c r="AX56" i="3479" a="1"/>
  <c r="AX56" i="3479" s="1"/>
  <c r="AW56" i="3479" a="1"/>
  <c r="AW56" i="3479" s="1"/>
  <c r="AK137" i="3528"/>
  <c r="U137" i="3528"/>
  <c r="X62" i="3480"/>
  <c r="W62" i="3480"/>
  <c r="BX52" i="3479" a="1"/>
  <c r="BX52" i="3479" s="1"/>
  <c r="BY52" i="3479" s="1" a="1"/>
  <c r="BY52" i="3479" s="1"/>
  <c r="CQ50" i="3479" a="1"/>
  <c r="CQ50" i="3479" s="1"/>
  <c r="CP50" i="3479" a="1"/>
  <c r="CP50" i="3479" s="1"/>
  <c r="CR50" i="3479" a="1"/>
  <c r="CR50" i="3479" s="1"/>
  <c r="DV34" i="3479" a="1"/>
  <c r="DV34" i="3479" s="1"/>
  <c r="DU34" i="3479" a="1"/>
  <c r="DU34" i="3479" s="1"/>
  <c r="DT34" i="3479" a="1"/>
  <c r="DT34" i="3479" s="1"/>
  <c r="P21" i="3479" a="1"/>
  <c r="P21" i="3479" s="1"/>
  <c r="Q21" i="3479" s="1" a="1"/>
  <c r="Q21" i="3479" s="1"/>
  <c r="AJ58" i="3479" a="1"/>
  <c r="AJ58" i="3479" s="1"/>
  <c r="AI58" i="3479" a="1"/>
  <c r="AI58" i="3479" s="1"/>
  <c r="AH58" i="3479" a="1"/>
  <c r="AH58" i="3479" s="1"/>
  <c r="AT134" i="3528"/>
  <c r="AD134" i="3528"/>
  <c r="CC33" i="3479" a="1"/>
  <c r="CC33" i="3479" s="1"/>
  <c r="CB33" i="3479" a="1"/>
  <c r="CB33" i="3479" s="1"/>
  <c r="CA33" i="3479" a="1"/>
  <c r="CA33" i="3479" s="1"/>
  <c r="CQ55" i="3479" a="1"/>
  <c r="CQ55" i="3479" s="1"/>
  <c r="CP55" i="3479" a="1"/>
  <c r="CP55" i="3479" s="1"/>
  <c r="CR55" i="3479" a="1"/>
  <c r="CR55" i="3479" s="1"/>
  <c r="AG128" i="3528"/>
  <c r="AW128" i="3528"/>
  <c r="AI42" i="3479" a="1"/>
  <c r="AI42" i="3479" s="1"/>
  <c r="AH42" i="3479" a="1"/>
  <c r="AH42" i="3479" s="1"/>
  <c r="AJ42" i="3479" a="1"/>
  <c r="AJ42" i="3479" s="1"/>
  <c r="Y137" i="3528"/>
  <c r="AO137" i="3528"/>
  <c r="AC99" i="3448"/>
  <c r="Y100" i="3448"/>
  <c r="AX125" i="3528"/>
  <c r="AH125" i="3528"/>
  <c r="I46" i="3444"/>
  <c r="BI52" i="3479" a="1"/>
  <c r="BI52" i="3479" s="1"/>
  <c r="BJ52" i="3479" s="1" a="1"/>
  <c r="BJ52" i="3479" s="1"/>
  <c r="CQ66" i="3479" a="1"/>
  <c r="CQ66" i="3479" s="1"/>
  <c r="CR66" i="3479" a="1"/>
  <c r="CR66" i="3479" s="1"/>
  <c r="CP66" i="3479" a="1"/>
  <c r="CP66" i="3479" s="1"/>
  <c r="AB127" i="3528"/>
  <c r="AR127" i="3528"/>
  <c r="I15" i="3435" a="1"/>
  <c r="I15" i="3435" s="1"/>
  <c r="AI15" i="3435" s="1"/>
  <c r="G15" i="3435" a="1"/>
  <c r="G15" i="3435" s="1"/>
  <c r="F15" i="3435" a="1"/>
  <c r="F15" i="3435" s="1"/>
  <c r="I42" i="3435" a="1"/>
  <c r="I42" i="3435" s="1"/>
  <c r="AI42" i="3435" s="1"/>
  <c r="G42" i="3435" a="1"/>
  <c r="G42" i="3435" s="1"/>
  <c r="F42" i="3435" a="1"/>
  <c r="F42" i="3435" s="1"/>
  <c r="AP127" i="3528"/>
  <c r="Z127" i="3528"/>
  <c r="Z142" i="3528"/>
  <c r="AP142" i="3528"/>
  <c r="T40" i="3518"/>
  <c r="H40" i="3518"/>
  <c r="J40" i="3518" s="1"/>
  <c r="K40" i="3518" s="1"/>
  <c r="AO138" i="3528"/>
  <c r="Y138" i="3528"/>
  <c r="AS141" i="3528"/>
  <c r="AC141" i="3528"/>
  <c r="T13" i="3518"/>
  <c r="H13" i="3518"/>
  <c r="J13" i="3518" s="1"/>
  <c r="K13" i="3518" s="1"/>
  <c r="EZ44" i="3479" a="1"/>
  <c r="EZ44" i="3479" s="1"/>
  <c r="EY44" i="3479" a="1"/>
  <c r="EY44" i="3479" s="1"/>
  <c r="EX44" i="3479" a="1"/>
  <c r="EX44" i="3479" s="1"/>
  <c r="AT48" i="3479" a="1"/>
  <c r="AT48" i="3479" s="1"/>
  <c r="AU48" i="3479" s="1" a="1"/>
  <c r="AU48" i="3479" s="1"/>
  <c r="AR117" i="3528"/>
  <c r="AB117" i="3528"/>
  <c r="AL133" i="3528"/>
  <c r="V133" i="3528"/>
  <c r="DE66" i="3479" a="1"/>
  <c r="DE66" i="3479" s="1"/>
  <c r="DG66" i="3479" a="1"/>
  <c r="DG66" i="3479" s="1"/>
  <c r="DF66" i="3479" a="1"/>
  <c r="DF66" i="3479" s="1"/>
  <c r="CQ52" i="3479" a="1"/>
  <c r="CQ52" i="3479" s="1"/>
  <c r="CP52" i="3479" a="1"/>
  <c r="CP52" i="3479" s="1"/>
  <c r="CR52" i="3479" a="1"/>
  <c r="CR52" i="3479" s="1"/>
  <c r="BN56" i="3479" a="1"/>
  <c r="BN56" i="3479" s="1"/>
  <c r="BM56" i="3479" a="1"/>
  <c r="BM56" i="3479" s="1"/>
  <c r="BL56" i="3479" a="1"/>
  <c r="BL56" i="3479" s="1"/>
  <c r="CQ47" i="3479" a="1"/>
  <c r="CQ47" i="3479" s="1"/>
  <c r="CR47" i="3479" a="1"/>
  <c r="CR47" i="3479" s="1"/>
  <c r="CP47" i="3479" a="1"/>
  <c r="CP47" i="3479" s="1"/>
  <c r="AJ38" i="3479" a="1"/>
  <c r="AJ38" i="3479" s="1"/>
  <c r="AI38" i="3479" a="1"/>
  <c r="AI38" i="3479" s="1"/>
  <c r="AH38" i="3479" a="1"/>
  <c r="AH38" i="3479" s="1"/>
  <c r="AW129" i="3528"/>
  <c r="AG129" i="3528"/>
  <c r="H49" i="3518"/>
  <c r="J49" i="3518" s="1"/>
  <c r="K49" i="3518" s="1"/>
  <c r="T49" i="3518"/>
  <c r="G45" i="3570" a="1"/>
  <c r="G45" i="3570" s="1"/>
  <c r="F45" i="3570" a="1"/>
  <c r="F45" i="3570" s="1"/>
  <c r="I45" i="3570" a="1"/>
  <c r="I45" i="3570" s="1"/>
  <c r="BE45" i="3570" s="1"/>
  <c r="G40" i="3570" a="1"/>
  <c r="G40" i="3570" s="1"/>
  <c r="F40" i="3570" a="1"/>
  <c r="F40" i="3570" s="1"/>
  <c r="I40" i="3570" a="1"/>
  <c r="I40" i="3570" s="1"/>
  <c r="BE40" i="3570" s="1"/>
  <c r="F28" i="3570" a="1"/>
  <c r="F28" i="3570" s="1"/>
  <c r="G28" i="3570" a="1"/>
  <c r="G28" i="3570" s="1"/>
  <c r="I28" i="3570" a="1"/>
  <c r="I28" i="3570" s="1"/>
  <c r="BE28" i="3570" s="1"/>
  <c r="AY53" i="3479" a="1"/>
  <c r="AY53" i="3479" s="1"/>
  <c r="AX53" i="3479" a="1"/>
  <c r="AX53" i="3479" s="1"/>
  <c r="AW53" i="3479" a="1"/>
  <c r="AW53" i="3479" s="1"/>
  <c r="U34" i="3479" a="1"/>
  <c r="U34" i="3479" s="1"/>
  <c r="T34" i="3479" a="1"/>
  <c r="T34" i="3479" s="1"/>
  <c r="S34" i="3479" a="1"/>
  <c r="S34" i="3479" s="1"/>
  <c r="EK39" i="3479" a="1"/>
  <c r="EK39" i="3479" s="1"/>
  <c r="EI39" i="3479" a="1"/>
  <c r="EI39" i="3479" s="1"/>
  <c r="EJ39" i="3479" a="1"/>
  <c r="EJ39" i="3479" s="1"/>
  <c r="AY33" i="3479" a="1"/>
  <c r="AY33" i="3479" s="1"/>
  <c r="AX33" i="3479" a="1"/>
  <c r="AX33" i="3479" s="1"/>
  <c r="AW33" i="3479" a="1"/>
  <c r="AW33" i="3479" s="1"/>
  <c r="DG31" i="3479" a="1"/>
  <c r="DG31" i="3479" s="1"/>
  <c r="DF31" i="3479" a="1"/>
  <c r="DF31" i="3479" s="1"/>
  <c r="DE31" i="3479" a="1"/>
  <c r="DE31" i="3479" s="1"/>
  <c r="AI28" i="3419" a="1"/>
  <c r="AI28" i="3419" s="1"/>
  <c r="AH28" i="3419" a="1"/>
  <c r="AH28" i="3419" s="1"/>
  <c r="AG34" i="3419" a="1"/>
  <c r="AG34" i="3419" s="1"/>
  <c r="AI34" i="3419" a="1"/>
  <c r="AI34" i="3419" s="1"/>
  <c r="AC125" i="3528"/>
  <c r="AS125" i="3528"/>
  <c r="I63" i="3444"/>
  <c r="U61" i="3436" a="1"/>
  <c r="U61" i="3436" s="1"/>
  <c r="J80" i="3445" a="1"/>
  <c r="J80" i="3445" s="1"/>
  <c r="P80" i="3445" s="1"/>
  <c r="Q80" i="3445" s="1"/>
  <c r="DV54" i="3479" a="1"/>
  <c r="DV54" i="3479" s="1"/>
  <c r="DU54" i="3479" a="1"/>
  <c r="DU54" i="3479" s="1"/>
  <c r="DT54" i="3479" a="1"/>
  <c r="DT54" i="3479" s="1"/>
  <c r="U59" i="3479" a="1"/>
  <c r="U59" i="3479" s="1"/>
  <c r="S59" i="3479" a="1"/>
  <c r="S59" i="3479" s="1"/>
  <c r="T59" i="3479" a="1"/>
  <c r="T59" i="3479" s="1"/>
  <c r="DT43" i="3479" a="1"/>
  <c r="DT43" i="3479" s="1"/>
  <c r="DV43" i="3479" a="1"/>
  <c r="DV43" i="3479" s="1"/>
  <c r="DU43" i="3479" a="1"/>
  <c r="DU43" i="3479" s="1"/>
  <c r="AU130" i="3528"/>
  <c r="AE130" i="3528"/>
  <c r="AT130" i="3528"/>
  <c r="AD130" i="3528"/>
  <c r="AE59" i="3479" a="1"/>
  <c r="AE59" i="3479" s="1"/>
  <c r="AF59" i="3479" s="1" a="1"/>
  <c r="AF59" i="3479" s="1"/>
  <c r="AT63" i="3479" a="1"/>
  <c r="AT63" i="3479" s="1"/>
  <c r="AU63" i="3479" s="1" a="1"/>
  <c r="AU63" i="3479" s="1"/>
  <c r="AY22" i="3479" a="1"/>
  <c r="AY22" i="3479" s="1"/>
  <c r="AX22" i="3479" a="1"/>
  <c r="AX22" i="3479" s="1"/>
  <c r="AW22" i="3479" a="1"/>
  <c r="AW22" i="3479" s="1"/>
  <c r="X56" i="3480"/>
  <c r="W56" i="3480"/>
  <c r="BX22" i="3479" a="1"/>
  <c r="BX22" i="3479" s="1"/>
  <c r="BY22" i="3479" s="1" a="1"/>
  <c r="BY22" i="3479" s="1"/>
  <c r="AF125" i="3528"/>
  <c r="AV125" i="3528"/>
  <c r="X72" i="3480"/>
  <c r="W72" i="3480"/>
  <c r="BI33" i="3479" a="1"/>
  <c r="BI33" i="3479" s="1"/>
  <c r="BJ33" i="3479" s="1" a="1"/>
  <c r="BJ33" i="3479" s="1"/>
  <c r="CR40" i="3479" a="1"/>
  <c r="CR40" i="3479" s="1"/>
  <c r="CQ40" i="3479" a="1"/>
  <c r="CQ40" i="3479" s="1"/>
  <c r="CP40" i="3479" a="1"/>
  <c r="CP40" i="3479" s="1"/>
  <c r="J69" i="3445" a="1"/>
  <c r="J69" i="3445" s="1"/>
  <c r="P69" i="3445" s="1"/>
  <c r="Q69" i="3445" s="1"/>
  <c r="CC52" i="3479" a="1"/>
  <c r="CC52" i="3479" s="1"/>
  <c r="CB52" i="3479" a="1"/>
  <c r="CB52" i="3479" s="1"/>
  <c r="CA52" i="3479" a="1"/>
  <c r="CA52" i="3479" s="1"/>
  <c r="AN124" i="3528"/>
  <c r="X124" i="3528"/>
  <c r="J46" i="3445" a="1"/>
  <c r="J46" i="3445" s="1"/>
  <c r="P46" i="3445" s="1"/>
  <c r="Q46" i="3445" s="1"/>
  <c r="I29" i="3444"/>
  <c r="U27" i="3436" a="1"/>
  <c r="U27" i="3436" s="1"/>
  <c r="J29" i="3444" s="1"/>
  <c r="CQ45" i="3479" a="1"/>
  <c r="CQ45" i="3479" s="1"/>
  <c r="CR45" i="3479" a="1"/>
  <c r="CR45" i="3479" s="1"/>
  <c r="CP45" i="3479" a="1"/>
  <c r="CP45" i="3479" s="1"/>
  <c r="I69" i="3444"/>
  <c r="J86" i="3445" a="1"/>
  <c r="J86" i="3445" s="1"/>
  <c r="P86" i="3445" s="1"/>
  <c r="Q86" i="3445" s="1"/>
  <c r="CM27" i="3479" a="1"/>
  <c r="CM27" i="3479" s="1"/>
  <c r="CN27" i="3479" s="1" a="1"/>
  <c r="CN27" i="3479" s="1"/>
  <c r="X120" i="3528"/>
  <c r="AN120" i="3528"/>
  <c r="DG28" i="3479" a="1"/>
  <c r="DG28" i="3479" s="1"/>
  <c r="DF28" i="3479" a="1"/>
  <c r="DF28" i="3479" s="1"/>
  <c r="DE28" i="3479" a="1"/>
  <c r="DE28" i="3479" s="1"/>
  <c r="AV139" i="3528"/>
  <c r="AF139" i="3528"/>
  <c r="BL52" i="3479" a="1"/>
  <c r="BL52" i="3479" s="1"/>
  <c r="BN52" i="3479" a="1"/>
  <c r="BN52" i="3479" s="1"/>
  <c r="BM52" i="3479" a="1"/>
  <c r="BM52" i="3479" s="1"/>
  <c r="CA44" i="3479" a="1"/>
  <c r="CA44" i="3479" s="1"/>
  <c r="CB44" i="3479" a="1"/>
  <c r="CB44" i="3479" s="1"/>
  <c r="CC44" i="3479" a="1"/>
  <c r="CC44" i="3479" s="1"/>
  <c r="I18" i="3435" a="1"/>
  <c r="I18" i="3435" s="1"/>
  <c r="AI18" i="3435" s="1"/>
  <c r="G18" i="3435" a="1"/>
  <c r="G18" i="3435" s="1"/>
  <c r="F18" i="3435" a="1"/>
  <c r="F18" i="3435" s="1"/>
  <c r="F24" i="3435" a="1"/>
  <c r="F24" i="3435" s="1"/>
  <c r="G24" i="3435" a="1"/>
  <c r="G24" i="3435" s="1"/>
  <c r="I24" i="3435" a="1"/>
  <c r="I24" i="3435" s="1"/>
  <c r="AI24" i="3435" s="1"/>
  <c r="U49" i="3436" a="1"/>
  <c r="U49" i="3436" s="1"/>
  <c r="J51" i="3444" s="1"/>
  <c r="I51" i="3444"/>
  <c r="W54" i="3480"/>
  <c r="X54" i="3480"/>
  <c r="EZ50" i="3479" a="1"/>
  <c r="EZ50" i="3479" s="1"/>
  <c r="EX50" i="3479" a="1"/>
  <c r="EX50" i="3479" s="1"/>
  <c r="EY50" i="3479" a="1"/>
  <c r="EY50" i="3479" s="1"/>
  <c r="BI48" i="3479" a="1"/>
  <c r="BI48" i="3479" s="1"/>
  <c r="BJ48" i="3479" s="1" a="1"/>
  <c r="BJ48" i="3479" s="1"/>
  <c r="P49" i="3479" a="1"/>
  <c r="P49" i="3479" s="1"/>
  <c r="Q49" i="3479" s="1" a="1"/>
  <c r="Q49" i="3479" s="1"/>
  <c r="CM49" i="3479" a="1"/>
  <c r="CM49" i="3479" s="1"/>
  <c r="CN49" i="3479" s="1" a="1"/>
  <c r="CN49" i="3479" s="1"/>
  <c r="BI21" i="3479" a="1"/>
  <c r="BI21" i="3479" s="1"/>
  <c r="BJ21" i="3479" s="1" a="1"/>
  <c r="BJ21" i="3479" s="1"/>
  <c r="AY60" i="3479" a="1"/>
  <c r="AY60" i="3479" s="1"/>
  <c r="AX60" i="3479" a="1"/>
  <c r="AX60" i="3479" s="1"/>
  <c r="AW60" i="3479" a="1"/>
  <c r="AW60" i="3479" s="1"/>
  <c r="W87" i="3480"/>
  <c r="X87" i="3480"/>
  <c r="DE38" i="3479" a="1"/>
  <c r="DE38" i="3479" s="1"/>
  <c r="DG38" i="3479" a="1"/>
  <c r="DG38" i="3479" s="1"/>
  <c r="DF38" i="3479" a="1"/>
  <c r="DF38" i="3479" s="1"/>
  <c r="AP139" i="3528"/>
  <c r="Z139" i="3528"/>
  <c r="I46" i="3570" a="1"/>
  <c r="I46" i="3570" s="1"/>
  <c r="BE46" i="3570" s="1"/>
  <c r="G46" i="3570" a="1"/>
  <c r="G46" i="3570" s="1"/>
  <c r="F46" i="3570" a="1"/>
  <c r="F46" i="3570" s="1"/>
  <c r="F49" i="3570" a="1"/>
  <c r="F49" i="3570" s="1"/>
  <c r="I49" i="3570" a="1"/>
  <c r="I49" i="3570" s="1"/>
  <c r="BE49" i="3570" s="1"/>
  <c r="G49" i="3570" a="1"/>
  <c r="G49" i="3570" s="1"/>
  <c r="EZ61" i="3479" a="1"/>
  <c r="EZ61" i="3479" s="1"/>
  <c r="EY61" i="3479" a="1"/>
  <c r="EY61" i="3479" s="1"/>
  <c r="EX61" i="3479" a="1"/>
  <c r="EX61" i="3479" s="1"/>
  <c r="P58" i="3479" a="1"/>
  <c r="P58" i="3479" s="1"/>
  <c r="Q58" i="3479" s="1" a="1"/>
  <c r="Q58" i="3479" s="1"/>
  <c r="BX64" i="3479" a="1"/>
  <c r="BX64" i="3479" s="1"/>
  <c r="BY64" i="3479" s="1" a="1"/>
  <c r="BY64" i="3479" s="1"/>
  <c r="AB132" i="3528"/>
  <c r="AR132" i="3528"/>
  <c r="AI118" i="3528"/>
  <c r="AY118" i="3528"/>
  <c r="I48" i="3444"/>
  <c r="J65" i="3445" a="1"/>
  <c r="J65" i="3445" s="1"/>
  <c r="P65" i="3445" s="1"/>
  <c r="Q65" i="3445" s="1"/>
  <c r="AC136" i="3528"/>
  <c r="AS136" i="3528"/>
  <c r="AR121" i="3528"/>
  <c r="AB121" i="3528"/>
  <c r="T41" i="3518"/>
  <c r="H41" i="3518"/>
  <c r="J41" i="3518" s="1"/>
  <c r="K41" i="3518" s="1"/>
  <c r="AE26" i="3419" a="1"/>
  <c r="AE26" i="3419" s="1"/>
  <c r="AK26" i="3419" a="1"/>
  <c r="AK26" i="3419" s="1"/>
  <c r="AJ43" i="3419" a="1"/>
  <c r="AJ43" i="3419" s="1"/>
  <c r="AF43" i="3419" a="1"/>
  <c r="AF43" i="3419" s="1"/>
  <c r="T44" i="3479" a="1"/>
  <c r="T44" i="3479" s="1"/>
  <c r="S44" i="3479" a="1"/>
  <c r="S44" i="3479" s="1"/>
  <c r="U44" i="3479" a="1"/>
  <c r="U44" i="3479" s="1"/>
  <c r="U63" i="3479" a="1"/>
  <c r="U63" i="3479" s="1"/>
  <c r="T63" i="3479" a="1"/>
  <c r="T63" i="3479" s="1"/>
  <c r="S63" i="3479" a="1"/>
  <c r="S63" i="3479" s="1"/>
  <c r="EI26" i="3479" a="1"/>
  <c r="EI26" i="3479" s="1"/>
  <c r="EK26" i="3479" a="1"/>
  <c r="EK26" i="3479" s="1"/>
  <c r="EJ26" i="3479" a="1"/>
  <c r="EJ26" i="3479" s="1"/>
  <c r="AO131" i="3528"/>
  <c r="Y131" i="3528"/>
  <c r="BZ15" i="3564"/>
  <c r="BS16" i="3564"/>
  <c r="AX63" i="3479" a="1"/>
  <c r="AX63" i="3479" s="1"/>
  <c r="AW63" i="3479" a="1"/>
  <c r="AW63" i="3479" s="1"/>
  <c r="AY63" i="3479" a="1"/>
  <c r="AY63" i="3479" s="1"/>
  <c r="AI57" i="3479" a="1"/>
  <c r="AI57" i="3479" s="1"/>
  <c r="AH57" i="3479" a="1"/>
  <c r="AH57" i="3479" s="1"/>
  <c r="AJ57" i="3479" a="1"/>
  <c r="AJ57" i="3479" s="1"/>
  <c r="AF134" i="3528"/>
  <c r="AV134" i="3528"/>
  <c r="AN130" i="3528"/>
  <c r="X130" i="3528"/>
  <c r="AK142" i="3528"/>
  <c r="U142" i="3528"/>
  <c r="AI47" i="3479" a="1"/>
  <c r="AI47" i="3479" s="1"/>
  <c r="AH47" i="3479" a="1"/>
  <c r="AH47" i="3479" s="1"/>
  <c r="AJ47" i="3479" a="1"/>
  <c r="AJ47" i="3479" s="1"/>
  <c r="EK48" i="3479" a="1"/>
  <c r="EK48" i="3479" s="1"/>
  <c r="EJ48" i="3479" a="1"/>
  <c r="EJ48" i="3479" s="1"/>
  <c r="EI48" i="3479" a="1"/>
  <c r="EI48" i="3479" s="1"/>
  <c r="CR63" i="3479" a="1"/>
  <c r="CR63" i="3479" s="1"/>
  <c r="CP63" i="3479" a="1"/>
  <c r="CP63" i="3479" s="1"/>
  <c r="CQ63" i="3479" a="1"/>
  <c r="CQ63" i="3479" s="1"/>
  <c r="EK21" i="3479" a="1"/>
  <c r="EK21" i="3479" s="1"/>
  <c r="EJ21" i="3479" a="1"/>
  <c r="EJ21" i="3479" s="1"/>
  <c r="EI21" i="3479" a="1"/>
  <c r="EI21" i="3479" s="1"/>
  <c r="AO130" i="3528"/>
  <c r="Y130" i="3528"/>
  <c r="U22" i="3479" a="1"/>
  <c r="U22" i="3479" s="1"/>
  <c r="T22" i="3479" a="1"/>
  <c r="T22" i="3479" s="1"/>
  <c r="S22" i="3479" a="1"/>
  <c r="S22" i="3479" s="1"/>
  <c r="AX144" i="3528"/>
  <c r="AH144" i="3528"/>
  <c r="AF122" i="3528"/>
  <c r="AV122" i="3528"/>
  <c r="AH61" i="3479" a="1"/>
  <c r="AH61" i="3479" s="1"/>
  <c r="AJ61" i="3479" a="1"/>
  <c r="AJ61" i="3479" s="1"/>
  <c r="AI61" i="3479" a="1"/>
  <c r="AI61" i="3479" s="1"/>
  <c r="AY71" i="3479" a="1"/>
  <c r="AY71" i="3479" s="1"/>
  <c r="AX71" i="3479" a="1"/>
  <c r="AX71" i="3479" s="1"/>
  <c r="AW71" i="3479" a="1"/>
  <c r="AW71" i="3479" s="1"/>
  <c r="EK61" i="3479" a="1"/>
  <c r="EK61" i="3479" s="1"/>
  <c r="EJ61" i="3479" a="1"/>
  <c r="EJ61" i="3479" s="1"/>
  <c r="EI61" i="3479" a="1"/>
  <c r="EI61" i="3479" s="1"/>
  <c r="I41" i="3436"/>
  <c r="S60" i="3445" s="1" a="1"/>
  <c r="S60" i="3445" s="1"/>
  <c r="T60" i="3445" s="1"/>
  <c r="EI31" i="3479" a="1"/>
  <c r="EI31" i="3479" s="1"/>
  <c r="EK31" i="3479" a="1"/>
  <c r="EK31" i="3479" s="1"/>
  <c r="EJ31" i="3479" a="1"/>
  <c r="EJ31" i="3479" s="1"/>
  <c r="EZ43" i="3479" a="1"/>
  <c r="EZ43" i="3479" s="1"/>
  <c r="EX43" i="3479" a="1"/>
  <c r="EX43" i="3479" s="1"/>
  <c r="EY43" i="3479" a="1"/>
  <c r="EY43" i="3479" s="1"/>
  <c r="AY125" i="3528"/>
  <c r="AI125" i="3528"/>
  <c r="CR27" i="3479" a="1"/>
  <c r="CR27" i="3479" s="1"/>
  <c r="CQ27" i="3479" a="1"/>
  <c r="CQ27" i="3479" s="1"/>
  <c r="CP27" i="3479" a="1"/>
  <c r="CP27" i="3479" s="1"/>
  <c r="EI53" i="3479" a="1"/>
  <c r="EI53" i="3479" s="1"/>
  <c r="EK53" i="3479" a="1"/>
  <c r="EK53" i="3479" s="1"/>
  <c r="EJ53" i="3479" a="1"/>
  <c r="EJ53" i="3479" s="1"/>
  <c r="EY54" i="3479" a="1"/>
  <c r="EY54" i="3479" s="1"/>
  <c r="EZ54" i="3479" a="1"/>
  <c r="EZ54" i="3479" s="1"/>
  <c r="EX54" i="3479" a="1"/>
  <c r="EX54" i="3479" s="1"/>
  <c r="BX40" i="3479" a="1"/>
  <c r="BX40" i="3479" s="1"/>
  <c r="BY40" i="3479" s="1" a="1"/>
  <c r="BY40" i="3479" s="1"/>
  <c r="AU118" i="3528"/>
  <c r="AE118" i="3528"/>
  <c r="DU22" i="3479" a="1"/>
  <c r="DU22" i="3479" s="1"/>
  <c r="DT22" i="3479" a="1"/>
  <c r="DT22" i="3479" s="1"/>
  <c r="DV22" i="3479" a="1"/>
  <c r="DV22" i="3479" s="1"/>
  <c r="AS129" i="3528"/>
  <c r="AC129" i="3528"/>
  <c r="AQ129" i="3528"/>
  <c r="AA129" i="3528"/>
  <c r="AE127" i="3528"/>
  <c r="AU127" i="3528"/>
  <c r="AC119" i="3528"/>
  <c r="AS119" i="3528"/>
  <c r="BW14" i="3564"/>
  <c r="BP15" i="3564"/>
  <c r="X91" i="3480"/>
  <c r="W91" i="3480"/>
  <c r="BI41" i="3479" a="1"/>
  <c r="BI41" i="3479" s="1"/>
  <c r="BJ41" i="3479" s="1" a="1"/>
  <c r="BJ41" i="3479" s="1"/>
  <c r="I38" i="3436"/>
  <c r="S57" i="3445" s="1" a="1"/>
  <c r="S57" i="3445" s="1"/>
  <c r="T57" i="3445" s="1"/>
  <c r="AP132" i="3528"/>
  <c r="Z132" i="3528"/>
  <c r="Z128" i="3528"/>
  <c r="AP128" i="3528"/>
  <c r="G25" i="3435" a="1"/>
  <c r="G25" i="3435" s="1"/>
  <c r="I25" i="3435" a="1"/>
  <c r="I25" i="3435" s="1"/>
  <c r="AI25" i="3435" s="1"/>
  <c r="F25" i="3435" a="1"/>
  <c r="F25" i="3435" s="1"/>
  <c r="G45" i="3435" a="1"/>
  <c r="G45" i="3435" s="1"/>
  <c r="F45" i="3435" a="1"/>
  <c r="F45" i="3435" s="1"/>
  <c r="I45" i="3435" a="1"/>
  <c r="I45" i="3435" s="1"/>
  <c r="AI45" i="3435" s="1"/>
  <c r="BI39" i="3479" a="1"/>
  <c r="BI39" i="3479" s="1"/>
  <c r="BJ39" i="3479" s="1" a="1"/>
  <c r="BJ39" i="3479" s="1"/>
  <c r="AT144" i="3528"/>
  <c r="AD144" i="3528"/>
  <c r="X137" i="3528"/>
  <c r="AN137" i="3528"/>
  <c r="T32" i="3518"/>
  <c r="H32" i="3518"/>
  <c r="J32" i="3518" s="1"/>
  <c r="K32" i="3518" s="1"/>
  <c r="AH127" i="3528"/>
  <c r="AX127" i="3528"/>
  <c r="DG61" i="3479" a="1"/>
  <c r="DG61" i="3479" s="1"/>
  <c r="DF61" i="3479" a="1"/>
  <c r="DF61" i="3479" s="1"/>
  <c r="DE61" i="3479" a="1"/>
  <c r="DE61" i="3479" s="1"/>
  <c r="BL48" i="3479" a="1"/>
  <c r="BL48" i="3479" s="1"/>
  <c r="BM48" i="3479" a="1"/>
  <c r="BM48" i="3479" s="1"/>
  <c r="BN48" i="3479" a="1"/>
  <c r="BN48" i="3479" s="1"/>
  <c r="S49" i="3479" a="1"/>
  <c r="S49" i="3479" s="1"/>
  <c r="U49" i="3479" a="1"/>
  <c r="U49" i="3479" s="1"/>
  <c r="T49" i="3479" a="1"/>
  <c r="T49" i="3479" s="1"/>
  <c r="AC142" i="3528"/>
  <c r="AS142" i="3528"/>
  <c r="DF53" i="3479" a="1"/>
  <c r="DF53" i="3479" s="1"/>
  <c r="DE53" i="3479" a="1"/>
  <c r="DE53" i="3479" s="1"/>
  <c r="DG53" i="3479" a="1"/>
  <c r="DG53" i="3479" s="1"/>
  <c r="CP49" i="3479" a="1"/>
  <c r="CP49" i="3479" s="1"/>
  <c r="CR49" i="3479" a="1"/>
  <c r="CR49" i="3479" s="1"/>
  <c r="CQ49" i="3479" a="1"/>
  <c r="CQ49" i="3479" s="1"/>
  <c r="BL21" i="3479" a="1"/>
  <c r="BL21" i="3479" s="1"/>
  <c r="BN21" i="3479" a="1"/>
  <c r="BN21" i="3479" s="1"/>
  <c r="BM21" i="3479" a="1"/>
  <c r="BM21" i="3479" s="1"/>
  <c r="AV132" i="3528"/>
  <c r="AF132" i="3528"/>
  <c r="W123" i="3528"/>
  <c r="AM123" i="3528"/>
  <c r="EI28" i="3479" a="1"/>
  <c r="EI28" i="3479" s="1"/>
  <c r="EK28" i="3479" a="1"/>
  <c r="EK28" i="3479" s="1"/>
  <c r="EJ28" i="3479" a="1"/>
  <c r="EJ28" i="3479" s="1"/>
  <c r="EJ29" i="3479" a="1"/>
  <c r="EJ29" i="3479" s="1"/>
  <c r="EI29" i="3479" a="1"/>
  <c r="EI29" i="3479" s="1"/>
  <c r="EK29" i="3479" a="1"/>
  <c r="EK29" i="3479" s="1"/>
  <c r="H24" i="3518"/>
  <c r="J24" i="3518" s="1"/>
  <c r="K24" i="3518" s="1"/>
  <c r="T24" i="3518"/>
  <c r="G60" i="3570" a="1"/>
  <c r="G60" i="3570" s="1"/>
  <c r="I60" i="3570" a="1"/>
  <c r="I60" i="3570" s="1"/>
  <c r="BE60" i="3570" s="1"/>
  <c r="F60" i="3570" a="1"/>
  <c r="F60" i="3570" s="1"/>
  <c r="G55" i="3570" a="1"/>
  <c r="G55" i="3570" s="1"/>
  <c r="I55" i="3570" a="1"/>
  <c r="I55" i="3570" s="1"/>
  <c r="BE55" i="3570" s="1"/>
  <c r="F55" i="3570" a="1"/>
  <c r="F55" i="3570" s="1"/>
  <c r="I38" i="3570" a="1"/>
  <c r="I38" i="3570" s="1"/>
  <c r="BE38" i="3570" s="1"/>
  <c r="G38" i="3570" a="1"/>
  <c r="G38" i="3570" s="1"/>
  <c r="F38" i="3570" a="1"/>
  <c r="F38" i="3570" s="1"/>
  <c r="DE51" i="3479" a="1"/>
  <c r="DE51" i="3479" s="1"/>
  <c r="DG51" i="3479" a="1"/>
  <c r="DG51" i="3479" s="1"/>
  <c r="DF51" i="3479" a="1"/>
  <c r="DF51" i="3479" s="1"/>
  <c r="S58" i="3479" a="1"/>
  <c r="S58" i="3479" s="1"/>
  <c r="T58" i="3479" a="1"/>
  <c r="T58" i="3479" s="1"/>
  <c r="U58" i="3479" a="1"/>
  <c r="U58" i="3479" s="1"/>
  <c r="CA64" i="3479" a="1"/>
  <c r="CA64" i="3479" s="1"/>
  <c r="CC64" i="3479" a="1"/>
  <c r="CC64" i="3479" s="1"/>
  <c r="CB64" i="3479" a="1"/>
  <c r="CB64" i="3479" s="1"/>
  <c r="BI27" i="3479" a="1"/>
  <c r="BI27" i="3479" s="1"/>
  <c r="BJ27" i="3479" s="1" a="1"/>
  <c r="BJ27" i="3479" s="1"/>
  <c r="AV141" i="3528"/>
  <c r="AF141" i="3528"/>
  <c r="AI24" i="3419" a="1"/>
  <c r="AI24" i="3419" s="1"/>
  <c r="AG24" i="3419" a="1"/>
  <c r="AG24" i="3419" s="1"/>
  <c r="AK57" i="3419" a="1"/>
  <c r="AK57" i="3419" s="1"/>
  <c r="AH57" i="3419" a="1"/>
  <c r="AH57" i="3419" s="1"/>
  <c r="U23" i="3436" a="1"/>
  <c r="U23" i="3436" s="1"/>
  <c r="J25" i="3444" s="1"/>
  <c r="P44" i="3479" a="1"/>
  <c r="P44" i="3479" s="1"/>
  <c r="Q44" i="3479" s="1" a="1"/>
  <c r="Q44" i="3479" s="1"/>
  <c r="P63" i="3479" a="1"/>
  <c r="P63" i="3479" s="1"/>
  <c r="Q63" i="3479" s="1" a="1"/>
  <c r="Q63" i="3479" s="1"/>
  <c r="U32" i="3479" a="1"/>
  <c r="U32" i="3479" s="1"/>
  <c r="T32" i="3479" a="1"/>
  <c r="T32" i="3479" s="1"/>
  <c r="S32" i="3479" a="1"/>
  <c r="S32" i="3479" s="1"/>
  <c r="DF40" i="3479" a="1"/>
  <c r="DF40" i="3479" s="1"/>
  <c r="DE40" i="3479" a="1"/>
  <c r="DE40" i="3479" s="1"/>
  <c r="DG40" i="3479" a="1"/>
  <c r="DG40" i="3479" s="1"/>
  <c r="W64" i="3480"/>
  <c r="X64" i="3480"/>
  <c r="AI24" i="3479" a="1"/>
  <c r="AI24" i="3479" s="1"/>
  <c r="AH24" i="3479" a="1"/>
  <c r="AH24" i="3479" s="1"/>
  <c r="AJ24" i="3479" a="1"/>
  <c r="AJ24" i="3479" s="1"/>
  <c r="EJ68" i="3479" a="1"/>
  <c r="EJ68" i="3479" s="1"/>
  <c r="EI68" i="3479" a="1"/>
  <c r="EI68" i="3479" s="1"/>
  <c r="EK68" i="3479" a="1"/>
  <c r="EK68" i="3479" s="1"/>
  <c r="AE57" i="3479" a="1"/>
  <c r="AE57" i="3479" s="1"/>
  <c r="AF57" i="3479" s="1" a="1"/>
  <c r="AF57" i="3479" s="1"/>
  <c r="AP122" i="3528"/>
  <c r="Z122" i="3528"/>
  <c r="X53" i="3480"/>
  <c r="W53" i="3480"/>
  <c r="I48" i="3436"/>
  <c r="S67" i="3445" s="1" a="1"/>
  <c r="S67" i="3445" s="1"/>
  <c r="T67" i="3445" s="1"/>
  <c r="I70" i="3444"/>
  <c r="J87" i="3445" a="1"/>
  <c r="J87" i="3445" s="1"/>
  <c r="P87" i="3445" s="1"/>
  <c r="Q87" i="3445" s="1"/>
  <c r="AE47" i="3479" a="1"/>
  <c r="AE47" i="3479" s="1"/>
  <c r="AF47" i="3479" s="1" a="1"/>
  <c r="AF47" i="3479" s="1"/>
  <c r="AN118" i="3528"/>
  <c r="X118" i="3528"/>
  <c r="DT61" i="3479" a="1"/>
  <c r="DT61" i="3479" s="1"/>
  <c r="DU61" i="3479" a="1"/>
  <c r="DU61" i="3479" s="1"/>
  <c r="DV61" i="3479" a="1"/>
  <c r="DV61" i="3479" s="1"/>
  <c r="CM63" i="3479" a="1"/>
  <c r="CM63" i="3479" s="1"/>
  <c r="CN63" i="3479" s="1" a="1"/>
  <c r="CN63" i="3479" s="1"/>
  <c r="U41" i="3436" a="1"/>
  <c r="U41" i="3436" s="1"/>
  <c r="J43" i="3444" s="1"/>
  <c r="U59" i="3436" a="1"/>
  <c r="U59" i="3436" s="1"/>
  <c r="J61" i="3444" s="1"/>
  <c r="I36" i="3436"/>
  <c r="AS138" i="3528"/>
  <c r="AC138" i="3528"/>
  <c r="U21" i="3479" a="1"/>
  <c r="U21" i="3479" s="1"/>
  <c r="T21" i="3479" a="1"/>
  <c r="T21" i="3479" s="1"/>
  <c r="S21" i="3479" a="1"/>
  <c r="S21" i="3479" s="1"/>
  <c r="CB40" i="3479" a="1"/>
  <c r="CB40" i="3479" s="1"/>
  <c r="CC40" i="3479" a="1"/>
  <c r="CC40" i="3479" s="1"/>
  <c r="CA40" i="3479" a="1"/>
  <c r="CA40" i="3479" s="1"/>
  <c r="EZ32" i="3479" a="1"/>
  <c r="EZ32" i="3479" s="1"/>
  <c r="EY32" i="3479" a="1"/>
  <c r="EY32" i="3479" s="1"/>
  <c r="EX32" i="3479" a="1"/>
  <c r="EX32" i="3479" s="1"/>
  <c r="AQ145" i="3528"/>
  <c r="AA145" i="3528"/>
  <c r="G16" i="3480"/>
  <c r="B13" i="3434"/>
  <c r="G3" i="3434"/>
  <c r="B16" i="3434"/>
  <c r="BL41" i="3479" a="1"/>
  <c r="BL41" i="3479" s="1"/>
  <c r="BN41" i="3479" a="1"/>
  <c r="BN41" i="3479" s="1"/>
  <c r="BM41" i="3479" a="1"/>
  <c r="BM41" i="3479" s="1"/>
  <c r="AD125" i="3528"/>
  <c r="AT125" i="3528"/>
  <c r="I23" i="3435" a="1"/>
  <c r="I23" i="3435" s="1"/>
  <c r="AI23" i="3435" s="1"/>
  <c r="G23" i="3435" a="1"/>
  <c r="G23" i="3435" s="1"/>
  <c r="F23" i="3435" a="1"/>
  <c r="F23" i="3435" s="1"/>
  <c r="I60" i="3435" a="1"/>
  <c r="I60" i="3435" s="1"/>
  <c r="AI60" i="3435" s="1"/>
  <c r="G60" i="3435" a="1"/>
  <c r="G60" i="3435" s="1"/>
  <c r="F60" i="3435" a="1"/>
  <c r="F60" i="3435" s="1"/>
  <c r="BN39" i="3479" a="1"/>
  <c r="BN39" i="3479" s="1"/>
  <c r="BM39" i="3479" a="1"/>
  <c r="BM39" i="3479" s="1"/>
  <c r="BL39" i="3479" a="1"/>
  <c r="BL39" i="3479" s="1"/>
  <c r="BI37" i="3479" a="1"/>
  <c r="BI37" i="3479" s="1"/>
  <c r="BJ37" i="3479" s="1" a="1"/>
  <c r="BJ37" i="3479" s="1"/>
  <c r="CC26" i="3479" a="1"/>
  <c r="CC26" i="3479" s="1"/>
  <c r="CB26" i="3479" a="1"/>
  <c r="CB26" i="3479" s="1"/>
  <c r="CA26" i="3479" a="1"/>
  <c r="CA26" i="3479" s="1"/>
  <c r="CA43" i="3479" a="1"/>
  <c r="CA43" i="3479" s="1"/>
  <c r="CC43" i="3479" a="1"/>
  <c r="CC43" i="3479" s="1"/>
  <c r="CB43" i="3479" a="1"/>
  <c r="CB43" i="3479" s="1"/>
  <c r="CP34" i="3479" a="1"/>
  <c r="CP34" i="3479" s="1"/>
  <c r="CQ34" i="3479" a="1"/>
  <c r="CQ34" i="3479" s="1"/>
  <c r="CR34" i="3479" a="1"/>
  <c r="CR34" i="3479" s="1"/>
  <c r="BI65" i="3479" a="1"/>
  <c r="BI65" i="3479" s="1"/>
  <c r="BJ65" i="3479" s="1" a="1"/>
  <c r="BJ65" i="3479" s="1"/>
  <c r="AX130" i="3528"/>
  <c r="AH130" i="3528"/>
  <c r="I19" i="3570" a="1"/>
  <c r="I19" i="3570" s="1"/>
  <c r="BE19" i="3570" s="1"/>
  <c r="G19" i="3570" a="1"/>
  <c r="G19" i="3570" s="1"/>
  <c r="F19" i="3570" a="1"/>
  <c r="F19" i="3570" s="1"/>
  <c r="G43" i="3570" a="1"/>
  <c r="G43" i="3570" s="1"/>
  <c r="F43" i="3570" a="1"/>
  <c r="F43" i="3570" s="1"/>
  <c r="I43" i="3570" a="1"/>
  <c r="I43" i="3570" s="1"/>
  <c r="BE43" i="3570" s="1"/>
  <c r="G56" i="3570" a="1"/>
  <c r="G56" i="3570" s="1"/>
  <c r="F56" i="3570" a="1"/>
  <c r="F56" i="3570" s="1"/>
  <c r="I56" i="3570" a="1"/>
  <c r="I56" i="3570" s="1"/>
  <c r="BE56" i="3570" s="1"/>
  <c r="EY25" i="3479" a="1"/>
  <c r="EY25" i="3479" s="1"/>
  <c r="EX25" i="3479" a="1"/>
  <c r="EX25" i="3479" s="1"/>
  <c r="EZ25" i="3479" a="1"/>
  <c r="EZ25" i="3479" s="1"/>
  <c r="EK22" i="3479" a="1"/>
  <c r="EK22" i="3479" s="1"/>
  <c r="EJ22" i="3479" a="1"/>
  <c r="EJ22" i="3479" s="1"/>
  <c r="EI22" i="3479" a="1"/>
  <c r="EI22" i="3479" s="1"/>
  <c r="EJ69" i="3479" a="1"/>
  <c r="EJ69" i="3479" s="1"/>
  <c r="EK69" i="3479" a="1"/>
  <c r="EK69" i="3479" s="1"/>
  <c r="EI69" i="3479" a="1"/>
  <c r="EI69" i="3479" s="1"/>
  <c r="BM27" i="3479" a="1"/>
  <c r="BM27" i="3479" s="1"/>
  <c r="BL27" i="3479" a="1"/>
  <c r="BL27" i="3479" s="1"/>
  <c r="BN27" i="3479" a="1"/>
  <c r="BN27" i="3479" s="1"/>
  <c r="X84" i="3480"/>
  <c r="W84" i="3480"/>
  <c r="AK47" i="3419" a="1"/>
  <c r="AK47" i="3419" s="1"/>
  <c r="AH47" i="3419" a="1"/>
  <c r="AH47" i="3419" s="1"/>
  <c r="AK16" i="3419" a="1"/>
  <c r="AK16" i="3419" s="1"/>
  <c r="AH16" i="3419" a="1"/>
  <c r="AH16" i="3419" s="1"/>
  <c r="AU129" i="3528"/>
  <c r="AE129" i="3528"/>
  <c r="DU44" i="3479" a="1"/>
  <c r="DU44" i="3479" s="1"/>
  <c r="DT44" i="3479" a="1"/>
  <c r="DT44" i="3479" s="1"/>
  <c r="DV44" i="3479" a="1"/>
  <c r="DV44" i="3479" s="1"/>
  <c r="P32" i="3479" a="1"/>
  <c r="P32" i="3479" s="1"/>
  <c r="Q32" i="3479" s="1" a="1"/>
  <c r="Q32" i="3479" s="1"/>
  <c r="W132" i="3528"/>
  <c r="AM132" i="3528"/>
  <c r="AQ126" i="3528"/>
  <c r="AA126" i="3528"/>
  <c r="T33" i="3479" a="1"/>
  <c r="T33" i="3479" s="1"/>
  <c r="S33" i="3479" a="1"/>
  <c r="S33" i="3479" s="1"/>
  <c r="U33" i="3479" a="1"/>
  <c r="U33" i="3479" s="1"/>
  <c r="AI132" i="3528"/>
  <c r="AY132" i="3528"/>
  <c r="AO121" i="3528"/>
  <c r="Y121" i="3528"/>
  <c r="AE52" i="3479" a="1"/>
  <c r="AE52" i="3479" s="1"/>
  <c r="AF52" i="3479" s="1" a="1"/>
  <c r="AF52" i="3479" s="1"/>
  <c r="X117" i="3528"/>
  <c r="AN117" i="3528"/>
  <c r="I75" i="3444"/>
  <c r="J92" i="3445" a="1"/>
  <c r="J92" i="3445" s="1"/>
  <c r="P92" i="3445" s="1"/>
  <c r="Q92" i="3445" s="1"/>
  <c r="CQ24" i="3479" a="1"/>
  <c r="CQ24" i="3479" s="1"/>
  <c r="CP24" i="3479" a="1"/>
  <c r="CP24" i="3479" s="1"/>
  <c r="CR24" i="3479" a="1"/>
  <c r="CR24" i="3479" s="1"/>
  <c r="AD132" i="3528"/>
  <c r="AT132" i="3528"/>
  <c r="P71" i="3479" a="1"/>
  <c r="P71" i="3479" s="1"/>
  <c r="Q71" i="3479" s="1" a="1"/>
  <c r="Q71" i="3479" s="1"/>
  <c r="BX66" i="3479" a="1"/>
  <c r="BX66" i="3479" s="1"/>
  <c r="BY66" i="3479" s="1" a="1"/>
  <c r="BY66" i="3479" s="1"/>
  <c r="I42" i="3436"/>
  <c r="V23" i="3436" a="1"/>
  <c r="V23" i="3436" s="1"/>
  <c r="V24" i="3436" s="1" a="1"/>
  <c r="V24" i="3436" s="1"/>
  <c r="I17" i="3435" a="1"/>
  <c r="I17" i="3435" s="1"/>
  <c r="AI17" i="3435" s="1"/>
  <c r="G17" i="3435" a="1"/>
  <c r="G17" i="3435" s="1"/>
  <c r="F17" i="3435" a="1"/>
  <c r="F17" i="3435" s="1"/>
  <c r="U80" i="3436" a="1"/>
  <c r="U80" i="3436" s="1"/>
  <c r="J82" i="3444" s="1"/>
  <c r="I82" i="3444"/>
  <c r="AI50" i="3479" a="1"/>
  <c r="AI50" i="3479" s="1"/>
  <c r="AH50" i="3479" a="1"/>
  <c r="AH50" i="3479" s="1"/>
  <c r="AJ50" i="3479" a="1"/>
  <c r="AJ50" i="3479" s="1"/>
  <c r="CA47" i="3479" a="1"/>
  <c r="CA47" i="3479" s="1"/>
  <c r="CC47" i="3479" a="1"/>
  <c r="CC47" i="3479" s="1"/>
  <c r="CB47" i="3479" a="1"/>
  <c r="CB47" i="3479" s="1"/>
  <c r="BN54" i="3479" a="1"/>
  <c r="BN54" i="3479" s="1"/>
  <c r="BM54" i="3479" a="1"/>
  <c r="BM54" i="3479" s="1"/>
  <c r="BL54" i="3479" a="1"/>
  <c r="BL54" i="3479" s="1"/>
  <c r="AD138" i="3528"/>
  <c r="AT138" i="3528"/>
  <c r="AR118" i="3528"/>
  <c r="AB118" i="3528"/>
  <c r="U75" i="3436" a="1"/>
  <c r="U75" i="3436" s="1"/>
  <c r="J77" i="3444" s="1"/>
  <c r="I77" i="3444"/>
  <c r="J94" i="3445" a="1"/>
  <c r="J94" i="3445" s="1"/>
  <c r="P94" i="3445" s="1"/>
  <c r="Q94" i="3445" s="1"/>
  <c r="AD145" i="3528"/>
  <c r="AT145" i="3528"/>
  <c r="AJ49" i="3479" a="1"/>
  <c r="AJ49" i="3479" s="1"/>
  <c r="AI49" i="3479" a="1"/>
  <c r="AI49" i="3479" s="1"/>
  <c r="AH49" i="3479" a="1"/>
  <c r="AH49" i="3479" s="1"/>
  <c r="AF140" i="3528"/>
  <c r="AV140" i="3528"/>
  <c r="AL141" i="3528"/>
  <c r="V141" i="3528"/>
  <c r="AE50" i="3479" a="1"/>
  <c r="AE50" i="3479" s="1"/>
  <c r="AF50" i="3479" s="1" a="1"/>
  <c r="AF50" i="3479" s="1"/>
  <c r="BX47" i="3479" a="1"/>
  <c r="BX47" i="3479" s="1"/>
  <c r="BY47" i="3479" s="1" a="1"/>
  <c r="BY47" i="3479" s="1"/>
  <c r="BI54" i="3479" a="1"/>
  <c r="BI54" i="3479" s="1"/>
  <c r="BJ54" i="3479" s="1" a="1"/>
  <c r="BJ54" i="3479" s="1"/>
  <c r="AE137" i="3528"/>
  <c r="AU137" i="3528"/>
  <c r="I43" i="3436"/>
  <c r="S62" i="3445" s="1" a="1"/>
  <c r="S62" i="3445" s="1"/>
  <c r="T62" i="3445" s="1"/>
  <c r="AJ25" i="3479" a="1"/>
  <c r="AJ25" i="3479" s="1"/>
  <c r="AI25" i="3479" a="1"/>
  <c r="AI25" i="3479" s="1"/>
  <c r="AH25" i="3479" a="1"/>
  <c r="AH25" i="3479" s="1"/>
  <c r="T64" i="3479" a="1"/>
  <c r="T64" i="3479" s="1"/>
  <c r="U64" i="3479" a="1"/>
  <c r="U64" i="3479" s="1"/>
  <c r="S64" i="3479" a="1"/>
  <c r="S64" i="3479" s="1"/>
  <c r="BM29" i="3479" a="1"/>
  <c r="BM29" i="3479" s="1"/>
  <c r="BN29" i="3479" a="1"/>
  <c r="BN29" i="3479" s="1"/>
  <c r="BL29" i="3479" a="1"/>
  <c r="BL29" i="3479" s="1"/>
  <c r="AR140" i="3528"/>
  <c r="AB140" i="3528"/>
  <c r="W144" i="3528"/>
  <c r="AM144" i="3528"/>
  <c r="AA132" i="3528"/>
  <c r="AQ132" i="3528"/>
  <c r="CM58" i="3479" a="1"/>
  <c r="CM58" i="3479" s="1"/>
  <c r="CN58" i="3479" s="1" a="1"/>
  <c r="CN58" i="3479" s="1"/>
  <c r="AW58" i="3479" a="1"/>
  <c r="AW58" i="3479" s="1"/>
  <c r="AY58" i="3479" a="1"/>
  <c r="AY58" i="3479" s="1"/>
  <c r="AX58" i="3479" a="1"/>
  <c r="AX58" i="3479" s="1"/>
  <c r="G31" i="3435" a="1"/>
  <c r="G31" i="3435" s="1"/>
  <c r="I31" i="3435" a="1"/>
  <c r="I31" i="3435" s="1"/>
  <c r="AI31" i="3435" s="1"/>
  <c r="F31" i="3435" a="1"/>
  <c r="F31" i="3435" s="1"/>
  <c r="I50" i="3435" a="1"/>
  <c r="I50" i="3435" s="1"/>
  <c r="AI50" i="3435" s="1"/>
  <c r="G50" i="3435" a="1"/>
  <c r="G50" i="3435" s="1"/>
  <c r="F50" i="3435" a="1"/>
  <c r="F50" i="3435" s="1"/>
  <c r="AT37" i="3479" a="1"/>
  <c r="AT37" i="3479" s="1"/>
  <c r="AU37" i="3479" s="1" a="1"/>
  <c r="AU37" i="3479" s="1"/>
  <c r="T18" i="3518"/>
  <c r="H18" i="3518"/>
  <c r="J18" i="3518" s="1"/>
  <c r="K18" i="3518" s="1"/>
  <c r="X85" i="3480"/>
  <c r="W85" i="3480"/>
  <c r="AF121" i="3528"/>
  <c r="AV121" i="3528"/>
  <c r="DG24" i="3479" a="1"/>
  <c r="DG24" i="3479" s="1"/>
  <c r="DF24" i="3479" a="1"/>
  <c r="DF24" i="3479" s="1"/>
  <c r="DE24" i="3479" a="1"/>
  <c r="DE24" i="3479" s="1"/>
  <c r="BN37" i="3479" a="1"/>
  <c r="BN37" i="3479" s="1"/>
  <c r="BM37" i="3479" a="1"/>
  <c r="BM37" i="3479" s="1"/>
  <c r="BL37" i="3479" a="1"/>
  <c r="BL37" i="3479" s="1"/>
  <c r="DG54" i="3479" a="1"/>
  <c r="DG54" i="3479" s="1"/>
  <c r="DF54" i="3479" a="1"/>
  <c r="DF54" i="3479" s="1"/>
  <c r="DE54" i="3479" a="1"/>
  <c r="DE54" i="3479" s="1"/>
  <c r="AB136" i="3528"/>
  <c r="AR136" i="3528"/>
  <c r="AK140" i="3528"/>
  <c r="U140" i="3528"/>
  <c r="W49" i="3480"/>
  <c r="X49" i="3480"/>
  <c r="BM65" i="3479" a="1"/>
  <c r="BM65" i="3479" s="1"/>
  <c r="BL65" i="3479" a="1"/>
  <c r="BL65" i="3479" s="1"/>
  <c r="BN65" i="3479" a="1"/>
  <c r="BN65" i="3479" s="1"/>
  <c r="V58" i="3436" a="1"/>
  <c r="V58" i="3436" s="1"/>
  <c r="V60" i="3436" s="1" a="1"/>
  <c r="V60" i="3436" s="1"/>
  <c r="AE45" i="3479" a="1"/>
  <c r="AE45" i="3479" s="1"/>
  <c r="AF45" i="3479" s="1" a="1"/>
  <c r="AF45" i="3479" s="1"/>
  <c r="AY38" i="3479" a="1"/>
  <c r="AY38" i="3479" s="1"/>
  <c r="AX38" i="3479" a="1"/>
  <c r="AX38" i="3479" s="1"/>
  <c r="AW38" i="3479" a="1"/>
  <c r="AW38" i="3479" s="1"/>
  <c r="EK62" i="3479" a="1"/>
  <c r="EK62" i="3479" s="1"/>
  <c r="EJ62" i="3479" a="1"/>
  <c r="EJ62" i="3479" s="1"/>
  <c r="EI62" i="3479" a="1"/>
  <c r="EI62" i="3479" s="1"/>
  <c r="DV21" i="3479" a="1"/>
  <c r="DV21" i="3479" s="1"/>
  <c r="DU21" i="3479" a="1"/>
  <c r="DU21" i="3479" s="1"/>
  <c r="DT21" i="3479" a="1"/>
  <c r="DT21" i="3479" s="1"/>
  <c r="Y133" i="3528"/>
  <c r="AO133" i="3528"/>
  <c r="AF119" i="3528"/>
  <c r="AV119" i="3528"/>
  <c r="EZ33" i="3479" a="1"/>
  <c r="EZ33" i="3479" s="1"/>
  <c r="EY33" i="3479" a="1"/>
  <c r="EY33" i="3479" s="1"/>
  <c r="EX33" i="3479" a="1"/>
  <c r="EX33" i="3479" s="1"/>
  <c r="J77" i="3445" a="1"/>
  <c r="J77" i="3445" s="1"/>
  <c r="P77" i="3445" s="1"/>
  <c r="Q77" i="3445" s="1"/>
  <c r="I60" i="3444"/>
  <c r="AF19" i="3419" a="1"/>
  <c r="AF19" i="3419" s="1"/>
  <c r="AK19" i="3419" a="1"/>
  <c r="AK19" i="3419" s="1"/>
  <c r="AI37" i="3419" a="1"/>
  <c r="AI37" i="3419" s="1"/>
  <c r="AC37" i="3419" a="1"/>
  <c r="AC37" i="3419" s="1"/>
  <c r="EY48" i="3479" a="1"/>
  <c r="EY48" i="3479" s="1"/>
  <c r="EX48" i="3479" a="1"/>
  <c r="EX48" i="3479" s="1"/>
  <c r="EZ48" i="3479" a="1"/>
  <c r="EZ48" i="3479" s="1"/>
  <c r="EZ71" i="3479" a="1"/>
  <c r="EZ71" i="3479" s="1"/>
  <c r="EY71" i="3479" a="1"/>
  <c r="EY71" i="3479" s="1"/>
  <c r="EX71" i="3479" a="1"/>
  <c r="EX71" i="3479" s="1"/>
  <c r="P53" i="3479" a="1"/>
  <c r="P53" i="3479" s="1"/>
  <c r="Q53" i="3479" s="1" a="1"/>
  <c r="Q53" i="3479" s="1"/>
  <c r="G11" i="3480"/>
  <c r="B15" i="3434"/>
  <c r="B12" i="3434"/>
  <c r="G2" i="3434"/>
  <c r="B129" i="3523"/>
  <c r="BP98" i="3448"/>
  <c r="DT69" i="3479" a="1"/>
  <c r="DT69" i="3479" s="1"/>
  <c r="DV69" i="3479" a="1"/>
  <c r="DV69" i="3479" s="1"/>
  <c r="DU69" i="3479" a="1"/>
  <c r="DU69" i="3479" s="1"/>
  <c r="AH52" i="3479" a="1"/>
  <c r="AH52" i="3479" s="1"/>
  <c r="AJ52" i="3479" a="1"/>
  <c r="AJ52" i="3479" s="1"/>
  <c r="AI52" i="3479" a="1"/>
  <c r="AI52" i="3479" s="1"/>
  <c r="AL118" i="3528"/>
  <c r="V118" i="3528"/>
  <c r="AO145" i="3528"/>
  <c r="Y145" i="3528"/>
  <c r="J28" i="3445" a="1"/>
  <c r="J28" i="3445" s="1"/>
  <c r="P28" i="3445" s="1"/>
  <c r="Q28" i="3445" s="1"/>
  <c r="I66" i="3444"/>
  <c r="CM24" i="3479" a="1"/>
  <c r="CM24" i="3479" s="1"/>
  <c r="CN24" i="3479" s="1" a="1"/>
  <c r="CN24" i="3479" s="1"/>
  <c r="I25" i="3436"/>
  <c r="S44" i="3445" s="1" a="1"/>
  <c r="S44" i="3445" s="1"/>
  <c r="T44" i="3445" s="1"/>
  <c r="DV52" i="3479" a="1"/>
  <c r="DV52" i="3479" s="1"/>
  <c r="DT52" i="3479" a="1"/>
  <c r="DT52" i="3479" s="1"/>
  <c r="DU52" i="3479" a="1"/>
  <c r="DU52" i="3479" s="1"/>
  <c r="T71" i="3479" a="1"/>
  <c r="T71" i="3479" s="1"/>
  <c r="S71" i="3479" a="1"/>
  <c r="S71" i="3479" s="1"/>
  <c r="U71" i="3479" a="1"/>
  <c r="U71" i="3479" s="1"/>
  <c r="CB66" i="3479" a="1"/>
  <c r="CB66" i="3479" s="1"/>
  <c r="CC66" i="3479" a="1"/>
  <c r="CC66" i="3479" s="1"/>
  <c r="CA66" i="3479" a="1"/>
  <c r="CA66" i="3479" s="1"/>
  <c r="U60" i="3436" a="1"/>
  <c r="U60" i="3436" s="1"/>
  <c r="J62" i="3444" s="1"/>
  <c r="T56" i="3518"/>
  <c r="H56" i="3518"/>
  <c r="J56" i="3518" s="1"/>
  <c r="K56" i="3518" s="1"/>
  <c r="EZ22" i="3479" a="1"/>
  <c r="EZ22" i="3479" s="1"/>
  <c r="EY22" i="3479" a="1"/>
  <c r="EY22" i="3479" s="1"/>
  <c r="EX22" i="3479" a="1"/>
  <c r="EX22" i="3479" s="1"/>
  <c r="H59" i="3518"/>
  <c r="J59" i="3518" s="1"/>
  <c r="K59" i="3518" s="1"/>
  <c r="T59" i="3518"/>
  <c r="DV58" i="3479" a="1"/>
  <c r="DV58" i="3479" s="1"/>
  <c r="DU58" i="3479" a="1"/>
  <c r="DU58" i="3479" s="1"/>
  <c r="DT58" i="3479" a="1"/>
  <c r="DT58" i="3479" s="1"/>
  <c r="AN126" i="3528"/>
  <c r="X126" i="3528"/>
  <c r="DV59" i="3479" a="1"/>
  <c r="DV59" i="3479" s="1"/>
  <c r="DU59" i="3479" a="1"/>
  <c r="DU59" i="3479" s="1"/>
  <c r="DT59" i="3479" a="1"/>
  <c r="DT59" i="3479" s="1"/>
  <c r="EZ36" i="3479" a="1"/>
  <c r="EZ36" i="3479" s="1"/>
  <c r="EY36" i="3479" a="1"/>
  <c r="EY36" i="3479" s="1"/>
  <c r="EX36" i="3479" a="1"/>
  <c r="EX36" i="3479" s="1"/>
  <c r="AA128" i="3528"/>
  <c r="AQ128" i="3528"/>
  <c r="CQ58" i="3479" a="1"/>
  <c r="CQ58" i="3479" s="1"/>
  <c r="CR58" i="3479" a="1"/>
  <c r="CR58" i="3479" s="1"/>
  <c r="CP58" i="3479" a="1"/>
  <c r="CP58" i="3479" s="1"/>
  <c r="F19" i="3435" a="1"/>
  <c r="F19" i="3435" s="1"/>
  <c r="I19" i="3435" a="1"/>
  <c r="I19" i="3435" s="1"/>
  <c r="AI19" i="3435" s="1"/>
  <c r="G19" i="3435" a="1"/>
  <c r="G19" i="3435" s="1"/>
  <c r="AY37" i="3479" a="1"/>
  <c r="AY37" i="3479" s="1"/>
  <c r="AX37" i="3479" a="1"/>
  <c r="AX37" i="3479" s="1"/>
  <c r="AW37" i="3479" a="1"/>
  <c r="AW37" i="3479" s="1"/>
  <c r="AH63" i="3479" a="1"/>
  <c r="AH63" i="3479" s="1"/>
  <c r="AI63" i="3479" a="1"/>
  <c r="AI63" i="3479" s="1"/>
  <c r="AJ63" i="3479" a="1"/>
  <c r="AJ63" i="3479" s="1"/>
  <c r="CR26" i="3479" a="1"/>
  <c r="CR26" i="3479" s="1"/>
  <c r="CQ26" i="3479" a="1"/>
  <c r="CQ26" i="3479" s="1"/>
  <c r="CP26" i="3479" a="1"/>
  <c r="CP26" i="3479" s="1"/>
  <c r="AH45" i="3479" a="1"/>
  <c r="AH45" i="3479" s="1"/>
  <c r="AI45" i="3479" a="1"/>
  <c r="AI45" i="3479" s="1"/>
  <c r="AJ45" i="3479" a="1"/>
  <c r="AJ45" i="3479" s="1"/>
  <c r="W142" i="3528"/>
  <c r="AM142" i="3528"/>
  <c r="G47" i="3570" a="1"/>
  <c r="G47" i="3570" s="1"/>
  <c r="I47" i="3570" a="1"/>
  <c r="I47" i="3570" s="1"/>
  <c r="BE47" i="3570" s="1"/>
  <c r="F47" i="3570" a="1"/>
  <c r="F47" i="3570" s="1"/>
  <c r="I30" i="3570" a="1"/>
  <c r="I30" i="3570" s="1"/>
  <c r="BE30" i="3570" s="1"/>
  <c r="G30" i="3570" a="1"/>
  <c r="G30" i="3570" s="1"/>
  <c r="F30" i="3570" a="1"/>
  <c r="F30" i="3570" s="1"/>
  <c r="G65" i="3570" a="1"/>
  <c r="G65" i="3570" s="1"/>
  <c r="F65" i="3570" a="1"/>
  <c r="F65" i="3570" s="1"/>
  <c r="I65" i="3570" a="1"/>
  <c r="I65" i="3570" s="1"/>
  <c r="BE65" i="3570" s="1"/>
  <c r="AJ21" i="3479" a="1"/>
  <c r="AJ21" i="3479" s="1"/>
  <c r="AI21" i="3479" a="1"/>
  <c r="AI21" i="3479" s="1"/>
  <c r="AH21" i="3479" a="1"/>
  <c r="AH21" i="3479" s="1"/>
  <c r="T48" i="3518"/>
  <c r="H48" i="3518"/>
  <c r="J48" i="3518" s="1"/>
  <c r="K48" i="3518" s="1"/>
  <c r="S40" i="3445" a="1"/>
  <c r="S40" i="3445" s="1"/>
  <c r="T40" i="3445" s="1"/>
  <c r="AM133" i="3528"/>
  <c r="W133" i="3528"/>
  <c r="AW135" i="3528"/>
  <c r="AG135" i="3528"/>
  <c r="AC32" i="3419" a="1"/>
  <c r="AC32" i="3419" s="1"/>
  <c r="AJ32" i="3419" a="1"/>
  <c r="AJ32" i="3419" s="1"/>
  <c r="AK29" i="3419" a="1"/>
  <c r="AK29" i="3419" s="1"/>
  <c r="AH29" i="3419" a="1"/>
  <c r="AH29" i="3419" s="1"/>
  <c r="V123" i="3528"/>
  <c r="AL123" i="3528"/>
  <c r="U53" i="3479" a="1"/>
  <c r="U53" i="3479" s="1"/>
  <c r="S53" i="3479" a="1"/>
  <c r="S53" i="3479" s="1"/>
  <c r="T53" i="3479" a="1"/>
  <c r="T53" i="3479" s="1"/>
  <c r="AI133" i="3528"/>
  <c r="AY133" i="3528"/>
  <c r="AP126" i="3528"/>
  <c r="Z126" i="3528"/>
  <c r="L128" i="3523" a="1"/>
  <c r="L128" i="3523" s="1"/>
  <c r="J99" i="3445" a="1"/>
  <c r="J99" i="3445" s="1"/>
  <c r="P99" i="3445" s="1"/>
  <c r="Q99" i="3445" s="1"/>
  <c r="EJ55" i="3479" a="1"/>
  <c r="EJ55" i="3479" s="1"/>
  <c r="EK55" i="3479" a="1"/>
  <c r="EK55" i="3479" s="1"/>
  <c r="EI55" i="3479" a="1"/>
  <c r="EI55" i="3479" s="1"/>
  <c r="BI22" i="3479" a="1"/>
  <c r="BI22" i="3479" s="1"/>
  <c r="BJ22" i="3479" s="1" a="1"/>
  <c r="BJ22" i="3479" s="1"/>
  <c r="T47" i="3518"/>
  <c r="H47" i="3518"/>
  <c r="J47" i="3518" s="1"/>
  <c r="K47" i="3518" s="1"/>
  <c r="EY64" i="3479" a="1"/>
  <c r="EY64" i="3479" s="1"/>
  <c r="EX64" i="3479" a="1"/>
  <c r="EX64" i="3479" s="1"/>
  <c r="EZ64" i="3479" a="1"/>
  <c r="EZ64" i="3479" s="1"/>
  <c r="X74" i="3480"/>
  <c r="W74" i="3480"/>
  <c r="P48" i="3479" a="1"/>
  <c r="P48" i="3479" s="1"/>
  <c r="Q48" i="3479" s="1" a="1"/>
  <c r="Q48" i="3479" s="1"/>
  <c r="AN140" i="3528"/>
  <c r="X140" i="3528"/>
  <c r="CA29" i="3479" a="1"/>
  <c r="CA29" i="3479" s="1"/>
  <c r="CB29" i="3479" a="1"/>
  <c r="CB29" i="3479" s="1"/>
  <c r="CC29" i="3479" a="1"/>
  <c r="CC29" i="3479" s="1"/>
  <c r="EX59" i="3479" a="1"/>
  <c r="EX59" i="3479" s="1"/>
  <c r="EZ59" i="3479" a="1"/>
  <c r="EZ59" i="3479" s="1"/>
  <c r="EY59" i="3479" a="1"/>
  <c r="EY59" i="3479" s="1"/>
  <c r="U29" i="3479" a="1"/>
  <c r="U29" i="3479" s="1"/>
  <c r="T29" i="3479" a="1"/>
  <c r="T29" i="3479" s="1"/>
  <c r="S29" i="3479" a="1"/>
  <c r="S29" i="3479" s="1"/>
  <c r="CC24" i="3479" a="1"/>
  <c r="CC24" i="3479" s="1"/>
  <c r="CB24" i="3479" a="1"/>
  <c r="CB24" i="3479" s="1"/>
  <c r="CA24" i="3479" a="1"/>
  <c r="CA24" i="3479" s="1"/>
  <c r="J59" i="3445" a="1"/>
  <c r="J59" i="3445" s="1"/>
  <c r="P59" i="3445" s="1"/>
  <c r="Q59" i="3445" s="1"/>
  <c r="J84" i="3445" a="1"/>
  <c r="J84" i="3445" s="1"/>
  <c r="P84" i="3445" s="1"/>
  <c r="Q84" i="3445" s="1"/>
  <c r="X129" i="3528"/>
  <c r="AN129" i="3528"/>
  <c r="AI124" i="3528"/>
  <c r="AY124" i="3528"/>
  <c r="AR126" i="3528"/>
  <c r="AB126" i="3528"/>
  <c r="AI131" i="3528"/>
  <c r="AY131" i="3528"/>
  <c r="U139" i="3528"/>
  <c r="AK139" i="3528"/>
  <c r="B633" i="3449"/>
  <c r="B632" i="3449"/>
  <c r="DG71" i="3479" a="1"/>
  <c r="DG71" i="3479" s="1"/>
  <c r="DF71" i="3479" a="1"/>
  <c r="DF71" i="3479" s="1"/>
  <c r="DE71" i="3479" a="1"/>
  <c r="DE71" i="3479" s="1"/>
  <c r="EJ49" i="3479" a="1"/>
  <c r="EJ49" i="3479" s="1"/>
  <c r="EK49" i="3479" a="1"/>
  <c r="EK49" i="3479" s="1"/>
  <c r="EI49" i="3479" a="1"/>
  <c r="EI49" i="3479" s="1"/>
  <c r="I36" i="3435" a="1"/>
  <c r="I36" i="3435" s="1"/>
  <c r="AI36" i="3435" s="1"/>
  <c r="G36" i="3435" a="1"/>
  <c r="G36" i="3435" s="1"/>
  <c r="F36" i="3435" a="1"/>
  <c r="F36" i="3435" s="1"/>
  <c r="T23" i="3479" a="1"/>
  <c r="T23" i="3479" s="1"/>
  <c r="S23" i="3479" a="1"/>
  <c r="S23" i="3479" s="1"/>
  <c r="U23" i="3479" a="1"/>
  <c r="U23" i="3479" s="1"/>
  <c r="U128" i="3528"/>
  <c r="AK128" i="3528"/>
  <c r="T54" i="3518"/>
  <c r="H54" i="3518"/>
  <c r="J54" i="3518" s="1"/>
  <c r="K54" i="3518" s="1"/>
  <c r="DG30" i="3479" a="1"/>
  <c r="DG30" i="3479" s="1"/>
  <c r="DF30" i="3479" a="1"/>
  <c r="DF30" i="3479" s="1"/>
  <c r="DE30" i="3479" a="1"/>
  <c r="DE30" i="3479" s="1"/>
  <c r="EK24" i="3479" a="1"/>
  <c r="EK24" i="3479" s="1"/>
  <c r="EJ24" i="3479" a="1"/>
  <c r="EJ24" i="3479" s="1"/>
  <c r="EI24" i="3479" a="1"/>
  <c r="EI24" i="3479" s="1"/>
  <c r="DE46" i="3479" a="1"/>
  <c r="DE46" i="3479" s="1"/>
  <c r="DG46" i="3479" a="1"/>
  <c r="DG46" i="3479" s="1"/>
  <c r="DF46" i="3479" a="1"/>
  <c r="DF46" i="3479" s="1"/>
  <c r="BM47" i="3479" a="1"/>
  <c r="BM47" i="3479" s="1"/>
  <c r="BN47" i="3479" a="1"/>
  <c r="BN47" i="3479" s="1"/>
  <c r="BL47" i="3479" a="1"/>
  <c r="BL47" i="3479" s="1"/>
  <c r="AE134" i="3528"/>
  <c r="AU134" i="3528"/>
  <c r="AE37" i="3479" a="1"/>
  <c r="AE37" i="3479" s="1"/>
  <c r="AF37" i="3479" s="1" a="1"/>
  <c r="AF37" i="3479" s="1"/>
  <c r="CC35" i="3479" a="1"/>
  <c r="CC35" i="3479" s="1"/>
  <c r="CB35" i="3479" a="1"/>
  <c r="CB35" i="3479" s="1"/>
  <c r="CA35" i="3479" a="1"/>
  <c r="CA35" i="3479" s="1"/>
  <c r="BM40" i="3479" a="1"/>
  <c r="BM40" i="3479" s="1"/>
  <c r="BL40" i="3479" a="1"/>
  <c r="BL40" i="3479" s="1"/>
  <c r="BN40" i="3479" a="1"/>
  <c r="BN40" i="3479" s="1"/>
  <c r="EI60" i="3479" a="1"/>
  <c r="EI60" i="3479" s="1"/>
  <c r="EK60" i="3479" a="1"/>
  <c r="EK60" i="3479" s="1"/>
  <c r="EJ60" i="3479" a="1"/>
  <c r="EJ60" i="3479" s="1"/>
  <c r="AI32" i="3479" a="1"/>
  <c r="AI32" i="3479" s="1"/>
  <c r="AJ32" i="3479" a="1"/>
  <c r="AJ32" i="3479" s="1"/>
  <c r="AH32" i="3479" a="1"/>
  <c r="AH32" i="3479" s="1"/>
  <c r="AX51" i="3479" a="1"/>
  <c r="AX51" i="3479" s="1"/>
  <c r="AW51" i="3479" a="1"/>
  <c r="AW51" i="3479" s="1"/>
  <c r="AY51" i="3479" a="1"/>
  <c r="AY51" i="3479" s="1"/>
  <c r="AS134" i="3528"/>
  <c r="AC134" i="3528"/>
  <c r="AL135" i="3528"/>
  <c r="V135" i="3528"/>
  <c r="AT131" i="3528"/>
  <c r="AD131" i="3528"/>
  <c r="W57" i="3480"/>
  <c r="X57" i="3480"/>
  <c r="AE133" i="3528"/>
  <c r="AU133" i="3528"/>
  <c r="AM124" i="3528"/>
  <c r="W124" i="3528"/>
  <c r="R9" i="3561"/>
  <c r="Q9" i="3561"/>
  <c r="V9" i="3561"/>
  <c r="CM22" i="3479" a="1"/>
  <c r="CM22" i="3479" s="1"/>
  <c r="CN22" i="3479" s="1" a="1"/>
  <c r="CN22" i="3479" s="1"/>
  <c r="DF62" i="3479" a="1"/>
  <c r="DF62" i="3479" s="1"/>
  <c r="DE62" i="3479" a="1"/>
  <c r="DE62" i="3479" s="1"/>
  <c r="DG62" i="3479" a="1"/>
  <c r="DG62" i="3479" s="1"/>
  <c r="AB133" i="3528"/>
  <c r="AR133" i="3528"/>
  <c r="I53" i="3435" a="1"/>
  <c r="I53" i="3435" s="1"/>
  <c r="AI53" i="3435" s="1"/>
  <c r="G53" i="3435" a="1"/>
  <c r="G53" i="3435" s="1"/>
  <c r="F53" i="3435" a="1"/>
  <c r="F53" i="3435" s="1"/>
  <c r="F28" i="3435" a="1"/>
  <c r="F28" i="3435" s="1"/>
  <c r="I28" i="3435" a="1"/>
  <c r="I28" i="3435" s="1"/>
  <c r="AI28" i="3435" s="1"/>
  <c r="G28" i="3435" a="1"/>
  <c r="G28" i="3435" s="1"/>
  <c r="AT25" i="3479" a="1"/>
  <c r="AT25" i="3479" s="1"/>
  <c r="AU25" i="3479" s="1" a="1"/>
  <c r="AU25" i="3479" s="1"/>
  <c r="AY120" i="3528"/>
  <c r="AI120" i="3528"/>
  <c r="AU139" i="3528"/>
  <c r="AE139" i="3528"/>
  <c r="AO142" i="3528"/>
  <c r="Y142" i="3528"/>
  <c r="P23" i="3479" a="1"/>
  <c r="P23" i="3479" s="1"/>
  <c r="Q23" i="3479" s="1" a="1"/>
  <c r="Q23" i="3479" s="1"/>
  <c r="CP57" i="3479" a="1"/>
  <c r="CP57" i="3479" s="1"/>
  <c r="CQ57" i="3479" a="1"/>
  <c r="CQ57" i="3479" s="1"/>
  <c r="CR57" i="3479" a="1"/>
  <c r="CR57" i="3479" s="1"/>
  <c r="AE63" i="3479" a="1"/>
  <c r="AE63" i="3479" s="1"/>
  <c r="AF63" i="3479" s="1" a="1"/>
  <c r="AF63" i="3479" s="1"/>
  <c r="AN138" i="3528"/>
  <c r="X138" i="3528"/>
  <c r="AT121" i="3528"/>
  <c r="AD121" i="3528"/>
  <c r="AJ48" i="3479" a="1"/>
  <c r="AJ48" i="3479" s="1"/>
  <c r="AI48" i="3479" a="1"/>
  <c r="AI48" i="3479" s="1"/>
  <c r="AH48" i="3479" a="1"/>
  <c r="AH48" i="3479" s="1"/>
  <c r="AX32" i="3479" a="1"/>
  <c r="AX32" i="3479" s="1"/>
  <c r="AW32" i="3479" a="1"/>
  <c r="AW32" i="3479" s="1"/>
  <c r="AY32" i="3479" a="1"/>
  <c r="AY32" i="3479" s="1"/>
  <c r="EK47" i="3479" a="1"/>
  <c r="EK47" i="3479" s="1"/>
  <c r="EJ47" i="3479" a="1"/>
  <c r="EJ47" i="3479" s="1"/>
  <c r="EI47" i="3479" a="1"/>
  <c r="EI47" i="3479" s="1"/>
  <c r="CM26" i="3479" a="1"/>
  <c r="CM26" i="3479" s="1"/>
  <c r="CN26" i="3479" s="1" a="1"/>
  <c r="CN26" i="3479" s="1"/>
  <c r="AC133" i="3528"/>
  <c r="AS133" i="3528"/>
  <c r="AG119" i="3528"/>
  <c r="AW119" i="3528"/>
  <c r="CC41" i="3479" a="1"/>
  <c r="CC41" i="3479" s="1"/>
  <c r="CB41" i="3479" a="1"/>
  <c r="CB41" i="3479" s="1"/>
  <c r="CA41" i="3479" a="1"/>
  <c r="CA41" i="3479" s="1"/>
  <c r="AA133" i="3528"/>
  <c r="AQ133" i="3528"/>
  <c r="I53" i="3570" a="1"/>
  <c r="I53" i="3570" s="1"/>
  <c r="BE53" i="3570" s="1"/>
  <c r="G53" i="3570" a="1"/>
  <c r="G53" i="3570" s="1"/>
  <c r="F53" i="3570" a="1"/>
  <c r="F53" i="3570" s="1"/>
  <c r="F58" i="3570" a="1"/>
  <c r="F58" i="3570" s="1"/>
  <c r="I58" i="3570" a="1"/>
  <c r="I58" i="3570" s="1"/>
  <c r="BE58" i="3570" s="1"/>
  <c r="G58" i="3570" a="1"/>
  <c r="G58" i="3570" s="1"/>
  <c r="BM43" i="3479" a="1"/>
  <c r="BM43" i="3479" s="1"/>
  <c r="BN43" i="3479" a="1"/>
  <c r="BN43" i="3479" s="1"/>
  <c r="BL43" i="3479" a="1"/>
  <c r="BL43" i="3479" s="1"/>
  <c r="AE21" i="3479" a="1"/>
  <c r="AE21" i="3479" s="1"/>
  <c r="AF21" i="3479" s="1" a="1"/>
  <c r="AF21" i="3479" s="1"/>
  <c r="DV40" i="3479" a="1"/>
  <c r="DV40" i="3479" s="1"/>
  <c r="DT40" i="3479" a="1"/>
  <c r="DT40" i="3479" s="1"/>
  <c r="DU40" i="3479" a="1"/>
  <c r="DU40" i="3479" s="1"/>
  <c r="AQ127" i="3528"/>
  <c r="AA127" i="3528"/>
  <c r="V139" i="3528"/>
  <c r="AL139" i="3528"/>
  <c r="AH18" i="3419" a="1"/>
  <c r="AH18" i="3419" s="1"/>
  <c r="AJ18" i="3419" a="1"/>
  <c r="AJ18" i="3419" s="1"/>
  <c r="AI49" i="3419" a="1"/>
  <c r="AI49" i="3419" s="1"/>
  <c r="AH49" i="3419" a="1"/>
  <c r="AH49" i="3419" s="1"/>
  <c r="AB130" i="3528"/>
  <c r="AR130" i="3528"/>
  <c r="BN66" i="3479" a="1"/>
  <c r="BN66" i="3479" s="1"/>
  <c r="BL66" i="3479" a="1"/>
  <c r="BL66" i="3479" s="1"/>
  <c r="BM66" i="3479" a="1"/>
  <c r="BM66" i="3479" s="1"/>
  <c r="J41" i="3445" a="1"/>
  <c r="J41" i="3445" s="1"/>
  <c r="P41" i="3445" s="1"/>
  <c r="Q41" i="3445" s="1"/>
  <c r="EZ40" i="3479" a="1"/>
  <c r="EZ40" i="3479" s="1"/>
  <c r="EX40" i="3479" a="1"/>
  <c r="EX40" i="3479" s="1"/>
  <c r="EY40" i="3479" a="1"/>
  <c r="EY40" i="3479" s="1"/>
  <c r="DE59" i="3479" a="1"/>
  <c r="DE59" i="3479" s="1"/>
  <c r="DG59" i="3479" a="1"/>
  <c r="DG59" i="3479" s="1"/>
  <c r="DF59" i="3479" a="1"/>
  <c r="DF59" i="3479" s="1"/>
  <c r="AQ140" i="3528"/>
  <c r="AA140" i="3528"/>
  <c r="P43" i="3479" a="1"/>
  <c r="P43" i="3479" s="1"/>
  <c r="Q43" i="3479" s="1" a="1"/>
  <c r="Q43" i="3479" s="1"/>
  <c r="DV27" i="3479" a="1"/>
  <c r="DV27" i="3479" s="1"/>
  <c r="DU27" i="3479" a="1"/>
  <c r="DU27" i="3479" s="1"/>
  <c r="DT27" i="3479" a="1"/>
  <c r="DT27" i="3479" s="1"/>
  <c r="U69" i="3479" a="1"/>
  <c r="U69" i="3479" s="1"/>
  <c r="T69" i="3479" a="1"/>
  <c r="T69" i="3479" s="1"/>
  <c r="S69" i="3479" a="1"/>
  <c r="S69" i="3479" s="1"/>
  <c r="BM22" i="3479" a="1"/>
  <c r="BM22" i="3479" s="1"/>
  <c r="BN22" i="3479" a="1"/>
  <c r="BN22" i="3479" s="1"/>
  <c r="BL22" i="3479" a="1"/>
  <c r="BL22" i="3479" s="1"/>
  <c r="BN46" i="3479" a="1"/>
  <c r="BN46" i="3479" s="1"/>
  <c r="BM46" i="3479" a="1"/>
  <c r="BM46" i="3479" s="1"/>
  <c r="BL46" i="3479" a="1"/>
  <c r="BL46" i="3479" s="1"/>
  <c r="AU132" i="3528"/>
  <c r="AE132" i="3528"/>
  <c r="T48" i="3479" a="1"/>
  <c r="T48" i="3479" s="1"/>
  <c r="U48" i="3479" a="1"/>
  <c r="U48" i="3479" s="1"/>
  <c r="S48" i="3479" a="1"/>
  <c r="S48" i="3479" s="1"/>
  <c r="AL126" i="3528"/>
  <c r="V126" i="3528"/>
  <c r="J88" i="3445" a="1"/>
  <c r="J88" i="3445" s="1"/>
  <c r="V26" i="3436" a="1"/>
  <c r="V26" i="3436" s="1"/>
  <c r="EJ38" i="3479" a="1"/>
  <c r="EJ38" i="3479" s="1"/>
  <c r="EK38" i="3479" a="1"/>
  <c r="EK38" i="3479" s="1"/>
  <c r="EI38" i="3479" a="1"/>
  <c r="EI38" i="3479" s="1"/>
  <c r="I55" i="3435" a="1"/>
  <c r="I55" i="3435" s="1"/>
  <c r="AI55" i="3435" s="1"/>
  <c r="G55" i="3435" a="1"/>
  <c r="G55" i="3435" s="1"/>
  <c r="F55" i="3435" a="1"/>
  <c r="F55" i="3435" s="1"/>
  <c r="AI37" i="3479" a="1"/>
  <c r="AI37" i="3479" s="1"/>
  <c r="AH37" i="3479" a="1"/>
  <c r="AH37" i="3479" s="1"/>
  <c r="AJ37" i="3479" a="1"/>
  <c r="AJ37" i="3479" s="1"/>
  <c r="V120" i="3528"/>
  <c r="AL120" i="3528"/>
  <c r="H25" i="3518"/>
  <c r="J25" i="3518" s="1"/>
  <c r="K25" i="3518" s="1"/>
  <c r="T25" i="3518"/>
  <c r="AD119" i="3528"/>
  <c r="AT119" i="3528"/>
  <c r="X73" i="3480"/>
  <c r="W73" i="3480"/>
  <c r="U46" i="3479" a="1"/>
  <c r="U46" i="3479" s="1"/>
  <c r="T46" i="3479" a="1"/>
  <c r="T46" i="3479" s="1"/>
  <c r="S46" i="3479" a="1"/>
  <c r="S46" i="3479" s="1"/>
  <c r="P62" i="3479" a="1"/>
  <c r="P62" i="3479" s="1"/>
  <c r="Q62" i="3479" s="1" a="1"/>
  <c r="Q62" i="3479" s="1"/>
  <c r="AX52" i="3479" a="1"/>
  <c r="AX52" i="3479" s="1"/>
  <c r="AW52" i="3479" a="1"/>
  <c r="AW52" i="3479" s="1"/>
  <c r="AY52" i="3479" a="1"/>
  <c r="AY52" i="3479" s="1"/>
  <c r="CR59" i="3479" a="1"/>
  <c r="CR59" i="3479" s="1"/>
  <c r="CQ59" i="3479" a="1"/>
  <c r="CQ59" i="3479" s="1"/>
  <c r="CP59" i="3479" a="1"/>
  <c r="CP59" i="3479" s="1"/>
  <c r="EZ42" i="3479" a="1"/>
  <c r="EZ42" i="3479" s="1"/>
  <c r="EY42" i="3479" a="1"/>
  <c r="EY42" i="3479" s="1"/>
  <c r="EX42" i="3479" a="1"/>
  <c r="EX42" i="3479" s="1"/>
  <c r="X52" i="3480"/>
  <c r="W52" i="3480"/>
  <c r="U68" i="3479" a="1"/>
  <c r="U68" i="3479" s="1"/>
  <c r="T68" i="3479" a="1"/>
  <c r="T68" i="3479" s="1"/>
  <c r="S68" i="3479" a="1"/>
  <c r="S68" i="3479" s="1"/>
  <c r="AP136" i="3528"/>
  <c r="Z136" i="3528"/>
  <c r="T61" i="3479" a="1"/>
  <c r="T61" i="3479" s="1"/>
  <c r="S61" i="3479" a="1"/>
  <c r="S61" i="3479" s="1"/>
  <c r="U61" i="3479" a="1"/>
  <c r="U61" i="3479" s="1"/>
  <c r="AY140" i="3528"/>
  <c r="AI140" i="3528"/>
  <c r="C128" i="3523"/>
  <c r="Q128" i="3523" s="1" a="1"/>
  <c r="Q128" i="3523" s="1"/>
  <c r="BQ97" i="3448"/>
  <c r="EY24" i="3479" a="1"/>
  <c r="EY24" i="3479" s="1"/>
  <c r="EX24" i="3479" a="1"/>
  <c r="EX24" i="3479" s="1"/>
  <c r="EZ24" i="3479" a="1"/>
  <c r="EZ24" i="3479" s="1"/>
  <c r="W81" i="3480"/>
  <c r="X81" i="3480"/>
  <c r="J29" i="3445" a="1"/>
  <c r="J29" i="3445" s="1"/>
  <c r="P29" i="3445" s="1"/>
  <c r="Q29" i="3445" s="1"/>
  <c r="DG47" i="3479" a="1"/>
  <c r="DG47" i="3479" s="1"/>
  <c r="DF47" i="3479" a="1"/>
  <c r="DF47" i="3479" s="1"/>
  <c r="DE47" i="3479" a="1"/>
  <c r="DE47" i="3479" s="1"/>
  <c r="CP22" i="3479" a="1"/>
  <c r="CP22" i="3479" s="1"/>
  <c r="CR22" i="3479" a="1"/>
  <c r="CR22" i="3479" s="1"/>
  <c r="CQ22" i="3479" a="1"/>
  <c r="CQ22" i="3479" s="1"/>
  <c r="U55" i="3479" a="1"/>
  <c r="U55" i="3479" s="1"/>
  <c r="T55" i="3479" a="1"/>
  <c r="T55" i="3479" s="1"/>
  <c r="S55" i="3479" a="1"/>
  <c r="S55" i="3479" s="1"/>
  <c r="I21" i="3435" a="1"/>
  <c r="I21" i="3435" s="1"/>
  <c r="AI21" i="3435" s="1"/>
  <c r="G21" i="3435" a="1"/>
  <c r="G21" i="3435" s="1"/>
  <c r="F21" i="3435" a="1"/>
  <c r="F21" i="3435" s="1"/>
  <c r="G34" i="3435" a="1"/>
  <c r="G34" i="3435" s="1"/>
  <c r="F34" i="3435" a="1"/>
  <c r="F34" i="3435" s="1"/>
  <c r="I34" i="3435" a="1"/>
  <c r="I34" i="3435" s="1"/>
  <c r="AI34" i="3435" s="1"/>
  <c r="AY25" i="3479" a="1"/>
  <c r="AY25" i="3479" s="1"/>
  <c r="AX25" i="3479" a="1"/>
  <c r="AX25" i="3479" s="1"/>
  <c r="AW25" i="3479" a="1"/>
  <c r="AW25" i="3479" s="1"/>
  <c r="AY144" i="3528"/>
  <c r="AI144" i="3528"/>
  <c r="I39" i="3444"/>
  <c r="U37" i="3436" a="1"/>
  <c r="U37" i="3436" s="1"/>
  <c r="J39" i="3444" s="1"/>
  <c r="J56" i="3445" a="1"/>
  <c r="J56" i="3445" s="1"/>
  <c r="P56" i="3445" s="1"/>
  <c r="Q56" i="3445" s="1"/>
  <c r="CM54" i="3479" a="1"/>
  <c r="CM54" i="3479" s="1"/>
  <c r="CN54" i="3479" s="1" a="1"/>
  <c r="CN54" i="3479" s="1"/>
  <c r="DV39" i="3479" a="1"/>
  <c r="DV39" i="3479" s="1"/>
  <c r="DU39" i="3479" a="1"/>
  <c r="DU39" i="3479" s="1"/>
  <c r="DT39" i="3479" a="1"/>
  <c r="DT39" i="3479" s="1"/>
  <c r="BN23" i="3479" a="1"/>
  <c r="BN23" i="3479" s="1"/>
  <c r="BM23" i="3479" a="1"/>
  <c r="BM23" i="3479" s="1"/>
  <c r="BL23" i="3479" a="1"/>
  <c r="BL23" i="3479" s="1"/>
  <c r="AT55" i="3479" a="1"/>
  <c r="AT55" i="3479" s="1"/>
  <c r="AU55" i="3479" s="1" a="1"/>
  <c r="AU55" i="3479" s="1"/>
  <c r="BI51" i="3479" a="1"/>
  <c r="BI51" i="3479" s="1"/>
  <c r="BJ51" i="3479" s="1" a="1"/>
  <c r="BJ51" i="3479" s="1"/>
  <c r="DV63" i="3479" a="1"/>
  <c r="DV63" i="3479" s="1"/>
  <c r="DU63" i="3479" a="1"/>
  <c r="DU63" i="3479" s="1"/>
  <c r="DT63" i="3479" a="1"/>
  <c r="DT63" i="3479" s="1"/>
  <c r="EY34" i="3479" a="1"/>
  <c r="EY34" i="3479" s="1"/>
  <c r="EX34" i="3479" a="1"/>
  <c r="EX34" i="3479" s="1"/>
  <c r="EZ34" i="3479" a="1"/>
  <c r="EZ34" i="3479" s="1"/>
  <c r="I59" i="3570" a="1"/>
  <c r="I59" i="3570" s="1"/>
  <c r="BE59" i="3570" s="1"/>
  <c r="G59" i="3570" a="1"/>
  <c r="G59" i="3570" s="1"/>
  <c r="F59" i="3570" a="1"/>
  <c r="F59" i="3570" s="1"/>
  <c r="F44" i="3570" a="1"/>
  <c r="F44" i="3570" s="1"/>
  <c r="G44" i="3570" a="1"/>
  <c r="G44" i="3570" s="1"/>
  <c r="I44" i="3570" a="1"/>
  <c r="I44" i="3570" s="1"/>
  <c r="BE44" i="3570" s="1"/>
  <c r="BX25" i="3479" a="1"/>
  <c r="BX25" i="3479" s="1"/>
  <c r="BY25" i="3479" s="1" a="1"/>
  <c r="BY25" i="3479" s="1"/>
  <c r="DV65" i="3479" a="1"/>
  <c r="DV65" i="3479" s="1"/>
  <c r="DU65" i="3479" a="1"/>
  <c r="DU65" i="3479" s="1"/>
  <c r="DT65" i="3479" a="1"/>
  <c r="DT65" i="3479" s="1"/>
  <c r="AX117" i="3528"/>
  <c r="AH117" i="3528"/>
  <c r="Z134" i="3528"/>
  <c r="AP134" i="3528"/>
  <c r="I52" i="3436"/>
  <c r="S71" i="3445" s="1" a="1"/>
  <c r="S71" i="3445" s="1"/>
  <c r="T71" i="3445" s="1"/>
  <c r="AK21" i="3419" a="1"/>
  <c r="AK21" i="3419" s="1"/>
  <c r="AF21" i="3419" a="1"/>
  <c r="AF21" i="3419" s="1"/>
  <c r="AI35" i="3419" a="1"/>
  <c r="AI35" i="3419" s="1"/>
  <c r="AG35" i="3419" a="1"/>
  <c r="AG35" i="3419" s="1"/>
  <c r="AK135" i="3528"/>
  <c r="U135" i="3528"/>
  <c r="I71" i="3436"/>
  <c r="S90" i="3445" s="1" a="1"/>
  <c r="S90" i="3445" s="1"/>
  <c r="T90" i="3445" s="1"/>
  <c r="CM35" i="3479" a="1"/>
  <c r="CM35" i="3479" s="1"/>
  <c r="CN35" i="3479" s="1" a="1"/>
  <c r="CN35" i="3479" s="1"/>
  <c r="BI58" i="3479" a="1"/>
  <c r="BI58" i="3479" s="1"/>
  <c r="BJ58" i="3479" s="1" a="1"/>
  <c r="BJ58" i="3479" s="1"/>
  <c r="DT51" i="3479" a="1"/>
  <c r="DT51" i="3479" s="1"/>
  <c r="DU51" i="3479" a="1"/>
  <c r="DU51" i="3479" s="1"/>
  <c r="DV51" i="3479" a="1"/>
  <c r="DV51" i="3479" s="1"/>
  <c r="BX56" i="3479" a="1"/>
  <c r="BX56" i="3479" s="1"/>
  <c r="BY56" i="3479" s="1" a="1"/>
  <c r="BY56" i="3479" s="1"/>
  <c r="AF135" i="3528"/>
  <c r="AV135" i="3528"/>
  <c r="X67" i="3480"/>
  <c r="W67" i="3480"/>
  <c r="T43" i="3479" a="1"/>
  <c r="T43" i="3479" s="1"/>
  <c r="U43" i="3479" a="1"/>
  <c r="U43" i="3479" s="1"/>
  <c r="S43" i="3479" a="1"/>
  <c r="S43" i="3479" s="1"/>
  <c r="DV23" i="3479" a="1"/>
  <c r="DV23" i="3479" s="1"/>
  <c r="DU23" i="3479" a="1"/>
  <c r="DU23" i="3479" s="1"/>
  <c r="DT23" i="3479" a="1"/>
  <c r="DT23" i="3479" s="1"/>
  <c r="AI138" i="3528"/>
  <c r="AY138" i="3528"/>
  <c r="H23" i="3518"/>
  <c r="J23" i="3518" s="1"/>
  <c r="K23" i="3518" s="1"/>
  <c r="T23" i="3518"/>
  <c r="X71" i="3480"/>
  <c r="W71" i="3480"/>
  <c r="BI46" i="3479" a="1"/>
  <c r="BI46" i="3479" s="1"/>
  <c r="BJ46" i="3479" s="1" a="1"/>
  <c r="BJ46" i="3479" s="1"/>
  <c r="AX126" i="3528"/>
  <c r="AH126" i="3528"/>
  <c r="DF32" i="3479" a="1"/>
  <c r="DF32" i="3479" s="1"/>
  <c r="DE32" i="3479" a="1"/>
  <c r="DE32" i="3479" s="1"/>
  <c r="DG32" i="3479" a="1"/>
  <c r="DG32" i="3479" s="1"/>
  <c r="AY62" i="3479" a="1"/>
  <c r="AY62" i="3479" s="1"/>
  <c r="AX62" i="3479" a="1"/>
  <c r="AX62" i="3479" s="1"/>
  <c r="AW62" i="3479" a="1"/>
  <c r="AW62" i="3479" s="1"/>
  <c r="J43" i="3445" a="1"/>
  <c r="J43" i="3445" s="1"/>
  <c r="P43" i="3445" s="1"/>
  <c r="Q43" i="3445" s="1"/>
  <c r="I80" i="3436"/>
  <c r="S99" i="3445" s="1" a="1"/>
  <c r="S99" i="3445" s="1"/>
  <c r="T99" i="3445" s="1"/>
  <c r="AC145" i="3528"/>
  <c r="AS145" i="3528"/>
  <c r="T17" i="3518"/>
  <c r="H17" i="3518"/>
  <c r="J17" i="3518" s="1"/>
  <c r="K17" i="3518" s="1"/>
  <c r="AH128" i="3528"/>
  <c r="AX128" i="3528"/>
  <c r="AL127" i="3528"/>
  <c r="V127" i="3528"/>
  <c r="R27" i="3576"/>
  <c r="X28" i="3576" s="1"/>
  <c r="AW55" i="3479" a="1"/>
  <c r="AW55" i="3479" s="1"/>
  <c r="AY55" i="3479" a="1"/>
  <c r="AY55" i="3479" s="1"/>
  <c r="AX55" i="3479" a="1"/>
  <c r="AX55" i="3479" s="1"/>
  <c r="BN51" i="3479" a="1"/>
  <c r="BN51" i="3479" s="1"/>
  <c r="BL51" i="3479" a="1"/>
  <c r="BL51" i="3479" s="1"/>
  <c r="BM51" i="3479" a="1"/>
  <c r="BM51" i="3479" s="1"/>
  <c r="AX143" i="3528"/>
  <c r="AH143" i="3528"/>
  <c r="AY41" i="3479" a="1"/>
  <c r="AY41" i="3479" s="1"/>
  <c r="AX41" i="3479" a="1"/>
  <c r="AX41" i="3479" s="1"/>
  <c r="AW41" i="3479" a="1"/>
  <c r="AW41" i="3479" s="1"/>
  <c r="AQ134" i="3528"/>
  <c r="AA134" i="3528"/>
  <c r="AR123" i="3528"/>
  <c r="AB123" i="3528"/>
  <c r="I26" i="3570" a="1"/>
  <c r="I26" i="3570" s="1"/>
  <c r="BE26" i="3570" s="1"/>
  <c r="F26" i="3570" a="1"/>
  <c r="F26" i="3570" s="1"/>
  <c r="G26" i="3570" a="1"/>
  <c r="G26" i="3570" s="1"/>
  <c r="I61" i="3570" a="1"/>
  <c r="I61" i="3570" s="1"/>
  <c r="BE61" i="3570" s="1"/>
  <c r="F61" i="3570" a="1"/>
  <c r="F61" i="3570" s="1"/>
  <c r="G61" i="3570" a="1"/>
  <c r="G61" i="3570" s="1"/>
  <c r="B60" i="3434"/>
  <c r="B59" i="3434" s="1"/>
  <c r="B57" i="3434"/>
  <c r="G12" i="3480" s="1"/>
  <c r="DU36" i="3479" a="1"/>
  <c r="DU36" i="3479" s="1"/>
  <c r="DT36" i="3479" a="1"/>
  <c r="DT36" i="3479" s="1"/>
  <c r="DV36" i="3479" a="1"/>
  <c r="DV36" i="3479" s="1"/>
  <c r="CC25" i="3479" a="1"/>
  <c r="CC25" i="3479" s="1"/>
  <c r="CB25" i="3479" a="1"/>
  <c r="CB25" i="3479" s="1"/>
  <c r="CA25" i="3479" a="1"/>
  <c r="CA25" i="3479" s="1"/>
  <c r="EK54" i="3479" a="1"/>
  <c r="EK54" i="3479" s="1"/>
  <c r="EJ54" i="3479" a="1"/>
  <c r="EJ54" i="3479" s="1"/>
  <c r="EI54" i="3479" a="1"/>
  <c r="EI54" i="3479" s="1"/>
  <c r="H60" i="3518"/>
  <c r="J60" i="3518" s="1"/>
  <c r="K60" i="3518" s="1"/>
  <c r="T60" i="3518"/>
  <c r="CP68" i="3479" a="1"/>
  <c r="CP68" i="3479" s="1"/>
  <c r="CR68" i="3479" a="1"/>
  <c r="CR68" i="3479" s="1"/>
  <c r="CQ68" i="3479" a="1"/>
  <c r="CQ68" i="3479" s="1"/>
  <c r="Y134" i="3528"/>
  <c r="AO134" i="3528"/>
  <c r="AK46" i="3419" a="1"/>
  <c r="AK46" i="3419" s="1"/>
  <c r="AD46" i="3419" a="1"/>
  <c r="AD46" i="3419" s="1"/>
  <c r="AF27" i="3419" a="1"/>
  <c r="AF27" i="3419" s="1"/>
  <c r="AK27" i="3419" a="1"/>
  <c r="AK27" i="3419" s="1"/>
  <c r="X134" i="3528"/>
  <c r="AN134" i="3528"/>
  <c r="CR35" i="3479" a="1"/>
  <c r="CR35" i="3479" s="1"/>
  <c r="CP35" i="3479" a="1"/>
  <c r="CP35" i="3479" s="1"/>
  <c r="CQ35" i="3479" a="1"/>
  <c r="CQ35" i="3479" s="1"/>
  <c r="BL58" i="3479" a="1"/>
  <c r="BL58" i="3479" s="1"/>
  <c r="BN58" i="3479" a="1"/>
  <c r="BN58" i="3479" s="1"/>
  <c r="BM58" i="3479" a="1"/>
  <c r="BM58" i="3479" s="1"/>
  <c r="BL60" i="3479" a="1"/>
  <c r="BL60" i="3479" s="1"/>
  <c r="BM60" i="3479" a="1"/>
  <c r="BM60" i="3479" s="1"/>
  <c r="BN60" i="3479" a="1"/>
  <c r="BN60" i="3479" s="1"/>
  <c r="CA56" i="3479" a="1"/>
  <c r="CA56" i="3479" s="1"/>
  <c r="CC56" i="3479" a="1"/>
  <c r="CC56" i="3479" s="1"/>
  <c r="CB56" i="3479" a="1"/>
  <c r="CB56" i="3479" s="1"/>
  <c r="Y117" i="3528"/>
  <c r="AO117" i="3528"/>
  <c r="EX68" i="3479" a="1"/>
  <c r="EX68" i="3479" s="1"/>
  <c r="EZ68" i="3479" a="1"/>
  <c r="EZ68" i="3479" s="1"/>
  <c r="EY68" i="3479" a="1"/>
  <c r="EY68" i="3479" s="1"/>
  <c r="P31" i="3479" a="1"/>
  <c r="P31" i="3479" s="1"/>
  <c r="Q31" i="3479" s="1" a="1"/>
  <c r="Q31" i="3479" s="1"/>
  <c r="AP124" i="3528"/>
  <c r="Z124" i="3528"/>
  <c r="D129" i="3523"/>
  <c r="V129" i="3523" s="1" a="1"/>
  <c r="V129" i="3523" s="1"/>
  <c r="BR98" i="3448"/>
  <c r="AO140" i="3528"/>
  <c r="Y140" i="3528"/>
  <c r="AY117" i="3528"/>
  <c r="AI117" i="3528"/>
  <c r="I47" i="3436"/>
  <c r="EZ31" i="3479" a="1"/>
  <c r="EZ31" i="3479" s="1"/>
  <c r="EY31" i="3479" a="1"/>
  <c r="EY31" i="3479" s="1"/>
  <c r="EX31" i="3479" a="1"/>
  <c r="EX31" i="3479" s="1"/>
  <c r="AT62" i="3479" a="1"/>
  <c r="AT62" i="3479" s="1"/>
  <c r="AU62" i="3479" s="1" a="1"/>
  <c r="AU62" i="3479" s="1"/>
  <c r="CO10" i="3421" l="1" a="1"/>
  <c r="CO10" i="3421" s="1"/>
  <c r="EN10" i="3421" s="1"/>
  <c r="GM10" i="3421" s="1"/>
  <c r="H59" i="3435"/>
  <c r="J59" i="3435" s="1"/>
  <c r="AW115" i="3434"/>
  <c r="AG33" i="3419" a="1"/>
  <c r="AG33" i="3419" s="1"/>
  <c r="AW101" i="3434"/>
  <c r="U30" i="3576" a="1"/>
  <c r="U30" i="3576" s="1"/>
  <c r="AD30" i="3576" s="1"/>
  <c r="AD31" i="3576" a="1"/>
  <c r="AD31" i="3576" s="1"/>
  <c r="U21" i="3436" a="1"/>
  <c r="U21" i="3436" s="1"/>
  <c r="J23" i="3444" s="1"/>
  <c r="N10" i="3421"/>
  <c r="CD10" i="3421" a="1"/>
  <c r="CD10" i="3421" s="1"/>
  <c r="EC10" i="3421" s="1"/>
  <c r="GB10" i="3421" s="1"/>
  <c r="I33" i="3576" a="1"/>
  <c r="I33" i="3576" s="1"/>
  <c r="L33" i="3576" a="1"/>
  <c r="L33" i="3576" s="1"/>
  <c r="E33" i="3576" a="1"/>
  <c r="E33" i="3576" s="1"/>
  <c r="J33" i="3576" a="1"/>
  <c r="J33" i="3576" s="1"/>
  <c r="O33" i="3576" a="1"/>
  <c r="O33" i="3576" s="1"/>
  <c r="K33" i="3576" a="1"/>
  <c r="K33" i="3576" s="1"/>
  <c r="X33" i="3576" s="1"/>
  <c r="H33" i="3576" a="1"/>
  <c r="H33" i="3576" s="1"/>
  <c r="G33" i="3576" a="1"/>
  <c r="G33" i="3576" s="1"/>
  <c r="F33" i="3576" a="1"/>
  <c r="F33" i="3576" s="1"/>
  <c r="C37" i="3576"/>
  <c r="D36" i="3576" a="1"/>
  <c r="D36" i="3576" s="1"/>
  <c r="C39" i="3576"/>
  <c r="AW114" i="3434"/>
  <c r="N114" i="3434" s="1"/>
  <c r="Q114" i="3434" s="1"/>
  <c r="V55" i="3436" a="1"/>
  <c r="V55" i="3436" s="1"/>
  <c r="V56" i="3436" s="1" a="1"/>
  <c r="V56" i="3436" s="1"/>
  <c r="DJ10" i="3421" a="1"/>
  <c r="DJ10" i="3421" s="1"/>
  <c r="FI10" i="3421" s="1"/>
  <c r="HH10" i="3421" s="1"/>
  <c r="DL10" i="3421" a="1"/>
  <c r="DL10" i="3421" s="1"/>
  <c r="FK10" i="3421" s="1"/>
  <c r="HJ10" i="3421" s="1"/>
  <c r="DK10" i="3421" a="1"/>
  <c r="DK10" i="3421" s="1"/>
  <c r="FJ10" i="3421" s="1"/>
  <c r="HI10" i="3421" s="1"/>
  <c r="H38" i="3435"/>
  <c r="J38" i="3435" s="1"/>
  <c r="AB30" i="3576" a="1"/>
  <c r="AB30" i="3576" s="1"/>
  <c r="AE31" i="3576" s="1"/>
  <c r="S30" i="3576" a="1"/>
  <c r="S30" i="3576" s="1"/>
  <c r="N30" i="3576" a="1"/>
  <c r="N30" i="3576" s="1"/>
  <c r="P30" i="3576" s="1" a="1"/>
  <c r="P30" i="3576" s="1"/>
  <c r="M30" i="3576" a="1"/>
  <c r="M30" i="3576" s="1"/>
  <c r="Z30" i="3576" s="1" a="1"/>
  <c r="Z30" i="3576" s="1"/>
  <c r="Q30" i="3576"/>
  <c r="B30" i="3576"/>
  <c r="H29" i="3435"/>
  <c r="J29" i="3435" s="1"/>
  <c r="H58" i="3518"/>
  <c r="J58" i="3518" s="1"/>
  <c r="K58" i="3518" s="1"/>
  <c r="V32" i="3436" a="1"/>
  <c r="V32" i="3436" s="1"/>
  <c r="CL10" i="3421" a="1"/>
  <c r="CL10" i="3421" s="1"/>
  <c r="EK10" i="3421" s="1"/>
  <c r="GJ10" i="3421" s="1"/>
  <c r="CU10" i="3421" a="1"/>
  <c r="CU10" i="3421" s="1"/>
  <c r="ET10" i="3421" s="1"/>
  <c r="GS10" i="3421" s="1"/>
  <c r="KQ10" i="3421" s="1"/>
  <c r="H52" i="3435"/>
  <c r="J52" i="3435" s="1"/>
  <c r="DG10" i="3421" a="1"/>
  <c r="DG10" i="3421" s="1"/>
  <c r="FF10" i="3421" s="1"/>
  <c r="HE10" i="3421" s="1"/>
  <c r="LC10" i="3421" s="1"/>
  <c r="H25" i="3435"/>
  <c r="J25" i="3435" s="1"/>
  <c r="K25" i="3435" s="1"/>
  <c r="V79" i="3436" a="1"/>
  <c r="V79" i="3436" s="1"/>
  <c r="CN10" i="3421" a="1"/>
  <c r="CN10" i="3421" s="1"/>
  <c r="EM10" i="3421" s="1"/>
  <c r="GL10" i="3421" s="1"/>
  <c r="KJ10" i="3421" s="1"/>
  <c r="BS10" i="3421" a="1"/>
  <c r="BS10" i="3421" s="1"/>
  <c r="DR10" i="3421" s="1"/>
  <c r="FQ10" i="3421" s="1"/>
  <c r="JO10" i="3421" s="1"/>
  <c r="S97" i="3445" a="1"/>
  <c r="S97" i="3445" s="1"/>
  <c r="T97" i="3445" s="1"/>
  <c r="V25" i="3436" a="1"/>
  <c r="V25" i="3436" s="1"/>
  <c r="AW133" i="3434"/>
  <c r="CZ10" i="3421" a="1"/>
  <c r="CZ10" i="3421" s="1"/>
  <c r="EY10" i="3421" s="1"/>
  <c r="GX10" i="3421" s="1"/>
  <c r="DI10" i="3421" a="1"/>
  <c r="DI10" i="3421" s="1"/>
  <c r="FH10" i="3421" s="1"/>
  <c r="HG10" i="3421" s="1"/>
  <c r="H44" i="3435"/>
  <c r="J44" i="3435" s="1"/>
  <c r="CE10" i="3421" a="1"/>
  <c r="CE10" i="3421" s="1"/>
  <c r="ED10" i="3421" s="1"/>
  <c r="GC10" i="3421" s="1"/>
  <c r="DB10" i="3421" a="1"/>
  <c r="DB10" i="3421" s="1"/>
  <c r="FA10" i="3421" s="1"/>
  <c r="GZ10" i="3421" s="1"/>
  <c r="H48" i="3435"/>
  <c r="J48" i="3435" s="1"/>
  <c r="K48" i="3435" s="1"/>
  <c r="AW122" i="3434"/>
  <c r="N122" i="3434" s="1"/>
  <c r="Q122" i="3434" s="1"/>
  <c r="CK10" i="3421" a="1"/>
  <c r="CK10" i="3421" s="1"/>
  <c r="EJ10" i="3421" s="1"/>
  <c r="GI10" i="3421" s="1"/>
  <c r="KG10" i="3421" s="1"/>
  <c r="H63" i="3435"/>
  <c r="J63" i="3435" s="1"/>
  <c r="K63" i="3435" s="1"/>
  <c r="H32" i="3435"/>
  <c r="J32" i="3435" s="1"/>
  <c r="K32" i="3435" s="1"/>
  <c r="H36" i="3435"/>
  <c r="J36" i="3435" s="1"/>
  <c r="K36" i="3435" s="1"/>
  <c r="H30" i="3518"/>
  <c r="J30" i="3518" s="1"/>
  <c r="K30" i="3518" s="1"/>
  <c r="L32" i="3518" s="1"/>
  <c r="CR10" i="3421" a="1"/>
  <c r="CR10" i="3421" s="1"/>
  <c r="EQ10" i="3421" s="1"/>
  <c r="GP10" i="3421" s="1"/>
  <c r="V33" i="3436" a="1"/>
  <c r="V33" i="3436" s="1"/>
  <c r="DD10" i="3421" a="1"/>
  <c r="DD10" i="3421" s="1"/>
  <c r="FC10" i="3421" s="1"/>
  <c r="HB10" i="3421" s="1"/>
  <c r="AW103" i="3434"/>
  <c r="BU10" i="3421" a="1"/>
  <c r="BU10" i="3421" s="1"/>
  <c r="DT10" i="3421" s="1"/>
  <c r="FS10" i="3421" s="1"/>
  <c r="U56" i="3436" a="1"/>
  <c r="U56" i="3436" s="1"/>
  <c r="J58" i="3444" s="1"/>
  <c r="V46" i="3436" a="1"/>
  <c r="V46" i="3436" s="1"/>
  <c r="V47" i="3436" s="1" a="1"/>
  <c r="V47" i="3436" s="1"/>
  <c r="H51" i="3435"/>
  <c r="J51" i="3435" s="1"/>
  <c r="CG10" i="3421" a="1"/>
  <c r="CG10" i="3421" s="1"/>
  <c r="EF10" i="3421" s="1"/>
  <c r="GE10" i="3421" s="1"/>
  <c r="BV10" i="3421" a="1"/>
  <c r="BV10" i="3421" s="1"/>
  <c r="DU10" i="3421" s="1"/>
  <c r="FT10" i="3421" s="1"/>
  <c r="Z13" i="3564"/>
  <c r="AD12" i="3564"/>
  <c r="BI12" i="3564"/>
  <c r="BE13" i="3564"/>
  <c r="H19" i="3435"/>
  <c r="J19" i="3435" s="1"/>
  <c r="AK13" i="3564"/>
  <c r="AR12" i="3564"/>
  <c r="AL13" i="3564"/>
  <c r="AS12" i="3564"/>
  <c r="BO15" i="3564"/>
  <c r="BV14" i="3564"/>
  <c r="BJ12" i="3564"/>
  <c r="BF13" i="3564"/>
  <c r="AH13" i="3564"/>
  <c r="AO12" i="3564"/>
  <c r="AW119" i="3434"/>
  <c r="N119" i="3434" s="1"/>
  <c r="Q119" i="3434" s="1"/>
  <c r="BH12" i="3564"/>
  <c r="BD13" i="3564"/>
  <c r="AI13" i="3564"/>
  <c r="AP12" i="3564"/>
  <c r="CJ10" i="3421" a="1"/>
  <c r="CJ10" i="3421" s="1"/>
  <c r="EI10" i="3421" s="1"/>
  <c r="GH10" i="3421" s="1"/>
  <c r="V35" i="3436" a="1"/>
  <c r="V35" i="3436" s="1"/>
  <c r="V37" i="3436" s="1" a="1"/>
  <c r="V37" i="3436" s="1"/>
  <c r="V65" i="3436" a="1"/>
  <c r="V65" i="3436" s="1"/>
  <c r="H37" i="3435"/>
  <c r="J37" i="3435" s="1"/>
  <c r="K37" i="3435" s="1"/>
  <c r="DC10" i="3421" a="1"/>
  <c r="DC10" i="3421" s="1"/>
  <c r="FB10" i="3421" s="1"/>
  <c r="HA10" i="3421" s="1"/>
  <c r="KY10" i="3421" s="1"/>
  <c r="H27" i="3435"/>
  <c r="J27" i="3435" s="1"/>
  <c r="K27" i="3435" s="1"/>
  <c r="BU14" i="3564"/>
  <c r="BN15" i="3564"/>
  <c r="BQ15" i="3564"/>
  <c r="BX14" i="3564"/>
  <c r="H18" i="3435"/>
  <c r="J18" i="3435" s="1"/>
  <c r="CA10" i="3421" a="1"/>
  <c r="CA10" i="3421" s="1"/>
  <c r="DZ10" i="3421" s="1"/>
  <c r="FY10" i="3421" s="1"/>
  <c r="JW10" i="3421" s="1"/>
  <c r="H53" i="3435"/>
  <c r="J53" i="3435" s="1"/>
  <c r="K53" i="3435" s="1"/>
  <c r="BR10" i="3421" a="1"/>
  <c r="BR10" i="3421" s="1"/>
  <c r="DQ10" i="3421" s="1"/>
  <c r="FP10" i="3421" s="1"/>
  <c r="JN10" i="3421" s="1"/>
  <c r="Y13" i="3564"/>
  <c r="AC12" i="3564"/>
  <c r="U58" i="3518"/>
  <c r="H40" i="3435"/>
  <c r="J40" i="3435" s="1"/>
  <c r="H33" i="3435"/>
  <c r="J33" i="3435" s="1"/>
  <c r="K33" i="3435" s="1"/>
  <c r="V72" i="3436" a="1"/>
  <c r="V72" i="3436" s="1"/>
  <c r="V73" i="3436" s="1" a="1"/>
  <c r="V73" i="3436" s="1"/>
  <c r="X12" i="3564"/>
  <c r="U22" i="3436" a="1"/>
  <c r="U22" i="3436" s="1"/>
  <c r="J24" i="3444" s="1"/>
  <c r="H60" i="3435"/>
  <c r="J60" i="3435" s="1"/>
  <c r="C136" i="3528"/>
  <c r="H54" i="3435"/>
  <c r="J54" i="3435" s="1"/>
  <c r="K54" i="3435" s="1"/>
  <c r="C128" i="3528"/>
  <c r="H50" i="3435"/>
  <c r="J50" i="3435" s="1"/>
  <c r="V67" i="3436" a="1"/>
  <c r="V67" i="3436" s="1"/>
  <c r="CV10" i="3421" a="1"/>
  <c r="CV10" i="3421" s="1"/>
  <c r="EU10" i="3421" s="1"/>
  <c r="GT10" i="3421" s="1"/>
  <c r="KR10" i="3421" s="1"/>
  <c r="DE10" i="3421" a="1"/>
  <c r="DE10" i="3421" s="1"/>
  <c r="FD10" i="3421" s="1"/>
  <c r="HC10" i="3421" s="1"/>
  <c r="H26" i="3435"/>
  <c r="J26" i="3435" s="1"/>
  <c r="CW10" i="3421" a="1"/>
  <c r="CW10" i="3421" s="1"/>
  <c r="EV10" i="3421" s="1"/>
  <c r="GU10" i="3421" s="1"/>
  <c r="AQ13" i="3564"/>
  <c r="AJ14" i="3564"/>
  <c r="V41" i="3436" a="1"/>
  <c r="V41" i="3436" s="1"/>
  <c r="BZ10" i="3421" a="1"/>
  <c r="BZ10" i="3421" s="1"/>
  <c r="DY10" i="3421" s="1"/>
  <c r="FX10" i="3421" s="1"/>
  <c r="CT10" i="3421" a="1"/>
  <c r="CT10" i="3421" s="1"/>
  <c r="ES10" i="3421" s="1"/>
  <c r="GR10" i="3421" s="1"/>
  <c r="K38" i="3435"/>
  <c r="B128" i="3528"/>
  <c r="DF10" i="3421" a="1"/>
  <c r="DF10" i="3421" s="1"/>
  <c r="FE10" i="3421" s="1"/>
  <c r="HD10" i="3421" s="1"/>
  <c r="K52" i="3435"/>
  <c r="L25" i="3518"/>
  <c r="U48" i="3518"/>
  <c r="CC10" i="3421" a="1"/>
  <c r="CC10" i="3421" s="1"/>
  <c r="EB10" i="3421" s="1"/>
  <c r="GA10" i="3421" s="1"/>
  <c r="JY10" i="3421" s="1"/>
  <c r="AN12" i="3564"/>
  <c r="AG13" i="3564"/>
  <c r="V38" i="3436" a="1"/>
  <c r="V38" i="3436" s="1"/>
  <c r="AM13" i="3564"/>
  <c r="AT12" i="3564"/>
  <c r="BY14" i="3564"/>
  <c r="BR15" i="3564"/>
  <c r="AQ15" i="3435"/>
  <c r="AL15" i="3435"/>
  <c r="AP15" i="3435"/>
  <c r="AO15" i="3435"/>
  <c r="AN15" i="3435"/>
  <c r="AM15" i="3435"/>
  <c r="AK15" i="3435"/>
  <c r="L24" i="3419" a="1"/>
  <c r="L24" i="3419" s="1"/>
  <c r="BG24" i="3419" s="1"/>
  <c r="AZ24" i="3419"/>
  <c r="J24" i="3419" a="1"/>
  <c r="J24" i="3419" s="1"/>
  <c r="BE24" i="3419" s="1"/>
  <c r="BF52" i="3570"/>
  <c r="BH52" i="3570"/>
  <c r="BG52" i="3570"/>
  <c r="BJ52" i="3570"/>
  <c r="BI52" i="3570"/>
  <c r="BM52" i="3570"/>
  <c r="BL52" i="3570"/>
  <c r="BK52" i="3570"/>
  <c r="N117" i="3434"/>
  <c r="Q117" i="3434" s="1"/>
  <c r="O117" i="3434"/>
  <c r="R117" i="3434" s="1"/>
  <c r="AN117" i="3434" s="1" a="1"/>
  <c r="AN117" i="3434" s="1"/>
  <c r="AP117" i="3434" s="1"/>
  <c r="AC67" i="3480" s="1"/>
  <c r="LJ10" i="3421"/>
  <c r="JT11" i="3421"/>
  <c r="HU11" i="3421"/>
  <c r="HQ11" i="3421"/>
  <c r="JP11" i="3421"/>
  <c r="C130" i="3528"/>
  <c r="B127" i="3528"/>
  <c r="J63" i="3444"/>
  <c r="U63" i="3436" a="1"/>
  <c r="U63" i="3436" s="1"/>
  <c r="J65" i="3444" s="1"/>
  <c r="U62" i="3436" a="1"/>
  <c r="U62" i="3436" s="1"/>
  <c r="J64" i="3444" s="1"/>
  <c r="BF28" i="3570"/>
  <c r="BM28" i="3570"/>
  <c r="BL28" i="3570"/>
  <c r="BK28" i="3570"/>
  <c r="BG28" i="3570"/>
  <c r="BJ28" i="3570"/>
  <c r="BI28" i="3570"/>
  <c r="BH28" i="3570"/>
  <c r="AZ31" i="3419"/>
  <c r="J31" i="3419" a="1"/>
  <c r="J31" i="3419" s="1"/>
  <c r="BE31" i="3419" s="1"/>
  <c r="M31" i="3419" a="1"/>
  <c r="M31" i="3419" s="1"/>
  <c r="BH31" i="3419" s="1"/>
  <c r="A128" i="3523"/>
  <c r="BM65" i="3570"/>
  <c r="BL65" i="3570"/>
  <c r="BK65" i="3570"/>
  <c r="BJ65" i="3570"/>
  <c r="BI65" i="3570"/>
  <c r="BH65" i="3570"/>
  <c r="BG65" i="3570"/>
  <c r="BF65" i="3570"/>
  <c r="U56" i="3518"/>
  <c r="H23" i="3435"/>
  <c r="J23" i="3435" s="1"/>
  <c r="K23" i="3435" s="1"/>
  <c r="S55" i="3445" a="1"/>
  <c r="S55" i="3445" s="1"/>
  <c r="T55" i="3445" s="1"/>
  <c r="B137" i="3528"/>
  <c r="AZ36" i="3419"/>
  <c r="H36" i="3419" a="1"/>
  <c r="H36" i="3419" s="1"/>
  <c r="BC36" i="3419" s="1"/>
  <c r="N36" i="3419" a="1"/>
  <c r="N36" i="3419" s="1"/>
  <c r="BI36" i="3419" s="1"/>
  <c r="L35" i="3419" a="1"/>
  <c r="L35" i="3419" s="1"/>
  <c r="BG35" i="3419" s="1"/>
  <c r="AZ35" i="3419"/>
  <c r="J35" i="3419" a="1"/>
  <c r="J35" i="3419" s="1"/>
  <c r="BE35" i="3419" s="1"/>
  <c r="B124" i="3528"/>
  <c r="O121" i="3434"/>
  <c r="R121" i="3434" s="1"/>
  <c r="AN121" i="3434" s="1" a="1"/>
  <c r="AN121" i="3434" s="1"/>
  <c r="AP121" i="3434" s="1"/>
  <c r="AC71" i="3480" s="1"/>
  <c r="N121" i="3434"/>
  <c r="Q121" i="3434" s="1"/>
  <c r="U21" i="3518"/>
  <c r="U22" i="3518"/>
  <c r="JU11" i="3421"/>
  <c r="HV11" i="3421"/>
  <c r="KB11" i="3421"/>
  <c r="IC11" i="3421"/>
  <c r="B130" i="3528"/>
  <c r="BF20" i="3570"/>
  <c r="BG20" i="3570"/>
  <c r="BK20" i="3570"/>
  <c r="BM20" i="3570"/>
  <c r="BL20" i="3570"/>
  <c r="BJ20" i="3570"/>
  <c r="BI20" i="3570"/>
  <c r="BH20" i="3570"/>
  <c r="H43" i="3570"/>
  <c r="J43" i="3570" s="1"/>
  <c r="K43" i="3570" s="1"/>
  <c r="L43" i="3570" s="1"/>
  <c r="U43" i="3570"/>
  <c r="U46" i="3570"/>
  <c r="H46" i="3570"/>
  <c r="J46" i="3570" s="1"/>
  <c r="K46" i="3570" s="1"/>
  <c r="L46" i="3570" s="1"/>
  <c r="U16" i="3518"/>
  <c r="O136" i="3434"/>
  <c r="R136" i="3434" s="1"/>
  <c r="AN136" i="3434" s="1" a="1"/>
  <c r="AN136" i="3434" s="1"/>
  <c r="AP136" i="3434" s="1"/>
  <c r="AC86" i="3480" s="1"/>
  <c r="N136" i="3434"/>
  <c r="Q136" i="3434" s="1"/>
  <c r="S66" i="3445" a="1"/>
  <c r="S66" i="3445" s="1"/>
  <c r="T66" i="3445" s="1"/>
  <c r="V71" i="3436" a="1"/>
  <c r="V71" i="3436" s="1"/>
  <c r="H34" i="3435"/>
  <c r="J34" i="3435" s="1"/>
  <c r="K34" i="3435" s="1"/>
  <c r="H65" i="3570"/>
  <c r="J65" i="3570" s="1"/>
  <c r="K65" i="3570" s="1"/>
  <c r="L65" i="3570" s="1"/>
  <c r="U65" i="3570"/>
  <c r="H31" i="3435"/>
  <c r="J31" i="3435" s="1"/>
  <c r="K31" i="3435" s="1"/>
  <c r="U19" i="3570"/>
  <c r="H19" i="3570"/>
  <c r="J19" i="3570" s="1"/>
  <c r="K19" i="3570" s="1"/>
  <c r="L19" i="3570" s="1"/>
  <c r="BJ46" i="3570"/>
  <c r="BH46" i="3570"/>
  <c r="BM46" i="3570"/>
  <c r="BL46" i="3570"/>
  <c r="BK46" i="3570"/>
  <c r="BI46" i="3570"/>
  <c r="BG46" i="3570"/>
  <c r="BF46" i="3570"/>
  <c r="U28" i="3570"/>
  <c r="H28" i="3570"/>
  <c r="J28" i="3570" s="1"/>
  <c r="K28" i="3570" s="1"/>
  <c r="L28" i="3570" s="1"/>
  <c r="H42" i="3435"/>
  <c r="J42" i="3435" s="1"/>
  <c r="C137" i="3528"/>
  <c r="H64" i="3435"/>
  <c r="J64" i="3435" s="1"/>
  <c r="K64" i="3435" s="1"/>
  <c r="BI23" i="3570"/>
  <c r="BH23" i="3570"/>
  <c r="BG23" i="3570"/>
  <c r="BM23" i="3570"/>
  <c r="BF23" i="3570"/>
  <c r="BL23" i="3570"/>
  <c r="BK23" i="3570"/>
  <c r="BJ23" i="3570"/>
  <c r="V61" i="3436" a="1"/>
  <c r="V61" i="3436" s="1"/>
  <c r="V62" i="3436" s="1" a="1"/>
  <c r="V62" i="3436" s="1"/>
  <c r="J17" i="3419" a="1"/>
  <c r="J17" i="3419" s="1"/>
  <c r="M17" i="3419" a="1"/>
  <c r="M17" i="3419" s="1"/>
  <c r="AZ17" i="3419"/>
  <c r="K47" i="3419" a="1"/>
  <c r="K47" i="3419" s="1"/>
  <c r="BF47" i="3419" s="1"/>
  <c r="AZ47" i="3419"/>
  <c r="N47" i="3419" a="1"/>
  <c r="N47" i="3419" s="1"/>
  <c r="BI47" i="3419" s="1"/>
  <c r="C124" i="3528"/>
  <c r="H52" i="3570"/>
  <c r="J52" i="3570" s="1"/>
  <c r="K52" i="3570" s="1"/>
  <c r="L52" i="3570" s="1"/>
  <c r="U52" i="3570"/>
  <c r="U52" i="3518"/>
  <c r="O115" i="3434"/>
  <c r="R115" i="3434" s="1"/>
  <c r="AN115" i="3434" s="1" a="1"/>
  <c r="AN115" i="3434" s="1"/>
  <c r="AP115" i="3434" s="1"/>
  <c r="AC65" i="3480" s="1"/>
  <c r="N115" i="3434"/>
  <c r="Q115" i="3434" s="1"/>
  <c r="O132" i="3434"/>
  <c r="R132" i="3434" s="1"/>
  <c r="AN132" i="3434" s="1" a="1"/>
  <c r="AN132" i="3434" s="1"/>
  <c r="AP132" i="3434" s="1"/>
  <c r="AC82" i="3480" s="1"/>
  <c r="N132" i="3434"/>
  <c r="Q132" i="3434" s="1"/>
  <c r="DM10" i="3421" a="1"/>
  <c r="DM10" i="3421" s="1"/>
  <c r="FL10" i="3421" s="1"/>
  <c r="HK10" i="3421" s="1"/>
  <c r="JS10" i="3421"/>
  <c r="L22" i="3518"/>
  <c r="IU11" i="3421"/>
  <c r="KT11" i="3421"/>
  <c r="IO11" i="3421"/>
  <c r="KN11" i="3421"/>
  <c r="H20" i="3570"/>
  <c r="J20" i="3570" s="1"/>
  <c r="K20" i="3570" s="1"/>
  <c r="L20" i="3570" s="1"/>
  <c r="U20" i="3570"/>
  <c r="S95" i="3445" a="1"/>
  <c r="S95" i="3445" s="1"/>
  <c r="T95" i="3445" s="1"/>
  <c r="V76" i="3436" a="1"/>
  <c r="V76" i="3436" s="1"/>
  <c r="H35" i="3435"/>
  <c r="J35" i="3435" s="1"/>
  <c r="K35" i="3435" s="1"/>
  <c r="U60" i="3518"/>
  <c r="S94" i="3445" a="1"/>
  <c r="S94" i="3445" s="1"/>
  <c r="T94" i="3445" s="1"/>
  <c r="V75" i="3436" a="1"/>
  <c r="V75" i="3436" s="1"/>
  <c r="H23" i="3570"/>
  <c r="J23" i="3570" s="1"/>
  <c r="K23" i="3570" s="1"/>
  <c r="L23" i="3570" s="1"/>
  <c r="U23" i="3570"/>
  <c r="N21" i="3419" a="1"/>
  <c r="N21" i="3419" s="1"/>
  <c r="BI21" i="3419" s="1"/>
  <c r="AZ21" i="3419"/>
  <c r="I21" i="3419" a="1"/>
  <c r="I21" i="3419" s="1"/>
  <c r="BD21" i="3419" s="1"/>
  <c r="K41" i="3419" a="1"/>
  <c r="K41" i="3419" s="1"/>
  <c r="BF41" i="3419" s="1"/>
  <c r="AZ41" i="3419"/>
  <c r="N41" i="3419" a="1"/>
  <c r="N41" i="3419" s="1"/>
  <c r="BI41" i="3419" s="1"/>
  <c r="C126" i="3528"/>
  <c r="L52" i="3518"/>
  <c r="O107" i="3434"/>
  <c r="R107" i="3434" s="1"/>
  <c r="AN107" i="3434" s="1" a="1"/>
  <c r="AN107" i="3434" s="1"/>
  <c r="AP107" i="3434" s="1"/>
  <c r="AC57" i="3480" s="1"/>
  <c r="N107" i="3434"/>
  <c r="Q107" i="3434" s="1"/>
  <c r="O127" i="3434"/>
  <c r="R127" i="3434" s="1"/>
  <c r="AN127" i="3434" s="1" a="1"/>
  <c r="AN127" i="3434" s="1"/>
  <c r="AP127" i="3434" s="1"/>
  <c r="AC77" i="3480" s="1"/>
  <c r="N127" i="3434"/>
  <c r="Q127" i="3434" s="1"/>
  <c r="CI10" i="3421" a="1"/>
  <c r="CI10" i="3421" s="1"/>
  <c r="EH10" i="3421" s="1"/>
  <c r="GG10" i="3421" s="1"/>
  <c r="JV11" i="3421"/>
  <c r="HW11" i="3421"/>
  <c r="KZ11" i="3421"/>
  <c r="JA11" i="3421"/>
  <c r="L31" i="3518"/>
  <c r="H48" i="3570"/>
  <c r="J48" i="3570" s="1"/>
  <c r="K48" i="3570" s="1"/>
  <c r="L48" i="3570" s="1"/>
  <c r="U48" i="3570"/>
  <c r="H43" i="3435"/>
  <c r="J43" i="3435" s="1"/>
  <c r="K43" i="3435" s="1"/>
  <c r="H50" i="3570"/>
  <c r="J50" i="3570" s="1"/>
  <c r="K50" i="3570" s="1"/>
  <c r="L50" i="3570" s="1"/>
  <c r="U50" i="3570"/>
  <c r="BW15" i="3564"/>
  <c r="BP16" i="3564"/>
  <c r="BL40" i="3570"/>
  <c r="BK40" i="3570"/>
  <c r="BJ40" i="3570"/>
  <c r="BI40" i="3570"/>
  <c r="BH40" i="3570"/>
  <c r="BM40" i="3570"/>
  <c r="BG40" i="3570"/>
  <c r="BF40" i="3570"/>
  <c r="B135" i="3528"/>
  <c r="H21" i="3435"/>
  <c r="J21" i="3435" s="1"/>
  <c r="K21" i="3435" s="1"/>
  <c r="BI58" i="3570"/>
  <c r="BH58" i="3570"/>
  <c r="BG58" i="3570"/>
  <c r="BK58" i="3570"/>
  <c r="BJ58" i="3570"/>
  <c r="BM58" i="3570"/>
  <c r="BL58" i="3570"/>
  <c r="BF58" i="3570"/>
  <c r="U30" i="3570"/>
  <c r="H30" i="3570"/>
  <c r="J30" i="3570" s="1"/>
  <c r="K30" i="3570" s="1"/>
  <c r="L30" i="3570" s="1"/>
  <c r="L129" i="3523" a="1"/>
  <c r="L129" i="3523" s="1"/>
  <c r="BK19" i="3570"/>
  <c r="BJ19" i="3570"/>
  <c r="BI19" i="3570"/>
  <c r="BH19" i="3570"/>
  <c r="BG19" i="3570"/>
  <c r="BM19" i="3570"/>
  <c r="BL19" i="3570"/>
  <c r="BF19" i="3570"/>
  <c r="U41" i="3518"/>
  <c r="H40" i="3570"/>
  <c r="J40" i="3570" s="1"/>
  <c r="K40" i="3570" s="1"/>
  <c r="L40" i="3570" s="1"/>
  <c r="U40" i="3570"/>
  <c r="U20" i="3518"/>
  <c r="B133" i="3528"/>
  <c r="S96" i="3445" a="1"/>
  <c r="S96" i="3445" s="1"/>
  <c r="T96" i="3445" s="1"/>
  <c r="V77" i="3436" a="1"/>
  <c r="V77" i="3436" s="1"/>
  <c r="L27" i="3518"/>
  <c r="AZ40" i="3419"/>
  <c r="L40" i="3419" a="1"/>
  <c r="L40" i="3419" s="1"/>
  <c r="BG40" i="3419" s="1"/>
  <c r="K40" i="3419" a="1"/>
  <c r="K40" i="3419" s="1"/>
  <c r="BF40" i="3419" s="1"/>
  <c r="AZ25" i="3419"/>
  <c r="L25" i="3419" a="1"/>
  <c r="L25" i="3419" s="1"/>
  <c r="BG25" i="3419" s="1"/>
  <c r="J25" i="3419" a="1"/>
  <c r="J25" i="3419" s="1"/>
  <c r="BE25" i="3419" s="1"/>
  <c r="B126" i="3528"/>
  <c r="B131" i="3528"/>
  <c r="O101" i="3434"/>
  <c r="R101" i="3434" s="1"/>
  <c r="AN101" i="3434" s="1" a="1"/>
  <c r="AN101" i="3434" s="1"/>
  <c r="AP101" i="3434" s="1"/>
  <c r="AC51" i="3480" s="1"/>
  <c r="N101" i="3434"/>
  <c r="Q101" i="3434" s="1"/>
  <c r="O141" i="3434"/>
  <c r="R141" i="3434" s="1"/>
  <c r="AN141" i="3434" s="1" a="1"/>
  <c r="AN141" i="3434" s="1"/>
  <c r="AP141" i="3434" s="1"/>
  <c r="AC91" i="3480" s="1"/>
  <c r="N141" i="3434"/>
  <c r="Q141" i="3434" s="1"/>
  <c r="B141" i="3528"/>
  <c r="IY11" i="3421"/>
  <c r="KX11" i="3421"/>
  <c r="JQ11" i="3421"/>
  <c r="HR11" i="3421"/>
  <c r="U31" i="3518"/>
  <c r="S53" i="3445" a="1"/>
  <c r="S53" i="3445" s="1"/>
  <c r="T53" i="3445" s="1"/>
  <c r="V34" i="3436" a="1"/>
  <c r="V34" i="3436" s="1"/>
  <c r="V59" i="3436" a="1"/>
  <c r="V59" i="3436" s="1"/>
  <c r="U23" i="3518"/>
  <c r="L23" i="3518"/>
  <c r="C135" i="3528"/>
  <c r="H58" i="3570"/>
  <c r="J58" i="3570" s="1"/>
  <c r="K58" i="3570" s="1"/>
  <c r="L58" i="3570" s="1"/>
  <c r="U58" i="3570"/>
  <c r="U32" i="3518"/>
  <c r="H24" i="3435"/>
  <c r="J24" i="3435" s="1"/>
  <c r="K24" i="3435" s="1"/>
  <c r="H15" i="3435"/>
  <c r="J15" i="3435" s="1"/>
  <c r="C133" i="3528"/>
  <c r="F129" i="3523"/>
  <c r="AF129" i="3523" s="1" a="1"/>
  <c r="AF129" i="3523" s="1"/>
  <c r="BT98" i="3448"/>
  <c r="U57" i="3570"/>
  <c r="H57" i="3570"/>
  <c r="J57" i="3570" s="1"/>
  <c r="K57" i="3570" s="1"/>
  <c r="L57" i="3570" s="1"/>
  <c r="U27" i="3518"/>
  <c r="AZ43" i="3419"/>
  <c r="M43" i="3419" a="1"/>
  <c r="M43" i="3419" s="1"/>
  <c r="BH43" i="3419" s="1"/>
  <c r="I43" i="3419" a="1"/>
  <c r="I43" i="3419" s="1"/>
  <c r="BD43" i="3419" s="1"/>
  <c r="AZ51" i="3419"/>
  <c r="N51" i="3419" a="1"/>
  <c r="N51" i="3419" s="1"/>
  <c r="BI51" i="3419" s="1"/>
  <c r="I51" i="3419" a="1"/>
  <c r="I51" i="3419" s="1"/>
  <c r="BD51" i="3419" s="1"/>
  <c r="C131" i="3528"/>
  <c r="O120" i="3434"/>
  <c r="R120" i="3434" s="1"/>
  <c r="AN120" i="3434" s="1" a="1"/>
  <c r="AN120" i="3434" s="1"/>
  <c r="AP120" i="3434" s="1"/>
  <c r="AC70" i="3480" s="1"/>
  <c r="N120" i="3434"/>
  <c r="Q120" i="3434" s="1"/>
  <c r="O111" i="3434"/>
  <c r="R111" i="3434" s="1"/>
  <c r="AN111" i="3434" s="1" a="1"/>
  <c r="AN111" i="3434" s="1"/>
  <c r="AP111" i="3434" s="1"/>
  <c r="AC61" i="3480" s="1"/>
  <c r="N111" i="3434"/>
  <c r="Q111" i="3434" s="1"/>
  <c r="U17" i="3570"/>
  <c r="H17" i="3570"/>
  <c r="J17" i="3570" s="1"/>
  <c r="K17" i="3570" s="1"/>
  <c r="L17" i="3570" s="1"/>
  <c r="C141" i="3528"/>
  <c r="BX10" i="3421" a="1"/>
  <c r="BX10" i="3421" s="1"/>
  <c r="DW10" i="3421" s="1"/>
  <c r="FV10" i="3421" s="1"/>
  <c r="U38" i="3518"/>
  <c r="KY11" i="3421"/>
  <c r="IZ11" i="3421"/>
  <c r="KC11" i="3421"/>
  <c r="ID11" i="3421"/>
  <c r="U37" i="3518"/>
  <c r="BM41" i="3570"/>
  <c r="BK41" i="3570"/>
  <c r="BJ41" i="3570"/>
  <c r="BI41" i="3570"/>
  <c r="BH41" i="3570"/>
  <c r="BG41" i="3570"/>
  <c r="BF41" i="3570"/>
  <c r="BL41" i="3570"/>
  <c r="BZ100" i="3448"/>
  <c r="CG99" i="3448"/>
  <c r="U35" i="3518"/>
  <c r="BF48" i="3570"/>
  <c r="BM48" i="3570"/>
  <c r="BJ48" i="3570"/>
  <c r="BK48" i="3570"/>
  <c r="BL48" i="3570"/>
  <c r="BI48" i="3570"/>
  <c r="BH48" i="3570"/>
  <c r="BG48" i="3570"/>
  <c r="BL50" i="3570"/>
  <c r="BK50" i="3570"/>
  <c r="BJ50" i="3570"/>
  <c r="BM50" i="3570"/>
  <c r="BI50" i="3570"/>
  <c r="BH50" i="3570"/>
  <c r="BG50" i="3570"/>
  <c r="BF50" i="3570"/>
  <c r="B144" i="3528"/>
  <c r="G52" i="3419" a="1"/>
  <c r="G52" i="3419" s="1"/>
  <c r="BB52" i="3419" s="1"/>
  <c r="AZ52" i="3419"/>
  <c r="N52" i="3419" a="1"/>
  <c r="N52" i="3419" s="1"/>
  <c r="BI52" i="3419" s="1"/>
  <c r="AZ28" i="3419"/>
  <c r="L28" i="3419" a="1"/>
  <c r="L28" i="3419" s="1"/>
  <c r="BG28" i="3419" s="1"/>
  <c r="K28" i="3419" a="1"/>
  <c r="K28" i="3419" s="1"/>
  <c r="BF28" i="3419" s="1"/>
  <c r="U42" i="3570"/>
  <c r="H42" i="3570"/>
  <c r="J42" i="3570" s="1"/>
  <c r="K42" i="3570" s="1"/>
  <c r="L42" i="3570" s="1"/>
  <c r="O123" i="3434"/>
  <c r="R123" i="3434" s="1"/>
  <c r="AN123" i="3434" s="1" a="1"/>
  <c r="AN123" i="3434" s="1"/>
  <c r="AP123" i="3434" s="1"/>
  <c r="AC73" i="3480" s="1"/>
  <c r="N123" i="3434"/>
  <c r="Q123" i="3434" s="1"/>
  <c r="O119" i="3434"/>
  <c r="R119" i="3434" s="1"/>
  <c r="AN119" i="3434" s="1" a="1"/>
  <c r="AN119" i="3434" s="1"/>
  <c r="AP119" i="3434" s="1"/>
  <c r="AC69" i="3480" s="1"/>
  <c r="BL17" i="3570"/>
  <c r="BK17" i="3570"/>
  <c r="BJ17" i="3570"/>
  <c r="BI17" i="3570"/>
  <c r="BH17" i="3570"/>
  <c r="BG17" i="3570"/>
  <c r="BF17" i="3570"/>
  <c r="BM17" i="3570"/>
  <c r="KS10" i="3421"/>
  <c r="JM11" i="3421"/>
  <c r="HN11" i="3421"/>
  <c r="LU11" i="3421" a="1"/>
  <c r="LU11" i="3421" s="1"/>
  <c r="MF11" i="3421" s="1"/>
  <c r="LP11" i="3421" a="1"/>
  <c r="LP11" i="3421" s="1"/>
  <c r="MA11" i="3421" s="1"/>
  <c r="LL11" i="3421" a="1"/>
  <c r="LL11" i="3421" s="1"/>
  <c r="LW11" i="3421" s="1"/>
  <c r="LN11" i="3421" a="1"/>
  <c r="LN11" i="3421" s="1"/>
  <c r="LY11" i="3421" s="1"/>
  <c r="LM11" i="3421" a="1"/>
  <c r="LM11" i="3421" s="1"/>
  <c r="LX11" i="3421" s="1"/>
  <c r="MH11" i="3421"/>
  <c r="LT11" i="3421" a="1"/>
  <c r="LT11" i="3421" s="1"/>
  <c r="ME11" i="3421" s="1"/>
  <c r="LS11" i="3421" a="1"/>
  <c r="LS11" i="3421" s="1"/>
  <c r="MD11" i="3421" s="1"/>
  <c r="LR11" i="3421" a="1"/>
  <c r="LR11" i="3421" s="1"/>
  <c r="MC11" i="3421" s="1"/>
  <c r="LQ11" i="3421" a="1"/>
  <c r="LQ11" i="3421" s="1"/>
  <c r="MB11" i="3421" s="1"/>
  <c r="LO11" i="3421" a="1"/>
  <c r="LO11" i="3421" s="1"/>
  <c r="LZ11" i="3421" s="1"/>
  <c r="IP11" i="3421"/>
  <c r="KO11" i="3421"/>
  <c r="U61" i="3518"/>
  <c r="H49" i="3435"/>
  <c r="J49" i="3435" s="1"/>
  <c r="K49" i="3435" s="1"/>
  <c r="U41" i="3570"/>
  <c r="H41" i="3570"/>
  <c r="J41" i="3570" s="1"/>
  <c r="K41" i="3570" s="1"/>
  <c r="L41" i="3570" s="1"/>
  <c r="H37" i="3570"/>
  <c r="J37" i="3570" s="1"/>
  <c r="K37" i="3570" s="1"/>
  <c r="L37" i="3570" s="1"/>
  <c r="U37" i="3570"/>
  <c r="D130" i="3523"/>
  <c r="V130" i="3523" s="1" a="1"/>
  <c r="V130" i="3523" s="1"/>
  <c r="BR99" i="3448"/>
  <c r="BJ61" i="3570"/>
  <c r="BI61" i="3570"/>
  <c r="BH61" i="3570"/>
  <c r="BG61" i="3570"/>
  <c r="BF61" i="3570"/>
  <c r="BK61" i="3570"/>
  <c r="L17" i="3518"/>
  <c r="C139" i="3528"/>
  <c r="H45" i="3570"/>
  <c r="J45" i="3570" s="1"/>
  <c r="K45" i="3570" s="1"/>
  <c r="L45" i="3570" s="1"/>
  <c r="U45" i="3570"/>
  <c r="BM57" i="3570"/>
  <c r="BJ57" i="3570"/>
  <c r="BL57" i="3570"/>
  <c r="BK57" i="3570"/>
  <c r="BI57" i="3570"/>
  <c r="BH57" i="3570"/>
  <c r="BG57" i="3570"/>
  <c r="BF57" i="3570"/>
  <c r="C144" i="3528"/>
  <c r="I27" i="3419" a="1"/>
  <c r="I27" i="3419" s="1"/>
  <c r="BD27" i="3419" s="1"/>
  <c r="AZ27" i="3419"/>
  <c r="N27" i="3419" a="1"/>
  <c r="N27" i="3419" s="1"/>
  <c r="BI27" i="3419" s="1"/>
  <c r="L33" i="3419" a="1"/>
  <c r="L33" i="3419" s="1"/>
  <c r="BG33" i="3419" s="1"/>
  <c r="J33" i="3419" a="1"/>
  <c r="J33" i="3419" s="1"/>
  <c r="BE33" i="3419" s="1"/>
  <c r="AZ33" i="3419"/>
  <c r="BL42" i="3570"/>
  <c r="BK42" i="3570"/>
  <c r="BJ42" i="3570"/>
  <c r="BM42" i="3570"/>
  <c r="BI42" i="3570"/>
  <c r="BF42" i="3570"/>
  <c r="BH42" i="3570"/>
  <c r="BG42" i="3570"/>
  <c r="O137" i="3434"/>
  <c r="R137" i="3434" s="1"/>
  <c r="AN137" i="3434" s="1" a="1"/>
  <c r="AN137" i="3434" s="1"/>
  <c r="AP137" i="3434" s="1"/>
  <c r="AC87" i="3480" s="1"/>
  <c r="N137" i="3434"/>
  <c r="Q137" i="3434" s="1"/>
  <c r="N135" i="3434"/>
  <c r="Q135" i="3434" s="1"/>
  <c r="O135" i="3434"/>
  <c r="R135" i="3434" s="1"/>
  <c r="AN135" i="3434" s="1" a="1"/>
  <c r="AN135" i="3434" s="1"/>
  <c r="AP135" i="3434" s="1"/>
  <c r="AC85" i="3480" s="1"/>
  <c r="H39" i="3570"/>
  <c r="J39" i="3570" s="1"/>
  <c r="K39" i="3570" s="1"/>
  <c r="L39" i="3570" s="1"/>
  <c r="U39" i="3570"/>
  <c r="C117" i="3528"/>
  <c r="CX10" i="3421" a="1"/>
  <c r="CX10" i="3421" s="1"/>
  <c r="EW10" i="3421" s="1"/>
  <c r="GV10" i="3421" s="1"/>
  <c r="CM10" i="3421" a="1"/>
  <c r="CM10" i="3421" s="1"/>
  <c r="EL10" i="3421" s="1"/>
  <c r="GK10" i="3421" s="1"/>
  <c r="U19" i="3518"/>
  <c r="KG11" i="3421"/>
  <c r="IH11" i="3421"/>
  <c r="LA11" i="3421"/>
  <c r="JB11" i="3421"/>
  <c r="H62" i="3435"/>
  <c r="J62" i="3435" s="1"/>
  <c r="K62" i="3435" s="1"/>
  <c r="U22" i="3570"/>
  <c r="H22" i="3570"/>
  <c r="J22" i="3570" s="1"/>
  <c r="K22" i="3570" s="1"/>
  <c r="L22" i="3570" s="1"/>
  <c r="U50" i="3436" a="1"/>
  <c r="U50" i="3436" s="1"/>
  <c r="J52" i="3444" s="1"/>
  <c r="BM45" i="3570"/>
  <c r="BL45" i="3570"/>
  <c r="BI45" i="3570"/>
  <c r="BJ45" i="3570"/>
  <c r="BH45" i="3570"/>
  <c r="BG45" i="3570"/>
  <c r="BF45" i="3570"/>
  <c r="BK45" i="3570"/>
  <c r="H47" i="3570"/>
  <c r="J47" i="3570" s="1"/>
  <c r="K47" i="3570" s="1"/>
  <c r="L47" i="3570" s="1"/>
  <c r="U47" i="3570"/>
  <c r="U17" i="3518"/>
  <c r="BM53" i="3570"/>
  <c r="BL53" i="3570"/>
  <c r="BK53" i="3570"/>
  <c r="BJ53" i="3570"/>
  <c r="BI53" i="3570"/>
  <c r="BH53" i="3570"/>
  <c r="BG53" i="3570"/>
  <c r="BF53" i="3570"/>
  <c r="B139" i="3528"/>
  <c r="BI47" i="3570"/>
  <c r="BH47" i="3570"/>
  <c r="BG47" i="3570"/>
  <c r="BK47" i="3570"/>
  <c r="BJ47" i="3570"/>
  <c r="BM47" i="3570"/>
  <c r="BL47" i="3570"/>
  <c r="BF47" i="3570"/>
  <c r="BZ16" i="3564"/>
  <c r="BS17" i="3564"/>
  <c r="S87" i="3445" a="1"/>
  <c r="S87" i="3445" s="1"/>
  <c r="T87" i="3445" s="1"/>
  <c r="V68" i="3436" a="1"/>
  <c r="V68" i="3436" s="1"/>
  <c r="C120" i="3528"/>
  <c r="AZ50" i="3419"/>
  <c r="H50" i="3419" a="1"/>
  <c r="H50" i="3419" s="1"/>
  <c r="BC50" i="3419" s="1"/>
  <c r="N50" i="3419" a="1"/>
  <c r="N50" i="3419" s="1"/>
  <c r="BI50" i="3419" s="1"/>
  <c r="G42" i="3419" a="1"/>
  <c r="G42" i="3419" s="1"/>
  <c r="BB42" i="3419" s="1"/>
  <c r="AZ42" i="3419"/>
  <c r="M42" i="3419" a="1"/>
  <c r="M42" i="3419" s="1"/>
  <c r="BH42" i="3419" s="1"/>
  <c r="H22" i="3435"/>
  <c r="J22" i="3435" s="1"/>
  <c r="K22" i="3435" s="1"/>
  <c r="S82" i="3445" a="1"/>
  <c r="S82" i="3445" s="1"/>
  <c r="T82" i="3445" s="1"/>
  <c r="O103" i="3434"/>
  <c r="R103" i="3434" s="1"/>
  <c r="AN103" i="3434" s="1" a="1"/>
  <c r="AN103" i="3434" s="1"/>
  <c r="AP103" i="3434" s="1"/>
  <c r="AC53" i="3480" s="1"/>
  <c r="N103" i="3434"/>
  <c r="Q103" i="3434" s="1"/>
  <c r="O138" i="3434"/>
  <c r="R138" i="3434" s="1"/>
  <c r="AN138" i="3434" s="1" a="1"/>
  <c r="AN138" i="3434" s="1"/>
  <c r="AP138" i="3434" s="1"/>
  <c r="AC88" i="3480" s="1"/>
  <c r="N138" i="3434"/>
  <c r="Q138" i="3434" s="1"/>
  <c r="BI39" i="3570"/>
  <c r="BH39" i="3570"/>
  <c r="BG39" i="3570"/>
  <c r="BK39" i="3570"/>
  <c r="BJ39" i="3570"/>
  <c r="BM39" i="3570"/>
  <c r="BL39" i="3570"/>
  <c r="BF39" i="3570"/>
  <c r="B117" i="3528"/>
  <c r="JV10" i="3421"/>
  <c r="CY10" i="3421" a="1"/>
  <c r="CY10" i="3421" s="1"/>
  <c r="EX10" i="3421" s="1"/>
  <c r="GW10" i="3421" s="1"/>
  <c r="H64" i="3570"/>
  <c r="J64" i="3570" s="1"/>
  <c r="K64" i="3570" s="1"/>
  <c r="L64" i="3570" s="1"/>
  <c r="U64" i="3570"/>
  <c r="IA11" i="3421"/>
  <c r="JZ11" i="3421"/>
  <c r="KK11" i="3421"/>
  <c r="IL11" i="3421"/>
  <c r="HS11" i="3421"/>
  <c r="JR11" i="3421"/>
  <c r="K59" i="3435"/>
  <c r="K60" i="3435"/>
  <c r="U24" i="3570"/>
  <c r="H24" i="3570"/>
  <c r="J24" i="3570" s="1"/>
  <c r="K24" i="3570" s="1"/>
  <c r="L24" i="3570" s="1"/>
  <c r="L15" i="3518"/>
  <c r="BM37" i="3570"/>
  <c r="BI37" i="3570"/>
  <c r="BH37" i="3570"/>
  <c r="BG37" i="3570"/>
  <c r="BF37" i="3570"/>
  <c r="BL37" i="3570"/>
  <c r="BK37" i="3570"/>
  <c r="BJ37" i="3570"/>
  <c r="BK59" i="3570"/>
  <c r="BJ59" i="3570"/>
  <c r="BI59" i="3570"/>
  <c r="BH59" i="3570"/>
  <c r="BG59" i="3570"/>
  <c r="BF59" i="3570"/>
  <c r="C140" i="3528"/>
  <c r="B130" i="3523"/>
  <c r="BP99" i="3448"/>
  <c r="BJ30" i="3570"/>
  <c r="BL30" i="3570"/>
  <c r="BK30" i="3570"/>
  <c r="BI30" i="3570"/>
  <c r="BH30" i="3570"/>
  <c r="BG30" i="3570"/>
  <c r="BF30" i="3570"/>
  <c r="BM30" i="3570"/>
  <c r="U38" i="3570"/>
  <c r="H38" i="3570"/>
  <c r="J38" i="3570" s="1"/>
  <c r="K38" i="3570" s="1"/>
  <c r="L38" i="3570" s="1"/>
  <c r="B120" i="3528"/>
  <c r="K29" i="3419" a="1"/>
  <c r="K29" i="3419" s="1"/>
  <c r="BF29" i="3419" s="1"/>
  <c r="AZ29" i="3419"/>
  <c r="N29" i="3419" a="1"/>
  <c r="N29" i="3419" s="1"/>
  <c r="BI29" i="3419" s="1"/>
  <c r="AZ23" i="3419"/>
  <c r="L23" i="3419" a="1"/>
  <c r="L23" i="3419" s="1"/>
  <c r="BG23" i="3419" s="1"/>
  <c r="J23" i="3419" a="1"/>
  <c r="J23" i="3419" s="1"/>
  <c r="BE23" i="3419" s="1"/>
  <c r="U18" i="3570"/>
  <c r="H18" i="3570"/>
  <c r="J18" i="3570" s="1"/>
  <c r="K18" i="3570" s="1"/>
  <c r="L18" i="3570" s="1"/>
  <c r="B138" i="3528"/>
  <c r="O106" i="3434"/>
  <c r="R106" i="3434" s="1"/>
  <c r="AN106" i="3434" s="1" a="1"/>
  <c r="AN106" i="3434" s="1"/>
  <c r="AP106" i="3434" s="1"/>
  <c r="AC56" i="3480" s="1"/>
  <c r="N106" i="3434"/>
  <c r="Q106" i="3434" s="1"/>
  <c r="O144" i="3434"/>
  <c r="R144" i="3434" s="1"/>
  <c r="AN144" i="3434" s="1" a="1"/>
  <c r="AN144" i="3434" s="1"/>
  <c r="AP144" i="3434" s="1"/>
  <c r="AC94" i="3480" s="1"/>
  <c r="N144" i="3434"/>
  <c r="Q144" i="3434" s="1"/>
  <c r="KV10" i="3421"/>
  <c r="LG10" i="3421"/>
  <c r="LD11" i="3421"/>
  <c r="JE11" i="3421"/>
  <c r="LE11" i="3421"/>
  <c r="JF11" i="3421"/>
  <c r="IE11" i="3421"/>
  <c r="KD11" i="3421"/>
  <c r="K29" i="3435"/>
  <c r="BL22" i="3570"/>
  <c r="BK22" i="3570"/>
  <c r="BJ22" i="3570"/>
  <c r="BI22" i="3570"/>
  <c r="BH22" i="3570"/>
  <c r="BG22" i="3570"/>
  <c r="BF22" i="3570"/>
  <c r="BM22" i="3570"/>
  <c r="U15" i="3518"/>
  <c r="U24" i="3436" a="1"/>
  <c r="U24" i="3436" s="1"/>
  <c r="J26" i="3444" s="1"/>
  <c r="U53" i="3570"/>
  <c r="H53" i="3570"/>
  <c r="J53" i="3570" s="1"/>
  <c r="K53" i="3570" s="1"/>
  <c r="L53" i="3570" s="1"/>
  <c r="B19" i="3434"/>
  <c r="B17" i="3434"/>
  <c r="B14" i="3434"/>
  <c r="U49" i="3518"/>
  <c r="BL26" i="3570"/>
  <c r="BK26" i="3570"/>
  <c r="BJ26" i="3570"/>
  <c r="BM26" i="3570"/>
  <c r="BI26" i="3570"/>
  <c r="BH26" i="3570"/>
  <c r="BG26" i="3570"/>
  <c r="BF26" i="3570"/>
  <c r="H17" i="3435"/>
  <c r="J17" i="3435" s="1"/>
  <c r="K17" i="3435" s="1"/>
  <c r="B22" i="3434"/>
  <c r="B20" i="3434"/>
  <c r="L49" i="3518"/>
  <c r="G15" i="3419" a="1"/>
  <c r="G15" i="3419" s="1"/>
  <c r="AZ15" i="3419"/>
  <c r="N15" i="3419" a="1"/>
  <c r="N15" i="3419" s="1"/>
  <c r="I39" i="3419" a="1"/>
  <c r="I39" i="3419" s="1"/>
  <c r="BD39" i="3419" s="1"/>
  <c r="N39" i="3419" a="1"/>
  <c r="N39" i="3419" s="1"/>
  <c r="BI39" i="3419" s="1"/>
  <c r="AZ39" i="3419"/>
  <c r="BL18" i="3570"/>
  <c r="BK18" i="3570"/>
  <c r="BJ18" i="3570"/>
  <c r="BM18" i="3570"/>
  <c r="BF18" i="3570"/>
  <c r="BI18" i="3570"/>
  <c r="BH18" i="3570"/>
  <c r="BG18" i="3570"/>
  <c r="C138" i="3528"/>
  <c r="O116" i="3434"/>
  <c r="R116" i="3434" s="1"/>
  <c r="AN116" i="3434" s="1" a="1"/>
  <c r="AN116" i="3434" s="1"/>
  <c r="AP116" i="3434" s="1"/>
  <c r="AC66" i="3480" s="1"/>
  <c r="N116" i="3434"/>
  <c r="Q116" i="3434" s="1"/>
  <c r="O118" i="3434"/>
  <c r="R118" i="3434" s="1"/>
  <c r="AN118" i="3434" s="1" a="1"/>
  <c r="AN118" i="3434" s="1"/>
  <c r="AP118" i="3434" s="1"/>
  <c r="AC68" i="3480" s="1"/>
  <c r="N118" i="3434"/>
  <c r="Q118" i="3434" s="1"/>
  <c r="BG51" i="3570"/>
  <c r="BH51" i="3570"/>
  <c r="BF51" i="3570"/>
  <c r="BL51" i="3570"/>
  <c r="BM51" i="3570"/>
  <c r="BK51" i="3570"/>
  <c r="BJ51" i="3570"/>
  <c r="BI51" i="3570"/>
  <c r="H30" i="3435"/>
  <c r="J30" i="3435" s="1"/>
  <c r="K30" i="3435" s="1"/>
  <c r="H63" i="3570"/>
  <c r="J63" i="3570" s="1"/>
  <c r="K63" i="3570" s="1"/>
  <c r="L63" i="3570" s="1"/>
  <c r="U63" i="3570"/>
  <c r="CB10" i="3421" a="1"/>
  <c r="CB10" i="3421" s="1"/>
  <c r="EA10" i="3421" s="1"/>
  <c r="FZ10" i="3421" s="1"/>
  <c r="BT10" i="3421" a="1"/>
  <c r="BT10" i="3421" s="1"/>
  <c r="DS10" i="3421" s="1"/>
  <c r="FR10" i="3421" s="1"/>
  <c r="BM64" i="3570"/>
  <c r="BL64" i="3570"/>
  <c r="BK64" i="3570"/>
  <c r="BG64" i="3570"/>
  <c r="BJ64" i="3570"/>
  <c r="BI64" i="3570"/>
  <c r="BH64" i="3570"/>
  <c r="BF64" i="3570"/>
  <c r="LF11" i="3421"/>
  <c r="JG11" i="3421"/>
  <c r="HZ11" i="3421"/>
  <c r="JY11" i="3421"/>
  <c r="IQ11" i="3421"/>
  <c r="KP11" i="3421"/>
  <c r="C123" i="3528"/>
  <c r="U34" i="3518"/>
  <c r="BK24" i="3570"/>
  <c r="BJ24" i="3570"/>
  <c r="BI24" i="3570"/>
  <c r="BH24" i="3570"/>
  <c r="BG24" i="3570"/>
  <c r="BM24" i="3570"/>
  <c r="BL24" i="3570"/>
  <c r="BF24" i="3570"/>
  <c r="H31" i="3570"/>
  <c r="J31" i="3570" s="1"/>
  <c r="K31" i="3570" s="1"/>
  <c r="L31" i="3570" s="1"/>
  <c r="U31" i="3570"/>
  <c r="U73" i="3436" a="1"/>
  <c r="U73" i="3436" s="1"/>
  <c r="J75" i="3444" s="1"/>
  <c r="J74" i="3444"/>
  <c r="H61" i="3570"/>
  <c r="J61" i="3570" s="1"/>
  <c r="K61" i="3570" s="1"/>
  <c r="L61" i="3570" s="1"/>
  <c r="U61" i="3570"/>
  <c r="U26" i="3570"/>
  <c r="H26" i="3570"/>
  <c r="J26" i="3570" s="1"/>
  <c r="K26" i="3570" s="1"/>
  <c r="L26" i="3570" s="1"/>
  <c r="V80" i="3436" a="1"/>
  <c r="V80" i="3436" s="1"/>
  <c r="U25" i="3518"/>
  <c r="BJ38" i="3570"/>
  <c r="BM38" i="3570"/>
  <c r="BL38" i="3570"/>
  <c r="BK38" i="3570"/>
  <c r="BI38" i="3570"/>
  <c r="BH38" i="3570"/>
  <c r="BG38" i="3570"/>
  <c r="BF38" i="3570"/>
  <c r="V57" i="3436" a="1"/>
  <c r="V57" i="3436" s="1"/>
  <c r="S76" i="3445" a="1"/>
  <c r="S76" i="3445" s="1"/>
  <c r="T76" i="3445" s="1"/>
  <c r="V70" i="3436" a="1"/>
  <c r="V70" i="3436" s="1"/>
  <c r="S89" i="3445" a="1"/>
  <c r="S89" i="3445" s="1"/>
  <c r="T89" i="3445" s="1"/>
  <c r="X99" i="3448"/>
  <c r="AB98" i="3448"/>
  <c r="N57" i="3419" a="1"/>
  <c r="N57" i="3419" s="1"/>
  <c r="BI57" i="3419" s="1"/>
  <c r="K57" i="3419" a="1"/>
  <c r="K57" i="3419" s="1"/>
  <c r="BF57" i="3419" s="1"/>
  <c r="AZ57" i="3419"/>
  <c r="AZ18" i="3419"/>
  <c r="M18" i="3419" a="1"/>
  <c r="M18" i="3419" s="1"/>
  <c r="BH18" i="3419" s="1"/>
  <c r="K18" i="3419" a="1"/>
  <c r="K18" i="3419" s="1"/>
  <c r="BF18" i="3419" s="1"/>
  <c r="B136" i="3528"/>
  <c r="BF36" i="3570"/>
  <c r="BH36" i="3570"/>
  <c r="BG36" i="3570"/>
  <c r="BM36" i="3570"/>
  <c r="BL36" i="3570"/>
  <c r="BK36" i="3570"/>
  <c r="BJ36" i="3570"/>
  <c r="BI36" i="3570"/>
  <c r="O100" i="3434"/>
  <c r="R100" i="3434" s="1"/>
  <c r="AN100" i="3434" s="1" a="1"/>
  <c r="AN100" i="3434" s="1"/>
  <c r="AP100" i="3434" s="1"/>
  <c r="AC50" i="3480" s="1"/>
  <c r="N100" i="3434"/>
  <c r="Q100" i="3434" s="1"/>
  <c r="O126" i="3434"/>
  <c r="R126" i="3434" s="1"/>
  <c r="AN126" i="3434" s="1" a="1"/>
  <c r="AN126" i="3434" s="1"/>
  <c r="AP126" i="3434" s="1"/>
  <c r="AC76" i="3480" s="1"/>
  <c r="N126" i="3434"/>
  <c r="Q126" i="3434" s="1"/>
  <c r="H51" i="3570"/>
  <c r="J51" i="3570" s="1"/>
  <c r="K51" i="3570" s="1"/>
  <c r="L51" i="3570" s="1"/>
  <c r="U51" i="3570"/>
  <c r="BH63" i="3570"/>
  <c r="BG63" i="3570"/>
  <c r="BF63" i="3570"/>
  <c r="BK63" i="3570"/>
  <c r="BJ63" i="3570"/>
  <c r="BI63" i="3570"/>
  <c r="L29" i="3518"/>
  <c r="DA10" i="3421" a="1"/>
  <c r="DA10" i="3421" s="1"/>
  <c r="EZ10" i="3421" s="1"/>
  <c r="GY10" i="3421" s="1"/>
  <c r="CF10" i="3421" a="1"/>
  <c r="CF10" i="3421" s="1"/>
  <c r="EE10" i="3421" s="1"/>
  <c r="GD10" i="3421" s="1"/>
  <c r="U39" i="3518"/>
  <c r="JX11" i="3421"/>
  <c r="HY11" i="3421"/>
  <c r="IT11" i="3421"/>
  <c r="KS11" i="3421"/>
  <c r="JC11" i="3421"/>
  <c r="LB11" i="3421"/>
  <c r="B123" i="3528"/>
  <c r="K26" i="3435"/>
  <c r="L34" i="3518"/>
  <c r="BI31" i="3570"/>
  <c r="BH31" i="3570"/>
  <c r="BG31" i="3570"/>
  <c r="BK31" i="3570"/>
  <c r="BM31" i="3570"/>
  <c r="BL31" i="3570"/>
  <c r="BF31" i="3570"/>
  <c r="BJ31" i="3570"/>
  <c r="O114" i="3434"/>
  <c r="R114" i="3434" s="1"/>
  <c r="AN114" i="3434" s="1" a="1"/>
  <c r="AN114" i="3434" s="1"/>
  <c r="AP114" i="3434" s="1"/>
  <c r="AC64" i="3480" s="1"/>
  <c r="O131" i="3434"/>
  <c r="R131" i="3434" s="1"/>
  <c r="AN131" i="3434" s="1" a="1"/>
  <c r="AN131" i="3434" s="1"/>
  <c r="AP131" i="3434" s="1"/>
  <c r="AC81" i="3480" s="1"/>
  <c r="N131" i="3434"/>
  <c r="Q131" i="3434" s="1"/>
  <c r="U29" i="3518"/>
  <c r="KN10" i="3421"/>
  <c r="KH11" i="3421"/>
  <c r="II11" i="3421"/>
  <c r="KA11" i="3421"/>
  <c r="IB11" i="3421"/>
  <c r="U25" i="3436" a="1"/>
  <c r="U25" i="3436" s="1"/>
  <c r="J27" i="3444" s="1"/>
  <c r="C134" i="3528"/>
  <c r="H27" i="3570"/>
  <c r="J27" i="3570" s="1"/>
  <c r="K27" i="3570" s="1"/>
  <c r="L27" i="3570" s="1"/>
  <c r="U27" i="3570"/>
  <c r="H55" i="3570"/>
  <c r="J55" i="3570" s="1"/>
  <c r="K55" i="3570" s="1"/>
  <c r="L55" i="3570" s="1"/>
  <c r="U55" i="3570"/>
  <c r="U54" i="3570"/>
  <c r="H54" i="3570"/>
  <c r="J54" i="3570" s="1"/>
  <c r="K54" i="3570" s="1"/>
  <c r="L54" i="3570" s="1"/>
  <c r="L28" i="3518"/>
  <c r="C129" i="3528"/>
  <c r="U36" i="3518"/>
  <c r="I38" i="3419" a="1"/>
  <c r="I38" i="3419" s="1"/>
  <c r="BD38" i="3419" s="1"/>
  <c r="AZ38" i="3419"/>
  <c r="N38" i="3419" a="1"/>
  <c r="N38" i="3419" s="1"/>
  <c r="BI38" i="3419" s="1"/>
  <c r="AZ34" i="3419"/>
  <c r="L34" i="3419" a="1"/>
  <c r="L34" i="3419" s="1"/>
  <c r="BG34" i="3419" s="1"/>
  <c r="J34" i="3419" a="1"/>
  <c r="J34" i="3419" s="1"/>
  <c r="BE34" i="3419" s="1"/>
  <c r="L54" i="3518"/>
  <c r="S61" i="3445" a="1"/>
  <c r="S61" i="3445" s="1"/>
  <c r="T61" i="3445" s="1"/>
  <c r="V42" i="3436" a="1"/>
  <c r="V42" i="3436" s="1"/>
  <c r="V48" i="3436" a="1"/>
  <c r="V48" i="3436" s="1"/>
  <c r="BI55" i="3570"/>
  <c r="BH55" i="3570"/>
  <c r="BG55" i="3570"/>
  <c r="BK55" i="3570"/>
  <c r="BJ55" i="3570"/>
  <c r="BM55" i="3570"/>
  <c r="BL55" i="3570"/>
  <c r="BF55" i="3570"/>
  <c r="H45" i="3435"/>
  <c r="J45" i="3435" s="1"/>
  <c r="K45" i="3435" s="1"/>
  <c r="L13" i="3518"/>
  <c r="U28" i="3518"/>
  <c r="V49" i="3436" a="1"/>
  <c r="V49" i="3436" s="1"/>
  <c r="V51" i="3436" s="1" a="1"/>
  <c r="V51" i="3436" s="1"/>
  <c r="S68" i="3445" a="1"/>
  <c r="S68" i="3445" s="1"/>
  <c r="T68" i="3445" s="1"/>
  <c r="B129" i="3528"/>
  <c r="H61" i="3435"/>
  <c r="J61" i="3435" s="1"/>
  <c r="K61" i="3435" s="1"/>
  <c r="L36" i="3518"/>
  <c r="AZ13" i="3419"/>
  <c r="F13" i="3419" a="1"/>
  <c r="F13" i="3419" s="1"/>
  <c r="L13" i="3419" a="1"/>
  <c r="L13" i="3419" s="1"/>
  <c r="E9" i="3419"/>
  <c r="AZ46" i="3419"/>
  <c r="N46" i="3419" a="1"/>
  <c r="N46" i="3419" s="1"/>
  <c r="BI46" i="3419" s="1"/>
  <c r="G46" i="3419" a="1"/>
  <c r="G46" i="3419" s="1"/>
  <c r="BB46" i="3419" s="1"/>
  <c r="H36" i="3570"/>
  <c r="J36" i="3570" s="1"/>
  <c r="K36" i="3570" s="1"/>
  <c r="L36" i="3570" s="1"/>
  <c r="U36" i="3570"/>
  <c r="O97" i="3434"/>
  <c r="R97" i="3434" s="1"/>
  <c r="AN97" i="3434" s="1" a="1"/>
  <c r="AN97" i="3434" s="1"/>
  <c r="AP97" i="3434" s="1"/>
  <c r="AC47" i="3480" s="1"/>
  <c r="N97" i="3434"/>
  <c r="Q97" i="3434" s="1"/>
  <c r="H46" i="3435"/>
  <c r="J46" i="3435" s="1"/>
  <c r="K46" i="3435" s="1"/>
  <c r="DH10" i="3421" a="1"/>
  <c r="DH10" i="3421" s="1"/>
  <c r="FG10" i="3421" s="1"/>
  <c r="HF10" i="3421" s="1"/>
  <c r="KZ10" i="3421"/>
  <c r="CA16" i="3564"/>
  <c r="BT17" i="3564"/>
  <c r="LH11" i="3421"/>
  <c r="JI11" i="3421"/>
  <c r="KV11" i="3421"/>
  <c r="IW11" i="3421"/>
  <c r="B134" i="3528"/>
  <c r="U51" i="3436" a="1"/>
  <c r="U51" i="3436" s="1"/>
  <c r="J53" i="3444" s="1"/>
  <c r="U54" i="3518"/>
  <c r="U13" i="3518"/>
  <c r="U30" i="3518"/>
  <c r="BJ54" i="3570"/>
  <c r="BH54" i="3570"/>
  <c r="BK54" i="3570"/>
  <c r="BM54" i="3570"/>
  <c r="BL54" i="3570"/>
  <c r="BI54" i="3570"/>
  <c r="BG54" i="3570"/>
  <c r="BF54" i="3570"/>
  <c r="C125" i="3528"/>
  <c r="E130" i="3523"/>
  <c r="AA130" i="3523" s="1" a="1"/>
  <c r="AA130" i="3523" s="1"/>
  <c r="BS99" i="3448"/>
  <c r="AZ14" i="3419"/>
  <c r="L14" i="3419" a="1"/>
  <c r="L14" i="3419" s="1"/>
  <c r="BG14" i="3419" s="1"/>
  <c r="F14" i="3419" a="1"/>
  <c r="F14" i="3419" s="1"/>
  <c r="BA14" i="3419" s="1"/>
  <c r="I48" i="3419" a="1"/>
  <c r="I48" i="3419" s="1"/>
  <c r="BD48" i="3419" s="1"/>
  <c r="AZ48" i="3419"/>
  <c r="N48" i="3419" a="1"/>
  <c r="N48" i="3419" s="1"/>
  <c r="BI48" i="3419" s="1"/>
  <c r="O105" i="3434"/>
  <c r="R105" i="3434" s="1"/>
  <c r="AN105" i="3434" s="1" a="1"/>
  <c r="AN105" i="3434" s="1"/>
  <c r="AP105" i="3434" s="1"/>
  <c r="AC55" i="3480" s="1"/>
  <c r="N105" i="3434"/>
  <c r="Q105" i="3434" s="1"/>
  <c r="O112" i="3434"/>
  <c r="R112" i="3434" s="1"/>
  <c r="AN112" i="3434" s="1" a="1"/>
  <c r="AN112" i="3434" s="1"/>
  <c r="AP112" i="3434" s="1"/>
  <c r="AC62" i="3480" s="1"/>
  <c r="N112" i="3434"/>
  <c r="Q112" i="3434" s="1"/>
  <c r="U34" i="3570"/>
  <c r="H34" i="3570"/>
  <c r="J34" i="3570" s="1"/>
  <c r="K34" i="3570" s="1"/>
  <c r="L34" i="3570" s="1"/>
  <c r="JZ10" i="3421"/>
  <c r="JQ10" i="3421"/>
  <c r="KJ11" i="3421"/>
  <c r="IK11" i="3421"/>
  <c r="IX11" i="3421"/>
  <c r="KW11" i="3421"/>
  <c r="K51" i="3435"/>
  <c r="H57" i="3435"/>
  <c r="J57" i="3435" s="1"/>
  <c r="K57" i="3435" s="1"/>
  <c r="BK27" i="3570"/>
  <c r="BJ27" i="3570"/>
  <c r="BI27" i="3570"/>
  <c r="BH27" i="3570"/>
  <c r="BG27" i="3570"/>
  <c r="BF27" i="3570"/>
  <c r="BM27" i="3570"/>
  <c r="BL27" i="3570"/>
  <c r="AD97" i="3448"/>
  <c r="Z98" i="3448"/>
  <c r="H60" i="3570"/>
  <c r="J60" i="3570" s="1"/>
  <c r="K60" i="3570" s="1"/>
  <c r="L60" i="3570" s="1"/>
  <c r="U60" i="3570"/>
  <c r="B125" i="3528"/>
  <c r="BM33" i="3570"/>
  <c r="BL33" i="3570"/>
  <c r="BK33" i="3570"/>
  <c r="BJ33" i="3570"/>
  <c r="BI33" i="3570"/>
  <c r="BH33" i="3570"/>
  <c r="BG33" i="3570"/>
  <c r="BF33" i="3570"/>
  <c r="M20" i="3419" a="1"/>
  <c r="M20" i="3419" s="1"/>
  <c r="BH20" i="3419" s="1"/>
  <c r="AZ20" i="3419"/>
  <c r="G20" i="3419" a="1"/>
  <c r="G20" i="3419" s="1"/>
  <c r="BB20" i="3419" s="1"/>
  <c r="K61" i="3419" a="1"/>
  <c r="K61" i="3419" s="1"/>
  <c r="BF61" i="3419" s="1"/>
  <c r="M61" i="3419" a="1"/>
  <c r="M61" i="3419" s="1"/>
  <c r="BH61" i="3419" s="1"/>
  <c r="AZ61" i="3419"/>
  <c r="N108" i="3434"/>
  <c r="Q108" i="3434" s="1"/>
  <c r="O108" i="3434"/>
  <c r="R108" i="3434" s="1"/>
  <c r="AN108" i="3434" s="1" a="1"/>
  <c r="AN108" i="3434" s="1"/>
  <c r="AP108" i="3434" s="1"/>
  <c r="AC58" i="3480" s="1"/>
  <c r="O124" i="3434"/>
  <c r="R124" i="3434" s="1"/>
  <c r="AN124" i="3434" s="1" a="1"/>
  <c r="AN124" i="3434" s="1"/>
  <c r="AP124" i="3434" s="1"/>
  <c r="AC74" i="3480" s="1"/>
  <c r="N124" i="3434"/>
  <c r="Q124" i="3434" s="1"/>
  <c r="BL34" i="3570"/>
  <c r="BK34" i="3570"/>
  <c r="BJ34" i="3570"/>
  <c r="BM34" i="3570"/>
  <c r="BI34" i="3570"/>
  <c r="BH34" i="3570"/>
  <c r="BG34" i="3570"/>
  <c r="BF34" i="3570"/>
  <c r="LE10" i="3421"/>
  <c r="KC10" i="3421"/>
  <c r="LI11" i="3421"/>
  <c r="JJ11" i="3421"/>
  <c r="IG11" i="3421"/>
  <c r="KF11" i="3421"/>
  <c r="K15" i="3435"/>
  <c r="L43" i="3518"/>
  <c r="J45" i="3444"/>
  <c r="U45" i="3436" a="1"/>
  <c r="U45" i="3436" s="1"/>
  <c r="J47" i="3444" s="1"/>
  <c r="N143" i="3434"/>
  <c r="Q143" i="3434" s="1"/>
  <c r="O143" i="3434"/>
  <c r="R143" i="3434" s="1"/>
  <c r="AN143" i="3434" s="1" a="1"/>
  <c r="AN143" i="3434" s="1"/>
  <c r="AP143" i="3434" s="1"/>
  <c r="AC93" i="3480" s="1"/>
  <c r="O128" i="3434"/>
  <c r="R128" i="3434" s="1"/>
  <c r="AN128" i="3434" s="1" a="1"/>
  <c r="AN128" i="3434" s="1"/>
  <c r="AP128" i="3434" s="1"/>
  <c r="AC78" i="3480" s="1"/>
  <c r="N128" i="3434"/>
  <c r="Q128" i="3434" s="1"/>
  <c r="U53" i="3518"/>
  <c r="U32" i="3570"/>
  <c r="H32" i="3570"/>
  <c r="J32" i="3570" s="1"/>
  <c r="K32" i="3570" s="1"/>
  <c r="L32" i="3570" s="1"/>
  <c r="KA10" i="3421"/>
  <c r="CS10" i="3421" a="1"/>
  <c r="CS10" i="3421" s="1"/>
  <c r="ER10" i="3421" s="1"/>
  <c r="GQ10" i="3421" s="1"/>
  <c r="S69" i="3445" a="1"/>
  <c r="S69" i="3445" s="1"/>
  <c r="T69" i="3445" s="1"/>
  <c r="LJ11" i="3421"/>
  <c r="JK11" i="3421"/>
  <c r="HT11" i="3421"/>
  <c r="JS11" i="3421"/>
  <c r="K40" i="3435"/>
  <c r="U29" i="3570"/>
  <c r="H29" i="3570"/>
  <c r="J29" i="3570" s="1"/>
  <c r="K29" i="3570" s="1"/>
  <c r="L29" i="3570" s="1"/>
  <c r="U51" i="3518"/>
  <c r="U42" i="3436" a="1"/>
  <c r="U42" i="3436" s="1"/>
  <c r="J44" i="3444" s="1"/>
  <c r="U43" i="3518"/>
  <c r="AZ16" i="3419"/>
  <c r="K16" i="3419" a="1"/>
  <c r="K16" i="3419" s="1"/>
  <c r="N16" i="3419" a="1"/>
  <c r="N16" i="3419" s="1"/>
  <c r="BI16" i="3419" s="1"/>
  <c r="L60" i="3518"/>
  <c r="AC100" i="3448"/>
  <c r="Y101" i="3448"/>
  <c r="BM21" i="3570"/>
  <c r="BL21" i="3570"/>
  <c r="BK21" i="3570"/>
  <c r="BJ21" i="3570"/>
  <c r="BI21" i="3570"/>
  <c r="BH21" i="3570"/>
  <c r="BG21" i="3570"/>
  <c r="BF21" i="3570"/>
  <c r="B121" i="3528"/>
  <c r="H26" i="3419" a="1"/>
  <c r="H26" i="3419" s="1"/>
  <c r="BC26" i="3419" s="1"/>
  <c r="N26" i="3419" a="1"/>
  <c r="N26" i="3419" s="1"/>
  <c r="BI26" i="3419" s="1"/>
  <c r="AZ26" i="3419"/>
  <c r="I60" i="3419" a="1"/>
  <c r="I60" i="3419" s="1"/>
  <c r="BD60" i="3419" s="1"/>
  <c r="AZ60" i="3419"/>
  <c r="N60" i="3419" a="1"/>
  <c r="N60" i="3419" s="1"/>
  <c r="BI60" i="3419" s="1"/>
  <c r="B118" i="3528"/>
  <c r="U46" i="3518"/>
  <c r="O95" i="3434"/>
  <c r="R95" i="3434" s="1"/>
  <c r="AN95" i="3434" s="1" a="1"/>
  <c r="AN95" i="3434" s="1"/>
  <c r="AP95" i="3434" s="1"/>
  <c r="AC45" i="3480" s="1"/>
  <c r="N95" i="3434"/>
  <c r="N102" i="3434"/>
  <c r="Q102" i="3434" s="1"/>
  <c r="O102" i="3434"/>
  <c r="R102" i="3434" s="1"/>
  <c r="AN102" i="3434" s="1" a="1"/>
  <c r="AN102" i="3434" s="1"/>
  <c r="AP102" i="3434" s="1"/>
  <c r="AC52" i="3480" s="1"/>
  <c r="N133" i="3434"/>
  <c r="Q133" i="3434" s="1"/>
  <c r="O133" i="3434"/>
  <c r="R133" i="3434" s="1"/>
  <c r="AN133" i="3434" s="1" a="1"/>
  <c r="AN133" i="3434" s="1"/>
  <c r="AP133" i="3434" s="1"/>
  <c r="AC83" i="3480" s="1"/>
  <c r="L53" i="3518"/>
  <c r="LF10" i="3421"/>
  <c r="LA10" i="3421"/>
  <c r="KL11" i="3421"/>
  <c r="IM11" i="3421"/>
  <c r="KE11" i="3421"/>
  <c r="IF11" i="3421"/>
  <c r="U33" i="3518"/>
  <c r="H20" i="3435"/>
  <c r="J20" i="3435" s="1"/>
  <c r="K20" i="3435" s="1"/>
  <c r="L30" i="3518"/>
  <c r="V52" i="3436" a="1"/>
  <c r="V52" i="3436" s="1"/>
  <c r="V53" i="3436" s="1" a="1"/>
  <c r="V53" i="3436" s="1"/>
  <c r="U33" i="3570"/>
  <c r="H33" i="3570"/>
  <c r="J33" i="3570" s="1"/>
  <c r="K33" i="3570" s="1"/>
  <c r="L33" i="3570" s="1"/>
  <c r="U47" i="3518"/>
  <c r="L18" i="3518"/>
  <c r="U24" i="3518"/>
  <c r="H58" i="3435"/>
  <c r="J58" i="3435" s="1"/>
  <c r="K58" i="3435" s="1"/>
  <c r="H21" i="3570"/>
  <c r="J21" i="3570" s="1"/>
  <c r="K21" i="3570" s="1"/>
  <c r="L21" i="3570" s="1"/>
  <c r="U21" i="3570"/>
  <c r="C121" i="3528"/>
  <c r="H39" i="3435"/>
  <c r="J39" i="3435" s="1"/>
  <c r="K39" i="3435" s="1"/>
  <c r="AZ37" i="3419"/>
  <c r="L37" i="3419" a="1"/>
  <c r="L37" i="3419" s="1"/>
  <c r="BG37" i="3419" s="1"/>
  <c r="F37" i="3419" a="1"/>
  <c r="F37" i="3419" s="1"/>
  <c r="BA37" i="3419" s="1"/>
  <c r="AZ53" i="3419"/>
  <c r="G53" i="3419" a="1"/>
  <c r="G53" i="3419" s="1"/>
  <c r="BB53" i="3419" s="1"/>
  <c r="M53" i="3419" a="1"/>
  <c r="M53" i="3419" s="1"/>
  <c r="BH53" i="3419" s="1"/>
  <c r="C118" i="3528"/>
  <c r="U44" i="3518"/>
  <c r="L46" i="3518"/>
  <c r="O96" i="3434"/>
  <c r="R96" i="3434" s="1"/>
  <c r="AN96" i="3434" s="1" a="1"/>
  <c r="AN96" i="3434" s="1"/>
  <c r="AP96" i="3434" s="1"/>
  <c r="AC46" i="3480" s="1"/>
  <c r="N96" i="3434"/>
  <c r="Q96" i="3434" s="1"/>
  <c r="N125" i="3434"/>
  <c r="Q125" i="3434" s="1"/>
  <c r="O125" i="3434"/>
  <c r="R125" i="3434" s="1"/>
  <c r="AN125" i="3434" s="1" a="1"/>
  <c r="AN125" i="3434" s="1"/>
  <c r="AP125" i="3434" s="1"/>
  <c r="AC75" i="3480" s="1"/>
  <c r="O134" i="3434"/>
  <c r="R134" i="3434" s="1"/>
  <c r="AN134" i="3434" s="1" a="1"/>
  <c r="AN134" i="3434" s="1"/>
  <c r="AP134" i="3434" s="1"/>
  <c r="AC84" i="3480" s="1"/>
  <c r="N134" i="3434"/>
  <c r="Q134" i="3434" s="1"/>
  <c r="BM32" i="3570"/>
  <c r="BI32" i="3570"/>
  <c r="BH32" i="3570"/>
  <c r="BG32" i="3570"/>
  <c r="BF32" i="3570"/>
  <c r="BL32" i="3570"/>
  <c r="BK32" i="3570"/>
  <c r="BJ32" i="3570"/>
  <c r="H47" i="3435"/>
  <c r="J47" i="3435" s="1"/>
  <c r="K47" i="3435" s="1"/>
  <c r="LH10" i="3421"/>
  <c r="JR10" i="3421"/>
  <c r="IR11" i="3421"/>
  <c r="KQ11" i="3421"/>
  <c r="H56" i="3435"/>
  <c r="J56" i="3435" s="1"/>
  <c r="K56" i="3435" s="1"/>
  <c r="L55" i="3518"/>
  <c r="BM29" i="3570"/>
  <c r="BL29" i="3570"/>
  <c r="BK29" i="3570"/>
  <c r="BJ29" i="3570"/>
  <c r="BI29" i="3570"/>
  <c r="BH29" i="3570"/>
  <c r="BG29" i="3570"/>
  <c r="BF29" i="3570"/>
  <c r="L33" i="3518"/>
  <c r="U62" i="3570"/>
  <c r="H62" i="3570"/>
  <c r="J62" i="3570" s="1"/>
  <c r="K62" i="3570" s="1"/>
  <c r="L62" i="3570" s="1"/>
  <c r="H55" i="3435"/>
  <c r="J55" i="3435" s="1"/>
  <c r="K55" i="3435" s="1"/>
  <c r="U59" i="3518"/>
  <c r="U18" i="3518"/>
  <c r="L40" i="3518"/>
  <c r="L14" i="3518"/>
  <c r="AZ19" i="3419"/>
  <c r="N19" i="3419" a="1"/>
  <c r="N19" i="3419" s="1"/>
  <c r="BI19" i="3419" s="1"/>
  <c r="I19" i="3419" a="1"/>
  <c r="I19" i="3419" s="1"/>
  <c r="M32" i="3419" a="1"/>
  <c r="M32" i="3419" s="1"/>
  <c r="BH32" i="3419" s="1"/>
  <c r="F32" i="3419" a="1"/>
  <c r="F32" i="3419" s="1"/>
  <c r="BA32" i="3419" s="1"/>
  <c r="AZ32" i="3419"/>
  <c r="N54" i="3419" a="1"/>
  <c r="N54" i="3419" s="1"/>
  <c r="BI54" i="3419" s="1"/>
  <c r="AZ54" i="3419"/>
  <c r="K54" i="3419" a="1"/>
  <c r="K54" i="3419" s="1"/>
  <c r="BF54" i="3419" s="1"/>
  <c r="O109" i="3434"/>
  <c r="R109" i="3434" s="1"/>
  <c r="AN109" i="3434" s="1" a="1"/>
  <c r="AN109" i="3434" s="1"/>
  <c r="AP109" i="3434" s="1"/>
  <c r="AC59" i="3480" s="1"/>
  <c r="N109" i="3434"/>
  <c r="Q109" i="3434" s="1"/>
  <c r="O130" i="3434"/>
  <c r="R130" i="3434" s="1"/>
  <c r="AN130" i="3434" s="1" a="1"/>
  <c r="AN130" i="3434" s="1"/>
  <c r="AP130" i="3434" s="1"/>
  <c r="AC80" i="3480" s="1"/>
  <c r="N130" i="3434"/>
  <c r="Q130" i="3434" s="1"/>
  <c r="O139" i="3434"/>
  <c r="R139" i="3434" s="1"/>
  <c r="AN139" i="3434" s="1" a="1"/>
  <c r="AN139" i="3434" s="1"/>
  <c r="AP139" i="3434" s="1"/>
  <c r="AC89" i="3480" s="1"/>
  <c r="N139" i="3434"/>
  <c r="Q139" i="3434" s="1"/>
  <c r="B119" i="3528"/>
  <c r="KH10" i="3421"/>
  <c r="CH10" i="3421" a="1"/>
  <c r="CH10" i="3421" s="1"/>
  <c r="EG10" i="3421" s="1"/>
  <c r="GF10" i="3421" s="1"/>
  <c r="N11" i="3421"/>
  <c r="LC11" i="3421"/>
  <c r="JD11" i="3421"/>
  <c r="H16" i="3570"/>
  <c r="J16" i="3570" s="1"/>
  <c r="K16" i="3570" s="1"/>
  <c r="L16" i="3570" s="1"/>
  <c r="U16" i="3570"/>
  <c r="K42" i="3435"/>
  <c r="U55" i="3518"/>
  <c r="K58" i="3419" a="1"/>
  <c r="K58" i="3419" s="1"/>
  <c r="BF58" i="3419" s="1"/>
  <c r="N58" i="3419" a="1"/>
  <c r="N58" i="3419" s="1"/>
  <c r="BI58" i="3419" s="1"/>
  <c r="AZ58" i="3419"/>
  <c r="L47" i="3518"/>
  <c r="L48" i="3518"/>
  <c r="L59" i="3518"/>
  <c r="BI56" i="3570"/>
  <c r="BG56" i="3570"/>
  <c r="BL56" i="3570"/>
  <c r="BJ56" i="3570"/>
  <c r="BK56" i="3570"/>
  <c r="BF56" i="3570"/>
  <c r="BM56" i="3570"/>
  <c r="BH56" i="3570"/>
  <c r="B142" i="3528"/>
  <c r="U40" i="3518"/>
  <c r="L45" i="3518"/>
  <c r="U14" i="3518"/>
  <c r="S93" i="3445" a="1"/>
  <c r="S93" i="3445" s="1"/>
  <c r="T93" i="3445" s="1"/>
  <c r="I30" i="3419" a="1"/>
  <c r="I30" i="3419" s="1"/>
  <c r="BD30" i="3419" s="1"/>
  <c r="AZ30" i="3419"/>
  <c r="M30" i="3419" a="1"/>
  <c r="M30" i="3419" s="1"/>
  <c r="BH30" i="3419" s="1"/>
  <c r="L44" i="3419" a="1"/>
  <c r="L44" i="3419" s="1"/>
  <c r="BG44" i="3419" s="1"/>
  <c r="J44" i="3419" a="1"/>
  <c r="J44" i="3419" s="1"/>
  <c r="BE44" i="3419" s="1"/>
  <c r="AZ44" i="3419"/>
  <c r="M55" i="3419" a="1"/>
  <c r="M55" i="3419" s="1"/>
  <c r="BH55" i="3419" s="1"/>
  <c r="AZ55" i="3419"/>
  <c r="K55" i="3419" a="1"/>
  <c r="K55" i="3419" s="1"/>
  <c r="BF55" i="3419" s="1"/>
  <c r="L50" i="3518"/>
  <c r="O99" i="3434"/>
  <c r="R99" i="3434" s="1"/>
  <c r="AN99" i="3434" s="1" a="1"/>
  <c r="AN99" i="3434" s="1"/>
  <c r="AP99" i="3434" s="1"/>
  <c r="AC49" i="3480" s="1"/>
  <c r="N99" i="3434"/>
  <c r="Q99" i="3434" s="1"/>
  <c r="O140" i="3434"/>
  <c r="R140" i="3434" s="1"/>
  <c r="AN140" i="3434" s="1" a="1"/>
  <c r="AN140" i="3434" s="1"/>
  <c r="AP140" i="3434" s="1"/>
  <c r="AC90" i="3480" s="1"/>
  <c r="N140" i="3434"/>
  <c r="Q140" i="3434" s="1"/>
  <c r="C119" i="3528"/>
  <c r="BY10" i="3421" a="1"/>
  <c r="BY10" i="3421" s="1"/>
  <c r="DX10" i="3421" s="1"/>
  <c r="FW10" i="3421" s="1"/>
  <c r="KP10" i="3421"/>
  <c r="JN11" i="3421"/>
  <c r="HO11" i="3421"/>
  <c r="JW11" i="3421"/>
  <c r="HX11" i="3421"/>
  <c r="K44" i="3435"/>
  <c r="K50" i="3435"/>
  <c r="B132" i="3528"/>
  <c r="BK62" i="3570"/>
  <c r="BJ62" i="3570"/>
  <c r="BF62" i="3570"/>
  <c r="BI62" i="3570"/>
  <c r="BH62" i="3570"/>
  <c r="BG62" i="3570"/>
  <c r="L58" i="3518"/>
  <c r="U56" i="3570"/>
  <c r="H56" i="3570"/>
  <c r="J56" i="3570" s="1"/>
  <c r="K56" i="3570" s="1"/>
  <c r="L56" i="3570" s="1"/>
  <c r="C142" i="3528"/>
  <c r="U45" i="3518"/>
  <c r="L62" i="3518"/>
  <c r="AZ22" i="3419"/>
  <c r="L22" i="3419" a="1"/>
  <c r="L22" i="3419" s="1"/>
  <c r="BG22" i="3419" s="1"/>
  <c r="H22" i="3419" a="1"/>
  <c r="H22" i="3419" s="1"/>
  <c r="AZ59" i="3419"/>
  <c r="N59" i="3419" a="1"/>
  <c r="N59" i="3419" s="1"/>
  <c r="BI59" i="3419" s="1"/>
  <c r="G59" i="3419" a="1"/>
  <c r="G59" i="3419" s="1"/>
  <c r="BB59" i="3419" s="1"/>
  <c r="H25" i="3570"/>
  <c r="J25" i="3570" s="1"/>
  <c r="K25" i="3570" s="1"/>
  <c r="L25" i="3570" s="1"/>
  <c r="U25" i="3570"/>
  <c r="U57" i="3518"/>
  <c r="U50" i="3518"/>
  <c r="B145" i="3528"/>
  <c r="O98" i="3434"/>
  <c r="R98" i="3434" s="1"/>
  <c r="AN98" i="3434" s="1" a="1"/>
  <c r="AN98" i="3434" s="1"/>
  <c r="AP98" i="3434" s="1"/>
  <c r="AC48" i="3480" s="1"/>
  <c r="N98" i="3434"/>
  <c r="Q98" i="3434" s="1"/>
  <c r="N129" i="3434"/>
  <c r="Q129" i="3434" s="1"/>
  <c r="O129" i="3434"/>
  <c r="R129" i="3434" s="1"/>
  <c r="AN129" i="3434" s="1" a="1"/>
  <c r="AN129" i="3434" s="1"/>
  <c r="AP129" i="3434" s="1"/>
  <c r="AC79" i="3480" s="1"/>
  <c r="KK10" i="3421"/>
  <c r="KF10" i="3421"/>
  <c r="LB10" i="3421"/>
  <c r="IN11" i="3421"/>
  <c r="KM11" i="3421"/>
  <c r="KI11" i="3421"/>
  <c r="IJ11" i="3421"/>
  <c r="S46" i="3445" a="1"/>
  <c r="S46" i="3445" s="1"/>
  <c r="T46" i="3445" s="1"/>
  <c r="V27" i="3436" a="1"/>
  <c r="V27" i="3436" s="1"/>
  <c r="BM16" i="3570"/>
  <c r="BL16" i="3570"/>
  <c r="BK16" i="3570"/>
  <c r="BH16" i="3570"/>
  <c r="BI16" i="3570"/>
  <c r="BJ16" i="3570"/>
  <c r="BG16" i="3570"/>
  <c r="BF16" i="3570"/>
  <c r="B143" i="3528"/>
  <c r="U26" i="3518"/>
  <c r="C132" i="3528"/>
  <c r="H35" i="3570"/>
  <c r="J35" i="3570" s="1"/>
  <c r="K35" i="3570" s="1"/>
  <c r="L35" i="3570" s="1"/>
  <c r="U35" i="3570"/>
  <c r="BK60" i="3570"/>
  <c r="BI60" i="3570"/>
  <c r="BJ60" i="3570"/>
  <c r="BH60" i="3570"/>
  <c r="BG60" i="3570"/>
  <c r="BF60" i="3570"/>
  <c r="BF44" i="3570"/>
  <c r="BH44" i="3570"/>
  <c r="BG44" i="3570"/>
  <c r="BM44" i="3570"/>
  <c r="BL44" i="3570"/>
  <c r="BK44" i="3570"/>
  <c r="BJ44" i="3570"/>
  <c r="BI44" i="3570"/>
  <c r="H44" i="3570"/>
  <c r="J44" i="3570" s="1"/>
  <c r="K44" i="3570" s="1"/>
  <c r="L44" i="3570" s="1"/>
  <c r="U44" i="3570"/>
  <c r="H28" i="3435"/>
  <c r="J28" i="3435" s="1"/>
  <c r="K28" i="3435" s="1"/>
  <c r="U62" i="3518"/>
  <c r="AZ49" i="3419"/>
  <c r="L49" i="3419" a="1"/>
  <c r="L49" i="3419" s="1"/>
  <c r="BG49" i="3419" s="1"/>
  <c r="K49" i="3419" a="1"/>
  <c r="K49" i="3419" s="1"/>
  <c r="BF49" i="3419" s="1"/>
  <c r="AZ56" i="3419"/>
  <c r="N56" i="3419" a="1"/>
  <c r="N56" i="3419" s="1"/>
  <c r="BI56" i="3419" s="1"/>
  <c r="K56" i="3419" a="1"/>
  <c r="K56" i="3419" s="1"/>
  <c r="BF56" i="3419" s="1"/>
  <c r="L57" i="3518"/>
  <c r="C145" i="3528"/>
  <c r="O104" i="3434"/>
  <c r="R104" i="3434" s="1"/>
  <c r="AN104" i="3434" s="1" a="1"/>
  <c r="AN104" i="3434" s="1"/>
  <c r="AP104" i="3434" s="1"/>
  <c r="AC54" i="3480" s="1"/>
  <c r="N104" i="3434"/>
  <c r="Q104" i="3434" s="1"/>
  <c r="O142" i="3434"/>
  <c r="R142" i="3434" s="1"/>
  <c r="AN142" i="3434" s="1" a="1"/>
  <c r="AN142" i="3434" s="1"/>
  <c r="AP142" i="3434" s="1"/>
  <c r="AC92" i="3480" s="1"/>
  <c r="N142" i="3434"/>
  <c r="Q142" i="3434" s="1"/>
  <c r="CP10" i="3421" a="1"/>
  <c r="CP10" i="3421" s="1"/>
  <c r="EO10" i="3421" s="1"/>
  <c r="GN10" i="3421" s="1"/>
  <c r="KX10" i="3421"/>
  <c r="HP11" i="3421"/>
  <c r="ML11" i="3421"/>
  <c r="JO11" i="3421"/>
  <c r="KU11" i="3421"/>
  <c r="IV11" i="3421"/>
  <c r="C143" i="3528"/>
  <c r="K18" i="3435"/>
  <c r="BG35" i="3570"/>
  <c r="BH35" i="3570"/>
  <c r="BF35" i="3570"/>
  <c r="BL35" i="3570"/>
  <c r="BM35" i="3570"/>
  <c r="BK35" i="3570"/>
  <c r="BJ35" i="3570"/>
  <c r="BI35" i="3570"/>
  <c r="H59" i="3570"/>
  <c r="J59" i="3570" s="1"/>
  <c r="K59" i="3570" s="1"/>
  <c r="L59" i="3570" s="1"/>
  <c r="U59" i="3570"/>
  <c r="BM49" i="3570"/>
  <c r="BK49" i="3570"/>
  <c r="BL49" i="3570"/>
  <c r="BJ49" i="3570"/>
  <c r="BI49" i="3570"/>
  <c r="BH49" i="3570"/>
  <c r="BG49" i="3570"/>
  <c r="BF49" i="3570"/>
  <c r="B122" i="3528"/>
  <c r="C129" i="3523"/>
  <c r="Q129" i="3523" s="1" a="1"/>
  <c r="Q129" i="3523" s="1"/>
  <c r="BQ98" i="3448"/>
  <c r="B140" i="3528"/>
  <c r="V43" i="3436" a="1"/>
  <c r="V43" i="3436" s="1"/>
  <c r="BG43" i="3570"/>
  <c r="BM43" i="3570"/>
  <c r="BL43" i="3570"/>
  <c r="BK43" i="3570"/>
  <c r="BJ43" i="3570"/>
  <c r="BI43" i="3570"/>
  <c r="BH43" i="3570"/>
  <c r="BF43" i="3570"/>
  <c r="H49" i="3570"/>
  <c r="J49" i="3570" s="1"/>
  <c r="K49" i="3570" s="1"/>
  <c r="L49" i="3570" s="1"/>
  <c r="U49" i="3570"/>
  <c r="L16" i="3518"/>
  <c r="C122" i="3528"/>
  <c r="U42" i="3518"/>
  <c r="H41" i="3435"/>
  <c r="J41" i="3435" s="1"/>
  <c r="K41" i="3435" s="1"/>
  <c r="V28" i="3436" a="1"/>
  <c r="V28" i="3436" s="1"/>
  <c r="AZ45" i="3419"/>
  <c r="L45" i="3419" a="1"/>
  <c r="L45" i="3419" s="1"/>
  <c r="BG45" i="3419" s="1"/>
  <c r="F45" i="3419" a="1"/>
  <c r="F45" i="3419" s="1"/>
  <c r="BA45" i="3419" s="1"/>
  <c r="AZ62" i="3419"/>
  <c r="J62" i="3419" a="1"/>
  <c r="J62" i="3419" s="1"/>
  <c r="BE62" i="3419" s="1"/>
  <c r="L62" i="3419" a="1"/>
  <c r="L62" i="3419" s="1"/>
  <c r="BG62" i="3419" s="1"/>
  <c r="BM25" i="3570"/>
  <c r="BL25" i="3570"/>
  <c r="BK25" i="3570"/>
  <c r="BH25" i="3570"/>
  <c r="BJ25" i="3570"/>
  <c r="BI25" i="3570"/>
  <c r="BG25" i="3570"/>
  <c r="BF25" i="3570"/>
  <c r="O110" i="3434"/>
  <c r="R110" i="3434" s="1"/>
  <c r="AN110" i="3434" s="1" a="1"/>
  <c r="AN110" i="3434" s="1"/>
  <c r="AP110" i="3434" s="1"/>
  <c r="AC60" i="3480" s="1"/>
  <c r="N110" i="3434"/>
  <c r="Q110" i="3434" s="1"/>
  <c r="O113" i="3434"/>
  <c r="R113" i="3434" s="1"/>
  <c r="AN113" i="3434" s="1" a="1"/>
  <c r="AN113" i="3434" s="1"/>
  <c r="AP113" i="3434" s="1"/>
  <c r="AC63" i="3480" s="1"/>
  <c r="N113" i="3434"/>
  <c r="Q113" i="3434" s="1"/>
  <c r="CQ10" i="3421" a="1"/>
  <c r="CQ10" i="3421" s="1"/>
  <c r="EP10" i="3421" s="1"/>
  <c r="GO10" i="3421" s="1"/>
  <c r="BQ10" i="3421" a="1"/>
  <c r="BQ10" i="3421" s="1"/>
  <c r="DP10" i="3421" s="1"/>
  <c r="FO10" i="3421" s="1"/>
  <c r="IS11" i="3421"/>
  <c r="KR11" i="3421"/>
  <c r="NO11" i="3421"/>
  <c r="LG11" i="3421"/>
  <c r="JH11" i="3421"/>
  <c r="K19" i="3435"/>
  <c r="C127" i="3528"/>
  <c r="H16" i="3435"/>
  <c r="J16" i="3435" s="1"/>
  <c r="K16" i="3435" s="1"/>
  <c r="T30" i="3576" l="1"/>
  <c r="L42" i="3518"/>
  <c r="V74" i="3436" a="1"/>
  <c r="V74" i="3436" s="1"/>
  <c r="L44" i="3518"/>
  <c r="MU11" i="3421"/>
  <c r="L19" i="3518"/>
  <c r="L51" i="3518"/>
  <c r="L39" i="3518"/>
  <c r="NB11" i="3421"/>
  <c r="U33" i="3576" a="1"/>
  <c r="U33" i="3576" s="1"/>
  <c r="AD33" i="3576" s="1"/>
  <c r="AD34" i="3576" a="1"/>
  <c r="AD34" i="3576" s="1"/>
  <c r="L26" i="3518"/>
  <c r="L24" i="3518"/>
  <c r="R30" i="3576"/>
  <c r="X31" i="3576" s="1"/>
  <c r="C42" i="3576"/>
  <c r="C40" i="3576"/>
  <c r="D39" i="3576" a="1"/>
  <c r="D39" i="3576" s="1"/>
  <c r="F36" i="3576" a="1"/>
  <c r="F36" i="3576" s="1"/>
  <c r="E36" i="3576" a="1"/>
  <c r="E36" i="3576" s="1"/>
  <c r="I36" i="3576" a="1"/>
  <c r="I36" i="3576" s="1"/>
  <c r="H36" i="3576" a="1"/>
  <c r="H36" i="3576" s="1"/>
  <c r="J36" i="3576" a="1"/>
  <c r="J36" i="3576" s="1"/>
  <c r="O36" i="3576" a="1"/>
  <c r="O36" i="3576" s="1"/>
  <c r="L36" i="3576" a="1"/>
  <c r="L36" i="3576" s="1"/>
  <c r="K36" i="3576" a="1"/>
  <c r="K36" i="3576" s="1"/>
  <c r="X36" i="3576" s="1"/>
  <c r="G36" i="3576" a="1"/>
  <c r="G36" i="3576" s="1"/>
  <c r="S33" i="3576" a="1"/>
  <c r="S33" i="3576" s="1"/>
  <c r="M33" i="3576" a="1"/>
  <c r="M33" i="3576" s="1"/>
  <c r="Z33" i="3576" s="1" a="1"/>
  <c r="Z33" i="3576" s="1"/>
  <c r="N33" i="3576" a="1"/>
  <c r="N33" i="3576" s="1"/>
  <c r="P33" i="3576" s="1" a="1"/>
  <c r="P33" i="3576" s="1"/>
  <c r="B33" i="3576"/>
  <c r="Q33" i="3576"/>
  <c r="AB33" i="3576" a="1"/>
  <c r="AB33" i="3576" s="1"/>
  <c r="AE34" i="3576" s="1"/>
  <c r="MK11" i="3421"/>
  <c r="V63" i="3436" a="1"/>
  <c r="V63" i="3436" s="1"/>
  <c r="V36" i="3436" a="1"/>
  <c r="V36" i="3436" s="1"/>
  <c r="NY11" i="3421"/>
  <c r="NN11" i="3421"/>
  <c r="OA11" i="3421"/>
  <c r="NR11" i="3421"/>
  <c r="MT11" i="3421"/>
  <c r="NZ11" i="3421"/>
  <c r="MX11" i="3421"/>
  <c r="NC11" i="3421"/>
  <c r="L21" i="3518"/>
  <c r="NF11" i="3421"/>
  <c r="OF11" i="3421"/>
  <c r="NT11" i="3421"/>
  <c r="MV11" i="3421"/>
  <c r="NJ11" i="3421"/>
  <c r="OG11" i="3421"/>
  <c r="OB11" i="3421"/>
  <c r="NP11" i="3421"/>
  <c r="MW11" i="3421"/>
  <c r="NI11" i="3421"/>
  <c r="L37" i="3518"/>
  <c r="O122" i="3434"/>
  <c r="R122" i="3434" s="1"/>
  <c r="AN122" i="3434" s="1" a="1"/>
  <c r="AN122" i="3434" s="1"/>
  <c r="AP122" i="3434" s="1"/>
  <c r="AC72" i="3480" s="1"/>
  <c r="NL11" i="3421"/>
  <c r="L41" i="3518"/>
  <c r="OC11" i="3421"/>
  <c r="L20" i="3518"/>
  <c r="NA11" i="3421"/>
  <c r="L56" i="3518"/>
  <c r="NS11" i="3421"/>
  <c r="OE11" i="3421"/>
  <c r="MJ11" i="3421"/>
  <c r="IQ10" i="3421"/>
  <c r="OD11" i="3421"/>
  <c r="MO11" i="3421"/>
  <c r="L61" i="3518"/>
  <c r="NH11" i="3421"/>
  <c r="ND11" i="3421"/>
  <c r="L35" i="3518"/>
  <c r="MP11" i="3421"/>
  <c r="NG11" i="3421"/>
  <c r="NE11" i="3421"/>
  <c r="NM11" i="3421"/>
  <c r="L38" i="3518"/>
  <c r="NQ11" i="3421"/>
  <c r="L56" i="3435"/>
  <c r="BY15" i="3564"/>
  <c r="BR16" i="3564"/>
  <c r="II10" i="3421"/>
  <c r="AT13" i="3564"/>
  <c r="AM14" i="3564"/>
  <c r="M16" i="3570"/>
  <c r="O56" i="3570" s="1"/>
  <c r="V34" i="3570"/>
  <c r="AN13" i="3564"/>
  <c r="AG14" i="3564"/>
  <c r="AP13" i="3564"/>
  <c r="AI14" i="3564"/>
  <c r="BD14" i="3564"/>
  <c r="BH13" i="3564"/>
  <c r="X13" i="3564"/>
  <c r="AB12" i="3564"/>
  <c r="IG10" i="3421"/>
  <c r="AO13" i="3564"/>
  <c r="AH14" i="3564"/>
  <c r="BJ13" i="3564"/>
  <c r="BF14" i="3564"/>
  <c r="IH10" i="3421"/>
  <c r="AC13" i="3564"/>
  <c r="Y14" i="3564"/>
  <c r="BV15" i="3564"/>
  <c r="BO16" i="3564"/>
  <c r="AS13" i="3564"/>
  <c r="AL14" i="3564"/>
  <c r="V29" i="3570"/>
  <c r="AJ15" i="3564"/>
  <c r="AQ14" i="3564"/>
  <c r="AR13" i="3564"/>
  <c r="AK14" i="3564"/>
  <c r="BX15" i="3564"/>
  <c r="BQ16" i="3564"/>
  <c r="BU15" i="3564"/>
  <c r="BN16" i="3564"/>
  <c r="BE14" i="3564"/>
  <c r="BI13" i="3564"/>
  <c r="MR11" i="3421"/>
  <c r="Z14" i="3564"/>
  <c r="AD13" i="3564"/>
  <c r="L30" i="3435"/>
  <c r="L39" i="3435"/>
  <c r="L61" i="3435"/>
  <c r="L55" i="3435"/>
  <c r="L41" i="3435"/>
  <c r="L47" i="3435"/>
  <c r="L46" i="3435"/>
  <c r="L21" i="3435"/>
  <c r="L58" i="3435"/>
  <c r="L32" i="3435"/>
  <c r="L28" i="3435"/>
  <c r="L34" i="3435"/>
  <c r="V45" i="3570"/>
  <c r="IT10" i="3421"/>
  <c r="BP17" i="3564"/>
  <c r="BW16" i="3564"/>
  <c r="M51" i="3570"/>
  <c r="L59" i="3435"/>
  <c r="M65" i="3570"/>
  <c r="JB10" i="3421"/>
  <c r="M22" i="3570"/>
  <c r="BG11" i="3570"/>
  <c r="BG12" i="3570" s="1"/>
  <c r="N57" i="3569" s="1" a="1"/>
  <c r="N57" i="3569" s="1"/>
  <c r="V62" i="3570"/>
  <c r="BI15" i="3419"/>
  <c r="BI8" i="3419" s="1"/>
  <c r="N8" i="3419" s="1"/>
  <c r="N9" i="3419"/>
  <c r="U138" i="3434"/>
  <c r="X138" i="3434" s="1"/>
  <c r="V138" i="3434"/>
  <c r="Y138" i="3434" s="1"/>
  <c r="AM138" i="3434" a="1"/>
  <c r="AM138" i="3434" s="1"/>
  <c r="AO138" i="3434" s="1"/>
  <c r="AA88" i="3480" s="1"/>
  <c r="V22" i="3570"/>
  <c r="M45" i="3570"/>
  <c r="L63" i="3435"/>
  <c r="A129" i="3523"/>
  <c r="U105" i="3434"/>
  <c r="X105" i="3434" s="1"/>
  <c r="V105" i="3434"/>
  <c r="Y105" i="3434" s="1"/>
  <c r="AM105" i="3434" a="1"/>
  <c r="AM105" i="3434" s="1"/>
  <c r="AO105" i="3434" s="1"/>
  <c r="AA55" i="3480" s="1"/>
  <c r="V45" i="3436" a="1"/>
  <c r="V45" i="3436" s="1"/>
  <c r="V44" i="3436" a="1"/>
  <c r="V44" i="3436" s="1"/>
  <c r="BF11" i="3570"/>
  <c r="BF12" i="3570" s="1"/>
  <c r="BF8" i="3570"/>
  <c r="JI10" i="3421"/>
  <c r="L16" i="3435"/>
  <c r="L57" i="3435"/>
  <c r="C130" i="3523"/>
  <c r="Q130" i="3523" s="1" a="1"/>
  <c r="Q130" i="3523" s="1"/>
  <c r="BQ99" i="3448"/>
  <c r="V44" i="3570"/>
  <c r="BJ11" i="3570"/>
  <c r="BJ12" i="3570" s="1"/>
  <c r="N48" i="3569" s="1" a="1"/>
  <c r="N48" i="3569" s="1"/>
  <c r="ID10" i="3421"/>
  <c r="L51" i="3435"/>
  <c r="V144" i="3434"/>
  <c r="Y144" i="3434" s="1"/>
  <c r="U144" i="3434"/>
  <c r="X144" i="3434" s="1"/>
  <c r="AM144" i="3434" a="1"/>
  <c r="AM144" i="3434" s="1"/>
  <c r="AO144" i="3434" s="1"/>
  <c r="AA94" i="3480" s="1"/>
  <c r="B131" i="3523"/>
  <c r="BP100" i="3448"/>
  <c r="L62" i="3435"/>
  <c r="L25" i="3435"/>
  <c r="L23" i="3435"/>
  <c r="V50" i="3436" a="1"/>
  <c r="V50" i="3436" s="1"/>
  <c r="L27" i="3435"/>
  <c r="CA17" i="3564"/>
  <c r="BT18" i="3564"/>
  <c r="IO10" i="3421"/>
  <c r="BB15" i="3419"/>
  <c r="BB8" i="3419" s="1"/>
  <c r="G8" i="3419" s="1"/>
  <c r="G9" i="3419"/>
  <c r="L130" i="3523" a="1"/>
  <c r="L130" i="3523" s="1"/>
  <c r="U103" i="3434"/>
  <c r="X103" i="3434" s="1"/>
  <c r="V103" i="3434"/>
  <c r="Y103" i="3434" s="1"/>
  <c r="AM103" i="3434" a="1"/>
  <c r="AM103" i="3434" s="1"/>
  <c r="AO103" i="3434" s="1"/>
  <c r="AA53" i="3480" s="1"/>
  <c r="L36" i="3435"/>
  <c r="M30" i="3570"/>
  <c r="V50" i="3570"/>
  <c r="HT10" i="3421"/>
  <c r="V110" i="3434"/>
  <c r="Y110" i="3434" s="1"/>
  <c r="U110" i="3434"/>
  <c r="X110" i="3434" s="1"/>
  <c r="AM110" i="3434" a="1"/>
  <c r="AM110" i="3434" s="1"/>
  <c r="AO110" i="3434" s="1"/>
  <c r="AA60" i="3480" s="1"/>
  <c r="BA13" i="3419"/>
  <c r="BA8" i="3419" s="1"/>
  <c r="F8" i="3419" s="1"/>
  <c r="F9" i="3419"/>
  <c r="V56" i="3570"/>
  <c r="M63" i="3570"/>
  <c r="BI11" i="3570"/>
  <c r="BI12" i="3570" s="1"/>
  <c r="N51" i="3569" s="1" a="1"/>
  <c r="N51" i="3569" s="1"/>
  <c r="V139" i="3434"/>
  <c r="Y139" i="3434" s="1"/>
  <c r="U139" i="3434"/>
  <c r="X139" i="3434" s="1"/>
  <c r="AM139" i="3434" a="1"/>
  <c r="AM139" i="3434" s="1"/>
  <c r="AO139" i="3434" s="1"/>
  <c r="AA89" i="3480" s="1"/>
  <c r="BH11" i="3570"/>
  <c r="BH12" i="3570" s="1"/>
  <c r="N54" i="3569" s="1" a="1"/>
  <c r="N54" i="3569" s="1"/>
  <c r="V98" i="3434"/>
  <c r="Y98" i="3434" s="1"/>
  <c r="U98" i="3434"/>
  <c r="X98" i="3434" s="1"/>
  <c r="AM98" i="3434" a="1"/>
  <c r="AM98" i="3434" s="1"/>
  <c r="AO98" i="3434" s="1"/>
  <c r="AA48" i="3480" s="1"/>
  <c r="V21" i="3570"/>
  <c r="JG10" i="3421"/>
  <c r="KO10" i="3421"/>
  <c r="IP10" i="3421"/>
  <c r="E131" i="3523"/>
  <c r="AA131" i="3523" s="1" a="1"/>
  <c r="AA131" i="3523" s="1"/>
  <c r="BS100" i="3448"/>
  <c r="V106" i="3434"/>
  <c r="Y106" i="3434" s="1"/>
  <c r="U106" i="3434"/>
  <c r="X106" i="3434" s="1"/>
  <c r="AM106" i="3434" a="1"/>
  <c r="AM106" i="3434" s="1"/>
  <c r="AO106" i="3434" s="1"/>
  <c r="AA56" i="3480" s="1"/>
  <c r="MN11" i="3421"/>
  <c r="V30" i="3570"/>
  <c r="M50" i="3570"/>
  <c r="V136" i="3434"/>
  <c r="Y136" i="3434" s="1"/>
  <c r="U136" i="3434"/>
  <c r="X136" i="3434" s="1"/>
  <c r="AM136" i="3434" a="1"/>
  <c r="AM136" i="3434" s="1"/>
  <c r="AO136" i="3434" s="1"/>
  <c r="AA86" i="3480" s="1"/>
  <c r="IZ10" i="3421"/>
  <c r="M62" i="3570"/>
  <c r="U99" i="3434"/>
  <c r="X99" i="3434" s="1"/>
  <c r="V99" i="3434"/>
  <c r="Y99" i="3434" s="1"/>
  <c r="AM99" i="3434" a="1"/>
  <c r="AM99" i="3434" s="1"/>
  <c r="AO99" i="3434" s="1"/>
  <c r="AA49" i="3480" s="1"/>
  <c r="M21" i="3570"/>
  <c r="IB10" i="3421"/>
  <c r="L43" i="3435"/>
  <c r="V54" i="3436" a="1"/>
  <c r="V54" i="3436" s="1"/>
  <c r="M35" i="3570"/>
  <c r="AZ8" i="3419"/>
  <c r="E8" i="3419" s="1"/>
  <c r="L19" i="3435"/>
  <c r="JF10" i="3421"/>
  <c r="M54" i="3570"/>
  <c r="MZ11" i="3421"/>
  <c r="M57" i="3570"/>
  <c r="V48" i="3570"/>
  <c r="LI10" i="3421"/>
  <c r="JJ10" i="3421"/>
  <c r="U108" i="3434"/>
  <c r="X108" i="3434" s="1"/>
  <c r="V108" i="3434"/>
  <c r="Y108" i="3434" s="1"/>
  <c r="AM108" i="3434" a="1"/>
  <c r="AM108" i="3434" s="1"/>
  <c r="AO108" i="3434" s="1"/>
  <c r="AA58" i="3480" s="1"/>
  <c r="M53" i="3570"/>
  <c r="U100" i="3434"/>
  <c r="X100" i="3434" s="1"/>
  <c r="V100" i="3434"/>
  <c r="Y100" i="3434" s="1"/>
  <c r="AM100" i="3434" a="1"/>
  <c r="AM100" i="3434" s="1"/>
  <c r="AO100" i="3434" s="1"/>
  <c r="AA50" i="3480" s="1"/>
  <c r="IL10" i="3421"/>
  <c r="V130" i="3434"/>
  <c r="Y130" i="3434" s="1"/>
  <c r="U130" i="3434"/>
  <c r="X130" i="3434" s="1"/>
  <c r="AM130" i="3434" a="1"/>
  <c r="AM130" i="3434" s="1"/>
  <c r="AO130" i="3434" s="1"/>
  <c r="AA80" i="3480" s="1"/>
  <c r="JA10" i="3421"/>
  <c r="N60" i="3518"/>
  <c r="N40" i="3518"/>
  <c r="N32" i="3518"/>
  <c r="N28" i="3518"/>
  <c r="N41" i="3518"/>
  <c r="N53" i="3518"/>
  <c r="N17" i="3518"/>
  <c r="HZ10" i="3421"/>
  <c r="BL11" i="3570"/>
  <c r="BL12" i="3570" s="1"/>
  <c r="N44" i="3569" s="1" a="1"/>
  <c r="N44" i="3569" s="1"/>
  <c r="BM11" i="3570"/>
  <c r="BM12" i="3570" s="1"/>
  <c r="V109" i="3434"/>
  <c r="Y109" i="3434" s="1"/>
  <c r="U109" i="3434"/>
  <c r="X109" i="3434" s="1"/>
  <c r="AM109" i="3434" a="1"/>
  <c r="AM109" i="3434" s="1"/>
  <c r="AO109" i="3434" s="1"/>
  <c r="AA59" i="3480" s="1"/>
  <c r="AC101" i="3448"/>
  <c r="Y102" i="3448"/>
  <c r="V54" i="3570"/>
  <c r="M18" i="3570"/>
  <c r="NX11" i="3421"/>
  <c r="V57" i="3570"/>
  <c r="NU11" i="3421"/>
  <c r="M48" i="3570"/>
  <c r="U132" i="3434"/>
  <c r="X132" i="3434" s="1"/>
  <c r="V132" i="3434"/>
  <c r="Y132" i="3434" s="1"/>
  <c r="AM132" i="3434" a="1"/>
  <c r="AM132" i="3434" s="1"/>
  <c r="AO132" i="3434" s="1"/>
  <c r="AA82" i="3480" s="1"/>
  <c r="M46" i="3570"/>
  <c r="IK10" i="3421"/>
  <c r="LD10" i="3421"/>
  <c r="JE10" i="3421"/>
  <c r="V55" i="3570"/>
  <c r="V131" i="3434"/>
  <c r="Y131" i="3434" s="1"/>
  <c r="U131" i="3434"/>
  <c r="X131" i="3434" s="1"/>
  <c r="AM131" i="3434" a="1"/>
  <c r="AM131" i="3434" s="1"/>
  <c r="AO131" i="3434" s="1"/>
  <c r="AA81" i="3480" s="1"/>
  <c r="M26" i="3570"/>
  <c r="L29" i="3435"/>
  <c r="V18" i="3570"/>
  <c r="F130" i="3523"/>
  <c r="AF130" i="3523" s="1" a="1"/>
  <c r="AF130" i="3523" s="1"/>
  <c r="BT99" i="3448"/>
  <c r="L48" i="3435"/>
  <c r="V23" i="3570"/>
  <c r="V46" i="3570"/>
  <c r="MM11" i="3421"/>
  <c r="L18" i="3435"/>
  <c r="BK11" i="3570"/>
  <c r="BK12" i="3570" s="1"/>
  <c r="N45" i="3569" s="1" a="1"/>
  <c r="N45" i="3569" s="1"/>
  <c r="M32" i="3570"/>
  <c r="L50" i="3435"/>
  <c r="V32" i="3570"/>
  <c r="M55" i="3570"/>
  <c r="V26" i="3570"/>
  <c r="U118" i="3434"/>
  <c r="X118" i="3434" s="1"/>
  <c r="V118" i="3434"/>
  <c r="Y118" i="3434" s="1"/>
  <c r="AM118" i="3434" a="1"/>
  <c r="AM118" i="3434" s="1"/>
  <c r="AO118" i="3434" s="1"/>
  <c r="AA68" i="3480" s="1"/>
  <c r="NV11" i="3421"/>
  <c r="M23" i="3570"/>
  <c r="U115" i="3434"/>
  <c r="X115" i="3434" s="1"/>
  <c r="V115" i="3434"/>
  <c r="Y115" i="3434" s="1"/>
  <c r="AM115" i="3434" a="1"/>
  <c r="AM115" i="3434" s="1"/>
  <c r="AO115" i="3434" s="1"/>
  <c r="AA65" i="3480" s="1"/>
  <c r="M28" i="3570"/>
  <c r="V43" i="3570"/>
  <c r="X100" i="3448"/>
  <c r="AB99" i="3448"/>
  <c r="L64" i="3435"/>
  <c r="V140" i="3434"/>
  <c r="Y140" i="3434" s="1"/>
  <c r="U140" i="3434"/>
  <c r="X140" i="3434" s="1"/>
  <c r="AM140" i="3434" a="1"/>
  <c r="AM140" i="3434" s="1"/>
  <c r="AO140" i="3434" s="1"/>
  <c r="AA90" i="3480" s="1"/>
  <c r="M44" i="3570"/>
  <c r="U129" i="3434"/>
  <c r="X129" i="3434" s="1"/>
  <c r="V129" i="3434"/>
  <c r="Y129" i="3434" s="1"/>
  <c r="AM129" i="3434" a="1"/>
  <c r="AM129" i="3434" s="1"/>
  <c r="AO129" i="3434" s="1"/>
  <c r="AA79" i="3480" s="1"/>
  <c r="V133" i="3434"/>
  <c r="Y133" i="3434" s="1"/>
  <c r="U133" i="3434"/>
  <c r="X133" i="3434" s="1"/>
  <c r="AM133" i="3434" a="1"/>
  <c r="AM133" i="3434" s="1"/>
  <c r="AO133" i="3434" s="1"/>
  <c r="AA83" i="3480" s="1"/>
  <c r="IY10" i="3421"/>
  <c r="L44" i="3435"/>
  <c r="M33" i="3570"/>
  <c r="U102" i="3434"/>
  <c r="X102" i="3434" s="1"/>
  <c r="V102" i="3434"/>
  <c r="Y102" i="3434" s="1"/>
  <c r="AM102" i="3434" a="1"/>
  <c r="AM102" i="3434" s="1"/>
  <c r="AO102" i="3434" s="1"/>
  <c r="AA52" i="3480" s="1"/>
  <c r="V97" i="3434"/>
  <c r="Y97" i="3434" s="1"/>
  <c r="U97" i="3434"/>
  <c r="X97" i="3434" s="1"/>
  <c r="AM97" i="3434" a="1"/>
  <c r="AM97" i="3434" s="1"/>
  <c r="AO97" i="3434" s="1"/>
  <c r="AA47" i="3480" s="1"/>
  <c r="U114" i="3434"/>
  <c r="X114" i="3434" s="1"/>
  <c r="V114" i="3434"/>
  <c r="Y114" i="3434" s="1"/>
  <c r="AM114" i="3434" a="1"/>
  <c r="AM114" i="3434" s="1"/>
  <c r="AO114" i="3434" s="1"/>
  <c r="AA64" i="3480" s="1"/>
  <c r="KB10" i="3421"/>
  <c r="IC10" i="3421"/>
  <c r="V61" i="3570"/>
  <c r="V64" i="3570"/>
  <c r="V119" i="3434"/>
  <c r="Y119" i="3434" s="1"/>
  <c r="U119" i="3434"/>
  <c r="X119" i="3434" s="1"/>
  <c r="AM119" i="3434" a="1"/>
  <c r="AM119" i="3434" s="1"/>
  <c r="AO119" i="3434" s="1"/>
  <c r="AA69" i="3480" s="1"/>
  <c r="IR10" i="3421"/>
  <c r="V28" i="3570"/>
  <c r="M43" i="3570"/>
  <c r="V121" i="3434"/>
  <c r="Y121" i="3434" s="1"/>
  <c r="U121" i="3434"/>
  <c r="X121" i="3434" s="1"/>
  <c r="AM121" i="3434" a="1"/>
  <c r="AM121" i="3434" s="1"/>
  <c r="AO121" i="3434" s="1"/>
  <c r="AA71" i="3480" s="1"/>
  <c r="L24" i="3435"/>
  <c r="HQ10" i="3421"/>
  <c r="JP10" i="3421"/>
  <c r="KL10" i="3421"/>
  <c r="IM10" i="3421"/>
  <c r="V25" i="3570"/>
  <c r="V134" i="3434"/>
  <c r="Y134" i="3434" s="1"/>
  <c r="U134" i="3434"/>
  <c r="X134" i="3434" s="1"/>
  <c r="AM134" i="3434" a="1"/>
  <c r="AM134" i="3434" s="1"/>
  <c r="AO134" i="3434" s="1"/>
  <c r="AA84" i="3480" s="1"/>
  <c r="V33" i="3570"/>
  <c r="Q95" i="3434"/>
  <c r="BF16" i="3419"/>
  <c r="BF8" i="3419" s="1"/>
  <c r="K8" i="3419" s="1"/>
  <c r="K9" i="3419"/>
  <c r="U128" i="3434"/>
  <c r="X128" i="3434" s="1"/>
  <c r="V128" i="3434"/>
  <c r="Y128" i="3434" s="1"/>
  <c r="AM128" i="3434" a="1"/>
  <c r="AM128" i="3434" s="1"/>
  <c r="AO128" i="3434" s="1"/>
  <c r="AA78" i="3480" s="1"/>
  <c r="V60" i="3570"/>
  <c r="IX10" i="3421"/>
  <c r="KW10" i="3421"/>
  <c r="M61" i="3570"/>
  <c r="U116" i="3434"/>
  <c r="X116" i="3434" s="1"/>
  <c r="V116" i="3434"/>
  <c r="Y116" i="3434" s="1"/>
  <c r="AM116" i="3434" a="1"/>
  <c r="AM116" i="3434" s="1"/>
  <c r="AO116" i="3434" s="1"/>
  <c r="AA66" i="3480" s="1"/>
  <c r="M64" i="3570"/>
  <c r="U123" i="3434"/>
  <c r="X123" i="3434" s="1"/>
  <c r="V123" i="3434"/>
  <c r="Y123" i="3434" s="1"/>
  <c r="AM123" i="3434" a="1"/>
  <c r="AM123" i="3434" s="1"/>
  <c r="AO123" i="3434" s="1"/>
  <c r="AA73" i="3480" s="1"/>
  <c r="JD10" i="3421"/>
  <c r="KU10" i="3421"/>
  <c r="IV10" i="3421"/>
  <c r="KI10" i="3421"/>
  <c r="IJ10" i="3421"/>
  <c r="D131" i="3523"/>
  <c r="V131" i="3523" s="1" a="1"/>
  <c r="V131" i="3523" s="1"/>
  <c r="BR100" i="3448"/>
  <c r="NW11" i="3421"/>
  <c r="V52" i="3570"/>
  <c r="V142" i="3434"/>
  <c r="Y142" i="3434" s="1"/>
  <c r="U142" i="3434"/>
  <c r="X142" i="3434" s="1"/>
  <c r="AM142" i="3434" a="1"/>
  <c r="AM142" i="3434" s="1"/>
  <c r="AO142" i="3434" s="1"/>
  <c r="AA92" i="3480" s="1"/>
  <c r="M25" i="3570"/>
  <c r="M60" i="3570"/>
  <c r="HR10" i="3421"/>
  <c r="V36" i="3570"/>
  <c r="V27" i="3570"/>
  <c r="JM10" i="3421"/>
  <c r="HN10" i="3421"/>
  <c r="LU10" i="3421" a="1"/>
  <c r="LU10" i="3421" s="1"/>
  <c r="MF10" i="3421" s="1"/>
  <c r="LP10" i="3421" a="1"/>
  <c r="LP10" i="3421" s="1"/>
  <c r="MA10" i="3421" s="1"/>
  <c r="LL10" i="3421" a="1"/>
  <c r="LL10" i="3421" s="1"/>
  <c r="LQ10" i="3421" a="1"/>
  <c r="LQ10" i="3421" s="1"/>
  <c r="MB10" i="3421" s="1"/>
  <c r="LO10" i="3421" a="1"/>
  <c r="LO10" i="3421" s="1"/>
  <c r="LZ10" i="3421" s="1"/>
  <c r="LR10" i="3421" a="1"/>
  <c r="LR10" i="3421" s="1"/>
  <c r="MC10" i="3421" s="1"/>
  <c r="LN10" i="3421" a="1"/>
  <c r="LN10" i="3421" s="1"/>
  <c r="LY10" i="3421" s="1"/>
  <c r="LM10" i="3421" a="1"/>
  <c r="LM10" i="3421" s="1"/>
  <c r="LX10" i="3421" s="1"/>
  <c r="MH10" i="3421"/>
  <c r="LS10" i="3421" a="1"/>
  <c r="LS10" i="3421" s="1"/>
  <c r="MD10" i="3421" s="1"/>
  <c r="LT10" i="3421" a="1"/>
  <c r="LT10" i="3421" s="1"/>
  <c r="ME10" i="3421" s="1"/>
  <c r="V59" i="3570"/>
  <c r="M36" i="3570"/>
  <c r="M27" i="3570"/>
  <c r="V47" i="3570"/>
  <c r="IU10" i="3421"/>
  <c r="KT10" i="3421"/>
  <c r="M42" i="3570"/>
  <c r="V40" i="3570"/>
  <c r="L35" i="3435"/>
  <c r="M52" i="3570"/>
  <c r="V122" i="3434"/>
  <c r="Y122" i="3434" s="1"/>
  <c r="AM122" i="3434" a="1"/>
  <c r="AM122" i="3434" s="1"/>
  <c r="AO122" i="3434" s="1"/>
  <c r="AA72" i="3480" s="1"/>
  <c r="MQ11" i="3421"/>
  <c r="IN10" i="3421"/>
  <c r="KM10" i="3421"/>
  <c r="V49" i="3570"/>
  <c r="L52" i="3435"/>
  <c r="L45" i="3435"/>
  <c r="IA10" i="3421"/>
  <c r="M47" i="3570"/>
  <c r="V37" i="3570"/>
  <c r="V42" i="3570"/>
  <c r="JT10" i="3421"/>
  <c r="HU10" i="3421"/>
  <c r="IS10" i="3421"/>
  <c r="M40" i="3570"/>
  <c r="L33" i="3435"/>
  <c r="M59" i="3570"/>
  <c r="U104" i="3434"/>
  <c r="X104" i="3434" s="1"/>
  <c r="V104" i="3434"/>
  <c r="Y104" i="3434" s="1"/>
  <c r="AM104" i="3434" a="1"/>
  <c r="AM104" i="3434" s="1"/>
  <c r="AO104" i="3434" s="1"/>
  <c r="AA54" i="3480" s="1"/>
  <c r="V125" i="3434"/>
  <c r="Y125" i="3434" s="1"/>
  <c r="U125" i="3434"/>
  <c r="X125" i="3434" s="1"/>
  <c r="AM125" i="3434" a="1"/>
  <c r="AM125" i="3434" s="1"/>
  <c r="AO125" i="3434" s="1"/>
  <c r="AA75" i="3480" s="1"/>
  <c r="L20" i="3435"/>
  <c r="U143" i="3434"/>
  <c r="X143" i="3434" s="1"/>
  <c r="V143" i="3434"/>
  <c r="Y143" i="3434" s="1"/>
  <c r="AM143" i="3434" a="1"/>
  <c r="AM143" i="3434" s="1"/>
  <c r="AO143" i="3434" s="1"/>
  <c r="AA93" i="3480" s="1"/>
  <c r="V31" i="3570"/>
  <c r="V113" i="3434"/>
  <c r="Y113" i="3434" s="1"/>
  <c r="U113" i="3434"/>
  <c r="X113" i="3434" s="1"/>
  <c r="AM113" i="3434" a="1"/>
  <c r="AM113" i="3434" s="1"/>
  <c r="AO113" i="3434" s="1"/>
  <c r="AA63" i="3480" s="1"/>
  <c r="M49" i="3570"/>
  <c r="L42" i="3435"/>
  <c r="BD19" i="3419"/>
  <c r="BD8" i="3419" s="1"/>
  <c r="I8" i="3419" s="1"/>
  <c r="I9" i="3419"/>
  <c r="U96" i="3434"/>
  <c r="X96" i="3434" s="1"/>
  <c r="V96" i="3434"/>
  <c r="Y96" i="3434" s="1"/>
  <c r="AM96" i="3434" a="1"/>
  <c r="AM96" i="3434" s="1"/>
  <c r="AO96" i="3434" s="1"/>
  <c r="AA46" i="3480" s="1"/>
  <c r="Z99" i="3448"/>
  <c r="AD98" i="3448"/>
  <c r="M31" i="3570"/>
  <c r="HW10" i="3421"/>
  <c r="V39" i="3570"/>
  <c r="M37" i="3570"/>
  <c r="V58" i="3570"/>
  <c r="MS11" i="3421"/>
  <c r="JK10" i="3421"/>
  <c r="AS15" i="3435" a="1"/>
  <c r="AS15" i="3435" s="1"/>
  <c r="AK16" i="3435"/>
  <c r="BC22" i="3419"/>
  <c r="BC8" i="3419" s="1"/>
  <c r="H8" i="3419" s="1"/>
  <c r="H9" i="3419"/>
  <c r="V16" i="3570"/>
  <c r="L17" i="3435"/>
  <c r="M29" i="3570"/>
  <c r="V124" i="3434"/>
  <c r="Y124" i="3434" s="1"/>
  <c r="U124" i="3434"/>
  <c r="X124" i="3434" s="1"/>
  <c r="AM124" i="3434" a="1"/>
  <c r="AM124" i="3434" s="1"/>
  <c r="AO124" i="3434" s="1"/>
  <c r="AA74" i="3480" s="1"/>
  <c r="M34" i="3570"/>
  <c r="V61" i="3518"/>
  <c r="V59" i="3518"/>
  <c r="V57" i="3518"/>
  <c r="V55" i="3518"/>
  <c r="V53" i="3518"/>
  <c r="V51" i="3518"/>
  <c r="V49" i="3518"/>
  <c r="V47" i="3518"/>
  <c r="V45" i="3518"/>
  <c r="V43" i="3518"/>
  <c r="V36" i="3518"/>
  <c r="V24" i="3518"/>
  <c r="V48" i="3518"/>
  <c r="V38" i="3518"/>
  <c r="V26" i="3518"/>
  <c r="V16" i="3518"/>
  <c r="V14" i="3518"/>
  <c r="V60" i="3518"/>
  <c r="V52" i="3518"/>
  <c r="V37" i="3518"/>
  <c r="V25" i="3518"/>
  <c r="V41" i="3518"/>
  <c r="V29" i="3518"/>
  <c r="V44" i="3518"/>
  <c r="V17" i="3518"/>
  <c r="V15" i="3518"/>
  <c r="V13" i="3518"/>
  <c r="V56" i="3518"/>
  <c r="V21" i="3518"/>
  <c r="V23" i="3518"/>
  <c r="V40" i="3518"/>
  <c r="V34" i="3518"/>
  <c r="V32" i="3518"/>
  <c r="V19" i="3518"/>
  <c r="V42" i="3518"/>
  <c r="V30" i="3518"/>
  <c r="V28" i="3518"/>
  <c r="V62" i="3518"/>
  <c r="V58" i="3518"/>
  <c r="V54" i="3518"/>
  <c r="V33" i="3518"/>
  <c r="V39" i="3518"/>
  <c r="V35" i="3518"/>
  <c r="V50" i="3518"/>
  <c r="V22" i="3518"/>
  <c r="V20" i="3518"/>
  <c r="V46" i="3518"/>
  <c r="V18" i="3518"/>
  <c r="V27" i="3518"/>
  <c r="V31" i="3518"/>
  <c r="L38" i="3435"/>
  <c r="M38" i="3570"/>
  <c r="M39" i="3570"/>
  <c r="CG100" i="3448"/>
  <c r="BZ101" i="3448"/>
  <c r="M17" i="3570"/>
  <c r="M58" i="3570"/>
  <c r="V141" i="3434"/>
  <c r="Y141" i="3434" s="1"/>
  <c r="U141" i="3434"/>
  <c r="X141" i="3434" s="1"/>
  <c r="AM141" i="3434" a="1"/>
  <c r="AM141" i="3434" s="1"/>
  <c r="AO141" i="3434" s="1"/>
  <c r="AA91" i="3480" s="1"/>
  <c r="KE10" i="3421"/>
  <c r="IF10" i="3421"/>
  <c r="V20" i="3570"/>
  <c r="AU15" i="3435" a="1"/>
  <c r="AU15" i="3435" s="1"/>
  <c r="AM16" i="3435"/>
  <c r="V38" i="3570"/>
  <c r="BS18" i="3564"/>
  <c r="BZ17" i="3564"/>
  <c r="V17" i="3570"/>
  <c r="M20" i="3570"/>
  <c r="AV15" i="3435" a="1"/>
  <c r="AV15" i="3435" s="1"/>
  <c r="AN16" i="3435"/>
  <c r="V35" i="3570"/>
  <c r="JC10" i="3421"/>
  <c r="L40" i="3435"/>
  <c r="L22" i="3435"/>
  <c r="V112" i="3434"/>
  <c r="Y112" i="3434" s="1"/>
  <c r="U112" i="3434"/>
  <c r="X112" i="3434" s="1"/>
  <c r="AM112" i="3434" a="1"/>
  <c r="AM112" i="3434" s="1"/>
  <c r="AO112" i="3434" s="1"/>
  <c r="AA62" i="3480" s="1"/>
  <c r="L9" i="3419"/>
  <c r="BG13" i="3419"/>
  <c r="BG8" i="3419" s="1"/>
  <c r="L8" i="3419" s="1"/>
  <c r="V135" i="3434"/>
  <c r="Y135" i="3434" s="1"/>
  <c r="U135" i="3434"/>
  <c r="X135" i="3434" s="1"/>
  <c r="AM135" i="3434" a="1"/>
  <c r="AM135" i="3434" s="1"/>
  <c r="AO135" i="3434" s="1"/>
  <c r="AA85" i="3480" s="1"/>
  <c r="U111" i="3434"/>
  <c r="X111" i="3434" s="1"/>
  <c r="V111" i="3434"/>
  <c r="Y111" i="3434" s="1"/>
  <c r="AM111" i="3434" a="1"/>
  <c r="AM111" i="3434" s="1"/>
  <c r="AO111" i="3434" s="1"/>
  <c r="AA61" i="3480" s="1"/>
  <c r="U101" i="3434"/>
  <c r="X101" i="3434" s="1"/>
  <c r="V101" i="3434"/>
  <c r="Y101" i="3434" s="1"/>
  <c r="AM101" i="3434" a="1"/>
  <c r="AM101" i="3434" s="1"/>
  <c r="AO101" i="3434" s="1"/>
  <c r="AA51" i="3480" s="1"/>
  <c r="AO16" i="3435"/>
  <c r="AW15" i="3435" a="1"/>
  <c r="AW15" i="3435" s="1"/>
  <c r="V51" i="3570"/>
  <c r="JH10" i="3421"/>
  <c r="V137" i="3434"/>
  <c r="Y137" i="3434" s="1"/>
  <c r="U137" i="3434"/>
  <c r="X137" i="3434" s="1"/>
  <c r="AM137" i="3434" a="1"/>
  <c r="AM137" i="3434" s="1"/>
  <c r="AO137" i="3434" s="1"/>
  <c r="AA87" i="3480" s="1"/>
  <c r="M41" i="3570"/>
  <c r="HX10" i="3421"/>
  <c r="HP10" i="3421"/>
  <c r="L53" i="3435"/>
  <c r="BH17" i="3419"/>
  <c r="BH8" i="3419" s="1"/>
  <c r="M8" i="3419" s="1"/>
  <c r="M9" i="3419"/>
  <c r="M19" i="3570"/>
  <c r="U117" i="3434"/>
  <c r="X117" i="3434" s="1"/>
  <c r="V117" i="3434"/>
  <c r="Y117" i="3434" s="1"/>
  <c r="AM117" i="3434" a="1"/>
  <c r="AM117" i="3434" s="1"/>
  <c r="AO117" i="3434" s="1"/>
  <c r="AA67" i="3480" s="1"/>
  <c r="AP16" i="3435"/>
  <c r="AX15" i="3435" a="1"/>
  <c r="AX15" i="3435" s="1"/>
  <c r="L15" i="3435"/>
  <c r="U127" i="3434"/>
  <c r="X127" i="3434" s="1"/>
  <c r="V127" i="3434"/>
  <c r="Y127" i="3434" s="1"/>
  <c r="AM127" i="3434" a="1"/>
  <c r="AM127" i="3434" s="1"/>
  <c r="AO127" i="3434" s="1"/>
  <c r="AA77" i="3480" s="1"/>
  <c r="NK11" i="3421"/>
  <c r="BE17" i="3419"/>
  <c r="BE8" i="3419" s="1"/>
  <c r="J8" i="3419" s="1"/>
  <c r="J9" i="3419"/>
  <c r="V19" i="3570"/>
  <c r="AT15" i="3435" a="1"/>
  <c r="AT15" i="3435" s="1"/>
  <c r="AL16" i="3435"/>
  <c r="M24" i="3570"/>
  <c r="V41" i="3570"/>
  <c r="V120" i="3434"/>
  <c r="Y120" i="3434" s="1"/>
  <c r="U120" i="3434"/>
  <c r="X120" i="3434" s="1"/>
  <c r="AM120" i="3434" a="1"/>
  <c r="AM120" i="3434" s="1"/>
  <c r="AO120" i="3434" s="1"/>
  <c r="AA70" i="3480" s="1"/>
  <c r="L26" i="3435"/>
  <c r="U126" i="3434"/>
  <c r="X126" i="3434" s="1"/>
  <c r="V126" i="3434"/>
  <c r="Y126" i="3434" s="1"/>
  <c r="AM126" i="3434" a="1"/>
  <c r="AM126" i="3434" s="1"/>
  <c r="AO126" i="3434" s="1"/>
  <c r="AA76" i="3480" s="1"/>
  <c r="JX10" i="3421"/>
  <c r="HY10" i="3421"/>
  <c r="V53" i="3570"/>
  <c r="IW10" i="3421"/>
  <c r="V24" i="3570"/>
  <c r="L37" i="3435"/>
  <c r="AQ16" i="3435"/>
  <c r="AY15" i="3435" a="1"/>
  <c r="AY15" i="3435" s="1"/>
  <c r="JU10" i="3421"/>
  <c r="HV10" i="3421"/>
  <c r="L31" i="3435"/>
  <c r="M56" i="3570"/>
  <c r="HO10" i="3421"/>
  <c r="KD10" i="3421"/>
  <c r="IE10" i="3421"/>
  <c r="HS10" i="3421"/>
  <c r="L54" i="3435"/>
  <c r="V63" i="3570"/>
  <c r="L60" i="3435"/>
  <c r="L49" i="3435"/>
  <c r="V107" i="3434"/>
  <c r="Y107" i="3434" s="1"/>
  <c r="U107" i="3434"/>
  <c r="X107" i="3434" s="1"/>
  <c r="AM107" i="3434" a="1"/>
  <c r="AM107" i="3434" s="1"/>
  <c r="AO107" i="3434" s="1"/>
  <c r="AA57" i="3480" s="1"/>
  <c r="V65" i="3570"/>
  <c r="MY11" i="3421"/>
  <c r="N37" i="3518" l="1"/>
  <c r="N38" i="3518"/>
  <c r="N27" i="3518"/>
  <c r="N45" i="3518"/>
  <c r="U122" i="3434"/>
  <c r="X122" i="3434" s="1"/>
  <c r="N43" i="3518"/>
  <c r="P43" i="3518" s="1" a="1"/>
  <c r="P43" i="3518" s="1"/>
  <c r="B87" i="3434"/>
  <c r="B85" i="3434"/>
  <c r="B86" i="3434"/>
  <c r="MU10" i="3421"/>
  <c r="U36" i="3576" a="1"/>
  <c r="U36" i="3576" s="1"/>
  <c r="AD36" i="3576" s="1"/>
  <c r="AD37" i="3576" a="1"/>
  <c r="AD37" i="3576" s="1"/>
  <c r="N39" i="3518"/>
  <c r="P39" i="3518" s="1" a="1"/>
  <c r="P39" i="3518" s="1"/>
  <c r="N25" i="3518"/>
  <c r="N59" i="3518"/>
  <c r="O59" i="3518" s="1" a="1"/>
  <c r="O59" i="3518" s="1"/>
  <c r="N51" i="3518"/>
  <c r="N18" i="3518"/>
  <c r="Q18" i="3518" s="1" a="1"/>
  <c r="Q18" i="3518" s="1"/>
  <c r="N62" i="3518"/>
  <c r="P62" i="3518" s="1" a="1"/>
  <c r="P62" i="3518" s="1"/>
  <c r="R33" i="3576"/>
  <c r="X34" i="3576" s="1"/>
  <c r="T33" i="3576"/>
  <c r="N33" i="3518"/>
  <c r="Q33" i="3518" s="1" a="1"/>
  <c r="Q33" i="3518" s="1"/>
  <c r="N15" i="3518"/>
  <c r="P15" i="3518" s="1" a="1"/>
  <c r="P15" i="3518" s="1"/>
  <c r="N47" i="3518"/>
  <c r="P47" i="3518" s="1" a="1"/>
  <c r="P47" i="3518" s="1"/>
  <c r="N36" i="3576" a="1"/>
  <c r="N36" i="3576" s="1"/>
  <c r="P36" i="3576" s="1" a="1"/>
  <c r="P36" i="3576" s="1"/>
  <c r="AB36" i="3576" a="1"/>
  <c r="AB36" i="3576" s="1"/>
  <c r="AE37" i="3576" s="1"/>
  <c r="B36" i="3576"/>
  <c r="S36" i="3576" a="1"/>
  <c r="S36" i="3576" s="1"/>
  <c r="M36" i="3576" a="1"/>
  <c r="M36" i="3576" s="1"/>
  <c r="Z36" i="3576" s="1" a="1"/>
  <c r="Z36" i="3576" s="1"/>
  <c r="Q36" i="3576"/>
  <c r="N52" i="3518"/>
  <c r="O39" i="3576" a="1"/>
  <c r="O39" i="3576" s="1"/>
  <c r="J39" i="3576" a="1"/>
  <c r="J39" i="3576" s="1"/>
  <c r="F39" i="3576" a="1"/>
  <c r="F39" i="3576" s="1"/>
  <c r="E39" i="3576" a="1"/>
  <c r="E39" i="3576" s="1"/>
  <c r="L39" i="3576" a="1"/>
  <c r="L39" i="3576" s="1"/>
  <c r="K39" i="3576" a="1"/>
  <c r="K39" i="3576" s="1"/>
  <c r="X39" i="3576" s="1"/>
  <c r="I39" i="3576" a="1"/>
  <c r="I39" i="3576" s="1"/>
  <c r="H39" i="3576" a="1"/>
  <c r="H39" i="3576" s="1"/>
  <c r="G39" i="3576" a="1"/>
  <c r="G39" i="3576" s="1"/>
  <c r="N54" i="3518"/>
  <c r="P54" i="3518" s="1" a="1"/>
  <c r="P54" i="3518" s="1"/>
  <c r="C45" i="3576"/>
  <c r="C43" i="3576"/>
  <c r="D42" i="3576" a="1"/>
  <c r="D42" i="3576" s="1"/>
  <c r="N29" i="3518"/>
  <c r="P29" i="3518" s="1" a="1"/>
  <c r="P29" i="3518" s="1"/>
  <c r="MM10" i="3421"/>
  <c r="N56" i="3518"/>
  <c r="O56" i="3518" s="1" a="1"/>
  <c r="O56" i="3518" s="1"/>
  <c r="N58" i="3518"/>
  <c r="O58" i="3518" s="1" a="1"/>
  <c r="O58" i="3518" s="1"/>
  <c r="MR10" i="3421"/>
  <c r="O46" i="3570"/>
  <c r="D47" i="3569" s="1"/>
  <c r="N13" i="3518"/>
  <c r="Q13" i="3518" s="1" a="1"/>
  <c r="Q13" i="3518" s="1"/>
  <c r="N34" i="3518"/>
  <c r="P34" i="3518" s="1" a="1"/>
  <c r="P34" i="3518" s="1"/>
  <c r="N31" i="3518"/>
  <c r="O31" i="3518" s="1" a="1"/>
  <c r="O31" i="3518" s="1"/>
  <c r="N36" i="3518"/>
  <c r="NQ10" i="3421"/>
  <c r="N49" i="3518"/>
  <c r="Q49" i="3518" s="1" a="1"/>
  <c r="Q49" i="3518" s="1"/>
  <c r="N42" i="3518"/>
  <c r="O42" i="3518" s="1" a="1"/>
  <c r="O42" i="3518" s="1"/>
  <c r="MQ10" i="3421"/>
  <c r="N44" i="3518"/>
  <c r="O44" i="3518" s="1" a="1"/>
  <c r="O44" i="3518" s="1"/>
  <c r="N61" i="3518"/>
  <c r="Q61" i="3518" s="1" a="1"/>
  <c r="Q61" i="3518" s="1"/>
  <c r="N46" i="3518"/>
  <c r="O46" i="3518" s="1" a="1"/>
  <c r="O46" i="3518" s="1"/>
  <c r="NA10" i="3421"/>
  <c r="N14" i="3518"/>
  <c r="Q14" i="3518" s="1" a="1"/>
  <c r="Q14" i="3518" s="1"/>
  <c r="N48" i="3518"/>
  <c r="Q48" i="3518" s="1" a="1"/>
  <c r="Q48" i="3518" s="1"/>
  <c r="N16" i="3518"/>
  <c r="O16" i="3518" s="1" a="1"/>
  <c r="O16" i="3518" s="1"/>
  <c r="N50" i="3518"/>
  <c r="O50" i="3518" s="1" a="1"/>
  <c r="O50" i="3518" s="1"/>
  <c r="N35" i="3518"/>
  <c r="Q35" i="3518" s="1" a="1"/>
  <c r="Q35" i="3518" s="1"/>
  <c r="N20" i="3518"/>
  <c r="P20" i="3518" s="1" a="1"/>
  <c r="P20" i="3518" s="1"/>
  <c r="N57" i="3518"/>
  <c r="Q57" i="3518" s="1" a="1"/>
  <c r="Q57" i="3518" s="1"/>
  <c r="N22" i="3518"/>
  <c r="Q22" i="3518" s="1" a="1"/>
  <c r="Q22" i="3518" s="1"/>
  <c r="N19" i="3518"/>
  <c r="Q19" i="3518" s="1" a="1"/>
  <c r="Q19" i="3518" s="1"/>
  <c r="N24" i="3518"/>
  <c r="Q24" i="3518" s="1" a="1"/>
  <c r="Q24" i="3518" s="1"/>
  <c r="N55" i="3518"/>
  <c r="O55" i="3518" s="1" a="1"/>
  <c r="O55" i="3518" s="1"/>
  <c r="N26" i="3518"/>
  <c r="O26" i="3518" s="1" a="1"/>
  <c r="O26" i="3518" s="1"/>
  <c r="N23" i="3518"/>
  <c r="Q23" i="3518" s="1" a="1"/>
  <c r="Q23" i="3518" s="1"/>
  <c r="N21" i="3518"/>
  <c r="Q21" i="3518" s="1" a="1"/>
  <c r="Q21" i="3518" s="1"/>
  <c r="N30" i="3518"/>
  <c r="Q30" i="3518" s="1" a="1"/>
  <c r="Q30" i="3518" s="1"/>
  <c r="AC14" i="3564"/>
  <c r="Y15" i="3564"/>
  <c r="O64" i="3570"/>
  <c r="D65" i="3569" s="1"/>
  <c r="O41" i="3570"/>
  <c r="D42" i="3569" s="1"/>
  <c r="BF15" i="3564"/>
  <c r="BJ14" i="3564"/>
  <c r="AH15" i="3564"/>
  <c r="AO14" i="3564"/>
  <c r="O24" i="3570"/>
  <c r="D25" i="3569" s="1"/>
  <c r="O57" i="3570"/>
  <c r="Q57" i="3570" s="1" a="1"/>
  <c r="Q57" i="3570" s="1"/>
  <c r="G58" i="3569" s="1"/>
  <c r="H58" i="3569" s="1" a="1"/>
  <c r="H58" i="3569" s="1"/>
  <c r="AD14" i="3564"/>
  <c r="Z15" i="3564"/>
  <c r="O40" i="3570"/>
  <c r="D41" i="3569" s="1"/>
  <c r="AB13" i="3564"/>
  <c r="X14" i="3564"/>
  <c r="BE15" i="3564"/>
  <c r="BI14" i="3564"/>
  <c r="O27" i="3570"/>
  <c r="D28" i="3569" s="1"/>
  <c r="BN17" i="3564"/>
  <c r="BU16" i="3564"/>
  <c r="BH14" i="3564"/>
  <c r="BD15" i="3564"/>
  <c r="AI15" i="3564"/>
  <c r="AP14" i="3564"/>
  <c r="BQ17" i="3564"/>
  <c r="BX16" i="3564"/>
  <c r="AG15" i="3564"/>
  <c r="AN14" i="3564"/>
  <c r="AR14" i="3564"/>
  <c r="AK15" i="3564"/>
  <c r="AJ16" i="3564"/>
  <c r="AQ15" i="3564"/>
  <c r="AT14" i="3564"/>
  <c r="AM15" i="3564"/>
  <c r="NJ10" i="3421"/>
  <c r="AS14" i="3564"/>
  <c r="AL15" i="3564"/>
  <c r="BR17" i="3564"/>
  <c r="BY16" i="3564"/>
  <c r="BO17" i="3564"/>
  <c r="BV16" i="3564"/>
  <c r="O59" i="3570"/>
  <c r="R59" i="3570" s="1" a="1"/>
  <c r="R59" i="3570" s="1"/>
  <c r="Q46" i="3570" a="1"/>
  <c r="Q46" i="3570" s="1"/>
  <c r="G47" i="3569" s="1"/>
  <c r="H47" i="3569" s="1" a="1"/>
  <c r="H47" i="3569" s="1"/>
  <c r="W13" i="3518" a="1"/>
  <c r="W13" i="3518" s="1"/>
  <c r="X13" i="3518" a="1"/>
  <c r="X13" i="3518" s="1"/>
  <c r="O47" i="3570"/>
  <c r="W59" i="3518" a="1"/>
  <c r="W59" i="3518" s="1"/>
  <c r="X59" i="3518" a="1"/>
  <c r="X59" i="3518" s="1"/>
  <c r="N5" i="3419"/>
  <c r="W37" i="3480" s="1" a="1"/>
  <c r="W37" i="3480" s="1"/>
  <c r="N7" i="3419"/>
  <c r="N6" i="3419" s="1"/>
  <c r="AA37" i="3480" s="1" a="1"/>
  <c r="AA37" i="3480" s="1"/>
  <c r="O51" i="3570"/>
  <c r="O63" i="3570"/>
  <c r="W62" i="3518" a="1"/>
  <c r="W62" i="3518" s="1"/>
  <c r="X62" i="3518" a="1"/>
  <c r="X62" i="3518" s="1"/>
  <c r="BA15" i="3435" a="1"/>
  <c r="BA15" i="3435" s="1"/>
  <c r="NR10" i="3421"/>
  <c r="Q28" i="3518" a="1"/>
  <c r="Q28" i="3518" s="1"/>
  <c r="P28" i="3518" a="1"/>
  <c r="P28" i="3518" s="1"/>
  <c r="O28" i="3518" a="1"/>
  <c r="O28" i="3518" s="1"/>
  <c r="W38" i="3518" a="1"/>
  <c r="W38" i="3518" s="1"/>
  <c r="X38" i="3518" a="1"/>
  <c r="X38" i="3518" s="1"/>
  <c r="O18" i="3570"/>
  <c r="O65" i="3570"/>
  <c r="NB10" i="3421"/>
  <c r="W28" i="3518" a="1"/>
  <c r="W28" i="3518" s="1"/>
  <c r="X28" i="3518" a="1"/>
  <c r="X28" i="3518" s="1"/>
  <c r="W48" i="3518" a="1"/>
  <c r="W48" i="3518" s="1"/>
  <c r="X48" i="3518" a="1"/>
  <c r="X48" i="3518" s="1"/>
  <c r="O30" i="3518" a="1"/>
  <c r="O30" i="3518" s="1"/>
  <c r="C131" i="3523"/>
  <c r="Q131" i="3523" s="1" a="1"/>
  <c r="Q131" i="3523" s="1"/>
  <c r="BQ100" i="3448"/>
  <c r="O26" i="3570"/>
  <c r="W30" i="3518" a="1"/>
  <c r="W30" i="3518" s="1"/>
  <c r="X30" i="3518" a="1"/>
  <c r="X30" i="3518" s="1"/>
  <c r="W24" i="3518" a="1"/>
  <c r="W24" i="3518" s="1"/>
  <c r="X24" i="3518" a="1"/>
  <c r="X24" i="3518" s="1"/>
  <c r="P32" i="3518" a="1"/>
  <c r="P32" i="3518" s="1"/>
  <c r="Q32" i="3518" a="1"/>
  <c r="Q32" i="3518" s="1"/>
  <c r="O32" i="3518" a="1"/>
  <c r="O32" i="3518" s="1"/>
  <c r="W15" i="3518" a="1"/>
  <c r="W15" i="3518" s="1"/>
  <c r="X15" i="3518" a="1"/>
  <c r="X15" i="3518" s="1"/>
  <c r="O23" i="3570"/>
  <c r="L5" i="3419"/>
  <c r="W35" i="3480" s="1" a="1"/>
  <c r="W35" i="3480" s="1"/>
  <c r="L7" i="3419"/>
  <c r="L6" i="3419" s="1"/>
  <c r="AA35" i="3480" s="1" a="1"/>
  <c r="AA35" i="3480" s="1"/>
  <c r="O28" i="3570"/>
  <c r="O60" i="3570"/>
  <c r="M7" i="3419"/>
  <c r="M6" i="3419" s="1"/>
  <c r="AA36" i="3480" s="1" a="1"/>
  <c r="AA36" i="3480" s="1"/>
  <c r="M5" i="3419"/>
  <c r="W36" i="3480" s="1" a="1"/>
  <c r="W36" i="3480" s="1"/>
  <c r="W42" i="3518" a="1"/>
  <c r="W42" i="3518" s="1"/>
  <c r="X42" i="3518" a="1"/>
  <c r="X42" i="3518" s="1"/>
  <c r="W36" i="3518" a="1"/>
  <c r="W36" i="3518" s="1"/>
  <c r="X36" i="3518" a="1"/>
  <c r="X36" i="3518" s="1"/>
  <c r="A130" i="3523"/>
  <c r="W56" i="3518" a="1"/>
  <c r="W56" i="3518" s="1"/>
  <c r="X56" i="3518" a="1"/>
  <c r="X56" i="3518" s="1"/>
  <c r="BD15" i="3435" a="1"/>
  <c r="BD15" i="3435" s="1"/>
  <c r="W58" i="3518" a="1"/>
  <c r="W58" i="3518" s="1"/>
  <c r="X58" i="3518" a="1"/>
  <c r="X58" i="3518" s="1"/>
  <c r="O33" i="3570"/>
  <c r="W43" i="3518" a="1"/>
  <c r="W43" i="3518" s="1"/>
  <c r="X43" i="3518" a="1"/>
  <c r="X43" i="3518" s="1"/>
  <c r="LW10" i="3421"/>
  <c r="MK10" i="3421"/>
  <c r="NC10" i="3421"/>
  <c r="MT10" i="3421"/>
  <c r="MO10" i="3421"/>
  <c r="ML10" i="3421"/>
  <c r="OD10" i="3421"/>
  <c r="NM10" i="3421"/>
  <c r="NY10" i="3421"/>
  <c r="MW10" i="3421"/>
  <c r="OG10" i="3421"/>
  <c r="MS10" i="3421"/>
  <c r="ND10" i="3421"/>
  <c r="NO10" i="3421"/>
  <c r="NZ10" i="3421"/>
  <c r="NN10" i="3421"/>
  <c r="MN10" i="3421"/>
  <c r="NU10" i="3421"/>
  <c r="NE10" i="3421"/>
  <c r="NW10" i="3421"/>
  <c r="MX10" i="3421"/>
  <c r="NG10" i="3421"/>
  <c r="MV10" i="3421"/>
  <c r="OB10" i="3421"/>
  <c r="NV10" i="3421"/>
  <c r="MP10" i="3421"/>
  <c r="MZ10" i="3421"/>
  <c r="NS10" i="3421"/>
  <c r="OE10" i="3421"/>
  <c r="OC10" i="3421"/>
  <c r="NH10" i="3421"/>
  <c r="NX10" i="3421"/>
  <c r="NP10" i="3421"/>
  <c r="NK10" i="3421"/>
  <c r="Q36" i="3518" a="1"/>
  <c r="Q36" i="3518" s="1"/>
  <c r="P36" i="3518" a="1"/>
  <c r="P36" i="3518" s="1"/>
  <c r="O36" i="3518" a="1"/>
  <c r="O36" i="3518" s="1"/>
  <c r="W31" i="3518" a="1"/>
  <c r="W31" i="3518" s="1"/>
  <c r="X31" i="3518" a="1"/>
  <c r="X31" i="3518" s="1"/>
  <c r="O48" i="3570"/>
  <c r="AK17" i="3435"/>
  <c r="AS16" i="3435" a="1"/>
  <c r="AS16" i="3435" s="1"/>
  <c r="BA16" i="3435" s="1" a="1"/>
  <c r="BA16" i="3435" s="1"/>
  <c r="O21" i="3570"/>
  <c r="W19" i="3518" a="1"/>
  <c r="W19" i="3518" s="1"/>
  <c r="X19" i="3518" a="1"/>
  <c r="X19" i="3518" s="1"/>
  <c r="D57" i="3569"/>
  <c r="Q56" i="3570" a="1"/>
  <c r="Q56" i="3570" s="1"/>
  <c r="G57" i="3569" s="1"/>
  <c r="H57" i="3569" s="1" a="1"/>
  <c r="H57" i="3569" s="1"/>
  <c r="R56" i="3570" a="1"/>
  <c r="R56" i="3570" s="1"/>
  <c r="P56" i="3570" a="1"/>
  <c r="P56" i="3570" s="1"/>
  <c r="O29" i="3570"/>
  <c r="W32" i="3518" a="1"/>
  <c r="W32" i="3518" s="1"/>
  <c r="X32" i="3518" a="1"/>
  <c r="X32" i="3518" s="1"/>
  <c r="W45" i="3518" a="1"/>
  <c r="W45" i="3518" s="1"/>
  <c r="X45" i="3518" a="1"/>
  <c r="X45" i="3518" s="1"/>
  <c r="O43" i="3518" a="1"/>
  <c r="O43" i="3518" s="1"/>
  <c r="O38" i="3518" a="1"/>
  <c r="O38" i="3518" s="1"/>
  <c r="Q38" i="3518" a="1"/>
  <c r="Q38" i="3518" s="1"/>
  <c r="P38" i="3518" a="1"/>
  <c r="P38" i="3518" s="1"/>
  <c r="G7" i="3419"/>
  <c r="G6" i="3419" s="1"/>
  <c r="AA29" i="3480" s="1" a="1"/>
  <c r="AA29" i="3480" s="1"/>
  <c r="G5" i="3419"/>
  <c r="W29" i="3480" s="1" a="1"/>
  <c r="W29" i="3480" s="1"/>
  <c r="W47" i="3518" a="1"/>
  <c r="W47" i="3518" s="1"/>
  <c r="X47" i="3518" a="1"/>
  <c r="X47" i="3518" s="1"/>
  <c r="NI10" i="3421"/>
  <c r="MY10" i="3421"/>
  <c r="Y103" i="3448"/>
  <c r="AC102" i="3448"/>
  <c r="P53" i="3518" a="1"/>
  <c r="P53" i="3518" s="1"/>
  <c r="O53" i="3518" a="1"/>
  <c r="O53" i="3518" s="1"/>
  <c r="Q53" i="3518" a="1"/>
  <c r="Q53" i="3518" s="1"/>
  <c r="Q40" i="3518" a="1"/>
  <c r="Q40" i="3518" s="1"/>
  <c r="P40" i="3518" a="1"/>
  <c r="P40" i="3518" s="1"/>
  <c r="O40" i="3518" a="1"/>
  <c r="O40" i="3518" s="1"/>
  <c r="OF10" i="3421"/>
  <c r="AN17" i="3435"/>
  <c r="AV16" i="3435" a="1"/>
  <c r="AV16" i="3435" s="1"/>
  <c r="BD16" i="3435" s="1" a="1"/>
  <c r="BD16" i="3435" s="1"/>
  <c r="O49" i="3570"/>
  <c r="O39" i="3570"/>
  <c r="O43" i="3570"/>
  <c r="W26" i="3518" a="1"/>
  <c r="W26" i="3518" s="1"/>
  <c r="X26" i="3518" a="1"/>
  <c r="X26" i="3518" s="1"/>
  <c r="BZ102" i="3448"/>
  <c r="CG101" i="3448"/>
  <c r="W40" i="3518" a="1"/>
  <c r="W40" i="3518" s="1"/>
  <c r="X40" i="3518" a="1"/>
  <c r="X40" i="3518" s="1"/>
  <c r="W49" i="3518" a="1"/>
  <c r="W49" i="3518" s="1"/>
  <c r="X49" i="3518" a="1"/>
  <c r="X49" i="3518" s="1"/>
  <c r="F131" i="3523"/>
  <c r="AF131" i="3523" s="1" a="1"/>
  <c r="AF131" i="3523" s="1"/>
  <c r="BT100" i="3448"/>
  <c r="BT19" i="3564"/>
  <c r="CA18" i="3564"/>
  <c r="O37" i="3570"/>
  <c r="W34" i="3518" a="1"/>
  <c r="W34" i="3518" s="1"/>
  <c r="X34" i="3518" a="1"/>
  <c r="X34" i="3518" s="1"/>
  <c r="O45" i="3570"/>
  <c r="O53" i="3570"/>
  <c r="W23" i="3518" a="1"/>
  <c r="W23" i="3518" s="1"/>
  <c r="X23" i="3518" a="1"/>
  <c r="X23" i="3518" s="1"/>
  <c r="W51" i="3518" a="1"/>
  <c r="W51" i="3518" s="1"/>
  <c r="X51" i="3518" a="1"/>
  <c r="X51" i="3518" s="1"/>
  <c r="Q41" i="3518" a="1"/>
  <c r="Q41" i="3518" s="1"/>
  <c r="P41" i="3518" a="1"/>
  <c r="P41" i="3518" s="1"/>
  <c r="O41" i="3518" a="1"/>
  <c r="O41" i="3518" s="1"/>
  <c r="BW17" i="3564"/>
  <c r="BP18" i="3564"/>
  <c r="O62" i="3570"/>
  <c r="O38" i="3570"/>
  <c r="O55" i="3570"/>
  <c r="O44" i="3570"/>
  <c r="O58" i="3570"/>
  <c r="O50" i="3570"/>
  <c r="O61" i="3570"/>
  <c r="W21" i="3518" a="1"/>
  <c r="W21" i="3518" s="1"/>
  <c r="X21" i="3518" a="1"/>
  <c r="X21" i="3518" s="1"/>
  <c r="W53" i="3518" a="1"/>
  <c r="W53" i="3518" s="1"/>
  <c r="X53" i="3518" a="1"/>
  <c r="X53" i="3518" s="1"/>
  <c r="AD99" i="3448"/>
  <c r="Z100" i="3448"/>
  <c r="X101" i="3448"/>
  <c r="AB100" i="3448"/>
  <c r="W55" i="3518" a="1"/>
  <c r="W55" i="3518" s="1"/>
  <c r="X55" i="3518" a="1"/>
  <c r="X55" i="3518" s="1"/>
  <c r="P14" i="3518" a="1"/>
  <c r="P14" i="3518" s="1"/>
  <c r="O48" i="3518" a="1"/>
  <c r="O48" i="3518" s="1"/>
  <c r="BB15" i="3435" a="1"/>
  <c r="BB15" i="3435" s="1"/>
  <c r="P27" i="3518" a="1"/>
  <c r="P27" i="3518" s="1"/>
  <c r="Q27" i="3518" a="1"/>
  <c r="Q27" i="3518" s="1"/>
  <c r="O27" i="3518" a="1"/>
  <c r="O27" i="3518" s="1"/>
  <c r="O52" i="3518" a="1"/>
  <c r="O52" i="3518" s="1"/>
  <c r="Q52" i="3518" a="1"/>
  <c r="Q52" i="3518" s="1"/>
  <c r="P52" i="3518" a="1"/>
  <c r="P52" i="3518" s="1"/>
  <c r="D60" i="3569"/>
  <c r="Q59" i="3570" a="1"/>
  <c r="Q59" i="3570" s="1"/>
  <c r="G60" i="3569" s="1"/>
  <c r="H60" i="3569" s="1" a="1"/>
  <c r="H60" i="3569" s="1"/>
  <c r="Q54" i="3518" a="1"/>
  <c r="Q54" i="3518" s="1"/>
  <c r="F7" i="3419"/>
  <c r="F6" i="3419" s="1"/>
  <c r="AA28" i="3480" s="1" a="1"/>
  <c r="AA28" i="3480" s="1"/>
  <c r="F5" i="3419"/>
  <c r="W28" i="3480" s="1" a="1"/>
  <c r="W28" i="3480" s="1"/>
  <c r="NT10" i="3421"/>
  <c r="O45" i="3518" a="1"/>
  <c r="O45" i="3518" s="1"/>
  <c r="P45" i="3518" a="1"/>
  <c r="P45" i="3518" s="1"/>
  <c r="Q45" i="3518" a="1"/>
  <c r="Q45" i="3518" s="1"/>
  <c r="B132" i="3523"/>
  <c r="BP101" i="3448"/>
  <c r="AL17" i="3435"/>
  <c r="AT16" i="3435" a="1"/>
  <c r="AT16" i="3435" s="1"/>
  <c r="BB16" i="3435" s="1" a="1"/>
  <c r="BB16" i="3435" s="1"/>
  <c r="W17" i="3518" a="1"/>
  <c r="W17" i="3518" s="1"/>
  <c r="X17" i="3518" a="1"/>
  <c r="X17" i="3518" s="1"/>
  <c r="O17" i="3570"/>
  <c r="E132" i="3523"/>
  <c r="AA132" i="3523" s="1" a="1"/>
  <c r="AA132" i="3523" s="1"/>
  <c r="BS101" i="3448"/>
  <c r="L131" i="3523" a="1"/>
  <c r="L131" i="3523" s="1"/>
  <c r="O25" i="3518" a="1"/>
  <c r="O25" i="3518" s="1"/>
  <c r="Q25" i="3518" a="1"/>
  <c r="Q25" i="3518" s="1"/>
  <c r="P25" i="3518" a="1"/>
  <c r="P25" i="3518" s="1"/>
  <c r="O42" i="3570"/>
  <c r="O31" i="3570"/>
  <c r="W20" i="3518" a="1"/>
  <c r="W20" i="3518" s="1"/>
  <c r="X20" i="3518" a="1"/>
  <c r="X20" i="3518" s="1"/>
  <c r="W41" i="3518" a="1"/>
  <c r="W41" i="3518" s="1"/>
  <c r="X41" i="3518" a="1"/>
  <c r="X41" i="3518" s="1"/>
  <c r="OA10" i="3421"/>
  <c r="Q17" i="3518" a="1"/>
  <c r="Q17" i="3518" s="1"/>
  <c r="P17" i="3518" a="1"/>
  <c r="P17" i="3518" s="1"/>
  <c r="O17" i="3518" a="1"/>
  <c r="O17" i="3518" s="1"/>
  <c r="O37" i="3518" a="1"/>
  <c r="O37" i="3518" s="1"/>
  <c r="Q37" i="3518" a="1"/>
  <c r="Q37" i="3518" s="1"/>
  <c r="P37" i="3518" a="1"/>
  <c r="P37" i="3518" s="1"/>
  <c r="O60" i="3518" a="1"/>
  <c r="O60" i="3518" s="1"/>
  <c r="Q60" i="3518" a="1"/>
  <c r="Q60" i="3518" s="1"/>
  <c r="P60" i="3518" a="1"/>
  <c r="P60" i="3518" s="1"/>
  <c r="BE15" i="3435" a="1"/>
  <c r="BE15" i="3435" s="1"/>
  <c r="J7" i="3419"/>
  <c r="J6" i="3419" s="1"/>
  <c r="AA32" i="3480" s="1" a="1"/>
  <c r="AA32" i="3480" s="1"/>
  <c r="J5" i="3419"/>
  <c r="W32" i="3480" s="1" a="1"/>
  <c r="W32" i="3480" s="1"/>
  <c r="AY16" i="3435" a="1"/>
  <c r="AY16" i="3435" s="1"/>
  <c r="BG16" i="3435" s="1" a="1"/>
  <c r="BG16" i="3435" s="1"/>
  <c r="AQ17" i="3435"/>
  <c r="O25" i="3570"/>
  <c r="O32" i="3570"/>
  <c r="W46" i="3518" a="1"/>
  <c r="W46" i="3518" s="1"/>
  <c r="X46" i="3518" a="1"/>
  <c r="X46" i="3518" s="1"/>
  <c r="O35" i="3570"/>
  <c r="O20" i="3570"/>
  <c r="W22" i="3518" a="1"/>
  <c r="W22" i="3518" s="1"/>
  <c r="X22" i="3518" a="1"/>
  <c r="X22" i="3518" s="1"/>
  <c r="W25" i="3518" a="1"/>
  <c r="W25" i="3518" s="1"/>
  <c r="X25" i="3518" a="1"/>
  <c r="X25" i="3518" s="1"/>
  <c r="O51" i="3518" a="1"/>
  <c r="O51" i="3518" s="1"/>
  <c r="Q51" i="3518" a="1"/>
  <c r="Q51" i="3518" s="1"/>
  <c r="P51" i="3518" a="1"/>
  <c r="P51" i="3518" s="1"/>
  <c r="O62" i="3518" a="1"/>
  <c r="O62" i="3518" s="1"/>
  <c r="E7" i="3419"/>
  <c r="E6" i="3419" s="1"/>
  <c r="AA26" i="3480" s="1" a="1"/>
  <c r="AA26" i="3480" s="1"/>
  <c r="E5" i="3419"/>
  <c r="W26" i="3480" s="1" a="1"/>
  <c r="W26" i="3480" s="1"/>
  <c r="W44" i="3518" a="1"/>
  <c r="W44" i="3518" s="1"/>
  <c r="X44" i="3518" a="1"/>
  <c r="X44" i="3518" s="1"/>
  <c r="Q59" i="3518" a="1"/>
  <c r="Q59" i="3518" s="1"/>
  <c r="NL10" i="3421"/>
  <c r="AW16" i="3435" a="1"/>
  <c r="AW16" i="3435" s="1"/>
  <c r="BE16" i="3435" s="1" a="1"/>
  <c r="BE16" i="3435" s="1"/>
  <c r="AO17" i="3435"/>
  <c r="W18" i="3518" a="1"/>
  <c r="W18" i="3518" s="1"/>
  <c r="X18" i="3518" a="1"/>
  <c r="X18" i="3518" s="1"/>
  <c r="O54" i="3570"/>
  <c r="BS19" i="3564"/>
  <c r="BZ18" i="3564"/>
  <c r="W50" i="3518" a="1"/>
  <c r="W50" i="3518" s="1"/>
  <c r="X50" i="3518" a="1"/>
  <c r="X50" i="3518" s="1"/>
  <c r="W37" i="3518" a="1"/>
  <c r="W37" i="3518" s="1"/>
  <c r="X37" i="3518" a="1"/>
  <c r="X37" i="3518" s="1"/>
  <c r="O36" i="3570"/>
  <c r="O52" i="3570"/>
  <c r="N53" i="3435"/>
  <c r="N46" i="3435"/>
  <c r="N63" i="3435"/>
  <c r="N56" i="3435"/>
  <c r="N32" i="3435"/>
  <c r="N49" i="3435"/>
  <c r="N25" i="3435"/>
  <c r="N42" i="3435"/>
  <c r="N51" i="3435"/>
  <c r="N44" i="3435"/>
  <c r="N31" i="3435"/>
  <c r="N50" i="3435"/>
  <c r="N47" i="3435"/>
  <c r="N21" i="3435"/>
  <c r="N40" i="3435"/>
  <c r="N41" i="3435"/>
  <c r="N48" i="3435"/>
  <c r="N58" i="3435"/>
  <c r="N17" i="3435"/>
  <c r="N22" i="3435"/>
  <c r="N33" i="3435"/>
  <c r="N39" i="3435"/>
  <c r="N38" i="3435"/>
  <c r="N26" i="3435"/>
  <c r="N20" i="3435"/>
  <c r="N29" i="3435"/>
  <c r="N52" i="3435"/>
  <c r="N37" i="3435"/>
  <c r="N61" i="3435"/>
  <c r="N59" i="3435"/>
  <c r="N36" i="3435"/>
  <c r="N18" i="3435"/>
  <c r="N15" i="3435"/>
  <c r="N62" i="3435"/>
  <c r="N35" i="3435"/>
  <c r="N64" i="3435"/>
  <c r="N57" i="3435"/>
  <c r="N45" i="3435"/>
  <c r="N30" i="3435"/>
  <c r="N34" i="3435"/>
  <c r="N55" i="3435"/>
  <c r="N24" i="3435"/>
  <c r="N60" i="3435"/>
  <c r="N23" i="3435"/>
  <c r="N27" i="3435"/>
  <c r="N19" i="3435"/>
  <c r="N43" i="3435"/>
  <c r="N28" i="3435"/>
  <c r="N16" i="3435"/>
  <c r="N54" i="3435"/>
  <c r="W35" i="3518" a="1"/>
  <c r="W35" i="3518" s="1"/>
  <c r="X35" i="3518" a="1"/>
  <c r="X35" i="3518" s="1"/>
  <c r="W52" i="3518" a="1"/>
  <c r="W52" i="3518" s="1"/>
  <c r="X52" i="3518" a="1"/>
  <c r="X52" i="3518" s="1"/>
  <c r="D132" i="3523"/>
  <c r="V132" i="3523" s="1" a="1"/>
  <c r="V132" i="3523" s="1"/>
  <c r="BR101" i="3448"/>
  <c r="Q15" i="3518" a="1"/>
  <c r="Q15" i="3518" s="1"/>
  <c r="P18" i="3518" a="1"/>
  <c r="P18" i="3518" s="1"/>
  <c r="O19" i="3570"/>
  <c r="W61" i="3518" a="1"/>
  <c r="W61" i="3518" s="1"/>
  <c r="X61" i="3518" a="1"/>
  <c r="X61" i="3518" s="1"/>
  <c r="BG15" i="3435" a="1"/>
  <c r="BG15" i="3435" s="1"/>
  <c r="I7" i="3419"/>
  <c r="I6" i="3419" s="1"/>
  <c r="AA31" i="3480" s="1" a="1"/>
  <c r="AA31" i="3480" s="1"/>
  <c r="I5" i="3419"/>
  <c r="W31" i="3480" s="1" a="1"/>
  <c r="W31" i="3480" s="1"/>
  <c r="W29" i="3518" a="1"/>
  <c r="W29" i="3518" s="1"/>
  <c r="X29" i="3518" a="1"/>
  <c r="X29" i="3518" s="1"/>
  <c r="O30" i="3570"/>
  <c r="O22" i="3570"/>
  <c r="O16" i="3570"/>
  <c r="BF15" i="3435" a="1"/>
  <c r="BF15" i="3435" s="1"/>
  <c r="AM17" i="3435"/>
  <c r="AU16" i="3435" a="1"/>
  <c r="AU16" i="3435" s="1"/>
  <c r="BC16" i="3435" s="1" a="1"/>
  <c r="BC16" i="3435" s="1"/>
  <c r="W39" i="3518" a="1"/>
  <c r="W39" i="3518" s="1"/>
  <c r="X39" i="3518" a="1"/>
  <c r="X39" i="3518" s="1"/>
  <c r="W60" i="3518" a="1"/>
  <c r="W60" i="3518" s="1"/>
  <c r="X60" i="3518" a="1"/>
  <c r="X60" i="3518" s="1"/>
  <c r="W58" i="3570"/>
  <c r="W65" i="3570"/>
  <c r="W49" i="3570"/>
  <c r="W41" i="3570"/>
  <c r="W33" i="3570"/>
  <c r="W25" i="3570"/>
  <c r="W17" i="3570"/>
  <c r="W63" i="3570"/>
  <c r="W48" i="3570"/>
  <c r="W40" i="3570"/>
  <c r="W54" i="3570"/>
  <c r="W46" i="3570"/>
  <c r="W38" i="3570"/>
  <c r="W30" i="3570"/>
  <c r="W57" i="3570"/>
  <c r="W31" i="3570"/>
  <c r="W29" i="3570"/>
  <c r="W47" i="3570"/>
  <c r="W24" i="3570"/>
  <c r="W19" i="3570"/>
  <c r="W50" i="3570"/>
  <c r="W44" i="3570"/>
  <c r="W37" i="3570"/>
  <c r="W32" i="3570"/>
  <c r="W53" i="3570"/>
  <c r="W62" i="3570"/>
  <c r="W56" i="3570"/>
  <c r="W42" i="3570"/>
  <c r="W39" i="3570"/>
  <c r="W34" i="3570"/>
  <c r="W27" i="3570"/>
  <c r="W22" i="3570"/>
  <c r="W51" i="3570"/>
  <c r="W45" i="3570"/>
  <c r="W26" i="3570"/>
  <c r="W60" i="3570"/>
  <c r="W35" i="3570"/>
  <c r="W21" i="3570"/>
  <c r="W43" i="3570"/>
  <c r="W16" i="3570"/>
  <c r="W61" i="3570"/>
  <c r="W52" i="3570"/>
  <c r="W28" i="3570"/>
  <c r="W20" i="3570"/>
  <c r="W59" i="3570"/>
  <c r="W55" i="3570"/>
  <c r="W18" i="3570"/>
  <c r="W64" i="3570"/>
  <c r="W36" i="3570"/>
  <c r="W23" i="3570"/>
  <c r="K7" i="3419"/>
  <c r="K6" i="3419" s="1"/>
  <c r="AA33" i="3480" s="1" a="1"/>
  <c r="AA33" i="3480" s="1"/>
  <c r="K5" i="3419"/>
  <c r="W33" i="3480" s="1" a="1"/>
  <c r="W33" i="3480" s="1"/>
  <c r="O35" i="3518" a="1"/>
  <c r="O35" i="3518" s="1"/>
  <c r="Q27" i="3570" a="1"/>
  <c r="Q27" i="3570" s="1"/>
  <c r="G28" i="3569" s="1"/>
  <c r="H28" i="3569" s="1" a="1"/>
  <c r="H28" i="3569" s="1"/>
  <c r="P27" i="3570" a="1"/>
  <c r="P27" i="3570" s="1"/>
  <c r="W27" i="3518" a="1"/>
  <c r="W27" i="3518" s="1"/>
  <c r="X27" i="3518" a="1"/>
  <c r="X27" i="3518" s="1"/>
  <c r="O34" i="3570"/>
  <c r="AX16" i="3435" a="1"/>
  <c r="AX16" i="3435" s="1"/>
  <c r="BF16" i="3435" s="1" a="1"/>
  <c r="BF16" i="3435" s="1"/>
  <c r="AP17" i="3435"/>
  <c r="BC15" i="3435" a="1"/>
  <c r="BC15" i="3435" s="1"/>
  <c r="W33" i="3518" a="1"/>
  <c r="W33" i="3518" s="1"/>
  <c r="X33" i="3518" a="1"/>
  <c r="X33" i="3518" s="1"/>
  <c r="W14" i="3518" a="1"/>
  <c r="W14" i="3518" s="1"/>
  <c r="X14" i="3518" a="1"/>
  <c r="X14" i="3518" s="1"/>
  <c r="NF10" i="3421"/>
  <c r="K21" i="3480"/>
  <c r="B88" i="3434"/>
  <c r="P57" i="3518" a="1"/>
  <c r="P57" i="3518" s="1"/>
  <c r="P22" i="3518" a="1"/>
  <c r="P22" i="3518" s="1"/>
  <c r="O22" i="3518" a="1"/>
  <c r="O22" i="3518" s="1"/>
  <c r="W57" i="3518" a="1"/>
  <c r="W57" i="3518" s="1"/>
  <c r="X57" i="3518" a="1"/>
  <c r="X57" i="3518" s="1"/>
  <c r="W54" i="3518" a="1"/>
  <c r="W54" i="3518" s="1"/>
  <c r="X54" i="3518" a="1"/>
  <c r="X54" i="3518" s="1"/>
  <c r="W16" i="3518" a="1"/>
  <c r="W16" i="3518" s="1"/>
  <c r="X16" i="3518" a="1"/>
  <c r="X16" i="3518" s="1"/>
  <c r="H5" i="3419"/>
  <c r="W30" i="3480" s="1" a="1"/>
  <c r="W30" i="3480" s="1"/>
  <c r="H7" i="3419"/>
  <c r="H6" i="3419" s="1"/>
  <c r="AA30" i="3480" s="1" a="1"/>
  <c r="AA30" i="3480" s="1"/>
  <c r="MJ10" i="3421"/>
  <c r="V95" i="3434"/>
  <c r="U95" i="3434"/>
  <c r="AM95" i="3434" a="1"/>
  <c r="AM95" i="3434" s="1"/>
  <c r="AO95" i="3434" s="1"/>
  <c r="AA45" i="3480" s="1"/>
  <c r="R27" i="3570" l="1" a="1"/>
  <c r="R27" i="3570" s="1"/>
  <c r="Q20" i="3518" a="1"/>
  <c r="Q20" i="3518" s="1"/>
  <c r="P58" i="3518" a="1"/>
  <c r="P58" i="3518" s="1"/>
  <c r="O15" i="3518" a="1"/>
  <c r="O15" i="3518" s="1"/>
  <c r="P59" i="3518" a="1"/>
  <c r="P59" i="3518" s="1"/>
  <c r="Q55" i="3518" a="1"/>
  <c r="Q55" i="3518" s="1"/>
  <c r="R64" i="3570" a="1"/>
  <c r="R64" i="3570" s="1"/>
  <c r="O54" i="3518" a="1"/>
  <c r="O54" i="3518" s="1"/>
  <c r="Q64" i="3570" a="1"/>
  <c r="Q64" i="3570" s="1"/>
  <c r="G65" i="3569" s="1"/>
  <c r="H65" i="3569" s="1" a="1"/>
  <c r="H65" i="3569" s="1"/>
  <c r="R46" i="3570" a="1"/>
  <c r="R46" i="3570" s="1"/>
  <c r="O20" i="3518" a="1"/>
  <c r="O20" i="3518" s="1"/>
  <c r="O18" i="3518" a="1"/>
  <c r="O18" i="3518" s="1"/>
  <c r="Q39" i="3518" a="1"/>
  <c r="Q39" i="3518" s="1"/>
  <c r="P59" i="3570" a="1"/>
  <c r="P59" i="3570" s="1"/>
  <c r="E60" i="3569" s="1"/>
  <c r="F60" i="3569" s="1"/>
  <c r="Q58" i="3518" a="1"/>
  <c r="Q58" i="3518" s="1"/>
  <c r="P26" i="3518" a="1"/>
  <c r="P26" i="3518" s="1"/>
  <c r="R26" i="3518" s="1" a="1"/>
  <c r="R26" i="3518" s="1"/>
  <c r="P55" i="3518" a="1"/>
  <c r="P55" i="3518" s="1"/>
  <c r="P46" i="3570" a="1"/>
  <c r="P46" i="3570" s="1"/>
  <c r="E47" i="3569" s="1"/>
  <c r="F47" i="3569" s="1"/>
  <c r="P33" i="3518" a="1"/>
  <c r="P33" i="3518" s="1"/>
  <c r="P50" i="3518" a="1"/>
  <c r="P50" i="3518" s="1"/>
  <c r="R36" i="3576"/>
  <c r="X37" i="3576" s="1"/>
  <c r="O33" i="3518" a="1"/>
  <c r="O33" i="3518" s="1"/>
  <c r="P56" i="3518" a="1"/>
  <c r="P56" i="3518" s="1"/>
  <c r="Q50" i="3518" a="1"/>
  <c r="Q50" i="3518" s="1"/>
  <c r="Q26" i="3518" a="1"/>
  <c r="Q26" i="3518" s="1"/>
  <c r="O24" i="3518" a="1"/>
  <c r="O24" i="3518" s="1"/>
  <c r="O19" i="3518" a="1"/>
  <c r="O19" i="3518" s="1"/>
  <c r="Q56" i="3518" a="1"/>
  <c r="Q56" i="3518" s="1"/>
  <c r="P16" i="3518" a="1"/>
  <c r="P16" i="3518" s="1"/>
  <c r="Q44" i="3518" a="1"/>
  <c r="Q44" i="3518" s="1"/>
  <c r="Q43" i="3518" a="1"/>
  <c r="Q43" i="3518" s="1"/>
  <c r="O47" i="3518" a="1"/>
  <c r="O47" i="3518" s="1"/>
  <c r="R47" i="3518" s="1" a="1"/>
  <c r="R47" i="3518" s="1"/>
  <c r="P24" i="3518" a="1"/>
  <c r="P24" i="3518" s="1"/>
  <c r="P19" i="3518" a="1"/>
  <c r="P19" i="3518" s="1"/>
  <c r="Q16" i="3518" a="1"/>
  <c r="Q16" i="3518" s="1"/>
  <c r="Q47" i="3518" a="1"/>
  <c r="Q47" i="3518" s="1"/>
  <c r="O39" i="3518" a="1"/>
  <c r="O39" i="3518" s="1"/>
  <c r="Q62" i="3518" a="1"/>
  <c r="Q62" i="3518" s="1"/>
  <c r="O29" i="3518" a="1"/>
  <c r="O29" i="3518" s="1"/>
  <c r="R29" i="3518" s="1" a="1"/>
  <c r="R29" i="3518" s="1"/>
  <c r="O23" i="3518" a="1"/>
  <c r="O23" i="3518" s="1"/>
  <c r="P35" i="3518" a="1"/>
  <c r="P35" i="3518" s="1"/>
  <c r="Q31" i="3518" a="1"/>
  <c r="Q31" i="3518" s="1"/>
  <c r="O34" i="3518" a="1"/>
  <c r="O34" i="3518" s="1"/>
  <c r="O57" i="3518" a="1"/>
  <c r="O57" i="3518" s="1"/>
  <c r="R57" i="3518" s="1" a="1"/>
  <c r="R57" i="3518" s="1"/>
  <c r="P31" i="3518" a="1"/>
  <c r="P31" i="3518" s="1"/>
  <c r="O13" i="3518" a="1"/>
  <c r="O13" i="3518" s="1"/>
  <c r="P30" i="3518" a="1"/>
  <c r="P30" i="3518" s="1"/>
  <c r="R30" i="3518" s="1" a="1"/>
  <c r="R30" i="3518" s="1"/>
  <c r="P21" i="3518" a="1"/>
  <c r="P21" i="3518" s="1"/>
  <c r="O21" i="3518" a="1"/>
  <c r="O21" i="3518" s="1"/>
  <c r="U39" i="3576" a="1"/>
  <c r="U39" i="3576" s="1"/>
  <c r="AD39" i="3576" s="1"/>
  <c r="AD40" i="3576" a="1"/>
  <c r="AD40" i="3576" s="1"/>
  <c r="K42" i="3576" a="1"/>
  <c r="K42" i="3576" s="1"/>
  <c r="X42" i="3576" s="1"/>
  <c r="J42" i="3576" a="1"/>
  <c r="J42" i="3576" s="1"/>
  <c r="L42" i="3576" a="1"/>
  <c r="L42" i="3576" s="1"/>
  <c r="O42" i="3576" a="1"/>
  <c r="O42" i="3576" s="1"/>
  <c r="E42" i="3576" a="1"/>
  <c r="E42" i="3576" s="1"/>
  <c r="H42" i="3576" a="1"/>
  <c r="H42" i="3576" s="1"/>
  <c r="G42" i="3576" a="1"/>
  <c r="G42" i="3576" s="1"/>
  <c r="F42" i="3576" a="1"/>
  <c r="F42" i="3576" s="1"/>
  <c r="I42" i="3576" a="1"/>
  <c r="I42" i="3576" s="1"/>
  <c r="C46" i="3576"/>
  <c r="D45" i="3576" a="1"/>
  <c r="D45" i="3576" s="1"/>
  <c r="C48" i="3576"/>
  <c r="P42" i="3518" a="1"/>
  <c r="P42" i="3518" s="1"/>
  <c r="AB39" i="3576" a="1"/>
  <c r="AB39" i="3576" s="1"/>
  <c r="AE40" i="3576" s="1"/>
  <c r="S39" i="3576" a="1"/>
  <c r="S39" i="3576" s="1"/>
  <c r="Q39" i="3576"/>
  <c r="N39" i="3576" a="1"/>
  <c r="N39" i="3576" s="1"/>
  <c r="P39" i="3576" s="1" a="1"/>
  <c r="P39" i="3576" s="1"/>
  <c r="M39" i="3576" a="1"/>
  <c r="M39" i="3576" s="1"/>
  <c r="Z39" i="3576" s="1" a="1"/>
  <c r="Z39" i="3576" s="1"/>
  <c r="B39" i="3576"/>
  <c r="P49" i="3518" a="1"/>
  <c r="P49" i="3518" s="1"/>
  <c r="P44" i="3518" a="1"/>
  <c r="P44" i="3518" s="1"/>
  <c r="R44" i="3518" s="1" a="1"/>
  <c r="R44" i="3518" s="1"/>
  <c r="P64" i="3570" a="1"/>
  <c r="P64" i="3570" s="1"/>
  <c r="Q29" i="3518" a="1"/>
  <c r="Q29" i="3518" s="1"/>
  <c r="O61" i="3518" a="1"/>
  <c r="O61" i="3518" s="1"/>
  <c r="Q34" i="3518" a="1"/>
  <c r="Q34" i="3518" s="1"/>
  <c r="T36" i="3576"/>
  <c r="P61" i="3518" a="1"/>
  <c r="P61" i="3518" s="1"/>
  <c r="P13" i="3518" a="1"/>
  <c r="P13" i="3518" s="1"/>
  <c r="P23" i="3518" a="1"/>
  <c r="P23" i="3518" s="1"/>
  <c r="R27" i="3518" a="1"/>
  <c r="R27" i="3518" s="1"/>
  <c r="Y29" i="3518" a="1"/>
  <c r="Y29" i="3518" s="1"/>
  <c r="P40" i="3570" a="1"/>
  <c r="P40" i="3570" s="1"/>
  <c r="O14" i="3518" a="1"/>
  <c r="O14" i="3518" s="1"/>
  <c r="Y18" i="3518" a="1"/>
  <c r="Y18" i="3518" s="1"/>
  <c r="R41" i="3570" a="1"/>
  <c r="R41" i="3570" s="1"/>
  <c r="Q42" i="3518" a="1"/>
  <c r="Q42" i="3518" s="1"/>
  <c r="P41" i="3570" a="1"/>
  <c r="P41" i="3570" s="1"/>
  <c r="Y54" i="3518" a="1"/>
  <c r="Y54" i="3518" s="1"/>
  <c r="Y55" i="3518" a="1"/>
  <c r="Y55" i="3518" s="1"/>
  <c r="Q41" i="3570" a="1"/>
  <c r="Q41" i="3570" s="1"/>
  <c r="G42" i="3569" s="1"/>
  <c r="H42" i="3569" s="1" a="1"/>
  <c r="H42" i="3569" s="1"/>
  <c r="O49" i="3518" a="1"/>
  <c r="O49" i="3518" s="1"/>
  <c r="R49" i="3518" s="1" a="1"/>
  <c r="R49" i="3518" s="1"/>
  <c r="P46" i="3518" a="1"/>
  <c r="P46" i="3518" s="1"/>
  <c r="R46" i="3518" s="1" a="1"/>
  <c r="R46" i="3518" s="1"/>
  <c r="Y25" i="3518" a="1"/>
  <c r="Y25" i="3518" s="1"/>
  <c r="Q46" i="3518" a="1"/>
  <c r="Q46" i="3518" s="1"/>
  <c r="R22" i="3518" a="1"/>
  <c r="R22" i="3518" s="1"/>
  <c r="Y61" i="3518" a="1"/>
  <c r="Y61" i="3518" s="1"/>
  <c r="Y59" i="3518" a="1"/>
  <c r="Y59" i="3518" s="1"/>
  <c r="Y46" i="3518" a="1"/>
  <c r="Y46" i="3518" s="1"/>
  <c r="Y26" i="3518" a="1"/>
  <c r="Y26" i="3518" s="1"/>
  <c r="R16" i="3518" a="1"/>
  <c r="R16" i="3518" s="1"/>
  <c r="Q24" i="3570" a="1"/>
  <c r="Q24" i="3570" s="1"/>
  <c r="G25" i="3569" s="1"/>
  <c r="H25" i="3569" s="1" a="1"/>
  <c r="H25" i="3569" s="1"/>
  <c r="R24" i="3570" a="1"/>
  <c r="R24" i="3570" s="1"/>
  <c r="Y35" i="3518" a="1"/>
  <c r="Y35" i="3518" s="1"/>
  <c r="P24" i="3570" a="1"/>
  <c r="P24" i="3570" s="1"/>
  <c r="S24" i="3570" s="1" a="1"/>
  <c r="S24" i="3570" s="1"/>
  <c r="R57" i="3570" a="1"/>
  <c r="R57" i="3570" s="1"/>
  <c r="P48" i="3518" a="1"/>
  <c r="P48" i="3518" s="1"/>
  <c r="R48" i="3518" s="1" a="1"/>
  <c r="R48" i="3518" s="1"/>
  <c r="D58" i="3569"/>
  <c r="A131" i="3523"/>
  <c r="R40" i="3518" a="1"/>
  <c r="R40" i="3518" s="1"/>
  <c r="R40" i="3570" a="1"/>
  <c r="R40" i="3570" s="1"/>
  <c r="AP15" i="3564"/>
  <c r="AI16" i="3564"/>
  <c r="BH15" i="3564"/>
  <c r="BD16" i="3564"/>
  <c r="Q40" i="3570" a="1"/>
  <c r="Q40" i="3570" s="1"/>
  <c r="G41" i="3569" s="1"/>
  <c r="H41" i="3569" s="1" a="1"/>
  <c r="H41" i="3569" s="1"/>
  <c r="BN18" i="3564"/>
  <c r="BU17" i="3564"/>
  <c r="Y28" i="3518" a="1"/>
  <c r="Y28" i="3518" s="1"/>
  <c r="Y31" i="3518" a="1"/>
  <c r="Y31" i="3518" s="1"/>
  <c r="BV17" i="3564"/>
  <c r="BO18" i="3564"/>
  <c r="BI15" i="3564"/>
  <c r="BE16" i="3564"/>
  <c r="R32" i="3518" a="1"/>
  <c r="R32" i="3518" s="1"/>
  <c r="AB14" i="3564"/>
  <c r="X15" i="3564"/>
  <c r="Y14" i="3518" a="1"/>
  <c r="Y14" i="3518" s="1"/>
  <c r="R58" i="3518" a="1"/>
  <c r="R58" i="3518" s="1"/>
  <c r="BR18" i="3564"/>
  <c r="BY17" i="3564"/>
  <c r="AS15" i="3564"/>
  <c r="AL16" i="3564"/>
  <c r="Y33" i="3518" a="1"/>
  <c r="Y33" i="3518" s="1"/>
  <c r="R38" i="3518" a="1"/>
  <c r="R38" i="3518" s="1"/>
  <c r="AD15" i="3564"/>
  <c r="Z16" i="3564"/>
  <c r="R28" i="3518" a="1"/>
  <c r="R28" i="3518" s="1"/>
  <c r="Y58" i="3518" a="1"/>
  <c r="Y58" i="3518" s="1"/>
  <c r="R31" i="3518" a="1"/>
  <c r="R31" i="3518" s="1"/>
  <c r="AT15" i="3564"/>
  <c r="AM16" i="3564"/>
  <c r="Y17" i="3518" a="1"/>
  <c r="Y17" i="3518" s="1"/>
  <c r="R15" i="3518" a="1"/>
  <c r="R15" i="3518" s="1"/>
  <c r="AJ17" i="3564"/>
  <c r="AQ16" i="3564"/>
  <c r="AH16" i="3564"/>
  <c r="AO15" i="3564"/>
  <c r="Y27" i="3518" a="1"/>
  <c r="Y27" i="3518" s="1"/>
  <c r="Y39" i="3518" a="1"/>
  <c r="Y39" i="3518" s="1"/>
  <c r="Y20" i="3518" a="1"/>
  <c r="Y20" i="3518" s="1"/>
  <c r="AK16" i="3564"/>
  <c r="AR15" i="3564"/>
  <c r="Y49" i="3518" a="1"/>
  <c r="Y49" i="3518" s="1"/>
  <c r="R59" i="3518" a="1"/>
  <c r="R59" i="3518" s="1"/>
  <c r="R52" i="3518" a="1"/>
  <c r="R52" i="3518" s="1"/>
  <c r="BJ15" i="3564"/>
  <c r="BF16" i="3564"/>
  <c r="Y36" i="3518" a="1"/>
  <c r="Y36" i="3518" s="1"/>
  <c r="AG16" i="3564"/>
  <c r="AN15" i="3564"/>
  <c r="P57" i="3570" a="1"/>
  <c r="P57" i="3570" s="1"/>
  <c r="E58" i="3569" s="1"/>
  <c r="F58" i="3569" s="1"/>
  <c r="Y16" i="3564"/>
  <c r="AC15" i="3564"/>
  <c r="BQ18" i="3564"/>
  <c r="BX17" i="3564"/>
  <c r="X16" i="3570" a="1"/>
  <c r="X16" i="3570" s="1"/>
  <c r="Y16" i="3570" a="1"/>
  <c r="Y16" i="3570" s="1"/>
  <c r="X51" i="3570" a="1"/>
  <c r="X51" i="3570" s="1"/>
  <c r="Y51" i="3570" a="1"/>
  <c r="Y51" i="3570" s="1"/>
  <c r="X63" i="3570" a="1"/>
  <c r="X63" i="3570" s="1"/>
  <c r="Y63" i="3570" a="1"/>
  <c r="Y63" i="3570" s="1"/>
  <c r="D17" i="3569"/>
  <c r="Q16" i="3570" a="1"/>
  <c r="Q16" i="3570" s="1"/>
  <c r="G17" i="3569" s="1"/>
  <c r="H17" i="3569" s="1" a="1"/>
  <c r="H17" i="3569" s="1"/>
  <c r="P16" i="3570" a="1"/>
  <c r="P16" i="3570" s="1"/>
  <c r="R16" i="3570" a="1"/>
  <c r="R16" i="3570" s="1"/>
  <c r="K52" i="3561"/>
  <c r="L52" i="3561" s="1" a="1"/>
  <c r="L52" i="3561" s="1"/>
  <c r="Q38" i="3435" a="1"/>
  <c r="Q38" i="3435" s="1"/>
  <c r="P38" i="3435" a="1"/>
  <c r="P38" i="3435" s="1"/>
  <c r="O38" i="3435" a="1"/>
  <c r="O38" i="3435" s="1"/>
  <c r="X23" i="3570" a="1"/>
  <c r="X23" i="3570" s="1"/>
  <c r="Y23" i="3570" a="1"/>
  <c r="Y23" i="3570" s="1"/>
  <c r="X65" i="3570" a="1"/>
  <c r="X65" i="3570" s="1"/>
  <c r="Y65" i="3570" a="1"/>
  <c r="Y65" i="3570" s="1"/>
  <c r="K48" i="3561"/>
  <c r="L48" i="3561" s="1" a="1"/>
  <c r="L48" i="3561" s="1"/>
  <c r="Q34" i="3435" a="1"/>
  <c r="Q34" i="3435" s="1"/>
  <c r="P34" i="3435" a="1"/>
  <c r="P34" i="3435" s="1"/>
  <c r="O34" i="3435" a="1"/>
  <c r="O34" i="3435" s="1"/>
  <c r="K55" i="3561"/>
  <c r="L55" i="3561" s="1" a="1"/>
  <c r="L55" i="3561" s="1"/>
  <c r="Q41" i="3435" a="1"/>
  <c r="Q41" i="3435" s="1"/>
  <c r="P41" i="3435" a="1"/>
  <c r="P41" i="3435" s="1"/>
  <c r="O41" i="3435" a="1"/>
  <c r="O41" i="3435" s="1"/>
  <c r="D55" i="3569"/>
  <c r="R54" i="3570" a="1"/>
  <c r="R54" i="3570" s="1"/>
  <c r="Q54" i="3570" a="1"/>
  <c r="Q54" i="3570" s="1"/>
  <c r="G55" i="3569" s="1"/>
  <c r="H55" i="3569" s="1" a="1"/>
  <c r="H55" i="3569" s="1"/>
  <c r="P54" i="3570" a="1"/>
  <c r="P54" i="3570" s="1"/>
  <c r="Y21" i="3518" a="1"/>
  <c r="Y21" i="3518" s="1"/>
  <c r="CG102" i="3448"/>
  <c r="BZ103" i="3448"/>
  <c r="R36" i="3518" a="1"/>
  <c r="R36" i="3518" s="1"/>
  <c r="Y56" i="3518" a="1"/>
  <c r="Y56" i="3518" s="1"/>
  <c r="Y15" i="3518" a="1"/>
  <c r="Y15" i="3518" s="1"/>
  <c r="K53" i="3561"/>
  <c r="L53" i="3561" s="1" a="1"/>
  <c r="L53" i="3561" s="1"/>
  <c r="Q39" i="3435" a="1"/>
  <c r="Q39" i="3435" s="1"/>
  <c r="P39" i="3435" a="1"/>
  <c r="P39" i="3435" s="1"/>
  <c r="O39" i="3435" a="1"/>
  <c r="O39" i="3435" s="1"/>
  <c r="X25" i="3570" a="1"/>
  <c r="X25" i="3570" s="1"/>
  <c r="Y25" i="3570" a="1"/>
  <c r="Y25" i="3570" s="1"/>
  <c r="X49" i="3570" a="1"/>
  <c r="X49" i="3570" s="1"/>
  <c r="Y49" i="3570" a="1"/>
  <c r="Y49" i="3570" s="1"/>
  <c r="K69" i="3561"/>
  <c r="L69" i="3561" s="1" a="1"/>
  <c r="L69" i="3561" s="1"/>
  <c r="Q55" i="3435" a="1"/>
  <c r="Q55" i="3435" s="1"/>
  <c r="P55" i="3435" a="1"/>
  <c r="P55" i="3435" s="1"/>
  <c r="O55" i="3435" a="1"/>
  <c r="O55" i="3435" s="1"/>
  <c r="X62" i="3570" a="1"/>
  <c r="X62" i="3570" s="1"/>
  <c r="Y62" i="3570" a="1"/>
  <c r="Y62" i="3570" s="1"/>
  <c r="R37" i="3518" a="1"/>
  <c r="R37" i="3518" s="1"/>
  <c r="AP18" i="3435"/>
  <c r="AX17" i="3435" a="1"/>
  <c r="AX17" i="3435" s="1"/>
  <c r="X36" i="3570" a="1"/>
  <c r="X36" i="3570" s="1"/>
  <c r="Y36" i="3570" a="1"/>
  <c r="Y36" i="3570" s="1"/>
  <c r="X53" i="3570" a="1"/>
  <c r="X53" i="3570" s="1"/>
  <c r="Y53" i="3570" a="1"/>
  <c r="Y53" i="3570" s="1"/>
  <c r="X58" i="3570" a="1"/>
  <c r="X58" i="3570" s="1"/>
  <c r="Y58" i="3570" a="1"/>
  <c r="Y58" i="3570" s="1"/>
  <c r="K44" i="3561"/>
  <c r="L44" i="3561" s="1" a="1"/>
  <c r="L44" i="3561" s="1"/>
  <c r="Q30" i="3435" a="1"/>
  <c r="Q30" i="3435" s="1"/>
  <c r="P30" i="3435" a="1"/>
  <c r="P30" i="3435" s="1"/>
  <c r="O30" i="3435" a="1"/>
  <c r="O30" i="3435" s="1"/>
  <c r="K54" i="3561"/>
  <c r="L54" i="3561" s="1" a="1"/>
  <c r="L54" i="3561" s="1"/>
  <c r="O40" i="3435" a="1"/>
  <c r="O40" i="3435" s="1"/>
  <c r="P40" i="3435" a="1"/>
  <c r="P40" i="3435" s="1"/>
  <c r="Q40" i="3435" a="1"/>
  <c r="Q40" i="3435" s="1"/>
  <c r="R17" i="3518" a="1"/>
  <c r="R17" i="3518" s="1"/>
  <c r="R39" i="3518" a="1"/>
  <c r="R39" i="3518" s="1"/>
  <c r="D62" i="3569"/>
  <c r="P61" i="3570" a="1"/>
  <c r="P61" i="3570" s="1"/>
  <c r="R61" i="3570" a="1"/>
  <c r="R61" i="3570" s="1"/>
  <c r="Q61" i="3570" a="1"/>
  <c r="Q61" i="3570" s="1"/>
  <c r="G62" i="3569" s="1"/>
  <c r="H62" i="3569" s="1" a="1"/>
  <c r="H62" i="3569" s="1"/>
  <c r="Y51" i="3518" a="1"/>
  <c r="Y51" i="3518" s="1"/>
  <c r="D66" i="3569"/>
  <c r="P65" i="3570" a="1"/>
  <c r="P65" i="3570" s="1"/>
  <c r="R65" i="3570" a="1"/>
  <c r="R65" i="3570" s="1"/>
  <c r="Q65" i="3570" a="1"/>
  <c r="Q65" i="3570" s="1"/>
  <c r="G66" i="3569" s="1"/>
  <c r="H66" i="3569" s="1" a="1"/>
  <c r="H66" i="3569" s="1"/>
  <c r="X48" i="3570" a="1"/>
  <c r="X48" i="3570" s="1"/>
  <c r="Y48" i="3570" a="1"/>
  <c r="Y48" i="3570" s="1"/>
  <c r="X42" i="3570" a="1"/>
  <c r="X42" i="3570" s="1"/>
  <c r="Y42" i="3570" a="1"/>
  <c r="Y42" i="3570" s="1"/>
  <c r="K72" i="3561"/>
  <c r="L72" i="3561" s="1" a="1"/>
  <c r="L72" i="3561" s="1"/>
  <c r="Q58" i="3435" a="1"/>
  <c r="Q58" i="3435" s="1"/>
  <c r="O58" i="3435" a="1"/>
  <c r="O58" i="3435" s="1"/>
  <c r="P58" i="3435" a="1"/>
  <c r="P58" i="3435" s="1"/>
  <c r="K62" i="3561"/>
  <c r="L62" i="3561" s="1" a="1"/>
  <c r="L62" i="3561" s="1"/>
  <c r="Q48" i="3435" a="1"/>
  <c r="Q48" i="3435" s="1"/>
  <c r="P48" i="3435" a="1"/>
  <c r="P48" i="3435" s="1"/>
  <c r="O48" i="3435" a="1"/>
  <c r="O48" i="3435" s="1"/>
  <c r="R33" i="3518" a="1"/>
  <c r="R33" i="3518" s="1"/>
  <c r="K35" i="3561"/>
  <c r="L35" i="3561" s="1" a="1"/>
  <c r="L35" i="3561" s="1"/>
  <c r="O21" i="3435" a="1"/>
  <c r="O21" i="3435" s="1"/>
  <c r="Q21" i="3435" a="1"/>
  <c r="Q21" i="3435" s="1"/>
  <c r="P21" i="3435" a="1"/>
  <c r="P21" i="3435" s="1"/>
  <c r="E65" i="3569"/>
  <c r="F65" i="3569" s="1"/>
  <c r="S64" i="3570" a="1"/>
  <c r="S64" i="3570" s="1"/>
  <c r="D19" i="3569"/>
  <c r="R18" i="3570" a="1"/>
  <c r="R18" i="3570" s="1"/>
  <c r="Q18" i="3570" a="1"/>
  <c r="Q18" i="3570" s="1"/>
  <c r="G19" i="3569" s="1"/>
  <c r="H19" i="3569" s="1" a="1"/>
  <c r="H19" i="3569" s="1"/>
  <c r="P18" i="3570" a="1"/>
  <c r="P18" i="3570" s="1"/>
  <c r="K63" i="3561"/>
  <c r="L63" i="3561" s="1" a="1"/>
  <c r="L63" i="3561" s="1"/>
  <c r="P49" i="3435" a="1"/>
  <c r="P49" i="3435" s="1"/>
  <c r="O49" i="3435" a="1"/>
  <c r="O49" i="3435" s="1"/>
  <c r="Q49" i="3435" a="1"/>
  <c r="Q49" i="3435" s="1"/>
  <c r="K57" i="3561"/>
  <c r="L57" i="3561" s="1" a="1"/>
  <c r="L57" i="3561" s="1"/>
  <c r="Q43" i="3435" a="1"/>
  <c r="Q43" i="3435" s="1"/>
  <c r="P43" i="3435" a="1"/>
  <c r="P43" i="3435" s="1"/>
  <c r="O43" i="3435" a="1"/>
  <c r="O43" i="3435" s="1"/>
  <c r="K33" i="3561"/>
  <c r="L33" i="3561" s="1" a="1"/>
  <c r="L33" i="3561" s="1"/>
  <c r="Q19" i="3435" a="1"/>
  <c r="Q19" i="3435" s="1"/>
  <c r="P19" i="3435" a="1"/>
  <c r="P19" i="3435" s="1"/>
  <c r="O19" i="3435" a="1"/>
  <c r="O19" i="3435" s="1"/>
  <c r="X41" i="3570" a="1"/>
  <c r="X41" i="3570" s="1"/>
  <c r="Y41" i="3570" a="1"/>
  <c r="Y41" i="3570" s="1"/>
  <c r="K38" i="3561"/>
  <c r="L38" i="3561" s="1" a="1"/>
  <c r="L38" i="3561" s="1"/>
  <c r="Q24" i="3435" a="1"/>
  <c r="Q24" i="3435" s="1"/>
  <c r="P24" i="3435" a="1"/>
  <c r="P24" i="3435" s="1"/>
  <c r="O24" i="3435" a="1"/>
  <c r="O24" i="3435" s="1"/>
  <c r="D20" i="3569"/>
  <c r="R19" i="3570" a="1"/>
  <c r="R19" i="3570" s="1"/>
  <c r="Q19" i="3570" a="1"/>
  <c r="Q19" i="3570" s="1"/>
  <c r="G20" i="3569" s="1"/>
  <c r="H20" i="3569" s="1" a="1"/>
  <c r="H20" i="3569" s="1"/>
  <c r="P19" i="3570" a="1"/>
  <c r="P19" i="3570" s="1"/>
  <c r="X64" i="3570" a="1"/>
  <c r="X64" i="3570" s="1"/>
  <c r="Y64" i="3570" a="1"/>
  <c r="Y64" i="3570" s="1"/>
  <c r="D51" i="3569"/>
  <c r="R50" i="3570" a="1"/>
  <c r="R50" i="3570" s="1"/>
  <c r="Q50" i="3570" a="1"/>
  <c r="Q50" i="3570" s="1"/>
  <c r="G51" i="3569" s="1"/>
  <c r="H51" i="3569" s="1" a="1"/>
  <c r="H51" i="3569" s="1"/>
  <c r="P50" i="3570" a="1"/>
  <c r="P50" i="3570" s="1"/>
  <c r="X37" i="3570" a="1"/>
  <c r="X37" i="3570" s="1"/>
  <c r="Y37" i="3570" a="1"/>
  <c r="Y37" i="3570" s="1"/>
  <c r="K71" i="3561"/>
  <c r="L71" i="3561" s="1" a="1"/>
  <c r="L71" i="3561" s="1"/>
  <c r="Q57" i="3435" a="1"/>
  <c r="Q57" i="3435" s="1"/>
  <c r="P57" i="3435" a="1"/>
  <c r="P57" i="3435" s="1"/>
  <c r="O57" i="3435" a="1"/>
  <c r="O57" i="3435" s="1"/>
  <c r="K61" i="3561"/>
  <c r="L61" i="3561" s="1" a="1"/>
  <c r="L61" i="3561" s="1"/>
  <c r="P47" i="3435" a="1"/>
  <c r="P47" i="3435" s="1"/>
  <c r="O47" i="3435" a="1"/>
  <c r="O47" i="3435" s="1"/>
  <c r="Q47" i="3435" a="1"/>
  <c r="Q47" i="3435" s="1"/>
  <c r="AW17" i="3435" a="1"/>
  <c r="AW17" i="3435" s="1"/>
  <c r="AO18" i="3435"/>
  <c r="D18" i="3569"/>
  <c r="R17" i="3570" a="1"/>
  <c r="R17" i="3570" s="1"/>
  <c r="Q17" i="3570" a="1"/>
  <c r="Q17" i="3570" s="1"/>
  <c r="G18" i="3569" s="1"/>
  <c r="H18" i="3569" s="1" a="1"/>
  <c r="H18" i="3569" s="1"/>
  <c r="P17" i="3570" a="1"/>
  <c r="P17" i="3570" s="1"/>
  <c r="D59" i="3569"/>
  <c r="R58" i="3570" a="1"/>
  <c r="R58" i="3570" s="1"/>
  <c r="Q58" i="3570" a="1"/>
  <c r="Q58" i="3570" s="1"/>
  <c r="G59" i="3569" s="1"/>
  <c r="H59" i="3569" s="1" a="1"/>
  <c r="H59" i="3569" s="1"/>
  <c r="P58" i="3570" a="1"/>
  <c r="P58" i="3570" s="1"/>
  <c r="Y23" i="3518" a="1"/>
  <c r="Y23" i="3518" s="1"/>
  <c r="D44" i="3569"/>
  <c r="R43" i="3570" a="1"/>
  <c r="R43" i="3570" s="1"/>
  <c r="Q43" i="3570" a="1"/>
  <c r="Q43" i="3570" s="1"/>
  <c r="G44" i="3569" s="1"/>
  <c r="H44" i="3569" s="1" a="1"/>
  <c r="H44" i="3569" s="1"/>
  <c r="P43" i="3570" a="1"/>
  <c r="P43" i="3570" s="1"/>
  <c r="X56" i="3570" a="1"/>
  <c r="X56" i="3570" s="1"/>
  <c r="Y56" i="3570" a="1"/>
  <c r="Y56" i="3570" s="1"/>
  <c r="BZ19" i="3564"/>
  <c r="BS20" i="3564"/>
  <c r="X32" i="3570" a="1"/>
  <c r="X32" i="3570" s="1"/>
  <c r="Y32" i="3570" a="1"/>
  <c r="Y32" i="3570" s="1"/>
  <c r="K59" i="3561"/>
  <c r="L59" i="3561" s="1" a="1"/>
  <c r="L59" i="3561" s="1"/>
  <c r="P45" i="3435" a="1"/>
  <c r="P45" i="3435" s="1"/>
  <c r="Q45" i="3435" a="1"/>
  <c r="Q45" i="3435" s="1"/>
  <c r="O45" i="3435" a="1"/>
  <c r="O45" i="3435" s="1"/>
  <c r="Y16" i="3518" a="1"/>
  <c r="Y16" i="3518" s="1"/>
  <c r="D35" i="3569"/>
  <c r="R34" i="3570" a="1"/>
  <c r="R34" i="3570" s="1"/>
  <c r="Q34" i="3570" a="1"/>
  <c r="Q34" i="3570" s="1"/>
  <c r="G35" i="3569" s="1"/>
  <c r="H35" i="3569" s="1" a="1"/>
  <c r="H35" i="3569" s="1"/>
  <c r="P34" i="3570" a="1"/>
  <c r="P34" i="3570" s="1"/>
  <c r="X18" i="3570" a="1"/>
  <c r="X18" i="3570" s="1"/>
  <c r="Y18" i="3570" a="1"/>
  <c r="Y18" i="3570" s="1"/>
  <c r="Y60" i="3518" a="1"/>
  <c r="Y60" i="3518" s="1"/>
  <c r="X55" i="3570" a="1"/>
  <c r="X55" i="3570" s="1"/>
  <c r="Y55" i="3570" a="1"/>
  <c r="Y55" i="3570" s="1"/>
  <c r="X44" i="3570" a="1"/>
  <c r="X44" i="3570" s="1"/>
  <c r="Y44" i="3570" a="1"/>
  <c r="Y44" i="3570" s="1"/>
  <c r="R18" i="3518" a="1"/>
  <c r="R18" i="3518" s="1"/>
  <c r="K78" i="3561"/>
  <c r="L78" i="3561" s="1" a="1"/>
  <c r="L78" i="3561" s="1"/>
  <c r="P64" i="3435" a="1"/>
  <c r="P64" i="3435" s="1"/>
  <c r="Q64" i="3435" a="1"/>
  <c r="Q64" i="3435" s="1"/>
  <c r="O64" i="3435" a="1"/>
  <c r="O64" i="3435" s="1"/>
  <c r="K64" i="3561"/>
  <c r="L64" i="3561" s="1" a="1"/>
  <c r="L64" i="3561" s="1"/>
  <c r="Q50" i="3435" a="1"/>
  <c r="Q50" i="3435" s="1"/>
  <c r="O50" i="3435" a="1"/>
  <c r="O50" i="3435" s="1"/>
  <c r="P50" i="3435" a="1"/>
  <c r="P50" i="3435" s="1"/>
  <c r="Y22" i="3518" a="1"/>
  <c r="Y22" i="3518" s="1"/>
  <c r="R14" i="3518" a="1"/>
  <c r="R14" i="3518" s="1"/>
  <c r="D45" i="3569"/>
  <c r="R44" i="3570" a="1"/>
  <c r="R44" i="3570" s="1"/>
  <c r="Q44" i="3570" a="1"/>
  <c r="Q44" i="3570" s="1"/>
  <c r="G45" i="3569" s="1"/>
  <c r="H45" i="3569" s="1" a="1"/>
  <c r="H45" i="3569" s="1"/>
  <c r="P44" i="3570" a="1"/>
  <c r="P44" i="3570" s="1"/>
  <c r="D54" i="3569"/>
  <c r="P53" i="3570" a="1"/>
  <c r="P53" i="3570" s="1"/>
  <c r="R53" i="3570" a="1"/>
  <c r="R53" i="3570" s="1"/>
  <c r="Q53" i="3570" a="1"/>
  <c r="Q53" i="3570" s="1"/>
  <c r="G54" i="3569" s="1"/>
  <c r="H54" i="3569" s="1" a="1"/>
  <c r="H54" i="3569" s="1"/>
  <c r="Y38" i="3518" a="1"/>
  <c r="Y38" i="3518" s="1"/>
  <c r="R55" i="3518" a="1"/>
  <c r="R55" i="3518" s="1"/>
  <c r="D37" i="3569"/>
  <c r="R36" i="3570" a="1"/>
  <c r="R36" i="3570" s="1"/>
  <c r="Q36" i="3570" a="1"/>
  <c r="Q36" i="3570" s="1"/>
  <c r="G37" i="3569" s="1"/>
  <c r="H37" i="3569" s="1" a="1"/>
  <c r="H37" i="3569" s="1"/>
  <c r="P36" i="3570" a="1"/>
  <c r="P36" i="3570" s="1"/>
  <c r="X22" i="3570" a="1"/>
  <c r="X22" i="3570" s="1"/>
  <c r="Y22" i="3570" a="1"/>
  <c r="Y22" i="3570" s="1"/>
  <c r="Y95" i="3434"/>
  <c r="B76" i="3434" s="1"/>
  <c r="B73" i="3434"/>
  <c r="B74" i="3434"/>
  <c r="X59" i="3570" a="1"/>
  <c r="X59" i="3570" s="1"/>
  <c r="Y59" i="3570" a="1"/>
  <c r="Y59" i="3570" s="1"/>
  <c r="D46" i="3569"/>
  <c r="P45" i="3570" a="1"/>
  <c r="P45" i="3570" s="1"/>
  <c r="R45" i="3570" a="1"/>
  <c r="R45" i="3570" s="1"/>
  <c r="Q45" i="3570" a="1"/>
  <c r="Q45" i="3570" s="1"/>
  <c r="G46" i="3569" s="1"/>
  <c r="H46" i="3569" s="1" a="1"/>
  <c r="H46" i="3569" s="1"/>
  <c r="K76" i="3561"/>
  <c r="L76" i="3561" s="1" a="1"/>
  <c r="L76" i="3561" s="1"/>
  <c r="Q62" i="3435" a="1"/>
  <c r="Q62" i="3435" s="1"/>
  <c r="P62" i="3435" a="1"/>
  <c r="P62" i="3435" s="1"/>
  <c r="O62" i="3435" a="1"/>
  <c r="O62" i="3435" s="1"/>
  <c r="K58" i="3561"/>
  <c r="L58" i="3561" s="1" a="1"/>
  <c r="L58" i="3561" s="1"/>
  <c r="P44" i="3435" a="1"/>
  <c r="P44" i="3435" s="1"/>
  <c r="O44" i="3435" a="1"/>
  <c r="O44" i="3435" s="1"/>
  <c r="Q44" i="3435" a="1"/>
  <c r="Q44" i="3435" s="1"/>
  <c r="D36" i="3569"/>
  <c r="R35" i="3570" a="1"/>
  <c r="R35" i="3570" s="1"/>
  <c r="Q35" i="3570" a="1"/>
  <c r="Q35" i="3570" s="1"/>
  <c r="G36" i="3569" s="1"/>
  <c r="H36" i="3569" s="1" a="1"/>
  <c r="H36" i="3569" s="1"/>
  <c r="P35" i="3570" a="1"/>
  <c r="P35" i="3570" s="1"/>
  <c r="Y41" i="3518" a="1"/>
  <c r="Y41" i="3518" s="1"/>
  <c r="D39" i="3569"/>
  <c r="R38" i="3570" a="1"/>
  <c r="R38" i="3570" s="1"/>
  <c r="Q38" i="3570" a="1"/>
  <c r="Q38" i="3570" s="1"/>
  <c r="G39" i="3569" s="1"/>
  <c r="H39" i="3569" s="1" a="1"/>
  <c r="H39" i="3569" s="1"/>
  <c r="P38" i="3570" a="1"/>
  <c r="P38" i="3570" s="1"/>
  <c r="D40" i="3569"/>
  <c r="Q39" i="3570" a="1"/>
  <c r="Q39" i="3570" s="1"/>
  <c r="G40" i="3569" s="1"/>
  <c r="H40" i="3569" s="1" a="1"/>
  <c r="H40" i="3569" s="1"/>
  <c r="R39" i="3570" a="1"/>
  <c r="R39" i="3570" s="1"/>
  <c r="P39" i="3570" a="1"/>
  <c r="P39" i="3570" s="1"/>
  <c r="R43" i="3518" a="1"/>
  <c r="R43" i="3518" s="1"/>
  <c r="R34" i="3518" a="1"/>
  <c r="R34" i="3518" s="1"/>
  <c r="X31" i="3570" a="1"/>
  <c r="X31" i="3570" s="1"/>
  <c r="Y31" i="3570" a="1"/>
  <c r="Y31" i="3570" s="1"/>
  <c r="K37" i="3561"/>
  <c r="L37" i="3561" s="1" a="1"/>
  <c r="L37" i="3561" s="1"/>
  <c r="Q23" i="3435" a="1"/>
  <c r="Q23" i="3435" s="1"/>
  <c r="P23" i="3435" a="1"/>
  <c r="P23" i="3435" s="1"/>
  <c r="O23" i="3435" a="1"/>
  <c r="O23" i="3435" s="1"/>
  <c r="X50" i="3570" a="1"/>
  <c r="X50" i="3570" s="1"/>
  <c r="Y50" i="3570" a="1"/>
  <c r="Y50" i="3570" s="1"/>
  <c r="K49" i="3561"/>
  <c r="L49" i="3561" s="1" a="1"/>
  <c r="L49" i="3561" s="1"/>
  <c r="O35" i="3435" a="1"/>
  <c r="O35" i="3435" s="1"/>
  <c r="Q35" i="3435" a="1"/>
  <c r="Q35" i="3435" s="1"/>
  <c r="P35" i="3435" a="1"/>
  <c r="P35" i="3435" s="1"/>
  <c r="D21" i="3569"/>
  <c r="R20" i="3570" a="1"/>
  <c r="R20" i="3570" s="1"/>
  <c r="Q20" i="3570" a="1"/>
  <c r="Q20" i="3570" s="1"/>
  <c r="G21" i="3569" s="1"/>
  <c r="H21" i="3569" s="1" a="1"/>
  <c r="H21" i="3569" s="1"/>
  <c r="P20" i="3570" a="1"/>
  <c r="P20" i="3570" s="1"/>
  <c r="D56" i="3569"/>
  <c r="Q55" i="3570" a="1"/>
  <c r="Q55" i="3570" s="1"/>
  <c r="G56" i="3569" s="1"/>
  <c r="H56" i="3569" s="1" a="1"/>
  <c r="H56" i="3569" s="1"/>
  <c r="P55" i="3570" a="1"/>
  <c r="P55" i="3570" s="1"/>
  <c r="R55" i="3570" a="1"/>
  <c r="R55" i="3570" s="1"/>
  <c r="E28" i="3569"/>
  <c r="F28" i="3569" s="1"/>
  <c r="S27" i="3570" a="1"/>
  <c r="S27" i="3570" s="1"/>
  <c r="X20" i="3570" a="1"/>
  <c r="X20" i="3570" s="1"/>
  <c r="Y20" i="3570" a="1"/>
  <c r="Y20" i="3570" s="1"/>
  <c r="X19" i="3570" a="1"/>
  <c r="X19" i="3570" s="1"/>
  <c r="Y19" i="3570" a="1"/>
  <c r="Y19" i="3570" s="1"/>
  <c r="Y57" i="3518" a="1"/>
  <c r="Y57" i="3518" s="1"/>
  <c r="X28" i="3570" a="1"/>
  <c r="X28" i="3570" s="1"/>
  <c r="Y28" i="3570" a="1"/>
  <c r="Y28" i="3570" s="1"/>
  <c r="X24" i="3570" a="1"/>
  <c r="X24" i="3570" s="1"/>
  <c r="Y24" i="3570" a="1"/>
  <c r="Y24" i="3570" s="1"/>
  <c r="AU17" i="3435" a="1"/>
  <c r="AU17" i="3435" s="1"/>
  <c r="AM18" i="3435"/>
  <c r="K29" i="3561"/>
  <c r="L29" i="3561" s="1" a="1"/>
  <c r="L29" i="3561" s="1"/>
  <c r="Q15" i="3435" a="1"/>
  <c r="Q15" i="3435" s="1"/>
  <c r="P15" i="3435" a="1"/>
  <c r="P15" i="3435" s="1"/>
  <c r="O15" i="3435" a="1"/>
  <c r="O15" i="3435" s="1"/>
  <c r="K65" i="3561"/>
  <c r="L65" i="3561" s="1" a="1"/>
  <c r="L65" i="3561" s="1"/>
  <c r="P51" i="3435" a="1"/>
  <c r="P51" i="3435" s="1"/>
  <c r="O51" i="3435" a="1"/>
  <c r="O51" i="3435" s="1"/>
  <c r="Q51" i="3435" a="1"/>
  <c r="Q51" i="3435" s="1"/>
  <c r="AT17" i="3435" a="1"/>
  <c r="AT17" i="3435" s="1"/>
  <c r="AL18" i="3435"/>
  <c r="D63" i="3569"/>
  <c r="R62" i="3570" a="1"/>
  <c r="R62" i="3570" s="1"/>
  <c r="Q62" i="3570" a="1"/>
  <c r="Q62" i="3570" s="1"/>
  <c r="G63" i="3569" s="1"/>
  <c r="H63" i="3569" s="1" a="1"/>
  <c r="H63" i="3569" s="1"/>
  <c r="P62" i="3570" a="1"/>
  <c r="P62" i="3570" s="1"/>
  <c r="Y34" i="3518" a="1"/>
  <c r="Y34" i="3518" s="1"/>
  <c r="D50" i="3569"/>
  <c r="R49" i="3570" a="1"/>
  <c r="R49" i="3570" s="1"/>
  <c r="Q49" i="3570" a="1"/>
  <c r="Q49" i="3570" s="1"/>
  <c r="G50" i="3569" s="1"/>
  <c r="H50" i="3569" s="1" a="1"/>
  <c r="H50" i="3569" s="1"/>
  <c r="P49" i="3570" a="1"/>
  <c r="P49" i="3570" s="1"/>
  <c r="X34" i="3570" a="1"/>
  <c r="X34" i="3570" s="1"/>
  <c r="Y34" i="3570" a="1"/>
  <c r="Y34" i="3570" s="1"/>
  <c r="K45" i="3561"/>
  <c r="L45" i="3561" s="1" a="1"/>
  <c r="L45" i="3561" s="1"/>
  <c r="Q31" i="3435" a="1"/>
  <c r="Q31" i="3435" s="1"/>
  <c r="P31" i="3435" a="1"/>
  <c r="P31" i="3435" s="1"/>
  <c r="O31" i="3435" a="1"/>
  <c r="O31" i="3435" s="1"/>
  <c r="X52" i="3570" a="1"/>
  <c r="X52" i="3570" s="1"/>
  <c r="Y52" i="3570" a="1"/>
  <c r="Y52" i="3570" s="1"/>
  <c r="X47" i="3570" a="1"/>
  <c r="X47" i="3570" s="1"/>
  <c r="Y47" i="3570" a="1"/>
  <c r="Y47" i="3570" s="1"/>
  <c r="D133" i="3523"/>
  <c r="V133" i="3523" s="1" a="1"/>
  <c r="V133" i="3523" s="1"/>
  <c r="BR102" i="3448"/>
  <c r="K32" i="3561"/>
  <c r="L32" i="3561" s="1" a="1"/>
  <c r="L32" i="3561" s="1"/>
  <c r="Q18" i="3435" a="1"/>
  <c r="Q18" i="3435" s="1"/>
  <c r="P18" i="3435" a="1"/>
  <c r="P18" i="3435" s="1"/>
  <c r="O18" i="3435" a="1"/>
  <c r="O18" i="3435" s="1"/>
  <c r="K56" i="3561"/>
  <c r="L56" i="3561" s="1" a="1"/>
  <c r="L56" i="3561" s="1"/>
  <c r="P42" i="3435" a="1"/>
  <c r="P42" i="3435" s="1"/>
  <c r="O42" i="3435" a="1"/>
  <c r="O42" i="3435" s="1"/>
  <c r="Q42" i="3435" a="1"/>
  <c r="Q42" i="3435" s="1"/>
  <c r="B133" i="3523"/>
  <c r="BP102" i="3448"/>
  <c r="D38" i="3569"/>
  <c r="P37" i="3570" a="1"/>
  <c r="P37" i="3570" s="1"/>
  <c r="R37" i="3570" a="1"/>
  <c r="R37" i="3570" s="1"/>
  <c r="Q37" i="3570" a="1"/>
  <c r="Q37" i="3570" s="1"/>
  <c r="G38" i="3569" s="1"/>
  <c r="H38" i="3569" s="1" a="1"/>
  <c r="H38" i="3569" s="1"/>
  <c r="Y45" i="3518" a="1"/>
  <c r="Y45" i="3518" s="1"/>
  <c r="Y24" i="3518" a="1"/>
  <c r="Y24" i="3518" s="1"/>
  <c r="D48" i="3569"/>
  <c r="Q47" i="3570" a="1"/>
  <c r="Q47" i="3570" s="1"/>
  <c r="G48" i="3569" s="1"/>
  <c r="H48" i="3569" s="1" a="1"/>
  <c r="H48" i="3569" s="1"/>
  <c r="P47" i="3570" a="1"/>
  <c r="P47" i="3570" s="1"/>
  <c r="R47" i="3570" a="1"/>
  <c r="R47" i="3570" s="1"/>
  <c r="D32" i="3569"/>
  <c r="Q31" i="3570" a="1"/>
  <c r="Q31" i="3570" s="1"/>
  <c r="G32" i="3569" s="1"/>
  <c r="H32" i="3569" s="1" a="1"/>
  <c r="H32" i="3569" s="1"/>
  <c r="P31" i="3570" a="1"/>
  <c r="P31" i="3570" s="1"/>
  <c r="R31" i="3570" a="1"/>
  <c r="R31" i="3570" s="1"/>
  <c r="L132" i="3523" a="1"/>
  <c r="L132" i="3523" s="1"/>
  <c r="E42" i="3569"/>
  <c r="F42" i="3569" s="1"/>
  <c r="AN18" i="3435"/>
  <c r="AV17" i="3435" a="1"/>
  <c r="AV17" i="3435" s="1"/>
  <c r="BD17" i="3435" s="1" a="1"/>
  <c r="BD17" i="3435" s="1"/>
  <c r="BT20" i="3564"/>
  <c r="CA19" i="3564"/>
  <c r="Y32" i="3518" a="1"/>
  <c r="Y32" i="3518" s="1"/>
  <c r="Y30" i="3518" a="1"/>
  <c r="Y30" i="3518" s="1"/>
  <c r="Y13" i="3518" a="1"/>
  <c r="Y13" i="3518" s="1"/>
  <c r="D23" i="3569"/>
  <c r="R22" i="3570" a="1"/>
  <c r="R22" i="3570" s="1"/>
  <c r="Q22" i="3570" a="1"/>
  <c r="Q22" i="3570" s="1"/>
  <c r="G23" i="3569" s="1"/>
  <c r="H23" i="3569" s="1" a="1"/>
  <c r="H23" i="3569" s="1"/>
  <c r="P22" i="3570" a="1"/>
  <c r="P22" i="3570" s="1"/>
  <c r="K75" i="3561"/>
  <c r="L75" i="3561" s="1" a="1"/>
  <c r="L75" i="3561" s="1"/>
  <c r="O61" i="3435" a="1"/>
  <c r="O61" i="3435" s="1"/>
  <c r="Q61" i="3435" a="1"/>
  <c r="Q61" i="3435" s="1"/>
  <c r="P61" i="3435" a="1"/>
  <c r="P61" i="3435" s="1"/>
  <c r="D30" i="3569"/>
  <c r="P29" i="3570" a="1"/>
  <c r="P29" i="3570" s="1"/>
  <c r="Q29" i="3570" a="1"/>
  <c r="Q29" i="3570" s="1"/>
  <c r="G30" i="3569" s="1"/>
  <c r="H30" i="3569" s="1" a="1"/>
  <c r="H30" i="3569" s="1"/>
  <c r="R29" i="3570" a="1"/>
  <c r="R29" i="3570" s="1"/>
  <c r="D27" i="3569"/>
  <c r="R26" i="3570" a="1"/>
  <c r="R26" i="3570" s="1"/>
  <c r="Q26" i="3570" a="1"/>
  <c r="Q26" i="3570" s="1"/>
  <c r="G27" i="3569" s="1"/>
  <c r="H27" i="3569" s="1" a="1"/>
  <c r="H27" i="3569" s="1"/>
  <c r="P26" i="3570" a="1"/>
  <c r="P26" i="3570" s="1"/>
  <c r="D43" i="3569"/>
  <c r="R42" i="3570" a="1"/>
  <c r="R42" i="3570" s="1"/>
  <c r="Q42" i="3570" a="1"/>
  <c r="Q42" i="3570" s="1"/>
  <c r="G43" i="3569" s="1"/>
  <c r="H43" i="3569" s="1" a="1"/>
  <c r="H43" i="3569" s="1"/>
  <c r="P42" i="3570" a="1"/>
  <c r="P42" i="3570" s="1"/>
  <c r="K46" i="3561"/>
  <c r="L46" i="3561" s="1" a="1"/>
  <c r="L46" i="3561" s="1"/>
  <c r="P32" i="3435" a="1"/>
  <c r="P32" i="3435" s="1"/>
  <c r="O32" i="3435" a="1"/>
  <c r="O32" i="3435" s="1"/>
  <c r="Q32" i="3435" a="1"/>
  <c r="Q32" i="3435" s="1"/>
  <c r="X21" i="3570" a="1"/>
  <c r="X21" i="3570" s="1"/>
  <c r="Y21" i="3570" a="1"/>
  <c r="Y21" i="3570" s="1"/>
  <c r="X30" i="3570" a="1"/>
  <c r="X30" i="3570" s="1"/>
  <c r="Y30" i="3570" a="1"/>
  <c r="Y30" i="3570" s="1"/>
  <c r="K51" i="3561"/>
  <c r="L51" i="3561" s="1" a="1"/>
  <c r="L51" i="3561" s="1"/>
  <c r="Q37" i="3435" a="1"/>
  <c r="Q37" i="3435" s="1"/>
  <c r="P37" i="3435" a="1"/>
  <c r="P37" i="3435" s="1"/>
  <c r="O37" i="3435" a="1"/>
  <c r="O37" i="3435" s="1"/>
  <c r="K70" i="3561"/>
  <c r="L70" i="3561" s="1" a="1"/>
  <c r="L70" i="3561" s="1"/>
  <c r="O56" i="3435" a="1"/>
  <c r="O56" i="3435" s="1"/>
  <c r="Q56" i="3435" a="1"/>
  <c r="Q56" i="3435" s="1"/>
  <c r="P56" i="3435" a="1"/>
  <c r="P56" i="3435" s="1"/>
  <c r="D26" i="3569"/>
  <c r="R25" i="3570" a="1"/>
  <c r="R25" i="3570" s="1"/>
  <c r="Q25" i="3570" a="1"/>
  <c r="Q25" i="3570" s="1"/>
  <c r="G26" i="3569" s="1"/>
  <c r="H26" i="3569" s="1" a="1"/>
  <c r="H26" i="3569" s="1"/>
  <c r="P25" i="3570" a="1"/>
  <c r="P25" i="3570" s="1"/>
  <c r="BP19" i="3564"/>
  <c r="BW18" i="3564"/>
  <c r="E57" i="3569"/>
  <c r="F57" i="3569" s="1"/>
  <c r="S56" i="3570" a="1"/>
  <c r="S56" i="3570" s="1"/>
  <c r="C132" i="3523"/>
  <c r="Q132" i="3523" s="1" a="1"/>
  <c r="Q132" i="3523" s="1"/>
  <c r="BQ101" i="3448"/>
  <c r="X29" i="3570" a="1"/>
  <c r="X29" i="3570" s="1"/>
  <c r="Y29" i="3570" a="1"/>
  <c r="Y29" i="3570" s="1"/>
  <c r="X43" i="3570" a="1"/>
  <c r="X43" i="3570" s="1"/>
  <c r="Y43" i="3570" a="1"/>
  <c r="Y43" i="3570" s="1"/>
  <c r="D33" i="3569"/>
  <c r="P32" i="3570" a="1"/>
  <c r="P32" i="3570" s="1"/>
  <c r="R32" i="3570" a="1"/>
  <c r="R32" i="3570" s="1"/>
  <c r="Q32" i="3570" a="1"/>
  <c r="Q32" i="3570" s="1"/>
  <c r="G33" i="3569" s="1"/>
  <c r="H33" i="3569" s="1" a="1"/>
  <c r="H33" i="3569" s="1"/>
  <c r="R20" i="3518" a="1"/>
  <c r="R20" i="3518" s="1"/>
  <c r="X35" i="3570" a="1"/>
  <c r="X35" i="3570" s="1"/>
  <c r="Y35" i="3570" a="1"/>
  <c r="Y35" i="3570" s="1"/>
  <c r="X38" i="3570" a="1"/>
  <c r="X38" i="3570" s="1"/>
  <c r="Y38" i="3570" a="1"/>
  <c r="Y38" i="3570" s="1"/>
  <c r="K66" i="3561"/>
  <c r="L66" i="3561" s="1" a="1"/>
  <c r="L66" i="3561" s="1"/>
  <c r="Q52" i="3435" a="1"/>
  <c r="Q52" i="3435" s="1"/>
  <c r="P52" i="3435" a="1"/>
  <c r="P52" i="3435" s="1"/>
  <c r="O52" i="3435" a="1"/>
  <c r="O52" i="3435" s="1"/>
  <c r="K77" i="3561"/>
  <c r="L77" i="3561" s="1" a="1"/>
  <c r="L77" i="3561" s="1"/>
  <c r="O63" i="3435" a="1"/>
  <c r="O63" i="3435" s="1"/>
  <c r="P63" i="3435" a="1"/>
  <c r="P63" i="3435" s="1"/>
  <c r="Q63" i="3435" a="1"/>
  <c r="Q63" i="3435" s="1"/>
  <c r="Y44" i="3518" a="1"/>
  <c r="Y44" i="3518" s="1"/>
  <c r="AQ18" i="3435"/>
  <c r="AY17" i="3435" a="1"/>
  <c r="AY17" i="3435" s="1"/>
  <c r="R25" i="3518" a="1"/>
  <c r="R25" i="3518" s="1"/>
  <c r="R42" i="3518" a="1"/>
  <c r="R42" i="3518" s="1"/>
  <c r="S46" i="3570" a="1"/>
  <c r="S46" i="3570" s="1"/>
  <c r="X60" i="3570" a="1"/>
  <c r="X60" i="3570" s="1"/>
  <c r="Y60" i="3570" a="1"/>
  <c r="Y60" i="3570" s="1"/>
  <c r="X46" i="3570" a="1"/>
  <c r="X46" i="3570" s="1"/>
  <c r="Y46" i="3570" a="1"/>
  <c r="Y46" i="3570" s="1"/>
  <c r="D31" i="3569"/>
  <c r="R30" i="3570" a="1"/>
  <c r="R30" i="3570" s="1"/>
  <c r="Q30" i="3570" a="1"/>
  <c r="Q30" i="3570" s="1"/>
  <c r="G31" i="3569" s="1"/>
  <c r="H31" i="3569" s="1" a="1"/>
  <c r="H31" i="3569" s="1"/>
  <c r="P30" i="3570" a="1"/>
  <c r="P30" i="3570" s="1"/>
  <c r="K68" i="3561"/>
  <c r="L68" i="3561" s="1" a="1"/>
  <c r="L68" i="3561" s="1"/>
  <c r="O54" i="3435" a="1"/>
  <c r="O54" i="3435" s="1"/>
  <c r="Q54" i="3435" a="1"/>
  <c r="Q54" i="3435" s="1"/>
  <c r="P54" i="3435" a="1"/>
  <c r="P54" i="3435" s="1"/>
  <c r="K43" i="3561"/>
  <c r="L43" i="3561" s="1" a="1"/>
  <c r="L43" i="3561" s="1"/>
  <c r="P29" i="3435" a="1"/>
  <c r="P29" i="3435" s="1"/>
  <c r="O29" i="3435" a="1"/>
  <c r="O29" i="3435" s="1"/>
  <c r="Q29" i="3435" a="1"/>
  <c r="Q29" i="3435" s="1"/>
  <c r="K60" i="3561"/>
  <c r="L60" i="3561" s="1" a="1"/>
  <c r="L60" i="3561" s="1"/>
  <c r="P46" i="3435" a="1"/>
  <c r="P46" i="3435" s="1"/>
  <c r="O46" i="3435" a="1"/>
  <c r="O46" i="3435" s="1"/>
  <c r="Q46" i="3435" a="1"/>
  <c r="Q46" i="3435" s="1"/>
  <c r="R56" i="3518" a="1"/>
  <c r="R56" i="3518" s="1"/>
  <c r="K39" i="3561"/>
  <c r="L39" i="3561" s="1" a="1"/>
  <c r="L39" i="3561" s="1"/>
  <c r="P25" i="3435" a="1"/>
  <c r="P25" i="3435" s="1"/>
  <c r="Q25" i="3435" a="1"/>
  <c r="Q25" i="3435" s="1"/>
  <c r="O25" i="3435" a="1"/>
  <c r="O25" i="3435" s="1"/>
  <c r="X57" i="3570" a="1"/>
  <c r="X57" i="3570" s="1"/>
  <c r="Y57" i="3570" a="1"/>
  <c r="Y57" i="3570" s="1"/>
  <c r="Y52" i="3518" a="1"/>
  <c r="Y52" i="3518" s="1"/>
  <c r="R35" i="3518" a="1"/>
  <c r="R35" i="3518" s="1"/>
  <c r="X26" i="3570" a="1"/>
  <c r="X26" i="3570" s="1"/>
  <c r="Y26" i="3570" a="1"/>
  <c r="Y26" i="3570" s="1"/>
  <c r="X54" i="3570" a="1"/>
  <c r="X54" i="3570" s="1"/>
  <c r="Y54" i="3570" a="1"/>
  <c r="Y54" i="3570" s="1"/>
  <c r="K30" i="3561"/>
  <c r="L30" i="3561" s="1" a="1"/>
  <c r="L30" i="3561" s="1"/>
  <c r="Q16" i="3435" a="1"/>
  <c r="Q16" i="3435" s="1"/>
  <c r="O16" i="3435" a="1"/>
  <c r="O16" i="3435" s="1"/>
  <c r="P16" i="3435" a="1"/>
  <c r="P16" i="3435" s="1"/>
  <c r="K34" i="3561"/>
  <c r="L34" i="3561" s="1" a="1"/>
  <c r="L34" i="3561" s="1"/>
  <c r="Q20" i="3435" a="1"/>
  <c r="Q20" i="3435" s="1"/>
  <c r="O20" i="3435" a="1"/>
  <c r="O20" i="3435" s="1"/>
  <c r="P20" i="3435" a="1"/>
  <c r="P20" i="3435" s="1"/>
  <c r="K67" i="3561"/>
  <c r="L67" i="3561" s="1" a="1"/>
  <c r="L67" i="3561" s="1"/>
  <c r="Q53" i="3435" a="1"/>
  <c r="Q53" i="3435" s="1"/>
  <c r="P53" i="3435" a="1"/>
  <c r="P53" i="3435" s="1"/>
  <c r="O53" i="3435" a="1"/>
  <c r="O53" i="3435" s="1"/>
  <c r="R50" i="3518" a="1"/>
  <c r="R50" i="3518" s="1"/>
  <c r="R53" i="3518" a="1"/>
  <c r="R53" i="3518" s="1"/>
  <c r="Y42" i="3518" a="1"/>
  <c r="Y42" i="3518" s="1"/>
  <c r="Y62" i="3518" a="1"/>
  <c r="Y62" i="3518" s="1"/>
  <c r="K50" i="3561"/>
  <c r="L50" i="3561" s="1" a="1"/>
  <c r="L50" i="3561" s="1"/>
  <c r="P36" i="3435" a="1"/>
  <c r="P36" i="3435" s="1"/>
  <c r="O36" i="3435" a="1"/>
  <c r="O36" i="3435" s="1"/>
  <c r="Q36" i="3435" a="1"/>
  <c r="Q36" i="3435" s="1"/>
  <c r="X45" i="3570" a="1"/>
  <c r="X45" i="3570" s="1"/>
  <c r="Y45" i="3570" a="1"/>
  <c r="Y45" i="3570" s="1"/>
  <c r="X40" i="3570" a="1"/>
  <c r="X40" i="3570" s="1"/>
  <c r="Y40" i="3570" a="1"/>
  <c r="Y40" i="3570" s="1"/>
  <c r="K42" i="3561"/>
  <c r="L42" i="3561" s="1" a="1"/>
  <c r="L42" i="3561" s="1"/>
  <c r="P28" i="3435" a="1"/>
  <c r="P28" i="3435" s="1"/>
  <c r="O28" i="3435" a="1"/>
  <c r="O28" i="3435" s="1"/>
  <c r="Q28" i="3435" a="1"/>
  <c r="Q28" i="3435" s="1"/>
  <c r="K40" i="3561"/>
  <c r="L40" i="3561" s="1" a="1"/>
  <c r="L40" i="3561" s="1"/>
  <c r="Q26" i="3435" a="1"/>
  <c r="Q26" i="3435" s="1"/>
  <c r="P26" i="3435" a="1"/>
  <c r="P26" i="3435" s="1"/>
  <c r="O26" i="3435" a="1"/>
  <c r="O26" i="3435" s="1"/>
  <c r="D53" i="3569"/>
  <c r="R52" i="3570" a="1"/>
  <c r="R52" i="3570" s="1"/>
  <c r="Q52" i="3570" a="1"/>
  <c r="Q52" i="3570" s="1"/>
  <c r="G53" i="3569" s="1"/>
  <c r="H53" i="3569" s="1" a="1"/>
  <c r="H53" i="3569" s="1"/>
  <c r="P52" i="3570" a="1"/>
  <c r="P52" i="3570" s="1"/>
  <c r="R62" i="3518" a="1"/>
  <c r="R62" i="3518" s="1"/>
  <c r="E25" i="3569"/>
  <c r="F25" i="3569" s="1"/>
  <c r="X102" i="3448"/>
  <c r="AB101" i="3448"/>
  <c r="R45" i="3518" a="1"/>
  <c r="R45" i="3518" s="1"/>
  <c r="F132" i="3523"/>
  <c r="AF132" i="3523" s="1" a="1"/>
  <c r="AF132" i="3523" s="1"/>
  <c r="BT101" i="3448"/>
  <c r="Y19" i="3518" a="1"/>
  <c r="Y19" i="3518" s="1"/>
  <c r="Y43" i="3518" a="1"/>
  <c r="Y43" i="3518" s="1"/>
  <c r="AC103" i="3448"/>
  <c r="Y104" i="3448"/>
  <c r="D22" i="3569"/>
  <c r="Q21" i="3570" a="1"/>
  <c r="Q21" i="3570" s="1"/>
  <c r="G22" i="3569" s="1"/>
  <c r="H22" i="3569" s="1" a="1"/>
  <c r="H22" i="3569" s="1"/>
  <c r="P21" i="3570" a="1"/>
  <c r="P21" i="3570" s="1"/>
  <c r="R21" i="3570" a="1"/>
  <c r="R21" i="3570" s="1"/>
  <c r="D34" i="3569"/>
  <c r="R33" i="3570" a="1"/>
  <c r="R33" i="3570" s="1"/>
  <c r="Q33" i="3570" a="1"/>
  <c r="Q33" i="3570" s="1"/>
  <c r="G34" i="3569" s="1"/>
  <c r="H34" i="3569" s="1" a="1"/>
  <c r="H34" i="3569" s="1"/>
  <c r="P33" i="3570" a="1"/>
  <c r="P33" i="3570" s="1"/>
  <c r="D61" i="3569"/>
  <c r="R60" i="3570" a="1"/>
  <c r="R60" i="3570" s="1"/>
  <c r="P60" i="3570" a="1"/>
  <c r="P60" i="3570" s="1"/>
  <c r="Q60" i="3570" a="1"/>
  <c r="Q60" i="3570" s="1"/>
  <c r="G61" i="3569" s="1"/>
  <c r="H61" i="3569" s="1" a="1"/>
  <c r="H61" i="3569" s="1"/>
  <c r="R21" i="3518" a="1"/>
  <c r="R21" i="3518" s="1"/>
  <c r="D64" i="3569"/>
  <c r="P63" i="3570" a="1"/>
  <c r="P63" i="3570" s="1"/>
  <c r="R63" i="3570" a="1"/>
  <c r="R63" i="3570" s="1"/>
  <c r="Q63" i="3570" a="1"/>
  <c r="Q63" i="3570" s="1"/>
  <c r="G64" i="3569" s="1"/>
  <c r="H64" i="3569" s="1" a="1"/>
  <c r="H64" i="3569" s="1"/>
  <c r="K73" i="3561"/>
  <c r="L73" i="3561" s="1" a="1"/>
  <c r="L73" i="3561" s="1"/>
  <c r="Q59" i="3435" a="1"/>
  <c r="Q59" i="3435" s="1"/>
  <c r="O59" i="3435" a="1"/>
  <c r="O59" i="3435" s="1"/>
  <c r="P59" i="3435" a="1"/>
  <c r="P59" i="3435" s="1"/>
  <c r="X27" i="3570" a="1"/>
  <c r="X27" i="3570" s="1"/>
  <c r="Y27" i="3570" a="1"/>
  <c r="Y27" i="3570" s="1"/>
  <c r="X17" i="3570" a="1"/>
  <c r="X17" i="3570" s="1"/>
  <c r="Y17" i="3570" a="1"/>
  <c r="Y17" i="3570" s="1"/>
  <c r="K41" i="3561"/>
  <c r="L41" i="3561" s="1" a="1"/>
  <c r="L41" i="3561" s="1"/>
  <c r="Q27" i="3435" a="1"/>
  <c r="Q27" i="3435" s="1"/>
  <c r="O27" i="3435" a="1"/>
  <c r="O27" i="3435" s="1"/>
  <c r="P27" i="3435" a="1"/>
  <c r="P27" i="3435" s="1"/>
  <c r="K47" i="3561"/>
  <c r="L47" i="3561" s="1" a="1"/>
  <c r="L47" i="3561" s="1"/>
  <c r="O33" i="3435" a="1"/>
  <c r="O33" i="3435" s="1"/>
  <c r="P33" i="3435" a="1"/>
  <c r="P33" i="3435" s="1"/>
  <c r="Q33" i="3435" a="1"/>
  <c r="Q33" i="3435" s="1"/>
  <c r="Y37" i="3518" a="1"/>
  <c r="Y37" i="3518" s="1"/>
  <c r="Z101" i="3448"/>
  <c r="AD100" i="3448"/>
  <c r="R41" i="3518" a="1"/>
  <c r="R41" i="3518" s="1"/>
  <c r="D29" i="3569"/>
  <c r="R28" i="3570" a="1"/>
  <c r="R28" i="3570" s="1"/>
  <c r="Q28" i="3570" a="1"/>
  <c r="Q28" i="3570" s="1"/>
  <c r="G29" i="3569" s="1"/>
  <c r="H29" i="3569" s="1" a="1"/>
  <c r="H29" i="3569" s="1"/>
  <c r="P28" i="3570" a="1"/>
  <c r="P28" i="3570" s="1"/>
  <c r="D52" i="3569"/>
  <c r="R51" i="3570" a="1"/>
  <c r="R51" i="3570" s="1"/>
  <c r="Q51" i="3570" a="1"/>
  <c r="Q51" i="3570" s="1"/>
  <c r="G52" i="3569" s="1"/>
  <c r="H52" i="3569" s="1" a="1"/>
  <c r="H52" i="3569" s="1"/>
  <c r="P51" i="3570" a="1"/>
  <c r="P51" i="3570" s="1"/>
  <c r="X61" i="3570" a="1"/>
  <c r="X61" i="3570" s="1"/>
  <c r="Y61" i="3570" a="1"/>
  <c r="Y61" i="3570" s="1"/>
  <c r="K36" i="3561"/>
  <c r="L36" i="3561" s="1" a="1"/>
  <c r="L36" i="3561" s="1"/>
  <c r="O22" i="3435" a="1"/>
  <c r="O22" i="3435" s="1"/>
  <c r="Q22" i="3435" a="1"/>
  <c r="Q22" i="3435" s="1"/>
  <c r="P22" i="3435" a="1"/>
  <c r="P22" i="3435" s="1"/>
  <c r="E133" i="3523"/>
  <c r="AA133" i="3523" s="1" a="1"/>
  <c r="AA133" i="3523" s="1"/>
  <c r="BS102" i="3448"/>
  <c r="AK18" i="3435"/>
  <c r="AS17" i="3435" a="1"/>
  <c r="AS17" i="3435" s="1"/>
  <c r="B72" i="3434"/>
  <c r="X95" i="3434"/>
  <c r="B71" i="3434"/>
  <c r="X39" i="3570" a="1"/>
  <c r="X39" i="3570" s="1"/>
  <c r="Y39" i="3570" a="1"/>
  <c r="Y39" i="3570" s="1"/>
  <c r="X33" i="3570" a="1"/>
  <c r="X33" i="3570" s="1"/>
  <c r="Y33" i="3570" a="1"/>
  <c r="Y33" i="3570" s="1"/>
  <c r="K74" i="3561"/>
  <c r="L74" i="3561" s="1" a="1"/>
  <c r="L74" i="3561" s="1"/>
  <c r="P60" i="3435" a="1"/>
  <c r="P60" i="3435" s="1"/>
  <c r="O60" i="3435" a="1"/>
  <c r="O60" i="3435" s="1"/>
  <c r="Q60" i="3435" a="1"/>
  <c r="Q60" i="3435" s="1"/>
  <c r="K31" i="3561"/>
  <c r="L31" i="3561" s="1" a="1"/>
  <c r="L31" i="3561" s="1"/>
  <c r="Q17" i="3435" a="1"/>
  <c r="Q17" i="3435" s="1"/>
  <c r="P17" i="3435" a="1"/>
  <c r="P17" i="3435" s="1"/>
  <c r="O17" i="3435" a="1"/>
  <c r="O17" i="3435" s="1"/>
  <c r="Y50" i="3518" a="1"/>
  <c r="Y50" i="3518" s="1"/>
  <c r="R51" i="3518" a="1"/>
  <c r="R51" i="3518" s="1"/>
  <c r="R60" i="3518" a="1"/>
  <c r="R60" i="3518" s="1"/>
  <c r="R54" i="3518" a="1"/>
  <c r="R54" i="3518" s="1"/>
  <c r="D49" i="3569"/>
  <c r="P48" i="3570" a="1"/>
  <c r="P48" i="3570" s="1"/>
  <c r="Q48" i="3570" a="1"/>
  <c r="Q48" i="3570" s="1"/>
  <c r="G49" i="3569" s="1"/>
  <c r="H49" i="3569" s="1" a="1"/>
  <c r="H49" i="3569" s="1"/>
  <c r="R48" i="3570" a="1"/>
  <c r="R48" i="3570" s="1"/>
  <c r="Y48" i="3518" a="1"/>
  <c r="Y48" i="3518" s="1"/>
  <c r="E41" i="3569"/>
  <c r="F41" i="3569" s="1"/>
  <c r="S40" i="3570" a="1"/>
  <c r="S40" i="3570" s="1"/>
  <c r="Y53" i="3518" a="1"/>
  <c r="Y53" i="3518" s="1"/>
  <c r="Y40" i="3518" a="1"/>
  <c r="Y40" i="3518" s="1"/>
  <c r="Y47" i="3518" a="1"/>
  <c r="Y47" i="3518" s="1"/>
  <c r="D24" i="3569"/>
  <c r="R23" i="3570" a="1"/>
  <c r="R23" i="3570" s="1"/>
  <c r="Q23" i="3570" a="1"/>
  <c r="Q23" i="3570" s="1"/>
  <c r="G24" i="3569" s="1"/>
  <c r="H24" i="3569" s="1" a="1"/>
  <c r="H24" i="3569" s="1"/>
  <c r="P23" i="3570" a="1"/>
  <c r="P23" i="3570" s="1"/>
  <c r="S41" i="3570" l="1" a="1"/>
  <c r="S41" i="3570" s="1"/>
  <c r="R13" i="3518" a="1"/>
  <c r="R13" i="3518" s="1"/>
  <c r="S59" i="3570" a="1"/>
  <c r="S59" i="3570" s="1"/>
  <c r="R19" i="3518" a="1"/>
  <c r="R19" i="3518" s="1"/>
  <c r="R24" i="3518" a="1"/>
  <c r="R24" i="3518" s="1"/>
  <c r="R23" i="3518" a="1"/>
  <c r="R23" i="3518" s="1"/>
  <c r="R61" i="3518" a="1"/>
  <c r="R61" i="3518" s="1"/>
  <c r="R46" i="3435" a="1"/>
  <c r="R46" i="3435" s="1"/>
  <c r="T39" i="3576"/>
  <c r="R57" i="3435" a="1"/>
  <c r="R57" i="3435" s="1"/>
  <c r="R49" i="3435" a="1"/>
  <c r="R49" i="3435" s="1"/>
  <c r="U42" i="3576" a="1"/>
  <c r="U42" i="3576" s="1"/>
  <c r="AD42" i="3576" s="1"/>
  <c r="AD43" i="3576" a="1"/>
  <c r="AD43" i="3576" s="1"/>
  <c r="R17" i="3435" a="1"/>
  <c r="R17" i="3435" s="1"/>
  <c r="R39" i="3576"/>
  <c r="X40" i="3576" s="1"/>
  <c r="R37" i="3435" a="1"/>
  <c r="R37" i="3435" s="1"/>
  <c r="C51" i="3576"/>
  <c r="C49" i="3576"/>
  <c r="D48" i="3576" a="1"/>
  <c r="D48" i="3576" s="1"/>
  <c r="I45" i="3576" a="1"/>
  <c r="I45" i="3576" s="1"/>
  <c r="E45" i="3576" a="1"/>
  <c r="E45" i="3576" s="1"/>
  <c r="K45" i="3576" a="1"/>
  <c r="K45" i="3576" s="1"/>
  <c r="X45" i="3576" s="1"/>
  <c r="J45" i="3576" a="1"/>
  <c r="J45" i="3576" s="1"/>
  <c r="G45" i="3576" a="1"/>
  <c r="G45" i="3576" s="1"/>
  <c r="L45" i="3576" a="1"/>
  <c r="L45" i="3576" s="1"/>
  <c r="H45" i="3576" a="1"/>
  <c r="H45" i="3576" s="1"/>
  <c r="F45" i="3576" a="1"/>
  <c r="F45" i="3576" s="1"/>
  <c r="O45" i="3576" a="1"/>
  <c r="O45" i="3576" s="1"/>
  <c r="Z64" i="3570" a="1"/>
  <c r="Z64" i="3570" s="1"/>
  <c r="B42" i="3576"/>
  <c r="S42" i="3576" a="1"/>
  <c r="S42" i="3576" s="1"/>
  <c r="N42" i="3576" a="1"/>
  <c r="N42" i="3576" s="1"/>
  <c r="P42" i="3576" s="1" a="1"/>
  <c r="P42" i="3576" s="1"/>
  <c r="T42" i="3576" s="1"/>
  <c r="M42" i="3576" a="1"/>
  <c r="M42" i="3576" s="1"/>
  <c r="Z42" i="3576" s="1" a="1"/>
  <c r="Z42" i="3576" s="1"/>
  <c r="AB42" i="3576" a="1"/>
  <c r="AB42" i="3576" s="1"/>
  <c r="AE43" i="3576" s="1"/>
  <c r="Q42" i="3576"/>
  <c r="R26" i="3435" a="1"/>
  <c r="R26" i="3435" s="1"/>
  <c r="Z29" i="3570" a="1"/>
  <c r="Z29" i="3570" s="1"/>
  <c r="R34" i="3435" a="1"/>
  <c r="R34" i="3435" s="1"/>
  <c r="R18" i="3435" a="1"/>
  <c r="R18" i="3435" s="1"/>
  <c r="Z32" i="3570" a="1"/>
  <c r="Z32" i="3570" s="1"/>
  <c r="R19" i="3435" a="1"/>
  <c r="R19" i="3435" s="1"/>
  <c r="R53" i="3435" a="1"/>
  <c r="R53" i="3435" s="1"/>
  <c r="Z62" i="3570" a="1"/>
  <c r="Z62" i="3570" s="1"/>
  <c r="R24" i="3435" a="1"/>
  <c r="R24" i="3435" s="1"/>
  <c r="R55" i="3435" a="1"/>
  <c r="R55" i="3435" s="1"/>
  <c r="Z65" i="3570" a="1"/>
  <c r="Z65" i="3570" s="1"/>
  <c r="Z17" i="3570" a="1"/>
  <c r="Z17" i="3570" s="1"/>
  <c r="R64" i="3435" a="1"/>
  <c r="R64" i="3435" s="1"/>
  <c r="Z23" i="3570" a="1"/>
  <c r="Z23" i="3570" s="1"/>
  <c r="Z45" i="3570" a="1"/>
  <c r="Z45" i="3570" s="1"/>
  <c r="S57" i="3570" a="1"/>
  <c r="S57" i="3570" s="1"/>
  <c r="Z36" i="3570" a="1"/>
  <c r="Z36" i="3570" s="1"/>
  <c r="Z39" i="3570" a="1"/>
  <c r="Z39" i="3570" s="1"/>
  <c r="R42" i="3435" a="1"/>
  <c r="R42" i="3435" s="1"/>
  <c r="AL17" i="3564"/>
  <c r="AS16" i="3564"/>
  <c r="BY18" i="3564"/>
  <c r="BR19" i="3564"/>
  <c r="R54" i="3435" a="1"/>
  <c r="R54" i="3435" s="1"/>
  <c r="R33" i="3435" a="1"/>
  <c r="R33" i="3435" s="1"/>
  <c r="AK17" i="3564"/>
  <c r="AR16" i="3564"/>
  <c r="R41" i="3435" a="1"/>
  <c r="R41" i="3435" s="1"/>
  <c r="Z41" i="3570" a="1"/>
  <c r="Z41" i="3570" s="1"/>
  <c r="R48" i="3435" a="1"/>
  <c r="R48" i="3435" s="1"/>
  <c r="X16" i="3564"/>
  <c r="AB15" i="3564"/>
  <c r="Z38" i="3570" a="1"/>
  <c r="Z38" i="3570" s="1"/>
  <c r="Z35" i="3570" a="1"/>
  <c r="Z35" i="3570" s="1"/>
  <c r="Z56" i="3570" a="1"/>
  <c r="Z56" i="3570" s="1"/>
  <c r="AH17" i="3564"/>
  <c r="AO16" i="3564"/>
  <c r="BI16" i="3564"/>
  <c r="BE17" i="3564"/>
  <c r="R25" i="3435" a="1"/>
  <c r="R25" i="3435" s="1"/>
  <c r="Z46" i="3570" a="1"/>
  <c r="Z46" i="3570" s="1"/>
  <c r="R56" i="3435" a="1"/>
  <c r="R56" i="3435" s="1"/>
  <c r="Z47" i="3570" a="1"/>
  <c r="Z47" i="3570" s="1"/>
  <c r="R15" i="3435" a="1"/>
  <c r="R15" i="3435" s="1"/>
  <c r="R43" i="3435" a="1"/>
  <c r="R43" i="3435" s="1"/>
  <c r="AQ17" i="3564"/>
  <c r="AJ18" i="3564"/>
  <c r="BO19" i="3564"/>
  <c r="BV18" i="3564"/>
  <c r="R58" i="3435" a="1"/>
  <c r="R58" i="3435" s="1"/>
  <c r="BQ19" i="3564"/>
  <c r="BX18" i="3564"/>
  <c r="Z61" i="3570" a="1"/>
  <c r="Z61" i="3570" s="1"/>
  <c r="AT16" i="3564"/>
  <c r="AM17" i="3564"/>
  <c r="R44" i="3435" a="1"/>
  <c r="R44" i="3435" s="1"/>
  <c r="Z55" i="3570" a="1"/>
  <c r="Z55" i="3570" s="1"/>
  <c r="R39" i="3435" a="1"/>
  <c r="R39" i="3435" s="1"/>
  <c r="Y17" i="3564"/>
  <c r="AC16" i="3564"/>
  <c r="BU18" i="3564"/>
  <c r="BN19" i="3564"/>
  <c r="R61" i="3435" a="1"/>
  <c r="R61" i="3435" s="1"/>
  <c r="R28" i="3435" a="1"/>
  <c r="R28" i="3435" s="1"/>
  <c r="R20" i="3435" a="1"/>
  <c r="R20" i="3435" s="1"/>
  <c r="Z24" i="3570" a="1"/>
  <c r="Z24" i="3570" s="1"/>
  <c r="R23" i="3435" a="1"/>
  <c r="R23" i="3435" s="1"/>
  <c r="R38" i="3435" a="1"/>
  <c r="R38" i="3435" s="1"/>
  <c r="BD17" i="3564"/>
  <c r="BH16" i="3564"/>
  <c r="Z17" i="3564"/>
  <c r="AD16" i="3564"/>
  <c r="AN16" i="3564"/>
  <c r="AG17" i="3564"/>
  <c r="AI17" i="3564"/>
  <c r="AP16" i="3564"/>
  <c r="R63" i="3435" a="1"/>
  <c r="R63" i="3435" s="1"/>
  <c r="BJ16" i="3564"/>
  <c r="BF17" i="3564"/>
  <c r="E23" i="3569"/>
  <c r="F23" i="3569" s="1"/>
  <c r="S22" i="3570" a="1"/>
  <c r="S22" i="3570" s="1"/>
  <c r="M45" i="3561"/>
  <c r="X45" i="3561" s="1" a="1"/>
  <c r="X45" i="3561" s="1"/>
  <c r="S31" i="3435" a="1"/>
  <c r="S31" i="3435" s="1"/>
  <c r="AU18" i="3435" a="1"/>
  <c r="AU18" i="3435" s="1"/>
  <c r="BC18" i="3435" s="1" a="1"/>
  <c r="BC18" i="3435" s="1"/>
  <c r="AM19" i="3435"/>
  <c r="C49" i="3561"/>
  <c r="A49" i="3561" s="1"/>
  <c r="N49" i="3561" a="1"/>
  <c r="N49" i="3561" s="1"/>
  <c r="T49" i="3561" s="1"/>
  <c r="S49" i="3561" a="1"/>
  <c r="S49" i="3561" s="1"/>
  <c r="E51" i="3569"/>
  <c r="F51" i="3569" s="1"/>
  <c r="S50" i="3570" a="1"/>
  <c r="S50" i="3570" s="1"/>
  <c r="S54" i="3561" a="1"/>
  <c r="S54" i="3561" s="1"/>
  <c r="N54" i="3561" a="1"/>
  <c r="N54" i="3561" s="1"/>
  <c r="T54" i="3561" s="1"/>
  <c r="C48" i="3561"/>
  <c r="A48" i="3561" s="1"/>
  <c r="S48" i="3561" a="1"/>
  <c r="S48" i="3561" s="1"/>
  <c r="N48" i="3561" a="1"/>
  <c r="N48" i="3561" s="1"/>
  <c r="T48" i="3561" s="1"/>
  <c r="S57" i="3561" a="1"/>
  <c r="S57" i="3561" s="1"/>
  <c r="N57" i="3561" a="1"/>
  <c r="N57" i="3561" s="1"/>
  <c r="T57" i="3561" s="1"/>
  <c r="R30" i="3435" a="1"/>
  <c r="R30" i="3435" s="1"/>
  <c r="Z25" i="3570" a="1"/>
  <c r="Z25" i="3570" s="1"/>
  <c r="N45" i="3561" a="1"/>
  <c r="N45" i="3561" s="1"/>
  <c r="T45" i="3561" s="1"/>
  <c r="S45" i="3561" a="1"/>
  <c r="S45" i="3561" s="1"/>
  <c r="C45" i="3561"/>
  <c r="A45" i="3561" s="1"/>
  <c r="Z50" i="3570" a="1"/>
  <c r="Z50" i="3570" s="1"/>
  <c r="M58" i="3561"/>
  <c r="O58" i="3561" s="1" a="1"/>
  <c r="O58" i="3561" s="1"/>
  <c r="Q58" i="3561" s="1" a="1"/>
  <c r="Q58" i="3561" s="1"/>
  <c r="S44" i="3435" a="1"/>
  <c r="S44" i="3435" s="1"/>
  <c r="E59" i="3569"/>
  <c r="F59" i="3569" s="1"/>
  <c r="S58" i="3570" a="1"/>
  <c r="S58" i="3570" s="1"/>
  <c r="S72" i="3561" a="1"/>
  <c r="S72" i="3561" s="1"/>
  <c r="N72" i="3561" a="1"/>
  <c r="N72" i="3561" s="1"/>
  <c r="T72" i="3561" s="1"/>
  <c r="M44" i="3561"/>
  <c r="V44" i="3561" s="1" a="1"/>
  <c r="V44" i="3561" s="1"/>
  <c r="S30" i="3435" a="1"/>
  <c r="S30" i="3435" s="1"/>
  <c r="AQ19" i="3435"/>
  <c r="AY18" i="3435" a="1"/>
  <c r="AY18" i="3435" s="1"/>
  <c r="BG18" i="3435" s="1" a="1"/>
  <c r="BG18" i="3435" s="1"/>
  <c r="Z33" i="3570" a="1"/>
  <c r="Z33" i="3570" s="1"/>
  <c r="N60" i="3561" a="1"/>
  <c r="N60" i="3561" s="1"/>
  <c r="T60" i="3561" s="1"/>
  <c r="S60" i="3561" a="1"/>
  <c r="S60" i="3561" s="1"/>
  <c r="M53" i="3561"/>
  <c r="U53" i="3561" s="1" a="1"/>
  <c r="U53" i="3561" s="1"/>
  <c r="S39" i="3435" a="1"/>
  <c r="S39" i="3435" s="1"/>
  <c r="Z21" i="3570" a="1"/>
  <c r="Z21" i="3570" s="1"/>
  <c r="N58" i="3561" a="1"/>
  <c r="N58" i="3561" s="1"/>
  <c r="T58" i="3561" s="1"/>
  <c r="S58" i="3561" a="1"/>
  <c r="S58" i="3561" s="1"/>
  <c r="S73" i="3561" a="1"/>
  <c r="S73" i="3561" s="1"/>
  <c r="N73" i="3561" a="1"/>
  <c r="N73" i="3561" s="1"/>
  <c r="T73" i="3561" s="1"/>
  <c r="Z40" i="3570" a="1"/>
  <c r="Z40" i="3570" s="1"/>
  <c r="R16" i="3435" a="1"/>
  <c r="R16" i="3435" s="1"/>
  <c r="AF13" i="3518"/>
  <c r="AC13" i="3518"/>
  <c r="AB13" i="3518"/>
  <c r="AE13" i="3518"/>
  <c r="AD13" i="3518"/>
  <c r="AA13" i="3518"/>
  <c r="E38" i="3569"/>
  <c r="F38" i="3569" s="1"/>
  <c r="S37" i="3570" a="1"/>
  <c r="S37" i="3570" s="1"/>
  <c r="Z34" i="3570" a="1"/>
  <c r="Z34" i="3570" s="1"/>
  <c r="M37" i="3561"/>
  <c r="X37" i="3561" s="1" a="1"/>
  <c r="X37" i="3561" s="1"/>
  <c r="S23" i="3435" a="1"/>
  <c r="S23" i="3435" s="1"/>
  <c r="R62" i="3435" a="1"/>
  <c r="R62" i="3435" s="1"/>
  <c r="Z18" i="3570" a="1"/>
  <c r="Z18" i="3570" s="1"/>
  <c r="M63" i="3561"/>
  <c r="Y63" i="3561" s="1" a="1"/>
  <c r="Y63" i="3561" s="1"/>
  <c r="S49" i="3435" a="1"/>
  <c r="S49" i="3435" s="1"/>
  <c r="Z42" i="3570" a="1"/>
  <c r="Z42" i="3570" s="1"/>
  <c r="N44" i="3561" a="1"/>
  <c r="N44" i="3561" s="1"/>
  <c r="T44" i="3561" s="1"/>
  <c r="S44" i="3561" a="1"/>
  <c r="S44" i="3561" s="1"/>
  <c r="C44" i="3561"/>
  <c r="A44" i="3561" s="1"/>
  <c r="M30" i="3561"/>
  <c r="S16" i="3435" a="1"/>
  <c r="S16" i="3435" s="1"/>
  <c r="Z102" i="3448"/>
  <c r="AD101" i="3448"/>
  <c r="R29" i="3435" a="1"/>
  <c r="R29" i="3435" s="1"/>
  <c r="M77" i="3561"/>
  <c r="V77" i="3561" s="1" a="1"/>
  <c r="V77" i="3561" s="1"/>
  <c r="S63" i="3435" a="1"/>
  <c r="S63" i="3435" s="1"/>
  <c r="R32" i="3435" a="1"/>
  <c r="R32" i="3435" s="1"/>
  <c r="E50" i="3569"/>
  <c r="F50" i="3569" s="1"/>
  <c r="S49" i="3570" a="1"/>
  <c r="S49" i="3570" s="1"/>
  <c r="Z28" i="3570" a="1"/>
  <c r="Z28" i="3570" s="1"/>
  <c r="M76" i="3561"/>
  <c r="U76" i="3561" s="1" a="1"/>
  <c r="U76" i="3561" s="1"/>
  <c r="S62" i="3435" a="1"/>
  <c r="S62" i="3435" s="1"/>
  <c r="E54" i="3569"/>
  <c r="F54" i="3569" s="1"/>
  <c r="S53" i="3570" a="1"/>
  <c r="S53" i="3570" s="1"/>
  <c r="E35" i="3569"/>
  <c r="F35" i="3569" s="1"/>
  <c r="S34" i="3570" a="1"/>
  <c r="S34" i="3570" s="1"/>
  <c r="N63" i="3561" a="1"/>
  <c r="N63" i="3561" s="1"/>
  <c r="T63" i="3561" s="1"/>
  <c r="S63" i="3561" a="1"/>
  <c r="S63" i="3561" s="1"/>
  <c r="S53" i="3561" a="1"/>
  <c r="S53" i="3561" s="1"/>
  <c r="N53" i="3561" a="1"/>
  <c r="N53" i="3561" s="1"/>
  <c r="T53" i="3561" s="1"/>
  <c r="E19" i="3569"/>
  <c r="F19" i="3569" s="1"/>
  <c r="S18" i="3570" a="1"/>
  <c r="S18" i="3570" s="1"/>
  <c r="Z48" i="3570" a="1"/>
  <c r="Z48" i="3570" s="1"/>
  <c r="M52" i="3561"/>
  <c r="V52" i="3561" s="1" a="1"/>
  <c r="V52" i="3561" s="1"/>
  <c r="S38" i="3435" a="1"/>
  <c r="S38" i="3435" s="1"/>
  <c r="S46" i="3561" a="1"/>
  <c r="S46" i="3561" s="1"/>
  <c r="N46" i="3561" a="1"/>
  <c r="N46" i="3561" s="1"/>
  <c r="T46" i="3561" s="1"/>
  <c r="C46" i="3561"/>
  <c r="A46" i="3561" s="1"/>
  <c r="L133" i="3523" a="1"/>
  <c r="L133" i="3523" s="1"/>
  <c r="S76" i="3561" a="1"/>
  <c r="S76" i="3561" s="1"/>
  <c r="N76" i="3561" a="1"/>
  <c r="N76" i="3561" s="1"/>
  <c r="T76" i="3561" s="1"/>
  <c r="E45" i="3569"/>
  <c r="F45" i="3569" s="1"/>
  <c r="S44" i="3570" a="1"/>
  <c r="S44" i="3570" s="1"/>
  <c r="AC60" i="3569"/>
  <c r="W60" i="3569" a="1"/>
  <c r="W60" i="3569" s="1"/>
  <c r="I60" i="3569" a="1"/>
  <c r="I60" i="3569" s="1"/>
  <c r="U60" i="3569" s="1" a="1"/>
  <c r="U60" i="3569" s="1"/>
  <c r="M73" i="3561"/>
  <c r="R73" i="3561" s="1" a="1"/>
  <c r="R73" i="3561" s="1"/>
  <c r="S59" i="3435" a="1"/>
  <c r="S59" i="3435" s="1"/>
  <c r="Z30" i="3570" a="1"/>
  <c r="Z30" i="3570" s="1"/>
  <c r="N34" i="3561" a="1"/>
  <c r="N34" i="3561" s="1"/>
  <c r="T34" i="3561" s="1"/>
  <c r="C34" i="3561"/>
  <c r="A34" i="3561" s="1"/>
  <c r="S34" i="3561" a="1"/>
  <c r="S34" i="3561" s="1"/>
  <c r="C37" i="3561"/>
  <c r="A37" i="3561" s="1"/>
  <c r="N37" i="3561" a="1"/>
  <c r="N37" i="3561" s="1"/>
  <c r="T37" i="3561" s="1"/>
  <c r="S37" i="3561" a="1"/>
  <c r="S37" i="3561" s="1"/>
  <c r="E64" i="3569"/>
  <c r="F64" i="3569" s="1"/>
  <c r="S63" i="3570" a="1"/>
  <c r="S63" i="3570" s="1"/>
  <c r="C43" i="3561"/>
  <c r="A43" i="3561" s="1"/>
  <c r="N43" i="3561" a="1"/>
  <c r="N43" i="3561" s="1"/>
  <c r="T43" i="3561" s="1"/>
  <c r="S43" i="3561" a="1"/>
  <c r="S43" i="3561" s="1"/>
  <c r="S77" i="3561" a="1"/>
  <c r="S77" i="3561" s="1"/>
  <c r="N77" i="3561" a="1"/>
  <c r="N77" i="3561" s="1"/>
  <c r="T77" i="3561" s="1"/>
  <c r="M47" i="3561"/>
  <c r="Y47" i="3561" s="1" a="1"/>
  <c r="Y47" i="3561" s="1"/>
  <c r="S33" i="3435" a="1"/>
  <c r="S33" i="3435" s="1"/>
  <c r="R36" i="3435" a="1"/>
  <c r="R36" i="3435" s="1"/>
  <c r="Z54" i="3570" a="1"/>
  <c r="Z54" i="3570" s="1"/>
  <c r="M68" i="3561"/>
  <c r="X68" i="3561" s="1" a="1"/>
  <c r="X68" i="3561" s="1"/>
  <c r="S54" i="3435" a="1"/>
  <c r="S54" i="3435" s="1"/>
  <c r="R52" i="3435" a="1"/>
  <c r="R52" i="3435" s="1"/>
  <c r="E43" i="3569"/>
  <c r="F43" i="3569" s="1"/>
  <c r="S42" i="3570" a="1"/>
  <c r="S42" i="3570" s="1"/>
  <c r="Z19" i="3570" a="1"/>
  <c r="Z19" i="3570" s="1"/>
  <c r="Z31" i="3570" a="1"/>
  <c r="Z31" i="3570" s="1"/>
  <c r="E18" i="3569"/>
  <c r="F18" i="3569" s="1"/>
  <c r="S17" i="3570" a="1"/>
  <c r="S17" i="3570" s="1"/>
  <c r="E20" i="3569"/>
  <c r="F20" i="3569" s="1"/>
  <c r="S19" i="3570" a="1"/>
  <c r="S19" i="3570" s="1"/>
  <c r="Z58" i="3570" a="1"/>
  <c r="Z58" i="3570" s="1"/>
  <c r="S52" i="3561" a="1"/>
  <c r="S52" i="3561" s="1"/>
  <c r="N52" i="3561" a="1"/>
  <c r="N52" i="3561" s="1"/>
  <c r="T52" i="3561" s="1"/>
  <c r="C52" i="3561"/>
  <c r="A52" i="3561" s="1"/>
  <c r="CG103" i="3448"/>
  <c r="BZ104" i="3448"/>
  <c r="M56" i="3561"/>
  <c r="V56" i="3561" s="1" a="1"/>
  <c r="V56" i="3561" s="1"/>
  <c r="S42" i="3435" a="1"/>
  <c r="S42" i="3435" s="1"/>
  <c r="E63" i="3569"/>
  <c r="F63" i="3569" s="1"/>
  <c r="S62" i="3570" a="1"/>
  <c r="S62" i="3570" s="1"/>
  <c r="Z20" i="3570" a="1"/>
  <c r="Z20" i="3570" s="1"/>
  <c r="E46" i="3569"/>
  <c r="F46" i="3569" s="1"/>
  <c r="S45" i="3570" a="1"/>
  <c r="S45" i="3570" s="1"/>
  <c r="R45" i="3435" a="1"/>
  <c r="R45" i="3435" s="1"/>
  <c r="Z53" i="3570" a="1"/>
  <c r="Z53" i="3570" s="1"/>
  <c r="E17" i="3569"/>
  <c r="F17" i="3569" s="1"/>
  <c r="S16" i="3570" a="1"/>
  <c r="S16" i="3570" s="1"/>
  <c r="M60" i="3561"/>
  <c r="Y60" i="3561" s="1" a="1"/>
  <c r="Y60" i="3561" s="1"/>
  <c r="S46" i="3435" a="1"/>
  <c r="S46" i="3435" s="1"/>
  <c r="AS18" i="3435" a="1"/>
  <c r="AS18" i="3435" s="1"/>
  <c r="BA18" i="3435" s="1" a="1"/>
  <c r="BA18" i="3435" s="1"/>
  <c r="AK19" i="3435"/>
  <c r="E134" i="3523"/>
  <c r="AA134" i="3523" s="1" a="1"/>
  <c r="AA134" i="3523" s="1"/>
  <c r="BS103" i="3448"/>
  <c r="M41" i="3561"/>
  <c r="X41" i="3561" s="1" a="1"/>
  <c r="X41" i="3561" s="1"/>
  <c r="S27" i="3435" a="1"/>
  <c r="S27" i="3435" s="1"/>
  <c r="E61" i="3569"/>
  <c r="F61" i="3569" s="1"/>
  <c r="S60" i="3570" a="1"/>
  <c r="S60" i="3570" s="1"/>
  <c r="X103" i="3448"/>
  <c r="AB102" i="3448"/>
  <c r="N68" i="3561" a="1"/>
  <c r="N68" i="3561" s="1"/>
  <c r="T68" i="3561" s="1"/>
  <c r="S68" i="3561" a="1"/>
  <c r="S68" i="3561" s="1"/>
  <c r="N66" i="3561" a="1"/>
  <c r="N66" i="3561" s="1"/>
  <c r="T66" i="3561" s="1"/>
  <c r="S66" i="3561" a="1"/>
  <c r="S66" i="3561" s="1"/>
  <c r="BW19" i="3564"/>
  <c r="BP20" i="3564"/>
  <c r="AV18" i="3435" a="1"/>
  <c r="AV18" i="3435" s="1"/>
  <c r="AN19" i="3435"/>
  <c r="N56" i="3561" a="1"/>
  <c r="N56" i="3561" s="1"/>
  <c r="T56" i="3561" s="1"/>
  <c r="S56" i="3561" a="1"/>
  <c r="S56" i="3561" s="1"/>
  <c r="E40" i="3569"/>
  <c r="F40" i="3569" s="1"/>
  <c r="S39" i="3570" a="1"/>
  <c r="S39" i="3570" s="1"/>
  <c r="AC65" i="3569"/>
  <c r="W65" i="3569" a="1"/>
  <c r="W65" i="3569" s="1"/>
  <c r="I65" i="3569" a="1"/>
  <c r="I65" i="3569" s="1"/>
  <c r="U65" i="3569" s="1" a="1"/>
  <c r="U65" i="3569" s="1"/>
  <c r="E66" i="3569"/>
  <c r="F66" i="3569" s="1"/>
  <c r="S65" i="3570" a="1"/>
  <c r="S65" i="3570" s="1"/>
  <c r="E49" i="3569"/>
  <c r="F49" i="3569" s="1"/>
  <c r="S48" i="3570" a="1"/>
  <c r="S48" i="3570" s="1"/>
  <c r="R27" i="3435" a="1"/>
  <c r="R27" i="3435" s="1"/>
  <c r="I58" i="3569" a="1"/>
  <c r="I58" i="3569" s="1"/>
  <c r="U58" i="3569" s="1" a="1"/>
  <c r="U58" i="3569" s="1"/>
  <c r="AC58" i="3569"/>
  <c r="W58" i="3569" a="1"/>
  <c r="W58" i="3569" s="1"/>
  <c r="E31" i="3569"/>
  <c r="F31" i="3569" s="1"/>
  <c r="S30" i="3570" a="1"/>
  <c r="S30" i="3570" s="1"/>
  <c r="E26" i="3569"/>
  <c r="F26" i="3569" s="1"/>
  <c r="S25" i="3570" a="1"/>
  <c r="S25" i="3570" s="1"/>
  <c r="E27" i="3569"/>
  <c r="F27" i="3569" s="1"/>
  <c r="S26" i="3570" a="1"/>
  <c r="S26" i="3570" s="1"/>
  <c r="I28" i="3569" a="1"/>
  <c r="I28" i="3569" s="1"/>
  <c r="U28" i="3569" s="1" a="1"/>
  <c r="U28" i="3569" s="1"/>
  <c r="W28" i="3569" a="1"/>
  <c r="W28" i="3569" s="1"/>
  <c r="AC28" i="3569"/>
  <c r="M59" i="3561"/>
  <c r="U59" i="3561" s="1" a="1"/>
  <c r="U59" i="3561" s="1"/>
  <c r="S45" i="3435" a="1"/>
  <c r="S45" i="3435" s="1"/>
  <c r="AW18" i="3435" a="1"/>
  <c r="AW18" i="3435" s="1"/>
  <c r="BE18" i="3435" s="1" a="1"/>
  <c r="BE18" i="3435" s="1"/>
  <c r="AO19" i="3435"/>
  <c r="M35" i="3561"/>
  <c r="X35" i="3561" s="1" a="1"/>
  <c r="X35" i="3561" s="1"/>
  <c r="S21" i="3435" a="1"/>
  <c r="S21" i="3435" s="1"/>
  <c r="W42" i="3569" a="1"/>
  <c r="W42" i="3569" s="1"/>
  <c r="AC42" i="3569"/>
  <c r="I42" i="3569" a="1"/>
  <c r="I42" i="3569" s="1"/>
  <c r="U42" i="3569" s="1" a="1"/>
  <c r="U42" i="3569" s="1"/>
  <c r="M32" i="3561"/>
  <c r="R32" i="3561" s="1" a="1"/>
  <c r="R32" i="3561" s="1"/>
  <c r="S18" i="3435" a="1"/>
  <c r="S18" i="3435" s="1"/>
  <c r="Z59" i="3570" a="1"/>
  <c r="Z59" i="3570" s="1"/>
  <c r="M64" i="3561"/>
  <c r="R64" i="3561" s="1" a="1"/>
  <c r="R64" i="3561" s="1"/>
  <c r="S50" i="3435" a="1"/>
  <c r="S50" i="3435" s="1"/>
  <c r="S59" i="3561" a="1"/>
  <c r="S59" i="3561" s="1"/>
  <c r="N59" i="3561" a="1"/>
  <c r="N59" i="3561" s="1"/>
  <c r="T59" i="3561" s="1"/>
  <c r="BE17" i="3435" a="1"/>
  <c r="BE17" i="3435" s="1"/>
  <c r="M38" i="3561"/>
  <c r="X38" i="3561" s="1" a="1"/>
  <c r="X38" i="3561" s="1"/>
  <c r="S24" i="3435" a="1"/>
  <c r="S24" i="3435" s="1"/>
  <c r="BF17" i="3435" a="1"/>
  <c r="BF17" i="3435" s="1"/>
  <c r="E55" i="3569"/>
  <c r="F55" i="3569" s="1"/>
  <c r="S54" i="3570" a="1"/>
  <c r="S54" i="3570" s="1"/>
  <c r="Z57" i="3570" a="1"/>
  <c r="Z57" i="3570" s="1"/>
  <c r="AT18" i="3435" a="1"/>
  <c r="AT18" i="3435" s="1"/>
  <c r="BB18" i="3435" s="1" a="1"/>
  <c r="BB18" i="3435" s="1"/>
  <c r="AL19" i="3435"/>
  <c r="E56" i="3569"/>
  <c r="F56" i="3569" s="1"/>
  <c r="S55" i="3570" a="1"/>
  <c r="S55" i="3570" s="1"/>
  <c r="R50" i="3435" a="1"/>
  <c r="R50" i="3435" s="1"/>
  <c r="R21" i="3435" a="1"/>
  <c r="R21" i="3435" s="1"/>
  <c r="AP19" i="3435"/>
  <c r="AX18" i="3435" a="1"/>
  <c r="AX18" i="3435" s="1"/>
  <c r="BF18" i="3435" s="1" a="1"/>
  <c r="BF18" i="3435" s="1"/>
  <c r="S74" i="3561" a="1"/>
  <c r="S74" i="3561" s="1"/>
  <c r="N74" i="3561" a="1"/>
  <c r="N74" i="3561" s="1"/>
  <c r="T74" i="3561" s="1"/>
  <c r="C41" i="3561"/>
  <c r="A41" i="3561" s="1"/>
  <c r="S41" i="3561" a="1"/>
  <c r="S41" i="3561" s="1"/>
  <c r="N41" i="3561" a="1"/>
  <c r="N41" i="3561" s="1"/>
  <c r="T41" i="3561" s="1"/>
  <c r="E34" i="3569"/>
  <c r="F34" i="3569" s="1"/>
  <c r="S33" i="3570" a="1"/>
  <c r="S33" i="3570" s="1"/>
  <c r="R22" i="3435" a="1"/>
  <c r="R22" i="3435" s="1"/>
  <c r="E53" i="3569"/>
  <c r="F53" i="3569" s="1"/>
  <c r="S52" i="3570" a="1"/>
  <c r="S52" i="3570" s="1"/>
  <c r="A132" i="3523"/>
  <c r="N32" i="3561" a="1"/>
  <c r="N32" i="3561" s="1"/>
  <c r="T32" i="3561" s="1"/>
  <c r="C32" i="3561"/>
  <c r="A32" i="3561" s="1"/>
  <c r="S32" i="3561" a="1"/>
  <c r="S32" i="3561" s="1"/>
  <c r="BB17" i="3435" a="1"/>
  <c r="BB17" i="3435" s="1"/>
  <c r="E39" i="3569"/>
  <c r="F39" i="3569" s="1"/>
  <c r="S38" i="3570" a="1"/>
  <c r="S38" i="3570" s="1"/>
  <c r="R47" i="3435" a="1"/>
  <c r="R47" i="3435" s="1"/>
  <c r="C38" i="3561"/>
  <c r="A38" i="3561" s="1"/>
  <c r="S38" i="3561" a="1"/>
  <c r="S38" i="3561" s="1"/>
  <c r="N38" i="3561" a="1"/>
  <c r="N38" i="3561" s="1"/>
  <c r="T38" i="3561" s="1"/>
  <c r="C35" i="3561"/>
  <c r="A35" i="3561" s="1"/>
  <c r="S35" i="3561" a="1"/>
  <c r="S35" i="3561" s="1"/>
  <c r="N35" i="3561" a="1"/>
  <c r="N35" i="3561" s="1"/>
  <c r="T35" i="3561" s="1"/>
  <c r="BA17" i="3435" a="1"/>
  <c r="BA17" i="3435" s="1"/>
  <c r="M50" i="3561"/>
  <c r="U50" i="3561" s="1" a="1"/>
  <c r="U50" i="3561" s="1"/>
  <c r="S36" i="3435" a="1"/>
  <c r="S36" i="3435" s="1"/>
  <c r="M66" i="3561"/>
  <c r="X66" i="3561" s="1" a="1"/>
  <c r="X66" i="3561" s="1"/>
  <c r="S52" i="3435" a="1"/>
  <c r="S52" i="3435" s="1"/>
  <c r="C36" i="3561"/>
  <c r="A36" i="3561" s="1"/>
  <c r="S36" i="3561" a="1"/>
  <c r="S36" i="3561" s="1"/>
  <c r="N36" i="3561" a="1"/>
  <c r="N36" i="3561" s="1"/>
  <c r="T36" i="3561" s="1"/>
  <c r="M70" i="3561"/>
  <c r="U70" i="3561" s="1" a="1"/>
  <c r="U70" i="3561" s="1"/>
  <c r="S56" i="3435" a="1"/>
  <c r="S56" i="3435" s="1"/>
  <c r="D134" i="3523"/>
  <c r="V134" i="3523" s="1" a="1"/>
  <c r="V134" i="3523" s="1"/>
  <c r="BR103" i="3448"/>
  <c r="N64" i="3561" a="1"/>
  <c r="N64" i="3561" s="1"/>
  <c r="T64" i="3561" s="1"/>
  <c r="Y64" i="3561" a="1"/>
  <c r="Y64" i="3561" s="1"/>
  <c r="U64" i="3561" a="1"/>
  <c r="U64" i="3561" s="1"/>
  <c r="V64" i="3561" a="1"/>
  <c r="V64" i="3561" s="1"/>
  <c r="S64" i="3561" a="1"/>
  <c r="S64" i="3561" s="1"/>
  <c r="M61" i="3561"/>
  <c r="Y61" i="3561" s="1" a="1"/>
  <c r="Y61" i="3561" s="1"/>
  <c r="S47" i="3435" a="1"/>
  <c r="S47" i="3435" s="1"/>
  <c r="E62" i="3569"/>
  <c r="F62" i="3569" s="1"/>
  <c r="S61" i="3570" a="1"/>
  <c r="S61" i="3570" s="1"/>
  <c r="M43" i="3561"/>
  <c r="X43" i="3561" s="1" a="1"/>
  <c r="X43" i="3561" s="1"/>
  <c r="S29" i="3435" a="1"/>
  <c r="S29" i="3435" s="1"/>
  <c r="I25" i="3569" a="1"/>
  <c r="I25" i="3569" s="1"/>
  <c r="U25" i="3569" s="1" a="1"/>
  <c r="U25" i="3569" s="1"/>
  <c r="AC25" i="3569"/>
  <c r="W25" i="3569" a="1"/>
  <c r="W25" i="3569" s="1"/>
  <c r="E32" i="3569"/>
  <c r="F32" i="3569" s="1"/>
  <c r="S31" i="3570" a="1"/>
  <c r="S31" i="3570" s="1"/>
  <c r="R51" i="3435" a="1"/>
  <c r="R51" i="3435" s="1"/>
  <c r="E21" i="3569"/>
  <c r="F21" i="3569" s="1"/>
  <c r="S20" i="3570" a="1"/>
  <c r="S20" i="3570" s="1"/>
  <c r="BS21" i="3564"/>
  <c r="BZ20" i="3564"/>
  <c r="S61" i="3561" a="1"/>
  <c r="S61" i="3561" s="1"/>
  <c r="N61" i="3561" a="1"/>
  <c r="N61" i="3561" s="1"/>
  <c r="T61" i="3561" s="1"/>
  <c r="Z22" i="3570" a="1"/>
  <c r="Z22" i="3570" s="1"/>
  <c r="M62" i="3561"/>
  <c r="R62" i="3561" s="1" a="1"/>
  <c r="R62" i="3561" s="1"/>
  <c r="S48" i="3435" a="1"/>
  <c r="S48" i="3435" s="1"/>
  <c r="M55" i="3561"/>
  <c r="U55" i="3561" s="1" a="1"/>
  <c r="U55" i="3561" s="1"/>
  <c r="S41" i="3435" a="1"/>
  <c r="S41" i="3435" s="1"/>
  <c r="Z63" i="3570" a="1"/>
  <c r="Z63" i="3570" s="1"/>
  <c r="BG17" i="3435" a="1"/>
  <c r="BG17" i="3435" s="1"/>
  <c r="M46" i="3561"/>
  <c r="R46" i="3561" s="1" a="1"/>
  <c r="R46" i="3561" s="1"/>
  <c r="S32" i="3435" a="1"/>
  <c r="S32" i="3435" s="1"/>
  <c r="I41" i="3569" a="1"/>
  <c r="I41" i="3569" s="1"/>
  <c r="U41" i="3569" s="1" a="1"/>
  <c r="U41" i="3569" s="1"/>
  <c r="AC41" i="3569"/>
  <c r="W41" i="3569" a="1"/>
  <c r="W41" i="3569" s="1"/>
  <c r="W57" i="3569" a="1"/>
  <c r="W57" i="3569" s="1"/>
  <c r="I57" i="3569" a="1"/>
  <c r="I57" i="3569" s="1"/>
  <c r="U57" i="3569" s="1" a="1"/>
  <c r="U57" i="3569" s="1"/>
  <c r="AC57" i="3569"/>
  <c r="C47" i="3561"/>
  <c r="A47" i="3561" s="1"/>
  <c r="S47" i="3561" a="1"/>
  <c r="S47" i="3561" s="1"/>
  <c r="N47" i="3561" a="1"/>
  <c r="N47" i="3561" s="1"/>
  <c r="T47" i="3561" s="1"/>
  <c r="E30" i="3569"/>
  <c r="F30" i="3569" s="1"/>
  <c r="S29" i="3570" a="1"/>
  <c r="S29" i="3570" s="1"/>
  <c r="M65" i="3561"/>
  <c r="R65" i="3561" s="1" a="1"/>
  <c r="R65" i="3561" s="1"/>
  <c r="S51" i="3435" a="1"/>
  <c r="S51" i="3435" s="1"/>
  <c r="M31" i="3561"/>
  <c r="R31" i="3561" s="1" a="1"/>
  <c r="R31" i="3561" s="1"/>
  <c r="S17" i="3435" a="1"/>
  <c r="S17" i="3435" s="1"/>
  <c r="E52" i="3569"/>
  <c r="F52" i="3569" s="1"/>
  <c r="S51" i="3570" a="1"/>
  <c r="S51" i="3570" s="1"/>
  <c r="Z27" i="3570" a="1"/>
  <c r="Z27" i="3570" s="1"/>
  <c r="E22" i="3569"/>
  <c r="F22" i="3569" s="1"/>
  <c r="S21" i="3570" a="1"/>
  <c r="S21" i="3570" s="1"/>
  <c r="M39" i="3561"/>
  <c r="U39" i="3561" s="1" a="1"/>
  <c r="U39" i="3561" s="1"/>
  <c r="S25" i="3435" a="1"/>
  <c r="S25" i="3435" s="1"/>
  <c r="Z60" i="3570" a="1"/>
  <c r="Z60" i="3570" s="1"/>
  <c r="S70" i="3561" a="1"/>
  <c r="S70" i="3561" s="1"/>
  <c r="N70" i="3561" a="1"/>
  <c r="N70" i="3561" s="1"/>
  <c r="T70" i="3561" s="1"/>
  <c r="N65" i="3561" a="1"/>
  <c r="N65" i="3561" s="1"/>
  <c r="T65" i="3561" s="1"/>
  <c r="S65" i="3561" a="1"/>
  <c r="S65" i="3561" s="1"/>
  <c r="E37" i="3569"/>
  <c r="F37" i="3569" s="1"/>
  <c r="S36" i="3570" a="1"/>
  <c r="S36" i="3570" s="1"/>
  <c r="M78" i="3561"/>
  <c r="X78" i="3561" s="1" a="1"/>
  <c r="X78" i="3561" s="1"/>
  <c r="S64" i="3435" a="1"/>
  <c r="S64" i="3435" s="1"/>
  <c r="M71" i="3561"/>
  <c r="X71" i="3561" s="1" a="1"/>
  <c r="X71" i="3561" s="1"/>
  <c r="S57" i="3435" a="1"/>
  <c r="S57" i="3435" s="1"/>
  <c r="M33" i="3561"/>
  <c r="O33" i="3561" s="1" a="1"/>
  <c r="O33" i="3561" s="1"/>
  <c r="Q33" i="3561" s="1" a="1"/>
  <c r="Q33" i="3561" s="1"/>
  <c r="S19" i="3435" a="1"/>
  <c r="S19" i="3435" s="1"/>
  <c r="M69" i="3561"/>
  <c r="Y69" i="3561" s="1" a="1"/>
  <c r="Y69" i="3561" s="1"/>
  <c r="S55" i="3435" a="1"/>
  <c r="S55" i="3435" s="1"/>
  <c r="M40" i="3561"/>
  <c r="X40" i="3561" s="1" a="1"/>
  <c r="X40" i="3561" s="1"/>
  <c r="S26" i="3435" a="1"/>
  <c r="S26" i="3435" s="1"/>
  <c r="M67" i="3561"/>
  <c r="X67" i="3561" s="1" a="1"/>
  <c r="X67" i="3561" s="1"/>
  <c r="S53" i="3435" a="1"/>
  <c r="S53" i="3435" s="1"/>
  <c r="C39" i="3561"/>
  <c r="A39" i="3561" s="1"/>
  <c r="S39" i="3561" a="1"/>
  <c r="S39" i="3561" s="1"/>
  <c r="N39" i="3561" a="1"/>
  <c r="N39" i="3561" s="1"/>
  <c r="T39" i="3561" s="1"/>
  <c r="M75" i="3561"/>
  <c r="O75" i="3561" s="1" a="1"/>
  <c r="O75" i="3561" s="1"/>
  <c r="Q75" i="3561" s="1" a="1"/>
  <c r="Q75" i="3561" s="1"/>
  <c r="S61" i="3435" a="1"/>
  <c r="S61" i="3435" s="1"/>
  <c r="Z15" i="3435"/>
  <c r="Y15" i="3435"/>
  <c r="E36" i="3569"/>
  <c r="F36" i="3569" s="1"/>
  <c r="S35" i="3570" a="1"/>
  <c r="S35" i="3570" s="1"/>
  <c r="S78" i="3561" a="1"/>
  <c r="S78" i="3561" s="1"/>
  <c r="N78" i="3561" a="1"/>
  <c r="N78" i="3561" s="1"/>
  <c r="T78" i="3561" s="1"/>
  <c r="C78" i="3561"/>
  <c r="A78" i="3561" s="1"/>
  <c r="S62" i="3561" a="1"/>
  <c r="S62" i="3561" s="1"/>
  <c r="N62" i="3561" a="1"/>
  <c r="N62" i="3561" s="1"/>
  <c r="T62" i="3561" s="1"/>
  <c r="N55" i="3561" a="1"/>
  <c r="N55" i="3561" s="1"/>
  <c r="T55" i="3561" s="1"/>
  <c r="S55" i="3561" a="1"/>
  <c r="S55" i="3561" s="1"/>
  <c r="Z51" i="3570" a="1"/>
  <c r="Z51" i="3570" s="1"/>
  <c r="R59" i="3435" a="1"/>
  <c r="R59" i="3435" s="1"/>
  <c r="C133" i="3523"/>
  <c r="Q133" i="3523" s="1" a="1"/>
  <c r="Q133" i="3523" s="1"/>
  <c r="BQ102" i="3448"/>
  <c r="BT21" i="3564"/>
  <c r="CA20" i="3564"/>
  <c r="Z26" i="3570" a="1"/>
  <c r="Z26" i="3570" s="1"/>
  <c r="I47" i="3569" a="1"/>
  <c r="I47" i="3569" s="1"/>
  <c r="U47" i="3569" s="1" a="1"/>
  <c r="U47" i="3569" s="1"/>
  <c r="AC47" i="3569"/>
  <c r="W47" i="3569" a="1"/>
  <c r="W47" i="3569" s="1"/>
  <c r="M51" i="3561"/>
  <c r="U51" i="3561" s="1" a="1"/>
  <c r="U51" i="3561" s="1"/>
  <c r="S37" i="3435" a="1"/>
  <c r="S37" i="3435" s="1"/>
  <c r="E48" i="3569"/>
  <c r="F48" i="3569" s="1"/>
  <c r="S47" i="3570" a="1"/>
  <c r="S47" i="3570" s="1"/>
  <c r="M29" i="3561"/>
  <c r="U29" i="3561" s="1" a="1"/>
  <c r="U29" i="3561" s="1"/>
  <c r="S15" i="3435" a="1"/>
  <c r="S15" i="3435" s="1"/>
  <c r="M49" i="3561"/>
  <c r="Y49" i="3561" s="1" a="1"/>
  <c r="Y49" i="3561" s="1"/>
  <c r="S35" i="3435" a="1"/>
  <c r="S35" i="3435" s="1"/>
  <c r="E44" i="3569"/>
  <c r="F44" i="3569" s="1"/>
  <c r="S43" i="3570" a="1"/>
  <c r="S43" i="3570" s="1"/>
  <c r="S71" i="3561" a="1"/>
  <c r="S71" i="3561" s="1"/>
  <c r="N71" i="3561" a="1"/>
  <c r="N71" i="3561" s="1"/>
  <c r="T71" i="3561" s="1"/>
  <c r="N33" i="3561" a="1"/>
  <c r="N33" i="3561" s="1"/>
  <c r="T33" i="3561" s="1"/>
  <c r="S33" i="3561" a="1"/>
  <c r="S33" i="3561" s="1"/>
  <c r="C33" i="3561"/>
  <c r="A33" i="3561" s="1"/>
  <c r="N69" i="3561" a="1"/>
  <c r="N69" i="3561" s="1"/>
  <c r="T69" i="3561" s="1"/>
  <c r="S69" i="3561" a="1"/>
  <c r="S69" i="3561" s="1"/>
  <c r="M42" i="3561"/>
  <c r="U42" i="3561" s="1" a="1"/>
  <c r="U42" i="3561" s="1"/>
  <c r="S28" i="3435" a="1"/>
  <c r="S28" i="3435" s="1"/>
  <c r="Z43" i="3570" a="1"/>
  <c r="Z43" i="3570" s="1"/>
  <c r="R30" i="3561" a="1"/>
  <c r="R30" i="3561" s="1"/>
  <c r="N30" i="3561" a="1"/>
  <c r="N30" i="3561" s="1"/>
  <c r="T30" i="3561" s="1"/>
  <c r="Y30" i="3561" a="1"/>
  <c r="Y30" i="3561" s="1"/>
  <c r="X30" i="3561" a="1"/>
  <c r="X30" i="3561" s="1"/>
  <c r="V30" i="3561" a="1"/>
  <c r="V30" i="3561" s="1"/>
  <c r="U30" i="3561" a="1"/>
  <c r="U30" i="3561" s="1"/>
  <c r="S30" i="3561" a="1"/>
  <c r="S30" i="3561" s="1"/>
  <c r="C30" i="3561"/>
  <c r="A30" i="3561" s="1"/>
  <c r="O30" i="3561" a="1"/>
  <c r="O30" i="3561" s="1"/>
  <c r="Q30" i="3561" s="1" a="1"/>
  <c r="Q30" i="3561" s="1"/>
  <c r="B134" i="3523"/>
  <c r="BP103" i="3448"/>
  <c r="E24" i="3569"/>
  <c r="F24" i="3569" s="1"/>
  <c r="S23" i="3570" a="1"/>
  <c r="S23" i="3570" s="1"/>
  <c r="N31" i="3561" a="1"/>
  <c r="N31" i="3561" s="1"/>
  <c r="T31" i="3561" s="1"/>
  <c r="S31" i="3561" a="1"/>
  <c r="S31" i="3561" s="1"/>
  <c r="C31" i="3561"/>
  <c r="A31" i="3561" s="1"/>
  <c r="C40" i="3561"/>
  <c r="A40" i="3561" s="1"/>
  <c r="N40" i="3561" a="1"/>
  <c r="N40" i="3561" s="1"/>
  <c r="T40" i="3561" s="1"/>
  <c r="S40" i="3561" a="1"/>
  <c r="S40" i="3561" s="1"/>
  <c r="E33" i="3569"/>
  <c r="F33" i="3569" s="1"/>
  <c r="S32" i="3570" a="1"/>
  <c r="S32" i="3570" s="1"/>
  <c r="Z52" i="3570" a="1"/>
  <c r="Z52" i="3570" s="1"/>
  <c r="M54" i="3561"/>
  <c r="O54" i="3561" s="1" a="1"/>
  <c r="O54" i="3561" s="1"/>
  <c r="Q54" i="3561" s="1" a="1"/>
  <c r="Q54" i="3561" s="1"/>
  <c r="S40" i="3435" a="1"/>
  <c r="S40" i="3435" s="1"/>
  <c r="M48" i="3561"/>
  <c r="Y48" i="3561" s="1" a="1"/>
  <c r="Y48" i="3561" s="1"/>
  <c r="S34" i="3435" a="1"/>
  <c r="S34" i="3435" s="1"/>
  <c r="M74" i="3561"/>
  <c r="U74" i="3561" s="1" a="1"/>
  <c r="U74" i="3561" s="1"/>
  <c r="S60" i="3435" a="1"/>
  <c r="S60" i="3435" s="1"/>
  <c r="BC17" i="3435" a="1"/>
  <c r="BC17" i="3435" s="1"/>
  <c r="C42" i="3561"/>
  <c r="A42" i="3561" s="1"/>
  <c r="S42" i="3561" a="1"/>
  <c r="S42" i="3561" s="1"/>
  <c r="N42" i="3561" a="1"/>
  <c r="N42" i="3561" s="1"/>
  <c r="T42" i="3561" s="1"/>
  <c r="F133" i="3523"/>
  <c r="AF133" i="3523" s="1" a="1"/>
  <c r="AF133" i="3523" s="1"/>
  <c r="BT102" i="3448"/>
  <c r="B75" i="3434"/>
  <c r="B70" i="3434"/>
  <c r="C50" i="3561"/>
  <c r="A50" i="3561" s="1"/>
  <c r="S50" i="3561" a="1"/>
  <c r="S50" i="3561" s="1"/>
  <c r="N50" i="3561" a="1"/>
  <c r="N50" i="3561" s="1"/>
  <c r="T50" i="3561" s="1"/>
  <c r="M36" i="3561"/>
  <c r="Y36" i="3561" s="1" a="1"/>
  <c r="Y36" i="3561" s="1"/>
  <c r="S22" i="3435" a="1"/>
  <c r="S22" i="3435" s="1"/>
  <c r="Y105" i="3448"/>
  <c r="AC104" i="3448"/>
  <c r="N67" i="3561" a="1"/>
  <c r="N67" i="3561" s="1"/>
  <c r="T67" i="3561" s="1"/>
  <c r="S67" i="3561" a="1"/>
  <c r="S67" i="3561" s="1"/>
  <c r="R60" i="3435" a="1"/>
  <c r="R60" i="3435" s="1"/>
  <c r="E29" i="3569"/>
  <c r="F29" i="3569" s="1"/>
  <c r="S28" i="3570" a="1"/>
  <c r="S28" i="3570" s="1"/>
  <c r="M34" i="3561"/>
  <c r="X34" i="3561" s="1" a="1"/>
  <c r="X34" i="3561" s="1"/>
  <c r="S20" i="3435" a="1"/>
  <c r="S20" i="3435" s="1"/>
  <c r="C51" i="3561"/>
  <c r="A51" i="3561" s="1"/>
  <c r="N51" i="3561" a="1"/>
  <c r="N51" i="3561" s="1"/>
  <c r="T51" i="3561" s="1"/>
  <c r="S51" i="3561" a="1"/>
  <c r="S51" i="3561" s="1"/>
  <c r="S75" i="3561" a="1"/>
  <c r="S75" i="3561" s="1"/>
  <c r="N75" i="3561" a="1"/>
  <c r="N75" i="3561" s="1"/>
  <c r="T75" i="3561" s="1"/>
  <c r="R31" i="3435" a="1"/>
  <c r="R31" i="3435" s="1"/>
  <c r="S29" i="3561" a="1"/>
  <c r="S29" i="3561" s="1"/>
  <c r="N29" i="3561" a="1"/>
  <c r="N29" i="3561" s="1"/>
  <c r="T29" i="3561" s="1"/>
  <c r="C29" i="3561"/>
  <c r="A29" i="3561" s="1"/>
  <c r="R35" i="3435" a="1"/>
  <c r="R35" i="3435" s="1"/>
  <c r="Z44" i="3570" a="1"/>
  <c r="Z44" i="3570" s="1"/>
  <c r="Z37" i="3570" a="1"/>
  <c r="Z37" i="3570" s="1"/>
  <c r="M57" i="3561"/>
  <c r="X57" i="3561" s="1" a="1"/>
  <c r="X57" i="3561" s="1"/>
  <c r="S43" i="3435" a="1"/>
  <c r="S43" i="3435" s="1"/>
  <c r="M72" i="3561"/>
  <c r="R72" i="3561" s="1" a="1"/>
  <c r="R72" i="3561" s="1"/>
  <c r="S58" i="3435" a="1"/>
  <c r="S58" i="3435" s="1"/>
  <c r="R40" i="3435" a="1"/>
  <c r="R40" i="3435" s="1"/>
  <c r="Z49" i="3570" a="1"/>
  <c r="Z49" i="3570" s="1"/>
  <c r="Z16" i="3570" a="1"/>
  <c r="Z16" i="3570" s="1"/>
  <c r="V50" i="3561" l="1" a="1"/>
  <c r="V50" i="3561" s="1"/>
  <c r="X50" i="3561" a="1"/>
  <c r="X50" i="3561" s="1"/>
  <c r="U63" i="3561" a="1"/>
  <c r="U63" i="3561" s="1"/>
  <c r="U45" i="3576" a="1"/>
  <c r="U45" i="3576" s="1"/>
  <c r="AD45" i="3576" s="1"/>
  <c r="AD46" i="3576" a="1"/>
  <c r="AD46" i="3576" s="1"/>
  <c r="X76" i="3561" a="1"/>
  <c r="X76" i="3561" s="1"/>
  <c r="Y76" i="3561" a="1"/>
  <c r="Y76" i="3561" s="1"/>
  <c r="V76" i="3561" a="1"/>
  <c r="V76" i="3561" s="1"/>
  <c r="R50" i="3561" a="1"/>
  <c r="R50" i="3561" s="1"/>
  <c r="R42" i="3576"/>
  <c r="X43" i="3576" s="1"/>
  <c r="X47" i="3561" a="1"/>
  <c r="X47" i="3561" s="1"/>
  <c r="U75" i="3561" a="1"/>
  <c r="U75" i="3561" s="1"/>
  <c r="V75" i="3561" a="1"/>
  <c r="V75" i="3561" s="1"/>
  <c r="X75" i="3561" a="1"/>
  <c r="X75" i="3561" s="1"/>
  <c r="Y75" i="3561" a="1"/>
  <c r="Y75" i="3561" s="1"/>
  <c r="R75" i="3561" a="1"/>
  <c r="R75" i="3561" s="1"/>
  <c r="M45" i="3576" a="1"/>
  <c r="M45" i="3576" s="1"/>
  <c r="Z45" i="3576" s="1" a="1"/>
  <c r="Z45" i="3576" s="1"/>
  <c r="AB45" i="3576" a="1"/>
  <c r="AB45" i="3576" s="1"/>
  <c r="AE46" i="3576" s="1"/>
  <c r="N45" i="3576" a="1"/>
  <c r="N45" i="3576" s="1"/>
  <c r="P45" i="3576" s="1" a="1"/>
  <c r="P45" i="3576" s="1"/>
  <c r="B45" i="3576"/>
  <c r="S45" i="3576" a="1"/>
  <c r="S45" i="3576" s="1"/>
  <c r="Q45" i="3576"/>
  <c r="O48" i="3576" a="1"/>
  <c r="O48" i="3576" s="1"/>
  <c r="K48" i="3576" a="1"/>
  <c r="K48" i="3576" s="1"/>
  <c r="X48" i="3576" s="1"/>
  <c r="G48" i="3576" a="1"/>
  <c r="G48" i="3576" s="1"/>
  <c r="H48" i="3576" a="1"/>
  <c r="H48" i="3576" s="1"/>
  <c r="J48" i="3576" a="1"/>
  <c r="J48" i="3576" s="1"/>
  <c r="I48" i="3576" a="1"/>
  <c r="I48" i="3576" s="1"/>
  <c r="E48" i="3576" a="1"/>
  <c r="E48" i="3576" s="1"/>
  <c r="L48" i="3576" a="1"/>
  <c r="L48" i="3576" s="1"/>
  <c r="F48" i="3576" a="1"/>
  <c r="F48" i="3576" s="1"/>
  <c r="C54" i="3576"/>
  <c r="C52" i="3576"/>
  <c r="D51" i="3576" a="1"/>
  <c r="D51" i="3576" s="1"/>
  <c r="Y51" i="3561" a="1"/>
  <c r="Y51" i="3561" s="1"/>
  <c r="R55" i="3561" a="1"/>
  <c r="R55" i="3561" s="1"/>
  <c r="Y42" i="3561" a="1"/>
  <c r="Y42" i="3561" s="1"/>
  <c r="V42" i="3561" a="1"/>
  <c r="V42" i="3561" s="1"/>
  <c r="R70" i="3561" a="1"/>
  <c r="R70" i="3561" s="1"/>
  <c r="X64" i="3561" a="1"/>
  <c r="X64" i="3561" s="1"/>
  <c r="R76" i="3561" a="1"/>
  <c r="R76" i="3561" s="1"/>
  <c r="O55" i="3561" a="1"/>
  <c r="O55" i="3561" s="1"/>
  <c r="Q55" i="3561" s="1" a="1"/>
  <c r="Q55" i="3561" s="1"/>
  <c r="Y55" i="3561" a="1"/>
  <c r="Y55" i="3561" s="1"/>
  <c r="O42" i="3561" a="1"/>
  <c r="O42" i="3561" s="1"/>
  <c r="Q42" i="3561" s="1" a="1"/>
  <c r="Q42" i="3561" s="1"/>
  <c r="V69" i="3561" a="1"/>
  <c r="V69" i="3561" s="1"/>
  <c r="Y56" i="3561" a="1"/>
  <c r="Y56" i="3561" s="1"/>
  <c r="X56" i="3561" a="1"/>
  <c r="X56" i="3561" s="1"/>
  <c r="Y67" i="3561" a="1"/>
  <c r="Y67" i="3561" s="1"/>
  <c r="O45" i="3561" a="1"/>
  <c r="O45" i="3561" s="1"/>
  <c r="Q45" i="3561" s="1" a="1"/>
  <c r="Q45" i="3561" s="1"/>
  <c r="Y29" i="3561" a="1"/>
  <c r="Y29" i="3561" s="1"/>
  <c r="R45" i="3561" a="1"/>
  <c r="R45" i="3561" s="1"/>
  <c r="O64" i="3561" a="1"/>
  <c r="O64" i="3561" s="1"/>
  <c r="Q64" i="3561" s="1" a="1"/>
  <c r="Q64" i="3561" s="1"/>
  <c r="U44" i="3561" a="1"/>
  <c r="U44" i="3561" s="1"/>
  <c r="V58" i="3561" a="1"/>
  <c r="V58" i="3561" s="1"/>
  <c r="O37" i="3561" a="1"/>
  <c r="O37" i="3561" s="1"/>
  <c r="Q37" i="3561" s="1" a="1"/>
  <c r="Q37" i="3561" s="1"/>
  <c r="O29" i="3561" a="1"/>
  <c r="O29" i="3561" s="1"/>
  <c r="Q29" i="3561" s="1" a="1"/>
  <c r="Q29" i="3561" s="1"/>
  <c r="O56" i="3561" a="1"/>
  <c r="O56" i="3561" s="1"/>
  <c r="Q56" i="3561" s="1" a="1"/>
  <c r="Q56" i="3561" s="1"/>
  <c r="X58" i="3561" a="1"/>
  <c r="X58" i="3561" s="1"/>
  <c r="R29" i="3561" a="1"/>
  <c r="R29" i="3561" s="1"/>
  <c r="O50" i="3561" a="1"/>
  <c r="O50" i="3561" s="1"/>
  <c r="Q50" i="3561" s="1" a="1"/>
  <c r="Q50" i="3561" s="1"/>
  <c r="R56" i="3561" a="1"/>
  <c r="R56" i="3561" s="1"/>
  <c r="Y58" i="3561" a="1"/>
  <c r="Y58" i="3561" s="1"/>
  <c r="Y52" i="3561" a="1"/>
  <c r="Y52" i="3561" s="1"/>
  <c r="Y39" i="3561" a="1"/>
  <c r="Y39" i="3561" s="1"/>
  <c r="R69" i="3561" a="1"/>
  <c r="R69" i="3561" s="1"/>
  <c r="X52" i="3561" a="1"/>
  <c r="X52" i="3561" s="1"/>
  <c r="U77" i="3561" a="1"/>
  <c r="U77" i="3561" s="1"/>
  <c r="U31" i="3561" a="1"/>
  <c r="U31" i="3561" s="1"/>
  <c r="V31" i="3561" a="1"/>
  <c r="V31" i="3561" s="1"/>
  <c r="Y70" i="3561" a="1"/>
  <c r="Y70" i="3561" s="1"/>
  <c r="U35" i="3561" a="1"/>
  <c r="U35" i="3561" s="1"/>
  <c r="X42" i="3561" a="1"/>
  <c r="X42" i="3561" s="1"/>
  <c r="V71" i="3561" a="1"/>
  <c r="V71" i="3561" s="1"/>
  <c r="X55" i="3561" a="1"/>
  <c r="X55" i="3561" s="1"/>
  <c r="V55" i="3561" a="1"/>
  <c r="V55" i="3561" s="1"/>
  <c r="O53" i="3561" a="1"/>
  <c r="O53" i="3561" s="1"/>
  <c r="Q53" i="3561" s="1" a="1"/>
  <c r="Q53" i="3561" s="1"/>
  <c r="X53" i="3561" a="1"/>
  <c r="X53" i="3561" s="1"/>
  <c r="Y65" i="3561" a="1"/>
  <c r="Y65" i="3561" s="1"/>
  <c r="Y53" i="3561" a="1"/>
  <c r="Y53" i="3561" s="1"/>
  <c r="R40" i="3561" a="1"/>
  <c r="R40" i="3561" s="1"/>
  <c r="U65" i="3561" a="1"/>
  <c r="U65" i="3561" s="1"/>
  <c r="V53" i="3561" a="1"/>
  <c r="V53" i="3561" s="1"/>
  <c r="O44" i="3561" a="1"/>
  <c r="O44" i="3561" s="1"/>
  <c r="Q44" i="3561" s="1" a="1"/>
  <c r="Q44" i="3561" s="1"/>
  <c r="Y40" i="3561" a="1"/>
  <c r="Y40" i="3561" s="1"/>
  <c r="V65" i="3561" a="1"/>
  <c r="V65" i="3561" s="1"/>
  <c r="R53" i="3561" a="1"/>
  <c r="R53" i="3561" s="1"/>
  <c r="X65" i="3561" a="1"/>
  <c r="X65" i="3561" s="1"/>
  <c r="R77" i="3561" a="1"/>
  <c r="R77" i="3561" s="1"/>
  <c r="R44" i="3561" a="1"/>
  <c r="R44" i="3561" s="1"/>
  <c r="Y45" i="3561" a="1"/>
  <c r="Y45" i="3561" s="1"/>
  <c r="R51" i="3561" a="1"/>
  <c r="R51" i="3561" s="1"/>
  <c r="U69" i="3561" a="1"/>
  <c r="U69" i="3561" s="1"/>
  <c r="Y77" i="3561" a="1"/>
  <c r="Y77" i="3561" s="1"/>
  <c r="U45" i="3561" a="1"/>
  <c r="U45" i="3561" s="1"/>
  <c r="X51" i="3561" a="1"/>
  <c r="X51" i="3561" s="1"/>
  <c r="U40" i="3561" a="1"/>
  <c r="U40" i="3561" s="1"/>
  <c r="X69" i="3561" a="1"/>
  <c r="X69" i="3561" s="1"/>
  <c r="O70" i="3561" a="1"/>
  <c r="O70" i="3561" s="1"/>
  <c r="Q70" i="3561" s="1" a="1"/>
  <c r="Q70" i="3561" s="1"/>
  <c r="X77" i="3561" a="1"/>
  <c r="X77" i="3561" s="1"/>
  <c r="O76" i="3561" a="1"/>
  <c r="O76" i="3561" s="1"/>
  <c r="Q76" i="3561" s="1" a="1"/>
  <c r="Q76" i="3561" s="1"/>
  <c r="Y44" i="3561" a="1"/>
  <c r="Y44" i="3561" s="1"/>
  <c r="W15" i="3435"/>
  <c r="W16" i="3435" s="1"/>
  <c r="R78" i="3561" a="1"/>
  <c r="R78" i="3561" s="1"/>
  <c r="BE18" i="3564"/>
  <c r="BI17" i="3564"/>
  <c r="X31" i="3561" a="1"/>
  <c r="X31" i="3561" s="1"/>
  <c r="V38" i="3561" a="1"/>
  <c r="V38" i="3561" s="1"/>
  <c r="R52" i="3561" a="1"/>
  <c r="R52" i="3561" s="1"/>
  <c r="BU19" i="3564"/>
  <c r="BN20" i="3564"/>
  <c r="AO17" i="3564"/>
  <c r="AH18" i="3564"/>
  <c r="AC17" i="3564"/>
  <c r="Y18" i="3564"/>
  <c r="O65" i="3561" a="1"/>
  <c r="O65" i="3561" s="1"/>
  <c r="Q65" i="3561" s="1" a="1"/>
  <c r="Q65" i="3561" s="1"/>
  <c r="O32" i="3561" a="1"/>
  <c r="O32" i="3561" s="1"/>
  <c r="Q32" i="3561" s="1" a="1"/>
  <c r="Q32" i="3561" s="1"/>
  <c r="U52" i="3561" a="1"/>
  <c r="U52" i="3561" s="1"/>
  <c r="Y43" i="3561" a="1"/>
  <c r="Y43" i="3561" s="1"/>
  <c r="R60" i="3561" a="1"/>
  <c r="R60" i="3561" s="1"/>
  <c r="V45" i="3561" a="1"/>
  <c r="V45" i="3561" s="1"/>
  <c r="X32" i="3561" a="1"/>
  <c r="X32" i="3561" s="1"/>
  <c r="V15" i="3435"/>
  <c r="AC15" i="3435" s="1" a="1"/>
  <c r="AC15" i="3435" s="1"/>
  <c r="O39" i="3561" a="1"/>
  <c r="O39" i="3561" s="1"/>
  <c r="Q39" i="3561" s="1" a="1"/>
  <c r="Q39" i="3561" s="1"/>
  <c r="BF18" i="3564"/>
  <c r="BJ17" i="3564"/>
  <c r="AT17" i="3564"/>
  <c r="AM18" i="3564"/>
  <c r="AB16" i="3564"/>
  <c r="X17" i="3564"/>
  <c r="X39" i="3561" a="1"/>
  <c r="X39" i="3561" s="1"/>
  <c r="R39" i="3561" a="1"/>
  <c r="R39" i="3561" s="1"/>
  <c r="O47" i="3561" a="1"/>
  <c r="O47" i="3561" s="1"/>
  <c r="Q47" i="3561" s="1" a="1"/>
  <c r="Q47" i="3561" s="1"/>
  <c r="O61" i="3561" a="1"/>
  <c r="O61" i="3561" s="1"/>
  <c r="Q61" i="3561" s="1" a="1"/>
  <c r="Q61" i="3561" s="1"/>
  <c r="O63" i="3561" a="1"/>
  <c r="O63" i="3561" s="1"/>
  <c r="Q63" i="3561" s="1" a="1"/>
  <c r="Q63" i="3561" s="1"/>
  <c r="AP17" i="3564"/>
  <c r="AI18" i="3564"/>
  <c r="BX19" i="3564"/>
  <c r="BQ20" i="3564"/>
  <c r="AN17" i="3564"/>
  <c r="AG18" i="3564"/>
  <c r="AR17" i="3564"/>
  <c r="AK18" i="3564"/>
  <c r="Y37" i="3561" a="1"/>
  <c r="Y37" i="3561" s="1"/>
  <c r="X46" i="3561" a="1"/>
  <c r="X46" i="3561" s="1"/>
  <c r="V63" i="3561" a="1"/>
  <c r="V63" i="3561" s="1"/>
  <c r="BO20" i="3564"/>
  <c r="BV19" i="3564"/>
  <c r="Z18" i="3564"/>
  <c r="AD17" i="3564"/>
  <c r="AQ18" i="3564"/>
  <c r="AJ19" i="3564"/>
  <c r="BR20" i="3564"/>
  <c r="BY19" i="3564"/>
  <c r="R47" i="3561" a="1"/>
  <c r="R47" i="3561" s="1"/>
  <c r="R63" i="3561" a="1"/>
  <c r="R63" i="3561" s="1"/>
  <c r="V39" i="3561" a="1"/>
  <c r="V39" i="3561" s="1"/>
  <c r="X61" i="3561" a="1"/>
  <c r="X61" i="3561" s="1"/>
  <c r="V62" i="3561" a="1"/>
  <c r="V62" i="3561" s="1"/>
  <c r="U62" i="3561" a="1"/>
  <c r="U62" i="3561" s="1"/>
  <c r="V61" i="3561" a="1"/>
  <c r="V61" i="3561" s="1"/>
  <c r="Y62" i="3561" a="1"/>
  <c r="Y62" i="3561" s="1"/>
  <c r="V70" i="3561" a="1"/>
  <c r="V70" i="3561" s="1"/>
  <c r="U47" i="3561" a="1"/>
  <c r="U47" i="3561" s="1"/>
  <c r="R61" i="3561" a="1"/>
  <c r="R61" i="3561" s="1"/>
  <c r="R35" i="3561" a="1"/>
  <c r="R35" i="3561" s="1"/>
  <c r="R41" i="3561" a="1"/>
  <c r="R41" i="3561" s="1"/>
  <c r="X63" i="3561" a="1"/>
  <c r="X63" i="3561" s="1"/>
  <c r="BH17" i="3564"/>
  <c r="BD18" i="3564"/>
  <c r="X15" i="3435"/>
  <c r="X16" i="3435" s="1"/>
  <c r="V47" i="3561" a="1"/>
  <c r="V47" i="3561" s="1"/>
  <c r="U61" i="3561" a="1"/>
  <c r="U61" i="3561" s="1"/>
  <c r="O78" i="3561" a="1"/>
  <c r="O78" i="3561" s="1"/>
  <c r="Q78" i="3561" s="1" a="1"/>
  <c r="Q78" i="3561" s="1"/>
  <c r="X70" i="3561" a="1"/>
  <c r="X70" i="3561" s="1"/>
  <c r="U66" i="3561" a="1"/>
  <c r="U66" i="3561" s="1"/>
  <c r="Y34" i="3561" a="1"/>
  <c r="Y34" i="3561" s="1"/>
  <c r="AS17" i="3564"/>
  <c r="AL18" i="3564"/>
  <c r="Y35" i="3561" a="1"/>
  <c r="Y35" i="3561" s="1"/>
  <c r="R58" i="3561" a="1"/>
  <c r="R58" i="3561" s="1"/>
  <c r="Y78" i="3561" a="1"/>
  <c r="Y78" i="3561" s="1"/>
  <c r="V41" i="3561" a="1"/>
  <c r="V41" i="3561" s="1"/>
  <c r="Y41" i="3561" a="1"/>
  <c r="Y41" i="3561" s="1"/>
  <c r="U58" i="3561" a="1"/>
  <c r="U58" i="3561" s="1"/>
  <c r="X33" i="3561" a="1"/>
  <c r="X33" i="3561" s="1"/>
  <c r="O36" i="3561" a="1"/>
  <c r="O36" i="3561" s="1"/>
  <c r="Q36" i="3561" s="1" a="1"/>
  <c r="Q36" i="3561" s="1"/>
  <c r="V59" i="3561" a="1"/>
  <c r="V59" i="3561" s="1"/>
  <c r="BD18" i="3435" a="1"/>
  <c r="BD18" i="3435" s="1"/>
  <c r="I50" i="3569" a="1"/>
  <c r="I50" i="3569" s="1"/>
  <c r="U50" i="3569" s="1" a="1"/>
  <c r="U50" i="3569" s="1"/>
  <c r="W50" i="3569" a="1"/>
  <c r="W50" i="3569" s="1"/>
  <c r="AC50" i="3569"/>
  <c r="R54" i="3561" a="1"/>
  <c r="R54" i="3561" s="1"/>
  <c r="Y33" i="3561" a="1"/>
  <c r="Y33" i="3561" s="1"/>
  <c r="AP20" i="3435"/>
  <c r="AX19" i="3435" a="1"/>
  <c r="AX19" i="3435" s="1"/>
  <c r="BF19" i="3435" s="1" a="1"/>
  <c r="BF19" i="3435" s="1"/>
  <c r="X59" i="3561" a="1"/>
  <c r="X59" i="3561" s="1"/>
  <c r="I31" i="3569" a="1"/>
  <c r="I31" i="3569" s="1"/>
  <c r="U31" i="3569" s="1" a="1"/>
  <c r="U31" i="3569" s="1"/>
  <c r="W31" i="3569" a="1"/>
  <c r="W31" i="3569" s="1"/>
  <c r="AC31" i="3569"/>
  <c r="BP21" i="3564"/>
  <c r="BW20" i="3564"/>
  <c r="E135" i="3523"/>
  <c r="AA135" i="3523" s="1" a="1"/>
  <c r="AA135" i="3523" s="1"/>
  <c r="BS104" i="3448"/>
  <c r="O34" i="3561" a="1"/>
  <c r="O34" i="3561" s="1"/>
  <c r="Q34" i="3561" s="1" a="1"/>
  <c r="Q34" i="3561" s="1"/>
  <c r="I33" i="3569" a="1"/>
  <c r="I33" i="3569" s="1"/>
  <c r="U33" i="3569" s="1" a="1"/>
  <c r="U33" i="3569" s="1"/>
  <c r="AC33" i="3569"/>
  <c r="W33" i="3569" a="1"/>
  <c r="W33" i="3569" s="1"/>
  <c r="F134" i="3523"/>
  <c r="AF134" i="3523" s="1" a="1"/>
  <c r="AF134" i="3523" s="1"/>
  <c r="BT103" i="3448"/>
  <c r="O40" i="3561" a="1"/>
  <c r="O40" i="3561" s="1"/>
  <c r="Q40" i="3561" s="1" a="1"/>
  <c r="Q40" i="3561" s="1"/>
  <c r="U33" i="3561" a="1"/>
  <c r="U33" i="3561" s="1"/>
  <c r="X62" i="3561" a="1"/>
  <c r="X62" i="3561" s="1"/>
  <c r="R36" i="3561" a="1"/>
  <c r="R36" i="3561" s="1"/>
  <c r="O38" i="3561" a="1"/>
  <c r="O38" i="3561" s="1"/>
  <c r="Q38" i="3561" s="1" a="1"/>
  <c r="Q38" i="3561" s="1"/>
  <c r="Y59" i="3561" a="1"/>
  <c r="Y59" i="3561" s="1"/>
  <c r="V33" i="3561" a="1"/>
  <c r="V33" i="3561" s="1"/>
  <c r="V36" i="3561" a="1"/>
  <c r="V36" i="3561" s="1"/>
  <c r="Y38" i="3561" a="1"/>
  <c r="Y38" i="3561" s="1"/>
  <c r="I53" i="3569" a="1"/>
  <c r="I53" i="3569" s="1"/>
  <c r="U53" i="3569" s="1" a="1"/>
  <c r="U53" i="3569" s="1"/>
  <c r="AC53" i="3569"/>
  <c r="W53" i="3569" a="1"/>
  <c r="W53" i="3569" s="1"/>
  <c r="O66" i="3561" a="1"/>
  <c r="O66" i="3561" s="1"/>
  <c r="Q66" i="3561" s="1" a="1"/>
  <c r="Q66" i="3561" s="1"/>
  <c r="AS19" i="3435" a="1"/>
  <c r="AS19" i="3435" s="1"/>
  <c r="AK20" i="3435"/>
  <c r="R34" i="3561" a="1"/>
  <c r="R34" i="3561" s="1"/>
  <c r="AC38" i="3569"/>
  <c r="W38" i="3569" a="1"/>
  <c r="W38" i="3569" s="1"/>
  <c r="I38" i="3569" a="1"/>
  <c r="I38" i="3569" s="1"/>
  <c r="U38" i="3569" s="1" a="1"/>
  <c r="U38" i="3569" s="1"/>
  <c r="X54" i="3561" a="1"/>
  <c r="X54" i="3561" s="1"/>
  <c r="W37" i="3569" a="1"/>
  <c r="W37" i="3569" s="1"/>
  <c r="AC37" i="3569"/>
  <c r="I37" i="3569" a="1"/>
  <c r="I37" i="3569" s="1"/>
  <c r="U37" i="3569" s="1" a="1"/>
  <c r="U37" i="3569" s="1"/>
  <c r="W29" i="3569" a="1"/>
  <c r="W29" i="3569" s="1"/>
  <c r="I29" i="3569" a="1"/>
  <c r="I29" i="3569" s="1"/>
  <c r="U29" i="3569" s="1" a="1"/>
  <c r="U29" i="3569" s="1"/>
  <c r="AC29" i="3569"/>
  <c r="R67" i="3561" a="1"/>
  <c r="R67" i="3561" s="1"/>
  <c r="AC30" i="3569"/>
  <c r="W30" i="3569" a="1"/>
  <c r="W30" i="3569" s="1"/>
  <c r="I30" i="3569" a="1"/>
  <c r="I30" i="3569" s="1"/>
  <c r="U30" i="3569" s="1" a="1"/>
  <c r="U30" i="3569" s="1"/>
  <c r="X36" i="3561" a="1"/>
  <c r="X36" i="3561" s="1"/>
  <c r="R66" i="3561" a="1"/>
  <c r="R66" i="3561" s="1"/>
  <c r="U34" i="3561" a="1"/>
  <c r="U34" i="3561" s="1"/>
  <c r="AA14" i="3518"/>
  <c r="AH13" i="3518" a="1"/>
  <c r="AH13" i="3518" s="1"/>
  <c r="AO13" i="3518" s="1" a="1"/>
  <c r="AO13" i="3518" s="1"/>
  <c r="O72" i="3561" a="1"/>
  <c r="O72" i="3561" s="1"/>
  <c r="Q72" i="3561" s="1" a="1"/>
  <c r="Q72" i="3561" s="1"/>
  <c r="Y54" i="3561" a="1"/>
  <c r="Y54" i="3561" s="1"/>
  <c r="Y66" i="3561" a="1"/>
  <c r="Y66" i="3561" s="1"/>
  <c r="O43" i="3561" a="1"/>
  <c r="O43" i="3561" s="1"/>
  <c r="Q43" i="3561" s="1" a="1"/>
  <c r="Q43" i="3561" s="1"/>
  <c r="A133" i="3523"/>
  <c r="AD14" i="3518"/>
  <c r="AK13" i="3518" a="1"/>
  <c r="AK13" i="3518" s="1"/>
  <c r="AR13" i="3518" s="1" a="1"/>
  <c r="AR13" i="3518" s="1"/>
  <c r="U54" i="3561" a="1"/>
  <c r="U54" i="3561" s="1"/>
  <c r="R33" i="3561" a="1"/>
  <c r="R33" i="3561" s="1"/>
  <c r="R74" i="3561" a="1"/>
  <c r="R74" i="3561" s="1"/>
  <c r="O67" i="3561" a="1"/>
  <c r="O67" i="3561" s="1"/>
  <c r="Q67" i="3561" s="1" a="1"/>
  <c r="Q67" i="3561" s="1"/>
  <c r="U67" i="3561" a="1"/>
  <c r="U67" i="3561" s="1"/>
  <c r="O71" i="3561" a="1"/>
  <c r="O71" i="3561" s="1"/>
  <c r="Q71" i="3561" s="1" a="1"/>
  <c r="Q71" i="3561" s="1"/>
  <c r="W62" i="3569" a="1"/>
  <c r="W62" i="3569" s="1"/>
  <c r="AC62" i="3569"/>
  <c r="I62" i="3569" a="1"/>
  <c r="I62" i="3569" s="1"/>
  <c r="U62" i="3569" s="1" a="1"/>
  <c r="U62" i="3569" s="1"/>
  <c r="R38" i="3561" a="1"/>
  <c r="R38" i="3561" s="1"/>
  <c r="V67" i="3561" a="1"/>
  <c r="V67" i="3561" s="1"/>
  <c r="R42" i="3561" a="1"/>
  <c r="R42" i="3561" s="1"/>
  <c r="U78" i="3561" a="1"/>
  <c r="U78" i="3561" s="1"/>
  <c r="U36" i="3561" a="1"/>
  <c r="U36" i="3561" s="1"/>
  <c r="W34" i="3569" a="1"/>
  <c r="W34" i="3569" s="1"/>
  <c r="I34" i="3569" a="1"/>
  <c r="I34" i="3569" s="1"/>
  <c r="U34" i="3569" s="1" a="1"/>
  <c r="U34" i="3569" s="1"/>
  <c r="AC34" i="3569"/>
  <c r="AT19" i="3435" a="1"/>
  <c r="AT19" i="3435" s="1"/>
  <c r="AL20" i="3435"/>
  <c r="V43" i="3561" a="1"/>
  <c r="V43" i="3561" s="1"/>
  <c r="O46" i="3561" a="1"/>
  <c r="O46" i="3561" s="1"/>
  <c r="Q46" i="3561" s="1" a="1"/>
  <c r="Q46" i="3561" s="1"/>
  <c r="AD102" i="3448"/>
  <c r="Z103" i="3448"/>
  <c r="AE14" i="3518"/>
  <c r="AL13" i="3518" a="1"/>
  <c r="AL13" i="3518" s="1"/>
  <c r="AS13" i="3518" s="1" a="1"/>
  <c r="AS13" i="3518" s="1"/>
  <c r="O57" i="3561" a="1"/>
  <c r="O57" i="3561" s="1"/>
  <c r="Q57" i="3561" s="1" a="1"/>
  <c r="Q57" i="3561" s="1"/>
  <c r="V54" i="3561" a="1"/>
  <c r="V54" i="3561" s="1"/>
  <c r="V78" i="3561" a="1"/>
  <c r="V78" i="3561" s="1"/>
  <c r="U38" i="3561" a="1"/>
  <c r="U38" i="3561" s="1"/>
  <c r="O41" i="3561" a="1"/>
  <c r="O41" i="3561" s="1"/>
  <c r="Q41" i="3561" s="1" a="1"/>
  <c r="Q41" i="3561" s="1"/>
  <c r="W49" i="3569" a="1"/>
  <c r="W49" i="3569" s="1"/>
  <c r="AC49" i="3569"/>
  <c r="I49" i="3569" a="1"/>
  <c r="I49" i="3569" s="1"/>
  <c r="U49" i="3569" s="1" a="1"/>
  <c r="U49" i="3569" s="1"/>
  <c r="V66" i="3561" a="1"/>
  <c r="V66" i="3561" s="1"/>
  <c r="I20" i="3569" a="1"/>
  <c r="I20" i="3569" s="1"/>
  <c r="U20" i="3569" s="1" a="1"/>
  <c r="U20" i="3569" s="1"/>
  <c r="AC20" i="3569"/>
  <c r="W20" i="3569" a="1"/>
  <c r="W20" i="3569" s="1"/>
  <c r="V34" i="3561" a="1"/>
  <c r="V34" i="3561" s="1"/>
  <c r="U46" i="3561" a="1"/>
  <c r="U46" i="3561" s="1"/>
  <c r="AB14" i="3518"/>
  <c r="AI13" i="3518" a="1"/>
  <c r="AI13" i="3518" s="1"/>
  <c r="AP13" i="3518" s="1" a="1"/>
  <c r="AP13" i="3518" s="1"/>
  <c r="U72" i="3561" a="1"/>
  <c r="U72" i="3561" s="1"/>
  <c r="B135" i="3523"/>
  <c r="BP104" i="3448"/>
  <c r="I56" i="3569" a="1"/>
  <c r="I56" i="3569" s="1"/>
  <c r="U56" i="3569" s="1" a="1"/>
  <c r="U56" i="3569" s="1"/>
  <c r="AC56" i="3569"/>
  <c r="W56" i="3569" a="1"/>
  <c r="W56" i="3569" s="1"/>
  <c r="AG16" i="3570"/>
  <c r="AF16" i="3570"/>
  <c r="AE16" i="3570"/>
  <c r="AD16" i="3570"/>
  <c r="AC16" i="3570"/>
  <c r="AB16" i="3570"/>
  <c r="AI16" i="3570"/>
  <c r="AH16" i="3570"/>
  <c r="V40" i="3561" a="1"/>
  <c r="V40" i="3561" s="1"/>
  <c r="U71" i="3561" a="1"/>
  <c r="U71" i="3561" s="1"/>
  <c r="BT22" i="3564"/>
  <c r="CA21" i="3564"/>
  <c r="I17" i="3569" a="1"/>
  <c r="I17" i="3569" s="1"/>
  <c r="U17" i="3569" s="1" a="1"/>
  <c r="U17" i="3569" s="1"/>
  <c r="AC17" i="3569"/>
  <c r="W17" i="3569" a="1"/>
  <c r="W17" i="3569" s="1"/>
  <c r="U43" i="3561" a="1"/>
  <c r="U43" i="3561" s="1"/>
  <c r="V46" i="3561" a="1"/>
  <c r="V46" i="3561" s="1"/>
  <c r="AJ13" i="3518" a="1"/>
  <c r="AJ13" i="3518" s="1"/>
  <c r="AQ13" i="3518" s="1" a="1"/>
  <c r="AQ13" i="3518" s="1"/>
  <c r="AC14" i="3518"/>
  <c r="Y72" i="3561" a="1"/>
  <c r="Y72" i="3561" s="1"/>
  <c r="I51" i="3569" a="1"/>
  <c r="I51" i="3569" s="1"/>
  <c r="U51" i="3569" s="1" a="1"/>
  <c r="U51" i="3569" s="1"/>
  <c r="W51" i="3569" a="1"/>
  <c r="W51" i="3569" s="1"/>
  <c r="AC51" i="3569"/>
  <c r="W18" i="3569" a="1"/>
  <c r="W18" i="3569" s="1"/>
  <c r="I18" i="3569" a="1"/>
  <c r="I18" i="3569" s="1"/>
  <c r="U18" i="3569" s="1" a="1"/>
  <c r="U18" i="3569" s="1"/>
  <c r="AC18" i="3569"/>
  <c r="AF14" i="3518"/>
  <c r="AM13" i="3518" a="1"/>
  <c r="AM13" i="3518" s="1"/>
  <c r="AT13" i="3518" s="1" a="1"/>
  <c r="AT13" i="3518" s="1"/>
  <c r="V72" i="3561" a="1"/>
  <c r="V72" i="3561" s="1"/>
  <c r="U57" i="3561" a="1"/>
  <c r="U57" i="3561" s="1"/>
  <c r="O49" i="3561" a="1"/>
  <c r="O49" i="3561" s="1"/>
  <c r="Q49" i="3561" s="1" a="1"/>
  <c r="Q49" i="3561" s="1"/>
  <c r="Y46" i="3561" a="1"/>
  <c r="Y46" i="3561" s="1"/>
  <c r="X72" i="3561" a="1"/>
  <c r="X72" i="3561" s="1"/>
  <c r="Y57" i="3561" a="1"/>
  <c r="Y57" i="3561" s="1"/>
  <c r="U49" i="3561" a="1"/>
  <c r="U49" i="3561" s="1"/>
  <c r="O51" i="3561" a="1"/>
  <c r="O51" i="3561" s="1"/>
  <c r="Q51" i="3561" s="1" a="1"/>
  <c r="Q51" i="3561" s="1"/>
  <c r="O31" i="3561" a="1"/>
  <c r="O31" i="3561" s="1"/>
  <c r="Q31" i="3561" s="1" a="1"/>
  <c r="Q31" i="3561" s="1"/>
  <c r="Y71" i="3561" a="1"/>
  <c r="Y71" i="3561" s="1"/>
  <c r="U41" i="3561" a="1"/>
  <c r="U41" i="3561" s="1"/>
  <c r="O68" i="3561" a="1"/>
  <c r="O68" i="3561" s="1"/>
  <c r="Q68" i="3561" s="1" a="1"/>
  <c r="Q68" i="3561" s="1"/>
  <c r="R43" i="3561" a="1"/>
  <c r="R43" i="3561" s="1"/>
  <c r="O60" i="3561" a="1"/>
  <c r="O60" i="3561" s="1"/>
  <c r="Q60" i="3561" s="1" a="1"/>
  <c r="Q60" i="3561" s="1"/>
  <c r="R57" i="3561" a="1"/>
  <c r="R57" i="3561" s="1"/>
  <c r="C134" i="3523"/>
  <c r="Q134" i="3523" s="1" a="1"/>
  <c r="Q134" i="3523" s="1"/>
  <c r="BQ103" i="3448"/>
  <c r="Y106" i="3448"/>
  <c r="AC105" i="3448"/>
  <c r="O69" i="3561" a="1"/>
  <c r="O69" i="3561" s="1"/>
  <c r="Q69" i="3561" s="1" a="1"/>
  <c r="Q69" i="3561" s="1"/>
  <c r="R71" i="3561" a="1"/>
  <c r="R71" i="3561" s="1"/>
  <c r="AC55" i="3569"/>
  <c r="W55" i="3569" a="1"/>
  <c r="W55" i="3569" s="1"/>
  <c r="I55" i="3569" a="1"/>
  <c r="I55" i="3569" s="1"/>
  <c r="U55" i="3569" s="1" a="1"/>
  <c r="U55" i="3569" s="1"/>
  <c r="V68" i="3561" a="1"/>
  <c r="V68" i="3561" s="1"/>
  <c r="I46" i="3569" a="1"/>
  <c r="I46" i="3569" s="1"/>
  <c r="U46" i="3569" s="1" a="1"/>
  <c r="U46" i="3569" s="1"/>
  <c r="W46" i="3569" a="1"/>
  <c r="W46" i="3569" s="1"/>
  <c r="AC46" i="3569"/>
  <c r="O73" i="3561" a="1"/>
  <c r="O73" i="3561" s="1"/>
  <c r="Q73" i="3561" s="1" a="1"/>
  <c r="Q73" i="3561" s="1"/>
  <c r="V57" i="3561" a="1"/>
  <c r="V57" i="3561" s="1"/>
  <c r="AC66" i="3569"/>
  <c r="W66" i="3569" a="1"/>
  <c r="W66" i="3569" s="1"/>
  <c r="I66" i="3569" a="1"/>
  <c r="I66" i="3569" s="1"/>
  <c r="U66" i="3569" s="1" a="1"/>
  <c r="U66" i="3569" s="1"/>
  <c r="AC39" i="3569"/>
  <c r="W39" i="3569" a="1"/>
  <c r="W39" i="3569" s="1"/>
  <c r="I39" i="3569" a="1"/>
  <c r="I39" i="3569" s="1"/>
  <c r="U39" i="3569" s="1" a="1"/>
  <c r="U39" i="3569" s="1"/>
  <c r="AO20" i="3435"/>
  <c r="AW19" i="3435" a="1"/>
  <c r="AW19" i="3435" s="1"/>
  <c r="BE19" i="3435" s="1" a="1"/>
  <c r="BE19" i="3435" s="1"/>
  <c r="U68" i="3561" a="1"/>
  <c r="U68" i="3561" s="1"/>
  <c r="AC43" i="3569"/>
  <c r="W43" i="3569" a="1"/>
  <c r="W43" i="3569" s="1"/>
  <c r="I43" i="3569" a="1"/>
  <c r="I43" i="3569" s="1"/>
  <c r="U43" i="3569" s="1" a="1"/>
  <c r="U43" i="3569" s="1"/>
  <c r="X44" i="3561" a="1"/>
  <c r="X44" i="3561" s="1"/>
  <c r="Y73" i="3561" a="1"/>
  <c r="Y73" i="3561" s="1"/>
  <c r="I59" i="3569" a="1"/>
  <c r="I59" i="3569" s="1"/>
  <c r="U59" i="3569" s="1" a="1"/>
  <c r="U59" i="3569" s="1"/>
  <c r="AC59" i="3569"/>
  <c r="W59" i="3569" a="1"/>
  <c r="W59" i="3569" s="1"/>
  <c r="I44" i="3569" a="1"/>
  <c r="I44" i="3569" s="1"/>
  <c r="U44" i="3569" s="1" a="1"/>
  <c r="U44" i="3569" s="1"/>
  <c r="AC44" i="3569"/>
  <c r="W44" i="3569" a="1"/>
  <c r="W44" i="3569" s="1"/>
  <c r="W40" i="3569" a="1"/>
  <c r="W40" i="3569" s="1"/>
  <c r="I40" i="3569" a="1"/>
  <c r="I40" i="3569" s="1"/>
  <c r="U40" i="3569" s="1" a="1"/>
  <c r="U40" i="3569" s="1"/>
  <c r="AC40" i="3569"/>
  <c r="Y68" i="3561" a="1"/>
  <c r="Y68" i="3561" s="1"/>
  <c r="V73" i="3561" a="1"/>
  <c r="V73" i="3561" s="1"/>
  <c r="U60" i="3561" a="1"/>
  <c r="U60" i="3561" s="1"/>
  <c r="O48" i="3561" a="1"/>
  <c r="O48" i="3561" s="1"/>
  <c r="Q48" i="3561" s="1" a="1"/>
  <c r="Q48" i="3561" s="1"/>
  <c r="R49" i="3561" a="1"/>
  <c r="R49" i="3561" s="1"/>
  <c r="I36" i="3569" a="1"/>
  <c r="I36" i="3569" s="1"/>
  <c r="U36" i="3569" s="1" a="1"/>
  <c r="U36" i="3569" s="1"/>
  <c r="AC36" i="3569"/>
  <c r="W36" i="3569" a="1"/>
  <c r="W36" i="3569" s="1"/>
  <c r="BS22" i="3564"/>
  <c r="BZ21" i="3564"/>
  <c r="R68" i="3561" a="1"/>
  <c r="R68" i="3561" s="1"/>
  <c r="AC63" i="3569"/>
  <c r="W63" i="3569" a="1"/>
  <c r="W63" i="3569" s="1"/>
  <c r="I63" i="3569" a="1"/>
  <c r="I63" i="3569" s="1"/>
  <c r="U63" i="3569" s="1" a="1"/>
  <c r="U63" i="3569" s="1"/>
  <c r="AC64" i="3569"/>
  <c r="W64" i="3569" a="1"/>
  <c r="W64" i="3569" s="1"/>
  <c r="I64" i="3569" a="1"/>
  <c r="I64" i="3569" s="1"/>
  <c r="U64" i="3569" s="1" a="1"/>
  <c r="U64" i="3569" s="1"/>
  <c r="X73" i="3561" a="1"/>
  <c r="X73" i="3561" s="1"/>
  <c r="V60" i="3561" a="1"/>
  <c r="V60" i="3561" s="1"/>
  <c r="V49" i="3561" a="1"/>
  <c r="V49" i="3561" s="1"/>
  <c r="U73" i="3561" a="1"/>
  <c r="U73" i="3561" s="1"/>
  <c r="R48" i="3561" a="1"/>
  <c r="R48" i="3561" s="1"/>
  <c r="X49" i="3561" a="1"/>
  <c r="X49" i="3561" s="1"/>
  <c r="Y31" i="3561" a="1"/>
  <c r="Y31" i="3561" s="1"/>
  <c r="Z16" i="3435"/>
  <c r="AG15" i="3435" a="1"/>
  <c r="AG15" i="3435" s="1"/>
  <c r="W21" i="3569" a="1"/>
  <c r="W21" i="3569" s="1"/>
  <c r="AC21" i="3569"/>
  <c r="I21" i="3569" a="1"/>
  <c r="I21" i="3569" s="1"/>
  <c r="U21" i="3569" s="1" a="1"/>
  <c r="U21" i="3569" s="1"/>
  <c r="O35" i="3561" a="1"/>
  <c r="O35" i="3561" s="1"/>
  <c r="Q35" i="3561" s="1" a="1"/>
  <c r="Q35" i="3561" s="1"/>
  <c r="V32" i="3561" a="1"/>
  <c r="V32" i="3561" s="1"/>
  <c r="R37" i="3561" a="1"/>
  <c r="R37" i="3561" s="1"/>
  <c r="W35" i="3569" a="1"/>
  <c r="W35" i="3569" s="1"/>
  <c r="AC35" i="3569"/>
  <c r="I35" i="3569" a="1"/>
  <c r="I35" i="3569" s="1"/>
  <c r="U35" i="3569" s="1" a="1"/>
  <c r="U35" i="3569" s="1"/>
  <c r="X60" i="3561" a="1"/>
  <c r="X60" i="3561" s="1"/>
  <c r="Y16" i="3435"/>
  <c r="AF15" i="3435" a="1"/>
  <c r="AF15" i="3435" s="1"/>
  <c r="D135" i="3523"/>
  <c r="V135" i="3523" s="1" a="1"/>
  <c r="V135" i="3523" s="1"/>
  <c r="BR104" i="3448"/>
  <c r="U48" i="3561" a="1"/>
  <c r="U48" i="3561" s="1"/>
  <c r="AM20" i="3435"/>
  <c r="AU19" i="3435" a="1"/>
  <c r="AU19" i="3435" s="1"/>
  <c r="V74" i="3561" a="1"/>
  <c r="V74" i="3561" s="1"/>
  <c r="BZ105" i="3448"/>
  <c r="CG104" i="3448"/>
  <c r="V29" i="3561" a="1"/>
  <c r="V29" i="3561" s="1"/>
  <c r="V51" i="3561" a="1"/>
  <c r="V51" i="3561" s="1"/>
  <c r="Y50" i="3561" a="1"/>
  <c r="Y50" i="3561" s="1"/>
  <c r="AC22" i="3569"/>
  <c r="W22" i="3569" a="1"/>
  <c r="W22" i="3569" s="1"/>
  <c r="I22" i="3569" a="1"/>
  <c r="I22" i="3569" s="1"/>
  <c r="U22" i="3569" s="1" a="1"/>
  <c r="U22" i="3569" s="1"/>
  <c r="V35" i="3561" a="1"/>
  <c r="V35" i="3561" s="1"/>
  <c r="Y32" i="3561" a="1"/>
  <c r="Y32" i="3561" s="1"/>
  <c r="Y74" i="3561" a="1"/>
  <c r="Y74" i="3561" s="1"/>
  <c r="O59" i="3561" a="1"/>
  <c r="O59" i="3561" s="1"/>
  <c r="Q59" i="3561" s="1" a="1"/>
  <c r="Q59" i="3561" s="1"/>
  <c r="U37" i="3561" a="1"/>
  <c r="U37" i="3561" s="1"/>
  <c r="AC45" i="3569"/>
  <c r="I45" i="3569" a="1"/>
  <c r="I45" i="3569" s="1"/>
  <c r="U45" i="3569" s="1" a="1"/>
  <c r="U45" i="3569" s="1"/>
  <c r="W45" i="3569" a="1"/>
  <c r="W45" i="3569" s="1"/>
  <c r="W54" i="3569" a="1"/>
  <c r="W54" i="3569" s="1"/>
  <c r="I54" i="3569" a="1"/>
  <c r="I54" i="3569" s="1"/>
  <c r="U54" i="3569" s="1" a="1"/>
  <c r="U54" i="3569" s="1"/>
  <c r="AC54" i="3569"/>
  <c r="V48" i="3561" a="1"/>
  <c r="V48" i="3561" s="1"/>
  <c r="O74" i="3561" a="1"/>
  <c r="O74" i="3561" s="1"/>
  <c r="Q74" i="3561" s="1" a="1"/>
  <c r="Q74" i="3561" s="1"/>
  <c r="U15" i="3435"/>
  <c r="X29" i="3561" a="1"/>
  <c r="X29" i="3561" s="1"/>
  <c r="AC48" i="3569"/>
  <c r="W48" i="3569" a="1"/>
  <c r="W48" i="3569" s="1"/>
  <c r="I48" i="3569" a="1"/>
  <c r="I48" i="3569" s="1"/>
  <c r="U48" i="3569" s="1" a="1"/>
  <c r="U48" i="3569" s="1"/>
  <c r="AC32" i="3569"/>
  <c r="W32" i="3569" a="1"/>
  <c r="W32" i="3569" s="1"/>
  <c r="I32" i="3569" a="1"/>
  <c r="I32" i="3569" s="1"/>
  <c r="U32" i="3569" s="1" a="1"/>
  <c r="U32" i="3569" s="1"/>
  <c r="U32" i="3561" a="1"/>
  <c r="U32" i="3561" s="1"/>
  <c r="X74" i="3561" a="1"/>
  <c r="X74" i="3561" s="1"/>
  <c r="U56" i="3561" a="1"/>
  <c r="U56" i="3561" s="1"/>
  <c r="X104" i="3448"/>
  <c r="AB103" i="3448"/>
  <c r="O52" i="3561" a="1"/>
  <c r="O52" i="3561" s="1"/>
  <c r="Q52" i="3561" s="1" a="1"/>
  <c r="Q52" i="3561" s="1"/>
  <c r="V37" i="3561" a="1"/>
  <c r="V37" i="3561" s="1"/>
  <c r="X48" i="3561" a="1"/>
  <c r="X48" i="3561" s="1"/>
  <c r="AC24" i="3569"/>
  <c r="W24" i="3569" a="1"/>
  <c r="W24" i="3569" s="1"/>
  <c r="I24" i="3569" a="1"/>
  <c r="I24" i="3569" s="1"/>
  <c r="U24" i="3569" s="1" a="1"/>
  <c r="U24" i="3569" s="1"/>
  <c r="O62" i="3561" a="1"/>
  <c r="O62" i="3561" s="1"/>
  <c r="Q62" i="3561" s="1" a="1"/>
  <c r="Q62" i="3561" s="1"/>
  <c r="R59" i="3561" a="1"/>
  <c r="R59" i="3561" s="1"/>
  <c r="AC27" i="3569"/>
  <c r="W27" i="3569" a="1"/>
  <c r="W27" i="3569" s="1"/>
  <c r="I27" i="3569" a="1"/>
  <c r="I27" i="3569" s="1"/>
  <c r="U27" i="3569" s="1" a="1"/>
  <c r="U27" i="3569" s="1"/>
  <c r="O77" i="3561" a="1"/>
  <c r="O77" i="3561" s="1"/>
  <c r="Q77" i="3561" s="1" a="1"/>
  <c r="Q77" i="3561" s="1"/>
  <c r="I19" i="3569" a="1"/>
  <c r="I19" i="3569" s="1"/>
  <c r="U19" i="3569" s="1" a="1"/>
  <c r="U19" i="3569" s="1"/>
  <c r="W19" i="3569" a="1"/>
  <c r="W19" i="3569" s="1"/>
  <c r="AC19" i="3569"/>
  <c r="I52" i="3569" a="1"/>
  <c r="I52" i="3569" s="1"/>
  <c r="U52" i="3569" s="1" a="1"/>
  <c r="U52" i="3569" s="1"/>
  <c r="AC52" i="3569"/>
  <c r="W52" i="3569" a="1"/>
  <c r="W52" i="3569" s="1"/>
  <c r="I61" i="3569" a="1"/>
  <c r="I61" i="3569" s="1"/>
  <c r="U61" i="3569" s="1" a="1"/>
  <c r="U61" i="3569" s="1"/>
  <c r="W61" i="3569" a="1"/>
  <c r="W61" i="3569" s="1"/>
  <c r="AC61" i="3569"/>
  <c r="L134" i="3523" a="1"/>
  <c r="L134" i="3523" s="1"/>
  <c r="W26" i="3569" a="1"/>
  <c r="W26" i="3569" s="1"/>
  <c r="AC26" i="3569"/>
  <c r="I26" i="3569" a="1"/>
  <c r="I26" i="3569" s="1"/>
  <c r="U26" i="3569" s="1" a="1"/>
  <c r="U26" i="3569" s="1"/>
  <c r="AN20" i="3435"/>
  <c r="AV19" i="3435" a="1"/>
  <c r="AV19" i="3435" s="1"/>
  <c r="BD19" i="3435" s="1" a="1"/>
  <c r="BD19" i="3435" s="1"/>
  <c r="AQ20" i="3435"/>
  <c r="AY19" i="3435" a="1"/>
  <c r="AY19" i="3435" s="1"/>
  <c r="I23" i="3569" a="1"/>
  <c r="I23" i="3569" s="1"/>
  <c r="U23" i="3569" s="1" a="1"/>
  <c r="U23" i="3569" s="1"/>
  <c r="W23" i="3569" a="1"/>
  <c r="W23" i="3569" s="1"/>
  <c r="AC23" i="3569"/>
  <c r="T45" i="3576" l="1"/>
  <c r="U48" i="3576" a="1"/>
  <c r="U48" i="3576" s="1"/>
  <c r="AD48" i="3576" s="1"/>
  <c r="AD49" i="3576" a="1"/>
  <c r="AD49" i="3576" s="1"/>
  <c r="C55" i="3576"/>
  <c r="D54" i="3576" a="1"/>
  <c r="D54" i="3576" s="1"/>
  <c r="C57" i="3576"/>
  <c r="B48" i="3576"/>
  <c r="M48" i="3576" a="1"/>
  <c r="M48" i="3576" s="1"/>
  <c r="Z48" i="3576" s="1" a="1"/>
  <c r="Z48" i="3576" s="1"/>
  <c r="Q48" i="3576"/>
  <c r="S48" i="3576" a="1"/>
  <c r="S48" i="3576" s="1"/>
  <c r="AB48" i="3576" a="1"/>
  <c r="AB48" i="3576" s="1"/>
  <c r="AE49" i="3576" s="1"/>
  <c r="N48" i="3576" a="1"/>
  <c r="N48" i="3576" s="1"/>
  <c r="P48" i="3576" s="1" a="1"/>
  <c r="P48" i="3576" s="1"/>
  <c r="R45" i="3576"/>
  <c r="X46" i="3576" s="1"/>
  <c r="F51" i="3576" a="1"/>
  <c r="F51" i="3576" s="1"/>
  <c r="O51" i="3576" a="1"/>
  <c r="O51" i="3576" s="1"/>
  <c r="L51" i="3576" a="1"/>
  <c r="L51" i="3576" s="1"/>
  <c r="E51" i="3576" a="1"/>
  <c r="E51" i="3576" s="1"/>
  <c r="K51" i="3576" a="1"/>
  <c r="K51" i="3576" s="1"/>
  <c r="X51" i="3576" s="1"/>
  <c r="J51" i="3576" a="1"/>
  <c r="J51" i="3576" s="1"/>
  <c r="I51" i="3576" a="1"/>
  <c r="I51" i="3576" s="1"/>
  <c r="H51" i="3576" a="1"/>
  <c r="H51" i="3576" s="1"/>
  <c r="G51" i="3576" a="1"/>
  <c r="G51" i="3576" s="1"/>
  <c r="V16" i="3435"/>
  <c r="V17" i="3435" s="1"/>
  <c r="AD15" i="3435" a="1"/>
  <c r="AD15" i="3435" s="1"/>
  <c r="AE15" i="3435" a="1"/>
  <c r="AE15" i="3435" s="1"/>
  <c r="AD18" i="3564"/>
  <c r="Z19" i="3564"/>
  <c r="BF19" i="3564"/>
  <c r="BJ18" i="3564"/>
  <c r="K80" i="3561"/>
  <c r="A80" i="3561" s="1"/>
  <c r="BO21" i="3564"/>
  <c r="BV20" i="3564"/>
  <c r="BD19" i="3564"/>
  <c r="BH18" i="3564"/>
  <c r="AR18" i="3564"/>
  <c r="AK19" i="3564"/>
  <c r="AG19" i="3564"/>
  <c r="AN18" i="3564"/>
  <c r="BQ21" i="3564"/>
  <c r="BX20" i="3564"/>
  <c r="AC18" i="3564"/>
  <c r="Y19" i="3564"/>
  <c r="AP18" i="3564"/>
  <c r="AI19" i="3564"/>
  <c r="AH19" i="3564"/>
  <c r="AO18" i="3564"/>
  <c r="BN21" i="3564"/>
  <c r="BU20" i="3564"/>
  <c r="AS18" i="3564"/>
  <c r="AL19" i="3564"/>
  <c r="X18" i="3564"/>
  <c r="AB17" i="3564"/>
  <c r="BY20" i="3564"/>
  <c r="BR21" i="3564"/>
  <c r="BI18" i="3564"/>
  <c r="BE19" i="3564"/>
  <c r="AQ19" i="3564"/>
  <c r="AJ20" i="3564"/>
  <c r="AT18" i="3564"/>
  <c r="AM19" i="3564"/>
  <c r="X105" i="3448"/>
  <c r="AB104" i="3448"/>
  <c r="AH17" i="3570"/>
  <c r="AQ16" i="3570" a="1"/>
  <c r="AQ16" i="3570" s="1"/>
  <c r="AZ16" i="3570" s="1" a="1"/>
  <c r="AZ16" i="3570" s="1"/>
  <c r="AP21" i="3435"/>
  <c r="AX20" i="3435" a="1"/>
  <c r="AX20" i="3435" s="1"/>
  <c r="AI17" i="3570"/>
  <c r="AR16" i="3570" a="1"/>
  <c r="AR16" i="3570" s="1"/>
  <c r="BA16" i="3570" s="1" a="1"/>
  <c r="BA16" i="3570" s="1"/>
  <c r="AK16" i="3570" a="1"/>
  <c r="AK16" i="3570" s="1"/>
  <c r="AT16" i="3570" s="1" a="1"/>
  <c r="AT16" i="3570" s="1"/>
  <c r="AB17" i="3570"/>
  <c r="AC17" i="3570"/>
  <c r="AL16" i="3570" a="1"/>
  <c r="AL16" i="3570" s="1"/>
  <c r="AU16" i="3570" s="1" a="1"/>
  <c r="AU16" i="3570" s="1"/>
  <c r="AM16" i="3570" a="1"/>
  <c r="AM16" i="3570" s="1"/>
  <c r="AV16" i="3570" s="1" a="1"/>
  <c r="AV16" i="3570" s="1"/>
  <c r="AD17" i="3570"/>
  <c r="BG19" i="3435" a="1"/>
  <c r="BG19" i="3435" s="1"/>
  <c r="AF15" i="3518"/>
  <c r="AM14" i="3518" a="1"/>
  <c r="AM14" i="3518" s="1"/>
  <c r="AT14" i="3518" s="1" a="1"/>
  <c r="AT14" i="3518" s="1"/>
  <c r="AN16" i="3570" a="1"/>
  <c r="AN16" i="3570" s="1"/>
  <c r="AW16" i="3570" s="1" a="1"/>
  <c r="AW16" i="3570" s="1"/>
  <c r="AE17" i="3570"/>
  <c r="AY20" i="3435" a="1"/>
  <c r="AY20" i="3435" s="1"/>
  <c r="BG20" i="3435" s="1" a="1"/>
  <c r="BG20" i="3435" s="1"/>
  <c r="AQ21" i="3435"/>
  <c r="BZ22" i="3564"/>
  <c r="BS23" i="3564"/>
  <c r="AF17" i="3570"/>
  <c r="AO16" i="3570" a="1"/>
  <c r="AO16" i="3570" s="1"/>
  <c r="AX16" i="3570" s="1" a="1"/>
  <c r="AX16" i="3570" s="1"/>
  <c r="AG17" i="3570"/>
  <c r="AP16" i="3570" a="1"/>
  <c r="AP16" i="3570" s="1"/>
  <c r="AY16" i="3570" s="1" a="1"/>
  <c r="AY16" i="3570" s="1"/>
  <c r="AN21" i="3435"/>
  <c r="AV20" i="3435" a="1"/>
  <c r="AV20" i="3435" s="1"/>
  <c r="BD20" i="3435" s="1" a="1"/>
  <c r="BD20" i="3435" s="1"/>
  <c r="Y107" i="3448"/>
  <c r="AC106" i="3448"/>
  <c r="BZ106" i="3448"/>
  <c r="CG105" i="3448"/>
  <c r="U16" i="3435"/>
  <c r="AB15" i="3435" a="1"/>
  <c r="AB15" i="3435" s="1"/>
  <c r="AO21" i="3435"/>
  <c r="AW20" i="3435" a="1"/>
  <c r="AW20" i="3435" s="1"/>
  <c r="BE20" i="3435" s="1" a="1"/>
  <c r="BE20" i="3435" s="1"/>
  <c r="L135" i="3523" a="1"/>
  <c r="L135" i="3523" s="1"/>
  <c r="AK14" i="3518" a="1"/>
  <c r="AK14" i="3518" s="1"/>
  <c r="AR14" i="3518" s="1" a="1"/>
  <c r="AR14" i="3518" s="1"/>
  <c r="AD15" i="3518"/>
  <c r="F135" i="3523"/>
  <c r="AF135" i="3523" s="1" a="1"/>
  <c r="AF135" i="3523" s="1"/>
  <c r="BT104" i="3448"/>
  <c r="BC19" i="3435" a="1"/>
  <c r="BC19" i="3435" s="1"/>
  <c r="AC15" i="3518"/>
  <c r="AJ14" i="3518" a="1"/>
  <c r="AJ14" i="3518" s="1"/>
  <c r="AQ14" i="3518" s="1" a="1"/>
  <c r="AQ14" i="3518" s="1"/>
  <c r="B136" i="3523"/>
  <c r="BP105" i="3448"/>
  <c r="AM21" i="3435"/>
  <c r="AU20" i="3435" a="1"/>
  <c r="AU20" i="3435" s="1"/>
  <c r="BC20" i="3435" s="1" a="1"/>
  <c r="BC20" i="3435" s="1"/>
  <c r="AL21" i="3435"/>
  <c r="AT20" i="3435" a="1"/>
  <c r="AT20" i="3435" s="1"/>
  <c r="BB20" i="3435" s="1" a="1"/>
  <c r="BB20" i="3435" s="1"/>
  <c r="Z17" i="3435"/>
  <c r="AG16" i="3435" a="1"/>
  <c r="AG16" i="3435" s="1"/>
  <c r="E136" i="3523"/>
  <c r="AA136" i="3523" s="1" a="1"/>
  <c r="AA136" i="3523" s="1"/>
  <c r="BS105" i="3448"/>
  <c r="AD103" i="3448"/>
  <c r="Z104" i="3448"/>
  <c r="AS20" i="3435" a="1"/>
  <c r="AS20" i="3435" s="1"/>
  <c r="BA20" i="3435" s="1" a="1"/>
  <c r="BA20" i="3435" s="1"/>
  <c r="AK21" i="3435"/>
  <c r="AB15" i="3518"/>
  <c r="AI14" i="3518" a="1"/>
  <c r="AI14" i="3518" s="1"/>
  <c r="AP14" i="3518" s="1" a="1"/>
  <c r="AP14" i="3518" s="1"/>
  <c r="BA19" i="3435" a="1"/>
  <c r="BA19" i="3435" s="1"/>
  <c r="AE15" i="3518"/>
  <c r="AL14" i="3518" a="1"/>
  <c r="AL14" i="3518" s="1"/>
  <c r="AS14" i="3518" s="1" a="1"/>
  <c r="AS14" i="3518" s="1"/>
  <c r="BP22" i="3564"/>
  <c r="BW21" i="3564"/>
  <c r="W17" i="3435"/>
  <c r="AD16" i="3435" a="1"/>
  <c r="AD16" i="3435" s="1"/>
  <c r="AA15" i="3518"/>
  <c r="AH14" i="3518" a="1"/>
  <c r="AH14" i="3518" s="1"/>
  <c r="AO14" i="3518" s="1" a="1"/>
  <c r="AO14" i="3518" s="1"/>
  <c r="X17" i="3435"/>
  <c r="AE16" i="3435" a="1"/>
  <c r="AE16" i="3435" s="1"/>
  <c r="C135" i="3523"/>
  <c r="Q135" i="3523" s="1" a="1"/>
  <c r="Q135" i="3523" s="1"/>
  <c r="BQ104" i="3448"/>
  <c r="BB19" i="3435" a="1"/>
  <c r="BB19" i="3435" s="1"/>
  <c r="A134" i="3523"/>
  <c r="D136" i="3523"/>
  <c r="V136" i="3523" s="1" a="1"/>
  <c r="V136" i="3523" s="1"/>
  <c r="BR105" i="3448"/>
  <c r="Y17" i="3435"/>
  <c r="AF16" i="3435" a="1"/>
  <c r="AF16" i="3435" s="1"/>
  <c r="BT23" i="3564"/>
  <c r="CA22" i="3564"/>
  <c r="AC16" i="3435" l="1" a="1"/>
  <c r="AC16" i="3435" s="1"/>
  <c r="U51" i="3576" a="1"/>
  <c r="U51" i="3576" s="1"/>
  <c r="AD51" i="3576" s="1"/>
  <c r="AD52" i="3576" a="1"/>
  <c r="AD52" i="3576" s="1"/>
  <c r="R48" i="3576"/>
  <c r="X49" i="3576" s="1"/>
  <c r="T48" i="3576"/>
  <c r="M51" i="3576" a="1"/>
  <c r="M51" i="3576" s="1"/>
  <c r="Z51" i="3576" s="1" a="1"/>
  <c r="Z51" i="3576" s="1"/>
  <c r="N51" i="3576" a="1"/>
  <c r="N51" i="3576" s="1"/>
  <c r="P51" i="3576" s="1" a="1"/>
  <c r="P51" i="3576" s="1"/>
  <c r="AB51" i="3576" a="1"/>
  <c r="AB51" i="3576" s="1"/>
  <c r="AE52" i="3576" s="1"/>
  <c r="B51" i="3576"/>
  <c r="S51" i="3576" a="1"/>
  <c r="S51" i="3576" s="1"/>
  <c r="T51" i="3576" s="1"/>
  <c r="Q51" i="3576"/>
  <c r="C60" i="3576"/>
  <c r="C58" i="3576"/>
  <c r="D57" i="3576" a="1"/>
  <c r="D57" i="3576" s="1"/>
  <c r="G54" i="3576" a="1"/>
  <c r="G54" i="3576" s="1"/>
  <c r="I54" i="3576" a="1"/>
  <c r="I54" i="3576" s="1"/>
  <c r="H54" i="3576" a="1"/>
  <c r="H54" i="3576" s="1"/>
  <c r="E54" i="3576" a="1"/>
  <c r="E54" i="3576" s="1"/>
  <c r="O54" i="3576" a="1"/>
  <c r="O54" i="3576" s="1"/>
  <c r="K54" i="3576" a="1"/>
  <c r="K54" i="3576" s="1"/>
  <c r="X54" i="3576" s="1"/>
  <c r="J54" i="3576" a="1"/>
  <c r="J54" i="3576" s="1"/>
  <c r="F54" i="3576" a="1"/>
  <c r="F54" i="3576" s="1"/>
  <c r="L54" i="3576" a="1"/>
  <c r="L54" i="3576" s="1"/>
  <c r="BN22" i="3564"/>
  <c r="BU21" i="3564"/>
  <c r="AH20" i="3564"/>
  <c r="AO19" i="3564"/>
  <c r="AI20" i="3564"/>
  <c r="AP19" i="3564"/>
  <c r="Y20" i="3564"/>
  <c r="AC19" i="3564"/>
  <c r="BQ22" i="3564"/>
  <c r="BX21" i="3564"/>
  <c r="AG20" i="3564"/>
  <c r="AN19" i="3564"/>
  <c r="AR19" i="3564"/>
  <c r="AK20" i="3564"/>
  <c r="BH19" i="3564"/>
  <c r="BD20" i="3564"/>
  <c r="AM20" i="3564"/>
  <c r="AT19" i="3564"/>
  <c r="AJ21" i="3564"/>
  <c r="AQ20" i="3564"/>
  <c r="BE20" i="3564"/>
  <c r="BI19" i="3564"/>
  <c r="BV21" i="3564"/>
  <c r="BO22" i="3564"/>
  <c r="BY21" i="3564"/>
  <c r="BR22" i="3564"/>
  <c r="BF20" i="3564"/>
  <c r="BJ19" i="3564"/>
  <c r="AB18" i="3564"/>
  <c r="X19" i="3564"/>
  <c r="AD19" i="3564"/>
  <c r="Z20" i="3564"/>
  <c r="AL20" i="3564"/>
  <c r="AS19" i="3564"/>
  <c r="AD18" i="3570"/>
  <c r="AM17" i="3570" a="1"/>
  <c r="AM17" i="3570" s="1"/>
  <c r="AV17" i="3570" s="1" a="1"/>
  <c r="AV17" i="3570" s="1"/>
  <c r="AJ15" i="3518" a="1"/>
  <c r="AJ15" i="3518" s="1"/>
  <c r="AQ15" i="3518" s="1" a="1"/>
  <c r="AQ15" i="3518" s="1"/>
  <c r="AC16" i="3518"/>
  <c r="AV21" i="3435" a="1"/>
  <c r="AV21" i="3435" s="1"/>
  <c r="BD21" i="3435" s="1" a="1"/>
  <c r="BD21" i="3435" s="1"/>
  <c r="AN22" i="3435"/>
  <c r="AK22" i="3435"/>
  <c r="AS21" i="3435" a="1"/>
  <c r="AS21" i="3435" s="1"/>
  <c r="BA21" i="3435" s="1" a="1"/>
  <c r="BA21" i="3435" s="1"/>
  <c r="AP17" i="3570" a="1"/>
  <c r="AP17" i="3570" s="1"/>
  <c r="AY17" i="3570" s="1" a="1"/>
  <c r="AY17" i="3570" s="1"/>
  <c r="AG18" i="3570"/>
  <c r="AO17" i="3570" a="1"/>
  <c r="AO17" i="3570" s="1"/>
  <c r="AX17" i="3570" s="1" a="1"/>
  <c r="AX17" i="3570" s="1"/>
  <c r="AF18" i="3570"/>
  <c r="Z105" i="3448"/>
  <c r="AD104" i="3448"/>
  <c r="D137" i="3523"/>
  <c r="V137" i="3523" s="1" a="1"/>
  <c r="V137" i="3523" s="1"/>
  <c r="BR106" i="3448"/>
  <c r="AC18" i="3570"/>
  <c r="AL17" i="3570" a="1"/>
  <c r="AL17" i="3570" s="1"/>
  <c r="AU17" i="3570" s="1" a="1"/>
  <c r="AU17" i="3570" s="1"/>
  <c r="E137" i="3523"/>
  <c r="AA137" i="3523" s="1" a="1"/>
  <c r="AA137" i="3523" s="1"/>
  <c r="BS106" i="3448"/>
  <c r="AY21" i="3435" a="1"/>
  <c r="AY21" i="3435" s="1"/>
  <c r="BG21" i="3435" s="1" a="1"/>
  <c r="BG21" i="3435" s="1"/>
  <c r="AQ22" i="3435"/>
  <c r="AB18" i="3570"/>
  <c r="AK17" i="3570" a="1"/>
  <c r="AK17" i="3570" s="1"/>
  <c r="AT17" i="3570" s="1" a="1"/>
  <c r="AT17" i="3570" s="1"/>
  <c r="C136" i="3523"/>
  <c r="Q136" i="3523" s="1" a="1"/>
  <c r="Q136" i="3523" s="1"/>
  <c r="BQ105" i="3448"/>
  <c r="AR17" i="3570" a="1"/>
  <c r="AR17" i="3570" s="1"/>
  <c r="BA17" i="3570" s="1" a="1"/>
  <c r="BA17" i="3570" s="1"/>
  <c r="AI18" i="3570"/>
  <c r="AD17" i="3435" a="1"/>
  <c r="AD17" i="3435" s="1"/>
  <c r="W18" i="3435"/>
  <c r="BF20" i="3435" a="1"/>
  <c r="BF20" i="3435" s="1"/>
  <c r="V18" i="3435"/>
  <c r="AC17" i="3435" a="1"/>
  <c r="AC17" i="3435" s="1"/>
  <c r="AE17" i="3435" a="1"/>
  <c r="AE17" i="3435" s="1"/>
  <c r="X18" i="3435"/>
  <c r="AA16" i="3518"/>
  <c r="AH15" i="3518" a="1"/>
  <c r="AH15" i="3518" s="1"/>
  <c r="AO15" i="3518" s="1" a="1"/>
  <c r="AO15" i="3518" s="1"/>
  <c r="AX21" i="3435" a="1"/>
  <c r="AX21" i="3435" s="1"/>
  <c r="BF21" i="3435" s="1" a="1"/>
  <c r="BF21" i="3435" s="1"/>
  <c r="AP22" i="3435"/>
  <c r="CG106" i="3448"/>
  <c r="BZ107" i="3448"/>
  <c r="AE18" i="3570"/>
  <c r="AN17" i="3570" a="1"/>
  <c r="AN17" i="3570" s="1"/>
  <c r="AW17" i="3570" s="1" a="1"/>
  <c r="AW17" i="3570" s="1"/>
  <c r="AQ17" i="3570" a="1"/>
  <c r="AQ17" i="3570" s="1"/>
  <c r="AZ17" i="3570" s="1" a="1"/>
  <c r="AZ17" i="3570" s="1"/>
  <c r="AH18" i="3570"/>
  <c r="F136" i="3523"/>
  <c r="AF136" i="3523" s="1" a="1"/>
  <c r="AF136" i="3523" s="1"/>
  <c r="BT105" i="3448"/>
  <c r="BZ23" i="3564"/>
  <c r="BS24" i="3564"/>
  <c r="AT21" i="3435" a="1"/>
  <c r="AT21" i="3435" s="1"/>
  <c r="BB21" i="3435" s="1" a="1"/>
  <c r="BB21" i="3435" s="1"/>
  <c r="AL22" i="3435"/>
  <c r="B137" i="3523"/>
  <c r="BP106" i="3448"/>
  <c r="AD16" i="3518"/>
  <c r="AK15" i="3518" a="1"/>
  <c r="AK15" i="3518" s="1"/>
  <c r="AR15" i="3518" s="1" a="1"/>
  <c r="AR15" i="3518" s="1"/>
  <c r="AG17" i="3435" a="1"/>
  <c r="AG17" i="3435" s="1"/>
  <c r="Z18" i="3435"/>
  <c r="AW21" i="3435" a="1"/>
  <c r="AW21" i="3435" s="1"/>
  <c r="AO22" i="3435"/>
  <c r="AU21" i="3435" a="1"/>
  <c r="AU21" i="3435" s="1"/>
  <c r="AM22" i="3435"/>
  <c r="AE16" i="3518"/>
  <c r="AL15" i="3518" a="1"/>
  <c r="AL15" i="3518" s="1"/>
  <c r="AS15" i="3518" s="1" a="1"/>
  <c r="AS15" i="3518" s="1"/>
  <c r="L136" i="3523" a="1"/>
  <c r="L136" i="3523" s="1"/>
  <c r="AF16" i="3518"/>
  <c r="AM15" i="3518" a="1"/>
  <c r="AM15" i="3518" s="1"/>
  <c r="AT15" i="3518" s="1" a="1"/>
  <c r="AT15" i="3518" s="1"/>
  <c r="A135" i="3523"/>
  <c r="AB16" i="3435" a="1"/>
  <c r="AB16" i="3435" s="1"/>
  <c r="U17" i="3435"/>
  <c r="BW22" i="3564"/>
  <c r="BP23" i="3564"/>
  <c r="CA23" i="3564"/>
  <c r="BT24" i="3564"/>
  <c r="AF17" i="3435" a="1"/>
  <c r="AF17" i="3435" s="1"/>
  <c r="Y18" i="3435"/>
  <c r="X106" i="3448"/>
  <c r="AB105" i="3448"/>
  <c r="AI15" i="3518" a="1"/>
  <c r="AI15" i="3518" s="1"/>
  <c r="AP15" i="3518" s="1" a="1"/>
  <c r="AP15" i="3518" s="1"/>
  <c r="AB16" i="3518"/>
  <c r="AC107" i="3448"/>
  <c r="Y108" i="3448"/>
  <c r="R51" i="3576" l="1"/>
  <c r="X52" i="3576" s="1"/>
  <c r="U54" i="3576" a="1"/>
  <c r="U54" i="3576" s="1"/>
  <c r="AD54" i="3576" s="1"/>
  <c r="AD55" i="3576" a="1"/>
  <c r="AD55" i="3576" s="1"/>
  <c r="Q54" i="3576"/>
  <c r="B54" i="3576"/>
  <c r="AB54" i="3576" a="1"/>
  <c r="AB54" i="3576" s="1"/>
  <c r="AE55" i="3576" s="1"/>
  <c r="N54" i="3576" a="1"/>
  <c r="N54" i="3576" s="1"/>
  <c r="P54" i="3576" s="1" a="1"/>
  <c r="P54" i="3576" s="1"/>
  <c r="M54" i="3576" a="1"/>
  <c r="M54" i="3576" s="1"/>
  <c r="Z54" i="3576" s="1" a="1"/>
  <c r="Z54" i="3576" s="1"/>
  <c r="S54" i="3576" a="1"/>
  <c r="S54" i="3576" s="1"/>
  <c r="O57" i="3576" a="1"/>
  <c r="O57" i="3576" s="1"/>
  <c r="L57" i="3576" a="1"/>
  <c r="L57" i="3576" s="1"/>
  <c r="F57" i="3576" a="1"/>
  <c r="F57" i="3576" s="1"/>
  <c r="J57" i="3576" a="1"/>
  <c r="J57" i="3576" s="1"/>
  <c r="I57" i="3576" a="1"/>
  <c r="I57" i="3576" s="1"/>
  <c r="H57" i="3576" a="1"/>
  <c r="H57" i="3576" s="1"/>
  <c r="E57" i="3576" a="1"/>
  <c r="E57" i="3576" s="1"/>
  <c r="K57" i="3576" a="1"/>
  <c r="K57" i="3576" s="1"/>
  <c r="X57" i="3576" s="1"/>
  <c r="G57" i="3576" a="1"/>
  <c r="G57" i="3576" s="1"/>
  <c r="C63" i="3576"/>
  <c r="C61" i="3576"/>
  <c r="D60" i="3576" a="1"/>
  <c r="D60" i="3576" s="1"/>
  <c r="BO23" i="3564"/>
  <c r="BV22" i="3564"/>
  <c r="BE21" i="3564"/>
  <c r="BI20" i="3564"/>
  <c r="AJ22" i="3564"/>
  <c r="AQ21" i="3564"/>
  <c r="AM21" i="3564"/>
  <c r="AT20" i="3564"/>
  <c r="BH20" i="3564"/>
  <c r="BD21" i="3564"/>
  <c r="AR20" i="3564"/>
  <c r="AK21" i="3564"/>
  <c r="AG21" i="3564"/>
  <c r="AN20" i="3564"/>
  <c r="AL21" i="3564"/>
  <c r="AS20" i="3564"/>
  <c r="BX22" i="3564"/>
  <c r="BQ23" i="3564"/>
  <c r="Y21" i="3564"/>
  <c r="AC20" i="3564"/>
  <c r="AB19" i="3564"/>
  <c r="X20" i="3564"/>
  <c r="AI21" i="3564"/>
  <c r="AP20" i="3564"/>
  <c r="Z21" i="3564"/>
  <c r="AD20" i="3564"/>
  <c r="BJ20" i="3564"/>
  <c r="BF21" i="3564"/>
  <c r="AO20" i="3564"/>
  <c r="AH21" i="3564"/>
  <c r="BY22" i="3564"/>
  <c r="BR23" i="3564"/>
  <c r="BU22" i="3564"/>
  <c r="BN23" i="3564"/>
  <c r="AD105" i="3448"/>
  <c r="Z106" i="3448"/>
  <c r="AO18" i="3570" a="1"/>
  <c r="AO18" i="3570" s="1"/>
  <c r="AX18" i="3570" s="1" a="1"/>
  <c r="AX18" i="3570" s="1"/>
  <c r="AF19" i="3570"/>
  <c r="Z19" i="3435"/>
  <c r="AG18" i="3435" a="1"/>
  <c r="AG18" i="3435" s="1"/>
  <c r="AH19" i="3570"/>
  <c r="AQ18" i="3570" a="1"/>
  <c r="AQ18" i="3570" s="1"/>
  <c r="AZ18" i="3570" s="1" a="1"/>
  <c r="AZ18" i="3570" s="1"/>
  <c r="Y19" i="3435"/>
  <c r="AF18" i="3435" a="1"/>
  <c r="AF18" i="3435" s="1"/>
  <c r="C137" i="3523"/>
  <c r="Q137" i="3523" s="1" a="1"/>
  <c r="Q137" i="3523" s="1"/>
  <c r="BQ106" i="3448"/>
  <c r="AO23" i="3435"/>
  <c r="AW22" i="3435" a="1"/>
  <c r="AW22" i="3435" s="1"/>
  <c r="BE22" i="3435" s="1" a="1"/>
  <c r="BE22" i="3435" s="1"/>
  <c r="AG19" i="3570"/>
  <c r="AP18" i="3570" a="1"/>
  <c r="AP18" i="3570" s="1"/>
  <c r="AY18" i="3570" s="1" a="1"/>
  <c r="AY18" i="3570" s="1"/>
  <c r="X107" i="3448"/>
  <c r="AB106" i="3448"/>
  <c r="AP23" i="3435"/>
  <c r="AX22" i="3435" a="1"/>
  <c r="AX22" i="3435" s="1"/>
  <c r="BF22" i="3435" s="1" a="1"/>
  <c r="BF22" i="3435" s="1"/>
  <c r="AK18" i="3570" a="1"/>
  <c r="AK18" i="3570" s="1"/>
  <c r="AT18" i="3570" s="1" a="1"/>
  <c r="AT18" i="3570" s="1"/>
  <c r="AB19" i="3570"/>
  <c r="AK23" i="3435"/>
  <c r="AS22" i="3435" a="1"/>
  <c r="AS22" i="3435" s="1"/>
  <c r="BA22" i="3435" s="1" a="1"/>
  <c r="BA22" i="3435" s="1"/>
  <c r="AK16" i="3518" a="1"/>
  <c r="AK16" i="3518" s="1"/>
  <c r="AR16" i="3518" s="1" a="1"/>
  <c r="AR16" i="3518" s="1"/>
  <c r="AD17" i="3518"/>
  <c r="AA17" i="3518"/>
  <c r="AH16" i="3518" a="1"/>
  <c r="AH16" i="3518" s="1"/>
  <c r="AO16" i="3518" s="1" a="1"/>
  <c r="AO16" i="3518" s="1"/>
  <c r="AN23" i="3435"/>
  <c r="AV22" i="3435" a="1"/>
  <c r="AV22" i="3435" s="1"/>
  <c r="BD22" i="3435" s="1" a="1"/>
  <c r="BD22" i="3435" s="1"/>
  <c r="E138" i="3523"/>
  <c r="AA138" i="3523" s="1" a="1"/>
  <c r="AA138" i="3523" s="1"/>
  <c r="BS107" i="3448"/>
  <c r="AL18" i="3570" a="1"/>
  <c r="AL18" i="3570" s="1"/>
  <c r="AU18" i="3570" s="1" a="1"/>
  <c r="AU18" i="3570" s="1"/>
  <c r="AC19" i="3570"/>
  <c r="BC21" i="3435" a="1"/>
  <c r="BC21" i="3435" s="1"/>
  <c r="BE21" i="3435" a="1"/>
  <c r="BE21" i="3435" s="1"/>
  <c r="AN18" i="3570" a="1"/>
  <c r="AN18" i="3570" s="1"/>
  <c r="AW18" i="3570" s="1" a="1"/>
  <c r="AW18" i="3570" s="1"/>
  <c r="AE19" i="3570"/>
  <c r="BW23" i="3564"/>
  <c r="BP24" i="3564"/>
  <c r="X19" i="3435"/>
  <c r="AE18" i="3435" a="1"/>
  <c r="AE18" i="3435" s="1"/>
  <c r="AC18" i="3435" a="1"/>
  <c r="AC18" i="3435" s="1"/>
  <c r="V19" i="3435"/>
  <c r="BZ24" i="3564"/>
  <c r="BS25" i="3564"/>
  <c r="D138" i="3523"/>
  <c r="V138" i="3523" s="1" a="1"/>
  <c r="V138" i="3523" s="1"/>
  <c r="BR107" i="3448"/>
  <c r="AC17" i="3518"/>
  <c r="AJ16" i="3518" a="1"/>
  <c r="AJ16" i="3518" s="1"/>
  <c r="AQ16" i="3518" s="1" a="1"/>
  <c r="AQ16" i="3518" s="1"/>
  <c r="A136" i="3523"/>
  <c r="AE17" i="3518"/>
  <c r="AL16" i="3518" a="1"/>
  <c r="AL16" i="3518" s="1"/>
  <c r="AS16" i="3518" s="1" a="1"/>
  <c r="AS16" i="3518" s="1"/>
  <c r="CA24" i="3564"/>
  <c r="BT25" i="3564"/>
  <c r="U18" i="3435"/>
  <c r="AB17" i="3435" a="1"/>
  <c r="AB17" i="3435" s="1"/>
  <c r="Y109" i="3448"/>
  <c r="AC108" i="3448"/>
  <c r="F137" i="3523"/>
  <c r="AF137" i="3523" s="1" a="1"/>
  <c r="AF137" i="3523" s="1"/>
  <c r="BT106" i="3448"/>
  <c r="AD18" i="3435" a="1"/>
  <c r="AD18" i="3435" s="1"/>
  <c r="W19" i="3435"/>
  <c r="AU22" i="3435" a="1"/>
  <c r="AU22" i="3435" s="1"/>
  <c r="BC22" i="3435" s="1" a="1"/>
  <c r="BC22" i="3435" s="1"/>
  <c r="AM23" i="3435"/>
  <c r="AF17" i="3518"/>
  <c r="AM16" i="3518" a="1"/>
  <c r="AM16" i="3518" s="1"/>
  <c r="AT16" i="3518" s="1" a="1"/>
  <c r="AT16" i="3518" s="1"/>
  <c r="B138" i="3523"/>
  <c r="BP107" i="3448"/>
  <c r="L137" i="3523" a="1"/>
  <c r="L137" i="3523" s="1"/>
  <c r="AT22" i="3435" a="1"/>
  <c r="AT22" i="3435" s="1"/>
  <c r="AL23" i="3435"/>
  <c r="AB17" i="3518"/>
  <c r="AI16" i="3518" a="1"/>
  <c r="AI16" i="3518" s="1"/>
  <c r="AP16" i="3518" s="1" a="1"/>
  <c r="AP16" i="3518" s="1"/>
  <c r="AM18" i="3570" a="1"/>
  <c r="AM18" i="3570" s="1"/>
  <c r="AV18" i="3570" s="1" a="1"/>
  <c r="AV18" i="3570" s="1"/>
  <c r="AD19" i="3570"/>
  <c r="CG107" i="3448"/>
  <c r="BZ108" i="3448"/>
  <c r="AQ23" i="3435"/>
  <c r="AY22" i="3435" a="1"/>
  <c r="AY22" i="3435" s="1"/>
  <c r="AR18" i="3570" a="1"/>
  <c r="AR18" i="3570" s="1"/>
  <c r="BA18" i="3570" s="1" a="1"/>
  <c r="BA18" i="3570" s="1"/>
  <c r="AI19" i="3570"/>
  <c r="T54" i="3576" l="1"/>
  <c r="U57" i="3576" a="1"/>
  <c r="U57" i="3576" s="1"/>
  <c r="AD57" i="3576" s="1"/>
  <c r="AD58" i="3576" a="1"/>
  <c r="AD58" i="3576" s="1"/>
  <c r="J60" i="3576" a="1"/>
  <c r="J60" i="3576" s="1"/>
  <c r="O60" i="3576" a="1"/>
  <c r="O60" i="3576" s="1"/>
  <c r="K60" i="3576" a="1"/>
  <c r="K60" i="3576" s="1"/>
  <c r="X60" i="3576" s="1"/>
  <c r="L60" i="3576" a="1"/>
  <c r="L60" i="3576" s="1"/>
  <c r="H60" i="3576" a="1"/>
  <c r="H60" i="3576" s="1"/>
  <c r="G60" i="3576" a="1"/>
  <c r="G60" i="3576" s="1"/>
  <c r="I60" i="3576" a="1"/>
  <c r="I60" i="3576" s="1"/>
  <c r="F60" i="3576" a="1"/>
  <c r="F60" i="3576" s="1"/>
  <c r="E60" i="3576" a="1"/>
  <c r="E60" i="3576" s="1"/>
  <c r="C64" i="3576"/>
  <c r="D63" i="3576" a="1"/>
  <c r="D63" i="3576" s="1"/>
  <c r="C66" i="3576"/>
  <c r="Q57" i="3576"/>
  <c r="B57" i="3576"/>
  <c r="AB57" i="3576" a="1"/>
  <c r="AB57" i="3576" s="1"/>
  <c r="AE58" i="3576" s="1"/>
  <c r="S57" i="3576" a="1"/>
  <c r="S57" i="3576" s="1"/>
  <c r="N57" i="3576" a="1"/>
  <c r="N57" i="3576" s="1"/>
  <c r="P57" i="3576" s="1" a="1"/>
  <c r="P57" i="3576" s="1"/>
  <c r="T57" i="3576" s="1"/>
  <c r="M57" i="3576" a="1"/>
  <c r="M57" i="3576" s="1"/>
  <c r="Z57" i="3576" s="1" a="1"/>
  <c r="Z57" i="3576" s="1"/>
  <c r="R54" i="3576"/>
  <c r="X55" i="3576" s="1"/>
  <c r="AP21" i="3564"/>
  <c r="AI22" i="3564"/>
  <c r="X21" i="3564"/>
  <c r="AB20" i="3564"/>
  <c r="AC21" i="3564"/>
  <c r="Y22" i="3564"/>
  <c r="BQ24" i="3564"/>
  <c r="BX23" i="3564"/>
  <c r="AS21" i="3564"/>
  <c r="AL22" i="3564"/>
  <c r="AN21" i="3564"/>
  <c r="AG22" i="3564"/>
  <c r="AR21" i="3564"/>
  <c r="AK22" i="3564"/>
  <c r="BU23" i="3564"/>
  <c r="BN24" i="3564"/>
  <c r="BH21" i="3564"/>
  <c r="BD22" i="3564"/>
  <c r="BY23" i="3564"/>
  <c r="BR24" i="3564"/>
  <c r="AM22" i="3564"/>
  <c r="AT21" i="3564"/>
  <c r="AO21" i="3564"/>
  <c r="AH22" i="3564"/>
  <c r="AJ23" i="3564"/>
  <c r="AQ22" i="3564"/>
  <c r="BJ21" i="3564"/>
  <c r="BF22" i="3564"/>
  <c r="BE22" i="3564"/>
  <c r="BI21" i="3564"/>
  <c r="AD21" i="3564"/>
  <c r="Z22" i="3564"/>
  <c r="BO24" i="3564"/>
  <c r="BV23" i="3564"/>
  <c r="AC18" i="3518"/>
  <c r="AJ17" i="3518" a="1"/>
  <c r="AJ17" i="3518" s="1"/>
  <c r="AQ17" i="3518" s="1" a="1"/>
  <c r="AQ17" i="3518" s="1"/>
  <c r="AF19" i="3435" a="1"/>
  <c r="AF19" i="3435" s="1"/>
  <c r="Y20" i="3435"/>
  <c r="BG22" i="3435" a="1"/>
  <c r="BG22" i="3435" s="1"/>
  <c r="AC19" i="3435" a="1"/>
  <c r="AC19" i="3435" s="1"/>
  <c r="V20" i="3435"/>
  <c r="BS26" i="3564"/>
  <c r="BZ25" i="3564"/>
  <c r="AD18" i="3518"/>
  <c r="AK17" i="3518" a="1"/>
  <c r="AK17" i="3518" s="1"/>
  <c r="AR17" i="3518" s="1" a="1"/>
  <c r="AR17" i="3518" s="1"/>
  <c r="AE19" i="3435" a="1"/>
  <c r="AE19" i="3435" s="1"/>
  <c r="X20" i="3435"/>
  <c r="AH17" i="3518" a="1"/>
  <c r="AH17" i="3518" s="1"/>
  <c r="AO17" i="3518" s="1" a="1"/>
  <c r="AO17" i="3518" s="1"/>
  <c r="AA18" i="3518"/>
  <c r="AK24" i="3435"/>
  <c r="AS23" i="3435" a="1"/>
  <c r="AS23" i="3435" s="1"/>
  <c r="BA23" i="3435" s="1" a="1"/>
  <c r="BA23" i="3435" s="1"/>
  <c r="AQ19" i="3570" a="1"/>
  <c r="AQ19" i="3570" s="1"/>
  <c r="AZ19" i="3570" s="1" a="1"/>
  <c r="AZ19" i="3570" s="1"/>
  <c r="AH20" i="3570"/>
  <c r="AC109" i="3448"/>
  <c r="Y110" i="3448"/>
  <c r="AM19" i="3570" a="1"/>
  <c r="AM19" i="3570" s="1"/>
  <c r="AV19" i="3570" s="1" a="1"/>
  <c r="AV19" i="3570" s="1"/>
  <c r="AD20" i="3570"/>
  <c r="AD19" i="3435" a="1"/>
  <c r="AD19" i="3435" s="1"/>
  <c r="W20" i="3435"/>
  <c r="AG19" i="3435" a="1"/>
  <c r="AG19" i="3435" s="1"/>
  <c r="Z20" i="3435"/>
  <c r="AF20" i="3570"/>
  <c r="AO19" i="3570" a="1"/>
  <c r="AO19" i="3570" s="1"/>
  <c r="AX19" i="3570" s="1" a="1"/>
  <c r="AX19" i="3570" s="1"/>
  <c r="AN24" i="3435"/>
  <c r="AV23" i="3435" a="1"/>
  <c r="AV23" i="3435" s="1"/>
  <c r="BD23" i="3435" s="1" a="1"/>
  <c r="BD23" i="3435" s="1"/>
  <c r="F138" i="3523"/>
  <c r="AF138" i="3523" s="1" a="1"/>
  <c r="AF138" i="3523" s="1"/>
  <c r="BT107" i="3448"/>
  <c r="AK19" i="3570" a="1"/>
  <c r="AK19" i="3570" s="1"/>
  <c r="AT19" i="3570" s="1" a="1"/>
  <c r="AT19" i="3570" s="1"/>
  <c r="AB20" i="3570"/>
  <c r="AB18" i="3518"/>
  <c r="AI17" i="3518" a="1"/>
  <c r="AI17" i="3518" s="1"/>
  <c r="AP17" i="3518" s="1" a="1"/>
  <c r="AP17" i="3518" s="1"/>
  <c r="BP25" i="3564"/>
  <c r="BW24" i="3564"/>
  <c r="BB22" i="3435" a="1"/>
  <c r="BB22" i="3435" s="1"/>
  <c r="U19" i="3435"/>
  <c r="AB18" i="3435" a="1"/>
  <c r="AB18" i="3435" s="1"/>
  <c r="D139" i="3523"/>
  <c r="V139" i="3523" s="1" a="1"/>
  <c r="V139" i="3523" s="1"/>
  <c r="BR108" i="3448"/>
  <c r="L138" i="3523" a="1"/>
  <c r="L138" i="3523" s="1"/>
  <c r="AP19" i="3570" a="1"/>
  <c r="AP19" i="3570" s="1"/>
  <c r="AY19" i="3570" s="1" a="1"/>
  <c r="AY19" i="3570" s="1"/>
  <c r="AG20" i="3570"/>
  <c r="B139" i="3523"/>
  <c r="BP108" i="3448"/>
  <c r="AP24" i="3435"/>
  <c r="AX23" i="3435" a="1"/>
  <c r="AX23" i="3435" s="1"/>
  <c r="BF23" i="3435" s="1" a="1"/>
  <c r="BF23" i="3435" s="1"/>
  <c r="AF18" i="3518"/>
  <c r="AM17" i="3518" a="1"/>
  <c r="AM17" i="3518" s="1"/>
  <c r="AT17" i="3518" s="1" a="1"/>
  <c r="AT17" i="3518" s="1"/>
  <c r="AN19" i="3570" a="1"/>
  <c r="AN19" i="3570" s="1"/>
  <c r="AW19" i="3570" s="1" a="1"/>
  <c r="AW19" i="3570" s="1"/>
  <c r="AE20" i="3570"/>
  <c r="AL17" i="3518" a="1"/>
  <c r="AL17" i="3518" s="1"/>
  <c r="AS17" i="3518" s="1" a="1"/>
  <c r="AS17" i="3518" s="1"/>
  <c r="AE18" i="3518"/>
  <c r="AL19" i="3570" a="1"/>
  <c r="AL19" i="3570" s="1"/>
  <c r="AU19" i="3570" s="1" a="1"/>
  <c r="AU19" i="3570" s="1"/>
  <c r="AC20" i="3570"/>
  <c r="AO24" i="3435"/>
  <c r="AW23" i="3435" a="1"/>
  <c r="AW23" i="3435" s="1"/>
  <c r="BE23" i="3435" s="1" a="1"/>
  <c r="BE23" i="3435" s="1"/>
  <c r="E139" i="3523"/>
  <c r="AA139" i="3523" s="1" a="1"/>
  <c r="AA139" i="3523" s="1"/>
  <c r="BS108" i="3448"/>
  <c r="AM24" i="3435"/>
  <c r="AU23" i="3435" a="1"/>
  <c r="AU23" i="3435" s="1"/>
  <c r="BC23" i="3435" s="1" a="1"/>
  <c r="BC23" i="3435" s="1"/>
  <c r="AQ24" i="3435"/>
  <c r="AY23" i="3435" a="1"/>
  <c r="AY23" i="3435" s="1"/>
  <c r="BG23" i="3435" s="1" a="1"/>
  <c r="BG23" i="3435" s="1"/>
  <c r="BZ109" i="3448"/>
  <c r="CG108" i="3448"/>
  <c r="AL24" i="3435"/>
  <c r="AT23" i="3435" a="1"/>
  <c r="AT23" i="3435" s="1"/>
  <c r="BB23" i="3435" s="1" a="1"/>
  <c r="BB23" i="3435" s="1"/>
  <c r="A137" i="3523"/>
  <c r="CA25" i="3564"/>
  <c r="BT26" i="3564"/>
  <c r="AB107" i="3448"/>
  <c r="X108" i="3448"/>
  <c r="AR19" i="3570" a="1"/>
  <c r="AR19" i="3570" s="1"/>
  <c r="BA19" i="3570" s="1" a="1"/>
  <c r="BA19" i="3570" s="1"/>
  <c r="AI20" i="3570"/>
  <c r="C138" i="3523"/>
  <c r="Q138" i="3523" s="1" a="1"/>
  <c r="Q138" i="3523" s="1"/>
  <c r="BQ107" i="3448"/>
  <c r="Z107" i="3448"/>
  <c r="AD106" i="3448"/>
  <c r="R57" i="3576" l="1"/>
  <c r="X58" i="3576" s="1"/>
  <c r="U60" i="3576" a="1"/>
  <c r="U60" i="3576" s="1"/>
  <c r="AD60" i="3576" s="1"/>
  <c r="AD61" i="3576" a="1"/>
  <c r="AD61" i="3576" s="1"/>
  <c r="C69" i="3576"/>
  <c r="C67" i="3576"/>
  <c r="D66" i="3576" a="1"/>
  <c r="D66" i="3576" s="1"/>
  <c r="F63" i="3576" a="1"/>
  <c r="F63" i="3576" s="1"/>
  <c r="O63" i="3576" a="1"/>
  <c r="O63" i="3576" s="1"/>
  <c r="J63" i="3576" a="1"/>
  <c r="J63" i="3576" s="1"/>
  <c r="I63" i="3576" a="1"/>
  <c r="I63" i="3576" s="1"/>
  <c r="E63" i="3576" a="1"/>
  <c r="E63" i="3576" s="1"/>
  <c r="H63" i="3576" a="1"/>
  <c r="H63" i="3576" s="1"/>
  <c r="G63" i="3576" a="1"/>
  <c r="G63" i="3576" s="1"/>
  <c r="L63" i="3576" a="1"/>
  <c r="L63" i="3576" s="1"/>
  <c r="K63" i="3576" a="1"/>
  <c r="K63" i="3576" s="1"/>
  <c r="X63" i="3576" s="1"/>
  <c r="Q60" i="3576"/>
  <c r="AB60" i="3576" a="1"/>
  <c r="AB60" i="3576" s="1"/>
  <c r="AE61" i="3576" s="1"/>
  <c r="N60" i="3576" a="1"/>
  <c r="N60" i="3576" s="1"/>
  <c r="P60" i="3576" s="1" a="1"/>
  <c r="P60" i="3576" s="1"/>
  <c r="M60" i="3576" a="1"/>
  <c r="M60" i="3576" s="1"/>
  <c r="Z60" i="3576" s="1" a="1"/>
  <c r="Z60" i="3576" s="1"/>
  <c r="B60" i="3576"/>
  <c r="S60" i="3576" a="1"/>
  <c r="S60" i="3576" s="1"/>
  <c r="AH23" i="3564"/>
  <c r="AO22" i="3564"/>
  <c r="AT22" i="3564"/>
  <c r="AM23" i="3564"/>
  <c r="BR25" i="3564"/>
  <c r="BY24" i="3564"/>
  <c r="BD23" i="3564"/>
  <c r="BH22" i="3564"/>
  <c r="BU24" i="3564"/>
  <c r="BN25" i="3564"/>
  <c r="AR22" i="3564"/>
  <c r="AK23" i="3564"/>
  <c r="AG23" i="3564"/>
  <c r="AN22" i="3564"/>
  <c r="AL23" i="3564"/>
  <c r="AS22" i="3564"/>
  <c r="BO25" i="3564"/>
  <c r="BV24" i="3564"/>
  <c r="BQ25" i="3564"/>
  <c r="BX24" i="3564"/>
  <c r="AC22" i="3564"/>
  <c r="Y23" i="3564"/>
  <c r="BI22" i="3564"/>
  <c r="BE23" i="3564"/>
  <c r="A138" i="3523"/>
  <c r="BF23" i="3564"/>
  <c r="BJ22" i="3564"/>
  <c r="AD22" i="3564"/>
  <c r="Z23" i="3564"/>
  <c r="AB21" i="3564"/>
  <c r="X22" i="3564"/>
  <c r="AP22" i="3564"/>
  <c r="AI23" i="3564"/>
  <c r="AJ24" i="3564"/>
  <c r="AQ23" i="3564"/>
  <c r="AH18" i="3518" a="1"/>
  <c r="AH18" i="3518" s="1"/>
  <c r="AO18" i="3518" s="1" a="1"/>
  <c r="AO18" i="3518" s="1"/>
  <c r="AA19" i="3518"/>
  <c r="AN25" i="3435"/>
  <c r="AV24" i="3435" a="1"/>
  <c r="AV24" i="3435" s="1"/>
  <c r="BD24" i="3435" s="1" a="1"/>
  <c r="BD24" i="3435" s="1"/>
  <c r="X21" i="3435"/>
  <c r="AE20" i="3435" a="1"/>
  <c r="AE20" i="3435" s="1"/>
  <c r="AF21" i="3570"/>
  <c r="AO20" i="3570" a="1"/>
  <c r="AO20" i="3570" s="1"/>
  <c r="AX20" i="3570" s="1" a="1"/>
  <c r="AX20" i="3570" s="1"/>
  <c r="AC21" i="3570"/>
  <c r="AL20" i="3570" a="1"/>
  <c r="AL20" i="3570" s="1"/>
  <c r="AU20" i="3570" s="1" a="1"/>
  <c r="AU20" i="3570" s="1"/>
  <c r="W21" i="3435"/>
  <c r="AD20" i="3435" a="1"/>
  <c r="AD20" i="3435" s="1"/>
  <c r="AD19" i="3518"/>
  <c r="AK18" i="3518" a="1"/>
  <c r="AK18" i="3518" s="1"/>
  <c r="AR18" i="3518" s="1" a="1"/>
  <c r="AR18" i="3518" s="1"/>
  <c r="D140" i="3523"/>
  <c r="V140" i="3523" s="1" a="1"/>
  <c r="V140" i="3523" s="1"/>
  <c r="BR109" i="3448"/>
  <c r="AM20" i="3570" a="1"/>
  <c r="AM20" i="3570" s="1"/>
  <c r="AV20" i="3570" s="1" a="1"/>
  <c r="AV20" i="3570" s="1"/>
  <c r="AD21" i="3570"/>
  <c r="BS27" i="3564"/>
  <c r="BZ26" i="3564"/>
  <c r="AD107" i="3448"/>
  <c r="Z108" i="3448"/>
  <c r="AE19" i="3518"/>
  <c r="AL18" i="3518" a="1"/>
  <c r="AL18" i="3518" s="1"/>
  <c r="AS18" i="3518" s="1" a="1"/>
  <c r="AS18" i="3518" s="1"/>
  <c r="AM18" i="3518" a="1"/>
  <c r="AM18" i="3518" s="1"/>
  <c r="AT18" i="3518" s="1" a="1"/>
  <c r="AT18" i="3518" s="1"/>
  <c r="AF19" i="3518"/>
  <c r="V21" i="3435"/>
  <c r="AC20" i="3435" a="1"/>
  <c r="AC20" i="3435" s="1"/>
  <c r="AU24" i="3435" a="1"/>
  <c r="AU24" i="3435" s="1"/>
  <c r="BC24" i="3435" s="1" a="1"/>
  <c r="BC24" i="3435" s="1"/>
  <c r="AM25" i="3435"/>
  <c r="X109" i="3448"/>
  <c r="AB108" i="3448"/>
  <c r="E140" i="3523"/>
  <c r="AA140" i="3523" s="1" a="1"/>
  <c r="AA140" i="3523" s="1"/>
  <c r="BS109" i="3448"/>
  <c r="AO25" i="3435"/>
  <c r="AW24" i="3435" a="1"/>
  <c r="AW24" i="3435" s="1"/>
  <c r="BE24" i="3435" s="1" a="1"/>
  <c r="BE24" i="3435" s="1"/>
  <c r="AN20" i="3570" a="1"/>
  <c r="AN20" i="3570" s="1"/>
  <c r="AW20" i="3570" s="1" a="1"/>
  <c r="AW20" i="3570" s="1"/>
  <c r="AE21" i="3570"/>
  <c r="BW25" i="3564"/>
  <c r="BP26" i="3564"/>
  <c r="AF20" i="3435" a="1"/>
  <c r="AF20" i="3435" s="1"/>
  <c r="Y21" i="3435"/>
  <c r="Z21" i="3435"/>
  <c r="AG20" i="3435" a="1"/>
  <c r="AG20" i="3435" s="1"/>
  <c r="U20" i="3435"/>
  <c r="AB19" i="3435" a="1"/>
  <c r="AB19" i="3435" s="1"/>
  <c r="BT27" i="3564"/>
  <c r="CA26" i="3564"/>
  <c r="AP25" i="3435"/>
  <c r="AX24" i="3435" a="1"/>
  <c r="AX24" i="3435" s="1"/>
  <c r="BF24" i="3435" s="1" a="1"/>
  <c r="BF24" i="3435" s="1"/>
  <c r="L139" i="3523" a="1"/>
  <c r="L139" i="3523" s="1"/>
  <c r="AH21" i="3570"/>
  <c r="AQ20" i="3570" a="1"/>
  <c r="AQ20" i="3570" s="1"/>
  <c r="AZ20" i="3570" s="1" a="1"/>
  <c r="AZ20" i="3570" s="1"/>
  <c r="B140" i="3523"/>
  <c r="BP109" i="3448"/>
  <c r="AK20" i="3570" a="1"/>
  <c r="AK20" i="3570" s="1"/>
  <c r="AT20" i="3570" s="1" a="1"/>
  <c r="AT20" i="3570" s="1"/>
  <c r="AB21" i="3570"/>
  <c r="AC19" i="3518"/>
  <c r="AJ18" i="3518" a="1"/>
  <c r="AJ18" i="3518" s="1"/>
  <c r="AQ18" i="3518" s="1" a="1"/>
  <c r="AQ18" i="3518" s="1"/>
  <c r="AI18" i="3518" a="1"/>
  <c r="AI18" i="3518" s="1"/>
  <c r="AP18" i="3518" s="1" a="1"/>
  <c r="AP18" i="3518" s="1"/>
  <c r="AB19" i="3518"/>
  <c r="CG109" i="3448"/>
  <c r="BZ110" i="3448"/>
  <c r="AQ25" i="3435"/>
  <c r="AY24" i="3435" a="1"/>
  <c r="AY24" i="3435" s="1"/>
  <c r="BG24" i="3435" s="1" a="1"/>
  <c r="BG24" i="3435" s="1"/>
  <c r="F139" i="3523"/>
  <c r="AF139" i="3523" s="1" a="1"/>
  <c r="AF139" i="3523" s="1"/>
  <c r="BT108" i="3448"/>
  <c r="C139" i="3523"/>
  <c r="Q139" i="3523" s="1" a="1"/>
  <c r="Q139" i="3523" s="1"/>
  <c r="BQ108" i="3448"/>
  <c r="AI21" i="3570"/>
  <c r="AR20" i="3570" a="1"/>
  <c r="AR20" i="3570" s="1"/>
  <c r="BA20" i="3570" s="1" a="1"/>
  <c r="BA20" i="3570" s="1"/>
  <c r="AL25" i="3435"/>
  <c r="AT24" i="3435" a="1"/>
  <c r="AT24" i="3435" s="1"/>
  <c r="BB24" i="3435" s="1" a="1"/>
  <c r="BB24" i="3435" s="1"/>
  <c r="Y111" i="3448"/>
  <c r="AC110" i="3448"/>
  <c r="AG21" i="3570"/>
  <c r="AP20" i="3570" a="1"/>
  <c r="AP20" i="3570" s="1"/>
  <c r="AY20" i="3570" s="1" a="1"/>
  <c r="AY20" i="3570" s="1"/>
  <c r="AK25" i="3435"/>
  <c r="AS24" i="3435" a="1"/>
  <c r="AS24" i="3435" s="1"/>
  <c r="BA24" i="3435" s="1" a="1"/>
  <c r="BA24" i="3435" s="1"/>
  <c r="T60" i="3576" l="1"/>
  <c r="U63" i="3576" a="1"/>
  <c r="U63" i="3576" s="1"/>
  <c r="AD63" i="3576" s="1"/>
  <c r="AD64" i="3576" a="1"/>
  <c r="AD64" i="3576" s="1"/>
  <c r="R60" i="3576"/>
  <c r="X61" i="3576" s="1"/>
  <c r="L66" i="3576" a="1"/>
  <c r="L66" i="3576" s="1"/>
  <c r="K66" i="3576" a="1"/>
  <c r="K66" i="3576" s="1"/>
  <c r="X66" i="3576" s="1"/>
  <c r="G66" i="3576" a="1"/>
  <c r="G66" i="3576" s="1"/>
  <c r="F66" i="3576" a="1"/>
  <c r="F66" i="3576" s="1"/>
  <c r="O66" i="3576" a="1"/>
  <c r="O66" i="3576" s="1"/>
  <c r="I66" i="3576" a="1"/>
  <c r="I66" i="3576" s="1"/>
  <c r="J66" i="3576" a="1"/>
  <c r="J66" i="3576" s="1"/>
  <c r="H66" i="3576" a="1"/>
  <c r="H66" i="3576" s="1"/>
  <c r="E66" i="3576" a="1"/>
  <c r="E66" i="3576" s="1"/>
  <c r="S63" i="3576" a="1"/>
  <c r="S63" i="3576" s="1"/>
  <c r="Q63" i="3576"/>
  <c r="N63" i="3576" a="1"/>
  <c r="N63" i="3576" s="1"/>
  <c r="P63" i="3576" s="1" a="1"/>
  <c r="P63" i="3576" s="1"/>
  <c r="M63" i="3576" a="1"/>
  <c r="M63" i="3576" s="1"/>
  <c r="Z63" i="3576" s="1" a="1"/>
  <c r="Z63" i="3576" s="1"/>
  <c r="B63" i="3576"/>
  <c r="AB63" i="3576" a="1"/>
  <c r="AB63" i="3576" s="1"/>
  <c r="AE64" i="3576" s="1"/>
  <c r="C72" i="3576"/>
  <c r="C70" i="3576"/>
  <c r="D69" i="3576" a="1"/>
  <c r="D69" i="3576" s="1"/>
  <c r="A139" i="3523"/>
  <c r="BI23" i="3564"/>
  <c r="BE24" i="3564"/>
  <c r="AC23" i="3564"/>
  <c r="Y24" i="3564"/>
  <c r="BX25" i="3564"/>
  <c r="BQ26" i="3564"/>
  <c r="BV25" i="3564"/>
  <c r="BO26" i="3564"/>
  <c r="AS23" i="3564"/>
  <c r="AL24" i="3564"/>
  <c r="AG24" i="3564"/>
  <c r="AN23" i="3564"/>
  <c r="AR23" i="3564"/>
  <c r="AK24" i="3564"/>
  <c r="BN26" i="3564"/>
  <c r="BU25" i="3564"/>
  <c r="AP23" i="3564"/>
  <c r="AI24" i="3564"/>
  <c r="AB22" i="3564"/>
  <c r="X23" i="3564"/>
  <c r="BH23" i="3564"/>
  <c r="BD24" i="3564"/>
  <c r="AD23" i="3564"/>
  <c r="Z24" i="3564"/>
  <c r="BR26" i="3564"/>
  <c r="BY25" i="3564"/>
  <c r="AJ25" i="3564"/>
  <c r="AQ24" i="3564"/>
  <c r="AT23" i="3564"/>
  <c r="AM24" i="3564"/>
  <c r="BF24" i="3564"/>
  <c r="BJ23" i="3564"/>
  <c r="AH24" i="3564"/>
  <c r="AO23" i="3564"/>
  <c r="BZ111" i="3448"/>
  <c r="CG110" i="3448"/>
  <c r="Z22" i="3435"/>
  <c r="AG21" i="3435" a="1"/>
  <c r="AG21" i="3435" s="1"/>
  <c r="AD21" i="3435" a="1"/>
  <c r="AD21" i="3435" s="1"/>
  <c r="W22" i="3435"/>
  <c r="AM26" i="3435"/>
  <c r="AU25" i="3435" a="1"/>
  <c r="AU25" i="3435" s="1"/>
  <c r="BC25" i="3435" s="1" a="1"/>
  <c r="BC25" i="3435" s="1"/>
  <c r="AQ26" i="3435"/>
  <c r="AY25" i="3435" a="1"/>
  <c r="AY25" i="3435" s="1"/>
  <c r="BG25" i="3435" s="1" a="1"/>
  <c r="BG25" i="3435" s="1"/>
  <c r="V22" i="3435"/>
  <c r="AC21" i="3435" a="1"/>
  <c r="AC21" i="3435" s="1"/>
  <c r="AF20" i="3518"/>
  <c r="AM19" i="3518" a="1"/>
  <c r="AM19" i="3518" s="1"/>
  <c r="AT19" i="3518" s="1" a="1"/>
  <c r="AT19" i="3518" s="1"/>
  <c r="AL21" i="3570" a="1"/>
  <c r="AL21" i="3570" s="1"/>
  <c r="AU21" i="3570" s="1" a="1"/>
  <c r="AU21" i="3570" s="1"/>
  <c r="AC22" i="3570"/>
  <c r="U21" i="3435"/>
  <c r="AB20" i="3435" a="1"/>
  <c r="AB20" i="3435" s="1"/>
  <c r="AL19" i="3518" a="1"/>
  <c r="AL19" i="3518" s="1"/>
  <c r="AS19" i="3518" s="1" a="1"/>
  <c r="AS19" i="3518" s="1"/>
  <c r="AE20" i="3518"/>
  <c r="AG22" i="3570"/>
  <c r="AP21" i="3570" a="1"/>
  <c r="AP21" i="3570" s="1"/>
  <c r="AY21" i="3570" s="1" a="1"/>
  <c r="AY21" i="3570" s="1"/>
  <c r="L140" i="3523" a="1"/>
  <c r="L140" i="3523" s="1"/>
  <c r="BT28" i="3564"/>
  <c r="CA27" i="3564"/>
  <c r="AI19" i="3518" a="1"/>
  <c r="AI19" i="3518" s="1"/>
  <c r="AP19" i="3518" s="1" a="1"/>
  <c r="AP19" i="3518" s="1"/>
  <c r="AB20" i="3518"/>
  <c r="AD108" i="3448"/>
  <c r="Z109" i="3448"/>
  <c r="AK21" i="3570" a="1"/>
  <c r="AK21" i="3570" s="1"/>
  <c r="AT21" i="3570" s="1" a="1"/>
  <c r="AT21" i="3570" s="1"/>
  <c r="AB22" i="3570"/>
  <c r="AF22" i="3570"/>
  <c r="AO21" i="3570" a="1"/>
  <c r="AO21" i="3570" s="1"/>
  <c r="AX21" i="3570" s="1" a="1"/>
  <c r="AX21" i="3570" s="1"/>
  <c r="AS25" i="3435" a="1"/>
  <c r="AS25" i="3435" s="1"/>
  <c r="BA25" i="3435" s="1" a="1"/>
  <c r="BA25" i="3435" s="1"/>
  <c r="AK26" i="3435"/>
  <c r="B141" i="3523"/>
  <c r="BP110" i="3448"/>
  <c r="AE22" i="3570"/>
  <c r="AN21" i="3570" a="1"/>
  <c r="AN21" i="3570" s="1"/>
  <c r="AW21" i="3570" s="1" a="1"/>
  <c r="AW21" i="3570" s="1"/>
  <c r="E141" i="3523"/>
  <c r="AA141" i="3523" s="1" a="1"/>
  <c r="AA141" i="3523" s="1"/>
  <c r="BS110" i="3448"/>
  <c r="BZ27" i="3564"/>
  <c r="BS28" i="3564"/>
  <c r="AE21" i="3435" a="1"/>
  <c r="AE21" i="3435" s="1"/>
  <c r="X22" i="3435"/>
  <c r="AC20" i="3518"/>
  <c r="AJ19" i="3518" a="1"/>
  <c r="AJ19" i="3518" s="1"/>
  <c r="AQ19" i="3518" s="1" a="1"/>
  <c r="AQ19" i="3518" s="1"/>
  <c r="BP27" i="3564"/>
  <c r="BW26" i="3564"/>
  <c r="AQ21" i="3570" a="1"/>
  <c r="AQ21" i="3570" s="1"/>
  <c r="AZ21" i="3570" s="1" a="1"/>
  <c r="AZ21" i="3570" s="1"/>
  <c r="AH22" i="3570"/>
  <c r="AO26" i="3435"/>
  <c r="AW25" i="3435" a="1"/>
  <c r="AW25" i="3435" s="1"/>
  <c r="BE25" i="3435" s="1" a="1"/>
  <c r="BE25" i="3435" s="1"/>
  <c r="AM21" i="3570" a="1"/>
  <c r="AM21" i="3570" s="1"/>
  <c r="AV21" i="3570" s="1" a="1"/>
  <c r="AV21" i="3570" s="1"/>
  <c r="AD22" i="3570"/>
  <c r="AC111" i="3448"/>
  <c r="Y112" i="3448"/>
  <c r="X110" i="3448"/>
  <c r="AB109" i="3448"/>
  <c r="AN26" i="3435"/>
  <c r="AV25" i="3435" a="1"/>
  <c r="AV25" i="3435" s="1"/>
  <c r="BD25" i="3435" s="1" a="1"/>
  <c r="BD25" i="3435" s="1"/>
  <c r="AD20" i="3518"/>
  <c r="AK19" i="3518" a="1"/>
  <c r="AK19" i="3518" s="1"/>
  <c r="AR19" i="3518" s="1" a="1"/>
  <c r="AR19" i="3518" s="1"/>
  <c r="AF21" i="3435" a="1"/>
  <c r="AF21" i="3435" s="1"/>
  <c r="Y22" i="3435"/>
  <c r="AL26" i="3435"/>
  <c r="AT25" i="3435" a="1"/>
  <c r="AT25" i="3435" s="1"/>
  <c r="BB25" i="3435" s="1" a="1"/>
  <c r="BB25" i="3435" s="1"/>
  <c r="C140" i="3523"/>
  <c r="Q140" i="3523" s="1" a="1"/>
  <c r="Q140" i="3523" s="1"/>
  <c r="BQ109" i="3448"/>
  <c r="F140" i="3523"/>
  <c r="AF140" i="3523" s="1" a="1"/>
  <c r="AF140" i="3523" s="1"/>
  <c r="BT109" i="3448"/>
  <c r="D141" i="3523"/>
  <c r="V141" i="3523" s="1" a="1"/>
  <c r="V141" i="3523" s="1"/>
  <c r="BR110" i="3448"/>
  <c r="AA20" i="3518"/>
  <c r="AH19" i="3518" a="1"/>
  <c r="AH19" i="3518" s="1"/>
  <c r="AO19" i="3518" s="1" a="1"/>
  <c r="AO19" i="3518" s="1"/>
  <c r="AR21" i="3570" a="1"/>
  <c r="AR21" i="3570" s="1"/>
  <c r="BA21" i="3570" s="1" a="1"/>
  <c r="BA21" i="3570" s="1"/>
  <c r="AI22" i="3570"/>
  <c r="AX25" i="3435" a="1"/>
  <c r="AX25" i="3435" s="1"/>
  <c r="BF25" i="3435" s="1" a="1"/>
  <c r="BF25" i="3435" s="1"/>
  <c r="AP26" i="3435"/>
  <c r="T63" i="3576" l="1"/>
  <c r="U66" i="3576" a="1"/>
  <c r="U66" i="3576" s="1"/>
  <c r="AD66" i="3576" s="1"/>
  <c r="AD67" i="3576" a="1"/>
  <c r="AD67" i="3576" s="1"/>
  <c r="K69" i="3576" a="1"/>
  <c r="K69" i="3576" s="1"/>
  <c r="X69" i="3576" s="1"/>
  <c r="L69" i="3576" a="1"/>
  <c r="L69" i="3576" s="1"/>
  <c r="I69" i="3576" a="1"/>
  <c r="I69" i="3576" s="1"/>
  <c r="H69" i="3576" a="1"/>
  <c r="H69" i="3576" s="1"/>
  <c r="G69" i="3576" a="1"/>
  <c r="G69" i="3576" s="1"/>
  <c r="F69" i="3576" a="1"/>
  <c r="F69" i="3576" s="1"/>
  <c r="O69" i="3576" a="1"/>
  <c r="O69" i="3576" s="1"/>
  <c r="E69" i="3576" a="1"/>
  <c r="E69" i="3576" s="1"/>
  <c r="J69" i="3576" a="1"/>
  <c r="J69" i="3576" s="1"/>
  <c r="C73" i="3576"/>
  <c r="D72" i="3576" a="1"/>
  <c r="D72" i="3576" s="1"/>
  <c r="C75" i="3576"/>
  <c r="R63" i="3576"/>
  <c r="X64" i="3576" s="1"/>
  <c r="S66" i="3576" a="1"/>
  <c r="S66" i="3576" s="1"/>
  <c r="M66" i="3576" a="1"/>
  <c r="M66" i="3576" s="1"/>
  <c r="Z66" i="3576" s="1" a="1"/>
  <c r="Z66" i="3576" s="1"/>
  <c r="N66" i="3576" a="1"/>
  <c r="N66" i="3576" s="1"/>
  <c r="P66" i="3576" s="1" a="1"/>
  <c r="P66" i="3576" s="1"/>
  <c r="B66" i="3576"/>
  <c r="AB66" i="3576" a="1"/>
  <c r="AB66" i="3576" s="1"/>
  <c r="AE67" i="3576" s="1"/>
  <c r="Q66" i="3576"/>
  <c r="A140" i="3523"/>
  <c r="Z25" i="3564"/>
  <c r="AD24" i="3564"/>
  <c r="BH24" i="3564"/>
  <c r="BD25" i="3564"/>
  <c r="AB23" i="3564"/>
  <c r="X24" i="3564"/>
  <c r="AI25" i="3564"/>
  <c r="AP24" i="3564"/>
  <c r="BN27" i="3564"/>
  <c r="BU26" i="3564"/>
  <c r="AR24" i="3564"/>
  <c r="AK25" i="3564"/>
  <c r="AN24" i="3564"/>
  <c r="AG25" i="3564"/>
  <c r="BJ24" i="3564"/>
  <c r="BF25" i="3564"/>
  <c r="AT24" i="3564"/>
  <c r="AM25" i="3564"/>
  <c r="BQ27" i="3564"/>
  <c r="BX26" i="3564"/>
  <c r="AS24" i="3564"/>
  <c r="AL25" i="3564"/>
  <c r="AC24" i="3564"/>
  <c r="Y25" i="3564"/>
  <c r="AH25" i="3564"/>
  <c r="AO24" i="3564"/>
  <c r="AQ25" i="3564"/>
  <c r="AJ26" i="3564"/>
  <c r="BO27" i="3564"/>
  <c r="BV26" i="3564"/>
  <c r="BI24" i="3564"/>
  <c r="BE25" i="3564"/>
  <c r="BR27" i="3564"/>
  <c r="BY26" i="3564"/>
  <c r="AF22" i="3435" a="1"/>
  <c r="AF22" i="3435" s="1"/>
  <c r="Y23" i="3435"/>
  <c r="AM20" i="3518" a="1"/>
  <c r="AM20" i="3518" s="1"/>
  <c r="AT20" i="3518" s="1" a="1"/>
  <c r="AT20" i="3518" s="1"/>
  <c r="AF21" i="3518"/>
  <c r="AQ27" i="3435"/>
  <c r="AY26" i="3435" a="1"/>
  <c r="AY26" i="3435" s="1"/>
  <c r="BG26" i="3435" s="1" a="1"/>
  <c r="BG26" i="3435" s="1"/>
  <c r="V23" i="3435"/>
  <c r="AC22" i="3435" a="1"/>
  <c r="AC22" i="3435" s="1"/>
  <c r="BT29" i="3564"/>
  <c r="CA28" i="3564"/>
  <c r="AK20" i="3518" a="1"/>
  <c r="AK20" i="3518" s="1"/>
  <c r="AR20" i="3518" s="1" a="1"/>
  <c r="AR20" i="3518" s="1"/>
  <c r="AD21" i="3518"/>
  <c r="AR22" i="3570" a="1"/>
  <c r="AR22" i="3570" s="1"/>
  <c r="BA22" i="3570" s="1" a="1"/>
  <c r="BA22" i="3570" s="1"/>
  <c r="AI23" i="3570"/>
  <c r="AN27" i="3435"/>
  <c r="AV26" i="3435" a="1"/>
  <c r="AV26" i="3435" s="1"/>
  <c r="BD26" i="3435" s="1" a="1"/>
  <c r="BD26" i="3435" s="1"/>
  <c r="BS29" i="3564"/>
  <c r="BZ28" i="3564"/>
  <c r="AJ20" i="3518" a="1"/>
  <c r="AJ20" i="3518" s="1"/>
  <c r="AQ20" i="3518" s="1" a="1"/>
  <c r="AQ20" i="3518" s="1"/>
  <c r="AC21" i="3518"/>
  <c r="AE22" i="3435" a="1"/>
  <c r="AE22" i="3435" s="1"/>
  <c r="X23" i="3435"/>
  <c r="AP22" i="3570" a="1"/>
  <c r="AP22" i="3570" s="1"/>
  <c r="AY22" i="3570" s="1" a="1"/>
  <c r="AY22" i="3570" s="1"/>
  <c r="AG23" i="3570"/>
  <c r="AU26" i="3435" a="1"/>
  <c r="AU26" i="3435" s="1"/>
  <c r="BC26" i="3435" s="1" a="1"/>
  <c r="BC26" i="3435" s="1"/>
  <c r="AM27" i="3435"/>
  <c r="AD22" i="3435" a="1"/>
  <c r="AD22" i="3435" s="1"/>
  <c r="W23" i="3435"/>
  <c r="Y113" i="3448"/>
  <c r="AC112" i="3448"/>
  <c r="Z110" i="3448"/>
  <c r="AD109" i="3448"/>
  <c r="AS26" i="3435" a="1"/>
  <c r="AS26" i="3435" s="1"/>
  <c r="BA26" i="3435" s="1" a="1"/>
  <c r="BA26" i="3435" s="1"/>
  <c r="AK27" i="3435"/>
  <c r="AB21" i="3518"/>
  <c r="AI20" i="3518" a="1"/>
  <c r="AI20" i="3518" s="1"/>
  <c r="AP20" i="3518" s="1" a="1"/>
  <c r="AP20" i="3518" s="1"/>
  <c r="AA21" i="3518"/>
  <c r="AH20" i="3518" a="1"/>
  <c r="AH20" i="3518" s="1"/>
  <c r="AO20" i="3518" s="1" a="1"/>
  <c r="AO20" i="3518" s="1"/>
  <c r="AM22" i="3570" a="1"/>
  <c r="AM22" i="3570" s="1"/>
  <c r="AV22" i="3570" s="1" a="1"/>
  <c r="AV22" i="3570" s="1"/>
  <c r="AD23" i="3570"/>
  <c r="D142" i="3523"/>
  <c r="V142" i="3523" s="1" a="1"/>
  <c r="V142" i="3523" s="1"/>
  <c r="BR111" i="3448"/>
  <c r="AG22" i="3435" a="1"/>
  <c r="AG22" i="3435" s="1"/>
  <c r="Z23" i="3435"/>
  <c r="L141" i="3523" a="1"/>
  <c r="L141" i="3523" s="1"/>
  <c r="AL20" i="3518" a="1"/>
  <c r="AL20" i="3518" s="1"/>
  <c r="AS20" i="3518" s="1" a="1"/>
  <c r="AS20" i="3518" s="1"/>
  <c r="AE21" i="3518"/>
  <c r="AO27" i="3435"/>
  <c r="AW26" i="3435" a="1"/>
  <c r="AW26" i="3435" s="1"/>
  <c r="BE26" i="3435" s="1" a="1"/>
  <c r="BE26" i="3435" s="1"/>
  <c r="AO22" i="3570" a="1"/>
  <c r="AO22" i="3570" s="1"/>
  <c r="AX22" i="3570" s="1" a="1"/>
  <c r="AX22" i="3570" s="1"/>
  <c r="AF23" i="3570"/>
  <c r="B142" i="3523"/>
  <c r="BP111" i="3448"/>
  <c r="BW27" i="3564"/>
  <c r="BP28" i="3564"/>
  <c r="U22" i="3435"/>
  <c r="AB21" i="3435" a="1"/>
  <c r="AB21" i="3435" s="1"/>
  <c r="BZ112" i="3448"/>
  <c r="CG111" i="3448"/>
  <c r="AN22" i="3570" a="1"/>
  <c r="AN22" i="3570" s="1"/>
  <c r="AW22" i="3570" s="1" a="1"/>
  <c r="AW22" i="3570" s="1"/>
  <c r="AE23" i="3570"/>
  <c r="AQ22" i="3570" a="1"/>
  <c r="AQ22" i="3570" s="1"/>
  <c r="AZ22" i="3570" s="1" a="1"/>
  <c r="AZ22" i="3570" s="1"/>
  <c r="AH23" i="3570"/>
  <c r="AB23" i="3570"/>
  <c r="AK22" i="3570" a="1"/>
  <c r="AK22" i="3570" s="1"/>
  <c r="AT22" i="3570" s="1" a="1"/>
  <c r="AT22" i="3570" s="1"/>
  <c r="AC23" i="3570"/>
  <c r="AL22" i="3570" a="1"/>
  <c r="AL22" i="3570" s="1"/>
  <c r="AU22" i="3570" s="1" a="1"/>
  <c r="AU22" i="3570" s="1"/>
  <c r="AP27" i="3435"/>
  <c r="AX26" i="3435" a="1"/>
  <c r="AX26" i="3435" s="1"/>
  <c r="BF26" i="3435" s="1" a="1"/>
  <c r="BF26" i="3435" s="1"/>
  <c r="E142" i="3523"/>
  <c r="AA142" i="3523" s="1" a="1"/>
  <c r="AA142" i="3523" s="1"/>
  <c r="BS111" i="3448"/>
  <c r="X111" i="3448"/>
  <c r="AB110" i="3448"/>
  <c r="F141" i="3523"/>
  <c r="AF141" i="3523" s="1" a="1"/>
  <c r="AF141" i="3523" s="1"/>
  <c r="BT110" i="3448"/>
  <c r="C141" i="3523"/>
  <c r="Q141" i="3523" s="1" a="1"/>
  <c r="Q141" i="3523" s="1"/>
  <c r="BQ110" i="3448"/>
  <c r="AT26" i="3435" a="1"/>
  <c r="AT26" i="3435" s="1"/>
  <c r="BB26" i="3435" s="1" a="1"/>
  <c r="BB26" i="3435" s="1"/>
  <c r="AL27" i="3435"/>
  <c r="R66" i="3576" l="1"/>
  <c r="X67" i="3576" s="1"/>
  <c r="T66" i="3576"/>
  <c r="U69" i="3576" a="1"/>
  <c r="U69" i="3576" s="1"/>
  <c r="AD69" i="3576" s="1"/>
  <c r="AD70" i="3576" a="1"/>
  <c r="AD70" i="3576" s="1"/>
  <c r="C78" i="3576"/>
  <c r="C76" i="3576"/>
  <c r="D75" i="3576" a="1"/>
  <c r="D75" i="3576" s="1"/>
  <c r="O72" i="3576" a="1"/>
  <c r="O72" i="3576" s="1"/>
  <c r="L72" i="3576" a="1"/>
  <c r="L72" i="3576" s="1"/>
  <c r="H72" i="3576" a="1"/>
  <c r="H72" i="3576" s="1"/>
  <c r="F72" i="3576" a="1"/>
  <c r="F72" i="3576" s="1"/>
  <c r="G72" i="3576" a="1"/>
  <c r="G72" i="3576" s="1"/>
  <c r="E72" i="3576" a="1"/>
  <c r="E72" i="3576" s="1"/>
  <c r="K72" i="3576" a="1"/>
  <c r="K72" i="3576" s="1"/>
  <c r="X72" i="3576" s="1"/>
  <c r="J72" i="3576" a="1"/>
  <c r="J72" i="3576" s="1"/>
  <c r="I72" i="3576" a="1"/>
  <c r="I72" i="3576" s="1"/>
  <c r="S69" i="3576" a="1"/>
  <c r="S69" i="3576" s="1"/>
  <c r="AB69" i="3576" a="1"/>
  <c r="AB69" i="3576" s="1"/>
  <c r="AE70" i="3576" s="1"/>
  <c r="B69" i="3576"/>
  <c r="M69" i="3576" a="1"/>
  <c r="M69" i="3576" s="1"/>
  <c r="Z69" i="3576" s="1" a="1"/>
  <c r="Z69" i="3576" s="1"/>
  <c r="N69" i="3576" a="1"/>
  <c r="N69" i="3576" s="1"/>
  <c r="P69" i="3576" s="1" a="1"/>
  <c r="P69" i="3576" s="1"/>
  <c r="T69" i="3576" s="1"/>
  <c r="Q69" i="3576"/>
  <c r="Y26" i="3564"/>
  <c r="AC25" i="3564"/>
  <c r="AS25" i="3564"/>
  <c r="AL26" i="3564"/>
  <c r="A141" i="3523"/>
  <c r="BX27" i="3564"/>
  <c r="BQ28" i="3564"/>
  <c r="AT25" i="3564"/>
  <c r="AM26" i="3564"/>
  <c r="BF26" i="3564"/>
  <c r="BJ25" i="3564"/>
  <c r="AG26" i="3564"/>
  <c r="AN25" i="3564"/>
  <c r="AK26" i="3564"/>
  <c r="AR25" i="3564"/>
  <c r="BR28" i="3564"/>
  <c r="BY27" i="3564"/>
  <c r="BU27" i="3564"/>
  <c r="BN28" i="3564"/>
  <c r="AI26" i="3564"/>
  <c r="AP25" i="3564"/>
  <c r="AB24" i="3564"/>
  <c r="X25" i="3564"/>
  <c r="BV27" i="3564"/>
  <c r="BO28" i="3564"/>
  <c r="AQ26" i="3564"/>
  <c r="AJ27" i="3564"/>
  <c r="BD26" i="3564"/>
  <c r="BH25" i="3564"/>
  <c r="BE26" i="3564"/>
  <c r="BI25" i="3564"/>
  <c r="AO25" i="3564"/>
  <c r="AH26" i="3564"/>
  <c r="Z26" i="3564"/>
  <c r="AD25" i="3564"/>
  <c r="AX27" i="3435" a="1"/>
  <c r="AX27" i="3435" s="1"/>
  <c r="BF27" i="3435" s="1" a="1"/>
  <c r="BF27" i="3435" s="1"/>
  <c r="AP28" i="3435"/>
  <c r="L142" i="3523" a="1"/>
  <c r="L142" i="3523" s="1"/>
  <c r="AR23" i="3570" a="1"/>
  <c r="AR23" i="3570" s="1"/>
  <c r="BA23" i="3570" s="1" a="1"/>
  <c r="BA23" i="3570" s="1"/>
  <c r="AI24" i="3570"/>
  <c r="AL23" i="3570" a="1"/>
  <c r="AL23" i="3570" s="1"/>
  <c r="AU23" i="3570" s="1" a="1"/>
  <c r="AU23" i="3570" s="1"/>
  <c r="AC24" i="3570"/>
  <c r="AE22" i="3518"/>
  <c r="AL21" i="3518" a="1"/>
  <c r="AL21" i="3518" s="1"/>
  <c r="AS21" i="3518" s="1" a="1"/>
  <c r="AS21" i="3518" s="1"/>
  <c r="W24" i="3435"/>
  <c r="AD23" i="3435" a="1"/>
  <c r="AD23" i="3435" s="1"/>
  <c r="AD22" i="3518"/>
  <c r="AK21" i="3518" a="1"/>
  <c r="AK21" i="3518" s="1"/>
  <c r="AR21" i="3518" s="1" a="1"/>
  <c r="AR21" i="3518" s="1"/>
  <c r="AU27" i="3435" a="1"/>
  <c r="AU27" i="3435" s="1"/>
  <c r="BC27" i="3435" s="1" a="1"/>
  <c r="BC27" i="3435" s="1"/>
  <c r="AM28" i="3435"/>
  <c r="C142" i="3523"/>
  <c r="Q142" i="3523" s="1" a="1"/>
  <c r="Q142" i="3523" s="1"/>
  <c r="BQ111" i="3448"/>
  <c r="AH24" i="3570"/>
  <c r="AQ23" i="3570" a="1"/>
  <c r="AQ23" i="3570" s="1"/>
  <c r="AZ23" i="3570" s="1" a="1"/>
  <c r="AZ23" i="3570" s="1"/>
  <c r="BT30" i="3564"/>
  <c r="CA29" i="3564"/>
  <c r="AN23" i="3570" a="1"/>
  <c r="AN23" i="3570" s="1"/>
  <c r="AW23" i="3570" s="1" a="1"/>
  <c r="AW23" i="3570" s="1"/>
  <c r="AE24" i="3570"/>
  <c r="V24" i="3435"/>
  <c r="AC23" i="3435" a="1"/>
  <c r="AC23" i="3435" s="1"/>
  <c r="B143" i="3523"/>
  <c r="BP112" i="3448"/>
  <c r="AO28" i="3435"/>
  <c r="AW27" i="3435" a="1"/>
  <c r="AW27" i="3435" s="1"/>
  <c r="BE27" i="3435" s="1" a="1"/>
  <c r="BE27" i="3435" s="1"/>
  <c r="AT27" i="3435" a="1"/>
  <c r="AT27" i="3435" s="1"/>
  <c r="BB27" i="3435" s="1" a="1"/>
  <c r="BB27" i="3435" s="1"/>
  <c r="AL28" i="3435"/>
  <c r="F142" i="3523"/>
  <c r="AF142" i="3523" s="1" a="1"/>
  <c r="AF142" i="3523" s="1"/>
  <c r="BT111" i="3448"/>
  <c r="Z24" i="3435"/>
  <c r="AG23" i="3435" a="1"/>
  <c r="AG23" i="3435" s="1"/>
  <c r="AK28" i="3435"/>
  <c r="AS27" i="3435" a="1"/>
  <c r="AS27" i="3435" s="1"/>
  <c r="BA27" i="3435" s="1" a="1"/>
  <c r="BA27" i="3435" s="1"/>
  <c r="AO23" i="3570" a="1"/>
  <c r="AO23" i="3570" s="1"/>
  <c r="AX23" i="3570" s="1" a="1"/>
  <c r="AX23" i="3570" s="1"/>
  <c r="AF24" i="3570"/>
  <c r="AQ28" i="3435"/>
  <c r="AY27" i="3435" a="1"/>
  <c r="AY27" i="3435" s="1"/>
  <c r="BG27" i="3435" s="1" a="1"/>
  <c r="BG27" i="3435" s="1"/>
  <c r="Z111" i="3448"/>
  <c r="AD110" i="3448"/>
  <c r="AK23" i="3570" a="1"/>
  <c r="AK23" i="3570" s="1"/>
  <c r="AT23" i="3570" s="1" a="1"/>
  <c r="AT23" i="3570" s="1"/>
  <c r="AB24" i="3570"/>
  <c r="Y114" i="3448"/>
  <c r="AC113" i="3448"/>
  <c r="AG24" i="3570"/>
  <c r="AP23" i="3570" a="1"/>
  <c r="AP23" i="3570" s="1"/>
  <c r="AY23" i="3570" s="1" a="1"/>
  <c r="AY23" i="3570" s="1"/>
  <c r="CG112" i="3448"/>
  <c r="BZ113" i="3448"/>
  <c r="AA22" i="3518"/>
  <c r="AH21" i="3518" a="1"/>
  <c r="AH21" i="3518" s="1"/>
  <c r="AO21" i="3518" s="1" a="1"/>
  <c r="AO21" i="3518" s="1"/>
  <c r="AF22" i="3518"/>
  <c r="AM21" i="3518" a="1"/>
  <c r="AM21" i="3518" s="1"/>
  <c r="AT21" i="3518" s="1" a="1"/>
  <c r="AT21" i="3518" s="1"/>
  <c r="BS30" i="3564"/>
  <c r="BZ29" i="3564"/>
  <c r="X112" i="3448"/>
  <c r="AB111" i="3448"/>
  <c r="AI21" i="3518" a="1"/>
  <c r="AI21" i="3518" s="1"/>
  <c r="AP21" i="3518" s="1" a="1"/>
  <c r="AP21" i="3518" s="1"/>
  <c r="AB22" i="3518"/>
  <c r="AE23" i="3435" a="1"/>
  <c r="AE23" i="3435" s="1"/>
  <c r="X24" i="3435"/>
  <c r="AM23" i="3570" a="1"/>
  <c r="AM23" i="3570" s="1"/>
  <c r="AV23" i="3570" s="1" a="1"/>
  <c r="AV23" i="3570" s="1"/>
  <c r="AD24" i="3570"/>
  <c r="AF23" i="3435" a="1"/>
  <c r="AF23" i="3435" s="1"/>
  <c r="Y24" i="3435"/>
  <c r="D143" i="3523"/>
  <c r="V143" i="3523" s="1" a="1"/>
  <c r="V143" i="3523" s="1"/>
  <c r="BR112" i="3448"/>
  <c r="AC22" i="3518"/>
  <c r="AJ21" i="3518" a="1"/>
  <c r="AJ21" i="3518" s="1"/>
  <c r="AQ21" i="3518" s="1" a="1"/>
  <c r="AQ21" i="3518" s="1"/>
  <c r="U23" i="3435"/>
  <c r="AB22" i="3435" a="1"/>
  <c r="AB22" i="3435" s="1"/>
  <c r="E143" i="3523"/>
  <c r="AA143" i="3523" s="1" a="1"/>
  <c r="AA143" i="3523" s="1"/>
  <c r="BS112" i="3448"/>
  <c r="BP29" i="3564"/>
  <c r="BW28" i="3564"/>
  <c r="AN28" i="3435"/>
  <c r="AV27" i="3435" a="1"/>
  <c r="AV27" i="3435" s="1"/>
  <c r="BD27" i="3435" s="1" a="1"/>
  <c r="BD27" i="3435" s="1"/>
  <c r="U72" i="3576" l="1" a="1"/>
  <c r="U72" i="3576" s="1"/>
  <c r="AD72" i="3576" s="1"/>
  <c r="AD73" i="3576" a="1"/>
  <c r="AD73" i="3576" s="1"/>
  <c r="R69" i="3576"/>
  <c r="X70" i="3576" s="1"/>
  <c r="S72" i="3576" a="1"/>
  <c r="S72" i="3576" s="1"/>
  <c r="N72" i="3576" a="1"/>
  <c r="N72" i="3576" s="1"/>
  <c r="P72" i="3576" s="1" a="1"/>
  <c r="P72" i="3576" s="1"/>
  <c r="T72" i="3576" s="1"/>
  <c r="B72" i="3576"/>
  <c r="M72" i="3576" a="1"/>
  <c r="M72" i="3576" s="1"/>
  <c r="Z72" i="3576" s="1" a="1"/>
  <c r="Z72" i="3576" s="1"/>
  <c r="Q72" i="3576"/>
  <c r="R72" i="3576" s="1"/>
  <c r="X73" i="3576" s="1"/>
  <c r="AB72" i="3576" a="1"/>
  <c r="AB72" i="3576" s="1"/>
  <c r="AE73" i="3576" s="1"/>
  <c r="L75" i="3576" a="1"/>
  <c r="L75" i="3576" s="1"/>
  <c r="K75" i="3576" a="1"/>
  <c r="K75" i="3576" s="1"/>
  <c r="X75" i="3576" s="1"/>
  <c r="F75" i="3576" a="1"/>
  <c r="F75" i="3576" s="1"/>
  <c r="E75" i="3576" a="1"/>
  <c r="E75" i="3576" s="1"/>
  <c r="O75" i="3576" a="1"/>
  <c r="O75" i="3576" s="1"/>
  <c r="J75" i="3576" a="1"/>
  <c r="J75" i="3576" s="1"/>
  <c r="I75" i="3576" a="1"/>
  <c r="I75" i="3576" s="1"/>
  <c r="H75" i="3576" a="1"/>
  <c r="H75" i="3576" s="1"/>
  <c r="G75" i="3576" a="1"/>
  <c r="G75" i="3576" s="1"/>
  <c r="C81" i="3576"/>
  <c r="C79" i="3576"/>
  <c r="D78" i="3576" a="1"/>
  <c r="D78" i="3576" s="1"/>
  <c r="A142" i="3523"/>
  <c r="X26" i="3564"/>
  <c r="AB25" i="3564"/>
  <c r="AI27" i="3564"/>
  <c r="AP26" i="3564"/>
  <c r="BU28" i="3564"/>
  <c r="BN29" i="3564"/>
  <c r="BY28" i="3564"/>
  <c r="BR29" i="3564"/>
  <c r="AK27" i="3564"/>
  <c r="AR26" i="3564"/>
  <c r="AG27" i="3564"/>
  <c r="AN26" i="3564"/>
  <c r="AD26" i="3564"/>
  <c r="Z27" i="3564"/>
  <c r="BF27" i="3564"/>
  <c r="BJ26" i="3564"/>
  <c r="AT26" i="3564"/>
  <c r="AM27" i="3564"/>
  <c r="BQ29" i="3564"/>
  <c r="BX28" i="3564"/>
  <c r="BI26" i="3564"/>
  <c r="BE27" i="3564"/>
  <c r="BH26" i="3564"/>
  <c r="BD27" i="3564"/>
  <c r="AS26" i="3564"/>
  <c r="AL27" i="3564"/>
  <c r="AJ28" i="3564"/>
  <c r="AQ27" i="3564"/>
  <c r="AH27" i="3564"/>
  <c r="AO26" i="3564"/>
  <c r="BO29" i="3564"/>
  <c r="BV28" i="3564"/>
  <c r="Y27" i="3564"/>
  <c r="AC26" i="3564"/>
  <c r="AL29" i="3435"/>
  <c r="AT28" i="3435" a="1"/>
  <c r="AT28" i="3435" s="1"/>
  <c r="BB28" i="3435" s="1" a="1"/>
  <c r="BB28" i="3435" s="1"/>
  <c r="AD24" i="3435" a="1"/>
  <c r="AD24" i="3435" s="1"/>
  <c r="W25" i="3435"/>
  <c r="AE23" i="3518"/>
  <c r="AL22" i="3518" a="1"/>
  <c r="AL22" i="3518" s="1"/>
  <c r="AS22" i="3518" s="1" a="1"/>
  <c r="AS22" i="3518" s="1"/>
  <c r="AP24" i="3570" a="1"/>
  <c r="AP24" i="3570" s="1"/>
  <c r="AY24" i="3570" s="1" a="1"/>
  <c r="AY24" i="3570" s="1"/>
  <c r="AG25" i="3570"/>
  <c r="B144" i="3523"/>
  <c r="BP113" i="3448"/>
  <c r="AL24" i="3570" a="1"/>
  <c r="AL24" i="3570" s="1"/>
  <c r="AU24" i="3570" s="1" a="1"/>
  <c r="AU24" i="3570" s="1"/>
  <c r="AC25" i="3570"/>
  <c r="AF24" i="3435" a="1"/>
  <c r="AF24" i="3435" s="1"/>
  <c r="Y25" i="3435"/>
  <c r="AC114" i="3448"/>
  <c r="Y115" i="3448"/>
  <c r="AR24" i="3570" a="1"/>
  <c r="AR24" i="3570" s="1"/>
  <c r="BA24" i="3570" s="1" a="1"/>
  <c r="BA24" i="3570" s="1"/>
  <c r="AI25" i="3570"/>
  <c r="AO29" i="3435"/>
  <c r="AW28" i="3435" a="1"/>
  <c r="AW28" i="3435" s="1"/>
  <c r="BE28" i="3435" s="1" a="1"/>
  <c r="BE28" i="3435" s="1"/>
  <c r="AM24" i="3570" a="1"/>
  <c r="AM24" i="3570" s="1"/>
  <c r="AV24" i="3570" s="1" a="1"/>
  <c r="AV24" i="3570" s="1"/>
  <c r="AD25" i="3570"/>
  <c r="AC24" i="3435" a="1"/>
  <c r="AC24" i="3435" s="1"/>
  <c r="V25" i="3435"/>
  <c r="AN24" i="3570" a="1"/>
  <c r="AN24" i="3570" s="1"/>
  <c r="AW24" i="3570" s="1" a="1"/>
  <c r="AW24" i="3570" s="1"/>
  <c r="AE25" i="3570"/>
  <c r="L143" i="3523" a="1"/>
  <c r="L143" i="3523" s="1"/>
  <c r="AV28" i="3435" a="1"/>
  <c r="AV28" i="3435" s="1"/>
  <c r="BD28" i="3435" s="1" a="1"/>
  <c r="BD28" i="3435" s="1"/>
  <c r="AN29" i="3435"/>
  <c r="BP30" i="3564"/>
  <c r="BW29" i="3564"/>
  <c r="AK24" i="3570" a="1"/>
  <c r="AK24" i="3570" s="1"/>
  <c r="AT24" i="3570" s="1" a="1"/>
  <c r="AT24" i="3570" s="1"/>
  <c r="AB25" i="3570"/>
  <c r="AD111" i="3448"/>
  <c r="Z112" i="3448"/>
  <c r="AI22" i="3518" a="1"/>
  <c r="AI22" i="3518" s="1"/>
  <c r="AP22" i="3518" s="1" a="1"/>
  <c r="AP22" i="3518" s="1"/>
  <c r="AB23" i="3518"/>
  <c r="AQ24" i="3570" a="1"/>
  <c r="AQ24" i="3570" s="1"/>
  <c r="AZ24" i="3570" s="1" a="1"/>
  <c r="AZ24" i="3570" s="1"/>
  <c r="AH25" i="3570"/>
  <c r="E144" i="3523"/>
  <c r="AA144" i="3523" s="1" a="1"/>
  <c r="AA144" i="3523" s="1"/>
  <c r="BS113" i="3448"/>
  <c r="BS31" i="3564"/>
  <c r="BZ30" i="3564"/>
  <c r="AS28" i="3435" a="1"/>
  <c r="AS28" i="3435" s="1"/>
  <c r="BA28" i="3435" s="1" a="1"/>
  <c r="BA28" i="3435" s="1"/>
  <c r="AK29" i="3435"/>
  <c r="BT31" i="3564"/>
  <c r="CA30" i="3564"/>
  <c r="AF25" i="3570"/>
  <c r="AO24" i="3570" a="1"/>
  <c r="AO24" i="3570" s="1"/>
  <c r="AX24" i="3570" s="1" a="1"/>
  <c r="AX24" i="3570" s="1"/>
  <c r="AM22" i="3518" a="1"/>
  <c r="AM22" i="3518" s="1"/>
  <c r="AT22" i="3518" s="1" a="1"/>
  <c r="AT22" i="3518" s="1"/>
  <c r="AF23" i="3518"/>
  <c r="AU28" i="3435" a="1"/>
  <c r="AU28" i="3435" s="1"/>
  <c r="BC28" i="3435" s="1" a="1"/>
  <c r="BC28" i="3435" s="1"/>
  <c r="AM29" i="3435"/>
  <c r="AP29" i="3435"/>
  <c r="AX28" i="3435" a="1"/>
  <c r="AX28" i="3435" s="1"/>
  <c r="BF28" i="3435" s="1" a="1"/>
  <c r="BF28" i="3435" s="1"/>
  <c r="AE24" i="3435" a="1"/>
  <c r="AE24" i="3435" s="1"/>
  <c r="X25" i="3435"/>
  <c r="X113" i="3448"/>
  <c r="AB112" i="3448"/>
  <c r="AA23" i="3518"/>
  <c r="AH22" i="3518" a="1"/>
  <c r="AH22" i="3518" s="1"/>
  <c r="AO22" i="3518" s="1" a="1"/>
  <c r="AO22" i="3518" s="1"/>
  <c r="Z25" i="3435"/>
  <c r="AG24" i="3435" a="1"/>
  <c r="AG24" i="3435" s="1"/>
  <c r="D144" i="3523"/>
  <c r="V144" i="3523" s="1" a="1"/>
  <c r="V144" i="3523" s="1"/>
  <c r="BR113" i="3448"/>
  <c r="AY28" i="3435" a="1"/>
  <c r="AY28" i="3435" s="1"/>
  <c r="BG28" i="3435" s="1" a="1"/>
  <c r="BG28" i="3435" s="1"/>
  <c r="AQ29" i="3435"/>
  <c r="AB23" i="3435" a="1"/>
  <c r="AB23" i="3435" s="1"/>
  <c r="U24" i="3435"/>
  <c r="BZ114" i="3448"/>
  <c r="CG113" i="3448"/>
  <c r="F143" i="3523"/>
  <c r="AF143" i="3523" s="1" a="1"/>
  <c r="AF143" i="3523" s="1"/>
  <c r="BT112" i="3448"/>
  <c r="C143" i="3523"/>
  <c r="Q143" i="3523" s="1" a="1"/>
  <c r="Q143" i="3523" s="1"/>
  <c r="BQ112" i="3448"/>
  <c r="AJ22" i="3518" a="1"/>
  <c r="AJ22" i="3518" s="1"/>
  <c r="AQ22" i="3518" s="1" a="1"/>
  <c r="AQ22" i="3518" s="1"/>
  <c r="AC23" i="3518"/>
  <c r="AD23" i="3518"/>
  <c r="AK22" i="3518" a="1"/>
  <c r="AK22" i="3518" s="1"/>
  <c r="AR22" i="3518" s="1" a="1"/>
  <c r="AR22" i="3518" s="1"/>
  <c r="U75" i="3576" l="1" a="1"/>
  <c r="U75" i="3576" s="1"/>
  <c r="AD75" i="3576" s="1"/>
  <c r="AD76" i="3576" a="1"/>
  <c r="AD76" i="3576" s="1"/>
  <c r="E78" i="3576" a="1"/>
  <c r="E78" i="3576" s="1"/>
  <c r="G78" i="3576" a="1"/>
  <c r="G78" i="3576" s="1"/>
  <c r="J78" i="3576" a="1"/>
  <c r="J78" i="3576" s="1"/>
  <c r="F78" i="3576" a="1"/>
  <c r="F78" i="3576" s="1"/>
  <c r="H78" i="3576" a="1"/>
  <c r="H78" i="3576" s="1"/>
  <c r="O78" i="3576" a="1"/>
  <c r="O78" i="3576" s="1"/>
  <c r="L78" i="3576" a="1"/>
  <c r="L78" i="3576" s="1"/>
  <c r="K78" i="3576" a="1"/>
  <c r="K78" i="3576" s="1"/>
  <c r="X78" i="3576" s="1"/>
  <c r="I78" i="3576" a="1"/>
  <c r="I78" i="3576" s="1"/>
  <c r="C82" i="3576"/>
  <c r="D81" i="3576" a="1"/>
  <c r="D81" i="3576" s="1"/>
  <c r="C84" i="3576"/>
  <c r="S75" i="3576" a="1"/>
  <c r="S75" i="3576" s="1"/>
  <c r="Q75" i="3576"/>
  <c r="N75" i="3576" a="1"/>
  <c r="N75" i="3576" s="1"/>
  <c r="P75" i="3576" s="1" a="1"/>
  <c r="P75" i="3576" s="1"/>
  <c r="AB75" i="3576" a="1"/>
  <c r="AB75" i="3576" s="1"/>
  <c r="AE76" i="3576" s="1"/>
  <c r="B75" i="3576"/>
  <c r="M75" i="3576" a="1"/>
  <c r="M75" i="3576" s="1"/>
  <c r="Z75" i="3576" s="1" a="1"/>
  <c r="Z75" i="3576" s="1"/>
  <c r="BE28" i="3564"/>
  <c r="BI27" i="3564"/>
  <c r="BQ30" i="3564"/>
  <c r="BX29" i="3564"/>
  <c r="AM28" i="3564"/>
  <c r="AT27" i="3564"/>
  <c r="BF28" i="3564"/>
  <c r="BJ27" i="3564"/>
  <c r="Z28" i="3564"/>
  <c r="AD27" i="3564"/>
  <c r="AG28" i="3564"/>
  <c r="AN27" i="3564"/>
  <c r="AC27" i="3564"/>
  <c r="Y28" i="3564"/>
  <c r="AR27" i="3564"/>
  <c r="AK28" i="3564"/>
  <c r="BY29" i="3564"/>
  <c r="BR30" i="3564"/>
  <c r="BN30" i="3564"/>
  <c r="BU29" i="3564"/>
  <c r="AH28" i="3564"/>
  <c r="AO27" i="3564"/>
  <c r="BO30" i="3564"/>
  <c r="BV29" i="3564"/>
  <c r="AQ28" i="3564"/>
  <c r="AJ29" i="3564"/>
  <c r="AI28" i="3564"/>
  <c r="AP27" i="3564"/>
  <c r="AL28" i="3564"/>
  <c r="AS27" i="3564"/>
  <c r="X27" i="3564"/>
  <c r="AB26" i="3564"/>
  <c r="BH27" i="3564"/>
  <c r="BD28" i="3564"/>
  <c r="AW29" i="3435" a="1"/>
  <c r="AW29" i="3435" s="1"/>
  <c r="BE29" i="3435" s="1" a="1"/>
  <c r="BE29" i="3435" s="1"/>
  <c r="AO30" i="3435"/>
  <c r="Y116" i="3448"/>
  <c r="AC115" i="3448"/>
  <c r="AO25" i="3570" a="1"/>
  <c r="AO25" i="3570" s="1"/>
  <c r="AX25" i="3570" s="1" a="1"/>
  <c r="AX25" i="3570" s="1"/>
  <c r="AF26" i="3570"/>
  <c r="AB26" i="3570"/>
  <c r="AK25" i="3570" a="1"/>
  <c r="AK25" i="3570" s="1"/>
  <c r="AT25" i="3570" s="1" a="1"/>
  <c r="AT25" i="3570" s="1"/>
  <c r="AF25" i="3435" a="1"/>
  <c r="AF25" i="3435" s="1"/>
  <c r="Y26" i="3435"/>
  <c r="BT32" i="3564"/>
  <c r="CA31" i="3564"/>
  <c r="AC26" i="3570"/>
  <c r="AL25" i="3570" a="1"/>
  <c r="AL25" i="3570" s="1"/>
  <c r="AU25" i="3570" s="1" a="1"/>
  <c r="AU25" i="3570" s="1"/>
  <c r="AI26" i="3570"/>
  <c r="AR25" i="3570" a="1"/>
  <c r="AR25" i="3570" s="1"/>
  <c r="BA25" i="3570" s="1" a="1"/>
  <c r="BA25" i="3570" s="1"/>
  <c r="B145" i="3523"/>
  <c r="BP114" i="3448"/>
  <c r="Z113" i="3448"/>
  <c r="AD112" i="3448"/>
  <c r="L144" i="3523" a="1"/>
  <c r="L144" i="3523" s="1"/>
  <c r="AP25" i="3570" a="1"/>
  <c r="AP25" i="3570" s="1"/>
  <c r="AY25" i="3570" s="1" a="1"/>
  <c r="AY25" i="3570" s="1"/>
  <c r="AG26" i="3570"/>
  <c r="AV29" i="3435" a="1"/>
  <c r="AV29" i="3435" s="1"/>
  <c r="BD29" i="3435" s="1" a="1"/>
  <c r="BD29" i="3435" s="1"/>
  <c r="AN30" i="3435"/>
  <c r="AE24" i="3518"/>
  <c r="AL23" i="3518" a="1"/>
  <c r="AL23" i="3518" s="1"/>
  <c r="AS23" i="3518" s="1" a="1"/>
  <c r="AS23" i="3518" s="1"/>
  <c r="AA24" i="3518"/>
  <c r="AH23" i="3518" a="1"/>
  <c r="AH23" i="3518" s="1"/>
  <c r="AO23" i="3518" s="1" a="1"/>
  <c r="AO23" i="3518" s="1"/>
  <c r="W26" i="3435"/>
  <c r="AD25" i="3435" a="1"/>
  <c r="AD25" i="3435" s="1"/>
  <c r="AQ30" i="3435"/>
  <c r="AY29" i="3435" a="1"/>
  <c r="AY29" i="3435" s="1"/>
  <c r="BG29" i="3435" s="1" a="1"/>
  <c r="BG29" i="3435" s="1"/>
  <c r="AB24" i="3518"/>
  <c r="AI23" i="3518" a="1"/>
  <c r="AI23" i="3518" s="1"/>
  <c r="AP23" i="3518" s="1" a="1"/>
  <c r="AP23" i="3518" s="1"/>
  <c r="D145" i="3523"/>
  <c r="V145" i="3523" s="1" a="1"/>
  <c r="V145" i="3523" s="1"/>
  <c r="BR114" i="3448"/>
  <c r="AB113" i="3448"/>
  <c r="X114" i="3448"/>
  <c r="A143" i="3523"/>
  <c r="AE26" i="3570"/>
  <c r="AN25" i="3570" a="1"/>
  <c r="AN25" i="3570" s="1"/>
  <c r="AW25" i="3570" s="1" a="1"/>
  <c r="AW25" i="3570" s="1"/>
  <c r="F144" i="3523"/>
  <c r="AF144" i="3523" s="1" a="1"/>
  <c r="AF144" i="3523" s="1"/>
  <c r="BT113" i="3448"/>
  <c r="BS32" i="3564"/>
  <c r="BZ31" i="3564"/>
  <c r="AD24" i="3518"/>
  <c r="AK23" i="3518" a="1"/>
  <c r="AK23" i="3518" s="1"/>
  <c r="AR23" i="3518" s="1" a="1"/>
  <c r="AR23" i="3518" s="1"/>
  <c r="BW30" i="3564"/>
  <c r="BP31" i="3564"/>
  <c r="E145" i="3523"/>
  <c r="AA145" i="3523" s="1" a="1"/>
  <c r="AA145" i="3523" s="1"/>
  <c r="BS114" i="3448"/>
  <c r="V26" i="3435"/>
  <c r="AC25" i="3435" a="1"/>
  <c r="AC25" i="3435" s="1"/>
  <c r="AK30" i="3435"/>
  <c r="AS29" i="3435" a="1"/>
  <c r="AS29" i="3435" s="1"/>
  <c r="BA29" i="3435" s="1" a="1"/>
  <c r="BA29" i="3435" s="1"/>
  <c r="C144" i="3523"/>
  <c r="Q144" i="3523" s="1" a="1"/>
  <c r="Q144" i="3523" s="1"/>
  <c r="BQ113" i="3448"/>
  <c r="CG114" i="3448"/>
  <c r="BZ115" i="3448"/>
  <c r="U25" i="3435"/>
  <c r="AB24" i="3435" a="1"/>
  <c r="AB24" i="3435" s="1"/>
  <c r="AX29" i="3435" a="1"/>
  <c r="AX29" i="3435" s="1"/>
  <c r="BF29" i="3435" s="1" a="1"/>
  <c r="BF29" i="3435" s="1"/>
  <c r="AP30" i="3435"/>
  <c r="AT29" i="3435" a="1"/>
  <c r="AT29" i="3435" s="1"/>
  <c r="BB29" i="3435" s="1" a="1"/>
  <c r="BB29" i="3435" s="1"/>
  <c r="AL30" i="3435"/>
  <c r="Z26" i="3435"/>
  <c r="AG25" i="3435" a="1"/>
  <c r="AG25" i="3435" s="1"/>
  <c r="AC24" i="3518"/>
  <c r="AJ23" i="3518" a="1"/>
  <c r="AJ23" i="3518" s="1"/>
  <c r="AQ23" i="3518" s="1" a="1"/>
  <c r="AQ23" i="3518" s="1"/>
  <c r="AM23" i="3518" a="1"/>
  <c r="AM23" i="3518" s="1"/>
  <c r="AT23" i="3518" s="1" a="1"/>
  <c r="AT23" i="3518" s="1"/>
  <c r="AF24" i="3518"/>
  <c r="AE25" i="3435" a="1"/>
  <c r="AE25" i="3435" s="1"/>
  <c r="X26" i="3435"/>
  <c r="AM30" i="3435"/>
  <c r="AU29" i="3435" a="1"/>
  <c r="AU29" i="3435" s="1"/>
  <c r="BC29" i="3435" s="1" a="1"/>
  <c r="BC29" i="3435" s="1"/>
  <c r="AH26" i="3570"/>
  <c r="AQ25" i="3570" a="1"/>
  <c r="AQ25" i="3570" s="1"/>
  <c r="AZ25" i="3570" s="1" a="1"/>
  <c r="AZ25" i="3570" s="1"/>
  <c r="AD26" i="3570"/>
  <c r="AM25" i="3570" a="1"/>
  <c r="AM25" i="3570" s="1"/>
  <c r="AV25" i="3570" s="1" a="1"/>
  <c r="AV25" i="3570" s="1"/>
  <c r="T75" i="3576" l="1"/>
  <c r="U78" i="3576" a="1"/>
  <c r="U78" i="3576" s="1"/>
  <c r="AD78" i="3576" s="1"/>
  <c r="AD79" i="3576" a="1"/>
  <c r="AD79" i="3576" s="1"/>
  <c r="R75" i="3576"/>
  <c r="X76" i="3576" s="1"/>
  <c r="C87" i="3576"/>
  <c r="C85" i="3576"/>
  <c r="D84" i="3576" a="1"/>
  <c r="D84" i="3576" s="1"/>
  <c r="F81" i="3576" a="1"/>
  <c r="F81" i="3576" s="1"/>
  <c r="L81" i="3576" a="1"/>
  <c r="L81" i="3576" s="1"/>
  <c r="E81" i="3576" a="1"/>
  <c r="E81" i="3576" s="1"/>
  <c r="K81" i="3576" a="1"/>
  <c r="K81" i="3576" s="1"/>
  <c r="X81" i="3576" s="1"/>
  <c r="J81" i="3576" a="1"/>
  <c r="J81" i="3576" s="1"/>
  <c r="I81" i="3576" a="1"/>
  <c r="I81" i="3576" s="1"/>
  <c r="O81" i="3576" a="1"/>
  <c r="O81" i="3576" s="1"/>
  <c r="H81" i="3576" a="1"/>
  <c r="H81" i="3576" s="1"/>
  <c r="G81" i="3576" a="1"/>
  <c r="G81" i="3576" s="1"/>
  <c r="B78" i="3576"/>
  <c r="AB78" i="3576" a="1"/>
  <c r="AB78" i="3576" s="1"/>
  <c r="AE79" i="3576" s="1"/>
  <c r="M78" i="3576" a="1"/>
  <c r="M78" i="3576" s="1"/>
  <c r="Z78" i="3576" s="1" a="1"/>
  <c r="Z78" i="3576" s="1"/>
  <c r="N78" i="3576" a="1"/>
  <c r="N78" i="3576" s="1"/>
  <c r="P78" i="3576" s="1" a="1"/>
  <c r="P78" i="3576" s="1"/>
  <c r="T78" i="3576" s="1"/>
  <c r="S78" i="3576" a="1"/>
  <c r="S78" i="3576" s="1"/>
  <c r="Q78" i="3576"/>
  <c r="BO31" i="3564"/>
  <c r="BV30" i="3564"/>
  <c r="AO28" i="3564"/>
  <c r="AH29" i="3564"/>
  <c r="BN31" i="3564"/>
  <c r="BU30" i="3564"/>
  <c r="BY30" i="3564"/>
  <c r="BR31" i="3564"/>
  <c r="AK29" i="3564"/>
  <c r="AR28" i="3564"/>
  <c r="Y29" i="3564"/>
  <c r="AC28" i="3564"/>
  <c r="AG29" i="3564"/>
  <c r="AN28" i="3564"/>
  <c r="BF29" i="3564"/>
  <c r="BJ28" i="3564"/>
  <c r="Z29" i="3564"/>
  <c r="AD28" i="3564"/>
  <c r="AL29" i="3564"/>
  <c r="AS28" i="3564"/>
  <c r="AM29" i="3564"/>
  <c r="AT28" i="3564"/>
  <c r="BH28" i="3564"/>
  <c r="BD29" i="3564"/>
  <c r="A144" i="3523"/>
  <c r="AB27" i="3564"/>
  <c r="X28" i="3564"/>
  <c r="AP28" i="3564"/>
  <c r="AI29" i="3564"/>
  <c r="BQ31" i="3564"/>
  <c r="BX30" i="3564"/>
  <c r="AQ29" i="3564"/>
  <c r="AJ30" i="3564"/>
  <c r="BI28" i="3564"/>
  <c r="BE29" i="3564"/>
  <c r="AD113" i="3448"/>
  <c r="Z114" i="3448"/>
  <c r="X115" i="3448"/>
  <c r="AB114" i="3448"/>
  <c r="B146" i="3523"/>
  <c r="BP115" i="3448"/>
  <c r="L145" i="3523" a="1"/>
  <c r="L145" i="3523" s="1"/>
  <c r="AE27" i="3570"/>
  <c r="AN26" i="3570" a="1"/>
  <c r="AN26" i="3570" s="1"/>
  <c r="AW26" i="3570" s="1" a="1"/>
  <c r="AW26" i="3570" s="1"/>
  <c r="Z27" i="3435"/>
  <c r="AG26" i="3435" a="1"/>
  <c r="AG26" i="3435" s="1"/>
  <c r="BW31" i="3564"/>
  <c r="BP32" i="3564"/>
  <c r="AY30" i="3435" a="1"/>
  <c r="AY30" i="3435" s="1"/>
  <c r="BG30" i="3435" s="1" a="1"/>
  <c r="BG30" i="3435" s="1"/>
  <c r="AQ31" i="3435"/>
  <c r="AR26" i="3570" a="1"/>
  <c r="AR26" i="3570" s="1"/>
  <c r="BA26" i="3570" s="1" a="1"/>
  <c r="BA26" i="3570" s="1"/>
  <c r="AI27" i="3570"/>
  <c r="AJ24" i="3518" a="1"/>
  <c r="AJ24" i="3518" s="1"/>
  <c r="AQ24" i="3518" s="1" a="1"/>
  <c r="AQ24" i="3518" s="1"/>
  <c r="AC25" i="3518"/>
  <c r="AC27" i="3570"/>
  <c r="AL26" i="3570" a="1"/>
  <c r="AL26" i="3570" s="1"/>
  <c r="AU26" i="3570" s="1" a="1"/>
  <c r="AU26" i="3570" s="1"/>
  <c r="AL31" i="3435"/>
  <c r="AT30" i="3435" a="1"/>
  <c r="AT30" i="3435" s="1"/>
  <c r="BB30" i="3435" s="1" a="1"/>
  <c r="BB30" i="3435" s="1"/>
  <c r="AD25" i="3518"/>
  <c r="AK24" i="3518" a="1"/>
  <c r="AK24" i="3518" s="1"/>
  <c r="AR24" i="3518" s="1" a="1"/>
  <c r="AR24" i="3518" s="1"/>
  <c r="CA32" i="3564"/>
  <c r="BT33" i="3564"/>
  <c r="AI24" i="3518" a="1"/>
  <c r="AI24" i="3518" s="1"/>
  <c r="AP24" i="3518" s="1" a="1"/>
  <c r="AP24" i="3518" s="1"/>
  <c r="AB25" i="3518"/>
  <c r="Y27" i="3435"/>
  <c r="AF26" i="3435" a="1"/>
  <c r="AF26" i="3435" s="1"/>
  <c r="X27" i="3435"/>
  <c r="AE26" i="3435" a="1"/>
  <c r="AE26" i="3435" s="1"/>
  <c r="AX30" i="3435" a="1"/>
  <c r="AX30" i="3435" s="1"/>
  <c r="BF30" i="3435" s="1" a="1"/>
  <c r="BF30" i="3435" s="1"/>
  <c r="AP31" i="3435"/>
  <c r="U26" i="3435"/>
  <c r="AB25" i="3435" a="1"/>
  <c r="AB25" i="3435" s="1"/>
  <c r="AK26" i="3570" a="1"/>
  <c r="AK26" i="3570" s="1"/>
  <c r="AT26" i="3570" s="1" a="1"/>
  <c r="AT26" i="3570" s="1"/>
  <c r="AB27" i="3570"/>
  <c r="AD27" i="3570"/>
  <c r="AM26" i="3570" a="1"/>
  <c r="AM26" i="3570" s="1"/>
  <c r="AV26" i="3570" s="1" a="1"/>
  <c r="AV26" i="3570" s="1"/>
  <c r="AF27" i="3570"/>
  <c r="AO26" i="3570" a="1"/>
  <c r="AO26" i="3570" s="1"/>
  <c r="AX26" i="3570" s="1" a="1"/>
  <c r="AX26" i="3570" s="1"/>
  <c r="AH24" i="3518" a="1"/>
  <c r="AH24" i="3518" s="1"/>
  <c r="AO24" i="3518" s="1" a="1"/>
  <c r="AO24" i="3518" s="1"/>
  <c r="AA25" i="3518"/>
  <c r="E146" i="3523"/>
  <c r="AA146" i="3523" s="1" a="1"/>
  <c r="AA146" i="3523" s="1"/>
  <c r="BS115" i="3448"/>
  <c r="F145" i="3523"/>
  <c r="AF145" i="3523" s="1" a="1"/>
  <c r="AF145" i="3523" s="1"/>
  <c r="BT114" i="3448"/>
  <c r="AP26" i="3570" a="1"/>
  <c r="AP26" i="3570" s="1"/>
  <c r="AY26" i="3570" s="1" a="1"/>
  <c r="AY26" i="3570" s="1"/>
  <c r="AG27" i="3570"/>
  <c r="AS30" i="3435" a="1"/>
  <c r="AS30" i="3435" s="1"/>
  <c r="BA30" i="3435" s="1" a="1"/>
  <c r="BA30" i="3435" s="1"/>
  <c r="AK31" i="3435"/>
  <c r="D146" i="3523"/>
  <c r="V146" i="3523" s="1" a="1"/>
  <c r="V146" i="3523" s="1"/>
  <c r="BR115" i="3448"/>
  <c r="AQ26" i="3570" a="1"/>
  <c r="AQ26" i="3570" s="1"/>
  <c r="AZ26" i="3570" s="1" a="1"/>
  <c r="AZ26" i="3570" s="1"/>
  <c r="AH27" i="3570"/>
  <c r="W27" i="3435"/>
  <c r="AD26" i="3435" a="1"/>
  <c r="AD26" i="3435" s="1"/>
  <c r="BZ32" i="3564"/>
  <c r="BS33" i="3564"/>
  <c r="AF25" i="3518"/>
  <c r="AM24" i="3518" a="1"/>
  <c r="AM24" i="3518" s="1"/>
  <c r="AT24" i="3518" s="1" a="1"/>
  <c r="AT24" i="3518" s="1"/>
  <c r="AE25" i="3518"/>
  <c r="AL24" i="3518" a="1"/>
  <c r="AL24" i="3518" s="1"/>
  <c r="AS24" i="3518" s="1" a="1"/>
  <c r="AS24" i="3518" s="1"/>
  <c r="AC116" i="3448"/>
  <c r="Y117" i="3448"/>
  <c r="AU30" i="3435" a="1"/>
  <c r="AU30" i="3435" s="1"/>
  <c r="BC30" i="3435" s="1" a="1"/>
  <c r="BC30" i="3435" s="1"/>
  <c r="AM31" i="3435"/>
  <c r="AV30" i="3435" a="1"/>
  <c r="AV30" i="3435" s="1"/>
  <c r="BD30" i="3435" s="1" a="1"/>
  <c r="BD30" i="3435" s="1"/>
  <c r="AN31" i="3435"/>
  <c r="AW30" i="3435" a="1"/>
  <c r="AW30" i="3435" s="1"/>
  <c r="BE30" i="3435" s="1" a="1"/>
  <c r="BE30" i="3435" s="1"/>
  <c r="AO31" i="3435"/>
  <c r="CG115" i="3448"/>
  <c r="BZ116" i="3448"/>
  <c r="C145" i="3523"/>
  <c r="Q145" i="3523" s="1" a="1"/>
  <c r="Q145" i="3523" s="1"/>
  <c r="BQ114" i="3448"/>
  <c r="AC26" i="3435" a="1"/>
  <c r="AC26" i="3435" s="1"/>
  <c r="V27" i="3435"/>
  <c r="U81" i="3576" l="1" a="1"/>
  <c r="U81" i="3576" s="1"/>
  <c r="AD81" i="3576" s="1"/>
  <c r="AD82" i="3576" a="1"/>
  <c r="AD82" i="3576" s="1"/>
  <c r="R78" i="3576"/>
  <c r="X79" i="3576" s="1"/>
  <c r="M81" i="3576" a="1"/>
  <c r="M81" i="3576" s="1"/>
  <c r="Z81" i="3576" s="1" a="1"/>
  <c r="Z81" i="3576" s="1"/>
  <c r="Q81" i="3576"/>
  <c r="S81" i="3576" a="1"/>
  <c r="S81" i="3576" s="1"/>
  <c r="B81" i="3576"/>
  <c r="N81" i="3576" a="1"/>
  <c r="N81" i="3576" s="1"/>
  <c r="P81" i="3576" s="1" a="1"/>
  <c r="P81" i="3576" s="1"/>
  <c r="T81" i="3576" s="1"/>
  <c r="AB81" i="3576" a="1"/>
  <c r="AB81" i="3576" s="1"/>
  <c r="AE82" i="3576" s="1"/>
  <c r="K84" i="3576" a="1"/>
  <c r="K84" i="3576" s="1"/>
  <c r="X84" i="3576" s="1"/>
  <c r="G84" i="3576" a="1"/>
  <c r="G84" i="3576" s="1"/>
  <c r="H84" i="3576" a="1"/>
  <c r="H84" i="3576" s="1"/>
  <c r="F84" i="3576" a="1"/>
  <c r="F84" i="3576" s="1"/>
  <c r="O84" i="3576" a="1"/>
  <c r="O84" i="3576" s="1"/>
  <c r="J84" i="3576" a="1"/>
  <c r="J84" i="3576" s="1"/>
  <c r="L84" i="3576" a="1"/>
  <c r="L84" i="3576" s="1"/>
  <c r="I84" i="3576" a="1"/>
  <c r="I84" i="3576" s="1"/>
  <c r="E84" i="3576" a="1"/>
  <c r="E84" i="3576" s="1"/>
  <c r="C88" i="3576"/>
  <c r="D87" i="3576" a="1"/>
  <c r="D87" i="3576" s="1"/>
  <c r="BH29" i="3564"/>
  <c r="BD30" i="3564"/>
  <c r="AM30" i="3564"/>
  <c r="AT29" i="3564"/>
  <c r="AL30" i="3564"/>
  <c r="AS29" i="3564"/>
  <c r="Z30" i="3564"/>
  <c r="AD29" i="3564"/>
  <c r="BJ29" i="3564"/>
  <c r="BF30" i="3564"/>
  <c r="AN29" i="3564"/>
  <c r="AG30" i="3564"/>
  <c r="BE30" i="3564"/>
  <c r="BI29" i="3564"/>
  <c r="AC29" i="3564"/>
  <c r="Y30" i="3564"/>
  <c r="AR29" i="3564"/>
  <c r="AK30" i="3564"/>
  <c r="BY31" i="3564"/>
  <c r="BR32" i="3564"/>
  <c r="AQ30" i="3564"/>
  <c r="AJ31" i="3564"/>
  <c r="BQ32" i="3564"/>
  <c r="BX31" i="3564"/>
  <c r="AI30" i="3564"/>
  <c r="AP29" i="3564"/>
  <c r="BN32" i="3564"/>
  <c r="BU31" i="3564"/>
  <c r="AO29" i="3564"/>
  <c r="AH30" i="3564"/>
  <c r="X29" i="3564"/>
  <c r="AB28" i="3564"/>
  <c r="BV31" i="3564"/>
  <c r="BO32" i="3564"/>
  <c r="AR27" i="3570" a="1"/>
  <c r="AR27" i="3570" s="1"/>
  <c r="BA27" i="3570" s="1" a="1"/>
  <c r="BA27" i="3570" s="1"/>
  <c r="AI28" i="3570"/>
  <c r="Y118" i="3448"/>
  <c r="AC117" i="3448"/>
  <c r="AY31" i="3435" a="1"/>
  <c r="AY31" i="3435" s="1"/>
  <c r="BG31" i="3435" s="1" a="1"/>
  <c r="BG31" i="3435" s="1"/>
  <c r="AQ32" i="3435"/>
  <c r="AM32" i="3435"/>
  <c r="AU31" i="3435" a="1"/>
  <c r="AU31" i="3435" s="1"/>
  <c r="BC31" i="3435" s="1" a="1"/>
  <c r="BC31" i="3435" s="1"/>
  <c r="AC26" i="3518"/>
  <c r="AJ25" i="3518" a="1"/>
  <c r="AJ25" i="3518" s="1"/>
  <c r="AQ25" i="3518" s="1" a="1"/>
  <c r="AQ25" i="3518" s="1"/>
  <c r="BP33" i="3564"/>
  <c r="BW32" i="3564"/>
  <c r="Y28" i="3435"/>
  <c r="AF27" i="3435" a="1"/>
  <c r="AF27" i="3435" s="1"/>
  <c r="Z28" i="3435"/>
  <c r="AG27" i="3435" a="1"/>
  <c r="AG27" i="3435" s="1"/>
  <c r="AK32" i="3435"/>
  <c r="AS31" i="3435" a="1"/>
  <c r="AS31" i="3435" s="1"/>
  <c r="BA31" i="3435" s="1" a="1"/>
  <c r="BA31" i="3435" s="1"/>
  <c r="C146" i="3523"/>
  <c r="Q146" i="3523" s="1" a="1"/>
  <c r="Q146" i="3523" s="1"/>
  <c r="BQ115" i="3448"/>
  <c r="E147" i="3523"/>
  <c r="AA147" i="3523" s="1" a="1"/>
  <c r="AA147" i="3523" s="1"/>
  <c r="BS116" i="3448"/>
  <c r="A145" i="3523"/>
  <c r="X28" i="3435"/>
  <c r="AE27" i="3435" a="1"/>
  <c r="AE27" i="3435" s="1"/>
  <c r="B147" i="3523"/>
  <c r="BP116" i="3448"/>
  <c r="AP27" i="3570" a="1"/>
  <c r="AP27" i="3570" s="1"/>
  <c r="AY27" i="3570" s="1" a="1"/>
  <c r="AY27" i="3570" s="1"/>
  <c r="AG28" i="3570"/>
  <c r="V28" i="3435"/>
  <c r="AC27" i="3435" a="1"/>
  <c r="AC27" i="3435" s="1"/>
  <c r="AM25" i="3518" a="1"/>
  <c r="AM25" i="3518" s="1"/>
  <c r="AT25" i="3518" s="1" a="1"/>
  <c r="AT25" i="3518" s="1"/>
  <c r="AF26" i="3518"/>
  <c r="W28" i="3435"/>
  <c r="AD27" i="3435" a="1"/>
  <c r="AD27" i="3435" s="1"/>
  <c r="AO27" i="3570" a="1"/>
  <c r="AO27" i="3570" s="1"/>
  <c r="AX27" i="3570" s="1" a="1"/>
  <c r="AX27" i="3570" s="1"/>
  <c r="AF28" i="3570"/>
  <c r="AD26" i="3518"/>
  <c r="AK25" i="3518" a="1"/>
  <c r="AK25" i="3518" s="1"/>
  <c r="AR25" i="3518" s="1" a="1"/>
  <c r="AR25" i="3518" s="1"/>
  <c r="L146" i="3523" a="1"/>
  <c r="L146" i="3523" s="1"/>
  <c r="AX31" i="3435" a="1"/>
  <c r="AX31" i="3435" s="1"/>
  <c r="BF31" i="3435" s="1" a="1"/>
  <c r="BF31" i="3435" s="1"/>
  <c r="AP32" i="3435"/>
  <c r="AE26" i="3518"/>
  <c r="AL25" i="3518" a="1"/>
  <c r="AL25" i="3518" s="1"/>
  <c r="AS25" i="3518" s="1" a="1"/>
  <c r="AS25" i="3518" s="1"/>
  <c r="CA33" i="3564"/>
  <c r="BT34" i="3564"/>
  <c r="AL32" i="3435"/>
  <c r="AT31" i="3435" a="1"/>
  <c r="AT31" i="3435" s="1"/>
  <c r="BB31" i="3435" s="1" a="1"/>
  <c r="BB31" i="3435" s="1"/>
  <c r="D147" i="3523"/>
  <c r="V147" i="3523" s="1" a="1"/>
  <c r="V147" i="3523" s="1"/>
  <c r="BR116" i="3448"/>
  <c r="F146" i="3523"/>
  <c r="AF146" i="3523" s="1" a="1"/>
  <c r="AF146" i="3523" s="1"/>
  <c r="BT115" i="3448"/>
  <c r="AH25" i="3518" a="1"/>
  <c r="AH25" i="3518" s="1"/>
  <c r="AO25" i="3518" s="1" a="1"/>
  <c r="AO25" i="3518" s="1"/>
  <c r="AA26" i="3518"/>
  <c r="AN27" i="3570" a="1"/>
  <c r="AN27" i="3570" s="1"/>
  <c r="AW27" i="3570" s="1" a="1"/>
  <c r="AW27" i="3570" s="1"/>
  <c r="AE28" i="3570"/>
  <c r="AQ27" i="3570" a="1"/>
  <c r="AQ27" i="3570" s="1"/>
  <c r="AZ27" i="3570" s="1" a="1"/>
  <c r="AZ27" i="3570" s="1"/>
  <c r="AH28" i="3570"/>
  <c r="AD114" i="3448"/>
  <c r="Z115" i="3448"/>
  <c r="AN32" i="3435"/>
  <c r="AV31" i="3435" a="1"/>
  <c r="AV31" i="3435" s="1"/>
  <c r="BD31" i="3435" s="1" a="1"/>
  <c r="BD31" i="3435" s="1"/>
  <c r="AL27" i="3570" a="1"/>
  <c r="AL27" i="3570" s="1"/>
  <c r="AU27" i="3570" s="1" a="1"/>
  <c r="AU27" i="3570" s="1"/>
  <c r="AC28" i="3570"/>
  <c r="U27" i="3435"/>
  <c r="AB26" i="3435" a="1"/>
  <c r="AB26" i="3435" s="1"/>
  <c r="AI25" i="3518" a="1"/>
  <c r="AI25" i="3518" s="1"/>
  <c r="AP25" i="3518" s="1" a="1"/>
  <c r="AP25" i="3518" s="1"/>
  <c r="AB26" i="3518"/>
  <c r="AW31" i="3435" a="1"/>
  <c r="AW31" i="3435" s="1"/>
  <c r="BE31" i="3435" s="1" a="1"/>
  <c r="BE31" i="3435" s="1"/>
  <c r="AO32" i="3435"/>
  <c r="AD28" i="3570"/>
  <c r="AM27" i="3570" a="1"/>
  <c r="AM27" i="3570" s="1"/>
  <c r="AV27" i="3570" s="1" a="1"/>
  <c r="AV27" i="3570" s="1"/>
  <c r="CG116" i="3448"/>
  <c r="BZ117" i="3448"/>
  <c r="BS34" i="3564"/>
  <c r="BZ33" i="3564"/>
  <c r="X116" i="3448"/>
  <c r="AB115" i="3448"/>
  <c r="AB28" i="3570"/>
  <c r="AK27" i="3570" a="1"/>
  <c r="AK27" i="3570" s="1"/>
  <c r="AT27" i="3570" s="1" a="1"/>
  <c r="AT27" i="3570" s="1"/>
  <c r="U84" i="3576" l="1" a="1"/>
  <c r="U84" i="3576" s="1"/>
  <c r="AD84" i="3576" s="1"/>
  <c r="AD85" i="3576" a="1"/>
  <c r="AD85" i="3576" s="1"/>
  <c r="I87" i="3576" a="1"/>
  <c r="I87" i="3576" s="1"/>
  <c r="H87" i="3576" a="1"/>
  <c r="H87" i="3576" s="1"/>
  <c r="F87" i="3576" a="1"/>
  <c r="F87" i="3576" s="1"/>
  <c r="E87" i="3576" a="1"/>
  <c r="E87" i="3576" s="1"/>
  <c r="G87" i="3576" a="1"/>
  <c r="G87" i="3576" s="1"/>
  <c r="O87" i="3576" a="1"/>
  <c r="O87" i="3576" s="1"/>
  <c r="L87" i="3576" a="1"/>
  <c r="L87" i="3576" s="1"/>
  <c r="K87" i="3576" a="1"/>
  <c r="K87" i="3576" s="1"/>
  <c r="X87" i="3576" s="1"/>
  <c r="J87" i="3576" a="1"/>
  <c r="J87" i="3576" s="1"/>
  <c r="B84" i="3576"/>
  <c r="M84" i="3576" a="1"/>
  <c r="M84" i="3576" s="1"/>
  <c r="Z84" i="3576" s="1" a="1"/>
  <c r="Z84" i="3576" s="1"/>
  <c r="S84" i="3576" a="1"/>
  <c r="S84" i="3576" s="1"/>
  <c r="N84" i="3576" a="1"/>
  <c r="N84" i="3576" s="1"/>
  <c r="P84" i="3576" s="1" a="1"/>
  <c r="P84" i="3576" s="1"/>
  <c r="R84" i="3576" s="1"/>
  <c r="X85" i="3576" s="1"/>
  <c r="Q84" i="3576"/>
  <c r="AB84" i="3576" a="1"/>
  <c r="AB84" i="3576" s="1"/>
  <c r="AE85" i="3576" s="1"/>
  <c r="R81" i="3576"/>
  <c r="X82" i="3576" s="1"/>
  <c r="BQ33" i="3564"/>
  <c r="BX32" i="3564"/>
  <c r="AJ32" i="3564"/>
  <c r="AQ31" i="3564"/>
  <c r="BR33" i="3564"/>
  <c r="BY32" i="3564"/>
  <c r="AR30" i="3564"/>
  <c r="AK31" i="3564"/>
  <c r="AC30" i="3564"/>
  <c r="Y31" i="3564"/>
  <c r="BE31" i="3564"/>
  <c r="BI30" i="3564"/>
  <c r="AG31" i="3564"/>
  <c r="AN30" i="3564"/>
  <c r="BO33" i="3564"/>
  <c r="BV32" i="3564"/>
  <c r="AB29" i="3564"/>
  <c r="X30" i="3564"/>
  <c r="AD30" i="3564"/>
  <c r="Z31" i="3564"/>
  <c r="AO30" i="3564"/>
  <c r="AH31" i="3564"/>
  <c r="BF31" i="3564"/>
  <c r="BJ30" i="3564"/>
  <c r="AS30" i="3564"/>
  <c r="AL31" i="3564"/>
  <c r="BN33" i="3564"/>
  <c r="BU32" i="3564"/>
  <c r="AT30" i="3564"/>
  <c r="AM31" i="3564"/>
  <c r="BD31" i="3564"/>
  <c r="BH30" i="3564"/>
  <c r="AP30" i="3564"/>
  <c r="AI31" i="3564"/>
  <c r="C147" i="3523"/>
  <c r="Q147" i="3523" s="1" a="1"/>
  <c r="Q147" i="3523" s="1"/>
  <c r="BQ116" i="3448"/>
  <c r="A146" i="3523"/>
  <c r="AF29" i="3570"/>
  <c r="AO28" i="3570" a="1"/>
  <c r="AO28" i="3570" s="1"/>
  <c r="AX28" i="3570" s="1" a="1"/>
  <c r="AX28" i="3570" s="1"/>
  <c r="AK26" i="3518" a="1"/>
  <c r="AK26" i="3518" s="1"/>
  <c r="AR26" i="3518" s="1" a="1"/>
  <c r="AR26" i="3518" s="1"/>
  <c r="AD27" i="3518"/>
  <c r="AW32" i="3435" a="1"/>
  <c r="AW32" i="3435" s="1"/>
  <c r="BE32" i="3435" s="1" a="1"/>
  <c r="BE32" i="3435" s="1"/>
  <c r="AO33" i="3435"/>
  <c r="AF28" i="3435" a="1"/>
  <c r="AF28" i="3435" s="1"/>
  <c r="Y29" i="3435"/>
  <c r="AN28" i="3570" a="1"/>
  <c r="AN28" i="3570" s="1"/>
  <c r="AW28" i="3570" s="1" a="1"/>
  <c r="AW28" i="3570" s="1"/>
  <c r="AE29" i="3570"/>
  <c r="AM28" i="3570" a="1"/>
  <c r="AM28" i="3570" s="1"/>
  <c r="AV28" i="3570" s="1" a="1"/>
  <c r="AV28" i="3570" s="1"/>
  <c r="AD29" i="3570"/>
  <c r="AC28" i="3435" a="1"/>
  <c r="AC28" i="3435" s="1"/>
  <c r="V29" i="3435"/>
  <c r="BP34" i="3564"/>
  <c r="BW33" i="3564"/>
  <c r="AF27" i="3518"/>
  <c r="AM26" i="3518" a="1"/>
  <c r="AM26" i="3518" s="1"/>
  <c r="AT26" i="3518" s="1" a="1"/>
  <c r="AT26" i="3518" s="1"/>
  <c r="AL33" i="3435"/>
  <c r="AT32" i="3435" a="1"/>
  <c r="AT32" i="3435" s="1"/>
  <c r="BB32" i="3435" s="1" a="1"/>
  <c r="BB32" i="3435" s="1"/>
  <c r="B148" i="3523"/>
  <c r="BP117" i="3448"/>
  <c r="AU32" i="3435" a="1"/>
  <c r="AU32" i="3435" s="1"/>
  <c r="BC32" i="3435" s="1" a="1"/>
  <c r="BC32" i="3435" s="1"/>
  <c r="AM33" i="3435"/>
  <c r="AG28" i="3435" a="1"/>
  <c r="AG28" i="3435" s="1"/>
  <c r="Z29" i="3435"/>
  <c r="D148" i="3523"/>
  <c r="V148" i="3523" s="1" a="1"/>
  <c r="V148" i="3523" s="1"/>
  <c r="BR117" i="3448"/>
  <c r="AB116" i="3448"/>
  <c r="X117" i="3448"/>
  <c r="AK33" i="3435"/>
  <c r="AS32" i="3435" a="1"/>
  <c r="AS32" i="3435" s="1"/>
  <c r="BA32" i="3435" s="1" a="1"/>
  <c r="BA32" i="3435" s="1"/>
  <c r="F147" i="3523"/>
  <c r="AF147" i="3523" s="1" a="1"/>
  <c r="AF147" i="3523" s="1"/>
  <c r="BT116" i="3448"/>
  <c r="W29" i="3435"/>
  <c r="AD28" i="3435" a="1"/>
  <c r="AD28" i="3435" s="1"/>
  <c r="AC118" i="3448"/>
  <c r="Y119" i="3448"/>
  <c r="AB27" i="3518"/>
  <c r="AI26" i="3518" a="1"/>
  <c r="AI26" i="3518" s="1"/>
  <c r="AP26" i="3518" s="1" a="1"/>
  <c r="AP26" i="3518" s="1"/>
  <c r="AJ26" i="3518" a="1"/>
  <c r="AJ26" i="3518" s="1"/>
  <c r="AQ26" i="3518" s="1" a="1"/>
  <c r="AQ26" i="3518" s="1"/>
  <c r="AC27" i="3518"/>
  <c r="AE27" i="3518"/>
  <c r="AL26" i="3518" a="1"/>
  <c r="AL26" i="3518" s="1"/>
  <c r="AS26" i="3518" s="1" a="1"/>
  <c r="AS26" i="3518" s="1"/>
  <c r="AI29" i="3570"/>
  <c r="AR28" i="3570" a="1"/>
  <c r="AR28" i="3570" s="1"/>
  <c r="BA28" i="3570" s="1" a="1"/>
  <c r="BA28" i="3570" s="1"/>
  <c r="AG29" i="3570"/>
  <c r="AP28" i="3570" a="1"/>
  <c r="AP28" i="3570" s="1"/>
  <c r="AY28" i="3570" s="1" a="1"/>
  <c r="AY28" i="3570" s="1"/>
  <c r="AL28" i="3570" a="1"/>
  <c r="AL28" i="3570" s="1"/>
  <c r="AU28" i="3570" s="1" a="1"/>
  <c r="AU28" i="3570" s="1"/>
  <c r="AC29" i="3570"/>
  <c r="AV32" i="3435" a="1"/>
  <c r="AV32" i="3435" s="1"/>
  <c r="BD32" i="3435" s="1" a="1"/>
  <c r="BD32" i="3435" s="1"/>
  <c r="AN33" i="3435"/>
  <c r="AX32" i="3435" a="1"/>
  <c r="AX32" i="3435" s="1"/>
  <c r="BF32" i="3435" s="1" a="1"/>
  <c r="BF32" i="3435" s="1"/>
  <c r="AP33" i="3435"/>
  <c r="U28" i="3435"/>
  <c r="AB27" i="3435" a="1"/>
  <c r="AB27" i="3435" s="1"/>
  <c r="BT35" i="3564"/>
  <c r="CA34" i="3564"/>
  <c r="L147" i="3523" a="1"/>
  <c r="L147" i="3523" s="1"/>
  <c r="AY32" i="3435" a="1"/>
  <c r="AY32" i="3435" s="1"/>
  <c r="BG32" i="3435" s="1" a="1"/>
  <c r="BG32" i="3435" s="1"/>
  <c r="AQ33" i="3435"/>
  <c r="BS35" i="3564"/>
  <c r="BZ34" i="3564"/>
  <c r="AH26" i="3518" a="1"/>
  <c r="AH26" i="3518" s="1"/>
  <c r="AO26" i="3518" s="1" a="1"/>
  <c r="AO26" i="3518" s="1"/>
  <c r="AA27" i="3518"/>
  <c r="AK28" i="3570" a="1"/>
  <c r="AK28" i="3570" s="1"/>
  <c r="AT28" i="3570" s="1" a="1"/>
  <c r="AT28" i="3570" s="1"/>
  <c r="AB29" i="3570"/>
  <c r="X29" i="3435"/>
  <c r="AE28" i="3435" a="1"/>
  <c r="AE28" i="3435" s="1"/>
  <c r="E148" i="3523"/>
  <c r="AA148" i="3523" s="1" a="1"/>
  <c r="AA148" i="3523" s="1"/>
  <c r="BS117" i="3448"/>
  <c r="BZ118" i="3448"/>
  <c r="CG117" i="3448"/>
  <c r="Z116" i="3448"/>
  <c r="AD115" i="3448"/>
  <c r="AH29" i="3570"/>
  <c r="AQ28" i="3570" a="1"/>
  <c r="AQ28" i="3570" s="1"/>
  <c r="AZ28" i="3570" s="1" a="1"/>
  <c r="AZ28" i="3570" s="1"/>
  <c r="U87" i="3576" l="1" a="1"/>
  <c r="U87" i="3576" s="1"/>
  <c r="AD87" i="3576" s="1"/>
  <c r="AD88" i="3576" a="1"/>
  <c r="AD88" i="3576" s="1"/>
  <c r="T84" i="3576"/>
  <c r="N87" i="3576" a="1"/>
  <c r="N87" i="3576" s="1"/>
  <c r="P87" i="3576" s="1" a="1"/>
  <c r="P87" i="3576" s="1"/>
  <c r="M87" i="3576" a="1"/>
  <c r="M87" i="3576" s="1"/>
  <c r="Z87" i="3576" s="1" a="1"/>
  <c r="Z87" i="3576" s="1"/>
  <c r="B87" i="3576"/>
  <c r="S87" i="3576" a="1"/>
  <c r="S87" i="3576" s="1"/>
  <c r="T87" i="3576" s="1"/>
  <c r="Q87" i="3576"/>
  <c r="R87" i="3576" s="1"/>
  <c r="X88" i="3576" s="1"/>
  <c r="AB87" i="3576" a="1"/>
  <c r="AB87" i="3576" s="1"/>
  <c r="AE88" i="3576" s="1"/>
  <c r="BJ31" i="3564"/>
  <c r="BF32" i="3564"/>
  <c r="AH32" i="3564"/>
  <c r="AO31" i="3564"/>
  <c r="Z32" i="3564"/>
  <c r="AD31" i="3564"/>
  <c r="X31" i="3564"/>
  <c r="AB30" i="3564"/>
  <c r="BV33" i="3564"/>
  <c r="BO34" i="3564"/>
  <c r="AG32" i="3564"/>
  <c r="AN31" i="3564"/>
  <c r="AP31" i="3564"/>
  <c r="AI32" i="3564"/>
  <c r="BH31" i="3564"/>
  <c r="BD32" i="3564"/>
  <c r="BE32" i="3564"/>
  <c r="BI31" i="3564"/>
  <c r="BR34" i="3564"/>
  <c r="BY33" i="3564"/>
  <c r="AK32" i="3564"/>
  <c r="AR31" i="3564"/>
  <c r="BN34" i="3564"/>
  <c r="BU33" i="3564"/>
  <c r="AQ32" i="3564"/>
  <c r="AJ33" i="3564"/>
  <c r="AT31" i="3564"/>
  <c r="AM32" i="3564"/>
  <c r="AS31" i="3564"/>
  <c r="AL32" i="3564"/>
  <c r="Y32" i="3564"/>
  <c r="AC31" i="3564"/>
  <c r="BX33" i="3564"/>
  <c r="BQ34" i="3564"/>
  <c r="AM29" i="3570" a="1"/>
  <c r="AM29" i="3570" s="1"/>
  <c r="AV29" i="3570" s="1" a="1"/>
  <c r="AV29" i="3570" s="1"/>
  <c r="AD30" i="3570"/>
  <c r="AH27" i="3518" a="1"/>
  <c r="AH27" i="3518" s="1"/>
  <c r="AO27" i="3518" s="1" a="1"/>
  <c r="AO27" i="3518" s="1"/>
  <c r="AA28" i="3518"/>
  <c r="AN29" i="3570" a="1"/>
  <c r="AN29" i="3570" s="1"/>
  <c r="AW29" i="3570" s="1" a="1"/>
  <c r="AW29" i="3570" s="1"/>
  <c r="AE30" i="3570"/>
  <c r="D149" i="3523"/>
  <c r="V149" i="3523" s="1" a="1"/>
  <c r="V149" i="3523" s="1"/>
  <c r="BR118" i="3448"/>
  <c r="Y30" i="3435"/>
  <c r="AF29" i="3435" a="1"/>
  <c r="AF29" i="3435" s="1"/>
  <c r="AP29" i="3570" a="1"/>
  <c r="AP29" i="3570" s="1"/>
  <c r="AY29" i="3570" s="1" a="1"/>
  <c r="AY29" i="3570" s="1"/>
  <c r="AG30" i="3570"/>
  <c r="BZ35" i="3564"/>
  <c r="BS36" i="3564"/>
  <c r="X118" i="3448"/>
  <c r="AB117" i="3448"/>
  <c r="AC28" i="3518"/>
  <c r="AJ27" i="3518" a="1"/>
  <c r="AJ27" i="3518" s="1"/>
  <c r="AQ27" i="3518" s="1" a="1"/>
  <c r="AQ27" i="3518" s="1"/>
  <c r="AS33" i="3435" a="1"/>
  <c r="AS33" i="3435" s="1"/>
  <c r="BA33" i="3435" s="1" a="1"/>
  <c r="BA33" i="3435" s="1"/>
  <c r="AK34" i="3435"/>
  <c r="AR29" i="3570" a="1"/>
  <c r="AR29" i="3570" s="1"/>
  <c r="BA29" i="3570" s="1" a="1"/>
  <c r="BA29" i="3570" s="1"/>
  <c r="AI30" i="3570"/>
  <c r="AM34" i="3435"/>
  <c r="AU33" i="3435" a="1"/>
  <c r="AU33" i="3435" s="1"/>
  <c r="BC33" i="3435" s="1" a="1"/>
  <c r="BC33" i="3435" s="1"/>
  <c r="AQ29" i="3570" a="1"/>
  <c r="AQ29" i="3570" s="1"/>
  <c r="AZ29" i="3570" s="1" a="1"/>
  <c r="AZ29" i="3570" s="1"/>
  <c r="AH30" i="3570"/>
  <c r="Z30" i="3435"/>
  <c r="AG29" i="3435" a="1"/>
  <c r="AG29" i="3435" s="1"/>
  <c r="B149" i="3523"/>
  <c r="BP118" i="3448"/>
  <c r="AL29" i="3570" a="1"/>
  <c r="AL29" i="3570" s="1"/>
  <c r="AU29" i="3570" s="1" a="1"/>
  <c r="AU29" i="3570" s="1"/>
  <c r="AC30" i="3570"/>
  <c r="L148" i="3523" a="1"/>
  <c r="L148" i="3523" s="1"/>
  <c r="AB28" i="3518"/>
  <c r="AI27" i="3518" a="1"/>
  <c r="AI27" i="3518" s="1"/>
  <c r="AP27" i="3518" s="1" a="1"/>
  <c r="AP27" i="3518" s="1"/>
  <c r="AE28" i="3518"/>
  <c r="AL27" i="3518" a="1"/>
  <c r="AL27" i="3518" s="1"/>
  <c r="AS27" i="3518" s="1" a="1"/>
  <c r="AS27" i="3518" s="1"/>
  <c r="AF30" i="3570"/>
  <c r="AO29" i="3570" a="1"/>
  <c r="AO29" i="3570" s="1"/>
  <c r="AX29" i="3570" s="1" a="1"/>
  <c r="AX29" i="3570" s="1"/>
  <c r="AQ34" i="3435"/>
  <c r="AY33" i="3435" a="1"/>
  <c r="AY33" i="3435" s="1"/>
  <c r="BG33" i="3435" s="1" a="1"/>
  <c r="BG33" i="3435" s="1"/>
  <c r="AD28" i="3518"/>
  <c r="AK27" i="3518" a="1"/>
  <c r="AK27" i="3518" s="1"/>
  <c r="AR27" i="3518" s="1" a="1"/>
  <c r="AR27" i="3518" s="1"/>
  <c r="AF28" i="3518"/>
  <c r="AM27" i="3518" a="1"/>
  <c r="AM27" i="3518" s="1"/>
  <c r="AT27" i="3518" s="1" a="1"/>
  <c r="AT27" i="3518" s="1"/>
  <c r="A147" i="3523"/>
  <c r="X30" i="3435"/>
  <c r="AE29" i="3435" a="1"/>
  <c r="AE29" i="3435" s="1"/>
  <c r="AK29" i="3570" a="1"/>
  <c r="AK29" i="3570" s="1"/>
  <c r="AT29" i="3570" s="1" a="1"/>
  <c r="AT29" i="3570" s="1"/>
  <c r="AB30" i="3570"/>
  <c r="AP34" i="3435"/>
  <c r="AX33" i="3435" a="1"/>
  <c r="AX33" i="3435" s="1"/>
  <c r="BF33" i="3435" s="1" a="1"/>
  <c r="BF33" i="3435" s="1"/>
  <c r="Z117" i="3448"/>
  <c r="AD116" i="3448"/>
  <c r="AO34" i="3435"/>
  <c r="AW33" i="3435" a="1"/>
  <c r="AW33" i="3435" s="1"/>
  <c r="BE33" i="3435" s="1" a="1"/>
  <c r="BE33" i="3435" s="1"/>
  <c r="Y120" i="3448"/>
  <c r="AC119" i="3448"/>
  <c r="AB28" i="3435" a="1"/>
  <c r="AB28" i="3435" s="1"/>
  <c r="U29" i="3435"/>
  <c r="W30" i="3435"/>
  <c r="AD29" i="3435" a="1"/>
  <c r="AD29" i="3435" s="1"/>
  <c r="BW34" i="3564"/>
  <c r="BP35" i="3564"/>
  <c r="C148" i="3523"/>
  <c r="Q148" i="3523" s="1" a="1"/>
  <c r="Q148" i="3523" s="1"/>
  <c r="BQ117" i="3448"/>
  <c r="CG118" i="3448"/>
  <c r="BZ119" i="3448"/>
  <c r="E149" i="3523"/>
  <c r="AA149" i="3523" s="1" a="1"/>
  <c r="AA149" i="3523" s="1"/>
  <c r="BS118" i="3448"/>
  <c r="BT36" i="3564"/>
  <c r="CA35" i="3564"/>
  <c r="AT33" i="3435" a="1"/>
  <c r="AT33" i="3435" s="1"/>
  <c r="BB33" i="3435" s="1" a="1"/>
  <c r="BB33" i="3435" s="1"/>
  <c r="AL34" i="3435"/>
  <c r="AN34" i="3435"/>
  <c r="AV33" i="3435" a="1"/>
  <c r="AV33" i="3435" s="1"/>
  <c r="BD33" i="3435" s="1" a="1"/>
  <c r="BD33" i="3435" s="1"/>
  <c r="F148" i="3523"/>
  <c r="AF148" i="3523" s="1" a="1"/>
  <c r="AF148" i="3523" s="1"/>
  <c r="BT117" i="3448"/>
  <c r="AC29" i="3435" a="1"/>
  <c r="AC29" i="3435" s="1"/>
  <c r="V30" i="3435"/>
  <c r="BN35" i="3564" l="1"/>
  <c r="BU34" i="3564"/>
  <c r="AR32" i="3564"/>
  <c r="AK33" i="3564"/>
  <c r="BR35" i="3564"/>
  <c r="BY34" i="3564"/>
  <c r="BE33" i="3564"/>
  <c r="BI32" i="3564"/>
  <c r="BH32" i="3564"/>
  <c r="BD33" i="3564"/>
  <c r="AI33" i="3564"/>
  <c r="AP32" i="3564"/>
  <c r="AN32" i="3564"/>
  <c r="AG33" i="3564"/>
  <c r="BV34" i="3564"/>
  <c r="BO35" i="3564"/>
  <c r="BQ35" i="3564"/>
  <c r="BX34" i="3564"/>
  <c r="Y33" i="3564"/>
  <c r="AC32" i="3564"/>
  <c r="AB31" i="3564"/>
  <c r="X32" i="3564"/>
  <c r="AL33" i="3564"/>
  <c r="AS32" i="3564"/>
  <c r="Z33" i="3564"/>
  <c r="AD32" i="3564"/>
  <c r="AT32" i="3564"/>
  <c r="AM33" i="3564"/>
  <c r="AH33" i="3564"/>
  <c r="AO32" i="3564"/>
  <c r="AJ34" i="3564"/>
  <c r="AQ33" i="3564"/>
  <c r="BJ32" i="3564"/>
  <c r="BF33" i="3564"/>
  <c r="AP30" i="3570" a="1"/>
  <c r="AP30" i="3570" s="1"/>
  <c r="AY30" i="3570" s="1" a="1"/>
  <c r="AY30" i="3570" s="1"/>
  <c r="AG31" i="3570"/>
  <c r="AB29" i="3435" a="1"/>
  <c r="AB29" i="3435" s="1"/>
  <c r="U30" i="3435"/>
  <c r="Y31" i="3435"/>
  <c r="AF30" i="3435" a="1"/>
  <c r="AF30" i="3435" s="1"/>
  <c r="AQ30" i="3570" a="1"/>
  <c r="AQ30" i="3570" s="1"/>
  <c r="AZ30" i="3570" s="1" a="1"/>
  <c r="AZ30" i="3570" s="1"/>
  <c r="AH31" i="3570"/>
  <c r="V31" i="3435"/>
  <c r="AC30" i="3435" a="1"/>
  <c r="AC30" i="3435" s="1"/>
  <c r="D150" i="3523"/>
  <c r="V150" i="3523" s="1" a="1"/>
  <c r="V150" i="3523" s="1"/>
  <c r="BR119" i="3448"/>
  <c r="AK28" i="3518" a="1"/>
  <c r="AK28" i="3518" s="1"/>
  <c r="AR28" i="3518" s="1" a="1"/>
  <c r="AR28" i="3518" s="1"/>
  <c r="AD29" i="3518"/>
  <c r="AF29" i="3518"/>
  <c r="AM28" i="3518" a="1"/>
  <c r="AM28" i="3518" s="1"/>
  <c r="AT28" i="3518" s="1" a="1"/>
  <c r="AT28" i="3518" s="1"/>
  <c r="Z31" i="3435"/>
  <c r="AG30" i="3435" a="1"/>
  <c r="AG30" i="3435" s="1"/>
  <c r="AL35" i="3435"/>
  <c r="AT34" i="3435" a="1"/>
  <c r="AT34" i="3435" s="1"/>
  <c r="BB34" i="3435" s="1" a="1"/>
  <c r="BB34" i="3435" s="1"/>
  <c r="AK35" i="3435"/>
  <c r="AS34" i="3435" a="1"/>
  <c r="AS34" i="3435" s="1"/>
  <c r="BA34" i="3435" s="1" a="1"/>
  <c r="BA34" i="3435" s="1"/>
  <c r="F149" i="3523"/>
  <c r="AF149" i="3523" s="1" a="1"/>
  <c r="AF149" i="3523" s="1"/>
  <c r="BT118" i="3448"/>
  <c r="AN30" i="3570" a="1"/>
  <c r="AN30" i="3570" s="1"/>
  <c r="AW30" i="3570" s="1" a="1"/>
  <c r="AW30" i="3570" s="1"/>
  <c r="AE31" i="3570"/>
  <c r="AI31" i="3570"/>
  <c r="AR30" i="3570" a="1"/>
  <c r="AR30" i="3570" s="1"/>
  <c r="BA30" i="3570" s="1" a="1"/>
  <c r="BA30" i="3570" s="1"/>
  <c r="AC120" i="3448"/>
  <c r="Y121" i="3448"/>
  <c r="AU34" i="3435" a="1"/>
  <c r="AU34" i="3435" s="1"/>
  <c r="BC34" i="3435" s="1" a="1"/>
  <c r="BC34" i="3435" s="1"/>
  <c r="AM35" i="3435"/>
  <c r="AD117" i="3448"/>
  <c r="Z118" i="3448"/>
  <c r="BP36" i="3564"/>
  <c r="BW35" i="3564"/>
  <c r="AD30" i="3435" a="1"/>
  <c r="AD30" i="3435" s="1"/>
  <c r="W31" i="3435"/>
  <c r="AV34" i="3435" a="1"/>
  <c r="AV34" i="3435" s="1"/>
  <c r="BD34" i="3435" s="1" a="1"/>
  <c r="BD34" i="3435" s="1"/>
  <c r="AN35" i="3435"/>
  <c r="L149" i="3523" a="1"/>
  <c r="L149" i="3523" s="1"/>
  <c r="AY34" i="3435" a="1"/>
  <c r="AY34" i="3435" s="1"/>
  <c r="BG34" i="3435" s="1" a="1"/>
  <c r="BG34" i="3435" s="1"/>
  <c r="AQ35" i="3435"/>
  <c r="BZ120" i="3448"/>
  <c r="CG119" i="3448"/>
  <c r="AB29" i="3518"/>
  <c r="AI28" i="3518" a="1"/>
  <c r="AI28" i="3518" s="1"/>
  <c r="AP28" i="3518" s="1" a="1"/>
  <c r="AP28" i="3518" s="1"/>
  <c r="AB118" i="3448"/>
  <c r="X119" i="3448"/>
  <c r="BZ36" i="3564"/>
  <c r="BS37" i="3564"/>
  <c r="CA36" i="3564"/>
  <c r="BT37" i="3564"/>
  <c r="AH28" i="3518" a="1"/>
  <c r="AH28" i="3518" s="1"/>
  <c r="AO28" i="3518" s="1" a="1"/>
  <c r="AO28" i="3518" s="1"/>
  <c r="AA29" i="3518"/>
  <c r="B150" i="3523"/>
  <c r="BP119" i="3448"/>
  <c r="AW34" i="3435" a="1"/>
  <c r="AW34" i="3435" s="1"/>
  <c r="BE34" i="3435" s="1" a="1"/>
  <c r="BE34" i="3435" s="1"/>
  <c r="AO35" i="3435"/>
  <c r="E150" i="3523"/>
  <c r="AA150" i="3523" s="1" a="1"/>
  <c r="AA150" i="3523" s="1"/>
  <c r="BS119" i="3448"/>
  <c r="AX34" i="3435" a="1"/>
  <c r="AX34" i="3435" s="1"/>
  <c r="BF34" i="3435" s="1" a="1"/>
  <c r="BF34" i="3435" s="1"/>
  <c r="AP35" i="3435"/>
  <c r="AE29" i="3518"/>
  <c r="AL28" i="3518" a="1"/>
  <c r="AL28" i="3518" s="1"/>
  <c r="AS28" i="3518" s="1" a="1"/>
  <c r="AS28" i="3518" s="1"/>
  <c r="AC29" i="3518"/>
  <c r="AJ28" i="3518" a="1"/>
  <c r="AJ28" i="3518" s="1"/>
  <c r="AQ28" i="3518" s="1" a="1"/>
  <c r="AQ28" i="3518" s="1"/>
  <c r="AO30" i="3570" a="1"/>
  <c r="AO30" i="3570" s="1"/>
  <c r="AX30" i="3570" s="1" a="1"/>
  <c r="AX30" i="3570" s="1"/>
  <c r="AF31" i="3570"/>
  <c r="A148" i="3523"/>
  <c r="AC31" i="3570"/>
  <c r="AL30" i="3570" a="1"/>
  <c r="AL30" i="3570" s="1"/>
  <c r="AU30" i="3570" s="1" a="1"/>
  <c r="AU30" i="3570" s="1"/>
  <c r="AM30" i="3570" a="1"/>
  <c r="AM30" i="3570" s="1"/>
  <c r="AV30" i="3570" s="1" a="1"/>
  <c r="AV30" i="3570" s="1"/>
  <c r="AD31" i="3570"/>
  <c r="AB31" i="3570"/>
  <c r="AK30" i="3570" a="1"/>
  <c r="AK30" i="3570" s="1"/>
  <c r="AT30" i="3570" s="1" a="1"/>
  <c r="AT30" i="3570" s="1"/>
  <c r="AE30" i="3435" a="1"/>
  <c r="AE30" i="3435" s="1"/>
  <c r="X31" i="3435"/>
  <c r="C149" i="3523"/>
  <c r="Q149" i="3523" s="1" a="1"/>
  <c r="Q149" i="3523" s="1"/>
  <c r="BQ118" i="3448"/>
  <c r="AL34" i="3564" l="1"/>
  <c r="AS33" i="3564"/>
  <c r="X33" i="3564"/>
  <c r="AB32" i="3564"/>
  <c r="AC33" i="3564"/>
  <c r="Y34" i="3564"/>
  <c r="BX35" i="3564"/>
  <c r="BQ36" i="3564"/>
  <c r="BO36" i="3564"/>
  <c r="BV35" i="3564"/>
  <c r="AG34" i="3564"/>
  <c r="AN33" i="3564"/>
  <c r="AP33" i="3564"/>
  <c r="AI34" i="3564"/>
  <c r="BF34" i="3564"/>
  <c r="BJ33" i="3564"/>
  <c r="BD34" i="3564"/>
  <c r="BH33" i="3564"/>
  <c r="AQ34" i="3564"/>
  <c r="AJ35" i="3564"/>
  <c r="BI33" i="3564"/>
  <c r="BE34" i="3564"/>
  <c r="AO33" i="3564"/>
  <c r="AH34" i="3564"/>
  <c r="BY35" i="3564"/>
  <c r="BR36" i="3564"/>
  <c r="AT33" i="3564"/>
  <c r="AM34" i="3564"/>
  <c r="AR33" i="3564"/>
  <c r="AK34" i="3564"/>
  <c r="Z34" i="3564"/>
  <c r="AD33" i="3564"/>
  <c r="BN36" i="3564"/>
  <c r="BU35" i="3564"/>
  <c r="Z119" i="3448"/>
  <c r="AD118" i="3448"/>
  <c r="AL36" i="3435"/>
  <c r="AT35" i="3435" a="1"/>
  <c r="AT35" i="3435" s="1"/>
  <c r="BB35" i="3435" s="1" a="1"/>
  <c r="BB35" i="3435" s="1"/>
  <c r="AM36" i="3435"/>
  <c r="AU35" i="3435" a="1"/>
  <c r="AU35" i="3435" s="1"/>
  <c r="BC35" i="3435" s="1" a="1"/>
  <c r="BC35" i="3435" s="1"/>
  <c r="AL29" i="3518" a="1"/>
  <c r="AL29" i="3518" s="1"/>
  <c r="AS29" i="3518" s="1" a="1"/>
  <c r="AS29" i="3518" s="1"/>
  <c r="AE30" i="3518"/>
  <c r="Z32" i="3435"/>
  <c r="AG31" i="3435" a="1"/>
  <c r="AG31" i="3435" s="1"/>
  <c r="AX35" i="3435" a="1"/>
  <c r="AX35" i="3435" s="1"/>
  <c r="BF35" i="3435" s="1" a="1"/>
  <c r="BF35" i="3435" s="1"/>
  <c r="AP36" i="3435"/>
  <c r="AF30" i="3518"/>
  <c r="AM29" i="3518" a="1"/>
  <c r="AM29" i="3518" s="1"/>
  <c r="AT29" i="3518" s="1" a="1"/>
  <c r="AT29" i="3518" s="1"/>
  <c r="AD30" i="3518"/>
  <c r="AK29" i="3518" a="1"/>
  <c r="AK29" i="3518" s="1"/>
  <c r="AR29" i="3518" s="1" a="1"/>
  <c r="AR29" i="3518" s="1"/>
  <c r="X120" i="3448"/>
  <c r="AB119" i="3448"/>
  <c r="Y122" i="3448"/>
  <c r="AC121" i="3448"/>
  <c r="AE32" i="3570"/>
  <c r="AN31" i="3570" a="1"/>
  <c r="AN31" i="3570" s="1"/>
  <c r="AW31" i="3570" s="1" a="1"/>
  <c r="AW31" i="3570" s="1"/>
  <c r="D151" i="3523"/>
  <c r="V151" i="3523" s="1" a="1"/>
  <c r="V151" i="3523" s="1"/>
  <c r="BR120" i="3448"/>
  <c r="C150" i="3523"/>
  <c r="Q150" i="3523" s="1" a="1"/>
  <c r="Q150" i="3523" s="1"/>
  <c r="BQ119" i="3448"/>
  <c r="AR31" i="3570" a="1"/>
  <c r="AR31" i="3570" s="1"/>
  <c r="BA31" i="3570" s="1" a="1"/>
  <c r="BA31" i="3570" s="1"/>
  <c r="AI32" i="3570"/>
  <c r="B151" i="3523"/>
  <c r="BP120" i="3448"/>
  <c r="AE31" i="3435" a="1"/>
  <c r="AE31" i="3435" s="1"/>
  <c r="X32" i="3435"/>
  <c r="L150" i="3523" a="1"/>
  <c r="L150" i="3523" s="1"/>
  <c r="AC30" i="3518"/>
  <c r="AJ29" i="3518" a="1"/>
  <c r="AJ29" i="3518" s="1"/>
  <c r="AQ29" i="3518" s="1" a="1"/>
  <c r="AQ29" i="3518" s="1"/>
  <c r="BZ121" i="3448"/>
  <c r="CG120" i="3448"/>
  <c r="AB30" i="3518"/>
  <c r="AI29" i="3518" a="1"/>
  <c r="AI29" i="3518" s="1"/>
  <c r="AP29" i="3518" s="1" a="1"/>
  <c r="AP29" i="3518" s="1"/>
  <c r="AC31" i="3435" a="1"/>
  <c r="AC31" i="3435" s="1"/>
  <c r="V32" i="3435"/>
  <c r="AM31" i="3570" a="1"/>
  <c r="AM31" i="3570" s="1"/>
  <c r="AV31" i="3570" s="1" a="1"/>
  <c r="AV31" i="3570" s="1"/>
  <c r="AD32" i="3570"/>
  <c r="E151" i="3523"/>
  <c r="AA151" i="3523" s="1" a="1"/>
  <c r="AA151" i="3523" s="1"/>
  <c r="BS120" i="3448"/>
  <c r="AW35" i="3435" a="1"/>
  <c r="AW35" i="3435" s="1"/>
  <c r="BE35" i="3435" s="1" a="1"/>
  <c r="BE35" i="3435" s="1"/>
  <c r="AO36" i="3435"/>
  <c r="AQ31" i="3570" a="1"/>
  <c r="AQ31" i="3570" s="1"/>
  <c r="AZ31" i="3570" s="1" a="1"/>
  <c r="AZ31" i="3570" s="1"/>
  <c r="AH32" i="3570"/>
  <c r="AK31" i="3570" a="1"/>
  <c r="AK31" i="3570" s="1"/>
  <c r="AT31" i="3570" s="1" a="1"/>
  <c r="AT31" i="3570" s="1"/>
  <c r="AB32" i="3570"/>
  <c r="AV35" i="3435" a="1"/>
  <c r="AV35" i="3435" s="1"/>
  <c r="BD35" i="3435" s="1" a="1"/>
  <c r="BD35" i="3435" s="1"/>
  <c r="AN36" i="3435"/>
  <c r="AA30" i="3518"/>
  <c r="AH29" i="3518" a="1"/>
  <c r="AH29" i="3518" s="1"/>
  <c r="AO29" i="3518" s="1" a="1"/>
  <c r="AO29" i="3518" s="1"/>
  <c r="AP31" i="3570" a="1"/>
  <c r="AP31" i="3570" s="1"/>
  <c r="AY31" i="3570" s="1" a="1"/>
  <c r="AY31" i="3570" s="1"/>
  <c r="AG32" i="3570"/>
  <c r="AY35" i="3435" a="1"/>
  <c r="AY35" i="3435" s="1"/>
  <c r="BG35" i="3435" s="1" a="1"/>
  <c r="BG35" i="3435" s="1"/>
  <c r="AQ36" i="3435"/>
  <c r="AF31" i="3435" a="1"/>
  <c r="AF31" i="3435" s="1"/>
  <c r="Y32" i="3435"/>
  <c r="CA37" i="3564"/>
  <c r="BT38" i="3564"/>
  <c r="AK36" i="3435"/>
  <c r="AS35" i="3435" a="1"/>
  <c r="AS35" i="3435" s="1"/>
  <c r="BA35" i="3435" s="1" a="1"/>
  <c r="BA35" i="3435" s="1"/>
  <c r="A149" i="3523"/>
  <c r="W32" i="3435"/>
  <c r="AD31" i="3435" a="1"/>
  <c r="AD31" i="3435" s="1"/>
  <c r="AF32" i="3570"/>
  <c r="AO31" i="3570" a="1"/>
  <c r="AO31" i="3570" s="1"/>
  <c r="AX31" i="3570" s="1" a="1"/>
  <c r="AX31" i="3570" s="1"/>
  <c r="F150" i="3523"/>
  <c r="AF150" i="3523" s="1" a="1"/>
  <c r="AF150" i="3523" s="1"/>
  <c r="BT119" i="3448"/>
  <c r="AL31" i="3570" a="1"/>
  <c r="AL31" i="3570" s="1"/>
  <c r="AU31" i="3570" s="1" a="1"/>
  <c r="AU31" i="3570" s="1"/>
  <c r="AC32" i="3570"/>
  <c r="AB30" i="3435" a="1"/>
  <c r="AB30" i="3435" s="1"/>
  <c r="U31" i="3435"/>
  <c r="BP37" i="3564"/>
  <c r="BW36" i="3564"/>
  <c r="BS38" i="3564"/>
  <c r="BZ37" i="3564"/>
  <c r="AO34" i="3564" l="1"/>
  <c r="AH35" i="3564"/>
  <c r="BI34" i="3564"/>
  <c r="BE35" i="3564"/>
  <c r="AJ36" i="3564"/>
  <c r="AQ35" i="3564"/>
  <c r="BD35" i="3564"/>
  <c r="BH34" i="3564"/>
  <c r="A150" i="3523"/>
  <c r="BF35" i="3564"/>
  <c r="BJ34" i="3564"/>
  <c r="BO37" i="3564"/>
  <c r="BV36" i="3564"/>
  <c r="BQ37" i="3564"/>
  <c r="BX36" i="3564"/>
  <c r="AD34" i="3564"/>
  <c r="Z35" i="3564"/>
  <c r="AP34" i="3564"/>
  <c r="AI35" i="3564"/>
  <c r="AN34" i="3564"/>
  <c r="AG35" i="3564"/>
  <c r="BU36" i="3564"/>
  <c r="BN37" i="3564"/>
  <c r="AC34" i="3564"/>
  <c r="Y35" i="3564"/>
  <c r="AT34" i="3564"/>
  <c r="AM35" i="3564"/>
  <c r="X34" i="3564"/>
  <c r="AB33" i="3564"/>
  <c r="AR34" i="3564"/>
  <c r="AK35" i="3564"/>
  <c r="BR37" i="3564"/>
  <c r="BY36" i="3564"/>
  <c r="AS34" i="3564"/>
  <c r="AL35" i="3564"/>
  <c r="AP32" i="3570" a="1"/>
  <c r="AP32" i="3570" s="1"/>
  <c r="AY32" i="3570" s="1" a="1"/>
  <c r="AY32" i="3570" s="1"/>
  <c r="AG33" i="3570"/>
  <c r="AI30" i="3518" a="1"/>
  <c r="AI30" i="3518" s="1"/>
  <c r="AP30" i="3518" s="1" a="1"/>
  <c r="AP30" i="3518" s="1"/>
  <c r="AB31" i="3518"/>
  <c r="Y123" i="3448"/>
  <c r="AC122" i="3448"/>
  <c r="AH30" i="3518" a="1"/>
  <c r="AH30" i="3518" s="1"/>
  <c r="AO30" i="3518" s="1" a="1"/>
  <c r="AO30" i="3518" s="1"/>
  <c r="AA31" i="3518"/>
  <c r="CG121" i="3448"/>
  <c r="BZ122" i="3448"/>
  <c r="X121" i="3448"/>
  <c r="AB120" i="3448"/>
  <c r="AD32" i="3435" a="1"/>
  <c r="AD32" i="3435" s="1"/>
  <c r="W33" i="3435"/>
  <c r="AJ30" i="3518" a="1"/>
  <c r="AJ30" i="3518" s="1"/>
  <c r="AQ30" i="3518" s="1" a="1"/>
  <c r="AQ30" i="3518" s="1"/>
  <c r="AC31" i="3518"/>
  <c r="AD31" i="3518"/>
  <c r="AK30" i="3518" a="1"/>
  <c r="AK30" i="3518" s="1"/>
  <c r="AR30" i="3518" s="1" a="1"/>
  <c r="AR30" i="3518" s="1"/>
  <c r="AF33" i="3570"/>
  <c r="AO32" i="3570" a="1"/>
  <c r="AO32" i="3570" s="1"/>
  <c r="AX32" i="3570" s="1" a="1"/>
  <c r="AX32" i="3570" s="1"/>
  <c r="AM30" i="3518" a="1"/>
  <c r="AM30" i="3518" s="1"/>
  <c r="AT30" i="3518" s="1" a="1"/>
  <c r="AT30" i="3518" s="1"/>
  <c r="AF31" i="3518"/>
  <c r="BZ38" i="3564"/>
  <c r="BS39" i="3564"/>
  <c r="AP37" i="3435"/>
  <c r="AX36" i="3435" a="1"/>
  <c r="AX36" i="3435" s="1"/>
  <c r="BF36" i="3435" s="1" a="1"/>
  <c r="BF36" i="3435" s="1"/>
  <c r="Z33" i="3435"/>
  <c r="AG32" i="3435" a="1"/>
  <c r="AG32" i="3435" s="1"/>
  <c r="AE31" i="3518"/>
  <c r="AL30" i="3518" a="1"/>
  <c r="AL30" i="3518" s="1"/>
  <c r="AS30" i="3518" s="1" a="1"/>
  <c r="AS30" i="3518" s="1"/>
  <c r="AE32" i="3435" a="1"/>
  <c r="AE32" i="3435" s="1"/>
  <c r="X33" i="3435"/>
  <c r="AQ32" i="3570" a="1"/>
  <c r="AQ32" i="3570" s="1"/>
  <c r="AZ32" i="3570" s="1" a="1"/>
  <c r="AZ32" i="3570" s="1"/>
  <c r="AH33" i="3570"/>
  <c r="AU36" i="3435" a="1"/>
  <c r="AU36" i="3435" s="1"/>
  <c r="BC36" i="3435" s="1" a="1"/>
  <c r="BC36" i="3435" s="1"/>
  <c r="AM37" i="3435"/>
  <c r="AD33" i="3570"/>
  <c r="AM32" i="3570" a="1"/>
  <c r="AM32" i="3570" s="1"/>
  <c r="AV32" i="3570" s="1" a="1"/>
  <c r="AV32" i="3570" s="1"/>
  <c r="D152" i="3523"/>
  <c r="V152" i="3523" s="1" a="1"/>
  <c r="V152" i="3523" s="1"/>
  <c r="BR121" i="3448"/>
  <c r="AS36" i="3435" a="1"/>
  <c r="AS36" i="3435" s="1"/>
  <c r="BA36" i="3435" s="1" a="1"/>
  <c r="BA36" i="3435" s="1"/>
  <c r="AK37" i="3435"/>
  <c r="B152" i="3523"/>
  <c r="BP121" i="3448"/>
  <c r="BT39" i="3564"/>
  <c r="CA38" i="3564"/>
  <c r="AR32" i="3570" a="1"/>
  <c r="AR32" i="3570" s="1"/>
  <c r="BA32" i="3570" s="1" a="1"/>
  <c r="BA32" i="3570" s="1"/>
  <c r="AI33" i="3570"/>
  <c r="AL32" i="3570" a="1"/>
  <c r="AL32" i="3570" s="1"/>
  <c r="AU32" i="3570" s="1" a="1"/>
  <c r="AU32" i="3570" s="1"/>
  <c r="AC33" i="3570"/>
  <c r="E152" i="3523"/>
  <c r="AA152" i="3523" s="1" a="1"/>
  <c r="AA152" i="3523" s="1"/>
  <c r="BS121" i="3448"/>
  <c r="AT36" i="3435" a="1"/>
  <c r="AT36" i="3435" s="1"/>
  <c r="BB36" i="3435" s="1" a="1"/>
  <c r="BB36" i="3435" s="1"/>
  <c r="AL37" i="3435"/>
  <c r="AV36" i="3435" a="1"/>
  <c r="AV36" i="3435" s="1"/>
  <c r="BD36" i="3435" s="1" a="1"/>
  <c r="BD36" i="3435" s="1"/>
  <c r="AN37" i="3435"/>
  <c r="AK32" i="3570" a="1"/>
  <c r="AK32" i="3570" s="1"/>
  <c r="AT32" i="3570" s="1" a="1"/>
  <c r="AT32" i="3570" s="1"/>
  <c r="AB33" i="3570"/>
  <c r="AF32" i="3435" a="1"/>
  <c r="AF32" i="3435" s="1"/>
  <c r="Y33" i="3435"/>
  <c r="C151" i="3523"/>
  <c r="Q151" i="3523" s="1" a="1"/>
  <c r="Q151" i="3523" s="1"/>
  <c r="BQ120" i="3448"/>
  <c r="AQ37" i="3435"/>
  <c r="AY36" i="3435" a="1"/>
  <c r="AY36" i="3435" s="1"/>
  <c r="BG36" i="3435" s="1" a="1"/>
  <c r="BG36" i="3435" s="1"/>
  <c r="AC32" i="3435" a="1"/>
  <c r="AC32" i="3435" s="1"/>
  <c r="V33" i="3435"/>
  <c r="BP38" i="3564"/>
  <c r="BW37" i="3564"/>
  <c r="U32" i="3435"/>
  <c r="AB31" i="3435" a="1"/>
  <c r="AB31" i="3435" s="1"/>
  <c r="L151" i="3523" a="1"/>
  <c r="L151" i="3523" s="1"/>
  <c r="AW36" i="3435" a="1"/>
  <c r="AW36" i="3435" s="1"/>
  <c r="BE36" i="3435" s="1" a="1"/>
  <c r="BE36" i="3435" s="1"/>
  <c r="AO37" i="3435"/>
  <c r="F151" i="3523"/>
  <c r="AF151" i="3523" s="1" a="1"/>
  <c r="AF151" i="3523" s="1"/>
  <c r="BT120" i="3448"/>
  <c r="AE33" i="3570"/>
  <c r="AN32" i="3570" a="1"/>
  <c r="AN32" i="3570" s="1"/>
  <c r="AW32" i="3570" s="1" a="1"/>
  <c r="AW32" i="3570" s="1"/>
  <c r="Z120" i="3448"/>
  <c r="AD119" i="3448"/>
  <c r="BN38" i="3564" l="1"/>
  <c r="BU37" i="3564"/>
  <c r="AN35" i="3564"/>
  <c r="AG36" i="3564"/>
  <c r="AP35" i="3564"/>
  <c r="AI36" i="3564"/>
  <c r="Z36" i="3564"/>
  <c r="AD35" i="3564"/>
  <c r="BX37" i="3564"/>
  <c r="BQ38" i="3564"/>
  <c r="BV37" i="3564"/>
  <c r="BO38" i="3564"/>
  <c r="AL36" i="3564"/>
  <c r="AS35" i="3564"/>
  <c r="BF36" i="3564"/>
  <c r="BJ35" i="3564"/>
  <c r="AK36" i="3564"/>
  <c r="AR35" i="3564"/>
  <c r="BD36" i="3564"/>
  <c r="BH35" i="3564"/>
  <c r="AQ36" i="3564"/>
  <c r="AJ37" i="3564"/>
  <c r="AB34" i="3564"/>
  <c r="X35" i="3564"/>
  <c r="BI35" i="3564"/>
  <c r="BE36" i="3564"/>
  <c r="AM36" i="3564"/>
  <c r="AT35" i="3564"/>
  <c r="BR38" i="3564"/>
  <c r="BY37" i="3564"/>
  <c r="AH36" i="3564"/>
  <c r="AO35" i="3564"/>
  <c r="Y36" i="3564"/>
  <c r="AC35" i="3564"/>
  <c r="B153" i="3523"/>
  <c r="BP122" i="3448"/>
  <c r="W34" i="3435"/>
  <c r="AD33" i="3435" a="1"/>
  <c r="AD33" i="3435" s="1"/>
  <c r="L152" i="3523" a="1"/>
  <c r="L152" i="3523" s="1"/>
  <c r="AX37" i="3435" a="1"/>
  <c r="AX37" i="3435" s="1"/>
  <c r="BF37" i="3435" s="1" a="1"/>
  <c r="BF37" i="3435" s="1"/>
  <c r="AP38" i="3435"/>
  <c r="V34" i="3435"/>
  <c r="AC33" i="3435" a="1"/>
  <c r="AC33" i="3435" s="1"/>
  <c r="AB121" i="3448"/>
  <c r="X122" i="3448"/>
  <c r="BZ123" i="3448"/>
  <c r="CG122" i="3448"/>
  <c r="BZ39" i="3564"/>
  <c r="BS40" i="3564"/>
  <c r="AA32" i="3518"/>
  <c r="AH31" i="3518" a="1"/>
  <c r="AH31" i="3518" s="1"/>
  <c r="AO31" i="3518" s="1" a="1"/>
  <c r="AO31" i="3518" s="1"/>
  <c r="AO33" i="3570" a="1"/>
  <c r="AO33" i="3570" s="1"/>
  <c r="AX33" i="3570" s="1" a="1"/>
  <c r="AX33" i="3570" s="1"/>
  <c r="AF34" i="3570"/>
  <c r="AT37" i="3435" a="1"/>
  <c r="AT37" i="3435" s="1"/>
  <c r="BB37" i="3435" s="1" a="1"/>
  <c r="BB37" i="3435" s="1"/>
  <c r="AL38" i="3435"/>
  <c r="AF32" i="3518"/>
  <c r="AM31" i="3518" a="1"/>
  <c r="AM31" i="3518" s="1"/>
  <c r="AT31" i="3518" s="1" a="1"/>
  <c r="AT31" i="3518" s="1"/>
  <c r="AE34" i="3570"/>
  <c r="AN33" i="3570" a="1"/>
  <c r="AN33" i="3570" s="1"/>
  <c r="AW33" i="3570" s="1" a="1"/>
  <c r="AW33" i="3570" s="1"/>
  <c r="Y34" i="3435"/>
  <c r="AF33" i="3435" a="1"/>
  <c r="AF33" i="3435" s="1"/>
  <c r="AD34" i="3570"/>
  <c r="AM33" i="3570" a="1"/>
  <c r="AM33" i="3570" s="1"/>
  <c r="AV33" i="3570" s="1" a="1"/>
  <c r="AV33" i="3570" s="1"/>
  <c r="AM38" i="3435"/>
  <c r="AU37" i="3435" a="1"/>
  <c r="AU37" i="3435" s="1"/>
  <c r="BC37" i="3435" s="1" a="1"/>
  <c r="BC37" i="3435" s="1"/>
  <c r="AH34" i="3570"/>
  <c r="AQ33" i="3570" a="1"/>
  <c r="AQ33" i="3570" s="1"/>
  <c r="AZ33" i="3570" s="1" a="1"/>
  <c r="AZ33" i="3570" s="1"/>
  <c r="AB34" i="3570"/>
  <c r="AK33" i="3570" a="1"/>
  <c r="AK33" i="3570" s="1"/>
  <c r="AT33" i="3570" s="1" a="1"/>
  <c r="AT33" i="3570" s="1"/>
  <c r="AV37" i="3435" a="1"/>
  <c r="AV37" i="3435" s="1"/>
  <c r="BD37" i="3435" s="1" a="1"/>
  <c r="BD37" i="3435" s="1"/>
  <c r="AN38" i="3435"/>
  <c r="AW37" i="3435" a="1"/>
  <c r="AW37" i="3435" s="1"/>
  <c r="BE37" i="3435" s="1" a="1"/>
  <c r="BE37" i="3435" s="1"/>
  <c r="AO38" i="3435"/>
  <c r="AD120" i="3448"/>
  <c r="Z121" i="3448"/>
  <c r="AJ31" i="3518" a="1"/>
  <c r="AJ31" i="3518" s="1"/>
  <c r="AQ31" i="3518" s="1" a="1"/>
  <c r="AQ31" i="3518" s="1"/>
  <c r="AC32" i="3518"/>
  <c r="F152" i="3523"/>
  <c r="AF152" i="3523" s="1" a="1"/>
  <c r="AF152" i="3523" s="1"/>
  <c r="BT121" i="3448"/>
  <c r="AK31" i="3518" a="1"/>
  <c r="AK31" i="3518" s="1"/>
  <c r="AR31" i="3518" s="1" a="1"/>
  <c r="AR31" i="3518" s="1"/>
  <c r="AD32" i="3518"/>
  <c r="AG34" i="3570"/>
  <c r="AP33" i="3570" a="1"/>
  <c r="AP33" i="3570" s="1"/>
  <c r="AY33" i="3570" s="1" a="1"/>
  <c r="AY33" i="3570" s="1"/>
  <c r="AC123" i="3448"/>
  <c r="Y124" i="3448"/>
  <c r="AI31" i="3518" a="1"/>
  <c r="AI31" i="3518" s="1"/>
  <c r="AP31" i="3518" s="1" a="1"/>
  <c r="AP31" i="3518" s="1"/>
  <c r="AB32" i="3518"/>
  <c r="X34" i="3435"/>
  <c r="AE33" i="3435" a="1"/>
  <c r="AE33" i="3435" s="1"/>
  <c r="Z34" i="3435"/>
  <c r="AG33" i="3435" a="1"/>
  <c r="AG33" i="3435" s="1"/>
  <c r="AK38" i="3435"/>
  <c r="AS37" i="3435" a="1"/>
  <c r="AS37" i="3435" s="1"/>
  <c r="BA37" i="3435" s="1" a="1"/>
  <c r="BA37" i="3435" s="1"/>
  <c r="AC34" i="3570"/>
  <c r="AL33" i="3570" a="1"/>
  <c r="AL33" i="3570" s="1"/>
  <c r="AU33" i="3570" s="1" a="1"/>
  <c r="AU33" i="3570" s="1"/>
  <c r="AI34" i="3570"/>
  <c r="AR33" i="3570" a="1"/>
  <c r="AR33" i="3570" s="1"/>
  <c r="BA33" i="3570" s="1" a="1"/>
  <c r="BA33" i="3570" s="1"/>
  <c r="AL31" i="3518" a="1"/>
  <c r="AL31" i="3518" s="1"/>
  <c r="AS31" i="3518" s="1" a="1"/>
  <c r="AS31" i="3518" s="1"/>
  <c r="AE32" i="3518"/>
  <c r="AB32" i="3435" a="1"/>
  <c r="AB32" i="3435" s="1"/>
  <c r="U33" i="3435"/>
  <c r="E153" i="3523"/>
  <c r="AA153" i="3523" s="1" a="1"/>
  <c r="AA153" i="3523" s="1"/>
  <c r="BS122" i="3448"/>
  <c r="A151" i="3523"/>
  <c r="AY37" i="3435" a="1"/>
  <c r="AY37" i="3435" s="1"/>
  <c r="BG37" i="3435" s="1" a="1"/>
  <c r="BG37" i="3435" s="1"/>
  <c r="AQ38" i="3435"/>
  <c r="C152" i="3523"/>
  <c r="Q152" i="3523" s="1" a="1"/>
  <c r="Q152" i="3523" s="1"/>
  <c r="BQ121" i="3448"/>
  <c r="D153" i="3523"/>
  <c r="V153" i="3523" s="1" a="1"/>
  <c r="V153" i="3523" s="1"/>
  <c r="BR122" i="3448"/>
  <c r="BW38" i="3564"/>
  <c r="BP39" i="3564"/>
  <c r="BT40" i="3564"/>
  <c r="CA39" i="3564"/>
  <c r="X36" i="3564" l="1"/>
  <c r="AB35" i="3564"/>
  <c r="AJ38" i="3564"/>
  <c r="AQ37" i="3564"/>
  <c r="BH36" i="3564"/>
  <c r="BD37" i="3564"/>
  <c r="AR36" i="3564"/>
  <c r="AK37" i="3564"/>
  <c r="BJ36" i="3564"/>
  <c r="BF37" i="3564"/>
  <c r="AL37" i="3564"/>
  <c r="AS36" i="3564"/>
  <c r="BV38" i="3564"/>
  <c r="BO39" i="3564"/>
  <c r="Z37" i="3564"/>
  <c r="AD36" i="3564"/>
  <c r="AI37" i="3564"/>
  <c r="AP36" i="3564"/>
  <c r="BY38" i="3564"/>
  <c r="BR39" i="3564"/>
  <c r="AO36" i="3564"/>
  <c r="AH37" i="3564"/>
  <c r="AG37" i="3564"/>
  <c r="AN36" i="3564"/>
  <c r="Y37" i="3564"/>
  <c r="AC36" i="3564"/>
  <c r="AM37" i="3564"/>
  <c r="AT36" i="3564"/>
  <c r="BQ39" i="3564"/>
  <c r="BX38" i="3564"/>
  <c r="BE37" i="3564"/>
  <c r="BI36" i="3564"/>
  <c r="BN39" i="3564"/>
  <c r="BU38" i="3564"/>
  <c r="E154" i="3523"/>
  <c r="AA154" i="3523" s="1" a="1"/>
  <c r="AA154" i="3523" s="1"/>
  <c r="BS123" i="3448"/>
  <c r="AO34" i="3570" a="1"/>
  <c r="AO34" i="3570" s="1"/>
  <c r="AX34" i="3570" s="1" a="1"/>
  <c r="AX34" i="3570" s="1"/>
  <c r="AF35" i="3570"/>
  <c r="AV38" i="3435" a="1"/>
  <c r="AV38" i="3435" s="1"/>
  <c r="BD38" i="3435" s="1" a="1"/>
  <c r="BD38" i="3435" s="1"/>
  <c r="AN39" i="3435"/>
  <c r="U34" i="3435"/>
  <c r="AB33" i="3435" a="1"/>
  <c r="AB33" i="3435" s="1"/>
  <c r="AA33" i="3518"/>
  <c r="AH32" i="3518" a="1"/>
  <c r="AH32" i="3518" s="1"/>
  <c r="AO32" i="3518" s="1" a="1"/>
  <c r="AO32" i="3518" s="1"/>
  <c r="BS41" i="3564"/>
  <c r="BZ40" i="3564"/>
  <c r="Z35" i="3435"/>
  <c r="AG34" i="3435" a="1"/>
  <c r="AG34" i="3435" s="1"/>
  <c r="BZ124" i="3448"/>
  <c r="CG123" i="3448"/>
  <c r="AB122" i="3448"/>
  <c r="X123" i="3448"/>
  <c r="AB35" i="3570"/>
  <c r="AK34" i="3570" a="1"/>
  <c r="AK34" i="3570" s="1"/>
  <c r="AT34" i="3570" s="1" a="1"/>
  <c r="AT34" i="3570" s="1"/>
  <c r="AQ34" i="3570" a="1"/>
  <c r="AQ34" i="3570" s="1"/>
  <c r="AZ34" i="3570" s="1" a="1"/>
  <c r="AZ34" i="3570" s="1"/>
  <c r="AH35" i="3570"/>
  <c r="AS38" i="3435" a="1"/>
  <c r="AS38" i="3435" s="1"/>
  <c r="BA38" i="3435" s="1" a="1"/>
  <c r="BA38" i="3435" s="1"/>
  <c r="AK39" i="3435"/>
  <c r="V35" i="3435"/>
  <c r="AC34" i="3435" a="1"/>
  <c r="AC34" i="3435" s="1"/>
  <c r="AE33" i="3518"/>
  <c r="AL32" i="3518" a="1"/>
  <c r="AL32" i="3518" s="1"/>
  <c r="AS32" i="3518" s="1" a="1"/>
  <c r="AS32" i="3518" s="1"/>
  <c r="CA40" i="3564"/>
  <c r="BT41" i="3564"/>
  <c r="AK32" i="3518" a="1"/>
  <c r="AK32" i="3518" s="1"/>
  <c r="AR32" i="3518" s="1" a="1"/>
  <c r="AR32" i="3518" s="1"/>
  <c r="AD33" i="3518"/>
  <c r="AF34" i="3435" a="1"/>
  <c r="AF34" i="3435" s="1"/>
  <c r="Y35" i="3435"/>
  <c r="AB33" i="3518"/>
  <c r="AI32" i="3518" a="1"/>
  <c r="AI32" i="3518" s="1"/>
  <c r="AP32" i="3518" s="1" a="1"/>
  <c r="AP32" i="3518" s="1"/>
  <c r="D154" i="3523"/>
  <c r="V154" i="3523" s="1" a="1"/>
  <c r="V154" i="3523" s="1"/>
  <c r="BR123" i="3448"/>
  <c r="AC35" i="3570"/>
  <c r="AL34" i="3570" a="1"/>
  <c r="AL34" i="3570" s="1"/>
  <c r="AU34" i="3570" s="1" a="1"/>
  <c r="AU34" i="3570" s="1"/>
  <c r="AE35" i="3570"/>
  <c r="AN34" i="3570" a="1"/>
  <c r="AN34" i="3570" s="1"/>
  <c r="AW34" i="3570" s="1" a="1"/>
  <c r="AW34" i="3570" s="1"/>
  <c r="A152" i="3523"/>
  <c r="AU38" i="3435" a="1"/>
  <c r="AU38" i="3435" s="1"/>
  <c r="BC38" i="3435" s="1" a="1"/>
  <c r="BC38" i="3435" s="1"/>
  <c r="AM39" i="3435"/>
  <c r="AM34" i="3570" a="1"/>
  <c r="AM34" i="3570" s="1"/>
  <c r="AV34" i="3570" s="1" a="1"/>
  <c r="AV34" i="3570" s="1"/>
  <c r="AD35" i="3570"/>
  <c r="AP39" i="3435"/>
  <c r="AX38" i="3435" a="1"/>
  <c r="AX38" i="3435" s="1"/>
  <c r="BF38" i="3435" s="1" a="1"/>
  <c r="BF38" i="3435" s="1"/>
  <c r="AQ39" i="3435"/>
  <c r="AY38" i="3435" a="1"/>
  <c r="AY38" i="3435" s="1"/>
  <c r="BG38" i="3435" s="1" a="1"/>
  <c r="BG38" i="3435" s="1"/>
  <c r="AJ32" i="3518" a="1"/>
  <c r="AJ32" i="3518" s="1"/>
  <c r="AQ32" i="3518" s="1" a="1"/>
  <c r="AQ32" i="3518" s="1"/>
  <c r="AC33" i="3518"/>
  <c r="C153" i="3523"/>
  <c r="Q153" i="3523" s="1" a="1"/>
  <c r="Q153" i="3523" s="1"/>
  <c r="BQ122" i="3448"/>
  <c r="AF33" i="3518"/>
  <c r="AM32" i="3518" a="1"/>
  <c r="AM32" i="3518" s="1"/>
  <c r="AT32" i="3518" s="1" a="1"/>
  <c r="AT32" i="3518" s="1"/>
  <c r="W35" i="3435"/>
  <c r="AD34" i="3435" a="1"/>
  <c r="AD34" i="3435" s="1"/>
  <c r="AO39" i="3435"/>
  <c r="AW38" i="3435" a="1"/>
  <c r="AW38" i="3435" s="1"/>
  <c r="BE38" i="3435" s="1" a="1"/>
  <c r="BE38" i="3435" s="1"/>
  <c r="AC124" i="3448"/>
  <c r="Y125" i="3448"/>
  <c r="AP34" i="3570" a="1"/>
  <c r="AP34" i="3570" s="1"/>
  <c r="AY34" i="3570" s="1" a="1"/>
  <c r="AY34" i="3570" s="1"/>
  <c r="AG35" i="3570"/>
  <c r="F153" i="3523"/>
  <c r="AF153" i="3523" s="1" a="1"/>
  <c r="AF153" i="3523" s="1"/>
  <c r="BT122" i="3448"/>
  <c r="Z122" i="3448"/>
  <c r="AD121" i="3448"/>
  <c r="AT38" i="3435" a="1"/>
  <c r="AT38" i="3435" s="1"/>
  <c r="BB38" i="3435" s="1" a="1"/>
  <c r="BB38" i="3435" s="1"/>
  <c r="AL39" i="3435"/>
  <c r="B154" i="3523"/>
  <c r="BP123" i="3448"/>
  <c r="AE34" i="3435" a="1"/>
  <c r="AE34" i="3435" s="1"/>
  <c r="X35" i="3435"/>
  <c r="BP40" i="3564"/>
  <c r="BW39" i="3564"/>
  <c r="AI35" i="3570"/>
  <c r="AR34" i="3570" a="1"/>
  <c r="AR34" i="3570" s="1"/>
  <c r="BA34" i="3570" s="1" a="1"/>
  <c r="BA34" i="3570" s="1"/>
  <c r="L153" i="3523" a="1"/>
  <c r="L153" i="3523" s="1"/>
  <c r="AN37" i="3564" l="1"/>
  <c r="AG38" i="3564"/>
  <c r="AH38" i="3564"/>
  <c r="AO37" i="3564"/>
  <c r="BR40" i="3564"/>
  <c r="BY39" i="3564"/>
  <c r="AI38" i="3564"/>
  <c r="AP37" i="3564"/>
  <c r="Z38" i="3564"/>
  <c r="AD37" i="3564"/>
  <c r="BV39" i="3564"/>
  <c r="BO40" i="3564"/>
  <c r="AK38" i="3564"/>
  <c r="AR37" i="3564"/>
  <c r="BU39" i="3564"/>
  <c r="BN40" i="3564"/>
  <c r="BF38" i="3564"/>
  <c r="BJ37" i="3564"/>
  <c r="BD38" i="3564"/>
  <c r="BH37" i="3564"/>
  <c r="BQ40" i="3564"/>
  <c r="BX39" i="3564"/>
  <c r="AL38" i="3564"/>
  <c r="AS37" i="3564"/>
  <c r="AT37" i="3564"/>
  <c r="AM38" i="3564"/>
  <c r="AQ38" i="3564"/>
  <c r="AJ39" i="3564"/>
  <c r="A153" i="3523"/>
  <c r="BI37" i="3564"/>
  <c r="BE38" i="3564"/>
  <c r="AC37" i="3564"/>
  <c r="Y38" i="3564"/>
  <c r="X37" i="3564"/>
  <c r="AB36" i="3564"/>
  <c r="AI33" i="3518" a="1"/>
  <c r="AI33" i="3518" s="1"/>
  <c r="AP33" i="3518" s="1" a="1"/>
  <c r="AP33" i="3518" s="1"/>
  <c r="AB34" i="3518"/>
  <c r="BZ125" i="3448"/>
  <c r="CG124" i="3448"/>
  <c r="AM35" i="3570" a="1"/>
  <c r="AM35" i="3570" s="1"/>
  <c r="AV35" i="3570" s="1" a="1"/>
  <c r="AV35" i="3570" s="1"/>
  <c r="AD36" i="3570"/>
  <c r="AQ40" i="3435"/>
  <c r="AY39" i="3435" a="1"/>
  <c r="AY39" i="3435" s="1"/>
  <c r="BG39" i="3435" s="1" a="1"/>
  <c r="BG39" i="3435" s="1"/>
  <c r="AF35" i="3435" a="1"/>
  <c r="AF35" i="3435" s="1"/>
  <c r="Y36" i="3435"/>
  <c r="Z36" i="3435"/>
  <c r="AG35" i="3435" a="1"/>
  <c r="AG35" i="3435" s="1"/>
  <c r="AD34" i="3518"/>
  <c r="AK33" i="3518" a="1"/>
  <c r="AK33" i="3518" s="1"/>
  <c r="AR33" i="3518" s="1" a="1"/>
  <c r="AR33" i="3518" s="1"/>
  <c r="F154" i="3523"/>
  <c r="AF154" i="3523" s="1" a="1"/>
  <c r="AF154" i="3523" s="1"/>
  <c r="BT123" i="3448"/>
  <c r="CA41" i="3564"/>
  <c r="BT42" i="3564"/>
  <c r="AP40" i="3435"/>
  <c r="AX39" i="3435" a="1"/>
  <c r="AX39" i="3435" s="1"/>
  <c r="BF39" i="3435" s="1" a="1"/>
  <c r="BF39" i="3435" s="1"/>
  <c r="AG36" i="3570"/>
  <c r="AP35" i="3570" a="1"/>
  <c r="AP35" i="3570" s="1"/>
  <c r="AY35" i="3570" s="1" a="1"/>
  <c r="AY35" i="3570" s="1"/>
  <c r="BS42" i="3564"/>
  <c r="BZ41" i="3564"/>
  <c r="Y126" i="3448"/>
  <c r="AC125" i="3448"/>
  <c r="AA34" i="3518"/>
  <c r="AH33" i="3518" a="1"/>
  <c r="AH33" i="3518" s="1"/>
  <c r="AO33" i="3518" s="1" a="1"/>
  <c r="AO33" i="3518" s="1"/>
  <c r="AE35" i="3435" a="1"/>
  <c r="AE35" i="3435" s="1"/>
  <c r="X36" i="3435"/>
  <c r="AC35" i="3435" a="1"/>
  <c r="AC35" i="3435" s="1"/>
  <c r="V36" i="3435"/>
  <c r="AB34" i="3435" a="1"/>
  <c r="AB34" i="3435" s="1"/>
  <c r="U35" i="3435"/>
  <c r="AL33" i="3518" a="1"/>
  <c r="AL33" i="3518" s="1"/>
  <c r="AS33" i="3518" s="1" a="1"/>
  <c r="AS33" i="3518" s="1"/>
  <c r="AE34" i="3518"/>
  <c r="AD35" i="3435" a="1"/>
  <c r="AD35" i="3435" s="1"/>
  <c r="W36" i="3435"/>
  <c r="AK40" i="3435"/>
  <c r="AS39" i="3435" a="1"/>
  <c r="AS39" i="3435" s="1"/>
  <c r="BA39" i="3435" s="1" a="1"/>
  <c r="BA39" i="3435" s="1"/>
  <c r="AN40" i="3435"/>
  <c r="AV39" i="3435" a="1"/>
  <c r="AV39" i="3435" s="1"/>
  <c r="BD39" i="3435" s="1" a="1"/>
  <c r="BD39" i="3435" s="1"/>
  <c r="AM40" i="3435"/>
  <c r="AU39" i="3435" a="1"/>
  <c r="AU39" i="3435" s="1"/>
  <c r="BC39" i="3435" s="1" a="1"/>
  <c r="BC39" i="3435" s="1"/>
  <c r="BP41" i="3564"/>
  <c r="BW40" i="3564"/>
  <c r="AM33" i="3518" a="1"/>
  <c r="AM33" i="3518" s="1"/>
  <c r="AT33" i="3518" s="1" a="1"/>
  <c r="AT33" i="3518" s="1"/>
  <c r="AF34" i="3518"/>
  <c r="AL40" i="3435"/>
  <c r="AT39" i="3435" a="1"/>
  <c r="AT39" i="3435" s="1"/>
  <c r="BB39" i="3435" s="1" a="1"/>
  <c r="BB39" i="3435" s="1"/>
  <c r="AK35" i="3570" a="1"/>
  <c r="AK35" i="3570" s="1"/>
  <c r="AT35" i="3570" s="1" a="1"/>
  <c r="AT35" i="3570" s="1"/>
  <c r="AB36" i="3570"/>
  <c r="B155" i="3523"/>
  <c r="BP124" i="3448"/>
  <c r="C154" i="3523"/>
  <c r="Q154" i="3523" s="1" a="1"/>
  <c r="Q154" i="3523" s="1"/>
  <c r="BQ123" i="3448"/>
  <c r="AB123" i="3448"/>
  <c r="X124" i="3448"/>
  <c r="AF36" i="3570"/>
  <c r="AO35" i="3570" a="1"/>
  <c r="AO35" i="3570" s="1"/>
  <c r="AX35" i="3570" s="1" a="1"/>
  <c r="AX35" i="3570" s="1"/>
  <c r="AH36" i="3570"/>
  <c r="AQ35" i="3570" a="1"/>
  <c r="AQ35" i="3570" s="1"/>
  <c r="AZ35" i="3570" s="1" a="1"/>
  <c r="AZ35" i="3570" s="1"/>
  <c r="AL35" i="3570" a="1"/>
  <c r="AL35" i="3570" s="1"/>
  <c r="AU35" i="3570" s="1" a="1"/>
  <c r="AU35" i="3570" s="1"/>
  <c r="AC36" i="3570"/>
  <c r="AI36" i="3570"/>
  <c r="AR35" i="3570" a="1"/>
  <c r="AR35" i="3570" s="1"/>
  <c r="BA35" i="3570" s="1" a="1"/>
  <c r="BA35" i="3570" s="1"/>
  <c r="AD122" i="3448"/>
  <c r="Z123" i="3448"/>
  <c r="D155" i="3523"/>
  <c r="V155" i="3523" s="1" a="1"/>
  <c r="V155" i="3523" s="1"/>
  <c r="BR124" i="3448"/>
  <c r="E155" i="3523"/>
  <c r="AA155" i="3523" s="1" a="1"/>
  <c r="AA155" i="3523" s="1"/>
  <c r="BS124" i="3448"/>
  <c r="AW39" i="3435" a="1"/>
  <c r="AW39" i="3435" s="1"/>
  <c r="BE39" i="3435" s="1" a="1"/>
  <c r="BE39" i="3435" s="1"/>
  <c r="AO40" i="3435"/>
  <c r="L154" i="3523" a="1"/>
  <c r="L154" i="3523" s="1"/>
  <c r="AN35" i="3570" a="1"/>
  <c r="AN35" i="3570" s="1"/>
  <c r="AW35" i="3570" s="1" a="1"/>
  <c r="AW35" i="3570" s="1"/>
  <c r="AE36" i="3570"/>
  <c r="AJ33" i="3518" a="1"/>
  <c r="AJ33" i="3518" s="1"/>
  <c r="AQ33" i="3518" s="1" a="1"/>
  <c r="AQ33" i="3518" s="1"/>
  <c r="AC34" i="3518"/>
  <c r="AL39" i="3564" l="1"/>
  <c r="AS38" i="3564"/>
  <c r="BX40" i="3564"/>
  <c r="BQ41" i="3564"/>
  <c r="BH38" i="3564"/>
  <c r="BD39" i="3564"/>
  <c r="BJ38" i="3564"/>
  <c r="BF39" i="3564"/>
  <c r="BU40" i="3564"/>
  <c r="BN41" i="3564"/>
  <c r="AK39" i="3564"/>
  <c r="AR38" i="3564"/>
  <c r="BV40" i="3564"/>
  <c r="BO41" i="3564"/>
  <c r="Z39" i="3564"/>
  <c r="AD38" i="3564"/>
  <c r="BI38" i="3564"/>
  <c r="BE39" i="3564"/>
  <c r="AI39" i="3564"/>
  <c r="AP38" i="3564"/>
  <c r="X38" i="3564"/>
  <c r="AB37" i="3564"/>
  <c r="AC38" i="3564"/>
  <c r="Y39" i="3564"/>
  <c r="BR41" i="3564"/>
  <c r="BY40" i="3564"/>
  <c r="AQ39" i="3564"/>
  <c r="AJ40" i="3564"/>
  <c r="AO38" i="3564"/>
  <c r="AH39" i="3564"/>
  <c r="AM39" i="3564"/>
  <c r="AT38" i="3564"/>
  <c r="AG39" i="3564"/>
  <c r="AN38" i="3564"/>
  <c r="AD123" i="3448"/>
  <c r="Z124" i="3448"/>
  <c r="AB35" i="3435" a="1"/>
  <c r="AB35" i="3435" s="1"/>
  <c r="U36" i="3435"/>
  <c r="F155" i="3523"/>
  <c r="AF155" i="3523" s="1" a="1"/>
  <c r="AF155" i="3523" s="1"/>
  <c r="BT124" i="3448"/>
  <c r="BP42" i="3564"/>
  <c r="BW41" i="3564"/>
  <c r="X37" i="3435"/>
  <c r="AE36" i="3435" a="1"/>
  <c r="AE36" i="3435" s="1"/>
  <c r="AD35" i="3518"/>
  <c r="AK34" i="3518" a="1"/>
  <c r="AK34" i="3518" s="1"/>
  <c r="AR34" i="3518" s="1" a="1"/>
  <c r="AR34" i="3518" s="1"/>
  <c r="AT40" i="3435" a="1"/>
  <c r="AT40" i="3435" s="1"/>
  <c r="BB40" i="3435" s="1" a="1"/>
  <c r="BB40" i="3435" s="1"/>
  <c r="AL41" i="3435"/>
  <c r="Z37" i="3435"/>
  <c r="AG36" i="3435" a="1"/>
  <c r="AG36" i="3435" s="1"/>
  <c r="AE35" i="3518"/>
  <c r="AL34" i="3518" a="1"/>
  <c r="AL34" i="3518" s="1"/>
  <c r="AS34" i="3518" s="1" a="1"/>
  <c r="AS34" i="3518" s="1"/>
  <c r="Y37" i="3435"/>
  <c r="AF36" i="3435" a="1"/>
  <c r="AF36" i="3435" s="1"/>
  <c r="AC126" i="3448"/>
  <c r="Y127" i="3448"/>
  <c r="AU40" i="3435" a="1"/>
  <c r="AU40" i="3435" s="1"/>
  <c r="BC40" i="3435" s="1" a="1"/>
  <c r="BC40" i="3435" s="1"/>
  <c r="AM41" i="3435"/>
  <c r="AA35" i="3518"/>
  <c r="AH34" i="3518" a="1"/>
  <c r="AH34" i="3518" s="1"/>
  <c r="AO34" i="3518" s="1" a="1"/>
  <c r="AO34" i="3518" s="1"/>
  <c r="AC36" i="3435" a="1"/>
  <c r="AC36" i="3435" s="1"/>
  <c r="V37" i="3435"/>
  <c r="A154" i="3523"/>
  <c r="AR36" i="3570" a="1"/>
  <c r="AR36" i="3570" s="1"/>
  <c r="BA36" i="3570" s="1" a="1"/>
  <c r="BA36" i="3570" s="1"/>
  <c r="AI37" i="3570"/>
  <c r="AL36" i="3570" a="1"/>
  <c r="AL36" i="3570" s="1"/>
  <c r="AU36" i="3570" s="1" a="1"/>
  <c r="AU36" i="3570" s="1"/>
  <c r="AC37" i="3570"/>
  <c r="AQ41" i="3435"/>
  <c r="AY40" i="3435" a="1"/>
  <c r="AY40" i="3435" s="1"/>
  <c r="BG40" i="3435" s="1" a="1"/>
  <c r="BG40" i="3435" s="1"/>
  <c r="AJ34" i="3518" a="1"/>
  <c r="AJ34" i="3518" s="1"/>
  <c r="AQ34" i="3518" s="1" a="1"/>
  <c r="AQ34" i="3518" s="1"/>
  <c r="AC35" i="3518"/>
  <c r="AF37" i="3570"/>
  <c r="AO36" i="3570" a="1"/>
  <c r="AO36" i="3570" s="1"/>
  <c r="AX36" i="3570" s="1" a="1"/>
  <c r="AX36" i="3570" s="1"/>
  <c r="AD37" i="3570"/>
  <c r="AM36" i="3570" a="1"/>
  <c r="AM36" i="3570" s="1"/>
  <c r="AV36" i="3570" s="1" a="1"/>
  <c r="AV36" i="3570" s="1"/>
  <c r="AM34" i="3518" a="1"/>
  <c r="AM34" i="3518" s="1"/>
  <c r="AT34" i="3518" s="1" a="1"/>
  <c r="AT34" i="3518" s="1"/>
  <c r="AF35" i="3518"/>
  <c r="AN41" i="3435"/>
  <c r="AV40" i="3435" a="1"/>
  <c r="AV40" i="3435" s="1"/>
  <c r="BD40" i="3435" s="1" a="1"/>
  <c r="BD40" i="3435" s="1"/>
  <c r="AD36" i="3435" a="1"/>
  <c r="AD36" i="3435" s="1"/>
  <c r="W37" i="3435"/>
  <c r="L155" i="3523" a="1"/>
  <c r="L155" i="3523" s="1"/>
  <c r="AP41" i="3435"/>
  <c r="AX40" i="3435" a="1"/>
  <c r="AX40" i="3435" s="1"/>
  <c r="BF40" i="3435" s="1" a="1"/>
  <c r="BF40" i="3435" s="1"/>
  <c r="AE37" i="3570"/>
  <c r="AN36" i="3570" a="1"/>
  <c r="AN36" i="3570" s="1"/>
  <c r="AW36" i="3570" s="1" a="1"/>
  <c r="AW36" i="3570" s="1"/>
  <c r="CA42" i="3564"/>
  <c r="BT43" i="3564"/>
  <c r="AS40" i="3435" a="1"/>
  <c r="AS40" i="3435" s="1"/>
  <c r="BA40" i="3435" s="1" a="1"/>
  <c r="BA40" i="3435" s="1"/>
  <c r="AK41" i="3435"/>
  <c r="B156" i="3523"/>
  <c r="BP125" i="3448"/>
  <c r="BZ126" i="3448"/>
  <c r="CG125" i="3448"/>
  <c r="X125" i="3448"/>
  <c r="AB124" i="3448"/>
  <c r="AO41" i="3435"/>
  <c r="AW40" i="3435" a="1"/>
  <c r="AW40" i="3435" s="1"/>
  <c r="BE40" i="3435" s="1" a="1"/>
  <c r="BE40" i="3435" s="1"/>
  <c r="AG37" i="3570"/>
  <c r="AP36" i="3570" a="1"/>
  <c r="AP36" i="3570" s="1"/>
  <c r="AY36" i="3570" s="1" a="1"/>
  <c r="AY36" i="3570" s="1"/>
  <c r="E156" i="3523"/>
  <c r="AA156" i="3523" s="1" a="1"/>
  <c r="AA156" i="3523" s="1"/>
  <c r="BS125" i="3448"/>
  <c r="D156" i="3523"/>
  <c r="V156" i="3523" s="1" a="1"/>
  <c r="V156" i="3523" s="1"/>
  <c r="BR125" i="3448"/>
  <c r="AK36" i="3570" a="1"/>
  <c r="AK36" i="3570" s="1"/>
  <c r="AT36" i="3570" s="1" a="1"/>
  <c r="AT36" i="3570" s="1"/>
  <c r="AB37" i="3570"/>
  <c r="AB35" i="3518"/>
  <c r="AI34" i="3518" a="1"/>
  <c r="AI34" i="3518" s="1"/>
  <c r="AP34" i="3518" s="1" a="1"/>
  <c r="AP34" i="3518" s="1"/>
  <c r="AH37" i="3570"/>
  <c r="AQ36" i="3570" a="1"/>
  <c r="AQ36" i="3570" s="1"/>
  <c r="AZ36" i="3570" s="1" a="1"/>
  <c r="AZ36" i="3570" s="1"/>
  <c r="BZ42" i="3564"/>
  <c r="BS43" i="3564"/>
  <c r="C155" i="3523"/>
  <c r="Q155" i="3523" s="1" a="1"/>
  <c r="Q155" i="3523" s="1"/>
  <c r="BQ124" i="3448"/>
  <c r="AC39" i="3564" l="1"/>
  <c r="Y40" i="3564"/>
  <c r="AB38" i="3564"/>
  <c r="X39" i="3564"/>
  <c r="AI40" i="3564"/>
  <c r="AP39" i="3564"/>
  <c r="BI39" i="3564"/>
  <c r="BE40" i="3564"/>
  <c r="Z40" i="3564"/>
  <c r="AD39" i="3564"/>
  <c r="BU41" i="3564"/>
  <c r="BN42" i="3564"/>
  <c r="AM40" i="3564"/>
  <c r="AT39" i="3564"/>
  <c r="AH40" i="3564"/>
  <c r="AO39" i="3564"/>
  <c r="BH39" i="3564"/>
  <c r="BD40" i="3564"/>
  <c r="BO42" i="3564"/>
  <c r="BV41" i="3564"/>
  <c r="AJ41" i="3564"/>
  <c r="AQ40" i="3564"/>
  <c r="BQ42" i="3564"/>
  <c r="BX41" i="3564"/>
  <c r="AN39" i="3564"/>
  <c r="AG40" i="3564"/>
  <c r="AK40" i="3564"/>
  <c r="AR39" i="3564"/>
  <c r="BJ39" i="3564"/>
  <c r="BF40" i="3564"/>
  <c r="BY41" i="3564"/>
  <c r="BR42" i="3564"/>
  <c r="AL40" i="3564"/>
  <c r="AS39" i="3564"/>
  <c r="AE36" i="3518"/>
  <c r="AL35" i="3518" a="1"/>
  <c r="AL35" i="3518" s="1"/>
  <c r="AS35" i="3518" s="1" a="1"/>
  <c r="AS35" i="3518" s="1"/>
  <c r="Z38" i="3435"/>
  <c r="AG37" i="3435" a="1"/>
  <c r="AG37" i="3435" s="1"/>
  <c r="AT41" i="3435" a="1"/>
  <c r="AT41" i="3435" s="1"/>
  <c r="BB41" i="3435" s="1" a="1"/>
  <c r="BB41" i="3435" s="1"/>
  <c r="AL42" i="3435"/>
  <c r="AC38" i="3570"/>
  <c r="AL37" i="3570" a="1"/>
  <c r="AL37" i="3570" s="1"/>
  <c r="AU37" i="3570" s="1" a="1"/>
  <c r="AU37" i="3570" s="1"/>
  <c r="AN37" i="3570" a="1"/>
  <c r="AN37" i="3570" s="1"/>
  <c r="AW37" i="3570" s="1" a="1"/>
  <c r="AW37" i="3570" s="1"/>
  <c r="AE38" i="3570"/>
  <c r="AR37" i="3570" a="1"/>
  <c r="AR37" i="3570" s="1"/>
  <c r="BA37" i="3570" s="1" a="1"/>
  <c r="BA37" i="3570" s="1"/>
  <c r="AI38" i="3570"/>
  <c r="AD36" i="3518"/>
  <c r="AK35" i="3518" a="1"/>
  <c r="AK35" i="3518" s="1"/>
  <c r="AR35" i="3518" s="1" a="1"/>
  <c r="AR35" i="3518" s="1"/>
  <c r="AP42" i="3435"/>
  <c r="AX41" i="3435" a="1"/>
  <c r="AX41" i="3435" s="1"/>
  <c r="BF41" i="3435" s="1" a="1"/>
  <c r="BF41" i="3435" s="1"/>
  <c r="X38" i="3435"/>
  <c r="AE37" i="3435" a="1"/>
  <c r="AE37" i="3435" s="1"/>
  <c r="BW42" i="3564"/>
  <c r="BP43" i="3564"/>
  <c r="F156" i="3523"/>
  <c r="AF156" i="3523" s="1" a="1"/>
  <c r="AF156" i="3523" s="1"/>
  <c r="BT125" i="3448"/>
  <c r="A155" i="3523"/>
  <c r="AH35" i="3518" a="1"/>
  <c r="AH35" i="3518" s="1"/>
  <c r="AO35" i="3518" s="1" a="1"/>
  <c r="AO35" i="3518" s="1"/>
  <c r="AA36" i="3518"/>
  <c r="AY41" i="3435" a="1"/>
  <c r="AY41" i="3435" s="1"/>
  <c r="BG41" i="3435" s="1" a="1"/>
  <c r="BG41" i="3435" s="1"/>
  <c r="AQ42" i="3435"/>
  <c r="BZ43" i="3564"/>
  <c r="BS44" i="3564"/>
  <c r="AH38" i="3570"/>
  <c r="AQ37" i="3570" a="1"/>
  <c r="AQ37" i="3570" s="1"/>
  <c r="AZ37" i="3570" s="1" a="1"/>
  <c r="AZ37" i="3570" s="1"/>
  <c r="L156" i="3523" a="1"/>
  <c r="L156" i="3523" s="1"/>
  <c r="AD38" i="3570"/>
  <c r="AM37" i="3570" a="1"/>
  <c r="AM37" i="3570" s="1"/>
  <c r="AV37" i="3570" s="1" a="1"/>
  <c r="AV37" i="3570" s="1"/>
  <c r="AC127" i="3448"/>
  <c r="Y128" i="3448"/>
  <c r="U37" i="3435"/>
  <c r="AB36" i="3435" a="1"/>
  <c r="AB36" i="3435" s="1"/>
  <c r="AO42" i="3435"/>
  <c r="AW41" i="3435" a="1"/>
  <c r="AW41" i="3435" s="1"/>
  <c r="BE41" i="3435" s="1" a="1"/>
  <c r="BE41" i="3435" s="1"/>
  <c r="AM42" i="3435"/>
  <c r="AU41" i="3435" a="1"/>
  <c r="AU41" i="3435" s="1"/>
  <c r="BC41" i="3435" s="1" a="1"/>
  <c r="BC41" i="3435" s="1"/>
  <c r="X126" i="3448"/>
  <c r="AB125" i="3448"/>
  <c r="AN42" i="3435"/>
  <c r="AV41" i="3435" a="1"/>
  <c r="AV41" i="3435" s="1"/>
  <c r="BD41" i="3435" s="1" a="1"/>
  <c r="BD41" i="3435" s="1"/>
  <c r="AM35" i="3518" a="1"/>
  <c r="AM35" i="3518" s="1"/>
  <c r="AT35" i="3518" s="1" a="1"/>
  <c r="AT35" i="3518" s="1"/>
  <c r="AF36" i="3518"/>
  <c r="Z125" i="3448"/>
  <c r="AD124" i="3448"/>
  <c r="W38" i="3435"/>
  <c r="AD37" i="3435" a="1"/>
  <c r="AD37" i="3435" s="1"/>
  <c r="B157" i="3523"/>
  <c r="BP126" i="3448"/>
  <c r="AJ35" i="3518" a="1"/>
  <c r="AJ35" i="3518" s="1"/>
  <c r="AQ35" i="3518" s="1" a="1"/>
  <c r="AQ35" i="3518" s="1"/>
  <c r="AC36" i="3518"/>
  <c r="Y38" i="3435"/>
  <c r="AF37" i="3435" a="1"/>
  <c r="AF37" i="3435" s="1"/>
  <c r="AP37" i="3570" a="1"/>
  <c r="AP37" i="3570" s="1"/>
  <c r="AY37" i="3570" s="1" a="1"/>
  <c r="AY37" i="3570" s="1"/>
  <c r="AG38" i="3570"/>
  <c r="AC37" i="3435" a="1"/>
  <c r="AC37" i="3435" s="1"/>
  <c r="V38" i="3435"/>
  <c r="BZ127" i="3448"/>
  <c r="CG126" i="3448"/>
  <c r="AI35" i="3518" a="1"/>
  <c r="AI35" i="3518" s="1"/>
  <c r="AP35" i="3518" s="1" a="1"/>
  <c r="AP35" i="3518" s="1"/>
  <c r="AB36" i="3518"/>
  <c r="AS41" i="3435" a="1"/>
  <c r="AS41" i="3435" s="1"/>
  <c r="BA41" i="3435" s="1" a="1"/>
  <c r="BA41" i="3435" s="1"/>
  <c r="AK42" i="3435"/>
  <c r="AO37" i="3570" a="1"/>
  <c r="AO37" i="3570" s="1"/>
  <c r="AX37" i="3570" s="1" a="1"/>
  <c r="AX37" i="3570" s="1"/>
  <c r="AF38" i="3570"/>
  <c r="C156" i="3523"/>
  <c r="Q156" i="3523" s="1" a="1"/>
  <c r="Q156" i="3523" s="1"/>
  <c r="BQ125" i="3448"/>
  <c r="AB38" i="3570"/>
  <c r="AK37" i="3570" a="1"/>
  <c r="AK37" i="3570" s="1"/>
  <c r="AT37" i="3570" s="1" a="1"/>
  <c r="AT37" i="3570" s="1"/>
  <c r="BT44" i="3564"/>
  <c r="CA43" i="3564"/>
  <c r="D157" i="3523"/>
  <c r="V157" i="3523" s="1" a="1"/>
  <c r="V157" i="3523" s="1"/>
  <c r="BR126" i="3448"/>
  <c r="E157" i="3523"/>
  <c r="AA157" i="3523" s="1" a="1"/>
  <c r="AA157" i="3523" s="1"/>
  <c r="BS126" i="3448"/>
  <c r="BX42" i="3564" l="1"/>
  <c r="BQ43" i="3564"/>
  <c r="AJ42" i="3564"/>
  <c r="AQ41" i="3564"/>
  <c r="BO43" i="3564"/>
  <c r="BV42" i="3564"/>
  <c r="BH40" i="3564"/>
  <c r="BD41" i="3564"/>
  <c r="AO40" i="3564"/>
  <c r="AH41" i="3564"/>
  <c r="AT40" i="3564"/>
  <c r="AM41" i="3564"/>
  <c r="BU42" i="3564"/>
  <c r="BN43" i="3564"/>
  <c r="AL41" i="3564"/>
  <c r="AS40" i="3564"/>
  <c r="BE41" i="3564"/>
  <c r="BI40" i="3564"/>
  <c r="BR43" i="3564"/>
  <c r="BY42" i="3564"/>
  <c r="BJ40" i="3564"/>
  <c r="BF41" i="3564"/>
  <c r="AD40" i="3564"/>
  <c r="Z41" i="3564"/>
  <c r="AP40" i="3564"/>
  <c r="AI41" i="3564"/>
  <c r="X40" i="3564"/>
  <c r="AB39" i="3564"/>
  <c r="AR40" i="3564"/>
  <c r="AK41" i="3564"/>
  <c r="AG41" i="3564"/>
  <c r="AN40" i="3564"/>
  <c r="Y41" i="3564"/>
  <c r="AC40" i="3564"/>
  <c r="AO38" i="3570" a="1"/>
  <c r="AO38" i="3570" s="1"/>
  <c r="AX38" i="3570" s="1" a="1"/>
  <c r="AX38" i="3570" s="1"/>
  <c r="AF39" i="3570"/>
  <c r="BS45" i="3564"/>
  <c r="BZ44" i="3564"/>
  <c r="AX42" i="3435" a="1"/>
  <c r="AX42" i="3435" s="1"/>
  <c r="BF42" i="3435" s="1" a="1"/>
  <c r="BF42" i="3435" s="1"/>
  <c r="AP43" i="3435"/>
  <c r="AD37" i="3518"/>
  <c r="AK36" i="3518" a="1"/>
  <c r="AK36" i="3518" s="1"/>
  <c r="AR36" i="3518" s="1" a="1"/>
  <c r="AR36" i="3518" s="1"/>
  <c r="AI39" i="3570"/>
  <c r="AR38" i="3570" a="1"/>
  <c r="AR38" i="3570" s="1"/>
  <c r="BA38" i="3570" s="1" a="1"/>
  <c r="BA38" i="3570" s="1"/>
  <c r="AN38" i="3570" a="1"/>
  <c r="AN38" i="3570" s="1"/>
  <c r="AW38" i="3570" s="1" a="1"/>
  <c r="AW38" i="3570" s="1"/>
  <c r="AE39" i="3570"/>
  <c r="AY42" i="3435" a="1"/>
  <c r="AY42" i="3435" s="1"/>
  <c r="BG42" i="3435" s="1" a="1"/>
  <c r="BG42" i="3435" s="1"/>
  <c r="AQ43" i="3435"/>
  <c r="AH39" i="3570"/>
  <c r="AQ38" i="3570" a="1"/>
  <c r="AQ38" i="3570" s="1"/>
  <c r="AZ38" i="3570" s="1" a="1"/>
  <c r="AZ38" i="3570" s="1"/>
  <c r="X127" i="3448"/>
  <c r="AB126" i="3448"/>
  <c r="Z126" i="3448"/>
  <c r="AD125" i="3448"/>
  <c r="AU42" i="3435" a="1"/>
  <c r="AU42" i="3435" s="1"/>
  <c r="BC42" i="3435" s="1" a="1"/>
  <c r="BC42" i="3435" s="1"/>
  <c r="AM43" i="3435"/>
  <c r="AA37" i="3518"/>
  <c r="AH36" i="3518" a="1"/>
  <c r="AH36" i="3518" s="1"/>
  <c r="AO36" i="3518" s="1" a="1"/>
  <c r="AO36" i="3518" s="1"/>
  <c r="AF37" i="3518"/>
  <c r="AM36" i="3518" a="1"/>
  <c r="AM36" i="3518" s="1"/>
  <c r="AT36" i="3518" s="1" a="1"/>
  <c r="AT36" i="3518" s="1"/>
  <c r="AW42" i="3435" a="1"/>
  <c r="AW42" i="3435" s="1"/>
  <c r="BE42" i="3435" s="1" a="1"/>
  <c r="BE42" i="3435" s="1"/>
  <c r="AO43" i="3435"/>
  <c r="AC39" i="3570"/>
  <c r="AL38" i="3570" a="1"/>
  <c r="AL38" i="3570" s="1"/>
  <c r="AU38" i="3570" s="1" a="1"/>
  <c r="AU38" i="3570" s="1"/>
  <c r="E158" i="3523"/>
  <c r="AA158" i="3523" s="1" a="1"/>
  <c r="AA158" i="3523" s="1"/>
  <c r="BS127" i="3448"/>
  <c r="CG127" i="3448"/>
  <c r="BZ128" i="3448"/>
  <c r="AL43" i="3435"/>
  <c r="AT42" i="3435" a="1"/>
  <c r="AT42" i="3435" s="1"/>
  <c r="BB42" i="3435" s="1" a="1"/>
  <c r="BB42" i="3435" s="1"/>
  <c r="AV42" i="3435" a="1"/>
  <c r="AV42" i="3435" s="1"/>
  <c r="BD42" i="3435" s="1" a="1"/>
  <c r="BD42" i="3435" s="1"/>
  <c r="AN43" i="3435"/>
  <c r="AG39" i="3570"/>
  <c r="AP38" i="3570" a="1"/>
  <c r="AP38" i="3570" s="1"/>
  <c r="AY38" i="3570" s="1" a="1"/>
  <c r="AY38" i="3570" s="1"/>
  <c r="BT45" i="3564"/>
  <c r="CA44" i="3564"/>
  <c r="F157" i="3523"/>
  <c r="AF157" i="3523" s="1" a="1"/>
  <c r="AF157" i="3523" s="1"/>
  <c r="BT126" i="3448"/>
  <c r="Y39" i="3435"/>
  <c r="AF38" i="3435" a="1"/>
  <c r="AF38" i="3435" s="1"/>
  <c r="Y129" i="3448"/>
  <c r="AC128" i="3448"/>
  <c r="AB39" i="3570"/>
  <c r="AK38" i="3570" a="1"/>
  <c r="AK38" i="3570" s="1"/>
  <c r="AT38" i="3570" s="1" a="1"/>
  <c r="AT38" i="3570" s="1"/>
  <c r="AM38" i="3570" a="1"/>
  <c r="AM38" i="3570" s="1"/>
  <c r="AV38" i="3570" s="1" a="1"/>
  <c r="AV38" i="3570" s="1"/>
  <c r="AD39" i="3570"/>
  <c r="BW43" i="3564"/>
  <c r="BP44" i="3564"/>
  <c r="AK43" i="3435"/>
  <c r="AS42" i="3435" a="1"/>
  <c r="AS42" i="3435" s="1"/>
  <c r="BA42" i="3435" s="1" a="1"/>
  <c r="BA42" i="3435" s="1"/>
  <c r="AB37" i="3518"/>
  <c r="AI36" i="3518" a="1"/>
  <c r="AI36" i="3518" s="1"/>
  <c r="AP36" i="3518" s="1" a="1"/>
  <c r="AP36" i="3518" s="1"/>
  <c r="AC37" i="3518"/>
  <c r="AJ36" i="3518" a="1"/>
  <c r="AJ36" i="3518" s="1"/>
  <c r="AQ36" i="3518" s="1" a="1"/>
  <c r="AQ36" i="3518" s="1"/>
  <c r="U38" i="3435"/>
  <c r="AB37" i="3435" a="1"/>
  <c r="AB37" i="3435" s="1"/>
  <c r="B158" i="3523"/>
  <c r="BP127" i="3448"/>
  <c r="AD38" i="3435" a="1"/>
  <c r="AD38" i="3435" s="1"/>
  <c r="W39" i="3435"/>
  <c r="A156" i="3523"/>
  <c r="AG38" i="3435" a="1"/>
  <c r="AG38" i="3435" s="1"/>
  <c r="Z39" i="3435"/>
  <c r="D158" i="3523"/>
  <c r="V158" i="3523" s="1" a="1"/>
  <c r="V158" i="3523" s="1"/>
  <c r="BR127" i="3448"/>
  <c r="L157" i="3523" a="1"/>
  <c r="L157" i="3523" s="1"/>
  <c r="C157" i="3523"/>
  <c r="Q157" i="3523" s="1" a="1"/>
  <c r="Q157" i="3523" s="1"/>
  <c r="BQ126" i="3448"/>
  <c r="AC38" i="3435" a="1"/>
  <c r="AC38" i="3435" s="1"/>
  <c r="V39" i="3435"/>
  <c r="AE38" i="3435" a="1"/>
  <c r="AE38" i="3435" s="1"/>
  <c r="X39" i="3435"/>
  <c r="AE37" i="3518"/>
  <c r="AL36" i="3518" a="1"/>
  <c r="AL36" i="3518" s="1"/>
  <c r="AS36" i="3518" s="1" a="1"/>
  <c r="AS36" i="3518" s="1"/>
  <c r="AD41" i="3564" l="1"/>
  <c r="Z42" i="3564"/>
  <c r="BF42" i="3564"/>
  <c r="BJ41" i="3564"/>
  <c r="BR44" i="3564"/>
  <c r="BY43" i="3564"/>
  <c r="BE42" i="3564"/>
  <c r="BI41" i="3564"/>
  <c r="AL42" i="3564"/>
  <c r="AS41" i="3564"/>
  <c r="BU43" i="3564"/>
  <c r="BN44" i="3564"/>
  <c r="AM42" i="3564"/>
  <c r="AT41" i="3564"/>
  <c r="AO41" i="3564"/>
  <c r="AH42" i="3564"/>
  <c r="Y42" i="3564"/>
  <c r="AC41" i="3564"/>
  <c r="BD42" i="3564"/>
  <c r="BH41" i="3564"/>
  <c r="AG42" i="3564"/>
  <c r="AN41" i="3564"/>
  <c r="AR41" i="3564"/>
  <c r="AK42" i="3564"/>
  <c r="BO44" i="3564"/>
  <c r="BV43" i="3564"/>
  <c r="AB40" i="3564"/>
  <c r="X41" i="3564"/>
  <c r="AQ42" i="3564"/>
  <c r="AJ43" i="3564"/>
  <c r="AP41" i="3564"/>
  <c r="AI42" i="3564"/>
  <c r="BX43" i="3564"/>
  <c r="BQ44" i="3564"/>
  <c r="Z127" i="3448"/>
  <c r="AD126" i="3448"/>
  <c r="AD39" i="3435" a="1"/>
  <c r="AD39" i="3435" s="1"/>
  <c r="W40" i="3435"/>
  <c r="AB127" i="3448"/>
  <c r="X128" i="3448"/>
  <c r="E159" i="3523"/>
  <c r="AA159" i="3523" s="1" a="1"/>
  <c r="AA159" i="3523" s="1"/>
  <c r="BS128" i="3448"/>
  <c r="AC129" i="3448"/>
  <c r="Y130" i="3448"/>
  <c r="AH40" i="3570"/>
  <c r="AQ39" i="3570" a="1"/>
  <c r="AQ39" i="3570" s="1"/>
  <c r="AZ39" i="3570" s="1" a="1"/>
  <c r="AZ39" i="3570" s="1"/>
  <c r="X40" i="3435"/>
  <c r="AE39" i="3435" a="1"/>
  <c r="AE39" i="3435" s="1"/>
  <c r="F158" i="3523"/>
  <c r="AF158" i="3523" s="1" a="1"/>
  <c r="AF158" i="3523" s="1"/>
  <c r="BT127" i="3448"/>
  <c r="AQ44" i="3435"/>
  <c r="AY43" i="3435" a="1"/>
  <c r="AY43" i="3435" s="1"/>
  <c r="BG43" i="3435" s="1" a="1"/>
  <c r="BG43" i="3435" s="1"/>
  <c r="AJ37" i="3518" a="1"/>
  <c r="AJ37" i="3518" s="1"/>
  <c r="AQ37" i="3518" s="1" a="1"/>
  <c r="AQ37" i="3518" s="1"/>
  <c r="AC38" i="3518"/>
  <c r="CG128" i="3448"/>
  <c r="BZ129" i="3448"/>
  <c r="AC40" i="3570"/>
  <c r="AL39" i="3570" a="1"/>
  <c r="AL39" i="3570" s="1"/>
  <c r="AU39" i="3570" s="1" a="1"/>
  <c r="AU39" i="3570" s="1"/>
  <c r="AW43" i="3435" a="1"/>
  <c r="AW43" i="3435" s="1"/>
  <c r="BE43" i="3435" s="1" a="1"/>
  <c r="BE43" i="3435" s="1"/>
  <c r="AO44" i="3435"/>
  <c r="C158" i="3523"/>
  <c r="Q158" i="3523" s="1" a="1"/>
  <c r="Q158" i="3523" s="1"/>
  <c r="BQ127" i="3448"/>
  <c r="AE40" i="3570"/>
  <c r="AN39" i="3570" a="1"/>
  <c r="AN39" i="3570" s="1"/>
  <c r="AW39" i="3570" s="1" a="1"/>
  <c r="AW39" i="3570" s="1"/>
  <c r="A157" i="3523"/>
  <c r="AL37" i="3518" a="1"/>
  <c r="AL37" i="3518" s="1"/>
  <c r="AS37" i="3518" s="1" a="1"/>
  <c r="AS37" i="3518" s="1"/>
  <c r="AE38" i="3518"/>
  <c r="CA45" i="3564"/>
  <c r="BT46" i="3564"/>
  <c r="AR39" i="3570" a="1"/>
  <c r="AR39" i="3570" s="1"/>
  <c r="BA39" i="3570" s="1" a="1"/>
  <c r="BA39" i="3570" s="1"/>
  <c r="AI40" i="3570"/>
  <c r="AP44" i="3435"/>
  <c r="AX43" i="3435" a="1"/>
  <c r="AX43" i="3435" s="1"/>
  <c r="BF43" i="3435" s="1" a="1"/>
  <c r="BF43" i="3435" s="1"/>
  <c r="L158" i="3523" a="1"/>
  <c r="L158" i="3523" s="1"/>
  <c r="AG40" i="3570"/>
  <c r="AP39" i="3570" a="1"/>
  <c r="AP39" i="3570" s="1"/>
  <c r="AY39" i="3570" s="1" a="1"/>
  <c r="AY39" i="3570" s="1"/>
  <c r="B159" i="3523"/>
  <c r="BP128" i="3448"/>
  <c r="AM37" i="3518" a="1"/>
  <c r="AM37" i="3518" s="1"/>
  <c r="AT37" i="3518" s="1" a="1"/>
  <c r="AT37" i="3518" s="1"/>
  <c r="AF38" i="3518"/>
  <c r="AK44" i="3435"/>
  <c r="AS43" i="3435" a="1"/>
  <c r="AS43" i="3435" s="1"/>
  <c r="BA43" i="3435" s="1" a="1"/>
  <c r="BA43" i="3435" s="1"/>
  <c r="AD40" i="3570"/>
  <c r="AM39" i="3570" a="1"/>
  <c r="AM39" i="3570" s="1"/>
  <c r="AV39" i="3570" s="1" a="1"/>
  <c r="AV39" i="3570" s="1"/>
  <c r="AN44" i="3435"/>
  <c r="AV43" i="3435" a="1"/>
  <c r="AV43" i="3435" s="1"/>
  <c r="BD43" i="3435" s="1" a="1"/>
  <c r="BD43" i="3435" s="1"/>
  <c r="AB38" i="3435" a="1"/>
  <c r="AB38" i="3435" s="1"/>
  <c r="U39" i="3435"/>
  <c r="AC39" i="3435" a="1"/>
  <c r="AC39" i="3435" s="1"/>
  <c r="V40" i="3435"/>
  <c r="AI37" i="3518" a="1"/>
  <c r="AI37" i="3518" s="1"/>
  <c r="AP37" i="3518" s="1" a="1"/>
  <c r="AP37" i="3518" s="1"/>
  <c r="AB38" i="3518"/>
  <c r="BZ45" i="3564"/>
  <c r="BS46" i="3564"/>
  <c r="AH37" i="3518" a="1"/>
  <c r="AH37" i="3518" s="1"/>
  <c r="AO37" i="3518" s="1" a="1"/>
  <c r="AO37" i="3518" s="1"/>
  <c r="AA38" i="3518"/>
  <c r="BW44" i="3564"/>
  <c r="BP45" i="3564"/>
  <c r="AU43" i="3435" a="1"/>
  <c r="AU43" i="3435" s="1"/>
  <c r="BC43" i="3435" s="1" a="1"/>
  <c r="BC43" i="3435" s="1"/>
  <c r="AM44" i="3435"/>
  <c r="AF40" i="3570"/>
  <c r="AO39" i="3570" a="1"/>
  <c r="AO39" i="3570" s="1"/>
  <c r="AX39" i="3570" s="1" a="1"/>
  <c r="AX39" i="3570" s="1"/>
  <c r="Y40" i="3435"/>
  <c r="AF39" i="3435" a="1"/>
  <c r="AF39" i="3435" s="1"/>
  <c r="AK37" i="3518" a="1"/>
  <c r="AK37" i="3518" s="1"/>
  <c r="AR37" i="3518" s="1" a="1"/>
  <c r="AR37" i="3518" s="1"/>
  <c r="AD38" i="3518"/>
  <c r="D159" i="3523"/>
  <c r="V159" i="3523" s="1" a="1"/>
  <c r="V159" i="3523" s="1"/>
  <c r="BR128" i="3448"/>
  <c r="Z40" i="3435"/>
  <c r="AG39" i="3435" a="1"/>
  <c r="AG39" i="3435" s="1"/>
  <c r="AB40" i="3570"/>
  <c r="AK39" i="3570" a="1"/>
  <c r="AK39" i="3570" s="1"/>
  <c r="AT39" i="3570" s="1" a="1"/>
  <c r="AT39" i="3570" s="1"/>
  <c r="AT43" i="3435" a="1"/>
  <c r="AT43" i="3435" s="1"/>
  <c r="BB43" i="3435" s="1" a="1"/>
  <c r="BB43" i="3435" s="1"/>
  <c r="AL44" i="3435"/>
  <c r="AK43" i="3564" l="1"/>
  <c r="AR42" i="3564"/>
  <c r="AG43" i="3564"/>
  <c r="AN42" i="3564"/>
  <c r="BH42" i="3564"/>
  <c r="BD43" i="3564"/>
  <c r="AC42" i="3564"/>
  <c r="Y43" i="3564"/>
  <c r="AO42" i="3564"/>
  <c r="AH43" i="3564"/>
  <c r="AT42" i="3564"/>
  <c r="AM43" i="3564"/>
  <c r="BU44" i="3564"/>
  <c r="BN45" i="3564"/>
  <c r="AL43" i="3564"/>
  <c r="AS42" i="3564"/>
  <c r="BE43" i="3564"/>
  <c r="BI42" i="3564"/>
  <c r="AJ44" i="3564"/>
  <c r="AQ43" i="3564"/>
  <c r="BR45" i="3564"/>
  <c r="BY44" i="3564"/>
  <c r="X42" i="3564"/>
  <c r="AB41" i="3564"/>
  <c r="AP42" i="3564"/>
  <c r="AI43" i="3564"/>
  <c r="BJ42" i="3564"/>
  <c r="BF43" i="3564"/>
  <c r="BX44" i="3564"/>
  <c r="BQ45" i="3564"/>
  <c r="Z43" i="3564"/>
  <c r="AD42" i="3564"/>
  <c r="BO45" i="3564"/>
  <c r="BV44" i="3564"/>
  <c r="AX44" i="3435" a="1"/>
  <c r="AX44" i="3435" s="1"/>
  <c r="BF44" i="3435" s="1" a="1"/>
  <c r="BF44" i="3435" s="1"/>
  <c r="AP45" i="3435"/>
  <c r="AR40" i="3570" a="1"/>
  <c r="AR40" i="3570" s="1"/>
  <c r="BA40" i="3570" s="1" a="1"/>
  <c r="BA40" i="3570" s="1"/>
  <c r="AI41" i="3570"/>
  <c r="AQ45" i="3435"/>
  <c r="AY44" i="3435" a="1"/>
  <c r="AY44" i="3435" s="1"/>
  <c r="BG44" i="3435" s="1" a="1"/>
  <c r="BG44" i="3435" s="1"/>
  <c r="AS44" i="3435" a="1"/>
  <c r="AS44" i="3435" s="1"/>
  <c r="BA44" i="3435" s="1" a="1"/>
  <c r="BA44" i="3435" s="1"/>
  <c r="AK45" i="3435"/>
  <c r="F159" i="3523"/>
  <c r="AF159" i="3523" s="1" a="1"/>
  <c r="AF159" i="3523" s="1"/>
  <c r="BT128" i="3448"/>
  <c r="AE39" i="3518"/>
  <c r="AL38" i="3518" a="1"/>
  <c r="AL38" i="3518" s="1"/>
  <c r="AS38" i="3518" s="1" a="1"/>
  <c r="AS38" i="3518" s="1"/>
  <c r="AA39" i="3518"/>
  <c r="AH38" i="3518" a="1"/>
  <c r="AH38" i="3518" s="1"/>
  <c r="AO38" i="3518" s="1" a="1"/>
  <c r="AO38" i="3518" s="1"/>
  <c r="AE40" i="3435" a="1"/>
  <c r="AE40" i="3435" s="1"/>
  <c r="X41" i="3435"/>
  <c r="AQ40" i="3570" a="1"/>
  <c r="AQ40" i="3570" s="1"/>
  <c r="AZ40" i="3570" s="1" a="1"/>
  <c r="AZ40" i="3570" s="1"/>
  <c r="AH41" i="3570"/>
  <c r="BZ46" i="3564"/>
  <c r="BS47" i="3564"/>
  <c r="Y131" i="3448"/>
  <c r="AC130" i="3448"/>
  <c r="AK40" i="3570" a="1"/>
  <c r="AK40" i="3570" s="1"/>
  <c r="AT40" i="3570" s="1" a="1"/>
  <c r="AT40" i="3570" s="1"/>
  <c r="AB41" i="3570"/>
  <c r="E160" i="3523"/>
  <c r="AA160" i="3523" s="1" a="1"/>
  <c r="AA160" i="3523" s="1"/>
  <c r="BS129" i="3448"/>
  <c r="L159" i="3523" a="1"/>
  <c r="L159" i="3523" s="1"/>
  <c r="AO45" i="3435"/>
  <c r="AW44" i="3435" a="1"/>
  <c r="AW44" i="3435" s="1"/>
  <c r="BE44" i="3435" s="1" a="1"/>
  <c r="BE44" i="3435" s="1"/>
  <c r="X129" i="3448"/>
  <c r="AB128" i="3448"/>
  <c r="D160" i="3523"/>
  <c r="V160" i="3523" s="1" a="1"/>
  <c r="V160" i="3523" s="1"/>
  <c r="BR129" i="3448"/>
  <c r="AB39" i="3518"/>
  <c r="AI38" i="3518" a="1"/>
  <c r="AI38" i="3518" s="1"/>
  <c r="AP38" i="3518" s="1" a="1"/>
  <c r="AP38" i="3518" s="1"/>
  <c r="CG129" i="3448"/>
  <c r="BZ130" i="3448"/>
  <c r="AD40" i="3435" a="1"/>
  <c r="AD40" i="3435" s="1"/>
  <c r="W41" i="3435"/>
  <c r="AD39" i="3518"/>
  <c r="AK38" i="3518" a="1"/>
  <c r="AK38" i="3518" s="1"/>
  <c r="AR38" i="3518" s="1" a="1"/>
  <c r="AR38" i="3518" s="1"/>
  <c r="AC40" i="3435" a="1"/>
  <c r="AC40" i="3435" s="1"/>
  <c r="V41" i="3435"/>
  <c r="AF39" i="3518"/>
  <c r="AM38" i="3518" a="1"/>
  <c r="AM38" i="3518" s="1"/>
  <c r="AT38" i="3518" s="1" a="1"/>
  <c r="AT38" i="3518" s="1"/>
  <c r="AE41" i="3570"/>
  <c r="AN40" i="3570" a="1"/>
  <c r="AN40" i="3570" s="1"/>
  <c r="AW40" i="3570" s="1" a="1"/>
  <c r="AW40" i="3570" s="1"/>
  <c r="U40" i="3435"/>
  <c r="AB39" i="3435" a="1"/>
  <c r="AB39" i="3435" s="1"/>
  <c r="AN45" i="3435"/>
  <c r="AV44" i="3435" a="1"/>
  <c r="AV44" i="3435" s="1"/>
  <c r="BD44" i="3435" s="1" a="1"/>
  <c r="BD44" i="3435" s="1"/>
  <c r="CA46" i="3564"/>
  <c r="BT47" i="3564"/>
  <c r="AL45" i="3435"/>
  <c r="AT44" i="3435" a="1"/>
  <c r="AT44" i="3435" s="1"/>
  <c r="BB44" i="3435" s="1" a="1"/>
  <c r="BB44" i="3435" s="1"/>
  <c r="C159" i="3523"/>
  <c r="Q159" i="3523" s="1" a="1"/>
  <c r="Q159" i="3523" s="1"/>
  <c r="BQ128" i="3448"/>
  <c r="B160" i="3523"/>
  <c r="BP129" i="3448"/>
  <c r="AF40" i="3435" a="1"/>
  <c r="AF40" i="3435" s="1"/>
  <c r="Y41" i="3435"/>
  <c r="AD41" i="3570"/>
  <c r="AM40" i="3570" a="1"/>
  <c r="AM40" i="3570" s="1"/>
  <c r="AV40" i="3570" s="1" a="1"/>
  <c r="AV40" i="3570" s="1"/>
  <c r="A158" i="3523"/>
  <c r="AC39" i="3518"/>
  <c r="AJ38" i="3518" a="1"/>
  <c r="AJ38" i="3518" s="1"/>
  <c r="AQ38" i="3518" s="1" a="1"/>
  <c r="AQ38" i="3518" s="1"/>
  <c r="AG40" i="3435" a="1"/>
  <c r="AG40" i="3435" s="1"/>
  <c r="Z41" i="3435"/>
  <c r="AP40" i="3570" a="1"/>
  <c r="AP40" i="3570" s="1"/>
  <c r="AY40" i="3570" s="1" a="1"/>
  <c r="AY40" i="3570" s="1"/>
  <c r="AG41" i="3570"/>
  <c r="AL40" i="3570" a="1"/>
  <c r="AL40" i="3570" s="1"/>
  <c r="AU40" i="3570" s="1" a="1"/>
  <c r="AU40" i="3570" s="1"/>
  <c r="AC41" i="3570"/>
  <c r="AF41" i="3570"/>
  <c r="AO40" i="3570" a="1"/>
  <c r="AO40" i="3570" s="1"/>
  <c r="AX40" i="3570" s="1" a="1"/>
  <c r="AX40" i="3570" s="1"/>
  <c r="AM45" i="3435"/>
  <c r="AU44" i="3435" a="1"/>
  <c r="AU44" i="3435" s="1"/>
  <c r="BC44" i="3435" s="1" a="1"/>
  <c r="BC44" i="3435" s="1"/>
  <c r="BP46" i="3564"/>
  <c r="BW45" i="3564"/>
  <c r="AD127" i="3448"/>
  <c r="Z128" i="3448"/>
  <c r="AB42" i="3564" l="1"/>
  <c r="X43" i="3564"/>
  <c r="BR46" i="3564"/>
  <c r="BY45" i="3564"/>
  <c r="AJ45" i="3564"/>
  <c r="AQ44" i="3564"/>
  <c r="BE44" i="3564"/>
  <c r="BI43" i="3564"/>
  <c r="AS43" i="3564"/>
  <c r="AL44" i="3564"/>
  <c r="BU45" i="3564"/>
  <c r="BN46" i="3564"/>
  <c r="AT43" i="3564"/>
  <c r="AM44" i="3564"/>
  <c r="AO43" i="3564"/>
  <c r="AH44" i="3564"/>
  <c r="BO46" i="3564"/>
  <c r="BV45" i="3564"/>
  <c r="AC43" i="3564"/>
  <c r="Y44" i="3564"/>
  <c r="AD43" i="3564"/>
  <c r="Z44" i="3564"/>
  <c r="BX45" i="3564"/>
  <c r="BQ46" i="3564"/>
  <c r="BD44" i="3564"/>
  <c r="BH43" i="3564"/>
  <c r="BF44" i="3564"/>
  <c r="BJ43" i="3564"/>
  <c r="AN43" i="3564"/>
  <c r="AG44" i="3564"/>
  <c r="AP43" i="3564"/>
  <c r="AI44" i="3564"/>
  <c r="AR43" i="3564"/>
  <c r="AK44" i="3564"/>
  <c r="AC131" i="3448"/>
  <c r="Y132" i="3448"/>
  <c r="BZ47" i="3564"/>
  <c r="BS48" i="3564"/>
  <c r="AH42" i="3570"/>
  <c r="AQ41" i="3570" a="1"/>
  <c r="AQ41" i="3570" s="1"/>
  <c r="AZ41" i="3570" s="1" a="1"/>
  <c r="AZ41" i="3570" s="1"/>
  <c r="X42" i="3435"/>
  <c r="AE41" i="3435" a="1"/>
  <c r="AE41" i="3435" s="1"/>
  <c r="AD128" i="3448"/>
  <c r="Z129" i="3448"/>
  <c r="X130" i="3448"/>
  <c r="AB129" i="3448"/>
  <c r="AH39" i="3518" a="1"/>
  <c r="AH39" i="3518" s="1"/>
  <c r="AO39" i="3518" s="1" a="1"/>
  <c r="AO39" i="3518" s="1"/>
  <c r="AA40" i="3518"/>
  <c r="AE40" i="3518"/>
  <c r="AL39" i="3518" a="1"/>
  <c r="AL39" i="3518" s="1"/>
  <c r="AS39" i="3518" s="1" a="1"/>
  <c r="AS39" i="3518" s="1"/>
  <c r="D161" i="3523"/>
  <c r="V161" i="3523" s="1" a="1"/>
  <c r="V161" i="3523" s="1"/>
  <c r="BR130" i="3448"/>
  <c r="F160" i="3523"/>
  <c r="AF160" i="3523" s="1" a="1"/>
  <c r="AF160" i="3523" s="1"/>
  <c r="BT129" i="3448"/>
  <c r="L160" i="3523" a="1"/>
  <c r="L160" i="3523" s="1"/>
  <c r="B161" i="3523"/>
  <c r="BP130" i="3448"/>
  <c r="AM39" i="3518" a="1"/>
  <c r="AM39" i="3518" s="1"/>
  <c r="AT39" i="3518" s="1" a="1"/>
  <c r="AT39" i="3518" s="1"/>
  <c r="AF40" i="3518"/>
  <c r="AU45" i="3435" a="1"/>
  <c r="AU45" i="3435" s="1"/>
  <c r="BC45" i="3435" s="1" a="1"/>
  <c r="BC45" i="3435" s="1"/>
  <c r="AM46" i="3435"/>
  <c r="AS45" i="3435" a="1"/>
  <c r="AS45" i="3435" s="1"/>
  <c r="BA45" i="3435" s="1" a="1"/>
  <c r="BA45" i="3435" s="1"/>
  <c r="AK46" i="3435"/>
  <c r="Y42" i="3435"/>
  <c r="AF41" i="3435" a="1"/>
  <c r="AF41" i="3435" s="1"/>
  <c r="AN46" i="3435"/>
  <c r="AV45" i="3435" a="1"/>
  <c r="AV45" i="3435" s="1"/>
  <c r="BD45" i="3435" s="1" a="1"/>
  <c r="BD45" i="3435" s="1"/>
  <c r="AB40" i="3518"/>
  <c r="AI39" i="3518" a="1"/>
  <c r="AI39" i="3518" s="1"/>
  <c r="AP39" i="3518" s="1" a="1"/>
  <c r="AP39" i="3518" s="1"/>
  <c r="AY45" i="3435" a="1"/>
  <c r="AY45" i="3435" s="1"/>
  <c r="BG45" i="3435" s="1" a="1"/>
  <c r="BG45" i="3435" s="1"/>
  <c r="AQ46" i="3435"/>
  <c r="BP47" i="3564"/>
  <c r="BW46" i="3564"/>
  <c r="C160" i="3523"/>
  <c r="Q160" i="3523" s="1" a="1"/>
  <c r="Q160" i="3523" s="1"/>
  <c r="BQ129" i="3448"/>
  <c r="AO41" i="3570" a="1"/>
  <c r="AO41" i="3570" s="1"/>
  <c r="AX41" i="3570" s="1" a="1"/>
  <c r="AX41" i="3570" s="1"/>
  <c r="AF42" i="3570"/>
  <c r="AO46" i="3435"/>
  <c r="AW45" i="3435" a="1"/>
  <c r="AW45" i="3435" s="1"/>
  <c r="BE45" i="3435" s="1" a="1"/>
  <c r="BE45" i="3435" s="1"/>
  <c r="A159" i="3523"/>
  <c r="E161" i="3523"/>
  <c r="AA161" i="3523" s="1" a="1"/>
  <c r="AA161" i="3523" s="1"/>
  <c r="BS130" i="3448"/>
  <c r="AI42" i="3570"/>
  <c r="AR41" i="3570" a="1"/>
  <c r="AR41" i="3570" s="1"/>
  <c r="BA41" i="3570" s="1" a="1"/>
  <c r="BA41" i="3570" s="1"/>
  <c r="Z42" i="3435"/>
  <c r="AG41" i="3435" a="1"/>
  <c r="AG41" i="3435" s="1"/>
  <c r="U41" i="3435"/>
  <c r="AB40" i="3435" a="1"/>
  <c r="AB40" i="3435" s="1"/>
  <c r="AG42" i="3570"/>
  <c r="AP41" i="3570" a="1"/>
  <c r="AP41" i="3570" s="1"/>
  <c r="AY41" i="3570" s="1" a="1"/>
  <c r="AY41" i="3570" s="1"/>
  <c r="AD40" i="3518"/>
  <c r="AK39" i="3518" a="1"/>
  <c r="AK39" i="3518" s="1"/>
  <c r="AR39" i="3518" s="1" a="1"/>
  <c r="AR39" i="3518" s="1"/>
  <c r="W42" i="3435"/>
  <c r="AD41" i="3435" a="1"/>
  <c r="AD41" i="3435" s="1"/>
  <c r="AB42" i="3570"/>
  <c r="AK41" i="3570" a="1"/>
  <c r="AK41" i="3570" s="1"/>
  <c r="AT41" i="3570" s="1" a="1"/>
  <c r="AT41" i="3570" s="1"/>
  <c r="AC42" i="3570"/>
  <c r="AL41" i="3570" a="1"/>
  <c r="AL41" i="3570" s="1"/>
  <c r="AU41" i="3570" s="1" a="1"/>
  <c r="AU41" i="3570" s="1"/>
  <c r="AT45" i="3435" a="1"/>
  <c r="AT45" i="3435" s="1"/>
  <c r="BB45" i="3435" s="1" a="1"/>
  <c r="BB45" i="3435" s="1"/>
  <c r="AL46" i="3435"/>
  <c r="BT48" i="3564"/>
  <c r="CA47" i="3564"/>
  <c r="AD42" i="3570"/>
  <c r="AM41" i="3570" a="1"/>
  <c r="AM41" i="3570" s="1"/>
  <c r="AV41" i="3570" s="1" a="1"/>
  <c r="AV41" i="3570" s="1"/>
  <c r="AC40" i="3518"/>
  <c r="AJ39" i="3518" a="1"/>
  <c r="AJ39" i="3518" s="1"/>
  <c r="AQ39" i="3518" s="1" a="1"/>
  <c r="AQ39" i="3518" s="1"/>
  <c r="BZ131" i="3448"/>
  <c r="CG130" i="3448"/>
  <c r="AP46" i="3435"/>
  <c r="AX45" i="3435" a="1"/>
  <c r="AX45" i="3435" s="1"/>
  <c r="BF45" i="3435" s="1" a="1"/>
  <c r="BF45" i="3435" s="1"/>
  <c r="AE42" i="3570"/>
  <c r="AN41" i="3570" a="1"/>
  <c r="AN41" i="3570" s="1"/>
  <c r="AW41" i="3570" s="1" a="1"/>
  <c r="AW41" i="3570" s="1"/>
  <c r="V42" i="3435"/>
  <c r="AC41" i="3435" a="1"/>
  <c r="AC41" i="3435" s="1"/>
  <c r="BX46" i="3564" l="1"/>
  <c r="BQ47" i="3564"/>
  <c r="AD44" i="3564"/>
  <c r="Z45" i="3564"/>
  <c r="AC44" i="3564"/>
  <c r="Y45" i="3564"/>
  <c r="BV46" i="3564"/>
  <c r="BO47" i="3564"/>
  <c r="AO44" i="3564"/>
  <c r="AH45" i="3564"/>
  <c r="BI44" i="3564"/>
  <c r="BE45" i="3564"/>
  <c r="AN44" i="3564"/>
  <c r="AG45" i="3564"/>
  <c r="AQ45" i="3564"/>
  <c r="AJ46" i="3564"/>
  <c r="AM45" i="3564"/>
  <c r="AT44" i="3564"/>
  <c r="AK45" i="3564"/>
  <c r="AR44" i="3564"/>
  <c r="AS44" i="3564"/>
  <c r="AL45" i="3564"/>
  <c r="BF45" i="3564"/>
  <c r="BJ44" i="3564"/>
  <c r="BR47" i="3564"/>
  <c r="BY46" i="3564"/>
  <c r="BU46" i="3564"/>
  <c r="BN47" i="3564"/>
  <c r="AB43" i="3564"/>
  <c r="X44" i="3564"/>
  <c r="AI45" i="3564"/>
  <c r="AP44" i="3564"/>
  <c r="BH44" i="3564"/>
  <c r="BD45" i="3564"/>
  <c r="D162" i="3523"/>
  <c r="V162" i="3523" s="1" a="1"/>
  <c r="V162" i="3523" s="1"/>
  <c r="BR131" i="3448"/>
  <c r="AD42" i="3435" a="1"/>
  <c r="AD42" i="3435" s="1"/>
  <c r="W43" i="3435"/>
  <c r="AB41" i="3518"/>
  <c r="AI40" i="3518" a="1"/>
  <c r="AI40" i="3518" s="1"/>
  <c r="AP40" i="3518" s="1" a="1"/>
  <c r="AP40" i="3518" s="1"/>
  <c r="AK40" i="3518" a="1"/>
  <c r="AK40" i="3518" s="1"/>
  <c r="AR40" i="3518" s="1" a="1"/>
  <c r="AR40" i="3518" s="1"/>
  <c r="AD41" i="3518"/>
  <c r="AB43" i="3570"/>
  <c r="AK42" i="3570" a="1"/>
  <c r="AK42" i="3570" s="1"/>
  <c r="AT42" i="3570" s="1" a="1"/>
  <c r="AT42" i="3570" s="1"/>
  <c r="AE41" i="3518"/>
  <c r="AL40" i="3518" a="1"/>
  <c r="AL40" i="3518" s="1"/>
  <c r="AS40" i="3518" s="1" a="1"/>
  <c r="AS40" i="3518" s="1"/>
  <c r="AA41" i="3518"/>
  <c r="AH40" i="3518" a="1"/>
  <c r="AH40" i="3518" s="1"/>
  <c r="AO40" i="3518" s="1" a="1"/>
  <c r="AO40" i="3518" s="1"/>
  <c r="AG43" i="3570"/>
  <c r="AP42" i="3570" a="1"/>
  <c r="AP42" i="3570" s="1"/>
  <c r="AY42" i="3570" s="1" a="1"/>
  <c r="AY42" i="3570" s="1"/>
  <c r="AC42" i="3435" a="1"/>
  <c r="AC42" i="3435" s="1"/>
  <c r="V43" i="3435"/>
  <c r="U42" i="3435"/>
  <c r="AB41" i="3435" a="1"/>
  <c r="AB41" i="3435" s="1"/>
  <c r="AV46" i="3435" a="1"/>
  <c r="AV46" i="3435" s="1"/>
  <c r="BD46" i="3435" s="1" a="1"/>
  <c r="BD46" i="3435" s="1"/>
  <c r="AN47" i="3435"/>
  <c r="AB130" i="3448"/>
  <c r="X131" i="3448"/>
  <c r="Z130" i="3448"/>
  <c r="AD129" i="3448"/>
  <c r="AY46" i="3435" a="1"/>
  <c r="AY46" i="3435" s="1"/>
  <c r="BG46" i="3435" s="1" a="1"/>
  <c r="BG46" i="3435" s="1"/>
  <c r="AQ47" i="3435"/>
  <c r="E162" i="3523"/>
  <c r="AA162" i="3523" s="1" a="1"/>
  <c r="AA162" i="3523" s="1"/>
  <c r="BS131" i="3448"/>
  <c r="F161" i="3523"/>
  <c r="AF161" i="3523" s="1" a="1"/>
  <c r="AF161" i="3523" s="1"/>
  <c r="BT130" i="3448"/>
  <c r="CA48" i="3564"/>
  <c r="BT49" i="3564"/>
  <c r="AE42" i="3435" a="1"/>
  <c r="AE42" i="3435" s="1"/>
  <c r="X43" i="3435"/>
  <c r="AH43" i="3570"/>
  <c r="AQ42" i="3570" a="1"/>
  <c r="AQ42" i="3570" s="1"/>
  <c r="AZ42" i="3570" s="1" a="1"/>
  <c r="AZ42" i="3570" s="1"/>
  <c r="AI43" i="3570"/>
  <c r="AR42" i="3570" a="1"/>
  <c r="AR42" i="3570" s="1"/>
  <c r="BA42" i="3570" s="1" a="1"/>
  <c r="BA42" i="3570" s="1"/>
  <c r="AX46" i="3435" a="1"/>
  <c r="AX46" i="3435" s="1"/>
  <c r="BF46" i="3435" s="1" a="1"/>
  <c r="BF46" i="3435" s="1"/>
  <c r="AP47" i="3435"/>
  <c r="AF43" i="3570"/>
  <c r="AO42" i="3570" a="1"/>
  <c r="AO42" i="3570" s="1"/>
  <c r="AX42" i="3570" s="1" a="1"/>
  <c r="AX42" i="3570" s="1"/>
  <c r="AF41" i="3518"/>
  <c r="AM40" i="3518" a="1"/>
  <c r="AM40" i="3518" s="1"/>
  <c r="AT40" i="3518" s="1" a="1"/>
  <c r="AT40" i="3518" s="1"/>
  <c r="AF42" i="3435" a="1"/>
  <c r="AF42" i="3435" s="1"/>
  <c r="Y43" i="3435"/>
  <c r="C161" i="3523"/>
  <c r="Q161" i="3523" s="1" a="1"/>
  <c r="Q161" i="3523" s="1"/>
  <c r="BQ130" i="3448"/>
  <c r="B162" i="3523"/>
  <c r="BP131" i="3448"/>
  <c r="BS49" i="3564"/>
  <c r="BZ48" i="3564"/>
  <c r="AM42" i="3570" a="1"/>
  <c r="AM42" i="3570" s="1"/>
  <c r="AV42" i="3570" s="1" a="1"/>
  <c r="AV42" i="3570" s="1"/>
  <c r="AD43" i="3570"/>
  <c r="AS46" i="3435" a="1"/>
  <c r="AS46" i="3435" s="1"/>
  <c r="BA46" i="3435" s="1" a="1"/>
  <c r="BA46" i="3435" s="1"/>
  <c r="AK47" i="3435"/>
  <c r="AE43" i="3570"/>
  <c r="AN42" i="3570" a="1"/>
  <c r="AN42" i="3570" s="1"/>
  <c r="AW42" i="3570" s="1" a="1"/>
  <c r="AW42" i="3570" s="1"/>
  <c r="AM47" i="3435"/>
  <c r="AU46" i="3435" a="1"/>
  <c r="AU46" i="3435" s="1"/>
  <c r="BC46" i="3435" s="1" a="1"/>
  <c r="BC46" i="3435" s="1"/>
  <c r="L161" i="3523" a="1"/>
  <c r="L161" i="3523" s="1"/>
  <c r="AC41" i="3518"/>
  <c r="AJ40" i="3518" a="1"/>
  <c r="AJ40" i="3518" s="1"/>
  <c r="AQ40" i="3518" s="1" a="1"/>
  <c r="AQ40" i="3518" s="1"/>
  <c r="AG42" i="3435" a="1"/>
  <c r="AG42" i="3435" s="1"/>
  <c r="Z43" i="3435"/>
  <c r="AL42" i="3570" a="1"/>
  <c r="AL42" i="3570" s="1"/>
  <c r="AU42" i="3570" s="1" a="1"/>
  <c r="AU42" i="3570" s="1"/>
  <c r="AC43" i="3570"/>
  <c r="AW46" i="3435" a="1"/>
  <c r="AW46" i="3435" s="1"/>
  <c r="BE46" i="3435" s="1" a="1"/>
  <c r="BE46" i="3435" s="1"/>
  <c r="AO47" i="3435"/>
  <c r="Y133" i="3448"/>
  <c r="AC132" i="3448"/>
  <c r="AT46" i="3435" a="1"/>
  <c r="AT46" i="3435" s="1"/>
  <c r="BB46" i="3435" s="1" a="1"/>
  <c r="BB46" i="3435" s="1"/>
  <c r="AL47" i="3435"/>
  <c r="BZ132" i="3448"/>
  <c r="CG131" i="3448"/>
  <c r="BW47" i="3564"/>
  <c r="BP48" i="3564"/>
  <c r="A160" i="3523"/>
  <c r="BF46" i="3564" l="1"/>
  <c r="BJ45" i="3564"/>
  <c r="AL46" i="3564"/>
  <c r="AS45" i="3564"/>
  <c r="AK46" i="3564"/>
  <c r="AR45" i="3564"/>
  <c r="AM46" i="3564"/>
  <c r="AT45" i="3564"/>
  <c r="AJ47" i="3564"/>
  <c r="AQ46" i="3564"/>
  <c r="AN45" i="3564"/>
  <c r="AG46" i="3564"/>
  <c r="BE46" i="3564"/>
  <c r="BI45" i="3564"/>
  <c r="BV47" i="3564"/>
  <c r="BO48" i="3564"/>
  <c r="X45" i="3564"/>
  <c r="AB44" i="3564"/>
  <c r="Y46" i="3564"/>
  <c r="AC45" i="3564"/>
  <c r="AH46" i="3564"/>
  <c r="AO45" i="3564"/>
  <c r="BU47" i="3564"/>
  <c r="BN48" i="3564"/>
  <c r="Z46" i="3564"/>
  <c r="AD45" i="3564"/>
  <c r="AP45" i="3564"/>
  <c r="AI46" i="3564"/>
  <c r="BD46" i="3564"/>
  <c r="BH45" i="3564"/>
  <c r="BQ48" i="3564"/>
  <c r="BX47" i="3564"/>
  <c r="BR48" i="3564"/>
  <c r="BY47" i="3564"/>
  <c r="AL43" i="3570" a="1"/>
  <c r="AL43" i="3570" s="1"/>
  <c r="AU43" i="3570" s="1" a="1"/>
  <c r="AU43" i="3570" s="1"/>
  <c r="AC44" i="3570"/>
  <c r="X44" i="3435"/>
  <c r="AE43" i="3435" a="1"/>
  <c r="AE43" i="3435" s="1"/>
  <c r="U43" i="3435"/>
  <c r="AB42" i="3435" a="1"/>
  <c r="AB42" i="3435" s="1"/>
  <c r="V44" i="3435"/>
  <c r="AC43" i="3435" a="1"/>
  <c r="AC43" i="3435" s="1"/>
  <c r="AG44" i="3570"/>
  <c r="AP43" i="3570" a="1"/>
  <c r="AP43" i="3570" s="1"/>
  <c r="AY43" i="3570" s="1" a="1"/>
  <c r="AY43" i="3570" s="1"/>
  <c r="F162" i="3523"/>
  <c r="AF162" i="3523" s="1" a="1"/>
  <c r="AF162" i="3523" s="1"/>
  <c r="BT131" i="3448"/>
  <c r="Y44" i="3435"/>
  <c r="AF43" i="3435" a="1"/>
  <c r="AF43" i="3435" s="1"/>
  <c r="AA42" i="3518"/>
  <c r="AH41" i="3518" a="1"/>
  <c r="AH41" i="3518" s="1"/>
  <c r="AO41" i="3518" s="1" a="1"/>
  <c r="AO41" i="3518" s="1"/>
  <c r="C162" i="3523"/>
  <c r="Q162" i="3523" s="1" a="1"/>
  <c r="Q162" i="3523" s="1"/>
  <c r="BQ131" i="3448"/>
  <c r="AL41" i="3518" a="1"/>
  <c r="AL41" i="3518" s="1"/>
  <c r="AS41" i="3518" s="1" a="1"/>
  <c r="AS41" i="3518" s="1"/>
  <c r="AE42" i="3518"/>
  <c r="AB44" i="3570"/>
  <c r="AK43" i="3570" a="1"/>
  <c r="AK43" i="3570" s="1"/>
  <c r="AT43" i="3570" s="1" a="1"/>
  <c r="AT43" i="3570" s="1"/>
  <c r="AP48" i="3435"/>
  <c r="AX47" i="3435" a="1"/>
  <c r="AX47" i="3435" s="1"/>
  <c r="BF47" i="3435" s="1" a="1"/>
  <c r="BF47" i="3435" s="1"/>
  <c r="AC42" i="3518"/>
  <c r="AJ41" i="3518" a="1"/>
  <c r="AJ41" i="3518" s="1"/>
  <c r="AQ41" i="3518" s="1" a="1"/>
  <c r="AQ41" i="3518" s="1"/>
  <c r="AF42" i="3518"/>
  <c r="AM41" i="3518" a="1"/>
  <c r="AM41" i="3518" s="1"/>
  <c r="AT41" i="3518" s="1" a="1"/>
  <c r="AT41" i="3518" s="1"/>
  <c r="E163" i="3523"/>
  <c r="AA163" i="3523" s="1" a="1"/>
  <c r="AA163" i="3523" s="1"/>
  <c r="BS132" i="3448"/>
  <c r="AG43" i="3435" a="1"/>
  <c r="AG43" i="3435" s="1"/>
  <c r="Z44" i="3435"/>
  <c r="BT50" i="3564"/>
  <c r="CA49" i="3564"/>
  <c r="AU47" i="3435" a="1"/>
  <c r="AU47" i="3435" s="1"/>
  <c r="BC47" i="3435" s="1" a="1"/>
  <c r="BC47" i="3435" s="1"/>
  <c r="AM48" i="3435"/>
  <c r="AO43" i="3570" a="1"/>
  <c r="AO43" i="3570" s="1"/>
  <c r="AX43" i="3570" s="1" a="1"/>
  <c r="AX43" i="3570" s="1"/>
  <c r="AF44" i="3570"/>
  <c r="AD42" i="3518"/>
  <c r="AK41" i="3518" a="1"/>
  <c r="AK41" i="3518" s="1"/>
  <c r="AR41" i="3518" s="1" a="1"/>
  <c r="AR41" i="3518" s="1"/>
  <c r="AM43" i="3570" a="1"/>
  <c r="AM43" i="3570" s="1"/>
  <c r="AV43" i="3570" s="1" a="1"/>
  <c r="AV43" i="3570" s="1"/>
  <c r="AD44" i="3570"/>
  <c r="AI44" i="3570"/>
  <c r="AR43" i="3570" a="1"/>
  <c r="AR43" i="3570" s="1"/>
  <c r="BA43" i="3570" s="1" a="1"/>
  <c r="BA43" i="3570" s="1"/>
  <c r="AB42" i="3518"/>
  <c r="AI41" i="3518" a="1"/>
  <c r="AI41" i="3518" s="1"/>
  <c r="AP41" i="3518" s="1" a="1"/>
  <c r="AP41" i="3518" s="1"/>
  <c r="A161" i="3523"/>
  <c r="CG132" i="3448"/>
  <c r="BZ133" i="3448"/>
  <c r="AV47" i="3435" a="1"/>
  <c r="AV47" i="3435" s="1"/>
  <c r="BD47" i="3435" s="1" a="1"/>
  <c r="BD47" i="3435" s="1"/>
  <c r="AN48" i="3435"/>
  <c r="AD43" i="3435" a="1"/>
  <c r="AD43" i="3435" s="1"/>
  <c r="W44" i="3435"/>
  <c r="AS47" i="3435" a="1"/>
  <c r="AS47" i="3435" s="1"/>
  <c r="BA47" i="3435" s="1" a="1"/>
  <c r="BA47" i="3435" s="1"/>
  <c r="AK48" i="3435"/>
  <c r="AD130" i="3448"/>
  <c r="Z131" i="3448"/>
  <c r="AQ43" i="3570" a="1"/>
  <c r="AQ43" i="3570" s="1"/>
  <c r="AZ43" i="3570" s="1" a="1"/>
  <c r="AZ43" i="3570" s="1"/>
  <c r="AH44" i="3570"/>
  <c r="BP49" i="3564"/>
  <c r="BW48" i="3564"/>
  <c r="AN43" i="3570" a="1"/>
  <c r="AN43" i="3570" s="1"/>
  <c r="AW43" i="3570" s="1" a="1"/>
  <c r="AW43" i="3570" s="1"/>
  <c r="AE44" i="3570"/>
  <c r="AQ48" i="3435"/>
  <c r="AY47" i="3435" a="1"/>
  <c r="AY47" i="3435" s="1"/>
  <c r="BG47" i="3435" s="1" a="1"/>
  <c r="BG47" i="3435" s="1"/>
  <c r="X132" i="3448"/>
  <c r="AB131" i="3448"/>
  <c r="B163" i="3523"/>
  <c r="BP132" i="3448"/>
  <c r="D163" i="3523"/>
  <c r="V163" i="3523" s="1" a="1"/>
  <c r="V163" i="3523" s="1"/>
  <c r="BR132" i="3448"/>
  <c r="AL48" i="3435"/>
  <c r="AT47" i="3435" a="1"/>
  <c r="AT47" i="3435" s="1"/>
  <c r="BB47" i="3435" s="1" a="1"/>
  <c r="BB47" i="3435" s="1"/>
  <c r="Y134" i="3448"/>
  <c r="AC133" i="3448"/>
  <c r="BS50" i="3564"/>
  <c r="BZ49" i="3564"/>
  <c r="AO48" i="3435"/>
  <c r="AW47" i="3435" a="1"/>
  <c r="AW47" i="3435" s="1"/>
  <c r="BE47" i="3435" s="1" a="1"/>
  <c r="BE47" i="3435" s="1"/>
  <c r="L162" i="3523" a="1"/>
  <c r="L162" i="3523" s="1"/>
  <c r="BU48" i="3564" l="1"/>
  <c r="BN49" i="3564"/>
  <c r="AO46" i="3564"/>
  <c r="AH47" i="3564"/>
  <c r="AC46" i="3564"/>
  <c r="Y47" i="3564"/>
  <c r="X46" i="3564"/>
  <c r="AB45" i="3564"/>
  <c r="BV48" i="3564"/>
  <c r="BO49" i="3564"/>
  <c r="BE47" i="3564"/>
  <c r="BI46" i="3564"/>
  <c r="AG47" i="3564"/>
  <c r="AN46" i="3564"/>
  <c r="AQ47" i="3564"/>
  <c r="AJ48" i="3564"/>
  <c r="BX48" i="3564"/>
  <c r="BQ49" i="3564"/>
  <c r="AM47" i="3564"/>
  <c r="AT46" i="3564"/>
  <c r="BR49" i="3564"/>
  <c r="BY48" i="3564"/>
  <c r="BH46" i="3564"/>
  <c r="BD47" i="3564"/>
  <c r="AR46" i="3564"/>
  <c r="AK47" i="3564"/>
  <c r="AI47" i="3564"/>
  <c r="AP46" i="3564"/>
  <c r="AL47" i="3564"/>
  <c r="AS46" i="3564"/>
  <c r="Z47" i="3564"/>
  <c r="AD46" i="3564"/>
  <c r="BF47" i="3564"/>
  <c r="BJ46" i="3564"/>
  <c r="AE43" i="3518"/>
  <c r="AL42" i="3518" a="1"/>
  <c r="AL42" i="3518" s="1"/>
  <c r="AS42" i="3518" s="1" a="1"/>
  <c r="AS42" i="3518" s="1"/>
  <c r="C163" i="3523"/>
  <c r="Q163" i="3523" s="1" a="1"/>
  <c r="Q163" i="3523" s="1"/>
  <c r="BQ132" i="3448"/>
  <c r="AH42" i="3518" a="1"/>
  <c r="AH42" i="3518" s="1"/>
  <c r="AO42" i="3518" s="1" a="1"/>
  <c r="AO42" i="3518" s="1"/>
  <c r="AA43" i="3518"/>
  <c r="E164" i="3523"/>
  <c r="AA164" i="3523" s="1" a="1"/>
  <c r="AA164" i="3523" s="1"/>
  <c r="BS133" i="3448"/>
  <c r="AF44" i="3435" a="1"/>
  <c r="AF44" i="3435" s="1"/>
  <c r="Y45" i="3435"/>
  <c r="AV48" i="3435" a="1"/>
  <c r="AV48" i="3435" s="1"/>
  <c r="BD48" i="3435" s="1" a="1"/>
  <c r="BD48" i="3435" s="1"/>
  <c r="AN49" i="3435"/>
  <c r="A162" i="3523"/>
  <c r="BT51" i="3564"/>
  <c r="CA50" i="3564"/>
  <c r="F163" i="3523"/>
  <c r="AF163" i="3523" s="1" a="1"/>
  <c r="AF163" i="3523" s="1"/>
  <c r="BT132" i="3448"/>
  <c r="AG44" i="3435" a="1"/>
  <c r="AG44" i="3435" s="1"/>
  <c r="Z45" i="3435"/>
  <c r="AD44" i="3435" a="1"/>
  <c r="AD44" i="3435" s="1"/>
  <c r="W45" i="3435"/>
  <c r="AG45" i="3570"/>
  <c r="AP44" i="3570" a="1"/>
  <c r="AP44" i="3570" s="1"/>
  <c r="AY44" i="3570" s="1" a="1"/>
  <c r="AY44" i="3570" s="1"/>
  <c r="B164" i="3523"/>
  <c r="BP133" i="3448"/>
  <c r="CG133" i="3448"/>
  <c r="BZ134" i="3448"/>
  <c r="AM42" i="3518" a="1"/>
  <c r="AM42" i="3518" s="1"/>
  <c r="AT42" i="3518" s="1" a="1"/>
  <c r="AT42" i="3518" s="1"/>
  <c r="AF43" i="3518"/>
  <c r="AC134" i="3448"/>
  <c r="Y135" i="3448"/>
  <c r="AW48" i="3435" a="1"/>
  <c r="AW48" i="3435" s="1"/>
  <c r="BE48" i="3435" s="1" a="1"/>
  <c r="BE48" i="3435" s="1"/>
  <c r="AO49" i="3435"/>
  <c r="AD43" i="3518"/>
  <c r="AK42" i="3518" a="1"/>
  <c r="AK42" i="3518" s="1"/>
  <c r="AR42" i="3518" s="1" a="1"/>
  <c r="AR42" i="3518" s="1"/>
  <c r="AR44" i="3570" a="1"/>
  <c r="AR44" i="3570" s="1"/>
  <c r="BA44" i="3570" s="1" a="1"/>
  <c r="BA44" i="3570" s="1"/>
  <c r="AI45" i="3570"/>
  <c r="AL49" i="3435"/>
  <c r="AT48" i="3435" a="1"/>
  <c r="AT48" i="3435" s="1"/>
  <c r="BB48" i="3435" s="1" a="1"/>
  <c r="BB48" i="3435" s="1"/>
  <c r="L163" i="3523" a="1"/>
  <c r="L163" i="3523" s="1"/>
  <c r="AC43" i="3518"/>
  <c r="AJ42" i="3518" a="1"/>
  <c r="AJ42" i="3518" s="1"/>
  <c r="AQ42" i="3518" s="1" a="1"/>
  <c r="AQ42" i="3518" s="1"/>
  <c r="AM44" i="3570" a="1"/>
  <c r="AM44" i="3570" s="1"/>
  <c r="AV44" i="3570" s="1" a="1"/>
  <c r="AV44" i="3570" s="1"/>
  <c r="AD45" i="3570"/>
  <c r="AP49" i="3435"/>
  <c r="AX48" i="3435" a="1"/>
  <c r="AX48" i="3435" s="1"/>
  <c r="BF48" i="3435" s="1" a="1"/>
  <c r="BF48" i="3435" s="1"/>
  <c r="AH45" i="3570"/>
  <c r="AQ44" i="3570" a="1"/>
  <c r="AQ44" i="3570" s="1"/>
  <c r="AZ44" i="3570" s="1" a="1"/>
  <c r="AZ44" i="3570" s="1"/>
  <c r="AK44" i="3570" a="1"/>
  <c r="AK44" i="3570" s="1"/>
  <c r="AT44" i="3570" s="1" a="1"/>
  <c r="AT44" i="3570" s="1"/>
  <c r="AB45" i="3570"/>
  <c r="U44" i="3435"/>
  <c r="AB43" i="3435" a="1"/>
  <c r="AB43" i="3435" s="1"/>
  <c r="AI42" i="3518" a="1"/>
  <c r="AI42" i="3518" s="1"/>
  <c r="AP42" i="3518" s="1" a="1"/>
  <c r="AP42" i="3518" s="1"/>
  <c r="AB43" i="3518"/>
  <c r="BZ50" i="3564"/>
  <c r="BS51" i="3564"/>
  <c r="AY48" i="3435" a="1"/>
  <c r="AY48" i="3435" s="1"/>
  <c r="BG48" i="3435" s="1" a="1"/>
  <c r="BG48" i="3435" s="1"/>
  <c r="AQ49" i="3435"/>
  <c r="AC44" i="3435" a="1"/>
  <c r="AC44" i="3435" s="1"/>
  <c r="V45" i="3435"/>
  <c r="D164" i="3523"/>
  <c r="V164" i="3523" s="1" a="1"/>
  <c r="V164" i="3523" s="1"/>
  <c r="BR133" i="3448"/>
  <c r="AE44" i="3435" a="1"/>
  <c r="AE44" i="3435" s="1"/>
  <c r="X45" i="3435"/>
  <c r="AE45" i="3570"/>
  <c r="AN44" i="3570" a="1"/>
  <c r="AN44" i="3570" s="1"/>
  <c r="AW44" i="3570" s="1" a="1"/>
  <c r="AW44" i="3570" s="1"/>
  <c r="AF45" i="3570"/>
  <c r="AO44" i="3570" a="1"/>
  <c r="AO44" i="3570" s="1"/>
  <c r="AX44" i="3570" s="1" a="1"/>
  <c r="AX44" i="3570" s="1"/>
  <c r="AM49" i="3435"/>
  <c r="AU48" i="3435" a="1"/>
  <c r="AU48" i="3435" s="1"/>
  <c r="BC48" i="3435" s="1" a="1"/>
  <c r="BC48" i="3435" s="1"/>
  <c r="AL44" i="3570" a="1"/>
  <c r="AL44" i="3570" s="1"/>
  <c r="AU44" i="3570" s="1" a="1"/>
  <c r="AU44" i="3570" s="1"/>
  <c r="AC45" i="3570"/>
  <c r="X133" i="3448"/>
  <c r="AB132" i="3448"/>
  <c r="BW49" i="3564"/>
  <c r="BP50" i="3564"/>
  <c r="AD131" i="3448"/>
  <c r="Z132" i="3448"/>
  <c r="AK49" i="3435"/>
  <c r="AS48" i="3435" a="1"/>
  <c r="AS48" i="3435" s="1"/>
  <c r="BA48" i="3435" s="1" a="1"/>
  <c r="BA48" i="3435" s="1"/>
  <c r="BD48" i="3564" l="1"/>
  <c r="BH47" i="3564"/>
  <c r="BY49" i="3564"/>
  <c r="BR50" i="3564"/>
  <c r="AM48" i="3564"/>
  <c r="AT47" i="3564"/>
  <c r="BQ50" i="3564"/>
  <c r="BX49" i="3564"/>
  <c r="AJ49" i="3564"/>
  <c r="AQ48" i="3564"/>
  <c r="AG48" i="3564"/>
  <c r="AN47" i="3564"/>
  <c r="BE48" i="3564"/>
  <c r="BI47" i="3564"/>
  <c r="BV49" i="3564"/>
  <c r="BO50" i="3564"/>
  <c r="BF48" i="3564"/>
  <c r="BJ47" i="3564"/>
  <c r="AD47" i="3564"/>
  <c r="Z48" i="3564"/>
  <c r="X47" i="3564"/>
  <c r="AB46" i="3564"/>
  <c r="AC47" i="3564"/>
  <c r="Y48" i="3564"/>
  <c r="AS47" i="3564"/>
  <c r="AL48" i="3564"/>
  <c r="AO47" i="3564"/>
  <c r="AH48" i="3564"/>
  <c r="AI48" i="3564"/>
  <c r="AP47" i="3564"/>
  <c r="AR47" i="3564"/>
  <c r="AK48" i="3564"/>
  <c r="BU49" i="3564"/>
  <c r="BN50" i="3564"/>
  <c r="AF46" i="3570"/>
  <c r="AO45" i="3570" a="1"/>
  <c r="AO45" i="3570" s="1"/>
  <c r="AX45" i="3570" s="1" a="1"/>
  <c r="AX45" i="3570" s="1"/>
  <c r="F164" i="3523"/>
  <c r="AF164" i="3523" s="1" a="1"/>
  <c r="AF164" i="3523" s="1"/>
  <c r="BT133" i="3448"/>
  <c r="AI46" i="3570"/>
  <c r="AR45" i="3570" a="1"/>
  <c r="AR45" i="3570" s="1"/>
  <c r="BA45" i="3570" s="1" a="1"/>
  <c r="BA45" i="3570" s="1"/>
  <c r="AD44" i="3518"/>
  <c r="AK43" i="3518" a="1"/>
  <c r="AK43" i="3518" s="1"/>
  <c r="AR43" i="3518" s="1" a="1"/>
  <c r="AR43" i="3518" s="1"/>
  <c r="BS52" i="3564"/>
  <c r="BZ51" i="3564"/>
  <c r="AO50" i="3435"/>
  <c r="AW49" i="3435" a="1"/>
  <c r="AW49" i="3435" s="1"/>
  <c r="BE49" i="3435" s="1" a="1"/>
  <c r="BE49" i="3435" s="1"/>
  <c r="CA51" i="3564"/>
  <c r="BT52" i="3564"/>
  <c r="AV49" i="3435" a="1"/>
  <c r="AV49" i="3435" s="1"/>
  <c r="BD49" i="3435" s="1" a="1"/>
  <c r="BD49" i="3435" s="1"/>
  <c r="AN50" i="3435"/>
  <c r="AF44" i="3518"/>
  <c r="AM43" i="3518" a="1"/>
  <c r="AM43" i="3518" s="1"/>
  <c r="AT43" i="3518" s="1" a="1"/>
  <c r="AT43" i="3518" s="1"/>
  <c r="X46" i="3435"/>
  <c r="AE45" i="3435" a="1"/>
  <c r="AE45" i="3435" s="1"/>
  <c r="AB44" i="3435" a="1"/>
  <c r="AB44" i="3435" s="1"/>
  <c r="U45" i="3435"/>
  <c r="D165" i="3523"/>
  <c r="V165" i="3523" s="1" a="1"/>
  <c r="V165" i="3523" s="1"/>
  <c r="BR134" i="3448"/>
  <c r="BP51" i="3564"/>
  <c r="BW50" i="3564"/>
  <c r="Y136" i="3448"/>
  <c r="AC135" i="3448"/>
  <c r="AS49" i="3435" a="1"/>
  <c r="AS49" i="3435" s="1"/>
  <c r="BA49" i="3435" s="1" a="1"/>
  <c r="BA49" i="3435" s="1"/>
  <c r="AK50" i="3435"/>
  <c r="V46" i="3435"/>
  <c r="AC45" i="3435" a="1"/>
  <c r="AC45" i="3435" s="1"/>
  <c r="Z133" i="3448"/>
  <c r="AD132" i="3448"/>
  <c r="AC46" i="3570"/>
  <c r="AL45" i="3570" a="1"/>
  <c r="AL45" i="3570" s="1"/>
  <c r="AU45" i="3570" s="1" a="1"/>
  <c r="AU45" i="3570" s="1"/>
  <c r="B165" i="3523"/>
  <c r="BP134" i="3448"/>
  <c r="AF45" i="3435" a="1"/>
  <c r="AF45" i="3435" s="1"/>
  <c r="Y46" i="3435"/>
  <c r="AB133" i="3448"/>
  <c r="X134" i="3448"/>
  <c r="AH43" i="3518" a="1"/>
  <c r="AH43" i="3518" s="1"/>
  <c r="AO43" i="3518" s="1" a="1"/>
  <c r="AO43" i="3518" s="1"/>
  <c r="AA44" i="3518"/>
  <c r="AE46" i="3570"/>
  <c r="AN45" i="3570" a="1"/>
  <c r="AN45" i="3570" s="1"/>
  <c r="AW45" i="3570" s="1" a="1"/>
  <c r="AW45" i="3570" s="1"/>
  <c r="AH46" i="3570"/>
  <c r="AQ45" i="3570" a="1"/>
  <c r="AQ45" i="3570" s="1"/>
  <c r="AZ45" i="3570" s="1" a="1"/>
  <c r="AZ45" i="3570" s="1"/>
  <c r="AX49" i="3435" a="1"/>
  <c r="AX49" i="3435" s="1"/>
  <c r="BF49" i="3435" s="1" a="1"/>
  <c r="BF49" i="3435" s="1"/>
  <c r="AP50" i="3435"/>
  <c r="AD46" i="3570"/>
  <c r="AM45" i="3570" a="1"/>
  <c r="AM45" i="3570" s="1"/>
  <c r="AV45" i="3570" s="1" a="1"/>
  <c r="AV45" i="3570" s="1"/>
  <c r="W46" i="3435"/>
  <c r="AD45" i="3435" a="1"/>
  <c r="AD45" i="3435" s="1"/>
  <c r="AB44" i="3518"/>
  <c r="AI43" i="3518" a="1"/>
  <c r="AI43" i="3518" s="1"/>
  <c r="AP43" i="3518" s="1" a="1"/>
  <c r="AP43" i="3518" s="1"/>
  <c r="A163" i="3523"/>
  <c r="AL50" i="3435"/>
  <c r="AT49" i="3435" a="1"/>
  <c r="AT49" i="3435" s="1"/>
  <c r="BB49" i="3435" s="1" a="1"/>
  <c r="BB49" i="3435" s="1"/>
  <c r="C164" i="3523"/>
  <c r="Q164" i="3523" s="1" a="1"/>
  <c r="Q164" i="3523" s="1"/>
  <c r="BQ133" i="3448"/>
  <c r="BZ135" i="3448"/>
  <c r="CG134" i="3448"/>
  <c r="L164" i="3523" a="1"/>
  <c r="L164" i="3523" s="1"/>
  <c r="E165" i="3523"/>
  <c r="AA165" i="3523" s="1" a="1"/>
  <c r="AA165" i="3523" s="1"/>
  <c r="BS134" i="3448"/>
  <c r="AG46" i="3570"/>
  <c r="AP45" i="3570" a="1"/>
  <c r="AP45" i="3570" s="1"/>
  <c r="AY45" i="3570" s="1" a="1"/>
  <c r="AY45" i="3570" s="1"/>
  <c r="AQ50" i="3435"/>
  <c r="AY49" i="3435" a="1"/>
  <c r="AY49" i="3435" s="1"/>
  <c r="BG49" i="3435" s="1" a="1"/>
  <c r="BG49" i="3435" s="1"/>
  <c r="AM50" i="3435"/>
  <c r="AU49" i="3435" a="1"/>
  <c r="AU49" i="3435" s="1"/>
  <c r="BC49" i="3435" s="1" a="1"/>
  <c r="BC49" i="3435" s="1"/>
  <c r="AK45" i="3570" a="1"/>
  <c r="AK45" i="3570" s="1"/>
  <c r="AT45" i="3570" s="1" a="1"/>
  <c r="AT45" i="3570" s="1"/>
  <c r="AB46" i="3570"/>
  <c r="AJ43" i="3518" a="1"/>
  <c r="AJ43" i="3518" s="1"/>
  <c r="AQ43" i="3518" s="1" a="1"/>
  <c r="AQ43" i="3518" s="1"/>
  <c r="AC44" i="3518"/>
  <c r="AG45" i="3435" a="1"/>
  <c r="AG45" i="3435" s="1"/>
  <c r="Z46" i="3435"/>
  <c r="AE44" i="3518"/>
  <c r="AL43" i="3518" a="1"/>
  <c r="AL43" i="3518" s="1"/>
  <c r="AS43" i="3518" s="1" a="1"/>
  <c r="AS43" i="3518" s="1"/>
  <c r="AC48" i="3564" l="1"/>
  <c r="Y49" i="3564"/>
  <c r="AB47" i="3564"/>
  <c r="X48" i="3564"/>
  <c r="Z49" i="3564"/>
  <c r="AD48" i="3564"/>
  <c r="BF49" i="3564"/>
  <c r="BJ48" i="3564"/>
  <c r="BO51" i="3564"/>
  <c r="BV50" i="3564"/>
  <c r="BI48" i="3564"/>
  <c r="BE49" i="3564"/>
  <c r="AG49" i="3564"/>
  <c r="AN48" i="3564"/>
  <c r="AJ50" i="3564"/>
  <c r="AQ49" i="3564"/>
  <c r="BX50" i="3564"/>
  <c r="BQ51" i="3564"/>
  <c r="AT48" i="3564"/>
  <c r="AM49" i="3564"/>
  <c r="AH49" i="3564"/>
  <c r="AO48" i="3564"/>
  <c r="BY50" i="3564"/>
  <c r="BR51" i="3564"/>
  <c r="BN51" i="3564"/>
  <c r="BU50" i="3564"/>
  <c r="AI49" i="3564"/>
  <c r="AP48" i="3564"/>
  <c r="AS48" i="3564"/>
  <c r="AL49" i="3564"/>
  <c r="AR48" i="3564"/>
  <c r="AK49" i="3564"/>
  <c r="A164" i="3523"/>
  <c r="BD49" i="3564"/>
  <c r="BH48" i="3564"/>
  <c r="AC47" i="3570"/>
  <c r="AL46" i="3570" a="1"/>
  <c r="AL46" i="3570" s="1"/>
  <c r="AU46" i="3570" s="1" a="1"/>
  <c r="AU46" i="3570" s="1"/>
  <c r="AM44" i="3518" a="1"/>
  <c r="AM44" i="3518" s="1"/>
  <c r="AT44" i="3518" s="1" a="1"/>
  <c r="AT44" i="3518" s="1"/>
  <c r="AF45" i="3518"/>
  <c r="AV50" i="3435" a="1"/>
  <c r="AV50" i="3435" s="1"/>
  <c r="BD50" i="3435" s="1" a="1"/>
  <c r="BD50" i="3435" s="1"/>
  <c r="AN51" i="3435"/>
  <c r="AQ51" i="3435"/>
  <c r="AY50" i="3435" a="1"/>
  <c r="AY50" i="3435" s="1"/>
  <c r="BG50" i="3435" s="1" a="1"/>
  <c r="BG50" i="3435" s="1"/>
  <c r="AD46" i="3435" a="1"/>
  <c r="AD46" i="3435" s="1"/>
  <c r="W47" i="3435"/>
  <c r="AM46" i="3570" a="1"/>
  <c r="AM46" i="3570" s="1"/>
  <c r="AV46" i="3570" s="1" a="1"/>
  <c r="AV46" i="3570" s="1"/>
  <c r="AD47" i="3570"/>
  <c r="CA52" i="3564"/>
  <c r="BT53" i="3564"/>
  <c r="AP51" i="3435"/>
  <c r="AX50" i="3435" a="1"/>
  <c r="AX50" i="3435" s="1"/>
  <c r="BF50" i="3435" s="1" a="1"/>
  <c r="BF50" i="3435" s="1"/>
  <c r="E166" i="3523"/>
  <c r="AA166" i="3523" s="1" a="1"/>
  <c r="AA166" i="3523" s="1"/>
  <c r="BS135" i="3448"/>
  <c r="AC46" i="3435" a="1"/>
  <c r="AC46" i="3435" s="1"/>
  <c r="V47" i="3435"/>
  <c r="AO51" i="3435"/>
  <c r="AW50" i="3435" a="1"/>
  <c r="AW50" i="3435" s="1"/>
  <c r="BE50" i="3435" s="1" a="1"/>
  <c r="BE50" i="3435" s="1"/>
  <c r="Z47" i="3435"/>
  <c r="AG46" i="3435" a="1"/>
  <c r="AG46" i="3435" s="1"/>
  <c r="AQ46" i="3570" a="1"/>
  <c r="AQ46" i="3570" s="1"/>
  <c r="AZ46" i="3570" s="1" a="1"/>
  <c r="AZ46" i="3570" s="1"/>
  <c r="AH47" i="3570"/>
  <c r="BS53" i="3564"/>
  <c r="BZ52" i="3564"/>
  <c r="AC45" i="3518"/>
  <c r="AJ44" i="3518" a="1"/>
  <c r="AJ44" i="3518" s="1"/>
  <c r="AQ44" i="3518" s="1" a="1"/>
  <c r="AQ44" i="3518" s="1"/>
  <c r="Y137" i="3448"/>
  <c r="AC136" i="3448"/>
  <c r="AK51" i="3435"/>
  <c r="AS50" i="3435" a="1"/>
  <c r="AS50" i="3435" s="1"/>
  <c r="BA50" i="3435" s="1" a="1"/>
  <c r="BA50" i="3435" s="1"/>
  <c r="AN46" i="3570" a="1"/>
  <c r="AN46" i="3570" s="1"/>
  <c r="AW46" i="3570" s="1" a="1"/>
  <c r="AW46" i="3570" s="1"/>
  <c r="AE47" i="3570"/>
  <c r="AP46" i="3570" a="1"/>
  <c r="AP46" i="3570" s="1"/>
  <c r="AY46" i="3570" s="1" a="1"/>
  <c r="AY46" i="3570" s="1"/>
  <c r="AG47" i="3570"/>
  <c r="AT50" i="3435" a="1"/>
  <c r="AT50" i="3435" s="1"/>
  <c r="BB50" i="3435" s="1" a="1"/>
  <c r="BB50" i="3435" s="1"/>
  <c r="AL51" i="3435"/>
  <c r="D166" i="3523"/>
  <c r="V166" i="3523" s="1" a="1"/>
  <c r="V166" i="3523" s="1"/>
  <c r="BR135" i="3448"/>
  <c r="AA45" i="3518"/>
  <c r="AH44" i="3518" a="1"/>
  <c r="AH44" i="3518" s="1"/>
  <c r="AO44" i="3518" s="1" a="1"/>
  <c r="AO44" i="3518" s="1"/>
  <c r="AB134" i="3448"/>
  <c r="X135" i="3448"/>
  <c r="Y47" i="3435"/>
  <c r="AF46" i="3435" a="1"/>
  <c r="AF46" i="3435" s="1"/>
  <c r="U46" i="3435"/>
  <c r="AB45" i="3435" a="1"/>
  <c r="AB45" i="3435" s="1"/>
  <c r="Z134" i="3448"/>
  <c r="AD133" i="3448"/>
  <c r="AL44" i="3518" a="1"/>
  <c r="AL44" i="3518" s="1"/>
  <c r="AS44" i="3518" s="1" a="1"/>
  <c r="AS44" i="3518" s="1"/>
  <c r="AE45" i="3518"/>
  <c r="AK44" i="3518" a="1"/>
  <c r="AK44" i="3518" s="1"/>
  <c r="AR44" i="3518" s="1" a="1"/>
  <c r="AR44" i="3518" s="1"/>
  <c r="AD45" i="3518"/>
  <c r="AB47" i="3570"/>
  <c r="AK46" i="3570" a="1"/>
  <c r="AK46" i="3570" s="1"/>
  <c r="AT46" i="3570" s="1" a="1"/>
  <c r="AT46" i="3570" s="1"/>
  <c r="BZ136" i="3448"/>
  <c r="CG135" i="3448"/>
  <c r="BW51" i="3564"/>
  <c r="BP52" i="3564"/>
  <c r="B166" i="3523"/>
  <c r="BP135" i="3448"/>
  <c r="C165" i="3523"/>
  <c r="Q165" i="3523" s="1" a="1"/>
  <c r="Q165" i="3523" s="1"/>
  <c r="BQ134" i="3448"/>
  <c r="AR46" i="3570" a="1"/>
  <c r="AR46" i="3570" s="1"/>
  <c r="BA46" i="3570" s="1" a="1"/>
  <c r="BA46" i="3570" s="1"/>
  <c r="AI47" i="3570"/>
  <c r="F165" i="3523"/>
  <c r="AF165" i="3523" s="1" a="1"/>
  <c r="AF165" i="3523" s="1"/>
  <c r="BT134" i="3448"/>
  <c r="AU50" i="3435" a="1"/>
  <c r="AU50" i="3435" s="1"/>
  <c r="BC50" i="3435" s="1" a="1"/>
  <c r="BC50" i="3435" s="1"/>
  <c r="AM51" i="3435"/>
  <c r="AB45" i="3518"/>
  <c r="AI44" i="3518" a="1"/>
  <c r="AI44" i="3518" s="1"/>
  <c r="AP44" i="3518" s="1" a="1"/>
  <c r="AP44" i="3518" s="1"/>
  <c r="A165" i="3523"/>
  <c r="L165" i="3523" a="1"/>
  <c r="L165" i="3523" s="1"/>
  <c r="AE46" i="3435" a="1"/>
  <c r="AE46" i="3435" s="1"/>
  <c r="X47" i="3435"/>
  <c r="AO46" i="3570" a="1"/>
  <c r="AO46" i="3570" s="1"/>
  <c r="AX46" i="3570" s="1" a="1"/>
  <c r="AX46" i="3570" s="1"/>
  <c r="AF47" i="3570"/>
  <c r="BY51" i="3564" l="1"/>
  <c r="BR52" i="3564"/>
  <c r="AH50" i="3564"/>
  <c r="AO49" i="3564"/>
  <c r="AM50" i="3564"/>
  <c r="AT49" i="3564"/>
  <c r="BX51" i="3564"/>
  <c r="BQ52" i="3564"/>
  <c r="AJ51" i="3564"/>
  <c r="AQ50" i="3564"/>
  <c r="AG50" i="3564"/>
  <c r="AN49" i="3564"/>
  <c r="BE50" i="3564"/>
  <c r="BI49" i="3564"/>
  <c r="BV51" i="3564"/>
  <c r="BO52" i="3564"/>
  <c r="BJ49" i="3564"/>
  <c r="BF50" i="3564"/>
  <c r="AL50" i="3564"/>
  <c r="AS49" i="3564"/>
  <c r="AK50" i="3564"/>
  <c r="AR49" i="3564"/>
  <c r="AD49" i="3564"/>
  <c r="Z50" i="3564"/>
  <c r="AB48" i="3564"/>
  <c r="X49" i="3564"/>
  <c r="AI50" i="3564"/>
  <c r="AP49" i="3564"/>
  <c r="BD50" i="3564"/>
  <c r="BH49" i="3564"/>
  <c r="Y50" i="3564"/>
  <c r="AC49" i="3564"/>
  <c r="BU51" i="3564"/>
  <c r="BN52" i="3564"/>
  <c r="V48" i="3435"/>
  <c r="AC47" i="3435" a="1"/>
  <c r="AC47" i="3435" s="1"/>
  <c r="E167" i="3523"/>
  <c r="AA167" i="3523" s="1" a="1"/>
  <c r="AA167" i="3523" s="1"/>
  <c r="BS136" i="3448"/>
  <c r="X136" i="3448"/>
  <c r="AB135" i="3448"/>
  <c r="AN47" i="3570" a="1"/>
  <c r="AN47" i="3570" s="1"/>
  <c r="AW47" i="3570" s="1" a="1"/>
  <c r="AW47" i="3570" s="1"/>
  <c r="AE48" i="3570"/>
  <c r="AX51" i="3435" a="1"/>
  <c r="AX51" i="3435" s="1"/>
  <c r="BF51" i="3435" s="1" a="1"/>
  <c r="BF51" i="3435" s="1"/>
  <c r="AP52" i="3435"/>
  <c r="CA53" i="3564"/>
  <c r="BT54" i="3564"/>
  <c r="AM47" i="3570" a="1"/>
  <c r="AM47" i="3570" s="1"/>
  <c r="AV47" i="3570" s="1" a="1"/>
  <c r="AV47" i="3570" s="1"/>
  <c r="AD48" i="3570"/>
  <c r="X48" i="3435"/>
  <c r="AE47" i="3435" a="1"/>
  <c r="AE47" i="3435" s="1"/>
  <c r="AH45" i="3518" a="1"/>
  <c r="AH45" i="3518" s="1"/>
  <c r="AO45" i="3518" s="1" a="1"/>
  <c r="AO45" i="3518" s="1"/>
  <c r="AA46" i="3518"/>
  <c r="AS51" i="3435" a="1"/>
  <c r="AS51" i="3435" s="1"/>
  <c r="BA51" i="3435" s="1" a="1"/>
  <c r="BA51" i="3435" s="1"/>
  <c r="AK52" i="3435"/>
  <c r="BZ137" i="3448"/>
  <c r="CG136" i="3448"/>
  <c r="W48" i="3435"/>
  <c r="AD47" i="3435" a="1"/>
  <c r="AD47" i="3435" s="1"/>
  <c r="AO47" i="3570" a="1"/>
  <c r="AO47" i="3570" s="1"/>
  <c r="AX47" i="3570" s="1" a="1"/>
  <c r="AX47" i="3570" s="1"/>
  <c r="AF48" i="3570"/>
  <c r="AD46" i="3518"/>
  <c r="AK45" i="3518" a="1"/>
  <c r="AK45" i="3518" s="1"/>
  <c r="AR45" i="3518" s="1" a="1"/>
  <c r="AR45" i="3518" s="1"/>
  <c r="AE46" i="3518"/>
  <c r="AL45" i="3518" a="1"/>
  <c r="AL45" i="3518" s="1"/>
  <c r="AS45" i="3518" s="1" a="1"/>
  <c r="AS45" i="3518" s="1"/>
  <c r="AH48" i="3570"/>
  <c r="AQ47" i="3570" a="1"/>
  <c r="AQ47" i="3570" s="1"/>
  <c r="AZ47" i="3570" s="1" a="1"/>
  <c r="AZ47" i="3570" s="1"/>
  <c r="AY51" i="3435" a="1"/>
  <c r="AY51" i="3435" s="1"/>
  <c r="BG51" i="3435" s="1" a="1"/>
  <c r="BG51" i="3435" s="1"/>
  <c r="AQ52" i="3435"/>
  <c r="AJ45" i="3518" a="1"/>
  <c r="AJ45" i="3518" s="1"/>
  <c r="AQ45" i="3518" s="1" a="1"/>
  <c r="AQ45" i="3518" s="1"/>
  <c r="AC46" i="3518"/>
  <c r="AI45" i="3518" a="1"/>
  <c r="AI45" i="3518" s="1"/>
  <c r="AP45" i="3518" s="1" a="1"/>
  <c r="AP45" i="3518" s="1"/>
  <c r="AB46" i="3518"/>
  <c r="AV51" i="3435" a="1"/>
  <c r="AV51" i="3435" s="1"/>
  <c r="BD51" i="3435" s="1" a="1"/>
  <c r="BD51" i="3435" s="1"/>
  <c r="AN52" i="3435"/>
  <c r="AU51" i="3435" a="1"/>
  <c r="AU51" i="3435" s="1"/>
  <c r="BC51" i="3435" s="1" a="1"/>
  <c r="BC51" i="3435" s="1"/>
  <c r="AM52" i="3435"/>
  <c r="AR47" i="3570" a="1"/>
  <c r="AR47" i="3570" s="1"/>
  <c r="BA47" i="3570" s="1" a="1"/>
  <c r="BA47" i="3570" s="1"/>
  <c r="AI48" i="3570"/>
  <c r="AG47" i="3435" a="1"/>
  <c r="AG47" i="3435" s="1"/>
  <c r="Z48" i="3435"/>
  <c r="AF47" i="3435" a="1"/>
  <c r="AF47" i="3435" s="1"/>
  <c r="Y48" i="3435"/>
  <c r="BW52" i="3564"/>
  <c r="BP53" i="3564"/>
  <c r="F166" i="3523"/>
  <c r="AF166" i="3523" s="1" a="1"/>
  <c r="AF166" i="3523" s="1"/>
  <c r="BT135" i="3448"/>
  <c r="C166" i="3523"/>
  <c r="Q166" i="3523" s="1" a="1"/>
  <c r="Q166" i="3523" s="1"/>
  <c r="BQ135" i="3448"/>
  <c r="AL52" i="3435"/>
  <c r="AT51" i="3435" a="1"/>
  <c r="AT51" i="3435" s="1"/>
  <c r="BB51" i="3435" s="1" a="1"/>
  <c r="BB51" i="3435" s="1"/>
  <c r="AF46" i="3518"/>
  <c r="AM45" i="3518" a="1"/>
  <c r="AM45" i="3518" s="1"/>
  <c r="AT45" i="3518" s="1" a="1"/>
  <c r="AT45" i="3518" s="1"/>
  <c r="D167" i="3523"/>
  <c r="V167" i="3523" s="1" a="1"/>
  <c r="V167" i="3523" s="1"/>
  <c r="BR136" i="3448"/>
  <c r="AO52" i="3435"/>
  <c r="AW51" i="3435" a="1"/>
  <c r="AW51" i="3435" s="1"/>
  <c r="BE51" i="3435" s="1" a="1"/>
  <c r="BE51" i="3435" s="1"/>
  <c r="Y138" i="3448"/>
  <c r="AC137" i="3448"/>
  <c r="AB48" i="3570"/>
  <c r="AK47" i="3570" a="1"/>
  <c r="AK47" i="3570" s="1"/>
  <c r="AT47" i="3570" s="1" a="1"/>
  <c r="AT47" i="3570" s="1"/>
  <c r="Z135" i="3448"/>
  <c r="AD134" i="3448"/>
  <c r="B167" i="3523"/>
  <c r="BP136" i="3448"/>
  <c r="AG48" i="3570"/>
  <c r="AP47" i="3570" a="1"/>
  <c r="AP47" i="3570" s="1"/>
  <c r="AY47" i="3570" s="1" a="1"/>
  <c r="AY47" i="3570" s="1"/>
  <c r="BS54" i="3564"/>
  <c r="BZ53" i="3564"/>
  <c r="L166" i="3523" a="1"/>
  <c r="L166" i="3523" s="1"/>
  <c r="U47" i="3435"/>
  <c r="AB46" i="3435" a="1"/>
  <c r="AB46" i="3435" s="1"/>
  <c r="AC48" i="3570"/>
  <c r="AL47" i="3570" a="1"/>
  <c r="AL47" i="3570" s="1"/>
  <c r="AU47" i="3570" s="1" a="1"/>
  <c r="AU47" i="3570" s="1"/>
  <c r="AD50" i="3564" l="1"/>
  <c r="Z51" i="3564"/>
  <c r="AK51" i="3564"/>
  <c r="AR50" i="3564"/>
  <c r="AL51" i="3564"/>
  <c r="AS50" i="3564"/>
  <c r="BF51" i="3564"/>
  <c r="BJ50" i="3564"/>
  <c r="BV52" i="3564"/>
  <c r="BO53" i="3564"/>
  <c r="BI50" i="3564"/>
  <c r="BE51" i="3564"/>
  <c r="AC50" i="3564"/>
  <c r="Y51" i="3564"/>
  <c r="BQ53" i="3564"/>
  <c r="BX52" i="3564"/>
  <c r="AN50" i="3564"/>
  <c r="AG51" i="3564"/>
  <c r="AQ51" i="3564"/>
  <c r="AJ52" i="3564"/>
  <c r="BH50" i="3564"/>
  <c r="BD51" i="3564"/>
  <c r="AM51" i="3564"/>
  <c r="AT50" i="3564"/>
  <c r="BU52" i="3564"/>
  <c r="BN53" i="3564"/>
  <c r="AP50" i="3564"/>
  <c r="AI51" i="3564"/>
  <c r="AO50" i="3564"/>
  <c r="AH51" i="3564"/>
  <c r="AB49" i="3564"/>
  <c r="X50" i="3564"/>
  <c r="BR53" i="3564"/>
  <c r="BY52" i="3564"/>
  <c r="X49" i="3435"/>
  <c r="AE48" i="3435" a="1"/>
  <c r="AE48" i="3435" s="1"/>
  <c r="AD49" i="3570"/>
  <c r="AM48" i="3570" a="1"/>
  <c r="AM48" i="3570" s="1"/>
  <c r="AV48" i="3570" s="1" a="1"/>
  <c r="AV48" i="3570" s="1"/>
  <c r="F167" i="3523"/>
  <c r="AF167" i="3523" s="1" a="1"/>
  <c r="AF167" i="3523" s="1"/>
  <c r="BT136" i="3448"/>
  <c r="BT55" i="3564"/>
  <c r="CA54" i="3564"/>
  <c r="AX52" i="3435" a="1"/>
  <c r="AX52" i="3435" s="1"/>
  <c r="BF52" i="3435" s="1" a="1"/>
  <c r="BF52" i="3435" s="1"/>
  <c r="AP53" i="3435"/>
  <c r="AE47" i="3518"/>
  <c r="AL46" i="3518" a="1"/>
  <c r="AL46" i="3518" s="1"/>
  <c r="AS46" i="3518" s="1" a="1"/>
  <c r="AS46" i="3518" s="1"/>
  <c r="Z49" i="3435"/>
  <c r="AG48" i="3435" a="1"/>
  <c r="AG48" i="3435" s="1"/>
  <c r="AI49" i="3570"/>
  <c r="AR48" i="3570" a="1"/>
  <c r="AR48" i="3570" s="1"/>
  <c r="BA48" i="3570" s="1" a="1"/>
  <c r="BA48" i="3570" s="1"/>
  <c r="AE49" i="3570"/>
  <c r="AN48" i="3570" a="1"/>
  <c r="AN48" i="3570" s="1"/>
  <c r="AW48" i="3570" s="1" a="1"/>
  <c r="AW48" i="3570" s="1"/>
  <c r="L167" i="3523" a="1"/>
  <c r="L167" i="3523" s="1"/>
  <c r="U48" i="3435"/>
  <c r="AB47" i="3435" a="1"/>
  <c r="AB47" i="3435" s="1"/>
  <c r="X137" i="3448"/>
  <c r="AB136" i="3448"/>
  <c r="AD47" i="3518"/>
  <c r="AK46" i="3518" a="1"/>
  <c r="AK46" i="3518" s="1"/>
  <c r="AR46" i="3518" s="1" a="1"/>
  <c r="AR46" i="3518" s="1"/>
  <c r="A166" i="3523"/>
  <c r="D168" i="3523"/>
  <c r="V168" i="3523" s="1" a="1"/>
  <c r="V168" i="3523" s="1"/>
  <c r="BR137" i="3448"/>
  <c r="AN53" i="3435"/>
  <c r="AV52" i="3435" a="1"/>
  <c r="AV52" i="3435" s="1"/>
  <c r="BD52" i="3435" s="1" a="1"/>
  <c r="BD52" i="3435" s="1"/>
  <c r="B168" i="3523"/>
  <c r="BP137" i="3448"/>
  <c r="AL48" i="3570" a="1"/>
  <c r="AL48" i="3570" s="1"/>
  <c r="AU48" i="3570" s="1" a="1"/>
  <c r="AU48" i="3570" s="1"/>
  <c r="AC49" i="3570"/>
  <c r="AF49" i="3570"/>
  <c r="AO48" i="3570" a="1"/>
  <c r="AO48" i="3570" s="1"/>
  <c r="AX48" i="3570" s="1" a="1"/>
  <c r="AX48" i="3570" s="1"/>
  <c r="AD135" i="3448"/>
  <c r="Z136" i="3448"/>
  <c r="CG137" i="3448"/>
  <c r="BZ138" i="3448"/>
  <c r="BW53" i="3564"/>
  <c r="BP54" i="3564"/>
  <c r="AK48" i="3570" a="1"/>
  <c r="AK48" i="3570" s="1"/>
  <c r="AT48" i="3570" s="1" a="1"/>
  <c r="AT48" i="3570" s="1"/>
  <c r="AB49" i="3570"/>
  <c r="AF47" i="3518"/>
  <c r="AM46" i="3518" a="1"/>
  <c r="AM46" i="3518" s="1"/>
  <c r="AT46" i="3518" s="1" a="1"/>
  <c r="AT46" i="3518" s="1"/>
  <c r="AC138" i="3448"/>
  <c r="Y139" i="3448"/>
  <c r="AU52" i="3435" a="1"/>
  <c r="AU52" i="3435" s="1"/>
  <c r="BC52" i="3435" s="1" a="1"/>
  <c r="BC52" i="3435" s="1"/>
  <c r="AM53" i="3435"/>
  <c r="AO53" i="3435"/>
  <c r="AW52" i="3435" a="1"/>
  <c r="AW52" i="3435" s="1"/>
  <c r="BE52" i="3435" s="1" a="1"/>
  <c r="BE52" i="3435" s="1"/>
  <c r="W49" i="3435"/>
  <c r="AD48" i="3435" a="1"/>
  <c r="AD48" i="3435" s="1"/>
  <c r="AC47" i="3518"/>
  <c r="AJ46" i="3518" a="1"/>
  <c r="AJ46" i="3518" s="1"/>
  <c r="AQ46" i="3518" s="1" a="1"/>
  <c r="AQ46" i="3518" s="1"/>
  <c r="AY52" i="3435" a="1"/>
  <c r="AY52" i="3435" s="1"/>
  <c r="BG52" i="3435" s="1" a="1"/>
  <c r="BG52" i="3435" s="1"/>
  <c r="AQ53" i="3435"/>
  <c r="BS55" i="3564"/>
  <c r="BZ54" i="3564"/>
  <c r="AK53" i="3435"/>
  <c r="AS52" i="3435" a="1"/>
  <c r="AS52" i="3435" s="1"/>
  <c r="BA52" i="3435" s="1" a="1"/>
  <c r="BA52" i="3435" s="1"/>
  <c r="AT52" i="3435" a="1"/>
  <c r="AT52" i="3435" s="1"/>
  <c r="BB52" i="3435" s="1" a="1"/>
  <c r="BB52" i="3435" s="1"/>
  <c r="AL53" i="3435"/>
  <c r="AC48" i="3435" a="1"/>
  <c r="AC48" i="3435" s="1"/>
  <c r="V49" i="3435"/>
  <c r="Y49" i="3435"/>
  <c r="AF48" i="3435" a="1"/>
  <c r="AF48" i="3435" s="1"/>
  <c r="C167" i="3523"/>
  <c r="Q167" i="3523" s="1" a="1"/>
  <c r="Q167" i="3523" s="1"/>
  <c r="BQ136" i="3448"/>
  <c r="AA47" i="3518"/>
  <c r="AH46" i="3518" a="1"/>
  <c r="AH46" i="3518" s="1"/>
  <c r="AO46" i="3518" s="1" a="1"/>
  <c r="AO46" i="3518" s="1"/>
  <c r="AI46" i="3518" a="1"/>
  <c r="AI46" i="3518" s="1"/>
  <c r="AP46" i="3518" s="1" a="1"/>
  <c r="AP46" i="3518" s="1"/>
  <c r="AB47" i="3518"/>
  <c r="E168" i="3523"/>
  <c r="AA168" i="3523" s="1" a="1"/>
  <c r="AA168" i="3523" s="1"/>
  <c r="BS137" i="3448"/>
  <c r="AP48" i="3570" a="1"/>
  <c r="AP48" i="3570" s="1"/>
  <c r="AY48" i="3570" s="1" a="1"/>
  <c r="AY48" i="3570" s="1"/>
  <c r="AG49" i="3570"/>
  <c r="AH49" i="3570"/>
  <c r="AQ48" i="3570" a="1"/>
  <c r="AQ48" i="3570" s="1"/>
  <c r="AZ48" i="3570" s="1" a="1"/>
  <c r="AZ48" i="3570" s="1"/>
  <c r="AM52" i="3564" l="1"/>
  <c r="AT51" i="3564"/>
  <c r="BH51" i="3564"/>
  <c r="BD52" i="3564"/>
  <c r="AQ52" i="3564"/>
  <c r="AJ53" i="3564"/>
  <c r="AG52" i="3564"/>
  <c r="AN51" i="3564"/>
  <c r="BQ54" i="3564"/>
  <c r="BX53" i="3564"/>
  <c r="Y52" i="3564"/>
  <c r="AC51" i="3564"/>
  <c r="BE52" i="3564"/>
  <c r="BI51" i="3564"/>
  <c r="BJ51" i="3564"/>
  <c r="BF52" i="3564"/>
  <c r="BV53" i="3564"/>
  <c r="BO54" i="3564"/>
  <c r="AO51" i="3564"/>
  <c r="AH52" i="3564"/>
  <c r="BR54" i="3564"/>
  <c r="BY53" i="3564"/>
  <c r="AS51" i="3564"/>
  <c r="AL52" i="3564"/>
  <c r="AB50" i="3564"/>
  <c r="X51" i="3564"/>
  <c r="AP51" i="3564"/>
  <c r="AI52" i="3564"/>
  <c r="A167" i="3523"/>
  <c r="AK52" i="3564"/>
  <c r="AR51" i="3564"/>
  <c r="BU53" i="3564"/>
  <c r="BN54" i="3564"/>
  <c r="AD51" i="3564"/>
  <c r="Z52" i="3564"/>
  <c r="AE50" i="3570"/>
  <c r="AN49" i="3570" a="1"/>
  <c r="AN49" i="3570" s="1"/>
  <c r="AW49" i="3570" s="1" a="1"/>
  <c r="AW49" i="3570" s="1"/>
  <c r="AC139" i="3448"/>
  <c r="Y140" i="3448"/>
  <c r="AG49" i="3435" a="1"/>
  <c r="AG49" i="3435" s="1"/>
  <c r="Z50" i="3435"/>
  <c r="AJ47" i="3518" a="1"/>
  <c r="AJ47" i="3518" s="1"/>
  <c r="AQ47" i="3518" s="1" a="1"/>
  <c r="AQ47" i="3518" s="1"/>
  <c r="AC48" i="3518"/>
  <c r="AC49" i="3435" a="1"/>
  <c r="AC49" i="3435" s="1"/>
  <c r="V50" i="3435"/>
  <c r="AM54" i="3435"/>
  <c r="AU53" i="3435" a="1"/>
  <c r="AU53" i="3435" s="1"/>
  <c r="BC53" i="3435" s="1" a="1"/>
  <c r="BC53" i="3435" s="1"/>
  <c r="D169" i="3523"/>
  <c r="V169" i="3523" s="1" a="1"/>
  <c r="V169" i="3523" s="1"/>
  <c r="BR138" i="3448"/>
  <c r="AD49" i="3435" a="1"/>
  <c r="AD49" i="3435" s="1"/>
  <c r="W50" i="3435"/>
  <c r="AR49" i="3570" a="1"/>
  <c r="AR49" i="3570" s="1"/>
  <c r="BA49" i="3570" s="1" a="1"/>
  <c r="BA49" i="3570" s="1"/>
  <c r="AI50" i="3570"/>
  <c r="AT53" i="3435" a="1"/>
  <c r="AT53" i="3435" s="1"/>
  <c r="BB53" i="3435" s="1" a="1"/>
  <c r="BB53" i="3435" s="1"/>
  <c r="AL54" i="3435"/>
  <c r="L168" i="3523" a="1"/>
  <c r="L168" i="3523" s="1"/>
  <c r="BZ55" i="3564"/>
  <c r="BS56" i="3564"/>
  <c r="AK54" i="3435"/>
  <c r="AS53" i="3435" a="1"/>
  <c r="AS53" i="3435" s="1"/>
  <c r="BA53" i="3435" s="1" a="1"/>
  <c r="BA53" i="3435" s="1"/>
  <c r="AE48" i="3518"/>
  <c r="AL47" i="3518" a="1"/>
  <c r="AL47" i="3518" s="1"/>
  <c r="AS47" i="3518" s="1" a="1"/>
  <c r="AS47" i="3518" s="1"/>
  <c r="AO49" i="3570" a="1"/>
  <c r="AO49" i="3570" s="1"/>
  <c r="AX49" i="3570" s="1" a="1"/>
  <c r="AX49" i="3570" s="1"/>
  <c r="AF50" i="3570"/>
  <c r="B169" i="3523"/>
  <c r="BP138" i="3448"/>
  <c r="AG50" i="3570"/>
  <c r="AP49" i="3570" a="1"/>
  <c r="AP49" i="3570" s="1"/>
  <c r="AY49" i="3570" s="1" a="1"/>
  <c r="AY49" i="3570" s="1"/>
  <c r="AF48" i="3518"/>
  <c r="AM47" i="3518" a="1"/>
  <c r="AM47" i="3518" s="1"/>
  <c r="AT47" i="3518" s="1" a="1"/>
  <c r="AT47" i="3518" s="1"/>
  <c r="AV53" i="3435" a="1"/>
  <c r="AV53" i="3435" s="1"/>
  <c r="BD53" i="3435" s="1" a="1"/>
  <c r="BD53" i="3435" s="1"/>
  <c r="AN54" i="3435"/>
  <c r="E169" i="3523"/>
  <c r="AA169" i="3523" s="1" a="1"/>
  <c r="AA169" i="3523" s="1"/>
  <c r="BS138" i="3448"/>
  <c r="CA55" i="3564"/>
  <c r="BT56" i="3564"/>
  <c r="F168" i="3523"/>
  <c r="AF168" i="3523" s="1" a="1"/>
  <c r="AF168" i="3523" s="1"/>
  <c r="BT137" i="3448"/>
  <c r="AK49" i="3570" a="1"/>
  <c r="AK49" i="3570" s="1"/>
  <c r="AT49" i="3570" s="1" a="1"/>
  <c r="AT49" i="3570" s="1"/>
  <c r="AB50" i="3570"/>
  <c r="Z137" i="3448"/>
  <c r="AD136" i="3448"/>
  <c r="AK47" i="3518" a="1"/>
  <c r="AK47" i="3518" s="1"/>
  <c r="AR47" i="3518" s="1" a="1"/>
  <c r="AR47" i="3518" s="1"/>
  <c r="AD48" i="3518"/>
  <c r="AQ49" i="3570" a="1"/>
  <c r="AQ49" i="3570" s="1"/>
  <c r="AZ49" i="3570" s="1" a="1"/>
  <c r="AZ49" i="3570" s="1"/>
  <c r="AH50" i="3570"/>
  <c r="AB48" i="3518"/>
  <c r="AI47" i="3518" a="1"/>
  <c r="AI47" i="3518" s="1"/>
  <c r="AP47" i="3518" s="1" a="1"/>
  <c r="AP47" i="3518" s="1"/>
  <c r="BZ139" i="3448"/>
  <c r="CG138" i="3448"/>
  <c r="C168" i="3523"/>
  <c r="Q168" i="3523" s="1" a="1"/>
  <c r="Q168" i="3523" s="1"/>
  <c r="BQ137" i="3448"/>
  <c r="X138" i="3448"/>
  <c r="AB137" i="3448"/>
  <c r="AD50" i="3570"/>
  <c r="AM49" i="3570" a="1"/>
  <c r="AM49" i="3570" s="1"/>
  <c r="AV49" i="3570" s="1" a="1"/>
  <c r="AV49" i="3570" s="1"/>
  <c r="AF49" i="3435" a="1"/>
  <c r="AF49" i="3435" s="1"/>
  <c r="Y50" i="3435"/>
  <c r="AC50" i="3570"/>
  <c r="AL49" i="3570" a="1"/>
  <c r="AL49" i="3570" s="1"/>
  <c r="AU49" i="3570" s="1" a="1"/>
  <c r="AU49" i="3570" s="1"/>
  <c r="AW53" i="3435" a="1"/>
  <c r="AW53" i="3435" s="1"/>
  <c r="BE53" i="3435" s="1" a="1"/>
  <c r="BE53" i="3435" s="1"/>
  <c r="AO54" i="3435"/>
  <c r="AX53" i="3435" a="1"/>
  <c r="AX53" i="3435" s="1"/>
  <c r="BF53" i="3435" s="1" a="1"/>
  <c r="BF53" i="3435" s="1"/>
  <c r="AP54" i="3435"/>
  <c r="BW54" i="3564"/>
  <c r="BP55" i="3564"/>
  <c r="AA48" i="3518"/>
  <c r="AH47" i="3518" a="1"/>
  <c r="AH47" i="3518" s="1"/>
  <c r="AO47" i="3518" s="1" a="1"/>
  <c r="AO47" i="3518" s="1"/>
  <c r="AQ54" i="3435"/>
  <c r="AY53" i="3435" a="1"/>
  <c r="AY53" i="3435" s="1"/>
  <c r="BG53" i="3435" s="1" a="1"/>
  <c r="BG53" i="3435" s="1"/>
  <c r="U49" i="3435"/>
  <c r="AB48" i="3435" a="1"/>
  <c r="AB48" i="3435" s="1"/>
  <c r="AE49" i="3435" a="1"/>
  <c r="AE49" i="3435" s="1"/>
  <c r="X50" i="3435"/>
  <c r="AL53" i="3564" l="1"/>
  <c r="AS52" i="3564"/>
  <c r="BR55" i="3564"/>
  <c r="BY54" i="3564"/>
  <c r="AO52" i="3564"/>
  <c r="AH53" i="3564"/>
  <c r="BO55" i="3564"/>
  <c r="BV54" i="3564"/>
  <c r="BF53" i="3564"/>
  <c r="BJ52" i="3564"/>
  <c r="Y53" i="3564"/>
  <c r="AC52" i="3564"/>
  <c r="BX54" i="3564"/>
  <c r="BQ55" i="3564"/>
  <c r="AG53" i="3564"/>
  <c r="AN52" i="3564"/>
  <c r="AR52" i="3564"/>
  <c r="AK53" i="3564"/>
  <c r="AQ53" i="3564"/>
  <c r="AJ54" i="3564"/>
  <c r="BU54" i="3564"/>
  <c r="BN55" i="3564"/>
  <c r="A168" i="3523"/>
  <c r="AI53" i="3564"/>
  <c r="AP52" i="3564"/>
  <c r="BD53" i="3564"/>
  <c r="BH52" i="3564"/>
  <c r="X52" i="3564"/>
  <c r="AB51" i="3564"/>
  <c r="BI52" i="3564"/>
  <c r="BE53" i="3564"/>
  <c r="Z53" i="3564"/>
  <c r="AD52" i="3564"/>
  <c r="AM53" i="3564"/>
  <c r="AT52" i="3564"/>
  <c r="AL50" i="3570" a="1"/>
  <c r="AL50" i="3570" s="1"/>
  <c r="AU50" i="3570" s="1" a="1"/>
  <c r="AU50" i="3570" s="1"/>
  <c r="AC51" i="3570"/>
  <c r="AI51" i="3570"/>
  <c r="AR50" i="3570" a="1"/>
  <c r="AR50" i="3570" s="1"/>
  <c r="BA50" i="3570" s="1" a="1"/>
  <c r="BA50" i="3570" s="1"/>
  <c r="AN55" i="3435"/>
  <c r="AV54" i="3435" a="1"/>
  <c r="AV54" i="3435" s="1"/>
  <c r="BD54" i="3435" s="1" a="1"/>
  <c r="BD54" i="3435" s="1"/>
  <c r="W51" i="3435"/>
  <c r="AD50" i="3435" a="1"/>
  <c r="AD50" i="3435" s="1"/>
  <c r="D170" i="3523"/>
  <c r="V170" i="3523" s="1" a="1"/>
  <c r="V170" i="3523" s="1"/>
  <c r="BR139" i="3448"/>
  <c r="AT54" i="3435" a="1"/>
  <c r="AT54" i="3435" s="1"/>
  <c r="BB54" i="3435" s="1" a="1"/>
  <c r="BB54" i="3435" s="1"/>
  <c r="AL55" i="3435"/>
  <c r="AM48" i="3518" a="1"/>
  <c r="AM48" i="3518" s="1"/>
  <c r="AT48" i="3518" s="1" a="1"/>
  <c r="AT48" i="3518" s="1"/>
  <c r="AF49" i="3518"/>
  <c r="AM55" i="3435"/>
  <c r="AU54" i="3435" a="1"/>
  <c r="AU54" i="3435" s="1"/>
  <c r="BC54" i="3435" s="1" a="1"/>
  <c r="BC54" i="3435" s="1"/>
  <c r="AF50" i="3435" a="1"/>
  <c r="AF50" i="3435" s="1"/>
  <c r="Y51" i="3435"/>
  <c r="U50" i="3435"/>
  <c r="AB49" i="3435" a="1"/>
  <c r="AB49" i="3435" s="1"/>
  <c r="AC50" i="3435" a="1"/>
  <c r="AC50" i="3435" s="1"/>
  <c r="V51" i="3435"/>
  <c r="CA56" i="3564"/>
  <c r="BT57" i="3564"/>
  <c r="B170" i="3523"/>
  <c r="BP139" i="3448"/>
  <c r="L169" i="3523" a="1"/>
  <c r="L169" i="3523" s="1"/>
  <c r="AH51" i="3570"/>
  <c r="AQ50" i="3570" a="1"/>
  <c r="AQ50" i="3570" s="1"/>
  <c r="AZ50" i="3570" s="1" a="1"/>
  <c r="AZ50" i="3570" s="1"/>
  <c r="AG50" i="3435" a="1"/>
  <c r="AG50" i="3435" s="1"/>
  <c r="Z51" i="3435"/>
  <c r="AI48" i="3518" a="1"/>
  <c r="AI48" i="3518" s="1"/>
  <c r="AP48" i="3518" s="1" a="1"/>
  <c r="AP48" i="3518" s="1"/>
  <c r="AB49" i="3518"/>
  <c r="X51" i="3435"/>
  <c r="AE50" i="3435" a="1"/>
  <c r="AE50" i="3435" s="1"/>
  <c r="AD49" i="3518"/>
  <c r="AK48" i="3518" a="1"/>
  <c r="AK48" i="3518" s="1"/>
  <c r="AR48" i="3518" s="1" a="1"/>
  <c r="AR48" i="3518" s="1"/>
  <c r="AY54" i="3435" a="1"/>
  <c r="AY54" i="3435" s="1"/>
  <c r="BG54" i="3435" s="1" a="1"/>
  <c r="BG54" i="3435" s="1"/>
  <c r="AQ55" i="3435"/>
  <c r="AO50" i="3570" a="1"/>
  <c r="AO50" i="3570" s="1"/>
  <c r="AX50" i="3570" s="1" a="1"/>
  <c r="AX50" i="3570" s="1"/>
  <c r="AF51" i="3570"/>
  <c r="E170" i="3523"/>
  <c r="AA170" i="3523" s="1" a="1"/>
  <c r="AA170" i="3523" s="1"/>
  <c r="BS139" i="3448"/>
  <c r="AM50" i="3570" a="1"/>
  <c r="AM50" i="3570" s="1"/>
  <c r="AV50" i="3570" s="1" a="1"/>
  <c r="AV50" i="3570" s="1"/>
  <c r="AD51" i="3570"/>
  <c r="BW55" i="3564"/>
  <c r="BP56" i="3564"/>
  <c r="Y141" i="3448"/>
  <c r="AC140" i="3448"/>
  <c r="Z138" i="3448"/>
  <c r="AD137" i="3448"/>
  <c r="AB138" i="3448"/>
  <c r="X139" i="3448"/>
  <c r="AX54" i="3435" a="1"/>
  <c r="AX54" i="3435" s="1"/>
  <c r="BF54" i="3435" s="1" a="1"/>
  <c r="BF54" i="3435" s="1"/>
  <c r="AP55" i="3435"/>
  <c r="AS54" i="3435" a="1"/>
  <c r="AS54" i="3435" s="1"/>
  <c r="BA54" i="3435" s="1" a="1"/>
  <c r="BA54" i="3435" s="1"/>
  <c r="AK55" i="3435"/>
  <c r="AN50" i="3570" a="1"/>
  <c r="AN50" i="3570" s="1"/>
  <c r="AW50" i="3570" s="1" a="1"/>
  <c r="AW50" i="3570" s="1"/>
  <c r="AE51" i="3570"/>
  <c r="AA49" i="3518"/>
  <c r="AH48" i="3518" a="1"/>
  <c r="AH48" i="3518" s="1"/>
  <c r="AO48" i="3518" s="1" a="1"/>
  <c r="AO48" i="3518" s="1"/>
  <c r="AE49" i="3518"/>
  <c r="AL48" i="3518" a="1"/>
  <c r="AL48" i="3518" s="1"/>
  <c r="AS48" i="3518" s="1" a="1"/>
  <c r="AS48" i="3518" s="1"/>
  <c r="AB51" i="3570"/>
  <c r="AK50" i="3570" a="1"/>
  <c r="AK50" i="3570" s="1"/>
  <c r="AT50" i="3570" s="1" a="1"/>
  <c r="AT50" i="3570" s="1"/>
  <c r="AO55" i="3435"/>
  <c r="AW54" i="3435" a="1"/>
  <c r="AW54" i="3435" s="1"/>
  <c r="BE54" i="3435" s="1" a="1"/>
  <c r="BE54" i="3435" s="1"/>
  <c r="F169" i="3523"/>
  <c r="AF169" i="3523" s="1" a="1"/>
  <c r="AF169" i="3523" s="1"/>
  <c r="BT138" i="3448"/>
  <c r="BZ56" i="3564"/>
  <c r="BS57" i="3564"/>
  <c r="AG51" i="3570"/>
  <c r="AP50" i="3570" a="1"/>
  <c r="AP50" i="3570" s="1"/>
  <c r="AY50" i="3570" s="1" a="1"/>
  <c r="AY50" i="3570" s="1"/>
  <c r="AC49" i="3518"/>
  <c r="AJ48" i="3518" a="1"/>
  <c r="AJ48" i="3518" s="1"/>
  <c r="AQ48" i="3518" s="1" a="1"/>
  <c r="AQ48" i="3518" s="1"/>
  <c r="C169" i="3523"/>
  <c r="Q169" i="3523" s="1" a="1"/>
  <c r="Q169" i="3523" s="1"/>
  <c r="BQ138" i="3448"/>
  <c r="CG139" i="3448"/>
  <c r="BZ140" i="3448"/>
  <c r="AP53" i="3564" l="1"/>
  <c r="AI54" i="3564"/>
  <c r="BN56" i="3564"/>
  <c r="BU55" i="3564"/>
  <c r="AQ54" i="3564"/>
  <c r="AJ55" i="3564"/>
  <c r="AR53" i="3564"/>
  <c r="AK54" i="3564"/>
  <c r="AN53" i="3564"/>
  <c r="AG54" i="3564"/>
  <c r="BQ56" i="3564"/>
  <c r="BX55" i="3564"/>
  <c r="AC53" i="3564"/>
  <c r="Y54" i="3564"/>
  <c r="BF54" i="3564"/>
  <c r="BJ53" i="3564"/>
  <c r="BI53" i="3564"/>
  <c r="BE54" i="3564"/>
  <c r="BV55" i="3564"/>
  <c r="BO56" i="3564"/>
  <c r="AH54" i="3564"/>
  <c r="AO53" i="3564"/>
  <c r="AT53" i="3564"/>
  <c r="AM54" i="3564"/>
  <c r="X53" i="3564"/>
  <c r="AB52" i="3564"/>
  <c r="AD53" i="3564"/>
  <c r="Z54" i="3564"/>
  <c r="BY55" i="3564"/>
  <c r="BR56" i="3564"/>
  <c r="BD54" i="3564"/>
  <c r="BH53" i="3564"/>
  <c r="AS53" i="3564"/>
  <c r="AL54" i="3564"/>
  <c r="AM56" i="3435"/>
  <c r="AU55" i="3435" a="1"/>
  <c r="AU55" i="3435" s="1"/>
  <c r="BC55" i="3435" s="1" a="1"/>
  <c r="BC55" i="3435" s="1"/>
  <c r="BW56" i="3564"/>
  <c r="BP57" i="3564"/>
  <c r="AT55" i="3435" a="1"/>
  <c r="AT55" i="3435" s="1"/>
  <c r="BB55" i="3435" s="1" a="1"/>
  <c r="BB55" i="3435" s="1"/>
  <c r="AL56" i="3435"/>
  <c r="AE50" i="3518"/>
  <c r="AL49" i="3518" a="1"/>
  <c r="AL49" i="3518" s="1"/>
  <c r="AS49" i="3518" s="1" a="1"/>
  <c r="AS49" i="3518" s="1"/>
  <c r="BZ141" i="3448"/>
  <c r="CG140" i="3448"/>
  <c r="AM51" i="3570" a="1"/>
  <c r="AM51" i="3570" s="1"/>
  <c r="AV51" i="3570" s="1" a="1"/>
  <c r="AV51" i="3570" s="1"/>
  <c r="AD52" i="3570"/>
  <c r="Z52" i="3435"/>
  <c r="AG51" i="3435" a="1"/>
  <c r="AG51" i="3435" s="1"/>
  <c r="D171" i="3523"/>
  <c r="V171" i="3523" s="1" a="1"/>
  <c r="V171" i="3523" s="1"/>
  <c r="BR140" i="3448"/>
  <c r="AB50" i="3518"/>
  <c r="AI49" i="3518" a="1"/>
  <c r="AI49" i="3518" s="1"/>
  <c r="AP49" i="3518" s="1" a="1"/>
  <c r="AP49" i="3518" s="1"/>
  <c r="C170" i="3523"/>
  <c r="Q170" i="3523" s="1" a="1"/>
  <c r="Q170" i="3523" s="1"/>
  <c r="BQ139" i="3448"/>
  <c r="A169" i="3523"/>
  <c r="AC50" i="3518"/>
  <c r="AJ49" i="3518" a="1"/>
  <c r="AJ49" i="3518" s="1"/>
  <c r="AQ49" i="3518" s="1" a="1"/>
  <c r="AQ49" i="3518" s="1"/>
  <c r="AK51" i="3570" a="1"/>
  <c r="AK51" i="3570" s="1"/>
  <c r="AT51" i="3570" s="1" a="1"/>
  <c r="AT51" i="3570" s="1"/>
  <c r="AB52" i="3570"/>
  <c r="AV55" i="3435" a="1"/>
  <c r="AV55" i="3435" s="1"/>
  <c r="BD55" i="3435" s="1" a="1"/>
  <c r="BD55" i="3435" s="1"/>
  <c r="AN56" i="3435"/>
  <c r="AF50" i="3518"/>
  <c r="AM49" i="3518" a="1"/>
  <c r="AM49" i="3518" s="1"/>
  <c r="AT49" i="3518" s="1" a="1"/>
  <c r="AT49" i="3518" s="1"/>
  <c r="AH52" i="3570"/>
  <c r="AQ51" i="3570" a="1"/>
  <c r="AQ51" i="3570" s="1"/>
  <c r="AZ51" i="3570" s="1" a="1"/>
  <c r="AZ51" i="3570" s="1"/>
  <c r="E171" i="3523"/>
  <c r="AA171" i="3523" s="1" a="1"/>
  <c r="AA171" i="3523" s="1"/>
  <c r="BS140" i="3448"/>
  <c r="AP56" i="3435"/>
  <c r="AX55" i="3435" a="1"/>
  <c r="AX55" i="3435" s="1"/>
  <c r="BF55" i="3435" s="1" a="1"/>
  <c r="BF55" i="3435" s="1"/>
  <c r="X140" i="3448"/>
  <c r="AB139" i="3448"/>
  <c r="AO56" i="3435"/>
  <c r="AW55" i="3435" a="1"/>
  <c r="AW55" i="3435" s="1"/>
  <c r="BE55" i="3435" s="1" a="1"/>
  <c r="BE55" i="3435" s="1"/>
  <c r="AF52" i="3570"/>
  <c r="AO51" i="3570" a="1"/>
  <c r="AO51" i="3570" s="1"/>
  <c r="AX51" i="3570" s="1" a="1"/>
  <c r="AX51" i="3570" s="1"/>
  <c r="W52" i="3435"/>
  <c r="AD51" i="3435" a="1"/>
  <c r="AD51" i="3435" s="1"/>
  <c r="U51" i="3435"/>
  <c r="AB50" i="3435" a="1"/>
  <c r="AB50" i="3435" s="1"/>
  <c r="AK49" i="3518" a="1"/>
  <c r="AK49" i="3518" s="1"/>
  <c r="AR49" i="3518" s="1" a="1"/>
  <c r="AR49" i="3518" s="1"/>
  <c r="AD50" i="3518"/>
  <c r="AI52" i="3570"/>
  <c r="AR51" i="3570" a="1"/>
  <c r="AR51" i="3570" s="1"/>
  <c r="BA51" i="3570" s="1" a="1"/>
  <c r="BA51" i="3570" s="1"/>
  <c r="F170" i="3523"/>
  <c r="AF170" i="3523" s="1" a="1"/>
  <c r="AF170" i="3523" s="1"/>
  <c r="BT139" i="3448"/>
  <c r="Y142" i="3448"/>
  <c r="AC141" i="3448"/>
  <c r="AA50" i="3518"/>
  <c r="AH49" i="3518" a="1"/>
  <c r="AH49" i="3518" s="1"/>
  <c r="AO49" i="3518" s="1" a="1"/>
  <c r="AO49" i="3518" s="1"/>
  <c r="AE52" i="3570"/>
  <c r="AN51" i="3570" a="1"/>
  <c r="AN51" i="3570" s="1"/>
  <c r="AW51" i="3570" s="1" a="1"/>
  <c r="AW51" i="3570" s="1"/>
  <c r="AS55" i="3435" a="1"/>
  <c r="AS55" i="3435" s="1"/>
  <c r="BA55" i="3435" s="1" a="1"/>
  <c r="BA55" i="3435" s="1"/>
  <c r="AK56" i="3435"/>
  <c r="L170" i="3523" a="1"/>
  <c r="L170" i="3523" s="1"/>
  <c r="CA57" i="3564"/>
  <c r="BT58" i="3564"/>
  <c r="AQ56" i="3435"/>
  <c r="AY55" i="3435" a="1"/>
  <c r="AY55" i="3435" s="1"/>
  <c r="BG55" i="3435" s="1" a="1"/>
  <c r="BG55" i="3435" s="1"/>
  <c r="Y52" i="3435"/>
  <c r="AF51" i="3435" a="1"/>
  <c r="AF51" i="3435" s="1"/>
  <c r="AL51" i="3570" a="1"/>
  <c r="AL51" i="3570" s="1"/>
  <c r="AU51" i="3570" s="1" a="1"/>
  <c r="AU51" i="3570" s="1"/>
  <c r="AC52" i="3570"/>
  <c r="B171" i="3523"/>
  <c r="BP140" i="3448"/>
  <c r="AG52" i="3570"/>
  <c r="AP51" i="3570" a="1"/>
  <c r="AP51" i="3570" s="1"/>
  <c r="AY51" i="3570" s="1" a="1"/>
  <c r="AY51" i="3570" s="1"/>
  <c r="AC51" i="3435" a="1"/>
  <c r="AC51" i="3435" s="1"/>
  <c r="V52" i="3435"/>
  <c r="BZ57" i="3564"/>
  <c r="BS58" i="3564"/>
  <c r="Z139" i="3448"/>
  <c r="AD138" i="3448"/>
  <c r="AE51" i="3435" a="1"/>
  <c r="AE51" i="3435" s="1"/>
  <c r="X52" i="3435"/>
  <c r="AT54" i="3564" l="1"/>
  <c r="AM55" i="3564"/>
  <c r="AO54" i="3564"/>
  <c r="AH55" i="3564"/>
  <c r="BO57" i="3564"/>
  <c r="BV56" i="3564"/>
  <c r="BE55" i="3564"/>
  <c r="BI54" i="3564"/>
  <c r="BF55" i="3564"/>
  <c r="BJ54" i="3564"/>
  <c r="Y55" i="3564"/>
  <c r="AC54" i="3564"/>
  <c r="BQ57" i="3564"/>
  <c r="BX56" i="3564"/>
  <c r="AG55" i="3564"/>
  <c r="AN54" i="3564"/>
  <c r="AL55" i="3564"/>
  <c r="AS54" i="3564"/>
  <c r="AK55" i="3564"/>
  <c r="AR54" i="3564"/>
  <c r="BD55" i="3564"/>
  <c r="BH54" i="3564"/>
  <c r="BY56" i="3564"/>
  <c r="BR57" i="3564"/>
  <c r="AJ56" i="3564"/>
  <c r="AQ55" i="3564"/>
  <c r="A170" i="3523"/>
  <c r="Z55" i="3564"/>
  <c r="AD54" i="3564"/>
  <c r="BU56" i="3564"/>
  <c r="BN57" i="3564"/>
  <c r="AP54" i="3564"/>
  <c r="AI55" i="3564"/>
  <c r="X54" i="3564"/>
  <c r="AB53" i="3564"/>
  <c r="D172" i="3523"/>
  <c r="V172" i="3523" s="1" a="1"/>
  <c r="V172" i="3523" s="1"/>
  <c r="BR141" i="3448"/>
  <c r="AB51" i="3435" a="1"/>
  <c r="AB51" i="3435" s="1"/>
  <c r="U52" i="3435"/>
  <c r="AF52" i="3435" a="1"/>
  <c r="AF52" i="3435" s="1"/>
  <c r="Y53" i="3435"/>
  <c r="AY56" i="3435" a="1"/>
  <c r="AY56" i="3435" s="1"/>
  <c r="BG56" i="3435" s="1" a="1"/>
  <c r="BG56" i="3435" s="1"/>
  <c r="AQ57" i="3435"/>
  <c r="CA58" i="3564"/>
  <c r="BT59" i="3564"/>
  <c r="AG52" i="3435" a="1"/>
  <c r="AG52" i="3435" s="1"/>
  <c r="Z53" i="3435"/>
  <c r="AH53" i="3570"/>
  <c r="AQ52" i="3570" a="1"/>
  <c r="AQ52" i="3570" s="1"/>
  <c r="AZ52" i="3570" s="1" a="1"/>
  <c r="AZ52" i="3570" s="1"/>
  <c r="AM52" i="3570" a="1"/>
  <c r="AM52" i="3570" s="1"/>
  <c r="AV52" i="3570" s="1" a="1"/>
  <c r="AV52" i="3570" s="1"/>
  <c r="AD53" i="3570"/>
  <c r="AV56" i="3435" a="1"/>
  <c r="AV56" i="3435" s="1"/>
  <c r="BD56" i="3435" s="1" a="1"/>
  <c r="BD56" i="3435" s="1"/>
  <c r="AN57" i="3435"/>
  <c r="BZ142" i="3448"/>
  <c r="CG141" i="3448"/>
  <c r="AB53" i="3570"/>
  <c r="AK52" i="3570" a="1"/>
  <c r="AK52" i="3570" s="1"/>
  <c r="AT52" i="3570" s="1" a="1"/>
  <c r="AT52" i="3570" s="1"/>
  <c r="AE51" i="3518"/>
  <c r="AL50" i="3518" a="1"/>
  <c r="AL50" i="3518" s="1"/>
  <c r="AS50" i="3518" s="1" a="1"/>
  <c r="AS50" i="3518" s="1"/>
  <c r="BZ58" i="3564"/>
  <c r="BS59" i="3564"/>
  <c r="AC52" i="3435" a="1"/>
  <c r="AC52" i="3435" s="1"/>
  <c r="V53" i="3435"/>
  <c r="AL57" i="3435"/>
  <c r="AT56" i="3435" a="1"/>
  <c r="AT56" i="3435" s="1"/>
  <c r="BB56" i="3435" s="1" a="1"/>
  <c r="BB56" i="3435" s="1"/>
  <c r="AG53" i="3570"/>
  <c r="AP52" i="3570" a="1"/>
  <c r="AP52" i="3570" s="1"/>
  <c r="AY52" i="3570" s="1" a="1"/>
  <c r="AY52" i="3570" s="1"/>
  <c r="AC51" i="3518"/>
  <c r="AJ50" i="3518" a="1"/>
  <c r="AJ50" i="3518" s="1"/>
  <c r="AQ50" i="3518" s="1" a="1"/>
  <c r="AQ50" i="3518" s="1"/>
  <c r="AK57" i="3435"/>
  <c r="AS56" i="3435" a="1"/>
  <c r="AS56" i="3435" s="1"/>
  <c r="BA56" i="3435" s="1" a="1"/>
  <c r="BA56" i="3435" s="1"/>
  <c r="AD139" i="3448"/>
  <c r="Z140" i="3448"/>
  <c r="W53" i="3435"/>
  <c r="AD52" i="3435" a="1"/>
  <c r="AD52" i="3435" s="1"/>
  <c r="AW56" i="3435" a="1"/>
  <c r="AW56" i="3435" s="1"/>
  <c r="BE56" i="3435" s="1" a="1"/>
  <c r="BE56" i="3435" s="1"/>
  <c r="AO57" i="3435"/>
  <c r="AH50" i="3518" a="1"/>
  <c r="AH50" i="3518" s="1"/>
  <c r="AO50" i="3518" s="1" a="1"/>
  <c r="AO50" i="3518" s="1"/>
  <c r="AA51" i="3518"/>
  <c r="BP58" i="3564"/>
  <c r="BW57" i="3564"/>
  <c r="F171" i="3523"/>
  <c r="AF171" i="3523" s="1" a="1"/>
  <c r="AF171" i="3523" s="1"/>
  <c r="BT140" i="3448"/>
  <c r="L171" i="3523" a="1"/>
  <c r="L171" i="3523" s="1"/>
  <c r="X141" i="3448"/>
  <c r="AB140" i="3448"/>
  <c r="AM50" i="3518" a="1"/>
  <c r="AM50" i="3518" s="1"/>
  <c r="AT50" i="3518" s="1" a="1"/>
  <c r="AT50" i="3518" s="1"/>
  <c r="AF51" i="3518"/>
  <c r="AN52" i="3570" a="1"/>
  <c r="AN52" i="3570" s="1"/>
  <c r="AW52" i="3570" s="1" a="1"/>
  <c r="AW52" i="3570" s="1"/>
  <c r="AE53" i="3570"/>
  <c r="AF53" i="3570"/>
  <c r="AO52" i="3570" a="1"/>
  <c r="AO52" i="3570" s="1"/>
  <c r="AX52" i="3570" s="1" a="1"/>
  <c r="AX52" i="3570" s="1"/>
  <c r="AC142" i="3448"/>
  <c r="Y143" i="3448"/>
  <c r="AR52" i="3570" a="1"/>
  <c r="AR52" i="3570" s="1"/>
  <c r="BA52" i="3570" s="1" a="1"/>
  <c r="BA52" i="3570" s="1"/>
  <c r="AI53" i="3570"/>
  <c r="AX56" i="3435" a="1"/>
  <c r="AX56" i="3435" s="1"/>
  <c r="BF56" i="3435" s="1" a="1"/>
  <c r="BF56" i="3435" s="1"/>
  <c r="AP57" i="3435"/>
  <c r="AK50" i="3518" a="1"/>
  <c r="AK50" i="3518" s="1"/>
  <c r="AR50" i="3518" s="1" a="1"/>
  <c r="AR50" i="3518" s="1"/>
  <c r="AD51" i="3518"/>
  <c r="E172" i="3523"/>
  <c r="AA172" i="3523" s="1" a="1"/>
  <c r="AA172" i="3523" s="1"/>
  <c r="BS141" i="3448"/>
  <c r="X53" i="3435"/>
  <c r="AE52" i="3435" a="1"/>
  <c r="AE52" i="3435" s="1"/>
  <c r="B172" i="3523"/>
  <c r="BP141" i="3448"/>
  <c r="C171" i="3523"/>
  <c r="Q171" i="3523" s="1" a="1"/>
  <c r="Q171" i="3523" s="1"/>
  <c r="BQ140" i="3448"/>
  <c r="AC53" i="3570"/>
  <c r="AL52" i="3570" a="1"/>
  <c r="AL52" i="3570" s="1"/>
  <c r="AU52" i="3570" s="1" a="1"/>
  <c r="AU52" i="3570" s="1"/>
  <c r="AB51" i="3518"/>
  <c r="AI50" i="3518" a="1"/>
  <c r="AI50" i="3518" s="1"/>
  <c r="AP50" i="3518" s="1" a="1"/>
  <c r="AP50" i="3518" s="1"/>
  <c r="AM57" i="3435"/>
  <c r="AU56" i="3435" a="1"/>
  <c r="AU56" i="3435" s="1"/>
  <c r="BC56" i="3435" s="1" a="1"/>
  <c r="BC56" i="3435" s="1"/>
  <c r="BR58" i="3564" l="1"/>
  <c r="BY57" i="3564"/>
  <c r="BD56" i="3564"/>
  <c r="BH55" i="3564"/>
  <c r="AR55" i="3564"/>
  <c r="AK56" i="3564"/>
  <c r="AL56" i="3564"/>
  <c r="AS55" i="3564"/>
  <c r="AN55" i="3564"/>
  <c r="AG56" i="3564"/>
  <c r="BQ58" i="3564"/>
  <c r="BX57" i="3564"/>
  <c r="AC55" i="3564"/>
  <c r="Y56" i="3564"/>
  <c r="BF56" i="3564"/>
  <c r="BJ55" i="3564"/>
  <c r="BN58" i="3564"/>
  <c r="BU57" i="3564"/>
  <c r="BE56" i="3564"/>
  <c r="BI55" i="3564"/>
  <c r="BO58" i="3564"/>
  <c r="BV57" i="3564"/>
  <c r="AI56" i="3564"/>
  <c r="AP55" i="3564"/>
  <c r="A171" i="3523"/>
  <c r="AD55" i="3564"/>
  <c r="Z56" i="3564"/>
  <c r="AO55" i="3564"/>
  <c r="AH56" i="3564"/>
  <c r="AB54" i="3564"/>
  <c r="X55" i="3564"/>
  <c r="AT55" i="3564"/>
  <c r="AM56" i="3564"/>
  <c r="AJ57" i="3564"/>
  <c r="AQ56" i="3564"/>
  <c r="AH54" i="3570"/>
  <c r="AQ53" i="3570" a="1"/>
  <c r="AQ53" i="3570" s="1"/>
  <c r="AZ53" i="3570" s="1" a="1"/>
  <c r="AZ53" i="3570" s="1"/>
  <c r="AJ51" i="3518" a="1"/>
  <c r="AJ51" i="3518" s="1"/>
  <c r="AQ51" i="3518" s="1" a="1"/>
  <c r="AQ51" i="3518" s="1"/>
  <c r="AC52" i="3518"/>
  <c r="Z54" i="3435"/>
  <c r="AG53" i="3435" a="1"/>
  <c r="AG53" i="3435" s="1"/>
  <c r="AT57" i="3435" a="1"/>
  <c r="AT57" i="3435" s="1"/>
  <c r="BB57" i="3435" s="1" a="1"/>
  <c r="BB57" i="3435" s="1"/>
  <c r="AL58" i="3435"/>
  <c r="AC53" i="3435" a="1"/>
  <c r="AC53" i="3435" s="1"/>
  <c r="V54" i="3435"/>
  <c r="AD52" i="3518"/>
  <c r="AK51" i="3518" a="1"/>
  <c r="AK51" i="3518" s="1"/>
  <c r="AR51" i="3518" s="1" a="1"/>
  <c r="AR51" i="3518" s="1"/>
  <c r="AP53" i="3570" a="1"/>
  <c r="AP53" i="3570" s="1"/>
  <c r="AY53" i="3570" s="1" a="1"/>
  <c r="AY53" i="3570" s="1"/>
  <c r="AG54" i="3570"/>
  <c r="E173" i="3523"/>
  <c r="AA173" i="3523" s="1" a="1"/>
  <c r="AA173" i="3523" s="1"/>
  <c r="BS142" i="3448"/>
  <c r="AI51" i="3518" a="1"/>
  <c r="AI51" i="3518" s="1"/>
  <c r="AP51" i="3518" s="1" a="1"/>
  <c r="AP51" i="3518" s="1"/>
  <c r="AB52" i="3518"/>
  <c r="F172" i="3523"/>
  <c r="AF172" i="3523" s="1" a="1"/>
  <c r="AF172" i="3523" s="1"/>
  <c r="BT141" i="3448"/>
  <c r="AP58" i="3435"/>
  <c r="AX57" i="3435" a="1"/>
  <c r="AX57" i="3435" s="1"/>
  <c r="BF57" i="3435" s="1" a="1"/>
  <c r="BF57" i="3435" s="1"/>
  <c r="AI54" i="3570"/>
  <c r="AR53" i="3570" a="1"/>
  <c r="AR53" i="3570" s="1"/>
  <c r="BA53" i="3570" s="1" a="1"/>
  <c r="BA53" i="3570" s="1"/>
  <c r="BZ59" i="3564"/>
  <c r="BS60" i="3564"/>
  <c r="X142" i="3448"/>
  <c r="AB141" i="3448"/>
  <c r="AB54" i="3570"/>
  <c r="AK53" i="3570" a="1"/>
  <c r="AK53" i="3570" s="1"/>
  <c r="AT53" i="3570" s="1" a="1"/>
  <c r="AT53" i="3570" s="1"/>
  <c r="AQ58" i="3435"/>
  <c r="AY57" i="3435" a="1"/>
  <c r="AY57" i="3435" s="1"/>
  <c r="BG57" i="3435" s="1" a="1"/>
  <c r="BG57" i="3435" s="1"/>
  <c r="AM58" i="3435"/>
  <c r="AU57" i="3435" a="1"/>
  <c r="AU57" i="3435" s="1"/>
  <c r="BC57" i="3435" s="1" a="1"/>
  <c r="BC57" i="3435" s="1"/>
  <c r="Y54" i="3435"/>
  <c r="AF53" i="3435" a="1"/>
  <c r="AF53" i="3435" s="1"/>
  <c r="AC143" i="3448"/>
  <c r="Y144" i="3448"/>
  <c r="BW58" i="3564"/>
  <c r="BP59" i="3564"/>
  <c r="BT60" i="3564"/>
  <c r="CA59" i="3564"/>
  <c r="Z141" i="3448"/>
  <c r="AD140" i="3448"/>
  <c r="AV57" i="3435" a="1"/>
  <c r="AV57" i="3435" s="1"/>
  <c r="BD57" i="3435" s="1" a="1"/>
  <c r="BD57" i="3435" s="1"/>
  <c r="AN58" i="3435"/>
  <c r="U53" i="3435"/>
  <c r="AB52" i="3435" a="1"/>
  <c r="AB52" i="3435" s="1"/>
  <c r="AE53" i="3435" a="1"/>
  <c r="AE53" i="3435" s="1"/>
  <c r="X54" i="3435"/>
  <c r="AE52" i="3518"/>
  <c r="AL51" i="3518" a="1"/>
  <c r="AL51" i="3518" s="1"/>
  <c r="AS51" i="3518" s="1" a="1"/>
  <c r="AS51" i="3518" s="1"/>
  <c r="AH51" i="3518" a="1"/>
  <c r="AH51" i="3518" s="1"/>
  <c r="AO51" i="3518" s="1" a="1"/>
  <c r="AO51" i="3518" s="1"/>
  <c r="AA52" i="3518"/>
  <c r="AF52" i="3518"/>
  <c r="AM51" i="3518" a="1"/>
  <c r="AM51" i="3518" s="1"/>
  <c r="AT51" i="3518" s="1" a="1"/>
  <c r="AT51" i="3518" s="1"/>
  <c r="L172" i="3523" a="1"/>
  <c r="L172" i="3523" s="1"/>
  <c r="AO53" i="3570" a="1"/>
  <c r="AO53" i="3570" s="1"/>
  <c r="AX53" i="3570" s="1" a="1"/>
  <c r="AX53" i="3570" s="1"/>
  <c r="AF54" i="3570"/>
  <c r="C172" i="3523"/>
  <c r="Q172" i="3523" s="1" a="1"/>
  <c r="Q172" i="3523" s="1"/>
  <c r="BQ141" i="3448"/>
  <c r="W54" i="3435"/>
  <c r="AD53" i="3435" a="1"/>
  <c r="AD53" i="3435" s="1"/>
  <c r="AD54" i="3570"/>
  <c r="AM53" i="3570" a="1"/>
  <c r="AM53" i="3570" s="1"/>
  <c r="AV53" i="3570" s="1" a="1"/>
  <c r="AV53" i="3570" s="1"/>
  <c r="D173" i="3523"/>
  <c r="V173" i="3523" s="1" a="1"/>
  <c r="V173" i="3523" s="1"/>
  <c r="BR142" i="3448"/>
  <c r="AN53" i="3570" a="1"/>
  <c r="AN53" i="3570" s="1"/>
  <c r="AW53" i="3570" s="1" a="1"/>
  <c r="AW53" i="3570" s="1"/>
  <c r="AE54" i="3570"/>
  <c r="AC54" i="3570"/>
  <c r="AL53" i="3570" a="1"/>
  <c r="AL53" i="3570" s="1"/>
  <c r="AU53" i="3570" s="1" a="1"/>
  <c r="AU53" i="3570" s="1"/>
  <c r="AO58" i="3435"/>
  <c r="AW57" i="3435" a="1"/>
  <c r="AW57" i="3435" s="1"/>
  <c r="BE57" i="3435" s="1" a="1"/>
  <c r="BE57" i="3435" s="1"/>
  <c r="B173" i="3523"/>
  <c r="BP142" i="3448"/>
  <c r="BZ143" i="3448"/>
  <c r="CG142" i="3448"/>
  <c r="AK58" i="3435"/>
  <c r="AS57" i="3435" a="1"/>
  <c r="AS57" i="3435" s="1"/>
  <c r="BA57" i="3435" s="1" a="1"/>
  <c r="BA57" i="3435" s="1"/>
  <c r="AI57" i="3564" l="1"/>
  <c r="AP56" i="3564"/>
  <c r="BO59" i="3564"/>
  <c r="BV58" i="3564"/>
  <c r="BI56" i="3564"/>
  <c r="BE57" i="3564"/>
  <c r="BN59" i="3564"/>
  <c r="BU58" i="3564"/>
  <c r="BJ56" i="3564"/>
  <c r="BF57" i="3564"/>
  <c r="AC56" i="3564"/>
  <c r="Y57" i="3564"/>
  <c r="AJ58" i="3564"/>
  <c r="AQ57" i="3564"/>
  <c r="X56" i="3564"/>
  <c r="AB55" i="3564"/>
  <c r="AL57" i="3564"/>
  <c r="AS56" i="3564"/>
  <c r="AK57" i="3564"/>
  <c r="AR56" i="3564"/>
  <c r="AN56" i="3564"/>
  <c r="AG57" i="3564"/>
  <c r="AT56" i="3564"/>
  <c r="AM57" i="3564"/>
  <c r="AH57" i="3564"/>
  <c r="AO56" i="3564"/>
  <c r="BQ59" i="3564"/>
  <c r="BX58" i="3564"/>
  <c r="BH56" i="3564"/>
  <c r="BD57" i="3564"/>
  <c r="Z57" i="3564"/>
  <c r="AD56" i="3564"/>
  <c r="BR59" i="3564"/>
  <c r="BY58" i="3564"/>
  <c r="AB53" i="3518"/>
  <c r="AI52" i="3518" a="1"/>
  <c r="AI52" i="3518" s="1"/>
  <c r="AP52" i="3518" s="1" a="1"/>
  <c r="AP52" i="3518" s="1"/>
  <c r="E174" i="3523"/>
  <c r="AA174" i="3523" s="1" a="1"/>
  <c r="AA174" i="3523" s="1"/>
  <c r="BS143" i="3448"/>
  <c r="AM59" i="3435"/>
  <c r="AU58" i="3435" a="1"/>
  <c r="AU58" i="3435" s="1"/>
  <c r="BC58" i="3435" s="1" a="1"/>
  <c r="BC58" i="3435" s="1"/>
  <c r="AY58" i="3435" a="1"/>
  <c r="AY58" i="3435" s="1"/>
  <c r="BG58" i="3435" s="1" a="1"/>
  <c r="BG58" i="3435" s="1"/>
  <c r="AQ59" i="3435"/>
  <c r="AG55" i="3570"/>
  <c r="AP54" i="3570" a="1"/>
  <c r="AP54" i="3570" s="1"/>
  <c r="AY54" i="3570" s="1" a="1"/>
  <c r="AY54" i="3570" s="1"/>
  <c r="AM54" i="3570" a="1"/>
  <c r="AM54" i="3570" s="1"/>
  <c r="AV54" i="3570" s="1" a="1"/>
  <c r="AV54" i="3570" s="1"/>
  <c r="AD55" i="3570"/>
  <c r="AB55" i="3570"/>
  <c r="AK54" i="3570" a="1"/>
  <c r="AK54" i="3570" s="1"/>
  <c r="AT54" i="3570" s="1" a="1"/>
  <c r="AT54" i="3570" s="1"/>
  <c r="AB142" i="3448"/>
  <c r="X143" i="3448"/>
  <c r="AB53" i="3435" a="1"/>
  <c r="AB53" i="3435" s="1"/>
  <c r="U54" i="3435"/>
  <c r="C173" i="3523"/>
  <c r="Q173" i="3523" s="1" a="1"/>
  <c r="Q173" i="3523" s="1"/>
  <c r="BQ142" i="3448"/>
  <c r="AC54" i="3435" a="1"/>
  <c r="AC54" i="3435" s="1"/>
  <c r="V55" i="3435"/>
  <c r="BS61" i="3564"/>
  <c r="BZ60" i="3564"/>
  <c r="AT58" i="3435" a="1"/>
  <c r="AT58" i="3435" s="1"/>
  <c r="BB58" i="3435" s="1" a="1"/>
  <c r="BB58" i="3435" s="1"/>
  <c r="AL59" i="3435"/>
  <c r="B174" i="3523"/>
  <c r="BP143" i="3448"/>
  <c r="AC55" i="3570"/>
  <c r="AL54" i="3570" a="1"/>
  <c r="AL54" i="3570" s="1"/>
  <c r="AU54" i="3570" s="1" a="1"/>
  <c r="AU54" i="3570" s="1"/>
  <c r="AE53" i="3518"/>
  <c r="AL52" i="3518" a="1"/>
  <c r="AL52" i="3518" s="1"/>
  <c r="AS52" i="3518" s="1" a="1"/>
  <c r="AS52" i="3518" s="1"/>
  <c r="AJ52" i="3518" a="1"/>
  <c r="AJ52" i="3518" s="1"/>
  <c r="AQ52" i="3518" s="1" a="1"/>
  <c r="AQ52" i="3518" s="1"/>
  <c r="AC53" i="3518"/>
  <c r="AO54" i="3570" a="1"/>
  <c r="AO54" i="3570" s="1"/>
  <c r="AX54" i="3570" s="1" a="1"/>
  <c r="AX54" i="3570" s="1"/>
  <c r="AF55" i="3570"/>
  <c r="AR54" i="3570" a="1"/>
  <c r="AR54" i="3570" s="1"/>
  <c r="BA54" i="3570" s="1" a="1"/>
  <c r="BA54" i="3570" s="1"/>
  <c r="AI55" i="3570"/>
  <c r="AX58" i="3435" a="1"/>
  <c r="AX58" i="3435" s="1"/>
  <c r="BF58" i="3435" s="1" a="1"/>
  <c r="BF58" i="3435" s="1"/>
  <c r="AP59" i="3435"/>
  <c r="AK59" i="3435"/>
  <c r="AS58" i="3435" a="1"/>
  <c r="AS58" i="3435" s="1"/>
  <c r="BA58" i="3435" s="1" a="1"/>
  <c r="BA58" i="3435" s="1"/>
  <c r="Y145" i="3448"/>
  <c r="AC144" i="3448"/>
  <c r="F173" i="3523"/>
  <c r="AF173" i="3523" s="1" a="1"/>
  <c r="AF173" i="3523" s="1"/>
  <c r="BT142" i="3448"/>
  <c r="BZ144" i="3448"/>
  <c r="CG143" i="3448"/>
  <c r="L173" i="3523" a="1"/>
  <c r="L173" i="3523" s="1"/>
  <c r="A172" i="3523"/>
  <c r="AG54" i="3435" a="1"/>
  <c r="AG54" i="3435" s="1"/>
  <c r="Z55" i="3435"/>
  <c r="BP60" i="3564"/>
  <c r="BW59" i="3564"/>
  <c r="AF53" i="3518"/>
  <c r="AM52" i="3518" a="1"/>
  <c r="AM52" i="3518" s="1"/>
  <c r="AT52" i="3518" s="1" a="1"/>
  <c r="AT52" i="3518" s="1"/>
  <c r="AV58" i="3435" a="1"/>
  <c r="AV58" i="3435" s="1"/>
  <c r="BD58" i="3435" s="1" a="1"/>
  <c r="BD58" i="3435" s="1"/>
  <c r="AN59" i="3435"/>
  <c r="Z142" i="3448"/>
  <c r="AD141" i="3448"/>
  <c r="AK52" i="3518" a="1"/>
  <c r="AK52" i="3518" s="1"/>
  <c r="AR52" i="3518" s="1" a="1"/>
  <c r="AR52" i="3518" s="1"/>
  <c r="AD53" i="3518"/>
  <c r="AW58" i="3435" a="1"/>
  <c r="AW58" i="3435" s="1"/>
  <c r="BE58" i="3435" s="1" a="1"/>
  <c r="BE58" i="3435" s="1"/>
  <c r="AO59" i="3435"/>
  <c r="BT61" i="3564"/>
  <c r="CA60" i="3564"/>
  <c r="AN54" i="3570" a="1"/>
  <c r="AN54" i="3570" s="1"/>
  <c r="AW54" i="3570" s="1" a="1"/>
  <c r="AW54" i="3570" s="1"/>
  <c r="AE55" i="3570"/>
  <c r="D174" i="3523"/>
  <c r="V174" i="3523" s="1" a="1"/>
  <c r="V174" i="3523" s="1"/>
  <c r="BR143" i="3448"/>
  <c r="AH52" i="3518" a="1"/>
  <c r="AH52" i="3518" s="1"/>
  <c r="AO52" i="3518" s="1" a="1"/>
  <c r="AO52" i="3518" s="1"/>
  <c r="AA53" i="3518"/>
  <c r="AE54" i="3435" a="1"/>
  <c r="AE54" i="3435" s="1"/>
  <c r="X55" i="3435"/>
  <c r="AD54" i="3435" a="1"/>
  <c r="AD54" i="3435" s="1"/>
  <c r="W55" i="3435"/>
  <c r="AF54" i="3435" a="1"/>
  <c r="AF54" i="3435" s="1"/>
  <c r="Y55" i="3435"/>
  <c r="AH55" i="3570"/>
  <c r="AQ54" i="3570" a="1"/>
  <c r="AQ54" i="3570" s="1"/>
  <c r="AZ54" i="3570" s="1" a="1"/>
  <c r="AZ54" i="3570" s="1"/>
  <c r="AM58" i="3564" l="1"/>
  <c r="AT57" i="3564"/>
  <c r="AG58" i="3564"/>
  <c r="AN57" i="3564"/>
  <c r="AK58" i="3564"/>
  <c r="AR57" i="3564"/>
  <c r="AL58" i="3564"/>
  <c r="AS57" i="3564"/>
  <c r="X57" i="3564"/>
  <c r="AB56" i="3564"/>
  <c r="AJ59" i="3564"/>
  <c r="AQ58" i="3564"/>
  <c r="Y58" i="3564"/>
  <c r="AC57" i="3564"/>
  <c r="BJ57" i="3564"/>
  <c r="BF58" i="3564"/>
  <c r="AD57" i="3564"/>
  <c r="Z58" i="3564"/>
  <c r="BU59" i="3564"/>
  <c r="BN60" i="3564"/>
  <c r="BI57" i="3564"/>
  <c r="BE58" i="3564"/>
  <c r="BR60" i="3564"/>
  <c r="BY59" i="3564"/>
  <c r="BQ60" i="3564"/>
  <c r="BX59" i="3564"/>
  <c r="BO60" i="3564"/>
  <c r="BV59" i="3564"/>
  <c r="BH57" i="3564"/>
  <c r="BD58" i="3564"/>
  <c r="AO57" i="3564"/>
  <c r="AH58" i="3564"/>
  <c r="AI58" i="3564"/>
  <c r="AP57" i="3564"/>
  <c r="AW59" i="3435" a="1"/>
  <c r="AW59" i="3435" s="1"/>
  <c r="BE59" i="3435" s="1" a="1"/>
  <c r="BE59" i="3435" s="1"/>
  <c r="AO60" i="3435"/>
  <c r="AM55" i="3570" a="1"/>
  <c r="AM55" i="3570" s="1"/>
  <c r="AV55" i="3570" s="1" a="1"/>
  <c r="AV55" i="3570" s="1"/>
  <c r="AD56" i="3570"/>
  <c r="B175" i="3523"/>
  <c r="BP144" i="3448"/>
  <c r="F174" i="3523"/>
  <c r="AF174" i="3523" s="1" a="1"/>
  <c r="AF174" i="3523" s="1"/>
  <c r="BT143" i="3448"/>
  <c r="AD54" i="3518"/>
  <c r="AK53" i="3518" a="1"/>
  <c r="AK53" i="3518" s="1"/>
  <c r="AR53" i="3518" s="1" a="1"/>
  <c r="AR53" i="3518" s="1"/>
  <c r="Y146" i="3448"/>
  <c r="AC145" i="3448"/>
  <c r="AN60" i="3435"/>
  <c r="AV59" i="3435" a="1"/>
  <c r="AV59" i="3435" s="1"/>
  <c r="BD59" i="3435" s="1" a="1"/>
  <c r="BD59" i="3435" s="1"/>
  <c r="L174" i="3523" a="1"/>
  <c r="L174" i="3523" s="1"/>
  <c r="BS62" i="3564"/>
  <c r="BZ61" i="3564"/>
  <c r="AF55" i="3435" a="1"/>
  <c r="AF55" i="3435" s="1"/>
  <c r="Y56" i="3435"/>
  <c r="AC55" i="3435" a="1"/>
  <c r="AC55" i="3435" s="1"/>
  <c r="V56" i="3435"/>
  <c r="AF54" i="3518"/>
  <c r="AM53" i="3518" a="1"/>
  <c r="AM53" i="3518" s="1"/>
  <c r="AT53" i="3518" s="1" a="1"/>
  <c r="AT53" i="3518" s="1"/>
  <c r="C174" i="3523"/>
  <c r="Q174" i="3523" s="1" a="1"/>
  <c r="Q174" i="3523" s="1"/>
  <c r="BQ143" i="3448"/>
  <c r="AK60" i="3435"/>
  <c r="AS59" i="3435" a="1"/>
  <c r="AS59" i="3435" s="1"/>
  <c r="BA59" i="3435" s="1" a="1"/>
  <c r="BA59" i="3435" s="1"/>
  <c r="AG55" i="3435" a="1"/>
  <c r="AG55" i="3435" s="1"/>
  <c r="Z56" i="3435"/>
  <c r="AM60" i="3435"/>
  <c r="AU59" i="3435" a="1"/>
  <c r="AU59" i="3435" s="1"/>
  <c r="BC59" i="3435" s="1" a="1"/>
  <c r="BC59" i="3435" s="1"/>
  <c r="AY59" i="3435" a="1"/>
  <c r="AY59" i="3435" s="1"/>
  <c r="BG59" i="3435" s="1" a="1"/>
  <c r="BG59" i="3435" s="1"/>
  <c r="AQ60" i="3435"/>
  <c r="X56" i="3435"/>
  <c r="AE55" i="3435" a="1"/>
  <c r="AE55" i="3435" s="1"/>
  <c r="AC54" i="3518"/>
  <c r="AJ53" i="3518" a="1"/>
  <c r="AJ53" i="3518" s="1"/>
  <c r="AQ53" i="3518" s="1" a="1"/>
  <c r="AQ53" i="3518" s="1"/>
  <c r="X144" i="3448"/>
  <c r="AB143" i="3448"/>
  <c r="E175" i="3523"/>
  <c r="AA175" i="3523" s="1" a="1"/>
  <c r="AA175" i="3523" s="1"/>
  <c r="BS144" i="3448"/>
  <c r="CG144" i="3448"/>
  <c r="BZ145" i="3448"/>
  <c r="AX59" i="3435" a="1"/>
  <c r="AX59" i="3435" s="1"/>
  <c r="BF59" i="3435" s="1" a="1"/>
  <c r="BF59" i="3435" s="1"/>
  <c r="AP60" i="3435"/>
  <c r="AR55" i="3570" a="1"/>
  <c r="AR55" i="3570" s="1"/>
  <c r="BA55" i="3570" s="1" a="1"/>
  <c r="BA55" i="3570" s="1"/>
  <c r="AI56" i="3570"/>
  <c r="CA61" i="3564"/>
  <c r="BT62" i="3564"/>
  <c r="AT59" i="3435" a="1"/>
  <c r="AT59" i="3435" s="1"/>
  <c r="BB59" i="3435" s="1" a="1"/>
  <c r="BB59" i="3435" s="1"/>
  <c r="AL60" i="3435"/>
  <c r="AD142" i="3448"/>
  <c r="Z143" i="3448"/>
  <c r="W56" i="3435"/>
  <c r="AD55" i="3435" a="1"/>
  <c r="AD55" i="3435" s="1"/>
  <c r="AB54" i="3435" a="1"/>
  <c r="AB54" i="3435" s="1"/>
  <c r="U55" i="3435"/>
  <c r="AA54" i="3518"/>
  <c r="AH53" i="3518" a="1"/>
  <c r="AH53" i="3518" s="1"/>
  <c r="AO53" i="3518" s="1" a="1"/>
  <c r="AO53" i="3518" s="1"/>
  <c r="AL55" i="3570" a="1"/>
  <c r="AL55" i="3570" s="1"/>
  <c r="AU55" i="3570" s="1" a="1"/>
  <c r="AU55" i="3570" s="1"/>
  <c r="AC56" i="3570"/>
  <c r="AB56" i="3570"/>
  <c r="AK55" i="3570" a="1"/>
  <c r="AK55" i="3570" s="1"/>
  <c r="AT55" i="3570" s="1" a="1"/>
  <c r="AT55" i="3570" s="1"/>
  <c r="AQ55" i="3570" a="1"/>
  <c r="AQ55" i="3570" s="1"/>
  <c r="AZ55" i="3570" s="1" a="1"/>
  <c r="AZ55" i="3570" s="1"/>
  <c r="AH56" i="3570"/>
  <c r="AG56" i="3570"/>
  <c r="AP55" i="3570" a="1"/>
  <c r="AP55" i="3570" s="1"/>
  <c r="AY55" i="3570" s="1" a="1"/>
  <c r="AY55" i="3570" s="1"/>
  <c r="BW60" i="3564"/>
  <c r="BP61" i="3564"/>
  <c r="AF56" i="3570"/>
  <c r="AO55" i="3570" a="1"/>
  <c r="AO55" i="3570" s="1"/>
  <c r="AX55" i="3570" s="1" a="1"/>
  <c r="AX55" i="3570" s="1"/>
  <c r="D175" i="3523"/>
  <c r="V175" i="3523" s="1" a="1"/>
  <c r="V175" i="3523" s="1"/>
  <c r="BR144" i="3448"/>
  <c r="AE56" i="3570"/>
  <c r="AN55" i="3570" a="1"/>
  <c r="AN55" i="3570" s="1"/>
  <c r="AW55" i="3570" s="1" a="1"/>
  <c r="AW55" i="3570" s="1"/>
  <c r="A173" i="3523"/>
  <c r="AE54" i="3518"/>
  <c r="AL53" i="3518" a="1"/>
  <c r="AL53" i="3518" s="1"/>
  <c r="AS53" i="3518" s="1" a="1"/>
  <c r="AS53" i="3518" s="1"/>
  <c r="AB54" i="3518"/>
  <c r="AI53" i="3518" a="1"/>
  <c r="AI53" i="3518" s="1"/>
  <c r="AP53" i="3518" s="1" a="1"/>
  <c r="AP53" i="3518" s="1"/>
  <c r="BY60" i="3564" l="1"/>
  <c r="BR61" i="3564"/>
  <c r="BI58" i="3564"/>
  <c r="BE59" i="3564"/>
  <c r="BU60" i="3564"/>
  <c r="BN61" i="3564"/>
  <c r="Z59" i="3564"/>
  <c r="AD58" i="3564"/>
  <c r="BJ58" i="3564"/>
  <c r="BF59" i="3564"/>
  <c r="AO58" i="3564"/>
  <c r="AH59" i="3564"/>
  <c r="AQ59" i="3564"/>
  <c r="AJ60" i="3564"/>
  <c r="AS58" i="3564"/>
  <c r="AL59" i="3564"/>
  <c r="AP58" i="3564"/>
  <c r="AI59" i="3564"/>
  <c r="BH58" i="3564"/>
  <c r="BD59" i="3564"/>
  <c r="A174" i="3523"/>
  <c r="AR58" i="3564"/>
  <c r="AK59" i="3564"/>
  <c r="AC58" i="3564"/>
  <c r="Y59" i="3564"/>
  <c r="BV60" i="3564"/>
  <c r="BO61" i="3564"/>
  <c r="AN58" i="3564"/>
  <c r="AG59" i="3564"/>
  <c r="X58" i="3564"/>
  <c r="AB57" i="3564"/>
  <c r="BQ61" i="3564"/>
  <c r="BX60" i="3564"/>
  <c r="AT58" i="3564"/>
  <c r="AM59" i="3564"/>
  <c r="AP61" i="3435"/>
  <c r="AX60" i="3435" a="1"/>
  <c r="AX60" i="3435" s="1"/>
  <c r="BF60" i="3435" s="1" a="1"/>
  <c r="BF60" i="3435" s="1"/>
  <c r="AL56" i="3570" a="1"/>
  <c r="AL56" i="3570" s="1"/>
  <c r="AU56" i="3570" s="1" a="1"/>
  <c r="AU56" i="3570" s="1"/>
  <c r="AC57" i="3570"/>
  <c r="AB57" i="3570"/>
  <c r="AK56" i="3570" a="1"/>
  <c r="AK56" i="3570" s="1"/>
  <c r="AT56" i="3570" s="1" a="1"/>
  <c r="AT56" i="3570" s="1"/>
  <c r="AL54" i="3518" a="1"/>
  <c r="AL54" i="3518" s="1"/>
  <c r="AS54" i="3518" s="1" a="1"/>
  <c r="AS54" i="3518" s="1"/>
  <c r="AE55" i="3518"/>
  <c r="AV60" i="3435" a="1"/>
  <c r="AV60" i="3435" s="1"/>
  <c r="BD60" i="3435" s="1" a="1"/>
  <c r="BD60" i="3435" s="1"/>
  <c r="AN61" i="3435"/>
  <c r="C175" i="3523"/>
  <c r="Q175" i="3523" s="1" a="1"/>
  <c r="Q175" i="3523" s="1"/>
  <c r="BQ144" i="3448"/>
  <c r="AC146" i="3448"/>
  <c r="Y147" i="3448"/>
  <c r="AU60" i="3435" a="1"/>
  <c r="AU60" i="3435" s="1"/>
  <c r="BC60" i="3435" s="1" a="1"/>
  <c r="BC60" i="3435" s="1"/>
  <c r="AM61" i="3435"/>
  <c r="Z57" i="3435"/>
  <c r="AG56" i="3435" a="1"/>
  <c r="AG56" i="3435" s="1"/>
  <c r="AD55" i="3518"/>
  <c r="AK54" i="3518" a="1"/>
  <c r="AK54" i="3518" s="1"/>
  <c r="AR54" i="3518" s="1" a="1"/>
  <c r="AR54" i="3518" s="1"/>
  <c r="F175" i="3523"/>
  <c r="AF175" i="3523" s="1" a="1"/>
  <c r="AF175" i="3523" s="1"/>
  <c r="BT144" i="3448"/>
  <c r="AQ56" i="3570" a="1"/>
  <c r="AQ56" i="3570" s="1"/>
  <c r="AZ56" i="3570" s="1" a="1"/>
  <c r="AZ56" i="3570" s="1"/>
  <c r="AH57" i="3570"/>
  <c r="AC55" i="3518"/>
  <c r="AJ54" i="3518" a="1"/>
  <c r="AJ54" i="3518" s="1"/>
  <c r="AQ54" i="3518" s="1" a="1"/>
  <c r="AQ54" i="3518" s="1"/>
  <c r="AK61" i="3435"/>
  <c r="AS60" i="3435" a="1"/>
  <c r="AS60" i="3435" s="1"/>
  <c r="BA60" i="3435" s="1" a="1"/>
  <c r="BA60" i="3435" s="1"/>
  <c r="D176" i="3523"/>
  <c r="V176" i="3523" s="1" a="1"/>
  <c r="V176" i="3523" s="1"/>
  <c r="BR145" i="3448"/>
  <c r="BZ62" i="3564"/>
  <c r="BS63" i="3564"/>
  <c r="AB55" i="3518"/>
  <c r="AI54" i="3518" a="1"/>
  <c r="AI54" i="3518" s="1"/>
  <c r="AP54" i="3518" s="1" a="1"/>
  <c r="AP54" i="3518" s="1"/>
  <c r="AH54" i="3518" a="1"/>
  <c r="AH54" i="3518" s="1"/>
  <c r="AO54" i="3518" s="1" a="1"/>
  <c r="AO54" i="3518" s="1"/>
  <c r="AA55" i="3518"/>
  <c r="B176" i="3523"/>
  <c r="BP145" i="3448"/>
  <c r="AE56" i="3435" a="1"/>
  <c r="AE56" i="3435" s="1"/>
  <c r="X57" i="3435"/>
  <c r="L175" i="3523" a="1"/>
  <c r="L175" i="3523" s="1"/>
  <c r="AE57" i="3570"/>
  <c r="AN56" i="3570" a="1"/>
  <c r="AN56" i="3570" s="1"/>
  <c r="AW56" i="3570" s="1" a="1"/>
  <c r="AW56" i="3570" s="1"/>
  <c r="U56" i="3435"/>
  <c r="AB55" i="3435" a="1"/>
  <c r="AB55" i="3435" s="1"/>
  <c r="X145" i="3448"/>
  <c r="AB144" i="3448"/>
  <c r="AM56" i="3570" a="1"/>
  <c r="AM56" i="3570" s="1"/>
  <c r="AV56" i="3570" s="1" a="1"/>
  <c r="AV56" i="3570" s="1"/>
  <c r="AD57" i="3570"/>
  <c r="E176" i="3523"/>
  <c r="AA176" i="3523" s="1" a="1"/>
  <c r="AA176" i="3523" s="1"/>
  <c r="BS145" i="3448"/>
  <c r="AL61" i="3435"/>
  <c r="AT60" i="3435" a="1"/>
  <c r="AT60" i="3435" s="1"/>
  <c r="BB60" i="3435" s="1" a="1"/>
  <c r="BB60" i="3435" s="1"/>
  <c r="AD56" i="3435" a="1"/>
  <c r="AD56" i="3435" s="1"/>
  <c r="W57" i="3435"/>
  <c r="AD143" i="3448"/>
  <c r="Z144" i="3448"/>
  <c r="AQ61" i="3435"/>
  <c r="AY60" i="3435" a="1"/>
  <c r="AY60" i="3435" s="1"/>
  <c r="BG60" i="3435" s="1" a="1"/>
  <c r="BG60" i="3435" s="1"/>
  <c r="BT63" i="3564"/>
  <c r="CA62" i="3564"/>
  <c r="AF56" i="3435" a="1"/>
  <c r="AF56" i="3435" s="1"/>
  <c r="Y57" i="3435"/>
  <c r="AW60" i="3435" a="1"/>
  <c r="AW60" i="3435" s="1"/>
  <c r="BE60" i="3435" s="1" a="1"/>
  <c r="BE60" i="3435" s="1"/>
  <c r="AO61" i="3435"/>
  <c r="AI57" i="3570"/>
  <c r="AR56" i="3570" a="1"/>
  <c r="AR56" i="3570" s="1"/>
  <c r="BA56" i="3570" s="1" a="1"/>
  <c r="BA56" i="3570" s="1"/>
  <c r="CG145" i="3448"/>
  <c r="BZ146" i="3448"/>
  <c r="AF57" i="3570"/>
  <c r="AO56" i="3570" a="1"/>
  <c r="AO56" i="3570" s="1"/>
  <c r="AX56" i="3570" s="1" a="1"/>
  <c r="AX56" i="3570" s="1"/>
  <c r="AF55" i="3518"/>
  <c r="AM54" i="3518" a="1"/>
  <c r="AM54" i="3518" s="1"/>
  <c r="AT54" i="3518" s="1" a="1"/>
  <c r="AT54" i="3518" s="1"/>
  <c r="BW61" i="3564"/>
  <c r="BP62" i="3564"/>
  <c r="V57" i="3435"/>
  <c r="AC56" i="3435" a="1"/>
  <c r="AC56" i="3435" s="1"/>
  <c r="AG57" i="3570"/>
  <c r="AP56" i="3570" a="1"/>
  <c r="AP56" i="3570" s="1"/>
  <c r="AY56" i="3570" s="1" a="1"/>
  <c r="AY56" i="3570" s="1"/>
  <c r="AK60" i="3564" l="1"/>
  <c r="AR59" i="3564"/>
  <c r="BD60" i="3564"/>
  <c r="BH59" i="3564"/>
  <c r="AI60" i="3564"/>
  <c r="AP59" i="3564"/>
  <c r="AL60" i="3564"/>
  <c r="AS59" i="3564"/>
  <c r="AQ60" i="3564"/>
  <c r="AJ61" i="3564"/>
  <c r="AH60" i="3564"/>
  <c r="AO59" i="3564"/>
  <c r="BJ59" i="3564"/>
  <c r="BF60" i="3564"/>
  <c r="AT59" i="3564"/>
  <c r="AM60" i="3564"/>
  <c r="AD59" i="3564"/>
  <c r="Z60" i="3564"/>
  <c r="AB58" i="3564"/>
  <c r="X59" i="3564"/>
  <c r="BU61" i="3564"/>
  <c r="BN62" i="3564"/>
  <c r="BX61" i="3564"/>
  <c r="BQ62" i="3564"/>
  <c r="AG60" i="3564"/>
  <c r="AN59" i="3564"/>
  <c r="BE60" i="3564"/>
  <c r="BI59" i="3564"/>
  <c r="BV61" i="3564"/>
  <c r="BO62" i="3564"/>
  <c r="A175" i="3523"/>
  <c r="BY61" i="3564"/>
  <c r="BR62" i="3564"/>
  <c r="Y60" i="3564"/>
  <c r="AC59" i="3564"/>
  <c r="CA63" i="3564"/>
  <c r="BT64" i="3564"/>
  <c r="Z58" i="3435"/>
  <c r="AG57" i="3435" a="1"/>
  <c r="AG57" i="3435" s="1"/>
  <c r="AY61" i="3435" a="1"/>
  <c r="AY61" i="3435" s="1"/>
  <c r="BG61" i="3435" s="1" a="1"/>
  <c r="BG61" i="3435" s="1"/>
  <c r="AQ62" i="3435"/>
  <c r="W58" i="3435"/>
  <c r="AD57" i="3435" a="1"/>
  <c r="AD57" i="3435" s="1"/>
  <c r="C176" i="3523"/>
  <c r="Q176" i="3523" s="1" a="1"/>
  <c r="Q176" i="3523" s="1"/>
  <c r="BQ145" i="3448"/>
  <c r="AC147" i="3448"/>
  <c r="Y148" i="3448"/>
  <c r="AE57" i="3435" a="1"/>
  <c r="AE57" i="3435" s="1"/>
  <c r="X58" i="3435"/>
  <c r="L176" i="3523" a="1"/>
  <c r="L176" i="3523" s="1"/>
  <c r="Y58" i="3435"/>
  <c r="AF57" i="3435" a="1"/>
  <c r="AF57" i="3435" s="1"/>
  <c r="AN62" i="3435"/>
  <c r="AV61" i="3435" a="1"/>
  <c r="AV61" i="3435" s="1"/>
  <c r="BD61" i="3435" s="1" a="1"/>
  <c r="BD61" i="3435" s="1"/>
  <c r="AH55" i="3518" a="1"/>
  <c r="AH55" i="3518" s="1"/>
  <c r="AO55" i="3518" s="1" a="1"/>
  <c r="AO55" i="3518" s="1"/>
  <c r="AA56" i="3518"/>
  <c r="AE56" i="3518"/>
  <c r="AL55" i="3518" a="1"/>
  <c r="AL55" i="3518" s="1"/>
  <c r="AS55" i="3518" s="1" a="1"/>
  <c r="AS55" i="3518" s="1"/>
  <c r="AD56" i="3518"/>
  <c r="AK55" i="3518" a="1"/>
  <c r="AK55" i="3518" s="1"/>
  <c r="AR55" i="3518" s="1" a="1"/>
  <c r="AR55" i="3518" s="1"/>
  <c r="BW62" i="3564"/>
  <c r="BP63" i="3564"/>
  <c r="D177" i="3523"/>
  <c r="V177" i="3523" s="1" a="1"/>
  <c r="V177" i="3523" s="1"/>
  <c r="BR146" i="3448"/>
  <c r="AG58" i="3570"/>
  <c r="AP57" i="3570" a="1"/>
  <c r="AP57" i="3570" s="1"/>
  <c r="AY57" i="3570" s="1" a="1"/>
  <c r="AY57" i="3570" s="1"/>
  <c r="AF56" i="3518"/>
  <c r="AM55" i="3518" a="1"/>
  <c r="AM55" i="3518" s="1"/>
  <c r="AT55" i="3518" s="1" a="1"/>
  <c r="AT55" i="3518" s="1"/>
  <c r="AT61" i="3435" a="1"/>
  <c r="AT61" i="3435" s="1"/>
  <c r="BB61" i="3435" s="1" a="1"/>
  <c r="BB61" i="3435" s="1"/>
  <c r="AL62" i="3435"/>
  <c r="AK57" i="3570" a="1"/>
  <c r="AK57" i="3570" s="1"/>
  <c r="AT57" i="3570" s="1" a="1"/>
  <c r="AT57" i="3570" s="1"/>
  <c r="AB58" i="3570"/>
  <c r="AB145" i="3448"/>
  <c r="X146" i="3448"/>
  <c r="AM62" i="3435"/>
  <c r="AU61" i="3435" a="1"/>
  <c r="AU61" i="3435" s="1"/>
  <c r="BC61" i="3435" s="1" a="1"/>
  <c r="BC61" i="3435" s="1"/>
  <c r="Z145" i="3448"/>
  <c r="AD144" i="3448"/>
  <c r="B177" i="3523"/>
  <c r="BP146" i="3448"/>
  <c r="AC57" i="3435" a="1"/>
  <c r="AC57" i="3435" s="1"/>
  <c r="V58" i="3435"/>
  <c r="AM57" i="3570" a="1"/>
  <c r="AM57" i="3570" s="1"/>
  <c r="AV57" i="3570" s="1" a="1"/>
  <c r="AV57" i="3570" s="1"/>
  <c r="AD58" i="3570"/>
  <c r="AI55" i="3518" a="1"/>
  <c r="AI55" i="3518" s="1"/>
  <c r="AP55" i="3518" s="1" a="1"/>
  <c r="AP55" i="3518" s="1"/>
  <c r="AB56" i="3518"/>
  <c r="BS64" i="3564"/>
  <c r="BZ63" i="3564"/>
  <c r="AH58" i="3570"/>
  <c r="AQ57" i="3570" a="1"/>
  <c r="AQ57" i="3570" s="1"/>
  <c r="AZ57" i="3570" s="1" a="1"/>
  <c r="AZ57" i="3570" s="1"/>
  <c r="AC58" i="3570"/>
  <c r="AL57" i="3570" a="1"/>
  <c r="AL57" i="3570" s="1"/>
  <c r="AU57" i="3570" s="1" a="1"/>
  <c r="AU57" i="3570" s="1"/>
  <c r="AK62" i="3435"/>
  <c r="AS61" i="3435" a="1"/>
  <c r="AS61" i="3435" s="1"/>
  <c r="BA61" i="3435" s="1" a="1"/>
  <c r="BA61" i="3435" s="1"/>
  <c r="U57" i="3435"/>
  <c r="AB56" i="3435" a="1"/>
  <c r="AB56" i="3435" s="1"/>
  <c r="E177" i="3523"/>
  <c r="AA177" i="3523" s="1" a="1"/>
  <c r="AA177" i="3523" s="1"/>
  <c r="BS146" i="3448"/>
  <c r="AO57" i="3570" a="1"/>
  <c r="AO57" i="3570" s="1"/>
  <c r="AX57" i="3570" s="1" a="1"/>
  <c r="AX57" i="3570" s="1"/>
  <c r="AF58" i="3570"/>
  <c r="AO62" i="3435"/>
  <c r="AW61" i="3435" a="1"/>
  <c r="AW61" i="3435" s="1"/>
  <c r="BE61" i="3435" s="1" a="1"/>
  <c r="BE61" i="3435" s="1"/>
  <c r="F176" i="3523"/>
  <c r="AF176" i="3523" s="1" a="1"/>
  <c r="AF176" i="3523" s="1"/>
  <c r="BT145" i="3448"/>
  <c r="AC56" i="3518"/>
  <c r="AJ55" i="3518" a="1"/>
  <c r="AJ55" i="3518" s="1"/>
  <c r="AQ55" i="3518" s="1" a="1"/>
  <c r="AQ55" i="3518" s="1"/>
  <c r="BZ147" i="3448"/>
  <c r="CG146" i="3448"/>
  <c r="AR57" i="3570" a="1"/>
  <c r="AR57" i="3570" s="1"/>
  <c r="BA57" i="3570" s="1" a="1"/>
  <c r="BA57" i="3570" s="1"/>
  <c r="AI58" i="3570"/>
  <c r="AN57" i="3570" a="1"/>
  <c r="AN57" i="3570" s="1"/>
  <c r="AW57" i="3570" s="1" a="1"/>
  <c r="AW57" i="3570" s="1"/>
  <c r="AE58" i="3570"/>
  <c r="AP62" i="3435"/>
  <c r="AX61" i="3435" a="1"/>
  <c r="AX61" i="3435" s="1"/>
  <c r="BF61" i="3435" s="1" a="1"/>
  <c r="BF61" i="3435" s="1"/>
  <c r="BQ63" i="3564" l="1"/>
  <c r="BX62" i="3564"/>
  <c r="BN63" i="3564"/>
  <c r="BU62" i="3564"/>
  <c r="AB59" i="3564"/>
  <c r="X60" i="3564"/>
  <c r="AD60" i="3564"/>
  <c r="Z61" i="3564"/>
  <c r="AT60" i="3564"/>
  <c r="AM61" i="3564"/>
  <c r="BJ60" i="3564"/>
  <c r="BF61" i="3564"/>
  <c r="AH61" i="3564"/>
  <c r="AO60" i="3564"/>
  <c r="AJ62" i="3564"/>
  <c r="AQ61" i="3564"/>
  <c r="A176" i="3523"/>
  <c r="AS60" i="3564"/>
  <c r="AL61" i="3564"/>
  <c r="BO63" i="3564"/>
  <c r="BV62" i="3564"/>
  <c r="AI61" i="3564"/>
  <c r="AP60" i="3564"/>
  <c r="BI60" i="3564"/>
  <c r="BE61" i="3564"/>
  <c r="BD61" i="3564"/>
  <c r="BH60" i="3564"/>
  <c r="BY62" i="3564"/>
  <c r="BR63" i="3564"/>
  <c r="Y61" i="3564"/>
  <c r="AC60" i="3564"/>
  <c r="AN60" i="3564"/>
  <c r="AG61" i="3564"/>
  <c r="AR60" i="3564"/>
  <c r="AK61" i="3564"/>
  <c r="L177" i="3523" a="1"/>
  <c r="L177" i="3523" s="1"/>
  <c r="AO58" i="3570" a="1"/>
  <c r="AO58" i="3570" s="1"/>
  <c r="AX58" i="3570" s="1" a="1"/>
  <c r="AX58" i="3570" s="1"/>
  <c r="AF59" i="3570"/>
  <c r="D178" i="3523"/>
  <c r="V178" i="3523" s="1" a="1"/>
  <c r="V178" i="3523" s="1"/>
  <c r="BR147" i="3448"/>
  <c r="X59" i="3435"/>
  <c r="AE58" i="3435" a="1"/>
  <c r="AE58" i="3435" s="1"/>
  <c r="Z146" i="3448"/>
  <c r="AD145" i="3448"/>
  <c r="AE59" i="3570"/>
  <c r="AN58" i="3570" a="1"/>
  <c r="AN58" i="3570" s="1"/>
  <c r="AW58" i="3570" s="1" a="1"/>
  <c r="AW58" i="3570" s="1"/>
  <c r="V59" i="3435"/>
  <c r="AC58" i="3435" a="1"/>
  <c r="AC58" i="3435" s="1"/>
  <c r="AU62" i="3435" a="1"/>
  <c r="AU62" i="3435" s="1"/>
  <c r="BC62" i="3435" s="1" a="1"/>
  <c r="BC62" i="3435" s="1"/>
  <c r="AM63" i="3435"/>
  <c r="AP63" i="3435"/>
  <c r="AX62" i="3435" a="1"/>
  <c r="AX62" i="3435" s="1"/>
  <c r="BF62" i="3435" s="1" a="1"/>
  <c r="BF62" i="3435" s="1"/>
  <c r="AK58" i="3570" a="1"/>
  <c r="AK58" i="3570" s="1"/>
  <c r="AT58" i="3570" s="1" a="1"/>
  <c r="AT58" i="3570" s="1"/>
  <c r="AB59" i="3570"/>
  <c r="BW63" i="3564"/>
  <c r="BP64" i="3564"/>
  <c r="AD57" i="3518"/>
  <c r="AK56" i="3518" a="1"/>
  <c r="AK56" i="3518" s="1"/>
  <c r="AR56" i="3518" s="1" a="1"/>
  <c r="AR56" i="3518" s="1"/>
  <c r="AC57" i="3518"/>
  <c r="AJ56" i="3518" a="1"/>
  <c r="AJ56" i="3518" s="1"/>
  <c r="AQ56" i="3518" s="1" a="1"/>
  <c r="AQ56" i="3518" s="1"/>
  <c r="AO63" i="3435"/>
  <c r="AW62" i="3435" a="1"/>
  <c r="AW62" i="3435" s="1"/>
  <c r="BE62" i="3435" s="1" a="1"/>
  <c r="BE62" i="3435" s="1"/>
  <c r="AE57" i="3518"/>
  <c r="AL56" i="3518" a="1"/>
  <c r="AL56" i="3518" s="1"/>
  <c r="AS56" i="3518" s="1" a="1"/>
  <c r="AS56" i="3518" s="1"/>
  <c r="Y149" i="3448"/>
  <c r="AC148" i="3448"/>
  <c r="AL63" i="3435"/>
  <c r="AT62" i="3435" a="1"/>
  <c r="AT62" i="3435" s="1"/>
  <c r="BB62" i="3435" s="1" a="1"/>
  <c r="BB62" i="3435" s="1"/>
  <c r="AM56" i="3518" a="1"/>
  <c r="AM56" i="3518" s="1"/>
  <c r="AT56" i="3518" s="1" a="1"/>
  <c r="AT56" i="3518" s="1"/>
  <c r="AF57" i="3518"/>
  <c r="AN63" i="3435"/>
  <c r="AV62" i="3435" a="1"/>
  <c r="AV62" i="3435" s="1"/>
  <c r="BD62" i="3435" s="1" a="1"/>
  <c r="BD62" i="3435" s="1"/>
  <c r="AR58" i="3570" a="1"/>
  <c r="AR58" i="3570" s="1"/>
  <c r="BA58" i="3570" s="1" a="1"/>
  <c r="BA58" i="3570" s="1"/>
  <c r="AI59" i="3570"/>
  <c r="AK63" i="3435"/>
  <c r="AS62" i="3435" a="1"/>
  <c r="AS62" i="3435" s="1"/>
  <c r="BA62" i="3435" s="1" a="1"/>
  <c r="BA62" i="3435" s="1"/>
  <c r="AH56" i="3518" a="1"/>
  <c r="AH56" i="3518" s="1"/>
  <c r="AO56" i="3518" s="1" a="1"/>
  <c r="AO56" i="3518" s="1"/>
  <c r="AA57" i="3518"/>
  <c r="AC59" i="3570"/>
  <c r="AL58" i="3570" a="1"/>
  <c r="AL58" i="3570" s="1"/>
  <c r="AU58" i="3570" s="1" a="1"/>
  <c r="AU58" i="3570" s="1"/>
  <c r="C177" i="3523"/>
  <c r="Q177" i="3523" s="1" a="1"/>
  <c r="Q177" i="3523" s="1"/>
  <c r="BQ146" i="3448"/>
  <c r="AP58" i="3570" a="1"/>
  <c r="AP58" i="3570" s="1"/>
  <c r="AY58" i="3570" s="1" a="1"/>
  <c r="AY58" i="3570" s="1"/>
  <c r="AG59" i="3570"/>
  <c r="Z59" i="3435"/>
  <c r="AG58" i="3435" a="1"/>
  <c r="AG58" i="3435" s="1"/>
  <c r="E178" i="3523"/>
  <c r="AA178" i="3523" s="1" a="1"/>
  <c r="AA178" i="3523" s="1"/>
  <c r="BS147" i="3448"/>
  <c r="AB57" i="3435" a="1"/>
  <c r="AB57" i="3435" s="1"/>
  <c r="U58" i="3435"/>
  <c r="BZ148" i="3448"/>
  <c r="CG147" i="3448"/>
  <c r="AH59" i="3570"/>
  <c r="AQ58" i="3570" a="1"/>
  <c r="AQ58" i="3570" s="1"/>
  <c r="AZ58" i="3570" s="1" a="1"/>
  <c r="AZ58" i="3570" s="1"/>
  <c r="AD58" i="3435" a="1"/>
  <c r="AD58" i="3435" s="1"/>
  <c r="W59" i="3435"/>
  <c r="BS65" i="3564"/>
  <c r="BZ64" i="3564"/>
  <c r="AI56" i="3518" a="1"/>
  <c r="AI56" i="3518" s="1"/>
  <c r="AP56" i="3518" s="1" a="1"/>
  <c r="AP56" i="3518" s="1"/>
  <c r="AB57" i="3518"/>
  <c r="CA64" i="3564"/>
  <c r="BT65" i="3564"/>
  <c r="B178" i="3523"/>
  <c r="BP147" i="3448"/>
  <c r="AB146" i="3448"/>
  <c r="X147" i="3448"/>
  <c r="AQ63" i="3435"/>
  <c r="AY62" i="3435" a="1"/>
  <c r="AY62" i="3435" s="1"/>
  <c r="BG62" i="3435" s="1" a="1"/>
  <c r="BG62" i="3435" s="1"/>
  <c r="F177" i="3523"/>
  <c r="AF177" i="3523" s="1" a="1"/>
  <c r="AF177" i="3523" s="1"/>
  <c r="BT146" i="3448"/>
  <c r="AD59" i="3570"/>
  <c r="AM58" i="3570" a="1"/>
  <c r="AM58" i="3570" s="1"/>
  <c r="AV58" i="3570" s="1" a="1"/>
  <c r="AV58" i="3570" s="1"/>
  <c r="Y59" i="3435"/>
  <c r="AF58" i="3435" a="1"/>
  <c r="AF58" i="3435" s="1"/>
  <c r="AP61" i="3564" l="1"/>
  <c r="AI62" i="3564"/>
  <c r="BO64" i="3564"/>
  <c r="BV63" i="3564"/>
  <c r="AS61" i="3564"/>
  <c r="AL62" i="3564"/>
  <c r="AT61" i="3564"/>
  <c r="AM62" i="3564"/>
  <c r="AG62" i="3564"/>
  <c r="AN61" i="3564"/>
  <c r="Y62" i="3564"/>
  <c r="AC61" i="3564"/>
  <c r="AB60" i="3564"/>
  <c r="X61" i="3564"/>
  <c r="AR61" i="3564"/>
  <c r="AK62" i="3564"/>
  <c r="BR64" i="3564"/>
  <c r="BY63" i="3564"/>
  <c r="AJ63" i="3564"/>
  <c r="AQ62" i="3564"/>
  <c r="AO61" i="3564"/>
  <c r="AH62" i="3564"/>
  <c r="BN64" i="3564"/>
  <c r="BU63" i="3564"/>
  <c r="BH61" i="3564"/>
  <c r="BD62" i="3564"/>
  <c r="BF62" i="3564"/>
  <c r="BJ61" i="3564"/>
  <c r="Z62" i="3564"/>
  <c r="AD61" i="3564"/>
  <c r="BE62" i="3564"/>
  <c r="BI61" i="3564"/>
  <c r="BQ64" i="3564"/>
  <c r="BX63" i="3564"/>
  <c r="AB58" i="3518"/>
  <c r="AI57" i="3518" a="1"/>
  <c r="AI57" i="3518" s="1"/>
  <c r="AP57" i="3518" s="1" a="1"/>
  <c r="AP57" i="3518" s="1"/>
  <c r="C178" i="3523"/>
  <c r="Q178" i="3523" s="1" a="1"/>
  <c r="Q178" i="3523" s="1"/>
  <c r="BQ147" i="3448"/>
  <c r="Y150" i="3448"/>
  <c r="AC149" i="3448"/>
  <c r="AE58" i="3518"/>
  <c r="AL57" i="3518" a="1"/>
  <c r="AL57" i="3518" s="1"/>
  <c r="AS57" i="3518" s="1" a="1"/>
  <c r="AS57" i="3518" s="1"/>
  <c r="AW63" i="3435" a="1"/>
  <c r="AW63" i="3435" s="1"/>
  <c r="BE63" i="3435" s="1" a="1"/>
  <c r="BE63" i="3435" s="1"/>
  <c r="AO64" i="3435"/>
  <c r="AW64" i="3435" s="1" a="1"/>
  <c r="AW64" i="3435" s="1"/>
  <c r="AC59" i="3435" a="1"/>
  <c r="AC59" i="3435" s="1"/>
  <c r="V60" i="3435"/>
  <c r="AC58" i="3518"/>
  <c r="AJ57" i="3518" a="1"/>
  <c r="AJ57" i="3518" s="1"/>
  <c r="AQ57" i="3518" s="1" a="1"/>
  <c r="AQ57" i="3518" s="1"/>
  <c r="AD59" i="3435" a="1"/>
  <c r="AD59" i="3435" s="1"/>
  <c r="W60" i="3435"/>
  <c r="AK57" i="3518" a="1"/>
  <c r="AK57" i="3518" s="1"/>
  <c r="AR57" i="3518" s="1" a="1"/>
  <c r="AR57" i="3518" s="1"/>
  <c r="AD58" i="3518"/>
  <c r="AN59" i="3570" a="1"/>
  <c r="AN59" i="3570" s="1"/>
  <c r="AW59" i="3570" s="1" a="1"/>
  <c r="AW59" i="3570" s="1"/>
  <c r="AE60" i="3570"/>
  <c r="U59" i="3435"/>
  <c r="AB58" i="3435" a="1"/>
  <c r="AB58" i="3435" s="1"/>
  <c r="BW64" i="3564"/>
  <c r="BP65" i="3564"/>
  <c r="AD146" i="3448"/>
  <c r="Z147" i="3448"/>
  <c r="BS66" i="3564"/>
  <c r="BZ65" i="3564"/>
  <c r="AF59" i="3435" a="1"/>
  <c r="AF59" i="3435" s="1"/>
  <c r="Y60" i="3435"/>
  <c r="AA58" i="3518"/>
  <c r="AH57" i="3518" a="1"/>
  <c r="AH57" i="3518" s="1"/>
  <c r="AO57" i="3518" s="1" a="1"/>
  <c r="AO57" i="3518" s="1"/>
  <c r="AY63" i="3435" a="1"/>
  <c r="AY63" i="3435" s="1"/>
  <c r="BG63" i="3435" s="1" a="1"/>
  <c r="BG63" i="3435" s="1"/>
  <c r="AQ64" i="3435"/>
  <c r="AY64" i="3435" s="1" a="1"/>
  <c r="AY64" i="3435" s="1"/>
  <c r="X60" i="3435"/>
  <c r="AE59" i="3435" a="1"/>
  <c r="AE59" i="3435" s="1"/>
  <c r="F178" i="3523"/>
  <c r="AF178" i="3523" s="1" a="1"/>
  <c r="AF178" i="3523" s="1"/>
  <c r="BT147" i="3448"/>
  <c r="D179" i="3523"/>
  <c r="V179" i="3523" s="1" a="1"/>
  <c r="V179" i="3523" s="1"/>
  <c r="BR148" i="3448"/>
  <c r="BR149" i="3448" s="1"/>
  <c r="BR150" i="3448" s="1"/>
  <c r="BR151" i="3448" s="1"/>
  <c r="BR152" i="3448" s="1"/>
  <c r="BR153" i="3448" s="1"/>
  <c r="BR154" i="3448" s="1"/>
  <c r="BR155" i="3448" s="1"/>
  <c r="BR156" i="3448" s="1"/>
  <c r="BR157" i="3448" s="1"/>
  <c r="BR158" i="3448" s="1"/>
  <c r="BR159" i="3448" s="1"/>
  <c r="BR160" i="3448" s="1"/>
  <c r="BR161" i="3448" s="1"/>
  <c r="BR162" i="3448" s="1"/>
  <c r="E179" i="3523"/>
  <c r="AA179" i="3523" s="1" a="1"/>
  <c r="AA179" i="3523" s="1"/>
  <c r="BS148" i="3448"/>
  <c r="BS149" i="3448" s="1"/>
  <c r="BS150" i="3448" s="1"/>
  <c r="BS151" i="3448" s="1"/>
  <c r="BS152" i="3448" s="1"/>
  <c r="BS153" i="3448" s="1"/>
  <c r="BS154" i="3448" s="1"/>
  <c r="BS155" i="3448" s="1"/>
  <c r="BS156" i="3448" s="1"/>
  <c r="BS157" i="3448" s="1"/>
  <c r="BS158" i="3448" s="1"/>
  <c r="BS159" i="3448" s="1"/>
  <c r="BS160" i="3448" s="1"/>
  <c r="BS161" i="3448" s="1"/>
  <c r="BS162" i="3448" s="1"/>
  <c r="AK59" i="3570" a="1"/>
  <c r="AK59" i="3570" s="1"/>
  <c r="AT59" i="3570" s="1" a="1"/>
  <c r="AT59" i="3570" s="1"/>
  <c r="AB60" i="3570"/>
  <c r="B179" i="3523"/>
  <c r="BP148" i="3448"/>
  <c r="BP149" i="3448" s="1"/>
  <c r="BP150" i="3448" s="1"/>
  <c r="BP151" i="3448" s="1"/>
  <c r="BP152" i="3448" s="1"/>
  <c r="BP153" i="3448" s="1"/>
  <c r="BP154" i="3448" s="1"/>
  <c r="BP155" i="3448" s="1"/>
  <c r="BP156" i="3448" s="1"/>
  <c r="BP157" i="3448" s="1"/>
  <c r="BP158" i="3448" s="1"/>
  <c r="BP159" i="3448" s="1"/>
  <c r="BP160" i="3448" s="1"/>
  <c r="BP161" i="3448" s="1"/>
  <c r="BP162" i="3448" s="1"/>
  <c r="AR59" i="3570" a="1"/>
  <c r="AR59" i="3570" s="1"/>
  <c r="BA59" i="3570" s="1" a="1"/>
  <c r="BA59" i="3570" s="1"/>
  <c r="AI60" i="3570"/>
  <c r="Z60" i="3435"/>
  <c r="AG59" i="3435" a="1"/>
  <c r="AG59" i="3435" s="1"/>
  <c r="AN64" i="3435"/>
  <c r="AV64" i="3435" s="1" a="1"/>
  <c r="AV64" i="3435" s="1"/>
  <c r="AV63" i="3435" a="1"/>
  <c r="AV63" i="3435" s="1"/>
  <c r="BD63" i="3435" s="1" a="1"/>
  <c r="BD63" i="3435" s="1"/>
  <c r="AH60" i="3570"/>
  <c r="AQ59" i="3570" a="1"/>
  <c r="AQ59" i="3570" s="1"/>
  <c r="AZ59" i="3570" s="1" a="1"/>
  <c r="AZ59" i="3570" s="1"/>
  <c r="AM59" i="3570" a="1"/>
  <c r="AM59" i="3570" s="1"/>
  <c r="AV59" i="3570" s="1" a="1"/>
  <c r="AV59" i="3570" s="1"/>
  <c r="AD60" i="3570"/>
  <c r="CG148" i="3448"/>
  <c r="BZ149" i="3448"/>
  <c r="AB147" i="3448"/>
  <c r="X148" i="3448"/>
  <c r="AX63" i="3435" a="1"/>
  <c r="AX63" i="3435" s="1"/>
  <c r="BF63" i="3435" s="1" a="1"/>
  <c r="BF63" i="3435" s="1"/>
  <c r="AP64" i="3435"/>
  <c r="AX64" i="3435" s="1" a="1"/>
  <c r="AX64" i="3435" s="1"/>
  <c r="CA65" i="3564"/>
  <c r="BT66" i="3564"/>
  <c r="AF58" i="3518"/>
  <c r="AM57" i="3518" a="1"/>
  <c r="AM57" i="3518" s="1"/>
  <c r="AT57" i="3518" s="1" a="1"/>
  <c r="AT57" i="3518" s="1"/>
  <c r="AF60" i="3570"/>
  <c r="AO59" i="3570" a="1"/>
  <c r="AO59" i="3570" s="1"/>
  <c r="AX59" i="3570" s="1" a="1"/>
  <c r="AX59" i="3570" s="1"/>
  <c r="L178" i="3523" a="1"/>
  <c r="L178" i="3523" s="1"/>
  <c r="AK64" i="3435"/>
  <c r="AS64" i="3435" s="1" a="1"/>
  <c r="AS64" i="3435" s="1"/>
  <c r="AS63" i="3435" a="1"/>
  <c r="AS63" i="3435" s="1"/>
  <c r="BA63" i="3435" s="1" a="1"/>
  <c r="BA63" i="3435" s="1"/>
  <c r="AG60" i="3570"/>
  <c r="AP59" i="3570" a="1"/>
  <c r="AP59" i="3570" s="1"/>
  <c r="AY59" i="3570" s="1" a="1"/>
  <c r="AY59" i="3570" s="1"/>
  <c r="AM64" i="3435"/>
  <c r="AU64" i="3435" s="1" a="1"/>
  <c r="AU64" i="3435" s="1"/>
  <c r="AU63" i="3435" a="1"/>
  <c r="AU63" i="3435" s="1"/>
  <c r="BC63" i="3435" s="1" a="1"/>
  <c r="BC63" i="3435" s="1"/>
  <c r="A177" i="3523"/>
  <c r="AL59" i="3570" a="1"/>
  <c r="AL59" i="3570" s="1"/>
  <c r="AU59" i="3570" s="1" a="1"/>
  <c r="AU59" i="3570" s="1"/>
  <c r="AC60" i="3570"/>
  <c r="AL64" i="3435"/>
  <c r="AT64" i="3435" s="1" a="1"/>
  <c r="AT64" i="3435" s="1"/>
  <c r="AT63" i="3435" a="1"/>
  <c r="AT63" i="3435" s="1"/>
  <c r="BB63" i="3435" s="1" a="1"/>
  <c r="BB63" i="3435" s="1"/>
  <c r="BN65" i="3564" l="1"/>
  <c r="BU64" i="3564"/>
  <c r="AH63" i="3564"/>
  <c r="AO62" i="3564"/>
  <c r="AQ63" i="3564"/>
  <c r="AJ64" i="3564"/>
  <c r="BY64" i="3564"/>
  <c r="BR65" i="3564"/>
  <c r="AR62" i="3564"/>
  <c r="AK63" i="3564"/>
  <c r="AB61" i="3564"/>
  <c r="X62" i="3564"/>
  <c r="Y63" i="3564"/>
  <c r="AC62" i="3564"/>
  <c r="AG63" i="3564"/>
  <c r="AN62" i="3564"/>
  <c r="BI62" i="3564"/>
  <c r="BE63" i="3564"/>
  <c r="AL63" i="3564"/>
  <c r="AS62" i="3564"/>
  <c r="BQ65" i="3564"/>
  <c r="BX64" i="3564"/>
  <c r="A178" i="3523"/>
  <c r="Z63" i="3564"/>
  <c r="AD62" i="3564"/>
  <c r="BV64" i="3564"/>
  <c r="BO65" i="3564"/>
  <c r="AT62" i="3564"/>
  <c r="AM63" i="3564"/>
  <c r="BH62" i="3564"/>
  <c r="BD63" i="3564"/>
  <c r="AP62" i="3564"/>
  <c r="AI63" i="3564"/>
  <c r="BF63" i="3564"/>
  <c r="BJ62" i="3564"/>
  <c r="AH58" i="3518" a="1"/>
  <c r="AH58" i="3518" s="1"/>
  <c r="AO58" i="3518" s="1" a="1"/>
  <c r="AO58" i="3518" s="1"/>
  <c r="AA59" i="3518"/>
  <c r="AC60" i="3435" a="1"/>
  <c r="AC60" i="3435" s="1"/>
  <c r="V61" i="3435"/>
  <c r="Z61" i="3435"/>
  <c r="AG60" i="3435" a="1"/>
  <c r="AG60" i="3435" s="1"/>
  <c r="AI61" i="3570"/>
  <c r="AR60" i="3570" a="1"/>
  <c r="AR60" i="3570" s="1"/>
  <c r="BA60" i="3570" s="1" a="1"/>
  <c r="BA60" i="3570" s="1"/>
  <c r="BE64" i="3435" a="1"/>
  <c r="BE64" i="3435" s="1"/>
  <c r="BE7" i="3435" s="1"/>
  <c r="AW11" i="3435"/>
  <c r="BB64" i="3435" a="1"/>
  <c r="BB64" i="3435" s="1"/>
  <c r="BB7" i="3435" s="1"/>
  <c r="AT11" i="3435"/>
  <c r="AM58" i="3518" a="1"/>
  <c r="AM58" i="3518" s="1"/>
  <c r="AT58" i="3518" s="1" a="1"/>
  <c r="AT58" i="3518" s="1"/>
  <c r="AF59" i="3518"/>
  <c r="BZ66" i="3564"/>
  <c r="BS67" i="3564"/>
  <c r="AL58" i="3518" a="1"/>
  <c r="AL58" i="3518" s="1"/>
  <c r="AS58" i="3518" s="1" a="1"/>
  <c r="AS58" i="3518" s="1"/>
  <c r="AE59" i="3518"/>
  <c r="BF64" i="3435" a="1"/>
  <c r="BF64" i="3435" s="1"/>
  <c r="BF7" i="3435" s="1"/>
  <c r="AX11" i="3435"/>
  <c r="BP66" i="3564"/>
  <c r="BW65" i="3564"/>
  <c r="CA66" i="3564"/>
  <c r="BT67" i="3564"/>
  <c r="AB148" i="3448"/>
  <c r="X149" i="3448"/>
  <c r="AF61" i="3570"/>
  <c r="AO60" i="3570" a="1"/>
  <c r="AO60" i="3570" s="1"/>
  <c r="AX60" i="3570" s="1" a="1"/>
  <c r="AX60" i="3570" s="1"/>
  <c r="AC61" i="3570"/>
  <c r="AL60" i="3570" a="1"/>
  <c r="AL60" i="3570" s="1"/>
  <c r="AU60" i="3570" s="1" a="1"/>
  <c r="AU60" i="3570" s="1"/>
  <c r="AC150" i="3448"/>
  <c r="Y151" i="3448"/>
  <c r="AD147" i="3448"/>
  <c r="Z148" i="3448"/>
  <c r="C179" i="3523"/>
  <c r="Q179" i="3523" s="1" a="1"/>
  <c r="Q179" i="3523" s="1"/>
  <c r="BQ148" i="3448"/>
  <c r="BQ149" i="3448" s="1"/>
  <c r="BQ150" i="3448" s="1"/>
  <c r="BQ151" i="3448" s="1"/>
  <c r="BQ152" i="3448" s="1"/>
  <c r="BQ153" i="3448" s="1"/>
  <c r="BQ154" i="3448" s="1"/>
  <c r="BQ155" i="3448" s="1"/>
  <c r="BQ156" i="3448" s="1"/>
  <c r="BQ157" i="3448" s="1"/>
  <c r="BQ158" i="3448" s="1"/>
  <c r="BQ159" i="3448" s="1"/>
  <c r="BQ160" i="3448" s="1"/>
  <c r="BQ161" i="3448" s="1"/>
  <c r="BQ162" i="3448" s="1"/>
  <c r="BG64" i="3435" a="1"/>
  <c r="BG64" i="3435" s="1"/>
  <c r="BG7" i="3435" s="1"/>
  <c r="AY11" i="3435"/>
  <c r="Y61" i="3435"/>
  <c r="AF60" i="3435" a="1"/>
  <c r="AF60" i="3435" s="1"/>
  <c r="AQ60" i="3570" a="1"/>
  <c r="AQ60" i="3570" s="1"/>
  <c r="AZ60" i="3570" s="1" a="1"/>
  <c r="AZ60" i="3570" s="1"/>
  <c r="AH61" i="3570"/>
  <c r="L179" i="3523" a="1"/>
  <c r="L179" i="3523" s="1"/>
  <c r="BC64" i="3435" a="1"/>
  <c r="BC64" i="3435" s="1"/>
  <c r="BC7" i="3435" s="1"/>
  <c r="AU11" i="3435"/>
  <c r="AB59" i="3435" a="1"/>
  <c r="AB59" i="3435" s="1"/>
  <c r="U60" i="3435"/>
  <c r="BZ150" i="3448"/>
  <c r="CG149" i="3448"/>
  <c r="AM60" i="3570" a="1"/>
  <c r="AM60" i="3570" s="1"/>
  <c r="AV60" i="3570" s="1" a="1"/>
  <c r="AV60" i="3570" s="1"/>
  <c r="AD61" i="3570"/>
  <c r="AK58" i="3518" a="1"/>
  <c r="AK58" i="3518" s="1"/>
  <c r="AR58" i="3518" s="1" a="1"/>
  <c r="AR58" i="3518" s="1"/>
  <c r="AD59" i="3518"/>
  <c r="AD60" i="3435" a="1"/>
  <c r="AD60" i="3435" s="1"/>
  <c r="W61" i="3435"/>
  <c r="AB61" i="3570"/>
  <c r="AK60" i="3570" a="1"/>
  <c r="AK60" i="3570" s="1"/>
  <c r="AT60" i="3570" s="1" a="1"/>
  <c r="AT60" i="3570" s="1"/>
  <c r="AE61" i="3570"/>
  <c r="AN60" i="3570" a="1"/>
  <c r="AN60" i="3570" s="1"/>
  <c r="AW60" i="3570" s="1" a="1"/>
  <c r="AW60" i="3570" s="1"/>
  <c r="AG61" i="3570"/>
  <c r="AP60" i="3570" a="1"/>
  <c r="AP60" i="3570" s="1"/>
  <c r="AY60" i="3570" s="1" a="1"/>
  <c r="AY60" i="3570" s="1"/>
  <c r="F179" i="3523"/>
  <c r="AF179" i="3523" s="1" a="1"/>
  <c r="AF179" i="3523" s="1"/>
  <c r="BT148" i="3448"/>
  <c r="BT149" i="3448" s="1"/>
  <c r="BT150" i="3448" s="1"/>
  <c r="BT151" i="3448" s="1"/>
  <c r="BT152" i="3448" s="1"/>
  <c r="BT153" i="3448" s="1"/>
  <c r="BT154" i="3448" s="1"/>
  <c r="BT155" i="3448" s="1"/>
  <c r="BT156" i="3448" s="1"/>
  <c r="BT157" i="3448" s="1"/>
  <c r="BT158" i="3448" s="1"/>
  <c r="BT159" i="3448" s="1"/>
  <c r="BT160" i="3448" s="1"/>
  <c r="BT161" i="3448" s="1"/>
  <c r="BT162" i="3448" s="1"/>
  <c r="BA64" i="3435" a="1"/>
  <c r="BA64" i="3435" s="1"/>
  <c r="BA7" i="3435" s="1"/>
  <c r="AS11" i="3435"/>
  <c r="BD64" i="3435" a="1"/>
  <c r="BD64" i="3435" s="1"/>
  <c r="BD7" i="3435" s="1"/>
  <c r="AV11" i="3435"/>
  <c r="X61" i="3435"/>
  <c r="AE60" i="3435" a="1"/>
  <c r="AE60" i="3435" s="1"/>
  <c r="AC59" i="3518"/>
  <c r="AJ58" i="3518" a="1"/>
  <c r="AJ58" i="3518" s="1"/>
  <c r="AQ58" i="3518" s="1" a="1"/>
  <c r="AQ58" i="3518" s="1"/>
  <c r="AB59" i="3518"/>
  <c r="AI58" i="3518" a="1"/>
  <c r="AI58" i="3518" s="1"/>
  <c r="AP58" i="3518" s="1" a="1"/>
  <c r="AP58" i="3518" s="1"/>
  <c r="Z64" i="3564" l="1"/>
  <c r="AD63" i="3564"/>
  <c r="BX65" i="3564"/>
  <c r="BQ66" i="3564"/>
  <c r="AS63" i="3564"/>
  <c r="AL64" i="3564"/>
  <c r="BI63" i="3564"/>
  <c r="BE64" i="3564"/>
  <c r="AN63" i="3564"/>
  <c r="AG64" i="3564"/>
  <c r="Y64" i="3564"/>
  <c r="AC63" i="3564"/>
  <c r="AB62" i="3564"/>
  <c r="X63" i="3564"/>
  <c r="BF64" i="3564"/>
  <c r="BJ63" i="3564"/>
  <c r="AR63" i="3564"/>
  <c r="AK64" i="3564"/>
  <c r="AI64" i="3564"/>
  <c r="AP63" i="3564"/>
  <c r="BH63" i="3564"/>
  <c r="BD64" i="3564"/>
  <c r="AQ64" i="3564"/>
  <c r="AJ65" i="3564"/>
  <c r="AM64" i="3564"/>
  <c r="AT63" i="3564"/>
  <c r="BR66" i="3564"/>
  <c r="BY65" i="3564"/>
  <c r="BO66" i="3564"/>
  <c r="BV65" i="3564"/>
  <c r="AO63" i="3564"/>
  <c r="AH64" i="3564"/>
  <c r="BU65" i="3564"/>
  <c r="BN66" i="3564"/>
  <c r="AF61" i="3435" a="1"/>
  <c r="AF61" i="3435" s="1"/>
  <c r="Y62" i="3435"/>
  <c r="AH62" i="3570"/>
  <c r="AQ61" i="3570" a="1"/>
  <c r="AQ61" i="3570" s="1"/>
  <c r="AZ61" i="3570" s="1" a="1"/>
  <c r="AZ61" i="3570" s="1"/>
  <c r="AG62" i="3570"/>
  <c r="AP61" i="3570" a="1"/>
  <c r="AP61" i="3570" s="1"/>
  <c r="AY61" i="3570" s="1" a="1"/>
  <c r="AY61" i="3570" s="1"/>
  <c r="BZ67" i="3564"/>
  <c r="BS68" i="3564"/>
  <c r="AE62" i="3570"/>
  <c r="AN61" i="3570" a="1"/>
  <c r="AN61" i="3570" s="1"/>
  <c r="AW61" i="3570" s="1" a="1"/>
  <c r="AW61" i="3570" s="1"/>
  <c r="Z149" i="3448"/>
  <c r="AD148" i="3448"/>
  <c r="AF60" i="3518"/>
  <c r="AM59" i="3518" a="1"/>
  <c r="AM59" i="3518" s="1"/>
  <c r="AT59" i="3518" s="1" a="1"/>
  <c r="AT59" i="3518" s="1"/>
  <c r="BF8" i="3435" a="1"/>
  <c r="BF8" i="3435" s="1"/>
  <c r="BF9" i="3435"/>
  <c r="BF10" i="3435" s="1"/>
  <c r="BB8" i="3435" a="1"/>
  <c r="BB8" i="3435" s="1"/>
  <c r="BB9" i="3435"/>
  <c r="BB10" i="3435" s="1"/>
  <c r="BT68" i="3564"/>
  <c r="CA67" i="3564"/>
  <c r="BE9" i="3435"/>
  <c r="BE10" i="3435" s="1"/>
  <c r="BE8" i="3435" a="1"/>
  <c r="BE8" i="3435" s="1"/>
  <c r="Y152" i="3448"/>
  <c r="AC151" i="3448"/>
  <c r="AE60" i="3518"/>
  <c r="AL59" i="3518" a="1"/>
  <c r="AL59" i="3518" s="1"/>
  <c r="AS59" i="3518" s="1" a="1"/>
  <c r="AS59" i="3518" s="1"/>
  <c r="AM61" i="3570" a="1"/>
  <c r="AM61" i="3570" s="1"/>
  <c r="AV61" i="3570" s="1" a="1"/>
  <c r="AV61" i="3570" s="1"/>
  <c r="AD62" i="3570"/>
  <c r="BW66" i="3564"/>
  <c r="BP67" i="3564"/>
  <c r="AR61" i="3570" a="1"/>
  <c r="AR61" i="3570" s="1"/>
  <c r="BA61" i="3570" s="1" a="1"/>
  <c r="BA61" i="3570" s="1"/>
  <c r="AI62" i="3570"/>
  <c r="AG61" i="3435" a="1"/>
  <c r="AG61" i="3435" s="1"/>
  <c r="Z62" i="3435"/>
  <c r="U61" i="3435"/>
  <c r="AB60" i="3435" a="1"/>
  <c r="AB60" i="3435" s="1"/>
  <c r="V62" i="3435"/>
  <c r="AC61" i="3435" a="1"/>
  <c r="AC61" i="3435" s="1"/>
  <c r="AD60" i="3518"/>
  <c r="AK59" i="3518" a="1"/>
  <c r="AK59" i="3518" s="1"/>
  <c r="AR59" i="3518" s="1" a="1"/>
  <c r="AR59" i="3518" s="1"/>
  <c r="AH59" i="3518" a="1"/>
  <c r="AH59" i="3518" s="1"/>
  <c r="AO59" i="3518" s="1" a="1"/>
  <c r="AO59" i="3518" s="1"/>
  <c r="AA60" i="3518"/>
  <c r="X62" i="3435"/>
  <c r="AE61" i="3435" a="1"/>
  <c r="AE61" i="3435" s="1"/>
  <c r="BD8" i="3435" a="1"/>
  <c r="BD8" i="3435" s="1"/>
  <c r="BD9" i="3435"/>
  <c r="BD10" i="3435" s="1"/>
  <c r="BC9" i="3435"/>
  <c r="BC10" i="3435" s="1"/>
  <c r="BC8" i="3435" a="1"/>
  <c r="BC8" i="3435" s="1"/>
  <c r="AF62" i="3570"/>
  <c r="AO61" i="3570" a="1"/>
  <c r="AO61" i="3570" s="1"/>
  <c r="AX61" i="3570" s="1" a="1"/>
  <c r="AX61" i="3570" s="1"/>
  <c r="AJ59" i="3518" a="1"/>
  <c r="AJ59" i="3518" s="1"/>
  <c r="AQ59" i="3518" s="1" a="1"/>
  <c r="AQ59" i="3518" s="1"/>
  <c r="AC60" i="3518"/>
  <c r="AC62" i="3570"/>
  <c r="AL61" i="3570" a="1"/>
  <c r="AL61" i="3570" s="1"/>
  <c r="AU61" i="3570" s="1" a="1"/>
  <c r="AU61" i="3570" s="1"/>
  <c r="A179" i="3523"/>
  <c r="X150" i="3448"/>
  <c r="AB149" i="3448"/>
  <c r="BG9" i="3435"/>
  <c r="BG10" i="3435" s="1"/>
  <c r="BG8" i="3435" a="1"/>
  <c r="BG8" i="3435" s="1"/>
  <c r="AK61" i="3570" a="1"/>
  <c r="AK61" i="3570" s="1"/>
  <c r="AT61" i="3570" s="1" a="1"/>
  <c r="AT61" i="3570" s="1"/>
  <c r="AB62" i="3570"/>
  <c r="AD61" i="3435" a="1"/>
  <c r="AD61" i="3435" s="1"/>
  <c r="W62" i="3435"/>
  <c r="AB60" i="3518"/>
  <c r="AI59" i="3518" a="1"/>
  <c r="AI59" i="3518" s="1"/>
  <c r="AP59" i="3518" s="1" a="1"/>
  <c r="AP59" i="3518" s="1"/>
  <c r="BZ151" i="3448"/>
  <c r="CG150" i="3448"/>
  <c r="BA8" i="3435" a="1"/>
  <c r="BA8" i="3435" s="1"/>
  <c r="BA9" i="3435"/>
  <c r="BA10" i="3435" s="1"/>
  <c r="AQ65" i="3564" l="1"/>
  <c r="AJ66" i="3564"/>
  <c r="BD65" i="3564"/>
  <c r="BH64" i="3564"/>
  <c r="AP64" i="3564"/>
  <c r="AI65" i="3564"/>
  <c r="AK65" i="3564"/>
  <c r="AR64" i="3564"/>
  <c r="X64" i="3564"/>
  <c r="AB63" i="3564"/>
  <c r="BF65" i="3564"/>
  <c r="BJ64" i="3564"/>
  <c r="AC64" i="3564"/>
  <c r="Y65" i="3564"/>
  <c r="AH65" i="3564"/>
  <c r="AO64" i="3564"/>
  <c r="AL65" i="3564"/>
  <c r="AS64" i="3564"/>
  <c r="BV66" i="3564"/>
  <c r="BO67" i="3564"/>
  <c r="AG65" i="3564"/>
  <c r="AN64" i="3564"/>
  <c r="BX66" i="3564"/>
  <c r="BQ67" i="3564"/>
  <c r="BI64" i="3564"/>
  <c r="BE65" i="3564"/>
  <c r="BY66" i="3564"/>
  <c r="BR67" i="3564"/>
  <c r="BU66" i="3564"/>
  <c r="BN67" i="3564"/>
  <c r="AM65" i="3564"/>
  <c r="AT64" i="3564"/>
  <c r="AD64" i="3564"/>
  <c r="Z65" i="3564"/>
  <c r="AR62" i="3570" a="1"/>
  <c r="AR62" i="3570" s="1"/>
  <c r="BA62" i="3570" s="1" a="1"/>
  <c r="BA62" i="3570" s="1"/>
  <c r="AI63" i="3570"/>
  <c r="BW67" i="3564"/>
  <c r="BP68" i="3564"/>
  <c r="Z150" i="3448"/>
  <c r="AD149" i="3448"/>
  <c r="AJ60" i="3518" a="1"/>
  <c r="AJ60" i="3518" s="1"/>
  <c r="AQ60" i="3518" s="1" a="1"/>
  <c r="AQ60" i="3518" s="1"/>
  <c r="AC61" i="3518"/>
  <c r="AE63" i="3570"/>
  <c r="AN62" i="3570" a="1"/>
  <c r="AN62" i="3570" s="1"/>
  <c r="AW62" i="3570" s="1" a="1"/>
  <c r="AW62" i="3570" s="1"/>
  <c r="AE61" i="3518"/>
  <c r="AL60" i="3518" a="1"/>
  <c r="AL60" i="3518" s="1"/>
  <c r="AS60" i="3518" s="1" a="1"/>
  <c r="AS60" i="3518" s="1"/>
  <c r="AD62" i="3435" a="1"/>
  <c r="AD62" i="3435" s="1"/>
  <c r="W63" i="3435"/>
  <c r="CG151" i="3448"/>
  <c r="BZ152" i="3448"/>
  <c r="AB61" i="3518"/>
  <c r="AI60" i="3518" a="1"/>
  <c r="AI60" i="3518" s="1"/>
  <c r="AP60" i="3518" s="1" a="1"/>
  <c r="AP60" i="3518" s="1"/>
  <c r="AM62" i="3570" a="1"/>
  <c r="AM62" i="3570" s="1"/>
  <c r="AV62" i="3570" s="1" a="1"/>
  <c r="AV62" i="3570" s="1"/>
  <c r="AD63" i="3570"/>
  <c r="AH60" i="3518" a="1"/>
  <c r="AH60" i="3518" s="1"/>
  <c r="AO60" i="3518" s="1" a="1"/>
  <c r="AO60" i="3518" s="1"/>
  <c r="AA61" i="3518"/>
  <c r="Y153" i="3448"/>
  <c r="AC152" i="3448"/>
  <c r="AG63" i="3570"/>
  <c r="AP62" i="3570" a="1"/>
  <c r="AP62" i="3570" s="1"/>
  <c r="AY62" i="3570" s="1" a="1"/>
  <c r="AY62" i="3570" s="1"/>
  <c r="AD61" i="3518"/>
  <c r="AK60" i="3518" a="1"/>
  <c r="AK60" i="3518" s="1"/>
  <c r="AR60" i="3518" s="1" a="1"/>
  <c r="AR60" i="3518" s="1"/>
  <c r="AL62" i="3570" a="1"/>
  <c r="AL62" i="3570" s="1"/>
  <c r="AU62" i="3570" s="1" a="1"/>
  <c r="AU62" i="3570" s="1"/>
  <c r="AC63" i="3570"/>
  <c r="AF63" i="3570"/>
  <c r="AO62" i="3570" a="1"/>
  <c r="AO62" i="3570" s="1"/>
  <c r="AX62" i="3570" s="1" a="1"/>
  <c r="AX62" i="3570" s="1"/>
  <c r="AH63" i="3570"/>
  <c r="AQ62" i="3570" a="1"/>
  <c r="AQ62" i="3570" s="1"/>
  <c r="AZ62" i="3570" s="1" a="1"/>
  <c r="AZ62" i="3570" s="1"/>
  <c r="BZ68" i="3564"/>
  <c r="BS69" i="3564"/>
  <c r="CA68" i="3564"/>
  <c r="BT69" i="3564"/>
  <c r="V63" i="3435"/>
  <c r="AC62" i="3435" a="1"/>
  <c r="AC62" i="3435" s="1"/>
  <c r="AB150" i="3448"/>
  <c r="X151" i="3448"/>
  <c r="AG62" i="3435" a="1"/>
  <c r="AG62" i="3435" s="1"/>
  <c r="Z63" i="3435"/>
  <c r="AE62" i="3435" a="1"/>
  <c r="AE62" i="3435" s="1"/>
  <c r="X63" i="3435"/>
  <c r="AK62" i="3570" a="1"/>
  <c r="AK62" i="3570" s="1"/>
  <c r="AT62" i="3570" s="1" a="1"/>
  <c r="AT62" i="3570" s="1"/>
  <c r="AB63" i="3570"/>
  <c r="AF62" i="3435" a="1"/>
  <c r="AF62" i="3435" s="1"/>
  <c r="Y63" i="3435"/>
  <c r="U62" i="3435"/>
  <c r="AB61" i="3435" a="1"/>
  <c r="AB61" i="3435" s="1"/>
  <c r="AF61" i="3518"/>
  <c r="AM60" i="3518" a="1"/>
  <c r="AM60" i="3518" s="1"/>
  <c r="AT60" i="3518" s="1" a="1"/>
  <c r="AT60" i="3518" s="1"/>
  <c r="BQ68" i="3564" l="1"/>
  <c r="BX67" i="3564"/>
  <c r="AG66" i="3564"/>
  <c r="AN65" i="3564"/>
  <c r="BO68" i="3564"/>
  <c r="BV67" i="3564"/>
  <c r="AO65" i="3564"/>
  <c r="AH66" i="3564"/>
  <c r="AL66" i="3564"/>
  <c r="AS65" i="3564"/>
  <c r="AK66" i="3564"/>
  <c r="AR65" i="3564"/>
  <c r="AD65" i="3564"/>
  <c r="Z66" i="3564"/>
  <c r="BU67" i="3564"/>
  <c r="BN68" i="3564"/>
  <c r="AP65" i="3564"/>
  <c r="AI66" i="3564"/>
  <c r="Y66" i="3564"/>
  <c r="AC65" i="3564"/>
  <c r="BR68" i="3564"/>
  <c r="BY67" i="3564"/>
  <c r="BD66" i="3564"/>
  <c r="BH65" i="3564"/>
  <c r="BJ65" i="3564"/>
  <c r="BF66" i="3564"/>
  <c r="AM66" i="3564"/>
  <c r="AT65" i="3564"/>
  <c r="BI65" i="3564"/>
  <c r="BE66" i="3564"/>
  <c r="AJ67" i="3564"/>
  <c r="AQ66" i="3564"/>
  <c r="AB64" i="3564"/>
  <c r="X65" i="3564"/>
  <c r="X152" i="3448"/>
  <c r="AB151" i="3448"/>
  <c r="AA62" i="3518"/>
  <c r="AH62" i="3518" s="1" a="1"/>
  <c r="AH62" i="3518" s="1"/>
  <c r="AO62" i="3518" s="1" a="1"/>
  <c r="AO62" i="3518" s="1"/>
  <c r="AH61" i="3518" a="1"/>
  <c r="AH61" i="3518" s="1"/>
  <c r="AO61" i="3518" s="1" a="1"/>
  <c r="AO61" i="3518" s="1"/>
  <c r="AC153" i="3448"/>
  <c r="Y154" i="3448"/>
  <c r="V64" i="3435"/>
  <c r="AC64" i="3435" s="1" a="1"/>
  <c r="AC64" i="3435" s="1"/>
  <c r="AC63" i="3435" a="1"/>
  <c r="AC63" i="3435" s="1"/>
  <c r="CA69" i="3564"/>
  <c r="BT70" i="3564"/>
  <c r="AE63" i="3435" a="1"/>
  <c r="AE63" i="3435" s="1"/>
  <c r="X64" i="3435"/>
  <c r="AE64" i="3435" s="1" a="1"/>
  <c r="AE64" i="3435" s="1"/>
  <c r="Z64" i="3435"/>
  <c r="AG64" i="3435" s="1" a="1"/>
  <c r="AG64" i="3435" s="1"/>
  <c r="AG63" i="3435" a="1"/>
  <c r="AG63" i="3435" s="1"/>
  <c r="BZ69" i="3564"/>
  <c r="BS70" i="3564"/>
  <c r="AE64" i="3570"/>
  <c r="AN63" i="3570" a="1"/>
  <c r="AN63" i="3570" s="1"/>
  <c r="AW63" i="3570" s="1" a="1"/>
  <c r="AW63" i="3570" s="1"/>
  <c r="AD150" i="3448"/>
  <c r="Z151" i="3448"/>
  <c r="BZ153" i="3448"/>
  <c r="CG152" i="3448"/>
  <c r="AF64" i="3570"/>
  <c r="AO63" i="3570" a="1"/>
  <c r="AO63" i="3570" s="1"/>
  <c r="AX63" i="3570" s="1" a="1"/>
  <c r="AX63" i="3570" s="1"/>
  <c r="AG64" i="3570"/>
  <c r="AP63" i="3570" a="1"/>
  <c r="AP63" i="3570" s="1"/>
  <c r="AY63" i="3570" s="1" a="1"/>
  <c r="AY63" i="3570" s="1"/>
  <c r="AM63" i="3570" a="1"/>
  <c r="AM63" i="3570" s="1"/>
  <c r="AV63" i="3570" s="1" a="1"/>
  <c r="AV63" i="3570" s="1"/>
  <c r="AD64" i="3570"/>
  <c r="AR63" i="3570" a="1"/>
  <c r="AR63" i="3570" s="1"/>
  <c r="BA63" i="3570" s="1" a="1"/>
  <c r="BA63" i="3570" s="1"/>
  <c r="AI64" i="3570"/>
  <c r="AF63" i="3435" a="1"/>
  <c r="AF63" i="3435" s="1"/>
  <c r="Y64" i="3435"/>
  <c r="AF64" i="3435" s="1" a="1"/>
  <c r="AF64" i="3435" s="1"/>
  <c r="AQ63" i="3570" a="1"/>
  <c r="AQ63" i="3570" s="1"/>
  <c r="AZ63" i="3570" s="1" a="1"/>
  <c r="AZ63" i="3570" s="1"/>
  <c r="AH64" i="3570"/>
  <c r="AB62" i="3518"/>
  <c r="AI62" i="3518" s="1" a="1"/>
  <c r="AI62" i="3518" s="1"/>
  <c r="AP62" i="3518" s="1" a="1"/>
  <c r="AP62" i="3518" s="1"/>
  <c r="AI61" i="3518" a="1"/>
  <c r="AI61" i="3518" s="1"/>
  <c r="AP61" i="3518" s="1" a="1"/>
  <c r="AP61" i="3518" s="1"/>
  <c r="AD63" i="3435" a="1"/>
  <c r="AD63" i="3435" s="1"/>
  <c r="W64" i="3435"/>
  <c r="AD64" i="3435" s="1" a="1"/>
  <c r="AD64" i="3435" s="1"/>
  <c r="AF62" i="3518"/>
  <c r="AM62" i="3518" s="1" a="1"/>
  <c r="AM62" i="3518" s="1"/>
  <c r="AT62" i="3518" s="1" a="1"/>
  <c r="AT62" i="3518" s="1"/>
  <c r="AM61" i="3518" a="1"/>
  <c r="AM61" i="3518" s="1"/>
  <c r="AT61" i="3518" s="1" a="1"/>
  <c r="AT61" i="3518" s="1"/>
  <c r="BW68" i="3564"/>
  <c r="BP69" i="3564"/>
  <c r="AC62" i="3518"/>
  <c r="AJ62" i="3518" s="1" a="1"/>
  <c r="AJ62" i="3518" s="1"/>
  <c r="AQ62" i="3518" s="1" a="1"/>
  <c r="AQ62" i="3518" s="1"/>
  <c r="AJ61" i="3518" a="1"/>
  <c r="AJ61" i="3518" s="1"/>
  <c r="AQ61" i="3518" s="1" a="1"/>
  <c r="AQ61" i="3518" s="1"/>
  <c r="U63" i="3435"/>
  <c r="AB62" i="3435" a="1"/>
  <c r="AB62" i="3435" s="1"/>
  <c r="AC64" i="3570"/>
  <c r="AL63" i="3570" a="1"/>
  <c r="AL63" i="3570" s="1"/>
  <c r="AU63" i="3570" s="1" a="1"/>
  <c r="AU63" i="3570" s="1"/>
  <c r="AK63" i="3570" a="1"/>
  <c r="AK63" i="3570" s="1"/>
  <c r="AT63" i="3570" s="1" a="1"/>
  <c r="AT63" i="3570" s="1"/>
  <c r="AB64" i="3570"/>
  <c r="AD62" i="3518"/>
  <c r="AK62" i="3518" s="1" a="1"/>
  <c r="AK62" i="3518" s="1"/>
  <c r="AR62" i="3518" s="1" a="1"/>
  <c r="AR62" i="3518" s="1"/>
  <c r="AK61" i="3518" a="1"/>
  <c r="AK61" i="3518" s="1"/>
  <c r="AR61" i="3518" s="1" a="1"/>
  <c r="AR61" i="3518" s="1"/>
  <c r="AE62" i="3518"/>
  <c r="AL62" i="3518" s="1" a="1"/>
  <c r="AL62" i="3518" s="1"/>
  <c r="AS62" i="3518" s="1" a="1"/>
  <c r="AS62" i="3518" s="1"/>
  <c r="AL61" i="3518" a="1"/>
  <c r="AL61" i="3518" s="1"/>
  <c r="AS61" i="3518" s="1" a="1"/>
  <c r="AS61" i="3518" s="1"/>
  <c r="BY68" i="3564" l="1"/>
  <c r="BR69" i="3564"/>
  <c r="AP66" i="3564"/>
  <c r="AI67" i="3564"/>
  <c r="BU68" i="3564"/>
  <c r="BN69" i="3564"/>
  <c r="BD67" i="3564"/>
  <c r="BH66" i="3564"/>
  <c r="Y67" i="3564"/>
  <c r="AC66" i="3564"/>
  <c r="AJ68" i="3564"/>
  <c r="AQ67" i="3564"/>
  <c r="AH67" i="3564"/>
  <c r="AO66" i="3564"/>
  <c r="BV68" i="3564"/>
  <c r="BO69" i="3564"/>
  <c r="AD66" i="3564"/>
  <c r="Z67" i="3564"/>
  <c r="BI66" i="3564"/>
  <c r="BE67" i="3564"/>
  <c r="AM67" i="3564"/>
  <c r="AT66" i="3564"/>
  <c r="AG67" i="3564"/>
  <c r="AN66" i="3564"/>
  <c r="AB65" i="3564"/>
  <c r="X66" i="3564"/>
  <c r="BF67" i="3564"/>
  <c r="BJ66" i="3564"/>
  <c r="AK67" i="3564"/>
  <c r="AR66" i="3564"/>
  <c r="AS66" i="3564"/>
  <c r="AL67" i="3564"/>
  <c r="BX68" i="3564"/>
  <c r="BQ69" i="3564"/>
  <c r="AR64" i="3570" a="1"/>
  <c r="AR64" i="3570" s="1"/>
  <c r="BA64" i="3570" s="1" a="1"/>
  <c r="BA64" i="3570" s="1"/>
  <c r="AI65" i="3570"/>
  <c r="AR65" i="3570" s="1" a="1"/>
  <c r="AR65" i="3570" s="1"/>
  <c r="BA65" i="3570" s="1" a="1"/>
  <c r="BA65" i="3570" s="1"/>
  <c r="AP64" i="3570" a="1"/>
  <c r="AP64" i="3570" s="1"/>
  <c r="AY64" i="3570" s="1" a="1"/>
  <c r="AY64" i="3570" s="1"/>
  <c r="AG65" i="3570"/>
  <c r="AP65" i="3570" s="1" a="1"/>
  <c r="AP65" i="3570" s="1"/>
  <c r="AY65" i="3570" s="1" a="1"/>
  <c r="AY65" i="3570" s="1"/>
  <c r="BZ70" i="3564"/>
  <c r="BS71" i="3564"/>
  <c r="CA70" i="3564"/>
  <c r="BT71" i="3564"/>
  <c r="BP70" i="3564"/>
  <c r="BW69" i="3564"/>
  <c r="AC154" i="3448"/>
  <c r="Y155" i="3448"/>
  <c r="AD151" i="3448"/>
  <c r="Z152" i="3448"/>
  <c r="AK64" i="3570" a="1"/>
  <c r="AK64" i="3570" s="1"/>
  <c r="AT64" i="3570" s="1" a="1"/>
  <c r="AT64" i="3570" s="1"/>
  <c r="AB65" i="3570"/>
  <c r="AK65" i="3570" s="1" a="1"/>
  <c r="AK65" i="3570" s="1"/>
  <c r="AT65" i="3570" s="1" a="1"/>
  <c r="AT65" i="3570" s="1"/>
  <c r="CG153" i="3448"/>
  <c r="BZ154" i="3448"/>
  <c r="AL64" i="3570" a="1"/>
  <c r="AL64" i="3570" s="1"/>
  <c r="AU64" i="3570" s="1" a="1"/>
  <c r="AU64" i="3570" s="1"/>
  <c r="AC65" i="3570"/>
  <c r="AL65" i="3570" s="1" a="1"/>
  <c r="AL65" i="3570" s="1"/>
  <c r="AU65" i="3570" s="1" a="1"/>
  <c r="AU65" i="3570" s="1"/>
  <c r="X153" i="3448"/>
  <c r="AB152" i="3448"/>
  <c r="AD65" i="3570"/>
  <c r="AM65" i="3570" s="1" a="1"/>
  <c r="AM65" i="3570" s="1"/>
  <c r="AV65" i="3570" s="1" a="1"/>
  <c r="AV65" i="3570" s="1"/>
  <c r="AM64" i="3570" a="1"/>
  <c r="AM64" i="3570" s="1"/>
  <c r="AV64" i="3570" s="1" a="1"/>
  <c r="AV64" i="3570" s="1"/>
  <c r="AF65" i="3570"/>
  <c r="AO65" i="3570" s="1" a="1"/>
  <c r="AO65" i="3570" s="1"/>
  <c r="AX65" i="3570" s="1" a="1"/>
  <c r="AX65" i="3570" s="1"/>
  <c r="AO64" i="3570" a="1"/>
  <c r="AO64" i="3570" s="1"/>
  <c r="AX64" i="3570" s="1" a="1"/>
  <c r="AX64" i="3570" s="1"/>
  <c r="AH65" i="3570"/>
  <c r="AQ65" i="3570" s="1" a="1"/>
  <c r="AQ65" i="3570" s="1"/>
  <c r="AZ65" i="3570" s="1" a="1"/>
  <c r="AZ65" i="3570" s="1"/>
  <c r="AQ64" i="3570" a="1"/>
  <c r="AQ64" i="3570" s="1"/>
  <c r="AZ64" i="3570" s="1" a="1"/>
  <c r="AZ64" i="3570" s="1"/>
  <c r="AB63" i="3435" a="1"/>
  <c r="AB63" i="3435" s="1"/>
  <c r="U64" i="3435"/>
  <c r="AB64" i="3435" s="1" a="1"/>
  <c r="AB64" i="3435" s="1"/>
  <c r="AE65" i="3570"/>
  <c r="AN65" i="3570" s="1" a="1"/>
  <c r="AN65" i="3570" s="1"/>
  <c r="AW65" i="3570" s="1" a="1"/>
  <c r="AW65" i="3570" s="1"/>
  <c r="AN64" i="3570" a="1"/>
  <c r="AN64" i="3570" s="1"/>
  <c r="AW64" i="3570" s="1" a="1"/>
  <c r="AW64" i="3570" s="1"/>
  <c r="AT67" i="3564" l="1"/>
  <c r="AM68" i="3564"/>
  <c r="BI67" i="3564"/>
  <c r="BE68" i="3564"/>
  <c r="AK68" i="3564"/>
  <c r="AR67" i="3564"/>
  <c r="AD67" i="3564"/>
  <c r="Z68" i="3564"/>
  <c r="BQ70" i="3564"/>
  <c r="BX69" i="3564"/>
  <c r="AL68" i="3564"/>
  <c r="AS67" i="3564"/>
  <c r="AI68" i="3564"/>
  <c r="AP67" i="3564"/>
  <c r="AH68" i="3564"/>
  <c r="AO67" i="3564"/>
  <c r="BH67" i="3564"/>
  <c r="BD68" i="3564"/>
  <c r="BF68" i="3564"/>
  <c r="BJ67" i="3564"/>
  <c r="BO70" i="3564"/>
  <c r="BV69" i="3564"/>
  <c r="AJ69" i="3564"/>
  <c r="AQ68" i="3564"/>
  <c r="BY69" i="3564"/>
  <c r="BR70" i="3564"/>
  <c r="AN67" i="3564"/>
  <c r="AG68" i="3564"/>
  <c r="Y68" i="3564"/>
  <c r="AC67" i="3564"/>
  <c r="BU69" i="3564"/>
  <c r="BN70" i="3564"/>
  <c r="AB66" i="3564"/>
  <c r="X67" i="3564"/>
  <c r="AC155" i="3448"/>
  <c r="Y156" i="3448"/>
  <c r="BP71" i="3564"/>
  <c r="BW70" i="3564"/>
  <c r="BS72" i="3564"/>
  <c r="BZ71" i="3564"/>
  <c r="BT72" i="3564"/>
  <c r="CA71" i="3564"/>
  <c r="X154" i="3448"/>
  <c r="AB153" i="3448"/>
  <c r="AD152" i="3448"/>
  <c r="Z153" i="3448"/>
  <c r="BZ155" i="3448"/>
  <c r="CG154" i="3448"/>
  <c r="BV70" i="3564" l="1"/>
  <c r="BO71" i="3564"/>
  <c r="BJ68" i="3564"/>
  <c r="BF69" i="3564"/>
  <c r="AL69" i="3564"/>
  <c r="AS68" i="3564"/>
  <c r="BU70" i="3564"/>
  <c r="BN71" i="3564"/>
  <c r="AJ70" i="3564"/>
  <c r="AQ69" i="3564"/>
  <c r="Z69" i="3564"/>
  <c r="AD68" i="3564"/>
  <c r="AH69" i="3564"/>
  <c r="AO68" i="3564"/>
  <c r="AI69" i="3564"/>
  <c r="AP68" i="3564"/>
  <c r="X68" i="3564"/>
  <c r="AB67" i="3564"/>
  <c r="Y69" i="3564"/>
  <c r="AC68" i="3564"/>
  <c r="BE69" i="3564"/>
  <c r="BI68" i="3564"/>
  <c r="AT68" i="3564"/>
  <c r="AM69" i="3564"/>
  <c r="BD69" i="3564"/>
  <c r="BH68" i="3564"/>
  <c r="BQ71" i="3564"/>
  <c r="BX70" i="3564"/>
  <c r="AR68" i="3564"/>
  <c r="AK69" i="3564"/>
  <c r="AG69" i="3564"/>
  <c r="AN68" i="3564"/>
  <c r="BY70" i="3564"/>
  <c r="BR71" i="3564"/>
  <c r="CG155" i="3448"/>
  <c r="BZ156" i="3448"/>
  <c r="BT73" i="3564"/>
  <c r="CA72" i="3564"/>
  <c r="AB154" i="3448"/>
  <c r="X155" i="3448"/>
  <c r="BS73" i="3564"/>
  <c r="BZ72" i="3564"/>
  <c r="Z154" i="3448"/>
  <c r="AD153" i="3448"/>
  <c r="BP72" i="3564"/>
  <c r="BW71" i="3564"/>
  <c r="Y157" i="3448"/>
  <c r="AC156" i="3448"/>
  <c r="AT69" i="3564" l="1"/>
  <c r="AM70" i="3564"/>
  <c r="Y70" i="3564"/>
  <c r="AC69" i="3564"/>
  <c r="AJ71" i="3564"/>
  <c r="AQ70" i="3564"/>
  <c r="AO69" i="3564"/>
  <c r="AH70" i="3564"/>
  <c r="Z70" i="3564"/>
  <c r="AD69" i="3564"/>
  <c r="BU71" i="3564"/>
  <c r="BN72" i="3564"/>
  <c r="X69" i="3564"/>
  <c r="AB68" i="3564"/>
  <c r="BI69" i="3564"/>
  <c r="BE70" i="3564"/>
  <c r="AI70" i="3564"/>
  <c r="AP69" i="3564"/>
  <c r="AL70" i="3564"/>
  <c r="AS69" i="3564"/>
  <c r="BV71" i="3564"/>
  <c r="BO72" i="3564"/>
  <c r="BR72" i="3564"/>
  <c r="BY71" i="3564"/>
  <c r="AN69" i="3564"/>
  <c r="AG70" i="3564"/>
  <c r="AK70" i="3564"/>
  <c r="AR69" i="3564"/>
  <c r="BJ69" i="3564"/>
  <c r="BF70" i="3564"/>
  <c r="BX71" i="3564"/>
  <c r="BQ72" i="3564"/>
  <c r="BD70" i="3564"/>
  <c r="BH69" i="3564"/>
  <c r="X156" i="3448"/>
  <c r="AB155" i="3448"/>
  <c r="BP73" i="3564"/>
  <c r="BW72" i="3564"/>
  <c r="BT74" i="3564"/>
  <c r="CA73" i="3564"/>
  <c r="AD154" i="3448"/>
  <c r="Z155" i="3448"/>
  <c r="CG156" i="3448"/>
  <c r="BZ157" i="3448"/>
  <c r="Y158" i="3448"/>
  <c r="AC157" i="3448"/>
  <c r="BZ73" i="3564"/>
  <c r="BS74" i="3564"/>
  <c r="AP70" i="3564" l="1"/>
  <c r="AI71" i="3564"/>
  <c r="AS70" i="3564"/>
  <c r="AL71" i="3564"/>
  <c r="AD70" i="3564"/>
  <c r="Z71" i="3564"/>
  <c r="BV72" i="3564"/>
  <c r="BO73" i="3564"/>
  <c r="X70" i="3564"/>
  <c r="AB69" i="3564"/>
  <c r="BD71" i="3564"/>
  <c r="BH70" i="3564"/>
  <c r="BF71" i="3564"/>
  <c r="BJ70" i="3564"/>
  <c r="BX72" i="3564"/>
  <c r="BQ73" i="3564"/>
  <c r="AG71" i="3564"/>
  <c r="AN70" i="3564"/>
  <c r="BY72" i="3564"/>
  <c r="BR73" i="3564"/>
  <c r="BE71" i="3564"/>
  <c r="BI70" i="3564"/>
  <c r="BU72" i="3564"/>
  <c r="BN73" i="3564"/>
  <c r="AO70" i="3564"/>
  <c r="AH71" i="3564"/>
  <c r="AQ71" i="3564"/>
  <c r="AJ72" i="3564"/>
  <c r="AK71" i="3564"/>
  <c r="AR70" i="3564"/>
  <c r="AC70" i="3564"/>
  <c r="Y71" i="3564"/>
  <c r="AM71" i="3564"/>
  <c r="AT70" i="3564"/>
  <c r="BZ74" i="3564"/>
  <c r="BS75" i="3564"/>
  <c r="BZ158" i="3448"/>
  <c r="CG157" i="3448"/>
  <c r="BT75" i="3564"/>
  <c r="CA74" i="3564"/>
  <c r="BP74" i="3564"/>
  <c r="BW73" i="3564"/>
  <c r="AD155" i="3448"/>
  <c r="Z156" i="3448"/>
  <c r="AC158" i="3448"/>
  <c r="Y159" i="3448"/>
  <c r="AB156" i="3448"/>
  <c r="X157" i="3448"/>
  <c r="BU73" i="3564" l="1"/>
  <c r="BN74" i="3564"/>
  <c r="BE72" i="3564"/>
  <c r="BI71" i="3564"/>
  <c r="AN71" i="3564"/>
  <c r="AG72" i="3564"/>
  <c r="AB70" i="3564"/>
  <c r="X71" i="3564"/>
  <c r="AQ72" i="3564"/>
  <c r="AJ73" i="3564"/>
  <c r="BD72" i="3564"/>
  <c r="BH71" i="3564"/>
  <c r="AC71" i="3564"/>
  <c r="Y72" i="3564"/>
  <c r="AD71" i="3564"/>
  <c r="Z72" i="3564"/>
  <c r="BX73" i="3564"/>
  <c r="BQ74" i="3564"/>
  <c r="BF72" i="3564"/>
  <c r="BJ71" i="3564"/>
  <c r="BO74" i="3564"/>
  <c r="BV73" i="3564"/>
  <c r="AI72" i="3564"/>
  <c r="AP71" i="3564"/>
  <c r="BR74" i="3564"/>
  <c r="BY73" i="3564"/>
  <c r="AT71" i="3564"/>
  <c r="AM72" i="3564"/>
  <c r="AR71" i="3564"/>
  <c r="AK72" i="3564"/>
  <c r="AL72" i="3564"/>
  <c r="AS71" i="3564"/>
  <c r="AO71" i="3564"/>
  <c r="AH72" i="3564"/>
  <c r="Z157" i="3448"/>
  <c r="AD156" i="3448"/>
  <c r="Y160" i="3448"/>
  <c r="AC159" i="3448"/>
  <c r="BZ159" i="3448"/>
  <c r="CG158" i="3448"/>
  <c r="BW74" i="3564"/>
  <c r="BP75" i="3564"/>
  <c r="AB157" i="3448"/>
  <c r="X158" i="3448"/>
  <c r="CA75" i="3564"/>
  <c r="BT76" i="3564"/>
  <c r="BS76" i="3564"/>
  <c r="BZ75" i="3564"/>
  <c r="BJ72" i="3564" l="1"/>
  <c r="BF73" i="3564"/>
  <c r="BQ75" i="3564"/>
  <c r="BX74" i="3564"/>
  <c r="AQ73" i="3564"/>
  <c r="AJ74" i="3564"/>
  <c r="Y73" i="3564"/>
  <c r="AC72" i="3564"/>
  <c r="AH73" i="3564"/>
  <c r="AO72" i="3564"/>
  <c r="X72" i="3564"/>
  <c r="AB71" i="3564"/>
  <c r="AI73" i="3564"/>
  <c r="AP72" i="3564"/>
  <c r="AS72" i="3564"/>
  <c r="AL73" i="3564"/>
  <c r="AR72" i="3564"/>
  <c r="AK73" i="3564"/>
  <c r="BN75" i="3564"/>
  <c r="BU74" i="3564"/>
  <c r="BV74" i="3564"/>
  <c r="BO75" i="3564"/>
  <c r="AD72" i="3564"/>
  <c r="Z73" i="3564"/>
  <c r="BD73" i="3564"/>
  <c r="BH72" i="3564"/>
  <c r="AN72" i="3564"/>
  <c r="AG73" i="3564"/>
  <c r="AM73" i="3564"/>
  <c r="AT72" i="3564"/>
  <c r="BI72" i="3564"/>
  <c r="BE73" i="3564"/>
  <c r="BY74" i="3564"/>
  <c r="BR75" i="3564"/>
  <c r="BZ160" i="3448"/>
  <c r="CG159" i="3448"/>
  <c r="CA76" i="3564"/>
  <c r="BT77" i="3564"/>
  <c r="BW75" i="3564"/>
  <c r="BP76" i="3564"/>
  <c r="BS77" i="3564"/>
  <c r="BZ76" i="3564"/>
  <c r="Y161" i="3448"/>
  <c r="AC160" i="3448"/>
  <c r="Z158" i="3448"/>
  <c r="AD157" i="3448"/>
  <c r="AB158" i="3448"/>
  <c r="X159" i="3448"/>
  <c r="AD73" i="3564" l="1"/>
  <c r="Z74" i="3564"/>
  <c r="AK74" i="3564"/>
  <c r="AR73" i="3564"/>
  <c r="BO76" i="3564"/>
  <c r="BV75" i="3564"/>
  <c r="BN76" i="3564"/>
  <c r="BU75" i="3564"/>
  <c r="AP73" i="3564"/>
  <c r="AI74" i="3564"/>
  <c r="BE74" i="3564"/>
  <c r="BI73" i="3564"/>
  <c r="AQ74" i="3564"/>
  <c r="AJ75" i="3564"/>
  <c r="BX75" i="3564"/>
  <c r="BQ76" i="3564"/>
  <c r="X73" i="3564"/>
  <c r="AB72" i="3564"/>
  <c r="AH74" i="3564"/>
  <c r="AO73" i="3564"/>
  <c r="Y74" i="3564"/>
  <c r="AC73" i="3564"/>
  <c r="BF74" i="3564"/>
  <c r="BJ73" i="3564"/>
  <c r="AS73" i="3564"/>
  <c r="AL74" i="3564"/>
  <c r="BR76" i="3564"/>
  <c r="BY75" i="3564"/>
  <c r="AM74" i="3564"/>
  <c r="AT73" i="3564"/>
  <c r="AN73" i="3564"/>
  <c r="AG74" i="3564"/>
  <c r="BH73" i="3564"/>
  <c r="BD74" i="3564"/>
  <c r="BZ161" i="3448"/>
  <c r="CG160" i="3448"/>
  <c r="AB159" i="3448"/>
  <c r="X160" i="3448"/>
  <c r="CA77" i="3564"/>
  <c r="BT78" i="3564"/>
  <c r="AD158" i="3448"/>
  <c r="Z159" i="3448"/>
  <c r="Y162" i="3448"/>
  <c r="AC162" i="3448" s="1"/>
  <c r="AC161" i="3448"/>
  <c r="BS78" i="3564"/>
  <c r="BZ77" i="3564"/>
  <c r="BW76" i="3564"/>
  <c r="BP77" i="3564"/>
  <c r="BJ74" i="3564" l="1"/>
  <c r="BF75" i="3564"/>
  <c r="X74" i="3564"/>
  <c r="AB73" i="3564"/>
  <c r="AO74" i="3564"/>
  <c r="AH75" i="3564"/>
  <c r="BQ77" i="3564"/>
  <c r="BX76" i="3564"/>
  <c r="BI74" i="3564"/>
  <c r="BE75" i="3564"/>
  <c r="BD75" i="3564"/>
  <c r="BH74" i="3564"/>
  <c r="AI75" i="3564"/>
  <c r="AP74" i="3564"/>
  <c r="AN74" i="3564"/>
  <c r="AG75" i="3564"/>
  <c r="BV76" i="3564"/>
  <c r="BO77" i="3564"/>
  <c r="Y75" i="3564"/>
  <c r="AC74" i="3564"/>
  <c r="AQ75" i="3564"/>
  <c r="AJ76" i="3564"/>
  <c r="BN77" i="3564"/>
  <c r="BU76" i="3564"/>
  <c r="AT74" i="3564"/>
  <c r="AM75" i="3564"/>
  <c r="BR77" i="3564"/>
  <c r="BY76" i="3564"/>
  <c r="AR74" i="3564"/>
  <c r="AK75" i="3564"/>
  <c r="AL75" i="3564"/>
  <c r="AS74" i="3564"/>
  <c r="Z75" i="3564"/>
  <c r="AD74" i="3564"/>
  <c r="BP78" i="3564"/>
  <c r="BW77" i="3564"/>
  <c r="X161" i="3448"/>
  <c r="AB160" i="3448"/>
  <c r="CG161" i="3448"/>
  <c r="BZ162" i="3448"/>
  <c r="CG162" i="3448" s="1"/>
  <c r="BZ78" i="3564"/>
  <c r="BS79" i="3564"/>
  <c r="AD159" i="3448"/>
  <c r="Z160" i="3448"/>
  <c r="CA78" i="3564"/>
  <c r="BT79" i="3564"/>
  <c r="Y76" i="3564" l="1"/>
  <c r="AC75" i="3564"/>
  <c r="AN75" i="3564"/>
  <c r="AG76" i="3564"/>
  <c r="BI75" i="3564"/>
  <c r="BE76" i="3564"/>
  <c r="BU77" i="3564"/>
  <c r="BN78" i="3564"/>
  <c r="AP75" i="3564"/>
  <c r="AI76" i="3564"/>
  <c r="Z76" i="3564"/>
  <c r="AD75" i="3564"/>
  <c r="BQ78" i="3564"/>
  <c r="BX77" i="3564"/>
  <c r="AH76" i="3564"/>
  <c r="AO75" i="3564"/>
  <c r="AT75" i="3564"/>
  <c r="AM76" i="3564"/>
  <c r="AQ76" i="3564"/>
  <c r="AJ77" i="3564"/>
  <c r="BO78" i="3564"/>
  <c r="BV77" i="3564"/>
  <c r="BD76" i="3564"/>
  <c r="BH75" i="3564"/>
  <c r="AL76" i="3564"/>
  <c r="AS75" i="3564"/>
  <c r="AR75" i="3564"/>
  <c r="AK76" i="3564"/>
  <c r="BR78" i="3564"/>
  <c r="BY77" i="3564"/>
  <c r="X75" i="3564"/>
  <c r="AB74" i="3564"/>
  <c r="BF76" i="3564"/>
  <c r="BJ75" i="3564"/>
  <c r="BW78" i="3564"/>
  <c r="BP79" i="3564"/>
  <c r="X162" i="3448"/>
  <c r="AB162" i="3448" s="1"/>
  <c r="AB161" i="3448"/>
  <c r="Z161" i="3448"/>
  <c r="AD160" i="3448"/>
  <c r="BT80" i="3564"/>
  <c r="CA79" i="3564"/>
  <c r="BZ79" i="3564"/>
  <c r="BS80" i="3564"/>
  <c r="BX78" i="3564" l="1"/>
  <c r="BQ79" i="3564"/>
  <c r="AJ78" i="3564"/>
  <c r="AQ77" i="3564"/>
  <c r="AH77" i="3564"/>
  <c r="AO76" i="3564"/>
  <c r="Z77" i="3564"/>
  <c r="AD76" i="3564"/>
  <c r="X76" i="3564"/>
  <c r="AB75" i="3564"/>
  <c r="BD77" i="3564"/>
  <c r="BH76" i="3564"/>
  <c r="BV78" i="3564"/>
  <c r="BO79" i="3564"/>
  <c r="BJ76" i="3564"/>
  <c r="BF77" i="3564"/>
  <c r="AM77" i="3564"/>
  <c r="AT76" i="3564"/>
  <c r="AP76" i="3564"/>
  <c r="AI77" i="3564"/>
  <c r="BU78" i="3564"/>
  <c r="BN79" i="3564"/>
  <c r="BI76" i="3564"/>
  <c r="BE77" i="3564"/>
  <c r="BR79" i="3564"/>
  <c r="BY78" i="3564"/>
  <c r="AR76" i="3564"/>
  <c r="AK77" i="3564"/>
  <c r="AN76" i="3564"/>
  <c r="AG77" i="3564"/>
  <c r="AS76" i="3564"/>
  <c r="AL77" i="3564"/>
  <c r="Y77" i="3564"/>
  <c r="AC76" i="3564"/>
  <c r="Z162" i="3448"/>
  <c r="AD162" i="3448" s="1"/>
  <c r="AD161" i="3448"/>
  <c r="BW79" i="3564"/>
  <c r="BP80" i="3564"/>
  <c r="BS81" i="3564"/>
  <c r="BZ80" i="3564"/>
  <c r="CA80" i="3564"/>
  <c r="BT81" i="3564"/>
  <c r="BN80" i="3564" l="1"/>
  <c r="BU79" i="3564"/>
  <c r="BV79" i="3564"/>
  <c r="BO80" i="3564"/>
  <c r="Y78" i="3564"/>
  <c r="AC77" i="3564"/>
  <c r="BF78" i="3564"/>
  <c r="BJ77" i="3564"/>
  <c r="AB76" i="3564"/>
  <c r="X77" i="3564"/>
  <c r="BE78" i="3564"/>
  <c r="BI77" i="3564"/>
  <c r="AI78" i="3564"/>
  <c r="AP77" i="3564"/>
  <c r="AM78" i="3564"/>
  <c r="AT77" i="3564"/>
  <c r="AN77" i="3564"/>
  <c r="AG78" i="3564"/>
  <c r="BQ80" i="3564"/>
  <c r="BX79" i="3564"/>
  <c r="BD78" i="3564"/>
  <c r="BH77" i="3564"/>
  <c r="AL78" i="3564"/>
  <c r="AS77" i="3564"/>
  <c r="Z78" i="3564"/>
  <c r="AD77" i="3564"/>
  <c r="AH78" i="3564"/>
  <c r="AO77" i="3564"/>
  <c r="AK78" i="3564"/>
  <c r="AR77" i="3564"/>
  <c r="AQ78" i="3564"/>
  <c r="AJ79" i="3564"/>
  <c r="BY79" i="3564"/>
  <c r="BR80" i="3564"/>
  <c r="CA81" i="3564"/>
  <c r="BT82" i="3564"/>
  <c r="BW80" i="3564"/>
  <c r="BP81" i="3564"/>
  <c r="BZ81" i="3564"/>
  <c r="BS82" i="3564"/>
  <c r="AS78" i="3564" l="1"/>
  <c r="AL79" i="3564"/>
  <c r="BR81" i="3564"/>
  <c r="BY80" i="3564"/>
  <c r="AG79" i="3564"/>
  <c r="AN78" i="3564"/>
  <c r="AM79" i="3564"/>
  <c r="AT78" i="3564"/>
  <c r="BE79" i="3564"/>
  <c r="BI78" i="3564"/>
  <c r="BJ78" i="3564"/>
  <c r="BF79" i="3564"/>
  <c r="BH78" i="3564"/>
  <c r="BD79" i="3564"/>
  <c r="AI79" i="3564"/>
  <c r="AP78" i="3564"/>
  <c r="AB77" i="3564"/>
  <c r="X78" i="3564"/>
  <c r="AQ79" i="3564"/>
  <c r="AJ80" i="3564"/>
  <c r="AC78" i="3564"/>
  <c r="Y79" i="3564"/>
  <c r="BX80" i="3564"/>
  <c r="BQ81" i="3564"/>
  <c r="AR78" i="3564"/>
  <c r="AK79" i="3564"/>
  <c r="BV80" i="3564"/>
  <c r="BO81" i="3564"/>
  <c r="AO78" i="3564"/>
  <c r="AH79" i="3564"/>
  <c r="AD78" i="3564"/>
  <c r="Z79" i="3564"/>
  <c r="BU80" i="3564"/>
  <c r="BN81" i="3564"/>
  <c r="BZ82" i="3564"/>
  <c r="BS83" i="3564"/>
  <c r="CA82" i="3564"/>
  <c r="BT83" i="3564"/>
  <c r="BP82" i="3564"/>
  <c r="BW81" i="3564"/>
  <c r="Y80" i="3564" l="1"/>
  <c r="AC79" i="3564"/>
  <c r="BQ82" i="3564"/>
  <c r="BX81" i="3564"/>
  <c r="BD80" i="3564"/>
  <c r="BH79" i="3564"/>
  <c r="AI80" i="3564"/>
  <c r="AP79" i="3564"/>
  <c r="BI79" i="3564"/>
  <c r="BE80" i="3564"/>
  <c r="AO79" i="3564"/>
  <c r="AH80" i="3564"/>
  <c r="BJ79" i="3564"/>
  <c r="BF80" i="3564"/>
  <c r="BN82" i="3564"/>
  <c r="BU81" i="3564"/>
  <c r="AG80" i="3564"/>
  <c r="AN79" i="3564"/>
  <c r="AQ80" i="3564"/>
  <c r="AJ81" i="3564"/>
  <c r="AB78" i="3564"/>
  <c r="X79" i="3564"/>
  <c r="AD79" i="3564"/>
  <c r="Z80" i="3564"/>
  <c r="AT79" i="3564"/>
  <c r="AM80" i="3564"/>
  <c r="BO82" i="3564"/>
  <c r="BV81" i="3564"/>
  <c r="BY81" i="3564"/>
  <c r="BR82" i="3564"/>
  <c r="AK80" i="3564"/>
  <c r="AR79" i="3564"/>
  <c r="AL80" i="3564"/>
  <c r="AS79" i="3564"/>
  <c r="BT84" i="3564"/>
  <c r="CA83" i="3564"/>
  <c r="BP83" i="3564"/>
  <c r="BW82" i="3564"/>
  <c r="BS84" i="3564"/>
  <c r="BZ83" i="3564"/>
  <c r="AJ82" i="3564" l="1"/>
  <c r="AQ81" i="3564"/>
  <c r="BF81" i="3564"/>
  <c r="BJ80" i="3564"/>
  <c r="BU82" i="3564"/>
  <c r="BN83" i="3564"/>
  <c r="BI80" i="3564"/>
  <c r="BE81" i="3564"/>
  <c r="AB79" i="3564"/>
  <c r="X80" i="3564"/>
  <c r="AR80" i="3564"/>
  <c r="AK81" i="3564"/>
  <c r="BQ83" i="3564"/>
  <c r="BX82" i="3564"/>
  <c r="AG81" i="3564"/>
  <c r="AN80" i="3564"/>
  <c r="AI81" i="3564"/>
  <c r="AP80" i="3564"/>
  <c r="BV82" i="3564"/>
  <c r="BO83" i="3564"/>
  <c r="AT80" i="3564"/>
  <c r="AM81" i="3564"/>
  <c r="Z81" i="3564"/>
  <c r="AD80" i="3564"/>
  <c r="AH81" i="3564"/>
  <c r="AO80" i="3564"/>
  <c r="AL81" i="3564"/>
  <c r="AS80" i="3564"/>
  <c r="BY82" i="3564"/>
  <c r="BR83" i="3564"/>
  <c r="BD81" i="3564"/>
  <c r="BH80" i="3564"/>
  <c r="Y81" i="3564"/>
  <c r="AC80" i="3564"/>
  <c r="BT85" i="3564"/>
  <c r="CA84" i="3564"/>
  <c r="BS85" i="3564"/>
  <c r="BZ84" i="3564"/>
  <c r="BW83" i="3564"/>
  <c r="BP84" i="3564"/>
  <c r="AN81" i="3564" l="1"/>
  <c r="AG82" i="3564"/>
  <c r="AT81" i="3564"/>
  <c r="AM82" i="3564"/>
  <c r="AB80" i="3564"/>
  <c r="X81" i="3564"/>
  <c r="BY83" i="3564"/>
  <c r="BR84" i="3564"/>
  <c r="Z82" i="3564"/>
  <c r="AD81" i="3564"/>
  <c r="BO84" i="3564"/>
  <c r="BV83" i="3564"/>
  <c r="BX83" i="3564"/>
  <c r="BQ84" i="3564"/>
  <c r="Y82" i="3564"/>
  <c r="AC81" i="3564"/>
  <c r="BE82" i="3564"/>
  <c r="BI81" i="3564"/>
  <c r="BU83" i="3564"/>
  <c r="BN84" i="3564"/>
  <c r="AP81" i="3564"/>
  <c r="AI82" i="3564"/>
  <c r="AR81" i="3564"/>
  <c r="AK82" i="3564"/>
  <c r="BD82" i="3564"/>
  <c r="BH81" i="3564"/>
  <c r="AL82" i="3564"/>
  <c r="AS81" i="3564"/>
  <c r="BJ81" i="3564"/>
  <c r="BF82" i="3564"/>
  <c r="AH82" i="3564"/>
  <c r="AO81" i="3564"/>
  <c r="AJ83" i="3564"/>
  <c r="AQ82" i="3564"/>
  <c r="BZ85" i="3564"/>
  <c r="BS86" i="3564"/>
  <c r="BP85" i="3564"/>
  <c r="BW84" i="3564"/>
  <c r="BT86" i="3564"/>
  <c r="CA85" i="3564"/>
  <c r="AK83" i="3564" l="1"/>
  <c r="AR82" i="3564"/>
  <c r="BX84" i="3564"/>
  <c r="BQ85" i="3564"/>
  <c r="AP82" i="3564"/>
  <c r="AI83" i="3564"/>
  <c r="BI82" i="3564"/>
  <c r="BE83" i="3564"/>
  <c r="AC82" i="3564"/>
  <c r="Y83" i="3564"/>
  <c r="BO85" i="3564"/>
  <c r="BV84" i="3564"/>
  <c r="Z83" i="3564"/>
  <c r="AD82" i="3564"/>
  <c r="BF83" i="3564"/>
  <c r="BJ82" i="3564"/>
  <c r="BY84" i="3564"/>
  <c r="BR85" i="3564"/>
  <c r="AT82" i="3564"/>
  <c r="AM83" i="3564"/>
  <c r="BU84" i="3564"/>
  <c r="BN85" i="3564"/>
  <c r="AJ84" i="3564"/>
  <c r="AQ83" i="3564"/>
  <c r="AO82" i="3564"/>
  <c r="AH83" i="3564"/>
  <c r="X82" i="3564"/>
  <c r="AB81" i="3564"/>
  <c r="AL83" i="3564"/>
  <c r="AS82" i="3564"/>
  <c r="AN82" i="3564"/>
  <c r="AG83" i="3564"/>
  <c r="BD83" i="3564"/>
  <c r="BH82" i="3564"/>
  <c r="BT87" i="3564"/>
  <c r="CA86" i="3564"/>
  <c r="BP86" i="3564"/>
  <c r="BW85" i="3564"/>
  <c r="BZ86" i="3564"/>
  <c r="BS87" i="3564"/>
  <c r="AM84" i="3564" l="1"/>
  <c r="AT83" i="3564"/>
  <c r="BF84" i="3564"/>
  <c r="BJ83" i="3564"/>
  <c r="BR86" i="3564"/>
  <c r="BY85" i="3564"/>
  <c r="AN83" i="3564"/>
  <c r="AG84" i="3564"/>
  <c r="BU85" i="3564"/>
  <c r="BN86" i="3564"/>
  <c r="Z84" i="3564"/>
  <c r="AD83" i="3564"/>
  <c r="BO86" i="3564"/>
  <c r="BV85" i="3564"/>
  <c r="BH83" i="3564"/>
  <c r="BD84" i="3564"/>
  <c r="AI84" i="3564"/>
  <c r="AP83" i="3564"/>
  <c r="AJ85" i="3564"/>
  <c r="AQ84" i="3564"/>
  <c r="Y84" i="3564"/>
  <c r="AC83" i="3564"/>
  <c r="BE84" i="3564"/>
  <c r="BI83" i="3564"/>
  <c r="AL84" i="3564"/>
  <c r="AS83" i="3564"/>
  <c r="BX85" i="3564"/>
  <c r="BQ86" i="3564"/>
  <c r="AB82" i="3564"/>
  <c r="X83" i="3564"/>
  <c r="AO83" i="3564"/>
  <c r="AH84" i="3564"/>
  <c r="AR83" i="3564"/>
  <c r="AK84" i="3564"/>
  <c r="BW86" i="3564"/>
  <c r="BP87" i="3564"/>
  <c r="CA87" i="3564"/>
  <c r="BT88" i="3564"/>
  <c r="BS88" i="3564"/>
  <c r="BZ87" i="3564"/>
  <c r="BE85" i="3564" l="1"/>
  <c r="BI84" i="3564"/>
  <c r="AD84" i="3564"/>
  <c r="Z85" i="3564"/>
  <c r="Y85" i="3564"/>
  <c r="AC84" i="3564"/>
  <c r="AR84" i="3564"/>
  <c r="AK85" i="3564"/>
  <c r="AI85" i="3564"/>
  <c r="AP84" i="3564"/>
  <c r="AG85" i="3564"/>
  <c r="AN84" i="3564"/>
  <c r="AQ85" i="3564"/>
  <c r="AJ86" i="3564"/>
  <c r="BH84" i="3564"/>
  <c r="BD85" i="3564"/>
  <c r="BO87" i="3564"/>
  <c r="BV86" i="3564"/>
  <c r="BN87" i="3564"/>
  <c r="BU86" i="3564"/>
  <c r="AH85" i="3564"/>
  <c r="AO84" i="3564"/>
  <c r="X84" i="3564"/>
  <c r="AB83" i="3564"/>
  <c r="BY86" i="3564"/>
  <c r="BR87" i="3564"/>
  <c r="BQ87" i="3564"/>
  <c r="BX86" i="3564"/>
  <c r="BF85" i="3564"/>
  <c r="BJ84" i="3564"/>
  <c r="AS84" i="3564"/>
  <c r="AL85" i="3564"/>
  <c r="AT84" i="3564"/>
  <c r="AM85" i="3564"/>
  <c r="BS89" i="3564"/>
  <c r="BZ88" i="3564"/>
  <c r="CA88" i="3564"/>
  <c r="BT89" i="3564"/>
  <c r="BW87" i="3564"/>
  <c r="BP88" i="3564"/>
  <c r="AH86" i="3564" l="1"/>
  <c r="AO85" i="3564"/>
  <c r="AB84" i="3564"/>
  <c r="X85" i="3564"/>
  <c r="AM86" i="3564"/>
  <c r="AT85" i="3564"/>
  <c r="BV87" i="3564"/>
  <c r="BO88" i="3564"/>
  <c r="AJ87" i="3564"/>
  <c r="AQ86" i="3564"/>
  <c r="AS85" i="3564"/>
  <c r="AL86" i="3564"/>
  <c r="BN88" i="3564"/>
  <c r="BU87" i="3564"/>
  <c r="AI86" i="3564"/>
  <c r="AP85" i="3564"/>
  <c r="Y86" i="3564"/>
  <c r="AC85" i="3564"/>
  <c r="BH85" i="3564"/>
  <c r="BD86" i="3564"/>
  <c r="AG86" i="3564"/>
  <c r="AN85" i="3564"/>
  <c r="AK86" i="3564"/>
  <c r="AR85" i="3564"/>
  <c r="BF86" i="3564"/>
  <c r="BJ85" i="3564"/>
  <c r="Z86" i="3564"/>
  <c r="AD85" i="3564"/>
  <c r="BX87" i="3564"/>
  <c r="BQ88" i="3564"/>
  <c r="BY87" i="3564"/>
  <c r="BR88" i="3564"/>
  <c r="BI85" i="3564"/>
  <c r="BE86" i="3564"/>
  <c r="CA89" i="3564"/>
  <c r="BT90" i="3564"/>
  <c r="BS90" i="3564"/>
  <c r="BZ89" i="3564"/>
  <c r="BW88" i="3564"/>
  <c r="BP89" i="3564"/>
  <c r="AG87" i="3564" l="1"/>
  <c r="AN86" i="3564"/>
  <c r="BH86" i="3564"/>
  <c r="BD87" i="3564"/>
  <c r="Y87" i="3564"/>
  <c r="AC86" i="3564"/>
  <c r="BN89" i="3564"/>
  <c r="BU88" i="3564"/>
  <c r="AQ87" i="3564"/>
  <c r="AJ88" i="3564"/>
  <c r="BX88" i="3564"/>
  <c r="BQ89" i="3564"/>
  <c r="AP86" i="3564"/>
  <c r="AI87" i="3564"/>
  <c r="BY88" i="3564"/>
  <c r="BR89" i="3564"/>
  <c r="AM87" i="3564"/>
  <c r="AT86" i="3564"/>
  <c r="AK87" i="3564"/>
  <c r="AR86" i="3564"/>
  <c r="AL87" i="3564"/>
  <c r="AS86" i="3564"/>
  <c r="BE87" i="3564"/>
  <c r="BI86" i="3564"/>
  <c r="BV88" i="3564"/>
  <c r="BO89" i="3564"/>
  <c r="X86" i="3564"/>
  <c r="AB85" i="3564"/>
  <c r="AD86" i="3564"/>
  <c r="Z87" i="3564"/>
  <c r="BF87" i="3564"/>
  <c r="BJ86" i="3564"/>
  <c r="AO86" i="3564"/>
  <c r="AH87" i="3564"/>
  <c r="CA90" i="3564"/>
  <c r="BT91" i="3564"/>
  <c r="BP90" i="3564"/>
  <c r="BW89" i="3564"/>
  <c r="BZ90" i="3564"/>
  <c r="BS91" i="3564"/>
  <c r="AS87" i="3564" l="1"/>
  <c r="AL88" i="3564"/>
  <c r="AP87" i="3564"/>
  <c r="AI88" i="3564"/>
  <c r="BU89" i="3564"/>
  <c r="BN90" i="3564"/>
  <c r="BI87" i="3564"/>
  <c r="BE88" i="3564"/>
  <c r="AK88" i="3564"/>
  <c r="AR87" i="3564"/>
  <c r="AT87" i="3564"/>
  <c r="AM88" i="3564"/>
  <c r="BX89" i="3564"/>
  <c r="BQ90" i="3564"/>
  <c r="AO87" i="3564"/>
  <c r="AH88" i="3564"/>
  <c r="BJ87" i="3564"/>
  <c r="BF88" i="3564"/>
  <c r="BY89" i="3564"/>
  <c r="BR90" i="3564"/>
  <c r="AQ88" i="3564"/>
  <c r="AJ89" i="3564"/>
  <c r="Z88" i="3564"/>
  <c r="AD87" i="3564"/>
  <c r="Y88" i="3564"/>
  <c r="AC87" i="3564"/>
  <c r="BD88" i="3564"/>
  <c r="BH87" i="3564"/>
  <c r="AB86" i="3564"/>
  <c r="X87" i="3564"/>
  <c r="BV89" i="3564"/>
  <c r="BO90" i="3564"/>
  <c r="AG88" i="3564"/>
  <c r="AN87" i="3564"/>
  <c r="BW90" i="3564"/>
  <c r="BP91" i="3564"/>
  <c r="BZ91" i="3564"/>
  <c r="BS92" i="3564"/>
  <c r="BT92" i="3564"/>
  <c r="CA91" i="3564"/>
  <c r="AQ89" i="3564" l="1"/>
  <c r="AJ90" i="3564"/>
  <c r="BF89" i="3564"/>
  <c r="BJ88" i="3564"/>
  <c r="Z89" i="3564"/>
  <c r="AD88" i="3564"/>
  <c r="AR88" i="3564"/>
  <c r="AK89" i="3564"/>
  <c r="BY90" i="3564"/>
  <c r="BR91" i="3564"/>
  <c r="AO88" i="3564"/>
  <c r="AH89" i="3564"/>
  <c r="AM89" i="3564"/>
  <c r="AT88" i="3564"/>
  <c r="BV90" i="3564"/>
  <c r="BO91" i="3564"/>
  <c r="BU90" i="3564"/>
  <c r="BN91" i="3564"/>
  <c r="BX90" i="3564"/>
  <c r="BQ91" i="3564"/>
  <c r="AG89" i="3564"/>
  <c r="AN88" i="3564"/>
  <c r="BI88" i="3564"/>
  <c r="BE89" i="3564"/>
  <c r="AB87" i="3564"/>
  <c r="X88" i="3564"/>
  <c r="AP88" i="3564"/>
  <c r="AI89" i="3564"/>
  <c r="BH88" i="3564"/>
  <c r="BD89" i="3564"/>
  <c r="AL89" i="3564"/>
  <c r="AS88" i="3564"/>
  <c r="Y89" i="3564"/>
  <c r="AC88" i="3564"/>
  <c r="BZ92" i="3564"/>
  <c r="BS93" i="3564"/>
  <c r="BW91" i="3564"/>
  <c r="BP92" i="3564"/>
  <c r="CA92" i="3564"/>
  <c r="BT93" i="3564"/>
  <c r="AG90" i="3564" l="1"/>
  <c r="AN89" i="3564"/>
  <c r="BV91" i="3564"/>
  <c r="BO92" i="3564"/>
  <c r="BI89" i="3564"/>
  <c r="BE90" i="3564"/>
  <c r="AM90" i="3564"/>
  <c r="AT89" i="3564"/>
  <c r="AR89" i="3564"/>
  <c r="AK90" i="3564"/>
  <c r="BQ92" i="3564"/>
  <c r="BX91" i="3564"/>
  <c r="AH90" i="3564"/>
  <c r="AO89" i="3564"/>
  <c r="BD90" i="3564"/>
  <c r="BH89" i="3564"/>
  <c r="BN92" i="3564"/>
  <c r="BU91" i="3564"/>
  <c r="BY91" i="3564"/>
  <c r="BR92" i="3564"/>
  <c r="AC89" i="3564"/>
  <c r="Y90" i="3564"/>
  <c r="AL90" i="3564"/>
  <c r="AS89" i="3564"/>
  <c r="Z90" i="3564"/>
  <c r="AD89" i="3564"/>
  <c r="AP89" i="3564"/>
  <c r="AI90" i="3564"/>
  <c r="BF90" i="3564"/>
  <c r="BJ89" i="3564"/>
  <c r="AB88" i="3564"/>
  <c r="X89" i="3564"/>
  <c r="AJ91" i="3564"/>
  <c r="AQ90" i="3564"/>
  <c r="CA93" i="3564"/>
  <c r="BT94" i="3564"/>
  <c r="BW92" i="3564"/>
  <c r="BP93" i="3564"/>
  <c r="BZ93" i="3564"/>
  <c r="BS94" i="3564"/>
  <c r="AS90" i="3564" l="1"/>
  <c r="AL91" i="3564"/>
  <c r="BN93" i="3564"/>
  <c r="BU92" i="3564"/>
  <c r="BD91" i="3564"/>
  <c r="BH90" i="3564"/>
  <c r="AO90" i="3564"/>
  <c r="AH91" i="3564"/>
  <c r="BQ93" i="3564"/>
  <c r="BX92" i="3564"/>
  <c r="AQ91" i="3564"/>
  <c r="AJ92" i="3564"/>
  <c r="BJ90" i="3564"/>
  <c r="BF91" i="3564"/>
  <c r="Y91" i="3564"/>
  <c r="AC90" i="3564"/>
  <c r="BE91" i="3564"/>
  <c r="BI90" i="3564"/>
  <c r="BY92" i="3564"/>
  <c r="BR93" i="3564"/>
  <c r="AK91" i="3564"/>
  <c r="AR90" i="3564"/>
  <c r="X90" i="3564"/>
  <c r="AB89" i="3564"/>
  <c r="AT90" i="3564"/>
  <c r="AM91" i="3564"/>
  <c r="AP90" i="3564"/>
  <c r="AI91" i="3564"/>
  <c r="BO93" i="3564"/>
  <c r="BV92" i="3564"/>
  <c r="AD90" i="3564"/>
  <c r="Z91" i="3564"/>
  <c r="AN90" i="3564"/>
  <c r="AG91" i="3564"/>
  <c r="BP94" i="3564"/>
  <c r="BW93" i="3564"/>
  <c r="BZ94" i="3564"/>
  <c r="BS95" i="3564"/>
  <c r="CA94" i="3564"/>
  <c r="BT95" i="3564"/>
  <c r="BR94" i="3564" l="1"/>
  <c r="BY93" i="3564"/>
  <c r="BI91" i="3564"/>
  <c r="BE92" i="3564"/>
  <c r="BF92" i="3564"/>
  <c r="BJ91" i="3564"/>
  <c r="AN91" i="3564"/>
  <c r="AG92" i="3564"/>
  <c r="AK92" i="3564"/>
  <c r="AR91" i="3564"/>
  <c r="AO91" i="3564"/>
  <c r="AH92" i="3564"/>
  <c r="AB90" i="3564"/>
  <c r="X91" i="3564"/>
  <c r="Y92" i="3564"/>
  <c r="AC91" i="3564"/>
  <c r="AQ92" i="3564"/>
  <c r="AJ93" i="3564"/>
  <c r="AD91" i="3564"/>
  <c r="Z92" i="3564"/>
  <c r="BH91" i="3564"/>
  <c r="BD92" i="3564"/>
  <c r="BQ94" i="3564"/>
  <c r="BX93" i="3564"/>
  <c r="BO94" i="3564"/>
  <c r="BV93" i="3564"/>
  <c r="AP91" i="3564"/>
  <c r="AI92" i="3564"/>
  <c r="BN94" i="3564"/>
  <c r="BU93" i="3564"/>
  <c r="AT91" i="3564"/>
  <c r="AM92" i="3564"/>
  <c r="AS91" i="3564"/>
  <c r="AL92" i="3564"/>
  <c r="BT96" i="3564"/>
  <c r="CA95" i="3564"/>
  <c r="BS96" i="3564"/>
  <c r="BZ95" i="3564"/>
  <c r="BP95" i="3564"/>
  <c r="BW94" i="3564"/>
  <c r="BD93" i="3564" l="1"/>
  <c r="BH92" i="3564"/>
  <c r="AB91" i="3564"/>
  <c r="X92" i="3564"/>
  <c r="AJ94" i="3564"/>
  <c r="AQ93" i="3564"/>
  <c r="BQ95" i="3564"/>
  <c r="BX94" i="3564"/>
  <c r="Y93" i="3564"/>
  <c r="AC92" i="3564"/>
  <c r="AT92" i="3564"/>
  <c r="AM93" i="3564"/>
  <c r="AK93" i="3564"/>
  <c r="AR92" i="3564"/>
  <c r="BJ92" i="3564"/>
  <c r="BF93" i="3564"/>
  <c r="AD92" i="3564"/>
  <c r="Z93" i="3564"/>
  <c r="AH93" i="3564"/>
  <c r="AO92" i="3564"/>
  <c r="AS92" i="3564"/>
  <c r="AL93" i="3564"/>
  <c r="AN92" i="3564"/>
  <c r="AG93" i="3564"/>
  <c r="BU94" i="3564"/>
  <c r="BN95" i="3564"/>
  <c r="AP92" i="3564"/>
  <c r="AI93" i="3564"/>
  <c r="BI92" i="3564"/>
  <c r="BE93" i="3564"/>
  <c r="BV94" i="3564"/>
  <c r="BO95" i="3564"/>
  <c r="BY94" i="3564"/>
  <c r="BR95" i="3564"/>
  <c r="BS97" i="3564"/>
  <c r="BZ96" i="3564"/>
  <c r="BP96" i="3564"/>
  <c r="BW95" i="3564"/>
  <c r="BT97" i="3564"/>
  <c r="CA96" i="3564"/>
  <c r="AO93" i="3564" l="1"/>
  <c r="AH94" i="3564"/>
  <c r="AK94" i="3564"/>
  <c r="AR93" i="3564"/>
  <c r="AS93" i="3564"/>
  <c r="AL94" i="3564"/>
  <c r="BF94" i="3564"/>
  <c r="BJ93" i="3564"/>
  <c r="BR96" i="3564"/>
  <c r="BY95" i="3564"/>
  <c r="BI93" i="3564"/>
  <c r="BE94" i="3564"/>
  <c r="AN93" i="3564"/>
  <c r="AG94" i="3564"/>
  <c r="BO96" i="3564"/>
  <c r="BV95" i="3564"/>
  <c r="AJ95" i="3564"/>
  <c r="AQ94" i="3564"/>
  <c r="AD93" i="3564"/>
  <c r="Z94" i="3564"/>
  <c r="AT93" i="3564"/>
  <c r="AM94" i="3564"/>
  <c r="Y94" i="3564"/>
  <c r="AC93" i="3564"/>
  <c r="BQ96" i="3564"/>
  <c r="BX95" i="3564"/>
  <c r="AP93" i="3564"/>
  <c r="AI94" i="3564"/>
  <c r="X93" i="3564"/>
  <c r="AB92" i="3564"/>
  <c r="BU95" i="3564"/>
  <c r="BN96" i="3564"/>
  <c r="BH93" i="3564"/>
  <c r="BD94" i="3564"/>
  <c r="BZ97" i="3564"/>
  <c r="BS98" i="3564"/>
  <c r="BT98" i="3564"/>
  <c r="CA97" i="3564"/>
  <c r="BP97" i="3564"/>
  <c r="BW96" i="3564"/>
  <c r="Z95" i="3564" l="1"/>
  <c r="AD94" i="3564"/>
  <c r="AC94" i="3564"/>
  <c r="Y95" i="3564"/>
  <c r="BV96" i="3564"/>
  <c r="BO97" i="3564"/>
  <c r="AN94" i="3564"/>
  <c r="AG95" i="3564"/>
  <c r="BE95" i="3564"/>
  <c r="BI94" i="3564"/>
  <c r="BY96" i="3564"/>
  <c r="BR97" i="3564"/>
  <c r="AL95" i="3564"/>
  <c r="AS94" i="3564"/>
  <c r="AM95" i="3564"/>
  <c r="AT94" i="3564"/>
  <c r="AQ95" i="3564"/>
  <c r="AJ96" i="3564"/>
  <c r="BD95" i="3564"/>
  <c r="BH94" i="3564"/>
  <c r="BN97" i="3564"/>
  <c r="BU96" i="3564"/>
  <c r="BF95" i="3564"/>
  <c r="BJ94" i="3564"/>
  <c r="X94" i="3564"/>
  <c r="AB93" i="3564"/>
  <c r="AI95" i="3564"/>
  <c r="AP94" i="3564"/>
  <c r="AK95" i="3564"/>
  <c r="AR94" i="3564"/>
  <c r="AO94" i="3564"/>
  <c r="AH95" i="3564"/>
  <c r="BQ97" i="3564"/>
  <c r="BX96" i="3564"/>
  <c r="BZ98" i="3564"/>
  <c r="BS99" i="3564"/>
  <c r="BP98" i="3564"/>
  <c r="BW97" i="3564"/>
  <c r="BT99" i="3564"/>
  <c r="CA98" i="3564"/>
  <c r="AQ96" i="3564" l="1"/>
  <c r="AJ97" i="3564"/>
  <c r="BU97" i="3564"/>
  <c r="BN98" i="3564"/>
  <c r="AL96" i="3564"/>
  <c r="AS95" i="3564"/>
  <c r="AO95" i="3564"/>
  <c r="AH96" i="3564"/>
  <c r="BQ98" i="3564"/>
  <c r="BX97" i="3564"/>
  <c r="AK96" i="3564"/>
  <c r="AR95" i="3564"/>
  <c r="BJ95" i="3564"/>
  <c r="BF96" i="3564"/>
  <c r="BD96" i="3564"/>
  <c r="BH95" i="3564"/>
  <c r="AM96" i="3564"/>
  <c r="AT95" i="3564"/>
  <c r="BR98" i="3564"/>
  <c r="BY97" i="3564"/>
  <c r="BE96" i="3564"/>
  <c r="BI95" i="3564"/>
  <c r="AN95" i="3564"/>
  <c r="AG96" i="3564"/>
  <c r="BV97" i="3564"/>
  <c r="BO98" i="3564"/>
  <c r="Y96" i="3564"/>
  <c r="AC95" i="3564"/>
  <c r="AI96" i="3564"/>
  <c r="AP95" i="3564"/>
  <c r="X95" i="3564"/>
  <c r="AB94" i="3564"/>
  <c r="AD95" i="3564"/>
  <c r="Z96" i="3564"/>
  <c r="BW98" i="3564"/>
  <c r="BP99" i="3564"/>
  <c r="BS100" i="3564"/>
  <c r="BZ99" i="3564"/>
  <c r="CA99" i="3564"/>
  <c r="BT100" i="3564"/>
  <c r="BI96" i="3564" l="1"/>
  <c r="BE97" i="3564"/>
  <c r="AM97" i="3564"/>
  <c r="AT96" i="3564"/>
  <c r="Z97" i="3564"/>
  <c r="AD96" i="3564"/>
  <c r="BY98" i="3564"/>
  <c r="BR99" i="3564"/>
  <c r="AN96" i="3564"/>
  <c r="AG97" i="3564"/>
  <c r="BH96" i="3564"/>
  <c r="BD97" i="3564"/>
  <c r="AR96" i="3564"/>
  <c r="AK97" i="3564"/>
  <c r="BX98" i="3564"/>
  <c r="BQ99" i="3564"/>
  <c r="AB95" i="3564"/>
  <c r="X96" i="3564"/>
  <c r="BN99" i="3564"/>
  <c r="BU98" i="3564"/>
  <c r="BF97" i="3564"/>
  <c r="BJ96" i="3564"/>
  <c r="AH97" i="3564"/>
  <c r="AO96" i="3564"/>
  <c r="AI97" i="3564"/>
  <c r="AP96" i="3564"/>
  <c r="AS96" i="3564"/>
  <c r="AL97" i="3564"/>
  <c r="AC96" i="3564"/>
  <c r="Y97" i="3564"/>
  <c r="BO99" i="3564"/>
  <c r="BV98" i="3564"/>
  <c r="AQ97" i="3564"/>
  <c r="AJ98" i="3564"/>
  <c r="CA100" i="3564"/>
  <c r="BT101" i="3564"/>
  <c r="BS101" i="3564"/>
  <c r="BZ100" i="3564"/>
  <c r="BW99" i="3564"/>
  <c r="BP100" i="3564"/>
  <c r="AB96" i="3564" l="1"/>
  <c r="X97" i="3564"/>
  <c r="AH98" i="3564"/>
  <c r="AO97" i="3564"/>
  <c r="AK98" i="3564"/>
  <c r="AR97" i="3564"/>
  <c r="AQ98" i="3564"/>
  <c r="AJ99" i="3564"/>
  <c r="BU99" i="3564"/>
  <c r="BN100" i="3564"/>
  <c r="BF98" i="3564"/>
  <c r="BJ97" i="3564"/>
  <c r="BH97" i="3564"/>
  <c r="BD98" i="3564"/>
  <c r="BY99" i="3564"/>
  <c r="BR100" i="3564"/>
  <c r="AC97" i="3564"/>
  <c r="Y98" i="3564"/>
  <c r="AS97" i="3564"/>
  <c r="AL98" i="3564"/>
  <c r="BX99" i="3564"/>
  <c r="BQ100" i="3564"/>
  <c r="AN97" i="3564"/>
  <c r="AG98" i="3564"/>
  <c r="BO100" i="3564"/>
  <c r="BV99" i="3564"/>
  <c r="Z98" i="3564"/>
  <c r="AD97" i="3564"/>
  <c r="AM98" i="3564"/>
  <c r="AT97" i="3564"/>
  <c r="BE98" i="3564"/>
  <c r="BI97" i="3564"/>
  <c r="AP97" i="3564"/>
  <c r="AI98" i="3564"/>
  <c r="BW100" i="3564"/>
  <c r="BP101" i="3564"/>
  <c r="BS102" i="3564"/>
  <c r="BZ101" i="3564"/>
  <c r="CA101" i="3564"/>
  <c r="BT102" i="3564"/>
  <c r="AN98" i="3564" l="1"/>
  <c r="AG99" i="3564"/>
  <c r="BQ101" i="3564"/>
  <c r="BX100" i="3564"/>
  <c r="BR101" i="3564"/>
  <c r="BY100" i="3564"/>
  <c r="BH98" i="3564"/>
  <c r="BD99" i="3564"/>
  <c r="BN101" i="3564"/>
  <c r="BU100" i="3564"/>
  <c r="AL99" i="3564"/>
  <c r="AS98" i="3564"/>
  <c r="BF99" i="3564"/>
  <c r="BJ98" i="3564"/>
  <c r="AP98" i="3564"/>
  <c r="AI99" i="3564"/>
  <c r="AQ99" i="3564"/>
  <c r="AJ100" i="3564"/>
  <c r="AR98" i="3564"/>
  <c r="AK99" i="3564"/>
  <c r="AC98" i="3564"/>
  <c r="Y99" i="3564"/>
  <c r="BI98" i="3564"/>
  <c r="BE99" i="3564"/>
  <c r="AM99" i="3564"/>
  <c r="AT98" i="3564"/>
  <c r="AD98" i="3564"/>
  <c r="Z99" i="3564"/>
  <c r="AO98" i="3564"/>
  <c r="AH99" i="3564"/>
  <c r="AB97" i="3564"/>
  <c r="X98" i="3564"/>
  <c r="BV100" i="3564"/>
  <c r="BO101" i="3564"/>
  <c r="BZ102" i="3564"/>
  <c r="BS103" i="3564"/>
  <c r="CA102" i="3564"/>
  <c r="BT103" i="3564"/>
  <c r="BP102" i="3564"/>
  <c r="BW101" i="3564"/>
  <c r="AK100" i="3564" l="1"/>
  <c r="AR99" i="3564"/>
  <c r="Y100" i="3564"/>
  <c r="AC99" i="3564"/>
  <c r="AS99" i="3564"/>
  <c r="AL100" i="3564"/>
  <c r="BE100" i="3564"/>
  <c r="BI99" i="3564"/>
  <c r="AQ100" i="3564"/>
  <c r="AJ101" i="3564"/>
  <c r="AB98" i="3564"/>
  <c r="X99" i="3564"/>
  <c r="BF100" i="3564"/>
  <c r="BJ99" i="3564"/>
  <c r="BN102" i="3564"/>
  <c r="BU101" i="3564"/>
  <c r="AH100" i="3564"/>
  <c r="AO99" i="3564"/>
  <c r="AP99" i="3564"/>
  <c r="AI100" i="3564"/>
  <c r="BO102" i="3564"/>
  <c r="BV101" i="3564"/>
  <c r="BD100" i="3564"/>
  <c r="BH99" i="3564"/>
  <c r="BR102" i="3564"/>
  <c r="BY101" i="3564"/>
  <c r="AD99" i="3564"/>
  <c r="Z100" i="3564"/>
  <c r="BQ102" i="3564"/>
  <c r="BX101" i="3564"/>
  <c r="AG100" i="3564"/>
  <c r="AN99" i="3564"/>
  <c r="AM100" i="3564"/>
  <c r="AT99" i="3564"/>
  <c r="CA103" i="3564"/>
  <c r="BT104" i="3564"/>
  <c r="BZ103" i="3564"/>
  <c r="BS104" i="3564"/>
  <c r="BW102" i="3564"/>
  <c r="BP103" i="3564"/>
  <c r="AP100" i="3564" l="1"/>
  <c r="AI101" i="3564"/>
  <c r="BH100" i="3564"/>
  <c r="BD101" i="3564"/>
  <c r="BU102" i="3564"/>
  <c r="BN103" i="3564"/>
  <c r="AM101" i="3564"/>
  <c r="AT100" i="3564"/>
  <c r="BV102" i="3564"/>
  <c r="BO103" i="3564"/>
  <c r="X100" i="3564"/>
  <c r="AB99" i="3564"/>
  <c r="AG101" i="3564"/>
  <c r="AN100" i="3564"/>
  <c r="AO100" i="3564"/>
  <c r="AH101" i="3564"/>
  <c r="BJ100" i="3564"/>
  <c r="BF101" i="3564"/>
  <c r="AQ101" i="3564"/>
  <c r="AJ102" i="3564"/>
  <c r="AL101" i="3564"/>
  <c r="AS100" i="3564"/>
  <c r="Z101" i="3564"/>
  <c r="AD100" i="3564"/>
  <c r="BE101" i="3564"/>
  <c r="BI100" i="3564"/>
  <c r="BX102" i="3564"/>
  <c r="BQ103" i="3564"/>
  <c r="Y101" i="3564"/>
  <c r="AC100" i="3564"/>
  <c r="BY102" i="3564"/>
  <c r="BR103" i="3564"/>
  <c r="AK101" i="3564"/>
  <c r="AR100" i="3564"/>
  <c r="BW103" i="3564"/>
  <c r="BP104" i="3564"/>
  <c r="BS105" i="3564"/>
  <c r="BZ104" i="3564"/>
  <c r="CA104" i="3564"/>
  <c r="BT105" i="3564"/>
  <c r="Z102" i="3564" l="1"/>
  <c r="AD101" i="3564"/>
  <c r="AL102" i="3564"/>
  <c r="AS101" i="3564"/>
  <c r="AQ102" i="3564"/>
  <c r="AJ103" i="3564"/>
  <c r="AG102" i="3564"/>
  <c r="AN101" i="3564"/>
  <c r="BF102" i="3564"/>
  <c r="BJ101" i="3564"/>
  <c r="BV103" i="3564"/>
  <c r="BO104" i="3564"/>
  <c r="AO101" i="3564"/>
  <c r="AH102" i="3564"/>
  <c r="AB100" i="3564"/>
  <c r="X101" i="3564"/>
  <c r="BY103" i="3564"/>
  <c r="BR104" i="3564"/>
  <c r="Y102" i="3564"/>
  <c r="AC101" i="3564"/>
  <c r="AK102" i="3564"/>
  <c r="AR101" i="3564"/>
  <c r="AT101" i="3564"/>
  <c r="AM102" i="3564"/>
  <c r="BN104" i="3564"/>
  <c r="BU103" i="3564"/>
  <c r="BQ104" i="3564"/>
  <c r="BX103" i="3564"/>
  <c r="BD102" i="3564"/>
  <c r="BH101" i="3564"/>
  <c r="AP101" i="3564"/>
  <c r="AI102" i="3564"/>
  <c r="BE102" i="3564"/>
  <c r="BI101" i="3564"/>
  <c r="BZ105" i="3564"/>
  <c r="BS106" i="3564"/>
  <c r="BW104" i="3564"/>
  <c r="BP105" i="3564"/>
  <c r="CA105" i="3564"/>
  <c r="BT106" i="3564"/>
  <c r="Y103" i="3564" l="1"/>
  <c r="AC102" i="3564"/>
  <c r="BV104" i="3564"/>
  <c r="BO105" i="3564"/>
  <c r="AM103" i="3564"/>
  <c r="AT102" i="3564"/>
  <c r="AB101" i="3564"/>
  <c r="X102" i="3564"/>
  <c r="BJ102" i="3564"/>
  <c r="BF103" i="3564"/>
  <c r="AG103" i="3564"/>
  <c r="AN102" i="3564"/>
  <c r="BD103" i="3564"/>
  <c r="BH102" i="3564"/>
  <c r="AK103" i="3564"/>
  <c r="AR102" i="3564"/>
  <c r="BR105" i="3564"/>
  <c r="BY104" i="3564"/>
  <c r="AH103" i="3564"/>
  <c r="AO102" i="3564"/>
  <c r="BE103" i="3564"/>
  <c r="BI102" i="3564"/>
  <c r="AP102" i="3564"/>
  <c r="AI103" i="3564"/>
  <c r="AJ104" i="3564"/>
  <c r="AQ103" i="3564"/>
  <c r="BX104" i="3564"/>
  <c r="BQ105" i="3564"/>
  <c r="AS102" i="3564"/>
  <c r="AL103" i="3564"/>
  <c r="BU104" i="3564"/>
  <c r="BN105" i="3564"/>
  <c r="AD102" i="3564"/>
  <c r="Z103" i="3564"/>
  <c r="BP106" i="3564"/>
  <c r="BW105" i="3564"/>
  <c r="CA106" i="3564"/>
  <c r="BT107" i="3564"/>
  <c r="BZ106" i="3564"/>
  <c r="BS107" i="3564"/>
  <c r="AI104" i="3564" l="1"/>
  <c r="AP103" i="3564"/>
  <c r="BE104" i="3564"/>
  <c r="BI103" i="3564"/>
  <c r="AR103" i="3564"/>
  <c r="AK104" i="3564"/>
  <c r="AD103" i="3564"/>
  <c r="Z104" i="3564"/>
  <c r="AL104" i="3564"/>
  <c r="AS103" i="3564"/>
  <c r="BH103" i="3564"/>
  <c r="BD104" i="3564"/>
  <c r="AN103" i="3564"/>
  <c r="AG104" i="3564"/>
  <c r="X103" i="3564"/>
  <c r="AB102" i="3564"/>
  <c r="AM104" i="3564"/>
  <c r="AT103" i="3564"/>
  <c r="AH104" i="3564"/>
  <c r="AO103" i="3564"/>
  <c r="BY105" i="3564"/>
  <c r="BR106" i="3564"/>
  <c r="BF104" i="3564"/>
  <c r="BJ103" i="3564"/>
  <c r="BN106" i="3564"/>
  <c r="BU105" i="3564"/>
  <c r="BQ106" i="3564"/>
  <c r="BX105" i="3564"/>
  <c r="BO106" i="3564"/>
  <c r="BV105" i="3564"/>
  <c r="AJ105" i="3564"/>
  <c r="AQ104" i="3564"/>
  <c r="Y104" i="3564"/>
  <c r="AC103" i="3564"/>
  <c r="BS108" i="3564"/>
  <c r="BZ107" i="3564"/>
  <c r="BT108" i="3564"/>
  <c r="CA107" i="3564"/>
  <c r="BP107" i="3564"/>
  <c r="BW106" i="3564"/>
  <c r="AB103" i="3564" l="1"/>
  <c r="X104" i="3564"/>
  <c r="Y105" i="3564"/>
  <c r="AC104" i="3564"/>
  <c r="BF105" i="3564"/>
  <c r="BJ104" i="3564"/>
  <c r="AO104" i="3564"/>
  <c r="AH105" i="3564"/>
  <c r="AN104" i="3564"/>
  <c r="AG105" i="3564"/>
  <c r="BD105" i="3564"/>
  <c r="BH104" i="3564"/>
  <c r="AD104" i="3564"/>
  <c r="Z105" i="3564"/>
  <c r="AR104" i="3564"/>
  <c r="AK105" i="3564"/>
  <c r="BR107" i="3564"/>
  <c r="BY106" i="3564"/>
  <c r="AT104" i="3564"/>
  <c r="AM105" i="3564"/>
  <c r="AL105" i="3564"/>
  <c r="AS104" i="3564"/>
  <c r="AQ105" i="3564"/>
  <c r="AJ106" i="3564"/>
  <c r="BO107" i="3564"/>
  <c r="BV106" i="3564"/>
  <c r="BQ107" i="3564"/>
  <c r="BX106" i="3564"/>
  <c r="BI104" i="3564"/>
  <c r="BE105" i="3564"/>
  <c r="BU106" i="3564"/>
  <c r="BN107" i="3564"/>
  <c r="AP104" i="3564"/>
  <c r="AI105" i="3564"/>
  <c r="BP108" i="3564"/>
  <c r="BW107" i="3564"/>
  <c r="BT109" i="3564"/>
  <c r="CA108" i="3564"/>
  <c r="BS109" i="3564"/>
  <c r="BZ108" i="3564"/>
  <c r="AM106" i="3564" l="1"/>
  <c r="AT105" i="3564"/>
  <c r="BY107" i="3564"/>
  <c r="BR108" i="3564"/>
  <c r="AD105" i="3564"/>
  <c r="Z106" i="3564"/>
  <c r="AR105" i="3564"/>
  <c r="AK106" i="3564"/>
  <c r="BD106" i="3564"/>
  <c r="BH105" i="3564"/>
  <c r="AO105" i="3564"/>
  <c r="AH106" i="3564"/>
  <c r="AI106" i="3564"/>
  <c r="AP105" i="3564"/>
  <c r="BU107" i="3564"/>
  <c r="BN108" i="3564"/>
  <c r="AJ107" i="3564"/>
  <c r="AQ106" i="3564"/>
  <c r="AS105" i="3564"/>
  <c r="AL106" i="3564"/>
  <c r="AN105" i="3564"/>
  <c r="AG106" i="3564"/>
  <c r="BI105" i="3564"/>
  <c r="BE106" i="3564"/>
  <c r="BJ105" i="3564"/>
  <c r="BF106" i="3564"/>
  <c r="BX107" i="3564"/>
  <c r="BQ108" i="3564"/>
  <c r="AC105" i="3564"/>
  <c r="Y106" i="3564"/>
  <c r="X105" i="3564"/>
  <c r="AB104" i="3564"/>
  <c r="BO108" i="3564"/>
  <c r="BV107" i="3564"/>
  <c r="CA109" i="3564"/>
  <c r="BT110" i="3564"/>
  <c r="BS110" i="3564"/>
  <c r="BZ109" i="3564"/>
  <c r="BP109" i="3564"/>
  <c r="BW108" i="3564"/>
  <c r="BI106" i="3564" l="1"/>
  <c r="BE107" i="3564"/>
  <c r="AQ107" i="3564"/>
  <c r="AJ108" i="3564"/>
  <c r="AS106" i="3564"/>
  <c r="AL107" i="3564"/>
  <c r="BU108" i="3564"/>
  <c r="BN109" i="3564"/>
  <c r="AO106" i="3564"/>
  <c r="AH107" i="3564"/>
  <c r="BV108" i="3564"/>
  <c r="BO109" i="3564"/>
  <c r="BD107" i="3564"/>
  <c r="BH106" i="3564"/>
  <c r="AC106" i="3564"/>
  <c r="Y107" i="3564"/>
  <c r="AN106" i="3564"/>
  <c r="AG107" i="3564"/>
  <c r="AP106" i="3564"/>
  <c r="AI107" i="3564"/>
  <c r="AK107" i="3564"/>
  <c r="AR106" i="3564"/>
  <c r="X106" i="3564"/>
  <c r="AB105" i="3564"/>
  <c r="AD106" i="3564"/>
  <c r="Z107" i="3564"/>
  <c r="BQ109" i="3564"/>
  <c r="BX108" i="3564"/>
  <c r="BR109" i="3564"/>
  <c r="BY108" i="3564"/>
  <c r="BJ106" i="3564"/>
  <c r="BF107" i="3564"/>
  <c r="AM107" i="3564"/>
  <c r="AT106" i="3564"/>
  <c r="CA110" i="3564"/>
  <c r="BT111" i="3564"/>
  <c r="BZ110" i="3564"/>
  <c r="BS111" i="3564"/>
  <c r="BW109" i="3564"/>
  <c r="BP110" i="3564"/>
  <c r="AP107" i="3564" l="1"/>
  <c r="AI108" i="3564"/>
  <c r="AN107" i="3564"/>
  <c r="AG108" i="3564"/>
  <c r="AR107" i="3564"/>
  <c r="AK108" i="3564"/>
  <c r="BO110" i="3564"/>
  <c r="BV109" i="3564"/>
  <c r="AB106" i="3564"/>
  <c r="X107" i="3564"/>
  <c r="BD108" i="3564"/>
  <c r="BH107" i="3564"/>
  <c r="AM108" i="3564"/>
  <c r="AT107" i="3564"/>
  <c r="BF108" i="3564"/>
  <c r="BJ107" i="3564"/>
  <c r="BY109" i="3564"/>
  <c r="BR110" i="3564"/>
  <c r="Y108" i="3564"/>
  <c r="AC107" i="3564"/>
  <c r="AO107" i="3564"/>
  <c r="AH108" i="3564"/>
  <c r="BU109" i="3564"/>
  <c r="BN110" i="3564"/>
  <c r="AL108" i="3564"/>
  <c r="AS107" i="3564"/>
  <c r="AQ108" i="3564"/>
  <c r="AJ109" i="3564"/>
  <c r="BX109" i="3564"/>
  <c r="BQ110" i="3564"/>
  <c r="AD107" i="3564"/>
  <c r="Z108" i="3564"/>
  <c r="BE108" i="3564"/>
  <c r="BI107" i="3564"/>
  <c r="BW110" i="3564"/>
  <c r="BP111" i="3564"/>
  <c r="BS112" i="3564"/>
  <c r="BZ111" i="3564"/>
  <c r="CA111" i="3564"/>
  <c r="BT112" i="3564"/>
  <c r="AH109" i="3564" l="1"/>
  <c r="AO108" i="3564"/>
  <c r="AC108" i="3564"/>
  <c r="Y109" i="3564"/>
  <c r="AM109" i="3564"/>
  <c r="AT108" i="3564"/>
  <c r="BD109" i="3564"/>
  <c r="BH108" i="3564"/>
  <c r="BE109" i="3564"/>
  <c r="BI108" i="3564"/>
  <c r="AR108" i="3564"/>
  <c r="AK109" i="3564"/>
  <c r="BN111" i="3564"/>
  <c r="BU110" i="3564"/>
  <c r="BY110" i="3564"/>
  <c r="BR111" i="3564"/>
  <c r="BO111" i="3564"/>
  <c r="BV110" i="3564"/>
  <c r="AI109" i="3564"/>
  <c r="AP108" i="3564"/>
  <c r="BJ108" i="3564"/>
  <c r="BF109" i="3564"/>
  <c r="X108" i="3564"/>
  <c r="AB107" i="3564"/>
  <c r="Z109" i="3564"/>
  <c r="AD108" i="3564"/>
  <c r="BX110" i="3564"/>
  <c r="BQ111" i="3564"/>
  <c r="AQ109" i="3564"/>
  <c r="AJ110" i="3564"/>
  <c r="AN108" i="3564"/>
  <c r="AG109" i="3564"/>
  <c r="AL109" i="3564"/>
  <c r="AS108" i="3564"/>
  <c r="BW111" i="3564"/>
  <c r="BP112" i="3564"/>
  <c r="BS113" i="3564"/>
  <c r="BZ112" i="3564"/>
  <c r="CA112" i="3564"/>
  <c r="BT113" i="3564"/>
  <c r="AB108" i="3564" l="1"/>
  <c r="X109" i="3564"/>
  <c r="BV111" i="3564"/>
  <c r="BO112" i="3564"/>
  <c r="AI110" i="3564"/>
  <c r="AP109" i="3564"/>
  <c r="BN112" i="3564"/>
  <c r="BU111" i="3564"/>
  <c r="BF110" i="3564"/>
  <c r="BJ109" i="3564"/>
  <c r="BY111" i="3564"/>
  <c r="BR112" i="3564"/>
  <c r="BI109" i="3564"/>
  <c r="BE110" i="3564"/>
  <c r="BH109" i="3564"/>
  <c r="BD110" i="3564"/>
  <c r="AG110" i="3564"/>
  <c r="AN109" i="3564"/>
  <c r="AR109" i="3564"/>
  <c r="AK110" i="3564"/>
  <c r="AS109" i="3564"/>
  <c r="AL110" i="3564"/>
  <c r="AQ110" i="3564"/>
  <c r="AJ111" i="3564"/>
  <c r="AM110" i="3564"/>
  <c r="AT109" i="3564"/>
  <c r="BX111" i="3564"/>
  <c r="BQ112" i="3564"/>
  <c r="AC109" i="3564"/>
  <c r="Y110" i="3564"/>
  <c r="Z110" i="3564"/>
  <c r="AD109" i="3564"/>
  <c r="AH110" i="3564"/>
  <c r="AO109" i="3564"/>
  <c r="CA113" i="3564"/>
  <c r="BT114" i="3564"/>
  <c r="BS114" i="3564"/>
  <c r="BZ113" i="3564"/>
  <c r="BW112" i="3564"/>
  <c r="BP113" i="3564"/>
  <c r="AK111" i="3564" l="1"/>
  <c r="AR110" i="3564"/>
  <c r="AJ112" i="3564"/>
  <c r="AQ111" i="3564"/>
  <c r="AN110" i="3564"/>
  <c r="AG111" i="3564"/>
  <c r="BH110" i="3564"/>
  <c r="BD111" i="3564"/>
  <c r="Y111" i="3564"/>
  <c r="AC110" i="3564"/>
  <c r="AL111" i="3564"/>
  <c r="AS110" i="3564"/>
  <c r="BI110" i="3564"/>
  <c r="BE111" i="3564"/>
  <c r="AO110" i="3564"/>
  <c r="AH111" i="3564"/>
  <c r="Z111" i="3564"/>
  <c r="AD110" i="3564"/>
  <c r="AP110" i="3564"/>
  <c r="AI111" i="3564"/>
  <c r="BR113" i="3564"/>
  <c r="BY112" i="3564"/>
  <c r="BF111" i="3564"/>
  <c r="BJ110" i="3564"/>
  <c r="BU112" i="3564"/>
  <c r="BN113" i="3564"/>
  <c r="BQ113" i="3564"/>
  <c r="BX112" i="3564"/>
  <c r="BO113" i="3564"/>
  <c r="BV112" i="3564"/>
  <c r="X110" i="3564"/>
  <c r="AB109" i="3564"/>
  <c r="AM111" i="3564"/>
  <c r="AT110" i="3564"/>
  <c r="BP114" i="3564"/>
  <c r="BW113" i="3564"/>
  <c r="BS115" i="3564"/>
  <c r="BZ114" i="3564"/>
  <c r="BT115" i="3564"/>
  <c r="CA114" i="3564"/>
  <c r="BF112" i="3564" l="1"/>
  <c r="BJ111" i="3564"/>
  <c r="BR114" i="3564"/>
  <c r="BY113" i="3564"/>
  <c r="Z112" i="3564"/>
  <c r="AD111" i="3564"/>
  <c r="AI112" i="3564"/>
  <c r="AP111" i="3564"/>
  <c r="AL112" i="3564"/>
  <c r="AS111" i="3564"/>
  <c r="AN111" i="3564"/>
  <c r="AG112" i="3564"/>
  <c r="AO111" i="3564"/>
  <c r="AH112" i="3564"/>
  <c r="AT111" i="3564"/>
  <c r="AM112" i="3564"/>
  <c r="AB110" i="3564"/>
  <c r="X111" i="3564"/>
  <c r="BN114" i="3564"/>
  <c r="BU113" i="3564"/>
  <c r="BE112" i="3564"/>
  <c r="BI111" i="3564"/>
  <c r="AC111" i="3564"/>
  <c r="Y112" i="3564"/>
  <c r="BD112" i="3564"/>
  <c r="BH111" i="3564"/>
  <c r="BO114" i="3564"/>
  <c r="BV113" i="3564"/>
  <c r="BQ114" i="3564"/>
  <c r="BX113" i="3564"/>
  <c r="AQ112" i="3564"/>
  <c r="AJ113" i="3564"/>
  <c r="AR111" i="3564"/>
  <c r="AK112" i="3564"/>
  <c r="BS116" i="3564"/>
  <c r="BZ115" i="3564"/>
  <c r="BT116" i="3564"/>
  <c r="CA115" i="3564"/>
  <c r="BW114" i="3564"/>
  <c r="BP115" i="3564"/>
  <c r="X112" i="3564" l="1"/>
  <c r="AB111" i="3564"/>
  <c r="BI112" i="3564"/>
  <c r="BE113" i="3564"/>
  <c r="BU114" i="3564"/>
  <c r="BN115" i="3564"/>
  <c r="AO112" i="3564"/>
  <c r="AH113" i="3564"/>
  <c r="AG113" i="3564"/>
  <c r="AN112" i="3564"/>
  <c r="AL113" i="3564"/>
  <c r="AS112" i="3564"/>
  <c r="AT112" i="3564"/>
  <c r="AM113" i="3564"/>
  <c r="Y113" i="3564"/>
  <c r="AC112" i="3564"/>
  <c r="AK113" i="3564"/>
  <c r="AR112" i="3564"/>
  <c r="AJ114" i="3564"/>
  <c r="AQ113" i="3564"/>
  <c r="AI113" i="3564"/>
  <c r="AP112" i="3564"/>
  <c r="BX114" i="3564"/>
  <c r="BQ115" i="3564"/>
  <c r="Z113" i="3564"/>
  <c r="AD112" i="3564"/>
  <c r="BO115" i="3564"/>
  <c r="BV114" i="3564"/>
  <c r="BR115" i="3564"/>
  <c r="BY114" i="3564"/>
  <c r="BD113" i="3564"/>
  <c r="BH112" i="3564"/>
  <c r="BF113" i="3564"/>
  <c r="BJ112" i="3564"/>
  <c r="CA116" i="3564"/>
  <c r="BT117" i="3564"/>
  <c r="BW115" i="3564"/>
  <c r="BP116" i="3564"/>
  <c r="BS117" i="3564"/>
  <c r="BZ116" i="3564"/>
  <c r="AP113" i="3564" l="1"/>
  <c r="AI114" i="3564"/>
  <c r="AR113" i="3564"/>
  <c r="AK114" i="3564"/>
  <c r="BQ116" i="3564"/>
  <c r="BX115" i="3564"/>
  <c r="Y114" i="3564"/>
  <c r="AC113" i="3564"/>
  <c r="BF114" i="3564"/>
  <c r="BJ113" i="3564"/>
  <c r="AT113" i="3564"/>
  <c r="AM114" i="3564"/>
  <c r="AS113" i="3564"/>
  <c r="AL114" i="3564"/>
  <c r="AN113" i="3564"/>
  <c r="AG114" i="3564"/>
  <c r="BN116" i="3564"/>
  <c r="BU115" i="3564"/>
  <c r="AQ114" i="3564"/>
  <c r="AJ115" i="3564"/>
  <c r="AH114" i="3564"/>
  <c r="AO113" i="3564"/>
  <c r="BH113" i="3564"/>
  <c r="BD114" i="3564"/>
  <c r="BR116" i="3564"/>
  <c r="BY115" i="3564"/>
  <c r="BE114" i="3564"/>
  <c r="BI113" i="3564"/>
  <c r="BO116" i="3564"/>
  <c r="BV115" i="3564"/>
  <c r="AD113" i="3564"/>
  <c r="Z114" i="3564"/>
  <c r="X113" i="3564"/>
  <c r="AB112" i="3564"/>
  <c r="BZ117" i="3564"/>
  <c r="BS118" i="3564"/>
  <c r="BW116" i="3564"/>
  <c r="BP117" i="3564"/>
  <c r="CA117" i="3564"/>
  <c r="BT118" i="3564"/>
  <c r="AQ115" i="3564" l="1"/>
  <c r="AJ116" i="3564"/>
  <c r="AL115" i="3564"/>
  <c r="AS114" i="3564"/>
  <c r="BH114" i="3564"/>
  <c r="BD115" i="3564"/>
  <c r="BU116" i="3564"/>
  <c r="BN117" i="3564"/>
  <c r="AM115" i="3564"/>
  <c r="AT114" i="3564"/>
  <c r="X114" i="3564"/>
  <c r="AB113" i="3564"/>
  <c r="BV116" i="3564"/>
  <c r="BO117" i="3564"/>
  <c r="BJ114" i="3564"/>
  <c r="BF115" i="3564"/>
  <c r="AC114" i="3564"/>
  <c r="Y115" i="3564"/>
  <c r="AK115" i="3564"/>
  <c r="AR114" i="3564"/>
  <c r="AO114" i="3564"/>
  <c r="AH115" i="3564"/>
  <c r="AG115" i="3564"/>
  <c r="AN114" i="3564"/>
  <c r="AD114" i="3564"/>
  <c r="Z115" i="3564"/>
  <c r="BX116" i="3564"/>
  <c r="BQ117" i="3564"/>
  <c r="BE115" i="3564"/>
  <c r="BI114" i="3564"/>
  <c r="AI115" i="3564"/>
  <c r="AP114" i="3564"/>
  <c r="BY116" i="3564"/>
  <c r="BR117" i="3564"/>
  <c r="BZ118" i="3564"/>
  <c r="BS119" i="3564"/>
  <c r="CA118" i="3564"/>
  <c r="BT119" i="3564"/>
  <c r="BP118" i="3564"/>
  <c r="BW117" i="3564"/>
  <c r="AG116" i="3564" l="1"/>
  <c r="AN115" i="3564"/>
  <c r="BJ115" i="3564"/>
  <c r="BF116" i="3564"/>
  <c r="AH116" i="3564"/>
  <c r="AO115" i="3564"/>
  <c r="AR115" i="3564"/>
  <c r="AK116" i="3564"/>
  <c r="BO118" i="3564"/>
  <c r="BV117" i="3564"/>
  <c r="BN118" i="3564"/>
  <c r="BU117" i="3564"/>
  <c r="Y116" i="3564"/>
  <c r="AC115" i="3564"/>
  <c r="BR118" i="3564"/>
  <c r="BY117" i="3564"/>
  <c r="AP115" i="3564"/>
  <c r="AI116" i="3564"/>
  <c r="AB114" i="3564"/>
  <c r="X115" i="3564"/>
  <c r="AT115" i="3564"/>
  <c r="AM116" i="3564"/>
  <c r="BD116" i="3564"/>
  <c r="BH115" i="3564"/>
  <c r="BI115" i="3564"/>
  <c r="BE116" i="3564"/>
  <c r="BX117" i="3564"/>
  <c r="BQ118" i="3564"/>
  <c r="AL116" i="3564"/>
  <c r="AS115" i="3564"/>
  <c r="AD115" i="3564"/>
  <c r="Z116" i="3564"/>
  <c r="AJ117" i="3564"/>
  <c r="AQ116" i="3564"/>
  <c r="BZ119" i="3564"/>
  <c r="BS120" i="3564"/>
  <c r="BP119" i="3564"/>
  <c r="BW118" i="3564"/>
  <c r="BT120" i="3564"/>
  <c r="CA119" i="3564"/>
  <c r="BR119" i="3564" l="1"/>
  <c r="BY118" i="3564"/>
  <c r="AB115" i="3564"/>
  <c r="X116" i="3564"/>
  <c r="BU118" i="3564"/>
  <c r="BN119" i="3564"/>
  <c r="BH116" i="3564"/>
  <c r="BD117" i="3564"/>
  <c r="AK117" i="3564"/>
  <c r="AR116" i="3564"/>
  <c r="AT116" i="3564"/>
  <c r="AM117" i="3564"/>
  <c r="AI117" i="3564"/>
  <c r="AP116" i="3564"/>
  <c r="AJ118" i="3564"/>
  <c r="AQ117" i="3564"/>
  <c r="AD116" i="3564"/>
  <c r="Z117" i="3564"/>
  <c r="AO116" i="3564"/>
  <c r="AH117" i="3564"/>
  <c r="AC116" i="3564"/>
  <c r="Y117" i="3564"/>
  <c r="BO119" i="3564"/>
  <c r="BV118" i="3564"/>
  <c r="AS116" i="3564"/>
  <c r="AL117" i="3564"/>
  <c r="BQ119" i="3564"/>
  <c r="BX118" i="3564"/>
  <c r="BF117" i="3564"/>
  <c r="BJ116" i="3564"/>
  <c r="BI116" i="3564"/>
  <c r="BE117" i="3564"/>
  <c r="AG117" i="3564"/>
  <c r="AN116" i="3564"/>
  <c r="BS121" i="3564"/>
  <c r="BZ120" i="3564"/>
  <c r="BT121" i="3564"/>
  <c r="CA120" i="3564"/>
  <c r="BP120" i="3564"/>
  <c r="BW119" i="3564"/>
  <c r="BV119" i="3564" l="1"/>
  <c r="BO120" i="3564"/>
  <c r="AD117" i="3564"/>
  <c r="Z118" i="3564"/>
  <c r="AP117" i="3564"/>
  <c r="AI118" i="3564"/>
  <c r="AO117" i="3564"/>
  <c r="AH118" i="3564"/>
  <c r="AK118" i="3564"/>
  <c r="AR117" i="3564"/>
  <c r="AQ118" i="3564"/>
  <c r="AJ119" i="3564"/>
  <c r="BI117" i="3564"/>
  <c r="BE118" i="3564"/>
  <c r="BN120" i="3564"/>
  <c r="BU119" i="3564"/>
  <c r="AC117" i="3564"/>
  <c r="Y118" i="3564"/>
  <c r="AM118" i="3564"/>
  <c r="AT117" i="3564"/>
  <c r="AN117" i="3564"/>
  <c r="AG118" i="3564"/>
  <c r="BD118" i="3564"/>
  <c r="BH117" i="3564"/>
  <c r="BJ117" i="3564"/>
  <c r="BF118" i="3564"/>
  <c r="AB116" i="3564"/>
  <c r="X117" i="3564"/>
  <c r="BX119" i="3564"/>
  <c r="BQ120" i="3564"/>
  <c r="AL118" i="3564"/>
  <c r="AS117" i="3564"/>
  <c r="BY119" i="3564"/>
  <c r="BR120" i="3564"/>
  <c r="BP121" i="3564"/>
  <c r="BW120" i="3564"/>
  <c r="CA121" i="3564"/>
  <c r="BT122" i="3564"/>
  <c r="BZ121" i="3564"/>
  <c r="BS122" i="3564"/>
  <c r="BD119" i="3564" l="1"/>
  <c r="BH118" i="3564"/>
  <c r="AC118" i="3564"/>
  <c r="Y119" i="3564"/>
  <c r="AG119" i="3564"/>
  <c r="AN118" i="3564"/>
  <c r="BI118" i="3564"/>
  <c r="BE119" i="3564"/>
  <c r="BY120" i="3564"/>
  <c r="BR121" i="3564"/>
  <c r="AR118" i="3564"/>
  <c r="AK119" i="3564"/>
  <c r="BQ121" i="3564"/>
  <c r="BX120" i="3564"/>
  <c r="AM119" i="3564"/>
  <c r="AT118" i="3564"/>
  <c r="BU120" i="3564"/>
  <c r="BN121" i="3564"/>
  <c r="AJ120" i="3564"/>
  <c r="AQ119" i="3564"/>
  <c r="AH119" i="3564"/>
  <c r="AO118" i="3564"/>
  <c r="AL119" i="3564"/>
  <c r="AS118" i="3564"/>
  <c r="AP118" i="3564"/>
  <c r="AI119" i="3564"/>
  <c r="X118" i="3564"/>
  <c r="AB117" i="3564"/>
  <c r="Z119" i="3564"/>
  <c r="AD118" i="3564"/>
  <c r="BJ118" i="3564"/>
  <c r="BF119" i="3564"/>
  <c r="BV120" i="3564"/>
  <c r="BO121" i="3564"/>
  <c r="BS123" i="3564"/>
  <c r="BZ122" i="3564"/>
  <c r="BT123" i="3564"/>
  <c r="CA122" i="3564"/>
  <c r="BP122" i="3564"/>
  <c r="BW121" i="3564"/>
  <c r="AL120" i="3564" l="1"/>
  <c r="AS119" i="3564"/>
  <c r="BY121" i="3564"/>
  <c r="BR122" i="3564"/>
  <c r="AT119" i="3564"/>
  <c r="AM120" i="3564"/>
  <c r="BI119" i="3564"/>
  <c r="BE120" i="3564"/>
  <c r="AJ121" i="3564"/>
  <c r="AQ120" i="3564"/>
  <c r="AR119" i="3564"/>
  <c r="AK120" i="3564"/>
  <c r="AG120" i="3564"/>
  <c r="AN119" i="3564"/>
  <c r="AO119" i="3564"/>
  <c r="AH120" i="3564"/>
  <c r="BN122" i="3564"/>
  <c r="BU121" i="3564"/>
  <c r="BX121" i="3564"/>
  <c r="BQ122" i="3564"/>
  <c r="BO122" i="3564"/>
  <c r="BV121" i="3564"/>
  <c r="BJ119" i="3564"/>
  <c r="BF120" i="3564"/>
  <c r="Z120" i="3564"/>
  <c r="AD119" i="3564"/>
  <c r="AC119" i="3564"/>
  <c r="Y120" i="3564"/>
  <c r="X119" i="3564"/>
  <c r="AB118" i="3564"/>
  <c r="AI120" i="3564"/>
  <c r="AP119" i="3564"/>
  <c r="BD120" i="3564"/>
  <c r="BH119" i="3564"/>
  <c r="BT124" i="3564"/>
  <c r="CA123" i="3564"/>
  <c r="BP123" i="3564"/>
  <c r="BW122" i="3564"/>
  <c r="BS124" i="3564"/>
  <c r="BZ123" i="3564"/>
  <c r="BV122" i="3564" l="1"/>
  <c r="BO123" i="3564"/>
  <c r="BF121" i="3564"/>
  <c r="BJ120" i="3564"/>
  <c r="BX122" i="3564"/>
  <c r="BQ123" i="3564"/>
  <c r="BN123" i="3564"/>
  <c r="BU122" i="3564"/>
  <c r="BD121" i="3564"/>
  <c r="BH120" i="3564"/>
  <c r="AT120" i="3564"/>
  <c r="AM121" i="3564"/>
  <c r="AH121" i="3564"/>
  <c r="AO120" i="3564"/>
  <c r="AN120" i="3564"/>
  <c r="AG121" i="3564"/>
  <c r="BE121" i="3564"/>
  <c r="BI120" i="3564"/>
  <c r="AR120" i="3564"/>
  <c r="AK121" i="3564"/>
  <c r="AQ121" i="3564"/>
  <c r="AJ122" i="3564"/>
  <c r="AP120" i="3564"/>
  <c r="AI121" i="3564"/>
  <c r="AB119" i="3564"/>
  <c r="X120" i="3564"/>
  <c r="AC120" i="3564"/>
  <c r="Y121" i="3564"/>
  <c r="BY122" i="3564"/>
  <c r="BR123" i="3564"/>
  <c r="Z121" i="3564"/>
  <c r="AD120" i="3564"/>
  <c r="AS120" i="3564"/>
  <c r="AL121" i="3564"/>
  <c r="BT125" i="3564"/>
  <c r="CA124" i="3564"/>
  <c r="BS125" i="3564"/>
  <c r="BZ124" i="3564"/>
  <c r="BW123" i="3564"/>
  <c r="BP124" i="3564"/>
  <c r="AI122" i="3564" l="1"/>
  <c r="AP121" i="3564"/>
  <c r="AR121" i="3564"/>
  <c r="AK122" i="3564"/>
  <c r="BI121" i="3564"/>
  <c r="BE122" i="3564"/>
  <c r="AM122" i="3564"/>
  <c r="AT121" i="3564"/>
  <c r="BD122" i="3564"/>
  <c r="BH121" i="3564"/>
  <c r="Z122" i="3564"/>
  <c r="AD121" i="3564"/>
  <c r="BX123" i="3564"/>
  <c r="BQ124" i="3564"/>
  <c r="AB120" i="3564"/>
  <c r="X121" i="3564"/>
  <c r="AJ123" i="3564"/>
  <c r="AQ122" i="3564"/>
  <c r="AN121" i="3564"/>
  <c r="AG122" i="3564"/>
  <c r="AH122" i="3564"/>
  <c r="AO121" i="3564"/>
  <c r="AS121" i="3564"/>
  <c r="AL122" i="3564"/>
  <c r="BN124" i="3564"/>
  <c r="BU123" i="3564"/>
  <c r="BY123" i="3564"/>
  <c r="BR124" i="3564"/>
  <c r="Y122" i="3564"/>
  <c r="AC121" i="3564"/>
  <c r="BF122" i="3564"/>
  <c r="BJ121" i="3564"/>
  <c r="BO124" i="3564"/>
  <c r="BV123" i="3564"/>
  <c r="BP125" i="3564"/>
  <c r="BW124" i="3564"/>
  <c r="BS126" i="3564"/>
  <c r="BZ125" i="3564"/>
  <c r="CA125" i="3564"/>
  <c r="BT126" i="3564"/>
  <c r="AL123" i="3564" l="1"/>
  <c r="AS122" i="3564"/>
  <c r="BX124" i="3564"/>
  <c r="BQ125" i="3564"/>
  <c r="AJ124" i="3564"/>
  <c r="AQ123" i="3564"/>
  <c r="AM123" i="3564"/>
  <c r="AT122" i="3564"/>
  <c r="AH123" i="3564"/>
  <c r="AO122" i="3564"/>
  <c r="X122" i="3564"/>
  <c r="AB121" i="3564"/>
  <c r="AD122" i="3564"/>
  <c r="Z123" i="3564"/>
  <c r="BO125" i="3564"/>
  <c r="BV124" i="3564"/>
  <c r="BI122" i="3564"/>
  <c r="BE123" i="3564"/>
  <c r="BR125" i="3564"/>
  <c r="BY124" i="3564"/>
  <c r="AG123" i="3564"/>
  <c r="AN122" i="3564"/>
  <c r="BH122" i="3564"/>
  <c r="BD123" i="3564"/>
  <c r="BJ122" i="3564"/>
  <c r="BF123" i="3564"/>
  <c r="AC122" i="3564"/>
  <c r="Y123" i="3564"/>
  <c r="AK123" i="3564"/>
  <c r="AR122" i="3564"/>
  <c r="BU124" i="3564"/>
  <c r="BN125" i="3564"/>
  <c r="AP122" i="3564"/>
  <c r="AI123" i="3564"/>
  <c r="BT127" i="3564"/>
  <c r="CA126" i="3564"/>
  <c r="BS127" i="3564"/>
  <c r="BZ126" i="3564"/>
  <c r="BW125" i="3564"/>
  <c r="BP126" i="3564"/>
  <c r="BD124" i="3564" l="1"/>
  <c r="BH123" i="3564"/>
  <c r="BR126" i="3564"/>
  <c r="BY125" i="3564"/>
  <c r="BV125" i="3564"/>
  <c r="BO126" i="3564"/>
  <c r="AP123" i="3564"/>
  <c r="AI124" i="3564"/>
  <c r="BE124" i="3564"/>
  <c r="BI123" i="3564"/>
  <c r="Z124" i="3564"/>
  <c r="AD123" i="3564"/>
  <c r="AB122" i="3564"/>
  <c r="X123" i="3564"/>
  <c r="AO123" i="3564"/>
  <c r="AH124" i="3564"/>
  <c r="AM124" i="3564"/>
  <c r="AT123" i="3564"/>
  <c r="AN123" i="3564"/>
  <c r="AG124" i="3564"/>
  <c r="BN126" i="3564"/>
  <c r="BU125" i="3564"/>
  <c r="AK124" i="3564"/>
  <c r="AR123" i="3564"/>
  <c r="AQ124" i="3564"/>
  <c r="AJ125" i="3564"/>
  <c r="Y124" i="3564"/>
  <c r="AC123" i="3564"/>
  <c r="BQ126" i="3564"/>
  <c r="BX125" i="3564"/>
  <c r="BJ123" i="3564"/>
  <c r="BF124" i="3564"/>
  <c r="AL124" i="3564"/>
  <c r="AS123" i="3564"/>
  <c r="BS128" i="3564"/>
  <c r="BZ127" i="3564"/>
  <c r="BW126" i="3564"/>
  <c r="BP127" i="3564"/>
  <c r="CA127" i="3564"/>
  <c r="BT128" i="3564"/>
  <c r="AB123" i="3564" l="1"/>
  <c r="X124" i="3564"/>
  <c r="AG125" i="3564"/>
  <c r="AN124" i="3564"/>
  <c r="AS124" i="3564"/>
  <c r="AL125" i="3564"/>
  <c r="BN127" i="3564"/>
  <c r="BU126" i="3564"/>
  <c r="AT124" i="3564"/>
  <c r="AM125" i="3564"/>
  <c r="AP124" i="3564"/>
  <c r="AI125" i="3564"/>
  <c r="AK125" i="3564"/>
  <c r="AR124" i="3564"/>
  <c r="AD124" i="3564"/>
  <c r="Z125" i="3564"/>
  <c r="BX126" i="3564"/>
  <c r="BQ127" i="3564"/>
  <c r="AO124" i="3564"/>
  <c r="AH125" i="3564"/>
  <c r="BI124" i="3564"/>
  <c r="BE125" i="3564"/>
  <c r="BF125" i="3564"/>
  <c r="BJ124" i="3564"/>
  <c r="BO127" i="3564"/>
  <c r="BV126" i="3564"/>
  <c r="AC124" i="3564"/>
  <c r="Y125" i="3564"/>
  <c r="BY126" i="3564"/>
  <c r="BR127" i="3564"/>
  <c r="AQ125" i="3564"/>
  <c r="AJ126" i="3564"/>
  <c r="BH124" i="3564"/>
  <c r="BD125" i="3564"/>
  <c r="BW127" i="3564"/>
  <c r="BP128" i="3564"/>
  <c r="BS129" i="3564"/>
  <c r="BZ128" i="3564"/>
  <c r="CA128" i="3564"/>
  <c r="BT129" i="3564"/>
  <c r="AO125" i="3564" l="1"/>
  <c r="AH126" i="3564"/>
  <c r="BQ128" i="3564"/>
  <c r="BX127" i="3564"/>
  <c r="AT125" i="3564"/>
  <c r="AM126" i="3564"/>
  <c r="AR125" i="3564"/>
  <c r="AK126" i="3564"/>
  <c r="BF126" i="3564"/>
  <c r="BJ125" i="3564"/>
  <c r="AI126" i="3564"/>
  <c r="AP125" i="3564"/>
  <c r="BH125" i="3564"/>
  <c r="BD126" i="3564"/>
  <c r="AQ126" i="3564"/>
  <c r="AJ127" i="3564"/>
  <c r="BY127" i="3564"/>
  <c r="BR128" i="3564"/>
  <c r="BE126" i="3564"/>
  <c r="BI125" i="3564"/>
  <c r="AD125" i="3564"/>
  <c r="Z126" i="3564"/>
  <c r="BN128" i="3564"/>
  <c r="BU127" i="3564"/>
  <c r="AL126" i="3564"/>
  <c r="AS125" i="3564"/>
  <c r="Y126" i="3564"/>
  <c r="AC125" i="3564"/>
  <c r="AG126" i="3564"/>
  <c r="AN125" i="3564"/>
  <c r="AB124" i="3564"/>
  <c r="X125" i="3564"/>
  <c r="BV127" i="3564"/>
  <c r="BO128" i="3564"/>
  <c r="CA129" i="3564"/>
  <c r="BT130" i="3564"/>
  <c r="BZ129" i="3564"/>
  <c r="BS130" i="3564"/>
  <c r="BW128" i="3564"/>
  <c r="BP129" i="3564"/>
  <c r="AJ128" i="3564" l="1"/>
  <c r="AQ127" i="3564"/>
  <c r="AD126" i="3564"/>
  <c r="Z127" i="3564"/>
  <c r="BE127" i="3564"/>
  <c r="BI126" i="3564"/>
  <c r="BY128" i="3564"/>
  <c r="BR129" i="3564"/>
  <c r="BD127" i="3564"/>
  <c r="BH126" i="3564"/>
  <c r="AI127" i="3564"/>
  <c r="AP126" i="3564"/>
  <c r="BF127" i="3564"/>
  <c r="BJ126" i="3564"/>
  <c r="AB125" i="3564"/>
  <c r="X126" i="3564"/>
  <c r="AG127" i="3564"/>
  <c r="AN126" i="3564"/>
  <c r="BU128" i="3564"/>
  <c r="BN129" i="3564"/>
  <c r="BV128" i="3564"/>
  <c r="BO129" i="3564"/>
  <c r="AK127" i="3564"/>
  <c r="AR126" i="3564"/>
  <c r="AT126" i="3564"/>
  <c r="AM127" i="3564"/>
  <c r="AC126" i="3564"/>
  <c r="Y127" i="3564"/>
  <c r="BQ129" i="3564"/>
  <c r="BX128" i="3564"/>
  <c r="AO126" i="3564"/>
  <c r="AH127" i="3564"/>
  <c r="AL127" i="3564"/>
  <c r="AS126" i="3564"/>
  <c r="BZ130" i="3564"/>
  <c r="BS131" i="3564"/>
  <c r="BP130" i="3564"/>
  <c r="BW129" i="3564"/>
  <c r="CA130" i="3564"/>
  <c r="BT131" i="3564"/>
  <c r="BV129" i="3564" l="1"/>
  <c r="BO130" i="3564"/>
  <c r="AB126" i="3564"/>
  <c r="X127" i="3564"/>
  <c r="AK128" i="3564"/>
  <c r="AR127" i="3564"/>
  <c r="BN130" i="3564"/>
  <c r="BU129" i="3564"/>
  <c r="AN127" i="3564"/>
  <c r="AG128" i="3564"/>
  <c r="AI128" i="3564"/>
  <c r="AP127" i="3564"/>
  <c r="BY129" i="3564"/>
  <c r="BR130" i="3564"/>
  <c r="BF128" i="3564"/>
  <c r="BJ127" i="3564"/>
  <c r="BD128" i="3564"/>
  <c r="BH127" i="3564"/>
  <c r="BE128" i="3564"/>
  <c r="BI127" i="3564"/>
  <c r="AS127" i="3564"/>
  <c r="AL128" i="3564"/>
  <c r="AH128" i="3564"/>
  <c r="AO127" i="3564"/>
  <c r="BX129" i="3564"/>
  <c r="BQ130" i="3564"/>
  <c r="Y128" i="3564"/>
  <c r="AC127" i="3564"/>
  <c r="Z128" i="3564"/>
  <c r="AD127" i="3564"/>
  <c r="AM128" i="3564"/>
  <c r="AT127" i="3564"/>
  <c r="AJ129" i="3564"/>
  <c r="AQ128" i="3564"/>
  <c r="BT132" i="3564"/>
  <c r="CA131" i="3564"/>
  <c r="BP131" i="3564"/>
  <c r="BW130" i="3564"/>
  <c r="BS132" i="3564"/>
  <c r="BZ131" i="3564"/>
  <c r="AH129" i="3564" l="1"/>
  <c r="AO128" i="3564"/>
  <c r="BH128" i="3564"/>
  <c r="BD129" i="3564"/>
  <c r="BR131" i="3564"/>
  <c r="BY130" i="3564"/>
  <c r="AG129" i="3564"/>
  <c r="AN128" i="3564"/>
  <c r="AS128" i="3564"/>
  <c r="AL129" i="3564"/>
  <c r="BE129" i="3564"/>
  <c r="BI128" i="3564"/>
  <c r="BJ128" i="3564"/>
  <c r="BF129" i="3564"/>
  <c r="AI129" i="3564"/>
  <c r="AP128" i="3564"/>
  <c r="AJ130" i="3564"/>
  <c r="AQ129" i="3564"/>
  <c r="BU130" i="3564"/>
  <c r="BN131" i="3564"/>
  <c r="Z129" i="3564"/>
  <c r="AD128" i="3564"/>
  <c r="BQ131" i="3564"/>
  <c r="BX130" i="3564"/>
  <c r="AM129" i="3564"/>
  <c r="AT128" i="3564"/>
  <c r="AK129" i="3564"/>
  <c r="AR128" i="3564"/>
  <c r="AB127" i="3564"/>
  <c r="X128" i="3564"/>
  <c r="Y129" i="3564"/>
  <c r="AC128" i="3564"/>
  <c r="BV130" i="3564"/>
  <c r="BO131" i="3564"/>
  <c r="BS133" i="3564"/>
  <c r="BZ132" i="3564"/>
  <c r="BP132" i="3564"/>
  <c r="BW131" i="3564"/>
  <c r="BT133" i="3564"/>
  <c r="CA132" i="3564"/>
  <c r="BU131" i="3564" l="1"/>
  <c r="BN132" i="3564"/>
  <c r="AP129" i="3564"/>
  <c r="AI130" i="3564"/>
  <c r="BX131" i="3564"/>
  <c r="BQ132" i="3564"/>
  <c r="AJ131" i="3564"/>
  <c r="AQ130" i="3564"/>
  <c r="AL130" i="3564"/>
  <c r="AS129" i="3564"/>
  <c r="AD129" i="3564"/>
  <c r="Z130" i="3564"/>
  <c r="BJ129" i="3564"/>
  <c r="BF130" i="3564"/>
  <c r="BO132" i="3564"/>
  <c r="BV131" i="3564"/>
  <c r="AN129" i="3564"/>
  <c r="AG130" i="3564"/>
  <c r="BR132" i="3564"/>
  <c r="BY131" i="3564"/>
  <c r="BI129" i="3564"/>
  <c r="BE130" i="3564"/>
  <c r="Y130" i="3564"/>
  <c r="AC129" i="3564"/>
  <c r="X129" i="3564"/>
  <c r="AB128" i="3564"/>
  <c r="BH129" i="3564"/>
  <c r="BD130" i="3564"/>
  <c r="AK130" i="3564"/>
  <c r="AR129" i="3564"/>
  <c r="AM130" i="3564"/>
  <c r="AT129" i="3564"/>
  <c r="AO129" i="3564"/>
  <c r="AH130" i="3564"/>
  <c r="BP133" i="3564"/>
  <c r="BW132" i="3564"/>
  <c r="BS134" i="3564"/>
  <c r="BZ133" i="3564"/>
  <c r="CA133" i="3564"/>
  <c r="BT134" i="3564"/>
  <c r="BE131" i="3564" l="1"/>
  <c r="BI130" i="3564"/>
  <c r="BO133" i="3564"/>
  <c r="BV132" i="3564"/>
  <c r="BY132" i="3564"/>
  <c r="BR133" i="3564"/>
  <c r="BJ130" i="3564"/>
  <c r="BF131" i="3564"/>
  <c r="AN130" i="3564"/>
  <c r="AG131" i="3564"/>
  <c r="Z131" i="3564"/>
  <c r="AD130" i="3564"/>
  <c r="BQ133" i="3564"/>
  <c r="BX132" i="3564"/>
  <c r="AC130" i="3564"/>
  <c r="Y131" i="3564"/>
  <c r="AH131" i="3564"/>
  <c r="AO130" i="3564"/>
  <c r="AJ132" i="3564"/>
  <c r="AQ131" i="3564"/>
  <c r="BD131" i="3564"/>
  <c r="BH130" i="3564"/>
  <c r="AS130" i="3564"/>
  <c r="AL131" i="3564"/>
  <c r="AM131" i="3564"/>
  <c r="AT130" i="3564"/>
  <c r="AK131" i="3564"/>
  <c r="AR130" i="3564"/>
  <c r="AP130" i="3564"/>
  <c r="AI131" i="3564"/>
  <c r="BU132" i="3564"/>
  <c r="BN133" i="3564"/>
  <c r="X130" i="3564"/>
  <c r="AB129" i="3564"/>
  <c r="BT135" i="3564"/>
  <c r="CA134" i="3564"/>
  <c r="BS135" i="3564"/>
  <c r="BZ134" i="3564"/>
  <c r="BW133" i="3564"/>
  <c r="BP134" i="3564"/>
  <c r="AS131" i="3564" l="1"/>
  <c r="AL132" i="3564"/>
  <c r="AO131" i="3564"/>
  <c r="AH132" i="3564"/>
  <c r="BH131" i="3564"/>
  <c r="BD132" i="3564"/>
  <c r="X131" i="3564"/>
  <c r="AB130" i="3564"/>
  <c r="AI132" i="3564"/>
  <c r="AP131" i="3564"/>
  <c r="AQ132" i="3564"/>
  <c r="AJ133" i="3564"/>
  <c r="AC131" i="3564"/>
  <c r="Y132" i="3564"/>
  <c r="AG132" i="3564"/>
  <c r="AN131" i="3564"/>
  <c r="BJ131" i="3564"/>
  <c r="BF132" i="3564"/>
  <c r="BQ134" i="3564"/>
  <c r="BX133" i="3564"/>
  <c r="Z132" i="3564"/>
  <c r="AD131" i="3564"/>
  <c r="BU133" i="3564"/>
  <c r="BN134" i="3564"/>
  <c r="BY133" i="3564"/>
  <c r="BR134" i="3564"/>
  <c r="AK132" i="3564"/>
  <c r="AR131" i="3564"/>
  <c r="BO134" i="3564"/>
  <c r="BV133" i="3564"/>
  <c r="AM132" i="3564"/>
  <c r="AT131" i="3564"/>
  <c r="BI131" i="3564"/>
  <c r="BE132" i="3564"/>
  <c r="BS136" i="3564"/>
  <c r="BZ135" i="3564"/>
  <c r="BP135" i="3564"/>
  <c r="BW134" i="3564"/>
  <c r="CA135" i="3564"/>
  <c r="BT136" i="3564"/>
  <c r="BN135" i="3564" l="1"/>
  <c r="BU134" i="3564"/>
  <c r="AC132" i="3564"/>
  <c r="Y133" i="3564"/>
  <c r="BF133" i="3564"/>
  <c r="BJ132" i="3564"/>
  <c r="AG133" i="3564"/>
  <c r="AN132" i="3564"/>
  <c r="AQ133" i="3564"/>
  <c r="AJ134" i="3564"/>
  <c r="BE133" i="3564"/>
  <c r="BI132" i="3564"/>
  <c r="BH132" i="3564"/>
  <c r="BD133" i="3564"/>
  <c r="BX134" i="3564"/>
  <c r="BQ135" i="3564"/>
  <c r="AB131" i="3564"/>
  <c r="X132" i="3564"/>
  <c r="BY134" i="3564"/>
  <c r="BR135" i="3564"/>
  <c r="AD132" i="3564"/>
  <c r="Z133" i="3564"/>
  <c r="AP132" i="3564"/>
  <c r="AI133" i="3564"/>
  <c r="AM133" i="3564"/>
  <c r="AT132" i="3564"/>
  <c r="BO135" i="3564"/>
  <c r="BV134" i="3564"/>
  <c r="AH133" i="3564"/>
  <c r="AO132" i="3564"/>
  <c r="AR132" i="3564"/>
  <c r="AK133" i="3564"/>
  <c r="AL133" i="3564"/>
  <c r="AS132" i="3564"/>
  <c r="BS137" i="3564"/>
  <c r="BZ136" i="3564"/>
  <c r="CA136" i="3564"/>
  <c r="BT137" i="3564"/>
  <c r="BP136" i="3564"/>
  <c r="BW135" i="3564"/>
  <c r="BY135" i="3564" l="1"/>
  <c r="BR136" i="3564"/>
  <c r="AP133" i="3564"/>
  <c r="AI134" i="3564"/>
  <c r="BH133" i="3564"/>
  <c r="BD134" i="3564"/>
  <c r="Z134" i="3564"/>
  <c r="AD133" i="3564"/>
  <c r="AJ135" i="3564"/>
  <c r="AQ134" i="3564"/>
  <c r="X133" i="3564"/>
  <c r="AB132" i="3564"/>
  <c r="BQ136" i="3564"/>
  <c r="BX135" i="3564"/>
  <c r="BE134" i="3564"/>
  <c r="BI133" i="3564"/>
  <c r="AK134" i="3564"/>
  <c r="AR133" i="3564"/>
  <c r="AC133" i="3564"/>
  <c r="Y134" i="3564"/>
  <c r="AL134" i="3564"/>
  <c r="AS133" i="3564"/>
  <c r="AN133" i="3564"/>
  <c r="AG134" i="3564"/>
  <c r="AO133" i="3564"/>
  <c r="AH134" i="3564"/>
  <c r="BF134" i="3564"/>
  <c r="BJ133" i="3564"/>
  <c r="BV135" i="3564"/>
  <c r="BO136" i="3564"/>
  <c r="AM134" i="3564"/>
  <c r="AT133" i="3564"/>
  <c r="BU135" i="3564"/>
  <c r="BN136" i="3564"/>
  <c r="BT138" i="3564"/>
  <c r="CA137" i="3564"/>
  <c r="BS138" i="3564"/>
  <c r="BZ137" i="3564"/>
  <c r="BP137" i="3564"/>
  <c r="BW136" i="3564"/>
  <c r="AL135" i="3564" l="1"/>
  <c r="AS134" i="3564"/>
  <c r="AK135" i="3564"/>
  <c r="AR134" i="3564"/>
  <c r="AC134" i="3564"/>
  <c r="Y135" i="3564"/>
  <c r="AG135" i="3564"/>
  <c r="AN134" i="3564"/>
  <c r="BX136" i="3564"/>
  <c r="BQ137" i="3564"/>
  <c r="BU136" i="3564"/>
  <c r="BN137" i="3564"/>
  <c r="BO137" i="3564"/>
  <c r="BV136" i="3564"/>
  <c r="BI134" i="3564"/>
  <c r="BE135" i="3564"/>
  <c r="X134" i="3564"/>
  <c r="AB133" i="3564"/>
  <c r="AJ136" i="3564"/>
  <c r="AQ135" i="3564"/>
  <c r="AT134" i="3564"/>
  <c r="AM135" i="3564"/>
  <c r="BD135" i="3564"/>
  <c r="BH134" i="3564"/>
  <c r="AD134" i="3564"/>
  <c r="Z135" i="3564"/>
  <c r="AP134" i="3564"/>
  <c r="AI135" i="3564"/>
  <c r="BF135" i="3564"/>
  <c r="BJ134" i="3564"/>
  <c r="AO134" i="3564"/>
  <c r="AH135" i="3564"/>
  <c r="BR137" i="3564"/>
  <c r="BY136" i="3564"/>
  <c r="BZ138" i="3564"/>
  <c r="BS139" i="3564"/>
  <c r="BW137" i="3564"/>
  <c r="BP138" i="3564"/>
  <c r="BT139" i="3564"/>
  <c r="CA138" i="3564"/>
  <c r="BH135" i="3564" l="1"/>
  <c r="BD136" i="3564"/>
  <c r="AQ136" i="3564"/>
  <c r="AJ137" i="3564"/>
  <c r="BE136" i="3564"/>
  <c r="BI135" i="3564"/>
  <c r="BQ138" i="3564"/>
  <c r="BX137" i="3564"/>
  <c r="AB134" i="3564"/>
  <c r="X135" i="3564"/>
  <c r="BU137" i="3564"/>
  <c r="BN138" i="3564"/>
  <c r="AC135" i="3564"/>
  <c r="Y136" i="3564"/>
  <c r="AM136" i="3564"/>
  <c r="AT135" i="3564"/>
  <c r="BO138" i="3564"/>
  <c r="BV137" i="3564"/>
  <c r="BY137" i="3564"/>
  <c r="BR138" i="3564"/>
  <c r="AN135" i="3564"/>
  <c r="AG136" i="3564"/>
  <c r="AH136" i="3564"/>
  <c r="AO135" i="3564"/>
  <c r="BJ135" i="3564"/>
  <c r="BF136" i="3564"/>
  <c r="AP135" i="3564"/>
  <c r="AI136" i="3564"/>
  <c r="AK136" i="3564"/>
  <c r="AR135" i="3564"/>
  <c r="Z136" i="3564"/>
  <c r="AD135" i="3564"/>
  <c r="AL136" i="3564"/>
  <c r="AS135" i="3564"/>
  <c r="BW138" i="3564"/>
  <c r="BP139" i="3564"/>
  <c r="BS140" i="3564"/>
  <c r="BZ139" i="3564"/>
  <c r="CA139" i="3564"/>
  <c r="BT140" i="3564"/>
  <c r="AG137" i="3564" l="1"/>
  <c r="AN136" i="3564"/>
  <c r="BO139" i="3564"/>
  <c r="BV138" i="3564"/>
  <c r="AO136" i="3564"/>
  <c r="AH137" i="3564"/>
  <c r="Y137" i="3564"/>
  <c r="AC136" i="3564"/>
  <c r="AS136" i="3564"/>
  <c r="AL137" i="3564"/>
  <c r="AT136" i="3564"/>
  <c r="AM137" i="3564"/>
  <c r="AD136" i="3564"/>
  <c r="Z137" i="3564"/>
  <c r="AR136" i="3564"/>
  <c r="AK137" i="3564"/>
  <c r="BI136" i="3564"/>
  <c r="BE137" i="3564"/>
  <c r="BF137" i="3564"/>
  <c r="BJ136" i="3564"/>
  <c r="BY138" i="3564"/>
  <c r="BR139" i="3564"/>
  <c r="BU138" i="3564"/>
  <c r="BN139" i="3564"/>
  <c r="X136" i="3564"/>
  <c r="AB135" i="3564"/>
  <c r="BX138" i="3564"/>
  <c r="BQ139" i="3564"/>
  <c r="AP136" i="3564"/>
  <c r="AI137" i="3564"/>
  <c r="AQ137" i="3564"/>
  <c r="AJ138" i="3564"/>
  <c r="BH136" i="3564"/>
  <c r="BD137" i="3564"/>
  <c r="CA140" i="3564"/>
  <c r="BT141" i="3564"/>
  <c r="BW139" i="3564"/>
  <c r="BP140" i="3564"/>
  <c r="BS141" i="3564"/>
  <c r="BZ140" i="3564"/>
  <c r="BR140" i="3564" l="1"/>
  <c r="BY139" i="3564"/>
  <c r="BF138" i="3564"/>
  <c r="BJ137" i="3564"/>
  <c r="AK138" i="3564"/>
  <c r="AR137" i="3564"/>
  <c r="AJ139" i="3564"/>
  <c r="AQ138" i="3564"/>
  <c r="BE138" i="3564"/>
  <c r="BI137" i="3564"/>
  <c r="Z138" i="3564"/>
  <c r="AD137" i="3564"/>
  <c r="AT137" i="3564"/>
  <c r="AM138" i="3564"/>
  <c r="AL138" i="3564"/>
  <c r="AS137" i="3564"/>
  <c r="AP137" i="3564"/>
  <c r="AI138" i="3564"/>
  <c r="BN140" i="3564"/>
  <c r="BU139" i="3564"/>
  <c r="BH137" i="3564"/>
  <c r="BD138" i="3564"/>
  <c r="AC137" i="3564"/>
  <c r="Y138" i="3564"/>
  <c r="AH138" i="3564"/>
  <c r="AO137" i="3564"/>
  <c r="BQ140" i="3564"/>
  <c r="BX139" i="3564"/>
  <c r="BV139" i="3564"/>
  <c r="BO140" i="3564"/>
  <c r="AB136" i="3564"/>
  <c r="X137" i="3564"/>
  <c r="AG138" i="3564"/>
  <c r="AN137" i="3564"/>
  <c r="BZ141" i="3564"/>
  <c r="BS142" i="3564"/>
  <c r="BW140" i="3564"/>
  <c r="BP141" i="3564"/>
  <c r="CA141" i="3564"/>
  <c r="BT142" i="3564"/>
  <c r="BN141" i="3564" l="1"/>
  <c r="BU140" i="3564"/>
  <c r="BH138" i="3564"/>
  <c r="BD139" i="3564"/>
  <c r="AS138" i="3564"/>
  <c r="AL139" i="3564"/>
  <c r="AP138" i="3564"/>
  <c r="AI139" i="3564"/>
  <c r="AM139" i="3564"/>
  <c r="AT138" i="3564"/>
  <c r="Z139" i="3564"/>
  <c r="AD138" i="3564"/>
  <c r="BE139" i="3564"/>
  <c r="BI138" i="3564"/>
  <c r="AN138" i="3564"/>
  <c r="AG139" i="3564"/>
  <c r="AB137" i="3564"/>
  <c r="X138" i="3564"/>
  <c r="AR138" i="3564"/>
  <c r="AK139" i="3564"/>
  <c r="AC138" i="3564"/>
  <c r="Y139" i="3564"/>
  <c r="AJ140" i="3564"/>
  <c r="AQ139" i="3564"/>
  <c r="BV140" i="3564"/>
  <c r="BO141" i="3564"/>
  <c r="BQ141" i="3564"/>
  <c r="BX140" i="3564"/>
  <c r="BJ138" i="3564"/>
  <c r="BF139" i="3564"/>
  <c r="AO138" i="3564"/>
  <c r="AH139" i="3564"/>
  <c r="BY140" i="3564"/>
  <c r="BR141" i="3564"/>
  <c r="BP142" i="3564"/>
  <c r="BW141" i="3564"/>
  <c r="CA142" i="3564"/>
  <c r="BT143" i="3564"/>
  <c r="BS143" i="3564"/>
  <c r="BZ142" i="3564"/>
  <c r="AJ141" i="3564" l="1"/>
  <c r="AQ140" i="3564"/>
  <c r="AC139" i="3564"/>
  <c r="Y140" i="3564"/>
  <c r="AK140" i="3564"/>
  <c r="AR139" i="3564"/>
  <c r="AI140" i="3564"/>
  <c r="AP139" i="3564"/>
  <c r="AB138" i="3564"/>
  <c r="X139" i="3564"/>
  <c r="AG140" i="3564"/>
  <c r="AN139" i="3564"/>
  <c r="BE140" i="3564"/>
  <c r="BI139" i="3564"/>
  <c r="BY141" i="3564"/>
  <c r="BR142" i="3564"/>
  <c r="AH140" i="3564"/>
  <c r="AO139" i="3564"/>
  <c r="AS139" i="3564"/>
  <c r="AL140" i="3564"/>
  <c r="Z140" i="3564"/>
  <c r="AD139" i="3564"/>
  <c r="AT139" i="3564"/>
  <c r="AM140" i="3564"/>
  <c r="BJ139" i="3564"/>
  <c r="BF140" i="3564"/>
  <c r="BH139" i="3564"/>
  <c r="BD140" i="3564"/>
  <c r="BQ142" i="3564"/>
  <c r="BX141" i="3564"/>
  <c r="BO142" i="3564"/>
  <c r="BV141" i="3564"/>
  <c r="BU141" i="3564"/>
  <c r="BN142" i="3564"/>
  <c r="BP143" i="3564"/>
  <c r="BW142" i="3564"/>
  <c r="BT144" i="3564"/>
  <c r="CA143" i="3564"/>
  <c r="BZ143" i="3564"/>
  <c r="BS144" i="3564"/>
  <c r="AD140" i="3564" l="1"/>
  <c r="Z141" i="3564"/>
  <c r="AM141" i="3564"/>
  <c r="AT140" i="3564"/>
  <c r="AL141" i="3564"/>
  <c r="AS140" i="3564"/>
  <c r="AG141" i="3564"/>
  <c r="AN140" i="3564"/>
  <c r="AO140" i="3564"/>
  <c r="AH141" i="3564"/>
  <c r="AB139" i="3564"/>
  <c r="X140" i="3564"/>
  <c r="AP140" i="3564"/>
  <c r="AI141" i="3564"/>
  <c r="BE141" i="3564"/>
  <c r="BI140" i="3564"/>
  <c r="BH140" i="3564"/>
  <c r="BD141" i="3564"/>
  <c r="BY142" i="3564"/>
  <c r="BR143" i="3564"/>
  <c r="BU142" i="3564"/>
  <c r="BN143" i="3564"/>
  <c r="BO143" i="3564"/>
  <c r="BV142" i="3564"/>
  <c r="BQ143" i="3564"/>
  <c r="BX142" i="3564"/>
  <c r="AK141" i="3564"/>
  <c r="AR140" i="3564"/>
  <c r="Y141" i="3564"/>
  <c r="AC140" i="3564"/>
  <c r="BJ140" i="3564"/>
  <c r="BF141" i="3564"/>
  <c r="AQ141" i="3564"/>
  <c r="AJ142" i="3564"/>
  <c r="BP144" i="3564"/>
  <c r="BW143" i="3564"/>
  <c r="BS145" i="3564"/>
  <c r="BZ144" i="3564"/>
  <c r="BT145" i="3564"/>
  <c r="CA144" i="3564"/>
  <c r="BN144" i="3564" l="1"/>
  <c r="BU143" i="3564"/>
  <c r="BD142" i="3564"/>
  <c r="BH141" i="3564"/>
  <c r="BI141" i="3564"/>
  <c r="BE142" i="3564"/>
  <c r="AO141" i="3564"/>
  <c r="AH142" i="3564"/>
  <c r="BY143" i="3564"/>
  <c r="BR144" i="3564"/>
  <c r="BJ141" i="3564"/>
  <c r="BF142" i="3564"/>
  <c r="AS141" i="3564"/>
  <c r="AL142" i="3564"/>
  <c r="BV143" i="3564"/>
  <c r="BO144" i="3564"/>
  <c r="AI142" i="3564"/>
  <c r="AP141" i="3564"/>
  <c r="X141" i="3564"/>
  <c r="AB140" i="3564"/>
  <c r="AJ143" i="3564"/>
  <c r="AQ142" i="3564"/>
  <c r="AN141" i="3564"/>
  <c r="AG142" i="3564"/>
  <c r="Y142" i="3564"/>
  <c r="AC141" i="3564"/>
  <c r="AR141" i="3564"/>
  <c r="AK142" i="3564"/>
  <c r="AM142" i="3564"/>
  <c r="AT141" i="3564"/>
  <c r="Z142" i="3564"/>
  <c r="AD141" i="3564"/>
  <c r="BQ144" i="3564"/>
  <c r="BX143" i="3564"/>
  <c r="BT146" i="3564"/>
  <c r="CA145" i="3564"/>
  <c r="BZ145" i="3564"/>
  <c r="BS146" i="3564"/>
  <c r="BP145" i="3564"/>
  <c r="BW144" i="3564"/>
  <c r="X142" i="3564" l="1"/>
  <c r="AB141" i="3564"/>
  <c r="AN142" i="3564"/>
  <c r="AG143" i="3564"/>
  <c r="AI143" i="3564"/>
  <c r="AP142" i="3564"/>
  <c r="AQ143" i="3564"/>
  <c r="AJ144" i="3564"/>
  <c r="BO145" i="3564"/>
  <c r="BV144" i="3564"/>
  <c r="BQ145" i="3564"/>
  <c r="BX144" i="3564"/>
  <c r="BE143" i="3564"/>
  <c r="BI142" i="3564"/>
  <c r="Z143" i="3564"/>
  <c r="AD142" i="3564"/>
  <c r="AT142" i="3564"/>
  <c r="AM143" i="3564"/>
  <c r="AL143" i="3564"/>
  <c r="AS142" i="3564"/>
  <c r="BF143" i="3564"/>
  <c r="BJ142" i="3564"/>
  <c r="BY144" i="3564"/>
  <c r="BR145" i="3564"/>
  <c r="AO142" i="3564"/>
  <c r="AH143" i="3564"/>
  <c r="AK143" i="3564"/>
  <c r="AR142" i="3564"/>
  <c r="BD143" i="3564"/>
  <c r="BH142" i="3564"/>
  <c r="Y143" i="3564"/>
  <c r="AC142" i="3564"/>
  <c r="BN145" i="3564"/>
  <c r="BU144" i="3564"/>
  <c r="BT147" i="3564"/>
  <c r="CA146" i="3564"/>
  <c r="BP146" i="3564"/>
  <c r="BW145" i="3564"/>
  <c r="BS147" i="3564"/>
  <c r="BZ146" i="3564"/>
  <c r="BR146" i="3564" l="1"/>
  <c r="BY145" i="3564"/>
  <c r="AT143" i="3564"/>
  <c r="AM144" i="3564"/>
  <c r="AL144" i="3564"/>
  <c r="AS143" i="3564"/>
  <c r="BE144" i="3564"/>
  <c r="BI143" i="3564"/>
  <c r="BF144" i="3564"/>
  <c r="BJ143" i="3564"/>
  <c r="BX145" i="3564"/>
  <c r="BQ146" i="3564"/>
  <c r="AJ145" i="3564"/>
  <c r="AQ144" i="3564"/>
  <c r="AD143" i="3564"/>
  <c r="Z144" i="3564"/>
  <c r="BO146" i="3564"/>
  <c r="BV145" i="3564"/>
  <c r="AC143" i="3564"/>
  <c r="Y144" i="3564"/>
  <c r="AI144" i="3564"/>
  <c r="AP143" i="3564"/>
  <c r="BU145" i="3564"/>
  <c r="BN146" i="3564"/>
  <c r="BD144" i="3564"/>
  <c r="BH143" i="3564"/>
  <c r="AN143" i="3564"/>
  <c r="AG144" i="3564"/>
  <c r="AK144" i="3564"/>
  <c r="AR143" i="3564"/>
  <c r="AO143" i="3564"/>
  <c r="AH144" i="3564"/>
  <c r="AB142" i="3564"/>
  <c r="X143" i="3564"/>
  <c r="BS148" i="3564"/>
  <c r="BZ147" i="3564"/>
  <c r="BW146" i="3564"/>
  <c r="BP147" i="3564"/>
  <c r="BT148" i="3564"/>
  <c r="CA147" i="3564"/>
  <c r="AI145" i="3564" l="1"/>
  <c r="AP144" i="3564"/>
  <c r="Z145" i="3564"/>
  <c r="AD144" i="3564"/>
  <c r="AH145" i="3564"/>
  <c r="AO144" i="3564"/>
  <c r="AC144" i="3564"/>
  <c r="Y145" i="3564"/>
  <c r="AJ146" i="3564"/>
  <c r="AQ145" i="3564"/>
  <c r="BJ144" i="3564"/>
  <c r="BF145" i="3564"/>
  <c r="AK145" i="3564"/>
  <c r="AR144" i="3564"/>
  <c r="BU146" i="3564"/>
  <c r="BN147" i="3564"/>
  <c r="BO147" i="3564"/>
  <c r="BV146" i="3564"/>
  <c r="BX146" i="3564"/>
  <c r="BQ147" i="3564"/>
  <c r="X144" i="3564"/>
  <c r="AB143" i="3564"/>
  <c r="BE145" i="3564"/>
  <c r="BI144" i="3564"/>
  <c r="AS144" i="3564"/>
  <c r="AL145" i="3564"/>
  <c r="AG145" i="3564"/>
  <c r="AN144" i="3564"/>
  <c r="AT144" i="3564"/>
  <c r="AM145" i="3564"/>
  <c r="BD145" i="3564"/>
  <c r="BH144" i="3564"/>
  <c r="BY146" i="3564"/>
  <c r="BR147" i="3564"/>
  <c r="CA148" i="3564"/>
  <c r="BT149" i="3564"/>
  <c r="BP148" i="3564"/>
  <c r="BW147" i="3564"/>
  <c r="BS149" i="3564"/>
  <c r="BZ148" i="3564"/>
  <c r="AB144" i="3564" l="1"/>
  <c r="X145" i="3564"/>
  <c r="BI145" i="3564"/>
  <c r="BE146" i="3564"/>
  <c r="BQ148" i="3564"/>
  <c r="BX147" i="3564"/>
  <c r="BV147" i="3564"/>
  <c r="BO148" i="3564"/>
  <c r="BF146" i="3564"/>
  <c r="BJ145" i="3564"/>
  <c r="AM146" i="3564"/>
  <c r="AT145" i="3564"/>
  <c r="BN148" i="3564"/>
  <c r="BU147" i="3564"/>
  <c r="BY147" i="3564"/>
  <c r="BR148" i="3564"/>
  <c r="BH145" i="3564"/>
  <c r="BD146" i="3564"/>
  <c r="AK146" i="3564"/>
  <c r="AR145" i="3564"/>
  <c r="AJ147" i="3564"/>
  <c r="AQ146" i="3564"/>
  <c r="AC145" i="3564"/>
  <c r="Y146" i="3564"/>
  <c r="AH146" i="3564"/>
  <c r="AO145" i="3564"/>
  <c r="AG146" i="3564"/>
  <c r="AN145" i="3564"/>
  <c r="Z146" i="3564"/>
  <c r="AD145" i="3564"/>
  <c r="AS145" i="3564"/>
  <c r="AL146" i="3564"/>
  <c r="AP145" i="3564"/>
  <c r="AI146" i="3564"/>
  <c r="BS150" i="3564"/>
  <c r="BZ149" i="3564"/>
  <c r="BP149" i="3564"/>
  <c r="BW148" i="3564"/>
  <c r="BT150" i="3564"/>
  <c r="CA149" i="3564"/>
  <c r="AC146" i="3564" l="1"/>
  <c r="Y147" i="3564"/>
  <c r="AQ147" i="3564"/>
  <c r="AJ148" i="3564"/>
  <c r="BN149" i="3564"/>
  <c r="BU148" i="3564"/>
  <c r="AR146" i="3564"/>
  <c r="AK147" i="3564"/>
  <c r="AT146" i="3564"/>
  <c r="AM147" i="3564"/>
  <c r="BJ146" i="3564"/>
  <c r="BF147" i="3564"/>
  <c r="AN146" i="3564"/>
  <c r="AG147" i="3564"/>
  <c r="BR149" i="3564"/>
  <c r="BY148" i="3564"/>
  <c r="AP146" i="3564"/>
  <c r="AI147" i="3564"/>
  <c r="AL147" i="3564"/>
  <c r="AS146" i="3564"/>
  <c r="AD146" i="3564"/>
  <c r="Z147" i="3564"/>
  <c r="X146" i="3564"/>
  <c r="AB145" i="3564"/>
  <c r="BD147" i="3564"/>
  <c r="BH146" i="3564"/>
  <c r="BO149" i="3564"/>
  <c r="BV148" i="3564"/>
  <c r="BQ149" i="3564"/>
  <c r="BX148" i="3564"/>
  <c r="BE147" i="3564"/>
  <c r="BI146" i="3564"/>
  <c r="AH147" i="3564"/>
  <c r="AO146" i="3564"/>
  <c r="BT151" i="3564"/>
  <c r="CA150" i="3564"/>
  <c r="BW149" i="3564"/>
  <c r="BP150" i="3564"/>
  <c r="BS151" i="3564"/>
  <c r="BZ150" i="3564"/>
  <c r="AB146" i="3564" l="1"/>
  <c r="X147" i="3564"/>
  <c r="AL148" i="3564"/>
  <c r="AS147" i="3564"/>
  <c r="BR150" i="3564"/>
  <c r="BY149" i="3564"/>
  <c r="AT147" i="3564"/>
  <c r="AM148" i="3564"/>
  <c r="AI148" i="3564"/>
  <c r="AP147" i="3564"/>
  <c r="BJ147" i="3564"/>
  <c r="BF148" i="3564"/>
  <c r="BX149" i="3564"/>
  <c r="BQ150" i="3564"/>
  <c r="AD147" i="3564"/>
  <c r="Z148" i="3564"/>
  <c r="AN147" i="3564"/>
  <c r="AG148" i="3564"/>
  <c r="AH148" i="3564"/>
  <c r="AO147" i="3564"/>
  <c r="BI147" i="3564"/>
  <c r="BE148" i="3564"/>
  <c r="BN150" i="3564"/>
  <c r="BU149" i="3564"/>
  <c r="AC147" i="3564"/>
  <c r="Y148" i="3564"/>
  <c r="AR147" i="3564"/>
  <c r="AK148" i="3564"/>
  <c r="AQ148" i="3564"/>
  <c r="AJ149" i="3564"/>
  <c r="BV149" i="3564"/>
  <c r="BO150" i="3564"/>
  <c r="BH147" i="3564"/>
  <c r="BD148" i="3564"/>
  <c r="BS152" i="3564"/>
  <c r="BZ151" i="3564"/>
  <c r="BP151" i="3564"/>
  <c r="BW150" i="3564"/>
  <c r="CA151" i="3564"/>
  <c r="BT152" i="3564"/>
  <c r="BU150" i="3564" l="1"/>
  <c r="BN151" i="3564"/>
  <c r="Z149" i="3564"/>
  <c r="AD148" i="3564"/>
  <c r="AG149" i="3564"/>
  <c r="AN148" i="3564"/>
  <c r="AI149" i="3564"/>
  <c r="AP148" i="3564"/>
  <c r="AQ149" i="3564"/>
  <c r="AJ150" i="3564"/>
  <c r="AH149" i="3564"/>
  <c r="AO148" i="3564"/>
  <c r="BF149" i="3564"/>
  <c r="BJ148" i="3564"/>
  <c r="BD149" i="3564"/>
  <c r="BH148" i="3564"/>
  <c r="AM149" i="3564"/>
  <c r="AT148" i="3564"/>
  <c r="BI148" i="3564"/>
  <c r="BE149" i="3564"/>
  <c r="BX150" i="3564"/>
  <c r="BQ151" i="3564"/>
  <c r="BV150" i="3564"/>
  <c r="BO151" i="3564"/>
  <c r="BR151" i="3564"/>
  <c r="BY150" i="3564"/>
  <c r="AR148" i="3564"/>
  <c r="AK149" i="3564"/>
  <c r="AS148" i="3564"/>
  <c r="AL149" i="3564"/>
  <c r="Y149" i="3564"/>
  <c r="AC148" i="3564"/>
  <c r="AB147" i="3564"/>
  <c r="X148" i="3564"/>
  <c r="BT153" i="3564"/>
  <c r="CA152" i="3564"/>
  <c r="BW151" i="3564"/>
  <c r="BP152" i="3564"/>
  <c r="BS153" i="3564"/>
  <c r="BZ152" i="3564"/>
  <c r="BE150" i="3564" l="1"/>
  <c r="BI149" i="3564"/>
  <c r="AM150" i="3564"/>
  <c r="AT149" i="3564"/>
  <c r="BQ152" i="3564"/>
  <c r="BX151" i="3564"/>
  <c r="BD150" i="3564"/>
  <c r="BH149" i="3564"/>
  <c r="AJ151" i="3564"/>
  <c r="AQ150" i="3564"/>
  <c r="AS149" i="3564"/>
  <c r="AL150" i="3564"/>
  <c r="BO152" i="3564"/>
  <c r="BV151" i="3564"/>
  <c r="AO149" i="3564"/>
  <c r="AH150" i="3564"/>
  <c r="AC149" i="3564"/>
  <c r="Y150" i="3564"/>
  <c r="BJ149" i="3564"/>
  <c r="BF150" i="3564"/>
  <c r="AB148" i="3564"/>
  <c r="X149" i="3564"/>
  <c r="AP149" i="3564"/>
  <c r="AI150" i="3564"/>
  <c r="AG150" i="3564"/>
  <c r="AN149" i="3564"/>
  <c r="AK150" i="3564"/>
  <c r="AR149" i="3564"/>
  <c r="Z150" i="3564"/>
  <c r="AD149" i="3564"/>
  <c r="BN152" i="3564"/>
  <c r="BU151" i="3564"/>
  <c r="BY151" i="3564"/>
  <c r="BR152" i="3564"/>
  <c r="BS154" i="3564"/>
  <c r="BZ153" i="3564"/>
  <c r="BW152" i="3564"/>
  <c r="BP153" i="3564"/>
  <c r="BT154" i="3564"/>
  <c r="CA153" i="3564"/>
  <c r="X150" i="3564" l="1"/>
  <c r="AB149" i="3564"/>
  <c r="Y151" i="3564"/>
  <c r="AC150" i="3564"/>
  <c r="BR153" i="3564"/>
  <c r="BY152" i="3564"/>
  <c r="AH151" i="3564"/>
  <c r="AO150" i="3564"/>
  <c r="BO153" i="3564"/>
  <c r="BV152" i="3564"/>
  <c r="AJ152" i="3564"/>
  <c r="AQ151" i="3564"/>
  <c r="BH150" i="3564"/>
  <c r="BD151" i="3564"/>
  <c r="Z151" i="3564"/>
  <c r="AD150" i="3564"/>
  <c r="AP150" i="3564"/>
  <c r="AI151" i="3564"/>
  <c r="BF151" i="3564"/>
  <c r="BJ150" i="3564"/>
  <c r="AL151" i="3564"/>
  <c r="AS150" i="3564"/>
  <c r="BN153" i="3564"/>
  <c r="BU152" i="3564"/>
  <c r="BQ153" i="3564"/>
  <c r="BX152" i="3564"/>
  <c r="AK151" i="3564"/>
  <c r="AR150" i="3564"/>
  <c r="AM151" i="3564"/>
  <c r="AT150" i="3564"/>
  <c r="AG151" i="3564"/>
  <c r="AN150" i="3564"/>
  <c r="BE151" i="3564"/>
  <c r="BI150" i="3564"/>
  <c r="BZ154" i="3564"/>
  <c r="BS155" i="3564"/>
  <c r="BW153" i="3564"/>
  <c r="BP154" i="3564"/>
  <c r="CA154" i="3564"/>
  <c r="BT155" i="3564"/>
  <c r="AS151" i="3564" l="1"/>
  <c r="AL152" i="3564"/>
  <c r="Z152" i="3564"/>
  <c r="AD151" i="3564"/>
  <c r="AI152" i="3564"/>
  <c r="AP151" i="3564"/>
  <c r="BD152" i="3564"/>
  <c r="BH151" i="3564"/>
  <c r="BU153" i="3564"/>
  <c r="BN154" i="3564"/>
  <c r="BF152" i="3564"/>
  <c r="BJ151" i="3564"/>
  <c r="BE152" i="3564"/>
  <c r="BI151" i="3564"/>
  <c r="AH152" i="3564"/>
  <c r="AO151" i="3564"/>
  <c r="BY153" i="3564"/>
  <c r="BR154" i="3564"/>
  <c r="AJ153" i="3564"/>
  <c r="AQ152" i="3564"/>
  <c r="BV153" i="3564"/>
  <c r="BO154" i="3564"/>
  <c r="AN151" i="3564"/>
  <c r="AG152" i="3564"/>
  <c r="AT151" i="3564"/>
  <c r="AM152" i="3564"/>
  <c r="AK152" i="3564"/>
  <c r="AR151" i="3564"/>
  <c r="AC151" i="3564"/>
  <c r="Y152" i="3564"/>
  <c r="BQ154" i="3564"/>
  <c r="BX153" i="3564"/>
  <c r="AB150" i="3564"/>
  <c r="X151" i="3564"/>
  <c r="BP155" i="3564"/>
  <c r="BW154" i="3564"/>
  <c r="BZ155" i="3564"/>
  <c r="BS156" i="3564"/>
  <c r="CA155" i="3564"/>
  <c r="BT156" i="3564"/>
  <c r="AJ154" i="3564" l="1"/>
  <c r="AQ153" i="3564"/>
  <c r="BV154" i="3564"/>
  <c r="BO155" i="3564"/>
  <c r="BU154" i="3564"/>
  <c r="BN155" i="3564"/>
  <c r="BI152" i="3564"/>
  <c r="BE153" i="3564"/>
  <c r="BJ152" i="3564"/>
  <c r="BF153" i="3564"/>
  <c r="BQ155" i="3564"/>
  <c r="BX154" i="3564"/>
  <c r="AI153" i="3564"/>
  <c r="AP152" i="3564"/>
  <c r="AM153" i="3564"/>
  <c r="AT152" i="3564"/>
  <c r="AG153" i="3564"/>
  <c r="AN152" i="3564"/>
  <c r="BR155" i="3564"/>
  <c r="BY154" i="3564"/>
  <c r="AH153" i="3564"/>
  <c r="AO152" i="3564"/>
  <c r="AB151" i="3564"/>
  <c r="X152" i="3564"/>
  <c r="BH152" i="3564"/>
  <c r="BD153" i="3564"/>
  <c r="AC152" i="3564"/>
  <c r="Y153" i="3564"/>
  <c r="AK153" i="3564"/>
  <c r="AR152" i="3564"/>
  <c r="AD152" i="3564"/>
  <c r="Z153" i="3564"/>
  <c r="AL153" i="3564"/>
  <c r="AS152" i="3564"/>
  <c r="BT157" i="3564"/>
  <c r="CA156" i="3564"/>
  <c r="BZ156" i="3564"/>
  <c r="BS157" i="3564"/>
  <c r="BP156" i="3564"/>
  <c r="BW155" i="3564"/>
  <c r="AB152" i="3564" l="1"/>
  <c r="X153" i="3564"/>
  <c r="BY155" i="3564"/>
  <c r="BR156" i="3564"/>
  <c r="BJ153" i="3564"/>
  <c r="BF154" i="3564"/>
  <c r="Z154" i="3564"/>
  <c r="AD153" i="3564"/>
  <c r="AT153" i="3564"/>
  <c r="AM154" i="3564"/>
  <c r="BU155" i="3564"/>
  <c r="BN156" i="3564"/>
  <c r="AH154" i="3564"/>
  <c r="AO153" i="3564"/>
  <c r="AN153" i="3564"/>
  <c r="AG154" i="3564"/>
  <c r="AI154" i="3564"/>
  <c r="AP153" i="3564"/>
  <c r="BX155" i="3564"/>
  <c r="BQ156" i="3564"/>
  <c r="AL154" i="3564"/>
  <c r="AS153" i="3564"/>
  <c r="BE154" i="3564"/>
  <c r="BI153" i="3564"/>
  <c r="AK154" i="3564"/>
  <c r="AR153" i="3564"/>
  <c r="Y154" i="3564"/>
  <c r="AC153" i="3564"/>
  <c r="BO156" i="3564"/>
  <c r="BV155" i="3564"/>
  <c r="BH153" i="3564"/>
  <c r="BD154" i="3564"/>
  <c r="AQ154" i="3564"/>
  <c r="AJ155" i="3564"/>
  <c r="BS158" i="3564"/>
  <c r="BZ157" i="3564"/>
  <c r="BT158" i="3564"/>
  <c r="CA157" i="3564"/>
  <c r="BP157" i="3564"/>
  <c r="BW156" i="3564"/>
  <c r="BI154" i="3564" l="1"/>
  <c r="BE155" i="3564"/>
  <c r="AL155" i="3564"/>
  <c r="AS154" i="3564"/>
  <c r="AO154" i="3564"/>
  <c r="AH155" i="3564"/>
  <c r="BQ157" i="3564"/>
  <c r="BX156" i="3564"/>
  <c r="AP154" i="3564"/>
  <c r="AI155" i="3564"/>
  <c r="AJ156" i="3564"/>
  <c r="AQ155" i="3564"/>
  <c r="BN157" i="3564"/>
  <c r="BU156" i="3564"/>
  <c r="BJ154" i="3564"/>
  <c r="BF155" i="3564"/>
  <c r="AN154" i="3564"/>
  <c r="AG155" i="3564"/>
  <c r="AM155" i="3564"/>
  <c r="AT154" i="3564"/>
  <c r="BD155" i="3564"/>
  <c r="BH154" i="3564"/>
  <c r="AD154" i="3564"/>
  <c r="Z155" i="3564"/>
  <c r="BO157" i="3564"/>
  <c r="BV156" i="3564"/>
  <c r="BY156" i="3564"/>
  <c r="BR157" i="3564"/>
  <c r="Y155" i="3564"/>
  <c r="AC154" i="3564"/>
  <c r="AB153" i="3564"/>
  <c r="X154" i="3564"/>
  <c r="AK155" i="3564"/>
  <c r="AR154" i="3564"/>
  <c r="BZ158" i="3564"/>
  <c r="BS159" i="3564"/>
  <c r="BP158" i="3564"/>
  <c r="BW157" i="3564"/>
  <c r="BT159" i="3564"/>
  <c r="CA158" i="3564"/>
  <c r="Z156" i="3564" l="1"/>
  <c r="AD155" i="3564"/>
  <c r="AG156" i="3564"/>
  <c r="AN155" i="3564"/>
  <c r="AQ156" i="3564"/>
  <c r="AJ157" i="3564"/>
  <c r="BH155" i="3564"/>
  <c r="BD156" i="3564"/>
  <c r="BU157" i="3564"/>
  <c r="BN158" i="3564"/>
  <c r="AP155" i="3564"/>
  <c r="AI156" i="3564"/>
  <c r="AB154" i="3564"/>
  <c r="X155" i="3564"/>
  <c r="AT155" i="3564"/>
  <c r="AM156" i="3564"/>
  <c r="BJ155" i="3564"/>
  <c r="BF156" i="3564"/>
  <c r="AR155" i="3564"/>
  <c r="AK156" i="3564"/>
  <c r="BQ158" i="3564"/>
  <c r="BX157" i="3564"/>
  <c r="Y156" i="3564"/>
  <c r="AC155" i="3564"/>
  <c r="AH156" i="3564"/>
  <c r="AO155" i="3564"/>
  <c r="BR158" i="3564"/>
  <c r="BY157" i="3564"/>
  <c r="AS155" i="3564"/>
  <c r="AL156" i="3564"/>
  <c r="BE156" i="3564"/>
  <c r="BI155" i="3564"/>
  <c r="BV157" i="3564"/>
  <c r="BO158" i="3564"/>
  <c r="BT160" i="3564"/>
  <c r="CA159" i="3564"/>
  <c r="BW158" i="3564"/>
  <c r="BP159" i="3564"/>
  <c r="BS160" i="3564"/>
  <c r="BZ159" i="3564"/>
  <c r="BF157" i="3564" l="1"/>
  <c r="BJ156" i="3564"/>
  <c r="BX158" i="3564"/>
  <c r="BQ159" i="3564"/>
  <c r="X156" i="3564"/>
  <c r="AB155" i="3564"/>
  <c r="AC156" i="3564"/>
  <c r="Y157" i="3564"/>
  <c r="AR156" i="3564"/>
  <c r="AK157" i="3564"/>
  <c r="BV158" i="3564"/>
  <c r="BO159" i="3564"/>
  <c r="BE157" i="3564"/>
  <c r="BI156" i="3564"/>
  <c r="AJ158" i="3564"/>
  <c r="AQ157" i="3564"/>
  <c r="AM157" i="3564"/>
  <c r="AT156" i="3564"/>
  <c r="AP156" i="3564"/>
  <c r="AI157" i="3564"/>
  <c r="BU158" i="3564"/>
  <c r="BN159" i="3564"/>
  <c r="BD157" i="3564"/>
  <c r="BH156" i="3564"/>
  <c r="AS156" i="3564"/>
  <c r="AL157" i="3564"/>
  <c r="BR159" i="3564"/>
  <c r="BY158" i="3564"/>
  <c r="AN156" i="3564"/>
  <c r="AG157" i="3564"/>
  <c r="AO156" i="3564"/>
  <c r="AH157" i="3564"/>
  <c r="AD156" i="3564"/>
  <c r="Z157" i="3564"/>
  <c r="BZ160" i="3564"/>
  <c r="BS161" i="3564"/>
  <c r="CA160" i="3564"/>
  <c r="BT161" i="3564"/>
  <c r="BP160" i="3564"/>
  <c r="BW159" i="3564"/>
  <c r="AI158" i="3564" l="1"/>
  <c r="AP157" i="3564"/>
  <c r="BH157" i="3564"/>
  <c r="BD158" i="3564"/>
  <c r="AQ158" i="3564"/>
  <c r="AJ159" i="3564"/>
  <c r="AT157" i="3564"/>
  <c r="AM158" i="3564"/>
  <c r="BN160" i="3564"/>
  <c r="BU159" i="3564"/>
  <c r="AG158" i="3564"/>
  <c r="AN157" i="3564"/>
  <c r="BE158" i="3564"/>
  <c r="BI157" i="3564"/>
  <c r="AK158" i="3564"/>
  <c r="AR157" i="3564"/>
  <c r="AC157" i="3564"/>
  <c r="Y158" i="3564"/>
  <c r="X157" i="3564"/>
  <c r="AB156" i="3564"/>
  <c r="BO160" i="3564"/>
  <c r="BV159" i="3564"/>
  <c r="AD157" i="3564"/>
  <c r="Z158" i="3564"/>
  <c r="AO157" i="3564"/>
  <c r="AH158" i="3564"/>
  <c r="BX159" i="3564"/>
  <c r="BQ160" i="3564"/>
  <c r="BR160" i="3564"/>
  <c r="BY159" i="3564"/>
  <c r="AL158" i="3564"/>
  <c r="AS157" i="3564"/>
  <c r="BJ157" i="3564"/>
  <c r="BF158" i="3564"/>
  <c r="BP161" i="3564"/>
  <c r="BW160" i="3564"/>
  <c r="CA161" i="3564"/>
  <c r="BT162" i="3564"/>
  <c r="BS162" i="3564"/>
  <c r="BZ161" i="3564"/>
  <c r="BO161" i="3564" l="1"/>
  <c r="BV160" i="3564"/>
  <c r="AB157" i="3564"/>
  <c r="X158" i="3564"/>
  <c r="AR158" i="3564"/>
  <c r="AK159" i="3564"/>
  <c r="Z159" i="3564"/>
  <c r="AD158" i="3564"/>
  <c r="BN161" i="3564"/>
  <c r="BU160" i="3564"/>
  <c r="AC158" i="3564"/>
  <c r="Y159" i="3564"/>
  <c r="BE159" i="3564"/>
  <c r="BI158" i="3564"/>
  <c r="AT158" i="3564"/>
  <c r="AM159" i="3564"/>
  <c r="AQ159" i="3564"/>
  <c r="AJ160" i="3564"/>
  <c r="AN158" i="3564"/>
  <c r="AG159" i="3564"/>
  <c r="BJ158" i="3564"/>
  <c r="BF159" i="3564"/>
  <c r="AS158" i="3564"/>
  <c r="AL159" i="3564"/>
  <c r="BY160" i="3564"/>
  <c r="BR161" i="3564"/>
  <c r="BX160" i="3564"/>
  <c r="BQ161" i="3564"/>
  <c r="BD159" i="3564"/>
  <c r="BH158" i="3564"/>
  <c r="AH159" i="3564"/>
  <c r="AO158" i="3564"/>
  <c r="AP158" i="3564"/>
  <c r="AI159" i="3564"/>
  <c r="CA162" i="3564"/>
  <c r="BT163" i="3564"/>
  <c r="BW161" i="3564"/>
  <c r="BP162" i="3564"/>
  <c r="BS163" i="3564"/>
  <c r="BZ162" i="3564"/>
  <c r="AN159" i="3564" l="1"/>
  <c r="AG160" i="3564"/>
  <c r="BU161" i="3564"/>
  <c r="BN162" i="3564"/>
  <c r="AS159" i="3564"/>
  <c r="AL160" i="3564"/>
  <c r="Y160" i="3564"/>
  <c r="AC159" i="3564"/>
  <c r="AH160" i="3564"/>
  <c r="AO159" i="3564"/>
  <c r="BI159" i="3564"/>
  <c r="BE160" i="3564"/>
  <c r="AP159" i="3564"/>
  <c r="AI160" i="3564"/>
  <c r="Z160" i="3564"/>
  <c r="AD159" i="3564"/>
  <c r="BF160" i="3564"/>
  <c r="BJ159" i="3564"/>
  <c r="AQ160" i="3564"/>
  <c r="AJ161" i="3564"/>
  <c r="AT159" i="3564"/>
  <c r="AM160" i="3564"/>
  <c r="AK160" i="3564"/>
  <c r="AR159" i="3564"/>
  <c r="BH159" i="3564"/>
  <c r="BD160" i="3564"/>
  <c r="BX161" i="3564"/>
  <c r="BQ162" i="3564"/>
  <c r="X159" i="3564"/>
  <c r="AB158" i="3564"/>
  <c r="BY161" i="3564"/>
  <c r="BR162" i="3564"/>
  <c r="BO162" i="3564"/>
  <c r="BV161" i="3564"/>
  <c r="BP163" i="3564"/>
  <c r="BW162" i="3564"/>
  <c r="BZ163" i="3564"/>
  <c r="BS164" i="3564"/>
  <c r="BT164" i="3564"/>
  <c r="CA163" i="3564"/>
  <c r="AK161" i="3564" l="1"/>
  <c r="AR160" i="3564"/>
  <c r="BJ160" i="3564"/>
  <c r="BF161" i="3564"/>
  <c r="Z161" i="3564"/>
  <c r="AD160" i="3564"/>
  <c r="BO163" i="3564"/>
  <c r="BV162" i="3564"/>
  <c r="AS160" i="3564"/>
  <c r="AL161" i="3564"/>
  <c r="AT160" i="3564"/>
  <c r="AM161" i="3564"/>
  <c r="AI161" i="3564"/>
  <c r="AP160" i="3564"/>
  <c r="BI160" i="3564"/>
  <c r="BE161" i="3564"/>
  <c r="AH161" i="3564"/>
  <c r="AO160" i="3564"/>
  <c r="AQ161" i="3564"/>
  <c r="AJ162" i="3564"/>
  <c r="BY162" i="3564"/>
  <c r="BR163" i="3564"/>
  <c r="Y161" i="3564"/>
  <c r="AC160" i="3564"/>
  <c r="X160" i="3564"/>
  <c r="AB159" i="3564"/>
  <c r="BX162" i="3564"/>
  <c r="BQ163" i="3564"/>
  <c r="BN163" i="3564"/>
  <c r="BU162" i="3564"/>
  <c r="BH160" i="3564"/>
  <c r="BD161" i="3564"/>
  <c r="AN160" i="3564"/>
  <c r="AG161" i="3564"/>
  <c r="BT165" i="3564"/>
  <c r="CA164" i="3564"/>
  <c r="BS165" i="3564"/>
  <c r="BZ164" i="3564"/>
  <c r="BW163" i="3564"/>
  <c r="BP164" i="3564"/>
  <c r="BE162" i="3564" l="1"/>
  <c r="BI161" i="3564"/>
  <c r="AL162" i="3564"/>
  <c r="AS161" i="3564"/>
  <c r="Y162" i="3564"/>
  <c r="AC161" i="3564"/>
  <c r="AH162" i="3564"/>
  <c r="AO161" i="3564"/>
  <c r="AT161" i="3564"/>
  <c r="AM162" i="3564"/>
  <c r="AG162" i="3564"/>
  <c r="AN161" i="3564"/>
  <c r="BR164" i="3564"/>
  <c r="BY163" i="3564"/>
  <c r="AI162" i="3564"/>
  <c r="AP161" i="3564"/>
  <c r="BD162" i="3564"/>
  <c r="BH161" i="3564"/>
  <c r="Z162" i="3564"/>
  <c r="AD161" i="3564"/>
  <c r="AJ163" i="3564"/>
  <c r="AQ162" i="3564"/>
  <c r="BO164" i="3564"/>
  <c r="BV163" i="3564"/>
  <c r="BU163" i="3564"/>
  <c r="BN164" i="3564"/>
  <c r="BX163" i="3564"/>
  <c r="BQ164" i="3564"/>
  <c r="BF162" i="3564"/>
  <c r="BJ161" i="3564"/>
  <c r="X161" i="3564"/>
  <c r="AB160" i="3564"/>
  <c r="AK162" i="3564"/>
  <c r="AR161" i="3564"/>
  <c r="BP165" i="3564"/>
  <c r="BW164" i="3564"/>
  <c r="BZ165" i="3564"/>
  <c r="BS166" i="3564"/>
  <c r="CA165" i="3564"/>
  <c r="BT166" i="3564"/>
  <c r="AQ163" i="3564" l="1"/>
  <c r="AJ164" i="3564"/>
  <c r="BV164" i="3564"/>
  <c r="BO165" i="3564"/>
  <c r="AP162" i="3564"/>
  <c r="AI163" i="3564"/>
  <c r="AM163" i="3564"/>
  <c r="AT162" i="3564"/>
  <c r="BD163" i="3564"/>
  <c r="BH162" i="3564"/>
  <c r="BR165" i="3564"/>
  <c r="BY164" i="3564"/>
  <c r="AG163" i="3564"/>
  <c r="AN162" i="3564"/>
  <c r="AK163" i="3564"/>
  <c r="AR162" i="3564"/>
  <c r="AH163" i="3564"/>
  <c r="AO162" i="3564"/>
  <c r="Y163" i="3564"/>
  <c r="AC162" i="3564"/>
  <c r="Z163" i="3564"/>
  <c r="AD162" i="3564"/>
  <c r="X162" i="3564"/>
  <c r="AB161" i="3564"/>
  <c r="BF163" i="3564"/>
  <c r="BJ162" i="3564"/>
  <c r="BX164" i="3564"/>
  <c r="BQ165" i="3564"/>
  <c r="AL163" i="3564"/>
  <c r="AS162" i="3564"/>
  <c r="BU164" i="3564"/>
  <c r="BN165" i="3564"/>
  <c r="BI162" i="3564"/>
  <c r="BE163" i="3564"/>
  <c r="BW165" i="3564"/>
  <c r="BP166" i="3564"/>
  <c r="BZ166" i="3564"/>
  <c r="BS167" i="3564"/>
  <c r="CA166" i="3564"/>
  <c r="BT167" i="3564"/>
  <c r="Z164" i="3564" l="1"/>
  <c r="AD163" i="3564"/>
  <c r="AK164" i="3564"/>
  <c r="AR163" i="3564"/>
  <c r="BY165" i="3564"/>
  <c r="BR166" i="3564"/>
  <c r="AB162" i="3564"/>
  <c r="X163" i="3564"/>
  <c r="AG164" i="3564"/>
  <c r="AN163" i="3564"/>
  <c r="BE164" i="3564"/>
  <c r="BI163" i="3564"/>
  <c r="AO163" i="3564"/>
  <c r="AH164" i="3564"/>
  <c r="BU165" i="3564"/>
  <c r="BN166" i="3564"/>
  <c r="AI164" i="3564"/>
  <c r="AP163" i="3564"/>
  <c r="BO166" i="3564"/>
  <c r="BV165" i="3564"/>
  <c r="Y164" i="3564"/>
  <c r="AC163" i="3564"/>
  <c r="BD164" i="3564"/>
  <c r="BH163" i="3564"/>
  <c r="AM164" i="3564"/>
  <c r="AT163" i="3564"/>
  <c r="AL164" i="3564"/>
  <c r="AS163" i="3564"/>
  <c r="BQ166" i="3564"/>
  <c r="BX165" i="3564"/>
  <c r="AQ164" i="3564"/>
  <c r="AJ165" i="3564"/>
  <c r="BF164" i="3564"/>
  <c r="BJ163" i="3564"/>
  <c r="BZ167" i="3564"/>
  <c r="BS168" i="3564"/>
  <c r="CA167" i="3564"/>
  <c r="BT168" i="3564"/>
  <c r="BP167" i="3564"/>
  <c r="BW166" i="3564"/>
  <c r="BD165" i="3564" l="1"/>
  <c r="BH164" i="3564"/>
  <c r="Y165" i="3564"/>
  <c r="AC164" i="3564"/>
  <c r="BN167" i="3564"/>
  <c r="BU166" i="3564"/>
  <c r="AO164" i="3564"/>
  <c r="AH165" i="3564"/>
  <c r="AN164" i="3564"/>
  <c r="AG165" i="3564"/>
  <c r="AP164" i="3564"/>
  <c r="AI165" i="3564"/>
  <c r="BE165" i="3564"/>
  <c r="BI164" i="3564"/>
  <c r="AB163" i="3564"/>
  <c r="X164" i="3564"/>
  <c r="BR167" i="3564"/>
  <c r="BY166" i="3564"/>
  <c r="BV166" i="3564"/>
  <c r="BO167" i="3564"/>
  <c r="BJ164" i="3564"/>
  <c r="BF165" i="3564"/>
  <c r="AQ165" i="3564"/>
  <c r="AJ166" i="3564"/>
  <c r="BX166" i="3564"/>
  <c r="BQ167" i="3564"/>
  <c r="AS164" i="3564"/>
  <c r="AL165" i="3564"/>
  <c r="AR164" i="3564"/>
  <c r="AK165" i="3564"/>
  <c r="AM165" i="3564"/>
  <c r="AT164" i="3564"/>
  <c r="Z165" i="3564"/>
  <c r="AD164" i="3564"/>
  <c r="BT169" i="3564"/>
  <c r="CA168" i="3564"/>
  <c r="BP168" i="3564"/>
  <c r="BW167" i="3564"/>
  <c r="BZ168" i="3564"/>
  <c r="BS169" i="3564"/>
  <c r="BV167" i="3564" l="1"/>
  <c r="BO168" i="3564"/>
  <c r="AJ167" i="3564"/>
  <c r="AQ166" i="3564"/>
  <c r="AN165" i="3564"/>
  <c r="AG166" i="3564"/>
  <c r="BJ165" i="3564"/>
  <c r="BF166" i="3564"/>
  <c r="BR168" i="3564"/>
  <c r="BY167" i="3564"/>
  <c r="BE166" i="3564"/>
  <c r="BI165" i="3564"/>
  <c r="AK166" i="3564"/>
  <c r="AR165" i="3564"/>
  <c r="X165" i="3564"/>
  <c r="AB164" i="3564"/>
  <c r="AI166" i="3564"/>
  <c r="AP165" i="3564"/>
  <c r="AT165" i="3564"/>
  <c r="AM166" i="3564"/>
  <c r="AS165" i="3564"/>
  <c r="AL166" i="3564"/>
  <c r="AD165" i="3564"/>
  <c r="Z166" i="3564"/>
  <c r="AH166" i="3564"/>
  <c r="AO165" i="3564"/>
  <c r="BU167" i="3564"/>
  <c r="BN168" i="3564"/>
  <c r="Y166" i="3564"/>
  <c r="AC165" i="3564"/>
  <c r="BX167" i="3564"/>
  <c r="BQ168" i="3564"/>
  <c r="BD166" i="3564"/>
  <c r="BH165" i="3564"/>
  <c r="BP169" i="3564"/>
  <c r="BW168" i="3564"/>
  <c r="BZ169" i="3564"/>
  <c r="BS170" i="3564"/>
  <c r="BT170" i="3564"/>
  <c r="CA169" i="3564"/>
  <c r="AT166" i="3564" l="1"/>
  <c r="AM167" i="3564"/>
  <c r="AS166" i="3564"/>
  <c r="AL167" i="3564"/>
  <c r="BH166" i="3564"/>
  <c r="BD167" i="3564"/>
  <c r="X166" i="3564"/>
  <c r="AB165" i="3564"/>
  <c r="BY168" i="3564"/>
  <c r="BR169" i="3564"/>
  <c r="AN166" i="3564"/>
  <c r="AG167" i="3564"/>
  <c r="BI166" i="3564"/>
  <c r="BE167" i="3564"/>
  <c r="BX168" i="3564"/>
  <c r="BQ169" i="3564"/>
  <c r="BO169" i="3564"/>
  <c r="BV168" i="3564"/>
  <c r="AD166" i="3564"/>
  <c r="Z167" i="3564"/>
  <c r="AP166" i="3564"/>
  <c r="AI167" i="3564"/>
  <c r="AK167" i="3564"/>
  <c r="AR166" i="3564"/>
  <c r="BJ166" i="3564"/>
  <c r="BF167" i="3564"/>
  <c r="AC166" i="3564"/>
  <c r="Y167" i="3564"/>
  <c r="BU168" i="3564"/>
  <c r="BN169" i="3564"/>
  <c r="AQ167" i="3564"/>
  <c r="AJ168" i="3564"/>
  <c r="AO166" i="3564"/>
  <c r="AH167" i="3564"/>
  <c r="BT171" i="3564"/>
  <c r="CA170" i="3564"/>
  <c r="BW169" i="3564"/>
  <c r="BP170" i="3564"/>
  <c r="BZ170" i="3564"/>
  <c r="BS171" i="3564"/>
  <c r="BV169" i="3564" l="1"/>
  <c r="BO170" i="3564"/>
  <c r="AK168" i="3564"/>
  <c r="AR167" i="3564"/>
  <c r="AD167" i="3564"/>
  <c r="Z168" i="3564"/>
  <c r="AG168" i="3564"/>
  <c r="AN167" i="3564"/>
  <c r="AH168" i="3564"/>
  <c r="AO167" i="3564"/>
  <c r="BD168" i="3564"/>
  <c r="BH167" i="3564"/>
  <c r="BQ170" i="3564"/>
  <c r="BX169" i="3564"/>
  <c r="BY169" i="3564"/>
  <c r="BR170" i="3564"/>
  <c r="X167" i="3564"/>
  <c r="AB166" i="3564"/>
  <c r="BJ167" i="3564"/>
  <c r="BF168" i="3564"/>
  <c r="AP167" i="3564"/>
  <c r="AI168" i="3564"/>
  <c r="BE168" i="3564"/>
  <c r="BI167" i="3564"/>
  <c r="AQ168" i="3564"/>
  <c r="AJ169" i="3564"/>
  <c r="BN170" i="3564"/>
  <c r="BU169" i="3564"/>
  <c r="Y168" i="3564"/>
  <c r="AC167" i="3564"/>
  <c r="AL168" i="3564"/>
  <c r="AS167" i="3564"/>
  <c r="AT167" i="3564"/>
  <c r="AM168" i="3564"/>
  <c r="BS172" i="3564"/>
  <c r="BZ171" i="3564"/>
  <c r="BW170" i="3564"/>
  <c r="BP171" i="3564"/>
  <c r="BT172" i="3564"/>
  <c r="CA171" i="3564"/>
  <c r="BY170" i="3564" l="1"/>
  <c r="BR171" i="3564"/>
  <c r="AP168" i="3564"/>
  <c r="AI169" i="3564"/>
  <c r="AO168" i="3564"/>
  <c r="AH169" i="3564"/>
  <c r="BF169" i="3564"/>
  <c r="BJ168" i="3564"/>
  <c r="BQ171" i="3564"/>
  <c r="BX170" i="3564"/>
  <c r="AT168" i="3564"/>
  <c r="AM169" i="3564"/>
  <c r="AG169" i="3564"/>
  <c r="AN168" i="3564"/>
  <c r="AC168" i="3564"/>
  <c r="Y169" i="3564"/>
  <c r="AK169" i="3564"/>
  <c r="AR168" i="3564"/>
  <c r="BE169" i="3564"/>
  <c r="BI168" i="3564"/>
  <c r="Z169" i="3564"/>
  <c r="AD168" i="3564"/>
  <c r="BU170" i="3564"/>
  <c r="BN171" i="3564"/>
  <c r="AJ170" i="3564"/>
  <c r="AQ169" i="3564"/>
  <c r="X168" i="3564"/>
  <c r="AB167" i="3564"/>
  <c r="BD169" i="3564"/>
  <c r="BH168" i="3564"/>
  <c r="AS168" i="3564"/>
  <c r="AL169" i="3564"/>
  <c r="BO171" i="3564"/>
  <c r="BV170" i="3564"/>
  <c r="BZ172" i="3564"/>
  <c r="BS173" i="3564"/>
  <c r="CA172" i="3564"/>
  <c r="BT173" i="3564"/>
  <c r="BP172" i="3564"/>
  <c r="BW171" i="3564"/>
  <c r="AD169" i="3564" l="1"/>
  <c r="Z170" i="3564"/>
  <c r="BE170" i="3564"/>
  <c r="BI169" i="3564"/>
  <c r="AC169" i="3564"/>
  <c r="Y170" i="3564"/>
  <c r="AN169" i="3564"/>
  <c r="AG170" i="3564"/>
  <c r="AL170" i="3564"/>
  <c r="AS169" i="3564"/>
  <c r="AT169" i="3564"/>
  <c r="AM170" i="3564"/>
  <c r="BO172" i="3564"/>
  <c r="BV171" i="3564"/>
  <c r="AO169" i="3564"/>
  <c r="AH170" i="3564"/>
  <c r="AI170" i="3564"/>
  <c r="AP169" i="3564"/>
  <c r="BN172" i="3564"/>
  <c r="BU171" i="3564"/>
  <c r="AR169" i="3564"/>
  <c r="AK170" i="3564"/>
  <c r="BQ172" i="3564"/>
  <c r="BX171" i="3564"/>
  <c r="BF170" i="3564"/>
  <c r="BJ169" i="3564"/>
  <c r="BH169" i="3564"/>
  <c r="BD170" i="3564"/>
  <c r="AB168" i="3564"/>
  <c r="X169" i="3564"/>
  <c r="BR172" i="3564"/>
  <c r="BY171" i="3564"/>
  <c r="AQ170" i="3564"/>
  <c r="AJ171" i="3564"/>
  <c r="BP173" i="3564"/>
  <c r="BW172" i="3564"/>
  <c r="BZ173" i="3564"/>
  <c r="BS174" i="3564"/>
  <c r="CA173" i="3564"/>
  <c r="BT174" i="3564"/>
  <c r="BU172" i="3564" l="1"/>
  <c r="BN173" i="3564"/>
  <c r="AJ172" i="3564"/>
  <c r="AQ171" i="3564"/>
  <c r="AR170" i="3564"/>
  <c r="AK171" i="3564"/>
  <c r="AI171" i="3564"/>
  <c r="AP170" i="3564"/>
  <c r="AS170" i="3564"/>
  <c r="AL171" i="3564"/>
  <c r="BQ173" i="3564"/>
  <c r="BX172" i="3564"/>
  <c r="AO170" i="3564"/>
  <c r="AH171" i="3564"/>
  <c r="AT170" i="3564"/>
  <c r="AM171" i="3564"/>
  <c r="AN170" i="3564"/>
  <c r="AG171" i="3564"/>
  <c r="Y171" i="3564"/>
  <c r="AC170" i="3564"/>
  <c r="BD171" i="3564"/>
  <c r="BH170" i="3564"/>
  <c r="BV172" i="3564"/>
  <c r="BO173" i="3564"/>
  <c r="BY172" i="3564"/>
  <c r="BR173" i="3564"/>
  <c r="AB169" i="3564"/>
  <c r="X170" i="3564"/>
  <c r="BI170" i="3564"/>
  <c r="BE171" i="3564"/>
  <c r="Z171" i="3564"/>
  <c r="AD170" i="3564"/>
  <c r="BF171" i="3564"/>
  <c r="BJ170" i="3564"/>
  <c r="BT175" i="3564"/>
  <c r="CA174" i="3564"/>
  <c r="BS175" i="3564"/>
  <c r="BZ174" i="3564"/>
  <c r="BP174" i="3564"/>
  <c r="BW173" i="3564"/>
  <c r="BD172" i="3564" l="1"/>
  <c r="BH171" i="3564"/>
  <c r="AN171" i="3564"/>
  <c r="AG172" i="3564"/>
  <c r="AC171" i="3564"/>
  <c r="Y172" i="3564"/>
  <c r="AT171" i="3564"/>
  <c r="AM172" i="3564"/>
  <c r="AS171" i="3564"/>
  <c r="AL172" i="3564"/>
  <c r="BV173" i="3564"/>
  <c r="BO174" i="3564"/>
  <c r="AH172" i="3564"/>
  <c r="AO171" i="3564"/>
  <c r="AD171" i="3564"/>
  <c r="Z172" i="3564"/>
  <c r="BI171" i="3564"/>
  <c r="BE172" i="3564"/>
  <c r="BX173" i="3564"/>
  <c r="BQ174" i="3564"/>
  <c r="BJ171" i="3564"/>
  <c r="BF172" i="3564"/>
  <c r="AP171" i="3564"/>
  <c r="AI172" i="3564"/>
  <c r="AK172" i="3564"/>
  <c r="AR171" i="3564"/>
  <c r="X171" i="3564"/>
  <c r="AB170" i="3564"/>
  <c r="AJ173" i="3564"/>
  <c r="AQ172" i="3564"/>
  <c r="BY173" i="3564"/>
  <c r="BR174" i="3564"/>
  <c r="BN174" i="3564"/>
  <c r="BU173" i="3564"/>
  <c r="BW174" i="3564"/>
  <c r="BP175" i="3564"/>
  <c r="BZ175" i="3564"/>
  <c r="BS176" i="3564"/>
  <c r="CA175" i="3564"/>
  <c r="BT176" i="3564"/>
  <c r="AP172" i="3564" l="1"/>
  <c r="AI173" i="3564"/>
  <c r="BF173" i="3564"/>
  <c r="BJ172" i="3564"/>
  <c r="BX174" i="3564"/>
  <c r="BQ175" i="3564"/>
  <c r="Z173" i="3564"/>
  <c r="AD172" i="3564"/>
  <c r="AL173" i="3564"/>
  <c r="AS172" i="3564"/>
  <c r="AO172" i="3564"/>
  <c r="AH173" i="3564"/>
  <c r="BI172" i="3564"/>
  <c r="BE173" i="3564"/>
  <c r="BO175" i="3564"/>
  <c r="BV174" i="3564"/>
  <c r="BY174" i="3564"/>
  <c r="BR175" i="3564"/>
  <c r="Y173" i="3564"/>
  <c r="AC172" i="3564"/>
  <c r="BU174" i="3564"/>
  <c r="BN175" i="3564"/>
  <c r="AT172" i="3564"/>
  <c r="AM173" i="3564"/>
  <c r="AJ174" i="3564"/>
  <c r="AQ173" i="3564"/>
  <c r="AN172" i="3564"/>
  <c r="AG173" i="3564"/>
  <c r="AB171" i="3564"/>
  <c r="X172" i="3564"/>
  <c r="AK173" i="3564"/>
  <c r="AR172" i="3564"/>
  <c r="BD173" i="3564"/>
  <c r="BH172" i="3564"/>
  <c r="BZ176" i="3564"/>
  <c r="BS177" i="3564"/>
  <c r="BW175" i="3564"/>
  <c r="BP176" i="3564"/>
  <c r="CA176" i="3564"/>
  <c r="BT177" i="3564"/>
  <c r="AM174" i="3564" l="1"/>
  <c r="AT173" i="3564"/>
  <c r="BV175" i="3564"/>
  <c r="BO176" i="3564"/>
  <c r="BH173" i="3564"/>
  <c r="BD174" i="3564"/>
  <c r="Y174" i="3564"/>
  <c r="AC173" i="3564"/>
  <c r="AB172" i="3564"/>
  <c r="X173" i="3564"/>
  <c r="BN176" i="3564"/>
  <c r="BU175" i="3564"/>
  <c r="BY175" i="3564"/>
  <c r="BR176" i="3564"/>
  <c r="BI173" i="3564"/>
  <c r="BE174" i="3564"/>
  <c r="AR173" i="3564"/>
  <c r="AK174" i="3564"/>
  <c r="BX175" i="3564"/>
  <c r="BQ176" i="3564"/>
  <c r="AN173" i="3564"/>
  <c r="AG174" i="3564"/>
  <c r="AO173" i="3564"/>
  <c r="AH174" i="3564"/>
  <c r="AL174" i="3564"/>
  <c r="AS173" i="3564"/>
  <c r="AD173" i="3564"/>
  <c r="Z174" i="3564"/>
  <c r="BJ173" i="3564"/>
  <c r="BF174" i="3564"/>
  <c r="AI174" i="3564"/>
  <c r="AP173" i="3564"/>
  <c r="AQ174" i="3564"/>
  <c r="AJ175" i="3564"/>
  <c r="BP177" i="3564"/>
  <c r="BW176" i="3564"/>
  <c r="CA177" i="3564"/>
  <c r="BT178" i="3564"/>
  <c r="BZ177" i="3564"/>
  <c r="BS178" i="3564"/>
  <c r="AN174" i="3564" l="1"/>
  <c r="AG175" i="3564"/>
  <c r="X174" i="3564"/>
  <c r="AB173" i="3564"/>
  <c r="AO174" i="3564"/>
  <c r="AH175" i="3564"/>
  <c r="BE175" i="3564"/>
  <c r="BI174" i="3564"/>
  <c r="BN177" i="3564"/>
  <c r="BU176" i="3564"/>
  <c r="BX176" i="3564"/>
  <c r="BQ177" i="3564"/>
  <c r="BY176" i="3564"/>
  <c r="BR177" i="3564"/>
  <c r="AJ176" i="3564"/>
  <c r="AQ175" i="3564"/>
  <c r="AI175" i="3564"/>
  <c r="AP174" i="3564"/>
  <c r="BF175" i="3564"/>
  <c r="BJ174" i="3564"/>
  <c r="AK175" i="3564"/>
  <c r="AR174" i="3564"/>
  <c r="AC174" i="3564"/>
  <c r="Y175" i="3564"/>
  <c r="BD175" i="3564"/>
  <c r="BH174" i="3564"/>
  <c r="Z175" i="3564"/>
  <c r="AD174" i="3564"/>
  <c r="BO177" i="3564"/>
  <c r="BV176" i="3564"/>
  <c r="AS174" i="3564"/>
  <c r="AL175" i="3564"/>
  <c r="AM175" i="3564"/>
  <c r="AT174" i="3564"/>
  <c r="BS179" i="3564"/>
  <c r="BZ178" i="3564"/>
  <c r="CA178" i="3564"/>
  <c r="BT179" i="3564"/>
  <c r="BW177" i="3564"/>
  <c r="BP178" i="3564"/>
  <c r="BF176" i="3564" l="1"/>
  <c r="BJ175" i="3564"/>
  <c r="AK176" i="3564"/>
  <c r="AR175" i="3564"/>
  <c r="BR178" i="3564"/>
  <c r="BY177" i="3564"/>
  <c r="AP175" i="3564"/>
  <c r="AI176" i="3564"/>
  <c r="AC175" i="3564"/>
  <c r="Y176" i="3564"/>
  <c r="AQ176" i="3564"/>
  <c r="AJ177" i="3564"/>
  <c r="BX177" i="3564"/>
  <c r="BQ178" i="3564"/>
  <c r="AL176" i="3564"/>
  <c r="AS175" i="3564"/>
  <c r="BU177" i="3564"/>
  <c r="BN178" i="3564"/>
  <c r="BE176" i="3564"/>
  <c r="BI175" i="3564"/>
  <c r="BO178" i="3564"/>
  <c r="BV177" i="3564"/>
  <c r="AT175" i="3564"/>
  <c r="AM176" i="3564"/>
  <c r="AO175" i="3564"/>
  <c r="AH176" i="3564"/>
  <c r="AD175" i="3564"/>
  <c r="Z176" i="3564"/>
  <c r="AB174" i="3564"/>
  <c r="X175" i="3564"/>
  <c r="AN175" i="3564"/>
  <c r="AG176" i="3564"/>
  <c r="BD176" i="3564"/>
  <c r="BH175" i="3564"/>
  <c r="CA179" i="3564"/>
  <c r="BT180" i="3564"/>
  <c r="BW178" i="3564"/>
  <c r="BP179" i="3564"/>
  <c r="BZ179" i="3564"/>
  <c r="BS180" i="3564"/>
  <c r="BE177" i="3564" l="1"/>
  <c r="BI176" i="3564"/>
  <c r="BN179" i="3564"/>
  <c r="BU178" i="3564"/>
  <c r="BQ179" i="3564"/>
  <c r="BX178" i="3564"/>
  <c r="AN176" i="3564"/>
  <c r="AG177" i="3564"/>
  <c r="BD177" i="3564"/>
  <c r="BH176" i="3564"/>
  <c r="AM177" i="3564"/>
  <c r="AT176" i="3564"/>
  <c r="BO179" i="3564"/>
  <c r="BV178" i="3564"/>
  <c r="AL177" i="3564"/>
  <c r="AS176" i="3564"/>
  <c r="AQ177" i="3564"/>
  <c r="AJ178" i="3564"/>
  <c r="Y177" i="3564"/>
  <c r="AC176" i="3564"/>
  <c r="AP176" i="3564"/>
  <c r="AI177" i="3564"/>
  <c r="X176" i="3564"/>
  <c r="AB175" i="3564"/>
  <c r="BR179" i="3564"/>
  <c r="BY178" i="3564"/>
  <c r="Z177" i="3564"/>
  <c r="AD176" i="3564"/>
  <c r="AR176" i="3564"/>
  <c r="AK177" i="3564"/>
  <c r="AH177" i="3564"/>
  <c r="AO176" i="3564"/>
  <c r="BF177" i="3564"/>
  <c r="BJ176" i="3564"/>
  <c r="BW179" i="3564"/>
  <c r="BP180" i="3564"/>
  <c r="BS181" i="3564"/>
  <c r="BZ180" i="3564"/>
  <c r="BT181" i="3564"/>
  <c r="CA180" i="3564"/>
  <c r="AB176" i="3564" l="1"/>
  <c r="X177" i="3564"/>
  <c r="AJ179" i="3564"/>
  <c r="AQ178" i="3564"/>
  <c r="BJ177" i="3564"/>
  <c r="BF178" i="3564"/>
  <c r="AT177" i="3564"/>
  <c r="AM178" i="3564"/>
  <c r="AO177" i="3564"/>
  <c r="AH178" i="3564"/>
  <c r="AP177" i="3564"/>
  <c r="AI178" i="3564"/>
  <c r="AC177" i="3564"/>
  <c r="Y178" i="3564"/>
  <c r="BV179" i="3564"/>
  <c r="BO180" i="3564"/>
  <c r="BH177" i="3564"/>
  <c r="BD178" i="3564"/>
  <c r="AL178" i="3564"/>
  <c r="AS177" i="3564"/>
  <c r="AN177" i="3564"/>
  <c r="AG178" i="3564"/>
  <c r="AR177" i="3564"/>
  <c r="AK178" i="3564"/>
  <c r="BX179" i="3564"/>
  <c r="BQ180" i="3564"/>
  <c r="Z178" i="3564"/>
  <c r="AD177" i="3564"/>
  <c r="BU179" i="3564"/>
  <c r="BN180" i="3564"/>
  <c r="BY179" i="3564"/>
  <c r="BR180" i="3564"/>
  <c r="BE178" i="3564"/>
  <c r="BI177" i="3564"/>
  <c r="BZ181" i="3564"/>
  <c r="BS182" i="3564"/>
  <c r="BP181" i="3564"/>
  <c r="BW180" i="3564"/>
  <c r="CA181" i="3564"/>
  <c r="BT182" i="3564"/>
  <c r="AR178" i="3564" l="1"/>
  <c r="AK179" i="3564"/>
  <c r="AS178" i="3564"/>
  <c r="AL179" i="3564"/>
  <c r="Y179" i="3564"/>
  <c r="AC178" i="3564"/>
  <c r="BO181" i="3564"/>
  <c r="BV180" i="3564"/>
  <c r="AO178" i="3564"/>
  <c r="AH179" i="3564"/>
  <c r="BF179" i="3564"/>
  <c r="BJ178" i="3564"/>
  <c r="AN178" i="3564"/>
  <c r="AG179" i="3564"/>
  <c r="AP178" i="3564"/>
  <c r="AI179" i="3564"/>
  <c r="BY180" i="3564"/>
  <c r="BR181" i="3564"/>
  <c r="BU180" i="3564"/>
  <c r="BN181" i="3564"/>
  <c r="BH178" i="3564"/>
  <c r="BD179" i="3564"/>
  <c r="BE179" i="3564"/>
  <c r="BI178" i="3564"/>
  <c r="AT178" i="3564"/>
  <c r="AM179" i="3564"/>
  <c r="Z179" i="3564"/>
  <c r="AD178" i="3564"/>
  <c r="AQ179" i="3564"/>
  <c r="AJ180" i="3564"/>
  <c r="BX180" i="3564"/>
  <c r="BQ181" i="3564"/>
  <c r="AB177" i="3564"/>
  <c r="X178" i="3564"/>
  <c r="BW181" i="3564"/>
  <c r="BP182" i="3564"/>
  <c r="CA182" i="3564"/>
  <c r="BT183" i="3564"/>
  <c r="BZ182" i="3564"/>
  <c r="BS183" i="3564"/>
  <c r="BU181" i="3564" l="1"/>
  <c r="BN182" i="3564"/>
  <c r="AG180" i="3564"/>
  <c r="AN179" i="3564"/>
  <c r="BF180" i="3564"/>
  <c r="BJ179" i="3564"/>
  <c r="BD180" i="3564"/>
  <c r="BH179" i="3564"/>
  <c r="X179" i="3564"/>
  <c r="AB178" i="3564"/>
  <c r="AQ180" i="3564"/>
  <c r="AJ181" i="3564"/>
  <c r="BE180" i="3564"/>
  <c r="BI179" i="3564"/>
  <c r="BY181" i="3564"/>
  <c r="BR182" i="3564"/>
  <c r="AI180" i="3564"/>
  <c r="AP179" i="3564"/>
  <c r="AO179" i="3564"/>
  <c r="AH180" i="3564"/>
  <c r="BX181" i="3564"/>
  <c r="BQ182" i="3564"/>
  <c r="BV181" i="3564"/>
  <c r="BO182" i="3564"/>
  <c r="AC179" i="3564"/>
  <c r="Y180" i="3564"/>
  <c r="AS179" i="3564"/>
  <c r="AL180" i="3564"/>
  <c r="Z180" i="3564"/>
  <c r="AD179" i="3564"/>
  <c r="AT179" i="3564"/>
  <c r="AM180" i="3564"/>
  <c r="AK180" i="3564"/>
  <c r="AR179" i="3564"/>
  <c r="BW182" i="3564"/>
  <c r="BP183" i="3564"/>
  <c r="BZ183" i="3564"/>
  <c r="BS184" i="3564"/>
  <c r="CA183" i="3564"/>
  <c r="BT184" i="3564"/>
  <c r="AO180" i="3564" l="1"/>
  <c r="AH181" i="3564"/>
  <c r="BY182" i="3564"/>
  <c r="BR183" i="3564"/>
  <c r="BX182" i="3564"/>
  <c r="BQ183" i="3564"/>
  <c r="AB179" i="3564"/>
  <c r="X180" i="3564"/>
  <c r="BH180" i="3564"/>
  <c r="BD181" i="3564"/>
  <c r="BV182" i="3564"/>
  <c r="BO183" i="3564"/>
  <c r="AP180" i="3564"/>
  <c r="AI181" i="3564"/>
  <c r="BE181" i="3564"/>
  <c r="BI180" i="3564"/>
  <c r="BJ180" i="3564"/>
  <c r="BF181" i="3564"/>
  <c r="AQ181" i="3564"/>
  <c r="AJ182" i="3564"/>
  <c r="AR180" i="3564"/>
  <c r="AK181" i="3564"/>
  <c r="AM181" i="3564"/>
  <c r="AT180" i="3564"/>
  <c r="Z181" i="3564"/>
  <c r="AD180" i="3564"/>
  <c r="AS180" i="3564"/>
  <c r="AL181" i="3564"/>
  <c r="AG181" i="3564"/>
  <c r="AN180" i="3564"/>
  <c r="Y181" i="3564"/>
  <c r="AC180" i="3564"/>
  <c r="BU182" i="3564"/>
  <c r="BN183" i="3564"/>
  <c r="BZ184" i="3564"/>
  <c r="BS185" i="3564"/>
  <c r="BW183" i="3564"/>
  <c r="BP184" i="3564"/>
  <c r="BT185" i="3564"/>
  <c r="CA184" i="3564"/>
  <c r="BF182" i="3564" l="1"/>
  <c r="BJ181" i="3564"/>
  <c r="AI182" i="3564"/>
  <c r="AP181" i="3564"/>
  <c r="AR181" i="3564"/>
  <c r="AK182" i="3564"/>
  <c r="BV183" i="3564"/>
  <c r="BO184" i="3564"/>
  <c r="BD182" i="3564"/>
  <c r="BH181" i="3564"/>
  <c r="AC181" i="3564"/>
  <c r="Y182" i="3564"/>
  <c r="AJ183" i="3564"/>
  <c r="AQ182" i="3564"/>
  <c r="BE182" i="3564"/>
  <c r="BI181" i="3564"/>
  <c r="AS181" i="3564"/>
  <c r="AL182" i="3564"/>
  <c r="AT181" i="3564"/>
  <c r="AM182" i="3564"/>
  <c r="BU183" i="3564"/>
  <c r="BN184" i="3564"/>
  <c r="X181" i="3564"/>
  <c r="AB180" i="3564"/>
  <c r="BX183" i="3564"/>
  <c r="BQ184" i="3564"/>
  <c r="AG182" i="3564"/>
  <c r="AN181" i="3564"/>
  <c r="BR184" i="3564"/>
  <c r="BY183" i="3564"/>
  <c r="AH182" i="3564"/>
  <c r="AO181" i="3564"/>
  <c r="AD181" i="3564"/>
  <c r="Z182" i="3564"/>
  <c r="BZ185" i="3564"/>
  <c r="BS186" i="3564"/>
  <c r="CA185" i="3564"/>
  <c r="BT186" i="3564"/>
  <c r="BW184" i="3564"/>
  <c r="BP185" i="3564"/>
  <c r="BU184" i="3564" l="1"/>
  <c r="BN185" i="3564"/>
  <c r="AM183" i="3564"/>
  <c r="AT182" i="3564"/>
  <c r="AB181" i="3564"/>
  <c r="X182" i="3564"/>
  <c r="Y183" i="3564"/>
  <c r="AC182" i="3564"/>
  <c r="BH182" i="3564"/>
  <c r="BD183" i="3564"/>
  <c r="BV184" i="3564"/>
  <c r="BO185" i="3564"/>
  <c r="BR185" i="3564"/>
  <c r="BY184" i="3564"/>
  <c r="AS182" i="3564"/>
  <c r="AL183" i="3564"/>
  <c r="BI182" i="3564"/>
  <c r="BE183" i="3564"/>
  <c r="AQ183" i="3564"/>
  <c r="AJ184" i="3564"/>
  <c r="AD182" i="3564"/>
  <c r="Z183" i="3564"/>
  <c r="AO182" i="3564"/>
  <c r="AH183" i="3564"/>
  <c r="AR182" i="3564"/>
  <c r="AK183" i="3564"/>
  <c r="AG183" i="3564"/>
  <c r="AN182" i="3564"/>
  <c r="AP182" i="3564"/>
  <c r="AI183" i="3564"/>
  <c r="BQ185" i="3564"/>
  <c r="BX184" i="3564"/>
  <c r="BJ182" i="3564"/>
  <c r="BF183" i="3564"/>
  <c r="BP186" i="3564"/>
  <c r="BW185" i="3564"/>
  <c r="BZ186" i="3564"/>
  <c r="BS187" i="3564"/>
  <c r="BT187" i="3564"/>
  <c r="CA186" i="3564"/>
  <c r="Z184" i="3564" l="1"/>
  <c r="AD183" i="3564"/>
  <c r="BI183" i="3564"/>
  <c r="BE184" i="3564"/>
  <c r="BR186" i="3564"/>
  <c r="BY185" i="3564"/>
  <c r="BV185" i="3564"/>
  <c r="BO186" i="3564"/>
  <c r="BD184" i="3564"/>
  <c r="BH183" i="3564"/>
  <c r="AL184" i="3564"/>
  <c r="AS183" i="3564"/>
  <c r="BJ183" i="3564"/>
  <c r="BF184" i="3564"/>
  <c r="BQ186" i="3564"/>
  <c r="BX185" i="3564"/>
  <c r="AB182" i="3564"/>
  <c r="X183" i="3564"/>
  <c r="AR183" i="3564"/>
  <c r="AK184" i="3564"/>
  <c r="AH184" i="3564"/>
  <c r="AO183" i="3564"/>
  <c r="AJ185" i="3564"/>
  <c r="AQ184" i="3564"/>
  <c r="Y184" i="3564"/>
  <c r="AC183" i="3564"/>
  <c r="AP183" i="3564"/>
  <c r="AI184" i="3564"/>
  <c r="AG184" i="3564"/>
  <c r="AN183" i="3564"/>
  <c r="AT183" i="3564"/>
  <c r="AM184" i="3564"/>
  <c r="BU185" i="3564"/>
  <c r="BN186" i="3564"/>
  <c r="BZ187" i="3564"/>
  <c r="BS188" i="3564"/>
  <c r="BP187" i="3564"/>
  <c r="BW186" i="3564"/>
  <c r="CA187" i="3564"/>
  <c r="BT188" i="3564"/>
  <c r="BJ184" i="3564" l="1"/>
  <c r="BF185" i="3564"/>
  <c r="AQ185" i="3564"/>
  <c r="AJ186" i="3564"/>
  <c r="AR184" i="3564"/>
  <c r="AK185" i="3564"/>
  <c r="BQ187" i="3564"/>
  <c r="BX186" i="3564"/>
  <c r="AT184" i="3564"/>
  <c r="AM185" i="3564"/>
  <c r="AL185" i="3564"/>
  <c r="AS184" i="3564"/>
  <c r="BO187" i="3564"/>
  <c r="BV186" i="3564"/>
  <c r="BY186" i="3564"/>
  <c r="BR187" i="3564"/>
  <c r="AO184" i="3564"/>
  <c r="AH185" i="3564"/>
  <c r="X184" i="3564"/>
  <c r="AB183" i="3564"/>
  <c r="BN187" i="3564"/>
  <c r="BU186" i="3564"/>
  <c r="BD185" i="3564"/>
  <c r="BH184" i="3564"/>
  <c r="AN184" i="3564"/>
  <c r="AG185" i="3564"/>
  <c r="AI185" i="3564"/>
  <c r="AP184" i="3564"/>
  <c r="BE185" i="3564"/>
  <c r="BI184" i="3564"/>
  <c r="AC184" i="3564"/>
  <c r="Y185" i="3564"/>
  <c r="AD184" i="3564"/>
  <c r="Z185" i="3564"/>
  <c r="BW187" i="3564"/>
  <c r="BP188" i="3564"/>
  <c r="BT189" i="3564"/>
  <c r="CA188" i="3564"/>
  <c r="BS189" i="3564"/>
  <c r="BZ188" i="3564"/>
  <c r="BN188" i="3564" l="1"/>
  <c r="BU187" i="3564"/>
  <c r="X185" i="3564"/>
  <c r="AB184" i="3564"/>
  <c r="BV187" i="3564"/>
  <c r="BO188" i="3564"/>
  <c r="AH186" i="3564"/>
  <c r="AO185" i="3564"/>
  <c r="AD185" i="3564"/>
  <c r="Z186" i="3564"/>
  <c r="BY187" i="3564"/>
  <c r="BR188" i="3564"/>
  <c r="AT185" i="3564"/>
  <c r="AM186" i="3564"/>
  <c r="Y186" i="3564"/>
  <c r="AC185" i="3564"/>
  <c r="AR185" i="3564"/>
  <c r="AK186" i="3564"/>
  <c r="AG186" i="3564"/>
  <c r="AN185" i="3564"/>
  <c r="BH185" i="3564"/>
  <c r="BD186" i="3564"/>
  <c r="AS185" i="3564"/>
  <c r="AL186" i="3564"/>
  <c r="BX187" i="3564"/>
  <c r="BQ188" i="3564"/>
  <c r="BI185" i="3564"/>
  <c r="BE186" i="3564"/>
  <c r="AJ187" i="3564"/>
  <c r="AQ186" i="3564"/>
  <c r="AI186" i="3564"/>
  <c r="AP185" i="3564"/>
  <c r="BJ185" i="3564"/>
  <c r="BF186" i="3564"/>
  <c r="BP189" i="3564"/>
  <c r="BW188" i="3564"/>
  <c r="BT190" i="3564"/>
  <c r="CA189" i="3564"/>
  <c r="BS190" i="3564"/>
  <c r="BZ189" i="3564"/>
  <c r="AT186" i="3564" l="1"/>
  <c r="AM187" i="3564"/>
  <c r="AL187" i="3564"/>
  <c r="AS186" i="3564"/>
  <c r="BJ186" i="3564"/>
  <c r="BF187" i="3564"/>
  <c r="AO186" i="3564"/>
  <c r="AH187" i="3564"/>
  <c r="AK187" i="3564"/>
  <c r="AR186" i="3564"/>
  <c r="BR189" i="3564"/>
  <c r="BY188" i="3564"/>
  <c r="AJ188" i="3564"/>
  <c r="AQ187" i="3564"/>
  <c r="BH186" i="3564"/>
  <c r="BD187" i="3564"/>
  <c r="AN186" i="3564"/>
  <c r="AG187" i="3564"/>
  <c r="AC186" i="3564"/>
  <c r="Y187" i="3564"/>
  <c r="Z187" i="3564"/>
  <c r="AD186" i="3564"/>
  <c r="AI187" i="3564"/>
  <c r="AP186" i="3564"/>
  <c r="BO189" i="3564"/>
  <c r="BV188" i="3564"/>
  <c r="BI186" i="3564"/>
  <c r="BE187" i="3564"/>
  <c r="X186" i="3564"/>
  <c r="AB185" i="3564"/>
  <c r="BQ189" i="3564"/>
  <c r="BX188" i="3564"/>
  <c r="BN189" i="3564"/>
  <c r="BU188" i="3564"/>
  <c r="BS191" i="3564"/>
  <c r="BZ190" i="3564"/>
  <c r="BP190" i="3564"/>
  <c r="BW189" i="3564"/>
  <c r="BT191" i="3564"/>
  <c r="CA190" i="3564"/>
  <c r="AD187" i="3564" l="1"/>
  <c r="Z188" i="3564"/>
  <c r="AI188" i="3564"/>
  <c r="AP187" i="3564"/>
  <c r="Y188" i="3564"/>
  <c r="AC187" i="3564"/>
  <c r="AN187" i="3564"/>
  <c r="AG188" i="3564"/>
  <c r="AR187" i="3564"/>
  <c r="AK188" i="3564"/>
  <c r="BF188" i="3564"/>
  <c r="BJ187" i="3564"/>
  <c r="BU189" i="3564"/>
  <c r="BN190" i="3564"/>
  <c r="BI187" i="3564"/>
  <c r="BE188" i="3564"/>
  <c r="BD188" i="3564"/>
  <c r="BH187" i="3564"/>
  <c r="AQ188" i="3564"/>
  <c r="AJ189" i="3564"/>
  <c r="BR190" i="3564"/>
  <c r="BY189" i="3564"/>
  <c r="AH188" i="3564"/>
  <c r="AO187" i="3564"/>
  <c r="BQ190" i="3564"/>
  <c r="BX189" i="3564"/>
  <c r="AB186" i="3564"/>
  <c r="X187" i="3564"/>
  <c r="AL188" i="3564"/>
  <c r="AS187" i="3564"/>
  <c r="AM188" i="3564"/>
  <c r="AT187" i="3564"/>
  <c r="BV189" i="3564"/>
  <c r="BO190" i="3564"/>
  <c r="BW190" i="3564"/>
  <c r="BP191" i="3564"/>
  <c r="BS192" i="3564"/>
  <c r="BZ191" i="3564"/>
  <c r="BT192" i="3564"/>
  <c r="CA191" i="3564"/>
  <c r="AQ189" i="3564" l="1"/>
  <c r="AJ190" i="3564"/>
  <c r="BN191" i="3564"/>
  <c r="BU190" i="3564"/>
  <c r="BI188" i="3564"/>
  <c r="BE189" i="3564"/>
  <c r="AK189" i="3564"/>
  <c r="AR188" i="3564"/>
  <c r="AH189" i="3564"/>
  <c r="AO188" i="3564"/>
  <c r="BO191" i="3564"/>
  <c r="BV190" i="3564"/>
  <c r="BJ188" i="3564"/>
  <c r="BF189" i="3564"/>
  <c r="AM189" i="3564"/>
  <c r="AT188" i="3564"/>
  <c r="AL189" i="3564"/>
  <c r="AS188" i="3564"/>
  <c r="X188" i="3564"/>
  <c r="AB187" i="3564"/>
  <c r="BY190" i="3564"/>
  <c r="BR191" i="3564"/>
  <c r="BH188" i="3564"/>
  <c r="BD189" i="3564"/>
  <c r="AG189" i="3564"/>
  <c r="AN188" i="3564"/>
  <c r="Y189" i="3564"/>
  <c r="AC188" i="3564"/>
  <c r="AP188" i="3564"/>
  <c r="AI189" i="3564"/>
  <c r="Z189" i="3564"/>
  <c r="AD188" i="3564"/>
  <c r="BX190" i="3564"/>
  <c r="BQ191" i="3564"/>
  <c r="CA192" i="3564"/>
  <c r="BT193" i="3564"/>
  <c r="BW191" i="3564"/>
  <c r="BP192" i="3564"/>
  <c r="BZ192" i="3564"/>
  <c r="BS193" i="3564"/>
  <c r="BH189" i="3564" l="1"/>
  <c r="BD190" i="3564"/>
  <c r="BV191" i="3564"/>
  <c r="BO192" i="3564"/>
  <c r="BF190" i="3564"/>
  <c r="BJ189" i="3564"/>
  <c r="AD189" i="3564"/>
  <c r="Z190" i="3564"/>
  <c r="BR192" i="3564"/>
  <c r="BY191" i="3564"/>
  <c r="AL190" i="3564"/>
  <c r="AS189" i="3564"/>
  <c r="AM190" i="3564"/>
  <c r="AT189" i="3564"/>
  <c r="AO189" i="3564"/>
  <c r="AH190" i="3564"/>
  <c r="AP189" i="3564"/>
  <c r="AI190" i="3564"/>
  <c r="X189" i="3564"/>
  <c r="AB188" i="3564"/>
  <c r="BX191" i="3564"/>
  <c r="BQ192" i="3564"/>
  <c r="AR189" i="3564"/>
  <c r="AK190" i="3564"/>
  <c r="BE190" i="3564"/>
  <c r="BI189" i="3564"/>
  <c r="Y190" i="3564"/>
  <c r="AC189" i="3564"/>
  <c r="BN192" i="3564"/>
  <c r="BU191" i="3564"/>
  <c r="AQ190" i="3564"/>
  <c r="AJ191" i="3564"/>
  <c r="AG190" i="3564"/>
  <c r="AN189" i="3564"/>
  <c r="BZ193" i="3564"/>
  <c r="BS194" i="3564"/>
  <c r="BW192" i="3564"/>
  <c r="BP193" i="3564"/>
  <c r="CA193" i="3564"/>
  <c r="BT194" i="3564"/>
  <c r="AK191" i="3564" l="1"/>
  <c r="AR190" i="3564"/>
  <c r="AP190" i="3564"/>
  <c r="AI191" i="3564"/>
  <c r="BQ193" i="3564"/>
  <c r="BX192" i="3564"/>
  <c r="AO190" i="3564"/>
  <c r="AH191" i="3564"/>
  <c r="AD190" i="3564"/>
  <c r="Z191" i="3564"/>
  <c r="AB189" i="3564"/>
  <c r="X190" i="3564"/>
  <c r="AT190" i="3564"/>
  <c r="AM191" i="3564"/>
  <c r="AS190" i="3564"/>
  <c r="AL191" i="3564"/>
  <c r="AQ191" i="3564"/>
  <c r="AJ192" i="3564"/>
  <c r="BJ190" i="3564"/>
  <c r="BF191" i="3564"/>
  <c r="AG191" i="3564"/>
  <c r="AN190" i="3564"/>
  <c r="BY192" i="3564"/>
  <c r="BR193" i="3564"/>
  <c r="BN193" i="3564"/>
  <c r="BU192" i="3564"/>
  <c r="BV192" i="3564"/>
  <c r="BO193" i="3564"/>
  <c r="Y191" i="3564"/>
  <c r="AC190" i="3564"/>
  <c r="BH190" i="3564"/>
  <c r="BD191" i="3564"/>
  <c r="BE191" i="3564"/>
  <c r="BI190" i="3564"/>
  <c r="CA194" i="3564"/>
  <c r="BT195" i="3564"/>
  <c r="BW193" i="3564"/>
  <c r="BP194" i="3564"/>
  <c r="BZ194" i="3564"/>
  <c r="BS195" i="3564"/>
  <c r="BY193" i="3564" l="1"/>
  <c r="BR194" i="3564"/>
  <c r="BJ191" i="3564"/>
  <c r="BF192" i="3564"/>
  <c r="AM192" i="3564"/>
  <c r="AT191" i="3564"/>
  <c r="AS191" i="3564"/>
  <c r="AL192" i="3564"/>
  <c r="Z192" i="3564"/>
  <c r="AD191" i="3564"/>
  <c r="BD192" i="3564"/>
  <c r="BH191" i="3564"/>
  <c r="AJ193" i="3564"/>
  <c r="AQ192" i="3564"/>
  <c r="X191" i="3564"/>
  <c r="AB190" i="3564"/>
  <c r="BX193" i="3564"/>
  <c r="BQ194" i="3564"/>
  <c r="AG192" i="3564"/>
  <c r="AN191" i="3564"/>
  <c r="BI191" i="3564"/>
  <c r="BE192" i="3564"/>
  <c r="AO191" i="3564"/>
  <c r="AH192" i="3564"/>
  <c r="AC191" i="3564"/>
  <c r="Y192" i="3564"/>
  <c r="BO194" i="3564"/>
  <c r="BV193" i="3564"/>
  <c r="AI192" i="3564"/>
  <c r="AP191" i="3564"/>
  <c r="BN194" i="3564"/>
  <c r="BU193" i="3564"/>
  <c r="AK192" i="3564"/>
  <c r="AR191" i="3564"/>
  <c r="CA195" i="3564"/>
  <c r="BT196" i="3564"/>
  <c r="BZ195" i="3564"/>
  <c r="BS196" i="3564"/>
  <c r="BP195" i="3564"/>
  <c r="BW194" i="3564"/>
  <c r="BE193" i="3564" l="1"/>
  <c r="BI192" i="3564"/>
  <c r="AK193" i="3564"/>
  <c r="AR192" i="3564"/>
  <c r="AN192" i="3564"/>
  <c r="AG193" i="3564"/>
  <c r="AQ193" i="3564"/>
  <c r="AJ194" i="3564"/>
  <c r="AS192" i="3564"/>
  <c r="AL193" i="3564"/>
  <c r="AH193" i="3564"/>
  <c r="AO192" i="3564"/>
  <c r="X192" i="3564"/>
  <c r="AB191" i="3564"/>
  <c r="Z193" i="3564"/>
  <c r="AD192" i="3564"/>
  <c r="AP192" i="3564"/>
  <c r="AI193" i="3564"/>
  <c r="BQ195" i="3564"/>
  <c r="BX194" i="3564"/>
  <c r="BH192" i="3564"/>
  <c r="BD193" i="3564"/>
  <c r="BN195" i="3564"/>
  <c r="BU194" i="3564"/>
  <c r="AT192" i="3564"/>
  <c r="AM193" i="3564"/>
  <c r="BF193" i="3564"/>
  <c r="BJ192" i="3564"/>
  <c r="BO195" i="3564"/>
  <c r="BV194" i="3564"/>
  <c r="Y193" i="3564"/>
  <c r="AC192" i="3564"/>
  <c r="BY194" i="3564"/>
  <c r="BR195" i="3564"/>
  <c r="BP196" i="3564"/>
  <c r="BW195" i="3564"/>
  <c r="BT197" i="3564"/>
  <c r="CA196" i="3564"/>
  <c r="BS197" i="3564"/>
  <c r="BZ196" i="3564"/>
  <c r="Z194" i="3564" l="1"/>
  <c r="AD193" i="3564"/>
  <c r="BN196" i="3564"/>
  <c r="BU195" i="3564"/>
  <c r="BQ196" i="3564"/>
  <c r="BX195" i="3564"/>
  <c r="AB192" i="3564"/>
  <c r="X193" i="3564"/>
  <c r="BR196" i="3564"/>
  <c r="BY195" i="3564"/>
  <c r="AG194" i="3564"/>
  <c r="AN193" i="3564"/>
  <c r="BH193" i="3564"/>
  <c r="BD194" i="3564"/>
  <c r="AP193" i="3564"/>
  <c r="AI194" i="3564"/>
  <c r="AH194" i="3564"/>
  <c r="AO193" i="3564"/>
  <c r="AJ195" i="3564"/>
  <c r="AQ194" i="3564"/>
  <c r="AC193" i="3564"/>
  <c r="Y194" i="3564"/>
  <c r="BV195" i="3564"/>
  <c r="BO196" i="3564"/>
  <c r="AL194" i="3564"/>
  <c r="AS193" i="3564"/>
  <c r="BJ193" i="3564"/>
  <c r="BF194" i="3564"/>
  <c r="AK194" i="3564"/>
  <c r="AR193" i="3564"/>
  <c r="AM194" i="3564"/>
  <c r="AT193" i="3564"/>
  <c r="BE194" i="3564"/>
  <c r="BI193" i="3564"/>
  <c r="BS198" i="3564"/>
  <c r="BZ197" i="3564"/>
  <c r="CA197" i="3564"/>
  <c r="BT198" i="3564"/>
  <c r="BW196" i="3564"/>
  <c r="BP197" i="3564"/>
  <c r="BV196" i="3564" l="1"/>
  <c r="BO197" i="3564"/>
  <c r="Y195" i="3564"/>
  <c r="AC194" i="3564"/>
  <c r="AN194" i="3564"/>
  <c r="AG195" i="3564"/>
  <c r="AO194" i="3564"/>
  <c r="AH195" i="3564"/>
  <c r="X194" i="3564"/>
  <c r="AB193" i="3564"/>
  <c r="AQ195" i="3564"/>
  <c r="AJ196" i="3564"/>
  <c r="AP194" i="3564"/>
  <c r="AI195" i="3564"/>
  <c r="BR197" i="3564"/>
  <c r="BY196" i="3564"/>
  <c r="AK195" i="3564"/>
  <c r="AR194" i="3564"/>
  <c r="BH194" i="3564"/>
  <c r="BD195" i="3564"/>
  <c r="BI194" i="3564"/>
  <c r="BE195" i="3564"/>
  <c r="AM195" i="3564"/>
  <c r="AT194" i="3564"/>
  <c r="BQ197" i="3564"/>
  <c r="BX196" i="3564"/>
  <c r="BJ194" i="3564"/>
  <c r="BF195" i="3564"/>
  <c r="BU196" i="3564"/>
  <c r="BN197" i="3564"/>
  <c r="AS194" i="3564"/>
  <c r="AL195" i="3564"/>
  <c r="Z195" i="3564"/>
  <c r="AD194" i="3564"/>
  <c r="BP198" i="3564"/>
  <c r="BW197" i="3564"/>
  <c r="CA198" i="3564"/>
  <c r="BT199" i="3564"/>
  <c r="BZ198" i="3564"/>
  <c r="BS199" i="3564"/>
  <c r="BD196" i="3564" l="1"/>
  <c r="BH195" i="3564"/>
  <c r="AM196" i="3564"/>
  <c r="AT195" i="3564"/>
  <c r="AI196" i="3564"/>
  <c r="AP195" i="3564"/>
  <c r="BR198" i="3564"/>
  <c r="BY197" i="3564"/>
  <c r="Z196" i="3564"/>
  <c r="AD195" i="3564"/>
  <c r="X195" i="3564"/>
  <c r="AB194" i="3564"/>
  <c r="AN195" i="3564"/>
  <c r="AG196" i="3564"/>
  <c r="BI195" i="3564"/>
  <c r="BE196" i="3564"/>
  <c r="AJ197" i="3564"/>
  <c r="AQ196" i="3564"/>
  <c r="AS195" i="3564"/>
  <c r="AL196" i="3564"/>
  <c r="BU197" i="3564"/>
  <c r="BN198" i="3564"/>
  <c r="AK196" i="3564"/>
  <c r="AR195" i="3564"/>
  <c r="AO195" i="3564"/>
  <c r="AH196" i="3564"/>
  <c r="BJ195" i="3564"/>
  <c r="BF196" i="3564"/>
  <c r="AC195" i="3564"/>
  <c r="Y196" i="3564"/>
  <c r="BV197" i="3564"/>
  <c r="BO198" i="3564"/>
  <c r="BQ198" i="3564"/>
  <c r="BX197" i="3564"/>
  <c r="BZ199" i="3564"/>
  <c r="BS200" i="3564"/>
  <c r="BT200" i="3564"/>
  <c r="CA199" i="3564"/>
  <c r="BP199" i="3564"/>
  <c r="BW198" i="3564"/>
  <c r="BN199" i="3564" l="1"/>
  <c r="BU198" i="3564"/>
  <c r="AB195" i="3564"/>
  <c r="X196" i="3564"/>
  <c r="AS196" i="3564"/>
  <c r="AL197" i="3564"/>
  <c r="AQ197" i="3564"/>
  <c r="AJ198" i="3564"/>
  <c r="AG197" i="3564"/>
  <c r="AN196" i="3564"/>
  <c r="BO199" i="3564"/>
  <c r="BV198" i="3564"/>
  <c r="AR196" i="3564"/>
  <c r="AK197" i="3564"/>
  <c r="BI196" i="3564"/>
  <c r="BE197" i="3564"/>
  <c r="BQ199" i="3564"/>
  <c r="BX198" i="3564"/>
  <c r="AC196" i="3564"/>
  <c r="Y197" i="3564"/>
  <c r="AO196" i="3564"/>
  <c r="AH197" i="3564"/>
  <c r="Z197" i="3564"/>
  <c r="AD196" i="3564"/>
  <c r="BR199" i="3564"/>
  <c r="BY198" i="3564"/>
  <c r="AI197" i="3564"/>
  <c r="AP196" i="3564"/>
  <c r="BF197" i="3564"/>
  <c r="BJ196" i="3564"/>
  <c r="AT196" i="3564"/>
  <c r="AM197" i="3564"/>
  <c r="BD197" i="3564"/>
  <c r="BH196" i="3564"/>
  <c r="BW199" i="3564"/>
  <c r="BP200" i="3564"/>
  <c r="BS201" i="3564"/>
  <c r="BZ200" i="3564"/>
  <c r="BT201" i="3564"/>
  <c r="CA200" i="3564"/>
  <c r="Y198" i="3564" l="1"/>
  <c r="AC197" i="3564"/>
  <c r="AH198" i="3564"/>
  <c r="AO197" i="3564"/>
  <c r="AK198" i="3564"/>
  <c r="AR197" i="3564"/>
  <c r="Z198" i="3564"/>
  <c r="AD197" i="3564"/>
  <c r="BX199" i="3564"/>
  <c r="BQ200" i="3564"/>
  <c r="AG198" i="3564"/>
  <c r="AN197" i="3564"/>
  <c r="BV199" i="3564"/>
  <c r="BO200" i="3564"/>
  <c r="BH197" i="3564"/>
  <c r="BD198" i="3564"/>
  <c r="AQ198" i="3564"/>
  <c r="AJ199" i="3564"/>
  <c r="AS197" i="3564"/>
  <c r="AL198" i="3564"/>
  <c r="AB196" i="3564"/>
  <c r="X197" i="3564"/>
  <c r="BE198" i="3564"/>
  <c r="BI197" i="3564"/>
  <c r="AT197" i="3564"/>
  <c r="AM198" i="3564"/>
  <c r="BF198" i="3564"/>
  <c r="BJ197" i="3564"/>
  <c r="AP197" i="3564"/>
  <c r="AI198" i="3564"/>
  <c r="BR200" i="3564"/>
  <c r="BY199" i="3564"/>
  <c r="BN200" i="3564"/>
  <c r="BU199" i="3564"/>
  <c r="CA201" i="3564"/>
  <c r="BT202" i="3564"/>
  <c r="BP201" i="3564"/>
  <c r="BW200" i="3564"/>
  <c r="BS202" i="3564"/>
  <c r="BZ201" i="3564"/>
  <c r="BI198" i="3564" l="1"/>
  <c r="BE199" i="3564"/>
  <c r="X198" i="3564"/>
  <c r="AB197" i="3564"/>
  <c r="AS198" i="3564"/>
  <c r="AL199" i="3564"/>
  <c r="BD199" i="3564"/>
  <c r="BH198" i="3564"/>
  <c r="AG199" i="3564"/>
  <c r="AN198" i="3564"/>
  <c r="BQ201" i="3564"/>
  <c r="BX200" i="3564"/>
  <c r="BY200" i="3564"/>
  <c r="BR201" i="3564"/>
  <c r="BO201" i="3564"/>
  <c r="BV200" i="3564"/>
  <c r="AI199" i="3564"/>
  <c r="AP198" i="3564"/>
  <c r="AJ200" i="3564"/>
  <c r="AQ199" i="3564"/>
  <c r="BU200" i="3564"/>
  <c r="BN201" i="3564"/>
  <c r="AD198" i="3564"/>
  <c r="Z199" i="3564"/>
  <c r="AR198" i="3564"/>
  <c r="AK199" i="3564"/>
  <c r="BF199" i="3564"/>
  <c r="BJ198" i="3564"/>
  <c r="AO198" i="3564"/>
  <c r="AH199" i="3564"/>
  <c r="AM199" i="3564"/>
  <c r="AT198" i="3564"/>
  <c r="AC198" i="3564"/>
  <c r="Y199" i="3564"/>
  <c r="BP202" i="3564"/>
  <c r="BW201" i="3564"/>
  <c r="BT203" i="3564"/>
  <c r="CA202" i="3564"/>
  <c r="BS203" i="3564"/>
  <c r="BZ202" i="3564"/>
  <c r="Z200" i="3564" l="1"/>
  <c r="AD199" i="3564"/>
  <c r="AP199" i="3564"/>
  <c r="AI200" i="3564"/>
  <c r="AQ200" i="3564"/>
  <c r="AJ201" i="3564"/>
  <c r="AC199" i="3564"/>
  <c r="Y200" i="3564"/>
  <c r="AT199" i="3564"/>
  <c r="AM200" i="3564"/>
  <c r="BN202" i="3564"/>
  <c r="BU201" i="3564"/>
  <c r="BO202" i="3564"/>
  <c r="BV201" i="3564"/>
  <c r="BX201" i="3564"/>
  <c r="BQ202" i="3564"/>
  <c r="AO199" i="3564"/>
  <c r="AH200" i="3564"/>
  <c r="BR202" i="3564"/>
  <c r="BY201" i="3564"/>
  <c r="AN199" i="3564"/>
  <c r="AG200" i="3564"/>
  <c r="BH199" i="3564"/>
  <c r="BD200" i="3564"/>
  <c r="AL200" i="3564"/>
  <c r="AS199" i="3564"/>
  <c r="BJ199" i="3564"/>
  <c r="BF200" i="3564"/>
  <c r="X199" i="3564"/>
  <c r="AB198" i="3564"/>
  <c r="AR199" i="3564"/>
  <c r="AK200" i="3564"/>
  <c r="BE200" i="3564"/>
  <c r="BI199" i="3564"/>
  <c r="BT204" i="3564"/>
  <c r="CA203" i="3564"/>
  <c r="BW202" i="3564"/>
  <c r="BP203" i="3564"/>
  <c r="BZ203" i="3564"/>
  <c r="BS204" i="3564"/>
  <c r="AO200" i="3564" l="1"/>
  <c r="AH201" i="3564"/>
  <c r="BD201" i="3564"/>
  <c r="BH200" i="3564"/>
  <c r="BQ203" i="3564"/>
  <c r="BX202" i="3564"/>
  <c r="AG201" i="3564"/>
  <c r="AN200" i="3564"/>
  <c r="BR203" i="3564"/>
  <c r="BY202" i="3564"/>
  <c r="AC200" i="3564"/>
  <c r="Y201" i="3564"/>
  <c r="AM201" i="3564"/>
  <c r="AT200" i="3564"/>
  <c r="AK201" i="3564"/>
  <c r="AR200" i="3564"/>
  <c r="BF201" i="3564"/>
  <c r="BJ200" i="3564"/>
  <c r="BO203" i="3564"/>
  <c r="BV202" i="3564"/>
  <c r="BN203" i="3564"/>
  <c r="BU202" i="3564"/>
  <c r="BE201" i="3564"/>
  <c r="BI200" i="3564"/>
  <c r="AQ201" i="3564"/>
  <c r="AJ202" i="3564"/>
  <c r="X200" i="3564"/>
  <c r="AB199" i="3564"/>
  <c r="AI201" i="3564"/>
  <c r="AP200" i="3564"/>
  <c r="AS200" i="3564"/>
  <c r="AL201" i="3564"/>
  <c r="Z201" i="3564"/>
  <c r="AD200" i="3564"/>
  <c r="BW203" i="3564"/>
  <c r="BP204" i="3564"/>
  <c r="CA204" i="3564"/>
  <c r="BT205" i="3564"/>
  <c r="BS205" i="3564"/>
  <c r="BZ204" i="3564"/>
  <c r="BV203" i="3564" l="1"/>
  <c r="BO204" i="3564"/>
  <c r="BE202" i="3564"/>
  <c r="BI201" i="3564"/>
  <c r="AM202" i="3564"/>
  <c r="AT201" i="3564"/>
  <c r="BN204" i="3564"/>
  <c r="BU203" i="3564"/>
  <c r="BY203" i="3564"/>
  <c r="BR204" i="3564"/>
  <c r="AD201" i="3564"/>
  <c r="Z202" i="3564"/>
  <c r="AK202" i="3564"/>
  <c r="AR201" i="3564"/>
  <c r="AC201" i="3564"/>
  <c r="Y202" i="3564"/>
  <c r="AL202" i="3564"/>
  <c r="AS201" i="3564"/>
  <c r="BX203" i="3564"/>
  <c r="BQ204" i="3564"/>
  <c r="AQ202" i="3564"/>
  <c r="AJ203" i="3564"/>
  <c r="BF202" i="3564"/>
  <c r="BJ201" i="3564"/>
  <c r="AG202" i="3564"/>
  <c r="AN201" i="3564"/>
  <c r="AP201" i="3564"/>
  <c r="AI202" i="3564"/>
  <c r="AB200" i="3564"/>
  <c r="X201" i="3564"/>
  <c r="BH201" i="3564"/>
  <c r="BD202" i="3564"/>
  <c r="AH202" i="3564"/>
  <c r="AO201" i="3564"/>
  <c r="BZ205" i="3564"/>
  <c r="BS206" i="3564"/>
  <c r="BW204" i="3564"/>
  <c r="BP205" i="3564"/>
  <c r="CA205" i="3564"/>
  <c r="BT206" i="3564"/>
  <c r="BX204" i="3564" l="1"/>
  <c r="BQ205" i="3564"/>
  <c r="AL203" i="3564"/>
  <c r="AS202" i="3564"/>
  <c r="BH202" i="3564"/>
  <c r="BD203" i="3564"/>
  <c r="BF203" i="3564"/>
  <c r="BJ202" i="3564"/>
  <c r="AC202" i="3564"/>
  <c r="Y203" i="3564"/>
  <c r="AD202" i="3564"/>
  <c r="Z203" i="3564"/>
  <c r="AH203" i="3564"/>
  <c r="AO202" i="3564"/>
  <c r="BU204" i="3564"/>
  <c r="BN205" i="3564"/>
  <c r="AT202" i="3564"/>
  <c r="AM203" i="3564"/>
  <c r="AQ203" i="3564"/>
  <c r="AJ204" i="3564"/>
  <c r="AR202" i="3564"/>
  <c r="AK203" i="3564"/>
  <c r="BR205" i="3564"/>
  <c r="BY204" i="3564"/>
  <c r="X202" i="3564"/>
  <c r="AB201" i="3564"/>
  <c r="AI203" i="3564"/>
  <c r="AP202" i="3564"/>
  <c r="BE203" i="3564"/>
  <c r="BI202" i="3564"/>
  <c r="BV204" i="3564"/>
  <c r="BO205" i="3564"/>
  <c r="AG203" i="3564"/>
  <c r="AN202" i="3564"/>
  <c r="BW205" i="3564"/>
  <c r="BP206" i="3564"/>
  <c r="CA206" i="3564"/>
  <c r="BT207" i="3564"/>
  <c r="BZ206" i="3564"/>
  <c r="BS207" i="3564"/>
  <c r="AQ204" i="3564" l="1"/>
  <c r="AJ205" i="3564"/>
  <c r="AH204" i="3564"/>
  <c r="AO203" i="3564"/>
  <c r="AG204" i="3564"/>
  <c r="AN203" i="3564"/>
  <c r="BY205" i="3564"/>
  <c r="BR206" i="3564"/>
  <c r="AT203" i="3564"/>
  <c r="AM204" i="3564"/>
  <c r="BV205" i="3564"/>
  <c r="BO206" i="3564"/>
  <c r="BH203" i="3564"/>
  <c r="BD204" i="3564"/>
  <c r="AK204" i="3564"/>
  <c r="AR203" i="3564"/>
  <c r="BU205" i="3564"/>
  <c r="BN206" i="3564"/>
  <c r="Z204" i="3564"/>
  <c r="AD203" i="3564"/>
  <c r="Y204" i="3564"/>
  <c r="AC203" i="3564"/>
  <c r="BJ203" i="3564"/>
  <c r="BF204" i="3564"/>
  <c r="BE204" i="3564"/>
  <c r="BI203" i="3564"/>
  <c r="AP203" i="3564"/>
  <c r="AI204" i="3564"/>
  <c r="AL204" i="3564"/>
  <c r="AS203" i="3564"/>
  <c r="BQ206" i="3564"/>
  <c r="BX205" i="3564"/>
  <c r="AB202" i="3564"/>
  <c r="X203" i="3564"/>
  <c r="BS208" i="3564"/>
  <c r="BZ207" i="3564"/>
  <c r="CA207" i="3564"/>
  <c r="BT208" i="3564"/>
  <c r="BP207" i="3564"/>
  <c r="BW206" i="3564"/>
  <c r="BU206" i="3564" l="1"/>
  <c r="BN207" i="3564"/>
  <c r="Y205" i="3564"/>
  <c r="AC204" i="3564"/>
  <c r="AM205" i="3564"/>
  <c r="AT204" i="3564"/>
  <c r="BJ204" i="3564"/>
  <c r="BF205" i="3564"/>
  <c r="AK205" i="3564"/>
  <c r="AR204" i="3564"/>
  <c r="AD204" i="3564"/>
  <c r="Z205" i="3564"/>
  <c r="BD205" i="3564"/>
  <c r="BH204" i="3564"/>
  <c r="BO207" i="3564"/>
  <c r="BV206" i="3564"/>
  <c r="BQ207" i="3564"/>
  <c r="BX206" i="3564"/>
  <c r="AN204" i="3564"/>
  <c r="AG205" i="3564"/>
  <c r="X204" i="3564"/>
  <c r="AB203" i="3564"/>
  <c r="BR207" i="3564"/>
  <c r="BY206" i="3564"/>
  <c r="AL205" i="3564"/>
  <c r="AS204" i="3564"/>
  <c r="AP204" i="3564"/>
  <c r="AI205" i="3564"/>
  <c r="AH205" i="3564"/>
  <c r="AO204" i="3564"/>
  <c r="AJ206" i="3564"/>
  <c r="AQ205" i="3564"/>
  <c r="BI204" i="3564"/>
  <c r="BE205" i="3564"/>
  <c r="BT209" i="3564"/>
  <c r="CA208" i="3564"/>
  <c r="BW207" i="3564"/>
  <c r="BP208" i="3564"/>
  <c r="BS209" i="3564"/>
  <c r="BZ208" i="3564"/>
  <c r="BR208" i="3564" l="1"/>
  <c r="BY207" i="3564"/>
  <c r="BO208" i="3564"/>
  <c r="BV207" i="3564"/>
  <c r="AQ206" i="3564"/>
  <c r="AJ207" i="3564"/>
  <c r="X205" i="3564"/>
  <c r="AB204" i="3564"/>
  <c r="BD206" i="3564"/>
  <c r="BH205" i="3564"/>
  <c r="AR205" i="3564"/>
  <c r="AK206" i="3564"/>
  <c r="AO205" i="3564"/>
  <c r="AH206" i="3564"/>
  <c r="AG206" i="3564"/>
  <c r="AN205" i="3564"/>
  <c r="BQ208" i="3564"/>
  <c r="BX207" i="3564"/>
  <c r="AD205" i="3564"/>
  <c r="Z206" i="3564"/>
  <c r="BI205" i="3564"/>
  <c r="BE206" i="3564"/>
  <c r="BJ205" i="3564"/>
  <c r="BF206" i="3564"/>
  <c r="AM206" i="3564"/>
  <c r="AT205" i="3564"/>
  <c r="AP205" i="3564"/>
  <c r="AI206" i="3564"/>
  <c r="Y206" i="3564"/>
  <c r="AC205" i="3564"/>
  <c r="BN208" i="3564"/>
  <c r="BU207" i="3564"/>
  <c r="AL206" i="3564"/>
  <c r="AS205" i="3564"/>
  <c r="BW208" i="3564"/>
  <c r="BP209" i="3564"/>
  <c r="BS210" i="3564"/>
  <c r="BZ209" i="3564"/>
  <c r="BT210" i="3564"/>
  <c r="CA209" i="3564"/>
  <c r="BJ206" i="3564" l="1"/>
  <c r="BF207" i="3564"/>
  <c r="BE207" i="3564"/>
  <c r="BI206" i="3564"/>
  <c r="AG207" i="3564"/>
  <c r="AN206" i="3564"/>
  <c r="AD206" i="3564"/>
  <c r="Z207" i="3564"/>
  <c r="AR206" i="3564"/>
  <c r="AK207" i="3564"/>
  <c r="BN209" i="3564"/>
  <c r="BU208" i="3564"/>
  <c r="AC206" i="3564"/>
  <c r="Y207" i="3564"/>
  <c r="AL207" i="3564"/>
  <c r="AS206" i="3564"/>
  <c r="X206" i="3564"/>
  <c r="AB205" i="3564"/>
  <c r="BX208" i="3564"/>
  <c r="BQ209" i="3564"/>
  <c r="AO206" i="3564"/>
  <c r="AH207" i="3564"/>
  <c r="BD207" i="3564"/>
  <c r="BH206" i="3564"/>
  <c r="AJ208" i="3564"/>
  <c r="AQ207" i="3564"/>
  <c r="AP206" i="3564"/>
  <c r="AI207" i="3564"/>
  <c r="BV208" i="3564"/>
  <c r="BO209" i="3564"/>
  <c r="AT206" i="3564"/>
  <c r="AM207" i="3564"/>
  <c r="BR209" i="3564"/>
  <c r="BY208" i="3564"/>
  <c r="BP210" i="3564"/>
  <c r="BW209" i="3564"/>
  <c r="BZ210" i="3564"/>
  <c r="BS211" i="3564"/>
  <c r="CA210" i="3564"/>
  <c r="BT211" i="3564"/>
  <c r="BX209" i="3564" l="1"/>
  <c r="BQ210" i="3564"/>
  <c r="AL208" i="3564"/>
  <c r="AS207" i="3564"/>
  <c r="AB206" i="3564"/>
  <c r="X207" i="3564"/>
  <c r="BY209" i="3564"/>
  <c r="BR210" i="3564"/>
  <c r="AO207" i="3564"/>
  <c r="AH208" i="3564"/>
  <c r="AC207" i="3564"/>
  <c r="Y208" i="3564"/>
  <c r="BO210" i="3564"/>
  <c r="BV209" i="3564"/>
  <c r="BU209" i="3564"/>
  <c r="BN210" i="3564"/>
  <c r="AD207" i="3564"/>
  <c r="Z208" i="3564"/>
  <c r="BD208" i="3564"/>
  <c r="BH207" i="3564"/>
  <c r="AK208" i="3564"/>
  <c r="AR207" i="3564"/>
  <c r="AM208" i="3564"/>
  <c r="AT207" i="3564"/>
  <c r="AN207" i="3564"/>
  <c r="AG208" i="3564"/>
  <c r="AI208" i="3564"/>
  <c r="AP207" i="3564"/>
  <c r="BE208" i="3564"/>
  <c r="BI207" i="3564"/>
  <c r="BF208" i="3564"/>
  <c r="BJ207" i="3564"/>
  <c r="AQ208" i="3564"/>
  <c r="AJ209" i="3564"/>
  <c r="BS212" i="3564"/>
  <c r="BZ211" i="3564"/>
  <c r="BP211" i="3564"/>
  <c r="BW210" i="3564"/>
  <c r="BT212" i="3564"/>
  <c r="CA211" i="3564"/>
  <c r="BD209" i="3564" l="1"/>
  <c r="BH208" i="3564"/>
  <c r="BO211" i="3564"/>
  <c r="BV210" i="3564"/>
  <c r="BU210" i="3564"/>
  <c r="BN211" i="3564"/>
  <c r="AM209" i="3564"/>
  <c r="AT208" i="3564"/>
  <c r="AQ209" i="3564"/>
  <c r="AJ210" i="3564"/>
  <c r="AR208" i="3564"/>
  <c r="AK209" i="3564"/>
  <c r="Z209" i="3564"/>
  <c r="AD208" i="3564"/>
  <c r="BY210" i="3564"/>
  <c r="BR211" i="3564"/>
  <c r="BJ208" i="3564"/>
  <c r="BF209" i="3564"/>
  <c r="X208" i="3564"/>
  <c r="AB207" i="3564"/>
  <c r="AG209" i="3564"/>
  <c r="AN208" i="3564"/>
  <c r="AC208" i="3564"/>
  <c r="Y209" i="3564"/>
  <c r="AO208" i="3564"/>
  <c r="AH209" i="3564"/>
  <c r="BI208" i="3564"/>
  <c r="BE209" i="3564"/>
  <c r="AI209" i="3564"/>
  <c r="AP208" i="3564"/>
  <c r="AL209" i="3564"/>
  <c r="AS208" i="3564"/>
  <c r="BQ211" i="3564"/>
  <c r="BX210" i="3564"/>
  <c r="BT213" i="3564"/>
  <c r="CA212" i="3564"/>
  <c r="BS213" i="3564"/>
  <c r="BZ212" i="3564"/>
  <c r="BP212" i="3564"/>
  <c r="BW211" i="3564"/>
  <c r="AG210" i="3564" l="1"/>
  <c r="AN209" i="3564"/>
  <c r="BJ209" i="3564"/>
  <c r="BF210" i="3564"/>
  <c r="AC209" i="3564"/>
  <c r="Y210" i="3564"/>
  <c r="BY211" i="3564"/>
  <c r="BR212" i="3564"/>
  <c r="AD209" i="3564"/>
  <c r="Z210" i="3564"/>
  <c r="BQ212" i="3564"/>
  <c r="BX211" i="3564"/>
  <c r="AL210" i="3564"/>
  <c r="AS209" i="3564"/>
  <c r="AP209" i="3564"/>
  <c r="AI210" i="3564"/>
  <c r="X209" i="3564"/>
  <c r="AB208" i="3564"/>
  <c r="AR209" i="3564"/>
  <c r="AK210" i="3564"/>
  <c r="AJ211" i="3564"/>
  <c r="AQ210" i="3564"/>
  <c r="AM210" i="3564"/>
  <c r="AT209" i="3564"/>
  <c r="BN212" i="3564"/>
  <c r="BU211" i="3564"/>
  <c r="BE210" i="3564"/>
  <c r="BI209" i="3564"/>
  <c r="BO212" i="3564"/>
  <c r="BV211" i="3564"/>
  <c r="AH210" i="3564"/>
  <c r="AO209" i="3564"/>
  <c r="BH209" i="3564"/>
  <c r="BD210" i="3564"/>
  <c r="BP213" i="3564"/>
  <c r="BW212" i="3564"/>
  <c r="BS214" i="3564"/>
  <c r="BZ213" i="3564"/>
  <c r="BT214" i="3564"/>
  <c r="CA213" i="3564"/>
  <c r="AR210" i="3564" l="1"/>
  <c r="AK211" i="3564"/>
  <c r="AP210" i="3564"/>
  <c r="AI211" i="3564"/>
  <c r="AS210" i="3564"/>
  <c r="AL211" i="3564"/>
  <c r="AD210" i="3564"/>
  <c r="Z211" i="3564"/>
  <c r="AQ211" i="3564"/>
  <c r="AJ212" i="3564"/>
  <c r="Y211" i="3564"/>
  <c r="AC210" i="3564"/>
  <c r="X210" i="3564"/>
  <c r="AB209" i="3564"/>
  <c r="BD211" i="3564"/>
  <c r="BH210" i="3564"/>
  <c r="BR213" i="3564"/>
  <c r="BY212" i="3564"/>
  <c r="AM211" i="3564"/>
  <c r="AT210" i="3564"/>
  <c r="BX212" i="3564"/>
  <c r="BQ213" i="3564"/>
  <c r="AH211" i="3564"/>
  <c r="AO210" i="3564"/>
  <c r="BO213" i="3564"/>
  <c r="BV212" i="3564"/>
  <c r="BF211" i="3564"/>
  <c r="BJ210" i="3564"/>
  <c r="BE211" i="3564"/>
  <c r="BI210" i="3564"/>
  <c r="BU212" i="3564"/>
  <c r="BN213" i="3564"/>
  <c r="AG211" i="3564"/>
  <c r="AN210" i="3564"/>
  <c r="BT215" i="3564"/>
  <c r="CA214" i="3564"/>
  <c r="BP214" i="3564"/>
  <c r="BW213" i="3564"/>
  <c r="BS215" i="3564"/>
  <c r="BZ214" i="3564"/>
  <c r="BX213" i="3564" l="1"/>
  <c r="BQ214" i="3564"/>
  <c r="BD212" i="3564"/>
  <c r="BH211" i="3564"/>
  <c r="BR214" i="3564"/>
  <c r="BY213" i="3564"/>
  <c r="AJ213" i="3564"/>
  <c r="AQ212" i="3564"/>
  <c r="X211" i="3564"/>
  <c r="AB210" i="3564"/>
  <c r="AT211" i="3564"/>
  <c r="AM212" i="3564"/>
  <c r="Y212" i="3564"/>
  <c r="AC211" i="3564"/>
  <c r="BN214" i="3564"/>
  <c r="BU213" i="3564"/>
  <c r="AP211" i="3564"/>
  <c r="AI212" i="3564"/>
  <c r="AO211" i="3564"/>
  <c r="AH212" i="3564"/>
  <c r="AN211" i="3564"/>
  <c r="AG212" i="3564"/>
  <c r="Z212" i="3564"/>
  <c r="AD211" i="3564"/>
  <c r="AS211" i="3564"/>
  <c r="AL212" i="3564"/>
  <c r="BE212" i="3564"/>
  <c r="BI211" i="3564"/>
  <c r="BJ211" i="3564"/>
  <c r="BF212" i="3564"/>
  <c r="AR211" i="3564"/>
  <c r="AK212" i="3564"/>
  <c r="BO214" i="3564"/>
  <c r="BV213" i="3564"/>
  <c r="BZ215" i="3564"/>
  <c r="BS216" i="3564"/>
  <c r="BT216" i="3564"/>
  <c r="CA215" i="3564"/>
  <c r="BP215" i="3564"/>
  <c r="BW214" i="3564"/>
  <c r="AO212" i="3564" l="1"/>
  <c r="AH213" i="3564"/>
  <c r="Z213" i="3564"/>
  <c r="AD212" i="3564"/>
  <c r="Y213" i="3564"/>
  <c r="AC212" i="3564"/>
  <c r="AN212" i="3564"/>
  <c r="AG213" i="3564"/>
  <c r="AI213" i="3564"/>
  <c r="AP212" i="3564"/>
  <c r="AR212" i="3564"/>
  <c r="AK213" i="3564"/>
  <c r="AB211" i="3564"/>
  <c r="X212" i="3564"/>
  <c r="AJ214" i="3564"/>
  <c r="AQ213" i="3564"/>
  <c r="AL213" i="3564"/>
  <c r="AS212" i="3564"/>
  <c r="BN215" i="3564"/>
  <c r="BU214" i="3564"/>
  <c r="AM213" i="3564"/>
  <c r="AT212" i="3564"/>
  <c r="BV214" i="3564"/>
  <c r="BO215" i="3564"/>
  <c r="BJ212" i="3564"/>
  <c r="BF213" i="3564"/>
  <c r="BY214" i="3564"/>
  <c r="BR215" i="3564"/>
  <c r="BE213" i="3564"/>
  <c r="BI212" i="3564"/>
  <c r="BH212" i="3564"/>
  <c r="BD213" i="3564"/>
  <c r="BQ215" i="3564"/>
  <c r="BX214" i="3564"/>
  <c r="BW215" i="3564"/>
  <c r="BP216" i="3564"/>
  <c r="BT217" i="3564"/>
  <c r="CA216" i="3564"/>
  <c r="BS217" i="3564"/>
  <c r="BZ216" i="3564"/>
  <c r="BO216" i="3564" l="1"/>
  <c r="BV215" i="3564"/>
  <c r="BN216" i="3564"/>
  <c r="BU215" i="3564"/>
  <c r="AJ215" i="3564"/>
  <c r="AQ214" i="3564"/>
  <c r="BX215" i="3564"/>
  <c r="BQ216" i="3564"/>
  <c r="AK214" i="3564"/>
  <c r="AR213" i="3564"/>
  <c r="BH213" i="3564"/>
  <c r="BD214" i="3564"/>
  <c r="AS213" i="3564"/>
  <c r="AL214" i="3564"/>
  <c r="AB212" i="3564"/>
  <c r="X213" i="3564"/>
  <c r="AI214" i="3564"/>
  <c r="AP213" i="3564"/>
  <c r="Y214" i="3564"/>
  <c r="AC213" i="3564"/>
  <c r="BF214" i="3564"/>
  <c r="BJ213" i="3564"/>
  <c r="AM214" i="3564"/>
  <c r="AT213" i="3564"/>
  <c r="AG214" i="3564"/>
  <c r="AN213" i="3564"/>
  <c r="BI213" i="3564"/>
  <c r="BE214" i="3564"/>
  <c r="BR216" i="3564"/>
  <c r="BY215" i="3564"/>
  <c r="AD213" i="3564"/>
  <c r="Z214" i="3564"/>
  <c r="AO213" i="3564"/>
  <c r="AH214" i="3564"/>
  <c r="CA217" i="3564"/>
  <c r="BT218" i="3564"/>
  <c r="BW216" i="3564"/>
  <c r="BP217" i="3564"/>
  <c r="BS218" i="3564"/>
  <c r="BZ217" i="3564"/>
  <c r="BF215" i="3564" l="1"/>
  <c r="BJ214" i="3564"/>
  <c r="AP214" i="3564"/>
  <c r="AI215" i="3564"/>
  <c r="BH214" i="3564"/>
  <c r="BD215" i="3564"/>
  <c r="AM215" i="3564"/>
  <c r="AT214" i="3564"/>
  <c r="AB213" i="3564"/>
  <c r="X214" i="3564"/>
  <c r="BQ217" i="3564"/>
  <c r="BX216" i="3564"/>
  <c r="AL215" i="3564"/>
  <c r="AS214" i="3564"/>
  <c r="AD214" i="3564"/>
  <c r="Z215" i="3564"/>
  <c r="BE215" i="3564"/>
  <c r="BI214" i="3564"/>
  <c r="AC214" i="3564"/>
  <c r="Y215" i="3564"/>
  <c r="AH215" i="3564"/>
  <c r="AO214" i="3564"/>
  <c r="AK215" i="3564"/>
  <c r="AR214" i="3564"/>
  <c r="BR217" i="3564"/>
  <c r="BY216" i="3564"/>
  <c r="AQ215" i="3564"/>
  <c r="AJ216" i="3564"/>
  <c r="BU216" i="3564"/>
  <c r="BN217" i="3564"/>
  <c r="AG215" i="3564"/>
  <c r="AN214" i="3564"/>
  <c r="BO217" i="3564"/>
  <c r="BV216" i="3564"/>
  <c r="BW217" i="3564"/>
  <c r="BP218" i="3564"/>
  <c r="CA218" i="3564"/>
  <c r="BT219" i="3564"/>
  <c r="BZ218" i="3564"/>
  <c r="BS219" i="3564"/>
  <c r="AR215" i="3564" l="1"/>
  <c r="AK216" i="3564"/>
  <c r="Z216" i="3564"/>
  <c r="AD215" i="3564"/>
  <c r="BI215" i="3564"/>
  <c r="BE216" i="3564"/>
  <c r="AL216" i="3564"/>
  <c r="AS215" i="3564"/>
  <c r="AO215" i="3564"/>
  <c r="AH216" i="3564"/>
  <c r="X215" i="3564"/>
  <c r="AB214" i="3564"/>
  <c r="AC215" i="3564"/>
  <c r="Y216" i="3564"/>
  <c r="BQ218" i="3564"/>
  <c r="BX217" i="3564"/>
  <c r="BV217" i="3564"/>
  <c r="BO218" i="3564"/>
  <c r="AN215" i="3564"/>
  <c r="AG216" i="3564"/>
  <c r="AT215" i="3564"/>
  <c r="AM216" i="3564"/>
  <c r="BN218" i="3564"/>
  <c r="BU217" i="3564"/>
  <c r="BD216" i="3564"/>
  <c r="BH215" i="3564"/>
  <c r="AJ217" i="3564"/>
  <c r="AQ216" i="3564"/>
  <c r="AP215" i="3564"/>
  <c r="AI216" i="3564"/>
  <c r="BR218" i="3564"/>
  <c r="BY217" i="3564"/>
  <c r="BF216" i="3564"/>
  <c r="BJ215" i="3564"/>
  <c r="BZ219" i="3564"/>
  <c r="BS220" i="3564"/>
  <c r="BP219" i="3564"/>
  <c r="BW218" i="3564"/>
  <c r="CA219" i="3564"/>
  <c r="BT220" i="3564"/>
  <c r="AT216" i="3564" l="1"/>
  <c r="AM217" i="3564"/>
  <c r="AG217" i="3564"/>
  <c r="AN216" i="3564"/>
  <c r="AC216" i="3564"/>
  <c r="Y217" i="3564"/>
  <c r="AH217" i="3564"/>
  <c r="AO216" i="3564"/>
  <c r="BY218" i="3564"/>
  <c r="BR219" i="3564"/>
  <c r="BN219" i="3564"/>
  <c r="BU218" i="3564"/>
  <c r="BO219" i="3564"/>
  <c r="BV218" i="3564"/>
  <c r="AB215" i="3564"/>
  <c r="X216" i="3564"/>
  <c r="BF217" i="3564"/>
  <c r="BJ216" i="3564"/>
  <c r="AP216" i="3564"/>
  <c r="AI217" i="3564"/>
  <c r="BQ219" i="3564"/>
  <c r="BX218" i="3564"/>
  <c r="AS216" i="3564"/>
  <c r="AL217" i="3564"/>
  <c r="BI216" i="3564"/>
  <c r="BE217" i="3564"/>
  <c r="AJ218" i="3564"/>
  <c r="AQ217" i="3564"/>
  <c r="Z217" i="3564"/>
  <c r="AD216" i="3564"/>
  <c r="AK217" i="3564"/>
  <c r="AR216" i="3564"/>
  <c r="BH216" i="3564"/>
  <c r="BD217" i="3564"/>
  <c r="BT221" i="3564"/>
  <c r="CA220" i="3564"/>
  <c r="BZ220" i="3564"/>
  <c r="BS221" i="3564"/>
  <c r="BW219" i="3564"/>
  <c r="BP220" i="3564"/>
  <c r="BQ220" i="3564" l="1"/>
  <c r="BX219" i="3564"/>
  <c r="BF218" i="3564"/>
  <c r="BJ217" i="3564"/>
  <c r="AB216" i="3564"/>
  <c r="X217" i="3564"/>
  <c r="BU219" i="3564"/>
  <c r="BN220" i="3564"/>
  <c r="AK218" i="3564"/>
  <c r="AR217" i="3564"/>
  <c r="AI218" i="3564"/>
  <c r="AP217" i="3564"/>
  <c r="BR220" i="3564"/>
  <c r="BY219" i="3564"/>
  <c r="Y218" i="3564"/>
  <c r="AC217" i="3564"/>
  <c r="AS217" i="3564"/>
  <c r="AL218" i="3564"/>
  <c r="BV219" i="3564"/>
  <c r="BO220" i="3564"/>
  <c r="BH217" i="3564"/>
  <c r="BD218" i="3564"/>
  <c r="AO217" i="3564"/>
  <c r="AH218" i="3564"/>
  <c r="AD217" i="3564"/>
  <c r="Z218" i="3564"/>
  <c r="AJ219" i="3564"/>
  <c r="AQ218" i="3564"/>
  <c r="AG218" i="3564"/>
  <c r="AN217" i="3564"/>
  <c r="BI217" i="3564"/>
  <c r="BE218" i="3564"/>
  <c r="AM218" i="3564"/>
  <c r="AT217" i="3564"/>
  <c r="BW220" i="3564"/>
  <c r="BP221" i="3564"/>
  <c r="BZ221" i="3564"/>
  <c r="BS222" i="3564"/>
  <c r="BT222" i="3564"/>
  <c r="CA221" i="3564"/>
  <c r="BO221" i="3564" l="1"/>
  <c r="BV220" i="3564"/>
  <c r="BR221" i="3564"/>
  <c r="BY220" i="3564"/>
  <c r="BD219" i="3564"/>
  <c r="BH218" i="3564"/>
  <c r="AR218" i="3564"/>
  <c r="AK219" i="3564"/>
  <c r="AS218" i="3564"/>
  <c r="AL219" i="3564"/>
  <c r="X218" i="3564"/>
  <c r="AB217" i="3564"/>
  <c r="Y219" i="3564"/>
  <c r="AC218" i="3564"/>
  <c r="AP218" i="3564"/>
  <c r="AI219" i="3564"/>
  <c r="BI218" i="3564"/>
  <c r="BE219" i="3564"/>
  <c r="AN218" i="3564"/>
  <c r="AG219" i="3564"/>
  <c r="AO218" i="3564"/>
  <c r="AH219" i="3564"/>
  <c r="AM219" i="3564"/>
  <c r="AT218" i="3564"/>
  <c r="BU220" i="3564"/>
  <c r="BN221" i="3564"/>
  <c r="AQ219" i="3564"/>
  <c r="AJ220" i="3564"/>
  <c r="BJ218" i="3564"/>
  <c r="BF219" i="3564"/>
  <c r="AD218" i="3564"/>
  <c r="Z219" i="3564"/>
  <c r="BQ221" i="3564"/>
  <c r="BX220" i="3564"/>
  <c r="CA222" i="3564"/>
  <c r="BT223" i="3564"/>
  <c r="BZ222" i="3564"/>
  <c r="BS223" i="3564"/>
  <c r="BP222" i="3564"/>
  <c r="BW221" i="3564"/>
  <c r="AT219" i="3564" l="1"/>
  <c r="AM220" i="3564"/>
  <c r="BE220" i="3564"/>
  <c r="BI219" i="3564"/>
  <c r="AN219" i="3564"/>
  <c r="AG220" i="3564"/>
  <c r="AP219" i="3564"/>
  <c r="AI220" i="3564"/>
  <c r="AC219" i="3564"/>
  <c r="Y220" i="3564"/>
  <c r="BQ222" i="3564"/>
  <c r="BX221" i="3564"/>
  <c r="BF220" i="3564"/>
  <c r="BJ219" i="3564"/>
  <c r="AL220" i="3564"/>
  <c r="AS219" i="3564"/>
  <c r="AK220" i="3564"/>
  <c r="AR219" i="3564"/>
  <c r="BD220" i="3564"/>
  <c r="BH219" i="3564"/>
  <c r="AO219" i="3564"/>
  <c r="AH220" i="3564"/>
  <c r="AB218" i="3564"/>
  <c r="X219" i="3564"/>
  <c r="Z220" i="3564"/>
  <c r="AD219" i="3564"/>
  <c r="AJ221" i="3564"/>
  <c r="AQ220" i="3564"/>
  <c r="BR222" i="3564"/>
  <c r="BY221" i="3564"/>
  <c r="BN222" i="3564"/>
  <c r="BU221" i="3564"/>
  <c r="BO222" i="3564"/>
  <c r="BV221" i="3564"/>
  <c r="BT224" i="3564"/>
  <c r="CA223" i="3564"/>
  <c r="BP223" i="3564"/>
  <c r="BW222" i="3564"/>
  <c r="BS224" i="3564"/>
  <c r="BZ223" i="3564"/>
  <c r="AK221" i="3564" l="1"/>
  <c r="AR220" i="3564"/>
  <c r="AO220" i="3564"/>
  <c r="AH221" i="3564"/>
  <c r="Y221" i="3564"/>
  <c r="AC220" i="3564"/>
  <c r="AB219" i="3564"/>
  <c r="X220" i="3564"/>
  <c r="BF221" i="3564"/>
  <c r="BJ220" i="3564"/>
  <c r="BU222" i="3564"/>
  <c r="BN223" i="3564"/>
  <c r="BD221" i="3564"/>
  <c r="BH220" i="3564"/>
  <c r="BQ223" i="3564"/>
  <c r="BX222" i="3564"/>
  <c r="AN220" i="3564"/>
  <c r="AG221" i="3564"/>
  <c r="AL221" i="3564"/>
  <c r="AS220" i="3564"/>
  <c r="BO223" i="3564"/>
  <c r="BV222" i="3564"/>
  <c r="AI221" i="3564"/>
  <c r="AP220" i="3564"/>
  <c r="BY222" i="3564"/>
  <c r="BR223" i="3564"/>
  <c r="AQ221" i="3564"/>
  <c r="AJ222" i="3564"/>
  <c r="BE221" i="3564"/>
  <c r="BI220" i="3564"/>
  <c r="AM221" i="3564"/>
  <c r="AT220" i="3564"/>
  <c r="AD220" i="3564"/>
  <c r="Z221" i="3564"/>
  <c r="BS225" i="3564"/>
  <c r="BZ224" i="3564"/>
  <c r="BP224" i="3564"/>
  <c r="BW223" i="3564"/>
  <c r="BT225" i="3564"/>
  <c r="CA224" i="3564"/>
  <c r="BO224" i="3564" l="1"/>
  <c r="BV223" i="3564"/>
  <c r="AN221" i="3564"/>
  <c r="AG222" i="3564"/>
  <c r="BH221" i="3564"/>
  <c r="BD222" i="3564"/>
  <c r="AS221" i="3564"/>
  <c r="AL222" i="3564"/>
  <c r="BU223" i="3564"/>
  <c r="BN224" i="3564"/>
  <c r="Z222" i="3564"/>
  <c r="AD221" i="3564"/>
  <c r="X221" i="3564"/>
  <c r="AB220" i="3564"/>
  <c r="BQ224" i="3564"/>
  <c r="BX223" i="3564"/>
  <c r="BJ221" i="3564"/>
  <c r="BF222" i="3564"/>
  <c r="AC221" i="3564"/>
  <c r="Y222" i="3564"/>
  <c r="BY223" i="3564"/>
  <c r="BR224" i="3564"/>
  <c r="AP221" i="3564"/>
  <c r="AI222" i="3564"/>
  <c r="AT221" i="3564"/>
  <c r="AM222" i="3564"/>
  <c r="BE222" i="3564"/>
  <c r="BI221" i="3564"/>
  <c r="AJ223" i="3564"/>
  <c r="AQ222" i="3564"/>
  <c r="AO221" i="3564"/>
  <c r="AH222" i="3564"/>
  <c r="AK222" i="3564"/>
  <c r="AR221" i="3564"/>
  <c r="BP225" i="3564"/>
  <c r="BW224" i="3564"/>
  <c r="BS226" i="3564"/>
  <c r="BZ225" i="3564"/>
  <c r="CA225" i="3564"/>
  <c r="BT226" i="3564"/>
  <c r="AI223" i="3564" l="1"/>
  <c r="AP222" i="3564"/>
  <c r="BF223" i="3564"/>
  <c r="BJ222" i="3564"/>
  <c r="BH222" i="3564"/>
  <c r="BD223" i="3564"/>
  <c r="Y223" i="3564"/>
  <c r="AC222" i="3564"/>
  <c r="BQ225" i="3564"/>
  <c r="BX224" i="3564"/>
  <c r="AB221" i="3564"/>
  <c r="X222" i="3564"/>
  <c r="AD222" i="3564"/>
  <c r="Z223" i="3564"/>
  <c r="AK223" i="3564"/>
  <c r="AR222" i="3564"/>
  <c r="AS222" i="3564"/>
  <c r="AL223" i="3564"/>
  <c r="AN222" i="3564"/>
  <c r="AG223" i="3564"/>
  <c r="BY224" i="3564"/>
  <c r="BR225" i="3564"/>
  <c r="BU224" i="3564"/>
  <c r="BN225" i="3564"/>
  <c r="AH223" i="3564"/>
  <c r="AO222" i="3564"/>
  <c r="AQ223" i="3564"/>
  <c r="AJ224" i="3564"/>
  <c r="BI222" i="3564"/>
  <c r="BE223" i="3564"/>
  <c r="AT222" i="3564"/>
  <c r="AM223" i="3564"/>
  <c r="BO225" i="3564"/>
  <c r="BV224" i="3564"/>
  <c r="BS227" i="3564"/>
  <c r="BZ226" i="3564"/>
  <c r="BT227" i="3564"/>
  <c r="CA226" i="3564"/>
  <c r="BP226" i="3564"/>
  <c r="BW225" i="3564"/>
  <c r="BR226" i="3564" l="1"/>
  <c r="BY225" i="3564"/>
  <c r="Z224" i="3564"/>
  <c r="AD223" i="3564"/>
  <c r="AL224" i="3564"/>
  <c r="AS223" i="3564"/>
  <c r="AM224" i="3564"/>
  <c r="AT223" i="3564"/>
  <c r="AN223" i="3564"/>
  <c r="AG224" i="3564"/>
  <c r="BQ226" i="3564"/>
  <c r="BX225" i="3564"/>
  <c r="BH223" i="3564"/>
  <c r="BD224" i="3564"/>
  <c r="BU225" i="3564"/>
  <c r="BN226" i="3564"/>
  <c r="AR223" i="3564"/>
  <c r="AK224" i="3564"/>
  <c r="X223" i="3564"/>
  <c r="AB222" i="3564"/>
  <c r="BO226" i="3564"/>
  <c r="BV225" i="3564"/>
  <c r="Y224" i="3564"/>
  <c r="AC223" i="3564"/>
  <c r="BE224" i="3564"/>
  <c r="BI223" i="3564"/>
  <c r="AQ224" i="3564"/>
  <c r="AJ225" i="3564"/>
  <c r="BJ223" i="3564"/>
  <c r="BF224" i="3564"/>
  <c r="AH224" i="3564"/>
  <c r="AO223" i="3564"/>
  <c r="AI224" i="3564"/>
  <c r="AP223" i="3564"/>
  <c r="BT228" i="3564"/>
  <c r="CA227" i="3564"/>
  <c r="BS228" i="3564"/>
  <c r="BZ227" i="3564"/>
  <c r="BW226" i="3564"/>
  <c r="BP227" i="3564"/>
  <c r="AC224" i="3564" l="1"/>
  <c r="Y225" i="3564"/>
  <c r="AR224" i="3564"/>
  <c r="AK225" i="3564"/>
  <c r="BQ227" i="3564"/>
  <c r="BX226" i="3564"/>
  <c r="BV226" i="3564"/>
  <c r="BO227" i="3564"/>
  <c r="BD225" i="3564"/>
  <c r="BH224" i="3564"/>
  <c r="AN224" i="3564"/>
  <c r="AG225" i="3564"/>
  <c r="AM225" i="3564"/>
  <c r="AT224" i="3564"/>
  <c r="BU226" i="3564"/>
  <c r="BN227" i="3564"/>
  <c r="AH225" i="3564"/>
  <c r="AO224" i="3564"/>
  <c r="AJ226" i="3564"/>
  <c r="AQ225" i="3564"/>
  <c r="X224" i="3564"/>
  <c r="AB223" i="3564"/>
  <c r="AI225" i="3564"/>
  <c r="AP224" i="3564"/>
  <c r="BJ224" i="3564"/>
  <c r="BF225" i="3564"/>
  <c r="AS224" i="3564"/>
  <c r="AL225" i="3564"/>
  <c r="Z225" i="3564"/>
  <c r="AD224" i="3564"/>
  <c r="BI224" i="3564"/>
  <c r="BE225" i="3564"/>
  <c r="BR227" i="3564"/>
  <c r="BY226" i="3564"/>
  <c r="BT229" i="3564"/>
  <c r="CA228" i="3564"/>
  <c r="BS229" i="3564"/>
  <c r="BZ228" i="3564"/>
  <c r="BW227" i="3564"/>
  <c r="BP228" i="3564"/>
  <c r="AI226" i="3564" l="1"/>
  <c r="AP225" i="3564"/>
  <c r="AH226" i="3564"/>
  <c r="AO225" i="3564"/>
  <c r="AM226" i="3564"/>
  <c r="AT225" i="3564"/>
  <c r="BY227" i="3564"/>
  <c r="BR228" i="3564"/>
  <c r="BV227" i="3564"/>
  <c r="BO228" i="3564"/>
  <c r="AQ226" i="3564"/>
  <c r="AJ227" i="3564"/>
  <c r="BN228" i="3564"/>
  <c r="BU227" i="3564"/>
  <c r="BI225" i="3564"/>
  <c r="BE226" i="3564"/>
  <c r="AS225" i="3564"/>
  <c r="AL226" i="3564"/>
  <c r="AB224" i="3564"/>
  <c r="X225" i="3564"/>
  <c r="AG226" i="3564"/>
  <c r="AN225" i="3564"/>
  <c r="BH225" i="3564"/>
  <c r="BD226" i="3564"/>
  <c r="Z226" i="3564"/>
  <c r="AD225" i="3564"/>
  <c r="BX227" i="3564"/>
  <c r="BQ228" i="3564"/>
  <c r="AR225" i="3564"/>
  <c r="AK226" i="3564"/>
  <c r="BF226" i="3564"/>
  <c r="BJ225" i="3564"/>
  <c r="AC225" i="3564"/>
  <c r="Y226" i="3564"/>
  <c r="BW228" i="3564"/>
  <c r="BP229" i="3564"/>
  <c r="CA229" i="3564"/>
  <c r="BT230" i="3564"/>
  <c r="BZ229" i="3564"/>
  <c r="BS230" i="3564"/>
  <c r="AB225" i="3564" l="1"/>
  <c r="X226" i="3564"/>
  <c r="AG227" i="3564"/>
  <c r="AN226" i="3564"/>
  <c r="BD227" i="3564"/>
  <c r="BH226" i="3564"/>
  <c r="BR229" i="3564"/>
  <c r="BY228" i="3564"/>
  <c r="BI226" i="3564"/>
  <c r="BE227" i="3564"/>
  <c r="AQ227" i="3564"/>
  <c r="AJ228" i="3564"/>
  <c r="BO229" i="3564"/>
  <c r="BV228" i="3564"/>
  <c r="AT226" i="3564"/>
  <c r="AM227" i="3564"/>
  <c r="AL227" i="3564"/>
  <c r="AS226" i="3564"/>
  <c r="BN229" i="3564"/>
  <c r="BU228" i="3564"/>
  <c r="Y227" i="3564"/>
  <c r="AC226" i="3564"/>
  <c r="BF227" i="3564"/>
  <c r="BJ226" i="3564"/>
  <c r="AR226" i="3564"/>
  <c r="AK227" i="3564"/>
  <c r="BX228" i="3564"/>
  <c r="BQ229" i="3564"/>
  <c r="AO226" i="3564"/>
  <c r="AH227" i="3564"/>
  <c r="Z227" i="3564"/>
  <c r="AD226" i="3564"/>
  <c r="AP226" i="3564"/>
  <c r="AI227" i="3564"/>
  <c r="CA230" i="3564"/>
  <c r="BT231" i="3564"/>
  <c r="BZ230" i="3564"/>
  <c r="BS231" i="3564"/>
  <c r="BW229" i="3564"/>
  <c r="BP230" i="3564"/>
  <c r="AC227" i="3564" l="1"/>
  <c r="Y228" i="3564"/>
  <c r="BO230" i="3564"/>
  <c r="BV229" i="3564"/>
  <c r="AL228" i="3564"/>
  <c r="AS227" i="3564"/>
  <c r="AQ228" i="3564"/>
  <c r="AJ229" i="3564"/>
  <c r="AP227" i="3564"/>
  <c r="AI228" i="3564"/>
  <c r="BY229" i="3564"/>
  <c r="BR230" i="3564"/>
  <c r="AM228" i="3564"/>
  <c r="AT227" i="3564"/>
  <c r="BI227" i="3564"/>
  <c r="BE228" i="3564"/>
  <c r="AO227" i="3564"/>
  <c r="AH228" i="3564"/>
  <c r="BX229" i="3564"/>
  <c r="BQ230" i="3564"/>
  <c r="BF228" i="3564"/>
  <c r="BJ227" i="3564"/>
  <c r="BU229" i="3564"/>
  <c r="BN230" i="3564"/>
  <c r="Z228" i="3564"/>
  <c r="AD227" i="3564"/>
  <c r="BD228" i="3564"/>
  <c r="BH227" i="3564"/>
  <c r="AN227" i="3564"/>
  <c r="AG228" i="3564"/>
  <c r="AK228" i="3564"/>
  <c r="AR227" i="3564"/>
  <c r="X227" i="3564"/>
  <c r="AB226" i="3564"/>
  <c r="BS232" i="3564"/>
  <c r="BZ231" i="3564"/>
  <c r="CA231" i="3564"/>
  <c r="BT232" i="3564"/>
  <c r="BP231" i="3564"/>
  <c r="BW230" i="3564"/>
  <c r="BU230" i="3564" l="1"/>
  <c r="BN231" i="3564"/>
  <c r="AH229" i="3564"/>
  <c r="AO228" i="3564"/>
  <c r="AI229" i="3564"/>
  <c r="AP228" i="3564"/>
  <c r="BJ228" i="3564"/>
  <c r="BF229" i="3564"/>
  <c r="AT228" i="3564"/>
  <c r="AM229" i="3564"/>
  <c r="X228" i="3564"/>
  <c r="AB227" i="3564"/>
  <c r="BR231" i="3564"/>
  <c r="BY230" i="3564"/>
  <c r="AQ229" i="3564"/>
  <c r="AJ230" i="3564"/>
  <c r="AN228" i="3564"/>
  <c r="AG229" i="3564"/>
  <c r="BQ231" i="3564"/>
  <c r="BX230" i="3564"/>
  <c r="BE229" i="3564"/>
  <c r="BI228" i="3564"/>
  <c r="AK229" i="3564"/>
  <c r="AR228" i="3564"/>
  <c r="AL229" i="3564"/>
  <c r="AS228" i="3564"/>
  <c r="BD229" i="3564"/>
  <c r="BH228" i="3564"/>
  <c r="BO231" i="3564"/>
  <c r="BV230" i="3564"/>
  <c r="Y229" i="3564"/>
  <c r="AC228" i="3564"/>
  <c r="Z229" i="3564"/>
  <c r="AD228" i="3564"/>
  <c r="BT233" i="3564"/>
  <c r="CA232" i="3564"/>
  <c r="BP232" i="3564"/>
  <c r="BW231" i="3564"/>
  <c r="BZ232" i="3564"/>
  <c r="BS233" i="3564"/>
  <c r="BE230" i="3564" l="1"/>
  <c r="BI229" i="3564"/>
  <c r="AN229" i="3564"/>
  <c r="AG230" i="3564"/>
  <c r="AK230" i="3564"/>
  <c r="AR229" i="3564"/>
  <c r="X229" i="3564"/>
  <c r="AB228" i="3564"/>
  <c r="BJ229" i="3564"/>
  <c r="BF230" i="3564"/>
  <c r="BQ232" i="3564"/>
  <c r="BX231" i="3564"/>
  <c r="AJ231" i="3564"/>
  <c r="AQ230" i="3564"/>
  <c r="AM230" i="3564"/>
  <c r="AT229" i="3564"/>
  <c r="AI230" i="3564"/>
  <c r="AP229" i="3564"/>
  <c r="BD230" i="3564"/>
  <c r="BH229" i="3564"/>
  <c r="BR232" i="3564"/>
  <c r="BY231" i="3564"/>
  <c r="Z230" i="3564"/>
  <c r="AD229" i="3564"/>
  <c r="Y230" i="3564"/>
  <c r="AC229" i="3564"/>
  <c r="BO232" i="3564"/>
  <c r="BV231" i="3564"/>
  <c r="AO229" i="3564"/>
  <c r="AH230" i="3564"/>
  <c r="BN232" i="3564"/>
  <c r="BU231" i="3564"/>
  <c r="AL230" i="3564"/>
  <c r="AS229" i="3564"/>
  <c r="BZ233" i="3564"/>
  <c r="BS234" i="3564"/>
  <c r="BW232" i="3564"/>
  <c r="BP233" i="3564"/>
  <c r="BT234" i="3564"/>
  <c r="CA233" i="3564"/>
  <c r="BR233" i="3564" l="1"/>
  <c r="BY232" i="3564"/>
  <c r="Z231" i="3564"/>
  <c r="AD230" i="3564"/>
  <c r="BD231" i="3564"/>
  <c r="BH230" i="3564"/>
  <c r="AM231" i="3564"/>
  <c r="AT230" i="3564"/>
  <c r="AP230" i="3564"/>
  <c r="AI231" i="3564"/>
  <c r="AJ232" i="3564"/>
  <c r="AQ231" i="3564"/>
  <c r="BJ230" i="3564"/>
  <c r="BF231" i="3564"/>
  <c r="BU232" i="3564"/>
  <c r="BN233" i="3564"/>
  <c r="AO230" i="3564"/>
  <c r="AH231" i="3564"/>
  <c r="AN230" i="3564"/>
  <c r="AG231" i="3564"/>
  <c r="BX232" i="3564"/>
  <c r="BQ233" i="3564"/>
  <c r="AL231" i="3564"/>
  <c r="AS230" i="3564"/>
  <c r="X230" i="3564"/>
  <c r="AB229" i="3564"/>
  <c r="AK231" i="3564"/>
  <c r="AR230" i="3564"/>
  <c r="BV232" i="3564"/>
  <c r="BO233" i="3564"/>
  <c r="Y231" i="3564"/>
  <c r="AC230" i="3564"/>
  <c r="BE231" i="3564"/>
  <c r="BI230" i="3564"/>
  <c r="BP234" i="3564"/>
  <c r="BW233" i="3564"/>
  <c r="CA234" i="3564"/>
  <c r="BT235" i="3564"/>
  <c r="BZ234" i="3564"/>
  <c r="BS235" i="3564"/>
  <c r="BQ234" i="3564" l="1"/>
  <c r="BX233" i="3564"/>
  <c r="AG232" i="3564"/>
  <c r="AN231" i="3564"/>
  <c r="AJ233" i="3564"/>
  <c r="AQ232" i="3564"/>
  <c r="AT231" i="3564"/>
  <c r="AM232" i="3564"/>
  <c r="AO231" i="3564"/>
  <c r="AH232" i="3564"/>
  <c r="AP231" i="3564"/>
  <c r="AI232" i="3564"/>
  <c r="BE232" i="3564"/>
  <c r="BI231" i="3564"/>
  <c r="BV233" i="3564"/>
  <c r="BO234" i="3564"/>
  <c r="AL232" i="3564"/>
  <c r="AS231" i="3564"/>
  <c r="BU233" i="3564"/>
  <c r="BN234" i="3564"/>
  <c r="BF232" i="3564"/>
  <c r="BJ231" i="3564"/>
  <c r="Y232" i="3564"/>
  <c r="AC231" i="3564"/>
  <c r="BD232" i="3564"/>
  <c r="BH231" i="3564"/>
  <c r="AK232" i="3564"/>
  <c r="AR231" i="3564"/>
  <c r="Z232" i="3564"/>
  <c r="AD231" i="3564"/>
  <c r="AB230" i="3564"/>
  <c r="X231" i="3564"/>
  <c r="BY233" i="3564"/>
  <c r="BR234" i="3564"/>
  <c r="BS236" i="3564"/>
  <c r="BZ235" i="3564"/>
  <c r="BT236" i="3564"/>
  <c r="CA235" i="3564"/>
  <c r="BP235" i="3564"/>
  <c r="BW234" i="3564"/>
  <c r="Y233" i="3564" l="1"/>
  <c r="AC232" i="3564"/>
  <c r="AS232" i="3564"/>
  <c r="AL233" i="3564"/>
  <c r="AH233" i="3564"/>
  <c r="AO232" i="3564"/>
  <c r="BU234" i="3564"/>
  <c r="BN235" i="3564"/>
  <c r="BV234" i="3564"/>
  <c r="BO235" i="3564"/>
  <c r="BE233" i="3564"/>
  <c r="BI232" i="3564"/>
  <c r="BF233" i="3564"/>
  <c r="BJ232" i="3564"/>
  <c r="AI233" i="3564"/>
  <c r="AP232" i="3564"/>
  <c r="AB231" i="3564"/>
  <c r="X232" i="3564"/>
  <c r="AD232" i="3564"/>
  <c r="Z233" i="3564"/>
  <c r="BR235" i="3564"/>
  <c r="BY234" i="3564"/>
  <c r="AM233" i="3564"/>
  <c r="AT232" i="3564"/>
  <c r="AQ233" i="3564"/>
  <c r="AJ234" i="3564"/>
  <c r="AK233" i="3564"/>
  <c r="AR232" i="3564"/>
  <c r="AG233" i="3564"/>
  <c r="AN232" i="3564"/>
  <c r="BD233" i="3564"/>
  <c r="BH232" i="3564"/>
  <c r="BQ235" i="3564"/>
  <c r="BX234" i="3564"/>
  <c r="BW235" i="3564"/>
  <c r="BP236" i="3564"/>
  <c r="BT237" i="3564"/>
  <c r="CA236" i="3564"/>
  <c r="BS237" i="3564"/>
  <c r="BZ236" i="3564"/>
  <c r="AD233" i="3564" l="1"/>
  <c r="Z234" i="3564"/>
  <c r="BJ233" i="3564"/>
  <c r="BF234" i="3564"/>
  <c r="AM234" i="3564"/>
  <c r="AT233" i="3564"/>
  <c r="AI234" i="3564"/>
  <c r="AP233" i="3564"/>
  <c r="BU235" i="3564"/>
  <c r="BN236" i="3564"/>
  <c r="BY235" i="3564"/>
  <c r="BR236" i="3564"/>
  <c r="BE234" i="3564"/>
  <c r="BI233" i="3564"/>
  <c r="BX235" i="3564"/>
  <c r="BQ236" i="3564"/>
  <c r="BH233" i="3564"/>
  <c r="BD234" i="3564"/>
  <c r="AO233" i="3564"/>
  <c r="AH234" i="3564"/>
  <c r="X233" i="3564"/>
  <c r="AB232" i="3564"/>
  <c r="BO236" i="3564"/>
  <c r="BV235" i="3564"/>
  <c r="AG234" i="3564"/>
  <c r="AN233" i="3564"/>
  <c r="AL234" i="3564"/>
  <c r="AS233" i="3564"/>
  <c r="AR233" i="3564"/>
  <c r="AK234" i="3564"/>
  <c r="AJ235" i="3564"/>
  <c r="AQ234" i="3564"/>
  <c r="AC233" i="3564"/>
  <c r="Y234" i="3564"/>
  <c r="BT238" i="3564"/>
  <c r="CA237" i="3564"/>
  <c r="BP237" i="3564"/>
  <c r="BW236" i="3564"/>
  <c r="BS238" i="3564"/>
  <c r="BZ237" i="3564"/>
  <c r="BH234" i="3564" l="1"/>
  <c r="BD235" i="3564"/>
  <c r="BU236" i="3564"/>
  <c r="BN237" i="3564"/>
  <c r="BI234" i="3564"/>
  <c r="BE235" i="3564"/>
  <c r="Y235" i="3564"/>
  <c r="AC234" i="3564"/>
  <c r="AJ236" i="3564"/>
  <c r="AQ235" i="3564"/>
  <c r="AB233" i="3564"/>
  <c r="X234" i="3564"/>
  <c r="BX236" i="3564"/>
  <c r="BQ237" i="3564"/>
  <c r="AK235" i="3564"/>
  <c r="AR234" i="3564"/>
  <c r="BJ234" i="3564"/>
  <c r="BF235" i="3564"/>
  <c r="BV236" i="3564"/>
  <c r="BO237" i="3564"/>
  <c r="AO234" i="3564"/>
  <c r="AH235" i="3564"/>
  <c r="BR237" i="3564"/>
  <c r="BY236" i="3564"/>
  <c r="AI235" i="3564"/>
  <c r="AP234" i="3564"/>
  <c r="AM235" i="3564"/>
  <c r="AT234" i="3564"/>
  <c r="AS234" i="3564"/>
  <c r="AL235" i="3564"/>
  <c r="AD234" i="3564"/>
  <c r="Z235" i="3564"/>
  <c r="AN234" i="3564"/>
  <c r="AG235" i="3564"/>
  <c r="BS239" i="3564"/>
  <c r="BZ238" i="3564"/>
  <c r="BP238" i="3564"/>
  <c r="BW237" i="3564"/>
  <c r="BT239" i="3564"/>
  <c r="CA238" i="3564"/>
  <c r="AH236" i="3564" l="1"/>
  <c r="AO235" i="3564"/>
  <c r="BQ238" i="3564"/>
  <c r="BX237" i="3564"/>
  <c r="AD235" i="3564"/>
  <c r="Z236" i="3564"/>
  <c r="BF236" i="3564"/>
  <c r="BJ235" i="3564"/>
  <c r="AK236" i="3564"/>
  <c r="AR235" i="3564"/>
  <c r="AJ237" i="3564"/>
  <c r="AQ236" i="3564"/>
  <c r="AS235" i="3564"/>
  <c r="AL236" i="3564"/>
  <c r="BR238" i="3564"/>
  <c r="BY237" i="3564"/>
  <c r="BV237" i="3564"/>
  <c r="BO238" i="3564"/>
  <c r="AB234" i="3564"/>
  <c r="X235" i="3564"/>
  <c r="AN235" i="3564"/>
  <c r="AG236" i="3564"/>
  <c r="Y236" i="3564"/>
  <c r="AC235" i="3564"/>
  <c r="BI235" i="3564"/>
  <c r="BE236" i="3564"/>
  <c r="BU237" i="3564"/>
  <c r="BN238" i="3564"/>
  <c r="AM236" i="3564"/>
  <c r="AT235" i="3564"/>
  <c r="BD236" i="3564"/>
  <c r="BH235" i="3564"/>
  <c r="AP235" i="3564"/>
  <c r="AI236" i="3564"/>
  <c r="BT240" i="3564"/>
  <c r="CA239" i="3564"/>
  <c r="BP239" i="3564"/>
  <c r="BW238" i="3564"/>
  <c r="BS240" i="3564"/>
  <c r="BZ239" i="3564"/>
  <c r="AC236" i="3564" l="1"/>
  <c r="Y237" i="3564"/>
  <c r="AB235" i="3564"/>
  <c r="X236" i="3564"/>
  <c r="AL237" i="3564"/>
  <c r="AS236" i="3564"/>
  <c r="BO239" i="3564"/>
  <c r="BV238" i="3564"/>
  <c r="BY238" i="3564"/>
  <c r="BR239" i="3564"/>
  <c r="AI237" i="3564"/>
  <c r="AP236" i="3564"/>
  <c r="AD236" i="3564"/>
  <c r="Z237" i="3564"/>
  <c r="AQ237" i="3564"/>
  <c r="AJ238" i="3564"/>
  <c r="AK237" i="3564"/>
  <c r="AR236" i="3564"/>
  <c r="BF237" i="3564"/>
  <c r="BJ236" i="3564"/>
  <c r="AN236" i="3564"/>
  <c r="AG237" i="3564"/>
  <c r="BD237" i="3564"/>
  <c r="BH236" i="3564"/>
  <c r="AM237" i="3564"/>
  <c r="AT236" i="3564"/>
  <c r="BN239" i="3564"/>
  <c r="BU238" i="3564"/>
  <c r="BQ239" i="3564"/>
  <c r="BX238" i="3564"/>
  <c r="BI236" i="3564"/>
  <c r="BE237" i="3564"/>
  <c r="AH237" i="3564"/>
  <c r="AO236" i="3564"/>
  <c r="CA240" i="3564"/>
  <c r="BT241" i="3564"/>
  <c r="BW239" i="3564"/>
  <c r="BP240" i="3564"/>
  <c r="BZ240" i="3564"/>
  <c r="BS241" i="3564"/>
  <c r="BJ237" i="3564" l="1"/>
  <c r="BF238" i="3564"/>
  <c r="AJ239" i="3564"/>
  <c r="AQ238" i="3564"/>
  <c r="AP237" i="3564"/>
  <c r="AI238" i="3564"/>
  <c r="BD238" i="3564"/>
  <c r="BH237" i="3564"/>
  <c r="AR237" i="3564"/>
  <c r="AK238" i="3564"/>
  <c r="Z238" i="3564"/>
  <c r="AD237" i="3564"/>
  <c r="BY239" i="3564"/>
  <c r="BR240" i="3564"/>
  <c r="BE238" i="3564"/>
  <c r="BI237" i="3564"/>
  <c r="X237" i="3564"/>
  <c r="AB236" i="3564"/>
  <c r="AG238" i="3564"/>
  <c r="AN237" i="3564"/>
  <c r="AH238" i="3564"/>
  <c r="AO237" i="3564"/>
  <c r="BV239" i="3564"/>
  <c r="BO240" i="3564"/>
  <c r="BQ240" i="3564"/>
  <c r="BX239" i="3564"/>
  <c r="AS237" i="3564"/>
  <c r="AL238" i="3564"/>
  <c r="BU239" i="3564"/>
  <c r="BN240" i="3564"/>
  <c r="Y238" i="3564"/>
  <c r="AC237" i="3564"/>
  <c r="AM238" i="3564"/>
  <c r="AT237" i="3564"/>
  <c r="BZ241" i="3564"/>
  <c r="BS242" i="3564"/>
  <c r="BW240" i="3564"/>
  <c r="BP241" i="3564"/>
  <c r="CA241" i="3564"/>
  <c r="BT242" i="3564"/>
  <c r="BE239" i="3564" l="1"/>
  <c r="BI238" i="3564"/>
  <c r="BV240" i="3564"/>
  <c r="BO241" i="3564"/>
  <c r="AG239" i="3564"/>
  <c r="AN238" i="3564"/>
  <c r="BY240" i="3564"/>
  <c r="BR241" i="3564"/>
  <c r="AO238" i="3564"/>
  <c r="AH239" i="3564"/>
  <c r="AB237" i="3564"/>
  <c r="X238" i="3564"/>
  <c r="AM239" i="3564"/>
  <c r="AT238" i="3564"/>
  <c r="BD239" i="3564"/>
  <c r="BH238" i="3564"/>
  <c r="AR238" i="3564"/>
  <c r="AK239" i="3564"/>
  <c r="BN241" i="3564"/>
  <c r="BU240" i="3564"/>
  <c r="AD238" i="3564"/>
  <c r="Z239" i="3564"/>
  <c r="Y239" i="3564"/>
  <c r="AC238" i="3564"/>
  <c r="AP238" i="3564"/>
  <c r="AI239" i="3564"/>
  <c r="AL239" i="3564"/>
  <c r="AS238" i="3564"/>
  <c r="AQ239" i="3564"/>
  <c r="AJ240" i="3564"/>
  <c r="BF239" i="3564"/>
  <c r="BJ238" i="3564"/>
  <c r="BX240" i="3564"/>
  <c r="BQ241" i="3564"/>
  <c r="BW241" i="3564"/>
  <c r="BP242" i="3564"/>
  <c r="CA242" i="3564"/>
  <c r="BT243" i="3564"/>
  <c r="BZ242" i="3564"/>
  <c r="BS243" i="3564"/>
  <c r="BN242" i="3564" l="1"/>
  <c r="BU241" i="3564"/>
  <c r="BD240" i="3564"/>
  <c r="BH239" i="3564"/>
  <c r="BQ242" i="3564"/>
  <c r="BX241" i="3564"/>
  <c r="Y240" i="3564"/>
  <c r="AC239" i="3564"/>
  <c r="AB238" i="3564"/>
  <c r="X239" i="3564"/>
  <c r="BR242" i="3564"/>
  <c r="BY241" i="3564"/>
  <c r="AD239" i="3564"/>
  <c r="Z240" i="3564"/>
  <c r="AG240" i="3564"/>
  <c r="AN239" i="3564"/>
  <c r="AK240" i="3564"/>
  <c r="AR239" i="3564"/>
  <c r="AM240" i="3564"/>
  <c r="AT239" i="3564"/>
  <c r="AH240" i="3564"/>
  <c r="AO239" i="3564"/>
  <c r="BJ239" i="3564"/>
  <c r="BF240" i="3564"/>
  <c r="AQ240" i="3564"/>
  <c r="AJ241" i="3564"/>
  <c r="BV241" i="3564"/>
  <c r="BO242" i="3564"/>
  <c r="AS239" i="3564"/>
  <c r="AL240" i="3564"/>
  <c r="AI240" i="3564"/>
  <c r="AP239" i="3564"/>
  <c r="BE240" i="3564"/>
  <c r="BI239" i="3564"/>
  <c r="BZ243" i="3564"/>
  <c r="BS244" i="3564"/>
  <c r="CA243" i="3564"/>
  <c r="BT244" i="3564"/>
  <c r="BP243" i="3564"/>
  <c r="BW242" i="3564"/>
  <c r="AT240" i="3564" l="1"/>
  <c r="AM241" i="3564"/>
  <c r="BJ240" i="3564"/>
  <c r="BF241" i="3564"/>
  <c r="AH241" i="3564"/>
  <c r="AO240" i="3564"/>
  <c r="BY242" i="3564"/>
  <c r="BR243" i="3564"/>
  <c r="Z241" i="3564"/>
  <c r="AD240" i="3564"/>
  <c r="AP240" i="3564"/>
  <c r="AI241" i="3564"/>
  <c r="AR240" i="3564"/>
  <c r="AK241" i="3564"/>
  <c r="AB239" i="3564"/>
  <c r="X240" i="3564"/>
  <c r="BO243" i="3564"/>
  <c r="BV242" i="3564"/>
  <c r="AG241" i="3564"/>
  <c r="AN240" i="3564"/>
  <c r="BI240" i="3564"/>
  <c r="BE241" i="3564"/>
  <c r="Y241" i="3564"/>
  <c r="AC240" i="3564"/>
  <c r="AL241" i="3564"/>
  <c r="AS240" i="3564"/>
  <c r="BQ243" i="3564"/>
  <c r="BX242" i="3564"/>
  <c r="BH240" i="3564"/>
  <c r="BD241" i="3564"/>
  <c r="AJ242" i="3564"/>
  <c r="AQ241" i="3564"/>
  <c r="BN243" i="3564"/>
  <c r="BU242" i="3564"/>
  <c r="BT245" i="3564"/>
  <c r="CA244" i="3564"/>
  <c r="BZ244" i="3564"/>
  <c r="BS245" i="3564"/>
  <c r="BW243" i="3564"/>
  <c r="BP244" i="3564"/>
  <c r="Y242" i="3564" l="1"/>
  <c r="AC241" i="3564"/>
  <c r="AK242" i="3564"/>
  <c r="AR241" i="3564"/>
  <c r="BV243" i="3564"/>
  <c r="BO244" i="3564"/>
  <c r="BE242" i="3564"/>
  <c r="BI241" i="3564"/>
  <c r="AN241" i="3564"/>
  <c r="AG242" i="3564"/>
  <c r="AI242" i="3564"/>
  <c r="AP241" i="3564"/>
  <c r="BR244" i="3564"/>
  <c r="BY243" i="3564"/>
  <c r="Z242" i="3564"/>
  <c r="AD241" i="3564"/>
  <c r="AJ243" i="3564"/>
  <c r="AQ242" i="3564"/>
  <c r="BJ241" i="3564"/>
  <c r="BF242" i="3564"/>
  <c r="AB240" i="3564"/>
  <c r="X241" i="3564"/>
  <c r="BN244" i="3564"/>
  <c r="BU243" i="3564"/>
  <c r="BD242" i="3564"/>
  <c r="BH241" i="3564"/>
  <c r="AO241" i="3564"/>
  <c r="AH242" i="3564"/>
  <c r="BX243" i="3564"/>
  <c r="BQ244" i="3564"/>
  <c r="AT241" i="3564"/>
  <c r="AM242" i="3564"/>
  <c r="AL242" i="3564"/>
  <c r="AS241" i="3564"/>
  <c r="BP245" i="3564"/>
  <c r="BW244" i="3564"/>
  <c r="BS246" i="3564"/>
  <c r="BZ245" i="3564"/>
  <c r="BT246" i="3564"/>
  <c r="CA245" i="3564"/>
  <c r="X242" i="3564" l="1"/>
  <c r="AB241" i="3564"/>
  <c r="AJ244" i="3564"/>
  <c r="AQ243" i="3564"/>
  <c r="AG243" i="3564"/>
  <c r="AN242" i="3564"/>
  <c r="BU244" i="3564"/>
  <c r="BN245" i="3564"/>
  <c r="AL243" i="3564"/>
  <c r="AS242" i="3564"/>
  <c r="Z243" i="3564"/>
  <c r="AD242" i="3564"/>
  <c r="AT242" i="3564"/>
  <c r="AM243" i="3564"/>
  <c r="BQ245" i="3564"/>
  <c r="BX244" i="3564"/>
  <c r="BJ242" i="3564"/>
  <c r="BF243" i="3564"/>
  <c r="BY244" i="3564"/>
  <c r="BR245" i="3564"/>
  <c r="AP242" i="3564"/>
  <c r="AI243" i="3564"/>
  <c r="BE243" i="3564"/>
  <c r="BI242" i="3564"/>
  <c r="BV244" i="3564"/>
  <c r="BO245" i="3564"/>
  <c r="AO242" i="3564"/>
  <c r="AH243" i="3564"/>
  <c r="AK243" i="3564"/>
  <c r="AR242" i="3564"/>
  <c r="BD243" i="3564"/>
  <c r="BH242" i="3564"/>
  <c r="AC242" i="3564"/>
  <c r="Y243" i="3564"/>
  <c r="BZ246" i="3564"/>
  <c r="BS247" i="3564"/>
  <c r="BT247" i="3564"/>
  <c r="CA246" i="3564"/>
  <c r="BP246" i="3564"/>
  <c r="BW245" i="3564"/>
  <c r="BE244" i="3564" l="1"/>
  <c r="BI243" i="3564"/>
  <c r="AP243" i="3564"/>
  <c r="AI244" i="3564"/>
  <c r="BF244" i="3564"/>
  <c r="BJ243" i="3564"/>
  <c r="AT243" i="3564"/>
  <c r="AM244" i="3564"/>
  <c r="Z244" i="3564"/>
  <c r="AD243" i="3564"/>
  <c r="AS243" i="3564"/>
  <c r="AL244" i="3564"/>
  <c r="BQ246" i="3564"/>
  <c r="BX245" i="3564"/>
  <c r="AC243" i="3564"/>
  <c r="Y244" i="3564"/>
  <c r="BN246" i="3564"/>
  <c r="BU245" i="3564"/>
  <c r="AN243" i="3564"/>
  <c r="AG244" i="3564"/>
  <c r="BR246" i="3564"/>
  <c r="BY245" i="3564"/>
  <c r="BD244" i="3564"/>
  <c r="BH243" i="3564"/>
  <c r="AK244" i="3564"/>
  <c r="AR243" i="3564"/>
  <c r="AO243" i="3564"/>
  <c r="AH244" i="3564"/>
  <c r="AJ245" i="3564"/>
  <c r="AQ244" i="3564"/>
  <c r="BV245" i="3564"/>
  <c r="BO246" i="3564"/>
  <c r="AB242" i="3564"/>
  <c r="X243" i="3564"/>
  <c r="BT248" i="3564"/>
  <c r="CA247" i="3564"/>
  <c r="BZ247" i="3564"/>
  <c r="BS248" i="3564"/>
  <c r="BP247" i="3564"/>
  <c r="BW246" i="3564"/>
  <c r="AG245" i="3564" l="1"/>
  <c r="AN244" i="3564"/>
  <c r="AC244" i="3564"/>
  <c r="Y245" i="3564"/>
  <c r="BQ247" i="3564"/>
  <c r="BX246" i="3564"/>
  <c r="AD244" i="3564"/>
  <c r="Z245" i="3564"/>
  <c r="BD245" i="3564"/>
  <c r="BH244" i="3564"/>
  <c r="AT244" i="3564"/>
  <c r="AM245" i="3564"/>
  <c r="BU246" i="3564"/>
  <c r="BN247" i="3564"/>
  <c r="BO247" i="3564"/>
  <c r="BV246" i="3564"/>
  <c r="AH245" i="3564"/>
  <c r="AO244" i="3564"/>
  <c r="BR247" i="3564"/>
  <c r="BY246" i="3564"/>
  <c r="AL245" i="3564"/>
  <c r="AS244" i="3564"/>
  <c r="X244" i="3564"/>
  <c r="AB243" i="3564"/>
  <c r="AJ246" i="3564"/>
  <c r="AQ245" i="3564"/>
  <c r="BF245" i="3564"/>
  <c r="BJ244" i="3564"/>
  <c r="AP244" i="3564"/>
  <c r="AI245" i="3564"/>
  <c r="AR244" i="3564"/>
  <c r="AK245" i="3564"/>
  <c r="BE245" i="3564"/>
  <c r="BI244" i="3564"/>
  <c r="BS249" i="3564"/>
  <c r="BZ248" i="3564"/>
  <c r="BT249" i="3564"/>
  <c r="CA248" i="3564"/>
  <c r="BW247" i="3564"/>
  <c r="BP248" i="3564"/>
  <c r="AS245" i="3564" l="1"/>
  <c r="AL246" i="3564"/>
  <c r="BU247" i="3564"/>
  <c r="BN248" i="3564"/>
  <c r="BY247" i="3564"/>
  <c r="BR248" i="3564"/>
  <c r="BD246" i="3564"/>
  <c r="BH245" i="3564"/>
  <c r="AP245" i="3564"/>
  <c r="AI246" i="3564"/>
  <c r="X245" i="3564"/>
  <c r="AB244" i="3564"/>
  <c r="BO248" i="3564"/>
  <c r="BV247" i="3564"/>
  <c r="AT245" i="3564"/>
  <c r="AM246" i="3564"/>
  <c r="AK246" i="3564"/>
  <c r="AR245" i="3564"/>
  <c r="Y246" i="3564"/>
  <c r="AC245" i="3564"/>
  <c r="AH246" i="3564"/>
  <c r="AO245" i="3564"/>
  <c r="BE246" i="3564"/>
  <c r="BI245" i="3564"/>
  <c r="AD245" i="3564"/>
  <c r="Z246" i="3564"/>
  <c r="BX247" i="3564"/>
  <c r="BQ248" i="3564"/>
  <c r="BJ245" i="3564"/>
  <c r="BF246" i="3564"/>
  <c r="AJ247" i="3564"/>
  <c r="AQ246" i="3564"/>
  <c r="AG246" i="3564"/>
  <c r="AN245" i="3564"/>
  <c r="BT250" i="3564"/>
  <c r="CA249" i="3564"/>
  <c r="BP249" i="3564"/>
  <c r="BW248" i="3564"/>
  <c r="BS250" i="3564"/>
  <c r="BZ249" i="3564"/>
  <c r="BI246" i="3564" l="1"/>
  <c r="BE247" i="3564"/>
  <c r="AT246" i="3564"/>
  <c r="AM247" i="3564"/>
  <c r="AC246" i="3564"/>
  <c r="Y247" i="3564"/>
  <c r="BO249" i="3564"/>
  <c r="BV248" i="3564"/>
  <c r="AI247" i="3564"/>
  <c r="AP246" i="3564"/>
  <c r="BH246" i="3564"/>
  <c r="BD247" i="3564"/>
  <c r="AH247" i="3564"/>
  <c r="AO246" i="3564"/>
  <c r="AR246" i="3564"/>
  <c r="AK247" i="3564"/>
  <c r="AB245" i="3564"/>
  <c r="X246" i="3564"/>
  <c r="AJ248" i="3564"/>
  <c r="AQ247" i="3564"/>
  <c r="BF247" i="3564"/>
  <c r="BJ246" i="3564"/>
  <c r="Z247" i="3564"/>
  <c r="AD246" i="3564"/>
  <c r="AN246" i="3564"/>
  <c r="AG247" i="3564"/>
  <c r="BR249" i="3564"/>
  <c r="BY248" i="3564"/>
  <c r="BQ249" i="3564"/>
  <c r="BX248" i="3564"/>
  <c r="BN249" i="3564"/>
  <c r="BU248" i="3564"/>
  <c r="AS246" i="3564"/>
  <c r="AL247" i="3564"/>
  <c r="BS251" i="3564"/>
  <c r="BZ250" i="3564"/>
  <c r="BP250" i="3564"/>
  <c r="BW249" i="3564"/>
  <c r="BT251" i="3564"/>
  <c r="CA250" i="3564"/>
  <c r="X247" i="3564" l="1"/>
  <c r="AB246" i="3564"/>
  <c r="AR247" i="3564"/>
  <c r="AK248" i="3564"/>
  <c r="AD247" i="3564"/>
  <c r="Z248" i="3564"/>
  <c r="BD248" i="3564"/>
  <c r="BH247" i="3564"/>
  <c r="AP247" i="3564"/>
  <c r="AI248" i="3564"/>
  <c r="BU249" i="3564"/>
  <c r="BN250" i="3564"/>
  <c r="BJ247" i="3564"/>
  <c r="BF248" i="3564"/>
  <c r="BX249" i="3564"/>
  <c r="BQ250" i="3564"/>
  <c r="AQ248" i="3564"/>
  <c r="AJ249" i="3564"/>
  <c r="AO247" i="3564"/>
  <c r="AH248" i="3564"/>
  <c r="AL248" i="3564"/>
  <c r="AS247" i="3564"/>
  <c r="BV249" i="3564"/>
  <c r="BO250" i="3564"/>
  <c r="AC247" i="3564"/>
  <c r="Y248" i="3564"/>
  <c r="AM248" i="3564"/>
  <c r="AT247" i="3564"/>
  <c r="BR250" i="3564"/>
  <c r="BY249" i="3564"/>
  <c r="AG248" i="3564"/>
  <c r="AN247" i="3564"/>
  <c r="BI247" i="3564"/>
  <c r="BE248" i="3564"/>
  <c r="BP251" i="3564"/>
  <c r="BW250" i="3564"/>
  <c r="BT252" i="3564"/>
  <c r="CA251" i="3564"/>
  <c r="BS252" i="3564"/>
  <c r="BZ251" i="3564"/>
  <c r="AS248" i="3564" l="1"/>
  <c r="AL249" i="3564"/>
  <c r="BV250" i="3564"/>
  <c r="BO251" i="3564"/>
  <c r="AJ250" i="3564"/>
  <c r="AQ249" i="3564"/>
  <c r="BJ248" i="3564"/>
  <c r="BF249" i="3564"/>
  <c r="AH249" i="3564"/>
  <c r="AO248" i="3564"/>
  <c r="BN251" i="3564"/>
  <c r="BU250" i="3564"/>
  <c r="Z249" i="3564"/>
  <c r="AD248" i="3564"/>
  <c r="BI248" i="3564"/>
  <c r="BE249" i="3564"/>
  <c r="BH248" i="3564"/>
  <c r="BD249" i="3564"/>
  <c r="AR248" i="3564"/>
  <c r="AK249" i="3564"/>
  <c r="BQ251" i="3564"/>
  <c r="BX250" i="3564"/>
  <c r="AI249" i="3564"/>
  <c r="AP248" i="3564"/>
  <c r="AG249" i="3564"/>
  <c r="AN248" i="3564"/>
  <c r="BY250" i="3564"/>
  <c r="BR251" i="3564"/>
  <c r="AM249" i="3564"/>
  <c r="AT248" i="3564"/>
  <c r="AC248" i="3564"/>
  <c r="Y249" i="3564"/>
  <c r="AB247" i="3564"/>
  <c r="X248" i="3564"/>
  <c r="BW251" i="3564"/>
  <c r="BP252" i="3564"/>
  <c r="BS253" i="3564"/>
  <c r="BZ252" i="3564"/>
  <c r="BT253" i="3564"/>
  <c r="CA252" i="3564"/>
  <c r="BX251" i="3564" l="1"/>
  <c r="BQ252" i="3564"/>
  <c r="BD250" i="3564"/>
  <c r="BH249" i="3564"/>
  <c r="AR249" i="3564"/>
  <c r="AK250" i="3564"/>
  <c r="AI250" i="3564"/>
  <c r="AP249" i="3564"/>
  <c r="BN252" i="3564"/>
  <c r="BU251" i="3564"/>
  <c r="BJ249" i="3564"/>
  <c r="BF250" i="3564"/>
  <c r="X249" i="3564"/>
  <c r="AB248" i="3564"/>
  <c r="Y250" i="3564"/>
  <c r="AC249" i="3564"/>
  <c r="AT249" i="3564"/>
  <c r="AM250" i="3564"/>
  <c r="BI249" i="3564"/>
  <c r="BE250" i="3564"/>
  <c r="Z250" i="3564"/>
  <c r="AD249" i="3564"/>
  <c r="AO249" i="3564"/>
  <c r="AH250" i="3564"/>
  <c r="AQ250" i="3564"/>
  <c r="AJ251" i="3564"/>
  <c r="BY251" i="3564"/>
  <c r="BR252" i="3564"/>
  <c r="BO252" i="3564"/>
  <c r="BV251" i="3564"/>
  <c r="AL250" i="3564"/>
  <c r="AS249" i="3564"/>
  <c r="AN249" i="3564"/>
  <c r="AG250" i="3564"/>
  <c r="CA253" i="3564"/>
  <c r="BT254" i="3564"/>
  <c r="BW252" i="3564"/>
  <c r="BP253" i="3564"/>
  <c r="BZ253" i="3564"/>
  <c r="BS254" i="3564"/>
  <c r="AT250" i="3564" l="1"/>
  <c r="AM251" i="3564"/>
  <c r="AB249" i="3564"/>
  <c r="X250" i="3564"/>
  <c r="AH251" i="3564"/>
  <c r="AO250" i="3564"/>
  <c r="BE251" i="3564"/>
  <c r="BI250" i="3564"/>
  <c r="AC250" i="3564"/>
  <c r="Y251" i="3564"/>
  <c r="BF251" i="3564"/>
  <c r="BJ250" i="3564"/>
  <c r="BU252" i="3564"/>
  <c r="BN253" i="3564"/>
  <c r="AK251" i="3564"/>
  <c r="AR250" i="3564"/>
  <c r="AD250" i="3564"/>
  <c r="Z251" i="3564"/>
  <c r="AG251" i="3564"/>
  <c r="AN250" i="3564"/>
  <c r="AS250" i="3564"/>
  <c r="AL251" i="3564"/>
  <c r="AP250" i="3564"/>
  <c r="AI251" i="3564"/>
  <c r="BV252" i="3564"/>
  <c r="BO253" i="3564"/>
  <c r="BR253" i="3564"/>
  <c r="BY252" i="3564"/>
  <c r="BH250" i="3564"/>
  <c r="BD251" i="3564"/>
  <c r="AQ251" i="3564"/>
  <c r="AJ252" i="3564"/>
  <c r="BX252" i="3564"/>
  <c r="BQ253" i="3564"/>
  <c r="BZ254" i="3564"/>
  <c r="BS255" i="3564"/>
  <c r="BW253" i="3564"/>
  <c r="BP254" i="3564"/>
  <c r="CA254" i="3564"/>
  <c r="BT255" i="3564"/>
  <c r="Z252" i="3564" l="1"/>
  <c r="AD251" i="3564"/>
  <c r="AI252" i="3564"/>
  <c r="AP251" i="3564"/>
  <c r="BN254" i="3564"/>
  <c r="BU253" i="3564"/>
  <c r="BQ254" i="3564"/>
  <c r="BX253" i="3564"/>
  <c r="AL252" i="3564"/>
  <c r="AS251" i="3564"/>
  <c r="AG252" i="3564"/>
  <c r="AN251" i="3564"/>
  <c r="AC251" i="3564"/>
  <c r="Y252" i="3564"/>
  <c r="BI251" i="3564"/>
  <c r="BE252" i="3564"/>
  <c r="AK252" i="3564"/>
  <c r="AR251" i="3564"/>
  <c r="BJ251" i="3564"/>
  <c r="BF252" i="3564"/>
  <c r="BH251" i="3564"/>
  <c r="BD252" i="3564"/>
  <c r="BO254" i="3564"/>
  <c r="BV253" i="3564"/>
  <c r="AQ252" i="3564"/>
  <c r="AJ253" i="3564"/>
  <c r="AH252" i="3564"/>
  <c r="AO251" i="3564"/>
  <c r="AB250" i="3564"/>
  <c r="X251" i="3564"/>
  <c r="BR254" i="3564"/>
  <c r="BY253" i="3564"/>
  <c r="AM252" i="3564"/>
  <c r="AT251" i="3564"/>
  <c r="BP255" i="3564"/>
  <c r="BW254" i="3564"/>
  <c r="CA255" i="3564"/>
  <c r="BT256" i="3564"/>
  <c r="BZ255" i="3564"/>
  <c r="BS256" i="3564"/>
  <c r="BV254" i="3564" l="1"/>
  <c r="BO255" i="3564"/>
  <c r="BF253" i="3564"/>
  <c r="BJ252" i="3564"/>
  <c r="Y253" i="3564"/>
  <c r="AC252" i="3564"/>
  <c r="BE253" i="3564"/>
  <c r="BI252" i="3564"/>
  <c r="AS252" i="3564"/>
  <c r="AL253" i="3564"/>
  <c r="AM253" i="3564"/>
  <c r="AT252" i="3564"/>
  <c r="BY254" i="3564"/>
  <c r="BR255" i="3564"/>
  <c r="BH252" i="3564"/>
  <c r="BD253" i="3564"/>
  <c r="AK253" i="3564"/>
  <c r="AR252" i="3564"/>
  <c r="AG253" i="3564"/>
  <c r="AN252" i="3564"/>
  <c r="BQ255" i="3564"/>
  <c r="BX254" i="3564"/>
  <c r="X252" i="3564"/>
  <c r="AB251" i="3564"/>
  <c r="BU254" i="3564"/>
  <c r="BN255" i="3564"/>
  <c r="AO252" i="3564"/>
  <c r="AH253" i="3564"/>
  <c r="AP252" i="3564"/>
  <c r="AI253" i="3564"/>
  <c r="AJ254" i="3564"/>
  <c r="AQ253" i="3564"/>
  <c r="AD252" i="3564"/>
  <c r="Z253" i="3564"/>
  <c r="BW255" i="3564"/>
  <c r="BP256" i="3564"/>
  <c r="BZ256" i="3564"/>
  <c r="BS257" i="3564"/>
  <c r="BT257" i="3564"/>
  <c r="CA256" i="3564"/>
  <c r="X253" i="3564" l="1"/>
  <c r="AB252" i="3564"/>
  <c r="BQ256" i="3564"/>
  <c r="BX255" i="3564"/>
  <c r="AL254" i="3564"/>
  <c r="AS253" i="3564"/>
  <c r="BR256" i="3564"/>
  <c r="BY255" i="3564"/>
  <c r="AQ254" i="3564"/>
  <c r="AJ255" i="3564"/>
  <c r="AR253" i="3564"/>
  <c r="AK254" i="3564"/>
  <c r="Z254" i="3564"/>
  <c r="AD253" i="3564"/>
  <c r="AP253" i="3564"/>
  <c r="AI254" i="3564"/>
  <c r="AH254" i="3564"/>
  <c r="AO253" i="3564"/>
  <c r="AN253" i="3564"/>
  <c r="AG254" i="3564"/>
  <c r="BH253" i="3564"/>
  <c r="BD254" i="3564"/>
  <c r="AM254" i="3564"/>
  <c r="AT253" i="3564"/>
  <c r="BE254" i="3564"/>
  <c r="BI253" i="3564"/>
  <c r="Y254" i="3564"/>
  <c r="AC253" i="3564"/>
  <c r="BJ253" i="3564"/>
  <c r="BF254" i="3564"/>
  <c r="BU255" i="3564"/>
  <c r="BN256" i="3564"/>
  <c r="BO256" i="3564"/>
  <c r="BV255" i="3564"/>
  <c r="CA257" i="3564"/>
  <c r="BT258" i="3564"/>
  <c r="BS258" i="3564"/>
  <c r="BZ257" i="3564"/>
  <c r="BW256" i="3564"/>
  <c r="BP257" i="3564"/>
  <c r="AO254" i="3564" l="1"/>
  <c r="AH255" i="3564"/>
  <c r="AD254" i="3564"/>
  <c r="Z255" i="3564"/>
  <c r="BU256" i="3564"/>
  <c r="BN257" i="3564"/>
  <c r="AL255" i="3564"/>
  <c r="AS254" i="3564"/>
  <c r="BD255" i="3564"/>
  <c r="BH254" i="3564"/>
  <c r="AR254" i="3564"/>
  <c r="AK255" i="3564"/>
  <c r="AT254" i="3564"/>
  <c r="AM255" i="3564"/>
  <c r="AJ256" i="3564"/>
  <c r="AQ255" i="3564"/>
  <c r="BR257" i="3564"/>
  <c r="BY256" i="3564"/>
  <c r="BJ254" i="3564"/>
  <c r="BF255" i="3564"/>
  <c r="Y255" i="3564"/>
  <c r="AC254" i="3564"/>
  <c r="BQ257" i="3564"/>
  <c r="BX256" i="3564"/>
  <c r="AN254" i="3564"/>
  <c r="AG255" i="3564"/>
  <c r="AP254" i="3564"/>
  <c r="AI255" i="3564"/>
  <c r="BV256" i="3564"/>
  <c r="BO257" i="3564"/>
  <c r="BI254" i="3564"/>
  <c r="BE255" i="3564"/>
  <c r="X254" i="3564"/>
  <c r="AB253" i="3564"/>
  <c r="CA258" i="3564"/>
  <c r="BT259" i="3564"/>
  <c r="BP258" i="3564"/>
  <c r="BW257" i="3564"/>
  <c r="BZ258" i="3564"/>
  <c r="BS259" i="3564"/>
  <c r="BQ258" i="3564" l="1"/>
  <c r="BX257" i="3564"/>
  <c r="BY257" i="3564"/>
  <c r="BR258" i="3564"/>
  <c r="BF256" i="3564"/>
  <c r="BJ255" i="3564"/>
  <c r="AJ257" i="3564"/>
  <c r="AQ256" i="3564"/>
  <c r="BD256" i="3564"/>
  <c r="BH255" i="3564"/>
  <c r="AC255" i="3564"/>
  <c r="Y256" i="3564"/>
  <c r="AT255" i="3564"/>
  <c r="AM256" i="3564"/>
  <c r="AR255" i="3564"/>
  <c r="AK256" i="3564"/>
  <c r="AB254" i="3564"/>
  <c r="X255" i="3564"/>
  <c r="BE256" i="3564"/>
  <c r="BI255" i="3564"/>
  <c r="AS255" i="3564"/>
  <c r="AL256" i="3564"/>
  <c r="BO258" i="3564"/>
  <c r="BV257" i="3564"/>
  <c r="BN258" i="3564"/>
  <c r="BU257" i="3564"/>
  <c r="AP255" i="3564"/>
  <c r="AI256" i="3564"/>
  <c r="AD255" i="3564"/>
  <c r="Z256" i="3564"/>
  <c r="AN255" i="3564"/>
  <c r="AG256" i="3564"/>
  <c r="AH256" i="3564"/>
  <c r="AO255" i="3564"/>
  <c r="BT260" i="3564"/>
  <c r="CA259" i="3564"/>
  <c r="BP259" i="3564"/>
  <c r="BW258" i="3564"/>
  <c r="BS260" i="3564"/>
  <c r="BZ259" i="3564"/>
  <c r="AC256" i="3564" l="1"/>
  <c r="Y257" i="3564"/>
  <c r="X256" i="3564"/>
  <c r="AB255" i="3564"/>
  <c r="AO256" i="3564"/>
  <c r="AH257" i="3564"/>
  <c r="BO259" i="3564"/>
  <c r="BV258" i="3564"/>
  <c r="BE257" i="3564"/>
  <c r="BI256" i="3564"/>
  <c r="BD257" i="3564"/>
  <c r="BH256" i="3564"/>
  <c r="AD256" i="3564"/>
  <c r="Z257" i="3564"/>
  <c r="AK257" i="3564"/>
  <c r="AR256" i="3564"/>
  <c r="AT256" i="3564"/>
  <c r="AM257" i="3564"/>
  <c r="AG257" i="3564"/>
  <c r="AN256" i="3564"/>
  <c r="BY258" i="3564"/>
  <c r="BR259" i="3564"/>
  <c r="AS256" i="3564"/>
  <c r="AL257" i="3564"/>
  <c r="AQ257" i="3564"/>
  <c r="AJ258" i="3564"/>
  <c r="BJ256" i="3564"/>
  <c r="BF257" i="3564"/>
  <c r="AI257" i="3564"/>
  <c r="AP256" i="3564"/>
  <c r="BU258" i="3564"/>
  <c r="BN259" i="3564"/>
  <c r="BX258" i="3564"/>
  <c r="BQ259" i="3564"/>
  <c r="BS261" i="3564"/>
  <c r="BZ260" i="3564"/>
  <c r="BW259" i="3564"/>
  <c r="BP260" i="3564"/>
  <c r="BT261" i="3564"/>
  <c r="CA260" i="3564"/>
  <c r="BY259" i="3564" l="1"/>
  <c r="BR260" i="3564"/>
  <c r="BN260" i="3564"/>
  <c r="BU259" i="3564"/>
  <c r="AM258" i="3564"/>
  <c r="AT257" i="3564"/>
  <c r="AD257" i="3564"/>
  <c r="Z258" i="3564"/>
  <c r="BO260" i="3564"/>
  <c r="BV259" i="3564"/>
  <c r="AB256" i="3564"/>
  <c r="X257" i="3564"/>
  <c r="AS257" i="3564"/>
  <c r="AL258" i="3564"/>
  <c r="AN257" i="3564"/>
  <c r="AG258" i="3564"/>
  <c r="BQ260" i="3564"/>
  <c r="BX259" i="3564"/>
  <c r="AH258" i="3564"/>
  <c r="AO257" i="3564"/>
  <c r="BJ257" i="3564"/>
  <c r="BF258" i="3564"/>
  <c r="AC257" i="3564"/>
  <c r="Y258" i="3564"/>
  <c r="AK258" i="3564"/>
  <c r="AR257" i="3564"/>
  <c r="BD258" i="3564"/>
  <c r="BH257" i="3564"/>
  <c r="BE258" i="3564"/>
  <c r="BI257" i="3564"/>
  <c r="AI258" i="3564"/>
  <c r="AP257" i="3564"/>
  <c r="AQ258" i="3564"/>
  <c r="AJ259" i="3564"/>
  <c r="BT262" i="3564"/>
  <c r="CA261" i="3564"/>
  <c r="BP261" i="3564"/>
  <c r="BW260" i="3564"/>
  <c r="BS262" i="3564"/>
  <c r="BZ261" i="3564"/>
  <c r="BJ258" i="3564" l="1"/>
  <c r="BF259" i="3564"/>
  <c r="Y259" i="3564"/>
  <c r="AC258" i="3564"/>
  <c r="AH259" i="3564"/>
  <c r="AO258" i="3564"/>
  <c r="AS258" i="3564"/>
  <c r="AL259" i="3564"/>
  <c r="AD258" i="3564"/>
  <c r="Z259" i="3564"/>
  <c r="BX260" i="3564"/>
  <c r="BQ261" i="3564"/>
  <c r="AP258" i="3564"/>
  <c r="AI259" i="3564"/>
  <c r="BD259" i="3564"/>
  <c r="BH258" i="3564"/>
  <c r="X258" i="3564"/>
  <c r="AB257" i="3564"/>
  <c r="AJ260" i="3564"/>
  <c r="AQ259" i="3564"/>
  <c r="AM259" i="3564"/>
  <c r="AT258" i="3564"/>
  <c r="BR261" i="3564"/>
  <c r="BY260" i="3564"/>
  <c r="AG259" i="3564"/>
  <c r="AN258" i="3564"/>
  <c r="BO261" i="3564"/>
  <c r="BV260" i="3564"/>
  <c r="BE259" i="3564"/>
  <c r="BI258" i="3564"/>
  <c r="BN261" i="3564"/>
  <c r="BU260" i="3564"/>
  <c r="AR258" i="3564"/>
  <c r="AK259" i="3564"/>
  <c r="BP262" i="3564"/>
  <c r="BW261" i="3564"/>
  <c r="BS263" i="3564"/>
  <c r="BZ262" i="3564"/>
  <c r="BT263" i="3564"/>
  <c r="CA262" i="3564"/>
  <c r="AB258" i="3564" l="1"/>
  <c r="X259" i="3564"/>
  <c r="BR262" i="3564"/>
  <c r="BY261" i="3564"/>
  <c r="AL260" i="3564"/>
  <c r="AS259" i="3564"/>
  <c r="AI260" i="3564"/>
  <c r="AP259" i="3564"/>
  <c r="AK260" i="3564"/>
  <c r="AR259" i="3564"/>
  <c r="BN262" i="3564"/>
  <c r="BU261" i="3564"/>
  <c r="BO262" i="3564"/>
  <c r="BV261" i="3564"/>
  <c r="AJ261" i="3564"/>
  <c r="AQ260" i="3564"/>
  <c r="BD260" i="3564"/>
  <c r="BH259" i="3564"/>
  <c r="BQ262" i="3564"/>
  <c r="BX261" i="3564"/>
  <c r="AD259" i="3564"/>
  <c r="Z260" i="3564"/>
  <c r="AO259" i="3564"/>
  <c r="AH260" i="3564"/>
  <c r="BF260" i="3564"/>
  <c r="BJ259" i="3564"/>
  <c r="AT259" i="3564"/>
  <c r="AM260" i="3564"/>
  <c r="BI259" i="3564"/>
  <c r="BE260" i="3564"/>
  <c r="Y260" i="3564"/>
  <c r="AC259" i="3564"/>
  <c r="AN259" i="3564"/>
  <c r="AG260" i="3564"/>
  <c r="BS264" i="3564"/>
  <c r="BZ263" i="3564"/>
  <c r="BT264" i="3564"/>
  <c r="CA263" i="3564"/>
  <c r="BW262" i="3564"/>
  <c r="BP263" i="3564"/>
  <c r="Z261" i="3564" l="1"/>
  <c r="AD260" i="3564"/>
  <c r="AQ261" i="3564"/>
  <c r="AJ262" i="3564"/>
  <c r="BX262" i="3564"/>
  <c r="BQ263" i="3564"/>
  <c r="BD261" i="3564"/>
  <c r="BH260" i="3564"/>
  <c r="BU262" i="3564"/>
  <c r="BN263" i="3564"/>
  <c r="AR260" i="3564"/>
  <c r="AK261" i="3564"/>
  <c r="AC260" i="3564"/>
  <c r="Y261" i="3564"/>
  <c r="BY262" i="3564"/>
  <c r="BR263" i="3564"/>
  <c r="AH261" i="3564"/>
  <c r="AO260" i="3564"/>
  <c r="AN260" i="3564"/>
  <c r="AG261" i="3564"/>
  <c r="BE261" i="3564"/>
  <c r="BI260" i="3564"/>
  <c r="AM261" i="3564"/>
  <c r="AT260" i="3564"/>
  <c r="AB259" i="3564"/>
  <c r="X260" i="3564"/>
  <c r="BV262" i="3564"/>
  <c r="BO263" i="3564"/>
  <c r="AI261" i="3564"/>
  <c r="AP260" i="3564"/>
  <c r="AL261" i="3564"/>
  <c r="AS260" i="3564"/>
  <c r="BF261" i="3564"/>
  <c r="BJ260" i="3564"/>
  <c r="BW263" i="3564"/>
  <c r="BP264" i="3564"/>
  <c r="BZ264" i="3564"/>
  <c r="BS265" i="3564"/>
  <c r="BT265" i="3564"/>
  <c r="CA264" i="3564"/>
  <c r="AC261" i="3564" l="1"/>
  <c r="Y262" i="3564"/>
  <c r="BN264" i="3564"/>
  <c r="BU263" i="3564"/>
  <c r="AM262" i="3564"/>
  <c r="AT261" i="3564"/>
  <c r="AG262" i="3564"/>
  <c r="AN261" i="3564"/>
  <c r="BF262" i="3564"/>
  <c r="BJ261" i="3564"/>
  <c r="AS261" i="3564"/>
  <c r="AL262" i="3564"/>
  <c r="AP261" i="3564"/>
  <c r="AI262" i="3564"/>
  <c r="BE262" i="3564"/>
  <c r="BI261" i="3564"/>
  <c r="BY263" i="3564"/>
  <c r="BR264" i="3564"/>
  <c r="BX263" i="3564"/>
  <c r="BQ264" i="3564"/>
  <c r="AQ262" i="3564"/>
  <c r="AJ263" i="3564"/>
  <c r="X261" i="3564"/>
  <c r="AB260" i="3564"/>
  <c r="AO261" i="3564"/>
  <c r="AH262" i="3564"/>
  <c r="AR261" i="3564"/>
  <c r="AK262" i="3564"/>
  <c r="BH261" i="3564"/>
  <c r="BD262" i="3564"/>
  <c r="BO264" i="3564"/>
  <c r="BV263" i="3564"/>
  <c r="Z262" i="3564"/>
  <c r="AD261" i="3564"/>
  <c r="BW264" i="3564"/>
  <c r="BP265" i="3564"/>
  <c r="CA265" i="3564"/>
  <c r="BT266" i="3564"/>
  <c r="BS266" i="3564"/>
  <c r="BZ265" i="3564"/>
  <c r="AJ264" i="3564" l="1"/>
  <c r="AQ263" i="3564"/>
  <c r="AS262" i="3564"/>
  <c r="AL263" i="3564"/>
  <c r="BF263" i="3564"/>
  <c r="BJ262" i="3564"/>
  <c r="BR265" i="3564"/>
  <c r="BY264" i="3564"/>
  <c r="AI263" i="3564"/>
  <c r="AP262" i="3564"/>
  <c r="BI262" i="3564"/>
  <c r="BE263" i="3564"/>
  <c r="AD262" i="3564"/>
  <c r="Z263" i="3564"/>
  <c r="AN262" i="3564"/>
  <c r="AG263" i="3564"/>
  <c r="AT262" i="3564"/>
  <c r="AM263" i="3564"/>
  <c r="AC262" i="3564"/>
  <c r="Y263" i="3564"/>
  <c r="X262" i="3564"/>
  <c r="AB261" i="3564"/>
  <c r="BX264" i="3564"/>
  <c r="BQ265" i="3564"/>
  <c r="BO265" i="3564"/>
  <c r="BV264" i="3564"/>
  <c r="BH262" i="3564"/>
  <c r="BD263" i="3564"/>
  <c r="AR262" i="3564"/>
  <c r="AK263" i="3564"/>
  <c r="BU264" i="3564"/>
  <c r="BN265" i="3564"/>
  <c r="AH263" i="3564"/>
  <c r="AO262" i="3564"/>
  <c r="BW265" i="3564"/>
  <c r="BP266" i="3564"/>
  <c r="CA266" i="3564"/>
  <c r="BT267" i="3564"/>
  <c r="BZ266" i="3564"/>
  <c r="BS267" i="3564"/>
  <c r="BQ266" i="3564" l="1"/>
  <c r="BX265" i="3564"/>
  <c r="Y264" i="3564"/>
  <c r="AC263" i="3564"/>
  <c r="AD263" i="3564"/>
  <c r="Z264" i="3564"/>
  <c r="X263" i="3564"/>
  <c r="AB262" i="3564"/>
  <c r="BY265" i="3564"/>
  <c r="BR266" i="3564"/>
  <c r="AN263" i="3564"/>
  <c r="AG264" i="3564"/>
  <c r="AI264" i="3564"/>
  <c r="AP263" i="3564"/>
  <c r="AK264" i="3564"/>
  <c r="AR263" i="3564"/>
  <c r="AH264" i="3564"/>
  <c r="AO263" i="3564"/>
  <c r="AL264" i="3564"/>
  <c r="AS263" i="3564"/>
  <c r="AT263" i="3564"/>
  <c r="AM264" i="3564"/>
  <c r="BE264" i="3564"/>
  <c r="BI263" i="3564"/>
  <c r="BU265" i="3564"/>
  <c r="BN266" i="3564"/>
  <c r="BJ263" i="3564"/>
  <c r="BF264" i="3564"/>
  <c r="BH263" i="3564"/>
  <c r="BD264" i="3564"/>
  <c r="BV265" i="3564"/>
  <c r="BO266" i="3564"/>
  <c r="AJ265" i="3564"/>
  <c r="AQ264" i="3564"/>
  <c r="BS268" i="3564"/>
  <c r="BZ267" i="3564"/>
  <c r="BP267" i="3564"/>
  <c r="BW266" i="3564"/>
  <c r="CA267" i="3564"/>
  <c r="BT268" i="3564"/>
  <c r="AH265" i="3564" l="1"/>
  <c r="AO264" i="3564"/>
  <c r="AP264" i="3564"/>
  <c r="AI265" i="3564"/>
  <c r="BV266" i="3564"/>
  <c r="BO267" i="3564"/>
  <c r="BI264" i="3564"/>
  <c r="BE265" i="3564"/>
  <c r="AL265" i="3564"/>
  <c r="AS264" i="3564"/>
  <c r="AJ266" i="3564"/>
  <c r="AQ265" i="3564"/>
  <c r="Z265" i="3564"/>
  <c r="AD264" i="3564"/>
  <c r="AN264" i="3564"/>
  <c r="AG265" i="3564"/>
  <c r="BY266" i="3564"/>
  <c r="BR267" i="3564"/>
  <c r="BD265" i="3564"/>
  <c r="BH264" i="3564"/>
  <c r="BU266" i="3564"/>
  <c r="BN267" i="3564"/>
  <c r="AT264" i="3564"/>
  <c r="AM265" i="3564"/>
  <c r="AK265" i="3564"/>
  <c r="AR264" i="3564"/>
  <c r="AB263" i="3564"/>
  <c r="X264" i="3564"/>
  <c r="BF265" i="3564"/>
  <c r="BJ264" i="3564"/>
  <c r="Y265" i="3564"/>
  <c r="AC264" i="3564"/>
  <c r="BQ267" i="3564"/>
  <c r="BX266" i="3564"/>
  <c r="BW267" i="3564"/>
  <c r="BP268" i="3564"/>
  <c r="BT269" i="3564"/>
  <c r="CA268" i="3564"/>
  <c r="BZ268" i="3564"/>
  <c r="BS269" i="3564"/>
  <c r="BU267" i="3564" l="1"/>
  <c r="BN268" i="3564"/>
  <c r="BE266" i="3564"/>
  <c r="BI265" i="3564"/>
  <c r="BR268" i="3564"/>
  <c r="BY267" i="3564"/>
  <c r="AT265" i="3564"/>
  <c r="AM266" i="3564"/>
  <c r="AN265" i="3564"/>
  <c r="AG266" i="3564"/>
  <c r="AD265" i="3564"/>
  <c r="Z266" i="3564"/>
  <c r="AJ267" i="3564"/>
  <c r="AQ266" i="3564"/>
  <c r="AL266" i="3564"/>
  <c r="AS265" i="3564"/>
  <c r="Y266" i="3564"/>
  <c r="AC265" i="3564"/>
  <c r="BO268" i="3564"/>
  <c r="BV267" i="3564"/>
  <c r="AP265" i="3564"/>
  <c r="AI266" i="3564"/>
  <c r="BD266" i="3564"/>
  <c r="BH265" i="3564"/>
  <c r="BQ268" i="3564"/>
  <c r="BX267" i="3564"/>
  <c r="BJ265" i="3564"/>
  <c r="BF266" i="3564"/>
  <c r="X265" i="3564"/>
  <c r="AB264" i="3564"/>
  <c r="AK266" i="3564"/>
  <c r="AR265" i="3564"/>
  <c r="AO265" i="3564"/>
  <c r="AH266" i="3564"/>
  <c r="BZ269" i="3564"/>
  <c r="BS270" i="3564"/>
  <c r="BW268" i="3564"/>
  <c r="BP269" i="3564"/>
  <c r="CA269" i="3564"/>
  <c r="BT270" i="3564"/>
  <c r="AP266" i="3564" l="1"/>
  <c r="AI267" i="3564"/>
  <c r="BV268" i="3564"/>
  <c r="BO269" i="3564"/>
  <c r="AO266" i="3564"/>
  <c r="AH267" i="3564"/>
  <c r="Y267" i="3564"/>
  <c r="AC266" i="3564"/>
  <c r="AD266" i="3564"/>
  <c r="Z267" i="3564"/>
  <c r="AR266" i="3564"/>
  <c r="AK267" i="3564"/>
  <c r="X266" i="3564"/>
  <c r="AB265" i="3564"/>
  <c r="BD267" i="3564"/>
  <c r="BH266" i="3564"/>
  <c r="AQ267" i="3564"/>
  <c r="AJ268" i="3564"/>
  <c r="AN266" i="3564"/>
  <c r="AG267" i="3564"/>
  <c r="AT266" i="3564"/>
  <c r="AM267" i="3564"/>
  <c r="BU268" i="3564"/>
  <c r="BN269" i="3564"/>
  <c r="AS266" i="3564"/>
  <c r="AL267" i="3564"/>
  <c r="BY268" i="3564"/>
  <c r="BR269" i="3564"/>
  <c r="BJ266" i="3564"/>
  <c r="BF267" i="3564"/>
  <c r="BI266" i="3564"/>
  <c r="BE267" i="3564"/>
  <c r="BX268" i="3564"/>
  <c r="BQ269" i="3564"/>
  <c r="BP270" i="3564"/>
  <c r="BW269" i="3564"/>
  <c r="BT271" i="3564"/>
  <c r="CA270" i="3564"/>
  <c r="BZ270" i="3564"/>
  <c r="BS271" i="3564"/>
  <c r="AN267" i="3564" l="1"/>
  <c r="AG268" i="3564"/>
  <c r="AK268" i="3564"/>
  <c r="AR267" i="3564"/>
  <c r="BN270" i="3564"/>
  <c r="BU269" i="3564"/>
  <c r="AM268" i="3564"/>
  <c r="AT267" i="3564"/>
  <c r="AQ268" i="3564"/>
  <c r="AJ269" i="3564"/>
  <c r="X267" i="3564"/>
  <c r="AB266" i="3564"/>
  <c r="AH268" i="3564"/>
  <c r="AO267" i="3564"/>
  <c r="Z268" i="3564"/>
  <c r="AD267" i="3564"/>
  <c r="BJ267" i="3564"/>
  <c r="BF268" i="3564"/>
  <c r="BO270" i="3564"/>
  <c r="BV269" i="3564"/>
  <c r="AP267" i="3564"/>
  <c r="AI268" i="3564"/>
  <c r="BD268" i="3564"/>
  <c r="BH267" i="3564"/>
  <c r="BQ270" i="3564"/>
  <c r="BX269" i="3564"/>
  <c r="BI267" i="3564"/>
  <c r="BE268" i="3564"/>
  <c r="Y268" i="3564"/>
  <c r="AC267" i="3564"/>
  <c r="BY269" i="3564"/>
  <c r="BR270" i="3564"/>
  <c r="AS267" i="3564"/>
  <c r="AL268" i="3564"/>
  <c r="BS272" i="3564"/>
  <c r="BZ271" i="3564"/>
  <c r="BT272" i="3564"/>
  <c r="CA271" i="3564"/>
  <c r="BP271" i="3564"/>
  <c r="BW270" i="3564"/>
  <c r="BD269" i="3564" l="1"/>
  <c r="BH268" i="3564"/>
  <c r="BO271" i="3564"/>
  <c r="BV270" i="3564"/>
  <c r="AO268" i="3564"/>
  <c r="AH269" i="3564"/>
  <c r="AJ270" i="3564"/>
  <c r="AQ269" i="3564"/>
  <c r="AI269" i="3564"/>
  <c r="AP268" i="3564"/>
  <c r="BF269" i="3564"/>
  <c r="BJ268" i="3564"/>
  <c r="Z269" i="3564"/>
  <c r="AD268" i="3564"/>
  <c r="BR271" i="3564"/>
  <c r="BY270" i="3564"/>
  <c r="AB267" i="3564"/>
  <c r="X268" i="3564"/>
  <c r="BU270" i="3564"/>
  <c r="BN271" i="3564"/>
  <c r="AN268" i="3564"/>
  <c r="AG269" i="3564"/>
  <c r="AS268" i="3564"/>
  <c r="AL269" i="3564"/>
  <c r="AT268" i="3564"/>
  <c r="AM269" i="3564"/>
  <c r="AC268" i="3564"/>
  <c r="Y269" i="3564"/>
  <c r="BI268" i="3564"/>
  <c r="BE269" i="3564"/>
  <c r="AR268" i="3564"/>
  <c r="AK269" i="3564"/>
  <c r="BQ271" i="3564"/>
  <c r="BX270" i="3564"/>
  <c r="BP272" i="3564"/>
  <c r="BW271" i="3564"/>
  <c r="BT273" i="3564"/>
  <c r="CA272" i="3564"/>
  <c r="BS273" i="3564"/>
  <c r="BZ272" i="3564"/>
  <c r="AB268" i="3564" l="1"/>
  <c r="X269" i="3564"/>
  <c r="AL270" i="3564"/>
  <c r="AS269" i="3564"/>
  <c r="BN272" i="3564"/>
  <c r="BU271" i="3564"/>
  <c r="AD269" i="3564"/>
  <c r="Z270" i="3564"/>
  <c r="BX271" i="3564"/>
  <c r="BQ272" i="3564"/>
  <c r="BJ269" i="3564"/>
  <c r="BF270" i="3564"/>
  <c r="AI270" i="3564"/>
  <c r="AP269" i="3564"/>
  <c r="AH270" i="3564"/>
  <c r="AO269" i="3564"/>
  <c r="AN269" i="3564"/>
  <c r="AG270" i="3564"/>
  <c r="BE270" i="3564"/>
  <c r="BI269" i="3564"/>
  <c r="Y270" i="3564"/>
  <c r="AC269" i="3564"/>
  <c r="AT269" i="3564"/>
  <c r="AM270" i="3564"/>
  <c r="BR272" i="3564"/>
  <c r="BY271" i="3564"/>
  <c r="AR269" i="3564"/>
  <c r="AK270" i="3564"/>
  <c r="AJ271" i="3564"/>
  <c r="AQ270" i="3564"/>
  <c r="BO272" i="3564"/>
  <c r="BV271" i="3564"/>
  <c r="BH269" i="3564"/>
  <c r="BD270" i="3564"/>
  <c r="BS274" i="3564"/>
  <c r="BZ273" i="3564"/>
  <c r="CA273" i="3564"/>
  <c r="BT274" i="3564"/>
  <c r="BP273" i="3564"/>
  <c r="BW272" i="3564"/>
  <c r="BI270" i="3564" l="1"/>
  <c r="BE271" i="3564"/>
  <c r="AP270" i="3564"/>
  <c r="AI271" i="3564"/>
  <c r="BF271" i="3564"/>
  <c r="BJ270" i="3564"/>
  <c r="AD270" i="3564"/>
  <c r="Z271" i="3564"/>
  <c r="BH270" i="3564"/>
  <c r="BD271" i="3564"/>
  <c r="AM271" i="3564"/>
  <c r="AT270" i="3564"/>
  <c r="Y271" i="3564"/>
  <c r="AC270" i="3564"/>
  <c r="AG271" i="3564"/>
  <c r="AN270" i="3564"/>
  <c r="AH271" i="3564"/>
  <c r="AO270" i="3564"/>
  <c r="BX272" i="3564"/>
  <c r="BQ273" i="3564"/>
  <c r="BN273" i="3564"/>
  <c r="BU272" i="3564"/>
  <c r="X270" i="3564"/>
  <c r="AB269" i="3564"/>
  <c r="BO273" i="3564"/>
  <c r="BV272" i="3564"/>
  <c r="AJ272" i="3564"/>
  <c r="AQ271" i="3564"/>
  <c r="AR270" i="3564"/>
  <c r="AK271" i="3564"/>
  <c r="AS270" i="3564"/>
  <c r="AL271" i="3564"/>
  <c r="BY272" i="3564"/>
  <c r="BR273" i="3564"/>
  <c r="BP274" i="3564"/>
  <c r="BW273" i="3564"/>
  <c r="BT275" i="3564"/>
  <c r="CA274" i="3564"/>
  <c r="BS275" i="3564"/>
  <c r="BZ274" i="3564"/>
  <c r="BQ274" i="3564" l="1"/>
  <c r="BX273" i="3564"/>
  <c r="AC271" i="3564"/>
  <c r="Y272" i="3564"/>
  <c r="AM272" i="3564"/>
  <c r="AT271" i="3564"/>
  <c r="AJ273" i="3564"/>
  <c r="AQ272" i="3564"/>
  <c r="AB270" i="3564"/>
  <c r="X271" i="3564"/>
  <c r="AH272" i="3564"/>
  <c r="AO271" i="3564"/>
  <c r="BH271" i="3564"/>
  <c r="BD272" i="3564"/>
  <c r="AL272" i="3564"/>
  <c r="AS271" i="3564"/>
  <c r="AP271" i="3564"/>
  <c r="AI272" i="3564"/>
  <c r="BI271" i="3564"/>
  <c r="BE272" i="3564"/>
  <c r="BU273" i="3564"/>
  <c r="BN274" i="3564"/>
  <c r="AG272" i="3564"/>
  <c r="AN271" i="3564"/>
  <c r="BR274" i="3564"/>
  <c r="BY273" i="3564"/>
  <c r="Z272" i="3564"/>
  <c r="AD271" i="3564"/>
  <c r="AR271" i="3564"/>
  <c r="AK272" i="3564"/>
  <c r="BF272" i="3564"/>
  <c r="BJ271" i="3564"/>
  <c r="BO274" i="3564"/>
  <c r="BV273" i="3564"/>
  <c r="BW274" i="3564"/>
  <c r="BP275" i="3564"/>
  <c r="BT276" i="3564"/>
  <c r="CA275" i="3564"/>
  <c r="BS276" i="3564"/>
  <c r="BZ275" i="3564"/>
  <c r="BE273" i="3564" l="1"/>
  <c r="BI272" i="3564"/>
  <c r="BD273" i="3564"/>
  <c r="BH272" i="3564"/>
  <c r="AG273" i="3564"/>
  <c r="AN272" i="3564"/>
  <c r="AB271" i="3564"/>
  <c r="X272" i="3564"/>
  <c r="BN275" i="3564"/>
  <c r="BU274" i="3564"/>
  <c r="AI273" i="3564"/>
  <c r="AP272" i="3564"/>
  <c r="BJ272" i="3564"/>
  <c r="BF273" i="3564"/>
  <c r="AD272" i="3564"/>
  <c r="Z273" i="3564"/>
  <c r="AO272" i="3564"/>
  <c r="AH273" i="3564"/>
  <c r="AQ273" i="3564"/>
  <c r="AJ274" i="3564"/>
  <c r="AC272" i="3564"/>
  <c r="Y273" i="3564"/>
  <c r="AS272" i="3564"/>
  <c r="AL273" i="3564"/>
  <c r="BV274" i="3564"/>
  <c r="BO275" i="3564"/>
  <c r="AR272" i="3564"/>
  <c r="AK273" i="3564"/>
  <c r="AT272" i="3564"/>
  <c r="AM273" i="3564"/>
  <c r="BR275" i="3564"/>
  <c r="BY274" i="3564"/>
  <c r="BX274" i="3564"/>
  <c r="BQ275" i="3564"/>
  <c r="BS277" i="3564"/>
  <c r="BZ276" i="3564"/>
  <c r="BT277" i="3564"/>
  <c r="CA276" i="3564"/>
  <c r="BW275" i="3564"/>
  <c r="BP276" i="3564"/>
  <c r="AH274" i="3564" l="1"/>
  <c r="AO273" i="3564"/>
  <c r="AD273" i="3564"/>
  <c r="Z274" i="3564"/>
  <c r="AL274" i="3564"/>
  <c r="AS273" i="3564"/>
  <c r="AQ274" i="3564"/>
  <c r="AJ275" i="3564"/>
  <c r="AC273" i="3564"/>
  <c r="Y274" i="3564"/>
  <c r="BF274" i="3564"/>
  <c r="BJ273" i="3564"/>
  <c r="BN276" i="3564"/>
  <c r="BU275" i="3564"/>
  <c r="AT273" i="3564"/>
  <c r="AM274" i="3564"/>
  <c r="AP273" i="3564"/>
  <c r="AI274" i="3564"/>
  <c r="X273" i="3564"/>
  <c r="AB272" i="3564"/>
  <c r="AG274" i="3564"/>
  <c r="AN273" i="3564"/>
  <c r="BV275" i="3564"/>
  <c r="BO276" i="3564"/>
  <c r="BX275" i="3564"/>
  <c r="BQ276" i="3564"/>
  <c r="BY275" i="3564"/>
  <c r="BR276" i="3564"/>
  <c r="AR273" i="3564"/>
  <c r="AK274" i="3564"/>
  <c r="BD274" i="3564"/>
  <c r="BH273" i="3564"/>
  <c r="BI273" i="3564"/>
  <c r="BE274" i="3564"/>
  <c r="BW276" i="3564"/>
  <c r="BP277" i="3564"/>
  <c r="BT278" i="3564"/>
  <c r="CA277" i="3564"/>
  <c r="BS278" i="3564"/>
  <c r="BZ277" i="3564"/>
  <c r="AG275" i="3564" l="1"/>
  <c r="AN274" i="3564"/>
  <c r="BV276" i="3564"/>
  <c r="BO277" i="3564"/>
  <c r="AP274" i="3564"/>
  <c r="AI275" i="3564"/>
  <c r="AJ276" i="3564"/>
  <c r="AQ275" i="3564"/>
  <c r="BI274" i="3564"/>
  <c r="BE275" i="3564"/>
  <c r="AK275" i="3564"/>
  <c r="AR274" i="3564"/>
  <c r="BN277" i="3564"/>
  <c r="BU276" i="3564"/>
  <c r="BJ274" i="3564"/>
  <c r="BF275" i="3564"/>
  <c r="BD275" i="3564"/>
  <c r="BH274" i="3564"/>
  <c r="BR277" i="3564"/>
  <c r="BY276" i="3564"/>
  <c r="BQ277" i="3564"/>
  <c r="BX276" i="3564"/>
  <c r="AB273" i="3564"/>
  <c r="X274" i="3564"/>
  <c r="AM275" i="3564"/>
  <c r="AT274" i="3564"/>
  <c r="Y275" i="3564"/>
  <c r="AC274" i="3564"/>
  <c r="AS274" i="3564"/>
  <c r="AL275" i="3564"/>
  <c r="AD274" i="3564"/>
  <c r="Z275" i="3564"/>
  <c r="AH275" i="3564"/>
  <c r="AO274" i="3564"/>
  <c r="BP278" i="3564"/>
  <c r="BW277" i="3564"/>
  <c r="BT279" i="3564"/>
  <c r="CA278" i="3564"/>
  <c r="BS279" i="3564"/>
  <c r="BZ278" i="3564"/>
  <c r="BF276" i="3564" l="1"/>
  <c r="BJ275" i="3564"/>
  <c r="BQ278" i="3564"/>
  <c r="BX277" i="3564"/>
  <c r="BD276" i="3564"/>
  <c r="BH275" i="3564"/>
  <c r="AH276" i="3564"/>
  <c r="AO275" i="3564"/>
  <c r="BI275" i="3564"/>
  <c r="BE276" i="3564"/>
  <c r="AB274" i="3564"/>
  <c r="X275" i="3564"/>
  <c r="AI276" i="3564"/>
  <c r="AP275" i="3564"/>
  <c r="BN278" i="3564"/>
  <c r="BU277" i="3564"/>
  <c r="AK276" i="3564"/>
  <c r="AR275" i="3564"/>
  <c r="AD275" i="3564"/>
  <c r="Z276" i="3564"/>
  <c r="AJ277" i="3564"/>
  <c r="AQ276" i="3564"/>
  <c r="AL276" i="3564"/>
  <c r="AS275" i="3564"/>
  <c r="BO278" i="3564"/>
  <c r="BV277" i="3564"/>
  <c r="AC275" i="3564"/>
  <c r="Y276" i="3564"/>
  <c r="BY277" i="3564"/>
  <c r="BR278" i="3564"/>
  <c r="AM276" i="3564"/>
  <c r="AT275" i="3564"/>
  <c r="AG276" i="3564"/>
  <c r="AN275" i="3564"/>
  <c r="BT280" i="3564"/>
  <c r="CA279" i="3564"/>
  <c r="BZ279" i="3564"/>
  <c r="BS280" i="3564"/>
  <c r="BW278" i="3564"/>
  <c r="BP279" i="3564"/>
  <c r="AG277" i="3564" l="1"/>
  <c r="AN276" i="3564"/>
  <c r="AL277" i="3564"/>
  <c r="AS276" i="3564"/>
  <c r="Z277" i="3564"/>
  <c r="AD276" i="3564"/>
  <c r="BU278" i="3564"/>
  <c r="BN279" i="3564"/>
  <c r="AB275" i="3564"/>
  <c r="X276" i="3564"/>
  <c r="BE277" i="3564"/>
  <c r="BI276" i="3564"/>
  <c r="AH277" i="3564"/>
  <c r="AO276" i="3564"/>
  <c r="AJ278" i="3564"/>
  <c r="AQ277" i="3564"/>
  <c r="AK277" i="3564"/>
  <c r="AR276" i="3564"/>
  <c r="BR279" i="3564"/>
  <c r="BY278" i="3564"/>
  <c r="Y277" i="3564"/>
  <c r="AC276" i="3564"/>
  <c r="AI277" i="3564"/>
  <c r="AP276" i="3564"/>
  <c r="AT276" i="3564"/>
  <c r="AM277" i="3564"/>
  <c r="BH276" i="3564"/>
  <c r="BD277" i="3564"/>
  <c r="BX278" i="3564"/>
  <c r="BQ279" i="3564"/>
  <c r="BV278" i="3564"/>
  <c r="BO279" i="3564"/>
  <c r="BJ276" i="3564"/>
  <c r="BF277" i="3564"/>
  <c r="BT281" i="3564"/>
  <c r="CA280" i="3564"/>
  <c r="BS281" i="3564"/>
  <c r="BZ280" i="3564"/>
  <c r="BP280" i="3564"/>
  <c r="BW279" i="3564"/>
  <c r="AK278" i="3564" l="1"/>
  <c r="AR277" i="3564"/>
  <c r="Y278" i="3564"/>
  <c r="AC277" i="3564"/>
  <c r="BI277" i="3564"/>
  <c r="BE278" i="3564"/>
  <c r="AJ279" i="3564"/>
  <c r="AQ278" i="3564"/>
  <c r="BF278" i="3564"/>
  <c r="BJ277" i="3564"/>
  <c r="BQ280" i="3564"/>
  <c r="BX279" i="3564"/>
  <c r="X277" i="3564"/>
  <c r="AB276" i="3564"/>
  <c r="BO280" i="3564"/>
  <c r="BV279" i="3564"/>
  <c r="Z278" i="3564"/>
  <c r="AD277" i="3564"/>
  <c r="AM278" i="3564"/>
  <c r="AT277" i="3564"/>
  <c r="AP277" i="3564"/>
  <c r="AI278" i="3564"/>
  <c r="BR280" i="3564"/>
  <c r="BY279" i="3564"/>
  <c r="AO277" i="3564"/>
  <c r="AH278" i="3564"/>
  <c r="BU279" i="3564"/>
  <c r="BN280" i="3564"/>
  <c r="BH277" i="3564"/>
  <c r="BD278" i="3564"/>
  <c r="AS277" i="3564"/>
  <c r="AL278" i="3564"/>
  <c r="AN277" i="3564"/>
  <c r="AG278" i="3564"/>
  <c r="BS282" i="3564"/>
  <c r="BZ281" i="3564"/>
  <c r="BW280" i="3564"/>
  <c r="BP281" i="3564"/>
  <c r="BT282" i="3564"/>
  <c r="CA281" i="3564"/>
  <c r="BY280" i="3564" l="1"/>
  <c r="BR281" i="3564"/>
  <c r="X278" i="3564"/>
  <c r="AB277" i="3564"/>
  <c r="AS278" i="3564"/>
  <c r="AL279" i="3564"/>
  <c r="AI279" i="3564"/>
  <c r="AP278" i="3564"/>
  <c r="AM279" i="3564"/>
  <c r="AT278" i="3564"/>
  <c r="AQ279" i="3564"/>
  <c r="AJ280" i="3564"/>
  <c r="Z279" i="3564"/>
  <c r="AD278" i="3564"/>
  <c r="AG279" i="3564"/>
  <c r="AN278" i="3564"/>
  <c r="BD279" i="3564"/>
  <c r="BH278" i="3564"/>
  <c r="BU280" i="3564"/>
  <c r="BN281" i="3564"/>
  <c r="AH279" i="3564"/>
  <c r="AO278" i="3564"/>
  <c r="BO281" i="3564"/>
  <c r="BV280" i="3564"/>
  <c r="BX280" i="3564"/>
  <c r="BQ281" i="3564"/>
  <c r="BJ278" i="3564"/>
  <c r="BF279" i="3564"/>
  <c r="BE279" i="3564"/>
  <c r="BI278" i="3564"/>
  <c r="AC278" i="3564"/>
  <c r="Y279" i="3564"/>
  <c r="AR278" i="3564"/>
  <c r="AK279" i="3564"/>
  <c r="BZ282" i="3564"/>
  <c r="BS283" i="3564"/>
  <c r="BT283" i="3564"/>
  <c r="CA282" i="3564"/>
  <c r="BP282" i="3564"/>
  <c r="BW281" i="3564"/>
  <c r="BV281" i="3564" l="1"/>
  <c r="BO282" i="3564"/>
  <c r="Z280" i="3564"/>
  <c r="AD279" i="3564"/>
  <c r="AH280" i="3564"/>
  <c r="AO279" i="3564"/>
  <c r="AN279" i="3564"/>
  <c r="AG280" i="3564"/>
  <c r="AT279" i="3564"/>
  <c r="AM280" i="3564"/>
  <c r="Y280" i="3564"/>
  <c r="AC279" i="3564"/>
  <c r="AS279" i="3564"/>
  <c r="AL280" i="3564"/>
  <c r="AB278" i="3564"/>
  <c r="X279" i="3564"/>
  <c r="BU281" i="3564"/>
  <c r="BN282" i="3564"/>
  <c r="BH279" i="3564"/>
  <c r="BD280" i="3564"/>
  <c r="AK280" i="3564"/>
  <c r="AR279" i="3564"/>
  <c r="BE280" i="3564"/>
  <c r="BI279" i="3564"/>
  <c r="BJ279" i="3564"/>
  <c r="BF280" i="3564"/>
  <c r="BR282" i="3564"/>
  <c r="BY281" i="3564"/>
  <c r="AJ281" i="3564"/>
  <c r="AQ280" i="3564"/>
  <c r="AI280" i="3564"/>
  <c r="AP279" i="3564"/>
  <c r="BQ282" i="3564"/>
  <c r="BX281" i="3564"/>
  <c r="BW282" i="3564"/>
  <c r="BP283" i="3564"/>
  <c r="BS284" i="3564"/>
  <c r="BZ283" i="3564"/>
  <c r="CA283" i="3564"/>
  <c r="BT284" i="3564"/>
  <c r="BH280" i="3564" l="1"/>
  <c r="BD281" i="3564"/>
  <c r="AK281" i="3564"/>
  <c r="AR280" i="3564"/>
  <c r="AI281" i="3564"/>
  <c r="AP280" i="3564"/>
  <c r="Y281" i="3564"/>
  <c r="AC280" i="3564"/>
  <c r="BY282" i="3564"/>
  <c r="BR283" i="3564"/>
  <c r="BI280" i="3564"/>
  <c r="BE281" i="3564"/>
  <c r="BN283" i="3564"/>
  <c r="BU282" i="3564"/>
  <c r="AL281" i="3564"/>
  <c r="AS280" i="3564"/>
  <c r="BX282" i="3564"/>
  <c r="BQ283" i="3564"/>
  <c r="AQ281" i="3564"/>
  <c r="AJ282" i="3564"/>
  <c r="BV282" i="3564"/>
  <c r="BO283" i="3564"/>
  <c r="X280" i="3564"/>
  <c r="AB279" i="3564"/>
  <c r="AM281" i="3564"/>
  <c r="AT280" i="3564"/>
  <c r="AN280" i="3564"/>
  <c r="AG281" i="3564"/>
  <c r="AO280" i="3564"/>
  <c r="AH281" i="3564"/>
  <c r="AD280" i="3564"/>
  <c r="Z281" i="3564"/>
  <c r="BJ280" i="3564"/>
  <c r="BF281" i="3564"/>
  <c r="CA284" i="3564"/>
  <c r="BT285" i="3564"/>
  <c r="BW283" i="3564"/>
  <c r="BP284" i="3564"/>
  <c r="BS285" i="3564"/>
  <c r="BZ284" i="3564"/>
  <c r="BQ284" i="3564" l="1"/>
  <c r="BX283" i="3564"/>
  <c r="BU283" i="3564"/>
  <c r="BN284" i="3564"/>
  <c r="BF282" i="3564"/>
  <c r="BJ281" i="3564"/>
  <c r="BO284" i="3564"/>
  <c r="BV283" i="3564"/>
  <c r="BY283" i="3564"/>
  <c r="BR284" i="3564"/>
  <c r="X281" i="3564"/>
  <c r="AB280" i="3564"/>
  <c r="AS281" i="3564"/>
  <c r="AL282" i="3564"/>
  <c r="BE282" i="3564"/>
  <c r="BI281" i="3564"/>
  <c r="AC281" i="3564"/>
  <c r="Y282" i="3564"/>
  <c r="AI282" i="3564"/>
  <c r="AP281" i="3564"/>
  <c r="BH281" i="3564"/>
  <c r="BD282" i="3564"/>
  <c r="AQ282" i="3564"/>
  <c r="AJ283" i="3564"/>
  <c r="Z282" i="3564"/>
  <c r="AD281" i="3564"/>
  <c r="AO281" i="3564"/>
  <c r="AH282" i="3564"/>
  <c r="AG282" i="3564"/>
  <c r="AN281" i="3564"/>
  <c r="AR281" i="3564"/>
  <c r="AK282" i="3564"/>
  <c r="AT281" i="3564"/>
  <c r="AM282" i="3564"/>
  <c r="BZ285" i="3564"/>
  <c r="BS286" i="3564"/>
  <c r="BP285" i="3564"/>
  <c r="BW284" i="3564"/>
  <c r="CA285" i="3564"/>
  <c r="BT286" i="3564"/>
  <c r="Y283" i="3564" l="1"/>
  <c r="AC282" i="3564"/>
  <c r="AI283" i="3564"/>
  <c r="AP282" i="3564"/>
  <c r="AB281" i="3564"/>
  <c r="X282" i="3564"/>
  <c r="AQ283" i="3564"/>
  <c r="AJ284" i="3564"/>
  <c r="AL283" i="3564"/>
  <c r="AS282" i="3564"/>
  <c r="AM283" i="3564"/>
  <c r="AT282" i="3564"/>
  <c r="BO285" i="3564"/>
  <c r="BV284" i="3564"/>
  <c r="BF283" i="3564"/>
  <c r="BJ282" i="3564"/>
  <c r="BE283" i="3564"/>
  <c r="BI282" i="3564"/>
  <c r="BR285" i="3564"/>
  <c r="BY284" i="3564"/>
  <c r="AK283" i="3564"/>
  <c r="AR282" i="3564"/>
  <c r="BN285" i="3564"/>
  <c r="BU284" i="3564"/>
  <c r="BD283" i="3564"/>
  <c r="BH282" i="3564"/>
  <c r="AG283" i="3564"/>
  <c r="AN282" i="3564"/>
  <c r="AH283" i="3564"/>
  <c r="AO282" i="3564"/>
  <c r="AD282" i="3564"/>
  <c r="Z283" i="3564"/>
  <c r="BX284" i="3564"/>
  <c r="BQ285" i="3564"/>
  <c r="BP286" i="3564"/>
  <c r="BW285" i="3564"/>
  <c r="CA286" i="3564"/>
  <c r="BT287" i="3564"/>
  <c r="BZ286" i="3564"/>
  <c r="BS287" i="3564"/>
  <c r="BI283" i="3564" l="1"/>
  <c r="BE284" i="3564"/>
  <c r="AL284" i="3564"/>
  <c r="AS283" i="3564"/>
  <c r="BN286" i="3564"/>
  <c r="BU285" i="3564"/>
  <c r="AD283" i="3564"/>
  <c r="Z284" i="3564"/>
  <c r="AH284" i="3564"/>
  <c r="AO283" i="3564"/>
  <c r="BR286" i="3564"/>
  <c r="BY285" i="3564"/>
  <c r="BO286" i="3564"/>
  <c r="BV285" i="3564"/>
  <c r="BX285" i="3564"/>
  <c r="BQ286" i="3564"/>
  <c r="AJ285" i="3564"/>
  <c r="AQ284" i="3564"/>
  <c r="AB282" i="3564"/>
  <c r="X283" i="3564"/>
  <c r="AG284" i="3564"/>
  <c r="AN283" i="3564"/>
  <c r="AK284" i="3564"/>
  <c r="AR283" i="3564"/>
  <c r="BJ283" i="3564"/>
  <c r="BF284" i="3564"/>
  <c r="AT283" i="3564"/>
  <c r="AM284" i="3564"/>
  <c r="AP283" i="3564"/>
  <c r="AI284" i="3564"/>
  <c r="BH283" i="3564"/>
  <c r="BD284" i="3564"/>
  <c r="Y284" i="3564"/>
  <c r="AC283" i="3564"/>
  <c r="BT288" i="3564"/>
  <c r="CA287" i="3564"/>
  <c r="BZ287" i="3564"/>
  <c r="BS288" i="3564"/>
  <c r="BW286" i="3564"/>
  <c r="BP287" i="3564"/>
  <c r="X284" i="3564" l="1"/>
  <c r="AB283" i="3564"/>
  <c r="BV286" i="3564"/>
  <c r="BO287" i="3564"/>
  <c r="AH285" i="3564"/>
  <c r="AO284" i="3564"/>
  <c r="AR284" i="3564"/>
  <c r="AK285" i="3564"/>
  <c r="AJ286" i="3564"/>
  <c r="AQ285" i="3564"/>
  <c r="BY286" i="3564"/>
  <c r="BR287" i="3564"/>
  <c r="Z285" i="3564"/>
  <c r="AD284" i="3564"/>
  <c r="AG285" i="3564"/>
  <c r="AN284" i="3564"/>
  <c r="BQ287" i="3564"/>
  <c r="BX286" i="3564"/>
  <c r="BH284" i="3564"/>
  <c r="BD285" i="3564"/>
  <c r="BN287" i="3564"/>
  <c r="BU286" i="3564"/>
  <c r="BI284" i="3564"/>
  <c r="BE285" i="3564"/>
  <c r="AC284" i="3564"/>
  <c r="Y285" i="3564"/>
  <c r="AP284" i="3564"/>
  <c r="AI285" i="3564"/>
  <c r="AT284" i="3564"/>
  <c r="AM285" i="3564"/>
  <c r="AL285" i="3564"/>
  <c r="AS284" i="3564"/>
  <c r="BJ284" i="3564"/>
  <c r="BF285" i="3564"/>
  <c r="BP288" i="3564"/>
  <c r="BW287" i="3564"/>
  <c r="BZ288" i="3564"/>
  <c r="BS289" i="3564"/>
  <c r="BT289" i="3564"/>
  <c r="CA288" i="3564"/>
  <c r="BE286" i="3564" l="1"/>
  <c r="BI285" i="3564"/>
  <c r="BH285" i="3564"/>
  <c r="BD286" i="3564"/>
  <c r="AD285" i="3564"/>
  <c r="Z286" i="3564"/>
  <c r="BN288" i="3564"/>
  <c r="BU287" i="3564"/>
  <c r="BX287" i="3564"/>
  <c r="BQ288" i="3564"/>
  <c r="AG286" i="3564"/>
  <c r="AN285" i="3564"/>
  <c r="BR288" i="3564"/>
  <c r="BY287" i="3564"/>
  <c r="BF286" i="3564"/>
  <c r="BJ285" i="3564"/>
  <c r="AK286" i="3564"/>
  <c r="AR285" i="3564"/>
  <c r="AM286" i="3564"/>
  <c r="AT285" i="3564"/>
  <c r="AQ286" i="3564"/>
  <c r="AJ287" i="3564"/>
  <c r="BO288" i="3564"/>
  <c r="BV287" i="3564"/>
  <c r="AC285" i="3564"/>
  <c r="Y286" i="3564"/>
  <c r="AL286" i="3564"/>
  <c r="AS285" i="3564"/>
  <c r="AO285" i="3564"/>
  <c r="AH286" i="3564"/>
  <c r="AI286" i="3564"/>
  <c r="AP285" i="3564"/>
  <c r="X285" i="3564"/>
  <c r="AB284" i="3564"/>
  <c r="CA289" i="3564"/>
  <c r="BT290" i="3564"/>
  <c r="BZ289" i="3564"/>
  <c r="BS290" i="3564"/>
  <c r="BP289" i="3564"/>
  <c r="BW288" i="3564"/>
  <c r="BO289" i="3564" l="1"/>
  <c r="BV288" i="3564"/>
  <c r="AT286" i="3564"/>
  <c r="AM287" i="3564"/>
  <c r="BY288" i="3564"/>
  <c r="BR289" i="3564"/>
  <c r="AQ287" i="3564"/>
  <c r="AJ288" i="3564"/>
  <c r="BX288" i="3564"/>
  <c r="BQ289" i="3564"/>
  <c r="BF287" i="3564"/>
  <c r="BJ286" i="3564"/>
  <c r="AI287" i="3564"/>
  <c r="AP286" i="3564"/>
  <c r="AR286" i="3564"/>
  <c r="AK287" i="3564"/>
  <c r="AN286" i="3564"/>
  <c r="AG287" i="3564"/>
  <c r="AB285" i="3564"/>
  <c r="X286" i="3564"/>
  <c r="BN289" i="3564"/>
  <c r="BU288" i="3564"/>
  <c r="AD286" i="3564"/>
  <c r="Z287" i="3564"/>
  <c r="BD287" i="3564"/>
  <c r="BH286" i="3564"/>
  <c r="AC286" i="3564"/>
  <c r="Y287" i="3564"/>
  <c r="AO286" i="3564"/>
  <c r="AH287" i="3564"/>
  <c r="AL287" i="3564"/>
  <c r="AS286" i="3564"/>
  <c r="BI286" i="3564"/>
  <c r="BE287" i="3564"/>
  <c r="BZ290" i="3564"/>
  <c r="BS291" i="3564"/>
  <c r="BT291" i="3564"/>
  <c r="CA290" i="3564"/>
  <c r="BP290" i="3564"/>
  <c r="BW289" i="3564"/>
  <c r="AD287" i="3564" l="1"/>
  <c r="Z288" i="3564"/>
  <c r="X287" i="3564"/>
  <c r="AB286" i="3564"/>
  <c r="AP287" i="3564"/>
  <c r="AI288" i="3564"/>
  <c r="BU289" i="3564"/>
  <c r="BN290" i="3564"/>
  <c r="BJ287" i="3564"/>
  <c r="BF288" i="3564"/>
  <c r="AL288" i="3564"/>
  <c r="AS287" i="3564"/>
  <c r="AG288" i="3564"/>
  <c r="AN287" i="3564"/>
  <c r="BQ290" i="3564"/>
  <c r="BX289" i="3564"/>
  <c r="AQ288" i="3564"/>
  <c r="AJ289" i="3564"/>
  <c r="AO287" i="3564"/>
  <c r="AH288" i="3564"/>
  <c r="AT287" i="3564"/>
  <c r="AM288" i="3564"/>
  <c r="AK288" i="3564"/>
  <c r="AR287" i="3564"/>
  <c r="BE288" i="3564"/>
  <c r="BI287" i="3564"/>
  <c r="BR290" i="3564"/>
  <c r="BY289" i="3564"/>
  <c r="AC287" i="3564"/>
  <c r="Y288" i="3564"/>
  <c r="BH287" i="3564"/>
  <c r="BD288" i="3564"/>
  <c r="BO290" i="3564"/>
  <c r="BV289" i="3564"/>
  <c r="BT292" i="3564"/>
  <c r="CA292" i="3564" s="1"/>
  <c r="CA291" i="3564"/>
  <c r="BP291" i="3564"/>
  <c r="BW290" i="3564"/>
  <c r="BS292" i="3564"/>
  <c r="BZ292" i="3564" s="1"/>
  <c r="BZ291" i="3564"/>
  <c r="AM289" i="3564" l="1"/>
  <c r="AT288" i="3564"/>
  <c r="AH289" i="3564"/>
  <c r="AO288" i="3564"/>
  <c r="BJ288" i="3564"/>
  <c r="BF289" i="3564"/>
  <c r="AR288" i="3564"/>
  <c r="AK289" i="3564"/>
  <c r="BD289" i="3564"/>
  <c r="BH288" i="3564"/>
  <c r="Y289" i="3564"/>
  <c r="AC288" i="3564"/>
  <c r="AG289" i="3564"/>
  <c r="AN288" i="3564"/>
  <c r="AL289" i="3564"/>
  <c r="AS288" i="3564"/>
  <c r="AI289" i="3564"/>
  <c r="AP288" i="3564"/>
  <c r="AD288" i="3564"/>
  <c r="Z289" i="3564"/>
  <c r="AJ290" i="3564"/>
  <c r="AQ289" i="3564"/>
  <c r="BQ291" i="3564"/>
  <c r="BX290" i="3564"/>
  <c r="BO291" i="3564"/>
  <c r="BV290" i="3564"/>
  <c r="BN291" i="3564"/>
  <c r="BU290" i="3564"/>
  <c r="BR291" i="3564"/>
  <c r="BY290" i="3564"/>
  <c r="X288" i="3564"/>
  <c r="AB287" i="3564"/>
  <c r="BI288" i="3564"/>
  <c r="BE289" i="3564"/>
  <c r="BP292" i="3564"/>
  <c r="BW292" i="3564" s="1"/>
  <c r="BW291" i="3564"/>
  <c r="AD289" i="3564" l="1"/>
  <c r="Z290" i="3564"/>
  <c r="Y290" i="3564"/>
  <c r="AC289" i="3564"/>
  <c r="AQ290" i="3564"/>
  <c r="AJ291" i="3564"/>
  <c r="AS289" i="3564"/>
  <c r="AL290" i="3564"/>
  <c r="BH289" i="3564"/>
  <c r="BD290" i="3564"/>
  <c r="BQ292" i="3564"/>
  <c r="BX292" i="3564" s="1"/>
  <c r="BX291" i="3564"/>
  <c r="AR289" i="3564"/>
  <c r="AK290" i="3564"/>
  <c r="BJ289" i="3564"/>
  <c r="BF290" i="3564"/>
  <c r="AI290" i="3564"/>
  <c r="AP289" i="3564"/>
  <c r="AN289" i="3564"/>
  <c r="AG290" i="3564"/>
  <c r="BI289" i="3564"/>
  <c r="BE290" i="3564"/>
  <c r="AB288" i="3564"/>
  <c r="X289" i="3564"/>
  <c r="BR292" i="3564"/>
  <c r="BY292" i="3564" s="1"/>
  <c r="BY291" i="3564"/>
  <c r="BN292" i="3564"/>
  <c r="BU292" i="3564" s="1"/>
  <c r="BU291" i="3564"/>
  <c r="AO289" i="3564"/>
  <c r="AH290" i="3564"/>
  <c r="BV291" i="3564"/>
  <c r="BO292" i="3564"/>
  <c r="BV292" i="3564" s="1"/>
  <c r="AM290" i="3564"/>
  <c r="AT289" i="3564"/>
  <c r="AB289" i="3564" l="1"/>
  <c r="X290" i="3564"/>
  <c r="AI291" i="3564"/>
  <c r="AP290" i="3564"/>
  <c r="AN290" i="3564"/>
  <c r="AG291" i="3564"/>
  <c r="AK291" i="3564"/>
  <c r="AR290" i="3564"/>
  <c r="AM291" i="3564"/>
  <c r="AT290" i="3564"/>
  <c r="BE291" i="3564"/>
  <c r="BI290" i="3564"/>
  <c r="BD291" i="3564"/>
  <c r="BH290" i="3564"/>
  <c r="AL291" i="3564"/>
  <c r="AS290" i="3564"/>
  <c r="AO290" i="3564"/>
  <c r="AH291" i="3564"/>
  <c r="AD290" i="3564"/>
  <c r="Z291" i="3564"/>
  <c r="BJ290" i="3564"/>
  <c r="BF291" i="3564"/>
  <c r="AJ292" i="3564"/>
  <c r="AQ292" i="3564" s="1"/>
  <c r="AQ291" i="3564"/>
  <c r="Y291" i="3564"/>
  <c r="AC290" i="3564"/>
  <c r="BF292" i="3564" l="1"/>
  <c r="BJ292" i="3564" s="1"/>
  <c r="BJ291" i="3564"/>
  <c r="AT291" i="3564"/>
  <c r="AM292" i="3564"/>
  <c r="AT292" i="3564" s="1"/>
  <c r="AO291" i="3564"/>
  <c r="AH292" i="3564"/>
  <c r="AO292" i="3564" s="1"/>
  <c r="BD292" i="3564"/>
  <c r="BH292" i="3564" s="1"/>
  <c r="BH291" i="3564"/>
  <c r="AR291" i="3564"/>
  <c r="AK292" i="3564"/>
  <c r="AR292" i="3564" s="1"/>
  <c r="X291" i="3564"/>
  <c r="AB290" i="3564"/>
  <c r="AD291" i="3564"/>
  <c r="Z292" i="3564"/>
  <c r="AD292" i="3564" s="1"/>
  <c r="AL292" i="3564"/>
  <c r="AS292" i="3564" s="1"/>
  <c r="AS291" i="3564"/>
  <c r="BE292" i="3564"/>
  <c r="BI292" i="3564" s="1"/>
  <c r="BI291" i="3564"/>
  <c r="AG292" i="3564"/>
  <c r="AN292" i="3564" s="1"/>
  <c r="AN291" i="3564"/>
  <c r="AP291" i="3564"/>
  <c r="AI292" i="3564"/>
  <c r="AP292" i="3564" s="1"/>
  <c r="AC291" i="3564"/>
  <c r="Y292" i="3564"/>
  <c r="AC292" i="3564" s="1"/>
  <c r="X292" i="3564" l="1"/>
  <c r="AB292" i="3564" s="1"/>
  <c r="AB291" i="3564"/>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<sst xmlns="http://schemas.openxmlformats.org/spreadsheetml/2006/main" count="25860" uniqueCount="9792">
  <si>
    <t>ID</t>
  </si>
  <si>
    <t>Description</t>
  </si>
  <si>
    <t>H</t>
  </si>
  <si>
    <t>Z</t>
  </si>
  <si>
    <t>Source</t>
  </si>
  <si>
    <t>SERIES_ID</t>
  </si>
  <si>
    <t>G1</t>
  </si>
  <si>
    <t>G2</t>
  </si>
  <si>
    <t>G3</t>
  </si>
  <si>
    <t>G4</t>
  </si>
  <si>
    <t>G5</t>
  </si>
  <si>
    <t>G6</t>
  </si>
  <si>
    <t>G7</t>
  </si>
  <si>
    <t>G8</t>
  </si>
  <si>
    <t>STATUS</t>
  </si>
  <si>
    <t>Unit</t>
  </si>
  <si>
    <t>COUNTRY_ID</t>
  </si>
  <si>
    <t>Rank</t>
  </si>
  <si>
    <t>ENUM_ID</t>
  </si>
  <si>
    <t>Composite series</t>
  </si>
  <si>
    <t>G00</t>
  </si>
  <si>
    <t>UNIT</t>
  </si>
  <si>
    <t>Indicator</t>
  </si>
  <si>
    <t>150%</t>
  </si>
  <si>
    <t>125%</t>
  </si>
  <si>
    <t>100%</t>
  </si>
  <si>
    <t>90%</t>
  </si>
  <si>
    <t>80%</t>
  </si>
  <si>
    <t>70%</t>
  </si>
  <si>
    <t>Depth</t>
  </si>
  <si>
    <t>Min</t>
  </si>
  <si>
    <t>Max</t>
  </si>
  <si>
    <t>SeriesID</t>
  </si>
  <si>
    <t>SeriesCode</t>
  </si>
  <si>
    <t>ParentCode</t>
  </si>
  <si>
    <t>HasData</t>
  </si>
  <si>
    <t>IndexNumber</t>
  </si>
  <si>
    <t>IndicatorName</t>
  </si>
  <si>
    <t>Notes</t>
  </si>
  <si>
    <t>Pre_Round</t>
  </si>
  <si>
    <t>Polarity</t>
  </si>
  <si>
    <t>ScoringSystem</t>
  </si>
  <si>
    <t>ScoringParameter_1</t>
  </si>
  <si>
    <t>ScoringParameter_2</t>
  </si>
  <si>
    <t>ScoringParameter_3</t>
  </si>
  <si>
    <t>Data_Type</t>
  </si>
  <si>
    <t>ZERO</t>
  </si>
  <si>
    <t>ONE</t>
  </si>
  <si>
    <t>TWO</t>
  </si>
  <si>
    <t>THREE</t>
  </si>
  <si>
    <t>FOUR</t>
  </si>
  <si>
    <t>FIVE</t>
  </si>
  <si>
    <t>SIX</t>
  </si>
  <si>
    <t>NumberedSeries</t>
  </si>
  <si>
    <t>NumberFormat</t>
  </si>
  <si>
    <t>Children</t>
  </si>
  <si>
    <t>Parent</t>
  </si>
  <si>
    <t>IndicatorTypeDescription</t>
  </si>
  <si>
    <t>UNIT_AND_POLARITY</t>
  </si>
  <si>
    <t>Contents</t>
  </si>
  <si>
    <t>HAS_DATA</t>
  </si>
  <si>
    <t>All series</t>
  </si>
  <si>
    <t>Data series</t>
  </si>
  <si>
    <t>Background data series</t>
  </si>
  <si>
    <t>G0</t>
  </si>
  <si>
    <t>HIGH=GOOD</t>
  </si>
  <si>
    <t>SELECTED_SERIES_ALL_ID</t>
  </si>
  <si>
    <t>SELECTED_SERIES_ALL_HAS_DATA</t>
  </si>
  <si>
    <t>OVERALL</t>
  </si>
  <si>
    <t>MULTIPLE_CHOICE_QUESTION</t>
  </si>
  <si>
    <t>ACTIVE_WEIGHT_PROFILE_IS_EDITABLE</t>
  </si>
  <si>
    <t>WEIGHT_MODE</t>
  </si>
  <si>
    <t>cnt_WeightProfile</t>
  </si>
  <si>
    <t>WEIGHTED_SUM</t>
  </si>
  <si>
    <t>SEVEN</t>
  </si>
  <si>
    <t>EIGHT</t>
  </si>
  <si>
    <t>RESET PAGE</t>
  </si>
  <si>
    <t>#,0.0</t>
  </si>
  <si>
    <t>DEFAULT_WEIGHT</t>
  </si>
  <si>
    <t>MULTIPLE_CHOICE_OPTIONS</t>
  </si>
  <si>
    <t>MULTIPLE_CHOICE_QUESTION_AND_OPTIONS</t>
  </si>
  <si>
    <t>Data_Display_DP</t>
  </si>
  <si>
    <t>Data_TypeID</t>
  </si>
  <si>
    <t>PolarityID</t>
  </si>
  <si>
    <t>ScoringSystemID</t>
  </si>
  <si>
    <t>IsMultipleChoice</t>
  </si>
  <si>
    <t>Minimum_Value_Allowed</t>
  </si>
  <si>
    <t>Maximum_Value_Allowed</t>
  </si>
  <si>
    <t>Rationale_For_Inclusion</t>
  </si>
  <si>
    <t>SCORING_SYSTEM_TEXT</t>
  </si>
  <si>
    <t>FULL_SERIES_DESCRIPTION_TEXT</t>
  </si>
  <si>
    <t>IsSeparator</t>
  </si>
  <si>
    <t>COMPOSITE_SCORE</t>
  </si>
  <si>
    <t>CATEGORY_ID</t>
  </si>
  <si>
    <t>IS_MULTIPLE_CHOICE</t>
  </si>
  <si>
    <t>Africa</t>
  </si>
  <si>
    <t>Europe</t>
  </si>
  <si>
    <t>tblSeries_Column</t>
  </si>
  <si>
    <t>Purpose</t>
  </si>
  <si>
    <t>Mandatory</t>
  </si>
  <si>
    <t>Default</t>
  </si>
  <si>
    <t>Calculated</t>
  </si>
  <si>
    <t>Auto</t>
  </si>
  <si>
    <t>no_default</t>
  </si>
  <si>
    <t>CALC</t>
  </si>
  <si>
    <t>Required</t>
  </si>
  <si>
    <t>SERIES_CODE</t>
  </si>
  <si>
    <t>PARENT_CODE</t>
  </si>
  <si>
    <t>DEPTH</t>
  </si>
  <si>
    <t>Identify rows without data or score (e.g. "BACKGROUND INDICATORS" header)</t>
  </si>
  <si>
    <t>DATA_INDEX</t>
  </si>
  <si>
    <t>SOURCE</t>
  </si>
  <si>
    <t>DATA_INDEX_SCORE</t>
  </si>
  <si>
    <t>RATIONALE</t>
  </si>
  <si>
    <t>DATA_RATIO</t>
  </si>
  <si>
    <t>Optional</t>
  </si>
  <si>
    <t>DATA_TYPE</t>
  </si>
  <si>
    <t>PRE_ROUND_DP</t>
  </si>
  <si>
    <t>POLARITY</t>
  </si>
  <si>
    <t>SCORING_SYSTEM</t>
  </si>
  <si>
    <t>MDF_Column_ThisProject</t>
  </si>
  <si>
    <t>INDEX_NUMBER</t>
  </si>
  <si>
    <t>IS_SEPARATOR</t>
  </si>
  <si>
    <t>INDICATOR_NAME</t>
  </si>
  <si>
    <t>DESCRIPTION</t>
  </si>
  <si>
    <t>NOTES</t>
  </si>
  <si>
    <t>MIN_ALLOWED_VALUE</t>
  </si>
  <si>
    <t>MAX_ALLOWED_VALUE</t>
  </si>
  <si>
    <t>SCORING_PARAMETER_1</t>
  </si>
  <si>
    <t>SCORING_PARAMETER_2</t>
  </si>
  <si>
    <t>SCORING_PARAMETER_3</t>
  </si>
  <si>
    <t>DISPLAY_DATA_DP</t>
  </si>
  <si>
    <t>SEPARATOR</t>
  </si>
  <si>
    <t>LOW=GOOD</t>
  </si>
  <si>
    <t>DATA_UNCLASSIFIED_QUALITATIVE_RATING</t>
  </si>
  <si>
    <t>DATA_PERCENTAGE</t>
  </si>
  <si>
    <t>V</t>
  </si>
  <si>
    <t>auto_ss_HasData</t>
  </si>
  <si>
    <t>Series with underlying data</t>
  </si>
  <si>
    <t>auto_ss_All_Scoring</t>
  </si>
  <si>
    <t>auto_ss_All_Series</t>
  </si>
  <si>
    <t>auto_ss_Composite</t>
  </si>
  <si>
    <t>auto_ss_HasData_exBG</t>
  </si>
  <si>
    <t>Series with underlying data (excl bg)</t>
  </si>
  <si>
    <t>auto_ss_MultipleChoice</t>
  </si>
  <si>
    <t>Multiple choice series (excl bg)</t>
  </si>
  <si>
    <t>auto_ss_OverallAndCategory</t>
  </si>
  <si>
    <t>Overall and Category, depth&lt;=1 (excl bg)</t>
  </si>
  <si>
    <t>cnt_SeriesAll</t>
  </si>
  <si>
    <t>All scoring series (no bg)</t>
  </si>
  <si>
    <t>All composite series (excl. bg)</t>
  </si>
  <si>
    <t>Data_Change_Metric</t>
  </si>
  <si>
    <t>nominal</t>
  </si>
  <si>
    <t>IsNonScoring</t>
  </si>
  <si>
    <t>Edit mode row</t>
  </si>
  <si>
    <t>Set preferred weights in the "Nominal" column.  Click "Save" to make effective.</t>
  </si>
  <si>
    <t>Review mode row - user editable profile</t>
  </si>
  <si>
    <t>Review mode row - built in profile</t>
  </si>
  <si>
    <t>Built-in weight profile - cannot be edited.</t>
  </si>
  <si>
    <t>IsError</t>
  </si>
  <si>
    <t>Effective</t>
  </si>
  <si>
    <t>Nominal</t>
  </si>
  <si>
    <t>Weight, %</t>
  </si>
  <si>
    <t>{OPTIMISE_FOR_FINAL}</t>
  </si>
  <si>
    <t>X</t>
  </si>
  <si>
    <t>MAXIMUM_POSSIBLE_SCORE</t>
  </si>
  <si>
    <t>upd_Data</t>
  </si>
  <si>
    <t>upd_Score_PreRound</t>
  </si>
  <si>
    <t>upd_Score</t>
  </si>
  <si>
    <t>upd_Rank</t>
  </si>
  <si>
    <t>upd_Classification</t>
  </si>
  <si>
    <t>upd_Score_Group_Mean</t>
  </si>
  <si>
    <t>SCORE_DP</t>
  </si>
  <si>
    <t>DATA</t>
  </si>
  <si>
    <t>ROUNDED SCORES</t>
  </si>
  <si>
    <t>RANK</t>
  </si>
  <si>
    <t>Clasification</t>
  </si>
  <si>
    <t>GROUP MEAN SCORE</t>
  </si>
  <si>
    <t>#COUNTRIES</t>
  </si>
  <si>
    <t>RANK OUT OF ALL COUNTRIES, WITH "=" FOR TIED RANKS</t>
  </si>
  <si>
    <t>0-25=1, 26-50=2 etc.</t>
  </si>
  <si>
    <t>MODEL_YEAR</t>
  </si>
  <si>
    <t>ALLOWS FOR MISSING DATA VALUES - COULD OPTIMISE AS WE KNOW THAT WON'T HAPPEN</t>
  </si>
  <si>
    <t>MISSING VALUES?</t>
  </si>
  <si>
    <t>Percent</t>
  </si>
  <si>
    <t>SequentialID</t>
  </si>
  <si>
    <t>SeriesID_FixMissing</t>
  </si>
  <si>
    <t>CoerceLow</t>
  </si>
  <si>
    <t>CoerceHigh</t>
  </si>
  <si>
    <t>Scale</t>
  </si>
  <si>
    <t>Active_Weight</t>
  </si>
  <si>
    <t>auto_ddYears</t>
  </si>
  <si>
    <t>auto_ddComparison_Years</t>
  </si>
  <si>
    <t>E1</t>
  </si>
  <si>
    <t>E2</t>
  </si>
  <si>
    <t>E3</t>
  </si>
  <si>
    <t>E4</t>
  </si>
  <si>
    <t>n/a</t>
  </si>
  <si>
    <t>E5</t>
  </si>
  <si>
    <t>Series</t>
  </si>
  <si>
    <t>TimeSliceID</t>
  </si>
  <si>
    <t>TimeSliceCode</t>
  </si>
  <si>
    <t>TimeSliceDescription</t>
  </si>
  <si>
    <t>First edition</t>
  </si>
  <si>
    <t>Second edition</t>
  </si>
  <si>
    <t>Third edition</t>
  </si>
  <si>
    <t>Fourth edition</t>
  </si>
  <si>
    <t>TIMESLICE_DD</t>
  </si>
  <si>
    <t>COMPARISON_TIMESLICE_DD</t>
  </si>
  <si>
    <t>Review</t>
  </si>
  <si>
    <t>Edit</t>
  </si>
  <si>
    <t>{FREEZE}</t>
  </si>
  <si>
    <t>Fifth edition</t>
  </si>
  <si>
    <t>BUCKET</t>
  </si>
  <si>
    <t>Diff</t>
  </si>
  <si>
    <t>Diff ID (1=better, 2=same,3 = worse)</t>
  </si>
  <si>
    <t>HC_ID</t>
  </si>
  <si>
    <t>C_Status</t>
  </si>
  <si>
    <t>FOR ALL SERIES (INCLUDING BACKGROUND)</t>
  </si>
  <si>
    <t>Score current</t>
  </si>
  <si>
    <t>LU</t>
  </si>
  <si>
    <t>Sort Value</t>
  </si>
  <si>
    <t>SORT_ORDER_1_ID</t>
  </si>
  <si>
    <t>DataRowLU</t>
  </si>
  <si>
    <t>CountryStatus</t>
  </si>
  <si>
    <t>Data current</t>
  </si>
  <si>
    <t>SELECTED_SERIES_ALL_POLARITY_ID_ADJUST</t>
  </si>
  <si>
    <t>SELECTED_SERIES_ALL_DATA_CHANGE_METRIC</t>
  </si>
  <si>
    <t>DATA OR SCORE METRIC?</t>
  </si>
  <si>
    <t>Value</t>
  </si>
  <si>
    <t>SELECTED_SERIES_ALL_DATA_DISPLAY_DP</t>
  </si>
  <si>
    <t>Sort Value_No NA</t>
  </si>
  <si>
    <t>Classification</t>
  </si>
  <si>
    <t>INDI_ID</t>
  </si>
  <si>
    <t>INDI_X</t>
  </si>
  <si>
    <t>INDI_Y</t>
  </si>
  <si>
    <t>{ANCHOR_COUNTRY_LABEL}</t>
  </si>
  <si>
    <t>TIME_SLICE_ID</t>
  </si>
  <si>
    <t>High income</t>
  </si>
  <si>
    <t>Upper middle income</t>
  </si>
  <si>
    <t>ALL COUNTRIES</t>
  </si>
  <si>
    <t>SCORES (8 dp rounded / UNROUNDED)</t>
  </si>
  <si>
    <t>upd_Score_Preliminary</t>
  </si>
  <si>
    <t>IS_NON_SCORING</t>
  </si>
  <si>
    <t>DATA_QUANT</t>
  </si>
  <si>
    <t>DATA_QUALITATIVE_RATING</t>
  </si>
  <si>
    <t>ANNUAL_MIN_MAX</t>
  </si>
  <si>
    <t>FIXED_RANGE</t>
  </si>
  <si>
    <t>GLOBAL_MIN_MAX</t>
  </si>
  <si>
    <t>&lt;none&gt;</t>
  </si>
  <si>
    <t>CAT_VIEW_ID</t>
  </si>
  <si>
    <t>G01</t>
  </si>
  <si>
    <t>Score</t>
  </si>
  <si>
    <t>Data</t>
  </si>
  <si>
    <t>Is Estimate</t>
  </si>
  <si>
    <t>Data Year</t>
  </si>
  <si>
    <t>Data_Table</t>
  </si>
  <si>
    <t>Score_Table</t>
  </si>
  <si>
    <t>Welcome</t>
  </si>
  <si>
    <t>EIU Admin_0</t>
  </si>
  <si>
    <t>TYPE</t>
  </si>
  <si>
    <t>VBA_NAME (str_sht_..)</t>
  </si>
  <si>
    <t>TITLE</t>
  </si>
  <si>
    <t>WORKSHEET_NAME</t>
  </si>
  <si>
    <t>FURNITURE</t>
  </si>
  <si>
    <t>VISIBLE_ON_WORKBOOK_OPEN</t>
  </si>
  <si>
    <t>PAGE_LONG_DESCRIPTION</t>
  </si>
  <si>
    <t>PAGE_LONG_DESCRIPTION_ROWS</t>
  </si>
  <si>
    <t>PRINT_ORIENTATION</t>
  </si>
  <si>
    <t>PRINT_PAGES_TALL</t>
  </si>
  <si>
    <t>PRINT_PAGES_WIDE</t>
  </si>
  <si>
    <t>CONTROL#1</t>
  </si>
  <si>
    <t>CONTROL#2</t>
  </si>
  <si>
    <t>CONTROL#3</t>
  </si>
  <si>
    <t>CONTROL#4</t>
  </si>
  <si>
    <t>CONTROL#5</t>
  </si>
  <si>
    <t>CONTROL#6</t>
  </si>
  <si>
    <t>CONTROL#7</t>
  </si>
  <si>
    <t>CONTROL#8</t>
  </si>
  <si>
    <t>CONTROL#9</t>
  </si>
  <si>
    <t>CONTROL#10</t>
  </si>
  <si>
    <t>STANDALONE</t>
  </si>
  <si>
    <t>tbc1</t>
  </si>
  <si>
    <t>yes</t>
  </si>
  <si>
    <t>tbc2</t>
  </si>
  <si>
    <t>tbc3</t>
  </si>
  <si>
    <t>User Guide</t>
  </si>
  <si>
    <t>SECTION</t>
  </si>
  <si>
    <t>About</t>
  </si>
  <si>
    <t>{PUT  DESCRIPTION OF EACH SECTION HERE - WILL APPEAR FOR CONTENTS PAGE)</t>
  </si>
  <si>
    <t>PAGE</t>
  </si>
  <si>
    <t>no</t>
  </si>
  <si>
    <t>ranking</t>
  </si>
  <si>
    <t>cnt_Sort_Order_1</t>
  </si>
  <si>
    <t>cnt_SeriesScatterX</t>
  </si>
  <si>
    <t>cnt_SeriesScatterY</t>
  </si>
  <si>
    <t>cnt_GroupFilter</t>
  </si>
  <si>
    <t>cnt_CountryFlt</t>
  </si>
  <si>
    <t>country_electric_scorecard</t>
  </si>
  <si>
    <t>cnt_Country_1</t>
  </si>
  <si>
    <t>cnt_Country_2</t>
  </si>
  <si>
    <t>Data table</t>
  </si>
  <si>
    <t>Data Table</t>
  </si>
  <si>
    <t>Weights</t>
  </si>
  <si>
    <t>weights</t>
  </si>
  <si>
    <t>cnt_GroupHighlight</t>
  </si>
  <si>
    <t>cnt_CatMultiples</t>
  </si>
  <si>
    <t>cnt_CountryFltHighlight</t>
  </si>
  <si>
    <t>cnt_CountryHighlight</t>
  </si>
  <si>
    <t>EIU Admin</t>
  </si>
  <si>
    <t>admin_import</t>
  </si>
  <si>
    <t>Import</t>
  </si>
  <si>
    <t>Admin page for updating data and series definitions from MDF</t>
  </si>
  <si>
    <t>cnt_Country_3</t>
  </si>
  <si>
    <t>cnt_Country_4</t>
  </si>
  <si>
    <t>[CONTROLS]</t>
  </si>
  <si>
    <t>NAME</t>
  </si>
  <si>
    <t>LABEL</t>
  </si>
  <si>
    <t>INPUT_RANGE</t>
  </si>
  <si>
    <t>DEFAULT_VALUE</t>
  </si>
  <si>
    <t>UP_DOWN</t>
  </si>
  <si>
    <t>WIDTH</t>
  </si>
  <si>
    <t>DROPDOWN_LINES</t>
  </si>
  <si>
    <t>cnt_GlobalZoom</t>
  </si>
  <si>
    <t>SELECT VIEW</t>
  </si>
  <si>
    <t>cnt_PalettePicker</t>
  </si>
  <si>
    <t>SELECT WEIGHT PROFILE</t>
  </si>
  <si>
    <t>man_weight_profile_names</t>
  </si>
  <si>
    <t>cnt_WeightMode</t>
  </si>
  <si>
    <t>EDIT WEIGHTS</t>
  </si>
  <si>
    <t>cnt_Timeslice</t>
  </si>
  <si>
    <t>SELECT EDITION</t>
  </si>
  <si>
    <t>auto_TimeSliceDescription</t>
  </si>
  <si>
    <t>cnt_TimesliceComparison</t>
  </si>
  <si>
    <t>COMPARISON EDITION</t>
  </si>
  <si>
    <t>auto_TimeSliceComparisonDescription</t>
  </si>
  <si>
    <t>cnt_TimesliceDataTable</t>
  </si>
  <si>
    <t>auto_ddGroup_Highlight</t>
  </si>
  <si>
    <t>auto_ddGroup_Filter</t>
  </si>
  <si>
    <t>_dyn_dd_flt_country</t>
  </si>
  <si>
    <t>_dyn_dd_flt_country_hi</t>
  </si>
  <si>
    <t>auto_ddCountry_Or_None</t>
  </si>
  <si>
    <t>auto_ddCountry</t>
  </si>
  <si>
    <t>SORT ORDER</t>
  </si>
  <si>
    <t>CountryID</t>
  </si>
  <si>
    <t>InFilter</t>
  </si>
  <si>
    <t>InHighlight</t>
  </si>
  <si>
    <t>CountryHi</t>
  </si>
  <si>
    <t>UID</t>
  </si>
  <si>
    <t>CountryShort</t>
  </si>
  <si>
    <t>CountryLong</t>
  </si>
  <si>
    <t>GEO_ENTITY_LEVEL_ID</t>
  </si>
  <si>
    <t>Country_Group_Memberships</t>
  </si>
  <si>
    <t>Highlight_Ignoring_Filter</t>
  </si>
  <si>
    <t>FilterCountryID</t>
  </si>
  <si>
    <t>FilterCountry</t>
  </si>
  <si>
    <t>Scatter_Status</t>
  </si>
  <si>
    <t>Subset_FilterCountryID</t>
  </si>
  <si>
    <t>Subset_FilterCountry</t>
  </si>
  <si>
    <t>G9</t>
  </si>
  <si>
    <t>G10</t>
  </si>
  <si>
    <t>G11</t>
  </si>
  <si>
    <t>G12</t>
  </si>
  <si>
    <t>G13</t>
  </si>
  <si>
    <t>G14</t>
  </si>
  <si>
    <t>G15</t>
  </si>
  <si>
    <t>G16</t>
  </si>
  <si>
    <t>G17</t>
  </si>
  <si>
    <t>G18</t>
  </si>
  <si>
    <t>G19</t>
  </si>
  <si>
    <t>G20</t>
  </si>
  <si>
    <t>G21</t>
  </si>
  <si>
    <t>G22</t>
  </si>
  <si>
    <t>G23</t>
  </si>
  <si>
    <t>G24</t>
  </si>
  <si>
    <t>G25</t>
  </si>
  <si>
    <t>G26</t>
  </si>
  <si>
    <t>G27</t>
  </si>
  <si>
    <t>G28</t>
  </si>
  <si>
    <t>G29</t>
  </si>
  <si>
    <t>G30</t>
  </si>
  <si>
    <t>G31</t>
  </si>
  <si>
    <t>G32</t>
  </si>
  <si>
    <t>G33</t>
  </si>
  <si>
    <t>G34</t>
  </si>
  <si>
    <t>G35</t>
  </si>
  <si>
    <t>G36</t>
  </si>
  <si>
    <t>G37</t>
  </si>
  <si>
    <t>G38</t>
  </si>
  <si>
    <t>G39</t>
  </si>
  <si>
    <t>G40</t>
  </si>
  <si>
    <t>GroupID</t>
  </si>
  <si>
    <t>Group_Code</t>
  </si>
  <si>
    <t>Group_Name</t>
  </si>
  <si>
    <t>Group_Name_With_Country_Count</t>
  </si>
  <si>
    <t>Group_Name_With_None</t>
  </si>
  <si>
    <t>Group_Type</t>
  </si>
  <si>
    <t>Group_Member_Countries</t>
  </si>
  <si>
    <t>Group_Member_IDs</t>
  </si>
  <si>
    <t>Group_List_All_And_None</t>
  </si>
  <si>
    <t>GLIST_00</t>
  </si>
  <si>
    <t>GLIST_01</t>
  </si>
  <si>
    <t>GLIST_02</t>
  </si>
  <si>
    <t>GLIST_03</t>
  </si>
  <si>
    <t>GLIST_04</t>
  </si>
  <si>
    <t>GLIST_05</t>
  </si>
  <si>
    <t>GLIST_06</t>
  </si>
  <si>
    <t>GLIST_07</t>
  </si>
  <si>
    <t>GLIST_08</t>
  </si>
  <si>
    <t>GLIST_09</t>
  </si>
  <si>
    <t>GLIST_10</t>
  </si>
  <si>
    <t>GLIST_11</t>
  </si>
  <si>
    <t>GLIST_12</t>
  </si>
  <si>
    <t>GLIST_13</t>
  </si>
  <si>
    <t>GLIST_14</t>
  </si>
  <si>
    <t>GLIST_15</t>
  </si>
  <si>
    <t>GLIST_16</t>
  </si>
  <si>
    <t>GLIST_17</t>
  </si>
  <si>
    <t>GLIST_18</t>
  </si>
  <si>
    <t>GLIST_19</t>
  </si>
  <si>
    <t>GLIST_20</t>
  </si>
  <si>
    <t>GLIST_21</t>
  </si>
  <si>
    <t>GLIST_22</t>
  </si>
  <si>
    <t>GLIST_23</t>
  </si>
  <si>
    <t>GLIST_24</t>
  </si>
  <si>
    <t>GLIST_25</t>
  </si>
  <si>
    <t>GLIST_26</t>
  </si>
  <si>
    <t>GLIST_27</t>
  </si>
  <si>
    <t>GLIST_28</t>
  </si>
  <si>
    <t>GLIST_29</t>
  </si>
  <si>
    <t>GLIST_30</t>
  </si>
  <si>
    <t>GLIST_31</t>
  </si>
  <si>
    <t>GLIST_32</t>
  </si>
  <si>
    <t>GLIST_33</t>
  </si>
  <si>
    <t>GLIST_34</t>
  </si>
  <si>
    <t>GLIST_35</t>
  </si>
  <si>
    <t>GLIST_36</t>
  </si>
  <si>
    <t>GLIST_37</t>
  </si>
  <si>
    <t>GLIST_38</t>
  </si>
  <si>
    <t>GLIST_39</t>
  </si>
  <si>
    <t>GLIST_40</t>
  </si>
  <si>
    <t>GOG0</t>
  </si>
  <si>
    <t>{CALCULATED ON MDF IMPORT}</t>
  </si>
  <si>
    <t>all</t>
  </si>
  <si>
    <t>↑</t>
  </si>
  <si>
    <t>COUNTRY_NAME</t>
  </si>
  <si>
    <t>IsBG -- INVERTED!</t>
  </si>
  <si>
    <t>COUNTRY_HIGHLIGHT_ID</t>
  </si>
  <si>
    <t>SHOW_LABELS</t>
  </si>
  <si>
    <t>SHOW_OUTLIERS</t>
  </si>
  <si>
    <t>X-LABEL</t>
  </si>
  <si>
    <t>Y-LABEL</t>
  </si>
  <si>
    <t>Title</t>
  </si>
  <si>
    <t>X-LABEL_FULL</t>
  </si>
  <si>
    <t>Y-LABEL_FULL</t>
  </si>
  <si>
    <t>SLOPE</t>
  </si>
  <si>
    <t>INTERCEPT</t>
  </si>
  <si>
    <t>CORREL</t>
  </si>
  <si>
    <t>CORREL IS NOT ERROR</t>
  </si>
  <si>
    <t>Y</t>
  </si>
  <si>
    <t>Label</t>
  </si>
  <si>
    <t>Entity_ID</t>
  </si>
  <si>
    <t>{BACKSIDE_OPTIMISE}</t>
  </si>
  <si>
    <t>ACTIVE_WEIGHT_PROFILE_ID</t>
  </si>
  <si>
    <t>{WP_ID}</t>
  </si>
  <si>
    <t>Is_Editable</t>
  </si>
  <si>
    <t>Weight_Profile_Name</t>
  </si>
  <si>
    <t>Weight_Profile_Description</t>
  </si>
  <si>
    <t>No</t>
  </si>
  <si>
    <t>Yes</t>
  </si>
  <si>
    <t>User definable weight profile</t>
  </si>
  <si>
    <t>Custom weight profile#2</t>
  </si>
  <si>
    <t>CODE</t>
  </si>
  <si>
    <t>PARENT</t>
  </si>
  <si>
    <t>ACTIVE_NOMINAL</t>
  </si>
  <si>
    <t>ACTIVE_PERCENT</t>
  </si>
  <si>
    <t>EDIT_NOMINAL</t>
  </si>
  <si>
    <t>EDIT_PERCENT</t>
  </si>
  <si>
    <t>{WEIGHT_PROFILE_1}</t>
  </si>
  <si>
    <t>This file is optimised for Microsoft Excel Office 365 on Windows PC, running on a local machine (not the online version)</t>
  </si>
  <si>
    <t>MACROS MUST BE ENABLED TO EXPLORE THIS WORKBOOK</t>
  </si>
  <si>
    <t>CONTENTS</t>
  </si>
  <si>
    <t>TS_ID</t>
  </si>
  <si>
    <t>SELECTED_SERIES_ALL_IS_NON_SCORING</t>
  </si>
  <si>
    <t>Hilite</t>
  </si>
  <si>
    <t>DataRow</t>
  </si>
  <si>
    <t>Class</t>
  </si>
  <si>
    <t>MODEL_YEAR/EDITION</t>
  </si>
  <si>
    <t>ENTITY_ID</t>
  </si>
  <si>
    <t>COUNTRY_ISO</t>
  </si>
  <si>
    <t>COUNTRY_FLT_ENTITY_LEVEL_ID</t>
  </si>
  <si>
    <t>COUNTRY_FLT_COMPARISON_GROUP</t>
  </si>
  <si>
    <t>COUNTRY_FLT_COMPARISON_ENTITY_ID</t>
  </si>
  <si>
    <t>Lookup COUNTRY PROFILE</t>
  </si>
  <si>
    <r>
      <t>RELEVANT</t>
    </r>
    <r>
      <rPr>
        <sz val="8"/>
        <color theme="1"/>
        <rFont val="Calibri"/>
        <family val="2"/>
        <scheme val="minor"/>
      </rPr>
      <t xml:space="preserve"> comparison enttity</t>
    </r>
  </si>
  <si>
    <t>vs Select entity processing</t>
  </si>
  <si>
    <t>INDI FILTER</t>
  </si>
  <si>
    <t>TEMPLATE SETTINGS</t>
  </si>
  <si>
    <t>[TEMPLATE CONSTRAINTS]</t>
  </si>
  <si>
    <t>TEMPLATE_MAX_SERIES</t>
  </si>
  <si>
    <t>TEMPLATE_MAX_DEPTH</t>
  </si>
  <si>
    <t>TEMPLATE_MAX_COUNTRIES</t>
  </si>
  <si>
    <t>TEMPLATE_MAX_GROUPS</t>
  </si>
  <si>
    <t>TEMPLATE_MAX_YEARS</t>
  </si>
  <si>
    <t>TEMPLATE_SERIES_TABLE_COLUMN_COUNT</t>
  </si>
  <si>
    <t>[TEMPLATE CONSTANTS]</t>
  </si>
  <si>
    <t>ENT_NO SELECTION</t>
  </si>
  <si>
    <t>ENT_ALL</t>
  </si>
  <si>
    <t>&lt;all&gt;</t>
  </si>
  <si>
    <t>ENT_NA</t>
  </si>
  <si>
    <t>–</t>
  </si>
  <si>
    <t>ENT_SOURCE</t>
  </si>
  <si>
    <t>ENT_CHANGE</t>
  </si>
  <si>
    <t xml:space="preserve">Δ </t>
  </si>
  <si>
    <t>ENT_CHANGE_UP</t>
  </si>
  <si>
    <t>ENT_CHANGE_DOWN</t>
  </si>
  <si>
    <t>↓</t>
  </si>
  <si>
    <t>ENT_NO CHANGE</t>
  </si>
  <si>
    <t>↔</t>
  </si>
  <si>
    <t>ENT_ARROW_RIGHT</t>
  </si>
  <si>
    <t>→</t>
  </si>
  <si>
    <t>ENT_RESET_BUTTON_TEXT</t>
  </si>
  <si>
    <t>ENT_MORE_OPTIONS_TEXT</t>
  </si>
  <si>
    <t>More Options</t>
  </si>
  <si>
    <t>ENT_LESS_OPTIONS_TEXT</t>
  </si>
  <si>
    <t>Hide Options</t>
  </si>
  <si>
    <t>ENT_PLUS_INFINITY</t>
  </si>
  <si>
    <t>+∞</t>
  </si>
  <si>
    <t>ENT_MINUS_INFINITY</t>
  </si>
  <si>
    <t>-∞</t>
  </si>
  <si>
    <t>WB_MODE_1</t>
  </si>
  <si>
    <t>DEV</t>
  </si>
  <si>
    <t>Developer mode</t>
  </si>
  <si>
    <t>WB_MODE_2</t>
  </si>
  <si>
    <t>TEST</t>
  </si>
  <si>
    <t>Test mode (essentially production …?)</t>
  </si>
  <si>
    <t>WB_MODE_3</t>
  </si>
  <si>
    <t>BRUTE</t>
  </si>
  <si>
    <t>UI lite for brite force error checking</t>
  </si>
  <si>
    <t>WB_MODE_4</t>
  </si>
  <si>
    <t>PRODUCTION</t>
  </si>
  <si>
    <t>Live</t>
  </si>
  <si>
    <t>EXPORT_PDF_ERROR_1</t>
  </si>
  <si>
    <t>Sorry.  PDF export is only available on Excel 2007 or later running on a Windows PC</t>
  </si>
  <si>
    <t>EXPORT_PDF_ERROR_2</t>
  </si>
  <si>
    <t>PDF document was not saved.  Please check that a pdf document with this name is not already open.  If using Excel 2007 please make sure that the free Microsoft PDF update is installed.</t>
  </si>
  <si>
    <t>BAND_NOT_APPLICABLE</t>
  </si>
  <si>
    <t>BAND_0</t>
  </si>
  <si>
    <t>No data / Not applicable</t>
  </si>
  <si>
    <t>NO DATA</t>
  </si>
  <si>
    <t>BAND_1</t>
  </si>
  <si>
    <t>Lowest quartile</t>
  </si>
  <si>
    <t>class not named</t>
  </si>
  <si>
    <t>Score less than 25</t>
  </si>
  <si>
    <t>VERY WEAK</t>
  </si>
  <si>
    <t>SCORE 0-19.9</t>
  </si>
  <si>
    <t>BAND_2</t>
  </si>
  <si>
    <t>Third quartile</t>
  </si>
  <si>
    <t>Score 25-49.9</t>
  </si>
  <si>
    <t>WEAK</t>
  </si>
  <si>
    <t>SCORE 20-39.9</t>
  </si>
  <si>
    <t>BAND_3</t>
  </si>
  <si>
    <t>Second quartile</t>
  </si>
  <si>
    <t>Scores 50-74.9</t>
  </si>
  <si>
    <t>MODERATE</t>
  </si>
  <si>
    <t>SCORE 40-59.9</t>
  </si>
  <si>
    <t>BAND_4</t>
  </si>
  <si>
    <t>Top quartile</t>
  </si>
  <si>
    <t>Scores 75 or more</t>
  </si>
  <si>
    <t>GOOD</t>
  </si>
  <si>
    <t>SCORE 60-79.9</t>
  </si>
  <si>
    <t>BAND_5</t>
  </si>
  <si>
    <t>class not USED</t>
  </si>
  <si>
    <t>SCORE 80+</t>
  </si>
  <si>
    <t>VERY GOOD</t>
  </si>
  <si>
    <t>[TEMPLATE CONTENTS INFO]</t>
  </si>
  <si>
    <t>SHEET_CONTENTS</t>
  </si>
  <si>
    <t>HARD CODED</t>
  </si>
  <si>
    <t>PAGE_WIDTH</t>
  </si>
  <si>
    <t>PAGE_WIDTH_POINTS</t>
  </si>
  <si>
    <t>SHEET_SET_FRONT_OF_HOUSE</t>
  </si>
  <si>
    <t>ADMIN_SECTION_ID</t>
  </si>
  <si>
    <t>SHEET_TITLE_PAGE</t>
  </si>
  <si>
    <t>SHEET_HOME</t>
  </si>
  <si>
    <t>SHEET_USER_GUIDE</t>
  </si>
  <si>
    <t>SHEET_SET_ON_OPEN</t>
  </si>
  <si>
    <t>SHEET_SET_1</t>
  </si>
  <si>
    <t>SHEET_SET_2</t>
  </si>
  <si>
    <t>SHEET_SET_3</t>
  </si>
  <si>
    <t>SHEET_SET_4</t>
  </si>
  <si>
    <t>SHEET_SET_5</t>
  </si>
  <si>
    <t>SHEET_SET_6</t>
  </si>
  <si>
    <t>SHEET_SET_7</t>
  </si>
  <si>
    <t>SHEET_SET_8</t>
  </si>
  <si>
    <t>SHEET_SET_9</t>
  </si>
  <si>
    <t>SHEET_SET_10</t>
  </si>
  <si>
    <t>PROJECT SETTINGS</t>
  </si>
  <si>
    <t>[PROJECT MANIFEST]</t>
  </si>
  <si>
    <t>PROJECT_UID</t>
  </si>
  <si>
    <t>PROJECT_TITLE</t>
  </si>
  <si>
    <t>PROJECT_SUBTITLE</t>
  </si>
  <si>
    <t>PROJECT_CLIENT</t>
  </si>
  <si>
    <t>PROJECT_MANAGER_1_NAME</t>
  </si>
  <si>
    <t>PROJECT_MANAGER_1_TITLE</t>
  </si>
  <si>
    <t>PROJECT_MANAGER_1_EMAIL</t>
  </si>
  <si>
    <t>PROJECT_MANAGER_2_NAME</t>
  </si>
  <si>
    <t>PROJECT_MANAGER_2_TITLE</t>
  </si>
  <si>
    <t>PROJECT_MANAGER_2_EMAIL</t>
  </si>
  <si>
    <t>PROJECT_MANAGER_3_NAME</t>
  </si>
  <si>
    <t>PROJECT_MANAGER_3_TITLE</t>
  </si>
  <si>
    <t>PROJECT_MANAGER_3_EMAIL</t>
  </si>
  <si>
    <t>PROJECT_PUBLICATION_DATE</t>
  </si>
  <si>
    <t>PROJECT_NAME_AND_VERSION</t>
  </si>
  <si>
    <t>DATA_UPDATED_DATE</t>
  </si>
  <si>
    <t>EXPORT_PAGE_HEADER</t>
  </si>
  <si>
    <t>Exported from {PROJECT_NAME_AND_VERSION}</t>
  </si>
  <si>
    <t>VERSION_TEXT</t>
  </si>
  <si>
    <t>v{X} created {DATE}</t>
  </si>
  <si>
    <t>DEV_VERSION_TEXT</t>
  </si>
  <si>
    <t>PUBLICATION_DATE_TEXT</t>
  </si>
  <si>
    <t>VERBOSE_VERSION_TEXT</t>
  </si>
  <si>
    <t>PAGE_HEADER</t>
  </si>
  <si>
    <t>PRINT_HEADER</t>
  </si>
  <si>
    <t>COVER_CONTACT_LINK_SIMPLE</t>
  </si>
  <si>
    <t>COVER_CONTACT_LINK_COMPLEX</t>
  </si>
  <si>
    <t>PROJECT_DEPTH_0</t>
  </si>
  <si>
    <t>Overall</t>
  </si>
  <si>
    <t>PROJECT_DEPTH_1</t>
  </si>
  <si>
    <t>PROJECT_DEPTH_2</t>
  </si>
  <si>
    <t>PROJECT_DEPTH_3</t>
  </si>
  <si>
    <t>PROJECT_DEPTH_4</t>
  </si>
  <si>
    <t>PROJECT_FIRST_DATA_YEAR</t>
  </si>
  <si>
    <t>PROJECT_CURRENT_DATA_YEAR</t>
  </si>
  <si>
    <t>PROJECT_NUMBER_OF_DATA_YEARS</t>
  </si>
  <si>
    <t>PROJECT_DATA_YEAR_INTERVAL</t>
  </si>
  <si>
    <t>PROJECT_ALL_GEOGRAPHY_TEXT</t>
  </si>
  <si>
    <t>[NORMALISATION]</t>
  </si>
  <si>
    <t>PROJECT_MAXIMUM_POSSIBLE_SCORE</t>
  </si>
  <si>
    <t>PROJECT_SCORE_DP</t>
  </si>
  <si>
    <t>PROJECT_MAXIMUM_SCORE_MEANS</t>
  </si>
  <si>
    <t>[FIXED TABLE HEADINGS / METRICS]</t>
  </si>
  <si>
    <t>SCORE_SHORT_HEADER</t>
  </si>
  <si>
    <t>RANK_SHORT_HEADER</t>
  </si>
  <si>
    <t>RAW_DATA_LABEL</t>
  </si>
  <si>
    <t>GLOBAL_AVERAGE_LABEL</t>
  </si>
  <si>
    <t>GLOBAL_AVERAGE_LABEL_2</t>
  </si>
  <si>
    <t>LONG_AVERAGE_LABEL</t>
  </si>
  <si>
    <t>SCORE_LONG_HEADER</t>
  </si>
  <si>
    <t>SCORE_MEDIUM_HEADER</t>
  </si>
  <si>
    <t>SCORE_MEDIUM_HEADER_LINE_BREAK</t>
  </si>
  <si>
    <t>RANK_TIE_EXPLAINER</t>
  </si>
  <si>
    <t xml:space="preserve"> '=' denotes tie in rank</t>
  </si>
  <si>
    <t>ALL_COUNTRY_RANK_VERBOSE</t>
  </si>
  <si>
    <t>ALL_COUNTRY_RANK_MEDIUM</t>
  </si>
  <si>
    <t>ALL_COUNTRY_RANK_TABLE_HEADER</t>
  </si>
  <si>
    <t>ALL_COUNTRY_RANK_TABLE_HEADER_LINE_BREAK</t>
  </si>
  <si>
    <t>CHANGE_DELTA_TEXT</t>
  </si>
  <si>
    <t>CHANGE_DELTA_TEXT_2</t>
  </si>
  <si>
    <t>CHANGE_DELTA_TEXT_3</t>
  </si>
  <si>
    <t>CHANGE_DELTA_TEXT_4</t>
  </si>
  <si>
    <t>[MESSAGING]</t>
  </si>
  <si>
    <t>WARN_NON_DEFAULT_WEIGHTS_ACTIVE</t>
  </si>
  <si>
    <t>The default weight profile is not selected.  Scores and ranks shown here reflect custom weightings and some Year-on-Year comparisons may be invalid.  Visit [Weights] page for more options.</t>
  </si>
  <si>
    <t>MDF VARIABLES</t>
  </si>
  <si>
    <t>[DIMENSIONS]</t>
  </si>
  <si>
    <t>COUNTRY_COUNT</t>
  </si>
  <si>
    <t>GROUP_COUNT</t>
  </si>
  <si>
    <t>SERIES_COUNT</t>
  </si>
  <si>
    <t>All series, including composites and BG</t>
  </si>
  <si>
    <t>SCORING_SERIES_COUNT</t>
  </si>
  <si>
    <t>All series, including composites, excluding BG</t>
  </si>
  <si>
    <t>HAS_DATA_SERIES_COUNT</t>
  </si>
  <si>
    <t>Scoring series with underlying data</t>
  </si>
  <si>
    <t>ALL_DEPENDENT_SERIES_COUNT</t>
  </si>
  <si>
    <t>Background variables, including sub-headers</t>
  </si>
  <si>
    <t>HASDATA_DEPENDENT_SERIES_COUNT</t>
  </si>
  <si>
    <t>Background variables with underlying data</t>
  </si>
  <si>
    <t>DEPTH_1_SERIES_COUNT</t>
  </si>
  <si>
    <t>DEPTH_2_SERIES_COUNT</t>
  </si>
  <si>
    <t>DEPTH_3_SERIES_COUNT</t>
  </si>
  <si>
    <t>DATAPOINT_COUNT</t>
  </si>
  <si>
    <t>[CURRENT MDF INFO]</t>
  </si>
  <si>
    <t>PROJECT_MDF_VERSION</t>
  </si>
  <si>
    <t>MDF_LAST_UPDATED</t>
  </si>
  <si>
    <t>MDF_LAST_UPDATED_FILENAME</t>
  </si>
  <si>
    <t>CALCULATION SETTINGS</t>
  </si>
  <si>
    <t>CALC_EVERYTHING</t>
  </si>
  <si>
    <t>STATE</t>
  </si>
  <si>
    <t>DISPLAY KARMA</t>
  </si>
  <si>
    <t>DISPLAY_FULLSCREEN</t>
  </si>
  <si>
    <t>DISPLAY_FORMULA_BAR</t>
  </si>
  <si>
    <t>DISPLAY_WORKSHEET_TABS</t>
  </si>
  <si>
    <t>[MODE AND STATUS]</t>
  </si>
  <si>
    <t>MODE_ID</t>
  </si>
  <si>
    <t>ACTIVATED_ALREADY</t>
  </si>
  <si>
    <t>IMPORT_ENABLED</t>
  </si>
  <si>
    <t>PAGE_HISTORY_ID</t>
  </si>
  <si>
    <t>NAVIGATE_FORWARD_POSSIBLE</t>
  </si>
  <si>
    <t>[PAGE SETS] - if you want to recover previously selected page in section on section change, rather than go to first page, which … frankly you probably don't want to do?</t>
  </si>
  <si>
    <t>LAST_PAGE_SET_1</t>
  </si>
  <si>
    <t>LAST_PAGE_SET_2</t>
  </si>
  <si>
    <t>LAST_PAGE_SET_3</t>
  </si>
  <si>
    <t>LAST_PAGE_SET_4</t>
  </si>
  <si>
    <t>LAST_PAGE_SET_5</t>
  </si>
  <si>
    <t>LAST_PAGE_SET_6</t>
  </si>
  <si>
    <t>LAST_PAGE_SET_7</t>
  </si>
  <si>
    <t>LAST_PAGE_SET_8</t>
  </si>
  <si>
    <t>LAST_PAGE_SET_9</t>
  </si>
  <si>
    <t>LAST_PAGE_SET_10</t>
  </si>
  <si>
    <t>[USER_STATE_PAGE_INFO]</t>
  </si>
  <si>
    <t>SHOW_PAGE_INFO_BAR</t>
  </si>
  <si>
    <t>[USER STATE SELECTIONS]</t>
  </si>
  <si>
    <t>[CONSEQUENCES OF USER STATE SELECTIONS]</t>
  </si>
  <si>
    <t>GLOBAL_WARNING</t>
  </si>
  <si>
    <t>(use ffor weights warning?)</t>
  </si>
  <si>
    <t>GLOBAL_ZOOM</t>
  </si>
  <si>
    <t>ZEN_MODE</t>
  </si>
  <si>
    <t>[WEIGHT SETTINGS]</t>
  </si>
  <si>
    <t>ACTIVE_WEIGHT_PROFILE_NAME</t>
  </si>
  <si>
    <t>ACTIVE_WEIGHT_PROFILE_DESCRIPTION</t>
  </si>
  <si>
    <t>GLOBAL_WEIGHT_WARNING</t>
  </si>
  <si>
    <t>TIMESLICE SELCTIONS</t>
  </si>
  <si>
    <t>TIMESLICE_DESCRIPTION</t>
  </si>
  <si>
    <t>[TIMESLICE / YEAR SELECTION]</t>
  </si>
  <si>
    <t>TIMESLICE_CODE</t>
  </si>
  <si>
    <t>[COMPARISON TIMESLICE / YEAR SELECTION]</t>
  </si>
  <si>
    <t>COMPARISON_TIMESLICE_CODE</t>
  </si>
  <si>
    <t>COMPARISON_TIMESLICE_DESCRIPTION</t>
  </si>
  <si>
    <t>[DATA TABLE TIMESLICE / YEAR SELECTION]</t>
  </si>
  <si>
    <t>DATATABLE_TIMESLICE_DD</t>
  </si>
  <si>
    <t>DATATABLE_TIMESLICE_CODE</t>
  </si>
  <si>
    <t>DATATABLE_TIMESLICE_DESCRIPTION</t>
  </si>
  <si>
    <t>SORT ORDER SELECTIONS</t>
  </si>
  <si>
    <t xml:space="preserve">SORT ORDER 1 _ </t>
  </si>
  <si>
    <t>SORT_ORDER_1_DESC</t>
  </si>
  <si>
    <t>SORT_ORDER_1_FANCY_DESC</t>
  </si>
  <si>
    <t>GROUP SELECTIONS</t>
  </si>
  <si>
    <t>[GROUP HIGHLIGHT]</t>
  </si>
  <si>
    <t>GROUP_HIGHLIGHT_DD</t>
  </si>
  <si>
    <t>GROUP_HIGHLIGHT_ID</t>
  </si>
  <si>
    <t>GROUP_HIGHLIGHT_GROUP_NAME</t>
  </si>
  <si>
    <t>[GROUP_FILTER]</t>
  </si>
  <si>
    <t>GROUP_NAME</t>
  </si>
  <si>
    <t>GROUP_AVERAGE_TEXT</t>
  </si>
  <si>
    <t>GROUP_FILTER_COUNTRY_COUNT</t>
  </si>
  <si>
    <t>Could add countries in group count to group list so can just lookup, rather than calculate.</t>
  </si>
  <si>
    <t>GLOBAL_GROUP_FILTER_WARNING</t>
  </si>
  <si>
    <t>COUNTRY SELECTIONS</t>
  </si>
  <si>
    <t>[COUNTRY_SELECTION_FROM_GROUP_FILTER]</t>
  </si>
  <si>
    <t>COUNTRY_FLT_ID</t>
  </si>
  <si>
    <t>COUNTRY_FLT_ISO2</t>
  </si>
  <si>
    <t>COUNTRY_FLT_ISO3</t>
  </si>
  <si>
    <t>COUNTRY_FLT_NAME</t>
  </si>
  <si>
    <t>LAST_COUNTRY_FLT_NAME</t>
  </si>
  <si>
    <t>COUNTRY_FLT_GROUP_MEMBERSHIPS</t>
  </si>
  <si>
    <t>COUNTRY_FLT_ISO_ABBREV</t>
  </si>
  <si>
    <t>COUNTRY_FLT_AVERAGE_COMPARISON_ENTITY</t>
  </si>
  <si>
    <t>[COUNTRY_HIGHLIGHT_SELECTION_FROM_GROUP_FILTER]</t>
  </si>
  <si>
    <t>COUNTRY_HIGHLIGHT_FLT_ID</t>
  </si>
  <si>
    <t>COUNTRY_HIGHLIGHT_FLT_NAME</t>
  </si>
  <si>
    <t>COUNTRY_HIGHLIGHT_FLT_ISO3</t>
  </si>
  <si>
    <t>LAST_COUNTRY_HIGHLIGHT_FLT_NAME</t>
  </si>
  <si>
    <t>COUNTRY_HIGHLIGHT_FLT_ENTITY_LEVEL_ID</t>
  </si>
  <si>
    <t>[COUNTRY HIGHLIGHT SELECTION_FROM_ALL_COUNTRIES]</t>
  </si>
  <si>
    <t>COUNTRY_HIGHLIGHT_NAME</t>
  </si>
  <si>
    <t>[COUNTRY SELECTIONS_FROM_ALL_COUNTRIES]</t>
  </si>
  <si>
    <t>COUNTRY_ISO2</t>
  </si>
  <si>
    <t>COUNTRY_ISO3</t>
  </si>
  <si>
    <t>COUNTRY_ISO_ABBREV</t>
  </si>
  <si>
    <t>COUNTRY_2_ID</t>
  </si>
  <si>
    <t>COUNTRY_2_ISO2</t>
  </si>
  <si>
    <t>COUNTRY_2_ISO3</t>
  </si>
  <si>
    <t>COUNTRY_2_NAME</t>
  </si>
  <si>
    <t>COUNTRY_2_ISO_ABBREV</t>
  </si>
  <si>
    <t>COUNTRY 3 and 4 allow &lt;none&gt; selection</t>
  </si>
  <si>
    <t>COUNTRY_3_DD</t>
  </si>
  <si>
    <t>COUNTRY_3_ID</t>
  </si>
  <si>
    <t>COUNTRY_3_ISO3</t>
  </si>
  <si>
    <t>COUNTRY_3_NAME</t>
  </si>
  <si>
    <t>COUNTRY_4_DD</t>
  </si>
  <si>
    <t>COUNTRY_4_ID</t>
  </si>
  <si>
    <t>COUNTRY_4_ISO3</t>
  </si>
  <si>
    <t>COUNTRY_4_NAME</t>
  </si>
  <si>
    <t>REMOVE DUPLICATE SELECTIONS FROM COUNTRIES 1,2,3,4</t>
  </si>
  <si>
    <t>NODUPE_COUNTRY_ID_1</t>
  </si>
  <si>
    <t>NODUPE_COUNTRY_ID_2</t>
  </si>
  <si>
    <t>NODUPE_COUNTRY_ID_3</t>
  </si>
  <si>
    <t>NODUPE_COUNTRY_ID_4</t>
  </si>
  <si>
    <t>NODUPE_COUNTRY_ISO_1</t>
  </si>
  <si>
    <t>NODUPE_COUNTRY_ISO_2</t>
  </si>
  <si>
    <t>NODUPE_COUNTRY_ISO_3</t>
  </si>
  <si>
    <t>NODUPE_COUNTRY_ISO_4</t>
  </si>
  <si>
    <t>NODUPE_COUNTRY_NAME_1</t>
  </si>
  <si>
    <t>NODUPE_COUNTRY_NAME_2</t>
  </si>
  <si>
    <t>NODUPE_COUNTRY_NAME_3</t>
  </si>
  <si>
    <t>NODUPE_COUNTRY_NAME_4</t>
  </si>
  <si>
    <t>SEPARATOR!</t>
  </si>
  <si>
    <t>[CATEGORY SELECTIONS]</t>
  </si>
  <si>
    <t>[CAT MULTIPLES]</t>
  </si>
  <si>
    <t>offers Overall + Category, and each Category + Underlying indicators</t>
  </si>
  <si>
    <t>CAT_MULTIPLE_DD</t>
  </si>
  <si>
    <t>CAT_MULTIPLE_DESCRIPTION</t>
  </si>
  <si>
    <t>[SERIES SELECTIONS]</t>
  </si>
  <si>
    <t>[ALL SERIES INCLUDING BACKROUND]</t>
  </si>
  <si>
    <t>SELECTED_SERIES_ALL_DD</t>
  </si>
  <si>
    <t>SELECTED_SERIES_ALL_DEPTH</t>
  </si>
  <si>
    <t>SELECTED_SERIES_ALL_POLARITY</t>
  </si>
  <si>
    <t>SELECTED_SERIES_ALL_PARENT</t>
  </si>
  <si>
    <t>SELECTED_SERIES_ALL_QUESTION</t>
  </si>
  <si>
    <t>SELECTED_SERIES_ALL_NAME</t>
  </si>
  <si>
    <t>SELECTED_SERIES_ALL_NUMBER_AND_DESCRIPTION</t>
  </si>
  <si>
    <t>NUMBEREDSERIES</t>
  </si>
  <si>
    <t>SELECTED_SERIES_ALL_VERBOSE_DESCRIPTION</t>
  </si>
  <si>
    <t>SELECTED_SERIES_ALL_UNIT</t>
  </si>
  <si>
    <t>SELECTED_SERIES_ALL_NUMBER_FORMAT</t>
  </si>
  <si>
    <t>SELECTED_SERIES_ALL_IS_MULTIPLE_CHOICE</t>
  </si>
  <si>
    <t>SELECTED_SERIES_ALL_MAXIMUM</t>
  </si>
  <si>
    <t>SELECTED_SERIES_ALL_POLARITY_ID</t>
  </si>
  <si>
    <t>SELECTED_SERIES_X_MAX_ALLOWED</t>
  </si>
  <si>
    <t>[SCATTERPLOT SELECTIONS]</t>
  </si>
  <si>
    <t>[GENERAL]</t>
  </si>
  <si>
    <t>SCATTER_SHOW_OUTLIERS</t>
  </si>
  <si>
    <t>SCATTER_SHOW_LABELS</t>
  </si>
  <si>
    <t>click_ScatterChartPointID</t>
  </si>
  <si>
    <t>SCATTER_POINT_LABEL</t>
  </si>
  <si>
    <t>SCATTER_POINT_X_VALUE</t>
  </si>
  <si>
    <t>SCATTER_POINT_Y_VALUE</t>
  </si>
  <si>
    <t>SCATTER_CHART_HOVER_LABEL_TEXT</t>
  </si>
  <si>
    <t>SCATTER_X_SERIES</t>
  </si>
  <si>
    <t>SELECTED_SERIES_X_DD</t>
  </si>
  <si>
    <t>SELECTED_SERIES_X_ID</t>
  </si>
  <si>
    <t>SELECTED_SERIES_X_HAS_DATA</t>
  </si>
  <si>
    <t>SELECTED_SERIES_X_IS_NON_SCORING</t>
  </si>
  <si>
    <t>SELECTED_SERIES_X_DEPTH</t>
  </si>
  <si>
    <t>SELECTED_SERIES_X_POLARITY</t>
  </si>
  <si>
    <t>SELECTED_SERIES_X_DATA_CHANGE_METRIC</t>
  </si>
  <si>
    <t>SELECTED_SERIES_X_PARENT</t>
  </si>
  <si>
    <t>SELECTED_SERIES_X_QUESTION</t>
  </si>
  <si>
    <t>SELECTED_SERIES_X_NAME</t>
  </si>
  <si>
    <t>SELECTED_SERIES_X_NUMBER_AND_DESCRIPTION</t>
  </si>
  <si>
    <t>SELECTED_SERIES_X_VERBOSE_DESCRIPTION</t>
  </si>
  <si>
    <t>SELECTED_SERIES_X_UNIT</t>
  </si>
  <si>
    <t>SELECTED_SERIES_X_NUMBER_FORMAT</t>
  </si>
  <si>
    <t>SELECTED_SERIES_X_IS_MULTIPLE_CHOICE</t>
  </si>
  <si>
    <t>SELECTED_SERIES_X_MAXIMUM</t>
  </si>
  <si>
    <t>SELECTED_SERIES_X_POLARITY_ID</t>
  </si>
  <si>
    <t>SELECTED_SERIES_X_POLARITY_ID_ADJUST</t>
  </si>
  <si>
    <t>SELECTED_SERIES_X_DATA_DISPLAY_DP</t>
  </si>
  <si>
    <t>SELECTED_SERIES_X_MIN_ALLOWED</t>
  </si>
  <si>
    <t>SCATTER_Y_SERIES</t>
  </si>
  <si>
    <t>SELECTED_SERIES_Y_DD</t>
  </si>
  <si>
    <t>SELECTED_SERIES_Y_ID</t>
  </si>
  <si>
    <t>SELECTED_SERIES_Y_HAS_DATA</t>
  </si>
  <si>
    <t>SELECTED_SERIES_Y_IS_NON_SCORING</t>
  </si>
  <si>
    <t>SELECTED_SERIES_Y_DEPTH</t>
  </si>
  <si>
    <t>SELECTED_SERIES_Y_POLARITY</t>
  </si>
  <si>
    <t>SELECTED_SERIES_Y_DATA_CHANGE_METRIC</t>
  </si>
  <si>
    <t>SELECTED_SERIES_Y_PARENT</t>
  </si>
  <si>
    <t>SELECTED_SERIES_Y_QUESTION</t>
  </si>
  <si>
    <t>SELECTED_SERIES_Y_NAME</t>
  </si>
  <si>
    <t>SELECTED_SERIES_Y_NUMBER_AND_DESCRIPTION</t>
  </si>
  <si>
    <t>SELECTED_SERIES_Y_VERBOSE_DESCRIPTION</t>
  </si>
  <si>
    <t>SELECTED_SERIES_Y_UNIT</t>
  </si>
  <si>
    <t>SELECTED_SERIES_Y_NUMBER_FORMAT</t>
  </si>
  <si>
    <t>SELECTED_SERIES_Y_IS_MULTIPLE_CHOICE</t>
  </si>
  <si>
    <t>SELECTED_SERIES_Y_MAXIMUM</t>
  </si>
  <si>
    <t>SELECTED_SERIES_Y_POLARITY_ID</t>
  </si>
  <si>
    <t>SELECTED_SERIES_Y_POLARITY_ID_ADJUST</t>
  </si>
  <si>
    <t>SELECTED_SERIES_Y_DATA_DISPLAY_DP</t>
  </si>
  <si>
    <t>SELECTED_SERIES_Y_MIN_ALLOWED</t>
  </si>
  <si>
    <t>SELECTED_SERIES_Y_MAX_ALLOWED</t>
  </si>
  <si>
    <t>SERIES EXPLORER GROUP AVERAGES PAGE</t>
  </si>
  <si>
    <t>GROUP_CHART_MIN_RECORDED</t>
  </si>
  <si>
    <t>GROUP_CHART_MAX_ALLOWED</t>
  </si>
  <si>
    <t>set to MAX_RECORDED if MAX_ALLOWED is not specified</t>
  </si>
  <si>
    <t>GROUP_CHART_MAX_RECORDED</t>
  </si>
  <si>
    <t>GROUP_SERIES_HAS_DATA</t>
  </si>
  <si>
    <t>GROUP_SERIES_POLARITY_ID</t>
  </si>
  <si>
    <t>GROUP_SERIES_IS_BG</t>
  </si>
  <si>
    <t>GROUP_SERIES_AXIS_LABEL_LOW</t>
  </si>
  <si>
    <t>GROUP_SERIES_AXIS_LABEL_HIGH</t>
  </si>
  <si>
    <t>GROUP_CHART_EFFECTIVE_MIN</t>
  </si>
  <si>
    <t>GROUP_CHART_EFFECTIVE_MAX</t>
  </si>
  <si>
    <t>[CATEGORY FILTERS]</t>
  </si>
  <si>
    <t>CATEGORY_FILTER_ID</t>
  </si>
  <si>
    <t>CATEGORY_FILTER_WARNING</t>
  </si>
  <si>
    <t>A category filter is selected.  This page is showing series in the {CATEGORY} category only.  Select all categories from the 'CATEGORY FILTER' dropdown to show all available series.</t>
  </si>
  <si>
    <t>CATEGORY_FILTER_WITH_BG_ID</t>
  </si>
  <si>
    <t>CATEGORY_FILTER_WITH_BG_WARNING</t>
  </si>
  <si>
    <t>[MAP -CALL OUT]</t>
  </si>
  <si>
    <t>MAP_CALL_OUT_COUNTRY_SCORE</t>
  </si>
  <si>
    <t>MAP_CALL_OUT_INDICATOR_MAX</t>
  </si>
  <si>
    <t>MAP_CALL_OUT_COUNTRY_SCORE_TEXT</t>
  </si>
  <si>
    <t>MAP_CALL_OUT_SCORE_COMPARISON_YEAR</t>
  </si>
  <si>
    <t>MAP_CALL_OUT_SCORE_CHANGE</t>
  </si>
  <si>
    <t>MAP_CALL_OUT_SCORE_CHANGE_TEXT</t>
  </si>
  <si>
    <t>MAP_CALL_OUT_COUNTRY_RANK</t>
  </si>
  <si>
    <t>MAP_CALL_OUT_COUNTRY_RANK_TEXT</t>
  </si>
  <si>
    <t>[NON PRINTING CELLS]</t>
  </si>
  <si>
    <t>go_top</t>
  </si>
  <si>
    <t>Back to top</t>
  </si>
  <si>
    <t>npc_1</t>
  </si>
  <si>
    <t>Select a zoom level appropriate for your display</t>
  </si>
  <si>
    <t>npc_2</t>
  </si>
  <si>
    <t>Click any indicator to view data</t>
  </si>
  <si>
    <t>npc_3</t>
  </si>
  <si>
    <t>Click any country to view details</t>
  </si>
  <si>
    <t>npc_7</t>
  </si>
  <si>
    <t>View explanatory key</t>
  </si>
  <si>
    <t>npc_8</t>
  </si>
  <si>
    <t>Double click any series to view data in Series Explorer</t>
  </si>
  <si>
    <t>npc_10</t>
  </si>
  <si>
    <t>Double click any series to view scatter plot chart</t>
  </si>
  <si>
    <t>npc_11</t>
  </si>
  <si>
    <t>Double click any series to view full series definition and change across all countries</t>
  </si>
  <si>
    <t>npc_12</t>
  </si>
  <si>
    <t>Double click any group to view data for all countries in the group</t>
  </si>
  <si>
    <t>npc_13</t>
  </si>
  <si>
    <t>Click + / - to show/hide underlying series</t>
  </si>
  <si>
    <t>COMP_TIMSLICE_ID</t>
  </si>
  <si>
    <t>●</t>
  </si>
  <si>
    <t>COPY13</t>
  </si>
  <si>
    <t>COPY14</t>
  </si>
  <si>
    <t>COPY15</t>
  </si>
  <si>
    <t>COPY16</t>
  </si>
  <si>
    <t>COPY17</t>
  </si>
  <si>
    <t>COPY18</t>
  </si>
  <si>
    <t>1;0;</t>
  </si>
  <si>
    <t xml:space="preserve"> </t>
  </si>
  <si>
    <t>EntityID</t>
  </si>
  <si>
    <t>COPY</t>
  </si>
  <si>
    <t>about_intro</t>
  </si>
  <si>
    <t>SORT_ORDER_1_FANCY_DESC_MULTIPLES</t>
  </si>
  <si>
    <t>INDI IDS</t>
  </si>
  <si>
    <t>DATA ROW LOOKUPS</t>
  </si>
  <si>
    <t>SELECT INDICATOR</t>
  </si>
  <si>
    <t>GeoEntityID</t>
  </si>
  <si>
    <t>COUNTRY_FLT_AVERAGE_COMPARISON_ENTITY_2</t>
  </si>
  <si>
    <t>cnt_GroupFilter_2</t>
  </si>
  <si>
    <t>cnt_CountryFlt_2</t>
  </si>
  <si>
    <t>_dyn_dd_flt_country_2</t>
  </si>
  <si>
    <t>[GROUP_FILTER_2]</t>
  </si>
  <si>
    <t>FilterCountryID_2</t>
  </si>
  <si>
    <t>FilterCountry_2</t>
  </si>
  <si>
    <t>[COUNTRY_SELECTION_FROM_GROUP_FILTER_2]</t>
  </si>
  <si>
    <t>COUNTRY_FLT_2_ID</t>
  </si>
  <si>
    <t>COUNTRY_FLT_2_ISO2</t>
  </si>
  <si>
    <t>COUNTRY_FLT_2_ISO3</t>
  </si>
  <si>
    <t>COUNTRY_FLT_2_NAME</t>
  </si>
  <si>
    <t>LAST_COUNTRY_FLT_2_NAME</t>
  </si>
  <si>
    <t>COUNTRY_FLT_2_GROUP_MEMBERSHIPS</t>
  </si>
  <si>
    <t>COUNTRY_FLT_2_ISO_ABBREV</t>
  </si>
  <si>
    <t>COUNTRY_FLT_2_ENTITY_LEVEL_ID</t>
  </si>
  <si>
    <t>COUNTRY_FLT_2_COMPARISON_ENTITY_ID</t>
  </si>
  <si>
    <t>COUNTRY_FLT_2_COMPARISON_GROUP</t>
  </si>
  <si>
    <t>COUNTRY_FLT_2_AVERAGE_COMPARISON_ENTITY</t>
  </si>
  <si>
    <t>COUNTRY_FLT_2_AVERAGE_COMPARISON_ENTITY_2</t>
  </si>
  <si>
    <t>MAIN ENTITY</t>
  </si>
  <si>
    <t>COMPARISON ENTITY</t>
  </si>
  <si>
    <t>COUNTRY 2</t>
  </si>
  <si>
    <t>Data Row</t>
  </si>
  <si>
    <t>DIFF 1 vs 2</t>
  </si>
  <si>
    <t>SELECT AREA 2</t>
  </si>
  <si>
    <t>typically "All countries"</t>
  </si>
  <si>
    <t>PROJECT_EVEN_BREAK_BIN_COUNT</t>
  </si>
  <si>
    <t>PROJECT_EVEN_BREAK_LABEL_0</t>
  </si>
  <si>
    <t>PROJECT_EVEN_BREAK_LABEL_1</t>
  </si>
  <si>
    <t>PROJECT_EVEN_BREAK_LABEL_2</t>
  </si>
  <si>
    <t>PROJECT_EVEN_BREAK_LABEL_3</t>
  </si>
  <si>
    <t>PROJECT_EVEN_BREAK_LABEL_4</t>
  </si>
  <si>
    <t>worst score</t>
  </si>
  <si>
    <t>best score</t>
  </si>
  <si>
    <t>cnt_Map_Selector</t>
  </si>
  <si>
    <t>PROJECT_NO_GEOGRAPHY_TEXT</t>
  </si>
  <si>
    <t>typically "&lt;none&gt;"</t>
  </si>
  <si>
    <t>SELECTED_SERIES_ALL_UID</t>
  </si>
  <si>
    <t>SELECTED_SERIES_ALL_SCORING_SYSTEM</t>
  </si>
  <si>
    <t>SELECTED_SERIES_ALL_RATIONALE</t>
  </si>
  <si>
    <r>
      <rPr>
        <b/>
        <sz val="10"/>
        <color theme="0" tint="-0.499984740745262"/>
        <rFont val="Calibri"/>
        <family val="2"/>
      </rPr>
      <t xml:space="preserve">↕ </t>
    </r>
    <r>
      <rPr>
        <b/>
        <sz val="10"/>
        <color theme="0" tint="-0.499984740745262"/>
        <rFont val="Calibri"/>
        <family val="2"/>
        <scheme val="minor"/>
      </rPr>
      <t>Y-AXIS</t>
    </r>
  </si>
  <si>
    <t>↔ X-AXIS</t>
  </si>
  <si>
    <t>PROJECT_DEPTH_5</t>
  </si>
  <si>
    <t>COVER_CONTACT_LINK_2_SIMPLE</t>
  </si>
  <si>
    <t>PILLAR_PREVENTION</t>
  </si>
  <si>
    <t>CATEGORY_PREVENTION_LEGAL_FRAMEWORK</t>
  </si>
  <si>
    <t>SUBCATEGORY_PREV_LF_1</t>
  </si>
  <si>
    <t>SUBCATEGORY_PREV_LF_2</t>
  </si>
  <si>
    <t>SUBCATEGORY_PREV_LF_3</t>
  </si>
  <si>
    <t>SUBCATEGORY_PREV_LF_4</t>
  </si>
  <si>
    <t>SUBCATEGORY_PREV_LF_6</t>
  </si>
  <si>
    <t>SUBCATEGORY_PREV_LF_8</t>
  </si>
  <si>
    <t>CATEGORY_PREVENTION_POLICIES</t>
  </si>
  <si>
    <t>SUBCATEGORY_PREV_PP_1</t>
  </si>
  <si>
    <t>SUBCATEGORY_PREV_PP_2</t>
  </si>
  <si>
    <t>SUBCATEGORY_PREV_PP_3</t>
  </si>
  <si>
    <t>SUBCATEGORY_PREV_PP_4</t>
  </si>
  <si>
    <t>SUBCATEGORY_PREV_PP_5</t>
  </si>
  <si>
    <t>SUBCATEGORY_PREV_PP_6</t>
  </si>
  <si>
    <t>PILLAR_RESPONSE</t>
  </si>
  <si>
    <t>CATEGORY_RESPONSE_SUPPORT_SERVICES</t>
  </si>
  <si>
    <t>SUBCATEGORY_RESP_PS_1</t>
  </si>
  <si>
    <t>SUBCATEGORY_RESP_PS_2</t>
  </si>
  <si>
    <t>SUBCATEGORY_RESP_PS_3</t>
  </si>
  <si>
    <t>SUBCATEGORY_RESP_PS_4</t>
  </si>
  <si>
    <t>CATEGORY_RESPONSE_JUSTICE</t>
  </si>
  <si>
    <t>SUBCATEGORY_RESP_JP_1</t>
  </si>
  <si>
    <t>SUBCATEGORY_RESP_JP_2</t>
  </si>
  <si>
    <t>SUBCATEGORY_RESP_JP_3</t>
  </si>
  <si>
    <t>SUBCATEGORY_RESP_JP_4</t>
  </si>
  <si>
    <t>SUBCATEGORY_RESP_JP_5</t>
  </si>
  <si>
    <t>SUBCATEGORY_RESP_JP_6</t>
  </si>
  <si>
    <t>DEPTH_4_SERIES_COUNT</t>
  </si>
  <si>
    <t>DEPTH_5_SERIES_COUNT</t>
  </si>
  <si>
    <t>Economist Impact calculation</t>
  </si>
  <si>
    <t>PROJECT_MANAGER_4_NAME</t>
  </si>
  <si>
    <t>PROJECT_MANAGER_4_TITLE</t>
  </si>
  <si>
    <t>PROJECT_MANAGER_4_EMAIL</t>
  </si>
  <si>
    <t>PROJECT_MAX_DEPTH</t>
  </si>
  <si>
    <t>static_enum_GlobalZoom</t>
  </si>
  <si>
    <t>auto_enum_ModelDepthDescriptions</t>
  </si>
  <si>
    <t>static_enum_Palette</t>
  </si>
  <si>
    <t>MODEL_DEPTH</t>
  </si>
  <si>
    <t>Scatter Plot</t>
  </si>
  <si>
    <t>{STATE_BEACON}</t>
  </si>
  <si>
    <t>DataLU_Row</t>
  </si>
  <si>
    <t>Status</t>
  </si>
  <si>
    <t>Band</t>
  </si>
  <si>
    <t>auto_ss_Scatter_X</t>
  </si>
  <si>
    <t>auto_ss_Scatter_Y</t>
  </si>
  <si>
    <t>X-LABEL_RELATIVE_SD</t>
  </si>
  <si>
    <t>X-LABEL_NOMINAL</t>
  </si>
  <si>
    <t>Y-LABEL_RELATIVE_SD</t>
  </si>
  <si>
    <t>Y-LABEL_NOMINAL</t>
  </si>
  <si>
    <t>SELECTED_SERIES_HIGH_LEVEL_DD</t>
  </si>
  <si>
    <t>SELECTED_SERIES_HIGH_LEVEL_ID</t>
  </si>
  <si>
    <t>SELECTED_SERIES_HIGH_LEVEL_UID</t>
  </si>
  <si>
    <t>SELECTED_SERIES_HIGH_LEVEL_HAS_DATA</t>
  </si>
  <si>
    <t>SELECTED_SERIES_HIGH_LEVEL_IS_NON_SCORING</t>
  </si>
  <si>
    <t>SELECTED_SERIES_HIGH_LEVEL_DEPTH</t>
  </si>
  <si>
    <t>SELECTED_SERIES_HIGH_LEVEL_POLARITY</t>
  </si>
  <si>
    <t>SELECTED_SERIES_HIGH_LEVEL_DATA_CHANGE_METRIC</t>
  </si>
  <si>
    <t>SELECTED_SERIES_HIGH_LEVEL_PARENT</t>
  </si>
  <si>
    <t>SELECTED_SERIES_HIGH_LEVEL_QUESTION</t>
  </si>
  <si>
    <t>SELECTED_SERIES_HIGH_LEVEL_NAME</t>
  </si>
  <si>
    <t>SELECTED_SERIES_HIGH_LEVEL_NUMBER_AND_DESCRIPTION</t>
  </si>
  <si>
    <t>SELECTED_SERIES_HIGH_LEVEL_VERBOSE_DESCRIPTION</t>
  </si>
  <si>
    <t>SELECTED_SERIES_HIGH_LEVEL_SCORING_SYSTEM</t>
  </si>
  <si>
    <t>SELECTED_SERIES_HIGH_LEVEL_RATIONALE</t>
  </si>
  <si>
    <t>SELECTED_SERIES_HIGH_LEVEL_UNIT</t>
  </si>
  <si>
    <t>SELECTED_SERIES_HIGH_LEVEL_NUMBER_FORMAT</t>
  </si>
  <si>
    <t>SELECTED_SERIES_HIGH_LEVEL_IS_MULTIPLE_CHOICE</t>
  </si>
  <si>
    <t>SELECTED_SERIES_HIGH_LEVEL_MAXIMUM</t>
  </si>
  <si>
    <t>SELECTED_SERIES_HIGH_LEVEL_POLARITY_ID</t>
  </si>
  <si>
    <t>SELECTED_SERIES_HIGH_LEVEL_POLARITY_ID_ADJUST</t>
  </si>
  <si>
    <t>SELECTED_SERIES_HIGH_LEVEL_DATA_DISPLAY_DP</t>
  </si>
  <si>
    <t>cnt_SeriesHighLevel</t>
  </si>
  <si>
    <t>Best environment to worst</t>
  </si>
  <si>
    <t>Worst environment to best</t>
  </si>
  <si>
    <t>Alphabetical</t>
  </si>
  <si>
    <t>SCORES (8 dp rounded)</t>
  </si>
  <si>
    <t>This replaces missing data 0 scores with "n/a" for score - DO WE NEED THIS?</t>
  </si>
  <si>
    <t>Rounds score by value in $C$4</t>
  </si>
  <si>
    <t>Weight</t>
  </si>
  <si>
    <t>Contribution to overall score</t>
  </si>
  <si>
    <t>1;1;</t>
  </si>
  <si>
    <t>1;2;</t>
  </si>
  <si>
    <t>1;3;</t>
  </si>
  <si>
    <t>1;4;</t>
  </si>
  <si>
    <t>1;5;</t>
  </si>
  <si>
    <t>1;6;</t>
  </si>
  <si>
    <t>Rankings</t>
  </si>
  <si>
    <t>HIGHLIGHT SCORE</t>
  </si>
  <si>
    <t>static_enum_Sort_Order_1</t>
  </si>
  <si>
    <t>COUNTRY SCORE</t>
  </si>
  <si>
    <t>S.D</t>
  </si>
  <si>
    <t>CLASS</t>
  </si>
  <si>
    <t>cnt_CatFilter</t>
  </si>
  <si>
    <t>CAT_FILTER</t>
  </si>
  <si>
    <t>static_enum_WeightsMode</t>
  </si>
  <si>
    <t>CATEGORY FILTER</t>
  </si>
  <si>
    <t>{AUTOFIT_ANCHOR}</t>
  </si>
  <si>
    <t>SUBCATEGORY_ID</t>
  </si>
  <si>
    <t>COMPOSITE</t>
  </si>
  <si>
    <t>MULTIPLE CHOICE</t>
  </si>
  <si>
    <t>QUANT</t>
  </si>
  <si>
    <t>LEVEL OF DETAIL</t>
  </si>
  <si>
    <t>#COUNTRIES/GROUPS</t>
  </si>
  <si>
    <t>COVER_CONTACT_LINK_3_SIMPLE</t>
  </si>
  <si>
    <t>COVER_CONTACT_LINK_4_SIMPLE</t>
  </si>
  <si>
    <t>S.D From all entity mean</t>
  </si>
  <si>
    <t>upd_z_score</t>
  </si>
  <si>
    <t>S.D. all entites</t>
  </si>
  <si>
    <t>upd_sd_score_all_entities</t>
  </si>
  <si>
    <t>ROW LU</t>
  </si>
  <si>
    <t>High Level</t>
  </si>
  <si>
    <t>Get:</t>
  </si>
  <si>
    <t>Country scores for distribution chart</t>
  </si>
  <si>
    <t>1 x highlight country</t>
  </si>
  <si>
    <t>Classifications for heat map</t>
  </si>
  <si>
    <t>List of named states that are +1 or -1 s.d for each indicator</t>
  </si>
  <si>
    <t>Data row lookups</t>
  </si>
  <si>
    <t>Z Scores</t>
  </si>
  <si>
    <t>Z Score &gt;=1</t>
  </si>
  <si>
    <t>Z Score &lt;=-1</t>
  </si>
  <si>
    <t>Good</t>
  </si>
  <si>
    <t>Bad</t>
  </si>
  <si>
    <t>Z Score</t>
  </si>
  <si>
    <t>TEXT</t>
  </si>
  <si>
    <t>DataType</t>
  </si>
  <si>
    <t>static_oosi_depth</t>
  </si>
  <si>
    <t>cnt_WeightsDepth</t>
  </si>
  <si>
    <t>cnt_ModelDepthDescription</t>
  </si>
  <si>
    <t>WEIGHTS_DEPTH</t>
  </si>
  <si>
    <t>COUNTRY FILTER 2</t>
  </si>
  <si>
    <t>ENTITY_COUNT</t>
  </si>
  <si>
    <t>THEN GROUP</t>
  </si>
  <si>
    <t>AREAS OF STRENGTH (75-100)</t>
  </si>
  <si>
    <t>{not used}</t>
  </si>
  <si>
    <t>25-49.9</t>
  </si>
  <si>
    <t>50-74.9</t>
  </si>
  <si>
    <t>Pages</t>
  </si>
  <si>
    <t>ENTITY_SET_DESCRIPTION</t>
  </si>
  <si>
    <t>SCATTER_GREY_DOT_LABEL</t>
  </si>
  <si>
    <t>ALL_ENTITY_AVERAGE_SCORE</t>
  </si>
  <si>
    <t>static_enum_Series_Polarity</t>
  </si>
  <si>
    <t>static_enum_Series_Scoring_System</t>
  </si>
  <si>
    <t>static_enum_Series_Data_Type</t>
  </si>
  <si>
    <t>static_enum_ScatterFilter</t>
  </si>
  <si>
    <t>static_enum_data_filter</t>
  </si>
  <si>
    <t>All measures</t>
  </si>
  <si>
    <t>Measures with data</t>
  </si>
  <si>
    <t>cnt_DataTableFilter</t>
  </si>
  <si>
    <t>LEVEL_OF_DETAIL</t>
  </si>
  <si>
    <t>SORT_ORDER_ID</t>
  </si>
  <si>
    <t>auto_enum_CatMultiples</t>
  </si>
  <si>
    <t>GROUP HIGHLIGHT</t>
  </si>
  <si>
    <t>{AUTO_CAT_MULTIPLES}</t>
  </si>
  <si>
    <t>SELECTED_SERIES_MAXIUM</t>
  </si>
  <si>
    <t>COUNTRY HIGHLIGHT ID</t>
  </si>
  <si>
    <t>Score 50-74.9</t>
  </si>
  <si>
    <t>AREAS OF STRENGTH
Score 75-100</t>
  </si>
  <si>
    <t>AREAS FOR DEVELOPMENT
Score 0-24.9</t>
  </si>
  <si>
    <t>AREAS FOR DEVELOPMENT (0-24.9)</t>
  </si>
  <si>
    <t>WEAKEST
Score 0-24.9</t>
  </si>
  <si>
    <t>STRONGEST
Score 75-100</t>
  </si>
  <si>
    <t>auto_ss_HighLevel</t>
  </si>
  <si>
    <t>PROJECT_DEPTH_HIGH_LEVEL</t>
  </si>
  <si>
    <t>{FORMAT_ANCHOR}</t>
  </si>
  <si>
    <t>NUMBER_OF_SERIES</t>
  </si>
  <si>
    <t>auto_ss_TopLevel</t>
  </si>
  <si>
    <t>HIGH LEVEL</t>
  </si>
  <si>
    <t>TOP LEVEL</t>
  </si>
  <si>
    <t>auto_enum_CatFilter</t>
  </si>
  <si>
    <t>X-LABEL_NOMINAL_HIGHER_VALUE</t>
  </si>
  <si>
    <t>Y-LABEL_NOMINAL_HIGHER_VALUE</t>
  </si>
  <si>
    <t>static_enum_indicator_view</t>
  </si>
  <si>
    <t>cnt_Indicator_View</t>
  </si>
  <si>
    <t>VIEW_SELECTION</t>
  </si>
  <si>
    <t>static_enum_scatter_data_options</t>
  </si>
  <si>
    <t>cnt_Scatter_Data_Option</t>
  </si>
  <si>
    <t>This could go in tblSeriesSets right?  Which I should rename to "tblLists" or something.</t>
  </si>
  <si>
    <t>scatterplot</t>
  </si>
  <si>
    <t>score_table</t>
  </si>
  <si>
    <t>data_table</t>
  </si>
  <si>
    <t>SCATTER_DATA_PLOT_OPTION</t>
  </si>
  <si>
    <t>Always plot scores | Plot underlying data | Plot z-scores</t>
  </si>
  <si>
    <t>{ANCHOR_SCATTER_TABLE}</t>
  </si>
  <si>
    <t>X-AXIS-HAS-DATA</t>
  </si>
  <si>
    <t>Y-AXIS-HAS-DATA</t>
  </si>
  <si>
    <t>DataRowX</t>
  </si>
  <si>
    <t>DataRowY</t>
  </si>
  <si>
    <t>Remove errors and blanks</t>
  </si>
  <si>
    <t>PROJECT_HIGHER_SCORE_MEANS</t>
  </si>
  <si>
    <t>{ANCHOR_SCATTER_SETTINGS}</t>
  </si>
  <si>
    <t>Highlight (0,1,2)</t>
  </si>
  <si>
    <t>CORRELATION CO-EFFICIENT</t>
  </si>
  <si>
    <t>COUNTRY_HIGHLIGHT</t>
  </si>
  <si>
    <t>COUNTRY_FLT_HIGHLIGHT_ID</t>
  </si>
  <si>
    <t>COUNTRY_HIGHLIGHT_X</t>
  </si>
  <si>
    <t>COUNTRY_HIGHLIGHT_Y</t>
  </si>
  <si>
    <t>ChartFixedY</t>
  </si>
  <si>
    <t>Replace non numerics with "#N/A"</t>
  </si>
  <si>
    <t>CHART DATA</t>
  </si>
  <si>
    <t>ABS Chart Data</t>
  </si>
  <si>
    <t>MAX_ABS_X_AND_Y</t>
  </si>
  <si>
    <t>INVISI_AXIS_HELPER_X</t>
  </si>
  <si>
    <t>INVISI_AXIS_HELPER_Y</t>
  </si>
  <si>
    <t>MAX_X</t>
  </si>
  <si>
    <t>MIN_X</t>
  </si>
  <si>
    <t>MAX_Y</t>
  </si>
  <si>
    <t>MIN_Y</t>
  </si>
  <si>
    <t>SCATTER_X-AXIS METRIC</t>
  </si>
  <si>
    <t>SCATTER_Y-AXIS METRIC</t>
  </si>
  <si>
    <t>SCATTER_X-AXIS_METRIC</t>
  </si>
  <si>
    <t>SCATTER_Y-AXIS_METRIC</t>
  </si>
  <si>
    <t>SCATTER_X_UNIT</t>
  </si>
  <si>
    <t>SCATTER_X_UNIT_DETAIL</t>
  </si>
  <si>
    <t>PROJECT_SCORE_MEANS</t>
  </si>
  <si>
    <t>PROJECT_POSITIVE_ZSCORE</t>
  </si>
  <si>
    <t>PROJECT_NEGATIVE_ZSCORE</t>
  </si>
  <si>
    <t>SCATTER_X_POLARITY</t>
  </si>
  <si>
    <t>SCATTER_Y_POLARITY</t>
  </si>
  <si>
    <t>SCATTER_Y_UNIT</t>
  </si>
  <si>
    <t>SCATTER_Y_UNIT_DETAIL</t>
  </si>
  <si>
    <t>ISO</t>
  </si>
  <si>
    <t>{EXTENDABLE_COUNTRY_TABLE}</t>
  </si>
  <si>
    <t>PROJECT_EVEN_BREAK_LABEL_5</t>
  </si>
  <si>
    <t>EVEN_BREAK_THRESHOLD_0</t>
  </si>
  <si>
    <t>EVEN_BREAK_THRESHOLD_1</t>
  </si>
  <si>
    <t>EVEN_BREAK_THRESHOLD_2</t>
  </si>
  <si>
    <t>EVEN_BREAK_THRESHOLD_3</t>
  </si>
  <si>
    <t>EVEN_BREAK_THRESHOLD_4</t>
  </si>
  <si>
    <t>EVEN_BREAK_THRESHOLD_5</t>
  </si>
  <si>
    <t>Worst</t>
  </si>
  <si>
    <t>Best</t>
  </si>
  <si>
    <t>EVEN BREAK CLASSIFICATION</t>
  </si>
  <si>
    <t>0=n/a, 1=lowest, … n=best (max n is 4 or 5)</t>
  </si>
  <si>
    <t>0-6 max</t>
  </si>
  <si>
    <t>EVEN_BREAK_LABEL_0</t>
  </si>
  <si>
    <t>EVEN_BREAK_LABEL_1</t>
  </si>
  <si>
    <t>EVEN_BREAK_LABEL_2</t>
  </si>
  <si>
    <t>EVEN_BREAK_LABEL_3</t>
  </si>
  <si>
    <t>EVEN_BREAK_LABEL_4</t>
  </si>
  <si>
    <t>EVEN_BREAK_LABEL_5</t>
  </si>
  <si>
    <t>Not included in the research</t>
  </si>
  <si>
    <t>static_enum_palette</t>
  </si>
  <si>
    <t>Sequential (blue)</t>
  </si>
  <si>
    <t>Divergent (red/green)</t>
  </si>
  <si>
    <t>CLASSIFICATION PALETTE</t>
  </si>
  <si>
    <t>Sequential (green)</t>
  </si>
  <si>
    <t>SELECT METRIC</t>
  </si>
  <si>
    <t>Measure</t>
  </si>
  <si>
    <t>heat_map_dots</t>
  </si>
  <si>
    <t>PROJECT_TEAM_EMAILS</t>
  </si>
  <si>
    <t>SELECTED_SERIES_ALL_IS_SEPARATOR</t>
  </si>
  <si>
    <t>country_profile</t>
  </si>
  <si>
    <t>Plot two indicators on a chart to identify relationships.</t>
  </si>
  <si>
    <t>Normalisation_Notes</t>
  </si>
  <si>
    <t>NORMALISATION_NOTES</t>
  </si>
  <si>
    <t>{DEPTH_ANCHOR}</t>
  </si>
  <si>
    <t>{HAS_DATA_ANCHOR}</t>
  </si>
  <si>
    <t>{ANCHOR_DATA_TABLE}</t>
  </si>
  <si>
    <t>{ANCHOR_SCORE_TABLE}</t>
  </si>
  <si>
    <t>{DATA_ROW_ANCHOR}</t>
  </si>
  <si>
    <t>Double click any measure to view in more detail</t>
  </si>
  <si>
    <t>{ANCHOR_DATA_TABLE_COLUMNS}</t>
  </si>
  <si>
    <t>NUMBER_OF_COUNTRIES</t>
  </si>
  <si>
    <t>{SCATTER_DATA_TABLE}</t>
  </si>
  <si>
    <t>{FIXED_Y}</t>
  </si>
  <si>
    <t>Overview</t>
  </si>
  <si>
    <t>Score grouping</t>
  </si>
  <si>
    <t>Ranked table</t>
  </si>
  <si>
    <t>Data not available</t>
  </si>
  <si>
    <t>CLASSIFICATIION</t>
  </si>
  <si>
    <t>MULTIPLE CHOICE OR GROUPED SCORE</t>
  </si>
  <si>
    <t>SCORE</t>
  </si>
  <si>
    <t>MULTIPLE_CHOICE</t>
  </si>
  <si>
    <t>{ANCHOR_RANKED_TABLE_PALETTE}</t>
  </si>
  <si>
    <t>Data Value / Classification</t>
  </si>
  <si>
    <t>SELECTED_SERIES_ALL_MAX_ALLOWED</t>
  </si>
  <si>
    <t>ONLY HAVING BEST TO WORST FOR NOW (COZ OF GROUPING WHERE ALPHABETICAL MAKES NO SENSE)</t>
  </si>
  <si>
    <t>Dot Map</t>
  </si>
  <si>
    <t>SCATTER_X_AXIS_LABEL</t>
  </si>
  <si>
    <t>BETTER_SCORE_TEXT</t>
  </si>
  <si>
    <t>SCATTER_X_DESCRIPTION</t>
  </si>
  <si>
    <t>SCATTER_Y_DESCRIPTION</t>
  </si>
  <si>
    <t>Z_SCORE_AXIS_LABEL</t>
  </si>
  <si>
    <t>SCATTER_Y_AXIS_LABEL</t>
  </si>
  <si>
    <t>SCATTER_X_DATA_SUB_LABEL</t>
  </si>
  <si>
    <t>SCATTER_Y_DATA_SUB_LABEL</t>
  </si>
  <si>
    <t>{ANCHOR_SCATTER_X_DATA}</t>
  </si>
  <si>
    <t>{ANCHOR_SCATTER_Y_DATA}</t>
  </si>
  <si>
    <t>AGRA)_HACK</t>
  </si>
  <si>
    <t>auto_ss_Category</t>
  </si>
  <si>
    <t>Overall and Category, depth=1 (excl bg)</t>
  </si>
  <si>
    <t>NEED TO USE OFFSET?</t>
  </si>
  <si>
    <t>COUNTER</t>
  </si>
  <si>
    <t>THESE SHOULD BE ON LHS OF TABLE BUT MAY BREAK SOMETHING IF I MOVE IT</t>
  </si>
  <si>
    <t>PARENT ID (or index position in this table) CONTRIB TO OVERALL HELPER</t>
  </si>
  <si>
    <t>{ANCHOR_WEIGHTS_BG_TABLE}</t>
  </si>
  <si>
    <t>ACTIVE_PROFILE_CONTRIB_TO_OVERALL</t>
  </si>
  <si>
    <t>EDIT_PROFILE_CONTRIB_TO_OVERALL</t>
  </si>
  <si>
    <t>SELECTED_SERIES_HIGH_LEVEL_MAX_ALLOWED</t>
  </si>
  <si>
    <t>{ANCHOR_SCORE_TABLE_COLUMNS}</t>
  </si>
  <si>
    <t>auto_ss_Background</t>
  </si>
  <si>
    <t>Background variables</t>
  </si>
  <si>
    <t>SELECT INDICATOR SET</t>
  </si>
  <si>
    <t>SCATTER_X_AXIS_SUBLABEL</t>
  </si>
  <si>
    <t>SCORE_AXIS_LABEL</t>
  </si>
  <si>
    <t>SCATTER_Y_AXIS_SUBLABEL</t>
  </si>
  <si>
    <t>TEXTJOIN native</t>
  </si>
  <si>
    <t>TEXTJOIN_SURROGATE</t>
  </si>
  <si>
    <t>WHATEVER WORKS</t>
  </si>
  <si>
    <t>GROUP FILTER</t>
  </si>
  <si>
    <t>Goes to zero (no data available) if a filter is applied.</t>
  </si>
  <si>
    <t>SORT BY SCORE HIGH TO LOW</t>
  </si>
  <si>
    <t>DATA ROW LU</t>
  </si>
  <si>
    <t>Dots</t>
  </si>
  <si>
    <t>Remove filtered countries</t>
  </si>
  <si>
    <t>So I can remove filtered countries</t>
  </si>
  <si>
    <t>Could do a sort as well</t>
  </si>
  <si>
    <t>Country Status</t>
  </si>
  <si>
    <t>RANK VALUE</t>
  </si>
  <si>
    <t>THIS COLUMN CAN BE USED TO IGNORE GROUIP FILTER EXCLUSIONS</t>
  </si>
  <si>
    <t>LOOKUP</t>
  </si>
  <si>
    <t>COUNTRYID</t>
  </si>
  <si>
    <t>Final Data Table</t>
  </si>
  <si>
    <t>FILTERED_COUNTRY_COUNT</t>
  </si>
  <si>
    <t>Introduction to this index.</t>
  </si>
  <si>
    <t>NEED TO USE AN OFFSET BASED ON COUNTRY COUNT (OR SELECTED REGION COUNT?) FOR THE STATISTICS</t>
  </si>
  <si>
    <t>ALL COUNTRY AVERAGE ROW</t>
  </si>
  <si>
    <t>SELECTED GROUP ROW</t>
  </si>
  <si>
    <t>GROUP_FILTER_ID</t>
  </si>
  <si>
    <t>MEASURE_ID</t>
  </si>
  <si>
    <t>GROUP_FILTER_ROW_LU</t>
  </si>
  <si>
    <t>GROUP_AVG_SCORE</t>
  </si>
  <si>
    <t>GROUP_FILTER_TEXT</t>
  </si>
  <si>
    <t>auto_ss_data_table</t>
  </si>
  <si>
    <t>auto_ss_score_table</t>
  </si>
  <si>
    <t>X-AXIS INDICATOR</t>
  </si>
  <si>
    <t>Y-AXIS INDICATOR</t>
  </si>
  <si>
    <t>COUNT</t>
  </si>
  <si>
    <t>IS_HIGH</t>
  </si>
  <si>
    <t>HAS_BORDER</t>
  </si>
  <si>
    <t>overview</t>
  </si>
  <si>
    <t>HAS_DETAILED_NOTES</t>
  </si>
  <si>
    <t>HasDetailedNotes</t>
  </si>
  <si>
    <t>Identify subset for country detail</t>
  </si>
  <si>
    <t>auto_ss_HasDetailedNotes</t>
  </si>
  <si>
    <t>PROJECT_PRESENTATION_VERSION</t>
  </si>
  <si>
    <t>PROJECT_PRESENTATION_IS_DRAFT</t>
  </si>
  <si>
    <t>Has data, has detailed notes</t>
  </si>
  <si>
    <t>[SCATTER SETTINGS]</t>
  </si>
  <si>
    <t>Top-level index results displayed on a dots map.</t>
  </si>
  <si>
    <t>PROJECT_SCATTER_DEFAULT_MODE</t>
  </si>
  <si>
    <t>PROJECT_SCATTER_X_SERIES_OPTION_ID</t>
  </si>
  <si>
    <t>PROJECT_SCATTER_Y_SERIES_OPTION_ID</t>
  </si>
  <si>
    <t>[ALL SERIES INCLUDING BACKROUND] COUNTRYFLT HIGLIGHT DETAILS</t>
  </si>
  <si>
    <t>SELECTED_SERIES_COUNTRY_DATA_ROW</t>
  </si>
  <si>
    <t>SELECTED_SERIES_COUNTRY_JUSTIFICATION</t>
  </si>
  <si>
    <t>SELECTED_SERIES_COUNTRY_FULL_NOTE</t>
  </si>
  <si>
    <t>SELECTED_SERIES_COUNTRY_REFERENCES</t>
  </si>
  <si>
    <t>SELECTED_SERIES_COUNTRY_MULTIPLE_CHOICE_ANSWER</t>
  </si>
  <si>
    <t>SELECTED_SERIES_COUNTRY_DATA_VALUE</t>
  </si>
  <si>
    <t>SELECTED_SERIES_COUNTRY_MULTIPLE_CHOICE_QUESTION</t>
  </si>
  <si>
    <t>SELECTED_SERIES_ALL_MULTIPLE_CHOICE_QUESTION</t>
  </si>
  <si>
    <t>DON’T DELETE!</t>
  </si>
  <si>
    <t>EXCLUDE</t>
  </si>
  <si>
    <t>{ANCHOR_DATA_TABLE_FIRST_COL}</t>
  </si>
  <si>
    <t>[FORMATTING]</t>
  </si>
  <si>
    <t>PROJECT_DATA_TABLE_ROW_HEIGHT</t>
  </si>
  <si>
    <t>PROJECT_DATA_TABLE_COUNTRY_COLUMN_WIDTH</t>
  </si>
  <si>
    <t>{ANCHOR_SCORE_TABLE_FIRST_COL}</t>
  </si>
  <si>
    <t>Overall and Category, depth&lt;=3 (excl bg)</t>
  </si>
  <si>
    <t>Refugee Opportunity Index</t>
  </si>
  <si>
    <t>v0.0.3</t>
  </si>
  <si>
    <t>Here are some tips for using this workbook.</t>
  </si>
  <si>
    <t>Navigating the workbook and selecting page options</t>
  </si>
  <si>
    <t xml:space="preserve"> This workbook contains multiple pages which show different views of the index data.  The diagram below describes the navigation section that appears at the top of every page.</t>
  </si>
  <si>
    <t>Use full-screen mode to increase the visible area</t>
  </si>
  <si>
    <t>Accessing full-screen mode increases the visible height of the working area by hiding menus, and is the recommended view for exploring the Index.</t>
  </si>
  <si>
    <t>You can exit full screen mode at any time by pressing [ESCAPE].</t>
  </si>
  <si>
    <t>Set a zoom level appropriate for your display</t>
  </si>
  <si>
    <t>Select a zoom level to optimise the visible content for the size of your display</t>
  </si>
  <si>
    <t>{BEACON_COLUMN_AUTOWIDTH}</t>
  </si>
  <si>
    <t>TRI_BAND</t>
  </si>
  <si>
    <t>PIVOT</t>
  </si>
  <si>
    <t>CENTRED</t>
  </si>
  <si>
    <t>SELECTED_SERIES_COUNTRY_SUMMARY_TEXT</t>
  </si>
  <si>
    <t>auto_ss_HighLevel_Hack</t>
  </si>
  <si>
    <t>Top level, depth&lt;=1 (excl bg)</t>
  </si>
  <si>
    <t>SELECTED_SERIES_COUNTRY_SUMMARY_AND_REFERENCES</t>
  </si>
  <si>
    <t>DERIVATIVE_CALCULATION</t>
  </si>
  <si>
    <t>NORMALISATION_METHOD</t>
  </si>
  <si>
    <t>static_enum_dots_view</t>
  </si>
  <si>
    <t>Numbers</t>
  </si>
  <si>
    <t>cnt_View_Dots</t>
  </si>
  <si>
    <t>SELECT VISUALISATION</t>
  </si>
  <si>
    <t>All</t>
  </si>
  <si>
    <t>Data table (all series)</t>
  </si>
  <si>
    <t>Score table (all scoring series (no bg))</t>
  </si>
  <si>
    <t>=1</t>
  </si>
  <si>
    <t>PROJECT_MANAGER_5_NAME</t>
  </si>
  <si>
    <t>PROJECT_MANAGER_5_TITLE</t>
  </si>
  <si>
    <t>PROJECT_MANAGER_5_EMAIL</t>
  </si>
  <si>
    <t>PROJECT_MANAGER_6_NAME</t>
  </si>
  <si>
    <t>PROJECT_MANAGER_6_TITLE</t>
  </si>
  <si>
    <t>PROJECT_MANAGER_6_EMAIL</t>
  </si>
  <si>
    <t>COVER_CONTACT_LINK_5_SIMPLE</t>
  </si>
  <si>
    <t>COVER_CONTACT_LINK_6_SIMPLE</t>
  </si>
  <si>
    <t>OUTLIER_TREATED_MIN_MAX</t>
  </si>
  <si>
    <t>2,3,7,8,10,11,13,15,19,20,22,23,24,27,28,29</t>
  </si>
  <si>
    <t>2,4,9,15,29</t>
  </si>
  <si>
    <t>1,6,10,14,16,17,21,25,30</t>
  </si>
  <si>
    <t>auto_ss_depth_2</t>
  </si>
  <si>
    <t>High Level, depth=2 (excl bg)</t>
  </si>
  <si>
    <t>Table and Grouping</t>
  </si>
  <si>
    <r>
      <rPr>
        <b/>
        <sz val="11"/>
        <color theme="1"/>
        <rFont val="Calibri"/>
        <family val="2"/>
        <scheme val="minor"/>
      </rPr>
      <t>The easiest way to enable macros is to move this file to a 'trusted location'</t>
    </r>
    <r>
      <rPr>
        <sz val="11"/>
        <color theme="1"/>
        <rFont val="Calibri"/>
        <family val="2"/>
        <scheme val="minor"/>
      </rPr>
      <t>.  See the article below for more information.</t>
    </r>
  </si>
  <si>
    <t>https://support.microsoft.com/en-us/office/add-remove-or-change-a-trusted-location-in-microsoft-office-7ee1cdc2-483e-4cbb-bcb3-4e7c67147fb4</t>
  </si>
  <si>
    <t>DEPTH_0_SERIES_COUNT</t>
  </si>
  <si>
    <t>#domain</t>
  </si>
  <si>
    <t>#indiactor</t>
  </si>
  <si>
    <t>OVERALL SCORE (COMPOSITE)</t>
  </si>
  <si>
    <t>G00_OVERALL</t>
  </si>
  <si>
    <t>G01_OVERALL</t>
  </si>
  <si>
    <t>Sub-indicator</t>
  </si>
  <si>
    <t>SUB_INDI_039</t>
  </si>
  <si>
    <t>SUB_INDI_040</t>
  </si>
  <si>
    <t>INDICATOR SCORE (COMPOSITE)</t>
  </si>
  <si>
    <t>DATA Sub-indicator</t>
  </si>
  <si>
    <t>INDI_001</t>
  </si>
  <si>
    <t>INDI_002</t>
  </si>
  <si>
    <t>INDI_003</t>
  </si>
  <si>
    <t>INDI_004</t>
  </si>
  <si>
    <t>INDI_005</t>
  </si>
  <si>
    <t>INDI_007</t>
  </si>
  <si>
    <t>INDI_008</t>
  </si>
  <si>
    <t>INDI_009</t>
  </si>
  <si>
    <t>INDI_011</t>
  </si>
  <si>
    <t>INDI_012</t>
  </si>
  <si>
    <t>INDI_013</t>
  </si>
  <si>
    <t>INDI_014</t>
  </si>
  <si>
    <t>INDI_015</t>
  </si>
  <si>
    <t>INDI_016</t>
  </si>
  <si>
    <t>INDI_017</t>
  </si>
  <si>
    <t>INDI_018</t>
  </si>
  <si>
    <t>INDI_019</t>
  </si>
  <si>
    <t>INDI_030</t>
  </si>
  <si>
    <t>INDI_045</t>
  </si>
  <si>
    <t>G00_INDI_001</t>
  </si>
  <si>
    <t>G01_INDI_001</t>
  </si>
  <si>
    <t>G00_INDI_002</t>
  </si>
  <si>
    <t>G01_INDI_002</t>
  </si>
  <si>
    <t>G00_INDI_003</t>
  </si>
  <si>
    <t>G01_INDI_003</t>
  </si>
  <si>
    <t>G00_INDI_004</t>
  </si>
  <si>
    <t>G01_INDI_004</t>
  </si>
  <si>
    <t>G00_INDI_005</t>
  </si>
  <si>
    <t>G01_INDI_005</t>
  </si>
  <si>
    <t>G00_INDI_007</t>
  </si>
  <si>
    <t>G01_INDI_007</t>
  </si>
  <si>
    <t>G00_INDI_008</t>
  </si>
  <si>
    <t>G01_INDI_008</t>
  </si>
  <si>
    <t>G00_INDI_009</t>
  </si>
  <si>
    <t>G01_INDI_009</t>
  </si>
  <si>
    <t>G00_INDI_011</t>
  </si>
  <si>
    <t>G01_INDI_011</t>
  </si>
  <si>
    <t>G00_INDI_012</t>
  </si>
  <si>
    <t>G01_INDI_012</t>
  </si>
  <si>
    <t>G00_INDI_013</t>
  </si>
  <si>
    <t>G01_INDI_013</t>
  </si>
  <si>
    <t>G00_INDI_014</t>
  </si>
  <si>
    <t>G01_INDI_014</t>
  </si>
  <si>
    <t>G00_INDI_015</t>
  </si>
  <si>
    <t>G01_INDI_015</t>
  </si>
  <si>
    <t>G00_INDI_016</t>
  </si>
  <si>
    <t>G01_INDI_016</t>
  </si>
  <si>
    <t>G00_INDI_017</t>
  </si>
  <si>
    <t>G01_INDI_017</t>
  </si>
  <si>
    <t>G00_INDI_018</t>
  </si>
  <si>
    <t>G01_INDI_018</t>
  </si>
  <si>
    <t>G00_INDI_019</t>
  </si>
  <si>
    <t>G01_INDI_019</t>
  </si>
  <si>
    <t>static_chart_options</t>
  </si>
  <si>
    <t>Bar</t>
  </si>
  <si>
    <t>Range</t>
  </si>
  <si>
    <t>cnt_Chart_Selector_1</t>
  </si>
  <si>
    <t>AverageScore</t>
  </si>
  <si>
    <t>ALL COUNTRY AVERAGE</t>
  </si>
  <si>
    <t>SELECT CHART TYPE</t>
  </si>
  <si>
    <t>auto_ss_depth_3_or_below</t>
  </si>
  <si>
    <t>High Level, depth&lt;=3 (excl bg)</t>
  </si>
  <si>
    <t>cnt_IFG_Measure</t>
  </si>
  <si>
    <t>[ALL MESURES DEPTH 3 AND BELOW]</t>
  </si>
  <si>
    <t>SELECTED_SERIES_IFG_DD</t>
  </si>
  <si>
    <t>SELECTED_SERIES_IFG_ID</t>
  </si>
  <si>
    <t>SELECTED_SERIES_IFG_UID</t>
  </si>
  <si>
    <t>SELECTED_SERIES_IFG_HAS_DATA</t>
  </si>
  <si>
    <t>SELECTED_SERIES_IFG_IS_NON_SCORING</t>
  </si>
  <si>
    <t>SELECTED_SERIES_IFG_DEPTH</t>
  </si>
  <si>
    <t>SELECTED_SERIES_IFG_POLARITY</t>
  </si>
  <si>
    <t>SELECTED_SERIES_IFG_DATA_CHANGE_METRIC</t>
  </si>
  <si>
    <t>SELECTED_SERIES_IFG_PARENT</t>
  </si>
  <si>
    <t>SELECTED_SERIES_IFG_QUESTION</t>
  </si>
  <si>
    <t>SELECTED_SERIES_IFG_NAME</t>
  </si>
  <si>
    <t>SELECTED_SERIES_IFG_NUMBER_AND_DESCRIPTION</t>
  </si>
  <si>
    <t>SELECTED_SERIES_IFG_VERBOSE_DESCRIPTION</t>
  </si>
  <si>
    <t>SELECTED_SERIES_IFG_SCORING_SYSTEM</t>
  </si>
  <si>
    <t>SELECTED_SERIES_IFG_RATIONALE</t>
  </si>
  <si>
    <t>SELECTED_SERIES_IFG_UNIT</t>
  </si>
  <si>
    <t>SELECTED_SERIES_IFG_NUMBER_FORMAT</t>
  </si>
  <si>
    <t>SELECTED_SERIES_IFG_IS_MULTIPLE_CHOICE</t>
  </si>
  <si>
    <t>SELECTED_SERIES_IFG_MAXIMUM</t>
  </si>
  <si>
    <t>SELECTED_SERIES_IFG_POLARITY_ID</t>
  </si>
  <si>
    <t>SELECTED_SERIES_IFG_POLARITY_ID_ADJUST</t>
  </si>
  <si>
    <t>SELECTED_SERIES_IFG_DATA_DISPLAY_DP</t>
  </si>
  <si>
    <t>SELECTED_SERIES_IFG_MAX_ALLOWED</t>
  </si>
  <si>
    <t>SELECTED_SERIES_IFG_IS_SEPARATOR</t>
  </si>
  <si>
    <t>SELECTED_SERIES_IFG_MULTIPLE_CHOICE_QUESTION</t>
  </si>
  <si>
    <t>SELECT MEASURE</t>
  </si>
  <si>
    <t>country_compare</t>
  </si>
  <si>
    <t>1;7;</t>
  </si>
  <si>
    <t>COUNTRY_1</t>
  </si>
  <si>
    <t>COUNTRY_2</t>
  </si>
  <si>
    <t>cnt_Country_Or_Average</t>
  </si>
  <si>
    <t>COUNTRY_OR_AVG_ID</t>
  </si>
  <si>
    <t>COUNTRY_OR_AVG_ISO3</t>
  </si>
  <si>
    <t>COUNTRY_OR_AVG_NAME</t>
  </si>
  <si>
    <t>COUNTRY_OR_AVG_IS_AVG</t>
  </si>
  <si>
    <t>man_country_or_average</t>
  </si>
  <si>
    <t>COUNTRY_OR_AVG_DD</t>
  </si>
  <si>
    <t>Will be 31 for average</t>
  </si>
  <si>
    <t>C1_DATAROW</t>
  </si>
  <si>
    <t>C2_DATAROW</t>
  </si>
  <si>
    <t>DATAROW</t>
  </si>
  <si>
    <t>MIN</t>
  </si>
  <si>
    <t>MAX</t>
  </si>
  <si>
    <t>{ANCHOR_COMP_CHARTS}</t>
  </si>
  <si>
    <t>All Measures</t>
  </si>
  <si>
    <t>1;8;</t>
  </si>
  <si>
    <t>all_measures</t>
  </si>
  <si>
    <t>All_Measures</t>
  </si>
  <si>
    <t>static_compare_detail</t>
  </si>
  <si>
    <t>cnt_Compare_Detail</t>
  </si>
  <si>
    <t>DETAIL</t>
  </si>
  <si>
    <t>Scores</t>
  </si>
  <si>
    <t>|</t>
  </si>
  <si>
    <t>IFG_DESCRIPTION</t>
  </si>
  <si>
    <t>G</t>
  </si>
  <si>
    <t>GROUP_FILTER</t>
  </si>
  <si>
    <t>Economist Impact (default)</t>
  </si>
  <si>
    <t>{ANCHOR_DATA_YEAR}</t>
  </si>
  <si>
    <t>e = Estimated data point</t>
  </si>
  <si>
    <t>xls</t>
  </si>
  <si>
    <t>ScatterPlot</t>
  </si>
  <si>
    <t>BG</t>
  </si>
  <si>
    <t>BG01</t>
  </si>
  <si>
    <t>upd_Group_Classification</t>
  </si>
  <si>
    <t>GROUP CLASSIFICATION</t>
  </si>
  <si>
    <t>NEW_ENTITY_CODE</t>
  </si>
  <si>
    <t>COUNTRY_OR_AVG_ENTITY_CODE</t>
  </si>
  <si>
    <t>cnt_Country_Or_Average_2</t>
  </si>
  <si>
    <t>COUNTRY_OR_AVG_2_DD</t>
  </si>
  <si>
    <t>COUNTRY_OR_AVG_2_IS_AVG</t>
  </si>
  <si>
    <t>COUNTRY_OR_AVG_2_ID</t>
  </si>
  <si>
    <t>COUNTRY_OR_AVG_2_ISO3</t>
  </si>
  <si>
    <t>COUNTRY_OR_AVG_2_NAME</t>
  </si>
  <si>
    <t>COUNTRY_OR_AVG_2_ENTITY_CODE</t>
  </si>
  <si>
    <t>sectors</t>
  </si>
  <si>
    <t>Sectors</t>
  </si>
  <si>
    <t>cnt_Sector</t>
  </si>
  <si>
    <t>1;9;</t>
  </si>
  <si>
    <t>Ranked tables showing relevant indicators grouped by sector.</t>
  </si>
  <si>
    <t>View weight profiles and edit or create a custom weight profile.</t>
  </si>
  <si>
    <t>Custom weight profile#1</t>
  </si>
  <si>
    <t>Custom weight profile. Click "Edit" to design your own weight profile.</t>
  </si>
  <si>
    <t>INDI_IS_SPECIAL</t>
  </si>
  <si>
    <t>To create your own weight profile, select any custom weight profile from the dropdown above and click "Edit" button.</t>
  </si>
  <si>
    <t>Normalised scores 0-100</t>
  </si>
  <si>
    <t>Underlying data</t>
  </si>
  <si>
    <t>Z-scores</t>
  </si>
  <si>
    <t>MAX_ABS_Y</t>
  </si>
  <si>
    <t>MAX_ABS_X</t>
  </si>
  <si>
    <t>SELECTED_SERIES_X_IS_SEPARATOR</t>
  </si>
  <si>
    <t>SELECTED_SERIES_Y_IS_SEPARATOR</t>
  </si>
  <si>
    <t>SCATTER_Y_IS_NEUTRAL</t>
  </si>
  <si>
    <t>SCATTER_Y_SERIES_CODE</t>
  </si>
  <si>
    <t>SCATTER_X_SERIES_CODE</t>
  </si>
  <si>
    <t>about</t>
  </si>
  <si>
    <t>About the barometer</t>
  </si>
  <si>
    <t>INDI_006</t>
  </si>
  <si>
    <t>INDI_010</t>
  </si>
  <si>
    <t>G00_INDI_006</t>
  </si>
  <si>
    <t>G01_INDI_006</t>
  </si>
  <si>
    <t>PILLAR_001</t>
  </si>
  <si>
    <t>PILLAR_002</t>
  </si>
  <si>
    <t>XX_{ANCHOR_RANKINGS_TABLE}</t>
  </si>
  <si>
    <t>PROJECT_ENTITY_NAME</t>
  </si>
  <si>
    <t>PROJECT_ENTITY_PLURAL</t>
  </si>
  <si>
    <t>G02</t>
  </si>
  <si>
    <t>G02_OVERALL</t>
  </si>
  <si>
    <t>G02_INDI_001</t>
  </si>
  <si>
    <t>G02_INDI_002</t>
  </si>
  <si>
    <t>G02_INDI_003</t>
  </si>
  <si>
    <t>G02_INDI_004</t>
  </si>
  <si>
    <t>G02_INDI_005</t>
  </si>
  <si>
    <t>G02_INDI_006</t>
  </si>
  <si>
    <t>G02_INDI_007</t>
  </si>
  <si>
    <t>G02_INDI_008</t>
  </si>
  <si>
    <t>G02_INDI_009</t>
  </si>
  <si>
    <t>G02_INDI_011</t>
  </si>
  <si>
    <t>G02_INDI_012</t>
  </si>
  <si>
    <t>G02_INDI_013</t>
  </si>
  <si>
    <t>G02_INDI_014</t>
  </si>
  <si>
    <t>G02_INDI_015</t>
  </si>
  <si>
    <t>G02_INDI_016</t>
  </si>
  <si>
    <t>G02_INDI_017</t>
  </si>
  <si>
    <t>G02_INDI_018</t>
  </si>
  <si>
    <t>G02_INDI_019</t>
  </si>
  <si>
    <t>PROJECT_DEPTH_OVERVIEW_LEVEL</t>
  </si>
  <si>
    <t>auto_ss_Overview</t>
  </si>
  <si>
    <t>cnt_SeriesOverview</t>
  </si>
  <si>
    <t>SELECTED_SERIES_OVERVIEW_ID</t>
  </si>
  <si>
    <t>[SERIES - HIGH LEVEL]</t>
  </si>
  <si>
    <t>[SERIES -OVERVIEW]</t>
  </si>
  <si>
    <t>SELECTED_SERIES_OVERVIEW_DD</t>
  </si>
  <si>
    <t>SELECTED_SERIES_OVERVIEW_UID</t>
  </si>
  <si>
    <t>SELECTED_SERIES_OVERVIEW_HAS_DATA</t>
  </si>
  <si>
    <t>SELECTED_SERIES_OVERVIEW_IS_NON_SCORING</t>
  </si>
  <si>
    <t>SELECTED_SERIES_OVERVIEW_DEPTH</t>
  </si>
  <si>
    <t>SELECTED_SERIES_OVERVIEW_POLARITY</t>
  </si>
  <si>
    <t>SELECTED_SERIES_OVERVIEW_DATA_CHANGE_METRIC</t>
  </si>
  <si>
    <t>SELECTED_SERIES_OVERVIEW_PARENT</t>
  </si>
  <si>
    <t>SELECTED_SERIES_OVERVIEW_QUESTION</t>
  </si>
  <si>
    <t>SELECTED_SERIES_OVERVIEW_NAME</t>
  </si>
  <si>
    <t>SELECTED_SERIES_OVERVIEW_NUMBER_AND_DESCRIPTION</t>
  </si>
  <si>
    <t>SELECTED_SERIES_OVERVIEW_VERBOSE_DESCRIPTION</t>
  </si>
  <si>
    <t>SELECTED_SERIES_OVERVIEW_SCORING_SYSTEM</t>
  </si>
  <si>
    <t>SELECTED_SERIES_OVERVIEW_RATIONALE</t>
  </si>
  <si>
    <t>SELECTED_SERIES_OVERVIEW_UNIT</t>
  </si>
  <si>
    <t>SELECTED_SERIES_OVERVIEW_NUMBER_FORMAT</t>
  </si>
  <si>
    <t>SELECTED_SERIES_OVERVIEW_IS_MULTIPLE_CHOICE</t>
  </si>
  <si>
    <t>SELECTED_SERIES_OVERVIEW_MAXIMUM</t>
  </si>
  <si>
    <t>SELECTED_SERIES_OVERVIEW_POLARITY_ID</t>
  </si>
  <si>
    <t>SELECTED_SERIES_OVERVIEW_POLARITY_ID_ADJUST</t>
  </si>
  <si>
    <t>SELECTED_SERIES_OVERVIEW_DATA_DISPLAY_DP</t>
  </si>
  <si>
    <t>SELECTED_SERIES_OVERVIEW_MAX_ALLOWED</t>
  </si>
  <si>
    <t>EVEN_BREAK_THRESHOLD_6</t>
  </si>
  <si>
    <t>EVEN_BREAK_THRESHOLD_7</t>
  </si>
  <si>
    <t>EVEN_BREAK_LABEL_6</t>
  </si>
  <si>
    <t>EVEN_BREAK_LABEL_7</t>
  </si>
  <si>
    <t>PROJECT_EVEN_BREAK_LABEL_6</t>
  </si>
  <si>
    <t>PROJECT_EVEN_BREAK_LABEL_7</t>
  </si>
  <si>
    <t>PROJECT_ENTITY_LIST_SEPARATOR</t>
  </si>
  <si>
    <t xml:space="preserve"> • </t>
  </si>
  <si>
    <t>Sort Value (Filter)</t>
  </si>
  <si>
    <t>Sort Value No Errors</t>
  </si>
  <si>
    <t>ALLOW_GROUP_FILTER</t>
  </si>
  <si>
    <t>{ANCHOR_COUNTRY_GROUPS}</t>
  </si>
  <si>
    <t>{ANCHOR_COUNTRY_GROUPS_TARGET}</t>
  </si>
  <si>
    <t>DEPTH 2</t>
  </si>
  <si>
    <t>auto_ss_depth_3</t>
  </si>
  <si>
    <t>High Level, depth=3 (excl bg)</t>
  </si>
  <si>
    <t>DEPTH 3</t>
  </si>
  <si>
    <t>Sub-indicator scores, grouped by classification</t>
  </si>
  <si>
    <t>Justification</t>
  </si>
  <si>
    <t>DATA_VALUE</t>
  </si>
  <si>
    <t>MULTIPLE_CHOICE_ANSWER</t>
  </si>
  <si>
    <t>CUSTOM_UNIT</t>
  </si>
  <si>
    <t>SERIES_NAME</t>
  </si>
  <si>
    <t>CUSTOM_SERIES_NAME</t>
  </si>
  <si>
    <t>REFERENCES</t>
  </si>
  <si>
    <t>CLASSIFICATION</t>
  </si>
  <si>
    <t>CUSTOM_ANSWER</t>
  </si>
  <si>
    <t>SHOW_REFERENCES</t>
  </si>
  <si>
    <t>static_show_references</t>
  </si>
  <si>
    <t>Don't show references</t>
  </si>
  <si>
    <t>Show references</t>
  </si>
  <si>
    <t>cnt_ShowReferences</t>
  </si>
  <si>
    <t>SHOW REFERENCES</t>
  </si>
  <si>
    <t>cnt_CatMultiples;cnt_Sort_Order_1;cnt_GroupHighlight;cnt_CountryFltHighlight</t>
  </si>
  <si>
    <t>cnt_SeriesAll;cnt_GroupHighlight;cnt_CountryFltHighlight</t>
  </si>
  <si>
    <t>cnt_SeriesScatterX;cnt_SeriesScatterY;cnt_Scatter_Data_Option;cnt_GroupHighlight;cnt_CountryFltHighlight</t>
  </si>
  <si>
    <t>cnt_WeightProfile;cnt_WeightsDepth</t>
  </si>
  <si>
    <t>Scorecards</t>
  </si>
  <si>
    <t>Double click any measure to view definition and rankings</t>
  </si>
  <si>
    <t>Sub-indicator (Full detail)</t>
  </si>
  <si>
    <t>COUNTRY_SELECTION_ID</t>
  </si>
  <si>
    <t>G03</t>
  </si>
  <si>
    <t>G04</t>
  </si>
  <si>
    <t>G03_OVERALL</t>
  </si>
  <si>
    <t>G04_OVERALL</t>
  </si>
  <si>
    <t>G03_INDI_001</t>
  </si>
  <si>
    <t>G04_INDI_001</t>
  </si>
  <si>
    <t>G03_INDI_002</t>
  </si>
  <si>
    <t>G04_INDI_002</t>
  </si>
  <si>
    <t>G03_INDI_003</t>
  </si>
  <si>
    <t>G04_INDI_003</t>
  </si>
  <si>
    <t>G03_INDI_004</t>
  </si>
  <si>
    <t>G04_INDI_004</t>
  </si>
  <si>
    <t>G03_INDI_005</t>
  </si>
  <si>
    <t>G04_INDI_005</t>
  </si>
  <si>
    <t>G03_INDI_006</t>
  </si>
  <si>
    <t>G04_INDI_006</t>
  </si>
  <si>
    <t>G03_INDI_007</t>
  </si>
  <si>
    <t>G04_INDI_007</t>
  </si>
  <si>
    <t>G03_INDI_008</t>
  </si>
  <si>
    <t>G04_INDI_008</t>
  </si>
  <si>
    <t>G03_INDI_009</t>
  </si>
  <si>
    <t>G04_INDI_009</t>
  </si>
  <si>
    <t>G03_INDI_011</t>
  </si>
  <si>
    <t>G04_INDI_011</t>
  </si>
  <si>
    <t>G03_INDI_012</t>
  </si>
  <si>
    <t>G04_INDI_012</t>
  </si>
  <si>
    <t>G03_INDI_013</t>
  </si>
  <si>
    <t>G04_INDI_013</t>
  </si>
  <si>
    <t>G03_INDI_014</t>
  </si>
  <si>
    <t>G04_INDI_014</t>
  </si>
  <si>
    <t>G03_INDI_015</t>
  </si>
  <si>
    <t>G04_INDI_015</t>
  </si>
  <si>
    <t>G03_INDI_016</t>
  </si>
  <si>
    <t>G04_INDI_016</t>
  </si>
  <si>
    <t>G03_INDI_017</t>
  </si>
  <si>
    <t>G04_INDI_017</t>
  </si>
  <si>
    <t>G03_INDI_018</t>
  </si>
  <si>
    <t>G04_INDI_018</t>
  </si>
  <si>
    <t>G03_INDI_019</t>
  </si>
  <si>
    <t>G04_INDI_019</t>
  </si>
  <si>
    <t>AVERAGE</t>
  </si>
  <si>
    <t>AVERAGE (3dp)</t>
  </si>
  <si>
    <t>geographic</t>
  </si>
  <si>
    <t>static_classification_scheme</t>
  </si>
  <si>
    <t>Even breaks</t>
  </si>
  <si>
    <t>cnt_ClassificationScheme</t>
  </si>
  <si>
    <t>PROJECT_CLASSIFICATION_THRESHOLD_0</t>
  </si>
  <si>
    <t>PROJECT_CLASSIFICATION_THRESHOLD_1</t>
  </si>
  <si>
    <t>PROJECT_CLASSIFICATION_THRESHOLD_2</t>
  </si>
  <si>
    <t>PROJECT_CLASSIFICATION_THRESHOLD_3</t>
  </si>
  <si>
    <t>PROJECT_CLASSIFICATION_THRESHOLD_4</t>
  </si>
  <si>
    <t>PROJECT_CLASSIFICATION_THRESHOLD_5</t>
  </si>
  <si>
    <t>PROJECT_CLASSIFICATION_THRESHOLD_6</t>
  </si>
  <si>
    <t>PROJECT_CLASSIFICATION_THRESHOLD_7</t>
  </si>
  <si>
    <t>ACTIVE_BREAK_THRESHOLD_0</t>
  </si>
  <si>
    <t>ACTIVE_BREAK_THRESHOLD_1</t>
  </si>
  <si>
    <t>ACTIVE_BREAK_THRESHOLD_2</t>
  </si>
  <si>
    <t>ACTIVE_BREAK_THRESHOLD_3</t>
  </si>
  <si>
    <t>ACTIVE_BREAK_THRESHOLD_4</t>
  </si>
  <si>
    <t>ACTIVE_BREAK_THRESHOLD_5</t>
  </si>
  <si>
    <t>ACTIVE_BREAK_THRESHOLD_6</t>
  </si>
  <si>
    <t>ACTIVE_BREAK_THRESHOLD_7</t>
  </si>
  <si>
    <t>{STATE_STATUS_BEACON}</t>
  </si>
  <si>
    <t>US grading system</t>
  </si>
  <si>
    <t>city</t>
  </si>
  <si>
    <t>cities</t>
  </si>
  <si>
    <t>BKK</t>
  </si>
  <si>
    <t>Bangkok</t>
  </si>
  <si>
    <t>Bangkok, Thailand</t>
  </si>
  <si>
    <t>DAC</t>
  </si>
  <si>
    <t>Dhaka</t>
  </si>
  <si>
    <t>Dhaka, Bangladesh</t>
  </si>
  <si>
    <t>HKG</t>
  </si>
  <si>
    <t>Hong Kong</t>
  </si>
  <si>
    <t>JKT</t>
  </si>
  <si>
    <t>Jakarta</t>
  </si>
  <si>
    <t>MEL</t>
  </si>
  <si>
    <t>Melbourne</t>
  </si>
  <si>
    <t>Melbourne, Australia</t>
  </si>
  <si>
    <t>SGH</t>
  </si>
  <si>
    <t>Shanghai</t>
  </si>
  <si>
    <t>Shanghai, China</t>
  </si>
  <si>
    <t>SIN</t>
  </si>
  <si>
    <t>Singapore</t>
  </si>
  <si>
    <t>TYO</t>
  </si>
  <si>
    <t>Tokyo</t>
  </si>
  <si>
    <t>Americas</t>
  </si>
  <si>
    <t>NYC</t>
  </si>
  <si>
    <t>MEX</t>
  </si>
  <si>
    <t>Mexico City</t>
  </si>
  <si>
    <t>Mexico City, Mexico</t>
  </si>
  <si>
    <t>SPF</t>
  </si>
  <si>
    <t>IST</t>
  </si>
  <si>
    <t>Istanbul</t>
  </si>
  <si>
    <t>Istanbul, Turkey</t>
  </si>
  <si>
    <t>London</t>
  </si>
  <si>
    <t>Cairo</t>
  </si>
  <si>
    <t>Cairo, Egypt</t>
  </si>
  <si>
    <t>DXB</t>
  </si>
  <si>
    <t>Dubai</t>
  </si>
  <si>
    <t>Lagos</t>
  </si>
  <si>
    <t>Lagos, Nigeria</t>
  </si>
  <si>
    <t>DOMAIN_001</t>
  </si>
  <si>
    <t>SUBINDI_001</t>
  </si>
  <si>
    <t>SUBINDI_002</t>
  </si>
  <si>
    <t>SUBINDI_003</t>
  </si>
  <si>
    <t>SUBINDI_004</t>
  </si>
  <si>
    <t>SUBINDI_005</t>
  </si>
  <si>
    <t>SUBINDI_006</t>
  </si>
  <si>
    <t>SUBINDI_007</t>
  </si>
  <si>
    <t>SUBINDI_008</t>
  </si>
  <si>
    <t>SUBINDI_009</t>
  </si>
  <si>
    <t>SUBINDI_010</t>
  </si>
  <si>
    <t>SUBINDI_011</t>
  </si>
  <si>
    <t>DOMAIN_002</t>
  </si>
  <si>
    <t>SUBINDI_012</t>
  </si>
  <si>
    <t>SUBINDI_013</t>
  </si>
  <si>
    <t>SUBINDI_014</t>
  </si>
  <si>
    <t>SUBINDI_016</t>
  </si>
  <si>
    <t>SUBINDI_018</t>
  </si>
  <si>
    <t>SUBINDI_019</t>
  </si>
  <si>
    <t>SUBINDI_020</t>
  </si>
  <si>
    <t>SUBINDI_021</t>
  </si>
  <si>
    <t>SUBINDI_022</t>
  </si>
  <si>
    <t>SUBINDI_023</t>
  </si>
  <si>
    <t>SUBINDI_024</t>
  </si>
  <si>
    <t>SUBINDI_025</t>
  </si>
  <si>
    <t>SUBINDI_026</t>
  </si>
  <si>
    <t>DOMAIN_003</t>
  </si>
  <si>
    <t>DOMAIN_004</t>
  </si>
  <si>
    <t>Air quality</t>
  </si>
  <si>
    <t>Overview Level, depth&lt;=2 (excl bg)</t>
  </si>
  <si>
    <t>High Level, depth&lt;=2 (excl bg)</t>
  </si>
  <si>
    <t>BKK_OVERALL</t>
  </si>
  <si>
    <t>DAC_OVERALL</t>
  </si>
  <si>
    <t>HKG_OVERALL</t>
  </si>
  <si>
    <t>JKT_OVERALL</t>
  </si>
  <si>
    <t>MEL_OVERALL</t>
  </si>
  <si>
    <t>SGH_OVERALL</t>
  </si>
  <si>
    <t>SIN_OVERALL</t>
  </si>
  <si>
    <t>TYO_OVERALL</t>
  </si>
  <si>
    <t>MEX_OVERALL</t>
  </si>
  <si>
    <t>IST_OVERALL</t>
  </si>
  <si>
    <t>DXB_OVERALL</t>
  </si>
  <si>
    <t>BKK_DOMAIN_001</t>
  </si>
  <si>
    <t>DAC_DOMAIN_001</t>
  </si>
  <si>
    <t>HKG_DOMAIN_001</t>
  </si>
  <si>
    <t>JKT_DOMAIN_001</t>
  </si>
  <si>
    <t>MEL_DOMAIN_001</t>
  </si>
  <si>
    <t>SGH_DOMAIN_001</t>
  </si>
  <si>
    <t>SIN_DOMAIN_001</t>
  </si>
  <si>
    <t>TYO_DOMAIN_001</t>
  </si>
  <si>
    <t>MEX_DOMAIN_001</t>
  </si>
  <si>
    <t>IST_DOMAIN_001</t>
  </si>
  <si>
    <t>DXB_DOMAIN_001</t>
  </si>
  <si>
    <t>G00_DOMAIN_001</t>
  </si>
  <si>
    <t>G01_DOMAIN_001</t>
  </si>
  <si>
    <t>G02_DOMAIN_001</t>
  </si>
  <si>
    <t>G03_DOMAIN_001</t>
  </si>
  <si>
    <t>G04_DOMAIN_001</t>
  </si>
  <si>
    <t>BKK_INDI_001</t>
  </si>
  <si>
    <t>DAC_INDI_001</t>
  </si>
  <si>
    <t>HKG_INDI_001</t>
  </si>
  <si>
    <t>JKT_INDI_001</t>
  </si>
  <si>
    <t>MEL_INDI_001</t>
  </si>
  <si>
    <t>SGH_INDI_001</t>
  </si>
  <si>
    <t>SIN_INDI_001</t>
  </si>
  <si>
    <t>TYO_INDI_001</t>
  </si>
  <si>
    <t>MEX_INDI_001</t>
  </si>
  <si>
    <t>IST_INDI_001</t>
  </si>
  <si>
    <t>DXB_INDI_001</t>
  </si>
  <si>
    <t>BKK_SUBINDI_001</t>
  </si>
  <si>
    <t>DAC_SUBINDI_001</t>
  </si>
  <si>
    <t>HKG_SUBINDI_001</t>
  </si>
  <si>
    <t>JKT_SUBINDI_001</t>
  </si>
  <si>
    <t>MEL_SUBINDI_001</t>
  </si>
  <si>
    <t>SGH_SUBINDI_001</t>
  </si>
  <si>
    <t>SIN_SUBINDI_001</t>
  </si>
  <si>
    <t>TYO_SUBINDI_001</t>
  </si>
  <si>
    <t>MEX_SUBINDI_001</t>
  </si>
  <si>
    <t>IST_SUBINDI_001</t>
  </si>
  <si>
    <t>DXB_SUBINDI_001</t>
  </si>
  <si>
    <t>G00_SUBINDI_001</t>
  </si>
  <si>
    <t>G01_SUBINDI_001</t>
  </si>
  <si>
    <t>G02_SUBINDI_001</t>
  </si>
  <si>
    <t>G03_SUBINDI_001</t>
  </si>
  <si>
    <t>G04_SUBINDI_001</t>
  </si>
  <si>
    <t>BKK_SUBINDI_002</t>
  </si>
  <si>
    <t>DAC_SUBINDI_002</t>
  </si>
  <si>
    <t>HKG_SUBINDI_002</t>
  </si>
  <si>
    <t>JKT_SUBINDI_002</t>
  </si>
  <si>
    <t>MEL_SUBINDI_002</t>
  </si>
  <si>
    <t>SGH_SUBINDI_002</t>
  </si>
  <si>
    <t>SIN_SUBINDI_002</t>
  </si>
  <si>
    <t>TYO_SUBINDI_002</t>
  </si>
  <si>
    <t>MEX_SUBINDI_002</t>
  </si>
  <si>
    <t>IST_SUBINDI_002</t>
  </si>
  <si>
    <t>DXB_SUBINDI_002</t>
  </si>
  <si>
    <t>G00_SUBINDI_002</t>
  </si>
  <si>
    <t>G01_SUBINDI_002</t>
  </si>
  <si>
    <t>G02_SUBINDI_002</t>
  </si>
  <si>
    <t>G03_SUBINDI_002</t>
  </si>
  <si>
    <t>G04_SUBINDI_002</t>
  </si>
  <si>
    <t>BKK_INDI_002</t>
  </si>
  <si>
    <t>DAC_INDI_002</t>
  </si>
  <si>
    <t>HKG_INDI_002</t>
  </si>
  <si>
    <t>JKT_INDI_002</t>
  </si>
  <si>
    <t>MEL_INDI_002</t>
  </si>
  <si>
    <t>SGH_INDI_002</t>
  </si>
  <si>
    <t>SIN_INDI_002</t>
  </si>
  <si>
    <t>TYO_INDI_002</t>
  </si>
  <si>
    <t>MEX_INDI_002</t>
  </si>
  <si>
    <t>IST_INDI_002</t>
  </si>
  <si>
    <t>DXB_INDI_002</t>
  </si>
  <si>
    <t>BKK_SUBINDI_003</t>
  </si>
  <si>
    <t>DAC_SUBINDI_003</t>
  </si>
  <si>
    <t>HKG_SUBINDI_003</t>
  </si>
  <si>
    <t>JKT_SUBINDI_003</t>
  </si>
  <si>
    <t>MEL_SUBINDI_003</t>
  </si>
  <si>
    <t>SGH_SUBINDI_003</t>
  </si>
  <si>
    <t>SIN_SUBINDI_003</t>
  </si>
  <si>
    <t>TYO_SUBINDI_003</t>
  </si>
  <si>
    <t>MEX_SUBINDI_003</t>
  </si>
  <si>
    <t>IST_SUBINDI_003</t>
  </si>
  <si>
    <t>DXB_SUBINDI_003</t>
  </si>
  <si>
    <t>G00_SUBINDI_003</t>
  </si>
  <si>
    <t>G01_SUBINDI_003</t>
  </si>
  <si>
    <t>G02_SUBINDI_003</t>
  </si>
  <si>
    <t>G03_SUBINDI_003</t>
  </si>
  <si>
    <t>G04_SUBINDI_003</t>
  </si>
  <si>
    <t>BKK_SUBINDI_004</t>
  </si>
  <si>
    <t>DAC_SUBINDI_004</t>
  </si>
  <si>
    <t>HKG_SUBINDI_004</t>
  </si>
  <si>
    <t>JKT_SUBINDI_004</t>
  </si>
  <si>
    <t>MEL_SUBINDI_004</t>
  </si>
  <si>
    <t>SGH_SUBINDI_004</t>
  </si>
  <si>
    <t>SIN_SUBINDI_004</t>
  </si>
  <si>
    <t>TYO_SUBINDI_004</t>
  </si>
  <si>
    <t>MEX_SUBINDI_004</t>
  </si>
  <si>
    <t>IST_SUBINDI_004</t>
  </si>
  <si>
    <t>DXB_SUBINDI_004</t>
  </si>
  <si>
    <t>G00_SUBINDI_004</t>
  </si>
  <si>
    <t>G01_SUBINDI_004</t>
  </si>
  <si>
    <t>G02_SUBINDI_004</t>
  </si>
  <si>
    <t>G03_SUBINDI_004</t>
  </si>
  <si>
    <t>G04_SUBINDI_004</t>
  </si>
  <si>
    <t>BKK_SUBINDI_005</t>
  </si>
  <si>
    <t>DAC_SUBINDI_005</t>
  </si>
  <si>
    <t>HKG_SUBINDI_005</t>
  </si>
  <si>
    <t>JKT_SUBINDI_005</t>
  </si>
  <si>
    <t>MEL_SUBINDI_005</t>
  </si>
  <si>
    <t>SGH_SUBINDI_005</t>
  </si>
  <si>
    <t>SIN_SUBINDI_005</t>
  </si>
  <si>
    <t>TYO_SUBINDI_005</t>
  </si>
  <si>
    <t>MEX_SUBINDI_005</t>
  </si>
  <si>
    <t>IST_SUBINDI_005</t>
  </si>
  <si>
    <t>DXB_SUBINDI_005</t>
  </si>
  <si>
    <t>G00_SUBINDI_005</t>
  </si>
  <si>
    <t>G01_SUBINDI_005</t>
  </si>
  <si>
    <t>G02_SUBINDI_005</t>
  </si>
  <si>
    <t>G03_SUBINDI_005</t>
  </si>
  <si>
    <t>G04_SUBINDI_005</t>
  </si>
  <si>
    <t>BKK_INDI_003</t>
  </si>
  <si>
    <t>DAC_INDI_003</t>
  </si>
  <si>
    <t>HKG_INDI_003</t>
  </si>
  <si>
    <t>JKT_INDI_003</t>
  </si>
  <si>
    <t>MEL_INDI_003</t>
  </si>
  <si>
    <t>SGH_INDI_003</t>
  </si>
  <si>
    <t>SIN_INDI_003</t>
  </si>
  <si>
    <t>TYO_INDI_003</t>
  </si>
  <si>
    <t>MEX_INDI_003</t>
  </si>
  <si>
    <t>IST_INDI_003</t>
  </si>
  <si>
    <t>DXB_INDI_003</t>
  </si>
  <si>
    <t>BKK_SUBINDI_006</t>
  </si>
  <si>
    <t>DAC_SUBINDI_006</t>
  </si>
  <si>
    <t>HKG_SUBINDI_006</t>
  </si>
  <si>
    <t>JKT_SUBINDI_006</t>
  </si>
  <si>
    <t>MEL_SUBINDI_006</t>
  </si>
  <si>
    <t>SGH_SUBINDI_006</t>
  </si>
  <si>
    <t>SIN_SUBINDI_006</t>
  </si>
  <si>
    <t>TYO_SUBINDI_006</t>
  </si>
  <si>
    <t>MEX_SUBINDI_006</t>
  </si>
  <si>
    <t>IST_SUBINDI_006</t>
  </si>
  <si>
    <t>DXB_SUBINDI_006</t>
  </si>
  <si>
    <t>G00_SUBINDI_006</t>
  </si>
  <si>
    <t>G01_SUBINDI_006</t>
  </si>
  <si>
    <t>G02_SUBINDI_006</t>
  </si>
  <si>
    <t>G03_SUBINDI_006</t>
  </si>
  <si>
    <t>G04_SUBINDI_006</t>
  </si>
  <si>
    <t>BKK_SUBINDI_007</t>
  </si>
  <si>
    <t>DAC_SUBINDI_007</t>
  </si>
  <si>
    <t>HKG_SUBINDI_007</t>
  </si>
  <si>
    <t>JKT_SUBINDI_007</t>
  </si>
  <si>
    <t>MEL_SUBINDI_007</t>
  </si>
  <si>
    <t>SGH_SUBINDI_007</t>
  </si>
  <si>
    <t>SIN_SUBINDI_007</t>
  </si>
  <si>
    <t>TYO_SUBINDI_007</t>
  </si>
  <si>
    <t>MEX_SUBINDI_007</t>
  </si>
  <si>
    <t>IST_SUBINDI_007</t>
  </si>
  <si>
    <t>DXB_SUBINDI_007</t>
  </si>
  <si>
    <t>G00_SUBINDI_007</t>
  </si>
  <si>
    <t>G01_SUBINDI_007</t>
  </si>
  <si>
    <t>G02_SUBINDI_007</t>
  </si>
  <si>
    <t>G03_SUBINDI_007</t>
  </si>
  <si>
    <t>G04_SUBINDI_007</t>
  </si>
  <si>
    <t>BKK_SUBINDI_008</t>
  </si>
  <si>
    <t>DAC_SUBINDI_008</t>
  </si>
  <si>
    <t>HKG_SUBINDI_008</t>
  </si>
  <si>
    <t>JKT_SUBINDI_008</t>
  </si>
  <si>
    <t>MEL_SUBINDI_008</t>
  </si>
  <si>
    <t>SGH_SUBINDI_008</t>
  </si>
  <si>
    <t>SIN_SUBINDI_008</t>
  </si>
  <si>
    <t>TYO_SUBINDI_008</t>
  </si>
  <si>
    <t>MEX_SUBINDI_008</t>
  </si>
  <si>
    <t>IST_SUBINDI_008</t>
  </si>
  <si>
    <t>DXB_SUBINDI_008</t>
  </si>
  <si>
    <t>G00_SUBINDI_008</t>
  </si>
  <si>
    <t>G01_SUBINDI_008</t>
  </si>
  <si>
    <t>G02_SUBINDI_008</t>
  </si>
  <si>
    <t>G03_SUBINDI_008</t>
  </si>
  <si>
    <t>G04_SUBINDI_008</t>
  </si>
  <si>
    <t>BKK_INDI_004</t>
  </si>
  <si>
    <t>DAC_INDI_004</t>
  </si>
  <si>
    <t>HKG_INDI_004</t>
  </si>
  <si>
    <t>JKT_INDI_004</t>
  </si>
  <si>
    <t>MEL_INDI_004</t>
  </si>
  <si>
    <t>SGH_INDI_004</t>
  </si>
  <si>
    <t>SIN_INDI_004</t>
  </si>
  <si>
    <t>TYO_INDI_004</t>
  </si>
  <si>
    <t>MEX_INDI_004</t>
  </si>
  <si>
    <t>IST_INDI_004</t>
  </si>
  <si>
    <t>DXB_INDI_004</t>
  </si>
  <si>
    <t>BKK_SUBINDI_009</t>
  </si>
  <si>
    <t>DAC_SUBINDI_009</t>
  </si>
  <si>
    <t>HKG_SUBINDI_009</t>
  </si>
  <si>
    <t>JKT_SUBINDI_009</t>
  </si>
  <si>
    <t>MEL_SUBINDI_009</t>
  </si>
  <si>
    <t>SGH_SUBINDI_009</t>
  </si>
  <si>
    <t>SIN_SUBINDI_009</t>
  </si>
  <si>
    <t>TYO_SUBINDI_009</t>
  </si>
  <si>
    <t>MEX_SUBINDI_009</t>
  </si>
  <si>
    <t>IST_SUBINDI_009</t>
  </si>
  <si>
    <t>DXB_SUBINDI_009</t>
  </si>
  <si>
    <t>G00_SUBINDI_009</t>
  </si>
  <si>
    <t>G01_SUBINDI_009</t>
  </si>
  <si>
    <t>G02_SUBINDI_009</t>
  </si>
  <si>
    <t>G03_SUBINDI_009</t>
  </si>
  <si>
    <t>G04_SUBINDI_009</t>
  </si>
  <si>
    <t>BKK_INDI_005</t>
  </si>
  <si>
    <t>DAC_INDI_005</t>
  </si>
  <si>
    <t>HKG_INDI_005</t>
  </si>
  <si>
    <t>JKT_INDI_005</t>
  </si>
  <si>
    <t>MEL_INDI_005</t>
  </si>
  <si>
    <t>SGH_INDI_005</t>
  </si>
  <si>
    <t>SIN_INDI_005</t>
  </si>
  <si>
    <t>TYO_INDI_005</t>
  </si>
  <si>
    <t>MEX_INDI_005</t>
  </si>
  <si>
    <t>IST_INDI_005</t>
  </si>
  <si>
    <t>DXB_INDI_005</t>
  </si>
  <si>
    <t>BKK_SUBINDI_010</t>
  </si>
  <si>
    <t>DAC_SUBINDI_010</t>
  </si>
  <si>
    <t>HKG_SUBINDI_010</t>
  </si>
  <si>
    <t>JKT_SUBINDI_010</t>
  </si>
  <si>
    <t>MEL_SUBINDI_010</t>
  </si>
  <si>
    <t>SGH_SUBINDI_010</t>
  </si>
  <si>
    <t>SIN_SUBINDI_010</t>
  </si>
  <si>
    <t>TYO_SUBINDI_010</t>
  </si>
  <si>
    <t>MEX_SUBINDI_010</t>
  </si>
  <si>
    <t>IST_SUBINDI_010</t>
  </si>
  <si>
    <t>DXB_SUBINDI_010</t>
  </si>
  <si>
    <t>G00_SUBINDI_010</t>
  </si>
  <si>
    <t>G01_SUBINDI_010</t>
  </si>
  <si>
    <t>G02_SUBINDI_010</t>
  </si>
  <si>
    <t>G03_SUBINDI_010</t>
  </si>
  <si>
    <t>G04_SUBINDI_010</t>
  </si>
  <si>
    <t>BKK_SUBINDI_011</t>
  </si>
  <si>
    <t>DAC_SUBINDI_011</t>
  </si>
  <si>
    <t>HKG_SUBINDI_011</t>
  </si>
  <si>
    <t>JKT_SUBINDI_011</t>
  </si>
  <si>
    <t>MEL_SUBINDI_011</t>
  </si>
  <si>
    <t>SGH_SUBINDI_011</t>
  </si>
  <si>
    <t>SIN_SUBINDI_011</t>
  </si>
  <si>
    <t>TYO_SUBINDI_011</t>
  </si>
  <si>
    <t>MEX_SUBINDI_011</t>
  </si>
  <si>
    <t>IST_SUBINDI_011</t>
  </si>
  <si>
    <t>DXB_SUBINDI_011</t>
  </si>
  <si>
    <t>G00_SUBINDI_011</t>
  </si>
  <si>
    <t>G01_SUBINDI_011</t>
  </si>
  <si>
    <t>G02_SUBINDI_011</t>
  </si>
  <si>
    <t>G03_SUBINDI_011</t>
  </si>
  <si>
    <t>G04_SUBINDI_011</t>
  </si>
  <si>
    <t>BKK_DOMAIN_002</t>
  </si>
  <si>
    <t>DAC_DOMAIN_002</t>
  </si>
  <si>
    <t>HKG_DOMAIN_002</t>
  </si>
  <si>
    <t>JKT_DOMAIN_002</t>
  </si>
  <si>
    <t>MEL_DOMAIN_002</t>
  </si>
  <si>
    <t>SGH_DOMAIN_002</t>
  </si>
  <si>
    <t>SIN_DOMAIN_002</t>
  </si>
  <si>
    <t>TYO_DOMAIN_002</t>
  </si>
  <si>
    <t>MEX_DOMAIN_002</t>
  </si>
  <si>
    <t>IST_DOMAIN_002</t>
  </si>
  <si>
    <t>DXB_DOMAIN_002</t>
  </si>
  <si>
    <t>G00_DOMAIN_002</t>
  </si>
  <si>
    <t>G01_DOMAIN_002</t>
  </si>
  <si>
    <t>G02_DOMAIN_002</t>
  </si>
  <si>
    <t>G03_DOMAIN_002</t>
  </si>
  <si>
    <t>G04_DOMAIN_002</t>
  </si>
  <si>
    <t>BKK_INDI_006</t>
  </si>
  <si>
    <t>DAC_INDI_006</t>
  </si>
  <si>
    <t>HKG_INDI_006</t>
  </si>
  <si>
    <t>JKT_INDI_006</t>
  </si>
  <si>
    <t>MEL_INDI_006</t>
  </si>
  <si>
    <t>SGH_INDI_006</t>
  </si>
  <si>
    <t>SIN_INDI_006</t>
  </si>
  <si>
    <t>TYO_INDI_006</t>
  </si>
  <si>
    <t>MEX_INDI_006</t>
  </si>
  <si>
    <t>IST_INDI_006</t>
  </si>
  <si>
    <t>DXB_INDI_006</t>
  </si>
  <si>
    <t>BKK_SUBINDI_012</t>
  </si>
  <si>
    <t>DAC_SUBINDI_012</t>
  </si>
  <si>
    <t>HKG_SUBINDI_012</t>
  </si>
  <si>
    <t>JKT_SUBINDI_012</t>
  </si>
  <si>
    <t>MEL_SUBINDI_012</t>
  </si>
  <si>
    <t>SGH_SUBINDI_012</t>
  </si>
  <si>
    <t>SIN_SUBINDI_012</t>
  </si>
  <si>
    <t>TYO_SUBINDI_012</t>
  </si>
  <si>
    <t>MEX_SUBINDI_012</t>
  </si>
  <si>
    <t>IST_SUBINDI_012</t>
  </si>
  <si>
    <t>DXB_SUBINDI_012</t>
  </si>
  <si>
    <t>G00_SUBINDI_012</t>
  </si>
  <si>
    <t>G01_SUBINDI_012</t>
  </si>
  <si>
    <t>G02_SUBINDI_012</t>
  </si>
  <si>
    <t>G03_SUBINDI_012</t>
  </si>
  <si>
    <t>G04_SUBINDI_012</t>
  </si>
  <si>
    <t>BKK_SUBINDI_013</t>
  </si>
  <si>
    <t>DAC_SUBINDI_013</t>
  </si>
  <si>
    <t>HKG_SUBINDI_013</t>
  </si>
  <si>
    <t>JKT_SUBINDI_013</t>
  </si>
  <si>
    <t>MEL_SUBINDI_013</t>
  </si>
  <si>
    <t>SGH_SUBINDI_013</t>
  </si>
  <si>
    <t>SIN_SUBINDI_013</t>
  </si>
  <si>
    <t>TYO_SUBINDI_013</t>
  </si>
  <si>
    <t>MEX_SUBINDI_013</t>
  </si>
  <si>
    <t>IST_SUBINDI_013</t>
  </si>
  <si>
    <t>DXB_SUBINDI_013</t>
  </si>
  <si>
    <t>G00_SUBINDI_013</t>
  </si>
  <si>
    <t>G01_SUBINDI_013</t>
  </si>
  <si>
    <t>G02_SUBINDI_013</t>
  </si>
  <si>
    <t>G03_SUBINDI_013</t>
  </si>
  <si>
    <t>G04_SUBINDI_013</t>
  </si>
  <si>
    <t>BKK_INDI_007</t>
  </si>
  <si>
    <t>DAC_INDI_007</t>
  </si>
  <si>
    <t>HKG_INDI_007</t>
  </si>
  <si>
    <t>JKT_INDI_007</t>
  </si>
  <si>
    <t>MEL_INDI_007</t>
  </si>
  <si>
    <t>SGH_INDI_007</t>
  </si>
  <si>
    <t>SIN_INDI_007</t>
  </si>
  <si>
    <t>TYO_INDI_007</t>
  </si>
  <si>
    <t>MEX_INDI_007</t>
  </si>
  <si>
    <t>IST_INDI_007</t>
  </si>
  <si>
    <t>DXB_INDI_007</t>
  </si>
  <si>
    <t>BKK_SUBINDI_014</t>
  </si>
  <si>
    <t>DAC_SUBINDI_014</t>
  </si>
  <si>
    <t>HKG_SUBINDI_014</t>
  </si>
  <si>
    <t>JKT_SUBINDI_014</t>
  </si>
  <si>
    <t>MEL_SUBINDI_014</t>
  </si>
  <si>
    <t>SGH_SUBINDI_014</t>
  </si>
  <si>
    <t>SIN_SUBINDI_014</t>
  </si>
  <si>
    <t>TYO_SUBINDI_014</t>
  </si>
  <si>
    <t>MEX_SUBINDI_014</t>
  </si>
  <si>
    <t>IST_SUBINDI_014</t>
  </si>
  <si>
    <t>DXB_SUBINDI_014</t>
  </si>
  <si>
    <t>G00_SUBINDI_014</t>
  </si>
  <si>
    <t>G01_SUBINDI_014</t>
  </si>
  <si>
    <t>G02_SUBINDI_014</t>
  </si>
  <si>
    <t>G03_SUBINDI_014</t>
  </si>
  <si>
    <t>G04_SUBINDI_014</t>
  </si>
  <si>
    <t>BKK_INDI_008</t>
  </si>
  <si>
    <t>DAC_INDI_008</t>
  </si>
  <si>
    <t>HKG_INDI_008</t>
  </si>
  <si>
    <t>JKT_INDI_008</t>
  </si>
  <si>
    <t>MEL_INDI_008</t>
  </si>
  <si>
    <t>SGH_INDI_008</t>
  </si>
  <si>
    <t>SIN_INDI_008</t>
  </si>
  <si>
    <t>TYO_INDI_008</t>
  </si>
  <si>
    <t>MEX_INDI_008</t>
  </si>
  <si>
    <t>IST_INDI_008</t>
  </si>
  <si>
    <t>DXB_INDI_008</t>
  </si>
  <si>
    <t>BKK_SUBINDI_016</t>
  </si>
  <si>
    <t>DAC_SUBINDI_016</t>
  </si>
  <si>
    <t>HKG_SUBINDI_016</t>
  </si>
  <si>
    <t>JKT_SUBINDI_016</t>
  </si>
  <si>
    <t>MEL_SUBINDI_016</t>
  </si>
  <si>
    <t>SGH_SUBINDI_016</t>
  </si>
  <si>
    <t>SIN_SUBINDI_016</t>
  </si>
  <si>
    <t>TYO_SUBINDI_016</t>
  </si>
  <si>
    <t>MEX_SUBINDI_016</t>
  </si>
  <si>
    <t>IST_SUBINDI_016</t>
  </si>
  <si>
    <t>DXB_SUBINDI_016</t>
  </si>
  <si>
    <t>G00_SUBINDI_016</t>
  </si>
  <si>
    <t>G01_SUBINDI_016</t>
  </si>
  <si>
    <t>G02_SUBINDI_016</t>
  </si>
  <si>
    <t>G03_SUBINDI_016</t>
  </si>
  <si>
    <t>G04_SUBINDI_016</t>
  </si>
  <si>
    <t>BKK_SUBINDI_018</t>
  </si>
  <si>
    <t>DAC_SUBINDI_018</t>
  </si>
  <si>
    <t>HKG_SUBINDI_018</t>
  </si>
  <si>
    <t>JKT_SUBINDI_018</t>
  </si>
  <si>
    <t>MEL_SUBINDI_018</t>
  </si>
  <si>
    <t>SGH_SUBINDI_018</t>
  </si>
  <si>
    <t>SIN_SUBINDI_018</t>
  </si>
  <si>
    <t>TYO_SUBINDI_018</t>
  </si>
  <si>
    <t>MEX_SUBINDI_018</t>
  </si>
  <si>
    <t>IST_SUBINDI_018</t>
  </si>
  <si>
    <t>DXB_SUBINDI_018</t>
  </si>
  <si>
    <t>G00_SUBINDI_018</t>
  </si>
  <si>
    <t>G01_SUBINDI_018</t>
  </si>
  <si>
    <t>G02_SUBINDI_018</t>
  </si>
  <si>
    <t>G03_SUBINDI_018</t>
  </si>
  <si>
    <t>G04_SUBINDI_018</t>
  </si>
  <si>
    <t>BKK_INDI_009</t>
  </si>
  <si>
    <t>DAC_INDI_009</t>
  </si>
  <si>
    <t>HKG_INDI_009</t>
  </si>
  <si>
    <t>JKT_INDI_009</t>
  </si>
  <si>
    <t>MEL_INDI_009</t>
  </si>
  <si>
    <t>SGH_INDI_009</t>
  </si>
  <si>
    <t>SIN_INDI_009</t>
  </si>
  <si>
    <t>TYO_INDI_009</t>
  </si>
  <si>
    <t>MEX_INDI_009</t>
  </si>
  <si>
    <t>IST_INDI_009</t>
  </si>
  <si>
    <t>DXB_INDI_009</t>
  </si>
  <si>
    <t>BKK_SUBINDI_019</t>
  </si>
  <si>
    <t>DAC_SUBINDI_019</t>
  </si>
  <si>
    <t>HKG_SUBINDI_019</t>
  </si>
  <si>
    <t>JKT_SUBINDI_019</t>
  </si>
  <si>
    <t>MEL_SUBINDI_019</t>
  </si>
  <si>
    <t>SGH_SUBINDI_019</t>
  </si>
  <si>
    <t>SIN_SUBINDI_019</t>
  </si>
  <si>
    <t>TYO_SUBINDI_019</t>
  </si>
  <si>
    <t>MEX_SUBINDI_019</t>
  </si>
  <si>
    <t>IST_SUBINDI_019</t>
  </si>
  <si>
    <t>DXB_SUBINDI_019</t>
  </si>
  <si>
    <t>G00_SUBINDI_019</t>
  </si>
  <si>
    <t>G01_SUBINDI_019</t>
  </si>
  <si>
    <t>G02_SUBINDI_019</t>
  </si>
  <si>
    <t>G03_SUBINDI_019</t>
  </si>
  <si>
    <t>G04_SUBINDI_019</t>
  </si>
  <si>
    <t>BKK_SUBINDI_020</t>
  </si>
  <si>
    <t>DAC_SUBINDI_020</t>
  </si>
  <si>
    <t>HKG_SUBINDI_020</t>
  </si>
  <si>
    <t>JKT_SUBINDI_020</t>
  </si>
  <si>
    <t>MEL_SUBINDI_020</t>
  </si>
  <si>
    <t>SGH_SUBINDI_020</t>
  </si>
  <si>
    <t>SIN_SUBINDI_020</t>
  </si>
  <si>
    <t>TYO_SUBINDI_020</t>
  </si>
  <si>
    <t>MEX_SUBINDI_020</t>
  </si>
  <si>
    <t>IST_SUBINDI_020</t>
  </si>
  <si>
    <t>DXB_SUBINDI_020</t>
  </si>
  <si>
    <t>G00_SUBINDI_020</t>
  </si>
  <si>
    <t>G01_SUBINDI_020</t>
  </si>
  <si>
    <t>G02_SUBINDI_020</t>
  </si>
  <si>
    <t>G03_SUBINDI_020</t>
  </si>
  <si>
    <t>G04_SUBINDI_020</t>
  </si>
  <si>
    <t>BKK_INDI_010</t>
  </si>
  <si>
    <t>DAC_INDI_010</t>
  </si>
  <si>
    <t>HKG_INDI_010</t>
  </si>
  <si>
    <t>JKT_INDI_010</t>
  </si>
  <si>
    <t>MEL_INDI_010</t>
  </si>
  <si>
    <t>SGH_INDI_010</t>
  </si>
  <si>
    <t>SIN_INDI_010</t>
  </si>
  <si>
    <t>TYO_INDI_010</t>
  </si>
  <si>
    <t>MEX_INDI_010</t>
  </si>
  <si>
    <t>IST_INDI_010</t>
  </si>
  <si>
    <t>DXB_INDI_010</t>
  </si>
  <si>
    <t>G00_INDI_010</t>
  </si>
  <si>
    <t>G01_INDI_010</t>
  </si>
  <si>
    <t>G02_INDI_010</t>
  </si>
  <si>
    <t>G03_INDI_010</t>
  </si>
  <si>
    <t>G04_INDI_010</t>
  </si>
  <si>
    <t>BKK_SUBINDI_021</t>
  </si>
  <si>
    <t>DAC_SUBINDI_021</t>
  </si>
  <si>
    <t>HKG_SUBINDI_021</t>
  </si>
  <si>
    <t>JKT_SUBINDI_021</t>
  </si>
  <si>
    <t>MEL_SUBINDI_021</t>
  </si>
  <si>
    <t>SGH_SUBINDI_021</t>
  </si>
  <si>
    <t>SIN_SUBINDI_021</t>
  </si>
  <si>
    <t>TYO_SUBINDI_021</t>
  </si>
  <si>
    <t>MEX_SUBINDI_021</t>
  </si>
  <si>
    <t>IST_SUBINDI_021</t>
  </si>
  <si>
    <t>DXB_SUBINDI_021</t>
  </si>
  <si>
    <t>G00_SUBINDI_021</t>
  </si>
  <si>
    <t>G01_SUBINDI_021</t>
  </si>
  <si>
    <t>G02_SUBINDI_021</t>
  </si>
  <si>
    <t>G03_SUBINDI_021</t>
  </si>
  <si>
    <t>G04_SUBINDI_021</t>
  </si>
  <si>
    <t>BKK_SUBINDI_022</t>
  </si>
  <si>
    <t>DAC_SUBINDI_022</t>
  </si>
  <si>
    <t>HKG_SUBINDI_022</t>
  </si>
  <si>
    <t>JKT_SUBINDI_022</t>
  </si>
  <si>
    <t>MEL_SUBINDI_022</t>
  </si>
  <si>
    <t>SGH_SUBINDI_022</t>
  </si>
  <si>
    <t>SIN_SUBINDI_022</t>
  </si>
  <si>
    <t>TYO_SUBINDI_022</t>
  </si>
  <si>
    <t>MEX_SUBINDI_022</t>
  </si>
  <si>
    <t>IST_SUBINDI_022</t>
  </si>
  <si>
    <t>DXB_SUBINDI_022</t>
  </si>
  <si>
    <t>G00_SUBINDI_022</t>
  </si>
  <si>
    <t>G01_SUBINDI_022</t>
  </si>
  <si>
    <t>G02_SUBINDI_022</t>
  </si>
  <si>
    <t>G03_SUBINDI_022</t>
  </si>
  <si>
    <t>G04_SUBINDI_022</t>
  </si>
  <si>
    <t>BKK_SUBINDI_023</t>
  </si>
  <si>
    <t>DAC_SUBINDI_023</t>
  </si>
  <si>
    <t>HKG_SUBINDI_023</t>
  </si>
  <si>
    <t>JKT_SUBINDI_023</t>
  </si>
  <si>
    <t>MEL_SUBINDI_023</t>
  </si>
  <si>
    <t>SGH_SUBINDI_023</t>
  </si>
  <si>
    <t>SIN_SUBINDI_023</t>
  </si>
  <si>
    <t>TYO_SUBINDI_023</t>
  </si>
  <si>
    <t>MEX_SUBINDI_023</t>
  </si>
  <si>
    <t>IST_SUBINDI_023</t>
  </si>
  <si>
    <t>DXB_SUBINDI_023</t>
  </si>
  <si>
    <t>G00_SUBINDI_023</t>
  </si>
  <si>
    <t>G01_SUBINDI_023</t>
  </si>
  <si>
    <t>G02_SUBINDI_023</t>
  </si>
  <si>
    <t>G03_SUBINDI_023</t>
  </si>
  <si>
    <t>G04_SUBINDI_023</t>
  </si>
  <si>
    <t>BKK_SUBINDI_024</t>
  </si>
  <si>
    <t>DAC_SUBINDI_024</t>
  </si>
  <si>
    <t>HKG_SUBINDI_024</t>
  </si>
  <si>
    <t>JKT_SUBINDI_024</t>
  </si>
  <si>
    <t>MEL_SUBINDI_024</t>
  </si>
  <si>
    <t>SGH_SUBINDI_024</t>
  </si>
  <si>
    <t>SIN_SUBINDI_024</t>
  </si>
  <si>
    <t>TYO_SUBINDI_024</t>
  </si>
  <si>
    <t>MEX_SUBINDI_024</t>
  </si>
  <si>
    <t>IST_SUBINDI_024</t>
  </si>
  <si>
    <t>DXB_SUBINDI_024</t>
  </si>
  <si>
    <t>G00_SUBINDI_024</t>
  </si>
  <si>
    <t>G01_SUBINDI_024</t>
  </si>
  <si>
    <t>G02_SUBINDI_024</t>
  </si>
  <si>
    <t>G03_SUBINDI_024</t>
  </si>
  <si>
    <t>G04_SUBINDI_024</t>
  </si>
  <si>
    <t>BKK_INDI_011</t>
  </si>
  <si>
    <t>DAC_INDI_011</t>
  </si>
  <si>
    <t>HKG_INDI_011</t>
  </si>
  <si>
    <t>JKT_INDI_011</t>
  </si>
  <si>
    <t>MEL_INDI_011</t>
  </si>
  <si>
    <t>SGH_INDI_011</t>
  </si>
  <si>
    <t>SIN_INDI_011</t>
  </si>
  <si>
    <t>TYO_INDI_011</t>
  </si>
  <si>
    <t>MEX_INDI_011</t>
  </si>
  <si>
    <t>IST_INDI_011</t>
  </si>
  <si>
    <t>DXB_INDI_011</t>
  </si>
  <si>
    <t>BKK_SUBINDI_025</t>
  </si>
  <si>
    <t>DAC_SUBINDI_025</t>
  </si>
  <si>
    <t>HKG_SUBINDI_025</t>
  </si>
  <si>
    <t>JKT_SUBINDI_025</t>
  </si>
  <si>
    <t>MEL_SUBINDI_025</t>
  </si>
  <si>
    <t>SGH_SUBINDI_025</t>
  </si>
  <si>
    <t>SIN_SUBINDI_025</t>
  </si>
  <si>
    <t>TYO_SUBINDI_025</t>
  </si>
  <si>
    <t>MEX_SUBINDI_025</t>
  </si>
  <si>
    <t>IST_SUBINDI_025</t>
  </si>
  <si>
    <t>DXB_SUBINDI_025</t>
  </si>
  <si>
    <t>G00_SUBINDI_025</t>
  </si>
  <si>
    <t>G01_SUBINDI_025</t>
  </si>
  <si>
    <t>G02_SUBINDI_025</t>
  </si>
  <si>
    <t>G03_SUBINDI_025</t>
  </si>
  <si>
    <t>G04_SUBINDI_025</t>
  </si>
  <si>
    <t>BKK_SUBINDI_026</t>
  </si>
  <si>
    <t>DAC_SUBINDI_026</t>
  </si>
  <si>
    <t>HKG_SUBINDI_026</t>
  </si>
  <si>
    <t>JKT_SUBINDI_026</t>
  </si>
  <si>
    <t>MEL_SUBINDI_026</t>
  </si>
  <si>
    <t>SGH_SUBINDI_026</t>
  </si>
  <si>
    <t>SIN_SUBINDI_026</t>
  </si>
  <si>
    <t>TYO_SUBINDI_026</t>
  </si>
  <si>
    <t>MEX_SUBINDI_026</t>
  </si>
  <si>
    <t>IST_SUBINDI_026</t>
  </si>
  <si>
    <t>DXB_SUBINDI_026</t>
  </si>
  <si>
    <t>G00_SUBINDI_026</t>
  </si>
  <si>
    <t>G01_SUBINDI_026</t>
  </si>
  <si>
    <t>G02_SUBINDI_026</t>
  </si>
  <si>
    <t>G03_SUBINDI_026</t>
  </si>
  <si>
    <t>G04_SUBINDI_026</t>
  </si>
  <si>
    <t>BKK_DOMAIN_003</t>
  </si>
  <si>
    <t>DAC_DOMAIN_003</t>
  </si>
  <si>
    <t>HKG_DOMAIN_003</t>
  </si>
  <si>
    <t>JKT_DOMAIN_003</t>
  </si>
  <si>
    <t>MEL_DOMAIN_003</t>
  </si>
  <si>
    <t>SGH_DOMAIN_003</t>
  </si>
  <si>
    <t>SIN_DOMAIN_003</t>
  </si>
  <si>
    <t>TYO_DOMAIN_003</t>
  </si>
  <si>
    <t>MEX_DOMAIN_003</t>
  </si>
  <si>
    <t>IST_DOMAIN_003</t>
  </si>
  <si>
    <t>DXB_DOMAIN_003</t>
  </si>
  <si>
    <t>G00_DOMAIN_003</t>
  </si>
  <si>
    <t>G01_DOMAIN_003</t>
  </si>
  <si>
    <t>G02_DOMAIN_003</t>
  </si>
  <si>
    <t>G03_DOMAIN_003</t>
  </si>
  <si>
    <t>G04_DOMAIN_003</t>
  </si>
  <si>
    <t>BKK_INDI_012</t>
  </si>
  <si>
    <t>DAC_INDI_012</t>
  </si>
  <si>
    <t>HKG_INDI_012</t>
  </si>
  <si>
    <t>JKT_INDI_012</t>
  </si>
  <si>
    <t>MEL_INDI_012</t>
  </si>
  <si>
    <t>SGH_INDI_012</t>
  </si>
  <si>
    <t>SIN_INDI_012</t>
  </si>
  <si>
    <t>TYO_INDI_012</t>
  </si>
  <si>
    <t>MEX_INDI_012</t>
  </si>
  <si>
    <t>IST_INDI_012</t>
  </si>
  <si>
    <t>DXB_INDI_012</t>
  </si>
  <si>
    <t>BKK_INDI_013</t>
  </si>
  <si>
    <t>DAC_INDI_013</t>
  </si>
  <si>
    <t>HKG_INDI_013</t>
  </si>
  <si>
    <t>JKT_INDI_013</t>
  </si>
  <si>
    <t>MEL_INDI_013</t>
  </si>
  <si>
    <t>SGH_INDI_013</t>
  </si>
  <si>
    <t>SIN_INDI_013</t>
  </si>
  <si>
    <t>TYO_INDI_013</t>
  </si>
  <si>
    <t>MEX_INDI_013</t>
  </si>
  <si>
    <t>IST_INDI_013</t>
  </si>
  <si>
    <t>DXB_INDI_013</t>
  </si>
  <si>
    <t>BKK_INDI_014</t>
  </si>
  <si>
    <t>DAC_INDI_014</t>
  </si>
  <si>
    <t>HKG_INDI_014</t>
  </si>
  <si>
    <t>JKT_INDI_014</t>
  </si>
  <si>
    <t>MEL_INDI_014</t>
  </si>
  <si>
    <t>SGH_INDI_014</t>
  </si>
  <si>
    <t>SIN_INDI_014</t>
  </si>
  <si>
    <t>TYO_INDI_014</t>
  </si>
  <si>
    <t>MEX_INDI_014</t>
  </si>
  <si>
    <t>IST_INDI_014</t>
  </si>
  <si>
    <t>DXB_INDI_014</t>
  </si>
  <si>
    <t>BKK_INDI_015</t>
  </si>
  <si>
    <t>DAC_INDI_015</t>
  </si>
  <si>
    <t>HKG_INDI_015</t>
  </si>
  <si>
    <t>JKT_INDI_015</t>
  </si>
  <si>
    <t>MEL_INDI_015</t>
  </si>
  <si>
    <t>SGH_INDI_015</t>
  </si>
  <si>
    <t>SIN_INDI_015</t>
  </si>
  <si>
    <t>TYO_INDI_015</t>
  </si>
  <si>
    <t>MEX_INDI_015</t>
  </si>
  <si>
    <t>IST_INDI_015</t>
  </si>
  <si>
    <t>DXB_INDI_015</t>
  </si>
  <si>
    <t>BKK_DOMAIN_004</t>
  </si>
  <si>
    <t>DAC_DOMAIN_004</t>
  </si>
  <si>
    <t>HKG_DOMAIN_004</t>
  </si>
  <si>
    <t>JKT_DOMAIN_004</t>
  </si>
  <si>
    <t>MEL_DOMAIN_004</t>
  </si>
  <si>
    <t>SGH_DOMAIN_004</t>
  </si>
  <si>
    <t>SIN_DOMAIN_004</t>
  </si>
  <si>
    <t>TYO_DOMAIN_004</t>
  </si>
  <si>
    <t>MEX_DOMAIN_004</t>
  </si>
  <si>
    <t>IST_DOMAIN_004</t>
  </si>
  <si>
    <t>DXB_DOMAIN_004</t>
  </si>
  <si>
    <t>G00_DOMAIN_004</t>
  </si>
  <si>
    <t>G01_DOMAIN_004</t>
  </si>
  <si>
    <t>G02_DOMAIN_004</t>
  </si>
  <si>
    <t>G03_DOMAIN_004</t>
  </si>
  <si>
    <t>G04_DOMAIN_004</t>
  </si>
  <si>
    <t>BKK_INDI_016</t>
  </si>
  <si>
    <t>DAC_INDI_016</t>
  </si>
  <si>
    <t>HKG_INDI_016</t>
  </si>
  <si>
    <t>JKT_INDI_016</t>
  </si>
  <si>
    <t>MEL_INDI_016</t>
  </si>
  <si>
    <t>SGH_INDI_016</t>
  </si>
  <si>
    <t>SIN_INDI_016</t>
  </si>
  <si>
    <t>TYO_INDI_016</t>
  </si>
  <si>
    <t>MEX_INDI_016</t>
  </si>
  <si>
    <t>IST_INDI_016</t>
  </si>
  <si>
    <t>DXB_INDI_016</t>
  </si>
  <si>
    <t>BKK_INDI_017</t>
  </si>
  <si>
    <t>DAC_INDI_017</t>
  </si>
  <si>
    <t>HKG_INDI_017</t>
  </si>
  <si>
    <t>JKT_INDI_017</t>
  </si>
  <si>
    <t>MEL_INDI_017</t>
  </si>
  <si>
    <t>SGH_INDI_017</t>
  </si>
  <si>
    <t>SIN_INDI_017</t>
  </si>
  <si>
    <t>TYO_INDI_017</t>
  </si>
  <si>
    <t>MEX_INDI_017</t>
  </si>
  <si>
    <t>IST_INDI_017</t>
  </si>
  <si>
    <t>DXB_INDI_017</t>
  </si>
  <si>
    <t>BKK_INDI_018</t>
  </si>
  <si>
    <t>DAC_INDI_018</t>
  </si>
  <si>
    <t>HKG_INDI_018</t>
  </si>
  <si>
    <t>JKT_INDI_018</t>
  </si>
  <si>
    <t>MEL_INDI_018</t>
  </si>
  <si>
    <t>SGH_INDI_018</t>
  </si>
  <si>
    <t>SIN_INDI_018</t>
  </si>
  <si>
    <t>TYO_INDI_018</t>
  </si>
  <si>
    <t>MEX_INDI_018</t>
  </si>
  <si>
    <t>IST_INDI_018</t>
  </si>
  <si>
    <t>DXB_INDI_018</t>
  </si>
  <si>
    <t>BKK_INDI_019</t>
  </si>
  <si>
    <t>DAC_INDI_019</t>
  </si>
  <si>
    <t>HKG_INDI_019</t>
  </si>
  <si>
    <t>JKT_INDI_019</t>
  </si>
  <si>
    <t>MEL_INDI_019</t>
  </si>
  <si>
    <t>SGH_INDI_019</t>
  </si>
  <si>
    <t>SIN_INDI_019</t>
  </si>
  <si>
    <t>TYO_INDI_019</t>
  </si>
  <si>
    <t>MEX_INDI_019</t>
  </si>
  <si>
    <t>IST_INDI_019</t>
  </si>
  <si>
    <t>DXB_INDI_019</t>
  </si>
  <si>
    <t>São Paulo</t>
  </si>
  <si>
    <t>10</t>
  </si>
  <si>
    <t>4</t>
  </si>
  <si>
    <t>5</t>
  </si>
  <si>
    <t>3</t>
  </si>
  <si>
    <t>2</t>
  </si>
  <si>
    <t>1</t>
  </si>
  <si>
    <t>6</t>
  </si>
  <si>
    <t>11</t>
  </si>
  <si>
    <t>8</t>
  </si>
  <si>
    <t>7</t>
  </si>
  <si>
    <t>9</t>
  </si>
  <si>
    <t>=10</t>
  </si>
  <si>
    <t>=9</t>
  </si>
  <si>
    <t>=12</t>
  </si>
  <si>
    <t>#,##0</t>
  </si>
  <si>
    <t>City Profiles</t>
  </si>
  <si>
    <t>City_Profile</t>
  </si>
  <si>
    <t>Overall score and domains</t>
  </si>
  <si>
    <t>---------</t>
  </si>
  <si>
    <t>Click a city to highlight across all tables</t>
  </si>
  <si>
    <t>Average = mean score for all cities shown in table</t>
  </si>
  <si>
    <t>Compare cities</t>
  </si>
  <si>
    <t>High-level index scores for all cities displayed on a thematic map and grouped table.</t>
  </si>
  <si>
    <t>View data and charts for a single city.</t>
  </si>
  <si>
    <t>Table of data for all cities/measures in the index.</t>
  </si>
  <si>
    <t>Compare performance across two cities.</t>
  </si>
  <si>
    <t>Compare Cities</t>
  </si>
  <si>
    <t>CATEGORY MULTIPLES</t>
  </si>
  <si>
    <t>CATEGORY_MULTIPLE_DESCRIPTION</t>
  </si>
  <si>
    <t>CATEGORY_MULTIPLE_DD</t>
  </si>
  <si>
    <t>cnt_Country_1;cnt_Country_Or_Average;cnt_Compare_Detail</t>
  </si>
  <si>
    <t>Sub-indicator (full detail)</t>
  </si>
  <si>
    <t>Paris</t>
  </si>
  <si>
    <t>Paris, France</t>
  </si>
  <si>
    <t>cnt_SeriesOverview;cnt_GroupHighlight;cnt_CountryFltHighlight</t>
  </si>
  <si>
    <t>Contents,User Guide</t>
  </si>
  <si>
    <t>data_edit</t>
  </si>
  <si>
    <t>Data Edit</t>
  </si>
  <si>
    <t>Edit the underlying data for the index</t>
  </si>
  <si>
    <t>Table of normalised scores (0-100) for all cities/measures in the index.</t>
  </si>
  <si>
    <t>Data_Edit</t>
  </si>
  <si>
    <t>Compare</t>
  </si>
  <si>
    <t>Weight: Contribution to parent</t>
  </si>
  <si>
    <t>Neutral weights</t>
  </si>
  <si>
    <t>Custom weight profile#3</t>
  </si>
  <si>
    <t>Custom weight profile#4</t>
  </si>
  <si>
    <t>Research director</t>
  </si>
  <si>
    <t>μg/m³</t>
  </si>
  <si>
    <t>City Snapshots</t>
  </si>
  <si>
    <t>INDENTED_NUMBER_AND_NAME</t>
  </si>
  <si>
    <t>auto_ss_All_Series_Indent</t>
  </si>
  <si>
    <t>Data_Type_Text</t>
  </si>
  <si>
    <t>DATA_TYPE_TEXT</t>
  </si>
  <si>
    <t>Quantitative</t>
  </si>
  <si>
    <t>G05</t>
  </si>
  <si>
    <t>G06</t>
  </si>
  <si>
    <t>G05_OVERALL</t>
  </si>
  <si>
    <t>G06_OVERALL</t>
  </si>
  <si>
    <t>G05_DOMAIN_001</t>
  </si>
  <si>
    <t>G06_DOMAIN_001</t>
  </si>
  <si>
    <t>G05_INDI_001</t>
  </si>
  <si>
    <t>G06_INDI_001</t>
  </si>
  <si>
    <t>G05_SUBINDI_001</t>
  </si>
  <si>
    <t>G06_SUBINDI_001</t>
  </si>
  <si>
    <t>G05_SUBINDI_002</t>
  </si>
  <si>
    <t>G06_SUBINDI_002</t>
  </si>
  <si>
    <t>G05_INDI_002</t>
  </si>
  <si>
    <t>G06_INDI_002</t>
  </si>
  <si>
    <t>G05_SUBINDI_003</t>
  </si>
  <si>
    <t>G06_SUBINDI_003</t>
  </si>
  <si>
    <t>G05_SUBINDI_004</t>
  </si>
  <si>
    <t>G06_SUBINDI_004</t>
  </si>
  <si>
    <t>G05_SUBINDI_005</t>
  </si>
  <si>
    <t>G06_SUBINDI_005</t>
  </si>
  <si>
    <t>G05_INDI_003</t>
  </si>
  <si>
    <t>G06_INDI_003</t>
  </si>
  <si>
    <t>G05_SUBINDI_006</t>
  </si>
  <si>
    <t>G06_SUBINDI_006</t>
  </si>
  <si>
    <t>G05_SUBINDI_008</t>
  </si>
  <si>
    <t>G06_SUBINDI_008</t>
  </si>
  <si>
    <t>G05_SUBINDI_007</t>
  </si>
  <si>
    <t>G06_SUBINDI_007</t>
  </si>
  <si>
    <t>G05_SUBINDI_018</t>
  </si>
  <si>
    <t>G06_SUBINDI_018</t>
  </si>
  <si>
    <t>G05_INDI_004</t>
  </si>
  <si>
    <t>G06_INDI_004</t>
  </si>
  <si>
    <t>G05_SUBINDI_024</t>
  </si>
  <si>
    <t>G06_SUBINDI_024</t>
  </si>
  <si>
    <t>G05_SUBINDI_009</t>
  </si>
  <si>
    <t>G06_SUBINDI_009</t>
  </si>
  <si>
    <t>G05_INDI_005</t>
  </si>
  <si>
    <t>G06_INDI_005</t>
  </si>
  <si>
    <t>G05_SUBINDI_010</t>
  </si>
  <si>
    <t>G06_SUBINDI_010</t>
  </si>
  <si>
    <t>G05_SUBINDI_011</t>
  </si>
  <si>
    <t>G06_SUBINDI_011</t>
  </si>
  <si>
    <t>G05_DOMAIN_002</t>
  </si>
  <si>
    <t>G06_DOMAIN_002</t>
  </si>
  <si>
    <t>G05_INDI_006</t>
  </si>
  <si>
    <t>G06_INDI_006</t>
  </si>
  <si>
    <t>G05_SUBINDI_012</t>
  </si>
  <si>
    <t>G06_SUBINDI_012</t>
  </si>
  <si>
    <t>G05_SUBINDI_013</t>
  </si>
  <si>
    <t>G06_SUBINDI_013</t>
  </si>
  <si>
    <t>G05_INDI_007</t>
  </si>
  <si>
    <t>G06_INDI_007</t>
  </si>
  <si>
    <t>G05_SUBINDI_014</t>
  </si>
  <si>
    <t>G06_SUBINDI_014</t>
  </si>
  <si>
    <t>G05_INDI_008</t>
  </si>
  <si>
    <t>G06_INDI_008</t>
  </si>
  <si>
    <t>G05_SUBINDI_016</t>
  </si>
  <si>
    <t>G06_SUBINDI_016</t>
  </si>
  <si>
    <t>G05_INDI_009</t>
  </si>
  <si>
    <t>G06_INDI_009</t>
  </si>
  <si>
    <t>G05_SUBINDI_019</t>
  </si>
  <si>
    <t>G06_SUBINDI_019</t>
  </si>
  <si>
    <t>G05_SUBINDI_020</t>
  </si>
  <si>
    <t>G06_SUBINDI_020</t>
  </si>
  <si>
    <t>G05_INDI_010</t>
  </si>
  <si>
    <t>G06_INDI_010</t>
  </si>
  <si>
    <t>G05_SUBINDI_021</t>
  </si>
  <si>
    <t>G06_SUBINDI_021</t>
  </si>
  <si>
    <t>G05_SUBINDI_022</t>
  </si>
  <si>
    <t>G06_SUBINDI_022</t>
  </si>
  <si>
    <t>G05_SUBINDI_023</t>
  </si>
  <si>
    <t>G06_SUBINDI_023</t>
  </si>
  <si>
    <t>G05_INDI_011</t>
  </si>
  <si>
    <t>G06_INDI_011</t>
  </si>
  <si>
    <t>G05_SUBINDI_025</t>
  </si>
  <si>
    <t>G06_SUBINDI_025</t>
  </si>
  <si>
    <t>G05_SUBINDI_026</t>
  </si>
  <si>
    <t>G06_SUBINDI_026</t>
  </si>
  <si>
    <t>G05_DOMAIN_003</t>
  </si>
  <si>
    <t>G06_DOMAIN_003</t>
  </si>
  <si>
    <t>G05_INDI_012</t>
  </si>
  <si>
    <t>G06_INDI_012</t>
  </si>
  <si>
    <t>G05_INDI_013</t>
  </si>
  <si>
    <t>G06_INDI_013</t>
  </si>
  <si>
    <t>G05_INDI_014</t>
  </si>
  <si>
    <t>G06_INDI_014</t>
  </si>
  <si>
    <t>G05_INDI_015</t>
  </si>
  <si>
    <t>G06_INDI_015</t>
  </si>
  <si>
    <t>G05_DOMAIN_004</t>
  </si>
  <si>
    <t>G06_DOMAIN_004</t>
  </si>
  <si>
    <t>G05_INDI_016</t>
  </si>
  <si>
    <t>G06_INDI_016</t>
  </si>
  <si>
    <t>G05_INDI_017</t>
  </si>
  <si>
    <t>G06_INDI_017</t>
  </si>
  <si>
    <t>G05_INDI_018</t>
  </si>
  <si>
    <t>G06_INDI_018</t>
  </si>
  <si>
    <t>G05_INDI_019</t>
  </si>
  <si>
    <t>G06_INDI_019</t>
  </si>
  <si>
    <t>World Population Review</t>
  </si>
  <si>
    <t>BACKGROUND INDICATORS</t>
  </si>
  <si>
    <t>BACKGROUND DATA INDICATOR</t>
  </si>
  <si>
    <t>TOTAL POPULATION</t>
  </si>
  <si>
    <t>BKK_BG</t>
  </si>
  <si>
    <t>DAC_BG</t>
  </si>
  <si>
    <t>DXB_BG</t>
  </si>
  <si>
    <t>HKG_BG</t>
  </si>
  <si>
    <t>IST_BG</t>
  </si>
  <si>
    <t>JKT_BG</t>
  </si>
  <si>
    <t>MEL_BG</t>
  </si>
  <si>
    <t>MEX_BG</t>
  </si>
  <si>
    <t>SGH_BG</t>
  </si>
  <si>
    <t>SIN_BG</t>
  </si>
  <si>
    <t>TYO_BG</t>
  </si>
  <si>
    <t>G00_BG</t>
  </si>
  <si>
    <t>G01_BG</t>
  </si>
  <si>
    <t>G02_BG</t>
  </si>
  <si>
    <t>G03_BG</t>
  </si>
  <si>
    <t>G04_BG</t>
  </si>
  <si>
    <t>G05_BG</t>
  </si>
  <si>
    <t>G06_BG</t>
  </si>
  <si>
    <t>BKK_BG01</t>
  </si>
  <si>
    <t>DAC_BG01</t>
  </si>
  <si>
    <t>DXB_BG01</t>
  </si>
  <si>
    <t>HKG_BG01</t>
  </si>
  <si>
    <t>IST_BG01</t>
  </si>
  <si>
    <t>JKT_BG01</t>
  </si>
  <si>
    <t>MEL_BG01</t>
  </si>
  <si>
    <t>MEX_BG01</t>
  </si>
  <si>
    <t>SGH_BG01</t>
  </si>
  <si>
    <t>SIN_BG01</t>
  </si>
  <si>
    <t>TYO_BG01</t>
  </si>
  <si>
    <t>G00_BG01</t>
  </si>
  <si>
    <t>G01_BG01</t>
  </si>
  <si>
    <t>G02_BG01</t>
  </si>
  <si>
    <t>G03_BG01</t>
  </si>
  <si>
    <t>G04_BG01</t>
  </si>
  <si>
    <t>G05_BG01</t>
  </si>
  <si>
    <t>G06_BG01</t>
  </si>
  <si>
    <t>SCATTER_X-AXIS_IS_NON_SCORING</t>
  </si>
  <si>
    <t>SCATTER_Y-AXIS_IS_NON_SCORING</t>
  </si>
  <si>
    <t>Ranked tables of index scores for all cities.</t>
  </si>
  <si>
    <t>Ranked table with details of definition and scoring methodology for each selected measure.</t>
  </si>
  <si>
    <t>Number of people</t>
  </si>
  <si>
    <t>Number of people; higher data value=higher score.</t>
  </si>
  <si>
    <t>Double click any measure to view in [All Measures] page</t>
  </si>
  <si>
    <t>City</t>
  </si>
  <si>
    <t>Background data indicators do not contribute to city index performance.</t>
  </si>
  <si>
    <t>Data_Year_Text</t>
  </si>
  <si>
    <t>DATA_YEAR_TEXT</t>
  </si>
  <si>
    <t>Population, total number of people in a city.</t>
  </si>
  <si>
    <t>DESCRIPTION{NL}NL}Population, total number of people in a city.{NL}{NL}NOTES{NL}NL}DATA UNIT{NL}{NL}Number of people; higher data value=higher score.{NL}{NL}Background data indicators do not contribute to city index performance.</t>
  </si>
  <si>
    <t>City Highlight</t>
  </si>
  <si>
    <t>COPY54</t>
  </si>
  <si>
    <t>COPY55</t>
  </si>
  <si>
    <t>COPY56</t>
  </si>
  <si>
    <t>COPY57</t>
  </si>
  <si>
    <t>COPY58</t>
  </si>
  <si>
    <t>COPY59</t>
  </si>
  <si>
    <t>COPY60</t>
  </si>
  <si>
    <t>COPY61</t>
  </si>
  <si>
    <t>Range and income group averages</t>
  </si>
  <si>
    <t>All countries</t>
  </si>
  <si>
    <t>static_chart_legend_text</t>
  </si>
  <si>
    <t>RANGE CHART DESC</t>
  </si>
  <si>
    <t>RANGE AND INCOME CHART DESC</t>
  </si>
  <si>
    <t>BAR CHART DESC</t>
  </si>
  <si>
    <t>COPY62</t>
  </si>
  <si>
    <t>COPY63</t>
  </si>
  <si>
    <t>COPY64</t>
  </si>
  <si>
    <t>COPY65</t>
  </si>
  <si>
    <t>COPY66</t>
  </si>
  <si>
    <t>COPY67</t>
  </si>
  <si>
    <t>COPY68</t>
  </si>
  <si>
    <t>COPY69</t>
  </si>
  <si>
    <t>COPY70</t>
  </si>
  <si>
    <t>COPY71</t>
  </si>
  <si>
    <t>COPY72</t>
  </si>
  <si>
    <t>BG00</t>
  </si>
  <si>
    <t>2;8;</t>
  </si>
  <si>
    <t>2024_CITY_HEARTBEAT</t>
  </si>
  <si>
    <t>2024, 50 city index</t>
  </si>
  <si>
    <t>Miranda Baxa</t>
  </si>
  <si>
    <t>Research team</t>
  </si>
  <si>
    <t>MirandaBaxa@economist.com</t>
  </si>
  <si>
    <t>most healthy environment</t>
  </si>
  <si>
    <t>more healthy environment</t>
  </si>
  <si>
    <t>healthy environment</t>
  </si>
  <si>
    <t>Eastern Mediterranean</t>
  </si>
  <si>
    <t>SE Asia</t>
  </si>
  <si>
    <t>Western Pacific</t>
  </si>
  <si>
    <t>Score 0-100 where 100=most healthy environment</t>
  </si>
  <si>
    <t>ZGM</t>
  </si>
  <si>
    <t>JNB</t>
  </si>
  <si>
    <t>Johannesburg</t>
  </si>
  <si>
    <t>Johannesburg, South Africa</t>
  </si>
  <si>
    <t>UAY</t>
  </si>
  <si>
    <t>Algiers</t>
  </si>
  <si>
    <t>Algiers, Algeria</t>
  </si>
  <si>
    <t>NBO</t>
  </si>
  <si>
    <t>Nairobi</t>
  </si>
  <si>
    <t>Nairobi, Kenya</t>
  </si>
  <si>
    <t>ADD</t>
  </si>
  <si>
    <t>Addis Ababa</t>
  </si>
  <si>
    <t>Addis Ababa, Ethiopia</t>
  </si>
  <si>
    <t>TOR</t>
  </si>
  <si>
    <t>Toronto</t>
  </si>
  <si>
    <t>Toronto, Canada</t>
  </si>
  <si>
    <t>B6Y</t>
  </si>
  <si>
    <t>SFO</t>
  </si>
  <si>
    <t>San Francisco</t>
  </si>
  <si>
    <t>San Francisco, United States</t>
  </si>
  <si>
    <t>A2N</t>
  </si>
  <si>
    <t>Atlanta</t>
  </si>
  <si>
    <t>Atlanta, United States</t>
  </si>
  <si>
    <t>RUH</t>
  </si>
  <si>
    <t>Riyadh</t>
  </si>
  <si>
    <t>Riyadh, Saudi Arabia</t>
  </si>
  <si>
    <t>CJR</t>
  </si>
  <si>
    <t>KWI</t>
  </si>
  <si>
    <t>Kuwait City</t>
  </si>
  <si>
    <t>Kuwait City, Kuwait</t>
  </si>
  <si>
    <t>BER</t>
  </si>
  <si>
    <t>Berlin</t>
  </si>
  <si>
    <t>Berlin, Germany</t>
  </si>
  <si>
    <t>RMG</t>
  </si>
  <si>
    <t>Rome</t>
  </si>
  <si>
    <t>Rome, Italy</t>
  </si>
  <si>
    <t>LOD</t>
  </si>
  <si>
    <t>London, United Kingdom</t>
  </si>
  <si>
    <t>MDD</t>
  </si>
  <si>
    <t>Madrid</t>
  </si>
  <si>
    <t>Madrid, Spain</t>
  </si>
  <si>
    <t>MW3</t>
  </si>
  <si>
    <t>Moscow</t>
  </si>
  <si>
    <t>Moscow, Russia</t>
  </si>
  <si>
    <t>HEL</t>
  </si>
  <si>
    <t>Helsinki</t>
  </si>
  <si>
    <t>Helsinki, Finland</t>
  </si>
  <si>
    <t>BUD</t>
  </si>
  <si>
    <t>Budapest</t>
  </si>
  <si>
    <t>Budapest, Hungary</t>
  </si>
  <si>
    <t>VIE</t>
  </si>
  <si>
    <t>Vienna</t>
  </si>
  <si>
    <t>Vienna, Austria</t>
  </si>
  <si>
    <t>Jakarta, Indonesia</t>
  </si>
  <si>
    <t>RGN</t>
  </si>
  <si>
    <t>Yangon (FKA Rangoon), Myanmar</t>
  </si>
  <si>
    <t>KHI</t>
  </si>
  <si>
    <t>Karachi</t>
  </si>
  <si>
    <t>Karachi, Pakistan</t>
  </si>
  <si>
    <t>BOM</t>
  </si>
  <si>
    <t>Mumbai</t>
  </si>
  <si>
    <t>Mumbai, India</t>
  </si>
  <si>
    <t>CCU</t>
  </si>
  <si>
    <t>Kolkata</t>
  </si>
  <si>
    <t>Kolkata, India</t>
  </si>
  <si>
    <t>DLI</t>
  </si>
  <si>
    <t>Delhi</t>
  </si>
  <si>
    <t>Delhi, India</t>
  </si>
  <si>
    <t>Colombo</t>
  </si>
  <si>
    <t>Colombo, Sri Lanka</t>
  </si>
  <si>
    <t>KTM</t>
  </si>
  <si>
    <t>Kathmandu</t>
  </si>
  <si>
    <t>Kathmandu, Nepal</t>
  </si>
  <si>
    <t>Singapore, Singapore</t>
  </si>
  <si>
    <t>Tokyo, Japan</t>
  </si>
  <si>
    <t>OSA</t>
  </si>
  <si>
    <t>Osaka</t>
  </si>
  <si>
    <t>Osaka, Japan</t>
  </si>
  <si>
    <t>SEL</t>
  </si>
  <si>
    <t>Seoul</t>
  </si>
  <si>
    <t>Seoul, Korea</t>
  </si>
  <si>
    <t>BJS</t>
  </si>
  <si>
    <t>Beijing</t>
  </si>
  <si>
    <t>Beijing, China</t>
  </si>
  <si>
    <t>NHN</t>
  </si>
  <si>
    <t>Wuhan</t>
  </si>
  <si>
    <t>Wuhan, China</t>
  </si>
  <si>
    <t>Hong Kong, Hong Kong</t>
  </si>
  <si>
    <t>SYD</t>
  </si>
  <si>
    <t>Sydney</t>
  </si>
  <si>
    <t>Sydney, Australia</t>
  </si>
  <si>
    <t>SGN</t>
  </si>
  <si>
    <t>Ho Chi Minh City</t>
  </si>
  <si>
    <t>Ho Chi Minh City, Vietnam</t>
  </si>
  <si>
    <t>AKL</t>
  </si>
  <si>
    <t>Auckland</t>
  </si>
  <si>
    <t>Auckland, New Zealand</t>
  </si>
  <si>
    <t>MNL</t>
  </si>
  <si>
    <t>Manila</t>
  </si>
  <si>
    <t>Manila, Philippines</t>
  </si>
  <si>
    <t>PNH</t>
  </si>
  <si>
    <t>Phnom Penh</t>
  </si>
  <si>
    <t>Phnom Penh, Cambodia</t>
  </si>
  <si>
    <t>Africa (5)</t>
  </si>
  <si>
    <t>Americas (7)</t>
  </si>
  <si>
    <t>Eastern Mediterranean (4)</t>
  </si>
  <si>
    <t>Europe (10)</t>
  </si>
  <si>
    <t>Western Pacific (14)</t>
  </si>
  <si>
    <t>1,2,3,4,5,6,7,8,9,10,11,12,13,14,15,16,17,18,19,20,21,22,23,24,25,26,27,28,29,30,31,32,33,34,35,36,37,38,39,40,41,42,43,44,45,46,47,48,49,50</t>
  </si>
  <si>
    <t>ZGM_OVERALL</t>
  </si>
  <si>
    <t>JNB_OVERALL</t>
  </si>
  <si>
    <t>UAY_OVERALL</t>
  </si>
  <si>
    <t>NBO_OVERALL</t>
  </si>
  <si>
    <t>ADD_OVERALL</t>
  </si>
  <si>
    <t>TOR_OVERALL</t>
  </si>
  <si>
    <t>B6Y_OVERALL</t>
  </si>
  <si>
    <t>SFO_OVERALL</t>
  </si>
  <si>
    <t>A2N_OVERALL</t>
  </si>
  <si>
    <t>RUH_OVERALL</t>
  </si>
  <si>
    <t>CJR_OVERALL</t>
  </si>
  <si>
    <t>KWI_OVERALL</t>
  </si>
  <si>
    <t>BER_OVERALL</t>
  </si>
  <si>
    <t>RMG_OVERALL</t>
  </si>
  <si>
    <t>LOD_OVERALL</t>
  </si>
  <si>
    <t>MDD_OVERALL</t>
  </si>
  <si>
    <t>MW3_OVERALL</t>
  </si>
  <si>
    <t>HEL_OVERALL</t>
  </si>
  <si>
    <t>BUD_OVERALL</t>
  </si>
  <si>
    <t>VIE_OVERALL</t>
  </si>
  <si>
    <t>RGN_OVERALL</t>
  </si>
  <si>
    <t>KHI_OVERALL</t>
  </si>
  <si>
    <t>BOM_OVERALL</t>
  </si>
  <si>
    <t>CCU_OVERALL</t>
  </si>
  <si>
    <t>DLI_OVERALL</t>
  </si>
  <si>
    <t>KTM_OVERALL</t>
  </si>
  <si>
    <t>OSA_OVERALL</t>
  </si>
  <si>
    <t>SEL_OVERALL</t>
  </si>
  <si>
    <t>BJS_OVERALL</t>
  </si>
  <si>
    <t>NHN_OVERALL</t>
  </si>
  <si>
    <t>SYD_OVERALL</t>
  </si>
  <si>
    <t>SGN_OVERALL</t>
  </si>
  <si>
    <t>AKL_OVERALL</t>
  </si>
  <si>
    <t>MNL_OVERALL</t>
  </si>
  <si>
    <t>PNH_OVERALL</t>
  </si>
  <si>
    <t>ZGM_DOMAIN_001</t>
  </si>
  <si>
    <t>JNB_DOMAIN_001</t>
  </si>
  <si>
    <t>UAY_DOMAIN_001</t>
  </si>
  <si>
    <t>NBO_DOMAIN_001</t>
  </si>
  <si>
    <t>ADD_DOMAIN_001</t>
  </si>
  <si>
    <t>TOR_DOMAIN_001</t>
  </si>
  <si>
    <t>B6Y_DOMAIN_001</t>
  </si>
  <si>
    <t>SFO_DOMAIN_001</t>
  </si>
  <si>
    <t>A2N_DOMAIN_001</t>
  </si>
  <si>
    <t>RUH_DOMAIN_001</t>
  </si>
  <si>
    <t>CJR_DOMAIN_001</t>
  </si>
  <si>
    <t>KWI_DOMAIN_001</t>
  </si>
  <si>
    <t>BER_DOMAIN_001</t>
  </si>
  <si>
    <t>RMG_DOMAIN_001</t>
  </si>
  <si>
    <t>LOD_DOMAIN_001</t>
  </si>
  <si>
    <t>MDD_DOMAIN_001</t>
  </si>
  <si>
    <t>MW3_DOMAIN_001</t>
  </si>
  <si>
    <t>HEL_DOMAIN_001</t>
  </si>
  <si>
    <t>BUD_DOMAIN_001</t>
  </si>
  <si>
    <t>VIE_DOMAIN_001</t>
  </si>
  <si>
    <t>RGN_DOMAIN_001</t>
  </si>
  <si>
    <t>KHI_DOMAIN_001</t>
  </si>
  <si>
    <t>BOM_DOMAIN_001</t>
  </si>
  <si>
    <t>CCU_DOMAIN_001</t>
  </si>
  <si>
    <t>DLI_DOMAIN_001</t>
  </si>
  <si>
    <t>KTM_DOMAIN_001</t>
  </si>
  <si>
    <t>OSA_DOMAIN_001</t>
  </si>
  <si>
    <t>SEL_DOMAIN_001</t>
  </si>
  <si>
    <t>BJS_DOMAIN_001</t>
  </si>
  <si>
    <t>NHN_DOMAIN_001</t>
  </si>
  <si>
    <t>SYD_DOMAIN_001</t>
  </si>
  <si>
    <t>SGN_DOMAIN_001</t>
  </si>
  <si>
    <t>AKL_DOMAIN_001</t>
  </si>
  <si>
    <t>MNL_DOMAIN_001</t>
  </si>
  <si>
    <t>PNH_DOMAIN_001</t>
  </si>
  <si>
    <t>ZGM_INDI_001</t>
  </si>
  <si>
    <t>JNB_INDI_001</t>
  </si>
  <si>
    <t>UAY_INDI_001</t>
  </si>
  <si>
    <t>NBO_INDI_001</t>
  </si>
  <si>
    <t>ADD_INDI_001</t>
  </si>
  <si>
    <t>TOR_INDI_001</t>
  </si>
  <si>
    <t>B6Y_INDI_001</t>
  </si>
  <si>
    <t>SFO_INDI_001</t>
  </si>
  <si>
    <t>A2N_INDI_001</t>
  </si>
  <si>
    <t>RUH_INDI_001</t>
  </si>
  <si>
    <t>CJR_INDI_001</t>
  </si>
  <si>
    <t>KWI_INDI_001</t>
  </si>
  <si>
    <t>BER_INDI_001</t>
  </si>
  <si>
    <t>RMG_INDI_001</t>
  </si>
  <si>
    <t>LOD_INDI_001</t>
  </si>
  <si>
    <t>MDD_INDI_001</t>
  </si>
  <si>
    <t>MW3_INDI_001</t>
  </si>
  <si>
    <t>HEL_INDI_001</t>
  </si>
  <si>
    <t>BUD_INDI_001</t>
  </si>
  <si>
    <t>VIE_INDI_001</t>
  </si>
  <si>
    <t>RGN_INDI_001</t>
  </si>
  <si>
    <t>KHI_INDI_001</t>
  </si>
  <si>
    <t>BOM_INDI_001</t>
  </si>
  <si>
    <t>CCU_INDI_001</t>
  </si>
  <si>
    <t>DLI_INDI_001</t>
  </si>
  <si>
    <t>KTM_INDI_001</t>
  </si>
  <si>
    <t>OSA_INDI_001</t>
  </si>
  <si>
    <t>SEL_INDI_001</t>
  </si>
  <si>
    <t>BJS_INDI_001</t>
  </si>
  <si>
    <t>NHN_INDI_001</t>
  </si>
  <si>
    <t>SYD_INDI_001</t>
  </si>
  <si>
    <t>SGN_INDI_001</t>
  </si>
  <si>
    <t>AKL_INDI_001</t>
  </si>
  <si>
    <t>MNL_INDI_001</t>
  </si>
  <si>
    <t>PNH_INDI_001</t>
  </si>
  <si>
    <t>ZGM_SUBINDI_001</t>
  </si>
  <si>
    <t>JNB_SUBINDI_001</t>
  </si>
  <si>
    <t>UAY_SUBINDI_001</t>
  </si>
  <si>
    <t>NBO_SUBINDI_001</t>
  </si>
  <si>
    <t>ADD_SUBINDI_001</t>
  </si>
  <si>
    <t>TOR_SUBINDI_001</t>
  </si>
  <si>
    <t>B6Y_SUBINDI_001</t>
  </si>
  <si>
    <t>SFO_SUBINDI_001</t>
  </si>
  <si>
    <t>A2N_SUBINDI_001</t>
  </si>
  <si>
    <t>RUH_SUBINDI_001</t>
  </si>
  <si>
    <t>CJR_SUBINDI_001</t>
  </si>
  <si>
    <t>KWI_SUBINDI_001</t>
  </si>
  <si>
    <t>BER_SUBINDI_001</t>
  </si>
  <si>
    <t>RMG_SUBINDI_001</t>
  </si>
  <si>
    <t>LOD_SUBINDI_001</t>
  </si>
  <si>
    <t>MDD_SUBINDI_001</t>
  </si>
  <si>
    <t>MW3_SUBINDI_001</t>
  </si>
  <si>
    <t>HEL_SUBINDI_001</t>
  </si>
  <si>
    <t>BUD_SUBINDI_001</t>
  </si>
  <si>
    <t>VIE_SUBINDI_001</t>
  </si>
  <si>
    <t>RGN_SUBINDI_001</t>
  </si>
  <si>
    <t>KHI_SUBINDI_001</t>
  </si>
  <si>
    <t>BOM_SUBINDI_001</t>
  </si>
  <si>
    <t>CCU_SUBINDI_001</t>
  </si>
  <si>
    <t>DLI_SUBINDI_001</t>
  </si>
  <si>
    <t>KTM_SUBINDI_001</t>
  </si>
  <si>
    <t>OSA_SUBINDI_001</t>
  </si>
  <si>
    <t>SEL_SUBINDI_001</t>
  </si>
  <si>
    <t>BJS_SUBINDI_001</t>
  </si>
  <si>
    <t>NHN_SUBINDI_001</t>
  </si>
  <si>
    <t>SYD_SUBINDI_001</t>
  </si>
  <si>
    <t>SGN_SUBINDI_001</t>
  </si>
  <si>
    <t>AKL_SUBINDI_001</t>
  </si>
  <si>
    <t>MNL_SUBINDI_001</t>
  </si>
  <si>
    <t>PNH_SUBINDI_001</t>
  </si>
  <si>
    <t>ZGM_SUBINDI_002</t>
  </si>
  <si>
    <t>JNB_SUBINDI_002</t>
  </si>
  <si>
    <t>UAY_SUBINDI_002</t>
  </si>
  <si>
    <t>NBO_SUBINDI_002</t>
  </si>
  <si>
    <t>ADD_SUBINDI_002</t>
  </si>
  <si>
    <t>TOR_SUBINDI_002</t>
  </si>
  <si>
    <t>B6Y_SUBINDI_002</t>
  </si>
  <si>
    <t>SFO_SUBINDI_002</t>
  </si>
  <si>
    <t>A2N_SUBINDI_002</t>
  </si>
  <si>
    <t>RUH_SUBINDI_002</t>
  </si>
  <si>
    <t>CJR_SUBINDI_002</t>
  </si>
  <si>
    <t>KWI_SUBINDI_002</t>
  </si>
  <si>
    <t>BER_SUBINDI_002</t>
  </si>
  <si>
    <t>RMG_SUBINDI_002</t>
  </si>
  <si>
    <t>LOD_SUBINDI_002</t>
  </si>
  <si>
    <t>MDD_SUBINDI_002</t>
  </si>
  <si>
    <t>MW3_SUBINDI_002</t>
  </si>
  <si>
    <t>HEL_SUBINDI_002</t>
  </si>
  <si>
    <t>BUD_SUBINDI_002</t>
  </si>
  <si>
    <t>VIE_SUBINDI_002</t>
  </si>
  <si>
    <t>RGN_SUBINDI_002</t>
  </si>
  <si>
    <t>KHI_SUBINDI_002</t>
  </si>
  <si>
    <t>BOM_SUBINDI_002</t>
  </si>
  <si>
    <t>CCU_SUBINDI_002</t>
  </si>
  <si>
    <t>DLI_SUBINDI_002</t>
  </si>
  <si>
    <t>KTM_SUBINDI_002</t>
  </si>
  <si>
    <t>OSA_SUBINDI_002</t>
  </si>
  <si>
    <t>SEL_SUBINDI_002</t>
  </si>
  <si>
    <t>BJS_SUBINDI_002</t>
  </si>
  <si>
    <t>NHN_SUBINDI_002</t>
  </si>
  <si>
    <t>SYD_SUBINDI_002</t>
  </si>
  <si>
    <t>SGN_SUBINDI_002</t>
  </si>
  <si>
    <t>AKL_SUBINDI_002</t>
  </si>
  <si>
    <t>MNL_SUBINDI_002</t>
  </si>
  <si>
    <t>PNH_SUBINDI_002</t>
  </si>
  <si>
    <t>ZGM_INDI_002</t>
  </si>
  <si>
    <t>JNB_INDI_002</t>
  </si>
  <si>
    <t>UAY_INDI_002</t>
  </si>
  <si>
    <t>NBO_INDI_002</t>
  </si>
  <si>
    <t>ADD_INDI_002</t>
  </si>
  <si>
    <t>TOR_INDI_002</t>
  </si>
  <si>
    <t>B6Y_INDI_002</t>
  </si>
  <si>
    <t>SFO_INDI_002</t>
  </si>
  <si>
    <t>A2N_INDI_002</t>
  </si>
  <si>
    <t>RUH_INDI_002</t>
  </si>
  <si>
    <t>CJR_INDI_002</t>
  </si>
  <si>
    <t>KWI_INDI_002</t>
  </si>
  <si>
    <t>BER_INDI_002</t>
  </si>
  <si>
    <t>RMG_INDI_002</t>
  </si>
  <si>
    <t>LOD_INDI_002</t>
  </si>
  <si>
    <t>MDD_INDI_002</t>
  </si>
  <si>
    <t>MW3_INDI_002</t>
  </si>
  <si>
    <t>HEL_INDI_002</t>
  </si>
  <si>
    <t>BUD_INDI_002</t>
  </si>
  <si>
    <t>VIE_INDI_002</t>
  </si>
  <si>
    <t>RGN_INDI_002</t>
  </si>
  <si>
    <t>KHI_INDI_002</t>
  </si>
  <si>
    <t>BOM_INDI_002</t>
  </si>
  <si>
    <t>CCU_INDI_002</t>
  </si>
  <si>
    <t>DLI_INDI_002</t>
  </si>
  <si>
    <t>KTM_INDI_002</t>
  </si>
  <si>
    <t>OSA_INDI_002</t>
  </si>
  <si>
    <t>SEL_INDI_002</t>
  </si>
  <si>
    <t>BJS_INDI_002</t>
  </si>
  <si>
    <t>NHN_INDI_002</t>
  </si>
  <si>
    <t>SYD_INDI_002</t>
  </si>
  <si>
    <t>SGN_INDI_002</t>
  </si>
  <si>
    <t>AKL_INDI_002</t>
  </si>
  <si>
    <t>MNL_INDI_002</t>
  </si>
  <si>
    <t>PNH_INDI_002</t>
  </si>
  <si>
    <t>ZGM_SUBINDI_003</t>
  </si>
  <si>
    <t>JNB_SUBINDI_003</t>
  </si>
  <si>
    <t>UAY_SUBINDI_003</t>
  </si>
  <si>
    <t>NBO_SUBINDI_003</t>
  </si>
  <si>
    <t>ADD_SUBINDI_003</t>
  </si>
  <si>
    <t>TOR_SUBINDI_003</t>
  </si>
  <si>
    <t>B6Y_SUBINDI_003</t>
  </si>
  <si>
    <t>SFO_SUBINDI_003</t>
  </si>
  <si>
    <t>A2N_SUBINDI_003</t>
  </si>
  <si>
    <t>RUH_SUBINDI_003</t>
  </si>
  <si>
    <t>CJR_SUBINDI_003</t>
  </si>
  <si>
    <t>KWI_SUBINDI_003</t>
  </si>
  <si>
    <t>BER_SUBINDI_003</t>
  </si>
  <si>
    <t>RMG_SUBINDI_003</t>
  </si>
  <si>
    <t>LOD_SUBINDI_003</t>
  </si>
  <si>
    <t>MDD_SUBINDI_003</t>
  </si>
  <si>
    <t>MW3_SUBINDI_003</t>
  </si>
  <si>
    <t>HEL_SUBINDI_003</t>
  </si>
  <si>
    <t>BUD_SUBINDI_003</t>
  </si>
  <si>
    <t>VIE_SUBINDI_003</t>
  </si>
  <si>
    <t>RGN_SUBINDI_003</t>
  </si>
  <si>
    <t>KHI_SUBINDI_003</t>
  </si>
  <si>
    <t>BOM_SUBINDI_003</t>
  </si>
  <si>
    <t>CCU_SUBINDI_003</t>
  </si>
  <si>
    <t>DLI_SUBINDI_003</t>
  </si>
  <si>
    <t>KTM_SUBINDI_003</t>
  </si>
  <si>
    <t>OSA_SUBINDI_003</t>
  </si>
  <si>
    <t>SEL_SUBINDI_003</t>
  </si>
  <si>
    <t>BJS_SUBINDI_003</t>
  </si>
  <si>
    <t>NHN_SUBINDI_003</t>
  </si>
  <si>
    <t>SYD_SUBINDI_003</t>
  </si>
  <si>
    <t>SGN_SUBINDI_003</t>
  </si>
  <si>
    <t>AKL_SUBINDI_003</t>
  </si>
  <si>
    <t>MNL_SUBINDI_003</t>
  </si>
  <si>
    <t>PNH_SUBINDI_003</t>
  </si>
  <si>
    <t>ZGM_SUBINDI_004</t>
  </si>
  <si>
    <t>JNB_SUBINDI_004</t>
  </si>
  <si>
    <t>UAY_SUBINDI_004</t>
  </si>
  <si>
    <t>NBO_SUBINDI_004</t>
  </si>
  <si>
    <t>ADD_SUBINDI_004</t>
  </si>
  <si>
    <t>TOR_SUBINDI_004</t>
  </si>
  <si>
    <t>B6Y_SUBINDI_004</t>
  </si>
  <si>
    <t>SFO_SUBINDI_004</t>
  </si>
  <si>
    <t>A2N_SUBINDI_004</t>
  </si>
  <si>
    <t>RUH_SUBINDI_004</t>
  </si>
  <si>
    <t>CJR_SUBINDI_004</t>
  </si>
  <si>
    <t>KWI_SUBINDI_004</t>
  </si>
  <si>
    <t>BER_SUBINDI_004</t>
  </si>
  <si>
    <t>RMG_SUBINDI_004</t>
  </si>
  <si>
    <t>LOD_SUBINDI_004</t>
  </si>
  <si>
    <t>MDD_SUBINDI_004</t>
  </si>
  <si>
    <t>MW3_SUBINDI_004</t>
  </si>
  <si>
    <t>HEL_SUBINDI_004</t>
  </si>
  <si>
    <t>BUD_SUBINDI_004</t>
  </si>
  <si>
    <t>VIE_SUBINDI_004</t>
  </si>
  <si>
    <t>RGN_SUBINDI_004</t>
  </si>
  <si>
    <t>KHI_SUBINDI_004</t>
  </si>
  <si>
    <t>BOM_SUBINDI_004</t>
  </si>
  <si>
    <t>CCU_SUBINDI_004</t>
  </si>
  <si>
    <t>DLI_SUBINDI_004</t>
  </si>
  <si>
    <t>KTM_SUBINDI_004</t>
  </si>
  <si>
    <t>OSA_SUBINDI_004</t>
  </si>
  <si>
    <t>SEL_SUBINDI_004</t>
  </si>
  <si>
    <t>BJS_SUBINDI_004</t>
  </si>
  <si>
    <t>NHN_SUBINDI_004</t>
  </si>
  <si>
    <t>SYD_SUBINDI_004</t>
  </si>
  <si>
    <t>SGN_SUBINDI_004</t>
  </si>
  <si>
    <t>AKL_SUBINDI_004</t>
  </si>
  <si>
    <t>MNL_SUBINDI_004</t>
  </si>
  <si>
    <t>PNH_SUBINDI_004</t>
  </si>
  <si>
    <t>ZGM_SUBINDI_005</t>
  </si>
  <si>
    <t>JNB_SUBINDI_005</t>
  </si>
  <si>
    <t>UAY_SUBINDI_005</t>
  </si>
  <si>
    <t>NBO_SUBINDI_005</t>
  </si>
  <si>
    <t>ADD_SUBINDI_005</t>
  </si>
  <si>
    <t>TOR_SUBINDI_005</t>
  </si>
  <si>
    <t>B6Y_SUBINDI_005</t>
  </si>
  <si>
    <t>SFO_SUBINDI_005</t>
  </si>
  <si>
    <t>A2N_SUBINDI_005</t>
  </si>
  <si>
    <t>RUH_SUBINDI_005</t>
  </si>
  <si>
    <t>CJR_SUBINDI_005</t>
  </si>
  <si>
    <t>KWI_SUBINDI_005</t>
  </si>
  <si>
    <t>BER_SUBINDI_005</t>
  </si>
  <si>
    <t>RMG_SUBINDI_005</t>
  </si>
  <si>
    <t>LOD_SUBINDI_005</t>
  </si>
  <si>
    <t>MDD_SUBINDI_005</t>
  </si>
  <si>
    <t>MW3_SUBINDI_005</t>
  </si>
  <si>
    <t>HEL_SUBINDI_005</t>
  </si>
  <si>
    <t>BUD_SUBINDI_005</t>
  </si>
  <si>
    <t>VIE_SUBINDI_005</t>
  </si>
  <si>
    <t>RGN_SUBINDI_005</t>
  </si>
  <si>
    <t>KHI_SUBINDI_005</t>
  </si>
  <si>
    <t>BOM_SUBINDI_005</t>
  </si>
  <si>
    <t>CCU_SUBINDI_005</t>
  </si>
  <si>
    <t>DLI_SUBINDI_005</t>
  </si>
  <si>
    <t>KTM_SUBINDI_005</t>
  </si>
  <si>
    <t>OSA_SUBINDI_005</t>
  </si>
  <si>
    <t>SEL_SUBINDI_005</t>
  </si>
  <si>
    <t>BJS_SUBINDI_005</t>
  </si>
  <si>
    <t>NHN_SUBINDI_005</t>
  </si>
  <si>
    <t>SYD_SUBINDI_005</t>
  </si>
  <si>
    <t>SGN_SUBINDI_005</t>
  </si>
  <si>
    <t>AKL_SUBINDI_005</t>
  </si>
  <si>
    <t>MNL_SUBINDI_005</t>
  </si>
  <si>
    <t>PNH_SUBINDI_005</t>
  </si>
  <si>
    <t>ZGM_INDI_003</t>
  </si>
  <si>
    <t>JNB_INDI_003</t>
  </si>
  <si>
    <t>UAY_INDI_003</t>
  </si>
  <si>
    <t>NBO_INDI_003</t>
  </si>
  <si>
    <t>ADD_INDI_003</t>
  </si>
  <si>
    <t>TOR_INDI_003</t>
  </si>
  <si>
    <t>B6Y_INDI_003</t>
  </si>
  <si>
    <t>SFO_INDI_003</t>
  </si>
  <si>
    <t>A2N_INDI_003</t>
  </si>
  <si>
    <t>RUH_INDI_003</t>
  </si>
  <si>
    <t>CJR_INDI_003</t>
  </si>
  <si>
    <t>KWI_INDI_003</t>
  </si>
  <si>
    <t>BER_INDI_003</t>
  </si>
  <si>
    <t>RMG_INDI_003</t>
  </si>
  <si>
    <t>LOD_INDI_003</t>
  </si>
  <si>
    <t>MDD_INDI_003</t>
  </si>
  <si>
    <t>MW3_INDI_003</t>
  </si>
  <si>
    <t>HEL_INDI_003</t>
  </si>
  <si>
    <t>BUD_INDI_003</t>
  </si>
  <si>
    <t>VIE_INDI_003</t>
  </si>
  <si>
    <t>RGN_INDI_003</t>
  </si>
  <si>
    <t>KHI_INDI_003</t>
  </si>
  <si>
    <t>BOM_INDI_003</t>
  </si>
  <si>
    <t>CCU_INDI_003</t>
  </si>
  <si>
    <t>DLI_INDI_003</t>
  </si>
  <si>
    <t>KTM_INDI_003</t>
  </si>
  <si>
    <t>OSA_INDI_003</t>
  </si>
  <si>
    <t>SEL_INDI_003</t>
  </si>
  <si>
    <t>BJS_INDI_003</t>
  </si>
  <si>
    <t>NHN_INDI_003</t>
  </si>
  <si>
    <t>SYD_INDI_003</t>
  </si>
  <si>
    <t>SGN_INDI_003</t>
  </si>
  <si>
    <t>AKL_INDI_003</t>
  </si>
  <si>
    <t>MNL_INDI_003</t>
  </si>
  <si>
    <t>PNH_INDI_003</t>
  </si>
  <si>
    <t>ZGM_SUBINDI_006</t>
  </si>
  <si>
    <t>JNB_SUBINDI_006</t>
  </si>
  <si>
    <t>UAY_SUBINDI_006</t>
  </si>
  <si>
    <t>NBO_SUBINDI_006</t>
  </si>
  <si>
    <t>ADD_SUBINDI_006</t>
  </si>
  <si>
    <t>TOR_SUBINDI_006</t>
  </si>
  <si>
    <t>B6Y_SUBINDI_006</t>
  </si>
  <si>
    <t>SFO_SUBINDI_006</t>
  </si>
  <si>
    <t>A2N_SUBINDI_006</t>
  </si>
  <si>
    <t>RUH_SUBINDI_006</t>
  </si>
  <si>
    <t>CJR_SUBINDI_006</t>
  </si>
  <si>
    <t>KWI_SUBINDI_006</t>
  </si>
  <si>
    <t>BER_SUBINDI_006</t>
  </si>
  <si>
    <t>RMG_SUBINDI_006</t>
  </si>
  <si>
    <t>LOD_SUBINDI_006</t>
  </si>
  <si>
    <t>MDD_SUBINDI_006</t>
  </si>
  <si>
    <t>MW3_SUBINDI_006</t>
  </si>
  <si>
    <t>HEL_SUBINDI_006</t>
  </si>
  <si>
    <t>BUD_SUBINDI_006</t>
  </si>
  <si>
    <t>VIE_SUBINDI_006</t>
  </si>
  <si>
    <t>RGN_SUBINDI_006</t>
  </si>
  <si>
    <t>KHI_SUBINDI_006</t>
  </si>
  <si>
    <t>BOM_SUBINDI_006</t>
  </si>
  <si>
    <t>CCU_SUBINDI_006</t>
  </si>
  <si>
    <t>DLI_SUBINDI_006</t>
  </si>
  <si>
    <t>KTM_SUBINDI_006</t>
  </si>
  <si>
    <t>OSA_SUBINDI_006</t>
  </si>
  <si>
    <t>SEL_SUBINDI_006</t>
  </si>
  <si>
    <t>BJS_SUBINDI_006</t>
  </si>
  <si>
    <t>NHN_SUBINDI_006</t>
  </si>
  <si>
    <t>SYD_SUBINDI_006</t>
  </si>
  <si>
    <t>SGN_SUBINDI_006</t>
  </si>
  <si>
    <t>AKL_SUBINDI_006</t>
  </si>
  <si>
    <t>MNL_SUBINDI_006</t>
  </si>
  <si>
    <t>PNH_SUBINDI_006</t>
  </si>
  <si>
    <t>ZGM_SUBINDI_008</t>
  </si>
  <si>
    <t>JNB_SUBINDI_008</t>
  </si>
  <si>
    <t>UAY_SUBINDI_008</t>
  </si>
  <si>
    <t>NBO_SUBINDI_008</t>
  </si>
  <si>
    <t>ADD_SUBINDI_008</t>
  </si>
  <si>
    <t>TOR_SUBINDI_008</t>
  </si>
  <si>
    <t>B6Y_SUBINDI_008</t>
  </si>
  <si>
    <t>SFO_SUBINDI_008</t>
  </si>
  <si>
    <t>A2N_SUBINDI_008</t>
  </si>
  <si>
    <t>RUH_SUBINDI_008</t>
  </si>
  <si>
    <t>CJR_SUBINDI_008</t>
  </si>
  <si>
    <t>KWI_SUBINDI_008</t>
  </si>
  <si>
    <t>BER_SUBINDI_008</t>
  </si>
  <si>
    <t>RMG_SUBINDI_008</t>
  </si>
  <si>
    <t>LOD_SUBINDI_008</t>
  </si>
  <si>
    <t>MDD_SUBINDI_008</t>
  </si>
  <si>
    <t>MW3_SUBINDI_008</t>
  </si>
  <si>
    <t>HEL_SUBINDI_008</t>
  </si>
  <si>
    <t>BUD_SUBINDI_008</t>
  </si>
  <si>
    <t>VIE_SUBINDI_008</t>
  </si>
  <si>
    <t>RGN_SUBINDI_008</t>
  </si>
  <si>
    <t>KHI_SUBINDI_008</t>
  </si>
  <si>
    <t>BOM_SUBINDI_008</t>
  </si>
  <si>
    <t>CCU_SUBINDI_008</t>
  </si>
  <si>
    <t>DLI_SUBINDI_008</t>
  </si>
  <si>
    <t>KTM_SUBINDI_008</t>
  </si>
  <si>
    <t>OSA_SUBINDI_008</t>
  </si>
  <si>
    <t>SEL_SUBINDI_008</t>
  </si>
  <si>
    <t>BJS_SUBINDI_008</t>
  </si>
  <si>
    <t>NHN_SUBINDI_008</t>
  </si>
  <si>
    <t>SYD_SUBINDI_008</t>
  </si>
  <si>
    <t>SGN_SUBINDI_008</t>
  </si>
  <si>
    <t>AKL_SUBINDI_008</t>
  </si>
  <si>
    <t>MNL_SUBINDI_008</t>
  </si>
  <si>
    <t>PNH_SUBINDI_008</t>
  </si>
  <si>
    <t>ZGM_SUBINDI_007</t>
  </si>
  <si>
    <t>JNB_SUBINDI_007</t>
  </si>
  <si>
    <t>UAY_SUBINDI_007</t>
  </si>
  <si>
    <t>NBO_SUBINDI_007</t>
  </si>
  <si>
    <t>ADD_SUBINDI_007</t>
  </si>
  <si>
    <t>TOR_SUBINDI_007</t>
  </si>
  <si>
    <t>B6Y_SUBINDI_007</t>
  </si>
  <si>
    <t>SFO_SUBINDI_007</t>
  </si>
  <si>
    <t>A2N_SUBINDI_007</t>
  </si>
  <si>
    <t>RUH_SUBINDI_007</t>
  </si>
  <si>
    <t>CJR_SUBINDI_007</t>
  </si>
  <si>
    <t>KWI_SUBINDI_007</t>
  </si>
  <si>
    <t>BER_SUBINDI_007</t>
  </si>
  <si>
    <t>RMG_SUBINDI_007</t>
  </si>
  <si>
    <t>LOD_SUBINDI_007</t>
  </si>
  <si>
    <t>MDD_SUBINDI_007</t>
  </si>
  <si>
    <t>MW3_SUBINDI_007</t>
  </si>
  <si>
    <t>HEL_SUBINDI_007</t>
  </si>
  <si>
    <t>BUD_SUBINDI_007</t>
  </si>
  <si>
    <t>VIE_SUBINDI_007</t>
  </si>
  <si>
    <t>RGN_SUBINDI_007</t>
  </si>
  <si>
    <t>KHI_SUBINDI_007</t>
  </si>
  <si>
    <t>BOM_SUBINDI_007</t>
  </si>
  <si>
    <t>CCU_SUBINDI_007</t>
  </si>
  <si>
    <t>DLI_SUBINDI_007</t>
  </si>
  <si>
    <t>KTM_SUBINDI_007</t>
  </si>
  <si>
    <t>OSA_SUBINDI_007</t>
  </si>
  <si>
    <t>SEL_SUBINDI_007</t>
  </si>
  <si>
    <t>BJS_SUBINDI_007</t>
  </si>
  <si>
    <t>NHN_SUBINDI_007</t>
  </si>
  <si>
    <t>SYD_SUBINDI_007</t>
  </si>
  <si>
    <t>SGN_SUBINDI_007</t>
  </si>
  <si>
    <t>AKL_SUBINDI_007</t>
  </si>
  <si>
    <t>MNL_SUBINDI_007</t>
  </si>
  <si>
    <t>PNH_SUBINDI_007</t>
  </si>
  <si>
    <t>ZGM_SUBINDI_018</t>
  </si>
  <si>
    <t>JNB_SUBINDI_018</t>
  </si>
  <si>
    <t>UAY_SUBINDI_018</t>
  </si>
  <si>
    <t>NBO_SUBINDI_018</t>
  </si>
  <si>
    <t>ADD_SUBINDI_018</t>
  </si>
  <si>
    <t>TOR_SUBINDI_018</t>
  </si>
  <si>
    <t>B6Y_SUBINDI_018</t>
  </si>
  <si>
    <t>SFO_SUBINDI_018</t>
  </si>
  <si>
    <t>A2N_SUBINDI_018</t>
  </si>
  <si>
    <t>RUH_SUBINDI_018</t>
  </si>
  <si>
    <t>CJR_SUBINDI_018</t>
  </si>
  <si>
    <t>KWI_SUBINDI_018</t>
  </si>
  <si>
    <t>BER_SUBINDI_018</t>
  </si>
  <si>
    <t>RMG_SUBINDI_018</t>
  </si>
  <si>
    <t>LOD_SUBINDI_018</t>
  </si>
  <si>
    <t>MDD_SUBINDI_018</t>
  </si>
  <si>
    <t>MW3_SUBINDI_018</t>
  </si>
  <si>
    <t>HEL_SUBINDI_018</t>
  </si>
  <si>
    <t>BUD_SUBINDI_018</t>
  </si>
  <si>
    <t>VIE_SUBINDI_018</t>
  </si>
  <si>
    <t>RGN_SUBINDI_018</t>
  </si>
  <si>
    <t>KHI_SUBINDI_018</t>
  </si>
  <si>
    <t>BOM_SUBINDI_018</t>
  </si>
  <si>
    <t>CCU_SUBINDI_018</t>
  </si>
  <si>
    <t>DLI_SUBINDI_018</t>
  </si>
  <si>
    <t>KTM_SUBINDI_018</t>
  </si>
  <si>
    <t>OSA_SUBINDI_018</t>
  </si>
  <si>
    <t>SEL_SUBINDI_018</t>
  </si>
  <si>
    <t>BJS_SUBINDI_018</t>
  </si>
  <si>
    <t>NHN_SUBINDI_018</t>
  </si>
  <si>
    <t>SYD_SUBINDI_018</t>
  </si>
  <si>
    <t>SGN_SUBINDI_018</t>
  </si>
  <si>
    <t>AKL_SUBINDI_018</t>
  </si>
  <si>
    <t>MNL_SUBINDI_018</t>
  </si>
  <si>
    <t>PNH_SUBINDI_018</t>
  </si>
  <si>
    <t>ZGM_INDI_004</t>
  </si>
  <si>
    <t>JNB_INDI_004</t>
  </si>
  <si>
    <t>UAY_INDI_004</t>
  </si>
  <si>
    <t>NBO_INDI_004</t>
  </si>
  <si>
    <t>ADD_INDI_004</t>
  </si>
  <si>
    <t>TOR_INDI_004</t>
  </si>
  <si>
    <t>B6Y_INDI_004</t>
  </si>
  <si>
    <t>SFO_INDI_004</t>
  </si>
  <si>
    <t>A2N_INDI_004</t>
  </si>
  <si>
    <t>RUH_INDI_004</t>
  </si>
  <si>
    <t>CJR_INDI_004</t>
  </si>
  <si>
    <t>KWI_INDI_004</t>
  </si>
  <si>
    <t>BER_INDI_004</t>
  </si>
  <si>
    <t>RMG_INDI_004</t>
  </si>
  <si>
    <t>LOD_INDI_004</t>
  </si>
  <si>
    <t>MDD_INDI_004</t>
  </si>
  <si>
    <t>MW3_INDI_004</t>
  </si>
  <si>
    <t>HEL_INDI_004</t>
  </si>
  <si>
    <t>BUD_INDI_004</t>
  </si>
  <si>
    <t>VIE_INDI_004</t>
  </si>
  <si>
    <t>RGN_INDI_004</t>
  </si>
  <si>
    <t>KHI_INDI_004</t>
  </si>
  <si>
    <t>BOM_INDI_004</t>
  </si>
  <si>
    <t>CCU_INDI_004</t>
  </si>
  <si>
    <t>DLI_INDI_004</t>
  </si>
  <si>
    <t>KTM_INDI_004</t>
  </si>
  <si>
    <t>OSA_INDI_004</t>
  </si>
  <si>
    <t>SEL_INDI_004</t>
  </si>
  <si>
    <t>BJS_INDI_004</t>
  </si>
  <si>
    <t>NHN_INDI_004</t>
  </si>
  <si>
    <t>SYD_INDI_004</t>
  </si>
  <si>
    <t>SGN_INDI_004</t>
  </si>
  <si>
    <t>AKL_INDI_004</t>
  </si>
  <si>
    <t>MNL_INDI_004</t>
  </si>
  <si>
    <t>PNH_INDI_004</t>
  </si>
  <si>
    <t>ZGM_SUBINDI_024</t>
  </si>
  <si>
    <t>JNB_SUBINDI_024</t>
  </si>
  <si>
    <t>UAY_SUBINDI_024</t>
  </si>
  <si>
    <t>NBO_SUBINDI_024</t>
  </si>
  <si>
    <t>ADD_SUBINDI_024</t>
  </si>
  <si>
    <t>TOR_SUBINDI_024</t>
  </si>
  <si>
    <t>B6Y_SUBINDI_024</t>
  </si>
  <si>
    <t>SFO_SUBINDI_024</t>
  </si>
  <si>
    <t>A2N_SUBINDI_024</t>
  </si>
  <si>
    <t>RUH_SUBINDI_024</t>
  </si>
  <si>
    <t>CJR_SUBINDI_024</t>
  </si>
  <si>
    <t>KWI_SUBINDI_024</t>
  </si>
  <si>
    <t>BER_SUBINDI_024</t>
  </si>
  <si>
    <t>RMG_SUBINDI_024</t>
  </si>
  <si>
    <t>LOD_SUBINDI_024</t>
  </si>
  <si>
    <t>MDD_SUBINDI_024</t>
  </si>
  <si>
    <t>MW3_SUBINDI_024</t>
  </si>
  <si>
    <t>HEL_SUBINDI_024</t>
  </si>
  <si>
    <t>BUD_SUBINDI_024</t>
  </si>
  <si>
    <t>VIE_SUBINDI_024</t>
  </si>
  <si>
    <t>RGN_SUBINDI_024</t>
  </si>
  <si>
    <t>KHI_SUBINDI_024</t>
  </si>
  <si>
    <t>BOM_SUBINDI_024</t>
  </si>
  <si>
    <t>CCU_SUBINDI_024</t>
  </si>
  <si>
    <t>DLI_SUBINDI_024</t>
  </si>
  <si>
    <t>KTM_SUBINDI_024</t>
  </si>
  <si>
    <t>OSA_SUBINDI_024</t>
  </si>
  <si>
    <t>SEL_SUBINDI_024</t>
  </si>
  <si>
    <t>BJS_SUBINDI_024</t>
  </si>
  <si>
    <t>NHN_SUBINDI_024</t>
  </si>
  <si>
    <t>SYD_SUBINDI_024</t>
  </si>
  <si>
    <t>SGN_SUBINDI_024</t>
  </si>
  <si>
    <t>AKL_SUBINDI_024</t>
  </si>
  <si>
    <t>MNL_SUBINDI_024</t>
  </si>
  <si>
    <t>PNH_SUBINDI_024</t>
  </si>
  <si>
    <t>ZGM_SUBINDI_009</t>
  </si>
  <si>
    <t>JNB_SUBINDI_009</t>
  </si>
  <si>
    <t>UAY_SUBINDI_009</t>
  </si>
  <si>
    <t>NBO_SUBINDI_009</t>
  </si>
  <si>
    <t>ADD_SUBINDI_009</t>
  </si>
  <si>
    <t>TOR_SUBINDI_009</t>
  </si>
  <si>
    <t>B6Y_SUBINDI_009</t>
  </si>
  <si>
    <t>SFO_SUBINDI_009</t>
  </si>
  <si>
    <t>A2N_SUBINDI_009</t>
  </si>
  <si>
    <t>RUH_SUBINDI_009</t>
  </si>
  <si>
    <t>CJR_SUBINDI_009</t>
  </si>
  <si>
    <t>KWI_SUBINDI_009</t>
  </si>
  <si>
    <t>BER_SUBINDI_009</t>
  </si>
  <si>
    <t>RMG_SUBINDI_009</t>
  </si>
  <si>
    <t>LOD_SUBINDI_009</t>
  </si>
  <si>
    <t>MDD_SUBINDI_009</t>
  </si>
  <si>
    <t>MW3_SUBINDI_009</t>
  </si>
  <si>
    <t>HEL_SUBINDI_009</t>
  </si>
  <si>
    <t>BUD_SUBINDI_009</t>
  </si>
  <si>
    <t>VIE_SUBINDI_009</t>
  </si>
  <si>
    <t>RGN_SUBINDI_009</t>
  </si>
  <si>
    <t>KHI_SUBINDI_009</t>
  </si>
  <si>
    <t>BOM_SUBINDI_009</t>
  </si>
  <si>
    <t>CCU_SUBINDI_009</t>
  </si>
  <si>
    <t>DLI_SUBINDI_009</t>
  </si>
  <si>
    <t>KTM_SUBINDI_009</t>
  </si>
  <si>
    <t>OSA_SUBINDI_009</t>
  </si>
  <si>
    <t>SEL_SUBINDI_009</t>
  </si>
  <si>
    <t>BJS_SUBINDI_009</t>
  </si>
  <si>
    <t>NHN_SUBINDI_009</t>
  </si>
  <si>
    <t>SYD_SUBINDI_009</t>
  </si>
  <si>
    <t>SGN_SUBINDI_009</t>
  </si>
  <si>
    <t>AKL_SUBINDI_009</t>
  </si>
  <si>
    <t>MNL_SUBINDI_009</t>
  </si>
  <si>
    <t>PNH_SUBINDI_009</t>
  </si>
  <si>
    <t>ZGM_INDI_005</t>
  </si>
  <si>
    <t>JNB_INDI_005</t>
  </si>
  <si>
    <t>UAY_INDI_005</t>
  </si>
  <si>
    <t>NBO_INDI_005</t>
  </si>
  <si>
    <t>ADD_INDI_005</t>
  </si>
  <si>
    <t>TOR_INDI_005</t>
  </si>
  <si>
    <t>B6Y_INDI_005</t>
  </si>
  <si>
    <t>SFO_INDI_005</t>
  </si>
  <si>
    <t>A2N_INDI_005</t>
  </si>
  <si>
    <t>RUH_INDI_005</t>
  </si>
  <si>
    <t>CJR_INDI_005</t>
  </si>
  <si>
    <t>KWI_INDI_005</t>
  </si>
  <si>
    <t>BER_INDI_005</t>
  </si>
  <si>
    <t>RMG_INDI_005</t>
  </si>
  <si>
    <t>LOD_INDI_005</t>
  </si>
  <si>
    <t>MDD_INDI_005</t>
  </si>
  <si>
    <t>MW3_INDI_005</t>
  </si>
  <si>
    <t>HEL_INDI_005</t>
  </si>
  <si>
    <t>BUD_INDI_005</t>
  </si>
  <si>
    <t>VIE_INDI_005</t>
  </si>
  <si>
    <t>RGN_INDI_005</t>
  </si>
  <si>
    <t>KHI_INDI_005</t>
  </si>
  <si>
    <t>BOM_INDI_005</t>
  </si>
  <si>
    <t>CCU_INDI_005</t>
  </si>
  <si>
    <t>DLI_INDI_005</t>
  </si>
  <si>
    <t>KTM_INDI_005</t>
  </si>
  <si>
    <t>OSA_INDI_005</t>
  </si>
  <si>
    <t>SEL_INDI_005</t>
  </si>
  <si>
    <t>BJS_INDI_005</t>
  </si>
  <si>
    <t>NHN_INDI_005</t>
  </si>
  <si>
    <t>SYD_INDI_005</t>
  </si>
  <si>
    <t>SGN_INDI_005</t>
  </si>
  <si>
    <t>AKL_INDI_005</t>
  </si>
  <si>
    <t>MNL_INDI_005</t>
  </si>
  <si>
    <t>PNH_INDI_005</t>
  </si>
  <si>
    <t>ZGM_SUBINDI_010</t>
  </si>
  <si>
    <t>JNB_SUBINDI_010</t>
  </si>
  <si>
    <t>UAY_SUBINDI_010</t>
  </si>
  <si>
    <t>NBO_SUBINDI_010</t>
  </si>
  <si>
    <t>ADD_SUBINDI_010</t>
  </si>
  <si>
    <t>TOR_SUBINDI_010</t>
  </si>
  <si>
    <t>B6Y_SUBINDI_010</t>
  </si>
  <si>
    <t>SFO_SUBINDI_010</t>
  </si>
  <si>
    <t>A2N_SUBINDI_010</t>
  </si>
  <si>
    <t>RUH_SUBINDI_010</t>
  </si>
  <si>
    <t>CJR_SUBINDI_010</t>
  </si>
  <si>
    <t>KWI_SUBINDI_010</t>
  </si>
  <si>
    <t>BER_SUBINDI_010</t>
  </si>
  <si>
    <t>RMG_SUBINDI_010</t>
  </si>
  <si>
    <t>LOD_SUBINDI_010</t>
  </si>
  <si>
    <t>MDD_SUBINDI_010</t>
  </si>
  <si>
    <t>MW3_SUBINDI_010</t>
  </si>
  <si>
    <t>HEL_SUBINDI_010</t>
  </si>
  <si>
    <t>BUD_SUBINDI_010</t>
  </si>
  <si>
    <t>VIE_SUBINDI_010</t>
  </si>
  <si>
    <t>RGN_SUBINDI_010</t>
  </si>
  <si>
    <t>KHI_SUBINDI_010</t>
  </si>
  <si>
    <t>BOM_SUBINDI_010</t>
  </si>
  <si>
    <t>CCU_SUBINDI_010</t>
  </si>
  <si>
    <t>DLI_SUBINDI_010</t>
  </si>
  <si>
    <t>KTM_SUBINDI_010</t>
  </si>
  <si>
    <t>OSA_SUBINDI_010</t>
  </si>
  <si>
    <t>SEL_SUBINDI_010</t>
  </si>
  <si>
    <t>BJS_SUBINDI_010</t>
  </si>
  <si>
    <t>NHN_SUBINDI_010</t>
  </si>
  <si>
    <t>SYD_SUBINDI_010</t>
  </si>
  <si>
    <t>SGN_SUBINDI_010</t>
  </si>
  <si>
    <t>AKL_SUBINDI_010</t>
  </si>
  <si>
    <t>MNL_SUBINDI_010</t>
  </si>
  <si>
    <t>PNH_SUBINDI_010</t>
  </si>
  <si>
    <t>ZGM_SUBINDI_011</t>
  </si>
  <si>
    <t>JNB_SUBINDI_011</t>
  </si>
  <si>
    <t>UAY_SUBINDI_011</t>
  </si>
  <si>
    <t>NBO_SUBINDI_011</t>
  </si>
  <si>
    <t>ADD_SUBINDI_011</t>
  </si>
  <si>
    <t>TOR_SUBINDI_011</t>
  </si>
  <si>
    <t>B6Y_SUBINDI_011</t>
  </si>
  <si>
    <t>SFO_SUBINDI_011</t>
  </si>
  <si>
    <t>A2N_SUBINDI_011</t>
  </si>
  <si>
    <t>RUH_SUBINDI_011</t>
  </si>
  <si>
    <t>CJR_SUBINDI_011</t>
  </si>
  <si>
    <t>KWI_SUBINDI_011</t>
  </si>
  <si>
    <t>BER_SUBINDI_011</t>
  </si>
  <si>
    <t>RMG_SUBINDI_011</t>
  </si>
  <si>
    <t>LOD_SUBINDI_011</t>
  </si>
  <si>
    <t>MDD_SUBINDI_011</t>
  </si>
  <si>
    <t>MW3_SUBINDI_011</t>
  </si>
  <si>
    <t>HEL_SUBINDI_011</t>
  </si>
  <si>
    <t>BUD_SUBINDI_011</t>
  </si>
  <si>
    <t>VIE_SUBINDI_011</t>
  </si>
  <si>
    <t>RGN_SUBINDI_011</t>
  </si>
  <si>
    <t>KHI_SUBINDI_011</t>
  </si>
  <si>
    <t>BOM_SUBINDI_011</t>
  </si>
  <si>
    <t>CCU_SUBINDI_011</t>
  </si>
  <si>
    <t>DLI_SUBINDI_011</t>
  </si>
  <si>
    <t>KTM_SUBINDI_011</t>
  </si>
  <si>
    <t>OSA_SUBINDI_011</t>
  </si>
  <si>
    <t>SEL_SUBINDI_011</t>
  </si>
  <si>
    <t>BJS_SUBINDI_011</t>
  </si>
  <si>
    <t>NHN_SUBINDI_011</t>
  </si>
  <si>
    <t>SYD_SUBINDI_011</t>
  </si>
  <si>
    <t>SGN_SUBINDI_011</t>
  </si>
  <si>
    <t>AKL_SUBINDI_011</t>
  </si>
  <si>
    <t>MNL_SUBINDI_011</t>
  </si>
  <si>
    <t>PNH_SUBINDI_011</t>
  </si>
  <si>
    <t>ZGM_DOMAIN_002</t>
  </si>
  <si>
    <t>JNB_DOMAIN_002</t>
  </si>
  <si>
    <t>UAY_DOMAIN_002</t>
  </si>
  <si>
    <t>NBO_DOMAIN_002</t>
  </si>
  <si>
    <t>ADD_DOMAIN_002</t>
  </si>
  <si>
    <t>TOR_DOMAIN_002</t>
  </si>
  <si>
    <t>B6Y_DOMAIN_002</t>
  </si>
  <si>
    <t>SFO_DOMAIN_002</t>
  </si>
  <si>
    <t>A2N_DOMAIN_002</t>
  </si>
  <si>
    <t>RUH_DOMAIN_002</t>
  </si>
  <si>
    <t>CJR_DOMAIN_002</t>
  </si>
  <si>
    <t>KWI_DOMAIN_002</t>
  </si>
  <si>
    <t>BER_DOMAIN_002</t>
  </si>
  <si>
    <t>RMG_DOMAIN_002</t>
  </si>
  <si>
    <t>LOD_DOMAIN_002</t>
  </si>
  <si>
    <t>MDD_DOMAIN_002</t>
  </si>
  <si>
    <t>MW3_DOMAIN_002</t>
  </si>
  <si>
    <t>HEL_DOMAIN_002</t>
  </si>
  <si>
    <t>BUD_DOMAIN_002</t>
  </si>
  <si>
    <t>VIE_DOMAIN_002</t>
  </si>
  <si>
    <t>RGN_DOMAIN_002</t>
  </si>
  <si>
    <t>KHI_DOMAIN_002</t>
  </si>
  <si>
    <t>BOM_DOMAIN_002</t>
  </si>
  <si>
    <t>CCU_DOMAIN_002</t>
  </si>
  <si>
    <t>DLI_DOMAIN_002</t>
  </si>
  <si>
    <t>KTM_DOMAIN_002</t>
  </si>
  <si>
    <t>OSA_DOMAIN_002</t>
  </si>
  <si>
    <t>SEL_DOMAIN_002</t>
  </si>
  <si>
    <t>BJS_DOMAIN_002</t>
  </si>
  <si>
    <t>NHN_DOMAIN_002</t>
  </si>
  <si>
    <t>SYD_DOMAIN_002</t>
  </si>
  <si>
    <t>SGN_DOMAIN_002</t>
  </si>
  <si>
    <t>AKL_DOMAIN_002</t>
  </si>
  <si>
    <t>MNL_DOMAIN_002</t>
  </si>
  <si>
    <t>PNH_DOMAIN_002</t>
  </si>
  <si>
    <t>ZGM_INDI_006</t>
  </si>
  <si>
    <t>JNB_INDI_006</t>
  </si>
  <si>
    <t>UAY_INDI_006</t>
  </si>
  <si>
    <t>NBO_INDI_006</t>
  </si>
  <si>
    <t>ADD_INDI_006</t>
  </si>
  <si>
    <t>TOR_INDI_006</t>
  </si>
  <si>
    <t>B6Y_INDI_006</t>
  </si>
  <si>
    <t>SFO_INDI_006</t>
  </si>
  <si>
    <t>A2N_INDI_006</t>
  </si>
  <si>
    <t>RUH_INDI_006</t>
  </si>
  <si>
    <t>CJR_INDI_006</t>
  </si>
  <si>
    <t>KWI_INDI_006</t>
  </si>
  <si>
    <t>BER_INDI_006</t>
  </si>
  <si>
    <t>RMG_INDI_006</t>
  </si>
  <si>
    <t>LOD_INDI_006</t>
  </si>
  <si>
    <t>MDD_INDI_006</t>
  </si>
  <si>
    <t>MW3_INDI_006</t>
  </si>
  <si>
    <t>HEL_INDI_006</t>
  </si>
  <si>
    <t>BUD_INDI_006</t>
  </si>
  <si>
    <t>VIE_INDI_006</t>
  </si>
  <si>
    <t>RGN_INDI_006</t>
  </si>
  <si>
    <t>KHI_INDI_006</t>
  </si>
  <si>
    <t>BOM_INDI_006</t>
  </si>
  <si>
    <t>CCU_INDI_006</t>
  </si>
  <si>
    <t>DLI_INDI_006</t>
  </si>
  <si>
    <t>KTM_INDI_006</t>
  </si>
  <si>
    <t>OSA_INDI_006</t>
  </si>
  <si>
    <t>SEL_INDI_006</t>
  </si>
  <si>
    <t>BJS_INDI_006</t>
  </si>
  <si>
    <t>NHN_INDI_006</t>
  </si>
  <si>
    <t>SYD_INDI_006</t>
  </si>
  <si>
    <t>SGN_INDI_006</t>
  </si>
  <si>
    <t>AKL_INDI_006</t>
  </si>
  <si>
    <t>MNL_INDI_006</t>
  </si>
  <si>
    <t>PNH_INDI_006</t>
  </si>
  <si>
    <t>ZGM_SUBINDI_012</t>
  </si>
  <si>
    <t>JNB_SUBINDI_012</t>
  </si>
  <si>
    <t>UAY_SUBINDI_012</t>
  </si>
  <si>
    <t>NBO_SUBINDI_012</t>
  </si>
  <si>
    <t>ADD_SUBINDI_012</t>
  </si>
  <si>
    <t>TOR_SUBINDI_012</t>
  </si>
  <si>
    <t>B6Y_SUBINDI_012</t>
  </si>
  <si>
    <t>SFO_SUBINDI_012</t>
  </si>
  <si>
    <t>A2N_SUBINDI_012</t>
  </si>
  <si>
    <t>RUH_SUBINDI_012</t>
  </si>
  <si>
    <t>CJR_SUBINDI_012</t>
  </si>
  <si>
    <t>KWI_SUBINDI_012</t>
  </si>
  <si>
    <t>BER_SUBINDI_012</t>
  </si>
  <si>
    <t>RMG_SUBINDI_012</t>
  </si>
  <si>
    <t>LOD_SUBINDI_012</t>
  </si>
  <si>
    <t>MDD_SUBINDI_012</t>
  </si>
  <si>
    <t>MW3_SUBINDI_012</t>
  </si>
  <si>
    <t>HEL_SUBINDI_012</t>
  </si>
  <si>
    <t>BUD_SUBINDI_012</t>
  </si>
  <si>
    <t>VIE_SUBINDI_012</t>
  </si>
  <si>
    <t>RGN_SUBINDI_012</t>
  </si>
  <si>
    <t>KHI_SUBINDI_012</t>
  </si>
  <si>
    <t>BOM_SUBINDI_012</t>
  </si>
  <si>
    <t>CCU_SUBINDI_012</t>
  </si>
  <si>
    <t>DLI_SUBINDI_012</t>
  </si>
  <si>
    <t>KTM_SUBINDI_012</t>
  </si>
  <si>
    <t>OSA_SUBINDI_012</t>
  </si>
  <si>
    <t>SEL_SUBINDI_012</t>
  </si>
  <si>
    <t>BJS_SUBINDI_012</t>
  </si>
  <si>
    <t>NHN_SUBINDI_012</t>
  </si>
  <si>
    <t>SYD_SUBINDI_012</t>
  </si>
  <si>
    <t>SGN_SUBINDI_012</t>
  </si>
  <si>
    <t>AKL_SUBINDI_012</t>
  </si>
  <si>
    <t>MNL_SUBINDI_012</t>
  </si>
  <si>
    <t>PNH_SUBINDI_012</t>
  </si>
  <si>
    <t>ZGM_SUBINDI_013</t>
  </si>
  <si>
    <t>JNB_SUBINDI_013</t>
  </si>
  <si>
    <t>UAY_SUBINDI_013</t>
  </si>
  <si>
    <t>NBO_SUBINDI_013</t>
  </si>
  <si>
    <t>ADD_SUBINDI_013</t>
  </si>
  <si>
    <t>TOR_SUBINDI_013</t>
  </si>
  <si>
    <t>B6Y_SUBINDI_013</t>
  </si>
  <si>
    <t>SFO_SUBINDI_013</t>
  </si>
  <si>
    <t>A2N_SUBINDI_013</t>
  </si>
  <si>
    <t>RUH_SUBINDI_013</t>
  </si>
  <si>
    <t>CJR_SUBINDI_013</t>
  </si>
  <si>
    <t>KWI_SUBINDI_013</t>
  </si>
  <si>
    <t>BER_SUBINDI_013</t>
  </si>
  <si>
    <t>RMG_SUBINDI_013</t>
  </si>
  <si>
    <t>LOD_SUBINDI_013</t>
  </si>
  <si>
    <t>MDD_SUBINDI_013</t>
  </si>
  <si>
    <t>MW3_SUBINDI_013</t>
  </si>
  <si>
    <t>HEL_SUBINDI_013</t>
  </si>
  <si>
    <t>BUD_SUBINDI_013</t>
  </si>
  <si>
    <t>VIE_SUBINDI_013</t>
  </si>
  <si>
    <t>RGN_SUBINDI_013</t>
  </si>
  <si>
    <t>KHI_SUBINDI_013</t>
  </si>
  <si>
    <t>BOM_SUBINDI_013</t>
  </si>
  <si>
    <t>CCU_SUBINDI_013</t>
  </si>
  <si>
    <t>DLI_SUBINDI_013</t>
  </si>
  <si>
    <t>KTM_SUBINDI_013</t>
  </si>
  <si>
    <t>OSA_SUBINDI_013</t>
  </si>
  <si>
    <t>SEL_SUBINDI_013</t>
  </si>
  <si>
    <t>BJS_SUBINDI_013</t>
  </si>
  <si>
    <t>NHN_SUBINDI_013</t>
  </si>
  <si>
    <t>SYD_SUBINDI_013</t>
  </si>
  <si>
    <t>SGN_SUBINDI_013</t>
  </si>
  <si>
    <t>AKL_SUBINDI_013</t>
  </si>
  <si>
    <t>MNL_SUBINDI_013</t>
  </si>
  <si>
    <t>PNH_SUBINDI_013</t>
  </si>
  <si>
    <t>ZGM_INDI_007</t>
  </si>
  <si>
    <t>JNB_INDI_007</t>
  </si>
  <si>
    <t>UAY_INDI_007</t>
  </si>
  <si>
    <t>NBO_INDI_007</t>
  </si>
  <si>
    <t>ADD_INDI_007</t>
  </si>
  <si>
    <t>TOR_INDI_007</t>
  </si>
  <si>
    <t>B6Y_INDI_007</t>
  </si>
  <si>
    <t>SFO_INDI_007</t>
  </si>
  <si>
    <t>A2N_INDI_007</t>
  </si>
  <si>
    <t>RUH_INDI_007</t>
  </si>
  <si>
    <t>CJR_INDI_007</t>
  </si>
  <si>
    <t>KWI_INDI_007</t>
  </si>
  <si>
    <t>BER_INDI_007</t>
  </si>
  <si>
    <t>RMG_INDI_007</t>
  </si>
  <si>
    <t>LOD_INDI_007</t>
  </si>
  <si>
    <t>MDD_INDI_007</t>
  </si>
  <si>
    <t>MW3_INDI_007</t>
  </si>
  <si>
    <t>HEL_INDI_007</t>
  </si>
  <si>
    <t>BUD_INDI_007</t>
  </si>
  <si>
    <t>VIE_INDI_007</t>
  </si>
  <si>
    <t>RGN_INDI_007</t>
  </si>
  <si>
    <t>KHI_INDI_007</t>
  </si>
  <si>
    <t>BOM_INDI_007</t>
  </si>
  <si>
    <t>CCU_INDI_007</t>
  </si>
  <si>
    <t>DLI_INDI_007</t>
  </si>
  <si>
    <t>KTM_INDI_007</t>
  </si>
  <si>
    <t>OSA_INDI_007</t>
  </si>
  <si>
    <t>SEL_INDI_007</t>
  </si>
  <si>
    <t>BJS_INDI_007</t>
  </si>
  <si>
    <t>NHN_INDI_007</t>
  </si>
  <si>
    <t>SYD_INDI_007</t>
  </si>
  <si>
    <t>SGN_INDI_007</t>
  </si>
  <si>
    <t>AKL_INDI_007</t>
  </si>
  <si>
    <t>MNL_INDI_007</t>
  </si>
  <si>
    <t>PNH_INDI_007</t>
  </si>
  <si>
    <t>ZGM_SUBINDI_014</t>
  </si>
  <si>
    <t>JNB_SUBINDI_014</t>
  </si>
  <si>
    <t>UAY_SUBINDI_014</t>
  </si>
  <si>
    <t>NBO_SUBINDI_014</t>
  </si>
  <si>
    <t>ADD_SUBINDI_014</t>
  </si>
  <si>
    <t>TOR_SUBINDI_014</t>
  </si>
  <si>
    <t>B6Y_SUBINDI_014</t>
  </si>
  <si>
    <t>SFO_SUBINDI_014</t>
  </si>
  <si>
    <t>A2N_SUBINDI_014</t>
  </si>
  <si>
    <t>RUH_SUBINDI_014</t>
  </si>
  <si>
    <t>CJR_SUBINDI_014</t>
  </si>
  <si>
    <t>KWI_SUBINDI_014</t>
  </si>
  <si>
    <t>BER_SUBINDI_014</t>
  </si>
  <si>
    <t>RMG_SUBINDI_014</t>
  </si>
  <si>
    <t>LOD_SUBINDI_014</t>
  </si>
  <si>
    <t>MDD_SUBINDI_014</t>
  </si>
  <si>
    <t>MW3_SUBINDI_014</t>
  </si>
  <si>
    <t>HEL_SUBINDI_014</t>
  </si>
  <si>
    <t>BUD_SUBINDI_014</t>
  </si>
  <si>
    <t>VIE_SUBINDI_014</t>
  </si>
  <si>
    <t>RGN_SUBINDI_014</t>
  </si>
  <si>
    <t>KHI_SUBINDI_014</t>
  </si>
  <si>
    <t>BOM_SUBINDI_014</t>
  </si>
  <si>
    <t>CCU_SUBINDI_014</t>
  </si>
  <si>
    <t>DLI_SUBINDI_014</t>
  </si>
  <si>
    <t>KTM_SUBINDI_014</t>
  </si>
  <si>
    <t>OSA_SUBINDI_014</t>
  </si>
  <si>
    <t>SEL_SUBINDI_014</t>
  </si>
  <si>
    <t>BJS_SUBINDI_014</t>
  </si>
  <si>
    <t>NHN_SUBINDI_014</t>
  </si>
  <si>
    <t>SYD_SUBINDI_014</t>
  </si>
  <si>
    <t>SGN_SUBINDI_014</t>
  </si>
  <si>
    <t>AKL_SUBINDI_014</t>
  </si>
  <si>
    <t>MNL_SUBINDI_014</t>
  </si>
  <si>
    <t>PNH_SUBINDI_014</t>
  </si>
  <si>
    <t>ZGM_INDI_008</t>
  </si>
  <si>
    <t>JNB_INDI_008</t>
  </si>
  <si>
    <t>UAY_INDI_008</t>
  </si>
  <si>
    <t>NBO_INDI_008</t>
  </si>
  <si>
    <t>ADD_INDI_008</t>
  </si>
  <si>
    <t>TOR_INDI_008</t>
  </si>
  <si>
    <t>B6Y_INDI_008</t>
  </si>
  <si>
    <t>SFO_INDI_008</t>
  </si>
  <si>
    <t>A2N_INDI_008</t>
  </si>
  <si>
    <t>RUH_INDI_008</t>
  </si>
  <si>
    <t>CJR_INDI_008</t>
  </si>
  <si>
    <t>KWI_INDI_008</t>
  </si>
  <si>
    <t>BER_INDI_008</t>
  </si>
  <si>
    <t>RMG_INDI_008</t>
  </si>
  <si>
    <t>LOD_INDI_008</t>
  </si>
  <si>
    <t>MDD_INDI_008</t>
  </si>
  <si>
    <t>MW3_INDI_008</t>
  </si>
  <si>
    <t>HEL_INDI_008</t>
  </si>
  <si>
    <t>BUD_INDI_008</t>
  </si>
  <si>
    <t>VIE_INDI_008</t>
  </si>
  <si>
    <t>RGN_INDI_008</t>
  </si>
  <si>
    <t>KHI_INDI_008</t>
  </si>
  <si>
    <t>BOM_INDI_008</t>
  </si>
  <si>
    <t>CCU_INDI_008</t>
  </si>
  <si>
    <t>DLI_INDI_008</t>
  </si>
  <si>
    <t>KTM_INDI_008</t>
  </si>
  <si>
    <t>OSA_INDI_008</t>
  </si>
  <si>
    <t>SEL_INDI_008</t>
  </si>
  <si>
    <t>BJS_INDI_008</t>
  </si>
  <si>
    <t>NHN_INDI_008</t>
  </si>
  <si>
    <t>SYD_INDI_008</t>
  </si>
  <si>
    <t>SGN_INDI_008</t>
  </si>
  <si>
    <t>AKL_INDI_008</t>
  </si>
  <si>
    <t>MNL_INDI_008</t>
  </si>
  <si>
    <t>PNH_INDI_008</t>
  </si>
  <si>
    <t>ZGM_SUBINDI_016</t>
  </si>
  <si>
    <t>JNB_SUBINDI_016</t>
  </si>
  <si>
    <t>UAY_SUBINDI_016</t>
  </si>
  <si>
    <t>NBO_SUBINDI_016</t>
  </si>
  <si>
    <t>ADD_SUBINDI_016</t>
  </si>
  <si>
    <t>TOR_SUBINDI_016</t>
  </si>
  <si>
    <t>B6Y_SUBINDI_016</t>
  </si>
  <si>
    <t>SFO_SUBINDI_016</t>
  </si>
  <si>
    <t>A2N_SUBINDI_016</t>
  </si>
  <si>
    <t>RUH_SUBINDI_016</t>
  </si>
  <si>
    <t>CJR_SUBINDI_016</t>
  </si>
  <si>
    <t>KWI_SUBINDI_016</t>
  </si>
  <si>
    <t>BER_SUBINDI_016</t>
  </si>
  <si>
    <t>RMG_SUBINDI_016</t>
  </si>
  <si>
    <t>LOD_SUBINDI_016</t>
  </si>
  <si>
    <t>MDD_SUBINDI_016</t>
  </si>
  <si>
    <t>MW3_SUBINDI_016</t>
  </si>
  <si>
    <t>HEL_SUBINDI_016</t>
  </si>
  <si>
    <t>BUD_SUBINDI_016</t>
  </si>
  <si>
    <t>VIE_SUBINDI_016</t>
  </si>
  <si>
    <t>RGN_SUBINDI_016</t>
  </si>
  <si>
    <t>KHI_SUBINDI_016</t>
  </si>
  <si>
    <t>BOM_SUBINDI_016</t>
  </si>
  <si>
    <t>CCU_SUBINDI_016</t>
  </si>
  <si>
    <t>DLI_SUBINDI_016</t>
  </si>
  <si>
    <t>KTM_SUBINDI_016</t>
  </si>
  <si>
    <t>OSA_SUBINDI_016</t>
  </si>
  <si>
    <t>SEL_SUBINDI_016</t>
  </si>
  <si>
    <t>BJS_SUBINDI_016</t>
  </si>
  <si>
    <t>NHN_SUBINDI_016</t>
  </si>
  <si>
    <t>SYD_SUBINDI_016</t>
  </si>
  <si>
    <t>SGN_SUBINDI_016</t>
  </si>
  <si>
    <t>AKL_SUBINDI_016</t>
  </si>
  <si>
    <t>MNL_SUBINDI_016</t>
  </si>
  <si>
    <t>PNH_SUBINDI_016</t>
  </si>
  <si>
    <t>ZGM_INDI_009</t>
  </si>
  <si>
    <t>JNB_INDI_009</t>
  </si>
  <si>
    <t>UAY_INDI_009</t>
  </si>
  <si>
    <t>NBO_INDI_009</t>
  </si>
  <si>
    <t>ADD_INDI_009</t>
  </si>
  <si>
    <t>TOR_INDI_009</t>
  </si>
  <si>
    <t>B6Y_INDI_009</t>
  </si>
  <si>
    <t>SFO_INDI_009</t>
  </si>
  <si>
    <t>A2N_INDI_009</t>
  </si>
  <si>
    <t>RUH_INDI_009</t>
  </si>
  <si>
    <t>CJR_INDI_009</t>
  </si>
  <si>
    <t>KWI_INDI_009</t>
  </si>
  <si>
    <t>BER_INDI_009</t>
  </si>
  <si>
    <t>RMG_INDI_009</t>
  </si>
  <si>
    <t>LOD_INDI_009</t>
  </si>
  <si>
    <t>MDD_INDI_009</t>
  </si>
  <si>
    <t>MW3_INDI_009</t>
  </si>
  <si>
    <t>HEL_INDI_009</t>
  </si>
  <si>
    <t>BUD_INDI_009</t>
  </si>
  <si>
    <t>VIE_INDI_009</t>
  </si>
  <si>
    <t>RGN_INDI_009</t>
  </si>
  <si>
    <t>KHI_INDI_009</t>
  </si>
  <si>
    <t>BOM_INDI_009</t>
  </si>
  <si>
    <t>CCU_INDI_009</t>
  </si>
  <si>
    <t>DLI_INDI_009</t>
  </si>
  <si>
    <t>KTM_INDI_009</t>
  </si>
  <si>
    <t>OSA_INDI_009</t>
  </si>
  <si>
    <t>SEL_INDI_009</t>
  </si>
  <si>
    <t>BJS_INDI_009</t>
  </si>
  <si>
    <t>NHN_INDI_009</t>
  </si>
  <si>
    <t>SYD_INDI_009</t>
  </si>
  <si>
    <t>SGN_INDI_009</t>
  </si>
  <si>
    <t>AKL_INDI_009</t>
  </si>
  <si>
    <t>MNL_INDI_009</t>
  </si>
  <si>
    <t>PNH_INDI_009</t>
  </si>
  <si>
    <t>ZGM_SUBINDI_019</t>
  </si>
  <si>
    <t>JNB_SUBINDI_019</t>
  </si>
  <si>
    <t>UAY_SUBINDI_019</t>
  </si>
  <si>
    <t>NBO_SUBINDI_019</t>
  </si>
  <si>
    <t>ADD_SUBINDI_019</t>
  </si>
  <si>
    <t>TOR_SUBINDI_019</t>
  </si>
  <si>
    <t>B6Y_SUBINDI_019</t>
  </si>
  <si>
    <t>SFO_SUBINDI_019</t>
  </si>
  <si>
    <t>A2N_SUBINDI_019</t>
  </si>
  <si>
    <t>RUH_SUBINDI_019</t>
  </si>
  <si>
    <t>CJR_SUBINDI_019</t>
  </si>
  <si>
    <t>KWI_SUBINDI_019</t>
  </si>
  <si>
    <t>BER_SUBINDI_019</t>
  </si>
  <si>
    <t>RMG_SUBINDI_019</t>
  </si>
  <si>
    <t>LOD_SUBINDI_019</t>
  </si>
  <si>
    <t>MDD_SUBINDI_019</t>
  </si>
  <si>
    <t>MW3_SUBINDI_019</t>
  </si>
  <si>
    <t>HEL_SUBINDI_019</t>
  </si>
  <si>
    <t>BUD_SUBINDI_019</t>
  </si>
  <si>
    <t>VIE_SUBINDI_019</t>
  </si>
  <si>
    <t>RGN_SUBINDI_019</t>
  </si>
  <si>
    <t>KHI_SUBINDI_019</t>
  </si>
  <si>
    <t>BOM_SUBINDI_019</t>
  </si>
  <si>
    <t>CCU_SUBINDI_019</t>
  </si>
  <si>
    <t>DLI_SUBINDI_019</t>
  </si>
  <si>
    <t>KTM_SUBINDI_019</t>
  </si>
  <si>
    <t>OSA_SUBINDI_019</t>
  </si>
  <si>
    <t>SEL_SUBINDI_019</t>
  </si>
  <si>
    <t>BJS_SUBINDI_019</t>
  </si>
  <si>
    <t>NHN_SUBINDI_019</t>
  </si>
  <si>
    <t>SYD_SUBINDI_019</t>
  </si>
  <si>
    <t>SGN_SUBINDI_019</t>
  </si>
  <si>
    <t>AKL_SUBINDI_019</t>
  </si>
  <si>
    <t>MNL_SUBINDI_019</t>
  </si>
  <si>
    <t>PNH_SUBINDI_019</t>
  </si>
  <si>
    <t>ZGM_SUBINDI_020</t>
  </si>
  <si>
    <t>JNB_SUBINDI_020</t>
  </si>
  <si>
    <t>UAY_SUBINDI_020</t>
  </si>
  <si>
    <t>NBO_SUBINDI_020</t>
  </si>
  <si>
    <t>ADD_SUBINDI_020</t>
  </si>
  <si>
    <t>TOR_SUBINDI_020</t>
  </si>
  <si>
    <t>B6Y_SUBINDI_020</t>
  </si>
  <si>
    <t>SFO_SUBINDI_020</t>
  </si>
  <si>
    <t>A2N_SUBINDI_020</t>
  </si>
  <si>
    <t>RUH_SUBINDI_020</t>
  </si>
  <si>
    <t>CJR_SUBINDI_020</t>
  </si>
  <si>
    <t>KWI_SUBINDI_020</t>
  </si>
  <si>
    <t>BER_SUBINDI_020</t>
  </si>
  <si>
    <t>RMG_SUBINDI_020</t>
  </si>
  <si>
    <t>LOD_SUBINDI_020</t>
  </si>
  <si>
    <t>MDD_SUBINDI_020</t>
  </si>
  <si>
    <t>MW3_SUBINDI_020</t>
  </si>
  <si>
    <t>HEL_SUBINDI_020</t>
  </si>
  <si>
    <t>BUD_SUBINDI_020</t>
  </si>
  <si>
    <t>VIE_SUBINDI_020</t>
  </si>
  <si>
    <t>RGN_SUBINDI_020</t>
  </si>
  <si>
    <t>KHI_SUBINDI_020</t>
  </si>
  <si>
    <t>BOM_SUBINDI_020</t>
  </si>
  <si>
    <t>CCU_SUBINDI_020</t>
  </si>
  <si>
    <t>DLI_SUBINDI_020</t>
  </si>
  <si>
    <t>KTM_SUBINDI_020</t>
  </si>
  <si>
    <t>OSA_SUBINDI_020</t>
  </si>
  <si>
    <t>SEL_SUBINDI_020</t>
  </si>
  <si>
    <t>BJS_SUBINDI_020</t>
  </si>
  <si>
    <t>NHN_SUBINDI_020</t>
  </si>
  <si>
    <t>SYD_SUBINDI_020</t>
  </si>
  <si>
    <t>SGN_SUBINDI_020</t>
  </si>
  <si>
    <t>AKL_SUBINDI_020</t>
  </si>
  <si>
    <t>MNL_SUBINDI_020</t>
  </si>
  <si>
    <t>PNH_SUBINDI_020</t>
  </si>
  <si>
    <t>ZGM_INDI_010</t>
  </si>
  <si>
    <t>JNB_INDI_010</t>
  </si>
  <si>
    <t>UAY_INDI_010</t>
  </si>
  <si>
    <t>NBO_INDI_010</t>
  </si>
  <si>
    <t>ADD_INDI_010</t>
  </si>
  <si>
    <t>TOR_INDI_010</t>
  </si>
  <si>
    <t>B6Y_INDI_010</t>
  </si>
  <si>
    <t>SFO_INDI_010</t>
  </si>
  <si>
    <t>A2N_INDI_010</t>
  </si>
  <si>
    <t>RUH_INDI_010</t>
  </si>
  <si>
    <t>CJR_INDI_010</t>
  </si>
  <si>
    <t>KWI_INDI_010</t>
  </si>
  <si>
    <t>BER_INDI_010</t>
  </si>
  <si>
    <t>RMG_INDI_010</t>
  </si>
  <si>
    <t>LOD_INDI_010</t>
  </si>
  <si>
    <t>MDD_INDI_010</t>
  </si>
  <si>
    <t>MW3_INDI_010</t>
  </si>
  <si>
    <t>HEL_INDI_010</t>
  </si>
  <si>
    <t>BUD_INDI_010</t>
  </si>
  <si>
    <t>VIE_INDI_010</t>
  </si>
  <si>
    <t>RGN_INDI_010</t>
  </si>
  <si>
    <t>KHI_INDI_010</t>
  </si>
  <si>
    <t>BOM_INDI_010</t>
  </si>
  <si>
    <t>CCU_INDI_010</t>
  </si>
  <si>
    <t>DLI_INDI_010</t>
  </si>
  <si>
    <t>KTM_INDI_010</t>
  </si>
  <si>
    <t>OSA_INDI_010</t>
  </si>
  <si>
    <t>SEL_INDI_010</t>
  </si>
  <si>
    <t>BJS_INDI_010</t>
  </si>
  <si>
    <t>NHN_INDI_010</t>
  </si>
  <si>
    <t>SYD_INDI_010</t>
  </si>
  <si>
    <t>SGN_INDI_010</t>
  </si>
  <si>
    <t>AKL_INDI_010</t>
  </si>
  <si>
    <t>MNL_INDI_010</t>
  </si>
  <si>
    <t>PNH_INDI_010</t>
  </si>
  <si>
    <t>ZGM_SUBINDI_021</t>
  </si>
  <si>
    <t>JNB_SUBINDI_021</t>
  </si>
  <si>
    <t>UAY_SUBINDI_021</t>
  </si>
  <si>
    <t>NBO_SUBINDI_021</t>
  </si>
  <si>
    <t>ADD_SUBINDI_021</t>
  </si>
  <si>
    <t>TOR_SUBINDI_021</t>
  </si>
  <si>
    <t>B6Y_SUBINDI_021</t>
  </si>
  <si>
    <t>SFO_SUBINDI_021</t>
  </si>
  <si>
    <t>A2N_SUBINDI_021</t>
  </si>
  <si>
    <t>RUH_SUBINDI_021</t>
  </si>
  <si>
    <t>CJR_SUBINDI_021</t>
  </si>
  <si>
    <t>KWI_SUBINDI_021</t>
  </si>
  <si>
    <t>BER_SUBINDI_021</t>
  </si>
  <si>
    <t>RMG_SUBINDI_021</t>
  </si>
  <si>
    <t>LOD_SUBINDI_021</t>
  </si>
  <si>
    <t>MDD_SUBINDI_021</t>
  </si>
  <si>
    <t>MW3_SUBINDI_021</t>
  </si>
  <si>
    <t>HEL_SUBINDI_021</t>
  </si>
  <si>
    <t>BUD_SUBINDI_021</t>
  </si>
  <si>
    <t>VIE_SUBINDI_021</t>
  </si>
  <si>
    <t>RGN_SUBINDI_021</t>
  </si>
  <si>
    <t>KHI_SUBINDI_021</t>
  </si>
  <si>
    <t>BOM_SUBINDI_021</t>
  </si>
  <si>
    <t>CCU_SUBINDI_021</t>
  </si>
  <si>
    <t>DLI_SUBINDI_021</t>
  </si>
  <si>
    <t>KTM_SUBINDI_021</t>
  </si>
  <si>
    <t>OSA_SUBINDI_021</t>
  </si>
  <si>
    <t>SEL_SUBINDI_021</t>
  </si>
  <si>
    <t>BJS_SUBINDI_021</t>
  </si>
  <si>
    <t>NHN_SUBINDI_021</t>
  </si>
  <si>
    <t>SYD_SUBINDI_021</t>
  </si>
  <si>
    <t>SGN_SUBINDI_021</t>
  </si>
  <si>
    <t>AKL_SUBINDI_021</t>
  </si>
  <si>
    <t>MNL_SUBINDI_021</t>
  </si>
  <si>
    <t>PNH_SUBINDI_021</t>
  </si>
  <si>
    <t>ZGM_SUBINDI_022</t>
  </si>
  <si>
    <t>JNB_SUBINDI_022</t>
  </si>
  <si>
    <t>UAY_SUBINDI_022</t>
  </si>
  <si>
    <t>NBO_SUBINDI_022</t>
  </si>
  <si>
    <t>ADD_SUBINDI_022</t>
  </si>
  <si>
    <t>TOR_SUBINDI_022</t>
  </si>
  <si>
    <t>B6Y_SUBINDI_022</t>
  </si>
  <si>
    <t>SFO_SUBINDI_022</t>
  </si>
  <si>
    <t>A2N_SUBINDI_022</t>
  </si>
  <si>
    <t>RUH_SUBINDI_022</t>
  </si>
  <si>
    <t>CJR_SUBINDI_022</t>
  </si>
  <si>
    <t>KWI_SUBINDI_022</t>
  </si>
  <si>
    <t>BER_SUBINDI_022</t>
  </si>
  <si>
    <t>RMG_SUBINDI_022</t>
  </si>
  <si>
    <t>LOD_SUBINDI_022</t>
  </si>
  <si>
    <t>MDD_SUBINDI_022</t>
  </si>
  <si>
    <t>MW3_SUBINDI_022</t>
  </si>
  <si>
    <t>HEL_SUBINDI_022</t>
  </si>
  <si>
    <t>BUD_SUBINDI_022</t>
  </si>
  <si>
    <t>VIE_SUBINDI_022</t>
  </si>
  <si>
    <t>RGN_SUBINDI_022</t>
  </si>
  <si>
    <t>KHI_SUBINDI_022</t>
  </si>
  <si>
    <t>BOM_SUBINDI_022</t>
  </si>
  <si>
    <t>CCU_SUBINDI_022</t>
  </si>
  <si>
    <t>DLI_SUBINDI_022</t>
  </si>
  <si>
    <t>KTM_SUBINDI_022</t>
  </si>
  <si>
    <t>OSA_SUBINDI_022</t>
  </si>
  <si>
    <t>SEL_SUBINDI_022</t>
  </si>
  <si>
    <t>BJS_SUBINDI_022</t>
  </si>
  <si>
    <t>NHN_SUBINDI_022</t>
  </si>
  <si>
    <t>SYD_SUBINDI_022</t>
  </si>
  <si>
    <t>SGN_SUBINDI_022</t>
  </si>
  <si>
    <t>AKL_SUBINDI_022</t>
  </si>
  <si>
    <t>MNL_SUBINDI_022</t>
  </si>
  <si>
    <t>PNH_SUBINDI_022</t>
  </si>
  <si>
    <t>ZGM_SUBINDI_023</t>
  </si>
  <si>
    <t>JNB_SUBINDI_023</t>
  </si>
  <si>
    <t>UAY_SUBINDI_023</t>
  </si>
  <si>
    <t>NBO_SUBINDI_023</t>
  </si>
  <si>
    <t>ADD_SUBINDI_023</t>
  </si>
  <si>
    <t>TOR_SUBINDI_023</t>
  </si>
  <si>
    <t>B6Y_SUBINDI_023</t>
  </si>
  <si>
    <t>SFO_SUBINDI_023</t>
  </si>
  <si>
    <t>A2N_SUBINDI_023</t>
  </si>
  <si>
    <t>RUH_SUBINDI_023</t>
  </si>
  <si>
    <t>CJR_SUBINDI_023</t>
  </si>
  <si>
    <t>KWI_SUBINDI_023</t>
  </si>
  <si>
    <t>BER_SUBINDI_023</t>
  </si>
  <si>
    <t>RMG_SUBINDI_023</t>
  </si>
  <si>
    <t>LOD_SUBINDI_023</t>
  </si>
  <si>
    <t>MDD_SUBINDI_023</t>
  </si>
  <si>
    <t>MW3_SUBINDI_023</t>
  </si>
  <si>
    <t>HEL_SUBINDI_023</t>
  </si>
  <si>
    <t>BUD_SUBINDI_023</t>
  </si>
  <si>
    <t>VIE_SUBINDI_023</t>
  </si>
  <si>
    <t>RGN_SUBINDI_023</t>
  </si>
  <si>
    <t>KHI_SUBINDI_023</t>
  </si>
  <si>
    <t>BOM_SUBINDI_023</t>
  </si>
  <si>
    <t>CCU_SUBINDI_023</t>
  </si>
  <si>
    <t>DLI_SUBINDI_023</t>
  </si>
  <si>
    <t>KTM_SUBINDI_023</t>
  </si>
  <si>
    <t>OSA_SUBINDI_023</t>
  </si>
  <si>
    <t>SEL_SUBINDI_023</t>
  </si>
  <si>
    <t>BJS_SUBINDI_023</t>
  </si>
  <si>
    <t>NHN_SUBINDI_023</t>
  </si>
  <si>
    <t>SYD_SUBINDI_023</t>
  </si>
  <si>
    <t>SGN_SUBINDI_023</t>
  </si>
  <si>
    <t>AKL_SUBINDI_023</t>
  </si>
  <si>
    <t>MNL_SUBINDI_023</t>
  </si>
  <si>
    <t>PNH_SUBINDI_023</t>
  </si>
  <si>
    <t>ZGM_INDI_011</t>
  </si>
  <si>
    <t>JNB_INDI_011</t>
  </si>
  <si>
    <t>UAY_INDI_011</t>
  </si>
  <si>
    <t>NBO_INDI_011</t>
  </si>
  <si>
    <t>ADD_INDI_011</t>
  </si>
  <si>
    <t>TOR_INDI_011</t>
  </si>
  <si>
    <t>B6Y_INDI_011</t>
  </si>
  <si>
    <t>SFO_INDI_011</t>
  </si>
  <si>
    <t>A2N_INDI_011</t>
  </si>
  <si>
    <t>RUH_INDI_011</t>
  </si>
  <si>
    <t>CJR_INDI_011</t>
  </si>
  <si>
    <t>KWI_INDI_011</t>
  </si>
  <si>
    <t>BER_INDI_011</t>
  </si>
  <si>
    <t>RMG_INDI_011</t>
  </si>
  <si>
    <t>LOD_INDI_011</t>
  </si>
  <si>
    <t>MDD_INDI_011</t>
  </si>
  <si>
    <t>MW3_INDI_011</t>
  </si>
  <si>
    <t>HEL_INDI_011</t>
  </si>
  <si>
    <t>BUD_INDI_011</t>
  </si>
  <si>
    <t>VIE_INDI_011</t>
  </si>
  <si>
    <t>RGN_INDI_011</t>
  </si>
  <si>
    <t>KHI_INDI_011</t>
  </si>
  <si>
    <t>BOM_INDI_011</t>
  </si>
  <si>
    <t>CCU_INDI_011</t>
  </si>
  <si>
    <t>DLI_INDI_011</t>
  </si>
  <si>
    <t>KTM_INDI_011</t>
  </si>
  <si>
    <t>OSA_INDI_011</t>
  </si>
  <si>
    <t>SEL_INDI_011</t>
  </si>
  <si>
    <t>BJS_INDI_011</t>
  </si>
  <si>
    <t>NHN_INDI_011</t>
  </si>
  <si>
    <t>SYD_INDI_011</t>
  </si>
  <si>
    <t>SGN_INDI_011</t>
  </si>
  <si>
    <t>AKL_INDI_011</t>
  </si>
  <si>
    <t>MNL_INDI_011</t>
  </si>
  <si>
    <t>PNH_INDI_011</t>
  </si>
  <si>
    <t>ZGM_SUBINDI_025</t>
  </si>
  <si>
    <t>JNB_SUBINDI_025</t>
  </si>
  <si>
    <t>UAY_SUBINDI_025</t>
  </si>
  <si>
    <t>NBO_SUBINDI_025</t>
  </si>
  <si>
    <t>ADD_SUBINDI_025</t>
  </si>
  <si>
    <t>TOR_SUBINDI_025</t>
  </si>
  <si>
    <t>B6Y_SUBINDI_025</t>
  </si>
  <si>
    <t>SFO_SUBINDI_025</t>
  </si>
  <si>
    <t>A2N_SUBINDI_025</t>
  </si>
  <si>
    <t>RUH_SUBINDI_025</t>
  </si>
  <si>
    <t>CJR_SUBINDI_025</t>
  </si>
  <si>
    <t>KWI_SUBINDI_025</t>
  </si>
  <si>
    <t>BER_SUBINDI_025</t>
  </si>
  <si>
    <t>RMG_SUBINDI_025</t>
  </si>
  <si>
    <t>LOD_SUBINDI_025</t>
  </si>
  <si>
    <t>MDD_SUBINDI_025</t>
  </si>
  <si>
    <t>MW3_SUBINDI_025</t>
  </si>
  <si>
    <t>HEL_SUBINDI_025</t>
  </si>
  <si>
    <t>BUD_SUBINDI_025</t>
  </si>
  <si>
    <t>VIE_SUBINDI_025</t>
  </si>
  <si>
    <t>RGN_SUBINDI_025</t>
  </si>
  <si>
    <t>KHI_SUBINDI_025</t>
  </si>
  <si>
    <t>BOM_SUBINDI_025</t>
  </si>
  <si>
    <t>CCU_SUBINDI_025</t>
  </si>
  <si>
    <t>DLI_SUBINDI_025</t>
  </si>
  <si>
    <t>KTM_SUBINDI_025</t>
  </si>
  <si>
    <t>OSA_SUBINDI_025</t>
  </si>
  <si>
    <t>SEL_SUBINDI_025</t>
  </si>
  <si>
    <t>BJS_SUBINDI_025</t>
  </si>
  <si>
    <t>NHN_SUBINDI_025</t>
  </si>
  <si>
    <t>SYD_SUBINDI_025</t>
  </si>
  <si>
    <t>SGN_SUBINDI_025</t>
  </si>
  <si>
    <t>AKL_SUBINDI_025</t>
  </si>
  <si>
    <t>MNL_SUBINDI_025</t>
  </si>
  <si>
    <t>PNH_SUBINDI_025</t>
  </si>
  <si>
    <t>ZGM_SUBINDI_026</t>
  </si>
  <si>
    <t>JNB_SUBINDI_026</t>
  </si>
  <si>
    <t>UAY_SUBINDI_026</t>
  </si>
  <si>
    <t>NBO_SUBINDI_026</t>
  </si>
  <si>
    <t>ADD_SUBINDI_026</t>
  </si>
  <si>
    <t>TOR_SUBINDI_026</t>
  </si>
  <si>
    <t>B6Y_SUBINDI_026</t>
  </si>
  <si>
    <t>SFO_SUBINDI_026</t>
  </si>
  <si>
    <t>A2N_SUBINDI_026</t>
  </si>
  <si>
    <t>RUH_SUBINDI_026</t>
  </si>
  <si>
    <t>CJR_SUBINDI_026</t>
  </si>
  <si>
    <t>KWI_SUBINDI_026</t>
  </si>
  <si>
    <t>BER_SUBINDI_026</t>
  </si>
  <si>
    <t>RMG_SUBINDI_026</t>
  </si>
  <si>
    <t>LOD_SUBINDI_026</t>
  </si>
  <si>
    <t>MDD_SUBINDI_026</t>
  </si>
  <si>
    <t>MW3_SUBINDI_026</t>
  </si>
  <si>
    <t>HEL_SUBINDI_026</t>
  </si>
  <si>
    <t>BUD_SUBINDI_026</t>
  </si>
  <si>
    <t>VIE_SUBINDI_026</t>
  </si>
  <si>
    <t>RGN_SUBINDI_026</t>
  </si>
  <si>
    <t>KHI_SUBINDI_026</t>
  </si>
  <si>
    <t>BOM_SUBINDI_026</t>
  </si>
  <si>
    <t>CCU_SUBINDI_026</t>
  </si>
  <si>
    <t>DLI_SUBINDI_026</t>
  </si>
  <si>
    <t>KTM_SUBINDI_026</t>
  </si>
  <si>
    <t>OSA_SUBINDI_026</t>
  </si>
  <si>
    <t>SEL_SUBINDI_026</t>
  </si>
  <si>
    <t>BJS_SUBINDI_026</t>
  </si>
  <si>
    <t>NHN_SUBINDI_026</t>
  </si>
  <si>
    <t>SYD_SUBINDI_026</t>
  </si>
  <si>
    <t>SGN_SUBINDI_026</t>
  </si>
  <si>
    <t>AKL_SUBINDI_026</t>
  </si>
  <si>
    <t>MNL_SUBINDI_026</t>
  </si>
  <si>
    <t>PNH_SUBINDI_026</t>
  </si>
  <si>
    <t>ZGM_DOMAIN_003</t>
  </si>
  <si>
    <t>JNB_DOMAIN_003</t>
  </si>
  <si>
    <t>UAY_DOMAIN_003</t>
  </si>
  <si>
    <t>NBO_DOMAIN_003</t>
  </si>
  <si>
    <t>ADD_DOMAIN_003</t>
  </si>
  <si>
    <t>TOR_DOMAIN_003</t>
  </si>
  <si>
    <t>B6Y_DOMAIN_003</t>
  </si>
  <si>
    <t>SFO_DOMAIN_003</t>
  </si>
  <si>
    <t>A2N_DOMAIN_003</t>
  </si>
  <si>
    <t>RUH_DOMAIN_003</t>
  </si>
  <si>
    <t>CJR_DOMAIN_003</t>
  </si>
  <si>
    <t>KWI_DOMAIN_003</t>
  </si>
  <si>
    <t>BER_DOMAIN_003</t>
  </si>
  <si>
    <t>RMG_DOMAIN_003</t>
  </si>
  <si>
    <t>LOD_DOMAIN_003</t>
  </si>
  <si>
    <t>MDD_DOMAIN_003</t>
  </si>
  <si>
    <t>MW3_DOMAIN_003</t>
  </si>
  <si>
    <t>HEL_DOMAIN_003</t>
  </si>
  <si>
    <t>BUD_DOMAIN_003</t>
  </si>
  <si>
    <t>VIE_DOMAIN_003</t>
  </si>
  <si>
    <t>RGN_DOMAIN_003</t>
  </si>
  <si>
    <t>KHI_DOMAIN_003</t>
  </si>
  <si>
    <t>BOM_DOMAIN_003</t>
  </si>
  <si>
    <t>CCU_DOMAIN_003</t>
  </si>
  <si>
    <t>DLI_DOMAIN_003</t>
  </si>
  <si>
    <t>KTM_DOMAIN_003</t>
  </si>
  <si>
    <t>OSA_DOMAIN_003</t>
  </si>
  <si>
    <t>SEL_DOMAIN_003</t>
  </si>
  <si>
    <t>BJS_DOMAIN_003</t>
  </si>
  <si>
    <t>NHN_DOMAIN_003</t>
  </si>
  <si>
    <t>SYD_DOMAIN_003</t>
  </si>
  <si>
    <t>SGN_DOMAIN_003</t>
  </si>
  <si>
    <t>AKL_DOMAIN_003</t>
  </si>
  <si>
    <t>MNL_DOMAIN_003</t>
  </si>
  <si>
    <t>PNH_DOMAIN_003</t>
  </si>
  <si>
    <t>ZGM_INDI_012</t>
  </si>
  <si>
    <t>JNB_INDI_012</t>
  </si>
  <si>
    <t>UAY_INDI_012</t>
  </si>
  <si>
    <t>NBO_INDI_012</t>
  </si>
  <si>
    <t>ADD_INDI_012</t>
  </si>
  <si>
    <t>TOR_INDI_012</t>
  </si>
  <si>
    <t>B6Y_INDI_012</t>
  </si>
  <si>
    <t>SFO_INDI_012</t>
  </si>
  <si>
    <t>A2N_INDI_012</t>
  </si>
  <si>
    <t>RUH_INDI_012</t>
  </si>
  <si>
    <t>CJR_INDI_012</t>
  </si>
  <si>
    <t>KWI_INDI_012</t>
  </si>
  <si>
    <t>BER_INDI_012</t>
  </si>
  <si>
    <t>RMG_INDI_012</t>
  </si>
  <si>
    <t>LOD_INDI_012</t>
  </si>
  <si>
    <t>MDD_INDI_012</t>
  </si>
  <si>
    <t>MW3_INDI_012</t>
  </si>
  <si>
    <t>HEL_INDI_012</t>
  </si>
  <si>
    <t>BUD_INDI_012</t>
  </si>
  <si>
    <t>VIE_INDI_012</t>
  </si>
  <si>
    <t>RGN_INDI_012</t>
  </si>
  <si>
    <t>KHI_INDI_012</t>
  </si>
  <si>
    <t>BOM_INDI_012</t>
  </si>
  <si>
    <t>CCU_INDI_012</t>
  </si>
  <si>
    <t>DLI_INDI_012</t>
  </si>
  <si>
    <t>KTM_INDI_012</t>
  </si>
  <si>
    <t>OSA_INDI_012</t>
  </si>
  <si>
    <t>SEL_INDI_012</t>
  </si>
  <si>
    <t>BJS_INDI_012</t>
  </si>
  <si>
    <t>NHN_INDI_012</t>
  </si>
  <si>
    <t>SYD_INDI_012</t>
  </si>
  <si>
    <t>SGN_INDI_012</t>
  </si>
  <si>
    <t>AKL_INDI_012</t>
  </si>
  <si>
    <t>MNL_INDI_012</t>
  </si>
  <si>
    <t>PNH_INDI_012</t>
  </si>
  <si>
    <t>ZGM_INDI_013</t>
  </si>
  <si>
    <t>JNB_INDI_013</t>
  </si>
  <si>
    <t>UAY_INDI_013</t>
  </si>
  <si>
    <t>NBO_INDI_013</t>
  </si>
  <si>
    <t>ADD_INDI_013</t>
  </si>
  <si>
    <t>TOR_INDI_013</t>
  </si>
  <si>
    <t>B6Y_INDI_013</t>
  </si>
  <si>
    <t>SFO_INDI_013</t>
  </si>
  <si>
    <t>A2N_INDI_013</t>
  </si>
  <si>
    <t>RUH_INDI_013</t>
  </si>
  <si>
    <t>CJR_INDI_013</t>
  </si>
  <si>
    <t>KWI_INDI_013</t>
  </si>
  <si>
    <t>BER_INDI_013</t>
  </si>
  <si>
    <t>RMG_INDI_013</t>
  </si>
  <si>
    <t>LOD_INDI_013</t>
  </si>
  <si>
    <t>MDD_INDI_013</t>
  </si>
  <si>
    <t>MW3_INDI_013</t>
  </si>
  <si>
    <t>HEL_INDI_013</t>
  </si>
  <si>
    <t>BUD_INDI_013</t>
  </si>
  <si>
    <t>VIE_INDI_013</t>
  </si>
  <si>
    <t>RGN_INDI_013</t>
  </si>
  <si>
    <t>KHI_INDI_013</t>
  </si>
  <si>
    <t>BOM_INDI_013</t>
  </si>
  <si>
    <t>CCU_INDI_013</t>
  </si>
  <si>
    <t>DLI_INDI_013</t>
  </si>
  <si>
    <t>KTM_INDI_013</t>
  </si>
  <si>
    <t>OSA_INDI_013</t>
  </si>
  <si>
    <t>SEL_INDI_013</t>
  </si>
  <si>
    <t>BJS_INDI_013</t>
  </si>
  <si>
    <t>NHN_INDI_013</t>
  </si>
  <si>
    <t>SYD_INDI_013</t>
  </si>
  <si>
    <t>SGN_INDI_013</t>
  </si>
  <si>
    <t>AKL_INDI_013</t>
  </si>
  <si>
    <t>MNL_INDI_013</t>
  </si>
  <si>
    <t>PNH_INDI_013</t>
  </si>
  <si>
    <t>ZGM_INDI_014</t>
  </si>
  <si>
    <t>JNB_INDI_014</t>
  </si>
  <si>
    <t>UAY_INDI_014</t>
  </si>
  <si>
    <t>NBO_INDI_014</t>
  </si>
  <si>
    <t>ADD_INDI_014</t>
  </si>
  <si>
    <t>TOR_INDI_014</t>
  </si>
  <si>
    <t>B6Y_INDI_014</t>
  </si>
  <si>
    <t>SFO_INDI_014</t>
  </si>
  <si>
    <t>A2N_INDI_014</t>
  </si>
  <si>
    <t>RUH_INDI_014</t>
  </si>
  <si>
    <t>CJR_INDI_014</t>
  </si>
  <si>
    <t>KWI_INDI_014</t>
  </si>
  <si>
    <t>BER_INDI_014</t>
  </si>
  <si>
    <t>RMG_INDI_014</t>
  </si>
  <si>
    <t>LOD_INDI_014</t>
  </si>
  <si>
    <t>MDD_INDI_014</t>
  </si>
  <si>
    <t>MW3_INDI_014</t>
  </si>
  <si>
    <t>HEL_INDI_014</t>
  </si>
  <si>
    <t>BUD_INDI_014</t>
  </si>
  <si>
    <t>VIE_INDI_014</t>
  </si>
  <si>
    <t>RGN_INDI_014</t>
  </si>
  <si>
    <t>KHI_INDI_014</t>
  </si>
  <si>
    <t>BOM_INDI_014</t>
  </si>
  <si>
    <t>CCU_INDI_014</t>
  </si>
  <si>
    <t>DLI_INDI_014</t>
  </si>
  <si>
    <t>KTM_INDI_014</t>
  </si>
  <si>
    <t>OSA_INDI_014</t>
  </si>
  <si>
    <t>SEL_INDI_014</t>
  </si>
  <si>
    <t>BJS_INDI_014</t>
  </si>
  <si>
    <t>NHN_INDI_014</t>
  </si>
  <si>
    <t>SYD_INDI_014</t>
  </si>
  <si>
    <t>SGN_INDI_014</t>
  </si>
  <si>
    <t>AKL_INDI_014</t>
  </si>
  <si>
    <t>MNL_INDI_014</t>
  </si>
  <si>
    <t>PNH_INDI_014</t>
  </si>
  <si>
    <t>ZGM_INDI_015</t>
  </si>
  <si>
    <t>JNB_INDI_015</t>
  </si>
  <si>
    <t>UAY_INDI_015</t>
  </si>
  <si>
    <t>NBO_INDI_015</t>
  </si>
  <si>
    <t>ADD_INDI_015</t>
  </si>
  <si>
    <t>TOR_INDI_015</t>
  </si>
  <si>
    <t>B6Y_INDI_015</t>
  </si>
  <si>
    <t>SFO_INDI_015</t>
  </si>
  <si>
    <t>A2N_INDI_015</t>
  </si>
  <si>
    <t>RUH_INDI_015</t>
  </si>
  <si>
    <t>CJR_INDI_015</t>
  </si>
  <si>
    <t>KWI_INDI_015</t>
  </si>
  <si>
    <t>BER_INDI_015</t>
  </si>
  <si>
    <t>RMG_INDI_015</t>
  </si>
  <si>
    <t>LOD_INDI_015</t>
  </si>
  <si>
    <t>MDD_INDI_015</t>
  </si>
  <si>
    <t>MW3_INDI_015</t>
  </si>
  <si>
    <t>HEL_INDI_015</t>
  </si>
  <si>
    <t>BUD_INDI_015</t>
  </si>
  <si>
    <t>VIE_INDI_015</t>
  </si>
  <si>
    <t>RGN_INDI_015</t>
  </si>
  <si>
    <t>KHI_INDI_015</t>
  </si>
  <si>
    <t>BOM_INDI_015</t>
  </si>
  <si>
    <t>CCU_INDI_015</t>
  </si>
  <si>
    <t>DLI_INDI_015</t>
  </si>
  <si>
    <t>KTM_INDI_015</t>
  </si>
  <si>
    <t>OSA_INDI_015</t>
  </si>
  <si>
    <t>SEL_INDI_015</t>
  </si>
  <si>
    <t>BJS_INDI_015</t>
  </si>
  <si>
    <t>NHN_INDI_015</t>
  </si>
  <si>
    <t>SYD_INDI_015</t>
  </si>
  <si>
    <t>SGN_INDI_015</t>
  </si>
  <si>
    <t>AKL_INDI_015</t>
  </si>
  <si>
    <t>MNL_INDI_015</t>
  </si>
  <si>
    <t>PNH_INDI_015</t>
  </si>
  <si>
    <t>ZGM_DOMAIN_004</t>
  </si>
  <si>
    <t>JNB_DOMAIN_004</t>
  </si>
  <si>
    <t>UAY_DOMAIN_004</t>
  </si>
  <si>
    <t>NBO_DOMAIN_004</t>
  </si>
  <si>
    <t>ADD_DOMAIN_004</t>
  </si>
  <si>
    <t>TOR_DOMAIN_004</t>
  </si>
  <si>
    <t>B6Y_DOMAIN_004</t>
  </si>
  <si>
    <t>SFO_DOMAIN_004</t>
  </si>
  <si>
    <t>A2N_DOMAIN_004</t>
  </si>
  <si>
    <t>RUH_DOMAIN_004</t>
  </si>
  <si>
    <t>CJR_DOMAIN_004</t>
  </si>
  <si>
    <t>KWI_DOMAIN_004</t>
  </si>
  <si>
    <t>BER_DOMAIN_004</t>
  </si>
  <si>
    <t>RMG_DOMAIN_004</t>
  </si>
  <si>
    <t>LOD_DOMAIN_004</t>
  </si>
  <si>
    <t>MDD_DOMAIN_004</t>
  </si>
  <si>
    <t>MW3_DOMAIN_004</t>
  </si>
  <si>
    <t>HEL_DOMAIN_004</t>
  </si>
  <si>
    <t>BUD_DOMAIN_004</t>
  </si>
  <si>
    <t>VIE_DOMAIN_004</t>
  </si>
  <si>
    <t>RGN_DOMAIN_004</t>
  </si>
  <si>
    <t>KHI_DOMAIN_004</t>
  </si>
  <si>
    <t>BOM_DOMAIN_004</t>
  </si>
  <si>
    <t>CCU_DOMAIN_004</t>
  </si>
  <si>
    <t>DLI_DOMAIN_004</t>
  </si>
  <si>
    <t>KTM_DOMAIN_004</t>
  </si>
  <si>
    <t>OSA_DOMAIN_004</t>
  </si>
  <si>
    <t>SEL_DOMAIN_004</t>
  </si>
  <si>
    <t>BJS_DOMAIN_004</t>
  </si>
  <si>
    <t>NHN_DOMAIN_004</t>
  </si>
  <si>
    <t>SYD_DOMAIN_004</t>
  </si>
  <si>
    <t>SGN_DOMAIN_004</t>
  </si>
  <si>
    <t>AKL_DOMAIN_004</t>
  </si>
  <si>
    <t>MNL_DOMAIN_004</t>
  </si>
  <si>
    <t>PNH_DOMAIN_004</t>
  </si>
  <si>
    <t>ZGM_INDI_016</t>
  </si>
  <si>
    <t>JNB_INDI_016</t>
  </si>
  <si>
    <t>UAY_INDI_016</t>
  </si>
  <si>
    <t>NBO_INDI_016</t>
  </si>
  <si>
    <t>ADD_INDI_016</t>
  </si>
  <si>
    <t>TOR_INDI_016</t>
  </si>
  <si>
    <t>B6Y_INDI_016</t>
  </si>
  <si>
    <t>SFO_INDI_016</t>
  </si>
  <si>
    <t>A2N_INDI_016</t>
  </si>
  <si>
    <t>RUH_INDI_016</t>
  </si>
  <si>
    <t>CJR_INDI_016</t>
  </si>
  <si>
    <t>KWI_INDI_016</t>
  </si>
  <si>
    <t>BER_INDI_016</t>
  </si>
  <si>
    <t>RMG_INDI_016</t>
  </si>
  <si>
    <t>LOD_INDI_016</t>
  </si>
  <si>
    <t>MDD_INDI_016</t>
  </si>
  <si>
    <t>MW3_INDI_016</t>
  </si>
  <si>
    <t>HEL_INDI_016</t>
  </si>
  <si>
    <t>BUD_INDI_016</t>
  </si>
  <si>
    <t>VIE_INDI_016</t>
  </si>
  <si>
    <t>RGN_INDI_016</t>
  </si>
  <si>
    <t>KHI_INDI_016</t>
  </si>
  <si>
    <t>BOM_INDI_016</t>
  </si>
  <si>
    <t>CCU_INDI_016</t>
  </si>
  <si>
    <t>DLI_INDI_016</t>
  </si>
  <si>
    <t>KTM_INDI_016</t>
  </si>
  <si>
    <t>OSA_INDI_016</t>
  </si>
  <si>
    <t>SEL_INDI_016</t>
  </si>
  <si>
    <t>BJS_INDI_016</t>
  </si>
  <si>
    <t>NHN_INDI_016</t>
  </si>
  <si>
    <t>SYD_INDI_016</t>
  </si>
  <si>
    <t>SGN_INDI_016</t>
  </si>
  <si>
    <t>AKL_INDI_016</t>
  </si>
  <si>
    <t>MNL_INDI_016</t>
  </si>
  <si>
    <t>PNH_INDI_016</t>
  </si>
  <si>
    <t>ZGM_INDI_017</t>
  </si>
  <si>
    <t>JNB_INDI_017</t>
  </si>
  <si>
    <t>UAY_INDI_017</t>
  </si>
  <si>
    <t>NBO_INDI_017</t>
  </si>
  <si>
    <t>ADD_INDI_017</t>
  </si>
  <si>
    <t>TOR_INDI_017</t>
  </si>
  <si>
    <t>B6Y_INDI_017</t>
  </si>
  <si>
    <t>SFO_INDI_017</t>
  </si>
  <si>
    <t>A2N_INDI_017</t>
  </si>
  <si>
    <t>RUH_INDI_017</t>
  </si>
  <si>
    <t>CJR_INDI_017</t>
  </si>
  <si>
    <t>KWI_INDI_017</t>
  </si>
  <si>
    <t>BER_INDI_017</t>
  </si>
  <si>
    <t>RMG_INDI_017</t>
  </si>
  <si>
    <t>LOD_INDI_017</t>
  </si>
  <si>
    <t>MDD_INDI_017</t>
  </si>
  <si>
    <t>MW3_INDI_017</t>
  </si>
  <si>
    <t>HEL_INDI_017</t>
  </si>
  <si>
    <t>BUD_INDI_017</t>
  </si>
  <si>
    <t>VIE_INDI_017</t>
  </si>
  <si>
    <t>RGN_INDI_017</t>
  </si>
  <si>
    <t>KHI_INDI_017</t>
  </si>
  <si>
    <t>BOM_INDI_017</t>
  </si>
  <si>
    <t>CCU_INDI_017</t>
  </si>
  <si>
    <t>DLI_INDI_017</t>
  </si>
  <si>
    <t>KTM_INDI_017</t>
  </si>
  <si>
    <t>OSA_INDI_017</t>
  </si>
  <si>
    <t>SEL_INDI_017</t>
  </si>
  <si>
    <t>BJS_INDI_017</t>
  </si>
  <si>
    <t>NHN_INDI_017</t>
  </si>
  <si>
    <t>SYD_INDI_017</t>
  </si>
  <si>
    <t>SGN_INDI_017</t>
  </si>
  <si>
    <t>AKL_INDI_017</t>
  </si>
  <si>
    <t>MNL_INDI_017</t>
  </si>
  <si>
    <t>PNH_INDI_017</t>
  </si>
  <si>
    <t>ZGM_INDI_018</t>
  </si>
  <si>
    <t>JNB_INDI_018</t>
  </si>
  <si>
    <t>UAY_INDI_018</t>
  </si>
  <si>
    <t>NBO_INDI_018</t>
  </si>
  <si>
    <t>ADD_INDI_018</t>
  </si>
  <si>
    <t>TOR_INDI_018</t>
  </si>
  <si>
    <t>B6Y_INDI_018</t>
  </si>
  <si>
    <t>SFO_INDI_018</t>
  </si>
  <si>
    <t>A2N_INDI_018</t>
  </si>
  <si>
    <t>RUH_INDI_018</t>
  </si>
  <si>
    <t>CJR_INDI_018</t>
  </si>
  <si>
    <t>KWI_INDI_018</t>
  </si>
  <si>
    <t>BER_INDI_018</t>
  </si>
  <si>
    <t>RMG_INDI_018</t>
  </si>
  <si>
    <t>LOD_INDI_018</t>
  </si>
  <si>
    <t>MDD_INDI_018</t>
  </si>
  <si>
    <t>MW3_INDI_018</t>
  </si>
  <si>
    <t>HEL_INDI_018</t>
  </si>
  <si>
    <t>BUD_INDI_018</t>
  </si>
  <si>
    <t>VIE_INDI_018</t>
  </si>
  <si>
    <t>RGN_INDI_018</t>
  </si>
  <si>
    <t>KHI_INDI_018</t>
  </si>
  <si>
    <t>BOM_INDI_018</t>
  </si>
  <si>
    <t>CCU_INDI_018</t>
  </si>
  <si>
    <t>DLI_INDI_018</t>
  </si>
  <si>
    <t>KTM_INDI_018</t>
  </si>
  <si>
    <t>OSA_INDI_018</t>
  </si>
  <si>
    <t>SEL_INDI_018</t>
  </si>
  <si>
    <t>BJS_INDI_018</t>
  </si>
  <si>
    <t>NHN_INDI_018</t>
  </si>
  <si>
    <t>SYD_INDI_018</t>
  </si>
  <si>
    <t>SGN_INDI_018</t>
  </si>
  <si>
    <t>AKL_INDI_018</t>
  </si>
  <si>
    <t>MNL_INDI_018</t>
  </si>
  <si>
    <t>PNH_INDI_018</t>
  </si>
  <si>
    <t>ZGM_INDI_019</t>
  </si>
  <si>
    <t>JNB_INDI_019</t>
  </si>
  <si>
    <t>UAY_INDI_019</t>
  </si>
  <si>
    <t>NBO_INDI_019</t>
  </si>
  <si>
    <t>ADD_INDI_019</t>
  </si>
  <si>
    <t>TOR_INDI_019</t>
  </si>
  <si>
    <t>B6Y_INDI_019</t>
  </si>
  <si>
    <t>SFO_INDI_019</t>
  </si>
  <si>
    <t>A2N_INDI_019</t>
  </si>
  <si>
    <t>RUH_INDI_019</t>
  </si>
  <si>
    <t>CJR_INDI_019</t>
  </si>
  <si>
    <t>KWI_INDI_019</t>
  </si>
  <si>
    <t>BER_INDI_019</t>
  </si>
  <si>
    <t>RMG_INDI_019</t>
  </si>
  <si>
    <t>LOD_INDI_019</t>
  </si>
  <si>
    <t>MDD_INDI_019</t>
  </si>
  <si>
    <t>MW3_INDI_019</t>
  </si>
  <si>
    <t>HEL_INDI_019</t>
  </si>
  <si>
    <t>BUD_INDI_019</t>
  </si>
  <si>
    <t>VIE_INDI_019</t>
  </si>
  <si>
    <t>RGN_INDI_019</t>
  </si>
  <si>
    <t>KHI_INDI_019</t>
  </si>
  <si>
    <t>BOM_INDI_019</t>
  </si>
  <si>
    <t>CCU_INDI_019</t>
  </si>
  <si>
    <t>DLI_INDI_019</t>
  </si>
  <si>
    <t>KTM_INDI_019</t>
  </si>
  <si>
    <t>OSA_INDI_019</t>
  </si>
  <si>
    <t>SEL_INDI_019</t>
  </si>
  <si>
    <t>BJS_INDI_019</t>
  </si>
  <si>
    <t>NHN_INDI_019</t>
  </si>
  <si>
    <t>SYD_INDI_019</t>
  </si>
  <si>
    <t>SGN_INDI_019</t>
  </si>
  <si>
    <t>AKL_INDI_019</t>
  </si>
  <si>
    <t>MNL_INDI_019</t>
  </si>
  <si>
    <t>PNH_INDI_019</t>
  </si>
  <si>
    <t>ZGM_BG</t>
  </si>
  <si>
    <t>JNB_BG</t>
  </si>
  <si>
    <t>UAY_BG</t>
  </si>
  <si>
    <t>NBO_BG</t>
  </si>
  <si>
    <t>ADD_BG</t>
  </si>
  <si>
    <t>TOR_BG</t>
  </si>
  <si>
    <t>B6Y_BG</t>
  </si>
  <si>
    <t>SFO_BG</t>
  </si>
  <si>
    <t>A2N_BG</t>
  </si>
  <si>
    <t>RUH_BG</t>
  </si>
  <si>
    <t>CJR_BG</t>
  </si>
  <si>
    <t>KWI_BG</t>
  </si>
  <si>
    <t>BER_BG</t>
  </si>
  <si>
    <t>RMG_BG</t>
  </si>
  <si>
    <t>LOD_BG</t>
  </si>
  <si>
    <t>MDD_BG</t>
  </si>
  <si>
    <t>MW3_BG</t>
  </si>
  <si>
    <t>HEL_BG</t>
  </si>
  <si>
    <t>BUD_BG</t>
  </si>
  <si>
    <t>VIE_BG</t>
  </si>
  <si>
    <t>RGN_BG</t>
  </si>
  <si>
    <t>KHI_BG</t>
  </si>
  <si>
    <t>BOM_BG</t>
  </si>
  <si>
    <t>CCU_BG</t>
  </si>
  <si>
    <t>DLI_BG</t>
  </si>
  <si>
    <t>KTM_BG</t>
  </si>
  <si>
    <t>OSA_BG</t>
  </si>
  <si>
    <t>SEL_BG</t>
  </si>
  <si>
    <t>BJS_BG</t>
  </si>
  <si>
    <t>NHN_BG</t>
  </si>
  <si>
    <t>SYD_BG</t>
  </si>
  <si>
    <t>SGN_BG</t>
  </si>
  <si>
    <t>AKL_BG</t>
  </si>
  <si>
    <t>MNL_BG</t>
  </si>
  <si>
    <t>PNH_BG</t>
  </si>
  <si>
    <t>ZGM_BG01</t>
  </si>
  <si>
    <t>JNB_BG01</t>
  </si>
  <si>
    <t>UAY_BG01</t>
  </si>
  <si>
    <t>NBO_BG01</t>
  </si>
  <si>
    <t>ADD_BG01</t>
  </si>
  <si>
    <t>TOR_BG01</t>
  </si>
  <si>
    <t>B6Y_BG01</t>
  </si>
  <si>
    <t>SFO_BG01</t>
  </si>
  <si>
    <t>A2N_BG01</t>
  </si>
  <si>
    <t>RUH_BG01</t>
  </si>
  <si>
    <t>CJR_BG01</t>
  </si>
  <si>
    <t>KWI_BG01</t>
  </si>
  <si>
    <t>BER_BG01</t>
  </si>
  <si>
    <t>RMG_BG01</t>
  </si>
  <si>
    <t>LOD_BG01</t>
  </si>
  <si>
    <t>MDD_BG01</t>
  </si>
  <si>
    <t>MW3_BG01</t>
  </si>
  <si>
    <t>HEL_BG01</t>
  </si>
  <si>
    <t>BUD_BG01</t>
  </si>
  <si>
    <t>VIE_BG01</t>
  </si>
  <si>
    <t>RGN_BG01</t>
  </si>
  <si>
    <t>KHI_BG01</t>
  </si>
  <si>
    <t>BOM_BG01</t>
  </si>
  <si>
    <t>CCU_BG01</t>
  </si>
  <si>
    <t>DLI_BG01</t>
  </si>
  <si>
    <t>KTM_BG01</t>
  </si>
  <si>
    <t>OSA_BG01</t>
  </si>
  <si>
    <t>SEL_BG01</t>
  </si>
  <si>
    <t>BJS_BG01</t>
  </si>
  <si>
    <t>NHN_BG01</t>
  </si>
  <si>
    <t>SYD_BG01</t>
  </si>
  <si>
    <t>SGN_BG01</t>
  </si>
  <si>
    <t>AKL_BG01</t>
  </si>
  <si>
    <t>MNL_BG01</t>
  </si>
  <si>
    <t>PNH_BG01</t>
  </si>
  <si>
    <t>SUBINDI_015</t>
  </si>
  <si>
    <t>SUBINDI_017</t>
  </si>
  <si>
    <t>INDI_020</t>
  </si>
  <si>
    <t>INDI_021</t>
  </si>
  <si>
    <t>INDI_022</t>
  </si>
  <si>
    <t>DOMAIN_005</t>
  </si>
  <si>
    <t>INDI_024</t>
  </si>
  <si>
    <t>INDI_025</t>
  </si>
  <si>
    <t>INDI_026</t>
  </si>
  <si>
    <t>INDI_027</t>
  </si>
  <si>
    <t>INDI_028</t>
  </si>
  <si>
    <t>INDI_029</t>
  </si>
  <si>
    <t>INDI_031</t>
  </si>
  <si>
    <t>INDI_032</t>
  </si>
  <si>
    <t>1.1b</t>
  </si>
  <si>
    <t>1.2a</t>
  </si>
  <si>
    <t>1.2b</t>
  </si>
  <si>
    <t>1.3a</t>
  </si>
  <si>
    <t>1.3b</t>
  </si>
  <si>
    <t>2.4a</t>
  </si>
  <si>
    <t>2.4b</t>
  </si>
  <si>
    <t>3.1a</t>
  </si>
  <si>
    <t>3.1b</t>
  </si>
  <si>
    <t>3.2a</t>
  </si>
  <si>
    <t>3.2b</t>
  </si>
  <si>
    <t>3.3a</t>
  </si>
  <si>
    <t>3.3b</t>
  </si>
  <si>
    <t>3.4a</t>
  </si>
  <si>
    <t>3.4b</t>
  </si>
  <si>
    <t>3.5a</t>
  </si>
  <si>
    <t>3.5b</t>
  </si>
  <si>
    <t>3.6a</t>
  </si>
  <si>
    <t>3.6b</t>
  </si>
  <si>
    <t>3.7a</t>
  </si>
  <si>
    <t>3.7b</t>
  </si>
  <si>
    <t>3.8a</t>
  </si>
  <si>
    <t>3.8b</t>
  </si>
  <si>
    <t>5.3a</t>
  </si>
  <si>
    <t>5.3b</t>
  </si>
  <si>
    <t>Poverty: city-level data availability</t>
  </si>
  <si>
    <t>Level of education: national data</t>
  </si>
  <si>
    <t>Level of education: city-level data availability</t>
  </si>
  <si>
    <t>Total unemployment: national data</t>
  </si>
  <si>
    <t>Total unemployment: city-level data availability</t>
  </si>
  <si>
    <t>Access to healthcare</t>
  </si>
  <si>
    <t>Household health expenditure</t>
  </si>
  <si>
    <t>Open spaces and green areas</t>
  </si>
  <si>
    <t>Active transport</t>
  </si>
  <si>
    <t>Access to public transport</t>
  </si>
  <si>
    <t>Tobacco use</t>
  </si>
  <si>
    <t>Tobacco use: national data</t>
  </si>
  <si>
    <t>Physical inactivity: national data</t>
  </si>
  <si>
    <t>Hypertension</t>
  </si>
  <si>
    <t>Hypertension: national data</t>
  </si>
  <si>
    <t>Diabetes</t>
  </si>
  <si>
    <t>Diabetes: national data</t>
  </si>
  <si>
    <t>Diabetes: city-level data availability</t>
  </si>
  <si>
    <t>Obesity</t>
  </si>
  <si>
    <t>Obesity: national data</t>
  </si>
  <si>
    <t>Obesity: city-level data availability</t>
  </si>
  <si>
    <t>Access to medicines</t>
  </si>
  <si>
    <t>Hypertension diagnosis coverage</t>
  </si>
  <si>
    <t>Undiagnosed diabetes</t>
  </si>
  <si>
    <t>Patient-centred care</t>
  </si>
  <si>
    <t>Regulatory power</t>
  </si>
  <si>
    <t>Political will</t>
  </si>
  <si>
    <t>Urban health plan</t>
  </si>
  <si>
    <t>Urban health plan: components</t>
  </si>
  <si>
    <t>Urban health plan: stakeholder engagement</t>
  </si>
  <si>
    <t>CVD management guidelines</t>
  </si>
  <si>
    <t>Treatment guidelines</t>
  </si>
  <si>
    <t>Tobacco control</t>
  </si>
  <si>
    <t>Air pollution control</t>
  </si>
  <si>
    <t>Health promotion</t>
  </si>
  <si>
    <t>%</t>
  </si>
  <si>
    <t>Evidence of city-level data on poverty</t>
  </si>
  <si>
    <t>Evidence of city-level data on unemployment</t>
  </si>
  <si>
    <t>Existence of infrastructure for walking and cycling (e.g. cycle lanes, provision of walking space, safe crossing points, audible signals)</t>
  </si>
  <si>
    <t>Evidence of city-level data on food insecurity</t>
  </si>
  <si>
    <t>Evidence of city-level data on tobacco use</t>
  </si>
  <si>
    <t>Evidence of city-level data on the consumption of vegetables</t>
  </si>
  <si>
    <t>Evidence of city-level data on the consumption of foods high in trans fatty acids</t>
  </si>
  <si>
    <t>Evidence of city-level data on physical inactivity</t>
  </si>
  <si>
    <t>Evidence that a recent (i.e. in the last 5 years) survey measuring raised blood pressure/hypertension has been conducted</t>
  </si>
  <si>
    <t>Evidence of city-level data on diabetes</t>
  </si>
  <si>
    <t>Evidence of city-level data on obesity</t>
  </si>
  <si>
    <t>Evidence of city-level data on high cholesterol</t>
  </si>
  <si>
    <t>Diagnosis coverage (% of adults aged 30–79 years with hypertension who have received previous hypertension diagnosis)</t>
  </si>
  <si>
    <t>Regulatory power of cities</t>
  </si>
  <si>
    <t>City government leadership and support for policies and packages to improve urban heart health</t>
  </si>
  <si>
    <t>Existence of urban public health plan; The public health plan specifies a budget allocated for health services and/or programmes; Existence of urban health plan for NCDs or CVDs (separate or a part of the general public health plan)</t>
  </si>
  <si>
    <t>Evidence of multisectoral stakeholder engagement throughout the urban health plan development phase or in the process of policy development</t>
  </si>
  <si>
    <t>Existence of any policies on marketing of foods to children (Existence of policies to reduce the impact on children of marketing of foods and non-alcoholic beverages high in saturated fats, trans-fatty acids, free sugars, or salt). A recent (i.e. in the past 5 years) adult risk factor survey covering unhealthy diet has been conducted</t>
  </si>
  <si>
    <t>Existence of evidence-based national guidelines/protocols/standards for the management of major NCDs through a primary care approach</t>
  </si>
  <si>
    <t>Existence of national or local evidence-based treatment protocols or guidelines that are focused on hypertension detection and treatment and diabetes detection and treatment</t>
  </si>
  <si>
    <t>Progress towards selected tobacco control policies for demand reduction for the period 2012 - 2022</t>
  </si>
  <si>
    <t>Existence of urban policies and programmes aiming to reduce air pollution and improve air quality</t>
  </si>
  <si>
    <t>Existence of multisectoral health education policies and programmes aimed at the general public to improve behaviour, health knowledge, attitudes and skills enabling individuals to adopt healthy behaviours (e.g. healthcare, education, hospitality, media sectors)</t>
  </si>
  <si>
    <t>In the last 5 years, has city-level data on the population living in poverty been collected and/or published?</t>
  </si>
  <si>
    <t>Percentage of population ages 25 and over that attained or completed upper secondary education.
Educational attainment, at least completed upper secondary, population 25+, total (%) (cumulative)</t>
  </si>
  <si>
    <t>In the last 5 years, has city-level data on unemployment been collected and/or published?</t>
  </si>
  <si>
    <t>Population with household spending on health greater than 25% of total household budget (%)</t>
  </si>
  <si>
    <t>Average share of the built-up area of cities that is open space for public use for all (%)</t>
  </si>
  <si>
    <t>Does the city have infrastructure for walking (e.g. provision of walking space, safe crossing points, audible signals) or cycling (e.g. cycle lanes)?</t>
  </si>
  <si>
    <t>The indicator measures the percentage of individuals in the population who have experienced food insecurity at moderate or severe levels during the reference period. The severity of food insecurity, defined as a latent trait, is measured on the Food Insecurity Experience Scale global reference scale, a measurement standard established by FAO through the application of the Food Insecurity Experience Scale in more than 140 countries worldwide, starting in 2014.</t>
  </si>
  <si>
    <t>In the last 5 years, has city-level data on food insecurity been collected and/or published?</t>
  </si>
  <si>
    <t>The share of population within a 500 m walking distance of low capacity transport systems (buses and trams) and/or 1000 m distance to high capacity systems (train, subway, ferries).</t>
  </si>
  <si>
    <t>In the last 5 years, has city-level data on tobacco use been collected and/or published?</t>
  </si>
  <si>
    <t>In the last 5 years, has city-level data on the consumption of vegetables been collected and/or published?</t>
  </si>
  <si>
    <t>In the last 5 years, has city-level data on the consumption of foods that are high in trans fatty acids been collected and/or published?</t>
  </si>
  <si>
    <t>In the last 5 years, has city-level data on physical activity or inactivity been collected and/or published?</t>
  </si>
  <si>
    <t>Prevalence of hypertension among adults aged 30-79 years
Prevalence of hypertension (defined as having systolic blood pressure ≥140 mmHg, diastolic blood pressure ≥90 mmHg, or taking medication for hypertension) among adults aged 30-79.</t>
  </si>
  <si>
    <t>In the last 5 years, has city-level data on diabetes been collected and/or published?</t>
  </si>
  <si>
    <t>In the last 5 years, has city-level data on obesity been collected and/or published?</t>
  </si>
  <si>
    <t>In the last 5 years, has city-level data on high cholesterol been collected and/or published?</t>
  </si>
  <si>
    <t>Do patients identified at risk of developing CVD have access (in terms of availability and affordability) to the essential CVD medicines as defined in the WHO EML 23rd List (2023)? 
Specifically, do patients have access to ANY of the antihypertensive medicines (or their alternatives), lipid-lowering agents (or their alternatives), and to the fixed-dose combinations included in the WHO EML 23rd List?</t>
  </si>
  <si>
    <t>Proportion of adults (20–79 years) with undiagnosed diabetes (%)</t>
  </si>
  <si>
    <t>Does the city have the power (autonomy) to introduce health policies addressing the major CVD risk factors that have not been introduced at national level (e.g. taxation policies such as sugar taxes)?</t>
  </si>
  <si>
    <t>Is there an urban public health plan?
Does the public health plan specify a budget allocated for health services and/or programmes?
Is there an urban health plan for NCDs or CVDs (separate or a part of the general public health plan)?</t>
  </si>
  <si>
    <t>Government approved evidence-based national guidelines/protocols/standards for the management of the four main NCDs – cardiovascular disease, diabetes, cancer and chronic respiratory diseases. Countries who have a "Yes" for this indicator have indicated that national guidelines/protocols/standards exist for all four NCDs (cardiovascular disease, diabetes, cancer and chronic respiratory diseases).</t>
  </si>
  <si>
    <t>Are there national or local (e.g. by care provider organisations) evidence-based treatment protocols or guidelines that are focused on hypertension detection and treatment and diabetes detection and treatment?</t>
  </si>
  <si>
    <t>How many measures for the following indicators have been implemented in the country and to what degree (complete, moderate, minimal, weak)?
MPOWER indicators:
- Monitoring tobacco use and prevention policies;
- Protecting people from tobacco smoke;
- Offer help to quit tobacco use;
- Warn about the dangers of tobacco;
- Enforce bans on tobacco advertising, promotion and sponsorship;
- Raise taxes on tobacco.</t>
  </si>
  <si>
    <t>Does the city have multisectoral health education policies and programmes aimed at the general public to improve behaviour, health knowledge, attitudes and skills enabling individuals to adopt healthy behaviours (healthcare, education, hospitality, media sectors)?</t>
  </si>
  <si>
    <t>There is no infrastructure for walking and cycling</t>
  </si>
  <si>
    <t>No survey has been conducted</t>
  </si>
  <si>
    <t>Essential CVD medicines are not available or affordable</t>
  </si>
  <si>
    <t>There is no evidence of multidisciplinary care model</t>
  </si>
  <si>
    <t>The city does not have regulatory power</t>
  </si>
  <si>
    <t>No evidence of health department or involvement in urban networks</t>
  </si>
  <si>
    <t>No plan exists</t>
  </si>
  <si>
    <t>There is no evidence of multisector engagement</t>
  </si>
  <si>
    <t>No survey or policies exist</t>
  </si>
  <si>
    <t>There is no evidence of guidelines existence</t>
  </si>
  <si>
    <t>There is no evidence of health promotion programmes</t>
  </si>
  <si>
    <t>Evidence of multidisciplinary care model covering at least two of the areas listed</t>
  </si>
  <si>
    <t>The city has regulatory power</t>
  </si>
  <si>
    <t>There is evidence of engagement with different sectors</t>
  </si>
  <si>
    <t>Country has implemented five measures.</t>
  </si>
  <si>
    <t>Country has implemented all six measures.</t>
  </si>
  <si>
    <t>SOCIAL DETERMINANTS</t>
  </si>
  <si>
    <t>1) SOCIAL DETERMINANTS</t>
  </si>
  <si>
    <t>%; higher data value=higher score.</t>
  </si>
  <si>
    <t>1.1b) Poverty: city-level data availability</t>
  </si>
  <si>
    <t xml:space="preserve">  1.1b) Poverty: city-level data availability</t>
  </si>
  <si>
    <t>0 = No{NL}1 = Yes</t>
  </si>
  <si>
    <t>In the last 5 years, has city-level data on the population living in poverty been collected and/or published?{NL}{NL}0 = No{NL}1 = Yes</t>
  </si>
  <si>
    <t>1.2a) Level of education: national data</t>
  </si>
  <si>
    <t xml:space="preserve">  1.2a) Level of education: national data</t>
  </si>
  <si>
    <t>1.2b) Level of education: city-level data availability</t>
  </si>
  <si>
    <t xml:space="preserve">  1.2b) Level of education: city-level data availability</t>
  </si>
  <si>
    <t>1.3a) Total unemployment: national data</t>
  </si>
  <si>
    <t xml:space="preserve">  1.3a) Total unemployment: national data</t>
  </si>
  <si>
    <t>1.3b) Total unemployment: city-level data availability</t>
  </si>
  <si>
    <t xml:space="preserve">  1.3b) Total unemployment: city-level data availability</t>
  </si>
  <si>
    <t>In the last 5 years, has city-level data on unemployment been collected and/or published?{NL}{NL}0 = No{NL}1 = Yes</t>
  </si>
  <si>
    <t>1.4) Access to healthcare</t>
  </si>
  <si>
    <t xml:space="preserve"> 1.4) Access to healthcare</t>
  </si>
  <si>
    <t>DATA Indicator</t>
  </si>
  <si>
    <t>1.5) Household health expenditure</t>
  </si>
  <si>
    <t xml:space="preserve"> 1.5) Household health expenditure</t>
  </si>
  <si>
    <t>PHYSICAL ENVIRONMENT</t>
  </si>
  <si>
    <t>2) PHYSICAL ENVIRONMENT</t>
  </si>
  <si>
    <t>2.1) Air quality</t>
  </si>
  <si>
    <t xml:space="preserve"> 2.1) Air quality</t>
  </si>
  <si>
    <t>2.2) Open spaces and green areas</t>
  </si>
  <si>
    <t xml:space="preserve"> 2.2) Open spaces and green areas</t>
  </si>
  <si>
    <t>2.3) Active transport</t>
  </si>
  <si>
    <t xml:space="preserve"> 2.3) Active transport</t>
  </si>
  <si>
    <t>In the last 5 years, has city-level data on food insecurity been collected and/or published?{NL}{NL}0 = No{NL}1 = Yes</t>
  </si>
  <si>
    <t>2.5) Access to public transport</t>
  </si>
  <si>
    <t xml:space="preserve"> 2.5) Access to public transport</t>
  </si>
  <si>
    <t>HEALTH RISKS</t>
  </si>
  <si>
    <t>3) HEALTH RISKS</t>
  </si>
  <si>
    <t>3.1) Tobacco use</t>
  </si>
  <si>
    <t xml:space="preserve"> 3.1) Tobacco use</t>
  </si>
  <si>
    <t>3.1a) Tobacco use: national data</t>
  </si>
  <si>
    <t xml:space="preserve">  3.1a) Tobacco use: national data</t>
  </si>
  <si>
    <t>In the last 5 years, has city-level data on tobacco use been collected and/or published?{NL}{NL}0 = No{NL}1 = Yes</t>
  </si>
  <si>
    <t>In the last 5 years, has city-level data on the consumption of vegetables been collected and/or published?{NL}{NL}0 = No{NL}1 = Yes</t>
  </si>
  <si>
    <t>In the last 5 years, has city-level data on the consumption of foods that are high in trans fatty acids been collected and/or published?{NL}{NL}0 = No{NL}1 = Yes</t>
  </si>
  <si>
    <t>3.4a) Physical inactivity: national data</t>
  </si>
  <si>
    <t xml:space="preserve">  3.4a) Physical inactivity: national data</t>
  </si>
  <si>
    <t>In the last 5 years, has city-level data on physical activity or inactivity been collected and/or published?{NL}{NL}0 = No{NL}1 = Yes</t>
  </si>
  <si>
    <t>3.5) Hypertension</t>
  </si>
  <si>
    <t xml:space="preserve"> 3.5) Hypertension</t>
  </si>
  <si>
    <t>3.5a) Hypertension: national data</t>
  </si>
  <si>
    <t xml:space="preserve">  3.5a) Hypertension: national data</t>
  </si>
  <si>
    <t>3.6) Diabetes</t>
  </si>
  <si>
    <t xml:space="preserve"> 3.6) Diabetes</t>
  </si>
  <si>
    <t>3.6a) Diabetes: national data</t>
  </si>
  <si>
    <t xml:space="preserve">  3.6a) Diabetes: national data</t>
  </si>
  <si>
    <t>3.6b) Diabetes: city-level data availability</t>
  </si>
  <si>
    <t xml:space="preserve">  3.6b) Diabetes: city-level data availability</t>
  </si>
  <si>
    <t>In the last 5 years, has city-level data on diabetes been collected and/or published?{NL}{NL}0 = No{NL}1 = Yes</t>
  </si>
  <si>
    <t>3.7) Obesity</t>
  </si>
  <si>
    <t xml:space="preserve"> 3.7) Obesity</t>
  </si>
  <si>
    <t>3.7a) Obesity: national data</t>
  </si>
  <si>
    <t xml:space="preserve">  3.7a) Obesity: national data</t>
  </si>
  <si>
    <t>3.7b) Obesity: city-level data availability</t>
  </si>
  <si>
    <t xml:space="preserve">  3.7b) Obesity: city-level data availability</t>
  </si>
  <si>
    <t>In the last 5 years, has city-level data on obesity been collected and/or published?{NL}{NL}0 = No{NL}1 = Yes</t>
  </si>
  <si>
    <t>In the last 5 years, has city-level data on high cholesterol been collected and/or published?{NL}{NL}0 = No{NL}1 = Yes</t>
  </si>
  <si>
    <t>HEALTH SERVICES</t>
  </si>
  <si>
    <t>4) HEALTH SERVICES</t>
  </si>
  <si>
    <t>4.1) Access to medicines</t>
  </si>
  <si>
    <t xml:space="preserve"> 4.1) Access to medicines</t>
  </si>
  <si>
    <t>4.2) Hypertension diagnosis coverage</t>
  </si>
  <si>
    <t xml:space="preserve"> 4.2) Hypertension diagnosis coverage</t>
  </si>
  <si>
    <t>4.3) Undiagnosed diabetes</t>
  </si>
  <si>
    <t xml:space="preserve"> 4.3) Undiagnosed diabetes</t>
  </si>
  <si>
    <t>4.4) Patient-centred care</t>
  </si>
  <si>
    <t xml:space="preserve"> 4.4) Patient-centred care</t>
  </si>
  <si>
    <t>0 = There is no evidence of multidisciplinary care model{NL}1 = Evidence of multidisciplinary care model covering at least two of the areas listed</t>
  </si>
  <si>
    <t>GOVERNANCE</t>
  </si>
  <si>
    <t>5) GOVERNANCE</t>
  </si>
  <si>
    <t>5.1) Regulatory power</t>
  </si>
  <si>
    <t xml:space="preserve"> 5.1) Regulatory power</t>
  </si>
  <si>
    <t>0 = The city does not have regulatory power{NL}1 = The city has regulatory power</t>
  </si>
  <si>
    <t>Does the city have the power (autonomy) to introduce health policies addressing the major CVD risk factors that have not been introduced at national level (e.g. taxation policies such as sugar taxes)?{NL}{NL}0 = The city does not have regulatory power{NL}1 = The city has regulatory power</t>
  </si>
  <si>
    <t>5.2) Political will</t>
  </si>
  <si>
    <t xml:space="preserve"> 5.2) Political will</t>
  </si>
  <si>
    <t>5.3) Urban health plan</t>
  </si>
  <si>
    <t xml:space="preserve"> 5.3) Urban health plan</t>
  </si>
  <si>
    <t>5.3a) Urban health plan: components</t>
  </si>
  <si>
    <t xml:space="preserve">  5.3a) Urban health plan: components</t>
  </si>
  <si>
    <t>5.3b) Urban health plan: stakeholder engagement</t>
  </si>
  <si>
    <t xml:space="preserve">  5.3b) Urban health plan: stakeholder engagement</t>
  </si>
  <si>
    <t>0 = There is no evidence of multisector engagement{NL}1 = There is evidence of engagement with different sectors</t>
  </si>
  <si>
    <t>5.5) CVD management guidelines</t>
  </si>
  <si>
    <t xml:space="preserve"> 5.5) CVD management guidelines</t>
  </si>
  <si>
    <t>5.6) Treatment guidelines</t>
  </si>
  <si>
    <t xml:space="preserve"> 5.6) Treatment guidelines</t>
  </si>
  <si>
    <t>5.7) Tobacco control</t>
  </si>
  <si>
    <t xml:space="preserve"> 5.7) Tobacco control</t>
  </si>
  <si>
    <t>5.8) Air pollution control</t>
  </si>
  <si>
    <t xml:space="preserve"> 5.8) Air pollution control</t>
  </si>
  <si>
    <t>5.9) Health promotion</t>
  </si>
  <si>
    <t xml:space="preserve"> 5.9) Health promotion</t>
  </si>
  <si>
    <t>1) SOCIAL DETERMINANTS{NL}2) PHYSICAL ENVIRONMENT{NL}3) HEALTH RISKS{NL}4) HEALTH SERVICES{NL}5) GOVERNANCE</t>
  </si>
  <si>
    <t>1.2a) Level of education: national data{NL}1.2b) Level of education: city-level data availability</t>
  </si>
  <si>
    <t>1.3a) Total unemployment: national data{NL}1.3b) Total unemployment: city-level data availability</t>
  </si>
  <si>
    <t>3.6a) Diabetes: national data{NL}3.6b) Diabetes: city-level data availability</t>
  </si>
  <si>
    <t>3.7a) Obesity: national data{NL}3.7b) Obesity: city-level data availability</t>
  </si>
  <si>
    <t>5.3a) Urban health plan: components{NL}5.3b) Urban health plan: stakeholder engagement</t>
  </si>
  <si>
    <t>HEALTH RISKS → Tobacco use</t>
  </si>
  <si>
    <t>HEALTH RISKS → Hypertension</t>
  </si>
  <si>
    <t>HEALTH RISKS → Diabetes</t>
  </si>
  <si>
    <t>HEALTH RISKS → Obesity</t>
  </si>
  <si>
    <t>GOVERNANCE → Urban health plan</t>
  </si>
  <si>
    <t>Weighted average of the following sub-indicator scores:{NL}{NL}1.2a) Level of education: national data{NL}1.2b) Level of education: city-level data availability</t>
  </si>
  <si>
    <t>SCORE CALCULATION{NL}Weighted average of the following sub-indicator scores:{NL}{NL}1.2a) Level of education: national data{NL}1.2b) Level of education: city-level data availability{NL}{NL}</t>
  </si>
  <si>
    <t>Weighted average of the following sub-indicator scores:{NL}{NL}1.3a) Total unemployment: national data{NL}1.3b) Total unemployment: city-level data availability</t>
  </si>
  <si>
    <t>SCORE CALCULATION{NL}Weighted average of the following sub-indicator scores:{NL}{NL}1.3a) Total unemployment: national data{NL}1.3b) Total unemployment: city-level data availability{NL}{NL}</t>
  </si>
  <si>
    <t>Weighted average of the following sub-indicator scores:{NL}{NL}3.6a) Diabetes: national data{NL}3.6b) Diabetes: city-level data availability</t>
  </si>
  <si>
    <t>SCORE CALCULATION{NL}Weighted average of the following sub-indicator scores:{NL}{NL}3.6a) Diabetes: national data{NL}3.6b) Diabetes: city-level data availability{NL}{NL}</t>
  </si>
  <si>
    <t>Weighted average of the following sub-indicator scores:{NL}{NL}3.7a) Obesity: national data{NL}3.7b) Obesity: city-level data availability</t>
  </si>
  <si>
    <t>SCORE CALCULATION{NL}Weighted average of the following sub-indicator scores:{NL}{NL}3.7a) Obesity: national data{NL}3.7b) Obesity: city-level data availability{NL}{NL}</t>
  </si>
  <si>
    <t>Weighted average of the following sub-indicator scores:{NL}{NL}5.3a) Urban health plan: components{NL}5.3b) Urban health plan: stakeholder engagement</t>
  </si>
  <si>
    <t>SCORE CALCULATION{NL}Weighted average of the following sub-indicator scores:{NL}{NL}5.3a) Urban health plan: components{NL}5.3b) Urban health plan: stakeholder engagement{NL}{NL}</t>
  </si>
  <si>
    <t>1) Social Determinants</t>
  </si>
  <si>
    <t>2) Physical Environment</t>
  </si>
  <si>
    <t>3) Health Risks</t>
  </si>
  <si>
    <t>4) Health Services</t>
  </si>
  <si>
    <t>5) Governance</t>
  </si>
  <si>
    <t>1.4) Access To Healthcare</t>
  </si>
  <si>
    <t>1.5) Household Health Expenditure</t>
  </si>
  <si>
    <t>2.1) Air Quality</t>
  </si>
  <si>
    <t>2.2) Open Spaces and Green Areas</t>
  </si>
  <si>
    <t>2.3) Active Transport</t>
  </si>
  <si>
    <t>2.5) Access To Public Transport</t>
  </si>
  <si>
    <t>3.1) Tobacco Use</t>
  </si>
  <si>
    <t>4.1) Access To Medicines</t>
  </si>
  <si>
    <t>4.2) Hypertension Diagnosis Coverage</t>
  </si>
  <si>
    <t>4.3) Undiagnosed Diabetes</t>
  </si>
  <si>
    <t>4.4) Patient-centred Care</t>
  </si>
  <si>
    <t>5.1) Regulatory Power</t>
  </si>
  <si>
    <t>5.2) Political Will</t>
  </si>
  <si>
    <t>5.3) Urban Health Plan</t>
  </si>
  <si>
    <t>5.5) Cvd Management Guidelines</t>
  </si>
  <si>
    <t>5.6) Treatment Guidelines</t>
  </si>
  <si>
    <t>5.7) Tobacco Control</t>
  </si>
  <si>
    <t>5.8) Air Pollution Control</t>
  </si>
  <si>
    <t>5.9) Health Promotion</t>
  </si>
  <si>
    <t>ZGM_SUBINDI_015</t>
  </si>
  <si>
    <t>JNB_SUBINDI_015</t>
  </si>
  <si>
    <t>UAY_SUBINDI_015</t>
  </si>
  <si>
    <t>NBO_SUBINDI_015</t>
  </si>
  <si>
    <t>ADD_SUBINDI_015</t>
  </si>
  <si>
    <t>TOR_SUBINDI_015</t>
  </si>
  <si>
    <t>MEX_SUBINDI_015</t>
  </si>
  <si>
    <t>B6Y_SUBINDI_015</t>
  </si>
  <si>
    <t>SFO_SUBINDI_015</t>
  </si>
  <si>
    <t>A2N_SUBINDI_015</t>
  </si>
  <si>
    <t>RUH_SUBINDI_015</t>
  </si>
  <si>
    <t>CJR_SUBINDI_015</t>
  </si>
  <si>
    <t>DXB_SUBINDI_015</t>
  </si>
  <si>
    <t>KWI_SUBINDI_015</t>
  </si>
  <si>
    <t>BER_SUBINDI_015</t>
  </si>
  <si>
    <t>RMG_SUBINDI_015</t>
  </si>
  <si>
    <t>LOD_SUBINDI_015</t>
  </si>
  <si>
    <t>IST_SUBINDI_015</t>
  </si>
  <si>
    <t>MDD_SUBINDI_015</t>
  </si>
  <si>
    <t>MW3_SUBINDI_015</t>
  </si>
  <si>
    <t>HEL_SUBINDI_015</t>
  </si>
  <si>
    <t>BUD_SUBINDI_015</t>
  </si>
  <si>
    <t>VIE_SUBINDI_015</t>
  </si>
  <si>
    <t>JKT_SUBINDI_015</t>
  </si>
  <si>
    <t>RGN_SUBINDI_015</t>
  </si>
  <si>
    <t>BKK_SUBINDI_015</t>
  </si>
  <si>
    <t>KHI_SUBINDI_015</t>
  </si>
  <si>
    <t>BOM_SUBINDI_015</t>
  </si>
  <si>
    <t>CCU_SUBINDI_015</t>
  </si>
  <si>
    <t>DLI_SUBINDI_015</t>
  </si>
  <si>
    <t>DAC_SUBINDI_015</t>
  </si>
  <si>
    <t>KTM_SUBINDI_015</t>
  </si>
  <si>
    <t>SIN_SUBINDI_015</t>
  </si>
  <si>
    <t>TYO_SUBINDI_015</t>
  </si>
  <si>
    <t>OSA_SUBINDI_015</t>
  </si>
  <si>
    <t>SEL_SUBINDI_015</t>
  </si>
  <si>
    <t>SGH_SUBINDI_015</t>
  </si>
  <si>
    <t>BJS_SUBINDI_015</t>
  </si>
  <si>
    <t>NHN_SUBINDI_015</t>
  </si>
  <si>
    <t>HKG_SUBINDI_015</t>
  </si>
  <si>
    <t>SYD_SUBINDI_015</t>
  </si>
  <si>
    <t>MEL_SUBINDI_015</t>
  </si>
  <si>
    <t>SGN_SUBINDI_015</t>
  </si>
  <si>
    <t>AKL_SUBINDI_015</t>
  </si>
  <si>
    <t>MNL_SUBINDI_015</t>
  </si>
  <si>
    <t>PNH_SUBINDI_015</t>
  </si>
  <si>
    <t>G00_SUBINDI_015</t>
  </si>
  <si>
    <t>G01_SUBINDI_015</t>
  </si>
  <si>
    <t>G02_SUBINDI_015</t>
  </si>
  <si>
    <t>G03_SUBINDI_015</t>
  </si>
  <si>
    <t>G04_SUBINDI_015</t>
  </si>
  <si>
    <t>G05_SUBINDI_015</t>
  </si>
  <si>
    <t>G06_SUBINDI_015</t>
  </si>
  <si>
    <t>ZGM_SUBINDI_017</t>
  </si>
  <si>
    <t>JNB_SUBINDI_017</t>
  </si>
  <si>
    <t>UAY_SUBINDI_017</t>
  </si>
  <si>
    <t>NBO_SUBINDI_017</t>
  </si>
  <si>
    <t>ADD_SUBINDI_017</t>
  </si>
  <si>
    <t>TOR_SUBINDI_017</t>
  </si>
  <si>
    <t>MEX_SUBINDI_017</t>
  </si>
  <si>
    <t>B6Y_SUBINDI_017</t>
  </si>
  <si>
    <t>SFO_SUBINDI_017</t>
  </si>
  <si>
    <t>A2N_SUBINDI_017</t>
  </si>
  <si>
    <t>RUH_SUBINDI_017</t>
  </si>
  <si>
    <t>CJR_SUBINDI_017</t>
  </si>
  <si>
    <t>DXB_SUBINDI_017</t>
  </si>
  <si>
    <t>KWI_SUBINDI_017</t>
  </si>
  <si>
    <t>BER_SUBINDI_017</t>
  </si>
  <si>
    <t>RMG_SUBINDI_017</t>
  </si>
  <si>
    <t>LOD_SUBINDI_017</t>
  </si>
  <si>
    <t>IST_SUBINDI_017</t>
  </si>
  <si>
    <t>MDD_SUBINDI_017</t>
  </si>
  <si>
    <t>MW3_SUBINDI_017</t>
  </si>
  <si>
    <t>HEL_SUBINDI_017</t>
  </si>
  <si>
    <t>BUD_SUBINDI_017</t>
  </si>
  <si>
    <t>VIE_SUBINDI_017</t>
  </si>
  <si>
    <t>JKT_SUBINDI_017</t>
  </si>
  <si>
    <t>RGN_SUBINDI_017</t>
  </si>
  <si>
    <t>BKK_SUBINDI_017</t>
  </si>
  <si>
    <t>KHI_SUBINDI_017</t>
  </si>
  <si>
    <t>BOM_SUBINDI_017</t>
  </si>
  <si>
    <t>CCU_SUBINDI_017</t>
  </si>
  <si>
    <t>DLI_SUBINDI_017</t>
  </si>
  <si>
    <t>DAC_SUBINDI_017</t>
  </si>
  <si>
    <t>KTM_SUBINDI_017</t>
  </si>
  <si>
    <t>SIN_SUBINDI_017</t>
  </si>
  <si>
    <t>TYO_SUBINDI_017</t>
  </si>
  <si>
    <t>OSA_SUBINDI_017</t>
  </si>
  <si>
    <t>SEL_SUBINDI_017</t>
  </si>
  <si>
    <t>SGH_SUBINDI_017</t>
  </si>
  <si>
    <t>BJS_SUBINDI_017</t>
  </si>
  <si>
    <t>NHN_SUBINDI_017</t>
  </si>
  <si>
    <t>HKG_SUBINDI_017</t>
  </si>
  <si>
    <t>SYD_SUBINDI_017</t>
  </si>
  <si>
    <t>MEL_SUBINDI_017</t>
  </si>
  <si>
    <t>SGN_SUBINDI_017</t>
  </si>
  <si>
    <t>AKL_SUBINDI_017</t>
  </si>
  <si>
    <t>MNL_SUBINDI_017</t>
  </si>
  <si>
    <t>PNH_SUBINDI_017</t>
  </si>
  <si>
    <t>G00_SUBINDI_017</t>
  </si>
  <si>
    <t>G01_SUBINDI_017</t>
  </si>
  <si>
    <t>G02_SUBINDI_017</t>
  </si>
  <si>
    <t>G03_SUBINDI_017</t>
  </si>
  <si>
    <t>G04_SUBINDI_017</t>
  </si>
  <si>
    <t>G05_SUBINDI_017</t>
  </si>
  <si>
    <t>G06_SUBINDI_017</t>
  </si>
  <si>
    <t>ZGM_INDI_020</t>
  </si>
  <si>
    <t>JNB_INDI_020</t>
  </si>
  <si>
    <t>UAY_INDI_020</t>
  </si>
  <si>
    <t>NBO_INDI_020</t>
  </si>
  <si>
    <t>ADD_INDI_020</t>
  </si>
  <si>
    <t>TOR_INDI_020</t>
  </si>
  <si>
    <t>MEX_INDI_020</t>
  </si>
  <si>
    <t>B6Y_INDI_020</t>
  </si>
  <si>
    <t>SFO_INDI_020</t>
  </si>
  <si>
    <t>A2N_INDI_020</t>
  </si>
  <si>
    <t>RUH_INDI_020</t>
  </si>
  <si>
    <t>CJR_INDI_020</t>
  </si>
  <si>
    <t>DXB_INDI_020</t>
  </si>
  <si>
    <t>KWI_INDI_020</t>
  </si>
  <si>
    <t>BER_INDI_020</t>
  </si>
  <si>
    <t>RMG_INDI_020</t>
  </si>
  <si>
    <t>LOD_INDI_020</t>
  </si>
  <si>
    <t>IST_INDI_020</t>
  </si>
  <si>
    <t>MDD_INDI_020</t>
  </si>
  <si>
    <t>MW3_INDI_020</t>
  </si>
  <si>
    <t>HEL_INDI_020</t>
  </si>
  <si>
    <t>BUD_INDI_020</t>
  </si>
  <si>
    <t>VIE_INDI_020</t>
  </si>
  <si>
    <t>JKT_INDI_020</t>
  </si>
  <si>
    <t>RGN_INDI_020</t>
  </si>
  <si>
    <t>BKK_INDI_020</t>
  </si>
  <si>
    <t>KHI_INDI_020</t>
  </si>
  <si>
    <t>BOM_INDI_020</t>
  </si>
  <si>
    <t>CCU_INDI_020</t>
  </si>
  <si>
    <t>DLI_INDI_020</t>
  </si>
  <si>
    <t>DAC_INDI_020</t>
  </si>
  <si>
    <t>KTM_INDI_020</t>
  </si>
  <si>
    <t>SIN_INDI_020</t>
  </si>
  <si>
    <t>TYO_INDI_020</t>
  </si>
  <si>
    <t>OSA_INDI_020</t>
  </si>
  <si>
    <t>SEL_INDI_020</t>
  </si>
  <si>
    <t>SGH_INDI_020</t>
  </si>
  <si>
    <t>BJS_INDI_020</t>
  </si>
  <si>
    <t>NHN_INDI_020</t>
  </si>
  <si>
    <t>HKG_INDI_020</t>
  </si>
  <si>
    <t>SYD_INDI_020</t>
  </si>
  <si>
    <t>MEL_INDI_020</t>
  </si>
  <si>
    <t>SGN_INDI_020</t>
  </si>
  <si>
    <t>AKL_INDI_020</t>
  </si>
  <si>
    <t>MNL_INDI_020</t>
  </si>
  <si>
    <t>PNH_INDI_020</t>
  </si>
  <si>
    <t>G00_INDI_020</t>
  </si>
  <si>
    <t>G01_INDI_020</t>
  </si>
  <si>
    <t>G02_INDI_020</t>
  </si>
  <si>
    <t>G03_INDI_020</t>
  </si>
  <si>
    <t>G04_INDI_020</t>
  </si>
  <si>
    <t>G05_INDI_020</t>
  </si>
  <si>
    <t>G06_INDI_020</t>
  </si>
  <si>
    <t>ZGM_INDI_021</t>
  </si>
  <si>
    <t>JNB_INDI_021</t>
  </si>
  <si>
    <t>UAY_INDI_021</t>
  </si>
  <si>
    <t>NBO_INDI_021</t>
  </si>
  <si>
    <t>ADD_INDI_021</t>
  </si>
  <si>
    <t>TOR_INDI_021</t>
  </si>
  <si>
    <t>MEX_INDI_021</t>
  </si>
  <si>
    <t>B6Y_INDI_021</t>
  </si>
  <si>
    <t>SFO_INDI_021</t>
  </si>
  <si>
    <t>A2N_INDI_021</t>
  </si>
  <si>
    <t>RUH_INDI_021</t>
  </si>
  <si>
    <t>CJR_INDI_021</t>
  </si>
  <si>
    <t>DXB_INDI_021</t>
  </si>
  <si>
    <t>KWI_INDI_021</t>
  </si>
  <si>
    <t>BER_INDI_021</t>
  </si>
  <si>
    <t>RMG_INDI_021</t>
  </si>
  <si>
    <t>LOD_INDI_021</t>
  </si>
  <si>
    <t>IST_INDI_021</t>
  </si>
  <si>
    <t>MDD_INDI_021</t>
  </si>
  <si>
    <t>MW3_INDI_021</t>
  </si>
  <si>
    <t>HEL_INDI_021</t>
  </si>
  <si>
    <t>BUD_INDI_021</t>
  </si>
  <si>
    <t>VIE_INDI_021</t>
  </si>
  <si>
    <t>JKT_INDI_021</t>
  </si>
  <si>
    <t>RGN_INDI_021</t>
  </si>
  <si>
    <t>BKK_INDI_021</t>
  </si>
  <si>
    <t>KHI_INDI_021</t>
  </si>
  <si>
    <t>BOM_INDI_021</t>
  </si>
  <si>
    <t>CCU_INDI_021</t>
  </si>
  <si>
    <t>DLI_INDI_021</t>
  </si>
  <si>
    <t>DAC_INDI_021</t>
  </si>
  <si>
    <t>KTM_INDI_021</t>
  </si>
  <si>
    <t>SIN_INDI_021</t>
  </si>
  <si>
    <t>TYO_INDI_021</t>
  </si>
  <si>
    <t>OSA_INDI_021</t>
  </si>
  <si>
    <t>SEL_INDI_021</t>
  </si>
  <si>
    <t>SGH_INDI_021</t>
  </si>
  <si>
    <t>BJS_INDI_021</t>
  </si>
  <si>
    <t>NHN_INDI_021</t>
  </si>
  <si>
    <t>HKG_INDI_021</t>
  </si>
  <si>
    <t>SYD_INDI_021</t>
  </si>
  <si>
    <t>MEL_INDI_021</t>
  </si>
  <si>
    <t>SGN_INDI_021</t>
  </si>
  <si>
    <t>AKL_INDI_021</t>
  </si>
  <si>
    <t>MNL_INDI_021</t>
  </si>
  <si>
    <t>PNH_INDI_021</t>
  </si>
  <si>
    <t>G00_INDI_021</t>
  </si>
  <si>
    <t>G01_INDI_021</t>
  </si>
  <si>
    <t>G02_INDI_021</t>
  </si>
  <si>
    <t>G03_INDI_021</t>
  </si>
  <si>
    <t>G04_INDI_021</t>
  </si>
  <si>
    <t>G05_INDI_021</t>
  </si>
  <si>
    <t>G06_INDI_021</t>
  </si>
  <si>
    <t>ZGM_INDI_022</t>
  </si>
  <si>
    <t>JNB_INDI_022</t>
  </si>
  <si>
    <t>UAY_INDI_022</t>
  </si>
  <si>
    <t>NBO_INDI_022</t>
  </si>
  <si>
    <t>ADD_INDI_022</t>
  </si>
  <si>
    <t>TOR_INDI_022</t>
  </si>
  <si>
    <t>MEX_INDI_022</t>
  </si>
  <si>
    <t>B6Y_INDI_022</t>
  </si>
  <si>
    <t>SFO_INDI_022</t>
  </si>
  <si>
    <t>A2N_INDI_022</t>
  </si>
  <si>
    <t>RUH_INDI_022</t>
  </si>
  <si>
    <t>CJR_INDI_022</t>
  </si>
  <si>
    <t>DXB_INDI_022</t>
  </si>
  <si>
    <t>KWI_INDI_022</t>
  </si>
  <si>
    <t>BER_INDI_022</t>
  </si>
  <si>
    <t>RMG_INDI_022</t>
  </si>
  <si>
    <t>LOD_INDI_022</t>
  </si>
  <si>
    <t>IST_INDI_022</t>
  </si>
  <si>
    <t>MDD_INDI_022</t>
  </si>
  <si>
    <t>MW3_INDI_022</t>
  </si>
  <si>
    <t>HEL_INDI_022</t>
  </si>
  <si>
    <t>BUD_INDI_022</t>
  </si>
  <si>
    <t>VIE_INDI_022</t>
  </si>
  <si>
    <t>JKT_INDI_022</t>
  </si>
  <si>
    <t>RGN_INDI_022</t>
  </si>
  <si>
    <t>BKK_INDI_022</t>
  </si>
  <si>
    <t>KHI_INDI_022</t>
  </si>
  <si>
    <t>BOM_INDI_022</t>
  </si>
  <si>
    <t>CCU_INDI_022</t>
  </si>
  <si>
    <t>DLI_INDI_022</t>
  </si>
  <si>
    <t>DAC_INDI_022</t>
  </si>
  <si>
    <t>KTM_INDI_022</t>
  </si>
  <si>
    <t>SIN_INDI_022</t>
  </si>
  <si>
    <t>TYO_INDI_022</t>
  </si>
  <si>
    <t>OSA_INDI_022</t>
  </si>
  <si>
    <t>SEL_INDI_022</t>
  </si>
  <si>
    <t>SGH_INDI_022</t>
  </si>
  <si>
    <t>BJS_INDI_022</t>
  </si>
  <si>
    <t>NHN_INDI_022</t>
  </si>
  <si>
    <t>HKG_INDI_022</t>
  </si>
  <si>
    <t>SYD_INDI_022</t>
  </si>
  <si>
    <t>MEL_INDI_022</t>
  </si>
  <si>
    <t>SGN_INDI_022</t>
  </si>
  <si>
    <t>AKL_INDI_022</t>
  </si>
  <si>
    <t>MNL_INDI_022</t>
  </si>
  <si>
    <t>PNH_INDI_022</t>
  </si>
  <si>
    <t>G00_INDI_022</t>
  </si>
  <si>
    <t>G01_INDI_022</t>
  </si>
  <si>
    <t>G02_INDI_022</t>
  </si>
  <si>
    <t>G03_INDI_022</t>
  </si>
  <si>
    <t>G04_INDI_022</t>
  </si>
  <si>
    <t>G05_INDI_022</t>
  </si>
  <si>
    <t>G06_INDI_022</t>
  </si>
  <si>
    <t>ZGM_DOMAIN_005</t>
  </si>
  <si>
    <t>JNB_DOMAIN_005</t>
  </si>
  <si>
    <t>UAY_DOMAIN_005</t>
  </si>
  <si>
    <t>NBO_DOMAIN_005</t>
  </si>
  <si>
    <t>ADD_DOMAIN_005</t>
  </si>
  <si>
    <t>TOR_DOMAIN_005</t>
  </si>
  <si>
    <t>MEX_DOMAIN_005</t>
  </si>
  <si>
    <t>B6Y_DOMAIN_005</t>
  </si>
  <si>
    <t>SFO_DOMAIN_005</t>
  </si>
  <si>
    <t>A2N_DOMAIN_005</t>
  </si>
  <si>
    <t>RUH_DOMAIN_005</t>
  </si>
  <si>
    <t>CJR_DOMAIN_005</t>
  </si>
  <si>
    <t>DXB_DOMAIN_005</t>
  </si>
  <si>
    <t>KWI_DOMAIN_005</t>
  </si>
  <si>
    <t>BER_DOMAIN_005</t>
  </si>
  <si>
    <t>RMG_DOMAIN_005</t>
  </si>
  <si>
    <t>LOD_DOMAIN_005</t>
  </si>
  <si>
    <t>IST_DOMAIN_005</t>
  </si>
  <si>
    <t>MDD_DOMAIN_005</t>
  </si>
  <si>
    <t>MW3_DOMAIN_005</t>
  </si>
  <si>
    <t>HEL_DOMAIN_005</t>
  </si>
  <si>
    <t>BUD_DOMAIN_005</t>
  </si>
  <si>
    <t>VIE_DOMAIN_005</t>
  </si>
  <si>
    <t>JKT_DOMAIN_005</t>
  </si>
  <si>
    <t>RGN_DOMAIN_005</t>
  </si>
  <si>
    <t>BKK_DOMAIN_005</t>
  </si>
  <si>
    <t>KHI_DOMAIN_005</t>
  </si>
  <si>
    <t>BOM_DOMAIN_005</t>
  </si>
  <si>
    <t>CCU_DOMAIN_005</t>
  </si>
  <si>
    <t>DLI_DOMAIN_005</t>
  </si>
  <si>
    <t>DAC_DOMAIN_005</t>
  </si>
  <si>
    <t>KTM_DOMAIN_005</t>
  </si>
  <si>
    <t>SIN_DOMAIN_005</t>
  </si>
  <si>
    <t>TYO_DOMAIN_005</t>
  </si>
  <si>
    <t>OSA_DOMAIN_005</t>
  </si>
  <si>
    <t>SEL_DOMAIN_005</t>
  </si>
  <si>
    <t>SGH_DOMAIN_005</t>
  </si>
  <si>
    <t>BJS_DOMAIN_005</t>
  </si>
  <si>
    <t>NHN_DOMAIN_005</t>
  </si>
  <si>
    <t>HKG_DOMAIN_005</t>
  </si>
  <si>
    <t>SYD_DOMAIN_005</t>
  </si>
  <si>
    <t>MEL_DOMAIN_005</t>
  </si>
  <si>
    <t>SGN_DOMAIN_005</t>
  </si>
  <si>
    <t>AKL_DOMAIN_005</t>
  </si>
  <si>
    <t>MNL_DOMAIN_005</t>
  </si>
  <si>
    <t>PNH_DOMAIN_005</t>
  </si>
  <si>
    <t>G00_DOMAIN_005</t>
  </si>
  <si>
    <t>G01_DOMAIN_005</t>
  </si>
  <si>
    <t>G02_DOMAIN_005</t>
  </si>
  <si>
    <t>G03_DOMAIN_005</t>
  </si>
  <si>
    <t>G04_DOMAIN_005</t>
  </si>
  <si>
    <t>G05_DOMAIN_005</t>
  </si>
  <si>
    <t>G06_DOMAIN_005</t>
  </si>
  <si>
    <t>ZGM_INDI_024</t>
  </si>
  <si>
    <t>JNB_INDI_024</t>
  </si>
  <si>
    <t>UAY_INDI_024</t>
  </si>
  <si>
    <t>NBO_INDI_024</t>
  </si>
  <si>
    <t>ADD_INDI_024</t>
  </si>
  <si>
    <t>TOR_INDI_024</t>
  </si>
  <si>
    <t>MEX_INDI_024</t>
  </si>
  <si>
    <t>B6Y_INDI_024</t>
  </si>
  <si>
    <t>SFO_INDI_024</t>
  </si>
  <si>
    <t>A2N_INDI_024</t>
  </si>
  <si>
    <t>RUH_INDI_024</t>
  </si>
  <si>
    <t>CJR_INDI_024</t>
  </si>
  <si>
    <t>DXB_INDI_024</t>
  </si>
  <si>
    <t>KWI_INDI_024</t>
  </si>
  <si>
    <t>BER_INDI_024</t>
  </si>
  <si>
    <t>RMG_INDI_024</t>
  </si>
  <si>
    <t>LOD_INDI_024</t>
  </si>
  <si>
    <t>IST_INDI_024</t>
  </si>
  <si>
    <t>MDD_INDI_024</t>
  </si>
  <si>
    <t>MW3_INDI_024</t>
  </si>
  <si>
    <t>HEL_INDI_024</t>
  </si>
  <si>
    <t>BUD_INDI_024</t>
  </si>
  <si>
    <t>VIE_INDI_024</t>
  </si>
  <si>
    <t>JKT_INDI_024</t>
  </si>
  <si>
    <t>RGN_INDI_024</t>
  </si>
  <si>
    <t>BKK_INDI_024</t>
  </si>
  <si>
    <t>KHI_INDI_024</t>
  </si>
  <si>
    <t>BOM_INDI_024</t>
  </si>
  <si>
    <t>CCU_INDI_024</t>
  </si>
  <si>
    <t>DLI_INDI_024</t>
  </si>
  <si>
    <t>DAC_INDI_024</t>
  </si>
  <si>
    <t>KTM_INDI_024</t>
  </si>
  <si>
    <t>SIN_INDI_024</t>
  </si>
  <si>
    <t>TYO_INDI_024</t>
  </si>
  <si>
    <t>OSA_INDI_024</t>
  </si>
  <si>
    <t>SEL_INDI_024</t>
  </si>
  <si>
    <t>SGH_INDI_024</t>
  </si>
  <si>
    <t>BJS_INDI_024</t>
  </si>
  <si>
    <t>NHN_INDI_024</t>
  </si>
  <si>
    <t>HKG_INDI_024</t>
  </si>
  <si>
    <t>SYD_INDI_024</t>
  </si>
  <si>
    <t>MEL_INDI_024</t>
  </si>
  <si>
    <t>SGN_INDI_024</t>
  </si>
  <si>
    <t>AKL_INDI_024</t>
  </si>
  <si>
    <t>MNL_INDI_024</t>
  </si>
  <si>
    <t>PNH_INDI_024</t>
  </si>
  <si>
    <t>G00_INDI_024</t>
  </si>
  <si>
    <t>G01_INDI_024</t>
  </si>
  <si>
    <t>G02_INDI_024</t>
  </si>
  <si>
    <t>G03_INDI_024</t>
  </si>
  <si>
    <t>G04_INDI_024</t>
  </si>
  <si>
    <t>G05_INDI_024</t>
  </si>
  <si>
    <t>G06_INDI_024</t>
  </si>
  <si>
    <t>ZGM_INDI_025</t>
  </si>
  <si>
    <t>JNB_INDI_025</t>
  </si>
  <si>
    <t>UAY_INDI_025</t>
  </si>
  <si>
    <t>NBO_INDI_025</t>
  </si>
  <si>
    <t>ADD_INDI_025</t>
  </si>
  <si>
    <t>TOR_INDI_025</t>
  </si>
  <si>
    <t>MEX_INDI_025</t>
  </si>
  <si>
    <t>B6Y_INDI_025</t>
  </si>
  <si>
    <t>SFO_INDI_025</t>
  </si>
  <si>
    <t>A2N_INDI_025</t>
  </si>
  <si>
    <t>RUH_INDI_025</t>
  </si>
  <si>
    <t>CJR_INDI_025</t>
  </si>
  <si>
    <t>DXB_INDI_025</t>
  </si>
  <si>
    <t>KWI_INDI_025</t>
  </si>
  <si>
    <t>BER_INDI_025</t>
  </si>
  <si>
    <t>RMG_INDI_025</t>
  </si>
  <si>
    <t>LOD_INDI_025</t>
  </si>
  <si>
    <t>IST_INDI_025</t>
  </si>
  <si>
    <t>MDD_INDI_025</t>
  </si>
  <si>
    <t>MW3_INDI_025</t>
  </si>
  <si>
    <t>HEL_INDI_025</t>
  </si>
  <si>
    <t>BUD_INDI_025</t>
  </si>
  <si>
    <t>VIE_INDI_025</t>
  </si>
  <si>
    <t>JKT_INDI_025</t>
  </si>
  <si>
    <t>RGN_INDI_025</t>
  </si>
  <si>
    <t>BKK_INDI_025</t>
  </si>
  <si>
    <t>KHI_INDI_025</t>
  </si>
  <si>
    <t>BOM_INDI_025</t>
  </si>
  <si>
    <t>CCU_INDI_025</t>
  </si>
  <si>
    <t>DLI_INDI_025</t>
  </si>
  <si>
    <t>DAC_INDI_025</t>
  </si>
  <si>
    <t>KTM_INDI_025</t>
  </si>
  <si>
    <t>SIN_INDI_025</t>
  </si>
  <si>
    <t>TYO_INDI_025</t>
  </si>
  <si>
    <t>OSA_INDI_025</t>
  </si>
  <si>
    <t>SEL_INDI_025</t>
  </si>
  <si>
    <t>SGH_INDI_025</t>
  </si>
  <si>
    <t>BJS_INDI_025</t>
  </si>
  <si>
    <t>NHN_INDI_025</t>
  </si>
  <si>
    <t>HKG_INDI_025</t>
  </si>
  <si>
    <t>SYD_INDI_025</t>
  </si>
  <si>
    <t>MEL_INDI_025</t>
  </si>
  <si>
    <t>SGN_INDI_025</t>
  </si>
  <si>
    <t>AKL_INDI_025</t>
  </si>
  <si>
    <t>MNL_INDI_025</t>
  </si>
  <si>
    <t>PNH_INDI_025</t>
  </si>
  <si>
    <t>G00_INDI_025</t>
  </si>
  <si>
    <t>G01_INDI_025</t>
  </si>
  <si>
    <t>G02_INDI_025</t>
  </si>
  <si>
    <t>G03_INDI_025</t>
  </si>
  <si>
    <t>G04_INDI_025</t>
  </si>
  <si>
    <t>G05_INDI_025</t>
  </si>
  <si>
    <t>G06_INDI_025</t>
  </si>
  <si>
    <t>ZGM_INDI_026</t>
  </si>
  <si>
    <t>JNB_INDI_026</t>
  </si>
  <si>
    <t>UAY_INDI_026</t>
  </si>
  <si>
    <t>NBO_INDI_026</t>
  </si>
  <si>
    <t>ADD_INDI_026</t>
  </si>
  <si>
    <t>TOR_INDI_026</t>
  </si>
  <si>
    <t>MEX_INDI_026</t>
  </si>
  <si>
    <t>B6Y_INDI_026</t>
  </si>
  <si>
    <t>SFO_INDI_026</t>
  </si>
  <si>
    <t>A2N_INDI_026</t>
  </si>
  <si>
    <t>RUH_INDI_026</t>
  </si>
  <si>
    <t>CJR_INDI_026</t>
  </si>
  <si>
    <t>DXB_INDI_026</t>
  </si>
  <si>
    <t>KWI_INDI_026</t>
  </si>
  <si>
    <t>BER_INDI_026</t>
  </si>
  <si>
    <t>RMG_INDI_026</t>
  </si>
  <si>
    <t>LOD_INDI_026</t>
  </si>
  <si>
    <t>IST_INDI_026</t>
  </si>
  <si>
    <t>MDD_INDI_026</t>
  </si>
  <si>
    <t>MW3_INDI_026</t>
  </si>
  <si>
    <t>HEL_INDI_026</t>
  </si>
  <si>
    <t>BUD_INDI_026</t>
  </si>
  <si>
    <t>VIE_INDI_026</t>
  </si>
  <si>
    <t>JKT_INDI_026</t>
  </si>
  <si>
    <t>RGN_INDI_026</t>
  </si>
  <si>
    <t>BKK_INDI_026</t>
  </si>
  <si>
    <t>KHI_INDI_026</t>
  </si>
  <si>
    <t>BOM_INDI_026</t>
  </si>
  <si>
    <t>CCU_INDI_026</t>
  </si>
  <si>
    <t>DLI_INDI_026</t>
  </si>
  <si>
    <t>DAC_INDI_026</t>
  </si>
  <si>
    <t>KTM_INDI_026</t>
  </si>
  <si>
    <t>SIN_INDI_026</t>
  </si>
  <si>
    <t>TYO_INDI_026</t>
  </si>
  <si>
    <t>OSA_INDI_026</t>
  </si>
  <si>
    <t>SEL_INDI_026</t>
  </si>
  <si>
    <t>SGH_INDI_026</t>
  </si>
  <si>
    <t>BJS_INDI_026</t>
  </si>
  <si>
    <t>NHN_INDI_026</t>
  </si>
  <si>
    <t>HKG_INDI_026</t>
  </si>
  <si>
    <t>SYD_INDI_026</t>
  </si>
  <si>
    <t>MEL_INDI_026</t>
  </si>
  <si>
    <t>SGN_INDI_026</t>
  </si>
  <si>
    <t>AKL_INDI_026</t>
  </si>
  <si>
    <t>MNL_INDI_026</t>
  </si>
  <si>
    <t>PNH_INDI_026</t>
  </si>
  <si>
    <t>G00_INDI_026</t>
  </si>
  <si>
    <t>G01_INDI_026</t>
  </si>
  <si>
    <t>G02_INDI_026</t>
  </si>
  <si>
    <t>G03_INDI_026</t>
  </si>
  <si>
    <t>G04_INDI_026</t>
  </si>
  <si>
    <t>G05_INDI_026</t>
  </si>
  <si>
    <t>G06_INDI_026</t>
  </si>
  <si>
    <t>ZGM_INDI_027</t>
  </si>
  <si>
    <t>JNB_INDI_027</t>
  </si>
  <si>
    <t>UAY_INDI_027</t>
  </si>
  <si>
    <t>NBO_INDI_027</t>
  </si>
  <si>
    <t>ADD_INDI_027</t>
  </si>
  <si>
    <t>TOR_INDI_027</t>
  </si>
  <si>
    <t>MEX_INDI_027</t>
  </si>
  <si>
    <t>B6Y_INDI_027</t>
  </si>
  <si>
    <t>SFO_INDI_027</t>
  </si>
  <si>
    <t>A2N_INDI_027</t>
  </si>
  <si>
    <t>RUH_INDI_027</t>
  </si>
  <si>
    <t>CJR_INDI_027</t>
  </si>
  <si>
    <t>DXB_INDI_027</t>
  </si>
  <si>
    <t>KWI_INDI_027</t>
  </si>
  <si>
    <t>BER_INDI_027</t>
  </si>
  <si>
    <t>RMG_INDI_027</t>
  </si>
  <si>
    <t>LOD_INDI_027</t>
  </si>
  <si>
    <t>IST_INDI_027</t>
  </si>
  <si>
    <t>MDD_INDI_027</t>
  </si>
  <si>
    <t>MW3_INDI_027</t>
  </si>
  <si>
    <t>HEL_INDI_027</t>
  </si>
  <si>
    <t>BUD_INDI_027</t>
  </si>
  <si>
    <t>VIE_INDI_027</t>
  </si>
  <si>
    <t>JKT_INDI_027</t>
  </si>
  <si>
    <t>RGN_INDI_027</t>
  </si>
  <si>
    <t>BKK_INDI_027</t>
  </si>
  <si>
    <t>KHI_INDI_027</t>
  </si>
  <si>
    <t>BOM_INDI_027</t>
  </si>
  <si>
    <t>CCU_INDI_027</t>
  </si>
  <si>
    <t>DLI_INDI_027</t>
  </si>
  <si>
    <t>DAC_INDI_027</t>
  </si>
  <si>
    <t>KTM_INDI_027</t>
  </si>
  <si>
    <t>SIN_INDI_027</t>
  </si>
  <si>
    <t>TYO_INDI_027</t>
  </si>
  <si>
    <t>OSA_INDI_027</t>
  </si>
  <si>
    <t>SEL_INDI_027</t>
  </si>
  <si>
    <t>SGH_INDI_027</t>
  </si>
  <si>
    <t>BJS_INDI_027</t>
  </si>
  <si>
    <t>NHN_INDI_027</t>
  </si>
  <si>
    <t>HKG_INDI_027</t>
  </si>
  <si>
    <t>SYD_INDI_027</t>
  </si>
  <si>
    <t>MEL_INDI_027</t>
  </si>
  <si>
    <t>SGN_INDI_027</t>
  </si>
  <si>
    <t>AKL_INDI_027</t>
  </si>
  <si>
    <t>MNL_INDI_027</t>
  </si>
  <si>
    <t>PNH_INDI_027</t>
  </si>
  <si>
    <t>G00_INDI_027</t>
  </si>
  <si>
    <t>G01_INDI_027</t>
  </si>
  <si>
    <t>G02_INDI_027</t>
  </si>
  <si>
    <t>G03_INDI_027</t>
  </si>
  <si>
    <t>G04_INDI_027</t>
  </si>
  <si>
    <t>G05_INDI_027</t>
  </si>
  <si>
    <t>G06_INDI_027</t>
  </si>
  <si>
    <t>ZGM_INDI_028</t>
  </si>
  <si>
    <t>JNB_INDI_028</t>
  </si>
  <si>
    <t>UAY_INDI_028</t>
  </si>
  <si>
    <t>NBO_INDI_028</t>
  </si>
  <si>
    <t>ADD_INDI_028</t>
  </si>
  <si>
    <t>TOR_INDI_028</t>
  </si>
  <si>
    <t>MEX_INDI_028</t>
  </si>
  <si>
    <t>B6Y_INDI_028</t>
  </si>
  <si>
    <t>SFO_INDI_028</t>
  </si>
  <si>
    <t>A2N_INDI_028</t>
  </si>
  <si>
    <t>RUH_INDI_028</t>
  </si>
  <si>
    <t>CJR_INDI_028</t>
  </si>
  <si>
    <t>DXB_INDI_028</t>
  </si>
  <si>
    <t>KWI_INDI_028</t>
  </si>
  <si>
    <t>BER_INDI_028</t>
  </si>
  <si>
    <t>RMG_INDI_028</t>
  </si>
  <si>
    <t>LOD_INDI_028</t>
  </si>
  <si>
    <t>IST_INDI_028</t>
  </si>
  <si>
    <t>MDD_INDI_028</t>
  </si>
  <si>
    <t>MW3_INDI_028</t>
  </si>
  <si>
    <t>HEL_INDI_028</t>
  </si>
  <si>
    <t>BUD_INDI_028</t>
  </si>
  <si>
    <t>VIE_INDI_028</t>
  </si>
  <si>
    <t>JKT_INDI_028</t>
  </si>
  <si>
    <t>RGN_INDI_028</t>
  </si>
  <si>
    <t>BKK_INDI_028</t>
  </si>
  <si>
    <t>KHI_INDI_028</t>
  </si>
  <si>
    <t>BOM_INDI_028</t>
  </si>
  <si>
    <t>CCU_INDI_028</t>
  </si>
  <si>
    <t>DLI_INDI_028</t>
  </si>
  <si>
    <t>DAC_INDI_028</t>
  </si>
  <si>
    <t>KTM_INDI_028</t>
  </si>
  <si>
    <t>SIN_INDI_028</t>
  </si>
  <si>
    <t>TYO_INDI_028</t>
  </si>
  <si>
    <t>OSA_INDI_028</t>
  </si>
  <si>
    <t>SEL_INDI_028</t>
  </si>
  <si>
    <t>SGH_INDI_028</t>
  </si>
  <si>
    <t>BJS_INDI_028</t>
  </si>
  <si>
    <t>NHN_INDI_028</t>
  </si>
  <si>
    <t>HKG_INDI_028</t>
  </si>
  <si>
    <t>SYD_INDI_028</t>
  </si>
  <si>
    <t>MEL_INDI_028</t>
  </si>
  <si>
    <t>SGN_INDI_028</t>
  </si>
  <si>
    <t>AKL_INDI_028</t>
  </si>
  <si>
    <t>MNL_INDI_028</t>
  </si>
  <si>
    <t>PNH_INDI_028</t>
  </si>
  <si>
    <t>G00_INDI_028</t>
  </si>
  <si>
    <t>G01_INDI_028</t>
  </si>
  <si>
    <t>G02_INDI_028</t>
  </si>
  <si>
    <t>G03_INDI_028</t>
  </si>
  <si>
    <t>G04_INDI_028</t>
  </si>
  <si>
    <t>G05_INDI_028</t>
  </si>
  <si>
    <t>G06_INDI_028</t>
  </si>
  <si>
    <t>ZGM_INDI_029</t>
  </si>
  <si>
    <t>JNB_INDI_029</t>
  </si>
  <si>
    <t>UAY_INDI_029</t>
  </si>
  <si>
    <t>NBO_INDI_029</t>
  </si>
  <si>
    <t>ADD_INDI_029</t>
  </si>
  <si>
    <t>TOR_INDI_029</t>
  </si>
  <si>
    <t>MEX_INDI_029</t>
  </si>
  <si>
    <t>B6Y_INDI_029</t>
  </si>
  <si>
    <t>SFO_INDI_029</t>
  </si>
  <si>
    <t>A2N_INDI_029</t>
  </si>
  <si>
    <t>RUH_INDI_029</t>
  </si>
  <si>
    <t>CJR_INDI_029</t>
  </si>
  <si>
    <t>DXB_INDI_029</t>
  </si>
  <si>
    <t>KWI_INDI_029</t>
  </si>
  <si>
    <t>BER_INDI_029</t>
  </si>
  <si>
    <t>RMG_INDI_029</t>
  </si>
  <si>
    <t>LOD_INDI_029</t>
  </si>
  <si>
    <t>IST_INDI_029</t>
  </si>
  <si>
    <t>MDD_INDI_029</t>
  </si>
  <si>
    <t>MW3_INDI_029</t>
  </si>
  <si>
    <t>HEL_INDI_029</t>
  </si>
  <si>
    <t>BUD_INDI_029</t>
  </si>
  <si>
    <t>VIE_INDI_029</t>
  </si>
  <si>
    <t>JKT_INDI_029</t>
  </si>
  <si>
    <t>RGN_INDI_029</t>
  </si>
  <si>
    <t>BKK_INDI_029</t>
  </si>
  <si>
    <t>KHI_INDI_029</t>
  </si>
  <si>
    <t>BOM_INDI_029</t>
  </si>
  <si>
    <t>CCU_INDI_029</t>
  </si>
  <si>
    <t>DLI_INDI_029</t>
  </si>
  <si>
    <t>DAC_INDI_029</t>
  </si>
  <si>
    <t>KTM_INDI_029</t>
  </si>
  <si>
    <t>SIN_INDI_029</t>
  </si>
  <si>
    <t>TYO_INDI_029</t>
  </si>
  <si>
    <t>OSA_INDI_029</t>
  </si>
  <si>
    <t>SEL_INDI_029</t>
  </si>
  <si>
    <t>SGH_INDI_029</t>
  </si>
  <si>
    <t>BJS_INDI_029</t>
  </si>
  <si>
    <t>NHN_INDI_029</t>
  </si>
  <si>
    <t>HKG_INDI_029</t>
  </si>
  <si>
    <t>SYD_INDI_029</t>
  </si>
  <si>
    <t>MEL_INDI_029</t>
  </si>
  <si>
    <t>SGN_INDI_029</t>
  </si>
  <si>
    <t>AKL_INDI_029</t>
  </si>
  <si>
    <t>MNL_INDI_029</t>
  </si>
  <si>
    <t>PNH_INDI_029</t>
  </si>
  <si>
    <t>G00_INDI_029</t>
  </si>
  <si>
    <t>G01_INDI_029</t>
  </si>
  <si>
    <t>G02_INDI_029</t>
  </si>
  <si>
    <t>G03_INDI_029</t>
  </si>
  <si>
    <t>G04_INDI_029</t>
  </si>
  <si>
    <t>G05_INDI_029</t>
  </si>
  <si>
    <t>G06_INDI_029</t>
  </si>
  <si>
    <t>ZGM_INDI_030</t>
  </si>
  <si>
    <t>JNB_INDI_030</t>
  </si>
  <si>
    <t>UAY_INDI_030</t>
  </si>
  <si>
    <t>NBO_INDI_030</t>
  </si>
  <si>
    <t>ADD_INDI_030</t>
  </si>
  <si>
    <t>TOR_INDI_030</t>
  </si>
  <si>
    <t>MEX_INDI_030</t>
  </si>
  <si>
    <t>B6Y_INDI_030</t>
  </si>
  <si>
    <t>SFO_INDI_030</t>
  </si>
  <si>
    <t>A2N_INDI_030</t>
  </si>
  <si>
    <t>RUH_INDI_030</t>
  </si>
  <si>
    <t>CJR_INDI_030</t>
  </si>
  <si>
    <t>DXB_INDI_030</t>
  </si>
  <si>
    <t>KWI_INDI_030</t>
  </si>
  <si>
    <t>BER_INDI_030</t>
  </si>
  <si>
    <t>RMG_INDI_030</t>
  </si>
  <si>
    <t>LOD_INDI_030</t>
  </si>
  <si>
    <t>IST_INDI_030</t>
  </si>
  <si>
    <t>MDD_INDI_030</t>
  </si>
  <si>
    <t>MW3_INDI_030</t>
  </si>
  <si>
    <t>HEL_INDI_030</t>
  </si>
  <si>
    <t>BUD_INDI_030</t>
  </si>
  <si>
    <t>VIE_INDI_030</t>
  </si>
  <si>
    <t>JKT_INDI_030</t>
  </si>
  <si>
    <t>RGN_INDI_030</t>
  </si>
  <si>
    <t>BKK_INDI_030</t>
  </si>
  <si>
    <t>KHI_INDI_030</t>
  </si>
  <si>
    <t>BOM_INDI_030</t>
  </si>
  <si>
    <t>CCU_INDI_030</t>
  </si>
  <si>
    <t>DLI_INDI_030</t>
  </si>
  <si>
    <t>DAC_INDI_030</t>
  </si>
  <si>
    <t>KTM_INDI_030</t>
  </si>
  <si>
    <t>SIN_INDI_030</t>
  </si>
  <si>
    <t>TYO_INDI_030</t>
  </si>
  <si>
    <t>OSA_INDI_030</t>
  </si>
  <si>
    <t>SEL_INDI_030</t>
  </si>
  <si>
    <t>SGH_INDI_030</t>
  </si>
  <si>
    <t>BJS_INDI_030</t>
  </si>
  <si>
    <t>NHN_INDI_030</t>
  </si>
  <si>
    <t>HKG_INDI_030</t>
  </si>
  <si>
    <t>SYD_INDI_030</t>
  </si>
  <si>
    <t>MEL_INDI_030</t>
  </si>
  <si>
    <t>SGN_INDI_030</t>
  </si>
  <si>
    <t>AKL_INDI_030</t>
  </si>
  <si>
    <t>MNL_INDI_030</t>
  </si>
  <si>
    <t>PNH_INDI_030</t>
  </si>
  <si>
    <t>G00_INDI_030</t>
  </si>
  <si>
    <t>G01_INDI_030</t>
  </si>
  <si>
    <t>G02_INDI_030</t>
  </si>
  <si>
    <t>G03_INDI_030</t>
  </si>
  <si>
    <t>G04_INDI_030</t>
  </si>
  <si>
    <t>G05_INDI_030</t>
  </si>
  <si>
    <t>G06_INDI_030</t>
  </si>
  <si>
    <t>ZGM_INDI_031</t>
  </si>
  <si>
    <t>JNB_INDI_031</t>
  </si>
  <si>
    <t>UAY_INDI_031</t>
  </si>
  <si>
    <t>NBO_INDI_031</t>
  </si>
  <si>
    <t>ADD_INDI_031</t>
  </si>
  <si>
    <t>TOR_INDI_031</t>
  </si>
  <si>
    <t>MEX_INDI_031</t>
  </si>
  <si>
    <t>B6Y_INDI_031</t>
  </si>
  <si>
    <t>SFO_INDI_031</t>
  </si>
  <si>
    <t>A2N_INDI_031</t>
  </si>
  <si>
    <t>RUH_INDI_031</t>
  </si>
  <si>
    <t>CJR_INDI_031</t>
  </si>
  <si>
    <t>DXB_INDI_031</t>
  </si>
  <si>
    <t>KWI_INDI_031</t>
  </si>
  <si>
    <t>BER_INDI_031</t>
  </si>
  <si>
    <t>RMG_INDI_031</t>
  </si>
  <si>
    <t>LOD_INDI_031</t>
  </si>
  <si>
    <t>IST_INDI_031</t>
  </si>
  <si>
    <t>MDD_INDI_031</t>
  </si>
  <si>
    <t>MW3_INDI_031</t>
  </si>
  <si>
    <t>HEL_INDI_031</t>
  </si>
  <si>
    <t>BUD_INDI_031</t>
  </si>
  <si>
    <t>VIE_INDI_031</t>
  </si>
  <si>
    <t>JKT_INDI_031</t>
  </si>
  <si>
    <t>RGN_INDI_031</t>
  </si>
  <si>
    <t>BKK_INDI_031</t>
  </si>
  <si>
    <t>KHI_INDI_031</t>
  </si>
  <si>
    <t>BOM_INDI_031</t>
  </si>
  <si>
    <t>CCU_INDI_031</t>
  </si>
  <si>
    <t>DLI_INDI_031</t>
  </si>
  <si>
    <t>DAC_INDI_031</t>
  </si>
  <si>
    <t>KTM_INDI_031</t>
  </si>
  <si>
    <t>SIN_INDI_031</t>
  </si>
  <si>
    <t>TYO_INDI_031</t>
  </si>
  <si>
    <t>OSA_INDI_031</t>
  </si>
  <si>
    <t>SEL_INDI_031</t>
  </si>
  <si>
    <t>SGH_INDI_031</t>
  </si>
  <si>
    <t>BJS_INDI_031</t>
  </si>
  <si>
    <t>NHN_INDI_031</t>
  </si>
  <si>
    <t>HKG_INDI_031</t>
  </si>
  <si>
    <t>SYD_INDI_031</t>
  </si>
  <si>
    <t>MEL_INDI_031</t>
  </si>
  <si>
    <t>SGN_INDI_031</t>
  </si>
  <si>
    <t>AKL_INDI_031</t>
  </si>
  <si>
    <t>MNL_INDI_031</t>
  </si>
  <si>
    <t>PNH_INDI_031</t>
  </si>
  <si>
    <t>G00_INDI_031</t>
  </si>
  <si>
    <t>G01_INDI_031</t>
  </si>
  <si>
    <t>G02_INDI_031</t>
  </si>
  <si>
    <t>G03_INDI_031</t>
  </si>
  <si>
    <t>G04_INDI_031</t>
  </si>
  <si>
    <t>G05_INDI_031</t>
  </si>
  <si>
    <t>G06_INDI_031</t>
  </si>
  <si>
    <t>ZGM_INDI_032</t>
  </si>
  <si>
    <t>JNB_INDI_032</t>
  </si>
  <si>
    <t>UAY_INDI_032</t>
  </si>
  <si>
    <t>NBO_INDI_032</t>
  </si>
  <si>
    <t>ADD_INDI_032</t>
  </si>
  <si>
    <t>TOR_INDI_032</t>
  </si>
  <si>
    <t>MEX_INDI_032</t>
  </si>
  <si>
    <t>B6Y_INDI_032</t>
  </si>
  <si>
    <t>SFO_INDI_032</t>
  </si>
  <si>
    <t>A2N_INDI_032</t>
  </si>
  <si>
    <t>RUH_INDI_032</t>
  </si>
  <si>
    <t>CJR_INDI_032</t>
  </si>
  <si>
    <t>DXB_INDI_032</t>
  </si>
  <si>
    <t>KWI_INDI_032</t>
  </si>
  <si>
    <t>BER_INDI_032</t>
  </si>
  <si>
    <t>RMG_INDI_032</t>
  </si>
  <si>
    <t>LOD_INDI_032</t>
  </si>
  <si>
    <t>IST_INDI_032</t>
  </si>
  <si>
    <t>MDD_INDI_032</t>
  </si>
  <si>
    <t>MW3_INDI_032</t>
  </si>
  <si>
    <t>HEL_INDI_032</t>
  </si>
  <si>
    <t>BUD_INDI_032</t>
  </si>
  <si>
    <t>VIE_INDI_032</t>
  </si>
  <si>
    <t>JKT_INDI_032</t>
  </si>
  <si>
    <t>RGN_INDI_032</t>
  </si>
  <si>
    <t>BKK_INDI_032</t>
  </si>
  <si>
    <t>KHI_INDI_032</t>
  </si>
  <si>
    <t>BOM_INDI_032</t>
  </si>
  <si>
    <t>CCU_INDI_032</t>
  </si>
  <si>
    <t>DLI_INDI_032</t>
  </si>
  <si>
    <t>DAC_INDI_032</t>
  </si>
  <si>
    <t>KTM_INDI_032</t>
  </si>
  <si>
    <t>SIN_INDI_032</t>
  </si>
  <si>
    <t>TYO_INDI_032</t>
  </si>
  <si>
    <t>OSA_INDI_032</t>
  </si>
  <si>
    <t>SEL_INDI_032</t>
  </si>
  <si>
    <t>SGH_INDI_032</t>
  </si>
  <si>
    <t>BJS_INDI_032</t>
  </si>
  <si>
    <t>NHN_INDI_032</t>
  </si>
  <si>
    <t>HKG_INDI_032</t>
  </si>
  <si>
    <t>SYD_INDI_032</t>
  </si>
  <si>
    <t>MEL_INDI_032</t>
  </si>
  <si>
    <t>SGN_INDI_032</t>
  </si>
  <si>
    <t>AKL_INDI_032</t>
  </si>
  <si>
    <t>MNL_INDI_032</t>
  </si>
  <si>
    <t>PNH_INDI_032</t>
  </si>
  <si>
    <t>G00_INDI_032</t>
  </si>
  <si>
    <t>G01_INDI_032</t>
  </si>
  <si>
    <t>G02_INDI_032</t>
  </si>
  <si>
    <t>G03_INDI_032</t>
  </si>
  <si>
    <t>G04_INDI_032</t>
  </si>
  <si>
    <t>G05_INDI_032</t>
  </si>
  <si>
    <t>G06_INDI_032</t>
  </si>
  <si>
    <t>Rating 0-1</t>
  </si>
  <si>
    <t>Index score 0-100</t>
  </si>
  <si>
    <t>Rating 0-2</t>
  </si>
  <si>
    <t>Rating 0-3</t>
  </si>
  <si>
    <t>Rating 0-4</t>
  </si>
  <si>
    <t>Rating 0-1; higher data value=higher score.</t>
  </si>
  <si>
    <t>Index score 0-100; higher data value=higher score.</t>
  </si>
  <si>
    <t>Rating 0-2; higher data value=higher score.</t>
  </si>
  <si>
    <t>Rating 0-3; higher data value=higher score.</t>
  </si>
  <si>
    <t>Rating 0-4; higher data value=higher score.</t>
  </si>
  <si>
    <t>Rating 0-1; higher data value=higher score.{NL}{NL}In the last 5 years, has city-level data on the population living in poverty been collected and/or published?{NL}{NL}0 = No{NL}1 = Yes</t>
  </si>
  <si>
    <t>Rating 0-1; higher data value=higher score.{NL}{NL}In the last 5 years, has city-level data on unemployment been collected and/or published?{NL}{NL}0 = No{NL}1 = Yes</t>
  </si>
  <si>
    <t>Rating 0-1; higher data value=higher score.{NL}{NL}In the last 5 years, has city-level data on food insecurity been collected and/or published?{NL}{NL}0 = No{NL}1 = Yes</t>
  </si>
  <si>
    <t>Rating 0-1; higher data value=higher score.{NL}{NL}In the last 5 years, has city-level data on tobacco use been collected and/or published?{NL}{NL}0 = No{NL}1 = Yes</t>
  </si>
  <si>
    <t>Rating 0-1; higher data value=higher score.{NL}{NL}In the last 5 years, has city-level data on the consumption of vegetables been collected and/or published?{NL}{NL}0 = No{NL}1 = Yes</t>
  </si>
  <si>
    <t>Rating 0-1; higher data value=higher score.{NL}{NL}In the last 5 years, has city-level data on the consumption of foods that are high in trans fatty acids been collected and/or published?{NL}{NL}0 = No{NL}1 = Yes</t>
  </si>
  <si>
    <t>Rating 0-1; higher data value=higher score.{NL}{NL}In the last 5 years, has city-level data on physical activity or inactivity been collected and/or published?{NL}{NL}0 = No{NL}1 = Yes</t>
  </si>
  <si>
    <t>Rating 0-1; higher data value=higher score.{NL}{NL}In the last 5 years, has city-level data on diabetes been collected and/or published?{NL}{NL}0 = No{NL}1 = Yes</t>
  </si>
  <si>
    <t>Rating 0-1; higher data value=higher score.{NL}{NL}In the last 5 years, has city-level data on obesity been collected and/or published?{NL}{NL}0 = No{NL}1 = Yes</t>
  </si>
  <si>
    <t>Rating 0-1; higher data value=higher score.{NL}{NL}In the last 5 years, has city-level data on high cholesterol been collected and/or published?{NL}{NL}0 = No{NL}1 = Yes</t>
  </si>
  <si>
    <t>Rating 0-1; higher data value=higher score.{NL}{NL}Does the city have the power (autonomy) to introduce health policies addressing the major CVD risk factors that have not been introduced at national level (e.g. taxation policies such as sugar taxes)?{NL}{NL}0 = The city does not have regulatory power{NL}1 = The city has regulatory power</t>
  </si>
  <si>
    <t>Existence of a multidisciplinary team care model to support self-management of CVD behavioural and metabolic risk factors (for example, mental health and lifestyle counselling by nurses, dietitians, counsellors and other allied health professionals)</t>
  </si>
  <si>
    <t>Data value of 0 scores 0{NL}Data value of 1 scores 100</t>
  </si>
  <si>
    <t>Data value of 0 scores 0{NL}Data value of 1 scores 50{NL}Data value of 2 scores 100</t>
  </si>
  <si>
    <t>Data value of 0 scores 0{NL}Data value of 1 scores 33.3{NL}Data value of 2 scores 66.7{NL}Data value of 3 scores 100</t>
  </si>
  <si>
    <t>Data value of 0 scores 0{NL}Data value of 1 scores 25{NL}Data value of 2 scores 50{NL}Data value of 3 scores 75{NL}Data value of 4 scores 100</t>
  </si>
  <si>
    <t>Are there any policies to reduce the impact on children of marketing of foods and non-alcoholic beverages high in saturated fats, trans-fatty acids, free sugars, or salt?
Has the city/country conducted a recent (i.e. in the past 5 years) adult risk factor survey covering unhealthy diet?</t>
  </si>
  <si>
    <t>Are there any city monitoring activities of air quality (e.g. existence of monitoring stations and data collection)?
Are there any city health education campaigns for shifting to clean household energy?
Are there any clean city initiatives to reduce the adverse environmental impact of cities, for example, by paying special attention to air quality (e.g. scheme to reduce car use)?</t>
  </si>
  <si>
    <t>There is no evidence of the existence of policies and initiatives to reduce air pollution</t>
  </si>
  <si>
    <t>Government approved evidence-based national guidelines/protocols/standards for the management of the four main NCDs – cardiovascular disease, diabetes, cancer and chronic respiratory diseases. Countries who have a "Yes" for this indicator have indicated that national guidelines/protocols/standards exist for all four NCDs (cardiovascular disease, diabetes, cancer and chronic respiratory diseases).{NL}{NL}0 = No{NL}1 = Yes</t>
  </si>
  <si>
    <t>Rating 0-1; higher data value=higher score.{NL}{NL}Government approved evidence-based national guidelines/protocols/standards for the management of the four main NCDs – cardiovascular disease, diabetes, cancer and chronic respiratory diseases. Countries who have a "Yes" for this indicator have indicated that national guidelines/protocols/standards exist for all four NCDs (cardiovascular disease, diabetes, cancer and chronic respiratory diseases).{NL}{NL}0 = No{NL}1 = Yes</t>
  </si>
  <si>
    <t>50 city average</t>
  </si>
  <si>
    <t xml:space="preserve">  Average score (50 cities)</t>
  </si>
  <si>
    <t>São Paulo, Brazil</t>
  </si>
  <si>
    <t>Bogotá</t>
  </si>
  <si>
    <t>Bogotá, Colombia</t>
  </si>
  <si>
    <t>17</t>
  </si>
  <si>
    <t>28</t>
  </si>
  <si>
    <t>37</t>
  </si>
  <si>
    <t>18</t>
  </si>
  <si>
    <t>13</t>
  </si>
  <si>
    <t>45</t>
  </si>
  <si>
    <t>39</t>
  </si>
  <si>
    <t>34</t>
  </si>
  <si>
    <t>25</t>
  </si>
  <si>
    <t>14</t>
  </si>
  <si>
    <t>36</t>
  </si>
  <si>
    <t>26</t>
  </si>
  <si>
    <t>35</t>
  </si>
  <si>
    <t>16</t>
  </si>
  <si>
    <t>27</t>
  </si>
  <si>
    <t>15</t>
  </si>
  <si>
    <t>40</t>
  </si>
  <si>
    <t>38</t>
  </si>
  <si>
    <t>46</t>
  </si>
  <si>
    <t>43</t>
  </si>
  <si>
    <t>42</t>
  </si>
  <si>
    <t>41</t>
  </si>
  <si>
    <t>=31</t>
  </si>
  <si>
    <t>=41</t>
  </si>
  <si>
    <t>=38</t>
  </si>
  <si>
    <t>=34</t>
  </si>
  <si>
    <t>=18</t>
  </si>
  <si>
    <t>=27</t>
  </si>
  <si>
    <t>=36</t>
  </si>
  <si>
    <t>=16</t>
  </si>
  <si>
    <t>=19</t>
  </si>
  <si>
    <t>=24</t>
  </si>
  <si>
    <t>=45</t>
  </si>
  <si>
    <t>=28</t>
  </si>
  <si>
    <t>=7</t>
  </si>
  <si>
    <t>31</t>
  </si>
  <si>
    <t>44</t>
  </si>
  <si>
    <t>24</t>
  </si>
  <si>
    <t>12</t>
  </si>
  <si>
    <t>23</t>
  </si>
  <si>
    <t>22</t>
  </si>
  <si>
    <t>32</t>
  </si>
  <si>
    <t>33</t>
  </si>
  <si>
    <t>30</t>
  </si>
  <si>
    <t>29</t>
  </si>
  <si>
    <t>=37</t>
  </si>
  <si>
    <t>=13</t>
  </si>
  <si>
    <t>=21</t>
  </si>
  <si>
    <t>=2</t>
  </si>
  <si>
    <t>=39</t>
  </si>
  <si>
    <t>PAR</t>
  </si>
  <si>
    <t>Addis Ababa, Algiers, Johannesburg, Lagos, Nairobi</t>
  </si>
  <si>
    <t>1,2,20,25,33</t>
  </si>
  <si>
    <t>3,8,30,34,40,41,47</t>
  </si>
  <si>
    <t>Cairo, Dubai, Kuwait City, Riyadh</t>
  </si>
  <si>
    <t>10,14,24,38</t>
  </si>
  <si>
    <t>Berlin, Budapest, Helsinki, Istanbul, London, Madrid, Moscow, Paris, Rome, Vienna</t>
  </si>
  <si>
    <t>7,9,15,18,26,27,31,36,39,48</t>
  </si>
  <si>
    <t>Auckland, Beijing, Ho Chi Minh City, Hong Kong, Manila, Melbourne, Osaka, Phnom Penh, Seoul, Shanghai, Singapore, Sydney, Tokyo, Wuhan</t>
  </si>
  <si>
    <t>4,6,16,17,28,29,35,37,42,43,44,45,46,49</t>
  </si>
  <si>
    <t>NYC_OVERALL</t>
  </si>
  <si>
    <t>PAR_OVERALL</t>
  </si>
  <si>
    <t>SPF_OVERALL</t>
  </si>
  <si>
    <t>NYC_DOMAIN_001</t>
  </si>
  <si>
    <t>PAR_DOMAIN_001</t>
  </si>
  <si>
    <t>SPF_DOMAIN_001</t>
  </si>
  <si>
    <t>NYC_INDI_001</t>
  </si>
  <si>
    <t>PAR_INDI_001</t>
  </si>
  <si>
    <t>SPF_INDI_001</t>
  </si>
  <si>
    <t>NYC_SUBINDI_001</t>
  </si>
  <si>
    <t>PAR_SUBINDI_001</t>
  </si>
  <si>
    <t>SPF_SUBINDI_001</t>
  </si>
  <si>
    <t>NYC_SUBINDI_002</t>
  </si>
  <si>
    <t>PAR_SUBINDI_002</t>
  </si>
  <si>
    <t>SPF_SUBINDI_002</t>
  </si>
  <si>
    <t>NYC_INDI_002</t>
  </si>
  <si>
    <t>PAR_INDI_002</t>
  </si>
  <si>
    <t>SPF_INDI_002</t>
  </si>
  <si>
    <t>NYC_SUBINDI_003</t>
  </si>
  <si>
    <t>PAR_SUBINDI_003</t>
  </si>
  <si>
    <t>SPF_SUBINDI_003</t>
  </si>
  <si>
    <t>NYC_SUBINDI_004</t>
  </si>
  <si>
    <t>PAR_SUBINDI_004</t>
  </si>
  <si>
    <t>SPF_SUBINDI_004</t>
  </si>
  <si>
    <t>NYC_INDI_003</t>
  </si>
  <si>
    <t>PAR_INDI_003</t>
  </si>
  <si>
    <t>SPF_INDI_003</t>
  </si>
  <si>
    <t>NYC_SUBINDI_005</t>
  </si>
  <si>
    <t>PAR_SUBINDI_005</t>
  </si>
  <si>
    <t>SPF_SUBINDI_005</t>
  </si>
  <si>
    <t>NYC_SUBINDI_006</t>
  </si>
  <si>
    <t>PAR_SUBINDI_006</t>
  </si>
  <si>
    <t>SPF_SUBINDI_006</t>
  </si>
  <si>
    <t>NYC_INDI_004</t>
  </si>
  <si>
    <t>PAR_INDI_004</t>
  </si>
  <si>
    <t>SPF_INDI_004</t>
  </si>
  <si>
    <t>NYC_INDI_005</t>
  </si>
  <si>
    <t>PAR_INDI_005</t>
  </si>
  <si>
    <t>SPF_INDI_005</t>
  </si>
  <si>
    <t>NYC_DOMAIN_002</t>
  </si>
  <si>
    <t>PAR_DOMAIN_002</t>
  </si>
  <si>
    <t>SPF_DOMAIN_002</t>
  </si>
  <si>
    <t>NYC_INDI_006</t>
  </si>
  <si>
    <t>PAR_INDI_006</t>
  </si>
  <si>
    <t>SPF_INDI_006</t>
  </si>
  <si>
    <t>NYC_INDI_007</t>
  </si>
  <si>
    <t>PAR_INDI_007</t>
  </si>
  <si>
    <t>SPF_INDI_007</t>
  </si>
  <si>
    <t>NYC_INDI_008</t>
  </si>
  <si>
    <t>PAR_INDI_008</t>
  </si>
  <si>
    <t>SPF_INDI_008</t>
  </si>
  <si>
    <t>NYC_INDI_009</t>
  </si>
  <si>
    <t>PAR_INDI_009</t>
  </si>
  <si>
    <t>SPF_INDI_009</t>
  </si>
  <si>
    <t>NYC_SUBINDI_007</t>
  </si>
  <si>
    <t>PAR_SUBINDI_007</t>
  </si>
  <si>
    <t>SPF_SUBINDI_007</t>
  </si>
  <si>
    <t>NYC_SUBINDI_008</t>
  </si>
  <si>
    <t>PAR_SUBINDI_008</t>
  </si>
  <si>
    <t>SPF_SUBINDI_008</t>
  </si>
  <si>
    <t>NYC_INDI_010</t>
  </si>
  <si>
    <t>PAR_INDI_010</t>
  </si>
  <si>
    <t>SPF_INDI_010</t>
  </si>
  <si>
    <t>NYC_DOMAIN_003</t>
  </si>
  <si>
    <t>PAR_DOMAIN_003</t>
  </si>
  <si>
    <t>SPF_DOMAIN_003</t>
  </si>
  <si>
    <t>NYC_INDI_011</t>
  </si>
  <si>
    <t>PAR_INDI_011</t>
  </si>
  <si>
    <t>SPF_INDI_011</t>
  </si>
  <si>
    <t>NYC_SUBINDI_009</t>
  </si>
  <si>
    <t>PAR_SUBINDI_009</t>
  </si>
  <si>
    <t>SPF_SUBINDI_009</t>
  </si>
  <si>
    <t>NYC_SUBINDI_010</t>
  </si>
  <si>
    <t>PAR_SUBINDI_010</t>
  </si>
  <si>
    <t>SPF_SUBINDI_010</t>
  </si>
  <si>
    <t>NYC_INDI_012</t>
  </si>
  <si>
    <t>PAR_INDI_012</t>
  </si>
  <si>
    <t>SPF_INDI_012</t>
  </si>
  <si>
    <t>NYC_SUBINDI_011</t>
  </si>
  <si>
    <t>PAR_SUBINDI_011</t>
  </si>
  <si>
    <t>SPF_SUBINDI_011</t>
  </si>
  <si>
    <t>NYC_SUBINDI_012</t>
  </si>
  <si>
    <t>PAR_SUBINDI_012</t>
  </si>
  <si>
    <t>SPF_SUBINDI_012</t>
  </si>
  <si>
    <t>NYC_INDI_013</t>
  </si>
  <si>
    <t>PAR_INDI_013</t>
  </si>
  <si>
    <t>SPF_INDI_013</t>
  </si>
  <si>
    <t>NYC_SUBINDI_013</t>
  </si>
  <si>
    <t>PAR_SUBINDI_013</t>
  </si>
  <si>
    <t>SPF_SUBINDI_013</t>
  </si>
  <si>
    <t>NYC_SUBINDI_014</t>
  </si>
  <si>
    <t>PAR_SUBINDI_014</t>
  </si>
  <si>
    <t>SPF_SUBINDI_014</t>
  </si>
  <si>
    <t>NYC_INDI_014</t>
  </si>
  <si>
    <t>PAR_INDI_014</t>
  </si>
  <si>
    <t>SPF_INDI_014</t>
  </si>
  <si>
    <t>NYC_SUBINDI_015</t>
  </si>
  <si>
    <t>PAR_SUBINDI_015</t>
  </si>
  <si>
    <t>SPF_SUBINDI_015</t>
  </si>
  <si>
    <t>NYC_SUBINDI_016</t>
  </si>
  <si>
    <t>PAR_SUBINDI_016</t>
  </si>
  <si>
    <t>SPF_SUBINDI_016</t>
  </si>
  <si>
    <t>NYC_INDI_015</t>
  </si>
  <si>
    <t>PAR_INDI_015</t>
  </si>
  <si>
    <t>SPF_INDI_015</t>
  </si>
  <si>
    <t>NYC_SUBINDI_017</t>
  </si>
  <si>
    <t>PAR_SUBINDI_017</t>
  </si>
  <si>
    <t>SPF_SUBINDI_017</t>
  </si>
  <si>
    <t>NYC_SUBINDI_018</t>
  </si>
  <si>
    <t>PAR_SUBINDI_018</t>
  </si>
  <si>
    <t>SPF_SUBINDI_018</t>
  </si>
  <si>
    <t>NYC_INDI_016</t>
  </si>
  <si>
    <t>PAR_INDI_016</t>
  </si>
  <si>
    <t>SPF_INDI_016</t>
  </si>
  <si>
    <t>NYC_SUBINDI_019</t>
  </si>
  <si>
    <t>PAR_SUBINDI_019</t>
  </si>
  <si>
    <t>SPF_SUBINDI_019</t>
  </si>
  <si>
    <t>NYC_SUBINDI_020</t>
  </si>
  <si>
    <t>PAR_SUBINDI_020</t>
  </si>
  <si>
    <t>SPF_SUBINDI_020</t>
  </si>
  <si>
    <t>NYC_INDI_017</t>
  </si>
  <si>
    <t>PAR_INDI_017</t>
  </si>
  <si>
    <t>SPF_INDI_017</t>
  </si>
  <si>
    <t>NYC_SUBINDI_021</t>
  </si>
  <si>
    <t>PAR_SUBINDI_021</t>
  </si>
  <si>
    <t>SPF_SUBINDI_021</t>
  </si>
  <si>
    <t>NYC_SUBINDI_022</t>
  </si>
  <si>
    <t>PAR_SUBINDI_022</t>
  </si>
  <si>
    <t>SPF_SUBINDI_022</t>
  </si>
  <si>
    <t>NYC_INDI_018</t>
  </si>
  <si>
    <t>PAR_INDI_018</t>
  </si>
  <si>
    <t>SPF_INDI_018</t>
  </si>
  <si>
    <t>NYC_SUBINDI_023</t>
  </si>
  <si>
    <t>PAR_SUBINDI_023</t>
  </si>
  <si>
    <t>SPF_SUBINDI_023</t>
  </si>
  <si>
    <t>NYC_SUBINDI_024</t>
  </si>
  <si>
    <t>PAR_SUBINDI_024</t>
  </si>
  <si>
    <t>SPF_SUBINDI_024</t>
  </si>
  <si>
    <t>NYC_DOMAIN_004</t>
  </si>
  <si>
    <t>PAR_DOMAIN_004</t>
  </si>
  <si>
    <t>SPF_DOMAIN_004</t>
  </si>
  <si>
    <t>NYC_INDI_019</t>
  </si>
  <si>
    <t>PAR_INDI_019</t>
  </si>
  <si>
    <t>SPF_INDI_019</t>
  </si>
  <si>
    <t>NYC_INDI_020</t>
  </si>
  <si>
    <t>PAR_INDI_020</t>
  </si>
  <si>
    <t>SPF_INDI_020</t>
  </si>
  <si>
    <t>NYC_INDI_021</t>
  </si>
  <si>
    <t>PAR_INDI_021</t>
  </si>
  <si>
    <t>SPF_INDI_021</t>
  </si>
  <si>
    <t>NYC_INDI_022</t>
  </si>
  <si>
    <t>PAR_INDI_022</t>
  </si>
  <si>
    <t>SPF_INDI_022</t>
  </si>
  <si>
    <t>NYC_DOMAIN_005</t>
  </si>
  <si>
    <t>PAR_DOMAIN_005</t>
  </si>
  <si>
    <t>SPF_DOMAIN_005</t>
  </si>
  <si>
    <t>NYC_INDI_024</t>
  </si>
  <si>
    <t>PAR_INDI_024</t>
  </si>
  <si>
    <t>SPF_INDI_024</t>
  </si>
  <si>
    <t>NYC_INDI_025</t>
  </si>
  <si>
    <t>PAR_INDI_025</t>
  </si>
  <si>
    <t>SPF_INDI_025</t>
  </si>
  <si>
    <t>NYC_INDI_026</t>
  </si>
  <si>
    <t>PAR_INDI_026</t>
  </si>
  <si>
    <t>SPF_INDI_026</t>
  </si>
  <si>
    <t>NYC_SUBINDI_025</t>
  </si>
  <si>
    <t>PAR_SUBINDI_025</t>
  </si>
  <si>
    <t>SPF_SUBINDI_025</t>
  </si>
  <si>
    <t>NYC_SUBINDI_026</t>
  </si>
  <si>
    <t>PAR_SUBINDI_026</t>
  </si>
  <si>
    <t>SPF_SUBINDI_026</t>
  </si>
  <si>
    <t>NYC_INDI_027</t>
  </si>
  <si>
    <t>PAR_INDI_027</t>
  </si>
  <si>
    <t>SPF_INDI_027</t>
  </si>
  <si>
    <t>NYC_INDI_028</t>
  </si>
  <si>
    <t>PAR_INDI_028</t>
  </si>
  <si>
    <t>SPF_INDI_028</t>
  </si>
  <si>
    <t>NYC_INDI_029</t>
  </si>
  <si>
    <t>PAR_INDI_029</t>
  </si>
  <si>
    <t>SPF_INDI_029</t>
  </si>
  <si>
    <t>NYC_INDI_030</t>
  </si>
  <si>
    <t>PAR_INDI_030</t>
  </si>
  <si>
    <t>SPF_INDI_030</t>
  </si>
  <si>
    <t>NYC_INDI_031</t>
  </si>
  <si>
    <t>PAR_INDI_031</t>
  </si>
  <si>
    <t>SPF_INDI_031</t>
  </si>
  <si>
    <t>NYC_INDI_032</t>
  </si>
  <si>
    <t>PAR_INDI_032</t>
  </si>
  <si>
    <t>SPF_INDI_032</t>
  </si>
  <si>
    <t>NYC_BG</t>
  </si>
  <si>
    <t>PAR_BG</t>
  </si>
  <si>
    <t>SPF_BG</t>
  </si>
  <si>
    <t>NYC_BG01</t>
  </si>
  <si>
    <t>PAR_BG01</t>
  </si>
  <si>
    <t>SPF_BG01</t>
  </si>
  <si>
    <t>COX</t>
  </si>
  <si>
    <t>COX_OVERALL</t>
  </si>
  <si>
    <t>COX_DOMAIN_001</t>
  </si>
  <si>
    <t>COX_INDI_001</t>
  </si>
  <si>
    <t>COX_SUBINDI_001</t>
  </si>
  <si>
    <t>COX_SUBINDI_002</t>
  </si>
  <si>
    <t>COX_INDI_002</t>
  </si>
  <si>
    <t>COX_SUBINDI_003</t>
  </si>
  <si>
    <t>COX_SUBINDI_004</t>
  </si>
  <si>
    <t>COX_INDI_003</t>
  </si>
  <si>
    <t>COX_SUBINDI_005</t>
  </si>
  <si>
    <t>COX_SUBINDI_006</t>
  </si>
  <si>
    <t>COX_INDI_004</t>
  </si>
  <si>
    <t>COX_INDI_005</t>
  </si>
  <si>
    <t>COX_DOMAIN_002</t>
  </si>
  <si>
    <t>COX_INDI_006</t>
  </si>
  <si>
    <t>COX_INDI_007</t>
  </si>
  <si>
    <t>COX_INDI_008</t>
  </si>
  <si>
    <t>COX_INDI_009</t>
  </si>
  <si>
    <t>COX_SUBINDI_007</t>
  </si>
  <si>
    <t>COX_SUBINDI_008</t>
  </si>
  <si>
    <t>COX_INDI_010</t>
  </si>
  <si>
    <t>COX_DOMAIN_003</t>
  </si>
  <si>
    <t>COX_INDI_011</t>
  </si>
  <si>
    <t>COX_SUBINDI_009</t>
  </si>
  <si>
    <t>COX_SUBINDI_010</t>
  </si>
  <si>
    <t>COX_INDI_012</t>
  </si>
  <si>
    <t>COX_SUBINDI_011</t>
  </si>
  <si>
    <t>COX_SUBINDI_012</t>
  </si>
  <si>
    <t>COX_INDI_013</t>
  </si>
  <si>
    <t>COX_SUBINDI_013</t>
  </si>
  <si>
    <t>COX_SUBINDI_014</t>
  </si>
  <si>
    <t>COX_INDI_014</t>
  </si>
  <si>
    <t>COX_SUBINDI_015</t>
  </si>
  <si>
    <t>COX_SUBINDI_016</t>
  </si>
  <si>
    <t>COX_INDI_015</t>
  </si>
  <si>
    <t>COX_SUBINDI_017</t>
  </si>
  <si>
    <t>COX_SUBINDI_018</t>
  </si>
  <si>
    <t>COX_INDI_016</t>
  </si>
  <si>
    <t>COX_SUBINDI_019</t>
  </si>
  <si>
    <t>COX_SUBINDI_020</t>
  </si>
  <si>
    <t>COX_INDI_017</t>
  </si>
  <si>
    <t>COX_SUBINDI_021</t>
  </si>
  <si>
    <t>COX_SUBINDI_022</t>
  </si>
  <si>
    <t>COX_INDI_018</t>
  </si>
  <si>
    <t>COX_SUBINDI_023</t>
  </si>
  <si>
    <t>COX_SUBINDI_024</t>
  </si>
  <si>
    <t>COX_DOMAIN_004</t>
  </si>
  <si>
    <t>COX_INDI_019</t>
  </si>
  <si>
    <t>COX_INDI_020</t>
  </si>
  <si>
    <t>COX_INDI_021</t>
  </si>
  <si>
    <t>COX_INDI_022</t>
  </si>
  <si>
    <t>COX_DOMAIN_005</t>
  </si>
  <si>
    <t>COX_INDI_024</t>
  </si>
  <si>
    <t>COX_INDI_025</t>
  </si>
  <si>
    <t>COX_INDI_026</t>
  </si>
  <si>
    <t>COX_SUBINDI_025</t>
  </si>
  <si>
    <t>COX_SUBINDI_026</t>
  </si>
  <si>
    <t>COX_INDI_027</t>
  </si>
  <si>
    <t>COX_INDI_028</t>
  </si>
  <si>
    <t>COX_INDI_029</t>
  </si>
  <si>
    <t>COX_INDI_030</t>
  </si>
  <si>
    <t>COX_INDI_031</t>
  </si>
  <si>
    <t>COX_INDI_032</t>
  </si>
  <si>
    <t>COX_BG</t>
  </si>
  <si>
    <t>COX_BG01</t>
  </si>
  <si>
    <t>%; lower data value=higher score.</t>
  </si>
  <si>
    <t>=43</t>
  </si>
  <si>
    <t>[1] National Essential Medicines Formulary, 9th Edition. Ministry of Public Health of Thailand. Bangkok; 2022. Available from: https://www.moh.gov.bt/wp-content/uploads/NEMF-2022.pdf</t>
  </si>
  <si>
    <t>[1] Indonesia National Drug Formulary. Ministry of Health regulation No. HK.01.076477; 2021. Available from: https://e-fornas.kemkes.go.id/files/pdf/DOEN%202021.pdf</t>
  </si>
  <si>
    <t>[1] Australian Government Department of Health and Aged Care. Pharmaceutical Benefits Scheme (PBS) | A-Z medicine listing. Canberra: Australian Government Department of Health and Aged Care; 2024. Available from: https://www.pbs.gov.au/browse/medicine-listing?initial=a.</t>
  </si>
  <si>
    <t>The 6th National Health Examination Survey conducted by the Ministry of Public Health covering 2019-20 found that hypertension was present in 25.4% of all adults (26.7% in men and 24.2% in women). [1]</t>
  </si>
  <si>
    <t>[1] National Health Examination Survey VI. Ministry of Public Health. Bangkok; 2019. Available from: https://online.fliphtml5.com/bcbgj/znee/#p=187</t>
  </si>
  <si>
    <t>A national adult risk factor survey on raised blood pressure/hypertension was conducted in Australia in 2021. There was no evidence of any similar local surveys being conducted in the city of Melbourne. [1]</t>
  </si>
  <si>
    <t>[1] World Health Organisation. Has conducted a recent, national adult risk factor survey covering raised blood pressure/hypertension. World Health Organisation; 2022. Available from: https://www.who.int/data/gho/data/indicators/indicator-details/GHO/has-conducted-a-recent--national-adult-risk-factor-survey-covering-raised-blood-pressure-hypertension</t>
  </si>
  <si>
    <t>[1] Shasha Han and Libing Ma. Data-driven integrated care pathways: Standardization of delivering patient-centered care. Sec. Regulatory Science, Perspective Article. Front. Med.: 2022; 9:883874. Available from: https://doi.org/10.3389/fmed.2022.883874</t>
  </si>
  <si>
    <t>[1] Rencana Strategis; Dinas Kesehatan Provinsi DKI Jakarta 2023-26. Available from: https://e-renggar.kemkes.go.id/file_performance/1-010024-2tahunan-349.pdf</t>
  </si>
  <si>
    <t>[1] Seoul Metropolitan Government. Medical and Health Policy Division. Eighth Community Health Plan (2023-26). 1 May 2023. Seoul: Seoul Metropolitan Government. Available from: https://opengov.seoul.go.kr/public/list?cid=10010.</t>
  </si>
  <si>
    <t>[1] 20-year Development Plan for Bangkok Metropolis. Bangkok Metropolitan Authority. Bangkok; 2013. Available from: https://webportal.bangkok.go.th/public/user_files_editor/130/BMA-developmentplan/P20ys(2556-2575)sumEN.pdf</t>
  </si>
  <si>
    <t>[1] Ministry of Health and Family Welfare. National Urban Health Strategy 2020. Dhaka: Ministry of Health and Family Welfare; 2020. Available from: https://bnnc.portal.gov.bd/sites/default/files/files/bnnc.portal.gov.bd/files/d3e2453d_e8c9_40d9_b910_4af51b2e2901/2022-01-10-07-53-214368995676cddfccff465ceefd635e.pdf</t>
  </si>
  <si>
    <t>[1] City of Vienna. Vienna Health Targets 2025. Vienna: City of Vienna; 2015. https://gesundheitsziele.wien.gv.at/wp-content/uploads/sites/44/2018/02/gesundheitsziele.pdf</t>
  </si>
  <si>
    <t>[1] Wuhan Municipal People's Government. Notice of the Municipal People's Government on Issuing the "14th Five-Year Plan" for the Development of Wuhan's Health Care Services [市人民政府关于印发武汉市卫生健康事业发展"十四五"规划的通知]. Wuhan: Wuhan Municipal People's Government; 23 May 2022. Available from: https://www.wuhan.gov.cn/zwgk/xxgk/zfwj/szfwj/202205/t20220513_1970970.shtml.</t>
  </si>
  <si>
    <t>[1] DGHS. National Protocol for Management of Diabetes and Hypertension. Dhaka: Directorate General of Health Services, Ministry of Health &amp; Family Welfare; 2018. Available from: https://extranet.who.int/ncdccs/Data/BGD_D1aia_National%20protocol%20Management%20of%20Diabetes%20and%20Hypertension.pdf</t>
  </si>
  <si>
    <t>[1] Health Insurance Review and Assessment Service. 2020 HIRA Healthcare Quality Indicators. June 2022. Available from: https://repository.hira.or.kr/bitstream/2019.oak/3069/2/2020%20HIRA%20Healthcare%20Quality%20Indicators.pdf.</t>
  </si>
  <si>
    <t>[1] Community of Madrid (Comunidad de Madrid). Prevención y Promoción de la Salud en los Municipios de la Comunidad de Madrid (Prevention and Health Promotion in the Municipalities of the Community of Madrid). 2024. Available from: https://www.comunidad.madrid/servicios/salud/prevencion-promocion-salud-municipios-comunidad-madrid</t>
  </si>
  <si>
    <t>[1] Seoul Metropolitan Government. Public Health Planning Bureau. Health Points System. Available from: https://spoint.seoul.go.kr/login/main.do.</t>
  </si>
  <si>
    <t>50</t>
  </si>
  <si>
    <t>21</t>
  </si>
  <si>
    <t>49</t>
  </si>
  <si>
    <t>48</t>
  </si>
  <si>
    <t>47</t>
  </si>
  <si>
    <t>=42</t>
  </si>
  <si>
    <t>=4</t>
  </si>
  <si>
    <t>=49</t>
  </si>
  <si>
    <t>=29</t>
  </si>
  <si>
    <t>=48</t>
  </si>
  <si>
    <t>=15</t>
  </si>
  <si>
    <t>=32</t>
  </si>
  <si>
    <t>=14</t>
  </si>
  <si>
    <t>BG03</t>
  </si>
  <si>
    <t>BG04</t>
  </si>
  <si>
    <t>BG05</t>
  </si>
  <si>
    <t>BG08</t>
  </si>
  <si>
    <t>BG09</t>
  </si>
  <si>
    <t>BG11</t>
  </si>
  <si>
    <t>BG12</t>
  </si>
  <si>
    <t>BG13</t>
  </si>
  <si>
    <t>BG14</t>
  </si>
  <si>
    <t>BG16</t>
  </si>
  <si>
    <t>PROPORTION OF ALL DEATHS CAUSED BY CVD</t>
  </si>
  <si>
    <t>CVD MORTALITY RATE</t>
  </si>
  <si>
    <t>RISK OF PREMATURE DEATH FROM NCDS</t>
  </si>
  <si>
    <t>CVD INCIDENCE</t>
  </si>
  <si>
    <t>CVD PREVALENCE</t>
  </si>
  <si>
    <t>HEALTHY LIFE EXPECTANCY AT BIRTH</t>
  </si>
  <si>
    <t>GDP PER CAPITA IN $US</t>
  </si>
  <si>
    <t>Economist Impact analyst rating</t>
  </si>
  <si>
    <t>[1] Korea Disease Control and Prevention Agency. Community Health Survey. 19 December 2023. Seoul: Available from: https://www.khidi.or.kr/board/view?pageNum=1&amp;rowCnt=10&amp;menuId=MENU01499&amp;maxIndex=99999999999999&amp;minIndex=99999999999999&amp;schType=0&amp;schText=&amp;categoryId=&amp;continent=&amp;country=&amp;upDown=0&amp;boardStyle=&amp;no1=0&amp;linkId=48904355.</t>
  </si>
  <si>
    <t>[1] Wijegunasekara, J.L.H.R.. (2020). Non Communicable Disease prevention programme of Colombo district; Sri Lanka. 10.13140/RG.2.2.15791.97449.</t>
  </si>
  <si>
    <t>ADD_BG03</t>
  </si>
  <si>
    <t>UAY_BG03</t>
  </si>
  <si>
    <t>A2N_BG03</t>
  </si>
  <si>
    <t>AKL_BG03</t>
  </si>
  <si>
    <t>BKK_BG03</t>
  </si>
  <si>
    <t>BJS_BG03</t>
  </si>
  <si>
    <t>BER_BG03</t>
  </si>
  <si>
    <t>B6Y_BG03</t>
  </si>
  <si>
    <t>BUD_BG03</t>
  </si>
  <si>
    <t>CJR_BG03</t>
  </si>
  <si>
    <t>COX_BG03</t>
  </si>
  <si>
    <t>DLI_BG03</t>
  </si>
  <si>
    <t>DAC_BG03</t>
  </si>
  <si>
    <t>DXB_BG03</t>
  </si>
  <si>
    <t>HEL_BG03</t>
  </si>
  <si>
    <t>SGN_BG03</t>
  </si>
  <si>
    <t>HKG_BG03</t>
  </si>
  <si>
    <t>IST_BG03</t>
  </si>
  <si>
    <t>JKT_BG03</t>
  </si>
  <si>
    <t>JNB_BG03</t>
  </si>
  <si>
    <t>KHI_BG03</t>
  </si>
  <si>
    <t>KTM_BG03</t>
  </si>
  <si>
    <t>CCU_BG03</t>
  </si>
  <si>
    <t>KWI_BG03</t>
  </si>
  <si>
    <t>ZGM_BG03</t>
  </si>
  <si>
    <t>LOD_BG03</t>
  </si>
  <si>
    <t>MDD_BG03</t>
  </si>
  <si>
    <t>MNL_BG03</t>
  </si>
  <si>
    <t>MEL_BG03</t>
  </si>
  <si>
    <t>MEX_BG03</t>
  </si>
  <si>
    <t>MW3_BG03</t>
  </si>
  <si>
    <t>BOM_BG03</t>
  </si>
  <si>
    <t>NBO_BG03</t>
  </si>
  <si>
    <t>NYC_BG03</t>
  </si>
  <si>
    <t>OSA_BG03</t>
  </si>
  <si>
    <t>PAR_BG03</t>
  </si>
  <si>
    <t>PNH_BG03</t>
  </si>
  <si>
    <t>RUH_BG03</t>
  </si>
  <si>
    <t>RMG_BG03</t>
  </si>
  <si>
    <t>SFO_BG03</t>
  </si>
  <si>
    <t>SPF_BG03</t>
  </si>
  <si>
    <t>SEL_BG03</t>
  </si>
  <si>
    <t>SGH_BG03</t>
  </si>
  <si>
    <t>SIN_BG03</t>
  </si>
  <si>
    <t>SYD_BG03</t>
  </si>
  <si>
    <t>TYO_BG03</t>
  </si>
  <si>
    <t>TOR_BG03</t>
  </si>
  <si>
    <t>VIE_BG03</t>
  </si>
  <si>
    <t>NHN_BG03</t>
  </si>
  <si>
    <t>RGN_BG03</t>
  </si>
  <si>
    <t>G00_BG03</t>
  </si>
  <si>
    <t>G01_BG03</t>
  </si>
  <si>
    <t>G02_BG03</t>
  </si>
  <si>
    <t>G03_BG03</t>
  </si>
  <si>
    <t>G04_BG03</t>
  </si>
  <si>
    <t>G05_BG03</t>
  </si>
  <si>
    <t>G06_BG03</t>
  </si>
  <si>
    <t>ADD_BG04</t>
  </si>
  <si>
    <t>UAY_BG04</t>
  </si>
  <si>
    <t>A2N_BG04</t>
  </si>
  <si>
    <t>AKL_BG04</t>
  </si>
  <si>
    <t>BKK_BG04</t>
  </si>
  <si>
    <t>BJS_BG04</t>
  </si>
  <si>
    <t>BER_BG04</t>
  </si>
  <si>
    <t>B6Y_BG04</t>
  </si>
  <si>
    <t>BUD_BG04</t>
  </si>
  <si>
    <t>CJR_BG04</t>
  </si>
  <si>
    <t>COX_BG04</t>
  </si>
  <si>
    <t>DLI_BG04</t>
  </si>
  <si>
    <t>DAC_BG04</t>
  </si>
  <si>
    <t>DXB_BG04</t>
  </si>
  <si>
    <t>HEL_BG04</t>
  </si>
  <si>
    <t>SGN_BG04</t>
  </si>
  <si>
    <t>HKG_BG04</t>
  </si>
  <si>
    <t>IST_BG04</t>
  </si>
  <si>
    <t>JKT_BG04</t>
  </si>
  <si>
    <t>JNB_BG04</t>
  </si>
  <si>
    <t>KHI_BG04</t>
  </si>
  <si>
    <t>KTM_BG04</t>
  </si>
  <si>
    <t>CCU_BG04</t>
  </si>
  <si>
    <t>KWI_BG04</t>
  </si>
  <si>
    <t>ZGM_BG04</t>
  </si>
  <si>
    <t>LOD_BG04</t>
  </si>
  <si>
    <t>MDD_BG04</t>
  </si>
  <si>
    <t>MNL_BG04</t>
  </si>
  <si>
    <t>MEL_BG04</t>
  </si>
  <si>
    <t>MEX_BG04</t>
  </si>
  <si>
    <t>MW3_BG04</t>
  </si>
  <si>
    <t>BOM_BG04</t>
  </si>
  <si>
    <t>NBO_BG04</t>
  </si>
  <si>
    <t>NYC_BG04</t>
  </si>
  <si>
    <t>OSA_BG04</t>
  </si>
  <si>
    <t>PAR_BG04</t>
  </si>
  <si>
    <t>PNH_BG04</t>
  </si>
  <si>
    <t>RUH_BG04</t>
  </si>
  <si>
    <t>RMG_BG04</t>
  </si>
  <si>
    <t>SFO_BG04</t>
  </si>
  <si>
    <t>SPF_BG04</t>
  </si>
  <si>
    <t>SEL_BG04</t>
  </si>
  <si>
    <t>SGH_BG04</t>
  </si>
  <si>
    <t>SIN_BG04</t>
  </si>
  <si>
    <t>SYD_BG04</t>
  </si>
  <si>
    <t>TYO_BG04</t>
  </si>
  <si>
    <t>TOR_BG04</t>
  </si>
  <si>
    <t>VIE_BG04</t>
  </si>
  <si>
    <t>NHN_BG04</t>
  </si>
  <si>
    <t>RGN_BG04</t>
  </si>
  <si>
    <t>G00_BG04</t>
  </si>
  <si>
    <t>G01_BG04</t>
  </si>
  <si>
    <t>G02_BG04</t>
  </si>
  <si>
    <t>G03_BG04</t>
  </si>
  <si>
    <t>G04_BG04</t>
  </si>
  <si>
    <t>G05_BG04</t>
  </si>
  <si>
    <t>G06_BG04</t>
  </si>
  <si>
    <t>ADD_BG05</t>
  </si>
  <si>
    <t>UAY_BG05</t>
  </si>
  <si>
    <t>A2N_BG05</t>
  </si>
  <si>
    <t>AKL_BG05</t>
  </si>
  <si>
    <t>BKK_BG05</t>
  </si>
  <si>
    <t>BJS_BG05</t>
  </si>
  <si>
    <t>BER_BG05</t>
  </si>
  <si>
    <t>B6Y_BG05</t>
  </si>
  <si>
    <t>BUD_BG05</t>
  </si>
  <si>
    <t>CJR_BG05</t>
  </si>
  <si>
    <t>COX_BG05</t>
  </si>
  <si>
    <t>DLI_BG05</t>
  </si>
  <si>
    <t>DAC_BG05</t>
  </si>
  <si>
    <t>DXB_BG05</t>
  </si>
  <si>
    <t>HEL_BG05</t>
  </si>
  <si>
    <t>SGN_BG05</t>
  </si>
  <si>
    <t>HKG_BG05</t>
  </si>
  <si>
    <t>IST_BG05</t>
  </si>
  <si>
    <t>JKT_BG05</t>
  </si>
  <si>
    <t>JNB_BG05</t>
  </si>
  <si>
    <t>KHI_BG05</t>
  </si>
  <si>
    <t>KTM_BG05</t>
  </si>
  <si>
    <t>CCU_BG05</t>
  </si>
  <si>
    <t>KWI_BG05</t>
  </si>
  <si>
    <t>ZGM_BG05</t>
  </si>
  <si>
    <t>LOD_BG05</t>
  </si>
  <si>
    <t>MDD_BG05</t>
  </si>
  <si>
    <t>MNL_BG05</t>
  </si>
  <si>
    <t>MEL_BG05</t>
  </si>
  <si>
    <t>MEX_BG05</t>
  </si>
  <si>
    <t>MW3_BG05</t>
  </si>
  <si>
    <t>BOM_BG05</t>
  </si>
  <si>
    <t>NBO_BG05</t>
  </si>
  <si>
    <t>NYC_BG05</t>
  </si>
  <si>
    <t>OSA_BG05</t>
  </si>
  <si>
    <t>PAR_BG05</t>
  </si>
  <si>
    <t>PNH_BG05</t>
  </si>
  <si>
    <t>RUH_BG05</t>
  </si>
  <si>
    <t>RMG_BG05</t>
  </si>
  <si>
    <t>SFO_BG05</t>
  </si>
  <si>
    <t>SPF_BG05</t>
  </si>
  <si>
    <t>SEL_BG05</t>
  </si>
  <si>
    <t>SGH_BG05</t>
  </si>
  <si>
    <t>SIN_BG05</t>
  </si>
  <si>
    <t>SYD_BG05</t>
  </si>
  <si>
    <t>TYO_BG05</t>
  </si>
  <si>
    <t>TOR_BG05</t>
  </si>
  <si>
    <t>VIE_BG05</t>
  </si>
  <si>
    <t>NHN_BG05</t>
  </si>
  <si>
    <t>RGN_BG05</t>
  </si>
  <si>
    <t>G00_BG05</t>
  </si>
  <si>
    <t>G01_BG05</t>
  </si>
  <si>
    <t>G02_BG05</t>
  </si>
  <si>
    <t>G03_BG05</t>
  </si>
  <si>
    <t>G04_BG05</t>
  </si>
  <si>
    <t>G05_BG05</t>
  </si>
  <si>
    <t>G06_BG05</t>
  </si>
  <si>
    <t>ADD_BG08</t>
  </si>
  <si>
    <t>UAY_BG08</t>
  </si>
  <si>
    <t>A2N_BG08</t>
  </si>
  <si>
    <t>AKL_BG08</t>
  </si>
  <si>
    <t>BKK_BG08</t>
  </si>
  <si>
    <t>BJS_BG08</t>
  </si>
  <si>
    <t>BER_BG08</t>
  </si>
  <si>
    <t>B6Y_BG08</t>
  </si>
  <si>
    <t>BUD_BG08</t>
  </si>
  <si>
    <t>CJR_BG08</t>
  </si>
  <si>
    <t>COX_BG08</t>
  </si>
  <si>
    <t>DLI_BG08</t>
  </si>
  <si>
    <t>DAC_BG08</t>
  </si>
  <si>
    <t>DXB_BG08</t>
  </si>
  <si>
    <t>HEL_BG08</t>
  </si>
  <si>
    <t>SGN_BG08</t>
  </si>
  <si>
    <t>HKG_BG08</t>
  </si>
  <si>
    <t>IST_BG08</t>
  </si>
  <si>
    <t>JKT_BG08</t>
  </si>
  <si>
    <t>JNB_BG08</t>
  </si>
  <si>
    <t>KHI_BG08</t>
  </si>
  <si>
    <t>KTM_BG08</t>
  </si>
  <si>
    <t>CCU_BG08</t>
  </si>
  <si>
    <t>KWI_BG08</t>
  </si>
  <si>
    <t>ZGM_BG08</t>
  </si>
  <si>
    <t>LOD_BG08</t>
  </si>
  <si>
    <t>MDD_BG08</t>
  </si>
  <si>
    <t>MNL_BG08</t>
  </si>
  <si>
    <t>MEL_BG08</t>
  </si>
  <si>
    <t>MEX_BG08</t>
  </si>
  <si>
    <t>MW3_BG08</t>
  </si>
  <si>
    <t>BOM_BG08</t>
  </si>
  <si>
    <t>NBO_BG08</t>
  </si>
  <si>
    <t>NYC_BG08</t>
  </si>
  <si>
    <t>OSA_BG08</t>
  </si>
  <si>
    <t>PAR_BG08</t>
  </si>
  <si>
    <t>PNH_BG08</t>
  </si>
  <si>
    <t>RUH_BG08</t>
  </si>
  <si>
    <t>RMG_BG08</t>
  </si>
  <si>
    <t>SFO_BG08</t>
  </si>
  <si>
    <t>SPF_BG08</t>
  </si>
  <si>
    <t>SEL_BG08</t>
  </si>
  <si>
    <t>SGH_BG08</t>
  </si>
  <si>
    <t>SIN_BG08</t>
  </si>
  <si>
    <t>SYD_BG08</t>
  </si>
  <si>
    <t>TYO_BG08</t>
  </si>
  <si>
    <t>TOR_BG08</t>
  </si>
  <si>
    <t>VIE_BG08</t>
  </si>
  <si>
    <t>NHN_BG08</t>
  </si>
  <si>
    <t>RGN_BG08</t>
  </si>
  <si>
    <t>G00_BG08</t>
  </si>
  <si>
    <t>G01_BG08</t>
  </si>
  <si>
    <t>G02_BG08</t>
  </si>
  <si>
    <t>G03_BG08</t>
  </si>
  <si>
    <t>G04_BG08</t>
  </si>
  <si>
    <t>G05_BG08</t>
  </si>
  <si>
    <t>G06_BG08</t>
  </si>
  <si>
    <t>ADD_BG09</t>
  </si>
  <si>
    <t>UAY_BG09</t>
  </si>
  <si>
    <t>A2N_BG09</t>
  </si>
  <si>
    <t>AKL_BG09</t>
  </si>
  <si>
    <t>BKK_BG09</t>
  </si>
  <si>
    <t>BJS_BG09</t>
  </si>
  <si>
    <t>BER_BG09</t>
  </si>
  <si>
    <t>B6Y_BG09</t>
  </si>
  <si>
    <t>BUD_BG09</t>
  </si>
  <si>
    <t>CJR_BG09</t>
  </si>
  <si>
    <t>COX_BG09</t>
  </si>
  <si>
    <t>DLI_BG09</t>
  </si>
  <si>
    <t>DAC_BG09</t>
  </si>
  <si>
    <t>DXB_BG09</t>
  </si>
  <si>
    <t>HEL_BG09</t>
  </si>
  <si>
    <t>SGN_BG09</t>
  </si>
  <si>
    <t>HKG_BG09</t>
  </si>
  <si>
    <t>IST_BG09</t>
  </si>
  <si>
    <t>JKT_BG09</t>
  </si>
  <si>
    <t>JNB_BG09</t>
  </si>
  <si>
    <t>KHI_BG09</t>
  </si>
  <si>
    <t>KTM_BG09</t>
  </si>
  <si>
    <t>CCU_BG09</t>
  </si>
  <si>
    <t>KWI_BG09</t>
  </si>
  <si>
    <t>ZGM_BG09</t>
  </si>
  <si>
    <t>LOD_BG09</t>
  </si>
  <si>
    <t>MDD_BG09</t>
  </si>
  <si>
    <t>MNL_BG09</t>
  </si>
  <si>
    <t>MEL_BG09</t>
  </si>
  <si>
    <t>MEX_BG09</t>
  </si>
  <si>
    <t>MW3_BG09</t>
  </si>
  <si>
    <t>BOM_BG09</t>
  </si>
  <si>
    <t>NBO_BG09</t>
  </si>
  <si>
    <t>NYC_BG09</t>
  </si>
  <si>
    <t>OSA_BG09</t>
  </si>
  <si>
    <t>PAR_BG09</t>
  </si>
  <si>
    <t>PNH_BG09</t>
  </si>
  <si>
    <t>RUH_BG09</t>
  </si>
  <si>
    <t>RMG_BG09</t>
  </si>
  <si>
    <t>SFO_BG09</t>
  </si>
  <si>
    <t>SPF_BG09</t>
  </si>
  <si>
    <t>SEL_BG09</t>
  </si>
  <si>
    <t>SGH_BG09</t>
  </si>
  <si>
    <t>SIN_BG09</t>
  </si>
  <si>
    <t>SYD_BG09</t>
  </si>
  <si>
    <t>TYO_BG09</t>
  </si>
  <si>
    <t>TOR_BG09</t>
  </si>
  <si>
    <t>VIE_BG09</t>
  </si>
  <si>
    <t>NHN_BG09</t>
  </si>
  <si>
    <t>RGN_BG09</t>
  </si>
  <si>
    <t>G00_BG09</t>
  </si>
  <si>
    <t>G01_BG09</t>
  </si>
  <si>
    <t>G02_BG09</t>
  </si>
  <si>
    <t>G03_BG09</t>
  </si>
  <si>
    <t>G04_BG09</t>
  </si>
  <si>
    <t>G05_BG09</t>
  </si>
  <si>
    <t>G06_BG09</t>
  </si>
  <si>
    <t>ADD_BG11</t>
  </si>
  <si>
    <t>UAY_BG11</t>
  </si>
  <si>
    <t>A2N_BG11</t>
  </si>
  <si>
    <t>AKL_BG11</t>
  </si>
  <si>
    <t>BKK_BG11</t>
  </si>
  <si>
    <t>BJS_BG11</t>
  </si>
  <si>
    <t>BER_BG11</t>
  </si>
  <si>
    <t>B6Y_BG11</t>
  </si>
  <si>
    <t>BUD_BG11</t>
  </si>
  <si>
    <t>CJR_BG11</t>
  </si>
  <si>
    <t>COX_BG11</t>
  </si>
  <si>
    <t>DLI_BG11</t>
  </si>
  <si>
    <t>DAC_BG11</t>
  </si>
  <si>
    <t>DXB_BG11</t>
  </si>
  <si>
    <t>HEL_BG11</t>
  </si>
  <si>
    <t>SGN_BG11</t>
  </si>
  <si>
    <t>HKG_BG11</t>
  </si>
  <si>
    <t>IST_BG11</t>
  </si>
  <si>
    <t>JKT_BG11</t>
  </si>
  <si>
    <t>JNB_BG11</t>
  </si>
  <si>
    <t>KHI_BG11</t>
  </si>
  <si>
    <t>KTM_BG11</t>
  </si>
  <si>
    <t>CCU_BG11</t>
  </si>
  <si>
    <t>KWI_BG11</t>
  </si>
  <si>
    <t>ZGM_BG11</t>
  </si>
  <si>
    <t>LOD_BG11</t>
  </si>
  <si>
    <t>MDD_BG11</t>
  </si>
  <si>
    <t>MNL_BG11</t>
  </si>
  <si>
    <t>MEL_BG11</t>
  </si>
  <si>
    <t>MEX_BG11</t>
  </si>
  <si>
    <t>MW3_BG11</t>
  </si>
  <si>
    <t>BOM_BG11</t>
  </si>
  <si>
    <t>NBO_BG11</t>
  </si>
  <si>
    <t>NYC_BG11</t>
  </si>
  <si>
    <t>OSA_BG11</t>
  </si>
  <si>
    <t>PAR_BG11</t>
  </si>
  <si>
    <t>PNH_BG11</t>
  </si>
  <si>
    <t>RUH_BG11</t>
  </si>
  <si>
    <t>RMG_BG11</t>
  </si>
  <si>
    <t>SFO_BG11</t>
  </si>
  <si>
    <t>SPF_BG11</t>
  </si>
  <si>
    <t>SEL_BG11</t>
  </si>
  <si>
    <t>SGH_BG11</t>
  </si>
  <si>
    <t>SIN_BG11</t>
  </si>
  <si>
    <t>SYD_BG11</t>
  </si>
  <si>
    <t>TYO_BG11</t>
  </si>
  <si>
    <t>TOR_BG11</t>
  </si>
  <si>
    <t>VIE_BG11</t>
  </si>
  <si>
    <t>NHN_BG11</t>
  </si>
  <si>
    <t>RGN_BG11</t>
  </si>
  <si>
    <t>G00_BG11</t>
  </si>
  <si>
    <t>G01_BG11</t>
  </si>
  <si>
    <t>G02_BG11</t>
  </si>
  <si>
    <t>G03_BG11</t>
  </si>
  <si>
    <t>G04_BG11</t>
  </si>
  <si>
    <t>G05_BG11</t>
  </si>
  <si>
    <t>G06_BG11</t>
  </si>
  <si>
    <t>ADD_BG12</t>
  </si>
  <si>
    <t>UAY_BG12</t>
  </si>
  <si>
    <t>A2N_BG12</t>
  </si>
  <si>
    <t>AKL_BG12</t>
  </si>
  <si>
    <t>BKK_BG12</t>
  </si>
  <si>
    <t>BJS_BG12</t>
  </si>
  <si>
    <t>BER_BG12</t>
  </si>
  <si>
    <t>B6Y_BG12</t>
  </si>
  <si>
    <t>BUD_BG12</t>
  </si>
  <si>
    <t>CJR_BG12</t>
  </si>
  <si>
    <t>COX_BG12</t>
  </si>
  <si>
    <t>DLI_BG12</t>
  </si>
  <si>
    <t>DAC_BG12</t>
  </si>
  <si>
    <t>DXB_BG12</t>
  </si>
  <si>
    <t>HEL_BG12</t>
  </si>
  <si>
    <t>SGN_BG12</t>
  </si>
  <si>
    <t>HKG_BG12</t>
  </si>
  <si>
    <t>IST_BG12</t>
  </si>
  <si>
    <t>JKT_BG12</t>
  </si>
  <si>
    <t>JNB_BG12</t>
  </si>
  <si>
    <t>KHI_BG12</t>
  </si>
  <si>
    <t>KTM_BG12</t>
  </si>
  <si>
    <t>CCU_BG12</t>
  </si>
  <si>
    <t>KWI_BG12</t>
  </si>
  <si>
    <t>ZGM_BG12</t>
  </si>
  <si>
    <t>LOD_BG12</t>
  </si>
  <si>
    <t>MDD_BG12</t>
  </si>
  <si>
    <t>MNL_BG12</t>
  </si>
  <si>
    <t>MEL_BG12</t>
  </si>
  <si>
    <t>MEX_BG12</t>
  </si>
  <si>
    <t>MW3_BG12</t>
  </si>
  <si>
    <t>BOM_BG12</t>
  </si>
  <si>
    <t>NBO_BG12</t>
  </si>
  <si>
    <t>NYC_BG12</t>
  </si>
  <si>
    <t>OSA_BG12</t>
  </si>
  <si>
    <t>PAR_BG12</t>
  </si>
  <si>
    <t>PNH_BG12</t>
  </si>
  <si>
    <t>RUH_BG12</t>
  </si>
  <si>
    <t>RMG_BG12</t>
  </si>
  <si>
    <t>SFO_BG12</t>
  </si>
  <si>
    <t>SPF_BG12</t>
  </si>
  <si>
    <t>SEL_BG12</t>
  </si>
  <si>
    <t>SGH_BG12</t>
  </si>
  <si>
    <t>SIN_BG12</t>
  </si>
  <si>
    <t>SYD_BG12</t>
  </si>
  <si>
    <t>TYO_BG12</t>
  </si>
  <si>
    <t>TOR_BG12</t>
  </si>
  <si>
    <t>VIE_BG12</t>
  </si>
  <si>
    <t>NHN_BG12</t>
  </si>
  <si>
    <t>RGN_BG12</t>
  </si>
  <si>
    <t>G00_BG12</t>
  </si>
  <si>
    <t>G01_BG12</t>
  </si>
  <si>
    <t>G02_BG12</t>
  </si>
  <si>
    <t>G03_BG12</t>
  </si>
  <si>
    <t>G04_BG12</t>
  </si>
  <si>
    <t>G05_BG12</t>
  </si>
  <si>
    <t>G06_BG12</t>
  </si>
  <si>
    <t>ADD_BG13</t>
  </si>
  <si>
    <t>UAY_BG13</t>
  </si>
  <si>
    <t>A2N_BG13</t>
  </si>
  <si>
    <t>AKL_BG13</t>
  </si>
  <si>
    <t>BKK_BG13</t>
  </si>
  <si>
    <t>BJS_BG13</t>
  </si>
  <si>
    <t>BER_BG13</t>
  </si>
  <si>
    <t>B6Y_BG13</t>
  </si>
  <si>
    <t>BUD_BG13</t>
  </si>
  <si>
    <t>CJR_BG13</t>
  </si>
  <si>
    <t>COX_BG13</t>
  </si>
  <si>
    <t>DLI_BG13</t>
  </si>
  <si>
    <t>DAC_BG13</t>
  </si>
  <si>
    <t>DXB_BG13</t>
  </si>
  <si>
    <t>HEL_BG13</t>
  </si>
  <si>
    <t>SGN_BG13</t>
  </si>
  <si>
    <t>HKG_BG13</t>
  </si>
  <si>
    <t>IST_BG13</t>
  </si>
  <si>
    <t>JKT_BG13</t>
  </si>
  <si>
    <t>JNB_BG13</t>
  </si>
  <si>
    <t>KHI_BG13</t>
  </si>
  <si>
    <t>KTM_BG13</t>
  </si>
  <si>
    <t>CCU_BG13</t>
  </si>
  <si>
    <t>KWI_BG13</t>
  </si>
  <si>
    <t>ZGM_BG13</t>
  </si>
  <si>
    <t>LOD_BG13</t>
  </si>
  <si>
    <t>MDD_BG13</t>
  </si>
  <si>
    <t>MNL_BG13</t>
  </si>
  <si>
    <t>MEL_BG13</t>
  </si>
  <si>
    <t>MEX_BG13</t>
  </si>
  <si>
    <t>MW3_BG13</t>
  </si>
  <si>
    <t>BOM_BG13</t>
  </si>
  <si>
    <t>NBO_BG13</t>
  </si>
  <si>
    <t>NYC_BG13</t>
  </si>
  <si>
    <t>OSA_BG13</t>
  </si>
  <si>
    <t>PAR_BG13</t>
  </si>
  <si>
    <t>PNH_BG13</t>
  </si>
  <si>
    <t>RUH_BG13</t>
  </si>
  <si>
    <t>RMG_BG13</t>
  </si>
  <si>
    <t>SFO_BG13</t>
  </si>
  <si>
    <t>SPF_BG13</t>
  </si>
  <si>
    <t>SEL_BG13</t>
  </si>
  <si>
    <t>SGH_BG13</t>
  </si>
  <si>
    <t>SIN_BG13</t>
  </si>
  <si>
    <t>SYD_BG13</t>
  </si>
  <si>
    <t>TYO_BG13</t>
  </si>
  <si>
    <t>TOR_BG13</t>
  </si>
  <si>
    <t>VIE_BG13</t>
  </si>
  <si>
    <t>NHN_BG13</t>
  </si>
  <si>
    <t>RGN_BG13</t>
  </si>
  <si>
    <t>G00_BG13</t>
  </si>
  <si>
    <t>G01_BG13</t>
  </si>
  <si>
    <t>G02_BG13</t>
  </si>
  <si>
    <t>G03_BG13</t>
  </si>
  <si>
    <t>G04_BG13</t>
  </si>
  <si>
    <t>G05_BG13</t>
  </si>
  <si>
    <t>G06_BG13</t>
  </si>
  <si>
    <t>ADD_BG14</t>
  </si>
  <si>
    <t>UAY_BG14</t>
  </si>
  <si>
    <t>A2N_BG14</t>
  </si>
  <si>
    <t>AKL_BG14</t>
  </si>
  <si>
    <t>BKK_BG14</t>
  </si>
  <si>
    <t>BJS_BG14</t>
  </si>
  <si>
    <t>BER_BG14</t>
  </si>
  <si>
    <t>B6Y_BG14</t>
  </si>
  <si>
    <t>BUD_BG14</t>
  </si>
  <si>
    <t>CJR_BG14</t>
  </si>
  <si>
    <t>COX_BG14</t>
  </si>
  <si>
    <t>DLI_BG14</t>
  </si>
  <si>
    <t>DAC_BG14</t>
  </si>
  <si>
    <t>DXB_BG14</t>
  </si>
  <si>
    <t>HEL_BG14</t>
  </si>
  <si>
    <t>SGN_BG14</t>
  </si>
  <si>
    <t>HKG_BG14</t>
  </si>
  <si>
    <t>IST_BG14</t>
  </si>
  <si>
    <t>JKT_BG14</t>
  </si>
  <si>
    <t>JNB_BG14</t>
  </si>
  <si>
    <t>KHI_BG14</t>
  </si>
  <si>
    <t>KTM_BG14</t>
  </si>
  <si>
    <t>CCU_BG14</t>
  </si>
  <si>
    <t>KWI_BG14</t>
  </si>
  <si>
    <t>ZGM_BG14</t>
  </si>
  <si>
    <t>LOD_BG14</t>
  </si>
  <si>
    <t>MDD_BG14</t>
  </si>
  <si>
    <t>MNL_BG14</t>
  </si>
  <si>
    <t>MEL_BG14</t>
  </si>
  <si>
    <t>MEX_BG14</t>
  </si>
  <si>
    <t>MW3_BG14</t>
  </si>
  <si>
    <t>BOM_BG14</t>
  </si>
  <si>
    <t>NBO_BG14</t>
  </si>
  <si>
    <t>NYC_BG14</t>
  </si>
  <si>
    <t>OSA_BG14</t>
  </si>
  <si>
    <t>PAR_BG14</t>
  </si>
  <si>
    <t>PNH_BG14</t>
  </si>
  <si>
    <t>RUH_BG14</t>
  </si>
  <si>
    <t>RMG_BG14</t>
  </si>
  <si>
    <t>SFO_BG14</t>
  </si>
  <si>
    <t>SPF_BG14</t>
  </si>
  <si>
    <t>SEL_BG14</t>
  </si>
  <si>
    <t>SGH_BG14</t>
  </si>
  <si>
    <t>SIN_BG14</t>
  </si>
  <si>
    <t>SYD_BG14</t>
  </si>
  <si>
    <t>TYO_BG14</t>
  </si>
  <si>
    <t>TOR_BG14</t>
  </si>
  <si>
    <t>VIE_BG14</t>
  </si>
  <si>
    <t>NHN_BG14</t>
  </si>
  <si>
    <t>RGN_BG14</t>
  </si>
  <si>
    <t>G00_BG14</t>
  </si>
  <si>
    <t>G01_BG14</t>
  </si>
  <si>
    <t>G02_BG14</t>
  </si>
  <si>
    <t>G03_BG14</t>
  </si>
  <si>
    <t>G04_BG14</t>
  </si>
  <si>
    <t>G05_BG14</t>
  </si>
  <si>
    <t>G06_BG14</t>
  </si>
  <si>
    <t>20</t>
  </si>
  <si>
    <t>19</t>
  </si>
  <si>
    <t>=8</t>
  </si>
  <si>
    <t>=23</t>
  </si>
  <si>
    <t>=5</t>
  </si>
  <si>
    <t>=17</t>
  </si>
  <si>
    <t>=26</t>
  </si>
  <si>
    <t>=46</t>
  </si>
  <si>
    <t>=33</t>
  </si>
  <si>
    <t>=40</t>
  </si>
  <si>
    <t>=22</t>
  </si>
  <si>
    <t>=30</t>
  </si>
  <si>
    <t>=3</t>
  </si>
  <si>
    <t>=25</t>
  </si>
  <si>
    <t>=6</t>
  </si>
  <si>
    <t>World Bank</t>
  </si>
  <si>
    <t>World Development Indicators</t>
  </si>
  <si>
    <t>WHO</t>
  </si>
  <si>
    <t>UN SDG Indicators Database</t>
  </si>
  <si>
    <t>UN Habitat</t>
  </si>
  <si>
    <t>Based on the information regarding Auckland's governance and the legislative framework within New Zealand, Auckland City does not have the regulatory power to introduce health policies such as taxation measures (e.g., sugar taxes) that have not been introduced at the national level. Such regulatory measures fall under the jurisdiction of the national government. [1]</t>
  </si>
  <si>
    <t>The Bangkok Metropolitan Administration 2013-32 strategic plan was drafted following consultation with community groups and stakeholders. [1]</t>
  </si>
  <si>
    <t>Although there is an Urban Health Unit under the Ministry of Health there is no evidence of an Urban Public Health Plan.[1] There is a Non-Communicable Disease (NCD) unit with a specific National Multisectoral Action Plan for the Prevention and Control of Chronic Non-Communicable Diseases 2023-2027. [2]</t>
  </si>
  <si>
    <t>The City of Melbourne Health and Wellbeing Action Plan 2021-2025 was developed through analysis of municipal data and insights from over 900 members of the community. The Healthy Choices program, which is part of the overall action plan, cooperates with major events and facilities throughout the city. [1] The Victorian Public Health and Wellbeing Plan states that collaboration between 'all levels of government and industry, business, communities and individuals' can enhance public health and wellbeing. For example, the Healthy kids, healthy futures initiative is implemented through schools or sport and recreation facilities. [2]</t>
  </si>
  <si>
    <t>There is no evidence in the urban health plan set out by the Moscow Department of Health that there is any substantial engagement with stakeholders from other sectors. [1]</t>
  </si>
  <si>
    <t>The Russian Society on Hypertension, along with the Russian Society of Cardiology, have their own guidelines on the treatment and management of both hypertension and diabetes. These guidelines mention the types of treatments recommended to different types of patients and they are based on medical and scientific expertise. [1] [2]</t>
  </si>
  <si>
    <t>Dubai has implemented robust air quality monitoring activities and health education campaigns for clean household energy. The Dubai Air Environment Monitoring Network includes a Mobile Air Environment Monitoring Laboratory, ground stations, and a nanosatellite for real-time monitoring. The Air Quality Strategy 2017-2021 aimed for 90% clean air days by 2021, exceeding targets annually. [1] [2] The Dubai Electricity and Water Authority (DEWA)'s World Energy Day campaigns promote clean energy, aligning with Dubai's goal of 100% clean energy by 2050. [3] [4] The Roads and Transport Authority (RTA) plans to convert all taxis into environmentally friendly vehicles by 2028. [5]</t>
  </si>
  <si>
    <t>The Health and Family Welfare Department, Government of West Bengal has implemented the National Programme for Prevention and Control of Cancer, Diabetes, Cardiovascular diseases and Stroke with the objectives to prevent and control non communicable diseases (NCDs) through behaviour and lifestyle changes and to provide early diagnosis and management of common NCDs. However, there is no evidence of health awareness programmes conducted on NCDs under their website [1][2] The Kolkata Municipal Corporation is the responsible body for the health services in Calcutta and there is no evidence of health promotion program under their website.[3] There is no evidence on health promotion programmes by health care providers or other organisations aimed at preventing NCDs.[4]</t>
  </si>
  <si>
    <t>=44</t>
  </si>
  <si>
    <t>SELECT CITY / 50 CITY AVERAGE</t>
  </si>
  <si>
    <t>Yangon</t>
  </si>
  <si>
    <t>Various (2015-2024)</t>
  </si>
  <si>
    <t>#,0.00</t>
  </si>
  <si>
    <t>μg/m³; lower data value=higher score.</t>
  </si>
  <si>
    <t>e</t>
  </si>
  <si>
    <t>Economist Impact estimate</t>
  </si>
  <si>
    <t>IHME</t>
  </si>
  <si>
    <t>Diabetes Atlas</t>
  </si>
  <si>
    <t>=20</t>
  </si>
  <si>
    <t>BG17</t>
  </si>
  <si>
    <t>City Heartbeat</t>
  </si>
  <si>
    <t>Novartis</t>
  </si>
  <si>
    <t>BG18</t>
  </si>
  <si>
    <t>BG19</t>
  </si>
  <si>
    <t>BG20</t>
  </si>
  <si>
    <t>BG21</t>
  </si>
  <si>
    <t>BG22</t>
  </si>
  <si>
    <t>BG23</t>
  </si>
  <si>
    <t>BG24</t>
  </si>
  <si>
    <t>BG25</t>
  </si>
  <si>
    <t>BG26</t>
  </si>
  <si>
    <t>BG27</t>
  </si>
  <si>
    <t>BG28</t>
  </si>
  <si>
    <t>BG29</t>
  </si>
  <si>
    <t>BG30</t>
  </si>
  <si>
    <t>BG31</t>
  </si>
  <si>
    <t>BG32</t>
  </si>
  <si>
    <t>BG33</t>
  </si>
  <si>
    <t>BG34</t>
  </si>
  <si>
    <t>BG35</t>
  </si>
  <si>
    <t>BG36</t>
  </si>
  <si>
    <t>BG37</t>
  </si>
  <si>
    <t>BG38</t>
  </si>
  <si>
    <t>BG39</t>
  </si>
  <si>
    <t>BG40</t>
  </si>
  <si>
    <t>BG41</t>
  </si>
  <si>
    <t>BG42</t>
  </si>
  <si>
    <t>BG43</t>
  </si>
  <si>
    <t>BG44</t>
  </si>
  <si>
    <t>BG45</t>
  </si>
  <si>
    <t>BG46</t>
  </si>
  <si>
    <t>BG47</t>
  </si>
  <si>
    <t>BG48</t>
  </si>
  <si>
    <t>BG49</t>
  </si>
  <si>
    <t>BG50</t>
  </si>
  <si>
    <t>BG51</t>
  </si>
  <si>
    <t>BG52</t>
  </si>
  <si>
    <t>BG53</t>
  </si>
  <si>
    <t>BG54</t>
  </si>
  <si>
    <t>BG55</t>
  </si>
  <si>
    <t>BG56</t>
  </si>
  <si>
    <t>BG57</t>
  </si>
  <si>
    <t>BG58</t>
  </si>
  <si>
    <t>BG59</t>
  </si>
  <si>
    <t>BG60</t>
  </si>
  <si>
    <t>BG61</t>
  </si>
  <si>
    <t>BG62</t>
  </si>
  <si>
    <t>BG63</t>
  </si>
  <si>
    <t>BG64</t>
  </si>
  <si>
    <t>BG65</t>
  </si>
  <si>
    <t>COPY73</t>
  </si>
  <si>
    <t>COPY74</t>
  </si>
  <si>
    <t>COPY75</t>
  </si>
  <si>
    <t>COPY76</t>
  </si>
  <si>
    <t>COPY77</t>
  </si>
  <si>
    <t>COPY78</t>
  </si>
  <si>
    <t>COPY79</t>
  </si>
  <si>
    <t>COPY80</t>
  </si>
  <si>
    <t>COPY81</t>
  </si>
  <si>
    <t>COPY82</t>
  </si>
  <si>
    <t>COPY83</t>
  </si>
  <si>
    <t>COPY84</t>
  </si>
  <si>
    <t>g/day</t>
  </si>
  <si>
    <t>% energy/day</t>
  </si>
  <si>
    <t>mmol/L</t>
  </si>
  <si>
    <t>International Diabetes Foundation</t>
  </si>
  <si>
    <t>Average weighted daily consumption (in grams per day) of vegetables, including fresh, frozen, cooked, canned, or dried vegetables and excluding legumes and salted or pickled vegetables, juices, nuts and seeds, and starchy vegetables such as potatoes or corn</t>
  </si>
  <si>
    <t>Weighted average intake (in percent daily energy) of trans fat from all sources, mainly partially hydrogenated vegetable oils and ruminant products.</t>
  </si>
  <si>
    <t>Impaired fasting glucose (IFG) estimates (20-79 years);</t>
  </si>
  <si>
    <t>Weighted mean blood low-density lipoprotein (LDL) cholesterol level</t>
  </si>
  <si>
    <t>g/day; higher data value=higher score.</t>
  </si>
  <si>
    <t>% energy/day; lower data value=higher score.</t>
  </si>
  <si>
    <t>mmol/L; lower data value=higher score.</t>
  </si>
  <si>
    <t>Essential CVD medicines are both affordable and available throughout Bangkok, where almost 100% of the population is enrolled in a provider of universal health coverage. Every two years the Ministry of Health publishes an updated national drug formulary, the National Essential Medicines Formulary (NEMF). The current document published in 2022 is based on the 22nd World Health Organisation (WHO) List of Essential Medicines. [1] Prescription medicines on the NEMF are available and affordable to anyone in Thailand.</t>
  </si>
  <si>
    <t>=35</t>
  </si>
  <si>
    <t>Gini Index score</t>
  </si>
  <si>
    <t>Existence of infrastructure for cycling OR walking</t>
  </si>
  <si>
    <t>Either a national survey OR a city survey has been conducted</t>
  </si>
  <si>
    <t>Essential CVD medicines are either available OR affordable</t>
  </si>
  <si>
    <t>A risk factor survey covering unhealthy diet has been conducted OR a policy on food marketing exists</t>
  </si>
  <si>
    <t>Evidence of hypertension guidelines existence OR diabetes guidelines existence</t>
  </si>
  <si>
    <t>Evidence of multisectoral health promotion programmes by care providers or other organisations OR evidence of multisectoral health promotion programmes set up by city authorities</t>
  </si>
  <si>
    <t>Existence of infrastructure for both walking and cycling</t>
  </si>
  <si>
    <t>Both a city survey AND a national survey have been conducted</t>
  </si>
  <si>
    <t>Essential CVD medicines are both available AND affordable</t>
  </si>
  <si>
    <t>Both a risk factor survey covering unhealthy diet has been conducted AND a policy on food marketing exists</t>
  </si>
  <si>
    <t>Evidence of both hypertension guidelines existence AND diabetes guidelines existence</t>
  </si>
  <si>
    <t>Evidence of multisectoral health promotion programmes by care providers or other organisations AND evidence of multisectoral health promotion programmes set up by city authorities</t>
  </si>
  <si>
    <t>0 = There is no infrastructure for walking and cycling{NL}1 = Existence of infrastructure for cycling OR walking{NL}2 = Existence of infrastructure for both walking and cycling</t>
  </si>
  <si>
    <t>Does the city have infrastructure for walking (e.g. provision of walking space, safe crossing points, audible signals) or cycling (e.g. cycle lanes)?{NL}{NL}0 = There is no infrastructure for walking and cycling{NL}1 = Existence of infrastructure for cycling OR walking{NL}2 = Existence of infrastructure for both walking and cycling</t>
  </si>
  <si>
    <t>0 = No survey has been conducted{NL}1 = Either a national survey OR a city survey has been conducted{NL}2 = Both a city survey AND a national survey have been conducted</t>
  </si>
  <si>
    <t>0 = Essential CVD medicines are not available or affordable{NL}1 = Essential CVD medicines are either available OR affordable{NL}2 = Essential CVD medicines are both available AND affordable</t>
  </si>
  <si>
    <t>Do patients identified at risk of developing CVD have access (in terms of availability and affordability) to the essential CVD medicines as defined in the WHO EML 23rd List (2023)? 
Specifically, do patients have access to ANY of the antihypertensive medicines (or their alternatives), lipid-lowering agents (or their alternatives), and to the fixed-dose combinations included in the WHO EML 23rd List?{NL}{NL}0 = Essential CVD medicines are not available or affordable{NL}1 = Essential CVD medicines are either available OR affordable{NL}2 = Essential CVD medicines are both available AND affordable</t>
  </si>
  <si>
    <t>0 = No survey or policies exist{NL}1 = A risk factor survey covering unhealthy diet has been conducted OR a policy on food marketing exists{NL}2 = Both a risk factor survey covering unhealthy diet has been conducted AND a policy on food marketing exists</t>
  </si>
  <si>
    <t>Are there any policies to reduce the impact on children of marketing of foods and non-alcoholic beverages high in saturated fats, trans-fatty acids, free sugars, or salt?
Has the city/country conducted a recent (i.e. in the past 5 years) adult risk factor survey covering unhealthy diet?{NL}{NL}0 = No survey or policies exist{NL}1 = A risk factor survey covering unhealthy diet has been conducted OR a policy on food marketing exists{NL}2 = Both a risk factor survey covering unhealthy diet has been conducted AND a policy on food marketing exists</t>
  </si>
  <si>
    <t>0 = There is no evidence of guidelines existence{NL}1 = Evidence of hypertension guidelines existence OR diabetes guidelines existence{NL}2 = Evidence of both hypertension guidelines existence AND diabetes guidelines existence</t>
  </si>
  <si>
    <t>Are there national or local (e.g. by care provider organisations) evidence-based treatment protocols or guidelines that are focused on hypertension detection and treatment and diabetes detection and treatment?{NL}{NL}0 = There is no evidence of guidelines existence{NL}1 = Evidence of hypertension guidelines existence OR diabetes guidelines existence{NL}2 = Evidence of both hypertension guidelines existence AND diabetes guidelines existence</t>
  </si>
  <si>
    <t>0 = There is no evidence of health promotion programmes{NL}1 = Evidence of multisectoral health promotion programmes by care providers or other organisations OR evidence of multisectoral health promotion programmes set up by city authorities{NL}2 = Evidence of multisectoral health promotion programmes by care providers or other organisations AND evidence of multisectoral health promotion programmes set up by city authorities</t>
  </si>
  <si>
    <t>Does the city have multisectoral health education policies and programmes aimed at the general public to improve behaviour, health knowledge, attitudes and skills enabling individuals to adopt healthy behaviours (healthcare, education, hospitality, media sectors)?{NL}{NL}0 = There is no evidence of health promotion programmes{NL}1 = Evidence of multisectoral health promotion programmes by care providers or other organisations OR evidence of multisectoral health promotion programmes set up by city authorities{NL}2 = Evidence of multisectoral health promotion programmes by care providers or other organisations AND evidence of multisectoral health promotion programmes set up by city authorities</t>
  </si>
  <si>
    <t>Rating 0-2; higher data value=higher score.{NL}{NL}Does the city have infrastructure for walking (e.g. provision of walking space, safe crossing points, audible signals) or cycling (e.g. cycle lanes)?{NL}{NL}0 = There is no infrastructure for walking and cycling{NL}1 = Existence of infrastructure for cycling OR walking{NL}2 = Existence of infrastructure for both walking and cycling</t>
  </si>
  <si>
    <t>Rating 0-2; higher data value=higher score.{NL}{NL}Do patients identified at risk of developing CVD have access (in terms of availability and affordability) to the essential CVD medicines as defined in the WHO EML 23rd List (2023)? 
Specifically, do patients have access to ANY of the antihypertensive medicines (or their alternatives), lipid-lowering agents (or their alternatives), and to the fixed-dose combinations included in the WHO EML 23rd List?{NL}{NL}0 = Essential CVD medicines are not available or affordable{NL}1 = Essential CVD medicines are either available OR affordable{NL}2 = Essential CVD medicines are both available AND affordable</t>
  </si>
  <si>
    <t>Rating 0-2; higher data value=higher score.{NL}{NL}Are there any policies to reduce the impact on children of marketing of foods and non-alcoholic beverages high in saturated fats, trans-fatty acids, free sugars, or salt?
Has the city/country conducted a recent (i.e. in the past 5 years) adult risk factor survey covering unhealthy diet?{NL}{NL}0 = No survey or policies exist{NL}1 = A risk factor survey covering unhealthy diet has been conducted OR a policy on food marketing exists{NL}2 = Both a risk factor survey covering unhealthy diet has been conducted AND a policy on food marketing exists</t>
  </si>
  <si>
    <t>Rating 0-2; higher data value=higher score.{NL}{NL}Are there national or local (e.g. by care provider organisations) evidence-based treatment protocols or guidelines that are focused on hypertension detection and treatment and diabetes detection and treatment?{NL}{NL}0 = There is no evidence of guidelines existence{NL}1 = Evidence of hypertension guidelines existence OR diabetes guidelines existence{NL}2 = Evidence of both hypertension guidelines existence AND diabetes guidelines existence</t>
  </si>
  <si>
    <t>Rating 0-2; higher data value=higher score.{NL}{NL}Does the city have multisectoral health education policies and programmes aimed at the general public to improve behaviour, health knowledge, attitudes and skills enabling individuals to adopt healthy behaviours (healthcare, education, hospitality, media sectors)?{NL}{NL}0 = There is no evidence of health promotion programmes{NL}1 = Evidence of multisectoral health promotion programmes by care providers or other organisations OR evidence of multisectoral health promotion programmes set up by city authorities{NL}2 = Evidence of multisectoral health promotion programmes by care providers or other organisations AND evidence of multisectoral health promotion programmes set up by city authorities</t>
  </si>
  <si>
    <t>US census</t>
  </si>
  <si>
    <t>FAO</t>
  </si>
  <si>
    <t>Rate (per 100,000 people)</t>
  </si>
  <si>
    <t>Years</t>
  </si>
  <si>
    <t>Current $US</t>
  </si>
  <si>
    <t>% GDP</t>
  </si>
  <si>
    <t>(National) Share of deaths from cardiovascular diseases</t>
  </si>
  <si>
    <t>(National) Cardiovascular disease mortality rate</t>
  </si>
  <si>
    <t>(National) Probability (%) of dying between age 30 and exact age 70 from any cardiovascular disease</t>
  </si>
  <si>
    <t>(National) Incidence of cardiovascular diseases</t>
  </si>
  <si>
    <t>(National) Prevalence cardiovascular diseases</t>
  </si>
  <si>
    <t>(National) Average number of years that a person can expect to live in "full health" by taking into account years lived in less than full health due to disease and/or injury.</t>
  </si>
  <si>
    <t>(National) Gross Domestic Product per capita</t>
  </si>
  <si>
    <t>(National) CHE as a percentage of national Gross Domestic Product</t>
  </si>
  <si>
    <t>WHO recommends a maximum of 1% per day</t>
  </si>
  <si>
    <t>Rate (per 100,000 people); lower data value=higher score.</t>
  </si>
  <si>
    <t>Years; higher data value=higher score.</t>
  </si>
  <si>
    <t>Current $US; higher data value=higher score.</t>
  </si>
  <si>
    <t>CURRENT HEALTH EXPENDITURE (CHE)</t>
  </si>
  <si>
    <t>% GDP; higher data value=higher score.</t>
  </si>
  <si>
    <t>4.1) Access to medicines{NL}4.2) Hypertension diagnosis coverage{NL}4.3) Undiagnosed diabetes{NL}4.4) Patient-centred care</t>
  </si>
  <si>
    <t>Score is linear transformation of data values to the scale 0-100 where 100=most healthy environment. A data value of 1 or below scores 100, a data value of 2 or above scores 0.{NL}{NL}Lower data values produce higher scores.</t>
  </si>
  <si>
    <t>DESCRIPTION{NL}NL}Weighted average intake (in percent daily energy) of trans fat from all sources, mainly partially hydrogenated vegetable oils and ruminant products.{NL}{NL}NOTES{NL}NL}RATIONALE{NL}{NL}WHO recommends a maximum of 1% per day{NL}{NL}DATA UNIT{NL}{NL}% energy/day; lower data value=higher score.{NL}{NL}Score is linear transformation of data values to the scale 0-100 where 100=most healthy environment. A data value of 1 or below scores 100, a data value of 2 or above scores 0</t>
  </si>
  <si>
    <t>Weighted average of the following indicator scores:{NL}{NL}4.1) Access to medicines{NL}4.2) Hypertension diagnosis coverage{NL}4.3) Undiagnosed diabetes{NL}4.4) Patient-centred care</t>
  </si>
  <si>
    <t>SCORE CALCULATION{NL}Weighted average of the following indicator scores:{NL}{NL}4.1) Access to medicines{NL}4.2) Hypertension diagnosis coverage{NL}4.3) Undiagnosed diabetes{NL}4.4) Patient-centred care{NL}{NL}</t>
  </si>
  <si>
    <t>A 2022 UNDP report has data on the percentage of Addis Ababa's population living in poverty. [1]</t>
  </si>
  <si>
    <t>Algiers does not have published city-level data on the population living in poverty in the last 5 years. [1]</t>
  </si>
  <si>
    <t>[1] Statista. At-risk-of-poverty Rate in Germany by Federal State in 2022. Hamburg: Statista; 2024. Available from: https://de.statista.com/statistik/daten/studie/164203/umfrage/armutsgefaehrdungsquoten-in-den-bundeslaendern/</t>
  </si>
  <si>
    <t>Helsinki has city-level data that was collected and published in the last 5 years on the population living under the risk of poverty. Statistics Finland published data on the percentage of people living in Helsinki under the risk of poverty in 2022. [1]</t>
  </si>
  <si>
    <t>[1] Census and Statistics Department. Poverty dataset. Hong Kong. Census and Statistics Department.2021. Available from: https://www.censtatd.gov.hk/en/EIndexbySubject.html?scode=461&amp;pcode=X5250403#section3</t>
  </si>
  <si>
    <t>[1] Istanbul Metropolitan Municipality. Istanbul Statistics Office. Istanbul Planning Agency (İstanbul Büyükşehir Belediyesi. Istanbul Istatistik Ofisi. Istanbul Planlama Ajansi). Yoksulluk İstatistikleri 17.10.2023 (Poverty Statistics 17.10.2023). Istanbul. Istanbul Planlama Ajansi. 2023. Available from: https://ipa.istanbul/yayinlarimiz-genel-istanbul-barometresi-eylul-2023/</t>
  </si>
  <si>
    <t>The 2022 Nigeria Multidimensional Poverty Index Survey reports the percentage of Lagos population living in poverty. [1]</t>
  </si>
  <si>
    <t>[1] Philippine Statistics Authority. Highlights of the 2021 Full Year Official Poverty Statistics. Manila: Philippine Statistics Authority; [15 August 2022]. Available from: https://psa.gov.ph/system/files/phdsd2023-01/3-Highlights%2520of%2520the%25202021%2520Full%2520Year%2520Official%2520Poverty%2520Statistics%252C%252012Aug2022_0.pdf</t>
  </si>
  <si>
    <t>[1] Victorian Council of Social Services. Mapping poverty in Victoria 2023 insights report. VCOSS; 2023. Available from: https://vcoss.org.au/wp-content/uploads/2023/08/PovertyMaps23_VCOSS.pdf</t>
  </si>
  <si>
    <t>[1] Department of the Federal Service of State Statistics for Moscow and the Moscow Region. Moscow: Department of the Federal Service of State Statistics for Moscow and the Moscow Region, 2024. Available from: https://77.rosstat.gov.ru/folder/64641</t>
  </si>
  <si>
    <t>[1] Global Data Lab. GDL Area Profile Report Nairobi (Kenya). Global Data Lab. 2022. Available from: https://globaldatalab.org/areadata/profiles/KENr101/.</t>
  </si>
  <si>
    <t>[1] National Institute of Statistics and Economic Studies (Institut national de la statistique et des études économiques--INSEE). Dossier complet Département de Paris (75):Revenus et pauvreté des ménages en 2021 (Complete file Department of Paris (75): Household income and poverty in 2021). Paris, 27 February 2024. Available from: https://www.insee.fr/fr/statistiques/2011101?geo=DEP-75#chiffre-cle-8</t>
  </si>
  <si>
    <t>[1] City of Vienna. Annual Report of the Vienna Minimum Income 2022. Vienna: City of Vienna; 2023. Available from: https://www.wien.gv.at/spezial/mindestsicherung/files/wiener-mindestsicherung-jahresbericht-2022.pdf</t>
  </si>
  <si>
    <t>[1] Beijing Municipal Bureau of Statistics. Communiqué of the Seventh National Population Census of Beijing (No. 4) - Education of the Population. Beijing: Beijing Municipal Bureau of Statistics, 19 May 2021. Available from: https://tjj.beijing.gov.cn/tjsj_31433/tjgb_31445/rpgb_31449/202105/P020210519338451264743.pdf.</t>
  </si>
  <si>
    <t>The Federal Statistical Office of Germany collected and published data on educational attainment in Berlin, including the percentage of adults that have a secondary education or above, in 2019. [1].</t>
  </si>
  <si>
    <t>[1] Federal Statistical Office of Germany. Population (aged 15 and over): Länder, years (until 2019), sex, general school education. Wiesbaden: Federal Statistical Office of Germany; 2023. Available from: https://www-genesis.destatis.de/genesis/online?operation=abruftabelleBearbeiten&amp;levelindex=0&amp;levelid=1710284259747&amp;auswahloperation=abruftabelleAuspraegungAuswaehlen&amp;auswahlverzeichnis=ordnungsstruktur&amp;auswahlziel=werteabruf&amp;code=12211-9014&amp;auswahltext=&amp;werteabruf=Value+retrieval#abreadcrumb</t>
  </si>
  <si>
    <t>[1] Central Agency for Public Mobilization and Statistics (CAPMAS). Total population according to the course of studies followed by governorate. Cairo: Central Agency for Public Mobilization and Statistics (CAPMAS), 2017. Available from: https://www.cedejcapmas.org/adws/app/4d5b52dc-669d-11e9-b6a6-975656a88994/index.html</t>
  </si>
  <si>
    <t>[1] Australian Bureau of Statistics. Greater Melbourne: 2021 census all persons QuickStats. ABS Website; 2021. Available from: https://www.abs.gov.au/census/find-census-data/quickstats/2021/2GMEL</t>
  </si>
  <si>
    <t>[1] Department of the Federal Service of State Statistics for Moscow and the Moscow Region. Moscow: Department of the Federal Service of State Statistics for Moscow and the Moscow Region, 2024. Available from: https://77.rosstat.gov.ru</t>
  </si>
  <si>
    <t>[1] National Institute of Statistics (Istituto Nazionale di Statistica--ISTAT). Detailed educational attainment of resident population aged 6 years and over. Rome, ISTAT. 2024. Available from: http://dati-censimentopopolazione.istat.it/Index.aspx?lang=en&amp;SubSessionId=f9856267-41d2-455a-b114-ea0f41f4c5a0&amp;themetreeid=39</t>
  </si>
  <si>
    <t>[1] Seoul Metropolitan Government. Population Census Educational Attainment. Seoul: Seoul Metropolitan Government; 2021. Available from: https://data.seoul.go.kr/dataList/423/S/2/datasetView.do?obj_var_id=A&amp;up_itm_id=001023.</t>
  </si>
  <si>
    <t>[1] Australian Bureau of Statistics. 2021 Sydney, Census All persons QuickStats. Canberra: Australian Bureau of Statistics; 2021. Available from: https://www.abs.gov.au/census/find-census-data/quickstats/2021/LGA17200.</t>
  </si>
  <si>
    <t>Statistics Austria published data on the different levels of educational attainment in the city in 2021, including the percentage of adults with a secondary education or above. [1]</t>
  </si>
  <si>
    <t>[1] Wuhan Statistics Bureau. Wuhan Seventh National Census Bulletin (No. 5) [武汉市第七次全国人口普查公报（第五号)]. Wuhan: Wuhan Statistics Bureau; 28 May 2021. Available from: https://tjj.wuhan.gov.cn/tjfw/tjgb/202105/t20210528_1707414.shtml</t>
  </si>
  <si>
    <t>[1] Cámara de Comercio de Bogotá. Unemployment rates in Bogotá, Colombia and 13 main cities and metropolitan areas (Tasa de desempleo en Bogotá, Colombia y 13 principales ciudades y áreas metropolitanas). Bogotá. Cámara de Comercio de Bogotá.2024. Available from: https://www.ccb.org.co/es/informacion-especializada/observatorio/analisis-economico/mercado-laboral/tasa-de-desempleo-en-bogota-colombia-y-13-principales-ciudades-y-areas-metropolitanas</t>
  </si>
  <si>
    <t>The most recent unemployment report from the Dubai Statistics Center (DSC), a government entity in Dubai, was published online in 2019. [1]</t>
  </si>
  <si>
    <t>[1] World Bank. Unemployment. Washington (DC). World Bank. 2023. Available from: https://genderdata.worldbank.org/indicators/sl-uem-zs/?gender=total</t>
  </si>
  <si>
    <t>[1] Statistics South Africa. Quarterly Labour Force Survey. Pretoria: Statistics South Africa, 2023. Available from: https://www.statssa.gov.za/publications/P0211/P02114thQuarter2023.pdf</t>
  </si>
  <si>
    <t>The Australian Census of Population and Housing, 2021, reported on the proportion of residents in greater Melbourne who were unemployed. [1]</t>
  </si>
  <si>
    <t>The Department of the Federal Service of State Statistics for Moscow and the Moscow Region publishes regular press releases on the rate of unemployment in the city. The latest figure is from February 2024. [1]</t>
  </si>
  <si>
    <t>[1] Department of the Federal Service of State Statistics for Moscow and the Moscow Region. Moscow: Department of the Federal Service of State Statistics for Moscow and the Moscow Region, 2024. Available from: https://77.rosstat.gov.ru/storage/mediabank/Занятость%20и%20безработица%20в%20Москве%20в%20апреле%202022%20года_%201.pdf</t>
  </si>
  <si>
    <t>The National Institute of Statistics's Cambodia Socio-Economic Survey 2021 reports city-level data on unemployment in Phnom Penh. [1]</t>
  </si>
  <si>
    <t>The Ministry of Economy and Planning last collected and published data on the unemployment rate in Riyadh in the final quarter of 2023. [1]</t>
  </si>
  <si>
    <t>[1] Ministry of Economy and Planning. Economic Indicators. Riyadh: Ministry of Economy and Planning, 2023. Available from: https://datasaudi.mep.gov.sa/ar/region/al-riyadh</t>
  </si>
  <si>
    <t>[1] Seoul Metropolitan Government. Employment Indices. Seoul: Seoul Metropolitan Government; April 2024. Available from https://data.seoul.go.kr/dataList/59/S/2/datasetView.do</t>
  </si>
  <si>
    <t>Annual unemployment figures for Shanghai are published in Shanghai's annual Statistical Bulletin on National Economic and Social Development. [1]</t>
  </si>
  <si>
    <t>[1] Shanghai Statistics Bureau. 2023 Shanghai Statistical Bulletin on National Economic and Social Development [2023年上海市国民经济和社会发展统计公报]. Shanghai: Shanghai Statistics Bureau, 21 March 2023. Available from: https://tjj.sh.gov.cn/tjgb/20240321/f66c5b25ce604a1f9af755941d5f454a.html.</t>
  </si>
  <si>
    <t>[1] Parliament of New South Wales. Electorate data: Unemployment and JobSeeker estimates (September 2023). Sydney: Parliament of New South Wales; 2023. Available from: https://www.parliament.nsw.gov.au/researchpapers/Pages/Unemployment-and-JobSeeker-estimates.aspx</t>
  </si>
  <si>
    <t>[1] City of Vienna: Economy, Labor and Statistics. Statistical Yearbook of the City of Vienna 2023. Vienna: City of Vienna; 2023. Available from: https://www.wien.gv.at/statistik/pdf/jahrbuch.pdf</t>
  </si>
  <si>
    <t>The Wuhan Statistics Bureau releases annual data that includes the number of people receiving unemployment insurance. [1]</t>
  </si>
  <si>
    <t>[1] Wuhan Statistics Bureau. Wuhan National Economic and Social Development Statistical Bulletin 2023 [2023年武汉市国民经济和社会发展统计公报]. Wuhan: Wuhan Statistics Bureau. 5 April 2024. Available from: https://tjj.wuhan.gov.cn/tjfw/tjgb/202404/t20240405_2384677.shtml.</t>
  </si>
  <si>
    <t>The National Bureau of Statistics Beijing Survey Team produces annual data on the state of staple food production. Measurements focus on production output and yields per area unit. [1] There is no specific metric for food security as a whole.</t>
  </si>
  <si>
    <t>[1] National Bureau of Statistics Beijing Survey Team. Staple foods production in Beijing in 2023 [2023年北京市粮食生产情况]. Beijing: National Bureau of Statistics Beijing Survey Team, 11 December 2023. Available from: https://tjj.beijing.gov.cn/zxfbu/202312/t20231211_3495547.html.</t>
  </si>
  <si>
    <t>[1] Statistics South Africa. Assessing food inadequacy and hunger in South Africa in 2021 using the General Household Survey. Pretoria: Statistics South Africa, 2023. Available from: https://www.statssa.gov.za/publications/03-00-20/03-00-202021.pdf</t>
  </si>
  <si>
    <t>[1] Díaz Olalla J.M. ; del Moral Luque J.A. y Blasco Novalbos G.; and Lahuerta Galán N. Estudio de Salud de la Ciudad de Madrid 2022 (City of Madrid Health Study 2022). Madrid. Madrid Salud. 2022. Available from: https://madridsalud.es/pdf/EstudioSaludResumenEjecutivo.pdf</t>
  </si>
  <si>
    <t>[1] City of Melbourne. Liveability and quality of life. City of Melbourne website. Available from: https://www.melbourne.vic.gov.au/about-melbourne/research-and-statistics/Pages/liveability.aspx</t>
  </si>
  <si>
    <t>[1] Food and Agriculture Organization of the United Nations. The 2023 State of Food Security and Nutrition in the World. Rome, Italy: 2022. Available from: https://openknowledge.fao.org/server/api/core/bitstreams/620611b1-fd72-4b98-aead-9216f4af5ddd/content</t>
  </si>
  <si>
    <t>[1] Senate Department for Health, Care and Equality (Berlin). Smoking Behavior of the Berlin Population. Berlin: City of Berlin; 2021. Available from: https://www.berlin.de/sen/gesundheit/gesundheitsberichterstattung/kurz-informiert-1367156.php#KI_2021_03</t>
  </si>
  <si>
    <t>Helsinki has city-level data that was collected and published in the last 5 years on tobacco use. The Finnish Institute for Health and Welfare (THL) published data on the percentage of daily smokers in Helsinki in 2022. [1]</t>
  </si>
  <si>
    <t>[1] Hong Kong Council on Smoking and Health. Smoking prevalence. Hong Kong. Hong Kong Council on Smoking and Health. 2022. Available from: https://www.smokefree.hk/smoking-trend.php?lang=en</t>
  </si>
  <si>
    <t>[1] Turkish Statistical Institute (Türkiye İstatistik Kurumu). Türkiye Sağlık Araştırması, 2022 (Turkey Health Survey, 2022). Ankara. Türkiye İstatistik Kurumu. 1 June 2023. Available from: https://data.tuik.gov.tr/Bulten/Index?p=Turkiye-Saglik-Arastirmasi-2022-49747</t>
  </si>
  <si>
    <t>[1] Health Systems Trust. District Health Barometer 2019/20. Durban: Health Systems Trust; 2020. Available from: https://www.hst.org.za/publications/District%20Health%20Barometers/DHB%202019-20%20Section%20B,%20chapter%2012%20-%20Gauteng%20Province.pdf</t>
  </si>
  <si>
    <t>Lagos' latest 'Household Survey Report 2020' shows the percentage of respondents who currently smoke cigarettes. [1]</t>
  </si>
  <si>
    <t>[1] City of Melbourne. Smoking and vaping. City of Melbourne website. Available from: https://www.melbourne.vic.gov.au/community/health-support-services/health-services/Pages/smoking-and-vaping.aspx</t>
  </si>
  <si>
    <t>[1] NYC Smoke-Free. Smoking Statistics. New York City. NYC Smoke-Free. 2024. Available from: https://nycsmokefree.org/resources/smoking-statistics/</t>
  </si>
  <si>
    <t>[1] Public Health France (Santé publique France). Bulletin de santé publique: JANVIER 2019. TABAC (Bulletin of Public Health; January 2019: Tobacco). Paris. Santé publique France. January 2019. Available from: https://www.santepubliquefrance.fr/content/download/50382/1088100</t>
  </si>
  <si>
    <t>[1] Seoul Metropolitan Government. Current Tobacco Use. Seoul: Seoul Metropolitan Government; August 2023. Available from https://data.seoul.go.kr/dataList/10668/S/2/datasetView.do#</t>
  </si>
  <si>
    <t>[1] NSW Government. NSW Smoking &amp; Health Survey 2021. Sydney: Cancer Institute NSW; 2021. Available from: https://www.cancer.nsw.gov.au/getattachment/ec08f894-1b61-4916-863b-60033ac73381/nsw-smoking-health-survey-2021.pdf.</t>
  </si>
  <si>
    <t>[1] Municipal Department 24 - Strategic Health Care. General Health Report Vienna. Reporting period 2015 - 2023. Vienna: City of Vienna; 2024. Available from: https://www.digital.wienbibliothek.at/wbrup/download/pdf/4994362?originalFilename=true</t>
  </si>
  <si>
    <t>[1] National Bureau of Statistics. 6-22 Per Capita Consumption of Major Foods of Households by Region (2022). [6-22 分地区居民家庭人均主要食品消费量（2022年）]. China Statistical Yearbook 2023. Beijing: National Bureau of Statistics, 2023. Available from: https://www.stats.gov.cn/sj/ndsj/2023/indexeh.htm.</t>
  </si>
  <si>
    <t>[1] Senate Department for Health, Care and Equality (Berlin). Aspects of Nutritional Behavior Among Berlin Adults. Berlin: City of Berlin; 2022. Available from: https://www.berlin.de/sen/gesundheit/gesundheitsberichterstattung/kurz-informiert-1367156.php#KI_2021_03</t>
  </si>
  <si>
    <t>[1] Basic Health Research. Ministry of Health; Jakarta; 2018. Available from https://www.badankebijakan.kemkes.go.id/laporan-hasil-survei/</t>
  </si>
  <si>
    <t>JSNA. Healthy eating. London: Waltham Forest JSNA; 2024. Available from: https://www.walthamforest.gov.uk/health-and-wellbeing/health-improvement/healthy-eating</t>
  </si>
  <si>
    <t>The City of Melbourne published data from the 2021 Population Health Survey, providing information on the percentage of residents who met recommended minimum daily intake of fruit and vegetables. [1]</t>
  </si>
  <si>
    <t>Statistics on the average monthly level of consumption of vegetables in Moscow were released by the Mayor of Moscow in April 2024. [1]</t>
  </si>
  <si>
    <t>[1] Official Site of the Mayor of Moscow. Consumption of domestic products is growing in Moscow. Moscow: Official Site of the Mayor of Moscow, 2024. Available from: https://www.mos.ru/news/item/137269073/</t>
  </si>
  <si>
    <t>[1] City of Paris. Paris City Hall (Ville de Paris. Mairie de Paris). ÉTAT DES LIEUX DE L'ALIMENTATION À PARIS: CARNET DES ENJEUX (Status of Food in Paris: Notebook of Challenges). Paris. Mairie de Paris. 2020. Available from: https://cdn.paris.fr/paris/2020/02/26/af25f74cbe9d38797f02aace4b3f2490.ai</t>
  </si>
  <si>
    <t>No city-specific data on vegetable consumption in Riyadh was available on the websites of the General Authority for Statistics or the Ministry of Health in the last five years. [1,2]</t>
  </si>
  <si>
    <t>[1] Italian National Institute of Health (Istituto Superiore di Sanità--ISS). EpiCentro. Sorveglianza PASSI (PASSI Surveillance). Consumo di frutta e verdura (Consumption of fruits and vegetables)). Rome. ISS. 2024. Available from: https://www.epicentro.iss.it/passi/dati/frutta</t>
  </si>
  <si>
    <t>The General Health Report Vienna reported data on vegetable consumption. The most recent data were collected in 2022. The survey asked if respondents ate fruits and vegetables daily. [1]</t>
  </si>
  <si>
    <t>Cairo does not have published city-level data on the consumption of foods that are high in trans fatty acids. [1,2]</t>
  </si>
  <si>
    <t>[1] Institute for Health Metrics and Evaluation. Diet high in trans fatty acids. Hong Kong. Institute for Health Metrics and Evaluation.2021. Available from: https://www.healthdata.org/results/gbd_summaries/2019/diet-high-trans-fatty-acids-level-3-risk</t>
  </si>
  <si>
    <t>The Seoul Metropolitan Government has no record of collecting and/or publishing city-level data on the consumption of foods that are high in trans fatty acids in the last 5 years. National Health Statistics compiled and published annually by the Korea Disease Control and Prevention Agency based on the triennial National Health and Nutrition Examination Survey contains national data on the consumption of saturated fatty acids [1].</t>
  </si>
  <si>
    <t>[1] Korea Disease Control and Prevention Agency. National Health Statistics. Seoul: Korea Disease Control and Prevention Agency; October 2023. Available from: https://www.data.go.kr/data/3043716/fileData.do</t>
  </si>
  <si>
    <t>[1] Melisa Grass. Find out! The IDRD and UNESCO highlight management through sport in Bogotá (¡Entérate! El IDRD y la UNESCO destacan la gestión por el deporte en Bogotá). Bogotá. Gobierno Bogotá. 2023. Available from: https://bogota.gov.co/internacional/bogota-indicadores-del-sector-deporte-y-actividad-fisica-por-la-unesco#:~:text=Poblaci%C3%B3n%20activa%20y%20saludable,del%20IDRD%20son%20suficientemente%20activas.</t>
  </si>
  <si>
    <t>[1] Centre for Health Protection. Physical activity. Hong Kong. Centre for Health Protection. 2023. Available from: https://www.chp.gov.hk/en/healthtopics/content/25/8804.html</t>
  </si>
  <si>
    <t>[1] NYC.gov Environment &amp; Health Data Portal. Physical Activity. New York City. NYC.gov Environment &amp; Health Data Portal.2024. Available from: https://a816-dohbesp.nyc.gov/IndicatorPublic/data-explorer/physical-activity/?id=2060#display=summary</t>
  </si>
  <si>
    <t>The Seoul Metropolitan Government released city-level data on physical activity or inactivity in May 2020, the latest year such data are available. [1]</t>
  </si>
  <si>
    <t>The Shanghai National Fitness Development Report 2022 includes the proportion of people in Shanghai who regularly participate in physical exercise. There is no qualification given for how this is measured. [1]</t>
  </si>
  <si>
    <t>[1] Ministry of Health Singapore. National Population Health Survey 2022. Singapore. MOH.2022. Available from: https://hpb.gov.sg/docs/default-source/default-document-library/nphs-2022-survey-report.pdf?sfvrsn=3e8530aa_8#:~:text=Overall%2C%20the%20results%20from%20NPHS,to%202021%20but%20remained%20lower</t>
  </si>
  <si>
    <t>[1] Wuhan Economic and Technological Development District of Wuhan. Wuhan Economic Development Zone 2021 Status Report on Chronic Diseases and Social Influencing Factors (Abstract)[武汉经开区2021年慢性病及社会影响因素状况报告（摘要）]. Wuhan: Wuhan Economic and Technological Development District of Wuhan, 3 December 2021. https://www.whkfq.gov.cn/xxgk/fdzdgk/tzgg/202112/t20211203_1866168.html.</t>
  </si>
  <si>
    <t>[1] China Economic Information Service and Meinian Health Industry Holdings Co., Ltd. Physical examination big data: diabetes map [体验大数据：糖尿病地图]. Beijing: Meinian Institute of Public Health, Peking University Health Science Center, August 2019. Available from: https://www.cnfin.com/upload-xh08/2019/0828/1566979678282.pdf.</t>
  </si>
  <si>
    <t>[1] Health and Social Information System (GSI). Diabetes mellitus in Berlin (Berliners only) 1995 - 2020 by gender and selected indicators - absolute and per 100,000. Berlin: City of Berlin; 2023. Available from: https://gsi-berlin.info/Search/Search/Metadata/VEcwODAwMzc4MTAwMjAyMzMwLnhscw%3d%3d?sortOrder=stand_desc</t>
  </si>
  <si>
    <t>[1] Hospital Universitario Nacional de Colombia. Diabetes continues to make its way in Bogotá, why? (Diabetes se sigue abriendo paso en Bogotá, ¿por qué?). Bogotá. Hospital Universitario Nacional de Colombia. 2023. Available from: https://hun.edu.co/blog/diabetes-se-sigue-abriendo-paso-en-bogota-por-que</t>
  </si>
  <si>
    <t>The Central Statistics Bureau has data from 2019 that mentions the share of adults living in Budapest who live with diabetes. [1]</t>
  </si>
  <si>
    <t>[1] Centre for Health Protection. Diabetes Mellitus. Hong Kong. Centre for Health Protection. 2023. Available from: https://www.chp.gov.hk/en/healthtopics/content/25/59.html#:~:text=According%20to%20the%20Population%20Health,including%203.1%25%20with%20no%20self%2D</t>
  </si>
  <si>
    <t>Johannesburg had city-level data on diabetes collected in the last 5 years. The 2019/20 District Health Barometer presents data on diabetes prevalence among individuals aged 15 and older from 2015 to 2020. [1]</t>
  </si>
  <si>
    <t>[1] City of Melbourne. Health and wellbeing profile – 2022 mid-point review. City of Melbourne; 2022. Available from: https://www.melbourne.vic.gov.au/SiteCollectionDocuments/midpoint-summary-report.pdf</t>
  </si>
  <si>
    <t>[1] Department of the Federal Service of State Statistics for Moscow and the Moscow Region. Moscow: Department of the Federal Service of State Statistics for Moscow and the Moscow Region, 2020. Available from: https://77.rosstat.gov.ru/storage/mediabank/725V4rFh/2020%20год.pdf</t>
  </si>
  <si>
    <t>[1] Italian National Institute of Health (Istituto Superiore di Sanità--ISS). EpiCentro. Sorveglianza PASSI (PASSI Surveillance). Diabete: Prevalenza, distribuzione geografica e temporale (Diabetes: Prevalence, geographical and temporal distribution). Rome. ISS. 2024. Available from: https://www.epicentro.iss.it/passi/dati/diabete</t>
  </si>
  <si>
    <t>The Seoul Metropolitan Government collects and publishes city-level data on the incidence of diabetes annually in collaboration with the Ministry of Health and Welfare and Statistics Korea. The latest data were released in January 2022. [1]</t>
  </si>
  <si>
    <t>[1] International Diabetes Federation. Singapore Key Information. Brussels. International Diabetes Federation.2024. Available from: https://idf.org/our-network/regions-and-members/western-pacific/members/singapore/</t>
  </si>
  <si>
    <t>[1] Australian Bureau of Statistics. 2021 Sydney, Census All persons. Canberra: Australian Bureau of Statistics; 20211. Available from: https://www.abs.gov.au/census/find-census-data/quickstats/2021/1031.</t>
  </si>
  <si>
    <t>[1] Wuhan Economic and Technological Development District of Wuhan. Wuhan Economic Development Zone 2021 Status Report on Chronic Diseases and Social Influencing Factors (Abstract)[武汉经开区2021年慢性病及社会影响因素状况报告（摘要）]. Wuhan: Wuhan Economic and Technological Development District of Wuhan, 3 December 2021. https://www.whkfq.gov.cn/xxgk/fdzdgk/tzgg/202112/t20211203_1866168.html</t>
  </si>
  <si>
    <t>[1] The People's Government of Beijing Municipality. The first large-scale population behavioral intervention for weight management was launched in 2023 [首次针对体重管理实施大规模人群行为干预 2023年市民健康体重行动启动]. Beijing: The People's Government of Beijing Municipality, 29 August 2023. Available from: https://www.beijing.gov.cn/fuwu/bmfw/sy/jrts/202308/t20230829_3235086.html. Original from Beijing Daily.</t>
  </si>
  <si>
    <t>[1] Senate Department for Health, Care and Equality (Berlin). Overweight and Obesity in Berlin. Berlin: City of Berlin; 2022. Available from: https://www.berlin.de/sen/gesundheit/gesundheitsberichterstattung/kurz-informiert-1367156.php#KI_2021_03</t>
  </si>
  <si>
    <t>[1] Concejo de Bogotá. Worrying panorama of overweight and obesity in Bogotá (Preocupante panorama de sobrepeso y obesidad en Bogotá). Bogotá. Concejo de Bogotá.2022. Available from: https://concejodebogota.gov.co/preocupante-panorama-de-sobrepeso-y-obesidad-en-bogota/cbogota/2022-07-05/154930.php</t>
  </si>
  <si>
    <t>The Central Statistics Bureau has data from 2019 that mentions the share of adults living in Budapest who are categorised as obese. [1]</t>
  </si>
  <si>
    <t>The Ministry of Health last released data on the rate of obesity in Moscow in 2020. [1]</t>
  </si>
  <si>
    <t>[1] Kommersant. The regions of Russia with the highest prevalence of obesity have been named, 2020. Moscow: Kommersant. Available from: https://www.kommersant.ru/doc/4424117</t>
  </si>
  <si>
    <t>The Demographic and Health Survey 2021-22, published by the National Institute of Statistics in 2023, includes data on obesity in Phnom Penh. [1]</t>
  </si>
  <si>
    <t>[1] Italian National Institute of Health (Istituto Superiore di Sanità--ISS). EpiCentro. Sorveglianza PASSI (PASSI Surveillance). Eccesso ponderale (Excess weight). Rome. ISS. 2024. Available from: https://www.epicentro.iss.it/passi/dati/sovrappeso</t>
  </si>
  <si>
    <t>Algiers does not have published city-level data on high cholesterol. [1]</t>
  </si>
  <si>
    <t>The Dubai Health Authority (DHA) publications have no mention of high cholesterol statistics for the emirate of Dubai for the past 5 years. [1]</t>
  </si>
  <si>
    <t>[1] Italian National Institute of Health (Istituto Superiore di Sanità--ISS). EpiCentro. Sorveglianza PASSI (PASSI Surveillance). Rischio cardiovascolare (Cardiovascular risk). Rome. ISS. 2024. Available from: https://www.epicentro.iss.it/passi/dati/cardiovascolare</t>
  </si>
  <si>
    <t>[1] National Health Insurance Service. Metabolic Disease Risk Factors Survey. Seoul: National Health Insurance Service; January 2024. Available from https://data.seoul.go.kr/dataList/10927/S/2/datasetView.do#</t>
  </si>
  <si>
    <t>IHME: Global Burden of Disease estimates</t>
  </si>
  <si>
    <t>=47</t>
  </si>
  <si>
    <t>=11</t>
  </si>
  <si>
    <t>Score is linear transformation of data values to the scale 0-100 where 100=most healthy environment. A data value of 0.1 or below scores 100, a data value of 8.45 or above scores 0.{NL}{NL}Lower data values produce higher scores.</t>
  </si>
  <si>
    <t>DESCRIPTION{NL}NL}Population with household spending on health greater than 25% of total household budget (%){NL}{NL}NOTES{NL}NL}DATA UNIT{NL}{NL}%; lower data value=higher score.{NL}{NL}Score is linear transformation of data values to the scale 0-100 where 100=most healthy environment. A data value of 0.1 or below scores 100, a data value of 8.45 or above scores 0</t>
  </si>
  <si>
    <t>Poverty and inequality</t>
  </si>
  <si>
    <t>Food security</t>
  </si>
  <si>
    <t>Food security: national data</t>
  </si>
  <si>
    <t>Food security: city-level data availability</t>
  </si>
  <si>
    <t>Vegetable consumption</t>
  </si>
  <si>
    <t>Trans fats consumption</t>
  </si>
  <si>
    <t>Physical activity</t>
  </si>
  <si>
    <t>Healthy diet policies</t>
  </si>
  <si>
    <t>1.1) Poverty and inequality</t>
  </si>
  <si>
    <t xml:space="preserve"> 1.1) Poverty and inequality</t>
  </si>
  <si>
    <t>2.4) Food security</t>
  </si>
  <si>
    <t xml:space="preserve"> 2.4) Food security</t>
  </si>
  <si>
    <t>2.4a) Food security: national data</t>
  </si>
  <si>
    <t xml:space="preserve">  2.4a) Food security: national data</t>
  </si>
  <si>
    <t>2.4b) Food security: city-level data availability</t>
  </si>
  <si>
    <t xml:space="preserve">  2.4b) Food security: city-level data availability</t>
  </si>
  <si>
    <t>3.2) Vegetable consumption</t>
  </si>
  <si>
    <t xml:space="preserve"> 3.2) Vegetable consumption</t>
  </si>
  <si>
    <t>3.3) Trans fats consumption</t>
  </si>
  <si>
    <t xml:space="preserve"> 3.3) Trans fats consumption</t>
  </si>
  <si>
    <t>3.4) Physical activity</t>
  </si>
  <si>
    <t xml:space="preserve"> 3.4) Physical activity</t>
  </si>
  <si>
    <t>5.4) Healthy diet policies</t>
  </si>
  <si>
    <t xml:space="preserve"> 5.4) Healthy diet policies</t>
  </si>
  <si>
    <t>2.1) Air quality{NL}2.2) Open spaces and green areas{NL}2.3) Active transport{NL}2.4) Food security{NL}2.5) Access to public transport</t>
  </si>
  <si>
    <t>2.4a) Food security: national data{NL}2.4b) Food security: city-level data availability</t>
  </si>
  <si>
    <t>5.1) Regulatory power{NL}5.2) Political will{NL}5.3) Urban health plan{NL}5.4) Healthy diet policies{NL}5.5) CVD management guidelines{NL}5.6) Treatment guidelines{NL}5.7) Tobacco control{NL}5.8) Air pollution control{NL}5.9) Health promotion</t>
  </si>
  <si>
    <t>SOCIAL DETERMINANTS → Poverty and inequality</t>
  </si>
  <si>
    <t>PHYSICAL ENVIRONMENT → Food security</t>
  </si>
  <si>
    <t>HEALTH RISKS → Vegetable consumption</t>
  </si>
  <si>
    <t>HEALTH RISKS → Trans fats consumption</t>
  </si>
  <si>
    <t>HEALTH RISKS → Physical activity</t>
  </si>
  <si>
    <t>Weighted average of the following indicator scores:{NL}{NL}2.1) Air quality{NL}2.2) Open spaces and green areas{NL}2.3) Active transport{NL}2.4) Food security{NL}2.5) Access to public transport</t>
  </si>
  <si>
    <t>SCORE CALCULATION{NL}Weighted average of the following indicator scores:{NL}{NL}2.1) Air quality{NL}2.2) Open spaces and green areas{NL}2.3) Active transport{NL}2.4) Food security{NL}2.5) Access to public transport{NL}{NL}</t>
  </si>
  <si>
    <t>Weighted average of the following sub-indicator scores:{NL}{NL}2.4a) Food security: national data{NL}2.4b) Food security: city-level data availability</t>
  </si>
  <si>
    <t>SCORE CALCULATION{NL}Weighted average of the following sub-indicator scores:{NL}{NL}2.4a) Food security: national data{NL}2.4b) Food security: city-level data availability{NL}{NL}</t>
  </si>
  <si>
    <t>Weighted average of the following indicator scores:{NL}{NL}5.1) Regulatory power{NL}5.2) Political will{NL}5.3) Urban health plan{NL}5.4) Healthy diet policies{NL}5.5) CVD management guidelines{NL}5.6) Treatment guidelines{NL}5.7) Tobacco control{NL}5.8) Air pollution control{NL}5.9) Health promotion</t>
  </si>
  <si>
    <t>SCORE CALCULATION{NL}Weighted average of the following indicator scores:{NL}{NL}5.1) Regulatory power{NL}5.2) Political will{NL}5.3) Urban health plan{NL}5.4) Healthy diet policies{NL}5.5) CVD management guidelines{NL}5.6) Treatment guidelines{NL}5.7) Tobacco control{NL}5.8) Air pollution control{NL}5.9) Health promotion{NL}{NL}</t>
  </si>
  <si>
    <t>1.1) Poverty and Inequality</t>
  </si>
  <si>
    <t>2.4) Food Security</t>
  </si>
  <si>
    <t>3.2) Vegetable Consumption</t>
  </si>
  <si>
    <t>3.3) Trans Fats Consumption</t>
  </si>
  <si>
    <t>3.4) Physical Activity</t>
  </si>
  <si>
    <t>5.4) Healthy Diet Policies</t>
  </si>
  <si>
    <t>Education</t>
  </si>
  <si>
    <t>Employment</t>
  </si>
  <si>
    <t>1.2) Education</t>
  </si>
  <si>
    <t xml:space="preserve"> 1.2) Education</t>
  </si>
  <si>
    <t>1.3) Employment</t>
  </si>
  <si>
    <t xml:space="preserve"> 1.3) Employment</t>
  </si>
  <si>
    <t>1.1) Poverty and inequality{NL}1.2) Education{NL}1.3) Employment{NL}1.4) Access to healthcare{NL}1.5) Household health expenditure</t>
  </si>
  <si>
    <t>SOCIAL DETERMINANTS → Education</t>
  </si>
  <si>
    <t>SOCIAL DETERMINANTS → Employment</t>
  </si>
  <si>
    <t>Weighted average of the following indicator scores:{NL}{NL}1.1) Poverty and inequality{NL}1.2) Education{NL}1.3) Employment{NL}1.4) Access to healthcare{NL}1.5) Household health expenditure</t>
  </si>
  <si>
    <t>SCORE CALCULATION{NL}Weighted average of the following indicator scores:{NL}{NL}1.1) Poverty and inequality{NL}1.2) Education{NL}1.3) Employment{NL}1.4) Access to healthcare{NL}1.5) Household health expenditure{NL}{NL}</t>
  </si>
  <si>
    <t>Various (2010-2024)</t>
  </si>
  <si>
    <t>DESCRIPTION{NL}Weighted average intake (in percent daily energy) of trans fat from all sources, mainly partially hydrogenated vegetable oils and ruminant products.{NL}{NL}SCORING GUIDANCE{NL}WHO recommends a maximum of 1% per day{NL}{NL}DATA UNIT{NL}% energy/day{NL}{NL}DATA SOURCE{NL}IHME{NL}{NL}DATA YEAR{NL}2019{NL}{NL}SCORE CALCULATION{NL}Score is linear transformation of data values to the scale 0-100 where 100=most healthy environment. A data value of 1 or below scores 100, a data value of 2 or above scores 0.{NL}{NL}Lower data values produce higher scores.</t>
  </si>
  <si>
    <t>BG02</t>
  </si>
  <si>
    <t>BG06</t>
  </si>
  <si>
    <t>BG07</t>
  </si>
  <si>
    <t>BG10</t>
  </si>
  <si>
    <t>DESCRIPTION{NL}NL}(National) Share of deaths from cardiovascular diseases{NL}{NL}NOTES{NL}NL}DATA UNIT{NL}{NL}%; lower data value=higher score.{NL}{NL}Background data indicators do not contribute to city index performance.</t>
  </si>
  <si>
    <t>DESCRIPTION{NL}NL}(National) Cardiovascular disease mortality rate{NL}{NL}NOTES{NL}NL}DATA UNIT{NL}{NL}Rate (per 100,000 people); lower data value=higher score.{NL}{NL}Background data indicators do not contribute to city index performance.</t>
  </si>
  <si>
    <t>DESCRIPTION{NL}NL}(National) Probability (%) of dying between age 30 and exact age 70 from any cardiovascular disease{NL}{NL}NOTES{NL}NL}DATA UNIT{NL}{NL}%; lower data value=higher score.{NL}{NL}Background data indicators do not contribute to city index performance.</t>
  </si>
  <si>
    <t>DESCRIPTION{NL}NL}(National) Incidence of cardiovascular diseases{NL}{NL}NOTES{NL}NL}DATA UNIT{NL}{NL}Rate (per 100,000 people); lower data value=higher score.{NL}{NL}Background data indicators do not contribute to city index performance.</t>
  </si>
  <si>
    <t>DESCRIPTION{NL}NL}(National) Prevalence cardiovascular diseases{NL}{NL}NOTES{NL}NL}DATA UNIT{NL}{NL}Rate (per 100,000 people); lower data value=higher score.{NL}{NL}Background data indicators do not contribute to city index performance.</t>
  </si>
  <si>
    <t>DESCRIPTION{NL}NL}(National) Average number of years that a person can expect to live in "full health" by taking into account years lived in less than full health due to disease and/or injury.{NL}{NL}NOTES{NL}NL}DATA UNIT{NL}{NL}Years; higher data value=higher score.{NL}{NL}Background data indicators do not contribute to city index performance.</t>
  </si>
  <si>
    <t>DESCRIPTION{NL}(National) Gross Domestic Product per capita{NL}{NL}DATA UNIT{NL}Current $US{NL}{NL}DATA SOURCE{NL}World Bank{NL}{NL}DATA YEAR{NL}2022{NL}{NL}This is a background indicator and does not contribute to city index performance.</t>
  </si>
  <si>
    <t>DESCRIPTION{NL}NL}(National) Gross Domestic Product per capita{NL}{NL}NOTES{NL}NL}DATA UNIT{NL}{NL}Current $US; higher data value=higher score.{NL}{NL}Background data indicators do not contribute to city index performance.</t>
  </si>
  <si>
    <t>DESCRIPTION{NL}NL}(National) CHE as a percentage of national Gross Domestic Product{NL}{NL}NOTES{NL}NL}DATA UNIT{NL}{NL}% GDP; higher data value=higher score.{NL}{NL}Background data indicators do not contribute to city index performance.</t>
  </si>
  <si>
    <t>1.1a</t>
  </si>
  <si>
    <t>World Bank; Economist Impact estimate</t>
  </si>
  <si>
    <t>WHO; Economist Impact estimate</t>
  </si>
  <si>
    <t>UN SDG Indicators Database; Economist Impact estimate</t>
  </si>
  <si>
    <t>FAO; US census; World Population Review</t>
  </si>
  <si>
    <t>DESCRIPTION{NL}Evidence of city-level data on poverty{NL}{NL}In the last 5 years, has city-level data on the population living in poverty been collected and/or published?{NL}{NL}0 = No{NL}1 = Yes{NL}{NL}DATA UNIT{NL}Rating 0-1{NL}{NL}DATA SOURCE{NL}Economist Impact analyst rating{NL}{NL}DATA YEAR{NL}2024{NL}{NL}SCORE CALCULATION{NL}Data value of 0 scores 0{NL}Data value of 1 scores 100</t>
  </si>
  <si>
    <t>DESCRIPTION{NL}Evidence of city-level data on unemployment{NL}{NL}In the last 5 years, has city-level data on unemployment been collected and/or published?{NL}{NL}0 = No{NL}1 = Yes{NL}{NL}DATA UNIT{NL}Rating 0-1{NL}{NL}DATA SOURCE{NL}Economist Impact analyst rating{NL}{NL}DATA YEAR{NL}2024{NL}{NL}SCORE CALCULATION{NL}Data value of 0 scores 0{NL}Data value of 1 scores 100</t>
  </si>
  <si>
    <t>DESCRIPTION{NL}Existence of infrastructure for walking and cycling (e.g. cycle lanes, provision of walking space, safe crossing points, audible signals){NL}{NL}Does the city have infrastructure for walking (e.g. provision of walking space, safe crossing points, audible signals) or cycling (e.g. cycle lanes)?{NL}{NL}0 = There is no infrastructure for walking and cycling{NL}1 = Existence of infrastructure for cycling OR walking{NL}2 = Existence of infrastructure for both walking and cycling{NL}{NL}DATA UNIT{NL}Rating 0-2{NL}{NL}DATA SOURCE{NL}Economist Impact analyst rating{NL}{NL}DATA YEAR{NL}2024{NL}{NL}SCORE CALCULATION{NL}Data value of 0 scores 0{NL}Data value of 1 scores 50{NL}Data value of 2 scores 100</t>
  </si>
  <si>
    <t>DESCRIPTION{NL}Evidence of city-level data on food insecurity{NL}{NL}In the last 5 years, has city-level data on food insecurity been collected and/or published?{NL}{NL}0 = No{NL}1 = Yes{NL}{NL}DATA UNIT{NL}Rating 0-1{NL}{NL}DATA SOURCE{NL}Economist Impact analyst rating{NL}{NL}DATA YEAR{NL}2024{NL}{NL}SCORE CALCULATION{NL}Data value of 0 scores 0{NL}Data value of 1 scores 100</t>
  </si>
  <si>
    <t>DESCRIPTION{NL}Evidence of city-level data on tobacco use{NL}{NL}In the last 5 years, has city-level data on tobacco use been collected and/or published?{NL}{NL}0 = No{NL}1 = Yes{NL}{NL}DATA UNIT{NL}Rating 0-1{NL}{NL}DATA SOURCE{NL}Economist Impact analyst rating{NL}{NL}DATA YEAR{NL}2024{NL}{NL}SCORE CALCULATION{NL}Data value of 0 scores 0{NL}Data value of 1 scores 100</t>
  </si>
  <si>
    <t>DESCRIPTION{NL}Evidence of city-level data on the consumption of vegetables{NL}{NL}In the last 5 years, has city-level data on the consumption of vegetables been collected and/or published?{NL}{NL}0 = No{NL}1 = Yes{NL}{NL}DATA UNIT{NL}Rating 0-1{NL}{NL}DATA SOURCE{NL}Economist Impact analyst rating{NL}{NL}DATA YEAR{NL}2024{NL}{NL}SCORE CALCULATION{NL}Data value of 0 scores 0{NL}Data value of 1 scores 100</t>
  </si>
  <si>
    <t>DESCRIPTION{NL}Evidence of city-level data on the consumption of foods high in trans fatty acids{NL}{NL}In the last 5 years, has city-level data on the consumption of foods that are high in trans fatty acids been collected and/or published?{NL}{NL}0 = No{NL}1 = Yes{NL}{NL}DATA UNIT{NL}Rating 0-1{NL}{NL}DATA SOURCE{NL}Economist Impact analyst rating{NL}{NL}DATA YEAR{NL}2024{NL}{NL}SCORE CALCULATION{NL}Data value of 0 scores 0{NL}Data value of 1 scores 100</t>
  </si>
  <si>
    <t>DESCRIPTION{NL}Evidence of city-level data on physical inactivity{NL}{NL}In the last 5 years, has city-level data on physical activity or inactivity been collected and/or published?{NL}{NL}0 = No{NL}1 = Yes{NL}{NL}DATA UNIT{NL}Rating 0-1{NL}{NL}DATA SOURCE{NL}Economist Impact analyst rating{NL}{NL}DATA YEAR{NL}2024{NL}{NL}SCORE CALCULATION{NL}Data value of 0 scores 0{NL}Data value of 1 scores 100</t>
  </si>
  <si>
    <t>DESCRIPTION{NL}Evidence of city-level data on diabetes{NL}{NL}In the last 5 years, has city-level data on diabetes been collected and/or published?{NL}{NL}0 = No{NL}1 = Yes{NL}{NL}DATA UNIT{NL}Rating 0-1{NL}{NL}DATA SOURCE{NL}Economist Impact analyst rating{NL}{NL}DATA YEAR{NL}2024{NL}{NL}SCORE CALCULATION{NL}Data value of 0 scores 0{NL}Data value of 1 scores 100</t>
  </si>
  <si>
    <t>DESCRIPTION{NL}Evidence of city-level data on obesity{NL}{NL}In the last 5 years, has city-level data on obesity been collected and/or published?{NL}{NL}0 = No{NL}1 = Yes{NL}{NL}DATA UNIT{NL}Rating 0-1{NL}{NL}DATA SOURCE{NL}Economist Impact analyst rating{NL}{NL}DATA YEAR{NL}2024{NL}{NL}SCORE CALCULATION{NL}Data value of 0 scores 0{NL}Data value of 1 scores 100</t>
  </si>
  <si>
    <t>DESCRIPTION{NL}Evidence of city-level data on high cholesterol{NL}{NL}In the last 5 years, has city-level data on high cholesterol been collected and/or published?{NL}{NL}0 = No{NL}1 = Yes{NL}{NL}DATA UNIT{NL}Rating 0-1{NL}{NL}DATA SOURCE{NL}Economist Impact analyst rating{NL}{NL}DATA YEAR{NL}2024{NL}{NL}SCORE CALCULATION{NL}Data value of 0 scores 0{NL}Data value of 1 scores 100</t>
  </si>
  <si>
    <t>DESCRIPTION{NL}Regulatory power of cities{NL}{NL}Does the city have the power (autonomy) to introduce health policies addressing the major CVD risk factors that have not been introduced at national level (e.g. taxation policies such as sugar taxes)?{NL}{NL}0 = The city does not have regulatory power{NL}1 = The city has regulatory power{NL}{NL}DATA UNIT{NL}Rating 0-1{NL}{NL}DATA SOURCE{NL}Economist Impact analyst rating{NL}{NL}DATA YEAR{NL}2024{NL}{NL}SCORE CALCULATION{NL}Data value of 0 scores 0{NL}Data value of 1 scores 100</t>
  </si>
  <si>
    <t>DESCRIPTION{NL}Existence of any policies on marketing of foods to children (Existence of policies to reduce the impact on children of marketing of foods and non-alcoholic beverages high in saturated fats, trans-fatty acids, free sugars, or salt). A recent (i.e. in the past 5 years) adult risk factor survey covering unhealthy diet has been conducted{NL}{NL}Are there any policies to reduce the impact on children of marketing of foods and non-alcoholic beverages high in saturated fats, trans-fatty acids, free sugars, or salt?
Has the city/country conducted a recent (i.e. in the past 5 years) adult risk factor survey covering unhealthy diet?{NL}{NL}0 = No survey or policies exist{NL}1 = A risk factor survey covering unhealthy diet has been conducted OR a policy on food marketing exists{NL}2 = Both a risk factor survey covering unhealthy diet has been conducted AND a policy on food marketing exists{NL}{NL}DATA UNIT{NL}Rating 0-2{NL}{NL}DATA SOURCE{NL}Economist Impact analyst rating{NL}{NL}DATA YEAR{NL}2024{NL}{NL}SCORE CALCULATION{NL}Data value of 0 scores 0{NL}Data value of 1 scores 50{NL}Data value of 2 scores 100</t>
  </si>
  <si>
    <t>DESCRIPTION{NL}Existence of evidence-based national guidelines/protocols/standards for the management of major NCDs through a primary care approach{NL}{NL}Government approved evidence-based national guidelines/protocols/standards for the management of the four main NCDs – cardiovascular disease, diabetes, cancer and chronic respiratory diseases. Countries who have a "Yes" for this indicator have indicated that national guidelines/protocols/standards exist for all four NCDs (cardiovascular disease, diabetes, cancer and chronic respiratory diseases).{NL}{NL}0 = No{NL}1 = Yes{NL}{NL}DATA UNIT{NL}Rating 0-1{NL}{NL}DATA SOURCE{NL}Economist Impact analyst rating{NL}{NL}DATA YEAR{NL}2024{NL}{NL}SCORE CALCULATION{NL}Data value of 0 scores 0{NL}Data value of 1 scores 100</t>
  </si>
  <si>
    <t>DESCRIPTION{NL}Existence of national or local evidence-based treatment protocols or guidelines that are focused on hypertension detection and treatment and diabetes detection and treatment{NL}{NL}Are there national or local (e.g. by care provider organisations) evidence-based treatment protocols or guidelines that are focused on hypertension detection and treatment and diabetes detection and treatment?{NL}{NL}0 = There is no evidence of guidelines existence{NL}1 = Evidence of hypertension guidelines existence OR diabetes guidelines existence{NL}2 = Evidence of both hypertension guidelines existence AND diabetes guidelines existence{NL}{NL}DATA UNIT{NL}Rating 0-2{NL}{NL}DATA SOURCE{NL}Economist Impact analyst rating{NL}{NL}DATA YEAR{NL}2024{NL}{NL}SCORE CALCULATION{NL}Data value of 0 scores 0{NL}Data value of 1 scores 50{NL}Data value of 2 scores 100</t>
  </si>
  <si>
    <t>DESCRIPTION{NL}Existence of multisectoral health education policies and programmes aimed at the general public to improve behaviour, health knowledge, attitudes and skills enabling individuals to adopt healthy behaviours (e.g. healthcare, education, hospitality, media sectors){NL}{NL}Does the city have multisectoral health education policies and programmes aimed at the general public to improve behaviour, health knowledge, attitudes and skills enabling individuals to adopt healthy behaviours (healthcare, education, hospitality, media sectors)?{NL}{NL}0 = There is no evidence of health promotion programmes{NL}1 = Evidence of multisectoral health promotion programmes by care providers or other organisations OR evidence of multisectoral health promotion programmes set up by city authorities{NL}2 = Evidence of multisectoral health promotion programmes by care providers or other organisations AND evidence of multisectoral health promotion programmes set up by city authorities{NL}{NL}DATA UNIT{NL}Rating 0-2{NL}{NL}DATA SOURCE{NL}Economist Impact analyst rating{NL}{NL}DATA YEAR{NL}2024{NL}{NL}SCORE CALCULATION{NL}Data value of 0 scores 0{NL}Data value of 1 scores 50{NL}Data value of 2 scores 100</t>
  </si>
  <si>
    <t>DESCRIPTION{NL}Population, total number of people in a city.{NL}{NL}DATA UNIT{NL}Number of people{NL}{NL}DATA SOURCE{NL}FAO; US census; World Population Review{NL}{NL}DATA YEAR{NL}2024{NL}{NL}This is a background indicator and does not contribute to city index performance.</t>
  </si>
  <si>
    <t>DESCRIPTION{NL}(National) Cardiovascular disease mortality rate{NL}{NL}DATA UNIT{NL}Rate (per 100,000 people){NL}{NL}DATA SOURCE{NL}IHME: Global Burden of Disease estimates{NL}{NL}DATA YEAR{NL}2022{NL}{NL}This is a background indicator and does not contribute to city index performance.</t>
  </si>
  <si>
    <t>DESCRIPTION{NL}(National) Incidence of cardiovascular diseases{NL}{NL}DATA UNIT{NL}Rate (per 100,000 people){NL}{NL}DATA SOURCE{NL}IHME: Global Burden of Disease estimates{NL}{NL}DATA YEAR{NL}2022{NL}{NL}This is a background indicator and does not contribute to city index performance.</t>
  </si>
  <si>
    <t>DESCRIPTION{NL}(National) Prevalence cardiovascular diseases{NL}{NL}DATA UNIT{NL}Rate (per 100,000 people){NL}{NL}DATA SOURCE{NL}IHME: Global Burden of Disease estimates{NL}{NL}DATA YEAR{NL}2022{NL}{NL}This is a background indicator and does not contribute to city index performance.</t>
  </si>
  <si>
    <t>High-level index scores for a single city (or 50 city average) displayed as heatmap.</t>
  </si>
  <si>
    <t>EIU Admin_0,Data_Edit</t>
  </si>
  <si>
    <t>SE Asia (10)</t>
  </si>
  <si>
    <t>Bangkok, Colombo, Delhi, Dhaka, Jakarta, Karachi, Kathmandu, Kolkata, Mumbai, Yangon</t>
  </si>
  <si>
    <t>5,11,12,13,19,21,22,23,32,50</t>
  </si>
  <si>
    <t>1.1</t>
  </si>
  <si>
    <t>2.1</t>
  </si>
  <si>
    <t>2.2</t>
  </si>
  <si>
    <t>Scores are normalized between the minimum and maximum values observed across all cities after adjusting for outliers detected using Tukey's method. No outliers were detected.</t>
  </si>
  <si>
    <t>Scores are normalized between the minimum and maximum values observed across all cities after adjusting for outliers detected using Tukey's method. The following cities were identified as outliers: Beijing, Cairo, Delhi, Dhaka, Kolkata, Mumbai, Shanghai, Wuhan. Because outliers were detected, an adjustment was made as follows.  The trimmed mean and trimmed standard deviation are calculated on the central 95% of the distribution; Values further than 3 trimmed standard deviations away from the trimmed mean were replaced by the trimmed mean plus 3.1 times the trimmed standard deviation, if they were in the right-hand tail, and replaced by the trimmed mean minus 3.1 times the trimmed standard deviation, if they were in the left-hand tail.  Scores are then calculated by normalising across the minimum and maximum values observed in this adjusted set of observations.</t>
  </si>
  <si>
    <t>Scores are normalized between the minimum and maximum values observed across all cities after adjusting for outliers detected using Tukey's method. The following cities were identified as outliers: Tokyo. Because outliers were detected, an adjustment was made as follows.  The trimmed mean and trimmed standard deviation are calculated on the central 95% of the distribution; Values further than 3 trimmed standard deviations away from the trimmed mean were replaced by the trimmed mean plus 3.1 times the trimmed standard deviation, if they were in the right-hand tail, and replaced by the trimmed mean minus 3.1 times the trimmed standard deviation, if they were in the left-hand tail.  Scores are then calculated by normalising across the minimum and maximum values observed in this adjusted set of observations.</t>
  </si>
  <si>
    <t>Scores are normalized between the minimum and maximum values observed across all cities after adjusting for outliers detected using Tukey's method. The following cities were identified as outliers: Budapest, Helsinki, Moscow. Because outliers were detected, an adjustment was made as follows.  The trimmed mean and trimmed standard deviation are calculated on the central 95% of the distribution; Values further than 3 trimmed standard deviations away from the trimmed mean were replaced by the trimmed mean plus 3.1 times the trimmed standard deviation, if they were in the right-hand tail, and replaced by the trimmed mean minus 3.1 times the trimmed standard deviation, if they were in the left-hand tail.  Scores are then calculated by normalising across the minimum and maximum values observed in this adjusted set of observations.</t>
  </si>
  <si>
    <t>Scores are normalized between the minimum and maximum values observed across all cities after adjusting for outliers detected using Tukey's method. The following cities were identified as outliers: Moscow. Because outliers were detected, an adjustment was made as follows.  The trimmed mean and trimmed standard deviation are calculated on the central 95% of the distribution; Values further than 3 trimmed standard deviations away from the trimmed mean were replaced by the trimmed mean plus 3.1 times the trimmed standard deviation, if they were in the right-hand tail, and replaced by the trimmed mean minus 3.1 times the trimmed standard deviation, if they were in the left-hand tail.  Scores are then calculated by normalising across the minimum and maximum values observed in this adjusted set of observations.</t>
  </si>
  <si>
    <t>Gini Index score; lower data value=higher score.</t>
  </si>
  <si>
    <t>DESCRIPTION{NL}Population with household spending on health greater than 25% of total household budget (%){NL}{NL}DATA UNIT{NL}%{NL}{NL}DATA SOURCE{NL}WHO; Economist Impact estimate{NL}{NL}DATA YEAR{NL}Various (2010-2024){NL}{NL}SCORE CALCULATION{NL}Scores are normalized between the minimum and maximum values observed across all cities after adjusting for outliers detected using Tukey's method. The following cities were identified as outliers: Beijing, Cairo, Delhi, Dhaka, Kolkata, Mumbai, Shanghai, Wuhan. Because outliers were detected, an adjustment was made as follows.  The trimmed mean and trimmed standard deviation are calculated on the central 95% of the distribution; Values further than 3 trimmed standard deviations away from the trimmed mean were replaced by the trimmed mean plus 3.1 times the trimmed standard deviation, if they were in the right-hand tail, and replaced by the trimmed mean minus 3.1 times the trimmed standard deviation, if they were in the left-hand tail.  Scores are then calculated by normalising across the minimum and maximum values observed in this adjusted set of observations.{NL}Score is linear transformation of data values to the scale 0-100 where 100=most healthy environment. A data value of 0.1 or below scores 100, a data value of 8.45 or above scores 0.{NL}{NL}Lower data values produce higher scores.</t>
  </si>
  <si>
    <t>Edition 1</t>
  </si>
  <si>
    <t>LIFE EXPECTANCY AT BIRTH</t>
  </si>
  <si>
    <t>DESCRIPTION{NL}NL}NOTES{NL}NL}DATA UNIT{NL}{NL}Years; higher data value=higher score.{NL}{NL}Background data indicators do not contribute to city index performance.</t>
  </si>
  <si>
    <t>ADD_BG18</t>
  </si>
  <si>
    <t>UAY_BG18</t>
  </si>
  <si>
    <t>A2N_BG18</t>
  </si>
  <si>
    <t>AKL_BG18</t>
  </si>
  <si>
    <t>BKK_BG18</t>
  </si>
  <si>
    <t>BJS_BG18</t>
  </si>
  <si>
    <t>BER_BG18</t>
  </si>
  <si>
    <t>B6Y_BG18</t>
  </si>
  <si>
    <t>BUD_BG18</t>
  </si>
  <si>
    <t>CJR_BG18</t>
  </si>
  <si>
    <t>COX_BG18</t>
  </si>
  <si>
    <t>DLI_BG18</t>
  </si>
  <si>
    <t>DAC_BG18</t>
  </si>
  <si>
    <t>DXB_BG18</t>
  </si>
  <si>
    <t>HEL_BG18</t>
  </si>
  <si>
    <t>SGN_BG18</t>
  </si>
  <si>
    <t>HKG_BG18</t>
  </si>
  <si>
    <t>IST_BG18</t>
  </si>
  <si>
    <t>JKT_BG18</t>
  </si>
  <si>
    <t>JNB_BG18</t>
  </si>
  <si>
    <t>KHI_BG18</t>
  </si>
  <si>
    <t>KTM_BG18</t>
  </si>
  <si>
    <t>CCU_BG18</t>
  </si>
  <si>
    <t>KWI_BG18</t>
  </si>
  <si>
    <t>ZGM_BG18</t>
  </si>
  <si>
    <t>LOD_BG18</t>
  </si>
  <si>
    <t>MDD_BG18</t>
  </si>
  <si>
    <t>MNL_BG18</t>
  </si>
  <si>
    <t>MEL_BG18</t>
  </si>
  <si>
    <t>MEX_BG18</t>
  </si>
  <si>
    <t>MW3_BG18</t>
  </si>
  <si>
    <t>BOM_BG18</t>
  </si>
  <si>
    <t>NBO_BG18</t>
  </si>
  <si>
    <t>NYC_BG18</t>
  </si>
  <si>
    <t>OSA_BG18</t>
  </si>
  <si>
    <t>PAR_BG18</t>
  </si>
  <si>
    <t>PNH_BG18</t>
  </si>
  <si>
    <t>RUH_BG18</t>
  </si>
  <si>
    <t>RMG_BG18</t>
  </si>
  <si>
    <t>SFO_BG18</t>
  </si>
  <si>
    <t>SPF_BG18</t>
  </si>
  <si>
    <t>SEL_BG18</t>
  </si>
  <si>
    <t>SGH_BG18</t>
  </si>
  <si>
    <t>SIN_BG18</t>
  </si>
  <si>
    <t>SYD_BG18</t>
  </si>
  <si>
    <t>TYO_BG18</t>
  </si>
  <si>
    <t>TOR_BG18</t>
  </si>
  <si>
    <t>VIE_BG18</t>
  </si>
  <si>
    <t>NHN_BG18</t>
  </si>
  <si>
    <t>RGN_BG18</t>
  </si>
  <si>
    <t>G00_BG18</t>
  </si>
  <si>
    <t>G01_BG18</t>
  </si>
  <si>
    <t>G02_BG18</t>
  </si>
  <si>
    <t>G03_BG18</t>
  </si>
  <si>
    <t>G04_BG18</t>
  </si>
  <si>
    <t>G05_BG18</t>
  </si>
  <si>
    <t>G06_BG18</t>
  </si>
  <si>
    <t>ADD_BG19</t>
  </si>
  <si>
    <t>UAY_BG19</t>
  </si>
  <si>
    <t>A2N_BG19</t>
  </si>
  <si>
    <t>AKL_BG19</t>
  </si>
  <si>
    <t>BKK_BG19</t>
  </si>
  <si>
    <t>BJS_BG19</t>
  </si>
  <si>
    <t>BER_BG19</t>
  </si>
  <si>
    <t>B6Y_BG19</t>
  </si>
  <si>
    <t>BUD_BG19</t>
  </si>
  <si>
    <t>CJR_BG19</t>
  </si>
  <si>
    <t>COX_BG19</t>
  </si>
  <si>
    <t>DLI_BG19</t>
  </si>
  <si>
    <t>DAC_BG19</t>
  </si>
  <si>
    <t>DXB_BG19</t>
  </si>
  <si>
    <t>HEL_BG19</t>
  </si>
  <si>
    <t>SGN_BG19</t>
  </si>
  <si>
    <t>HKG_BG19</t>
  </si>
  <si>
    <t>IST_BG19</t>
  </si>
  <si>
    <t>JKT_BG19</t>
  </si>
  <si>
    <t>JNB_BG19</t>
  </si>
  <si>
    <t>KHI_BG19</t>
  </si>
  <si>
    <t>KTM_BG19</t>
  </si>
  <si>
    <t>CCU_BG19</t>
  </si>
  <si>
    <t>KWI_BG19</t>
  </si>
  <si>
    <t>ZGM_BG19</t>
  </si>
  <si>
    <t>LOD_BG19</t>
  </si>
  <si>
    <t>MDD_BG19</t>
  </si>
  <si>
    <t>MNL_BG19</t>
  </si>
  <si>
    <t>MEL_BG19</t>
  </si>
  <si>
    <t>MEX_BG19</t>
  </si>
  <si>
    <t>MW3_BG19</t>
  </si>
  <si>
    <t>BOM_BG19</t>
  </si>
  <si>
    <t>NBO_BG19</t>
  </si>
  <si>
    <t>NYC_BG19</t>
  </si>
  <si>
    <t>OSA_BG19</t>
  </si>
  <si>
    <t>PAR_BG19</t>
  </si>
  <si>
    <t>PNH_BG19</t>
  </si>
  <si>
    <t>RUH_BG19</t>
  </si>
  <si>
    <t>RMG_BG19</t>
  </si>
  <si>
    <t>SFO_BG19</t>
  </si>
  <si>
    <t>SPF_BG19</t>
  </si>
  <si>
    <t>SEL_BG19</t>
  </si>
  <si>
    <t>SGH_BG19</t>
  </si>
  <si>
    <t>SIN_BG19</t>
  </si>
  <si>
    <t>SYD_BG19</t>
  </si>
  <si>
    <t>TYO_BG19</t>
  </si>
  <si>
    <t>TOR_BG19</t>
  </si>
  <si>
    <t>VIE_BG19</t>
  </si>
  <si>
    <t>NHN_BG19</t>
  </si>
  <si>
    <t>RGN_BG19</t>
  </si>
  <si>
    <t>G00_BG19</t>
  </si>
  <si>
    <t>G01_BG19</t>
  </si>
  <si>
    <t>G02_BG19</t>
  </si>
  <si>
    <t>G03_BG19</t>
  </si>
  <si>
    <t>G04_BG19</t>
  </si>
  <si>
    <t>G05_BG19</t>
  </si>
  <si>
    <t>G06_BG19</t>
  </si>
  <si>
    <t>ADD_BG20</t>
  </si>
  <si>
    <t>UAY_BG20</t>
  </si>
  <si>
    <t>A2N_BG20</t>
  </si>
  <si>
    <t>AKL_BG20</t>
  </si>
  <si>
    <t>BKK_BG20</t>
  </si>
  <si>
    <t>BJS_BG20</t>
  </si>
  <si>
    <t>BER_BG20</t>
  </si>
  <si>
    <t>B6Y_BG20</t>
  </si>
  <si>
    <t>BUD_BG20</t>
  </si>
  <si>
    <t>CJR_BG20</t>
  </si>
  <si>
    <t>COX_BG20</t>
  </si>
  <si>
    <t>DLI_BG20</t>
  </si>
  <si>
    <t>DAC_BG20</t>
  </si>
  <si>
    <t>DXB_BG20</t>
  </si>
  <si>
    <t>HEL_BG20</t>
  </si>
  <si>
    <t>SGN_BG20</t>
  </si>
  <si>
    <t>HKG_BG20</t>
  </si>
  <si>
    <t>IST_BG20</t>
  </si>
  <si>
    <t>JKT_BG20</t>
  </si>
  <si>
    <t>JNB_BG20</t>
  </si>
  <si>
    <t>KHI_BG20</t>
  </si>
  <si>
    <t>KTM_BG20</t>
  </si>
  <si>
    <t>CCU_BG20</t>
  </si>
  <si>
    <t>KWI_BG20</t>
  </si>
  <si>
    <t>ZGM_BG20</t>
  </si>
  <si>
    <t>LOD_BG20</t>
  </si>
  <si>
    <t>MDD_BG20</t>
  </si>
  <si>
    <t>MNL_BG20</t>
  </si>
  <si>
    <t>MEL_BG20</t>
  </si>
  <si>
    <t>MEX_BG20</t>
  </si>
  <si>
    <t>MW3_BG20</t>
  </si>
  <si>
    <t>BOM_BG20</t>
  </si>
  <si>
    <t>NBO_BG20</t>
  </si>
  <si>
    <t>NYC_BG20</t>
  </si>
  <si>
    <t>OSA_BG20</t>
  </si>
  <si>
    <t>PAR_BG20</t>
  </si>
  <si>
    <t>PNH_BG20</t>
  </si>
  <si>
    <t>RUH_BG20</t>
  </si>
  <si>
    <t>RMG_BG20</t>
  </si>
  <si>
    <t>SFO_BG20</t>
  </si>
  <si>
    <t>SPF_BG20</t>
  </si>
  <si>
    <t>SEL_BG20</t>
  </si>
  <si>
    <t>SGH_BG20</t>
  </si>
  <si>
    <t>SIN_BG20</t>
  </si>
  <si>
    <t>SYD_BG20</t>
  </si>
  <si>
    <t>TYO_BG20</t>
  </si>
  <si>
    <t>TOR_BG20</t>
  </si>
  <si>
    <t>VIE_BG20</t>
  </si>
  <si>
    <t>NHN_BG20</t>
  </si>
  <si>
    <t>RGN_BG20</t>
  </si>
  <si>
    <t>G00_BG20</t>
  </si>
  <si>
    <t>G01_BG20</t>
  </si>
  <si>
    <t>G02_BG20</t>
  </si>
  <si>
    <t>G03_BG20</t>
  </si>
  <si>
    <t>G04_BG20</t>
  </si>
  <si>
    <t>G05_BG20</t>
  </si>
  <si>
    <t>G06_BG20</t>
  </si>
  <si>
    <t>ADD_BG21</t>
  </si>
  <si>
    <t>UAY_BG21</t>
  </si>
  <si>
    <t>A2N_BG21</t>
  </si>
  <si>
    <t>AKL_BG21</t>
  </si>
  <si>
    <t>BKK_BG21</t>
  </si>
  <si>
    <t>BJS_BG21</t>
  </si>
  <si>
    <t>BER_BG21</t>
  </si>
  <si>
    <t>B6Y_BG21</t>
  </si>
  <si>
    <t>BUD_BG21</t>
  </si>
  <si>
    <t>CJR_BG21</t>
  </si>
  <si>
    <t>COX_BG21</t>
  </si>
  <si>
    <t>DLI_BG21</t>
  </si>
  <si>
    <t>DAC_BG21</t>
  </si>
  <si>
    <t>DXB_BG21</t>
  </si>
  <si>
    <t>HEL_BG21</t>
  </si>
  <si>
    <t>SGN_BG21</t>
  </si>
  <si>
    <t>HKG_BG21</t>
  </si>
  <si>
    <t>IST_BG21</t>
  </si>
  <si>
    <t>JKT_BG21</t>
  </si>
  <si>
    <t>JNB_BG21</t>
  </si>
  <si>
    <t>KHI_BG21</t>
  </si>
  <si>
    <t>KTM_BG21</t>
  </si>
  <si>
    <t>CCU_BG21</t>
  </si>
  <si>
    <t>KWI_BG21</t>
  </si>
  <si>
    <t>ZGM_BG21</t>
  </si>
  <si>
    <t>LOD_BG21</t>
  </si>
  <si>
    <t>MDD_BG21</t>
  </si>
  <si>
    <t>MNL_BG21</t>
  </si>
  <si>
    <t>MEL_BG21</t>
  </si>
  <si>
    <t>MEX_BG21</t>
  </si>
  <si>
    <t>MW3_BG21</t>
  </si>
  <si>
    <t>BOM_BG21</t>
  </si>
  <si>
    <t>NBO_BG21</t>
  </si>
  <si>
    <t>NYC_BG21</t>
  </si>
  <si>
    <t>OSA_BG21</t>
  </si>
  <si>
    <t>PAR_BG21</t>
  </si>
  <si>
    <t>PNH_BG21</t>
  </si>
  <si>
    <t>RUH_BG21</t>
  </si>
  <si>
    <t>RMG_BG21</t>
  </si>
  <si>
    <t>SFO_BG21</t>
  </si>
  <si>
    <t>SPF_BG21</t>
  </si>
  <si>
    <t>SEL_BG21</t>
  </si>
  <si>
    <t>SGH_BG21</t>
  </si>
  <si>
    <t>SIN_BG21</t>
  </si>
  <si>
    <t>SYD_BG21</t>
  </si>
  <si>
    <t>TYO_BG21</t>
  </si>
  <si>
    <t>TOR_BG21</t>
  </si>
  <si>
    <t>VIE_BG21</t>
  </si>
  <si>
    <t>NHN_BG21</t>
  </si>
  <si>
    <t>RGN_BG21</t>
  </si>
  <si>
    <t>G00_BG21</t>
  </si>
  <si>
    <t>G01_BG21</t>
  </si>
  <si>
    <t>G02_BG21</t>
  </si>
  <si>
    <t>G03_BG21</t>
  </si>
  <si>
    <t>G04_BG21</t>
  </si>
  <si>
    <t>G05_BG21</t>
  </si>
  <si>
    <t>G06_BG21</t>
  </si>
  <si>
    <t>city_detail</t>
  </si>
  <si>
    <t>City Detail</t>
  </si>
  <si>
    <t>City_Detail</t>
  </si>
  <si>
    <t>Detailed notes and sources for Economist Impact assessed qualitative indicators</t>
  </si>
  <si>
    <t>Overview,Rankings,Scorecards,City_Profile,City_Detail,Compare,All_Measures,ScatterPlot,Weights,Data_Table,Score_Table</t>
  </si>
  <si>
    <t>1;10;</t>
  </si>
  <si>
    <t>Enable_Macros,Welcome,Contents,User Guide,Overview,Rankings,Scorecards,City_Profile,City_Detail,Compare,All_Measures,ScatterPlot,Weights,Data_Table,Score_Table,EIU Admin_0,Data_Edit,</t>
  </si>
  <si>
    <t>CLASSIFICATION SCHEMA</t>
  </si>
  <si>
    <t>cnt_CountryFlt;cnt_ShowReferences</t>
  </si>
  <si>
    <t>Vegetable consumption: national data</t>
  </si>
  <si>
    <t>Vegetable consumption: city-level data availability</t>
  </si>
  <si>
    <t>Trans fats consumption: national data</t>
  </si>
  <si>
    <t>Trans fats consumption: city-level data availability</t>
  </si>
  <si>
    <t>3.2a) Vegetable consumption: national data</t>
  </si>
  <si>
    <t xml:space="preserve">  3.2a) Vegetable consumption: national data</t>
  </si>
  <si>
    <t>3.2b) Vegetable consumption: city-level data availability</t>
  </si>
  <si>
    <t xml:space="preserve">  3.2b) Vegetable consumption: city-level data availability</t>
  </si>
  <si>
    <t>3.3a) Trans fats consumption: national data</t>
  </si>
  <si>
    <t xml:space="preserve">  3.3a) Trans fats consumption: national data</t>
  </si>
  <si>
    <t>3.3b) Trans fats consumption: city-level data availability</t>
  </si>
  <si>
    <t xml:space="preserve">  3.3b) Trans fats consumption: city-level data availability</t>
  </si>
  <si>
    <t>3.2a) Vegetable consumption: national data{NL}3.2b) Vegetable consumption: city-level data availability</t>
  </si>
  <si>
    <t>3.3a) Trans fats consumption: national data{NL}3.3b) Trans fats consumption: city-level data availability</t>
  </si>
  <si>
    <t>Weighted average of the following sub-indicator scores:{NL}{NL}3.2a) Vegetable consumption: national data{NL}3.2b) Vegetable consumption: city-level data availability</t>
  </si>
  <si>
    <t>SCORE CALCULATION{NL}Weighted average of the following sub-indicator scores:{NL}{NL}3.2a) Vegetable consumption: national data{NL}3.2b) Vegetable consumption: city-level data availability{NL}{NL}</t>
  </si>
  <si>
    <t>Weighted average of the following sub-indicator scores:{NL}{NL}3.3a) Trans fats consumption: national data{NL}3.3b) Trans fats consumption: city-level data availability</t>
  </si>
  <si>
    <t>SCORE CALCULATION{NL}Weighted average of the following sub-indicator scores:{NL}{NL}3.3a) Trans fats consumption: national data{NL}3.3b) Trans fats consumption: city-level data availability{NL}{NL}</t>
  </si>
  <si>
    <t>Scores are normalized between the minimum and maximum values observed across all cities after adjusting for outliers detected using Tukey's method. The following cities were identified as outliers: Budapest, Cairo. Because outliers were detected, an adjustment was made as follows.  The trimmed mean and trimmed standard deviation are calculated on the central 95% of the distribution; Values further than 3 trimmed standard deviations away from the trimmed mean were replaced by the trimmed mean plus 3.1 times the trimmed standard deviation, if they were in the right-hand tail, and replaced by the trimmed mean minus 3.1 times the trimmed standard deviation, if they were in the left-hand tail.  Scores are then calculated by normalising across the minimum and maximum values observed in this adjusted set of observations.</t>
  </si>
  <si>
    <t>Dubai, UAE</t>
  </si>
  <si>
    <t>AfricaAfrica;Low and lower middle income;</t>
  </si>
  <si>
    <t>Eastern MediterraneanEastern Mediterranean;Low and lower middle income;</t>
  </si>
  <si>
    <t>SE AsiaSE Asia;Low and lower middle income;</t>
  </si>
  <si>
    <t>Western PacificWestern Pacific;Low and lower middle income;</t>
  </si>
  <si>
    <t>G07</t>
  </si>
  <si>
    <t>Low and lower middle income</t>
  </si>
  <si>
    <t>Low and lower middle income (16)</t>
  </si>
  <si>
    <t>income</t>
  </si>
  <si>
    <t>SE AsiaSE Asia;Upper middle income;</t>
  </si>
  <si>
    <t>Western PacificWestern Pacific;Upper middle income;</t>
  </si>
  <si>
    <t>AmericasAmericas;Upper middle income;</t>
  </si>
  <si>
    <t>EuropeEurope;Upper middle income;</t>
  </si>
  <si>
    <t>AfricaAfrica;Upper middle income;</t>
  </si>
  <si>
    <t>G08</t>
  </si>
  <si>
    <t>Upper middle income (11)</t>
  </si>
  <si>
    <t>AmericasAmericas;High income;</t>
  </si>
  <si>
    <t>Western PacificWestern Pacific;High income;</t>
  </si>
  <si>
    <t>EuropeEurope;High income;</t>
  </si>
  <si>
    <t>Eastern MediterraneanEastern Mediterranean;High income;</t>
  </si>
  <si>
    <t>G09</t>
  </si>
  <si>
    <t>High income (23)</t>
  </si>
  <si>
    <t>Addis Ababa, Algiers, Cairo, Colombo, Delhi, Dhaka, Ho Chi Minh City, Karachi, Kathmandu, Kolkata, Lagos, Manila, Mumbai, Nairobi, Phnom Penh, Yangon</t>
  </si>
  <si>
    <t>1,2,10,11,12,13,16,21,22,23,25,28,32,33,37,50</t>
  </si>
  <si>
    <t>Bangkok, Beijing, Bogotá, Istanbul, Jakarta, Johannesburg, Mexico City, Moscow, São Paulo, Shanghai, Wuhan</t>
  </si>
  <si>
    <t>5,6,8,18,19,20,30,31,41,43,49</t>
  </si>
  <si>
    <t>3,4,7,9,14,15,17,24,26,27,29,34,35,36,38,39,40,42,44,45,46,47,48</t>
  </si>
  <si>
    <t>G07_OVERALL</t>
  </si>
  <si>
    <t>G08_OVERALL</t>
  </si>
  <si>
    <t>G09_OVERALL</t>
  </si>
  <si>
    <t>G07_DOMAIN_001</t>
  </si>
  <si>
    <t>G08_DOMAIN_001</t>
  </si>
  <si>
    <t>G09_DOMAIN_001</t>
  </si>
  <si>
    <t>G07_INDI_001</t>
  </si>
  <si>
    <t>G08_INDI_001</t>
  </si>
  <si>
    <t>G09_INDI_001</t>
  </si>
  <si>
    <t>G07_SUBINDI_001</t>
  </si>
  <si>
    <t>G08_SUBINDI_001</t>
  </si>
  <si>
    <t>G09_SUBINDI_001</t>
  </si>
  <si>
    <t>G07_SUBINDI_002</t>
  </si>
  <si>
    <t>G08_SUBINDI_002</t>
  </si>
  <si>
    <t>G09_SUBINDI_002</t>
  </si>
  <si>
    <t>G07_INDI_002</t>
  </si>
  <si>
    <t>G08_INDI_002</t>
  </si>
  <si>
    <t>G09_INDI_002</t>
  </si>
  <si>
    <t>G07_SUBINDI_003</t>
  </si>
  <si>
    <t>G08_SUBINDI_003</t>
  </si>
  <si>
    <t>G09_SUBINDI_003</t>
  </si>
  <si>
    <t>G07_SUBINDI_004</t>
  </si>
  <si>
    <t>G08_SUBINDI_004</t>
  </si>
  <si>
    <t>G09_SUBINDI_004</t>
  </si>
  <si>
    <t>G07_INDI_003</t>
  </si>
  <si>
    <t>G08_INDI_003</t>
  </si>
  <si>
    <t>G09_INDI_003</t>
  </si>
  <si>
    <t>G07_SUBINDI_005</t>
  </si>
  <si>
    <t>G08_SUBINDI_005</t>
  </si>
  <si>
    <t>G09_SUBINDI_005</t>
  </si>
  <si>
    <t>G07_SUBINDI_006</t>
  </si>
  <si>
    <t>G08_SUBINDI_006</t>
  </si>
  <si>
    <t>G09_SUBINDI_006</t>
  </si>
  <si>
    <t>G07_INDI_004</t>
  </si>
  <si>
    <t>G08_INDI_004</t>
  </si>
  <si>
    <t>G09_INDI_004</t>
  </si>
  <si>
    <t>G07_INDI_005</t>
  </si>
  <si>
    <t>G08_INDI_005</t>
  </si>
  <si>
    <t>G09_INDI_005</t>
  </si>
  <si>
    <t>G07_DOMAIN_002</t>
  </si>
  <si>
    <t>G08_DOMAIN_002</t>
  </si>
  <si>
    <t>G09_DOMAIN_002</t>
  </si>
  <si>
    <t>G07_INDI_006</t>
  </si>
  <si>
    <t>G08_INDI_006</t>
  </si>
  <si>
    <t>G09_INDI_006</t>
  </si>
  <si>
    <t>G07_INDI_007</t>
  </si>
  <si>
    <t>G08_INDI_007</t>
  </si>
  <si>
    <t>G09_INDI_007</t>
  </si>
  <si>
    <t>G07_INDI_008</t>
  </si>
  <si>
    <t>G08_INDI_008</t>
  </si>
  <si>
    <t>G09_INDI_008</t>
  </si>
  <si>
    <t>G07_INDI_009</t>
  </si>
  <si>
    <t>G08_INDI_009</t>
  </si>
  <si>
    <t>G09_INDI_009</t>
  </si>
  <si>
    <t>G07_SUBINDI_007</t>
  </si>
  <si>
    <t>G08_SUBINDI_007</t>
  </si>
  <si>
    <t>G09_SUBINDI_007</t>
  </si>
  <si>
    <t>G07_SUBINDI_008</t>
  </si>
  <si>
    <t>G08_SUBINDI_008</t>
  </si>
  <si>
    <t>G09_SUBINDI_008</t>
  </si>
  <si>
    <t>G07_INDI_010</t>
  </si>
  <si>
    <t>G08_INDI_010</t>
  </si>
  <si>
    <t>G09_INDI_010</t>
  </si>
  <si>
    <t>G07_DOMAIN_003</t>
  </si>
  <si>
    <t>G08_DOMAIN_003</t>
  </si>
  <si>
    <t>G09_DOMAIN_003</t>
  </si>
  <si>
    <t>G07_INDI_011</t>
  </si>
  <si>
    <t>G08_INDI_011</t>
  </si>
  <si>
    <t>G09_INDI_011</t>
  </si>
  <si>
    <t>G07_SUBINDI_009</t>
  </si>
  <si>
    <t>G08_SUBINDI_009</t>
  </si>
  <si>
    <t>G09_SUBINDI_009</t>
  </si>
  <si>
    <t>G07_SUBINDI_010</t>
  </si>
  <si>
    <t>G08_SUBINDI_010</t>
  </si>
  <si>
    <t>G09_SUBINDI_010</t>
  </si>
  <si>
    <t>G07_INDI_012</t>
  </si>
  <si>
    <t>G08_INDI_012</t>
  </si>
  <si>
    <t>G09_INDI_012</t>
  </si>
  <si>
    <t>G07_SUBINDI_011</t>
  </si>
  <si>
    <t>G08_SUBINDI_011</t>
  </si>
  <si>
    <t>G09_SUBINDI_011</t>
  </si>
  <si>
    <t>G07_SUBINDI_012</t>
  </si>
  <si>
    <t>G08_SUBINDI_012</t>
  </si>
  <si>
    <t>G09_SUBINDI_012</t>
  </si>
  <si>
    <t>G07_INDI_013</t>
  </si>
  <si>
    <t>G08_INDI_013</t>
  </si>
  <si>
    <t>G09_INDI_013</t>
  </si>
  <si>
    <t>G07_SUBINDI_013</t>
  </si>
  <si>
    <t>G08_SUBINDI_013</t>
  </si>
  <si>
    <t>G09_SUBINDI_013</t>
  </si>
  <si>
    <t>G07_SUBINDI_014</t>
  </si>
  <si>
    <t>G08_SUBINDI_014</t>
  </si>
  <si>
    <t>G09_SUBINDI_014</t>
  </si>
  <si>
    <t>G07_INDI_014</t>
  </si>
  <si>
    <t>G08_INDI_014</t>
  </si>
  <si>
    <t>G09_INDI_014</t>
  </si>
  <si>
    <t>G07_SUBINDI_015</t>
  </si>
  <si>
    <t>G08_SUBINDI_015</t>
  </si>
  <si>
    <t>G09_SUBINDI_015</t>
  </si>
  <si>
    <t>G07_SUBINDI_016</t>
  </si>
  <si>
    <t>G08_SUBINDI_016</t>
  </si>
  <si>
    <t>G09_SUBINDI_016</t>
  </si>
  <si>
    <t>G07_INDI_015</t>
  </si>
  <si>
    <t>G08_INDI_015</t>
  </si>
  <si>
    <t>G09_INDI_015</t>
  </si>
  <si>
    <t>G07_SUBINDI_017</t>
  </si>
  <si>
    <t>G08_SUBINDI_017</t>
  </si>
  <si>
    <t>G09_SUBINDI_017</t>
  </si>
  <si>
    <t>G07_SUBINDI_018</t>
  </si>
  <si>
    <t>G08_SUBINDI_018</t>
  </si>
  <si>
    <t>G09_SUBINDI_018</t>
  </si>
  <si>
    <t>G07_INDI_016</t>
  </si>
  <si>
    <t>G08_INDI_016</t>
  </si>
  <si>
    <t>G09_INDI_016</t>
  </si>
  <si>
    <t>G07_SUBINDI_019</t>
  </si>
  <si>
    <t>G08_SUBINDI_019</t>
  </si>
  <si>
    <t>G09_SUBINDI_019</t>
  </si>
  <si>
    <t>G07_SUBINDI_020</t>
  </si>
  <si>
    <t>G08_SUBINDI_020</t>
  </si>
  <si>
    <t>G09_SUBINDI_020</t>
  </si>
  <si>
    <t>G07_INDI_017</t>
  </si>
  <si>
    <t>G08_INDI_017</t>
  </si>
  <si>
    <t>G09_INDI_017</t>
  </si>
  <si>
    <t>G07_SUBINDI_021</t>
  </si>
  <si>
    <t>G08_SUBINDI_021</t>
  </si>
  <si>
    <t>G09_SUBINDI_021</t>
  </si>
  <si>
    <t>G07_SUBINDI_022</t>
  </si>
  <si>
    <t>G08_SUBINDI_022</t>
  </si>
  <si>
    <t>G09_SUBINDI_022</t>
  </si>
  <si>
    <t>G07_INDI_018</t>
  </si>
  <si>
    <t>G08_INDI_018</t>
  </si>
  <si>
    <t>G09_INDI_018</t>
  </si>
  <si>
    <t>G07_SUBINDI_023</t>
  </si>
  <si>
    <t>G08_SUBINDI_023</t>
  </si>
  <si>
    <t>G09_SUBINDI_023</t>
  </si>
  <si>
    <t>G07_SUBINDI_024</t>
  </si>
  <si>
    <t>G08_SUBINDI_024</t>
  </si>
  <si>
    <t>G09_SUBINDI_024</t>
  </si>
  <si>
    <t>G07_DOMAIN_004</t>
  </si>
  <si>
    <t>G08_DOMAIN_004</t>
  </si>
  <si>
    <t>G09_DOMAIN_004</t>
  </si>
  <si>
    <t>G07_INDI_019</t>
  </si>
  <si>
    <t>G08_INDI_019</t>
  </si>
  <si>
    <t>G09_INDI_019</t>
  </si>
  <si>
    <t>G07_INDI_020</t>
  </si>
  <si>
    <t>G08_INDI_020</t>
  </si>
  <si>
    <t>G09_INDI_020</t>
  </si>
  <si>
    <t>G07_INDI_021</t>
  </si>
  <si>
    <t>G08_INDI_021</t>
  </si>
  <si>
    <t>G09_INDI_021</t>
  </si>
  <si>
    <t>G07_INDI_022</t>
  </si>
  <si>
    <t>G08_INDI_022</t>
  </si>
  <si>
    <t>G09_INDI_022</t>
  </si>
  <si>
    <t>G07_DOMAIN_005</t>
  </si>
  <si>
    <t>G08_DOMAIN_005</t>
  </si>
  <si>
    <t>G09_DOMAIN_005</t>
  </si>
  <si>
    <t>G07_INDI_024</t>
  </si>
  <si>
    <t>G08_INDI_024</t>
  </si>
  <si>
    <t>G09_INDI_024</t>
  </si>
  <si>
    <t>G07_INDI_025</t>
  </si>
  <si>
    <t>G08_INDI_025</t>
  </si>
  <si>
    <t>G09_INDI_025</t>
  </si>
  <si>
    <t>G07_INDI_026</t>
  </si>
  <si>
    <t>G08_INDI_026</t>
  </si>
  <si>
    <t>G09_INDI_026</t>
  </si>
  <si>
    <t>G07_SUBINDI_025</t>
  </si>
  <si>
    <t>G08_SUBINDI_025</t>
  </si>
  <si>
    <t>G09_SUBINDI_025</t>
  </si>
  <si>
    <t>G07_SUBINDI_026</t>
  </si>
  <si>
    <t>G08_SUBINDI_026</t>
  </si>
  <si>
    <t>G09_SUBINDI_026</t>
  </si>
  <si>
    <t>G07_INDI_027</t>
  </si>
  <si>
    <t>G08_INDI_027</t>
  </si>
  <si>
    <t>G09_INDI_027</t>
  </si>
  <si>
    <t>G07_INDI_028</t>
  </si>
  <si>
    <t>G08_INDI_028</t>
  </si>
  <si>
    <t>G09_INDI_028</t>
  </si>
  <si>
    <t>G07_INDI_029</t>
  </si>
  <si>
    <t>G08_INDI_029</t>
  </si>
  <si>
    <t>G09_INDI_029</t>
  </si>
  <si>
    <t>G07_INDI_030</t>
  </si>
  <si>
    <t>G08_INDI_030</t>
  </si>
  <si>
    <t>G09_INDI_030</t>
  </si>
  <si>
    <t>G07_INDI_031</t>
  </si>
  <si>
    <t>G08_INDI_031</t>
  </si>
  <si>
    <t>G09_INDI_031</t>
  </si>
  <si>
    <t>G07_INDI_032</t>
  </si>
  <si>
    <t>G08_INDI_032</t>
  </si>
  <si>
    <t>G09_INDI_032</t>
  </si>
  <si>
    <t>G07_BG</t>
  </si>
  <si>
    <t>G08_BG</t>
  </si>
  <si>
    <t>G09_BG</t>
  </si>
  <si>
    <t>G07_BG01</t>
  </si>
  <si>
    <t>G08_BG01</t>
  </si>
  <si>
    <t>G09_BG01</t>
  </si>
  <si>
    <t>G07_BG03</t>
  </si>
  <si>
    <t>G08_BG03</t>
  </si>
  <si>
    <t>G09_BG03</t>
  </si>
  <si>
    <t>G07_BG04</t>
  </si>
  <si>
    <t>G08_BG04</t>
  </si>
  <si>
    <t>G09_BG04</t>
  </si>
  <si>
    <t>G07_BG05</t>
  </si>
  <si>
    <t>G08_BG05</t>
  </si>
  <si>
    <t>G09_BG05</t>
  </si>
  <si>
    <t>G07_BG08</t>
  </si>
  <si>
    <t>G08_BG08</t>
  </si>
  <si>
    <t>G09_BG08</t>
  </si>
  <si>
    <t>G07_BG09</t>
  </si>
  <si>
    <t>G08_BG09</t>
  </si>
  <si>
    <t>G09_BG09</t>
  </si>
  <si>
    <t>G07_BG11</t>
  </si>
  <si>
    <t>G08_BG11</t>
  </si>
  <si>
    <t>G09_BG11</t>
  </si>
  <si>
    <t>G07_BG12</t>
  </si>
  <si>
    <t>G08_BG12</t>
  </si>
  <si>
    <t>G09_BG12</t>
  </si>
  <si>
    <t>G07_BG13</t>
  </si>
  <si>
    <t>G08_BG13</t>
  </si>
  <si>
    <t>G09_BG13</t>
  </si>
  <si>
    <t>G07_BG14</t>
  </si>
  <si>
    <t>G08_BG14</t>
  </si>
  <si>
    <t>G09_BG14</t>
  </si>
  <si>
    <t>G07_BG18</t>
  </si>
  <si>
    <t>G08_BG18</t>
  </si>
  <si>
    <t>G09_BG18</t>
  </si>
  <si>
    <t>G07_BG19</t>
  </si>
  <si>
    <t>G08_BG19</t>
  </si>
  <si>
    <t>G09_BG19</t>
  </si>
  <si>
    <t>G07_BG20</t>
  </si>
  <si>
    <t>G08_BG20</t>
  </si>
  <si>
    <t>G09_BG20</t>
  </si>
  <si>
    <t>G07_BG21</t>
  </si>
  <si>
    <t>G08_BG21</t>
  </si>
  <si>
    <t>G09_BG21</t>
  </si>
  <si>
    <t>Correlation co-efficients</t>
  </si>
  <si>
    <t>METRIC</t>
  </si>
  <si>
    <t>WHO recommends 400g / day, per https://www.who.int/tools/elena/interventions/fruit-vegetables-ncds</t>
  </si>
  <si>
    <t>Score is linear transformation of data values to the scale 0-100 where 100=most healthy environment. A data value of 0 or below scores 0, a data value of 400 or above scores 100.{NL}{NL}Higher data values produce higher scores.</t>
  </si>
  <si>
    <t>DESCRIPTION{NL}NL}Average weighted daily consumption (in grams per day) of vegetables, including fresh, frozen, cooked, canned, or dried vegetables and excluding legumes and salted or pickled vegetables, juices, nuts and seeds, and starchy vegetables such as potatoes or corn{NL}{NL}NOTES{NL}NL}RATIONALE{NL}{NL}WHO recommends 400g / day, per https://www.who.int/tools/elena/interventions/fruit-vegetables-ncds{NL}{NL}DATA UNIT{NL}{NL}g/day; higher data value=higher score.{NL}{NL}Score is linear transformation of data values to the scale 0-100 where 100=most healthy environment. A data value of 0 or below scores 0, a data value of 400 or above scores 100</t>
  </si>
  <si>
    <t>Exclude if has data and not numeric</t>
  </si>
  <si>
    <t>Physical activity: city-level data availability</t>
  </si>
  <si>
    <t>Cholesterol</t>
  </si>
  <si>
    <t>Mean blood cholesterol: national data</t>
  </si>
  <si>
    <t>Cholesterol: city-level data availability</t>
  </si>
  <si>
    <t>Life expectancy at age 60</t>
  </si>
  <si>
    <t>Healthy life expectancy at age 60</t>
  </si>
  <si>
    <t>UN Habitat; Economist Impact estimate</t>
  </si>
  <si>
    <t>Years lived with any short-term or long-term health loss weighted for severity by the disability weights.</t>
  </si>
  <si>
    <t>Years of life lost due to premature mortality from CVD</t>
  </si>
  <si>
    <t>Scores are normalized between the minimum and maximum values observed across all cities after adjusting for outliers detected using Tukey's method. The following cities were identified as outliers: Budapest, Moscow. Because outliers were detected, an adjustment was made as follows.  The trimmed mean and trimmed standard deviation are calculated on the central 95% of the distribution; Values further than 3 trimmed standard deviations away from the trimmed mean were replaced by the trimmed mean plus 3.1 times the trimmed standard deviation, if they were in the right-hand tail, and replaced by the trimmed mean minus 3.1 times the trimmed standard deviation, if they were in the left-hand tail.  Scores are then calculated by normalising across the minimum and maximum values observed in this adjusted set of observations.</t>
  </si>
  <si>
    <t>HARD_CODED</t>
  </si>
  <si>
    <t>Does the city government have a health department?
Is there a clear set of responsibilities and a process for health monitoring activities?
Is the city a member of any global, regional or national urban health network or initiative?</t>
  </si>
  <si>
    <t>3.4b) Physical activity: city-level data availability</t>
  </si>
  <si>
    <t xml:space="preserve">  3.4b) Physical activity: city-level data availability</t>
  </si>
  <si>
    <t>3.8) Cholesterol</t>
  </si>
  <si>
    <t xml:space="preserve"> 3.8) Cholesterol</t>
  </si>
  <si>
    <t>3.8a) Mean blood cholesterol: national data</t>
  </si>
  <si>
    <t xml:space="preserve">  3.8a) Mean blood cholesterol: national data</t>
  </si>
  <si>
    <t>3.8b) Cholesterol: city-level data availability</t>
  </si>
  <si>
    <t xml:space="preserve">  3.8b) Cholesterol: city-level data availability</t>
  </si>
  <si>
    <t>YEARS LIVED WITH DISABILITY (YLDS) DUE TO CVD</t>
  </si>
  <si>
    <t>Rate (per 100,000 people); higher data value=higher score.</t>
  </si>
  <si>
    <t>YEARS OF LIFE LOST (YLLS) DUE TO CVD</t>
  </si>
  <si>
    <t>LIFE EXPECTANCY AT AGE 60</t>
  </si>
  <si>
    <t>HEALTHY LIFE EXPECTANCY AT AGE 60</t>
  </si>
  <si>
    <t>3.1) Tobacco use{NL}3.2) Vegetable consumption{NL}3.3) Trans fats consumption{NL}3.4) Physical activity{NL}3.5) Hypertension{NL}3.6) Diabetes{NL}3.7) Obesity{NL}3.8) Cholesterol</t>
  </si>
  <si>
    <t>3.4a) Physical inactivity: national data{NL}3.4b) Physical activity: city-level data availability</t>
  </si>
  <si>
    <t>3.8a) Mean blood cholesterol: national data{NL}3.8b) Cholesterol: city-level data availability</t>
  </si>
  <si>
    <t>HEALTH RISKS → Cholesterol</t>
  </si>
  <si>
    <t>Score is linear transformation of data values to the scale 0-100 where 100=most healthy environment. A data value of 0 or below scores 100, a data value of 100 or above scores 0.{NL}{NL}Lower data values produce higher scores.</t>
  </si>
  <si>
    <t>Score is linear transformation of data values to the scale 0-100 where 100=most healthy environment. A data value of 0 or below scores 0, a data value of 100 or above scores 100.{NL}{NL}Higher data values produce higher scores.</t>
  </si>
  <si>
    <t>DESCRIPTION{NL}Percentage of population ages 25 and over that attained or completed upper secondary education.
Educational attainment, at least completed upper secondary, population 25+, total (%) (cumulative){NL}{NL}DATA UNIT{NL}%{NL}{NL}DATA SOURCE{NL}World Bank; Economist Impact estimate{NL}{NL}DATA YEAR{NL}Various (2015-2024){NL}{NL}SCORE CALCULATION{NL}Score is linear transformation of data values to the scale 0-100 where 100=most healthy environment. A data value of 0 or below scores 0, a data value of 100 or above scores 100.{NL}{NL}Higher data values produce higher scores.</t>
  </si>
  <si>
    <t>DESCRIPTION{NL}NL}Percentage of population ages 25 and over that attained or completed upper secondary education.
Educational attainment, at least completed upper secondary, population 25+, total (%) (cumulative){NL}{NL}NOTES{NL}NL}DATA UNIT{NL}{NL}%; higher data value=higher score.{NL}{NL}Score is linear transformation of data values to the scale 0-100 where 100=most healthy environment. A data value of 0 or below scores 0, a data value of 100 or above scores 100</t>
  </si>
  <si>
    <t>DESCRIPTION{NL}The indicator measures the percentage of individuals in the population who have experienced food insecurity at moderate or severe levels during the reference period. The severity of food insecurity, defined as a latent trait, is measured on the Food Insecurity Experience Scale global reference scale, a measurement standard established by FAO through the application of the Food Insecurity Experience Scale in more than 140 countries worldwide, starting in 2014.{NL}{NL}DATA UNIT{NL}%{NL}{NL}DATA SOURCE{NL}UN SDG Indicators Database; Economist Impact estimate{NL}{NL}DATA YEAR{NL}2021{NL}{NL}SCORE CALCULATION{NL}Score is linear transformation of data values to the scale 0-100 where 100=most healthy environment. A data value of 0 or below scores 100, a data value of 100 or above scores 0.{NL}{NL}Lower data values produce higher scores.</t>
  </si>
  <si>
    <t>DESCRIPTION{NL}NL}The indicator measures the percentage of individuals in the population who have experienced food insecurity at moderate or severe levels during the reference period. The severity of food insecurity, defined as a latent trait, is measured on the Food Insecurity Experience Scale global reference scale, a measurement standard established by FAO through the application of the Food Insecurity Experience Scale in more than 140 countries worldwide, starting in 2014.{NL}{NL}NOTES{NL}NL}DATA UNIT{NL}{NL}%; lower data value=higher score.{NL}{NL}Score is linear transformation of data values to the scale 0-100 where 100=most healthy environment. A data value of 0 or below scores 100, a data value of 100 or above scores 0</t>
  </si>
  <si>
    <t>DESCRIPTION{NL}The share of population within a 500 m walking distance of low capacity transport systems (buses and trams) and/or 1000 m distance to high capacity systems (train, subway, ferries).{NL}{NL}DATA UNIT{NL}%{NL}{NL}DATA SOURCE{NL}UN Habitat; Economist Impact estimate{NL}{NL}DATA YEAR{NL}2020{NL}{NL}SCORE CALCULATION{NL}Score is linear transformation of data values to the scale 0-100 where 100=most healthy environment. A data value of 0 or below scores 0, a data value of 100 or above scores 100.{NL}{NL}Higher data values produce higher scores.</t>
  </si>
  <si>
    <t>DESCRIPTION{NL}NL}The share of population within a 500 m walking distance of low capacity transport systems (buses and trams) and/or 1000 m distance to high capacity systems (train, subway, ferries).{NL}{NL}NOTES{NL}NL}DATA UNIT{NL}{NL}%; higher data value=higher score.{NL}{NL}Score is linear transformation of data values to the scale 0-100 where 100=most healthy environment. A data value of 0 or below scores 0, a data value of 100 or above scores 100</t>
  </si>
  <si>
    <t>Weighted average of the following indicator scores:{NL}{NL}3.1) Tobacco use{NL}3.2) Vegetable consumption{NL}3.3) Trans fats consumption{NL}3.4) Physical activity{NL}3.5) Hypertension{NL}3.6) Diabetes{NL}3.7) Obesity{NL}3.8) Cholesterol</t>
  </si>
  <si>
    <t>SCORE CALCULATION{NL}Weighted average of the following indicator scores:{NL}{NL}3.1) Tobacco use{NL}3.2) Vegetable consumption{NL}3.3) Trans fats consumption{NL}3.4) Physical activity{NL}3.5) Hypertension{NL}3.6) Diabetes{NL}3.7) Obesity{NL}3.8) Cholesterol{NL}{NL}</t>
  </si>
  <si>
    <t>DESCRIPTION{NL}Average weighted daily consumption (in grams per day) of vegetables, including fresh, frozen, cooked, canned, or dried vegetables and excluding legumes and salted or pickled vegetables, juices, nuts and seeds, and starchy vegetables such as potatoes or corn{NL}{NL}SCORING GUIDANCE{NL}WHO recommends 400g / day, per https://www.who.int/tools/elena/interventions/fruit-vegetables-ncds{NL}{NL}DATA UNIT{NL}g/day{NL}{NL}DATA SOURCE{NL}IHME{NL}{NL}DATA YEAR{NL}{NL}SCORE CALCULATION{NL}Score is linear transformation of data values to the scale 0-100 where 100=most healthy environment. A data value of 0 or below scores 0, a data value of 400 or above scores 100.{NL}{NL}Higher data values produce higher scores.</t>
  </si>
  <si>
    <t>Weighted average of the following sub-indicator scores:{NL}{NL}3.4a) Physical inactivity: national data{NL}3.4b) Physical activity: city-level data availability</t>
  </si>
  <si>
    <t>SCORE CALCULATION{NL}Weighted average of the following sub-indicator scores:{NL}{NL}3.4a) Physical inactivity: national data{NL}3.4b) Physical activity: city-level data availability{NL}{NL}</t>
  </si>
  <si>
    <t>DESCRIPTION{NL}Prevalence of hypertension among adults aged 30-79 years
Prevalence of hypertension (defined as having systolic blood pressure ≥140 mmHg, diastolic blood pressure ≥90 mmHg, or taking medication for hypertension) among adults aged 30-79.{NL}{NL}DATA UNIT{NL}%{NL}{NL}DATA SOURCE{NL}WHO; Economist Impact estimate{NL}{NL}DATA YEAR{NL}2019{NL}{NL}SCORE CALCULATION{NL}Score is linear transformation of data values to the scale 0-100 where 100=most healthy environment. A data value of 0 or below scores 100, a data value of 100 or above scores 0.{NL}{NL}Lower data values produce higher scores.</t>
  </si>
  <si>
    <t>DESCRIPTION{NL}NL}Prevalence of hypertension among adults aged 30-79 years
Prevalence of hypertension (defined as having systolic blood pressure ≥140 mmHg, diastolic blood pressure ≥90 mmHg, or taking medication for hypertension) among adults aged 30-79.{NL}{NL}NOTES{NL}NL}DATA UNIT{NL}{NL}%; lower data value=higher score.{NL}{NL}Score is linear transformation of data values to the scale 0-100 where 100=most healthy environment. A data value of 0 or below scores 100, a data value of 100 or above scores 0</t>
  </si>
  <si>
    <t>DESCRIPTION{NL}Impaired fasting glucose (IFG) estimates (20-79 years);{NL}{NL}DATA UNIT{NL}%{NL}{NL}DATA SOURCE{NL}International Diabetes Foundation{NL}{NL}DATA YEAR{NL}2021{NL}{NL}SCORE CALCULATION{NL}Score is linear transformation of data values to the scale 0-100 where 100=most healthy environment. A data value of 0 or below scores 100, a data value of 100 or above scores 0.{NL}{NL}Lower data values produce higher scores.</t>
  </si>
  <si>
    <t>DESCRIPTION{NL}NL}Impaired fasting glucose (IFG) estimates (20-79 years);{NL}{NL}NOTES{NL}NL}DATA UNIT{NL}{NL}%; lower data value=higher score.{NL}{NL}Score is linear transformation of data values to the scale 0-100 where 100=most healthy environment. A data value of 0 or below scores 100, a data value of 100 or above scores 0</t>
  </si>
  <si>
    <t>Weighted average of the following sub-indicator scores:{NL}{NL}3.8a) Mean blood cholesterol: national data{NL}3.8b) Cholesterol: city-level data availability</t>
  </si>
  <si>
    <t>SCORE CALCULATION{NL}Weighted average of the following sub-indicator scores:{NL}{NL}3.8a) Mean blood cholesterol: national data{NL}3.8b) Cholesterol: city-level data availability{NL}{NL}</t>
  </si>
  <si>
    <t>Score is linear transformation of data values to the scale 0-100 where 100=most healthy environment. A data value of 0 or below scores 100, a data value of 5.2 or above scores 0.{NL}{NL}Lower data values produce higher scores.</t>
  </si>
  <si>
    <t>DESCRIPTION{NL}Weighted mean blood low-density lipoprotein (LDL) cholesterol level{NL}{NL}DATA UNIT{NL}mmol/L{NL}{NL}DATA SOURCE{NL}IHME{NL}{NL}DATA YEAR{NL}2019{NL}{NL}SCORE CALCULATION{NL}Score is linear transformation of data values to the scale 0-100 where 100=most healthy environment. A data value of 0 or below scores 100, a data value of 5.2 or above scores 0.{NL}{NL}Lower data values produce higher scores.</t>
  </si>
  <si>
    <t>DESCRIPTION{NL}NL}Weighted mean blood low-density lipoprotein (LDL) cholesterol level{NL}{NL}NOTES{NL}NL}DATA UNIT{NL}{NL}mmol/L; lower data value=higher score.{NL}{NL}Score is linear transformation of data values to the scale 0-100 where 100=most healthy environment. A data value of 0 or below scores 100, a data value of 5.2 or above scores 0</t>
  </si>
  <si>
    <t>DESCRIPTION{NL}Diagnosis coverage (% of adults aged 30–79 years with hypertension who have received previous hypertension diagnosis){NL}{NL}DATA UNIT{NL}%{NL}{NL}DATA SOURCE{NL}WHO; Economist Impact estimate{NL}{NL}DATA YEAR{NL}2023{NL}{NL}SCORE CALCULATION{NL}Score is linear transformation of data values to the scale 0-100 where 100=most healthy environment. A data value of 0 or below scores 0, a data value of 100 or above scores 100.{NL}{NL}Higher data values produce higher scores.</t>
  </si>
  <si>
    <t>DESCRIPTION{NL}NL}Diagnosis coverage (% of adults aged 30–79 years with hypertension who have received previous hypertension diagnosis){NL}{NL}NOTES{NL}NL}DATA UNIT{NL}{NL}%; higher data value=higher score.{NL}{NL}Score is linear transformation of data values to the scale 0-100 where 100=most healthy environment. A data value of 0 or below scores 0, a data value of 100 or above scores 100</t>
  </si>
  <si>
    <t>DESCRIPTION{NL}Proportion of adults (20–79 years) with undiagnosed diabetes (%){NL}{NL}DATA UNIT{NL}%{NL}{NL}DATA SOURCE{NL}Diabetes Atlas{NL}{NL}DATA YEAR{NL}2021{NL}{NL}SCORE CALCULATION{NL}Score is linear transformation of data values to the scale 0-100 where 100=most healthy environment. A data value of 0 or below scores 100, a data value of 100 or above scores 0.{NL}{NL}Lower data values produce higher scores.</t>
  </si>
  <si>
    <t>DESCRIPTION{NL}NL}Proportion of adults (20–79 years) with undiagnosed diabetes (%){NL}{NL}NOTES{NL}NL}DATA UNIT{NL}{NL}%; lower data value=higher score.{NL}{NL}Score is linear transformation of data values to the scale 0-100 where 100=most healthy environment. A data value of 0 or below scores 100, a data value of 100 or above scores 0</t>
  </si>
  <si>
    <t>DESCRIPTION{NL}(National) Probability (%) of dying between age 30 and exact age 70 from any cardiovascular disease{NL}{NL}DATA UNIT{NL}%{NL}{NL}DATA SOURCE{NL}WHO{NL}{NL}DATA YEAR{NL}2019{NL}{NL}This is a background indicator and does not contribute to city index performance.</t>
  </si>
  <si>
    <t>DATA UNIT{NL}Years{NL}{NL}DATA SOURCE{NL}WHO{NL}{NL}DATA YEAR{NL}2019{NL}{NL}This is a background indicator and does not contribute to city index performance.</t>
  </si>
  <si>
    <t>DESCRIPTION{NL}(National) CHE as a percentage of national Gross Domestic Product{NL}{NL}DATA UNIT{NL}% GDP{NL}{NL}DATA SOURCE{NL}World Bank{NL}{NL}DATA YEAR{NL}2020{NL}{NL}This is a background indicator and does not contribute to city index performance.</t>
  </si>
  <si>
    <t>DESCRIPTION{NL}NL}Years lived with any short-term or long-term health loss weighted for severity by the disability weights.{NL}{NL}NOTES{NL}NL}DATA UNIT{NL}{NL}Rate (per 100,000 people); higher data value=higher score.{NL}{NL}Background data indicators do not contribute to city index performance.</t>
  </si>
  <si>
    <t>DESCRIPTION{NL}NL}Years of life lost due to premature mortality from CVD{NL}{NL}NOTES{NL}NL}DATA UNIT{NL}{NL}Rate (per 100,000 people); higher data value=higher score.{NL}{NL}Background data indicators do not contribute to city index performance.</t>
  </si>
  <si>
    <t>DESCRIPTION{NL}NL}Life expectancy at age 60{NL}{NL}NOTES{NL}NL}DATA UNIT{NL}{NL}Years; higher data value=higher score.{NL}{NL}Background data indicators do not contribute to city index performance.</t>
  </si>
  <si>
    <t>DESCRIPTION{NL}NL}Healthy life expectancy at age 60{NL}{NL}NOTES{NL}NL}DATA UNIT{NL}{NL}Years; higher data value=higher score.{NL}{NL}Background data indicators do not contribute to city index performance.</t>
  </si>
  <si>
    <t>Various, 2017-2021</t>
  </si>
  <si>
    <t>Various, 2018-2021</t>
  </si>
  <si>
    <t>DESCRIPTION{NL}(National) Share of deaths from cardiovascular diseases{NL}{NL}DATA UNIT{NL}%{NL}{NL}DATA SOURCE{NL}WHO{NL}{NL}DATA YEAR{NL}Various, 2017-2021{NL}{NL}This is a background indicator and does not contribute to city index performance.</t>
  </si>
  <si>
    <t>DESCRIPTION{NL}(National) Average number of years that a person can expect to live in "full health" by taking into account years lived in less than full health due to disease and/or injury.{NL}{NL}DATA UNIT{NL}Years{NL}{NL}DATA SOURCE{NL}WHO{NL}{NL}DATA YEAR{NL}2019{NL}{NL}This is a background indicator and does not contribute to city index performance.</t>
  </si>
  <si>
    <t>DESCRIPTION{NL}Years lived with any short-term or long-term health loss weighted for severity by the disability weights.{NL}{NL}DATA UNIT{NL}Rate (per 100,000 people){NL}{NL}DATA SOURCE{NL}IHME: Global Burden of Disease estimates{NL}{NL}DATA YEAR{NL}Various, 2018-2021{NL}{NL}This is a background indicator and does not contribute to city index performance.</t>
  </si>
  <si>
    <t>DESCRIPTION{NL}Years of life lost due to premature mortality from CVD{NL}{NL}DATA UNIT{NL}Rate (per 100,000 people){NL}{NL}DATA SOURCE{NL}IHME: Global Burden of Disease estimates{NL}{NL}DATA YEAR{NL}2022{NL}{NL}This is a background indicator and does not contribute to city index performance.</t>
  </si>
  <si>
    <t>DESCRIPTION{NL}Life expectancy at age 60{NL}{NL}DATA UNIT{NL}Years{NL}{NL}DATA SOURCE{NL}WHO{NL}{NL}DATA YEAR{NL}2022{NL}{NL}This is a background indicator and does not contribute to city index performance.</t>
  </si>
  <si>
    <t>DESCRIPTION{NL}Healthy life expectancy at age 60{NL}{NL}DATA UNIT{NL}Years{NL}{NL}DATA SOURCE{NL}WHO{NL}{NL}DATA YEAR{NL}2019{NL}{NL}This is a background indicator and does not contribute to city index performance.</t>
  </si>
  <si>
    <t>+1 City membership of urban health network or initiative</t>
  </si>
  <si>
    <t>+1 Urban health plan exists</t>
  </si>
  <si>
    <t>+1 Existence of initiatives to reduce adverse environmental impact of cities</t>
  </si>
  <si>
    <t>+1 There is a clear set of responsibilities and a process for health monitoring activities</t>
  </si>
  <si>
    <t>+1 The plan specifies a budget</t>
  </si>
  <si>
    <t>+1 Existence of health education programmes for clean household energy</t>
  </si>
  <si>
    <t>+1 Existence of city government health department</t>
  </si>
  <si>
    <t>+1 NCDs/CVDs plan exists</t>
  </si>
  <si>
    <t>+1 Existence of air pollution monitoring activities</t>
  </si>
  <si>
    <t>0 = No evidence of health department or involvement in urban networks{NL}+1 City membership of urban health network or initiative{NL}+1 There is a clear set of responsibilities and a process for health monitoring activities{NL}+1 Existence of city government health department</t>
  </si>
  <si>
    <t>Does the city government have a health department?
Is there a clear set of responsibilities and a process for health monitoring activities?
Is the city a member of any global, regional or national urban health network or initiative?{NL}{NL}0 = No evidence of health department or involvement in urban networks{NL}+1 City membership of urban health network or initiative{NL}+1 There is a clear set of responsibilities and a process for health monitoring activities{NL}+1 Existence of city government health department</t>
  </si>
  <si>
    <t>0 = No plan exists{NL}+1 Urban health plan exists{NL}+1 The plan specifies a budget{NL}+1 NCDs/CVDs plan exists</t>
  </si>
  <si>
    <t>Is there an urban public health plan?
Does the public health plan specify a budget allocated for health services and/or programmes?
Is there an urban health plan for NCDs or CVDs (separate or a part of the general public health plan)?{NL}{NL}0 = No plan exists{NL}+1 Urban health plan exists{NL}+1 The plan specifies a budget{NL}+1 NCDs/CVDs plan exists</t>
  </si>
  <si>
    <t>0 = There is no evidence of the existence of policies and initiatives to reduce air pollution{NL}+1 Existence of initiatives to reduce adverse environmental impact of cities{NL}+1 Existence of health education programmes for clean household energy{NL}+1 Existence of air pollution monitoring activities</t>
  </si>
  <si>
    <t>Are there any city monitoring activities of air quality (e.g. existence of monitoring stations and data collection)?
Are there any city health education campaigns for shifting to clean household energy?
Are there any clean city initiatives to reduce the adverse environmental impact of cities, for example, by paying special attention to air quality (e.g. scheme to reduce car use)?{NL}{NL}0 = There is no evidence of the existence of policies and initiatives to reduce air pollution{NL}+1 Existence of initiatives to reduce adverse environmental impact of cities{NL}+1 Existence of health education programmes for clean household energy{NL}+1 Existence of air pollution monitoring activities</t>
  </si>
  <si>
    <t>DESCRIPTION{NL}City government leadership and support for policies and packages to improve urban heart health{NL}{NL}Does the city government have a health department?
Is there a clear set of responsibilities and a process for health monitoring activities?
Is the city a member of any global, regional or national urban health network or initiative?{NL}{NL}0 = No evidence of health department or involvement in urban networks{NL}+1 City membership of urban health network or initiative{NL}+1 There is a clear set of responsibilities and a process for health monitoring activities{NL}+1 Existence of city government health department{NL}{NL}DATA UNIT{NL}Rating 0-3{NL}{NL}DATA SOURCE{NL}Economist Impact analyst rating{NL}{NL}DATA YEAR{NL}2024{NL}{NL}SCORE CALCULATION{NL}Data value of 0 scores 0{NL}Data value of 1 scores 33.3{NL}Data value of 2 scores 66.7{NL}Data value of 3 scores 100</t>
  </si>
  <si>
    <t>Rating 0-3; higher data value=higher score.{NL}{NL}Does the city government have a health department?
Is there a clear set of responsibilities and a process for health monitoring activities?
Is the city a member of any global, regional or national urban health network or initiative?{NL}{NL}0 = No evidence of health department or involvement in urban networks{NL}+1 City membership of urban health network or initiative{NL}+1 There is a clear set of responsibilities and a process for health monitoring activities{NL}+1 Existence of city government health department</t>
  </si>
  <si>
    <t>DESCRIPTION{NL}Existence of urban public health plan; The public health plan specifies a budget allocated for health services and/or programmes; Existence of urban health plan for NCDs or CVDs (separate or a part of the general public health plan){NL}{NL}Is there an urban public health plan?
Does the public health plan specify a budget allocated for health services and/or programmes?
Is there an urban health plan for NCDs or CVDs (separate or a part of the general public health plan)?{NL}{NL}0 = No plan exists{NL}+1 Urban health plan exists{NL}+1 The plan specifies a budget{NL}+1 NCDs/CVDs plan exists{NL}{NL}DATA UNIT{NL}Rating 0-3{NL}{NL}DATA SOURCE{NL}Economist Impact analyst rating{NL}{NL}DATA YEAR{NL}2024{NL}{NL}SCORE CALCULATION{NL}Data value of 0 scores 0{NL}Data value of 1 scores 33.3{NL}Data value of 2 scores 66.7{NL}Data value of 3 scores 100</t>
  </si>
  <si>
    <t>Rating 0-3; higher data value=higher score.{NL}{NL}Is there an urban public health plan?
Does the public health plan specify a budget allocated for health services and/or programmes?
Is there an urban health plan for NCDs or CVDs (separate or a part of the general public health plan)?{NL}{NL}0 = No plan exists{NL}+1 Urban health plan exists{NL}+1 The plan specifies a budget{NL}+1 NCDs/CVDs plan exists</t>
  </si>
  <si>
    <t>DESCRIPTION{NL}Existence of urban policies and programmes aiming to reduce air pollution and improve air quality{NL}{NL}Are there any city monitoring activities of air quality (e.g. existence of monitoring stations and data collection)?
Are there any city health education campaigns for shifting to clean household energy?
Are there any clean city initiatives to reduce the adverse environmental impact of cities, for example, by paying special attention to air quality (e.g. scheme to reduce car use)?{NL}{NL}0 = There is no evidence of the existence of policies and initiatives to reduce air pollution{NL}+1 Existence of initiatives to reduce adverse environmental impact of cities{NL}+1 Existence of health education programmes for clean household energy{NL}+1 Existence of air pollution monitoring activities{NL}{NL}DATA UNIT{NL}Rating 0-3{NL}{NL}DATA SOURCE{NL}Economist Impact analyst rating{NL}{NL}DATA YEAR{NL}2024{NL}{NL}SCORE CALCULATION{NL}Data value of 0 scores 0{NL}Data value of 1 scores 33.3{NL}Data value of 2 scores 66.7{NL}Data value of 3 scores 100</t>
  </si>
  <si>
    <t>Rating 0-3; higher data value=higher score.{NL}{NL}Are there any city monitoring activities of air quality (e.g. existence of monitoring stations and data collection)?
Are there any city health education campaigns for shifting to clean household energy?
Are there any clean city initiatives to reduce the adverse environmental impact of cities, for example, by paying special attention to air quality (e.g. scheme to reduce car use)?{NL}{NL}0 = There is no evidence of the existence of policies and initiatives to reduce air pollution{NL}+1 Existence of initiatives to reduce adverse environmental impact of cities{NL}+1 Existence of health education programmes for clean household energy{NL}+1 Existence of air pollution monitoring activities</t>
  </si>
  <si>
    <t>BG01) PROPORTION OF ALL DEATHS CAUSED BY CVD</t>
  </si>
  <si>
    <t>BG02) CVD MORTALITY RATE</t>
  </si>
  <si>
    <t>BG03) RISK OF PREMATURE DEATH FROM NCDS</t>
  </si>
  <si>
    <t>BG04) CVD INCIDENCE</t>
  </si>
  <si>
    <t>BG05) CVD PREVALENCE</t>
  </si>
  <si>
    <t>BG06) YEARS LIVED WITH DISABILITY (YLDS) DUE TO CVD</t>
  </si>
  <si>
    <t>BG07) YEARS OF LIFE LOST (YLLS) DUE TO CVD</t>
  </si>
  <si>
    <t>BG08) LIFE EXPECTANCY AT BIRTH</t>
  </si>
  <si>
    <t>BG09) HEALTHY LIFE EXPECTANCY AT BIRTH</t>
  </si>
  <si>
    <t>BG10) LIFE EXPECTANCY AT AGE 60</t>
  </si>
  <si>
    <t>BG11) HEALTHY LIFE EXPECTANCY AT AGE 60</t>
  </si>
  <si>
    <t>BG12) CURRENT HEALTH EXPENDITURE (CHE)</t>
  </si>
  <si>
    <t>BG13) TOTAL POPULATION</t>
  </si>
  <si>
    <t>BG14) GDP PER CAPITA IN $US</t>
  </si>
  <si>
    <t>BG01) PROPORTION OF ALL DEATHS CAUSED BY CVD{NL}BG02) CVD MORTALITY RATE{NL}BG03) RISK OF PREMATURE DEATH FROM NCDS{NL}BG04) CVD INCIDENCE{NL}BG05) CVD PREVALENCE{NL}BG06) YEARS LIVED WITH DISABILITY (YLDS) DUE TO CVD{NL}BG07) YEARS OF LIFE LOST (YLLS) DUE TO CVD{NL}BG08) LIFE EXPECTANCY AT BIRTH{NL}BG09) HEALTHY LIFE EXPECTANCY AT BIRTH{NL}BG10) LIFE EXPECTANCY AT AGE 60{NL}BG11) HEALTHY LIFE EXPECTANCY AT AGE 60{NL}BG12) CURRENT HEALTH EXPENDITURE (CHE){NL}BG13) TOTAL POPULATION{NL}BG14) GDP PER CAPITA IN $US</t>
  </si>
  <si>
    <t>[1] Multiple Indicator Cluster Surveys - Education Analysis for Global Learning and Equity. United Nations Children's Fund. Bangkok; 2019. Available from: https://data.unicef.org/wp-content/uploads/2022/07/Thailand-Education-Fact-Sheets-2019-EN.pdf</t>
  </si>
  <si>
    <t>[1] Thailand National Health Examination Survey 2019-20. Ministry of Public Health. Bangkok; 2021. Available from https://www.rama.mahidol.ac.th/commed/th/news/announcement/11062021-1038-th</t>
  </si>
  <si>
    <t>Osaka Prefecture. The health and nutritional status of the residents of Osaka Prefecture. Osaka: Health and Medical Dept. Osaka Prefectural Government, March 2022. Available from: https://www.pref.osaka.lg.jp/attach/142/00283806/H30fuminnokenkoujyoukyou%20.pdf P47</t>
  </si>
  <si>
    <t>Domain weights</t>
  </si>
  <si>
    <t>Domain</t>
  </si>
  <si>
    <t>Evidence of city-level data on educational attainment</t>
  </si>
  <si>
    <t>Unemployment, total (% of total labour force, ≥15 years) (modelled ILO estimate) Unemployment refers to the share of the labour force that is without work but available for and seeking employment.</t>
  </si>
  <si>
    <t>DOMAIN SCORE (COMPOSITE)</t>
  </si>
  <si>
    <t>Weighted average of the following domain scores:{NL}{NL}1) SOCIAL DETERMINANTS{NL}2) PHYSICAL ENVIRONMENT{NL}3) HEALTH RISKS{NL}4) HEALTH SERVICES{NL}5) GOVERNANCE</t>
  </si>
  <si>
    <t>SCORE CALCULATION{NL}Weighted average of the following domain scores:{NL}{NL}1) SOCIAL DETERMINANTS{NL}2) PHYSICAL ENVIRONMENT{NL}3) HEALTH RISKS{NL}4) HEALTH SERVICES{NL}5) GOVERNANCE{NL}{NL}</t>
  </si>
  <si>
    <t>DESCRIPTION{NL}Unemployment, total (% of total labour force, ≥15 years) (modelled ILO estimate) Unemployment refers to the share of the labour force that is without work but available for and seeking employment.{NL}{NL}DATA UNIT{NL}%{NL}{NL}DATA SOURCE{NL}World Development Indicators{NL}{NL}DATA YEAR{NL}2022{NL}{NL}SCORE CALCULATION{NL}Score is linear transformation of data values to the scale 0-100 where 100=most healthy environment. A data value of 0 or below scores 100, a data value of 100 or above scores 0.{NL}{NL}Lower data values produce higher scores.</t>
  </si>
  <si>
    <t>DESCRIPTION{NL}NL}Unemployment, total (% of total labour force, ≥15 years) (modelled ILO estimate) Unemployment refers to the share of the labour force that is without work but available for and seeking employment.{NL}{NL}NOTES{NL}NL}DATA UNIT{NL}{NL}%; lower data value=higher score.{NL}{NL}Score is linear transformation of data values to the scale 0-100 where 100=most healthy environment. A data value of 0 or below scores 100, a data value of 100 or above scores 0</t>
  </si>
  <si>
    <t>Score is linear transformation of data values to the scale 0-100 where 100=most healthy environment. A data value of 6.9 or below scores 0, a data value of 89.1 or above scores 100.{NL}{NL}Higher data values produce higher scores.</t>
  </si>
  <si>
    <t>DESCRIPTION{NL}Average share of the built-up area of cities that is open space for public use for all (%){NL}{NL}DATA UNIT{NL}%{NL}{NL}DATA SOURCE{NL}UN Habitat; Economist Impact estimate{NL}{NL}DATA YEAR{NL}2020{NL}{NL}SCORE CALCULATION{NL}Scores are normalized between the minimum and maximum values observed across all cities after adjusting for outliers detected using Tukey's method. No outliers were detected.{NL}Score is linear transformation of data values to the scale 0-100 where 100=most healthy environment. A data value of 6.9 or below scores 0, a data value of 89.1 or above scores 100.{NL}{NL}Higher data values produce higher scores.</t>
  </si>
  <si>
    <t>DESCRIPTION{NL}NL}Average share of the built-up area of cities that is open space for public use for all (%){NL}{NL}NOTES{NL}NL}DATA UNIT{NL}{NL}%; higher data value=higher score.{NL}{NL}Score is linear transformation of data values to the scale 0-100 where 100=most healthy environment. A data value of 6.9 or below scores 0, a data value of 89.1 or above scores 100</t>
  </si>
  <si>
    <t>Weighted average of the following domain scores:{NL}{NL}BG01) PROPORTION OF ALL DEATHS CAUSED BY CVD{NL}BG02) CVD MORTALITY RATE{NL}BG03) RISK OF PREMATURE DEATH FROM NCDS{NL}BG04) CVD INCIDENCE{NL}BG05) CVD PREVALENCE{NL}BG06) YEARS LIVED WITH DISABILITY (YLDS) DUE TO CVD{NL}BG07) YEARS OF LIFE LOST (YLLS) DUE TO CVD{NL}BG08) LIFE EXPECTANCY AT BIRTH{NL}BG09) HEALTHY LIFE EXPECTANCY AT BIRTH{NL}BG10) LIFE EXPECTANCY AT AGE 60{NL}BG11) HEALTHY LIFE EXPECTANCY AT AGE 60{NL}BG12) CURRENT HEALTH EXPENDITURE (CHE){NL}BG13) TOTAL POPULATION{NL}BG14) GDP PER CAPITA IN $US</t>
  </si>
  <si>
    <t>Overall, domain and indicator performance</t>
  </si>
  <si>
    <t>Indicator scores, grouped by domain</t>
  </si>
  <si>
    <t>All sub-indicators contribute equally to their parent indicator.  All indicators contribute equally to their parent domain.  All domains contribute equally to the overall score.</t>
  </si>
  <si>
    <t>All sub-indicators contribute equally to their parent indicator.  All indicators contribute equally to their parent domain.  All domains contribute to the overall score in proportion to the number of indicators they contain.</t>
  </si>
  <si>
    <t>Click city to highlight on chart</t>
  </si>
  <si>
    <t>Alicia White</t>
  </si>
  <si>
    <t>AliciaWhite@economist.com</t>
  </si>
  <si>
    <t>Amanda Stucke</t>
  </si>
  <si>
    <t>AmandaStucke@economist.com</t>
  </si>
  <si>
    <t>New York City</t>
  </si>
  <si>
    <t>New York City, United States</t>
  </si>
  <si>
    <t>Addis Ababa, Algiers, Atlanta, Auckland, Bangkok, Beijing, Berlin, Bogotá, Budapest, Cairo, Colombo, Delhi, Dhaka, Dubai, Helsinki, Ho Chi Minh City, Hong Kong, Istanbul, Jakarta, Johannesburg, Karachi, Kathmandu, Kolkata, Kuwait City, Lagos, London, Madrid, Manila, Melbourne, Mexico City, Moscow, Mumbai, Nairobi, New York City, Osaka, Paris, Phnom Penh, Riyadh, Rome, San Francisco, São Paulo, Seoul, Shanghai, Singapore, Sydney, Tokyo, Toronto, Vienna, Wuhan, Yangon</t>
  </si>
  <si>
    <t>Atlanta, Bogotá, Mexico City, New York City, San Francisco, São Paulo, Toronto</t>
  </si>
  <si>
    <t>Atlanta, Auckland, Berlin, Budapest, Dubai, Helsinki, Hong Kong, Kuwait City, London, Madrid, Melbourne, New York City, Osaka, Paris, Riyadh, Rome, San Francisco, Seoul, Singapore, Sydney, Tokyo, Toronto, Vienna</t>
  </si>
  <si>
    <t>Gini Index: national data</t>
  </si>
  <si>
    <t>Tobacco use: city-level data availability</t>
  </si>
  <si>
    <t>Hypertension surveillance: city-level data availability</t>
  </si>
  <si>
    <t>The Gini index measures income inequality. A Gini index of 0 represents perfect equality, while a score of 100 implies perfect inequality.</t>
  </si>
  <si>
    <t>Universal Health Coverage (UHC) Service Coverage sub-index on noncommunicable diseases</t>
  </si>
  <si>
    <t>Mean particulates (PM2.5) in urban areas
Mean annual concentration of fine suspended particles of less than 2.5 microns in diameter. Mean Population Exposure to PM2.5 (Micrograms/m3)</t>
  </si>
  <si>
    <t>The percentage of the population aged 15 years and over who currently use any tobacco product (smoked and/or smokeless tobacco) on a daily or non-daily basis. Tobacco products include cigarettes, pipes, cigars, cigarillos, water pipes (hookah, shisha), bidis, kretek, heated tobacco products, and all forms of smokeless (oral and nasal) tobacco. Tobacco products exclude e-cigarettes (which do not contain tobacco), “e-cigars”, “e-hookahs”, JUUL and “e-pipes”.</t>
  </si>
  <si>
    <t>Percent of the defined population attaining less than 150 minutes of moderate-intensity physical activity per week, or less than 75 minutes of vigorous-intensity physical activity per week, or equivalent.</t>
  </si>
  <si>
    <t>Prevalence of obesity among adults, BMI &gt;= 30 (age-standardised estimate) (%); Percentage of adults aged 18+ years with a body mass index (BMI) of 30 kg/m2 or higher.</t>
  </si>
  <si>
    <t>Access to essential CVD medicines included in the WHO Model List of Essential Medicines</t>
  </si>
  <si>
    <t>In the last 5 years, has city-level data on educational attainment been collected and/or published?</t>
  </si>
  <si>
    <t>Has the city conducted a recent adult risk factor survey covering raised blood pressure/hypertension?
Has the country conducted a recent national adult risk factor survey covering raised blood pressure/hypertension?</t>
  </si>
  <si>
    <t>Are patient-centred care models with multidisciplinary care teams to support self-management of CVD behavioural and metabolic risk factors adopted by care providers in the city (for example, mental health and lifestyle counselling by nurses, dietitians, counsellors and other allied health professionals)?</t>
  </si>
  <si>
    <t>Have stakeholders from different sectors (e.g. transport, education, retail, industry, healthcare providers and patients/general population representatives) been involved throughout the urban health plan development phase or in the process of policy development? (This could include providing input or assistance for the development or implementation of any health-related programmes or initiatives.)</t>
  </si>
  <si>
    <t>Country has not implemented any of the six measures</t>
  </si>
  <si>
    <t>Country has implemented one or two measures</t>
  </si>
  <si>
    <t>Country has implemented three or four measures</t>
  </si>
  <si>
    <t>1.1a) Gini Index: national data</t>
  </si>
  <si>
    <t xml:space="preserve">  1.1a) Gini Index: national data</t>
  </si>
  <si>
    <t>In the last 5 years, has city-level data on educational attainment been collected and/or published?{NL}{NL}0 = No{NL}1 = Yes</t>
  </si>
  <si>
    <t>3.1b) Tobacco use: city-level data availability</t>
  </si>
  <si>
    <t xml:space="preserve">  3.1b) Tobacco use: city-level data availability</t>
  </si>
  <si>
    <t>3.5b) Hypertension surveillance: city-level data availability</t>
  </si>
  <si>
    <t xml:space="preserve">  3.5b) Hypertension surveillance: city-level data availability</t>
  </si>
  <si>
    <t>Has the city conducted a recent adult risk factor survey covering raised blood pressure/hypertension?
Has the country conducted a recent national adult risk factor survey covering raised blood pressure/hypertension?{NL}{NL}0 = No survey has been conducted{NL}1 = Either a national survey OR a city survey has been conducted{NL}2 = Both a city survey AND a national survey have been conducted</t>
  </si>
  <si>
    <t>Are patient-centred care models with multidisciplinary care teams to support self-management of CVD behavioural and metabolic risk factors adopted by care providers in the city (for example, mental health and lifestyle counselling by nurses, dietitians, counsellors and other allied health professionals)?{NL}{NL}0 = There is no evidence of multidisciplinary care model{NL}1 = Evidence of multidisciplinary care model covering at least two of the areas listed</t>
  </si>
  <si>
    <t>Have stakeholders from different sectors (e.g. transport, education, retail, industry, healthcare providers and patients/general population representatives) been involved throughout the urban health plan development phase or in the process of policy development? (This could include providing input or assistance for the development or implementation of any health-related programmes or initiatives.){NL}{NL}0 = There is no evidence of multisector engagement{NL}1 = There is evidence of engagement with different sectors</t>
  </si>
  <si>
    <t>0 = Country has not implemented any of the six measures{NL}1 = Country has implemented one or two measures{NL}2 = Country has implemented three or four measures{NL}3 = Country has implemented five measures.{NL}4 = Country has implemented all six measures.</t>
  </si>
  <si>
    <t>How many measures for the following indicators have been implemented in the country and to what degree (complete, moderate, minimal, weak)?
MPOWER indicators:
- Monitoring tobacco use and prevention policies;
- Protecting people from tobacco smoke;
- Offer help to quit tobacco use;
- Warn about the dangers of tobacco;
- Enforce bans on tobacco advertising, promotion and sponsorship;
- Raise taxes on tobacco.{NL}{NL}0 = Country has not implemented any of the six measures{NL}1 = Country has implemented one or two measures{NL}2 = Country has implemented three or four measures{NL}3 = Country has implemented five measures.{NL}4 = Country has implemented all six measures.</t>
  </si>
  <si>
    <t>--- BACKGROUND INDICATORS ---</t>
  </si>
  <si>
    <t>1.1a) Gini Index: national data{NL}1.1b) Poverty: city-level data availability</t>
  </si>
  <si>
    <t>3.1a) Tobacco use: national data{NL}3.1b) Tobacco use: city-level data availability</t>
  </si>
  <si>
    <t>3.5a) Hypertension: national data{NL}3.5b) Hypertension surveillance: city-level data availability</t>
  </si>
  <si>
    <t>Weighted average of the following sub-indicator scores:{NL}{NL}1.1a) Gini Index: national data{NL}1.1b) Poverty: city-level data availability</t>
  </si>
  <si>
    <t>SCORE CALCULATION{NL}Weighted average of the following sub-indicator scores:{NL}{NL}1.1a) Gini Index: national data{NL}1.1b) Poverty: city-level data availability{NL}{NL}</t>
  </si>
  <si>
    <t>DESCRIPTION{NL}The Gini index measures income inequality. A Gini index of 0 represents perfect equality, while a score of 100 implies perfect inequality.{NL}{NL}DATA UNIT{NL}Gini Index score{NL}{NL}DATA SOURCE{NL}World Bank; Economist Impact estimate{NL}{NL}DATA YEAR{NL}2021{NL}{NL}SCORE CALCULATION{NL}Score is linear transformation of data values to the scale 0-100 where 100=most healthy environment. A data value of 0 or below scores 100, a data value of 100 or above scores 0.{NL}{NL}Lower data values produce higher scores.</t>
  </si>
  <si>
    <t>DESCRIPTION{NL}NL}The Gini index measures income inequality. A Gini index of 0 represents perfect equality, while a score of 100 implies perfect inequality.{NL}{NL}NOTES{NL}NL}DATA UNIT{NL}{NL}Gini Index score; lower data value=higher score.{NL}{NL}Score is linear transformation of data values to the scale 0-100 where 100=most healthy environment. A data value of 0 or below scores 100, a data value of 100 or above scores 0</t>
  </si>
  <si>
    <t>DESCRIPTION{NL}Evidence of city-level data on educational attainment{NL}{NL}In the last 5 years, has city-level data on educational attainment been collected and/or published?{NL}{NL}0 = No{NL}1 = Yes{NL}{NL}DATA UNIT{NL}Rating 0-1{NL}{NL}DATA SOURCE{NL}Economist Impact analyst rating{NL}{NL}DATA YEAR{NL}2024{NL}{NL}SCORE CALCULATION{NL}Data value of 0 scores 0{NL}Data value of 1 scores 100</t>
  </si>
  <si>
    <t>Rating 0-1; higher data value=higher score.{NL}{NL}In the last 5 years, has city-level data on educational attainment been collected and/or published?{NL}{NL}0 = No{NL}1 = Yes</t>
  </si>
  <si>
    <t>DESCRIPTION{NL}Universal Health Coverage (UHC) Service Coverage sub-index on noncommunicable diseases{NL}{NL}DATA UNIT{NL}Index score 0-100{NL}{NL}DATA SOURCE{NL}WHO; Economist Impact estimate{NL}{NL}DATA YEAR{NL}2021{NL}{NL}SCORE CALCULATION{NL}Score is linear transformation of data values to the scale 0-100 where 100=most healthy environment. A data value of 0 or below scores 0, a data value of 100 or above scores 100.{NL}{NL}Higher data values produce higher scores.</t>
  </si>
  <si>
    <t>DESCRIPTION{NL}NL}Universal Health Coverage (UHC) Service Coverage sub-index on noncommunicable diseases{NL}{NL}NOTES{NL}NL}DATA UNIT{NL}{NL}Index score 0-100; higher data value=higher score.{NL}{NL}Score is linear transformation of data values to the scale 0-100 where 100=most healthy environment. A data value of 0 or below scores 0, a data value of 100 or above scores 100</t>
  </si>
  <si>
    <t>Weighted average of the following sub-indicator scores:{NL}{NL}3.1a) Tobacco use: national data{NL}3.1b) Tobacco use: city-level data availability</t>
  </si>
  <si>
    <t>SCORE CALCULATION{NL}Weighted average of the following sub-indicator scores:{NL}{NL}3.1a) Tobacco use: national data{NL}3.1b) Tobacco use: city-level data availability{NL}{NL}</t>
  </si>
  <si>
    <t>DESCRIPTION{NL}The percentage of the population aged 15 years and over who currently use any tobacco product (smoked and/or smokeless tobacco) on a daily or non-daily basis. Tobacco products include cigarettes, pipes, cigars, cigarillos, water pipes (hookah, shisha), bidis, kretek, heated tobacco products, and all forms of smokeless (oral and nasal) tobacco. Tobacco products exclude e-cigarettes (which do not contain tobacco), “e-cigars”, “e-hookahs”, JUUL and “e-pipes”.{NL}{NL}DATA UNIT{NL}%{NL}{NL}DATA SOURCE{NL}WHO; Economist Impact estimate{NL}{NL}DATA YEAR{NL}2022{NL}{NL}SCORE CALCULATION{NL}Score is linear transformation of data values to the scale 0-100 where 100=most healthy environment. A data value of 0 or below scores 100, a data value of 100 or above scores 0.{NL}{NL}Lower data values produce higher scores.</t>
  </si>
  <si>
    <t>DESCRIPTION{NL}NL}The percentage of the population aged 15 years and over who currently use any tobacco product (smoked and/or smokeless tobacco) on a daily or non-daily basis. Tobacco products include cigarettes, pipes, cigars, cigarillos, water pipes (hookah, shisha), bidis, kretek, heated tobacco products, and all forms of smokeless (oral and nasal) tobacco. Tobacco products exclude e-cigarettes (which do not contain tobacco), “e-cigars”, “e-hookahs”, JUUL and “e-pipes”.{NL}{NL}NOTES{NL}NL}DATA UNIT{NL}{NL}%; lower data value=higher score.{NL}{NL}Score is linear transformation of data values to the scale 0-100 where 100=most healthy environment. A data value of 0 or below scores 100, a data value of 100 or above scores 0</t>
  </si>
  <si>
    <t>DESCRIPTION{NL}Percent of the defined population attaining less than 150 minutes of moderate-intensity physical activity per week, or less than 75 minutes of vigorous-intensity physical activity per week, or equivalent.{NL}{NL}DATA UNIT{NL}%{NL}{NL}DATA SOURCE{NL}WHO; Economist Impact estimate{NL}{NL}DATA YEAR{NL}2016{NL}{NL}SCORE CALCULATION{NL}Score is linear transformation of data values to the scale 0-100 where 100=most healthy environment. A data value of 0 or below scores 100, a data value of 100 or above scores 0.{NL}{NL}Lower data values produce higher scores.</t>
  </si>
  <si>
    <t>DESCRIPTION{NL}NL}Percent of the defined population attaining less than 150 minutes of moderate-intensity physical activity per week, or less than 75 minutes of vigorous-intensity physical activity per week, or equivalent.{NL}{NL}NOTES{NL}NL}DATA UNIT{NL}{NL}%; lower data value=higher score.{NL}{NL}Score is linear transformation of data values to the scale 0-100 where 100=most healthy environment. A data value of 0 or below scores 100, a data value of 100 or above scores 0</t>
  </si>
  <si>
    <t>Weighted average of the following sub-indicator scores:{NL}{NL}3.5a) Hypertension: national data{NL}3.5b) Hypertension surveillance: city-level data availability</t>
  </si>
  <si>
    <t>SCORE CALCULATION{NL}Weighted average of the following sub-indicator scores:{NL}{NL}3.5a) Hypertension: national data{NL}3.5b) Hypertension surveillance: city-level data availability{NL}{NL}</t>
  </si>
  <si>
    <t>DESCRIPTION{NL}Evidence that a recent (i.e. in the last 5 years) survey measuring raised blood pressure/hypertension has been conducted{NL}{NL}Has the city conducted a recent adult risk factor survey covering raised blood pressure/hypertension?
Has the country conducted a recent national adult risk factor survey covering raised blood pressure/hypertension?{NL}{NL}0 = No survey has been conducted{NL}1 = Either a national survey OR a city survey has been conducted{NL}2 = Both a city survey AND a national survey have been conducted{NL}{NL}DATA UNIT{NL}Rating 0-2{NL}{NL}DATA SOURCE{NL}Economist Impact analyst rating{NL}{NL}DATA YEAR{NL}2024{NL}{NL}SCORE CALCULATION{NL}Data value of 0 scores 0{NL}Data value of 1 scores 50{NL}Data value of 2 scores 100</t>
  </si>
  <si>
    <t>Rating 0-2; higher data value=higher score.{NL}{NL}Has the city conducted a recent adult risk factor survey covering raised blood pressure/hypertension?
Has the country conducted a recent national adult risk factor survey covering raised blood pressure/hypertension?{NL}{NL}0 = No survey has been conducted{NL}1 = Either a national survey OR a city survey has been conducted{NL}2 = Both a city survey AND a national survey have been conducted</t>
  </si>
  <si>
    <t>DESCRIPTION{NL}Prevalence of obesity among adults, BMI &gt;= 30 (age-standardised estimate) (%); Percentage of adults aged 18+ years with a body mass index (BMI) of 30 kg/m2 or higher.{NL}{NL}DATA UNIT{NL}%{NL}{NL}DATA SOURCE{NL}WHO; Economist Impact estimate{NL}{NL}DATA YEAR{NL}2022{NL}{NL}SCORE CALCULATION{NL}Score is linear transformation of data values to the scale 0-100 where 100=most healthy environment. A data value of 0 or below scores 100, a data value of 100 or above scores 0.{NL}{NL}Lower data values produce higher scores.</t>
  </si>
  <si>
    <t>DESCRIPTION{NL}NL}Prevalence of obesity among adults, BMI &gt;= 30 (age-standardised estimate) (%); Percentage of adults aged 18+ years with a body mass index (BMI) of 30 kg/m2 or higher.{NL}{NL}NOTES{NL}NL}DATA UNIT{NL}{NL}%; lower data value=higher score.{NL}{NL}Score is linear transformation of data values to the scale 0-100 where 100=most healthy environment. A data value of 0 or below scores 100, a data value of 100 or above scores 0</t>
  </si>
  <si>
    <t>DESCRIPTION{NL}Access to essential CVD medicines included in the WHO Model List of Essential Medicines{NL}{NL}Do patients identified at risk of developing CVD have access (in terms of availability and affordability) to the essential CVD medicines as defined in the WHO EML 23rd List (2023)? 
Specifically, do patients have access to ANY of the antihypertensive medicines (or their alternatives), lipid-lowering agents (or their alternatives), and to the fixed-dose combinations included in the WHO EML 23rd List?{NL}{NL}0 = Essential CVD medicines are not available or affordable{NL}1 = Essential CVD medicines are either available OR affordable{NL}2 = Essential CVD medicines are both available AND affordable{NL}{NL}DATA UNIT{NL}Rating 0-2{NL}{NL}DATA SOURCE{NL}Economist Impact analyst rating{NL}{NL}DATA YEAR{NL}2024{NL}{NL}SCORE CALCULATION{NL}Data value of 0 scores 0{NL}Data value of 1 scores 50{NL}Data value of 2 scores 100</t>
  </si>
  <si>
    <t>DESCRIPTION{NL}Existence of a multidisciplinary team care model to support self-management of CVD behavioural and metabolic risk factors (for example, mental health and lifestyle counselling by nurses, dietitians, counsellors and other allied health professionals){NL}{NL}Are patient-centred care models with multidisciplinary care teams to support self-management of CVD behavioural and metabolic risk factors adopted by care providers in the city (for example, mental health and lifestyle counselling by nurses, dietitians, counsellors and other allied health professionals)?{NL}{NL}0 = There is no evidence of multidisciplinary care model{NL}1 = Evidence of multidisciplinary care model covering at least two of the areas listed{NL}{NL}DATA UNIT{NL}Rating 0-1{NL}{NL}DATA SOURCE{NL}Economist Impact analyst rating{NL}{NL}DATA YEAR{NL}2024{NL}{NL}SCORE CALCULATION{NL}Data value of 0 scores 0{NL}Data value of 1 scores 100</t>
  </si>
  <si>
    <t>Rating 0-1; higher data value=higher score.{NL}{NL}Are patient-centred care models with multidisciplinary care teams to support self-management of CVD behavioural and metabolic risk factors adopted by care providers in the city (for example, mental health and lifestyle counselling by nurses, dietitians, counsellors and other allied health professionals)?{NL}{NL}0 = There is no evidence of multidisciplinary care model{NL}1 = Evidence of multidisciplinary care model covering at least two of the areas listed</t>
  </si>
  <si>
    <t>DESCRIPTION{NL}Evidence of multisectoral stakeholder engagement throughout the urban health plan development phase or in the process of policy development{NL}{NL}Have stakeholders from different sectors (e.g. transport, education, retail, industry, healthcare providers and patients/general population representatives) been involved throughout the urban health plan development phase or in the process of policy development? (This could include providing input or assistance for the development or implementation of any health-related programmes or initiatives.){NL}{NL}0 = There is no evidence of multisector engagement{NL}1 = There is evidence of engagement with different sectors{NL}{NL}DATA UNIT{NL}Rating 0-1{NL}{NL}DATA SOURCE{NL}Economist Impact analyst rating{NL}{NL}DATA YEAR{NL}2024{NL}{NL}SCORE CALCULATION{NL}Data value of 0 scores 0{NL}Data value of 1 scores 100</t>
  </si>
  <si>
    <t>Rating 0-1; higher data value=higher score.{NL}{NL}Have stakeholders from different sectors (e.g. transport, education, retail, industry, healthcare providers and patients/general population representatives) been involved throughout the urban health plan development phase or in the process of policy development? (This could include providing input or assistance for the development or implementation of any health-related programmes or initiatives.){NL}{NL}0 = There is no evidence of multisector engagement{NL}1 = There is evidence of engagement with different sectors</t>
  </si>
  <si>
    <t>DESCRIPTION{NL}Progress towards selected tobacco control policies for demand reduction for the period 2012 - 2022{NL}{NL}How many measures for the following indicators have been implemented in the country and to what degree (complete, moderate, minimal, weak)?
MPOWER indicators:
- Monitoring tobacco use and prevention policies;
- Protecting people from tobacco smoke;
- Offer help to quit tobacco use;
- Warn about the dangers of tobacco;
- Enforce bans on tobacco advertising, promotion and sponsorship;
- Raise taxes on tobacco.{NL}{NL}0 = Country has not implemented any of the six measures{NL}1 = Country has implemented one or two measures{NL}2 = Country has implemented three or four measures{NL}3 = Country has implemented five measures.{NL}4 = Country has implemented all six measures.{NL}{NL}DATA UNIT{NL}Rating 0-4{NL}{NL}DATA SOURCE{NL}Economist Impact analyst rating{NL}{NL}DATA YEAR{NL}2022{NL}{NL}SCORE CALCULATION{NL}Data value of 0 scores 0{NL}Data value of 1 scores 25{NL}Data value of 2 scores 50{NL}Data value of 3 scores 75{NL}Data value of 4 scores 100</t>
  </si>
  <si>
    <t>Rating 0-4; higher data value=higher score.{NL}{NL}How many measures for the following indicators have been implemented in the country and to what degree (complete, moderate, minimal, weak)?
MPOWER indicators:
- Monitoring tobacco use and prevention policies;
- Protecting people from tobacco smoke;
- Offer help to quit tobacco use;
- Warn about the dangers of tobacco;
- Enforce bans on tobacco advertising, promotion and sponsorship;
- Raise taxes on tobacco.{NL}{NL}0 = Country has not implemented any of the six measures{NL}1 = Country has implemented one or two measures{NL}2 = Country has implemented three or four measures{NL}3 = Country has implemented five measures.{NL}4 = Country has implemented all six measures.</t>
  </si>
  <si>
    <t>[1] United Nations Development Program (UNDP) Ethiopia. Crisis, Resilience and Opportunity: Poverty, Human Development, and the Macro-Economy in Ethiopia, 2020-23. UNDP Ethiopia Working Paper Series (2022). [Accessed April 25th 2024]. Available from: https://bloombergcities.jhu.edu/news/addis-ababa-tackles-poverty-solution-big-problem-itself#:~:text=In%20Addis%20Ababa%2C%20where%20the,committed%20to%20reversing%20that%20trend.</t>
  </si>
  <si>
    <t>[1] ONS. Algerian National Office of Statistics. Algiers: Algerian National Office of Statistics; [Accessed April 27th 2024]. Available from: https://www.ons.dz/</t>
  </si>
  <si>
    <t>City-level data on the population living in poverty has been collected and/or published in the last 5 years for Atlanta._x000D__x000D_DATA USA last published data on poverty in Atlanta in 2021. [1]</t>
  </si>
  <si>
    <t>[1] DATA USA. Atlanta, GA | Data USA [Internet]. Datausa.io. Deloitte &amp; Datawheel; 2021 [Accessed Apr 25th 2024]. Available from: https://datausa.io/profile/geo/atlanta-ga/</t>
  </si>
  <si>
    <t>City-level information on the population living in poverty wasn't found; only national-level data were available. [1] [2] [3]</t>
  </si>
  <si>
    <t>Poverty lines are determined commensurate with the cost of living in the regions of Thailand. Data on poverty are published by the Office of the National Economic and Social Development Council. In Bangkok the poverty line is just above THB3,000 (US$81) per month. [1] [2]</t>
  </si>
  <si>
    <t>The Beijing Municipal Bureau of Statistics and Survey Office of the National Bureau of Statistics in Beijing produces the annual Beijing National Economic and Social Development Statistical Bulletin, which contains annual statistical reporting on the social and economic situation in Beijing. Although the bulletin contains data on consumer prices and spending, as well as per capita income, it does not have a specific value for poverty in the city. [1]_x000D__x000D_According to the China Statistical Yearbook, China eliminated absolute poverty in 2020, and therefore the National Bureau of Statistics has not reported on this since. The last recorded measurements of absolute poverty are recorded in the 2021 China Statistical Yearbook, but only show results for rural poverty, and do not show any value at a city level. [2]_x000D__x000D_The China Household Finance Survey conducted by the Southwestern University of Finance and Economics conducts nationwide surveys of household finances and economic situations, including data at city level. However, the reports that are produced do not have a measurement for either relative or absolute poverty. [3]</t>
  </si>
  <si>
    <t>City-level data on the population living in poverty in Berlin have been collected and published in the last 5 years. Statistics come from a micro-census conducted in 2022 by the German federal government. [1]</t>
  </si>
  <si>
    <t>There is evidence of city-level data on poverty in Bogata._x000D_Colombia's National Statistical Department (DANE) is responsible for calculating the multidimensional level of poverty in the country. The statistical department also releases the poverty data for Bogotá. The latest data are from 2022 and indicate a decline in multidimensional poverty. The decrease in poverty in Bogotá impacted the decrease in poverty at the country level [1]</t>
  </si>
  <si>
    <t>[1] Juliana Aguilar Restrepo; Juanita Chacón. The multidimensional poverty in Bogotá 2022(La Pobreza Multidimensional en Bogotá 2022).Bogotá. Secretaría de Desarollo Económico.2023. Available from: https://observatorio.desarrolloeconomico.gov.co/mercado-laboral-general/la-pobreza-multidimensional-en-bogota-en-2022</t>
  </si>
  <si>
    <t>Data on poverty levels in Budapest were collected in 2020. The Central Statistics Bureau (Központi Statisztikai Hivatal, CSB) published relevant data in the Living Standards of Households 2020 survey findings. [1]</t>
  </si>
  <si>
    <t>[1] Central Statistics Bureau. Living standards of households 2020. Budapest: Central Statistics Bureau; [Accessed April 24th 2024]. Available from: https://www.ksh.hu/docs/hun/xftp/idoszaki/hazteletszinv/2020/index.html</t>
  </si>
  <si>
    <t>Cairo does not have published city-level data on the population living in poverty. [1] However, Egypt's Central Agency for Public Mobilization and Statistics (CAPMAS) published national-level data on the population living in poverty for 2019. [2] [3]</t>
  </si>
  <si>
    <t>In the last 5 years no city level data on the population living in poverty has been collected or published. No evidence was found on the Government of Sri Lanka website or in the statistics data on Colombo. [1] [2]</t>
  </si>
  <si>
    <t>In the last 5 years no city level data on the population living in poverty in Delhi has been collected or published. The available demographic profile is based on the census carried out in 2011 and estimations on the present day data are based on the 2011 census. [1]</t>
  </si>
  <si>
    <t>[1] Directorate of Economics and Statistics. Urban Slums in Delhi. Delhi. Planning Department, Government of National Capital Territory of Delhi. 2015. [ https://delhiplanning.delhi.gov.in/sites/default/files/69th_urban_slums.pdf] Accessed April 25th 2024.</t>
  </si>
  <si>
    <t>City level data for Dhaka on the population living in poverty are available in the 2022 annual report on Household Income and Expenditure Survey produced by the Bangladesh Bureau of Statistics, Ministry of Planning. [1]</t>
  </si>
  <si>
    <t>[1] Director General, Bangladesh Bureau of Statistics (BBS), Statistics and Informatics Division (SID), Ministry of Planning. Household Income and Expenditure Survey (HIES) 2022. Dhaka: Bangladesh Bureau of Statistics. December 14th 2023. Accessed 29th April. Available from: https://bbs.portal.gov.bd/sites/default/files/files/bbs.portal.gov.bd/page/b343a8b4_956b_45ca_872f_4cf9b2f1a6e0/2023-12-28-14-40-ac2b3d298f569f155a80871a49b7dd9e.pdf</t>
  </si>
  <si>
    <t>The UAE's Federal Competitiveness and Statistics Centre's "Poverty Rate in the UAE" section, last updated on August 3rd 2023, has published poverty rates for all of the United Arab Emirates, including Dubai, from 2012 to 2020. [1]</t>
  </si>
  <si>
    <t>[1] Federal Competitiveness and Statistics Centre. Datasets: Poverty Rate in the UAE. UAE: Bayanet.ae. August 3rd 2023. Accessed April 25th. Available from: https://opendata.fcsc.gov.ae/@federal-competitiveness-and-statistics-center/poverty-rate-in-the-uae.</t>
  </si>
  <si>
    <t>[1] Statistics Finland. Dwelling population's risk of poverty and persistent risk of poverty by region, 1995-2022. Helsinki: Statistics Finland. Accessed April 27th 2024]. Available from: https://pxdata.stat.fi/PxWeb/pxweb/en/StatFin/StatFin__tjt/statfin_tjt_pxt_127y.px</t>
  </si>
  <si>
    <t>The Government of Ho Chi Minh City has published a report highlighting poverty levels in the city, the number of poor households and city planning to reduce this number. The document is available from the Vietnam Government Portal. Ho Chi Minh City Media Center (HMC) also updated the number at the beginning of 2024. [1] [2]</t>
  </si>
  <si>
    <t>Data on the population living in poverty in Hong Kong were collected and published by the Hong Kong Census and Statistics Department in 2021. [1]</t>
  </si>
  <si>
    <t>Available evidence indicates that city-level data on poverty rates have been collected and published by the national statistics agency within the past five years. _x000D__x000D_Information available on a joint website of the Istanbul Statistics Office and the Istanbul Planning Agency (IPA, an entity of the Istanbul Metropolitan Municipality) suggests that both national and local sources are used to collect and analyse data on poverty. For example, the website uses the Turkish Statistical Institute's Income and Living Conditions Survey 2022 data, which define the poverty level in Turkey as 60% or lower of the individual income median. Among locally run sources, the IPA has used the Social Texture Research initiative conducted in Istanbul in 2022, which gauged households' perception of their own economic status. [1]</t>
  </si>
  <si>
    <t>Badan Pusat Statistik (BPS), the statistics agency, published the most recent data for city-level poverty for Jakarta province in October 2023. [1]</t>
  </si>
  <si>
    <t>[1] Statistics Indonesia. Poverty Profile DKI Jakarta province. Statistics Indonesia; [Accessed Apr 25th 2024]. Available from: https://jakarta.bps.go.id/publication/2023/10/24/80f0a8250bd0e968069ad63d/profil-kemiskinan-provinsi-dki-jakarta-2022.html</t>
  </si>
  <si>
    <t>The City of Johannesburg has published city-level data on the population living in poverty collected in the last 5 years. In 2020 the city government published the number of people living below the lower poverty line in 2019. [1]</t>
  </si>
  <si>
    <t>[1] City of Johannesburg. Joburg Demographics and Key Socio Economic Indicators. Johannesburg: City of Johannesburg. Accessed April 23rd. Available from: https://joburg.org.za/documents_/Documents/Statistical%20Briefs/Issue%2023%20Joburg%20Demographics%20and%20Key%20Socio%20Economic%20Indicators.pdf</t>
  </si>
  <si>
    <t>A report published by Pakistan Institute of Development Economics in 2021, "The State of Poverty in Pakistan", contains data on poverty in Sindh province (of which Karachi is the capital), but does not contain data specific to Karachi city. [1] No city-level data are available on the Karachi Metropolitan Corporation's web portal.[2]</t>
  </si>
  <si>
    <t>There is no evidence of the publication of city-level data on the population living in poverty. Neither the web portal of Kathmandu Metropolitan City nor the Ministry of Finance have any information. [1] [2] _x000D_However, data exist at the national level and sub-national level. The latest Nepal Living Standard Survey has data on poverty disaggregated by rural and urban areas, and by province, in Nepal. [3] The survey also presents information for Kathmandu Valley urban area (which includes two other metropolitan cities). The poverty headcount rate for Kathmandu Valley Urban areas is 7.38%</t>
  </si>
  <si>
    <t>In the last 5 years, there has been no city level survey or publication on the population living in poverty. No evidence is found under the city government websites or under NGOs that work among the poor in Calcutta. [1][2][3]</t>
  </si>
  <si>
    <t>No city-specific data is available on poverty in Kuwait City from the Central Statistical Bureau or the Ministry of Interior. [1] [2]_x000D__x000D_A paper published in the Laboratory for Interdisciplinary Evaluation of Public Policies in 2021 states that poverty among the citizen population of Kuwait is non-existent. [3]</t>
  </si>
  <si>
    <t>[1] National Bureau of Statistics. 2022 Nigeria Multidimensional Poverty Index Survey. Abuja: National Bureau of Statistics. Accessed April 29th 2024. Available from: https://www.nigerianstat.gov.ng/pdfuploads/NIGERIA%20MULTIDIMENSIONAL%20POVERTY%20INDEX%20SURVEY%20RESULTS%202022.pdf</t>
  </si>
  <si>
    <t>The estimated number of Londoners living in poverty is from 2019/20–2021/22. The London poverty rate remains above the UK-wide rate, which has ranged between 25% and 21%. [1]</t>
  </si>
  <si>
    <t>[1] Leeser, R. Poverty in London 2021/22. London: London datastore; 2023. Available from: https://data.london.gov.uk/blog/poverty-in-london-2021-22/#:~:text=The%20estimated%20number%20of%20Londoners,per%20cent%20of%20the%20population.</t>
  </si>
  <si>
    <t>Available evidence indicates that in Madrid city-level data on local rates of poverty have been collected and published in the last five years. Such data are analysed by the government and other entities._x000D__x000D_The periodic Living Conditions Survey (Encuesta de Condiciones de Vida—ECV) of the National Institute of Statistics (Instituto Nacional de Estadística—INE) measures the risk-of-poverty rate (based upon income for the prior year) in the autonomous communities, including the Community of Madrid. The most recent survey covers the year 2023. [1] _x000D__x000D_In its report, "The State of Poverty: Monitoring of the indicators of the EU 2030 Agenda 2015-2021", published in 2022, the Spanish affiliate of the European Anti-Poverty Network (EAPN), a non-governmental organisation, used the European Union's AROPE (At risk of poverty and/or exclusion) indicator to determine the percentage of the Madrid population at risk of poverty or social exclusion. [2]</t>
  </si>
  <si>
    <t>In Manila, city-level data on the population living in poverty has been collected and published. The Philippine Statistics Authority (PSA) periodically releases official poverty estimates, which are disaggregated at the city level. The PSA's poverty estimates, last published in 2022 with data from 2021, which are available every three years, provide insights into poverty levels in different regions, including Manila. [1]</t>
  </si>
  <si>
    <t>Melbourne's 2021 poverty rate was published by the Victorian Council of Social Services, informed by the 2023 NATSEM "Mapping Poverty in Victoria" report. [1]</t>
  </si>
  <si>
    <t>City-level data on the population living in poverty have been collected and/or published in the last 5 years for Mexico City._x000D__x000D_Even though poverty stands well below the national average, approximately a quarter of the population in Mexico City lived in poverty in 2022. [1]</t>
  </si>
  <si>
    <t>[1] Statista. Topic: Mexico City [Internet]. Hamburg: Statista; 2022. Accessed 25th April 2024. Available from: https://www.statista.com/topics/9034/mexico-city/#editorsPicks</t>
  </si>
  <si>
    <t>The Department of the Federal Service of State Statistics for Moscow and the Moscow Region has data on the proportion of people living in poverty in Moscow for each year in 2013-2022. [1]</t>
  </si>
  <si>
    <t>In the last 5 years, there has been no city level survey or publication on population living in poverty. The last census carried out was in 2011 and most of the estimates on the present-day census and population living in poverty are based on the census from 2011. [1] [2]</t>
  </si>
  <si>
    <t>Data from 2022 published by the Global Data Lab include the percentage of poor households in Nairobi with an International Wealth Index (IWI) value under 70, under 50 and under 35.[1]</t>
  </si>
  <si>
    <t>There are data on poverty at the city level. The Poverty Tracker is a partnership between the Robin Hood Organization and Columbia University that publishes annual reports on poverty in New York. The 2024 published report analyses the 2022 data and highlights the key findings regarding poverty, the percentage of New Yorkers who live in poverty (more than 1.5m). [1]</t>
  </si>
  <si>
    <t>Osaka Prefecture and Osaka City regularly conduct surveys targeting children and their guardians to clarify the realities of children facing difficulties in their lives. Figures are for 2023, showing the relative poverty rate, based on national standards. [1]</t>
  </si>
  <si>
    <t>[1] Osaka City. Survey on the Reality of Children's Lives. Osaka: Osaka City, March 2024. Available from: https://www.city.osaka.lg.jp/kodomo/cmsfiles/contents/0000623/623642/houkokushozennshi1.pdf</t>
  </si>
  <si>
    <t>Available evidence indicates that city-level data on the population living in poverty in Paris have been collected and published in the last five years. The latest data from France's National Institute of Statistics and Economic Studies (INSEE) on the overall poverty rate in Paris are for the year 2021. [1]</t>
  </si>
  <si>
    <t>There is no evidence of city-level data that explicitly refers to poverty. However, the National Institute of Statistics published city-level data on various metrics related to poverty in Phnom Penh in the Cambodia Socio-Economic Survey 2021. These include metrics on food consumption as a share of total consumption and average monthly consumption per capita. [1]</t>
  </si>
  <si>
    <t>[1] National Institute of Statistics. Report of Cambodia Socio-Economic Survey 2021. Phnom Penh: National Institute of Statistics. Accessed 24th April 2024. Available from: https://www.nis.gov.kh/nis/CSES/Final%20Report%20of%20Cambodia%20Socio-Economic%20Survey%202021_EN.pdf</t>
  </si>
  <si>
    <t>No city-specific data on poverty in Riyadh is available on the websites of the General Authority for Statistics, the Ministry of Interior or the Ministry of Economy and Planning. [1] [2] [3]</t>
  </si>
  <si>
    <t>Available evidence indicates that at least one official city-level research study on poverty in Rome has been done recently, using older data. _x000D__x000D_Published by the Municipality of Rome (Comune di Roma) in 2021, the granular study examines poverty trends in Rome, but its relevant metrics rely upon ISTAT data from 2018. These metrics include the ratio of the population at risk of poverty (defined as having income lower than or equal to 60% of the median income), and the ratio of households experiencing problems in paying for basic expenses. [1]_x000D__x000D_The Italian National Institute of Statistics (Istituto Nazionale di Statistica—ISTAT) publishes reports annually on poverty in Italy; the most recent one covers the year 2022 and provides limited breakdowns of data by geographical division and political region only. The study found that Lazio (the region encompassing Rome) and Emilia-Romagna had the lowest poverty rates in the nation. [2]</t>
  </si>
  <si>
    <t>City-level data on the population living in poverty have been collected and/or published in the last 5 years for San Francisco. Estimated data for levels of San Francisco residents living in poverty were published in 2019. [1]</t>
  </si>
  <si>
    <t>[1] City and County of San Francisco. Poverty in San Francisco | City Performance Scorecards [Internet]. City Performance Scorecards. City and County of San Francisco; 2019. Accessed April 25th 2024. Available from: https://sfgov.org/scorecards/safety-net/poverty-san-franciscoo</t>
  </si>
  <si>
    <t>São Paulo has collected city-level data on the population living in poverty in the last 5 years. The number of families living in extreme poverty in the city of São Paulo grew in the past year, according to 2023 data from the City Hall's Single Registry (CadÚnico), used to pay for social programs in the capital of São Paulo. [1]</t>
  </si>
  <si>
    <t>[1] Secretária de Assistência e Desenvolvimento Social. Diagnosis of the City of São Paulo for the 2023 Municipal Conference. São Paulo: Prefeitura de São Paulo; 2023. Available from: https://drive.google.com/file/d/1peHuDVk01_usm-2zAN1poctVY-wNFhW3/view?pli=1</t>
  </si>
  <si>
    <t>The Seoul Metropolitan Government offers city-level data on poverty, including the percentage of welfare recipients living in the city. [1] [2] [3] The latest data were collected and published in 2022.[1]</t>
  </si>
  <si>
    <t>Annual data on living conditions of Shanghai citizens are published as part of Shanghai's annual Statistical Bulletin on National Economic and Social Development. This includes measurement of per capita disposable income and consumption, as well as money and assistance given out to those in poverty. According to the bulletin, governments at all levels spent Rmb2.5bn in minimum living security funds, and gave Rmb135m in assistance and support funds for extremely poor people. There is no figure given, however, on the number of people living in any poverty. [1]_x000D__x000D_According to the China Statistical Yearbook, China eliminated absolute poverty in 2020 and therefore the National Bureau of Statistics has not reported on this since. The last recorded measurements of absolute poverty are recorded in the 2021 China Statistical Yearbook, but only show results for rural poverty and not at a city level. [2]_x000D__x000D_The China Household Finance Survey conducted by the Southwestern University of Finance and Economics conducts nationwide surveys of household finances and economic situations, including data at city level. The reports that are produced, however, do not have a measurement for either relative or absolute poverty. [3]</t>
  </si>
  <si>
    <t>According to the report "Key Household Income Trends, 2023", from the Department of Statistics, the household GINI coefficient, which measures inequality, decreased from 2022 to 2023. [1]_x000D_However, it is valid to emphasise that according to the study "Measuring Poverty in Singapore", from The Lien Centre for Social Innovation and SMU School of Social Sciences, Singapore has no official poverty line. Even though poverty in the city-state may not be similar to poverty in developing countries due to its high GDP/per capita, inequality is still a salient question. [2]</t>
  </si>
  <si>
    <t>The National Centre For Social And Economic Modelling (NATSEM) provides data on poverty rate by demographic and area within the city of Sydney [1, 2]. Additionally, in 2019 the NSW Council of Social Service mapped economic disadvantage in the state—including data for Sydney (page 17 of the report) [3].</t>
  </si>
  <si>
    <t>The Tokyo Metropolitan Government regularly conducts surveys targeting children and their guardians to clarify the realities of children facing financial difficulties in their lives. The government makes data available on the percentage of households in a "difficult condition", which as been defined as "those with equivalent household incomes below the standard, facing financial constraints such as inability to pay public utilities or rent, experiencing lack of economic resources for children's experiences or possessions, meeting two or more of these criteria." The last update was published in 2023. [1]</t>
  </si>
  <si>
    <t>According to the 2021 Census, Torontonians live in poverty, with higher levels amongst immigrants, seniors (especially older women), children and families, and racialized Torontonians, with the highest rates experienced by Arab, West Asian, and Korean communities. [1]</t>
  </si>
  <si>
    <t>[1] Toronto's Critical Situation by the Numbers. Toronto: Social Planning Toronto; 2021. Available from: https://www.socialplanningtoronto.org/poverty_by_the_numbers#:~:text=According%20to%20the%202021%20Census,West%20Asian%2C%20and%20Korean%20communities.</t>
  </si>
  <si>
    <t>The data are taken from the "Annual Report of the Vienna Minimum Income 2022" and concern the share of all Vienna residents who are at risk of poverty. [1]</t>
  </si>
  <si>
    <t>Annual data on living conditions among Wuhan citizens is produced by the Wuhan Statistics Bureau as part of its Wuhan National Economic and Social Development Statistical Bulletin, which includes GDP per capita as well as consumer prices. It does not specifically address poverty. [1]_x000D__x000D_"Per Capita Disposable Income of Rural Households in Poverty Relief Counties" is measured and presented within the China Statistical yearbook (6.36), which includes a value for Hubei Province but not for Wuhan City. [2] _x000D__x000D_According to the China Statistical Yearbook, China eliminated absolute poverty in 2020 and therefore the National Bureau of Statistics has not reported on this since. The last recorded measurements of absolute poverty are recorded in the 2021 China Statistical Yearbook, but only show results for rural poverty and not at a city level. [3]_x000D__x000D_The China Household Finance Survey conducted by the Southwestern University of Finance and Economics conducts nationwide surveys of household finances and economic situations, including data at city level. The reports that are produced, however, do not have a measurement for either relative or absolute poverty. [4]</t>
  </si>
  <si>
    <t>UNDP regularly conducts surveys on poverty in the whole of Myanmar; the surveys do not break down the figures at the township level, but at the state and region level. According to a report published in April 2024, the poverty headcount significantly rose in 2022-23. [1] [2]</t>
  </si>
  <si>
    <t>Data specific to the city of Addis Ababa on educational attainment is not readily available on the websites of the Addis Ababa City Administration Education Bureau, the Ministry of Education or the World Bank [1,2,3,4,5].</t>
  </si>
  <si>
    <t>No evidence regarding educational attainment in Algiers was identified on the websites of the Ministry of Education, the National Office of Statistics (ONS) or the World Bank. [1,2,3]</t>
  </si>
  <si>
    <t>City-level data on educational attainment have been collected and/or published in the last 5 years for Atlanta._x000D__x000D_The US City Health Dashboard from the NYU Grossman School of Medicine's Department of Population Health last published data on educational attainment in Atlanta in 2021. [1] Atlanta had an estimated 92.1% of adults with a high school diploma equivalent or higher in 2021.</t>
  </si>
  <si>
    <t>[1] NYU Grossman School of Medicine's Department of Population Health. Atlanta, GA - Metric Detail. City Health Dashboard [Internet]. New York: NYU Langone Health; 2021. [Accessed Apr 25th 2024]. Available from: https://www.cityhealthdashboard.com/GA/Atlanta/metric-detail?metricId=10&amp;dataPeriod=2021</t>
  </si>
  <si>
    <t>Even though the most recent published data are from the 2018 Census, city-level data on educational attainment have been collected for the 2023 Census, which will be released in May 2024. [1]</t>
  </si>
  <si>
    <t>[1] Auckland Region. Stats NZ; 2018. [Accessed April 26th 2024]. Available from: https://www.stats.govt.nz/tools/2018-census-place-summaries/auckland-region#education-and-training</t>
  </si>
  <si>
    <t>UNICEF collected data on educational attainment in Bangkok, including the percentage of adults that have a secondary education or above, as part of its Multiple Indicator Cluster Survey in 2019. [1]</t>
  </si>
  <si>
    <t>Beijing's Communiqué of the Seventh National Population Census last published data on educational attainment in Beijing in November 2021, including the population aged 15 and above who attained or completed high-school-level education (including vocational school). [1]</t>
  </si>
  <si>
    <t>There is no evidence of data on educational attainment in adults at the city level._x000D__x000D_Even though Bogotá's Education Secretary has reports analysing data on education (including supply and demand for education, enrollment in schools, teaching staff, and approval and disapproval rates), no data were found concerning the educational attainment in adults. [1] DANE, Colombia's National Statistical Department, has published a report analysing formal education at the country level, but there is no information on this specific indicator. [2] Furthermore, there is no evidence of educational attainment data for Bogotá on the DANE website. [3] The Ministry of Education has open data for pre-school, basic and secondary education, including the number of enrollments, educational establishments and infrastructure indicators. However, there are no data on educational attainment. [4]</t>
  </si>
  <si>
    <t>Data on educational attainment in Budapest were collected as part of the 2022 census, based on the highest completed form of education. [1] The Central Statistics Bureau (Központi Statisztikai Hivatal, CSB) in its publication on the Sustainable Development Goals of Hungary, also collected data on educational attainment in Budapest until October 31st 2022. [2]</t>
  </si>
  <si>
    <t>The Egyptian Ministry of Education and the Central Agency for Public Mobilization and Statistics (CAPMAS) last reported the number of people in the city that had followed the high school or "azharî-s" course (religious training leading to a diploma) in 2017. [1] There is no evidence of a more recent survey measuring education attainment.</t>
  </si>
  <si>
    <t>In the last 5 years, city-level data on education attainment has not been collected or published. No evidence was found on the Government of Sri Lanka website or in statistics data on Colombo. [1] [2]</t>
  </si>
  <si>
    <t>Gender based, city-level data on educational attainment have been collected and published in the last 5 years. The educational attainment data are available in the National Family Health Survey carried out in 2019-21 and published in 2022. The survey notes the percentage of men and women with 10 or more years of schooling. Ten years or more of schooling is high school level attainment, which can be used to apply for professional diploma courses in India. [1] No further information is publicly available from the Ministry of Statistics and Implementation. [2]</t>
  </si>
  <si>
    <t>City-level data on the number of adults aged 25 years and above in Dhaka who have completed upper secondary education or higher are not available in the Bangladesh Education Statistics 2022 published by the Bangladesh Bureau of Educational Information and Statistics (BANBEIS) under the Ministry of Education. [1] Nor are such figures included in the 2020 Bangladesh Education Fact Sheet jointly produced by the Bangladesh Bureau of Statistics, UNICEF New York and UNICEF Bangladesh. [2]</t>
  </si>
  <si>
    <t>There is no evidence that data on educational attainment in Dubai have been collected and published in the last 5 years. While a UAE Ministry of Education report provides some data, such as the total number of Emirati and expatriate students who graduated from high school in Dubai between 2015 and 2019, it does not detail educational attainment for adults generally. [1] The Dubai Statistics Center's reports also lack a breakdown of this, and their latest education report is from 2021. [2] The education section of the UAE's Federal Competitiveness and Statistics Centre website indicates that it is currently under construction. [3]</t>
  </si>
  <si>
    <t>Statistics Finland last reported data on educational attainment in Helsinki, including the number of adults over 25 years old that have attained or completed upper secondary education, in 2022. [1]</t>
  </si>
  <si>
    <t>[1] Statistics Finland. Educational structure of population. Helsinki: Statistics Finland. [Accessed 7th March 2024]. Available from: https://pxdata.stat.fi/PxWeb/pxweb/fi/StatFin/StatFin__vkour</t>
  </si>
  <si>
    <t>The 2019 Population and Housing Census provided data on the proportion of population aged 15 years and above by highest educational attainment for Ho Chi Minh City, as well as for other cities, provinces and nationally.[1]_x000D__x000D_The Association of Vietnamese Universities and Colleges and Ho Chi Minh City Department of Education have published a report which includes targets for the percentage of the population with university degree or higher by 2025 and 2030. [2]</t>
  </si>
  <si>
    <t>Data on educational attainment, including the proportion of adults that have a secondary education or above, were collected and published by the Hong Kong Census and Statistics Department in 2021. [1]</t>
  </si>
  <si>
    <t>[1] Hong Kong Census and Statistics Department. Educational Characteristics of Hong Kong Population. Hong Kong: Hong Kong Census and Statistics Department; 2021. [Accessed March 18th 2024]. Available from: https://www.census2021.gov.hk/doc/pub/21C_Articles_Educational.pdf.</t>
  </si>
  <si>
    <t>Available evidence indicates that city-level data on educational attainment have been collected and published—by the national statistics agency—within the past 5 years._x000D__x000D_Information available on a joint website of the Istanbul Statistics Office and the Istanbul Planning Agency (IPA—an entity of the Istanbul Metropolitan Municipality) suggests that they use data compiled by two sources, the Turkish Statistical Institute (TURKSTAT) and the Turkish Ministry of National Education, to develop its metrics on education. Drawing upon the former source, the IPA has published the latest available data (from 2019) on the level of educational attainment by adult residents, indicating the percentage of the city's residents who were upper secondary school graduates. [1] _x000D__x000D_Drawing upon the latter source, the IPA published its most recent statistics on current educational conditions in the city in its Istanbul Education Statistics Bulletin, 2020. [2]</t>
  </si>
  <si>
    <t>Badan Pusat Statistik (BPS), the statistics agency, published data on educational attainment in Jakarta, including the number of people in the labour force who have completed a secondary or university education, at the end of 2021. [1]</t>
  </si>
  <si>
    <t>[1] Statistics Indonesia. Population of DKI Jakarta Province Aged 15 Years and Over According to Highest Education Completed 2019-2021. Statistics Indonesia; [Accessed April 26th 2024]. Available from: https://jakarta.bps.go.id/indicator/6/116/1/penduduk-provinsi-dki-jakarta-berumur-15-tahun-ke-atas-menurut-pendidikan-tertinggi-yang-ditamatkan.html</t>
  </si>
  <si>
    <t>Johannesburg has city-level data on educational attainment collected in the last 5 years. The National Census 2022 published data on the highest level of education attained by people aged 20 and over. The data are disaggregated by city, and contain statistics for Johannesburg. [1]</t>
  </si>
  <si>
    <t>[1] Statistics South Africa. Census 2022. City of Johannesburg. Pretoria: Statistics South Africa. [Accessed April 23rd 2024]. Available from: https://census.statssa.gov.za/#/province/7/2</t>
  </si>
  <si>
    <t>No information on the percentage of adults aged over 25 years who have completed upper secondary education could be found for Karachi at the city or provincial levels. [1] [2]</t>
  </si>
  <si>
    <t>There is no evidence of the publication of city-level data on educational attainment. The web portals of Kathmandu Metropolitan City and the Ministry of Education, Science and Technology do not have data published at city-level. [1] [2]_x000D__x000D_However, data exist at the national level and sub-national level. The Nepal Population and Housing Census has data on educational attainment disaggregated by rural and urban areas, by provinces, and by districts in Nepal. [3] Data exist for Kathmandu district as well. However, there are 18 municipalities within Kathmandu district, out of which Kathmandu Metropolitan City is one.</t>
  </si>
  <si>
    <t>State-level data on educational attainment have been published in the past 5 years. The state-level data can be correlated with Kolkata city data. However, there is no evidence of data that are focused on Kolkata city alone. [1][2]</t>
  </si>
  <si>
    <t>No city-specific data are available from the Central Statistical Bureau or the Ministry of Education on education level in Kuwait City. [1] [2]_x000D__x000D_The latest data are from 2018 from the World Bank, stating that 55.9% of the population of Kuwait have at least a lower secondary education. [3]</t>
  </si>
  <si>
    <t>Lagos' latest Household Survey Report 2020 recorded educational attainment, including the percentage of household members that had completed upper secondary school education. [1] The survey used a sample size of 10,000 households. 91% of respondents were aged 25 years and over, 8% were aged 20 to 24 and 1% were aged 15 to 19. [2]</t>
  </si>
  <si>
    <t>The data on education are based on data and analysis from a 2021 report, Education, England and Wales: Census 2021. [1] The region with the highest percentage of the population with Level 4 (for example, Higher National Certificate, Higher National Diploma, Bachelor's degree and postgraduate qualifications) or above qualifications is considered here.</t>
  </si>
  <si>
    <t>[1] Education, England and Wales: Census 2021. Wales: Office for National Statistics (ONS); 2023. Available from: https://www.ons.gov.uk/peoplepopulationandcommunity/educationandchildcare/bulletins/educationenglandandwales/census2021</t>
  </si>
  <si>
    <t>In November 2021, Madrid's General Directorate of Media published data on educational attainment in the Community of Madrid, including the percentage of adults with a secondary education or above. The Community of Madrid includes the city of Madrid and its immediate environs, and comprises one of the 17 autonomous communities of Spain. [1] [2] [3]</t>
  </si>
  <si>
    <t>No data on educational attainment in Manila were identified on the websites of the Philippine Statistics Authority, the Philippine Department of Health or the Manila Health Department. [1] [2] [3]</t>
  </si>
  <si>
    <t>In 2021, the Australian Bureau of Statistics published data on educational attainment in the Greater Melbourne area, including the percentage of residents that attained a grade 12 level of education or above. [1]</t>
  </si>
  <si>
    <t>City-level data on educational attainment have been collected and/or published in the last 5 years for Mexico City._x000D__x000D_According to the OECD, in 2020 Mexico City had the highest share of 25-34 year-olds with tertiary attainment in the country. [1]</t>
  </si>
  <si>
    <t>No city-specific data were identified on educational attainment in the Department of the Federal Service of State Statistics for Moscow and the Moscow Region in the last five years (the last survey was conducted in 2010). [1]</t>
  </si>
  <si>
    <t>State-level data on educational attainment have been published in the past 5 years. The state-level data can be correlated with Mumbai city data; however, there are no evidence on data that are focused on Mumbai city alone. [1][2]</t>
  </si>
  <si>
    <t>No specific city-level data on educational attainment in Nairobi were available on the websites of the Kenya National Bureau of Statistics or Ministry of Education. [1] [2]</t>
  </si>
  <si>
    <t>The US City Health Dashboard has data on educational attainment in New York City, including the high school ratio completion (high school diploma or higher), among those aged 25 years or above in 2021. [1]</t>
  </si>
  <si>
    <t>[1] City Health Dashboard. New York, NY - Metric Detail. New York. City Health Dashboard. 2024. Available from: https://www.cityhealthdashboard.com/NY/New%20York/metric-detail?metricId=10&amp;dataPeriod=2021</t>
  </si>
  <si>
    <t>The Population Census 2020 by the Ministry of Internal Affairs and Communications provides data on the highest level of education achieved by residents of Osaka. [1]</t>
  </si>
  <si>
    <t>The latest data from France's National Institute of Statistics and Economic Studies (INSEE) for Paris include information on educational attainment, including the out-of-school population aged 15 or over that had attained a baccalauréat, professional certificate or the equivalent as of 2020 indicating completion of upper secondary education. [1] [2]</t>
  </si>
  <si>
    <t>The National Institute of Statistics has published city-level data on "Persons aged 25 years and over by educational attainment" in percentage form for Phnom Penh in its Cambodia Socio-Economic Survey 2021. [1] The data distinguish between "lower secondary completed" and "upper secondary completed".</t>
  </si>
  <si>
    <t>[1] National Institute of Statistics. Report of Cambodia Socio-Economic Survey 2021. Phnom Penh: National Institute of Statistics. [Accessed April 24th 2024]. Available from: https://www.nis.gov.kh/nis/CSES/Final%20Report%20of%20Cambodia%20Socio-Economic%20Survey%202021_EN.pdf</t>
  </si>
  <si>
    <t>Data regarding the number or proportion of Riyadh residents aged 25 years and above with at least a high school education or other measures of educational attainment is not available. [1] [2] [3] [4]</t>
  </si>
  <si>
    <t>Data from Italy's most recent population census, published in 2011, included data on educational attainment within the Metropolitan City of Rome (Città metropolitana di Roma Capitale, the administrative entity that encompasses the city proper (Comune di Roma) and 120 other communes or municipalities. [1] These data include the percentage of adults that have a secondary education or higher. [1]</t>
  </si>
  <si>
    <t>City-level data on educational attainment has been collected and/or published in the last 5 years for San Francisco._x000D__x000D_The US City Health Dashboard, from the NYU Grossman School of Medicine's Department of Population Health, published data on educational attainment in San Francisco in 2021, including data on adults (age 25 and older) with a high-school diploma or higher. [1]</t>
  </si>
  <si>
    <t>[1] NYU Grossman School of Medicine's Department of Population Health. Atlanta, GA - Metric Detail | City Health Dashboard [Internet]. New York: NYU Langone Health; 2021. [Accessed April 25th 2024]. Available from: https://www.cityhealthdashboard.com/CA/San%20Francisco/metric-detail?metricId=10&amp;dataPeriod=2021</t>
  </si>
  <si>
    <t>São Paulo doesn't have updated data on education._x000D__x000D_The National Institute of Educational Studies and Research Anísio Teixeira (INEP) is an organisation that provides research and analysis on educational statistics in Brazil. For São Paulo specifically, the last research conducted on the percentage of people aged 25 or over who completed higher education dates to 2010. _x000D__x000D_At the national level, according to the Continuous National Household Sample Survey (known as Continuous PNAD), conducted by the Brazilian National Institute of Geography and Statistics (IBGE), the percentage of Brazilians aged 25 and older who completed upper secondary education was 53.2% in 2022. [1]</t>
  </si>
  <si>
    <t>[1] IBGE. Pesquisa Nacional por Amostra de Domicílios Contínua PNAD. Brazil: Instituto Brasileiro de Geografia e Estatística; 2022. Available from: https://biblioteca.ibge.gov.br/visualizacao/livros/liv102002_informativo.pdf</t>
  </si>
  <si>
    <t>The Seoul Metropolitan Government's 2020 population survey, published in December 2021, included information on educational attainment, including the percentage of population aged 25 and over that attained or completed upper secondary education in Seoul. [1]</t>
  </si>
  <si>
    <t>The 2020 National Census collected information on educational attainment, including the percentage of respondents in Shanghai that had completed upper secondary education. [1]</t>
  </si>
  <si>
    <t>[1] Shanghai Bureau of Statistics. Bulletin of Main Data from the Seventh National Population Census of Shanghai (No. 1) [上海市第七次全国人口普查主要数据公报（第一号）]. Shanghai Census Yearbook - 2020. Shanghai: Shanghai Bureau of Statistics, 2021. Available from: https://tjj.sh.gov.cn/tjnj/2020rktjnj/fu01.pdf</t>
  </si>
  <si>
    <t>Data on educational attainment, including those aged over 25 who have completed upper secondary education, were published by the World Bank in 2020. [1]</t>
  </si>
  <si>
    <t>[1] World Bank. World Bank Open Data. Washington (DC): World Bank Group; 2024. Available from: https://data.worldbank.org/indicator/SE.SEC.CUAT.UP.ZS?locations=SG</t>
  </si>
  <si>
    <t>The 2021 Australian Census reported information on educational attainment, including the percentage of people aged 15 and over in Sydney that have completed Year 12 education (i.e. completed secondary school). [1]</t>
  </si>
  <si>
    <t>The Population Census 2020 by the Ministry of Internal Affairs and Communications in Tokyo includes the total population that has graduated from junior high school and above. [1]</t>
  </si>
  <si>
    <t>Data is available on education levels for City of Toronto residents from Statistics Canada's Census Profile 2021. [1] According to this source City of Toronto residents have high levels of education, with 90.6% of residents aged 25-64 having at least a secondary (high) school diploma or equivalency certificate, and 72.5% having a post-secondary certificate, diploma or degree.</t>
  </si>
  <si>
    <t>[1] Statistics Canada. Census Profile, 2021 Census of Population. Ottawa: Statistics Canada; 2023. Available from: https://www12.statcan.gc.ca/census-recensement/2021/dp-pd/prof/details/page.cfm?LANG=E&amp;GENDERlist=1,2,3&amp;STATISTIClist=1,4&amp;DGUIDlist=2021A00053520005&amp;HEADERlist=,37,39,38,36&amp;SearchText=toronto</t>
  </si>
  <si>
    <t>There is official data collection done by Wuhan City Government, the most recent survey being conducted in 2021, which included information on educational attainment among the city's permanent population. [1]</t>
  </si>
  <si>
    <t>There is no city-level data on educational attainment available for Yangon on the websites of the Department of Populations, the Ministry of Labour, Immigration and Population or the Yangon City Development Committee. [1] [2]</t>
  </si>
  <si>
    <t>A nationwide urban unemployment survey conducted in 2022 included the Addis Ababa unemployment rate. [1]</t>
  </si>
  <si>
    <t>[1] Ethiopian Statistics Service (ESS). The 2022 second Round Urban Employment Unemployment Survey (A Comparative Analysis with 2016, 2018, 2020 UEUS and 2021 LMS Survey Results). Addis Ababa: Ethiopian Statistics Service. [Accessed 25th April 2024]. Available from: http://www.statsethiopia.gov.et/wp-content/uploads/2023/05/2022_-2nd-round-UEUS-Key-Findings.pdf</t>
  </si>
  <si>
    <t>The Algerian Ministry of Interior has published city-level data on unemployment dating to December 31st 2019. [1]</t>
  </si>
  <si>
    <t>[1] Ministry of Interior. Algiers: Ministry of Interior; [Accessed 27th April 2024]. Available from: https://interieur.gov.dz/Monographie/ar/article_detail.php?lien=1698&amp;wilaya=16#:~:text=يبلغ%20عدد%20سكان%20ولاية%20الجزائر,بمعدل%20بطالة%204%2C53%D9%AA.</t>
  </si>
  <si>
    <t>City-level data on unemployment has been collected and/or published in the last 5 years for Atlanta._x000D__x000D_The US City Health Dashboard from the NYU Grossman School of Medicine's Department of Population Health last published data on unemployment in Atlanta in 2023. [1] An estimated 3.9% of the labour force were unemployed in July 2023.</t>
  </si>
  <si>
    <t>[1] NYU Grossman School of Medicine's Department of Population Health. Atlanta, GA - Metric Detail | City Health Dashboard [Internet]. New York: NYU Langone Health; 2021 [Accessed Apr 25th 2024]. Available from: https://www.cityhealthdashboard.com/GA/Atlanta/metric-detail?metricId=39&amp;dataPeriod=202307</t>
  </si>
  <si>
    <t>Even though the most recent published data are from the 2018 Census, city-level data on unemployment have been collected for the 2023 Census, which will be released in May 2024. [1]</t>
  </si>
  <si>
    <t>[1] Auckland Region. Stats NZ; 2018. [Accessed April 26th 2024]. Available from: https://www.stats.govt.nz/tools/2018-census-place-summaries/auckland-region#work-income-and-unpaid-activities</t>
  </si>
  <si>
    <t>Data on unemployment in Thailand are published at the national level by the Office of the National Economic and Social Development Council. [1] [2]</t>
  </si>
  <si>
    <t>Annual unemployment figures for Beijing are published in Beijing's annual National Economic and Social Development Statistical Bulletin. The figure given is the unemployment rate for 2023. [1]</t>
  </si>
  <si>
    <t>[1] Beijing Municipal Bureau of Statistics. Beijing's 2023 National Economic and Social Development Statistical Bulletin [北京市2023年国民经济和社会发展统计公报]. Beijing: Beijing Municipal Bureau of Statistics, 21 March 2024. Available from: https://tjj.beijing.gov.cn/tjsj_31433/tjgb_31445/ndgb_31446/202403/t20240321_3595860.html.</t>
  </si>
  <si>
    <t>City-level data on unemployment in Berlin have been collected and published in the last 5 years. Data is sourced from the Federal Employment Agency and is a percentage of the civilian labour force in 2023. Data were prepared by the City of Berlin. [1]</t>
  </si>
  <si>
    <t>[1] City of Berlin. Unemployment rate in Berlin compared with Germany 2013 to 2023. Berlin: City of Berlin; 2024. Available from: https://www.berlin.de/sen/wirtschaft/konjunktur-und-statistik/wirtschaftsdaten/arbeitslosigkeit/c_04_2023.pdf</t>
  </si>
  <si>
    <t>There is evidence of city-level data on unemployment. _x000D__x000D_Bogotá's Chamber of Commerce (Cámara de Comercio de Bogotá) has published data from DANE (Colombia's Statistical Department) concerning unemployment in Colombia and Bogotá. The latest data concern the period from December 2023 to February 2024. [1]</t>
  </si>
  <si>
    <t>Data on unemployment levels in Budapest were collected in 2023. The Central Statistics Bureau (Központi Statisztikai Hivatal, CSB) published quarterly data for the population aged 15-64 in Budapest for the first quarter of 2023. [1]</t>
  </si>
  <si>
    <t>[1] Central Statistics Bureau. Economic activity of the population aged 15–64, by county and region, quarterly. Budapest: Central Statistics Bureau; [Accessed 24th April 2024]. Available from: https://www.ksh.hu/stadat_files/mun/hu/mun0162.html</t>
  </si>
  <si>
    <t>The Central Agency for Public Mobilization and Statistics (CAPMAS) published data regarding the total population of unemployed people in Cairo who have previously worked and the total population of unemployed people who have never worked. However, the data are from 2017. [1]_x000D__x000D_Egypt has published national-level data on unemployment for 2022. [2]</t>
  </si>
  <si>
    <t>In the last 5 years, city-level data on unemployment has not been collected or published. No data are available on the Government of Sri Lanka website or in statistics data on Colombo. [1][2]</t>
  </si>
  <si>
    <t>There is no evidence that in the last 5 years city-level data on unemployment in Delhi have been collected or published. The last unemployment data published under the city government website are from 2011-12. [1] [2] _x000D__x000D_No further evidence is available in the National Family Health Survey carried out in 2019-21. [3]</t>
  </si>
  <si>
    <t>The Labor Force Survey 2022, published in October 2023 by the Bangladesh Bureau of Statistics, does not provide city-level data on unemployment in Dhaka. [1] No information is available on Dhaka's district government website. [2]</t>
  </si>
  <si>
    <t>[1] Dubai Statistics Center – Labour Force Survey. Unemployment Rate by Nationality and Gender – Emirate of Dubai (2017- 2019). Dubai: DSC. 2019. [Accessed 25th April 2024]. Available from: https://www.dsc.gov.ae/Report/DSC_LFS_2019_05_01.pdf.</t>
  </si>
  <si>
    <t>Helsinki has city-level data that were collected and published in the last 5 years on unemployment. The City of Helsinki published the unemployment rate in Helsinki in 2022. [1]</t>
  </si>
  <si>
    <t>[1] City of Helsinki. The unemployed in Helsinki and the unemployment rate by gender on 31.12. Helsinki: City of Helsinki. [Accessed 27th April 2024]. Available from: https://stat.hel.fi/pxweb/fi/Aluesarjat/Aluesarjat__tyo__tyom__pksoa/A02S_HKI_Tyottomat_Sukupuoli.px/table/tableViewLayout1</t>
  </si>
  <si>
    <t>The Ho Chi Minh Media Center has reported on unemployment levels in the city among the working-age population, based on data collected by the Department of Labor, Invalids and Social Affairs of Ho Chi Minh City.[1] Data are also available on unemployment from the Department of Population and Labour Statistics. [2]</t>
  </si>
  <si>
    <t>Data on unemployment in Hong Kong are available from the World Bank and were last published in 2023. [1]</t>
  </si>
  <si>
    <t>Available evidence indicates that in Istanbul city-level data on unemployment rates have been collected and published by national entities within the past five years. _x000D__x000D_The Istanbul Metropolitan Municipality itself publishes few metrics on the local labour market. [1] More data are made available by the state-run Turkish Employment Agency (İŞKUR) with input from the Turkish Statistical Institute (TUIK, or TURKSTAT) and the Turkish Social Security Institution (SGK). İŞKUR's latest published report on the labour market in Istanbul Province dates from 2022. [2]</t>
  </si>
  <si>
    <t>Badan Pusat Statistik, the statistics agency, published the most-recent data on unemployment for Jakarta province in Sept, 2023. [1]</t>
  </si>
  <si>
    <t>[1] Statistics Indonesia. Unemployment Profile DKI Jakarta province. Statistics Indonesia. [Accessed April 26th 2024]. Available from: https://jakarta.bps.go.id/publication/2023/09/29/a4cc5d0b72ebcb06d72834b9/profil-pengangguran-provinsi-dki-jakarta-2022.html</t>
  </si>
  <si>
    <t>Johannesburg has city-level unemployment data from the last 5 years. Statistics South Africa's Quarterly Labour Force Survey collects data on unemployment in the country. The latest data available for Johannesburg are from October 2023. [1]</t>
  </si>
  <si>
    <t>The most recently Labor Force survey (2020-21) published by the Ministry of Planning, Development &amp; Special Initiatives contains city-level data on unemployment for Karachi. [1]</t>
  </si>
  <si>
    <t>[1] Ministry of Planning, Development &amp; Special Initiatives, Pakistan Bureau of Statistics. Labour Force Survey 2020-21. Islamabad: Ministry of Planning, Development &amp; Special Initiatives. March 2022. [Accessed April 29th 2024]. Available from: https://www.pbs.gov.pk/sites/default/files/labour_force/publications/lfs2020_21/LFS_2020-21_Report.pdf</t>
  </si>
  <si>
    <t>There is no evidence of the publication of city-level data on unemployment. Neither the web portal of Kathmandu Metropolitan City or the Ministry of Labour Employment and Social Security have data published at city-level. [1] [2]_x000D__x000D_However, data exist at the national level and sub-national level. The Nepal Population and Housing Census has data on unemployment disaggregated by rural and urban areas, by provinces, and by districts in Nepal. [3] Data exist for Kathmandu district as well. However, there are 18 municipalities within Kathmandu district, of which Kathmandu Metropolitan City is one. _x000D__x000D_Attempts have been made in the past to collect data at city level as well. For instance, the Nepal Labour Market Update from November 2014 mentions the unemployment rate in urban Kathmandu as 11.5%. [4]</t>
  </si>
  <si>
    <t>There is no evidence that in the last 5 years city-level data on unemployment have been collected or published. There is no evidence on the Kolkata government website or from the Ministry of Labour and Employment of India. [1] [2]</t>
  </si>
  <si>
    <t>World Bank statistics show the rate of unemployment in Kuwait from 2023. [1] _x000D__x000D_No city-specific data on poverty in Kuwait city are available from the Central Statistical Bureau. [2]</t>
  </si>
  <si>
    <t>Lagos' latest Household Survey Report 2020 reports the unemployment rate in the city. [1] The Lagos State Macro-Economic Indicators, published by the Ministry of Economic Planning and Budget in December 2021, also provide data on unemployment, differentiated by working hours. [2]</t>
  </si>
  <si>
    <t>The Annual Population Survey (APS) is a continuous household survey covering the UK. This data point is from 2023, and covers unemployed people aged 16-64 in London.</t>
  </si>
  <si>
    <t>Available evidence indicates that city-level data on local rates of unemployment have been collected and published in the last five years. _x000D__x000D_Such data are collected by both the national and provincial governments. The National Institute of Statistics (Instituto Nacional de Estadística—INE) publishes annual metrics on the unemployment rates by the autonomous community. [1] The Community of Madrid's own Directorate General of Economy publishes data on local unemployment rates on a quarterly basis; these were most recently published for the fourth quarter of 2023. [2]</t>
  </si>
  <si>
    <t>In Manila, there is no evidence of city-level data on unemployment. However, there is evidence of unemployment data on the provincial level. The Philippine Statistics Authority (PSA) regularly releases official labour-force survey results containing insights into the employment situation nationally. [1] While the Labour Force survey data does not contain city-level disaggregation, a 2022 press release confirms that this data is collected at least at a provincial level, i.e. for metropolitan Manila. [2]</t>
  </si>
  <si>
    <t>[1] City of Melbourne. City of Melbourne employment status. Community demographic resources. Available from: https://profile.id.com.au/melbourne/employment-status</t>
  </si>
  <si>
    <t>City-level data on unemployment have been collected and/or published in the last 5 years for Mexico City. Ciudad de México published these data in 2023. [1]</t>
  </si>
  <si>
    <t>[1] Data México. Ciudad de México: Economy, employment, equity, quality of life, education, health and public safety | Data México [Internet]. Ciudad de México: Government of Mexico. 2020. [Accessed Apr 25th 2024]. Available from: https://www.economia.gob.mx/datamexico/en/profile/geo/ciudad-de-mexico-cx#:~:text=Ciudad%20de%20M%C3%A9xico%20registered%20189k</t>
  </si>
  <si>
    <t>There is no evidence that in the last 5 years city-level data on unemployment has been collected or published. There is no evidence under the Mumbai city websites under the Government of Maharashtra. [1] [2]</t>
  </si>
  <si>
    <t>No city-level data on unemployment in Nairobi has been collected and/or published in the past 5 years. [1] [2]</t>
  </si>
  <si>
    <t>The New York State Department of Labor publishes monthly unemployment figures for the state. The documents published contain the number and rate of unemployment in New York City. The latest data refer to unemployment in February 2024. [1]</t>
  </si>
  <si>
    <t>[1] New York State Department of Labor. State Labor Department releases preliminary February 2024 area unemployment rates. New York. 2024. Available from: https://dol.ny.gov/news/state-labor-department-releases-preliminary-february-2024-area-unemployment-rates</t>
  </si>
  <si>
    <t>The unemployment rate for October-December 2023 is available, based on the Labour force Survey conducted by Osaka Prefectural Government. [1]</t>
  </si>
  <si>
    <t>Available evidence indicates that city-level data on unemployment in Paris have been collected and published in the last five years._x000D__x000D_The latest data from France's National Institute of Statistics and Economic Studies (INSEE) on the unemployment rate in Paris are for the 4th quarter of 2023. [1]</t>
  </si>
  <si>
    <t>[1] National Institute of Statistics and Economic Studies (Institut national de la statistique et des études économiques—INSEE). Taux de chômage localisé par département - Paris (Unemployment rate localised by department – Paris). Paris. INSEE. 20 March 2024. Available from: https://www.insee.fr/fr/statistiques/serie/001515940</t>
  </si>
  <si>
    <t>[1] National Institute of Statistics. Report of Cambodia Socio-Economic Survey 2021. Phnom Penh: National Institute of Statistics; [Accessed 24th April 2024]. Available from: https://www.nis.gov.kh/nis/CSES/Final%20Report%20of%20Cambodia%20Socio-Economic%20Survey%202021_EN.pdf</t>
  </si>
  <si>
    <t>Available evidence indicates that city-level data on unemployment in Rome have been collected and/or published in the last 5 years. _x000D__x000D_The Municipality of Rome (Comune di Roma) regularly publishes statistical reports on the labour market in the metropolitan area. The latest such report, covering the year 2023, provides many metrics, including the rate of unemployment. [1] _x000D__x000D_The Italian National Institute of Statistics (Istituto Nazionale di Statistica—ISTAT) also regularly publishes data on unemployment at the regional/provincial level, with some carve-outs provided for major urban centres. ISTAT's published metrics on unemployment in Rome during 2023 correspond with those of the Municipality for that year. [2]</t>
  </si>
  <si>
    <t>City-level data on unemployment have been collected and/or published in the last 5 years for San Francisco._x000D__x000D_The US City Health Dashboard, from the NYU Grossman School of Medicine's Department of Population Health, published data on unemployment in San Francisco in 2023. [1] San Francisco had an estimated figure for the amount of the labour force who were unemployed in July 2023.</t>
  </si>
  <si>
    <t>[1] NYU Grossman School of Medicine's Department of Population Health. Atlanta, GA - Metric Detail | City Health Dashboard [Internet]. New York: NYU Langone Health; 2021. [Accessed Apr 25th 2024]. Available from: https://www.cityhealthdashboard.com/CA/San%20Francisco/metric-detail?metricId=39&amp;dataPeriod=202307</t>
  </si>
  <si>
    <t>São Paulo has data on unemployment from 2023._x000D__x000D_The average salary of workers from São Paulo is higher than the national average, according to an analysis carried out in the fourth quarter of 2023 based on data from Novo Caged—General Employee Registry and Unemployed and Continuous Pnad—National Household Sample Survey. [1] The unemployment rate in the capital has been lower than the national average.</t>
  </si>
  <si>
    <t>[1] Secretaria de Desenvolvimento Econômico e Trabalho. Average income of São Paulo residents is 71% higher than the national average and exceeds R$5,000. São Paulo: Prefeitura Municipal de São Paulo; 2024. Available from: https://www.prefeitura.sp.gov.br/cidade/secretarias/desenvolvimento/noticias/?p=362669</t>
  </si>
  <si>
    <t>The Seoul Metropolitan Government provides city-level unemployment data, which are compiled within national data by Statistics Korea on a monthly, quarterly and yearly basis. The latest monthly statistics released in April 2024 cover March 2024 unemployment data in Seoul. [1]</t>
  </si>
  <si>
    <t>There is evidence of data on unemployment in Singapore._x000D__x000D_Singapore is a city-state. Hence, it is a small country within the limits of a city. In Singapore, there are no local governments, thus, no national level. [1] _x000D__x000D_The Ministry of Manpower has published time-series data on unemployment. The most recent data are from 2023. [2]</t>
  </si>
  <si>
    <t>The Parliament of New South Wales gathers city-level data on unemployment rate and jobseeker rates. The most recent are from 2023. [1]</t>
  </si>
  <si>
    <t>The Labour Force Survey by the Tokyo Metropolitan Government released data on unemployment in 2023. [1]</t>
  </si>
  <si>
    <t>[1] Statistics Division, Bureau of General Affairs. Labour Force in Tokyo. Tokyo: Tokyo Metropolitan Government, 2023. Available from: https://www.toukei.metro.tokyo.lg.jp/roudou/2023/rd23qd1000.htm</t>
  </si>
  <si>
    <t>According to research from Statistics Canada, Toronto's unemployment rates used by the Employment Insurance (EI) programme were collected in March 2024. [1]</t>
  </si>
  <si>
    <t>[1] Statistics Canada. Regional unemployment rates used by the Employment Insurance program, three-month moving average, seasonally adjusted. Ottawa: Statistics Canada; 2024. Available from: https://www150.statcan.gc.ca/t1/tbl1/en/tv.action?pid=1410035401&amp;cubeTimeFrame.startMonth=01&amp;cubeTimeFrame.startYear=2024&amp;cubeTimeFrame.endMonth=03&amp;cubeTimeFrame.endYear=2024&amp;referencePeriods=20240101%2C20240301</t>
  </si>
  <si>
    <t>The Statistical Yearbook of the City of Vienna includes the absolute number of unemployed people in the city in a given year, with the most recent year being 2023. [1]</t>
  </si>
  <si>
    <t>No data at the city level were collected or published by the local government or by international organisations. The ILO has conducted regular national surveys. In 2021 18.9m people were employed, which is 1.6m (i.e. 8%) less than in 2021. [1] In the first quarter of 2022, a moderate improvement was shown, as 19.3m people were employed. [2]</t>
  </si>
  <si>
    <t>Addis Ababa has insufficient and underdeveloped infrastructure for walking and cycling._x000D__x000D_Even though neither the city administration nor the federal ministry of transport websites have sufficient and updated data on pedestrian and cycling infrastructure, a survey report published (in Oct 2023) by the Addis Ababa transport bureau (AATB) shows that the majority (54%) of the city's residents walk for the majority of their daily trips. [1] [2] [3] Pedestrians' daily trips, however, are impeded by inadequate infrastructure and poor enforcement of transport safety related policies and regulations. Some of the challenges pedestrians face include inadequate sized footpaths, dangerous crossing, lack of traffic signs, lack of audible signals, inadequate illuminations, illegal blockages of walking pathways. [1]_x000D__x000D_Addis Ababa's cycling infrastructure and use is very limited. The first cycling lane in the city was the Lebu-Jemo Pilot Cycle Corridor, launched in February 2019. This 2.7km long (3.0 meter clear width) bidirectional cycle track has painted buffers and plastic delineators. Since 2019, four further cycling lanes were implemented in the city. [4] Even though a survey by the AATB showed that about 8% of the sampled respondents/residents own a bicycle, cycling is not captured as a mode of transport in official city government statistics. [4]_x000D__x000D_The AATB, in cooperation with UN Habitat and Institute for Transportation and Development Policy (ITDP) launched its national Non Motorized Transport (NMT) strategy for 2020-29. The NMT strategy aims to provide safe, efficient, and accessible pedestrian and cycling networks for the city's residents. Regarding cycle networks, the strategy calls for the construction of at least 200 km of cycle tracks [4].</t>
  </si>
  <si>
    <t>There is insufficient infrastructure for walking and no infrastructure for cycling in Algiers._x000D__x000D_According to a 2023 media article, Algiers has pedestrian footbridges around the city. [1] However, according to a 2020 media article, pedestrians were not taken into consideration in "all traffic plans drawn up and regularly revised by the authorities". [2]_x000D__x000D_The archived page of the Algerian Ministry of Public Works and Transport (currently not accessible, as of March 2024) and the webpage of the Algerian Ministry of Public Works and Infrastructure do not reference plans to build infrastructure for walking or cycling. [3] [4] _x000D__x000D_According to Sport et Ville, a sports news media website, there were discussions in December 2020 between the Minister Delegate in charge of elite athletes, Salima Souakri, and the President of the Algerian Cycling Federation, Kheireddine Barbari, for the construction of a bike path in Algiers. However, there is no publicly available evidence that such a plan was implemented. [5]</t>
  </si>
  <si>
    <t>According to the US City Health Dashboard, from the NYU Grossman School of Medicine's Department of Population Health, Atlanta's walkability score of 44.1 in 2022 indicates a car-dependent environment, as classified by the Walk Score scale. [1] This score suggests that most errands in Atlanta require a car, indicating limited walkability and reliance on automobile transportation for daily activities. With a score falling within the range of 25-49, Atlanta is categorised as "Car-Dependent" and "Somewhat Bikeable," with minimal bike infrastructure and only a few nearby public transportation options. _x000D__x000D_This assessment implies challenges in promoting active transportation and pedestrian-friendly urban environments within the city. While efforts to improve walkability and transportation infrastructure may be underway, the current score suggests that Atlanta has significant room for enhancement in creating more pedestrian-friendly neighbourhoods, enhancing public transit options, and developing bike infrastructure.</t>
  </si>
  <si>
    <t>[1] NYU Grossman School of Medicine's Department of Population Health. Atlanta, GA - Metric Detail. City Health Dashboard [Internet]. www.cityhealthdashboard.com. 2022 [Accessed Feb 22 2024]. Available from: https://www.cityhealthdashboard.com/GA/Atlanta/metric-detail?metricId=27&amp;dataPeriod=2022</t>
  </si>
  <si>
    <t>Auckland has a network of cycle routes that facilitate recreational and commuting activities. Auckland's city centre has 80 walkways that cut through or between buildings for quicker journeys. [1]</t>
  </si>
  <si>
    <t>[1] Auckland Transport. Cycling &amp; Walking. Auckland: Auckland Transport; 2024. [Accessed March 18th 2024]. Available From: https://at.govt.nz/cycling-walking</t>
  </si>
  <si>
    <t>The Bangkok Metropolitan Administration (BMA) Bangkok Master Plan on Climate Change 2013-2023 pledged "to promote non-motorised transport, such as riding bicycles and for these measures, BMA will develop and expand bikeways, so that citizens can ride bicycles in a safe and convenient way, which also contribute to reduction of GHG by replacing private vehicle use." [1] _x000D__x000D_The Bangkok Metropolitan Administration has constructed around 400 km of cycleways today, and the city's Public Health Office together with 50 district offices in Bangkok plans to achieve a target of at least 500 km by 2025 [2]. _x000D_In 2022 the Governor of Bangkok, Chadchart Sittipunt, set a target to develop 1,000 km of walkable pavement across Bangkok by 2026. Approximately half of this target has been achieved, although progress has been slow in some areas owing to the sensitivity of moving street vendors from the existing walkways. A related policy initiated by the governor is for the city to train tree surgeons to enable maintenance of trees providing shade along the city's walkways [3].</t>
  </si>
  <si>
    <t>Beijing has a fairly widespread infrastructure that provides citizens with walking and safe crossing areas for pedestrians, as well as cycling lanes._x000D__x000D_As per a report released in 2019 by the Natural Resources Defense Council (NRDC), an international nonprofit environmental organisation, Beijing is among the top ten cities in China with the highest score for "appropriate sidewalk width." scoring more than 0.81 (the reference to the highest is from 0.84 to 0.9). [1] This is reflected in the population's preferences and predictions by the government: by 2035, one of the main modes of urban mobility will be walking (57.89%). [2]_x000D__x000D_One of the major modes of urban mobility expected by 2035 is also bicycle (71.05%). [2] By October 2022, the Beijing Culture and Tourism Bureau introduced 21 themed cycling routes, totaling about 730 km of bicycle lanes across Beijing. [3] [4]_x000D__x000D_However, pedestrians still face inconveniences such as cars parked on bikeways or sidewalks and pedestrian-automobile imbalance in terms of spatial priority. [5]</t>
  </si>
  <si>
    <t>There is clear evidence that Berlin has infrastructure for walking and cycling._x000D__x000D_According to the website of Berlin's Senate Department for Urban Mobility, Transport, Climate Action and the Environment, Berlin invested EUR 30m in safe cycling infrastructure in 2020, including protected bike lanes, green marking for cycling paths, bicycle "superhighways" that will cover 100 km, 15,000 additional bike lockups, and rental bikes for short-distance trips [1]. _x000D__x000D_According to the road safety organisation DEKRA, the first pedestrian crossing light was introduced in Berlin in 1937; Berlin has safe crossing points for pedestrians (zebra crossings), as well as "traffic calming zones" where motor vehicles and cyclists are limited to speeds of around 7 kmph [2]. Berlin also heavily restricts the speed of motor vehicles in residential areas to around 20 km/h [2]. In 2021 Berlin amended its Mobility Act to improve pedestrian traffic in the city [3]. The amendment will focus on "longer green lights for pedestrians, safer school routes for kids, more crosswalks, and more benches for older people and others in need of a rest along their route; curbs are to be lowered to make them more wheelchair accessible; construction sites will need to ensure that pedestrians and cyclists can safely navigate around them; and city authorities are supposed to crack down harder on illegal parking and dangerous driving." [4]</t>
  </si>
  <si>
    <t>There is both evidence of infrastructure for walking and cycling in Bogotá. _x000D__x000D_Since 2021 the UMV ( Road Maintenance Unit; Unidad de Mantenimiento Vial), renewed 98 thousand sq km of public space to guarantee more space and mobility for pedestrians. [1] The Mobility Secretary (Secretaría del Movilidad) created the Development Plan (Plan de Desarrollo ) to consolidate different strategies to improve pedestrians' mobility, such as: the connection network for pedestrians. [2] Concerning the cycling infrastructure, Bogotá has 623 km of cycle routes.[3]</t>
  </si>
  <si>
    <t>Budapest has infrastructure for walking and cycling._x000D__x000D_Budapest has extensive infrastructure for walking including audible signals and paving for pedestrians, as discussed in the 31 October 2022 Accessible Environment Design Guide published by the Centre for Budapest Transport (CBT), the public company operating public transport in Budapest. [1] The CBT also has initiatives to promote walking. [2]_x000D_The CBT has also published a bicycle lane map for the city. [3] Bicycles can be transported on public transport vehicles. There also exists a bike sharing app with infrastructure (e.g. official parking spaces) called Bubi. [3] The city also plans to extend the lane network further, according to the new Mobility Plan (accepted in 2019), until 2030. [4]</t>
  </si>
  <si>
    <t>There is no evidence of a walking infrastructure in Cairo, and the cycling infrastructure is virtually non-existent. _x000D__x000D_According to a 2021 media article, in Egypt the death rate among pedestrians is slightly higher than the deaths caused by road accidents in the country. The same article reports that officials at the Ministry of Local Development, the entity responsible for local road management, were confronted with evidence regarding the neglect and the lack of planning and preparation for the safety of crossing pedestrians. [1] Another 2022 media report cited the lack of traffic lights allowing pedestrians to cross. Furthermore, the Egyptian Government had reportedly built a number of pedestrian bridges; however, "many still use the old-fashioned way of dodging cars down below", with women finding pedestrian bridges in isolated areas unsafe and disabled people finding them inaccessible with the absence of lifts. [2]_x000D__x000D_According to the website of Cairo's Governorate and the Egyptian Ministry of Local Development, there is no evidence of plans to build infrastructure for walking in Cairo. [3] [4] However, according to a 2022 media report, Cairo was reportedly constructing 15 km of protected bike lanes. [5] In February 2024 the Cairo Governorate reportedly organised a bike tour in order to understand the challenges faced by cyclists and identify opportunities to plan and improve the infrastructure for cycling in the city as part of an ongoing road development project for cyclists. [6]</t>
  </si>
  <si>
    <t>There are jogging tracks and green places in several parts of Colombo. These were developed as recreational spaces. According to the Western Region Megapolis Transport Master Plan (WRMTMP), there is a plan to incorporate walking lanes and cycle lanes as an accessible mode for public transportation. The master plan identifies lack of facilities for pedestrians, hindering efforts to promote walking as a mode of transport. It suggests providing better facilities for pedestrians by enhancing access to transit services by adding street crossings and providing more amenities at bus stops. Further, adding street lighting, sidewalks, curb extensions and ramps are identified as improvement areas when promoting walking as a mode of transport. According to the WRMTMP the project to implement walking and cycling tracks was to commence in 2017 and was to be carried out over a period of 2 years. [1] However there is no evidence that this project has been completed and recent evidence suggests that there is still a lack of infrastructure to support cycling and walking in Colombo. [2]</t>
  </si>
  <si>
    <t>Although there are plans for infrastructure for walking and cycling lanes in the city and work on the infrastructure has started there is no evidence of safe and structured lanes for walking and cycling in the city. At present, there is a lack of walking and cycling lanes, only small stretches of walking and cycling lanes exist with low maintenance of existing tracks, no markings or signage, no calming measures to slow down motorists and make way for cyclists. [1] _x000D__x000D_The Delhi Development Authority (DDA) has laid foundations for a Mega Cycle-Walk project which aims to build an expansive 200 km cycle/walk track in Delhi. The first phase, which would see 36 kms of the 200 km track constructed, was supposed to be completed by December 2023 but there is no evidence that this has been completed. [2] [3]</t>
  </si>
  <si>
    <t>The Dhaka Structure Plan 2016-2035 (currently titled as a draft, but used as a reference document) was published by Rajdhani Unnayan Kartripakkha (RajUK), the public agency responsible for coordinating urban development in Dhaka. As per the plan, the city of Dhaka had 600 km of sidewalks and footpaths as of 2016, with improvement and expansion plans underway. [1] _x000D__x000D_While there are plans to improve the cycling infrastructure, no mention of existing cycling infrastructure is made in the plan. [1] No evidence on the existence of cycling infrastructure in Dhaka was identified on the RajUK website. [2] Independent media reports confirm the "absence of cycling-friendly infrastructure and regulations (which) discourages people from bike riding" in the city. [3]</t>
  </si>
  <si>
    <t>Dubai has infrastructure for walking and cycling._x000D__x000D_The Roads and Transport Authority (RTA) of Dubai claims 18,441 km of cycling tracks have been constructed by Dubai Municipality inside ten public parks. The RTA also claims developers have allocated bike tracks in seven areas of the city. [1] Based on the 2021 preprint research paper "Steps Towards Sustainability: Assessment of Walkability of Streets in Downtown Dubai, United Arab Emirates," the new downtown area of Dubai features significantly more infrastructure for walking and cycling compared to the old downtown. This includes a higher availability of bike lanes, sidewalks and shaded sidewalks, along with more pedestrian signals and crossroads. [2]</t>
  </si>
  <si>
    <t>In Helsinki, there is infrastructure for walking and cycling. The city currently has approximately 1250-km network of cycle lanes, most of which are two-way combined paths for walking and cycling. [1, 2]_x000D__x000D_The city is currently developing Baana, a high-quality and straight regional network of cycle and walking paths that is planned to cover 148 km, connecting major residential areas to the city centre and employment hubs. [3] The current and planned cycle lanes are marked in the map service of the City of Helsinki. [4] Cyclists can also use the route planning service of Helsinki Regional Transport Authority (HSL), joint local authority managing public transport and the transport system in the Helsinki Metropolitan Area, to plan their route for cycling in the city. [5]</t>
  </si>
  <si>
    <t>Many sidewalks in the central area of Ho Chi Minh City are encroached and used for wrong purposes. Especially at large hospitals, sidewalk areas become parking lots, forcing pedestrians to walk down the street. [1]_x000D__x000D_Guidance issued in 2023 includes wide-ranging recommendations on cycling infrastructure, focusing on five key action areas: Designing roads and bike lanes, Designing intersections with bicycle traffic in them, Designing for conflict mitigation, traffic signals, road markings and traffic signs, and Ancillary works. [2]</t>
  </si>
  <si>
    <t>Hong Kong has an extensive network of cycle tracks, particularly in the New Territories. [1] The total length of cycle tracks in Hong Kong is around 225.2 km (2020), and the plan is to extend it to about 104.6 km. [2] The government also aims to improve the existing cycle track network, construct more cycle parking spaces, and enhance public awareness of cycling safety. [3] _x000D_Since 2000, the Transport Department has been implementing pedestrian schemes to enhance the walking environment and promote walking as a transport mode. [4]</t>
  </si>
  <si>
    <t>Istanbul has infrastructure for walking and cycling. Evidence suggests that many of these routes are shared with vehicular traffic._x000D__x000D_According to the Istanbul Metropolitan Municipality, the city has over 100 km of trails for walking and hiking, located on both its European and Anatolian sides, in urban forests as well as in the city centre—where the right of way is shared with vehicles. [1] The city also has around 500 km of cycling routes, most but not all of which are shared with vehicular traffic. [2]</t>
  </si>
  <si>
    <t>None of Jakarta's original road network was designed to accommodate cycling, and as recently as a decade ago Indonesia's capital had no cycleways alongside main roads. Dedicated cyclists would frequently attend Jakarta's "Car-Free Day," when vehicles are barred from the city centre every Sunday between 6 a.m. and 11 a.m. However, supported by civil society and campaign groups the Jakarta provincial government has begun to prioritise cycling infrastructure in recent years. Jakarta has signed up to the Cycling Cities network convened by the Institute for Transportation and Development, a New York–based NGO. [1] In 2021 a temporary 11.2-km cycleway on Jalan Sudirman, a thoroughfare in the financial and government district, was made permanent. Several cycleways now exist around the central SCBD district. In November 2023, Jakarta had established 313 km of cycleways, according to the head of the transport department, Syafrin Liputo. _x000D__x000D_Jakarta's 2023-26 strategic plan includes a target for construction of 535.38 km of cycle lanes by 2026. [2] _x000D__x000D_Separately, the city plan includes expanding pedestrian walkways to 1,808,594 sq metres by 2026, a near 50% increase from the 1,258,594 sq metres of pavement when the four-year development plan was signed by Jakarta's governor, Anies Baswedan, in June 2022. [2]</t>
  </si>
  <si>
    <t>Johannesburg has infrastructure only for walking._x000D__x000D_Johannesburg's walking infrastructure remains heterogeneous; some areas are characterised by a near lack of sidewalks, and other areas have extremely wide sidewalks. [1] However, since the launch in 2009 of the Framework for Non-Motorized Transport by the government of the City of Johannesburg, the city's administration started to develop more initiatives to increase walkability and cycling. [1] [2] [3] The Framework aims to promote cycling and walking as an affordable and environmentally sustainable alternative mode of transport, setting objectives like establishing a dedicated network of high-quality pedestrian and cycling routes and promoting increased access to educational institutions by Non-Motorized Transport (NMT) modes. [4] Within this Framework a variety of pedestrian projects were introduced including sidewalks and crosswalks, pedestrian-oriented land use and building design and road connectivity with additional shortcuts for pedestrians and cyclists. [1] _x000D__x000D_Bike lanes do not form a comprehensive network, and present deficits in their design and maintenance. [5] The 2019/20 Gauteng Household Travel Survey shows that the number of commuters in the City of Johannesburg who have bicycles as their main mode of transport is 0% in most of the sub-regions, except for two (Diepsloot and Roodepoort), where the number reaches 1%. The survey also shows that 19% of work-related trips in the city were made by bicycle. [6] Furthermore, a 2019 study shows that 83% of cycling activities in Johannesburg were recreational, not commuting. The study revealed that most commuting and cycling operations were spatially fragmented, with limited to no sharing of their infrastructure. [2]_x000D__x000D_Regarding national initiatives, both the National Land Transport Strategic Frameworks available online, covering 2017 to 2022 and 2023 to 2028, set the aim of expanding walking and cycling infrastructure. [7] [8] The 2020 National Household Travel Survey showed that 20.2% of South African workers walked to work, while 0.8% cycled to work. [9]</t>
  </si>
  <si>
    <t>Karachi faces challenges in pedestrian infrastructure, with issues like vendor-occupied footpaths, poorly maintained crossings and a lack of pedestrian-friendly features contributing to the widespread prevalence of jaywalking. Factors such as the lack of law enforcement, insufficient education on road safety and urban planning that prioritises cars over pedestrians have all contributed to the inadequate infrastructure for pedestrians in Karachi. [1] [2] However, efforts like the Karachi Neighborhood Improvement Project (KNIP, funded by the World Bank) and the pedestrianisation of certain crowded public markets aim to upgrade public spaces and make the city more pedestrian-friendly. [3] [4]_x000D__x000D_Karachi lacks comprehensive infrastructure for cyclists, as highlighted by the absence of dedicated cycling lanes and a comprehensive plan to support cycling in the city. [5] Bicycle lanes are not incorporated into the road network, except in a few cantonment areas and upscale residential areas. [6]</t>
  </si>
  <si>
    <t>There is infrastructure for walking in Kathmandu. However, various factors hamper smooth pedestrian mobility via footpaths. For instance, poor surface conditions of footpaths, obstruction by street vendors, illegal parking, improper design of roads and footpaths, unplanned location of poles, trees on footpaths, etc are some of the factors that have been affecting smooth pedestrian mobility. [1] On the optimistic side, steps are being taken by Kathmandu Metropolitan City to address these. The Metropolis started investing in developing pedestrian-friendly footpaths in 2023, with an initial investment of 2.15bn rupees (US$16,000) in 2023. [2]_x000D__x000D_Kathmandu lacks a robust infrastructure for cycling. While the city opened up a 3.1 km-long cycle lane in 2021, it has not been deemed convenient to cyclists. Typically for cycle lanes to function properly, they need to be convenient, safe, continuous, unobstructed, connected, and direct. The cycle lane in Kathmandu fails to attain these attributes. [3]</t>
  </si>
  <si>
    <t>The infrastructure for walking and cycling lanes in the city is very poor. Kolkata has an advantage over other cities in terms of limited distances of travel however the haphazard planning and its rapid development into a huge urban agglomeration have severely impacted mobility in the city. Kolkata is yet to prioritise integration of walking and cycling infrastructure. In fact the Kolkata Police placed cycling restrictions on around 36 streets in 2008, which were later expanded to 174 routes in 2013. After widespread protests, the limitations were reduced to 62 roads that continue to exist till date. [1] [2] _x000D__x000D_A success story of a part of Kolkata- New Town is that 14.5 km of a smart barrier-free pedestrian walkway and cycling track has been built. This is especially designed for walking and cycling. Black and white motif on the cycling track demarcates it from the pedestrian route. A barrier-free pathway makes it safe and easier for pedestrians and cyclists. However, this infrastructure is limited. [3] The larger part of older Kolkata still remains unsafe for pedestrians and cyclists. [1] [2]</t>
  </si>
  <si>
    <t>Infrastructure for walking in Kuwait is very limited, and there is no infrastructure for cycling._x000D_ _x000D_Studies regarding walkability in Kuwait find that there is a severe lack of infrastructure for walking and that pedestrians are at the highest risk of facing accidents on the streets. An overwhelming majority of Kuwaiti citizens use private vehicles to move around, while non-Kuwaiti citizens tend to use public transport. [1] [2] [3]_x000D_ _x000D_Public media accounts that mention cycling in Kuwait note that there is a conspicuous lack of cycling infrastructure in the city and country. There have been complaints regarding this lack of infrastructure and the safety of cyclists, while initiatives to build cycling lanes have been launched only recently, in 2023. [4] [5] [6]</t>
  </si>
  <si>
    <t>Infrastructure for walking is very limited in Lagos. In April 2018, the Lagos State Ministry of Transportation (MOT) collaborated with the Lagos Metropolitan Area Transport Authority (LMATA), the United Nations Environment Programme, and the Institute for Transportation and Development Policy in publishing the Lagos Non-Motorised Transport Policy. [1] The policy highlights non-motorised transport infrastructure as an urgent issue in Lagos, and sets ambitious 5 year, 10 year and 15 year goals for improving walking and cycling infrastructure. [1] In September 2022, LMATA announced it had completed phase one of the Lagos Sidewalk Pilot Project, enhancing walking access to St. Nicholas Hospital, Kings College, Lagos High Court, Federal Court of Appeal, Tafawa Balewa Square, and a multi-storey complex. [2] However, Lagos' overall pedestrian infrastructure is virtually non-existent. According to the Lagos State Development Plan 2052 (SDP 2052), Lagos severely lags behind its peers in terms of the quality of its public spaces, scoring 0/100 on its objective indicators, with very few places with infrastructure for walking. [3]_x000D__x000D_Lagos has no infrastructure for cycling. Lagos State reported it had constructed bicycle parking spaces to encourage the use of bicycles. [2] LMATA also reported that plans for a cycling pilot project from Eti-Osa LG to Ikoyi-Obalende LCDA were underway. [2] Despite these initiatives, Lagos' overall cycling infrastructure is virtually non-existent. A March 2023 study on pedestrianisation and cycling in Lagos found infrastructure to support cycling was grossly lacking, increasing the vulnerability of cyclists, and a near collapse of cycling in the study area. [4]</t>
  </si>
  <si>
    <t>London has infrastructure for walking and cycling._x000D__x000D_London's Healthy Streets scheme supports active travel. [1] Low Traffic Neighbourhoods (LTNs) and School Streets are two key programmes the city has used to support more active travel, especially during covid-19. More than 100 LTN schemes have been delivered across London, making it safer and easier for residents and families to get around their local area on foot and by cycle. [2]_x000D__x000D_According to the Travel in London 2023 Annual overview, there has been a continued increase in levels of walking and cycling in the city with Transport for London (TfL) pointing to investment in infrastructure as a reason for this trend. During the pandemic TfL worked with boroughs to introduce the Streetspace for London programme, which provided wider pavements and cycle lanes so that people could walk and cycle safely while maintaining social distancing. [3]_x000D__x000D_TfL has noted that all of the city's pedestrian crossings are accessible, with tactile paving, audible signals and/or rotating cones on the pushbuttons unit. [4]</t>
  </si>
  <si>
    <t>Madrid has abundant and varied infrastructure for both walking and cycling. _x000D__x000D_The Community of Madrid (the large autonomous region, which includes the city proper), has a great variety of pathways and trails designated for hiking and walking, or so-called "active mobility", covering most of the region. [1] _x000D__x000D_The city has a very widespread cycling network, comprising five different types of paths: 1) the Green Cycling Ring (Anillo Verde Ciclista), a long, circular route surrounding the urban core which runs mostly through green areas; 2) roads exclusively for cycle traffic, designated with relevant signage; 3) preferential-use routes for bicycles which place some restrictions on the use of motor vehicles; 4) shared-use paths without designated exclusive or preferential use for bicycles; and 5) indicated turns and directions of traffic permitted for bicycles. [2] The cycling infrastructure is concentrated in the urban core, extending to most of the city's 21 districts, but with only a very limited presence in Fuencarral-El Pardo (District 8) in the northwest, which has several undeveloped and wilderness areas. [2] _x000D__x000D_Initiatives such as those described above result from concerted policies run by the Community of Madrid to address the problem of sedentary behaviour among its residents by promoting physical activity within its borders. One such policy (of which there are several) is Madrid Región Activa (Active Region Madrid), which has five basic policy pillars, among which are campaigns to raise awareness of physical fitness and direct intervention programmes, coordinated with sports and fitness-related entities from the public and private sectors. [3]</t>
  </si>
  <si>
    <t>The Philippine Department of Transportation (DOTr) has constructed 564 km of protected bike lanes since 2021 in the metropolitan regions of Manila, Cebu and Davao under its active transport programme in accordance with the National Transport Policy, as of December 2023. The DOTr aims to increase this network to 2,800 km by 2028. [1] [2] A further budget of Ps1bn pesos (US$18m) has been allocated in the 2024 budget for "protected bike lanes" and "pedestrian walkways." [3]_x000D__x000D_As per Metro Manila Development Authority's Annual Report 2020, by December 2020, Metro Manila had 122 pedestrian footbridges built by the MMDA's Traffic Engineering Center. These bridges offer safe passage for over 3m pedestrians daily. [4]</t>
  </si>
  <si>
    <t>The city of Melbourne has plans for investing in promoting and creating more space for pedestrians and cyclists. It has plans to create more than 50km of protected bicycle lanes in the heart of the city, and will work with the Victorian Government to enable a further 40 km of protected bicycle lanes. It has invested $180,000 for cycle infrastructure in West Melbourne and $1.5mi n renewal works including roads and footpaths. [1]_x000D__x000D_From 2014-2017, the City of Melbourne aims to include pedestrians in transport planning, creating attractive walking environments, addressing pedestrian crowding and reducing pedestrian delays. [2]_x000D__x000D_From 2016-20, the City of Melbourne made plans to improve the cycling network, by increasing bicycle parking, installing bicycle maintenance stations, creating local neighbourhood routes, and improving connections into and through the city. [3]_x000D__x000D_More than 50 km of walking and cycling paths have been built or upgraded in Melbourne's West. New and upgraded cycling and walking routes have been built in Melbourne's North, East, South-East and Inner Melbourne. [4]</t>
  </si>
  <si>
    <t>Mexico City has infrastructure for walking and cycling._x000D__x000D_Mexico City has expanded its cycling infrastructure, motivated by increased bike use during the COVID-19 pandemic. By joining the ITDP's Cycling Cities Campaign, the city has worked on making cycling a safe and affordable mode of transport. This includes installing a protected cycle path on Avenida de los Insurgentes and adding new bike and bus-bike lanes. [1] The Muevete en Bici programme, operational since 2007, turns seven streets car-free on Sundays to encourage cycling and walking. [2] The Climate Action Programme has contributed to this by adding 186 km of cycling lanes and pedestrianising Madero Street. [3]_x000D__x000D_Additionally, to enhance pedestrian safety and mobility, Mexico City has invested US$17.5m in creating over 200 km of "Safe Paths" across 77 roads and improving lighting in all 16 municipalities, aiming to influence 1,120 km of the city. [4] The integration of green infrastructure, like planting shade trees, supports comfortable outdoor activity throughout the year, underscoring the city's commitment to pedestrian-friendly initiatives and urban public space improvement. [5]</t>
  </si>
  <si>
    <t>Moscow has infrastructure for walking and cycling. _x000D__x000D_A 2023 study found that there are great disparities in terms of walkability across the city with central and south-western parts being the most walkable, and eastern and south-eastern areas being the least walkable. [1] [2] _x000D__x000D_The Mayor of Moscow has introduced measures in the past, according to a 2010-17 report, to improve walkability in certain parts of the city; however they do not extend to many areas, and the plan requires improvement according to the aforementioned study. [1] [3] Therefore, there does exist some infrastructure for walking, but it is not prevalent across the whole city. _x000D__x000D_A map on the website "Velomoskva" shows all the cycling routes in the city; they are mainly concentrated in the centre, along the river and in parks. [4] The construction of cycling routes in Moscow started in 2011. [5]</t>
  </si>
  <si>
    <t>Although there is evidence of parks which can be used for walking and recreation purposes, and there are plans to improve infrastructure for walking and cycling lanes, there is no evidence of functional walking and cycling infrastructure in place. [1] The Mumbai beautification project aims in rebuilding footpaths while the Mumbai city planners had also started an ambitious 70 km interconnect cycling track project which has still not been completed. Walking and cycling are not even considered safe in Mumbai due to the poor walking and cycling infrastructure. [2] [3] [4] [5]</t>
  </si>
  <si>
    <t>Nairobi has infrastructure for walking and cycling, but it is relatively limited in scope and use is hindered by lacking enforcement and policy implementation._x000D__x000D_Paved footpaths, zebra crossings and footbridges can be found in the city's Westlands and Eastlands zones. [1] In addition, in 2020, Nairobi Metropolitan Services (NMS) constructed footpaths and cycling lanes within streets in Nairobi Central Business District (namely on Kenyatta Avenue, Aga Khan Walk and Wabera Street). [2] _x000D__x000D_A 2020 University of Nairobi thesis, "Level Of Provision And Usability Of Non-Motorized Transport Infrastructure Along Tom Mboya Street, Nairobi City County", concluded that Tom Mboya Street (one of the main streets within Nairobi Central Business District) lacks pedestrian's lanes and cycle tracks and signage, roadways designs, including traffic calming, road diets, and traffic speed controls. [3] More generally, the 2015 Non Motorised Transport (NMT) policy issued by Nairobi City Council identified various challenges surrounding NMT in the city, which include: lack of policy implementation, road-based Nairobi transport system, lacking NMT infrastructure, encroachment into NMT spaces and lack of enforcement, unsafe pedestrians environments, inaccessibility and discomfort in usage of pedestrian and cyclist facilities. [4] The Nairobi Metropolitan Authority (NAMATA), which is in charge of co-ordination of NMT Provision across various stakeholders, lists 3 NMT Projects on its website: Kenyatta Avenue, Muindu Mbingu Street and Railway Station-CBD, all within Nairobi CBD. No details on the type and status of these projects are available; however, they are part of a wider project encompassing a wider zone within the Nairobi Metropolitan Area. [5]</t>
  </si>
  <si>
    <t>New York City has infrastructure for walking and cycling. _x000D__x000D_The city has enhanced high-visibility crosswalks in order to support pedestrian mobility. The New York City Department of Transportation and the New York Police Department have created the "Pedestrian Safety Action Plan" in order to minimise the number of pedestrian fatalities. In addition, NYC has neighbourhood slow zones. Besides this, the city aims to improve pedestrian ramps, safe routes to pedestrians and safe streets for pedestrian seniors. [1] Concerning the cycling infrastructure, NYC has the biggest cycle route in North America (1,375 miles of cycle routes). Furthermore, NYC offers free parking for bikes. [2]</t>
  </si>
  <si>
    <t>There is infrastructure for both walking and cycling in Osaka._x000D__x000D_Osaka Prefectural Government does not publish statistical information on pavements; however, according to the National Road/Street Traffic Survey, 58.7% of roads in Osaka prefecture were equipped with pavements in 2021. [1] There are 1,646 audible signals as of March 2023, which is 2.4% of total crosswalk signals in Osaka. [2] In July 2016, Osaka City established a plan to improve the environment for bicycle traffic, including designating specific areas for bicycles on sidewalks (bicycle-pedestrian paths) and establishing bicycle lanes on roadways. Regarding the bicycle-pedestrian paths, approximately 250 km had been developed by 2016. [3]</t>
  </si>
  <si>
    <t>The City of Paris has abundant infrastructure for both walking and cycling._x000D__x000D_The city government has a dedicated policy, known as the Plan vélo (Bike plan). to support and augment the use of cycling routes throughout the city. The Plan vélo for the 2021-26 period allocates EUR100m toward making Paris a "100% cyclable city". [1] Currently, there are around 1,000 kilometres available, to be expanded to 1,500 kms. Some cycling routes take the form of designated lanes on major roads designed for--or temporarily closed to--vehicular traffic; other routes--particularly those in or along parks--are permanently restricted to bicycles and pedestrians. [2] Some routes extend into the rest of the Île-de-France, the region that contains Paris.[3] _x000D__x000D_Paris also boasts numerous and extensive hiking paths. One route, known as the GR 75, crosses 75 green spaces through 9 arrondissements, looping over 50 km around the city. Three other signposted routes, known as 'traversées', pass through the urban districts of the city. Yet other designated walking paths thread through the city's urban forests, in particular the Bois de Boulogne and Bois de Vincennes. [4]</t>
  </si>
  <si>
    <t>Phnom Penh does not have infrastructure for walking and cycling._x000D__x000D_According to the Phnom Penh Green City Strategic Plan 2017-2026 and Phnom Penh Sustainable City Plan 2018-2030, there is no evidence of infrastructure for walking and cycling, including the provision of walking space, safe crossing paths, audible signals, and cycling lanes in Phnom Penh. [1] [2] [3] [4] A 2019 article on street networks in Phnom Penh also stated that designs and facilities to facilitate walking and cycling paths in Phnom Penh have not been in place. [5] _x000D__x000D_Although the Partnership for Active Travel and Health (PATH) states that a national walking policy and Nationally Determined Contributions (NDCs) for walking and cycling exist in Cambodia, the documents cannot be found. [6] [7] [8] However, according to the Phnom Penh Sustainable City Plan 2018-2030, a medium-term project to pilot green and blue corridors for multi-functional use aims to include walking and cycling paths in the city's recreational and green areas. [1] A similar goal is also evident in the Phnom Penh Green City Strategic Plan 2017-2026. [2] In addition, the national government has sought to tackle the issue of improper use of sidewalks by planning to formulate a sub-decree on encroachment on public space and governing how sidewalks will be used by private citizens. [3] [9] According to the Phnom Penh city spokesman in 2020, the government also placed biking lanes into discussion and planned to separate lanes among bicycles, motorcycles and cars. [10]</t>
  </si>
  <si>
    <t>Riyadh is considered one of the least walkable cities in the region. [1] Together with Malaysia and Indonesia, Saudi Arabia ranked lowest globally in 2017 regarding residents' average daily steps. [2] The government has made efforts to raise awareness about the health benefits of walking through national challenges and to create more green and walkable spaces in the city. [3] [4] However, the construction of such infrastructure has yet to be implemented in practice. The High Commission for the Development of Riyadh has also initiated projects on the creation of "mega parks" where there are dedicated walking trails; the parks are concentrated in specific affluent areas. Although these initiatives have been implemented, they are noted to have been "fragmented, short-term attempts, and lacked a coordinating body." [5]_x000D__x000D_There exists little to no infrastructure in the city dedicated to cycling. There are only dedicated cycling spaces for people to train, for instance in the Wadi Hanifa area in the outskirts of Riyadh. [6]</t>
  </si>
  <si>
    <t>The Metropolitan City of Rome Capital (Città metropolitana di Roma Capitale, the administrative entity that encompasses the city proper (Comune di Roma) and 120 other comune or municipalities) boasts abundant infrastructure for walking and cycling. The network of cycling routes extends for about 320 km, passing through parks and historic sites and along the main streets. Interspersed throughout the network are facilities for interconnecting with the public transport system. [1] _x000D__x000D_In recent years, the Municipality of Rome has established some areas closed to vehicular traffic—some for short durations of one day a week, and some permanently. [1] Federtrek, a leading Italian federation of hiking clubs, describes 15 different and extensive urban hiking trails, spread throughout the city. As is the case with cycling routes, many hiking trails have facilities for connecting with public and private transport services. [2]</t>
  </si>
  <si>
    <t>San Francisco has infrastructure for walking and cycling. According to the US City Health Dashboard of the NYU Grossman School of Medicine's Department of Population Health, San Francisco's walkability score of 88.3 in 2022 indicates a very walkable environment, as classified by the Walk Score scale. [1] This score suggests that most errands in San Francisco can be accomplished on foot, indicating a convenient transit and biking for most trips. With a score falling within the range of 70–89, San Francisco is categorised as "Very Walkable", having "Excellent Transit" and being "Very Bikeable". This assessment implies a promotion of active transportation and pedestrian-friendly urban environments within the city. Therefore, San Francisco earns a score of 2 on this indicator.</t>
  </si>
  <si>
    <t>[1] NYU Grossman School of Medicine's Department of Population Health. San Francisco, CA - Metric Detail | City Health Dashboard [Internet]. NYU Langone Health; 2024. [Accessed Mar 12th 2024]. Available from: https://www.cityhealthdashboard.com/CA/San%20Francisco/metric-detail?metricId=27&amp;dataPeriod=2022</t>
  </si>
  <si>
    <t>The city of São Paulo seeks to improve its cycling and walking infrastructure through the creation of cyclo routes and through the development of public policies devoted to pedestrians. _x000D__x000D_According to the Traffic Engineering Company (CET), the city of São Paulo has 731.2 km of roads with permanent cycle paths, 699.1 km of which are Cycle Paths/Cyclolanes and 32.1 km of Cycle Routes. The city also operates in modal integration, as cyclists have spaces in bicycle racks and locations with paracycles integrated into the transport system of the City of São Paulo. [1] In 2020, a regulation of the Pedestrian Statute was created, aiming to improve mobility conditions [2] The Municipal Department of Mobility and Transport adopted a Safe Pedestrian Programme, aiming to ensure the safety of pedestrians, mobilising civil society and public authorities. In addition, a Maximum Pedestrian Protection (ZMPP) was created and is being implemented with the purpose of promoting pedestrian safety on the road. [3]</t>
  </si>
  <si>
    <t>The city of Seoul has infrastructure for walking and cycling. _x000D__x000D_The Seoul Metropolitan Government's pedestrian safety statistics show that the city had 11,967 signalised crosswalks and 25,917 non-signalised crosswalks, or 4.56 crosswalks for every kilometre of paved road, in 2021. [1] Seoul and other major cities in South Korea have the Basic Plan for Pedestrian Safety and Convenience Enhancement as a related policymaking platform. The Seoul Metropolitan Government's latest five-year plan (2019-23) includes an initiative for deploying smart-technology solutions, such as virtual reality and 3D mapping, in addition to public safety cameras to identify pedestrian safety vulnerabilities. [2] The Seoul Metropolitan Government has a separate set of statistics on cyclists: there were 1,315 cycle lanes (total length: 1,316 km), including 814 cycle/pedestrian lanes (871.7 km), in 2022. [3] There were also 31 cycle parking garages (5,483 racks), eight cycle storage lockers (190 racks) and 4,667 cycle parking stations (121,353 racks) in 2022. [4]</t>
  </si>
  <si>
    <t>Shanghai has good pedestrian and cyclist infrastructure and has published a guideline to further improve it. _x000D__x000D_According to the Shanghai Street Design Guidelines, street design should consider both the needs of pedestrians and vehicles. Aside from the general street types, there are specialised street types that cater to pedestrians and cyclists such as the Road for non-motorised vehicles, Pedestrian street, Non-motorised lanes in green lands, and Greenway. [1]_x000D__x000D_In 2021 Shanghai published a guideline for slow traffic planning and design, aiming to improve the experiences of pedestrians and cyclists. [2]</t>
  </si>
  <si>
    <t>There is evidence of walking and cycling infrastructure. _x000D__x000D_According to Singapore's government, the city-state has installed 200 km of walkways since 2018. The island also has a pedestrian infrastructure programme called "Walk2Ride". [1] Concerning cycling infrastructure, Singapore has a programme called the "Island Cycling Network Programme" to increase and improve the already existing cycle lanes and parking spots. [2]</t>
  </si>
  <si>
    <t>[1] Strategic cycleway corridor networks have been identified in Greater Sydney._x000D__x000D_[2] The city offers a bike network map displaying the current infrastructure for cycling. [3] The city claims that, "since 2008, cycling trips have doubled and attitudes to active transport have shifted significantly."_x000D__x000D_[4] There is evidence of investments and infrastructure for pedestrians, such as the Wynyard Walk. Significant investments have been made for the Sydney's Walking Future programme.</t>
  </si>
  <si>
    <t>There is infrastructure for both walking and cycling in Tokyo._x000D__x000D_About 80% of Tokyo Metropolitan Government managed roads are equipped with pavements dedicated for pedestrians or pedestrians and cyclists. [1] There are 2,785 audible signals, which is 3.3% of total crosswalk signals in Tokyo. [2] Infrastructure for cycling is developing. In October 2012, the Tokyo Bicycle Traffic Space Improvement Promotion Plan was established, advancing the development of dedicated bicycle lanes in areas with high bicycle traffic and a high risk of accidents. By the end of March 2021, approximately 320 km of bicycle lanes had been developed, with plans to expand this to 600 km by the end of March 2031. [3]</t>
  </si>
  <si>
    <t>There is infrastructure for both walking and cycling._x000D__x000D_There is a city-level programme known as ActiveTO that aims to give residents the opportunity to walk and cycle. The programme supports active transportation and overall mobility. Some initiatives have included closing major roads in an attempt to provide more space for walking and cycling and expanding the cycling network which aims to allow people on bikes to move around the city in a safe manner. [1]_x000D__x000D_The Centre for Active Transportation (TCAT) was formed in 2006 for a better cycling and pedestrian environment in Toronto. TCAT is a leader in the active transportation research, policy solutions and evidence-based programming in Ontario. Some of its projects include Complete Streets (streets that are safe for all including those who drive, cycle, take public transit) and Vision Zero and Older Adults (in 2017 and 2018, 65 senior safety zones were established across Toronto). [2]</t>
  </si>
  <si>
    <t>There is clear evidence that Vienna has infrastructure for walking and cycling._x000D__x000D_According to the city of Vienna, it has a cycling network that covers 1,654 km and includes "cycleways, cycle lanes, cycle paths, combined pedestrian and cycle paths, multiple purpose lanes, and traffic-calmed zones". [1] Vienna also has an app to help navigate the city's cycling network as well as a map showing available bike parking and lock-ups. [1]_x000D__x000D_The Mobility &amp; Transport section of The Vienna Smart City Strategy discusses future improvements for cycling, "The cycling infrastructure is massively expanded through closing of gaps in the coverage. The existing network is also upgraded by improving through routes for cyclists, making them safe for children as well as adults to use. Additional bike parking facilities continue to be installed"; the city also plans the "installation of long-distance cycle paths into the city centre from the outskirts and surrounding municipalities". [2]_x000D__x000D_The smart-city strategy also discusses infrastructure for walking, specifically by designing future urban policy around 15-minute cities, so more amenities are within walking distance, redesigning streets to have more greenery and shade, as more geared towards shared-use mobility schemes instead of cars, and a focus on public transportation. It also plans more traffic calming zones to slow cars and improve safety. [2]</t>
  </si>
  <si>
    <t>There is infrastructure for walking in Wuhan, such as pavement and crossings. A World Bank loan granted in 2010 provided assistance for upgrades including installation of additional traffic signals for vehicles, and mid-block traffic signals for pedestrians, and facilities for pedestrians and cyclists. [1] There is evidence of government announcements of renovation of pavements as part of Wuhan's "Year of Urban Regeneration" in 2023, [2] which aimed at renovating 260 old communities in the city, [3] and included renovation of 200,000 sq metres of pavement. [4]_x000D__x000D_Wuhan has infrastructure for cycling. This is partly made up of shared road usage termed "dedicated paths" (zhuanyong dao) which serve as areas for non-motorised vehicles. Like in other cities in China, cyclists cycle within roads which may be used by multiple forms of non-motorised transport. In 2017, these paths were announced to be extended to cover 2,455 km in length. [5] In more recent years, bike paths have been included in building plans for new urban areas. [6] There are also more scenic routes resembling more traditional cycling paths, such as Hidden Dragon Island Lake Greenway Cycling Path. [7] There is no specific data for the length of the cycling network in Wuhan.</t>
  </si>
  <si>
    <t>There is no adequate infrastructure for walking in Yangon, and no infrastructure for cycling. [1]_x000D__x000D_Only a limited number of areas in downtown Yangon are equipped with dedicated space for pedestrians Elsewhere in the city, especially in the suburbs, existing walking environments are in poor condition due to the lack of investment in pedestrian facilities and unclear policies for car parking and street vendors. The traffic signals are not coordinated, and, for pedestrians, traffic signals can be found only on the main roads of the city. There are no audible signs. [2]_x000D__x000D_Waizayanda Road, one of the major roads in Yangon, is the only road with a bicycle lane. According to the Japan International Cooperation Agency, the lane was implemented in 2020 with the help of UN Habitat, but was reported to be poorly maintained since the installation and not respected by other vehicles. [2]</t>
  </si>
  <si>
    <t>According to a national survey conducted by Ethiopian Statistics Services (ESS) in 2021/22, about a quarter of households in Addis Ababa city faced food insecurity. [1]</t>
  </si>
  <si>
    <t>[1] Ethiopian Statistical Service (ESS), World Bank. Ethiopia Socioeconomic Panel Survey (ESPS) Report - Wave 5, 2021/22). Addis Ababa: Ethiopian Statistics Service. [Accessed 25th April 2024]. Available from: http://www.statsethiopia.gov.et/wp-content/uploads/2024/01/2021-22-Survey-Report.pdf)</t>
  </si>
  <si>
    <t>Algiers does not have published city-level data on food insecurity in the last 5 years. [1] Only national-level data were published by the World Bank in 2021. [2]</t>
  </si>
  <si>
    <t>City-level data on food insecurity has not been collected or published in the last 5 years for Atlanta._x000D__x000D_There is outdated data at state level (2017). [1] _x000D__x000D_Recent data are only available at national level. [2]</t>
  </si>
  <si>
    <t>Representatives from local organisations such as Auckland City Mission and Kore Hiakai - Zero Hunger New Zealand, as well as from the New Zealand Statistics Centre, have been contacted. They have reported that despite advocacy efforts within political circles, there are presently no platforms or initiatives in Auckland, or even in New Zealand as a whole, dedicated to tracking food insecurity, reflecting the absence of city-level data on food insecurity collected or published in the last 5 years. [1] [2]</t>
  </si>
  <si>
    <t>There is insufficient evidence that data are collected and/or published on food insecurity in Bangkok. The National Health Examination Survey published in 2021 measured the proportion of respondents who skipped breakfast and the number of meals a respondent ate in a restaurant or a hawker stand. [1] More on food consumption at the city level is published in the Food Consumption Behaviour Survey, which is published every five years by the National Statistical Office. However, the most recent available version of the survey is from 2017.</t>
  </si>
  <si>
    <t>There is no evidence that Berlin collects data on food insecurity. A review of the Berlin-Brandenburg Statistics Office databases and the Health and Social Information System (GSI) of Berlin did not identify any relevant data. [1] [2]</t>
  </si>
  <si>
    <t>There is evidence of city-level data on food insecurity._x000D__x000D_The Food Insecurity Experience Scale (FIES; Escala de experiencia de inseguridad alimentaria), is a tool to measure food insecurity at the country-level and across each department. The FIES was first included in the National Survey on Life Quality (Encuesta Nacional de Calidad de Vida) in 2022. Therefore, the latest data is from 2022. The FIES reveals statistics for serious cases of food insecurity, as well as statistics for moderate and serious cases. The data in the value column refers to the prevalence of moderate/serious cases of food insecurity in Bogotá. [1]</t>
  </si>
  <si>
    <t>[1] DANE. Food Insecurity Experience Scale 2022 (Escala de experiencia de inseguridad alimentaria (FIES) 2022). Bogotá. DANE. 2023. Available from: https://www.dane.gov.co/files/operaciones/FIES/bol-FIES-2022.pdf</t>
  </si>
  <si>
    <t>City-level data on food insecurity have not been found on the websites of the City of Budapest or the Hungarian Government. [1, 2]</t>
  </si>
  <si>
    <t>Cairo does not have published city-level data on food insecurity. [1] [2]_x000D__x000D_The World Food Programme reports national-level data only. [3]</t>
  </si>
  <si>
    <t>In the last 5 years, city-level data on food insecurity has not been collected or published. National data are available from the United Nations and the Sri Lankan Ministry of Health. However, there are no city-level data. No data are available under the government websites or in the statistics of Colombo. [1] [2] [3]</t>
  </si>
  <si>
    <t>There is no evidence that in the last 5 years city-level data on food insecurity in Delhi have been collected or published. No evidence is found under the Delhi government website or the National Family Health Survey 2019-2021. [1] [2]</t>
  </si>
  <si>
    <t>City-level data on food insecurity are available in the Food Security Statistics Project 2022 report published by the Bangladesh Bureau of Statistics. [1]</t>
  </si>
  <si>
    <t>[1] Bangladesh Bureau of Statistics. Food Security Statistics Project 2022. Key Findings from Food Security Statistics 2023. Dhaka: Bangladesh Bureau of Statistics. [Accessed 29th April 2024]. Available from: https://bbs.portal.gov.bd/sites/default/files/files/bbs.portal.gov.bd/page/57def76a_aa3c_46e3_9f80_53732eb94a83/2024-01-10-05-02-13a7621f60bd07bd2339b158ed0199e2.pdf</t>
  </si>
  <si>
    <t>No city-level data are available on food insecurity in the emirate of Dubai. The only data available are for the entire United Arab Emirates, and are related to the Global Food Insecurity Index (GFSI) 2022 as found on the websites of Economist Impact and the UAE government portal. [1] [2]</t>
  </si>
  <si>
    <t>There are no city-level data on food insecurity in Helsinki._x000D__x000D_There are no city-level data published on the database of Statistics Finland, the City of Helsinki or the Finnish Institute for Health and Welfare. [1] [2] [3]</t>
  </si>
  <si>
    <t>There are no data on food insecurity in Ho Chi Minh City, only for the whole of Vietnam. According to the Vietnam Clean Energy Association, Ho Chi Minh City People's Committee has issued a plan to implement the Action Program of the Ho Chi Minh City Party Committee on ensuring food security in the city until 2030.[1]_x000D__x000D_According to the plan, Ho Chi Minh City aims to be able to locally produce nearly 20,000 tons of rice, 580,000 tons of vegetables, more than 46,000 tons of pork, and 2,000 tons of poultry meat by 2025. The average income of rural households reaches 100 million VND/person/year. By 2030, the city will be able to supply a 15% increase in food demand compared to 2020. [1] [2]</t>
  </si>
  <si>
    <t>There is no evidence of data on the levels of food insecurity in the population in Hong Kong in the last 5 years. No information could be found from the World Bank, Hong Kong's Commission on Poverty nor the Department of Health. [1] [2] [3]</t>
  </si>
  <si>
    <t>Available evidence does not indicate that data on food insecurity in Istanbul have been collected and published within the past five years._x000D__x000D_Instead, the evidence indicates that data for this metric are collected in Turkey at the national level, the last such initiative being the Ministry of Health's most recent Turkey Nutrition and Health Survey, for the year 2017. [1] _x000D__x000D_Food insecurity is a key theme of the Istanbul Food Strategy Document, a draft policy paper published in 2021 by the Istanbul Municipality's Planning Agency and aiming to develop the city's agriculture and food strategy in consultation with city residents. [2] However, the document does not discuss any use of locally derived data on this metric to support its objectives. Evidence also suggests that the public consultation process remains open as of April 2024.</t>
  </si>
  <si>
    <t>Badan Pusat Statistik, the statistics agency, published the most recent data on food insecurity for Jakarta province in February 2024. [1]</t>
  </si>
  <si>
    <t>[1] Prevalence of Moderate or Severe Food Insecurity in the Population, Based on the Food Insecurity Experience Scale (FIES) (Percent). Statistics Indonesia; [Accessed April 26th 2024]. Available from: https://www.bps.go.id/en/statistics-table/2/MTQ3NCMy/prevalence-of-moderate-or-severe-food-insecurity-in-the-population--based-on-the-food-insecurity-experience-scale--fies---percent-.html</t>
  </si>
  <si>
    <t>Johannesburg had city-level data on food insecurity collected in the last 5 years. In 2023 Statistics South Africa published a report on food inadequacy and hunger using the 2021 General Household Survey data. The data are disaggregated by city, and contain statistics for Johannesburg. [1]</t>
  </si>
  <si>
    <t>The most recently published survey by the Ministry of Planning Development &amp; Special Initiatives, for the year 2019-20, contains city-level data on food insecurity in Karachi (p. 578). [1]</t>
  </si>
  <si>
    <t>[1] Ministry of Planning, Development &amp; Special Initiatives, Pakistan Bureau of Statistics. Pakistan Social and Living Standards Measurement Survey 2019-20. Islamabad: Ministry of Planning, Development &amp; Special Initiatives. [Accessed 29th April 2024]. Available from: https://www.pbs.gov.pk/sites/default/files//pslm/publications/pslm_district_2019-20/PSLM_2019_20_District_Level.pdf</t>
  </si>
  <si>
    <t>There is no evidence of the publication of city-level data on food insecurity. The web portal of Kathmandu Metropolitan City and the Ministry of Agriculture and Livestock Development do not have data published at city level. [1] [2]_x000D__x000D_Information exists at the national level and sub-national level. For instance, the Food Security Atlas of Nepal has data pertaining to food security at national and sub-national level. [3] However, there are no data for Kathmandu. _x000D__x000D_Similarly, none of the international organisations working in Nepal have such information.</t>
  </si>
  <si>
    <t>There is no evidence that in the last 5 years city-level data on food insecurity have been collected or published. There is no evidence under the Kolkata city government website or under NGOs working among the underprivileged in the city. [1,2,3]</t>
  </si>
  <si>
    <t>The World Bank's statistics show the rate of severe food insecurity in Kuwait for 2021. [1]_x000D__x000D_No city-specific data is available on poverty in Kuwait City with the Central Statistical Bureau. [2]</t>
  </si>
  <si>
    <t>The 2022 Nigeria Multidimensional Poverty Index Survey reports the percentage of Lagos' population living with food insecurity. [1]</t>
  </si>
  <si>
    <t>[1] National Bureau of Statistics. 2022 Nigeria Multidimensional Poverty Index Survey. Abuja: National Bureau of Statistics. [Accessed 29th April 2024]. Available from: https://www.nigerianstat.gov.ng/pdfuploads/NIGERIA%20MULTIDIMENSIONAL%20POVERTY%20INDEX%20SURVEY%20RESULTS%202022.pdf</t>
  </si>
  <si>
    <t>The Survey of Londoners measures the rate of food insecurity in London for both adults and children; the second and most recent survey was conducted from November 2021 to February 2022. [1]</t>
  </si>
  <si>
    <t>Available evidence indicates that city-level data on food insecurity have been collected and published in the last five years._x000D__x000D_The Department of Public Health of the City Council of Madrid (branded as Madrid Salud) periodically conducts studies on the state of health of the city's residents. The most recent study was published in 2022 and devotes an entire chapter to the issue of food insecurity. Amongst other data points, the study found that over the preceding 12 months a small minority of the Madrid population were concerned about having insufficient food at home due to a lack of resources. [1]</t>
  </si>
  <si>
    <t>There is evidence that municipal level data on food insecurity has been collected and published in the Philippines. [1] The Philippine Statistics Authority publishes food security indicators some of which (such as Consumer Price Index for food commodities) have information at the regional or sub-regional level, including data on the National Capital Region which includes Manila.[2]_x000D__x000D_The Food and Nutrition Research Institute (FNRI) of the Department of Science and Technology collects and publishes data on household food insecurity in the Philippines, including at the municipal and city levels. However, the data are currently unavailable on the FNRI website and requires a user account to access. [3]</t>
  </si>
  <si>
    <t>The City of Melbourne conducted the City of Melbourne Social Indicator Survey (CoMSIS) in 2021, which outlined the percentage of residents who experienced food insecurity. [1]</t>
  </si>
  <si>
    <t>City-level data on food insecurity have been collected and/or published in the last 5 years for Mexico City. The 2020 National Health and Nutrition Survey includes data on food security in Mexico City. [1]</t>
  </si>
  <si>
    <t>[1] Preciado AC. Inseguridad alimentaria en el México urbano [Food insecurity in urban Mexico]. Ciudad de México: Universidad Iberoamericana; 2017. [Accessed Apr 25the 2024]. Available from: https://revistas.ibero.mx/ibero/uploads/volumenes/64/pdf/inseguridad-alimentaria-en-el-mexico-urbano-alejandra-cantoral-preciado.pdf</t>
  </si>
  <si>
    <t>No city-specific data was identified on food insecurity via the Department of the Federal Service of State Statistics for Moscow and the Moscow Region or the Ministry of Health. [1] [2]</t>
  </si>
  <si>
    <t>There is no evidence that in the last 5 years city-level data on food insecurity have been collected or published. No evidence is found under the Mumbai City websites or some NGOs that work in the field of nutrition in the city.[1] [2] [3]</t>
  </si>
  <si>
    <t>No city-level data on food insecurity has been collected and/or published for Nairobi as a whole in the past 5 years. While information is available at the national level and for low-income areas in Nairobi, these do not consider wealthier parts of the city. [1] [2] [3]</t>
  </si>
  <si>
    <t>New York City publishes the Food Metrics Report, which contains data on food insecurity for the city and each borough. The latest report is from 2022. [1]</t>
  </si>
  <si>
    <t>[1] NYC Mayor's Office of Food Policy. Food Metrics Report 2022. New York City. NYC MAYORS OFFICE OF FOOD POLICY. 2022. Available from: https://www.nyc.gov/assets/foodpolicy/downloads/pdf/Food%20Metrics%20Report%20FY%202022_FINAL.pdf</t>
  </si>
  <si>
    <t>A world survey conducted by NGO World Vision in cooperation with IPSOS reports on food insecurity in Japan; however, the reported data are only national level. [1] The Survey on the Realities of Children facing Difficulties of Osaka Prefecture and Osaka City reported the percentage of households experienced having cut back on food expenses due to economic reasons; however the targets were limited to guardians of fifth-grade elementary school students (ages 10-11) and second-year junior high school students (ages 13-14). [2]</t>
  </si>
  <si>
    <t>Available evidence indicates that city-level data on food insecurity in Paris have been collected and published in the last five years._x000D__x000D_The study Status of Food in Paris: Notebook of Challenges, published by the office of the Mayor of Paris in 2020, states the proportion of Parisian households in a state of food insecurity (cited value) and of those experiencing severe food insecurity. [1] _x000D__x000D_Studies on food insecurity are also undertaken by France's National Institute of Statistics and Economic Studies (INSEE). One such study, published in April 2023, focuses on the municipalities of the Île-de-France, which includes Paris. Its dataset provides several relevant metrics—such as the percentages of residents potentially at-risk of, or already experiencing, high food insecurity—for all municipalities, including for each of Paris's 20 arrondissements. [2]</t>
  </si>
  <si>
    <t>The Food and Nutrition Security Trend Analysis report published in 2022 by National Institute of Statistics reports on household hunger and on households that are food secure in 2019 in Phnom Penh. [1]_x000D__x000D_The National Institute of Statistics has published city-level data on household vulnerability and coping behaviour when facing a food shortage; the data are reported as percentages and at city-level in the Cambodia Socio-Economic Survey 2021. [2] the National Institute of Statistics also reports data on "Frequency of household food consumption during the last seven days" for different types of food. Additionally, it reports on food consumption as a share of total consumption.</t>
  </si>
  <si>
    <t>No city-specific data on food insecurity in Riyadh was available on the websites of the General Authority for Statistics, the Ministry of Interior, the Ministry of Economy and Planning, or the Ministry of Health [1] [2] [3] [4]</t>
  </si>
  <si>
    <t>Available evidence indicates that city-level data on food insecurity in Rome have been collected and/or published in the last 5 years. _x000D__x000D_In 2022 the planning department of the Metropolitan City of Rome Capital (Città metropolitana di Roma Capitale—the administrative entity that encompasses the Comune di Roma, the city proper) undertook a comprehensive research study of "insecurity and food poverty" in the city to map dietary trends and food price dynamics, among other objectives. Data were collected by a variety of means, including household and stakeholder questionnaires, consumer monitoring, and data from the FEAD relief fund and the AGEA agricultural payments agency. Among its other outcomes, the project resulted in numerous, granular metrics on the issue of food insecurity in the city. The study found that the social categories reflecting more critical perceptions of food security are single people (unmarried parents and single individuals). The main question was, "During the last 12 months, was there a time when, due to lack of money or other resources, you worried about not having enough food to eat?". [1]</t>
  </si>
  <si>
    <t>City-level data on food insecurity have been collected and/or published in the last 5 years for San Francisco._x000D__x000D_Data from the California Health Interview Survey (CHIS) indicates food insecurity rates lowered from 59% in 2019 to 35% in 2021 among San Francisco respondents with incomes below 200% FPL, despite the negative economic impact of the pandemic. [1]_x000D__x000D_The 2023 San Francisco Biennial Food Security &amp; Equity Report has been released by the Department of Public Health. This report aims to collect and analyse data related to food security and health equity in San Francisco. However, it points out that there is not a population-level measure of food security in San Francisco, only other samples such as the one mentioned above. [2]</t>
  </si>
  <si>
    <t>A dossier produced by the City Council's Human Rights Commission includes results of a survey conducted between December 1st and 14th 2022, revealing that around 6,000 people sought help in Basic Health Units (UBSs) due to hunger that year. [1]_x000D__x000D_Of the 483 UBSs that responded to the survey, 122 stated that they had a demand for care for individuals with symptoms resulting from hunger. The greatest demand for this service occurred in the south of the city, which accounted for 53% of cases. It is followed by the northern region, with 20%. Another 12% of cases occurred in the east region, 9% in the west region and 3% in the centre. Some cases did not have the region demarcated.</t>
  </si>
  <si>
    <t>[1] ADUSP. Food insecurity dossier. São Paulo: Associação de Docentes da Universidade de São Paulo; 2023. Available from: https://www.adusp.org.br/files/RAP/dossiefomeextremaSP.pdf</t>
  </si>
  <si>
    <t>There have been no city-level data on food insecurity collected and/or published in the last 5 years. Relevant national data are available from the UN Food and Agriculture Organization (FAO). [1]</t>
  </si>
  <si>
    <t>Annual data on staple food production are available from the National Bureau of Statistics. These measure production of rice, wheat, corn, barley, sorghum, buckwheat and oats, how much area was sown, and yield per area unit. [1] There is no specific unit for food security provided._x000D__x000D_Agricultural production is also monitored as part of the Shanghai Statistical Bulletin on National Economic and Social Development. [2] Likewise, no specific value or data for food security are provided.</t>
  </si>
  <si>
    <t>There is evidence of data on food insecurity in Singapore._x000D__x000D_Singapore is a city-state. Hence, it is a small country within the limits of a city. In Singapore, there are no local governments, thus, no national level. [1] _x000D__x000D_The World Bank has published time-series data on severe food insecurity for the city-state. The latest data is from 2021. [2]</t>
  </si>
  <si>
    <t>The City of Sydney's 2018 Wellbeing Survey provides an indication of the depth and breadth of food insecurity and the implications of housing costs in our local area. Of all respondents (n=6,900) in the City's 2018 Wellbeing Survey, 7.7% indicated that in the past year they had run out of food and could not afford to buy more. [1]</t>
  </si>
  <si>
    <t>A global survey conducted by NGO World Vision in cooperation with IPSOS reports on food insecurity in Japan; however, the reported data are only national level. [1] The Survey on the Realities of Children of the Tokyo Metropolitan Government reported the percentage of the guardians who had experience using children's cafeterias and/or food banks; however, the targets were limited to guardians of fifth-grade elementary school students (ages 10-11) and second-year junior high school students (ages 13-14). [2]</t>
  </si>
  <si>
    <t>.The 2022 Canadian Income Survey included data on food insecurity in Toronto, based on population estimates for the year. [1]</t>
  </si>
  <si>
    <t>[1] Daily Bread Food Bank and North York Harvest Food Bank. Who's Hungry Report 2023. Toronto: Daily Bread; 2023. Available from: https://www.dailybread.ca/wp-content/uploads/2023/11/DB-WhosHungryReport-2023-Digital.pdf</t>
  </si>
  <si>
    <t>There is no evidence of food insecurity being measured in Vienna in the last 5 years. Neither the Annual Report of the Vienna Minimum Income 2022 nor the General Health Report Vienna measure it. [1] [2]</t>
  </si>
  <si>
    <t>Annual data on staple food production are available from the National Bureau of Statistics, which provides data for Hubei province, but not for Wuhan. These measure production of rice, wheat, corn, barley, sorghum, buckwheat and oats, how much area was sown, and yield per area unit. There is no specific unit for food security provided. [1]_x000D__x000D_The annual Wuhan Statistical Yearbook provides agricultural data on fishing and farming output for Wuhan, with breakdowns for different major agricultural products. [2] There is no specific measurement given for food security.</t>
  </si>
  <si>
    <t>A survey from the International Food Policy Research Institute has data for Yangon Region for November 2023. [1]_x000D__x000D_A report from OCHA indicated that 15.2m people nationwide are in need of humanitarian assistance for food security. [2]</t>
  </si>
  <si>
    <t>There is no evidence of the availability of city-level data on tobacco use on the websites of relevant agencies such as Addis Ababa Health Bureau, Ministry of Health, Ethiopian Public Health Institute, and WHO Ethiopia office. [1] [2] [3] [4] _x000D__x000D_Ethiopia's first and only Tobacco use survey, called Global Adult Tobacco Survey (GATS), was conducted in 2016. [5]</t>
  </si>
  <si>
    <t>Algiers does not have published city-level data on tobacco use in the last 5 years. [1] Only national-level data were published by the World Bank in 2020. [2]</t>
  </si>
  <si>
    <t>City-level data on tobacco use have not been collected or published in the last 5 years for Atlanta._x000D__x000D_Data is only available at state level (Georgia); the Georgia Department of Public Health collects tobacco-related data statewide and by public health district. [1] Reports are made available to the public and healthcare professionals, including data on tobacco use disparities among adults in Georgia by sex, age, race, ethnicity, educational level, health coverage status, occupation and public health district. The most recent data summary from the Department of Public Health is from 2012. [1] Data from the NGO Truth Initiative are from 2021.[2]</t>
  </si>
  <si>
    <t>Information regarding tobacco use is available in the Auckland Plan 2050, which publishes data and trends related to the decline in smoking in the city. Despite containing information collected over 5 years ago, this governmental plan was published in 2020. [1] Additionally, city-level data on cigarette smoking behaviour have been collected for the 2023 Census, which will be released in May 2024 [2].</t>
  </si>
  <si>
    <t>Thailand's National Health Examination Survey published in 2021 provides data on tobacco use in Bangkok, including statistics by gender. [1]</t>
  </si>
  <si>
    <t>Data produced by the Chinese Centre for Disease Control and Prevention show smoking rates for the population over 15 years of age across the provinces of China, including Beijing. These data come from a survey that was conducted in 2020. The published data only give imprecise figures. [1]_x000D__x000D_In 2022, Beijing Municipal Health Commission conducted the fifth adult tobacco prevalence survey. It includes the smoking rate among adults aged 15 and above, which was the same as in 2021. [2]</t>
  </si>
  <si>
    <t>City-level data on smoking in Berlin have been collected and published in the last 5 years. Data are from the Senate Department for Health, Care and Equality of Berlin 2021 report Smoking Behavior of the Berlin Population published in 2021, with data taken in a 2019 micro-census. [1]</t>
  </si>
  <si>
    <t>There is evidence of city-level data on tobacco use._x000D__x000D_Bogotá's District Health Secretary, in coordination with the United Nations Office on Drugs and Crimes (UNODC) Cono Sur region developed the third Study of_x000D_Consumption of Psychoactive Substances in Bogotá D.C. The study surveyed citizens from 12 to 65 years old about certain substance use. The last conducted survey was in 2022. The data reveal the percentage of surveyed citizens who used cigarettes/tobacco in the past month, as well as the statistics for men and women. [1]</t>
  </si>
  <si>
    <t>The Central Statistics Bureau's 2019 data show the percentage of people who smoke daily. The share of those who are smoking irregularly, those who gave up smoking and those who never smoked is also available. [1]</t>
  </si>
  <si>
    <t>[1] Central Statistics Bureau. 4.1.1.41. Distribution of the population according to smoking habits [%]. Budapest: Central Statistics Bureau. [Accessed 26th April 2024]. Available from: https://www.ksh.hu/stadat_files/ege/hu/ege0040.html</t>
  </si>
  <si>
    <t>Cairo does not have published city-level data on tobacco use. [1] [2]. Only national-level data are available. [3]</t>
  </si>
  <si>
    <t>City-level data on tobacco use have been published in the last 5 years. In 2022 the Alcohol and Drug Addiction Centre conducted a survey on tobacco use in Colombo. [1]</t>
  </si>
  <si>
    <t>[1] Research and Evaluation Division. 2022 Trend Survey on Tobacco. Annual Trend Survey on Tobacco Consumption in Sri Lanka. Colombo. Alcohol and Drug Addiction Centre. 2022. [Accessed April 29th 2024]. Available from: https://adicsrilanka.org/wp-content/uploads/2023/06/Tobacco-Trend-Survey-2022-Designed.pdf</t>
  </si>
  <si>
    <t>Gender-based city-level data on tobacco use have been collected and published in the last 5 years. The National Family Health Survey, carried out in 2019-21, states the percentages of population who consume tobacco in Delhi (aged 15 years and above who consume some form of tobacco). [1] However there are no data on the total percentage of the population that uses tobacco in Delhi. No evidence is found under the Delhi State Tobacco Control Program under the Government of Delhi. [2]</t>
  </si>
  <si>
    <t>The most recently available data on tobacco use in Dhaka are from the Global Adult Tobacco Survey 2017, published by the National Tobacco Control Cell, Health Services Division, Ministry of Health and Family Welfare. [1]</t>
  </si>
  <si>
    <t>[1] National Tobacco Control Cell, Health Services Division, Ministry of Health and Family Welfare. Global Adult Tobacco Survey 2017. Dhaka: Ministry of Health and Family Welfare. [Accessed 29th April 2024]. Available from: https://ntcc.gov.bd/ntcc/uploads/editor/files/GATS%20Report%20Final-2017_20%20MB.PDF</t>
  </si>
  <si>
    <t>The Dubai Health Authority's (DHA) latest available Household Health Survey (DHHS) was published in 2019 and contains data on tobacco use in the emirate of Dubai. [1]</t>
  </si>
  <si>
    <t>[1] Dubai Health Authority. Dubai Household Health Survey 2019. Dubai: DHA. 2019. [Accessed 25th April 2024]. Available from: https://www.dha.gov.ae/uploads/042022/Dubai%20Household%20Health%20Survey_EN2022450248.pdf.</t>
  </si>
  <si>
    <t>[1] Sotkanet. Tobacco use. Helsinki: THL. [Accessed 27th April 2024]. Available from: https://sotkanet.fi/sotkanet/fi/haku?g=340</t>
  </si>
  <si>
    <t>There are data collected from Vietnam, not Ho Chi Minh City._x000D_From the Electronic Newspaper of Resources and Environment Agency of The Ministry of Resources and Environment: Vietnam is still one of the 15 countries with the highest number of smokers in the world and is the third country in the ASEAN region with the highest number of adult smokers, just behind Indonesia and the Philippines. [1]_x000D__x000D_In addition, data from Central agency of the Communist Party of Vietnam include information about the percentage of adults who use tobacco.[2]</t>
  </si>
  <si>
    <t>The most recent available data on smoking prevalence in Hong Kong were collected in 2021 and published in 2022 by the Hong Kong Council on Smoking and Health. [1]</t>
  </si>
  <si>
    <t>Available evidence does not indicate that in Istanbul city-level data on tobacco use have been collected and published within the past five years._x000D__x000D_Instead, the evidence indicates that data for this metric are collected in Turkey at the national level, the last such initiative being the Turkish Statistical Institute's most recent Turkey Health Survey, for the year 2022. [1]</t>
  </si>
  <si>
    <t>Badan Pusat Statistik, the statistics agency, published the most-recent data on smoking rates over the age of 15 for Jakarta province in January 2024. [1].</t>
  </si>
  <si>
    <t>[1] Percentage of Population Aged 15 Years and Older Who Smoked Tobacco by Province (Percent), 2021-2023. Statistics Indonesia. [Accessed April 26th 2024]. Available from: https://www.bps.go.id/en/statistics-table/2/MTQzNSMy/percentage-of-population-aged-15-years-and-older-who-smoked-tobacco-by-province--percent-.html</t>
  </si>
  <si>
    <t>Johannesburg has city-level data on tobacco collected in the last 5 years. The 2019/20 District Health Barometer shows data for 2015-20 on tobacco non-smoking prevalence (i.e., percentage of adults 15+ years who are non-smokers, or who have not smoked tobacco in the previous 30 days). [1]</t>
  </si>
  <si>
    <t>No city-level data are available for tobacco use on the national Tobacco Control Cell website, Sindh Statistics 2022 annual report, Health Department, Government of Sindh, or Karachi Metropolitan Corporation website. [1] [2] [3] [4]</t>
  </si>
  <si>
    <t>There is no evidence of the publication of city-level data on tobacco use at city-level. The web portals of Kathmandu Metropolitan City and the Ministry of Health and Population do not have data published at city-level. [1] [2]_x000D__x000D_Information exists at the national level. The STEPS survey (Noncommunicable Disease Risk Factors: STEPS Survey Nepal 2019) has collected data on tobacco use at national and sub-national level disaggregated by provinces and rural and urban areas. However, there are no data specific to Kathmandu or any other city. [3]_x000D__x000D_[</t>
  </si>
  <si>
    <t>In the last 5 years there has been data on state level regarding tobacco use that has been published. However, there is no evidence of city-level data that has been published. The latest data on tobacco use under the Kolkata Municipal Corporation are from 2010. [1] [2] [3]</t>
  </si>
  <si>
    <t>The World Bank's statistics show the rate of tobacco use among adults from 2020. [1]_x000D__x000D_No city-specific data are available on tobacco use in Kuwait city with the Central Statistical Bureau. [2]</t>
  </si>
  <si>
    <t>[1] Ministry of Economic Planning and Budget. Household Survey Report 2020. Abuja: Ministry of Economic Planning and Budget. [Accessed 29th April 2024]. Available from: https://lagosstate.gov.ng/wp-content/uploads/2022/02/Y2020-Household-Survey-Report.pdf</t>
  </si>
  <si>
    <t>In London 2021, people aged 18 years and over smoked cigarettes, which is lower compared to national data This is the lowest proportion of current smokers since records started in 2011, based on estimates from the Annual Population Survey (APS). [1]</t>
  </si>
  <si>
    <t>Available evidence indicates that in Madrid city-level data on tobacco use have been collected and published in the last five years._x000D__x000D_By law, the Community of Madrid is obligated to conduct various types of surveillance and monitoring activities related to the health of the resident population. To that end, the Community's health service, known as Health Madrid (Salud Madrid), operates an online Observatory of Results, which provides a large number of data-driven indicators in four categories of health: general population; primary care, hospitals and ambulance services. The Observatory's latest data are from 2021 and indicate the prevalence of tobacco use among adults aged 18 to 64 in the Community of Madrid. [1]</t>
  </si>
  <si>
    <t>[1] Community of Madrid (Comunidad de Madrid). Health Madrid (Salud Madrid). Observatorio de resultados del Servicio Madrileño de Salud (Observatory of results of the Madrid Health Service). Estado de salud de la población: Determinantes de salud (Health status of the population: Determinants of health). Madrid. Salud Madrid. May 2023. Available from: http://observatorioresultados.sanidadmadrid.org/EstadoPoblacion.aspx?ID=156</t>
  </si>
  <si>
    <t>A national-level survey on tobacco use has been conducted in the Philippines, but it does not contain city-level data. [1]_x000D__x000D_No data on tobacco use in Manila was identified on websites of the Philippine Statistics Authority, the Philippine Department of Health, or the Manila Health Department. [2] [3] [4]</t>
  </si>
  <si>
    <t>The City of Melbourne conducted the City of Melbourne Social Indicator Survey (CoMSIS) in 2022, which provided data on the percentage of residents who are current smokers (daily or occasional). [1]</t>
  </si>
  <si>
    <t>City-level data on tobacco use have not been collected or published in the last 5 years for Mexico City._x000D__x000D_Only outdated data were found (2017). In Mexico City, according to ENCODAT 2016-2017 data, there were 1.9m smokers among the population aged 12 to 65, indicating the prevalence of tobacco consumption in the last 30 days. [1]</t>
  </si>
  <si>
    <t>[1] Secretária de Salud. Tabaquismo En La Ciudad De México [Smoking in Mexico City] [Internet]. Government of Mexico; 2017. [Accessed April 25th 2024]. Available from: https://www.gob.mx/cms/uploads/attachment/file/547219/CDMX_Infografia_Tabaquismo-CONADIC.pdf</t>
  </si>
  <si>
    <t>No city-specific data were identified on tobacco use in the Department of the Federal Service of State Statistics for Moscow and the Moscow Region or the Ministry of Health. [1] [2] _x000D__x000D_The latest available statistics were published by the Federal Service of State Statistics in 2009. [3]</t>
  </si>
  <si>
    <t>In the last 5 years there has been state-level data on tobacco use that has been published. However, there is no evidence of city-level data. [1] [2] [3] [4]</t>
  </si>
  <si>
    <t>No city-level data on tobacco use in Nairobi have been collected and/or published in the past 5 years. [1] [2]</t>
  </si>
  <si>
    <t>The New York City Smoke-Free organisation has published data on smoking rates for New York City and across its boroughs. The data are a compilation from the NYC Department of Health and Mental Hygiene. The data were last updated in February 2024 and highlight: the overall smoking rate in the city, smoking rate per borough, e-cigarettes use by borough and smoking rates by sexual orientation. [1]</t>
  </si>
  <si>
    <t>, The National Health and Nutrition Survey 2019, which is conducted annually by the government under the Health Promotion Law (Law No. 103 of 2002), includes results for Osaka Prefecture. Data include the percentage of respondents who reported that they currently smoke habitually (those who answered that they "smoke every day" or "smoke occasionally").</t>
  </si>
  <si>
    <t>Available evidence does not indicate that city-level data on tobacco use in Paris have been collected and published in the last five years. Such data have been collected for the region of the Île-de-France (which encompasses Paris), but not recently. [1]</t>
  </si>
  <si>
    <t>The National Institute of Statistics published city-level data on alcohol and tobacco consumption in Phnom Penh as a percentage of total consumption in its Cambodia Socio-Economic Survey 2021. [1]_x000D__x000D_The Demographic and Health Survey 2021-22 reports extensively on tobacco use in Phnom Penh, including by sex, by 5 different categories of average cigarettes smoked per day, by tobacco products, and by "daily" or "occasional" smokers. [2]</t>
  </si>
  <si>
    <t>No city-specific data on tobacco use in Riyadh were available on the websites of the General Authority for Statistics or the Ministry of Health in the last five years (the latest statistics are from 2013). [1] [2]</t>
  </si>
  <si>
    <t>Available evidence does not indicate that city-level data on tobacco use in Rome have been collected and/or published in the last 5 years. Such data are available at the regional level, reflecting the structure of Italy's healthcare system._x000D__x000D_Italy's National Institute of Health (Istituto Superiore di Sanità--ISS) operates a health surveillance system known as the PASSI (Progressi delle Aziende Sanitarie per la Salute in Italia) system. It monitors around two dozen different health-related conditions or habitual behaviours. The resulting data are published by region. PASSI notes that during the 2021-22 period 26.3% of the residents of Lazio aged between 18 and 69 years were smokers. [1]</t>
  </si>
  <si>
    <t>City-level data on tobacco use have not been collected or published in the last 5 years for San Francisco._x000D__x000D_There are only outdated data (2015-16). In 2015-16, 10.85% of adults in San Francisco reported being current cigarette smokers, which slightly increased from 8.76% in 2013-14. [1]</t>
  </si>
  <si>
    <t>[1] San Francisco Health Improvement Partnership. Tobacco Use and Exposure – SFHIP [Internet]. SFHIP. San Francisco: San Francisco Health Improvement Partnership; 2016. [Accessed April 25th 2024]. Available from: https://sfhip.org/chna/community-health-data/tobacco-use-and-exposure/</t>
  </si>
  <si>
    <t>São Paulo doesn't have updated statistics on tobacco use._x000D__x000D_According to research conducted by ISA and the Secretariat of Health in 2015, the frequency of smoking among people living in the municipality of São Paulo aged 12 and over was estimated at 16.1%. It is higher among men (18.7%) than women (13.9%). [1] Most recently, the city created a programme for anyone who wants to stop smoking. These people must go to a UBS, which directs the patient to a reference unit that offers treatment. All health units in the municipality are being trained for accreditation with the National Cancer Institute. Intensive treatment includes four weekly behavioural approach meetings. There are three months of therapy and one year of follow-up. The medications prescribed after medical evaluation are for nicotine replacement, transdermal patch, chewing gum and bupropion hydrochloride. [2]</t>
  </si>
  <si>
    <t>The Seoul Metropolitan Government collects and publishes data on smoking prevalence among residents annually. The latest data were collected in 2021 and released in August 2023. [1]</t>
  </si>
  <si>
    <t>Data produced by the Chinese Centre for Disease Control and Prevention show smoking rates for over 15 year olds across the provinces of China, including Shanghai. This data come from a survey that was conducted in 2020. The published data only give imprecise figures. [1]_x000D__x000D_The latest core data released from the Shanghai Adult Tobacco Epidemic Monitoring Survey in June 2023 show the city's adult smoking rate, which was the same as in 2021. [2]</t>
  </si>
  <si>
    <t>There is evidence of data on tobacco use._x000D__x000D_The Ministry of Health has published the key findings of the NPHS (National Population Health Survey) from 2020. The NPHS assesses health behaviours among Singapore's residents, including smoking prevalence. [1]</t>
  </si>
  <si>
    <t>[1] Ministry of Health Singapore. SMOKING RATES DOWN, CHRONIC DISEASE PREVALENCE REMAINS OF CONCERN. Singapore. MOH. 2021. Available from: https://www.moh.gov.sg/news-highlights/details/smoking-rates-down-chronic-disease-prevalence-remains-of-concern</t>
  </si>
  <si>
    <t>The New South Wales Smoking Health Survey from 2021 collected data for the state and offered city-level data on smoking habits, such as the amount smoked compared to before the covid-19 pandemic. [1]</t>
  </si>
  <si>
    <t>The National Health and Nutrition Survey of the Tokyo Metropolitan Government includes data on tobacco use, including the percentage of individuals (adult aged 20 and over) who reported that they currently smoke habitually (those who answered that they "smoke every day" or "smoke occasionally"). These data were last published in 2022. [1]</t>
  </si>
  <si>
    <t>Toronto does collect data on tobacco use_x000D__x000D_According to Toronto's Population Health Profile, a report that highlights the important role of local public health, notes the percentage of adults who smoked daily or occasionally in 2021. [1]</t>
  </si>
  <si>
    <t>[1] Toronto's Population Health Profile. Toronto: Toronto Public Health; 2023. Available from: https://www.toronto.ca/wp-content/uploads/2023/02/940f-Torontos-Population-Health-Profile-2023.pdf</t>
  </si>
  <si>
    <t>The General Health Report Vienna for reporting period 2015-23 included data on daily smoking rates of people aged 15 and over, collected in 2022. [1]</t>
  </si>
  <si>
    <t>There are no data available from the Wuhan Statistics Bureau [1] or the Wuhan Health Information Centre [2] on smoking rates in the city._x000D__x000D_There are also no data available from the Chinese Centre for Disease Control and Prevention, which only shows smoking rates at a provincial level for Hubei, rather than a city level for Wuhan. [3]</t>
  </si>
  <si>
    <t>No data on tobacco use at the city level in Yangon are collected or published by local government authorities or international organisations. [1] [2] [3] [4]_x000D__x000D_The most recent data available were collected in 2014. [3] [4]</t>
  </si>
  <si>
    <t>Addis Ababa city-level data on diet or on consumption of vegetables is not available through the websites of relevant agencies such as Addis Ababa Health Bureau, Ministry of Health, Ethiopian Public Health Institute, Ethiopian Food and Drug Administration, the WHO Ethiopia office, FAO Ethiopia, and WFP Ethiopia. [1] [2] [3] [4] [5] [6] [7]</t>
  </si>
  <si>
    <t>Algiers does not have published city-level data on the consumption of vegetables in the last 5 years. [1]</t>
  </si>
  <si>
    <t>[1] ONS. Algerian National Office of Statistics. Algiers: Algerian National Office of Statistics. [Accessed 27th April 2024]. Available from: https://www.ons.dz/</t>
  </si>
  <si>
    <t>City-level data on the consumption of vegetables has not been collected or published in the last 5 years for Atlanta._x000D__x000D_There is data on access to fresh food from the 2023 Fresh Produce Access Report by the Emory Rollins School of Public Health, but not on consumption. [1]</t>
  </si>
  <si>
    <t>[1] Emory Rollins School of Public Health. Fresh Produce Access: Among Small Food Stores in the City of Atlanta [Internet]. Atlanta: Emory Rollins School of Public Health; 2023. [Accessed April 25t 2024]. Available from: https://web1.sph.emory.edu/eprc/docs/freshproducereport.pdf</t>
  </si>
  <si>
    <t>The nutrition indicators from the 2022/2023 New Zealand Health Survey contain only national-level data. [2] Additional national-level data were found in journal articles discussing the low consumption of vegetables in New Zealand; however, once again, no city-level data were available [1] [3].</t>
  </si>
  <si>
    <t>Thailand's National Health Examination Survey published in 2021 surveyed 2,658 people (male and female) over the age of 15 in Bangkok regarding vegetable consumption. [1]</t>
  </si>
  <si>
    <t>The China Statistical Yearbook produces an annual measurement of the per capita consumption of major household foods, including a value for vegetables. This is done by region, where Beijing is understood as the direct-administered municipality of Beijing. The measurement includes a value for vegetables. [1]</t>
  </si>
  <si>
    <t>City-level data on the consumption of vegetables in Berlin have been collected and published in the last 5 years. Data are from the 2022 report Aspects of Nutritional Behavior Among Berlin Adults published by the Senate Department for Health, Care and Equality from data collected in 2019/2020. [1]</t>
  </si>
  <si>
    <t>There is no evidence of data on vegetable consumption at the city level._x000D__x000D_There is the report "Food Consumption and Production Solid Organic Waste in use urban residential of Bogotá D.C", which assesses fruits and vegetable consumption; nonetheless, the data are from 2012 [1].</t>
  </si>
  <si>
    <t>The Central Statistics Bureau, as per its last published November 2022 report, has provided annual per capita vegetable consumption figures measured in kilograms, which are disaggregated by locality type - namely, villages, cities, county seats and the capital city of Budapest. The dataset encompasses a range of vegetable varieties, including starchy vegetables such as potatoes, leafy greens and other non-starchy vegetables, cruciferous vegetables like cabbage, cucurbit vegetables like cucumbers, fruit vegetables like tomatoes, and other fresh vegetable types. It also incorporates both fresh and preserved vegetable products. [1]</t>
  </si>
  <si>
    <t>[1] Central Statistics Bureau. 14.1.2.11. Amount of annual food consumption per capita by region and type of settlement [kilograms]*. Budapest: Central Statistics Bureau. [Accessed 26th April 2024]. Available from: https://www.ksh.hu/stadat_files/jov/hu/jov0051.html</t>
  </si>
  <si>
    <t>Cairo does not have published city-level data on the consumption of vegetables. [1] [2]</t>
  </si>
  <si>
    <t>In the last 5 years no city-level data have been collected or published on the consumption of vegetables. No data are found in the National Nutrition and Micronutrient Survey carried out by the Nutrition Division, Ministry of Health in 2022, in the Nutrition Division Website of the Ministry of Health, or in the available statistics on Colombo. [1] [2] [3]</t>
  </si>
  <si>
    <t>In the National Family Health Survey, carried out in 2019-21, there are country-level data on the consumption of vegetables by men and women separately. However, there are no data available at city level in the survey, the Delhi Government website or the National Institute of Nutrition under the Indian Council for Medical Research. The last Urban Nutrition Report was carried out in 2017. [1] [2] [3] [4]</t>
  </si>
  <si>
    <t>Although the Household Income and Expenditure Survey 2022, published by the Bangladesh Bureau of Statistics, Ministry of Planning, contains data on vegetable consumption, these are not aggregated by city/district. [1] No city-level data on vegetable consumption is available through Dhaka District's website. [2]</t>
  </si>
  <si>
    <t>The emirate of Dubai does not have city-level data on fruit and vegetable consumption. The closest data are for the entire United Arab Emirates, in which the Ministry of Health and Prevention (MoHAP) said, as of March 2024, 83% of UAE residents fail to incorporate enough fruits and vegetables in their diets. [1]</t>
  </si>
  <si>
    <t>[1] Emirates News Agency. MoHAP concludes nationwide campaign to boost health with fruits and vegetables. Dubai: WAM. 18 March 2024. [Accessed 25 April 2024]. Available from: https://www.wam.ae/en/article/b27fkh8-mohap-concludes-nationwide-campaign-boost-health.</t>
  </si>
  <si>
    <t>Helsinki has city-level data that were collected and published in the last 5 years on the consumption of vegetables. The Finnish Institute for Health and Welfare (THL) published data on the percentage of people who eat little amount of vegetables, fruits and berries in Helsinki in 2023. [1]</t>
  </si>
  <si>
    <t>[1] Sotkanet. Proportion of those who eat little vegetables, fruits and berries (%). Helsinki: THL. [Accessed 27th April 2024]. Available from: https://sotkanet.fi/sotkanet/fi/taulukko/?indicator=szZM8QEA&amp;region=8wYA&amp;year=sy5zsTbS0zUEAA==&amp;gender=m;f;t&amp;abs=f&amp;color=f&amp;buildVersion=3.1.1&amp;buildTimestamp=202309010633</t>
  </si>
  <si>
    <t>The General Statistics Office has published a report of Results of the 2022 residential living standard survey which highlights that the consumption of green vegetables increased between 2020 and 2022. [1]_x000D__x000D_A 2020 survey among people aged 18-69 years old in Ho Chi Minh City collected data on the proportion of individuals eating enough vegetables and fruits. [2]</t>
  </si>
  <si>
    <t>The Hong Kong Department of Health collected and published data on the percentage of people that consumed fewer than 5 servings of fruits and vegetables per day in 2020-22 as part of its Population Health Survey. [1]</t>
  </si>
  <si>
    <t>[1] Centre for Health Protection. Diet and Nutrition. Hong Kong. Centre for Health Protection. 2024. Available from: https://www.chp.gov.hk/en/healthtopics/content/25/8800.html</t>
  </si>
  <si>
    <t>Available evidence does not indicate that in Istanbul city-level data on the consumption of vegetables have been collected and published within the past five years._x000D__x000D_Instead, the evidence indicates that data for this metric are collected in Turkey at the national level, the last such initiative being the Turkish Statistical Institute's most recent Turkey Health Survey, for the year 2022. [1] This data point is also discussed in the Ministry of Health's Turkey Nutrition and Health Survey 2017. [2]</t>
  </si>
  <si>
    <t>Johannesburg does not have city-level data on consumption of vegetables collected in the last 5 years. No data were found on the websites of the City of Johannesburg, the province of Gauteng and national government. [1] [2] [3]</t>
  </si>
  <si>
    <t>The latest available Pakistan Demographic and Health Survey 2017-18, published by the National Institute of Population Studies in 2019 only contains national level data on vegetable consumption by children and mothers. [1] No city-level data are available through the Pakistan Social and Living Standards Measurement Survey, Health Department, Government of Sindh, and Karachi Metropolitan Corporation website. [2] [3] [4]</t>
  </si>
  <si>
    <t>There is no evidence of the publication of city-level data on diet low in vegetables. The web portal of Kathmandu Metropolitan City, and the Ministry of Health and Population do not have data published at city-level. [1] [2]_x000D__x000D_Information exists at the national level. The STEPS survey (Noncommunicable Disease Risk Factors: STEPS Survey Nepal 2019) has collected data on mean intake of fruits and vegetables at the national level, disaggregated by education and wealth. However, there are no data specific to Kathmandu or any other city. [3]</t>
  </si>
  <si>
    <t>In the last 5 years, no data on the consumption of vegetables have been collected or published. No evidence is found in the city government website or the National Institute of Nutrition under the Indian Council for Medical Research. The last Urban Nutrition Report was carried out in 2017; this report includes the State of West Bengal but no data is available at the Kolkata city level. [1] [2]</t>
  </si>
  <si>
    <t>No city-specific data is available on the consumption of vegetables in Kuwait City with the Central Statistical Bureau. [1]_x000D__x000D_The only existing data on this come from an academic paper from 2012 in the Eastern Mediterranean Health Journal linked to the World Health Organisation. [2]</t>
  </si>
  <si>
    <t>Lagos does not have data on consumption of vegetables collected and/or published in the last 5 years. No evidence was found on the websites of the city's government, Lagos Ministry of Health or the National Bureau of Statistics. [1] [2] [3]</t>
  </si>
  <si>
    <t>According to Sport England's Active Lives Adult Survey from 2021 to 2022, around a third of respondents in London reported that they had eaten five or more portions of fruit and vegetables on the previous day.</t>
  </si>
  <si>
    <t>Available evidence indicates that city-level data on the consumption of vegetables in Madrid have been collected and published in the last five years, by several different sources._x000D__x000D_At the national level, the Ministry of Agriculture, Fisheries and Food publishes comprehensive statistics on food consumption patterns, broken down by region. In its latest Report of Food Consumption in Spain, covering the year 2022, the ministry notes (among other data points) that the consumption of fresh vegetables in the Community of Madrid is slightly below the national average. [1] _x000D__x000D_Mercasa, a state-owned company operating in the food distribution sector, also publishes relevant data on food production and consumption patterns in various regions of Spain. In its latest report on the Community of Madrid, covering the year 2020, Mercasa notes (among other data points) that the consumption of fresh vegetables constituted only a small percentage of residents' total spending on food that year (and per capita consumption was slightly below the national average). [2] _x000D__x000D_At the municipal level, the Department of Public Health of the City Council of Madrid (Madrid Salud) also collects and publishes such data. In its latest City of Madrid Health Study published in 2022, Madrid Salud described "a notable decrease in the consumption (daily or several times a week) of fruit and vegetables, compared to 2017 [the year of the previous study]." [3]</t>
  </si>
  <si>
    <t>No data on vegetable consumption in Manila was identified on websites of the Philippine Statistics Authority, the Philippine Department of Health, or the Manila Health Department. [1] [2] [3]</t>
  </si>
  <si>
    <t>City-level data on the consumption of vegetables have not been collected or published in the last 5 years for Mexico City._x000D__x000D_There are only national data available on fruit, vegetable and legume consumption. [1] [2]_x000D__x000D_Other sources found are journal articles and a study comparing 44 cities without a clear methodology. [3] [4]</t>
  </si>
  <si>
    <t>In the last 5 years, no data on the consumption of vegetables have been collected or published. No evidence is found in the city government websites or the National Institute of Nutrition under the Indian Council for Medical Research. The last Urban Nutrition Report was carried out in 2017; this report includes the State of Maharashtra but no data is available at Mumbai city level. [1] [2] [3]</t>
  </si>
  <si>
    <t>No city-level data on the consumption of vegetables in Nairobi have been collected and/or published in the past 5 years. [1] [2] [3] [4]</t>
  </si>
  <si>
    <t>The New York City publishes the Food Metrics Report, which contains data on fruit and vegetable consumption. According to the 2022 report, in 2021 the mean consumption of fruits and vegetables was below the daily recommended quantity (5 cups). The report emphasises that high-income households tend to consume more fruits/vegetables than low-income households. [1]</t>
  </si>
  <si>
    <t>[1] NYC MAYORS OFFICE OF FOOD POLICY. Food Metrics Report 2022. New York City. NYC MAYORS OFFICE OF FOOD POLICY.2022. Available from: https://www.nyc.gov/assets/foodpolicy/downloads/pdf/Food%20Metrics%20Report%20FY%202022_FINAL.pdf</t>
  </si>
  <si>
    <t>The percentage of respondents whose daily vegetable consumption is below the intake target set by the Ministry of Health, Labour and Welfare (350g), according to the materials summarising the results within Osaka Prefecture of the "National Health and Nutrition Survey 2019", conducted annually by the government under the Health Promotion Law (Law No. 103 of 2002). [1]</t>
  </si>
  <si>
    <t>[1] Osaka Prefecture. The health and nutritional status of the residents of Osaka Prefecture. Osaka: Health and Medical Dept. Osaka Prefectural Government, March 2022. Available from: https://www.pref.osaka.lg.jp/attach/142/00283806/H30fuminnokenkoujyoukyou%20.pdf P40</t>
  </si>
  <si>
    <t>There is no evidence that city-level data on individual consumption of vegetables in Paris have been collected and published in the last five years. However, the Status of Food in Paris: Notebook of Challenges, published by the office of the Mayor of Paris in 2020, states that vegetables make up 9% of the diet of the population by volume, making the 'Parisian diet' "close to the classic French diet." [1]</t>
  </si>
  <si>
    <t>The National Institute of Statistics's Cambodia Socio-Economic Survey 2021 reports data on "Frequency of household food consumption during the last seven days" for different types of food including vegetables. [1]</t>
  </si>
  <si>
    <t>[1] National Institute of Statistics. Report of Cambodia Socio-Economic Survey 2021. Phnom Penh: National Institute of Statistics. [Accessed 24th April 2024]. Available from: https://www.nis.gov.kh/nis/CSES/Final%20Report%20of%20Cambodia%20Socio-Economic%20Survey%202021_EN.pdf</t>
  </si>
  <si>
    <t>Available evidence does not indicate that city-level data on the consumption of vegetables in Rome have been collected and/or published in the last 5 years. Such data are available at the regional level, reflecting the structure of Italy's healthcare system._x000D__x000D_Italy's National Institute of Health (Istituto Superiore di Sanità--ISS) operates a health surveillance system known as the PASSI (Progressi delle Aziende Sanitarie per la Salute in Italia) system. It monitors around two dozen different health-related conditions or habitual behaviours. The resulting data are published by region. PASSI notes that during the 2021-22 period 48.1% of the residents of Lazio aged between 18 and 69 years consumed at least three portions of fruits and vegetables per day. [1]</t>
  </si>
  <si>
    <t>City-level data on the consumption of vegetables have not been collected or published in the last 5 years for San Francisco._x000D__x000D_There are only outdated data (2015-16). Local consumption of fruit and vegetables is below recommendations for the majority of children and at least 1 in 10 adults, according to the 2012-16 California Health Interview Survey. [1]</t>
  </si>
  <si>
    <t>[1] San Francisco Health Improvement Partnership. Nutrition – SFHIP [Internet]. SFHIP. San Francisco: San Francisco Health Improvement Partnership; 2020 [Accessed April 25th 2024]. Available from: https://sfhip.org/chna/community-health-data/nutrition/</t>
  </si>
  <si>
    <t>The city of São Paulo collects data on fruit and vegetable (FV) consumption through the Municipal Secretary of Health. [1]_x000D__x000D_In 2019, São Paulo reached the recommendation of daily consumption of 400g of FV, which is equivalent to approximately five servings, according to the World Health Organization.</t>
  </si>
  <si>
    <t>[1] SMS. International Year of Fruits, Vegetables and Greens. São Paulo: Secretaria Municipal de Saúde de São Paulo; 2021. Available from: https://www.prefeitura.sp.gov.br/cidade/secretarias/upload/saude/11_2021_Dant_V3_final.pdf</t>
  </si>
  <si>
    <t>The Seoul Metropolitan Government collects and publishes data on the consumption of vegetables as side dishes annually. The latest data available were collected in 2022. [1]</t>
  </si>
  <si>
    <t>[1] Seoul Metropolitan Government. Frequency of Vegetable Consumption in Diet. Seoul: Seoul Metropolitan Government; May 2023. Available from: https://stat.eseoul.go.kr/statHtml/statHtml.do?orgId=201&amp;tblId=DT_201022_F007003&amp;conn_path=I2&amp;obj_var_id=&amp;up_itm_id=</t>
  </si>
  <si>
    <t>The China Statistical Yearbook produces an annual measurement of the per capita, yearly consumption of different major household foods. This is done by region, where Shanghai is understood as the direct-administered municipality of Shanghai. The measurement includes a value for vegetables in 2023. [1]</t>
  </si>
  <si>
    <t>There are data on vegetable consumption in Singapore._x000D__x000D_According to a paper, "Singapore's Total Diet Study (2021–2023): Study Design, Methodology, and Relevance to Ensuring Food Safety", Singapore conducted a food consumption survey (n=2014) in order to calculate the Total Diet Study, which aims to capture the population's exposure to chemical hazards. The food consumption questionnaire was conducted between 2021 and 2022 and highlights the food consumption of: meat, grains, fruits, eggs, vegetables, dairy and bakery products. [1]</t>
  </si>
  <si>
    <t>[1] Lim GS, Er JC, Bhaskaran K, Sin P, Shen P, Lee KM, et al. Singapore's Total Diet Study (2021–2023): Study Design, Methodology, and Relevance to Ensuring Food Safety. Foods. 2024 Feb 6;13</t>
  </si>
  <si>
    <t>The NSW Population Health Survey collects yearly data on vegetable and fruit consumption. [1] There are city-level data available for "Fruit and vegetables: recommended daily consumption by adults". The questions used to define the indicator were: How many serves of fruit do you usually eat each day? and How many serves of vegetables do you usually eat each day? The latest survey is from 2023.</t>
  </si>
  <si>
    <t>The National Health and Nutrition Survey of the Tokyo Metropolitan Government includes data on diet low in vegetables, including the percentage of individuals (adult aged 20 and over) whose daily vegetable consumption is below the intake target set by the Ministry of Health, Labour and Welfare (350g). These data were last published in 2022. [1]</t>
  </si>
  <si>
    <t>Toronto does collect data on the consumption of vegetables. _x000D__x000D_Toronto's Population Health Profile from 2022 highlights the important role that local public health has when considering adults' (18+) intake of fruits and vegetables. [1]</t>
  </si>
  <si>
    <t>There are no data available from the Wuhan Statistics Bureau or the Wuhan Health Information Centre on the amount of vegetables consumed. [1] [2]_x000D__x000D_Data are not available from the China Statistical Yearbook, which only shows data for Hubei at a provincial level. [3]</t>
  </si>
  <si>
    <t>No data are available on vegetable consumption by urban residents at the city level in Yangon. [1] [2]_x000D__x000D_A national survey in 2014 reported the percentage of the population that consumed less than the recommended amount of fruits and vegetables (i.e. five servings per day). [3]</t>
  </si>
  <si>
    <t>Addis Ababa City level data on diet (or on diet high in fatty acids) is not available on the websites of relevant agencies such as Addis Ababa Health Bureau, Ministry of Health, Ethiopian Public Health Institute, Ethiopian Food and Drug Administration, WHO Ethiopia office, FAO Ethiopia, and WFP Ethiopia. [1] [2] [3] [4] [5] [6] [7]</t>
  </si>
  <si>
    <t>Algiers does not have published city-level data on the consumption of foods that are high in trans fatty acids in the last 5 years. [1]</t>
  </si>
  <si>
    <t>City-level data on the consumption of foods that are high in trans fatty acids have not been collected or published in the last 5 years for Atlanta. _x000D__x000D_There are data on produce quality from the 2023 Fresh Produce Access Report by the Emory Rollins School of Public Health, but only in terms of if the fresh produce quality is ok or poor. [1] No data were found on consumption of foods that are high in trans fatty acids.</t>
  </si>
  <si>
    <t>[1] Emory Rollins School of Public Health. Fresh Produce Access: Among Small Food Stores in the City of Atlanta [Internet]. Atlanta: Emory Rollins School of Public Health; 2023. [Accessed April 25th 2024]. Available from: https://web1.sph.emory.edu/eprc/docs/freshproducereport.pdf</t>
  </si>
  <si>
    <t>The most recent survey on trans fatty acid content in Australian and New Zealand foods, published by the Australian Government, only provides national-level data and outdated information on trans fatty acid consumption. [1]</t>
  </si>
  <si>
    <t>No city-level data were found on trans fats consumption in Bangkok. [1]</t>
  </si>
  <si>
    <t>The China Statistical Yearbook produces an annual measurement of the per capita, yearly consumption of major household foods. This is done by region, where Beijing is understood as the direct-administered municipality of Beijing. The measurement includes a value for edible oils, such as vegetable oil. [1]</t>
  </si>
  <si>
    <t>City-level data on the consumption of foods high in trans fats in Berlin have been collected and published in the last 5 years. Data are from the 2022 report Aspects of Nutritional Behavior Among Berlin Adult published by the Senate Department for Health, Care and Equality from data collected in 2019/2020. [1]</t>
  </si>
  <si>
    <t>There is no evidence of data on the consumption of trans fatty acids at the city-level._x000D__x000D_At the city-level, the only pieces of evidence found were "Description of the consumption of trans fatty acids in the regular diet of the administrative personnel of the Faculty of Sciences of the Pontificia Universidad Javeriana, Bogota", which analyses trans fatty acids consumption in the administrative personnel of the University [1] and "Fatty acids, vitamin E and nutritional labelling of margarines and spreads commercialised in Bogota, Colombia", thus, assessing the lipid composition of margarines in the city. [2]</t>
  </si>
  <si>
    <t>Figures for fats, measured in kilograms, across the various regions of Hungary, including for Budapest, have been published by the Central Statistics Bureau, as per its last published November 2022 report. The cited dataset encompasses the combined total of animal-derived fats and plant-based oils, and disaggregated figures for animal fats and plant oils are also available separately within the dataset. The consumption figures are measured in kilograms, and disaggregated by locality type - namely, villages, cities, county seats, and the capital city of Budapest. [1]</t>
  </si>
  <si>
    <t>In the last 5 years there have been no city-level data collected or published on the consumption of foods that are high in trans fatty acids. No data are found in the in the National Nutrition and Micronutrient Survey carried out by the Nutrition Division, Ministry of Health in 2022, in the Nutrition Division Website under the Ministry of Health or in the available statistics on Colombo. [1] [2] [3]</t>
  </si>
  <si>
    <t>In the last 5 years, there have been no city-level data on the consumption of foods that are high in trans fatty acids in Delhi. Although data on food consumption are available in the National Family Health Survey 2019-21, no data specifically on consumption of food high in trans fatty acids are mentioned. [1] No data are found in the Delhi Nutrition Profile under the International Food Policy Research Institute, the Delhi Government or under the National Institute of Nutrition websites. The last Urban Nutrition Report was carried out in 2017. [2] [3] [4]</t>
  </si>
  <si>
    <t>The Household Income and Expenditure Survey 2022, published by the Bangladesh Bureau of Statistics, Ministry of Planning contains general data on per capita fat consumption, it does not contain data on consumption of foods high in trans fatty acids. [1] No data on city-level trans-fat consumption are available on Dhaka District's web portal, the Ministry of Health and Family Welfare web portal, nor via the Directorate General of Health Services (DGHS) website. [2] [3] [4]</t>
  </si>
  <si>
    <t>The emirate of Dubai has no city-level data on the consumption of trans-fatty acids. In coordination with the New York University Abu Dhabi campus, the UAE Ministry of Health and Prevention (MoHAP) and Dubai Health Authority (DHA) are carrying out the "UAE Healthy Future" survey, which seeks to discover, in part, the relative importance of Emirati citizens' diets on their health. [1]</t>
  </si>
  <si>
    <t>[1] NYU Abu Dhabi. UAE Healthy Future Survey. UAE: MoHAP. 2022. [Accessed 25th April 2024]. Available from: https://uaehealthyfuture.ae/en/home-2/.</t>
  </si>
  <si>
    <t>There are no city-level data on the consumption of foods that are high in trans fatty acids in Helsinki._x000D__x000D_The city of Helsinki published data on various dietary habits of Helsinki residents within the scope of its 2021 Well-Being Survey, including the percentage of people who use butter and butter-vegetable mix on a daily basis; however, the survey does not have any indicators on the consumption of foods high in trans fatty acids. [1] The Finnish Institute for Health and Welfare (THL), the main research and development institute under the Ministry of Social Affairs and Health, or Statistics Finland have not published relevant data, either. [2] [3]</t>
  </si>
  <si>
    <t>There is no data on consumption of trans fatty acids at city level. _x000D__x000D_The General Statistics Office has published a report of Results of the 2022 residential living standard survey which talks about consumption of various food groups, and a 2020 survey among people aged 18-69 years old in Ho Chi Minh City collected data on the proportion of individuals eating enough vegetables and fruits, but neither report on trans fat consumption. [1][2] There is data on metabolic syndrome from the Center for Disease Control in Ho Chi Minh City, but again it does not present information on trans fat consumption. [3]</t>
  </si>
  <si>
    <t>Data on the consumption of foods that are high in trans fatty acids in Hong Kong are available from the Institute for Health Metrics and Evaluation and last published in 2021. [1]</t>
  </si>
  <si>
    <t>Available evidence does not indicate that in Istanbul city-level data on physical inactivity have been collected and published within the past five years._x000D__x000D_Instead, the evidence indicates that data on the consumption of trans fatty acids have been collected in Turkey, only sporadically, at the national level, and not recently. This metric is not among those analysed in the Turkish Statistical Institute's most recent Turkey Health Survey, for the year 2022. [1] the last such initiative to do so was the Ministry of Health's Turkey Nutrition and Health Survey 2017. For that survey, data were collected and published on intakes of total fat, saturated fatty acid, monounsaturated fatty acid and polyunsaturated fatty acid by the general population. [2]</t>
  </si>
  <si>
    <t>Data on the consumption of foods that are high in trans fatty acids were collected as part of the National Health Survey in 2023 and are set to be published later this year for the DKI Jakarta province. [1]</t>
  </si>
  <si>
    <t>The City of Johannesburg did not have city-level data on consumption of foods that are high in trans fatty acids collected in the last 5 years. No data were found on the websites of the City of Johannesburg, the province of Gauteng or the national government. [1] [2] [3]</t>
  </si>
  <si>
    <t>No city-level data on the consumption of foods that are high in trans fatty acids are available through the Sindh Statistics 2022 report, Pakistan Social and Living Standards Measurement Survey, Health Department, Government of Sindh, or Karachi Metropolitan Corporation website. [1] [2] [3] [4]</t>
  </si>
  <si>
    <t>There is no evidence of the publication of city-level data on diet high in trans-fatty acids. The web portal of Kathmandu Metropolitan City, and the Ministry of Health and Population do not have data published at city-level. [1] [2]</t>
  </si>
  <si>
    <t>In the last 5 years no data on the consumption of foods that are high in trans fatty acids has been collected or published. No evidence is found in the city government website, in the National Health Survey 2019-2021 or the National Institute of Nutrition under the Indian Council for Medical Research. The last Urban Nutrition Report was carried out in 2017, this report includes the State of West Bengal but no data are available at Kolkata city-level. [1] [2] [3]</t>
  </si>
  <si>
    <t>No city-specific data are available on the consumption of foods that are high in trans fatty acids in Kuwait city with the Central Statistical Bureau or in the databases of international organisations (World Bank and World Health Organization). [1] [2] [3]</t>
  </si>
  <si>
    <t>Lagos did not have data on consumption of foods that are high in trans fatty acids collected and/or published in the last 5 years. No evidence was found on the websites of the city's government, Lagos Ministry of Health or the National Bureau of Statistics. [1] [2] [3]</t>
  </si>
  <si>
    <t>London doesn't have updated data on the consumption of foods that are high in trans fatty acids. The city hasn't presented or discussed this topic for quite some time, based on the report "The London Food Strategy" from 2018, created by the local government. [1]</t>
  </si>
  <si>
    <t>[1] The London Food Strategy. London: Greater London Authority; 2018. Available from: https://www.london.gov.uk/sites/default/files/final_london_food_strategy.pdf</t>
  </si>
  <si>
    <t>No data on high trans-fatty food consumption in Manila was identified on websites of the Philippine Statistics Authority, the Philippine Department of Health, or the Manila Health Department. [1] [2] [3]</t>
  </si>
  <si>
    <t>No city level data have been published on the consumption of foods that are high in trans fatty acids. [1] [2] [3]</t>
  </si>
  <si>
    <t>City-level data on the consumption of foods that are high in trans fatty acids have not been collected or published in the last 5 years for Mexico City._x000D__x000D_There is only national data available. According to statistics from the Pan American Health Organization, in Mexico 212 kg of ultra-processed products are purchased per year per person; Mexico is the country with the largest sale and distribution of products in Latin America and the fourth largest consumer of these products worldwide, with sales that have increased by 34.5% in recent years. [1] [2]_x000D__x000D_Other sources found are journal articles and a study comparing 44 cities without a clear methodology. [3] [4]</t>
  </si>
  <si>
    <t>No city-specific data were found on the consumption of foods that are high in trans fatty acids in the Department of the Federal Service of State Statistics for Moscow and the Moscow Region or the Ministry of Health. [1] [2]</t>
  </si>
  <si>
    <t>In the last 5 years no data on the consumption of foods that are high in trans fatty acids have been collected or published. No evidence is found in the city government websites, in the National Health Survey 2019-21 or the National Institute of Nutrition under the Indian Council for Medical Research. The last Urban Nutrition Report was carried out in 2017, this report includes the State of Maharashtra but no data is available at Mumbai city-level. [1] [2] [3] [4]</t>
  </si>
  <si>
    <t>No city-level data on the consumption of foods that are high in trans fatty acids in Nairobi have been collected and/or published in the past 5 years [1] [2] [3] [4]</t>
  </si>
  <si>
    <t>There is no recent evidence of data concerning high trans fatty acid consumption in New York City._x000D__x000D_In 2008, New York City created a regulation to restrict the use of trans fatty acids in restaurants due to the well-known association between trans fat and the risk of coronary heart disease. [1] The trans fat can be found in industrialised foods (fast and fried foods), but it can also be naturally found in some dairies [2]. No recent data were found concerning the consumption of trans fats. [1] [3] [4] [5] [6]</t>
  </si>
  <si>
    <t>The Health and Nutritional Status survey of the Osaka Prefectural Government includes data on nutrient intake amount; however, there are no specific data collected for trans fatty acids. [1]</t>
  </si>
  <si>
    <t>[1] Osaka Prefecture. The health and nutritional status of the residents of Osaka Prefecture. Osaka: Health and Medical Dept. Osaka Prefectural Government, March 2022. Available from: https://www.pref.osaka.lg.jp/attach/142/00283806/H30fuminnokenkoujyoukyou%20.pdf P54</t>
  </si>
  <si>
    <t>Available evidence does not indicate that city-level data on the consumption in Paris of foods high in trans fatty acids have been collected and published in the last five years._x000D__x000D_It is worth noting that the key study of current food consumption and production trends in Paris, The Status of Food in Paris: Notebook of Challenges,published by the office of the Mayor of Paris in 2020, does not discuss trans fatty acids. [1] _x000D__x000D_Similarly, a scan of the relevant websites of the regional health service, the ARS Île-de-France, does not provide any evidence that this agency monitors the consumption of trans fats by the local population, or considers this a matter of concern. [2] [3]</t>
  </si>
  <si>
    <t>There is no evidence of city-level data on consumption of trans fatty acids in Phnom Penh published in the last 5 years. However, the Food and Nutrition Security Trend Analysis Report published in 2022 by National Institute of Statistics includes city-level data for 2019-20 on types of food including "organ meat", "meat and poultry", "dairy" and "eggs". While the report does not include a category for processed foods, trans fatty acids do occur naturally in meat and dairy products. The report also has data on dietary diversity (for the categories "low", "medium" and "high"). [1]</t>
  </si>
  <si>
    <t>[1] National Institute of Statistics. Food and Nutrition Security Trend Analysis Report. Phnom Penh: National Institute of Statistics. [Accessed 24th April 2024]. Available from: https://www.nis.gov.kh/nis/FSNA/Report%20of%20Food%20and%20Nutrition%20Security%20Trend%20Analysis%202014-201920_EN.pdf</t>
  </si>
  <si>
    <t>No city-specific data on diets high in trans fatty acids in Riyadh were available on the websites of the General Authority for Statistics or the Ministry of Health in the last five years. [1] [2]</t>
  </si>
  <si>
    <t>Available evidence does not indicate that city-level data on the consumption of trans fatty acids in Rome have been collected and/or published in the last 5 years. Whilst data on health conditions and habits generally are collected at the regional level (reflecting the structure of Italy's healthcare system), data on this issue are not readily available._x000D__x000D_Italy's National Institute of Health (Istituto Superiore di Sanità--ISS) operates a health surveillance system known as the PASSI (Progressi delle Aziende Sanitarie per la Salute in Italia) system. It monitors around two dozen different health-related conditions or habitual behaviours. The resulting data are published by region. However, this dietary issue is not among the variables monitored by the PASSI system. [1]</t>
  </si>
  <si>
    <t>City-level data on the consumption of foods that are high in trans fatty acids have not been collected or published in the last 5 years for San Francisco._x000D__x000D_There is only outdated data (2012-16). Local consumption of fast food is in excess of recommendations. Over 2012-16, just over 40% of San Franciscans reported eating fast food at least weekly. [1]</t>
  </si>
  <si>
    <t>[1] San Francisco Health Improvement Partnership. Nutrition – SFHIP [Internet]. SFHIP. San Francisco: San Francisco Health Improvement Partnership; 2020. [Accessed April 25th 2024]. Available from: https://sfhip.org/chna/community-health-data/nutrition/</t>
  </si>
  <si>
    <t>São Paulo doesn't collect data on the consumption of foods that are high in trans fatty acids. _x000D__x000D_The city only collected data on the local food environment of adolescents living in the city through the São Paulo Health Survey (ISA Capital 2015), in which it verified the association between the food environment, fruit and vegetable consumption, and excess weight in the adolescents in the study. [1]</t>
  </si>
  <si>
    <t>[1] ISA. Food Environment. São Paulo: Secretaria Municipal de Saúde; 2015. Available from: https://www.prefeitura.sp.gov.br/cidade/secretarias/upload/saude/arquivos/publicacoes/folder_ISA2015_Alimentar.pdf</t>
  </si>
  <si>
    <t>The China Statistical Yearbook produces an annual measurement of the per capita, yearly consumption of major household foods. This is done by region, where Shanghai is understood as the direct-administered municipality of Shanghai. The measurement includes a value for edible oils, such as vegetable oil. [1]</t>
  </si>
  <si>
    <t>There is evidence of unsaturated fat consumption in Singapore._x000D__x000D_Trans fatty acids are unsaturated fats. [1] The National Nutrition Survey, from 2022, highlights food consumption and behaviour of the population between 18 and 69 years old, including unsaturated fat consumption. [2]</t>
  </si>
  <si>
    <t>There is no evidence of city-level data on the consumption of foods high in trans fats in Sydney. A source from the Australian Bureau of statistics (ABS) indicated that the most recent biomedical data collected by the ABS was published in 2011-12. [1]</t>
  </si>
  <si>
    <t>The National Health and Nutrition Survey of the Tokyo Metropolitan Government includes data on nutrient intake amount; however, there is no specific data collected for trans fatty acids. [1]</t>
  </si>
  <si>
    <t>[1] Bureau of Social Welfare, Tokyo Metropolitan Government. The health and nutritional status of the residents of Tokyo. Tokyo: Tokyo Metropolitan Government, March 2022. Available from: https://www.hokeniryo.metro.tokyo.lg.jp/kenkou/kenko_zukuri/ei_syo/tomineiyou.files/R1tomin_01.pdf</t>
  </si>
  <si>
    <t>Toronto doesn't collect data on consumption of foods that are high in trans fatty acids. _x000D__x000D_The country has collected data previously, but not since 2006. The data revealed that the average Canadian daily intake is 9.5 grams TFA/person/day with 8.5 grams being industrially produced (1.8 grams from margarine products; 4.0 grams from processed foods; 2.7 grams from restaurant meals) and 1.0 gram being naturally produced by ruminant animals. [1]</t>
  </si>
  <si>
    <t>[1] Government of Canada. TRANSforming the Food Supply. Ottawa: Health Canada; 2006. Available from: https://www.canada.ca/en/health-canada/services/nutrients/fats/task-force-trans-fat/transforming-food-supply-report.html#app11</t>
  </si>
  <si>
    <t>The General Health Report Vienna for 2015-23 collected data on diet, including fruit and vegetable consumption, meat consumption and sugary drink consumption; it did not specifically address trans fats. [1]</t>
  </si>
  <si>
    <t>No data on the consumption of foods that are high in trans fatty acids have been collected and/or published at the city level in Yangon. [1] [2]_x000D__x000D_In 2019 the Ministry of Health and Sports published a report on micronutrient and food consumption. The report emphasised malnutrition among children and women and did not include detailed information on the composition of the diet. [3]</t>
  </si>
  <si>
    <t>City level data on physical inactivity among residents of Addis Ababa is not available on the websites of relevant agencies such as the Addis Ababa Health Bureau, Ministry of Health, Ethiopian Public Health Institute, WHO Ethiopia office or Addis Ababa Sports Commission. [1] [2] [3] [4] [5]</t>
  </si>
  <si>
    <t>Algiers does not have published city-level data on physical activity or inactivity collected by the local Government. [1] Only national-level data were published by the World Health Organization in 2022. [2]</t>
  </si>
  <si>
    <t>City-level data on physical inactivity have been collected and/or published in the last 5 years for Atlanta._x000D__x000D_The US City Health Dashboard from the NYU Grossman School of Medicine's Department of Population Health last published data on physical inactivity in Atlanta in 2021. [1]</t>
  </si>
  <si>
    <t>[1] NYU Grossman School of Medicine's Department of Population Health. Atlanta, GA - Metric Detail | City Health Dashboard [Internet]. New York: NYU Langone Health; 2021. [Accessed April 25th 2024]. Available from: https://www.cityhealthdashboard.com/GA/Atlanta/metric-detail?metricId=18&amp;dataPeriod=2021</t>
  </si>
  <si>
    <t>Sport New Zealand is a governmental agency responsible for conducting and publishing the Active NZ Surveys, which aim to comprehend the landscape of physical activity in New Zealand. The latest survey, dated 2019, offers detailed insights into various aspects of physical activity, including average hours per week, frequency of activity, and regional trends. Importantly, these surveys provide information specific to different regions across the country, including city-level data on Auckland, rather than solely offering national-level information. [1]</t>
  </si>
  <si>
    <t>[1] Active NZ Surveys. Sport New Zealand; 2019. [Accessed 2nd May 2024]. Available From: https://sportnz.org.nz/resources/data-visualisation-tool/</t>
  </si>
  <si>
    <t>Thailand's National Health Examination Survey published in 2021 surveyed 2,191 people in Bangkok regarding physical activity. [1]</t>
  </si>
  <si>
    <t>The Beijing Statistics Bureau published data in 2021 as part of the 2021 Beijing Citizens' Health Awareness and Behavior Survey Report. They noted the percentage of residents who had participated in fitness exercises in the past year. [1]</t>
  </si>
  <si>
    <t>[1] Beijing Muncipal Statistics Bureau. More than 80% of households pay for healthy consumption and healthy living. The promotion of healthy consumption is recognized by residents - 2021 Beijing Citizens' Health Awareness and Behavior Survey Report [逾8成家庭买单健康消费健康生活推进获居民认同——2021年北京市民健康意识及行为调查报告]. Beijing: Beijing Muncipal Statistics Bureau, 8 October 2021. Available from: https://tjj.beijing.gov.cn/zxfbu/202110/t20211008_2508222.html</t>
  </si>
  <si>
    <t>City-level data on physical activity in Berlin have been collected and published in the last 5 years. Data are from the 2022 report Physical Activity Among Adults in Berlin published by the Senate Department for Health, Care and Equality from data collected in 2019/2020. [1]</t>
  </si>
  <si>
    <t>[1] Senate Department for Health, Care and Equality (Berlin). Physical Activity Among Adults in Berlin. Berlin: City of Berlin; 2022. Available from: https://www.berlin.de/sen/gesundheit/gesundheitsberichterstattung/kurz-informiert-1367156.php#KI_2021_03</t>
  </si>
  <si>
    <t>There is evidence of data on physical activity at the city-level._x000D__x000D_In 2023, Bogotá's government website published the key findings of a study between the IDRD (Sports Institute District) and UNESCO, including data on Bogotá's population practice of physical exercises between 18 and 64 years old). [1]</t>
  </si>
  <si>
    <t>The Central Statistics Bureau have data from 2019 where the share of those who have at least 150 minutes of physical activity per week is registered for four types of settlements (capital, county seat, town, commune). [1]</t>
  </si>
  <si>
    <t>[1] Central Statistics Bureau. Physical exercise 2019. Budapest: Central Statistics Bureau. [Accessed 26th April 2024]. Available from: https://www.ksh.hu/docs/hun/xftp/idoszaki/elef/testmozgas_2019/index.html</t>
  </si>
  <si>
    <t>Cairo does not have published city-level data on physical activity or inactivity. [1] [2]_x000D__x000D_National-level data were published only by the World Health Organization. [3]</t>
  </si>
  <si>
    <t>In the last 5 years city-level data on physical activity or inactivity have not been collected or published. The 2019 Annual Report on Non-Communicable Diseases (NCDs) provided data on physical inactivity at the country level. However, city-level data are not available in the report. [1] There are no city-level data in the quarterly report on NCDs in 2021 or in the available statistics on Colombo. [2] [3]</t>
  </si>
  <si>
    <t>In the last 5 years, there have been no city level data on physical activity or inactivity in Delhi. The Indian Council of Medical Research published the India Diabetes Study in 2011 which has data on physical inactivity and its correlation with Diabetes Mellitus. However, there is no data on Delhi in the study and there is no evidence of a more recent study. [1] No further evidence is found in the National Family Health Survey 2019-2021 or under the Delhi Government website. [2] [3]</t>
  </si>
  <si>
    <t>The Dubai Health Authority's (DHA) 2019 Household Health Survey (DHHS) includes published city-level data on physical activity. [1]</t>
  </si>
  <si>
    <t>[1] Dubai Health Authority. Dubai Household Health Survey 2019. Dubai: DHA. 2019 [Accessed 25th April 2024]. Available from: https://www.dha.gov.ae/uploads/042022/Dubai%20Household%20Health%20Survey_EN2022450248.pdf.</t>
  </si>
  <si>
    <t>Helsinki has city-level data that were collected and published in the last 5 years on physical inactivity._x000D__x000D_The Finnish Institute for Health and Welfare (THL) published data on the percentage of people who exercise too little according to the national exercise recommendation in Helsinki in 2023. [1]</t>
  </si>
  <si>
    <t>[1] Sotkanet. According to the exercise recommendation, the proportion of people who exercise too little (%). Helsinki: THL. [Accessed 27th April 2024]. Available from: https://sotkanet.fi/sotkanet/fi/taulukko/?indicator=szbMzYs3NDG0NtLTNYo3tNZNj4oH8nSN4w2NrXVNAQ==&amp;region=87a2dLTWtawEAA==&amp;year=sy5zsTbS0zUEAA==&amp;gender=t&amp;abs=f&amp;color=f&amp;buildVersion=3.1.1&amp;buildTimestamp=202309010633</t>
  </si>
  <si>
    <t>The results of a 2020 survey conducted locally among people aged 18-69 years old in Ho Chi Minh City compared the proportion of people with insufficient physical activity to the rate of Vietnam.[1]</t>
  </si>
  <si>
    <t>[1] Labour Newspaper (Báo Lao Động). Ho Chi Minh City warns of overweight and obesity in all ages. Agency Of The Vietnam General Confederation Of Labour (Cơ Quan Của Tổng Liên Đoàn Lao Động Việt Nam). 22 April 2024. Available from: https://laodongtre.laodong.vn/suc-khoe/tphcm-bao-dong-tinh-trang-thua-can-beo-phi-o-moi-lua-tuoi-1330233.ldohttps://laodongtre.laodong.vn/suc-khoe/tphcm-bao-dong-tinh-trang-thua-can-beo-phi-o-moi-lua-tuoi-1330233.ldo</t>
  </si>
  <si>
    <t>The Hong Kong Department of Health collected and published data on the percentage of people that have insufficient physical activity levels in 2022 as part of its Population Health Survey. [1]</t>
  </si>
  <si>
    <t>Available evidence does not indicate that in Istanbul city-level data on physical inactivity have been collected and published within the past five years._x000D__x000D_Instead, the evidence indicates that in Turkey data on physical inactivity have been collected only sporadically, at the national level, and not recently. Physical activity is not among the metrics analysed in the Turkish Statistical Institute's most recent Turkey Health Survey, for the year 2022, and the last initiative to discuss this metric was the Ministry of Health's Turkey Nutrition and Health Survey 2017. [1] [2] A similar, earlier data-collection effort was made by the ministry for its "Let's Eat Healthy, Protect Our Hearts" programme, realised in 2004. [3]</t>
  </si>
  <si>
    <t>Data on physical activity/inactivity were collected as part of the National Health Survey in 2023 and are set to be published later this year for the DKI Jakarta province. [1]</t>
  </si>
  <si>
    <t>The City of Johannesburg does not have city-level data on physical activity or inactivity collected in the last 5 years. No data was found on the websites of CoJ, the province of Gauteng or national government. [1] [2] [3]</t>
  </si>
  <si>
    <t>No city-level data for Karachi on physical inactivity or activity are available in the Pakistan Demographic and Health Survey 2017-18, Pakistan Social and Living Standards Measurement Survey 2019-20, or the Health Department, Government of Sindh website. [1] [2] [3]</t>
  </si>
  <si>
    <t>There is no evidence of the publication of city-level data on physical inactivity. The web portal of Kathmandu Metropolitan City, and the Ministry of Health and Population do not have data published at city-level. [1] [2] _x000D__x000D_Information exists at the national level, collected by the STEPS survey (Noncommunicable Disease Risk Factors: STEPS Survey Nepal 2019). [3]</t>
  </si>
  <si>
    <t>In the last 5 years no city-level data on physical activity or inactivity have been collected or published. The Indian Council of Medical Research published the India Diabetes Study in 2011 which has data on physical inactivity and its correlation with Diabetes Mellitus. However, the study only focuses on a few states and it does not include West Bengal or Kolkata. [1] No evidence is found in the city government website or in the National Health Survey 2019-21. [2] [3]</t>
  </si>
  <si>
    <t>The World Health Organisation has collected data on physical inactivity in Kuwait from 2022 for the age groups 11-17, 18-69 and 70+. The figure given is the average for the age group 18-69. [1] _x000D__x000D_No city-specific data are available on poverty in Kuwait city with the Central Statistical Bureau [2]</t>
  </si>
  <si>
    <t>Lagos does not have data on physical activity or inactivity collected and/or published in the last 5 years. No evidence was found on the websites of the city's government, Lagos Ministry of Health or the National Bureau of Statistics. [1] [2] [3]</t>
  </si>
  <si>
    <t>According to the London data from Sport England's annual Active Lives Survey, covering Nov 2017 to 2022, Londoners are not reaching the World Health Organisation's recommended 150 minutes of exercise per week, meaning that they are not reaping the mental, physical and social benefits of an active life, risking long-term health conditions and even early mortality. [1]</t>
  </si>
  <si>
    <t>[1] Inactivity amongst Adult Londoners. London: London Sport; 2023. Available from: https://londonsport.org/wp-content/uploads/2023/10/Adult-Londoners-Inactivity-Levels-October-2023.pdf</t>
  </si>
  <si>
    <t>Available evidence indicates that in Madrid city-level data on physical inactivity have been collected and published in the last five years._x000D__x000D_By law, the Community of Madrid is obligated to conduct various types of surveillance and monitoring activities related to the health of the resident population. To that end, the Community's health service, known as Health Madrid (Salud Madrid), operates an online Observatory of Results, which provides a large number of data-driven indicators in four categories of health: general population; primary care, hospitals and ambulance services. The Observatory's latest data are from 2021 and indicate the prevalence of physical inactivity among adults aged 18 to 64 in the Community of Madrid. [1]</t>
  </si>
  <si>
    <t>No data on physical inactivity in Manila were identified on websites of the Philippine Statistics Authority, the Philippine Department of Health, or the Manila Health Department. [1] [2] [3]</t>
  </si>
  <si>
    <t>The City of Melbourne conducted its City of Melbourne Social Indicator Survey (CoMSIS) in 2021, which provided data from the percentage of residents who participated in at least 30 minutes of physical activity on four or more days in a normal week. [1]</t>
  </si>
  <si>
    <t>City-level data on physical activity or inactivity have not been collected or published in the last 5 years for Mexico City._x000D__x000D_There are only data available at the national level. The National Institute of Statistics and Geography (INEGI) presents the results of the Physical Activity and Exercise Practice Module (MOPRADEF) 2022. It provides information on the characteristics of physical exercise practice among the population aged 18 and older, as well as the main reasons given by those who do not practise it. [1]</t>
  </si>
  <si>
    <t>[1] Instituto Nacional de Estadística y Geografía. Módulo De Práctica Deportiva Y Ejercicio Físico (Mopradef), 2022 [Sports Practice and Physical Exercise Module (Mopradef), 2022]. Ciudad de México: INEGI; 2023 Jan. [Accessed April 26th 2024]. Available from: https://www.inegi.org.mx/contenidos/saladeprensa/boletines/2023/mopradef/mopradef2022.pdf</t>
  </si>
  <si>
    <t>No city-specific data were identified on physical activity (or inactivity) in the Department of the Federal Service of State Statistics for Moscow and the Moscow Region or the Ministry of Health. [1] [2]</t>
  </si>
  <si>
    <t>In the last 5 years no city-level data on physical activity or inactivity have been collected or published. The Indian Council of Medical Research published the India Diabetes Study in 2011 which has data on physical inactivity and its correlation with Diabetes Mellitus. Although there are data on the State of Maharashtra there is no Mumbai city-level data and there is no evidence of a more recent study. [1] No evidence is found in the city government websites or in the National Health Survey 2019-21. [2] [3] [4]</t>
  </si>
  <si>
    <t>No city-level data on physical activity or inactivity in Nairobi have been collected and/or published in the past 5 years. [1] [2]</t>
  </si>
  <si>
    <t>The New York City Environment &amp; Data Portal has published a time series data of adults reporting doing physical activity in the past 30 days (past month from when they were surveyed). There are data available for New York City and each borough from 2003 to 2020. [1]</t>
  </si>
  <si>
    <t>Materials summarising the results within Osaka Prefecture of the National Health and Nutrition Survey 2019 which is conducted annually by the government under the Health Promotion Law (Law No. 103 of 2002), include the percentage of individuals (adult aged 20 and over) who engage in exercise for at least 30 minutes and twice a week, and have continued this routine for over a year. [1] .</t>
  </si>
  <si>
    <t>[1] Osaka Prefecture. The health and nutritional status of the residents of Osaka Prefecture. Osaka: Health and Medical Dept. Osaka Prefectural Government, March 2022. Available from: https://www.pref.osaka.lg.jp/attach/142/00283806/H30fuminnokenkoujyoukyou%20.pdf</t>
  </si>
  <si>
    <t>Available evidence does not indicate that city-level data on physical activity or inactivity in Paris have been collected and published in the last five years. _x000D__x000D_Santé publique France (Public Health France, the French national public health agency) cites old data (collected between 2006-2016) on levels of physical activity and sedentary behaviour in France and in any case does not provide a breakdown of figures by region. [1] _x000D__x000D_In a memorandum from January 2024 the Regional Health Agency of the Île-de-France states; "In Ile-de-France, only 14% of the population have a level of physical activity (PA) that meets WHO recommendations." [2] It does not provide a date or cite a source for this figure.</t>
  </si>
  <si>
    <t>There is no evidence of recent city-level data on physical activity or inactivity in the Demographic and Health Survey 2021-22, the National Multisectoral Action Plan for the Prevention and Control of Noncommunicable Diseases 2018-2027, or the Food and Nutrition Security Trend Analysis Report. [1] [2] [3] No relevant reports were published on the websites of the National Centre for Health Promotion, the National Institute of Public Health, or the WHO page on NCD surveillance activity for Cambodia. [4] [5] [6]</t>
  </si>
  <si>
    <t>A study published in Frontiers in Public Health in 2022 researched physical activity levels among 3,600 young men aged 20-35 in Riyadh. [1] However, no city-specific data were available on the websites of the General Authority for Statistics or the Ministry of Health in the last five years. [2] [3]</t>
  </si>
  <si>
    <t>Available evidence does not indicate that city-level data on physical activity or inactivity in Rome have been collected and/or published in the last 5 years. Such data are available at the regional level, reflecting the structure of Italy's healthcare system._x000D__x000D_Italy's National Institute of Health (Istituto Superiore di Sanità--ISS) operates a health surveillance system known as the PASSI (Progressi delle Aziende Sanitarie per la Salute in Italia) system. It monitors around two dozen different health-related conditions or habitual behaviours. The resulting data are published by region. PASSI notes that during the 2021-22 period 44.9% of adult and senior residents of Lazio were fully active, 22% partially active and 32.9% sedentary, as defined by WHO recommendations. [1]</t>
  </si>
  <si>
    <t>[1] Italian National Institute of Health (Istituto Superiore di Sanità--ISS). EpiCentro. Sorveglianza PASSI (PASSI Surveillance). Attività fisica secondo le raccomandazioni dell'OMS (Physical activity according to WHO recommendations). Rome. ISS. 2024. Available from: https://www.epicentro.iss.it/passi/dati/attivita-oms</t>
  </si>
  <si>
    <t>City-level data on physical inactivity have been collected and/or published in the last 5 years for San Francisco._x000D__x000D_San Francisco had collected an estimate of adults report being physically inactive in the past 30 days in 2021, according to the US City Health Dashboard, from the NYU Grossman School of Medicine's Department of Population Health, published data on physical inactivity in San Francisco in 2021. [1]</t>
  </si>
  <si>
    <t>[1] NYU Grossman School of Medicine's Department of Population Health. Atlanta, GA - Metric Detail | City Health Dashboard [Internet]. New York: NYU Langone Health; 2021. [Accessed April 25th 2024]. Available from: https://www.cityhealthdashboard.com/CA/San%20Francisco/metric-detail?metricId=18&amp;dataPeriod=2021</t>
  </si>
  <si>
    <t>In São Paulo city, there are data on the population practising physical exercise. _x000D__x000D_A survey released by Seade Foundation in 2023 showed that the number of people who practise physical exercise in the city of São Paulo has increased since 2019. The survey was conducted by telephone with just over 6,000 people in the state. [1]</t>
  </si>
  <si>
    <t>[1] Seade. 56% of São Paulo residents practice physical activities, 17% more than in 2019, according to research. São Paulo: Fundação Sistema Estadual de Análise de Dados; 2023. Available from: https://www.seade.gov.br/56-dos-paulistanos-praticam-atividades-fisicas-17-a-mais-do-que-em-2019-aponta-pesquisa/</t>
  </si>
  <si>
    <t>[1] Seoul Metropolitan Government. Ratio of People Practising Physical Activity Regularly. Seoul: Seoul Metropolitan Government; May 2020. Available from https://data.seoul.go.kr/dataList/10279/S/2/datasetView.do#</t>
  </si>
  <si>
    <t>[1] Shanghai Municipal Government. "Shanghai National Fitness Development Report 2022" released, sports and fitness facilities around citizens further improved[《2022年上海市全民健身发展报告》发布 市民身边体育健身设施进一步完善]. Shanghai: Shanghai Municipal Government. [Accessed 29th April 2024]. Available from: https://www.shanghai.gov.cn/nw4411/20230630/ab1f9f512dd24a0d89ed75d915fc8ec3.html. Original published by Jiefang Daily.</t>
  </si>
  <si>
    <t>There is evidence of data on physical activity in Singapore._x000D__x000D_The National Population Health Survey 2022 tracks the health, risk factors and lifestyle of the population aged 18 to 74 years old. One of the variables analysed is the prevalence of physical activity. [1]</t>
  </si>
  <si>
    <t>The NSW Population Health Survey collects yearly data on physical activity. There are city-level data available for "Insufficient physical activity in adults" and "Physical activity in children by activity level". The latest survey is from 2023. [1]</t>
  </si>
  <si>
    <t>The National Health and Nutrition Survey of the Tokyo Metropolitan Government includes data on physical activity, including the percentage of individuals (adults aged 20 and over) who engage in exercise for at least 30 minutes and twice a week, and have continued this routine for over a year. These data were last published in 2022. [1]</t>
  </si>
  <si>
    <t>Toronto does collect data on physical activity. _x000D__x000D_Toronto's Population Health Profile, a report that highlights the important role of local public health, includes data on adults (18+) engaged in 150 minutes of moderate to vigorous intensity aerobic physical activity per week in 2021. [1]</t>
  </si>
  <si>
    <t>The General Health Report Vienna: Reporting period 2015-23 collected data on exercise. The most recent data were collected in 2019. The survey measured how often per week respondents exercised. [1]</t>
  </si>
  <si>
    <t>There is evidence of survey data concerning physical activity in Wuhan being collected at a local level. In the Wuhan Economic and Technological Development District of Wuhan, the local health authorities conducted their own survey in 2021 on chronic diseases prevalence, in which the reporting rate of regular participation in moderate-intensity sports such as running, yoga, and playing basketball was 40.36% among respondents. [1] These are not city-wide data, however.</t>
  </si>
  <si>
    <t>No data on the population's physical activity/inactivity at the city level in Yangon are available. [1] [2] [3]_x000D__x000D_A national survey conducted in 2014 noted the percentage of the population that does not meet the WHO's recommendations on physical activity. [4]</t>
  </si>
  <si>
    <t>Ethiopia conducted a national survey on non-communicable disease (NCD) risk factors in 2015. [1] However, there is no evidence that a city-specific survey was conducted. [2]_x000D__x000D_The "STEPS survey on NCD risk factors in Ethiopia" was carried out from April to June 2015 by the Ethiopian Public Health Institute (EPHI). It was a population-based survey of adults aged 15-69 years. A total of 9,801 adults participated in the Ethiopia STEPS survey. A repeat survey was planned for 2020, but there is no evidence or update available on the EPHI website regarding whether the 2020 survey was conducted. [1]_x000D__x000D_There is no evidence that the City of Addis Ababa has ever carried out its own survey on adult risk factors covering raised blood pressure/hypertension. However, systematic meta-analyses and observational studies by EPHI and WHO have estimated the prevalence of hypertension in Addis Ababa to be between 15% and 30%. [3] These studies suggest the need to develop regular blood pressure surveillance programs for early diagnosis and prevention of complications.</t>
  </si>
  <si>
    <t>Recent surveys were conducted both in Algiers and on the national level._x000D__x000D_A national survey on the measurement of the burden of risk factors for NCDs was conducted by the National Center for Prehistoric, Anthropological and Historical Research, Laboratory of Anthropology, and Laboratory of Human Actions' Valorisation for Protection of Environment and Application in Public Health at the University of Abou Bekr Belkaïd in Algeria, in 2021. [1] The study reported that the prevalence of prehypertension and of hypertension was 36.2% and 31.6% respectively. [1]_x000D__x000D_In 2020, an independent cross-sectional study was conducted in Algiers to assess the prevalence of persons with prehypertension (PHT). The cross-sectional study was conducted in primary care consultation on a sample of 1086 (aged 18-79 years old), unknown hypertensive, which found the prevalence of PHT was 36.7%. [2]</t>
  </si>
  <si>
    <t>The data for this indicator was found only at the national level, not at the city level. In 2021, the US conducted a national adult risk factor survey covering raised blood pressure/hypertension. [1]</t>
  </si>
  <si>
    <t>[1] World Health Organization. Has conducted a recent, national adult risk factor survey covering raised blood pressure/hypertension [Internet]. www.who.int. 2021. [Accessed February 22nd 2024]. Available from: https://www.who.int/data/gho/data/indicators/indicator-details/GHO/has-conducted-a-recent--national-adult-risk-factor-survey-covering-raised-blood-pressure-hypertension</t>
  </si>
  <si>
    <t>The Ministry of Health in New Zealand regularly collects and analyses data on various health indicators, including risk factors for non-communicable diseases (NCDs) like hypertension, through national health surveys and surveillance systems. [1]</t>
  </si>
  <si>
    <t>[1] Ministry of Health. Health Statistics and Data Sets. Wellington: Ministry of Health; 2024. [2024-03-18]. Available from: https://www.health.govt.nz/nz-health-statistics/health-statistics-and-data-sets</t>
  </si>
  <si>
    <t>There is insufficient evidence of a city-level or national-level adult risk factor survey covering raised blood pressure/hypertension._x000D__x000D_According to the World Health Organization, Germany has not conducted a national adult risk factor survey covering raised blood pressure/hypertension within the past five years. [1] The Robert Koch Institute (RKI) includes diabetes in the list of NCDs that it monitors on behalf of the government of Germany. [3] The indicators for the diabetes surveillance project include "cardiovascular diseases" and "risk of cardiovascular events" but do not specifically mention raised blood pressure or hypertension. [4] _x000D_Neither the websites of the Public Health Service of Berlin nor the website of the Health Department list an adult risk factor survey covering raised blood pressure/hypertension being conducted in the city. [5] [2]</t>
  </si>
  <si>
    <t>There is no evidence that Colombia conducted a survey covering hypertension and, at the city level, there is evidence of an old survey. According to the WHO, Colombia did not conduct a survey in the past 5 years. [1] At the city level, there is evidence of a survey covering hypertension; however, it is from 2007. [2]</t>
  </si>
  <si>
    <t>There is no evidence that the city conducted an adult risk factor survey covering raised blood pressure/hypertension. A national risk factor survey was conducted within the past 5 years. [1] _x000D__x000D_In May 2023 the National Association of Diabetes Associations, the Hungarian Hypertension Society and the Hungarian Recreational Sports Association organised a country-wide nordic walking programme with measuring blood sugar and blood pressure both before and after the walk available, Budapest was one of 22 cities in the country to host the event. [2] There were around 1,700 participants nationwide; Budapest numbers were not published separately. [3]_x000D__x000D_According to WHO data last updated in 2022, Hungary is one of the countries that have conducted a recent, national adult risk factor survey covering raised blood pressure/hypertension. [4] In May 2023 a country-wide hypertension measurement campaign took place conducted by hospitals, by the Hungarian Hypertension Society and by state institutions, specifically dedicated to measuring those who are not diagnosed with hypertension. The campaign was called May Measurement Month, and 3 consecutive measurements were conducted to avoid false positive diagnoses. [5]</t>
  </si>
  <si>
    <t>There is no evidence of a recent health survey conducted in Cairo on the website of Cairo Governorate and on the Egyptian Ministry of Health and Population. [1] [2]_x000D__x000D_In 2017, the Egyptian Ministry of Health and Population, the Central Agency for Public Mobilization and Statistics and the World Health Organization conducted the Egypt STEPS Survey targeting persons aged 15-69 years old and covering NCDs risk factors prevalence. [3] The World Health Organization (WHO) shows that a recent, national adult risk factor survey covering raised blood pressure/hypertension has been conducted as of 2021. [4] _x000D__x000D_In 2021, Egypt conducted a Health Survey for the Egyptian Households. The survey mainly covered the main indicators of maternal and child health, in addition to the demographic and health situation at the governorate level. However, the survey did not cover raised blood pressure and hypertension. [5]</t>
  </si>
  <si>
    <t>There is no evidence that the city has conducted a recent adult risk factor survey covering raised blood pressure/hypertension. No evidence is found in the Colombo Municipal Council Website or the Directorate of Non-Communicable Diseases Website. [1] [2] There is no evidence that the country has conducted a recent national adult risk factor survey covering raised blood pressure/hypertension as of 2021. [3]</t>
  </si>
  <si>
    <t>There have been studies on adult risk factor surveys covering raised blood pressure/hypertension in the past but these are based on surveys done in 2015-16. [1] There have also been studies on hypertension, which concentrated on specific regions of Delhi in the past, in the years 2016 and 2017. [2] [3] India conducted a national adult risk factor survey covering raised blood pressure/hypertension in 2021. [4]</t>
  </si>
  <si>
    <t>In Dhaka and in Bangladesh, surveys assessing the prevalence of hypertension have been conducted in the past five years._x000D__x000D_A recent adult risk factor survey that includes data on hypertension has been conducted in Dhaka. The 'Strengthening Health Systems through Organizing Communities (SHASTO)' baseline survey reported the prevalence and associated risk factors of hypertension among adult men and women aged over 30 years residing in two urban and rural areas each of Dhaka district. The study found an overall prevalence of hypertension to be 31.0%, with a higher prevalence among urban participants (urban: 36.9%, rural: 30.6%). This cross-sectional study was published in 2021. The baseline survey was conducted as part of the project SHASTO developed by Directorate General of Health Services (DGHS) together with WHO and Japan International Cooperation Agency (JICA). [1] [2]_x000D__x000D_As per WHO data, a hypertension study was conducted by the Bangladesh government in 2021. [3]</t>
  </si>
  <si>
    <t>Dubai has conducted a recent adult risk factor survey covering raised blood pressure/hypertension within the past 5 years. The Dubai Household Survey 2019 report shows 32.5% of adults had hypertension, with 24.1% potentially undiagnosed until the survey, and 32.8% were pre-hypertensive. [1] _x000D__x000D_The last national health survey by the Ministry of Health and Prevention (MoHAP) was between 2017 and 2018, finding 28.8% high blood pressure prevalence among adults. MoHAP plans to reduce hypertension prevalence to 21.8% by 2025 through awareness campaigns and early detection services. [2]_x000D__x000D_According to the WHO, as of 2021, the UAE has conducted a recent, national adult risk factor survey covering raised blood pressure/hypertension. [3]</t>
  </si>
  <si>
    <t>Both the City of Helsinki and Finland conducted recent city-level and national adult risk factor surveys covering raised blood pressure/hypertension._x000D__x000D_A 2021 survey on the well-being and health of the residents of the capital region covers raised blood pressure. The survey was conducted in the Helsinki Metropolitan Area, covering the cities of Espoo, Helsinki, Vantaa and Kauniainen. In addition to the publication of a report on the results, data on all indicators for each city was separately published on the website. [1] [2] According to the results of the survey, the proportion of those with self-reported hypertension or high blood pressure in the City of Helsinki was 19.3%. [2]_x000D__x000D_The Healthy Finland survey, a large-scale national survey consisting of various surveys to assess health, well-being and use of health services of adults 20 years old and above, covers raised blood pressure/hypertension. According to the results last updated in December 2023, every second adult in Finland had either blood pressure medication or high blood pressure. The average systolic blood pressure was 131 mmHg in women and 134 mmHg in men. The average diastolic blood pressure was 78 mmHg for women and 81 mmHg for men. [3] [4]</t>
  </si>
  <si>
    <t>In Ho Chi Minh City City, each district/ward was responsible for organising tests of hypertension for adults in the area (examples include Go Vap and Binh Thanh districts 2023). [1] [2]_x000D__x000D_Vietnam Society of Hypertension kick-offs the May Measurement Month programme. May 17th is recognized by WHO as World Hypertension Day. In Vietnam, an action programme has been launched to warn the people about the risk of hypertension, and people's blood pressure is measured throughout May. This programme is called the "May Measurement Month" (MMM). [3]_x000D__x000D_As per WHO data, a hypertension survey was conducted by the Vietnam government in 2021. [4]</t>
  </si>
  <si>
    <t>The Report of Population Survey 2020-22 conducted by the Centre for Health Protection provides data on raised blood pressure. [1] The China Chronic Disease and Risk Factors Surveillance 2004-18 measures prevalence of hypertension. [2]</t>
  </si>
  <si>
    <t>Available evidence indicates that Turkey has conducted a national adult risk factor survey covering raised blood pressure/hypertension in the last five years. _x000D__x000D_According to the Global Health Observatory of the World Health Organisation (WHO), Turkey conducted a national adult risk-factor survey on hypertension in 2021. [1] Other evidence indicates that the most recent such survey was the Turkey Health Survey 2022, conducted from October through December 2022 by the Turkish national statistics agency (TUIK, or TurkStat), which visited 10,028 households and interviewed 29,761 individuals; 22,742 aged 15 years and over and 7,019 in the 0-14 age group. The survey found that hypertension afflicted 16.1% of the over-15 population—11.6% of men and 20.5% of women. [2] The Turkey Health Survey has been conducted every two years since 2008.</t>
  </si>
  <si>
    <t>The national- and city-level survey that documents diagnoses of hypertension is the Basic Health Research Survey, known as Riskesdas. The most-recent survey was published in 2018; however, an updated survey is due to be published shortly. Page 105 of the 2018 Riskesdas survey showed that 10.17% of the population over the age of 18 had been diagnosed with hypertension. The survey estimates inclusion of undiagnosed cases brings the hypertension patient burden to 33.43% of the adult population. [1] There is no datapoint on those at risk of developing hypertension in the Riskesdas survey. Data from the World Health Organisation Global Health Observatory showed that Indonesia has conducted a national adult risk factor survey covering raised blood pressure since 2021 [2].</t>
  </si>
  <si>
    <t>A national survey has been conducted covering raised blood pressure/hypertension in 2018. [1] [2] At the city level, a survey on blood pressure was conducted in 2017. [3]_x000D__x000D_A 2018 study shows that in South Africa, deaths due to major non-communicable diseases (NCD) such as cardiovascular diseases, cancer, diabetes and chronic lower respiratory diseases increased by 58.7% over 20 years. In 2018, hypertensive diseases were the 6th leading underlying natural cause of death in the country. Regarding the City of Johannesburg (CoJ), there were 4495 deaths in 2018 due to diseases of the circulatory system. Among the ten leading underlying natural causes of death in CoJ were: other forms of heart disease (1st place), ischaemic heart diseases (7th) and hypertensive diseases (10th). [1]_x000D__x000D_The 2018/19 District Health Barometer is the most recent to cover blood pressure data, presenting the prevalence of non-raised blood pressure among adults (15 years and older) from 2008 until 2017. In Johannesburg, this number reached 78.2% in 2017. [3]_x000D__x000D_The 2016 South Africa Demographic and Health Survey presents data on blood pressure status. Although it does not disaggregate it by cities, it shows statistics by provinces, age, population group, urban or rural residence, education, etc. [4]</t>
  </si>
  <si>
    <t>According to the latest report from the Global Health Observatory, updated on April 25th 2022, an age-standardised survey of hypertension prevalence among adults aged 30-79 years was conducted in Pakistan in 2021. However, no surveillance data were collected in 2021 for the STEPwise approach to NCD risk factors, in either Karachi or Pakistan. [1] [2]_x000D__x000D_No evidence of a city-level survey was identified on the websites of the Karachi Metropolitan Corporation or the Sindh Department of Health. [3] [4]</t>
  </si>
  <si>
    <t>There is no evidence of Kathmandu city level adult risk factor survey covering raised blood pressure/hypertension conducted within the last 5 years. However, a national survey titled 'Noncommunicable Disease Risk Factors: STEPS Survey Nepal 2019' was conducted by the Nepal Health research Council in 2019, in collaboration with the Ministry of Health and Population and the World Health Organization. The survey explicitly covers raised blood pressure or hypertension as a risk factor. [1]</t>
  </si>
  <si>
    <t>[1] Dhimal M, Bista B, Bhattarai S, Dixit LP, Hyder MKA, Agrawal N, Rani M, Jha AK. Report of Noncommunicable Disease Risk Factors: STEPS Survey Nepal 2019. Kathmandu: Nepal Health Research Council. 2020. Available from: https://www.who.int/docs/default-source/nepal-documents/ncds/ncd-steps-survey-2019-compressed.pdf</t>
  </si>
  <si>
    <t>There is evidence of past study on hypertension in the slums of Calcutta in the year 2016. [1] There are also past surveys on hypertension which have focused on certain groups of population such post-menopausal women in Calcutta and adults in rural parts of West Bengal. [2] However, there is no evidence of a study/survey conducted in Calcutta in the past 5 years._x000D__x000D_India had conducted a recent national adult risk factor survey covering raised blood pressure/hypertension as of 2021. [3]</t>
  </si>
  <si>
    <t>Kuwait has not recently conducted an adult risk factor survey covering raised blood pressure/hypertension. The last surveys on adult health risks in Kuwait were conducted in 2014 across all six governorates in the country specifically on the matter of obesity. [1] [2] [3]_x000D_ _x000D_The WHO notes that no survey has been conducted in Kuwait on adult health risks as of 2021. [4]</t>
  </si>
  <si>
    <t>There is no evidence that a recent city blood pressure/hypertension survey has been conducted. In April 2017, the Lagos Ministry of Health (MOH) announced the coordination of the State-wide Hypertension and Diabetes Awareness and Screening programme, which had been incorporated in its integrated Lagos State-wide Wellness Week Screening programme. [1] The health screening programme's objectives include detecting early asymptomatic/undiagnosed cases of hypertension and diabetes especially those within the high risk group; as well as promote regular health screening among the population. [1] However, a review of the Lagos MOH website found no evidence of the Wellness Week Screening programme or other state-wide hypertension programmes having been conducted in the past five years. [2]_x000D__x000D_There is no evidence that a recent country blood pressure/hypertension survey has been conducted. The Second National Strategic Health Development Plan (NSHDP II) 2018-2022 includes in its key interventions and actions the creation of a multi-sectoral task force to coordinate the prevention and control of non-communicable diseases (NCDs). [3] According to the NSHDP II, the taskforce would also facilitate research and surveillance and the establishment of NCD databases. [3] A review of the Nigerian Ministry of Health website found references to the Non-Communicable Disease Control Programme (NCDs), but no evidence of a publicly available blood pressure/hypertension survey. [4]_x000D__x000D_In 2019, Nigeria piloted its National Hypertension Control Initiative (NHCI) in the states of Ogun and Kano. [5] However, there is no evidence that the programme was rolled out to the rest of Nigeria. According to the World Health Organization's latest available data, Nigeria has not completed a national adult risk factor survey covering raised blood pressure/hypertension as of April 2022. [6] [7]</t>
  </si>
  <si>
    <t>The 2021 Health Survey for England (part 2 - published May 2023) states that 30% of adults have hypertension (high blood pressure), including 15% with untreated hypertension. In 2021 the prevalence of raised total cholesterol was 59%. [1]</t>
  </si>
  <si>
    <t>[1] NHS England. Health Survey for England Part 2. Leeds: NHS digital; 2023. Available from: https://digital.nhs.uk/data-and-information/publications/statistical/health-survey-for-england/2021-part-2#</t>
  </si>
  <si>
    <t>The Community of Madrid conducts hypertension surveillance on a regular basis. A comprehensive national-level survey covering hypertension was most recently conducted in 2020. _x000D__x000D_Health Madrid (Salud Madrid), the health department of the Community of Madrid, operates a health surveillance system that collects four categories of data; the population, primary care, hospitals and the SUMMA 112 medical emergency service. Among the numerous indicators derived from the data collected across the four categories are: vaccination coverage; coverage of care for adults with high blood pressure; percentage of medical and surgical complications; and ambulance emergency-response time. [1] With specific regard to one indicator--coverage of care for persons aged 14 and older with high blood pressure/hypertension, clinical patient data from over 100 health centres in the Community are collected and analysed are provided on an annual basis (most recently updated in May 2023, values are available for the years 2020-2022, on the website of the Observatory of results of the Madrid Health Service). [2] _x000D__x000D_National-level surveys on the state of health of the population, containing metrics such as the level of hypertension, are conducted periodically. The most recent such study, the European Health Survey in Spain (Encuesta Europea de Salud en España—EESE) was carried out from July 2019 through July 2020 by the National Institute of Statistics (INE), the Spanish part of the European Health Interview Survey (EHIS), and coordinated by the European Statistical Office (Eurostat).[3] In that regard, the World Health Organisation (WHO)'s Global Health Observatory currently lists Spain among the countries that have conducted a "recent, national adult risk factor survey covering raised blood pressure/hypertension." [4]</t>
  </si>
  <si>
    <t>The Philippines has conducted recent surveys covering raised blood pressure/hypertension._x000D__x000D_A national-level study was conducted by the Department of Science and Technology, Food and Nutrition Research Institute (DOST-FNRI) in 2021 which showed that the prevalence of hypertension among adults, 20 years old and above, increased from 2003 to 2015 but declined significantly in 2018-19. The prevalence of age-standardised hypertension increased from 21.0% in 2013 to 23.7% in 2015 but declined to 17.1% in 2018–19. [1]_x000D__x000D_The Philippine Heart Association, through its Council on Hypertension Report on Survey of Hypertension has conducted a survey to assess the problems of increased cardiovascular disease prevalence, which reported that hypertension prevalence in the Philippines increased by 37% in 2021. [2] Previous surveys found hypertension prevalence at 22% during 1997 to 1998, 21% in 2007, and 28% in 2013. [3]</t>
  </si>
  <si>
    <t>In 2021, Mexico conducted a national adult risk factor survey covering raised blood pressure/hypertension. [1] No survey was conducted at city level, just an estimation. _x000D__x000D_The 2016 National Health Survey indicates that 25% of the population over 40 years of age is hypertensive. "In Mexico City, according to the 2015 census, there are approximately four million people over 40 years of age, so we could estimate that there are close to one million people with high blood pressure in this age range," reported Dr. Jaime Reyna Bucio, Head of Internal Medicine at the Dr. Enrique Cabrera General Hospital of the Ministry of Health of the CDMX Government. [2]</t>
  </si>
  <si>
    <t>Different studies have produced varying results on the proportion of people at risk of, or suffering from, high blood pressure/hypertension in Russia. A 2020 study states that "the prevalence of elevated BP/hypertension in a typically mixed Russian population aged 40+ years was high (87.3%)". [1] Another 2020 paper that focused on Novosibirsk and Arkhangelsk found that 40% of the population aged between 35-69 suffered from untreated hypertension. [2] A third study from 2020 notes that between 30-45% of the adult Russian population suffers from arterial hypertension. [3] In addition, the Head Cardiologist of the Ministry of Health stated in 2020 that "around 40% of the Russian population aged above 35-40 has hypertension". [4] _x000D__x000D_The World Health Organisation confirms that a national survey on adult risk factors linked to raised blood pressure or hypertension has been conducted in 2021. [5]_x000D__x000D_There is no evidence in the Ministry of Health or the Moscow Department of Health that a survey or study has been conducted specifically for Moscow city. [6] [7]</t>
  </si>
  <si>
    <t>There is evidence of survey on risk factors for hypertension among adults in Maharashtra state with study conducted in Mumbai. [1] India has conducted a recent national adult risk factor survey covering raised blood pressure/hypertension. [2]</t>
  </si>
  <si>
    <t>There is no evidence that Nairobi has carried out a recent adult risk factor survey covering raised blood pressure/hypertension. [1] [2] Studies are done regularly within two particular parts of the city (in two informal settlements) by the African Population and Health Research Center (APHRC) [3]. _x000D__x000D_Kenya has not recently carried out a national adult risk factor survey covering raised blood pressure/hypertension. As per WHO data last updated in 2022, Kenya had not conducted a recent adult risk factor survey covering raised blood pressure/hypertension. [4] The last survey which appears to measure this was the WHO's STEPwise survey carried out in 2015. [5] Recent references to surveys measuring hypertension in Kenya cite the 2015 STEPwise survey. [6] [7]</t>
  </si>
  <si>
    <t>There is evidence of surveys covering blood pressure at both city and national level. In 2018, the NYC Health Department conducted the HFUS (Heart Follow Up Study), a survey with a subset of the participants of the NYC CHS(Community Health Survey) and the RDD survey (Random Digital Dial). Among the data collected, there is information on blood pressure measurement. [1] According to the WHO, in 2021, the United States a national adult survey covering hypertension. [2]</t>
  </si>
  <si>
    <t>Both a national survey and city survey have been conducted._x000D_The Ministry of Health, Labour and Welfare conducts annual surveys on health conditions (obesity, diabetes, blood pressure, cholesterol levels), nutrition and dietary habits, physical activity, and alcohol and tobacco consumption. However, due to the impact of the COVID-19 pandemic, surveys were suspended in 2020 and 2021, and the latest publicly available data is from the 2019 survey results. Regarding blood pressure, they disclose the average value of systolic blood pressure and the proportion of individuals with systolic blood pressure of 140mmHg or higher. [1] In response to the "Third Osaka Prefecture Health Promotion Plan," a survey was conducted in January and February 2023 to grasp the actual situation regarding the prevention of lifestyle-related diseases and the promotion of health among prefectural residents. The purpose of this survey was to obtain basic data for the formulation of the "Fourth Osaka Prefecture Health Promotion Plan." The survey included items such as interest in health, exercise habits, alcohol and smoking habits, sleep quality, and dental health. However, there were no questions specifically addressing blood pressure in the survey. [2]</t>
  </si>
  <si>
    <t>Available evidence does not indicate that hypertension surveillance has been conducted in the city of Paris in the past five years._x000D__x000D_According to the Global Health Observatory of the World Health Organisation (WHO), within the past five years France has not conducted a national adult risk-factor survey on hypertension. [1] Moreover, the health service (ARS) of Île-de-France, the region encompassing Paris, provides no indication of engaging in such surveillance, although it does require resident health professionals to conduct epidemiological and adverse-event reporting. [2] _x000D__x000D_Santé publique France (Public Health France, the French national public health agency), cites a recent scholarly publication which draws mostly upon data collected in the ESTEBAN general population survey of 2014-2016 and concludes that nearly 30%, or 17m, of adults in France were hypertensive. The article adds that "[A]wareness, treatment, and control of hypertension remain suboptimal in France and have not improved recently. Thus, nearly 6 million adults in France are not aware of their hypertension and more than 4 million treated hypertensives do not have a [sic] controlled blood pressure." [3] [4]</t>
  </si>
  <si>
    <t>The country has conducted an adult risk factor survey on raised blood pressure or hypertension in the past 5 years._x000D__x000D_While there is no evidence of an adult risk factor survey on raised blood pressure or hypertension conducted by Phnom Penh City in the past 5 years, a national survey was conducted in 2021. [1] [2] As cited in a journal article on hypertension care in Cambodia, another national survey was conducted by academics between July and October 2020 and involved over 5,000 participants across selected operational districts. The survey provided that 81.9% of the study participants had their blood pressure tested in the last three years and that more than 63% of them were diagnosed with hypertension. Previously, there was also a national STEPS survey in 2016 which showed that 12.9% of the population aged 18-69 years old had their blood pressure tested and were diagnosed with hypertension. [3] The Health Strategic Plan 2016 - 2020 also provided that in 2015 the number of the adult population aged between 25 and 64 years old in Cambodia was 6,669,493, 746,983 of which were diagnosed with hypertension. [4]</t>
  </si>
  <si>
    <t>The General Authority for Statistics (GASTAT) conducted a nationwide survey on household health in 2017. It also collected data on the regions. The percentage of Saudis diagnosed with hypertension in the Riyadh region was 8.5% (and 6.5% among the region's whole population, including non-Saudis). [1] _x000D__x000D_An interview-based study sampling 2,997 men and women at primary healthcare centres in Riyadh was conducted between 2015 and 2016. It covered rates of diabetes mellitus, hypertension, hypercholesterolemia, and obesity. It found that these health issues were prevalent among 20.3% of males (average age of 43.1) and 24.8% among females (average age of 43.8). High 10-year Atherosclerotic Cardiovascular Disease risk was found in 32% of men and 7.6% of women, whereas lifetime risk was present in 67% and 51%, respectively. [2] _x000D__x000D_The World Health Organization (WHO) shows that a recent, national adult risk factor survey covering raised blood pressure/hypertension has been conducted as of 2021. [3]</t>
  </si>
  <si>
    <t>According to the Global Health Observatory of the World Health Organisation (WHO), within the past five years Italy has not conducted a national survey on hypertension. [1]_x000D__x000D_The Italian Society of Arterial Hypertension (SIIA) states that data collected by the Heart Project (Progetto Cuore, an ongoing survey-driven epidemiological study conducted nationwide by the Italian National Institute of Health) indicate that in the Province of Lazio (which encompasses the city of Rome) 33% of men and women had hypertension while 19% of men and 13% of women were at risk for the disease. [2] However, evidence indicates that the most recent data-collection period of the Heart Project spanned the years 2018 and 2019; thus the resulting data were obtained more than five years ago. [3]</t>
  </si>
  <si>
    <t>In 2021, the US conducted a national adult risk factor survey covering raised blood pressure/hypertension. [1] The last city survey covering cardiovascular disease and stroke was conducted in 2016, using information by the California Health Interview Survey (CHIS) and UCLA Center for Health Policy Research. [2]</t>
  </si>
  <si>
    <t>The Ministry of Health published a report on hypertension. The data were collected by the Department of Health Surveillance (SVS) of the department, which took into account the temporal evolution of the indicators of the last 16 editions of the main health survey in Brazil, Vigitel, Surveillance of Risk Factors and Protection for Chronic Diseases by Telephone Inquiry. [1] the WHO also emphasises that Brazil conducted a hypertension survey in 2021. The Organization compiled a yes/no list of the countries that conducted surveys at the national level to assess adult risk factors covering hypertension. [2] The School of Public Health of the University of São Paulo (USP) and the Health Municipal Secretariat developed the ISA-Capital research, in order to increase the knowledge of the health conditions of the citizens. The ISA-Capital assesses, among other things, the percentage of the population with hypertension. The research was conducted in 2003, 2008, 2015 and 2023. However, the results of 2023 have yet to be available. [3]</t>
  </si>
  <si>
    <t>Both the Seoul Metropolitan Government and the national government conduct adult risk factor surveys covering raised blood pressure/hypertension every year, and the findings are compiled into the Community Health Survey by the Korea Disease Control and Prevention Agency. The latest survey was conducted between May and July 2023, covering about 230,000 people aged 19 and over through 258 community health centres nationwide. The data for the city of Seoul was collected from 25 community health centres throughout the city. The 2023 survey cites the percentage of people ages 30 and over ever diagnosed with raised blood pressure/hypertension and the percentage of diagnosed persons ages 30 and over who received treatment. The numbers were 20.6% and 93.6% respectively at the national level (median value of data from all cities, counties and wards); and 20.2% and 91.1% respectively in the city of Seoul alone. [1]</t>
  </si>
  <si>
    <t>According to the World Health Organization, China has conducted a recent, national adult risk factor survey covering raised blood pressure/hypertension. [1]_x000D__x000D_In the Shanghai municipality's Mid- and Long-term Plan (2018-2030) for the Prevention and Treatment of Chronic Non-Communicable Diseases, "continuing to monitor chronic diseases and their risk factors" is listed as a measure. [2] _x000D__x000D_A 2021 report states that the Shanghai Municipal Health Commission had disclosed the "latest results" from its chronic diseases and risk factors monitoring, showing 31.4% of adult residents being afflicted by hypertension. [3]</t>
  </si>
  <si>
    <t>Singapore is a city-state. Hence, it is a small country within the limits of a city. According to the WHO, the city-state conducted a national adult risk factor survey covering hypertension. [1] In Singapore, there are no local governments, thus, no national level. [2]</t>
  </si>
  <si>
    <t>Based on WHO data, Australia has conducted a national adult risk factor survey covering raised blood pressure/hypertension in 2024. [1] No evidence of local/municipal surveys was found.</t>
  </si>
  <si>
    <t>Both a national survey and city survey has been conducted._x000D_The Ministry of Health, Labour and Welfare conducts annual surveys on health conditions (obesity, diabetes, blood pressure, cholesterol levels), nutrition and dietary habits, physical activity, and alcohol and tobacco consumption. However, due to the impact of the COVID-19 pandemic, surveys were suspended in 2020 and 2021, and the latest publicly available data are from the 2019 survey. Regarding blood pressure, they disclose the average value of systolic blood pressure and the proportion of individuals with systolic blood pressure of 140mmHg or higher. [1] Tokyo Metropolitan Government publishes data compiled from the "National Health and Nutrition Survey" for Tokyo residents as "Health and Nutritional Status of Residents" for public reference. [2] As part of the Tokyo Health Promotion Plan 21, Tokyo Metropolitan Government conducted a survey on the activity status related to the health of residents and their connection with the community in the fiscal year 2020. The survey covered various aspects such as awareness of health status, participation in health check-ups, engagement in physical activity and healthy dietary habits, and participation in community activities. However, it did not include items related to blood pressure. [3]</t>
  </si>
  <si>
    <t>According to the WHO document listed in the notes section Canada has conducted a recent, national adult risk factor survey covering raised blood pressure/hypertension (2021, and this particular page was last updated on April 25th 2022). [1]_x000D__x000D_No evidence found of a city level survey. Under the list of surveys and statistical programmes (for diseases and health conditions) on the Statistics Canada website there is no survey related to hypertension/high blood pressure.</t>
  </si>
  <si>
    <t>[1] World Health Organization. The Global Health Observatory. Geneva: WHO; 2022. Available from: https://www.who.int/data/gho/data/indicators/indicator-details/GHO/has-conducted-a-recent--national-adult-risk-factor-survey-covering-raised-blood-pressure-hypertension</t>
  </si>
  <si>
    <t>According to the WHO, Austria has conducted a national adult risk factor survey covering raised blood pressure/hypertension within the last 5 years. [1]_x000D__x000D_The Austria Health Survey 2019 (the most recent available) specifically covers both high blood pressure and the risk factors that lead to it. [2]_x000D__x000D_The website of the health service of the city of Vienna does not discuss conducting a study of adult risk factors covering raised blood pressure/hypertension. [3] The database PubMed also does not contain any articles specifically on blood pressure or hypertension based on surveys conducted in Vienna. [4]</t>
  </si>
  <si>
    <t>According to the WHO, China conducted a national survey of hypertension in 2021. [1]_x000D__x000D_In April 2021, a large study called the China Nutrition and Health Knowledge Survey began across China. This survey involved all 31 provinces, cities, and autonomous regions. As part of this national effort, Wuhan conducted its own survey to specifically examine how much Chinese adults know about nutrition and health. The findings from the national survey will be used by policymakers to make science-based decisions about nutrition programs. Wuhan conducted the survey from April 2021 to October 2021, and the permanent residents aged 18-64 from Wuhan were included in the analysis. Residents were asked about their history of chronic diseases (including hypertension, diabetes, stroke, coronary heart disease, dyslipidemia, or other chronic diseases). [2]</t>
  </si>
  <si>
    <t>There is evidence of a national survey, but not of a survey at city level. _x000D__x000D_Myanmar was involved in the WHO's STEPwise approach to NCD risk factor surveillance (STEPS) till 2014 and the data are available. [1] A similar survey has been conducted by the Ministry of Health and Sports (MOHS) as the number of hypertensive cases were mentioned in the Public Health Statistics Report 2017-19. The same report also identified smoking and betel chewing as the most relevant risks regarding cardiovascular diseases. [2] _x000D__x000D_As part of the WHO Package of the Package of Essential Non-communicable Disease Interventions (PEN), a survey was conducted on all patients screens for NCD between May 2017 and December 2018 across 20 townships in Myanmar. [3] While the study surveyed hypertension, the 20 townships do not provide a representative sample for either Yangon or the national level. [3]</t>
  </si>
  <si>
    <t>City-wide data on prevalence of diabetes in Addis Ababa are not available on the websites of the relevant agencies such as Addis Ababa Health Bureau, Ministry of Health, Ethiopian Public Health Institute, WHO Ethiopia office, or Ethiopian diabetes association. [1] [2] [3] [4] [5]</t>
  </si>
  <si>
    <t>Algiers does not have published city-level data on diabetes. [1] Only national-level data were published by the World Bank in 2021. [2]</t>
  </si>
  <si>
    <t>City-level data on diabetes have been collected and/or published in the last 5 years for Atlanta._x000D__x000D_US City Health Dashboard from the NYU Grossman School of Medicine's Department of Population Health, last published data on diabetes in Atlanta in 2021. [1]</t>
  </si>
  <si>
    <t>[1] NYU Grossman School of Medicine's Department of Population Health. Atlanta, GA - Metric Detail | City Health Dashboard [Internet]. New York: NYU Langone Health; 2021 [Accessed April 25th 2024]. Available from: https://www.cityhealthdashboard.com/GA/Atlanta/metric-detail?metricId=6&amp;dataPeriod=2021</t>
  </si>
  <si>
    <t>Data and trends on diabetes form part of the local public policy called Auckland Plan 2050, contributing to one of its key directions entitled "Improving health and wellbeing for all Aucklanders by reducing harm and disparities in opportunities." This theme is also addressed within its action axis focused on enhancing physical activity and mental health in the city. It is noteworthy that despite containing information collected over 5 years ago, this governmental plan was published in 2020. [1]</t>
  </si>
  <si>
    <t>[1] Auckland Plan 2050 three yearly progress report – February 2020. Auckland Council; 2020. [Accessed April 26th 2024]. Available From: https://www.aucklandcouncil.govt.nz/plans-projects-policies-reports-bylaws/our-plans-strategies/auckland-plan/about-the-auckland-plan/threeyearlyprogressreport/auckland-plan-2050-progress-report-february-2020.pdf</t>
  </si>
  <si>
    <t>Thailand's National Health Examination Survey published in 2021 surveyed 2,074 people for fasting blood sugar in Bangkok. The mean mg/dL among both men and women combined in the city was slightly higher than every other region of the country. [1]</t>
  </si>
  <si>
    <t>China Economic Information Service and Meinian Health Industry Holdings Co., Ltd. conducted a survey of the number of diabetes patients across each province in China in 2018-19, which was published in their report "Physical examination big data: diabetes map". This included a value for the city of Beijing, which shows how many patients were examined for diabetes related issues at Meinian health clinics. [1]</t>
  </si>
  <si>
    <t>City-level data on diabetes in Berlin have been collected and published in the last 5 years. Data are from the dataset Diabetes mellitus in Berlin (Berliners only) 1995-2020 by gender and selected indicators, absolute and per 100,000, which is sourced from the Berlin-Brandenburg Statistics Office. [1]</t>
  </si>
  <si>
    <t>There is evidence of data on diabetes at the city-level._x000D_Colombia's National University has conducted a study in Bogotá ( n= 2860 and in 19 locations), from 2022 to 2023, which highlights the percentage of the adult population that has diabetes. [1]</t>
  </si>
  <si>
    <t>[1] Central Statistics Bureau. Health Situation 2019. Budapest: Central Statistics Bureau. [Accessed 26th April 2024]. Available from: https://www.ksh.hu/docs/hun/xftp/idoszaki/pdf/egeszsegugyi_helyzetkep_2019.pdf</t>
  </si>
  <si>
    <t>Cairo does not have published city-level data on diabetes. [1] [2] [3]_x000D_National-level data were published only by the International Diabetes Federation (IDF). [3]</t>
  </si>
  <si>
    <t>No city level data on diabetes have been collected or published in the last 5 years. No data are available under the Directorate of Non-Communicable Diseases under the Ministry of Health. [1] [2] [3] No data were found in the statistics available on Colombo. [4]</t>
  </si>
  <si>
    <t>In the last 5 years, gender-based city level data on diabetes have been published. The National Family Health Survey 2019-21 has categorised and published data on men and women with high blood sugar, very high blood sugar and high blood sugar levels requiring medications to control sugars. However, there are no data on the total percentage of population with diabetes in Delhi. [1] No evidence is found under the Diabetes Foundation India or the Department of Health under the Government of Delhi. [2] [3]</t>
  </si>
  <si>
    <t>The Health Bulletin 2022, published by the Ministry of Health and Family Welfare contains only national-level data on diabetes. [1] No city-level data is available on Dhaka District's web portal, the Ministry of Health and Family Welfare web portal, nor via the Directorate General of Health Services (DGHS) website. [2] [3] [4]</t>
  </si>
  <si>
    <t>The Dubai Health Authority's (DHA) 2019 Household Health Survey (DHHS) includes published city-level data on diabetes. [1]</t>
  </si>
  <si>
    <t>Helsinki has city-level data that were collected and published in the last 5 years on diabetes. The Finnish Institute for Health and Welfare (THL) published the percentage of people entitled to specially reimbursable medicines due to diabetes in Helsinki in 2023. These data exclude people whose diabetes is mild and managed with diet. [1]_x000D__x000D_THL also published diabetes index data for Helsinki in 2021, which show the prevalence of diabetes in the city's population in relation to the entire country. [2]</t>
  </si>
  <si>
    <t>A 2020 survey was carried out among adults aged 18-69 years old in Ho Chi Minh City and reported on the rates of diabetes (8.6%) and pre-diabetes (15.5%).[1] The city's Center for Disease Control published a report which highlights in the first 10 months of 2023 the proportion of diabetes patients in Ho Chi Minh City achieving treatment goals increased. [2]_x000D__x000D_National data on diabetes prevalence from 2021 are also available. [3]</t>
  </si>
  <si>
    <t>The Hong Kong Department of Health collected and published data on diabetes in 2022 as part of its Population Health Survey.[1]</t>
  </si>
  <si>
    <t>Available evidence does not indicate that in Istanbul city-level data on diabetes have been collected and published within the past five years._x000D__x000D_Instead, the evidence indicates that in Turkey data on diabetes are collected, periodically, at the national level. For example, the Turkish Statistical Institute's most recent Turkey Health Survey,for the year 2022, provides national-level data on rates of diabetes in the general population. [1] Such data are also found in the Turkey Nutrition and Health Survey, last conducted in 2017 and in the TURDEP 1 and TURDEP 2 studies (2000-2010). [2] [3] [4] In addition, data on diabetes prevalence are collected by the national electronic health records system, and a national diabetes registry exists, whose data are accessible primarily by the Ministry of Health. [5] [6]</t>
  </si>
  <si>
    <t>The most recently available data are on diabetes prevalence in Sindh district (of which Karachi is the capital) from a 2017 survey published in collaboration with Baqai Medical University, Karachi. [1] No city-level data are available through the Diabetic Association of Pakistan (DAP), Health Department, Government of Sindh, or Karachi Metropolitan Corporation website. [2] [3] [4]</t>
  </si>
  <si>
    <t>There is no evidence of the publication of city-level data on diabetes. The web portals of Kathmandu Metropolitan City and the Ministry of Health and Population do not have data published at city-level. [1] [2]_x000D__x000D_Information exists at the national level. The STEPS survey (Noncommunicable Disease Risk Factors: STEPS Survey Nepal 2019) has collected data on the prevalence of Diabetes at the national level, and disaggregated by sex, age, household wealth, and province. However, there are no data specific to Kathmandu or any other city. [3]_x000D__x000D_National level data can also be found at the International Diabetes Federation web portal; however, there are no city-level data. [4]_x000D__x000D_Nepal Diabetic Society also does not have city-level data on diabetes. [5]</t>
  </si>
  <si>
    <t>In the last 5 years no city-level data on diabetes have been collected or published. No data were found under the city government website, the National Family Health survey 2019-21, the Diabetes Foundation India websites or the Diabetes Research and Welfare Association websites. [1] [2] [3] [4]</t>
  </si>
  <si>
    <t>The World Bank shows the prevalence of diabetes in Kuwait for those between the ages 20-79. [1]_x000D__x000D_No city-specific data are available on poverty in Kuwait city with the Central Statistical Bureau [2]</t>
  </si>
  <si>
    <t>Lagos did not have data on diabetes collected and/or published in the last 5 years. No evidence was found on the websites of the city's government, Lagos Ministry of Health and National Bureau of Statistics. [1] [2] [3]</t>
  </si>
  <si>
    <t>According to the British Diabetic Association, analysis shows the number of people diagnosed with diabetes in London in 2021; the highest rate is in Harrow and the lowest in Hammersmith and Fulham. [1]</t>
  </si>
  <si>
    <t>[1] Diabetes UK. Diabetes hits almost 600,000 in London. London: The British Diabetic Association; 2021. Available from: https://www.diabetes.org.uk/in_your_area/london/london-region-news-/prevalance#:~:text=New%20analysis%20shows%20that%20the,Hammersmith%20and%20Fulham%20with%203.6%25</t>
  </si>
  <si>
    <t>Available evidence indicates that in Madrid, city-level data on diabetes have been published in the last five years. _x000D__x000D_The Community of Madrid states that in 2021, it "monitored more than 400,000 patients with diabetes in health centres in the region." [1] However, the figures it provides (e.g., 9.3% of the Madrid population aged 30 to 74) and cites as "the most recent data" to indicate prevalence of the condition, date from 2015. [2] _x000D__x000D_By law, the Community of Madrid is obligated to conduct various types of surveillance and monitoring activities related to the health of the resident population. To that end, the Community's health service, known as Health Madrid (Salud Madrid), operates an online Observatory of Results, which provides a large number of data-driven indicators in four categories of health: general population; primary care, hospitals and ambulance services. However, the Observatory's latest data on diabetes measure rates of mortality and prevalence of care coverage, rather than prevalence of the condition. [3]</t>
  </si>
  <si>
    <t>No data on diabetes in Manila were identified on the websites of the Philippine Statistics Authority, the Philippine Department of Health, or the Manila Health Department. [1] [2] [3]</t>
  </si>
  <si>
    <t>The City of Melbourne Health and Wellbeing Profile – 2022 Mid-point Review provided data on the proportion of residents diagnosed with diabetes in 2021. [1]</t>
  </si>
  <si>
    <t>City-level data on diabetes have been collected and/or published in the last 5 years for Mexico City._x000D__x000D_The National Institute of Public Health published the percentage of the population with diabetes in Mexico City in 2020. [1]</t>
  </si>
  <si>
    <t>No city-specific data were identified on the proportion of the Moscow population suffering from diabetes, however there are data on the proportion of those who died from health complications due to diabetes conducted by the Department of the Federal Service of State Statistics for Moscow and the Moscow Region in 2020. [1]</t>
  </si>
  <si>
    <t>In the last 5 years no city-level data on diabetes have been collected or published. No data was found under the Mumbai city government websites, the National Family Health survey 2019-2021 or the Diabetes Foundation India websites. [1] [2] [3] [4] India Diabetes Study carried out in 2011 by the Indian Council of Medical Research covers Maharashtra State but there is no Mumbai city-level data and there is no evidence of a more recent study. [5]</t>
  </si>
  <si>
    <t>No city-level data on diabetes in Nairobi have been collected and/or published in the past 5 years. [1] [2] Surveys from 2013 and 2018 reported the prevalence of type 2 diabetes in low-income urban communities in Nairobi. [3]</t>
  </si>
  <si>
    <t>There is evidence of data collection on diabetes. _x000D__x000D_New York City is made up of five boroughs. Each borough is a county in New York State. Thus, the counties that compose NYC are: The Bronx, Kings, New York, Queens and Richmond. [1] The New York State Department of Health publishes data on the prevalence of diabetes by county. The latest published document is from 2023 which takes into account diabetes data from the NYS Behavioral Risk Factor Surveillance System (2021). [2]</t>
  </si>
  <si>
    <t>Materials summarising the results within Osaka Prefecture of the "National Health and Nutrition Survey 2019", which is conducted annually by the government under the Health Promotion Law (Law No. 103 of 2002), includes the percentage of individuals (adults aged 20 and over) strongly suspected of having diabetes (those with a Haemoglobin A1c (NGSP) level of 6.5% or higher, or those who responded that they are currently undergoing diabetes treatment). [1]</t>
  </si>
  <si>
    <t>[1] Osaka Prefecture. The health and nutritional status of the residents of Osaka Prefecture. Osaka: Health and Medical Dept. Osaka Prefectural Government, March 2022. Available from: https://www.pref.osaka.lg.jp/attach/142/00283806/H30fuminnokenkoujyoukyou%20.pdf P36</t>
  </si>
  <si>
    <t>Available evidence does not indicate that city-level data on the prevalence of diabetes in Paris have been collected in the last five years. Such data are published at the national and regional levels from national insurance system records. [1]_x000D__x000D_However, the Regional Health Agency of the Île-de-France indicated in November 2023 that Île-de-France is the third most affected metropolitan region in the country, with around 660,000 residents under treatment for diabetes. While it noted the rate of prevalence, it did not provide a date or cite a source for the figure. [2] _x000D__x000D_The French Federation of Diabetics cites the latest available figures from L'Assurance Maladie (Ameli) the national insurance agency, to note the prevalence rate in the Île-de-France in 2021. [3]</t>
  </si>
  <si>
    <t>There is some evidence of recent city-level data on diabetes for Phnom Penh._x000D_No data could be found in the National Multisectoral Action Plan for the Prevention and Control of Noncommunicable Diseases 2018 - 2027, the Health Strategic Plan 2016-2020, the Demographic and Health Survey 2021-22, or the Food and Nutrition Security Trend Analysis Report. [1] [2] [3] [4] However, the patient information centre MoPoTsyo does in its annual reports provide some data, e.g. on insulin provision or on medical services offered in the city, but not comprehensively, and it does not explicitly address diabetes prevalence, diagnosis or risk factors. [5]</t>
  </si>
  <si>
    <t>No city-specific data on diabetes in Riyadh were available on the websites of the General Authority for Statistics or the Ministry of Health in the last five years. [1] [2]</t>
  </si>
  <si>
    <t>Available evidence does not indicate that city-level data on diabetes in Rome have been collected and/or published in the last 5 years. Such data are available at the regional level, reflecting the structure of Italy's healthcare system._x000D__x000D_Italy's National Institute of Health (Istituto Superiore di Sanità--ISS) operates a health surveillance system known as the PASSI (Progressi delle Aziende Sanitarie per la Salute in Italia) system. It monitors around two dozen different health-related conditions or habitual behaviours. The resulting data are published by region. PASSI notes that during the 2021-22 period 4.9% of the residents of Lazio aged between 18 and 69 years had diabetes. [1]</t>
  </si>
  <si>
    <t>City-level data on diabetes have been collected and/or published in the last 5 years for San Francisco._x000D__x000D_San Francisco had collected an estimate of adults reporting having diabetes in 2021, according to the US City Health Dashboard from the NYU Grossman School of Medicine's Department of Population Health published data on diabetes in San Francisco in 2021. [1]</t>
  </si>
  <si>
    <t>[1] NYU Grossman School of Medicine's Department of Population Health. Atlanta, GA - Metric Detail | City Health Dashboard [Internet]. New York: NYU Langone Health; 2021. [Accessed April 25th 2024]. Available from: https://www.cityhealthdashboard.com/CA/San%20Francisco/metric-detail?metricId=6&amp;dataPeriod=2021</t>
  </si>
  <si>
    <t>São Paulo does not have an updated survey on diabetes. _x000D__x000D_According to the 2015 Health Survey (ISA), 7.5% of the population of São Paulo has already developed the disease, mainly women over 60 years old, widows, and those with a low level of education. [1]</t>
  </si>
  <si>
    <t>[1] SMD. Diabetes affects 7.5% of the adult population in the city of São Paulo. São Paulo: Secretaria Municipal de Saúde; 2018. Available from: https://www.prefeitura.sp.gov.br/cidade/secretarias/saude/noticias/?p=267420#:~:text=No%20munic%C3%ADpio%20de%20S%C3%A3o%20Paulo,Multidisciplinar%20de%20Atendimento%20ao%20Diabetes.</t>
  </si>
  <si>
    <t>[1] Seoul Metropolitan Government. Ratio of People Diagnosed With Diabetes. Seoul: Seoul Metropolitan Government; January 2022. Available from: https://data.seoul.go.kr/dataList/10695/S/2/datasetView.do#</t>
  </si>
  <si>
    <t>China Economic Information Service and Meinian Health Industry Holdings Co., Ltd. conducted a survey of the number of diabetes patients across each province in China from 2018-19, which was published in their report "Physical examination big data: diabetes map". [1] This included a value for the city of Shanghai, which shows how many patients were examined for diabetes related issues at Meinian clinics.</t>
  </si>
  <si>
    <t>There is evidence of data on diabetes in Singapore._x000D__x000D_The International Diabetes Federation has published diabetes cases concerning the adult population data in the city-state for the year 2021. [1]</t>
  </si>
  <si>
    <t>The Australian Bureau of Statistics makes city-level data on diabetes (excluding gestational diabetes) available from the 2021 Census. [1]</t>
  </si>
  <si>
    <t>The National Health and Nutrition Survey of the Tokyo Metropolitan Government includes data on diabetes, including the percentage of individuals (adult aged 20 and over) who _x000D_strongly suspected of having diabetes (those with a Haemoglobin A1c (NGSP) level of 6.5% or higher, or those who responded that they are currently undergoing diabetes treatment). These data were last published in 2022. [1]</t>
  </si>
  <si>
    <t>Toronto does collect data on diabetes. _x000D__x000D_Toronto's Population Health Profile, a report that highlights the important role that local public health has, considers the age-standardised prevalence of diabetes among Toronto adults (20+) (rate per 100,000) in 2020. [1]</t>
  </si>
  <si>
    <t>The General Health Report Vienna: Reporting period 2015-23 measured the percentage of men and women diagnosed with diabetes. The most recent data were collected in 2019. [1]</t>
  </si>
  <si>
    <t>There is evidence of survey data concerning diabetes prevalence in Wuhan being collected at a local level. In the Wuhan Economic and Technological Development District of Wuhan, the local health authorities conducted their own survey on chronic diseases prevalence; the prevalence rate for diabetes was 8.53% among respondents. [1] This is not city-wide data, however.</t>
  </si>
  <si>
    <t>The Public Health Statistics 2017-19 published by the Ministry of Health and Sports has data for Yangon Region in 2019. The report contains data on the number of diabetes cases, both previously known and newly identified, that sought medical care from primary care facilities, categorised by individual states and broader geographic regions including Yangon. [1]</t>
  </si>
  <si>
    <t>[1] Ministry of Health and Sports. Public Health Statistics 2017-2019. Naypyidaw: Ministry of Health and Sports. September 2021. [Accessed 29th April 2024]. Available from: https://mohs.gov.mm/ckfinder/connector?command=Proxy&amp;lang=en&amp;type=Main&amp;currentFolder=%2FNews%2FNews_2021%2FOct_2021(B)%2F&amp;hash=a6a1c319429b7abc0a8e21dc137ab33930842cf5&amp;fileName=Public%20Health%20Statistics%20Report%202017-2019%20(22%20Sep%202021).pdf</t>
  </si>
  <si>
    <t>A report published in 2021 provides the obesity/overweight ratio in Addis Ababa and indicates a strong increase over the past decade. [1] However, the data were collected from 2000 through 2016, but the report was first published in September 2021.</t>
  </si>
  <si>
    <t>[1] Ethiopian Public Health Institute (EPHI)/National Information Platforms for Nutrition (NIPN) (2021). The Rise in Overweight, Obesity and Nutrition Related Non-Communicable Diseases in Ethiopia: A Call for Action. [Accessed 25th April 2024]. Available from: https://www.nipn.ephi.gov.et/sites/default/files/2021-10/NCD_Policy_Brief_NIPN_September_2021_3.pdf</t>
  </si>
  <si>
    <t>Algiers does not have published city-level data on obesity. [1] Only national-level data were published by Global Nutrition Report, a non-profit organisation that performs assessment of the state of global nutrition. [2]</t>
  </si>
  <si>
    <t>City-level data on obesity have been collected and/or published in the last 5 years for Atlanta._x000D__x000D_US City Health Dashboard from the NYU Grossman School of Medicine's Department of Population Health last published data on obesity in Atlanta in 2021. [1]</t>
  </si>
  <si>
    <t>[1] NYU Grossman School of Medicine's Department of Population Health. Atlanta, GA - Metric Detail | City Health Dashboard [Internet]. New York: NYU Langone Health; 2021. [Accessed April 25th 2024]. Available from: https://www.cityhealthdashboard.com/GA/Atlanta/metric-detail?metricId=17&amp;dataPeriod=2021</t>
  </si>
  <si>
    <t>Information regarding obesity is available in the technical documentation of the Auckland Plan 2050, raising awareness and proposing strategies to tackle this scenario. Published in 2020, the plan acknowledges obesity as a nationwide concern in New Zealand, with obesity rates in Auckland showing a consistent upward trend among adults and children aged 14 and under. [1]</t>
  </si>
  <si>
    <t>Thailand's National Health Examination Survey published in 2021 surveyed 2,654 people over the age of 15 for obesity in Bangkok city. The survey measured body mass index among men and women and lists averages on page 171. The internationally accepted threshold for obesity is BMI ≥ 30 kg/m². [1] [2]</t>
  </si>
  <si>
    <t>_x000D_The "Chinese Resident Nutrition and Chronic Disease Survey Report (2020)", reports on Beijing's obesity rate among adults. [1]</t>
  </si>
  <si>
    <t>City-level data on obesity in Berlin have been collected and published in the last 5 years. Data are from the 2022 report Overweight and Obesity in Berlin published by the Senate Department for Health, Care and Equality from data collected in 2019/2020. [1]</t>
  </si>
  <si>
    <t>There is evidence of data on obesity at the city-level. _x000D__x000D_The Council of Bogotá has published the obesity scenario in the city on its website. The latest data from 2021 reveal the percentage of citizens between 18 to 64 years old that were overweight (which includes overweight and obesity cases). [1]</t>
  </si>
  <si>
    <t>[1] Central Statistics Bureau. Health Situation 2019. Budapest: Central Statistics Bureau. [Accessed 26 April 2024]. Available from: https://www.ksh.hu/docs/hun/xftp/idoszaki/pdf/egeszsegugyi_helyzetkep_2019.pdf</t>
  </si>
  <si>
    <t>There is some evidence that city-level data on obesity in Cairo have been collected and published. However, a document published by the American University of Cairo (AUC) in 2021 provides the obesity rate in Cairo. [3]_x000D__x000D_In addition, national-level data were published by Global Nutrition Report, a non-profit organisation that performs assessment of the state of global nutrition. [1] [2] [4]</t>
  </si>
  <si>
    <t>City-level data on obesity in Colombo were published by the Directorate of Non-Communicable Diseases in 2020 and the Directorate of Non-Communicable Diseases in 2021. [1] [2]</t>
  </si>
  <si>
    <t>In the last 5 years, gender-based city-level data on obesity have been published. The National Family Health Survey 2019-2021 has published data on men and women who are obese or have high BMI, and also data on men and women who have high waist-to-hip ratio. The data show the percentage of women and men who are overweight or obese. But there is no data on the total percentage of population with obesity. [1] No data are found under the Department of Health under the Government of Delhi. [2]</t>
  </si>
  <si>
    <t>The Health Bulletin 2022, published by the Ministry of Health and Family Welfare contains only national-level data on obesity. [1] No city-level data are available on Dhaka District's web portal, the Ministry of Health and Family Welfare web portal, nor via the Directorate General of Health Services (DGHS) website. [2] [3] [4]</t>
  </si>
  <si>
    <t>The Dubai Health Authority's (DHA) 2019 Household Health Survey (DHHS) includes published city-level data on obesity. [1]</t>
  </si>
  <si>
    <t>Helsinki has city-level data that were collected and published in the last 5 years on obesity. The Finnish Institute for Health and Welfare (THL) published data on the percentage of obese people in Helsinki in 2023. [1]</t>
  </si>
  <si>
    <t>[1] Sotkanet. Proportion of obese people (body mass index BMI ≥ 30 kg/m2) (%). Helsinki: THL. [Accessed 27th April 2024]. Available from: https://sotkanet.fi/sotkanet/fi/taulukko/?indicator=s440tdb1DbMOL7M20jOMNza01jWy1s1KstY1iTeyNsm31gXKm2SCuQA=&amp;region=8zaytqwEAA==&amp;year=sy5zsTbS0zUEAA==&amp;gender=t&amp;abs=f&amp;color=f&amp;buildVersion=3.1.1&amp;buildTimestamp=202309010633</t>
  </si>
  <si>
    <t>The Department of Education and Training of Ho Chi Minh City has published a report which highlights the number of obese students [1]._x000D__x000D_A report from the People's Committee of Ho Chi Minh City also reported the rates of overweight and obesity in children and adults in the city. [2]</t>
  </si>
  <si>
    <t>The Hong Kong Department of Health collected and published data on obesity in 2022 as part of its Population Health Survey. [1]</t>
  </si>
  <si>
    <t>[1] Centre for Health Protection. Obesity. Hong Kong. Centre for Health Protection. 2023. Available from: https://www.chp.gov.hk/en/healthtopics/content/25/8802.html</t>
  </si>
  <si>
    <t>Available evidence indicates that in Istanbul city-level data on obesity have been collected and published within the past five years._x000D__x000D_While the Turkish Statistical Institute's most recent Turkey Health Survey,for the year 2022, provides only national-level data on obesity rates in the general population, at least one important national study on health breaks down data by region. [1] For example, the Turkey Nutrition and Health Survey (TBSA), last conducted in 2017 by the Ministry of Health, has data on obesity levels in key regions of the country including Istanbul. [2] _x000D__x000D_A more recent city-level study, specifically on obesity, was conducted by the Istanbul Metropolitan Municipality Health Department in January-February 2021, with the support of numerous stakeholders including the Consulate of Denmark. Part of a municipal project called Cities Changing Obesity: Istanbul (which aims to reduce obesity levels in the resident population), the study was conducted online, with both adults in the 18-64 age group and mothers with children aged 3-18, during the Covid-19 pandemic using the CAWI (Computer Assisted Web Interviewing) method. The published report on the study includes numerous data points. [3]</t>
  </si>
  <si>
    <t>Johannesburg did not have city-level data on obesity collected in the last 5 years. No data were found on the websites of the City of Johannesburg, the province of Gauteng and national government. [1] [2] [3]</t>
  </si>
  <si>
    <t>The most recent available data on obesity for Sindh province (of which Karachi is the capital) is from a 2015 report by Pakistan Institute of Development Economics. [1] No city-level data for Karachi are available through the Health Department, Government of Sindh, or Karachi Metropolitan Corporation website. [2] [3]</t>
  </si>
  <si>
    <t>There is no evidence of the publication of city-level data on obesity. The web portals of Kathmandu Metropolitan City, and the Ministry of Health and Population do not have data published at city-level. [1] [2]_x000D__x000D_Information exists at the national level. The STEPS survey (Noncommunicable Disease Risk Factors: STEPS Survey Nepal 2019) has collected data on the prevalence of obesity at the national level, and disaggregated by sex, age, household wealth, and province. However, there are no data specific to Kathmandu or any other city. [3]_x000D__x000D_National level data can also be found in Global Obesity Observatory web portal; however, there are no city-level data. [4]</t>
  </si>
  <si>
    <t>There are recent data available for obesity among women aged 15-49 years and children below 5 years in Kolkata city. However, there are no data on men of the same group. According to the International Food Policy Research Institute, in 2020, among women aged 15-49, obesity was noted to be 29% while among children below 5 years, in the same year, it was 6%. [1] [2] No further evidence is seen under the city government website. [3]</t>
  </si>
  <si>
    <t>There is some evidence that city-specific data is available on obesity in Kuwait city. There are reports from 2023 that refer to Ministry of Health sources that state the rate of obesity. [4] _x000D_No information was available from the Central Statistical Bureau or in the databases of international organisations (the World Bank and World Health Organization). [1] [2] [3]</t>
  </si>
  <si>
    <t>There is some evidence that data on obesity have been collected and/or published in the last 5 years. The latest city-level data available on obesity is given by the 2018 Demographic and Health Survey and published in October 2019, but it covers obesity only among women. [1]</t>
  </si>
  <si>
    <t>[1] National Population Commission. 2018 Demographic and Health Survey. Abuja: National Population Commission, 2019. Available from: https://www.dhsprogram.com/pubs/pdf/FR359/FR359.pdf</t>
  </si>
  <si>
    <t>Based on the Obesity Profile, a statistical commentary created by the UK government, adults aged 18+ were classified as obese from 2021/2022. The Obesity Profile includes England-level data on inequalities for these indicators, displaying data by index of multiple deprivation decile, ethnic group, working status, disability, level of education, socioeconomic class, age, and sex. [1]</t>
  </si>
  <si>
    <t>[1] Obesity Profile. London: Office for Health Improvement &amp; Disparities; 2024. Available from: https://fingertips.phe.org.uk/profile/national-child-measurement-programme/data#page/1/gid/1938133368/pat/15/ati/6/are/E12000007/iid/93881/age/168/sex/4/cat/-1/ctp/-1/yrr/1/cid/4/tbm/1/page-options/car-do-0</t>
  </si>
  <si>
    <t>Available evidence indicates that in Madrid city-level data on obesity have been collected and published in the last five years._x000D__x000D_By law, the Community of Madrid is obligated to conduct various types of surveillance and monitoring activities related to the health of the resident population. To that end, the Community's health service, known as Health Madrid (Salud Madrid), operates an online Observatory of Results, which provides a large number of data-driven indicators in four categories of health: general population; primary care, hospitals and ambulance services. The Observatory's latest data are from 2021 and indicate the prevalence of overweight and obesity among adults aged 18 to 64 in the Community of Madrid. [1]</t>
  </si>
  <si>
    <t>_x000D_There is evidence that city-level data on obesity have been collected and published in the Philippines. [1] _x000D__x000D_The Food and Nutrition Research Institute (FNRI) of the Department of Science and Technology collects and publishes data on obesity in the Philippines, including at the municipal and city levels. However, the data are currently unavailable on the FNRI website and requires a user account to access. [2]</t>
  </si>
  <si>
    <t>The City of Melbourne Health and Wellbeing Profile – 2022 Mid-point Review provided data on the proportion of residents considered obese in 2020. [1]</t>
  </si>
  <si>
    <t>City-level data on obesity have not been collected or published in the last 5 years for Mexico City._x000D__x000D_There are only outdated data available (2018) from the National Health and Nutrition Survey (ENSANUT) 2018. [1]</t>
  </si>
  <si>
    <t>[1] Instituto Nacional de Estadística y Geografía . Estadísticas A Propósito Del Día Mundial Contra La Obesidad (12 De Noviembre) [Statistics Regarding World Day Against Obesity (November 12)]. Ciudad de México: INEGI; 2020. [Accessed April 26th 2024]. Available from: https://www.inegi.org.mx/contenidos/saladeprensa/aproposito/2020/EAP_Obesidad20.pdf</t>
  </si>
  <si>
    <t>In the last 5 years, no city-level data on obesity have been collected or published. No data were found under the Mumbai city government websites, the National Family Health Survey 2019-2021 or the National Institute of Nutrition under the Indian Council for Medical Research. [1] [2] [3] [4] The National Institute of Nutrition published the Urban Nutrition Report and correlation with NCDs like Hypertension, Diabetes Dyslipidemia and Obesity in 2017. This report includes data on Maharashtra state, but there are no Mumbai city-level data. There are no recent studies under their website. [5]</t>
  </si>
  <si>
    <t>According to the World Health Organization (WHO) Kenya STEPwise Survey 2015, the prevalence of overweight or obesity in Nairobi was 37.77%. [1] No city-level data on obesity have been collected and/or published in the past 5 years. [2] [3]</t>
  </si>
  <si>
    <t>There is evidence of data on obesity._x000D__x000D_New York City is made up of five boroughs. Each borough is a county in New York State. Thus, the counties that compose NYC are: The Bronx, Kings, New York, Queens and Richmond. [1] The New York State Department of Health publishes data on the prevalence of obesity by county. The latest published document is from 2023 which takes into account obesity data from the NYS Behavioral Risk Factor Surveillance System (2021). [2]</t>
  </si>
  <si>
    <t>Materials summarising the results within Osaka Prefecture of the "National Health and Nutrition Survey 2019", which is conducted annually by the government under the Health Promotion Law (Law No. 103 of 2002), include the percentage of individuals (adults aged 20 and over) with a BMI (Body Mass Index) of 25 or higher. [1]</t>
  </si>
  <si>
    <t>[1] Osaka Prefecture. The health and nutritional status of the residents of Osaka Prefecture. Osaka: Health and Medical Dept. Osaka Prefectural Government, March 2022. Available from: https://www.pref.osaka.lg.jp/attach/142/00283806/H30fuminnokenkoujyoukyou%20.pdf P34</t>
  </si>
  <si>
    <t>Available evidence does not indicate that city-level data on the prevalence of obesity in Paris have been collected and published in the last five years. _x000D__x000D_Santé publique France (Public Health France, the French national public health agency) cites old data (from 2013) on the prevalence of obesity nationwide and does not provide a breakdown of figures by region. [1] _x000D__x000D_The Regional Health Agency of the Île-de-France stated in a policy white paper in May 2023 that the prevalence of obesity among adults in the region was 14.2% in 2020. Evidence suggests the data were drawn from the 2020 Obepi-Roche Study undertaken by the "Ligue Contre l'Obésité" a French volunteer organisation. [2]_x000D__x000D_L'Assurance Maladie (Ameli) the national insurance agency, also cites the aforementioned study in its March 2023 online article on obesity and overweight. [3]</t>
  </si>
  <si>
    <t>[1] DHS Program. Cambodia: Demographic and Health Survey 2021-22. Phnom Penh: DHS Program. [Accessed 24th April 2024]. Available from: https://www.dhsprogram.com/pubs/pdf/FR377/FR377.pdf</t>
  </si>
  <si>
    <t>A nationwide study on obesity was conducted in the Healthcare journal in 2020 in which 4,709 people participated, including respondents specifically from Riyadh. [1] _x000D__x000D_No city-specific data were available on the websites of the General Authority for Statistics or the Ministry of Health in the last five years. [2][3]</t>
  </si>
  <si>
    <t>Available evidence does not indicate that city-level data on obesity in Rome have been collected and/or published in the last 5 years. Such data are available at the regional level, reflecting the structure of Italy's healthcare system._x000D__x000D_Italy's National Institute of Health (Istituto Superiore di Sanità--ISS) operates a health surveillance system known as the PASSI (Progressi delle Aziende Sanitarie per la Salute in Italia) system. It monitors around two dozen different health-related conditions or habitual behaviours. The resulting data are published by region. PASSI notes that during the 2021-2022 period 31.7% of adult residents of Lazio were overweight and 9.8% obese. [1]</t>
  </si>
  <si>
    <t>City-level data on obesity have been collected and/or published in the last 5 years for San Francisco._x000D__x000D_San Francisco considered adults that report a BMI ≥30 kg/m2 in 2021, according to the US City Health Dashboard from the NYU Grossman School of Medicine's Department of Population Health, published data on obesity in San Francisco in 2021. [1]</t>
  </si>
  <si>
    <t>[1] NYU Grossman School of Medicine's Department of Population Health. Atlanta, GA - Metric Detail | City Health Dashboard [Internet]. New York: NYU Langone Health; 2021 [Accessed 2024 Apr 25]. Available from: https://www.cityhealthdashboard.com/CA/San%20Francisco/metric-detail?metricId=17&amp;dataPeriod=2021</t>
  </si>
  <si>
    <t>Säo Paulo does collect data on obesity. _x000D__x000D_According to the Vigitel survey (2021) from the Health Surveillance Secretariat (SVS) of the Ministry of Health, obesity affects the city. [1]</t>
  </si>
  <si>
    <t>[1] SMS. Date alert for obesity prevention. São Paulo: Secretaria Municipal de Saúde; 2023. Available from: https://www.prefeitura.sp.gov.br/cidade/secretarias/saude/noticias/?p=355813#:~:text=Na%20cidade%20de%20S%C3%A3o%20Paulo,10%2C2%25%20nos%20homens.</t>
  </si>
  <si>
    <t>City-level data on obesity are available from the Korea Community Health Survey conducted annually by the Korea Disease Control and Prevention Agency to show the prevalence of obesity based on the body mass index (BMI). The latest data were released in March 2024. [1]</t>
  </si>
  <si>
    <t>[1] Korea Disease Control and Prevention Agency. Korea Community Health Survey. Seoul: Korea Disease Control and Prevention Agency; January 2022. Available from: https://data.seoul.go.kr/dataList/23/S/2/datasetView.do#</t>
  </si>
  <si>
    <t>The Shanghai Municipal Health Committee includes childhood obesity as part of its annual health statistics, but does not give any data for city-wide adult obesity. [1]</t>
  </si>
  <si>
    <t>[1] Shanghai Municipal Health Committee. Shanghai health statistics in 2022 [2022年上海市卫生健康统计数据]. Shanghai: Shanghai Municipal Health Committee, 10 July 2023. Available from: https://wsjkw.sh.gov.cn/tjsj2/20230710/af03f208cc304151a07aa9c679e5aae6.html</t>
  </si>
  <si>
    <t>There is evidence of data on obesity in the city-state._x000D__x000D_The National Population Health Survey 2022 tracks the health, risk factors and lifestyle of the population between 18 to 74 years old. One of the variables analysed is the prevalence of obesity in Singapore residents [1].</t>
  </si>
  <si>
    <t>The NSW Population Health Survey collects yearly data on obesity. City-level data are available for "Overweight and obesity attributable deaths" and "Overweight and obesity attributable hospitalisations". The latest survey is from 2023. [1]</t>
  </si>
  <si>
    <t>The National Health and Nutrition Survey of the Tokyo Metropolitan Government includes data on obesity including the percentage of individuals (adults aged 20 and over) with a BMI (Body Mass Index) of 25 or higher. These data were last published in 2022. [1]_x000D_"</t>
  </si>
  <si>
    <t>Toronto does collect data on obesity. _x000D__x000D_According to Toronto's Population Health Profile, a report that highlights the important role of local public health, adults (18+) who were overweight or obese in 2021 were considered in this research. [1]</t>
  </si>
  <si>
    <t>The General Health Report Vienna: Reporting period 2015-23 measured the percentage of the population with obesity. The most recent data were collected in 2022. [1]</t>
  </si>
  <si>
    <t>There is evidence of survey data concerning obesity prevalence in Wuhan being collected at a local level. In the Wuhan Economic and Technological Development District of Wuhan, the local health authorities conducted their own survey on chronic diseases prevalence; the prevalence rate for obesity was 8.03% among respondents. [1] This is not city-wide data, however.</t>
  </si>
  <si>
    <t>[1] Wuhan Economic and Technological Development District of Wuhan. Wuhan Economic Development Zone 2021 Status Report on Chronic Diseases and Social Influencing Factors (Abstract)[武汉经开区2021年慢性病及社会影响因素状况报告（摘要）]. Wuhan: Wuhan Economic and Technological Development District of Wuhan, 3 December 2021. Available from: https://www.whkfq.gov.cn/xxgk/fdzdgk/tzgg/202112/t20211203_1866168.html</t>
  </si>
  <si>
    <t>No data on obesity at the city level for Yangon are available. [1] [2] [3]_x000D__x000D_A national survey conducted in 2014 included the percentage of the population that was overweight and obese under the WHO standard. [4]</t>
  </si>
  <si>
    <t>City-level data on high blood cholesterol levels is not available on the websites of the Addis Ababa Health Bureau, Ministry of Health, Ethiopian Public Health Institute, WHO Ethiopia office, or Ethiopian Diabetes Association. [1] [2] [3] [4] [5]</t>
  </si>
  <si>
    <t>City-level data on high cholesterol have been collected and/or published in the last 5 years for Atlanta._x000D__x000D_The last summary sheet on high cholesterol from the Georgia Department of Public Health is from 2005. [1] However, the US City Health Dashboard from the NYU Grossman School of Medicine's Department of Population Health last published data on high blood pressure in Atlanta in 2021.[2]</t>
  </si>
  <si>
    <t>The Ministry of Health in New Zealand conducts the New Zealand Health Survey, which provides data on various health indicators, including ones related to high cholesterol rates. However, it contains only national-level data, which is analysed on the Figure NZ web portal utilising the health survey information from 2023. [1]</t>
  </si>
  <si>
    <t>[1] New Zealand adults diagnosed with high cholesterol and taking medication. Figure NZ; 2023. [Accessed May 6th 2024]. Available from: https://figure.nz/chart/MZK3hLTkW1XjQEK8-AQjEhAQptsid0JVT</t>
  </si>
  <si>
    <t>Thailand's National Health Examination Survey published in 2021 surveyed 2,749 people over the age of 15 in Bangkok for cholesterol. [1]</t>
  </si>
  <si>
    <t>[1] Thailand National Health Examination Survey 2019-20. Ministry of Public Health. Bangkok; 2021. Available from: https://www.rama.mahidol.ac.th/commed/th/news/announcement/11062021-1038-th</t>
  </si>
  <si>
    <t>There are no statistics for Beijing in the last five years concerning cholesterol rates across the city from the Beijing Municipal Health Big Data and Policy Research Centre or the Beijing Institute of Hospital Management. [1]</t>
  </si>
  <si>
    <t>[1] Beijing Municipal Health Big Data and Policy Research Centre and Beijing Institute of Hospital Management. Statistical Data [統計數據]. Beijing: Beijing Municipal Health Big Data and Policy Research Centre and Beijing Institute of Hospital Management. [Accessed 29th April 2024]. Available from: http://www.phic.org.cn/qjjs/?key=胆固醇.</t>
  </si>
  <si>
    <t>There is insufficient evidence that Berlin collects data on high cholesterol. Research of the Berlin-Brandenburg Statistics Office databases and the Health and Social Information System (GSI) of Berlin did not identify any relevant data. [1] [2]</t>
  </si>
  <si>
    <t>There is no evidence of data on cholesterol at the city-level._x000D_According to the "Spectrum of the dyslipidemia in Colombia: The PURE study", in Colombia, there is no large-scale study that assesses dyslipidemia among the population. [1] Furthermore, no city level data were found. The only pieces of evidence concern the cholesterol in people with diabetes and the percentage of dyslipidemia cases in Bogotá, but the evidence is from 2010. [2] [3]</t>
  </si>
  <si>
    <t>City-level data on cholesterol levels were not found within the last five years on the websites of the Central Statistics Bureau, City of Budapest or the Hungarian Government. [1] [2] [3]</t>
  </si>
  <si>
    <t>Cairo does not have published city-level data on high cholesterol. [1] [2]_x000D_According to a 2021 study, 37% of the Egyptian population has elevated blood cholesterol levels. [3]</t>
  </si>
  <si>
    <t>In the last 5 years city-level data on high cholesterol have not been collected or published. No evidence is seen in the NCD statistics on Colombo under the Directorate of Non-Communicable diseases, the Annual Report 2019 or the Quarterly NCD Report under the Directorate of Non-Communicable Diseases, or in the Colombo Statistics under the Department of Census and Statistics. [1] [2] [3] [4]</t>
  </si>
  <si>
    <t>In the last 5 years, no city-level data on high cholesterol in Delhi have been published. There are no data on high cholesterol in the National Family Health Survey 2019-2021. [1] The National Institute of Nutrition under the Indian Council of Medical Research in Hyderabad published the Urban Nutrition Report and correlation with NCDs like Hypertension, Diabetes and Dyslipidemia in 2017. There are no recent reports on the Council's website. [2] [3]</t>
  </si>
  <si>
    <t>No city-level data are available on raised blood in the Health Bulletin 2022, published by the Ministry of Health and Family Welfare, or on Dhaka District's web portal, the Ministry of Health and Family Welfare web portal, orthe Directorate General of Health Services (DGHS) website. [1] [2] [3] [4]</t>
  </si>
  <si>
    <t>[1] DHA. Search Results for "High Cholesterol". Dubai: DHA. [Accessed 25th April 2024]. Available from: https://dha.gov.ae/en/site/search?searchTerm=high+cholesterol&amp;category=all.</t>
  </si>
  <si>
    <t>Helsinki has city-level data that were collected and published in the last 5 years on high cholesterol._x000D__x000D_The City of Helsinki published data on the percentage of those with self-reported elevated blood cholesterol in Helsinki in 2021. [1]</t>
  </si>
  <si>
    <t>[1] City Data. Capital region well-being survey. Helsinki: City of Helsinki. [Accessed 27th April 2024]. Available from: https://pkskysely.kaupunkitieto.fi/sites/default/files/PKShyvinvointikysely2021_indikaattorit.xlsx</t>
  </si>
  <si>
    <t>There is no city level data, only national data: According to statistics from the Vietnam Medical Association, in Vietnam, nearly 50% of adults living in urban areas have high blood lipids. Among them, excess cholesterol and high blood lipids are mainly due to improper nutrition and exercise. [1]</t>
  </si>
  <si>
    <t>[1] Tuổi Trẻ Online. Nearly 50% of adults living in urban areas have high blood lipids. (Gần 50% người trưởng thành sống tại thành thị bị mỡ máu cao). 25 August 2022. Available from: https://tuoitre.vn/gan-50-nguoi-truong-thanh-song-tai-thanh-thi-bi-mo-mau-cao-20220825143449655.htm</t>
  </si>
  <si>
    <t>Data on high cholesterol in Hong Kong are available from the Institute for Health Metrics and Evaluation and were last published in 2021. [1]</t>
  </si>
  <si>
    <t>[1] Institute for Health Metrics and Evaluation. High LDL cholesterol — Level 2 risk. Seattle, WA. Institute for Health Metrics and Evaluation. 2021. Available from: https://www.healthdata.org/results/gbd_summaries/2019/high-ldl-cholesterol-level-2-risk</t>
  </si>
  <si>
    <t>Available evidence does not indicate that in Istanbul city-level data on raised blood cholesterol have been collected and published within the past five years._x000D__x000D_Evidence indicates that data on raised blood cholesterol are collected in Turkey, but at the national level, and are arranged by metrics such as age and gender rather than region. The Turkish Statistical Institute's most recent Turkey Health Survey,for 2022, provides national-level data on high cholesterol/triglyceride levels in the general population. [1] An earlier example is a national study of non-communicable diseases and risk factors, published by the Ministry of Health in 2021. It drew upon diagnostic, hospitalisation, therapeutic and laboratory test data collected on individuals by health institutions between 2012 and 2017. [2]</t>
  </si>
  <si>
    <t>Johannesburg did not have city-level data on high cholesterol collected in the last 5 years. No data was found on the websites of the City of Johannesburg, the province of Gauteng and national government. [1] [2] [3]</t>
  </si>
  <si>
    <t>No city-level data are available for high blood cholesterol through the Sindh Statistics 2022 report,the Pakistan Social and Living Standards Measurement Survey, the Health Department, Government of Sindh, or the Karachi Metropolitan Corporation website. [1] [2] [3] [4]</t>
  </si>
  <si>
    <t>There is no evidence of the publication of city-level data on raised blood cholesterol. The web portals of Kathmandu Metropolitan City and the Ministry of Health and Population do not have data published at city-level. [1] [2]_x000D__x000D_Information exists at the national level. The STEPS survey (Noncommunicable Disease Risk Factors: STEPS Survey Nepal 2019) has collected data on the percentage of population with raised blood cholesterol at the national level, disaggregated by sex, age, household wealth and province. However, there is no data specific to Kathmandu or any other city. [3]</t>
  </si>
  <si>
    <t>In the last 5 years, no city-level data on high cholesterol have been published for Kolkata. No evidence is found in the city government website, the National Health Survey 2019-2021 or the National Institute of Nutrition under the Indian Council for Medical Research. The last Urban Nutrition Report was carried out in 2017; this report includes the State of West Bengal and correlates nutrition with dyslipidaemia in the state, but no data are available at the Kolkata city-level. [1] [2] [3]</t>
  </si>
  <si>
    <t>No city-specific data are available on raised blood cholesterol in Kuwait city via the Central Statistical Bureau or in the databases of international organisations (the World Bank and World Health Organization). [1] [2] [3]</t>
  </si>
  <si>
    <t>Lagos has no data on high cholesterol collected and/or published in the last 5 years. No evidence was found on the websites of the city's government, Lagos Ministry of Health or the National Bureau of Statistics. [1] [2] [3] The latest city-level data available on high cholesterol were given by a 2020 small study published through a journal article covering urban residents in Lagos; it found that 38.9% of the respondents had high blood total cholesterol. [4]</t>
  </si>
  <si>
    <t>London doesn't collect data on high cholesterol. According to the Health Survey for England, in 2021, the prevalence of raised cholesterol in England was 56% among men and 61% among women, higher than in recent years. [1]</t>
  </si>
  <si>
    <t>[1] NHS England. Health Survey for England, 2021 part 2. Leeds: NHS Commissioning Board; 2023. Available from: https://digital.nhs.uk/data-and-information/publications/statistical/health-survey-for-england/2021-part-2/adult-health-cholesterol</t>
  </si>
  <si>
    <t>Available evidence indicates that in Madrid city-level data on high cholesterol have been collected and published in the last five years. A pilot data-collection effort of limited scope has recently been concluded._x000D__x000D_Very recently, CardioRed, a collaborative network of the Madrid Health Service, undertook a pilot study to measure the cardiovascular risk of the resident population. Called PreveCardio, the study collected data on over 3,500 adults between 50 and 75 years of age; results were presented in April 2024. [1] _x000D__x000D_In 2007 and 2015 the health service of the Community of Madrid undertook comprehensive studies to measure the prevalence of diabetes mellitus and cardiovascular risk in the resident adult population. Known as the PREDIMERC studies, they collected data on cholesterol levels, among other metrics, but have not been repeated. [2] _x000D__x000D_Whilst the Community of Madrid's health service does conduct various types of health surveillance and monitoring, its online Observatory of Results (which provides numerous data-driven indicators on health) displays metrics on hypercholesterolemia that relate to the prevalence of care coverage rather than to the prevalence of the condition. [3]</t>
  </si>
  <si>
    <t>The last collected data on high cholesterol in the Philippines are from 2013. [1]_x000D__x000D_No data on high cholesterol in Manila were identified on websites of the Philippine Statistics Authority, the Philippine Department of Health, or the Manila Health Department. [2] [3] [4]</t>
  </si>
  <si>
    <t>No city level data have been published on high cholesterol. [1] [2]</t>
  </si>
  <si>
    <t>City-level data on high cholesterol have not been collected or published in the last 5 years for Mexico City._x000D__x000D_There is data available at the national level from the National Institute of Cardiology and the Health and Nutrition Survey of 2021. [1] [2]</t>
  </si>
  <si>
    <t>No city-specific data were identified on raised blood cholesterol in the Department of the Federal Service of State Statistics for Moscow and the Moscow Region or the Ministry of Health. [1] [2]</t>
  </si>
  <si>
    <t>In the last 5 years, no city-level data on high cholesterol have been collected or published. No data were found under the Mumbai city government websites, the National Family Health Survey 2019-21 or the National Institute of Nutrition under the Indian Council for Medical Research. [1] [2] [3] [4] The National Institute of Nutrition published the Urban Nutrition Report and correlation with NCDs like Hypertension, Diabetes Dyslipidemia and Obesity in 2017. This report includes data on Maharashtra state, but there are no Mumbai city-level data. There are no recent studies under their website. [5]</t>
  </si>
  <si>
    <t>No city-level data on high cholesterol in Nairobi have been collected and/or published in the past 5 years. [1] [2]</t>
  </si>
  <si>
    <t>No evidence of data was found at the city level on cholesterol. _x000D__x000D_The data were searched on different documents/websites, such as the Behavioral Risk Factor Surveillance System (BRFSS) Brief 2019 concerning cholesterol.[1] However, the sources identified provided either no city-level data, city data that was more than 5 years old, or only state-level data. [1] [2] [3] [4] [5] For example, the NYC Hanes is a survey which collects data on cholesterol at the city level; however, it was conducted in 2004 and 2013-2014. [5]</t>
  </si>
  <si>
    <t>Materials summarising the results within Osaka Prefecture of the "National Health and Nutrition Survey 2019", which is conducted annually by the government under the Health Promotion Law (Law No. 103 of 2002), include the percentage of individuals (adult aged 20 and over) suspected of having dyslipidemia (those with HDL cholesterol levels below 40 mg/dL or those taking medication to lower cholesterol or triglycerides). [1]</t>
  </si>
  <si>
    <t>[1] Osaka Prefecture. The health and nutritional status of the residents of Osaka Prefecture. Osaka: Health and Medical Dept. Osaka Prefectural Government, March 2022. Available from: https://www.pref.osaka.lg.jp/attach/142/00283806/H30fuminnokenkoujyoukyou%20.pdf P105</t>
  </si>
  <si>
    <t>Available evidence does not indicate that city-level data on the prevalence of high cholesterol in Paris have been collected and published in the last five years. _x000D__x000D_Santé publique France (Public Health France, the French national public health agency) cites old data (from between 2006 and 2015) on the prevalence of hypercholesterolemia nationwide and does not provide a breakdown of figures by region. [1] _x000D__x000D_A scan of the relevant websites of the regional health service, the ARS Île-de-France, does not provide any evidence that this agency monitors raised blood cholesterol levels in the local population. [2] [3]</t>
  </si>
  <si>
    <t>There is no evidence of city-level data on high cholesterol in the National Multisectoral Action Plan for the Prevention and Control of Noncommunicable Diseases 201827, the Health Strategic Plan 2016-20, the Demographic and Health Survey 2021-22, or the Food and Nutrition Security Trend Analysis Report. [1] [2] [3] [4] No relevant reports were published on the websites of the National Centre for Health Promotion, the National Institute of Public Health, or the WHO page on NCD surveillance activity for Cambodia. [5] [6] [7]</t>
  </si>
  <si>
    <t>No city-specific data on cholesterol in Riyadh were available on the websites of the General Authority for Statistics or the Ministry of Health in the last five years. [1] [2]</t>
  </si>
  <si>
    <t>Available evidence does not indicate that city-level data on high cholesterol in Rome have been collected and/or published in the last 5 years. Such data are available at the regional level, reflecting the structure of Italy's healthcare system._x000D__x000D_Italy's National Institute of Health (Istituto Superiore di Sanità—ISS) operates a health surveillance system known as the PASSI (Progressi delle Aziende Sanitarie per la Salute in Italia) system. It monitors around two dozen different health-related conditions or habitual behaviours. The resulting data are published by region. PASSI notes that during the 2021-2022 period 19.6% of the residents of Lazio aged between 18 and 69 years had reported hypercholesterolemia. [1]</t>
  </si>
  <si>
    <t>City-level data on high cholesterol have not been collected or published in the last 5 years for San Francisco._x000D__x000D_There are only outdated data from 2016. [1] The measures are: High cholesterol among adults aged &gt;18 years who have been screened in the past 5 years by census tract; and Cholesterol screening among adults aged &gt;18 years by census tract.</t>
  </si>
  <si>
    <t>[1] 500 Cities, CDC, Robert Wood Johnson Foundation, CDC Foundation. 500 Cities Project: Local Data for Better Health 2016 CA [Internet]. Atlanta: Centers for Disease Control and Prevention; 2016 [Accessed 2024 Apr 25]. Available from: https://ftp.cdc.gov/pub/MAPBOOKS/CA_San%20Francisco_MB_2016-P.pdf</t>
  </si>
  <si>
    <t>São Paulo city doesn't collect data on high cholesterol. _x000D__x000D_According to the Brazilian Society of Cardiology, 40% of the adult population in Brazil and around 20% of children and adolescents have these high rates. [1]</t>
  </si>
  <si>
    <t>[1] SMD. Date warns of the dangers of high cholesterol. São Paulo: Secretaria Municipal de Saúde; 2023. Available from: https://www.prefeitura.sp.gov.br/cidade/secretarias/saude/noticias/?p=352234</t>
  </si>
  <si>
    <t>The Seoul Metropolitan Government collects and publishes city-level data on high cholesterol annually in collaboration with the National Health Insurance Service. Cholesterol is included in the lifestyle metabolic disease risk factors covered in the data survey. The latest data were released in January 2024. [1]</t>
  </si>
  <si>
    <t>The Shanghai Municipal Health Committee does not include any data on cholesterol as part of its annual health statistics, and has not produced any independent data in the last five years on cholesterol rates. [1] [2]</t>
  </si>
  <si>
    <t>There is evidence of data on obesity in the city-state._x000D__x000D_The National Population Health Survey 2022 tracks the health, risk factors and lifestyle of the population 18 to 74 years old. One of the variables analysed is the prevalence of hyperlipidaemia (or high blood cholesterol) in Singapore residents. [1]</t>
  </si>
  <si>
    <t>There is no evidence of city-level data on high cholesterol in Sydney. A source from the Australian Bureau of Statistics (ABS) indicated that "The most recent biomedical data collected by the ABS was published in 2011-12." [1]</t>
  </si>
  <si>
    <t>The National Health and Nutrition Survey of the Tokyo Metropolitan Government includes data on raised blood cholesterol including the percentage of individuals (adults aged 20 and over) suspected of having dyslipidemia (those with HDL cholesterol levels below 40 mg/dL or those taking medication to lower cholesterol or triglycerides). These data were last published in 2022. [1]</t>
  </si>
  <si>
    <t>[1] Government of Canada. Heart Disease in Canada. Ottawa: Health Canada; 2022. Available from: https://www.canada.ca/en/public-health/services/publications/diseases-conditions/heart-disease-canada.html</t>
  </si>
  <si>
    <t>The General Health Report Vienna: Reporting period 2015 - 2023 measured the percentage of men and women with heightened blood cholesterol. The most recent data were collected in 2019. [1]</t>
  </si>
  <si>
    <t>[1] Municipal Department 24 - Strategic Health Care. General Health Report Vienna. Reporting period 2015-23. Vienna: City of Vienna; 2024. Available from: https://www.digital.wienbibliothek.at/wbrup/download/pdf/4994362?originalFilename=true</t>
  </si>
  <si>
    <t>There is no data available from the Wuhan Statistics Bureau or the Wuhan Health Information Centre on cholesterol rates across the city. [1] [2]</t>
  </si>
  <si>
    <t>No data on the number of people with high blood cholesterol was identified at the city level for Yangon. [1,2,3]_x000D__x000D_A national survey conducted in 2014 reported the percentage of the population with high raised blood cholesterol. [4]</t>
  </si>
  <si>
    <t>In Ethiopia, Essential Medicines (EMs) for CVD are not sufficiently available and their price is not affordable for the majority of citizens. _x000D__x000D_Ethiopia maintains an official list of essential medicines (EMs) that follow WHOs guidelines. The "Ethiopian Essential Medicines List Sixth Edition" published in September 2020 by the Federal Ministry of Health and Ethiopian Food and Drug Agency, provides the national list of EMs. [1] With the exception of telmisartan and perindopril, all of the medicines listed in the WHO Essential medicines for CVD are included on the Ethiopian EMs list. [1]_x000D__x000D_Public information on the availability and price of CVDs medicines or other EMs (at city or at national level) was not identified through official government sources. The website of the Ethiopian Pharmaceuticals Supply Service (EPSS), the national/state supplier of medicines, does not have information on the availability and affordability of EMs.[2]_x000D__x000D_Academic studies do provide assessments of national availability. A 2021 study indicates that "the national average availability of EMs in public and private facilities was 70.167% and 70.1% respectively". [3] This is below the WHO's minimum requirement, which recommends that availability of EMs should be 100% and sets the minimum requirement at 80%. [3] [4] _x000D__x000D_Concerning affordability, academic studies indicate, "the estimated cost per adult primary care user was USD 5.3 for hypertension control and USD 19.3 for integrated CVD risk management. The estimated medication cost per person treated for hypertension was USD 9.0, whereas treating diabetes and high cholesterol would cost USD 15.4 and USD 15.3 per person treated, respectively". As a result, the study concludes, about 27% of the households experienced 'catastrophic' health expenditure (which is defined as annual out-of-pocket payments above 10% of a household's annual income). [5] _x000D__x000D_Another study found that "the Lowest priced medicines were sold at 2.54 and 4.09 times their international reference prices (IRP) in the public and private sectors, respectively". Furthermore, a study found that, the percentage of unaffordable medicine were 72.09 and 91.84% for public and private facilities, respectively, with 79.17% of the medicines were unaffordable when both settings were combined. [4] Similarly, studies found, "less than half the prescribed drugs were obtained from the budget pharmacy, and one in six patients was forced to purchase drugs in the private sector, where drugs are roughly twice as expensive". Waiver systems (such as community based insurance) did not safeguard against having to pay for medicines. [4]</t>
  </si>
  <si>
    <t>In Algeria, patients identified at risk of developing CVD have access (in terms of availability and affordability) to the essential CVD medicines as defined in the WHO EML 23rd List (2023). [1][2]_x000D__x000D_Algeria has made available a list of essential medicines that are reimbursable and which includes antihypertensive medicines (IRBESARTAN/AMLODIPINE, besilate) and lipid-lowering agents (ROSUVASTATINE, calcium). [1] The document states that its objective is "to modify and complete the list of medicines reimbursable by social security organisations, previously established by a decree." [1]</t>
  </si>
  <si>
    <t>In the 2024 Preferred Drug List from the Georgia Department of Community Health, amlodipine, enalapril, hydrochlorothiazide, lisinopril + hydrochlorothiazide, simvastatin, atorvastatin, and pravastatin are classified as Preferred/P (meaning medications associated with a lower member copayment). Telmisartan + amlodipine and telmisartan + hydrochlorothiazide are categorised in the Preferred Drug List as Non-Preferred/NP (meaning medications associated with a higher member copayment). [1] _x000D__x000D_Preferred drugs are medications favoured by insurance plans for their cost-effectiveness or clinical efficacy, typically resulting in lower out-of-pocket costs for insured individuals. Non-preferred drugs are those not prioritised by insurance plans, often leading to higher copayments or coinsurance, though coverage may still be available at a higher cost. In this case, the Medicaid Fee for Service Outpatient Pharmacy Program represents the preferred and non-preferred drug products as well as drugs requiring prior approval, quantity level limits, and therapy limits. The other medicines from the WHO Essential CVD medicines list were not found in the Georgia Medicaid Preferred Drug List. [1] _x000D__x000D_In the WHO Global EML, a database of the essential medicines lists for 137 countries, it shows that the US does not have a national list of essential medicines. [2]</t>
  </si>
  <si>
    <t>Medsafe (New Zealand Medicines and Medical Devices Safety Authority) is responsible for the regulation of medicines in New Zealand. Pharmac is the New Zealand government agency that decides which medicines are funded for eligible people. Essential CVD medicines are included by both Medsafe and Pharmac. [1] [2]_x000D_The government subsidies for listed medicines mean New Zealand residents pay a present cost of NZ$5 (US$4.20) per prescribed item, well below the co-payment in many other high-income countries. [3] From 1 July 2023, New Zealanders no longer have to pay NZ$5 for standard prescriptions from approved providers. Prescriptions from specialists and non-publicly funded prescribers still have a NZ$15 charge. [4]</t>
  </si>
  <si>
    <t>Essential CVD medicines are affordable, but there is evidence to suggest that their availability is low. _x000D__x000D_Amlodipine, bisoprolol and simvastatin are among the medicines listed in the national basic health insurance drug catalogue and are therefore covered by basic health insurance in China. [1] The medicines included in the drug catalogue will be covered by the health insurance funds in accordance with the national unified health insurance payment standard. Each health insurance fund region [统筹地区] will determine - based on the insurance fund's financial capacity - the proportion paid out-of-pocket by patients and the proportion paid by the insurance fund. [2]_x000D__x000D_In 2023, in terms of the overall availability of the essential medicines on the WHO list, little has changed over the last two decades or so: nationwide, between 2009 and 2014, the relative availability of essential cardiovascular-related medicines was 37.8%, just a bit over the 33.7% mark reached from 2015 and 2019. In Beijing, the overall availability of essential medicines (not specifically but including CVD medicines) was considered to be "very low (less than 30%)." [3]_x000D__x000D_Studies suggest that low availability of essential medicines is also due to the low price and profit, discouraging manufacturers from producing and supplying them across the country. [3] The use of Traditional Chinese Medicines (TCM) is also suggested to be a factor. [4]</t>
  </si>
  <si>
    <t>Essential CVD medicines are available and affordable in Berlin._x000D__x000D_The List of Reference Prices for Medicinal Products, prepared by the Federal Institute for Drugs and Medical Devices (BfArM), shows which medicines are reimbursed by Germany's statutory health insurance fund, and is updated quarterly. From the website of the BfArM, "The reference price of a medicinal product is the maximum amount, which is reimbursed by the statutory health insurance fund. If the price of a medicinal product is higher than the reference price, the patient generally pays the difference to the reference price or receives a therapeutically comparable medicinal product (without additional contribution)". [1][2]_x000D__x000D_According to an overview of the German healthcare system published by the Federal Ministry of Health, health insurance in Germany is compulsory and covers both medical care and prescription drugs. [3]</t>
  </si>
  <si>
    <t>In 2011, the Colombian government developed a list of essential medicines. [1] Also, it has created a national control price for some medicines. This policy stipulates a maximum value based on international comparisons. [2] Some of these controlled medicines are: bisoprolol, amlodipino, telmisartan + amlodipino. [3] _x000D__x000D_It is important to highlight that according to the study "Comparison of essential medicines lists in 137 countries", when comparing Colombia's EML with the WHO's EML, the number of dissimilarities between the lists is 122. Hence, Colombia's list diverges from the WHO's list on 122 drugs. [1]_x000D__x000D_Furthermore, the paper "Access to medicines in Colombia and the contours of a right and a pharmaceutical policy halfway through" highlights that pharmaceutical policies in Colombia. In the final pages, it argues if the policies are sufficient to guarantee availability and affordability. The authors highlight experts' studies claiming that the price of the medicines have decreased with the price control policy and at the same time, the quantity of the medicines sold has increased. [4] _x000D__x000D_However, the Health Ministry has published a note saying that, since 2022, Colombia has been dealing with medicines shortages, especially due to the high demand. However, it is unclear if the shortages of medicines apply to any of the essential medicines for CVD. [5]</t>
  </si>
  <si>
    <t>Hungarian patients have access to all antihypertensive medications. Reimbursement levels under public health insurance are generally high for these medicines._x000D__x000D_A list published in January 2024 by the Hungarian National Institute of Health Insurance Fund Management (NEAK) specifies medicines which are reimbursed by Hungary public health insurance fund. The list contains antihypertensive medicines. [1] The CVD medicines vary in reimbursement levels but all of them qualify for at least 50% of the gross price. [2]_x000D__x000D_According to a 2017 study, Hungary has a complicated system to subsidise drugs which "applies several reimbursement techniques. The reimbursement levels are established according to the specifications of the therapies; the more chronic and severe the disease, the higher is the reimbursement level. There are two major types of reimbursement techniques in outpatient care: the normative reimbursement and the indication-linked reimbursement. Normative reimbursement applies to all physicians with general prescription rights and may be used for all indications listed in the Summary of Product Characteristics. Indication-linked reimbursement restricts reimbursement to only certain professionals who can prescribe the drug. The reimbursement is granted only in a subset of authorised indications and is granted if the conditions defined by the payer are met." [3]</t>
  </si>
  <si>
    <t>According to several sources, Egypt has a list of essential medicines (2012); however, there is no evidence of an updated list having been published online. [1] [2] [3] _x000D__x000D_The Egyptian Essential Drug List 2012-2013, published on the archived page of the Egyptian Drug Authority's website, includes cardiovascular medicines, such as bisoprolol and verapamil; antihypertensive medicines, such as amlodipine and enalapril; and lipid-lowering agents, such as atorvastatin. [4]_x000D__x000D_According to a 2011 document titled "Egypt Pharmaceutical Country Profile" published by the Egyptian Ministry of Health in collaboration with the World Health Organization in 2011, medicines in Egypt are provided free of charge; whereas bodies like the public health service, public health insurance, social insurance, provides at least partial medicines coverage for medicines that are on the Essential Medicines List. [5]_x000D__x000D_According to Source #1, patients in Egypt have access to essential cardiovascular disease (CVD) medicines included in the WHO Essential Medicines List (EML) 23rd List. While some medications are available in generic form with the same active ingredients, non-generic CVD medicines are considered expensive due to the shortage of foreign currency. Generic alternatives are more affordable. The Egyptian Government covers the cost of eligible generic medications fully and partially covers non-generic medications if no generic alternative is available, upon formal request by patients. [6]_x000D__x000D_Source #2 corroborates the availability of essential CVD medicines like beta-blockers (bisoprolol, atenolol), amlodipine, hydrochlorothiazide, and lipid-lowering agents (atorvastatin) in generic forms from various manufacturers in Egypt. However, medication prices have increased significantly after the devaluation of the Egyptian pound, leading to shortages due to issues with USD availability and customs clearance processes. Patients can receive full or partial governmental support for medications upon submitting paperwork regarding their eligibility. [7]</t>
  </si>
  <si>
    <t>In line with WHO Essential Medicine List, Sri Lanka has adopted its own National List of Essential Medicines. The Primary Medical Care Institution (PMCIs) are supposed to ensure availability of all essential drugs in blister packs and dispense drugs for a period of one month for patients with NCDs. A list of 18 essential drugs for PMCI was prepared in accordance with the guidelines of the Ministry of Health which are in line with the WHO list. The pharmacist or dispenser forecasts requirements based on the prevailing morbidity and drug utilisation patterns in the previous year and indents drugs online through the medical supplies management information system (MSMIS). The drugs indented are expected to be delivered within a month. Adequate space and optimum storage conditions for maintaining a three-month stock of drugs are supposed to be present in each PMCI. However, the fixed-dose combinations have not been included in this list. The medicines are affordable and most of these medicines are available to the public. [1] [2]</t>
  </si>
  <si>
    <t>In line with WHO Essential Medicine List, India has adopted its own National List of Essential Medicines since 1996. _x000D__x000D_Patient access to medicines at the primary, secondary and tertiary level has benefitted from the Essential Medicine List. According to the Indian Essential Medicine List, 2022, most of the antihypertensive and lipid lowering agents mentioned in the WHO EML 23rd list have been made accessible to the general population at different levels, i.e. primary, secondary and tertiary health care facilities . However, the fixed-dose combinations have not been included in this list. [1] [2] _x000D__x000D_The government of India has provided schemes which make essential medicines affordable for all. The Pradhan Mantri Bhartiya Janaushadhi Pariyojana (PMBJP) (translated as The Prime Minister's Medicines for the General Public Program) has made essential medicines affordable for the public through Government Pharmaceutical Stores. [3]</t>
  </si>
  <si>
    <t>In Dhaka, essential CVD medicines are available through the list of essential drugs in public healthcare settings and through online pharmacies that provide home delivery services. _x000D__x000D_Bangladesh's National Drug Policy 2016 including Essential Drug List and OTC List focuses on the operational and regulatory dimensions of pharmaceutical services, ensuring that medications are dispensed safely and effectively to the public. The policy document outlines the procedures and guidelines for dispensing medications in government-run "community pharmacies". The document requires these pharmacies to stock enalapril and hydrochlorothiazide as essential anti-hypertensive medicines, and simvastatin and metarminol as lipid-lowering agents. The list does not provide for fixed-dose combinations. [1]_x000D__x000D_However, these medicines are not considered affordable when procured from private sources, as per a 2019 study titled "Evaluating medicine prices, availability and affordability in Bangladesh using World Health Organisation and Health Action International methodology". [2] As of September 2023, 2.5% of Bangladesh's population has health insurance. [3]</t>
  </si>
  <si>
    <t>In Dubai, patients at risk of cardiovascular disease have access to essential medications listed in the WHO EML 23rd List (2023), with affordability supported by health insurance coverage and the availability of generic medicines._x000D__x000D_In the UAE, patients identified at risk of developing cardiovascular disease (CVD) have access to essential CVD medicines listed in the WHO EML 23rd List (2023). Antihypertensive medicines such as amlodipine (Amlodar), bisoprolol (Concor), enalapril (Renitec), and hydrochlorothiazide (Co-Diovan) [4] are available. [1] [2] [3] [4] Lipid-lowering agents including simvastatin (Zocor) and atorvastatin (Lipitor) are also accessible. [5] [6] Regarding the fixed-dose combinations, an interviewee stated that the combination of atorvastatin + perindopril + amlodipine is currently under review by Dubai health authorities, and that the other two WHO-recommended fixed-dose combinations are unavailable in the emirate. [7]_x000D__x000D_The affordability of these medicines is supported by health insurance coverage mandated for employees and their dependents in Dubai and by availability of generic medicines. [8] [9] According to a 2017 The Lancet research paper, despite higher costs of medicines compared to other countries, the proportion of households unable to afford them in the UAE is minimal (less than 1%). [10]</t>
  </si>
  <si>
    <t>Essential CVD medicines are affordable and available in Finland. _x000D__x000D_Pursuant to Section 83 of the Medicines Act 395/1987, the Finnish Medicines Agency (Fimea) under the Finnish Ministry of Social Affairs and Health publishes a list of drugs used in Finland every three years or more often if necessary. [1] [2] The last list was published in March 2022 with decision 183/2022, and the list includes all the essential CVD medicines defined in the WHO EML 23rd List (2023). [3] [4] There have been media reports of occasional shortages for some CVD medicines, but Fimea stated in October 2023 that as a rule there are always substitute products available in pharmacies. [5] [6] [7] Additionally, Section 27 of the Medicines Act obliges pharmaceutical wholesalers to immediately inform Fimea as well as the pharmacies and medical centres that ordered the medicine in cases of availability disruptions and provide an estimate of the duration of the supply interruptions. [1]_x000D__x000D_Essential CVD medicines are made affordable in Finland. Finland has a drug reimbursement system in order to secure the drugs necessary for the treatment of diseases at reasonable costs. Kela, the national social security institution in the country, reimburses a part of drug costs after an annual initial amount of EUR50 is paid. [8] The percentage of drug reimbursements change according to the type of medicine; it is 65% for most CVD medicines. [9] [10] The country also has an annual maximum limit on out-of-pocket costs, which is set as EUR626.94 for 2024, after which the person pays only EUR2.5 per medicine. [11]</t>
  </si>
  <si>
    <t>All antihypertensive medicines listed and all lipid-lowering agents are covered by the public health system. [1] [2]_x000D__x000D_The National Strategy on prevention and control of cancers, cardiovascular diseases, diabetes, chronic obstructive pulmonary disease, asthma and other NCDs covering 2015-25 emphasises the provision of enough essential drugs for the treatment of cardiovascular disease and diabetes though ensuring the supply of essential drugs and diagnosis that are covered by health insurance. [3]</t>
  </si>
  <si>
    <t>All essential CVD medicines are approved by the Department of Health and covered by the government in Hong Kong. Approval information of essential CVD medicines can be found on the Department of Health website. [1] These drugs are under the General Drugs category on the Hospital Authority Drug Formulary and are provided at standard fees and charges in public hospitals and clinics. [2] [3]</t>
  </si>
  <si>
    <t>According to the latest list of licensed medical products published by the Turkish Medicines and Medical Devices Agency, the essential CVD medicines included in the WHO Model List of Essential medicines are available in Turkey by prescription. [1] Whilst these medicines are covered by statutory health insurance, their degree of affordability is relative, as they do require a copayment of 20% (10% for retirees). [2] [3]_x000D__x000D_Turkey operates a "nearly universal" health insurance system. The national Social Security Institution (SSI) determines and annually revises a comprehensive benefits package, which "...finances almost all services in preventive, inpatient and ambulatory care, except cosmetic surgery....Direct cost-sharing occurs as co-insurance for prescriptions and medical devices (at 20% of price; 10% for retirees)." [2]</t>
  </si>
  <si>
    <t>Amlodipine, bisoprolol and isinopril are listed on Indonesia's National Drug Formulary. [1] Simvastatin in 10, 20 and 40 mg pills is also on the formulary [page 17]. Ramipril is commonly available and is an essential medicine on the drug formulary in 10, 20 and 40mg doses [page 16]. These medicines should by law be stocked and available at all public health facilities in Jakarta at an affordable cost to patients enrolled under Indonesia's National Health Insurance scheme (JKN). Online prices for these medicines from large pharmaceutical chains are low.</t>
  </si>
  <si>
    <t>Essential CVD medicines are available and affordable._x000D__x000D_From the first group, amlodipine, enalapril and hydrochlorothiazide are listed on the national Standard Treatment Guideline and Essential Medicine List for primary and hospital (adult and paediatric) levels. Losartan is only listed on the guidelines for adult hospital level. In all these cases, the medicines cover patients with hypertension. From the second group, only simvastatin is listed on the three documents. [1] [2] [3] _x000D__x000D_Medicines are provided free of charge at public primary care facilities. [4] Furthermore, the Central Chronic Medicines Dispensing and Distribution programme aims to facilitate access to medicine to stable patients with chronic conditions, including hypertension, by letting them collect for free their drugs at chosen pick-up points. [5] According to the 2022/23 Annual Report of Johannesburg's government, the city has 343 external chronic medication pick-up points. [6] According to the 2022 General Household Survey, the public sector caters to 69% of the population in the Gauteng province, where Johannesburg is located. [7]</t>
  </si>
  <si>
    <t>There are no measures being implemented in Karachi or nationally to ensure the availability and affordability of CVD medicines as per the National Essential Medicines List 2023, which includes antihypertensive medicines and lipid-lowering agents mentioned in the list of WHO Essential CVD medicines. [1]_x000D__x000D_Multiple media reports state that 90% of total clinics/ first-level care facilities are in the private sector in Pakistan, due to inadequate public health infrastructure. Patients who are unable to access CVD medicines usually buy medicines from private pharmacies or opt into cheaper and often unreliable non-allopathic alternatives. Media reports also state that more than 70% of patients seek initial care in the private sector (consultation, diagnostics, medicines). [2] [3]_x000D__x000D_In early February 2024, a surge in prices was approved by the Ministry of National Health because of a global price hike in raw materials. Due to the unavailability of CVD medicines, patients are forced to pay three to five times higher prices than their standard prices in Pakistan. [4] The drug crisis has hit most parts of Pakistan including Karachi and has led to the growth of a grey market, in which smuggled life-saving drugs have no warranty and genuine drugs are being replaced by spurious and/or counterfeit medicines. [5]</t>
  </si>
  <si>
    <t>Essential medicines for CVD are available in Nepal. Antihypertensive medicines such as amlodipine, enalapril, and hydrochlorothiazide are readily available, as well as lipid lowering agents such as atorvastatin are readily available (mostly from the private sector). _x000D_These medicines are affordable, as patients requiring these medicines would need to spend less than a day's wage to purchase medicines for 1 month of treatment. [1]</t>
  </si>
  <si>
    <t>In line with WHO Essential Medicine List, India has also adopted its own National List of Essential Medicines since 1996. Patient access to medicines at the primary, secondary and tertiary level has benefitted from the Essential Medicine List. According to the Indian Essential Medicine List, 2022, most of the antihypertensive and lipid lowering agents mentioned in the WHO EML 23rd list have been made accessible to the general population at different levels i.e. primary, secondary and tertiary health care facilities . However, the fixed-dose combinations have not been included in this list. [1] [2]_x000D__x000D_The government of India has provided schemes which make essential medicines affordable for all. The Pradhan Mantri Bhartiya Janaushadhi Pariyojana (PMBJP) (translated as The Prime Minister's Medicines for the General Public Program) has made essential medicines affordable for the public through Government Pharmaceutical Stores. [3]</t>
  </si>
  <si>
    <t>Essential CVD medicines are available but not affordable for all of the Kuwait population._x000D_ _x000D_Amlodipine, bisoprolol, enalapril and hydrochlorothiazide are all available in Kuwaiti pharmacies. Simvastatin, atorvastatin and pravastatin are also available. [1] [2] Kuwait does not have an essential medicines list published by the Ministry of Health or the Kuwait Medical Association. [2] [3]_x000D_ _x000D_Medical and pharmaceutical care is free for Kuwaiti citizens, but for non-citizen residents, which constitute the majority of the population, it is not affordable. A study from 2020 conducted a survey, in which over 97% of respondents who were Kuwaiti citizens stated that there was no cost-related burden with regards to obtaining medicine. Nevertheless, a significantly higher cost burden was reported among non-Kuwaiti citizens, who are expected to pay for their medication. The majority of the population of Kuwait are non-citizens and experience cost burdens. [1]</t>
  </si>
  <si>
    <t>Although health insurance coverage is limited in Nigeria, Lagos residents have affordable access to both antihypertensive medicines (Spironolactone), and lipid-lowering agents (Simvastatin)._x000D__x000D_A 2013 study at the Lagos University Teaching Hospital, on the efficacy and safety of Simvastatin, indicates Simvastatin and other statins were widely used in the management of lipid abnormalities in diabetes. [1] A 2016 study examined prescriptions of lipid-lowering agents in southwest Nigeria, where Lagos is located. [2] According to the study, Atorvastatin was the most prescribed statin, followed by Simvastatin. [2] Simvastatin was found to be the most affordable statin with average monthly costs of per mg per patient of NG1,772 (US$11.08). [2]_x000D__x000D_A study on access and affordability of cardiovascular medicines for children in Lagos, Abuja and Yenagoa was conducted in 2019. [3] The study found that one month supply of Enalapril was available for the price of 1.7 days wages; and Spironolactone was available for the price of 0.5 days. Spironolactone, with a median price below 1 day's wage, was also identified as affordable. [3]_x000D__x000D_A 2022 study comparing antihypertensive medicine use at the national level, reported lisinopril and amlodipine, were among the most widely used Antihypertensive medicines in Nigeria. [4]_x000D__x000D_The Ìlera Èkó Health Care Scheme of 2022 is a comprehensive state health insurance scheme to ensure all residents of Lagos have access to quality healthcare. [5] According to Lagos State Health Management Agency's (LASHMA) Ilera-Eko Diaspora Plan of 2022, the scheme includes prescriptions for medication, where available, and makes specific reference to hypertension, but not lipid-lowering agents or fixed-dose combinations. [5] In December 2022, LASHMA announced the launch of the Eko Social Health Alliance (EkoSHA), a health insurance and endowment fund to provide access to health insurance for vulnerable and disadvantaged Lagos residents. [6] Individual health insurance packages are affordably priced at NG8,500 (US$5.34), and according to a December 2023 article, the Ìlera Èkó Scheme has enrolled approximately 923,000 residents since its inception, representing a small percentage of Lagos States' population (27,281,339). [7] [8]</t>
  </si>
  <si>
    <t>Antihypertensive medicines and lipid-lowering medicines are available and affordable, as they are all covered by the NHS.[1][2][3][4] The current prescription charge is £9.90 per item (as of 1 May 2024).[5]</t>
  </si>
  <si>
    <t>Spain has a universal healthcare system that covers 100% of the population who have legal residence. Under this system, the package of healthcare services is comprehensive, but out-of-pocket spending on certain of these services--particularly dental care and pharmaceuticals--remains relatively high (above the EU average) due to the structure of the copayment system. Nevertheless, substantial copayment exemptions protect households from catastrophic health spending--the level of which in Spain is among the lowest in the EU. [1] _x000D__x000D_With specific regard to pharmaceuticals, the contribution of citizens to the cost of prescription medicines depends on their employment classification (as active workers or pensioners) and their income level (as determined by their most recent income tax declaration). Reforms adopted at the start of this decade introduced new pharmaceutical copayment exemptions for a number of population groups (a total of 6m people), including persons receiving a minimum basic income, people receiving childcare-related social security benefits, and minors with recognised disabilities. [1] [2]_x000D__x000D_According to the Online Drug Information Centre (Centro de Información online de Medicamentos--CIMA), a service of the Spanish Agency of Medicines and Medical Devices (part of the Ministry of Health), of the CVD medicines listed on the WHO's Model List of Essential Medicines, a number of antihypertensive and lipid lowering medicines are authorised, available (and affordable) by prescription in Spain. [3]</t>
  </si>
  <si>
    <t>The Philippines has an Essential Medicines List (EML) known as the Philippine National Formulary (PNF). The PNF, last updated November 2022, is based on the WHO Model List of Essential Medicines, the WHO/HAI Global Core List of Essential Medicines, and specific lists published by the Food and Drug Administration (FDA) Philippines. [1]_x000D__x000D_The Philippine National Formulary Essential Medicines List (PNF-EML) includes the following essential CVD medicines. Antihypertensive medicines: Amlodipine (page 14), bisoprolol (page 15), enalapril (page 13), and hydrochlorothiazide (page 13). [1] Lipid-lowering agents: Simvastatin (page 16) and atorvastatin (page 16). Fixed-dose medicines: Fixed-dose combination of atorvastatin + perindopril + amlodipine (page 16). However, the fixed-dose combinations mentioned in Section 12.7 of the WHO Model List of Essential Medicines are not mentioned in the PNF-EML. [1]_x000D__x000D_The PNF-EML serves as the guiding document for procurement of medicines in Philippine public health facilities. The Philippine Health Insurance Corporation (PhilHealth) uses the PNF-EML for reimbursing claims to end-users for the use of the medicines in the PNF-EML under the public insurance scheme, and prescribes dispensing Philhealth medical facilities to maintain stocks of the medicines subject to feasibility. [1] PhilHealth offers hospitalisation coverage through case rate payment schemes for specific conditions, including congestive heart failure (CHF). While public hospitals focus on preventive and primary care, private hospitals specialise in areas like cardiovascular diseases. The healthcare system in the Philippines allows individuals to choose between free government-provided healthcare or private healthcare services that often come at a higher cost. [2]</t>
  </si>
  <si>
    <t>Australian residents with current Medicare cards can receive benefits under Pharmaceutical Benefits Scheme (PBS), in which selected medicines are subsidised. General and concessional patients will provide co-payments for PBS prescriptions (where concessional rates are lower than general rates). [1]_x000D__x000D_Items on the WHO Essential CVD medicines list that are included on the PBS list can only be purchased with a prescription from a medical practitioner or nurse practitioner. However, patients may only have up to three PBS items on PBS prescriptions, and PBS subscriptions may not contain non-PBS items. Patients do not pay more than A$31.60 for a PBS subscription, however, if the patient chooses a premium brand, they will be required to pay a higher price. The PBS Safety Net scheme also allows reduction of a family's total out of pocket expenses, once the total cost of their medicine's have reached a threshold for one calendar year. Suppliers of PBS medicines must be approved by the Department of Health and Aged Care, and can include pharmacists, doctors in remote and rural areas, Friendly Society pharmacies and hospital authorities. [1] [2]_x000D__x000D_To summarise, most medicines on the WHO Essential CVD list are available and affordable as they are covered by the PBS and can be obtained through a multitude of suppliers. However, losartan and acetylsalicylic acid are not available on the PBS. Other medicines, such as lisinopril+amlodipine, lisinopril+hydrochlorothiazide, temisartan+amlodipine, atorvastatin + ramipril, and simvastatin+ramipril+atenolol+hydrochlorothiazide, are available separately via PBS prescriptions.</t>
  </si>
  <si>
    <t>Essential CVD medicines are available and affordable._x000D__x000D_Based on the WHO EML 23rd List (2023) and the updated List of Reference Medicines in Mexico (2023), it is evident that, concerning antihypertensive medicines, Mexican citizens have access to all medications listed by the WHO. [1] [2]_x000D__x000D_Regarding affordability, while Mexico lacks some options, 62% of those visiting state-operated pharmacies and 70% of outsourced pharmacies obtain CVD medicines for free. Interestingly, there's no significant disparity in medicine availability between facilities with outsourced pharmacies and state-operated ones. However, the likelihood of obtaining free medicines is notably higher at outsourced pharmacies. [3]</t>
  </si>
  <si>
    <t>Medicine is provided free of charge, or with discounts, only to certain individuals with particular social or medical statuses. This specifically includes those with cardiovascular diseases, namely within the framework of the national project entitled "Combatting Cardiovascular Diseases". The list of medications provided under this programme is provided by the Ministry of Health. The list includes amlodipine, bisoprolol, enalapril, hydrochlorothiazide, simvastatin, atorvastatin, pravastatin, perindopril. This list includes all of the WHO essential CVD medicines and they are provided free of charge by the state. [1] [2] _x000D__x000D_All essential CVD medicines are available in Moscow pharmacies. [3]</t>
  </si>
  <si>
    <t>Essential CVD medicines are largely available in Kenya but not affordable. _x000D__x000D_A study released in April 2019 recorded that the mean annual direct cost to patients for hypertension medicines was USD 168.9. Additionally, 57.7% of the hypertensive patients reported they obtained their medicines from a public hospital, which according to the study suggests the possibility of infrequent antihypertensive drug supply in the sampled facilities. [1]_x000D__x000D_Amlodipine 5mg, Bisoprolol 5mg, Lisinopril 5mg, among other essential CVD medicines, are widely available at local pharmacies. [2] [3] [4] The majority of medicines considered Essential CVD medicines by WHO were included in the Kenya Essential Medicines List 2023, which is used by the Government of Kenya to guide selection of medicines to be provided under all national healthcare benefit packages. [5] _x000D__x000D_The primary health insurance provider in Kenya, the National Health Scheme (NHS), which is both statutory (for employed persons) and voluntary (for self-employed persons), requires members to contribute KES 500 (approx. USD 3.42) every month. [6] According to a 2021 health sector overview, approximately 25% of Kenyans have health insurance (either through public, private or community-based health insurance schemes) and the majority (75%) of the population relies on paying out-of-pocket (OOP) payments. The overview observes that OOP payments deter some Kenyans from seeking care. [7] Furthermore, a study on retail pricing, availability, and affordability of medicines in private health facilities in low-income settlements within Nairobi County, published in April 2019, reported that to buy a basket consisting of a course of amoxicillin/clavulanic acid for an infection, a one-month course of nifedipine for hypertension, and a salbutamol inhaler, a "lowest paid government worker" would spend 2.37 days' wages. [7]</t>
  </si>
  <si>
    <t>At the state level, there is evidence of an initiative to promote access to essential CVD medicines. _x000D__x000D_Medicaid is an initiative at the country level that provides free or low-cost health insurance to low-income citizens. [1] The New York State has the NYRx (New York Medicaid Pharmacy Program), aiming to cover FDA prescription and nonprescription drugs. [2] In this initiative, there is a list of reimbursable drugs which includes the WHO's essential CVD medicines, such as: amlodipine, bisoprolol, enalapril, hydrochlorothiazide, simvastatin, atorvastatin. [3] In addition, the programme will cover insulin, diabetic supplies and pharmacist administered vaccines. To benefit from the NYRx, you need to "currently be enrolled in a Mainstream Medicaid Managed Care Plan, a Health and Recovery Plan (HARP), or an HIV Special Needs Plan (HIV-SNP)". [4]</t>
  </si>
  <si>
    <t>Essential CVD medicines are available and affordable in Japan._x000D_Many pharmaceutical companies have released various medications containing ingredients listed such as Amlodipine, Bisoprolol, and Simvastatin. Not only brand-name drugs but also generics are available, making them accessible to patients at lower costs. [1] [2] _x000D__x000D_Regarding combination drugs, combinations of two medicines, such as calcium channel blockers (CCBs) and angiotensin receptor blockers (ARBs) for hypertension are common. However, the combination tablet Micatrio, which mixes three types of hypertension medications (Telmisartan, Amlodipine, and Hydrochlorothiazide), is widely used. [3]</t>
  </si>
  <si>
    <t>Available evidence from L'Assurance Maladie (Ameli--the health insurance branch of the French national social security system) indicates that the essential CVD medicines included in the WHO Model List of Essential medicines are available in France by prescription. Whilst these medicines are covered by statutory health insurance, their degree of affordability is relative, as they do require a copayment of 35%. _x000D__x000D_In France, enrollment in the national statutory health insurance system is mandated by law. "The system covers most costs for hospital, physician, and long-term care, as well as prescription drugs; patients are responsible for coinsurance, copayments, and balance bills for physician charges that exceed covered fees." [1] _x000D__x000D_Reimbursement rates for medicines range from 100% for "medicines recognized as irreplaceable and particularly expensive", to 30% for "medicines with moderate medical benefit" and specialty medicines prepared by pharmacists and not otherwise commercially available; the reimbursement rate for "medicines with a major or significant medical benefit", which includes the relevant medicines in the WHO Model List, is 65%. [2] [3] [4]</t>
  </si>
  <si>
    <t>In Cambodia, patients identified at risk of developing CVD have access to the essential CVD medicines (or their alternatives) as defined in the WHO EML 23rd List (2023), and they are affordable._x000D__x000D_On 17 January 2024, the Ministry of Health published the 10th Edition of the Essential Medicines List in Cambodia which gives an overview of the distribution of 335 types of medicine in Cambodia. Those include essential antihypertensive medicines, such as amlodipine, bisoprolol, and losartan, lipid-lowering agents like simvastatin, and non-essential fixed-dose combinations for the prevention of atherosclerotic cardiovascular disease (acetylsalicylic acid + atorvastatin + ramipril; and acetylsalicylic acid + simvastatin + ramipril + atenolol + hydrochlorothiazide). [1] The WHO's Cambodia Hypertension Fact Sheet provided that essential hypertension-related medicines are made generally available in the country. [2] [3] According to the findings Accessed in a 2020 journal article on anti-seizure medication in Cambodia, patients in the country can also have access to anti-seizure medicines, such as phenobarbital, carbamazepine, sodium valproate, and phenytoin, in private pharmacies and provincial or district hospitals. [4]_x000D__x000D_According to the Health Strategic Plan 2016 - 2020, improving affordable access to essential and quality-assured medicines in Cambodia played a central part in the plan. The plan aimed to ensure that public health facilities are adequately supplied with medicines for patients as a means to promote availability and accessibility to such essential services. [5] There is also evidence showing that the latest Health Strategic Plan 2021-2030 has been drafted to support universal health coverage in the country. [6]</t>
  </si>
  <si>
    <t>In Riyadh, essential CVD medicines are available through private retailers. The health system covers prescription costs for citizens._x000D__x000D_Multiple online pharmacies home-deliver medicines in Riyadh. Prescriptions are forwarded to local pharmacies by general practitioners and patients collect them free of charge. [1] [2] [3] _x000D__x000D_Medical and pharmaceutical care in Saudi Arabia is free for citizens; prescriptions are free for Saudi citizens (paid for by the government). As for non-Saudi citizens, they are covered by mandatory private health insurance, which is provided by their employers. [3] [4] [5]</t>
  </si>
  <si>
    <t>Medi-Cal, also known as the California Medical Assistance Program, mirrors the federal Medicaid initiative and caters to low-income demographics. According to its 2024 Contract Drug List, amlodipine, bisoprolol, enalapril, hydrochlorothiazide, lisinopril + hydrochlorothiazide, losartan, telmisartan + hydrochlorothiazide, simvastatin, atorvastatin, and pravastatin are covered by the Medi-Cal program. The other medicines from the WHO Essential CVD medicines list were not found in the Medi-Cal Contract Drug List. [1] In the WHO Global EML, a database of the essential medicines lists for 137 countries, it shows that the US does not have a national list of essential medicines. [2]</t>
  </si>
  <si>
    <t>The population of São Paulo City has access to essential medicines for CVD. The Municipal Medicines List 4th edition - December 2023 contains the medicines used in the primary and specialty care network, hospital network, urgency and mobile emergency, oral health and emergency funds in health units. [1] In addition, Brazil has some access-to-medicine programmes, such as the Brazilian Popular Pharmacy Program (PFPB), a Federal Government program that aims to complement the availability of medicines used in Primary Health Care, through partnerships with private pharmacies and drugstores. Therefore, as long as patients present the medical prescription and the Exceptional Medicines Report (LME), provided by the doctor, they can request the medicine through the SUS free of charge. [2]</t>
  </si>
  <si>
    <t>Essential CVD medicines are available and affordable in the city of Seoul and throughout the country. Most of the antihypertensive medicines listed in the WHO Model List of Essential Medicines are available. The Korea Pharmaceutical Information Center's database confirms the availability of antihypertensive medicines based on amlodipine, bisoprolol, enalapril, hydrochlorothiazide and telmisartan + hydrochlorothiazide as well as lipid-lowering medicines based on simvastatin, atorvastatin and pravastatin. All of the medicines on the market are sold under different brand names at affordable prices after provider-level discounts provided through reimbursement by the National Health Insurance. [1] CVD patients pay 5% of published drug prices with the rest reimbursed to providers by the National Health Service. This special copayment rate is available for up to 30 days after in-patient and out-patient treatment. A standard co-payment rate (20% for people ages 65 and over and 30% for younger people) applies to routine prescriptions. [2]</t>
  </si>
  <si>
    <t>Amlodipine, bisoprolol, simvastatin are among the medicines listed in the national basic health insurance drug catalogue and are therefore covered by basic health insurance in China. [1] _x000D__x000D_The medicines included in the drug catalogue will be covered by the health insurance funds in accordance with the national unified health insurance payment standard. Each health insurance fund region [统筹地区] will determine - based on the insurance fund's financial capacity - the proportion paid out-of-pocket by patients and the proportion paid by the insurance fund. [2]_x000D__x000D_Amlodipine, bisoprolol, simvastatin are listed under "Category A" [甲类] in Shanghai's drug catalogue. [3] This means that the use of these medicines will be fully paid for by the insurance fund. [4] [5]</t>
  </si>
  <si>
    <t>There is evidence of access to WHO's EML in the country. _x000D_ In Singapore, some drugs are subsidised in order to promote affordable access for eligible patients. Some of these drugs are included in the WHO's Essential Medicines List. There is also the MAF (Medication Assistance Fund), a financial aid to help the eligible citizens to pay for expensive drugs. In the country, the DAC (Drug Advisory Committee) is responsible for suggesting the drugs that shall be subsidised, based on: clinical needs of patients, cost-effectiveness and the estimated annual cost of the medicine. _x000D__x000D_All the drugs recommended by the DAC shall be available on health care institutions. According to the academic paper "Health Technology Assessment and Its Use in Drug Policies: Singapore", the ability of the HTA (Health Technology Assessment) to subsidise drugs during the negotiation phase with the pharmaceuticals has contributed to a price decrease of 55% of the patent drugs. [1] _x000D__x000D_The Ministry of Health published in March 2024 the list of subsidised drugs and it emphasised that the availability of drugs in these healthcare units varies according to the clinic's conditions. In this initiative, it is possible to find amlodipine, Bisoprolol Fumarate, Enalapril Maleate, Hydrochlorothiazide. [2]</t>
  </si>
  <si>
    <t>The Pharmaceutical Benefits Scheme (PBS) is a government scheme available to all Australian residents who hold a current Medicare card. [1] It subsidises the cost of most medicines prescribed by your doctor or dentist. You make a co-payment of up to A$30 towards the cost of each medicine listed on the PBS. Pharmacists may also give a discount to patients for eligible medicines. Antihypertensive medicines and lipid-lowering medicines are available.</t>
  </si>
  <si>
    <t>Essential CVD medicines are affordable and available in Vienna._x000D__x000D_By statute, the Central Association of Austrian Social Insurance Authorities is required to maintain the Code of Reimbursement (Erstattungskodex- EKO). Specifically, the EKO "must include those medicinal specialties that are approved, reimbursable and guaranteed to be available in Austria, which, according to experience in Austria and abroad and the current state of scientific knowledge, can be assumed to have a therapeutic effect and benefit for patients in terms of the objectives of health treatment". [1] The EKO is updated yearly and the Central Association of Austrian Social Insurance Authorities maintains a free, searchable database of the EKO on its website. [2]_x000D__x000D_The EKO includes the following:_x000D_Antihypertensive medicines: bisoprolol, enalapril, hydrochlorothiazide, lisinopril + amlodipine, lisinopril + hydrochlorothiazide, losartan; telmisartan + amlodipine; telmisartan + hydrochlorothiazide._x000D_Lipid-lowering agents: Simvastatin, atorvastatin._x000D_Fixed-dose combinations for prevention of atherosclerotic cardiovascular disease: acetylsalicylic acid + atorvastatin + ramipril; atorvastatin + perindopril + amlodipine. [1] [2] _x000D__x000D_According to the Federal Minister of Social Affairs, Health, Care and Consumer Protection (BMASGK), Austria has a statutory health insurance scheme that covers the full population and contributions are based on income and employment status, not on the perceived risk of individuals; this compulsory insurance also covers prescriptions. [3] Out-of-pocket payments are restricted to a very low service fee. Further, low-income individuals and refugees and asylum seekers are exempt from copayments for prescriptions and hospital stays; there is also a cap on copayments that applies universally. [3]</t>
  </si>
  <si>
    <t>There is low availability of CVD medicines in Wuhan, and they are not affordable for all._x000D__x000D_Amlodipine, bisoprolol, simvastatin are among the medicines listed in the national basic medical insurance drug catalogue and are therefore covered by the basic medical insurance in China. Acetylsalicylic acid was the only drug absent from the 2022 essential medicines list, which is the most recent full list. [1] Enalapril, Lisinopril, Acetylsalicylic acid, Ramipril, Losartan and Atenolol were all unavailable from the pharmacy in Wuhan that was researched. Of the available medicines, the most expensive was 78 yuan (10.85 USD). [2]_x000D__x000D_A 2017 study in the Lancet Journal found that China has marked deficiencies in the availability, cost, and prescription of antihypertensive medications. High-value medications are not preferentially used and high-cost medications were more likely to be prescribed than low-cost alternatives. [3] Similarly, a more recent 2023 study looking at the the accessibility and affordability of 50 drugs in Wuhan included a review of hypertension drugs such as Bisoprolol and Losartan. The study found the availability of essential drugs in Wuhan was far below the standard of 80% set by WHO, and that there was a lack of regulation of retail pharmacy prices. Furthermore, the study showed that the price of Bisoprolol could represent 1.84 times a normal salary when bought at a private pharmacy. [4]_x000D__x000D_According to the "Measures of Wuhan City for Basic Medical Insurance", if an insured member needs to use Class B drugs in the basic medical insurance catalogue, they need to pay a certain percentage of the cost individually, and the remainder shall be handled in accordance with relevant provisions on general outpatient care outpatient care for chronic and special illnesses and hospitalization. The personal payment standard for the city's resident medical insurance in 2023 was 350 yuan per person per year. [5]</t>
  </si>
  <si>
    <t>The Myanmar National List of Essential Medicine closely follows the guidelines of WHO. [1] _x000D__x000D_In the 2019 National Medicines Policy, it is stated that the government shall regulate the price of essential medicines to ensure the affordability and it shall cover the cost of medicines and services in the essential package of health services. [2]_x000D__x000D_In Yangon, as in the rest of the country, the price of medicines for cardiovascular diseases has increased significantly since February 2021. The variety of medicine brands has been largely reduced due to transportation problems. Per interview evidence, however, while choice of medicine brands has become limited, essential medicines remain accessible in Yangon. The price also remains in the range of affordability, at least for the urban population. [3] [4] The availability of essential medicines at public hospitals and the Township Departments of Public Health is largely limited. [4] [5]</t>
  </si>
  <si>
    <t>There is no evidence of patient-centred care models with multidisciplinary care teams to support self-management of risk factors and cardiovascular conditions._x000D__x000D_The 2016 "Guidelines on Clinical and Programmatic Management of Major Non Communicable Diseases" detail the treatment protocols for major NCDs such as CVDs, cancers, chronic respiratory diseases, and diabetes. However, it does not foresee multidisciplinary care models for self-management of risk factors and cardiovascular conditions at primary care level. [1]_x000D__x000D_The National Strategic Plan for the Prevention and Control of Major Non-communicable Diseases 2020/2021-2024/2025, a strategic plan of NCDs by the FMOH, that aims at prevention, treatment, and control of the major NCDs. The strategic plan envisions "to reduce the burden of NCDs by promoting healthy lifestyles...and providing integrated evidence-based treatment and care to those diagnosed with NCDs". However, the Plan does not discuss such care models for self-management of risk factors and cardiovascular conditions at primary care level, even though they are mentioned. [2] _x000D__x000D_According to the Plan, NCDs have been neglected for too long from the national health agenda and the prevention and treatment of CVD is being challenged by limited availability and affordability of high-quality CVD diagnosis and treatment technologies, inadequate mix and capacity of the health workforce, poor partnership between the public and private health systems. [2]</t>
  </si>
  <si>
    <t>There is no evidence of a multidisciplinary care model to support self-management of risk factors and cardiovascular conditions in Algiers. _x000D__x000D_There is no evidence on the archived page of the Algerian Ministry of Health, Population and Hospital Reform (currently not accessible as of March 2024) or the dedicated page of the Directorate of Health and Population of the Algiers region (The Direction de la Santé et de la Population de la Wilaya d'Alger, "DSP d'Alger") of a multidisciplinary care model to support self-management of risk factors and cardiovascular conditions. [1] [2] [3]</t>
  </si>
  <si>
    <t>There is no evidence of a multidisciplinary care model for primary care in Atlanta. _x000D__x000D_An isolated example is the Wellstar Center for Cardiovascular Care, in which there is the Preventive Cardiology Program led by Dr. Vivek Nautiyal. It adopts "a holistic or multi-pronged approach. [...] We'll make the most impact by focusing on the base, because that's where the most patients are and that can be addressed adequately at the primary care level or through community-led initiatives. And we at the Wellstar Preventive Cardiology Program are engaging with our primary care colleagues to accomplish this through the initiatives I mentioned earlier, helping them in their own preventive strategies". [1]_x000D__x000D_While the referenced hospitals in Atlanta, such as Piedmont Heart Institute and the Health Services Research (HSR) Center at Emory University School of Medicine, emphasise patient-centred care in their descriptions, the evidence provided does not sufficiently support the existence of a multidisciplinary team care model specifically tailored to support self-management of risk factors and cardiovascular conditions. [2] [3] The descriptions mention personalised, patient-centred experiences and a commitment to advancing healthcare access, quality, and outcomes, but they do not explicitly outline comprehensive multidisciplinary care teams involving various healthcare professionals such as nurses, dietitians, counsellors and other allied health professionals for mental health and lifestyle counselling. The patient-centred care is focused on secondary CVD prevention._x000D__x000D_Therefore, Atlanta's score for this indicator is 0.</t>
  </si>
  <si>
    <t>Auckland Primary Health Organisation (PHO) offers a comprehensive Diabetes Self-Management Education (DSME) and Support program through the Living Well With Diabetes interactive workshop. [1]_x000D__x000D_Te Whatu Ora - Health New Zealand provides a national standard Cardiovascular Disease (CVD) Risk Assessment (CVDRA) Service which is accessible to primary and community care providers, and the public. The Service generates the risk (expressed as a percentage) of a person (aged between 30 to 74 years, without prior CVD) having a serious cardiovascular event in the next five years. The Service, when used in a primary or community care setting, enables healthcare providers to assess the CVD risk of their patients. This enables shared care planning and risk management conversations to take place between a patient and their healthcare providers (typically their GP or practice nurse). [2]</t>
  </si>
  <si>
    <t>Establishing a comprehensive multidisciplinary care system in cardiovascular treatment is a specific objective of Thailand's 20-Year National Strategic Plan for public health. [1] In Bangkok, the outcomes detailed in the national strategy are implemented by the regional Bangkok Metropolitan Administration's health department. The agency within the BMA with primary oversight of introducing multidisciplinary care is the Department of Medical Services._x000D__x000D_The 20-year strategy requires officials by end-2026 to "establish and operate 6,500 family medicine clinics to ensure that all Thais have access to family medicine doctors and interdisciplinary medical teams." [1]_x000D__x000D_Recent research indicates that multi-disciplinary care for cardiovascular patients is not widely employed in the health service in much of Thailand. A 2020 study in rural Thailand concluded that "future studies should investigate a cost-effective means of integrating multidisciplinary approach interventions in routine hypertension care for elderly hypertensive patients." [2]</t>
  </si>
  <si>
    <t>There is no evidence of the existence of a multidisciplinary team care model in Beijing to support self-management of risk factors and cardiovascular conditions in CVD patients._x000D__x000D_As per scientific research, a more patient-centred approach has brought some complications for the more traditionally established efforts to carry out standardised care procedures, especially considering situations where the elderly are the patients. [1]</t>
  </si>
  <si>
    <t>There is evidence of a multidisciplinary care model in Germany and in Berlin._x000D__x000D_The multistakeholder Programme for National Health Care Guidelines (NVL) develops guidelines and protocols for various diseases. [1] The NVL cites the need to develop interdisciplinary care models and teams as a part of its foundation. [1] The NVL has published guidelines for treating both hypertension and diabetes. [2] [3] Both were developed in 2023 and are valid through 2028. [2] [3] Relevant goals of the guidelines for hypertension include: "Strengthening patient-centred care", "Improving the implementation of non-drug therapy as the basis of long-term care" and "Promotion of communication and cooperation between the professions and sectors involved to optimise the coordinated long-term care of people with hypertension". [4]</t>
  </si>
  <si>
    <t>In Bogotá, there is no evidence of a multidisciplinary care team to improve heart conditions. However, at the country level, there is evidence of the Primary Care Policy which seeks to promote multidisciplinary care and improve the health of the population. _x000D__x000D_Since 1989, Colombia has had the APS (Primary Care Health) which seeks to improve primary care in the country. The APS is a "strategy of intersectoral coordination that allows comprehensive and integrated care, from the public health, health promotion, disease prevention,_x000D_diagnosis, treatment, rehabilitation of the patient at all levels of complexity". The Primary Care Health Politics, from 2016, prioritises health promotion over disease treatment and It is supplied with the participation of health teams multidisciplinary. "The populations are assigned, cared for and accompanied in a comprehensive manner by multidisciplinary health teams linked to primary providers, within the framework of the primary component of integral networks". The initiative focuses on people, families and community, paying close attention to the health of risk factor groups. These risk factor groups include people with diabetes, hypertension (group 1), people with risks of nutritional change (group 2), people with risks of mental disorders (group 3), among other groups. [1]</t>
  </si>
  <si>
    <t>The Hungarian Hypertonia Organisation mentions once the need of a multidisciplinary approach in treating patients in its 2018 Professional Guidelines of the Hungarian Hypertonia Organisation, but there is no evidence that the team care model exists in practice. [1]_x000D__x000D_The Ministry of Human Capacities published the "Healthy Hungary 2021-27 Health Sector Strategy" in January 2021, but it mentions multidisciplinarity only in connection to elderly care, and not in relation to primary care or self-management of risk factors and cardiovascular conditions. [2]_x000D__x000D_The Ministry of Human Capacities published in 2020 the "The Health Professional Guideline of the Ministry of Human Capacities on the Diagnosis of Diabetes Mellitus, the Antihyperglycaemic Treatment and Care of Diabetic Patients in Adulthood", which is valid until 15 May 2024. Multidisciplinary care and team care models are mentioned only in the context of pregnancy care. [3] In January 2024 the Hungarian Government announced the start of the creation of a National Diabetes Strategy. [4]</t>
  </si>
  <si>
    <t>There is no evidence of a multidisciplinary care model to support self-management of risk factors and cardiovascular conditions in Cairo on the archived page of the Egyptian Ministry of Health and Population's website and on the Cairo Governorate's website. [1] [2]_x000D__x000D_A number of 2022 and 2023 studies recommend that a multidisciplinary, team-based approach to diabetes and heart failure management is adopted in Egypt. [3] [4] The studies do not observe such models having been implemented in the country yet.</t>
  </si>
  <si>
    <t>A patient-centred care model with multidisciplinary care teams to support self-management of risk factors and cardiovascular conditions is adopted by care providers. The Guideline for Management of NCDs in Primary Health Care focuses on screening for NCDs, patient centred and customised treatment based on condition of each patient with advice on lifestyle changes and follow up. [1]</t>
  </si>
  <si>
    <t>[1] Ministry of Health Government of Sri Lanka. Guideline for NCDs in Primary Health Care (Total Risk Assessment Approach). 2012. [Accessed March 15th 2024]. Available from: https://extranet.who.int/ncdccs/Data/LKA_D1_NCD%20Management%20Protocol.pdf</t>
  </si>
  <si>
    <t>A patient-centred care model with multidisciplinary care teams to support self-management of risk factors and cardiovascular conditions is adopted by care providers. The Guidelines for Management of Non communicable diseases under the National Programme for Prevention and Control of Cancer, Diabetes, Cardiovascular Diseases and Stroke (NPCDCS) focuses on screening for NCDs, health promotion, psychosocial counselling, patient-centred, treatment and management, home-based care, follow-up and referral in the primary health care set up. [1] [2]</t>
  </si>
  <si>
    <t>There is no evidence that Dhaka has multidisciplinary care models on the websites of the Dhaka North City Corporation, the Ministry of Health and Family Welfare, or the Directorate General of Health Services (DGHS). [1] [2] [3]_x000D__x000D_The "Multisectoral Action Plan for Prevention and Control of Noncommunicable Diseases 2018-2025," outlines a comprehensive strategy to address noncommunicable diseases (NCDs) in Bangladesh. Acknowledging the paucity of resources, the action plan aims at strengthening the health system organisation and improving the coverage of NCD health services at the primary-care level. Listed activities through multi-stakeholder engagement with relevant government units led by the Ministry of Health and Family Welfare include streamlined interventions like tobacco control, alcohol control, promotion of a healthy diet, physical activity promotion, and indoor air pollution control. However, it does not contain any plans to introduce multidisciplinary care models in the country's public health system. [4]</t>
  </si>
  <si>
    <t>There is no evidence of patient-centred care models with multidisciplinary care teams to support self-management of risk factors and cardiovascular conditions in Dubai._x000D__x000D_There is evidence that such a model was adopted in one private hospital. The Fakeeh University Hospital (FUH) Heart Institute in Dubai demonstrates a patient-centred care model with multidisciplinary care teams. It offers mental health and lifestyle counselling by nurses, dietitians, counsellors, and other allied health professionals. [1] Under preventive cardiology, the FUH offers "preventive measures to reduce the risk of developing heart diseases. These include lifestyle changes, such as diet modifications and exercise, and medications, which help to prevent the progression of heart diseases". [1]</t>
  </si>
  <si>
    <t>[1] FUH. Facilities: FUH Heart Institute. Dubai: Fakeeh University Hospital. [Accessed 5th March 2024]. Available from: https://www.fuh.care/facilities-page/fuh-heart-institute.</t>
  </si>
  <si>
    <t>Patient-centred care models with multidisciplinary care teams to support self-management of risk factors and cardiovascular conditions are adopted by care providers in the city._x000D__x000D_Since the healthcare reform of 2023, the newly established wellbeing services counties (WBSCs) - 21 regional areas formed based on the division of provinces, and the City of Helsinki as an exception - are responsible for providing social and healthcare services in Finland. [1, 2] According to the Healthcare Act 1326/2010, the WBSCs and the City of Helsinki must organise health counselling that supports the promotion of the health and well-being of its residents, as well as the prevention of diseases. The WBSCs and the City of Helsinki must ensure that cooperation between health care and social care and the health care professional should assess the person's needs and draw up a customer plan. Cooperation must also be ensured between primary health care and specialised medical care; these should form a functional entity. [3]</t>
  </si>
  <si>
    <t>While hospitals in Vietnam provide multidisciplinary care [1][2], we identified no evidence of this type of care in primary care settings. One academic paper published in 2021 noted that Vietnam's healthcare system needed to be migrated to a patient-centered care model.[3]</t>
  </si>
  <si>
    <t>The Community Dispensary Care Collaborative (CDCC) scheme offers a multidisciplinary team including a family doctor, nurses, allied health professionals (optometrist/podiatrist/dietitian/physiotherapist) to support the various medical needs of the participants. [1]</t>
  </si>
  <si>
    <t>[1] Health Bureau HKSAR Government. Introduction of CDCC Pilot Scheme. Hong Kong: Primary Healthcare Office; 2023. [Accessed March 12th 2024]. Available from: https://www.primaryhealthcare.gov.hk/cdcc/en/gp/introduction.html</t>
  </si>
  <si>
    <t>There is evidence that patient-centred care models with multidisciplinary care teams exist in Turkey and are applied in Istanbul to support self-management of risk factors and cardiovascular conditions. _x000D__x000D_In Turkey's highly centralised health system, the national Ministry of Health and its provincial directorates implement health policies, "...overseeing workforce planning, the regulation of medicines, vaccines, cosmetics and medical devices, and health research and development." [1] Multidisciplinary, patient-centred care models are promoted in one of the ministry's key national health plans; the Multisectoral Action Plan of Turkey for Noncommunicable Diseases 2017-2025. A central initiative of the plan aims to promote "individual-centred priority approaches targeting behavioural risk factors" for cardiovascular risk assessment and management. [2] _x000D__x000D_One institution pivotal in introducing the patient-centred care model in Turkey is the Anadolu Medical Centre, located in Gebze, Kocaeli, a suburb of Istanbul. It operates a Person-Centred Care Department comprised of doctors, case nurse managers, dieticians and psychologists as needed, at each stage of treatment. [3]</t>
  </si>
  <si>
    <t>There is no evidence of a robust multi-disciplinary care model in which patients are required to be seen by allied professionals such as dieticians or mental health specialists. Indonesia adopts a structured referral health system and the first point of primary care is the Puskesmas, a neighbourhood clinic. Staff nurses at the Puskesmas clinic will advise patients of the importance of self-management of a healthy lifestyle. However, access to the allied health professionals mentioned is limited in DKI Jakarta province. [1]</t>
  </si>
  <si>
    <t>There is no evidence of a multidisciplinary care model to support self-management of risk factors and cardiovascular conditions in South Africa or the City of Johannesburg._x000D__x000D_The national Standard Treatment Guidelines include lifestyle modification among measures for hypertension, and recommend dietician's advice, but do not set a basis for provision of multidisciplinary care. [1] [2] [3] The National User Guide on the Prevention and Treatment of Hypertension in Adults at Primary Health Care Level, published in 2021, also does not imply multidisciplinary care. [4] The 2014 Integrated Chronic Disease Management Manual also does not draw a multidisciplinary care model. _x000D__x000D_No further evidence was found on the websites of the National Department of Health and government of the City of Johannesburg, and on published journal literature. [5] [6] [7]</t>
  </si>
  <si>
    <t>There is no evidence of a multidisciplinary care model in Karachi._x000D__x000D_The fragmented healthcare system in Pakistan relies heavily on the private sector, especially in urban areas like Karachi, where 70% of care is delivered at private clinics and hospitals and patients shoulder total costs. With rising inflation, healthcare is becoming increasingly expensive across Pakistan, leading to episodic, disease-specific care with little or no focus on multidisciplinary care teams to support self-management of risk factors and cardiovascular conditions adopted by care providers in Karachi (for example mental health, lifestyle and dietary modifications, counselling by other allied healthcare professionals). [1]_x000D__x000D_The financial burden of treating CVDs (through consultation, medicines, diagnostics, transportation etc) creates additional challenges in accessing multidisciplinary care models for a majority of the population, further contributing to morbidity and mortality. This is especially true for the "middle class" (defined as households with the ability to spend US$14-42 per member weekly), who are largely ineligible for government-funded health programmes and rely on unregulated private-sector healthcare in the country. [2]</t>
  </si>
  <si>
    <t>There is no evidence of a multidisciplinary care model to support self-management of risk factors and cardiovascular conditions in Nepal. However, regular health services pertaining to CVD are delivered across the country through a network of public and private hospitals and health centres. [1]</t>
  </si>
  <si>
    <t>[1] Shrestha A, Maharjan R, Karmacharya BM, et al. Health system gaps in cardiovascular disease prevention and management in Nepal. BMC Health Serv Res. 2021 Jul 5;21[1] :655. doi: 10.1186/s12913-021-06681-0. PMID: 34225714; PMCID: PMC8258928.</t>
  </si>
  <si>
    <t>A patient-centred care model with multidisciplinary care teams to support self-management of risk factors and cardiovascular conditions is adopted by care providers. _x000D__x000D_The Guidelines for Management of Non communicable diseases under the National Programme for Prevention and Control of Cancer, Diabetes, Cardiovascular Diseases and Stroke (NPCDCS) focuses on screening for NCDs, health promotion, psycho-social counselling, patient-centred, treatment and management, home-based care, follow-up and referral in the primary health care setup. [1] [2]</t>
  </si>
  <si>
    <t>There is no evidence of patient-centred care models with multidisciplinary care teams to support self-management of risk factors and cardiovascular conditions in Kuwait._x000D_ _x000D_A Health System Review conducted by the London School of Economics in 2018 mentions that multidisciplinary approaches are used within the Kuwaiti healthcare system both to assess and to treat patients. [1] There are also a number of medical centres in Kuwait that provide primary care through multidisciplinary treatments, such as the Royale Hayat Hospital or the Fawzia Sultan Healthcare Network. However, these are not public or state-funded institutions that are free to access for all citizens and residents. [2] [3] _x000D_ _x000D_Initiatives such as the Kuwait International Multidisciplinary Pediatric Conference have been held to promote multidisciplinary approaches. [4]</t>
  </si>
  <si>
    <t>There is no evidence of a multidisciplinary care model to support self-management of risk factors and cardiovascular conditions adopted by care providers in Lagos._x000D__x000D_A February 2019 study examining patients' and healthcare providers' perceptions regarding hypertension care in Lagos described access and adherence to hypertension care in Nigeria as poor. [1] The study noted that public health infrastructure is often poor with long-waiting times, and patients face challenges in terms of lack of health insurance, cultural or religious barriers, and financial constraints regarding treatment compliance. [1] As a result, patients often seek treatment elsewhere relying upon pharmacy-based care, or informal, cheaper healthcare providers. [1] A June 2019 study on treatment adherence and patient satisfaction among hypertensive patients at Lagos University Teaching Hospital found moderate medication adherence amongst 89.2% of respondents; the study does not observe patient-centred care models with multidisciplinary care teams. [2]_x000D__x000D_There is some evidence Lagos's Hospitals utilise community health workers (CHWs) to address shortages of skilled workers and support self-management of risk factors and cardiovascular conditions. [3] [4] However, CHWs do not represent a cohesive multidisciplinary team. [4]_x000D__x000D_A review of the Lagos Ministry of Health website found no evidence of multidisciplinary care model to support self-management of risk factors and cardiovascular conditions adopted by care providers in Lagos. [5]</t>
  </si>
  <si>
    <t>There is guidance for frontline health professionals on how to identify CVD risk factors and how to identify/manage CVD high risk factors especially high blood pressure and atrial fibrillation. Other activities outlined include asking patients if they know their recent blood pressure reading and offering a blood pressure check, asking patients if they have recently had their cholesterol checked and offering testing where appropriate and discussing with patients the importance of knowing and understanding their CVD risk. Frontline health professionals are also encouraged to discuss with patients the benefits of behaviour change in reducing CVD risk, including lifestyle factors such as smoking, physical activity, obesity and alcohol consumption. [1]</t>
  </si>
  <si>
    <t>[1] Office for Health Improvement &amp; Disparities. Guidance. Cardiovasular disease prevention: applying All our Health. London: Department of Health and Social Care; 2022. Available from: https://www.gov.uk/government/publications/cardiovascular-disease-prevention-applying-all-our-health/cardiovascular-disease-prevention-applying-all-our-health</t>
  </si>
  <si>
    <t>The Community of Madrid applies a multidisciplinary, patient-centred care model in managing cardiovascular disease. Targeting both the general public and healthcare professionals, the model is employed in health clinics and in teaching hospitals._x000D__x000D_Overarching strategy on healthcare is set at the national level. The multidisciplinary, patient-centred approach is one of five key pillars of the national-level Strategy on Cardiovascular Health, run by the Ministry of Health. [1] Several of the action measures of the Strategy mandate healthcare authorities to strengthen interventions in primary care, with regard to the early detection, diagnosis and monitoring of cardiovascular disease, as well as with regard to counselling patients on lifestyles, especially on physical activity, healthy diets, and the reduction of tobacco and alcohol consumption. [1]_x000D__x000D_For the benefit of the general public, for over 10 years the Community of Madrid has, in collaboration with the Primary Care Cardiovascular Care Nursing Network (REccAP) and on behalf of the national Ministry of Health, organised awareness-raising activities and tests for residents between 40 and 70 years of age to determine their risk of suffering from cardiovascular disease. Group educational sessions on prevention and healthy lifestyles are held in health clinics, where tests are taken that measure age, sex, tobacco consumption, blood pressure and cholesterol levels to derive an individual's risk score. [2] For the benefit of healthcare professionals, the Community operates seven so-called Multiprofessional Teaching Units for Family and Community Care (Unidades Docentes Multiprofesionales de Atención Familiar y Comunitaria—UDM de AF y C). [3]</t>
  </si>
  <si>
    <t>The Philippine Primary Care Policy Framework and Sectoral Strategies, published in May 2020, applies to Department of Health (DOH) "Bureaus/Offices and its attached agencies, LGUs (local government units), other national government agencies (NGAs), civil society organisations (CSO), health partners, academia, private institutions, and all others concerned." The policy framework intends to ensure a "people-centred approach to primary care" across the country. The policy is in the form of an enforceable government order, and requires local government units to "enhance primary care competencies of health workers through re-designing health worker education towards development of competencies for delivery of a patient-centred and comprehensive primary care services." [1] However, there is no evidence of a multidisciplinary care model covering at least two of the areas listed._x000D__x000D_No evidence of a mandatory multidisciplinary care model was identified on the websites of the Department of Health or the Manila Health Department. [2] [3]</t>
  </si>
  <si>
    <t>In 2012 the Victorian government (Department of Health and Human Services) developed the Life! programme to help individuals prevent diabetes, heart disease and stroke, as an extension of an already existing programme for diabetes. Participants receive information and aid combatting risk factors, changing lifestyle behaviours, healthy eating and physical exercise, goal setting, stress and improving sleep. Facilitators of this program come from a variety of allied health backgrounds. [1] In 2015, the Victorian Department of Health and Human Services developed Heart Health, outlining a strategic vision for improving outcomes for people with, or at risk of, heart disease. A key aspect of this vision is involving individuals and primary care providers in promoting healthy living by improving community literacy on heart health, supporting lifestyle programs, and improving early detection and management. [2] At a national level, the Australian Department of Health and Aged Care produced a strategic action plan for heart disease and stroke, which outlined the importance of prevention and early detection though better detection and management of those at risk, addressing risk factors and encouragement of individuals to live healthier lives, and improvement of national education on heart disease. This includes improving the management of people at risk through primary care. [3]</t>
  </si>
  <si>
    <t>Mexico's Specific Action Program for Cardiometabolic Diseases 2020-2024 adopts an integrated approach, focusing on Primary Health Care to enhance continuity of care for cardiovascular diseases (CVDs) through multidisciplinary teams. These teams prioritise patient empowerment, ensuring comprehensive care. An example of this approach is the incorporation of Specialized Medical Units in Chronic Diseases, which operate under the Clinical Prevention Model, emphasising a biopsychosocial approach that involves the collaboration of different professionals. Another initiative within the program above, the Health Program for Adults and the Elderly, addresses obesity and cardiovascular risk through coordinated efforts involving doctors, nutritionists, and physical activity professionals across various levels of healthcare provision such as state, jurisdictional, and healthcare unit levels. [1]</t>
  </si>
  <si>
    <t>[1] Secretária de Salud. Programa de Acción Específico de Enfermedades Cardiometabólicas 2020-2024 [Specific Action Program for Cardiometabolic Diseases 2020-2024]. Mexico City: Government of Mexico; 2020 [Accessed March 21st 2024]. Available from: https://www.gob.mx/cms/uploads/attachment/file/714141/PAE_CME_cF.pdf</t>
  </si>
  <si>
    <t>There is no evidence of patient-centred care models with multidisciplinary care teams to support self-management of risk factors and cardiovascular conditions in Moscow._x000D__x000D_A 2021 study notes that a pilot project on multidisciplinary approaches to CVD management was implemented in 2013-17 in 13 regions, including Moscow. [1] However, no further research was identified confirming that the pilot was continued. _x000D__x000D_There is no evidence within the Russian Society on Hypertension or the Ministry of Health to show that multidisciplinary approaches are being implemented. [2] [3]</t>
  </si>
  <si>
    <t>A patient-centred care model with multidisciplinary care teams to support self-management of risk factors and cardiovascular conditions is adopted by care providers. The Guidelines for Management of Non communicable diseases under the National Programme for Prevention and Control of Cancer, Diabetes, Cardiovascular Diseases and Stroke (NPCDCS) focuses on screening for NCDs, health promotion, psycho-social counselling, patient centred, treatment and management, home-based care, follow up and referral in the primary health care set up. [1] [2]</t>
  </si>
  <si>
    <t>No evidence of a multidisciplinary care model in public health centres was found on the websites of Kenyatta National Hospital or the Ministry of Health. [1] [2]_x000D__x000D_There is evidence of multidisciplinary care models covering at least two of the areas listed, but these concern multidisciplinary care provided by specialised clinics in private hospital settings._x000D__x000D_The private Primecare Heart Clinic of the Anderson Center in The Nairobi Hospital offers "diabetes education" services to help patients understand blood sugar monitoring, medication management, healthy eating, physical activity and stress management. Such services are offered through individual counselling, group classes or digital platforms. [3]_x000D__x000D_The private Heart Centre of the Aga Khan University Hospital in Nairobi offers an onsite multi-disciplinary team of cardiac surgeons, cardiologists, cardiac anaesthesiologists, interventional radiologists, vascular surgeons, clinical perfusionists, qualified cardiac nurses, dieticians, physical therapists and cardiac coordinators. However, it does not appear to support self-management of risk factors. [4]_x000D__x000D_The primary health insurance provider in Kenya, the National Health Scheme (NHS), which is both statutory (for employed persons) and voluntary (for self-employed persons), requires members to contribute KES 500 (approx. US$3.42) every month. The NHS does not cover services at private health facilities. [5]</t>
  </si>
  <si>
    <t>There is evidence of a multidisciplinary care team to support risk factors and cardiovascular conditions. _x000D__x000D_Take Care New York 2024 (TCNY 2024) is New York City's blueprint for advancing health equity and allowing everyone to lead healthier lives. [1] TCNY 2024 is a multidisciplinary programme, and different healthcare partners are involved. Some of these partners are: hospitals, local pharmacies, community organisations, and primary care providers. To tackle such diseases, facilities support care providers, pharmacists help control diabetes and hypertension, and farmers' markets incentivise the consumption of healthy foods. The NYC Health Department works with hospitals, local pharmacies, primary care providers, community-based organisations, city agencies and others to improve public health across the city.</t>
  </si>
  <si>
    <t>[1] New York City Department of Health and Mental Hygiene. Take Care New York 2024. New York City. NYC Department of Health and Mental Hygiene. 2024. Available from: https://www.nyc.gov/assets/doh/downloads/pdf/tcny/community-health-assessment-plan.pdf</t>
  </si>
  <si>
    <t>There are patient-centred care models to support self-management of people's health by various health professionals. _x000D__x000D_The Act on Assurance of Medical Care for Elderly People mandates that health insurers (all kinds of health insurance) conduct Lifestyle Health Checkups (health checkups focused on metabolic syndrome) for subscribers aged 40 and over. Furthermore, it requires providing support aimed at improving lifestyle habits for those subscribers who are deemed at risk of metabolic syndrome as a result of their check-up results (Lifestyle Health Guidance). Lifestyle Health Guidance involves a team of doctors, public health nurses, and registered dietitians—who are experts in health promotion—providing "motivational support" and "active support" based on the number of metabolic syndrome risk factors (risks associated with visceral fat accumulation, blood glucose levels, cholesterol levels, blood pressure, and smoking habits) to enable individuals to engage in self-care (self-management) related to their health. In motivational support, individuals reflect on their lifestyle habits through interviews, set goals suitable for their lifestyle, receive support in implementing these goals, and three months later, a hearing is conducted to assess the progress. In active support, this process is continued over time. [1] [2]</t>
  </si>
  <si>
    <t>Available evidence indicates that facilities using patient-centred, multidisciplinary care models to support self-management of risk factors and cardiovascular conditions exist in the Region of Île-de-France and elsewhere in the country, and continue to grow in number._x000D__x000D_National-level policies and legislation--in particular the national health strategy (SNS) and the "Priority prevention" national public health plan--promote the Identification and reduction of cardiovascular risk in primary care through many different mechanisms. These plans support the multidisciplinary care model mainly by mandating the establishment of "innovative multi-professional health organisations" throughout the country. [1] Key in this regard are the so-called multi-professional health centres (maisons de santé pluriprofessionnelles—MSPs), which are located throughout metropolitan France and which bring together several different types of primary-care professionals—including general practitioners, nurses, pharmacists, physiotherapists, dental surgeons, speech therapists, chiropodists-podiatrists, dieticians, occupational therapists, psychomotor therapists, etc—to focus on a common healthcare objective. Each MSP has at least two general practitioners and one other paramedical professional; MSPs often include psychologists, even if the public health code does not recognise them as health professionals. [2] The national authorities have an action plan to "massively accelerate" the MSP model and increase their number to 4,000 by 2027 (they numbered 2,251 in 2022). [3]</t>
  </si>
  <si>
    <t>There is no evidence that care providers in Phnom Penh adopt patient-centred care models with multidisciplinary care teams to support self-management of risk factors and cardiovascular conditions._x000D__x000D_Patient-centred care models with multidisciplinary care teams to support self-management of risk factors and cardiovascular conditions are not adopted by care providers in Phnom Penh. [1] [2] [3] _x000D__x000D_However, a 2020 journal article on an innovative model for the management of cardiovascular disease risk factors in disadvantaged areas in Cambodia provided that MoPoTsyo Patient Information Center, a registered Non-governmental Organization (NGO) in Cambodia, has adopted a community-centred model called Peer Educators (PEs). [4] [5] The care model which supports self-management allows patients with diabetes and/or hypertension to screen and initiate management of their fellow community members in their local villages. The care model has been adopted in 21 of 100 operational districts (OD) of Cambodia. However, there is a lack of evidence that shows the model is also adopted in the city of Phnom Penh. [5] _x000D__x000D_In 2022, the Cambodian Association of Nurses (CAN) partnered with the Korea International Cooperation Agency (KOICA) to hold CAN Congress under the theme "Promoting Patient-CentredCare: Nurses' Roles". The congress was held to provide Continuing Professional Development on patient-centred care with nurses' roles and encourage nurses from practice settings to implement and practise patient-centred care. [6]</t>
  </si>
  <si>
    <t>Multiple recent studies have been made on the state of care for cardiovascular and related diseases in Saudi Arabia's major cities, including Riyadh. [1] [2] [3] These studies all provide recommendations regarding the need to integrate a multidisciplinary approach to care for cardiovascular diseases, and so the presumption can be made that such an approach is currently lacking. _x000D__x000D_The Basic Health Insurance Policy, as published by the Council of Health Insurance, stipulates the following regarding primary care: "Health services provided by medical teams under the supervision of qualified practitioners so that these services are comprehensive, continuous, coordinated and based on Value-Based Healthcare. Primary care ranges from counselling and prevention to treatment of organic and psychological diseases for all ages and categories of beneficiaries, maternity care and child health services, rehabilitation, palliative care, urgent care services, chronic disease care, population health and others as needed to serve beneficiaries registered with primary care providers and under approved medical best practices." [4] No evidence of a mandatory multidisciplinary care model was identified on the websites of the Saudi Ministry of Health, the Public Health Authority or the Royal Commission for Riyadh City. [5] [6] [7]</t>
  </si>
  <si>
    <t>Available evidence indicates that the Region of Lazio, which contains the city of Rome, is implementing multidisciplinary, patient-centred care models for cardiovascular conditions, as this action is stipulated in the key national and regional health plans (in Italy's devolved healthcare system, policy initiatives are set by the regional healthcare services, not by the city governments). [1] _x000D__x000D_The adoption of multidisciplinary, patient-centred care models is stipulated in two key planning documents determining public health policy in the Region of Lazio today; Lazio's own Regional Prevention Plan 2021-2025 (Piano Regionale della Prevenzione—PRP) and the National Chronicity Plan (Piano Nazionale della Cronicità—PNC) being implemented through the PRP. [2] [3] _x000D__x000D_In the field, all of the 15 prevention programmes of the PRP are implemented by local branches of the regional health service known as the Local Health Authorities (aziende sanitarie locali—ASL). The 14th programme, entitled "Prevention and Early Identification of Risk Factors in the Integrated Management of Chronicity", aims to raise public awareness of the mortality risks caused by four chronic diseases (cardiovascular diseases, type II diabetes, hypertension and obesity) and to prevent them through self-management of the risk factors; changing nutrition patterns, improving lifestyles, and taking preventive actions. [4]</t>
  </si>
  <si>
    <t>In San Francisco, care providers have increasingly embraced patient-centred care models with multidisciplinary teams to support self-management of risk factors and cardiovascular conditions. _x000D__x000D_While traditional models often relied solely on a primary care provider (PCP) to manage patient care, as with the Medi-Cal programme), there has been a notable shift towards comprehensive team-based approaches. [1] For instance, programmes like PHASE (Preventing Heart Attacks and Strokes Everyday) pioneered by Kaiser Permanente have demonstrated success by combining evidence-based medication regimens with lifestyle modifications, facilitated by a diverse team of healthcare professionals including physicians, nurses, pharmacists, and care coordinators. [2] _x000D__x000D_Since 2008, the San Francisco Department of Public Health (SFDPH) and the UCSF Center for Excellence in Primary Care has received support from Kaiser Community Benefits to provide support to seven Department of Public Health clinics to help them implement panel management. [3] Additionally, initiatives such as the Hypertension Health Equity Project, that has began in 2015 as a quality improvement and equity initiative of the San Francisco Health Network's Primary Care group, a branch of the San Francisco Department of Public Health, have further underscored the efficacy of multidisciplinary efforts in improving health outcomes. These projects incorporate tailored health education, home monitoring tools, medication algorithms, and innovative interventions like food pharmacies, all facilitated by collaborative teams involving nurses, dietitians, counsellors, and other allied health professionals. These examples highlight a broader trend towards comprehensive, team-based care models that empower patients to manage their cardiovascular health effectively, with support from a diverse array of healthcare experts. [4]</t>
  </si>
  <si>
    <t>There is evidence of a multidisciplinary care model in the city of São Paulo. The technical area of Integrative Health was created in 2001 seeking to increase the self-care possibilities, based on sustainable technology and scientific research. Nowadays, those areas are present in every Health Care Public Centers (Unidade Básica de Saúde) and in some municipal hospitals. The technical area of Integrative Health, created by the Health Secretariat, aims to implement and strengthen Integrative and Complementary Health Practices (PICS). Those technical areas propose to expand the integrative therapeutic resources, including diet, therapy and Integrative Community Therapy. [1] In addition, the city provides a "Multiprofessional team in Primary Health Care – eMulti", Social Worker, Physical Education Professional, Pharmacist, Physiotherapist, Speech Therapist, Doctor, Nutritionist, Psychologist and Occupational Therapist. [2]</t>
  </si>
  <si>
    <t>The Expert Group on Health Promotion for the Seoul Metropolitan Government represents a city-level patient-centred care model with multidisciplinary care teams to support self-management of risk factors and cardiovascular conditions adopted by care providers in the city. The organisation's patient-centred care programme includes a focus on smoking cessation, physical exercise, obesity prevention and safe drinking. The main element of the care model is home visits to at-risk households in the city's 25 wards by multidisciplinary care teams including visiting nurses and health counsellors. The organisation's institutional partners include community health centres and universities in the city. [1]. The home visit programme's main target group is residents with CVD risk factors. Visiting teams provide health monitoring and medical check-ups as well as counselling. [2].</t>
  </si>
  <si>
    <t>There is limited evidence of a multidisciplinary approach regarding the management of cardiovascular risks at hospitals. China's healthcare system is hospital-centric, and most healthcare, including primary care services, takes place in hospitals. [1]_x000D__x000D_Zhongshan Hospital, a teaching hospital affiliated with the Shanghai Medical College of Fudan University, has established four Multidisciplinary Treatment Teams for pulmonary hypertension, difficult diseases of the aorta, cancer and heart disease, and vasculitis respectively. According to an article on Fudan University's website, some of these projects have preventative and long-term care aspects. [2]</t>
  </si>
  <si>
    <t>There is no evidence of a multidisciplinary care model in Singapore at primary care. _x000D__x000D_All public hospitals, polyclinics, and specialty centres have been restructured as government-owned corporations and operate under three healthcare groups or "clusters": National Healthcare Group, National University Health System, and SingHealth._x000D__x000D_The NUH (National University Hospital in Singapore) is a public and not-for-profit health organisation that has a Women's Heart Health Program for tertiary care, for example. [1] This initiative aims to provide personalised care for at-risk women or those with heart diseases. Concerning the special heart conditions in women, the program deals with: pregnancy and heart disease, preventive heart health, female phenotype coronary disease, cardio rheumatology and pulmonary hypertension, and heart failure syndromes with predilection for women. The initiative offers: cardiovascular risks evaluation to identify risk factors, cardiac diagnostics with integrated approach and lifestyle modification to achieve heart health. The program involves a multidisciplinary team of care providers: an on-site health coach, an occupational therapist, cardiac rehabilitation, a menopause clinic and a cardio-oncology clinic. [2] While this is a multidisciplinary approach, it's not available in primary care.</t>
  </si>
  <si>
    <t>The NSW Health department (state-level) offers a multidisciplinary team care consisting of at least one patient and multiple health professionals from several different disciplines. [1] Country-wide, this is also part of the national primary care framework, where "it proposes funding reform over time to support outcome-focused and multidisciplinary care and to address the challenges". [2]_x000D__x000D_The NSW Health department also built the NSW clinical service framework for chronic heart failure in 2016, which is centred around an integrated, multidisciplinary approach to management. [3] This approach includes pharmacological and non-pharmacological management across the spectrum of multidisciplinary care. The framework states that, "All patients with CHF should have access to [...]: psychosocial assessment, [...] dietary advice, [...]", evidencing a multidisciplinary approach.</t>
  </si>
  <si>
    <t>There are patient-centred care models to support self-management of people's health by various health professionals. _x000D__x000D_The Act on Assurance of Medical Care for Elderly People mandates that health insurers (all kinds of healthy insurance) conduct Lifestyle Health Check-ups (health check-ups focused on metabolic syndrome) for subscribers aged 40 and over. Furthermore, it requires providing support aimed at improving lifestyle habits for those subscribers who are deemed at risk of metabolic syndrome as a result of their check-up results (Lifestyle Health Guidance). Lifestyle Health Guidance involves a team of doctors, public health nurses, and registered dietitians—who are experts in health promotion—providing "motivational support" and "active support" based on the number of metabolic syndrome risk factors (risks associated with visceral fat accumulation, blood glucose levels, cholesterol levels, blood pressure, and smoking habits) to enable individuals to engage in self-care (self-management) related to their health. In motivational support, individuals reflect on their lifestyle habits through interviews, set goals suitable for their lifestyle, receive support in implementing these goals, and three months later, a hearing is conducted to assess the progress. In active support, this process is continued over time. [1] [2]</t>
  </si>
  <si>
    <t>There is no evidence of a multidisciplinary care model in the primary care context._x000D__x000D_At the provincial level an integrated vascular health blueprint for Ontario was published in 2012 titled shaping the future of vascular health. This blueprint proposes a shared care model in which specialists can collaborate with primary care providers in the delivery of high quality vascular care only. [1]_x000D__x000D_The Canadian Heart and Stroke foundation has a guide for patients living with stroke. In the guide it is noted that during patient recovery a team of healthcare providers will work with the patient. A patient's stroke care team depends on needs and the healthcare providers available in the community at the time. The health professionals that make up the stroke team can include, neurologist, physiatrists, family doctor, nurses, neuropsychologists, occupational therapist, physiotherapists, speech language pathologist, social worker, care managers and discharge planners, dietitians, pharmacists, educators and recreational therapists. [2]</t>
  </si>
  <si>
    <t>CVD management includes a multidisciplinary care model in Vienna. _x000D__x000D_The Diabetes Center Wienerberg, which is operated by the Vienna Healthcare Group (a city-owned corporation that manages healthcare on behalf of Vienna's government), describes a multidisciplinary care model when describing its role: "We work closely with specialists in internal medicine, qualified health and nursing staff, dietitians and clinical and health psychologists from the 1st Medical Department of Klinik Landstraße". [1] [2] Itsstaff includes both doctors trained in internal medicine, as well as specialised nursing staff, dietitians and a psychologist. [3]</t>
  </si>
  <si>
    <t>Multidisciplinary care models for hypertension treatment have been used in Wuhan. In the referenced study, patients at the Cardiovascular Medicine inpatient unit of the Union Hospital (Wuhan, China) were treated with multidisciplinary care including hypertension physicians, nursing managers, clinical nurses, diabetes specialist nurses, clinical pharmacists, public nutritionists, psychological counsellors, and a head nurse. [1] _x000D__x000D_Multidisciplinary care teams are also on offer at Wuhan University People's Hospital and Hubei Provincial People's Hospital. [2]</t>
  </si>
  <si>
    <t>There is no evidence of a multidisciplinary team care model to support self-management of risk factors and cardiovascular conditions._x000D__x000D_Most Township departments of public health are ill-equipped and do not have sufficient human resources. Some health centres only have a nurse and a midwife. While they are usually trained to diagnose hypertension and diabetes, it is practically impossible for them to provide further services. [1] [2]_x000D__x000D_The guideline on the management of Dyslipidaemia in Type 2 Diabetes Mellitus published in 2014 is focused mainly on the treatment by medical personnel (especially doctors) and the role of other actors; preventive measures were not included in the plan. [3]_x000D__x000D_The National Strategic Plan for Prevention and Control of NCDs (2017-2021) laid out plans for health promotion with dietitian counselling and treatment for mental disorders. [4] However, those projects were not effectively implemented. [5] [6]</t>
  </si>
  <si>
    <t>Addis Ababa city authorities possess regulatory powers regarding health affairs. [1]_x000D__x000D_Addis Ababa is one of the two autonomous city administrations in Ethiopia. The federal constitution of Ethiopia grants regions and the two cities considerable share of power on their internal affairs. As a result Addis Ababa city has its own health bureau (AAHB), and its own regulatory agency called Addis Ababa City Administration Food And Drug Authority (AAFDA). [2] [3] Some of the responsibilities of AAFDA include 1) Inspection of food establishments 2) Inspection of health facilities 3) food product quality and safety inspection 4) certification of food facilities 5) licensing of food and health facilities 6) enforcing applicable standards of food, drugs, and medical devices. [1]</t>
  </si>
  <si>
    <t>Algiers does not have the power to introduce health policies addressing the major CVD risk factors._x000D__x000D_Article 77 of the Provincial Government Act allows local and regional authorities to deal with public health and protection of children and people requiring particular help. It foresees that authorities may set up standing committees for such matters, including those related to health, hygiene and environmental protection, as well as ad-hoc committees to examine any other issues relevant to the province. [1] [2] However, Algerian provinces have limited budgetary and policymaking powers. [2]_x000D__x000D_Executive decree N.15/141 relating to the organisation and functioning of the administrative district does not contain provisions regarding the power (autonomy) of provinces to introduce policies. [3]</t>
  </si>
  <si>
    <t>Atlanta has some degree of autonomy in introducing health policies, including those addressing major cardiovascular disease (CVD) risk factors, at the local level. Georgia's 159 County Boards of Health are authorised to enact regulations to protect public health within their jurisdictions, as long as these regulations do not contradict those of the state Department of Public Health. This indicates that local health authorities, including those within Atlanta, may have the power to introduce health policies tailored to address specific health concerns, such as CVD risk factors, within their respective counties.[1] The Atlanta City Council is responsible for making laws governing the city and developing policies that serve as operational standards for the administration of city government. While this information does not explicitly mention health policies, it suggests that the Atlanta City Council has the authority to enact regulations and policies that could potentially address CVD risk factors within the city. [2] _x000D__x000D_Based on this information, it seems that Atlanta has some power (autonomy) to introduce health policies addressing major CVD risk factors at the local level, particularly through the actions of the Atlanta City Council. As an example, Atlanta has implemented smoke-free policies in public places and workplaces to reduce exposure to secondhand smoke. Smoking is a major risk factor for cardiovascular disease, so implementing smoke-free policies can help protect the health of residents and reduce the incidence of CVD. The smoke-free legislation, adopted by the Council with a 13-2 vote and signed into law by Mayor Keisha Lance Bottoms in 2019, prohibits smoking and vaping indoors in most public places, including bars and restaurants, while exempting cigar bars and hookah lounges. [3]</t>
  </si>
  <si>
    <t>[1] New Zealand Legislation. Local Government Act 2002 No 84 (as at 17 February 2024), Public Act 14 Principles relating to local authorities. [Accessed March 18th 2024]. Available from: https://www.legislation.govt.nz/act/public/2002/0084/latest/DLM171810.html</t>
  </si>
  <si>
    <t>Bangkok has limited regulatory power and cannot as a devolved administration introduce higher taxes on tobacco and alcohol. However, the Bangkok Metropolitan Administration does have autonomy to launch health initiatives linked with cardiovascular risk factors. On Mar. 24, 2024, the city's Medical Services Department announced a drive to screen 1 million residents for cardiovascular disease [1]. Separately, the Green Bangkok 2030 initiative announced by the Bangkok Metropolitan Administration in 2021 aims to increase green space from a ratio of 6.8 sq metres per person to 10 sq metres by 2030. [2]</t>
  </si>
  <si>
    <t>The city does have regulatory power to introduce and implement regulatory policies to address CVD risk factors. _x000D__x000D_Beijing is a so-called "direct-administered municipality", meaning that the city is directly governed by the Central People's Government and that Beijing has a provincial-level legislature that has the power to pass laws in many areas. [1]_x000D__x000D_However, China's political system is based on the principle of "democratic centralism." [2] All lower levels in the country's political hierarchy are subject to modifications "in direction and decisions originated at the central level of the government." [2] _x000D__x000D_Therefore, dedicated governmental agencies such as the Beijing Municipal Health Commission are subject to local health policies taken by the CPC Central Committee, and the National Health Commission (NHS) is in turn in charge of drafting laws and regulations for national health policies, including those aimed at cardiovascular diseases. [3] [4]</t>
  </si>
  <si>
    <t>Berlin has regulatory powers._x000D__x000D_According to the Basic Law for the Federal Republic of Germany, Germany is a federal system where significant powers are retained by the federal states (Länder). [1] Berlin is both a city and a federal state (Land) and thus has significant powers and authority in its own right. [2] Federal states have power over "health care, education, policing, cultural policy, construction planning" and also have power over taxation. [3]</t>
  </si>
  <si>
    <t>Bogotá has autonomy to formulate, to adapt and to adopt health policies. _x000D__x000D_The document "Decree N.507 in which the Organizational Structure of the Bogotá's Health Secretary is modified" establishes the competencies of the city's Health Secretary. [1] Article 1 highlights that "the Secretary has administrative and financial autonomy to formulate, adapt, adopt and implement politics, programs and plans to guarantee the right to health"</t>
  </si>
  <si>
    <t>[1] Alcaldía Mayor de Bogotá.Decreto N507 DE 06 NOV 2013. Por el cual se modifica la Estructura Organizacional de la Secretaría Distrital de Salud de Bogotá, DC. Bogotá. Alcaldía Mayor de Bogotá.2013. Available from: https://www.saludcapital.gov.co/Documents/Decreto_507%20Estructura%20SDS.pdf</t>
  </si>
  <si>
    <t>Budapest and other local governments in Hungary can provide healthcare services, but policy-making is not listed among their powers, as stated in Law CLXXXIX of 2011 on Local Governments of Hungary, article 23, paragraph 5, subpoint 9. [1]_x000D__x000D_The Council of Europe and The Congress of Local and Regional Authorities state in the 2021 report titled Monitoring of the European Charter of Local Self-Government in Hungary that "numerous powers hitherto exercised by local government are described as being "naturally" recentralised. In particular, health and social care as much as education have been almost completely centralised." [2]</t>
  </si>
  <si>
    <t>Cairo does not have the power to introduce health policies addressing the major CVD risk factors._x000D__x000D_Governorates' powers in Egypt are limited over lower local councils (i.e., municipalities within the governorate), especially at legislative and budgetary levels. [1] Egypt's 2014 constitution, the Presidential Decree 475 of 1977 relating to Local Administration and Law N. 43 of 1979 relating to local government systems do not give regulatory powers to governorates. [2] [3] [4]</t>
  </si>
  <si>
    <t>Colombo is a charter city with a Mayor and Council form of government. The city council is the legislative body of the city. The City Council serves as the link between the citizens of Colombo and the municipal government. Through the filing of legislation, the enactment of orders, ordinances, and resolutions, the Council actively represents the diverse interests of its residents while ensuring the efficient and cost-effective delivery of services. [1] However, there is no evidence that the city council has the autonomy to introduce health policies addressing the major CVD risk factors that have not been introduced at national level. The non-communicable disease (NCD) programme is based on the decisions taken by the National NCD control Policy and the National Health Council. [1] [2]</t>
  </si>
  <si>
    <t>Delhi does not have the authority to introduce health policies. The city is under the Delhi State Government jurisdiction. Under the state government, the Directorate General of Health Services Delhi state government is in charge of health care services and has the power to introduce health policies addressing major CVD risk factors that have not been introduced at national level. [1]</t>
  </si>
  <si>
    <t>[1] Government of Delhi. Directorate General of Health Services. [Accessed March 7th 2024]. Available from: https://dgehs.delhi.gov.in/dghs/planning-branchdhs</t>
  </si>
  <si>
    <t>As per a webpage published by the Directorate General of Health Services (DGHS), only the health ministry "is tasked with setting technical standards, packaging services, strategies and policies of the country's health sector." City corporations and municipalities are responsible for the provision of preventive health and limited curative care. [1]</t>
  </si>
  <si>
    <t>[1] Directorate General of Health Services. Urban Health. Dhaka: Directorate General of Health Services. Available from: http://www.communityclinic.gov.bd/urban-health-page.php</t>
  </si>
  <si>
    <t>Dubai's healthcare policies exhibit autonomy in addressing cardiovascular disease (CVD) risk factors, led by the Dubai Health Authority (DHA). The DHA regulates, licences, funds and manages healthcare facilities, independently introducing health policies for CVD. Initiatives like the Cardiology Center of Excellence, Long Term Care Center, and Post-acute Healthcare Management focus on CVD. [1] [2]_x000D__x000D_A concrete example of Dubai's autonomy in health policy is the Dubai Health Insurance Law of 2013. [3] This law exemplifies Dubai's capacity to enact specific health insurance regulations, such as mandatory insurance coverage for residents, which may not be mirrored at the national level. In this case, while health insurance is compulsory for all residents in Abu Dhabi, the fines for non-compliance differ between the two emirates. In Abu Dhabi, the fine for lacking health insurance is $82 per month, whereas in Dubai, it is $136 per month. [4] Northern Emirates such as Sharjah, Ajman, Umm Al Quwain, Ras Al Khaimah and Fujairah do not have mandatory health insurance laws. [5] These differences reflect the distinct approaches each emirate takes to health policy.</t>
  </si>
  <si>
    <t>The City of Helsinki does not have the autonomy to introduce health policies addressing the major CVD risk factors that have not been introduced at national level._x000D__x000D_The Ministry of Social Affairs and Health, together with the Ministries of Finance and Interior, are responsible for planning, setting and evaluation of Finland's health policy. [1] [2] [3] _x000D__x000D_The 2023 Finnish healthcare reform centralised the responsibility of organising healthcare services by transferring it from municipalities to the newly established wellbeing services counties (WBSCs) - 21 regional areas formed based on the division of provinces - and the City of Helsinki as an exception. [1] [4] WBSCs and the City of Helsinki, however, do not have the power to introduce health policies autonomously. The Ministry of Social Affairs and Health and the WBSCs hold annual negotiations to evaluate the social and healthcare services in each area, and the Ministry guides the WBSCs. [2] [3] Municipalities, including the City of Helsinki, are mainly responsible for the promotion of well-being and health and monitoring the living conditions of their residents. [5] Taxation policies such as sugar tax, alcohol tax, tobacco tax and soft drink tax are introduced at the national level. [6]</t>
  </si>
  <si>
    <t>The city has some powers to introduce health policies that have not been introduced at national level, but the city has no power to issue any policy of tax: Pursuant to Clause 1, Article 11 of the Law on Export and Import Taxes 2016 stipulates the authority to promulgate tax schedules and tax rates, the Government is the competent authority to issue:_x000D_Export tariff schedule; Preferential export tariff schedule;_x000D_Preferential import tariff schedule; Special preferential import tariff schedule;_x000D_List of goods and tax rates, mixed taxes, and import taxes outside the tariff quota. [1]</t>
  </si>
  <si>
    <t>[1] Law 107/2016/QH13 issued by the Government about Export and Import Taxes. Available from: https://thuvienphapluat.vn/van-ban/Xuat-nhap-khau/Luat-thue-xuat-khau-thue-nhap-khau-2016-280693.aspx?anchor=dieu_11</t>
  </si>
  <si>
    <t>Hong Kong Special Administrative Region Government operates under the principle of "One Country, Two Systems", which allows it to maintain its own legal and economic systems separate from those of mainland China. [1]</t>
  </si>
  <si>
    <t>[1] Hong Kong Special Administrative Region Government. Policy Address promotes vibrant, strong and stable Hong Kong. Hong Kong: GovHK; 2023. [Accessed March 12th 2024]. Available from https://www.info.gov.hk/gia/general/202310/25/P2023102500692.htm</t>
  </si>
  <si>
    <t>Evidence indicates that the city of Istanbul, as is the case with other Turkish municipalities and provinces, has only limited power to introduce health policies addressing health issues not introduced at national level._x000D__x000D_In Turkey, governance of the health system is highly centralised, with the national Ministry of Health (MoH) executing policies determined by the Health and Food Policies Council under the President. "The MoH and its provincial directorates serve as implementers of health policies, overseeing workforce planning, the regulation of medicines, vaccines, cosmetics and medical devices, and health research and development." [1] Health policy in Istanbul is therefore administered by the Istanbul Provincial Health Directorate, part of the MoH and not subordinate to the municipal government. [2] _x000D__x000D_By contrast, available evidence suggests that the discretion allowed to the city government on health matters is restricted to confirming or reinforcing mandates decided at the national level; an example is the memorandum issued in August 2023 by the governorate of Istanbul Province on curbing alcohol consumption in public areas. [3]</t>
  </si>
  <si>
    <t>The government in the capital does not have the autonomy to introduce taxation on goods linked to elevated risk of cardiovascular disease, but the Jakarta government can enact measures to combat air pollution and establish health education initiatives. DKI Jakarta is a province and the provincial governor does not have statutory authority to implement higher excise taxes on products linked to CVD risk — such as alcohol, ultra-processed foods and sugar drinks. For example, the Jakarta government has no powers to alter taxes on cigarettes, but the city government does zone areas known as "kawasan betas rokok," where smoking and tobacco advertising are prohibited.[1] _x000D__x000D_Jakarta has regulated to restrict traffic for more than a decade, using odd-even licence plates and other traffic schemes to limit the number of cars in the city. However, these policies were geared towards traffic management, rather than air pollution or public health control. In 2023 the Jakarta government published a new air pollution strategic plan for the city spanning 2023-30. [2] This document included plans to reform DKI Jakarta regulations linked to CVD factors. For example, in 2026 the Jakarta government intends to rewrite air pollution control regulations first enacted by the province in 2005.</t>
  </si>
  <si>
    <t>The City of Johannesburg does not have powers to introduce health policies addressing the major CVD risk factors. The power of the local government regarding health is restricted to "municipal health services"._x000D__x000D_In South Africa, there are three spheres of government: national, provincial and local. In the case of Johannesburg, the local sphere is represented by a metropolitan council, and while its administration is decentralised by regions, legislative and executive powers are fully concentrated with the metropolitan council. [1] [2] The main sectors ruled autonomously by local governments are water, sanitation, electricity distribution, and roads. Housing and public transport are shared between local and provincial governments. [3]_x000D__x000D_Health is a competence of both the national and provincial spheres of government. Overall policy guidance is provided nationally, and delivery of health services is the responsibility of the provincial departments. Local governments have responsibility for "municipal health services", which are non-clinical in nature and focus on environmental health functions (e.g., water quality monitoring, food control, waste management). [4] [5] [6] [7] The city's Public Health By-Laws reflect this, regulating issues such as sanitary services and sewage works. [8]</t>
  </si>
  <si>
    <t>The authority to introduce independent health policies is granted to provincial and not city-level governments in Pakistani legislation. _x000D__x000D_The 18th Amendment Act of 2010 devolved responsibility for social sector functions, including healthcare, to provincial governments. [1] The Sindh government (the province where Karachi is capital) has published a list of legislations and policies implemented at the provincial level to meet SDG goals, including "Goal 3 - Good Health and Well-being". [2] However, no CVD policy is mentioned in the list that was published in 2020.</t>
  </si>
  <si>
    <t>Kathmandu Metropolitan City has the power (autonomy) to introduce health policies, which would also include addressing the major CVD risk factors that have not been introduced at national level (e.g. taxation policies such as sugar taxes). _x000D__x000D_Schedule 8 of The Constitution of Nepal (effective from 2015) lists the concurrent powers of the local government (Kathmandu is a local government). The constitution grants full authority to the local government (including Kathmandu) to regulate local taxes, business tax and penalties. It also provides the right to address matters of basic health and sanitation, manage local markets, and develop local level development plans and projects. [1] For instance, Kathmandu Metropolitan City introduced a ban on buying and selling tobacco products (risk factors to CVD) within its authority area in 2023. However, significant collaboration and policy consistency at all state levels will be necessary to meet the objectives outlined in such policies. [2]</t>
  </si>
  <si>
    <t>Kolkata does not have the individual authority to introduce health policies. The Kolkata Municipal Corporation comes under the West Bengal government. The West Bengal Government has the power to introduce health policies addressing major CVD risk factors that have not been introduced at the national level. [1] [2]</t>
  </si>
  <si>
    <t>Kuwait city does not have the power to introduce health policies addressing the major CVD risk factors._x000D_ _x000D_The WHO mentions that Kuwait has a "decentralised health system with considerable autonomy in administration and financing, training and health care management". [1] The LSE's Kuwait Health Review states that the healthcare system is divided into 6 regions, one of which is the capital, Kuwait city, and that each health region is a "decentralised administrative unit with significant autonomy related to tasks within the following areas: financing, administration, workforce training, health information, management and service delivery". Nonetheless, the LSE report states that Kuwait's Ministry of Health is the "sole regulator of healthcare services" and so the city does not have regulatory power. [1] [2]_x000D__x000D_One example of such relevant regulation is the introduction of a soft drink tax in 2020, which led to a decrease in soft drinks' sales that year from 6.31% to 5.47%. [3]</t>
  </si>
  <si>
    <t>Lagos city is governed by Lagos State and has had no separate municipal government since the Lagos City Council was disbanded in 1976. [1] Lagos State has the power to introduce health policies addressing the major CVD risk factors that have not been introduced at the national level. The State Revenue administration is responsible for "making recommendations, where appropriate, to the Joint Tax Board on tax policy, tax reform, tax registration, tax treaties and exemptions". [2] Under the Health Sector Reform Law 2006, the Lagos State Ministry of Health is the central authority that executes the medical and public health functions of the Lagos State Government. [3]_x000D__x000D_A review of the Lagos State Internal Revenue Service found no evidence of any taxation policies to address the major CVD risk factors such as sugar taxes. [4]</t>
  </si>
  <si>
    <t>The Greater London Authority is made up of the Mayor of London and the London Assembly. The GLA has a functional power of competence, which can be used to promote economic and social development and environmental improvements within the city. [1] The Mayor does not have any power over a number of central government bodies such as the NHS, various environmental agencies or fundings for schools; however, the mayor provides city-wide leadership and creates policies to improve London. [1] [2]_x000D__x000D_The following organisations make up the GLA: Transport for London, the Mayor's Office for Policing and Crime, Old Oak and Park Royal Development Corporation, London Fire Commissioner, London Legacy Development Corporation, and London and Partners. The GLA also works with local councils, central government, business and community groups through the London Enterprise Panel and London Resilience Partnerships. [3]_x000D__x000D_In 2019 the Mayor introduced advertising restrictions on the entire Transport for London network as a measure to help tackle childhood obesity in the city. [4] In addition, the Ultra Low Emission Zone (ULEZ) was introduced by the Mayor of London in 2019 (and further expanded in 2023 to cover all London boroughs) in an attempt to improve air quality in the city. [5]</t>
  </si>
  <si>
    <t>As stipulated by the Spanish Constitution, autonomous communities such as the Community of Madrid have certain regulatory powers of their own._x000D__x000D_The Spanish Constitution guarantees the right to exercise regulatory powers not only to regional/provincial entities such as the autonomous communities, but to municipalities as well. In Chapter I "General principles", Article 137 "Municipalities, provinces and Autonomous Communities" it states: "The State is organised territorially in municipalities, provinces and the Autonomous Communities that are established. All these entities enjoy autonomy to manage their respective interests." In Chapter II "On the Local Administration", Article 140 "Municipal autonomy and democracy" it further states; "The Constitution guarantees the autonomy of the municipalities. These will enjoy full legal personality. Its government and administration correspond to their respective City Councils, made up of Mayors and Councilors." Article 148 stipulates the matters in which the autonomous communities may assume powers; these include "health and hygiene". However, Article 149 reserves certain powers to the State, among which is legislation on general health coordination and on pharmaceutical products. [1]</t>
  </si>
  <si>
    <t>The Manila city government has a degree of autonomy to implement city-level policies._x000D__x000D_As per Section 79 of the Republic Act (RA) No. 409 or the "Revised Charter of the City of Manila", the city's health officer, who reports to the city municipal board and mayor, has the power to "execute and enforce all laws, ordinances, and regulations relating to public health", and "recommend to the Municipal Board the passage of ordinances as he may deem necessary for the preservation of public health." [1]_x000D__x000D_The Manila city government has introduced law to address a major CVD risk factor through Manila City Ordinance No. 7748, which prohibits smoking in public places and imposes penalties for violators. [2]</t>
  </si>
  <si>
    <t>National and state or territory health ministers are responsible for the governance of the Australian Healthcare system. The national government is responsible for the regulation of pharmaceutical and therapeutic goods, while state and territory governments are responsible for licensing and registration of private hospitals, legislation for the operation of public hospitals and licensing of pharmacies. The national and state governments are jointly responsible for the regulation of food standards, safety and quality of health care, and the health workforce. [1]_x000D__x000D_When it comes to taxes on specific products (sugar, sweetened beverages, tobacco, etc): "any excise tax imposed in Australia must be a federal tax, rather than being applied at state or municipal level". [2]</t>
  </si>
  <si>
    <t>Mexico is a federation made up of 32 states, and each state, in turn, is made up of municipalities. The Mexican constitution establishes the jurisdiction for each level of government and, thus, different taxes apply. [1] Federal taxes are the primary level of taxation in Mexico, while state and municipal (local) taxes are more limited. [1] However, the Federal government and a State government may enter into tax coordination agreements, whereby the State is entitled to audit and collect federal taxes. [1] Therefore, while Mexico City has some autonomy in introducing local health policies and taxation, these are generally limited and often coordinated with federal policies. For specific policies such as sugar taxes, it would likely require coordination and agreement at both the local and federal levels.</t>
  </si>
  <si>
    <t>[1] Montes J. A Guide to Taxation in Mexico [Internet]. Ciudad de México: Doing Business in Mexico; 2020. [Accessed March 21st 2024]. Available from: https://doingbusiness-mexico.com/taxation-in-mexico/</t>
  </si>
  <si>
    <t>Moscow city has its own government and regulatory power, which extends to healthcare. This includes the Moscow Health Department which receives its own budget for healthcare. For instance, the Government of Moscow implemented its own health policy called the Metropolitan Health Programme. [1] [2] [3] [4]</t>
  </si>
  <si>
    <t>Mumbai comes under the Maharashtra state government jurisdiction. The Mumbai Municipal Corporation (the city-level authority) comes under the Maharashtra state government. The Maharashtra state government has the power to introduce health policies addressing major CVD risk factors that have not been introduced at national level. [1] [2]</t>
  </si>
  <si>
    <t>Kenya has devolved certain powers to its constituent counties, of which Nairobi City County is one. As per the Fourth Schedule of the 2010 Constitution, titled "Distribution of Functions Between The National Government and the County Governments", counties are responsible for, and can legislate on, county health services as well as other health and healthy living policies related to CVD risk factors. [1] [2] These policy areas include legislation on primary and public healthcare provision as well as licensing and control of undertakings that sell food to the public [1]. Counties are also responsible for control of air and noise pollution, as well as setting rates for liquor licensing, and providing infrastructure for sports facilities. [1] Finally, under "Control of drugs and pornography", counties are responsible for "Prevention of harm related to alcohol and drug abuse, and activities that aim at prevention of drug abuse behaviour; Treatment and rehabilitation; Policies on alcohol and drug abuse at the workplace; Inspecting and licensing drug rehabilitation and treatment centres." [1] However, the city itself does not have these powers.</t>
  </si>
  <si>
    <t>The New York City Board of Health has regulatory power to develop laws. The Chapter 9 of the Health Code and Rules establishes the guidelines concerning the Board ability to commence rulemaking. [1]</t>
  </si>
  <si>
    <t>[1] NYC Health. Health Code and Rules. New York City. NYC Health. 2024. Available from: https://www.nyc.gov/site/doh/about/about-doh/health-code-and-rules.page</t>
  </si>
  <si>
    <t>The city has regulatory power to introduce new tax items, which can be used to address major CVD risk factors. Local governments can establish new tax items through ordinances in addition to the statutory taxes stipulated by local tax laws. To establish a new tax item, approval from the Minister of Internal Affairs and Communications is required after the ordinance has been passed by the local council. [1] While it is not impossible for local governments to introduce taxes like a "sugar tax," there are currently no instances of such taxes being implemented at the local level, nor are there any examples under discussion at present. Currently, the non-statutory taxes that the Osaka Prefectural Government has independently established are hotel taxes targeting overnight guests. [2]</t>
  </si>
  <si>
    <t>Available evidence indicates that the Region of Île-de-France, which encompasses the city of Paris, has considerable autonomy to introduce context-specific health policies, such as those addressing the major CVD risk factors extant among residents._x000D__x000D_France has a partially devolved healthcare system, in which overarching strategy and funding allocations are set by the national health authorities (in particular the Ministry of Social Affairs, Health, and Women's Rights); the national strategy is carried out in the regions by the Regional Health Agencies (agences régionales de santé—ARS), which are responsible for delivering personal and social care, prevention measures and public health initiatives. [1] _x000D__x000D_To that end, the ARS Île-de-France runs multi-year regional health projects (Projets Régionaux de Santé—PRS) to set its long term local policies. [2] The current PRS runs from 2023 to 2028 and includes the Regional Health Scheme (le Schéma régional de santé--SRS). [3] The SRS contains six axes of action, the fifth of which aims to manage, anticipate and prevent risks, such as by mobilising data for epidemiological or health surveillance and forecasting purposes. The SRS considers poor nutrition to be "...the main risk factor for cardiometabolic diseases," and aims to mitigate this by "strengthening nutritional behaviours" of regional residents, largely by disseminating relevant information in healthcare and social care facilities. [4]</t>
  </si>
  <si>
    <t>The city of Phnom Penh does not have the autonomy to introduce health policies addressing the major CVD risk factors that have not been introduced at the national level._x000D__x000D_Phnom Penh does not possess the power to formulate health policies covering the major CVD risk factors that have yet to be introduced at the national level. [1] [2] [3] In Cambodia, the Ministry of Health which is supervised by the Royal Government of Cambodia is the only body that has the power to develop and introduce policies for the health sector in the country. [2] [3] The 2023 special tax policy on energy drinks and non-alcoholic beverages, for instance, was also introduced by the Ministry of Economy and Finance rather than the Phnom Penh government. [4] [5]</t>
  </si>
  <si>
    <t>There are 20 health directorates within the 13 provinces in Saudi Arabia and each directorate is provided a budget to implement policies within their respective jurisdictions. However, the directorates run their affairs based on guidelines provided by the centralised Ministry of Health. [1]_x000D__x000D_There is no evidence in the Ministry of Health, Public Health Authority or Royal Commission for Riyadh City to show that Riyadh, or any of the directorates/provinces have any substantial autonomy with regards to regional or city-based health policy. [2] [3] [4]</t>
  </si>
  <si>
    <t>The Region of Lazio, which contains the city of Rome, has considerable power to introduce health policies specific to itself._x000D__x000D_Italy's healthcare system is a devolved one, run largely by the regional and provincial governments according to agreements set periodically between them and the State. Each region therefore has its own health policies, designed for its own specific regional needs and conditions but to conform with overarching policy objectives set at the national level. [1] As the Metropolitan City of Rome Capital is a subject municipality of the Region of Lazio, it applies the health policies of the region. However, the city government has no health administration separate from that of the region. [2]</t>
  </si>
  <si>
    <t>San Francisco stands out for its dual role as both a city and a county, making it the sole consolidated city-county in California and one of just a few across the United States. This unique status means that San Francisco operates under a unified government, fulfilling the functions of both a city and a county, which encompasses all the responsibilities typically assigned to each respective type of government. The unification of policies and regulations ensures uniformity throughout the entire city-county region. [1]</t>
  </si>
  <si>
    <t>[1] Smith T. Is San Francisco a County? What to Know Bay Area Telegraph [Internet]. San Ramon: Bay Area Telegraph; 2023. [Accessed March 20th 2024]. Available from: https://bayareatelegraph.com/2023/04/05/is-san-francisco-a-county/#:~:text=San%20Francisco%20is%20unique%20in</t>
  </si>
  <si>
    <t>The autonomy of São Paulo, or any city within Brazil, to introduce health policies such as taxation policies (e.g., sugar taxes) depends on the legal framework established by the national government. _x000D__x000D_In Brazil, health policy is governed by the Brazilian Unified Health System (SUS), which is coordinated at the federal level but implemented by municipalities, states, and the federal district. While the federal government sets overarching health policies and regulations, local governments often have the flexibility to implement additional measures to address specific health issues within their communities. However, although São Paulo City has the authority to introduce health policies focused on CVD risk factors, they must be aligned with existing laws and regulations and not contradict federal mandates. Any significant policy changes might require coordination with higher levels of government and consideration of national regulations. [1]</t>
  </si>
  <si>
    <t>[1] Calejo, M. Symposium marks 30 years of the municipality's Organic Law; legislation has political and democratic autonomy. São Paulo: Câmara Municipal de São Paulo; 2023. Available from: https://www.saopaulo.sp.leg.br/blog/simposio-marca-os-30-anos-da-lei-organica-do-municipio-legislacao-tem-autonomia-politica-e-democratica/</t>
  </si>
  <si>
    <t>The city of Seoul can introduce health policies addressing the major CVD risk factors that have not been introduced at national level through its legislative power to enact local government ordinances outside the parameters of national laws and regulations. _x000D__x000D_The Seoul Metropolitan Council acts as Seoul's local government counterpart to the National Assembly (parliament). The council's standing committees include the Health &amp; Social Affairs Committee, which deliberates on city-level health policies addressing various health issues, such as CVD risk factors. [1] The Seoul Metropolitan Government enacted the Ordinance for Supporting Chronic Disease Patient Health Management Using Private Health and Medical Institutions on 30 December 2022. Effective 30 December 2022, the ordinance empowers the mayor of Seoul to introduce policies and measures to meet chronic disease patients' health management needs and to secure necessary funding. The ordinance covers hypertension and cardio-cerebrovascular diseases. Under the ordinance, the mayor of Seoul can provide subsidies and other financial incentives for providers and pharmacies working with chronic disease patients for disease management. The mayor of Seoul can also provide funding for chronic disease patients' health screenings. [2]</t>
  </si>
  <si>
    <t>Shanghai has the power to formulate policies to address CVD risk factors. _x000D__x000D_As a direct-administered municipality, Shanghai has a provincial-level legislature that has the power to pass laws in many areas. [1] According to the website of the Shanghai municipal government, the responsibilities of the Shanghai Municipal Health Commission include "disease prevention and control, coordinating relevant departments to implement prevention, control and intervention of major diseases, formulate and organise the implementation of infectious and chronic non-communicable disease prevention and control plans, immunisation plans and policies and measures." [2] Therefore, the city has the power to formulate policies to address CVD risk factors._x000D__x000D_However, a 2016 World Bank study highlighted that health-related policies are more usually under the purview of the Central Government. [3]</t>
  </si>
  <si>
    <t>Singapore has a Parliamentary unitary system. A unitary system is one in which sovereignty rests in the National Government. Therefore, the subnational units can only perform the tasks granted by the national authority. [1] As the country is a city-state, there are no local governments or local elections. [2] The Ministry of Health is responsible for health policies [3].</t>
  </si>
  <si>
    <t>The City of Sydney does not have a dedicated Department of Health, this is led by the Ministry of Health of New South Wales (NSW). The NSW parliament is responsible for promoting legislation on health. [1]_x000D__x000D_When it comes to taxes on specific products (sugar, sweetened beverages, tobacco, etc): "any excise tax imposed in Australia must be a federal tax, rather than being applied at state or municipal level". [2]</t>
  </si>
  <si>
    <t>The city has regulatory power to introduce new tax items._x000D_Local governments can establish new tax items through ordinances in addition to the statutory taxes stipulated by local tax laws. _x000D__x000D_To establish a new tax item, approval from the Minister of Internal Affairs and Communications is required after the ordinance has been passed by the local council. [1] While it is not impossible for local governments to introduce taxes like a "sugar tax," there are currently no instances of such taxes being implemented at the local level, nor are there any examples under discussion at present. Currently, the non-statutory taxes that the Tokyo Metropolitan Government has independently established include the highway toll tax for large diesel vehicles, taxes for industrial waste emitters, hotel taxes targeting overnight guests, and pachinko taxes. [2]</t>
  </si>
  <si>
    <t>Vienna has regulatory powers to introduce health policies addressing the major CVD risk factors._x000D__x000D_The Austrian government operates based on a federal model where power is divided between the national government and the governments of the federal states (Länder); Vienna is both a city and a federal state (Land). [1] Each federal state has its own legislature and executive, and has power over taxation, as well building law and housing subsidies, regional planning, nature and landscape conservation, tourism, and municipal laws and regulations. [2]</t>
  </si>
  <si>
    <t>In China, the central government has overall responsibility for national health legislation, policy, and administration, whereas local governments—provinces, prefectures, cities, counties, and towns—are responsible for organising and providing these services. [1] National policy making responsibility resides primarily with the National Health Commission. [2] The Wuhan government therefore does not have the power to introduce legal measures or any law that contradicts national law, including control over tax collection, that would form health policy. _x000D__x000D_Wuhan's Municipal Health Commission implements policy formed at the national level as part of China's five year plans. Currently, the city is implementing the 14th five year plan. Similarly, Wuhan implements national guidelines entitled "Guiding Principles for Medical Institution Establishment Planning" which are produced by the National Health Commission. It is strongly emphasized that these are the principle documents within which health policy should be carried out. [3] The city of Wuhan is responsible for implementing administrative decisions in line with national policy, such as introducing "Measures of Wuhan City for Basic Medical Insurance" in 2022. [4]</t>
  </si>
  <si>
    <t>The city does not have the power to introduce health policies addressing the major CVD risk factors._x000D__x000D_The concerns of the Yangon City Development Committee (YCDC) are mainly devoted to the management of the government's estates and public infrastructure, collecting rent or tax relating to those estates, preservation of historical monuments, traffic circulation, the cleanliness of the city and waste management. These are also the domains in the YCDC that enjoy relative autonomy. Hence, the city has little to no authority to initiate or intervene in health-related policies and projects. [1] _x000D__x000D_The only way the city may intervene regarding cardiovascular disease is to ban the advertisement of risk-prone products (such as alcohol, tobacco or unhealthy diets), as the city has the authority to ban advertisements in the public areas. [1]</t>
  </si>
  <si>
    <t>[1] Yangon Region Hluttaw. Yangon City Development Law. [28 June 2018, Accessed 27th March 2024]. Available from: https://www.myanmar-law-library.org/topics/myanmar-construction-law/yangon-city-development-committee-ycdc/myanmar-ycdc-law-2018.html</t>
  </si>
  <si>
    <t>The City of Addis Ababa possesses its own Health Bureau (AAHB) and Food &amp; Drug Regulatory Agency (AAFDA) with a clearly delineated set of powers and responsibilities._x000D__x000D_The AAHB and AAFDA conduct and oversee all necessary activities related to the health of the city's population. [1] [2] The mission of AAHB is stated as "provision of quality and equitable services and close monitoring to promote the health of the community."[3] Some of the mandates conferred upon the AAHB are: 1) Prepare and implement a healthcare plan and program for the residents of the city, 2) Ensure the observance of laws, regulations, and directives issued pertaining to public health, 3) Organise and administer hospitals, health centres, clinics, and research and training institutions established by the city administration, 4) Issue licences to health centres, clinics, laboratories, and pharmacies, 5) Supervise to ensure that they maintain standards fixed at the national level, 6) Ensure that professionals engaged in public health services in the city satisfy the prescribed standards, 7) Ensure an adequate and regular supply of effective, safe, and affordable essential drugs, medical supplies, and equipment in the city. [2]_x000D__x000D_Addis Ababa is a member of the global health network C40 Cities. [4]</t>
  </si>
  <si>
    <t>While Atlanta itself may not have a standalone health department at the city level, the presence of health services provided by entities such as the Georgia Department of Public Health and the Fulton County Board of Health indicates that health-related services are available within the broader jurisdiction, which includes Atlanta. [1] [2] [3] [4]_x000D_The Fulton County Board of Health (FCBOH) in Georgia is responsible for managing public health emergencies, disease outbreaks, and implementing programs to prevent chronic diseases. The FCBOH operates several health centres throughout the county, providing a range of services. [5] It also has several programs that address cardiovascular disease (CVD) risk factors. They provide programming and support policy, system, and environmental changes to address risk factors for chronic diseases such as heart disease. The FCBOH offers health education presentations and interventions designed to help participants achieve specific health goals, including the Lifestyle Change Program, Healthy Heart Ambassador Program, and Freedom From Smoking Program. [6]_x000D_Atlanta hosted the 19th International Conference on Urban Health (ICUH) in 2023, which indicates that the city is actively engaged in global urban health networks and initiatives. [7] The conference serves as a platform for interdisciplinary collaboration among academic researchers, educators, practitioners, and policymakers from multiple sectors, both government and private, highlighting Atlanta's involvement in the global urban health community.</t>
  </si>
  <si>
    <t>Auckland District Health Board (ADHB) was subsumed by Te Whatu Ora (Health New Zealand) and Te Aka Whai Ora (Māori Health Authority). [1] The Auckland Council plays a significant role in promoting urban health, aside from setting the target to 'Improve health and wellbeing for all Aucklanders by reducing harm and disparities in opportunities' in The Auckland Plan 2050, they also published a review on the process of developing a well-functioning urban environment. [2] [3] _x000D__x000D_The Health Auckland Together is a coalition of 25 organisations including local government, mana whenua, health agencies, NGOs, academics, community representatives and consumer interest groups is identified as a key player in the promotion of well-being in The Auckland Plan 2050. [4]_x000D__x000D_Information on Auckland's membership on urban health networks/initiatives was not found. [5]</t>
  </si>
  <si>
    <t>The Medical Services Department of the Bangkok Metropolitan Administration is a decentralised health department with broad responsibilities, spanning health education programs to implementation of new public healthcare initiatives. [1] Bangkok is a member of numerous international urban health networks. For example, Bangkok is part of the Rockefeller Foundation-funded Resilient Cities Network — a Resilient Cities partnership with the health department on cardiovascular disease began work in 2017 to screen adults over the age of 21 for diabetes and high blood pressure. [2] On Mar. 17, 2024 representatives of the Bangkok Metropolitan Administration and the Thailand Walking and Cycling Institute Foundation (TWCIF), a civil society group, attended the Healthy Cities Summit in Cape Town, South Africa where they presented on efforts to promote cycling in the Bamrung Muang area of Phra Nakhon district. "We initiated the project to help reduce the major risk factors for non-communicable diseases [NCDs], especially physical inactivity, as we know that NCDs are responsible for most deaths in Thailand," said Silpa Wairatpanij, a member of TWCIF.</t>
  </si>
  <si>
    <t>Berlin has a public health department with a clear set of responsibilities and a process for monitoring activities. It is also a member of several urban health networks._x000D__x000D_Berlin has a public health department with a clear structure and responsibilities. [1] [2] [3] The Public Health Service (ÖGD) of Berlin has the core tasks of: "Quality development, planning and coordination; Prevention, health promotion, health assistance and health protection for children and young people; Prevention, health promotion and health assistance for adults; Infection protection, environmental protection and disaster control; Supervision of healthcare professions and facilities; Health consumer protection; [and] Monitoring the circulation of medicinal products, including monitoring the circulation of over-the-counter medicinal products outside pharmacies". [3] In particular, the Department of Surveillance and Epidemiology of Infectious Diseases is charged with monitoring and reporting on diseases subject to reporting under German health laws. [4]_x000D__x000D_Berlin is a member of the Healthy Cities Network (GSN), a network of cities and districts in Germany with around 80 members and founded in 1989; it is based on the Ottawa Charter of the World Health Organization (WHO) for health promotion. [5]</t>
  </si>
  <si>
    <t>Bogotá has a health department with clear responsibilities and processes for monitoring activities. _x000D__x000D_Bogotá's Health Secretary (Secretaría Distrital de Salud de Bogotá) has the " Decree N.507 in which the Organisational Structure of the Bogotá's Health Secretary is modified" establishing its major functions, structures and actors. This document also emphasises the functions of each actor. [1] In addition, the local Health Secretary is monitored and inspected by the national level in order to assure the quality in the health sector. For instance, the General Comptroller of the Republic fiscalizes if the local health secretaries are making great use of the public money; the National Health Superintendence has surveillance power to guarantee that places providing care actually comply with the norms of the General Health Social Security System. [2] Furthermore, Bogotá is a member of the Bloomberg Philanthropies' Partnership for Health Cities (a collaboration between Bloomberg, WHO and Vital Strategies). The Partnership for Health Cities is a network seeking to implement impactful initiatives in cities to reduce NCDs. [3]</t>
  </si>
  <si>
    <t>Budapest does not have a health department; the city's districts do have health departments, but their mandates are limited. Budapest is a member of an urban health network._x000D__x000D_In Budapest, health services are provided on the district level through subunits of the main city hall which publish the laws, rules, and documents regulating their responsibilities and operations. [1] [2] [3] [4] The Municipality of Budapest itself does not have a health department. [5] The operation of district-level health units is based on Law CLIV of 1997 on healthcare; per Article 152, local governments have to operate health service units. [6] _x000D__x000D_Local governments are limited in the healthcare functions they can fulfil, as stated in a 2021 report by the Council of Europe and The Congress, which observes that "numerous powers hitherto exercised by local government are described as being "naturally" recentralised. In particular, health and social care as much as education have been almost completely centralized." [7]_x000D__x000D_In 2021 an EIT Community Hub opened in Budapest with a healthcare-related subunit: "EIT Health, the largest healthcare innovation network in Europe", which is also responsible for coordinating the Hub. [8]_x000D__x000D_Budapest is a member of the WHO Healthy Cities Europe network. [9]</t>
  </si>
  <si>
    <t>Cairo has a city government health department, which has a clear set of responsibilities and processes for monitoring health, and is a member of a global urban health network. _x000D__x000D_According to the website of Cairo Governorate, there exists a Directorate of Health Affairs dedicated to Cairo. [1] The webpage of the Directorate of Health describes its responsibilities and activities. For example, among its responsibilities are 1) ensuring compulsory vaccinations; 2) establishing drinking water treatment plants and sewage treatment plants; 3) spreading health and safety awareness in urban communities; 4) supervising and following up on all health units in Cairo (governmental and private). [1]_x000D__x000D_Cairo is a member of the Bloomberg Philanthropies' Partnership for Healthy Cities. The partnership, which was launched in 2017 between Michael R. Bloomberg in collaboration with the World Health Organization (WHO) and Vital Strategies, a global health organisation, aims to support cities in implementing policies or programs in their communities to reduce noncommunicable diseases (NCDs) and injuries. [2]</t>
  </si>
  <si>
    <t>The Colombo Municipal Council has a health department. The department plays a major role in maternal and child welfare, preventive medicine, food hygiene, control of epidemics, community development, health education, control of pollution and nuisance, school health, pest control and other public health related programmes. However, there is no evidence of membership in any global, regional or national urban health network or initiative.[1]</t>
  </si>
  <si>
    <t>[1] Municipal Council of Colombo. Public Health Department. [Accessed March 16th 2024]. Available from: https://www.colombo.mc.gov.lk/public-health.php</t>
  </si>
  <si>
    <t>The Delhi government has a health department with a clear set of responsibilities and a process for monitoring activities. _x000D__x000D_Directorate General of Health Services (DGHS) of the Government of Delhi is the major agency related to health care services delivery in Delhi. The DGHS is also the largest department under the Department of Health and Family Welfare, Government of National Capital Territory (NCT) of Delhi. DGHS monitors and regulates health care services delivery at primary and secondary level in Delhi. It regulates the health care services provided through various types of health facilities, spread all over Delhi, e.g. Dispensaries and Health Centres, School Health Clinics, and Mobile Health Clinics. [1]_x000D__x000D_There is no evidence of membership in any global, regional or national urban health network or initiative.</t>
  </si>
  <si>
    <t>Dhaka has two municipal corporations (Dhaka North City Corporation (DNCC) and Dhaka South City Corporation (DSCC)) at the city level. Both have a Department of Health. [1] [2] _x000D__x000D_As per its website, the DSCC is responsible for mosquito control programs; essential immunisation services for children and women through the Expanded Program on Immunization (EPI); targeted disinfection activities; managing a network of healthcare facilities like hospitals, maternity centres, and dispensaries; maintaining food safety through laboratory testing and hygiene regulations, and; stray animal control measures to promote public safety and animal welfare. [2] However, a clear set of responsibilities was not identified for the DNCC, whose department of health webpage does not list anything other than the list of officers working for the department of health. [1] No information on monitoring the activities of the department was identified on the DSCC and DNCC websites. [1] [2]_x000D__x000D_The Bangladesh Urban Health Network (BUHN) is a civil society network that focuses on enhancing health and achieving equity in urban settings of Bangladesh. [3] There is no evidence that the DSCC or the DNCC are part of the BUHN, or any other global, regional or national urban health network or initiatives. [1] [2] [3]</t>
  </si>
  <si>
    <t>Dubai has a health department overseen by the Dubai Health Authority (DHA), responsible for regulating and governing the healthcare sector in the emirate. The DHA designs health policies, regulates healthcare facilities, and manages health insurance and health tourism. Additionally, the DHA formulates and implements public health policies and programs, including preventive medicine and occupational health and safety, to protect and improve the health of Dubai's population. [1] [2] [3] Dubai is also a member of the "The City We Need Now!" campaign led by UN-Habitat and the World Urban Campaign, focusing on accelerating the implementation of the New Urban Agenda, which includes aspects related to sustainable urban development and health. [4]_x000D__x000D_An amended 2018 Dubai law outlines a comprehensive framework for monitoring activities related to the health sector in Dubai. Per the law, the DHA is tasked with developing and implementing strategic plans, conducting studies on health service needs, auditing healthcare facilities, and measuring service quality. Additionally, the DHA regulates charges for services, develops investment policies, maintains a database of health sector information, oversees healthcare advertisements and tourism, and manages health insurance systems. The law aims to ensure compliance with regulations and standards, promoting the efficient and effective delivery of healthcare services in Dubai. [5]</t>
  </si>
  <si>
    <t>The City of Helsinki has a health department._x000D__x000D_The City of Helsinki has a City Council with a City Board, a Central Administration and four main divisions, one of which is a Social Services, Healthcare and Rescue Services division. [1] [2] [3] According to the Administrative Regulation of the City of Helsinki, the main duty of the division is organising and providing social and health services as well as rescue operations and providing first aid services. The division creates the conditions for maintaining and promoting health and well-being through social and health services, and, prevents and reduces social and health problems and their adverse effects. It operates under the Social, Healthcare and Rescue Board and is divided into four service units: family and social services, health and substance abuse services, hospital, rehabilitation and care services, and, the rescue operation services. [3]_x000D__x000D_The City Board monitors that all the divisions operate in accordance with the functional and financial goals set by the city council. It also sets goals for each division and monitors the implementation of these goals. [3] _x000D__x000D_Helsinki has been a member of the World Health Organization's Healthy Cities Network since 2020. [4]</t>
  </si>
  <si>
    <t>The Department of Health of Ho Chi Minh City website provides information about its function, responsibilities and powers. [1]_x000D__x000D_The Department of Health is a specialised agency under the City People's Committee with the function of advising and assisting the City People's Committee in management of health. [2] _x000D__x000D_Ho Chi Minh City is a member of Bloomberg's Partnership for Healthy Cities. [3]</t>
  </si>
  <si>
    <t>The Department of Health is responsible for healthcare policies and the provision of basic healthcare services in Hong Kong. This department oversees a broad range of services and areas including the Centre for Health Protection, Health Promotion Branch, Non-communicable Disease Branch, and Public Health Services Branch, among others. [1] _x000D__x000D_Hong Kong is a member of the Alliance for Healthy Cities. [2] In 2019, it joined the Partnership for Healthy Cities, a global network of 70 cities committed to saving lives by preventing non-communicable diseases (NCDs). [3]_x000D__x000D_[</t>
  </si>
  <si>
    <t>Available evidence does not indicate that the Istanbul city government operates a health department distinct from the provincial branch of the national Ministry of Health._x000D__x000D_In Turkey, governance of the health system is highly centralised, with the national Ministry of Health (MoH) executing policies determined by the Health and Food Policies Council under the President. "The MoH and its provincial directorates serve as implementers of health policies, overseeing workforce planning, the regulation of medicines, vaccines, cosmetics and medical devices, and health research and development." [1] Health policy in Istanbul—such as on NCDs—is therefore administered by the Istanbul Provincial Health Directorate, part of the MoH and not subordinate to the municipal/provincial government in this field. [2] _x000D__x000D_Istanbul is not currently a member of the World Health Organisation's European Healthy Cities Network (although several other Turkish cities are). [3]</t>
  </si>
  <si>
    <t>The government of DKI Jakarta province has a devolved health department responsible for policy implementation at the provincial level. [1] The department has clear responsibilities in collecting health data covering the national capital region, drafting provincial health strategies, and monitoring the progress of strategic outcomes. [2] Jakarta is also a member of numerous urban health networks and initiatives. For example, in 2018 Jakarta joined the Cities Changing Diabetes network. [3] In 2023 Jakarta joined the Breathe Cities initiative convened by Bloomberg Philanthropies, which aims to cut air pollution by 30% by 2030. [4]</t>
  </si>
  <si>
    <t>The City of Johannesburg (CoJ) has a health department with a clear set of responsibilities and a process for monitoring activities._x000D__x000D_The CoJ is governed by the City Council's Executive arm, run by the Executive Mayor, with the assistance of a city manager, and members of the mayoral committee responsible for political portfolios. One portfolio is Health and Social Development, presented as the Department of Health. [1] [2] [3] The website's section for the Department of Health, however, offers an overview of a "Department of Community Development", and not all the information provided was recently updated. [4] The website does list some of the responsibilities of the department, such as combating HIV/AIDS and decreasing the burden of disease from Tuberculosis, ensuring strategic and policy direction to all the regions, and coordinating, managing and monitoring contracts. [5]_x000D__x000D_The Health and Social Development department's portfolio has its activities monitored by the Legislative arm of the Council and must submit to the Legislature annual and quarterly reports on its performance. [6] Its Management Support and Development Unit is responsible for interpreting and analysing planning processes in order to produce an annual business plan; developing, monitoring and evaluating the strategic risks every quarter; and ensuring the Departmental quarterly progress reports are prepared and submitted to the mayoral committee. [7]_x000D__x000D_Regarding membership on urban health network or initiative, in 2022, Lagos, Kinshasa, Dakar and Johannesburg launched the Healthy Cities, a World Health Organization-supported initiative aimed at improving the governance of cities for health and well-being, as well as promoting sustainable livelihoods. [8] Johannesburg is also part of Cities Changing Diabetes, a global public-private partnership programme which aims to enable cities to map the challenges associated with obesity and diabetes, share key insights and learnings, and provide tools that can accelerate local action on the ground. [9]</t>
  </si>
  <si>
    <t>While Karachi city authorities do not have a health department, the province of Sindh where Karachi is the provincial capital, does. Health matters fall under the jurisdiction of the provincial government; as an urban unit, Karachi is not autonomous. [1] The Department of Health Sindh is responsible for public health in Sindh, and all major functions have been outlined: The development of a generic Essential Package of Health Services (EPHS)/UHC Benefit Package of Pakistan was carried out jointly by the Ministry of National Health Services, Regulations &amp; Coordination (M/o NHSR&amp;C), and provincial/area Departments of Health, along with other key stakeholders. The provincial government is responsible for public health functions including the control of NCDs in the province. Other functions include accreditation of medical schools, appointment of public health officials, regulation of organ transplants, and execution with partner organisations. [2] [3]_x000D__x000D_The Health Sector Strategy Sindh (2012-20) proposes a strategic framework to guide the operational plans of medium and long-term programs and projects. It provides strategic directions for resource mobilisation from stakeholders, including the public sector, international donors, the corporate sector, and philanthropic organisations. An allied monitoring and evaluation framework will provide Key Performance Indicators (KPIs). The key purpose of developing the strategic framework is to identify what is required for health systems strengthening (HSS) in Sindh. There is no evidence the strategy was updated after 2020. [4]_x000D__x000D_No evidence of involvement in urban networks was identified on the websites of the Karachi Metropolitan Corporation or the Sindh Department of Health. [5] [6]</t>
  </si>
  <si>
    <t>Kathmandu Metropolitan City has a health department. [1] The Public Health Management Act of 2080, published in August 2023 clearly outlines the responsibilities and processes for monitoring activities in the public health sector within Kathmandu Metropolitan City. [2]_x000D__x000D_Kathmandu Metropolitan City is a part of the WHO Urban Health Initiative (UHI) which provides tools and guidance for decision-makers to comprehensively assess potential health benefits and health risks associated with air and climate pollutants. [3] _x000D__x000D_Similarly, Kathmandu is also a part of Partnerships for Healthy Cities, which is a global network of 74 cities committed to creating healthier, safer and more equitable urban centres by reducing the prevalence of noncommunicable diseases (NCDs) and injuries. [4]</t>
  </si>
  <si>
    <t>The West Bengal government under which the Kolkata Municipal Corporation functions has a health department that is responsible for maintaining and developing the health care system in West Bengal. Public health, sanitation and hospitals are the exclusive responsibilities of the State. The State Health Administration has two arms, the Secretariat and the Directorate of Health Services. The Director of Health Services and ex-officio Secretary heads the Directorate and is the Chief Technical Advisor to the State Government on all matters related to medical and public health. The healthcare system has a primary health care network, a secondary care system comprising district and sub-divisional hospitals, and tertiary hospitals providing specialty and super specialty care. Each of the eighteen districts is headed by a Chief Medical Officer of Health (CMOH), assisted by Deputy and Assistant CMOHs, whose responsibility is to manage the primary health care sector and ensure the effective implementation of the various medical, health and family welfare programmes. The secondary level hospitals are headed by medically trained superintendents who report to the CMOH and are accountable to a hospital management committee. At the block level, the Block Medical Officer is responsible for providing services and for monitoring and supervising the primary health centres and health programme implementation._x000D__x000D_However, there is no evidence that the state government is part of any global, regional or national urban health network or initiative. [1] [2]</t>
  </si>
  <si>
    <t>Kuwait has a health department but it does not have a clear set of responsibilities and a process for monitoring activities. Kuwait City constitutes its own health policy area within Kuwait's decentralised health system consisting of 6 regions; the Kuwait city region is called the Health Capital Area. [1] Al-Asimah Governorate is the Arabic for Capital Governorate - they are one and the same. _x000D_ _x000D_The Health Capital Area has its own website, however, it is currently out of order and there is no public source that outlines its set of responsibilities and monitoring activities. In addition, the last mentions about the Director of the Health Capital Area were made in 2020. [2] [3] _x000D_ _x000D_Ten districts within the Capital Governorate (Kuwait City, which has 23 districts) and 6 further districts across the State of Kuwait have joined the World Health Organization initiative Healthy Cities, a regional network of integrated health cities partnering with the WHO. [4] [5]</t>
  </si>
  <si>
    <t>Lagos has a city government health department. Under the Health Sector Reform Law 2006, the Lagos State Ministry of Health is the central authority which executes the medical and public health functions of the Lagos State Government, which governs the Lagos metropolitan region. [1]_x000D__x000D_The Lagos Ministry of Health's responsibilities are set out on the Lagos Ministry of Health website, and its responsibilities include the generation and utilisation of evidence-based data and information. [1] Within the Directorate of Healthcare Planning Research and Statistics, which contains units to monitor key performance indicators; conduct research; enhance evidence-based policy and ensure targeted health interventions; as well as gather data and information. [2]_x000D__x000D_Lagos is a member of a regional urban health network. In 2022, Lagos, Kinshasa, Dakar and Johannesburg launched the Healthy Cities, a World Health Organization-supported initiative aimed at improving the governance of cities for health and well-being. [3]</t>
  </si>
  <si>
    <t>Within the GLA there is a Public Health Unit. This unit works closely with the Mayor's Health and Wellbeing Team which leads the Health inequalities Strategy. [1] The unit plans to introduce health across a range of policy areas and is focused on improving the health of Londoners (keeping people safe, preventing poor health and tackling inequalities). [2] As part of London's public health ecosystem, the Public Health Unit works alongside local authority public health teams, and regional and national teams in the Office for Health Improvement and Disparities, the UK Health Security Agency and the NHS. [1]_x000D__x000D_London also has the London Health Board (partners include Public Health England and NHS England) and a Healthy Urban Development Unit. [3] [4] The Healthy Urban Development unit works on behalf of the NHS to promote healthy communities and to ensure healthcare plans are integrated with other plans. The unit focuses on promoting healthy urban development. [4]_x000D__x000D_While there is no specific process listed for monitoring activities outlined, the GLA's Public Health Unit, The Healthy Urban Development Unit has designed the Rapid Health Impact Assessment Tool. Its purpose is to ensure that the health impacts of a development proposal are identified, and appropriate action is taken to address negative impacts and maximise benefits. [5] _x000D__x000D_London is a member of the Partnership for Healthy Cities, which is made up of a global network of cities whose aim is to prevent non communicable diseases and injuries (public health areas of focus include food policy, overdose prevention, road safety, safe and active mobility, surveillance and tobacco control). [6]</t>
  </si>
  <si>
    <t>The Community of Madrid has a dedicated health department. Its policies and responsibilities sufficiently meet all three criteria in this indicator to merit a score of 3, as follows:_x000D__x000D_1. Existence of city government health department: The overarching entity in the regional government of the Community of Madrid that is responsible for health policy is the Council of Health (Consejería de Sanidad), one of nine administrative councils--in their functions equivalent to ministries at the national level. [1] In its dealings with the public, the Community's health administration brands itself as Salud Madrid (Health Madrid). _x000D__x000D_2. Existence of a clear set of responsibilities and a process for monitoring activities: The Council of Health's functions are clearly delineated and it is allocated funds accordingly from the annual general budget of the Community. [2] A new law, Decree 245/2023, of October 4, clarifies the responsibilities of the Council, mandating it to conduct various types of surveillance and monitoring activities (through its General Directorate of Public Health), amongst many other stipulations. [3] Reflecting this particular mandate, Health Madrid operates an online Observatory of results of the Madrid Health Service, which provides a large number of data-driven indicators in four categories of health: general population; primary care, hospitals and ambulance services. [4] _x000D__x000D_3. City membership of urban health network or initiative: 59 municipal governments of the Community of Madrid, including that of the city proper (Ayuntamiento de Madrid) are members of the Spanish Healthy Cities Network (Red Española de Ciudades Saludables—RECS), designed to conform with the principles of the "Healthy Cities" project of the World Health Organisation (WHO). [5] [6] However, Madrid itself is not one of the five Spanish cities currently listed in the List of Phase VII Healthy Cities of the WHO's European Healthy Cities Network. [7]</t>
  </si>
  <si>
    <t>The Manila city government has a health department. _x000D__x000D_The City Government of Manila Health Department (MHD) is responsible for delivering primary health care services. The MHD works in coordination with the Department of Health (DOH), which is the executive department of the central government responsible for ensuring access to basic public health services by all Filipinos. [1] _x000D__x000D_The city government has published a citizens' charter informing them of public services and the mandates of authorities implementing them. For the MHD, a list of comprehensive services to be provided by the MHD and its divisions was published in 2020. [2]_x000D__x000D_However, the website of the MHD, the MHD citizen charter and the Manila city website do not contain any evidence that the MHD is part of any global, regional, or national urban health networks or initiatives. [1] [2] [3]</t>
  </si>
  <si>
    <t>The City of Melbourne does not have a Department of Health. However, the local government is responsible for the provision of environmentally related health services, such as food safety monitoring, delivering health promotion activities, and delivering community and home-based health and support services. [1] _x000D__x000D_Melbourne is a member of the Partnership for Healthy Cities, a collaboration between Bloomberg Philanthropies, the World Health Organization and Vital Strategies, which supports the strengthening of policies to tackle the rising rates of NCDs. [2]</t>
  </si>
  <si>
    <t>Mexico City has a Health Department with a clear set of responsibilities. The city is part of an urban health network. _x000D__x000D_The Secretaría de Salud de la Ciudad de México, operating under the General Health Law and the Federal District Health Law, has a clear set of responsibilities and a process for monitoring activities. Its functions include overseeing local health plans and programs, developing and evaluating health plans and programs for Mexico City, and setting health objectives for the city. [1]_x000D__x000D_Mexico City is part of the Cities Changing Diabetes. Mexico City joined the Cities Changing Diabetes program in 2014 to combat its diabetes epidemic, with nearly 16% of its population, or approximately 2.3 million adults, living with diabetes. [2] In 2016, Mexico City advocated health-focused urban policies to prevent non-communicable diseases globally. The local Ministry of Health formed an Inter-institutional Commission to integrate health into policy decisions, supporting diabetes prevention and management through collaborative efforts. [2] _x000D__x000D_Furthermore, Mexico City is part of The Partnership for Healthy Cities, supported by Bloomberg Philanthropies in partnership with the World Health Organization and global health organisation Vital Strategies. [3] This is a a global network of cities whose aim is to prevent NCDs and injuries (public health areas of focus include food policy, overdose prevention, road safety, safe and active mobility, surveillance and tobacco control).</t>
  </si>
  <si>
    <t>The Moscow Department of Health manages healthcare in Moscow city. It has a clear set of responsibilities and a clear remit set out by the Government of Moscow, which created the Department. It also contains committees that monitor the department's activities (e.g. a Project Committee and Independent Ethics Committee). [1]_x000D__x000D_There is no evidence on the websites of the Ministry of Health and the Moscow Department of Health that Moscow city is part of a broader health network. [2] _x000D__x000D_Previously, the WHO Europe Office was located in Moscow, however it was closed and relocated to Copenhagen in November 2023. [3]</t>
  </si>
  <si>
    <t>The Mumbai Municipal Corporation falls under the jurisdiction of the Maharashtra State government. Although the Mumbai Municipal Corporation has a health department that is responsible for all health-related matters, there is a lack of a clear set of responsibilities and a process of monitoring CVDs under the department. [1] Mumbai is part of the Partnership for Healthy Cities, which is made up of a global network of cities whose aim is to prevent non communicable diseases and injuries (public health areas of focus include food policy, overdose prevention, road safety, safe and active mobility, surveillance and tobacco control. [2]</t>
  </si>
  <si>
    <t>Nairobi City County Government has a Health, Wellness and Nutrition sector, overseen by a County Executive. [1] The County has a leadership and governance structure to coordinate and manage service delivery at all levels; at the county level, those responsible are the County Health Management Team, the Chief Officers of Health and the County Health Executive Member. As per the City County Government Community Health Services Implementation Plan 2023-2027, a Technical Advisory Committee has been created and is responsible for, among other things, monitoring and evaluating the plan's implementation. [2]_x000D__x000D_In 2023 Nairobi joined a global partnership of cities supporting policies to reduce NCDs, the Partnership for Healthy Cities network. [3]</t>
  </si>
  <si>
    <t>New York City has a Health Department with a clear set of responsibilities and it is a member of a transnational network to reduce NCDs. _x000D__x000D_The NYC Department of Health and Mental Hygiene aims to promote health conditions to all New Yorkers. The responsibilities of the Department are well delimited: it can inspect restaurants, licensed dog wear, and low-to-no-cost health clinics, as well as investigate suspicious illnesses, their causes, and disease conditions in the city. [1] Furthermore, the Department monitors activities through inspections, such as food/restaurant inspections, health conditions assessments, and published reports. [2] [3]_x000D__x000D_In addition, NYC is a member of the Partnership for Health Cities, a collaboration between Bloomberg, WHO and Vital Strategies. The Partnership for Health Cities is a network seeking to implement impactful initiatives in cities to reduce NCDs. [4].</t>
  </si>
  <si>
    <t>The Osaka Prefectural Government has a health department and monitors its activities._x000D__x000D_In the Osaka Prefecture Government, there is a Health and Medical Department responsible for disease prevention, health promotion, improving medical services, and managing health insurance operations. [1] The government monitors its activities and the health department publishes an annual report on its activities and budgets. [2] [3]_x000D__x000D_Regarding networks at the national level, various international cooperation activities are conducted in the fields of health and public health, for example, Japan International Cooperation Agency's Health and Medial Initiatives or Japanese government's "Asia Health and Wellbeing Initiative (AHWIN)" and the "Africa Health and Wellbeing Initiative (AfHWIN)". [4] [5] Two cities within Osaka Prefecture, Izumisano City and Suita City, are members of the Alliance for Healthy Cities. [6] Osaka is a member of the Partnership for Healthy Cities, which is made up of a global network of cities whose aim is to prevent non communicable diseases and injuries (public health areas of focus include food policy, overdose prevention, road safety, safe and active mobility, surveillance and tobacco control). [7]</t>
  </si>
  <si>
    <t>Whilst the city government of Paris has its own health department, most health-related responsibilities lie with the government of the region in which it is located (Île-de-France). [1]_x000D__x000D_Since 2022 the City of Paris has run its own Directorate of Public Health (Direction de la Santé Publique--DSP); available evidence indicates that this entity is primarily concerned with disseminating health information and advice among residents. [2] The delivery of health services at the local level, including health monitoring activities, is the responsibility of the relevant regional health authority, in this case the ARS (Agence régionale de santé) Île-de-France, which executes its own policies in conformity with those set by the national ministry of health. [3] [4] With respect to safeguarding urban heart health, the key national-level policies are the national health strategy (SNS) and the "Priority prevention" national public health plan. [5] _x000D__x000D_Paris is not currently a member of the World Health Organization's European Healthy Cities Network but is a member of the Partnership for Healthy cities, which is a global network of cities whose aim is to prevent NCDs and injuries (public health areas of focus include food policy, overdose prevention, road safety, safe and active mobility, surveillance and tobacco control). [6] [7]</t>
  </si>
  <si>
    <t>The city government of Phnom Penh does not have a health department that has a clear set of responsibilities and a process for monitoring activities. The city is a member of a regional urban health network or initiative._x000D__x000D_There is no evidence of a health department as part of the Phnom Penh city government. [1] However, Cambodia does have a national health department named the Ministry of Health whose responsibilities include but are not limited to, planning and developing strategic plans for the health sector, monitoring and evaluating administrative works of health units, controlling food safety, and formulating health policies based on the basic program of the Royal Government of Cambodia. [2] [3]_x000D__x000D_Phnom Penh has taken part in a regional urban health initiative called the US-ASEAN Smart Cities Partnership (USASCP) which aims to strengthen U.S. collaboration with the 26 pilot cities of the ASEAN Smart Cities Network (ASCN) and address the issues of rapid urbanisation in the region. [4] As part of the US-ASEAN Health Futures initiative, the "Leveraging Technology to Upgrade Cambodian Cities Healthcare" project seeks to use technology to enhance the country's healthcare through the digitalization of medical histories and records in hospitals in three ASEAN Smart Cities Network, namely Phnom Penh, Battambang, and Siem Reap. The project also aims to build resilience in local healthcare infrastructure that would support access to services for urban residents in Cambodian cities. [5] There is no evidence of the city's membership in any other initiative or network that focuses on urban health. [6] [7] [8]</t>
  </si>
  <si>
    <t>The General Directorate of Health Affairs in Riyadh Region is responsible for the implementation of health policies in Riyadh city and region. [1] The Directorate is housed within the national Ministry of Health. [1]_x000D__x000D_However, there is no evidence within the Ministry of Health or the Royal Commission for Riyadh City of a clear set of responsibilities and processes for monitoring activities, nor is there evidence for city membership of a health network of any kind. In addition, the Riyadh General Directorate of Health Affairs does not publicise its work separately. It simply falls within the remit of the Ministry of Health. The Riyadh Regional plan itself stipulates that its health aims will be implemented by the Ministry of Health. [2] [3]</t>
  </si>
  <si>
    <t>Available evidence does not indicate that the city government of Rome has its own health department, as healthcare is the responsibility of the government of the region in which it is located. _x000D__x000D_Italy's healthcare system is a devolved one, run largely by the regional and provincial governments according to agreements set periodically between them and the State. Each region therefore has its own health policies, designed for its own specific regional needs and conditions but to conform with overarching policy objectives set at the national level. [1] As the Metropolitan City of Rome Capital is a subject municipality of the Region of Lazio, it applies the health policies of the region. The city government has no health administration separate from that of the region. [2] _x000D__x000D_Rome is not currently a member of the World Health Organisation's European Healthy Cities Network. [3]</t>
  </si>
  <si>
    <t>In regards to the first question, the City and County of San Francisco has a Department of Public Health (SFDPH) that operates with a dual focus on protecting the health of the population and promoting the health of patients within the San Francisco Health Network. This is achieved through two major divisions: the Population Health Division, which primarily focuses on safeguarding the health of the community, and the San Francisco Health Network, which primarily concentrates on patient care and well-being. SFDPH's central administrative functions, encompassing finance, human resources, information technology, communications, and policy and planning, play a crucial role in supporting both divisions' efforts and facilitating integration across the department's operations. [1] _x000D__x000D_About the second question, their Annual Report points that the Population Health Division (PHD) of SFDPH tackles various public health matters, spanning consumer safety, health promotion, disease prevention, preparedness and response to public health emergencies, and the surveillance of emerging health issues. [1] However, while the DPH has the Health Disparities Dashboard that monitors heart disease admission, the last data in the dashboard pertains to 2017. [2] _x000D__x000D_About the third question, San Francisco is part of the National Heat Mapping Project that aims to address health inequities related to extreme heat through better understanding the relationship between climate change, extreme temperatures, public health, and the built environment. [3] Moreover, it is part of the global network Partnership for Healthy Cities, whose aim is to prevent NCDs and injuries (public health areas of focus include food policy, overdose prevention, road safety, safe and active mobility, surveillance and tobacco control). [4]</t>
  </si>
  <si>
    <t>The city of São Paulo has a Health Secretariat with a clear set of responsibilities and a process for monitoring activities according to the Health Plan (2022-2025). [1] São Paulo participates in the CARDIO4Cities initiative (quality of Care, early Access, policy Reform, Data and digital technology, Intersectoral collaboration, and local Ownership), an urban health network. [2]</t>
  </si>
  <si>
    <t>The Seoul Metropolitan Government has a health department. The Citizens' Health Bureau comprises the Medical and Health Policy Division, the Smart Health Division, and other sub-departments. The Medical and Health Policy Division and the Smart Health Division are jointly responsible for the Health Points health management reward program and the cardio-cerebrovascular disease prevention and management program and the Chronic Disease Field Management Training Program (FMTP). [1] The Seoul Metropolitan Council's Health &amp; Social Affairs Committee provides legislative support for the work of the Citizens' Health Bureau, including regulations and budget approvals. [2] Seoul is a member of the Alliance for Healthy Cities, an international network of cities founded in 2003. Many other South Korean cities are also members of the Alliance for Healthy Cities. [3]</t>
  </si>
  <si>
    <t>The Shanghai Municipal Health Commission is the municipal government's health department. Its set of responsibilities include implementing national health policies, laws and regulations, and drafting local health regulations and policies; coordinating municipality-wide health resource allocation; coordinating and advancing reforms in the medical system; disease control and prevention; health emergencies response; overseeing the standardisation process of the health sector, formulating local standards for food safety, formulating policy response to an ageing population; implementing the national essential medicine system and formulating and implementing the Shanghai essential medicine system; supervising medical and health institutions and medical services industries; among others. [1] The process for monitoring activities is not specified in detail. [1]_x000D__x000D_Shanghai has participated in international urban health networks and initiatives. For example, Shanghai is involved in Cities Changing Diabetes, a partnership programme launched by Novo Nordisk, University College London (UCL) and the Steno Diabetes Center that "explores the cultural and social factors driving type 2 diabetes in urban contexts and creates solutions according to local needs". [2] Shanghai also hosted the WHO's International Healthy City Mayors' Forum in 2016 which produced the Shanghai Consensus on Healthy Cities. [3]</t>
  </si>
  <si>
    <t>There is evidence of a Health Ministry, with clear functions and monitoring activities and membership in an international hub initiative. _x000D__x000D_Singapore has the MOH (Ministry of Health), whose core functions are to regulate the healthcare system, promote health programs and high standards of living, and promote affordable access to health services. [1] The MOH is also responsible for monitoring health quality and accessibility. [2] In addition, Singapore is a member of Vital Strategies, a hub that aims to strengthen public health by dealing with air pollution, tobacco control, alcohol policy and food policy questions. [3]</t>
  </si>
  <si>
    <t>Sydney does not have a dedicated Department of Health, this is led by the Ministry of Health of New South Wales (NSW). The NSW parliament is responsible for promoting legislation on health. [1]_x000D__x000D_Even though there is no local health department, the NSW Department of Health has a set of responsibilities cleared and determines whether a specific programme or intervention is meeting its objectives. [2] However, this is not city-level._x000D__x000D_There is no information about Sydney participating in a health-related city network. Based on the main health-related and city-level networks (C40 Cities, WHO Global City Network, and Partnership for Healthy Cities), Sydney is not part of any.</t>
  </si>
  <si>
    <t>The Tokyo Metropolitan Government has a health department and monitors its activities._x000D_Responsibilities of the Bureau of Public Health cover a wide range of public health and safety concerns: health promotion and health policy, medical policy, infectious disease control, food and drug safety, animal welfare and supporting health and medical infrastructure. [1] The Finance Bureau of Tokyo Metropolitan Government conducts evaluations of various policies and projects, and publishes the results on their website and in reports. [2] In addition, the Bureau of Public Health publishes an annual report to review its policies. [3]_x000D__x000D_Regarding health networks, at the national level, various international cooperation activities are conducted in the fields of health and public health, for example, Japan International Cooperation Agency's Health and Medial Initiatives , the Japanese government's "Asia Health and Wellbeing Initiative (AHWIN)" and the "Africa Health and Wellbeing Initiative (AfHWIN)". [4] [5] However, it has not been confirmed that Tokyo Metropolitan Government is participating in any international networks/initiatives. _x000D__x000D_Two cities within metropolitan Tokyo, Taito and Nishi-Tokyo are members of the Alliance of Healthy Cities. [6] However, it has not been confirmed that the Tokyo Metropolitan Government is participating in any international networks/initiatives.</t>
  </si>
  <si>
    <t>There is a city government health department with a clear set of responsibilities and a process for monitoring activities. The city is also part of a healthy city initiative._x000D_ _x000D_Toronto Public Health (TPH) reports to the Board of Health and is responsible for the health and well-being of its residents. On the City of Toronto website, it lists a clear set of responsibilities of the TPH e.g preventing the spread of disease, promoting healthy living and advocating for conditions that improve health for Toronto residents. [1]_x000D__x000D_TPH is in charge of assessing the health of the city's population by measuring, monitoring and reporting health determinants and risks, health outcomes and related health inequities. Such information allows TPH to deliver health promotion and disease prevention services, as well as developing policies to keep the city healthy. [2] _x000D__x000D_Toronto is part of the Partnership for Healthy Cities, which is made up of a global network of cities whose aim is to prevent non communicable diseases and injuries (public health areas of focus include food policy, overdose prevention, road safety, safe and active mobility, surveillance and tobacco control). [3]</t>
  </si>
  <si>
    <t>Vienna has a health department with a clear set of responsibilities and a process for monitoring activities._x000D__x000D_The mandate of Municipal Department 15: Heath Service (Magistratsabteilung 15: Gesundheitsdienst— MA15) of the city government of Vienna covers health and health services. [1] Within in the MA 15, the City Health Office (Stadtgesundheitsamt) is responsible for "Processing of reported diseases", "Official experts on behalf of another authority if health concerns are involved", Narcotics matters", "Early leave of absence due to maternity protection", "Permanent service of the health service", "Expert work for the administrative court", "Expert work in the field of radiation protection" and "Delousing control". [2] It also maintains the Hygiene Center of the City of Vienna (Hygienezentrum der Stadt Wien), whose tasks include, "Disinfections, delousing, central coroner's inquest, official sanitary matters". [3]_x000D__x000D_Municipal Department 24: Strategic Healthcare (Magistratsabteilung 24: Gesundheitsversorgung— MA24) is also partially responsible for health and health data; its mandate covers, "the strategic planning, management and improvement of healthcare services as well as the partial financing of the Vienna Fund Hospitals". [4] _x000D__x000D_Vienna is a member of the WHO European Healthy Cities Network. [5] [6]</t>
  </si>
  <si>
    <t>Wuhan has a city government health department, entitled "Wuhan Municipal Health Commission". [1] This department serves an administrative role, implementing national health policies in Wuhan, formulating local regulations and drafting municipal government regulations, policies, measures, and plans for the development of health undertakings. The commission formulates and implements relevant standards and technical specifications, as well as coordinates and promotes the deepening of the reform of the medical and health system, among others. [2]_x000D__x000D_Monitoring of Wuhan's health plan is undertaken by municipal and district health administrative departments, as well as the centralised Wuhan Health Information Centre, which is responsible for collection of statistics. [3] [4]_x000D__x000D_Wuhan is a member of the Partnership for Healthy Cities, which is made up of a global network of cities whose aim is to prevent non communicable diseases and injuries (public health areas of focus include food policy, overdose prevention, road safety, safe and active mobility, surveillance and tobacco control). [5]</t>
  </si>
  <si>
    <t>Under the Yangon City Development Committee (YCDC), there is a health department (different from the department of public health which is under the Ministry of Health and Sports). _x000D__x000D_While the responsibilities of the health department are defined, its responsibilities are not related to health services and no process for monitoring activities is mentioned. Its responsibilities are mainly limited to the prevention of infectious diseases (especially mosquito-borne diseases) inspecting private hospitals and clinics, and issuing licences to restaurants. [1]_x000D__x000D_Yangon is a member of the Partnership for Healthy Cities, which is made up of a global network of cities whose aim is to prevent non communicable diseases and injuries (public health areas of focus include food policy, overdose prevention, road safety, safe and active mobility, surveillance and tobacco control). [2]</t>
  </si>
  <si>
    <t>The City has an Urban Health Extension Program (UHEP), but there is no evidence that it possesses a city-specific non-communicable disease (NCD)/cardiovascular disease (CVD) plan. The budget allocated for urban health is not readily available in open sources, such as the websites of the city administration. [1]_x000D__x000D_The UHEP was initiated in 2009 at the national level. Its aim was to create health equity by generating demand for essential health services through the provision of health information at the household level and access to services through referrals to health facilities. The UHEP was expected to provide 15 packages of services grouped into four thematic areas. The Urban Health Extension Professionals (UHE-Ps) are trained on the principles of the urban health extension program. Currently, more than 5,000 female UHE-Ps have been trained and deployed in approximately 400 cities/towns, including Addis Ababa. On average, one UHE-P is assigned to 500 households. UHE-Ps provide door-to-door health education and related services and refer clients to health centres as necessary. [2]_x000D__x000D_The Ethiopian Public Health Institute Establishment Council of Ministers Regulation No. 301/2013 is applicable nationwide, including in Addis Ababa, and makes certain provisions for the protection of public health. It establishes a Public Advisory Board at the Federal and Regional levels. The Public Health Authority shall appoint qualified inspectors to implement the provisions of this Proclamation and other laws and directives related to public health. [3]_x000D__x000D_Similarly, the Food, Medicine and Health Care Administration and Control Proclamation No. 661/2009 regulations were implemented in Ethiopia, which support the prevention of infectious diseases and harm caused by industries, including the nutrition industry. The Proclamation also has regulations on water quality, liquid waste, and other environmental health issues. However, it does not provide a specific urban NCD/CVD plan. [4]_x000D__x000D_Another health-related initiative adopted by Addis Ababa is the "Major Cities Emergency and Critical Care Improvement Program" (MECIP). MECIP is an initiative "designed to increase access to city-wide quality emergency, injury, and critical care services by creating a unique collaboration platform that can generate evidence-based innovative solutions to prioritised critical gaps and support health facilities and cities to ensure the integration of pre-hospital, emergency, injury, and critical care services in selected major cities." [5]</t>
  </si>
  <si>
    <t>There is no evidence of an urban public health plan for Algiers on the dedicated Facebook page for Directorate of Health and Population of the Algiers region (The Direction de la Santé et de la Population de la Wilaya d'Alger; "DSP d'Alger"), and the archived page of the Algerian Ministry of Health, Population, and Hospital Reform (currently not accessible as of March 2024). [1] [2]_x000D__x000D_Algeria had a "National Multisectoral Strategic Plan for Integrated Fight Against the Risk Factors of NCDs" for the period from 2015 until 2019. [3] However, there is no evidence of an updated or current plan for the country; the health ministry's website does not reference one. [2] The United Nations Development Programme's Country programme document for Algeria (2023-2027) also does not reference such a plan, while it does note that "the response to the COVID–19 crisis is a national priority and includes measures to strengthen the health system". [4]</t>
  </si>
  <si>
    <t>Atlanta does not have an urban health plan. _x000D__x000D_Although the city has an urban public plan called the City of Atlanta's Comprehensive Development Plan (CDP), also known as "Plan A", this is not an urban health plan. [1]</t>
  </si>
  <si>
    <t>[1] City of Atlanta. City of Atlanta 2021 Comprehensive Development Plan [Internet]. atlantaga.gov. 2021 [Accessed February 22nd 2024]. Available from: https://www.atlantaga.gov/government/departments/city-planning/community-plans-studies/plana</t>
  </si>
  <si>
    <t>The Auckland Plan 2050 aims to improve the overall wellbeing of Aucklanders and could indirectly impact health through environmental, housing, and transport policies._x000D_Funding sources are identified such as the central government and the Auckland Council. Auckland Council projects identified in decade 1 are funded in the 10 -year Budget 2018-28. [1] Yet no specific strategies related to NCDs were addressed in the plan.</t>
  </si>
  <si>
    <t>[1] Auckland Council. Auckland Plan 2050. Auckland Council; 2024. [Accessed March 18th 2024]. Available from: https://www.aucklandcouncil.govt.nz/plans-projects-policies-reports-bylaws/our-plans-strategies/auckland-plan/Pages/default.aspx</t>
  </si>
  <si>
    <t>Long-term targets for cardiovascular care exist in strategy documents at both the national and city level. The 20-Year Development Plan for Bangkok Metropolis set a target that obesity should fall from 35% in the 2013-17 period to less than 30% of the population by 2032, while hypertension should fall from 24% to 22% over the same period. [1] At the national level, Work Plan No. 6, Project 14 of the Twenty-Year National Strategic Plan details long-term reforms and targets as part of the country's non-communicable disease strategy. This includes conducting clinical evaluations of 92% of patients diagnosed with diabetes or hypertension for cardiovascular risks. [2] These national goals are implemented and monitored by the Medical Services Department of the devolved Bangkok Metropolitan Administration. [3]</t>
  </si>
  <si>
    <t>Beijing has an urban health plan which includes an urban health plan specifically for NCDs or CVDs. The plan does not specify a budget; however, there is a 2024 budget for the Health Commission._x000D__x000D_"Healthy Beijing Action 2020-2030" is formulated in accordance with the Healthy China 2030 Plan. [1] Section (8) points 28 to 30 of the "key measures"of the "Healthy Beijing Action 2020-2030" address the prevention, early diagnosis, and treatment of chronic diseases including cardiovascular diseases. Point 31 addresses the risk factor management of hypertension, high blood sugar, and high blood fat. [1]_x000D__x000D_However, the plan does not specify a budget. [1] The Municipal Health Commission's budget report for 2024 spending does not specify a budget for the Healthy Beijing Action; it stated that the 2024 budget for the health commission is CNY 9.37 billion, an increase of 14.45% from 2023. [2]</t>
  </si>
  <si>
    <t>Bogotá has a health urban plan which mentions targets to CVDs. The plan specifies a budget to the health sector from 2020 to 2024. "The Territorial Health Plan 2020-2024" is an urban health plan, which seeks to improve health indicators in Bogotá. [1] The plan highlights its commitment in positively impacting the health determinants of the citizens living in the city, as well as in creating an inclusive, protective and sustainable city that seeks to improve the wellbeing its inhabitants." In addition, the Plan highlights its goal in decreasing cardiovascular diseases and risk factors. Its main goal is to reduce the number of deaths due to NCDS to 127 people per 100,000 inhabitants. The plan mentions a budget allocated to the health sector during this period (14.994.978 pesos colombianos).</t>
  </si>
  <si>
    <t>[1] Secretaría de Salud. Plan Territorial de Salud Bogotá D.C 2020-2024. Bogotá. Secretaría de Salud. 2020. Available from: https://subredsuroccidente.gov.co/planeacion/DOCUMENTO%20PTS%202020-2024%20%2027042020.pdf</t>
  </si>
  <si>
    <t>No evidence was found that Budapest has an urban public health plan on the City Hall's website. [1] The Budapest 2027 Integrated Urban Development Plan, published in 2021, mentions improving health access as a general goal but has no dedicated chapter to the issue or allocated budget. It also mentions that it has little jurisdiction between state, district and private controlled services. Regarding the goal to improve access (Chapter I. B., Improving The Conditions of Health Preservation) it explicitly mentions CVDs as a leading cause of early deaths. [2]_x000D__x000D_Local governments (in the case of Budapest, its districts) are limited in the healthcare functions they can fulfil In particular, health and social care as much as education have been almost completely centralised. [3]_x000D__x000D_Budapest has started working on the Healthy Streets project within the EU-funded UP2030 project, which aims to reduce air and noise pollution. Despite being based on the Healthy Streets concept, the measures for Budapest do not constitute a comprehensive urban health plan. [4] The project is also in the early phases of implementation. [4]</t>
  </si>
  <si>
    <t>There is no evidence of an urban public health plan for Cairo on the website of Cairo Governorate and of the Egyptian Ministry of Health and Population. [1] [2]_x000D__x000D_Egypt did have a National Multisectoral Action Plan For Noncommunicable Diseases Prevention and Control 2018 – 2022 and a National Multisectoral Action Plan for Prevention and Control of Noncommunicable Diseases 2017-2021. [3] [4]_x000D__x000D_However, there is no evidence of an updated or current plan for the country; the health ministry's website does not reference one. [5]</t>
  </si>
  <si>
    <t>Although there is an Urban Health Unit under the Ministry of Health there is no evidence of an Urban Public Health Plan. [1]_x000D_There is a Non Communicable Disease (NCD) unit with a specific National Multisectoral Action Plan for the Prevention and Control of Chronic Non-Communicable Diseases 2023-2027. There is a budget allocated for this plan. [2]</t>
  </si>
  <si>
    <t>The National Health Mission, an initiative of the Government of India launched the National Urban Health Mission(NUHM) in 2013 which is implemented across several states and cities in India, Delhi being one. [1]_x000D__x000D_The National Urban Health Mission covers cities with a population more than 50,000. Urban Health Mission also emphasises convergence with other departments dealing with social determinants of health such as sanitation, water supply and nutrition. [1] [2] _x000D__x000D_Specific Budget is allocated by the government of India through the National Health Mission initiative and distributed at the central and state level. [3] There is a specific NCD plan under the Government of India which is implemented in all states of India. [4]</t>
  </si>
  <si>
    <t>There is no evidence that there exists a city-level urban health policy in Dhaka, but there is a national strategy that was implemented in 2020, in which all local governments are responsible for implementation, including Dhaka._x000D__x000D_The National Urban Health Strategy 2020 outlines the government's approach to addressing health issues in urban areas, including the demarcation of responsibilities for urban health, service providers, and strategies for improving health outcomes. As per the document, the Ministry of Health and Family Welfare (MOHFW) is responsible for policy regarding health-related matters, and local government units are responsible for implementation of all policy formulated at the ministerial level. [1] Strategy 10 is targeted at "City Corporations and Municipal Standing Committees", and states that for these entities, "while designing and implementing respective urban health systems, attention (is) needed so that assigned PHC outlets provide care for non-communicable diseases." [1] As per the document, city-level entities "don't have a separate budget allocation for health services or public health initiatives, and they have limited capacity to mobilise their own funds." No separate funding was allocated for the implementation of this strategy. [1]_x000D__x000D_The "Multisectoral Action Plan for Prevention and Control of Noncommunicable Diseases 2018-2025" outlines a comprehensive strategy to address noncommunicable diseases (NCDs) in Bangladesh. The plan emphasises the need to improve healthcare services in urban settings, and Dhaka is mentioned as a focal point for strengthening health systems to manage NCDs effectively. [2] No budget has been allocated for the plan, but advocacy efforts to raise the same have been included as part of the action plan. [2]</t>
  </si>
  <si>
    <t>Dubai has an urban health plan for NCDs and CVDs as part of its general public health strategy. The Dubai Health Authority (DHA) has engaged with healthcare stakeholders to discuss the Dubai Digital Health Strategy, demonstrating a commitment to digital innovation in healthcare services. The strategy aims to deliver patient-centric and data-driven healthcare services through digital innovation. As per the Director of Strategy &amp; Governance Department at DHA, the strategy aims to enhance the population of Dubai's ability to manage their health by connecting digital technologies with health sciences. [1] The strategy does not specify a budget allocated for health services and/or programmes. Nonetheless, there is information on the amount spent on health._x000D__x000D_In 2022, the government of Dubai spent $2.5 billion on healthcare in the emirate, according to the Health Accounts System for the Emirate of Dubai (HASD) 2022 report. [2]_x000D__x000D_The UAE Ministry of Health and Prevention (MoHAP) has collaborated with the World Health Organization (WHO) to enhance NCD surveillance systems, highlighting a focus on disease prevention and control. This collaboration indicates concrete efforts to enhance NCD surveillance. [3]</t>
  </si>
  <si>
    <t>The City of Helsinki has an urban health plan. According to Section 6 of the Act on Organising Healthcare and Social Welfare Services 612/2021, the municipality must submit a welfare report and plan and publish it on the public information network. [1] The City of Helsinki Welfare Plan 2022–2025 aims to promote well-being, health and safety for Helsinki residents with a focus on quality-of-life experiences. [2] The plan has six focus areas, namely mental well-being, hobbies and leisure, physical activity, healthy lifestyles, good community relations and a safe and beautiful city. [2] _x000D__x000D_The plan aims to promote healthy diet, regular physical exercise, quality and adequate sleep, and a substance-free lifestyle for the "prevention, treatment and rehabilitation of many national diseases". [2] While the plan does not specifically mention or address NCDs or CVDs, in Finland, the majority of national diseases are in fact NCDs: According to the World Health Organization's 2020 data, 93% of deaths in Finland was caused by NCDs. [3] According to Statistics Finland, the cause of almost every third death was caused by circulatory system diseases in 2022. [4] A scientific article published in December 2023 on NCD risk factors in Finland with projections up to 2040 estimates a downwards trend on many NCD risk factors, with the exception of obesity and diabetes. [5]</t>
  </si>
  <si>
    <t>An urban health plan exists in Ho Chi Minh City. The community health plan aims to protect, care and Improve people's health in the city for the period 2021 - 2030. The funding for the implementing the Project is estimated 588 billion VND. [1]_x000D__x000D_Ho Chi Minh city launched the "Essential intervention package on non-communicable diseases" of the World Health Organization in 2022. [2]</t>
  </si>
  <si>
    <t>The government has launched a strategic framework to prevent and control non-communicable diseases (NCDs) and has set up a high-level multidisciplinary and intersectoral steering committee to oversee the overall implementation. It mentions the importance of urban planning and urban design to guarantee and promote a healthy living. [1]_x000D_In the Towards 2025 Plan, it is specified that the Food and Health Bureau (FHB)'s HK$4.5 million funding scheme to district/local community groups to organise activities at the community level to strengthen publicity and education. [1] The Department of Health has been funding local non-governmental organisations (NGOs) and universities to provide free smoking cessation services.</t>
  </si>
  <si>
    <t>[1] Change4Health. Strategy and action plan towards 2025. Available from: https://www.change4health.gov.hk/en/saptowards2025/</t>
  </si>
  <si>
    <t>Available evidence does not indicate that Istanbul has its own public health plan; instead, it carries out those that are set at the national level (one such plan addresses CVDs and another is dedicated specifically to NCDs). In Turkey's highly centralised health system, health policy in Istanbul is administered by the Istanbul Provincial Health Directorate, part of the Ministry of Health. [1] [2] _x000D__x000D_The key national public health plans relevant to NCDs and CVDs are: a) the 2024-2028 Strategic Plan, and b) the Multisectoral Action Plan of Turkey for Noncommunicable Diseases 2017-2025. Both these plans were designed by the Ministry of Health and address NCDs or CVDs in detail. For example, in the former plan, Strategy 2.4.2 calls for studies to be carried out "to increase the health literacy of the society about non-communicable diseases (hypertension, diabetes, cardiovascular diseases, cancer); between 2023 and 2028 the plan also aims to raise the hypertension and cardiovascular risk-assessment screening rates from 17% to 40% and from 27% to 60% respectively. [3] the latter plan stipulates coordination among stakeholders "...to attain the national targets set for reducing NCDs, including cardiovascular diseases, cancer, chronic heart diseases and diabetes (the plan's third target aims "...to reduce modifiable risk factors and underlying social determinants for NCDs through establishing environments for health promotion...". [4] While neither of these planning documents stipulate specific budgets for realising their objectives, they both emphasise that budgetary considerations are paramount in setting policy and realising their objectives. [3] [4]</t>
  </si>
  <si>
    <t>The Jakarta health department's 2023-26 strategic plan contains numerous targets pertaining to non-communicable diseases and cardiovascular disease. The budget for service management of non-communicable diseases in DKI Jakarta over the four-year timeline was 15.7 billion rupiah (US$1 million). [1]</t>
  </si>
  <si>
    <t>No evidence of a city-level urban public health plan or NCDs/CVDs plan was found on the websites of the City of Johannesburg, the province of Gauteng and national government. [1] [2] [3] However, the National Department of Health has a comprehensive plan for non-communicable diseases (NCDs).</t>
  </si>
  <si>
    <t>For Karachi, there is a provincial urban public health plan outlined in the Sindh Health Sector Strategy 2012-2020 document. This plan includes specific strategies to strengthen district health systems, implement an urban Primary Health Care (PHC) system, and address the health needs of low-income urban populations. The document also highlights the importance of streamlining human resource production, retention, and capacity to support priority health needs, with special focus areas such as polio, undernutrition, HIV/AIDS, and non-communicable diseases (NCDs). [1] There is no evidence of any updates to the strategy either during or after its implementation timeline. [1] [2] [3]_x000D__x000D_The strategy does not provide specific details about the budget allocated for health services and programs. [1]_x000D__x000D_NCDs are included as one of the special focus areas in the overall health strategy. The strategy does mention the establishment of healthcare centres for NCDs in the cities of Karachi, Hyderabad, and Sukkur. These centres aim to reduce the mortality and morbidity burden of NCDs, including cardiovascular diseases (CVDs), diabetes mellitus, and associated mental illnesses. [1]_x000D__x000D_No other urban plans or strategies were identified on the websites of the Karachi Metropolitan Corporation or the Sindh Department of Health. [2] [3]</t>
  </si>
  <si>
    <t>There is no evidence of an urban public health plan specific to Kathmandu Metropolitan city. [1,2] As per the interviewee, the urban health plan is in the draft development phase. [3] Although there is ample evidence of the Metropolitan city taking initiatives to provide and improve health facilities and health promotion programmes, a public health plan as such could not be located. There is also a budget allocated for running community-level health service units in different wards of the city. [2]</t>
  </si>
  <si>
    <t>The National Health Mission, an initiative of the Government of India launched the National Urban Health Mission(NUHM) in 2013 which is implemented across several states and cities in India, Calcutta being one. The NUHM lays special emphasis and focus on the urban population 'living in listed and unlisted slums and all other vulnerable populations such as homeless, rag-pickers, street children, rickshaw pullers, construction and brick and lime kiln workers, sex workers, and other temporary migrants. National Urban Health Mission covers cities with a population more than 50,000. Urban Health Mission also emphasises on convergence with other departments dealing with social determinants of health such as sanitation, water supply and nutrition. [1] [2]_x000D_Specific Budget is allocated by the government of India through the National Health Mission initiative and distributed at the central and state level. [3]_x000D_There is a specific NCD plan under the Government of India which is implemented in all states of India. [4]</t>
  </si>
  <si>
    <t>Kuwait has an urban health plan with a focus on NCDs, but without specifying a budget. _x000D__x000D_As part of the Kuwait Development Plan 2020-2025, of which the Ministry of Health is a part, "Program 8" revolves specifically around health and wellbeing. One aim of this program is to combat non-communicable diseases, with a specific target of reducing non-communicable disease mortality to 64 per 100,000 persons by 2035, noting the particular scourge of cardiovascular diseases and diabetes as prominent causes. The Ministry of Health and Ministry of Interior have been charged with implementing policies in this regard in order to reduce the prevalence of non-communicable diseases as part of the general public health plan. Kuwait City is included as part of this plan. [1] _x000D_ _x000D_The general budget and spending on health is available through the Ministry of Finance, however there is no specific breakdown regarding the planned measures for Program 8 of the Kuwait Development Plan 2020-2025. [2] _x000D_ _x000D_The Health Capital Area does not have its own separate urban health plan. [3]</t>
  </si>
  <si>
    <t>Lagos does not currently have an urban public health plan or an NCDs/CVDs plan, but it has a 2018-2022 initiative. According to the Lagos Ministry of Health (MOH) website, the ministry's latest strategic document is the Lagos State Strategic Health Development Plan II (2018-2022) (LSSHDP II). [1] The LSSHDP II was not available online, however, the MOH website's summary of the plan identifies Non-Communicable Diseases (NCDs) as one of five priority areas (Strategic Pillar Two). [1] The LSSHDP II is aligned with Nigeria's 'Second National Strategic Health Development Plan (NSHDP II) 2018-2022', which is publicly available. [2] The NSHDP II contains national targets to: i) reduce overall mortality from NCDs by 20% by 2022, ii) reduce prevalence of modifiable risk factors, iii) increase proportion of eligible population screened for early detection and management of NCDs to 50% by 2022, and iv) increase access to quality treatment facilities for persons with NCDs to 50% by 2022. [2] However, a review of the MOH website found no evidence that the LSSHDP has been updated since 2022._x000D__x000D_The Lagos State Development Plan 2052 (LSDP 2052) contains a general public health plan, but no specific references to NCDs/CVDs. [3] Furthermore, the healthcare objectives stated in the Plan (on general health outcome and health services indicators, and on medical tourism) do not provide an urban public health plan._x000D__x000D_In Lagos, the Lagos State Primary Health Care (LSPHC) is responsible for planning, budgeting, monitoring and evaluation of all Primary Health Care services. [5] A review of the LSPHC, State Treasury Office, Ministry of Economic, Planning and Budget and MOH websites found no publicly available evidence of a current health plan, or healthcare budget for NCDs/CVDs. [1] [4] [5] [6]. The Lagos State Development Plan 2052 (LSDP) and the "Y2024 Citizens' Budget" contain a general public health plan and budget allocations, but no references to specific budget allocations for NCDs/CVDs. [3] [7]</t>
  </si>
  <si>
    <t>The London Plan is an overall strategic plan for the city and it sets an integrated economic, environmental, transport and social framework for the development of London over the next 20-25 years. [1] The London Plan outlines plans/developments that are in place to transform it into a healthy city, some of these include plans/developments include - promoting more active and healthy lives for all Londoners and enabling them to make healthy choices, using the Healthy Streets Approach to prioritise health in all planning decisions and seeking to improve the city's air quality, reduce public exposure to poor air quality and minimising inequalities in levels of exposure to air pollution. [1] The London Plan does not mention CVD or NDCs but lists ways that health can be improved. _x000D__x000D_There is currently no urban health plan for NCDs or CVD (not as a separate document, and since there is no city level general public health plan, it is not a part of that. No information around allocated budget for health services/programmes either).</t>
  </si>
  <si>
    <t>[1] The Greater London Authority. The London Plan. The Spatial Development Strategy for Greater London. London: GLA; 2021. Available from: https://www.london.gov.uk/sites/default/files/the_london_plan_2021.pdf</t>
  </si>
  <si>
    <t>Evidence indicates that the Community of Madrid has numerous public health plans, focusing on a variety of specific concerns, rather than a single comprehensive plan. At least two of these plans discuss and stipulate policies on cardiovascular diseases.[1] such as Community Health Strategy in Primary Care, published in 2022. [2] A standalone Cardiovascular Health Plan (Plan de Salud Cardiovascular de la Comunidad de Madrid), adopted by the Community in 2007, is no longer in effect. [3] _x000D__x000D_It should be noted that the city proper, the Municipality of Madrid, governed by the City Council, does have its own public health plan, known as the Prevention and Health Promotion Strategy--Madrid, a healthy city 2021-2024. As the text of the plan notes, National Law 7/1985, of April 2, Regulating the Bases of the Local Regime, in its article 25 "attributes powers to the municipalities, which have important repercussions for the health of the population." [4] _x000D__x000D_However, while the text of the Strategy mandates reduction of the prevalence of certain diseases such as diabetes and cardiovascular disease, the specific competencies delegated to the municipality in regard to health focus on locality-specific subjects such as urban planning and environment, the social needs of residents, civil protection, mobility and collective transport, etc. The strategies and attendant regulations of the Municipality are not meant to supersede, contradict or overlap with those of the Community of Madrid.</t>
  </si>
  <si>
    <t>There is no evidence of an urban health action plan at the city level in Manila on the websites of the Manila city government, the Manila Health Department (MHD), or the Department of Health - Metro Manila Center for Health Development (DOH-MMCHD). [1] [2] [3] _x000D__x000D_The city government has participated in the HEARTS pilot project, which is a collaboration between the Manila District VI Health Office, the national Department of Health, and the World Health Organization (WHO) to step up prevention, detection, and treatment of cardiovascular diseases in one area of the capital. The HEARTS project aims to help "health providers implement the Philippine Package of Essential NCD Interventions for Primary Health Care (Philippine PEN)." [3] However, there is no evidence that the pilot was continued after its implementation in 2017, on the website of the Manila Health Department. [4]_x000D__x000D_The Philippine Department of Health (DOH) does have a comprehensive program aimed at reducing lifestyle-related diseases and promoting universal health coverage (UHC). [5]</t>
  </si>
  <si>
    <t>The City of Melbourne has an urban health plan, which incorporates some CVD and NCD related lifestyle factors. Health and Wellbeing Action Plan 2021-2025 outlines several areas of strategic priority, including encouraging people to make healthy and sustainable lifestyle decisions to mitigate the risk of chronic diseases such as heart disease, diabetes and poor mental health. This includes supporting the Healthy Choices program. This action plan does not specify a budget allocated for any health services or programmes. [1] The Victorian Public Health and Wellbeing Plan also outlines several strategies for improving and promoting consumption of nutritious foods and active lifestyles. This plan does not specify budget allocation for any health services or programmes. [2] For context, the Australian government has devised national action plans specific to the prevention and management of NCDs and CVDs, including the National Strategic Framework for Chronic Conditions and the National Strategic Action Plan for Heart Disease and Stroke. [3] [4]</t>
  </si>
  <si>
    <t>Mexico City does not have an urban health plan. Some initiatives come close to it but are not exactly plans, such as the "Health in your Life" (Salud en tu Vida) project, the Comprehensive Program for Climate Action in Mexico City (PACCM), and "Lab for the City" (Laboratorio para la Ciudad).[1] [2] [3]</t>
  </si>
  <si>
    <t>Moscow has an urban health plan with a budget, but there is no evidence of an NCDs/CVDs plan._x000D__x000D_The Moscow Department of Health sets out its own urban health plan, the most recent of which was set out in a document published in December 2023. Besides the provision of primary health services, its aims include the promotion of "a healthy diet, and quitting harmful habits" and "increasing quality of life among the elderly". It also specifies how the budget will be spent on various aspects of healthcare. The plan includes a budget for cardio-vascular surgery, however there is no comprehensive plan outlined for NCDs and CVDs. [1] _x000D__x000D_"Moscow - the capital city of health" is a project that is part of the urban health plan. Aside from primary health services, it includes services that allow for the public to ask doctors questions through media platforms. [2]</t>
  </si>
  <si>
    <t>The National Health Mission, an initiative of the Government of India, launched the National Urban Health Mission(NUHM) in 2013 which is implemented across several states and cities in India, Mumbai being one. The NUHM lays special emphasis and focus on the urban population "living in listed and unlisted slums and all other vulnerable populations such as homeless, rag-pickers, street children, rickshaw pullers, construction and brick and lime kiln workers, sex workers and other temporary migrants." National Urban Health Mission covers cities with a population more than 50,000. Urban Health Mission also emphasises on convergence with other departments dealing with social determinants of health such as sanitation, water supply and nutrition. [1] [2] Specific Budget is allocated by the government of India through the National Health Mission initiative for the National Urban Health Mission and is distributed at the central and state level. [3] There is a specific NCD plan under the Government of India which is implemented in all states of India. [4]</t>
  </si>
  <si>
    <t>Nairobi City County has developed a Community Health Services Implementation Plan for the period 2023-2027. The Plan has a budget with an estimated implementation cost of KES 8.2 billion. [1]_x000D__x000D_The Nairobi City County Development Plan 2023-2027 contains a Sector Programme under Wellness, which aims to "Promote healthy lifestyle to reduce modifiable risk factors for Non- Communicable Diseases", and the programme is budgeted. [2] While there is no more specific plan for NCDs and CVDs, there is evidence that Nairobi would receive funding from the Partnership for Healthy Cities to support policies to reduce NCDs in 2023. Cities have to advance a robust policy proposal on NCDs before the funds are disbursed. [3] _x000D__x000D_Kenya has a National Strategic Plan for the Prevention and Control of Non-Communicable Diseases for 2021/22-2025/26 [4]. Kenya also has National Guidelines for Cardiovascular Diseases Management. [5]</t>
  </si>
  <si>
    <t>There is evidence of an urban health plan in the city. The TCNY 2024 (Take Care New York) is the core of the Community Health Assessment and the Community Health Improvement Plan. [1]_x000D__x000D_The plan aims to reduce premature mortality, which the main causes are CVDs and diabetes (among other factors) and to reduce infant mortality. Regarding risk factors and diabetes, by the end of 2024, the NYC plans to increase to 70% the number of adults with controlled blood pressure and decrease to 14.8% the number of adults with diabetes whose most recent HbA1c indicated poor control. The plan does not mention a budget.</t>
  </si>
  <si>
    <t>[1] New York City Department of Health and Mental Hygiene. Take Care New York 2024. New York City. NYC Department of Health and Mental Hygiene.2024. Available from: https://www.nyc.gov/assets/doh/downloads/pdf/tcny/community-health-assessment-plan.pdf</t>
  </si>
  <si>
    <t>There is an urban public health plan which includes NCDs or CVDs and a budget allocated for the programmes._x000D__x000D_Based on the Health Promotion Act, the Osaka Prefectural Government has established the "Third Osaka Prefecture Health Promotion Plan," covering the period from fiscal year 2018 to fiscal year 2023. The plan aims to extend healthy life expectancy and reduce health disparities by focusing on prevention, early detection, and progression prevention of lifestyle-related diseases, as well as implementing measures tailored to different life stages and enhancing the social environment to support health promotion. [1] Numerical targets have been set for various indicators such as nutrition and dietary habits (vegetable intake, etc.), physical activity (exercise habits, etc.), alcohol consumption, smoking rates, rates of undergoing health check-ups, and the proportion of untreated individuals with conditions such as hypertension and diabetes. Progress data and PDCA progress management status are disclosed annually. [2] To achieve the goals of the Third Osaka Prefecture Health Promotion Plan, an annual budget is allocated for health promotion activities. The budget for fiscal year 2023 is approximately 12 million yen, including national treasury expenditures. [3]</t>
  </si>
  <si>
    <t>Available evidence does not indicate that the city of Paris or the region of Île-de-France, which encompasses it, have public health plans that specifically address prevention of cardiovascular risk. Such a strategy is promoted, and budgetary allocations made for it, but at the national level, where overarching health policy for the regions is determined. [1] [2]_x000D__x000D_Within the framework of France's partially devolved public health system, the Regional Health Agency (agence régionale de santé—ARS) of the Île-de-France executes national-level policies in a manner adaptive to its own conditions. [2] It also runs its own multi-year regional health projects (Projets Régionaux de Santé—PRS); the current PRS runs from 2023 to 2028 and includes the Regional Health Scheme (le Schéma régional de santé—SRS). [3] The current SRS devotes considerable attention to CVDs and aims to "build a culture of prevention and develop the power of citizens to act", it does so in the context of improving care delivery. [4] _x000D__x000D_Similarly, at the municipal level, Paris's own Environmental Health Plan contains some provisions relevant to CVDs, but only with respect to promoting healthcare delivery among residents, such as by reducing inequalities in access to care, and exposure to environmental drivers of disease such as air pollution. [5]</t>
  </si>
  <si>
    <t>There is no urban public health plan that provides budget allocation for health services and/or programmes in Cambodia. However, an urban health plan for NCDs or CVDs is in place in the country._x000D__x000D_An urban public health plan has yet to exist in Phnom Penh. [1] [2] Yet, there was evidence of an urban health project implemented by Options and the Department for International Development (DFID) in Cambodia. Ended in December 2001, the project aimed to find alternative models for healthcare for the urban poor across Phnom Penh and other urban cities in the country. [3] According to the United Nations Global Marketplace, the Health Strategic Plan 2021-2030 (HSP4) has been reportedly drafted to support the national health development agenda with Vision 2030. However, the document has not been uploaded, and no strategic actions on urban public health are mentioned. [1] [4] The latest Health Strategic Plan 2016-2020 also did not set forth any urban public health plan. [5]_x000D__x000D_In June 2018, Cambodia adopted the National Multisectoral Action Plan for the Prevention and Control of Noncommunicable Diseases 2018-2027 which aimed to respond to the rising challenges of Noncommunicable Diseases (NCDs), such as cardiovascular disease, cancer, chronic respiratory disease, and diabetes. As part of the plan, the Ministry of Land Management, Urban Planning and Construction is responsible for promoting an environment for physical activity and harmonisation through urbanisation, while the Ministry of Public Works and Transport works to strengthen and promote urban public transport. Other key actions that apply across the country include controlling tobacco and alcohol use, promoting healthy diets, and cutting exposure to indoor air pollution. [6]</t>
  </si>
  <si>
    <t>The Royal Commission for Riyadh City has set out a Riyadh Regional plan for the city's future in which it includes aims related to the health sector, but not regarding urban health policy objectives. [1] For example, it states that there are programs for the "establishment of a number of hospitals in the Region" and "establishment and equipment of a number of primary care centres". However, there is no evidence of an urban health plan. [1] _x000D__x000D_There is also no specified budget or any specific plan regarding NCDs/CVDs in the Riyadh Regional Plan, nor in the general Ministry of Health or Public Health Authority. [2] [3]</t>
  </si>
  <si>
    <t>Rome has an urban public health plan which encompasses strategies on NCDs and, by extension, on CVDs. The plan itself does not discuss budgetary allocations. _x000D__x000D_Italy's healthcare system is a devolved one, run largely by the regional and provincial governments according to agreements set periodically between them and the State. Each region therefore has its own health plan, administered in line with overarching policy objectives set at the national level. [1] As the Metropolitan City of Rome Capital is a subject municipality of the Region of Lazio, its health plan is that of the region. This plan is known as the Regional Prevention Plan 2021-2025 ("PRP") Lazio. [2] _x000D_ _x000D_Italy's National Prevention Plan 2020-2025 fosters "...a strategy that aims to intervene on the four main modifiable risk factors of chronic non-communicable diseases (NCDs) (tobacco consumption, sedentary lifestyle/insufficient physical activity , risky and harmful consumption of alcohol, incorrect diet), through actions that affect the reduction of mortality and morbidity, including cardio-cerebrovascular diseases (CVDs)." [3] _x000D__x000D_In that regard, as with the PRP's of the other regions and provinces, Lazio's PRP embeds this strategy of the national-level plan, albeit in a manner tailored for its own specific regional needs and conditions.</t>
  </si>
  <si>
    <t>There is an urban plan called San Francisco General Plan that has health provisions in its Safety &amp; Resilience Element. [1] Though, more specifically to health, there is the Health Care Services Master Plan Update of 2019. The SF Planning Department and SF Department of Public Health collaborate on the Health Care Services Master Plan (HCSMP) for San Francisco, first launched in 2013 and that must be updated every three years. It assesses present and future health care needs, prioritising vulnerable groups. The HCSMP informs policy decisions for health care and land use by the Health Commission, Planning Commission, and Board of Supervisors. [2] However, there are no updates on its current status. The last information on the official website is the draft for the 2019 version. _x000D__x000D_About the second question, there is no mention of a budget in the draft of the HCSMP. The resource that is available is the Fiscal Budget report of the SF Department of Public Health itself (and not related to the HCSMP). In the report, they describe the DPH Pharmaceuticals and Materials and Supplies Inflation program that prescription drug usage is rising due to longer, healthier lives among older patients. Those over 50 account for 77% of prescription growth since 2011. Increased utilisation in categories such as diabetes, inflammatory conditions, asthma, and cardiovascular diseases is driving up drug spending. Since the Department projects cost increases of 10% for pharmaceuticals, this program aims to continue utilising tight drug formulary control and aggressive use of lower cost generic drugs to help offset increases in expense. [3] _x000D__x000D_Research did not show evidence for the existence of an urban health plan for NCDs or CVDs (separate or a part of the general public health plan).</t>
  </si>
  <si>
    <t>São Paulo City developed a Health Plan aiming to achieve four main pillars: 1—guarantee full attention to the users' health, 2—expand health accessibility, 3—fortify Unified Health System (SUS) management, and 4—guarantee full attention and equity in health access. For each pillar, there are plenty of goals. [1] _x000D__x000D_Concerning NCDs and CVDs, the plan contains goals such as: "To expand the early detection of hypertension, diabetes (and other chronic diseases), To reduce the number of deaths caused by hypertension, diabetes (and other chronic diseases), and To implement 08 forums to support the practices to mitigate hypertension, diabetes (and other chronic diseases)." However, the Plan does not specify a budget for these activities. [1]</t>
  </si>
  <si>
    <t>[1] Plano Municipal de Saúde. São Paulo; 2022. Available from: https://www.prefeitura.sp.gov.br/cidade/secretarias/upload/saude/plano_municipal_de_saude_2021_240822_versao_site.pdf</t>
  </si>
  <si>
    <t>The Seoul Metropolitan Government has an urban health plan that addresses both NCDs and CVDs as part of the general public health plan. This plan is a city-level version of the central government's national health plan. The Eighth Community Health Plan (2023-26), released on 1 May 2023, is based on funding of health policy programs implemented by the Citizens' Health Bureau, which amounted to W1.13trn, or 2.2% of the city's total budget (W50.55trn) in 2022. The plan prioritises the improvement of community-based integrated NCD/CVD prevention and management system through collaboration of primary care providers and community health centres with the aim to identify and manage at-risk population and deter transition to NCD/CVD. The plan also highlights a focus on digital healthcare technology for improved access to health screenings and healthcare and efficient health promotion targeting NCD/CVD patients. [1]</t>
  </si>
  <si>
    <t>Shanghai's municipal government has issued an implementation plan for its Healthy Shanghai Action (2019-2030), which includes an urban health plan for CVDs. [1] _x000D__x000D_The implementation plan has an item on the prevention and treatment of cardiovascular and cerebrovascular diseases (point 21 under "major actions") and another item on the comprehensive health management of chronic diseases (point 28 under "major actions"). The CVDs major actions include the standardisation of blood pressure, blood sugar, blood lipids, renal function and other CVD-related testing service capabilities; providing residents with services such as risk assessment, health education, screening for diseases and complications, follow-up visits, hierarchical diagnosis and treatment, and comprehensive intervention. [1] _x000D__x000D_However, the implementation plan does not specify a budget. [1] The municipal budget report on 2022 spending does not specify a budget for the Healthy Shanghai Action; it stated that health expenditure was CNY 38.19 billion, 143.7% of the budget that was originally allocated for it. [2] The latest budget report does not specify health expenditure or budget allocation. [3]</t>
  </si>
  <si>
    <t>There is evidence of a national health plan. Healthier SG is a project to transform healthcare in Singapore in which its main goal is to create a shift from illness treatment to illness prevention. [1] The plan recognizes the high incidence of chronic diseases (diabetes and hypertension) among the population. It points out that 32 % of the population has hypertension, while 37% has hyperlipidaemia. All in all, regarding these chronic diseases, the Healthier SG aims to take actions in order to prevent or delay such problems . The plan emphasises: "We cannot prevent the rise in disease burden or healthcare expenditure, but we can potentially slow down the rate of increase". Thus, Healthier SG aims to prevent diseases (chronic and other ones) by improving the accessibility to family doctors, developing health plans adapted to each patient and activating community partners. The plan does not specify a budget. It is important to highlight that Singapore is a city-state</t>
  </si>
  <si>
    <t>[1] Ministry of Health. White Paper on Healthier SG. Singapore. Ministry of Health. 2022. Available from: https://file.go.gov.sg/healthiersg-whitepaper-pdf.pdf</t>
  </si>
  <si>
    <t>There is evidence of Urban Planning for Health in Sydney, such as Northern Sydney Local Health District Population Health Promotion's Urban Planning 4 Health. [1] [2] However, the plan does not specify the budget for city-level investments, this is the NSW state government's responsibility._x000D__x000D_[3] In the City of Sydney, the 2018-2023 Sydney Local Health District Strategic Plan discusses some action plans for cardiovascular diseases._x000D__x000D_Australia has national health plans for NCDs and CVDs, such as the National Strategic Framework for Chronic Conditions and the National Strategic Action Plan for Heart Disease and Stroke. [4] [5] Yet, this is not city-level but national level.</t>
  </si>
  <si>
    <t>There is an urban public health plan which includes NCDs or CVDs and a budget allocated for the programmes._x000D_Based on the provisions of the Health Promotion Act (Act No. 103 of 2002), the Tokyo Metropolitan Government has developed the Tokyo Health Promotion Plan 21, with the goal of extending the healthy life expectancy of Tokyo residents and reducing health disparities. The Second Term, from fiscal year 2013 to fiscal year 2023, focuses on preventing the onset and progression of major lifestyle-related diseases (cancer, diabetes, cardiovascular diseases, COPD), improving lifestyle habits, and creating a social environment that supports health promotion tailored to various life stages. Efforts are being promoted through collaborative initiatives involving local governments, health insurers, educational institutions such as schools, medical associations, NGOs, and corporations. [1] Specific numerical targets have been set, including a reduction in the incidence rate of complications due to diabetes, a decrease in mortality rates from cerebrovascular diseases and ischemic heart diseases, an improvement in awareness of COPD, and enhancements in lifestyle habits such as dietary habits, physical activity, alcohol consumption, and smoking. Evaluation results summarising the achievement status and progress of each area-specific indicator, as well as the challenges and future approaches, were disclosed in the interim year of the plan (fiscal year 2018). [2] Funds for health promotion measures, including the implementation of Tokyo Health Promotion Plan 21, are budgeted annually. In fiscal year 2022, 1,276 million yen was allocated for this purpose. [3]</t>
  </si>
  <si>
    <t>Vienna has an urban public health plan with a specific section that focuses on NCDs/CVDs. _x000D__x000D_The Vienna Health Targets 2025 has 9 goals to be achieved by 2025, including on "1. Improving equal health prospects for children and young people, 2. Promoting health measures in the workplace, 3. Promoting and ensuring independence and a high quality of life for the very old, [...] 5. Increasing health literacy among the Viennese population, [...] 7. Strengthening the psycho-social health of Vienna's population, 8. Making the city as a living space more attractive, minimising negative environmental effects and supporting physical exercise [and] 9. Establishing a health monitoring system". [1] [2] The goals were developed by a panel of 133 experts and stakeholders and approved by the Vienna City Council in 2015, with the end being 2025. [3] The project also has a list of 33 indicators to gauge the success of the project. [4] The most recent report on those indicators was published in 2022. [5]_x000D__x000D_Goal 6, "Optimising the prevention, early recognition and treatment procedures of epidemiologically relevant diseases in a targeted way" directly addresses NCDs/CVDs, specifically "ischemic heart disease and cerebrovascular diseases; respiratory diseases such as COPD (chronic obstructive pulmonary disease), lung cancer and asthma; Back and neck pain; Diabetes mellitus; Neurodegenerative diseases (e.g. dementia and Alzheimer's disease); Depression, suicide. [and] Bowel cancer". [6] There is also an attached list of projects that contribute to the specific goals. [7] _x000D__x000D_Viennese Health Promotion (WiG) is the city-owned non-profit organisation that funds health-promotion activities in Vienna. [8] According to the 2024 Budget for Vienna, WiG will receive 438,000 euro in 2024. [9] The budget does not specifically mention the Vienna Health Targets 2025 plan.</t>
  </si>
  <si>
    <t>Wuhan has its own public health campaign entitled the "323" campaign, which targets public health deficiencies across the Wuhan population, including cardiovascular and diabetes related issues. [6] Wuhan health authorities are also responsible for implementation of the 14th national five year plan, as outlined in Wuhan's 2022 "Notice of the Municipal People's Government on Issuing the "14th Five-Year Plan" for the Development of Wuhan's Health Care Services." [1] _x000D__x000D_The budget for Wuhan's 323 health plan comes within the budget of the Wuhan Center for Disease Control and Prevention, which is also used for comprehensive chronic disease prevention and nutrition work projects, as well as the 323 plan. [2] For 2022, this came to 217,238,500 yuan. _x000D__x000D_NCDs and CVDs plans both exist under the framework of Wuhan's 323 health campaign, with a strong focus on hypertension and diabetes. [3] Within the plan, these are treated as separate issues, and there is separate media to deal with each issue. [4] [5] However, the guidelines on how to specifically deal with each issue reflect national policy, rather than any health policy specifically made by Wuhan's health authorities.</t>
  </si>
  <si>
    <t>There is neither an urban public health plan nor an NDCs/CVDs plan in Yangon. _x000D__x000D_Myanmar had a National Strategic Plan for Prevention and Control of NCDs (2017-2021) adopted by the Ministry of Health and Sports (MOHS) with a budget of nearly US$ 87 million. [1] However, this plan ended in 2021 and it was not renewed. [2] [3]_x000D__x000D_Health policy in Myanmar is formulated at the national level by the Ministry of Health and Sports; the Yangon City Development Committee (YCDC) health department mainly focuses on safety controls and issuing licences. [4]</t>
  </si>
  <si>
    <t>Addis Ababa has adopted and implemented a multisectoral program called the Urban Health Extension Plan (UHEP). [1]_x000D__x000D_The UHEP, which commenced in 2009, aims to provide 15 packages of services that are grouped into four thematic areas. There are over 5,000 Urban Health Extension Professionals (UHE-Ps) deployed in approximately 400 cities/towns, including Addis Ababa. [1] The UHE-Ps provide door-to-door health education and related services, and they refer clients to health centres as necessary. [1] The UHEP is supported by global partners, such as USAID, and is implemented in close collaboration with the city's health bureau, the city's mayor's office, and the government and community leaders. There is evidence of multisectoral stakeholder engagement in the design and implementation of the UHEP. [1]</t>
  </si>
  <si>
    <t>[1] John Snow Inc and USAID. Strengthening Ethiopia's Urban Health Program Annual Report October 2017 – September 2018. Addis Ababa, Ethiopia: John Snow Inc and USAID; 2019. Available from: https://pdf.usaid.gov/pdf_docs/PA00TK37.pdf</t>
  </si>
  <si>
    <t>There is no evidence of multisector engagement on the dedicated Facebook page for the Direction de la Santé et de la Population de la Wilaya d'Alger (DSP d'Alger) and the archived page of the Algerian Ministry of Health, Population, and Hospital Reform (currently not accessible as of March 2024). [1] [2]_x000D__x000D_Algeria's National Multisectoral Strategic Plan for Integrated Fight Against the Risk Factors of NCDs (2015-2019) included the engagement of non-health sectors such as finance, agriculture, transport, urban development and trade. [3] However, the plan expired in 2019 and there is no evidence of a current or updated plan for the country. [4]</t>
  </si>
  <si>
    <t>Atlanta does not have an urban health plan. _x000D__x000D_Atlanta's Plan A, the city's Comprehensive Development Plan (CDP), was developed through a multi-phase, multi-year process. This process likely involved stakeholders from different sectors, including transport, education, retail, industry, healthcare providers, and representatives of the general population. These stakeholders would have had the opportunity to provide input or assistance for the development or implementation of health-related programs or initiatives. [1] However, since this is not an urban health plan and there is no evidence of a national urban health plan, Atlanta earns a score of 0.</t>
  </si>
  <si>
    <t>Auckland Council has developed the Auckland Plan 2050 with, and on behalf of, all Aucklanders. Auckland now has a shared responsibility for implementing it. [1] Central Government, Local Government, Mana whenua, The Independent Māori Statutory Boardand, Kaupapa Māori and Māori-led organisations as well as key Māori change agents and other agencies and organisations were identified as implementation partners in the report.</t>
  </si>
  <si>
    <t>Stakeholders from other sectors have been involved in health projects in Beijing. _x000D__x000D_Though there is no indication of whether these stakeholders are involved in the development phase of the plan, Beijing has also endeavoured to implement a "telehealth solution" with the direct involvement of Huawei, Xiaomi, and Alibaba (tech companies), government officials (health-related government agencies), and doctors from hospitals who were also affiliated with medical schools. [2] _x000D__x000D_There are other health projects that involve stakeholders from other sectors, but it's unclear whether this is directly linked to directives and recommendations set out by locally adopted policies in Beijing. One example is the establishment of patient advisory groups in community health centres in study sites of districts in Beijing, a project partly funded by the Peking University First Hospital. [1] The group created an educational resource on preventing Chronic Obstructive Pulmonary Disease (COPD), recognizing symptoms, and seeking timely care at nearby primary care centres. [1] Patient groups and local committees distributed these materials via community bulletin boards and the WeChat social media platform. [1]</t>
  </si>
  <si>
    <t>There is evidence of engagement with different sectors in Berlin's urban health plan and policy development._x000D__x000D_Berlin's Action Programme Health (APG) and the health targets of the Department of Health are formulated with the input of the State Health Conference (Landesgesundheitskonferenz- LGK) of Berlin. [1] [2] [3] The State Health Conference is made up of "Berlin service providers, social benefit institutions, leading associations of free welfare, business institutions and employees, self-help, health care institutions and patient protection, academia institutions, and political sensing and district level". [1] By law, they are directly involved in formulating goals and policies. [3] As per their website, "The central concern of the LGK is to improve the health-related living conditions in Berlin, the health care and the health situation of the Berlin population. To this end, the members of the LGK identify and prioritise relevant problem areas of health care in Berlin and formulate health goals. The aim of these health policy recommendations to the government of the state of Berlin is to reduce the socially conditioned inequality of health opportunities". [3] A full list of members of the state heath conference can be found on its website. [4]</t>
  </si>
  <si>
    <t>There is evidence of engagement from other sectors. In the first pages of the health urban plan, the document highlights the importance of the community as the central axis to improve the health conditions in the city. In addition, the document emphasises the "Resolution 1536 from 2015" from the Ministry of Health which argues that the local health secretaries shall coordinate the participation of sectoral and communitary actors in the development of the health plan. [1] Hence, the Territorial Health Plan 2020-2024 creates an opportunity to fortify the direct democratic participation through direct participation exercises targeting the community and a digital mechanism to process local causes.</t>
  </si>
  <si>
    <t>[1] Secretaría de Salud. Plan Territorial de Salud Bogotá D.C 2020-2024. Bogotá. Secretaría de Salud.2020. Available from: https://subredsuroccidente.gov.co/planeacion/DOCUMENTO%20PTS%202020-2024%20%2027042020.pdf</t>
  </si>
  <si>
    <t>There is no evidence of an urban public health plan for Budapest, and the Budapest 2027 Integrated Urban Development Plan, published in 2021, mentions improving health access as a general goal but has no dedicated chapter on the issue or allocated budget. [1] The Budapest 2027 Integrated Urban Development Plan does in general show a multisector stakeholder engagement approach, listing the contributors in the chapters and goals. Regarding the goal to improve healthcare access (I. B. // Improving The Conditions of Health Preservation) the contributing partner is only named as "Health Advisor". [1]_x000D__x000D_Budapest has started working on the Healthy Streets project within the EU-funded UP2030 project to reduce air and noise pollution. While the project is not specifically a health plan, and it is in the early phases of implementation, it is based on a multistakeholder approach. [2]</t>
  </si>
  <si>
    <t>There is no evidence of an urban public health plan for Cairo on the website of Cairo Governorate and on the Egyptian Ministry of Health and Population. [1] [2]_x000D__x000D_Egypt did have a National Multisectoral Action Plan For Noncommunicable Diseases Prevention and Control 2018 – 2022 and a National Multisectoral Action Plan for Prevention and Control of Noncommunicable Diseases 2017-2021. Both plans involved the engagement of health and non-health sectors, which were consulted in the process of drafting the plans. [3] [4]</t>
  </si>
  <si>
    <t>There is evidence of engagement with different sectors for development and implementation of the Urban Health Plan. _x000D__x000D_ The Central Ministry of Health and Family Welfare (MoHFW) lays down the policy guidelines and framework for the state governments to follow. The MoHFW also has a research wing- the Department of Health Research which coordinates medical and health research and provides insights to the centre for policy development. Several other Government of India Ministries play critical but indirect roles in Urban Health; the Finance Ministry in allocation of annual financial allocation for healthcare, Ministries of Urban Development, Housing and Urban Poverty Alleviation implement schemes which impact proximal determinants of health. The state governments are the other key public health stakeholders, departments of health in each state are responsible in delivering primary, secondary and tertiary health services to the citizens in each city. At the grassroot level the urban local bodies and community health workers are directly responsible in providing basic amenities and health care services. Development banks provide technical assistance or lending for infrastructure projects be it in general health services infrastructure strengthening, infrastructure for specific disease control programs or general urban development. [1] [2]</t>
  </si>
  <si>
    <t>There is no evidence of multisector engagement in Bangladesh's urban health policy._x000D__x000D_The National Urban Health Strategy 2020 outlines the roles and responsibilities of various stakeholders in the urban health plan development phase, particularly focusing on the health sector. It mentions the Health Services Division of the Ministry of Health and Family Welfare and the Local Government Division of the Ministry of Local Government, Rural Development and Cooperatives as the primary responsible entities for urban health policy and services. [1] _x000D__x000D_However, the document does not explicitly mention the involvement of other non-government stakeholders in the development phase or policy development process. It primarily discusses the coordination between health-related government divisions, city corporations, municipalities, "private-sector" healthcare units, and non-governmental organisations (NGOs) in the context of healthcare provision and public health initiatives. [1]</t>
  </si>
  <si>
    <t>In Dubai, stakeholders from various sectors are involved in the urban health plan development phase and policy development processes. The Dubai Health Authority (DHA) has actively engaged stakeholders, including healthcare providers, technology partners, and the general population, in shaping the Dubai Digital Health Strategy. The DHA held a workshop with over 100 key healthcare stakeholders to discuss this strategy, providing them with an opportunity to provide feedback and contribute to its finalization. [1]_x000D__x000D_Additionally, the DHA's Health Investment arm highlighted key areas of focus in healthcare investment until 2025, emphasising the importance of collaboration and investment in areas of need and future demand. [2]</t>
  </si>
  <si>
    <t>Stakeholders from different sectors are involved in the development and implementation of the urban health plan in Helsinki._x000D__x000D_According to Section 6 of the Act on Organising Healthcare and Social Welfare Services 612/2021, the municipality must submit a welfare report and plan and must cooperate with other public actors, private companies and non-profit organisations to promote well-being and health in the municipality. [1] According to the City of Helsinki Welfare Plan 2022-2025, a large number of experts, networks and partners participated in the preparation phase of the plan. [2] The plan also mentions cooperation with other actors in the realisation of its main goals. For example, the plan states that the goal of increasing physical activity will require the Culture and Leisure Division of the City of Helsinki to cooperate with internal and external stakeholders in health and social services, education, hospital, rehabilitation and nursing services, urban operators, organisations and companies. [2]</t>
  </si>
  <si>
    <t>The Department of Health of Ho Chi Minh City launches different programs with different involvement and contribution with different stakeholders. They can be international organisations like the WHO, or international research institutions, or local organisations such as Ho Chi Minh City Social Insurance, Ho Chi Minh City Institute of Public Health, Ho Chi Minh City Association of Asthma - Allergy - Clinical Immunology, City Center for Disease Control, etc. [1]_x000D__x000D_Ho Chi Minh People's Committee. Decision Approve the Community Health Development Project to protect, care for and Improve people's health in Ho Chi Minh City in the period 2021-2030:_x000D_Increase physical activity for people by: Providing/ Creating conditions in the community to have roads safe and convenient, use of public spaces and training facilities, encourage people to use public transportation. _x000D_Well- physical education programs in schools, guaranteed enough space, facilities and equipment for practice and training activities for students. Guaranteed students have at least 60 minutes of physical activity per day._x000D_Motivate, encourage and support people to participate and maintain exercise habits through walking, not sitting too many hours. [2]</t>
  </si>
  <si>
    <t>The Towards 2025: Strategy and Action Plan to Prevent and Control NCD in Hong Kong mentions multi-sectoral actions across across health, education, environment, food, social welfare, social and economic development, sports, trade, transport, urban planning, and finance. [1]</t>
  </si>
  <si>
    <t>Available evidence does not indicate that multisector stakeholders in Istanbul engage in the development of comprehensive health plans, as these are set at the national level. While the expertise of local stakeholders may be utilised in their development, In Turkey's highly centralised health system the national Ministry of Health is responsible for designing overarching health policies, to be implemented by its provincial directorates. [1] _x000D__x000D_The key national public health plans relevant to NCDs and CVDs are: a) the 2024-2028 Strategic Plan, and b) the Multisectoral Action Plan of Turkey for Noncommunicable Diseases 2017-2025. Both these plans were designed by the Ministry of Health and emphasise the close involvement of multisector stakeholders in their development and in the execution of their policies. For example, the former plan calls upon the participation of dozens of stakeholder groups, almost all external to the ministry, most in the public sector, but several in the private sector; such stakeholders include ministries, healthcare professionals, national research councils, universities, patients and their families, the general public and international organisations. [2] The latter plan holds multisectoral cooperation as its key principle, their role in its development and execution even being codified in a framework known as the Programme for Developing Multistakeholder Health Responsibility. [3]</t>
  </si>
  <si>
    <t>DKI Jakarta's strategic health plan 2023-26 was compiled with the support of non-governmental organisations, community groups, and teaching facilities, according to page 80 of the document. [1]</t>
  </si>
  <si>
    <t>For Karachi, there is a provincial urban public health plan outlined in the Sindh Health Sector Strategy 2012-2020 document. [1] The strategy emphasises the importance of inter-sectoral action and collaboration with sectors like water &amp; sanitation, and education, among others, for initiatives like nutrition and social development. It states that the plan was formulated in collaboration with "a number of stakeholders (from) public sector, private sector, UN agencies, and professional associations". [1] There is no evidence of any updates to the strategy either during or after its implementation timeline. [1] [2] [3]</t>
  </si>
  <si>
    <t>As Kathmandu does not have an urban public health plan, there is also no concrete evidence of engagement with different sectors. However, the interviewee stated that Kathmandu Metropolitan City coordinates with other stakeholders, including government bodies, in development of any plans related to health. [1] As per the interviewee, the urban health plan is in the draft development phase. [1]</t>
  </si>
  <si>
    <t>[1] Information obtained by interview.</t>
  </si>
  <si>
    <t>There is evidence of engagement with different sectors for development and implementation of the Urban Health Plan. Public health sector is the key stakeholder in urban health care. Government driven approach is the basis for services delivered with international donors and aid agencies like the USAID,WHO coming into play as collaborators in the implementation and helping shape the policies. The Central Ministry of Health and Family Welfare (MoHFW) lays down the policy guidelines and framework for the state governments to follow. The World Health Organisation (WHO) influences the policies framed by the MoHFW. The MoHFW also has a research wing- the Department of Health Research which coordinates medical and health research and provides insights to the centre for policy development. The MoHFW is also the single most important source of funding for the National Urban Health Mission. Several other Government of India Ministries play critical but indirect roles in Urban Health; the Finance Ministry in allocation of annual financial allocation for healthcare, Ministries of Urban Development, Housing and Urban Poverty Alleviation implement schemes which impact proximal determinants of health. The state governments are the other key public health stakeholders, departments of health in each state are responsible in delivering primary, secondary and tertiary health services to the citizens in each city. At the grassroot level the urban local bodies and community health workers are directly responsible in providing basic amenities and health care services. Development banks provide technical assistance or lending for infrastructure projects be it in general health services infrastructure strengthening, infrastructure for specific disease control programs or general urban development. [1] [2]</t>
  </si>
  <si>
    <t>The Kuwait Development Plan 2020-2025 involves multiple actors working towards shared goals in the spheres of health and the environment. For instance, the Ministry of Health is working on environmental projects along with the Kuwait Municipality, the Environment Public Authority, the Public Authority for Housing Welfare and others. In addition, actors such as the Ministry of Interior, Ministry of Education and Public Authority for Food and Nutrition are working alongside the Ministry of Health on health-related projects. Moreover, the plan mentions that civil society and private sector actors are also contributing. [1] _x000D__x000D_The Health Capital Area, however, has no separate urban health plan or other evidence of stakeholder engagement throughout the urban health plan development phase or in the process of policy development. [2]</t>
  </si>
  <si>
    <t>There is no evidence of current multisector stakeholder engagement, but multisector stakeholder engagement is mentioned in a previous iteration of the Lagos State Strategic Health Development Plan._x000D__x000D_According to the Lagos Ministry of Health (MOH) website, Lagos' latest strategic document is the Lagos State Strategic Health Development Plan II (2018-2022) (SHDP II). [1] The LSSHDP II was not available online, and there is no evidence on the MOH website that SHDP II contained multisector stakeholder engagement in its development phase or in the process of policy development. [1]_x000D__x000D_However, the Lagos State Strategic Health Development Plan (2010-2015) (SHDP I) did make clear reference to coordination mechanisms in implementing the policy framework. [2] The SHDP I establishes a coordination body composed of key officials from a range of sectors including the State Planning Commission, Ministry of Finance, Ministry of Women Affairs, Ministry of Education, Ministry of Local Govt, community, civil society organisations, development partners and private sector partners including private health practitioners. [2] The body is under the leadership of the Office of the Secretary to State Government, and reports bi-annually to the National body. [2] According to the document, the SHDP I policy formulation, regulation and implementation was a collaborative effort which involved the State Ministries of Women Affairs, Agriculture, Local Government Service Commission and Ministry of Local Government; as well many professional bodies. [3]</t>
  </si>
  <si>
    <t>The London Plan is an overall strategic plan for the city and it sets an integrated economic, environmental, transport and social framework for the development of London over the next 20-25 years (this plan was published by the Greater London Authority). [1] The London Plan outlines plans/developments that are in place to transform it into a healthy city and stakeholders from different sectors (e.g. transport) seem to be involved in some of these plans. For example, one plan/development includes using the Healthy Streets Approach to prioritise health in all planning decisions. The healthy streets approach was developed by Transport for London as a way to improve air quality, reduce congestion and encourage the use of active transport. [2]_x000D__x000D_The London Plan notes that the Mayor plays an important role in bringing together a diverse range of stakeholders from service providers, boroughs, communities and the private sector in order to provide a more integrated approach to promoting a healthy city. [1]</t>
  </si>
  <si>
    <t>Available evidence does not suggest that stakeholders from different sectors effectively and directly influence the process of public health policy development in Spain. _x000D__x000D_As evidenced by the existence of web portals dedicated for the purpose, formal channels for public participation in this process exist at both the national (Ministry of Health) and local (Community of Madrid and City Council of Madrid) levels. [1] [2] [3] In addition, key policies such as the City Council's own public health plan, known as the Prevention and Health Promotion Strategy--Madrid, a healthy city 2021-2024, promote some collaboration in health care policy development--but with closely related entities, chiefly teaching hospitals and patient associations. [4]</t>
  </si>
  <si>
    <t>Evidence of multi-stakeholder engagement at the city-level was not available on the websites of the Manila city government, the Manila Health Department (MHD), or the Department of Health - Metro Manila Center for Health Development (DOH-MMCHD). [1] [2] [3]</t>
  </si>
  <si>
    <t>Although Mexico City does not have an urban health plan, it has implemented several urban public health initiatives and is committed to taking a multidisciplinary approach to urban health. [1] By bringing together experts from many different sectors with activists, academics, local communities, politicians, and businesses, they have devised creative and sustainable solutions to the city's health challenges. [1] Laboratorio para la Ciudad, or Lab for the City, was an experimental and creative area of the Mexico City government from 2013 to 2018. [1] It was a space where citizens, civil society, academia, private initiative, and government came together to change the way the city is understood and to carry out joint actions. It was involved in international collaborations, local collaborations, practice communities, public competitions, debates, future design, events, experiments, explorations for a Megalopolis, legislative hacks, urban interventions, creative research, laws, maps, work tables, digital platforms, talks, participatory processes, provocations, publications, public policy recommendations, rooftop sessions, lunches, and workshops. [1]</t>
  </si>
  <si>
    <t>[1] El Laboratorio para la Ciudad de México. LabCDMX - Laboratorio para la Ciudad de México [Internet]. LabCDMX; 2018 [Accessed 2024 Mar 22]. Available from: https://labcd.mx/</t>
  </si>
  <si>
    <t>[1] Moscow Department of Health. Moscow: Moscow Department of Health. [Accessed 12 March 2024]. Available from: https://mosgorzdrav.ru/</t>
  </si>
  <si>
    <t>There is evidence of engagement with different sectors for development and implementation of the Urban Health Plan. Public health sector is the key stakeholder in urban health care. Government driven approach is the basis for services delivered with international donors and aid agencies like the USAID, WHO coming into play as collaborators in the implementation and helping shape the policies. _x000D__x000D_The Central Ministry of Health and Family Welfare (MoHFW) lays down the policy guidelines and framework for the state governments to follow. The World Health Organisation (WHO) influences the policies framed by the MoHFW. The MoHFW also has a research wing- the Department of Health Research which coordinates medical and health research and provides insights to the centre for policy development. The MoHFW is also the single most important source of funding for the National Urban Health Mission. _x000D__x000D_Several other Government of India Ministries play critical but indirect roles in Urban Health; the Finance Ministry in allocation of annual financial allocation for healthcare, Ministries of Urban Development, Housing and Urban Poverty Alleviation implement schemes which impact proximal determinants of health. The state governments are the other key public health stakeholders, departments of health in each state are responsible in delivering primary, secondary and tertiary health services to the citizens in each city. At the grassroot level the urban local bodies and community health workers are directly responsible in providing basic amenities and health care services. Development banks provide technical assistance or lending for infrastructure projects be it in general health services infrastructure strengthening, infrastructure for specific disease control programs or general urban development. [1] [2]</t>
  </si>
  <si>
    <t>The Nairobi City County Government Community Health Services Implementation Plan for the period 2023-2027 is based on engagement of the Nairobi City County Health Reforms Task Force with members of the public, County health staff and other healt actors and stakeholders on community health services. [1] A stakeholders inception workshop with 67 participants discussed the findings of the plan's situational analysis, and 55 participants from stakeholder groups validated the plan. [1] _x000D__x000D_At the national level, there is evidence of engagement with different stakeholders in the Development of the Kenya Health Sector Strategic Plan 2018–2023. Thematic groups from different key stakeholders drafted the strategic plan, consultations took place on the draft (among government entities and health sector stakeholders and the WHO), before stakeholders validated the final plan [2]. There is evidence that stakeholder engagement processes are normally deployed in various Ministry of Health programme development efforts. [3]</t>
  </si>
  <si>
    <t>There is evidence of stakeholders engagement in the process of policy development and implementation phase. The (TCNY Take Care New York 2024) is a multidisciplinary initiative involving the Health Department, hospitals, pharmacies, and primary care providers. [1] In the development phase, in the TCNY 2024 Planning and Visioning Convening Conference (2019), 35 stakeholders reunited to propose measures to advance health equity in the city. In the implementation phase, pharmacists have a role in diabetes/hypertension control and markets incentivise the consumption of healthy food.</t>
  </si>
  <si>
    <t>Stakeholders from different sectors involved in health plan development. _x000D__x000D_The Osaka Prefecture Community and Workplace Collaboration Promotion Council, composed of academicians, medical professionals, representatives of medical insurance, and representatives from regional and workplace sectors, regularly conducts discussions to clarify health issues in Osaka Prefecture, and to develop, evaluate, and promote collaborative efforts in health planning. [1] Public comments are also being soliAccessed for the "4th Osaka Prefecture Health Promotion Plan" formulated by this council. [2]</t>
  </si>
  <si>
    <t>Available evidence does not indicate that the city of Paris or the region of Île-de-France, which encompasses it, have public health plans that specifically address prevention of cardiovascular risk. Such a strategy is promoted, and budgetary allocations made for it, but at the national level, where overarching health policy for the regions is determined. Engagement of multisector stakeholders in prevention policy development and execution is a feature of the national, rather than regional, health and prevention strategies. [1] [2] _x000D__x000D_The Regional Health Agency (agence régionale de santé—ARS) of the Île-de-France does develop and execute multi-year regional health projects (Projets Régionaux de Santé—PRS) with the participation of numerous multidisciplinary working groups, Île-de-France residents and administrative "health democracy bodies", evidence indicates that these initiatives—which include the current Regional Health Scheme (Schéma régional de santé—SRS) focus overwhelmingly on improving healthcare delivery. [3] [4]</t>
  </si>
  <si>
    <t>Stakeholders from different sectors are involved in the public health plan and the policy development process in Cambodia._x000D__x000D_In Cambodia, the public health plan development process involves input from multi-sectoral stakeholders. Multi-sectoral stakeholders, such as relevant ministries, development partners, and private sector actors, have also taken part in developing the National Multisectoral Action Plan for the Prevention and Control of Noncommunicable Diseases 2018 - 2027 by providing financial support and engagement in projects of other sectors. [1] _x000D__x000D_Another example is the Mental Health Strategic Plan 2023-2032 has been developed through consultative meetings with the World Health Organization (WHO)'s consultant and all relevant partners, including government sectors, UN team, Non-governmental Organisations (NGOs), International Organizations (IOs), and other stakeholders, who provided their inputs into the plan. In addition, the plan aims to involve all stakeholders in developing a draft mental health law which is agreed upon by inter-ministries. [2]</t>
  </si>
  <si>
    <t>Part of Saudi Arabia's Vision 2030 national development plan includes the development of multisector approaches to health issues. [1] However, research shows that there is still a lack of multisector engagement in the field of public health promotion in the country. [2]_x000D__x000D_There is also no evidence in the Ministry of Health, Public Health Authority and Royal Commission for Riyadh City that multisector engagement is present at the city level. [3] [4] [5]_x000D__x000D_The Riyadh Regional Plan demonstrates that there is a plan set up for multisectoral engagement between ministries and other institutions. However, this is not evidence of the implementation of such a plan. [3]</t>
  </si>
  <si>
    <t>In Rome, there is evidence of multisector stakeholder engagement throughout the urban health plan development phase._x000D__x000D_Italy's healthcare system is a devolved one, run largely by the regional and provincial governments. Each region therefore has its own health plan. [1] As the Metropolitan City of Rome Capital is a subject municipality of the Region of Lazio, its health plan is that of the region. This plan is known as the Regional Prevention Plan 2021-2025 ("PRP") Lazio. The PRP mandates the participation of "...the widest and most qualified number of stakeholders..." in the development of its implementation policies. Such stakeholder involvement is required in many different areas of intervention in the PRP, ranging from epidemiological surveillance and extension of vaccine coverage to education of catering workers in the importance of healthy eating "...to prevent the complications of numerous chronic diseases, reduce food waste and reduce the environmental impact related to nutrition." [2] _x000D__x000D_As regards the nutritional contribution to public health, in the new Food Policy for Rome the participation of stakeholders across the food supply chain—encompassing farmers, distributors, retailers and consumers—is an integral part of the planning process. For example, a planning body, the Food Council (Consiglio del Cibo), specifically is tasked with working with such stakeholders to develop food policy in the city. [3]</t>
  </si>
  <si>
    <t>Stakeholders from various sectors were actively involved in the development of the 2019 Health Care Services Master Plan (HCSMP) in San Francisco. SFDPH and the Planning Department were employing several communication and outreach methods, including stakeholder interviews, public workshops, and a public comment period. Additionally, it was scheduled to happen further outreach and opportunities for public input in spring 2019 before the plan is adopted at public hearings by the Health Commission and Planning Commission. [1] There were stakeholder interviews with 33 individuals at 25 organisations, workshop with health care providers, public hearings with Health Commission, Planning Commission, Board of Supervisors, briefings with key stakeholders &amp; advocacy organisations, online survey, and Public Comment Period on Draft Plan. [2]</t>
  </si>
  <si>
    <t>The Municipal Health Plan (2022-2025), built with the participation of the general population, seeks to guide the public policies of the city of São Paulo and the actions of the Municipal Health Department (SMS) over the next four years. The Plan considered the population's perspectives, directly impacted by public health policies and those responsible for their implementation, monitoring and inspection. Furthermore, the Asplan (Planning Consultancy) coordinated the process, with the support of Ceinfo (Epidemiology and Information Coordination), who was responsible for the assessment of health conditions in the municipalities. [1]</t>
  </si>
  <si>
    <t>The Seoul Metropolitan Government's Eighth Community Health Plan (2023-26) as the city's current urban health plan incorporates participation of stakeholders from different sectors in the course of the plan's implementation based on collaborative arrangements to share community health resources. There is a health policy consultation channel established with healthcare provider organisations such as the Seoul Medical Association, the Seoul Pharmaceutical Association and the Seoul Nurses Association. There is also a community participation network around community health centres, which involves healthcare providers and social service providers to address diverse community healthcare needs. The plan's stakeholder participation features citizens' health committees as a communication channel of health policy development. The committee has 30 citizen members and three subcommittees. [1]</t>
  </si>
  <si>
    <t>There is no evidence of stakeholder engagement throughout the urban health plan development phase or in the process of policy development. However, the implementation plan for Healthy Shanghai Action (2019-2030) comprises programmes that will be carried out by organisations such as medical institutions and schools. [1] The implementation plan also calls to mobilise all parties - including individuals and families, schools, enterprises, neighbourhood and village committees, health-related industry societies, associations and group organisations, as well as other social organisations, to implement the implementation plan's measures.</t>
  </si>
  <si>
    <t>[1] Shanghai Health Promotion Committee. Healthy Shanghai Action (2019-2030) [健康上海行动（2019-2030年）]. Shanghai: Shanghai Health Promotion Committee, 2019. Available from: https://www.shanghai.gov.cn/nw12344/20200813/0001-12344_62691.html</t>
  </si>
  <si>
    <t>There is evidence of engagement of stakeholders from different sectors. In order to create a disease prevention environment, the Healthier SG relies on residents, family doctors, community partners and regional health managers. The residents are encouraged to enrol and visit family doctors more frequently, while the government provides subsidies for health screening exams as well. [1] Healthier SG will mobilise its network of family doctors in order to guarantee holistic and preventive care for the citizens. The plan highlights the power of the everyday's community network in supporting healthy lifestyle modifications. The health care clusters in Singapore will increase the accessibility to initiatives seeking to promote healthy changes. In addition, these clusters will act as "regional health managers" of one specific region and will work closely with family doctors to ensure the needs and health outcomes desired.</t>
  </si>
  <si>
    <t>The Australian government has a Stakeholder Engagement Framework by the Department of Health that guarantees a two-way open communication that involves listening to stakeholders, keeping them informed and being clear about how their contributions are being used. [1] For example, they are in touch with Aboriginal and Torres Strait Islander Australians to develop and deliver policies and services for Indigenous people and communities._x000D__x000D_In the NSW region, "engagement with stakeholders is a key activity for public health organisations, as required both in Local Health District functions under the Health Services Act and through Standard 6 in the corporate governance framework, which emphasises the importance of stakeholder engagement in decisions that affect them." [2] As an example, a series of Live Life Well @ School professional learning courses were a collaborative initiative between NSW Health and the NSW Department of Education. [3]</t>
  </si>
  <si>
    <t>Stakeholders from different sectors involved in health plan development. _x000D_In the development of the third phase of the Tokyo Metropolitan Health Promotion Plan 21, a promotion council has been established, where stakeholders from various fields including academicians, medical professionals, insurer organisations and others participate as members to engage in discussions. [1] Furthermore, a public comment period is held to solicit opinions from the general public once the draft plan has been formulated. [2]</t>
  </si>
  <si>
    <t>Under "community engagement" in the Toronto Public Health Strategic Plan 2015-2019, it has been noted that TPH is committed to civic engagement, collaborating with community stakeholders, partners and the public to assess health needs, support strong communities, and provide responsive services and policy that protect and promote health. It notes collaboration with city divisions and community stakeholders to advance municipal policy for healthy social and built and natural environments. It also highlights the involvement of communities and partners in the identification of health needs and development of services. [1]_x000D__x000D_Similarly, the TPH 2024-2028 Strategic Plan includes a section on engagement. It indicates that the plan integrates public input as a part of its development process, to help shape its new strategic plan. This opportunity for input is executed through online surveys, deputations to the Board of Health's Strategic Planning Committee, public consultation sessions, and community conversation resources. [1]</t>
  </si>
  <si>
    <t>[1] City of Toronto. Toronto Public Health's 2024-2028 Strategic Plan. Toronto: Toronto Public Health.; n.d. Available from: https://www.toronto.ca/city-government/accountability-operations-customer-service/long-term-vision-plans-and-strategies/toronto-public-health-strategic-plan/</t>
  </si>
  <si>
    <t>Vienna's public health plan shows clear evidence of multisector stakeholder engagement throughout its development phase._x000D__x000D_Vienna's public health plan, the Vienna Health Targets 2025, was developed with extensive stakeholder engagement. The steering group "consisted of senior representatives of about 30 public and private organisations and interest groups such as the Medical Association of Vienna, the Pharmacists' Association of Vienna, the interest group of persons with disabilities in the Austrian Trade Union Federation, the federation of social institutions in Vienna, the Vienna Social Welfare Fund, the Institute for Social Medicine, the Trust of the Vienna Homes for the Elderly, the Vienna Board for Psycho-Social Care, the Vienna School Board, the Vienna Health Promotion, the Vienna Regional Health Insurance, the office of the Health Care Commissioner of Vienna, the office of the Drug Commissioner of Vienna, the Vienna Hospital Association, the Senior Citizens' Officer of Vienna, the Chief Executive Office for Gender Mainstreaming, and the municipal departments working in the areas of children and young people, advancement of women, health care, integration, social affairs, urban planning, and economic affairs". [1]</t>
  </si>
  <si>
    <t>In the Wuhan's 2022 "Notice of the Municipal People's Government on Issuing the "14th Five-Year Plan" for the Development of Wuhan's Health Care Services," several areas of engagement with sectors outside of the government are referenced. These include, promotion of university-industry cooperation to advance health innovation, with the construction of "one city, one park, three districts" and major health platforms and key projects, aimed at building a cooperation platform between medical and health institutions and big health enterprises._x000D__x000D_In order to strengthen comprehensive prevention and treatment capabilities of chronic diseases, the notice outlines the cooperation, under government leadership, of social participation, departmental cooperation, institutional support, and top-down linkage among all types of medical and health institutions at all levels. [1]</t>
  </si>
  <si>
    <t>Health policy development in Myanmar is centralised and in the hands of the Ministry of Health and Sports (MOHS), although regional governments and other ministries were consulted while developing the National Strategic Plan for Prevention and Control of NCDs (2017-2021). [1] [2] [3]_x000D__x000D_The website of the Yangon City Development Committee (YCDC) does not mention any collaboration with other sectors; its health department mainly focuses on safety controls and issuing licences. [4]</t>
  </si>
  <si>
    <t>Addis Ababa has a policy on food production and marketing, but it does not specifically target children. [1] Moreover, there is no evidence on the website of the city administration that a survey about unhealthy diets was ever conducted in the city. [2]_x000D__x000D_Some of the food safety and food marketing-related regulations adopted by the city include the Ethiopian Food and Drug Administration (EFDA) and the Addis Ababa Food and Drug Administration (AAFDA) regulations. As per a proclamation of EFDA's mandates, the administration is mandated to undertake post-marketing surveillance and periodically undertake safety monitoring of food products placed on the market. The proclamation contains provisions regarding the labelling, description, or advertisement of food products. The EFDA determines the list of allowable food additives and prohibits the marketing of food supplements without registration. [2] The AAFDA has similar provisions and is responsible for overseeing the implementation of the relevant food safety regulations in the city. [3] However, none of these are targeted at children.</t>
  </si>
  <si>
    <t>Algiers does not have policies to reduce the impact on children of marketing of foods and non-alcoholic beverages high in saturated fats, trans-fatty acids, free sugars, or salt, nor has it conducted a survey on unhealthy diet. Algeria has conducted a household-based survey of adult risk factors, but not in the past 5 years._x000D__x000D_There is no evidence of such policies on the dedicated Facebook page for the Direction de la Santé et de la Population de la Wilaya d'Alger (DSP d'Alger) and the archived page of the Algerian Ministry of Health, Population, and Hospital Reform. [1] [2] However, according to a 2021 media article, the Algerian Ministry of Health, within the framework of a joint sectoral committee related to health and nutrition, was preparing a draft law regarding food marketing of processed food through various media, especially for children. [3] There is no evidence of the introduction of the law yet._x000D__x000D_While there is no evidence that Algiers conducted a risk factor survey covering unhealthy diet, in 2016 the Algerian Ministry of Health conducted a household-based survey of adult risk factors, which included diet among different factors studied. The diet section of the survey includes questions on fruits, vegetables and salt intake; how many meals per week were eaten out; and the main sources of fat. [4] _x000D__x000D_A national survey has been conducted ( See https://www.who.int/data/gho/data/indicators/indicator-details/GHO/has-conducted-a-recent--national-adult-risk-factor-survey-covering-unhealthy-diet)</t>
  </si>
  <si>
    <t>At city level, there are no policies to reduce the impact on children of marketing of foods and non-alcoholic beverages high in saturated fats, trans-fatty acids, free sugars, or salt. Regarding food advertising, Atlanta has no procurement policy mandating nutrition standards. [1] The American Heart Association, for instance, supports policy change that limits the marketing and advertising of low-nutrient, high-calorie foods and beverages to U.S. children. [2] About the survey, no data was found at city level. However, it is worth mentioning that, in 2021, the US conducted a national adult risk factor survey covering unhealthy diet. [3]</t>
  </si>
  <si>
    <t>The Ministry of Health in New Zealand has published reports examining the dietary habits of New Zealanders, including adults. [1]_x000D__x000D_No evidence found about food marketing policies targeting children.</t>
  </si>
  <si>
    <t>[1] Ministry of Health. Reports on New Zealanders' eating and drinking habits. [Accessed March 18th 2024]. Available from: https://www.health.govt.nz/news-media/news-items/reports-new-zealanders-eating-and-drinking-habits</t>
  </si>
  <si>
    <t>Food marketing in Thailand is regulated under Thailand's 1979 Food Act. [1] However, at the time of writing lawmakers were drafting amendments to the 1979 law that would introduce new rules on food marketing overseen by the Thai Food and Drug Administration. _x000D__x000D_The Bangkok Metropolitan Administration has rolled out several health initiatives pertaining to nutrition. In 2023 the city launched the Bangkok Food Policy 2023-2027. [2] "The Bangkok Food Policy 2023-2027 is a comprehensive policy document in which we address the different dimensions of the food system to ensure that our food is sustainably produced, safe and of good quality, is accessible for everyone and is properly managed to reduce environmental impact," said Bangkok Governor Chadchart Sittipunt. However, it is not targeted at children. _x000D__x000D_Surveys by the Bureau of Nutritions and academia have detailed the calorie intake, body mass index and physical activity of the population. [3]</t>
  </si>
  <si>
    <t>The Chinese government has a national plan addressing nutrition and health. However, it does not specifically address the marketing of foods and non-alcoholic drinks. There is evidence of monitoring on nutrition and health status at both the municipal and national levels. _x000D__x000D_The central government issued a comprehensive plan from 2017 to 2030 to enhance national nutrition and health. The plan addresses rural-urban health disparities, obesity in students, and promotes nutritional therapy in hospitals. It emphasises improved regulations, scientific research based on Chinese data, and monitoring nutritional conditions. [1] [2] The plan advocates for the development of nutritious agricultural products, controlling additives in processed foods, and encouraging a balance between food and exercise. [2]_x000D__x000D_Additionally, there are other initiatives, such as the Basic Medical and Health Promotion Law (enacted in 2019 and focused on nutritional improvement initiatives for juveniles and healthy eating behaviours), the Implementation Plan for Obesity Prevention and Control in Children and Adolescents (2020), and the School Food Safety and Nutrition Health Management Regulations (2019). [3] _x000D__x000D_Monitoring of nutrition and health status and food composition of Beijing residents is also mentioned in the implementation plan for Healthy Beijing Action (2020-2030). [4] Nationally, according to an article published on the website of the National Institute for Nutrition and Health in 2023, China was conducting a Chinese Resident Nutrition and Health Status Monitoring Project [中国居民营养与健康状况监测项目] as part of the monitoring of chronic diseases and nutritional conditions. [5] Its results were not published yet as of February 2024.</t>
  </si>
  <si>
    <t>There is insufficient evidence that Berlin has a policy on food marketing or has conducted a survey about unhealthy diet. _x000D__x000D_Berlin has a nutrition strategy, but that strategy does not discuss either policies to reduce marketing of unhealthy foods to children or to conduct a city-level adult risk factor survey covering unhealthy diet. [1] The action plan that accompanies the strategy discusses improving nutrition education in kindergartens and in primary and secondary school, but does not discuss or commit to measure to restrict marketing of foods considered unhealthy to children; the action plan also calls for Berlin to lobby the federal government for binding regulations to reduce sugar, salt and fat in processed foods. [2] The Nutrition Policy section of the Department of Consumer Protection of Berlin also does not mention restrictions on advertising unhealthy food to children. [3] _x000D__x000D_At the national level, according to Germany's Food and Nutrition Strategy (released in January 2024), the government plans to ban advertising of foods high in sugar, salt, and/or fat to children under 14 years of age in the future, but the policy is not in place yet as of March 2024. [4]</t>
  </si>
  <si>
    <t>There is evidence of a public-private partnership to assess the food consumption in Bogota. Nonetheless, there is no evidence of marketing regulation at the country level. _x000D__x000D_There is no evidence of a national survey covering unhealthy diet. [1] However, in 2021, Nordisk funded a study in collaboration with Bogotá's Health Secretary in order to check unhealthy food consumption in four neighbourhoods. The study highlights the sale of ultra-processed foods, that the smallest corner shops have limited supply of fresh food and that the corner shops around the public transport sell unhealthy foods. [2] In addition, according to an academic paper from 2022( "Advertising to make you sick: restrictions on the marketing of ultra-processed food products aimed at boys and girls in the Colombian Constitution"), there is no law that restricts the marketing of foods high in sugar and fat at the national level. [3]</t>
  </si>
  <si>
    <t>There is no evidence of policies to reduce the impact on children of marketing of foods and non-alcoholic beverages, but a survey about unhealthy diet has been conducted. _x000D__x000D_Law XLVIII of 2008 on the basic conditions and certain limitations of economic advertising activity does not mention foods separately. [1] The Hungarian Advertisement Ethics Codex, published in 2023 by the Hungarian Advertisement Association, contains recommendations on ads related to foods in Article 17. Points 5 and 12 recommend not undermining a healthy and active lifestyle or a balanced diet. Sugar, salt or fat is not explicitly mentioned. [2] The Codex, however, does not provide binding regulation. _x000D__x000D_CIII. Law of 2011 on the Public Health Product Tax provides for higher tax rates on products containing high sugar, salt, fat and additives, in quantities above the thresholds provided in the law in Annex 1. The law takes into account the fruit, honey, milk etc. content of the products. [3]_x000D__x000D_A national survey by the National Institute of Pharmacy and Nutrition (OGYÉI) was conducted in 2019 as part of the National Diet and Nutrition Status Surveys (earlier ones were conducted in 2009 and 2014). It was found that more than 2/3 of the population was overweight or obese. [4]</t>
  </si>
  <si>
    <t>Cairo does not have policies to reduce the impact on children of marketing of foods and non-alcoholic beverages high in saturated fats, trans-fatty acids, free sugars, or salt, nor has it conducted a survey on unhealthy diet. However, there is evidence of a national survey about unhealthy diet conducted in 2017._x000D__x000D_There is no evidence of such policies on the website of Cairo Governorate and on the Egyptian Ministry of Health and Population. [1] [2] According to an undated article published on the UNICEF website, Egypt's national laws do not regulate marketing of high fat, salt and sugar (HFSS) foods to children. [3]_x000D__x000D_While there is no evidence that Cairo city conducted a risk factor survey covering unhealthy diet, in 2021, Egypt conducted a Health Survey for the Egyptian Households, which covered Nutrition of Children, Youth and Women. [4] Moreover, in 2017 the Egyptian Ministry of Health and Population, the Central Agency for Public Mobilization and Statistics and the World Health Organization conducted the Egypt STEPS Survey targeting persons aged 15-69 years old and covering NCDs risk factors Prevalence, which included differenct factors, inter alia, diet and alcohol consumption. [5] [6] No more recent survey was identified.</t>
  </si>
  <si>
    <t>There is no policy to reduce the impact on children of marketing of foods and non-alcoholic beverages high in saturated fats, trans-fatty acids, free sugars or salt. [1]_x000D_There is no evidence of a recent national adult risk factor survey covering unhealthy diet in the past 5 years. [2]</t>
  </si>
  <si>
    <t>Guidelines for Prevention of Misleading Advertisements and Endorsements for Misleading Advertisements, 2022, is the only policy that restricts high fat salt and sugar (HFSS) food advertisements to children across all media. There are shortfalls, including limited scope of 'child-targeted' advertisements and lack of criteria to define HFSS foods. A robust regulatory framework is needed to protect children from HFSS food marketing, not just what is 'directed' at them, with clear evidence-based food classification. [1] [2] _x000D__x000D_There is evidence of a national adult risk factor survey covering unhealthy diet in the past 5 years, in 2021. [3]</t>
  </si>
  <si>
    <t>Bangladesh has an action plan to reduce the impact of marketing of unhealthy foods to children, and has conducted a survey to assess unhealthy diet consumption in the country._x000D__x000D_Bangladesh's 4th Health, Population and Nutrition Sector Programmme (4th HPNSP) Operational Plan (OP) Non-Communicable Disease Control was implemented in 2017 and operational until 2022. One of the actions introduced in the plan for the government to carry out is to "Support consumer protection groups in Bangladesh to advocate and discourage marketing of foods and non-alcoholic beverages to children." [1] _x000D__x000D_In 2022, the National Non-Communicable Disease Risk Factors Survey in Bangladesh was conducted by the Bangladesh government in collaboration with WHO. The survey was conducted in alignment with the WHO STEPS approach. One of the parameters of the study was assessing national inadequate fruit/vegetable intake, with 96.2% of the population consuming inadequate fibre. [2]</t>
  </si>
  <si>
    <t>Dubai has conducted a recent national adult risk factor survey covering unhealthy diet within the past 5 years, as evidenced by the Dubai Household Health Survey (DHHS) 2019. The survey provides detailed information on dietary habits, including fruit and vegetable intake and breakfast consumption, indicating an unhealthy diet pattern among the population. [1] However, while Dubai has voluntary policies and marketing restrictions, there are currently no mandatory policies addressing the impact of marketing of unhealthy foods and beverages on children. [2]_x000D__x000D_Dubai does not have a policy to reduce the impact on children of marketing of foods and non-alcoholic beverages. The UAE's National Nutrition Strategy for 2022-2030 does aim to address these issues and suggests forthcoming regulations in this area. However, it does not specify a precise time frame for the announced regulations. [3] DHHS results nevertheless show Dubai and the UAE's commitment to addressing unhealthy diets. Overall, Dubai's efforts align with the criteria for a national adult risk factor survey, but fall short of fully meeting the criteria for policies targeting the marketing of unhealthy foods and beverages to children. [4] [5]</t>
  </si>
  <si>
    <t>There is no evidence of a city-level policy to reduce the impact on children of marketing of unhealthy foods and non-alcoholic beverages, however there are some national efforts. _x000D__x000D_The CoH monitors the diets of children and the youth through regular checks and questionnaires made by school health care, and, utilises the results of the School Health Survey, carried out every two years by the Finnish Institute of Health and Welfare (THL) for the determination of measures in its welfare plan, project funding applications and the allocation of its resources. A 2023 article published by CoH on the survey's results mentions the need for further measures targeting those with unhealthy lifestyles. However, there is no mention of a marketing policy in any of these efforts. [1] [2] [3] [4]_x000D__x000D_Finland's EPELI-Marketing of Unhealthy Foods to Children project, conducted between 2020-2021 and funded by the Prime Minister's Office, shows the current legislation, official guidelines and self-regulation of the food and marketing industry are not enough to protect all minors. [5] [6] According to the final report, Finland should introduce legislation for defining unhealthy food, which is necessary for marketing restrictions, and take measures especially to cover new digital marketing channels. [5] A 2023 article written by a THL representative shows the legislation and measures are still in the development phase. [7]_x000D__x000D_The city of Helsinki conducted a recent national adult risk factor survey covering unhealthy diet. A 2021 survey on the well-being and health of the Helsinki Metropolitan Area residents has indicators such as the proportion of those using vegetables and fruits in accordance with nutritional recommendations, those using butter or butter-vegetable oil mixture daily, those who use little fresh vegetables in their diet and those who consume little fruit or berries in their diet. The survey also covers the proportion of overweight and obese people. [8] [9]</t>
  </si>
  <si>
    <t>There are no policies to reduce the impact on children of marketing of foods and non-alcoholic beverages high in saturated fats, trans-fatty acids, free sugars, or salt._x000D__x000D_Based on WHO data, the country has conducted a recent, national adult risk factor survey covering unhealthy diet. [1]</t>
  </si>
  <si>
    <t>[1] WHO. Has conducted a recent, national adult risk factor survey covering unhealthy diet. Geneva: World Health Organization. [accessed 2024]. Available from: https://www.who.int/data/gho/data/indicators/indicator-details/GHO/has-conducted-a-recent--national-adult-risk-factor-survey-covering-unhealthy-diet</t>
  </si>
  <si>
    <t>The Report of Population Survey 2020-22 includes a survey on unhealthy diet. [1] _x000D_The HKSAR Government launched a series of voluntary measures and the Committee on Reduction of Salt and Sugar in Food (CRSS) was established in 2015. The Government launched the Salt Reduction Scheme for School Lunches in 2017-2018 with a view to reducing the average sodium level of primary school lunches to not more than 500 milligrams in 10 years. A total of 13 lunch suppliers had participated in the Scheme to provide sodium-reduced lunch options in 2019-2020, covering over 80% of all primary schools in Hong Kong. The Government also implemented the Healthy Drinks at School Charter in 2018-2019 to reduce the intake of excessive sugar from drinks for preschool students. As at April 2021, about 45% of all kindergartens and child care centres had participated in the programme, committing to encouraging children to drink water and making healthy drinks available for them. [2]</t>
  </si>
  <si>
    <t>Available evidence indicates that Istanbul is working on a comprehensive strategy to promote healthy nutrition among adults and children. The evidence does not show that the proposed strategy considers the impact on children of marketing unhealthy foods and beverages. Evidence also does not point to any surveys on unhealthy diets having been conducted nationally or locally in the past five years._x000D__x000D_In October 2021 the Istanbul Planning Agency published a draft policy document, the Istanbul Food Strategy Document, for public comment, aiming to develop the city's agriculture and food strategy in consultation with city residents. [1] The document has eight main focus areas, only one of which specifically concerns healthy food and nutrition policies. [1] It addresses the nutritional needs of children but does not discuss the impact of marketing on their nutritional outcomes. Evidence also suggests that the public consultation process remains open as of March 2024._x000D__x000D_Evidence indicates that a few risk-factor surveys covering unhealthy diets have been conducted across Turkey and in Istanbul, but not recently. The last national study, the Turkey Nutrition and Health Survey (TBSA)) was conducted in 2017 by the Ministry of Health and the last local study, Research on Nutritional Behaviors of Children, Adolescents and Housewives in Istanbul, by the Istanbul Public Health Directorate in 2013. [2] [3]</t>
  </si>
  <si>
    <t>The Ministry of Health oversees the Healthy Living Community Network, known as Germas, a framework of seven health principles that is used by primary care providers in outlying rural areas and inner city neighbourhoods in Jakarta. [1] Germas requires frontline health staff to emphasise the importance of regular exercise and a nutritious diet in addition to a clean environment and the importance of periodic health checks. The ministry in 2018 rolled out the Isi Piringku "Fill My Plate" marketing plan, a graphic that shows that a meal should be composed of 50% fruit and vegetables and 50% carbohydrate and protein. [2] Every five years the Ministry of Health publishes the "Riset Kesehatan Dasar," a Basic Health Research report covering all provinces, including DKI Jakarta. [3] The report, commonly known as Riskesdas, provides detailed information on maternal and childhood nutrition, but does not detail the quality of diet in the population more broadly. The Statistics Agency compiles basic health information across all provinces as part of regular surveys. These include the "Survei Sosial Ekonomi Nasional" (Susenas), which includes information on diet in DKI Jakarta province. For example, in 2022 the average calories consumed per day in Jakarta was 2,223.32—and 508.72 of these daily calories came from prepared food. [4]</t>
  </si>
  <si>
    <t>No evidence that the City of Johannesburg has policies to reduce the impact on children of marketing of foods and beverages was found on the websites of the local, provincial and national governments. [1] [2] [3] _x000D__x000D_In 2023, the national government published for comment the "Draft Regulations Relating to the Labelling and Advertising of Foodstuffs in South Africa". [4] The Draft draws restrictions on the advertising of unhealthy foods to children such as the prohibition of the use of celebrities, sport stars, cartoon-type characters, puppets, computer animation, as well as collectible items which appeal to children. [5]_x000D__x000D_No evidence that the city has conducted a recent adult risk factor survey covering unhealthy diets was found on the websites of the local, provincial and national governments, and Statistics South Africa. [1] [2] [3] [6] The District Health Barometer, General Household Survey, Community Survey, and South Africa Demographic and Health Survey do not cover diets. [7] [8] [9] [10]</t>
  </si>
  <si>
    <t>There is evidence of a policy to reduce the impact on children of food marketing, but no survey about unhealthy diet has been conducted._x000D__x000D_Pakistan's Multi-sectoral Nutrition Strategy for 2018-2025 includes regulation on the marketing of complementary foods and school-based health and nutrition programs. One of the action plans in the strategy is to establish "Enhanced guidance and control of private commercial food sector including regulations on promotion and sale of unhealthy food marketed to children and adolescents." The ministry of education has been assigned the responsibility to "implement measures to prevent marketing of unhealthy foods and beverages within the school settings and to adolescents in general." [1]_x000D__x000D_According to the latest report from the Global Health Observatory, updated on April 25, 2022, there is no available evidence at the national level of a survey conducted in 2021, or within the past five years, that covers unhealthy diets. [2]</t>
  </si>
  <si>
    <t>There is no evidence of Kathmandu city level adult risk factor survey covering unhealthy diet conducted within the last 5 years. However, a national survey titled 'Noncommunicable Disease Risk Factors: STEPS Survey Nepal 2019' was conducted by the Nepal Health research Council in 2019, in collaboration with the Ministry of Health and Population and the World Health Organization. The survey explicitly covers unhealthy diet. [1]_x000D__x000D_Kathmandu Metropolitan City also does not have any policies to reduce the impacts on children of marketing of foods and non-alcoholic beverages high in saturated fats, trans-fatty acids, free sugars, or salt. There are also no existing policies at the national level. [2]</t>
  </si>
  <si>
    <t>Guidelines for Prevention of Misleading Advertisements and Endorsements for Misleading Advertisements, 2022, is the only policy that restricts high fat salt and sugar (HFSS) food advertisements to children across all media. There are shortfalls, including limited scope of 'child-targeted' advertisements and lack of criteria to define HFSS foods. A robust regulatory framework is needed to protect children from HFSS food marketing, not just what is 'directed' at them, with clear evidence-based food classification. [1] [2] _x000D__x000D_There is evidence of a national adult risk factor survey covering unhealthy diet in the past 5 years. [3]</t>
  </si>
  <si>
    <t>Kuwait does not have a policy on food marketing. According to academic studies from 2022 and 2020, Kuwait has the highest rate of obesity among the Arab Gulf states and there are no known policies aimed at reducing the impact of marketing of foods on children. On the contrary, the studies show that food advertising is having an adverse effect on diets. [1] [2]_x000D_ _x000D_The Ministry of Health conducted a survey in 2020 focusing on nutrition and eating habits. A 2020 study also explored eating habits during the COVID-19 quarantine measures. [3] [4]</t>
  </si>
  <si>
    <t>A policy on food marketing to children exists, although it does not make specific reference to saturated fats, trans-fatty acids, free sugars, or salt. Nigeria's National Policy and Strategic Plan of Action on Non-Communicable Diseases of 2013 establishes the national policy on food marketing. [1] Section 5.2.2 highlights the promotion of responsible marketing of foods and non-alcoholic beverages to children, but does not make specific reference to saturated fats, trans-fatty acids, free sugars, or salt. [1] Section 7 of the National Agency for Food and Drug Administration and Control's (NAFDAC) Fats, Oils and Foods Containing Fats and Oils Regulations, 2022 states that food labels must state the amount and type of saturated fats, trans-fatty acids, mono and poly-unsaturated fats and cholesterol. [2] However, it does not make specific reference to marketing to children. [2]_x000D__x000D_Section 21 of NAFDAC's Food Products Advertisement Regulations, 2021 sets out regulations for advertisements for food directed at children. [3] Under the Regulation, advertisements are broadly prohibited from condoning or encouraging the consumption of food items that are detrimental to children's health. [3]_x000D__x000D_There is evidence that a survey about unhealthy diet has been conducted. In June 2018, the Nigerian Bureau of Statistics (NBS) published the results of its 'National Nutrition and Health Survey (NNHS) 2018'. [4] The survey participants of Lagos were limited being less than 500; the survey focused primarily upon the prevalence and severity of undernutrition, as opposed to the nature of their diet. [4] _x000D__x000D_In March 2023, the Department of Community Health and Primary Care, College of Medicine of the University of Lagos published its 'Nutritional knowledge, dietary habits and nutritional status of adults living in urban Communities in Lagos State' study which surveyed the diets of adults in urban Lagos. [5] The study focused primarily on the respondent's energy and nutrient intake and contained limited data on saturated fats, trans-fatty acids, free sugars and salt. [5]</t>
  </si>
  <si>
    <t>On Februrary 25th 2019 (5 years ago) the Mayor introduced advertising restrictions on the entire Transport for London (TfL) network as a measure to help tackle childhood obesity in the city. [1]_x000D__x000D_Food and drinks brands, restaurants, takeaways and delivery services are only able to place adverts which promote their healthier products rather than publicising their brands. The restrictions apply across the underground, TfL rail, buses, overground, docklands light railway, roads (e.g adverts on roundabouts and bus stops owned by TfL), river services, tram, Emirate Air Line, Victoria Coach Station, dial-a-ride and taxi and private hire. [1] The sales of unhealthy food and drinks were lower than expected after this restriction was introduced. [2] _x000D__x000D_The National Diet and Nutrition Survey rolling programme (NDNS RP) is a continuous, cross sectional survey. It collects data on food consumption, nutrient intake and nutritional status of the general population living in private households in the UK. Fieldwork began in 2008 and has now completed its 15th year. [3] In 2020 a survey was carried out looking at diet, nutrition and physical activity in 2020 (a follow up study during covid-19). [4] This was a follow-up of the NDNS RP participants; self-reported diet and physical activity data collected between August and October 2020 for around 1,000 adults and children was compared with their diet and activity data obtained at the time of their original NDNS RP interview. [4]</t>
  </si>
  <si>
    <t>Available evidence indicates that in Madrid a policy exists which helps to reduce the impact of marketing unhealthy foods to children; part of a larger strategy on nutrition--run by the City Council rather than by the regional government of the Community. Evidence also indicates that the last survey on unhealthy diets among the population of Madrid was conducted, by the Community, well over five years ago, in 2009. [1] _x000D__x000D_In 2005 the Community of Madrid launched a comprehensive food and nutrition plan, which noted that over 16% of children aged 6 to 12 years were overweight, and stressed the need to determine what children were eating at school and at home. [2] The Community pursued this issue, at least tangentially, with a comprehensive survey of nutrition habits in the region, undertaken in 2009. [1] _x000D__x000D_However, at present it is the City Council (Ayuntamiento) of Madrid rather than the regional government of the Community that runs a comprehensive policy on nutrition--one which puts considerable emphasis on the health of children. This policy is known as the Healthy and Sustainable Eating Strategy 2022-2025 (Estrategia de Alimentación Saludable y Sostenible 2022-2025) and has six "axes of action", the first of which ("food culture") aims to "promote the adoption of responsible consumption patterns and healthy, safe, environmentally sustainable and rights-based diets," among other goals. [3] The Strategy aims to educate children in healthy nutrition through education programmes in Madrid's municipal network of primary schools. As the text of the Strategy relates; "Awareness programs aimed at the child population ensure that 40% of schools participate in education activities or access awareness resources...and it is expected to reduce the percentage of children who are overweight or obese...Awareness campaigns aimed at young people reach at least 20% of the child population." [4]</t>
  </si>
  <si>
    <t>In the Philippines, there are no policies aimed at reducing the impact of marketing of foods and non-alcoholic beverages high in saturated fats, trans-fatty acids, free sugars, and salt; the country has conducted a national adult risk factor survey covering unhealthy diets._x000D__x000D_The Philippines has taken steps to eliminate industrially produced trans fats (IPTFAs) through Administrative Order 2021-0039 or the National Policy on the Elimination of Industrially-Produced Trans-Fatty Acids for the Prevention and Control of Non-Communicable Diseases, which seeks to control and eventually eliminate IPTFAs from the nation's food supply by 2023. As part of this effort, the Philippines has set strict standards for the maximum allowable concentration of IPTFAs in prepackaged processed foods, prohibiting the use of IPTAFs in food manufacturing, and banning misleading labelling claims about trans fats. [1] However, there is no evidence of more general restrictions on food marketing in the Philippines._x000D__x000D_The Philippines has conducted a national adult risk factor survey covering unhealthy diets. The Philippine National Nutrition Survey (NNS) is the official nationwide survey on nutritional status, diet, and other lifestyle-related risk factors for noncommunicable diseases. The NNS is conducted every 5 years by the Department of Science and Technology Food and Nutrition Research Institute. The most recent survey was redesigned as the Expanded National Nutrition Survey (Expanded NNS) in 2018, and was conducted for 3 consecutive years until 2021. [2] _x000D__x000D_No evidence of policy on food marketing or of a survey on unhealthy diet for the city of Manila was identified on websites of the Philippine Department of Health or the Manila Health Department. [3] [4]</t>
  </si>
  <si>
    <t>There is no evidence on the existance of national or state regulation to minimise the impact of unhealthy food marketing on children or adults. The advertising industry sets its own limits on unhealthy food marketing to children through the Food and Beverages Advertising Code and the Children's Advertising Code. [1] Several organisations have pushed for regulations to be imposed regarding the harmful marketing of unhealthy food and drink to children. [1] [2] [3] _x000D__x000D_The National Health Survey 2022 provides statistics regarding the population's adherence to guidelines around alcohol consumption and fruit and vegetable intake. [4] The City of Melbourne's Health and Wellbeing profile 2022 outlines local statistics on the daily consumption of fruit and vegetables and tobacco smoking. [5]</t>
  </si>
  <si>
    <t>Mexico City has implemented policies concerning food marketing and advertising. No survey about unhealthy diet has been conducted. _x000D__x000D_These policies have been issued by the Mexican Ministry of Health and involve changes to food advertising laws and front-of-pack labelling. The changes include harmonising the regulations with the new front-of-pack (FOP) labelling specifications. [1] Additionally, the use of characters, animations, cartoons, celebrities, athletes, mascots, and interactive elements such as visual-spatial games or digital downloads in the advertising of pre-packaged food and non-alcoholic beverages that exceed the nutritional criteria and contain warning seals and/or cautionary statements has been banned. [1] Food and beverage companies are now required to obtain an advertising permit to advertise products that include certain FOP elements. [1] _x000D__x000D_Furthermore, there is a study on food insecurity, overweight and obesity in Mexico City. [2] Although very related to the topic, it does not specifically mention unhealthy diet. There is one study by Unicef analysing children's diet in Mexico City, but no mention of a survey. [3]</t>
  </si>
  <si>
    <t>Russia and Moscow do not have policies to reduce the impact of food marketing on children. There is no evidence in the laws promulgated by the Ministry of Health that there are any restrictions on food marketing in Russia. [1] Indeed, the lack of any restrictions has been noted by studies and media articles, including a 2020 study which notes that the majority of food and drink products advertised "should not be permitted for advertising to children according to the NPM (World Health Organization Regional Office for Europe Nutrient Profile Model)". [2] Only recently in 2023 has the Ministry of Health stated that it supports the idea of labelling healthy food products. [3] _x000D__x000D_A study was conducted in 2020 on the dietary patterns of residents in Moscow. It found that a third of the population of Moscow has an "inappropriate diet" that is associated with a high risk of non-communicable diseases. [4]</t>
  </si>
  <si>
    <t>Guidelines for Prevention of Misleading Advertisements and Endorsements for Misleading Advertisements, 2022, is the only policy that restricts high fat salt and sugar (HFSS) food advertisements to children across all media. There are shortfalls, including limited scope of 'child-targeted' advertisements and lack of criteria to define HFSS foods. A robust regulatory framework is needed to protect children from HFSS food marketing, not just what is 'directed' at them, with clear evidence-based food classification. [1] [2] There is evidence of a national adult risk factor survey covering unhealthy diet in the past 5 years. [3]</t>
  </si>
  <si>
    <t>Nairobi does not have policies to reduce the impact on children of marketing of foods and non-alcoholic beverages high in saturated fats, trans-fatty acids, free sugars, or salt, and no evidence could be found for national such guidelines. [1] [2] According to a 2022 research paper, Kenya does not have does not have a clear legal framework that can be used to curb the menace of unhealthy food and non-alcoholic beverages marketing to children. [3] In 2021 the non-governmental organisation KELIN Kenya published a policy brief with recommendations on the Marketing of Foods and Non-Alcoholic Beverages in Kenya. The brief outlines existing laws within Kenya that would allow for the implementation of policies to restrict marketing of such food products, but notes that these existing laws and policies are not currently targeted at limiting advertising of such products to children. The brief was developed to inform country stakeholders (government, civil society, academia, and others) on the legal basis for adoption of nutrition labelling as a policy tool to promote healthy diets. [4]_x000D__x000D_A Nairobi County health smart survey was carried out in 2020 in conjunction with Concern Worldwide and UNICEF. The survey covered women's diets and household diets. [4] [5]</t>
  </si>
  <si>
    <t>The United States relies on self-regulation practices to regulate the marketing of unhealthy foods aimed at kids. The food industry created the CFBAI (Children's Food and Advertising Initiatives). However, they are voluntary and relaxed. [1] Due to this self-regulation, city-level policies to regulate unhealthy food marketing were not found. However, the NY State has the law proposal S7487c to protect kids against the predatory marketing of unhealthy food, which is still in the Committee Senate. [2] Furthermore, at the national level, the BRFSS (Behavioral Risk Factor Surveillance System) conducts a survey through the telephone to get data on behaviour standards and risk factors of the 50 states. Regarding unhealthy diets, the survey has an indicator of sugar-sweetened beverage consumption, soda consumption. [3]</t>
  </si>
  <si>
    <t>There are national policies on food marketing. There are surveys about healthy diet._x000D_Under the Food Labelling Act, mandatory labelling requirements include energy (calories), protein, lipids (total fat), carbohydrates, and an equivalent amount of salt. Among lipids, "saturated fatty acids," and among carbohydrates, "dietary fibre" are recommended for labelling due to their association with lifestyle-related disease prevention and Japanese dietary intake status. [1] The average intake of trans fatty acids among Japanese people is approximately 0.3% of the total energy intake, which is low. Therefore, in Japan, there are no regulations or standards regarding the labelling, obligations, or recommended intake levels for lipids such as trans fatty acids, unsaturated fatty acids, saturated fatty acids, or cholesterol. [2] However, considering the health impacts of trans fatty acids, the Consumer Affairs Agency published the "Guidelines for Disclosure of Trans Fatty Acid Information" in February 2011. It urges food businesses to voluntarily disclose information about the presence of trans fatty acids in their products. [3] However, this is not specifically aimed at children._x000D__x000D_Several surveys on diets/eating habits have been conducted. One is the National Health and Nutrition Survey, mentioned in 5.5 and another is the Survey on Food Education. [4] The Ministry of Agriculture, Forestry and Fisheries conducts annual surveys to assess various aspects related to promoting a healthy diet. This includes habits conducive to a balanced diet, the practice of nutritional balance in daily eating habits, frequency of breakfast consumption, and adherence to healthy practices such as maintaining appropriate body weight and reducing salt intake for the prevention and improvement of lifestyle-related diseases. [5]</t>
  </si>
  <si>
    <t>Available evidence does not indicate that France, the Region of Île-de-France or the city of Paris currently have policies to limit the marketing of unhealthy foods and beverages to minors, or to conduct consistent surveys on dietary habits of the population. _x000D__x000D_Evidence indicates that the national and regional governments in France are aware of the detrimental effects of marketing unhealthy foods to minors but to-date have not proactively addressed the issue through legislation or other public policies. For example, in 2021 the Ministry of Solidarity and Health publicly acknowledged that "children's exposure to food marketing is a major public health issue" [1] but its attendant proposals have not yet resulted in tangible actions. [2] The current Regional Health Scheme (Schéma régional de santé—SRS) of the Île-de-France aims to improve the nutrition of the resident population and its young people but does not address the issue of curtailing adverse marketing in that regard. [3] _x000D__x000D_Evidence suggests that risk-factor surveys covering dietary habits are not conducted by national, regional and private entities on a consistent basis. An example of a type of study that meets this criterion are the INCA studies on the role of food in increasing the risk of certain diseases, conducted by the French Agency for Food, Environmental and Occupational Health &amp; Safety (ANSES). However, the last such study, INCA 3, was published in 2017. [4] The National Institute of Statistics and Economic Studies (INSEE) periodically collects and publishes data on consumption patterns including on food but these do not constitute risk-factor surveys on diet. [5] _x000D__x000D_In February 2019 the government of Île-de-France did publish a study on the eating habits of the region's resident population; one of its conclusions was that the perception of health risks related to diet increased over the preceding 10 years. [6] Evidence does not indicate that it has conducted such a study since then. [7]</t>
  </si>
  <si>
    <t>Policies to reduce the impact on children of marketing of foods and non-alcoholic beverages high in saturated fats, trans-fatty acids, free sugars, or salt exist in Cambodia. In the past 5 years, the city has conducted a national adult risk factor survey covering unhealthy diets. _x000D__x000D_In 2017, Cambodia published its Food-Based Dietary Guidelines for School-Aged Children which aims to encourage schoolchildren aged between 6 and 17 years old to consume less foods that are high in salt, sugar, and fat. [1] Since Cambodia is a member of ASEAN, the minimum standards and guidelines on actions to protect children from the harmful impact of marketing of food and non-alcoholic beverages in the ASEAN region are also applicable in the country. The guidelines seek to minimise children's exposure to unhealthy food marketing by placing marketing restrictions on media based on settings, times, types, and content. [2] According to Cambodia's Roadmap for Food Systems for Sustainable Development 2030, laws and regulations that seek to limit unhealthy snacks at schools and restrict the marketing of unhealthy foods will also be put in force. [3] _x000D__x000D_Cambodia's Demographic and Health Survey 2021 - 2022 prepared by the Phnom Penh-based National Institute of Statistics provided comprehensive data on sweet beverages and unhealthy food consumption specifically among women aged 15 - 49 based on age, maternity status, residence, province, educational levels, and wealth quintile. [4] The National Multisectoral Action Plan for the Prevention and Control of Noncommunicable Diseases 2018-2027 also aims to promote a healthy diet by conducting a national survey on salt use, establishing a national action plan on salt reduction, and substituting saturated fat and trans-fat with unsaturated fat. The strategic plans focus on the population over 18 years old in particular. [5]</t>
  </si>
  <si>
    <t>Тhe Saudi Food and Drug Authority (SFDA), in collaboration with other government entities, developed and launched healthy food strategy (HFS) in 2018 aimed at enhancing healthy lifestyles and reducing the intake of salt, sugar, saturated fatty acids and trans fatty acids. These reforms, which were implemented in Riyadh, included voluntary and mandatory schemes to display nutrition information in food and beverage establishments, display allergens on food menus, encourage the adoption of front of pack nutrient labels (FoPNLs) on food products, ban the use of partially hydrogenated oils and establish limits for sodium composition in breads and selected food products. [1] [2] These include policies targeted at children. _x000D__x000D_Surveys conducted between 2015-2016 covering diet and lifestyle behaviours have been conducted for both adults and adolescents in Riyadh. A study on adults found that men were 1.49 times at higher risk of an unhealthy lifestyle compared to women. Men reporting unhealthy lifestyles were 2.1 times more likely than men with healthy lifestyles to cite not enjoying physical activity, lack of social support, and not having enough information about a healthy diet. It also found that for women aged ≥ 45 years lack of motivation, feeling conscious while exercising, not enjoying healthy food, and no family support to prepare healthy food were significantly associated with an unhealthy lifestyle. [3]</t>
  </si>
  <si>
    <t>Rome is developing a comprehensive food policy that among other goals aims to reduce the impact on children of marketing unhealthy foods and beverages. Rome also participates in periodic nationwide surveys on the dietary habits of children and adults. These policies encompass both criteria in this indicator, meriting a score of two, as follows: _x000D__x000D_In early 2022 the Rome city council launched its Food Policy for Rome (Food Policy a Roma), encompassing several food-oriented strategies including promotion of sustainable agriculture and localisation of supply chains, integration of food production and distribution with waste management, and education on healthy, sustainable food for the general public, schoolchildren and food-oriented businesses. [1] [2] As of early 2024, the actions plans of the Food Policy were being developed through consultation with stakeholders and the general public. [2] _x000D__x000D_A survey on unhealthy diets has been conducted in the past 5 years: OKkio alla SALUTE, a national surveillance system for overweight, obesity and related risk factors in primary schoolchildren, investigates such factors as eating habits and physical activity levels; the last such survey was conducted in 2019, including in Rome. [3] [4] In addition, Italy's state-run Council for Agricultural Research and the Analysis of Agricultural Economics (CREA) every ten years conducts national surveys on food consumption to inform policymaking efforts on improving the dietary habits of the population. The most recent one was conducted on children and adults from 2017 through 2020 and the data results continue to be published to the present. [5]</t>
  </si>
  <si>
    <t>In San Francisco, there are policies for food and beverages (both with flawed impact and the last suffered a setback from a federal court). San Francisco's Healthy Food Incentive Ordinance allows incentive items (such as a toy) to be given away with the purchase of a meal, food, or beverage only if the meal/food/beverage meets specific nutrition standards. [1] However, an impact study looking at practices of two global restaurant chains following the ordinance found that both implemented some menu changes, particularly regarding side dishes. They found a loophole and continued to offer toys with unhealthy meal purchases for an additional USD.10, meaning they were no-longer free; 88% of customers chose to buy the toys. [2] In terms of sugary beverages, a law was passed by San Francisco in 2015 that would require beverage advertisements within city limits to include warnings that drinking sugary drinks contribute to health issues. However, in 2019 a federal appeals court blocked for a second time this law in a victory for beverage and retail groups that sued to block the ordinance. [3]_x000D__x000D_About the survey on unhealthy diet, research showed reports from 2015 and 2016 based on results from the California Health Interview Survey, but nothing more recent. [4] [5] It would need to create an account at the California Health Interview Survey and check if they have more recent data (also, we would to check if we would be allowed to use this data for our purposes or if we would need to ask for authorization). [6] The most recent study found was published by Velotric, in which they employed a distinctive meta-rank system and analyzed various health indicators in 99 of America's major counties to determine which are the most unhealthy. San Francisco ranked as the fourth-healthiest and it has the lowest obesity rate (19%) of any of the 99 counties. [7]</t>
  </si>
  <si>
    <t>At the national level, there are initiatives to regulate the marketing of unhealthy foods for children and surveys capturing food consumption. _x000D__x000D_The National Health Surveillance Agency (Anvisa) has published a Resolution (RDC N.24, 2010), in which Art 12 aims to regulate the marketing of foods high in sugar and low nutritional value for children. [1] Also, Anvisa worked on ways to improve the information on the labels of products consumed by Brazilians. As a result, new rules were established and published in 2022. The legislation refers to the nutritional information table and the front labelling seal. [2] The Ministry of Health also ratifies through the National Health Policy Health Promotion – PNPS, the Brazilian commitment to guidelines of the Global Strategy, in full accordance with the Policy National Nutrition Food Board – PNAN (Brazil, 2003). These components are included in regulating advertising and food advertising, mainly aimed at children and teenagers. [2] _x000D__x000D_Furthermore, at the national level, the Vigitel Brazil 2021 Surveillance of Risk Factors and Protection for Chronic Diseases by Telephone Inquiry released a report containing data on food consumption and other daily behaviours. Vitel Brazil analysed soda consumption and ultraprocessed food consumption. [3]</t>
  </si>
  <si>
    <t>Restrictions on children-specific marketing of foods and non-alcoholic beverages high in saturated fats, trans-fatty acids, free sugars, or salt exist at the national level. The Ministry of Food and Drug Safety has a three-year Comprehensive Plan for Children's Dietary Life Safety Management. The current plan for the 2022-24 planning period maintains restrictions on TV commercials advertising food high in calories and low in nutritional value during children's viewing hours. The plan includes self-policing guidelines for YouTube content creators to reduce children's exposure to unhealthy food ads. The plan also calls for voluntary agreements with manufacturers and retailers to prevent children's marketing exposure to unhealthy food. [1] The Seoul Metropolitan Government annually publishes the percentage of adults using nutrition facts labels as part of the Korea Disease Control and Prevention Agency's Community Health Survey. The 2023 survey released on 19 December 2023 shows that 88.5% of adults covered in the survey said they routinely checked nutrition information before consuming processed food. [2]</t>
  </si>
  <si>
    <t>Shanghai does not have a policy specifically aimed at food marketing towards children. There is evidence of a nutrition and health status tracking survey in Shanghai and nationally. _x000D__x000D_While there is no evidence of a policy specifically aimed at the marketing of unhealthy food to children, Shanghai has campaigns to encourage a healthy diet and other aspects of healthy living. Among the "key prevention and control measures" listed in the municipality's Mid- and Long-term Plan (2018-2030) for the Prevention and Treatment of Chronic Non-Communicable Diseases, is the objective to "promote the national healthy lifestyle action, carry out special actions such as "three reductions and three health" (reducing salt, reducing oil, reducing sugar, healthy mouth, healthy weight, healthy bones)... Innovate and enrich prevention methods, implement the concept of zero-level prevention, and comprehensively strengthen health knowledge and behavioural education in kindergartens, primary and secondary schools." [1]_x000D__x000D_A nutrition and health status tracking survey is mentioned among the measures to improve surveillance and evaluation systems for chronic diseases in the Mid- and Long-term Plan. [1] Monitoring of nutrition and health status, iodine nutritional status, and food composition of Shanghai residents is also mentioned in the implementation plan for Healthy Shanghai Action (2019-2030). [2]_x000D__x000D_According to an article published on the website of the National Institute for Nutrition and Health in 2023, China was conducting a Chinese Resident Nutrition and Health Status Monitoring Project [中国居民营养与健康状况监测项目] as part of the monitoring of chronic diseases and nutritional conditions. [3] Its results were not published as of February 2024.</t>
  </si>
  <si>
    <t>There is evidence of initiatives to regulate the marketing of unhealthy food directed at children and evidence of a survey covering unhealthy diets. _x000D__x000D_In January 2015, a new regulation took place in Singapore. This regulation states that in order for enterprises to develop marketing of food and beverages targeting children below 12 years old, the products need to fit the common nutritional criteria. [1] Furthermore, Singapore conducted the National Nutritional Survey in 2022, which aimed to capture the eating behaviour of the population. The survey analysed the sugar consumption, the contribution of pre-packed food to sugar consumption, fat consumption, and sodium consumption. [2]</t>
  </si>
  <si>
    <t>Current measures to reduce children's exposure to unhealthy food marketing in Australia are predominantly industry-led and voluntary in nature, with minimal regulatory protections in place. [1] Thus, there is no Australian Government regulation to specifically protect children from unhealthy food marketing. The advertising industry has developed its own code about unhealthy food marketing to children. [2] _x000D__x000D_The National Health Survey 2022 provides key statistics on dietary practices, such as meeting fruits and vegetables recommendations. Yet, the survey is not exclusively done focusing on people's diet. [3]</t>
  </si>
  <si>
    <t>There are national policies on food marketing. There are surveys about healthy diet._x000D_Under the Food Labelling Act, mandatory labelling requirements include energy (calories), protein, lipids (total fat), carbohydrates, and an equivalent amount of salt. Among lipids, "saturated fatty acids," and among carbohydrates, "dietary fibre" are recommended for labelling due to their association with lifestyle-related disease prevention and Japanese dietary intake status. [1] However, these are not targeted at children. _x000D__x000D_The average intake of trans fatty acids among Japanese people is approximately 0.3% of the total energy intake, which is low. Therefore, in Japan, there are no regulations or standards regarding the labelling, obligations, or recommended intake levels for lipids such as trans fatty acids, unsaturated fatty acids, saturated fatty acids, or cholesterol. [2] However, considering the health impacts of trans fatty acids, the Consumer Affairs Agency published the "Guidelines for Disclosure of Trans Fatty Acid Information" in February 2011. It urges food businesses to voluntarily disclose information about the presence of trans fatty acids in their products. [3]_x000D__x000D_There is no survey on "unhealthy" diet, there are several surveys on diets/eating habits. One is the National Health and Nutrition Survey, mentioned in 5.5 and another is the Survey on Food Education. [4] The Ministry of Agriculture, Forestry and Fisheries conducts annual surveys to assess various aspects related to promoting a healthy diet. This includes habits conducive to a balanced diet, the practice of nutritional balance in daily eating habits, frequency of breakfast consumption, and adherence to healthy practices such as maintaining appropriate body weight and reducing salt intake for the prevention and improvement of lifestyle-related diseases. [5]</t>
  </si>
  <si>
    <t>In 2015, TPH approved the Ottawa principles which are a series of recommendations related to restricting the commercial marketing of food and beverages to children and youth aged 16 years. This is done through the Stop Marketing to Kids Coalition. [1] [2] [3] However, this is not binding regulation. _x000D__x000D_According to WHO, Canada has conducted a recent national adult risk factor survey uncovering unhealthy diet. [4]</t>
  </si>
  <si>
    <t>Austria has conducted a recent survey of unhealthy diets, but does not have binding policies to reduce the impact of unhealthy foods on children._x000D__x000D_Since 2021, Austria has voluntary recommendations to limit or restrict the marketing of unhealthy food to children. [1] The Communication Authority Austria (KommAustria), the independent organisation that oversees electronic audio and audio-visual media in Austria, has issued requirements that advertisements for foods that are high in fat, salt and sugar, and "the excessive intake of which is not recommended as part of the overall diet" must comply with "a legal obligation for media service providers whose offerings also include children's programs to draw up and observe guidelines in this area. [2] These guidelines must set out which forms of audiovisual commercial communication are inappropriate before, after and in children's programmes, and that positive characteristics of the food and drink in question are not emphasised". [3]_x000D__x000D_In January 2024, a joint study between the Federal Minister of Social Affairs, Health, Care and Consumer Protection (BMASGK) and the Medical University of Vienna found that those guidelines were not being followed in about 70% of cases in digital spaces. [4] [5] In response to this report, the BMASGK called for binding legislation to restrict the advertising of unhealthy foods to children in January 2024. [6] _x000D__x000D_The national Austria Health Survey 2019 (the most recent available) covered diet and asked questions about the amount and frequency of fruit and vegetable consumption, as well as questioning the frequency of meat, sausage and fish consumption; the survey also asks about drinking behaviour, including fruit and vegetable juices and sugary soft drinks. [7]</t>
  </si>
  <si>
    <t>In China, no specific regulations govern commercial food and non-alcoholic beverage advertisements and marketing targeted to children exist. [1] However, nationally, as part of the Healthy China 2030 initiative, the National Nutrition Plan (2017-2030) contains an aim for raising the level of national nutrition and health in China. [2]_x000D__x000D_The China Nutrition and Health Knowledge Survey conducted a survey in Wuhan from April 2021 to October 2021, and the permanent residents aged 18–64 from Wuhan were included in the analysis. This survey included questions concerning healthy diets, including questions asking what foods were most beneficial for preventing cardiovascular diseases. [3]</t>
  </si>
  <si>
    <t>The National Strategic Plan for Prevention and Control of NCDs (2017-2021) does not mention any policy on food marketing and no other evidence of such policy was found. However, the strategic plan anticipated raising tax on tobacco, alcohol and unhealthy food products, nutrition labelling, regulating sweet beverages and "unhealthy" food, and reinforcing existing food safety measures. It is also envisaged for healthy diet promotion. The strategic plan aimed to reduce the mean population intake of salt/sodium by 10% in 2021 and 20 in 2025. [1] While it envisaged such measures, the plan ended in 2021 and it was not renewed. Moreover, policy measures such as nutrition labelling or taxation on unhealthy food and food safety measures were not implemented during the provided time frame either. [2]_x000D__x000D_No evidence of a national risk survey covering unhealthy diet was found. [3] [4]</t>
  </si>
  <si>
    <t>Evidence suggests the presence of national evidence-based treatment guidelines for hypertension and diabetes in Ethiopia._x000D__x000D_In 2014, the Ethiopian Food, Medicine and Healthcare Administration and Control Authority (FMHACA) published the "Standard Treatment Guidelines for General Hospitals Third Edition". [1] These treatment guidelines encompass, among others, the detection and treatment protocols for hypertension and diabetes._x000D__x000D_In 2016, the Federal Ministry of Health (FMOH) published the "Guidelines on Clinical and Programmatic Management of Major Non-Communicable Diseases". [2] These guidelines detail the treatment protocols for major non-communicable diseases (NCDs) such as cardiovascular diseases, cancers, chronic respiratory diseases, and diabetes._x000D__x000D_The "Ethiopian Primary Healthcare Clinical Guidelines: Care of Children 5-14 Years and Adults 15 Years or Older in Health Centers (FMOH)," published by the FMOH in 2019, contains treatment guidelines for major NCDs, including hypertension and diabetes. [3] These guidelines were developed with technical support from the World Health Organization (WHO) and are based on WHO guidelines._x000D__x000D_All three treatment protocols were prepared by the national regulatory agency and are therefore applicable to both private and public healthcare service providers throughout the country. [1] [2] [3]_x000D__x000D_Furthermore, the national NCD strategic plan aims to reduce the burden of NCDs "by promoting healthy lifestyles" and providing integrated "evidence-based treatment and care" to those diagnosed with NCDs. [4]</t>
  </si>
  <si>
    <t>There is evidence of national diabetes guidelines but no evidence was identified for hypertension guidelines._x000D__x000D_In 2015, the Algerian Ministry of Health, Population and Hospital Reform, published the 2nd edition of the Algerian Guide to Good Practices in Diabetes for practitioners. [1] _x000D_According to the Algeria's 2019 Hypertension profile published by the World Health organisation (WHO), Algeria has no guidelines for management of hypertension. [2]_x000D__x000D_No evidence of national hypertension guidelines nor of city-level diabetes and hypertension guidelines was found on the archived webpage of the Algerian Ministry of Health, Population and Hospital Reform (currently not accessible as of March 2024) and on the dedicated page of the Directorate of Health and Population of the Algiers region (Direction de la Santé et de la Population de la Wilaya d'Alger; "DSP d'Alger"), the dedicated city government health department of Algiers.</t>
  </si>
  <si>
    <t>Atlanta has access to national and local evidence-based treatment protocols and guidelines for hypertension and diabetes detection and treatment. The American Heart Association and the International Society of Hypertension have developed guidelines specifically for the management of hypertension, providing healthcare providers with evidence-based recommendations for diagnosing and treating adults with hypertension. [1] Similarly, the American Diabetes Association (ADA) has established guidelines for the management of diabetes, offering evidence-based recommendations for diagnosing and treating adults and children with diabetes. [2] Furthermore, the Georgia Department of Public Health has published the 2022 Hypertension Management Action Guide for Health Care Providers [3] and the 2020 Georgia Diabetes Report and Action Plan. [4] These resources serve as additional local guidelines tailored to address hypertension and diabetes within the state of Georgia, including Atlanta. Therefore, with both national organisations and local authorities providing evidence-based treatment protocols and guidelines for hypertension and diabetes, Atlanta earns a score of 2 on this indicator.</t>
  </si>
  <si>
    <t>Te Whatu Ora - Health New Zealand provides comprehensive resources for health professionals on managing diabetes and cardiovascular diseases, including information on evidence-based treatment protocols and guidelines. [1] [2]</t>
  </si>
  <si>
    <t>Thailand's clinical guidelines for diabetes treatment are published by the Endocrine Society of Thailand, Thai Diabetes Association, and the Ministry of Public Health. The diabetes guidelines are updated at least every four years. [1] Guidelines for treatment of hypertension are published by the Thai Endocrine Society. The most-recent guidelines were published in 2019. [2]</t>
  </si>
  <si>
    <t>National and local evidence-based treatment guidelines focused on hypertension and diabetes exist in Beijing._x000D__x000D_In China, the Guideline Working Group was established in 2021 and was in charge of developing "Chinese clinical practice guidelines of hypertension," to standardise the quality of evidence and accuracy of recommendations to address clinical issues related to "hypertension screening, diagnosis, assessment, and treatment." [1] The initiative was sponsored by major agencies in the field such as the National Center for Cardiovascular Diseases, the Chinese Society of Cardiology, and the Hypertension Committee of the Chinese Medical Doctor Association. [1]_x000D__x000D_The Chinese government has since 1999 issued at least five national hypertension guidelines plus two focusing on elderly and community-based efforts. The latest guideline was the "National guideline for hypertension management in China" issued in 2019. [2]_x000D__x000D_As for diabetes, in 2020, the China Diabetes Society (CDS) released the "Guideline for the prevention and treatment of type 2 diabetes mellitus in China (2020 edition)", providing a protocol indicating requirements to manage, diagnose, treat, and identify diabetic conditions. [3]</t>
  </si>
  <si>
    <t>At the national level, there is both evidence of guidelines to detect and to treat hypertension and diabetes. _x000D__x000D_The SGSSS (General System for Social Security in Health) has published a guideline, "Practical Guide for Diagnosis, Treatment and Following of the Diabetes Type 2 in the population over 18 years old" (originally: "Guía de Prática Clínica para el Diagnóstico, Tratamiento y Seguimiento de la Diabetes Melitus Tipo 2 en la población mayor 18 años"), which contains recommendations on how to detect and treat the diabetes among the population over 18 years old. [1] _x000D__x000D_Furthermore, the SGSSS has published a guideline, the "Practical Clinic Guide to Deal with Hypertension in the Primary Artery"(originally: "Guía de Práctica Clínica para el manejo de la Hipertensión arterial primária"), on how to manage, treat and prevent the hypertension. [2]</t>
  </si>
  <si>
    <t>Hungary has hypertension and diabetes guidelines. _x000D__x000D_The Hungarian Hypertonia Organisation, an association of medical professionals, published in 2018 the updated, 11th version of its guideline on hypertension. The guideline discusses detection, measurement and treatment. It mentions that the updated version is an update of the 2015 version, made necessary by the coming to light of new information that was published in the European Guidelines, incorporated into the current version. [1]_x000D__x000D_The Ministry of Human Capacities (the ministry responsible for healthcare in that year) published in 2020 the "The Health Professional Guideline of the Ministry of Human Capacities on the Diagnosis of Diabetes Mellitus, the Antihyperglycaemic Treatment and Care of Diabetic Patients in Adulthood", which is valid until 15 May 2024. [2] In January 2024 the Hungarian Government announced the start of the creation of a National Diabetes Strategy. [3]</t>
  </si>
  <si>
    <t>The independent organisation Egyptian Hypertension Society in 2020 published the Egyptian Hypertension Guidelines, which serve as guidelines for Egyptian practitioners with up-to-date information regarding hypertension management. [1] It provides guidelines that are focused on hypertension detection and treatment._x000D__x000D_The Egyptian Diabetes Association (EDA), a national non-governmental diabetes organisation in Egypt, is part of the International Diabetes Federation. The website of the International Diabetes Federation includes a guideline on Diabetes prevention. [2] [3]</t>
  </si>
  <si>
    <t>There are national guidelines in place for detection and treatment of both hypertension and diabetes under the Ministry of Health, Government of Sri Lanka. The Guideline for NCDs in Primary Health Care has evidence-based detection and treatment plans for NCDs which include both hypertension and diabetes. [1] There are also specific guidelines on clinical management of hypertension and diabetes for secondary and tertiary health care providers. [2]</t>
  </si>
  <si>
    <t>There are national evidence-based guidelines focused on detection and treatment of both hypertension and diabetes in India. Standard Treatment Guidelines for Hypertension has been provided under the National Health Mission, under the Ministry of Health. [1] The Indian Council of Medical Research also provides the Guidelines for Management of Type 2 Diabetes in India. [2]</t>
  </si>
  <si>
    <t>In Bangladesh, there are national evidence-based treatment guidelines for hypertension and diabetes detection and treatment._x000D__x000D_The National Protocol for Management of Diabetes and Hypertension is a comprehensive document developed by the Non-Communicable Disease Control Programme under the Directorate General of Health Services, Ministry of Health &amp; Family Welfare of Bangladesh. This protocol provides guidelines for the integrated management of high blood pressure, diabetes, and high cholesterol using a total cardiovascular risk approach. It is intended to help healthcare professionals in Bangladesh provide standard treatment to patients with these conditions. [1] The protocol utilises the WHO Package of Essential Noncommunicable Disease Interventions (WHO PEN) for primary care and WHO/ISH risk prediction charts for SEAR D, which estimate the 10-year risk of a fatal or nonfatal cardiovascular event by age, sex, blood pressure, smoking status and presence of diabetes. [1]_x000D__x000D_The protocol was developed with the help of an expert government-appointed panel with the contributions of various organisations and individuals, including the Association of Physicians of Bangladesh (APB), Japan International Cooperation Agency (JICA), and the World Health Organization (WHO). [1]</t>
  </si>
  <si>
    <t>The UAE has both national evidence-based treatment protocols and guidelines focused on hypertension detection and treatment and diabetes detection and treatment. _x000D__x000D_The Ministry of Health and Prevention (MoHAP) has launched a national campaign for the early detection of hypertension, with region-specific prevalence estimates indicating wide prevalence in Dubai (37%). The MoHAP updated the National Guideline for Hypertension in 2019 based on scientific research and evidence. [1] For diabetes, the Emirates Diabetes Society (EDS) established national guidelines in 2020 that include structured education for diabetes self-management, regular glucose monitoring, lifestyle modifications, and pharmacotherapy based on individual cardiovascular and renal risk assessments. [2]</t>
  </si>
  <si>
    <t>In Finland, there are national evidence-based treatment guidelines that are focused on hypertension detection and treatment and diabetes detection and treatment._x000D__x000D_Current Care Guidelines provide independent, evidence-based clinical practice guidelines, which cover important issues related to health, medical treatment as well as prevention of diseases in the country. [1] The guidelines are prepared by the Finnish Medical Society Duodecim together with specialist medical associations. [1] [2] The current hypertension guidelines were published in September 2020 and are still valid. [3] The guidelines that focus on diabetes include the guidelines for Type 1 diabetes, published in September 2022 and are valid, the guidelines for Type 2 diabetes, published in May 2020 and are currently being updated, and the guidelines for gestational diabetes, published in January 2024 and are valid. [4] [5] [6]</t>
  </si>
  <si>
    <t>The Vietnam Society of Hypertension issued Highlights from the 2021 Guidelines on Diagnosis and Management of Hypertension in adults. [1] _x000D__x000D_The Ministry of Health has also issued guidelines of Hypertension. [2]_x000D__x000D_Ministry of health has issued guidelines of Diagnosis and treatment of diabetes. [3]_x000D__x000D_Ho Chi Minh Department of Health has also issued diabetes guidelines and Hypertension guidelines. [4]</t>
  </si>
  <si>
    <t>The Health Bureau has published Hong Kong Reference Framework for Hypertension Care for Adults in Primary Care Settings and Hong Kong Reference Framework for Diabetes Care for Adults in Primary Care Settings which provide guidance on the prevention, diagnosis, assessment, and management on hypertension and diabetes. [1] [2]_x000D__x000D_Hong Kong has introduced the Community Dispensary Care Collaborative (CDCC) pilot programme which provides convenient screening services for diabetes mellitus (DM) and hypertension (HT). [3]</t>
  </si>
  <si>
    <t>Turkey has several national and local evidence-based treatment protocols and guidelines that are focused on hypertension detection and treatment and diabetes detection and treatment. Some of these are as follows: _x000D__x000D_The Turkish Endocrinology and Metabolism Association has published guidelines on the diagnosis and treatment of hypertension (2022). [1] The Ministry of Health has published both a Hypertension Clinical Protocol (2020) and a Hypertension Monitoring Guide (undated). [2] [3] _x000D__x000D_The Turkish Endocrinology and Metabolism Association has published guidelines on the diagnosis and monitoring of diabetes mellitus (2020). [4] The Turkish Diabetes Foundation has published a Diabetes Diagnosis and Treatment Guide (Types 1 and 2) (2021). [5] The Ministry of Health has published Diabetes Treatment and Monitoring Clinical Protocols (2020). [6]</t>
  </si>
  <si>
    <t>Clinical guidelines for hypertension were first published by the Indonesia Association of Cardiovascular Specialist Doctors in 2015. [1] Guidelines for treatment of diabetes were published in 2008 while separate diabetes guidelines for pharmacists were published by the Ministry of Health in 2019. [2] [3]</t>
  </si>
  <si>
    <t>South Africa has evidence-based treatment protocols/guidelines that are focused on hypertension detection and treatment and diabetes detection and treatment._x000D__x000D_In 2020, the National Department of Health published the Standard Treatment Guidelines and Essential Medicines List for South Africa (Primary Healthcare Level). The document is based on the World Health Organization's guidelines and covers hypertension and diabetes detection and treatment. [1] At hospital level, the guidelines are divided between paediatric and adult, published in 2023 and 2019 respectively. Both cover hypertension and diabetes detection and treatment. [2] [3]_x000D__x000D_In 2021, the National Department of Health published the National User Guide on the Prevention and Treatment of Hypertension in Adults at Primary Health Care Level as a tool for primary healthcare workers to manage hypertension. [4]</t>
  </si>
  <si>
    <t>There is evidence of national hypertension and diabetes guidelines. _x000D__x000D_In 2023, the Journal of the Pakistan Medical Association (JPMA) published the 4th National Hypertension Guidelines national guidelines for the "detection, evaluation, management, and treatment" of hypertension in Pakistan. The guidelines are endorsed by the Pakistan Cardiac Society and Pakistan Hypertension League and contain detailed information on a wide range of topics such as blood pressure measurement methods, risk factors, diagnosis, treatment, and management strategies. The guidelines are part of a broader effort to shift focus from tertiary care to primary care and from specialist treatment to general practice, with an emphasis on early surveillance and community screening. [1]_x000D__x000D_The Pakistan Endocrine Society (PES) has published "Guidelines For Management Of Type 2 Diabetes Mellitus And Cardiometabolic Syndrome". These guidelines are based on "available local, regional and international scientific evidence". The guidelines, last published in 2023, also take into consideration the affordability and availability of medicines in Pakistan. [2]</t>
  </si>
  <si>
    <t>There is no evidence of specific guidelines for hypertension and diabetes in Kathmandu/Nepal. Although the Multisectoral Action Plan for the Prevention and Control of Non Communicable Diseases includes objectives and targets to reduce mortality from cardiovascular diseases and diabetes, the plan is outdated (2014-2020). [1]</t>
  </si>
  <si>
    <t>There is no evidence in the Ministry of Health or the Kuwait Medical Association of local guidelines regarding hypertension in Kuwait. [1] [2] A study was conducted in 2012 on the awareness among family physicians in Kuwait about hypertension guidelines. This study took the World Health Organization (WHO) and International Society of Hypertension (ISH) guidelines as references, and less than half of family physicians were aware of them. [3] In addition, a study in 2014 noted that around 60% of the population are unaware of the existence of cardio-vascular diseases. [4]_x000D_ _x000D_Local guidelines for the treatment and management of diabetes have existed in Kuwait from 2003 (named the Kuwait Diabetes Care Program). [5] However, there is no evidence of the continuation of the program after 2008. Other international guidelines have also been incorporated into the healthcare system, including guidelines drawn up by the Canadian Diabetes Association (2013), American Diabetes Association (2013) and the International Diabetes Federation (2015). [6]</t>
  </si>
  <si>
    <t>There is evidence of hypertension guidelines. In June 2020, the Tropical Journal of Nephrology published its 'Guidelines for the Management of Hypertension in Nigeria 2020', which features both hypertension detection and treatment guidelines. [1] A review of the Lagos State Ministry of Health (MOH) website found no evidence of detection or treatment guidelines at the city level._x000D__x000D_There is evidence of diabetes guidelines. In May 2011, the MOH published its 'Clinical Practice Guidelines on Diabetes Mellitus for HealthCare Professionals in Lagos State', which contains both detection and treatment guidelines. [2]_x000D__x000D_More recently, in February 2019, the Diabetes Association of Nigeria (DAN) published its 'Clinical Practice Guidelines for Diabetes Management in Nigeria (2nd Edition)', which also contains both detection and treatment guidelines. [3]</t>
  </si>
  <si>
    <t>NICE has guidelines on hypertension in adults: diagnosis and management which was last updated on 21st November 2023. They also offer a 2 page visual summary on the recommendations for diagnosing and treating hypertension. [1]_x000D__x000D_NICE has a few guidelines for diabetes. _x000D__x000D_They have Type 2 diabetes in adults: management (last updated on 29 June 2022) and Type two diabetes: prevention in people at high risk (last updated 15 September 2017) . Another includes Diabetes (type 1 and 2) in children and young people: diagnosis and management (last updated 11 May 2023). [2] [3] [4]</t>
  </si>
  <si>
    <t>Spain has national and local evidence-based treatment guidelines for both hypertension and diabetes. These are prepared by care-provider organisations in collaboration with, and/or endorsed by, regional and national public health authorities. In addition, the Community of Madrid has prepared non-clinical guidance materials on these conditions for the use of the general public. _x000D__x000D_Hypertension: In September 2022 the Spanish Hypertension Society - Spanish League for the Fight against Arterial Hypertension (SEH-LELHA) launched a campaign to disseminate new hypertension clinical practice guidelines among healthcare-sector personnel as well as the general population, in Spain and in the Spanish-speaking countries of Latin America. This document is the 2021 version of the European Society of Hypertension [ESH] practice guidelines for office and out-of-office blood pressure measurement. [1] At the same time the SEH-LELHA published in the academic press their own Practical guide on the diagnosis and treatment of arterial hypertension in Spain, a document incorporating the relevant 2018 guidelines of the ESH and the European Society of Cardiology, and incorporating insights from the latest North American and international guidelines on the subject. [2] The national Ministry of Health has also endorsed the 2016 European Guidelines on Cardiovascular Disease Prevention in Clinical Practice. [3] Also, the health department of the Community of Madrid, known as Salud Madrid (Health Madrid), has published a guide on nutrition for the use of patients with hypertension, though it lacks a clinical focus. [4] _x000D__x000D_Diabetes: Clinical practice guidelines on Type 1 diabetes mellitus and Type 2 diabetes have been published in 2012 and 2008 respectively by Spain's Ministry of Health and National Health System in conjunction with the Government of the Basque Region and with the collaboration of several stakeholders such as the Spanish Diabetes Federation (Federación Española de Diabetes). The most recent reprints of these publications (2019) indicate that updated versions are pending. [5] [6] In addition, Salud Madrid has published two non-clinical guidelines on Type 1 and Type 2 diabetes for the use of the general public. [7] [8]</t>
  </si>
  <si>
    <t>In the Philippines, there are national evidence-based treatment guidelines for hypertension and diabetes detection and treatment._x000D__x000D_The 2020 Philippine Clinical Practice Guidelines for the management of hypertension contain recommendations for the specific management of hypertension among individuals with uncomplicated hypertension, diabetes, stroke, chronic kidney disease, as well as hypertension among pregnant women and paediatric populations. These guidelines were co-created by the Philippine Society of Hypertension and the Philippine Heart Association, and aim "to present evidence-based recommendations on the diagnosis and treatment of hypertension that are adapted from international practice guidelines, but which take into consideration local realities and the practice of doctors in the Philippines". [1] _x000D__x000D_The Philippine Center for Diabetes Education Foundation has published the Philippine Clinical Practice Guidelines for Diabetes in 2015. The Clinical Practice Guidelines for Diabetes in the Philippines were published by UNITE for Diabetes Philippines, a coalition of organisations caring for individuals with diabetes mellitus. These guidelines were developed to aid clinical decision-making for the benefit of Filipino patients. The main focus of the guidelines is the outpatient management of adult patients with Type 2 diabetes mellitus. The guidelines cover the screening, diagnosis, and management of diabetes mellitus and reflect the current best evidence, including local data, into the recommendations. [2]_x000D__x000D_No evidence at city-level was identified on websites of the Philippine Statistics Authority, the Philippine Department of Health, or the Manila Health Department. [3] [4] [5]</t>
  </si>
  <si>
    <t>A national updated guideline (2016) exists on primary and secondary prevention and management of hypertension. It includes information on the epidemiology of hypertension, definitions and classifications, risk assessments, diagnosis, lifestyle advice, information on drugs, dosing, and other treatment strategies (for hypertension and other associated conditions), adherence to treatment, managing risk factors, and monitoring response to treatment. [1] _x000D__x000D_A national guideline for assessing and managing cardiovascular disease risk exists, which includes information on identifying those at risk and type of CVD, assessing risk, classification and communication of risk, and risk management. [2] _x000D__x000D_A guidebook for the management of type 2 diabetes for general practice covers definitions and diagnosis of type 2 diabetes, self-management and education, continuous assessment and monitoring, prevention of progression, lifestyle interventions, and managing complications, management in varying populations (pregnant people, older age groups, end of life management). [3] A National evidence-based clinical guideline for diabetes exists, which covers technology and medications for the management of type 1 and type 2 diabetes. [4]</t>
  </si>
  <si>
    <t>In Mexico City, access to both national and local protocols and guidelines for hypertension and diabetes detection and treatment exists. [1] _x000D__x000D_Regarding diabetes, at the national level, Mexico has official guidelines specifically tailored for diabetic patients [2], alongside the development of the National Strategy for Prevention and Control of Overweight, Obesity, and Diabetes, endorsed by the Pan American Health Organization (PAHO). [3] _x000D__x000D_Conversely, concerning hypertension guidelines/protocols, no materials were found at the local level. At the national level, Mexico also possesses official guidelines targeting hypertensive patients. [4] Additionally, governmental efforts were identified, such as the National Program for the Reduction of Mortality from Acute Myocardial Infarction, ongoing since 2017. [5] [6]</t>
  </si>
  <si>
    <t>There is evidence of national evidence-based treatment protocols/guidelines that are focused on hypertension and diabetes detection and treatment._x000D__x000D_In 2018, the Ministry of Health published the second edition of the National Clinical Guidelines for Management of Diabetes Mellitus. Chapter 7 of the document specifically focuses on the prevention of diabetes. The guidelines are suitable for all health workers and institutions in both the public and private sector. [1] In 2018, the Ministry of Health published the Kenya National Guidelines for Cardiovascular Diseases Management, which address hypertension and diabetes detection and treatment as well as the prevention of cardiovascular diseases. The guidelines target public hospitals and health centres. [2]_x000D__x000D_In 2021, the Ministry of Health of Kenya published the National Strategic Plan for the Prevention and Control of Non-Communicable Diseases (NCDs) which aims to develop/review and disseminate national guidelines, job aids and referral protocols for NCDs (including diabetes and CVD). The Plan applies to both the public and private health sector. [3]_x000D__x000D_(Neither of the two national guidelines is mentioned on the website or in the Strategic Plan 2018-2023 of Kenyatta National Hospital, the largest public hospital in Nairobi. [1] [2] [4] [5] However, Kenyatta National Hospital is mentioned as one of the Ministry of Health's partners involved in the development of the Kenya National Guidelines for Cardiovascular Diseases Management. [2])</t>
  </si>
  <si>
    <t>New York City has both guidelines on hypertension and diabetes._x000D_The NYC Department on Health and Mental Hygiene has the "Hypertension Pocket Guide", a short guide containing information on the classification of blood pressure, indicating routine exams and physical examinations, recommendations on lifestyle change and the main anti-hypertensive drugs. [1] Regarding the diabetes guideline, the NYC Department on Health and Mental Hygiene published the "Prevention and Control of Type 2 Diabetes in Adults", a material emphasising the clinical practices recommendations for diabetes treatment and essential lifestyle modifications to prevent type 2 diabetes. [2]</t>
  </si>
  <si>
    <t>There are evidence based national guidelines both for hypertension and diabetes._x000D__x000D_The Japanese Society of Hypertension has created clinical guidelines, the latest version was published in 2019. These guidelines are developed in accordance with the Japan Council for Quality Health Care's Manual for Clinical Guideline Development and are based on numerous evidence evaluations. Recommendations are formulated based on this evidence, and issues where evidence is insufficient are explained at the consensus level. [1] _x000D__x000D_The Japan Diabetes Society first released the Japanese Clinical Practice Guideline for Diabetes in 2004 and has been revised every three years. The latest version, released in 2019, was updated to include new clinical trials, evaluation results, and outcomes from large-scale clinical trials, incorporating the most recent evidence through revisions, additions, and modifications. [2] Clinical guidelines are standardised throughout Japan, and there are no local guidelines. However, local governments are making various efforts towards the prevention and improvement of lifestyle-related diseases, including hypertension and diabetes. [3]</t>
  </si>
  <si>
    <t>France has national evidence-based treatment protocols and guidelines that are focused on hypertension detection and treatment and diabetes detection and treatment._x000D__x000D_The website of France's National Authority for Health (Haute Autorité de santé--HAS) currently lists numerous publications with regard to both these conditions; many fall under the categories of "chronic illness guide" (guide maladie chronique),"care path guide" (guide parcours de soins), "public health recommendation" (recommandation en santé publique) and "good practice recommendation" (recommandation de bonne pratique). Some have been developed by the HAS solely or in conjunction with care provider organisations; others solely by disease reference centres without validation by the HAS. [1] [5] _x000D__x000D_An example of the latter is Pulmonary arterial hypertension, a chronic illness guide developed and published in 2020 by PulmoTension, the HAS's reference centre for pulmonary hypertension. [2] _x000D__x000D_Among the guidelines discussing diabetes are Medication strategy for glycemic control in type 2 diabetes and Type 2 diabetes care pathway guide for adults, published by the HAS in 2013 and 2014, respectively. [3] [4] Other relevant HAS documents discuss diabetes Type 1 in adults and children, and MODY diabetes. [5]</t>
  </si>
  <si>
    <t>There are national evidence-based treatment guidelines on hypertension detection and treatment and diabetes detection and treatment in Cambodia._x000D__x000D_The Department of Preventive Medicine of the Ministry of Health in Cambodia has published the 2015 Clinical Practice Guidelines for Arterial Hypertension in Adults and the 2015 Clinical Practice Guidelines for Type 2 Diabetes, both of which provide evidence-based guiding principles that are tailored to fit local circumstances. _x000D__x000D_The hypertension guidelines provide information on causes and risk factors for hypertension and how to manage the non-communicable disease while the diabetes guidelines aim to educate patients with diabetes and care providers on various topics ranging from blood pressure control to care delivery standards to healthy diet. [1] [2] There is also evidence of an evidence-based toolkit being developed for hypertension and diabetes in Cambodia. _x000D__x000D_Following the conducting of a survey and consultative meetings with key stakeholders, the toolkit which was supported by the WHO's Center for Health Development was then developed to help care providers at primary care levels in Cambodia to assess and manage patients with hypertension and type 2 diabetes. [3]</t>
  </si>
  <si>
    <t>In Saudi Arabia, there are national evidence-based treatment guidelines for hypertension and diabetes detection and treatment._x000D__x000D_The National Health Center and the Saudi Heart Association published guidelines in 2023 on the management of hypertension in addition to further recommendations produced in the same year by the Council of Health Insurance. [1] [2] _x000D__x000D_Under the auspices of the Saudi Health Council, the Saudi National Diabetes Center produced the "Saudi Diabetes Clinical Practice Guidelines" in 2021. [3]_x000D__x000D_No evidence of guidelines specifically for the city of Riyadh was identified on websites of the Saudi Ministry of Health, the Public Health Authority or the Royal Commission for Riyadh City. [4] [5] [6]</t>
  </si>
  <si>
    <t>Italy has national, regional and local evidence-based treatment protocols/guidelines that are focused on the detection and treatment of hypertension as well as of diabetes. By law, in Italy the regulation of guidelines for healthcare quality and safety is the responsibility of the National Institute of Health (Istituto Superiore di Sanità--ISS). [1] _x000D__x000D_Hypertension detection and treatment: at the national level, the ISS published a guideline on this topic as recently as in 2022. [2] Moreover, the Ministry of Health endorses the recommendations contained in the 2018 Guidelines of the European Society of Cardiology (ESC) and the European Society of Hypertension (ESH). [3] As Italy's healthcare system is a devolved one, it is run largely by the regional and provincial governments, many of which publish their own clinical guidelines. An example is the guideline on hypertension published by the regional health council of the Region of Tuscany, last updated in 2017. [4] At the local level, the Italian Society of Arterial Hypertension (SIIA), a leading patient advocate body, endorses the 2023 ESH Guidelines for the management of arterial hypertension, published by the European Society of Hypertension (ESH). [5] _x000D__x000D_Diabetes detection and treatment: at the national level, the ISS has published recently updated guidelines on both Type 1 and Type 2 diabetes, compiled by key local care provider organisations such as the Association of Diabetologists (AMD), the Italian Society of Diabetology (SID) and the Italian Society of Pediatric Endocrinology and Diabetology (SIEDP). [6] As with hypertension, several regional health councils, such as that of the Region of Emilia-Romagna publish their own guidelines on diabetes. [7]</t>
  </si>
  <si>
    <t>San Francisco has access to national and local evidence-based treatment protocols and guidelines for hypertension and diabetes detection and treatment. The American Heart Association and the International Society of Hypertension have developed guidelines specifically for the management of hypertension, providing healthcare providers with evidence-based recommendations for diagnosing and treating adults with hypertension. [1] _x000D__x000D_Similarly, the American Diabetes Association (ADA) has established guidelines for the management of diabetes, offering evidence-based recommendations for diagnosing and treating adults and children with diabetes. [2] Furthermore, the city of San Francisco has Adult Blood Pressure Monitoring Guidelines, that were approved in 2019. [3] Therefore, with both national organisations and local authorities providing evidence-based treatment protocols and guidelines for hypertension and diabetes, San Francisco earns a score of 2 on this indicator.</t>
  </si>
  <si>
    <t>The city of São Paulo has evidence of hypertension and diabetes guidelines in the Treatment Protocol for Arterial Hypertension and Type 2 Diabetes Mellitus in Primary Care, developed for clinicians and general practitioners focusing on monitoring guidelines for primary care. _x000D__x000D_The document focuses on diagnostic and cardiovascular risk classification, guidance on the pharmacological measures indicated for high blood pressure and type 2 diabetes, and considers the treatment of dyslipidemia, based on the drugs included in the List of Essential Medicines for the Basic Network, and it also brings the clinical control goals to be established as a result of the interaction between patients and health teams. [1]</t>
  </si>
  <si>
    <t>[1] S. Rollemberg, E. Rollemberg. Protocolo Clinico Prático para o Tratamento de Doenças Crônicas Não Transmissíveis na Atenção Primária à Saúde (APS): Hipertensão Arterial e Diabetes Melitus. São Paulo: Instituto Tellus; 2023. Available from: https://www.prefeitura.sp.gov.br/cidade/secretarias/upload/saude/Anexo6_Protocolo_Clinico_Pratico_Tratamento_DCNT_APS_Hipertensao_Diabetes.pdf</t>
  </si>
  <si>
    <t>The Health Insurance Review and Assessment Service (HIRA), a national government agency under the Ministry of Health and Welfare responsible for claims review and quality assessment of the National Health Insurance, has person-centred healthcare benefit quality assessment guidelines for the treatment of both hypertension and diabetes. _x000D__x000D_The 2020 HIRA Healthcare Quality Indicators, released in June 2022, lists five process indicators and two outcome indicators for the treatment of hypertension; and seven process indicators and two outcome indicators for the treatment of diabetes. _x000D__x000D_Hypertension process and outcome indicators include the average number of hospital visits, the average number of prescriptions of antihypertensive agents, the rate of ECG tests for new patients, and the pharmaceutical cost per day of antihypertensive agent prescribed. _x000D__x000D_Diabetes process and outcome indicators include lipid panel tests and the prescription rate of more than four ingredient groups. Hypertension process and outcome indicators cite the Korean Society of Hypertension's hypertension treatment clinical guidelines among the evidence. Similarly, diabetes process and outcome indicators' evidence include the Korean Diabetes Association's clinical guidelines. [1]</t>
  </si>
  <si>
    <t>There exist national guidelines for the prevention and treatment of hypertension as well as type 2 diabetes. _x000D__x000D_The Guidelines for the Prevention and Treatment of Hypertension in China have been revised and published in 2018. [1] The Guideline for the Prevention and Treatment of Type 2 Diabetes Mellitus in China has been revised and published in 2020. [2]</t>
  </si>
  <si>
    <t>There is evidence of both guidelines on hypertension and diabetes in Singapore. _x000D__x000D_The Ministry of Health Clinical Practice Guidelines on Hypertension (2017) recognizes the high blood pressure in the population above 40 years as a national question. Hence, it developed this guideline to all health care professionals to help on the diagnosis, classification, treatment and follow-up. The document contains tables indicating normal systolic and diastolic BPs and the BPs of different grades of hypertension. Furthermore, it explains in detail how to measure BPS and it highlights some secondary causes of the disease. [1] Also, Singapore claims the high incidence of diabetes among the population as the tenth cause of deaths in the country. In order to mitigate the disease, the Ministry of Health developed the Clinical Practice Guidelines on Diabetes Melitus (2014), whose primary purpose is to orient physicians on diabetes identification, classification and treatment. The document points out how diagnosis and screening shall be conducted. In addition, it recommends lifestyle modifications, how clinicians shall support their patients and it highlights the targets of the glycaemic control. [2]</t>
  </si>
  <si>
    <t>[1] There is evidence on guidelines for diagnosis and treatment of hypertension for adults in Australia. The guidelines are from the Australian Heart Foundation (2016). _x000D__x000D_[2] The Australian National Diabetes Strategy 2016-2020 assisted with the development of the Australian Evidence-Based Clinical Guidelines for Diabetes, conducted by the Living Evidence for Diabetes Consortium. The publication was approved by the Australian Government.</t>
  </si>
  <si>
    <t>There are evidence based national guidelines both for hypertension and diabetes._x000D__x000D_The Japanese Society of Hypertension has created clinical guidelines, the latest version was published in 2019. These guidelines are developed in accordance with the Japan Council for Quality Health Care's Manual for Clinical Guideline Development and are based on numerous evidence evaluations. _x000D__x000D_Recommendations are formulated based on this evidence, and issues where evidence is insufficient are explained at the consensus level. [1] The Japan Diabetes Society first released the Japanese Clinical Practice Guideline for Diabetes in 2004 and has been revised every three years. The latest version, released in 2019, was updated to include new clinical trials, evaluation results, and outcomes from large-scale clinical trials, incorporating the most recent evidence through revisions, additions, and modifications. [2] Clinical guidelines are standardised throughout Japan, and there are no local guidelines. However, local governments are making various efforts towards the prevention and improvement of lifestyle-related diseases, including hypertension and diabetes. [3]</t>
  </si>
  <si>
    <t>There is evidence of both hypertension and diabetes guidelines in Canada._x000D__x000D_In 2020, Hypertension Canada launched the 2020 guidelines for the prevention, diagnosis, risk assessment and treatment for hypertension in adults and children. [1]_x000D__x000D_Diabetes Canada has 2018 guidelines for the Prevention and Management of Diabetes in Canada. The Guidelines support Diabetes Canada's status as a leader in diabetes prevention and management, and help physicians guide their patients in the screening, prevention, diagnosis, care, management and education for type 1, type 2 and gestational diabetes. [2]</t>
  </si>
  <si>
    <t>Austria has both hypertension and diabetes guidelines._x000D__x000D_The Austrian Society of Hypertension (OGH) published hypertension treatment guidelines in 2019; they are available both on the website of the OGH and in The Central European Journal of Medicine. [1] [2]_x000D__x000D_The Austrian Diabetes Association has most recently published guidelines for treating diabetes; they are available on its website and in The Central European Journal of Medicine. [3] [4] _x000D__x000D_Both sets of guidelines are for detection and treatment and are based on scientific evidence available at the time of publication. [1] [2] [3] [4]</t>
  </si>
  <si>
    <t>At the national level, yearly reports on issues including hypertension across China are produced by the National Centre for Cardiovascular Diseases. [1] The National Centre for Cardiovascular Diseases also produces a handbook with guidelines for the prevention of hypertension and associated conditions intermittently published. _x000D__x000D_The last version, entitled "National Manual on Prevention, Treatment and Management of Hypertension at Primary Levels", was published in 2020. [2] These reports and guidelines also offer advice for treatment of hypertension for patients with diabetes such as the 2017 National Guidelines for the Management of Hypertension in the Community report. [3] _x000D__x000D_For diabetes, the Chinese Diabetes Society is the leading organisation combating diabetes at the national level in China, and produces guidelines. [4] The most recent guidelines are the "National Technical Guidelines for Prevention and Treatment of Diabetic Kidney Disease at Primary Levels" published in 2023. [5]_x000D__x000D_At the local level, national guidelines on hypertension are promoted by the local government. [6] Similarly, in Wuhan, as well as the wider province of Hubei, national guidelines on diabetes as produced by the Chinese Diabetes Society are promoted. [7] [8]</t>
  </si>
  <si>
    <t>There is evidence of treatment guidelines that are focused on hypertension detection and treatment. According to the WHO Hypertension Profiles 2023, Myanmar has guidelines for management of hypertension. [1] According to the website of the Myanmar Society of Hypertension, however, the Society is at the final stages of drafting the National Guidelines on Hypertension. [2] The Public Health Statistics Report 2017-2019 also shows that the Ministry of Health and Sports has clear guidelines for diagnosis of hypertension. [3]_x000D__x000D_There is evidence of diabetes guidelines. The Myanmar Society of Endocrinology and Metabolism (MSEM) provided the guideline on the management of Dyslipidaemia in Type 2 Diabetes Mellitus around 2014. [4] In 2018, the Ministry of Health published a guideline for the management of Tuberculosis and Diabetes given the association between the two diseases. [5] During the Covid-19 pandemic, the MSEM and Myanmar Diabetes Association (NMDA) collaborated to provide a Consensus Guideline for the Management of Diabetes during Covid-19 Pandemic. [6]</t>
  </si>
  <si>
    <t>Addis Ababa has health education programs and environmental protection initiatives, but there is no evidence of regular air pollution monitoring activities. _x000D__x000D_Addis Ababa lacks the necessary infrastructure to monitor air pollution. [1] [2] As of 2017, Ethiopia was still classified as having no data on urban monitoring of ambient air quality. [3] A 2019 report states that "while the Addis Ababa city government currently lacks an Air Quality Management Plan, the government of Ethiopia has recognized the need for one." [2] _x000D__x000D_The Addis Ababa city administration has developed a draft Air Quality Management Plan for the city. Some initiatives to improve air quality include the establishment of the "Addis Ababa Environmental Protection and Green Development Commission," the adoption of the "Addis Ababa Air Quality Management Plan," the Addis Ababa Non-Motorized Transport Strategy 2019-2028, and the National Improved Cookstoves Program (2013-2030). [3] The Non-Motorized Transport strategy aims to reduce air pollution by increasing the number, attractiveness, and usage of sidewalks, scooters, and cycling lanes. [4]_x000D__x000D_The national policy towards the adoption of safe, smokeless energy sources to mitigate indoor air pollution advocates for the safe disposal of hazardous wastes and proper handling of chemicals and heavy metals. [5]</t>
  </si>
  <si>
    <t>There is evidence of the existence of air pollution monitoring activities in Algiers and of initiatives to reduce adverse environmental impact of cities. However, there is no evidence of health education programmes for clean household energy._x000D__x000D_The National Observatory for the Environment and Sustainable Development (ONEDD) ensures the implementation of environmental policy within the framework of the National Environment Strategy (SNE) and the National Action Plan for the Environment and Sustainable Development. [1] In February 2024, ONEDD and the Korea International Cooperation Agency (KOICA) reportedly signed a cooperation agreement which aims to monitor air quality and renovate Algiers' air quality monitoring network with advanced technology and international support. [2]_x000D__x000D_There is no evidence of health education programmes for clean household energy in Algiers on the websites of ONEDD, the Algerian Ministry of Environment and Renewable Energy and on the dedicated Facebook page for DSP d'Alger. [1] [3] [4] _x000D__x000D_There is evidence of initiatives to reduce adverse environmental impact of cities. According to the website of ONEDD, Algeria has issued several regulations aimed at reducing adverse environmental impact of cities, such as Interministerial Order of January 2, 2012 regarding the list of crops that can be irrigated with purified wastewater; and Executive Decree No. 06-02 of 7 January 2006 regarding limit values, alert thresholds and air quality objectives in the event of air pollution. [5]</t>
  </si>
  <si>
    <t>There are city monitoring activities of air quality carried out by the Georgia Ambient Air Monitoring Program. [1] The Georgia Department of Natural Resources' Environmental Protection Division monitors air quality and provides daily forecasts for ozone and fine particulate pollution. [2] _x000D_There is no specific mention of city health education campaigns aimed at shifting to clean household energy in the provided information. [3] _x000D_Atlanta has several green initiatives in place to reduce its environmental impact. These include the "Clean Energy Atlanta" plan aimed at achieving 100% clean energy by 2035, the Atlanta BeltLine project converting a former railway corridor into a sustainable transportation option, a recycling program, a water conservation program, and efforts to reduce the city's carbon footprint by investing in electric vehicles and improving public transportation. [4]</t>
  </si>
  <si>
    <t>Real-time air quality data is provided by the Auckland Council. [1] Auckland has a comprehensive climate plan, Te Tāruke-ā-Tāwhiri, which outlines the city's approach to reducing emissions and adapting to the impacts of climate change. [2]_x000D__x000D_No evidence found about health education programmes for clean household energy.</t>
  </si>
  <si>
    <t>In 2013 the Bangkok Metropolitan Administration published a Public Health and Environmental Strategy, which is overseen by the BMA's Strategy and Evaluation Department. The strategy includes a target that by 2032 "at least 80% of Bangkok residents living in inner-city areas will have fresh air equivalent to at least 200 days per year." [1] The BMA has also established a PM2.5 Air Pollution Prevention and Solution Committee, which is chaired by the Governor of Bangkok. [2] The city reports air quality data in real time from the city's air pollution monitors on http://www.bangkokairquality.com/bma/index.php. _x000D__x000D_Access to LPG used in cooking is near universal in Bangkok: almost no-one uses biomass. _x000D__x000D_A five-year study conducted by the German Agency for International Cooperation (GIZ) found in 2022 that introduction of a congestion charge of THB60 ($1.65) in the Chatuchak and Pathumwan districts of Bangkok could cut traffic congestion by around 20%, and reduce PM2.5 by up to 36%. However, at the time of writing the Bangkok Metropolitan Administration has yet to implement the policy recommendation. [3] [4]</t>
  </si>
  <si>
    <t>China does have a national action plan on air pollution, and the municipal government follows suit in implementing its initiatives and monitoring infrastructure to tackle air pollution in Beijing. However, there are no health education programs for clean household energy at the city level._x000D__x000D_Nationally, the government targets a 10% reduction in PM2.5 density and restricting heavy pollution days to 1% or less annually by 2025, with a particular regional focus on major economic clusters. [1] This initiative prioritises air quality and environmental monitoring, aiming at combating pollution, reducing carbon emissions, fostering green development, and sustaining economic growth. [1]_x000D__x000D_In Beijing, aside from a local contingency plan, the city is part of the ongoing initiative "Low Emission Zones (LEZs)", a program that aims to reduce air pollution and improve air quality within specific geographical areas across China. [2] [3] The city is equipped with an advanced integrated system for monitoring air quality: more than 1000 sensors can be found throughout the city. [2]_x000D__x000D_There is no municipality-level initiative for clean household energy implemented in Beijing. However, in 2013, the country launched the China Clean Stove Initiative (CSI) program, in partnership with the World Bank, to expand the availability of clean cooking and heating stoves for (predominantly rural) impoverished families who are expected to persist in their use of solid fuels past the year 2030. [4]</t>
  </si>
  <si>
    <t>There is evidence of air pollution monitoring activities, of initiatives to reduce adverse environmental impacts in Berlin, and of a federal law to mandate the adoption of green energy in households._x000D__x000D_In 2019, Berlin adopted the "Air Quality Plan for Berlin, 2nd update". [2] The plan includes measures to retrofit city vehicles, encourage electric vehicle adoption among commercial transportation, the installation of after-treatment systems to reduce pollution and the encouragement of walking, cycling and public transportation use in the city. [1] Annex C of the plan, "Details of the Monitoring Network", lists the different sites that will monitor air quality to assess the impact of the plan, as well as the specific chemicals they will monitor. [2] The Senate Department for Urban Mobility, Transport, Climate Action and the Environment also maintains the "Berlin air quality measuring network", which provides real-time data on air quality throughout Berlin and a list of operational air quality measuring stations. [3]_x000D__x000D_Germany has adopted the Building Energy Act (GEG), which came into force in 2020 and was most recently amended in 2024. The GEG requires that renewable energy be used to supply electricity and heating in buildings. [4] As part of the 2023 revision of the GEG, starting in 2024, the German government offers a subsidy of 30% of the cost of installing a climate-friendly heating system, which increases by an additional 20% if the system replaced is old and relied on fossil fuel to operate. [5] Additionally, the Federal Ministry for Economic Affairs and Climate Action also administers several programmes encouraging the shift to clean household energy. [6] These programmes include free or subsidised consultations as well as awareness raising measures targeted at the general public. [6]</t>
  </si>
  <si>
    <t>There is evidence of Bogotá's activities to monitor the air quality, support to clean household energy, and programs to reduce adverse environmental impacts. _x000D__x000D_In the "Bogotá's Environment", a government's webpage, it is possible to track the IBOCA (Bogotá's Air Quality Index) in real time. [1] Also, Colombia has the Climate Act Plan, whose primary purpose is to reduce the country's emissions by 15% until 2024. The plan recognizes residential and commercial energy as the second main driver of climate change. So, Bogotá's government aims to incentivize the use of cleaner energy through tax benefits. [2] As previously mentioned, as part of the Climate Act Plan, Bogotá aims to reduce the adverse effects of climate change through the use of non-conventional energy sources. [3]</t>
  </si>
  <si>
    <t>HungaroMet, a Hungarian state owned organisation specialised in meteorology, publishes a map updated weekly on the state of air-pollution across Hungary. Budapest has an overview of air pollution from multiple measurement points depicting the state of pollution and prediction on the evolution of the pollution. [1] _x000D__x000D_The Budapest Utilities, HungAIRy group, Hummus Association, the Budapest city government and Air Workgroup initiated a campaign in 2022 called "Don't Burn!", with the goal of raising awareness of the harmful effects of burning household waste. [2] In addition, Budapest municipality's City Hall also opened in 2021 a public advisory office called Green Budapest, which provides advice on heating techniques and composting, and provides information on domestic and EU tenders aimed at improving air quality. [3]_x000D__x000D_The Budapest Climate Strategy and the Sustainable Energy and Climate Action Plan, published in March 2021 and valid until 2030, has plans to reduce emissions and air pollution, through the following goals: 1) "Improving the energy efficiency of buildings, industrial production and service facilities, and increasing the share of renewable energy sources" 2) "Improving the energy efficiency of transport infrastructures and supporting and developing environmentally friendly modes of transport", 3) "Increasing and improving the quality of green areas in order to improve the carbon sequestration capacity". [4]</t>
  </si>
  <si>
    <t>There is evidence of the existence of air pollution monitoring activities in Cairo. Decree No. 338 of 1995 issuing the Implementing Regulation of Egypt's Environment Law states that the Egyptian Environmental Affairs Agency (EEAA) is the main authority responsible for the Environmental Monitoring Networks' activities. [1] The network covers Cairo; it has 120 monitoring stations across the country and 55 in Greater Cairo. [2] [3] [4] The webpage does not specify a year for this data, but it appears to have been published in 2023. [4]_x000D__x000D_There is no evidence of city health education campaigns for shifting to clean household energy on the websites of EEAA and the Cairo Governorate. [5] [6]_x000D__x000D_There is evidence of initiatives to reduce adverse environmental impact of cities. For example, in 2021, the World Health Organization (WHO) Regional Centre for Environmental Health ACrion (CEHA), in collaboration with Egypt's WHO country office and the Egyptian Ministry of Health and Population, organised a national training workshop to assess the health impacts of air pollution in Egypt. [7] Egypt has also in place laws and regulations concerning Environmental Protection; Waste Management; Disposal of Liquid Waste. [8]</t>
  </si>
  <si>
    <t>There are city monitoring activities of air quality in Sri Lanka. The Automated Mobile Air Quality Monitoring Unit (AMAQMU) used for monitoring air quality in Colombo is a fully equipped mobile laboratory that monitors air quality. It continuously measures common air pollutants related to health effects, such as Carbon Monoxide (CO), Sulphur Dioxide (SO2), Nitrogen Oxides (NOx), Volatile Organic Compounds (VOC), Ozone (O3) and Particulate Matter (PM). [1] [2]_x000D__x000D_There are no health education programmes for clean household energy under the Colombo Municipal Council. However, there have been programmes to promote green energies and renewable energy in Sri Lanka under the Government of Sri Lanka in collaboration with international non-governmental organisations. [3] [4] [5]_x000D__x000D_There are clean city initiatives to reduce the adverse environmental impact of cities, e.g. monitoring of vehicle emission testing, promotion of environment friendly transport modes, traffic management, implementation of indoor air quality management program, the 'Save a tree for Colombo' program which encourages planting trees in Colombo in an effort to clean the air in the city etc. [6] [7]</t>
  </si>
  <si>
    <t>Delhi has 26 real time Ambient Air Quality Monitoring Stations which are connected to the central network of monitoring stations. [1] Delhi government also has awareness programs to shift to clean household energy, the advocacy for Unnat Chullah is a national programme to develop and deploy improved biomass stoves for cooking. Advocacy on use of Solar Energy in households and in commercial spaces has also been a part of Delhi Government campaign. In line with this the Delhi Government also launched the Delhi Solar Policy in January 2024 to encourage clean energy adoption in the city. [2] There are also various initiatives to reduce adverse environmental impact e.g. closure of thermal (coal based) power plants and promotion of gas based power plants, increase Green cover in Delhi, ban on bursting firecrackers except on festivals, subsidy to battery operated vehicles and e-rickshaws, only vehicles compliant with BS-VI emission standards are being registered in Delhi etc. [1]</t>
  </si>
  <si>
    <t>Bangladesh's Department of Environment has three continuous air monitoring stations (CAMS) in Dhaka. A network of CAMS transmits air quality and meteorological data every minute to a central data station (CDS) located at the Department of Environment's headquarters in Agargaon, Dhaka. This data is collected using a GPRS system and stored in an SQL database. After retrieval, the data undergoes a quality assurance process to identify and remove outliers or invalid entries. Subsequently, the data is compiled, processed, and analysed statistically. [1]_x000D__x000D_The Clean Dhaka Master Plan (2018–2032) was developed by both the north and south city councils of Dhaka with the Japan International Cooperation Agency (JICA) to overcome critical cleanliness issues in the city. The plan proposes and sets a budget for an integrated waste management facility compound known as "Eco-Town". Resource management measures to be introduced include Waste-to-Energy (WtE) composting, recycling, and promotion of reduction and reuse of waste. The plan also aims to reduce the waste in landfills through calculated incineration. [2]_x000D__x000D_No evidence of health education programmes for clean household energy were identified on the websites of the Dhaka North City Corporation, the Ministry of Health and Family Welfare, or the Directorate General of Health Services (DGHS). [3] [4] [5]</t>
  </si>
  <si>
    <t>The City of Helsinki (CoH) monitors air quality. Helsinki Region Environmental Services (HSY), created by the municipalities of the Helsinki Metropolitan Area, monitors air quality with its measurement stations in 11 locations. The current and forecasted air quality is published on a webpage together with information on trends and periodical reports. [1] [2]_x000D__x000D_There are city-level health education campaigns for shifting to clean household energy in Helsinki. In line with the Carbon-Neutral Helsinki Emission Reduction Program's goal to be carbon neutral by 2030, have zero emissions by 2040, and strive for carbon negativity thereafter, the CoH has a website to encourage residents and housing companies to improve energy efficiency and shift to renewable energy. [3] [4] The website offers information on initiation process, examples, costs and financing options of energy renovation, and free advice by CoH energy experts. [5] HSY also offers free advice on the matter through the website "Climate Info", which also offers online courses on clean and efficient household energy and information on remote and on-site training for residents, housing managers, small houses and housing companies. [6] [7] [8]_x000D__x000D_The CoH has clean city initiatives to reduce the adverse environmental impact of the city and air pollution. The Carbon-Neutral Helsinki Emission Reduction Program shows traffic as the second largest emission sector with 24%, and the CoH aims to reduce this by promoting the use of electric cars by increasing the charging network; reducing emissions from heavy traffic with equipment choices and environmental criteria; participating in the preparation of follow-up studies of the vehicle traffic pricing system; increasing parking fees and expanding parking fee zones; promoting cycling and walking and the use of public transport; shortening journeys with compact city and traffic planning, and potentially introducing CO2-free road transport areas for accelerating the electrification of cars. [3] [9] [10]</t>
  </si>
  <si>
    <t>Air pollution monitoring activity: Ho Chi Minh Environmental Protection Agency: The monitoring system in Ho Chi Minh City is responsible for sampling and analysing at 34 air environment quality monitoring locations; 22 locations to monitor water quality of Saigon - Dong Nai river; 46 locations inside the city and 34 suburban and inter-provincial locations for monitoring canal water quality; 9 locations to monitor the quality of coastal sea water. [1]_x000D__x000D_Health education program for clean household energy: One of the contents of mechanisms and policies in Resolution No. 98/2023/QH15 on piloting a number of specific mechanisms and policies for the development of Ho Chi Minh City recently voted for by the National Assembly, headquarters of administrative agencies and public locations in Ho Chi Minh City will be allowed to install rooftop solar power systems. [2]_x000D__x000D_Initiative to reduce adverse environmental impact of the city: Ho Chi Minh City officially announced a plan to support people converting from fossil fuel motorbikes to electric ones. It is expected that this program will start in the first quarter of 2024. [3]</t>
  </si>
  <si>
    <t>The Government announced the Clean Air Plan for Hong Kong 2035 in June 2021 setting out the long-term goals and strategies to further enhance the air quality. [1] Efforts to alleviate roadside air pollution include replacing diesel vehicles with more environmentally friendly types, tightening the standards for vehicle fuel and vehicle exhaust emissions, promoting the use of electric vehicles etc. [2]_x000D_The Environmental Protection Department (EPD) operates an air quality monitoring network in Hong Kong, which comprises 18 fixed monitoring stations. [3]_x000D_No existing health education programmes for clean household energy are found.</t>
  </si>
  <si>
    <t>Istanbul has policies and initiatives aiming to reduce air pollution and improve air quality. Overarching legislation on air pollution is set at the national level--such as the Regulation on the Monitoring of Greenhouse Gas Emissions and the Regulation on Air Pollution--with a mandate for local implementation. [1] _x000D__x000D_Through its Environmental Protection Directorate, the Istanbul Metropolitan Municipality conducts air pollution reduction measures as well as monitoring. For example, in line with national laws, it has banned the use of poor quality coal in the city and promotes the use of cleaner natural gas. [2] In line with European Union directives and standards, monitoring of several parameters of air quality is conducted at around three dozen stations throughout the city. [3] _x000D__x000D_Istanbul promotes health education programmes for clean household energy, particularly through its Istanbul Climate Change Action Plan (ICCAP) of 2018, which mandates the municipal authorities to work with private- and public-sector stakeholders to raise the "...awareness and interest of citizens regarding mitigation related topics such as public transportation, clean energy and energy efficiency." [4]_x000D__x000D_Istanbul has several initiatives to reduce the adverse environmental impact of cities. The ICCAP is key in this regard, as it seeks to mitigate the negative effects caused by the interaction of climate change with the city's "urbanisation dynamics"; this is to be achieved mostly by reducing the accumulation of greenhouse gases by 33% over its business as usual (BAU) scenario by 2030. To that end, the main mitigation actions are to: increase energy efficiency in buildings and industry; promote renewable energy; improve waste incineration; and expand the network of public transport, cycling and pedestrian routes. [4]</t>
  </si>
  <si>
    <t>Monitoring air pollution in Jakarta is the responsibility of the DKI Jakarta Province Environment Department (DLH). The DLH had installed 21 air pollution monitoring stations in the province by 2023, and planned a further four monitoring units in 2024. [1] This air pollution data is available to the public in real time on the JAKI application, the city's official mobile app. [2] In August 2023, Jakarta Governor Hero Budi Hartono signed a new air pollution strategic plan for the city spanning 2023-30. The strategy established a new working group to oversee implementation of targets through 2030, including several legislative and regulatory reform targets and the dates by which they are to be achieved. For example, by 2024 the strategy required the government to prepare emissions inventory guidelines and by 2027 50% of vehicles operating on the TransJakarta public transport network must be electric vehicles. DKI Jakarta's Directorate General for Electricity has reported that near-universal access exists to electricity and clean cooking fuels. [3]</t>
  </si>
  <si>
    <t>The City of Johannesburg (CoJ) has air pollution monitoring activities and initiatives to reduce adverse environmental impact of cities. No evidence of health education programmes for clean household energy was found on the CoJ's website and reports. [1] [2] [3]_x000D__x000D_CoJ has eight Air Quality and Monitoring stations across all its regions. All data collected is sent to the South African Air Quality Information System, which is publicly available. [4] [5] [3] _x000D__x000D_The CoJ website makes available a 2017 Air Quality Management Plan, however the 2021/22 Annual Report of the CoJ Council says that the Plan was adopted in 2020. [6] [2] The Plan aims to achieve acceptable air quality levels in the CoJ, setting objectives such as regulating emission sources within the city to achieve compliance with air quality requirements and empowering and informing CoJ citizens about air quality through education, awareness and communication programmes. The Plan does not address clean household energy. [6] _x000D__x000D_The CoJ's 2021 Climate Action Plan also aims to tackle air quality, setting measures such as enhancing the City's human resource capacity to enable better enforcement of the air pollution control by-law and increase air quality monitoring capacity within the city. [7] CoJ's Air Pollution Control By-Laws, of 2021, established the prohibition and limitation of air pollution, set the necessity of permits for several activities that may cause pollution, prohibits open burning and driving vehicles powered by diesel fuel on a public road if they emit dark smoke, etc. [8] CoJ's 2022/23 Annual Report says that the city has started with the implementation of the Air Pollution Control By-laws, and during the financial year six permits were issued in line with its framework. It adds that the number of good air quality days in the year reached 50%. [9]_x000D__x000D_Finally, CoJ is part of the African Cities for Clean Air 2022-2024 programme, which supports cities in the Africa region to take action on air pollution, assisting efforts to improve air quality and public health while reducing carbon emissions. [10]</t>
  </si>
  <si>
    <t>As per a study conducted by the Department of Environmental and Earth Sciences, Bahria University, Karachi, there are twenty-four (24) air monitoring stations in four major industrial zones of Karachi. [1]_x000D__x000D_In Karachi, there are city health education campaigns aimed at promoting the shift to clean household energy. Additionally, a project funded by the Nordic Climate Facility in partnership with WWF-Pakistan, WWF-Sweden, Karachi Metropolitan Corporation (KMC) and K-Electric successfully introduced renewable energy solutions in Karachi, benefiting over 2,600 households and reducing CO2 emissions significantly. [2]_x000D__x000D_Climate Action Plan for Karachi City (K-CAP) is an initiative launched by the United Nations Development Programme (UNDP) in collaboration with C40 Cities Climate Leadership Group (C40), Karachi Metropolitan Corporation (KMC), and The Urban Unit. The plan focuses on low-emission development and strengthening climate change governance. The goal is to make Karachi a carbon-neutral city by 2050. [3] As per media reports, Karachi is fighting for climate in Pakistan through the National Determined Contributions (NDCs 2021). The city engaged in several climate change adaptation and mitigation strategies ranging from improving the public transport system to reach a goal of zero emissions, integrating the gender perspective in the "Safe BRT Travel Program", combating climate change impacts using Urban Forests and, managing solid waste to mitigate flooding risks. This project is expected to reduce 77,979 tons of CO2 emissions per year. [4] The Karachi Metropolitan Corporation (KMC) cleaned 38 big drains in the city — with the initiative falling under the World Bank (WB)'s 'Competitive &amp; Livable City of Karachi (CLICK)' project. [5]</t>
  </si>
  <si>
    <t>While there is no standalone programme/plan of the Kathmandu Metropolitan City related to air quality monitoring, it has adopted the Kathmandu Valley Air Quality Management Action Plan (KVAQMAP) - 2020. Kathmandu valley constitutes Kathmandu Metropolitan CIty and 17 other municipalities. KVAQMAP is a five-year plan proposed by the Department of Environment (DoE) within the Ministry of Forest and Environment and approved by the Cabinet of the Government of Nepal. It aims to mitigate air pollution by addressing causes, strengthening institutional capacity, and increasing awareness about and citizen participation in addressing this problem. _x000D__x000D_The strategies of the plan include, but not limited to:_x000D_- Mitigate Air Pollution from Household Activities_x000D_- Develop and Implement Public Awareness Activities _x000D_- Develop Air Quality Management Decision Support Systems _x000D_- Strengthen Policy and Legal Structures for Air Pollution Mitigation _x000D_- Improve Management of Air Quality Emergencies. [1]_x000D__x000D_However, concrete evidence on the implementation of these strategies by the Metropolitan City could not be retrieved. _x000D__x000D_While there is evidence that Kathmandu Metropolitan City has taken initiatives to clean the city, no specific initiatives to reduce adverse environmental impact of cities could be located. [2]</t>
  </si>
  <si>
    <t>The Government of West Bengal has Air Quality monitoring stations in the state and Air Quality network which includes Kolkata city. The West Bengal Pollution Control Board (WBPCB) has made all semi-automatic air monitoring stations functional. These monitoring stations operate in such a way that the air quality of Kolkata is being monitored every day. WBPCB is also operating two Continuous Ambient Air Quality Stations. [1] Kolkata has awareness programmes to shift to clean household energy. Accordingly, New Town Region in Khas already implemented solar energy in households and biomass converters to generate energy. [2] Various initiatives have been rolled out in the Comprehensive Air Quality Action Plan to reduce the adverse environmental impact e.g. phasing out of commercial vehicles more than 15 years old and only registering Bharat Stage-IV emission norm compliant vehicles in Kolkata, traffic re-engineering to remove congestion from densely populated/most frequented road stretches, Operationalisation of E-Rickshaws and E-Carts as the mode of transport for last mile connectivity, open burning of coal and wood prohibited, complete banning of open burning of solid waste including dry leaves, plantation of new leafy saplings in various areas of the city etc. [3]</t>
  </si>
  <si>
    <t>The Air Quality Monitoring Department of the Environment Public Authority of Kuwait is charged with monitoring air quality in the country. Articles 76 and 79 issued by the Environment Public Authority relate to air quality zone compliance and emission sources and evaluation respectively. In addition, the Beatona portal (the Official Environmental Portal of Kuwait) collects environmental data, including data on air quality. These structures have been put in place to both raise awareness about environmental issues and to reduce adverse environmental impact. Aside from monitoring air quality, the Environment Public Authority of Kuwait is involved in projects related to coastal environment, maritime environment, biological diversity, wasters management, as well as initiating educational projects such as "Beatona'' aimed at "creating consciousness about a responsible environmental behaviour among the people of Kuwait." [1] [2] [3]_x000D_ _x000D_The Kuwaiti government has cooperated with the UN on running education campaigns on household desalination in order to improve efficiency for water conservation. This programme was started in 2016. [4]</t>
  </si>
  <si>
    <t>There is no evidence of air pollution monitoring activities in Lagos. The 'Lagos State Climate Risk Assessment' of 2021 cites international air quality figures which identify Lagos as among the top five worst ranked cities for air pollution. [1] The 'Lagos Climate Action Plan: Second Five Year Plan 2020-2025' contains several initiatives to reduce pollutant concentrations, however, there is no evidence of any air pollution monitoring activities. [2]_x000D__x000D_The Lagos State Ministry of Environment &amp; Water Resources (MOE) is responsible for air pollution policy, and the Lagos State Urban Renewal Agency (LASURA) is responsible for implementation of urban renewal policies. [3] [4] A review of the MOE, LASURA and Lagos Ministry of Health (MOH) websites found no evidence of air pollution monitoring activities. [3] [4] A 2023 review of global air quality funding noted that Lagos had received little-to-no outdoor air quality funding in the previous five years. [5] _x000D__x000D_Lagos does not have health education programmes for clean household energy. The 'Lagos Climate Action Plan: Second Five Year Plan 2020-2025' contains broad actions to "Develop policies that promote decentralised renewable energy generation", but there is no evidence of relevant programmes. [2]_x000D__x000D_Lagos has initiatives to reduce the adverse environmental impact of cities. In 2022, Lagos committed to improving air quality by signing onto the C40 Cities clean air declaration. [6] Launched in 2022, the C40 African Cities for Clean Air Initiative works with Lagos State to accelerate the implementation of air quality management efforts. [7]</t>
  </si>
  <si>
    <t>In the city there is the existence of air pollution monitoring activities, health education programmes for clean household energy as well as the existence of initiatives to reduce adverse environmental impact of cities._x000D__x000D_The London Air Quality Network (LAQN) coordinates and improves air pollution monitoring in London. LAQN comprises over 100 continuous monitoring sites. Measurements are used to assess pollution across the city and track trends over time. Londonair is the website that has information on air pollution across London and south east England that can be used by policy makers, public and scientists. [1]_x000D__x000D_The Ultra-Low Emission Zone (ULEZ) is the largest clean air zone in the world and aims to tackle air pollution in the capital. In 2023 ULEZ was expanded to cover all London boroughs. [2] In a one year report of the ULEZ initiative, it has highlighted that pollution emissions have reduced significantly and air in the zone is substantially cleaner. [3]_x000D__x000D_Reduction and Recycling plans are developed by local authorities to minimise waste and boost recycling locally as well as supporting programmes across London to improve free drinking water, helping reduce the number of single use plastic in the capital. [4] [5] Some London boroughs have introduced campaigns that either educate residents about clean air e.g. Camden and Lewisham (through borough specific clean air action plans) or simplifying energy for residents' e.g, as seen in Hounslow - to improve domestic energy efficiency in the borough by supporting the understanding of residents. [6] [7] [8]</t>
  </si>
  <si>
    <t>The Community of Madrid has comprehensive policies on reducing air pollution and improving air quality. These policies sufficiently meet all three criteria in this indicator to merit a score of 3, as follows:_x000D__x000D_1. Air pollution monitoring: the Community of Madrid prioritises the improvement of air quality through different regional planning instruments, such as the Air Quality and Climate Change Strategy of the Community of Madrid, called Plan Azul+ (2013-2020). The Community prepares an annual Inventory of Emissions into the Atmosphere in the Community of Madrid, which measures the main pollutants as defined by international standards; to monitor air quality, the Community has an Air Quality Network, which measures the concentration levels of the main atmospheric pollutants. [1] _x000D__x000D_2. Campaigns to promote clean household energy: In January 2024, a new policy, called the Energy, Climate and Air Strategy of the Community of Madrid (EECAM), came into force, succeeding an earlier regional Energy Plan and running until 2030. The EECAM's priority pillars are to reduce emissions, manage air quality and effectively respond to climate change--making it the successor to the Plan Azul + as well. It has seven strategic objectives, three among which are; to promote energy efficiency and self-consumption of renewables, to promote the growth of renewable energies, and to promote cultural change for the transition towards a decarbonised society. [1] , [2] _x000D__x000D_3. Schemes to reduce environmental impact of cities: The Community of Madrid operates a scheme to reduce greenhouse gas emissions and improve air quality by promoting zero-emission mobility. Updated and expanded by law in mid-2021, the scheme takes the form of subsidies/rebates to persons and micro-businesses for using energy-efficient vehicles. The scheme has a budget of over EUR2m annually. [3] The City Council of Madrid also has a related initiative-- its Plan of Sustainable Mobility (Plan de Movilidad Sostenible), in effect since February 2022, which among other objectives aims to reduce air pollution through such means as promoting the use of low-emission vehicles, increasing the use and efficiency of public transport, and encouraging "...responsible mobility through education, information and governance." [4]</t>
  </si>
  <si>
    <t>Manila has initiatives in place to monitor air quality and reduce environmental impact on health._x000D__x000D_Manila has a program called Air Quality Dynamics run by the Manila Observatory, which monitors and models air quality to guide policy development. The observatory uses gas and aerosol sampling technologies to assess the state of urban air quality. In 2020, three air quality sensors were installed in different locations around the city to monitor levels of fine particulate matter (PM2.5) and other pollutants. [1] [2] The Department of Environment and Natural Resources - National Capital Region (DENR-NCR) in Manila has also implemented a "Clean Air Program", which aims to implement the Philippine Clean Air Act and ensure that the air quality in the Philippines meets the minimum national standards. [3]_x000D_ _x000D_The Metro Manila Development Authority (MMDA) has instituted a program known as the Unified Vehicle Volume Reduction Program (UVVRP), colloquially referred to as the Number Coding Scheme. This initiative imposes restrictions on both private and public utility vehicles, prohibiting them from using the roads based on the final digit of the vehicle's licence plate. The enforcement of this scheme is operational from Monday through Friday. This measure is part of the city's efforts to manage traffic congestion and improve transportation efficiency. [4]_x000D__x000D_No evidence of city-level health education programmes for clean household energy are mentioned in the Philippine Energy Plan 2022-2040. [5] No evidence of local-level initiatives were identified on the websites of Manila city and of the MMDA. [6] [7]</t>
  </si>
  <si>
    <t>There is evidence of an air pollution monitoring network across the state of Victoria, including several monitoring sites within the city of Melbourne, which categorise air quality and report information on pollutant types and their concentrations. [1] The Inner Melbourne Air Monitoring project works with citizen scientists, including local councils, school and community groups to build understanding of the impact of air pollution. Monitoring equipment is installed in areas of community concern. [2] The City of Melbourne has developed a Climate Change Mitigation Strategy, which commits to reducing greenhouse gas emissions and powering the city with 100% renewable energy by 2050. A range of programs are offered to support citizens in reducing their emissions, including learning about renewable energy, sourcing green energy for their homes, learning about low-emission travel options, and green options for businesses. [3] The Victorian Energy Upgrades program is a statewide energy efficiency program provided by the government, where households and businesses can receive rebates or discounts on energy saving products in order to reduce greenhouse gas emissions. [4] The High Life Series is a free workshop coordinated by the City of Melbourne and Strata Communities Australia for owners and renters of apartments to better manage their energy and water usage, as well as waste. [5]</t>
  </si>
  <si>
    <t>Mexico City has a robust system for monitoring air quality. The city's automatic air quality monitoring network, known as Red Automática de Monitoreo Atmosférico (RAMA), has 34 automatic monitoring stations located throughout the Mexico City metropolitan area. [1] [2]_x000D__x000D_The Diagnosis of Energy Transition of Mexico City mentions some of the measures proposed for the residential sector. [3] This includes dissemination of energy saving information for the population. Information dissemination measures aim to raise awareness among the general population on the environmental and economic impact generated by energy consumption habits. [3]_x000D__x000D_The city has also expanded public transit options to include low- and zero-emissions options like the Metrobús and Ecobici bicycles. In 2017, a new tool was unveiled to forecast high levels of air pollution. Young artists are using air-purifying paint to create murals for awareness about air quality. [4] The city has implemented a scheme that restricts travel in a designated geographic zone for one or two days during the week based on the last digit of a vehicle's licence plate number. [5]</t>
  </si>
  <si>
    <t>Air pollution monitoring is conducted by the Federal Service for Hydrometeorology and Environmental Monitoring of Russia. It also operates, and is based in, Moscow. [1] _x000D__x000D_There is evidence of initiatives to reduce adverse environmental impact of cities. Article 114 of the Russian Constitution states that the Russian Government "implements measures aimed at creating favourable living conditions for the population, reducing the negative impact of economic and other activities on the environment" and "creates conditions for the development of a system of environmental education for citizens and the cultivation of environmental culture". [2] The Organisation for Economic Co-operation and Development (OECD) notes that the city of Moscow has made significant progress in its sustainable development goals as part of the 2030 Agenda, in particular the Master Plan 2010-2035, the Investment Strategy 2025 and the Smart City 2030. [3] _x000D__x000D_There is however no evidence in the above mentioned sources or the Ministry of Health and Moscow Department of Health of health education programmes specifically focused on clean household energy. [4] [5]</t>
  </si>
  <si>
    <t>The Government of Maharashtra has Ambient Air Quality monitoring stations in the state and Air Quality network which includes Mumbai city. [1] _x000D__x000D_The Maharashtra government has awareness programs to shift to clean household energy. The government has been promoting biogas for cooking and use of solar power for electricity at households in the state. [2] _x000D__x000D_There are also various clean city initiatives to reduce the adverse environmental impact for e.g. Mumbai Green Yodha-which focuses on planting saplings in the city, Women4climate program which is aimed at bringing all women residents of Mumbai under one roof to fight climate change, the Mumbai EV cell- a joint initiative of the Brihanmumbai Municipal Corporation and World Resources Institute (WRI) India to accelerate electric mobility and decarbonize the city's transport sector etc. [3]</t>
  </si>
  <si>
    <t>There is evidence of limited air pollution monitoring activities in Nairobi through low-cost PM 2.5 monitors hosted across the city, including in Nairobi City County Government offices, Safaricom Offices, UNEP offices, as well as anonymous contributors. The data is available on the Nairobi County Government website and IQAir's website. [1] [2]_x000D__x000D_There is no evidence of the existence of health education programmes for clean household energy in Nairobi on the Nairobi City County Government website. [3] There is a national Household Air Pollution, Health and Prevention Manual developed by the Ministry of Health for Community Health Volunteers, which has a module on Household Air Pollution Prevention Strategies. [4]_x000D__x000D_Nairobi City County Government published the Nairobi City County Air Quality Act in 2022. This act is targeted at owners or occupiers of premises involved in activities and industries that are likely to cause air pollution, incentivizing reduction of air pollutants emissions. It requires the installation of an air pollution control system, as well as periodic and regular monitoring of air pollution. The act bans the burning of certain materials and litter without prior authorisation. [5]</t>
  </si>
  <si>
    <t>There is evidence of air pollution monitoring in New York City. The Environment and Health Data Portal offers real-time data on air quality in NYC, based on PM2.5. [1] In addition, NYC has the ElectrifyNYC initiative, a free program to help New Yorkers adopt green energy solutions in their homes. Among the green solutions are installing heat pumps and solar devices and converting oil and gas to clean energy. [2] New York has the PlanNYC: Getting Sustainability done, a program to tackle climate change and produce cleaner air, greener jobs, and safer homes in the city. [3]</t>
  </si>
  <si>
    <t>Air pollution monitoring activities and initiatives to reduce adverse environmental impact of air pollution in Osaka exist._x000D_To protect human health and preserve the living environment, "environmental standards" are established as desirable criteria under the Basic Environmental Law (Law No. 91 of 1993). Then, in accordance with the Air Pollution Control Act, emission standards are set for air pollutants discharged or dispersed from factories or industrial facilities, based on the type of substance and the type/scale of the facility. [1] The Air Pollution Control Act mandates prefectural governors to continuously monitor air pollution levels. The Osaka Prefectural Government monitors the air pollution situation within the prefecture in accordance with Article 22 of the Air Pollution Control Act. While the number of monitoring points varies depending on the substance, measurements are conducted at approximately 60 locations, and the information is made available on websites and other platforms. [2] _x000D__x000D_In Japan, energy consumption in the household sector is dominated by electricity, city gas, and liquefied petroleum gas (LP gas), accounting for nearly 85% of the total consumption. Kerosene, which is a direct contributor to air pollution, represents only 14.8% of household energy consumption (as of the fiscal year 2021). [3] Therefore, at both national and local levels, there is no discussion or implementation of Clean Energy Shift initiatives or Education Programs focused on clean energy in households from a health perspective. _x000D__x000D_On the other hand, efforts to achieve a decarbonized society and ensure stable energy supply have been underway across various sectors. The Hanshin Expressway Corporation implements environmental road pricing on the highways between Kobe and Osaka, where heavy traffic and frequent congestion are observed. This pricing strategy offers discounts to freight vehicles that bypass the city centre and instead use the coastal area routes, aiming to reduce congestion in urban areas. [4] In December 2023, in conjunction with the "Air Pollution Prevention Promotion Month" set by the Ministry of the Environment, Osaka City conducted an open house event for the continuous air quality monitoring system. This initiative aimed to raise public awareness about air pollution prevention efforts. [5]</t>
  </si>
  <si>
    <t>The city of Paris has policies and initiatives to monitor and reduce air pollution and improve air quality. There is little evidence of tangible schemes to educate the public in using clean household energy._x000D__x000D_While the region of Île-de-France, which encompasses Paris, has its own initiatives on controlling air pollution (such as the Regional Plan for adaptation to climate change), these focus more on protecting the physical environment than on the health of residents. [1] Likewise, the regional health plan focuses on addressing the effects of pollution rather than the causes. [2] Policies mandating direct interventions to improve air quality for health reasons are run by the city government, as most local air pollution is generated by the city and its environs. The key planning documents in this regard are the Paris Climate Plan and the Paris Environmental Health Plan, both current, relatively new initiatives. [3] [4] _x000D__x000D_As in the rest of metropolitan France, In Paris air pollution monitoring is mandated by numerous European Union directives transposed into French law. Such monitoring is administered by five different entities; the State, regional, metropolitan (greater Paris) and municipal authorities and Airparif (an independent entity tasked with monitoring air quality in the Île-de-France). Actual monitoring is carried out by Airparif, which operates 13 monitoring stations measuring around 60 types of pollutants throughout the city. [5]_x000D__x000D_Evidence is sparse regarding the existence of health education programmes for clean household energy. The Paris Climate Plan aims to develop financial incentives "...to encourage professionals and households to invest in low-carbon vehicles or to use active mobility", but does not address the use of parallel incentives for private dwellings. [3] National laws do authorise financial incentives, tax discounts and rebate schemes for firms and households wishing to use renewables. [6]_x000D__x000D_The Paris Climate Plan and Paris Environmental Health Plan both contain numerous initiatives to reduce the adverse environmental impact of cities. These include reducing the use of hydrocarbon-powered vehicles and increasing public transport use, pedestrianisation and cycling, and renovating the built environment (especially public facilities) to accommodate renewable energy systems. [3] [4]</t>
  </si>
  <si>
    <t>Monitoring activities for air quality exist in Phnom Penh, and there are monitoring stations and data collection in place. There is no evidence of city health education campaigns for shifting to clean household energy. There are clean city initiatives to limit the negative environmental impact of cities._x000D__x000D_The national Ministry of Environment has installed air quality monitoring stations in 51 locations, 14 of which are based in Phnom Penh. [1] [2] According to the monitoring data as of 15 February 2024, the Ministry provided that Cambodia has seen an improvement in air quality with PM 2.5 inertia at 28.86 µg/m3, an amount lower than the standard level of 50 µg/m3 on average over 24 hours. [1]_x000D__x000D_Health education campaigns that promote a transition to clean household energy are not evident in Phnom Penh. [3] [4] However, as cited under the Clean Air Plan of Cambodia (CAPC), Cambodia's Nationally Determined Contributions (NDCs) aim to improve energy efficiency in the residential sector by encouraging the Ministry of Mines and Energy to conduct public awareness campaigns on energy saving. [5] [6] Likewise, the National Energy Efficiency Policy 2022 - 2030 seeks to promote awareness campaigns on energy efficiency measures through communication strategies, such as printed advertisements and media, for specific groups, including housing society residents. [7] _x000D__x000D_The Phnom Penh Sustainable City Plan 2018 - 2030 aims to cut down transport sector greenhouse gas emissions in the city by reducing the use of motor vehicles and urging the use of low-emission vehicles, such as electrical and hybrid vehicles, and those that conform to emissions performance standards. The plan seeks to govern solid waste management by promoting a competitive market among waste collection companies, strengthening waste separation measures at manufacturing sites, banning the use of plastic bags, and conducting public awareness campaigns. [8] The CAPC will also control air pollution from vehicles by imposing emission standards on air pollutants based on vehicle types, reducing the import of used vehicles, and promoting the implementation of public transport strategy. [5]</t>
  </si>
  <si>
    <t>The Royal Commission for Riyadh City has established 32 air monitoring stations that measure the concentration of 10 specific pollutants, such as sulphur dioxide, carbon monoxide, volatile organic compounds, lead and so on. [1] _x000D__x000D_A campaign was launched in Riyadh in January 2023 to teach children about the role and use of energy in society. It was organised by the National Campaign to Rationalise Energy Consumption in cooperation with the Ministry of Education. The purpose of the campaign is to raise awareness among children about the dangers of energy inefficiency and waste. [2] _x000D__x000D_The Royal Commission for Riyadh City is implementing the Green Riyadh Project to tackle adverse environmental effects in the city. Their objectives involve increasing green spaces, improving air quality and reducing temperatures. [3] Two significant projects that are underway in this regard include the construction of the King Salman Park and the Sports Boulevard, which were both launched in 2019 as part of the country's Vision 2030 national development plan. [4] [5]</t>
  </si>
  <si>
    <t>Rome has a master plan to reduce air pollution and improve air quality. The city government has a multi-year strategy on the environment, known as the Action Plan for Sustainable Energy and the Climate of Rome Capital. Adopted in 2017 and updated in late 2023, the plan creates a framework for compliance with the environmental policies of the European Union, of which Italy is a member state. [1] [2] _x000D__x000D_1. Air pollution monitoring is a central focus of the Action Plan, undertaken in order to realise three goals: to reduce climate-changing emissions by at least 40% by 2030; to increase the resilience of the urban ecosystem to climate change; and to foster equity and accessibility to clean and safe energy. To these ends the Action Plan promotes many different types of monitoring; such as the level of climate-altering gas emissions, the condition of urban forests, the performance of renewable energy and transport systems, and changes in vehicular traffic patterns. Monitoring tools used include electronic sensor systems, utility meters and satellites. [1] [2] _x000D__x000D_2, The Action Plan strongly promotes educating residents and businesses in adopting "conscious and sustainable behaviours" to foster "urban resilience." Toward this end, a key mechanism involves the intervention of utility companies in educating their customers on ways to save energy and adopt renewable energy systems through such means as tax breaks and eco-credits. [1] [2] _x000D__x000D_3. Finally, the Action Plan contains numerous initiatives to reduce the adverse environmental impact of cities; a key mechanism for achieving this is to reduce the use of automobiles by such means as redesigning public roads and promoting public transport and "pedestrianisation". [1] [2]</t>
  </si>
  <si>
    <t>There are city monitoring activities of air quality carried by the California Air Resources Board (CARB) and the Bay Area Air Quality Management District (BAAQMD). [1] _x000D__x000D_San Francisco's city health education campaigns for shifting to clean household energy are multifaceted and inclusive, spearheaded by programs like CleanPowerSF and initiatives targeting low-income communities and public housing. CleanPowerSF offers renewable energy options with automatic enrollment in the Green service and the option to upgrade to SuperGreen service, alongside the SuperGreen Saver program providing 100% renewable electricity and a 20% monthly discount for low-income residents in disadvantaged communities. Additionally, the Hetch Hetchy Power discount program offers 30% off electricity bills for affordable and public housing residents. The Solar Inverter Replacement Program aids low-income solar owners, ensuring continued benefits and supporting the city's renewable energy goals. Furthermore, partnerships with BayREN incentivize heat pump water heater installations, and EV Charge SF promotes electric vehicle infrastructure, collectively contributing to San Francisco's decarbonization efforts. These initiatives, operated by the San Francisco Public Utilities Commission, serve a large customer base, significantly reducing greenhouse gas emissions and promoting a sustainable energy future for the city. [2]</t>
  </si>
  <si>
    <t>The city of São Paulo has initiatives to monitor the air quality and to mitigate the adverse effects of environmental impacts. The Daily Report (Boletim Diário) releases data to inform the quality of the air in the city and metropolitan regions. [1] The Environmental Health Surveillance Program Related to Populations Exposed to Air Pollution in the Municipality of São Paulo - VIGIAR, develops actions aimed at promoting the health of the population exposed to environmental factors related to air pollutants. _x000D__x000D_Some initiatives include: identify the risks and acute and chronic effects of exposure to fixed sources and mobile sources of air pollution, surveillance of respiratory diseases through sentinel units, prepare educational information material for technicians and the population on preventing health effects related to adverse environmental factors, such as low air humidity (dry climate) and increased temperature (excess heat). VIGIAR works closely with the Climate Emergency Management Center of the City of São Paulo (CGE), to monitor relative air humidity, rainfall data and temperature in the Municipality of São Paulo. [2]_x000D__x000D_São Paulo does not have health education programmes for clean household energy.</t>
  </si>
  <si>
    <t>The city of Seoul has air quality monitoring stations at 25 locations for data collection that covers particulate matter, ozone, carbon dioxide, nitrogen dioxide and other pollutants. The Seoul Metropolitan Government also operates air quality monitoring display boards at 12 locations. [1]_x000D__x000D_There are city health education campaigns for shifting to clean household energy. The Seoul Metropolitan Government is promoting the use of eco-friendly boilers as household heating solutions through public awareness campaigns in view of the fact that heating based on combustible fuel accounts for 27% of fine particulates (PM2.5) emissions in Seoul. [2]_x000D__x000D_The Seoul Metropolitan Government has clean city initiatives, which include a seasonal PM control scheme aimed at curbing PM emissions during December, January, February and March, a period of frequent PM concentration. The daytime operation of high emissions vehicles is prohibited on weekdays during this period. [3]</t>
  </si>
  <si>
    <t>Regular air quality monitoring is conducted by the Shanghai Environmental Monitoring Center and is published on the website of Shanghai Municipal Bureau of Ecology and Environment. [1]_x000D__x000D_There is no evidence of any city health education campaigns for shifting to clean household energy. [2] [3] [4]_x000D__x000D_Shanghai has a Clean Air Action Plan (2023-2025) that has a range of measures in the sectors of electricity generation, industry, transport, construction, farming, gastronomy, etc. [4]</t>
  </si>
  <si>
    <t>In Singapore, there is evidence of real-time air monitoring pollution, clean household programmes, and programmes to reduce adverse environmental impacts. _x000D__x000D_Singapore has the AQI, a real-time air-quality index, which monitors air pollution. [1] In addition, Singapore has the CFH (Climate Friendly Household), a programme that offers vouchers to the citizens who buy more energy-efficient refrigerators, LED lamps and water fittings. That project argues that the more citizens engage in household energy-efficiency, the less carbon emissions. [2] Also, Singapore has the Green Plan which aims to achieve net zero emissions by 2050. The program seeks to plant more trees, to increase solar energy capacity, to increase clean-energy cars, carbon neutral schools and to reduce the waste sent to landfill. [3]</t>
  </si>
  <si>
    <t>There is evidence of air pollution monitoring stations. There are air quality monitoring stations in each of the topographic sub-regions (south-west, east and north-west). [1] _x000D__x000D_Municipal authorities promote educational programmes to reduce the environmental impact of waste. "Students are introduced to the waste services in their local council area and investigate the benefits of avoiding, recycling, composting, reusing, sharing". [2] _x000D__x000D_The NSW Environmental Protection Authority (EPA) promotes educational campaigns in which local councils can educate the community about the effects of wood smoke and advise on how to reduce winter air pollution in their local area. [3] _x000D__x000D_"The City has been supporting residents and businesses to switch to off-site renewable electricity, through a rolling program of communication and online education." Thus, there is evidence of educational programs focused on clean household energy. [4]</t>
  </si>
  <si>
    <t>Air pollution monitoring activities and initiatives to reduce adverse environmental impact exist in Tokyo._x000D_To protect human health and preserve the living environment, "environmental standards" are established as desirable criteria under the Basic Environmental Law (Law No. 91 of 1993). Then, in accordance with the Air Pollution Control Act, emission standards are set for air pollutants discharged or dispersed from factories or industrial facilities, based on the type of substance and the type/scale of the facility. [1] The Air Pollution Control Act mandates prefectural governors to continuously monitor air pollution levels. The Tokyo Metropolitan Government operates approximately 50 air monitoring stations across the city, conducting 24-hour measurements and surveillance for substances such as sulphur dioxide, photochemical oxidants, nitrogen monoxide, among others. The information collected is then provided to the public through their website. [2] _x000D__x000D_In Japan, energy consumption in the household sector is dominated by electricity, city gas, and liquefied petroleum gas (LP gas), accounting for nearly 85% of the total consumption. Kerosene, which is a direct contributor to air pollution, represents only 14.8% of household energy consumption (as of the fiscal year 2021). [3] Therefore, at both national and local levels, there is no discussion or implementation of Clean Energy Shift initiatives or Education Programs focused on clean energy in households from a health perspective. On the other hand, efforts to achieve a decarbonized society and ensure stable energy supply have been underway across various sectors. These efforts include reducing the proportion of fossil fuels in primary energy supply and expanding the supply of renewable energy. _x000D__x000D_In Tokyo, initiatives are underway to promote public interest and awareness regarding atmospheric environmental issues, with the goal of achieving a comfortable atmospheric environment symbolised by "Clear Sky." The Atmospheric Environment Improvement Promotion Project includes "Clear Sky Photo Contest," You Can Make the Sky Clear! Clear Sky Tokyo!" event, which introduces the mechanisms of air pollution and its countermeasures through quizzes, and online seminars to encourage university students and others to discuss atmospheric environmental issues. [4]</t>
  </si>
  <si>
    <t>In the city there is the existence of air pollution monitoring activities, health education programmes for clean household energy as well as the existence of initiatives to reduce adverse environmental impact of cities._x000D__x000D_In Ontario, the Ministry of Environment, Conversation and Parks has a network of 38 air monitoring stations across the province (including Toronto) that collects data on air pollution. The information collected is communicated through Ontario's Air Quality Index. [1] [2] The Air Quality Index has been designed to assist people's understanding about what the air quality around them is like, what it means for their health and offers suggestions that people can take to reduce the health impacts of air pollution, when they are planning activities outdoors. [3] [4]_x000D__x000D_Toronto Public Health works with other city divisions to address air quality issues such as wildfire smoke in an attempt to protect the health of those living in Toronto. Some initiatives include - avoiding the TRAP: traffic related air pollution in Toronto and Options for reducing Exposure, idle free Toronto and TransformTO Net Zero Strategy. [5]_x000D__x000D_The city has partnered with the National Zero Waste Council and other Canadian cities and major food retailers in a national effort to reduce food waste. A campaign called Love Food Hate Waste focuses on outreach programs to educate residents about the economic, environment and social benefits of food waste reduction. [6] [7]</t>
  </si>
  <si>
    <t>Vienna has city monitoring of air quality, health education campaigns for shifting to clean household energy, and clean city initiatives to reduce the adverse environmental impact of cities. _x000D__x000D_The city of Vienna maintains a network of air quality monitoring stations and publishes hourly reports on air quality on its website. [1] [2]_x000D__x000D_The Austrian Energy Agency operates the Climate Active Programme on behalf of the federal government; it serves as a portal to connect interested parties to different programs throughout Austria to support climate change mitigation measures. [3] The city of Vienna has numerous support and promotion programmes available and listed on the Austrian Energy Agency portal, including subsidies for the installation or retrofitting of green heating systems, subsidies for installing insulated windows, or improving the insulation of residential buildings, and subsidies for installing photo-voltaic panels on residential rooftops. [4]_x000D__x000D_The city of Vienna has various rules and laws to improve air quality in the city. [5] Its nitrogen dioxide control programme has been in effect since 2008 and the city releases a regular report on its status and effectiveness, the most recent of which is from 2023. [6] The 2022 Smart City Strategy Vienna includes comprehensive measures to reduce adverse environmental impacts; these measures include the city heating supply being 100% fossil fuel free by 2040 (and with 50% of final energy consumption being from renewable sources by 2030), "Per capita CO2 emissions in the transport sector fall by 50% by 2030, and 100% by 2040", and "Greening, shading and passive cooling of buildings are standard; active cooling systems are powered by renewables". [7]</t>
  </si>
  <si>
    <t>In Wuhan, there is monitoring of air pollution, both through private providers such as AQI, as well as the Wuhan Municipal Ecology and Environmental Bureau dashboard. [1] [2]_x000D_Air pollution is included within Wuhan's "Government Work Report", which stated that the number of days with good air quality exceeded 80 % in 2022. [3]_x000D__x000D_No educational programs for households to change their energy source to clean sources were found in the policies of the Wuhan Municipal Ecology and Environmental Department. [2] Specifically, none were found in their objectives for 2023. [4] _x000D__x000D_As part of the 2023 Wuhan's year of urban regeneration, 100 kilometres of greenways and 100 parks of various types were planned to be built and renovated to allow citizens to enjoy more green spaces close to nature. [5] The "Government Work Report" shows that in 2022, Wuhan accelerated the construction of the wetland flower city project, among the first batch of national climate investment and financing pilots. [3] In 2024, as part of China's "fight to protect the blue sky", Wuhan's government seeks to improve air quality through a range of measures, primarily ultra-low emission transformation of industry and adherence to industry regulations. These include a range of waste management and emission regulations, such as promotion of waste incineration, and elimination of diesel trucks operating below national standards. [6]</t>
  </si>
  <si>
    <t>There is no evidence of a city health education campaign for clean household energy or of city initiatives to reduce adverse environmental impact. The city has a department that oversees monitoring activities of air quality. _x000D__x000D_As of 2019, there are 25 air pollution monitoring stations in Yangon. The stations are operated by the Pollution Control and Cleansing Department of the Yangon City Development Committee (YCDC). [1]_x000D__x000D_According to a report of the United Nations Environment Programme, Myanmar did not have any air quality policy in 2015. [2] The national government adopted a National Environmental Policy in 2019 which lists the basic principles and general aims regarding environment, but does not specify any measures and initiatives to reduce adverse environmental impact of cities. [3] In 2020, the Myanmar Centre for Responsible Business called attention to the lack of air pollution policy in Yangon and in Myanmar overall. [4]</t>
  </si>
  <si>
    <t>There is no evidence of health promotion programs established by the city government of Addis Ababa. Neither the city's administration nor the Ministry of Health websites have any information regarding health promotion plans specific to Addis Ababa. However, the Federal Ministry of Health has implemented a national health promotion strategy. [1] [2]_x000D__x000D_The Federal Ministry of Health (FMOH) had a National Health Promotion and Communication Strategy for the period 2016 - 2020. [2] The initiatives outlined in the strategy included consultations with media houses, training media professionals on health reporting and messaging, providing free media space for health-related content, distributing up-to-date health information and materials highlighting national health priorities to media professionals, and advocating for improved protection of communities from non-communicable disease (NCD) risk factors through enabling policy measures. [2]_x000D__x000D_Furthermore, with technical and financial support from UNICEF, the FMOH has prepared a National Health Promotion/Social and Behavior Change Strategy. [3] UNICEF, in collaboration with the FMOH and the regional health bureaus, reached over 36.6 million individuals with prevention and lifesaving messages through mass media and community engagement platforms, utilising influencers such as community and religious leaders, as well as health extension workers. Nearly 6 million individuals received hygiene promotion advice focused on the prevention of communicable diseases. [3]</t>
  </si>
  <si>
    <t>There is no evidence of health promotion programmes set up by Algiers city authorities on the archived page of the Algerian Ministry of Health National Institute of Public Health, on the website of Algeria's Government Portal of Public Services and on the dedicated Facebook page of the Directorate of Health and Population of the Algiers region (The Direction de la Santé et de la Population de la Wilaya d'Alger, "DSP d'Alger"). [1] [2] [3] _x000D__x000D_There is evidence of multisectoral health promotion programmes by care providers or other organisations in Algeria. According to a 2023 UNICEF document, Algeria has a flagship school health programme, which includes access to health services and prevention programmes, such as immunisation for enrolled children. The same document reports that, in 2023, a new Health and Nutrition Programme was launched through cooperation between the Algerian Ministry of Health and UNICEF for the improvement of access to quality health and nutrition services. [4] _x000D__x000D_Other actors who provide multisectoral health promotion programmes include the Africa Health Organisation, a non-governmental organisation focused on international health, whose health delivery plan in Algeria includes: i) the development of competencies with regard to equity in health; ii) the development of inter-sectoral work strategies to advance health promotion; and iii) the improvement of strategies and activities aimed at promoting and developing healthy lifestyles and living environments. [5] However, these programmes are not specific to the city of Algiers.</t>
  </si>
  <si>
    <t>Atlanta has multisectoral health education policies and programmes aimed at the general public to improve behaviour, health knowledge, attitudes and skills enabling individuals to adopt healthy behaviours, such as the Urban Health Initiative. [1] This program led by the Emory School of Medicine aims to provide health disparities education and advocacy, build collaborative partnerships, and develop best practice models with low-resourced communities and those who work with them to advance equity in health and well-being. Their "tri-part mission focuses on: educating current and future health practitioners; engaging the community to create a sustainable infrastructure of health and reduce health disparities; and advancing research through culturally competent and community-informed interventions that meet the highest standards of excellence." [1]</t>
  </si>
  <si>
    <t>[1] Moore C. The Urban Health Initiative Advancing Equity In Health And Well-Being [Internet]. 2016 [Accessed 2024 Feb 22]. Available from: https://www.senate.ga.gov/committees/Documents/UHIProgramsandResources.pdf</t>
  </si>
  <si>
    <t>The Auckland Plan 2050 outlines a strategic direction to Improve health and wellbeing for all Aucklanders and it identifies key organisations that will play important roles in creating our shared future. [1]_x000D__x000D_Healthy Start to Life Education for Adolescents Project (HSLeaP) supported by the Liggins Institute of The University of Auckland collaborates with schools, scientists, and health professionals to empower youth in primary non-communicable disease (NCD) risk reduction. [2]</t>
  </si>
  <si>
    <t>The Bangkok Metropolitan Administration (BMA) has established numerous multisectoral health initiatives. For example, in 2017 the BMA launched a preventative long-term care program to promote physical and mental wellbeing among elderly residents of Bangkok. The program aimed to prevent incidences of non-communicable diseases and included training volunteers in the community. [1] Thailand's 20-year development strategy includes a commitment to engage multiple stakeholders in formation and execution of new policy. "The Ministry of Public Health will serve as one of the focal points assigned to advance the program implementation by focusing on public and multi-sectoral engagement so as to attain the ultimate goal of health and well-being of all Thais". [2]</t>
  </si>
  <si>
    <t>Beijing has a multisectoral health education policy, called "Healthy Beijing Action 2020-2030," which aims at the general public and is formulated in accordance with the Healthy China 2030 Plan. However, there is no evidence of multisectoral health education programmes carried out by care providers and other organisations. [1] [2]_x000D__x000D_In 2016, China released the Healthy China 2030 Plan and set up long-term goals on health, food safety, water, and the environment. [2] [3] This was later promulgated and relaunched as the "Healthy China Action Plan (2019-2030)". [2] Its developmental priorities are the improvement of the population's health; keeping health risk factors in check; enhancing the country's healthcare service delivery capacity; expanding the healthcare industry; and ameliorating institutional arrangements for the promotion of health. [2] [3] [4]</t>
  </si>
  <si>
    <t>There is evidence of multisectoral health promotion programmes set up by city authorities._x000D__x000D_Berlin's Department of Health maintains the Integrated Health and Care Programme (IGPP), which offers EUR 37 million to fund 120 health-related projects between 2021 and 2025. [1] Currently, its four focus areas are "Elderly care, nursing care and hospice structures, Special health needs, HIV/Aids, sexually transmitted infections and hepatitis, [and] Drugs and addiction network". [1]_x000D_The Department of Health also partners with the Senate Department for Education, Youth and Family to administer the "Good, Healthy School program" [2], which includes the thematic areas "Healthy diet and nutritional education, Stress management, Designing the school as a living space, social interaction, Health through movement, [and] Health through addiction prevention". [3]</t>
  </si>
  <si>
    <t>There is evidence of multisectoral initiatives by city authorities to improve health conditions in Bogotá City. _x000D__x000D_The PSPIC (Public Health Plan for Collective Interventions) is coordinated by the District Health Secretary and is free for every citizen in Bogotá. This intervention seeks to achieve the main goals of the Bogotá's Territorial Health Plan and to positively impact the health determinants in the city. The PSPIC aims to promote vaccines for children, healthy diets, physical exercises, mental health, and to prevent alcoholism, school and family violence. [1] Furthermore, the Bogotá's District Institute of Recreation and Sports (IDRD) created a program (Move it Program) which aims to improve the practice of physical exercises. The Move it initiative's main objective is to include exercises in the routine of Bogotá's citizens, from 150 to 300 minutes per week in moderate intensity or from 75 to 150 in vigorous intensity. The program involves different sectors of the society: schools, work, health institutions and the community. [2]</t>
  </si>
  <si>
    <t>There is no evidence that the Budapest city hall has any health campaigns ongoing. [1, 2] The Ministry of Interior, the ministry currently responsible for health care, does not mention such a campaign. [3] There is no evidence that the government of Hungary leads any health campaigns. [4]_x000D__x000D_According to March 2023 media reports, Central Media Group started cooperating with Semmelweis University and other medical and patient organisations to filter health-related advertisements to make sure they are truthful and safe. The programme is named Medical Content Hub and aims to also fulfil an educational role in healthcare. [5]</t>
  </si>
  <si>
    <t>There is no evidence of current health promotion programmes in Cairo or Egypt on the websites of the Egyptian Ministry of Health and Population, the Cairo Governorate. [1,2]_x000D__x000D_Egypt had a National Multisectoral Action Plan for Prevention and Control of Non-Communicable Diseases 2017 - 2021. The plan involved health sectors and non-health sectors including trade, finance, agriculture, education and urban development. It focused on five strategic areas that focused on 1) advocacy, partnership, collaboration, and leadership; 2) risk reduction and health promotion, such as the promotion of a healthy diet and physical activity, 3) early detection and management of NCDs; 4) surveillance, monitoring, and evaluation and 5) NCD research for improving NCD prevention and control in the country. [3] However, there is no evidence of an updated or current plan for the country; the health ministry's website does not reference one. [4] There is also no evidence of a multisectoral health promotion programme set up by city authorities on the website of the Cairo Governorate. [5]</t>
  </si>
  <si>
    <t>A Non-Communicable Disease prevention programme is implemented in Colombo district. With respect to NCDs in the city, programs implemented are training for health managers on establishing lifestyle centres as a part of advocacy, IEC material and necessary equipment has been provided, establishment of gymnasiums in recognized health centres in progress, awareness programs on HLCs to school teachers, children, community organisations have been conducted, under social media strategy IEC material on healthy diet and salt restriction has been distributed in schools. Food composition tables developed at national level have been used to educate both health staff and the public. Some other awareness programmes have been conducted on risk factors, NCDs, home based activities etc._x000D_However, support from the private sector and other community-based organisations is poor.[1]</t>
  </si>
  <si>
    <t>There is evidence that the Delhi state government has implemented the National programme for prevention and control of Cancer, Diabetes, Cardiovascular Diseases and Stroke(NPCDCS). NPCDCS focuses on health promotion through behavioural change, population based &amp; opportunistic screening at all healthcare levels, prevention &amp; control of chronic NCDs.[1][2][3] However this isn't enough evidence of a multisectoral health promotion programme._x000D__x000D_Private health care organisations and non-government organisations have implemented health promotion programs in the city. AstraZeneca, a science-led biopharmaceutical company, together with Plan India, an NGO, launched the 'Young Health Programme'(YHP) in Delhi. The programme specifically focuses on educating youth on the ill-effects of tobacco, alcohol through peer pressure. Involving youth from the target communities itself, the programme undertakes a community-based approach to develop them into peer educators who in-turn shoulder the responsibility of expanding the message to the entire community. [4]</t>
  </si>
  <si>
    <t>While Bangladesh has a multi-sectoral health promotion action plan at the national level, no city-level initiatives were identified._x000D__x000D_The "Multisectoral Action Plan for Prevention and Control of Noncommunicable Diseases 2018-2025," published by the Directorate General of Health Services (DGHS), outlines a comprehensive strategy to address noncommunicable diseases (NCDs) in Bangladesh. The plan emphasises the need to improve healthcare services in urban settings, and Dhaka is mentioned as a focal point for strengthening health systems to manage NCDs effectively. Health promotion programmes include public awareness campaigns for tobacco control; mass media campaigns to encourage a diet high in fruits and vegetables and low in unhealthy fats, sugars, and salt; advocacy for physical activity through national guidelines; and programs to establish health-promoting schools and cities. [1]_x000D__x000D_No city-level health promotion programmes were identified on the websites of the Dhaka North City Corporation, the Ministry of Health and Family Welfare, or the Directorate General of Health Services (DGHS). [2, 3, 4]</t>
  </si>
  <si>
    <t>Dubai has implemented multisectoral health promotion programs led by city and national authorities, and supported by various organisations in the UAE, to promote healthy lifestyles. For instance, Abu Dhabi University (ADU) research found that these initiatives align with the 2022 National Policy for Promoting Healthy Lifestyles in the UAE, highlighting evidence of collaborative efforts among stakeholders. [1]_x000D__x000D_Care providers in the UAE, such as the Ministry of Health and Prevention, Abu Dhabi Health Services (SEHA), and the Dubai Health Authority (DHA), engage in activities like organising educational campaigns, providing screenings and vaccinations, conducting community outreach programs, and collaborating with local organisations and influencers. These efforts, including initiatives like the UAE's COVID-19 Vaccine Campaign using storytelling techniques, aim to raise awareness and drive behaviour change. [1]_x000D__x000D_The Dubai Health Authority has implemented health awareness initiatives targeting the public. For example, the authority focuses on promoting healthy food, physical activity, and tobacco control through developing legislations, reducing unhealthy food consumption, combatting physical inactivity, and tobacco control to prevent the initiation of tobacco consumption. Efforts also include ensuring continuity of health services to support sustainable healthy lifestyles during emergencies, disasters, and pandemics, alongside developing interventions and initiatives for healthy lifestyles in health-promoting environments. [2]</t>
  </si>
  <si>
    <t>The City of Helsinki (CoH) has multisectoral health education programmes aimed at the general public to encourage them to adopt healthy behaviours._x000D__x000D_The City of Helsinki Welfare Plan 2022–2025 includes a focus on quality-of-life experiences, with focus areas such as mental well-being, hobbies and leisure, physical activity and healthy lifestyles. The plan emphasises the interconnectivity of these areas and the need for multisectoral cooperation between health and social services, education, hospital, rehabilitation and nursing services, urban operators, organisations and companies. [1] _x000D__x000D_The CoH introduced "healthy life groups", through which residents receive information and peer support for their own lifestyle changes, covering nutrition, exercise, sleep and stress management, emotions and eating. The group meets regularly for three months and residents can sign up by contacting their health centre. [2] Through its "Helsinki is moving" initiative, the CoH offers free exercise counselling for 3-6 months for different age groups, by cooperating with schools and school healthcare professionals for young people. [3] The CoH also provides training for people who would like to guide the elderly exercise groups created with the collaboration of health centres of Helsinki, regional gyms, libraries or community centres. [4] The KauKo project, initiated in December 2023 in Helsinki as a joint CoH-private sector-university initiative, aims to develop the urban and built environment to encourage movement and support health and well-being. [5, 6]_x000D__x000D_In addition to the programmes of the CoH, Health Village, a public online service developed by Finnish university hospitals with content created in collaboration with social and health services, patient organisations and universities, offers self-care programs covering a range of subjects including exercise, weight management and quitting smoking. [7] Omaolo, the national online healthcare service, offers health checks, personalised advice and online well-being coaching programs. In some municipalities, including Helsinki, the service works in connection with healthcare providers. [8]</t>
  </si>
  <si>
    <t>There is no evidence of multisectoral health education programs aimed at the general public by city authorities or other organisations. _x000D__x000D_In September 2023, Ho Chi Minh City Department of Health coordinated with the World Health Organization in Vietnam to organise the opening of the training class on consulting on nutrition and physical activity for people with hypertension and diabetes for grassroots healthcare workers. [1]_x000D__x000D_Ho Chi Minh (VTV9) - Vietnam Television held the launch ceremony of the television program "Alo Doctor" oriented as a "medical news" newsletter, with a familiar, and easy-to-understand format for people; is a place to continuously, promptly and fully update current medical issues, especially disease developments and prevention and treatment measures. The "Alo Doctor" newsletter also regularly updates and transmits policies of the State and the World Health Organization; activities, achievements, and exemplary examples of hospitals and medical facilities in caring for and protecting public health. "Alo Doctor" program is also communicated on digital platforms, social networks, newspapers, and radio to reach more people everywhere, anytime, on the Internet. [2]_x000D__x000D_On 20 September 2023, Ho Chi Minh City Department of Health coordinated with the World Health Organization in Vietnam to organise the opening of the training class "Consulting on nutrition and physical activity for people with hypertension, blood pressure and diabetes" for medical staff. [3]</t>
  </si>
  <si>
    <t>Since 2008, the Hong Kong government has launched a strategic framework to prevent and control NCD and set up a high-level multidisciplinary and intersectoral steering committee (SC) to oversee the overall implementation. [1] Under the SC, three action plans targeting diet and physical activity, alcohol harms and injury prevention were published in 2010, 2011 and 2015 respectively, under which multisectoral actions have been/will continue to be implemented and stepped up. With scheduled implementation of the "Action Plan to Promote Diet and Physical Activity Participation in Hong Kong", many interventions have become regular features of the Government's NCD response or have resulted in further initiatives such as "StartSmart@school.hk" Campaign, "I'm so Smart" Community Health Promotion Programme, "Sports for All" promotional activities. The Education Bureau of Hong Kong has a Healthy School Policy.</t>
  </si>
  <si>
    <t>Evidence indicates that the city of Istanbul does not on its own run multisectoral health education policies and programmes aimed at the general public. Such programmes are run by the provincial branch of the national ministry of health. Within that framework, examples of municipal/provincial cooperation with external care organisations do exist. _x000D__x000D_In Turkey, governance of the health system is highly centralised, with the national Ministry of Health (MoH) executing policies determined by the Health and Food Policies Council under the President. "The MoH and its provincial directorates serve as implementers of health policies, overseeing workforce planning, the regulation of medicines, vaccines, cosmetics and medical devices, and health research and development." [1] Health policy in Istanbul is therefore administered by the Istanbul Provincial Health Directorate, part of the MoH and not subordinate to the municipal government in this field. [2] _x000D__x000D_Multisectoral health education policies for the general public are promoted in two key health planning documents; the 2024-2028 Strategic Plan, and the Multisectoral Action Plan of Turkey for Noncommunicable Diseases 2017-2025, and thus are run from the top down. [3], [4] _x000D__x000D_An example of centralised, top-down cooperation with an external care or health advocacy organisation is the Ministry of Health's relationship with Green Crescent (Yeşilay), a century-old Turkish non-profit organisation dedicated to fighting addictions, on initiatives such as training practitioner staff for anti-addiction programmes. [5]</t>
  </si>
  <si>
    <t>There is evidence of health promotion programmes in the City of Johannesburg set up by governmental authorities and other organisations._x000D__x000D_In 2022, the Gauteng Department of Health launched the Wellness Wednesday programme to promote positive health outcomes by encouraging healthy lifestyles and increasing health literacy. [1, 2] The Gauteng Department of Health Annual Report 2022/23 highlights that its wellness programme aims to promote physical activity coupled with education on healthy lifestyles and healthy nutrition in partnership with the Department of Sport, Arts, Culture and Heritage. It has established 23 physical activity and awareness-raising programmes in communities in all districts. [3]_x000D__x000D_In 2023, the City of Johannesburg's directorate of sport and recreation offered a free sweat-inducing aerobics session to the public. According to the government, the aerobics programme is a component of the city's healthy living project. [4] _x000D__x000D_Since 2012, the national government runs the Integrated School Health Programme (ISHP) aiming to increase knowledge and awareness of health-promoting behaviours, and offering Health Services Packages for each of the four school phases, such as how to lead a healthy lifestyle and drug and substance abuse awareness, health screening, and onsite services such as deworming and immunisation. [5, 6] The Programme is still active in Johannesburg; in 2024 the city received two vehicles to improve its provision. [7]_x000D__x000D_In 2023, UNICEF launched the My Body, My Health: My Wealth campaign. The initiative aims to raise awareness about the importance of healthy behaviours from a young age and to advocate for changes to the food environment through volunteers that are receiving training and mentoring. [8]</t>
  </si>
  <si>
    <t>While there is no evidence of multisectoral health programmes set up by the Karachi Municipality's main governing body, the Karachi Metropolitan Corporation, as other organisations have conducted them in the past. [1]_x000D__x000D_A feasibility trial was conducted by Aga Khan Education Services Pakistan (AKESP) in two schools in Karachi. The trial targeted pre-adolescents and aimed to promote health education and physical activity. It also sought to gauge potential efficacy with regards to diet and cardiometabolic risk factors, including blood pressure, body mass index (BMI), and waist circumference. [2]_x000D__x000D_In 2015-16, the Department of Community Health Sciences at Aga Khan University, a leading private sector university in Karachi, launched the AGAHI Program. This low-cost, innovative program utilised urban communities to improve care-seeking and compliance to treatment. The program's activities ranged from school sessions, role plays, and awareness walks to laneway meetings, training of healthcare workers, door-to-door campaigns, and collaborations with local religious leaders, public sector groups, and NGOs. [3]_x000D__x000D_From 2015-18, the Infant and Young Child Feeding (IYCF) Program, UNICEF, and the Accelerated Action Plan (AAP) of the Department of Health, Government of Sindh, launched the Maternal and Child Stunting Reduction Program (MCSRP 2015-18) in three districts outside Karachi. The program aimed to improve the nutritional status of women and children across the 1000 days between conception and a child's second birthday. This initiative was scaled up across Sindh, including Karachi, under a large-scale Accelerated Action Plan to tackle multiple underlying causes of stunting. [4]</t>
  </si>
  <si>
    <t>There is no evidence of multisectoral health promotion programmes set up by Kathmandu Metropolitan City authority till date. However, the city has initiated a project to establish 20 urban health service promotion centres in September 2022. [1]</t>
  </si>
  <si>
    <t>Kuwait city does not have multisectoral health education policies and programmes aimed at the general public._x000D_ _x000D_A 2020 study called for the introduction of health promotions programmes in Kuwait, citing a lack of such initiatives in the country and the prevalence of unhealthy behaviours and lack of public awareness about health and healthy lifestyles. In addition, the Kuwait Medical Association has also called on the Ministry of Health to spread health awareness and to use media and social media to highlight its functions and achievements. [1, 2]_x000D_ _x000D_No evidence was found in the Ministry of Health or Kuwait Medical Association for any multisectoral health promotions programmes, whether by the city authorities or care providers. [3]</t>
  </si>
  <si>
    <t>There is evidence of multisectoral health promotion programmes set up by city authorities. In June 2023, the Lagos State Ministry of Health (MOH) outlined Lagos' programme "Digital Transformation of Health Systems: The Role of Collaboration and Partnerships" at the Third Africa Digital Summit in Lagos. [1] The digital strategy emphasises collaboration between policy makers, healthcare providers, technology developers, and entrepreneurs to design and scale up digital health solutions which include patient education and knowledge sharing. [1]_x000D__x000D_There is evidence of multisectoral health promotion programmes by care providers or other organisations. In January 2024, the MOH announced a collaboration with non-governmental organisations Evidence Action and Mission to Save the Helpless (MITOSATH), and marked Y2024 World Neglected Tropical Diseases (NTD) Day with an awareness walk around the State Government Secretariat and various communities. [2] The awareness walk was described as a platform to educate the public on the prevalence of diseases and stressed the importance of collective action to address inequalities underpinning NTDs. [2]</t>
  </si>
  <si>
    <t>London food strategy 2023 encourages schools to become water-only. This programme will be promoted through the Healthy Schools London programme (it seeks to work with schools to improve children and young people's wellbeing. The programme is supported by boroughs educational departments). [1] [2]_x000D__x000D_Every Child a Healthier Weight Delivery Plan - focuses on implementing population-wide interventions to contribute to the Mayor of London's ambition to promote that Every Child maintains a Healthier Weight in London. This involves collaborative cross-sector working between TfL, the Greater London Authority, NHS England and Improvement (NHSE/I), Integrated Care Systems (ICS) and the Office for Health Improvement and Disparities (OHID). [3]</t>
  </si>
  <si>
    <t>The Community of Madrid has multisectoral health policies and programmes for both professionals and the general public. _x000D__x000D_Evidence of multisectoral health promotion programmes. The Community of Madrid runs a coordinated strategy to prioritise prevention and health promotion activities in all its municipalities. Initiatives include subsidies for local entities aimed at promoting health at the municipal level, and facilitating interdisciplinary training through platforms such as the Municipal Health Network, which promotes joint action programmes in 100 local Madrid entities. The dissemination of public health information is a principal tool used in this context, and numerous initiatives exist to realise this objective. These range from Healthy life from educational centres (Vida saludable desde los centros educativos--which runs five different programmes in classrooms for students aged between 3 and 16 years, including education in healthy lifestyles and healthy eating), to Madrid Active Region (Madrid Región Activa--which promotes regular physical activity), to counselling services for drug addiction and gender violence. [1] _x000D__x000D_Another good example of cooperation in health education between the public and private sectors is the aforementioned Madrid Active Region program, one of whose five pillars focuses on developing direct intervention programs coordinated with other public and private sports agents. For example, numerous hiking clubs throughout the Community of Madrid participate in the programme under the auspices of local municipal councils. [1]</t>
  </si>
  <si>
    <t>There is evidence of multisectoral health education programs aimed at the general public to adopt healthy behaviours in the Philippines, but not at the city-level in Manila. _x000D__x000D_The Department of Health - Metro Manila Center for Health Development (DOH-MMCHD) and the Manila Health Department websites do not contain any evidence of city-level health promotion programmes or policies. [1, 2] However, the DOH has implemented multiple national public health initiatives addressing a range of health concerns: Non-communicable diseases (NCDs) are targeted through the national Lifestyle Related Diseases Prevention and Control Program and the Essential NCDs Program. Emerging health issues which have been targeted include injuries, mental health concerns, and alcohol and drug abuse, managed through various specialised programs. [3] The DOH has also implemented the Healthy Pilipinas program, which is a health information campaign launched by the DOH that aims to provide accurate, culturally contextualised, and up-to-date information about health, disease, illness, and wellness. [4]</t>
  </si>
  <si>
    <t>There is evidence of several healthy eating initiatives delivered by nurse practitioners, dietitians, health promotion offices and parent support workers in the state of Victoria. [1] The City of Melbourne developed the Healthy Choices program to aid food providers in improving menus, offering healthy options and helping individuals to make healthier choices by marking healthy food options with an apple icon. [2] Food City is an overarching framework coordinated by the City of Melbourne to improve the city's food system. [3] The municipal Public Health and Wellbeing plan is a local strategy for promoting and improving the public health and wellbeing of people in Melbourne, developed with consultation of over 900 members of the community. The strategy focuses on key areas of health, including promoting sport and physical activity, making healthy food choices and other related lifestyle choices. [4] Lifestyle modification programs, such as the Healthy Eating, Activity and Lifestyle (HEAL) program, provide exercise and nutritional coaching to members of the community through allied health professionals. [5]</t>
  </si>
  <si>
    <t>Regarding multisectoral health promotion programs established by city authorities, Mexico City has launched Health in your Life (Salud en tu Vida).[1] This project, operating within the public sector, adopts a rights-based approach to health, leveraging existing legislation such as laws on civil society participation.[2] Its primary objective is to enhance intersectoral collaboration and civic engagement to strengthen strategies for preventing and controlling NCDs, promoting adequate and healthy nutrition, and identifying and referring patients to the public health system.[2] Access to the service is available at health centres, via telephone, or through a mobile application.[3] The project begins with a questionnaire, the data from which are used for clinical services and for the collection and monitoring of health data.[3]</t>
  </si>
  <si>
    <t>There is no evidence that the government or city authorities are involved in multisectoral health education programmes. The page about health education on the site of a research institute linked to the Ministry of Health only states that the population receives a "significant amount of health education through radio, cinema, television and the press". [1] The Moscow Department of Health does not show any evidence of such programmes. [2] _x000D__x000D_Aside from the role of the press and media in health education, there are very few organisations working on propagating health awareness. One example of this would be the non-governmental organisation "Obshee Delo", which is involved in campaigning against alcoholism, tobacco and drug use. The organisation has cooperated with universities, combines health information, media and education, and is active in Moscow. [3]</t>
  </si>
  <si>
    <t>There is evidence that Mumbai Municipal Corporation (the City level authority) has implemented the National programme for prevention and control of Cancer, Diabetes, Cardiovascular Diseases and Stroke(NPCDCS). NPCDCS focuses on health promotion through behavioural change, Population based &amp; opportunistic screening at all healthcare levels, Prevention &amp; control of chronic NCDs. In Mumbai the program is focused on screening and early detection of NCDS. However, there is no further information on policies and programmes implemented by Mumbai City authorities under this programme.[1][2][3]_x000D_However, there is evidence that NGOs and private health care organisations have come up with plans for health promotion and well-being. Mumbai First and Praja Foundation came up with the Mumbai Public Health Manifesto which targets health promotion to prevent NCDs although health promotion programs are yet to be implemented.[4]</t>
  </si>
  <si>
    <t>There is no evidence of health promotion programmes for Nairobi on the websites of Nairobi City County Government, nor of the national Ministry of Health. [1, 2] UNESCO, in collaboration with the national Ministries of Health and Education, is leading the adaptation of the WHO's global health-promoting schools' guidelines in Kenya. These guidelines were implemented in three pilot schools, including one in Nairobi [3]._x000D__x000D_Other actors are involved in health education programmes. For example, the World Friends NGO has a health education programme aimed at teenagers from Nairobi schools which has been running since 2004. The project provides socio-health education aimed at young people, schools, parents, teachers and educational staff [4].</t>
  </si>
  <si>
    <t>New York City has both evidence on multisectoral health initiatives set up by city authorities and care providers. _x000D__x000D_The NYC Health created the "Healthy NYC", a multisectoral initiative to improve the life expectancy in the city. By 2030, the authorities want to increase life expectancy to the age of 83 years. Hence, the program aims to positively impact health indicators, especially those affecting communities most in need. In order to accomplish this goal, the city authorities work hand-in-hand with different partners, including: public health sector, city agencies, elected officials, private sector and community-based organisations[1]. Furthermore, the PRI (Pandemic Response Institute) is an initiative from Columbia University, in which the main partner is the City University of New York Graduate School of Public Health &amp; Health Policy. There is also a"consortium of academic, community, government, and corporate partners". PRI works in coordination with the NYC Department of Health and Mental Hygiene and communities to "enhance their (community's) capacity to develop locally tailored health solutions, information, and resources to prepare for, respond to, and recover from future health crises.". PRI highlights its role in being a facilitator which shares health knowledge to the community in order to tackle health issues [2]</t>
  </si>
  <si>
    <t>There are multisectoral health promotion programmes by city authorities, care providers or others._x000D_Based on the Health Promotion Act, the "National Health Promotion Strategy" has been implemented since 1978. Starting from fiscal year 2013, a 10-year plan titled "Health Japan 21 (Second Term)" was initiated with goals such as preventing lifestyle-related diseases, extending healthy life expectancy, and reducing health disparities. From the fiscal year 2024 (April 2024 onwards), the "Health Japan 21 (Third Term)" will commence, continuing the efforts to promote national health in the 21st century.[1]_x000D__x000D_Osaka Prefecture, under the initiative known as "Osaka Wellness Action," promotes ten activities aimed at improving lifestyle habits and preventing lifestyle-related diseases to enhance the health awareness of its residents. These activities include fostering an interest in health, eating a nutritious breakfast and vegetables, engaging in regular physical activity, and effectively managing stress. The website provides information on health promotion and lifestyle improvement, including details on healthy menus and recipes to support dietary choices.[2] As part of the Osaka Wellness Action initiative, public lectures and online seminars provided by medical institutions for the general public are also included in the lineup of events.[3]</t>
  </si>
  <si>
    <t>Available evidence indicates that the Region of Île-de-France and the city of Paris which it encompasses do not have multisectoral policies to encourage the general population to adopt healthy behaviours. There are no smaller-scale programmes run by third party organisations._x000D__x000D_In France's partially devolved healthcare system, the Regional Health Agencies (agences régionales de santé--ARS) are responsible for delivering personal and social care, prevention measures and public health initiatives. [1] The current multi-year regional health project (Projet Régional de Santé--PRS) of the ARS Île-de-France runs from 2023 to 2028 and includes the Regional Health Scheme (le Schéma régional de santé--SRS). The SRS contains six axes of action, the first of which aims to "Build a culture of prevention and develop citizens' power to act"; to this end, it heavily promotes health education; the key venues for realising such interventions are: schools (to inculcate healthy-lifestyle and addiction-avoidance values in schoolchildren and adolescents); health facilities (to educate patients in prevention and self-management of conditions); workplaces (to inform employers and employees on occupational safety and related issues); and cyberspace/mass media (to spread health literacy amongst households and individuals). [2] _x000D__x000D_While its role in providing healthcare is limited, the city government does have several initiatives to inform residents of health-related issues. These include periodic awareness-raising campaigns on topics such as screening for cervical and colorectal cancer and programmes to discourage the use of tobacco. [3] Finally, there are health-education programmes run by third party entities, such as the anti-AIDS efforts run by the advocacy group Crips Île-de-France. Such initiatives tend to focus on one theme and be limited in scope. [4]</t>
  </si>
  <si>
    <t>The city of Phnom Penh does not have multisectoral health education policies and programmes in place to improve the general public's behaviour, knowledge, attitudes, and skills towards healthy behaviours. Multisectoral health programmes by care providers or organisations also do not exist in Cambodia. [1] [2] [3] While there is evidence showing that an organisation called Cambodian NCD Alliance (CNCDA) launched its strategic plan 2020 - 2023, the plan did not aim to raise public awareness towards healthy practices. [1] There is only multisectoral health policy at national level that aims to promote healthy behaviours among the public in Cambodia. [2] [4] [5]_x000D__x000D_The Ministry of Health has published the National Multisectoral Action Plan for the Prevention and Control of Noncommunicable Diseases 2018 - 2027. The action plan seeks to raise awareness of unhealthy diets, promote less use of alcohol and tobacco, encourage physical activity, and educate the public about the impacts of indoor air pollution. [3] Similarly, Cambodia has also established the National Center for Health Promotion (NCHP) under the Ministry of Health to promote health behaviour change against the use of tobacco and alcohol and non-communicable diseases. [6] In 2021, for example, the centre assigned an executing team to produce 144 educational advertisements on different media as a means to strengthen community involvement in response to the Covid-19 epidemic. [7] Moreover, there is evidence of other health education programmes, such as the 2023 USAID's Behaviour Change Campaign to promote nurturing care for young children, and the 2018 "Grow Together" Campaign that promoted behaviour changes across health/nutrition, agriculture and water, and hygiene and sanitation. [8] [9] A toolkit supported by the WHO's centre for Health Development was also developed in Cambodia to provide educational materials on lifestyle recommendations on exercise, diet, and the effects of smoking for patients with hypertension and diabetes. [10] However, all of these initiatives are at national level.</t>
  </si>
  <si>
    <t>The Civil Association for Health Awareness (HAYATONA) was set up in Riyadh in 2006 and is up until today involved in health promotion activities in the city, including the organisation of workshops and awareness campaigns, including those related to heart health. The organisation is registered with the Ministry of Human Resources and Social Development and is partnered with national ministries and organisations. However, no city authority departments are part of the organisation. [1]_x000D__x000D_The High Commission for the Development of Riyadh has also initiated projects on the creation of "mega parks" where there are dedicated walking trails. [2] _x000D__x000D_There is no evidence of primary care physicians promoting healthy lifestyles through the Ministry of Health/Riyadh General Directorate of Health Affairs or the Royal Commission for Riyadh City. [3, 4]</t>
  </si>
  <si>
    <t>The Region of Lazio, which contains the city of Rome, has multisectoral health education policies and programmes aimed at the general public to enable individuals to adopt healthy behaviours. In Italy's devolved healthcare system, such initiatives are undertaken by the regional healthcare services, not by the city governments. [1] _x000D__x000D_The multisectoral promotion of health education among the general public is a major objective of Lazio's own Regional Prevention Plan 2021-2025 (Piano Regionale della Prevenzione--PRP) , its main plan for setting public health policy. [2] All of the 15 prevention programmes of the PRP--ranging from healthy nutrition to cancer screening--involve educating the public; this responsibility lies with the local branches of the regional health service known as the Local Health Authorities (aziende sanitarie locali--ASL).[2], [3] For example, in the PRP's first prevention programme, called the School that Promotes Health (la Scuola che Promuove Salute--SPS), an ASL will collaborate with local schools to educate students in the adoption of good health practices. The PRP's third prevention programme, known as Workplaces that Promote Health, targets local businesses, even drawing upon the support of local trade unions and business associations to disseminate information to employers and employees. [4] Several other prevention programmes of the PRP disseminate materials on health education to patients in the clinics, hospitals and medical offices located within the ASL. [3] _x000D__x000D_There is some evidence of limited involvement by care and similar third-party organisations in the PRP prevention programmes run by the ASLs. For example, in June 2023 the diabetes association ADiciv and a local wellness organisation collaborated with ASL Roma 4 to hold a "Yoga and Prevention" event in a public park. [5]</t>
  </si>
  <si>
    <t>San Francisco has implemented multisectoral health education policies and programs aimed at the general public to improve behaviour, health knowledge, attitudes, and skills. The San Francisco Community Health Improvement Plan (CHIP) serves as a collaborative effort involving stakeholders from various sectors (the official website does not specify which). The Strategic Plan, from 2014, was the next step on the journey to public health accreditation. They completed the Community Health Assessment and the Community Health Improvement Plan. The Assessment involved extensive community engagement with stakeholders throughout San Francisco representing diverse sectors. The San Francisco Health Improvement Partnership (SFHIP), a multidisciplinary health coalition, oversees the implementation of the CHIP, reflecting the city's commitment to protecting and improving the health of all residents.[1] Its Steering Committee comprises anchor institutions, health equity coalitions, funders, and educational, faith-based, and service provider networks dedicated to improving community well-being.[2] Next steps for the Community Health Improvement Plan (CHIP) include implementation for the period 2021 to 2025 with regular tracking and review of measures with stakeholders.[3]</t>
  </si>
  <si>
    <t>The City of São Paulo developed the Health Academy Program, an intervention especially designed to promote healthy practices and improve the health conditions of the citizens . The main objective of the program is to contribute to spread healthy lifestyles to the population. Its centres are within Basic Health Units, developing activities open to the population with existing multidisciplinary teams. Activities include prevention and care strategies, collective and individual creation of healthy ways of life, integrative and complementary practices, production of care and healthy lifestyles, health education and others [1]. In order to stimulate the practice of physical exercises, the initiative offers stretching, functional and aerobic exercises. Among the integrative practices, the program offers meditation, cognitive stimulation and yoga.</t>
  </si>
  <si>
    <t>[1] Atenção Básica. Programa Academia de Saúde. Secretaria de Saúde. São Paulo; 2023. Available from: https://www.prefeitura.sp.gov.br/cidade/secretarias/saude/atencao_basica/index.php?p=325543</t>
  </si>
  <si>
    <t>The Seoul Metropolitan Government operates an education reward program called Healthcare Points in collaboration with healthcare providers with the aim to facilitate multisectoral health education of the general public. The program offers reward points for hypertension and diabetes patients keeping up with treatment and receiving self-directed education. The awarded health points can be used as credit against the cost of medical check-ups, vaccinations, etc. at a ratio of W10 to 10 reward points. The program is open to all hypertension and diabetes patients, and reward points are awarded for each qualifying activity: 3,000 points for first-time registration with a healthcare provider; 1,000 points for each visit; 2,000 points for each successful blood pressure or blood sugar management goal attainment; and 3,000 points for each education session attendance. The program's website has online education offerings accessible to registered Health Points users. [1].</t>
  </si>
  <si>
    <t>Shanghai's municipal government has issued a health promotion plan that includes programmes to be carried out by other organisations. _x000D__x000D_Shanghai's municipal government has issued an implementation plan for its Healthy Shanghai Action (2019-2030). [1] This plan comprises programmes that will be carried out by organisations such as medical institutions and schools, aside from government agencies. Among the Healthy Shanghai Action's assessment indicators are: Number of participants in health self-management groups; Establish and improve the health science popularisation expert database and resource library, and build a health science popularisation knowledge release and dissemination mechanism; Establish a performance appraisal mechanism for medical institutions and medical staff to carry out health education and health promotion; Sports venue area per capita; Proportion of people who regularly participate in physical exercise; Starting rate of physical education and health courses that meet the requirements in primary and secondary schools; Daily in-school sports activity time for primary and secondary school students. [1]_x000D__x000D_According to a 2022 report in The Paper [2] quoting the Shanghai Health Promotion Committee, a series of measures from the Healthy Shanghai Action were implemented in the city. These include measures in the area of health education and promotion, for example: establishing incentive mechanisms for medical and health institutions as well as medical staff to participate in health education, printing health knowledge readers for residents and students, and producing health educational TV stand-up specials and audio books. It is also mentioned in the report that the "sports venue area per capita" indicator has already met the "Healthy China 2030" national target. [2]</t>
  </si>
  <si>
    <t>There is evidence of multisectoral health promotion policies by the city-state authorities._x000D__x000D_Singapore's HPB (Health Promotion Board) has created different initiatives to promote healthier lifestyles: free exercise sessions in community areas, public mental health education campaigns, and an app called Healthy 365 to track physical activities and diets. Overall, the HPB highlights the importance of multisectoral efforts in these initiatives, incorporating the public, private, and community spheres. According to the HPB, partnerships across different sectors are powerful once they have ensured that 93 constituencies in Singapore have access to the Community Ecosystem (a program to promote exercise and healthy lifestyles) [1].</t>
  </si>
  <si>
    <t>[1] Ministry of Foreign Affairs. EXPERIENCE SINGAPORE ON THE WELLNESS TRACK. Singapore Ministry of Foreign Affairs.2022. Available from: Ministry of Foreign Affairs Singapore. Available from: https://www.mfa.gov.sg › ExpSG-issue-78-2022</t>
  </si>
  <si>
    <t>There is evidence of city-led educational programs focused on health, such as the GPs in Schools, a 3-hour workshop for year 11 students in Northern Sydney high schools that has been running for over 20 years and aligns with the NSW Department of Education's Life Ready course. [1] The NSW Health offers a variety of free programs for communities, schools, families and individuals. [2] [3]</t>
  </si>
  <si>
    <t>There are multisectoral health promotion programmes by city authorities, care providers or others._x000D_Based on the Health Promotion Act, the "National Health Promotion Strategy" has been implemented since 1978. Starting from fiscal year 2013, a 10-year plan titled "Health Japan 21 (Second Term)" was initiated with goals such as preventing lifestyle-related diseases, extending healthy life expectancy, and reducing health disparities. From the fiscal year 2024 (April 2024 onwards), the "Health Japan 21 (Third Term)" will commence, continuing the efforts to promote national health in the 21st century.[1] In accordance with these national policies and plans, each local government is formulating health promotion plans. _x000D__x000D_The goal of Tokyo Health Promotion Plan 21 (Second Term) is to extend healthy life expectancy and reduce health disparities by focusing on three main areas: prevention of onset and progression of major lifestyle-related diseases (cancer, diabetes, cardiovascular diseases, COPD), improvement of lifestyle habits, and establishment of a supportive social environment for health promotion tailored to various life stages. Efforts are being promoted through collaborative initiatives involving local governments, health insurers, educational institutions such as schools, medical associations, NGOs, and corporations.[2] _x000D__x000D_Various health education programs are also being implemented by medical institutions and other organisations. For example, at the National Hospital Organization Tokyo National Hospital, provides seminars on topics such as the dangers of smoking, the risks of PM2.5, and stroke prevention for neighbourhood associations, civic groups, schools, and corporations.[3] The Japan Preventive Association of Lifestyle-related Disease designates a "Lifestyle-related Disease Prevention Month" annually and conducts public lectures and events as part of their efforts.[4]</t>
  </si>
  <si>
    <t>Toronto's healthy school strategy 2022-2026, is a commitment between partners (Toronto Public Health and the Toronto School boards) to engage in collective action to support student well-being through the creation of healthy school environments and youth. [1] _x000D__x000D_No evidence of health promotion programmes by care providers or other organisations.</t>
  </si>
  <si>
    <t>[1] City of Toronto. Toronto Healthy Schools Strategy 2022-2026. Toronto: City of Toronto. Available from:https://www.toronto.ca/community-people/health-wellness-care/health-info-for-specific-audiences/health-info-for-schools-teachers/</t>
  </si>
  <si>
    <t>There is clear evidence of multisectoral health promotion programmes by both the city and by care providers._x000D__x000D_The city government of Vienna's health promotion programs include a mix of city-supported programmes and programmes provided by third parties. The "Community Nursing Vienna" program aims to provide older people and their relatives "Advice and support, training courses, information events, preventive home visits, personal consultation hours, referral to subsidised health services"; the programme is free [1,2]. The "Neighborhood Centers" program includes counselling relating to health, including information on "nutritional issues or information on current issues such as diabetes, high blood pressure, cholesterol and obesity" as well as assistance in accessing care [3]. The Healthy for life project pairs older people with a volunteer, trained health buddy to encourage exercise and provide nutrition advice [1]. The social-medical counselling for refugee women in Vienna offers "Advice on all questions relating to health, individual medical history of chronic illnesses and disabilities and general topics (lifestyle, risk factors, nutrition, exercise, hygiene, mental health, (training) education/job opportunities/daily structure, early detection and preventive medicine for women and children)" [1].</t>
  </si>
  <si>
    <t>As part of implementing Wuhan's "323" health campaign aimed at treatment of cardiovascular and cerebrovascular diseases, a comprehensive, multisectoral approach has taken place. In Qiaokou District of Wuhan, for instance, the local authorities adminstered an integrated plan aimed at mental health prevention and control, prevention and control of myopia in children and adolescents, and chronic disease treatment. Similarly, alongside the Community Health Service Center, the district has also established a grassroots cardiovascular and cerebrovascular integrated prevention and treatment station through cooperation with authoritative medical institutions, consolidating prevention and control responsibilities at the grassroots level. This unit works with the national China Chest Pain Centre. This station will go into communities, schools, and enterprises to carry out cardiovascular and cerebrovascular disease prevention and treatment lectures, disease screening, on-site free clinics and other activities to protect the health of the general public. [1]_x000D__x000D_The Wuhan Science Popularization Resource Base provides guidance for Wuhan residents on a wide range of health matters, [2] as well as media aimed at improving cardiovascular health in the city. [3]</t>
  </si>
  <si>
    <t>There is no multisectoral health education policy adopted by the city authorities. However, there are some campaigns run by national authorities, notably the Ministry of Health and Sports (MOHS). In 2018 and 2019, posters and pamphlets made by the MOHS and WHO regarding hypertension and diabetes were distributed informing the nature of those diseases, risk factors, recommendations and advice for the patients. Similar contents were transmitted through state media as well (television and press). [1] In 2018, the MOHS launched a mobile application for diabetes awareness. (However, the application is not well maintained. The application is not compatible with recent android systems). [2]_x000D__x000D_The township departments of public health are however involved in the policy implementation and enforcement. Those departments hold periodic public talks about various topics including hypertension and diabetes. The township departments are responsible for disease control, public health (such as health promotion, maternal and reproductive health, and environmental health). Each township has a department of public health, and Yangon city has 33 township departments. [3]</t>
  </si>
  <si>
    <t>Overall score and domain scores</t>
  </si>
  <si>
    <t>Score is linear transformation of data values to the scale 0-100 where 100=most healthy environment. A data value of 5 or below scores 100, a data value of 5.1 or above scores 0.{NL}{NL}Lower data values produce higher scores.</t>
  </si>
  <si>
    <t>DESCRIPTION{NL}Mean particulates (PM2.5) in urban areas
Mean annual concentration of fine suspended particles of less than 2.5 microns in diameter. Mean Population Exposure to PM2.5 (Micrograms/m3){NL}{NL}DATA UNIT{NL}μg/m³{NL}{NL}DATA SOURCE{NL}UN SDG Indicators Database{NL}{NL}DATA YEAR{NL}2019{NL}{NL}SCORE CALCULATION{NL}Score is linear transformation of data values to the scale 0-100 where 100=most healthy environment. A data value of 5 or below scores 100, a data value of 5.1 or above scores 0.{NL}{NL}Lower data values produce higher scores.</t>
  </si>
  <si>
    <t>DESCRIPTION{NL}NL}Mean particulates (PM2.5) in urban areas
Mean annual concentration of fine suspended particles of less than 2.5 microns in diameter. Mean Population Exposure to PM2.5 (Micrograms/m3){NL}{NL}NOTES{NL}NL}DATA UNIT{NL}{NL}μg/m³; lower data value=higher score.{NL}{NL}Score is linear transformation of data values to the scale 0-100 where 100=most healthy environment. A data value of 5 or below scores 100, a data value of 5.1 or above scores 0</t>
  </si>
  <si>
    <t>Determine the relative contribution of each domain to the overall score</t>
  </si>
  <si>
    <t>Commissioned by</t>
  </si>
  <si>
    <t>D:\work\current_work\Novartis City Heartbeat\NOVARTIS_CITY_HEARTBEAT_2024_MDF_v0.15_27th_June_2024.xlsm</t>
  </si>
  <si>
    <t>[1] . OECD. Mexico, Education at a Glance 2022: OECD Indicators [Internet]. OECD; 2022. [Accessed May 2nd 2024]. Available from: https://www.oecd-ilibrary.org/sites/a842076d-en/index.html?itemId=/content/component/a842076d-en</t>
  </si>
  <si>
    <t>[1] Statistics Austria. Educational Attainment. Vienna: Statistics Austria; 2023. Available from: https://www.statistik.at/atlas/?mapid=them_bildung_bildungsstand&amp;layerid=layer1_polbez&amp;sublayerid=sublayer0&amp;languageid=1&amp;bbox=1260141,5957003,1967642,6355087,8</t>
  </si>
  <si>
    <t>[1] Italian National Institute of Health (Istituto Superiore di Sanità--ISS). EpiCentro. Sorveglianza PASSI (PASSI Surveillance). Abitudine al fumo (Smoking habits). Rome. ISS. 2024. Available from: https://www.epicentro.iss.it/passi/dati/fumo</t>
  </si>
  <si>
    <t>Data on consumption of vegetables were collected as part of the National Health Survey in 2023 and are set to be published later this year for the DKI Jakarta province. [1]</t>
  </si>
  <si>
    <t>Available evidence does not indicate that city-level data on the consumption of foods in Madrid high in trans fatty acids have been collected and published in the last five years. The key statistical reports published by public-sector entities on food consumption patterns in Spain's regions do not discuss these types of products in any detail. _x000D__x000D_The Ministry of Agriculture, Fisheries and Food's latest Report of Food Consumption in Spain, covering the year 2022, does not discuss trans fatty acids but does provide some data, broken down by region, on per-capita consumption of various types of edible oils (by far, most consumption is of olive oil). [1]_x000D__x000D_State-owned food-distribution company Mercasa's latest report on the Community of Madrid, covering the year 2020, provides data points on the consumption of fats and processed foods but does not discuss trans fatty acids. [2] _x000D__x000D_Similarly, the latest City of Madrid Health Study, published in 2022, does not discuss such products. [3]</t>
  </si>
  <si>
    <t>[1] Italian National Institute of Health (Istituto Superiore di Sanità--ISS). EpiCentro. Sorveglianza PASSI (PASSI Surveillance). Rome. ISS. 2024. Available from: https://www.epicentro.iss.it/passi/</t>
  </si>
  <si>
    <t>There are no data available from the Wuhan Statistics Bureau or the Wuhan Health Information Centre on the amount of trans fatty acids consumed. [1] [2]_x000D__x000D_Data are not available from the China Statistical Yearbook, which only shows data for Hubei at a provincial level. [3]</t>
  </si>
  <si>
    <t>A research article published by researchers from Jahangirnagar University, Dhaka &amp; Youth Research Association, Dhaka in 2020 only provides national-level data on physical inactivity in Bangladeshi population. [1] No city-level data are available on Dhaka District's web portal, the Ministry of Health and Family Welfare, nor via the Directorate General of Health Services (DGHS) website. [2] [3] [4]</t>
  </si>
  <si>
    <t>Nationwide, China consistently conducts surveys on not only hypertension and raised blood pressure but all cardiovascular diseases. However, there is no evidence of a dedicated survey in Beijing. [1]_x000D__x000D_Regarding the national survey, the last of which covered the year of 2022, it provides information on how the country has experienced rapid socio-economic progress, leading to lifestyle changes, heightened urbanisation, and accelerated population ageing, which has resulted in a surge of cardiovascular diseases (CVD) among residents due to unhealthy living habits. [2] CVD now ranks as the primary cause of death for both rural (46.74%) and urban (44.26%) populations in China, imposing a substantial economic burden and emerging as a critical public health concern. [2]_x000D__x000D_The national report acts as an information hub for national CVD prevention and control, aiming to enhance China's international standing in CVD research. The report's compilation has garnered substantial support from institutions and experts, welcoming valuable feedback for continuous refinement. [2]_x000D__x000D_There is no evidence of a dedicated survey for CVD risk factors in Beijing. [3] However, as part of a project for stroke prevention, medical institutions in Beijing will establish a high blood pressure screening system for first-time patients above the age of 35. The goal is to have the awareness rate of hypertension for residents aged 30 and above reach 60% by 2025 and reach 65% by 2030. [4] [5]</t>
  </si>
  <si>
    <t>Data on diabetes were collected as part of the National Health Survey in 2023 and are set to be published later this year for the DKI Jakarta province. [1]</t>
  </si>
  <si>
    <t>[1] Secretaría de Educación, Ciencia, Tecnología e Innovación de la CDMX. En la Ciudad de México hay 2.2 millones de diabéticos [In Mexico City there are 2.2 million diabetics] [Internet]. Secretaría de Educación, Ciencia, Tecnología e Innovación de la CDMX. Ciudad de México: Government of Mexico City; 2020 [Accessed April 26th 2024]. Available from: https://sectei.cdmx.gob.mx/comunicacion/nota/en-la-ciudad-de-mexico-hay-22-millones-de-diabeticos</t>
  </si>
  <si>
    <t>Data on obesity were collected as part of the National Health Survey in 2023 and are set to be published later this year for the DKI Jakarta province. [1]</t>
  </si>
  <si>
    <t>Data on raised blood cholesterol were collected as part of the National Health Survey in 2023 and are set to be published later this year for the DKI Jakarta province. [1]</t>
  </si>
  <si>
    <t>Raised blood cholesterol data were not found for either Toronto or Canada. Both regions have publications and statistics available to the population on chronic disease care, such as diabetes or heart disease, but specific data on high cholesterol aren't collected. [1]</t>
  </si>
  <si>
    <t>Available evidence from the Italian Medicines Agency (AIFA) indicates that essential CVD medicines included in the WHO Model List of Essential medicines are both available and affordable in Italy. [1]_x000D__x000D_In Italy, "prescription drugs are divided into three tiers according to clinical effectiveness and, in part, cost-effectiveness: Tier 1 (Classe A) includes lifesaving drugs and treatments for chronic conditions and is covered in all cases. Tier 2 (Classe C) includes drugs for all other conditions and is not covered by the National Health Service (SSN). Tier 3 (Classe H) comprises drugs that can be delivered only in a hospital setting." [2] All the essential CVD medicines included in the WHO's list are in Tier 1 (Classe A) and therefore affordable.</t>
  </si>
  <si>
    <t>Antihypertensive medicines and lip-lowering medicines are available; however, the affordability seems to depend on a few factors. [1] [2]_x000D__x000D_Canada's drug prices are now the third highest among the Organisation for Economic Co-operation and Development (OECD) countries - that is about 25% above the OECD median. Work is being done with provinces and territories to reduce drug costs. [3] Under the Canada Health Act, prescription drugs administered in Canadian hospitals are provided at no cost to the patient. Outside of the hospital setting, provincial and territorial governments are responsible for the administration of their own publicly-funded drug plans. Most Canadians have access to insurance coverage for prescription drugs via insurance plans. [4]_x000D__x000D_The Ontario Drug Benefit Programme (public drug funding system of Ontario) covers the cost of 5000 medications, of which most of the above medicines seem to be included. [2]_x000D__x000D_People "may be covered" by the ODB if they have _x000D_- OHIP coverage (Ontario health insurance plan - gov run programme)_x000D_- aged 65 or older_x000D_- living in a long-term care home or home of special care_x000D_- receiving professionals home and community care services _x000D_- enrolled in the Trillium Drug Program [2]</t>
  </si>
  <si>
    <t>With the City of Toronto Act, 2006, Toronto's government has broad powers to pass by-laws regarding matters that range from public safety to the city's economic, social and environmental well-being. [1]_x000D__x000D_The Mayor is the head of the city council and can make requests of city staff to undertake research and provide advice to the Mayor and City Council on City policies and programs. [2,3]</t>
  </si>
  <si>
    <t>The Algiers city government has a health department. _x000D__x000D_The Directorate of Health and Population of the Algiers region (Direction de la Santé et de la Population de la Wilaya d'Alger, "DSP d'Alger") is the dedicated city government health department of Algiers. [1] However, there is no evidence of a clear set of responsibilities and a process for monitoring activities on the dedicated Facebook page for DSP d'Alger and on the archived page of the Algerian Ministry of Health, Population, and Hospital Reform. [1] [2]_x000D__x000D_There is no evidence that Algiers is a member of any global, regional, or national urban health networks or initiatives on both the dedicated Facebook page for DSP d'Alger and the archived page of the Algerian Ministry of Health, Population, and Hospital Reform (not accessible as of March 2024). [1] [2]</t>
  </si>
  <si>
    <t>Beijing has a municipal government health department that holds a clear set of responsibilities and a process for monitoring activities. The city's Municipal Health Commission also has cooperation with other national and international health entities._x000D__x000D_Beijing's government health entity is the Beijing Municipal Health Commission, which, overseen by the CPC Central Committee and the municipal Party committee on health-related works and policy development, holds a "bureau-status constituent authority" of the municipal government. [1] It implements guidelines, policies, decisions, and arrangements adopted by higher-level government bodies. [1] [2]_x000D__x000D_There is no evidence of involvement in urban health network initiatives. [3] [4]</t>
  </si>
  <si>
    <t>[1] Government of Delhi. Department of Health and Family Welfare. [Accessed March 8th 2024]. Available from: https://health.delhi.gov.in/health/introduction</t>
  </si>
  <si>
    <t>Berlin has an urban public health plan with an allocated budget. Berlin's Action Programme Health (APG) is jointly developed between the senate Department for Higher Education and Research, Health and Long-Term Care and the the State Health Conference (Landesgesundheitskonferenz- LGK) of Berlin; in 2023, the program had a budget of 1.377 million euros [1]. Currently, the APG's goals include funding for programmes that improve the health of vulnerable groups, establishing prevention chains in the districts of Berlin, and "health in all policy areas" which works with other government departments to improve health outcomes throughout the city. [1] _x000D__x000D_There is evidence of policy on NCDs. Some of the APG targets address the precursors of NCDs by encouraging healthy eating and achieving a healthy weight through diet in children, exercise for all age groups, but particularly for elderly people and for children. [1] Separately, the department has 4 health goals, also formulated with the input of the LGK: "increase health opportunities for children and young people – reducing discrimination; Strengthening health and work in Berlin; Getting self-employment and quality of life in old age; [and] Health and Participation". [2] The goal targeting elderly people specifies that it is both to improve the overall quality of life of elderly people but also to restrict diseases that increasingly afflict that population (i.e., NCDs). [3]</t>
  </si>
  <si>
    <t>Toronto Public Health had a strategic plan for 2015-2019 with the mission to reduce health inequities and improve the health of the population. The strategic plan laid out 5 priority directions: 1. serve the public health needs of the city's diverse communities, 2. champion healthy public policy, 3. anticipate and respond to emerging public health threats, 4. lead innovation in public health practice, and 5. be a healthy workplace) At present, Toronto's Board of Health is developing a new strategic plan to help guide TPH's work between 2024-2028. [1]_x000D__x000D_The above plans (2015-2019 and 2024-2028) do not make note of any budget but TPH have shared a document titled "2024 Budget notes Toronto Public Health" which lists the budget for TPH across different services as well as its future commitments. [2] An example of this includes the Chronic Disease and Injury Prevention services where they note that $53.7 million goes into this (gross 2024 operating budget). Under this, programmes and services such as nutrition and physical activity, diabetes prevention and tobacco cessation programmes are included. _x000D__x000D_There is no mention of a separate NCD/CVD plan, nor is it part of the general plans listed above (2015-2019/2024-2028).</t>
  </si>
  <si>
    <t>No evidence of a city-level urban public health plan was found on the websites of the City of Johannesburg (CoJ), the province of Gauteng and national government. [1] [2] [3] Additionally, no evidence of stakeholder engagement in local health initiatives was found on the CoJ's website. [1] Governmental annual reports from the last 3 years list the participation of stakeholders in some of CoJ's initiatives, but none regarding the Department of Health. [4] [5] The 2021/22 report is the only one that addresses engagement with stakeholders and the Department, stating that there was intersectoral collaboration with different stakeholders, such as non-governmental organisations, faith-based organisations, private facilities, partners and others. It does not specify the context of this participation. [5]</t>
  </si>
  <si>
    <t>Germany has guidelines for both hypertension and diabetes treatment._x000D__x000D_The Program for National Health Care Guidelines (NVL) is a collaboration between the German Medical Association, the National Association of Statutory Health Insurance Physicians and the Association of Scientific Medical Societies, and develops guidelines and protocols for various diseases with a specific focus on evidence-based medicine. [1] The NVL has published guidelines for treating hypertension and diabetes. [2] [3] Both were developed in 2023 and are valid through 2028. [2] [3]</t>
  </si>
  <si>
    <t>There is no evidence of multisectoral health promotion programs by city authorities or other organisations. _x000D__x000D_The Ministry of Health oversees the Healthy Living Community Network, known as Germas, a framework of seven health principles that is used by multiple stakeholders across the country, from outlying rural areas to inner-city neighbourhoods in Jakarta. Germas requires frontline health staff and local officials such as teachers to emphasise the importance of regular exercise and a nutritious diet, in addition to a clean environment and obtaining periodic health checks. The program is widely promoted in the media and on social media. The Germas program is taught in schools and is promoted at the lowest level of elected government in Jakarta, the Desa (Village). [1] An example of a multi-sectoral health initiative conceived, implemented and monitored by the DKI Jakarta government is the city's Air Pollution Control Strategy, which mandates the creation of smoke free areas, known as kawasan non rokok. This program is overseen by Satpol PP, the public order agency, and requires collaboration with state-owned enterprises and public infrastructure companies such as TransJakarta [2].</t>
  </si>
  <si>
    <t>[1] Child poverty statistics: Year ended June 2023. New Zealand Government; 2024. [Accessed 23rd April] Available from: https://www.stats.govt.nz/information-releases/child-poverty-statistics-year-ended-june-2023/
[2] Child Poverty Related Indicator Report 2023. New Zealand Government; 2023. [Accessed 23rd April] Available from: https://www.childyouthwellbeing.govt.nz/sites/default/files/2023-06/Child%20Poverty%20Related%20Indicators%20Report%202023.pdf
[3] Child Poverty Monitor 2022. New Zealand Child and Youth Epidemiology Service (NZCYES). University of Otago; 2022. [Accessed 23rd April] Available from: https://www.nzchildren.co.nz/</t>
  </si>
  <si>
    <t>[1] Bridging the Gap: Inequality and Jobs in Thailand. World Bank. Bangkok; 2023. Available from: https://documents1.worldbank.org/curated/en/099112823133018003/pdf/P17759905901d70ed0a968052455d5252f0.pdf
[2] Statistical Yearbook, 2023. National Statistics Office. Bangkok; 2024. Available from: https://www.nso.go.th/public/e-book/Statistical-Yearbook/SYB-2023/126/index.html</t>
  </si>
  <si>
    <t>[1] Beijing Municipal Bureau of Statistics and Survey Office of the National Bureau of Statistics in Beijing. Beijing's 2023 National Economic and Social Development Statistical Bulletin [北京市2023年国民经济和社会发展统计公报]. Beijing: Beijing Municipal Bureau of Statistics and Survey Office of the National Bureau of Statistics in Beijing, 21 March, 2023. Available from: https://tjj.beijing.gov.cn/tjsj_31433/tjgb_31445/ndgb_31446/202403/t20240321_3595860.html.
[2] National Bureau of Statistics. 6-36, Poverty Conditions in Rural Areas. China Statistical Yearbook 2021. Beijing: National Bureau of Statistics, 2021. Available from: https://www.stats.gov.cn/sj/ndsj/2021/indexeh.htm.
[3] China Household Finance Survey. 2023 Q1 China's household wealth change trends[2023Q1 中国家庭财富变动趋势]. Chengdu: Southwestern University of Finance and Economics, 2023. Available from: https://n3.sinaimg.cn/finance/20780633/20230525/XiLieBaoGaoQuanWen.pdf.</t>
  </si>
  <si>
    <t>[1] Central Agency for Public Mobilization and Statistics (CAPMAS). Cairo: Central Agency for Public Mobilization and Statistics (CAPMAS). Accessed April 27th 2024. Available from: https://www.cedejcapmas.org/adws/app/4d5b52dc-669d-11e9-b6a6-975656a88994/index.html
[2] Central Agency for Public Mobilization and Statistics (CAPMAS). Poverty. Cairo: Central Agency for Public Mobilization and Statistics (CAPMAS). Accessed April 27th 2024. Available from: https://www.capmas.gov.eg/Pages/IndicatorsPage.aspx?page_id=6154&amp;ind_id=1124
[3] World Bank. Poverty &amp; Equity Brief. Washington (DC): World Bank, 2023. Available from: https://databankfiles.worldbank.org/public/ddpext_download/poverty/987B9C90-CB9F-4D93-AE8C-750588BF00QA/current/Global_POVEQ_EGY.pdf</t>
  </si>
  <si>
    <t>[1] Poverty. Battaramulla. Department of Census and Statistics. Government of Srilanka. 2024. [ http://www.statistics.gov.lk/Poverty/staticalinformation#gsc.tab=0] Accessed April 29th 2024.
[2] Grama Niladhari Divisions Statistics-2020. Colombo District.Battaramulla.Department of Census and Statistics. Government of Srilanka. 2020. [ http://www.statistics.gov.lk/Resource/en/Population/GND_Reports/2020/Colombo.pdf] Accessed April 28th 2024.</t>
  </si>
  <si>
    <t>[1] Đến cuối năm 2022, TPHCM còn 28.896 hộ nghèo (chinhphu.vn)
[2] https://ttbc-hcm.gov.vn/tinh-hinh-lao-dong-viec-lam-tphcm-nhieu-diem-tich-cuc-khoi-sac-sau-tet-35634.html</t>
  </si>
  <si>
    <t>[1] Pakistan Institute of Development Economics. The State of Poverty in Pakistan: PIDE Report 2021. Islamabad: Pakistan Institute of Development Economics, 2021. Accessed April 29th 2024. Available from: https://file.pide.org.pk/uploads/rr-050-the-state-of-poverty-in-pakistan-pide-report-2021-68-mb.pdf
[2] Karachi Metropolitan Corporation. Karachi: Karachi Metropolitan Corporation. Accessed April 29th 2024]. Available from: https://kmc.gos.pk/en</t>
  </si>
  <si>
    <t>[1] Kathmandu Metropolitan City. 2024.
https://kathmandu.gov.np/?lang=en
[2] Ministry of Finance, Nepal. 2024
https://www.mof.gov.np/
[3] Nepal Living Standards Survey IV. Central Bureau of Statistics, Nepal. 2023. 
https://nepalindata.com/resource/NEPAL-LIVING-STANDARDS-SURVEY-IV-2022-23/</t>
  </si>
  <si>
    <t>[1] Basic Statistics of Kolkata. Kolkata Municipal Corporation. Kolkata. 2024. Available from: https://www.kmcgov.in/KMCPortal/jsp/KolkataStatistics.jsp Accessed April 28th 2024. 
[2] Multidimensional Poverty. Calcutta Rescue. Kolkata. 2023. Available from: https://calcuttarescue.org/poverty-research/multidimensional-poverty/ Accessed April 28th 2024. 
[3] Poverty in Kolkata. The Borgen Project. Tacoma, WA. 2016. Available from: https://borgenproject.org/poverty-in-kolkata/ Accessed April 28th 2024.</t>
  </si>
  <si>
    <t>[1] Central Statistical Bureau. Kuwait: Central Statistical Bureau, 2024. Available from: https://www.csb.gov.kw
[2] Ministry of Interior. Kuwait: Ministry of Interior, 2024. Available from: https://www.moi.gov.kw/main
[3] Kuwait's Welfare System: Description, Assessment and Proposals for Reforms. Palier B et al. 2021, 18, Laboratory for Interdisciplinary Evaluation of Public Policies. Available from: https://sciencespo.hal.science/hal-03396220/file/Final%20Report%20LIEPP_KFAS_May%202021.pdf</t>
  </si>
  <si>
    <t>[1] National Institute of Statistics (Instituto Nacional de Estadística). Encuesta de condiciones de vida. Resultados por comunidades autónomas: Madrid, Comunidad de (Survey of life conditions. Results by autonomous communities: Madrid, Community of). Madrid. Instituto Nacional de Estadística. 2023. Available from: https://www.ine.es/jaxiT3/Datos.htm?t=9963
[2] EAPN Madrid. lunes, 17 de octubre de 2022 - El 21,6 % de la población madrileña está en riesgo de pobreza o exclusión social (Monday, October 17, 2022 - 21.6% of the Madrid population is at risk of poverty or social exclusion). Madrid. EAPN Madrid. October 2022. Available from: https://www.eapnmadrid.org/noticia.asp?id_not=298
Other sources:
Workers' Commissions of Madrid (Comisiones Obreras de Madrid). Informe de situación de la pobreza en Madrid 2023 (Report on the poverty situation in Madrid 2023). Madrid. Comisiones Obreras de Madrid. October 2023. Available from: https://madrid.ccoo.es/bacf2d9bb4fb0d0ff31e68a2014422ec000045.pdf</t>
  </si>
  <si>
    <t>[1] Census. Mumbai City. Government of Maharashtra. 2024. Available from: https://mumbaicity.gov.in/document-the category/census/. Accessed April 24th 2024. 
[2] Mumbai Population 2024. World Population Review. 2024. Available from: https://worldpopulationreview.com/world-cities/mumbai-population Accessed April 24th 2024.</t>
  </si>
  <si>
    <t>[1] Poverty Tracker Research Group at Columbia University. The State of
Poverty and Disadvantage in New York City, Volume 6. New York City. Poverty Tracker Research Group.2024. Available from: https://robinhood.org/wp-content/uploads/2024/02/Annual-Poverty-Tracker-Report-2024.pdf</t>
  </si>
  <si>
    <t>[1] General Authority for Statistics. Riyadh: General Authority for Statistics, 2024. Available from: https://www.stats.gov.sa/
[2] Ministry of Interior. Riyadh: Ministry of Interior, 2024. Available from: https://www.moi.gov.sa/wps/vanityurl/en/home
[3] Ministry of Economy and Planning. Riyadh: Ministry of Economy and Planning, 2024. Available from: https://mep.gov.sa</t>
  </si>
  <si>
    <t>[1] Ferrigni, N. (editor). LE NUOVE POVERTÀ NEL TERRITORIO DI ROMA CAPITALE (The New Poverty in the Rome Capital Territory). Rome. Comune di Roma. 14 June 2021. Available from: https://www.comune.roma.it/web-resources/cms/documents/RAPPORTO_NUOVE_POVERTA_ROMA.pdf 
[2] National Institute of Statistics (Istituto Nazionale di Statistica--ISTAT). LE STATISTICHE DELL'ISTAT SULLA POVERTÀ | ANNO 2022 In crescita la povertà assoluta a causa dell'inflazione(ISTAT STATISTICS ON POVERTY | YEAR 2022 Absolute poverty is growing due to inflation). Rome. Istat. 2023. Available from: https://www.istat.it/it/files/2023/10/REPORT-POVERTA-2022.pdf</t>
  </si>
  <si>
    <t>[1] Seoul Metropolitan Government. National Minimum Security Benefit Recipients. Seoul: Seoul Metropolitan Government; January 2021. Available from: http://data.seoul.go.kr/dataList/1/S/2/datasetView.do
[2] Seoul Metropolitan Government. Seoul Population Trend. Seoul: Seoul Metropolitan Government; January 2023. Available from: https://data.seoul.go.kr/dataList/418/S/2/datasetView.do
[3] Seoul Metropolitan Government. Survey on Residential Conditions of Households With Children in Seoul. Seoul: Seoul Metropolitan Government; December 2022. Available from: https://data.seoul.go.kr/dataList/DT201016001/S/2/datasetView.do#</t>
  </si>
  <si>
    <t>[1] Shanghai Statistics Bureau. 2023 Shanghai Statistical Bulletin on National Economic and Social Development [2023年上海市国民经济和社会发展统计公报]. Shanghai: Shanghai Statistics Bureau, 21 March 2023. Available from: https://tjj.sh.gov.cn/tjgb/20240321/f66c5b25ce604a1f9af755941d5f454a.html.
[2] National Bureau of Statistics. 6-36, Poverty Conditions in Rural Areas. China Statistical Yearbook 2021. Beijing: National Bureau of Statistics, 2021. Available from: https://www.stats.gov.cn/sj/ndsj/2021/indexeh.htm.
[3] China Household Finance Survey. 2023 Q1 China's household wealth change trends[2023Q1 中国家庭财富变动趋势]. Chengdu: Southwestern University of Finance and Economics, 2023. Available from: https://n3.sinaimg.cn/finance/20780633/20230525/XiLieBaoGaoQuanWen.pdf.</t>
  </si>
  <si>
    <t>[1] Department of Statistics Singapore. Key Household Income Trends, 2023. Singapore. DOS. 2023. Available from: https://www.singstat.gov.sg/-/media/files/publications/households/pp-s30.ashx
[2] Donaldson, John A.; Loh, Jacqueline; Mudaliar, Sanushka; Md Kadir, Mumtaz; Wu, Biqi; and Yeoh, Lam
Keong. Measuring Poverty in Singapore: Frameworks for Consideration. Social Space. 2013.58-66.</t>
  </si>
  <si>
    <t>[1] NATSEM - Social and Economic Indicators - Synthetic Estimates SA2 2016 - Dataset - AURIN. Camberra: NETSEM, 2016. Available from: https://data.aurin.org.au/dataset/uc-natsem-natsem-social-indicators-estimates-sa2-2016-sa2-2016
[2] Rose T, Nicholas J. "Latte line": poverty rises in parts of Sydney as gap hardens between city's east and west. Sydney: The Guardian, 2023. Available from: https://www.theguardian.com/australia-news/2023/apr/26/latte-line-poverty-rates-worsen-in-parts-of-sydney-creating-a-30-gap-between-some-suburbs
[3] Vidyattama Y, Tanton R. Mapping Economic Disadvantage in New South Wales. Sydney: NSW Councl of Social Service; 2019. Available from: https://www.ncoss.org.au/wp-content/uploads/2019/10/Web-Version-Mapping-Economic-Disadvantage-in-New-South-Wales-report1.pdf
‌</t>
  </si>
  <si>
    <t>[1] Research Center for Child and Adolescent Poverty. Survey on the Realities of Children's Lives. Tokyo: Tokyo Metropolitan University, November 2023. Available from:
https://beyond.research-miyacology.tmu.ac.jp/assets/sites-files/child-and-adolescent-poverty/files/tokyo2022/2022%E6%9D%B1%E4%BA%AC%E9%83%BD%E8%AA%BF%E6%9F%BB%E6%A6%82%E8%A6%81%E7%89%88final.pdf"</t>
  </si>
  <si>
    <t>[1] Wuhan Statistics Bureau. Wuhan National Economic and Social Development Statistical Bulletin 2023 [2023年武汉市国民经济和社会发展统计公报]. Wuhan: Wuhan Statistics Bureau, 5 April 2023. Available from: https://tjj.wuhan.gov.cn/tjfw/tjgb/202404/t20240405_2384677.shtml.
[2] National Bureau of Statistics. 6-36, Poverty Conditions in Rural Areas. China Statistical Yearbook 2022. Beijing: National Bureau of Statistics, 2022. Available from: https://www.stats.gov.cn/sj/ndsj/2022/indexeh.htm.
[3] National Bureau of Statistics. 6-36, Poverty Conditions in Rural Areas. China Statistical Yearbook 2021. Beijing: National Bureau of Statistics, 2021. Available from: https://www.stats.gov.cn/sj/ndsj/2021/indexeh.htm.
[4] China Household Finance Survey. 2023 Q1 China's household wealth change trends[2023Q1 中国家庭财富变动趋势]. Chengdu: Southwestern University of Finance and Economics, 2023. Available from: https://n3.sinaimg.cn/finance/20780633/20230525/XiLieBaoGaoQuanWen.pdf.</t>
  </si>
  <si>
    <t>[1] UNDP. Poverty and the Household Economy of Myanmar: a Disappearing Middle Class. New York: UNDP. April 2024. Accessed April 26th 2024. Available from: https://themimu.info/sites/themimu.info/files/documents/Report_Poverty_and_Household_Economy_of_Myanmar_-_Disappearing_Middle_Class_UNDP_Apr2024.pdf
[2] UNDP, Covid-19, Coup d'état et Poverty. New York: UNDP. April 2021. Accessed April 26th 2024. Available from: https://themimu.info/sites/themimu.info/files/documents/Report_COVID-19_Coup_dEtat_and_Poverty_-_Impact_on_Myanmar_UNDP_Apr2021.pdf</t>
  </si>
  <si>
    <t>[1] World Bank. Educational attainment, at least completed upper secondary, population 25+, total (%) (cumulative). Washington, DC: The World Bank; [updated 2024]. Available from: https://data.worldbank.org/indicator/SE.SEC.CUAT.UP.ZS 
[2] Ministry of Education. Home. Addis Ababa: Ministry of Education. [Accessed March 28th 2024]. Available from: www.moe.gov.et
[3] Addis Ababa City Education Bureau. City Government of Addis Ababa City Education Bureau. Addis Ababa: Addis Ababa City Education Bureau. [Accessed March 28th 2024]. Available from: www.aaceb.gov.et
[4] Ministry of Education. Education Statistics Annual Abstract September 2019 - March 2020. Addis Ababa: Ministry of Education; [December 2020]. Available from: https://ecde.aau.edu.et/jspui/bitstream/123456789/275/1/MoE%2017%20ESAA%202012%20E.C%20%282019-2020%20G.C.%29.pdf
[5] Lindner, J. Ethiopian Education Statistics. [location unavailable]: Gitnux; [updated December 2023]. Available from: https://gitnux.org/ethiopian-education-statistics/</t>
  </si>
  <si>
    <t>[1] World Bank. World Development Indicators. Washington (DC): World Bank. [Accessed March 5th 2024]. Available from: https://databank.worldbank.org/source/world-development-indicators/Series/SE.SEC.CUAT.UP.ZS
[2] Ministry of Education Portal. Algiers: Ministry of Education. [Accessed March 5th 2024]. Available from: https://www.education.gov.dz/fr/
[3] ONS. Algerian National Office of Statistics. Algiers: Algerian National Office of Statistics. [Accessed March 5th 2024]. Available from: https://www.ons.dz</t>
  </si>
  <si>
    <t>[1] Secretaría de Educación. Characterizing Bogotá's Educational Sector (Caracterización Sector Educativo Bogotá D.C). Bogotá. Secretaría de Educación.2021. Available from: https://www.educacionbogota.edu.co/portal_institucional/sites/default/files/Boletin_Caracterizacion_sector_educativo_Bogota_2021.pdf 
[2] DANE. Formal Education Technical Bulletin 2022 (Boletín Técnico Educación Formal 2022). Bogotá. DANE. 2022. Available from: https://www.dane.gov.co/files/operaciones/EDUC/bol-EDUC-2022.pdf 
[3] DANE. Statistics by topic Education (Estadísticas por tema Educación). Bogotá. DANE. 2024. Available from: https://www.dane.gov.co/index.php/estadisticas-por-tema/educacion 
[4] Ministerio de Educación Nacional. Open-Data (Datos Abiertos). Bogotá. Ministerio de Educación Nacional. 2024. Available from: https://www.mineducacion.gov.co/portal/micrositios-institucionales/Modelo-Integrado-de-Planeacion-y-Gestion/Datos-abiertos/349303:Datos-Abiertos</t>
  </si>
  <si>
    <t>[1] Central Statistics Bureau. Most important data of settlements, Budapest. Budapest: Central Statistics Bureau. [Accessed April 8th 2024]. Available from: https://nepszamlalas2022.ksh.hu/eredmenyek/vizualizaciok/a-telepulesek-legfontosabb-adatai/?ter=13578
[2] Central Statistics Bureau. Sustainable Development Goals, Proportion of People Who Have Higher Education. Budapest: Central Statistics Bureau. [Accessed March 4th 2024]. Available from: https://ksh.hu/s/kiadvanyok/fenntarthato-fejlodes-indikatorai-2022/1-24-sdg-4</t>
  </si>
  <si>
    <t>[1] Censuses. Battaramulla. Department of Census and Statistics. Government of Sri Lanka. 2024. http://www.statistics.gov.lk/Censuses [Accessed April 29th 2024]. Available from: http://www.statistics.gov.lk/Censuses
[2] Grama Niladhari Divisions Statistics-2020. Colombo District. Battaramulla. Department of Census and Statistics. Government of Sri Lanka. 2020. [Accessed April 28th 2024]. Available from: http://www.statistics.gov.lk/Resource/en/Population/GND_Reports/2020/Colombo.pdf</t>
  </si>
  <si>
    <t>[1] International Institute for Population Sciences. National Family Health Survey 2019-2021,Delhi.Mumbai.Ministry of Health and Family Welfare. Government of India. 2022. [Accessed May 1st 2024]. Available from: https://rchiips.org/nfhs/NFHS-5_FCTS/NCT_Delhi.pdf
[2] Report/Survey. Ministry of Statistics and Implementation. Government of India. [Accessed May 1st 2024]. Available from: https://www.mospi.gov.in/download-reports</t>
  </si>
  <si>
    <t>[1] Bangladesh Bureau of Educational Information and Statistics (BANBEIS). Bangladesh Education Statistics 2022. Dhaka: BANBEIS. 2022. [Accessed 29th April 2024]. Available from: https://banbeis.portal.gov.bd/sites/default/files/files/banbeis.portal.gov.bd/page/6d10c6e9_d26c_4b9b_9c7f_770f9c68df7c/Bangladesh%20Education%20Statistics%202022%20%281%29_compressed.pdf
[2] UNICEF. Bangladesh Education Fact Sheets. New York: United Nations International Children's Emergency Fund. 2021. [Accessed 29th April 2024]. Available from: https://data.unicef.org/wp-content/uploads/2021/05/Bangladesh-Education-Fact-Sheets_V7.pdf</t>
  </si>
  <si>
    <t>[1] UAE Ministry of Education. UAE Education Progression &amp; Demographics. Dubai: Federal Geographic Information Centre. 2022. [Accessed March 4th 2024]. Available from: https://ispatialtec.maps.arcgis.com/apps/dashboards/43c11dc8adbc410ea8df67c1ba2cc818.
[2] DSC. Themes: Education. Dubai: Dubai Statistics Centre. 2021.; [Accessed March 4th 2024]. Available from: https://www.dsc.gov.ae/en-us/Themes/Pages/Education.aspx?Theme=37.
[3] FCSC. Data related to population, education, health, divorce and marriage, security and other related datasets. Dubai: Federal Competitiveness and Statistics Centre. [Accessed March 4th 2024]. Available from: https://fcsc.gov.ae/en-us/Pages/Statistics/Statistics-by-Subject.aspx#/%3Fyear=&amp;folder=Demography%20and%20Social/Population/Population&amp;subject=Demography%20and%20Social.</t>
  </si>
  <si>
    <t>[1] Central Population and Housing Census Steering Committee. Results: The Vietnam Population and Housing Census 2019. Available from:
https://vietnam.unfpa.org/sites/default/files/pub-pdf/Results%20-%202019%20Population%20and%20Housing%20Census_full.pdf
[2] Giáo dục Việt Nam. By 2030, Ho Chi Minh City strives to have 15% of the population have university degrees/ (Đến năm 2030, Thành phố Hồ Chí Minh phấn đấu 15% dân số trình độ đại học.) 15 March 2023. Available from: https://giaoduc.net.vn/den-nam-2030-thanh-pho-ho-chi-minh-phan-dau-15-dan-so-trinh-do-dai-hoc-post233728.gd</t>
  </si>
  <si>
    <t>[1] Istanbul Metropolitan Municipality (İstanbul Büyükşehir Belediyesi), Istanbul Statistics Office (İstanbul İstatistik Ofisi). Istanbul, İstanbul Büyükşehir Belediyesi. 2024. Available from: https://istatistik.istanbul/
[2] Istanbul Metropolitan Municipality. Istanbul Statistics Office. Istanbul Planning Agency (İstanbul Büyükşehir Belediyesi. Istanbul Istatistik Ofisi. Istanbul Planlama Ajansi). İSTANBUL EĞİTİM İSTATİSTİKLERİ, 2020 (ISTANBUL EDUCATION STATISTICS, 2020). Istanbul. Istanbul Planlama Ajansi. 28 October 2021. Available from: https://ipa.istanbul/istanbul-egitim-istatistikleri-2020/#:~:text=kurumlar%C4%B1nda%20e%C4%9Fitim%20al%C4%B1yor.-,%C4%B0stanbul'daki%20%C3%B6%C4%9Frencilerin%20%258%2C7'si%20okul%20%C3%B6ncesi,i%20genel%20liselerde%20e%C4%9Fitim%20g%C3%B6r%C3%BCyor.</t>
  </si>
  <si>
    <t>[1] Government of Sindh. School Education and Literacy Department. Sindh: Government of Sindh. [Accessed April 29th 2024]. Available from: http://www.sindheducation.gov.pk/
[2] Karachi Metropolitan Corporation. Karachi: Karachi Metropolitan Corporation. [Accessed April 29th 2024]. Available from: https://kmc.gos.pk/en</t>
  </si>
  <si>
    <t>[1] Kathmandu Metropolitan City. 2024. 
Available from: https://kathmandu.gov.np/?lang=en
[2] Ministry of Education, Science and Technology, Nepal. 2024.,
Available from: https://moest.gov.np/category/17
[3] Nepal Population and Housing Census 2021. National Statistics Office, Nepal. 2023. Available from: 
https://censusnepal.cbs.gov.np/results/files/result-folder/National%20Report_English.pdf</t>
  </si>
  <si>
    <t>[1] International Institute for Population Sciences. National Family Health Survey 2019-2021,West Bengal. Mumbai. Ministry of Health and Family Welfare. Government of India. 2022. [Accessed April 28th 2024]. Available from: https://rchiips.org/nfhs/NFHS-5_FCTS/West_Bengal.pdf
[2] Basic Statistics of Kolkata. Kolkata Municipal Corporation. Kolkata. 2024. [Accessed April 28th 2024]. Available from: https://www.kmcgov.in/KMCPortal/jsp/KolkataStatistics.jsp</t>
  </si>
  <si>
    <t>[1] Central Statistical Bureau. Kuwait: Central Statistical Bureau, 2024. Available from: https://www.csb.gov.kw
[2] Ministry of Education. Kuwait: Ministry of Education, 2024. Available from: https://www.mohe.edu.kw/site/
[3] The World Bank. Educational attainment. Washington, The World Bank, 2023. Available from: https://data.worldbank.org/indicator/SE.SEC.CUAT.LO.ZS?locations=KW</t>
  </si>
  <si>
    <t>[1] Lagos State. Household Survey Report 2020. Lagos. Lagos State. [Accessed March 8th 2024]. Available from: https://lagosstate.gov.ng/wp-content/uploads/2022/02/Y2020-Household-Survey-Report.pdf
[2] Lagos State. Household Survey Report 2020. Lagos. Lagos State. [Accessed March 8th 2024]. Available from: https://lagosstate.gov.ng/wp-content/uploads/2022/02/Y2020-Household-Survey-Report.pdf</t>
  </si>
  <si>
    <t>[1] Community of Madrid (Comunidad de Madrid). General Directorate of Media. La Comunidad de Madrid, a la cabeza de España en calidad educativa y con menor tasa de abandono escolar (The Community of Madrid, at the forefront of Spain in educational quality and with the lowest school dropout rate). Madrid. Community of Madrid. 2021. Available from: https://www.comunidad.madrid/file/290668/download
[2] Community of Madrid (Comunidad de Madrid). Datos y Cifras de la Educación 2022-2023 (Education Facts and Figures 2022-2023). Madrid. Community of Madrid. 2023. Available from: https://gestiona3.madrid.org/bvirtual/BVCM050881.pdf
[3] Laurei I. Madrid, a la cabeza en calidad educativa y con menor tasa de abandono escolar (Madrid, at the forefront in educational quality and with the lowest school dropout rate). Madrid. La Razon. 2021. Available from: https://www.larazon.es/madrid/20211118/3ffxb7724nas3mf4pawzc65vmq.html</t>
  </si>
  <si>
    <t>[1] Philippine Statistics Authority. Quezon City: Philippine Statistics Authority. [Accessed February 22nd 2024]. Available from: https://psa.gov.ph/
[2] Department of Health. Manila: Department of Health - Republic of the Philippines. [Accessed February 22nd 2024]. Available from: https://doh.gov.ph/
[3] Manila Health Department. Manila: City Government of Manila. [Accessed February 22nd 2024]. Available from: https://manilahealthdepartment.com/</t>
  </si>
  <si>
    <t>[1] Literacy rate, adult total (% of people ages 15 and above)-India. The World Bank. 2023. [Accessed March 3rd 2024]. Available from: https://data.worldbank.org/indicator/SE.ADT.LITR.ZS?locations=IN
[2] International Institute for Population Sciences. National Family Health Survey 2019-2021, Maharashtra. Mumbai. Ministry of Health and Family Welfare. Government of India. 2022. [Accessed April 24th 2024.] Available from: https://rchiips.org/nfhs/NFHS-5_FCTS/Maharashtra.pdf</t>
  </si>
  <si>
    <t>[1] Kenya National Bureau of Statistics. Statistical Releases. Nairobi: Kenya National Bureau of Statistics, 2024. Available from: https://www.knbs.or.ke/data-releases/.
[2] Ministry of Education. Nairobi: Ministry of Education, 2024. Available from: https://www.education.go.ke.</t>
  </si>
  <si>
    <t>[1] Statistics Bureau, Ministry of Internal Affairs and Communications. Population Census 2020. Tokyo: Ministry of Internal Affairs and Communications. Available from:
https://www.stat.go.jp/english/data/kokusei/2020/summary.html</t>
  </si>
  <si>
    <t>[1] National Institute of Statistics and Economic Studies (Institut national de la statistique et des études économiques--INSEE). Dossier complet Département de Paris (75) (Complete file Department of Paris (75)). Paris, 27 February 2024. Available from: https://www.insee.fr/fr/statistiques/2011101?geo=DEP-75#chiffre-cle-4
[2] National Institute of Statistics and Economic Studies (Institut national de la statistique et des études économiques--INSEE). French classification of education levels (1969). Paris, 20 January 2022. Available from: https://www.insee.fr/en/metadonnees/definition/c1076#:~:text=Level%20V%20corresponds%20to%20the,of%20preparation%20for%20Brevets%20professionnels).</t>
  </si>
  <si>
    <t>[1] World Bank. World Development Indicators. Washington (DC): World Bank; 2020. Available from: https://databank.worldbank.org/source/world-development-indicators/Series/SE.SEC.CUAT.UP.ZS
[2] Education Ministry. Riyadh: Education Ministry; 2024. Available from: https://moe.gov.sa/en/Pages/default.aspx
[3] General Administration of Education in Riyadh Region. Riyadh: General Administration of Education in Riyadh Region; 2024. Available from: https://sites.moe.gov.sa/Riyadh/
[4] General Authority for Statistics. Riyadh: General Authority for Statistics; 2024. Available from: https://www.stats.gov.sa/en</t>
  </si>
  <si>
    <t>[1] Department of Populations, Ministry of Labour, Immigration and Population. Naypyidaw: Ministry of Labour, Immigration and Population. [Accessed April 29th April]. Available from: https://www.dop.gov.mm/
[2] Yangon City Development Committee (YCDC). YCDC. Yangon: Yangon City Development Committee (YCDC). [Accessed April 29th 2024]. Available from: https://www.ycdc.gov.mm/</t>
  </si>
  <si>
    <t>[1] Thai Economic Performance in Q3 and Outlook for 2023 - 2024. Office of the National Economic and Social Development Council. Bangkok; 2023. Available from: https://www.nesdc.go.th/ewt_dl_link.php?nid=14552
[2] Statistical Yearbook, 2023. National Statistics Office. Bangkok; 2024. Available from: https://www.nso.go.th/public/e-book/Statistical-Yearbook/SYB-2023/126/index.html</t>
  </si>
  <si>
    <t>[1] Central Agency for Public Mobilization and Statistics (CAPMAS). Total population by working status by governorate. Cairo: Central Agency for Public Mobilization and Statistics (CAPMAS), 2017. Available from: https://www.cedejcapmas.org/adws/app/4d5b52dc-669d-11e9-b6a6-975656a88994/index.html
[2] Central Agency for Public Mobilization and Statistics (CAPMAS). Unemployment Rate. Central Agency for Public Mobilization and Statistics (CAPMAS), 2022. Available from: https://www.capmas.gov.eg/Pages/IndicatorsPage.aspx?Ind_id=1117</t>
  </si>
  <si>
    <t>[1] Censuses. Battaramulla. Department of Census and Statistics. Government of Sri Lanka. Battaramulla.2024. Accessed April 29th 2024]. Available from: http://www.statistics.gov.lk/Censuses
[2] Grama Niladhari Divisions Statistics-2020. Colombo District. Battaramulla. Department of Census and Statistics. Government of Sri Lanka. 2020. [Accessed April 28th 2024].Available from: http://www.statistics.gov.lk/Resource/en/Population/GND_Reports/2020/Colombo.pdf</t>
  </si>
  <si>
    <t>[1] Directorate of Economics and Statistics. Employment and Unemployment Situation in Delhi 2011-2012. Delhi. Planning Department, Government of National Capital Territory of Delhi. 2011-2012. [Accessed April 25th 2024]. Available from: https://delhiplanning.delhi.gov.in/sites/default/files/68th_employment_unemployment.pdf 
[2] Socio Economic Surveys. Delhi. Planning Department, Government of National Capital Territory of Delhi. 2024. [Accessed April 25th 2024]. Available from: https://delhiplanning.delhi.gov.in/planning/sociol-economic-surveys-nss-rounds 
[3] International Institute for Population Sciences. National Family Health Survey 2019-2021, Delhi. Mumbai.Ministry of Health and Family Welfare. Government of India. 2022 [Accessed April 24th 2024]. Available from: https://rchiips.org/nfhs/NFHS-5_FCTS/NCT_Delhi.pdf</t>
  </si>
  <si>
    <t>[1] Bangladesh Bureau of Statistics. Labor Force Survey 2022. Dhaka: Bangladesh Bureau of Statistics. October 2023. [Accessed 29th April 2024]. Available from: https://bbs.portal.gov.bd/sites/default/files/files/bbs.portal.gov.bd/page/b343a8b4_956b_45ca_872f_4cf9b2f1a6e0/2023-10-25-07-38-4304abd7a3f3d8799fbcb59ff91007b1.pdf
[2] Bangladesh National Portal. Dhaka District. Dhaka: Bangladesh National Portal. [Accessed 29th April 2024]. Available from: https://dhaka.gov.bd/en#</t>
  </si>
  <si>
    <t>[1] Ho Chi Minh City Press Center. Labor and employment situation in Ho Chi Minh City: improving after Tết. (Tình hình lao động việc làm TP.HCM: Nhiều điểm tích cực, khởi sắc sau tết). 29 February 2024. Available from:
https://ttbc-hcm.gov.vn/tinh-hinh-lao-dong-viec-lam-tphcm-nhieu-diem-tich-cuc-khoi-sac-sau-tet-35634.html
[2] Department of Population and Labour Statistics, General Statistics Office. Annual Labor and Employment Survey Report 2021. 2022. Available from: https://www.gso.gov.vn/wp-content/uploads/2023/03/Ruot-Dieu-tra-LD-viec-lam-Can1-1.pdf</t>
  </si>
  <si>
    <t>[1] Istanbul Metropolitan Municipality (İstanbul Büyükşehir Belediyesi), Istanbul Statistics Office (İstanbul İstatistik Ofisi). Istanbul, İstanbul Büyükşehir Belediyesi. 2024. Available from: https://istatistik.istanbul/
[2] Ayar, Umut. İşgücü Pi̇yasasi Araştirmasi İstanbul İli̇ 2022 Yili Sonuç Raporu (Labour Market Research Istanbul Province 2022 Result Report). Istanbul. İŞKUR, 2022. Available from: https://media.iskur.gov.tr/66896/istanbul.pdf</t>
  </si>
  <si>
    <t>[1] Kathmandu Metropolitan City. 2024. 
Available from: https://kathmandu.gov.np/?lang=en
[2] Ministry of Labour Employment and Social Security, Nepal. 2024
https://moless.gov.np/en
[3] Nepal Population and Housing Census 2021. National Statistics Office, Nepal. 2023
Available from: https://censusnepal.cbs.gov.np/results/files/result-folder/National%20Report_English.pdf 
[4] 
Nepal Labour Market Update, ILO Country Office for Nepal. 2014.
Available from: https://webapps.ilo.org/wcmsp5/groups/public/---asia/---ro-bangkok/---ilo-kathmandu/documents/publication/wcms_322446.pdf</t>
  </si>
  <si>
    <t>[1] Basic Statistics of Kolkata. Kolkata Municipal Corporation. Kolkata. 2024. [Accessed April 28th 2024]. Available from: https://www.kmcgov.in/KMCPortal/jsp/KolkataStatistics.jsp 
[2] Labour Bureau. Ministry of Labour and Employment. Government of India. Chandigarh. 2024. [Accessed April 28th 2024]. Available from: https://labourbureau.gov.in/labour-statistics-1</t>
  </si>
  <si>
    <t>[1] The World Bank. Washington: The World Bank, 2023. Available from: https://data.worldbank.org/indicator/SL.UEM.TOTL.ZS?locations=KW
[2] Central Statistical Bureau. Kuwait: Central Statistical Bureau, 2024. Available from: https://www.csb.gov.kw</t>
  </si>
  <si>
    <t>[1] Ministry of Economic Planning and Budget. Household Survey Report 2020. Abuja: Ministry of Economic Planning and Budget; [Accessed 29 April 2024]. Available from: https://lagosstate.gov.ng/wp-content/uploads/2022/02/Y2020-Household-Survey-Report.pdf
[2] Ministry of Economic Planning and Budget. Lagos State Macro-Economic Indicators. Abuja: Ministry of Economic Planning and Budget; [Accessed 29 April 2024]. Available from: https://mepb.lagosstate.gov.ng/wp-content/uploads/sites/29/2022/02/MACRO-ECONS-FLYER-DECEMBER-2021-edition-1.pdf</t>
  </si>
  <si>
    <t>ONS. Labour Market Profile - London. London: Office for National Statistics; 2023. Available from:
https://www.nomisweb.co.uk/reports/lmp/gor/2013265927/report.aspx</t>
  </si>
  <si>
    <t>[1] National Institute of Statistics (Instituto Nacional de Estadística). Estadística de movilidad laboral y geográfica: Tasas de paro por comunidad autónoma, sexo y según el tiempo de residencia en el municipio: Madrid, Comunidad de (Labor and geographic mobility statistics: Unemployment rates by autonomous community, sex and according to length of residence in the municipality: Madrid, Community of). Madrid. Instituto Nacional de Estadística. 2023. Available from: https://www.ine.es/jaxiT3/Datos.htm?t=13582
[2] Community of Madrid. Directorate General of Economy (Comunidad de Madrid. Dirección General de Economía). IV Trimestre de 2023 Encuesta de Población Activa (IV Quarter of 2023 Labor Force Survey). Madrid. Comunidad de Madrid. 2024. Available from: https://www.comunidad.madrid/sites/default/files/doc/economia/nota_epa_iv_tr_2023_comunidad_de_madrid.pdf</t>
  </si>
  <si>
    <t>[1] Philippine Statistics Authority. Labour Force Survey. Manila: Philippine Statistics Authority; [11 April 2024]. Available from: https://psa.gov.ph/statistics/labor-force-survey
[2] Philippine Statistics Authority. Employment Situation in July 2021. Manila: Philippine Statistics Authority; [25 April 2022]. Available from: https://psa.gov.ph/content/employment-situation-july-2021</t>
  </si>
  <si>
    <t>[1] Census. Mumbai City. Government of Maharashtra. 2024. [Accessed April 24th 2024]. Available from: https://mumbaicity.gov.in/document-the category/census/ 
[2] Demographics. Vital Statistics Report. Mumbai City. Brihanmumbai Municipal Corporation. 2024. [Accessed April 24th 2024]. Available from: https://portal.mcgm.gov.in/irj/portal/anonymous/qlvitalstatsreport</t>
  </si>
  <si>
    <t>[1] Kenya National Bureau of Statistics. Statistical Releases. Nairobi: Kenya National Bureau of Statistics, 2024. Available from: https://www.knbs.or.ke/data-releases/.
[2] Ministry of Labour and Social Protection. Nairobi:Ministry of Labour and Social Protection, 2024. Available from: https://www.labour.go.ke/.</t>
  </si>
  <si>
    <t>[1] Osaka Prefecture. Labour Force Survey Results In Osaka. Osaka: Osaka Prefectural Government, March 2024. Available from: 
https://www.pref.osaka.lg.jp/toukei/roucho/index.html</t>
  </si>
  <si>
    <t>[1] Municipality of Rome (Comune di Roma). Rapporto statistico sull'area metropolitana romana: Il Mercato del lavoro nell'area metropolitana romana 2023 (Statistical report on the Roman metropolitan area: The labour market in the Roman metropolitan area 2023). Rome. Comune di Roma. 23 January 2024. Available from: https://www.comune.roma.it/web-resources/cms/documents/Rapporto_Lavoro_2023-merged.pdf
[2] National Institute of Statistics (Istituto Nazionale di Statistica—ISTAT). Tasso di disoccupazione : Dati provinciali (Unemployment rate: Provincial data). Rome. ISTAT. 2024. Available from: http://dati.istat.it/index.aspx?queryid=25524</t>
  </si>
  <si>
    <t>[1] Commonwealth Governance. Local Government of Singapore. Commonwealth Governance Online. 2024. Available from: https://www.commonwealthgovernance.org/countries/asia/singapore/local-government/ 
[2] Ministry of Manpower. Summary Table: Unemployment. Singapore. Ministry of Manpower. 2024. Available from: https://stats.mom.gov.sg/Pages/Unemployment-Summary-Table.aspx</t>
  </si>
  <si>
    <t>[1] ILO. Employment in Myanmar in 2021: A rapid assessment. Geneva: ILO. January 2022. [Accessed 26th April 2024]. Available from: https://www.ilo.org/publications/employment-myanmar-2021-rapid-assessment
[2] ILO. Employment in Myanmar in the first half of 2022: A rapid assessment. Geneva: ILO. August 2022. [Accessed 26th April 2024]. Available from: https://www.ilo.org/resource/brief/employment-myanmar-first-half-2022</t>
  </si>
  <si>
    <t>[1] Addis Ababa Road and Transport Bureau. Addis Ababa Non-Motorised Transport Strategy 2019-2028. Addis Ababa: Addis Ababa Road and Transport Bureau; 2019. Available from: https://www.itdp.org/where-we-work/africa/ethiopia/
[2] Addis Ababa City Administration. Addis Ababa City Administration website. Addis Ababa: Addis Ababa City Administration. [Accessed 28 March 2024]. Available from: https://cityaddisababa.gov.et/ 
[3] Ministry of Transport and Logistics. Ministry of Transport and Logistics website. Ethiopia: Ministry of Transport and Logistics. [Accessed 28 March 2024]. Available from: http://www.motl.gov.et/ 
[4] Addis Ababa Transport Bureau. Institute for Transportation and Development Policy (ITDP). Addis Ababa cycle network plan 2023-2032. Addis Ababa: Addis Ababa Transport Bureau, Institute for Transportation and Development Policy (ITDP); 2023. Available from: https://globaldesigningcities.org/wp-content/uploads/2020/08/NMT-Strategy-181109.pdf</t>
  </si>
  <si>
    <t>[1] Barkat, S. Are there still pedestrians who take the footbridge?. Algiers: DZ Motion, 2023. Available from: https://dzmotion.dz/ils-en-reste-qui-empruntent-la-passerelle/
[2] Hamadi R. Algiers, a hellish city for pedestrians. Algiers: TSA Algerie, 2020. Available from: https://www.tsa-algerie.dz/alger-une-ville-infernale-pour-les-pietons/
[3] Ministry of Public Works and Transport. Terrestrial Transport. Algiers: Ministry of Public Works and Transport; [archived 2023]. Available from: https://web.archive.org/web/20230206212517/https://portail.mtpt.gov.dz/service.php?id=1
[4] Ministry of Public Works and Infrastructure Portal. Algiers: Ministry of Public Works and Infrastructure. [Accessed 5 March 2024]. Available from: http://www.mtp.gov.dz/?lg=en
[5] Sport et Ville. New bike paths in Algiers. France: Sport et Ville, 2024. Available from: https://www.sportetville.org/de-nouvelles-pistes-cyclables-a-alger/</t>
  </si>
  <si>
    <t>[1] Bangkok Master Plan on Climate Change 2013-2023. Bangkok Metropolitan Administration, Bangkok; 2013. Available from: https://www.jica.go.jp/Resource/project/thailand/030/materials/ku57pq00003snuz2-att/summary_en.pdf
[2] "Curbing Urban Hazards." Bangkok Post. Bangkok; Mar 17, 2024. Available from: https://www.bangkokpost.com/thailand/general/2759968/curbing-urban-hazards
[3] Walkable Bangkok: developing 1,000 km of pedestrian walkways. Governor Chadchart Sittipunt. Available from: https://www.chadchart.com/policy/6214c0ec204d4c4f8ab8c82d/</t>
  </si>
  <si>
    <t>[1] Natural Resources Defense Council (NRDC). Walkability of Chinese Cities - Evaluating Live-Work-Play Centers. Natural Resources Defense Council - School of Architecture, Tsinghua University, May 2019. Available from: http://www.nrdc.cn/Public/uploads/2019-10-31/5dba80dabc530.pdf 
[2] The Beijing Dialogue - Future of Urban Transport and Mobility in Beijing. Transition China. 2022. Available from: https://transition-china.org/wp-content/uploads/2022/12/%E4%BA%A4%E9%80%9A%E8%8B%B1%E6%96%87The-Beijing-Dialogue1219.pdf
[3] Xin Wen. Beijing improves conditions for cyclists. Hong Kong: China Daily, 2023. Available from: https://www.chinadailyhk.com/article/314019
[4] Zhang Xiao. Experiencing the Beijing Charm on Two Wheels. Beijing: China Today, 2023. Available from: http://www.chinatoday.com.cn/ctenglish/2018/sl/202304/t20230410_800328116.html
[5] Urban Planning Society of China. Toward a Pedestrian and Bicycle friendly City: Beijing Slow Traffic System Plan (2020-2035). 9 September 2021. Available from: https://en.planning.org.cn/nua/view?id=410</t>
  </si>
  <si>
    <t>[1] Senate Department for Urban Mobility, Transport, Climate Action and the Environment. Cycling. Berlin: Senate Department for Urban Mobility, Transport, Climate Action and the Environment. [Accessed 15th March 2024]. Available from: https://www.berlin.de/sen/uvk/en/mobility-and-transport/transport-planning/cycling/
[2] DEKRA. Pedestrian crossings and traffic-calmed zones. Stuttgart: DEKRA; 1 June 2017. Available from: https://www.berlin.de/sen/uvk/en/mobility-and-transport/transport-planning/cycling/
[3] Senate Department for Urban Mobility, Transport, Climate Action and the Environment. Berlin Mobility Act. Berlin: Senate Department for Urban Mobility, Transport, Climate Action and the Environment. [Accessed 15th March 2024]. Available from: https://www.berlin.de/sen/uvk/en/mobility-and-transport/transport-policy/berlin-mobility-act/
[4] Glucroft, W. N. Berlin gets Germany's first pedestrian law. Bonn: Deutsche Welle; 2 June 2021. Available from: https://www.dw.com/en/berlin-gets-germanys-first-pedestrian-law/a-56480003.</t>
  </si>
  <si>
    <t>[1] Sánchez GR. La UMV se compromete con el espacio público para peatones en Bogotá. Bogotá. Bogota.gov.co.2023. Available from: https://bogota.gov.co/mi-ciudad/movilidad/la-umv-se-compromete-con-el-espacio-publico-para-peatones-en-bogota 
[2] Calvo JA. Estrategias para la movilidad peatonal en Bogotá. Bogotá. Bogota.gov.co. 2021. Available from: https://bogota.gov.co/mi-ciudad/movilidad/estrategias-para-la-movilidad-peatonal-en-bogota 
[3] Sánchez GR. Cicloinfraestructura y señalización segura para ciclistas en Bogotá. Bogotá. Bogota.gov.co. 2023. Available from: https://bogota.gov.co/mi-ciudad/movilidad/cicloinfraestructura-y-senalizacion-segura-para-ciclistas-en-bogota</t>
  </si>
  <si>
    <t>[1] Centre for Budapest Transport. Accessible Environment Design Guide V0.2 (Akadálymentes környezet tervezési útmutatója V0.2). Budapest: Centre for Budapest Transport. 31 October 2022. [Accessed 4th March 2024]. Available from: https://bkk.hu/downloads/22530/
[2] Centre for Budapest Transport. Daily walking (Mindennapi gyaloglás). Budapest: Centre for Budapest Transport. 31 October 2022. [Accessed 4th March 2024]. Available from: https://bkk.hu/utazasi-informaciok/kerekpar-roller-gyaloglas/gyaloglas/miert-jo-gyalogolni/mindennapi-gyaloglas/
[3] Centre for Budapest Transport. Look at Budapest's bicycle map online! (Nézd meg online Budapest kerékpárostérképét!); Budapest: Centre for Budapest Transport. [Accessed 4th March 2024]. Available from: https://bkk.hu/utazasi-informaciok/kerekpar-roller-gyaloglas/kerekpar/terkep/
[4] Centre for Budapest Transport. Developing the City's Cycling. (A városi kerékpározás fejlesztése). Budapest: Centre for Budapest Transport; [Accessed 4th March 2024]. Available from: https://bkk.hu/utazasi-informaciok/kerekpar-roller-gyaloglas/kerekpar/fejlesztesek/kerekparos-kozlekedes-fejlesztese-budapesten/</t>
  </si>
  <si>
    <t>[1] ARIJ. Lanes of Death in East Cairo. Cairo: ARIJ, 2021. Available from: https://arij.net/investigations/Cairo-Streets-en/
[2] The National News. The intricate art of crossing the street in Cairo. Cairo: The National News, 2022. Available from: https://www.thenationalnews.com/weekend/2022/09/23/the-intricate-art-of-crossing-the-street-in-cairo/
[3] Cairo Governorate. Cairo: Cairo Governorate; [Accessed 9th March 2024]. Available from: http://www.cairo.gov.eg/ar
[4] Ministry of Local Development. Cairo: Ministry of Planning; [Accessed 9th March 2024]. Available from: https://www.mld.gov.eg/en/
[5] ITDP Africa. Insights from Cairo: Improving Mobility Through Bikeshare. Nairobi: ITDP Africa, 2022. Available from: https://africa.itdp.org/insights-from-cairo-improving-mobility-through-bikeshare/#:~:text=The%20city%20is%20also%20constructing,of%20a%20dynamic%20cycling%20culture.
[6] Al Masry Al Youm. 100 bikes roam Cairo and test its new corridors. Cairo: Al Masry Al Youm, 2024. Available from: https://www.almasryalyoum.com/news/details/3096289</t>
  </si>
  <si>
    <t>[1] Sustainable Urban Transport Index: Colombo, Sri Lanka. 2017.UN ESCAP. Available from: https://repository.unescap.org/bitstream/handle/20.500.12870/976/ESCAP-2017-PB-Colombo-Sri-Lanka-SUTI-mobility-assessment-report.pdf?sequence=1&amp;isAllowed=y. Accessed March 15 2024
[2] Building a greener future: Overcoming Challenges and Finding Solutions for Sustainable Transportation in Sri Lanka. Anuhas Kalhara. May 5,2023.LinkedIn. Available from: https://www.linkedin.com/pulse/building-greener-future-overcoming-challenges-finding-anuhas-kalhara. Accessed March 15,2024</t>
  </si>
  <si>
    <t>[1] The Times of India. August 23, 2022. Siddhanta Mishra. "Whose lane is it anyway? Why cyclists in Delhi find selves in no man's land. [Accessed March 3rd 2024]. Available from: https://timesofindia.indiatimes.com/city/delhi/whose-lane-is-it-anyway-why-cyclists-in-delhi-find-selves-in-no-mans-land/articleshow/93717328.cms 
[2] Delhi Development Authority. Delhi Cycle Walk. [Accessed March 3rd 2024]. Available from: https://dda.gov.in/land-/delhiwalk-city
[3] Hindustan Times. DDA sets December 2023 deadline to complete 36 km of walking cycling tracks in Delhi. [Accessed March 3rd 2024]. Available from: https://www.hindustantimes.com/cities/delhi-news/dda-sets-december-2023-deadline-to-complete-36-km-of-walking-cycling-tracks-in-delhi-101632420058958.html</t>
  </si>
  <si>
    <t>[1] RAJUK. Dhaka Structure Plan 2016-2035. Dhaka: Rajdhani Unnayan Kartripakkha; 2015. Available from: https://rajuk.portal.gov.bd/sites/default/files/files/rajuk.portal.gov.bd/page/0a05e9d0_03f7_48e4_bfd5_cad5fbcd5e23/2021-06-22-08-35-c8b98a96d0cadc8d87fa1c61f56966bb.pdf
[2] RAJUK. Official Website. Dhaka: Rajdhani Unnayan Kartripakkha. Available from: https://www.rajuk.gov.bd/
[3] Hossain, Nazia Nawrin. Transforming Dhaka, Bangladesh into a Cycling City. Washington (DC): Transport Research International Documentation (TRID); [published 2023]. Available from: https://trid.trb.org/view/2200321</t>
  </si>
  <si>
    <t>[1] RTA. Cycling Tracks: Track Areas. Dubai: Roads &amp; Transport Authority. 2024. [Accessed 4th March 2024]. Available from: https://www.rta.ae/wps/portal/rta/ae/home/about-rta/cycling-track.
[2] Gul Y, Sultan Z, Jokhio G, et al. Steps Towards Sustainability: Assessment of Walkability of Streets in Downtown Dubai, United Arab Emirates. SSRN Electronic Journal.</t>
  </si>
  <si>
    <t>[1] City of Helsinki. Cycle traffic development program 2020–2025. Helsinki: City of Helsinki. 5 May 2020. [Accessed 7th March 2024]. Available from: https://www.hel.fi/static/liitteet/kaupunkiymparisto/julkaisut/julkaisut/julkaisu-31-20.pdf
[2] My Helsinki. Biker's Helsinki: three routes. Helsinki: City of Helsinki. [Accessed 7 March 2024]. Available from: https://www.myhelsinki.fi/fi/n%C3%A4e-ja-koe/aktiviteetit/py%C3%B6r%C3%A4ilij%C3%A4n-helsinki-kolme-reitti%C3%A4
[3] City of Helsinki. Construction of cycle paths. Helsinki: City of Helsinki; [Accessed 7th March 2024]. Available from: https://www.hel.fi/fi/kaupunkiymparisto-ja-liikenne/pyoraily/pyorateiden-rakentaminen
[4] City of Helsinki. Map Service. Helsinki: City of Helsinki. [Accessed 7th March 2024]. Available from: https://kartta.hel.fi/?link=arRSkY
[5] HSL. Information for cyclists. Helsinki: HSL. [Accessed 7th March 2024]. Available from: https://www.hsl.fi/matkustaminen/pyoraily</t>
  </si>
  <si>
    <t>[1] Vietnamese People's Newspaper. Hochiminh City: Many pedestrians are forced to walk on the road. 15 February 2023. Available from: https://danviet.vn/tphcm-nhieu-nguoi-di-bo-buoc-phai-di-duoi-long-duong-20230215101705753.htm
[2] VOV Traffic Radio: Bicycle infrastructure: Big gap from Standards to Reality. 30 May 2023. Available from: https://vovgiaothong.vn/newsaudio/ha-tang-cho-xe-dap-khoang-trong-lon-tu-quy-chuan-den-thuc-tien-d33791.html</t>
  </si>
  <si>
    <t>[1] Planning Department, HKSAR Government. Transport Infrastructure and Traffic Review. Planning Department; 2016. [Accessed March 12th 2024]. Available from: https://www.pland.gov.hk/pland_en/p_study/comp_s/hk2030plus/document/Transport%20Infrastructure%20and%20Traffic%20Review_Eng.pdf
[2] Legislative Council Secretariat, HKSAR Government. Bicycle-friendly Policy in Hong Kong. Information Services Division; 2021 Feb 4. [Accessed March 12th 2024]. Available from: https://www.legco.gov.hk/research-publications/english/2021issh17-bicycle-friendly-policy-in-hong-kong-20210204-e.pdf
[3] Leisure and Cultural Services Department, HKSAR Government. Sports and Recreational Facilities in Hong Kong. Hong Kong: Leisure and Cultural Services Department; 2024. [Accessed March 12th 2024]. Available from: https://www.lcsd.gov.hk/en/
[4] Transport Department, HKSAR Government. Pedestrianisation. Hong Kong: Transport Department; 2023. [Accessed March 12th 2024]. Available from: https://www.td.gov.hk/en/transport_in_hong_kong/pedestrians/pedestrianisation/index.html</t>
  </si>
  <si>
    <t>[1] Istanbul Metropolitan Municipality (İstanbul Büyükşehir Belediyesi). İSTANBUL KOŞU/YÜRÜYÜŞ ROTALARI (Istanbul Running/Walking Routes). Istanbul. İstanbul Büyükşehir Belediyesi. 2024. Available from: https://spor.istanbul/istanbul-kosu-rotalari/
[2] Istanbul Metropolitan Municipality (İstanbul Büyükşehir Belediyesi).İSTANBUL BİSİKLET ROTALARI (Istanbul Cycling Routes). Istanbul. İstanbul Büyükşehir Belediyesi. 2024. Available from: https://spor.istanbul/istanbul-bisiklet-rotalari/</t>
  </si>
  <si>
    <t>[1] Institute for Transportation and Development Policy. Bicycles: The Future Mode for Traffic Choked Jakarta. August 20, 2021. Available from: https://www.itdp.org/2021/08/20/bicycles-the-future-mode-for-traffic-choked-jakarta/
[2] Peraturan Gubernur Daerah Khusus Ibukota Jakarta No. 25, 2022; Regional Development Plan Jakarta National Capital Province 2023-26. Page VI-378. Available from: https://drive.google.com/file/d/1U7Bb3SLeMHcPHffIDkx6qOswdW1WQdA8/view</t>
  </si>
  <si>
    <t>[1] Wood A. Problematizing the concept of walkability in Johannesburg. Journal of Urban Affairs. 2024;46.
[2] Risimati B, Gumbo T, Chakwizira J. Spatial Integration of Non-Motorized Transport and Urban Public Transport Infrastructure: A Case of Johannesburg. Sustainability. 2021;13(20):11461. 
[3] Suleman, M. Cyclists' Rights to the City: The Realisation of Cyclists' Rights in the City of Johannesburg. Cape Town: University of Cape Town, 2016. Available from: https://open.uct.ac.za/server/api/core/bitstreams/62971fdf-c025-43fc-acb4-2f4a42084120/content
[4] City of Johannesburg. Framework for Non-Motorised Transport. Johannesburg: City of Johannesburg, 2009. Available from: https://nma.org.za/projects/download/10526/ProjectDocument
[5] Morgan N. Cycling infrastructure and the development of a bicycle commuting socio-technical system: the case of Johannesburg. Applied Mobilities. 2019;4[1]:106-123. Available from: https://doi.org/10.1080/23800127.2017.1416829
[6] Gauteng Province. Household Travel Survey Report 2019/20. Johannesburg: Gauteng Province, 2020. Available from: https://www.csir.co.za/sites/default/files/Documents/GHTS%20201920%20FINAL_LOW%20RES%20%281%29.pdf
[7] National Department of Transport. National Land Transport Strategic Framework 2017-2022. Pretoria: National Department of Transport, 2017. Available from: https://www.gov.za/sites/default/files/gcis_document/201702/40621gon132s.pdf 
[8] Department of Transport. National Land Transport Strategic Framework 2023-2028. Pretoria: Department of Transport, 2023. Available from: https://www.gov.za/sites/default/files/gcis_document/202303/48176gon3119.pdf
[9] Statistics South Africa. National Household Travel Survey 2020 Statistical release P0320. Pretoria: Statistics South Africa, 2022. Available from: https://www.statssa.gov.za/publications/P0320/P03202020.pdf</t>
  </si>
  <si>
    <t>[1] Tahsin F. Active Community Participation and Involvement as a strategy to upgrade and maintain quality of sidewalks in pedestrian infrastructure of Karachi. Journal of Xi'an Shiyou University, Natural Science Edition. 2022; Volume 18, Issue 10.
[2] Khan A. Bizzare City Planning; The curious case of Karachi's disappearing footpaths. Karachi: Daily Express Tribune, July 10, 2023. Available from: https://tribune.com.pk/story/2425511/bizarre-city-planning-the-curious-case-of-karachis-disappearing-footpaths
[3] Laraib F, Iftikhar U, Fatima U. The case for pedestrianisation. Karachi: Urban Resource Centre, 2021. Available from: https://urckarachi.org/2021/03/03/the-case-for-pedestrianisation/
[4] Gappihan A. Why enhancing public urban spaces matters for Karachi. Washington, DC: The World Bank; [Accessed 22nd March 2024]. Available from: https://blogs.worldbank.org/en/sustainablecities/why-enhancing-public-urban-spaces-matters-karachi
[5] Khan A. This is no city for cyclists. Karachi: Daily Express Tribune, November 24, 2021. Available from: https://tribune.com.pk/story/2330822/this-is-no-city-for-cyclists
[6] Iqbal Blogs. Why Pakistan should introduce cycling infrastructures in major cities. Islamabad: Imarat Institute &amp; Policy Studies, January 14, 2021. Available from: https://iips.com.pk/why-pakistan-should-introduce-cycling-infrastructure-in-major-cities/</t>
  </si>
  <si>
    <t>[1] Acharya A, Marsani A. Evaluation of Pedestrian LOS for Footpath by Cluster Analysis and Questionnaire Survey: A case Study of Kathmandu. Proceedings of 10th IOE Graduate Conference. 2022. Available from:
https://www.researchgate.net/publication/359789369_Evaluation_of_Pedestrian_LOS_for_Footpath_by_Cluster_Analysis_and_Questionnaire_Survey_A_case_Study_of_Kathmandu
[2] KMC prioritises footpath development in the city. The Himalayan Times. 2023. Available from:
https://thehimalayantimes.com/kathmandu/kmc-prioritises-footpath-development-in-city
[3] Khanal P. How urban design and planning failed cycling in Kathmandu. the Record Nepal. 2021. Available from:
https://www.recordnepal.com/how-urban-design-and-planning-failed-cycling-in-kathmandu</t>
  </si>
  <si>
    <t>[1] Switch On Foundation. August 03, 2021.#Bring Back Cycles on Kolkata Roads.[ [Accessed 4th March 2024]. Available from: https://www.switchon.org.in/press_release/bring-back-cycles-on-kolkata-roads/ 
[2] The Times Now. August 16,2021. Kolkata: 'Bring Back Cycles'- Organisation and Cyclists appeal for lifting of ban on cycle mobility. [Accessed 4th March 2024]. Available from: https://www.timesnownews.com/kolkata/article/kolkata-bring-back-cycles-organisation-cyclists-appeal-for-lifting-of-ban-on-cycle-mobility/799690] 
[3] Success Story: Construction of 14.5 km of smart barrier-free pedestrian walk way and cycling track in New Town Kolkata. [Accessed 4th March 2024]. Available from: https://www.newtowngreencity.in/wp-content/uploads/2020/01/PEDESTRIAN.pdf</t>
  </si>
  <si>
    <t>[1] Al Kheder S. The relation between walkability in hot arid regions and the built environment: the case of Kuwait in the Arabian Gulf. Journal of Urbanism: International Research on Placemaking and Urban Sustainability. Sept 2023. 
[2] Al Kheder et al. Walkability, risk perception and safety assessment among urban college pedestrians in Kuwait. Transportation Research Part F: Traffic Psychology and Behaviour Volume 86, April 2022, Pages 10-32. 
[3] Gomes A. Urban Planning and its Legacy in Kuwait. London: LSE Blogs, 2020 [Accessed 6th March 2024]. Available from: https://blogs.lse.ac.uk/mec/2020/04/23/urban-planning-and-its-legacy-in-kuwait/
[4] Expat Focus. Kuwait - Cycling. London: Expat Focus; 2023 [Accessed 18th March 2024]. Available from: https://www.expatfocus.com/kuwait/guide/kuwait-cycling
[5] Kuwait Times. Cyclists in Kuwait appeal for bike lanes after bikers injured on Gulf Road. Kuwait: Kuwait Times; 2023 [Accessed 18th March 2024]. Available from: https://kuwaittimes.com/cyclists-in-kuwait-appeal-for-bike-lanes-after-bikers-injured-on-gulf-road/
[6] Kuwait Moments. A Kuwaiti Company Launches Bike Lanes Initiative for Cyclists' Safety. Kuwait: Kuwait Moments; 2023 [Accessed 18th March 2024]. Available from: https://www.kuwaitmoments.com/a-kuwaiti-company-launches-bike-lanes-initiative-for-cyclists-safety-588007.html</t>
  </si>
  <si>
    <t>[1] Lagos State Ministry of Transportation (MOT), Lagos Metropolitan Area Transport Authority (LMATA), United Nations Environment Programme (UNEP), Institute for Transportation and Development Policy (ITDP). Lagos Non-Motorised Transport Policy. MOT, LMATA, UNEP &amp; ITDP. Lagos; [Accessed 4th March 2024]. Available from: https://wedocs.unep.org/bitstream/handle/20.500.11822/25415/Lagos_NMTPolicy.pdf?sequence=3&amp;isAllowed=y
[2] Daily Trust. Lagos To Make Provision For Bicycles At Car Parks. Daily Trust. Lagos; [Accessed 4th March 2024]. Available from: https://dailytrust.com/lagos-to-make-provision-for-bicycles-at-car-parks/
[3] Ministry of Economic Planning and Budget. Lagos State Development Plan 2052. Ministry of Economic Planning and Budget. Lagos; [Accessed 16th March 2024]. Available from: https://api.lagosmepb.org/lsdp-resources/LSDP_2052_Initiatives.pdf
[4] Gbadamosi K, Omole K, &amp; Akanmu A. Pedestrianization and cycling in Lagos metropolis, Nigeria: Reality or fiction? Lagos. CELTRAS International Journal Of Logistics And Transport; 1&amp;2[1]:17-28; [Accessed 16th March 2024]. Available from: https://www.researchgate.net/publication/369378371_pedestrianization_and_cycling_in_lagos_metropolis_nigeria_reality_or_fiction</t>
  </si>
  <si>
    <t>[1] Healthy streets for London. Prioritising, walking, cycling and public transport to create a healthy city. London: Transport for London; 2017. Available from: https://content.tfl.gov.uk/healthy-streets-for-london.pdf 
[2] Mayor of London. Delivering the Mayor's Transport Strategy 2021/22. London: Mayor of London; 2022. Available from: https://content.tfl.gov.uk/tfl-mts-update-14-july-2022-acc.pdf
[3] Transport for London. Travel in London 2023 annual overview. London: Transport for London, Mayor of London; 2023. Available from: https://s44873.pcdn.co/wp-content/uploads/2023/12/Travel-in-London-2023-Annual-Overview.pdf
[4] Transport for London. Using the pavement. London: Transport for London. Available from: https://tfl.gov.uk/transport-accessibility/road-users-and-pedestrians</t>
  </si>
  <si>
    <t>[1] Community of Madrid (Comunidad de Madrid). Caminos activos de la Comunidad de Madrid (Recreational trails of the Community of Madrid). 2024. Available from: https://www.comunidad.madrid/cultura/actividades-aire-libre-deporte/caminos-activos-comunidad-madrid
[2] City Council of Madrid (Ayuntamiento de Madrid). Open Data Portal of the City Council of Madrid. Bici. Infraestructura ciclista (Bike. Cycling infrastructure). 2024. Available from: https://datos.madrid.es/portal/site/egob/menuitem.c05c1f754a33a9fbe4b2e4b284f1a5a0/?vgnextoid=325e827b864f4410VgnVCM2000000c205a0aRCRD&amp;vgnextchannel=374512b9ace9f310VgnVCM100000171f5a0aRCRD&amp;vgnextfmt=default
[3] Community of Madrid (Comunidad de Madrid). Madrid Región Activa (Active Region Madrid). 2024. Available from: https://www.comunidad.madrid/servicios/deportes/madrid-region-activa
Other sources:
Community of Madrid (Comunidad de Madrid). General Directorate of Urban Planning. Plan regional de Vías ciclistas y peatonales de la Comunidad de Madrid (Regional Plan for Cycling and Pedestrian Routes in the Community of Madrid). Available from: https://www.comunidad.madrid/sites/default/files/aud/urbanismo/cma_urb_es_cima_memoria-plan-cima-1-183.pdf</t>
  </si>
  <si>
    <t>[1] Department of Transportation. DOTr to expand protected bike lanes to 2,400 km by 2028. Clark Freeport and Special Economic Zone: Department of Transportation - Republic of the Philippines, 2023. [Accessed 22nd February 2024]. Available from: https://www.pna.gov.ph/articles/1201933
[2] World Bank. From crisis to opportunity: How the Philippines built 500 km of bike lanes in less than a year. Washington, D.C.: World Bank. [Accessed 22nd February 2024]. Available from: https://blogs.worldbank.org/transport/crisis-opportunity-how-philippines-built-500km-bike-lanes-less-year
[3] Philstar. 2024 budget to include P1 billion for protected bike lanes, pedestrian walkways. Mandaluyong City: Philstar Global Corp, 2024. [Accessed 22nd February 2024]. Available from: https://www.philstar.com/headlines/2024/01/02/2323004/2024-budget-include-p1-billion-protected-bike-lanes-pedestrian-walkways
[4] Metro Manila Development Authority. Highlights of Accomplishment Report. Manila: Metro Manila Development Authority, 2020. [Accessed 22nd February 2024]. Available from: https://mmda.gov.ph/images/pdf/Transparency/VII/Executive-Summary-FY2020.pdf</t>
  </si>
  <si>
    <t>[1] City of Melbourne. Transport strategy 2030. City of Melbourne. Available from: https://www.melbourne.vic.gov.au/parking-and-transport/transport-planning-projects/Pages/transport-strategy.aspx
[2] City of Melbourne. Walking plan 2014 - 17. City of Melbourne. Available from: https://www.melbourne.vic.gov.au/parking-and-transport/streets-and-pedestrians/Pages/walking-plan-2014-17.aspx 
[3] City of Melbourne. Bicycle plan 2016-2020. City of Melbourne. Available from: https://www.melbourne.vic.gov.au/parking-and-transport/cycling/pages/bicycle-plan.aspx 
[4] State Government of Victoria. New walking and cycling paths. Victoria's Big Build; 2023. Available from: https://bigbuild.vic.gov.au/community/for-residents/new-walking-and-cycling-paths</t>
  </si>
  <si>
    <t>[1] Institute for Transportation and Development Policy. Cycling and Mexico City: Better than Before [Internet]. New York: ITDP; 2021. [Accessed March 21st 2024]. Available from: https://www.itdp.org/2021/07/26/cycling-and-mexico-city-better-than-before/
[2] Herbert K. Lessons From Mexico City [Internet]. Boulder: Better Bike Share Partnership; 2023. [Accessed March 21st 2024]. Available from: https://betterbikeshare.org/2023/02/22/lessons-from-mexico-city/
[3] C40 Cities Climate Leadership Group. C40 Knowledge Community [Internet]. London: C40 Cities Climate Leadership Group, Inc.; 2019. [Accessed March 21st 2024]. Available from: https://www.c40knowledgehub.org/s/article/Benefits-of-Walking-and-Cycling-Mexico-City-Massive-Bike-Parking-Facilities?language=en_US
[4] MBN Staff. Mexico City Unveils US$1.13 Billion Infrastructure Plan for 2024 [Internet]. Mexico City: Mexico Business News; 2024. [Accessed March 21st 2024]. Available from: https://mexicobusiness.news/infrastructure/news/mexico-city-unveils-us113-billion-infrastructure-plan-2024
[5] Natural Walking Cities. Mexico's Green Cities - Promoting urban walking and interaction with nature - [Internet]. United Kingdom: Richard Lambert; 2019. [Accessed March 21st 2024]. Available from: https://naturalwalkingcities.com/mexicos-green-cities-promoting-urban-walking-and-interaction-with-nature/</t>
  </si>
  <si>
    <t>[1] Shartova N V, Mironova E E, Grischenko M Y. Spatial disparities of street walkability in Moscow in the context of healthy urban environment. Cities, Volume 141, October 2023, 104469. 
[2] National Research University of the Higher School of Economics. Researchers at HSE University Identify the Most Walkable Areas in Moscow. Moscow: National Research University of the Higher School of Economics. [Accessed 12th March 2024]. Available from: https://iq.hse.ru/en/news/895160399.html#:~:text=Experts%20at%20HSE%20University%20and,make%20them%20more%20pedestrian%2Dfriendly.
[3] Mayor of Moscow. Moscow Transport: For Pedestrians. Moscow: Mayor of Moscow. [Accessed 12th March 2024]. Available from: https://report2010-2017.transport.mos.ru/ru/city-everyone/pedestrians
[4] Velomoskva. Moscow: Velomoskva. [Accessed 12th March 2024]. Available from: https://mos.bike
[5] Gravelo. Bicycle paths and cycling infrastructure in Moscow 2013-2023, results. Moscow: Gravelo.ru. [Accessed 12th March 2024]. Available from https://gravelo.ru/velodorozhki/</t>
  </si>
  <si>
    <t>[1] Arka Roy Chowdhury. Mumbai's most incredible walks for some calm time. Mumbai. The Times of India. 2018. Available from: https://timesofindia.indiatimes.com/travel/mumbai/travel-guide/mumbais-most-incredible-walks-for-some-calm-time/gs65497283.cms. 
[2] Jeet Mashru, Niraj Pandit, Shashank Rao and Sanjana Nambiar. When a city turns rogue for walkers. Mumbai. Hindustan Times. 2023. Available from: https://www.hindustantimes.com/cities/mumbai-news/when-a-city-turns-rogue-for-walkers-101679340949007.html. 
[3] Richa Pinto. 70 km of cycling paths planned 6 years ago, less than 20kms made. Mumbai. The Times of India. 2023. Available from: https://timesofindia.indiatimes.com/city/mumbai/70km-of-cycling-paths-planned-6-years-ago-less-than-20km-made/articleshow/103824701.cms. 
[4] Somit Sen. Walking Project Group Treads on Footpaths to Study What Ails Pedestrian Infrastructure.Mumbai. The Times of India. 2023. Available from: https://timesofindia.indiatimes.com/city/mumbai/walking-project-group-treads-on-footpaths-to-study-what-ails-pedestrian-infrastructure/articleshow/106066917.cms
[5] The Free Press Journal. Mumbai: Dabbawallas want cycle lanes and infrastructure in city. Mumbai. Free Press Journals. 2022. Available from: https://www.freepressjournal.in/mumbai/mumbai-dabbawalas-want-cycle-lanes-and-infrastructure-in-city. Accessed March 04, 2024</t>
  </si>
  <si>
    <t>[1] Winnie V. Mitullah, Marianne Vanderschuren, Meleckidzedeck Khayesi. Non-Motorized Transport Integration into Urban Transport Planning in Africa. Chapter 7: Non-motorized transport infrastructure provision on selected roads in Nairobi. Routledge, 2017. Available from: https://books.google.co.ke/books?hl=it&amp;lr=&amp;id=JgcqDwAAQBAJ&amp;oi=fnd&amp;pg=PA90&amp;dq=Non-motorized+transport+infrastructure+provision+on+selected+roads+in+Nairobi&amp;ots=7XXSz7WeGT&amp;sig=bZErWRgDulwDCY9SaZ-HaGncy_Q&amp;redir_esc=y#v=onepage&amp;q&amp;f=false
[2] FIA Foundation. Breaking Barriers: Promoting Cycling Among Women in Nairobi. FIA Foundation, 2023. Available from: https://www.fiafoundation.org/media/xmrl3iom/women-in-cycling-in-nairobi-report-print.pdf.
[3] Wanjala, George Nangabo. Level Of Provision And Usability Of Non-Motorized Transport Infrastructure Along Tom Mboya Street, Nairobi City County. University of Nairobi, 2020. Available from: http://erepository.uonbi.ac.ke/handle/11295/153082#:~:text=The%20recently%20prepared%20NMT%20policy,of%20enforcement%2C%20unsafe%20pedestrians%20environments%2C.
[4] Nairobi City Council. Non-Motorized Transport Policy. Nairobi: Nairobi City Council, 2015. Available from: https://wedocs.unep.org/bitstream/handle/20.500.11822/25413/NairobiCity_%20NonMotorizedTransportPolicy.pdf?sequence=1&amp;isAllowed=y, p.12.
[5] Nairobi Metropolitan Authority. Non-motorized transport (NMT). Nairobi: Nairobi Metropolitan Authority, 2024. Available from: https://namata.go.ke/nmt.</t>
  </si>
  <si>
    <t>[1] NYC DOT - Pedestrians. New York City. NYC DOT.2024. Available from: https://www.nyc.gov/html/dot/html/pedestrians/pedestrians.shtml 
[2] NYC DOT - Bicyclists. New York City. NYC DOT.2024. Available from: https://www.nyc.gov/html/dot/html/bicyclists/bicyclists.shtml</t>
  </si>
  <si>
    <t>[1] Ministry of Land, Infrastructure, Transport and Tourism. National Road/Street Traffic Survey 2021. Tokyo: Ministry of Land, Infrastructure, Transport and Tourism. Available from: https://www.mlit.go.jp/road/road_fr4_000071.html
[2] Osaka Prefectural Police. Audible Signals. Osaka:Osaka Prefectural Police. Available from: https://www.police.pref.osaka.lg.jp/kotsu/kisei/5643.html
[3] Osaka City. The Plan to improve bicycle traffic. Osaka: Osaka City Government Office; July 2016. Available from: https://www.city.osaka.lg.jp/kensetsu/cmsfiles/contents/0000172/172904/1607_keikakusyousai_P01-15.pdf</t>
  </si>
  <si>
    <t>[1] City of Paris (Ville de Paris). Paris Tourism Office (Office de tourisme de Paris). Où en est-on de l'aménagement des nouvelles pistes cyclables ? (Where are we with the development of new cycle paths?). Paris, 19 September 2023. Available from: https://www.paris.fr/pages/les-pistes-cyclables-provisoires-vont-devenir-perennes-18264
[2] City of Paris (Ville de Paris). Les pistes cyclables à Paris (Cycle paths in Paris).Paris, 2024. Available from: https://parisjetaime.com/article/pistes-cyclables-velo-paris-a854
[3] Pistes Cyclables. La carte des pistes cyclables de Paris (Map of Paris cycle paths). Paris, June 2019. Available from: https://www.pistes-cyclables.com/2019/06/plan-des-pistes-cyclables-de-paris-2020/
[4] City of Paris (Ville de Paris). Paris Tourism Office (Office de tourisme de Paris). Paris, 2024. Available from: https://parisjetaime.com/eng/article/paris-urban-hiking-capital-a819</t>
  </si>
  <si>
    <t>[1] Global Green Growth Initiative (GGGI). Phnom Penh Sustainable City Plan 2018-2030. Phnom Penh: GGGI, 2019. [Accessed 2nd March 2024]. Available from: https://gggi.org/wp-content/uploads/2019/06/SUBSTAINABLE-CITY-REPORT_EN_FA3.pdf.
[2] National Council for Sustainable Development (NCSD). Phnom Penh Green City Strategic Plan 2017-2026. Phnom Penh: NCSD, 2019. [Accessed 2nd March 2024]. Available from: https://ncsd.moe.gov.kh/sites/default/files/2019-05/Phnom%20Penh%20Green%20Strategic%20Plan.pdf.
[3] Cambodianess. "Deprivatizing Sidewalks:" Mission Impossible? Phnom Penh: Cambodianess; 2023. [Accessed 2nd March 2024]. Available from: https://cambodianess.com/article/deprivatizing-sidewalks-mission-impossible.
[4] The Phnom Penh Post. Police call on drivers to respect pedestrians. Phnom Penh: The Phnom Penh Post; 2023. [Accessed 2nd March 2024]. Available from: https://www.phnompenhpost.com/national/police-call-drivers-respect-pedestrians.
[5] Yen Y, Zhao P, Sohail M T. The morphology and circuity of walkable, bikeable, and drivable street networks in Phnom Penh, Cambodia. Environment and Planning B: Urban Analytics and City Science. 2019;48[1].
[6] PATH. National Policies for Walking and Cycling in all 197 UNFCCC countries. London: PATH. [Accessed 2nd March 2024]. Available from: https://pathforwalkingcycling.com/wp-content/uploads/PATH-UNFCCC-policies-report.pdf.
[7] United Nations Climate Change. Party-authored reports. Bonn: United Nations Climate Change. [Accessed 2nd March 2024]. Available from: https://unfccc.int/reports?f%5B0%5D=corporate_author%3A180.
[8] Ministry of Interior. Publication. Phnom Penh: Ministry of Interior. [Accessed 2nd March 2024]. Available from: https://www.interior.gov.kh/document/list.
[9] Ming N Y. Phnom Penh's quest to reclaim its sidewalks. Singapore: GovInsider, 2019. [Accessed 2nd March 2024]. Available from: https://govinsider.asia/intl-en/article/vannak-seng-phnom-penh-city-hall-sidewalks-rejuvenation.
[10] Focus. The Cycling Phenomenon in Phnom Penh. Phnom Penh: Focus, 2020. [Accessed 23rd March 2024]. Available from: https://focus-cambodia.com/article/the-cycling-phenomenon-in-phnom-penh/.</t>
  </si>
  <si>
    <t>[1] Center for Strategic and International Studies (CSIS). Saudis Take to The Streets: How Urban Planning is Changing Step Counts in Saudi Arabia. Washington (DC): CSIS; 2023. Available from: https://www.csis.org/analysis/saudis-take-streets
[2] CBS News. Daily step counts: Which countries are most active - and which are least? New York: CBS; 2017. Available from: https://www.cbsnews.com/news/which-countries-most-walking-least-walking/
[3] Ministry of Health. Riyadh: Ministry of Health; 2024. Available from: https://www.moh.gov.sa/awarenessplateform/HealthyLifestyle/Pages/WalkingCompetition.aspx
[4] Royal Commission for Riyadh City. Riyadh: Royal Commission for Riyadh City; 2024. Available from: https://www.rcrc.gov.sa/en/projects/green-riyadh-project
[5] Al-Hazzaa H, Al-Marzooqi M A. Descriptive Analysis of Physical Activity Initiatives for Health Promotion in Saudi Arabia. Front Public Health. 2018; 6: 329. 
[6] Halayalla. Enjoy a Cycling Tour in Wadi Hanifa. Riyadh: Halayalla; 2024. Available from: https://halayalla.com/sa-ar/experiences/riyadh/adventures-and-activities/enjoy-a-cycling-tour-in-the-wadi-hanifa#:~:text=لمحة%20عامة,وسط%20مناظر%20خلابة%20على%20الدراجة.</t>
  </si>
  <si>
    <t>[1] Metropolitan City of Rome Capital (Città metropolitana di Roma Capitale). RomaMobilita. Ciclabilità e pedonalizzazioni (Cycling and walking). Rome, 2024. Available from: https://romamobilita.it/it/muoversiaroma/ciclabilita
[2] Sentieri Urbani – Comune di Roma FederTrek. (Urban Paths – Municipality of Rome). Rome, 2024. Available from: https://www.federtrek.org/attivita/cammini-e-sentieri/sentieri-urbani-comune-di-roma/</t>
  </si>
  <si>
    <t>[1] CET. Mapa de Infraestrutura Cicloviária. São Paulo: Companhia de Engenharia de Tráfego; 2024. Available from: https://www.cetsp.com.br/consultas/bicicleta/mapa-de-infraestrutura-cicloviaria.aspx.
[2] Secretaria Especial de Comunicação. Cidade de São Paulo consolida ações em prol da mobilidade ativa e da proteção dos pedestres. São Paulo; 2021. Available from: https://www.capital.sp.gov.br/noticia/cidade-de-sao-paulo-consolida-acoes-em-prol-da-mobilidade-ativa-e-da-protecao-dos-pedestres. 
[3] Programa de Proteção ao Pedestre. Cidade de São Paulo. São Paulo; 2024. Available from: https://www.capital.sp.gov.br/cidadao/transportes/pedestres/programa-de-protecao-ao-pedestre.
‌</t>
  </si>
  <si>
    <t>[1] Seoul Metropolitan Government. Crosswalks Statistics. Seoul: Seoul Metropolitan Government; 2022. Available from: https://data.seoul.go.kr/dataList/257/S/2/datasetView.do. 
[2] Seoul Metropolitan Government. City Transportation Office. Second Basic Plan for Pedestrian Safety and Convenience Enhancement. December 2018. Seoul: Seoul Metropolitan Government; 2018. Available from: https://www.aurum.re.kr/Legal/LegalSub.aspx?pcode=B05. 
[3] Seoul Metropolitan Government. Cycle Lanes. Seoul: Seoul Metropolitan Government; 2021. Available from: https://data.seoul.go.kr/dataList/276/S/2/datasetView.do. 
[4] Seoul Metropolitan Government. Cycle Parking Facilities. Seoul: Seoul Metropolitan Government; 2021. Available from: https://data.seoul.go.kr/dataList/10349/S/2/datasetView.do</t>
  </si>
  <si>
    <t>[1] Shanghai Planning and Land Resources Administration Bureau, Shanghai Municipal Transport Commission, and Shanghai Urban Planning and Design Research Institute. Shanghai Street Design Guidelines [上海市街道设计导则]. Shanghai: Shanghai Planning and Land Resources Administration Bureau, Shanghai Municipal Transport Commission, and Shanghai Urban Planning and Design Research Institute, 2016. Available from: https://www.planning.org.cn/news/uploads/2016/10/580890e304997_1476956387.pdf (PDF page 17-18)
[2] Shanghai Municipal Transportation Commission, Shanghai Municipal Road Transport Administration, Shanghai Transportation Development Research Center. Shanghai Slow Traffic Planning and Design Guidelines [上海市慢行交通规划设计导则]. Shanghai: Shanghai Municipal Transportation Commission, 2021. Available from: https://dlys.jtw.sh.gov.cn/cmsres/29/294be77df55d41e1bfbbec2d9f68e515/0e1fe55b57391b316e394b6acac9ae77.pdf</t>
  </si>
  <si>
    <t>[1] Land Transport Authority. Walking. Singapore.LTA.2024. Available from: https://www.lta.gov.sg/content/ltagov/en/getting_around/active_mobility/walking_cycling_infrastructure/walking.html#:~:text=We
[2] Ministry of Transport. Active Mobility Infrastructure. Singapore.MOT.2024. Available from: https://www.mot.gov.sg/what-we-do/active-mobility/active-mobility-infrastructure#:~:text=Islandwide%20Cycling%20Network%20Programme%20(ICN</t>
  </si>
  <si>
    <t>[1] Transport for NSW. Transport for NSW. Strategic cycleway corridors for Greater Sydney. Sydney: New South Wales Government; 2022. Available from: https://www.transport.nsw.gov.au/operations/walking-and-bike-riding/strategic-cycleway-corridors. 
[2] City of Sydney. Sydney cycling map - City of Sydney. Sydney: City of Sydney; 2023. Available from: https://www.cityofsydney.nsw.gov.au/lists-maps-inventories/sydney-cycling-map 
‌
[3] City of Sydney. Cycling Strategy and Action Plan for a more sustainable Sydney. Sydney: City of Sydney; 2018. Available from: https://www.cityofsydney.nsw.gov.au/strategies-action-plans/cycling-strategy-and-action-plan. 
[4] Transport for NSW. Sydeney's Walking Future: Connecting people and places. Sydney: New South Wales Government; 2013. Available from: https://www.transport.nsw.gov.au/sites/default/files/media/documents/2017/sydneys-walking-future-web.pdf.</t>
  </si>
  <si>
    <t>[1] Bureau of Construction. TOKYO WAY 2023. Tokyo:Bureau of Construction Tokyo Metropolitan Government;May 2023. Available from: https://www.kensetsu.metro.tokyo.lg.jp/content/000066787.pdf (P46)
[2] Metropolitan Police Department. Barrier-free Traffic Lights. Tokyo: Metropolitan Police Department. Available from: https://www.keishicho.metro.tokyo.lg.jp/kotsu/jikoboshi/koreisha/accessibility.html
[3] Bureau of Construction. TOKYO WAY 2023. Tokyo:Bureau of Construction Tokyo Metropolitan Government; May 2023. Available from: https://www.kensetsu.metro.tokyo.lg.jp/content/000066787.pdf (P48-49)</t>
  </si>
  <si>
    <t>[1] City of Toronto. ActiveTO. Toronto: City of Toronto. Available from: https://www.toronto.ca/explore-enjoy/recreation/activeto/
[2] The Centre for Active Transportation. The Centre for Active Transportation Is a Project Of The Registered Charity Clean Air Partnership. Toronto: The Centre for Active Transportation. Available from: https://www.tcat.ca/about/</t>
  </si>
  <si>
    <t>[1] City of Vienna. Vienna cycle network. Vienna: City of Vienna. [Accessed 19th March 2024]. Available from: https://www.wien.gv.at/english/transportation-urbanplanning/cycling/cycle-network.html
[2] City of Vienna. Smart City Strategy Vienna. Vienna: City of Vienna; 2022. Available from: https://smartcity.wien.gv.at/wp-content/uploads/sites/3/2022/05/scwr_klima_2022_web-EN.pdf</t>
  </si>
  <si>
    <t>[1] World Bank. China Wuhan Second Urban Transport. Washington DC: World Bank. [Accessed 6th March 2024]. Available from: https://projects.worldbank.org/en/projects-operations/project-detail/P112838
[2] Wuhan City Government. Optics Valley will renovate and upgrade 20,000 square meters of sidewalks this year [光谷今年将改造提升2万平方米人行道]. Wuhan: Wuhan City Government. 24 April 2023. [Accessed 4th March 2024]. Available from: https://www.wuhan.gov.cn/sy/whyw/202304/t20230424_2191036.shtml
[3] Wuhan City Government. Wuhan will complete the renovation of 260 old residential areas in 2023 [2023年 武汉完成260个老旧小区改造]. Wuhan: Wuhan City Government. 5 January 2023. [Accessed 4th March 2024]. Available from: https://www.wuhan.gov.cn/ztzl/23zt/gzbg/mtgz/202301/t20230111_2129554.shtml
[4] Wuhan City Government. Wuhan will repair 200,000 square meters of sidewalks in 2023 [2023年 武汉将修复20万平方米人行道]. Wuhan: Wuhan City Government. 5 January 2023. [Accessed 4th March 2024]. Available from: https://www.wuhan.gov.cn/ztzl/23zt/gzbg/mtgz/202301/t20230111_2129568.shtml
[5] The Paper. Wuhan will set up and build 2,455 kilometers of shared bicycle "dedicated lanes" [武汉将设置和新建2455公里共享单车"专用道"]. Shanghai: The Paper. 3 September 2017 [Accessed 4th March 2024]. Available from: https://www.thepaper.cn/newsDetail_forward_1783092?commTag=true
[6] Wuhan City Government. Notice of the Municipal People's Government on Issuing the Wuhan National Fitness Implementation Plan (2022-2025)[市人民政府关于印发武汉市全民健身实施计划（2022—2025年）的通知. Wuhan: Wuhan City Government. 20 September 2022. [Accessed 4th March 2024]. Available from: https://www.wuhan.gov.cn/zwgk/xxgk/zfwj/szfwj/202210/t20221008_2052842.shtml
[7] The Paper. Another maritime bicycle lane was found in Wuhan! [海上自行车道，又在武汉找到一条！]. Shanghai: The Paper. 31 October 2023. [Accessed 4th March 2024]. Available from: https://m.thepaper.cn/newsDetail_forward_25128133</t>
  </si>
  <si>
    <t>[1] Road and Bridge Authority, YCDC. Sustainable Urban Development Index for Yangon City, Myanmar. Yangon: YCDC. October 2020. [Accessed 27th March 2024]. Available from: https://www.unescap.org/sites/default/files/SUTI%20Final%20Report%20Submission_ED.pdf
[2] Japan International Cooperation Agency (JICA). Comprehensive Study of the Urban Transport Development Program in Greater Yangon. Tokyo: Japan International Cooperation Agency (JICA). March 2019. [Accessed 27th March 2024]. Available from: https://openjicareport.jica.go.jp/pdf/12344628.pdf</t>
  </si>
  <si>
    <t>[1] ONS. Algerian National Office of Statistics. Algiers: Algerian National Office of Statistics. [Accessed 27th April 2024]. Available from: https://www.ons.dz/
[2] World Bank. Prevalence of severe food insecurity in the population (%) - Algeria. Washington (DC): World Bank. [Accessed 27th April 2024]. Available from: https://data.worldbank.org/indicator/SN.ITK.SVFI.ZS?locations=DZ</t>
  </si>
  <si>
    <t>[1] Shannon J. Mapping Food Insecurity in Metro Atlanta [Internet]. Atlanta: Atlanta Studies; 2017. [Accessed April 25th 2024]. Available from: https://atlantastudies.org/2017/06/20/jerry-shannon-mapping-food-insecurity-in-metro-atlanta/
[2] Rabbitt MP, Hales LJ, Burke MP, Coleman-Jensen A. Household Food Security in the United States in 2022 [Internet]. U.S. Department of Agriculture; 2023 [Accessed 2024 May 2]. Available from: https://www.ers.usda.gov/publications/pub-details/?pubid=107702</t>
  </si>
  <si>
    <t>[1] Towards zero hunger. Auckland City Mission; 2024. [Accessed April 26th 2024]. Available From: https://www.aucklandcitymission.org.nz/what-we-do/food/
[2] Kore Hiakai - Zero Hunger Collective. New Zealand, 2024. [Accessed April 26th 2024]. Available From: https://www.zerohunger.org.nz/</t>
  </si>
  <si>
    <t>[1] Berlin-Brandenburg Statistics Office. Home. Berlin: Berlin-Brandenburg Statistics Office. [Accessed 30th April 2024]. Available from: https://www.statistik-berlin-brandenburg.de/
[2] Health and Social Information System (GSI). Start. Berlin: City of Berlin. [Accessed 30th April 2024]. Available from: https://gsi-berlin.info/index.asp</t>
  </si>
  <si>
    <t>[1] Official Website of the City of Budapest. Budapest: Municipality of the City of Budapest. [Accessed 26th March 2024]. Available from: https://budapest.hu
[2] Government of Hungary. Official Website. Budapest: Government of Hungary. [Accessed 26th March 2024]. Available from: https://kormany.hu</t>
  </si>
  <si>
    <t>[1] Central Agency for Public Mobilization and Statistics (CAPMAS). Cairo: Central Agency for Public Mobilization and Statistics (CAPMAS). [Accessed 27th April 2024]. Available from: https://www.cedejcapmas.org/adws/app/4d5b52dc-669d-11e9-b6a6-975656a88994/index.html
[2] Central Agency for Public Mobilization and Statistics (CAPMAS). Food insecurity. Cairo: Central Agency for Public Mobilization and Statistics (CAPMAS). [Accessed 27th April 2024]. Available from: https://www.capmas.gov.eg/Pages/IndicatorsPage.aspx?page_id=6151&amp;ind_id=2361
[3] World Food Programme. Egypt. Rome: World Food Programme. [Accessed 27th April 2024]. Available from: https://www.wfp.org/countries/egypt</t>
  </si>
  <si>
    <t>[1] Food insecurity in Sri Lanka likely to worsen amid poor agricultural production, price spikes and ongoing economic crisis, FAO and WFP warn. Bangkok. Food and Agriculture( FAO) Office for Asia and the Pacific. FAO. United Nations. 2022. [Accessed April 29th 2024]. Available from: https://www.fao.org/asiapacific/news/detail-events/en/c/1604608/ 
[2] Dr Renuka Jayatissa et.al. National Nutrition and Micronutrient Survey in Sri Lanka: 2022. Colombo. Department of Nutrition, Medical Research Institute partnership with UNICEF and WFP. 2023. [Accessed April 29th 2024]. Available from: https://www.mri.gov.lk/wp-content/uploads/2023/05/National-Nutrition-and-Micronutrient-Survey-Sri-Lanka-2022.pdf
[3] Publications. Colombo. Nutrition Division. Ministry of Health. Government of Sri Lanka 2024.[ https://nutrition.health.gov.lk/english/resource/publications/] Accessed April 29, 2024[3] Grama Niladhari Divisions Statistics-2020. Colombo District. Battaramulla. Department of Census and Statistics. Government of Sri Lanka. 2020. [Accessed April 29th 2024]. [Available from: http://www.statistics.gov.lk/Resource/en/Population/GND_Reports/2020/Colombo.pdf</t>
  </si>
  <si>
    <t>[1] Socio Economic Surveys. Delhi. Planning Department, Government of National Capital Territory of Delhi. 2024. [Accessed April 25th 2024]. Available from: https://delhiplanning.delhi.gov.in/planning/sociol-economic-surveys-nss-rounds
[2] International Institute for Population Sciences. National Family Health Survey 2019-2021, Delhi. Mumbai.Ministry of Health and Family Welfare. Government of India. 2022 [Accessed April 24th 2024]. Available from: https://rchiips.org/nfhs/NFHS-5_FCTS/NCT_Delhi.pdf</t>
  </si>
  <si>
    <t>[1] Economist Impact. Global Food Insecurity Index 2022: United Arab Emirates. London: Economist Impact. 20 September 2022. [Accessed 25th April 2024]. Available from: https://impact.economist.com/sustainability/project/food-security-index/explore-countries/united-arab-emirates
[2] The United Arab Emirates' Government portal. The UAE in the Global Food Security Index. Abu Dhabi: Telecommunications and Digital Government Regulatory Authority. 19 December 2023. [Accessed 25th April 2024]. Available from: https://u.ae/en/information-and-services/environment-and-energy/food-security/global-food-security-index</t>
  </si>
  <si>
    <t>[1] Statistics Finland. Homepage. Helsinki: Statistics Finland. [Accessed 27th April 2024]. Available from: https://stat.fi
[2] City Data. Homepage. Helsinki: City of Helsinki. [Accessed 27th April 2024]. Available from: https://kaupunkitieto.hel.fi/fi
[3] Sotkanet. Homepage. Helsinki: THL. [Accessed 27th April 2024]. Available from: https://sotkanet.fi/sotkanet/fi/index</t>
  </si>
  <si>
    <t>[1] Vietnam Clean Energy Association (Hiệp hội Năng lượng Sạch Việt Nam). Ho Chi Minh City ensures food safety and security in the area. (TPHCM bảo đảm an toàn, an ninh lương thực trên địa bàn). 9 September 2022. Available from: https://nangluongsachvietnam.vn/d6/vi-VN/news/TPHCM-bao-dam-an-toan-an-ninh-luong-thuc-tren-dia-ban-6-163-17879
[2] Vietnam Agriculture Newspaper (Báo Nông Nghiệp Việt Nam). Food security goal in Ho Chi Minh City by 2030. (Mục tiêu an ninh lương thực trên địa bàn TP.HCM đến năm 2030). Available from: https://nongnghiep.vn/muc-tieu-an-ninh-luong-thuc-tren-dia-ban-tphcm-den-nam-2030-d331777.html</t>
  </si>
  <si>
    <t>[1] World Bank. Food insecurity. Washington (DC). World Bank. 2023. Available from: https://data.worldbank.org/indicator/SN.ITK.SVFI.ZS?locations=HK
[2] Commission on Poverty. Hong Kong poverty situation report 2020. Hong Kong. Commission on Poverty. 2021. Available from: https://www.commissiononpoverty.gov.hk/eng/pdf/Hong_Kong_Poverty_Situation_Report_2020.pdf
[3] Centre for Health Protection. Health topics. Hong Kong. Centre for Health Protection. 2024. Available from: https://www.chp.gov.hk/en/healthtopics/submenu/index.html</t>
  </si>
  <si>
    <t>[1] T.R. Ministry of Health General Directorate of Public Health (T.C. Sağlık Bakanlığı Halk Sağlığı Genel Müdürlüğü). Turkey Nutrition and Health Survey 2017. Ankara. T.C. Sağlık Bakanlığı Halk Sağlığı Genel Müdürlüğü. 2019. Available from: https://hsgm.saglik.gov.tr/depo/birimler/saglikli-beslenme-ve-hareketli-hayat-db/Dokumanlar/Ingilizce_Yayinlar/TBSA_RAPOR_KITAP_2017_ENG_.pdf
[2] Istanbul Metropolitan Municipality. Istanbul Planning Agency (İstanbul Büyük Şehir Belediyesi. İstanbul Planlama Ajansi). İstanbul Gıda Strateji Belgesi (Istanbul Food Strategy Document Istanbul, İstanbul Büyük Şehir Belediyesi. October 2021. Available from: https://ipa.istanbul/yayinlarimiz/genel/istanbul-gida-strateji-belgesi/</t>
  </si>
  <si>
    <t>[1] Kathmandu Metropolitan City. 2024. Available from: https://kathmandu.gov.np/?lang=en
[2] Ministry of Agriculture and Livestock Development, Nepal. 2024. Available from: https://moald.gov.np/publication-types/agriculture-statistics/
[3] The Food Security Atlas of Nepal. National Planning Commission, Nepal. 2019. Available from:
https://www.npc.gov.np/images/category/Food_Security_Atlas_2019.pdf</t>
  </si>
  <si>
    <t>[1] About us. Kolkata Municipal Corporation. Kolkata. 2024. [Accessed April 28th 2024]. Available from: https://www.kmcgov.in/KMCPortal/jsp/AboutUsVision.jsp
[2] Food Distribution. Kolkata Hunar. Kolkata. 2023. [Accessed April 28th 2024]. Available from: https://www.kolkatahunar.org/food-distribution/
[3] Let no Poor Sleep Hungry. Pankh Foundation.Kolkata.2024. [Accessed April 28th 2024]. Available from: http://www.pankhfoundation.in/</t>
  </si>
  <si>
    <t>[1] The World Bank. Washington: The World Bank, 2021. Available from: https://data.worldbank.org/indicator/SN.ITK.SVFI.ZS?locations=KW
[2] Central Statistical Bureau. Kuwait: Central Statistical Bureau, 2024. Available from: https://www.csb.gov.kw</t>
  </si>
  <si>
    <t>[1] London Assembly. Food insecurity. London: Greater London Authority; 2024. Available from: 
https://www.london.gov.uk/who-we-are/what-london-assembly-does/questions-mayor/find-an-answer/food-insecurity-2</t>
  </si>
  <si>
    <t>[1] Food and Nutrition Research Institute (FNRI). 
Municipality/City Level Food Insecurity. Manila: Freedom of Information Portal; [29 January 2022]. [Accessed 1 May 2024] Available from: https://www.foi.gov.ph/requests/municipalitycity-level-food-insecurity/
[2] Philippine Statistics Authority. Food Security Indicators: Consumer Price Index for All Income Households by Commodity Group. [Accessed 27 June 2024] Available from: https://openstat.psa.gov.ph/PXWeb/pxweb/en/DB/DB__3L__FAC/0013L5FCPI0%20.px/table/tableViewLayout1/?rxid=dbf1da33-a080-4a80-921b-087190e660f0
[3] Food and Nutrition Research Institute (FNRI). [Accessed 1 May 2024] Website (requires user account to access): https://enutrition.fnri.dost.gov.ph/</t>
  </si>
  <si>
    <t>[1] Department of the Federal Service of State Statistics for Moscow and the Moscow Region. Moscow: Department of the Federal Service of State Statistics for Moscow and the Moscow Region, 2024. Available from: https://77.rosstat.gov.ru
[2] Ministry of Health. Moscow: Ministry of Health, 2024. Available from: https://minzdrav.gov.ru</t>
  </si>
  <si>
    <t>[1] Documents. Mumbai City. Government of Maharashtra. 2024. [Accessed April 24th 2024]. Available from: https://mumbaicity.gov.in/documents/ 
[2] Maps, Reports &amp; Insights. Mumbai City. Government of Maharashtra. 2024. [Accessed April 24th 2024]. Available from: https://portal.mcgm.gov.in/irj/portal/anonymous?guest_user=english
[3] Mumbai. Action Against Hunger. 2024. [Accessed April 24th 2024]. Available from: https://actionagainsthunger.in/mumbai/</t>
  </si>
  <si>
    <t>[1] Kenya National Bureau of Statistics. Statistical Releases. Nairobi: Kenya National Bureau of Statistics, 2024. Available from: https://www.knbs.or.ke/data-releases/.
[2] IPC. Kenya: Acute Malnutrition Situation April - July 2023 and projection for August - October 2023 (ASAL). IPC, 2024. Available from: https://www.ipcinfo.org/ipc-country-analysis/details-map/en/c/1156542/?iso3=KEN.
[3] The World Bank. Prevalence of severe food insecurity in the population (%) - Kenya. 2015-2021. The World Bank, 2021. Available from: https://data.worldbank.org/indicator/SN.ITK.SVFI.ZS?locations=KE</t>
  </si>
  <si>
    <t>[1] World Vision. Global Survey on Child Hunger. Tokyo: World Vision, October 2023. Available from: https://www.worldvision.jp/news/press/20231016.html
[2] Osaka City. The Survey on the Realities of Children facing Difficulties 2024. Osaka: Osaka City, March 2024. Available from: https://www.city.osaka.lg.jp/kodomo/cmsfiles/contents/0000623/623642/houkokushozennshi1.pdf"</t>
  </si>
  <si>
    <t>[1] City of Paris. Paris City Hall (Ville de Paris. Mairie de Paris). ÉTAT DES LIEUX DE L'ALIMENTATION À PARIS: CARNET DES ENJEUX (Status of Food in Paris: Notebook of Challenges). Paris. Mairie de Paris. 2020. Available from: https://cdn.paris.fr/paris/2020/02/26/af25f74cbe9d38797f02aace4b3f2490.ai
[2] National Institute of Statistics and Economic Studies (Institut national de la statistique et des études économiques—INSEE).Précarité alimentaire en Île-de-France : un risque important dans les grandes villes mais présent aussi dans les zones rurales (Food insecurity in Île-de-France: a significant risk in large cities but also present in rural areas). Paris. INSEE. 17 April 2024. Available from: 
https://www.insee.fr/fr/statistiques/7453506</t>
  </si>
  <si>
    <t>[1] National Institute of Statistics. Food and Nutrition Security Trend Analysis Report. Phnom Penh: National Institute of Statistics. [Accessed 24th April 2024]. Available from: https://www.nis.gov.kh/nis/FSNA/Report%20of%20Food%20and%20Nutrition%20Security%20Trend%20Analysis%202014-201920_EN.pdf
[2] National Institute of Statistics. Report of Cambodia Socio-Economic Survey 2021. Phnom Penh: National Institute of Statistics. [Accessed 24th April 2024]. Available from: https://www.nis.gov.kh/nis/CSES/Final%20Report%20of%20Cambodia%20Socio-Economic%20Survey%202021_EN.pdf</t>
  </si>
  <si>
    <t>[1] General Authority for Statistics. Riyadh: General Authority for Statistics, 2024. Available from: https://www.stats.gov.sa/
[2] Ministry of Interior. Riyadh: Ministry of Interior, 2024. Available from: https://www.moi.gov.sa/wps/vanityurl/en/home
[3] Ministry of Economy and Planning. Riyadh: Ministry of Economy and Planning, 2024. Available from: https://mep.gov.sa
[4] Ministry of Health. Riyadh: Ministry of Health, 2024. Available from: https://www.moh.gov.sa/</t>
  </si>
  <si>
    <t>[1] The Metropolitan City of Rome Capital (Città metropolitana di Roma Capitale). Osservatorio Insicurezza e Povertà Alimentare (Observatory of Food Insecurity and Poverty). Rome. Città metropolitana di Roma Capitale. October 2022. Available from: https://static.cittametropolitanaroma.it/uploads/Booklet_Osservatorio_CmCR.pdf
Other sources:
National Institute of Statistics (Istituto Nazionale di Statistica--ISTAT). LE STATISTICHE DELL'ISTAT SULLA POVERTÀ | ANNO 2022 In crescita la povertà assoluta a causa dell'inflazione(ISTAT STATISTICS ON POVERTY | YEAR 2022 Absolute poverty is growing due to inflation). Rome. Istat. 2023. Available from: https://www.istat.it/it/files/2023/10/REPORT-POVERTA-2022.pdf
Maino, Franca. Povertà alimentare (Food poverty). Modena. Fondazione Ermanno Gorrieri per gli studi sociali. 2023. Available from: http://www.disuguaglianzesociali.it/glossario/?idg=40</t>
  </si>
  <si>
    <t>[1] City and County of San Francisco. San Francisco Food Security Task Force 2023 Recommendations [Internet]. City and County of San Francisco; 2023 [Accessed April 25th 2024]. Available from: https://www.sf.gov/sites/default/files/2023-02/FSTF_2023_Recommendations.final_.pdf
[2] San Francisco Department of Public Health. Biennial Food Security and Equity Report [Internet]. San Francisco Department of Public Health; 2023 [Accessed April 25th 2024]. Available from: https://www.sf.gov/sites/default/files/2024-01/2023%20San%20Francisco%20Biennial%20Food%20Security%20and%20Equity%20Report%20-%20FINAL_0.pdf</t>
  </si>
  <si>
    <t>[1] National Bureau of Statistics. Announcement from the National Bureau of Statistics on cereal production data in 2023[国家统计局关于2023年粮食产量数据的公告]. Beijing: National Bureau of Statistics, 11 December 2023. Available from: https://www.stats.gov.cn/sj/zxfb/202312/t20231211_1945417.html
[2] Shanghai Statistics Bureau. 2023 Shanghai Statistical Bulletin on National Economic and Social Development [2023年上海市国民经济和社会发展统计公报]. Shanghai: Shanghai Statistics Bureau, 21 March 2023. Available from: https://tjj.sh.gov.cn/tjgb/20240321/f66c5b25ce604a1f9af755941d5f454a.html</t>
  </si>
  <si>
    <t>[1] Commonwealth Governance. Local Government of Singapore. Singapore. Commonwealth Governance Online. 2024. Available from: https://www.commonwealthgovernance.org/countries/asia/singapore/local-government/ 
[2] World Bank. Prevalence of severe food insecurity in the population (%)- Singapore. Washington (DC): World Bank Group. 2024. Available from: https://data.worldbank.org/indicator/SN.ITK.SVFI.ZS?locations=SG&amp;name_desc=false</t>
  </si>
  <si>
    <t>[1] City of Sydney. Submission to the Inquiry into Food production and supply in NSW. Sydney: City of Sydney, 2022. Available from: https://www.parliament.nsw.gov.au/ladocs/submissions/77376/Submission%2024%20-%20City%20of%20Sydney%20Council.pdf
‌</t>
  </si>
  <si>
    <t>[1] World Vision. Global Survey on Child Hunger. Tokyo: World Vision, October 2023. Available from: https://www.worldvision.jp/news/press/20231016.html
[2] Research Center for Child and Adolescent Poverty. Survey on the Realities of Children's Lives. Tokyo: Tokyo Metropolitan University, November 2023. Available from:
https://beyond.research-miyacology.tmu.ac.jp/assets/sites-files/child-and-adolescent-poverty/files/tokyo2022/2022%E6%9D%B1%E4%BA%AC%E9%83%BD%E8%AA%BF%E6%9F%BB%E6%A6%82%E8%A6%81%E7%89%88final.pdf</t>
  </si>
  <si>
    <t>[1] City of Vienna. Annual Report of the Vienna Minimum Income 2022. Vienna: City of Vienna; 2023. Available from: https://www.wien.gv.at/spezial/mindestsicherung/files/wiener-mindestsicherung-jahresbericht-2022.pdf
[2] Municipal Department 24 - Strategic Health Care. General Health Report Vienna. Reporting period 2015 - 2023. Vienna: City of Vienna; 2024. Available from: https://www.digital.wienbibliothek.at/wbrup/download/pdf/4994362?originalFilename=true</t>
  </si>
  <si>
    <t>[1] National Bureau of Statistics. Announcement from the National Bureau of Statistics on cereal production data in 2023[国家统计局关于2023年粮食产量数据的公告]. Beijing: National Bureau of Statistics, 11 December 2023. Available from: https://www.stats.gov.cn/sj/zxfb/202312/t20231211_1945417.html.
[2] Wuhan Municipal Bureau of Statistics. Wuhan Statistical Yearbook [武汉统计年鉴]. Wuhan: Wuhan Municipal Bureau of Statistics, 2021. Available from: https://tjj.wuhan.gov.cn/tjfw/tjnj/202112/P020220111338649432258.pdf.</t>
  </si>
  <si>
    <t>[1] IFPRI. The State of Food Security and Nutrition in Myanmar 2022-23. Washington DC: IFPRI. February 2024. [Accessed 26th April 2024]. Available from: https://cgspace.cgiar.org/server/api/core/bitstreams/55b649fc-80e4-4909-a782-04acb8c5c6e5/content
[2] OCHA. Humanitarian Needs Overview Myanmar. New York: OCHA. January 2023. [Accessed 26th April 2024]. Available from: https://reliefweb.int/report/myanmar/myanmar-humanitarian-needs-overview-2023-january-2023#:~:text=A%20total%20of%2017.6%20million,those%20in%20need%20are%20children.</t>
  </si>
  <si>
    <t>[1] Addis Ababa City Health Bureau. City Government of Addis Ababa City Health Bureau. Addis Ababa: Addis Ababa City Health Bureau. [Accessed 25th April 2024]. Available from: https://cityaddisababa.gov.et/en/office/health-bureau 
[2] Ethiopian Ministry of Health. Home. Addis Ababa: Ministry of Health. [Accessed 25th April 2024]. Available from: https://www.moh.gov.et/en
[3] Ethiopian Public Health Institute (EPHI). Home. Addis Ababa: Ethiopian Public Health Institute. [Accessed 25th April 2024]. Available from: https://ephi.gov.et/
[4] Ethiopian Food and Drug Administration (EFDA). Home. Addis Ababa: Ethiopian Food and Drug Administration. [Accessed 25th April 2024]. Available from: http://www.efda.gov.et/
[5] World Health Organization (WHO) African Region/Ethiopia. Home. Addis Ababa: World Health Organization (WHO) Ethiopia. [Accessed 25th April 2024]. Available from: https://www.afro.who.int/countries/ethiopia.</t>
  </si>
  <si>
    <t>[1] ONS. Algerian National Office of Statistics. Algiers: Algerian National Office of Statistics. [Accessed 27th April 2024]. Available from: https://www.ons.dz/
[2] World Bank. Prevalence of current tobacco use (% of adults) - Algeria. Washington (DC): World Bank. [Accessed 27th April 2024]. Available from: https://data.worldbank.org/indicator/SH.PRV.SMOK?locations=DZ</t>
  </si>
  <si>
    <t>[1] Georgia Department of Public Health. Adult Tobacco Use Surveillance [Internet]. Atlanta: Georgia Department of Public Health; 2020. [Accessed April 25th 2024]. Available from: https://dph.georgia.gov/adult-tobacco-use-surveillance
[2] Truth Initiative. Tobacco use in Georgia 2021 [Internet]. Washington, D.C.: Truth Initiative; 2022. [Accessed April 25th 2024]. Available from: https://truthinitiative.org/research-resources/smoking-region/tobacco-use-georgia-2021</t>
  </si>
  <si>
    <t>[1] Auckland Plan 2050 three yearly progress report – February 2020. Auckland Council; 2020. [Accessed 26th April 2024]. Available From: https://www.aucklandcouncil.govt.nz/plans-projects-policies-reports-bylaws/our-plans-strategies/auckland-plan/about-the-auckland-plan/threeyearlyprogressreport/auckland-plan-2050-progress-report-february-2020.pdf
[2] Auckland Region. Stats NZ; 2018. [Accessed 26th April 2024]. Available From: https://www.stats.govt.nz/tools/2018-census-place-summaries/auckland-region#cigarette-smoking-behaviour</t>
  </si>
  <si>
    <t>[1] Chinese Centre for Disease Control and Prevention. Data chart of smoking rates among people aged 15 and above in various regions in 2020 [2020年各地15岁及以上人群吸烟率数据图]. Beijing: Chinese Centre for Disease Control and Prevention, 16 March 2022. Available from: https://www.chinacdc.cn/jkzt/sthd_3844/slhd_12885/.
[2] Beijing Municipal Health Commission. Beijing's fifth adult tobacco epidemic survey data results released [北京市第五次成人烟草流行调查数据结果发布]. Beijing: Beijing Municipal Health Commission, 30 January 2024. Available from: https://wjw.beijing.gov.cn/xwzx_20031/xwfb/202401/t20240131_3550223.html</t>
  </si>
  <si>
    <t>[1] UNODC, Secretaría de Salud Bogotá. SUBSTANCE CONSUMPTION STUDY
PSYCHOACTIVE IN BOGOTÁ D.C. FINAL REPORT (ESTUDIO DE CONSUMO DE SUSTANCIAS PSICOACTIVAS EN BOGOTÁ D.C. INFORME FINAL) 2022. Bogotá. UNODC, Secretaría de Salud Bogotá.2022. Available from: https://www.unodc.org/documents/colombia/2023/septiembre-9/ESTUDIO_DE_CONSUMO_DE_SUSTANCIAS_PSICOACTIVAS_BOGOTA_2022.pdf</t>
  </si>
  <si>
    <t>[1] Central Agency for Public Mobilization and Statistics (CAPMAS). Cairo: Central Agency for Public Mobilization and Statistics (CAPMAS). [Accessed 27th April 2024]. Available from: https://www.cedejcapmas.org/adws/app/4d5b52dc-669d-11e9-b6a6-975656a88994/index.html
[2] Central Agency for Public Mobilization and Statistics (CAPMAS). Cairo: Central Agency for Public Mobilization and Statistics (CAPMAS). [Accessed 27th April 2024]. Available from: https://www.capmas.gov.eg/
[3] Central Agency for Public Mobilization and Statistics (CAPMAS). On the occasion of the World No Tobacco Day, 17.7% of Egyptians are smokers 2021. Cairo: Central Agency for Public Mobilization and Statistics (CAPMAS), 2021. Available from: https://www.capmas.gov.eg/Admin/News/PressRelease/2021530131839_666%20e.pdf</t>
  </si>
  <si>
    <t>[1] International Institute for Population Sciences. National Family Health Survey 2019-2021, Delhi. Mumbai. Ministry of Health and Family Welfare. Government of India. 2022. [Accessed May 1st 2024]. Available from: https://rchiips.org/nfhs/NFHS-5_FCTS/NCT_Delhi.pdf 
[2] State Tobacco Control Programme. Delhi. Health and Family Welfare. Government of National Capital Territory of Delhi. 2024. [Accessed May 1st 2024]. Available from: https://health.delhi.gov.in/health/state-tobacco-control-programme</t>
  </si>
  <si>
    <t>[1] https://baotainguyenmoitruong.vn/dang-bao-dong-thuc-trang-su-dung-thuoc-la-o-viet-nam-364909.html
[2] https://nhandan.vn/dai-bieu-quoc-hoi-neu-nhung-con-so-dang-bao-dong-ve-su-dung-thuoc-la-o-viet-nam-post755509.html</t>
  </si>
  <si>
    <t>[1] Tobacco Control Cell, Ministry of National Health Services, Regulation and Coordination. [Accessed 29th April 2024]. Available from: http://tcc.gov.pk/index.php
[2] Bureau of Statistics, Planning and Development, Government of Sindh. Sindh Statistics 2022. Islamabad: Bureau of Statistics, Planning and Development. [Accessed 29th April 2024]. Available from: https://sbos.sindh.gov.pk/files/SBOS/Development%20Statistics/SINDH%20STATISTICS%202022-04092023.pdf
[3] Health Department, Government of Sindh. Sindh: Government of Sindh. [Accessed 29th April 2024]. Available from: https://www.sindhhealth.gov.pk/
[4] Karachi Metropolitan Corporation. Karachi: Karachi Metropolitan Corporation. [Accessed 29th April 2024]. Available from: https://www.kmc.gos.pk/en</t>
  </si>
  <si>
    <t>[1] Kathmandu Metropolitan City. 2024. Available from: https://kathmandu.gov.np/?lang=en
[2] Ministry of Health and Population, Nepal. 2024. Available from: https://mohp.gov.np/en/
[3] Noncommunicable Disease Risk Factors: STEPS Survey Nepal 2019. Nepal Health Research Council. 2020. Available from: https://www.who.int/docs/default-source/nepal-documents/ncds/ncd-steps-survey-2019-compressed.pdf</t>
  </si>
  <si>
    <t>[1] International Institute for Population Sciences. National Family Health Survey 2019-2021,West Bengal. Mumbai. Ministry of Health and Family Welfare. Government of India. 2022. [Accessed April 28th 2024]. Available from: https://rchiips.org/nfhs/NFHS-5_FCTS/West_Bengal.pdf 
[2] About us. Kolkata Municipal Corporation. Kolkata. 2024. [Accessed April 28th 2024]. Available from: https://www.kmcgov.in/KMCPortal/jsp/AboutUsVision.jsp
[3] Smokefree Kolkata City—An Initiative by the Kolkata Municipal Corporation. Kolkata Municipal Corporation. 2017. [Accessed April 28th 2024]. Available from: https://www.kmcgov.in/KMCPortal/downloads/Smoke_Free_09_03_2017.pdf</t>
  </si>
  <si>
    <t>[1] The World Bank. Washington: The World Bank, 2020. Available from: https://data.worldbank.org/indicator/SH.PRV.SMOK?locations=KW
[2] Central Statistical Bureau. Kuwait: Central Statistical Bureau, 2024. Available from: https://www.csb.gov.kw</t>
  </si>
  <si>
    <t>[1] ONS. Adult smoking habits in the UK: 2022. London: Office for National Statistics; 2023. Available from:
https://www.ons.gov.uk/peoplepopulationandcommunity/healthandsocialcare/healthandlifeexpectancies/bulletins/adultsmokinghabitsingreatbritain/2022</t>
  </si>
  <si>
    <t>[1] Congress of the Philippines. Tobacco Use in the Philippines. City unknown: Global Adult Tobacco Survey; [April 2023]. Available from: https://cpbrd.congress.gov.ph/images/PDF%20Attachments/Facts%20in%20Figures/FF2023-25_-_Tobacco_Use_in_the_Philippines.pdf
[2] Philippine Statistics Authority. Quezon City: Philippine Statistics Authority. [Accessed 26th April 2024]. Available from: https://psa.gov.ph/
[3] Department of Health. Manila: Department of Health - Republic of the Philippines. [Accessed 26th April 2024]. Available from: https://doh.gov.ph/
[4] Manila Health Department. Manila: City Government of Manila. [Accessed 26th April 2024]. Available from: https://manilahealthdepartment.com/</t>
  </si>
  <si>
    <t>[1] Department of the Federal Service of State Statistics for Moscow and the Moscow Region. Moscow: Department of the Federal Service of State Statistics for Moscow and the Moscow Region, 2024. Available from: https://77.rosstat.gov.ru
[2] Ministry of Health. Moscow: Ministry of Health, 2024. Available from: https://minzdrav.gov.ru
[3] Federal Service of State Statistics. Moscow: Federal Service of State Statistics, 2009. Available from: https://rosstat.gov.ru/storage/mediabank/GATS.doc</t>
  </si>
  <si>
    <t>[1] International Institute for Population Sciences. National Family Health Survey 2019-2021, Maharashtra. Mumbai. Ministry of Health and Family Welfare. Government of India. 2022. [Accessed April 24th 2024]. Available from: https://rchiips.org/nfhs/NFHS-5_FCTS/Maharashtra.pdf ] Accessed April 24, 2024 
[2] Documents. Mumbai City. Government of Maharashtra. 2024. [Accessed April 24th 2024]. Available from: https://mumbaicity.gov.in/documents/] 
[3] Maps, Reports &amp; Insights. Mumbai City. Government of Maharashtra. 2024. [Accessed April 24th 2024]. Available from: https://portal.mcgm.gov.in/irj/portal/anonymous?guest_user=english
[4] State of Smoking and Health in India. New York. Foundation for a smoke free world. 2023. [Accessed April 24th 2024]. Available from: https://www.smokefreeworld.org/health-science-research-2/health-science-technology-agenda/data-analytics/global-state-of-smoking-landscape/state-smoking-india/</t>
  </si>
  <si>
    <t>[1] Kenya National Bureau of Statistics. Statistical Releases. Nairobi: Kenya National Bureau of Statistics, 2024. Available from: https://www.knbs.or.ke/data-releases/. 
[2] Ministry of Health. Nairobi:Ministry of Health, 2024. Available from: https://www.health.go.ke/.</t>
  </si>
  <si>
    <t>[1] National Institute of Statistics. Report of Cambodia Socio-Economic Survey 2021. Phnom Penh: National Institute of Statistics. [Accessed 24th April 2024]. Available from: https://www.nis.gov.kh/nis/CSES/Final%20Report%20of%20Cambodia%20Socio-Economic%20Survey%202021_EN.pdf
[2] DHS Program. Cambodia: Demographic and Health Survey 2021-22. Phnom Penh: DHS Program. [Accessed 24th April 2024]. Available from: https://www.dhsprogram.com/pubs/pdf/FR377/FR377.pdf</t>
  </si>
  <si>
    <t>[1] General Authority for Statistics. Riyadh: General Authority for Statistics, 2024. Available from: https://www.stats.gov.sa/
[2] Ministry of Health. Riyadh: Ministry of Health, 2024. Available from: https://www.moh.gov.sa/</t>
  </si>
  <si>
    <t>[1] ISA. Report ISA Capital 2015 Smoking in São Paulo City. São Paulo: Secretaria Municipal de Saúde; 2015. Available from: https://www.prefeitura.sp.gov.br/cidade/secretarias/upload/saude/arquivos/publicacoes/ISA_2015_TAB.pdf
[2] Prefeitura Municipal de São Paulo. Health has a treatment program for those who want to stop smoking. São Paulo. 2022. Available from: https://www.capital.sp.gov.br/w/noticia/sao-paulo-oferece-tratamento-para-quem-quer-parar-de-fumar</t>
  </si>
  <si>
    <t>[1] Chinese Centre for Disease Control and Prevention. Data chart of smoking rates among people aged 15 and above in various regions in 2020 [2020年各地15岁及以上人群吸烟率数据图]. Beijing: Chinese Centre for Disease Control and Prevention, 16 March 2022. Available from: https://www.chinacdc.cn/jkzt/sthd_3844/slhd_12885/.
[2] Shanghai Municipal Government. This city has strengthened smoking control in public places. Smoking is completely prohibited indoors and smoking is prohibited outdoors.[本市强化公共场所控烟 室内全面禁烟 室外不吸游烟]. Shanghai: Shanghai Municipal Government, 1 June 2023. Available from: https://www.shanghai.gov.cn/nw4411/20230601/5201a38f30344e4bbf8113b480e2b81c.html.</t>
  </si>
  <si>
    <t>[1] Bureau of Social Welfare, Tokyo Metropolitan Government. The health and nutritional status of the residents of Tokyo. Tokyo: Tokyo Metropolitan Government, March 2022. Available from: https://www.hokeniryo.metro.tokyo.lg.jp/kenkou/kenko_zukuri/ei_syo/tomineiyou.files/R1tomin_01.pdf
P30</t>
  </si>
  <si>
    <t>[1] Wuhan Statistics Bureau. Statistics Analysis [統計分析]. Wuhan: Wuhan Statistics Bureau. [Accessed 29th April 2024]. Available from: https://tjj.wuhan.gov.cn/tjfw/tjfx/
[2] Wuhan Health Information Centre. Homepage. Wuhan: Wuhan Health Information Centre. [Accessed 29th April 2024]. Available from: https://www.whhealth.org.cn.
[3] Chinese Centre for Disease Control and Prevention. Data chart of smoking rates among people aged 15 and above in various regions in 2020 [2020年各地15岁及以上人群吸烟率数据图]. Beijing: Chinese Centre for Disease Control and Prevention, 16 March 2022. Available from: https://www.chinacdc.cn/jkzt/sthd_3844/slhd_12885/.</t>
  </si>
  <si>
    <t>[1] Yangon City Development Committee (YCDC). YCDC. Yangon: Yangon City Development Committee (YCDC). [Accessed 29th April 2024]. Available from: https://www.ycdc.gov.mm/
[2] Ministry of Health and Sports. Publications, Reports, Presentations &amp; Documents. Naypyidaw: Ministry of Health and Sports. [Accessed 27th March 2024]. Available from: https://mohs.gov.mm/Main/content/publication/list?pagenumber=1&amp;pagesize=9
[3] World Bank. Myanmar: Overview of Tobacco Use, Tobacco Control Legislation, and Taxation. Paris: World Bank, 20 June 2019. [Accessed 26th April 2024]. Available from: https://documents1.worldbank.org/curated/en/346331561049618627/pdf/Myanmar-Overview-of-Tobacco-Use-Tobacco-Control-Legislation-and-Taxation.pdf
[4] WHO. Myanmar Tobacco Factsheet 2018. Geneva: WHO, 2018. [Accessed 26th April 2024]. Available from: https://iris.who.int/bitstream/handle/10665/272686/wntd_2018_myanmar_fs.pdf;jsessionid=4A302D0D699A9E102C4B3B2CD6C56D3C?sequence=2</t>
  </si>
  <si>
    <t>[1] Addis Ababa City Health Bureau. City Government of Addis Ababa City Health Bureau. Addis Ababa: Addis Ababa City Health Bureau. [Accessed 25th April 2024]. Available from: https://cityaddisababa.gov.et/en/office/health-bureau 
[2] Ethiopian Ministry of Health. Home. Addis Ababa: Ministry of Health. [Accessed 25th April 2024]. Available from: https://www.moh.gov.et/en
[3] Ethiopian Public Health Institute (EPHI). Home. Addis Ababa: Ethiopian Public Health Institute. [Accessed 25th April 2024]. Available from: https://ephi.gov.et/
[4] Ethiopian Food and Drug Administration (EFDA). Home. Addis Ababa: Ethiopian Food and Drug Administration. [Accessed 25th April 2024]. Available from: http://www.efda.gov.et/
[5] World Health Organization (WHO) African Region/Ethiopia. Home. Addis Ababa: World Health Organization (WHO) Ethiopia. [Accessed 25th April 2024]. Available from: https://www.afro.who.int/countries/ethiopia.
[6] Food and Agricultural Organization (FAO) in Ethiopia. Home. Addis Ababa: Food and Agricultural Organization in Ethiopia. [Accessed 25th April 2024]. Available from: https://www.fao.org/ethiopia/en/ 
[7] World Food Program (WFP) African Region/Ethiopia. Home. Addis Ababa: World Food Program Ethiopia. [Accessed 25th April 2024]. Available from: https://www.wfp.org/countries/ethiopia</t>
  </si>
  <si>
    <t>[1] Feeding the New Zealand Family of Five Million, 5+ a Day of Vegetables?. Earth; 2021. [Accessed May 6th 2024]. Available from: https://doi.org/10.3390/earth2040047
[2] Nutrition indicators. New Zealand Health Survey; 2023. [Accessed May 6th 2024]. Available from: https://minhealthnz.shinyapps.io/nz-health-survey-2022-23-annual-data-explorer/_w_a6ad7903/#!/explore-topics
[3] Vegetables: New Zealand Children Are Not Eating Enough. [Accessed May 6th 2024]. Frontiers in Nutrition; 2019. Available from: https://doi.org/10.3389/fnut.2018.00134</t>
  </si>
  <si>
    <t>[1] Secretaría de Planeación. Bulletin No. 41 Food Consumption and Production of Solid Organic Waste in use
urban residential of Bogotá D.C(Boletín No. 41 Consumo de Alimentos y Producción de Residuos Sólidos Orgánicos en el uso
residencial urbano de Bogotá D.C). Bogotá. Secretaría de Planeación. 2012. Available from: https://www.sdp.gov.co/sites/default/files/dice125-cartillaalimentos-2012.pdf</t>
  </si>
  <si>
    <t>[1] Central Agency for Public Mobilization and Statistics (CAPMAS). Cairo: Central Agency for Public Mobilization and Statistics (CAPMAS). [Accessed 27th April 2024]. Available from: https://www.cedejcapmas.org/adws/app/4d5b52dc-669d-11e9-b6a6-975656a88994/index.html
[2] Central Agency for Public Mobilization and Statistics (CAPMAS). Cairo: Central Agency for Public Mobilization and Statistics (CAPMAS). [Accessed 27th April 2024]. Available from: https://www.capmas.gov.eg/</t>
  </si>
  <si>
    <t>[1] Dr Renuka Jayatissa et.al. National Nutrition and Micronutrient Survey in Sri Lanka: 2022. Colombo. Department of Nutrition, Medical Research Institute partnership with UNICEF and WFP. 2023.[Accessed April 29th 2024]. Available from: https://www.mri.gov.lk/wp-content/uploads/2023/05/National-Nutrition-and-Micronutrient-Survey-Sri-Lanka-2022.pdf 
[2] Publications. Colombo. Nutrition Division. Ministry of Health. Government of Sri Lanka. 2024. [Accessed April 29th 2024]. Available from: https://nutrition.health.gov.lk/english/resource/publications/
[3] Grama Niladhari Divisions Statistics-2020. Colombo District. Battaramulla. Department of Census and Statistics. Government of Sri Lanka. 2020. [Accessed April 29th 2024]. Available from: http://www.statistics.gov.lk/Resource/en/Population/GND_Reports/2020/Colombo.pdf</t>
  </si>
  <si>
    <t>[1] International Institute for Population Sciences. National Family Health Survey 2019-2021, India. Mumbai. Ministry of Health and Family Welfare. Government of India. 2022. [Accessed April 24th 2024]. Available from: https://rchiips.org/nfhs/NFHS-5Reports/NFHS-5_INDIA_REPORT.pdf
[2] International Institute for Population Sciences. National Family Health Survey 2019-2021, Delhi. Mumbai. Ministry of Health and Family Welfare. Government of India. 2022 [Accessed April 24th 2024]. Available from: https://rchiips.org/nfhs/NFHS-5_FCTS/NCT_Delhi.pdf
[3] Socio Economic Surveys. Delhi. Planning Department, Government of National Capital Territory of Delhi. 2024. [Accessed April 25th 2024]. Available from: https://delhiplanning.delhi.gov.in/planning/sociol-economic-surveys-nss-rounds
[4] Downloads. National Institute of Nutrition. Hyderabad. Indian Council of Medical Research. 2024. [Accessed April 29th 2024]. Available from: https://www.nin.res.in/downloads.html</t>
  </si>
  <si>
    <t>[1] Director General, Bangladesh Bureau of Statistics (BBS), Statistics and Informatics Division (SID), Ministry of Planning. Household Income and Expenditure Survey (HIES) 2022. Dhaka: Bangladesh Bureau of Statistics. 14 December 2023. [Accessed 29th April 2024]. Available from: https://bbs.portal.gov.bd/sites/default/files/files/bbs.portal.gov.bd/page/b343a8b4_956b_45ca_872f_4cf9b2f1a6e0/2023-12-28-14-40-ac2b3d298f569f155a80871a49b7dd9e.pdf
[2] Bangladesh National Portal. Dhaka District. Dhaka: Bangladesh National Portal. [Accessed 29th April 2024]. Available from: https://dhaka.gov.bd/en#</t>
  </si>
  <si>
    <t>[1] General Statistics Office (Tổng Cục Thống Kê). Press release results of the 2022 Residential Living Standards Survey (Thông Cáo Báo Chí Kết Quả Khảo Sát Mức Sống Dân Cư 2022). 4 May 2023. Available from: https://www.gso.gov.vn/du-lieu-va-so-lieu-thong-ke/2023/05/thong-cao-bao-chi-ket-qua-khao-sat-muc-song-dan-cu-2022/
[2] Labour Newspaper (Báo Lao Động). Ho Chi Minh City warns of overweight and obesity in all ages. Agency Of The Vietnam General Confederation Of Labour (Cơ Quan Của Tổng Liên Đoàn Lao Động Việt Nam). 22 April 2024. Available from: https://laodongtre.laodong.vn/suc-khoe/tphcm-bao-dong-tinh-trang-thua-can-beo-phi-o-moi-lua-tuoi-1330233.ldo</t>
  </si>
  <si>
    <t>[1] Turkish Statistical Institute (Türkiye İstatistik Kurumu). Türkiye Sağlık Araştırması, 2022 (Turkey Health Survey, 2022). Ankara. Türkiye İstatistik Kurumu. 1 June 2023. Available from: https://data.tuik.gov.tr/Bulten/Index?p=Turkiye-Saglik-Arastirmasi-2022-49747
[2] T.R. Ministry of Health General Directorate of Public Health (T.C. Sağlık Bakanlığı Halk Sağlığı Genel Müdürlüğü). Turkey Nutrition and Health Survey 2017. Ankara. T.C. Sağlık Bakanlığı Halk Sağlığı Genel Müdürlüğü. 2019. Available from: https://hsgm.saglik.gov.tr/depo/birimler/saglikli-beslenme-ve-hareketli-hayat-db/Dokumanlar/Ingilizce_Yayinlar/TBSA_RAPOR_KITAP_2017_ENG_.pdf
Other sources: 
T.R. Ministry of Health General Directorate of Public Health (T.C. Sağlık Bakanlığı Halk Sağlığı Genel Müdürlüğü). TÜRKİYE BULAŞICI OLMAYAN HASTALIKLAR VE RİSK FAKTÖRLERİ KOHORT ÇALIŞMASI (Turkey Non-Communicable Diseases and Risk Factors Cohort Study). Ankara. T.C. Sağlık Bakanlığı Halk Sağlığı Genel Müdürlüğü. 2021. Available from: https://hsgm.saglik.gov.tr/depo/birimler/kronik-hastaliklar-ve-yasli-sagligi-db/Dokumanlar/Raporlar/v9s_NCDkohort_.pdf</t>
  </si>
  <si>
    <t>[1] City of Johannesburg. Johannesburg: City of Johannesburg. [Accessed 25th April 2024]. Available from: https://joburg.org.za/.
[2] Gauteng Provincial Government. Johannesburg: Gauteng Provincial Government. [Accessed 25th April 2024]. Available from: https://www.gauteng.gov.za/.
[3] South African Government. Pretoria: South African Government. [Accessed 25th April 2024]. Available from: https://www.gov.za/.</t>
  </si>
  <si>
    <t>[1] National Institute of Population Studies. Demographic and
Health Survey 2017-18. Islamabad: National Institute of Population Studies, January 2019. [Accessed 29th April 2024]. Available from: https://dhsprogram.com/pubs/pdf/FR354/FR354.pdf
[2] Ministry of Planning Development &amp; Special Initiatives. Pakistan Social and Living Standards Measurement Survey. July 2021. [Accessed 29th April 2024]. Available from: https://www.pbs.gov.pk/sites/default/files//pslm/publications/pslm_district_2019-20/PSLM_2019_20_District_Level.pdf
[3] Health Department, Government of Sindh. Sindh: Government of Sindh. [Accessed 29th April 2024]. Available from: https://www.sindhhealth.gov.pk/
[4] Karachi Metropolitan Corporation. Karachi: Karachi Metropolitan Corporation. [Accessed 29th April 2024].Available from: https://www.kmc.gos.pk/en</t>
  </si>
  <si>
    <t>[1] Kathmandu Metropolitan City. 2024. Available from:https://kathmandu.gov.np/?lang=en
[2] Ministry of Health and Population, Nepal. 2024. Available from:https://mohp.gov.np/en/
[3] Noncommunicable Disease Risk Factors: STEPS Survey Nepal 2019. Nepal Health Research Council. 2020. Available from: https://www.who.int/docs/default-source/nepal-documents/ncds/ncd-steps-survey-2019-compressed.pdf</t>
  </si>
  <si>
    <t>[1] Home. Kolkata Municipal Corporation. Kolkata. [Accessed April 28th 2024]. Available from: https://www.kmcgov.in/KMCPortal/jsp/KMCPortalHome1.jsp
[2] Downloads. National Institute of Nutrition. Hyderabad. Indian Council of Medical Research. 2024. [Accessed April 28th 2024]. Available from: https://www.nin.res.in/downloads.html</t>
  </si>
  <si>
    <t>[1] Central Statistical Bureau. Kuwait: Central Statistical Bureau, 2024. Available from: https://www.csb.gov.kw
[2] Zaghloul S et al. Low adherence of Kuwaiti adults to fruit and vegetable dietary guidelines. Eastern Mediterranean Health Journal (Cairo), Vol 18 Issue 5. Available from: https://www.emro.who.int/emhj-volume-18-2012/issue-5/article-8.html#:~:text=Kuwaiti%20adults%20consumed%20fruit%20and,21%5D%20adults%20for%20similar%20years.</t>
  </si>
  <si>
    <t>[1] Lagos State Government. LSG website. Lagos: LSG; [Accessed 29 April 2024]. Available from: https://lagosstate.gov.ng/
[2] Lagos State Ministry of Health (MOH). MOH website. Lagos. MOH. [Accessed 29th April 2024]. Available from: https://lagosministryofhealth.org/health-care-planning-research-statistics/
[3] National Bureau of Statistics. Abuja: National Bureau of Statistics. [Accessed 29th April 2024]. Available from: https://www.nigerianstat.gov.ng</t>
  </si>
  <si>
    <t>[1] Ministry of Agriculture, Fisheries and Food (Ministerio de Agricultura, Pesca y Alimentación). INFORME DEL CONSUMO DE ALIMENTACIÓN EN ESPAÑA 2022 (Report of Food Consumption in Spain 2022). Madrid. Ministerio de Agricultura, Pesca y Alimentación. 2023. Available from: https://www.mapa.gob.es/es/alimentacion/temas/consumo-tendencias/informe-consumo-2022-baja-res_tcm30-655390.pdf
[2] Mercasa. Comunidad de Madrid (Community of Madrid). Madrid. Mercasa. 2022. Available from: https://www.mercasa.es/wp-content/uploads/2022/05/AEE_2021_Comunidad_Madrid.pdf
[3] Díaz Olalla J.M. ; del Moral Luque J.A. y Blasco Novalbos G.; and Lahuerta Galán N. Estudio de Salud de la Ciudad de Madrid 2022 (City of Madrid Health Study 2022). Madrid. Ayuntamiento de Madrid. Madrid Salud. 2022. Available from: https://madridsalud.es/pdf/EstudioSaludResumenEjecutivo.pdf</t>
  </si>
  <si>
    <t>[1] Philippine Statistics Authority. Quezon City: Philippine Statistics Authority. [Accessed 26th April 2024]. Available from: https://psa.gov.ph/
[2] Department of Health. Manila: Department of Health - Republic of the Philippines. [Accessed 26th April 2024]. Available from: https://doh.gov.ph/
[3] Manila Health Department. Manila: City Government of Manila. [Accessed 26th April 2024]. Available from: https://manilahealthdepartment.com/</t>
  </si>
  <si>
    <t>[1] Secretaría de Educación, Ciencia, Tecnología e Innovación de la CDMX. México, cuarto lugar mundial en el consumo de alimentos ultra procesados [Mexico, fourth in the world in the consumption of ultra-processed foods]. Secretaría de Educación, Ciencia, Tecnología e Innovación de la CDMX. Ciudad de México: Government of Mexico City; 2021. [Accessed April 25th 2024]. Available from: https://sectei.cdmx.gob.mx/comunicacion/nota/mexico-cuarto-lugar-mundial-en-el-consumo-de-alimentos-ultra-procesados
[2] Statista. Consumo semanal de comida saludable en México 2020 [Weekly consumption of healthy food in Mexico 2020]. Hamburg: Statista; 2020. [Accessed April 25th 2024]. Available from: https://es.statista.com/estadisticas/1130195/frecuencia-consumo-alimento-saludable-en-mexico/
[3] Valenzuela-Bravo DG, Gaona-Pineda EB, Arango-Angarita A, et al. Cambios en el consumo de frutas, verduras y leguminosas en población mexicana menor de 20 años, Ensanut 2012 a 2022. Salud Publica Mex. 2023;65(6, nov-dic):581-91.
[4] Martínez A. La CDMX es la ciudad menos saludable del mundo: estas son las otras [CDMX is the least healthy city in the world: these are the others]. GQ. New York: Condé Nast; 2021. [Accessed April 25th 2024]. Available from: https://www.gq.com.mx/estilo-de-vida/articulo/cdmx-es-la-ciudad-menos-saludable-del-mundo</t>
  </si>
  <si>
    <t>[1] Documents. Mumbai City. Government of Maharashtra. 2024. [[Accessed April 24th 2024]. Available from: https://mumbaicity.gov.in/documents/ 
[2] Maps, Reports &amp; Insights. Mumbai City. Government of Maharashtra. 2024. [Accessed April 24th 2024]. Available from: https://portal.mcgm.gov.in/irj/portal/anonymous?guest_user=english
[3] Downloads. National Institute of Nutrition. Hyderabad. Indian Council of Medical Research.2024. [Accessed April 24th 2024]. Available from: https://www.nin.res.in/downloads.html</t>
  </si>
  <si>
    <t>[1] Kenya National Bureau of Statistics. Statistical Releases. Nairobi: Kenya National Bureau of Statistics, 2024. Available from: https://www.knbs.or.ke/data-releases/. 
[2] Ministry of Health. Nairobi:Ministry of Health, 2024. Available from: https://www.health.go.ke/.
[3] Global Diet Quality Project. Measuring what the world eats: Insights from a new approach. 2022, Geneva: Global Alliance for
Improved Nutrition (GAIN); Boston, MA: Harvard T.H. Chan School of Public Health, Department of Global Health and Population. Available from: https://www.dietquality.org/reports-and-publications
[4] Vila-Real CPM, Pimenta-Martins AS, Kunyanga CN, Mbugua SK, Katina K, Maina NH, Gomes AMP, Pinto ECB. Nutritional intake and food sources in an adult urban Kenyan population. Nutr Bull. 2022 Dec;47[4]:423-437. Available from: https://pubmed.ncbi.nlm.nih.gov/36213966/.</t>
  </si>
  <si>
    <t>[1] NSW Government. Sydney Local Health District - HealthStats NSW. Sydney: NSW Government; 2021.. Available from: https://www.healthstats.nsw.gov.au/location-overview/sydneylhd/LHD. 
‌</t>
  </si>
  <si>
    <t>[1] Bureau of Social Welfare, Tokyo Metropolitan Government. The health and nutritional status of the residents of Tokyo. Tokyo: Tokyo Metropolitan Government, March 2022. 
https://www.hokeniryo.metro.tokyo.lg.jp/kenkou/kenko_zukuri/ei_syo/tomineiyou.files/R1tomin_01.pdf
P15</t>
  </si>
  <si>
    <t>[1] Wuhan Statistics Bureau. Statistics Analysis [統計分析]. Wuhan: Wuhan Statistics Bureau. [Accessed 29th April 2024]. Available from: https://tjj.wuhan.gov.cn/tjfw/tjfx/.
[2] Wuhan Health Information Centre. Homepage. Wuhan: Wuhan Health Information Centre. [Accessed 29th April 2024]. Available from: https://www.whhealth.org.cn.
[3] National Bureau of Statistics. 6-22 Per Capita Consumption of Major Foods of Households by Region (2022). [6-22 分地区居民家庭人均主要食品消费量（2022年）]. China Statistical Yearbook 2023. Beijing: National Bureau of Statistics, 2023. Available from: https://www.stats.gov.cn/sj/ndsj/2023/indexeh.htm.</t>
  </si>
  <si>
    <t>[1] Department of Populations, Ministry of Labour, Immigration and Population. Naypyidaw: Ministry of Labour, Immigration and Population. [Accessed 29th April 2024]. Available from: https://www.dop.gov.mm/
[2] Yangon City Development Committee (YCDC). YCDC. Yangon: Yangon City Development Committee (YCDC). [Accessed 29th April 2024]. Available from: https://www.ycdc.gov.mm/
[3] Ministry of Health and Sports. Report on National Survey of Diabetes Mellitus and Risk Factors for Non-communicable Diseases in Myanmar (2014). Naypyidaw: Ministry of Health and Sports. December 2014. [Accessed 26th April 2024]. Available from: https://www.medbox.org/document/report-on-national-survey-of-diabetes-mellitus-and-risk-factors-for-non-communicable-diseases-ncds-in-myanmar</t>
  </si>
  <si>
    <t>[1] Addis Ababa City Health Bureau. City Government of Addis Ababa City Health Bureau. Addis Ababa: Addis Ababa City Health Bureau. [Accessed 25th April 2024]. Available from: https://cityaddisababa.gov.et/en/office/health-bureau 
[2] Ethiopian Ministry of Health. Home. Addis Ababa: Ministry of Health. [Accessed 25th April 2024]. Available from: https://www.moh.gov.et/en
[3] Ethiopian Public Health Institute (EPHI). Home. Addis Ababa: Ethiopian Public Health Institute. [Accessed 25th April 2024]. Available from: https://ephi.gov.et/
[4] Ethiopian Food and Drug Administration (EFDA). Home. Addis Ababa: Ethiopian Food and Drug Administration. [Accessed 25th April 2024]. Available from: http://www.efda.gov.et/
[5] World Health Organization (WHO) African Region/Ethiopia. Home. Addis Ababa: World Health Organization (WHO) Ethiopia. [Accessed 25 April 2024]. Available from: https://www.afro.who.int/countries/ethiopia.
[6] Food and Agricultural Organization (FAO) in Ethiopia. Home. Addis Ababa: Food and Agricultural Organization in Ethiopia; [Accessed 25th April 2024]. Available from: https://www.fao.org/ethiopia/en/ 
[7] World Food Program (WFP) African Region/Ethiopia. Home. Addis Ababa: World Food Program Ethiopia. [Accessed 25th April 2024]. Available from: https://www.wfp.org/countries/ethiopia</t>
  </si>
  <si>
    <t>[1] Survey of trans fatty acid content of Australian and New Zealand foods. Food Standards Australia
New Zealand (FSANZ); 2015. [Accessed May 6th 2024]. Available from: https://www.foodstandards.gov.au/science-data/monitor/Survey-of-trans-fatty-acids-in-Australian-and-New-Zealand-foods</t>
  </si>
  <si>
    <t>[1] Hernandez Tovar, Laura Valentina. Description of the consumption of trans fatty acids in the usual diet of the administrative staff of the Faculty of Sciences of the Pontificia Universidad Javeriana, Bogotá headquarters (Descripción del consumo de acidos grasos trans en la dieta habitual del personal administrativo de la Facultad de Ciencias de la Pontificia Universidad Javeriana sede Bogotá). Bogotá. Universidad Javeriana. 2022. Available from: https://repository.javeriana.edu.co/handle/10554/60339 
[2] Bolívar C., Lorena A; Mora G., Olga L. Fatty acids, vitamin E and nutritional labelling of margarines and spreads marketed in Bogotá, Colombia (Ácidos grasos, vitamina e y rotulado nutricional de margarinas y esparcibles comercializados en Bogotá, Colombia). Colombia. Rev. colomb. cardiol ; 17-3-: 106-114, mayo-jun. 2010</t>
  </si>
  <si>
    <t>[1] Dr Renuka Jayatissa et.al. National Nutrition and Micronutrient Survey in Sri Lanka: 2022. Colombo. Department of Nutrition, Medical Research Institute partnership with UNICEF and WFP. 2023. [Accessed April 29th 2024]. Available from: https://www.mri.gov.lk/wp-content/uploads/2023/05/National-Nutrition-and-Micronutrient-Survey-Sri-Lanka-2022.pdf
[2] Publications. Colombo. Nutrition Division. Ministry of Health. Government of Sri Lanka. 2024. [Accessed April 29th 2024]. Available from: https://nutrition.health.gov.lk/english/resource/publications/
[3] Grama Niladhari Divisions Statistics-2020. Colombo District. Battaramulla. Department of Census and Statistics. Government of Sri Lanka. 2020. [Accessed April 29th 2024]. Available from: http://www.statistics.gov.lk/Resource/en/Population/GND_Reports/2020/Colombo.pdf</t>
  </si>
  <si>
    <t>[1] International Institute for Population Sciences. National Family Health Survey 2019-2021, Delhi. Mumbai. Ministry of Health and Family Welfare. Government of India. 2022. [Accessed April 26th 2024]. Available from: https://rchiips.org/nfhs/NFHS-5_FCTS/NCT_Delhi.pdf 
[2] Soumyajit Ray et.al. State Nutrition Profile-Delhi. New Delhi. International Food Policy Research Institute. 2022. [Accessed April 26th 2024]. Available from: https://ebrary.ifpri.org/digital/collection/p15738coll2/id/135846
[3] Socio Economic Surveys. Delhi. Planning Department, Government of National Capital Territory of Delhi. 2024. [Accessed April 26th 2024]. Available from: https://delhiplanning.delhi.gov.in/planning/sociol-economic-surveys-nss-rounds
[4] Downloads. National Institute of Nutrition. Hyderabad. Indian Council of Medical Research.2024. [Accessed April 26th 2024]. Available from: https://www.nin.res.in/downloads.html</t>
  </si>
  <si>
    <t>[1] Director General, Bangladesh Bureau of Statistics (BBS), Statistics and Informatics Division (SID), Ministry of Planning. Household Income and Expenditure Survey (HIES) 2022. Dhaka: Bangladesh Bureau of Statistics. 14 December, 2023; [Accessed 29th April 2024]. Available from: https://bbs.portal.gov.bd/sites/default/files/files/bbs.portal.gov.bd/page/b343a8b4_956b_45ca_872f_4cf9b2f1a6e0/2023-12-28-14-40-ac2b3d298f569f155a80871a49b7dd9e.pdf
[2] Bangladesh National Portal. Dhaka District. Dhaka: Bangladesh National Portal. [Accessed 29th April 2024]. Available from: https://dhaka.gov.bd/en#
[3] Government of the People's Republic of Bangladesh. Ministry of Health and Family Welfare. Dhaka: Government of the People's Republic of Bangladesh. [Accessed 29th April 2024]. Available from: http://www.mohfw.gov.bd/
[4] Directorate General of Health Services (DGHS). Dhaka: Directorate General of Health Services. [Accessed 29th April 2024]. Available from: https://dghs.gov.bd/</t>
  </si>
  <si>
    <t>[1] City Data. Capital region well-being survey. Helsinki: City of Helsinki. [Accessed 27th April 2024]. Available from: https://pkskysely.kaupunkitieto.fi/sites/default/files/PKShyvinvointikysely2021_indikaattorit.xlsx
[2] Sotkanet. Homepage. Helsinki: THL. [Accessed 27th April 2024]. Available from: https://sotkanet.fi/sotkanet/fi/index
[3] Statistics Finland. Homepage. Helsinki: Statistics Finland. [Accessed 27th April 2024]. Available from: https://stat.fi</t>
  </si>
  <si>
    <t>[1] General Statistics Office (Tổng Cục Thống Kê). Press release results of the 2022 Residential Living Standards Survey (Thông Cáo Báo Chí Kết Quả Khảo Sát Mức Sống Dân Cư 2022). 4 May 2023. Available from: https://www.gso.gov.vn/du-lieu-va-so-lieu-thong-ke/2023/05/thong-cao-bao-chi-ket-qua-khao-sat-muc-song-dan-cu-2022/
[2] Labour Newspaper (Báo Lao Động). Ho Chi Minh City warns of overweight and obesity in all ages. Agency Of The Vietnam General Confederation Of Labour (Cơ Quan Của Tổng Liên Đoàn Lao Động Việt Nam). 22 April 2024. Available from: https://laodongtre.laodong.vn/suc-khoe/tphcm-bao-dong-tinh-trang-thua-can-beo-phi-o-moi-lua-tuoi-1330233.ldo
[3] City Center for Disease Control. Ho Chi Minh City: Over 1/3 of adults suffer from Metabolic Syndrome. 26 September 2022. Available from: https://hcdc.vn/public/img/02bf8460bf0d6384849ca010eda38cf8e9dbc4c7/images/dangbai1/images/tphcm-tren-13-nguoi-truong-thanh-mac-hoi-chung-chuyen-hoa/files/bai%20gui%20dang%20tap%20chi_HCCH.pdf</t>
  </si>
  <si>
    <t>[1] Turkish Statistical Institute (Türkiye İstatistik Kurumu). Türkiye Sağlık Araştırması, 2022 (Turkey Health Survey, 2022). Ankara. Türkiye İstatistik Kurumu. 1 June 2023. Available from: https://data.tuik.gov.tr/Bulten/Index?p=Turkiye-Saglik-Arastirmasi-2022-49747
[2] T.R. Ministry of Health General Directorate of Public Health (T.C. Sağlık Bakanlığı Halk Sağlığı Genel Müdürlüğü). Turkey Nutrition and Health Survey 2017. Ankara. T.C. Sağlık Bakanlığı Halk Sağlığı Genel Müdürlüğü. 2019. Available from: https://hsgm.saglik.gov.tr/depo/birimler/saglikli-beslenme-ve-hareketli-hayat-db/Dokumanlar/Ingilizce_Yayinlar/TBSA_RAPOR_KITAP_2017_ENG_.pdf</t>
  </si>
  <si>
    <t>[1] Bureau of Statistics, Planning and Development, Government of Sindh. Sindh Statistics 2022. Sindh: Government of Sindh. 2023. [Accessed 29th April 2024]. Available from: https://sbos.sindh.gov.pk/files/SBOS/Development%20Statistics/SINDH%20STATISTICS%202022-04092023.pdf
[2] Ministry of Planning Development &amp; Special Initiatives. Pakistan Social and Living Standards Measurement Survey, July 2021. [Accessed 29th April 2024]. Available from: https://www.pbs.gov.pk/sites/default/files//pslm/publications/pslm_district_2019-20/PSLM_2019_20_District_Level.pdf
[3] Health Department, Government of Sindh. Sindh: Government of Sindh. [Accessed 29th April 2024]. Available from: https://www.sindhhealth.gov.pk/
[4] Karachi Metropolitan Corporation. Karachi: Karachi Metropolitan Corporation. [Accessed 29th April, 2024]. Available from: https://www.kmc.gos.pk/en</t>
  </si>
  <si>
    <t>[1] Kathmandu Metropolitan City. 2024. Available from: https://kathmandu.gov.np/?lang=en
[2] Ministry of Health and Population, Nepal. 2024. Available from: https://mohp.gov.np/en/</t>
  </si>
  <si>
    <t>[1] Home. Kolkata Municipal Corporation. Kolkata. [Accessed April 28th 2024]. Available from: https://www.kmcgov.in/KMCPortal/jsp/KMCPortalHome1.jsp 
[2] International Institute for Population Sciences. National Family Health Survey 2019-2021,West Bengal. Mumbai. Ministry of Health and Family Welfare. Government of India. 2022. [Accessed April 28th 2024]. Available from: https://rchiips.org/nfhs/NFHS-5_FCTS/West_Bengal.pdf
[3] Downloads. National Institute of Nutrition. Hyderabad. Indian Council of Medical Research. 2024. [Accessed April 28th 2024]. Available from: https://www.nin.res.in/downloads.html</t>
  </si>
  <si>
    <t>[1] Central Statistical Bureau. Kuwait: Central Statistical Bureau, 2024. Available from: https://www.csb.gov.kw
[2] The World Bank. Washington: The World Bank, 2024. Available from: https://data.worldbank.org/
[3] World Health Organization. Geneva: World Health Organisation, 2024. Available from: https://www.who.int</t>
  </si>
  <si>
    <t>[1] Lagos State Government. LSG website. Lagos: LSG. [Accessed 29th April 2024]. Available from: https://lagosstate.gov.ng/
[2] Lagos State Ministry of Health (MOH). MOH website. Lagos. MOH. [Accessed 29th April 2024]. Available from: https://lagosministryofhealth.org/health-care-planning-research-statistics/
[3] National Bureau of Statistics. Abuja: National Bureau of Statistics. [Accessed 29th April 2024]. Available from: https://www.nigerianstat.gov.ng</t>
  </si>
  <si>
    <t>[1] Philippine Statistics Authority. Quezon City: Philippine Statistics Authority. [Accessed 26th April 2024]. Available from: https://psa.gov.ph/
[2] Department of Health. Manila: Department of Health - Republic of the Philippines;. [Accessed 26th April 2024]. Available from: https://doh.gov.ph/
[3] Manila Health Department. Manila: City Government of Manila. [Accessed 26th April 2024]. Available from: https://manilahealthdepartment.com/</t>
  </si>
  <si>
    <t>[1] Australian Bureau of Statistics. National health survey. Australian Bureau of Statistics website; 2022. Available from: https://www.abs.gov.au/statistics/health/health-conditions-and-risks/national-health-survey/latest-release 
[2] Kaur, G., Cameron-Smith, D., Sinclair, AJ. Are trans fats a problem in Australia? Med J Aust. 2012 Jun 18;196[11]:666-7. doi: 10.5694/mja12.10372. PMID: 22708749.
[3] City of Melbourne. Health and wellbeing profile – 2022 mid-point review. City of Melbourne; 2022. Available from: https://www.melbourne.vic.gov.au/SiteCollectionDocuments/midpoint-summary-report.pdf</t>
  </si>
  <si>
    <t>[1] Documents. Mumbai City. Government of Maharashtra. 2024. [Accessed April 24th 2024]. Available from: https://mumbaicity.gov.in/documents/ 
[2] Maps, Reports &amp; Insights. Mumbai City. Government of Maharashtra. 2024. [Accessed April 24th 2024]. Available from: https://portal.mcgm.gov.in/irj/portal/anonymous?guest_user=english
[3] International Institute for Population Sciences. National Family Health Survey 2019-2021, Maharashtra. Mumbai. Ministry of Health and Family Welfare. Government of India. 2022. [Accessed April 24th 2024]. Available from: https://rchiips.org/nfhs/NFHS-5_FCTS/Maharashtra.pdf 
[4] Downloads. National Institute of Nutrition. Hyderabad. Indian Council of Medical Research. 2024.[Accessed April 24th 2024]. Available from: https://www.nin.res.in/downloads.html</t>
  </si>
  <si>
    <t>[1] Kenya National Bureau of Statistics. Statistical Releases. Nairobi: Kenya National Bureau of Statistics, 2024. Available from: https://www.knbs.or.ke/data-releases/. 
[2] Ministry of Health. Nairobi:Ministry of Health, 2024. Available from: https://www.health.go.ke/.
[3] Global Diet Quality Project. Measuring what the world eats: Insights from a new approach. 2022, Geneva: Global Alliance for
Improved Nutrition (GAIN); Boston, MA: Harvard T.H. Chan School of Public Health, Department of Global Health and Population. Available from: https://www.dietquality.org/reports-and-publications.
[4] Vila-Real CPM, Pimenta-Martins AS, Kunyanga CN, Mbugua SK, Katina K, Maina NH, Gomes AMP, Pinto ECB. Nutritional intake and food sources in an adult urban Kenyan population. Nutr Bull. 2022 Dec;47[4]:423-437. Available from: https://pubmed.ncbi.nlm.nih.gov/36213966/.</t>
  </si>
  <si>
    <t>[1] DEPARTMENT OF HEALTH AND MENTAL HYGIENE BOARD OF HEALTH. Notice of Public Hearing. New York City. DEPARTMENT OF HEALTH AND MENTAL HYGIENE BOARD OF HEALTH. 2006. Available from: https://www.nyc.gov/assets/doh/downloads/pdf/public/transfat-noi-81-08.pdf
[2] World Health Organization. Trans Fat. Geneva. World Health Organization.2024. Available from: https://www.who.int/news-room/fact-sheets/detail/trans-fat
[3] New York City Department of Health and Mental Hygiene; Take Care New York. The Regulation to Phase Out Artificial Trans Fat In New York City Food Service Establishments. New York City. New York City Department of Health and Mental Hygiene; Take Care New York. Available from: https://www.nyc.gov/assets/doh/downloads/pdf/cardio/cardio-transfat-bro.pdf
[4] NYC.gov Environment &amp; Health Data Portal. Unhealthy Food Access. New York City. NYC.gov Environment &amp; Health Data Portal.2024. Available from: https://a816-dohbesp.nyc.gov/IndicatorPublic/data-explorer/healthy-eating/?id=2389#display=summary 
[5] City Health Dashboard. Metrics Overview for New York, NY. New York. City Health Dashboard. Available from: https://www.cityhealthdashboard.com/NY/New%20York/city-overview?metricId=10&amp;dataPeriod=2021
[6] Johnson KE. Food democracy, health disparities and the New York City trans fat policy. Public Health Nutrition. 2019 Dec 16;v(23):1–9.</t>
  </si>
  <si>
    <t>[1] City of Paris. Paris City Hall (Ville de Paris. Mairie de Paris). ÉTAT DES LIEUX DE L'ALIMENTATION À PARIS: CARNET DES ENJEUX (Status of Food in Paris: Notebook of Challenges). Paris. Mairie de Paris. 2020. Available from: https://cdn.paris.fr/paris/2020/02/26/af25f74cbe9d38797f02aace4b3f2490.ai
[2] Regional Health Agency of the Île-de-France (ARS Île-de-France). Website. Paris. ARS Île-de-France, 2024. Available from: https://www.iledefrance.ars.sante.fr/
[3] Regional Health Agency of the Île-de-France (ARS Île-de-France). Promotion Santé Île-de-France. Website. Paris. ARS Île-de-France, 2024. Available from: https://www.promotion-sante-idf.fr/</t>
  </si>
  <si>
    <t>[1] World Health Organization. Trans Fat. Geneva. World Health Organization.2024. Available from: https://www.who.int/news-room/fact-sheets/detail/trans-fat 
[2] Health Promotion Board. National Nutrition Survey 2022 Singapore. Singapore. Health Promotion Board. 2022. Available from: https://www.hpb.gov.sg/docs/default-source/pdf/nns-2022-report.pdf</t>
  </si>
  <si>
    <t>[1] Australian Bureau of Statistics. Australian Health Survey: Biomedical Results for Nutrients, 2011-12. Camberra: Australian Bureau of Statistics; 2013. Available from: https://www.abs.gov.au/statistics/health/health-conditions-and-risks/australian-health-survey-biomedical-results-nutrients/latest-release. 
‌</t>
  </si>
  <si>
    <t>[1] Department of Populations, Ministry of Labour, Immigration and Population. Naypyidaw: Ministry of Labour, Immigration and Population. [Accessed 29th April 2024.] Available from: https://www.dop.gov.mm/
[2] Yangon City Development Committee (YCDC). YCDC. Yangon: Yangon City Development Committee (YCDC). [Accessed 29th April 2024]. Available from: https://www.ycdc.gov.mm/
[3] Ministry of Health and Sports. Myanmar Micronutrient and Food Consumption Survey (2017-2018). Naypyidaw: Ministry of Health and Sports. February 2019. [Accessed 26th April 2024] Available from: https://www.mohs.gov.mm/page/7339</t>
  </si>
  <si>
    <t>[1] Addis Ababa City Health Bureau. City Government of Addis Ababa City Health Bureau. Addis Ababa: Addis Ababa City Health Bureau. [Accessed 25th April 2024]. Available from: https://cityaddisababa.gov.et/en/office/health-bureau 
[2] Addis Ababa City Sports Commission. City Government of Addis Ababa City Sports Commission. Addis Ababa: Addis Ababa City Sports Commission. [Accessed 25th April 2024]. Available from: https://cityaddisababa.gov.et/en/office 
[3] Ethiopian Ministry of Health. Home. Addis Ababa: Ministry of Health. [Accessed 25th April 2024]. Available from: https://www.moh.gov.et/en
[4] Ethiopian Public Health Institute (EPHI). Home. Addis Ababa: Ethiopian Public Health Institute. [Accessed 25th April 2024]. Available from: https://ephi.gov.et/
[5] World Health Organization (WHO) African Region/Ethiopia. Home. Addis Ababa: World Health Organization (WHO) Ethiopia. [Accessed 25th April 2024]. Available from: https://www.afro.who.int/countries/ethiopia.</t>
  </si>
  <si>
    <t>[1] ONS. Algerian National Office of Statistics. Algiers: Algerian National Office of Statistics. [Accessed 27th April 2024]. Available from: https://www.ons.dz/
[2] WHO. Physical activity Algeria 2022 country profile. Geneva: WHO, 2022. Available from: https://www.who.int/publications/m/item/physical-activity-dza-2022-country-profile</t>
  </si>
  <si>
    <t>[1] Central Agency for Public Mobilization and Statistics (CAPMAS). Cairo: Central Agency for Public Mobilization and Statistics (CAPMAS). [Accessed 27th April 2024]. Available from: https://www.cedejcapmas.org/adws/app/4d5b52dc-669d-11e9-b6a6-975656a88994/index.html
[2] Central Agency for Public Mobilization and Statistics (CAPMAS). Sports. Cairo: Central Agency for Public Mobilization and Statistics (CAPMAS). [Accessed 27th April 2024]. Available from: https://www.capmas.gov.eg/Pages/IndicatorsPage.aspx?page_id=6143
[3] World Health Organization. Physical Activity Profile 2022. Geneva: World Health Organization, 2022. Available from: https://cdn.who.int/media/docs/default-source/country-profiles/physical-activity/physical-activity-egy-2022-country-profile.pdf?sfvrsn=50db9547_5&amp;download=true</t>
  </si>
  <si>
    <t>[1] Annual Report 2019. Directorate of Non-Communicable Diseases. Colombo. Ministry of Health and Indigenous Medical Services. Government of Sri Lanka. 2019. [Accessed April 29th 2024]. Available from: https://ncd.health.gov.lk/images/Annual_Report_2019_Part_1.pdf] 
[2] Quarterly NCD Report. Colombo. Strategic Information Management Unit. Directorate of Non-Communicable Diseases. Ministry of Health. 2021. [Accessed April 29th 2024]. Available from: https://www.ncd.health.gov.lk/images/Quarterly_NCD_bulletin_-_Q3_2021-1-5.pdf
[3] Grama Niladhari Divisions Statistics-2020. Colombo District. Battaramulla. Department of Census and Statistics. Government of Sri Lanka. 2020. [Accessed April 29th 2024]. Available from: http://www.statistics.gov.lk/Resource/en/Population/GND_Reports/2020/Colombo.pdf</t>
  </si>
  <si>
    <t>[1] Dr. V.Mohan et al. India Diabetes Study. Delhi. Indian Council of Medical Research and Madras Diabetes Research Foundation. 2016. [Accessed April 26th 2024]. Available from: https://main.icmr.nic.in/sites/default/files/reports/ICMR_INDIAB_PHASE_I_FINAL_REPORT.pdf
[2] International Institute for Population Sciences. National Family Health Survey 2019-2021, Delhi. Mumbai. Ministry of Health and Family Welfare. Government of India. 2022. [Accessed April 26th 2024]. Available from: https://rchiips.org/nfhs/NFHS-5_FCTS/NCT_Delhi.pdf 
[3] Socio Economic Surveys. Delhi. Planning Department, Government of National Capital Territory of Delhi. 2024. [Accessed April 26th 2024]. Available from: https://delhiplanning.delhi.gov.in/planning/sociol-economic-surveys-nss-rounds</t>
  </si>
  <si>
    <t>[1] Rahman ME, Islam MS, Bishwas MS, Moonajilin MS, Gozal D. Physical inactivity and sedentary behaviors in the Bangladeshi population during the COVID-19 pandemic: An online cross-sectional survey. Heliyon. 2020 Oct; 6: e05392.
[2] Bangladesh National Portal. Dhaka District. Dhaka: Bangladesh National Portal. [Accessed 29th April 2024]. Available from: https://dhaka.gov.bd/en#
[3] Government of the People's Republic of Bangladesh. Ministry of Health and Family Welfare. Dhaka: Government of the People's Republic of Bangladesh. [Accessed 29th April 2024]. Available from: http://www.mohfw.gov.bd/
[4] Directorate General of Health Services (DGHS). Dhaka: Directorate General of Health Services. [Accessed 29th April 2024]. Available from: https://dghs.gov.bd/</t>
  </si>
  <si>
    <t>[1] Turkish Statistical Institute (Türkiye İstatistik Kurumu). Türkiye Sağlık Araştırması, 2022 (Turkey Health Survey, 2022). Ankara. Türkiye İstatistik Kurumu. 1 June 2023. Available from: https://data.tuik.gov.tr/Bulten/Index?p=Turkiye-Saglik-Arastirmasi-2022-49747
[2] T.R. Ministry of Health General Directorate of Public Health (T.C. Sağlık Bakanlığı Halk Sağlığı Genel Müdürlüğü). Turkey Nutrition and Health Survey 2017. Ankara. T.C. Sağlık Bakanlığı Halk Sağlığı Genel Müdürlüğü. 2019. Available from: https://hsgm.saglik.gov.tr/depo/birimler/saglikli-beslenme-ve-hareketli-hayat-db/Dokumanlar/Ingilizce_Yayinlar/TBSA_RAPOR_KITAP_2017_ENG_.pdf
[3] T.R. Ministry of Health. Public Health Institution of Turkey (T.C. Sağlık Bakanlığı Türkiye Halk Sağlığı Kurumu). TÜRKİYE SAĞLIKLI BESLENME VE HAREKETLİ HAYAT PROGRAMI (2014 - 2017) (Turkey Healthy Nutrition and Active Life Programme (2014 - 2017)). Ankara. T.C. Sağlık Bakanlığı. 2013. Available from: https://hsgm.saglik.gov.tr/depo/birimler/saglikli-beslenme-ve-hareketli-hayat-db/Dokumanlar/Programlar/hareketli-hayat-programi-2014-2017.pdf</t>
  </si>
  <si>
    <t>[1] City of Johannesburg. Johannesburg: City of Johannesburg. [Accessed 26t April 2024]. Available from: https://joburg.org.za/.
[2] Gauteng Provincial Government. Johannesburg: Gauteng Provincial Government. [Accessed 26th April 2024]. Available from: https://www.gauteng.gov.za/.
[3] South African Government. Pretoria: South African Government. [Accessed 26th April 2024]. Available from: https://www.gov.za/.</t>
  </si>
  <si>
    <t>[1] National Institute of Population Studies. Demographic and
Health Survey 2017-18 Islamabad: National Institute of Population Studies, [January 2019, Accessed 29th April 2024]. Available from: https://dhsprogram.com/pubs/pdf/FR354/FR354.pdf
[2] Ministry of Planning Development &amp; Special Initiatives. Pakistan Social and Living Standards Measurement Survey. Islamabad: Ministry of Planning Development &amp; Special Initiatives, [July 2021, Accessed 29th April 2024]. Available from: https://www.pbs.gov.pk/sites/default/files//pslm/publications/pslm_district_2019-20/PSLM_2019_20_District_Level.pdf
[3] Health Department, Government of Sindh. Sindh: Government of Sindh. [Accessed 29th April, 2024]. Available from: https://www.sindhhealth.gov.pk/</t>
  </si>
  <si>
    <t>[1] Kathmandu Metropolitan City. 2024. Available from: https://kathmandu.gov.np/?lang=en
[2] Ministry of Health and Population, Nepal. 2024. Available from:https://mohp.gov.np/en/
[3] Noncommunicable Disease Risk Factors: STEPS Survey Nepal 2019. Nepal Health Research Council. 2020. Available from: https://www.who.int/docs/default-source/nepal-documents/ncds/ncd-steps-survey-2019-compressed.pdf</t>
  </si>
  <si>
    <t>[1] Dr. V.Mohan et al. India Diabetes Study. Delhi. Indian Council of Medical Research and Madras Diabetes Research Foundation. 2016. [Accessed April 28th 2024]. Available from: https://main.icmr.nic.in/sites/default/files/reports/ICMR_INDIAB_PHASE_I_FINAL_REPORT.pdf
[2] Home. Kolkata Municipal Corporation. Kolkata. [Accessed April 28th 2024]. Available from: https://www.kmcgov.in/KMCPortal/jsp/KMCPortalHome1.jsp
[3] International Institute for Population Sciences. National Family Health Survey 2019-2021, West Bengal. Mumbai. Ministry of Health and Family Welfare. Government of India. 2022. [Accessed April 28th 2024]. Available from: https://rchiips.org/nfhs/NFHS-5_FCTS/West_Bengal.pdf</t>
  </si>
  <si>
    <t>[1] World Health Organization. Physical Activity Profile, 2022: Kuwait. Geneva: World Health Organization. Avaialble from: https://cdn.who.int/media/docs/default-source/country-profiles/physical-activity/physical-activity-kwt-2022-country-profile.pdf?sfvrsn=eb65b9f7_5&amp;download=true
[2] Central Statistical Bureau. Kuwait: Central Statistical Bureau, 2024. Available from: https://www.csb.gov.kw</t>
  </si>
  <si>
    <t>[1] Community of Madrid (Comunidad de Madrid). Health Madrid (Salud Madrid). Observatorio de resultados del Servicio Madrileño de Salud (Observatory of results of the Madrid Health Service). 
Determinantes de salud (Determinants of health). Madrid. Salud Madrid. May 2023. Available from: http://observatorioresultados.sanidadmadrid.org/EstadoPoblacion.aspx?ID=156</t>
  </si>
  <si>
    <t>[1] Dr. V.Mohan et al. India Diabetes Study. Delhi. Indian Council of Medical Research and Madras Diabetes Research Foundation. 2016. [Accessed April 26th 2024]. Available from: https://main.icmr.nic.in/sites/default/files/reports/ICMR_INDIAB_PHASE_I_FINAL_REPORT.pdf 
[2] Documents. Mumbai City. Government of Maharashtra. 2024. [Accessed April 26th 2024]. Available from: https://mumbaicity.gov.in/documents/
[3] Maps, Reports &amp; Insights. Mumbai City. Government of Maharashtra. 2024. [Accessed April 26th 2024]. Available from: https://portal.mcgm.gov.in/irj/portal/anonymous?guest_user=english
[4] International Institute for Population Sciences. National Family Health Survey 2019-2021, Maharashtra. Mumbai. Ministry of Health and Family Welfare. Government of India. 2022. [Accessed April 26th 2024]. Available from: https://rchiips.org/nfhs/NFHS-5_FCTS/Maharashtra.pdf</t>
  </si>
  <si>
    <t>[1] Public Health France (Santé publique France). Activité physique et sédentarité dans la population française. Situation en 2014-2016 et évolution depuis 2006-2007 (Physical activity and sedentary lifestyle in the French population. Situation in 2014-2016 and evolution since 2006-2007) Paris. Santé publique France. 9 June 2020; updated 12 April 2021. Available from: https://www.santepubliquefrance.fr/determinants-de-sante/nutrition-et-activite-physique/documents/article/activite-physique-et-sedentarite-dans-la-population-francaise.-situation-en-2014-2016-et-evolution-depuis-2006-2007
[2] Regional Health Agency of the Île-de-France (ARS Île-de-France). FICHE n °9 | Sport Santé / Activité Physique (SHEET n°9 | Sport Health / Physical Activity). Paris. ARS Île-de-France, January 2024. Available from: https://www.iledefrance.ars.sante.fr/system/files/2024-01/Fiche%20n%C2%B09%20sport%20sant%C3%A9.pdf</t>
  </si>
  <si>
    <t>[1] DHS Program. Cambodia: Demographic and Health Survey 2021-22. Phnom Penh: DHS Program. [Accessed 24th April 2024]. Available from: https://www.dhsprogram.com/pubs/pdf/FR377/FR377.pdf
[2] Ministry of Health. National Multisectoral Action Plan for the Prevention and Control of Noncommunicable Diseases 2018 - 2027. Phnom Penh: Ministry of Health; 2018 [Accessed 24th April 2024]. Available from: https://moh.gov.kh/content/uploads/2017/05/NMAP-NCD_-13-06-2018-Signed_En.pdf
[3] National Institute of Statistics. Food and Nutrition Security Trend Analysis Report. Phnom Penh: National Institute of Statistics. [Accessed 24th April 2024]. Available from: https://www.nis.gov.kh/nis/FSNA/Report%20of%20Food%20and%20Nutrition%20Security%20Trend%20Analysis%202014-201920_EN.pdf
[4] National Centre for Health Promotion (NCHP). The Official Website of NCHP. Phnom Penh: NCHP. [Accessed 2nd April 2024]. Available from: https://nchp.gov.kh.
[5] National Institute of Public Health (NIPH). The Official Website of NIPH. Phnom Penh: NIPH. [Accessed 24th April 2024]. Available from: https://niph.org.kh/niph/home/index.html
[6] WHO. Cambodia. Geneva: World Health Organization. [Accessed 24th April 2024]. Available from: https://www.who.int/teams/noncommunicable-diseases/surveillance/data/cambodia</t>
  </si>
  <si>
    <t>[1] Physical Activity Levels of a Multi-Ethnic Population of Young Men Living in Saudi Arabia and Factors Associated With Physical Inactivity. Frontiers in Public Health (Switzerland), 2021; 9: 734968. Available from: https://www.ncbi.nlm.nih.gov/pmc/articles/PMC8847433/
[2] General Authority for Statistics. Riyadh: General Authority for Statistics, 2024. Available from: https://www.stats.gov.sa/
[3] Ministry of Health. Riyadh: Ministry of Health, 2024. Available from: https://www.moh.gov.sa/</t>
  </si>
  <si>
    <t>[1] NSW Government. Sydney Local Health District - HealthStats NSW. Sydney: NSW Government; 2021. Available from: https://www.healthstats.nsw.gov.au/location-overview/sydneylhd/LHD. 
‌</t>
  </si>
  <si>
    <t>[1] Bureau of Social Welfare, Tokyo Metropolitan Government. The health and nutritional status of the residents of Tokyo. Tokyo: Tokyo Metropolitan Government, March 2022. 
Available from: https://www.hokeniryo.metro.tokyo.lg.jp/kenkou/kenko_zukuri/ei_syo/tomineiyou.files/R1tomin_01.pdf</t>
  </si>
  <si>
    <t>[1] Ministry of Health and Sports. Public Health Statistics 2017-2019. Naypyidaw: Ministry of Health and Sports. September 2021. [Accessed 29th April 2024]. Available from: https://mohs.gov.mm/ckfinder/connector?command=Proxy&amp;lang=en&amp;type=Main&amp;currentFolder=%2FNews%2FNews_2021%2FOct_2021(B)%2F&amp;hash=a6a1c319429b7abc0a8e21dc137ab33930842cf5&amp;fileName=Public%20Health%20Statistics%20Report%202017-2019%20(22%20Sep%202021).pdf
[2] Ministry of Health and Sports. Publications, Reports, Presentations &amp; Documents. Naypyidaw: Ministry of Health and Sports. [Accessed 29th April 2024]. Available from: https://mohs.gov.mm/Main/content/publication/list?pagenumber=1&amp;pagesize=9
[3] Yangon City Development Committee (YCDC). YCDC. Yangon: Yangon City Development Committee (YCDC). [Accessed 29th April 2024]. Available from: https://www.ycdc.gov.mm/
[4] Ministry of Health and Sports. Report on National Survey of Diabetes Mellitus and Risk Factors for Non-communicable Diseases in Myanmar (2014). Naypyidaw: Ministry of Health and Sports. December 2014 [Accessed 26th April 2024] Available from: https://www.medbox.org/document/report-on-national-survey-of-diabetes-mellitus-and-risk-factors-for-non-communicable-diseases-ncds-in-myanmar</t>
  </si>
  <si>
    <t>[1] Ethiopian Public Health Institute (EPHI). Ethiopia STEPS Survey 2015 Fact Sheet. Addis Ababa: Ethiopian Public Health Institute (EPHI); 2015. Available from: http://repository.iifphc.org/bitstream/handle/123456789/1083/Road%20Traffic%20Accident%20%20Fact%20Sheet%202015.pdf?sequence=1 2015 Fact Sheet, Ethiopian Public Health Institute (EPHI), 2015.
[2] Ethiopian Public Health Institute. Summary Report On Ethiopia Steps Survey On Risk Factors For Chronic Noncommunicable Diseases And Prevalence Of Selected NCDs. Addis Ababa: Ethiopian Public Health Institute; December 2016. Available from: https://extranet.who.int/ncdsmicrodata/index.php/catalog/794/download/5523
[3] World Health Organization (WHO). Ethiopia sets to improve hypertension prevention and control at primary health care level. Geneva: World Health Organization (WHO); 16 August, 2019. Available from: https://www.afro.who.int/news/ethiopia-sets-improve-hypertension-prevention-and-control-primary-health-care-level.</t>
  </si>
  <si>
    <t>[1] Moussouni, A, Sidi-yakhlef, A, Hamdaoui, H et al. Prevalence and risk factors of prehypertension and hypertension in Algeria. BMC Public Health 22, 1571 (2022). 
[2] Mammeri A, Guermaz R, Brouri M et al. Prevalence of Prehypertension and its Relationship to Risk Factors for Cardiovascular Diseases in Algeria: Analysis from a Cross-Sectional Survey. Adv Card Res. 2020;3[2]:282–7.</t>
  </si>
  <si>
    <t>[1] World Health Organization (WHO). The Global Health Observatory - Has Conducted a Recent, National Adult Risk Factor Survey Covering Raised Blood Pressure/Hypertension. Geneva: WHO, 25 April 2022. Available from: https://www.who.int/data/gho/data/indicators/indicator-details/GHO/has-conducted-a-recent--national-adult-risk-factor-survey-covering-raised-blood-pressure-hypertension
[2] National Center for Cardiovascular Diseases. China Cardiovascular Disease Report. Beijing: National Center for Cardiovascular Diseases, June 2023. Available from: https://www.nccd.org.cn/News/Information/Index/1089
[3] Beijing Municipal Health Commission. Search results for "高血压 普查" [hypertension general survey]. Beijing: Beijing Municipal Health Commission. [Accessed 17th March 2024]. Available from: https://wjw.beijing.gov.cn/so/s?siteCode=1100000176&amp;tab=zcwj&amp;qt=%E9%AB%98%E8%A1%80%E5%8E%8B%20%E6%99%AE%E6%9F%A5
[4] Beijing Daily via People's Government of Beijing Municipality. A blood pressure check for first-time outpatients over 35 years old; the city will establish a one-hour prime time treatment circle for stroke. Beijing: People's Government of Beijing Municipality. [11 September 2023; Accessed 17th March 2024]. Available from: https://www.beijing.gov.cn/zhengce/zcjd/202309/t20230911_3255533.html 
[5] People's Government of Beijing Municipality. Implementation plan for the project to strengthen stroke prevention and control and reduce one million new cases of disability in Beijing. Beijing: People's Government of Beijing Municipality, 2023. Available from: https://www.beijing.gov.cn/zhengce/zhengcefagui/202309/t20230911_3255528.html</t>
  </si>
  <si>
    <t>[1] WHO. Has conducted a recent, national adult risk factor survey covering raised blood pressure/hypertension. World Health Organization; 2024. Available from: https://www.who.int/data/gho/data/indicators/indicator-details/GHO/has-conducted-a-recent--national-adult-risk-factor-survey-covering-raised-blood-pressure-hypertension
[2] Senate Department for Higher Education and Research, Health and Long-Term Care. Department of Health. Berlin: Senate Department for Higher Education and Research, Health and Long-Term Care. [Accessed 14th March 2024]. Available from: https://www.berlin.de/sen/gesundheit/.
[3] Robert Koch Institute (RKI). Surveillance of non-communicable diseases. Berlin: RKI. [Accessed 17th March 2024]. Available from: https://www.rki.de/DE/Content/Gesundheitsmonitoring/NCD-Surveillance/NCD-Surveillance_node.html#doc13411110bodyText1
[4] Robert Koch Institute (RKI). Indicator Set. Berlin: RKI. [Accessed 17th March 2024]. Available from: https://diabsurv.rki.de/Webs/Diabsurv/EN/project/methodology/indicator_set/indicator_set-node.html
[5] Senate Department for Higher Education and Research, Health and Long-Term Care. Public Health Service. Berlin: Senate Department for Higher Education and Research, Health and Long-Term Care. [Accessed 14th March 2024]. Available from: https://www.berlin.de/sen/gesundheit/gesundheitswesen/oeffentlicher-gesundheitsdienst/</t>
  </si>
  <si>
    <t>[1] World Health Organization. Has conducted a recent, national adult risk factor survey covering raised blood pressure/hypertension.Geneva. World Health Organization. 2022. Available from: https://www.who.int/data/gho/data/indicators/indicator-details/GHO/has-conducted-a-recent--national-adult-risk-factor-survey-covering-raised-blood-pressure-hypertension 
[2] Rodríguez J, Ruiz F, Peñaloza E, Eslava J, Gómez LC, Sánchez H, Amaya JL, Arenas R, Botiva Y. Encuesta Nacional de Salud 2007.Bogotá.Departamento de Bogotá.2007. Available from: https://www.minsalud.gov.co/salud/Documents/Bogot%C3%A1.pdf</t>
  </si>
  <si>
    <t>[1] City of Budapest. Official Website of the City of Budapest. Budapest: City of Budapest. Available from: https://budapest.hu
[2] Medicalonline.hu. National Botra Fel! campaign: with exercise against high blood pressure and diabetes (Országos Botra fel! kampány: testmozgással a magas vérnyomás és a cukorbetegség ellen). Budapest: Professional Publishing Hungary Kft. 18 May 2023. [Accessed 06 March 2024]. Available from: https://medicalonline.hu/kitekinto/cikk/orszagos_botra_fel__kampany__testmozgassal_a_magas_vernyomas_es_a_cukorbetegseg_ellen
[3] Diabetes.hu. The country got moving again (Újból megmozdult az ország). Budapest: Foundation for Diabetics. 25 June 2023. [Accessed 22nd March 2024]. Available from https://diabetes.hu/cikkek/diabetes/2303/ujbol-megmozdult-az-orszag
[4] WHO. Has conducted a recent, national adult risk factor survey covering raised blood pressure/hypertension. Geneva: World Health Organisation. 25 April 2022. [Accessed 6th March 2024]. Available from: https://www.who.int/data/gho/data/indicators/indicator-details/GHO/has-conducted-a-recent--national-adult-risk-factor-survey-covering-raised-blood-pressure-hypertension
[5] Okfo.gov.hu. This Year Szekszárd Hospital Came First Again in the National Blood Pressure Measurement Campaign (Idén is első lett a szekszárdi kórház az országos vérnyomásmérő kampányban). Budapest: National Directorate General for Hospitals. 15 June 2023. [Accessed 6th March 2024]. Available from: https://okfo.gov.hu/Hirek/iden-is-elso-lett-a-szekszardi-korhaz-az-orszagos-vernyomasmero-kampanyban</t>
  </si>
  <si>
    <t>[1] Cairo Governorate. Official Portal. Cairo: Cairo Governorate. [Accessed 9th March 2024]. Available from: http://www.cairo.gov.eg/ar
[2] Ministry of Health and Population. Health Awareness. Cairo: Ministry of Health and Population. Available from: https://web.archive.org/web/20200117075321/http://www.mohp.gov.eg/Articles.aspx
[3] WHO. Egypt STEPS Survey 2017. Geneva: World Health Organization, 2017. Available from: https://cdn.who.int/media/docs/default-source/ncds/ncd-surveillance/data-reporting/egpyt/steps/egypt-steps-survey-2017-facts-and-figures.pdf?sfvrsn=f4dd4788_2&amp;download=true
[4] WHO. Has conducted a recent, national adult risk factor survey covering raised blood pressure/hypertension. Geneva: World Health Organization. [Accessed 2nd March 2024]. Available from: https://www.who.int/data/gho/data/indicators/indicator-details/GHO/has-conducted-a-recent--national-adult-risk-factor-survey-covering-raised-blood-pressure-hypertension
[5] Central Agency for Public Mobilization and Statistics (CAPMAS). Arab Republic of Egypt - Health Survey for the Egyptian Households 2021. Cairo: Central Agency for Public Mobilization and Statistics (CAPMAS), 2021. Available from: https://censusinfo.capmas.gov.eg/Metadata-en-v4.2/index.php/catalog/665</t>
  </si>
  <si>
    <t>[1] Colombo Municipal Council. Public Health Department. [Accessed March 18th 2024]. Available from: https://www.colombo.mc.gov.lk/public-health.php. 
[2] Directorate of Non-Communicable Diseases. Ministry of Health. Regional Statistics/Resources. [Accessed March 18th 2024]. Available from: https://www.ncd.health.gov.lk/index.php?lang=en. 
[3] World Health Organization. The Global Health Observatory. Has conducted a recent, national adult risk factor survey covering raised blood pressure/hypertension. Sri Lanka. [Accessed March 18th 2024]. Available from: https://www.who.int/data/gho/data/indicators/indicator-details/GHO/has-conducted-a-recent--national-adult-risk-factor-survey-covering-raised-blood-pressure-hypertension</t>
  </si>
  <si>
    <t>[1] Pushpanjali Swain. Dipayan Banarjee.The prevalence and risk factors of hypertension among adult population of four major states in India: An exploratory study. Journal of Preventive Medicine and Holistic Health. November 2021. [Accessed March 13th 2024]. Available from: https://www.researchgate.net/publication/356627010_The_prevalence_and_risk_factors_of_hypertension_among_adult_population_of_four_major_states_in_India_An_exploratory_study 
[2] Jugal Kishore,Neeru Gupta, Charu Kohli and Neeta Kumar.Prevalence of Hypertension and Determination of its Risk Factors in Rural Delhi. International Journal of Hypertension. April 2016. [Accessed March 13th 2024]. Available from: https://www.hindawi.com/journals/ijhy/2016/7962595/
[3] Supriya Dwivedi, Zaozianlungliu Gonmei, Gurudayal Singh Toteja, Nidhi Srivastava.Prevalence of Hypertension among adult population in slums of West Delhi. Asian Journal of Pharmaceutical and Clinical Research. December 2017. [Accessed March 13th 2024]. Available from: https://www.researchgate.net/publication/321493609_Prevalence_of_hypertension_among_adult_population_in_slums_of_West_Delhi#:~:text=Our%20study
[4] Has conducted a recent, national adult risk factor survey covering raised blood pressure/hypertension.India. World Health Organization. The Global Health Observatory. [Accessed March 13th 2024]. Available from: https://www.who.int/data/gho/data/indicators/indicator-details/GHO/has-conducted-a-recent--national-adult-risk-factor-survey-covering-raised-blood-pressure-hypertension</t>
  </si>
  <si>
    <t>[1] Hasan M, Khan MSA, Sutradhar I, et al. Prevalence and associated factors of hypertension in selected urban and rural areas of Dhaka, Bangladesh: findings from SHASTO baseline survey. BMJ Open. 2021 Jan 20;11[1]:e038975.
[2] WHO. Bangladesh initiates trainings on Package of Essential Noncommunicable Disease Interventions. Geneva: World Health Organization; 2019. Available from: https://www.who.int/bangladesh/news/detail/01-07-2019-bangladesh-initiates-trainings-on-package-of-essential-noncommunicable-disease-interventions
[3] WHO. Has conducted a recent, national adult risk factor survey covering raised blood pressure/hypertension. Geneva: World Health Organization. Available from: https://www.who.int/data/gho/data/indicators/indicator-details/GHO/has-conducted-a-recent--national-adult-risk-factor-survey-covering-raised-blood-pressure-hypertension</t>
  </si>
  <si>
    <t>[1] Dubai Statistics Center and Dubai Health Authority. Dubai Household Health Survey 2019. Dubai Health Authority; 2019. Available from: https://www.dha.gov.ae/uploads/042022/Dubai%20Household%20Health%20Survey_EN2022450248.pdf.
[2] MoHAP. MoHAP to intensify efforts to reduce hypertension prevalence in the UAE. UAE: Ministry of Health and Prevention. 9 June 2022. [Accessed 6th March 2024]. Available from: https://mohap.gov.ae/en/media-center/news/9/6/2022/mohap-to-intensify-efforts-to-reduce-hypertension-prevalence-in-the-uae.
[3] WHO. Has conducted a recent, national adult risk factor survey covering raised blood pressure/hypertension. Geneva: World Health Organization. [Accessed 22nd March 2024]. Available from: https://www.who.int/data/gho/data/indicators/indicator-details/GHO/has-conducted-a-recent--national-adult-risk-factor-survey-covering-raised-blood-pressure-hypertension</t>
  </si>
  <si>
    <t>[1] City of Helsinki. The well-being and health of the residents of the capital region: Results of the 2021 well-being survey of the capital region. Helsinki: City of Helsinki. March 2022. [Accessed 7th March 2024]. Available from: https://www.hel.fi/hel2/tietokeskus/julkaisut/pdf/22_04_12_Tutkimuksia_1_Ahlgren_Leinvuo_Erjansola_Joensuu_Maki_Manty_Sihvonen.pdf
[2] City Data. Capital region well-being survey. Helsinki: City of Helsinki. [Accessed 7th March 2024]. Available from: https://pkskysely.kaupunkitieto.fi
[3] THL. The Healthy Finland Study: Information about the study. Helsinki: THL. [Accessed 7th March 2024]. Available from: https://thl.fi/tutkimus-ja-kehittaminen/tutkimukset-ja-hankkeet/terve-suomi-tutkimus/tietoa-tutkimuksesta
[4] THL. Blood Pressure. Helsinki: THL. 4 December 2023. [Accessed 7th March 2024]. Available from: https://www.thl.fi/tervesuomi_verkkoraportit/ilmioraportit_2023/verenpaine.html</t>
  </si>
  <si>
    <t>[1] Govap District Ward 9 official portal. Organise screening for diabetes and hypertension for people in the area. [29 December 2023]. Available from: https://p9.govap.hochiminhcity.gov.vn/web/phuong-9/chi-tiet-bai-viet/-/asset_publisher/iLUTNW5aOw47/content/id/950308
[2] HCM Center for Disease Control HCDC. Summary of the project "Strengthening primary health care in Vietnam". [5 January 2023]. Available from: https://hcdc.vn/hoidap/index/chitiet/2d2cfe616be432cc9d77b6ee484c16ce
[3] Vietnam Society of Hypertension. Ceremony of the program May Measurement. [30 May 2023]. Available from: https://tanghuyetap.vn/bai-viet/2023-05-30/le-phat-dong-chuong-trinh-thang-5-do-huyet-ap
[4] WHO. Has conducted a recent, national adult risk factor survey covering raised blood pressure/hypertension. Geneva: World Health Organization. [accessed 2024]. Available from: https://www.who.int/data/gho/data/indicators/indicator-details/GHO/has-conducted-a-recent--national-adult-risk-factor-survey-covering-raised-blood-pressure-hypertension</t>
  </si>
  <si>
    <t>[1] Non-Communicable Disease Branch Centre for Health Protection Department of Health. Report of Population Health Survey 2020-22 (Part II). Hong Kong: Department of Health; 2023. [Accessed 2024-03-12] Available from https://www.chp.gov.hk/files/pdf/dh_phs_2020-22_part_2_report_eng.pdf
[2] Zhang M, Shi Y, Zhou B, Huang Z, Zhao Z, Li C, Zhang X, Han G, Peng K, Li X, Wang Y, Ezzati M, Wang L, Li Y. Prevalence, awareness, treatment, and control of hypertension in China, 2004-18: findings from six rounds of a national survey. BMJ. 2023;380:e071952. Available from: https://doi.org/10.1136/bmj-2022-071952</t>
  </si>
  <si>
    <t>[1] World Health Organisation (WHO). Global Health Observatory. Has conducted a recent, national adult risk factor survey covering raised blood pressure/hypertension. Geneva. WHO. 2021. Available from: https://www.who.int/data/gho/data/indicators/indicator-details/GHO/has-conducted-a-recent--national-adult-risk-factor-survey-covering-raised-blood-pressure-hypertension
[2] Turkish Statistical Institute (Türkiye İstatistik Kurumu). Türkiye Sağlık Araştırması, 2022 (Turkey Health Survey, 2022). Ankara. Türkiye İstatistik Kurumu. 2022. Available from: https://data.tuik.gov.tr/Bulten/Index?p=Turkiye-Saglik-Arastirmasi-2022-49747
Other sources:
https://www.escardio.org/static-file/Escardio/Subspecialty/EAPC/Country%20of%20the%20month/Documents/CoM-turkey-full-report-2020-MK.pdf</t>
  </si>
  <si>
    <t>[1] Basic Health Research. Ministry of Health; Jakarta; 2018. Available from: https://www.badankebijakan.kemkes.go.id/laporan-hasil-survei/ 
[2] Global Health Observatory. World Health Organisation. Available from: https://www.who.int/data/gho/data/indicators/indicator-details/GHO/has-conducted-a-recent--national-adult-risk-factor-survey-covering-raised-blood-pressure-hypertension#</t>
  </si>
  <si>
    <t>[1] Statistics South Africa. Mortality and causes of death in South Africa: Findings from death notification. Pretoria: Statistics South Africa, 2018. Available from: https://www.statssa.gov.za/publications/P03093/P030932018.pdf
[2] WHO. Has conducted a recent, national adult risk factor survey covering raised blood pressure/hypertension. Geneva: World Health Organization. [Accessed 6th March 2024]. Available from: https://www.who.int/data/gho/data/indicators/indicator-details/GHO/has-conducted-a-recent--national-adult-risk-factor-survey-covering-raised-blood-pressure-hypertension
[3] Health Systems Trust. District Health Barometer 2018/19. Durban: Health Systems Trust; 2019. Available from: https://www.hst.org.za/publications/District%20Health%20Barometers/District+Health+Barometer+2018-19+Web.pdf. 
[4] National Department of Health. 2016 South Africa Demographic and Health Survey. Pretoria: National Department of Health, 2019. Available from: https://dhsprogram.com/pubs/pdf/FR337/FR337.pdf.</t>
  </si>
  <si>
    <t>[1] WHO Global Health Observatory. NCD National Capacity Surveillance web report. Geneva: World Health Organization. [Accessed 22nd March 2024]. Available from: https://www.who.int/data/gho/data/indicators/indicator-details/GHO/has-a-steps-survey-or-a-comprehensive-health-examination-survey-every-5-years
[2] WHO. Pakistan Hypertension Profile 2019. Geneva: World Health Organization, 2019. Available from: https://cdn.who.int/media/docs/default-source/country-profiles/hypertension/hypertension-2023/hypertension_pak_2023.pdf?sfvrsn=2b29f951_4&amp;download=true
[3] Karachi Metropolitan Corporation. Official Website. Karachi: Karachi Metropolitan Corporation. [Accessed 22nd March 2024]. Available from: https://www.kmc.gos.pk/en
[4] Government of Sindh. Health Department. Karachi: Government of Sindh. [Accessed 18th March 2024]. Available from: https://sindhhealth.gov.pk/</t>
  </si>
  <si>
    <t>[1] National non communicable disease monitoring survey (NNMS) in India: Estimating risk factor prevalence in adult population. National Library of Medicine. PubMed Central. March 2, 2021. [Accessed March 13th 2024]. Available from: https://www.ncbi.nlm.nih.gov/pmc/articles/PMC7924800/ 
[2] Prevalence and associated risk factors of hypertension among persons aged 15-49 in India: a cross-sectional study. National Library of Medicine. PubMed Central. December 16, 2019. Available from: https://www.ncbi.nlm.nih.gov/pmc/articles/PMC6937064/]
[3] World Health Organization. The Global Health Observatory. Has conducted a recent, national adult risk factor survey covering raised blood pressure/hypertension. India. [Accessed 18th March 2024] Available from: https://www.who.int/data/gho/data/indicators/indicator-details/GHO/has-conducted-a-recent--national-adult-risk-factor-survey-covering-raised-blood-pressure-hypertension</t>
  </si>
  <si>
    <t>[1] Karageorgi S, Alsmadi O, Behbehani K. A Review of Adult Obesity Prevalence, Trends, Risk Factors, and Epidemiologic Methods in Kuwait. J Obes. 2013; 2013: 378650. 
[2] Weiderpass E et al. The Prevalence of Overweight and Obesity in an Adult Kuwaiti Population in 2014. Front Endocrinol (Lausanne). 2019; 10: 449. 
[3] Oguoma V M et al. Prevalence of overweight and obesity, and associations with socio-demographic factors in Kuwait. BMC Public Health volume 21, Article number: 667 (2021). 
[4] WHO. Has conducted a recent, national adult risk factor survey covering raised blood pressure/hypertension, 2022. Geneva: World Health Organization. [Accessed 18th March 2024]. Available from: https://www.who.int/data/gho/data/indicators/indicator-details/GHO/has-conducted-a-recent--national-adult-risk-factor-survey-covering-raised-blood-pressure-hypertension</t>
  </si>
  <si>
    <t>[1] Lagos State Ministry of Health (MOH). State-Wide Hypertension And Diabetes Screening. Lagos. MOH. [Accessed 3rf March 2024]. Available from: https://health.lagosstate.gov.ng/2017/04/03/state-wide-hypertension-and-diabetes-screening/
[2] Lagos State Ministry of Health (MOH). MOH website. Lagos. MOH. [Accessed 3 March 2024]. Available from: https://health.lagosstate.gov.ng/category/programmes/
[3] Page 116-118, Federal Government of Nigeria. Second National Strategic Health Development Plan (NSHDP II) 2018-2022. Abujah. Federal Government of Nigeria. [Accessed 9th March 2024]. Available from: https://ngfrepository.org.ng:8443/jspui/bitstream/123456789/3283/1/SECOND%20NATIONAL%20STRATEGIC%20HEALTH%20DEVELOPMENT%20PLAN%202018%20%E2%80%93%202022.pdf
[4] Federal Ministry of Health &amp; Social Welfare. Public Health. Abujah. Federal Ministry of Health &amp; Social Welfare. [Accessed 3rd March 2024]. Available from: https://www.health.gov.ng/Source/30/Public-Health
[5] The Guardian. FG rolls out national hypertension control initiative in Kano. Abujah. The Guardian. [Accessed 3rd March 2024]. Available from: https://guardian.ng/news/fg-rolls-out-national-hypertension-control-initiative-in-kano/
[6] WHO. NCD National capacity: Surveillance: Has conducted a recent, national adult risk factor survey covering raised blood pressure/hypertension. Geneva. World Health Organization. [Accessed 3rd March 2024]. Available from: https://www.who.int/data/gho/data/indicators/indicator-details/GHO/has-conducted-a-recent--national-adult-risk-factor-survey-covering-raised-blood-pressure-hypertension
[7] WHO. Nigeria. Geneva. World Health Organization. [Accessed 3rd March 2024]. Available from: https://www.who.int/teams/noncommunicable-diseases/surveillance/data/nigeria</t>
  </si>
  <si>
    <t>[1] Community of Madrid (Comunidad de Madrid). Health Madrid (Salud Madrid). Observatorio de resultados del Servicio Madrileño de Salud (Observatory of results of the Madrid Health Service). Indicadores de Atención Primaria (Primary Care Indicators). 2024. Available from: http://observatorioresultados.sanidadmadrid.org/AtencionPrimariaLista.aspx
[2] Community of Madrid (Comunidad de Madrid). Health Madrid (Salud Madrid). Observatorio de resultados del Servicio Madrileño de Salud (Observatory of results of the Madrid Health Service). Cobertura de atención a pacientes adultos con hipertensión arterial (Coverage of care for adult patients with arterial hypertension). May 2023. Available from: http://observatorioresultados.sanidadmadrid.org/AtencionPrimariaFicha.aspx?ID=84
[3] Ministry of Health (Ministerio de Sanidad) and National Statistical Institute (Instituto Nacional de Estadística--INE). Encuesta Europea de Salud en España (EESE) 2020 (European Health Survey in Spain (EESE) 2020). 2020. Available from: https://www.sanidad.gob.es/estadEstudios/estadisticas/EncuestaEuropea/EncuestaEuropea2020/EESE2020_inf_evol_princip_result.pdf
[4] World Health Organisation (WHO). Global Health Observatory. NCD National capacity: Surveillance: Has conducted a recent, national adult risk factor survey covering raised blood pressure/hypertension. 25 April 2022. Available from: https://www.who.int/data/gho/data/indicators/indicator-details/GHO/has-conducted-a-recent--national-adult-risk-factor-survey-covering-raised-blood-pressure-hypertension</t>
  </si>
  <si>
    <t>[1] Patalen C, Parani M, Ducay A, et al. Prevalence and Factors Associated with Hypertension among Filipino Adults in Different Survey Periods. Philippine Journal of Science 152[1]: 141-157. Available from: https://philjournalsci.dost.gov.ph/images/pdf/pjs_pdf/vol152no1/prevalence_and_factors_associated_with_hypertension_among_Filipino_adults_.pdf
[2] Philippine Heart Association. PRESYON 4. Pasig: Philippine Heart Association. [Accessed 22nd February 2024]. Available from: https://www.philheart.org/component/content/article/7-pha-news/1008-presyon-4
[3] Sison J. An Overview of the PRESYON 4 Trial and Its Impact on Practice. Journal of Asian Pacific Society of Cardiology 2023;2:e24. Available from: https://www.japscjournal.com/articles/overview-presyon-4-trial-and-its-impact-practice</t>
  </si>
  <si>
    <t>[1] World Health Organization. Has conducted a recent, national adult risk factor survey covering raised blood pressure/hypertension [Internet]. Geneva: WHO; 2021 [Accessed March 22nd 2024]. Available from: https://www.who.int/data/gho/data/indicators/indicator-details/GHO/has-conducted-a-recent--national-adult-risk-factor-survey-covering-raised-blood-pressure-hypertension
[2] Secretaría de Salud de la Ciudad de México. Cerca De Un Millón De Personas Mayores De 40 Años Padecen Hipertensión En La Cdmx [Nearly One Million People Over 40 Suffer from Hypertension in Mexico City] [Internet]. Mexico City: Government of Mexico; 2018 [Accessed March 22nd 2024]. Available from: https://www.salud.cdmx.gob.mx/comunicacion/nota/cerca-de-un-millon-de-personas-mayores-de-40-anos-padecen-hipertension-en-la-cdmx</t>
  </si>
  <si>
    <t>[1] Bikbov M M et al. Prevalence, Awareness, and Control of Arterial Hypertension in a Russian Population. The Ural Eye and Medical Study. Front Public Health. 2019; 7: 394. 
[2] Petersen J et al. Untreated hypertension in Russian 35-69 year olds – a cross-sectional study. PLoS ONE 15: e0233801. 
[3] Russian Society of Cardiology. Clinical Guidelines: Arterial Hypertension among Adults. Moscow: Russian Society of Cardiology. [Accessed 20th March 2024]. Available from: https://scardio.ru/content/Guidelines/Clinic_rek_AG_2020.pdf
[4] The Russian News Agency TASS. Expert: about 40% of the adult population of Russia suffer from hypertension. Saint Petersburg: TASS. [Accessed 13th March 2024]. Available from: https://tass.ru/nacionalnye-proekty/8493427
[5] WHO. Has conducted a recent, national adult risk factor survey covering raised blood pressure/hypertension. Geneva: World Health Organisation. [Accessed 9th April 2024] Available from: https://www.who.int/data/gho/data/indicators/indicator-details/GHO/has-conducted-a-recent-national-adult-risk-factor-survey-covering-raised-blood-pressure-hypertension
[6] Ministry of Health. Moscow: Ministry of Health of the Russian Federation. [Accessed 13th March 2024]. Available form: https://minzdrav.gov.ru/en
[7] Moscow Department of Health. Moscow: Moscow Department of Health. [Accessed 13th March 2024]. Available from: https://mosgorzdrav.ru/</t>
  </si>
  <si>
    <t>[1] Bhise MD, Patra S. Prevalence and correlates of hypertension in Maharashtra, India: A multilevel analysis. PLoS One. 2018 Feb 5;13:e0191948.
[2] World Health Organization. The Global Health Observatory. Has conducted a recent, national adult risk factor survey covering raised blood pressure/hypertension. Geneva. WHO.2022. Available from: https://www.who.int/data/gho/data/indicators/indicator-details/GHO/has-conducted-a-recent--national-adult-risk-factor-survey-covering-raised-blood-pressure-hypertension</t>
  </si>
  <si>
    <t>[1] Ministry of Health. Nairobi: Ministry of Health, 2024. Available from: https://www.health.go.ke. 
[2] Nairobi City County. Nairobi: Nairoby City Council, 2024. Available from: https://nairobi.go.ke/ 
[3] Mohamed SF, Macharia T, Asiki G, Gill P (2023) A socio-ecological framework examination of drivers of blood pressure control among patients with comorbidities and on treatment in two Nairobi slums; a qualitative study. PLOS Glob Public Health 3[3]: e0001625. Available from: https://journals.plos.org/globalpublichealth/article?id=10.1371/journal.pgph.0001625 
[4] World Health Organisation. The Global Health Observatory. Has conducted a recent, national adult risk factor survey covering raised blood pressure/hypertension. World Health Organisation, 2022. Available from: https://www.who.int/data/gho/data/indicators/indicator-details/GHO/has-conducted-a-recent--national-adult-risk-factor-survey-covering-raised-blood-pressure-hypertension 
[5] Ministry of Health. KENYA STEPwise SURVEY FOR NON COMMUNICABLE DISEASES RISK FACTORS 2015 REPORT. Nairobi: Ministry of Health, 2015. Available from: http://www.nutritionhealth.or.ke/wp-content/uploads/Downloads/Kenya%20STEPwise%20Survey%20for%20Non-Communicable%20Diseases%20Risk%20Factors%20Report%202015.pdf 
[6] Gatimu SM, John TW. Socioeconomic inequalities in hypertension in Kenya: a decomposition analysis of 2015 Kenya STEPwise survey on non-communicable diseases risk factors. Int J Equity Health. 2020 Dec 2;19[1]:213. Available from: https://pubmed.ncbi.nlm.nih.gov/33267846/ 
[7] Mogaka JN, Sharma M, Temu T, Masyuko S, Kinuthia J, Osoti A, Zifodya J, Nakanjako D, Njoroge A, Otedo A, Page S, Farquhar C. Prevalence and factors associated with hypertension among adults with and without HIV in Western Kenya. PLoS One. 2022 Jan 10;17[1]:e0262400.Available from: https://www.ncbi.nlm.nih.gov/pmc/articles/PMC8746744/</t>
  </si>
  <si>
    <t>[1] NYC Health. Prevalence of Hypertension, Awareness, Treatment, and Control in New York City. New York City. New York City Health. 2023. Available from: https://www.nyc.gov/assets/doh/downloads/pdf/epi/databrief135.pdf 
[2] World Health Organization. Has conducted a recent, national adult risk factor survey covering raised blood pressure/hypertension. Geneva. WHO. 2024 Available from: https://www.who.int/data/gho/data/indicators/indicator-details/GHO/has-conducted-a-recent--national-adult-risk-factor-survey-covering-raised-blood-pressure-hypertension</t>
  </si>
  <si>
    <t>[1] Ministry of Health, Labour and Welfare. National Health and Nutrition Survey. Tokyo: Ministry of Health, Labour and Welfare. Available from: https://www.mhlw.go.jp/stf/newpage_14156.html
Ministry of Health, Labour and Welfare. Result of National Health and Nutrition Survey. Tokyo: Ministry of Health, Labour and Welfare; 2019. Available from: https://www.mhlw.go.jp/content/10900000/000687163.pdf (P21)
[2] Osaka Prefectural Government. Health Promotion Survey. Osaka: Osaka Prefecture. Available from: https://www.pref.osaka.lg.jp/kenkozukuri/kenkoutyousa/index.html
Health and Medical Department, Osaka Prefectural Government. The result of Health Promotion Survey 2022. Osaka: Osaka Prefecture; July 2023.. Available from: https://www.pref.osaka.lg.jp/attach/45003/00000000/R4_osakapref_kenkouchousahokoku.pdf</t>
  </si>
  <si>
    <t>[1] World Health Organisation (WHO). Global Health Observatory. Has conducted a recent, national adult risk factor survey covering raised blood pressure/hypertension. 2021. Available from: https://www.who.int/data/gho/data/indicators/indicator-details/GHO/has-conducted-a-recent--national-adult-risk-factor-survey-covering-raised-blood-pressure-hypertension 
[2] ARS Île-de-France. Alerter, signaler, déclarer (Alert, report, declare). Paris, 2024. Available from: https://www.iledefrance.ars.sante.fr/alerter-signaler-declarer-5
[3] Public Health France (Santé publique France). L'épidémiologie de l'hypertension artérielle en France : prévalence élevée et manque de sensibilisation de la population (The epidemiology of arterial hypertension in France: high prevalence and lack of public awareness). Paris, 16 May 2023. Available from: https://www.santepubliquefrance.fr/maladies-et-traumatismes/maladies-cardiovasculaires-et-accident-vasculaire-cerebral/hypertension-arterielle/documents/article/l-epidemiologie-de-l-hypertension-arterielle-en-france-prevalence-elevee-et-manque-de-sensibilisation-de-la-population
[4] Olié V, Grave C, Gabet A, Chatignoux É, Gautier A, Bonaldi C, et al . Epidemiology of arterial hypertension in France: high prevalence and lack of public awareness. Bull Epidemiol Weekly. 2023:130-8. Available from: http://beh.santepubliquefrance.fr/beh/2023/8/2023_8_1.html</t>
  </si>
  <si>
    <t>[1] Ministry of Health. The Official Website of the Ministry of Health. Phnom Penh: Ministry of Health. [Accessed 6th March 2024]. Available from: https://moh.gov.kh/?lang=en.
[2] WHO. Has conducted a recent, national adult risk factor survey covering raised blood pressure/hypertension. Geneva: WHO. [Accessed 3rd April 2024]. Available from: https://www.who.int/data/gho/data/indicators/indicator-details/GHO/has-conducted-a-recent--national-adult-risk-factor-survey-covering-raised-blood-pressure-hypertension.
[3] Chham S, Buffel V, Olmen J V. The cascade of hypertension care in Cambodia: evidence from a cross-sectional population-based survey. BMC Health Services Research. [29 June 2022; Accessed 6th March 2024]. Available from: https://www.ncbi.nlm.nih.gov/pmc/articles/PMC9241312/#:~:text=This%20survey%20showed%20that%2C%20among,their%20BP%20controlled%20%5B4%5D.
[4] Ministry of Health (MoH). Health Strategic Plan 2016 - 2020. Phnom Penh: Ministry of Health. [Accessed 6th March 2024]. Available from: http://hismohcambodia.org/public/fileupload/carousel/HSP3-(2016-2020).pdf.</t>
  </si>
  <si>
    <t>[1] General Authority for Statistics. Household Health Survey 2017. Riyadh: General Authority for Statistics; 2017. Available from: https://www.stats.gov.sa/sites/default/files/household_health_survey_2017_1.pdf
[2] AlQuaiz A M et al. Age and gender differences in the prevalence of chronic diseases and atherosclerotic cardiovascular disease risk scores in adults in Riyadh city, Saudi Arabia. Saudi Med J 2021; Vol. 42
[3] WHO. Has conducted a recent, national adult risk factor survey covering raised blood pressure/hypertension. Geneva: World Health Organization; 2022. Available from: https://www.who.int/data/gho/data/indicators/indicator-details/GHO/has-conducted-a-recent--national-adult-risk-factor-survey-covering-raised-blood-pressure-hypertension</t>
  </si>
  <si>
    <t>[1] World Health Organisation (WHO). Global Health Observatory. Has conducted a recent, national adult risk factor survey covering raised blood pressure/hypertension. Geneva, 2021. Available from: https://www.who.int/data/gho/data/indicators/indicator-details/GHO/has-conducted-a-recent--national-adult-risk-factor-survey-covering-raised-blood-pressure-hypertension
[2] (Società Italiana dell'Ipertensione Arteriosa--SIIA). Ipertensione: i numeri in Italia (Hypertension: the numbers in Italy). Milan, Undated. Available from: https://siia.it/per-il-pubblico/ipertensione/ipertensione-i-numeri-in-italia/?doing_wp_cron=1710281671.7678411006927490234375
[3] National Institute of Health (Istituto Superiore di Sanita (ISS)). Progetto Cuore. CuoreData. Rome, Undated. Available from: https://www.cuore.iss.it/eng/survey/cuoredata</t>
  </si>
  <si>
    <t>[1] World Health Organization. Has conducted a recent, national adult risk factor survey covering raised blood pressure/hypertension [Internet]. Geneva: World Health Organization; 2021. [Accessed March 22nd 2024]. Available from: https://www.who.int/data/gho/data/indicators/indicator-details/GHO/has-conducted-a-recent--national-adult-risk-factor-survey-covering-raised-blood-pressure-hypertension
[2] San Francisco Health Improvement Partnership. Cardiovascular Disease and Stroke [Internet]. San Francisco: SFHIP; 2018. [Accessed March 20th 2024]. Available from: https://sfhip.org/chna/community-health-data/cardiovascular-disease-and-stroke/</t>
  </si>
  <si>
    <t>[1] VIGITEL. Relatório aponta que número de adultos com hipertensão aumentou 3,7% em 15 anos no Brasil. Ministério da Saúde. Brasília; 2022. Available from: https://www.gov.br/saude/pt-br/assuntos/noticias/2022/maio/relatorio-aponta-que-numero-de-adultos-com-hipertensao-aumentou-3-7-em-15-anos-no-brasil 
[2] WHO. Has conducted a recent, national adult risk factor survey covering raised blood pressure/hypertension. Geneva: World Health Organization; 2022. Available from: https://www.who.int/data/gho/data/indicators/indicator-details/GHO/has-conducted-a-recent--national-adult-risk-factor-survey-covering-raised-blood-pressure-hypertension
[3] USP. Faculdade de Saúde Pública e Prefeitura de São Paulo iniciam Inquérito de Saúde ISA Capital 2023. São Paulo: Universidade de São Paulo; 2023. Available from: https://www.fsp.usp.br/site/noticias/mostra/45532</t>
  </si>
  <si>
    <t>[1] WHO. The Global Health Observatory - Indicators: Has conducted a recent, national adult risk factor survey covering raised blood pressure/hypertension. Geneva: World Health Organization. [Accessed 3rd March 2024]. Available from: https://www.who.int/data/gho/data/indicators/indicator-details/GHO/has-conducted-a-recent--national-adult-risk-factor-survey-covering-raised-blood-pressure-hypertension
[2] General Office of Shanghai Municipal People's Government. Shanghai Municipality's Mid- and Long-term Plan (2018-2030) for the Prevention and Treatment of Chronic Non-Communicable Diseases [上海市防治慢性非传染性疾病中长期规划（2018-2030年）]. Shanghai: General Office of Shanghai Municipal People's Government, 2018. Available from: https://www.shanghai.gov.cn/nw42839/20200823/0001-42839_56743.html
[3] China News. 30% of Shanghai residents suffer from high blood pressure, and more than half are unaware of it [三成上海人罹患高血压 逾半数不自知]. Beijing: China News. [8 October 2021; Accessed 12th March 2024]. Available from: https://www.chinanews.com.cn/jk/2021/10-08/9581554.shtml</t>
  </si>
  <si>
    <t>[1] World Health Organization. Has conducted a recent, national adult risk factor survey covering raised blood pressure/hypertension. Geneva. World Health Organization. 2022. Available from: https://www.who.int/data/gho/data/indicators/indicator-details/GHO/has-conducted-a-recent--national-adult-risk-factor-survey-covering-raised-blood-pressure-hypertension 
[2] Commonwealth Governance. Local Government of Singapore. Commonwealth Governance Online. 2024. Available from: https://www.commonwealthgovernance.org/countries/asia/singapore/local-government/</t>
  </si>
  <si>
    <t>[1] World Health Organization. Has conducted a recent, national adult risk factor survey covering raised blood pressure/hypertension. Geneva: World Health Organization; 2024. Available from: https://www.who.int/data/gho/data/indicators/indicator-details/GHO/has-conducted-a-recent--national-adult-risk-factor-survey-covering-raised-blood-pressure-hypertension
‌</t>
  </si>
  <si>
    <t>[1] Ministry of Health, Labour and Welfare. National Health and Nutrition Survey. Tokyo: Ministry of Health, Labour and Welfare. Available from: https://www.mhlw.go.jp/stf/newpage_14156.html
Ministry of Health, Labour and Welfare. Result of National Health and Nutrition Survey. Tokyo: Ministry of Health, Labour and Welfare; 2019. Available from: https://www.mhlw.go.jp/content/10900000/000687163.pdf (P21)
[2] Bureau of Public Health, Tokyo Metropolitan Government. Health and Nutritional Status of Residents. Tokyo: Bureau of Public Health, Tokyo Metropolitan Government. Available from: https://www.hokeniryo.metro.tokyo.lg.jp/kenkou/kenko_zukuri/ei_syo/tomineiyou.html
[3] Bureau of Public Health, Tokyo Metropolitan Government. Survey on the activity status related to health of residents and their connection with the community. Tokyo: Bureau of Public Health, Tokyo Metropolitan Government; 2020. Available from: https://www.hokeniryo.metro.tokyo.lg.jp/kensui/plan21/R2chousa.html</t>
  </si>
  <si>
    <t>[1] Global Health Observatory. Has conducted a recent, national adult risk factor survey covering raised blood pressure/hypertension. WHO; 2024. Available from: https://www.who.int/data/gho/data/indicators/indicator-details/GHO/has-conducted-a-recent--national-adult-risk-factor-survey-covering-raised-blood-pressure-hypertension
[2] Federal Minister of Social Affairs, Health, Care and Consumer Protection (BMASGK). Austria Health Survey 2019. Vienna: BMASGK; 2020. Available from: https://www.statistik.at/fileadmin/publications/Oesterreichische-Gesundheitsbefragung2019_Hauptergebnisse.pdf
[3] City of Vienna. Health Service. Vienna: City of Vienna. [Accessed 19th March 2024]. Available from: https://www.wien.gv.at/gesundheit/einrichtungen/gesundheitsdienst/
[4] National Library of Medicine (NLM). PubMed Home. Bethesda: National Institutes of Health (NIH). [Accessed 22nd March 2024]. Available from: https://pubmed.ncbi.nlm.nih.gov/</t>
  </si>
  <si>
    <t>[1] WHO. Has conducted a recent, national adult risk factor survey covering raised blood pressure/hypertension. Geneva: World Health Organisation. [25 April 2022, Accessed 6th March 2024]. Available from: https://www.who.int/data/gho/data/indicators/indicator-details/GHO/has-conducted-a-recent--national-adult-risk-factor-survey-covering-raised-blood-pressure-hypertension.
[2] Wu Y, Wang S, Shi M et al. Awareness of nutrition and health knowledge and its influencing factors among Wuhan residents. Front Public Health. 2022; 10:987755. https://www.ncbi.nlm.nih.gov/pmc/articles/PMC9580461/</t>
  </si>
  <si>
    <t>[1] WHO. 2014 STEPS Country Report Myanmar. Geneva: World Health Organization. 1 January 2014. [Accessed 27th March 2024]. Available from: https://www.who.int/publications/m/item/2014-steps-country-report-myanmar
[2] Ministry of Health and Sports. Public Health Statistics 2017-2019. Naypyidaw: Ministry of Health and Sports. September 2021. [Accessed 27th March 2024]. Available from: https://mohs.gov.mm/ckfinder/connector?command=Proxy&amp;lang=en&amp;type=Main&amp;currentFolder=%2FNews%2FNews_2021%2FOct_2021(B)%2F&amp;hash=a6a1c319429b7abc0a8e21dc137ab33930842cf5&amp;fileName=Public%20Health%20Statistics%20Report%202017-2019%20(22%20Sep%202021).pdf
[3] Aye L, Tripathy J, Maung T et al. Experiences from the pilot implementation of the Package of Essential Non-communicable Disease Interventions (PEN) in Myanmar 2017-18: A mixed methods study. PLoS ONE. 2020;15[2]: e0229081.</t>
  </si>
  <si>
    <t>[1] Addis Ababa City Health Bureau. City Government of Addis Ababa City Health Bureau. Addis Ababa: Addis Ababa City Health Bureau. [Accessed 25th April 2024]. Available from: https://cityaddisababa.gov.et/en/office/health-bureau 
[2] Ethiopian Ministry of Health. Home. Addis Ababa: Ministry of Health. [Accessed 25th April 2024]. Available from: https://www.moh.gov.et/en
[3] Ethiopian Public Health Institute (EPHI). Home. Addis Ababa: Ethiopian Public Health Institute. [Accessed 25th April 2024]. Available from: https://ephi.gov.et/
[4] World Health Organization (WHO) African Region/Ethiopia. Home. Addis Ababa: World Health Organization (WHO) Ethiopia. [Accessed 25 April 2024]. Available from: https://www.afro.who.int/countries/ethiopia
[5] Ethiopian Diabetes Association. Home. Addis Ababa. Ethiopian Diabetes Association. [Accessed 25th April 2024]. Available from: https://www.ethiopiandiabetesassociation.org/eabout.php</t>
  </si>
  <si>
    <t>[1] ONS. Algerian National Office of Statistics. Algiers: Algerian National Office of Statistics. [Accessed 27th April 2024]. Available from: https://www.ons.dz/
[2] World Bank. Diabetes prevalence (% of population ages 20 to 79) - Algeria. Washington (DC): World Bank. [Accessed 27th April 2024]. Available from: https://data.worldbank.org/indicator/SH.STA.DIAB.ZS?locations=DZ</t>
  </si>
  <si>
    <t>[1] Central Agency for Public Mobilization and Statistics (CAPMAS). Cairo: Central Agency for Public Mobilization and Statistics (CAPMAS). [Accessed 27th April 2024]. Available from: https://www.cedejcapmas.org/adws/app/4d5b52dc-669d-11e9-b6a6-975656a88994/index.html
[2] Central Agency for Public Mobilization and Statistics (CAPMAS). Cairo: Central Agency for Public Mobilization and Statistics (CAPMAS). [Accessed 27th April 2024]. Available from: https://www.capmas.gov.eg/
[3] International Diabetes Federation. Egypt. Belgium: International Diabetes Federation. [Accessed 27th April 2024]. Available from: https://idf.org/our-network/regions-and-members/middle-east-and-north-africa/members/egypt/</t>
  </si>
  <si>
    <t>[1] Statistics-Colombo. Directorate of Non-Communicable Diseases. Colombo. Ministry of Health.2020. [Accessed April 29th 2024]. Available from: https://www.ncd.health.gov.lk/index.php?option=com_content&amp;view=article&amp;id=69&amp;Itemid=201&amp;lang=en#colombo 
[2] Annual Report 2019. Directorate of Non-Communicable Diseases. Colombo. Ministry of Health and Indigenous Medical Services. Government of Sri Lanka. 2019. [Accessed April 29th 2024]. Available from: https://ncd.health.gov.lk/images/Annual_Report_2019_Part_1.pdf
[3] Quarterly NCD Report. Colombo. Strategic Information Management Unit. Directorate of Non-Communicable Diseases. Ministry of Health. 2021. [Accessed April 29th 2024]. Available from: https://www.ncd.health.gov.lk/images/Quarterly_NCD_bulletin_-_Q3_2021-1-5.pdf
[4] Grama Niladhari Divisions Statistics-2020. Colombo District. Battaramulla. Department of Census and Statistics. Government of Sri Lanka. 2020. [Accessed April 29th 2024]. Available from: http://www.statistics.gov.lk/Resource/en/Population/GND_Reports/2020/Colombo.pdf</t>
  </si>
  <si>
    <t>[1] International Institute for Population Sciences. National Family Health Survey 2019-2021, Delhi. Mumbai. Ministry of Health and Family Welfare. Government of India. 2022 [Accessed May 1st 2024]. Available from: https://rchiips.org/nfhs/NFHS-5_FCTS/NCT_Delhi.pdf
[2] Diabetes Foundation of India. New Delhi. 2024. [Accessed May 1st 2024]. Available from: https://diabetesfoundationindia.org/about.html
[3] The Department of Health and Family Welfare. Delhi. Government of National Capital Territory of Delhi. 2024. [Accessed May 1st 2024]. Available from: https://health.delhi.gov.in/</t>
  </si>
  <si>
    <t>[1] Ministry of Health and Family Welfare. Health Bulletin 2022. Mohakhali, Dhaka: Ministry of Health and Family Welfare. 2023. [Accessed 29th April 2024]. Available from: https://old.dghs.gov.bd/images/docs/vpr/LHB_2022_6_2_2024.pdf
[2] Bangladesh National Portal. Dhaka District. [Accessed 29th April 2024]. Available from: https://dhaka.gov.bd/en#
[3] Government of the People's Republic of Bangladesh. Ministry of Health and Family Welfare. Dhaka: Government of the People's Republic of Bangladesh. [Accessed 29th April 2024]. Available from: http://www.mohfw.gov.bd/
[4] Directorate General of Health Services (DGHS). Dhaka: Directorate General of Health Services. [Accessed 29th April 2024]. Available from: https://dghs.gov.bd/</t>
  </si>
  <si>
    <t>[1] Sotkanet. Those entitled to specially reimbursable medicines due to diabetes, % of the population. Helsinki: THL. [Accessed 27th April 2024]. Available from: https://sotkanet.fi/sotkanet/fi/taulukko/?indicator=s_Y3AwA=&amp;region=8wYA&amp;year=sy5zsTbS0zUEAA==&amp;gender=t&amp;abs=f&amp;color=f&amp;buildVersion=3.1.1&amp;buildTimestamp=202309010633
[2] Sotkanet. Diabetes index, not adjusted for age. Helsinki: THL. [Accessed 27th April 2024]. Available from: https://sotkanet.fi/sotkanet/fi/taulukko?indicator=szbMLwUA&amp;region=8wYA&amp;year=sy5zsTbS0zUEAA==&amp;gender=t</t>
  </si>
  <si>
    <t>[1] Labour Newspaper (Báo Lao Động). Ho Chi Minh City warns of overweight and obesity in all ages. Agency Of The Vietnam General Confederation Of Labour (Cơ Quan Của Tổng Liên Đoàn Lao Động Việt Nam). 22 April 2024. Available from: 
https://laodongtre.laodong.vn/suc-khoe/tphcm-bao-dong-tinh-trang-thua-can-beo-phi-o-moi-lua-tuoi-1330233.ldo
[2] Ho Chi Minh City Center for Disease Control. Ho Chi Minh City: The proportion of diabetes patients achieving treatment goals increased. 8 March 2024 (P.HCM: Tỷ lệ bệnh nhân đái tháo đường đạt mục tiêu điều trị gia tăng). Available from: https://hcdc.vn/tphcm-ty-le-benh-nhan-dai-thao-duong-dat-muc-tieu-dieu-tri-gia-tang-ZqNrA0.html
[3] About 5 million Vietnamese people are suffering from this disease that causes many complications in the cardiovascular system, nerves, and limb amputations (Khoảng 5 triệu người Việt đang mắc căn bệnh gây nhiều biến chứng về tim mạch, thần kinh, cắt cụt chi... - Tin nổi bật - Cổng thông tin Bộ Y tế.) 13 November 2022. Available from: https://moh.gov.vn/hoat-dong-cua-lanh-dao-bo/-/asset_publisher/TW6LTp1ZtwaN/content/khoang-5-trieu-nguoi-viet-ang-mac-can-benh-gay-nhieu-bien-chung-ve-tim-mach-than-kinh-cat-cut-chi-</t>
  </si>
  <si>
    <t>[1] Turkish Statistical Institute (Türkiye İstatistik Kurumu). Türkiye Sağlık Araştırması, 2022 (Turkey Health Survey, 2022). Ankara. Türkiye İstatistik Kurumu. 1 June 2023. Available from: https://data.tuik.gov.tr/Bulten/Index?p=Turkiye-Saglik-Arastirmasi-2022-49747
[2] T.R. Ministry of Health General Directorate of Public Health (T.C. Sağlık Bakanlığı. Türkiye Diyabet Programı 2015-2020 (Turkish Diabetes Programme 2015-2020). Ankara. T.C. Sağlık Bakanlığı. Undated. Available from: https://extranet.who.int/ncdccs/Data/TUR_D1_T%C3%BCrkiye%20Diyabet%20Program%C4%B1%202015-2020.pdf
[3] T.R. Ministry of Health General Directorate of Public Health (T.C. Sağlık Bakanlığı Halk Sağlığı Genel Müdürlüğü). Turkey Nutrition and Health Survey 2017. Ankara. T.C. Sağlık Bakanlığı Halk Sağlığı Genel Müdürlüğü. 2019. Available from: https://hsgm.saglik.gov.tr/depo/birimler/saglikli-beslenme-ve-hareketli-hayat-db/Dokumanlar/Ingilizce_Yayinlar/TBSA_RAPOR_KITAP_2017_ENG_.pdf
[4] Turkish Diabetes Foundation (Türkiye Diyabet Vakfı). DİYABET 2020-2030 Ulusal Diyabet Stratejisi 10. Yıl Sonuç Dökümanı 2023 (DIABETES 2020-2030 National Diabetes Strategy 10th Year Results Document 2023). Istanbul. Türkiye Diyabet Vakfı. 2023. Available from: https://www.turkdiab.org/admin/PICS/webfiles/TDV_UDS_2023_112454.pdf
[5] International Diabetes Federation Europe. AN OVERVIEW OF DIABETES CARE: TURKEY. Brussels. International Diabetes Federation Europe. August 2021. Available from: https://www.insulin100.eu/wp-content/uploads/2021/11/Turkey.pdf
[6] Ülgü MM, Gülkesen KH, Akünal A, Ayvalı MO, Zayim N, Birinci Ş, Balcı MK. Characteristics of diabetes mellitus patients in Turkey: An analysis of national electronic health records. Turk J Med Sci. 2023 Feb;53[1]:316-322. doi: 10.55730/1300-0144.5587. Epub 2023 Feb 22. PMID: 36945956; PMCID: PMC10387848. Available from: https://www.ncbi.nlm.nih.gov/pmc/articles/PMC10387848/#:~:text=The%20detailed%20analysis%20of%20people,79%20age%20group%20in%20men.</t>
  </si>
  <si>
    <t>[1] Basit A, Fawwad A, Qureshi H, et al. Prevalence of diabetes, pre-diabetes and associated risk factors: second National Diabetes Survey of Pakistan (NDSP), 2016–2017. BMJ Open. 2019 Feb 22;8[11]:e020961corr1.
[2] The Diabetic Association of Pakistan (DAP). Karachi: Diabetic Association of Pakistan. [Accessed 29th April 2024]. Available from: http://www.dap.org.pk/SurveyArticles.html#
[3] Health Department, Government of Sindh. Sindh: Government of Sindh. [Accessed 29th April 2024]. Available from: https://www.sindhhealth.gov.pk/
[4] Karachi Metropolitan Corporation. Karachi: Karachi Metropolitan Corporation. [Accessed 29th April 2024]. Available from: https://www.kmc.gos.pk/en</t>
  </si>
  <si>
    <t>[1] Kathmandu Metropolitan City. 2024. Available from: https://kathmandu.gov.np/?lang=en
[2] Ministry of Health and Population, Nepal. 2024. Available from: https://mohp.gov.np/en/
[3] Noncommunicable Disease Risk Factors: STEPS Survey Nepal 2019. Nepal Health Research Council. 2020. Available from: https://www.who.int/docs/default-source/nepal-documents/ncds/ncd-steps-survey-2019-compressed.pdf
[4] International Diabetes Federation. 2024. Available from:https://idf.org/our-network/regions-and-members/south-east-asia/members/nepal/
[5] Nepal Diabetic Society. 2024. Available from: https://nepaldiabeticsociety.org.np/</t>
  </si>
  <si>
    <t>[1] Home. Kolkata Municipal Corporation. Kolkata. [Accessed April 28th 2024]. Available from: https://www.kmcgov.in/KMCPortal/jsp/KMCPortalHome1.jsp 
[2] International Institute for Population Sciences. National Family Health Survey 2019-2021,West Bengal. Mumbai. Ministry of Health and Family Welfare. Government of India. 2022. [Accessed April 28th 2024]. Available from: https://rchiips.org/nfhs/NFHS-5_FCTS/West_Bengal.pdf 
[3] Diabetes Foundation of India. New Delhi. 2024. [Accessed April 28th 2024]. Available from: https://diabetesfoundationindia.org/about.html
[4] Diabetes Research and Welfare Association. Kolkata. 2024. [Accessed April 28th 2024]. Available from: https://www.drwa.in/</t>
  </si>
  <si>
    <t>[1] The World Bank. Washington: The World Bank, 2023. Available from: https://data.worldbank.org/indicator/SH.STA.DIAB.ZS?locations=KW
[2] Central Statistical Bureau. Kuwait: Central Statistical Bureau, 2024. Available from: https://www.csb.gov.kw</t>
  </si>
  <si>
    <t>[1] Lagos State Government. LSG website. Lagos: LSG. [Accessed 29 April 2024]. Available from: https://lagosstate.gov.ng/
[2] Lagos State Ministry of Health (MOH). MOH website. Lagos. MOH. [Accessed 29th April 2024]. Available from: https://lagosministryofhealth.org/health-care-planning-research-statistics/
[3] National Bureau of Statistics. Abuja: National Bureau of Statistics. [Accessed 29th April 2024]. Available from: https://www.nigerianstat.gov.ng</t>
  </si>
  <si>
    <t>[1] Community of Madrid (Comunidad de Madrid).La Comunidad de Madrid realizó seguimiento en 2021 a más de 400.000 pacientes con diabetes en los centros de salud de la región (In 2021, the Community of Madrid monitored more than 400,000 patients with diabetes in health centers in the region). Madrid. Comunidad de Madrid. 2022. Available from: https://www.comunidad.madrid/noticias/2022/11/14/comunidad-madrid-realizo-seguimiento-2021-400000-pacientes-diabetes-centros-salud-region#:~:text=Comunidad%20de%20Madrid-,La%20Comunidad%20de%20Madrid%20realiz%C3%B3%20seguimiento%20en%202021%20a%20m%C3%A1s,de%20salud%20de%20la%20regi%C3%B3n&amp;text=La%20Comunidad%20de%20Madrid%20realiz%C3%B3%20el%20a%C3%B1o%20pasado%20seguimiento%20en,mayor%20incidencia%20en%20la%20poblaci%C3%B3n.
[2] Community of Madrid (Comunidad de Madrid). Diabetes (Diabetes). Madrid. Comunidad de Madrid. 2022. Available from: https://www.comunidad.madrid/servicios/salud/diabetes#:~:text=En%20la%20Comunidad%20de%20Madrid,componentes%20b%C3%A1sicos%20mediante%20la%20digesti%C3%B3n.
[3] Community of Madrid (Comunidad de Madrid). Health Madrid (Salud Madrid). Observatorio de resultados del Servicio Madrileño de Salud (Observatory of results of the Madrid Health Service). 
Estado de salud de la población: Diabetes (Health status of the population:Diabetes). Madrid. Salud Madrid. Undated. Available from: http://observatorioresultados.sanidadmadrid.org/EstadoPoblacion.aspx?ID=13</t>
  </si>
  <si>
    <t>[1] Documents. Mumbai City. Government of Maharashtra. 2024. [Accessed April 24th 2024]. Available from: https://mumbaicity.gov.in/documents/ 
[2] Maps, Reports &amp; Insights. Mumbai City. Government of Maharashtra. 2024. [Accessed April 24th 2024]. Available from: https://portal.mcgm.gov.in/irj/portal/anonymous?guest_user=english
[3] International Institute for Population Sciences. National Family Health Survey 2019-2021, Maharashtra. Mumbai. Ministry of Health and Family Welfare. Government of India. 2022. [Accessed April 24th 2024]. Available from: https://dhsprogram.com/pubs/pdf/FR375/FR375.pdf 
_x000B_
[4] Diabetes Foundation of India. New Delhi. 2024. [Accessed April 24th 2024]. Available from: https://diabetesfoundationindia.org/about.html
[5] Dr. V.Mohan et al. India Diabetes Study. Delhi. Indian Council of Medical Research and Madras Diabetes Research Foundation. 2016. [Accessed April 24th 2024]. Available from: https://main.icmr.nic.in/sites/default/files/reports/ICMR_INDIAB_PHASE_I_FINAL_REPORT.pdf</t>
  </si>
  <si>
    <t>[1] Kenya National Bureau of Statistics. Statistical Releases. Nairobi: Kenya National Bureau of Statistics, 2024. Available from: https://www.knbs.or.ke/data-releases/. 
[2] Ministry of Health. Nairobi:Ministry of Health, 2024. Available from: https://www.health.go.ke/.
[3] Manyara AM, Mwaniki E, Gill JMR, Gray CM. Perceptions of diabetes risk and prevention in Nairobi, Kenya: A qualitative and theory of change development study. PLoS One. 2024 Feb 13;19[2]:e0297779. Available from: https://www.ncbi.nlm.nih.gov/pmc/articles/PMC10863861/#:~:text=Other%20surveys%20reported%20even%20higher,Kenya%20in%202019%20%5B7%5D.</t>
  </si>
  <si>
    <t>[1] NYC 311. New York City Counties. New York City. NYC 311. 2024. Available from: https://portal.311.nyc.gov/article/?kanumber=KA-02877 
[2] NYS Department of Health. Prevalence of Diagnosed Diabetes, New York State Adults, by County, BRFSS 2021. Albany. NYS Department of Health.2023. Available from: https://www.health.ny.gov/statistics/prevention/injury_prevention/information_for_action/docs/2023-09_ifa_report.pdf</t>
  </si>
  <si>
    <t>[1] Public Health France (Santé publique France). Prévalence et incidence du diabète (Prevalence and incidence of diabetes). Paris. Santé publique France. 10 November 2021. Available from: https://www.santepubliquefrance.fr/maladies-et-traumatismes/diabete/articles/prevalence-et-incidence-du-diabete
[2] Regional Health Agency of the Île-de-France (ARS Île-de-France). Prévention et accompagnement des patients diabétiques en Île-de-France (Prevention and support for diabetic patients in Île-de-France). Paris. ARS Île-de-France, 13 November 2023. Available from: https://www.iledefrance.ars.sante.fr/diabete-prevention
[3] French Federation of Diabetics (Fédération Française des Diabétiques) LES CHIFFRES DU DIABÈTE EN FRANCE (The Figures on Diabetes in France). Paris. Fédération Française des Diabétiques. 2023. Available from: https://www.federationdesdiabetiques.org/information/diabete/chiffres-france#:~:text=Les%20r%C3%A9gions%20Bretagne%20avec%204,elles%2C%20une%20pr%C3%A9valence%20moins%20%C3%A9lev%C3%A9e.</t>
  </si>
  <si>
    <t>[1] Ministry of Health. Health Strategic Plan 2016 - 2020. Phnom Penh: Ministry of Health. [Accessed 24th April 2024]. Available from: http://hismohcambodia.org/public/fileupload/carousel/HSP3-(2016-2020).pdf
[2] Ministry of Health. National Multisectoral Action Plan for the Prevention and Control of Noncommunicable Diseases 2018 - 2027. Phnom Penh: Ministry of Health; 2018 [Accessed 24th April 2024]. Available from: https://moh.gov.kh/content/uploads/2017/05/NMAP-NCD_-13-06-2018-Signed_En.pdf
[3] DHS Program. Cambodia: Demographic and Health Survey 2021-22. Phnom Penh: DHS Program. [Accessed 24th April 2024]. Available from: https://www.dhsprogram.com/pubs/pdf/FR377/FR377.pdf
[4] National Institute of Statistics. Food and Nutrition Security Trend Analysis Report. Phnom Penh: National Institute of Statistics. [Accessed 24th April 2024]. Available from: https://www.nis.gov.kh/nis/FSNA/Report%20of%20Food%20and%20Nutrition%20Security%20Trend%20Analysis%202014-201920_EN.pdf
[5] MoPoTsyo. The Official Website of MoPoTyso. Phnom Penh: MoPoTsyo. [Accessed 24th April 2024]. Available from: https://www.mopotsyo.org</t>
  </si>
  <si>
    <t>[1] Bureau of Social Welfare, Tokyo Metropolitan Government. The health and nutritional status of the residents of Tokyo. Tokyo: Tokyo Metropolitan Government, March 2022. Available from: 
https://www.hokeniryo.metro.tokyo.lg.jp/kenkou/kenko_zukuri/ei_syo/tomineiyou.files/R1tomin_01.pdf</t>
  </si>
  <si>
    <t>[1] ONS. Algerian National Office of Statistics. Algiers: Algerian National Office of Statistics. [Accessed 27th April 2024]. Available from: https://www.ons.dz/
[2] Global Nutrition Report. Algeria. Bristol: Global Nutrition Report. [Accessed 27th April 2024]. Available from: https://globalnutritionreport.org/resources/nutrition-profiles/africa/northern-africa/algeria/</t>
  </si>
  <si>
    <t>[1] Thailand National Health Examination Survey 2019-20. Ministry of Public Health. Bangkok; 2021. Available from https://www.rama.mahidol.ac.th/commed/th/news/announcement/11062021-1038-th
[2] Intarakamhang, P., et al. "Prevalence and Factors of Overweight and Obesity among Medical Personnel in a District Hospital." Journal of the Medical Association of Thailand. Bangkok; 2023. Available from: http://www.jmatonline.com/index.php/jmat/article/view/13896#</t>
  </si>
  <si>
    <t>[1] Central Agency for Public Mobilization and Statistics (CAPMAS). Cairo: Central Agency for Public Mobilization and Statistics (CAPMAS). [Accessed 27th April 2024]. Available from: https://www.cedejcapmas.org/adws/app/4d5b52dc-669d-11e9-b6a6-975656a88994/index.html
[2] Central Agency for Public Mobilization and Statistics (CAPMAS). Cairo: Central Agency for Public Mobilization and Statistics (CAPMAS). [Accessed 27th April 2024]. Available from: https://www.capmas.gov.eg/
[3] American University of Cairo. Policy Briefs 31. Combating obesity in Egyptian society: a popular study in Port Said. Cairo: American University of Cairo, 2021. Available from: https://documents.aucegypt.edu/Docs/GAPP/Public%20Policy%20Hub%20Webpage/31_Policy%20Brief%20Ar_Combating%20High%20Obesity%20among%20Egyptian%20Households.pdf
[4] Global Nutrition Report. Egypt. Bristol: Global Nutrition Report. [Accessed 27th April 2024]. Available from: https://globalnutritionreport.org/resources/nutrition-profiles/africa/northern-africa/egypt/</t>
  </si>
  <si>
    <t>[1] Statistics-Colombo. Directorate of Non-Communicable Diseases. Colombo. Ministry of Health. 2020. [Accessed April 29th 2024]. Available from: https://www.ncd.health.gov.lk/index.php?option=com_content&amp;view=article&amp;id=69&amp;Itemid=201&amp;lang=en#colombo] 
[2] Quarterly NCD Report. Colombo. Strategic Information Management Unit. Directorate of Non-Communicable Diseases. Ministry of Health. 2021. [Accessed April 29th 2024]. Available from: https://www.ncd.health.gov.lk/images/Quarterly_NCD_bulletin_-_Q3_2021-1-5.pdf</t>
  </si>
  <si>
    <t>[1] International Institute for Population Sciences. National Family Health Survey 2019-2021, Delhi. Mumbai. Ministry of Health and Family Welfare. Government of India. 2022 [Accessed May 1st 2024]. Available from: https://rchiips.org/nfhs/NFHS-5_FCTS/NCT_Delhi.pdf 
[2] The Department of Health and Family Welfare. Delhi. Government of National Capital Territory of Delhi. 2024. [Accessed May 1st 2024]. Available from: https://health.delhi.gov.in/</t>
  </si>
  <si>
    <t>[1] Ministry of Health and Family Welfare. Health Bulletin 2022. Mohakhali, Dhaka: Ministry of Health and Family Welfare. 2023. [Accessed 29th April 2024]. Available from: https://old.dghs.gov.bd/images/docs/vpr/LHB_2022_6_2_2024.pdf
[2] Bangladesh National Portal. Dhaka District. Dhaka: Bangladesh National Portal. [Accessed 29th April 2024]. Available from: https://dhaka.gov.bd/en#
[3] Government of the People's Republic of Bangladesh. Ministry of Health and Family Welfare. Dhaka: Government of the People's Republic of Bangladesh. [Accessed 29th April 2024]. Available from: http://www.mohfw.gov.bd/
[4] Directorate General of Health Services (DGHS). Dhaka: Directorate General of Health Services. [Accessed 29th April 2024]. Available from: https://dghs.gov.bd/</t>
  </si>
  <si>
    <t>[1] Ho Chi Minh City: Alarming rate of students with overweight, obesity, and refractive errors. 3 October 2023. Available from: https://laodongthudo.vn/tphcm-bao-dong-ty-le-hoc-sinh-bi-thua-can-beo-phi-tat-khuc-xa-161061.html
[2] Labour Newspaper (Báo Lao Động). Ho Chi Minh City warns of overweight and obesity in all ages. Agency Of The Vietnam General Confederation Of Labour (Cơ Quan Của Tổng Liên Đoàn Lao Động Việt Nam). 22 April 2024. Available from: https://laodongtre.laodong.vn/suc-khoe/tphcm-bao-dong-tinh-trang-thua-can-beo-phi-o-moi-lua-tuoi-1330233.ldo</t>
  </si>
  <si>
    <t>[1] Turkish Statistical Institute (Türkiye İstatistik Kurumu). Türkiye Sağlık Araştırması, 2022 (Turkey Health Survey, 2022). Ankara. Türkiye İstatistik Kurumu. 1 June 2023. Available from: https://data.tuik.gov.tr/Bulten/Index?p=Turkiye-Saglik-Arastirmasi-2022-49747
[2] T.R. Ministry of Health General Directorate of Public Health (T.C. Sağlık Bakanlığı Halk Sağlığı Genel Müdürlüğü). Turkey Nutrition and Health Survey 2017. Ankara. T.C. Sağlık Bakanlığı Halk Sağlığı Genel Müdürlüğü. 2019. Available from: https://hsgm.saglik.gov.tr/depo/birimler/saglikli-beslenme-ve-hareketli-hayat-db/Dokumanlar/Ingilizce_Yayinlar/TBSA_RAPOR_KITAP_2017_ENG_.pdf
[3] Istanbul Metropolitan Municipality Health Department (Istanbul Büyükşehir Belediyesi Sağlık Daire Başkanlığı). Obeziteyi değiştiren şehir İstanbul (Cities Changing Obesity: Istanbul). Istanbul. Istanbul Büyükşehir Belediyesi, 2021. Available from: https://www.obeziteyidegistirensehiristanbul.com/media/download/rapor.pdf</t>
  </si>
  <si>
    <t>[1] City of Johannesburg. Johannesburg: City of Johannesburg. [Accessed 26th April 2024]. Available from: https://joburg.org.za/.
[2] Gauteng Provincial Government. Johannesburg: Gauteng Provincial Government. [Accessed 26th April 2024]. Available from: https://www.gauteng.gov.za/.
[3] South African Government. Pretoria: South African Government. [Accessed 26th April 2024]. Available from: https://www.gov.za/.</t>
  </si>
  <si>
    <t>[1] Pakistan Institute of Development Economics. Prevalence and Determinants of Overweight and Obesity Among Adults in Pakistan. Islamabad: Pakistan Institute of Development Economics. 2015. [Accessed 29th April 2024]. Available from: https://file.pide.org.pk/pdf/cphsp/PIDE-CPHSP-2.pdf
[2] Health Department, Government of Sindh. Sindh: Government of Sindh. [Accessed 29th April 2024]. Available from: https://www.sindhhealth.gov.pk/
[3] Karachi Metropolitan Corporation. Karachi: Karachi Metropolitan Corporation. [Accessed 29th April 2024]. Available from: https://www.kmc.gos.pk/en</t>
  </si>
  <si>
    <t>[1] Kathmandu Metropolitan City. 2024. Available from: https://kathmandu.gov.np/?lang=en
[2] Ministry of Health and Population, Nepal. 2024. Available from: https://mohp.gov.np/en/
[3] Noncommunicable Disease Risk Factors: STEPS Survey Nepal 2019. Nepal Health Research Council. 2020. Available from: https://www.who.int/docs/default-source/nepal-documents/ncds/ncd-steps-survey-2019-compressed.pdf
[4] Global Obesity Observatory. 2024. Available from:https://data.worldobesity.org/country/nepal-151/</t>
  </si>
  <si>
    <t>[1] Sattvika Ashok et.al. State Nutrition Profile West Bengal. International Food Policy Research Institute. New Delhi. 2021. [Accessed April 28th 2024]. Available from: https://www.niti.gov.in/sites/default/files/2023-02/SNP_WestBengal_draft_20210924_final_v2_JAG_56_SA.pdf 
[2] District Nutrition Profile. Kolkata-West Bengal. International Food Policy Research Institute. New Delhi. 2021. [Accessed April 28th 2024]. Available from: https://www.niti.gov.in/sites/default/files/2022-07/Kolkata-West%20Bengal.pdf
[3] Home. Kolkata Municipal Corporation. Kolkata. [Accessed April 28th 2024]. Available from: https://www.kmcgov.in/KMCPortal/jsp/KMCPortalHome1.jsp</t>
  </si>
  <si>
    <t>[1] Central Statistical Bureau. Kuwait: Central Statistical Bureau, 2024. Available from: https://www.csb.gov.kw
[2] The World Bank. Washington: The World Bank, 2024. Available from: https://data.worldbank.org/
[3] World Health Organization. Geneva: World Health Organisation, 2024. Available from: https://www.who.int
[4] Kuwait is first in the Arab world in terms of overweight, with 77% of the population. Alseyassah, 2023, Kuwait city. Available from: https://alseyassah.com/البحوه-لـالسياسة-الكويت-الأولى-عربي/#:~:text=حذَّرت%20مديرة%20إدارة%20تعزيز%20الصحة,عدد%20السكان،%20والسمنة%2040%25.</t>
  </si>
  <si>
    <t>[1] Community of Madrid (Comunidad de Madrid). Health Madrid (Salud Madrid). Observatorio de resultados del Servicio Madrileño de Salud (Observatory of results of the Madrid Health Service). 
Estado de salud de la población: Determinantes de salud (Health status of the population: Determinants of health). Madrid. Salud Madrid. May 2023. Available from: http://observatorioresultados.sanidadmadrid.org/EstadoPoblacion.aspx?ID=156</t>
  </si>
  <si>
    <t>[1] Food and Nutrition Research Institute (FNRI). 
Municipality/City Level Food Insecurity. Manila: Freedom of Information Portal. [Accessed 5th March, 2024]. Available from: https://www.foi.gov.ph/requests/the-number-of-obesity-in-adults-in-metro-manila-caloocan-and-quezon-city/
[2] Food and Nutrition Research Institute (FNRI). Available from: https://enutrition.fnri.dost.gov.ph/</t>
  </si>
  <si>
    <t>[1] Documents. Mumbai City. Government of Maharashtra. 2024. [Accessed April 24th 2024]. Available from: https://mumbaicity.gov.in/documents/
[2] Maps, Reports &amp; Insights. Mumbai City. Government of Maharashtra. 2024. [ Accessed April 24th 2024]. Available from: https://portal.mcgm.gov.in/irj/portal/anonymous?guest_user=english 
[3] International Institute for Population Sciences. National Family Health Survey 2019-2021, Maharashtra. Mumbai. Ministry of Health and Family Welfare. Government of India. 2022. [Accessed April 24th 2024]. Available from: https://rchiips.org/nfhs/NFHS-5_FCTS/Maharashtra.pdf
[4] Downloads. National Institute of Nutrition. Hyderabad. Indian Council of Medical Research. 2024. [Accessed April 24th 2024]. Available from: https://www.nin.res.in/downloads.html 
[5] Downloads-Urban Nutrition Brief Report. National Institute of Nutrition. Hyderabad. Indian Council of Medical Research. 2017. [Accessed April 24th 2024]. Available from: https://www.nin.res.in/downloads.html</t>
  </si>
  <si>
    <t>[1] Mkuu R, Barry A, Yonga G, Nafukho F, Wernz C, Gilreath T, Chowdhury MAB, Shevon Harvey I. Prevalence and factors associated with overweight and obesity in Kenya. Prev Med Rep. 2021 Mar 1;22:101340. Available from: https://www.ncbi.nlm.nih.gov/pmc/articles/PMC8170142/.
[2] Kenya National Bureau of Statistics. Statistical Releases. Nairobi: Kenya National Bureau of Statistics, 2024. Available from: https://www.knbs.or.ke/data-releases/. 
[3] Ministry of Health. Nairobi:Ministry of Health, 2024. Available from: https://www.health.go.ke/.</t>
  </si>
  <si>
    <t>[1] NYC 311. New York City Counties. New York City. NYC 311. 2024. Available from: https://portal.311.nyc.gov/article/?kanumber=KA-02877 
[2] NYS Department of Health. Prevalence of Obesity among New York State Adults by County, BRFSS 2021. Albany. NYS Department of Health.2023. Available from: https://www.health.ny.gov/statistics/prevention/injury_prevention/information_for_action/docs/2023-03_ifa_report.pdf</t>
  </si>
  <si>
    <t>[1] Public Health France (Santé publique France). Prévalence du surpoids, de l'obésité et des facteurs de risque cardio-métaboliques dans la cohorte Constances (Prevalence of overweight, obesity and cardio-metabolic risk factors in the Constances cohort). Paris. Santé publique France. 25 October 2016; updated on 29 August 2019. Available from: https://www.santepubliquefrance.fr/docs/prevalence-du-surpoids-de-l-obesite-et-des-facteurs-de-risque-cardio-metaboliques-dans-la-cohorte-constances
[2] Regional Health Agency of the Île-de-France (ARS Île-de-France). AXE 2 : Construire des parcours de santé lisibles, fluides et qui répondent aux besoins des patients: Chapitre 10 : Parcours Obésité (AREA 2: Build health pathways that are readable, fluid and meet the needs of patients: Chapter 10: Obesity pathway). Paris. ARS Île-de-France, 24 May 2023. Available from: https://www.iledefrance.ars.sante.fr/media/109688/download?inline
[3] L'Assurance Maladie (Ameli). Obésité et surpoids : près d'un Français sur 2 concerné (Obesity and overweight: nearly one in two French people affected). Paris. L'Assurance Maladie (Ameli). 2 March 2023. Available from: https://www.ameli.fr/assure/actualites/obesite-et-surpoids-pres-d-un-francais-sur-2-concerne</t>
  </si>
  <si>
    <t>[1] Obesity in Saudi Arabia in 2020: Prevalence, Distribution, and Its Current Association with Various Health Conditions. Healthcare (Basel). 2021 Mar; 9: 311. Available from: https://www.ncbi.nlm.nih.gov/pmc/articles/PMC7999834/
[2] General Authority for Statistics. Riyadh: General Authority for Statistics, 2024. Available from: https://www.stats.gov.sa/
[3] Ministry of Health. Riyadh: Ministry of Health, 2024. Available from: https://www.moh.gov.sa/"</t>
  </si>
  <si>
    <t>[1] Ministry of Health and Sports. Public Health Statistics 2017-2019. Naypyidaw: Ministry of Health and Sports. September 2021. [Accessed 29th April 2024]. Available from: https://mohs.gov.mm/ckfinder/connector?command=Proxy&amp;lang=en&amp;type=Main&amp;currentFolder=%2FNews%2FNews_2021%2FOct_2021(B)%2F&amp;hash=a6a1c319429b7abc0a8e21dc137ab33930842cf5&amp;fileName=Public%20Health%20Statistics%20Report%202017-2019%20(22%20Sep%202021).pdf
[2] Ministry of Health and Sports. Publications, Reports, Presentations &amp; Documents. Naypyidaw: Ministry of Health and Sports. [Accessed 29th April 2024]. Available from: https://mohs.gov.mm/Main/content/publication/list?pagenumber=1&amp;pagesize=9
[3] Yangon City Development Committee (YCDC). YCDC. Yangon: Yangon City Development Committee (YCDC). [Accessed 29th April 2024]. Available from: https://www.ycdc.gov.mm/
[4] Ministry of Health and Sports. Report on National Survey of Diabetes Mellitus and Risk Factors for Non-communicable Diseases in Myanmar (2014). Naypyidaw: Ministry of Health and Sports. December 2014. [Accessed 26th April 2024]. Available from: https://www.medbox.org/document/report-on-national-survey-of-diabetes-mellitus-and-risk-factors-for-non-communicable-diseases-ncds-in-myanmar</t>
  </si>
  <si>
    <t>[1] Addis Ababa City Health Bureau. City Government of Addis Ababa City Health Bureau. Addis Ababa: Addis Ababa City Health Bureau. [Accessed 25th April 2024]. Available from: https://cityaddisababa.gov.et/en/office/health-bureau 
[2] Ethiopian Ministry of Health. Home. Addis Ababa: Ministry of Health. [Accessed 25th April 2024]. Available from: https://www.moh.gov.et/en
[3] Ethiopian Public Health Institute (EPHI). Home. Addis Ababa: Ethiopian Public Health Institute. [Accessed 2th5 April 2024]. Available from: https://ephi.gov.et/
[4] World Health Organization (WHO) African Region/Ethiopia. Home. Addis Ababa: World Health Organization (WHO) Ethiopia. [Accessed 25th April 2024]. Available from https://www.afro.who.int/countries/ethiopia
[5] Ethiopian Diabetes Association. Home. Addis Ababa. Ethiopian Diabetes Association. [Accessed 25th April 2024]. Available from: https://www.ethiopiandiabetesassociation.org/eabout.php</t>
  </si>
  <si>
    <t>[1] Georgia Department of Public Health. 2005 Georgia Data Summary: Cardiovascular Disease [Internet]. Atlanta: Georgia Department of Public Health; 2005. [Accessed April 2th 2024]. Available from: https://dph.georgia.gov/document/document/2005-cardiovascular-disease-data-summary/download
[2] NYU Grossman School of Medicine's Department of Population Health. Atlanta, GA - Metric Detail. City Health Dashboard [Internet]. New York: NYU Langone Health; 2021. [Accessed April 25th 2024]. Available from: https://www.cityhealthdashboard.com/GA/Atlanta/metric-detail?metricId=9&amp;dataPeriod=2021</t>
  </si>
  <si>
    <t>[1] Camacho et al. The spectrum of dyslipidemia in Colombia: The PURE study. Bethesda. NIH PubMed. 2018. Available from: https://pubmed.ncbi.nlm.nih.gov/30463681/ 
[2] Medina MS, Cortázar J. Cholesterol in diabetics at 2,650 meters (Bogotá) (Colesterol en diabéticos a 2.650 metros (Bogotá)). Revista Colombiana de Endocrinología, Diabetes &amp; Metabolismo. 1958; 2(1-2-3):19–34.
[3] González et al. Dyslipidemia as a cardiovascular risk factor: use of probiotics in nutritional therapeutics. Archivos Venezolanos de Farmacología y Terapéutica.2020. Available from: https://www.revistaavft.com/images/revistas/2020/avft_1_2020/22_dislipidemia.pdf</t>
  </si>
  <si>
    <t>[1] Central Statistics Bureau. Budapest: Central Statistics Bureau. [Accessed 26th April 2024]. Available from: https://www.ksh.hu/
[2] Official Website of the City of Budapest. Budapest: Municipality of the City of Budapest. [Accessed 26th March 2024]. Available from: https://budapest.hu
[3] Government of Hungary. Official Website. Budapest: Government of Hungary. [Accessed 26th March 2024]. Available from: https://kormany.hu</t>
  </si>
  <si>
    <t>[1] Central Agency for Public Mobilization and Statistics (CAPMAS). Cairo: Central Agency for Public Mobilization and Statistics (CAPMAS). [Accessed 27th April 2024]. Available from: https://www.cedejcapmas.org/adws/app/4d5b52dc-669d-11e9-b6a6-975656a88994/index.html
[2] Central Agency for Public Mobilization and Statistics (CAPMAS). Cairo: Central Agency for Public Mobilization and Statistics (CAPMAS). [Accessed 27th April 2024]. Available from: https://www.capmas.gov.eg/
[3] Taha HSED, e al. Egyptian practical guidance in lipid management 2020. Maryland: National Library of Medicine, 2021. Available from: https://www.ncbi.nlm.nih.gov/pmc/articles/PMC7902744/#:~:text=Dyslipidemia%20is%20a%20major%20risk,%25%20%5B4%2C%205%5D.</t>
  </si>
  <si>
    <t>[1] Statistics-Colombo. Directorate of Non-Communicable Diseases. Colombo. Ministry of Health. 2020. [Accessed April 29th 2024]. Available from: https://www.ncd.health.gov.lk/index.php?option=com_content&amp;view=article&amp;id=69&amp;Itemid=201&amp;lang=en#colombo 
[2] Annual Report 2019. Directorate of Non-Communicable Diseases. Colombo. Ministry of Health and Indigenous Medical Services. Government of Sri Lanka. 2019. [Accessed April 29th 2024]. Available from: https://ncd.health.gov.lk/images/Annual_Report_2019_Part_1.pdf
[3] Quarterly NCD Report. Colombo. Strategic Information Management Unit. Directorate of Non-Communicable Diseases. Ministry of Health. 2021. [Accessed April 29th 2024]. Available from: https://www.ncd.health.gov.lk/images/Quarterly_NCD_bulletin_-_Q3_2021-1-5.pdf
[4] Grama Niladhari Divisions Statistics-2020. Colombo District. Battaramulla. Department of Census and Statistics. Government of Sri Lanka. 2020. [Accessed April 29th 2024]. Available from: http://www.statistics.gov.lk/Resource/en/Population/GND_Reports/2020/Colombo.pdf</t>
  </si>
  <si>
    <t>[1] International Institute for Population Sciences. National Family Health Survey 2019-2021, Delhi. Mumbai. Ministry of Health and Family Welfare. Government of India. 2022. [Accessed April 26th 2024]. Available from: https://rchiips.org/nfhs/NFHS-5_FCTS/NCT_Delhi.pdf
[2] Downloads-Urban Nutrition Brief Report. National Institute of Nutrition. Hyderabad. Indian Council of Medical Research. 2017. [Accessed April 26th 2024]. Available from: https://www.nin.res.in/downloads.html
[3] Downloads. National Institute of Nutrition. Hyderabad. Indian Council of Medical Research. 2024. [Accessed April 26th 2024]. Available from: https://www.nin.res.in/downloads.html</t>
  </si>
  <si>
    <t>[1] Turkish Statistical Institute (Türkiye İstatistik Kurumu). Türkiye Sağlık Araştırması, 2022 (Turkey Health Survey, 2022). Ankara. Türkiye İstatistik Kurumu. 1 June 2023. Available from: https://data.tuik.gov.tr/Bulten/Index?p=Turkiye-Saglik-Arastirmasi-2022-49747
[2] T.R. Ministry of Health General Directorate of Public Health (T.C. Sağlık Bakanlığı Halk Sağlığı Genel Müdürlüğü). TÜRKİYE BULAŞICI OLMAYAN HASTALIKLAR VE RİSK FAKTÖRLERİ KOHORT ÇALIŞMASI (Turkey Non-Communicable Diseases and Risk Factors Cohort Study). Ankara. T.C. Sağlık Bakanlığı Halk Sağlığı Genel Müdürlüğü. 2021. Available from: https://hsgm.saglik.gov.tr/depo/birimler/kronik-hastaliklar-ve-yasli-sagligi-db/Dokumanlar/Raporlar/v9s_NCDkohort_.pdf</t>
  </si>
  <si>
    <t>[1] Bureau of Statistics, Planning and Development, Government of Sindh. Sindh Statistics 2022. Sindh: Bureau of Statistics, Planning and Development. 2023. [Accessed 29th April 2024]. Available from: https://sbos.sindh.gov.pk/files/SBOS/Development%20Statistics/SINDH%20STATISTICS%202022-04092023.pdf
[2] Ministry of Planning Development &amp; Special Initiatives. Pakistan Social and Living Standards Measurement Survey. Islamabad: Ministry of Planning Development &amp; Special Initiatives, July 2021. [Accessed 29th April 2024]. Available from: https://www.pbs.gov.pk/sites/default/files//pslm/publications/pslm_district_2019-20/PSLM_2019_20_District_Level.pdf
[3] Health Department, Government of Sindh. Sindh: Government of Sindh. [Accessed 29th April 2024]. Available from: https://www.sindhhealth.gov.pk/
[4] Karachi Metropolitan Corporation. Karachi: Karachi Metropolitan Corporation. [Accessed 29th April 2024]. Available from: https://www.kmc.gos.pk/en</t>
  </si>
  <si>
    <t>[1] Kathmandu Metropolitan City. 2024. Available from: https://kathmandu.gov.np/?lang=en
[2] Ministry of Health and Population, Nepal. 2024. Available frm: https://mohp.gov.np/en/
[3] Noncommunicable Disease Risk Factors: STEPS Survey Nepal 2019. Nepal Health Research Council. 2020. Available from: https://www.who.int/docs/default-source/nepal-documents/ncds/ncd-steps-survey-2019-compressed.pdf</t>
  </si>
  <si>
    <t>[1] Home. Kolkata Municipal Corporation. Kolkata. [Accessed April 28th 2024]. Available from: https://www.kmcgov.in/KMCPortal/jsp/KMCPortalHome1.jsp 
[2] International Institute for Population Sciences. National Family Health Survey 2019-2021, West Bengal. Mumbai. Ministry of Health and Family Welfare. Government of India. 2022. [Accessed April 28th 2024]. Available from: https://rchiips.org/nfhs/NFHS-5_FCTS/West_Bengal.pdf 
[3] Downloads. National Institute of Nutrition. Hyderabad. Indian Council of Medical Research. 2024. [Accessed April 28th 2024]. Available from: https://www.nin.res.in/downloads.html</t>
  </si>
  <si>
    <t>[1] Central Statistical Bureau. Kuwait: Central Statistical Bureau, 2024. Available from: https://www.csb.gov.kw
[2] The World Bank. Washington: The World Bank, 2024. Available from: https://data.worldbank.org/
[3] World Health Organization. Geneva: World Health Organisation, 2024. Available form: https://www.who.int</t>
  </si>
  <si>
    <t>[1] Lagos State Government. LSG website. Lagos: LSG. [Accessed 29th April 2024]. Available from: https://lagosstate.gov.ng/
[2] Lagos State Ministry of Health (MOH). MOH website. Lagos. MOH. [Accessed 29th April 2024]. Available from: https://lagosministryofhealth.org/health-care-planning-research-statistics/
[3] National Bureau of Statistics. Abuja: National Bureau of Statistics. [Accessed 29th April 2024]. Available from: https://www.nigerianstat.gov.ng
[4] Babafemi R, Odukoya O, Sodeinde K et al. Hypercholesterolaemia among Urban Residents in Lagos State: The Knowledge, Attitudes, Prevalence and Risk Factors. Nigerian Postgraduate Medical Journal, 27[4]:p 348-356.</t>
  </si>
  <si>
    <t>[1] MadridDiario. PreveCardio: la Comunidad de Madrid, a la vanguardia de la medición del riesgo cardiovascular (PreveCardio: the Community of Madrid, at the forefront of cardiovascular risk measurement). Madrid. MadridDiario, 19 April 2024. Available from: https://www.madridiario.es/prevecardio-comunidad-madrid-vanguardia-medicion-riesgo-cardiovascular 
[2] Community of Madrid. Department of Health (Comunidad de Madrid. Consejería de Sanidad). PREvalencia de DIabetes Mellitus y Riesgo Cardiovascular en población adulta de la Comunidad de Madrid Estudio PREDIMERC 2015 (Prevalence of diabetes mellitus and cardiovascular risk in the adult population of the Madrid Autonomous Region: 2015 PREDIMERC study). Madrid. Comunidad de Madrid. 2018. Available from: https://www.madrid.org/bvirtual/BVCM020168.pdf
[3] Community of Madrid (Comunidad de Madrid). Health Madrid (Salud Madrid). Observatorio de resultados del Servicio Madrileño de Salud (Observatory of results of the Madrid Health Service). 
Cobertura de atención a pacientes adultos con hipercolesterolemia como factor de riesgo cardiovascular (Coverage of care for adult patients with hypercholesterolemia as a cardiovascular risk factor). Madrid. Salud Madrid. May 2023. Available from: http://observatorioresultados.sanidadmadrid.org/AtencionPrimariaFicha.aspx?ID=88</t>
  </si>
  <si>
    <t>[1] Food and Nutrition Research Institute (FNRI). 
Municipality/City Level Food Insecurity. Manila: Freedom of Information Portal. [18 April, 2022]. https://www.foi.gov.ph/requests/high-blood-cholesterol-data/
[2] Philippine Statistics Authority. Quezon City: Philippine Statistics Authority. [Accessed 26th April 2024]. Available from: https://psa.gov.ph/
[3] Department of Health. Manila: Department of Health - Republic of the Philippines. [Accessed 26th April 2024]. Available from: https://doh.gov.ph/
[4] Manila Health Department. Manila: City Government of Manila. [Accessed 26th April 2024]. Available from: https://manilahealthdepartment.com/</t>
  </si>
  <si>
    <t>[1] Australian Bureau of Statistics. National Health Survey. Australian Bureau of Statistics website; 2022. Available from: https://www.abs.gov.au/statistics/health/health-conditions-and-risks/national-health-survey/latest-release 
[2] City of Melbourne. Health and wellbeing profile – 2022 mid-point review. City of Melbourne; 2022. Available from: https://www.melbourne.vic.gov.au/SiteCollectionDocuments/midpoint-summary-report.pdf</t>
  </si>
  <si>
    <t>[1] Procuraduría Federal del Consumidor. Colesterol [Internet]. Government of Mexico; 2019 [Accessed 2024 May 2]. Available from: https://www.gob.mx/profeco/es/articulos/colesterol?idiom=es
[2] Laboratorios Oriente. El colesterol en México ¿Qué debes saber para proteger tu salud? [Internet]. Laboratorios Oriente; 2023 [Accessed 2024 May 2]. Available from: https://laboratoriosoriente.com/blog/el-colesterol-en-m%C3%A9xico-qu%C3%A9-debes-saber-para-proteger-tu-salud
.</t>
  </si>
  <si>
    <t>[1] Documents. Mumbai City. Government of Maharashtra. 2024. [Accessed April 24th 2024]. Available from: https://mumbaicity.gov.in/documents/ 
[2] Maps, Reports &amp; Insights. Mumbai City. Government of Maharashtra. 2024. [Accessed April 24th 2024]. Available from: https://portal.mcgm.gov.in/irj/portal/anonymous?guest_user=english
[3] International Institute for Population Sciences. National Family Health Survey 2019-2021, Maharashtra. Mumbai. Ministry of Health and Family Welfare. Government of India. 2022. [Accessed April 24th 2024]. Available from: https://rchiips.org/nfhs/NFHS-5_FCTS/Maharashtra.pdf
[4] Downloads. National Institute of Nutrition. Hyderabad. Indian Council of Medical Research. 2024. [Accessed April 24th 2024]. Available from: https://www.nin.res.in/downloads.html 
[5] Downloads-Urban Nutrition Brief Report. National Institute of Nutrition. Hyderabad. Indian Council of Medical Research. 2017. [Accessed April 24th 2024]. Available from: https://www.nin.res.in/downloads.html</t>
  </si>
  <si>
    <t>[1] New York State Department of Health. BRFSS Brief High Cholesterol New York State Adults 2019.Albany. NYS Department of Health. 2019. Available from: https://www.health.ny.gov/statistics/brfss/reports/docs/2021-14_brfss_high_cholesterol.pdf
[2] City Health Dashboard. Metrics Overview for New York, NY. New York. City Health Dashboard. Available from: https://www.cityhealthdashboard.com/NY/New%20York 
[3] NYC.gov Environment &amp; Health Data Portal. Explore Your City through Data. New York City.NYC.gov Environment &amp; Health Data Portal.2024. Available from: https://a816-dohbesp.nyc.gov/IndicatorPublic/ 
[4] America's Health Rankings. High Cholesterol in New York.United States. America's Health Rankings.2024. Available from: https://www.americashealthrankings.org/explore/measures/High_Chol/NY
[5] Lorna E. Thorpe. New York City Health and Nutrition Examination Study. New York City. New York University.2024. Available from: https://datacatalog.med.nyu.edu/dataset/10007</t>
  </si>
  <si>
    <t>[1] Public Health France (Santé publique France). Cholestérol LDL chez les adultes en France métropolitaine : concentration moyenne, connaissance et traitement en 2015, évolutions depuis 2006 (LDL cholesterol in adults in mainland France: average concentration, knowledge and treatment in 2015, changes since 2006). 6 November 2018; updated on 6 September 2019. Paris. Santé publique France. Available from: https://www.santepubliquefrance.fr/maladies-et-traumatismes/maladies-cardiovasculaires-et-accident-vasculaire-cerebral/hypercholesterolemie/documents/article/cholesterol-ldl-chez-les-adultes-en-france-metropolitaine-concentration-moyenne-connaissance-et-traitement-en-2015-evolutions-depuis-2006
[2] Regional Health Agency of the Île-de-France (ARS Île-de-France). Website. Paris. ARS Île-de-France, 2024. Available from: https://www.iledefrance.ars.sante.fr/
[3] Regional Health Agency of the Île-de-France (ARS Île-de-France). Promotion Santé Île-de-France. Website. Paris. ARS Île-de-France, 2024. Available from: https://www.promotion-sante-idf.fr/</t>
  </si>
  <si>
    <t>[1] DHS Program. Cambodia: Demographic and Health Survey 2021-22. Phnom Penh: DHS Program. [Accessed 24th April 2024]. Available from: https://www.dhsprogram.com/pubs/pdf/FR377/FR377.pdf
[2] Ministry of Health. National Multisectoral Action Plan for the Prevention and Control of Noncommunicable Diseases 2018 - 2027. Phnom Penh: Ministry of Health; 2018 [Accessed 24th April 2024]. Available from: https://moh.gov.kh/content/uploads/2017/05/NMAP-NCD_-13-06-2018-Signed_En.pdf
[3] Ministry of Health. Health Strategic Plan 2016 - 2020. Phnom Penh: Ministry of Health. [Accessed 24th April 2024]. Available from: http://hismohcambodia.org/public/fileupload/carousel/HSP3-(2016-2020).pdf
[4] National Institute of Statistics. Food and Nutrition Security Trend Analysis Report. Phnom Penh: National Institute of Statistics. [Accessed 24th April 2024]. Available from: https://www.nis.gov.kh/nis/FSNA/Report%20of%20Food%20and%20Nutrition%20Security%20Trend%20Analysis%202014-201920_EN.pdf
[5] National Centre for Health Promotion (NCHP). The Official Website of NCHP. Phnom Penh: NCHP. [Accessed 24th April 2024]. Available from: https://nchp.gov.kh.
[6] National Institute of Public Health (NIPH). The Official Website of NIPH. Phnom Penh: NIPH. [Accessed 24th April 2024]. Available from: https://niph.org.kh/niph/home/index.html
[7] WHO. Cambodia. Geneva: World Health Organization. [Accessed 24th April 2024]. Available from: https://www.who.int/teams/noncommunicable-diseases/surveillance/data/cambodia</t>
  </si>
  <si>
    <t>[1] Shanghai Municipal Health Committee. Shanghai health statistics in 2022 [2022年上海市卫生健康统计数据]. Shanghai: Shanghai Municipal Health Committee, 10 July 2023. Available from https://wsjkw.sh.gov.cn/tjsj2/20230710/af03f208cc304151a07aa9c679e5aae6.html.
[2] Shanghai Municipal Health Committee. Database search [全文检索]. Shanghai: Shanghai Municipal Health Committee. [Accessed 29th April 2024]. Available from: https://wsjkw.sh.gov.cn/search/index.html#search/query=胆固醇|input_type=Input|suggest_order=-1</t>
  </si>
  <si>
    <t>[1] Wuhan Statistics Bureau. Statistics Analysis [統計分析]. Wuhan: Wuhan Statistics Bureau. [Accessed 29th April 2024]. Available from: https://tjj.wuhan.gov.cn/tjfw/tjfx/.
[2] Wuhan Health Information Centre. Homepage. Wuhan: Wuhan Health Information Centre. [Accessed 29th April 2024]. Available from: https://www.whhealth.org.cn.</t>
  </si>
  <si>
    <t>[1] Ministry of Health and Sports. Public Health Statistics 2017-2019. Naypyidaw: Ministry of Health and Sports. [September 2021, Accessed 29 April 2024]. Available from: https://mohs.gov.mm/ckfinder/connector?command=Proxy&amp;lang=en&amp;type=Main&amp;currentFolder=%2FNews%2FNews_2021%2FOct_2021(B)%2F&amp;hash=a6a1c319429b7abc0a8e21dc137ab33930842cf5&amp;fileName=Public%20Health%20Statistics%20Report%202017-2019%20(22%20Sep%202021).pdf
[2] Ministry of Health and Sports. Publications, Reports, Presentations &amp; Documents. Naypyidaw: Ministry of Health and Sports. [Accessed 29 April 2024]. Available from: https://mohs.gov.mm/Main/content/publication/list?pagenumber=1&amp;pagesize=9
[3] Yangon City Development Committee (YCDC). YCDC. Yangon: Yangon City Development Committee (YCDC). [Accessed 29 April 2024]. Available from: https://www.ycdc.gov.mm/
[4] Ministry of Health and Sports. Report on National Survey of Diabetes Mellitus and Risk Factors for Non-communicable Diseases in Myanmar (2014). Naypyidaw: Ministry of Health and Sports, [December 2014, Accessed 26 April 2024] Available from: https://www.medbox.org/document/report-on-national-survey-of-diabetes-mellitus-and-risk-factors-for-non-communicable-diseases-ncds-in-myanmar</t>
  </si>
  <si>
    <t>[1] Federal Ministry of Health (FMOH)/Ethiopian Food and Drug Administration (EFDA). Ethiopian Essential Medicines List Sixth Edition. Addis Ababa: FMOH/EFDA, September 2020. Available from: http://efmhaca.hcmisonline.org/wp-content/uploads/2020/12/EML-sixth-edition.pdf
[2] Ethiopian Pharmaceutical Supply Agency (EPSA). Ethiopian Pharmaceutical Supply Agency website. Ethiopia: EPSA. [Accessed 27th March 2024]. Available from: http://www.epss.gov.et/
[3] Assefa, D., Alemnesh, D., &amp; Amberbir, A. Availability of Essential Medicines in Ethiopia: A Systematic Review (221). [2019]. Available from: https://www.researchgate.net/publication/353794113_Availability_of_Essential_Medicines_in_Ethiopia_A_Systematic_Review
[4] Carasso, B. S., Lagarde, M., Tesfaye, A., &amp; Palmer, N. Availability of essential medicines in Ethiopia: An efficiency-equity trade-off? [city unavailable]: Pubmed; 2009. Available from: https://pubmed.ncbi.nlm.nih.gov/19754520/
[5] Senait, A., et al. Cost analysis of the WHO-HEARTS program for hypertension control and CVD prevention in primary health facilities in Ethiopia. Addis Ababa: National Center for Biotechnology Information; 2023. Available from: https://www.ncbi.nlm.nih.gov/pmc/articles/PMC10506051/</t>
  </si>
  <si>
    <t>[1] Journal Officiel. International Conventions and Agreements - Laws and Decrees, Decisions, Opinions, Communications and Announcements. Algiers: Journal Officiel, 2023. Available from: https://www.joradp.dz/FTP/jo-francais/2023/F2023017.pdf
[2] Dahmani H, Fradi I, Achour L, Toumi M; Maghreb Research Group. Pharmaceutical pricing and reimbursement policies in Algeria, Morocco, and Tunisia: comparative analysis. J Mark Access Health Policy. 2023 Aug 20;11[1]:2244304. doi: 10.1080/20016689.2023.2244304. PMID: 37614557; PMCID: PMC10443953.</t>
  </si>
  <si>
    <t>[1] Georgia Department of Public Health. Preferred Drug Lists | Georgia Department of Community Health [Internet]. Georgia Department of Public Health. 2024. [Accessed February 22nd 2024]. Available from: https://dch.georgia.gov/providers/provider-types/pharmacy/preferred-drug-lists
[2] World Health Organization. EMLs Around The World [Internet]. global.essentialmeds.org. 2023. [Accessed March 18th 2024]. Available from: https://global.essentialmeds.org/dashboard/countries</t>
  </si>
  <si>
    <t>[1] New Zealand Medicines and Medical Devices Safety Authority (Medsafe). Medicines. Wellington: Medsafe; 2024. [Accessed March 18th 2024]. Available from: http://www.medsafe.govt.nz/Medicines/index.asp
[2] Pharmaceutical Management Agency (Pharmac). Pharmaceutical Schedule. Wellington: Pharmac; 2024. [Accessed March 18th 2024]. Available from: https://www.pharmac.govt.nz/tools-resources/pharmaceutical-schedule/
[3] Gauld, R. Ahead of Its Time? Reflecting on New Zealand's Pharmac Following Its 20th Anniversary. PharmacoEconomics 32, 937–942 (2014). Available from: https://doi.org/10.1007/s40273-014-0178-2
[4] New Zealand Government. Prescription Charges. [Accessed March 24th 2024]. Available from: https://www.govt.nz/browse/health/gps-and-prescriptions/prescription-charges/</t>
  </si>
  <si>
    <t>[1] Central People's Government of the People's Republic of China. National Basic Health Insurance, Work Injury Insurance, and Maternity Insurance Drug Catalogue (2022) - Western medicine. Beijing: National Medical Insurance Administration and Ministry of Human Resources and Social Security, 2023. Available from: https://www.gov.cn/zhengce/zhengceku/2023-01/18/5737840/files/8fbe08148d5243c787c69dd3f9978b02.pdf
[2] Central People's Government of the People's Republic of China. The Notice by the Nation Healthcare Security Administration and the Ministry of Human Resources and Social Security on the Issuance of "National Basic Health Insurance, Work Injury Insurance, and Maternity Insurance Drug Catalogue (2022)". Beijing: Nation Healthcare Security Administration, Ministry of Human Resources and Social Security, 2023. Available from: https://www.gov.cn/zhengce/zhengceku/2023-01/18/content_5737840.htm
[3] Zhang, M, Kun Z, Liu Z et al. Availability of Essential Medicines, Progress and Regional Distribution in China: A Systematic Review and Meta-Analysis. Frontiers in Public Health: 2023; 11:1149838. Available from: https://www.ncbi.nlm.nih.gov/pmc/articles/PMC10167309/#SM1
[4] Zhang Y, Biqing W, Chunxiao J et al. Traditional Chinese Medicine for Essential Hypertension: A Clinical Evidence Map. Evidence-Based Complementary and Alternative Medicine. Hindawi: 2020; Special Issue. Available from: https://doi.org/10.1155/2020/5471931.</t>
  </si>
  <si>
    <t>[1] Federal Institute for Drugs and Medical Devices (BfArM). List of Reference Prices for Medicinal Products. Bonn: BfArM. [Accessed 16th March 2024]. Available from: https://www.bfarm.de/EN/Medicinal-products/Information-on-medicinal-products/Reference-Pricing/_node.html
[2] Federal Institute for Drugs and Medical Devices (BfArM). List of Reference Prices for Medicinal Products. Bonn: BfArM; 1 March 2024. Available from: https://www.bfarm.de/SharedDocs/Downloads/DE/Arzneimittel/Zulassung/amInformationen/Festbetraege/2024/festbetraege-20240301.pdf?__blob=publicationFile
[3] Federal Ministry of Health. The German healthcare system Strong. Reliable. Proven. Berlin: Federal Ministry of Health; 2020. Available from: https://www.bundesgesundheitsministerium.de/fileadmin/Dateien/5_Publikationen/Gesundheit/Broschueren/200629_BMG_Das_deutsche_Gesundheitssystem_EN.pdf</t>
  </si>
  <si>
    <t>[1] Persaud N, Jiang M, Shaikh R, Bali A, Oronsaye E, Woods H, et al. Comparison of essential medicines lists in 137 countries. Bulletin of the World Health Organization. 2019 Apr 4;97 :394–404C.
[2] Ministerio de Salud y Protección Social. Regulación de precios de medicamentos. Bogotá.Ministerio de Salud y Protección Social. 2024. Available from: https://www.minsalud.gov.co/salud/MT/Paginas/medicamentos-regulacion-precios.aspx
[3] Ministerio de Salud y Protección Social. Listado de medicamentos con précio máximo de venta por presentación comercial (CSV). Bogotá. Ministerio de Salud y Protección Social.2024.Available from: https://www.minsalud.gov.co/salud/MT/Paginas/listado-de-medicamentos-con-precio-controlado.aspx
[4] Figueredo De Pérez DA, Vargas-Chaves I. El acceso a medicamentos en Colombia y los contornos de un derecho y una política farmacéutica a medio camino. Justicia. 2020 Jun 30;25(37):125–50.
[5] Ministerio de Salud y Protección Social. MinSalud aclara situación de desabastecimiento de medicamentos. Bogotá. Ministerio de Salud y Protección Social. 2023. Available from: https://www.minsalud.gov.co/Paginas/MinSalud-aclara-situacion-de-desabastecimiento-de-medicamentos.aspx</t>
  </si>
  <si>
    <t>[1] Hungarian National Institute of Health Insurance Fund Management. Data for International Price Comparisons. Budapest: Hungarian National Institute of Health Insurance Fund Management. January 2024. [Accessed 5th March 2024]. Available from: https://www.neak.gov.hu/felso_menu/szakmai_oldalak/gyogyszer_segedeszkoz_gyogyfurdo_tamogatas/egeszsegugyi_vallalkozasoknak/gyartok_forgalomba_hozok/dipc
[2] Hungarian National Institute of Health Insurance Fund Management. Medicine Finder. Budapest: Hungarian National Institute of Health Insurance Fund Management. [Accessed 5th March 2024]. Available from http://www.neak.gov.hu/felso_menu/lakossagnak/gyogszerkereso
[3] Health System Facts. Hungary: Pharmaceuticals. Lancaster (PA): Real Reporting Foundation. [Accessed 5th March 2024]. Available from: https://healthsystemsfacts.org/hungary-pharmaceuticals/</t>
  </si>
  <si>
    <t>[1] National Library of Medicine. Comparison of essential medicines lists in 137 countries. Maryland: National Library of Medicine, 2019. Available from: https://www.ncbi.nlm.nih.gov/pmc/articles/PMC6560372/
[2] Egyptian Drug Authority Portal. Cairo: Egyptian Drug Authority. [Accessed 9th March 2024]. Available from: https://www.edaegypt.gov.eg/ar
[3] Ministry of Health and Population. Health Awareness. Cairo: Ministry of Health and Population. [Archived 2020]. Available from: https://web.archive.org/web/20200117075321/http://www.mohp.gov.eg/Articles.aspx
[4] Egyptian Drug Authority. Egyptian Essential Drug List 2012 - 2013. Cairo: Egyptian Drug Authority. [Archived 2013]. Available from: https://web.archive.org/web/20130319011410/http://eda.mohealth.gov.eg:80/download/docs/Egyptian_Essential_Medicin_List_2012-2013.pdf
[5] Health Research Web. Egypt Pharmaceutical Country Profile. Cairo: Ministry of Health Egypt in collaboration with the World Health Organization (WHO), 2011. Available from: https://healthresearchwebafrica.org.za/?action=download&amp;file=EgyptPharmaceuticalCountryProfile.pdf
[6] Interview #1
[7] Interview #2</t>
  </si>
  <si>
    <t>[1] Thekkur P, Fernando M, Nair D, Kumar AMV, Satyanarayana S, Chandraratne N, Chandrasiri A, Attygalle DE, Higashi H, Bandara J, Berger SD, Harries AD. Primary Health Care System Strengthening Project in Sri Lanka: Status and Challenges with Human Resources, Information Systems, Drugs and Laboratory Services. Healthcare (Basel). 2022 Nov 10;10[11]:2251. 
[2] National List of Essential Medicines, Sri Lanka.2009. Expert Committee on the selection and use of Essential Medicines. Ministry of Health Care and Nutrition. [Accessed March 15th 2024]. Available from: https://nmra.gov.lk/images/PDF/publication/publication_001.pdf].</t>
  </si>
  <si>
    <t>[1] Adbul-Aziz AA, Desikan P, Prabhakaran D and Schroeder LF. Tackling the Burden of Cardiovascular Diseases in India. Circulation: Cardiovascular Quality and Outcomes 2019 Vol. 12 Issue 4 Pages e005195 [Accessed March 4th 2024]. Available from: https://www.ahajournals.org/doi/10.1161/CIRCOUTCOMES.118.005195 
[2] National List of Essential Medicines (NLEM), 2022. Ministry of Health and Family Welfare. [Accessed March 4th 2024]. Available from: https://main.mohfw.gov.in/?q=newshighlights-104
[3] Pradhan Mantri Bhartiya Janaushadi Pariyojana. National Portal of India. 2016. [Accessed March 4th 2024]. Available from: https://www.india.gov.in/spotlight/pradhan-mantri-bhartiya-janaushadhi-pariyojana#:~:text=The%20Jan%20Aushadhi%20initiative%20will%20make%20available%20quality,awareness%20about%20cost%20effective%20drugs%20and%20their%20prescription.</t>
  </si>
  <si>
    <t>[1] DGDA. National Drug Policy-2016 including Essential Drug List and OTC List. Dhaka: Directorate General of Drug Administration; 2016. Available from: http://dgdagov.info/index.php/laws-and-policies/1117-national-drug-policy-2016-including-essential-drug-list-and-otc-list/file
[2] Kasonde L, Tordrup D, Naheed A, et al. Evaluating medicine prices, availability and affordability in Bangladesh using World Health Organisation and Health Action International methodology. BMC Health Serv Res. 2019 Jun 13;19[1]:383. 
[3] Mostari, S., &amp; Mohona, N. P. Can Bangladesh achieve universal health coverage?. Bangladesh: a2i; 2023. Available from: https://a2i.gov.bd/can-bangladesh-achieve-universal-health-coverage/</t>
  </si>
  <si>
    <t>[1] Medlife Pharmacy. Amlodar 5 mg 30's (amlodipine 5 mg)- prescription required. Dubai: Medi Life Online Pharmacy Dubai. [Accessed 4th March 2024]. Available from: https://medilifepharmacy.com/product/amlodar-5-mg-30s-amlodipine-5-mg-prescription-required
[2] NahdiOnline. Concor 5 mg 30 Tabs. UAE: Nahdi Medical Company. [Accessed 4th March 2024]. Available from: https://www.nahdionline.com/uae_en/concor-5-mg-30-tabs.
[3] NahdiOnline. Renitec 5 mg Tablet 28pcs. UAE: Nahdi Medical Company. [Accessed 4th March 2024]. Available from: https://www.nahdionline.com/uae_en/renitec-5-mg-tablet-28pcs.
[4] NextDoorMed. Co Diovan 80/12.5 Tab 28S. Dubai: NextDoorMed.com. [Accessed 4th March 2024]. Available from: https://nextdoormed.com/prescriptions/cardiovascular/co-diovan-80-12-5-tab-28s/.
[5] NahdiOnline. Zocor 10 mg Tablet 30pcs. UAE: Nahdi Medical Company. [Accessed 4th March 2024]. Available from: https://www.nahdionline.com/uae_en/zocor-10-mg-tablet-30pcs. 
[6] Health First Pharmacy. Lipitor 10 mg tablet 30 s. UAE: Planet Pharmacies. [Accessed 4th March 2024]. Available from: https://www.healthfirst.ae/lipitor-10-mg-tablet-30-s.html.
[7] Interview #1
[8] Gulf News. 6,176 generic medicines available in the UAE. Abu Dhabi: Gulf News. [11 January 2021; Accessed 4th March 2024]. Available from: https://gulfnews.com/uae/6176-generic-medicines-available-in-the-uae-1.76408043.
[9] The United Arab Emirates' Government portal. Getting a health insurance: Health insurance for resident expatriates. UAE: Telecommunications and Digital Government Regulatory Authority. [Accessed 4th March 2024]. Available from: https://u.ae/en/information-and-services/health-and-fitness/getting-a-health-insurance.
[10] Attaei M W, Khatib R, McKee M, et al. Availability and affordability of blood pressure-lowering medicines and the effect on blood pressure control in high-income, middle-income, and low-income countries: an analysis of the PURE study data. The Lancet Public Health. 2017;2[9]E411-E419.</t>
  </si>
  <si>
    <t>[1] Finlex Data Bank. Medicines Act 395/1987. Helsinki: Ministry of Justice. [entered into force 1 January 1988; last updated 1 January 2024; Accessed 7th March 2024]. Available from: https://www.finlex.fi/fi/laki/ajantasa/1987/19870395#L9P83
[2] Fimea. Drug List. Helsinki: Fimea. [Accessed 7th March 2024]. Available from: https://fimea.fi/valvonta/luokittelu/laakeluettelo
[3] Finlex Data Bank. Decision of the Finnish Medicines Agency on the drug list 183/2022. Helsinki: Ministry of Justice. [entered into force 1 April 2022; Accessed 7 March 2024]. Available from: https://www.finlex.fi/fi/laki/alkup/2022/20220183
[4] WHO. WHO Model List of Essential Medicines – 23rd List (2023). In: The selection and use of essential medicines 2023: Executive summary of the report of the 24th WHO Expert Committee on the Selection and Use of
Essential Medicines. Geneva: WHO. [24-28 April 2023; Accessed 7th March 2024]. Available from: https://iris.who.int/bitstream/handle/10665/371090/WHO-MHP-HPS-EML-2023.02-eng.pdf?sequence=1
[5] YLE. The problems with the availability of medicines have continued to increase - according to Fimea, however, there are enough replacement options for consumers. Helsinki: YLE. [21 October 2023, Accessed 7th March 2024] Available from: https://yle.fi/a/74-20056172
[6] Iltalehti. Pharmacies in trouble: Sellers "don't wait" for cardiovascular drugs. Helsinki: Iltalehti. [18 November 2014; Accessed 7th March 2024]. Available from: https://www.iltalehti.fi/uutiset/a/2014111818846849
[7] Aamulehti. Medicines in pharmacies are constantly out of stock: Problems, especially in obtaining contraceptive pills and blood pressure medicines - difficult to remedy the situation in Finland. Tampere: Aamulehti. [18 July 2019; Accessed 7th March 2024]. Available from: https://www.aamulehti.fi/uutiset/art-2000007429454.html
[8] Kela. Medical reimbursements. Helsinki: Kela. [Accessed 7th March 2024]. Available from: https://www.kela.fi/laakkeet
[9] Kela. Amount of medical reimbursements. Helsinki: Kela. [Accessed 7th March 2024]. Available from: https://www.kela.fi/laakkeet-maara
[10] Finnish Heart Association. Medicines for cardiovascular diseases. Helsinki: Finnish Heart Association. [1 July 2022; Accessed 7th March 2024]. Available from: https://sydan.fi/fakta/sydan-ja-verisuonisairauksien-laakkeet
[11] Kela. Annual deductible, i.e. medicine cost cap. Helsinki: Kela. [Accessed 7th March 2024]. Available from: https://www.kela.fi/laakkeet-laakekatto</t>
  </si>
  <si>
    <t>[1] Ministry of Health list of Antihypertensive drugs used in medical examination and treatment are covered by health insurance. Available from https://thuvienphapluat.vn/hoi-dap-phap-luat/4CB93-hd-danh-muc-thuoc-dieu-tri-tang-huyet-ap-thuoc-pham-vi-bao-hiem-y-te-chi-tra.html
[2] Ministry of Health list of Lipid-lowering drugs used in medical examination and treatment are covered by health insurance. Available from: https://thuvienphapluat.vn/hoi-dap-phap-luat/4CC7A-hd-danh-muc-thuoc-ha-lipid-mau-thuoc-pham-vi-bao-hiem-y-te-chi-tra.html
[3] The National Strategy on preventing and control cardiovascular diseases, diabetes. Available from: https://vncdc.gov.vn/files/document/2016/4/chien-luoc-quoc-gia-phong-chong-benh-khong-lay-nhiem.pdf</t>
  </si>
  <si>
    <t>[1] Drug Office, Department of Health, HKSAR Government. Search drug database. Hong Kong: Department of Health; 2023. [Accessed March 12th 2024]. Available from:
https://www.drugoffice.gov.hk/eps/do/en/pharmaceutical_trade/search_drug_database.html
[2] Hospital Authority. HA Drug Formulary Management. Hong Kong: Hospital Authority; 2015. [Accessed March 12th 2024]. Available from:
https://www.ha.org.hk/hadf/en-us/Drug-Formulary-Management.html
[3] Hospital Authority. Hospital Authority Drug Formulary Cardiovascular System. Hong Kong: Hospital Authority: 2019. [Accessed March 12th 2024]. Available from: 
https://www.ha.org.hk/hadf/Portals/0/Docs/HADF_List/External%20list%2020190413/2%20%20%20CARDIOVASCULAR%20SYSTEM.pdf</t>
  </si>
  <si>
    <t>[1] T.R. Ministry of Health. Turkish Medicines and Medical Devices Agency (T.C. Sağlık Bakanlığı. Türkiye İlaç ve Tıbbi Cihaz Kurumu). Ruhsatlı Ürünler Listesi (List of Licensed Products). Ankara. T.C. Sağlık Bakanlığı. 2024. Available from: https://www.titck.gov.tr/dinamikmodul/85
[2] World Health Organization (WHO) Regional Office for Europe and European Observatory on Health Systems and Policies. Health Systems in Action: Türkiye. Geneva. WHO. 2022. Available from: https://iris.who.int/bitstream/handle/10665/362347/9789289059213-eng.pdf?sequence=1
[3] Association of Social Security Experts ( Sosyal Güvenlik Uzmanları Derneği). Katılım Payı (Participation Fee). Ankara. Sosyal Güvenlik Uzmanları Derneği. 2024. Available from: https://www.sguder.org.tr/Sayfa/katilim-payi/105#:~:text=%C4%B0la%C3%A7%20kat%C4%B1l%C4%B1m%20pay%C4%B1%20nedir%3F,si%20oran%C4%B1nda%20kat%C4%B1l%C4%B1m%20pay%C4%B1%20al%C4%B1nmaktad%C4%B1r.</t>
  </si>
  <si>
    <t>[1] National Department of Health. Standard Treatment Guideline and Essential Medicine List (Primary Healthcare Level). Pretoria: National Department of Health, 2020. Available from: https://knowledgehub.health.gov.za/system/files/elibdownloads/2022-04/Primary%20Healthcare%20STGs%20and%20EML%207th%20edition%20-%202020-v3.0.pdf
[2] National Department of Health. Standard Treatment Guideline and Essential Medicine List (Adult Hospital Level). Pretoria: National Department of Health, 2019. Available from: https://knowledgehub.health.gov.za/system/files/elibdownloads/2023-04/Hospital%2520Level%2520%2528Adult%2529%25202019_v2.0.pdf
[3] National Department of Health. Standard Treatment Guideline and Essential Medicine List (Paediatric Hospital Level). Pretoria: National Department of Health, 2023. Available from: https://knowledgehub.health.gov.za/system/files/elibdownloads/2023-08/Paediatric%20STGs%20and%20EML%202023%20Edition_Final%20July%202023_0.pdf
[4] Gray A, Riddin J, Jugathpal J. Health Care and Pharmacy Practice in South Africa. Can J Hosp Pharm. 2016;69[1]:36-41. Available from: https://www.cjhp-online.ca/index.php/cjhp/article/view/1521.
[5] Department of Health. Central Chronic Medicine Dispensing and Distribution (CCMDD) programme. Pretoria: Department of Health. [Accessed 2 March 2024]. Available from: https://www.health.gov.za/ccmdd-documents-resources/.
[6] City of Johannesburg. City of Johannesburg Integrated Annual Report 2022/23. Johannesburg: City of Johannesburg, 2023. Available from: https://joburg.org.za/work_/Documents/AFS-Supporting-Documentation/City%20of%20Johannesburg%20Integrated%20Annual%20Report_2022.23.pdf
[7] Statistics South Africa. 2022 General Household Survey. Pretoria: Statistics South Africa, 2023. Available from: https://www.statssa.gov.za/publications/P0318/P03182022.pdf</t>
  </si>
  <si>
    <t>[1] Drug Regulatory Authority of Pakistan. National Essential Medicine Lists. Islamabad: 
Drug Regulatory Authority of Pakistan. [Accessed 22nd March 2024]. Available from: https://www.dra.gov.pk/publications/national-essential-medicine-lists/
[2] Chaudry A. Consistent shortage opens floodgates of smuggled medicines. Karachi: Daily Dawn, January 27, 2024. Available from: https://www.dawn.com/news/1808964
[3] Zaidi S. Health-the private sector and universal healthcare. Karachi: Daily Dawn, January 9, 2022. Available from: https://www.dawn.com/news/1668378
[4] Daily Dawn. Government approves increase in prices of 146 essential lifesaving medicines. Karachi: Daily Dawn, February 1, 2024. Available from: https://www.dawn.com/news/1810395
[5] Saeed A, Saeed F, Saeed H. Access to Essential Cardiovascular Medicines in Pakistan: A National Survey on the Availability, Price, and Affordability, Using WHO/HAI Methodology. Frontiers in Pharmacology. 2020:11.</t>
  </si>
  <si>
    <t>[1] Khanal S, Veerman L, Ewen M, Nissen L, Hollingworth S. Availability, Price, and Affordability of Essential Medicines to Manage Noncommunicable Diseases: A National Survey From Nepal. Inquiry. 2019 Jan-Dec;56:46958019887572. doi: 10.1177/0046958019887572. PMID: 31823665; PMCID: PMC6906349.
Available from: https://www.ncbi.nlm.nih.gov/pmc/articles/PMC6906349/</t>
  </si>
  <si>
    <t>[1] Adbul-Aziz AA, Desikan P, Prabhakaran D and Schroeder LF. Tackling the Burden of Cardiovascular Diseases in India. Circulation: Cardiovascular Quality and Outcomes 2019 Vol. 12 Issue 4 Pages e005195 [Accessed March 4th 2024]. Available from: https://www.ahajournals.org/doi/10.1161/CIRCOUTCOMES.118.005195
[2] National List of Essential Medicines (NLEM), 2022.Minsitry of Health and Family Welfare. [Accessed March 4th 2024]. Available from: https://main.mohfw.gov.in/?q=newshighlights-104
[3] Pradhan Mantri Bhartiya Janaushadi Pariyojana. National Portal of India. 2016. [Accessed March 4th 2024]. Available from: https://www.india.gov.in/spotlight/pradhan-mantri-bhartiya-janaushadhi-pariyojana#:~:text=The%20Jan%20Aushadhi%20initiative%20will%20make%20available%20quality,awareness%20about%20cost%20effective%20drugs%20and%20their%20prescription.</t>
  </si>
  <si>
    <t>[1] Royal Pharmacy. Kuwait: Royal Pharmacy. [Accessed 8th March 2024]. Available from: https://royalph.com/en/
[2] Kuwait Pharmacy. Kuwait: Kuwait Pharmacy. [Accessed 8th March 2024]. Available from: https://kuwaitpharmacy.com
[3] Ministry of Health of Kuwait. Kuwait: Ministry of Health of Kuwait. [Accessed 19th March 2024]. Available from: https://www.moh.gov.kw</t>
  </si>
  <si>
    <t>[1] Okeoghene O, &amp; Alfred A. The efficacy and safety of Simvastatin in the treatment of lipid abnormalities in diabetes mellitus. Chandigarh. Indian Journal of Endocrinology and Metabolism. 2013; 17[1]: 105–109. [Accessed 8th March 2024]. Available from: https://www.ncbi.nlm.nih.gov/pmc/articles/PMC3659875/
[2] Akunne O, Godman B, Adedapo A et al. Statin prescribing among hypertensive patients in southwest Nigeria: findings and implications for the future. Journal of Comparative Effectiveness Research. 2016; 5 : 281-288. [Accessed 8th March 2024]. Available from: https://www.researchgate.net/figure/Total-monthly-cost-per-patient-and-per-mg-for-originator-and-generic-statins-in-Naira_tbl2_301549884
[3] Orubu E, Robert FO, Samuel M et al. Access to essential cardiovascular medicines for children: a pilot study of availability, price and affordability in Nigeria. Oxford. Health Policy and Planning. 2019; 24: 20-26. [Accessed 8th March 2024]. Available from: https://www.ncbi.nlm.nih.gov/pmc/articles/PMC6901068/pdf/czz057.pdf
[4] Hollingworth S, Ankrah D, Uzochukwu B et al. Antihypertensive medicine use differs between Ghana and Nigeria. New York. 2022; BMC Cardiovascular Disorders 22, 368. [Accessed 8th March 2024]. Available from: https://bmccardiovascdisord.biomedcentral.com/articles/10.1186/s12872-022-02799-z#citeas
[5] Page 6, Lagos State Health Management Agency (LASHMA). Ilera-Eko Diaspora Plan. lagos. Lagos State Health Management Agency. [Accessed 8th March 2024]. Available from: https://ileraeko.com/wp-content/uploads/2022/04/Finalised-ILERA-EKO-DIASPORA-PLAN-PRODUCT-PAPER-1.pdf
[6] Premium Times. Lagos launches health insurance, endowment fund for vulnerable residents. Lagos. Premium Times. [Accessed 8th March 2024]. Available from: https://www.premiumtimesng.com/news/top-news/571901-lagos-launches-health-insurance-endowment-fund-for-vulnerable-residents.html
[7] Vanguard. Lagos enrols 923,000 in Ilers-Eko health insurance scheme — Zamba. Lagos. Vanguard. [Accessed 8th March 2024]. Available from: https://www.vanguardngr.com/2023/12/lagos-enrols-923000-in-ilers-eko-health-insurance-scheme-zamba/
[8] Page 10, National Bureau of Statistics. Demographic Statistics Bulletin. Abujah. National Bureau of Statistics. [Accessed 8th March 2024]. Available from: https://nigerianstat.gov.ng/download/1241121</t>
  </si>
  <si>
    <t>[1] NHS. Medicines A to Z. England: NHS. Available from: https://www.nhs.uk/medicines/
[2] NHS. Dm+d browser. Product search results. England: NHS. Available from: https://dmd-browser.nhsbsa.nhs.uk/search
[3] NHS. How and when to take lercanidipine. England: NHS; 2022 Available from: https://www.nhs.uk/medicines/lercanidipine/how-and-when-to-take-lercanidipine/
[4] NICE. British National Formulary. London: NICE; 2024 Available from: https://bnf.nice.org.uk/drugs/#l
[5] Department of Health and Social Care. NHS prescription charges from 1 May 2024. England: Department of Health and Social Care; 2024 [Accessed 26 June 2024] Available from: https://www.gov.uk/government/news/nhs-prescription-charges-from-1-may-2024#:~:text=A%20prescription%20will%20cost%20%C2%A3,an%20increase%20of%2050%20pence.</t>
  </si>
  <si>
    <t>[1] Community of Madrid (Comunidad de Madrid). ¿Cuánto tengo que pagar por mis medicamentos? (How much do I have to pay for my medications)? 2024. Available from: https://www.comunidad.madrid/servicios/salud/cuanto-tengo-pagar-mis-medicamentos
[2] World Health Organisation (WHO). European Observatory on Health Systems and Policies. Spain: Country Health Profile 2023. 15 December 2023. Available from: https://eurohealthobservatory.who.int/publications/m/spain-country-health-profile-2023
[3] Ministry of Health (Ministerio de Sanidad). Spanish Agency of Medicines and Medical Devices (Agencia Española de Medicamentos y Productos Sanitarios). Online Drug Information Centre (Centro de Información online de Medicamentos). Website. 2024. Available from: ttps://cima.aemps.es/cima/publico/home.html</t>
  </si>
  <si>
    <t>[1] Department of Health. Philippine National Formulary Essential Medicines List. Manila: Department of Health - Republic of Philippines. 2022. [Accessed 29th February 2024]. Available from: https://www.philhealth.gov.ph/partners/providers/pdf/PNF-EML_11022022.pdf
[2] Commission on Audit, COA: PhilHealth's All Case Rate Payment Scheme sped up reimbursement process but lacked control mechanisms to detect and prevent improper payments, 2021. [Accessed 29th February 2024]. Available from: https://www.coa.gov.ph/coa-philhealths-all-case-rate-payment-scheme-sped-up-reimbursement-process-but-lacked-control-mechanisms-to-detect-and-prevent-improper-payments/</t>
  </si>
  <si>
    <t>[1] Australian Government Department of Health and Aged Care. Pharmaceutical Benefits Scheme frequently asked questions. Australian Government Department of Health and Aged Care; 2024. Available from: https://www.pbs.gov.au/info/general/faq#CanIcollectPBSmedicinefromapharmacyforsomeoneelse 
[2] Australian Government Department of Health and Aged Care. Pharmaceutical Benefits Scheme A-Z medicine listing - viewing by drug. Australian Government Department of Health and Aged Care. Available from: https://www.pbs.gov.au/browse/medicine-listing</t>
  </si>
  <si>
    <t>[1] Secretaría de Salud. Listado actualizado de medicamentos de referencia [Updated list of reference medications]. Ciudad de México: Government of Mexico; 2023. [Accessed March 18th 2024]. Available from: https://www.gob.mx/cms/uploads/attachment/file/869172/LMR_2023-02_actualizaci_n_18_octubre_2023.pdf
[2] World Health Organization. EMLs Around The World [Internet]. Geneva: WHO; 2023 [Accessed March 18th 2024]. Available from: https://global.essentialmeds.org/dashboard/countries
[3] Lotfizadeh, A., Palafox, B., Takallou, A., Balabanova, D., McKee, M., &amp; Murphy, A. (2022). Factors associated with the availability and affordability of essential cardiovascular disease medicines in low- and middle-income countries: A systematic review. PLOS global public health, 2 , e0000072.</t>
  </si>
  <si>
    <t>[1] City Clinical Hospital no. 11, Ministry of Health of the Ryazan Region. Who receives free medical prescriptions? Ryazan: City Clinical Hospital no. 11. [Accessed 12th March 2024]. Available from: https://gkb11.medgis.ru/materials/view/komu-vypisyvayut-besplatnye-lekarstva-8088#:~:text=Лекарство%20можно%20получить%20бесплатно%20на,1094н%2C%20утвердивший%20форму%20рецептурного%20бланка.
[2] City Polyclinic no. 17, Tyumen. List of medications. Tyumen: City Polyclinic no. 17. [Accessed 12th March 2024]. Available from: https://gp17tmn.ru/to-patients/chasto-zadavaemye-voprosy/lekarstvennoe-obespechenie/perechen-lekarstvennykh-preparatov/
[3] ASNA online Moscow pharmacy. Moscow: ASNA. [Accessed 12th March 2024]. Available from: https://www.asna.ru</t>
  </si>
  <si>
    <t>[1] Adbul-Aziz AA, Desikan P, Prabhakaran D and Schroeder LF. Tackling the Burden of Cardiovascular Diseases in India. Circulation: Cardiovascular Quality and Outcomes 2019 Vol. 12 Issue 4 Pages e005195 [Accessed March 4th 2024]. Available from: https://www.ahajournals.org/doi/10.1161/CIRCOUTCOMES.118.005195 
[2] Ministry of Health and Family Welfare Government of India. National List of Essential Medicines (NLEM). New Delhi. Ministry of Health and Family Welfare Government of India Available. 2022. Available from: https://main.mohfw.gov.in/?q=newshighlights-104
[3] Pradhan Mantri Bhartiya Janaushadi Pariyojana. National Portal of India. 2016. [Accessed April 7th 2024]. Available from: https://www.india.gov.in/spotlight/pradhan-mantri-bhartiya-janaushadhi-pariyojana#:~:text=The%20Jan%20Aushadhi%20initiative%20will%20make%20available%20quality,awareness%20about%20cost%20effective%20drugs%20and%20their%20prescription.</t>
  </si>
  <si>
    <t>[1] Oyando R, Njoroge M, Nguhiu P, Kirui F, Mbui J, Sigilai A, Bukania Z, Obala A, Munge K, Etyang A, Barasa E. Patient costs of hypertension care in public health care facilities in Kenya. Int J Health Plann Manage. 2019 Apr;34. Available from: https://www.ncbi.nlm.nih.gov/pmc/articles/PMC6618067/.
[2] PharmacyDirect Kenya. Amlodipine 5mg pack of 28. 2024. Available from: https://pharmacydirectkenya.com/a-z-prescription-index/a-z-prescription-products/amlodipine-5mg-pack-of-28/
[3] PharmacyDirect Kenya. Bisoprolol 5mg pack of 28. 2024. Available from: https://pharmacydirectkenya.com/a-z-prescription-index/a-z-prescription-products/bisoprolol-5mg-pack-of-28/.
[4] PharmacyDirect Kenya. Lisinopril 5mg pack of 28. 2024. Available from: https://pharmacydirectkenya.com/a-z-prescription-index/a-z-prescription-products/lisinopril-5mg-tablets-28s/.
[5] Ministry of Health. Kenya Essential Medicines List 2023. Nairobi: Ministry of Health, 2023. Available from: http://guidelines.health.go.ke:8000/media/Kenya_Essential_Medicines_List_2023_qbkhTlV.pdf
[6] National Health Insurance Fund. National Health Scheme (NHS). Nairobi: National Health Insurance Fund, 2024. Available from: https://www.nhif.or.ke/schemes/.
[7] Africa Health Business. Kenya's Health Sector. Africa Health Business, 2021. Available from: https://www.ahb.co.ke/wp-content/uploads/2021/07/Country-Overview_Kenya.pdf.</t>
  </si>
  <si>
    <t>[1] HealthCare Gov. Medicaid &amp; CHIP coverage. United States.HealthCare Gov.2024. Available from: https://www.healthcare.gov/medicaid-chip/#:~:text=Medicaid%20and%20the%20Children's%20Health,people%20below%20certain%20income%20levels. 
[2] New York State Department of Health. Welcome to NYRx, the Medicaid Pharmacy Program.Albany. NYS Department of Health.2024. Available from: https://www.health.ny.gov/health_care/medicaid/program/pharmacy.htm#:~:text=The%20New%20York%20State%20Medicaid 
[3] New York State Department of Health.LIST OF MEDICAID REIMBURSABLE DRUGS.Albany. NYS Department of Health.2023. Available from: https://www.emedny.org/info/fullform.pdf
[4] The Legal Aid Society. What do you need to know about NYRx (Medicaid Pharmacy Program). New York. The Legal Aid Society. 2024. Available from: https://legalaidnyc.org/get-help/health-disability-hiv-aids/what-you-need-to-know-about-nyrx-medicaid-pharmacy-program/</t>
  </si>
  <si>
    <t>[1] Nikkei Medical. Prescription Drug Dictionary: List of amlodipine medicine. Tokyo: Nikkei Business Publishing; 2024. Available from: https://medical.nikkeibp.co.jp/inc/all/drugdic/search?words=%E3%82%A2%E3%83%A0%E3%83%AD%E3%82%B8%E3%83%94%E3%83%B3
[2] Nikkei Medical. Prescription Drug Dictionary: List of simvastatin Tokyo: Nikkei Business Publishing; 2024. Available from: https://medical.nikkeibp.co.jp/inc/all/drugdic/search?words=%E3%82%B7%E3%83%B3%E3%83%90%E3%82%B9%E3%82%BF%E3%83%81%E3%83%B3
[3] Kanriyakuzaishi.com. List of combination drugs. Tokyo: Kanriyakuzaishi.com (website for supervising pharmacists). Available from: https://kanri.nkdesk.com/drags/gouzai.php</t>
  </si>
  <si>
    <t>[1] Isabelle Durand-Zaleski, AP-HP and Université Paris-Est. International Health Care System Profiles: France. The Commonwealth Fund, New York, 5 June 2020. Available from: https://www.commonwealthfund.org/international-health-policy-center/countries/france
[2] L'Assurance Maladie (Ameli). Tableaux récapitulatifs des taux de remboursement (Summary tables of reimbursement rates). Paris, 6 February 2024. Available from: https://www.ameli.fr/assure/remboursements/rembourse/tableau-recapitulatif-taux-remboursement
[3] L'Assurance Maladie (Ameli) . Le codage des médicaments (Coding of medicines). Paris, 11 January 2024. Available from: https://www.ameli.fr/medecin/exercice-liberal/facturation-remuneration/consultations-actes/nomenclatures-codage/medicaments#text_11322
[4] L'Assurance Maladie (Ameli) . Base des Médicaments et Informations Tarifaires (BdM IT) (Database of Medicines and Pricing Information (BdM IT)). Paris, 11 January 2024. Available from: http://www.codage.ext.cnamts.fr/codif/bdm_it/index_presentation.php?p_site=AMELI
Other sources:
National Agency for the Safety of Medicines and Health Products (ANSM) (Agence nationale de sécurité du médicament et des produits de santé (ANSM). Répertoire des médicaments (Directory of medicines). Paris, 25 May 2021. Available from: https://ansm.sante.fr/documents/reference/repertoire-des-medicaments</t>
  </si>
  <si>
    <t>[1] Department of Drugs and Food (DDF). Essential Medicine List: 10th Edition, 2024. Phnom Penh: DDF; 2024. [Accessed 7th March 2024]. Available from: https://www.ddfcambodia.com/images/stories/EDB/EML_10th%202024.pdf.
[2] WHO. Cambodia Hypertension Fact Sheet. Geneva: World Health Organization. [Accessed 23rd March 2024]. Available from: https://cdn.who.int/media/docs/default-source/country-profiles/hypertension/khm_en.pdf?sfvrsn=1a9a25af_9&amp;download=true.
[3] Department of Preventive Disease. National Standard Operating Procedure for Diabetes and Hypertension Management in Primary Care 2019. Phnom Penh: Department of Preventive Disease,2019 [Accessed 23rd March 2024]. Available from: https://niph.org.kh/niph/uploads/library/pdf/GL240_PEN-SOP_DM_and_HBP_1_APR_2019-EN.pdf.
[4] Sengxeu N, Aon C, Dufat H, et al. Availability, affordability, and quality of essential anti-seizure medication in Cambodia. Epilepsia Open. 2021;6:548–558. https://doi.org/10.1002/epi4.12514.
[5] Ministry of Health. Health Strategic Plan 2016 - 2020. Phnom Penh: Ministry of Health. [Accessed 3rd April 2024]. Available from: http://hismohcambodia.org/public/fileupload/carousel/HSP3-(2016-2020).pdf.
[6] United Nations Global Marketplace. Health Strategies and Plans in Cambodia. New York: United Nations Global Marketplace, 23 June 2021 [Accessed 3rd April 2024]. Available from: https://www.ungm.org/Public/Notice/133351#:~:text=The%20Health%20Strategic%20Plan%202021,for%20all%20at%20all%20ages.</t>
  </si>
  <si>
    <t>[1] Nahdi Online Pharmacy: Riyadh; 2024. Available from: https://www.nahdionline.com/en/
[2] Lemon Pharmac: Riyadh; 2024. Available from: https://www.lemon.sa/en/
[3] Mirza A H, Alqasomi A, El-Dahiyat F, Babar Z. Access to Medicines and Pharmaceutical Policy in Saudi Arabia: A Scoping Review. Integr Pharm Res Pract. 2023; 12: 137–155. 
[4] Alhabib K F, Batais M A, Almigbal T H et al. Demographic, behavioral, and cardiovascular disease risk factors in the Saudi population: results from the Prospective Urban Rural Epidemiology study (PURE-Saudi). BMC Public Health. 2020; 20. 
[5] World Bank Group. Strengthening the Pharmaceutical System in the Kingdom of Saudi Arabia: Towards a Medicine Policy to Support Vision 2030. Washington (DC): World Bank Group; 2022. Available from: https://openknowledge.worldbank.org/server/api/core/bitstreams/0d9e9ffa-1e49-51df-b0c7-84d22858b410/content</t>
  </si>
  <si>
    <t>[1] Italian Medicines Agency (AIFA). Lists of Class A and Class H medicinal products. Rome, 15 September 2023. Available from: https://www.aifa.gov.it/en/liste-farmaci-a-h
[2] Donatini, A. International Health Care System Profiles Italy. The Commonwealth Fund, New York, 5 June 2020. Available from: https://www.commonwealthfund.org/international-health-policy-center/countries/italy</t>
  </si>
  <si>
    <t>[1] California Department of Health Care Services. Medi-Cal Rx Contract Drugs List [Internet]. California Department of Health Care Services; 2024 [Accessed March 20th 2024]. Available from: https://medi-calrx.dhcs.ca.gov/cms/medicalrx/static-assets/documents/provider/forms-and-information/cdl/Medi-Cal_Rx_Contract_Drugs_List_FINAL.pdf
[2] World Health Organization. EMLs Around The World [Internet]. Geneva: World Health Organization; 2023 [Accessed March 18th 2024]. Available from: https://global.essentialmeds.org/dashboard/countries</t>
  </si>
  <si>
    <t>[1] Divisão de Informação de Gestão de Pessoas. Divisão de Desenvolvimento e Informações Estratégicas em Gestão de Pessoas. São Paulo; 2023. Available from: https://www.prefeitura.sp.gov.br/cidade/secretarias/saude/cogep/divisao_de_informacao_de_gestao_de_pessoas/index.php?p=311226
[2] IBGE. São Paulo - População Brazil: Instituto Brasileiro de Geografia e Estatística; 2022. Available from: https://cidades.ibge.gov.br/brasil/sp/sao-paulo/panorama</t>
  </si>
  <si>
    <t>[1] Korea Pharmaceutical Information Center. Pharmaceuticals Search Database. Available from: https://www.health.kr/searchDrug/search_detail.asp. 
[2] National Health Insurance Service; 2020. Seoul: Available from: https://www.nhis.or.kr/static/alim/paper/oldpaper/202011/sub/s04_01.html#.</t>
  </si>
  <si>
    <t>[1] Central People's Government of the People's Republic of China. National Basic Health Insurance, Work Injury Insurance, and Maternity Insurance Drug Catalogue (2022) - Western medicine [国家基本医疗保险、工伤保险和生育保险药品目录（2022年）- 西药部分]. Beijing: National Medical Insurance Administration and Ministry of Human Resources and Social Security, 2023. Available from: https://www.gov.cn/zhengce/zhengceku/2023-01/18/5737840/files/8fbe08148d5243c787c69dd3f9978b02.pdf
[2] Central People's Government of the People's Republic of China. The Notice by the Nation Healthcare Security Administration and the Ministry of Human Resources and Social Security on the Issuance of "National Basic Health Insurance, Work Injury Insurance, and Maternity Insurance Drug Catalogue (2022)" [国家医保局 人力资源社会保障部关于印发
《国家基本医疗保险、工伤保险和生育保险药品目录（2022年）》的通知]. Beijing: Nation Healthcare Security Administration, Ministry of Human Resources and Social Security, 2023. Available from: https://www.gov.cn/zhengce/zhengceku/2023-01/18/content_5737840.htm
[3] Shanghai Healthcare Security Administration. Shanghai Basic Health Insurance, Work Injury Insurance, and Maternity Insurance Drug Catalogue (2022) - Western medicine [上海市基本医疗保险、工伤保险和生育保险药品目录（2022年）- 西药部分]. Shanghai: Shanghai Healthcare Security Administration, 2023. Available from: https://ybj.sh.gov.cn/cmsres/a0/a09344b45d98498babc865391079eaa4/e2b4d9b04c52422d49b879b2ea74518f.pdf
[4] The Paper. What do "Category A" and "Category B" for health insurance reimbursement mean? Do you understand? How to check which designated hospitals have recently purchased the medicines you need? [医保报销的 "甲类"乙类" 是什么意思？你清楚吗？如何查询哪些定点医院近期采购了您所需药品？]. Shanghai: The Paper. [22 March 2021; Accessed 12th March 2024]. Available from: https://www.thepaper.cn/newsDetail_forward_11823611
[5] National Healthcare Security Administration via Central People's Government. Interim Measures for Basic Health Insurance Medication Management [基本医疗保险用药管理暂行办法]. Beijing: National Healthcare Security Administration, 2020. Available from: https://www.gov.cn/gongbao/content/2020/content_5547646.htm</t>
  </si>
  <si>
    <t>[1] Pearce F, Lin L, Teo E, Ng K, Khoo D. Health Technology Assessment and Its Use in Drug Policies: Singapore. Value in Health Regional Issues. 2019 May;18:176–83
[2] Ministry of Health Singapore. List of Subsidised Drugs. Ministry of Health Singapore.2024. Available from: https://www.moh.gov.sg/healthcare-schemes-subsidies/subsidised-drug-list</t>
  </si>
  <si>
    <t>[1] Nikkei Business Publications, Inc. Prescription Drug Dictionary: List of amlodipine medicine. Tokyo: Nikkei Medical. Available from: https://medical.nikkeibp.co.jp/inc/all/drugdic/search?words=%E3%82%A2%E3%83%A0%E3%83%AD%E3%82%B8%E3%83%94%E3%83%B3
[2] Nikkei Business Publications, Inc. Prescription Drug Dictionary: List of simvastatin. Tokyo: Nikkei Medical. Available from: https://medical.nikkeibp.co.jp/inc/all/drugdic/search?words=%E3%82%B7%E3%83%B3%E3%83%90%E3%82%B9%E3%82%BF%E3%83%81%E3%83%B3
[3] Kanriyakuzaishi.com. List of combination drugs. Tokyo: Kanriyakuzaishi.com (website for supervising pharmacists). Available from: https://kanri.nkdesk.com/drags/gouzai.php</t>
  </si>
  <si>
    <t>[1] Government of Canada. The Drug and Health Product Register, Prescription Drug List. Ottawa: Government of Canada; 2021. Available from: https://hpr-rps.hres.ca/pdl.php?lang=en#a1
[2] Government of Ontario. Check Medication Coverage. Ontario: Government of Ontario; 2023. Available from: 
https://www.ontario.ca/check-medication-coverage/
[3] Government of Canada. Prescription drug pricing and costs. Ottawa: Government of Canada; 2023. Available from: https://www.canada.ca/en/health-canada/services/health-care-system/pharmaceuticals/costs-prices.html
[4] Government of Canada. Prescription drug insurance coverage. Ottawa: Government of Canada; 2020. Available from: https://www.canada.ca/en/health-canada/services/health-care-system/pharmaceuticals/access-insurance-coverage-prescription-medicines.html</t>
  </si>
  <si>
    <t>[1] Central Association of Austrian Social Insurance Authorities. Code of Reimbursement. Vienna: Central Association of Austrian Social Insurance Authorities. [Accessed 19th March 2024]. Available from: https://www.sozialversicherung.at/cdscontent/?contentid=10007.844503&amp;portal=svportal
[2] Central Association of Austrian Social Insurance Authorities. Infotool of the Code of Reimbursement. Vienna: Central Association of Austrian Social Insurance Authorities. [Accessed 19th March 2024]. Available from: https://www.sozialversicherung.at/cdscontent/?contentid=10007.844493&amp;portal=svportal
[3] Federal Minister of Social Affairs, Health, Care and Consumer Protection (BMASGK). The Austrian Health Care System: Key Facts. Vienna: BMASGK; 2019. Available from: https://www.sozialministerium.at/dam/jcr:6102a229-7b92-44fd-af1f-3aa691900296/BMASGK_The-Austrian_Health-Care-System__KeyFacts__WEB.PDF</t>
  </si>
  <si>
    <t>[1] Central People's Government of the People's Republic of China. National Basic Medical Insurance, Work Injury Insurance and Maternity Insurance Drug Catalogue (2022) - Western medicine part [国家基本医疗保险、工伤保险和生育保险药品目录（2022年）- 西药部分]. Beijing: National Medical Insurance Administration and Ministry of Human Resources and Social Security, 2023. Available from: https://www.gov.cn/zhengce/zhengceku/2023-01/18/5737840/files/8fbe08148d5243c787c69dd3f9978b02.pdf.
[2] Pharmacy Network. Hubei Renrenhao Pharmacy Co., Ltd. [湖北人仁好大药房有限公司]. Pharmacy Network. [Accessed 6th March 2024]. Available from: https://www.yaofangwang.com/yaodian/425432/.
[3] Su M, Zhang Q, Bai X et al. Availability, cost, and prescription patterns of antihypertensive medications in primary health care in China: a nationwide cross-sectional survey. Lancet. 2017; 390(10112):2559-2568. Available from: https://pubmed.ncbi.nlm.nih.gov/29102087/.
[4] Dong Z, Zhang S, Wu S et al. Study on the accessibility and affordability of 50 drugs in Wuhan based on the WHO/HAI standardization method. Front Public Health. 2023;11:1108007. Available from: https://pubmed.ncbi.nlm.nih.gov/36778547/.
[5] Wuhan Caidian Goverment. Wuhan City's 2023 Urban and Rural Residents Medical Insurance Participation and Payment Service Guide [武汉市2023年度城乡居民医保参保缴费服务指南]. Wuhan: Wuhan Caidian Goverment. [27 September 2022, Accessed 6th March 2024]. Available from: https://www.caidian.gov.cn/zwgk/xxgkml/zdly/shbz/ylbz/202212/t20221201_2108190.shtml.</t>
  </si>
  <si>
    <t>[1] Ministry of Health and Sports. Myanmar National List of Essential Medicine. Naypyidaw: Ministry of Health and Sports. [March 2016, Accessed 27 March 2024]. Available from: https://www.mohs.gov.mm/ckfinder/connector?command=Proxy&amp;lang=en&amp;type=Main&amp;currentFolder=/Publications/Guideline/&amp;hash=a6a1c319429b7abc0a8e21dc137ab33930842cf5&amp;fileName=NLEM+Final+10-7-17_1.pdf
[2] Ministry of Health and Sports. National Medicines Policy. Naypyidaw: Ministry of Health and Sports. [June 2019, Accessed 27th March 2024]. available from: 
http://www.doms.gov.mm/wp-content/uploads/2019/12/National-Medicines-Policy.pdf
[3] Interview #1
[4] Interview #3
[5] Aye L, Tripathy J, Maung T et al. Experiences from the pilot implementation of the Package of Essential Non-communicable Disease Interventions (PEN) in Myanmar 2017-18: A mixed methods study. PLoS ONE. 2020;15[2]: e0229081.</t>
  </si>
  <si>
    <t>[1] Federal Ministry of Health (FMOH). Guidelines on Clinical and Programmatic Management of Major Non Communicable Diseases. Addis Ababa: FMOH; 2016. Available from: https://extranet.who.int/ncdccs/Data/ETH_D1_National%20NCD%20Guideline%20June%2010,%202016%20for%20print.pdf
[2] Federal Ministry of Health (FMOH). National Strategic Plan for the Prevention and Control of Major Non-Communicable Diseases: 2013-2017 EFY (2020/21-2024/25). Addis Ababa: FMOH; July 2020. Available from: https://www.iccp-portal.org/system/files/plans/ETH_B3_s21_National_Strategic_Plan_for_Prevention_and_Control_of_NCDs2021.pdf</t>
  </si>
  <si>
    <t>[1] Algérie Presse Service. Cardiovascular diseases, leading cause of death in Algeria. Algiers: Algérie Presse Service, 2021. Available from: https://www.aps.dz/sante-science-technologie/119636-les-maladies-cardiovasculaires-premiere-cause-de-mortalite-en-algerie
[2] Ministry of Health, Population, and Hospital Reform. Official Website. Algiers: Ministry of Health, Population, and Hospital Reform. [Archived 2022]. Available from: https://web.archive.org/web/20220812202112/https://sante.gov.dz/
[3] Facebook: DSP d'Alger. Algiers: DSP d'Alger. [Accessed 5th March 2024]. Available from: https://www.facebook.com/DSPAlger16</t>
  </si>
  <si>
    <t>[1] Atlanta Business Chronicle. Finding better ways to fight heart disease and accelerate cardiac care progress [Internet]. Wellstar Health System; 2023. [Accessed March 27th 2024=]. Available from: https://www.wellstar.org/articles/finding-better-ways-to-fight-heart-disease
[2] Piedmont Heart Institute. Cardiovascular Excellence [Internet]. Piedmont Heart Institute. 2024 [Accessed February 22nd 2024]. Available from: https://www.piedmont.org/heart/about-phi/about-the-piedmont-heart-institute 
[3] Emory University School of Medicine. About HSR Center | Emory School of Medicine [Internet]. Emory University School of Medicine. 2023 [Accessed February 22nd 2024]. Available from: https://med.emory.edu/departments/medicine/research/centers-institutes/health-services/about/index.html</t>
  </si>
  <si>
    <t>[1] Auckland PHO. Diabetes Self-Management Education
(DSME) and Support. Auckland PHO; 2023. [Accessed March 18th 2024]. Available from: https://www.aucklandpho.co.nz/dsme
[2] Health New Zealand. Cardiovascular disease (CVD) Risk Assessment Tool. New Zealand: 2023. [Accessed March 24th 2024] Available from https://www.tewhatuora.govt.nz/for-the-health-sector/health-sector-guidance/diseases-and-conditions/long-term-conditions/cardiovascular-disease-2/cvd-risk-assessment-tool/#:~:text=or%20practice%20nurse).-,How%20the%20Service%20works,Disease%20Risk%20Assessment%20Data%20Standard..</t>
  </si>
  <si>
    <t>[1] Twenty Year Strategic Plan for Public Health (2017-36), Ministry of Public Health. Bangkok; 2017. Available from: https://www.moph.go.th/index.php/sitemap
[2] Woodham NS, Taneepanichskul S, Somrongthong R, Kitsanapun A, Sompakdee B. Effectiveness of a Multidisciplinary Approach Intervention to Improve Blood Pressure Control Among Elderly Hypertensive Patients in Rural Thailand: A Quasi-Experimental Study. J Multidiscip Healthc. 2020 Jul 3;13:571-580. doi: 10.2147/JMDH.S254286. PMID: 32694916; PMCID: PMC7340360. Available from: https://www.ncbi.nlm.nih.gov/pmc/articles/PMC7340360/</t>
  </si>
  <si>
    <t>[1] National Health Care Guidelines (NVL). About the NVL programme. Berlin: NVL. [Accessed 16th March 2024]. Available from: https://www.leitlinien.de/hintergrund/ueber-das-nvl-programm. 
[2] National Health Care Guidelines (NVL). NVL Hypertonie (2023). Berlin: NVL; 2023. Available from: https://www.leitlinien.de/themen/hypertonie/version-1
[3] National Health Care Guidelines (NVL). NVL Typ-2-Diabetes (2023). Berlin: NVL; 2023. Available from: https://www.leitlinien.de/themen/diabetes/version-3
[4] National Health Care Guidelines (NVL). NVL Hypertonie (2023) [Long Version]. Berlin: NVL; 2023. Available from: https://www.leitlinien.de/themen/hypertonie/pdf/hypertonie-vers1-0-lang.pdf</t>
  </si>
  <si>
    <t>[1] Ministerio de Salud y Protección Social. Política De Atención
Integral En Salud. Bogotá. MINSALUD.2016. Available from: https://www.minsalud.gov.co/sites/rid/Lists/BibliotecaDigital/RIDE/DE/modelo-pais-2016.pdf</t>
  </si>
  <si>
    <t>[1] Hungarian Hypertonia Organisation. The Professional Guidelines of the Hungarian Hypertonia Organisation (A Magyar Hypertonia Társaság szakmai irányelve). Budapest: Hungarian Hypertonia Organisation; 2018 [Accessed 05 March 2024]. Available from: https://www.doki.net/tarsasag/hypertension/upload/hypertension/document/mht_szakmai_iranyelv_2018_20190312.pdf?web_id=
[2] Ministry of Human Capacities. Healthy Hungary 2021−2027 Health Sector Strategy. Budapest: Ministry of Human Capacities. [January 2021; Accessed 5th March 2024]. Available from: https://mok.hu/public/media/source/Transzparencia/Allasfoglalasok/Egészséges%20Magyarország%202021%E2%88%922027%20Egészségügyi%20Ágazati%20Stratégia.pdf
[3] Ministry of Human Capacities. The Health Professional Guideline of the Ministry of Human Capacities on the Diagnosis of Diabetes Mellitus, the Antihyperglycaemic Treatment and Care of Diabetic Patients in Adulthood (Az Emberi Erőforrások Minisztériuma egészségügyi szakmai irányelve a diabetes mellitus kórismézéséről, a cukorbetegek antihyperglykaemiás kezeléséről és gondozásáról felnőttkorban). Budapest: Ministry of Human Capacities. [16 July 2020; Accessed 5th March 2024]. Available from: https://www.hbcs.hu/uploads/jogszabaly/3172/fajlok/2020_EuK_12_szam_EMMI_iranyelv_4.pdf
[4] Hungarian Government. The development of the National Diabetes Strategy has Begun (Elkezdődött a Nemzeti Diabétesz Stratégia kidolgozása). Budapest: Hungarian Government. [11 January 2024; Accessed 5th March 2024]. Available from: https://kormany.hu/hirek/elkezdodott-a-nemzeti-diabetesz-strategia-kidolgozasa</t>
  </si>
  <si>
    <t>[1] Ministry of Health and Population. Health Awareness. Cairo: Ministry of Health and Population. [Archived 2020]. Available from: https://web.archive.org/web/20200117075321/http://www.mohp.gov.eg/Articles.aspx
[2] Cairo Governorate. Official Portal. Cairo: Cairo Governorate. [Accessed 9th March 2024]. Available from: http://www.cairo.gov.eg/ar
[3] Abouzid MR, Ali K, Elkhawas I, Elshafei SM. An Overview of Diabetes Mellitus in Egypt and the Significance of Integrating Preventive Cardiology in Diabetes Management. Cureus. 2022 Jul 20;14 :e27066. 
[4] Hassanein, M., Tageldien, A., Badran, H., et al. (2023) Current status of outpatient heart failure management in Egypt and recommendations for the future. ESC Heart Failure, 10: 2788–2796.</t>
  </si>
  <si>
    <t>[1] National Programme for Prevention and Control of Cancer, Diabetes, Cardiovascular Diseases and Stroke (NPCDCS). Ministry of Health and Family Welfare, Government of India. [Accessed March 4th 2024]. Available from: https://main.mohfw.gov.in/?q=Major-Programmes/non-communicable-diseases-injury-trauma/Non-Communicable-Disease-II/National-Programme-for-Prevention-and-Control-of-Cancer-Diabetes-Cardiovascular-diseases-and-Stroke-NPCDCS
[2] National Programme for Prevention and Control of Cancer, Diabetes, Cardiovascular Diseases and Stroke (NPCDCS).Operational Guidelines. Ministry of Health and Family Welfare. Government of India. 2013. [Accessed April 7th 2024]. Available from: https://main.mohfw.gov.in/sites/default/files/Operational%20Guidelines%20of%20NPCDCS%20%28Revised%20-%202013-17%29_1.pdf</t>
  </si>
  <si>
    <t>[1] Dhaka North City Corporation. Official Website. Dhaka: Dhaka North City Corporation. Available from: https://www.dncc.gov.bd
[2] Ministry of Health and Family Welfare. Official Website. Dhaka: Ministry of Health and Family Welfare. Available from: http://www.mohfw.gov.bd/
[3] Directorate General of Health Service. Official Website. Dhaka: Directorate General of Health Service. Available from: https://dghs.gov.bd/
[4] Noncommunicable Diseases Control (NCDC), Directorate General Health Services (DGHS). Multisectoral Action Plan for the Prevention and Control of Noncommunicable Diseases (NCDs) 2018-2025. Dhaka: NCDC; 2018. Available from: https://www.who.int/docs/default-source/searo/ncd/ban-ncd-action-plan-2018-2025.pdf?sfvrsn</t>
  </si>
  <si>
    <t>[1] Ministry of Social Affairs and Health. Social and healthcare reform. Helsinki: Ministry of Social Affairs and Health. [Accessed 7th March 2024]. Available from: https://stm.fi/soteuudistus
[2] Ministry of Social Affairs and Health. Wellbeing Services Counties are responsible for organizing health and safety services and rescue operations. Helsinki: Ministry of Social Affairs and Health. [Accessed 7th March 2024]. Available from: https://stm.fi/hyvinvointialueet
[3] Finlex Data Bank. Healthcare Act 1326/2010. Helsinki: Ministry of Justice. [entered into force 1 May 2011; last updated 1 January 2024; Accessed 7th March 2024]. Available from: https://www.finlex.fi/fi/laki/alkup/2010/20101326</t>
  </si>
  <si>
    <t>[1] Bach Mai Hospital. Clinical Units. [Internet. Accessed June 27th 2024] Available from: https://bachmai.gov.vn/don-vi-lam-sang
[2] UMC Clinic. Specialists. [Internet. Accessed June 27th 2024] Available from: https://umcclinic.com.vn/chuyen-khoa
[3] Dang TH, Nguyen TA, Hoang Van M, et al. Patient-Centered Care: Transforming the Health Care System in Vietnam With Support of Digital Health Technology. J Med Internet Res. 2021;23(6):e24601. Published 2021 Jun 4. doi:10.2196/24601</t>
  </si>
  <si>
    <t>[1] World Health Organization (WHO) Regional Office for Europe and European Observatory on Health Systems and Policies. Health Systems in Action: Türkiye. Geneva. WHO. 2022. Available from: https://iris.who.int/bitstream/handle/10665/362347/9789289059213-eng.pdf?sequence=1
[2] T.R. Ministry of Health; World Health Organization (WHO) Regional Office for Europe. Multisectoral Action Plan of Turkey for Noncommunicable Diseases 2017-2025. Ankara. T.R Ministry of Health; WHO. 2017. Available from: https://cdn.who.int/media/docs/librariesprovider2/country-sites/multisectoral-action-plan-of-turkey-for-noncommunicable-diseases-2017-2025-%28english-and-turkish%29f97f8061-5d52-4d6f-adab-f21d292c48f9.pdf?sfvrsn=377621a3_1&amp;download=true
[3] Anadolu Medical Centre. Person-Centered Care. Istanbul. Anadolu Medical Centre 2024. Available from: https://www.anadolumedicalcenter.com/en/hospital-facilities/person-centered-care</t>
  </si>
  <si>
    <t>[1] National Department of Health. Standard Treatment Guideline and Essential Medicine List (Primary Healthcare Level). Pretoria: National Department of Health, 2020. Available from: https://knowledgehub.health.gov.za/system/files/elibdownloads/2022-04/Primary%20Healthcare%20STGs%20and%20EML%207th%20edition%20-%202020-v3.0.pdf
[2] National Department of Health. Standard Treatment Guideline and Essential Medicine List (Adult Hospital Level). Pretoria: National Department of Health, 2019. Available from: https://knowledgehub.health.gov.za/system/files/elibdownloads/2023-04/Hospital%2520Level%2520%2528Adult%2529%25202019_v2.0.pdf
[3] National Department of Health. Standard Treatment Guideline and Essential Medicine List (Paediatric Hospital Level). Pretoria: National Department of Health, 2023. Available from: https://knowledgehub.health.gov.za/system/files/elibdownloads/2023-08/Paediatric%20STGs%20and%20EML%202023%20Edition_Final%20July%202023_0.pdf
[4] National Department of Health. National User Guide on the Prevention and Treatment of Hypertension in Adults at Primary Health Care Level. Pretoria: National Department of Health, 2021. Available from: https://knowledgehub.health.gov.za/system/files/elibdownloads/2023-04/HYPERTENSION%2520USER%2520GUIDE%2520FINAL%2520COPY.pdf
[5] National Department of Health. Pretoria: National Department of Health. [Accessed 3rd March 2024] https://www.health.gov.za/
[6] City of Johannesburg. Johannesburg: City of Johannesburg. [Accessed 3rd March 2024]. Available from: https://joburg.org.za/.
[7] National Library of Medicine. Bethesda, MD: National Library of Medicine. [Accessed 3rd March 2024]. Available from: https://pubmed.ncbi.nlm.nih.gov/.</t>
  </si>
  <si>
    <t>[1] Khan U. Integrating community-based health information system with a patient-centered medical home to improve care of patients with hypertension-A longitudinal observational study protocol. MedRxiv Preprints, July 12, 2023. [Accessed 22nd March 2024]. Available from: https://www.medrxiv.org/content/10.1101/2023.07.09.23292420v1.full
[2] Sharif R. An Exploration of the Cardiac Rehabilitation Needs of
Pakistani Heart Failure (HF) Patients and their Family
Caregivers – A Qualitative Study. Birmingham: Birmingham University, September 21, 2020. Available from: https://www.open-access.bcu.ac.uk/12133/1/RS%20PHD%20THESIS%202020.pdf</t>
  </si>
  <si>
    <t>[1] National Programme for Prevention and Control of Cancer, Diabetes, Cardiovascular Diseases and Stroke (NPCDCS). Ministry of Health and Family Welfare, Government of India. [Accessed March 4th 2024]. Available from: https://main.mohfw.gov.in/?q=Major-Programmes/non-communicable-diseases-injury-trauma/Non-Communicable-Disease-II/National-Programme-for-Prevention-and-Control-of-Cancer-Diabetes-Cardiovascular-diseases-and-Stroke-NPCDCS
[2] National Programme for Prevention and Control of Cancer, Diabetes, Cardiovascular Diseases and Stroke (NPCDCS).Operational Guidelines. Ministry of Health and Family Welfare. Government of India. 2013. [Accessed March 15th 2024]. Available from: https://main.mohfw.gov.in/sites/default/files/Operational%20Guidelines%20of%20NPCDCS%20%28Revised%20-%202013-17%29_1.pdf</t>
  </si>
  <si>
    <t>[1] Mossialos E et al. Kuwait Health System Review. London: London School of Economics and Politics (LSE Health), 2018. Available from: https://www.lse.ac.uk/lse-health/assets/documents/Reports/Kuwait-Health-System-Review.pdf
[2] Royale Hayat Hospital. Kuwait: Royale Hayat Hospital. [Accessed 8th March 2024]. Available from: https://www.royalehayat.com
[3] Fawzia Sultan Healthcare Network. Kuwait: Fawzia Sultan Healthcare Network. [Accessed 8th March 2024]. Available from: https://www.fshnkuwait.org
[4] Kuwait International Multidisciplinary Pediatric Conference. Kuwait: Kuwait International Multidisciplinary Pediatric Conference. [Accessed 8th March 2024]. Available from: https://www.kimpc-24.com</t>
  </si>
  <si>
    <t>[1] Cremers A, Alege A, Nelissen H et al. Patients' and healthcare providers' perceptions and practices regarding hypertension, pharmacy-based care, and mHealth in Lagos, Nigeria: a mixed methods study. California. Journal of Hypertension. 2019; 37:389-397.
[2] Oluwole E, Osibogun O, Adegoke O et al. Medication adherence and patient satisfaction among hypertensive patients attending outpatient clinic in Lagos University Teaching Hospital, Nigeria. Lagos. Nigerian Postgraduate Medical Journal. 2019; 26[2]:129-137.
[3] Aifah A, Odubela O, Rakhra A et al. Integration of a task strengthening strategy for hypertension management into HIV care in Nigeria: a cluster randomized controlled trial study protocol. New York. Implementation Science. [Accessed 9th March 2024]. Available from: https://www.ncbi.nlm.nih.gov/pmc/articles/PMC8597211/pdf/13012_2021_Article_1167.pdf
[4] Ajisegiri W, Abimbola S, Tesema A et al. "We just have to help": Community health workers' informal task-shifting and task-sharing practices for hypertension and diabetes care in Nigeria. Lausanne. Front Public Health. 2023; 11:1-11.
[5] Lagos State Ministry of Health (MOH). MOH website. Lagos. MOH. [Accessed 9th March 2024]. Available from: https://health.lagosstate.gov.ng/</t>
  </si>
  <si>
    <t>[1] Ministry of Health (Ministerio de Sanidad). Estrategia en Salud Cardiovascular del Sistema Nacional de Salud (ESCAV)(Cardiovascular Health Strategy of the National Health System (ESCAV)). 2022. Available from: https://www.sanidad.gob.es/areas/calidadAsistencial/estrategias/saludCardiovascular/docs/Estrategia_de_salud_cardiovascular_SNS.pdf 
[2] Community of Madrid (Comunidad de Madrid). La Comunidad de Madrid organiza en los centros de salud actividades de sensibilización y pruebas para medir el riesgo cardiovascular (The Community of Madrid organizes awareness-raising activities and tests to measure cardiovascular risk in health centers). 14 March 2023. Available from: https://www.comunidad.madrid/noticias/2023/03/14/comunidad-madrid-organiza-centros-salud-actividades-sensibilizacion-pruebas-medir-riesgo-cardiovascular
[3] Community of Madrid (Comunidad de Madrid). Health Madrid (Salud Madrid). Primary Care Assistance Administration (Gerencia Asistencial de Atención Primaria). Unidades Docentes Multiprofesionales (Multiprofessional Teaching Units). Undated. Available from: https://www.comunidad.madrid/hospital/atencionprimaria/profesionales/unidades-docentes-multiprofesionales</t>
  </si>
  <si>
    <t>[1] Department of Health. Primary Care Policy Framework and Sectoral Strategies, 2020. [Accessed 22nd February 2024]. Available from: https://webcache.googleusercontent.com/search?q=cache:https%3A%2F%2Fdmas.doh.gov.ph%3A8083%2FRest%2FGetFile%3Fid%3D653943
[2] Department of Health. Manila: Department of Health - Republic of the Philippines. [Accessed 22nd February 2024]. Available from: https://doh.gov.ph/
[3] Manila Health Department. Manila: City Government of Manila. [Accessed 22nd February 2024]. Available from: https://manilahealthdepartment.com/</t>
  </si>
  <si>
    <t>[1] State of Victoria Department of Health. Type 2 diabetes and cardiovascular disease prevention. Melbourne: State of Victoria Department of Health; 2023. Available from: https://www.health.vic.gov.au/preventive-health/type-2-diabetes-and-cardiovascular-disease-prevention 
[2] State of Victoria Department of Health and Human Services. Heart health: improved services and better outcomes for Victorians. Melbourne: State of Victoria Department of Health and Human Services; 2015. Available from: https://www.health.vic.gov.au/sites/default/files/migrated/files/collections/policies-and-guidelines/h/heart-health--improved-services-and-better-outcomes-for-victorians-2015s---pdf.pdf 
[3] Australian Government Department of Health. National strategic action plan for heart disease and stroke. Canberra: Australian Government Department of Health; 2020. Available from: https://www.health.gov.au/resources/publications/national-strategic-action-plan-for-heart-disease-and-stroke?language=en</t>
  </si>
  <si>
    <t>[1] Bubnova M et al. A Nationwide Pilot Project to Develop Rehabilitation Services for Patients With Cardiovascular Diseases. J Rehabil Med. 2021; 53 : 2790.
[2] Russian Society on Hypertension. Moscow: Russian Society on Hypertension. [Accessed 12th March 2024]. Available from: https://www.gipertonik.ru
[3] Ministry of Health. Moscow: Ministry of Health of the Russian Federation. [Accessed 12th March 2024]. Available from: https://minzdrav.gov.ru/en</t>
  </si>
  <si>
    <t>[1] Ministry of Health and Family Welfare Government of India. National Programme for Prevention and Control of Cancer, Diabetes, Cardiovascular Diseases and Stroke (NPCDCS). New Delhi. Ministry of Health and Family Welfare Government of India. 2017. Available from: https://main.mohfw.gov.in/?q=Major-Programmes/non-communicable-diseases-injury-trauma/Non-Communicable-Disease-II/National-Programme-for-Prevention-and-Control-of-Cancer-Diabetes-Cardiovascular-diseases-and-Stroke-NPCDCS 
[2] Ministry of Health and Family Welfare Government of India. National Programme for Prevention and Control of Cancer, Diabetes, Cardiovascular Diseases and Stroke (NPCDCS).Operational Guidelines. New Delhi. Ministry of Health and Family Welfare Government of India. 2013. Available from: https://main.mohfw.gov.in/sites/default/files/Operational%20Guidelines%20of%20NPCDCS%20%28Revised%20-%202013-17%29_1.pdf Accessed April 07, 2024.</t>
  </si>
  <si>
    <t>[1] Kenyatta National Hospital. Home. Nairobi: Kenyatta National Hospital, 2024. Available from: https://knh.or.ke/
[2] Ministry of Health. Home. Nairobi: Ministry of Health, 2024. Available from: https://www.health.go.ke.
[3] Primecare Heart Clinic. Diabetes Education. Nairobi: Primecare Heart Clinic, 2024. Available from: https://primecareheart.co.ke/solution/diabetic-education/
[4] The Aga Khan University Hospital Nairobi. Welcome to Aga Khan University Hospital. Nairobi: The Aga Khan University Hospital, 2024. Available from: https://hospitals.aku.edu/nairobi/ServicesAndFacilities/Pages/Cardiac-care.aspx
[5] National Health Insurance Fund. National Health Scheme (NHS). Nairobi: National Health Insurance Fund, 2024. Available from: https://www.nhif.or.ke/schemes/.</t>
  </si>
  <si>
    <t>[1] Government Public Relations. For the prevention and early detection of lifestyle-related diseases: Lifestyle Health Checkups and Lifestyle Health Guidance. Tokyo: Cabinet Office, Government of Japan; October 2023. Available from: https://www.gov-online.go.jp/useful/article/201402/1.html#secondSection
[2] Japan Health Insurance Association. Health Guidance and Health Counselling after checkups. Tokyo: Japan Health Insurance Association. Available from: https://www.kyoukaikenpo.or.jp/g4/cat420/r36/</t>
  </si>
  <si>
    <t>[1] Ministry of Labor, Health and Solidarity (Ministère du Travail, de la Santé et des Solidarités). Maladies cardiovasculaires (Cardiovascular illnesses). Paris, 26 September 2023. Available from: https://sante.gouv.fr/soins-et-maladies/maladies/maladies-cardiovasculaires/article/maladies-cardiovasculaires
[2] Mutuelle d'Assurance du Corps de Santé Français (MACSF). Maison de santé pluriprofessionnelle, maison médicale, pôle de santé… Comment les distinguer ? (Multi-professional health center, medical center, health center… How to distinguish them?) Paris, 9 June 2022. Available from: https://www.macsf.fr/exercice-liberal/exercer-en-groupe/maison-de-sante-pluriprofessionnelle-maison-medicale-pole-de-sante-comment-les-distinguer#S4
[3] Ministry of Labor, Health and Solidarity (Ministère du Travail, de la Santé et des Solidarités). Plan d'action : 4 000 maisons de santé pluriprofessionnelles (Action plan: 4,000 multi-professional health centres). Paris, 13 June 2023. Available from: https://sante.gouv.fr/actualites/presse/dossiers-de-presse/article/plan-d-action-4-000-maisons-de-sante-pluriprofessionnelles</t>
  </si>
  <si>
    <t>[1] Ministry of Health. The Official Website of the Ministry of Health. Phnom Penh: Ministry of Health. [Accessed 3rd March 2024]. Available from: https://moh.gov.kh/?lang=en#.
[2] National Institute of Public Health (NIPH). Mental Health Strategic Plan 2023 - 2032. Phnom Penh: NIPH. [Accessed 7th March 2024]. Available from: https://niph.org.kh/niph/uploads/library/pdf/27_Dec_23_MHSP_Launching_Eng_Printing.pdf.
[3] Ministry of Health. National Multisectoral Action Plan for the Prevention and Control of Noncommunicable Diseases 2018 - 2027. Phnom Penh: Ministry of Health; 2018. [Accessed 7th March 2024]. Available from: https://moh.gov.kh/content/uploads/2017/05/NMAP-NCD_-13-06-2018-Signed_En.pdf.
[4] MoPoTsyo. The Official Website of MoPoTyso. Phnom Penh: MoPoTsyo. [Accessed 7th March 2024]. Available from: https://www.mopotsyo.org.
[5] Hernandez N N, Ismail S, Heang H, et al. An innovative model for management of cardiovascular disease risk factors in the low resource setting of Cambodia. Health Policy Plan; 2020. [Accessed 7th March 2024]. Available from: https://www.ncbi.nlm.nih.gov/pmc/articles/PMC8128014/.
[6] Khmer Times. CAN Congress 2022 held under theme "Promoting Patient-Centred-Care: Nurses' Roles. Phnom Penh: Khmer Times; 2022 [Accessed 7th March 2024]. Available from: https://www.khmertimeskh.com/501201571/can-congress-2022-held-under-theme-promoting-patient-centered-care-nurses-roles/.</t>
  </si>
  <si>
    <t>[1] Tash A A, Al-Bawardy R F. Cardiovascular Disease in Saudi Arabia: Facts and the Way Forward. J Saudi Heart Assoc. 2023; 35: 148–162. 
[2] Aldhahir A M et al. Physiotherapists' Attitudes, and Barriers of Delivering Cardiopulmonary Rehabilitation for Patients with Heart Failure in Saudi Arabia: A Cross-Sectional Study. Journal of Multidisciplinary Healthcare 2022:15 2353–2361. 
[3] Adam T et al. The State of Cardiac Rehabilitation in Saudi Arabia: Barriers, Facilitators, and Policy Implications. Cureus. 2023 Nov; 15[11]. 
[4] Council of Health Insurance. Basic Health Insurance Policy. Riyadh: Council of Health Insurance. [Accessed 2nd March 2024]. Available from: https://chi.gov.sa/en/Rules/Documents/Updated%20Essential%20Benefit%20Package%20%20(%20effective%201%20October%202022).pdf
[5] Ministry of Health. Riyadh: Ministry of Health. [Accessed 2nd March 2024]. Available from: https://www.moh.gov.sa/en/Pages/default.aspx
[6] Public Health Authority. Riyadh: Public Health Authority. [Accessed 2nd March 2024]. Available from: https://covid19.cdc.gov.sa
[7] Royal Commission for Riyadh City. Riyadh: Royal Commission for Riyadh City. [Accessed 2nd March 2024]. Available from: https://www.rcrc.gov.sa/en/</t>
  </si>
  <si>
    <t>[1] Donatini, A. International Health Care System Profiles Italy. The Commonwealth Fund, New York, 5 June 2020. Available from: https://www.commonwealthfund.org/international-health-policy-center/countries/italy
[2] Region of Lazio (Regione Lazio). Piano Regionale della Prevenzione 2021-2025 (Regional Prevention Plan 2021-2025). Rome, December 2021. Available from: https://www.salute.gov.it/portale/prevenzione/DELIBERE_PRP_2020-2025/Lazio/DGR_970_del_2021_e_PRP_2021-2025.pdf
[3] Ministry of Health (Ministerio della Salute). Piano Nazionale della Cronicità (National Chronicity Plan). Rome, 2016. Available from: https://www.salute.gov.it/imgs/C_17_pubblicazioni_2584_allegato.pdf
[4] Region of Lazio (Regione Lazio). Regional Health System (Sistema Sanitario Regionale) ASL Roma 4. Piano Regionale della Prevenzione 2021-2025 (Regional Prevention Plan PLAN 2021-2025). Rome, 2024. Available from: https://www.aslroma4.it/azienda/dipartimenti/dipartimento-di-prevenzione/piano-regionale-della-prevenzione-2021-2025</t>
  </si>
  <si>
    <t>[1] San Francisco Health Plan. Medi-Cal Benefits for today and when you need it [Internet]. San Francisco Health Plan; 2023 [Accessed March 20th 2024]. Available from: https://www.sfhp.org/chronic-conditions/
[2] Center for Care Innovations. PHASE | Onboarding - Care Team Know/Do [Internet]. Center for Care Innovations; 2018 [Accessed March 20th 2024]. Available from: https://www.careinnovations.org/phasesupport/onboarding/care-team/
[3] UCSF Center for Excellence in Primary Care. Practice Transformation | Center for Excellence in Primary Care [Internet]. San Francisco: The Regents of the University of California; 2024 [Accessed March 20th 2024]. Available from: https://cepc.ucsf.edu/practice-transformation
[4] Centers for Disease Control and Prevention. The Hypertension Health Equity Project [Internet]. U.S. Department of Health &amp; Human Services; 2023 [Accessed March 20th 2024]. Available from: https://hdsbpc.cdc.gov/s/article/The-Hypertension-Health-Equity-Project</t>
  </si>
  <si>
    <t>[1] Atenção Básica. Saúde Integrativa. Secretaria da Saúde. São Paulo; 2023. Available from: https://www.prefeitura.sp.gov.br/cidade/secretarias/saude/atencao_basica/index.php?p=236370
[2] Atenção Básica. Equipe Multiprosissional na Atenção Primária de Saúde. Secretaria da Saúde. São Paulo; 2023. Available from: https://www.prefeitura.sp.gov.br/cidade/secretarias/saude/atencao_basica/index.php?p=340460</t>
  </si>
  <si>
    <t>[1] Seoul Metropolitan Government. Expert Group on Health Promotion for the Seoul Metropolitan Government. Seoul: Available from: https://www.seoulhp.com/seoul/main/main.do. 
[2] Seoul Metropolitan Government. Expert Group on Health Promotion for the Seoul Metropolitan Government. Seoul: Available from: https://www.youtube.com/channel/UCl2OBSOc1-sTs9ld6dgBrzw.</t>
  </si>
  <si>
    <t>[1] World Bank Group, World Health Organization, Ministry of Finance, et al. Deepening Health Reform in China: Building High-Quality And Value-Based Service Delivery. Washington, DC: World Bank Group, 2016. Available from: https://documents1.worldbank.org/curated/en/800911469159433307/pdf/107176-REVISED-PUBLIC-ENGLISH-Health-Reform-In-China-Policy-Summary-Oct-reprint-ENG.pdf (PDF page 16)
[2] Fudan University. Shanghai Medical College Research Hospitals' multidisciplinary diagnosis and treatment demonstration project series display: multidisciplinary cooperation to help improve the quality of cardiovascular disease diagnosis and treatment [复旦上医研究型医院多学科诊疗MDT示范项目系列展示：多学科强强联合，助力心血管疾病诊疗质量提升]. Shanghai: Fudan University. [8 August 2023; Accessed 29th February 2024]. Available from: https://news.fudan.edu.cn/2023/0808/c5a135874/page.htm</t>
  </si>
  <si>
    <t>[1] National University Health System. Patient Care Institutions. NUHS.2024. Available from: https://www.nuhs.edu.sg/For-Patients-Visitors/Pages/our-institutions.aspx#:~:text=The%20hospital%20is%20the%20only,transplant%20programme%20in%20the%20country. 
[2] National University Heart Centre Singapore. Women's Heart Health Programme - NUHCS.Singapore.National University Heart Centre.2024. Available from: https://www.nuhcs.com.sg/Our-Services/OurCoreClinicalProgrammes/Womens-Heart-Health-Programme/Pages/default.aspx</t>
  </si>
  <si>
    <t>[1] New South Wales Government Health Department. Multidisciplinary team - Integrated care. Sydney: New South Wales Government Health Department; 2024. Available from: https://www.health.nsw.gov.au/integratedcare/Pages/multidisciplinary-team-care.aspx#:~:text=Multidisciplinary%20team%20care%20is%20comprised,a%20patient's%20care%20as%20possible.
[2] Australian Government Department of Health. Future focused primary health care: Australia's Primary Health Care 10 Year Plan 2022-2032. Canberra: Commonwealth of Australia (Department of Health); 2022. Available from: https://www.health.gov.au/sites/default/files/documents/2022/03/australia-s-primary-health-care-10-year-plan-2022-2032-future-focused-primary-health-care-australia-s-primary-health-care-10-year-plan-2022-2032.pdf.
[3] New South Wales Agency for Clinical Innovation. NSW clinical service framework for chronic heart failure 2016. Sydney: New South Wales Government Health Department; 2024. Available from: https://aci.health.nsw.gov.au/__data/assets/pdf_file/0011/350399/ACI-Clinical-service-framework-chronic-heart-failure.pdf.</t>
  </si>
  <si>
    <t>[1] Cabinet Office Government of Japan. For the prevention and early detection of lifestyle-related diseases: Lifestyle Health Checkups and Lifestyle Health Guidance. Tokyo: Cabinet Office Government of Japan; October 2023. Available from: https://www.gov-online.go.jp/useful/article/201402/1.html#secondSection
[2] Japan Health Insurance Association. Health Guidance and Health Counselling after checkups. Tokyo: Japan Health Insurance Association. Available from: https://www.kyoukaikenpo.or.jp/g4/cat420/r36/</t>
  </si>
  <si>
    <t>[1] Cardiac Care Network of Ontario, Heart and Stroke Foundation and Ontario Stroke Network. An Integrated Vascular Health Blueprint for Ontario. Ontario, 2012. Available from: https://www.strokenetworkseo.ca/sites/default/files/files/vascular_health_blueprint.pdf
[2] Heart and Stroke Foundation. Canadian Stroke Best Practices: A Guide For People Living With Stroke. Toronto: Heart and Stroke Foundation. Available from: https://www.heartandstroke.ca/-/media/pdf-files/canada/your-stroke-journey/en-your-stroke-journey-v20.pdf?rev=01a46257b0634561b49b56066a4fb4be</t>
  </si>
  <si>
    <t>[1] Vienna Healthcare Group. Our enterprise. Vienna: Vienna Healthcare Group. [Accessed 21st March 2024]. Available from: https://gesundheitsverbund.at/unser-auftrag/
[2] Diabetes Center Wienerberg. FAQ- Frequently asked questions. Vienna: Vienna Healthcare Group. [Accessed 21st March 2024]. Available from: https://diabeteszentrum.gesundheitsverbund.at/#toggle-id-2
[3] Diabetes Center Wienerberg. Team. Vienna: Vienna Healthcare Group. [Accessed 21st March 2024]. Available from: https://diabeteszentrum.gesundheitsverbund.at/team/</t>
  </si>
  <si>
    <t>[1] Huang, J, Xu Y, Cao G et al. Impact of multidisciplinary chronic disease collaboration management on self-management of hypertension patients: A cohort study. Medicine. 2022; 101(28): 29797. Available from: https://pubmed.ncbi.nlm.nih.gov/35838997/.
[2] Hubei Government. Wuhan University People's Hospital opens multidisciplinary diagnosis and treatment (MDT) clinic for difficult and complex patients [武汉大学人民医院为疑难复杂病患开设多学科诊疗（MDT）门诊]. Hubei: Hubei Government. Available from: http://www.hubei.gov.cn/hbfb/rdgz/202306/t20230605_4696966.shtml.</t>
  </si>
  <si>
    <t>[1] Interview #1
[2] Interview #3
[3] Latt T, Aye T, Myint A et al. A Summary of Myanmar Clinical Practice Guidelines on the Management of Dyslipidaemia in Type 2 Diabetes Mellitus. Journal of the ASEAN Federation of Endocrine Societies. 2014;29[2]:112-115
[4] Ministry of Health and Sports. National Strategic Plan for Prevention and Control of NCDs (2017-2021). Naypyidaw: Ministry of Health and Sports. [June 2017, Accessed 27th March 2024]. Available from: https://www.who.int/docs/default-source/searo/ncd/mmr-ncd-action-plan-2017-2021.pdf
[5] Interview #3
[6] Interview #5</t>
  </si>
  <si>
    <t>[1] Addis Ababa City Administration Food and Drug Authority (AAFDA). About Us. Addis Ababa: Addis Ababa City Administration. [Archived 12th March 2024, Accessed 8 April 2024]. Available from: https://web.archive.org/web/20240312214026/https://aafda.gov.et/about.php
[2] Addis Ababa City Administration. Addis Ababa: Addis Ababa City Administration. [Accessed 29th March 2024]. Available from: www.cityaddisababa.gov.et
[3] Addis Ababa City Mayor's Office. Addis Ababa: Addis Ababa City Administration. [Accessed 29th March 2024]. Available from: https://addismayor.gov.et/aboutus</t>
  </si>
  <si>
    <t>[1] Journal Officiel. Provincial Government Act 12-7. Algiers: Journal Officiel, 2012. Available from: https://www.joradp.dz/FTP/jo-arabe/2012/A2012012.pdf 
[2] European Committee of the Region. Algeria. Brussels: European Committee of the Region, 2016. Available from: https://portal.cor.europa.eu/divisionpowers/Pages/Algeria.aspx
[3] Ministry of Interior. Executive Decree N. 15/141 relating to the organization and functioning of the administrative district. Algiers: Ministry of Interior, 2015. Available from: https://www.interieur.gov.dz/index.php/ar/</t>
  </si>
  <si>
    <t>[1] Georgia Department of Public Health. Public Health Regulations [Internet]. Georgia Department of Public Health. 2023 [Accessed 22nd February 2024]. Available from: https://dph.georgia.gov/about-dph/public-health-regulations 
[2] Atlanta City Council. How Your Council Works | Atlanta City Council, GA [Internet]. citycouncil.atlantaga.gov. 2024 [Accessed 22nd February 2024]. Available from: https://citycouncil.atlantaga.gov/how-your-council-works
[3] Atlanta City Hall. Smoke Free Ordinance Now in Effect in Atlanta [Internet]. Atlanta City Council. 2020 [Accessed March 18th 2024]. Available from: https://citycouncil.atlantaga.gov/Home/Components/News/News/912/175</t>
  </si>
  <si>
    <t>[1] BMA launches new health project, hopes to target at least 1 million Bangkokians. The Nation. Bangkok; Mar. 24, 2024. Available from: https://www.nationthailand.com/thailand/general/40034086
[2] The Green Bangkok 2030 Project. C40 Cities. Available from: https://www.c40.org/case-studies/the-green-bangkok-2030-project</t>
  </si>
  <si>
    <t>[1] The State Council - The People's Republic of China. Administrative Division. Beijing: The State Council, 26 August 2014. Available from: https://english.www.gov.cn/archive/china_abc/2014/08/27/content_281474983873401.htm
[2] U.S. Congressional-Executive Commission on China. China's State Organizational Structure. Washington (D.C.): U.S. Congressional-Executive Commission on China, N/A. Available from: https://www.cecc.gov/chinas-state-organizational-structure#:~:text=The%20State%20Council%20executes%20laws,and%20chairmen%20of%20the%20commissions. 
[3] The People's Government of Beijing Municipality. Beijing Municipal Health Commission. Beijing: The People's Government of Beijing Municipality, 27 June 2020. Available from: https://english.beijing.gov.cn/government/departments/202006/t20200627_1932960.html
[4] National Health Commission of the People's Republic of China. What We Do - National Health Commission of the PRC. Beijing: National Health Commission of the People's Republic of China, N/A. Available from: http://en.nhc.gov.cn/about.html</t>
  </si>
  <si>
    <t>[1] Basic Law for the Federal Republic of Germany; 1949. Available from: https://www.gesetze-im-internet.de/englisch_gg/englisch_gg.html
[2] Bundesrat. Federal States: Berlin; 2024. Available from: https://www.bundesrat.de/EN/organisation-en/laender-en/be-en/be-en-node.html
[3] Hellfeld, M. German Federalism: How does it work?. Berlin: Deutsche Welle; 2021. Available from: https://www.dw.com/en/german-federalism-covid-challenges-the-system/a-57042552</t>
  </si>
  <si>
    <t>[1] Wolters Kluwers Hungary Law Database. Law CLXXXIX of 2011 on Local Governments of Hungary. (2011. évi CLXXXIX. törvény Magyarország helyi önkormányzatairól). Budapest: Wolters Kluwers Hungary. [Last updated on 06 March 2024; Accessed 6th March 2024]. Available from: https://net.jogtar.hu/jogszabaly?docid=a1100189.tv
[2] Council of Europe and The Congress of Local and Regional Authorities. Monitoring of the European Charter of Local Self-Government in Hungary. Brussels: Council of Europe and The Congress of Local and Regional Authorities. [12 February 2021; Accessed 6th March 2024]. Available from: https://rm.coe.int/monitoring-of-the-european-charter-of-local-self-government-in-hungary/1680a129f6</t>
  </si>
  <si>
    <t>[1] European Committee of the Region. Egypt. Belgium: European Committee of the Region. [Accessed 9th March 2024]. Available from: https://portal.cor.europa.eu/divisionpowers/Pages/Egypt.aspx
[2] Constitute Project. Egypt 2014. Egypt: Constitute Project. [Accessed 9th March 2024]. Available from: https://www.constituteproject.org/constitution/Egypt_2014
[3] State Information Service. Presidential decree 475 of 1977. Cairo: State Information Service. [Accessed 9 March 2024]. Available from: https://www.sis.gov.eg/section/210/2565?lang=en-us
[4] Egyptian Court of Cassation. Law N.43 of 1979. Cairo: Law N.43 of 1979. [Archived 2022]. Available from: https://web.archive.org/web/20221222210902/https://www.cc.gov.eg/legislation_single?id=277460</t>
  </si>
  <si>
    <t>[1] Municipal Council of Colombo. The City Council. [Accessed March 16th 2024]. Available from: https://www.colombo.mc.gov.lk/city-council.php.
[2] Wijegunasekara, J.L.H.R.. (2020). Non Communicable Disease prevention programme of Colombo district; Sri Lanka. 10.13140/RG.2.2.15791.97449.</t>
  </si>
  <si>
    <t>[1] United Arab Emirates' Government. Health regulatory authorities. United Arab Emirates. The United Arab Emirates' Government Portal. [29 February 2024; Accessed 5th March 2024]. Available from: https://u.ae/en/information-and-services/health-and-fitness/health-authorities.
[2] Government of Dubai. Dubai Health Investment Guide 2023. Dubai: Dubai Health Authority; 2023. Available from: https://www.dha.gov.ae/uploads/022022/Dubai%20Health%20Investment%20Guide%20en2022221649.pdf.
[3] Mohammed Bin Rashid Al Maktoum. Dubai Health Insurance Law No. 11 of 2013. Dubai Health Authority; 2013. Available from: https://medicalinsurance.ae/wp-content/uploads/Health-Insurance-Law-English.pdf.
[4] PB Fintech FZ. Health Insurance Law. Dubai: Policybazaar. [Accessed 11th March 2024]. Available from: https://www.policybazaar.ae/health-insurance/articles/health-insurance-law/.
[5] CRI. UAE Law: Are Employers Obligated to Obtain Health Insurance for Their Employees?. Dubai: Crossroads Insurance Brokers LLC. [27 March 2023; Accessed 11th March 2024]. Available from: https://www.linkedin.com/pulse/uae-law-employers-obligated-obtain-health-insurance/.</t>
  </si>
  <si>
    <t>[1] Ministry of Social Affairs and Health. Social and healthcare reform. Helsinki: Ministry of Social Affairs and Health. [Accessed 7th March 2024]. Available from: https://stm.fi/soteuudistus
[2] WHO European Observatory on Health Systems and Policies. Finland Health System Summary 2023. Brussels: WHO European Observatory on Health Systems and Policies. [December 2022; Accessed 7th March 2024]. Available from: https://iris.who.int/bitstream/handle/10665/366710/9789289059398-eng.pdf?sequence=1
[3] Ministry of Social Affairs and Health. Management of Wellbeing Services Counties. Helsinki: Ministry of Social Affairs and Health. [Accessed 7th March 2024]. Available from: https://stm.fi/hyvinvointialueiden-ohjaus
[4] Ministry of Social Affairs and Health. Wellbeing Services Counties are responsible for organizing health and safety services and rescue operations. Helsinki: Ministry of Social Affairs and Health. [Accessed 7th March 2024]. Available from: https://stm.fi/hyvinvointialueet
[5] Ministry of Social Affairs and Health. The municipality takes care of promoting well-being and health. Helsinki: Ministry of Social Affairs and Health. [Accessed 7th March 2024]. Available from: https://stm.fi/kunnat
[6] Finnish Tax Administration. What are excise duties? Helsinki: Finnish Tax Administration. [Accessed 7th March 2024]. Available from: https://www.vero.fi/yritykset-ja-yhteisot/verot-ja-maksut/valmisteverotus/mita-valmisteverot-ovat</t>
  </si>
  <si>
    <t>[1] World Health Organization (WHO) Regional Office for Europe and European Observatory on Health Systems and Policies. Health Systems in Action: Türkiye. Geneva. WHO. 2022. Available from: https://iris.who.int/bitstream/handle/10665/362347/9789289059213-eng.pdf?sequence=1
[2] T.R. Ministry of Health (T.C. Sağlık Bakanlığı). Istanbul Provincial Health Directorate (İstanbul İl Sağlık Müdürlüğü). Istanbul. T.C. Sağlık Bakanlığı. 2024. Available from: https://istanbulism.saglik.gov.tr/
[3] Yenişafak. İstanbul Valiliği'nden halka açık alanlarda 'alkol yasağı' hatırlatması ('Alcohol ban' reminder from Istanbul Governorship in public areas). Istanbul. Yenişafak. 2023. Available from: https://www.yenisafak.com/gundem/istanbul-valiliginden-halka-acik-alanlarda-alkol-yasagi-hatirlatmasi-4556525</t>
  </si>
  <si>
    <t>[1] Sofa A. Creating a Healthy Jakarta with Smoke-Free Zones. 2022. Available from: https://dinkes.jakarta.go.id/berita/read/htts-2022-kenali-tujuh-kawasan-tanpa-rokok
[2] DKI Jakarta Regulation No. 576. Air Pollution Control Strategy; 2023. Available from: https://jdih.jakarta.go.id/dokumen/detail/13660</t>
  </si>
  <si>
    <t>[1] City of Johannesburg. Local Government. Johannesburg: City of Johannesburg. [Accessed 2nd March 2024]. Available from: https://www.gov.za/about-government/government-system/local-government
[2] City of Johannesburg. Johannesburg: City of Johannesburg. [Accessed 2nd March 2024]. Available from: https://joburg.org.za/.
[3] Klaaren J. Regulatory Politics in South Africa 25 Years After Apartheid. Journal of Asian and African Studies. 2021;56[1]:79-91. Available from: https://doi.org/10.1177/0021909620946852. 
[4] Gray A, Riddin J, Jugathpal J. Health Care and Pharmacy Practice in South Africa. Can J Hosp Pharm. 2016;69[1]:36-41. Available from: https://www.ncbi.nlm.nih.gov/pmc/articles/PMC4777579/
[5] Mbonigaba J, Oumar S. The relative efficiency of South African municipalities in providing public health care. African Journal of Economic and Management Studies. 2016;7:346-365. https://doi.org/10.1108/AJEMS-04-2014-0028 
[6] South African Government. National Health Act 61 of 2003. Pretoria: South African Government, 2003. Available from: https://www.gov.za/documents/acts/national-health-act-61-2003-23-jul-2004.
[7] Abrahams C, Everatt, D. City Profile: Johannesburg, South Africa. Environment and Urbanization ASIA. 2019;10[2]:255-270. Available from: https://doi.org/10.1177/0975425319859123
[8] City of Johannesburg. Public Health By-Laws. Johannesburg: City of Johannesburg. [Accessed 11th March 2024]. Available from: https://joburg.org.za/documents_/Documents/By-Laws/prom%20health%20by-laws%20as%20amended%202007%202008%202011.pdf</t>
  </si>
  <si>
    <t>[1] Shehla Z. Sindh Health Sector Strategy 2012-2020. Karachi: Government of Sindh, 2012. Available from: https://ecommons.aku.edu/cgi/viewcontent.cgi?article=1215&amp;context=pakistan_fhs_mc_chs_chs
[2] Sindh SDGs Unit. Legislation, Policies and Plans Supportive of SDGs in Sindh. Karachi: Planning and Development Department. [Accessed 22nd March 2024]. Available from: https://www.sindhsdgs.gov.pk/wp-content/uploads/2020/09/7-Laws-and-Policies-Supporting-Agenda-2030-in-Sindh-14Jan20-PDF.pdf</t>
  </si>
  <si>
    <t>[1] The Constitution of Nepal. 2015. Available from: https://lawcommission.gov.np/en/wp-content/uploads/2021/01/Constitution-of-Nepal.pdf 
[2] S Rishav. "Say no to tobacco": How possible is it in Nepal?. Nepal Live Today. 2024. Available from: https://www.nepallivetoday.com/2024/01/08/say-no-to-tobacco-how-possible-is-it-in-nepal/</t>
  </si>
  <si>
    <t>[1] Government of West Bengal. [Accessed March 8th 2024]. Available from: https://wb.gov.in/documents-acts.aspx 
[2] Kolkata Municipal Corporation. [Accessed March 7th 2024]. Available from: https://www.kmcgov.in/KMCPortal/jsp/KMCPortalHome1.jsp</t>
  </si>
  <si>
    <t>[1] World Health Organization: Regional Office for the Eastern Mediterranean. Kuwait: Health Systems Profile, 2016. Cairo: World Health Organization: Regional Office for the Eastern Mediterranean. Available from: https://rho.emro.who.int/sites/default/files/Profiles-briefs-files/HS_Profile-2016-Kuwait.pdf
[2] Mossialos E et al. Kuwait: Health System Review. London: London School of Economics and Politics (LSE Health), 2018. Available from: https://www.lse.ac.uk/lse-health/assets/documents/Reports/Kuwait-Health-System-Review.pdf
[3] Impact evaluation of soft drink taxes as part of nutrition policies in Gulf Cooperation Council countries: Bahrain, Kuwait, Oman, Qatar, Saudi Arabia and United Arab Emirates. Al-Jawaldeh A and Megally R. F1000Research (London) 2021, 9:1287. Available from: https://f1000research.com/articles/9-1287</t>
  </si>
  <si>
    <t>[1] Lagos State Records and Archives Bureau (LASRAB). About Lagos. Lagos. LASRAB; [Accessed 16th March 2024]. Available from: https://lasrab.lagosstate.gov.ng/about-lagos/
[2] Page 8, Lagos State. Lagos State Revenue Administration Law. Lagos. Lagos State; [Accessed 9th March 2024]. Available from: https://mepb.lagosstate.gov.ng/wp-content/uploads/sites/228/2019/12/LAGOS-STATE-REVENUE-ADMINISTRATION-LAW.pdf
[3] Ministry of Health. Responsibilities. Lagos. Ministry of Health; [Accessed 3rd March 2024]. Available from: https://health.lagosstate.gov.ng/responsibilities/
[4] Lagos State Internal Revenue Service. Lagos State Internal Revenue Service website. Lagos. Lagos State Internal Revenue Service; [Accessed 9th March 2024]. Available from: https://lirs.gov.ng/</t>
  </si>
  <si>
    <t>[1] Sandford, M. The Greater London Authority. London: The House of Commons Library; 2022. Available from: https://researchbriefings.files.parliament.uk/documents/SN05817/SN05817.pdf
[2] Greater London Authority. What the Mayor does. London: GLA. Available from: https://www.london.gov.uk/who-we-are/what-mayor-does
[3] Greater London Authority. How we work for London. London: GLA. Available from: https://www.london.gov.uk/who-we-are/how-we-work-london 
[4] Greater London Authority. TfL junk food ads ban will tackle child obesity. London: GLA. Available from: https://www.london.gov.uk/programmes-strategies/communities-and-social-justice/food/tfl-junk-food-ads-ban-will-tackle-child-obesity# 
_x000B_
[5] Greater London Authority. The Ultra Low Emission Zone for London. London: GLA. Available from: https://www.london.gov.uk/programmes-strategies/environment-and-climate-change/pollution-and-air-quality/ultra-low-emission-zone-ulez-london#</t>
  </si>
  <si>
    <t>[1] Presidency of the Government. Spanish Constitution (Constitución Española). Título VIII. De la organización territorial del Estado (Title VIII. On the territorial organization of the State). 2024. Available from: https://www.lamoncloa.gob.es/espana/leyfundamental/Paginas/titulo_octavo.aspx
Other sources:
Curdi, Federico Torres. SOBRE LA POTESTAD NORMATIVA DE LAS COMUNIDADES AUTÓNOMAS (ON THE REGULATORY POWER OF THE AUTONOMOUS COMMUNITIES). National Institute of Public Administration (Instituto Nacional de Administración Pública), 1989. Available from: https://revistasonline.inap.es/index.php/REALA/article/download/8594/8643/8821</t>
  </si>
  <si>
    <t>[1] Congress of the Philippines. Republic Act No. 409, 1949; [Accessed 23rd February 2024]. Available from: https://lawphil.net/statutes/repacts/ra1949/ra_409_1949.html
[2] City Council of Manila. Ordinance No. 7748. City Council of Manila: Republic of the Philippines, 1992; [Accessed 29th February 2024]. Available from: https://citycouncilofmanila.com.ph/city_ordinances/ordinance-no-7748-2/</t>
  </si>
  <si>
    <t>[1] Australian Institute of Health and Welfare. Australia's health 2016. Australia's health series no. 15. Cat. no. AUS 199. Canberra: Australian Institute of Health and Welfare; 2016. Available from: https://www.aihw.gov.au/getmedia/f2ae1191-bbf2-47b6-a9d4-1b2ca65553a1/ah16-2-1-how-does-australias-health-system-work.pdf.aspx
‌
[2] Matthew Parkes. A role for taxation in reducing Australia's sugar consumption. Canberra: The Australian National University Tax and Transfer Policy Institute; 2022. Available from:https://taxpolicy.crawford.anu.edu.au/sites/default/files/uploads/taxstudies_crawford_anu_edu_au/2022-03/complete_policy_brief_1_2022_m_parkes.pdf .</t>
  </si>
  <si>
    <t>[1] Moscow Government. Moscow: Moscow Government. [Accessed 12th March 2024]. Available from: https://www.mos.ru 
[2] Medconsonline. Regulatory Authorities in the Russian Federation. Mönchengladbach: Medconsonline. [Accessed 12th March 2024]. Available from: https://medconsonline.com/en/regulatory-authorities-in-the-russian-federation
[3] World Health Organization. Moscow City, Russian Federation: WHO; 2023. Available from: https://cdn.who.int/media/docs/librariesprovider2/regions-for-health/20230928-moscow-en-final.pdf?sfvrsn=635b5b98_4&amp;download=true
[4] Medvestnik. Moscow expenditure on healthcare in 2024 will exceed 1 trillion rubles. Moscow: Medvestnik. [Accessed 12th March 2024]. Available: https://medvestnik.ru/content/news/Rashody-Moskvy-na-zdravoohranenie-v-2024-godu-prevysyat-1-trln-rublei.html</t>
  </si>
  <si>
    <t>[1] Government of Maharashtra. Government Decisions. Maharashtra. Government of Maharashtra. 2024. Available from: https://maharashtra.gov.in/Site/1603/Government-Decisions
[2] Health Department. Mumbai. Brihanmumbai Municipal Corporation. 2016. Available from: https://portal.mcgm.gov.in/irj/portal/anonymous/qltabmohlic</t>
  </si>
  <si>
    <t>[1] County Governance Toolkit. County Functions/Services. County Governance Toolkit, 2020. Available from: https://countytoolkit.devolution.go.ke/county-functions
[2] The Republic of Kenya. Constitution of Kenya, 2010. Available from: https://countytoolkit.devolution.go.ke/sites/default/files/resources/ConstitutionofKenya%202010.pdf</t>
  </si>
  <si>
    <t>[1] Ministry of Internal Affairs and Communications. Non-statutory Taxes. Tokyo: Ministry of Internal Affairs and Communications. Available from: https://www.soumu.go.jp/main_sosiki/jichi_zeisei/czaisei/czaisei_seido/149767_24.html
[2] Osaka Prefecture. Utilization of Tax Autonomy. Osaka: Osaka Prefecture;February 2021. Available from: https://www.pref.osaka.lg.jp/zei/alacarte/kazeijisyuken.html</t>
  </si>
  <si>
    <t>[1] Isabelle Durand-Zaleski, AP-HP and Université Paris-Est. International Health Care System Profiles: France. The Commonwealth Fund, New York, 5 June 2020. Available from: https://www.commonwealthfund.org/international-health-policy-center/countries/france
[2] ARS Île-de-France. Rôles et missions de l'ARS Île-de-France (Roles and missions of the ARS Île-de-France). Paris, 27 July 2023. Available from: https://www.iledefrance.ars.sante.fr/roles-et-missions-de-lars-ile-de-france
[3] ARS Île-de-France.Le Projet régional de santé 2023-2028 (The Regional Health Project 2023-2028). Paris, 19 January 2024. Available from: https://www.iledefrance.ars.sante.fr/publication-du-prs-2023-2028
[4] ARS Île-de-France.Agir pour la santé des Franciliens: Plan d'action 2023-2028 (Acting for the health of Ile-de-France residents: Action Plan 2023-2028). Paris, 2023. Available from: https://www.iledefrance.ars.sante.fr/media/116122/download?inline</t>
  </si>
  <si>
    <t>[1] Phnom Penh Capital Hall. The official website of Phnom Penh Capital Hall. Phnom Penh: Phnom Penh Capital Hall. [Accessed 7th March 2024]. Available from: https://phnompenh.gov.kh/en.
[2] Ministry of Health. Sub Decree on organizing and functioning of Ministry of Health. Phnom Penh: Ministry of Health. [Accessed 7th March 2024]. Available from: https://moh.gov.kh/content/uploads/Laws_and_Regulations/Sub%20Decree/Sub%20Decree%20on%20Organization%20and%20Functioning%20of%20Ministry%20of%20Health%20Eng.pdf.
[3] Ministry of Health. Royal Kram promulgating the Law on the Establishment of Ministry of Health. Phnom Penh: Ministry of Health. [Accessed 7th March 2024]. Available from: https://moh.gov.kh/content/uploads/Laws_and_Regulations/Law/Law%20on%20Establishment%20of%20Ministry%20of%20Health%201996%20Eng.pdf.
[4] Sok R. GDT boosting tax rates on non-alcoholic drinks. Phnom Penh: The Phnom Penh Post; 2023. [Accessed 7th March 2024]. Available from: https://www.phnompenhpost.com/business/gdt-boosting-tax-rates-non-alcoholic-drinks.
[5] Food Compliance. New special tax on energy drinks. Singapore: Food Compliance; 2023. [Accessed 7th March 2024]. Available from: https://foodcomplianceinternational.com/industry-insight/news/3716-new-special-tax-on-energy-drinks.</t>
  </si>
  <si>
    <t>[1] Alasiri A A, Mohammed V. Healthcare Transformation in Saudi Arabia: An Overview Since the Launch of Vision 2030. Health services insights, 15, 11786329221121214. 
[2] Ministry of Health. MOH Portal. Riyadh: Ministry of Health; 2022. Available from: https://www.moh.gov.sa/en/Pages/default.aspx
[3] PHA. PHA Portal. Riyadh: Public Health Authority; 2021. Available from: https://covid19.cdc.gov.sa
[4] Ministry of Health. Royal Commission for Riyadh City (RCRC). Riyadh: Royal Commission for Riyadh City; 2024. Available from: https://www.rcrc.gov.sa/en/</t>
  </si>
  <si>
    <t>[1] Donatini, A. International Health Care System Profiles Italy. The Commonwealth Fund, New York, 5 June 2020. Available from: https://www.commonwealthfund.org/international-health-policy-center/countries/italy
[2] Metropolitan City of Rome Capital (Città metropolitana di Roma Capitale). Struttura organizzativa (Organizational structure). Rome, 2024. Available from: https://www.cittametropolitanaroma.it/homepage/la-citta-metropolitana/struttura-organizzativa/</t>
  </si>
  <si>
    <t>[1] Seoul Metropolitan Council. Council Functions and Responsibilities. Seoul: Seoul Metropolitan Council. Available from: https://www.smc.seoul.kr/foreign/index.do?lang=english. 
[2] Seoul Metropolitan Council. Ordinance for Supporting Chronic Disease Patient Health Management Using Private Health and Medical Institutions. 30 December 2022. Seoul: Seoul Metropolitan Council. Available from: law.go.kr/DRF/lawService.do?OC=poweresca&amp;target=ordin&amp;MST=1772933&amp;type=HTML&amp;mobileYn=.</t>
  </si>
  <si>
    <t>[1] (US) Congressional-Executive Commission on China. China's State Organizational Structure. Washington, DC: Congressional-Executive Commission on China. [Accessed 2nd March 2024]. Available from: https://www.cecc.gov/chinas-state-organizational-structure
[2] Shanghai Municipal People's Government. Shanghai Municipal Health Commission [上海市卫生健康委员会]. Shanghai: Shanghai Municipal People's Government. [Accessed 3 March 2024]. Available from: https://www.shanghai.gov.cn/nw2405/20201030/d66e61c9cd4a401db0134436c6e47278.html
[3] World Bank Group, World Health Organization, Ministry of Finance, et al. Deepening Health Reform in China: Building High-Quality And Value-Based Service Delivery. Washington, DC: World Bank Group, 2016. Available from: https://documents1.worldbank.org/curated/en/800911469159433307/pdf/107176-REVISED-PUBLIC-ENGLISH-Health-Reform-In-China-Policy-Summary-Oct-reprint-ENG.pdf</t>
  </si>
  <si>
    <t>[1] OECD iLibrary. Chapter 2 Understanding Decentralisation Systems. Paris. OECD.2019.. Available from: https://www.oecd-ilibrary.org/sites/53013b71-en/index.html?itemId=/content/component/53013b71-en 
[2] Commonwealth Governance. Local Government of Singapore. Commonwealth Governance Online. 2024. Available from: https://www.commonwealthgovernance.org/countries/asia/singapore/local-government/ 
[3] National Archives of Singapore. Agency Details - Government Records. Singapore. National Archives of Singapore.2024. Available from: https://www.nas.gov.sg/archivesonline/government_records/agency-details/5</t>
  </si>
  <si>
    <t>[1] New South Wales Electoral Commission. Levels of government NSW Electoral Commission. Sydeny: New South Wales Electoral Commission; 2023. Available from: https://elections.nsw.gov.au/elections/how-voting-works/levels-of-government#:~:text=Australia%20has%20three%20levels%20of,areas%2Fshires%2Fmunicipalities%20across%20Australia
‌
[2] Matthew Parkes. A role for taxation in reducing Australia's sugar consumption. Canberra: The Australian National University Tax and Transfer Policy Institute; 2022. Available from: https://taxpolicy.crawford.anu.edu.au/sites/default/files/uploads/taxstudies_crawford_anu_edu_au/2022-03/complete_policy_brief_1_2022_m_parkes.pdf .</t>
  </si>
  <si>
    <t>[1] Ministry of Internal Affairs and Communications. Non-statutory Taxes. Tokyo: Ministry of Internal Affairs and Communications. Available from: https://www.soumu.go.jp/main_sosiki/jichi_zeisei/czaisei/czaisei_seido/149767_24.html
[2] Bureau of Taxation, Tokyo Metropolitan Government. Non-statutory Taxes of Tokyo. Tokyo: Bureau of Taxation, Tokyo Metropolitan Government. Available from: https://www.tax.metro.tokyo.lg.jp/report/tz_p/tz_p2.html</t>
  </si>
  <si>
    <t>[1] City of Toronto. City of Toronto Act. Toronto: City of Toronto; n.d. Available from: https://www.toronto.ca/city-government/accountability-operations-customer-service/city-administration/city-managers-office/intergovernmental-affairs/city-of-toronto-act/#:~:text=With%20COTA%2C%20Toronto's%20government%20has,being%2C%20subject%20to%20certain%20limitations.
[2] City of Toronto. Strong Mayor Powers Overview. Toronto: City of Toronto; 2023. Available from: https://www.toronto.ca/wp-content/uploads/2022/11/9011-Strong-Mayor-Powers-Factsheet-FINAL-for-External-Web-Nov25.pdf
[3] City of Toronto. Toronto City Council and Committees By-laws and Municipal Code. Toronto: City of Toronto. Available from: https://www.toronto.ca/legdocs/bylaws/law-home/about-bylaws-and-code.htm</t>
  </si>
  <si>
    <t>[1] Austrian Parliament. Federal &amp; State Governments. Vienna: Austrian Parliament. [Accessed 19th March 2024]. Available from: https://www.parlament.gv.at/verstehen/politisches-system/bund-laender
[2] Austrian Parliament. Federal Principle. Vienna: Austrian Parliament. [Accessed 19th March 2024]. Available from: https://www.parlament.gv.at/verstehen/politisches-system/bund-laender/prinzip/</t>
  </si>
  <si>
    <t>[1] The Commonwealth Fund. China. [5 June 2020, Accessed 14th March 2024]. Available from: https://www.commonwealthfund.org/international-health-policy-center/countries/china.
[2] National Health Commission of the People's Republic of China. What we do. National Health Commission of the People's Republic of China. [22 September 2018, Accessed 14th March 2024}. Available from: http://en.nhc.gov.cn/2018-09/22/c_74499.htm.
[3] Wuhan Municipal Health Committee. Notice of the Municipal Health Commission and the Municipal Development and Reform Commission on Issuing the Wuhan Medical Institution Establishment Plan (2023-2025) [市卫健委 市发改委关于印发武汉市医疗机构设置规划（2023-2025年）的通知]. Wuhan: Wuhan Municipal Health Committee; 7 September 2023. Available from: https://wjw.wuhan.gov.cn/zwgk_28/zc/gfxwj/202309/t20230907_2260311.shtml
[4] Wuhan Municipal People's Government. Measures of Wuhan City for Basic Medical Insurance [武汉市基本医疗保险办法]. Wuhan: Wuhan Municipal People's Government; 7 November 2022. Available from: https://english.wuhan.gov.cn/GR_12797/202401/P020240117647541372229.pdf</t>
  </si>
  <si>
    <t>[1] Addis Ababa City Administration Food and Drug Authority (AAFDA). About Us. Addis Ababa: Addis Ababa City Administration. [archived 12 March 2024, Accessed 8th April 2024]. Available from: https://web.archive.org/web/20240312214026/https://aafda.gov.et/about.php
[2] Ministry of Health. National Health Sector Strategic Plan For Early Childhood Development In Ethiopia 2020/21-2024/25. Addis Ababa, Ethiopia: Ministry of Health. [October 2020, Accessed 29th March 2024].
[3] Addis Ababa City Administration. Health Bureau. Addis Ababa: Addis Ababa City Administration. [Accessed 29th March 2024]. Available from: https://cityaddisababa.gov.et/en/office/health-bureau
[4] C40 Cities. [Accessed 29th March 2024]. Available from: www.c40.org</t>
  </si>
  <si>
    <t>[1] Facebook: DSP d'Alger. Algiers: DSP d'Alger. [Accessed 5th March 2024]. Available from: https://www.facebook.com/DSPAlger16
[2] Ministry of Health, Population, and Hospital Reform. Official Website. Algiers: Ministry of Health, Population, and Hospital Reform. [Archived 2022]. Available from: https://web.archive.org/web/20220812202112/https://sante.gov.dz/</t>
  </si>
  <si>
    <t>[1] City of Atlanta. City of Atlanta, GA [Internet]. atlantaga.gov. 2024 [Accessed February 22nd 2024]. Available from: http://www.atlantaga.gov/ 
[2] Georgia Department of Public Health. Georgia Department of Public Health | We Protect Lives [Internet]. Georgia.gov. 2019 [Accessed February 22nd 2024]. Available from: https://dph.georgia.gov/ 
[3] County Office. Health Departments - Atlanta, GA (Health &amp; Vital Records) [Internet]. www.countyoffice.org. 2024 [Accessed February 22nd 2024]. Available from: https://www.countyoffice.org/atlanta-ga-health-departments/
[4] Georgia Department of Public Health. Disease Reporting [Internet]. Georgia Department of Public Health. 2024 [Accessed February 22nd 2024]. Available from: https://dph.georgia.gov/epidemiology/disease-reporting
[5] Fulton County Board of Health. About | Fulton County Board of Health [Internet]. Fulton County Board of Health. 2022 [Accessed March 18th 2024]. Available from: https://fultoncountyboh.com/about/
[6] Fulton County Board of Health. Chronic Disease Prevention | Fulton County Board of Health [Internet]. Fulton County Board of Health. 2022 [Accessed March 18th 2024]. Available from: https://fultoncountyboh.com/community-health/chronic-disease-prevention/
[7] International Society for Urban Health. International Conference on Urban Health [Internet]. ISUH - International Society for Urban Health. 2023 [Accessed February 22nd 2024]. Available from: https://isuh.org/conference/</t>
  </si>
  <si>
    <t>[1] Health New Zealand. About us. Auckland: Te Whatu Ora Te Toka Tumai Auckland; 1 July 2022. [Accessed March 24th 2024]. Available from https://www.adhb.health.nz/about-us/latest-stories/te-whatu-ora-te-toka-tumai-auckland/
[2] Auckland Council. Direction 2: Improve health and wellbeing for all Aucklanders by reducing harm and disparities in opportunities. Auckland: Auckland Council; 2024. [Accessed March 24th 2024]. Available from https://www.aucklandcouncil.govt.nz/plans-projects-policies-reports-bylaws/our-plans-strategies/auckland-plan/belonging-participation/Pages/direction-improve-health-wellbeing-aucklanders-reducing-harm-disparities.aspx.
[3] Jennifer L R Joynt. Defining a Well-Functioning Urban Environment. A systematic literature review in response to the National Policy Statement on Urban Development. Auckland: Research and Evaluation Unit, Auckland Council; 2021. [Accessed March 24th 2024]. Available from https://knowledgeauckland.org.nz/media/2172/dp2021-01-defining-a-well-functioning-urban-environment-lit-review.pdf
[4] Healthy Auckland Together. About us. [Accessed March 24th 2024]. Available from https://www.healthyaucklandtogether.org.nz/about-us/
[5] Alliance for Healthy Cities. [Accessed March 24th 2024]. Available from https://www.alliance-healthycities.com/htmls/charter/index_charter.html</t>
  </si>
  <si>
    <t>[1] Powers and Responsibilities of the Public Health and Environmental Strategy Division. Bangkok Metropolitan Administration. Available from: https://webportal.bangkok.go.th/hesd/page/sub/4352/%E0%B8%AD%E0%B8%B3%E0%B8%99%E0%B8%B2%E0%B8%88%E0%B8%AB%E0%B8%99%E0%B9%89%E0%B8%B2%E0%B8%97%E0%B8%B5%E0%B9%88
[2] Bangkok Resilience Strategy. Resilient Cities Network. Bangkok; 2017. Available from: https://resilientcitiesnetwork.org/downloadable_resources/Network/Bangkok-Resilience-Strategy-English.pdf</t>
  </si>
  <si>
    <t>[1] The People's Government of Beijing Municipality. Beijing Municipal Health Commission. Beijing: The People's Government of Beijing Municipality, 27 June 2020. Available from: https://english.beijing.gov.cn/government/departments/202006/t20200627_1932960.html
[2] Beijing Municipal Health Commission. Statutory Duties. Beijing: Beijing Municipal Health Commission, 30 November 2016. Available from: https://wjw.beijing.gov.cn/English/AboutUS/
[3] Foreign Affairs Office - Hong Kong and Macao Affairs Office - The People's Government of Beijing Municipality. 2022 International Conference for Public Health Cooperation Held in Beijing. Beijing: The People's Government of Beijing Municipality, 9 September 2022. Available from: https://wb.beijing.gov.cn/en/express/202212/t20221228_2886202.html
[4] Foreign Affairs Office - Hong Kong and Macao Affairs Office - The People's Government of Beijing Municipality. Beijing International Conference for Public Health Cooperation of CIFTIS issues Beijing Initiative, calling for closer worldwide cooperation. Beijing: The People's Government of Beijing Municipality, 8 September 2020. Available from: https://wb.beijing.gov.cn/en/center_for_international_exchanges/events/202010/t20201027_2121847.html</t>
  </si>
  <si>
    <t>[1] Federal State of Berlin. Health Department (Abteilung Gesundheit). Berlin: Federal State of Berlin; 2024. Available from: https://www.berlin.de/sen/gesundheit/
[2] Federal State of Berlin. Legal Basis. Berlin: Health Department; 2024. Available from: https://www.berlin.de/sen/gesundheit/gesundheitswesen/oeffentlicher-gesundheitsdienst/rechtliche-grundlagen-1364874.php
[3] Federal State of Berlin. ÖGD: Structure and Tasks. Berlin: Health Department; 2024. Available from: https://www.berlin.de/sen/gesundheit/gesundheitswesen/oeffentlicher-gesundheitsdienst/struktur-und-aufgaben/
[4] Federal State of Berlin. Reporting Obligation. Berlin: Department of Surveillance and Epidemiology of Infectious Diseases; 2024. Available from: https://www.berlin.de/lageso/gesundheit/infektionskrankheiten/meldepflicht-meldeformulare/
[5] Federal State of Berlin. Healthy Cities Network. Berlin: Health Department; 2024. Available from: https://www.berlin.de/sen/gesundheit/gesundheitsfoerderung-und-praevention/gesunde-staedte-netzwerk/</t>
  </si>
  <si>
    <t>[1] Alcaldía Mayor de Bogotá.Decreto N507 DE 06 NOV 2013. Por el cual se modifica la Estructura Organizacional de la Secretaría Distrital de Salud de Bogotá, DC. Bogotá. Alcaldía Mayor de Bogotá. 2013. Available from: https://www.saludcapital.gov.co/Documents/Decreto_507%20Estructura%20SDS.pdf 
[2] Secretaría Distrital de Salud de Bogotá. Entidades de Control. Bogotá. Secretaría Distrital de Salud de Bogotá. 2024. Available from: https://www.saludcapital.gov.co/Paginas2/EntesdeControl.aspx#:~:text=La%20inspecci%C3%B3n%20es%20el%20conjunto 
[3] Bloomberg Philanthropies. Partnership for Healthy Cities. New York.Bloomberg Philanthropies. 2024. Available from: https://www.bloomberg.org/public-health/building-public-health-coalitions/partnership-for-healthy-cities/</t>
  </si>
  <si>
    <t>[1] Wolters Kluwers Hungary Law Database. Law CLXXXIX of 2011 on Local Governments of Hungary (2011. évi CLXXXIX. törvény Magyarország helyi önkormányzatairól). Budapest: Wolters Kluwers Hungary. [Last updated on 06 March 2024; Accessed 6th March 2024]. Available from: https://net.jogtar.hu/jogszabaly?docid=a1100189.tv
[2] Budapest Second District Local Government Healthcare Service. Budapest: Budapest Second District Local Government. [Accessed 06 March 2024]. Available from: https://www.kapas.hu/kapas/
[3] Budapest 18th District, Pestszentőrinc-Pestszentimre Health Service. Budapest: Budapest 18th District Local Government. [Accessed 6th March 2024]. Available from: https://www.18euszolg.hu
[4] Budapest 21st District Local Government Healthcare Service. Budapest: Budapest 21st District Local Government. [Accessed 6th March 2024]. Available from: https://www.tiesz.hu
[5] Official Website of the City of Budapest. Budapest: Municipality of the City of Budapest. [Accessed 6th March 2024] Available from: https://budapest.hu
[6] Wolters Kluwers Hungary Law Database. Law CLIV of 1997 on healthcare. Budapest: Wolters Kluwers Hungary. [Last updated on 22 March 2024; Accessed 22nd March 2024]. Available from https://net.jogtar.hu/jogszabaly?docid=99700154.tv
[7] Council of Europe and The Congress. Monitoring of the European Charter of Local Self-Government in Hungary. 12 February 2021. Available from: https://rm.coe.int/monitoring-of-the-european-charter-of-local-self-government-in-hungary/1680a129f6
[8] EIT. Urban Mobility. New EIT Community Hub in Budapest to support more innovators in Central and Eastern Europe. Budapest: EIT, 16 September 2021. Available from: https://www.eiturbanmobility.eu/new-eit-community-hub-in-budapest-to-support-more-innovators-in-central-and-eastern-europe/
[9] WHO. Statement of the WHO European Healthy Cities Network and WHO Regions for Health Network presented at the Seventh Ministerial Conference on Environment and Health Budapest, Hungary, 5−7 July 2023. Geneva: World Health organisation. [Accessed 22nd March 2024]. Available from: https://iris.who.int/handle/10665/371053</t>
  </si>
  <si>
    <t>[1] Cairo Governorate. Directorate of Health Affairs. Cairo: Cairo Governorate. [Accessed 10th March 2024]. Available from: http://www.cairo.gov.eg/ar/Pages/DirectorateDetails.aspx?DirID=1
[2] Bloomberg. Bucharest, Cairo, Córdoba, Dublin, Greater Manchester, and Warsaw Join Bloomberg Philanthropies' Partnership for Healthy Cities. New York: Bloomberg, 2021. Available from: https://www.bloomberg.org/press/bucharest-cairo-cordoba-dublin-greater-manchester-and-warsaw-join-bloomberg-philanthropies-partnership-for-healthy-cities/</t>
  </si>
  <si>
    <t>[1] Dhaka North City Corporation. List of Officers (not in order of seniority). Dhaka: Dhaka North City Corporation. Available from: https://www.dncc.gov.bd/site/view/officer_list_category/%E0%A6%B8%E0%A7%8D%E0%A6%AC%E0%A6%BE%E0%A6%B8%E0%A7%8D%E0%A6%A5%E0%A7%8D%E0%A6%AF%20%E0%A6%AC%E0%A6%BF%E0%A6%AD%E0%A6%BE%E0%A6%97
[2] Dhaka South City Corporation. Department of Health. Dhaka: Dhaka South City Corporation. Available from: https://dscc.gov.bd/site/page/7370d31c-77a2-4369-8d94-fe1f86004c96/%E0%A6%B8%E0%A7%8D%E0%A6%AC%E0%A6%BE%E0%A6%B8%E0%A7%8D%E0%A6%A5%E0%A7%8D%E0%A6%AF-%E0%A6%AC%E0%A6%BF%E0%A6%AD%E0%A6%BE%E0%A6%97
[3] Bangladesh Urban Health Network. Bangladesh Urban Health Network Portal. n.d: Bangladesh Urban Health Network. Available from: https://buhn.org/</t>
  </si>
  <si>
    <t>[1] United Arab Emirates' Government. Health regulatory authorities. United Arab Emirates. The United Arab Emirates' Government Portal. [27 September 2023; Accessed 5th March 2024]. Available from: https://u.ae/en/information-and-services/health-and-fitness/health-authorities.
[2] Government of Dubai. Dubai Health Investment Guide 2023. Dubai: Dubai Health Authority; 2023. Available from: https://www.dha.gov.ae/uploads/022022/Dubai%20Health%20Investment%20Guide%20en2022221649.pdf.
[3] Government of Dubai. Dubai Health Authority: About Us. Dubai: Dubai Health Authority. [Accessed 6th March 2024]. Available from: https://www.dha.gov.ae/en/AboutUs.
[4] UN-Habitat. The City We Need Now! Middle East Campaign launched in Dubai. Dubai: UN-Habitat; 2022. Available from: https://unhabitat.org/news/12-feb-2022/the-city-we-need-now-middle-east-campaign-launched-in-dubai.
[5] Mohammed bin Rashid Al Maktoum. Law No. (14) of 2021 Amending Law No.6 of 2018 - Concerning the Dubai Health Authority. Dubai Health Authority; 2021. Available from: https://dlp.dubai.gov.ae/Legislation%20Reference/2021/Law%20No.%20(14)%20of%202021%20Amending%20Law%20No.%206%20of%202018.pdf.</t>
  </si>
  <si>
    <t>[1] City of Helsinki. Organizational chart of the city. Helsinki: City of Helsinki. [Accessed 7th March 2024]. Available from: https://www.hel.fi/fi/paatoksenteko-ja-hallinto/kaupungin-organisaatio/kaupungin-organisaatiokaavio
[2] City of Helsinki. Social, Health and Rescue Division. Helsinki: City of Helsinki. [Accessed 7th March 2024]. Available from: https://www.hel.fi/fi/paatoksenteko-ja-hallinto/kaupungin-organisaatio/toimialat/sosiaali-terveys-ja-pelastustoimiala
[3] City of Helsinki. Administrative Regulation of the City of Helsinki. Helsinki: City of Helsinki. [28 February 2024; Accessed 7th March 2024]. Available from: https://www.hel.fi/static/liitteet/kanslia/saannot/kaupungin-hallintosaanto.pdf
[4] City of Helsinki. European Healthy Cities Network. Helsinki: City of Helsinki. [Accessed 7th March 2024]. Available from: https://hyte.hel.fi/en/european-healthy-cities-network</t>
  </si>
  <si>
    <t>[1] The Department of Health of Hochiminh City official website. Available from: https://soyte.hochiminhcity.gov.vn/Default.aspx
[2] The Department of Health of Hochiminh City function and responsibilities. Available from: https://soyte.hochiminhcity.gov.vn/chuc-nang-nhiem-vu/chuc-nang-nhiem-vu-va-quyen-han-c1002-5298.aspx 3. https://cities4health.org/
[3] Bloomberg Philanthropies. Partnership for Healthy Cities. New York. Bloomberg Philanthropies. 2024. Available from: https://www.bloomberg.org/public-health/building-public-health-coalitions/partnership-for-healthy-cities/</t>
  </si>
  <si>
    <t>[1] Centre for Health Protection, Department of Health, HKSAR. Branches. Hong Kong: Centre for Health Protection; 2019. [Accessed March 21st 2024]. Available from https://www.chp.gov.hk/en/aboutus/submenu/23/index.html
[2] Alliance for Healthy Cities. AFHC Charter. Available from https://www.alliance-healthycities.com/htmls/charter/index_charter.html
[3] Hong Kong Special Administrative Region Government. Hong Kong joins global Partnership for Healthy Cities. Hong Kong: GovHK; 2019. [Accessed March 12th 2024]. Available from https://www.info.gov.hk/gia/general/201912/13/P2019121300302.htm.</t>
  </si>
  <si>
    <t>[1] World Health Organization (WHO) Regional Office for Europe and European Observatory on Health Systems and Policies. Health Systems in Action: Türkiye. Geneva. WHO. 2022. Available from: https://iris.who.int/bitstream/handle/10665/362347/9789289059213-eng.pdf?sequence=1
[2] T.R. Ministry of Health (T.C. Sağlık Bakanlığı). Istanbul Provincial Health Directorate (İstanbul İl Sağlık Müdürlüğü). Bulaşıcı Olmayan Hastalıklar Birimi (Non-Communicable Diseases Unit (Bulaşıcı Olmayan Hastalıklar Birimi). Website. Istanbul. T.C. Sağlık Bakanlığı. 2024. Available from: https://istanbulism.saglik.gov.tr/TR-49670/bulasici-olmayan-hastaliklar-birimi.html
[3] World Health Organisation (WHO). WHO European Healthy Cities Network. List of Phase VII Healthy Cities. Geneva. WHO. 2024. Available from: https://www.who.int/europe/list-of-phase-vii-healthy-cities</t>
  </si>
  <si>
    <t>[1] DKI Jakarta Health Department. Available from: https://dinkes.jakarta.go.id/
[2] Rencana Strategis; Dinas Kesehatan Provinsi DKI Jakarta 2023-26. Available from: https://e-renggar.kemkes.go.id/file_performance/1-010024-2tahunan-349.pdf
[3] Cities Changing Diabetes. Available from: https://www.citieschangingdiabetes.com/network/jakarta.html#:~:text=Together%20with%20its%20partners%2C%20Cities,developing%20a%20Diabetes%20Management%20Guideline.
[4] Breathe Cities. Bloomberg Philanthropies. Available from: https://www.bloomberg.org/press/breathe-cities-unveils-new-cohort-of-cities-to-join-ambitious-initiative-to-fight-toxic-air-pollution/</t>
  </si>
  <si>
    <t>[1] City of Johannesburg. Government Structure. Johannesburg: City of Johannesburg. [Accessed 2nd March 2024]. Available from: https://joburg.org.za/about_/government/Pages/Council/structure.aspx.
[2] City of Johannesburg. Executive. Johannesburg: City of Johannesburg. [Accessed 2nd March 2024]. Available from: https://joburg.org.za/about_/government/Pages/Executive/Executive0728-9274.aspx.
[3] City of Johannesburg. CoJ Line Functions reporting to City Manager, MEs and relevant political portfolios. Johannesburg: City of Johannesburg. [Accessed 2nd March 2024]. Available from: https://joburg.org.za/about_/government/Documents/highlevelstructure2.pdf.
[4] City of Johannesburg. Departments - Health. Johannesburg: City of Johannesburg. [Accessed 2nd March 2024]. Available from: https://joburg.org.za/departments_/Pages/City%20directorates%20including%20departmental%20sub-directorates/Health/Health-.aspx.
[5] City of Johannesburg. Departments Directorates - Health. Johannesburg: City of Johannesburg. [Accessed 2nd March 2024]. Available from: https://joburg.org.za/departments_/Pages/City%20directorates%20including%20departmental%20sub-directorates/Health%20and%20Social%20Development/Health/Directorates/Directorates.aspx.
[6] Mokgari M, Pwaka O. An Evaluation of Effectiveness of Oversight Committees: A Case of City of Johannesburg, Section 79 Committees. 2018;5[2]. Available from: https://archive.conscientiabeam.com/index.php/74/article/view/1404/5109.
[7] City of Johannesburg. Management Support and Development Services. Johannesburg: City of Johannesburg. [Accessed 2nd March 2024]. Available from: https://joburg.org.za/departments_/Pages/City%20directorates%20including%20departmental%20sub-directorates/Health%20and%20Social%20Development/Health/Directorates/Management-Support-Services.aspx
[8] Afrik2. AFRICA: Mayors launch "Healthy Cities" for urban health and well-being. Paris: Afrik2. Available from: https://www.afrik21.africa/en/africa-mayors-launch-healthy-cities-for-urban-health-and-well-being/.
[9] Cities Changing Diabetes. Malmö: Cities Changing Diabetes. [Accessed 11th March 2024]. Available from: https://www.citieschangingdiabetes.com/network/johannesburg.html</t>
  </si>
  <si>
    <t>[1] Anwar F. Local and City Government Handbook Province of Sindh and Karachi City. Washington (DC): U.S.Agency for International Development, 2018. Available from: https://shehri.org/img/Local%20&amp;%20City%20Govt%20FINAL%20File.pdf
[2] Government of Sindh. Functions, Health Department. Karachi: Government of Sindh. [Accessed 18th March 2024]. Available from: https://sindhhealth.gov.pk/Function 
[3] Government of Sindh. Moving Together to build a Healthier Pakistan. Karachi: Government of Sindh, 2021. Available from: https://phkh.nhsrc.pk/sites/default/files/2022-05/Essential%20Package%20of%20Health%20Services%20with%20Localized%20Evidence%20Sindh%202021.pdf
[4] Government of Sindh. Sindh Health Sector Strategy 2012-2020. Karachi: Government of Sindh, 2013. Available from: https://phkh.nhsrc.pk/sites/default/files/2019-06/Sindh%20Health%20Sector%20Strategy%202012-20.pdf
[5] Karachi Metropolitan Corporation. Official Website. Karachi: Karachi Metropolitan Corporation. [Accessed 22nd March 2024]. Available from: https://www.kmc.gos.pk/en
[6] Government of Sindh. Health Department. Karachi: Government of Sindh. [Accessed 18th March 2024]. Available from: https://sindhhealth.gov.pk/</t>
  </si>
  <si>
    <t>[1] Health Department. Kathmandu Metropolitan City. Available from: https://kathmandu.gov.np/category/department/health-department/
[2] Public Health Management Act of 2080. Kathmandu Metropolitan City. 2023. Available from:
https://kathmandu.gov.np/wp-content/uploads/2023/08/%E0%A4%9C%E0%A4%A8%E0%A4%B8%E0%A5%8D%E0%A4%B5%E0%A4%BE%E0%A4%B8%E0%A5%8D%E0%A4%A5%E0%A5%8D%E0%A4%AF-%E0%A4%B8%E0%A4%AE%E0%A5%8D%E0%A4%AC%E0%A4%A8%E0%A5%8D%E0%A4%A7%E0%A4%AE%E0%A4%BE-%E0%A4%B5%E0%A5%8D%E0%A4%AF%E0%A4%B5%E0%A4%B8%E0%A5%8D%E0%A4%A5%E0%A4%BE-%E0%A4%97%E0%A4%B0%E0%A5%8D%E0%A4%A8-%E0%A4%AC%E0%A4%A8%E0%A5%87%E0%A4%95%E0%A5%8B-%E0%A4%9C%E0%A4%A8%E0%A4%B8%E0%A5%8D%E0%A4%B5%E0%A4%BE%E0%A4%B8%E0%A5%8D%E0%A4%A5%E0%A5%8D%E0%A4%AF-%E0%A4%90%E0%A4%A8-%E0%A5%A8%E0%A5%A6%E0%A5%AE%E0%A5%A6.pdf
[3] Urban Health Initiative - Improving air quality and health in cities. World Health Organization. 2024. Available from: https://www.who.int/initiatives/urban-health-initiative
[4] Partnership for Healthy Cities. Home [Internet]. Partnership for Healthy Cities. World Health Organization, Bloomberg Philanthropies and Vital Strategies; 2023. Available from: https://cities4health.org/</t>
  </si>
  <si>
    <t>[1] Government of West Bengal. Health and Family Welfare Department. [Accessed March 10th 2024]. Available from: https://www.wbhealth.gov.in/contents/aboutus 
[2] Kolkata Municipal Corporation. [Accessed March 10th 2024]. Available from: https://www.kmcgov.in/KMCPortal/jsp/KMCPortalHome1.jsp</t>
  </si>
  <si>
    <t>[1] Mossialos E et al. Kuwait: Health System Review. London: London School of Economics and Politics (LSE Health), 2018. Available from: https://www.lse.ac.uk/lse-health/assets/documents/Reports/Kuwait-Health-System-Review.pdf
[2] Health Capital Area. Kuwait: Health Capital Area. [Accessed 8th March 2024]. Available from: https://hcarea.com
[3] Instagram - Kuwait Times. Instagram, 2020 [Accessed 18th March 2024]. Available from: https://www.instagram.com/p/B91VEb4hGN2/
[4] Kuwait Times. Qurtuba joins WHO health city network. Kuwait: Kuwait Times, 2020 [Accessed 8th March 2024]. Available from: https://kuwaittimes.com/qurtuba-joins-who-health-city-network/
[5] World Health Organization Kuwait. WHO at 75: Saving Lives, Driving Health For All. Kuwait: World Health Organization Kuwait, 2023 [Accessed 18th March 2024]. Available from: https://www.emro.who.int/images/stories/kuwait/kuwait-newsletter-q2-2023.pdf?ua=1</t>
  </si>
  <si>
    <t>[1] Ministry of Health. Responsibilities. Lagos. Ministry of Health. [Accessed 3rd March 2024]. Available from: https://health.lagosstate.gov.ng/responsibilities/
[2] Lagos State Ministry of Health (MOH). Health Care Planning, Research &amp; Statistics. Lagos. MOH. [Accessed 16th March 2024]. Available from: https://lagosministryofhealth.org/health-care-planning-research-statistics/
[3] Afrik2. AFRICA: Mayors launch "Healthy Cities" for urban health and well-being. Paris: Afrik2. Available from: https://www.afrik21.africa/en/africa-mayors-launch-healthy-cities-for-urban-health-and-well-being/.</t>
  </si>
  <si>
    <t>[1] Greater London Authority. GLA Group Public Health Unit. London: GLA. Available from: https://www.london.gov.uk/programmes-strategies/health-and-wellbeing/gla-group-public-health-unit
[2] Fenton K. Introducing the GLA Group Public Health Unit. London: GLA; 2022. Available from: https://www.london.gov.uk/city-hall-blog/introducing-gla-group-public-health-unit
[3] Solomon V. London Health Board. A non-statutory board chaired by the Mayor of London, with elected leaders and key London professional health leads. London: London Councils. Available from: https://www.londoncouncils.gov.uk/our-key-themes/health-and-adult-services/health/london-health-board
[4] NHS London Healthy Urban Development Unit. NHS London Healthy Urban Development. London: NHS London HUDU. Available from: https://www.healthyurbandevelopment.nhs.uk/
[5] NHS London Healthy Urban Development Unit. Rapid Health Impact Assessment Tool. Fourth Edition. London: NHS London HUDU; 2019. Available from: https://www.healthyurbandevelopment.nhs.uk/wp-content/uploads/2019/10/HUDU-Rapid-HIA-Tool-October-2019.pdf 
[6] Partnership for Healthy Cities. Home [Internet]. Partnership for Healthy Cities. World Health Organization, Bloomberg Philanthropies and Vital Strategies; 2023. Available from: https://cities4health.org/</t>
  </si>
  <si>
    <t>[1] Community of Madrid (Comunidad de Madrid). Organigramas Por Consejerías (Organization Charts By Councils). PowerPoint presentation, 6 July 2023. Available from: https://www.comunidad.madrid/transparencia/sites/default/files/ckeditor/organigrama-06_07_2023.pdf
[2] Community of Madrid (Comunidad de Madrid). PRESUPUESTOS GENERALES DE LA COMUNIDAD DE MADRID 2022 (GENERAL BUDGETS OF THE COMMUNITY OF MADRID 2022). 2023. Available from: https://www.comunidad.madrid/sites/default/files/gobierno_abierto/2022-presupuesto-libro-15-sanidad.pdf
[3] National Institute of Public Administration (Instituto Nacional de Administración Pública). Legislation (Legislación). Estructura orgánica de la Consejería de Sanidad (Organic structure of the Council of Health). 2024. Available from: https://laadministracionaldia.inap.es/noticia.asp?id=1237567
[4] Community of Madrid (Comunidad de Madrid). Health Madrid (Salud Madrid). Observatorio de resultados del Servicio Madrileño de Salud (Observatory of results of the Madrid Health Service). Indicadores de Atención Primaria (Primary Care Indicators). 2024. Available from: http://observatorioresultados.sanidadmadrid.org/AtencionPrimariaLista.aspx
[5] Spanish Federation of Municipalities and Provinces. Spanish Healthy Cities Network. Available from: http://femp.femp.es/Portal/Front/Institucional/RedesFront/_TrZaic7p2ZZxdt8L24lGzXUaRbNa0HjWx_7M9Y2GA1yZ91wASkCL7JKfSGowHrQptDnPDy7AKW8p3VrO_aAXx98NZTa0SB8DFPBAa8KZIgJIPP_1I1aEihR_CvzAMo9nzC6k53RXpCu2PRpSqmy8lxnLM2ARrBJVyCIq2Ysgcsi6fqYzpsRDzW7IXa8Vq-7G9SugqrBg4bAeg_KnkysMLGGBgm2FOaH9BauqJSRzezk#:~:text=The%20Spanish%20Healthy%20Cities%20Network,of%20the%20World%20Health%20Organization.
[6] Spanish Federation of Municipalities and Provinces. Spanish Network of Healthy Cities (Federación Española de Municipios y Provincias
Red Española de Ciudades Saludables). ENTIDADES LOCALES ADHERIDAS A LA RED ESPAÑOLA DE CIUDADES SALUDABLES DICIEMBRE 2023 ( LOCAL ENTITIES ADHERED TO THE SPANISH NETWORK OF HEALTHY CITIES DECEMBER 2023). 2023. Available from: https://recs.es/wp-content/uploads/2024/02/Entidades_Locales_RECS_Diciembre-2023.pdf
[7] World Health Organisation (WHO). WHO European Healthy Cities Network. List of Phase VII Healthy Cities. Undated. Available from: https://www.who.int/europe/list-of-phase-vii-healthy-cities</t>
  </si>
  <si>
    <t>[1] Republic of the Philippines. Republic Act No. 409. An Act to Revise the Charter of the City of Manila, and for Other Purposes. Metro Manila: Republic of the Philippines, 1949. [Accessed 22nd February 2024]. Available from: https://manilahealthdepartment.com/about.html
[2] Manila Health Department. Manila Citizen's Charter. Manila: City Government of Manila, 2020. [Accessed 22nd February 2024]. Available from: https://manila.gov.ph/wp-content/uploads/2020/05/4g-Manila-Health-Department.pdf
[3] City of Manila. Manila: City of Manila - Republic of the Philippines. [Accessed 23rd February 2024]. Available from: https://manila.gov.ph/</t>
  </si>
  <si>
    <t>[1] Australian Institute of Health and Welfare. Australia's health 2016. Australia's health series no. 15. Cat. no. AUS 199. Canberra: Australian Institute of Health and Welfare; 2016. Available from: https://www.aihw.gov.au/getmedia/f2ae1191-bbf2-47b6-a9d4-1b2ca65553a1/ah16-2-1-how-does-australias-health-system-work.pdf.aspx
[2] Partnership for Healthy Cities. Home [Internet]. Partnership for Healthy Cities. World Health Organization, Bloomberg Philanthropies and Vital Strategies; 2023. Available from: https://cities4health.org/</t>
  </si>
  <si>
    <t>[1] Secretaría de Salud de la Ciudad de México. Acerca de [About] [Internet]. Ciudad de México: Government of Mexico; 2024 [Accessed March 22nd 2024]. Available from: https://www.salud.cdmx.gob.mx/secretaria/acerca-de
[2] Cities Changing Diabetes. Mexico City [Internet]. Denmark: Cities Changing Diabetes Novo Nordisk A/S; 2024 [Accessed March 22nd 2024]. Available from: https://www.citieschangingdiabetes.com/network/mexico-city.html
[3] Partnership for Healthy Cities. Home [Internet]. Partnership for Healthy Cities. World Health Organization, Bloomberg Philanthropies and Vital Strategies; 2023. [Accessed March 22nd 2024] Available from: https://cities4health.org/</t>
  </si>
  <si>
    <t>[1] Moscow Department of Health. Moscow: Moscow Department of Health. [Accessed 12th March 2024]. Available from: https://mosgorzdrav.ru/
[2] Ministry of Health. Moscow: Ministry of Health of the Russian Federation. [Accessed 12th March 2024]. Available form: https://minzdrav.gov.ru/en
[3] WHO. WHO European Office for the Prevention and Control of Noncommunicable Diseases (in Moscow, Russian Federation). Geneva: World Health Organization. [Accessed 12th March 2024]. Available from: https://www.who.int/europe/ru/teams/who-european-office-for-prevention-and-control-of-noncommunicable-diseases-moscow-russian-federation/about-us</t>
  </si>
  <si>
    <t>[1] Navi Mumbai Municipal Corporation.Health Department. Mumbai. Navi Mumbai Municipal Corporation. 2018. Available from: https://nmmc.gov.in/navimumbai/health-department 
[2] Partnership for Healthy Cities. Home [Internet]. Partnership for Healthy Cities. World Health Organization, Bloomberg Philanthropies and Vital Strategies; 2023. Available from: https://cities4health.org/</t>
  </si>
  <si>
    <t>[1] Nairobi City Council. Health Wellness and Nutrition. Nairobi: Nairobi City Council, 2024. Available from: https://nairobi.go.ke/health-wellness-and-nutrition/
[2] Nairobi City Council. NAIROBI CITY COUNTY Community Health Services Implementation Plan 2023 – 2027. Nairobi: Nairobi City Council, 2023. Available from: https://nairobi.go.ke/download/nairobi-city-county-community-health-services-implementation-plan-2023-2027/
[3] Partnership for Healthy Cities. Nairobi, New York City and Osaka join Partnership for Healthy Cities network. New York: Partnership for Healthy Cities, 2023. Available from: https://cities4health.org/latest/press-releases/osaka-nairobi-and-new-york-city-join-the-partnership-for-healthy-cities</t>
  </si>
  <si>
    <t>[1] NYC Health. About the NYC Department of Health and Mental Hygiene. New York City. NYC Health.2024 Available from: https://www.nyc.gov/site/doh/about/about-doh.page 
[2] NYC Health. Food Establishment Inspections. New York City. NYC Health.2024. Available from: https://www.nyc.gov/site/doh/services/restaurant-grades.page 
[3] NYC Health. Special Reports. New York City. NYC Health.2024. Available from: https://www.nyc.gov/site/doh/data/data-publications/special-reports.page 
[4] Partnership for Healthy Cities. Nairobi, New York City, and Osaka Join Partnership for Healthy Cities Which Addresses Reducing Noncommunicable Diseases and Preventing Injuries. New York City. World Health Organization, Bloomberg Philanthropies and Vital Strategies. 2023. Available from: https://www.bloomberg.org/press/nairobi-new-york-city-and-osaka-join-partnership-for-healthy-cities-which-addresses-reducing-noncommunicable-diseases-and-preventing-injuries/</t>
  </si>
  <si>
    <t>[1] Health and Medical Department. Osaka: Osaka Prefecture. Available from: https://www.pref.osaka.lg.jp/life/list3.php?ctg03_id=5
[2] Osaka Prefectural Government. Management Policy of each Department: Health and Medila Department. Osaka: Osaka Prefectural Government; 2023. Available from: https://www.pref.osaka.lg.jp/attach/27925/00450982/r5kenkouiryoubu_unei.pdf
[3] Health and Medical Department, Osaka Prefecture. Annual Report on Health and Medical Policies. Osaka: Osaka Prefecture; 2023. Available from: https://www.pref.osaka.lg.jp/attach/bu6000/R5kenkouiryougyouseinogaiyou.pdf
[4] Japan International Cooperation Agency (JICA). Health and Medial Initiatives. Tokyo: Japan International Cooperation Agency . Available from: https://www.jica.go.jp/activities/issues/health/index.html
[5] Public Relations Office. Global Health Cooperation. Tokyo: Cabinet Office, Government of Japan; January 2023. Available from: https://www.gov-online.go.jp/eng/publicity/book/hlj/html/202301/202301_09_jp.html
[6] Alliance for Healthy Cities. Members. ALLIANCE FOR HEALTHY CITIES. Available from: https://www.alliance-healthycities.com/htmls/members/index_members.html
[7] Partnership for Healthy Cities. Home [Internet]. Partnership for Healthy Cities. World Health Organization, Bloomberg Philanthropies and Vital Strategies; 2023. Available from: https://cities4health.org/</t>
  </si>
  <si>
    <t>[1] City of Paris (Ville de Paris). Organigramme de la Ville de Paris (Organization chart of the City of Paris). Paris, 4 October 2023. Available from: https://www.paris.fr/pages/organigramme-de-la-ville-de-paris-2380
[2] City of Paris (Ville de Paris). Directorate of Public Health (Direction de la Santé Publique--DSP). Santé (Health). Paris, 2024. Available from: https://www.paris.fr/sante
[3] Isabelle Durand-Zaleski, AP-HP and Université Paris-Est. International Health Care System Profiles: France. The Commonwealth Fund, New York, 5 June 2020. Available from: https://www.commonwealthfund.org/international-health-policy-center/countries/france
[4] ARS Île-de-France. Rôles et missions de l'ARS Île-de-France (Roles and missions of the ARS Île-de-France). Paris, 27 July 2023. Available from: https://www.iledefrance.ars.sante.fr/roles-et-missions-de-lars-ile-de-france
[5] Ministry of Labor, Health and Solidarity (Ministère du Travail, de la Santé et des Solidarités). Maladies cardiovasculaires (Cardiovascular illnesses). Paris, 26 September 2023. Available from: https://sante.gouv.fr/soins-et-maladies/maladies/maladies-cardiovasculaires/article/maladies-cardiovasculaires
[6] World Health Organization (WHO). WHO European Healthy Cities Network. List of Phase VII Healthy Cities. Geneva, Undated. Available from: https://www.who.int/europe/list-of-phase-vii-healthy-cities
[7] Partnership for Healthy Cities. Home [Internet]. Partnership for Healthy Cities. World Health Organization, Bloomberg Philanthropies and Vital Strategies; 2023. Available from: https://cities4health.org/</t>
  </si>
  <si>
    <t>[1] Phnom Penh Capital Hall. The official website of Phnom Penh Capital Hall. Phnom Penh: Phnom Penh Capital Hall. [Accessed 2nd March 2024]. Available from: https://phnompenh.gov.kh/en. 
[2] Ministry of Health. Royal Kram promulgating the Law on the Establishment of Ministry of Health. Phnom Penh: Ministry of Health. [Accessed 2nd March 2024]. Available from: https://moh.gov.kh/content/uploads/Laws_and_Regulations/Law/Law%20on%20Establishment%20of%20Ministry%20of%20Health%201996%20Eng.pdf.
[3] Ministry of Health. Sub Decree on organizing and functioning of Ministry of Health. Phnom Penh: Ministry of Health. [Accessed 2nd March 2024]. Available from: https://moh.gov.kh/content/uploads/Laws_and_Regulations/Sub%20Decree/Sub%20Decree%20on%20Organization%20and%20Functioning%20of%20Ministry%20of%20Health%20Eng.pdf.
[4] U.S.-ASEAN Smart Cities Partnership. About. Washington DC: U.S.-ASEAN Smart Cities Partnership. [Accessed 2nd March 2024]. Available from: https://www.usascp.org/about/.
[5] U.S.-ASEAN Smart Cities Partnership. Health in Cities. Washington DC: U.S.-ASEAN Smart Cities Partnership. [Accessed 2 March 2024]. Available from: https://www.usascp.org/programs/health-in-cities/.
[6] ASEAN. ASEAN Leaders' Declaration on One Health Initiative. Jakarta: ASEAN; 2023[ Accessed 2nd March 2024]. Available from: https://asean.org/wp-content/uploads/2023/05/11-ASEAN-One-Health-Initiative-Declaration_adopted.pdf.
[7] WHO. Urban Health Initiative. Geneva: World Health Organization. [Accessed 2nd March 2024]. Available from: https://www.who.int/initiatives/urban-health-initiative.
[8] Global Cities Hub. Official Website. Geneva: World Health Organization; 2024[ Accessed 2nd March 2024]. Available from: https://globalcitieshub.org/en/world-health-organization-who/.</t>
  </si>
  <si>
    <t>[1] Ministry of Health. The General Directorate of Health Affairs in Riyadh Region. Riyadh: Ministry of Health. [Accessed 2nd March 2024]. Available from: https://www.moh.gov.sa/Ministry/MediaCenter/News/Pages/RiyadhNames.aspx
[2] Ministry of Health. MOH Portal. Riyadh: Ministry of Health; 2022. Available from: https://www.moh.gov.sa/en/Pages/default.aspx
[3] Ministry of Health. Royal Commission for Riyadh City (RCRC). Riyadh: Royal Commission for Riyadh City; 2024. Available from: https://www.rcrc.gov.sa/en/</t>
  </si>
  <si>
    <t>[1] Donatini, A. International Health Care System Profiles Italy. The Commonwealth Fund, New York, 5 June 2020. Available from: https://www.commonwealthfund.org/international-health-policy-center/countries/italy
[2] Metropolitan City of Rome Capital (Città metropolitana di Roma Capitale). Struttura organizzativa (Organizational structure). Rome, 2024. Available from: https://www.cittametropolitanaroma.it/homepage/la-citta-metropolitana/struttura-organizzativa/
[3] World Health Organisation (WHO). WHO European Healthy Cities Network. List of Phase VII Healthy Cities. Geneva, Undated. Available from: https://www.who.int/europe/list-of-phase-vii-healthy-cities</t>
  </si>
  <si>
    <t>[1] San Francisco Department of Public Health. Annual Report 2022-2023 [Internet]. City and County of San Francisco; 2024.[Accessed 2024 Mar 20]. Available from: https://www.sf.gov/sites/default/files/2024-02/FY22-23%20DPH%20Annual%20Report_0.pdf
[2] San Francisco Department of Public Health. Health Disparities Dashboard | San Francisco [Internet]. City and County of San Francisco; 2017. [Accessed 2024 Mar 20]. Available from: https://www.sf.gov/data/health-disparities-dashboard
[3] City and Council of San Francisco. San Francisco selected for national heat mapping project to help address health inequities related to extreme heat | San Francisco [Internet]. City and County of San Francisco; 2022. [Accessed 2024 Mar 20]. Available from: https://www.sf.gov/news/san-francisco-selected-national-heat-mapping-project-help-address-health-inequities-related
[4] Partnership for Healthy Cities. Home [Internet]. Partnership for Healthy Cities. World Health Organization, Bloomberg Philanthropies and Vital Strategies; 2023. Available from: https://cities4health.org/</t>
  </si>
  <si>
    <t>[1] Plano Municipal de Saúde. São Paulo; 2022. Available from: https://www.prefeitura.sp.gov.br/cidade/secretarias/upload/saude/plano_municipal_de_saude_2021_240822_versao_site.pdf
[2] Boch, J., Venkitachalam, L., Santana, A. et al. Implementing a multisector public-private partnership to improve urban hypertension management in low-and middle- income countries. BMC Public Health 22, 2379 (2022). https://doi.org/10.1186/s12889-022-14833-y</t>
  </si>
  <si>
    <t>[1] Seoul Metropolitan Government. Organizational Chart. Seoul: Seoul Metropolitan Government. Available from: https://org.seoul.go.kr/org/orgChartView.do. 
[2] Seoul Metropolitan Council. Health &amp; Social Affairs Committee. Seoul: Seoul Metropolitan Council. Available from: https://www.smc.seoul.kr/comt/index.do?indexId=012. 
[3] Alliance for Healthy Cities. Members. Available from: https://www.alliance-healthycities.com/htmls/charter/index_charter.html.</t>
  </si>
  <si>
    <t>[1] Shanghai Municipal People's Government. Shanghai Municipal Health Commission [上海市卫生健康委员会]. Shanghai: Shanghai Municipal People's Government. [Accessed 3rd March 2024]. Available from: https://www.shanghai.gov.cn/nw2405/20201030/d66e61c9cd4a401db0134436c6e47278.html
[2] Impact on Urban Health. Cultural impact in Shanghai, China. London: Impact on Urban Health. [21 April 2021; Accessed 3rd March 2024]. Available from: https://urbanhealth.org.uk/insights/reports/cultural-impact-in-shanghai-china
[3] WHO. Shanghai Consensus on Healthy Cities. Geneva: World Health Organization, 2017. Available from: https://iris.who.int/bitstream/handle/10665/359525/WHO-NMH-PND-17.9-eng.pdf?sequence=1</t>
  </si>
  <si>
    <t>[1] Ministry of Health. Singapore's Healthcare System. Singapore. Ministry of Health. 2018. Available from: https://www.moh.gov.sg/home/our-healthcare-system 
[2] Bai Y, Shi C, Li X, Liu F. Healthcare System in Singapore ACTU4625 TOPICS: HEALTH INSURANCE. Singapore. 2012. Available from: http://assets.ce.columbia.edu/pdf/actu/actu-singapore.pdf 
[3] Vital Strategies. Singapore, Asia Pacific Regional Hub. Singapore. Vital Strategies. 2023. Available from: https://www.vitalstrategies.org/singapore-asia-pacific-regional-hub/</t>
  </si>
  <si>
    <t>[1] New South Wales Electoral Commission. Levels of government NSW Electoral Commission. Sydney: New South Wales Electoral Commission; 2023. Available from: https://elections.nsw.gov.au/elections/how-voting-works/levels-of-government#:~:text=Australia%20has%20three%20levels%20of,areas%2Fshires%2Fmunicipalities%20across%20Australia
[2] New South Wales Government. Monitoring and evaluation - Integrated care. Sydney: NSW Health; 2024. Available from: https://www.health.nsw.gov.au/integratedcare/Pages/monitoring-and-evaluation.aspx.</t>
  </si>
  <si>
    <t>[1] Bureau of Public Health. Tokyo: Bureau of Public Health, Tokyo Metropolitan Government. Available from: https://www.hokeniryo.metro.tokyo.lg.jp/index.html
[2] Finance Bureau, Tokyo Metropolitan Government. Dashboard for Finance. Tokyo: Finance Bureau, Tokyo Metropolitan Government. Available from: https://www.zaimu.metro.tokyo.lg.jp/zaisei/zaisei.html　
[3] Bureau of Public Health, Tokyo Metropolitan Government. Annual Report 2023. Tokyo: Bureau of Public Health, Tokyo Metropolitan Government; 2023. Available from: https://www.hokeniryo.metro.tokyo.lg.jp/johokokaiportal/zigyogaiyou.html　
[4] Japan International Cooperation Agency. Health and Medial Initiatives. Tokyo: Japan International Cooperation Agency. Available from: https://www.jica.go.jp/activities/issues/health/index.html
[5] Cabinet Office, Government of Japan. Global Health Cooperation. Tokyo: Public Relations Office, Government of Japan; January 2023. Available from: https://www.gov-online.go.jp/eng/publicity/book/hlj/html/202301/202301_09_jp.html
[6] Alliance for Healthy Cities. Members. Alliance For Healthy Cities. Available from: https://www.alliance-healthycities.com/htmls/members/index_members.html</t>
  </si>
  <si>
    <t>[1] City of Toronto. Toronto Public Health. Toronto: City of Toronto; n.d Available from: https://www.toronto.ca/city-government/accountability-operations-customer-service/city-administration/staff-directory-divisions-and-customer-service/toronto-public-health/
[2] City of Toronto. Rapid Risk Factor Surveillance System. Toronto: Toronto Public Health, Surveillance and Epidemiology Unit; n.d Available from: https://www.toronto.ca/community-people/health-wellness-care/health-inspections-monitoring/rapid-risk-factor-surveillance-system/
[3] Partnership for Healthy Cities. Home [Internet]. Partnership for Healthy Cities. World Health Organization, Bloomberg Philanthropies and Vital Strategies; 2023. Available from: https://cities4health.org/</t>
  </si>
  <si>
    <t>[1] City of Vienna. Health Service. Vienna: City of Vienna. [Accessed 19th March 2024]. Available from: https://www.wien.gv.at/gesundheit/einrichtungen/gesundheitsdienst/
[2] City of Vienna. City Health Office (Stadtgesundheitsamt). Vienna: City of Vienna. [Accessed 19th March 2024]. Available from: https://www.wien.gv.at/gesundheit/einrichtungen/stadtgesundheitsamt/index.html
[3] City of Vienna. Hygiene Center of the City of Vienna (Hygienezentrum der Stadt Wien). Vienna: City of Vienna. [Accessed 19th March 2024]. Available from: https://www.wien.gv.at/gesundheit/einrichtungen/hygienezentrum/
[4] City of Vienna. City of Vienna - Strategic Healthcare (MA 24). Vienna: City of Vienna. [Accessed 19th March 2024]. Available from: https://www.wien.gv.at/kontakte/ma24/index.html
[5] World Health Organization. WHO European Healthy Cities Network. Geneva: WHO. [Accessed 19th March 2024]. Available from: https://www.who.int/europe/groups/who-european-healthy-cities-network
[6] World Health Organization. List of Phase VII Healthy Cities. Geneva: WHO. [Accessed 19th March 2024]. Available from: https://www.who.int/europe/list-of-phase-vii-healthy-cities</t>
  </si>
  <si>
    <t>[1] Wuhan Municipal Health Committee. Offical Website. Wuhan: Wuhan Municipal Health Committee. [Accessed 18th March 2024]. Available from: https://wjw.wuhan.gov.cn
[2] Municipal Health Commission Finance Department. Wuhan Municipal Health Commission 2023 Department Budget [武汉市卫生健康委员会 2023 年部门预算]. Wuhan: Wuhan Municipal Health Commission; 15 May 2023.https://wjw.wuhan.gov.cn/zwgk_28/fdzdgknr/czxx/bmjs/202302/P020230215784506453536.pdf
[3] Wuhan Municipal Health Committee. Notice of the Municipal Health Commission and the Municipal Development and Reform Commission on Issuing the Wuhan Medical Institution Establishment Plan (2023-2025). [市卫健委 市发改委关于印发武汉市医疗机构设置规划（2023-2025年）的通知]. Wuhan: Wuhan Municipal Health Committee; 7 September 2023. Available from: https://wjw.wuhan.gov.cn/zwgk_28/zc/gfxwj/202309/t20230907_2260311.shtml
[4] Wuhan Health Information Centre. Unit responsibilities [单位职责]. Wuhan: Wuhan Health Information Centre. [Accessed 7th March 2024]. Available from: http://www.whhealth.org.cn/info/iList.jsp?cat_id=10001
[5] Partnership for Healthy Cities. Home [Internet]. Partnership for Healthy Cities. World Health Organization, Bloomberg Philanthropies and Vital Strategies; 2023. Available from: https://cities4health.org/</t>
  </si>
  <si>
    <t>[1] Yangon Region Hluttaw. Yangon City Development Law. [28 June 2018, Accessed 27th March 2024]. Available from: https://www.myanmar-law-library.org/topics/myanmar-construction-law/yangon-city-development-committee-ycdc/myanmar-ycdc-law-2018.html
[2] Partnership for Healthy Cities. Home [Internet]. Partnership for Healthy Cities. World Health Organization, Bloomberg Philanthropies and Vital Strategies; 2023. Available from: https://cities4health.org/</t>
  </si>
  <si>
    <t>[1] Addis Ababa City Administration. Addis Ababa: Addis Ababa City Administration. [Accessed 29th March 2024]. Available from: https://www.cityaddisababa.gov.et/
[2] John Snow Inc and USAID. Strengthening Ethiopia's Urban Health Program Annual Report October 2017 – September 2018. Addis Ababa, Ethiopia: John Snow Inc and USAID; 2019. Available from: https://pdf.usaid.gov/pdf_docs/PA00TK37.pdf
[3] Council of Ministers. Regulation No. 301/2013. Addis Ababa: Council of Ministers; 14 January 2014. Available from: https://faolex.fao.org/docs/pdf/eth170312.pdf
[4] Council of Ministers. Food, Medicine and Health Care Administration and Control Proclamation No. 661/2009. Addis Ababa: Council of Ministers; 13 January 2010. Available from: https://faolex.fao.org/docs/pdf/eth94419.pdf
[5] Federal Ministry of Health (FMOH). Major Cities Emergency and Critical Care Improvement Program (MECIP) Addis Ababa: FMOH. [Accessed 28th March 2024]. Available at: https://www.moh.gov.et/en/initiatives-4-col/major_cities_emergency_and_critical_care_improvement_program?language_content_entity=en</t>
  </si>
  <si>
    <t>[1] Facebook: DSP d'Alger. Algiers: DSP d'Alger. [Accessed 5th March 2024]. Available from: https://www.facebook.com/DSPAlger16
[2] Ministry of Health, Population, and Hospital Reform. Official Website. Algiers: Ministry of Health, Population, and Hospital Reform. [Archived 2022]. Available from: https://web.archive.org/web/20220812202112/https://sante.gov.dz/
[3] International Cancer Control Partnership. National Multisectoral Strategic Plan for Integrated Fight Against the Risk Factors of NCD's. Algiers: Ministry of Health, Population and Hospital Reform; 2015. Available from: https://www.iccp-portal.org/system/files/plans/DZA_B3_plan%20stratégique_MNT2015-2019.pdf
[4] Executive Board of the United Nations Development Programme, the United Nations Population Fund and the United Nations Office for Project Services. Country programme document for Algeria (2023–2027). New York: United Nations Development Programme; 2022. Available from: https://www.undp.org/sites/g/files/zskgke326/files/2023-03/CPD%20Algeria%202023-2027.pdf</t>
  </si>
  <si>
    <t>[1] 20-year Development Plan for Bangkok Metropolis. Bangkok Metropolitan Authority. Bangkok; 2013. Available from: https://webportal.bangkok.go.th/public/user_files_editor/130/BMA-developmentplan/P20ys(2556-2575)sumEN.pdf
[2] Twenty Year Strategic Plan for Public Health (2017-36), Ministry of Public Health. Bangkok; 2017. Available from: https://www.moph.go.th/index.php/sitemap
[3] National Health Security Fund Budget Management Guide: Noncommunicable Diseases. Ministry of Public Health. Bangkok; 2010. Available from: https://www.nhso.go.th/storage/files/shares/PDF/fund_spec01.pdf</t>
  </si>
  <si>
    <t>[1] The People's Government of Beijing Municipality. Healthy Beijing Action 2020-2030. Beijing: The People's Government of Beijing Municipality, 30 March 2020. Available from: https://www.beijing.gov.cn/gongkai/guihua/wngh/qtgh/202006/W020210219566223042282.docx
[2] Beijing Municipal Health Commission. Beijing Municipal Health Commission 2024 department budget information disclosure. Beijing: Beijing Municipal Health Commission, 2024. Available from: https://wjw.beijing.gov.cn/zwgk_20040/zcxx/202402/t20240228_3572329.html</t>
  </si>
  <si>
    <t>[1] Senate Department for Higher Education and Research, Health and Long-Term Care. Action Program Health. Berlin: Senate Department for Higher Education and Research, Health and Long-Term Care. [Accessed 14th March 2024]. Available from: https://www.berlin.de/sen/gesundheit/gesundheitsfoerderung-und-praevention/aktionsprogramm-gesundheit-1364574.php
[2] Senate Department for Higher Education and Research, Health and Long-Term Care. Health targets. Berlin: Senate Department for Higher Education and Research, Health and Long-Term Care. [Accessed 14th March 2024]. Available from: https://www.berlin.de/sen/gesundheit/gesundheitsfoerderung-und-praevention/landesgesundheitskonferenz-berlin/gesundheitsziele-1364506.php
[3] Senate Department for Higher Education and Research, Health and Long-Term Care. Health goal "Maintaining independence and quality of life in old age". Berlin: Senate Department for Higher Education and Research, Health and Long-Term Care; 2019. https://www.berlin.de/sen/gesundheit/_assets/publikationen/gesundheitsfoerderung-und-praevention/lgk/zielematrix-aeltere.pdf?ts=1705017668</t>
  </si>
  <si>
    <t>[1] Official Website of the City of Budapest. Budapest: Municipality of the City of Budapest. [Accessed 6th March 2024] Available from: https://budapest.hu
[2] Budapest City Hall. Budapest 2027 Integrated Urban Development Plan. Budapest: Budapest City Hall, 2021 [archived 22 January 2024]. Available from: https://archiv.budapest.hu/Documents/ITS2027/ITS_2027_III_STRATEGIA_20210306.pdf
[3] Council of Europe and The Congress of Local and Regional Authorities. Monitoring of the European Charter of Local Self-Government in
Hungary. Brussels: Council of Europe and The Congress of Local and Regional Authorities. [12 February 2021; Accessed 6th March 2024]. Available from: https://rm.coe.int/monitoring-of-the-european-charter-of-local-self-government-in-hungary/1680a129f6
[4] European Climate, Infrastructure and Environment Executive Agency (CINEA). Budapest. Brussels: European Climate, Infrastructure and Environment Executive Agency (CINEA). [Accessed 22nd March 2024]. Available from: https://up2030-he.eu/unique-city/budapest/</t>
  </si>
  <si>
    <t>[1] Cairo Governorate. Official Portal. Cairo: Cairo Governorate. [Accessed 9th March 2024]. Available from: http://www.cairo.gov.eg/ar
[2] Ministry of Health and Population. Health Awareness. Cairo: Ministry of Health and Population. [archived 2020]. Available from: https://web.archive.org/web/20200117075321/http://www.mohp.gov.eg/Articles.aspx
[3] WHO. Egypt Multisectoral Action Plan For Noncommunicable Diseases
Prevention and Control 2018 – 2022. Geneva: World Health Organisation, 2018. Available from: https://extranet.who.int/ncdccs/Data/EGY_B3_Egypt-NCD-MAP-2018-2022.pdf
[4] WHO. Egypt National Multisectoral Action Plan for Prevention and Control of Noncommunicable Diseases 2017-2021. Geneva: World Health Organisation, 2017. Available from: https://extranet.who.int/nutrition/gina/sites/default/filesstore/EGY%202017%20NCDMAPEgypt21March2017%20FINAL%20%20RS_0.pdf
[5] Ministry of Health and Population. Health Awareness. Cairo: Ministry of Health and Population. [archived 2020]. Available from: https://web.archive.org/web/20200117075321/http://www.mohp.gov.eg/Articles.aspx</t>
  </si>
  <si>
    <t>[1] Ministry of Health. Sri Lanka Public Health Services. Estate and Urban Health Unit. [Accessed March 17th 2024]. Available from: https://www.health.gov.lk/public-health-services/. 
[2] Ministry of Health. Sri Lanka. Directorate of non-communicable diseases. National Multisectoral Action Plan for the Prevention and Control of Chronic Non-Communicable Diseases 2023-2027. [Accessed March 17th 2024]. Available from: https://www.health.gov.lk/wp-content/uploads/2022/10/National_Multisectoral_Action_Book-compressed.pdf.</t>
  </si>
  <si>
    <t>[1] Government of India. Ministry of Health and Family Welfare. National Health Mission. National Urban Health Mission. [Accessed March 11th 2024]. Available from: https://nhsrcindia.org/sites/default/files/2021-06/Framework%20for%20Implementation%20-%20National%20Urban%20Health%20Mission.pdf
[2] ResearchGate. Journal of Health Management. Aastha Sharma, Sanjiv Kumar. August 2016. Urban Health in India. Policies, Practices and Current Challenges. [Accessed March 11th 2024]. Available from: https://www.researchgate.net/publication/306267583_Urban_Health_in_India_Policies_Practices_and_Current_Challenges
[3] Government of India. Ministry of Health and Family Welfare. National Health Mission. Budget Briefs. [Accessed March 11th 2024]. Available from: https://accountabilityindia.in/wp-content/uploads/2023/02/National-Health-Mission-2023-24.pdf 
[4] National Non-Communicable Disease Program. National Health Mission. Ministry of Health and Family Welfare. Government of India. [Accessed March 6th 2024]. Available from: https://ncd.nhp.gov.in/ncdlandingassets/aboutus.html</t>
  </si>
  <si>
    <t>[1] Ministry of Health and Family Welfare. National Urban Health Strategy 2020. Dhaka: Ministry of Health and Family Welfare; 2020. Available from: https://bnnc.portal.gov.bd/sites/default/files/files/bnnc.portal.gov.bd/files/d3e2453d_e8c9_40d9_b910_4af51b2e2901/2022-01-10-07-53-214368995676cddfccff465ceefd635e.pdf
[2] Noncommunicable Diseases Control (NCDC), Directorate General Health Services (DGHS). Multisectoral Action Plan for the Prevention and Control of Noncommunicable Diseases (NCDs) 2018-2025. Dhaka: NCDC; 2018. Available from: https://www.who.int/docs/default-source/searo/ncd/ban-ncd-action-plan-2018-2025.pdf?sfvrsn</t>
  </si>
  <si>
    <t>[1] Dubai Health Authority. Dubai Health Authority discusses Dubai Digital Health Strategy with healthcare stakeholders. Dubai: Dubai Health Authority. [30 May 2023; Accessed 6th March 2024]. Available from: https://www.dha.gov.ae/en/media/news/826.
[2] Dubai Health Authority. Dubai Health Authority announces results of the Health Accounts System for Dubai. Dubai: Government of Dubai Media Office. [; [29 November 2023; Accessed 11th March 2024]. Available from: https://www.dha.gov.ae/en/media/news/859.
[3] MoHAP. MoHAP and WHO collaborate to enhance NCD surveillance in healthcare. Dubai: Ministry of Health and Prevention. [27 December 2023; Accessed 6th March 2024]. Available from: https://mohap.gov.ae/en/media-center/news/27/12/2023/mohap-and-who-collaborate-to-enhance-ncd-surveillance-in-healthcare.</t>
  </si>
  <si>
    <t>[1] Finlex Data Bank. Act on Organising Healthcare and Social Welfare Services 612/2021. Helsinki: Ministry of Justice. [entered into force 1 January 2023; last updated 1 January 2024; Accessed 7th March 2024]. Available from: https://www.finlex.fi/fi/laki/alkup/2021/20210612
[2] City of Helsinki. Well-being, Health and Safety for All: Helsinki's Welfare Plan 2022–2025. Helsinki: City of Helsinki. [26 October 2021; Accessed 7th March 2024]. Available from: https://www.hel.fi/static/kanslia/hyte/helsingin-hyvinvointisuunnitelma-2022%E2%80%932025.pdf
[3] World Health Organization. Cause of death, by non-communicable diseases (% of total) - Finland. Geneva: World Health Organization. [Accessed 11th March 2024]. Available from: https://data.worldbank.org/indicator/SH.DTH.NCOM.ZS?locations=FI
[4] Statistics Finland. The reason for the increase in mortality is the coronavirus disease in 2022. Helsinki: Statistics Finland. [5 December 2023; Accessed 11th March 2024]. Available from: https://www.stat.fi/julkaisu/cl8mlgiehwn8z0cvzmey6j7sr
[5] Tolonen H, Reinikainen J, Zhou Z, et al. Development of non-communicable disease risk factors in Finland: projections up to 2040. Scandinavian Journal of Public Health. 2023;51: 1231-1238. Available from: https://journals.sagepub.com/doi/epub/10.1177/14034948221110025</t>
  </si>
  <si>
    <t>[1] Ho Chi Minh People's Committee approval the Community Health Development Project to implement protection, care and improve people's health in Ho Chi Minh City in the period 2021-2030. Available from: https://vpub.hochiminhcity.gov.vn/portal/DinhKemTinBai/2021-06/wKWV5x90Kk2YsW2Y2297qdsigned.pdf
[2] Ministry of Health. Launching the World Health Organization's "Essential non-communicable disease intervention package". Available from: https://medinet.hochiminhcity.gov.vn/chuyen-muc/tp-ho-chi-minh-khoi-dong-goi-can-thiep-thiet-yeu-ve-benh-khong-lay-nhiem-cua-to-cmobile8-67096.aspx</t>
  </si>
  <si>
    <t>[1] World Health Organization (WHO) Regional Office for Europe and European Observatory on Health Systems and Policies. Health Systems in Action: Türkiye. Geneva. WHO. 2022. Available from: https://iris.who.int/bitstream/handle/10665/362347/9789289059213-eng.pdf?sequence=1
[2] T.R. Ministry of Health (T.C. Sağlık Bakanlığı). Istanbul Provincial Health Directorate (İstanbul İl Sağlık Müdürlüğü). Bulaşıcı Olmayan Hastalıklar Birimi (Non-Communicable Diseases Unit (Bulaşıcı Olmayan Hastalıklar Birimi). Istanbul. T.C. Sağlık Bakanlığı. 2024. Available from: https://istanbulism.saglik.gov.tr/TR-49670/bulasici-olmayan-hastaliklar-birimi.html
[3] T.R. Ministry of Health (T.C. Sağlık Bakanlığı). 2024-2028 Stratejik Planı (2024-2028 Strategic Plan). Ankara. T.C. Sağlık Bakanlığı.2024. Available from: https://shgm.saglik.gov.tr/Eklenti/47452/0/saglik-bakanligi-stratejik-plan-2024-2028pdf.pdf?_tag1=7B2A9834832BF7DCF36F2C7E5607D8543752A372 
[4] T.R. Ministry of Health and World Health Organization (WHO) Regional Office for Europe. Multisectoral Action Plan of Turkey for Noncommunicable Diseases 2017-2025. Ankara. WHO. 2017. Available from: https://cdn.who.int/media/docs/librariesprovider2/country-sites/multisectoral-action-plan-of-turkey-for-noncommunicable-diseases-2017-2025-%28english-and-turkish%29f97f8061-5d52-4d6f-adab-f21d292c48f9.pdf?sfvrsn=377621a3_1&amp;download=true</t>
  </si>
  <si>
    <t>[1] City of Johannesburg. Johannesburg: City of Johannesburg. [Accessed 2 March 2024]. Available from: https://joburg.org.za/.
[2] Gauteng Provincial Government. Johannesburg: Gauteng Provincial Government. [Accessed 2nd March 2024]. Available from: https://www.gauteng.gov.za/.
[3] South African Government. Pretoria: South African Government. [Accessed 2nd March 2024]. Available from: https://www.gov.za/.</t>
  </si>
  <si>
    <t>[1] Government of Sindh. Sindh Health Sector Strategy 2012-2020. Karachi: Government of Sindh, 2013. Available from: https://phkh.nhsrc.pk/sites/default/files/2019-06/Sindh%20Health%20Sector%20Strategy%202012-20.pdf
[2] Karachi Metropolitan Corporation. Official Website. Karachi: Karachi Metropolitan Corporation. [Accessed 22nd March 2024]. Available from: https://www.kmc.gos.pk/en
[3] Government of Sindh. Health Department. Karachi: Government of Sindh. [Accessed 18th March 2024]. Available from: https://sindhhealth.gov.pk/</t>
  </si>
  <si>
    <t>[1] Health Department. Kathmandu Metropolitan City. 2024. Available from: https://kathmandu.gov.np/category/department/health-department/
[2] Local Gazette. Kathmandu Metropolitan City. 2024 Available from: https://kathmandu.gov.np/report-type/local-gazette-en/?lang=en
[3] Interview no. 1</t>
  </si>
  <si>
    <t>[1] Government of India. Ministry of Health and Family Welfare. National Health Mission. National Urban Health Mission. [Accessed March 11th 2024]. Available from: https://nhsrcindia.org/sites/default/files/2021-06/Framework%20for%20Implementation%20-%20National%20Urban%20Health%20Mission.pdf 
[2] ResearchGate. Journal of Health Management. Aastha Sharma, Sanjiv Kumar. August 2016. Urban Health in India. Policies, Practices and Current Challenges. [Accessed March 11th 2024]. Available from: https://www.researchgate.net/publication/306267583_Urban_Health_in_India_Policies_Practices_and_Current_Challenges 
[3] Government of India. Ministry of Health and Family Welfare. National Health Mission. Budget Briefs. [Accessed March 11th 2024]. Available from: https://accountabilityindia.in/wp-content/uploads/2023/02/National-Health-Mission-2023-24.pdf 
[4] National Non-Communicable Disease Program. National Health Mission. Ministry of Health and Family Welfare. Government of India. [Accessed March 11th 2024]. Available from: https://ncd.nhp.gov.in/ncdlandingassets/aboutus.html</t>
  </si>
  <si>
    <t>[1] New Kuwait. Kuwait National Development Plan 2020-2025, 2020. Kuwait: New Kuwait. [Accessed 1th9 March 2024]. Available from: https://media.gov.kw/assets/img/Ommah22_Awareness/PDF/NewKuwait/Revised%20KNDP%20-%20EN.pdf
[2] Ministry of Finance. 23/22 Budget. Kuwait: Ministry of Finance. [Accessed 19th March 2024]. Available from: https://www.mof.gov.kw/mofbudget/PDF/Budget23-22eng.pdf
[3] Health Capital Area. Kuwait: Health Capital Area. [Accessed 19th March 2024]. Available from: https://web.archive.org/web/20240302071200/https://www.hcarea.com/</t>
  </si>
  <si>
    <t>[1] Lagos State Ministry of Health (MOH). Health Care Planning, Research &amp; Statistics. Lagos. MOH. [Accessed 9th March 2024]. Available from: https://lagosministryofhealth.org/health-care-planning-research-statistics/
[2] Page 116, Federal Government of Nigeria. Second national Strategic Health Development Plan (NSHDP II) 2018-2022. Abujah. Federal Government of Nigeria. [Accessed 9th March 2024]. Available from: https://ngfrepository.org.ng:8443/jspui/bitstream/123456789/3283/1/SECOND%20NATIONAL%20STRATEGIC%20HEALTH%20DEVELOPMENT%20PLAN%202018%20%E2%80%93%202022.pdf
[3] Page 88 and 97-98, Ministry of Economic Planning and Budget. Lagos State Development Plan 2052. Ministry of Economic Planning and Budget. Lagos. [Accessed 4 March 2024]. Available from: https://api.lagosmepb.org/lsdp-resources/LSDP_2052_Full_Report.pdf
[4] Lagos State Primary Health Care Board. Budgeting and Planning. Lagos. Lagos State Primary Health Care Board. [Accessed 9th March 2024]. Available from: https://lsphcb.lg.gov.ng/planning/
[5] Lagos State Treasury Office. States Fiscal Transparency, Accountability, and Sustainability. Lagos. Lagos State Treasury Office. [Accessed 9th March 2024]. Available from: https://sto.lagosstate.gov.ng/category/sftas/
[6] Lagos State Ministry of Economic, Planning and Budget. Approved Budget. Lagos. Lagos State Ministry of Economic, Planning and Budget. [Accessed 9th March 2024]. Available from: https://mepb.lagosstate.gov.ng/budget-documents/y2008-2020-budget/
[7] Lagos State Government. Y2024 Citizens' Budget. Lagos. Lagos State Government. [Accessed 9th March 2024]. Available from: https://lagosmepb.org/wp-content/uploads/Y2024-CITIZENS-BUDGET.pdf</t>
  </si>
  <si>
    <t>[1] Community of Madrid (Comunidad de Madrid). Transparency portal (Portal de transparencia). Normativa y planificación &gt; Planes y programas (Regulations and planning&gt; Plans and programmes). Available from: https://www.comunidad.madrid/transparencia/normativa-planificacion/planes-programas?field_unidad_org_responsable=8284&amp;subject=All&amp;t=&amp;field_estado_plan=All
[2] Community of Madrid (Comunidad de Madrid). Health Madrid (Salud Madrid). Council of Health (Consejería de sanidad). Estrategia de Salud Comunitaria en Atención Primaria (Community Health Strategy in Primary Care). 2022. Available from: https://gestiona3.madrid.org/bvirtual/BVCM050748.pdf 
[3] Las enfermedades cardiovasculares en la Comunidad de Madrid - Propuestas de prioridades para la mejora de la prevención y la atención sanitaria (Cardiovascular diseases in the Community of Madrid - Proposals for priorities to improve prevention and health care). Cardioalianza, March 2023. Available from: https://cardioalianza.org/wp-content/uploads/2023/03/cardioalianza-informe-madrid-.pdf
[4] City Council of Madrid (Ayuntamiento de Madrid). Department of Public Health (Madrid Salud). General Subdirectorate of Prevention and Health Promotion (Subdirección General de Prevención y Promoción de la Salud). ESTRATEGIA DE PREVENCIÓN Y PROMOCIÓN DE LA SALUD (PREVENTION AND HEALTH PROMOTION STRATEGY) November 2021. Available from: https://www.madrid.es/UnidadesDescentralizadas/Salud/PrevencionYPromocion/EspInformativos/Estrategia%20gente%20saludable/ficheros/ESTRATEGIA-Madrid-una-ciudad-saludable.pdf
Other sources:
Community of Madrid (Comunidad de Madrid). PRESUPUESTOS GENERALES DE LA COMUNIDAD DE MADRID 2022 (GENERAL BUDGETS OF THE COMMUNITY OF MADRID 2022). 2023. Available from: https://www.comunidad.madrid/sites/default/files/gobierno_abierto/2022-presupuesto-libro-15-sanidad.pdf</t>
  </si>
  <si>
    <t>[1] Manila Health Department. About. Manila: City Government of Manila, 2020. [Accessed 22nd February 2024]. Available from: https://manilahealthdepartment.com/about.html
[2] City of Manila. Manila: City of Manila - Republic of the Philippines. [Accessed 23rd February 2024]. Available from: https://manila.gov.ph/
[3] Metro Manila Center for Health Development. Manila: Department of Health. [Accessed 22nd February 2024]. Available from: https://ncroffice.doh.gov.ph/
[4] World Health Organization. Philippines embraces efforts to step up cardiovascular disease care. Manila: World Health Organization, 2017. [Accessed 29th February 2024]. Available from: https://www.who.int/news-room/feature-stories/detail/philippines-embraces-efforts-to-step-up-cardiovascular-disease-care
[5] Department of Health. Lifestyle-related Diseases. Manila: Department of Health - Republic of the Philippines, 2018. [Accessed 22nd February 2024]. Available from: https://doh.gov.ph/uhc/health-programs/lifestyle-related-diseases/</t>
  </si>
  <si>
    <t>[1] City of Melbourne. Health and wellbeing action plan 2021-2025. City of Melbourne; 2021. Available from: https://www.melbourne.vic.gov.au/SiteCollectionDocuments/health-and-wellbeing-action-plan-2021.pdf 
[2] State of Victoria Department of Health. Victorian public health and wellbeing plan 2023-27. State of Victoria Department of Health; 2023. Available from: https://www.health.vic.gov.au/victorian-public-health-and-wellbeing-plan-2023-27 
[3] Australian Health Ministers' Advisory Council. National strategic framework for chronic conditions. Canberra: Australian Government; 2017. Available from: https://www.health.gov.au/sites/default/files/documents/2019/09/national-strategic-framework-for-chronic-conditions.pdf 
[4] Australian Government Department of Health and Aged Care. National strategic action plan for heart disease and stroke. Australian Government Department of Health and Aged Care; 2020. Available from: https://www.health.gov.au/resources/publications/national-strategic-action-plan-for-heart-disease-and-stroke?language=en</t>
  </si>
  <si>
    <t>[1] World Health Organization. Mexico City, Mexico - WHO Initiative on Urban Governance for Health and Well-being [Internet]. Geneva: WHO; 2024 [Accessed March 22nd 2024]. Available from: https://www.who.int/initiatives/urban-governance-for-health-and-well-being/work-in-cities-mexico-city-mexico
[2] C40 Cities. Cities100: Mexico City - Comprehensive Program Increases Resilience [Internet]. London: C40 Cities Climate Leadership Group, Inc.; 2015 [Accessed March 22nd 2024]. Available from: https://www.c40.org/case-studies/cities100-mexico-city-comprehensive-program-increases-resilience/
[3] Impact on Urban Health. Multidisciplinary collaborations in Mexico City, Mexico [Internet]. London: Impact on Urban Health; 2021 [Accessed March 22nd 2024]. Available from: https://urbanhealth.org.uk/insights/reports/multidisciplinary-collaborations-in-mexico-city-mexico</t>
  </si>
  <si>
    <t>[1] Moscow Department of Health. Programmes. Moscow: Moscow Department of Health. [Accessed 12th March 2024]. Available from: https://mosgorzdrav.ru/ru-RU/feed/targets.html
[2] Moscow - Capital of Health. Official website of the project "Moscow - the capital of health". Moscow: Moscow - Capital of Health. [Accessed 12th March 2024]. Available from: https://xn--g1ajp.xn--p1ai/</t>
  </si>
  <si>
    <t>[1] National Health Mission, Ministry of Health and Family Welfare Government of India. National Urban Health Mission. New Delhi. National Health Mission, Ministry of Health and Family Welfare Government of India.2021. Available from: https://nhsrcindia.org/sites/default/files/2021-06/Framework%20for%20Implementation%20-%20National%20Urban%20Health%20Mission.pdf
[2] Kumar S, Sharma A, Sood A, Kumar S. Urban Health in India. Journal of Health Management. 2016 Aug 20;18:489–98.
[3] Accountability Initiative, Centre for Policy Research.Budget Briefs National Health Mission. New Delhi. Accountability Initiative, Centre for Policy Research. 2023. Available from: https://accountabilityindia.in/wp-content/uploads/2023/02/National-Health-Mission-2023-24.pdf. 
[4] Ministry of Health Family Welfare Government of India, National Health Mission. National Non-Communicable Disease Program. New Delhi. Ministry of Health and Family Welfare, National Health Mission. 2023. Available from: https://ncd.nhp.gov.in/ncdlandingassets/aboutus.html</t>
  </si>
  <si>
    <t>[1] Nairobi City Council. Nairobi City County Community Health Services Implementation Plan 2023-2027. Nairobi: Nairobi City Council, 2023. Available from: https://nairobi.go.ke/download/nairobi-city-county-community-health-services-implementation-plan-2023-2027/
[2] Nairobi City Council. County Integrated Development Plan 2023-2027. Nairobi: Nairobi City Council, 2023. Available from: https://nairobiassembly.go.ke/ncca/wp-content/uploads/paperlaid/2023/NAIROBI-CITY-COUNTY-INTEGRATED-DEVELOPMENT-PLAN-FOR-2023-2027-1.pdf
[3] Partnership for Healthy Cities. Nairobi, New York City and Osaka join Partnership for Healthy Cities network. New York: Partnership for Healthy Cities, 2023. Available from: https://cities4health.org/latest/press-releases/osaka-nairobi-and-new-york-city-join-the-partnership-for-healthy-cities
[4] Ministry of Health. National Non-Communicable Diseases Strategic Plan. Nairobi: Ministry of Health, 2021. Available from: http://guidelines.health.go.ke:8000/media/National_Strategic_Plan_NCD_Prevention_and_Control_2021-22__2025-26.pdf
[5] Ministry of Health. Kenya National Guidelines for Cardiovascular Diseases Management. Nairobi: Ministry of Health, 2018. Available from: http://guidelines.health.go.ke:8000/media/Kenya_National_Guidelines_for_Cardiovascular_Diseases_Management.pdf</t>
  </si>
  <si>
    <t>[1] Osaka Prefecture. Third Osaka Prefecture Health Promotion Plan. Osaka: Osaka Prefecture; February 2023. Available from: https://www.pref.osaka.lg.jp/kenkozukuri/dai3ji_kenzokeikaku/index.html
[2] Health and Medical Department, Osaka Prefectural Government. Annual Report on the Third Osaka Prefecture Health Promotion Plan 2021. Osaka: Osaka Prefecture;April 2022. Available from: https://www.pref.osaka.lg.jp/attach/34629/00000000/nenjihoukokusyo.pdf
[3] Osaka Prefectural Government. 2023 Budget for Health Promotion Measures. Osaka: Osaka Prefecture; 2023. Available from: https://www.pref.osaka.lg.jp/yosan/cover/index.php?year=2023&amp;acc=1&amp;form=01&amp;proc=0&amp;ykst=2&amp;bizcd=20170009&amp;seq=1</t>
  </si>
  <si>
    <t>[1] Isabelle Durand-Zaleski, AP-HP and Université Paris-Est. International Health Care System Profiles: France. The Commonwealth Fund, New York, 5 June 2020. Available from: https://www.commonwealthfund.org/international-health-policy-center/countries/france
[2] Ministry of Labor, Health and Solidarity (Ministère du Travail, de la Santé et des Solidarités). Maladies cardiovasculaires (Cardiovascular illnesses). Paris, 26 September 2023. Available from: https://sante.gouv.fr/soins-et-maladies/maladies/maladies-cardiovasculaires/article/maladies-cardiovasculaires
[3] ARS Île-de-France.Le Projet régional de santé 2023-2028 (The Regional Health Project 2023-2028). Paris, 19 January 2024. Available from: https://www.iledefrance.ars.sante.fr/publication-du-prs-2023-2028
[4] ARS Île-de-France.Agir pour la santé des Franciliens: Plan d'action 2023-2028 (Acting for the health of Ile-de-France residents: Action Plan 2023-2028). Paris, 2023. Available from: https://www.iledefrance.ars.sante.fr/media/116122/download?inline
[5] City of Paris (Ville de Paris). Le Plan Paris Santé Environnement (The Paris Environmental Health Plan). Paris, 28 March 2023. Available from: https://cdn.paris.fr/paris/2020/02/26/2da4e4c5066d8d475fdc3f26c69a367e.ai</t>
  </si>
  <si>
    <t>[1] Ministry of Health. The Official Website of the Ministry of Health. Phnom Penh: Ministry of Health. [Accessed 5 March 2024]. Available from: https://moh.gov.kh/?lang=en.
[2] Kobashi Y, Chou K, Slaiman N, et al. Improving the Rural-Urban Balance in Cambodia's Health Services. Maryland: National Center for Biotechnology Information. [26 July 2020; Accessed 5 March 2024]. Available from: https://www.ncbi.nlm.nih.gov/pmc/articles/PMC9056147/#R5.
[3] Eldis. Cambodia Urban Health Project: briefing pack. Brighton: Eldis. [January 2001; Accessed 5 March 2024]. Available from: https://www.eldis.org/document/A11177.
[4] United Nations Global Marketplace. Health strategies and plans in Cambodia. Virginia: United Nations Global Marketplace. [23 June 2021; Accessed 5 March 2024]. Available from: https://www.ungm.org/Public/Notice/133351.
[5] Ministry of Health. Health Strategic Plan 2016 - 2020. Phnom Penh: Ministry of Health. [Accessed 5 March 2024]. Available from: http://hismohcambodia.org/public/fileupload/carousel/HSP3-(2016-2020).pdf.
[6] Ministry of Health. National Multisectoral Action Plan for the Prevention and Control of Noncommunicable Diseases 2018 - 2027. Phnom Penh: Ministry of Health. [13 June 2018; Accessed 5 March 2024]. Available from: https://moh.gov.kh/content/uploads/2017/05/NMAP-NCD_-13-06-2018-Signed_En.pdf.</t>
  </si>
  <si>
    <t>[1] Ministry of Health. Royal Commission for Riyadh City (RCRC). Riyadh: Royal Commission for Riyadh City; 2024. Available from: https://www.rcrc.gov.sa/en/
[2] Ministry of Health. MOH Portal. Riyadh: Ministry of Health; 2022. Available from: https://www.moh.gov.sa/en/Pages/default.aspx
[3] PHA. PHA Portal. Riyadh: Public Health Authority; 2021. Available from: https://covid19.cdc.gov.sa</t>
  </si>
  <si>
    <t>[1] Donatini, A. International Health Care System Profiles Italy. The Commonwealth Fund, New York, 5 June 2020. Available from: https://www.commonwealthfund.org/international-health-policy-center/countries/italy
[2] Region of Lazio (Regione Lazio). Piano Regionale della Prevenzione 2021-2025 (Regional Prevention Plan 2021-2025). Rome, December 2021. Available from: https://www.salute.gov.it/portale/prevenzione/DELIBERE_PRP_2020-2025/Lazio/DGR_970_del_2021_e_PRP_2021-2025.pdf
[3] Quotidianosanità.it Online. Patologie cardiovascolari. Ministero Salute: "In attuazione del Piano nazionale, le Regioni hanno adottato i propri Piani regionali di prevenzione" (Cardiovascular diseases. Ministry of Health: "In implementation of the national plan, the Regions have adopted their own regional prevention plans"). Rome, 15 February 2024. Available from: https://www.quotidianosanita.it/governo-e-parlamento/articolo.php?articolo_id=120226</t>
  </si>
  <si>
    <t>[1] City and County of San Francisco. Safety and Resilience | San Francisco General Plan [Internet]. San Francisco Planning Department; 2022 [Accessed March 20th 2024]. Available from: https://generalplan.sfplanning.org/I8_Safety_and_Resilience.htm
[2] City and Council of San Francisco. Health Care Services Master Plan Update (2019) | SF Planning [Internet]. San Francisco Planning; 2019 [Accessed March 20th 2024]. Available from: https://sfplanning.org/project/health-care-services-master-plan-update-2019#info
[3] Breed L, Louie J. Memoradum | Second Meeting Budget Summary &amp; Detail [Internet]. City and County of San Francisco Department of Public Health. City and County of San Francisco; 2023 [Accessed March 20th 2024]. Available from: https://www.sf.gov/sites/default/files/2023-09/FY_23-25_HC_Second_Meeting_Budget_Summary_%26_Detail_2-7-23.pdf</t>
  </si>
  <si>
    <t>[1] Shanghai Health Promotion Committee. Healthy Shanghai Action (2019-2030) [健康上海行动（2019-2030年）]. Shanghai: Shanghai Health Promotion Committee, 2019. Available from: https://www.shanghai.gov.cn/nw12344/20200813/0001-12344_62691.html
[2] Shanghai Municipal People's Government. Report on Shanghai's 2022 budget implementation and 2023 budget draft [关于上海市2022年预算执行情况和2023年预算草案的报告]. Shanghai: Shanghai Municipal People's Government, 2023. Available from: https://www.shanghai.gov.cn/nw12338/20230118/b662be8ab8d647da93dcd545a17bfa4f.html
[3] Shanghai Municipal People's Government. Report on Shanghai's 2023 budget implementation and 2024 budget draft [关于上海市2023年预算执行情况和2024年预算草案的报告]. Shanghai: Shanghai Municipal People's Government, 2024. Available from: https://www.shanghai.gov.cn/nw12338/20240207/1a748eb8bc1540ba84622d1156453e69.html</t>
  </si>
  <si>
    <t>[1] New South Wales Government. Urban Planning for Health. Sydney: Northern Sydney Local Health District; 2024. Available from: https://www.nslhd.health.nsw.gov.au/HealthPromotion/HealthyActiveEnvironments/Pages/UP4Health.aspx.
[2] New South Wales Government. NSW Budget allocates $33 billion for Health. Sydney:New South Wales Government Health Infrastructure; 2024. Available from: https://www.nslhd.health.nsw.gov.au/HealthPromotion/HealthyActiveEnvironments/Pages/UP4Health.aspx.https://www.hinfra.health.nsw.gov.au/news/latest/latest/nsw-budget-allocates-$33-billion-for-health 
[3] New South Wales Government. Sydney Local Health District Strategic Plan: 2018–2023. Sydney: Sydney Local Health District; 2018. Available from: https://www.slhd.nsw.gov.au/pdfs/slhd-strategic-plan-2018-2023.pdf
[4] Australian Health Minister's Advisory Council. National Strategic Framework for Chronic Conditions. Canberra: Australian Government. Available from: https://www.health.gov.au/sites/default/files/documents/2019/09/national-stra
tegic-framework-for-chronic-conditions.pdf .
[5] Australian Government Department of Health. National Strategic Action Plan for Heart Disease and Stroke. Canberra: Australian Government ; 2020. Available from: https://www.health.gov.au/sites/default/files/documents/2021/09/national-strategic-action-plan-for-heart-disease-and-stroke.pdf</t>
  </si>
  <si>
    <t>[1] Bureau of Public Health, Tokyo Metropolitan Government. Tokyo Health Promotion Plan 21. Tokyo: Bureau of Public Health, Tokyo Metropolitan Government. Available from: https://www.hokeniryo.metro.tokyo.lg.jp/kensui/plan21/
[2] Bureau of Public Health, Tokyo Metropolitan Government. Mid-term Evaluation for Tokyo Health Promotion Plan 21 (second Term). Tokyo: Bureau of Public Health, Tokyo Metropolitan Government. Available from: https://www.hokeniryo.metro.tokyo.lg.jp/kensui/plan21/houkoku-file/gaiyou.pdf
[3] Bureau of Finance, Tokyo Metropolitan Government. Major Achievements of 2022. Tokyo: Bureau of Finance, Tokyo Metropolitan Government; September 2023. Available from: https://www.zaimu.metro.tokyo.lg.jp/syukei1/zaisei/20230919shuyousisakunoseika.pdf</t>
  </si>
  <si>
    <t>[1] City of Toronto. Toronto Public Health's 2024-2028 Strategic Plan. Toronto: Toronto Public Health. Available from: https://www.toronto.ca/city-government/accountability-operations-customer-service/long-term-vision-plans-and-strategies/toronto-public-health-strategic-plan/ 
[2] Toronto Public Health. 2024 Budget Notes Toronto Public Health. Toronto: Toronto Public Health, 2024. Available from: https://www.toronto.ca/legdocs/mmis/2024/bu/bgrd/backgroundfile-241714.pdf</t>
  </si>
  <si>
    <t>[1] City of Vienna. Longer healthy lives for the Viennese. Vienna: City of Vienna. [Accessed 19 March 2024]. Available from: https://www.wien.gv.at/english/health-socialservices/healthcare-goals-2025.html
[2] City of Vienna. Vienna Health Targets 2025. Vienna: City of Vienna. [Accessed 19 March 2024]. Available from: https://gesundheitsziele.wien.gv.at/ziele/
[3] City of Vienna. Worth Knowing. Vienna: City of Vienna. [Accessed 19 March 2024]. Available from: https://gesundheitsziele.wien.gv.at/ziele/wissenswertes/
[4] City of Vienna. Indicators - Vienna Healthcare Goals. Vienna: City of Vienna. [Accessed 19 March 2024]. Available from: https://gesundheitsziele.wien.gv.at/ziele/wissenswertes/indikatoren-wgz/
[5] City of Vienna. Vienna Healthcare Goals: Indicator Monitoring Update Report. Vienna: City of Vienna; 2022. Available from: https://gesundheitsziele.wien.gv.at/wp-content/uploads/sites/44/2022/06/gesundheitsziele-wien-2025-update.pdf
[6] City of Vienna. Goal 6: Optimising the prevention, early recognition and treatment procedures of epidemiologically relevant diseases in a targeted way. Vienna: City of Vienna. [Accessed 19 March 2024]. Available from: https://gesundheitsziele.wien.gv.at/ziele/ziel-6-praevention-frueherkennung-behandlung/
[7] City of Vienna. Projects: Diseases. Vienna: City of Vienna. [Accessed 19 March 2024]. Available from: https://gesundheitsziele.wien.gv.at/category/projekte/krankheit/
[8] Viennese Health Promotion (WiG). How we work. Vienna: WiG. [Accessed 22 March 2024]. Available from: https://www.wig.or.at/ueber-uns/so-arbeiten-wir
[9] City of Vienna. Budget 2024. Vienna: City of Vienna; 2023. (Page 244). Available from: https://www.digital.wienbibliothek.at/wbrup/download/pdf/4901246?originalFilename=true</t>
  </si>
  <si>
    <t>[1] Wuhan Municipal People's Government. Notice of the Municipal People's Government on Issuing the "14th Five-Year Plan" for the Development of Wuhan's Health Care Services [市人民政府关于印发武汉市卫生健康事业发展"十四五"规划的通知]. Wuhan: Wuhan Municipal People's Government, 13 May 2022. Available from: https://www.wuhan.gov.cn/zwgk/xxgk/zfwj/szfwj/202205/t20220513_1970970.shtml.
[2] Wuhan Center for Disease Control and Prevention. Wuhan Center for Disease Control and Prevention 2023 Unit Budget [武汉市疾病预防控制中心 2023 年单位预算]. Wuhan: Wuhan Center for Disease Control and Prevention; 2 March 2023. Available from: https://www.whcdc.org/upload/20230302/6400647bdc630.pdf.
[3] Hubei Provincial Health Commission. Notice of the General Office of the Provincial People's Government on Issuing the "323" Action Plan to Address Prominent Issues Affecting People's Health in Hubei Province [省人民政府办公厅关于印发 湖北省影响群众健康突出问题 "323"攻坚行动方案的通知]. Hubei: Hubei Provincial Health Commission, 27 January 2021. Available from: http://wjw.hubei.gov.cn/zfxxgk/zc/gfwj/202104/t20210421_3483309.shtml.
[4] Wuhan Center for Disease Control and Prevention. [Video] Operation 323: Diabetes [【视频】323攻坚行动：糖尿病]. Wuhan: Wuhan Center for Disease Control and Prevention; 12 July 2023. Available from: https://jkkpzyk.whcdc.org/view/21065.html.
[5] Wuhan Center for Disease Control and Prevention. [Video] Public Service Announcement on High Blood Pressure [【视频】公益广告之高血压篇]. Wuhan: Wuhan Center for Disease Control and Prevention; 11 July 2023. Available from: https://jkkpzyk.whcdc.org/view/21040.html.
[6] Hubei Provincial Health Commission. The meaning of "323" targeted campaign["323"攻坚行动涵义]. Hubei: Hubei Provincial Health Commission, 10th December 2021. Available from: http://wjw.hubei.gov.cn/bmdt/ztzl/zwzsk/zczsk/wsjk/202112/t20211210_3907590.shtml.</t>
  </si>
  <si>
    <t>[1] Ministry of Health and Sports. National Strategic Plan for Prevention and Control of NCDs (2017-2021). Naypyidaw: Ministry of Health and Sports. [June 2017, Accessed 27 March 2024]. Available from: https://www.who.int/docs/default-source/searo/ncd/mmr-ncd-action-plan-2017-2021.pdf
[2] Interview #2
[3] Interview #3
[4] Yangon City Development Committee (YCDC). Facts about YCDC. Yangon: Yangon City Development Committee (YCDC). [Accessed 27 March 2024]. Available from: https://www.ycdc.gov.mm/download.php?customizedpdf=FactsaboutYCDC2014</t>
  </si>
  <si>
    <t>[1] Facebook: DSP d'Alger. Algiers: DSP d'Alger. [Accessed 5 March 2024]. Available from: https://www.facebook.com/DSPAlger16
[2] Archived page of the Ministry of Health, Population, and Hospital Reform. Algiers: Ministry of Health, Population, and Hospital Reform, 2022. Available from: https://web.archive.org/web/20220812202112/https://sante.gov.dz/
[3] International Cancer Control Partnership. National Multisectoral Strategic Plan for Integrated Fight Against the Risk Factors of NCDs. Algiers: Ministry of Health, Population and Hospital Reform; 2015. Available from: https://www.iccp-portal.org/system/files/plans/DZA_B3_plan%20stratégique_MNT2015-2019.pdf
[4] Ministry of Health, Population, and Hospital Reform. Official website. Algiers: Ministry of Health, Population, and Hospital Reform. [archived 2022]. Available from: https://web.archive.org/web/20220812202112/https://sante.gov.dz/</t>
  </si>
  <si>
    <t>[1] Fernandes, G, Siân W, Peymane A et al. Engaging Stakeholders to Level up COPD Care in LMICs: Lessons Learned from the 'Breathe Well' Programme in Brazil, China, Georgia, and North Macedonia. BMC Health Services Research 2024; 24[1]: 1–10. Available from: https://doi.org/10.1186/s12913-023-10525-4.
[2] Husain, L, and Gerald B. "Understanding China's Growing Involvement in Global Health and Managing Processes of Change." Globalization and Health 2020; 16[1]: 1–10. Available from: https://doi.org/10.1186/s12992-020-00569-0.</t>
  </si>
  <si>
    <t>[1] Senate Department for Higher Education and Research, Health and Long-Term Care. Action Program Health. Berlin: Senate Department for Higher Education and Research, Health and Long-Term Care. [Accessed 17 March 2024]. Available from: https://www.berlin.de/sen/gesundheit/gesundheitsfoerderung-und-praevention/aktionsprogramm-gesundheit-1364574.php
[2] Senate Department for Higher Education and Research, Health and Long-Term Care. Health targets. Berlin: Senate Department for Higher Education and Research, Health and Long-Term Care. [Accessed 17 March 2024]. Available from: https://www.berlin.de/sen/gesundheit/gesundheitsfoerderung-und-praevention/landesgesundheitskonferenz-berlin/gesundheitsziele-1364506.php
[3] State Health Conference (Landesgesundheitskonferenz). The State Health Conference: Together for a healthy Berlin. Berlin: State Health Conference (Landesgesundheitskonferenz). [Accessed 17 March 2024]. Available from: https://www.berlin.gesundheitfoerdern.de/landesgesundheitskonferenz.
[4] State Health Conference (Landesgesundheitskonferenz). Members of the State Health Conference. Berlin: State Health Conference (Landesgesundheitskonferenz). [Accessed 17 March 2024]. Available from: https://www.berlin.gesundheitfoerdern.de/landesgesundheitskonferenz/mitglieder.</t>
  </si>
  <si>
    <t>[1] Budapest City Hall. Budapest 2027 Integrated Urban Development Plan. Budapest: Budapest City Hall, 2021. [archived 22 January 2024; Accessed 06 March 2024]. Available from: https://archiv.budapest.hu/Documents/ITS2027/ITS_2027_III_STRATEGIA_20210306.pdf
[2] European Climate, Infrastructure and Environment Executive Agency (CINEA). "Budapest". Brussels: European Climate, Infrastructure and Environment Executive Agency (CINEA). [Accessed 22 March 2024]. Available from: https://up2030-he.eu/unique-city/budapest/</t>
  </si>
  <si>
    <t>[1] Cairo Governorate. Cairo: Cairo Governorate. [Accessed 9 March 2024]. Available from: http://www.cairo.gov.eg/ar
[2] Ministry of Health and Population. Health Awareness. Cairo: Ministry of Health and Population. [archived 2020]. Available from: https://web.archive.org/web/20200117075321/http://www.mohp.gov.eg/Articles.aspx
[3] WHO. Egypt Multisectoral Action Plan For Noncommunicable Diseases
Prevention and Control 2018 – 2022. Geneva: World Health Organisation, 2018. Available from: https://extranet.who.int/ncdccs/Data/EGY_B3_Egypt-NCD-MAP-2018-2022.pdf
[4] WHO. Egypt National Multisectoral Action Plan for Prevention and Control of Noncommunicable Diseases 2017-2021. Geneva: World Health Organisation, 2017. Available from: https://extranet.who.int/nutrition/gina/sites/default/filesstore/EGY%202017%20NCDMAPEgypt21March2017%20FINAL%20%20RS_0.pdf</t>
  </si>
  <si>
    <t>[1] Ministry of Health. Sri Lanka Public Health Services. Estate and Urban Health Unit. [Accessed March 17th 2024]. Available from: https://www.health.gov.lk/public-health-services/ 
[2] Ministry of Health. Sri Lanka. Directorate of non-communicable diseases. National Multisectoral Action Plan for the Prevention and Control of Chronic Non-Communicable Diseases 2023-2027. [Accessed March 17th 2024]. Available from: https://www.health.gov.lk/wp-content/uploads/2022/10/National_Multisectoral_Action_Book-compressed.pdf</t>
  </si>
  <si>
    <t>[1] Government of India. Ministry of Health and Family Welfare. National Health Mission. National Urban Health Mission. [Accessed March 11th 2024]. https://nhsrcindia.org/sites/default/files/2021-06/Framework%20for%20Implementation%20-%20National%20Urban%20Health%20Mission.pdf
[2] An Explanatory Analysis of Urban Healthcare Stakeholders in India. Anjali Chikersal. January 2016. World Health Organisation-India Country Office. [Accessed March 11th 2024]. Available from: https://cprindia.org/wp-content/uploads/2022/01/An-Exploratory-Analysis-of-Urban-Healthcare-Stakeholders-in-India.pdf#:~:text=There%20is%20a%20range%20of%20stakeholders%2C%20from%20the,aim%20of%20universalising%20health%20coverage%20in%20urban%20India.</t>
  </si>
  <si>
    <t>[1] Dubai Health Authority. Dubai Health Authority discusses Dubai Digital Health Strategy with healthcare stakeholders. Dubai: Dubai Health Authority. [30 May 2023; Accessed 6 March 2024]. Available from: https://www.dha.gov.ae/en/media/news/826.
[2] Dubai Health Authority. Dubai Health Authority highlights key areas of healthcare investment until 2025. Dubai: Dubai Health Authority. [31 January 2023; Accessed 6 March 2024]. Available from: https://www.dha.gov.ae/en/media/news/806.</t>
  </si>
  <si>
    <t>[1] Finlex Data Bank. Act on Organising Healthcare and Social Welfare Services 612/2021. Helsinki: Ministry of Justice. [entered into force 1 January 2023; last updated 1 January 2024; Accessed 7 March 2024]. Available from: https://www.finlex.fi/fi/laki/alkup/2021/20210612
[2] City of Helsinki. Well-being, Health and Safety for All: Helsinki's Welfare Plan 2022–2025. Helsinki: City of Helsinki. [26 October 2021; Accessed 7 March 2024]. Available from: https://www.hel.fi/static/kanslia/hyte/helsingin-hyvinvointisuunnitelma-2022%E2%80%932025.pdf</t>
  </si>
  <si>
    <t>[1] Ministry of health. Preventing non-communicable diseases requires multi-sectoral coordination. [7 November 2015]. Available from: https://moh.gov.vn/chuong-trinh-muc-tieu-quoc-gia/-/asset_publisher/7ng11fEWgASC/content/phong-chong-benh-khong-lay-nhiem-can-su-phoi-hop-a-nganh?inheritRedirect=false
[2] Ho Chi Minh City People's Committee. Decision Approve the Community Health Development Project to protect, care for and Improve people's health in Ho Chi Minh City in the period 2021-2030. [24 June 2021]. Page 14. Available from: https://vpub.hochiminhcity.gov.vn/portal/DinhKemTinBai/2021-06/wKWV5x90Kk2YsW2Y2297qdsigned.pdf</t>
  </si>
  <si>
    <t>[1] Food and Health Bureau, Department of Health. TOWARDS 2025
Strategy and Action Plan to Prevent and Control
Non-communicable Diseases in Hong Kong (pp. 34, 49). Hong Kong: Department of Health; 2018. [Accessed March 12th 2024]. Available from https://www.chp.gov.hk/files/pdf/saptowards2025_fullreport_en.pdf</t>
  </si>
  <si>
    <t>[1] World Health Organization (WHO) Regional Office for Europe and European Observatory on Health Systems and Policies. Health Systems in Action: Türkiye. Geneva. WHO. 2022. Available from: https://iris.who.int/bitstream/handle/10665/362347/9789289059213-eng.pdf?sequence=1
[2] T.R. Ministry of Health (T.C. Sağlık Bakanlığı). 2024-2028 Stratejik Planı (2024-2028 Strategic Plan). Ankara. T.C. Sağlık Bakanlığı. 2024. Available from: https://shgm.saglik.gov.tr/Eklenti/47452/0/saglik-bakanligi-stratejik-plan-2024-2028pdf.pdf?_tag1=7B2A9834832BF7DCF36F2C7E5607D8543752A372 
[3] T.R. Ministry of Health and World Health Organization (WHO) Regional Office for Europe. Multisectoral Action Plan of Turkey for Noncommunicable Diseases 2017-2025. Ankara. WHO. 2017. Available from: https://cdn.who.int/media/docs/librariesprovider2/country-sites/multisectoral-action-plan-of-turkey-for-noncommunicable-diseases-2017-2025-%28english-and-turkish%29f97f8061-5d52-4d6f-adab-f21d292c48f9.pdf?sfvrsn=377621a3_1&amp;download=true</t>
  </si>
  <si>
    <t>[1] City of Johannesburg. Johannesburg: City of Johannesburg. [Accessed 7 March 2024]. Available from: https://joburg.org.za/.
[2] Gauteng Provincial Government. Johannesburg: Gauteng Provincial Government. [Accessed 7 March 2024]. Available from: https://www.gauteng.gov.za/.
[3] South African Government. Pretoria: South African Government. [Accessed 7 March 2024]. Available from: https://www.gov.za/.
[4] City of Johannesburg. 2020/2021 Annual Report of Departments and Municipal Entities. Johannesburg: City of Johannesburg, 2022. Available from: https://joburg.org.za/documents_/Documents/2020-21%20Oversight%20Report%20on%20Annual%20Report/ANNEXURE%20C.pdf.
[5] City of Johannesburg. City of Johannesburg Integrated Annual Report 2021/22. Johannesburg: City of Johannesburg, 2022. Available from: https://joburg.org.za/documents_/Documents/CoJ-IntergratedAnnualReport20212022.pdf.</t>
  </si>
  <si>
    <t>[1] Government of Sindh. Sindh Health Sector Strategy 2012-2020. Karachi: Government of Sindh, 2013. Available from: https://phkh.nhsrc.pk/sites/default/files/2019-06/Sindh%20Health%20Sector%20Strategy%202012-20.pdf
[2] Karachi Metropolitan Corporation. Official Website. Karachi: Karachi Metropolitan Corporation. [Accessed 22 March 2024]. Available from: https://www.kmc.gos.pk/en
[3] Government of Sindh. Health Department. Karachi: Government of Sindh. [Accessed 18 March 2024]. Available from: https://sindhhealth.gov.pk/</t>
  </si>
  <si>
    <t>[1] Government of India. Ministry of Health and Family Welfare. National Health Mission. National Urban Health Mission. [Accessed March 11th 2024]. Available from: https://nhsrcindia.org/sites/default/files/2021-06/Framework%20for%20Implementation%20-%20National%20Urban%20Health%20Mission.pdf 
[2] An Explanatory Analysis of Urban Healthcare Stakeholders in India. Anjali Chikersal. January 2016. World Health Organisation-India Country Office. [Accessed March 11th 2024]. Available from: https://cprindia.org/wp-content/uploads/2022/01/An-Exploratory-Analysis-of-Urban-Healthcare-Stakeholders-in-India.pdf#:~:text=There%20is%20a%20range%20of%20stakeholders%2C%20from%20the,aim%20of%20universalising%20health%20coverage%20in%20urban%20India</t>
  </si>
  <si>
    <t>[1] New Kuwait. Kuwait National Development Plan 2020-2025, 2020. Kuwait: New Kuwait. [Accessed 19 March 2024]. Available from: https://media.gov.kw/assets/img/Ommah22_Awareness/PDF/NewKuwait/Revised%20KNDP%20-%20EN.pdf
[2] Health Capital Area. Kuwait: Health Capital Area. [Accessed 19 March 2024]. Available from: https://web.archive.org/web/20240302071200/https://www.hcarea.com/</t>
  </si>
  <si>
    <t>[1] Lagos State Ministry of Health (MOH). Health Care Planning, Research &amp; Statistics. Lagos. MOH. [Accessed 9 March 2024]. Available from: https://lagosministryofhealth.org/health-care-planning-research-statistics/
[2] Lagos State Ministry of Health (MOH). Lagos State Strategic Jealth Development Plan 2010-2015. Lagos. MOH. [Accessed 9 March 2024]. Available from: https://ngfrepository.org.ng:8443/bitstream/123456789/3213/1/Lagos%20State%20Strategic%20Health%20Development%20Plan%202010-2015.doc.pdf
[3] Lagos State Ministry of Health (MOH). Lagos State Strategic Health Development Plan 2010-2015. Lagos. MOH. [Accessed 9 March 2024]. Available from: https://ngfrepository.org.ng:8443/bitstream/123456789/3213/1/Lagos%20State%20Strategic%20Health%20Development%20Plan%202010-2015.doc.pdf</t>
  </si>
  <si>
    <t>[1] The Greater London Authority. The London Plan. The Spatial Development Strategy for Greater London. London: GLA; 2021. Available from: https://www.london.gov.uk/sites/default/files/the_london_plan_2021.pdf
[2] Greater London Authority. Healthy Streets Explained. A guide to the Healthy Streets Approach &amp; how to apply it. [PowerPoint presentation]. London: GLA. Available from: https://www.london.gov.uk/sites/default/files/healthy_streets_explained.pdf</t>
  </si>
  <si>
    <t>[1] Ministry of Health (Ministerio de Sanidad). Participación Pública (Public Participation). 2024. Available from: https://www.sanidad.gob.es/normativa/portada/home.htm
[2] Community of Madrid (Comunidad de Madrid). PARTICIPACIÓN CIUDADANA (CITIZEN PARTICIPATION). 2024. Available from: https://participa.comunidad.madrid/participacion-ciudadana
[3] City Council of Madrid (Ayuntamiento de Madrid). Decide Madrid: portal de participación ciudadana del Ayuntamiento de Madrid (Decide Madrid: citizen participation portal of the Madrid City Council). 2024. Available from: https://decide.madrid.es/
[4] City Council of Madrid (Ayuntamiento de Madrid). Department of Public Health (Madrid Salud). General Subdirectorate of Prevention and Health Promotion (Subdirección General de Prevención y Promoción de la Salud). ESTRATEGIA DE PREVENCIÓN Y PROMOCIÓN DE LA SALUD (PREVENTION AND HEALTH PROMOTION STRATEGY) November 2021. Available from: https://www.madrid.es/UnidadesDescentralizadas/Salud/PrevencionYPromocion/EspInformativos/Estrategia%20gente%20saludable/ficheros/ESTRATEGIA-Madrid-una-ciudad-saludable.pdf</t>
  </si>
  <si>
    <t>[1] Manila Health Department. About. Manila: City Government of Manila, 2020. [Accessed 22 February 2024]. Available from: https://manilahealthdepartment.com/about.html
[2] City of Manila. Manila: City of Manila - Republic of the Philippines. [Accessed 23 February 2024]. Available from: https://manila.gov.ph/
[3] Metro Manila Center for Health Development. Manila: Department of Health. [Accessed 22 February 2024]. Available from: https://ncroffice.doh.gov.ph/</t>
  </si>
  <si>
    <t>[1] City of Melbourne. Health and wellbeing action plan 2021-2025. City of Melbourne; 2021. Available from: https://www.melbourne.vic.gov.au/SiteCollectionDocuments/health-and-wellbeing-action-plan-2021.pdf 
[2] State of Victoria Department of Health. Victorian public health and wellbeing plan 2023-27. State of Victoria Department of Health; 2023. Available from: https://www.health.vic.gov.au/victorian-public-health-and-wellbeing-plan-2023-27</t>
  </si>
  <si>
    <t>[1] National Health Mission, Ministry of Health and Family Welfare Government of India. National Urban Health Mission. New Delhi. National Health Mission, Ministry of Health and Family Welfare Government of India.2021. Available from: https://nhsrcindia.org/sites/default/files/2021-06/Framework%20for%20Implementation%20-%20National%20Urban%20Health%20Mission.pdf
[2] Anjali Chikersal. An Explanatory Analysis of Urban Healthcare Stakeholders in India. India. World Health Organisation-India Country Office. January 2016. [Accessed March 11th 2024]. Available from: https://cprindia.org/wp-content/uploads/2022/01/An-Exploratory-Analysis-of-Urban-Healthcare-Stakeholders-in-India.pdf#:~:text=There%20is%20a%20range%20of%20stakeholders%2C%20from%20the,aim%20of%20universalising%20health%20coverage%20in%20urban%20India</t>
  </si>
  <si>
    <t>[1] Nairobi City Council. NAIROBI CITY COUNTY Community Health Services Implementation Plan 2023 – 2027. Nairobi: Nairobi City Council, 2023. Available from: https://nairobi.go.ke/download/nairobi-city-county-community-health-services-implementation-plan-2023-2027/ 
[2] Republic of Kenya. Kenya Health Sector Strategic Plan 2018-2023. http://guidelines.health.go.ke:8000/media/Kenya_Health_Sector_Strategic_Plan_July_2018-_June_2023.pdf, p.17 
[3] Ministry of Health. Building Resilient and Responsive Health System (BREHS). Nairobi: Ministry of Health, 2023. Available from: https://health.go.ke/sites/default/files/2023-12/BREHS%20Stakeholder%20Engagement%20Plan%20%28SEP%29.pdf</t>
  </si>
  <si>
    <t>[1] The Osaka Prefecture Community and Workplace Collaboration Promotion Council. Profile. Osaka: Osaka Prefecture; October 2023. Available from: https://www.pref.osaka.lg.jp/kenkozukuri/jyunkannki/chiikisyokuiki.html
[2] Osaka Prefectural Government. Public opinions on "4th Osaka Prefecture Health Promotion Plan (draft)". Osaka: Osaka Prefecture; March 2024. Available from: https://www.pref.osaka.lg.jp/kenkozukuri/kenkouzousinkeikaku/2024publiccomment2.html</t>
  </si>
  <si>
    <t>[1] Isabelle Durand-Zaleski, AP-HP and Université Paris-Est. International Health Care System Profiles: France. The Commonwealth Fund, New York, 5 June 2020. Available from: https://www.commonwealthfund.org/international-health-policy-center/countries/france
[2] Ministry of Labor, Health and Solidarity (Ministère du Travail, de la Santé et des Solidarités). Maladies cardiovasculaires (Cardiovascular illnesses). Paris, 26 September 2023. Available from: https://sante.gouv.fr/soins-et-maladies/maladies/maladies-cardiovasculaires/article/maladies-cardiovasculaires
[3] ARS Île-de-France.Le Projet régional de santé 2023-2028 (The Regional Health Project 2023-2028). Paris, 19 January 2024. Available from: https://www.iledefrance.ars.sante.fr/publication-du-prs-2023-2028
[4] ARS Île-de-France.Agir pour la santé des Franciliens: Plan d'action 2023-2028 (Acting for the health of Ile-de-France residents: Action Plan 2023-2028). Paris, 2023. Available from: https://www.iledefrance.ars.sante.fr/media/116122/download?inline</t>
  </si>
  <si>
    <t>[1] Ministry of Health. National Multisectoral Action Plan for the Prevention and Control of Noncommunicable Diseases 2018 - 2027. Phnom Penh: Ministry of Health; 2018[ Accessed 6 March 2024]. Available from: https://moh.gov.kh/content/uploads/2017/05/NMAP-NCD_-13-06-2018-Signed_En.pdf.
[2] National Institute of Public Health (NIPH). Mental Health Strategic Plan 2023 - 2032. Phnom Penh: NIPH. [Accessed 6 March 2024]. Available from: https://niph.org.kh/niph/uploads/library/pdf/27_Dec_23_MHSP_Launching_Eng_Printing.pdf.</t>
  </si>
  <si>
    <t>[1] Al-Khashan H et al. Primary health care reform in Saudi Arabia: progress, challenges and prospects. World Health Organization (WHO), 2021. Available from: http://www.emro.who.int/images/stories/emhj/documents/in_press/primary_health_care_reform_in_saudi_arabia_progress_challenges_and_prospects.pdf?ua=1
[2] AlMarzooqi M A et al. Comprehensive assessment of physical activity policies and initiatives in Saudi Arabia 2016-2022. Front Public Health. 2023 Jul 19:11. Available from: https://pubmed.ncbi.nlm.nih.gov/37614443/
[3] Ministry of Health. Royal Commission for Riyadh City (RCRC). Riyadh: Royal Commission for Riyadh City; 2024. Available from: https://www.rcrc.gov.sa/en/
[4] Ministry of Health. MOH Portal. Riyadh: Ministry of Health; 2022. Available from: https://www.moh.gov.sa/en/Pages/default.aspx
[5] PHA. PHA Portal. Riyadh: Public Health Authority; 2021. Available from: https://covid19.cdc.gov.sa</t>
  </si>
  <si>
    <t>[1] Donatini, A. International Health Care System Profiles Italy. The Commonwealth Fund, New York, 5 June 2020. Available from: https://www.commonwealthfund.org/international-health-policy-center/countries/italy
[2] Region of Lazio (Regione Lazio). Piano Regionale della Prevenzione 2021-2025 (Regional Prevention Plan 2021-2025). Rome, December 2021. Available from: https://www.salute.gov.it/portale/prevenzione/DELIBERE_PRP_2020-2025/Lazio/DGR_970_del_2021_e_PRP_2021-2025.pdf
[3] Metropolitan City of Rome Capital (Città metropolitana di Roma Capitale). Consiglio del Cibo, l'elenco aggiornato delle adesioni (Food Council, the updated list of members). Rome, 17 January 2024. Available from: https://www.comune.roma.it/web/it/notizia.page?contentId=NWS1130660</t>
  </si>
  <si>
    <t>[1] San Francisco Department of Public Health. What is the Health Care Services Master Plan? [Internet]. City and County of San Francisco; 2019 [Accessed March 20th 2024]. Available from: https://sfplanning.org/sites/default/files/documents/citywide/HCSMP_2_pager.pdf
[2] San Francisco Department of Public Health. Health Care Services Master Plan 2019 Update Planning Commission Informational Hearing [Internet]. City and County of San Francisco; 2019 [Accessed March 20th 2024]. Available from: https://commissions.sfplanning.org/cpcpackets/HCSMP_CPC%20informational%20hearing_121219%20.pdf</t>
  </si>
  <si>
    <t>[1] Australian Government Department of Health. Department of Health Stakeholder Engagement Framework. Canberra: Australian Government; 2005. Available from: https://www.health.gov.au/sites/default/files/stakeholder-engagement-framework.pdf.
[2] New South Wales Department of Health. Stakeholder Engagement. Sydney: Corporate Governance &amp; Accountability Compendium; 2019. Available from: https://www.health.nsw.gov.au/policies/manuals/Documents/cgc-section10.pdf.
[3] New South Wales Department of Health. How can schools get involved? Healthy lifestyle programs for primary schools. Sydney: New South Wales Department of Health; 2024. Available from: https://www.health.nsw.gov.au/heal/schools/Pages/get-involved.aspx.</t>
  </si>
  <si>
    <t>[1] Bureau of Social Welfare and Public Health, Tokyo Metropolitan Government. Tokyo Metropolitan Health Promotion Plan 21 Development Council. Tokyo: Bureau of Social Welfare and Public Health, Tokyo Metropolitan Government. Available from: https://www.hokeniryo.metro.tokyo.lg.jp/kensui/plan21/R4-suishinkaigi/index.html
[2] Tokyo Metropolitan Government. Public opinion calls. Tokyo: Tokyo Metropolitan Government. Available from: https://www.johokokai.metro.tokyo.lg.jp/jyuyokohyo/02.html</t>
  </si>
  <si>
    <t>[1] Interview #3
[2] Interview #5
[3] Ministry of Health and Sports. National Strategic Plan for Prevention and Control of NCDs (2017-2021). Naypyidaw: Ministry of Health and Sports. [June 2017, Accessed 27 March 2024]. Available from: https://www.who.int/docs/default-source/searo/ncd/mmr-ncd-action-plan-2017-2021.pdf
[4] Yangon City Development Committee (YCDC). Facts about YCDC. Yangon: Yangon City Development Committee (YCDC). [Accessed 27 March 2024]. Available from: https://www.ycdc.gov.mm/download.php?customizedpdf=FactsaboutYCDC2014</t>
  </si>
  <si>
    <t>[1] USAID. Review of Food Safety Policy and Legislation in Ethiopia. Washington, D.C.: USAID; January 2022. Available from: https://pdf.usaid.gov/pdf_docs/PA00Z882.pdf
[2] Ethiopian Food and Drug Administration (EFDA). Ethiopian Food and Drug Administration. Addis Ababa: Ethiopian Food and Drug Administration (EFDA); 2010. Available from: https://www.efda.gov.et/.
[3] Addis Ababa City Administration Food and Drug Authority (AAFDA). About Us. Addis Ababa: Addis Ababa City Administration. [Accessed 29 March 2024]. Available from: https://web.archive.org/web/20240312214026/https://aafda.gov.et/about.php</t>
  </si>
  <si>
    <t>[1] Facebook: DSP d'Alger. Algiers: DSP d'Alger. [Accessed 5 March 2024]. Available from: https://www.facebook.com/DSPAlger16
[2] Ministry of Health, Population, and Hospital Reform. Official website. Algiers: Ministry of Health, Population, and Hospital Reform. [Archived 2022]. Available from: https://web.archive.org/web/20220812202112/https://sante.gov.dz/
[3] Eco Algeria. A bill to promote the advertising of processed foodstuffs. Algeria: Eco Algeria; 2021. Available from: https://www.eco-algeria.com/content/مشروع-قانون-لتسيير-إشهار-المواد-الغذائية-المصنّعة
[4] WHO. NCD Microdata Repository. Geneva: World Health Organization; 2016. Available from: https://extranet.who.int/ncdsmicrodata/index.php/catalog/91#metadata-sampling</t>
  </si>
  <si>
    <t>[1] Fitzgerald D. Atlanta, GA [Internet]. CityHealth — Helping everyone live healthy, full lives. 2021 [Accessed February 23rd 2024]. Available from: https://www.cityhealth.org/city/atlanta/ 
[2] American Heart Association. Unhealthy and Unregulated Food Advertising and Marketing to Children [Internet]. American Heart Association; 2019 [Accessed February 22nd 2024]. Available from: https://www.heart.org/-/media/files/about-us/policy-research/fact-sheets/healthy-schools-and-childhood-obesity/food-marketing-and-advertising-to-children-fact-sheet.pdf
[3] World Health Organization. Has conducted a recent, national adult risk factor survey covering unhealthy diet [Internet]. www.who.int. 2021 [Accessed February 22nd 2024]. Available from: https://www.who.int/data/gho/data/indicators/indicator-details/GHO/has-conducted-a-recent--national-adult-risk-factor-survey-covering-unhealthy-diet</t>
  </si>
  <si>
    <t>[1] Food Act BE 2522. Bhumibol Adulyadej, Rex. Bangkok; 2017. Available from: https://www.fao.org/faolex/results/details/en/c/LEX-FAOC064932/
[2] Bangkok launches first food policy in cooperation with Milan and the European Union. International Urban and Regional Cooperation (IURC). Dec. 12, 2023. Available from: https://www.iurc.eu/2023/12/12/bangkok-launches-first-food-policy-in-cooperation-with-milan-and-the-european-union/
[3] Twenty Year Strategic Plan for Public Health (2017-36), Ministry of Public Health. Bangkok; 2017. Available from: https://www.moph.go.th/index.php/sitemap</t>
  </si>
  <si>
    <t>[1] The State Council - The People's Republic of China. China Issues National Nutrition Plan (2017-2030)." Beijing: The State Council, 13 July 2017. Available from: https://english.www.gov.cn/policies/latest_releases/2017/07/13/content_281475725038850.htm
[2] Food and Agriculture Organization of the United Nations (FAO). FAOLEX Database - China - National Nutrition Plan (2017-2030). Rome: Food and Agriculture Organization of the United Nations, 11 February 2023. Available from: https://www.fao.org/faolex/results/details/en/c/LEX-FAOC176529/
[3] Zhang, Qian. Multifaceted Interventions for Enhancing Nutritional Status Among Chinese Children and Adolescents. China CDC Weekly: 2023;5 (24). Available from: https://www.ncbi.nlm.nih.gov/pmc/articles/PMC10319910/
[4] The People's Government of Beijing Municipality. Healthy Beijing Action 2020-2030. Beijing: The People's Government of Beijing Municipality, 30 March 2020. Available from: https://www.beijing.gov.cn/gongkai/guihua/wngh/qtgh/202006/W020210219566223042282.docx
[5] National Institute for Nutrition and Health. Work summary meeting for Chinese resident nutrition and health status monitoring work was held in Beijing. Beijing: National Institute for Nutrition and Health. [11 December 2023; Accessed 12 March 2024]. Available from: https://www.chinanutri.cn/xwzx_238/gzdt/202312/t20231211_271296.html</t>
  </si>
  <si>
    <t>[1] Senate Senate Department for Justice and Consumer Protection. Fields of action of the Berlin Nutrition Strategy. Berlin: Senate Senate Department for Justice and Consumer Protection. [Accessed 14 March 2024]. Available from: https://www.berlin.de/ernaehrungsstrategie/strategie/handlungsfelder/
[2] Senate Senate Department for Justice and Consumer Protection. Berlin Nutrition Strategy- Action Plan. Berlin: Senate Senate Department for Justice and Consumer Protection. [Accessed 14 March 2024]. Available from: https://www.berlin.de/ernaehrungsstrategie/_assets/aktionsplan-ernaehrungsstrategie.pdf?ts=1707823226
[3] Senate Senate Department for Justice and Consumer Protection. Nutrition Policy. Berlin: Senate Senate Department for Justice and Consumer Protection. [Accessed 14 March 2024]. Available from: https://www.berlin.de/sen/verbraucherschutz/aufgaben/ernaehrungspolitik/
[4] Federal Ministry of Food and Agriculture (BMEL). Good food for Germany - the German government's nutrition strategy. Berlin: BMEL; 2024. Available from: https://www.bmel.de/SharedDocs/Downloads/DE/_Ernaehrung/ernaehrungsstrategie-kabinett.pdf?__blob=publicationFile&amp;v=8</t>
  </si>
  <si>
    <t>[1] World Health Organization. Has conducted a recent, national adult risk factor survey covering unhealthy diet. Geneva. WHO. 2024. Available from: https://www.who.int/data/gho/data/indicators/indicator-details/GHO/has-conducted-a-recent--national-adult-risk-factor-survey-covering-unhealthy-diet
[2] Bogotá - Estudio sobre el paisaje alimentario de cuatro barrios by Gehl - Making Cities for People - Issuu. 2021. Available from: https://issuu.com/gehlarchitects/docs/bogota_foodscapes_spanish_report 
[3] Peralta, Diana Guarnizo. Publicidad para enfermar: restricciones al mercadeo de productos alimenticios ultraprocesados dirigido a niños y niñas en la Constitución colombiana. Revista Derecho del Estado. 2021 Dec 7;(51):5–38.</t>
  </si>
  <si>
    <t>[1] Wolters Kluwers Hungary Law Database. Law XLVIII of 2008 on on the basic conditions and certain limitations of economic advertising activity (2008. évi XLVIII. törvény a gazdasági reklámtevékenység alapvető feltételeiről és egyes korlátairól). Budapest: Wolters Kluwers Hungary. [Last updated on 07 March 2024; Accessed 07 March 2024]. Available from: https://net.jogtar.hu/jogszabaly?docid=a0800048.tv
[2] Hungarian Advertisement Association. The Hungarian Advertisement Ethics Codex. Budapest: Hungarian Advertisement Association, 2023. Available from: https://www.ort.hu/wp-content/uploads/2023/04/magyar_reklametikai_kodex_online_2oldalas.pdf
[3] Wolters Kluwers Hungary Law Database. Law CIII. of 2011 on the Public Health Product Tax. (2011. évi CIII. törvény a népegészségügyi termékadóról). Budapest Wolters Kluwers Hungary. [Last updated on 7 March 2024; Accessed 07 March 2024]. Available from: https://net.jogtar.hu/jogszabaly?docid=a1100103.tv
[4] National Institute of Pharmacy and Nutrition (OGYÉI). OTÁP 2019. Budapest: National Institute of Pharmacy and Nutrition. [Accessed 07 March 2024]. Available from: https://ogyei.gov.hu/otap2019/</t>
  </si>
  <si>
    <t>[1] Cairo Governorate. Official Portal. Cairo: Cairo Governorate. [Accessed 9 March 2024]. Available from: http://www.cairo.gov.eg/ar
[2] Ministry of Health and Population. Health Awareness. Cairo: Ministry of Health and Population. [archived 2020]. Available from: https://web.archive.org/web/20200117075321/http://www.mohp.gov.eg/Articles.aspx
[3] UNICEF. Egypt. New York: United Nations International Children's Emergency Fund. [Accessed 10 March 2024]. Available from: https://www.unicef.cn/en/csr/egypt#:~:text=Egypt%27s%20national%20laws%20regulate%20advertising,(HFSS)%20foods%20to%20children.
[4] Central Agency for Public Mobilization and Statistics (CAPMAS). Arab Republic of Egypt - Health Survey for the Egyptian Households 2021. Cairo: Central Agency for Public Mobilization and Statistics (CAPMAS), 2021. Available from: https://censusinfo.capmas.gov.eg/Metadata-en-v4.2/index.php/catalog/665
[5] WHO. Egypt STEPS Survey 2017. Geneva: World Health Organization, 2017. Available from: https://cdn.who.int/media/docs/default-source/ncds/ncd-surveillance/data-reporting/egpyt/steps/egypt-steps-survey-2017-facts-and-figures.pdf?sfvrsn=f4dd4788_2&amp;download=true
[6] WHO. Egypt STEPS Survey 2017. Fact Sheet. Geneva: World Health Organization, 2017. Available from: https://cdn.who.int/media/docs/default-source/ncds/ncd-surveillance/data-reporting/egpyt/steps/egypt-steps-survey-2017-fact-sheet.pdf?sfvrsn=33c64cb7_2&amp;download=true</t>
  </si>
  <si>
    <t>[1] Global Nutrition Report. Country Nutrition Profiles. Sri Lanka. Available from: https://globalnutritionreport.org/resources/nutrition-profiles/asia/southern-asia/sri-lanka/#:~:text=No%20Policy%20to%20reduce%20the%20impact%20of%20marketing,fatty%20acids. Accessed March 18, 2024
[2] World Health Organization. The Global Health Observatory. Has conducted a recent, national adult risk factor survey covering unhealthy diet. Sri Lanka. Available from: https://www.who.int/data/gho/data/indicators/indicator-details/GHO/has-conducted-a-recent--national-adult-risk-factor-survey-covering-unhealthy-diet. Accessed March 18 2024</t>
  </si>
  <si>
    <t>[1] Department of Consumer Affairs. Ministry of Consumer Affairs, Food and Public Distribution. Government of India. The Guidelines for Prevention of Misleading Advertisements and Endorsements for Misleading Advertisements, 2022. [Accessed March 13th 2024]. Available from: https://consumeraffairs.nic.in/theconsumerprotection/guidelines-prevention-misleading-advertisements-and-endorsements-misleading 
[2] Are advertising policies affirmative in restricting the marketing of foods high in fat, salt and sugar (HFSS) in India? evidence from SWOT Analysis. THE LANCET, Regional Health-South East Asia. Shalini Bassi et.al. November 14, 2023. [Accessed March 13th 2024]. Available from: https://www.thelancet.com/journals/lansea/article/PIIS2772-3682(23)00175-0/fulltext#:~:text=Thirteen%20policies%20%28nine%20mandatory%3B%20four%20self-regulatory%29%20relevant%20to,HFSS%20food%20advertisements%20to%20children%20across%20all%20media. 
[3] World Health Organization. The Global Health Observatory. Has conducted a recent, national adult risk factor survey covering unhealthy diet. India. [Accessed March 13th 2024]. Available from: https://www.who.int/data/gho/data/indicators/indicator-details/GHO/has-conducted-a-recent--national-adult-risk-factor-survey-covering-unhealthy-diet</t>
  </si>
  <si>
    <t>[1] Directorate General of Health Services (DGHS). 4th Health, Population and Nutrition Sector Programmme (4th HPNSP) Operational Plan (OP) Non Communicable Disease Control. Dhaka: DGHS; 2017. Available from: https://extranet.who.int/nutrition/gina/en/node/26353
[2] Hossain MB, Parvez M, Islam MR, et al. Assessment of non-communicable disease related lifestyle risk factors among adult population in Bangladesh. J Biosoc Sci. 2022 Jul;54:651-671.</t>
  </si>
  <si>
    <t>[1] Dubai Health Authority. Dubai Household Health Survey 2019. Government of Dubai; 2019. Available from: https://www.dha.gov.ae/uploads/042022/Dubai%20Household%20Health%20Survey_EN2022450248.pdf.
[2] Al-Jawaldeh A and Jabbour J. Marketing of Food and Beverages to Children in the Eastern Mediterranean Region: A Situational Analysis of the Regulatory Framework. Frontiers in Nutrition. 2022;9(868937).
[3] Gibson B, Jobanputra K, Johnson J, et al. United Arab Emirates: Advertising &amp; Marketing. UAE: CMS. [Accessed 6 March 2024]. Available from: https://www.legal500.com/guides/chapter/uae-advertising-marketing/.
[4] Salama S. Dh300,000 fines for providers of unhealthy food to children in UAE. Abu Dhabi: Gulf News. [20 May 2020; Accessed 6 March 2024]. Available from: https://gulfnews.com/uae/government/dh300000-fines-for-providers-of-unhealthy-food-to-children-in-uae-1.71595223.
[5] Saseendran S. UAE's new nutrition strategy and rules: All you need to know. Dubai: Gulf News. [5 December 2022; Accessed 6 March 2024]. Available from: https://gulfnews.com/uae/uaes-new-nutrition-strategy-and-rules-all-you-need-to-know-1.92333541.</t>
  </si>
  <si>
    <t>[1] City of Helsinki. School Health Survey. Helsinki: City of Helsinki. [Accessed 7 March 2024]. Available from: https://hyte.hel.fi/kouluterveyskysely
[2] THL. School Health Survey. Helsinki: THL. [Accessed 7 March 2024]. Available from: https://thl.fi/tutkimus-ja-kehittaminen/tutkimukset-ja-hankkeet/kouluterveyskysely
[3] City Information. A fifth of Helsinki's 8th-9th graders have unhealthy lifestyles - looking at sleep, exercise and nutrition. Helsinki: City of Helsinki. [Accessed 7 March 2024]. Available from: https://kaupunkitieto.hel.fi/fi/viidenneksella-helsingin-8-9-luokkalaisista-on-epaterveelliset-elintavat-tarkastelussa-uni?s=03
[4] City of Helsinki. School healthcare. Helsinki: City of Helsinki. [Accessed 7 March 2024]. Available from: https://www.hel.fi/fi/sosiaali-ja-terveyspalvelut/lasten-ja-perheiden-palvelut/kouluterveydenhuolto
[5] The Council of State. Marketing of unhealthy foods to children and young people: The situation in Finland and the rules of the game for marketing regulation. Helsinki: The Council of State. [14 October 2021; Accessed 7 March 2024]. Available from: https://julkaisut.valtioneuvosto.fi/bitstream/handle/10024/163546/VNTEAS_2021_57.pdf
[6] Helsinki University. Comprehensive Approach in Protecting Children from Marketing, Finnish EPELI-project. Helsinki: THL. [7 May 2021; Accessed 7 March 2024]. Available from: https://thl.fi/documents/155392151/190513176/EPELI+presentation+060521+Fogelholm.pdf/5a333d2f-6504-5e18-ef36-f87ee11ca9e5/EPELI+presentation+060521+Fogelholm.pdf?t=1620644964060
[7] Helsingin Sanomat. Unhealthy foods should not be marketed to children. Helsinki: Helsingin Sanomat. [29 April 2023; Accessed 7 March 2024]. Available from: 
https://www.hs.fi/mielipide/art-2000009548248.html
[8] City of Helsinki. The well-being and health of the residents of the capital region: Results of the 2021 well-being survey of the capital region. Helsinki: City of Helsinki. [March 2022; Accessed 7 march 2024]. Available from: https://www.hel.fi/hel2/tietokeskus/julkaisut/pdf/22_04_12_Tutkimuksia_1_Ahlgren_Leinvuo_Erjansola_Joensuu_Maki_Manty_Sihvonen.pdf
[9] City Data. Capital region well-being survey. Helsinki: City of Helsinki. [Accessed 7 march 2024]. Available from: https://pkskysely.kaupunkitieto.fi</t>
  </si>
  <si>
    <t>[1] Department of Health. Report of Population Health Survey 2020-22 (Part II). Hong Kong: Department of Health; 2023. [Accessed March 12th 2024]. Available from https://www.chp.gov.hk/files/pdf/dh_phs_2020-22_part_1_report_eng_rectified.pdf
[2] Legislative Council, HKSAR. Measures to reduce dietary sodium and sugar. Hong Kong: Legislative Council Secretariat; 2022. [Accessed March 12th 2024]. Available from https://www.legco.gov.hk/research-publications/english/essentials-2022ise03-measures-to-reduce-dietary-sodium-and-sugar.htm.</t>
  </si>
  <si>
    <t>[1] Istanbul Metropolitan Municipality. Istanbul Planning Agency (İstanbul Büyük Şehir Belediyesi. İstanbul Planlama Ajansi). İstanbul Gıda Strateji Belgesi (Istanbul Food Strategy Document). Istanbul. İstanbul Büyük Şehir Belediyesi. October 2021. Available from: https://ipa.istanbul/yayinlarimiz/genel/istanbul-gida-strateji-belgesi/
[2] T.R. Ministry of Health General Directorate of Public Health (T.C. Sağlık Bakanlığı Halk Sağlığı Genel Müdürlüğü). Turkey Nutrition and Health Survey 2017. Ankara. T.C. Sağlık Bakanlığı Halk Sağlığı Genel Müdürlüğü. 2019. Available from: https://hsgm.saglik.gov.tr/depo/birimler/saglikli-beslenme-ve-hareketli-hayat-db/Dokumanlar/Ingilizce_Yayinlar/TBSA_RAPOR_KITAP_2017_ENG_.pdf
[3] T.R. Ministry of Health General Directorate of Public Health (T.C. Sağlık Bakanlığı Halk Sağlığı Genel Müdürlüğü) and Istanbul Public Health Directorate (İstanbul Halk Sağlığı Müdürlüğü). "İstanbul'da Çocuk,Ergen ve Ev Kadınlarında Beslenme Davranışları Araştırması" Sonuç Raporu ("Research on Nutritional Behaviors of Children, Adolescents and Housewives in Istanbul" Final Report). Istanbul. T.C. Sağlık Bakanlığı Halk Sağlığı Genel Müdürlüğü and İstanbul Halk Sağlığı Müdürlüğü. 2013. Available from: https://www.kalkinmakutuphanesi.gov.tr/dokuman/istanbul-da-cocuk-ergen-ve-ev-kadinlarinda-beslenme-davranislari-arastirmasi-sonuc-raporu/583</t>
  </si>
  <si>
    <t>[1] Gerakan Masyarakat Hidup Sehat. Ministry of Health. Available from: https://ayosehat.kemkes.go.id/germas
[2] Isi Piringku. Ministry of Health. Available from https://kesmas.kemkes.go.id/konten/133/0/062511-isi-piringku
[3] Basic Health Research. Ministry of Health; Jakarta; 2018. Available from https://www.badankebijakan.kemkes.go.id/laporan-hasil-survei/ 
[4] Diet consumption data. Statistics Indonesia; Jakarta. Available from: https://jakarta.bps.go.id/subject/5/konsumsi-dan-pengeluaran.html#subjekViewTab3</t>
  </si>
  <si>
    <t>[1] City of Johannesburg. Johannesburg: City of Johannesburg. [Accessed 2 March 2024]. Available from: https://joburg.org.za/.
[2] Gauteng Provincial Government. Johannesburg: Gauteng Provincial Government. [Accessed 2 March 2024]. Available from: https://www.gauteng.gov.za/.
[3] South African Government. Pretoria: South African Government. [Accessed 2 March 2024]. Available from: https://www.gov.za/.
[4] UNICEF. Put children's health and wellbeing first in the regulation of foodstuffs. New York: UNICEF. Available from: https://www.unicef.org/southafrica/press-releases/put-childrens-health-and-wellbeing-first-regulation-foodstuffs.
[5] South African Government. Draft Regulations Relating to the Labelling and Advertising of Foodstuffs in South Africa. Pretoria: South African Government, 2023. https://www.gov.za/sites/default/files/gcis_document/202304/48428rg11572gon3287.pdf
[6] Statistics South Africa. Pretoria: Statistics South Africa. [Accessed 3 March 2024]. Available from: https://www.statssa.gov.za.
[7] Health Systems Trust. District Health Barometer. Durban: Health Systems Trust. [Accessed 7 March 2024]. https://www.hst.org.za/publications/Pages/HSTDistrictHealthBarometer.aspx.
[8] Statistics South Africa. 2022 General Household Survey. Pretoria: Statistics South Africa, 2023. Available from: https://www.statssa.gov.za/publications/P0318/P03182022.pdf
[9] Statistics South Africa. 2016 Community Survey. Pretoria: Statistics South Africa, 2016. Available from: https://cs2016.statssa.gov.za/wp-content/uploads/2016/07/NT-30-06-2016-RELEASE-for-CS-2016-_Statistical-releas_1-July-2016.pdf.
[10] National Department of Health. 2016 South Africa Demographic and Health Survey. Pretoria: National Department of Health, 2019. Available from: https://dhsprogram.com/pubs/pdf/FR337/FR337.pdf.</t>
  </si>
  <si>
    <t>[1] Ministry for Planning, Development, and Reform. Pakistan Multi-sectoral Nutrition Strategy (PMNS 2018-25). Islamabad: Ministry for Planning, Development, and Reform. Available from: https://extranet.who.int/nutrition/gina/sites/default/filesstore/PAK_2018_Pakistan-Multi-sectoral-Nutrition-Strategy.pdf
[2] World Health Organization. Global Health Observatory, Surveillance Response by Country. Geneva: World Health Organization. [April 25, 2022]. Available from: https://apps.who.int/gho/data/view.main.2474</t>
  </si>
  <si>
    <t>[1] Dhimal M, Bista B, Bhattarai S, Dixit LP, Hyder MKA, Agrawal N, Rani M, Jha AK. Report of Noncommunicable Disease Risk Factors: STEPS Survey Nepal 2019. Kathmandu: Nepal Health Research Council. 2020. Available from: https://www.who.int/docs/default-source/nepal-documents/ncds/ncd-steps-survey-2019-compressed.pdf
[2] Fisher L, Dahal M, Hawkes S et al. Barriers and opportunities to restrict marketing of unhealthy foods and beverages to children in Nepal: a policy analysis. BMC Public Health. 2021; 1351.</t>
  </si>
  <si>
    <t>[1] Department of Consumer Affairs. Ministry of Consumer Affairs, Food and Public Distribution. Government of India. The Guidelines for Prevention of Misleading Advertisements and Endorsements for Misleading Advertisements, 2022. [Accessed April 11th 2024]. Available from: https://consumeraffairs.nic.in/sites/default/files/CCPA_Notification.pdf
[2] Are advertising policies affirmative in restricting the marketing of foods high in fat, salt and sugar (HFSS) in India? evidence from SWOT Analysis. THE LANCET, Regional Health-South East Asia. Shalini Bassi et.al. November 14, 2023. [Accessed March 13th 2024]. Available from: https://www.thelancet.com/journals/lansea/article/PIIS2772-3682(23)00175-0/fulltext#:~:text=Thirteen%20policies%20%28nine%20mandatory%3B%20four%20self-regulatory%29%20relevant%20to,HFSS%20food%20advertisements%20to%20children%20across%20all%20media. 
[3] World Health Organization. The Global Health Observatory. Has conducted a recent, national adult risk factor survey covering unhealthy diet. India. [Accessed March 13th 2024]. Available from: https://www.who.int/data/gho/data/indicators/indicator-details/GHO/has-conducted-a-recent--national-adult-risk-factor-survey-covering-unhealthy-diet</t>
  </si>
  <si>
    <t>[1] Alyousif Z et al. A content analysis of food advertising in Arab Gulf countries during Ramadan. Health Promot Int. 2020 Dec; 35: 1267–1272. 
[2] Selamet J. Kuwait &amp; obesity: what can you see from the city streets? Cities &amp; Health, 2022, 6:3, 460-464. 
[3] Ministry of Health. Kuwait Nutritional Surveillance System 2020, 2020. Kuwait: Ministry of Health. [Accessed 18 March 2024]. Available from: https://www.moh.gov.kw/FoodNutrition/F2.pdf
[4] Almughamis N, AlAsfour S, Mehmood S. Poor eating habits and predictors of weight gain during the COVID-19 quarantine measures in Kuwait: a cross sectional study. F1000Research. 2020;9:914.</t>
  </si>
  <si>
    <t>[1] Page 28, Federal Ministry of Health. National Policy And Strategic Plan of Action On Non-Communicable Diseases (NCDs)." Abujah. Federal Ministry of Health. [Accessed 8 March 2024]. Available from: https://www.medbox.org/pdf/5e148832db60a2044c2d3a50
[2] Page 38, National Agency for Food and Drug Administration and Control (NAFDAC). Fats, Oils and Foods Containing Fats and Oils Regulations, 2022. Lagos. NAFDAC. [Accessed 8 March 2024]. Available from: https://www.nafdac.gov.ng/wp-content/uploads/Files/Resources/Regulations/2022/Fats-Oils-and-Foods-Containing-Fats-and-Oils-Regulations-2022.pdf
[3] Page 8, National Agency for Food and Drug Administration and Control (NAFDAC). Food Products Advertisement Regulations, 2021. Abujah. NAFDAC. [Accessed 8 March 2024]. Available from: https://www.nafdac.gov.ng/wp-content/uploads/Files/Resources/Regulations/REGULATIONS_2021/Food-Products-Advertisement-Regulations-2021.pdf
[4] National Bureau of Statistics (NBS). National Nutrition and Health Survey (NNHS) 2018. Abujah. NBS. [Accessed 8 March 2024]. Available from: https://nigerianstat.gov.ng/pdfuploads/NNHS_2018_Final%20Report.pdf
[5] Olatona F, Adeniyi D, Obrutu O et al. Nutritional knowledge, dietary habits and nutritional status of adults living in urban Communities in Lagos State. Lagos. Department of Community Health and Primary Care, College of Medicine of the University of Lagos; 23[1]:711-724. [Accessed 8 March 2024]. Available from: https://www.ncbi.nlm.nih.gov/pmc/articles/PMC10398463/pdf/AFHS2301-0711.pdf</t>
  </si>
  <si>
    <t>[1] Greater London Authority. TfL junk food ads ban will tackle child obesity. London: GLA. Available from: https://www.london.gov.uk/programmes-strategies/communities-and-social-justice/food/tfl-junk-food-ads-ban-will-tackle-child-obesity#
[2] Yau A, Berger N, Law C, Cornelsen L, Greener R, et al. (2022) Changes in household food and drink purchases following restrictions on the advertisement of high fat, salt, and sugar products across the Transport for London network: A controlled interrupted time series analysis. PLOS Medicine 19 : e1003915.
[3] Office for Health Improvement and Disparities. National Diet and Nutrition Survey. London: Department of Health and Social Care; 2023. Available from: https://www.gov.uk/government/collections/national-diet-and-nutrition-survey#full-publication-update-history 
[4] Public Health England. National Diet and Nutrition Survey: Diet, Nutrition and Physical Activity in 2020. A follow up study during covid-19. London: PHE; 2023. Available from: https://assets.publishing.service.gov.uk/media/614b16c8d3bf7f71919a7f47/Follow_up_stud_2020_main_report.pdf</t>
  </si>
  <si>
    <t>[1] Community of Madrid (Comunidad de Madrid). Encuesta de nutrición de la Comunidad de Madrid - ENUCAM (Nutrition survey of the Community of Madrid - ENUCAM). October 2014. Available from: https://www.madrid.org/bvirtual/BVCM017699.pdf
[2] Community of Madrid (Comunidad de Madrid). PLAN INTEGRAL DE ALIMENTACIÓN Y NUTRICIÓN (COMPREHENSIVE FOOD AND NUTRITION PLAN). 2005. Available from: https://www.madrid.org/bvirtual/BVCM015482.pdf
[3] City Council of Madrid (Ayuntamiento de Madrid). Estrategia de Alimentación Saludable y Sostenible 2022-2025 (Healthy and Sustainable Eating Strategy 2022-2025). 2024. Available from: https://transparencia.madrid.es/portales/transparencia/es/Organizacion/Planes-y-memorias/Planes/Estrategia-de-Alimentacion-Saludable-y-Sostenible-2022-2025/?vgnextoid=e988ffc3ef5f4810VgnVCM2000001f4a900aRCRD&amp;vgnextchannel=d869508929a56510VgnVCM1000008a4a900aRCRD
[4] City Council of Madrid (Ayuntamiento de Madrid). Estrategia de Alimentación Saludable y Sostenible de la ciudad de Madrid 2022-2025 (Healthy and Sustainable Eating Strategy of the city of Madrid 2022-2025). 2022. Available from: https://transparencia.madrid.es/FWProjects/transparencia/PlanesYMemorias/Planes/AlimentacionSaludable/ficheros/EASS_22-25_MemoriaEstrategia.pdf
Other sources: 
City Council of Madrid (Ayuntamiento de Madrid). Prevención de la obesidad infantil (Prevention of childhood obesity). 2024. Available from: https://madridsalud.es/prevencion-obesidad-infantil/
Community of Madrid (Comunidad de Madrid). Alimentación Saludable (Healthy Eating). Undated. Available from: https://www.comunidad.madrid/servicios/salud/alimentacion-saludable</t>
  </si>
  <si>
    <t>[1] Department of Health. Policy - AO No. 2021-0039. National Policy on the Elimination of Industrially-Produced Trans-Fatty Acids for the Prevention and Control of Non-Communicable Diseases. Manila: Department of Health - Republic of the Philippines, 2021. [Accessed 22 February 2024]. Available from: https://extranet.who.int/nutrition/gina/es/node/73546
[2] Department of Science and Technology. Food and Nutrition Agenda: Let's talk! Metro Manila: Department of Science and Technology - Republic of the Philippines, 2022. [Accessed 22 February 2024]. Available from: https://nnc.gov.ph/phocadownloadpap/userupload/Rocaraga-webpub1/2021-ENNS-National-Results-Dissemination.pdf
[3] Department of Health. Manila: Department of Health - Republic of the Philippines. [Accessed 22 February 2024]. Available from: https://doh.gov.ph/
[4] Manila Health Department. Manila: City Government of Manila. [Accessed 22 February 2024]. Available from: https://manilahealthdepartment.com/</t>
  </si>
  <si>
    <t>[1] Obesity Evidence Hub. Australia's lack of regulation of unhealthy food marketing to children. Obesity Evidence Hub; 2023. Available from: https://www.obesityevidencehub.org.au/collections/prevention/australias-system-of-regulation 
[2] VicHealth. Under the radar: harmful industries' digital marketing to Australian children. Melbourne: Victorian Health Promotion Foundation; 2020. Available from: https://doi.org/10.37309/2020.CI910
[3] Cancer Council Victoria. Brands off our kids. Cancer Council Victoria; 2021. Available from: https://www.cancervic.org.au/get-support/stories/brands-off-our-kids.html#:~:text='%20report%20sets%20out%20four%20actions,free%20from%20unhealthy%20food%20marketing 
[4] Australian Bureau of Statistics. National Health Survey. Australian Bureau of Statistics; 2022. Available from: https://www.abs.gov.au/statistics/health/health-conditions-and-risks/national-health-survey/2022#health-risk-factors 
[5] Bennetto, C., Bariola, E., &amp; Bowles, N., Kantar Public. Health and wellbeing profile - 2022 mid-point review. City of Melbourne; 2022. Available from: https://www.melbourne.vic.gov.au/SiteCollectionDocuments/midpoint-summary-report.pdf</t>
  </si>
  <si>
    <t>[1] Espinosa HLCS, Reyes EFA. Mexico Ministry of Health issues changes to food advertising laws and front-of-pack labeling [Internet]. London: Law Business Research; 2022. [Accessed 2024 Mar 22]. Available from: https://www.lexology.com/library/detail.aspx?g=da34a905-d61d-4e3e-95f8-a0edc9150b90
[2] Raccanello K. Inseguridad alimentaria, sobrepeso y obesidad en la Ciudad de México [Food insecurity overweight, and obesity in Mexico City]. Papeles de población [Internet]. 2020 Jun;26(104). 
[3] UNICEF. Estudio de Caso Ciudad de México [Mexico City Case Study] [Internet]. Panama: Fondo de las Naciones Unidas para la Infancia (UNICEF); 2022. [Accessed 2024 Mar 22]. Available from: https://www.unicef.org/lac/media/36896/file/Caso%20de%20estudio:%20M%C3%A9xico.pdf</t>
  </si>
  <si>
    <t>[1] Ministry of Health. Moscow: Ministry of Health of the Russian Federation. [Accessed 13 March 2024]. Available form: https://minzdrav.gov.ru/en
[2] Kontsevaya A V et al. The extent and nature of television food advertising to children and adolescents in the Russian Federation. Public Health Nutr. 2020 Aug; 23[11]: 1868–1876. 
[3] TASS. The Ministry of Health has supported the idea of labeling healthy food products. Moscow: The Russian News Agency TASS. [Accessed 13 March 2024]. Available from: https://tass.ru/obschestvo/18433649
[4] Varaeva Y R et al. Diet patterns of Moscow residents. City Healthcare, 2020 1[2]:32-37.</t>
  </si>
  <si>
    <t>[1] MINISTRY OF CONSUMER AFFAIRS, FOOD &amp; PUBLIC DISTRIBUTION. The Guidelines for Prevention of Misleading Advertisements and Endorsements for Misleading Advertisements, 2022. New Delhi. MINISTRY OF CONSUMER AFFAIRS, FOOD &amp; PUBLIC DISTRIBUTION Government of India. 2022. Available from: https://consumeraffairs.nic.in/theconsumerprotection/guidelines-prevention-misleading-advertisements-and-endorsements-misleading
[2] Bassi S, Bahl D, Gopal S, Sethi V, Backholer K, Gavaravarapu SM, et al. Are advertising policies affirmative in restricting the marketing of foods high in fat, salt and sugar (HFSS) in India?: Evidence from SWOT Analysis. The Lancet Regional Health - Europe. 2023 Nov 1;Vol 21:100315–5.
[3] The Global Health Observatory. Has conducted a recent, national adult risk factor survey covering unhealthy diet.Geneva. World Health Organization. 2021. Available from:https://www.who.int/data/gho/data/indicators/indicator-details/GHO/has-conducted-a-recent--national-adult-risk-factor-survey-covering-unhealthy-diet</t>
  </si>
  <si>
    <t>[1] Nairobi City County. Nairobi: Nairobi City County, 2024. Available from: https://nairobi.go.ke 
[2] Ministry of Health. Guidelines, Standards &amp; Policies Portal. nairobi: Ministry of Health, 2024. Available from: http://guidelines.health.go.ke/#/ 
[3] Nthenya, James, Regulation of the Marketing of Processed Foods to Children in Kenya (June 10, 2022). Available from: https://papers.ssrn.com/sol3/papers.cfm?abstract_id=4133144 
[4] KELIN. MARKETING OF FOODS AND NON-ALCOHOLIC BEVERAGES TO CHILDREN IN KENYA. KELIN, 2021. Available from: https://www.kelinkenya.org/wp-content/uploads/2022/04/Marketing-of-foods-and-non-alcoholic-beverages-to-children-in-Kenya.pdf 
[5] Nairobi County. Smart Survey Report. Nairobi: Nairobi County, 2020. Available from: http://www.nutritionhealth.or.ke/wp-content/uploads/SMART%20Survey%20Reports/Nairobi%20SMART%20survey%20Final%20-%20Feb%202020.pdf"</t>
  </si>
  <si>
    <t>[1] NYU. Food Marketing and Research on Kids Lacks Government Oversight . New York City. NYU.2022. Available from: https://www.nyu.edu/about/news-publications/news/2022/november/food-marketing-and-research-on-kids-lacks-government-oversight.html 
[2] The NY State Senate. Senate Bill S7487C.Albany. NY State Senate. 2022. Available from: https://www.nysenate.gov/legislation/bills/2021/S7487 
[3] NYS Department of Health. NYS BRFSS Sugar-Sweetened Beverage Consumption. New York State.NYS Department of Health.2023 Available from: https://www.health.ny.gov/statistics/brfss/reports/docs/2023-08_brfss_sugar_sweetened_beverages.pdf</t>
  </si>
  <si>
    <t>[1] Consumer Affairs Agency. Outline of Food Labelling Act. Tokyo: Consumer Affairs Agency; April 2022. Available from: https://www.caa.go.jp/policies/policy/food_labeling/nutrient_declearation/assets/food_labeling_cms206_20220531_04.pdf
[2] Ministry of Agriculture, Forestry and Fisheries. Guide for Trans Fatty Acids. Tokyo: Ministry of Agriculture, Forestry and Fisheries; November 2021. Available from: https://www.maff.go.jp/j/syouan/seisaku/trans_fat/t_wakaru/#5
[3] Consumer Affairs Agency. Guideline for Trans Fatty Acids Information Disclosure. Tokyo: Consumer Affairs Agency; February 2011. Available from: https://www.caa.go.jp/policies/policy/food_labeling/health_promotion/trans_fatty_acid/pdf/syokuhin506.pdf
[4] Ministry of Health, Labour and Welfare. Result of National Health and Nutrition Survey 2019. Tokyo: Ministry of Health, Labour and Welfare; October 2023. Available from: https://www.mhlw.go.jp/stf/newpage_14156.html
[5] Ministry of Agriculture, Forestry and Fisheries. Survey on Food Education. Tokyo: Ministry of Agriculture, Forestry and Fisheries; March 2024. Available from: https://www.maff.go.jp/j/syokuiku/ishiki/r06/index.html</t>
  </si>
  <si>
    <t>[1] Senate of France. Encadrement des publicités alimentaires en direction des enfants (Supervision of food advertisements aimed at children). Paris, 25 February 2021. Available from: https://www.senat.fr/questions/base/2020/qSEQ201219695.html
[2] O'Gomes, Isabelle do. En France, les enfants cibles d'un marketing agressif sur des produits alimentaires de qualité nutritionnelle très médiocre (In France, children are targeted by aggressive marketing of food products of very poor nutritional quality). Sciences et Avenir, 29 Sepember 2023. Available from: https://www.sciencesetavenir.fr/nutrition/les-enfants-francais-cibles-d-un-marketing-agressif-sur-des-produits-alimentaires-de-qualite-nutritionnelle-tres-mediocre_174097
[3] ARS Île-de-France.Agir pour la santé des Franciliens: Plan d'action 2023-2028 (Acting for the health of Ile-de-France residents: Action Plan 2023-2028). Paris, 2023. Available from: https://www.iledefrance.ars.sante.fr/media/116122/download?inline
[4] French Agency for Food, Environmental and Occupational Health &amp; Safety (ANSES) (Agence nationale de sécurité sanitaire de l'alimentation (ANSES)). INCA studies. Paris, 27 May 2017. Available from: https://www.anses.fr/en/content/inca-studies
[5] National Institute of Statistics and Economic Studies (Institut national de la statistique et des études économiques--INSEE). La consommation des ménages en biens se redresse légèrement en février (+0,8 %) (Household consumption of goods recovered slightly in February (+0.8%) ). Paris, 31 March 2022. Available from: https://www.insee.fr/fr/statistiques/6324185#titre-bloc-12
[6] Region of Île-de-France. Research Centre for Study and Observation--CRÉDOC (Centre de Recherche pour l'Étude et l'Observation--CRÉDOC). What are Ile-de-France residents eating in 2019? A study undertaken for the Île-de-France region). Paris, 28 February 2019. Available from: https://www.credoc.fr/download/pdf/Sou/Sou2019-4732.pdf
[7] Region of Île-de-France. Research Centre for Study and Observation--CRÉDOC (Centre de Recherche pour l'Étude et l'Observation--CRÉDOC). Publications (Publications). Paris, Undated. Available from:https://www.credoc.fr/publications/tag/ile-de-france</t>
  </si>
  <si>
    <t>[1] FAO. Food-based dietary guidelines. Rome: Food and Agriculture Organization (FAO) of the United Nations. [Accessed 5 March 2024]. Available from: https://www.fao.org/nutrition/education/food-dietary-guidelines/regions/cambodia/en/.
[2] ASEAN. Minimum standards and guidelines on actions to protect children from the harmful impact of marketing of food and non-alcoholic beverages in the ASEAN region. Jakarta: ASEAN; 2023. [Accessed 3 April 2024]. Available from: https://asean.org/wp-content/uploads/2023/09/ASEAN-Minimum-standards-and-guidelines-on-marketing_21Dec23.pdf.
[3] Council for Agriculture and Rural Development and the Technical Working Group for Food Security and Nutrition. Cambodia's Roadmap for Food Systems for Sustainable Development 2030. Phnom Penh: Food Systems Summit Dialogues Gateway. [5 September 2021; Accessed 5 March 2024]. Available from: https://summitdialogues.org/wp-content/uploads/2021/09/FS-Roadmap_Cambodia_Final-for-submission-1.pdf.
[4] DHS Program. Cambodia: Demographic and Health Survey 2021-22. Phnom Penh: DHS Program. [Accessed 5 March 2024]. Available from: https://www.dhsprogram.com/pubs/pdf/FR377/FR377.pdf.
[5] Ministry of Health. National Multisectoral Action Plan for the Prevention and Control of Noncommunicable Diseases 2018 - 2027. Phnom Penh: Ministry of Health. [June 2018; Accessed 5 March 2024]. Available from: https://moh.gov.kh/content/uploads/2017/05/NMAP-NCD_-13-06-2018-Signed_En.pdf.</t>
  </si>
  <si>
    <t>[1] Fahad bin Sunaid F et al. Saudi Arabia's Healthy Food Strategy: Progress &amp; Hurdles in the 2030 Road. Nutrients. 2021 Jul; 13
[2] Samarkandy M M. Healthy Food Promotion for Populations' Wellbeing: The Saudi National Initiative. Diversity and Equality in Health and Care, 2021, 18[1]: 209-212. 
[3] AlQuaiz A et al. Factors Associated with an Unhealthy Lifestyle among Adults in Riyadh City, Saudi Arabia. Healthcare (Basel), 2021 Feb; 9[2].</t>
  </si>
  <si>
    <t>[1] Associazione Terra. Food Policy Roma: Iizia la Sfida del Consiglio del Cibo (Food Policy Rome: The Challenge of the Food Council Begins). Rome, 24 February 2022. Available from: https://www.associazioneterra.it/news/food-policy-roma-consiglio
[2] Metropolitan City of Rome Capital (Città metropolitana di Roma Capitale). Consiglio del Cibo, l'elenco aggiornato delle adesioni (Food Council, the updated list of members). Rome, 17 January 2024. Available from: https://www.comune.roma.it/web/it/notizia.page?contentId=NWS1130660
[3] National Institute of Health (Istituto Superiore di Sanita (ISS)). What is OKkio alla SALUTE? Rome, 1 August 2020. Available from: https://www.epicentro.iss.it/en/okkioallasalute/
[4] Region of Lazio (Regione Lazio). Lazio regional health system ASL Rome 2 ( Sistema sanitario regionale Lazio ASL Roma 2). OKkio alla SALUTE Risultati dell'indagine 2019 ASL Roma 2 (OK to HEALTH Results of the 2019 survey ASL Rome 2). Rome, 2020. Available from: https://www.aslroma2.it/attachments/article/185/OKKIO%20alla%20Salute%20-%20Report%20ASL%20Roma%202%20giugno%202021.pdf
[5] Council for agricultural research and analysis of agricultural economics (Consiglio per la ricerca in agricoltura e l'analisi dell'economia agraria--CREA). VI Giornata della Nutrizione: il CREA presenta la sua Indagine sui consumi alimentari Nutrition Day VI: CREA presents its survey on food consumption). Rome, 15 November 2023. Available from: https://www.crea.gov.it/-/vi-giornata-della-nutrizione-il-crea-presenta-la-sua-indagine-sui-consumi-alimentari#:~:text=%E2%80%9CL'Indagine%20sui%20consumi%20alimentari,contempo%20un%20elevato%20livello%20di</t>
  </si>
  <si>
    <t>[1] Health Food Policy Project. San Francisco, Cal, Code § 471 (current through Sep. 11, 2019) [Internet]. Healthy Food Policy Project. 2017. [Accessed March 20th 2024]. Available from: https://healthyfoodpolicyproject.org/policy/san-francisco-city-cty-cal-code-%C2%A7%C2%A7-471-1-471-9-current-through-july-27-2017
[2] Halliday J, Platenkamp L, Nicolarea Y. A menu of actions to shape urban food systems for improved nutrition, GAIN, MUFPP and RUAF [Internet]. Healthy Food Incentives Ordinance – San Francisco, USA. Food Action Cities; 2019. [Accessed Accessed March 20th 2024]. Available from: https://foodactioncities.org/case-studies/healthy-food-incentives-ordinance/
[3] Weber C, Thanawala S. Federal court again blocks San Francisco warning on soda ads [Internet]. AP News. 2019. [Accessed March 20th 2024]. Available from: https://apnews.com/general-news-6a5c570dfa2342c99d8a59fdfd5ddba4
[4] SPUR Regional Strategy. Healthy Food Within Reach Helping Bay Area residents find, afford and choose healthy food Healthy Food Within Reach Helping Bay Area Residents Find, Afford and Choose Healthy Food [Internet]. SPUR Regional Strategy; 2015. [Accessed March 20th 2024]. Available from: https://www.spur.org/sites/default/files/2021-05/SPUR_Healthy_Food_Within_Reach_Report.pdf
[5] San Francisco Health Improvement Partnership (SFHIP). Nutrition – SFHIP [Internet]. San Francisco Health Improvement Partnership (SFHIP). 2018. [Accessed March 20th 2024]. Available from: https://sfhip.org/chna/community-health-data/nutrition/
[6] California Health Interview Survey. Access CHIS Data [Internet]. UCLA Center for Health Policy Research. 2024. [Accessed March 20th 2024]. Available from: https://healthpolicy.ucla.edu/our-work/california-health-interview-survey-chis/access-chis-data
[7] Mayer P. Bay Area county among America's healthiest: study [Internet]. KRON4. 2024. [Accessed March 20th 2024]. Available from: https://www.kron4.com/news/bay-area/bay-area-county-among-americas-healthiest-study/</t>
  </si>
  <si>
    <t>[1] Agência Nacional de Vigilância Sanitária. Resolução da Diretoria Colegiada. Brasília: Ministério da Saúde; 2010. Available from: https://antigo.anvisa.gov.br/documents/10181/2718376/RDC_24_2010_.pdf/48fefdb4-08d5-43a6-8da1-134c718f2804 
[2] Ministério da Saúde. Promoção da Saúde e da Alimentação Adequada e Saudável. Brasília; 2024. Available from: https://www.gov.br/saude/pt-br/composicao/saps/promocao-da-saude 
[3] Vigitel. Vigilância de fatores de risco e proteção para doenças crônicas por inquérito telefônico. Brasília: Ministério da Saúde; 2022. Available from: https://www.gov.br/saude/pt-br/centrais-de-conteudo/publicacoes/svsa/vigitel/vigitel-brasil-2021-estimativas-sobre-frequencia-e-distribuicao-sociodemografica-de-fatores-de-risco-e-protecao-para-doencas-cronicas</t>
  </si>
  <si>
    <t>[1] Ministry of Food and Drug Safety. Fifth Comprehensive Plan for Children's Dietary Life Safety Management (2022-24). November 2021. Available from: https://www.mfds.go.kr/brd/m_218/view.do?seq=33432&amp;srchFr=&amp;srchTo=&amp;srchWord=&amp;srchTp=&amp;itm_seq_1=0&amp;itm_seq_2=0&amp;multi_itm_seq=0&amp;company_cd=&amp;company_nm=&amp;page=4. 
[2] Korea Disease Control and Prevention Agency. Community Health Survey. 19 December 2023. Available from: https://www.khidi.or.kr/board/view?pageNum=1&amp;rowCnt=10&amp;menuId=MENU01499&amp;maxIndex=99999999999999&amp;minIndex=99999999999999&amp;schType=0&amp;schText=&amp;categoryId=&amp;continent=&amp;country=&amp;upDown=0&amp;boardStyle=&amp;no1=0&amp;linkId=48904355.</t>
  </si>
  <si>
    <t>[1] General Office of Shanghai Municipal People's Government. Shanghai Municipality's Mid- and Long-term Plan (2018-2030) for the Prevention and Treatment of Chronic Non-Communicable Diseases [上海市防治慢性非传染性疾病中长期规划（2018-2030年）]. Shanghai: General Office of Shanghai Municipal People's Government, 2018. Available from: https://www.shanghai.gov.cn/nw42839/20200823/0001-42839_56743.html
[2] Shanghai Health Promotion Committee. Healthy Shanghai Action (2019-2030) [健康上海行动（2019-2030年）]. Shanghai: Shanghai Health Promotion Committee, 2019. Available from: https://www.shanghai.gov.cn/nw12344/20200813/0001-12344_62691.html
[3] National Institute for Nutrition and Health. Work summary meeting for Chinese resident nutrition and health status monitoring work was held in Beijing [中国居民营养与健康状况监测工作总结会在京召开]. Beijing: National Institute for Nutrition and Health. [11 December 2023; Accessed 12 March 2024]. Available from: https://www.chinanutri.cn/xwzx_238/gzdt/202312/t20231211_271296.html</t>
  </si>
  <si>
    <t>[1] Committee On Guidelines For Food Advertising To Children. Food and Media Industries to Comply with Guidelines for Food Advertising to Children from 1 January 2015. Singapore. Press Release By The Committee On Guidelines For Food Advertising To Children. 2015. Available from: https://asas.org.sg/Portals/0/Code/Press_release_Food_advertising_guidelines_for_children.pdf
[2] National Nutrition Survey 2022 Singapore [Internet]. 2022. Available from: https://www.hpb.gov.sg/docs/default-source/pdf/nns-2022-report.pdf</t>
  </si>
  <si>
    <t>[1] Australian Government Department of Health and Aged Care. Public Consultation: Feasibility study on options to limit unhealthy food marketing to children. Canberra: Australian Government Department of Health and Aged Care; 2024. Available from: https://consultations.health.gov.au/chronic-disease-and-food-policy-branch/public-consultation-feasibility-study-on-options-t/#:~:text=Current%20measures%20to%20reduce%20children's,unhealthy%20food%20marketing%20to%20children.
‌
[2] Obesity Evidence Hub. Australia's lack of unhealthy food marketing regulation. Melbourne: Obesity Evidence Hub; 2023. Available from: https://www.obesityevidencehub.org.au/collections/prevention/australias-system-of-regulation. 
[3] Australian Bureau of Statistics. Dietary behaviour. Canberra: Australian Bureau of Statistics; 2024. Available from: https://www.abs.gov.au/statistics/health/health-conditions-and-risks/dietary-behaviour/latest-release</t>
  </si>
  <si>
    <t>[1] Consumer Affairs Agency. Outline of Food Labelling Act April 2022. Tokyo: Consumer Affairs Agency. Available from: https://www.caa.go.jp/policies/policy/food_labeling/nutrient_declearation/assets/food_labeling_cms206_20220531_04.pdf
[2] Ministry of Agriculture, Forestry and Fisheries. Guide for Trans Fatty Acids. Tokyo: Ministry of Agriculture, Forestry and Fisheries; November 2021. Available from: https://www.maff.go.jp/j/syouan/seisaku/trans_fat/t_wakaru/#5
[3] Consumer Affairs Agency. Guideline for Trans Fatty Acids Information Disclosure. Tokyo: Consumer Affairs Agency; June 2020. Available from: https://www.caa.go.jp/policies/policy/food_labeling/health_promotion/trans_fatty_acid/pdf/syokuhin506.pdf
[4] Ministry of Health, Labour and Welfare. National Health and Nutrition Survey. Tokyo: Ministry of Health, Labour and Welfare. Available from: https://www.mhlw.go.jp/stf/newpage_14156.html
[5] Ministry of Agriculture, Forestry and Fisheries. Survey on Food Education. Tokyo: Ministry of Agriculture, Forestry and Fisheries; March 2024. Available from: https://www.maff.go.jp/j/syokuiku/ishiki/r06/index.html</t>
  </si>
  <si>
    <t>[1] City of Toronto. Stop Marketing to Children: A window of Opportunity. City of Toronto. Available from: https://www.toronto.ca/legdocs/mmis/2016/hl/bgrd/backgroundfile-92004.pdf
[2] Stop Marketing to Kids Coalition. Ottawa Principles. Available from: https://stopmarketingtokids.ca/who-are-we/
[3] Toronto Public Health. Toronto Food Strategy 2018 report. Toronto: Toronto Public Health; 2018. Available from: https://www.toronto.ca/legdocs/mmis/2018/hl/bgrd/backgroundfile-118079.pdf
[4] World Health Organization. The Global Health Observatory. Has conducted a recent, national adult risk factor survey covering unhealthy diet. Geneva: WHO. Available from: https://www.who.int/data/gho/data/indicators/indicator-details/GHO/has-conducted-a-recent--national-adult-risk-factor-survey-covering-unhealthy-diet</t>
  </si>
  <si>
    <t>[1] Federal Minister of Social Affairs, Health, Care and Consumer Protection (BMASGK). Recommendation of the National Nutrition Commission Austrian nutritional profile for guiding food advertising to children in audiovisual media. Vienna: BMASGK; 2021. Available from: https://www.sozialministerium.at/dam/jcr:2ec8d2ea-9e38-4dca-8a23-89a5a14c0b4e/Empfehlung_der_Nationalen_Ern%C3%A4hrungskommission_%C3%96sterreichisches_N%C3%A4hrwertprofil_zur_Lenkung_von_Lebensmittelwerbung_an_Kinder_in_Audiovisuellen_Medien_.pdf
[2] Medical University of Vienna. Too Much Salt, Fat and Sugar: Study Confirms Problematic Food Marketing on Social Media. Vienna: Medical University of Vienna; January 2024. Available from: https://www.meduniwien.ac.at/web/en/ueber-uns/news/2024/news-in-january-2024/too-much-salt-fat-and-sugar-study-confirms-problematic-food-marketing-on-social-media/
[3] The Communication Authority Austria (KommAustria). KommAustria. Vienna: KommAustria. [Accessed 22 March 2024]. Available from: https://www.rtr.at/medien/wer_wir_sind/KommAustria/KommAustria.de.html
[4] The Communication Authority Austria (KommAustria). FAQ Commercial communication . Vienna: KommAustria; 2021. Available from: https://www.rtr.at/medien/was_wir_tun/mediendienste/rechtsaufsicht/kommerzielle_kommunikation/OrientierungshilfeKommerzielleKommunikation/Orientierungshilfe_Werbung_V.2.0.pdf
[5] Winzer, E., Naderer, B., Sandra Haider, S., &amp; Wakolbinger, M. Insight into the digital advertising environment of children and young people Representations of food and beverages in social media and impact strategies of popular brands and influencers. Vienna: Federal Minister of Social Affairs, Health, Care and Consumer Protection (BMASGK); 2024. Available from: https://broschuerenservice.sozialministerium.at/Home/Download?publicationId=706&amp;attachmentName=Einblick_in_das_digitale_Werbeumfeld_von_Kindern_und%20Jugendlichen.pdf
[6] Federal Minister of Social Affairs, Health, Care and Consumer Protection (BMASGK). NEW: Study report "Insight into the digital advertising environment of children and adolescents" now published. Vienna: BMASGK; 2024. Available from: https://www.sozialministerium.at/Themen/Gesundheit/Kinder--und-Jugendgesundheit/Kinder--und-Jugendgesundheitsbericht0.html
[7] Federal Minister of Social Affairs, Health, Care and Consumer Protection (BMASGK). Austria Health Survey 2019. Vienna: BMASGK; 2020. Available from: https://www.statistik.at/fileadmin/publications/Oesterreichische-Gesundheitsbefragung2019_Hauptergebnisse.pdf</t>
  </si>
  <si>
    <t>[1] Lei N, Liu Z, Xiang L et al. The extent and nature of television food and non-alcoholic beverage advertising to children during Chinese New Year in Beijing, China. BMC Public Health. 2022; 22[1]:1417. Available at: https://pubmed.ncbi.nlm.nih.gov/35883126/.
[2] Office of the State Council. Notice of the General Office of the State Council on Issuing the National Nutrition Plan (2017-2030) [国务院办公厅关于印发 国民营养计划（2017—2030年）的通知]. Beijing: Office of the State Council; 13 July 2017. Available from: https://www.gov.cn/zhengce/content/2017-07/13/content_5210134.htm.
[3] Wang S, Wu Y, Shi M et al. Association between Nutrition and Health Knowledge and Multiple Chronic Diseases: A Large Cross-Sectional Study in Wuhan, China. Nutrients. 2023;15:2096.</t>
  </si>
  <si>
    <t>[1] Ministry of Health and Sports. National Strategic Plan for Prevention and Control of NCDs (2017-2021). Naypyidaw: Ministry of Health and Sports. [June 2017, Accessed 27 March 2024]. Available from: https://www.who.int/docs/default-source/searo/ncd/mmr-ncd-action-plan-2017-2021.pdf
[2] Information obtained by interviews
[3] Aye L, Tripathy J, Maung T et al. Experiences from the pilot implementation of the Package of Essential Non-communicable Disease Interventions (PEN) in Myanmar 2017-18: A mixed methods study. PLoS ONE. 2020;15[2]: e0229081.
[4] WHO. 2014 STEPS Country Report Myanmar. Geneva: World Health Organization. [1 January 2014, Accessed 27 March 2024]. Available from: https://www.who.int/publications/m/item/2014-steps-country-report-myanmar</t>
  </si>
  <si>
    <t>[1] Food, Medicine and Health Care Administration and Control Authority (FMHCA). Standard Treatment Guidelines for General Hospital, Third Edition. Addis Ababa: FMHCA; 2014. Available from: https://www.medbox.org/document/standard-treatment-guideline-for-general-hospital
[2] Federal Ministry of Health (FMOH). Guidelines on Clinical and Programmatic Management of Major Non Communicable Diseases. Addis Ababa: FMOH; 2016. Available from: https://extranet.who.int/ncdccs/Data/ETH_D1_National%20NCD%20Guideline%20June%2010,%202016%20for%20print.pdf
[3] Federal Ministry of Health (FMOH). Ethiopian primary health care clinical guidelines: Care of Children 5-14 years and Adults 15 years or older in Health Centers. Addis Ababa: FMOH; 2019. Available from: https://www.researchgate.net/publication/343609968_Ethiopian_Primary_Health_Care_Clinical_Guidelines
[4] Federal Ministry of Health (FMOH). National Strategic Plan for the Prevention and Control of Major Non-Communicable Diseases: 2013-2017 EFY (2020/21-2024/25). Addis Ababa: FMOH; July 2020. Available from: https://www.iccp-portal.org/system/files/plans/ETH_B3_s21_National_Strategic_Plan_for_Prevention_and_Control_of_NCDs2021.pdf</t>
  </si>
  <si>
    <t>[1] Sorp Batna. Algerian Guide to Good Practices in Diabetes. Algiers: Ministry of Health, Population and Hospital Reform, 2015. Available from: https://sorpbatna.files.wordpress.com/2017/01/msprh_guide_diabete_2015.pdf
[2] WHO. Algeria Hypertension profile. Geneva: World Health Organisation, 2019. Available from: https://cdn.who.int/media/docs/default-source/country-profiles/hypertension/hypertension-2023/hypertension_dza_2023.pdf?sfvrsn=59ab9956_5&amp;download=true</t>
  </si>
  <si>
    <t>[1] Unger T, Borghi C, Charchar F, Khan NA, Poulter NR, Prabhakaran D, et al. 2020 International Society of Hypertension Global Hypertension Practice Guidelines. Hypertension [Internet]. 2020. [Accessed 2024 Feb 22];75:1334–57. Available from: https://www.ahajournals.org/doi/10.1161/HYPERTENSIONAHA.120.15026
[2] American Diabetes Association. Standards of Care in Diabetes—2023 Abridged for Primary Care Providers. Clinical Diabetes [Internet]. 2022 Dec 12;41[1] . Available from: https://diabetesjournals.org/clinical/article/41/1/4/148029/Standards-of-Care-in-Diabetes-2023-Abridged-for
[3] Kumar GS, O'Neal JP, Davis V. High Blood Pressure Control [Internet]. Georgia Department of Public Health. 2022 [Accessed 2024 Feb 22]. Available from: https://dph.georgia.gov/chronic-disease-prevention/heart-disease/high-blood-pressure-control
[4] Smith A, Southerland K, Ouellette M, Scott S, Toodle K. Diabetes [Internet]. Georgia Department of Public Health. 2020 [Accessed 2024 Feb 22]. Available from: https://dph.georgia.gov/chronic-disease-prevention/diabetes</t>
  </si>
  <si>
    <t>[1] Te Whatu Ora - Health New Zealand. Diabetes. Wellington: New Zealand Government; 2023. [Accessed 2024-03-18] Available From: https://www.health.govt.nz/our-work/diseases-and-conditions/diabetes
[2] Te Whatu Ora - Health New Zealand. Cardiovascular disease. Wellington: New Zealand Government; 2023. [Accessed 2024-03-18] Available From: https://www.tewhatuora.govt.nz/for-the-health-sector/health-sector-guidance/diseases-and-conditions/long-term-conditions/cardiovascular-disease-2/</t>
  </si>
  <si>
    <t>[1] Diabetes Clinical Guidelines. Endocrine Society of Thailand. Bangkok; 2019. Available from: https://www.thaiendocrine.org/th/2019/04/06/treatment-of-diabetes-in-older-adults-an-endocrine-society-clinical-practice-guideline/ 
[2] Thai Hypertension Society. Guidelines in the Treatment of Hypertension. Bangkok; 2019. Available from: https://www.thaihypertension.org/guideline.html</t>
  </si>
  <si>
    <t>[1] Lou, Y, Ma, W et al. A Protocol for Developing Chinese Clinical Practice Guidelines of Hypertension.Cardiology Discovery 2022; 10.1097 Available from: https://journals.lww.com/cd/fulltext/9900/a_protocol_for_developing_chinese_clinical.10.aspx
[2] Yin, R, Yin, L, Lin L et al. Hypertension in China: burdens, guidelines and policy responses: a state-of-the-art review. J Hum Hypertens: 2022; 36,126–134. Available from: https://doi.org/10.1038/s41371-021-00570-z
[3] Shi G, Zhu N, Lin Q et al. Impact of the 2020 China Diabetes Society Guideline on the Prevalence of Diabetes Mellitus and Eligibility for Antidiabetic Treatment in China. Int J Gen Med. Dovepress: 12 October 2021; 14:6639-6645. Available from: https://doi.org/10.2147/IJGM.S331948</t>
  </si>
  <si>
    <t>[1] National Health Care Guidelines (NVL). About the NVL programme. Berlin: NVL. [Accessed 16 March 2024]. Available from: https://www.leitlinien.de/hintergrund/ueber-das-nvl-programm.
[2] National Health Care Guidelines (NVL). NVL Hypertonie (2023). Berlin: NVL; 2023. Available from: https://www.leitlinien.de/themen/hypertonie/version-1
[3] National Health Care Guidelines (NVL). NVL Typ-2-Diabetes (2023). Berlin: NVL; 2023. Available from: https://www.leitlinien.de/themen/diabetes/version-3</t>
  </si>
  <si>
    <t>[1] Ministério da Salud y Protección Social.Departamento Administrativo de Ciencia, Tecnologia y Innovación. Guía de prática clínica para el diagnóstico, tratamiento y seguimiento de la diabetes melitus tipo 2 en la población mayor de 18 años. Bogotá.2016.Available from: https://www.minsalud.gov.co/sites/rid/Lists/BibliotecaDigital/RIDE/DE/CA/gpc-completa-diabetes-mellitus-tipo2-poblacion-mayor-18-anos.pdf 
[2] Ministério da Salud y Protección Social. Instituto de Evaluación Tecnológica en Salud. Guía de Práctica Clínica para ekl manejo de la hipertensión arterial primaria (HTA). Bogotá.2017.Available from: https://www.minsalud.gov.co/sites/rid/Lists/BibliotecaDigital/RIDE/DE/CA/gpc-profesionales-hipertension-arterial-primaria.pdf</t>
  </si>
  <si>
    <t>[1] Hungarian Hypertonia Organisation. The Professional Guidelines of the Hungarian Hypertonia Organisation (A Magyar Hypertonia Társaság szakmai irányelve). Budapest: Hungarian Hypertonia Organisation; 2018 [Accessed 04 March 2024]. Available from: https://www.doki.net/tarsasag/hypertension/upload/hypertension/document/mht_szakmai_iranyelv_2018_20190312.pdf?web_id=
[2] Ministry of Human Capacities. The Health Professional Guideline of the Ministry of Human Capacities on the Diagnosis of Diabetes Mellitus, the Antihyperglycaemic Treatment and Care of Diabetic Patients in Adulthood (Az Emberi Erőforrások Minisztériuma egészségügyi szakmai irányelve a diabetes mellitus kórismézéséről, a cukorbetegek antihyperglykaemiás kezeléséről és gondozásáról felnőttkorban). Budapest: Ministry of Human Capacities. [16 July 2020; Accessed 04 March 2024]. Available from: https://www.hbcs.hu/uploads/jogszabaly/3172/fajlok/2020_EuK_12_szam_EMMI_iranyelv_4.pdf
[3] Hungarian Government. The development of the National Diabetes Strategy has Begun (Elkezdődött a Nemzeti Diabétesz Stratégia kidolgozása). Budapest: Hungarian Government. [11 January 2024; Accessed 04 March 2024]. Available from: https://kormany.hu/hirek/elkezdodott-a-nemzeti-diabetesz-strategia-kidolgozasa</t>
  </si>
  <si>
    <t>[1] Egyptian Hypertension Society. Egyptian Hypertension Guidelines. Cairo: Egyptian Hypertension Society, 2020. Available from: https://ehs-egypt.com/wp-content/uploads/2021/05/Guidelines-book-modified-1st-march-2020.pdf
[2] International Diabetes Federation. Egyptian Diabetes Association. Brussels: International Diabetes Federation. [Accessed 9 March 2024]. Available from: https://idf.org/our-network/regions-and-members/middle-east-and-north-africa/members/egypt/egyptian-diabetes-association/
[3] International Diabetes Federation. Diabetes Prevention. Brussels: International Diabetes Federation. [Accessed 9 March 2024]. Available from: https://idf.org/about-diabetes/diabetes-prevention/</t>
  </si>
  <si>
    <t>[1] Guideline for NCDs in Primary Health Care( Total Risk Assessment Approach). Ministry of Health. Government of Sri Lanka. [Accessed March 15th 2024]. Available from: LKA_D1_NCD Management Protocol.pdf. 
[2] National Guidelines on clinical management of Diabetes, Hypertension, Dyslipidaemia, Cardiovascular Diseases for Secondary/Tertiary Healthcare providers. Annual Report 2021. Directorate of Non-Communicable Diseases. Ministry of Health. Government of Sri Lanka. [Accessed March 15th 2024]. Available from: https://ncd.health.gov.lk/images/Annual_Report_2021-_Part_2.pdf</t>
  </si>
  <si>
    <t>[1] Standard Treatment Guidelines. Hypertension. National Health Mission. Ministry of Health and Family Welfare. Government of India. 2016. [Accessed April 7th 2024]. Available from: https://nhm.gov.in/images/pdf/guidelines/nrhm-guidelines/stg/Hypertension_QRG.pdf 
[2] ICMR Guidelines for Management of Type 2 Diabetes. Indian Council of Medical Research. Government of India. 2018. [Accessed April 7th 2024]. Available from: https://main.icmr.nic.in/sites/default/files/guidelines/ICMR_GuidelinesType2diabetes2018_0.pdf</t>
  </si>
  <si>
    <t>[1] MoHAP. MoHAP launches National Campaign for Early Detection of Hypertension. Dubai: The Ministry of Health and Prevention. [16 May 2023; Accessed 4 March 2024]. Available from: https://mohap.gov.ae/en/media-center/news/16/5/2023/mohap-launches-national-campaign-for-early-detection-of-hypertension.
[2] Alawadi F, Abusnana S, Afandi B, et al. Emirates Diabetes Society Consensus Guidelines for the Management of Type 2 Diabetes Mellitus – 2020. Dubai Diabetes and Endocrinology Journal. 2020;26[1]:1-20.</t>
  </si>
  <si>
    <t>[1] Current Care Guidelines. Current Care Guidelines. Helsinki: Duodecim. [Accessed 7 March 2024]. Available from: https://www.kaypahoito.fi/kaypa-hoito
[2] Duodecim. Homepage. Helsinki: Duodecim. [Accessed 7 March 2024]. Available from: https://www.duodecim.fi
[3] Current Care Guidelines. Hypertension. Helsinki: Duodecim. [10 September 2020; Accessed 7 March 2024]. Available from: https://www.kaypahoito.fi/hoi04010
[4] Current Care Guidelines. Type 1 Diabetes. Helsinki: Duodecim. [6 September 2022; Accessed 7 March 2024]. Available from: https://www.kaypahoito.fi/hoi50116
[5] Current Care Guidelines. Type 2 Diabetes. Helsinki: Duodecim. [18 May 2020; Accessed 7 March 2024]. Available from: https://www.kaypahoito.fi/hoi50056
[6] Current Care Guidelines. Gestational Diabetes. Helsinki: Duodecim. [3 January 2024; Accessed 7 March 2024]. Available from: https://www.kaypahoito.fi/hoi50068</t>
  </si>
  <si>
    <t>[1] Vietnam Society of Hypertension. Highlights the 2021 Guidelines on Diagnosis and Management of Hypertension in adults. Available from: https://tanghuyetap.vn/sites/default/files/blog/files/khuyen_cao_vsh_2021_-_ban_edit_21dec21_da_chinh_lai.pdf
[2] The Ministry of Health guidelines of Hypertension. Available from: https://moh.gov.vn/chuong-trinh-muc-tieu-quoc-gia/-/asset_publisher/7ng11fEWgASC/content/tang-huyet-ap-nhan-biet-ieu-tri-va-phong-ngua?inheritRedirect=false
[3] The Ministry of Health guidelines of Diagnosis and treatment of diabetes. Available from: https://view.officeapps.live.com/op/view.aspx?src=https%3A%2F%2Ffiles.thuvienphapluat.vn%2Fuploads%2FFileLargeTemp%2F2020%2F12%2F30%2F5481_QD-BYT_460925.doc%3Fvv%3D140200&amp;wdOrigin=BROWSELINK
[4] Ho Chi Minh Department of Health guidelines of Diabetes treatment. Available from: https://file.medinet.gov.vn//data/soytehcm/tytphuong9q4/attachments/2023_11/cam_nang_dai_thao_duong_14-11_1511202315.pdf</t>
  </si>
  <si>
    <t>[1] Primary Healthcare Office. Hong Kong Reference Framework for Hypertension Care for Adults in Primary Care Settings. Hong Kong: Primary Healthcare Office; 2021. [Accessed March 12th 2024]. Available from: https://www.healthbureau.gov.hk/pho/rfs/src/pdfviewer/web/pdf/hypertensioncareforadults/en/13_en_RF_HT_full.pdf
[2] Primary Healthcare Office. Hong Kong Reference Framework for Diabetes Care for Adults in Primary Care Settings. Hong Kong: Primary Healthcare Office; 2021. [Accessed March 12th 2024]. Available from: https://www.healthbureau.gov.hk/pho/rfs/src/pdfviewer/web/pdf/diabetescare/en/15_en_RF_DM_full.pdf
[3] Health Bureau HKSAR Government. Introduction of CDCC Pilot Scheme. Hong Kong: Primary Healthcare Office; 2023. [Accessed March 12th 2024]. Available from: https://www.primaryhealthcare.gov.hk/cdcc/en/hp/introduction.html</t>
  </si>
  <si>
    <t>[1] Turkish Endocrinology and Metabolism Association (Türkiye Endokrinoloji ve Metabolizma Derneği). HİPERTANSİYON TANI ve TEDAVİ KILAVUZU (Hypertension Diagnosis and Treatment Guide). Ankara. Türkiye Endokrinoloji ve Metabolizma Derneği.2022. Available from: https://file.temd.org.tr/Uploads/publications/guides/documents/Hipertansiyon-Kilavuzu-2022.pdf
[2] T.R. Ministry of Health General Directorate of Health Services (T.C. Sağlık Bakanlığı
Sağlık Hizmetleri Genel Müdürlüğü). Hipertansiyon Klinik Protokolü (Versiyon 1.0) (Hypertension Clinical Protocol (Version 1.0)). Ankara. T.C. Sağlık Bakanlığı Sağlık Hizmetleri Genel Müdürlüğü. 2020. Available from: https://shgmargestddb.saglik.gov.tr/Eklenti/45819/0/hipetansiyonkp2020kppdf.pdf?_tag1=D3EBB7A7584A0EA6533E359D4BB2944B2CD3C33F
[3] T.R. Ministry of Health General Directorate of Public Health (T.C. Sağlık Bakanlığı
Sağlık Hizmetleri Genel Müdürlüğü). HİPERTANSİYON İZLEM KILAVUZU (Hypertension Monitoring Guide). Ankara. (T.C. Sağlık Bakanlığı Sağlık Hizmetleri Genel Müdürlüğü. 2024. Available from: https://hsgm.saglik.gov.tr/depo/birimler/kronik-hastaliklar-ve-yasli-sagligi-db/Dokumanlar/Rehberler/Hipertansiyon_Kilavuzu.docx
[4] Turkish Endocrinology and Metabolism Association (Türkiye Endokrinoloji ve Metabolizma Derneği--TEMD). TEMD DİABETES MELLİTUS VE KOMPLİKASYONLARININ TANI, TEDAVİ VE İZLEM KILAVUZU-2022 (TEMD DIABETES MELLITUS AND ITS COMPLICATIONS DIAGNOSIS, TREATMENT AND MONITORING GUIDE-2022). Ankara. Türkiye Endokrinoloji ve Metabolizma Derneği--TEMD. 2022. Available from: https://file.temd.org.tr/Uploads/publications/guides/documents/diabetes-mellitus_2022.pdf
[5] Turkish Diabetes Foundation (Türkiye Diyabet Vakfı). Diyabet Tanı ve Tedavi Rehberi (Diabetes Diagnosis and Treatment Guide). Ankara. Türkiye Diyabet Vakfı. 2021. Available from: https://www.turkdiab.org/admin/PICS/webfiles/Diyabet_Tani_ve_Tedavi_Rehberi_2021.pdf
[6] T.R. Ministry of Health General Directorate of Public Health (T.C. Sağlık Bakanlığı
Sağlık Hizmetleri Genel Müdürlüğü). Diyabet Tedavi ve İzlem Klinik Protokolleri (Versiyon 1.0) (Diabetes Treatment and Monitoring Clinical Protocols (Version 1.0)). Ankara. T.C. Sağlık Bakanlığı
Sağlık Hizmetleri Genel Müdürlüğü. 2020. Available from: https://shgmargestddb.saglik.gov.tr/Eklenti/37343/0/diyabetmellitus20200306pdf.pdf?_tag1=2203C2173905807A4301E28B0716146183FBF09E</t>
  </si>
  <si>
    <t>[1] Procedural Guidelines for Hypertension in Cardiovascular Disease; 2015. Indonesia Association of Cardiovascular Specialist Doctors. Available from: https://www.inaheart.org/storage/guideline/8ae73eb3180624ffb2fcf37a708605bc.pdf
[2] Control of Diabetes Mellitus and Metabolic Diseases; 2008; Available from: https://extranet.who.int/ncdccs/Data/IDN_D1_Diabetes%20guidlines.pdf
[3] Guidelines for Pharmaceutical Services in Diabetes Mellitus. Ministry of Health; 2019. Available from: https://farmalkes.kemkes.go.id/en/unduh/pedoman-pelayanan-kefarmasian-pada-diabetes-melitus/</t>
  </si>
  <si>
    <t>[1] National Department of Health. Standard Treatment Guideline and Essential Medicine List (Primary Healthcare Level). Pretoria: National Department of Health, 2020. Available from: https://knowledgehub.health.gov.za/system/files/elibdownloads/2022-04/Primary%20Healthcare%20STGs%20and%20EML%207th%20edition%20-%202020-v3.0.pdf
[2] National Department of Health. Standard Treatment Guideline and Essential Medicine List (Adult Hospital Level). Pretoria: National Department of Health, 2019. Available from: https://knowledgehub.health.gov.za/system/files/elibdownloads/2023-04/Hospital%2520Level%2520%2528Adult%2529%25202019_v2.0.pdf
[3] National Department of Health. Standard Treatment Guideline and Essential Medicine List (Paediatric Hospital Level). Pretoria: National Department of Health, 2023. Available from: https://knowledgehub.health.gov.za/system/files/elibdownloads/2023-08/Paediatric%20STGs%20and%20EML%202023%20Edition_Final%20July%202023_0.pdf
[4] National Department of Health. National User Guide on the Prevention and Treatment of Hypertension in Adults at Primary Health Care Level. Pretoria: National Department of Health, 2021. Available from: https://knowledgehub.health.gov.za/system/files/elibdownloads/2023-04/HYPERTENSION%2520USER%2520GUIDE%2520FINAL%2520COPY.pdf</t>
  </si>
  <si>
    <t>[1] Pakistan Medical Association. 4th National Hypertension Guidelines for the detection, prevention, evaluation and management of Hypertension. Journal of the Pakistan Medical Association (Central) PM&amp;DC IP NO:IP/002. 2023;73 , Supplement 7:1-78. 
[2] Pakistan Endocrine Society. Pakistan recommendations for optimal management of Diabetes from primary to tertiary care (PROMPT), Special supplement. Pakistan Journal of Medical Sciences. 2017;33[2].</t>
  </si>
  <si>
    <t>[1] Multisectoral Action Plan for the Prevention and Control of Non Communicable Diseases (2014-2020). Government of Nepal. 2014. Available from: 
https://www.who.int/docs/default-source/nepal-documents/multisectoral-action-plan-for-prevention-and-control-of-ncds-(2014-2020).pdf?sfvrsn=c3fa147c_4</t>
  </si>
  <si>
    <t>[1] Standard Treatment Guidelines. Hypertension. National Health Mission. Ministry of Health and Family Welfare. Government of India. 2016. [Accessed April 7th 2024]. Available from: https://nhm.gov.in/images/pdf/guidelines/nrhm-guidelines/stg/Hypertension_QRG.pdf
[2] ICMR Guidelines for Management of Type 2 Diabetes. Indian Council of Medical Research. Government of India. 2018. [Accessed April 7th 2024]. Available from: https://main.icmr.nic.in/sites/default/files/guidelines/ICMR_GuidelinesType2diabetes2018_0.pdf</t>
  </si>
  <si>
    <t>[1] Ministry of Health. Kuwait: Ministry of Health of Kuwait. [Accessed 8 March 2024]. Available from: https://www.moh.gov.kw
[2] Kuwait Medical Association. Kuwait: Kuwait Medical Association. [Accessed 8 March 2024]. Available from: http://www.kma.org.kw
[3] Al-Ali K H et al. Awareness of hypertension guidelines among family physicians in primary health care. Alexandria Journal of Medicine Volume 49, 2013. 
[4] Awad A, Al-Nafisi H. Public knowledge of cardiovascular disease and its risk factors in Kuwait: a cross-sectional survey. BMC Public Health. 2014; 14: 1131. 
[5] Al-Adsani et al. Evaluation of the impact of the Kuwait Diabetes Care Program on the quality of diabetes care. Med Princ Pract. 2008; 17[1]:14-9. 
[6] Alshammari M, Windle R Bowskill D, Adams G. Diabetes Treatment Guidelines and Nurses' Adherence to Them: A Case of the UK and Kuwait. Nursing &amp; Healthcare International Journal, 2020, Volume 4 Issue 1.</t>
  </si>
  <si>
    <t>[1] Kadiri S, Arogundade F, Arije A et al. Guidelines for the Management of Hypertension in Nigeria 2020. Owo Ondo: Nigerian Association of Nephrology. 2020; 15[1]:65-84. [Accessed 7 March 2024]. Available from: https://tjn-online.com/index.php/tjn/article/download/203/178
[2] Lagos State Ministry of Health. Clinical Practice Guidelines on Diabetes Mellitus for HealthCare Professionals in Lagos State. Lagos: Lagos State Ministry of Health. 2011. [Accessed 7 March 2024]. Available from: https://api-ir.unilag.edu.ng/server/api/core/bitstreams/eabe8738-829d-491c-8ce4-8a4beb4f9070/content
[3] Diabetes Association of Nigeria (DAN). Clinical Practice Guidelines for Diabetes Management in Nigeria (2nd Edition). Choba: DAN. 2013. [Accessed 7 March 2024]. Available from: https://www.researchgate.net/publication/330986960_GUIDELINES_FOR_DIABETES_MANAGEMENT_IN_NIGERIA_-_2ND_EDITION_new_corrected_final_one_05</t>
  </si>
  <si>
    <t>[1] NICE. Hypertension in adults: diagnosis and management. London: NICE; 2023. Available from: https://www.nice.org.uk/guidance/ng136
[2] NICE. Type 2 diabetes in adults: management. London: NICE; 2022. Available from: https://www.nice.org.uk/guidance/ng28
[3] NICE. Type 2 diabetes: prevention in people at high risk. London: NICE; 2017. Available from: https://www.nice.org.uk/guidance/ph38/chapter/recommendations#risk-identification-stage-1
[4] NICE. Diabetes (type 1 and type 2) in children and young people: diagnosis and management. London: NICE; 2023 Available from: https://www.nice.org.uk/guidance/ng18/chapter/Recommendations#type-2-diabetes</t>
  </si>
  <si>
    <t>[1] SEH-LELHA. La SEHLELHA pone en marcha la campaña de difusión de la Guía práctica de la Sociedad Europea de Hipertensión para la medición de la presión arterial en el consultorio y fuera del consultorio (The SEHLELHA launches the dissemination campaign of the Practical Guide of the European Society of Hypertension for the measurement of blood pressure in the office and outside the office). 22 September 2022. Available from: https://seh-lelha.org/guia-practica-seh
[2] Gorostidi M, Gijón-Conde T, de la Sierra A, et al. Guía práctica sobre el diagnóstico y tratamiento de la hipertensión arterial en España, 2022. Sociedad Española de Hipertensión - Liga Española para la Lucha contra la Hipertensión Arterial (SEH-LELHA) [2022 Practice guidelines for the management of arterial hypertension of the Spanish Society of Hypertension]. Hipertens Riesgo Vasc. 2022 Oct-Dec;39
[4] :174-194. Available from: https://seh-lelha.org/wp-content/uploads/2022/10/Guia-Practica-sobre-el-diagnostivo-y-tratamiento-de-la-hipertension-arterial-Logo-OK.pdf
[3] Royo-Bordonada MÁ, Armario P, Lobos Bejarano JM, Botet JP, Villar Alvarez F, Elosua R et al en nombre del Comité Español Interdisciplinario para la Prevención Cardiovascular (CEIPC). Adaptación española de las guías europeas de 2016 sobre prevención de la enfermedad cardiovascular en la práctica clínica (Spanish adaptation of the 2016 European guidelines on prevention of cardiovascular disease in clinical practice). Rev Esp Salud Pública. 2016;Vol.90: 24 Nov: 1-24. Available from: https://www.sanidad.gob.es/biblioPublic/publicaciones/recursos_propios/resp/revista_cdrom/VOL90/C_ESPECIALES/RS90C_CEIPC2016.pdf
[4] Community of Madrid (Comunidad de Madrid). Health Madrid (Salud Madrid). RECOMENDACIONES DIETÉTICO NUTRICIONALES "para el paciente con hipertensión arterial"(NUTRITIONAL DIETARY RECOMMENDATIONS "for the patient with high blood pressure"). Undated. Available from: https://www.comunidad.madrid/sites/default/files/doc/28.hipertension_arterial.pdf
[5] Ministry of Health and Consumer Affairs (Ministerio de Sanidad y Consumo) National Health System (Sistema Nacional de Salud) and Government of the Basque Region. Guía de Práctica Clínica sobre Diabetes Mellitus Tipo 1 (Clinical Practice Guideline on Diabetes Mellitus Type 1). 2012. Available from: https://portal.guiasalud.es/wp-content/uploads/2019/01/GPC_513_Diabetes_1_Osteba_compl.pdf
[6] Ministry of Health and Consumer Affairs (Ministerio de Sanidad y Consumo) National Health System (Sistema Nacional de Salud) and Government of the Basque Region. Guía de Práctica Clínica sobre Diabetes tipo 2 (Clinical Practice Guideline on Type 2 Diabetes). 2008. Available from: https://portal.guiasalud.es/wp-content/uploads/2019/01/GPC_429_Diabetes_2_Osteba_compl.pdf
[7] Community of Madrid (Comunidad de Madrid). Health Madrid (Salud Madrid). Guía informativa sobre la Diabetes mellitus tipo 1 en los centros escolares (Information guide on Type 1 Diabetes mellitus in schools). 2007. Available from: 
https://www.comunidad.madrid/sites/default/files/doc/educacion/guia_diabetes_mellitus_tipo_1_.pdf
[8] Community of Madrid (Comunidad de Madrid). Health Madrid (Salud Madrid). Consejos básicos sobre autocuidados para pacientes con diabetes tipo 2 (Basic self-care tips for patients with type 2 diabetes). 2008. Available from: https://www.madrid.org/bvirtual/BVCM009756.pdf</t>
  </si>
  <si>
    <t>[1] David-Ona D, Cecilia J, Gabriel J, et al. Executive summary of the 2020 clinical practice guidelines for the management of hypertension in the Philippines. J Clin Hypertens. 2021;1–14. Available from: https://www.psn.org.ph/wp-content/uploads/2021/08/jch.14335.pdf
[2] Philippine Center for Diabetes Education. Philippine Clinical Practice Guidelines for Diabetes. Makati: Philippine Center for Diabetes Education Foundation. [Accessed 22 February 2024]. Available from: http://www.pcdef.org/philippine-clinical-practice-guidelines-for-diabetes
[3] Philippine Statistics Authority. Quezon City: Philippine Statistics Authority. [Accessed 22 February 2024]. Available from: https://psa.gov.ph/
[4] Department of Health. Manila: Department of Health - Republic of the Philippines. [Accessed 22 February 2024]. Available from: https://doh.gov.ph/
[5] Manila Health Department. Manila: City Government of Manila. [Accessed 22 February 2024]. Available from: https://manilahealthdepartment.com/</t>
  </si>
  <si>
    <t>[1] National Heart Foundation of Australia. Guideline for the diagnosis and management of hypertension in adults - 2016. Melbourne: National Heart Foundation of Australia; 2016. Available from: https://assets.contentstack.io/v3/assets/blt8a393bb3b76c0ede/bltbf3d36e10b48f01f/65b0963ea933e532ae0286de/01_Hypertension-guideline-2016_WEB.pdf 
[2] Stroke Foundation. Guideline for assessing and managing cardiovascular disease risk. Stroke Foundation; 2023. Available from: https://informme.org.au/guidelines/guideline-for-assessing-and-managing-cardiovascular-disease-risk 
[3] The Royal Australian College of General Practitioners. Management for type 2 diabetes: a handbook for general practice. East Melbourne, Victoria: The Royal Australian College of General Practitioners; 2020. Available from: https://www.racgp.org.au/getattachment/41fee8dc-7f97-4f87-9d90-b7af337af778/Management-of-type-2-diabetes-A-handbook-for-general-practice.aspx 
[4] Living Evidence for Diabetes Consortium. Australian evidence-based clinical guideline for diabetes 2020. Melbourne, Victoria: National Health and Medical Research Council; 2020. Available from: https://www.diabetessociety.com.au/20211104%20Guideline-Australian-Evidence-Based-Clinical-Guidelines-for-Diabetes.pdf</t>
  </si>
  <si>
    <t>[1] Aguilar-Ramirez D, Alegre-Díaz J, Gnatiuc L, Ramirez-Reyes R, Wade R, Hill M, Collins R, Peto R, Emberson JR, Herrington WG, Kuri-Morales P. Changes in the diagnosis and management of diabetes in Mexico City between 1998–2004 and 2015–2019. Diabetes Care. 2021 Apr 1;44 :944-51. 
[2] Secretaría de Salud. Guía para pacientes - Diabetes [Guide for patients - Diabetes]. Mexico City: Government of Mexico; 2015 [Accessed 2024 Mar 21] Available from: https://www.gob.mx/salud/documentos/guia-para-pacientes-diabetes
[3] Secretaría de Salud. National Strategy for Prevention and Control of Overweight, Obesity and Diabetes - Mexico. Washington, D.C.: Pan American Health Organization; 2014 [Accessed 2024 Mar 21] Available from: https://www.paho.org/en/documents/national-strategy-prevention-and-control-overweight-obesity-and-diabetes-mexico
[4] Secretaría de Salud. Guía para pacientes - Hipertensión Arterial [Guide for patients - Arterial Hypertension]. Mexico City: Government of Mexico; 2015. [Accessed 2024 Mar 21] Available from: https://www.gob.mx/salud/documentos/guia-para-pacientes-hipertension-arterial
[5] Secretaría de Salud. Atención oportuna, fundamental para prevenir y atender enfermedades cardiovasculares [Timely care, essential to prevent and treat cardiovascular diseases].Mexico City: Government of Mexico; 2021. [Accessed 2024 Mar 21] Available from: https://www.gob.mx/salud/es/articulos/atencion-oportuna-fundamental-para-prevenir-y-atender-enfermedades-cardiovasculares?idiom=es
[6] Secretaría de Salud. Programa contra infarto disminuye defunciones en México: Narro Robles [Heart attack program reduces deaths in Mexico: Narro Robles]. Mexico City: Government of Mexico; 2018. [Accessed 2024 Mar 21] Available from: https://www.gob.mx/salud/prensa/453-programa-contra-infarto-disminuye-defunciones-en-mexico-narro-robles</t>
  </si>
  <si>
    <t>[1] Russian Society on Hypertension. Guidelines for the management of patients with arterial hypertension with metabolic disorders and type 2 diabetes. Systemic Hypertension. 2020; 17[1]: 7–45. 
[2] Russian Society of Cardiology. Clinical Guidelines: Hypertension among the Elderly. Moscow: Russian Society of Cardiology, 2020. Available from: https://scardio.ru/content/Guidelines/Clinic_rek_AG_2020.pdf</t>
  </si>
  <si>
    <t>[1] Ministry of Health and Family Welfare Government of India. Standard Treatment Guidelines Hypertension. New Delhi. Ministry of Health and Family Welfare Government of India. 2016. Available from : https://nhm.gov.in/images/pdf/guidelines/nrhm-guidelines/stg/Hypertension_QRG.pdf 
[2] Indian Council of Medical Research. ICMR Guidelines for Management of Type 2 Diabetes. New Delhi. Government of India. 2018. Available from: https://main.icmr.nic.in/sites/default/files/guidelines/ICMR_GuidelinesType2diabetes2018_0.pdf</t>
  </si>
  <si>
    <t>[1] Ministry of Health. Kenya National Guidelines for Cardiovascular Diseases Management. Nairobi: Ministry of Health, 2018. Available from: http://guidelines.health.go.ke:8000/media/Kenya_National_Guidelines_for_Cardiovascular_Diseases_Management.pdf
[2] Ministry of Health. National Strategic Plan for the Prevention and Control of Non-Communicable Diseases (NCDs). Nairobi: Ministry of Health, 2021. Available from: https://www.iccp-portal.org/system/files/plans/Kenya-Non-Communicable-Disease-NCD-Strategic-Plan-2021-2025.pdf
[3] Ministry of Health. National Clinical Guidelines for Management of Diabetes Mellitus. Nairobi: Ministry of Health, 2018. Available from: https://ncdak.org/wp-content/uploads/2021/07/Kenya-National-Clinical-Guidelines-for-the-Management-of-Diabetes-2nd-Editiion-2018-1.pdf
[4] Kenyatta National Hospital. Home. Nairobi: Kenyatta National Hospital, 2024. Available from: https://knh.or.ke/
[5] Kenyatta National Hospital. Strategic Plan 2018-2023. Nairobi: Kenyatta National Hospital, 2018. Available from: https://knh.or.ke/wp-content/uploads/2022/01/KNH_Strategic_Plan-2018-2023_FINAL.pdf.</t>
  </si>
  <si>
    <t>[1] New York City Department on Health and Mental Hygiene. Hypertension Pocket Guide. New York City. NYC Department of Health and Mental Hygiene.2024. Available from: https://www.nyc.gov/assets/doh/downloads/pdf/csi/hyperkit-hcp-pocket.pdf 
[2] City Health Information. The New York City Department of Health and Mental Hygiene. Prevention and Control of Type 2 Diabetes in Adults. New York City. NYC Department of Health and Mental Hygiene.2010. Available from: https://www.nyc.gov/assets/doh/downloads/pdf/chi/chi29-3.pdf</t>
  </si>
  <si>
    <t>[1] The Japanese Society of Hypertension. Clinical Guideline for Hypertension. Tokyo: The Japanese Society of Hypertension;2019. Available from: https://www.jpnsh.jp/guideline.html
[2] The Japan Diabetes Society. Japanese Clinical Practice Guideline for Diabetes. Tokyo: The Japan Diabetes Society; 2019. Available from: http://www.jds.or.jp/modules/publication/index.php?content_id=4
[3] Osaka Center for Cancer and Cardiovascular Disease Prevention. Lifestyle Improvement Promotion Plan of Osaka City. Osaka: Osaka Center for Cancer and Cardiovascular Disease Prevention; 2023. Available from: https://www.osaka-ganjun.jp/effort/cvd/commissioned/
Osaka Institute of Public Health. Projects: Lifestyle Improvement Promotion Plan of Osaka City. Osaka: Osaka Institute of Public Health; 2023. Available from: https://www.iph.osaka.jp/s016/index.html</t>
  </si>
  <si>
    <t>[1] National Authority for Health (Haute Autorité de santé).Recommandations et guides:hypertension (Recommendations and guides:hypertension). Paris, 2024. Available from:https://www.has-sante.fr/jcms/fc_2875171/fr/resultat-de-recherche?text=hypertension&amp;tmpParam=&amp;opSearch=&amp;FACET_TYPE=guidelines
[2] National Authority for Health (Haute Autorité de santé). Hypertension artérielle pulmonaire (Pulmonary arterial hypertension). PulmoTension, Paris, December 2020. Available from: https://www.has-sante.fr/jcms/p_3167172/fr/hypertension-arterielle-pulmonaire
[3] National Authority for Health (Haute Autorité de santé). Stratégie médicamenteuse du contrôle glycémique du diabète de type 2 (Medication strategy for glycemic control in type 2 diabetes). Paris, 2013. Available from: https://www.has-sante.fr/upload/docs/application/pdf/2013-02/10irp04_reco_diabete_type_2.pdf
[4] National Authority for Health (Haute Autorité de santé).Guide parcours de soins Diabète de type 2 de l'adulte (Type 2 diabetes care pathway guide for adults). Paris, 24 April 2014. Available from: https://www.has-sante.fr/jcms/c_1735060/fr/guide-parcours-de-soins-diabete-de-type-2-de-l-adulte
[5] National Authority for Health (Haute Autorité de santé).Recommandations et guides: diabète (Recommendations and guides: diabetes). Paris, 2024. Available from: https://www.has-sante.fr/jcms/fc_2875171/fr/resultat-de-recherche?FACET_THEME=c_64654%2Fc_64671%2Fc_64670&amp;types=guidelines
Other sources:
National Authority for Health (Haute Autorité de santé) and French Hypertension Society (SFHTA). Prise en charge de l'hypertension artérielle de l'adulte (Management of arterial hypertension in adults). Paris, September 2016. Available from: https://www.has-sante.fr/upload/docs/application/pdf/2016-10/fiche_memo_hta__mel.pdf</t>
  </si>
  <si>
    <t>[1] National Institute of Public Health (NIPH). Clinical Practice Guidelines for Arterial Hypertension in Adult 2015. Phnom Penh: National Institute of Public Health. [Accessed 24 March 2024]. Available from: https://niph.org.kh/niph/uploads/library/pdf/GL241_HBP_guide_English.pdf.
[2] NIPH. Clinical Practice Guidelines for Type 2 Diabetes 2015. Phnom Penh: National Institute of Public Health. [Accessed 24 March 2024]. Available from: https://niph.org.kh/niph/uploads/library/pdf/GL236_DM_guideline_moh_en.pdf.
[3] Sivapragasam N, Matchar D B, Chhoun P, et al. Developing a toolkit for implementing evidence-based guidelines to manage hypertension and diabetes in Cambodia: a descriptive case study, 2022 [Accessed 24 March 2024]. Available from: https://health-policy-systems.biomedcentral.com/articles/10.1186/s12961-022-00912-4#ref-CR9.</t>
  </si>
  <si>
    <t>[1] AlHabeeb W, Tash A A, Alshamiri M et al. National Heart Center/Saudi Heart Association 2023 Guidelines on the Management of Hypertension. Journal of the Saudi Heart Association. 2023; 16-39. Available from: https://www.j-saudi-heart.com/cgi/viewcontent.cgi?article=1328&amp;context=jsha
[2] Council of Health Insurance. Hypertension: CHI Formulary Indication Review, 2023. Available from: https://chi.gov.sa/Style%20Library/IDF_Branding/Indication/57%20-%20Hypertension-%20Indication%20Update.pdf
[3] Saudi Health Council. Saudi Diabetes Clinical Practice Guidelines. Saudi Arabia: 2021; Available from: https://shc.gov.sa/Arabic/Documents/SDCP%20Guidelines.pdf
[4] Ministry of Health. Riyadh: Ministry of Health. [Accessed 1 March 2024]. Available from: https://www.moh.gov.sa/en/Pages/default.aspx
[5] Public Health Authority. Riyadh: Public Health Authority. [Accessed 1 March 2024]. Available from: https://covid19.cdc.gov.sa
[6] Royal Commission for Riyadh City. Riyadh: Royal Commission for Riyadh City. [Accessed 1 March 2024]. Available from: https://www.rcrc.gov.sa/en/</t>
  </si>
  <si>
    <t>[1] National Institute of Health (Istituto Superiore di Sanita (ISS)). National Guidelines System (SNLG). Rome, 2022. Available from: https://www.iss.it/en/linee-guida1
[2] National Institute of Health (Istituto Superiore di Sanita (ISS)). National Centre for Clinical excellence, healthcare quality and safety (Centro Nazionale per l'Eccellenza Clinica, la Qualità e la Sicurezza delle Cure (CNEC)). Linea Guida per la diagnosi e il trattamento della Ipertensione Arteriosa (IA) (Guideline for the diagnosis and treatment of arterial hypertension (AI)). Rome, May 2022. Available from: https://www.iss.it/documents/20126/8401820/LGIA_Racc1_DRAFT_v1.1.pdf/f665f3ec-7590-049a-d2a1-d1e7ee778a98?t=1678791951310
[3] Ministry of Health (Ministerio della Salute). Italian Alliance for Cardio-Cerebrovascular Diseases (Alleanza italiana per le malattie cardio-cerebrovascolari). Ipertensione arteriosa (Arterial hypertension). Rome, 2024. Available from: https://www.salute.gov.it/portale/alleanzaCardioCerebrovascolari/dettaglioSchedeAlleanzaCardioCerebrovascolari.jsp?lingua=italiano&amp;id=18&amp;area=Alleanza%20italiana%20per%20le%20malattie%20cardio-cerebrovascolari&amp;menu=malattie
[4] Region of Tuscany (Regione Toscana). Regional Health Council (Consiglio Sanitario Regionale). Ipertensione arteriosa: Linea Guida (Arterial hypertension: Guideline). Milan, 2009, updated 2014 and 2017. Available from: https://www.regione.toscana.it/documents/10180/320308/Ipertensione+arteriosa/71716277-a77c-441c-8124-e6814a59c7e6
[5] The Italian Society of Arterial Hypertension (SIIA) Linee Guida ESH 2023 per il trattamento dell'Ipertensione Arteriosa (ESH 2023 Guidelines for the treatment of Arterial Hypertension). Milan, 21 June 2023. Available from: 
https://siia.it/notizie-siia/linee-guida-esh-2023-per-il-trattamento-dellipertensione-arteriosa/
[6] National Institute of Health (Istituto Superiore di Sanita (ISS)).Linee guida sul diabete (Guidelines on diabetes). Rome, 28 November 2023. Available from: https://www.salute.gov.it/portale/diabete/dettaglioContenutiDiabete.jsp?lingua=italiano&amp;id=6118&amp;area=diabete&amp;menu=vuoto&amp;tab=2
[7] Region of Emilia-Romagna. Regional Health Service (Servizio Sanitario Regionale). Bologna, 2009. Linee guida regionali per la gestione integrata del diabete mellito tipo 2 (Regional guidelines for integrated management
of type 2 diabetes mellitus). Available from: https://www.siditalia.it/pdf/Linee%20guida%20regionali%20per%20la%20gestione%20integrata%20del%20diabete%20tipo%202.pdf 
Other sources:
Ministry of Health (Ministerio della Salute). National Diabetes Commission (Commissione Nazionale Diabete).Piano sulla malattia diabetica (Plan on diabetic disease). Available from: https://www.salute.gov.it/imgs/C_17_pubblicazioni_1885_allegato.pdf</t>
  </si>
  <si>
    <t>[1] Unger T, Borghi C, Charchar F, et al. 2020 International Society of Hypertension Global Hypertension Practice Guidelines. Hypertension. 2020 Jun;75:1334-1357.
[2] American Diabetes Association. Standards of Care in Diabetes—2023 Abridged for Primary Care Providers. Clinical Diabetes [Internet]. 2022 Dec 12;41[1] . 
[3] City of San Francisco. BHS Adult Blood Pressure Monitoring Guidelines [Internet]. 2019 Mar [Accessed 2024 Mar 17]. Available from: https://www.sfdph.org/dph/files/CBHSdocs/BHS_Adult_Blood_Pressure_Monitoring_Guidelines.pdf</t>
  </si>
  <si>
    <t>[1] China Hypertension Prevention and Treatment Guidelines Revision Committee, Hypertension Alliance (China), Chinese Medical Association Cardiovascular Disease Branch, et al. Guidelines for the Prevention and Treatment of Hypertension in China (2018 Edition) [中国高血压防治指南（2018年修订版）]. Chinese Journal of Cardiovascular. 2019;24[1]:24-56. DOI: 10.3969/j.issn.1007-5410.2019.01.002 Available from: https://rs.yiigle.com/CN113805201901/1118901.htm
[2] Chinese Diabetes Society, Zhu D. Guideline for the Prevention and Treatment of Type 2 Diabetes Mellitus in China (2020 edition). Chinese Journal of Diabetes Mellitus. 2021;37(04):311-398. DOI: 10.3760/cma.j.cn311282-20210304-00142 Available from: https://rs.yiigle.com/cmaid/1315505</t>
  </si>
  <si>
    <t>[1] Ministry of Health. MOH CLINICAL PRACTICE GUIDELINES 1/2017 HYPERTENSION EXECUTIVE SUMMARY. Singapore. Ministry of Health. 2017. Available from: https://www.moh.gov.sg/docs/librariesprovider4/guidelines/cpg_hypertension-summary-card---nov-2017.pdf
[2] Ministry of Health. Diabetes Mellitus MOH Clinical Practice Guidelines 1/2014. Singapore. Ministry of Health. 2014. Available from: https://www.moh.gov.sg/docs/librariesprovider4/guidelines/cpg_diabetes-mellitus-booklet---jul-2014.pdf</t>
  </si>
  <si>
    <t>[1] National Heart Foundation Australia. Guideline for the diagnosis and management of hypertension in adults. Melbourne: National Heart Foundation Australia; 2016. Available from: https://assets.contentstack.io/v3/assets/blt8a393bb3b76c0ede/bltbf3d36e10b48f01f/65b0963ea933e532ae0286de/01_Hypertension-guideline-2016_WEB.pdf. 
[2] Living Evidence for Diabetes Consortium
. Australian Evidence-Based Clinical Guidelines for Diabetes. Melbourne: Living Evidence for Diabetes Consortium; 2020. Available from: https://www.diabetessociety.com.au/20211104%20Guideline-Australian-Evidence-Based-Clinical-Guidelines-for-Diabetes.pdf.</t>
  </si>
  <si>
    <t>[1] The Japanese Society of Hypertension. Clinical Guideline for Hypertension. Tokyo: The Japan Society of Hypertension; 2019. Available from: https://www.jpnsh.jp/guideline.html
[2] The Japan Diabetes Society. Japanese Clinical Practice Guideline for Diabetes. Tokyo: The Japan Diabetes Society; 2019. Available from: http://www.jds.or.jp/modules/publication/index.php?content_id=4
[3] Bureau of Social Welfare and Public Health Tokyo Metropolitan Government. Station for Health: Improvement of healthy lifestyle. Tokyo: Bureau of Social Welfare and Public Health Tokyo Metropolitan Government. Available from: https://www.hokeniryo.metro.tokyo.lg.jp/kensui/territory2/</t>
  </si>
  <si>
    <t>[1] Rabi DM, McBrien KA, Sapir-Pichhadze R, Nakhla M, Ahmed SB, Dumanski SM, et al. Hypertension Canada's 2020 comprehensive guidelines for the prevention, diagnosis, risk assessment, and treatment of hypertension in adults and children. Canadian Journal of Cardiology. 2020 May;36:596–624. 
[2] Diabetes Canada. Clinical Practice Guidelines. Toronto: Diabetes Canada; 2018. Available from: https://guidelines.diabetes.ca/cpg</t>
  </si>
  <si>
    <t>[1] Austrian Society of Hypertension (OGH). Hypertension Guidelines. Vienna: OGH; 2019. Available from: https://www.hochdruckliga.at/aerzte/guidelines-hypertonie/
[2] Weber T, Arbeiter K, Ardelt F et al. Austrian Consensus on High Blood Pressure 2019 (Österreichischer Blutdruckkonsens 2019). The Central European Journal of Medicine, 131, 489–590.
[3] Austrian Diabetes Association (ÖDG). ÖDG Guidelines. Vienna: ÖDG. [Accessed 19 March 2024]. Available from: https://www.oedg.at/oedg_leitlinien.html
[4] Resl, M. (2023). Diabetes mellitus - instructions for practice (Diabetes mellitus – Anleitungen für die Praxis). The Central European Journal of Medicine, 135, 1-300.</t>
  </si>
  <si>
    <t>[1] National Centre for Cardiovascular Diseases. Annual Report on Cardiovascular Health and Diseases in China (2022) [中国心血管健康与疾病报告(2022)]. Beijing: China Union Medical College Press. Available from: https://www.nccd.org.cn/Sites/Uploaded/File/2023/6/中国心血管健康与疾病报告2022.pdf
[2] National Centre for Cardiovascular Diseases. National Manual on Prevention, Treatment and Management of Hypertension at Primary Levels 2020 edition [国家基层高血压防治管理手册2020 版]. Beijing: National Centre for Cardiovascular Diseases. December 2020. Available from: https://www.nccd.org.cn/Sites/Uploaded/File/2021/7/国家基层高血压防治管理手册%202020版.pdf
[3] Yin R, Yin L, Li L et al. Hypertension in China: burdens, guidelines and policy responses: a state-of-the-art review. J Hum Hypertens. 2022;36[2]:126-134. doi: 10.1038/s41371-021-00570-z. Epub 2021 Jul 2. PMID: 34215840; PMCID: PMC8252986. Available from: https://www.nature.com/articles/s41371-021-00570-z.
[4] Chinese Diabetes Society. Guideline Consensus—Position Statement [指南共识—立场声明]. Chinese Diabetes Society. [Accessed 6 March 2024]. Available from: https://diab.cma.org.cn/cn/zhinangongshi.aspx
[5] Chinese Diabetes Society. National Technical Guidelines for Prevention and Treatment of Diabetic Kidney Disease at Primary Levels [国家基层糖尿病肾脏病防治技术指南]. Chinese Diabetes Society; December 2023. Available from: https://rs.yiigle.com/cmaid/1481880
[6] Wuhan Xinzhou Government. Have my country's diagnostic standards for hypertension been adjusted? [我国高血压诊断标准是否做了调整？]. Wuhan: Wuhan Xinzhou Government. [18 November 2022, Accessed 6 March 2024]. Available from: http://www.whxinzhou.gov.cn/xxgk_29/xxgkml/qtzdgknr/hygq/202212/t20221215_2115591.shtml
[7] Wuhan Centre for Disease Control and Prevention. New version of type 2 diabetes prevention and treatment guidelines released [新版2型糖尿病防治指南发布]. Wuhan: Wuhan Centre for Disease Control and Prevention. [17 October 2011, Accessed 5 March 2024]. Available from: https://www.whcdc.org/view/9530.html
[8] Hubei Provincial Center for Disease Control and Prevention. Diabetes [糖尿病]. [2 April 2022, Accessed 5 March 2024]. Available from: https://www.hbcdc.cn/jkjy/jkzd/jbjs/t/8515.htm</t>
  </si>
  <si>
    <t>[1] World Health Organisation. Global Report on Hypertension. Geneva: World Health Organization. [19 September 2023, Accessed 27 March 2024]. Available from: https://www.who.int/teams/noncommunicable-diseases/hypertension-report
[2] Myanmar Society of Hypertension. About Us. Yangon: Myanmar Society of Hypertension. [Accessed 27 March 2024]. Available from: https://myanmarsh.org/about-us/
[3] Ministry of Health and Sports. Public Health Statistics 2017-2019. Naypyidaw: Ministry of Health and Sports. [September 2021, Accessed 27 March 2024]. Available from: https://mohs.gov.mm/ckfinder/connector?command=Proxy&amp;lang=en&amp;type=Main&amp;currentFolder=%2FNews%2FNews_2021%2FOct_2021(B)%2F&amp;hash=a6a1c319429b7abc0a8e21dc137ab33930842cf5&amp;fileName=Public%20Health%20Statistics%20Report%202017-2019%20(22%20Sep%202021).pdf
[4] Tin Swe Latt. A Summary of Myanmar Clinical Practice Guidelines on the Management of Dyslipidaemia in Type 2 Diabetes Mellitus. Pasing City: Journal of the ASEAN Federation of Endocrine Societies. [2 November 2014, Accessed 27 March 2024]. Available from: https://www.researchgate.net/publication/285040663_A_Summary_of_Myanmar_Clinical_Practice_Guidelines_on_the_Management_of_Dyslipidaemia_in_Type_2_Diabetes_Mellitus
[5] Ministry of Health and Sports. Tuberculosis-Diabetes Milletus. Naypyidaw: Ministry Health and Sports. [March 2018, Accessed 27 March 2024]. Available from: https://www.mohs.gov.mm/ckfinder/connector?command=Proxy&amp;lang=en&amp;type=Main&amp;currentFolder=/Publications/SOP+%26+Guideline/&amp;hash=a6a1c319429b7abc0a8e21dc137ab33930842cf5&amp;fileName=TB-DM+SOP+(5.3.18).pdf
[6] MSEM, NMDA. Consensus Guideline for the Management of Diabetes during Covid-19 Pandemic. Yangon: MSEM, NMDA. [29 September 2020, Accessed 27 March 2024]. Available from: https://mohs.gov.mm/page/12535</t>
  </si>
  <si>
    <t>[1] UN Environment in collaboration with Environmental Compliance Institute. Addis Ababa City Air Quality Policy and Regulatory Situational Analysis. Addis Ababa, Ethiopia: UN Environment; 2018. Available from: https://www.eci-africa.org/wp-content/uploads/2019/05/Addis-Air-Quality-Policy-and-Regulatory-Situational-Analysis_Final_ECI_31.12.2018rev.pdf
[2] ASAP East Africa. Air Quality Briefing Note: Addis Ababa (Ethiopia). Addis Ababa, Ethiopia: ASAP East Africa; November 2019. Available from: https://assets.publishing.service.gov.uk/media/5eb16f10e90e0723bd470fdf/ASAP_-_East_Africa_-_Air_Quailty_Briefing_Note_-_Addis_Abada.pdf
[3] Addis Ababa Environmental Protection and Green Development Commission. Addis Ababa Air Quality Management Plan. Addis Ababa: Addis Ababa Environmental Protection and Green Development Commission; 2021. Available from: https://www.epa.gov/system/files/documents/2021-11/final-aqmp-addis-ababa.pdf
[4] Ministry of Transport. Addis Ababa Non-Motorized Transport Strategy 2019-2028. Addis Ababa: Ministry of Transport; May 2020. Available from: https://unhabitat.org/sites/default/files/2020/07/ethiopia_nmt_strategy_en_200629.pdf
[5] The World Bank. Steering Towards Cleaner Air: Measures to Mitigate Transport Air Pollution in Addis Ababa. Washington, D.C., United States: The World Bank; September 2021. Available from: https://documents1.worldbank.org/curated/en/159771631857626976/pdf/Steering-Towards-Cleaner-Air-Measures-to-Mitigate-Transport-Air-Pollution-in-Addis-Ababa.pdf</t>
  </si>
  <si>
    <t>[1] ONEDD. About us. Algiers: The National Observatory for the Environment and Sustainable Development. [Accessed 5 March 2024]. Available from: https://onedd.org/qui-sommes-nous/
[2] Ojoko, I. Algeria and South Korea Partner to Enhance Air Quality Monitoring in Algiers. Hong Kong: BNN Breaking; 2024. Available from: https://bnnbreaking.com/politics/algeria-and-south-korea-partner-to-enhance-air-quality-monitoring-in-algiers
[3] Ministry of Health, Population, and Hospital Reform. Official website. Algiers: Ministry of Health, Population, and Hospital Reform. [archived 2022]. Available from: https://web.archive.org/web/20220812202112/https://sante.gov.dz/
[4] Facebook: DSP d'Alger. Algiers: DSP d'Alger. [Accessed 5 March 2024]. Available from: https://www.facebook.com/DSPAlger16
[5] ONEDD. Regulations. Algiers: The National Observatory for the Environment and Sustainable Development. [Accessed 5 March 2024]. Available from: https://onedd.org/documentation/reglementations/</t>
  </si>
  <si>
    <t>[1] IQAir. Atlanta Air Quality Index (AQI) and Georgia Air Pollution | IQAir [Internet]. www.iqair.com. 2024 [Accessed 2024 Mar 18]. Available from: https://www.iqair.com/gb/usa/georgia/atlanta
[2] Georgia Environmental Protection Division. Monitoring and Keeping Your Air Clean [Internet]. Environmental Protection Division. 2021 [Accessed 2024 Feb 22]. Available from: https://epd.georgia.gov/air-protection-branch/monitoring-and-keeping-your-air-clean
[3] City of Atlanta. the plan - clean energy atlanta [Internet]. Clean Energy Atlanta. 2024 [Accessed 2024 Feb 22]. Available from: https://www.100atl.com/cleanenergyatlanta
[4] ACEEE - American Council for an Energy-Efficient Economy. 2021 City Clean Energy Scorecard [Internet]. aceee.org. 2021 [Accessed 2024 Feb 22]. Available from: https://www.aceee.org/sites/default/files/pdfs/2021_CityScorecard_OnePagers/CS_2021_Atlanta.pdf</t>
  </si>
  <si>
    <t>[1] Auckland Council. Our Environmental Plans and Strategies. [Accessed 2024-03-18]. Available from: https://www.aucklandcouncil.govt.nz/environment/what-we-do-to-help-environment/Pages/our-environmental-plans-strategies.aspx
[2] World Air Quality Index Project. Air Quality Index Map for Auckland. [Accessed 2024-03-18]. Available from: https://aqicn.org/map/auckland</t>
  </si>
  <si>
    <t>[1] Public Health and Environmental Strategy. Bangkok Metropolitan Administration. Bangkok; 2013. Available from: https://webportal.bangkok.go.th/upload/user/00000132/download/2-08-16%20The%20University%20of%20Tokyo.pdf
[2] Tackling Air Pollution in Bangkok. C40 Cities. Available from: https://www.c40.org/case-studies/tackling-air-pollution-in-bangkok/
[3] Thailand Clean Mobility Programme (Thailand Component of Global Project TRANSfer III). Deutsche Gesellschaft für Internationale Zusammenarbeit GmbH. Bangkok; 2021. Available from: https://www.giz.de/en/worldwide/83111.html 
[4] Road use charges plan to curb city congestion. Bangkok Post. Sep. 22, 2022. Available from: https://www.bangkokpost.com/thailand/general/2402526/road-use-charges-plan-to-curb-city-congestion</t>
  </si>
  <si>
    <t>[1] The State Council. Notice of the Action Plan for Continuous Improvement of Air Quality. Beijing: The State Council, 30 November 2023. Available from: https://www.gov.cn/zhengce/content/202312/content_6919000.htm.
[2] ICLEI Sustainable Mobility. Clearing the Skies: How Beijing Tackled Air Pollution &amp; What Lies Ahead. ICLEI Sustainable Mobility (blog). Bonn: ICLEI, 1 September 2023. Available from: https://sustainablemobility.iclei.org/air-pollution-beijing/.
[3] The People's Government of Beijing Municipality. Heavy Air Pollution Contingency Plan of Beijing Municipality. Beijing: The People's Government of Beijing Municipality, 2018. Available from: https://english.beijing.gov.cn/latest/lawsandpolicies/202007/t20200723_1957677.html
[4] The World Bank. China - Accelerating household access to clean cooking and heating. Washington: The World Bank, 1 September 2013. Available from: https://documents.worldbank.org/en/publication/documents-reports/documentdetail/401361468022441202/china-accelerating-household-access-to-clean-cooking-and-heating</t>
  </si>
  <si>
    <t>[1] Senate Department for Urban Mobility, Transport, Climate Action and the Environment. Air Quality Plan for Berlin, 2nd update. Berlin: Senate Department for Urban Mobility, Transport, Climate Action and the Environment. [Accessed 16 March 2024]. Available from: https://www.berlin.de/sen/uvk/en/environment/air/air-quality-plan-for-berlin-2nd-update/
[2] Senate Department for Urban Mobility, Transport, Climate Action and the Environment. Air Quality Plan for Berlin, 2nd update. Berlin: Senate Department for Urban Mobility, Transport, Climate Action and the Environment; 2019. Available from: https://www.berlin.de/sen/uvk/_assets/umwelt/luft/luftreinhaltung/luftreinhalteplan-2-fortschreibung/luftreinhalteplan_2019_en.pdf?ts=1705017671
[3] Senate Department for Urban Mobility, Transport, Climate Action and the Environment. Berlin air quality measuring network. Berlin: Senate Department for Urban Mobility, Transport, Climate Action and the Environment. [Accessed 16 March 2024]. Available from: https://luftdaten.berlin.de/lqi
[4] Federal Ministry for Housing, Urban Development and Building. Building Energy Act (GEG). Berlin: Federal Ministry for Housing, Urban Development and Building. [Accessed 16 March 2024]. Available from: https://www.bmwsb.bund.de/Webs/BMWSB/DE/themen/bauen/energieeffizientes-bauen-sanieren/gebaeudeenergiegesetz/gebaeudeenergiegesetz-node.html
[5] Federal Ministry for Housing, Urban Development and Building. Building Energy Act (GEG). Berlin: Federal Ministry for Housing, Urban Development and Building. [Accessed 16 March 2024]. Available from: https://www.bmwsb.bund.de/SharedDocs/topthemen/Webs/BMWSB/DE/GEG/GEG-Top-Thema-Artikel.html
[6] Federal Ministry for Economic Affairs and Climate Action (BMWK). Finding the right subsidy program for homeowners. Berlin: BMWK. [Accessed 17 March 2024]. Available from: https://www.energiewechsel.de/KAENEF/Navigation/DE/Foerderprogramme/Hauseigentuemer/hauseigentuemer.html</t>
  </si>
  <si>
    <t>[1] Gobierno de Colombia. Calidad del aire en Bogotá. IBOCA. Bogotá. GOV.CO.2024 Available from: https://www.ambientebogota.gov.co/calidad-del-aire 
[2] Ramírez LJ. El uso de energías limpias para enfrenta el cambio climático en Bogotá. Bogotá. Bogota.gov.co. 2021. Available from: https://bogota.gov.co/mi-ciudad/ambiente/el-uso-de-energias-limpias-para-enfrenta-el-cambio-climatico-en-bogota 
[3] Ramírez LJ. El uso de energías limpias para enfrenta el cambio climático en Bogotá. Bogotá. Bogota.gov.co. 2021. Available from: https://bogota.gov.co/mi-ciudad/ambiente/el-uso-de-energias-limpias-para-enfrenta-el-cambio-climatico-en-bogota</t>
  </si>
  <si>
    <t>[1] HungaroMet. Air Pollution. Budapest: HungaroMet. [Accessed 22 March 2024]. Available from: https://legszennyezettseg.met.hu 
[2] Budapest Utilities. Don't Burn! Budapest: Budapest Utilities. [Accessed 22 March 2024]. Available from: https://www.budapestikozmuvek.hu/neegess 
[3] Budapest City Hall. Budapest City Hall Website. Green Budapest Consulting Office opened at the City Hall (Zöld Budapest Tanácsadó Iroda nyílt a Városházán). Budapest: Budapest City Hall. [archived 07 December 2021]. Available from: https://archiv.budapest.hu/Lapok/2021/zold-budapest-tanacsado-iroda-nyilt-a-varoshazan.aspx#:~:text=2021.,december%2007.&amp;text=%E2%80%8BZöld%20Budapest%20Tanácsadó%20Iroda,a%20Főpolgármesteri%20Hivatal%20Ügyfélszolgálati%20Irodáján.
[4] Budapest City Hall. Budapest City Hall Website. Budapest Climate Strategy and the Sustainable Energy and Climate Action Plan. Budapest: Budapest City Hall. [archived March 2021]. Available from: https://archiv.budapest.hu/Documents/klimastrategia/BP_klímastratégia_SECAP.pdf</t>
  </si>
  <si>
    <t>[1] Food and Agriculture Organization of the United Nations (FAO). Decree No. 338 of 1995 issuing the Implementing Regulation of Environment Law No. 4 of 1994. Rome: Food and Agriculture Organization of the United Nations (FAO), 1994. Available from: https://www.fao.org/faolex/results/details/en/c/LEX-FAOC004986/
[2] NILU. The Air Pollution Monitoring
Network for Egypt. Kjeller: NILU, 2004. Available from: https://nilu.no/wp-content/uploads/dnn/01-2004-bs.pdf
[3] NILU. Air Pollution in Egypt. Kjeller: NILU, 2001. Available from: https://nilu.com/wp-content/uploads/dnn/02-2001-bs-clean-air.pdf
[4] Egypt Environmental Affairs Agency (EEAA). National Network for Monitoring Ambient Air Pollutants. Cairo: Environmental Affairs Agency (EEAA). [Accessed 10 March 2024]. Available from: https://www.eeaa.gov.eg/Topics/77/25/40/Details
[5] Egypt Environmental Affairs Agency (EEAA). Education Packages for Teachers about Environmental Concepts. Cairo: Egypt Environmental Affairs Agency (EEAA). [Accessed 10 March 2024]. Available from: https://www.eeaa.gov.eg/MediaCenter/81/sub/158/index
[6] Cairo Governorate. Cairo: Cairo Governorate. [Accessed 9 March 2024]. Available from: http://www.cairo.gov.eg/ar
[7] WHO. National training workshop to assess health impacts of air pollution. Geneva: World Health Organization, 2021. Available from: https://www.emro.who.int/ceha/ceha-news/national-training-workshop-to-assess-health-impacts-of-air-pollution.html
[8] Egypt Environmental Affairs Agency (EEAA). Laws. Cairo: Egypt Environmental Affairs Agency (EEAA). [Accessed 10 March 2024]. Available from: https://www.eeaa.gov.eg/Laws/55/index</t>
  </si>
  <si>
    <t>[1] WHO Ambient Air Quality Database. Sri Lanka. Accessed March 20th, 2024. Available from: https://www.who.int/data/gho/data/themes/air-pollution/who-air-quality-database.
[2] Ministry of Defence. National Building Research Organisation. The Urban Air Quality Monitoring Program - Colombo Urban Area. Accessed March 20th, 2024. Available from: https://www.nbro.gov.lk/index.php?option=com_content&amp;view=article&amp;id=288:the-urban-air-quality-monitoring-program-colombo-urban-area&amp;catid=8&amp;Itemid=190&amp;lang=en. 
[3] Colombo Municipal Council. Accessed March 20th, 2024.
Available from: https://www.colombo.mc.gov.lk/city-council.php. 
[4] Deutsche Gesellschaft fur Internationale Zusammenarbeit (GIZ) Gmbh. Promoting Green Energies. Ministry of Energy, Power, Energy and Business Development in Sri Lanka. Accessed March 20th, 2024. Available from: https://www.giz.de/en/html/index.html. 
[5] Asian Development Bank. Solar power from the rooftops in Sri Lanka. Accessed March 20th, 2024. Available from: https://www.adb.org/results/solar-power-rooftops-sri-lanka. 
[6] Government of Sri Lanka. Ministry of Mahaweli Development and Environment.2016.CLEAN AIR 2025. An Action Plan for Air Quality Management. Accessed March 21st, 2024. Available from: https://env.gov.lk/web/images/downloads/biodiversity_division/action_plan/clean_air_2025.pdf. 
[7] The Island Online. March 2016. Ifham Nizam. CMC, Environment Ministry take measures to make Colombo green to combat toxic air. Accessed March 21st, 2024. Available from: https://island.lk/cmc-environment-ministry-take-measures-to-make-colombo-green-to-combat-toxic-air.</t>
  </si>
  <si>
    <t>[1] Ambient Air Quality. Department of Environment. Government of NCT of Delhi. [Accessed March 14th 2024]. Available from: https://environment.delhi.gov.in/environment/ambient-air-quality . 
[2] Awareness Programmes. Energy Efficiency and Renewable Energy Management Centre. Government of NCT of Delhi. [Accessed March 14th 2024]. Available from: https://eerem.delhi.gov.in/eerem/awareness-programmes</t>
  </si>
  <si>
    <t>[1] Department of Environment, Ministry of Environment and Forests. Ambient Air Quality in Bangladesh. Dhaka: Department of Environment; 2010. Available from: https://doe.portal.gov.bd/sites/default/files/files/doe.portal.gov.bd/page/cdbe516f_1756_426f_af6b_3ae9f35a78a4/2020-06-10-11-02-5a7ea9f58497800ec9f0cea00ce7387f.pdf
[2] Dhaka North City Corporation. Future Vision of Solid Waste Management in Dhaka North City: New Clean Dhaka Master Plan 2018–2032. Dhaka: Dhaka North City Corporation; 2019. Available from: https://www.dncc.gov.bd/sites/default/files/files/dncc.portal.gov.bd/project/08a52c87_a283_4ac2_b044_0cf73eb76118/2022-03-02-09-58-eda90474b6a1318034357d4e6e231c32.pdf
[3] DNCC. Official Website. Dhaka: Dhaka North City Corporation. [accessed 2024]. Available from: https://www.dncc.gov.bd
[4] MOHFW. Official Website. Dhaka: Ministry of Health and Family Welfare. [accessed 2024]. Available from: http://www.mohfw.gov.bd/
[5] DGHS. Official Website. Dhaka: Directorate General of Health Services. [accessed 2024]. Available from: https://dghs.gov.bd/</t>
  </si>
  <si>
    <t>[1] Dubai Air Environment. Air Quality. Dubai: Government of Dubai. [Accessed 6 March 2024]. Available from: https://dubaiairenvironment.dm.gov.ae/.
[2] Dubai Air Environment. Dubai Air Quality Strategy. Dubai: Government of Dubai. [Accessed 6 March 2024]. Available from: https://dubaiairenvironment.dm.gov.ae/air_quality_strategy.
[3] DEWA. DEWA launches World Energy Day 2022 campaign under the theme 'Green Energy is My Choice'. Dubai: Dubai Electric and Water Authority. [19 October 2022; Accessed 6 March 2024]. Available from: https://www.dewa.gov.ae/en/about-us/media-publications/latest-news/2022/10/dewa-launches-world-energy-day.
[4] Government of Dubai Media Office. DEWA launches its annual World Energy Day Campaign themed 'World Energy Day. Dubai: Government of Dubai. [22 October 2023; Accessed 6 March 2024]. Available from: https://mediaoffice.ae/en/news/2023/October/22-10/DEWA-launches-its-annual-World-Energy-Day-Campaign-themed-World-Energy-Day.
[5] RTA. RTA Sustainability Report 2022. Dubai: Roads and Transport Authority; 2022. Available from: https://rta.ae/wps/wcm/connect/rta/33be48dd-811f-4d67-8b46-3f28a1e25764/RTA-Sustainability-Report-2022-eng.pdf.</t>
  </si>
  <si>
    <t>[1] Helsinki Region Environmental Services (HSY). Air Quality Now. Helsinki: HSY. [Accessed 7 March 2024]. Available from: https://www.hsy.fi/ilmanlaatu-ja-ilmasto/ilmanlaatu-nyt
[2] Helsinki Region Environmental Services (HSY). Air quality measurement stations in the capital region. Helsinki: HSY. [Accessed 7 March 2024]. Available from: https://www.hsy.fi/ilmanlaatu-ja-ilmasto/ilmanlaatu-nyt/ilmanlaadun-mittausasemat-paakaupunkiseudulla
[3] City of Helsinki. Carbon-Neutral Helsinki Emission Reduction Program. Helsinki: City of Helsinki. [August 2022; Accessed 7 March 2024]. Available from: https://helsinginilmastoteot.fi/wp-content/uploads/2019/06/HNH_pa%CC%88a%CC%88sto%CC%88va%CC%88hennysohjelma.pdf
[4] Energy Renovation. What is Energy Renovation?. Helsinki: City of Helsinki. [Accessed 7 March 2024]. Available from: https://energiaremontti.hel.fi/mika-energiaremontti
[5] City of Helsinki. Homepage. Helsinki: City of Helsinki. [Accessed 7 March 2024]. Available from: https://energiaremontti.hel.fi
[6] Climate Info. Homepage. Helsinki: Helsinki Region Environmental Services (HSY). [Accessed 7 March 2024]. Available from: https://ilmastoinfo.hsy.fi
[7] Climate Info. Online Courses. Helsinki: Helsinki Region Environmental Services (HSY). [Accessed 7 March 2024]. Available from: https://ilmastoinfo.hsy.fi/verkkokurssit
[8] Climate Info. Events and Trainings. Helsinki: Helsinki Region Environmental Services (HSY). [Accessed 7 March 2024]. Available from: https://ilmastoinfo.hsy.fi/koulutukset
[9] My Helsinki. Helsinki to become carbon neutral. Helsinki: City of Helsinki. [Accessed 7 March 2024]. Available from: https://www.myhelsinki.fi/fi/valitse-vastuullisemmin/helsinki-hiilineutraaliksi
[10] City of Helsinki. Helsinki is investigating ways to reduce traffic emissions. Helsinki: City of Helsinki. [Accessed 7 March 2024]. Available from: https://www.hel.fi/fi/uutiset/helsinki-selvittaa-keinoja-liikennepaastojen-vahentamiseksi</t>
  </si>
  <si>
    <t>[1] Department of Natural Resources and Environment. Center for Environmental Monitoring and Analysis under the Department of Environmental Protection. Available from: http://www.donre.hochiminhcity.gov.vn/gioithieu/default.aspx?Source=/gioithieu&amp;Category=&amp;ItemID=51&amp;Mode=1#:~:text=Trung%20t%C3%A2m%20Quan%20tr%E1%BA%AFc%20v%C3%A0%20ph%C3%A2n%20t%C3%ADch%20m%C3%B4i%20tr%C6%B0%E1%BB%9Dng%20l%C3%A0,th%C3%A0nh%20ph%E1%BB%91%20H%E1%BB%93%20Ch%C3%AD%20Minh.
[2] Vu Phong Energy Group. Ho Chi Minh City will have more rooftop solar power sources from administrative offices and public places. [28 June 2023]. Available from: https://vuphong.vn/tphcm-se-co-them-nguon-dien-mat-troi-mai-nha/
[3] Health and Life newspaper. Ho Chi Minh City supports people to change to electric motorbikes from first quarter of 2024. [10 August 2023]. Available from: https://suckhoedoisong.vn/tphcm-ho-tro-nguoi-dan-doi-sang-xe-may-dien-tu-quy-i-2024-169230810191832389.htm</t>
  </si>
  <si>
    <t>[1] Environmental Protection Department, HKSAR Government. Air Pollution Control Strategies. Hong Kong: Environmental Protection Department; 2022. [Accessed March 12th 2024]. Available from: https://www.epd.gov.hk/epd/english/environmentinhk/air/prob_solutions/strategies_apc.html
[2] Environmental Protection Department, HKSAR Government. Air Pollution Control Strategies. Hong Kong: Environmental Protection Department; 2024. [Accessed Accessed March 12th 2024]. Available from: https://www.epd.gov.hk/epd/tc_chi/environmentinhk/air/prob_solutions/strategies_apc.html.
[3] Environmental Protection Department, HKSAR Government. Hong Kong Air Quality Health Index. Hong Kong: Environmental Protection Department; 2024. [Accessed Accessed March 12th 2024]. Available from: https://www.aqhi.gov.hk/en/monitoring-network/air-quality-monitoring-network.html</t>
  </si>
  <si>
    <t>[1] Yalçın, Döne. Q&amp;A: environmental regulation in Türkiye. London. Lexology--Law Business Research. 2023. Available from: https://www.lexology.com/library/detail.aspx?g=a699c891-1b5f-4402-af34-b6c26c61fa28#:~:text=Furthermore%2C%20under%20the%20Turkish%20Criminal,six%20months%20to%20two%20years.
[2] Istanbul Metropolitan Municipality. Environmental Protection Directorate (İstanbul Büyük Şehir Belediyesi. Çevre Koruma Müdürlüğü). İstanbul Hava Kalitesi &gt; İstanbulda Hava Kirliliği (Istanbul Air Quality &gt; Air Pollution in Istanbul). Istanbul. İstanbul Büyük Şehir Belediyesi. 2018. Available from: https://havakalitesi.ibb.gov.tr/Icerik/istanbul-hava-kalitesi/istanbulda-hava-kirliligi
[3] Istanbul Metropolitan Municipality. Environmental Protection Directorate (İstanbul Büyük Şehir Belediyesi. Çevre Koruma Müdürlüğü). Proje hakkinda (About the project). Istanbul. İstanbul Büyük Şehir Belediyesi. 2018. Available from: https://havakalitesi.ibb.gov.tr/Pages/AboutUS
[4] Istanbul Metropolitan Municipality. Environmental Protection Directorate (İstanbul Büyük Şehir Belediyesi. Çevre Koruma Müdürlüğü). Istanbul Climate Change Action Plan. Istanbul. Istanbul Metropolitan Municipality. 2018. Available from: https://cevre.ibb.istanbul/wp-content/uploads/2022/05/Ozet_Rapor_Ingilizce.pdf</t>
  </si>
  <si>
    <t>[1] Air Quality Monitoring. Dinas Lingkungan Hidup (DLH) Provinsi DKI Jakarta. Available from: https://www.jakarta.go.id/stasiun-pemantauan-kualitas-udara
[2] JAKI - Jakarta Kini. Available from: https://play.google.com/store/apps/details?id=id.go.jakarta.smartcity.jaki&amp;hl=id&amp;gl=US
[3] DKI Jakarta Regulation No. 576. Air Pollution Control Strategy; 2018. Available from: https://jdih.jakarta.go.id/dokumen/detail/13660</t>
  </si>
  <si>
    <t>[1] City of Johannesburg. Johannesburg: City of Johannesburg. [Accessed 16 March 2024]. Available from: https://joburg.org.za/.
[2] City of Johannesburg. City of Johannesburg Integrated Annual Report 2021/22. Johannesburg: City of Johannesburg, 2022. Available from: https://joburg.org.za/documents_/Documents/CoJ-IntergratedAnnualReport20212022.pdf.
[3] City of Johannesburg. City of Johannesburg Integrated Annual Report. Johannesburg: City of Johannesburg, 2023. Available from: https://joburg.org.za/work_/Documents/AFS-Supporting-Documentation/City%20of%20Johannesburg%20Integrated%20Annual%20Report_2022.23.pdf
[4] City of Johannesburg. City Unveils Revamped Air Quality Monitoring Station. Johannesburg: City of Johannesburg. [Accessed 2 March 2024]. Available from: https://joburg.org.za/media_/Newsroom/Pages/2019%20Newsroom%20Articles/June%202019/City-unveils-revamped-air-quality-monitoring-station--.aspx.
[5] Department of Forestry Fisheries and the Environment. South African Air Quality Information System. Pretoria: Department of Forestry Fisheries and the Environment. [Accessed 2 March 2024]. Available from: https://saaqis.environment.gov.za/.
[6] City of Johannesburg. Air Quality Management Plan. Johannesburg: City of Johannesburg, 2017. Available from: https://joburg.org.za/documents_/Documents/By-Laws/Draft%20CoJ%20AQMP%202017.pdf.
[7] City of Johannesburg. Climate Action Plan. Johannesburg: City of Johannesburg, 2021. Available from: https://joburg.org.za/departments_/Documents/EISD/City%20of%20Johannesburg%20-%20Climate%20Action%20Plan%20(CAP).pdf.
[8] City of Johannesburg. Air Pollution Control By-Laws. Johannesburg: City of Johannesburg, 2021. Available from: https://joburg.org.za/documents_/Documents/By-Laws/prom%20air%20pollution%20control%20by-laws%202011.pdf
[9] City of Johannesburg. City of Johannesburg Integrated Annual Report 2022/23. Johannesburg: City of Johannesburg, 2023. Available from: https://joburg.org.za/work_/Documents/AFS-Supporting-Documentation/City%20of%20Johannesburg%20Integrated%20Annual%20Report_2022.23.pdf
[10] C40. African Cities for Clean Air 2022-2024. C40. [Accessed 2 March 2024]. Available from: https://www.c40.org/what-we-do/scaling-up-climate-action/air-quality/african-cities-for-clean-air/</t>
  </si>
  <si>
    <t>[1] Idrees, M., Irfan, M, &amp; Nargis, Y. Industrial Emission Monitoring and Assessment of Air Quality in Karachi Coastal City, Pakistan. Department of Environmental and Earth Sciences, Bahria University, Karachi. [September 30, 2023]. Available from : https://www.mdpi.com/2073-4433/14/10/1515#:~:text=(a)%20Pakistan%2C%20(b,District%20Malir%20and%20District%20Korangi.
[2] Nordic Climate Facility. Clean energy - fostering livelihoods and reducing emissions in Pakistan. NDF: Helsinki. [April 23, 2020]. Available from: https://www.nordicclimatefacility.com/news/clean-energy-fostering-livelihoods-and-reducing-emissions-in-pakistan
[3] United Nations Development Program (UNDP). Climate Action Plan for Karachi City kickstarts with Rapid Strategic Appraisal &amp; Visioning Workshop. Karachi: UNDP. [November 24, 2023]. Available from: https://www.undp.org/pakistan/press-releases/climate-action-plan-karachi-city-kickstarts-rapid-strategic-appraisal-visioning-workshop
[4] Bizzoto M., Oberoi S., Sheikh I. Fighting climate change in Pakistan: The case of Karachi. Karachi: CityTalk. [January 17, 2023]. Available from: https://talkofthecities.iclei.org/fighting-climate-change-in-pakistan-the-case-of-karachi/
[5] Hasan, H. Cleanliness drive begins in Karachi under CLICK initiative. Karachi: Zameen News. [July 4, 2020]. Available from: https://www.zameen.com/news/cleanliness-drive-begins-in-karachi-under-click-initiative.html</t>
  </si>
  <si>
    <t>[1] Municipal Actions for Air Quality in the Kathmandu Valley: Implementation Plan. Building Healthy Cities. 2022. Available from: https://publications.jsi.com/JSIInternet/Inc/Common/_download_pub.cfm?id=25020&amp;lid=3
[2] Paudel A. Why Kathmandu is visibly cleaner. The Kathmandu Post. 2023. Available from: 
https://kathmandupost.com/national/2023/12/17/why-kathmandu-is-visibly-cleaner</t>
  </si>
  <si>
    <t>[1] West Bengal Pollution Control Board. West Bengal Air Quality Index (AQI). [Accessed March 15th 2024]. Available from: https://www.aqi.in/dashboard/india/west-bengal 
[2] The Times of India. Krishnendu Bandyopadhyay. September 26, 2021. Kolkata's New Town, first Indian city to commit to UN pledge, strives for efficient green energy. [Accessed March 15th 2024]. Available from: https://timesofindia.indiatimes.com/city/kolkata/new-town-1st-indian-city-to-commit-to-un-pledge-strives-for-efficient-green-energy/articleshow/86516096.cms 
[3] West Bengal Pollution Control Board. Comprehensive Air Quality Action Plan for Kolkata. 2018 [Accessed March 15th 2024]. Available from: https://www.wbpcb.gov.in/writereaddata/files/Comprehensive%20Air%20Quality%20Action%20Plan%20Kolkata.pdf</t>
  </si>
  <si>
    <t>[1] Environment Public Authority of Kuwait. Air Quality Monitoring Department. Kuwait: Environment Public Authority. [Accessed 9 March 2024]. Available from: https://epa.gov.kw/en-us/airquality
[2] United Framework Convention on Climate Change. Kuwait National Adaptation Plan 2019-2030. Bonn: United Framework Convention on Climate Change, 2019[Accessed 18 March 2024]. Available from: https://unfccc.int/sites/default/files/resource/Kuwait-NAP-2019-2030.pdf
[3] Beatona. Kuwait Official Environmental Portal. Kuwait: Environment Public Authority. [Accessed 18 March 2024]. Available from: https://beatona.net
[4] United Nations Kuwait. Exploring Climate Action in Kuwait. Kuwait: United Nations Kuwait, 2021. Available from: https://kuwait.un.org/sites/default/files/2021-08/%5BUN%20Kuwait%20Policy%20Brief%5D%20Climate%20Action_Sustainable%20Finance_FINALdraft.pdf</t>
  </si>
  <si>
    <t>[1] Lagos State Ministry of Environmental &amp; Water Resources (MOE). Lagos State Climate Risk Assessment. Lagos. MOE. [Accessed 4 March 2024]. Available at: https://moelagos.gov.ng/wp-content/uploads/2021/09/Geo-Solutions-Lagos-CRA-Feb-Final-Report-V4-April-23-2021.pdf
[2] Lagos State Ministry of Environmental &amp; Water Resources (MOE). Second Five Year Climate Action Plan 2020-2025. Lagos. MOE. [Accessed 4 March 2024]. Available at: https://cdn.locomotive.works/sites/5ab410c8a2f42204838f797e/content_entry5ab410faa2f42204838f7990/5ad0ab8e74c4837def5d27aa/files/C40_Lagos_Final_CAP.pdf?1626096978
[3] Lagos State Ministry of Environmental &amp; Water Resources (MOE). Responsibilities of MOE. Lagos. MOE. [Accessed 4 March 2024]. Available from: https://moelagos.gov.ng/about-moelagos/responsibilities/
[4] Lagos State Urban Renewal Agency (LASURA). Responsibilities: Lagos State Urban Renewal Agency (LASURA). Lagos. LASURA. [Accessed 4 March 2024]. Available from: https://lasura.lagosstate.gov.ng/responsibilities-2/
[5] Clean Air Fund. The State of Global Air Quality Funding 2023. London. Clean Air Fund. [Accessed 4 March 2024]. Available at: https://s40026.pcdn.co/wp-content/uploads/The-State-of-Global-Air-Quality-Funding-2023-Clean-Air-Fund.pdf
[6] C40 Cities. Ten major African cities sign onto C40 clean air declaration to improve public health and climate. London. C40 Cities. [Accessed 4 March 2024]. Available at: https://www.c40.org/accelerators/clean-air-cities/
[7] C40 Cities Climate Leadership Group Inc. Integrated GHG &amp; Air Pollution Emissions Inventory, Health Impact Analysis &amp; AQ Monitoring Support in Lagos. New York. C40 Cities Climate Leadership Group Inc.. [Accessed 4 March 2024]. Available at: https://www.c40.org/wp-content/uploads/2023/02/Lagos_RfP_Integrated-GHG-Air-Pollution-Emissions-Inventory-Health-Impact-Analysis-AQ-Monitoring-Support-in-Lagos.pdf</t>
  </si>
  <si>
    <t>[1] London Air. About londonair. London: Imperial College London. Available from: https://www.londonair.org.uk/LondonAir/General/about.aspx
[2] Greater London Authority. The Ultra Low Emission Zone for London. London: GLA. Available from: https://www.london.gov.uk/programmes-strategies/environment-and-climate-change/pollution-and-air-quality/ultra-low-emission-zone-ulez-london#
[3] Mayor of London. Inner London Ultra Low Emission Zone - One Year Report. London: GLA; 2023. Available from: https://www.london.gov.uk/sites/default/files/2023-02/Inner%20London%20ULEZ%20One%20Year%20Report%20-%20final.pdf
[4] London Data Store. Waste Reduction and Recycling Plans. London: GLA; 2015 [update 23 day ago today 22/02/24]. Available from: https://data.london.gov.uk/dataset/waste-plans?q=rrp
[5] Greater London Authority. Single-use plastic bottles. London: GLA. Available from: https://www.london.gov.uk/programmes-strategies/environment-and-climate-change/waste-and-recycling/single-use-plastic-bottles
[6] London Borough of Hounslow. Hounslow launches campaign to simplify energy for residents. London: London Borough of Hounslow; 2024. Available from: https://www.hounslow.gov.uk/news/article/3040/hounslow_launches_campaign_to_simplify_energy_for_residents
[7] Camden Client Alliance. Camden Council Launch Clean Air Action Plan 2023-2026. London: London Borough of Camden; 2023. Available from: https://www.camdenclimatealliance.org.uk/launch-event-clean-air-action-plan-10-march/
[8] Lewisham Council. Air quality Action Plan 2022-2027. London: London Borough of Lewisham; 2023. Available from: https://lewisham.gov.uk/myservices/environment/air-pollution/read-our-air-quality-action-plan-and-other-reports</t>
  </si>
  <si>
    <t>[1] Community of Madrid (Comunidad de Madrid). Calidad del Aire (Air quality). 2024. Available from: https://www.comunidad.madrid/servicios/urbanismo-medio-ambiente/calidad-aire
[2] Community of Madrid (Comunidad de Madrid). Estrategia de Energía, Clima y Aire de la Comunidad de Madrid 2023-2030 (Energy, Climate and Air Strategy of the Community of Madrid 2023-2030). 2024. Available from: https://www.comunidad.madrid/transparencia/informacion-institucional/planes-programas/estrategia-energia-clima-y-aire-comunidad-madrid-2023
[3] Community of Madrid (Comunidad de Madrid). Ayudas para el fomento de la movilidad cero emisiones en la Comunidad de Madrid (Aid to promote zero-emission mobility in the Community of Madrid). 2024. Available from: https://www.comunidad.madrid/servicios/urbanismo-medio-ambiente/ayudas-fomento-movilidad-cero-emisiones-comunidad-madrid
[4] City Council of Madrid (Ayuntamiento de Madrid). Plan de Movilidad Sostenible Madrid 360 (Madrid 360 Sustainable Mobility Plan). Undated. Available from: https://www.madrid.es/portales/munimadrid/es/Inicio/Movilidad-y-transportes/Incidencias-de-Trafico/Plan-de-Movilidad-Sostenible-Madrid-360/?vgnextfmt=default&amp;vgnextoid=e3bbf2df82d1f710VgnVCM1000001d4a900aRCRD&amp;vgnextchannel=2e30a90d698b1610VgnVCM1000001d4a900aRCRD</t>
  </si>
  <si>
    <t>[1] Manila Observatory. Air Quality Dynamics. Quezon City: Manila Observatory. [Accessed 22 February 2024]. Available from: https://www.observatory.ph/urban-air-quality/
[2] UN Environment Programme. Science-Based Clean Air Action Plan In The Works For Manila City. Nairobi: United Nations, 2020. [Accessed 22 February 2024]. Available from: https://www.cleanairblueskies.org/story/science-based-clean-air-action-plan-works-manila-city
[3] UN Habitat. Healthy Oceans and Cleans Cities Initiative (HOCCI). Nairobi: United Nations. [Accessed 22 February 2024]. Available from: https://unhabitat.org.ph/healthy-oceans-and-clean-cities-initiative/
[4] Metro Manila Development Authority (MMDA). MMDA to Reimplement Number Coding Scheme from 7-10am and 5-8pm on August 15. Pasig: Metro Manila Development Authority (MMDA). [Accessed 22 February 2024]. Available from: https://mmda.gov.ph/84-news/news-2022/5749-aug-11-2022-mmda-to-reimplement-number-coding-scheme-from-7-10am-and-5-8pm-on-august-15.html
[5] Department of Energy. 2020-2040 Philippine Energy Plan. Department of Energy - Republic of the Philippines. [Accessed 22 February 2024]. Available from: https://www.doe.gov.ph/sites/default/files/pdf/pep/PEP%202022-2040%20Final%20eCopy_20220819.pdf
[6] City of Manila. Manila: City of Manila - Republic of the Philippines. [Accessed 23 February 2024]. Available from: https://manila.gov.ph/
[7] Manila Metro Development Authority. Manila Metro Development Authority - Republic of the Philippines. [Accessed 23 February 2024]. Available from: https://mmda.gov.ph/</t>
  </si>
  <si>
    <t>[1] Environmental Protection Authority Victoria. EPA AirWatch. Environmental Protection Authority Victoria; 2024. Available from: https://www.epa.vic.gov.au/for-community/airwatch 
[2] Environmental Protection Authority Victoria. Inner Melbourne air monitoring. Environmental Protection Authority Victoria; 2021. Available from: https://www.epa.vic.gov.au/for-community/get-involved/citizen-science-program/citizen-science-projects/inner-melbourne-air-monitoring 
[3] City of Melbourne. Sustainable energy. City of Melbourne. Available from: https://www.melbourne.vic.gov.au/about-melbourne/sustainability/Pages/sustainable-energy.aspx 
[4] State of Victoria Energy, Environment and Climate Action. Victorian energy upgrades for households. State of Victoria Energy, Environment and Climate Action; 2024. Available from: https://www.energy.vic.gov.au/households/victorian-energy-upgrades-for-households 
[5] City of Melbourne. Sustainable apartments. City of Melbourne. Available from: https://www.melbourne.vic.gov.au/residents/sustainability-at-home/Pages/sustainable-apartments.aspx</t>
  </si>
  <si>
    <t>[1] IHME. Mexico - Mexico City Automatic Air Quality Monitoring Network Database | GHDx [Internet]. GHDx. Seattle: University of Washington; 2020 [Accessed 2024 Mar 22]. Available from: https://ghdx.healthdata.org/record/mexico-mexico-city-automatic-air-quality-monitoring-network-database
[2] IQAir. Mexico City Air Quality Index (AQI) and Mexico Air Pollution | AirVisual [Internet]. Goldach: IQAir; 2024 [Accessed 2024 Mar 22]. Available from: https://www.iqair.com/us/mexico/mexico-city
[3] Secretaría de Desarrollo Económico de la Ciudad de México. Diagnóstico de Transición Energética de la Ciudad de México [Diagnosis of Energy Transition of Mexico City] [Internet]. Ciudad de México: Government of Mexico; 2022 [Accessed 2024 Mar 22]. Available from: https://ciudadsolar.cdmx.gob.mx/storage/app/media/Documentos%20en%20%20colaboraciones%20o%20importantes/diagnostico-de-transicion-energetica-cdmx.pdf
[4] Kruger A. 5 Innovations Improving Air Quality in Mexico City [Internet]. Tacoma: The Borgen Project; 2020 [Accessed 2024 Mar 22]. Available from: https://borgenproject.org/innovations-improving-air-quality-in-mexico-city/
[5] EMBARQ Network. On the Move: Reducing Car Usage and Ownership in Developing Economies | Smart Cities Dive [Internet]. Washington, D.C.: Industry Dive. [Accessed 2024 Mar 22]. Available from: https://www.smartcitiesdive.com/ex/sustainablecitiescollective/move-reducing-car-usage-and-ownership-china-latin-america-and-other-developing-economi/195276/</t>
  </si>
  <si>
    <t>[1] Federal Service for Hydrometeorology and Environmental Monitoring. Moscow: Federal Service for Hydrometeorology and Environmental Monitoring of Russia. [Accessed 13 March 2024]. Available from: https://www.meteorf.gov.ru/
[2] State Duma. How laws protect ecology. Moscow: State Duma. [Accessed 13 March 2024]. Available from: http://duma.gov.ru/news/51688/
[3] OECD. The City of Moscow, Russian Federation: The SDGs to Promote Balanced Urban Development. Paris: Organisation for Economic Co-operation and Development. [Accessed 13 March 2024]. Available from: https://www.oecd.org/cfe/cities/Moscow-Issue-Note.pdf
[4] Ministry of Health of the Russian Federation. [Accessed 13 March 2024]. Available from: https://minzdrav.gov.ru/en
[5] Moscow Department of Health. Moscow: Moscow Department of Health. [Accessed 13 March 2024]. Available from: https://mosgorzdrav.ru/</t>
  </si>
  <si>
    <t>[1] Maharashtra Pollution Control Board. Air Quality Ambient Air Quality Monitoring Network in Maharashtra. Maharashtra. Maharashtra Pollution Control Board. 2022. Available from: https://www.mpcb.gov.in/air-quality 
[2] Maharashtra Energy Development Agency. Annual Report 2019-2020. Maharashtra. Maharashtra Energy Development Agency.2020. Available from: https://www.mahaurja.com/meda/data/other/annualreport1920.pdf. 
[3] Brihanmumbai Municipal Corporation.Climate Action Plan. Mumbai. Brihanmumbai Municipal Corporation.2022. Available from: //mcap.mcgm.gov.in</t>
  </si>
  <si>
    <t>[1] Nairobi City County. Nairobi Air Quality. Nairobi: Nairobi City County, 2024. Available from: https://nairobi.go.ke/nairobi-air-quality/ 
[2] IQAir. Air quality in Nairobi. IQAir, 2024. Available from: https://www.iqair.com/kenya/nairobi 
[3] Nairobi City County. Nairobi: Nairobi City County, 2024. Available from: https://nairobi.go.ke 
[4] Ministry of Health. Facilitators Guide for Training Community Health Volunteers and other Health Professionals on Household Air Pollution, Module 14. Nairobi: Ministry of Health, 2021. Available from: http://guidelines.health.go.ke/#/category/16/345/meta 
[5] The Republic of Kenya. Nairobi City County Acts, 2022. The Nairobi City County Air Quality Act, 2022. Available from: https://nairobi.go.ke/wp-content/uploads/Air-QualityAct.pdf</t>
  </si>
  <si>
    <t>[1] Environment &amp; Health Data PortaL. Real-Time Air Quality in NYC.New York City. Environment &amp; Health Data Portal.2024. Available from: https://a816-dohbesp.nyc.gov/IndicatorPublic/key-topics/airquality/realtime/
[2] NYC 311. ElectrifyNYC. New York City. NYC 311.2024 Available from: https://www.nyc.gov/site/electrifynyc/index.page#:~:text=ElectrifyNYC%20(Electrify%20New%20York%20City 
[3] NYC Mayor's Office of Climate and Environmental Justice. PlaNYC: Getting Sustainability Done.New York City. NYC Mayor's Office of Climate and Environmental Justice.2024. Available from: https://climate.cityofnewyork.us/initiatives/planyc-getting-sustainability-done/</t>
  </si>
  <si>
    <t>[1] Ministry of the Environment. Outline of the Air Pollution Control Act. Tokyo: Ministry of the Environment. Available from: https://www.env.go.jp/air/osen/law/
[2] Osaka Prefectural Government. Air Pollution Measurements. Osaka: Osaka Prefecture; July 2023. Available from: https://www.pref.osaka.lg.jp/kankyohozen/taiki/joukyou.html
Osaka Prefectural Government. Air Conditions. Osaka: Osaka Prefecture. Available from: https://taiki.kankyo.pref.osaka.jp/
[3] Ministry of the Environment. Whitepaper on Energy 2023; Household energy 
consumption (Chart: 212-2-7). Tokyo: Ministry of the Environment; June 2-23. Available from: https://www.enecho.meti.go.jp/about/whitepaper/2023/html/2-1-2.html
[4] The Hanshin Expressway Company. Environmental Read Pricing. Osaka: The Hanshin Expressway Company. Available from: https://www.hanshin-exp.co.jp/drivers/etc/etc_waribiki/after/about/index.html
[5] Osaka City. Environmental Monitoring Information;Atmospheric Environment Continuous Monitoring System Tour. Osaka: City of Osaka; November 2023. Available from: https://www.city.osaka.lg.jp/kankyo/page/0000599626.html</t>
  </si>
  <si>
    <t>[1] Region of Île-de-France. Environnement : le Plan régional d'adaptation au changement climatique (Environment: the regional plan for adaptation to climate change). Paris, 21 September 2022. Available from: https://www.iledefrance.fr/toutes-les-actualites/environnement-le-plan-regional-dadaptation-au-changement-climatique
[2] ARS Île-de-France.Agir pour la santé des Franciliens: Plan d'action 2023-2028 (Acting for the health of Ile-de-France residents: Action Plan 2023-2028). Paris, 2023. Available from: https://www.iledefrance.ars.sante.fr/media/116122/download?inline
[3] City of Paris (Ville de Paris). Plan Climat de Paris (Paris Climate Plan). Paris, 2020. Available from: https://cdn.paris.fr/paris/2020/11/23/99f03e85e9f0d542fad72566520c578c.pdf
[4] City of Paris (Ville de Paris). Le Plan Paris Santé Environnement (The Paris Environmental Health Plan). Paris, 28 March 2023. Available from: https://cdn.paris.fr/paris/2020/02/26/2da4e4c5066d8d475fdc3f26c69a367e.ai
[5] City of Paris (Ville de Paris). La qualité de l'air réglementée et surveillée ( Air quality regulated and monitored). Paris, 17 September 2019. Available from: https://www.paris.fr/pages/la-qualite-de-l-air-reglementee-et-surveillee-7100
[6] Ministry of Ecological Transition and Territorial Cohesion (Ministère de la Transition écologique et de la Cohésion des territoires). Dispositifs de soutien aux énergies renouvelables (Support schemes for renewable energies). 20 September 2022. Available from: https://www.ecologie.gouv.fr/dispositifs-soutien-aux-energies-renouvelables
Other sources:
City of Paris (Ville de Paris). Qualité de l'air : l'amélioration passe par une meilleure connaissance (Air quality: improvement requires better knowledge). Paris, 17 February 2023. Available from: https://www.paris.fr/pages/qualite-de-l-air-l-amelioration-passe-par-une-meilleure-connaissance-22056</t>
  </si>
  <si>
    <t>[1] Khmer Times. Ministry of Environment closely monitoring the air quality in Cambodia. Phnom Penh: Khmer Times; 2024.[Accessed 6 March 2024]. Available from: https://www.khmertimeskh.com/501441254/ministry-of-environment-closely-monitoring-the-air-quality-in-cambodia/.
[2] Mom K. Ministry report improved air quality. Phnom Penh: The Phnom Penh Post; 2024.[Accessed 6 March 2024]. Available from: https://www.phnompenhpost.com/national/ministry-report-improved-air-quality.
[3] Ministry of Mines and Energy. The Official Website of the Ministry of Mines and Energy. Phnom Penh: Ministry of Mines and Energy. [Accessed 6 March 2024]. Available from: http://www.mme.gov.kh/en/front.
[4] Ministry of Environment. The Official Website of the Ministry of Environment. Phnom Penh: Ministry of Environment. [Accessed 6 March 2024]. Available from: https://www.moe.gov.kh/en.
[5] Climate and Clean Air Coalition (CCAC). Clean Air Plan of Cambodia. Phnom Penh: CCAC. [Accessed 6 March 2024]. Available from: 
https://www.ccacoalition.org/sites/default/files/resources/Clean%20Air%20Plan%20of%20Cambodia-Eng.pdf.
[6] United Nations Climate Change. Cambodia First NDC (Updated submission). Bonn: United Nations Climate Change; 2020. [Accessed 6 March 2024]. Available from: https://unfccc.int/reports?f%5B0%5D=corporate_author%3A180.
[7] National Committee on Energy Efficiency. National Energy Efficiency Policy 2022 - 2030. Phnom Penh: OpenDevelopmentMekong; 2023. [Accessed 6 March 2024]. Available from: https://data.opendevelopmentmekong.net/library_record/decision-no-78-on-promulgation-of-the-national-energy-efficiency-policy-2022-2030/resource/f995ab4f-23dc-45f0-8d92-4ed1bbe7e4b8.
[8] Global Green Growth Initiative (GGGI). Phnom Penh Sustainable City Plan 2018 - 2030. Phnom Penh: GGGI; 2019. [Accessed 6 March 2024]. Available from: https://gggi.org/wp-content/uploads/2019/06/SUBSTAINABLE-CITY-REPORT_EN_FA3.pdf.</t>
  </si>
  <si>
    <t>[1] Riyadh Sustainability. Air Quality. Riyadh: Riyadh Sustainability. [Accessed 2 March 2024]. Available from: https://www.riyadhenv.gov.sa/en/news/air-quality/#:~:text=There%20are%2032%20air%20monitoring,organic%20compounds%2C%20lead%2C%20etc.
[2] Arab News. New campaign aims to raise awareness of energy efficiency among kids in Saudi Arabia. Riyadh: Arab News; 2023. Available from: https://www.arabnews.com/node/2230166/saudi-arabia
[3] RCRC. Green Riyadh Project. Riyadh: Royal Commission for Riyadh City. [Accessed 2 March 2024]. Available from: https://www.rcrc.gov.sa/en/projects/green-riyadh-project
[4] Vision 2030. King Salman Park. Riyadh: Vision 2020. [Accessed 2 March 2024]. Available from: https://www.vision2030.gov.sa/en/projects/king-salman-park/
[5] Sports Boulevard. Riyadh: Sports Boulevard. [Accessed 2 March 2024]. Available from: https://sportsboulevard.sa/en</t>
  </si>
  <si>
    <t>[1] Metropolitan City of Rome Capital (Città metropolitana di Roma Capitale). Piano d'Azione per L'Energia Sostenibile e il Clima di Roma Capitale (Action Plan for Sustainable Energy and the Climate of Rome Capital). Rome, 14 November 2017. Available from: https://www.comune.roma.it/web-resources/cms/documents/PIANO_DI_AZIONE_PER_LENERGIA_SOSTENIBILE_E_IL_CLIMA_DI_ROMA_CAPITALE.pdf
[2] Metropolitan City of Rome Capital (Città metropolitana di Roma Capitale). Piano Clima Roma: Aggiornamento del Piano di azione per l'energia sostenibile e il clima (Rome Climate Plan: Update of the Action Plan for sustainable energy and the climate). Rome, September 2023. https://www.comune.roma.it/web-resources/cms/documents/Piano_Clima_2023_light_230914_095428.pdf</t>
  </si>
  <si>
    <t>[1] IQAir. San Francisco Air Quality Index (AQI) and California Air Pollution | AirVisual [Internet]. IQAir; 2024 [Accessed 2024 Mar 20]. Available from: https://www.iqair.com/usa/california/san-francisco
[2] Office of the Mayor. Mayor London Breed Announces New Programs to Reduce Carbon Emissions and Promote Equitable Access to Clean Energy [Internet]. City and County of San Francisco; 2022 [Accessed 2024 Mar 20]. Available from: https://sfmayor.org/article/mayor-london-breed-announces-new-programs-reduce-carbon-emissions-and-promote-equitable</t>
  </si>
  <si>
    <t>[1] CETESB. Boletim Diário. São Paulo: Companhia Ambiental do Estado de São Paulo; 2024. Available from: https://cetesb.sp.gov.br/ar/boletim-diario/ 
[2] VIGIAR. Programa de Vigilância em Saúde Ambiental Relacionado a Populações Expostas à Poluição do Ar do Município de São Paulo. Subprefeituras. São Paulo; 2024. Available from: https://www.prefeitura.sp.gov.br/cidade/secretarias/subprefeituras/noticias/?p=6968#inf_cid</t>
  </si>
  <si>
    <t>[1] Seoul Metropolitan Government. Air Quality Policy Division. Monitoring Stations and Display Boards. Seoul: Seoul Metropolitan Government. Available from: https://cleanair.seoul.go.kr/information/monitorList.do#.
[2] Seoul Metropolitan Government. Air Quality Policy Division. Climate Change News. 29 November 2023. Seoul: Seoul Metropolitan Government. Available from: https://news.seoul.go.kr/env/archives/556181#
[3] Seoul Metropolitan Government. Air Quality Policy Division. Climate Change News. 29 November 2023. Seoul: Seoul Metropolitan Government. Available from: https://news.seoul.go.kr/env/archives/556181#</t>
  </si>
  <si>
    <t>[1] Shanghai Municipal Bureau of Ecology and Environment. Ecological and Environmental Quality - Air Quality. Shanghai: Shanghai Municipal Bureau of Ecology and Environment. [Accessed 4 March 2024]. Available from: https://sthj.sh.gov.cn/ [found under the fourth tab "生态环境质量"]
[2] Shanghai Municipal People's Government. Shanghai Energy Development "14th Five-Year Plan" [上海市能源发展"十四五"规划]. Shanghai: Shanghai Municipal People's Government, 2022. Available from: https://www.shanghai.gov.cn/202210zfwj/20220521/1d9410e2e7c4474da6618278ccb4528d.html
[3] National Development and Reform Commission. Shanghai: Energy conservation and carbon reduction work shows results [上海：节能降碳工作显成效]. Beijing: National Development and Reform Commission. [14 June 2022; Accessed 4 March 2024]. Available from: https://www.ndrc.gov.cn/xwdt/ztzl/2022qgjnxcz/dfjnsj/202206/t20220614_1327261.html
[4] General Office of Shanghai Municipal People's Government. Shanghai Municipal Clean Air Action Plan (2023-2025) [上海市清洁空气行动计划（2023-2025年）]. Shanghai: General Office of Shanghai Municipal People's Government, 2023. Available from: https://www.shanghai.gov.cn/202314bgtwj/20230808/03b9f1b7273a470991aebac073391f02.html</t>
  </si>
  <si>
    <t>[1] Central Singapore.Air Pollution: Real-time Air Quality Index. Singapore. Central Singapore Air Quality Index.2024. Available from: https://aqicn.org/city/singapore/central/
[2] National Environment Agency. Household Sector. Singapore. National Environment Agency. 2024. Available from: https://www.nea.gov.sg/our-services/climate-change-energy-efficiency/energy-efficiency/household-sector
[3] SG Green Plan. Singapore Green Plan 2030.Singapore. SG Green Plan. 2022. Available from: https://www.greenplan.gov.sg/</t>
  </si>
  <si>
    <t>[1] New South Wales Government. Air Quality in my Area. Sydney: New South Wales Government; 2024. Available from: https://www.environment.nsw.gov.au/topics/air/monitoring-air-quality/sydney/monitoring-stations.
[2] New South Wales Government. School waste education program. Waverley Council; 2023. Available from: https://www.waverley.nsw.gov.au/environment/networks_and_support/schools_and_childcare/school_waste_education_program. 
[3] New South Wales Government. Education campaign. Sydney: New South Wales Environment Protection Authority; 2017. Available from: https://www.epa.nsw.gov.au/your-environment/air/reducing-wood-smoke-emissions/council-resource-kit/education-campaign.
[4] City of Sydney. Environmental Strategy 2021 - 2025. Sydney: City of Sydney: Strategies and Plans; 2021. Available from: https://www.cityofsydney.nsw.gov.au/strategies-action-plans/environmental-strategy.</t>
  </si>
  <si>
    <t>[1] Ministry of the Environment. Outline of the Air Pollution Control Act. Tokyo: Ministry of the Environment. Available from: https://www.env.go.jp/air/osen/law/
[2] Bureau of Environment, Tokyo Metropolitan Government. Air Pollution Measurement. Tokyo: Bureau of Environment, Tokyo Metropolitan Government. Available from: https://www.taiki.kankyo.metro.tokyo.lg.jp/taikikankyo/realtime/index.html
[3] Ministry of the Environment. Whitepaper on Energy 2023, Household energy consumption (Chart: 212-2-7). Tokyo: Ministry of the Environment; June 2023. Available from: https://www.enecho.meti.go.jp/about/whitepaper/2023/html/2-1-2.html
[4] Bureau of Environment, Tokyo Metropolitan Government. The Atmospheric Environment Improvement Promotion Project: Clear Sky. Tokyo: Bureau of Environment, Tokyo Metropolitan Government. Available from: https://www.kankyo.metro.tokyo.lg.jp/air/air_pollution/torikumi/clearsky</t>
  </si>
  <si>
    <t>[1] Government of Ontario. Air Quality Ontario. Toronto: Ministry of the Environment, Conversation and Parks. Available from: https://www.airqualityontario.com/#top
[2] Government of Canada. Toronto - Air Quality Health Index. Ottawa: Government of Canada; 2024. Available from: https://weather.gc.ca/airquality/pages/onaq-001_e.html
[3] City of Toronto. Air Quality Health Index. Toronto: Toronto Public Health. Available from: https://www.toronto.ca/community-people/health-wellness-care/health-programs-advice/air-quality/air-quality-health-index/
[4] Government of Canada. How to use the Air Quality Health Index. Ottawa: Environment and Climate Change Canada; 2016. Available from:https://www.canada.ca/en/environment-climate-change/services/air-quality-health-index/use.html
[5] City of Toronto. Air Pollution. Toronto: Toronto Public Health. Available from: https://www.toronto.ca/community-people/health-wellness-care/health-programs-advice/air-quality/air-pollution-and-health/
[6] City of Toronto. Waste Strategy Programs and Initiatives. Toronto: City of Toronto; n.d. Available from: https://www.toronto.ca/services-payments/recycling-organics-garbage/long-term-waste-strategy/why-do-we-need-a-waste-strategy/
[7] National Waste Council. Love Food Hate Waste. Burnaby: Metro Vancouver; 2024 Available from: https://lovefoodhatewaste.ca/</t>
  </si>
  <si>
    <t>[1] City of Vienna. Measuring Stations of the Vienna air monitoring network. Vienna: City of Vienna. [Accessed 20 March 2024]. Available from: https://www.wien.gv.at/umwelt/luft/messstellen/index.html
[2] City of Vienna. Air quality reports of the City of Vienna. Vienna: City of Vienna. [Accessed 20 March 2024]. Available from: https://www.wien.gv.at/ma22-lgb/luftgi.htm
[3] Austrian Energy Agency. About Us. Vienna: Austrian Energy Agency. [Accessed 20 March 2024]. Available from: https://www.energyagency.at/en/about
[4] Austrian Energy Agency. Subsidies in Austria. Vienna: Austrian Energy Agency. [Accessed 20 March 2024]. Available from: https://www.energyagency.at/fakten/foerderungen
[5] City of Vienna. Measures to reduce air pollution. Vienna: City of Vienna. [Accessed 20 March 2024]. Available from: https://www.wien.gv.at/umwelt/luft/massnahmen/index.html
[6] City of Vienna. Evaluation of the Vienna NO2 program 2008 Update 2023. Vienna: City of Vienna; 2023. Available from: https://www.digital.wienbibliothek.at/wbrup/download/pdf/4916573?originalFilename=true
[7] City of Vienna. Smart City Strategy Vienna. Vienna: City of Vienna; 2022. Available from: https://smartcity.wien.gv.at/wp-content/uploads/sites/3/2022/05/scwr_klima_2022_web-EN.pdf</t>
  </si>
  <si>
    <t>[1] AQI. Wuhan Air Quality Index. Accessed 6 March 2024. Available from: https://www.aqi.in/dashboard/china/hubei/wuhan.
[2] Wuhan Municipal Ecology and Environmental Department. Homepage. Wuhan: Municipal Ecology and Environmental Department; Accessed 6 March 2024. Available from: http://hbj.wuhan.gov.cn/english/.
[3] Wuhan Municipal People's Government. In 2022, Wuhan will account for more than 80% of days with good air quality [2022年 武汉空气质量优良天数占比超过八成]. Wuhan: Wuhan Municipal People's Government; 5 January 2023. Available from: https://www.wuhan.gov.cn/ztzl/23zt/gzbg/mtgz/202301/t20230111_2128569.shtml.
[4] Wuhan Municipal Ecology and Environmental Department. Wuhan Municipal Ecology and Environmental Department [2023] No. 25 Notice of the Municipal Ecological Environment Bureau on Issuing the Key Points of the City's Ecological Environment Work in 2023 [武环〔2023〕25号 市生态环境局关于印发2023年全市生态环境工作要点的通知]. Wuhan: Wuhan Municipal Ecology and Environmental Department; 20 February 2023. Available at: http://hbj.wuhan.gov.cn/fbjd_19/zc/sthjjwj/wh/202302/t20230221_2156791.html.
[5] Wuhan Municipal People's Government. In 2023, Wuhan will build and renovate 100 parks of various types [2023年 武汉将新建改建各类公园100个]. Wuhan: Wuhan Municipal People's Government; 5 January 2023. Available from: https://www.wuhan.gov.cn/ztzl/23zt/gzbg/mtgz/202301/t20230111_2129564.shtml.
[6] Wuhan Municipal Ecology and Environmental Department. Wuhan Environment [2023] No. 25 Notice of the Municipal Ecological Environment Bureau on Issuing the Key Points of the City's Ecological Environment Work in 2023 [武环〔2023〕25号 市生态环境局关于印发2023年全市生态环境工作要点的通知]. Wuhan: Municipal Ecology and Environmental Department; 20 February 2023. Available from: http://hbj.wuhan.gov.cn/fbjd_19/zc/sthjjwj/wh/202302/t20230221_2156791.html.</t>
  </si>
  <si>
    <t>[1] Road and Bridge Authority, YCDC. Sustainable Urban Development Index for Yangon City, Myanmar. Yangon: YCDC. [October 2020, Accessed 27 March 2024] Available from: https://www.unescap.org/sites/default/files/SUTI%20Final%20Report%20Submission_ED.pdf
[2] UNEP. Air Quality Policies in Myanmar. Nairobi: UNEP. [27 August 2016, Accessed 27 March 2024]. Available from: https://www.unep.org/resources/policy-and-strategy/air-quality-policies-myanmar
[3] The Republic of the Union of Myanmar. National Environmental Policy. Naypyidaw: The Republic of the Union of Myanmar. [5 June 2019, Accessed 27 March 2024].
Available from: https://www.undp.org/myanmar/publications/national-environmental-policy-myanmar
[4] MCRB. What are the Causes of Air Pollution, and Consequences for Health in Myanmar, Including for Covid-19? Yangon: Myanmar Centre for Responsible Business. [28 April 2020, Accessed 27 March 2024]. Available from: https://www.myanmar-responsiblebusiness.org/news/air-pollution-health-covid-19.html</t>
  </si>
  <si>
    <t>[1] Addis Ababa City Administration. Addis Ababa: Addis Ababa City Administration. [Accessed 29 March 2024]. Available from: https://www.cityaddisababa.gov.et/
[2] Federal Ministry of Health. National Health Promotion and Communication Strategy 2016 - 2020. Addis Ababa: Federal Ministry of Health. [2016]. Available from: https://scorecard.prb.org/wp-content/uploads/2018/05/National-Health-Promotion-and-Communication-Strategy-2016-2020.Ethiopia.pdf
[3] UNICEF Ethiopia. ETHIOPIA ANNUAL REPORT (2021). Addis Ababa: UNICEF Ethiopia. [March 2022]. Available from: https://www.unicef.org/ethiopia/reports/annual-report-2021</t>
  </si>
  <si>
    <t>[1] National Institute of Public Health. Surveys. Algiers: National Institute of Public Health, 2024. Available from: https://www.insp.dz/index.php/Non-categorise/enquetes.html
[2] Government Portal of Public Services: Algiers: Government Portal of Public Services, 2024. Available from: https://bawabatic.dz/?req=themes&amp;op=cible&amp;id=3
[3] Facebook: DSP d'Alger. Algiers: DSP d'Alger. [Accessed 5 March 2024]. Available from: https://www.facebook.com/DSPAlger16
[4] UNICEF. Country Office Annual Report 2023. New York: UNICEF, 2023. Available from: https://www.unicef.org/media/152551/file/Algeria-2023-COAR.pdf
[5] Africa Health Organisation: Algeria. Norfolk, England: Africa Health Organisation, 2024. Available from: https://aho.org/countries/algeria/</t>
  </si>
  <si>
    <t>[1] Auckland Council. Auckland Plan 2050. Auckland Council; 2024. [Accessed 2024-03-18]. Available from: https://www.aucklandcouncil.govt.nz/plans-projects-policies-reports-bylaws/our-plans-strategies/auckland-plan/Pages/default.aspx
[2] The University of Auckland. HSLeaP - Healthy Start to Life Education for Adolescents Project. [Accessed 2024-03-18]. Available from: https://www.lenscience.auckland.ac.nz/en/about/teaching-and-learning-resources/HSLeaP.html#:~:text=The%20project%20supports%20scientific%20and,health%20and%20wellbeing%20throughout%20life.</t>
  </si>
  <si>
    <t>[1] Bangkok Metropolitan Administration Model of Preventive Long-Term Care. Healthy Aging Prize for Asian Innovation. Tokyo; 2021. Available from: https://ahwin.org/bangkok-metropolitan-administration-model-of-preventive-long-term-care/
[2] Twenty Year Strategic Plan for Public Health (2017-36), Ministry of Public Health. Bangkok; 2017. Available from: https://www.moph.go.th/index.php/sitemap</t>
  </si>
  <si>
    <t>[1] The People's Government of Beijing Municipality. Healthy Beijing Action 2020-2030. Beijing: The People's Government of Beijing Municipality, 30 March 2020. Available from: https://www.beijing.gov.cn/gongkai/guihua/wngh/qtgh/202006/W020210219566223042282.docx
[2] Food and Agriculture Organization of the United Nations (FAO). FAOLEX Database - China - Outline of the Healthy China 2030 Plan. Rome: Food and Agriculture Organization of the United Nations, 25 October 2016. Available from: https://www.fao.org/faolex/results/details/en/c/LEX-FAOC175038/
[3] National Health Commission of the People's Republic of China. Healthy China Action Plan. Beijing: National Health Commission of the People's Republic of China. n/a. Available from: http://en.nhc.gov.cn/HealthyChinaActionPlan.html.
[4] X, Tan, Zhang Y, and Shao H. Healthy China 2030, a Breakthrough for Improving Health. Global Health Promotion: 2019; 26[4]. Available from: https://doi.org/10.1177/1757975917743533.</t>
  </si>
  <si>
    <t>[1] Senate Department for Higher Education and Research, Health and Long-Term Care. Integrated Health and Care Programme (IGPP). Berlin: Senate Department for Higher Education and Research, Health and Long-Term Care. [Accessed 16 March 2024]. Available from: https://www.berlin.de/sen/gesundheit/gesundheitsfoerderung-und-praevention/integriertes-gesundheits-und-pflege-programm/
[2] Senate Department for Higher Education and Research, Health and Long-Term Care. Action Program Health. Berlin: Senate Department for Higher Education and Research, Health and Long-Term Care. [Accessed 16 March 2024]. Available from: https://www.berlin.de/sen/gesundheit/gesundheitsfoerderung-und-praevention/aktionsprogramm-gesundheit-1364574.php
[3] Senate Department for Education, Youth and Family. Good Healthy School. Berlin: Senate Department for Education, Youth and Family. [Accessed 16 March 2024]. Available from: https://www.berlin.de/sen/bildung/unterstuetzung/praevention-in-der-schule/gesundheit/landesprogramm-gute-gesunde-schule/
https://www.berlin.de/sen/gesundheit/</t>
  </si>
  <si>
    <t>[1] Gobierno de Bogotá. Programas de promoción de la salud, Gestión del Riesgo en salud y Gestión de la Salud Públic. Bogotá. Bogota.gov.co. bogota.gov.co. 2024. Available from: https://bogota.gov.co/servicios/guia-de-tramites-y-servicios/programa-de-promocion-en-salud-y-prevencion-de-enfermedades 
[2] Gobierno de Bogotá. Programa Muévete Bogotá. Bogotá. Bogota.gov.co. bogota.gov.co. 2024. Available from: https://bogota.gov.co/servicios/guia-de-tramites-y-servicios/programa-muevete-bogota</t>
  </si>
  <si>
    <t>[1] Official Website of the City of Budapest. Budapest: Municipality of the City of Budapest. [Accessed 06 March 2024] Available from: https://budapest.hu
[2] Interview #1
[3] Ministry of Interior. Official Website. Budapest: Ministry of Interior. [Accessed 06 March 2024]. Available from: https://kormany.hu/belugyminiszterium
[4] Government of Hungary. Official Website. Budapest: Government of Hungary. [Accessed 06 March 2024] Available from: https://kormany.hu
[5] Fekő Á. The Central Media Group is Launching a Health Communication Collaboration (Egészségkommunikációs együttműködést indít a Central Médiacsoport). Budapest: Media1. [03 March 2023; Accessed 06 March 2024]. Available from: https://media1.hu/2023/03/03/egeszsegkommunikacios-egyuttmukodest-indit-a-central-mediacsoport/</t>
  </si>
  <si>
    <t>[1] Ministry of Health and Population. Health Awareness. Cairo: Ministry of Health and Population. [archived 2020]. Available from: https://web.archive.org/web/20200117075321/http://www.mohp.gov.eg/Articles.aspx
[2] Cairo Governorate. Cairo: Cairo Governorate. [Accessed 9 March 2024]. Available from: http://www.cairo.gov.eg/ar
[3] FAO. Egypt National Multisectoral Action Plan for Prevention and Control of Non-communicable Diseases 2017-2021. Rome: Food and Agriculture Organization, 2017. Available from: https://www.fao.org/faolex/results/details/ru/c/LEX-FAOC208825/
[4] Ministry of Health and Population. Health Awareness. Cairo: Ministry of Health and Population. [archived 2020]. Available from: https://web.archive.org/web/20200117075321/http://www.mohp.gov.eg/Articles.aspx
[5] Cairo Governorate. Directorate of Health Affairs. Cairo: Cairo Governorate. [Accessed 10 March 2024]. Available from: http://www.cairo.gov.eg/ar/Pages/DirectorateDetails.aspx?DirID=1</t>
  </si>
  <si>
    <t>[1] National Non-Communicable Disease Program. National Health Mission. Ministry of Health and Family Welfare. Government of India.[ https://ncd.nhp.gov.in/ncdlandingassets/aboutus.html] Accessed March 05, 2024 
[2] Delhi State Health Mission. National Health Mission.[ https://dshm.delhi.gov.in/(S(wdnl0qrh53ar4nlrwbvbt2ab))/default.aspx#] Accessed March 06, 2024
[3] Praja Org. The State of Health in Delhi. August 2022.[ https://praja.org/praja_docs/praja_downloads/Report%20on%20State%20of%20Health%20in%20Delhi.pdf] Accessed March 06,2024 
[4] PLAN INTERNATIONAL. 28 April 2022. AstraZeneca expands its 'Young Health Program' in Delhi; Opens 3 Health Information Centres in the communities of Sangam Vihar and Dakshinpuri.[ https://www.planindia.org/media-release/astrazeneca-expands-its-young-health-program-in-delhi-opens-3-health-information-centres-in-the-communities-of-sangam-vihar-and-dakshinpuri/] Accessed March 07,2024</t>
  </si>
  <si>
    <t>[1] WHO. Multisectoral Action Plan for the Prevention and Control of Noncommunicable Diseases (NCDs) 2018-2025. Geneva: World Health Organization; 2018. Available from: https://www.who.int/docs/default-source/searo/ncd/ban-ncd-action-plan-2018-2025.pdf?sfvrsn
[2] Dhaka North City Corporation. Official Website. Dhaka: Dhaka North City Corporation. [accessed 2024]. Available from: https://www.dncc.gov.bd
[3] Ministry of Health and Family Welfare. Official Website. Dhaka: Ministry of Health and Family Welfare. [accessed 2024]. Available from: http://www.mohfw.gov.bd/
[4] Directorate General of Health Services. Official Website. Dhaka: Directorate General of Health Services. [accessed 2024]. Available from: https://dghs.gov.bd/</t>
  </si>
  <si>
    <t>[1] Gjylbegaj V. Storytelling in Public Health Campaigns: Lessons Learned from Successful UAE Initiatives. Kurdish Studies. 2023;12[1] pp. 3596-3608.
[2] United Arab Emirates' Government. National policy to promote healthy lifestyles in the UAE 2022. United Arab Emirates. The United Arab Emirates' Government Portal. [27 September 2023; Accessed 5 March 2024]. Available from: https://u.ae/en/about-the-uae/strategies-initiatives-and-awards/policies/health/national-policy-to-promote-healthy-lifestyles-in-the-united-arab-emirates-2022.</t>
  </si>
  <si>
    <t>[1] City of Helsinki. Well-being, Health and Safety for All: Helsinki's Welfare Plan 2022–2025. Helsinki: City of Helsinki. [26 October 2021; Accessed 7 March 2024]. Available from: https://www.hel.fi/static/kanslia/hyte/helsingin-hyvinvointisuunnitelma-2022%E2%80%932025.pdf
[2] City of Helsinki. Healthy life group. Helsinki: City of Helsinki. [Accessed 7 March 2024]. Available from: https://www.hel.fi/fi/sosiaali-ja-terveyspalvelut/terveydenhoito/terveysasemat/terve-elama-ryhma
[3] Helsinki is Moving. Exercise Counseling. Helsinki: City of Helsinki. [Accessed 7 March 2024]. Available from: https://liikunta.hel.fi/fi/pages/tukea-liikkumiseen/liikuntaneuvonta
[4] Helsinki is Moving. Sports Pilot. Helsinki: City of Helsinki. [Accessed 7 March 2024]. Available from: https://liikunta.hel.fi/fi/pages/tukea-liikkumiseen/vapaaehtoistoiminta-liikuntapalveluissa/liikuntaluotsi
[5] City of Helsinki. The KauKo project inspires people to move and enjoy themselves in the city and in nature. Helsinki: City of Helsinki. [Accessed 7 March 2024]. Available from: https://www.hel.fi/fi/uutiset/kauko-hanke-innostaa-ihmiset-liikkumaan-seka-viihtymaan-kaupungissa-ja-luonnossa
[6] HEVI Innovations. KauKo - Urban environments as an experimental platform for well-being innovations. Helsinki: HEVI Innovations. [Accessed 7 March 2024]. Available from: https://hevinnovations.fi/kauko/
[7] Health Village. Homepage. Helsinki: HUS. [Accessed 7 March 2024]. Available from: https://www.terveyskyla.fi
[8] OmaOlo. Homepage. Helsinki: DigiFinland Oy. [Accessed 7 March 2024]. Available from: https://www.omaolo.fi</t>
  </si>
  <si>
    <t>[1] Ministry of Health. Decision 5924/QĐ-BYT. Approval of implementation plan for Vietnam Health Program period 2021-2025. [29 December 2021]. Available from: https://thuvienphapluat.vn/van-ban/The-thao-Y-te/Quyet-dinh-5924-QD-BYT-2021-Chuong-trinh-Suc-khoe-Viet-Nam-2021-2025-499193.aspx
[2] Vietnam Television Center in Ho Chi Minh City. Launching the program of Medical "Alo Doctor" on VTV9 channel. Available from: https://vtv.vn/suc-khoe/ra-mat-chuong-trinh-chuyen-biet-ve-y-te-alo-doctor-tren-kenh-vtv9-20230912191038697.htm
[3] Hochiminh Department of Health. Hochiminh City: Improving the capacity of medical staff to provide nutritional counseling diabetes and hypertension patients with professional support from WHO. [21 September 2023]. Available from: https://medinet.gov.vn/chuyen-muc/thanh-pho-ho-chi-minh-nang-cao-nang-luc-tu-van-dinh-duong-va-van-dong-cho-benh-cmobile1780-68044.aspx</t>
  </si>
  <si>
    <t>[1] Food and Health Bureau, Department of Health. TOWARDS 2025
Strategy and Action Plan to Prevent and Control
Non-communicable Diseases in Hong Kong (pp. 34, 49). Hong Kong: Department of Health; 2018. [Accessed 2024-03-12] Available from https://www.chp.gov.hk/files/pdf/saptowards2025_fullreport_en.pdf</t>
  </si>
  <si>
    <t>[1] World Health Organization (WHO) Regional Office for Europe and European Observatory on Health Systems and Policies. Health Systems in Action: Türkiye. Geneva. WHO. 2022. Available from: https://iris.who.int/bitstream/handle/10665/362347/9789289059213-eng.pdf?sequence=1
[2] T.R. Ministry of Health (T.C. Sağlık Bakanlığı). Istanbul Provincial Health Directorate (İstanbul İl Sağlık Müdürlüğü). Istanbul. T.C. Sağlık Bakanlığı. 2024. Available from: https://istanbulism.saglik.gov.tr/
[3] T.R. Ministry of Health (T.C. Sağlık Bakanlığı). 2024-2028 Stratejik Planı (2024-2028 Strategic Plan). Ankara. T.C. Sağlık Bakanlığı. 2024. Available from: https://shgm.saglik.gov.tr/Eklenti/47452/0/saglik-bakanligi-stratejik-plan-2024-2028pdf.pdf?_tag1=7B2A9834832BF7DCF36F2C7E5607D8543752A372 
[4] T.R. Ministry of Health and World Health Organization (WHO) Regional Office for Europe. Multisectoral Action Plan of Turkey for Noncommunicable Diseases 2017-2025. Ankara. WHO. 2017. Available from: https://cdn.who.int/media/docs/librariesprovider2/country-sites/multisectoral-action-plan-of-turkey-for-noncommunicable-diseases-2017-2025-%28english-and-turkish%29f97f8061-5d52-4d6f-adab-f21d292c48f9.pdf?sfvrsn=377621a3_1&amp;download=true
[5] Green Crescent (Yeşilay). Sağlık Bakanlığı ve Yeşilay iş birliğinde TBM Uygulayıcı Eğitimi (TBM Practitioner Training in cooperation with the Ministry of Health and Green Crescent). Istanbul. Yeşilay. 2018. Available from: https://www.yesilay.org.tr/tr/haberler/saglik-bakanligi-ve-yesilay-is-birliginde-tbm-uygulayici-egitimi</t>
  </si>
  <si>
    <t>[1] Gerakan Masyarakat Hidup Sehat. Ministry of Health. Available from: https://ayosehat.kemkes.go.id/germas
[2] DKI Jakarta Regulation No. 576. Air Pollution Control Strategy; 2023. Available from: https://jdih.jakarta.go.id/dokumen/detail/13660</t>
  </si>
  <si>
    <t>[1] Gauteng Provincial Government. Gauteng Health launches wellness Wednesday programme. Johannesburg: Gauteng Provincial Government. [24 November 2022; Accessed 2 March 2024]. Available from: https://www.gauteng.gov.za/News/NewsDetails/%7B56e69d0a-3f70-45ca-aac7-5c4e72362907%7D.
[2] Gauteng Provincial Government. Gauteng Health launches wellness Wednesday programme. [20 November 2022; Accessed 7 March 2024]. Available from: https://www.gauteng.gov.za/Departments/DepartmentPublicationDetails/%7B662ea894-c7b1-40df-b960-9d16c3c9d6ce%7D?departmentId=CPM-001006.
[3] Gauteng Provincial Government. Annual Report 2022/23. Johannesburg: Gauteng Provincial Government, 2023. Available from: https://cmbinary.gauteng.gov.za/Media?path=cphealth/Documents/Annual%20Reports/DEPARTMENT%20OF%20HEALTH%20ANNUAL%20REPORT%202022-23.pdf&amp;Item=1453&amp;Type=Documents&amp;Location=/cphealth.
[4] City of Johannesburg. Pulsating cardio workout gets region a hearts pumping. Johannesburg: City of Johannesburg. [Accessed 2 March 2024]. Available from: https://joburg.org.za/media_/Newsroom/Pages/2023%20News%20Articles/January/Pulsating-cardio-workout-gets-Region-A-hearts-pumping.aspx.
[5] South African Government. Integrated School Health Programme. Pretoria: South African Government. [Accessed 2 March 2024]. Available from: https://www.gov.za/about-government/government-programmes/schoolhealth.
[6] Babatunde GB, Akintola O. Beyond Access: Can a School Health Initiative Facilitate Healthcare Services Utilisation for School-Going Children? Int J Environ Res Public Health. 2023;20(15):6448. 
[7] South African Government. MEC Nomantu Nkomo-Ralehoko hands over Integrated School Health Programme vehicles to improve provision of comprehensive health services. Pretoria: South African Government. [Accessed 2 March 2024]. Available from: https://www.gov.za/news/media-statements/mec-nomantu-nkomo-ralehoko-hands-over-integrated-school-health-programme.
[8] Unicef. Youth take lead in promoting better nutrition and healthier young lives. New York: UNICEF. [Accessed 2 March 2024]. Available from: https://www.unicef.org/southafrica/press-releases/youth-take-lead-promoting-better-nutrition-and-healthier-young-lives.</t>
  </si>
  <si>
    <t>[1] Karachi Metropolitan Corporation. Official Website. Karachi: Karachi Metropolitan Corporation. [Accessed 22 March 2024]. Available from: https://www.kmc.gos.pk/en
[2] Almas A, Iqbal R, Sabir S et al. School Health Education Program in Pakistan (SHEPP)-A threefold health education feasibility trial in schoolchildren from a lower-middle-income country. Biomed Central Limited. 2020:6[1]
[3] Huda M, Rabbani U, Rabbani F. Inculcating health awareness in Karachi, Pakistan; How innovative, socially acceptable methods can help combat communicable diseases of poverty. International Journal for Community Research and Engagement. 2017:10.
[4] Badar S, Atigbo E, Shuja S et al. Nutrition Exchange. Combining WASH and nutrition activities within a multisectoral package to improve young children's diets and reduce child stunting in Sindh province, Pakistan. Nutrition Exchange Asia. 2020:2.</t>
  </si>
  <si>
    <t>[1] KMC initiates construction of 20 Urban Health Promotion Centers. MyRepublica. 2023. Available from:
https://myrepublica.nagariknetwork.com/news/kmc-initiates-construction-of-20-urban-health-promotion-centers/#:~:text=KATHMANDU%2C%20Sep%207%3A%20Kathmandu%20Metropolitan,its%20residents%20free%20of%20charge.</t>
  </si>
  <si>
    <t>[1] National Non-Communicable Disease Program. National Health Mission. Ministry of Health and Family Welfare. Government of India. Available from: https://ncd.nhp.gov.in/ncdlandingassets/aboutus.html. Accessed March 05, 2024 
[2] Howrah Municipal Corporation. Government of West Bengal. Available from: https://www.myhmc.in/ncd-clinic/. Accessed March 07, 2024. 
[3] Kolkata Municipal Corporation. Available from: https://www.kmcgov.in/KMCPortal/jsp/KMCPortalHome1.jsp. Accessed March 07 March 2024. 
[4] International Journal of Novel Research and Development (IJNRD). Mr Santanu Roychowdhury, Dr.Alakanada Gosh, Mr. Jaydeep Chakraborty. August 08, 2023. A review of promotion and prevention of non-communicable disease in urban slum of India. Available from: https://www.ijnrd.org/papers/IJNRD2308040.pdf. Accessed March 07, 2024.</t>
  </si>
  <si>
    <t>[1] Salman et al. Health Promotion Programs to Reduce Noncommunicable Diseases: A Call for Action in Kuwait. Healthcare (Basel). 2020 Sep; 8: 251. 
[2] Kuwait Medical Association. Kuwait: Kuwait Medical Association. [Accessed 8 March 2024]. Available from: https://www.kma.org.kw/AssociationsDetails.aspx?id=1027
[3] Ministry of Health. Kuwait: Ministry of Health of Kuwait. [Accessed 8 March 2024]. Available from: https://www.moh.gov.kw/</t>
  </si>
  <si>
    <t>[1] Lagos State Ministry of Health. Lagos embracing digital transformation to improve health services - Permanent Secretary. Lagos: Lagos State Ministry of Health. [Accessed 7 March 2024]. Available from: https://health.lagosstate.gov.ng/2023/06/26/lagos-embracing-digital-transformation-to-improve-health-services-permanent-secretary/
[2] Lagos State Ministry of Health. Lagos takes proactive measures against neglected tropical diseases. Lagos: Lagos State Ministry of Health. [Accessed 7 March 2024]. Available from: https://health.lagosstate.gov.ng/2024/01/31/lagos-takes-proactive-measures-against-neglected-tropical-diseases/</t>
  </si>
  <si>
    <t>[1] Greater London Authority. London Food Stratergy Implementation Plan. London: GLA; 2023. Available from: https://www.london.gov.uk/sites/default/files/2023-11/London%20Food%20Strategy%20Implementation%20Plan%20Nov%202023%20final%20%20%281%29.pdf
[2] London Assembly. Health Inequalities Strategy Implementation Plan 2021-24. London: GLA; 2021 Available from: https://www.london.gov.uk/publications/health-inequalities-strategy-implementation-plan-2021-24 
[3] Office for Health Improvement &amp; Disparities. Every Child a Healthier Weight Delivery Plan. London: Department of Health and Social Care; 2022. Available from: https://www.adph.org.uk/networks/london/wp-content/uploads/sites/2/2023/05/Every-Child-a-Healthier-Weight-Delivery-Plan-ECAHW-Final090523.pdf</t>
  </si>
  <si>
    <t>[1] Metro Manila Center for Health Development. Manila: Department of Health. [Accessed 22 February 2024]. Available from: https://ncroffice.doh.gov.ph/
[2] Manila Health Department. About. Manila: City Government of Manila, 2020. [Accessed 22 February 2024]. Available from: https://manilahealthdepartment.com/about.html
[3] National Economic and Development Authority. Public Health Programs. Pasig City: National Economic and Development Authority, 2019. [Accessed 22 February 2024]. Available from: https://sdg.neda.gov.ph/public-health-programs/
[4] Department of Health. Health Programs. Manila: Department of Health - Republic of the Philippines. [Accessed 22 February 2024]. Available from: https://doh.gov.ph/uhc/health-programs/</t>
  </si>
  <si>
    <t>[1] State of Victoria Department of Health. Healthy eating programs and services. State of Victoria Department of Health. Available from: https://www.health.vic.gov.au/preventive-health/healthy-eating-programs-and-services 
[2] City of Melbourne. Healthy choices. City of Melbourne. Available from: https://www.melbourne.vic.gov.au/community/health-support-services/health-services/Pages/healthy-choices.aspx 
[3] City of Melbourne. Food city: city of Melbourne food policy. City of Melbourne; 2012. Available from: https://www.melbourne.vic.gov.au/community/health-support-services/health-services/Pages/food-policy.aspx 
[4] City of Melbourne. Municipal public health and wellbeing plan 2021-2025. City of Melbourne; 2021. Available from: https://www.melbourne.vic.gov.au/community/health-support-services/health-services/Pages/municipal-public-health-and-wellbeing-plan.aspx 
[5] North Western Melbourne Primary Health Network. Healthy eating, activity and lifestyle program - places available. North Western Melbourne Primary Health Network. Available from: https://nwmphn.org.au/news/healthy-eating-activity-and-lifestyle-program-places-available/</t>
  </si>
  <si>
    <t>[1] World Health Organization. Mexico City, Mexico - WHO Initiative on Urban Governance for Health and Well-being. Geneva: World Health Organization; (n.d.) [Accessed 2024 Mar 21]. Available from: https://www.who.int/initiatives/urban-governance-for-health-and-well-being/work-in-cities-mexico-city-mexico
[2] Gaceta Oficial de la Ciudad de México. Lineamientos de Operación de la Acción Social denominada, Salud en tu vida, salud para el Bienestar [Operation Guidelines of the Social Action called, Health in your life, health for Well-being]. Mexico City: Gobierno de la Ciudad de México; 2022 [Accessed 2024 Mar 21]. Available from: https://www.salud.cdmx.gob.mx/storage/app/uploads/public/61f/366/92c/61f36692c2c4b604649313.pdf
[3] Gobierno de la Ciudad de México. Salud en tu vida, salud para el bien estar [Health in your life, health for well-being]. Mexico City: Gobierno de la Ciudad de México; (n.d.) [Accessed 2024 Mar 21]. Available from: https://saludentuvida.cdmx.gob.mx/</t>
  </si>
  <si>
    <t>[1] Federal Research Institute for Health Organization and Informatics of Ministry of Health of the Russian Federation. Health education in the service area. Moscow: Federal Research Institute for Health Organization and Informatics of Ministry of Health of the Russian Federation. [Accessed 12 March 2024]. Available from: https://old.mednet.ru/ru/zdorovyj-obraz-zhizni/sanitarno-prosvetitelskaya-deyatelnost/sanitarnoe-prosveshhenie-na-obsluzhivaemoj-territorii.html
[2] Moscow Department of Health. Moscow: Moscow Department of Health. [Accessed 20 March 2024]. Available from: https://mosgorzdrav.ru/
[3] Obshee Delo. Saint Petersburg: Obshee Delo. [Accessed 20 March 2024]. Available from: https://общее-дело.рф/about/</t>
  </si>
  <si>
    <t>[1] Ministry of Health and Family Welfare Government of India. National Programme for Prevention and Control of Cancer, Diabetes, Cardiovascular Diseases and Stroke (NPCDCS). New Delhi. Ministry of Health and Family Welfare Government of India. 2017. Available from: https://main.mohfw.gov.in/?q=Major-Programmes/non-communicable-diseases-injury-trauma/Non-Communicable-Disease-II/National-Programme-for-Prevention-and-Control-of-Cancer-Diabetes-Cardiovascular-diseases-and-Stroke-NPCDCS 
[2] Eshan Kalyanikar. A look inside BMC's non communicable disease screening centres. Mumbai. Citizen Matters. 2022. Available from: https://citizenmatters.in/bmc-mumbai-non-communicable-disease-centres-sion-hospital-nair-hospital/
[3] Health Department. Mumbai. Brihanmumbai Municipal Corporation.2016. Available from: https://portal.mcgm.gov.in/irj/portal/anonymous/qltabmohlic
[4] Mumbai First and Praja Foundation. Mumbai Public Health Manifesto. Mumbai. Praja Org and Mumbai First. 2021. Available from: https://mumbaifirst.org/wp-content/uploads/2021/12/Key-Highlights-for-Mumbai-Health-Manifesto.pdf</t>
  </si>
  <si>
    <t>[1] Ministry of Health. Nairobi: Ministry of Health, 2024. Available from: https://www.health.go.ke.
[2] Nairobi City County. Nairobi: Nairobi City Council, 2024. Available from: https://nairobi.go.ke/
[3] Unesco. Making every school a health-promoting school in Kenya. Unesco, 2023. Available from: https://www.unesco.org/en/articles/making-every-school-health-promoting-school-kenya
[4] World Friends. Educazione sanitaria nelle scuole di Nairobi. World Friends, 2024. Available from: https://world-friends.it/kenya/sul-territorio/educazione-sanitaria-nelle-scuole-di-nairobi/</t>
  </si>
  <si>
    <t>[1] NYC Health. Healthy NYC New York City's Campaign for Healthier, Longer Lives. New York City. NYC Health.2024. Available from: https://www.nyc.gov/assets/doh/downloads/pdf/about/healthynyc.pdf 
[2] Pandemic Response Institute. Prepare Recover Invest. New York City. PRI.2024. Available from: https://pandemicresponse.columbia.edu/</t>
  </si>
  <si>
    <t>[1] Health Sciences Council, Ministry of Health, Labour and Welfare. Toward Health Japan 21 (Third Term) . Tokyo: Ministry of Health, Labour and Welfare; May 2023. Available from: https://www.mhlw.go.jp/content/001158870.pdf
[2] Osaka Prefecture. Osaka Wellness Action. Osaka: Osaka Prefecture. Available from: https://kenkatsu10.jp/
[3] Osaka Prefecture. Osaka Wellness Action: Events. Osaka:Osaka Prefecture. Available from: https://osaka.kenkatsu10.jp/event/</t>
  </si>
  <si>
    <t>[1] Isabelle Durand-Zaleski, AP-HP and Université Paris-Est. International Health Care System Profiles: France. The Commonwealth Fund, New York, 5 June 2020. Available from: https://www.commonwealthfund.org/international-health-policy-center/countries/france
[2] ARS Île-de-France.Agir pour la santé des Franciliens: Plan d'action 2023-2028 (Acting for the health of Ile-de-France residents: Action Plan 2023-2028). Paris, 2023. Available from: https://www.iledefrance.ars.sante.fr/media/116122/download?inline
[3] City of Paris (Ville de Paris). Directorate of Public Health (Direction de la Santé Publique--DSP). Santé (Health). Paris, 2024. Available from: https://www.paris.fr/sante 
[4] Crips Île-de-France. Website. fParis, 2024. Available from: https://www.lecrips-idf.net/en</t>
  </si>
  <si>
    <t>[1] NCD Alliance. Cambodian NCD Alliance. Geneva: NCD Alliance. [Accessed 3 April 2024]. Available from: https://ncdalliance.org/cambodian-ncd-alliance.
[2] Ministry of Health. The Official Website of the Ministry of Health. Phnom Penh: Ministry of Health. [Accessed 7 March 2024]. Available from: https://moh.gov.kh/?lang=en#.
[3] Ministry of Health. National Multisectoral Action Plan for the Prevention and Control of Noncommunicable Diseases 2018 - 2027. Phnom Penh: Ministry of Health; 2018[ Accessed 24 March 2024]. Available from: https://moh.gov.kh/content/uploads/2017/05/NMAP-NCD_-13-06-2018-Signed_En.pdf.
[4] Global Green Growth Initiative (GGGI). Phnom Penh Sustainable City Plan 2018 - 2030. Phnom Penh: GGGI; 2019[ Accessed 7 March 2024]. Available from: https://gggi.org/wp-content/uploads/2019/06/SUBSTAINABLE-CITY-REPORT_EN_FA3.pdf.
[5] Phnom Penh Capital Hall. The official website of Phnom Penh Capital Hall. Phnom Penh: Phnom Penh Capital Hall. [Accessed 7 March 2024]. Available from: https://phnompenh.gov.kh/en. 
[6] NCHP. The Official Website of NCHP. Phnom Penh: NCHP. [Accessed 7 March 2024]. Available from: https://nchp.gov.kh.
[7] NCHP. Strengthening Risk Communication on COVID-19. Phnom Penh: NCHP; 2021[ Accessed 7 March 2024]. Available from: https://nchp.gov.kh/detail/covid19-risk-comm.
[8] Khmer Times. USAID and partners launch Behavior Change Campaign to advance development of young children. Phnom Penh: Khmer Times; 2023[Accessed 7 March 2024]. Available from: https://www.khmertimeskh.com/501267576/usaid-and-partners-launch-behavior-change-campaign-to-advance-development-of-young-children/.
[9] USAID. "Grow Together" Campaign in Cambodia: A Game-changer for Children's Healthy Growth. Washington DC: USAID; 2018[ Accessed 7 March 2024]. Available from: https://www.advancingnutrition.org/resources/grow-together-campaign-cambodia-game-changer-childrens-healthy-growth.
[10] Sivapragasam N, Matchar D B, Chhoun P, Kol H, Loun C, Islam A M, Ansah J &amp; Yi S. Developing a toolkit for implementing evidence-based guidelines to manage hypertension and diabetes in Cambodia: a descriptive case study; 2022[ Accessed 24 March 2024]. Available from: https://health-policy-systems.biomedcentral.com/articles/10.1186/s12961-022-00912-4#ref-CR9.</t>
  </si>
  <si>
    <t>[1] The Civil Association for Health Awareness. Riyadh: The Civil Association for Health Awareness. [Accessed 2 March 2024]. Available from: https://hayatona.org.sa/عن-حياتنا/
[2] Al-Hazzaa H, Al-Marzooqi M A. Descriptive Analysis of Physical Activity Initiatives for Health Promotion in Saudi Arabia. Front Public Health. 2018; 6: 329. Available from: https://www.ncbi.nlm.nih.gov/pmc/articles/pmid/30488032/
[3] Ministry of Health. Riyadh: Ministry of Health. [Accessed 2 March 2024]. Available from: https://www.moh.gov.sa/en/Pages/default.aspx
[4] Royal Commission for Riyadh City. Riyadh: Royal Commission for Riyadh City. [Accessed 2 March 2024]. Available from: https://www.rcrc.gov.sa/en/</t>
  </si>
  <si>
    <t>[1] Donatini, A. International Health Care System Profiles Italy. The Commonwealth Fund, New York, 5 June 2020. Available from: https://www.commonwealthfund.org/international-health-policy-center/countries/italy
[2] Region of Lazio (Regione Lazio). Piano Regionale della Prevenzione 2021-2025 (Regional Prevention Plan 2021-2025). Rome, December 2021. Available from: https://www.salute.gov.it/portale/prevenzione/DELIBERE_PRP_2020-2025/Lazio/DGR_970_del_2021_e_PRP_2021-2025.pdf
[3] Region of Lazio (Regione Lazio). Regional Health System (Sistema Sanitario Regionale) ASL Roma 4. Piano Regionale della Prevenzione 2021-2025 (Regional Prevention Plan 2021-2025). Rome, 2024. Available from: https://www.aslroma4.it/azienda/dipartimenti/dipartimento-di-prevenzione/piano-regionale-della-prevenzione-2021-2025
[4] Galli, Gabriella. Promozione della salute: il Vademecum della Regione Lazio (Health promotion: the Vademecum of the Lazio Region). RepertorioSalute, Rome, 11 February 2024. Available from: https://www.repertoriosalute.it/promozione-della-salute-il-vademecum-della-regione-lazio/
[5] Region of Lazio (Regione Lazio). Regional Health System (Sistema Sanitario Regionale) ASL Roma 4. ASL Roma 4 e ADICIV insieme per Promuovere Prevenzione e Corretti Stili di Vita (ASL Roma 4 and ADICIV Together to Promote Prevention and Correct Lifestyles). Rome, 23 June 2023. Available from: https://www.aslroma4.it/news/asl-roma-4-e-adiciv-insieme-per-promuovere-prevenzione-e-corretti-stili-di-vita-1296</t>
  </si>
  <si>
    <t>[1] San Francisco Department of Public Health. Department of Public Health - Community Health Improvement Plan (CHIP) [Internet]. City and County of San Francisco; 2014 [Accessed 2024 Mar 20]. Available from: https://www.sfdph.org/dph/comupg/knowlcol/chip/default.asp
[2] San Francisco Health Improvement Partnership. Mission &amp; Approach – SFHIP [Internet]. San Francisco Health Improvement Partnership; 2022 [Accessed 2024 Mar 20]. Available from: https://sfhip.org/about-us/mission-approach/
[3] Chu P. The San Francisco Community Health Improvement Plan (CHIP) [Internet]. SFDPH, Population Health Division; 2021 Apr [Accessed 2024 Mar 20]. Available from: https://www.sf.gov/sites/default/files/2021-04/CHIP%20ppt%20to%20PH%20Committee%20of%20HC%202021-04-20.pdf</t>
  </si>
  <si>
    <t>[1] Shanghai Health Promotion Committee. Healthy Shanghai Action (2019-2030) [健康上海行动（2019-2030年）]. Shanghai: Shanghai Health Promotion Committee, 2019. Available from: https://www.shanghai.gov.cn/nw12344/20200813/0001-12344_62691.html
[2] The Paper via 163 Wangyi Hao. Three years of the implementation of the Healthy Shanghai Action: "National first" in ten major areas; 20 indicators met the standards ahead of schedule [健康上海行动实施三周年：十大领域全国率先, 20项指标提前达标]. Shanghai: The Paper. [29 August 2022]. Available from: https://www.163.com/dy/article/HFUFUM0D0514R9P4.html</t>
  </si>
  <si>
    <t>[1] Sydney North Health Network. Youth Health. Sydney: Sydney North Health Network; 2024. Available from: https://sydneynorthhealthnetwork.org.au/youth-health/.
[2] Nutrition Australia. NSW Health Programs. Sydney: Nutrition Australia; 2020. Available from: https://nutritionaustralia.org/division/nsw/nsw-health-programs/.
[3] New South Wales Government Department of Health. Health Promotion Program. Sydney: South Eastern Sydney Local Health District; 2023. Available from: https://www.seslhd.health.nsw.gov.au/services-clinics/directory/seslhd-non-government-organisation-ngo-program/health-promotion-program.</t>
  </si>
  <si>
    <t>[1] Ministry of Health, Labour and Welfare. Toward Health Japan 21 (Third Term). Tokyo: Ministry of Health, Labour and Welfare. Available from: https://www.mhlw.go.jp/content/001158870.pdf
[2] Bureau of Public Health. Tokyo Metropolitan Government. Tokyo Health Promotion Plan 21. Tokyo: Tokyo Metropolitan Government. Available from: https://www.hokeniryo.metro.tokyo.lg.jp/kensui/plan21/
[3] National Hospital Organization Tokyo National Hospital. Public Seminars. Tokyo: National Hospital Organization Tokyo National Hospital. Available from: https://tokyo-hp.hosp.go.jp/demaekouza.html
[4] The Japan Preventive Association of Lifestyle-related Disease. Lifestyle-related Disease Prevention Month. Tokyo: The Japan Preventive Association of Lifestyle-related Disease; December 2023. Available from: https://seikatsusyukanbyo.com/calendar/2023/010742.php</t>
  </si>
  <si>
    <t>[1] City of Vienna. Topic "Health promotion". Vienna: City of Vienna. [Accessed 21 March 2024]. Available from: https://www.wien.gv.at/sozialinfo/content/en/10/SearchResults.do?keyword=Health+promotion
[2] City of Vienna. Community Nursing. Vienna: City of Vienna. [Accessed 21 March 2024]. Available from: https://www.community-nursing.wien/
[3] Neighborhood Centers. Advice. Vienna: City of Vienna. [Accessed 21 March 2024]. Available from: https://www.nachbarschaftszentren.at/beratung</t>
  </si>
  <si>
    <t>[1] Wuhan Qiaokou Government. Promote the "323" campaign to protect people's health [推进"323"攻坚行动，守护人民健康]. Wuhan: Wuhan Qiaokou Government. [24 November 2023, Accessed 6 March 2024]. Available from: https://www.qiaokou.gov.cn/qkxw/bmdt/202311/t20231124_2307007.shtml
[2] Wuhan Municipal Health Commission. Wuhan Health Science Popularization Resource Base [武汉市健康科普资源库]. Wuhan: Wuhan Municipal Health Commission. [Accessed 6 March 2024]. Available from: https://jkkpzyk.whcdc.org/list/1.html
[3] Wuhan Center for Disease Control and Prevention. [Video] Public Service Announcement on High Blood Pressure. [【视频】公益广告之高血压篇]. Wuhan: Wuhan Health Science Popularization Resource Base. [11 July 2023, Accessed 6 March 2024]. Available from: https://jkkpzyk.whcdc.org/view/21040.html</t>
  </si>
  <si>
    <t>[1] Ministry of Health and Sports. Publications, Reports, Presentations &amp; Documents. Naypyidaw: Ministry of Health and Sports. [Accessed 27 March 2024]. Available from: https://mohs.gov.mm/Main/content/publication/list?pagenumber=1&amp;pagesize=9
[2] Visikon ApS. Diabetes Guide. Google Play. [Accessed 27 March 2024]. Available from: https://play.google.com/store/apps/details?id=com.visikon.diabetesguide&amp;hl=ln
[3] Than T et al. The Republic of the Union of Myanmar Health System Review. Geneva: World Health Organisation. [17 July 2014; Accessed 27 March 2024]. Available from: https://apo.who.int/publications/i/item/9789290616665</t>
  </si>
  <si>
    <t>v1.0</t>
  </si>
  <si>
    <t>NO</t>
  </si>
  <si>
    <r>
      <t xml:space="preserve">Hong Kong </t>
    </r>
    <r>
      <rPr>
        <sz val="10"/>
        <color rgb="FF888888"/>
        <rFont val="Calibri"/>
        <family val="2"/>
        <scheme val="minor"/>
      </rPr>
      <t>•</t>
    </r>
    <r>
      <rPr>
        <sz val="10"/>
        <color indexed="32"/>
        <rFont val="Calibri"/>
        <family val="2"/>
        <scheme val="minor"/>
      </rPr>
      <t xml:space="preserve"> London</t>
    </r>
  </si>
  <si>
    <r>
      <t xml:space="preserve">Atlanta </t>
    </r>
    <r>
      <rPr>
        <sz val="10"/>
        <color rgb="FF888888"/>
        <rFont val="Calibri"/>
        <family val="2"/>
        <scheme val="minor"/>
      </rPr>
      <t>•</t>
    </r>
    <r>
      <rPr>
        <sz val="10"/>
        <color indexed="32"/>
        <rFont val="Calibri"/>
        <family val="2"/>
        <scheme val="minor"/>
      </rPr>
      <t xml:space="preserve"> Auckland </t>
    </r>
    <r>
      <rPr>
        <sz val="10"/>
        <color rgb="FF888888"/>
        <rFont val="Calibri"/>
        <family val="2"/>
        <scheme val="minor"/>
      </rPr>
      <t>•</t>
    </r>
    <r>
      <rPr>
        <sz val="10"/>
        <color indexed="32"/>
        <rFont val="Calibri"/>
        <family val="2"/>
        <scheme val="minor"/>
      </rPr>
      <t xml:space="preserve"> Bangkok </t>
    </r>
    <r>
      <rPr>
        <sz val="10"/>
        <color rgb="FF888888"/>
        <rFont val="Calibri"/>
        <family val="2"/>
        <scheme val="minor"/>
      </rPr>
      <t>•</t>
    </r>
    <r>
      <rPr>
        <sz val="10"/>
        <color indexed="32"/>
        <rFont val="Calibri"/>
        <family val="2"/>
        <scheme val="minor"/>
      </rPr>
      <t xml:space="preserve"> Beijing </t>
    </r>
    <r>
      <rPr>
        <sz val="10"/>
        <color rgb="FF888888"/>
        <rFont val="Calibri"/>
        <family val="2"/>
        <scheme val="minor"/>
      </rPr>
      <t>•</t>
    </r>
    <r>
      <rPr>
        <sz val="10"/>
        <color indexed="32"/>
        <rFont val="Calibri"/>
        <family val="2"/>
        <scheme val="minor"/>
      </rPr>
      <t xml:space="preserve"> Berlin </t>
    </r>
    <r>
      <rPr>
        <sz val="10"/>
        <color rgb="FF888888"/>
        <rFont val="Calibri"/>
        <family val="2"/>
        <scheme val="minor"/>
      </rPr>
      <t>•</t>
    </r>
    <r>
      <rPr>
        <sz val="10"/>
        <color indexed="32"/>
        <rFont val="Calibri"/>
        <family val="2"/>
        <scheme val="minor"/>
      </rPr>
      <t xml:space="preserve"> Bogotá </t>
    </r>
    <r>
      <rPr>
        <sz val="10"/>
        <color rgb="FF888888"/>
        <rFont val="Calibri"/>
        <family val="2"/>
        <scheme val="minor"/>
      </rPr>
      <t>•</t>
    </r>
    <r>
      <rPr>
        <sz val="10"/>
        <color indexed="32"/>
        <rFont val="Calibri"/>
        <family val="2"/>
        <scheme val="minor"/>
      </rPr>
      <t xml:space="preserve"> Budapest </t>
    </r>
    <r>
      <rPr>
        <sz val="10"/>
        <color rgb="FF888888"/>
        <rFont val="Calibri"/>
        <family val="2"/>
        <scheme val="minor"/>
      </rPr>
      <t>•</t>
    </r>
    <r>
      <rPr>
        <sz val="10"/>
        <color indexed="32"/>
        <rFont val="Calibri"/>
        <family val="2"/>
        <scheme val="minor"/>
      </rPr>
      <t xml:space="preserve"> Dubai </t>
    </r>
    <r>
      <rPr>
        <sz val="10"/>
        <color rgb="FF888888"/>
        <rFont val="Calibri"/>
        <family val="2"/>
        <scheme val="minor"/>
      </rPr>
      <t>•</t>
    </r>
    <r>
      <rPr>
        <sz val="10"/>
        <color indexed="32"/>
        <rFont val="Calibri"/>
        <family val="2"/>
        <scheme val="minor"/>
      </rPr>
      <t xml:space="preserve"> Helsinki </t>
    </r>
    <r>
      <rPr>
        <sz val="10"/>
        <color rgb="FF888888"/>
        <rFont val="Calibri"/>
        <family val="2"/>
        <scheme val="minor"/>
      </rPr>
      <t>•</t>
    </r>
    <r>
      <rPr>
        <sz val="10"/>
        <color indexed="32"/>
        <rFont val="Calibri"/>
        <family val="2"/>
        <scheme val="minor"/>
      </rPr>
      <t xml:space="preserve"> Ho Chi Minh City </t>
    </r>
    <r>
      <rPr>
        <sz val="10"/>
        <color rgb="FF888888"/>
        <rFont val="Calibri"/>
        <family val="2"/>
        <scheme val="minor"/>
      </rPr>
      <t>•</t>
    </r>
    <r>
      <rPr>
        <sz val="10"/>
        <color indexed="32"/>
        <rFont val="Calibri"/>
        <family val="2"/>
        <scheme val="minor"/>
      </rPr>
      <t xml:space="preserve"> Istanbul </t>
    </r>
    <r>
      <rPr>
        <sz val="10"/>
        <color rgb="FF888888"/>
        <rFont val="Calibri"/>
        <family val="2"/>
        <scheme val="minor"/>
      </rPr>
      <t>•</t>
    </r>
    <r>
      <rPr>
        <sz val="10"/>
        <color indexed="32"/>
        <rFont val="Calibri"/>
        <family val="2"/>
        <scheme val="minor"/>
      </rPr>
      <t xml:space="preserve"> Jakarta </t>
    </r>
    <r>
      <rPr>
        <sz val="10"/>
        <color rgb="FF888888"/>
        <rFont val="Calibri"/>
        <family val="2"/>
        <scheme val="minor"/>
      </rPr>
      <t>•</t>
    </r>
    <r>
      <rPr>
        <sz val="10"/>
        <color indexed="32"/>
        <rFont val="Calibri"/>
        <family val="2"/>
        <scheme val="minor"/>
      </rPr>
      <t xml:space="preserve"> Madrid </t>
    </r>
    <r>
      <rPr>
        <sz val="10"/>
        <color rgb="FF888888"/>
        <rFont val="Calibri"/>
        <family val="2"/>
        <scheme val="minor"/>
      </rPr>
      <t>•</t>
    </r>
    <r>
      <rPr>
        <sz val="10"/>
        <color indexed="32"/>
        <rFont val="Calibri"/>
        <family val="2"/>
        <scheme val="minor"/>
      </rPr>
      <t xml:space="preserve"> Melbourne </t>
    </r>
    <r>
      <rPr>
        <sz val="10"/>
        <color rgb="FF888888"/>
        <rFont val="Calibri"/>
        <family val="2"/>
        <scheme val="minor"/>
      </rPr>
      <t>•</t>
    </r>
    <r>
      <rPr>
        <sz val="10"/>
        <color indexed="32"/>
        <rFont val="Calibri"/>
        <family val="2"/>
        <scheme val="minor"/>
      </rPr>
      <t xml:space="preserve"> Mexico City </t>
    </r>
    <r>
      <rPr>
        <sz val="10"/>
        <color rgb="FF888888"/>
        <rFont val="Calibri"/>
        <family val="2"/>
        <scheme val="minor"/>
      </rPr>
      <t>•</t>
    </r>
    <r>
      <rPr>
        <sz val="10"/>
        <color indexed="32"/>
        <rFont val="Calibri"/>
        <family val="2"/>
        <scheme val="minor"/>
      </rPr>
      <t xml:space="preserve"> Moscow </t>
    </r>
    <r>
      <rPr>
        <sz val="10"/>
        <color rgb="FF888888"/>
        <rFont val="Calibri"/>
        <family val="2"/>
        <scheme val="minor"/>
      </rPr>
      <t>•</t>
    </r>
    <r>
      <rPr>
        <sz val="10"/>
        <color indexed="32"/>
        <rFont val="Calibri"/>
        <family val="2"/>
        <scheme val="minor"/>
      </rPr>
      <t xml:space="preserve"> New York City </t>
    </r>
    <r>
      <rPr>
        <sz val="10"/>
        <color rgb="FF888888"/>
        <rFont val="Calibri"/>
        <family val="2"/>
        <scheme val="minor"/>
      </rPr>
      <t>•</t>
    </r>
    <r>
      <rPr>
        <sz val="10"/>
        <color indexed="32"/>
        <rFont val="Calibri"/>
        <family val="2"/>
        <scheme val="minor"/>
      </rPr>
      <t xml:space="preserve"> Osaka </t>
    </r>
    <r>
      <rPr>
        <sz val="10"/>
        <color rgb="FF888888"/>
        <rFont val="Calibri"/>
        <family val="2"/>
        <scheme val="minor"/>
      </rPr>
      <t>•</t>
    </r>
    <r>
      <rPr>
        <sz val="10"/>
        <color indexed="32"/>
        <rFont val="Calibri"/>
        <family val="2"/>
        <scheme val="minor"/>
      </rPr>
      <t xml:space="preserve"> Paris </t>
    </r>
    <r>
      <rPr>
        <sz val="10"/>
        <color rgb="FF888888"/>
        <rFont val="Calibri"/>
        <family val="2"/>
        <scheme val="minor"/>
      </rPr>
      <t>•</t>
    </r>
    <r>
      <rPr>
        <sz val="10"/>
        <color indexed="32"/>
        <rFont val="Calibri"/>
        <family val="2"/>
        <scheme val="minor"/>
      </rPr>
      <t xml:space="preserve"> Rome </t>
    </r>
    <r>
      <rPr>
        <sz val="10"/>
        <color rgb="FF888888"/>
        <rFont val="Calibri"/>
        <family val="2"/>
        <scheme val="minor"/>
      </rPr>
      <t>•</t>
    </r>
    <r>
      <rPr>
        <sz val="10"/>
        <color indexed="32"/>
        <rFont val="Calibri"/>
        <family val="2"/>
        <scheme val="minor"/>
      </rPr>
      <t xml:space="preserve"> San Francisco </t>
    </r>
    <r>
      <rPr>
        <sz val="10"/>
        <color rgb="FF888888"/>
        <rFont val="Calibri"/>
        <family val="2"/>
        <scheme val="minor"/>
      </rPr>
      <t>•</t>
    </r>
    <r>
      <rPr>
        <sz val="10"/>
        <color indexed="32"/>
        <rFont val="Calibri"/>
        <family val="2"/>
        <scheme val="minor"/>
      </rPr>
      <t xml:space="preserve"> São Paulo </t>
    </r>
    <r>
      <rPr>
        <sz val="10"/>
        <color rgb="FF888888"/>
        <rFont val="Calibri"/>
        <family val="2"/>
        <scheme val="minor"/>
      </rPr>
      <t>•</t>
    </r>
    <r>
      <rPr>
        <sz val="10"/>
        <color indexed="32"/>
        <rFont val="Calibri"/>
        <family val="2"/>
        <scheme val="minor"/>
      </rPr>
      <t xml:space="preserve"> Seoul </t>
    </r>
    <r>
      <rPr>
        <sz val="10"/>
        <color rgb="FF888888"/>
        <rFont val="Calibri"/>
        <family val="2"/>
        <scheme val="minor"/>
      </rPr>
      <t>•</t>
    </r>
    <r>
      <rPr>
        <sz val="10"/>
        <color indexed="32"/>
        <rFont val="Calibri"/>
        <family val="2"/>
        <scheme val="minor"/>
      </rPr>
      <t xml:space="preserve"> Shanghai </t>
    </r>
    <r>
      <rPr>
        <sz val="10"/>
        <color rgb="FF888888"/>
        <rFont val="Calibri"/>
        <family val="2"/>
        <scheme val="minor"/>
      </rPr>
      <t>•</t>
    </r>
    <r>
      <rPr>
        <sz val="10"/>
        <color indexed="32"/>
        <rFont val="Calibri"/>
        <family val="2"/>
        <scheme val="minor"/>
      </rPr>
      <t xml:space="preserve"> Singapore </t>
    </r>
    <r>
      <rPr>
        <sz val="10"/>
        <color rgb="FF888888"/>
        <rFont val="Calibri"/>
        <family val="2"/>
        <scheme val="minor"/>
      </rPr>
      <t>•</t>
    </r>
    <r>
      <rPr>
        <sz val="10"/>
        <color indexed="32"/>
        <rFont val="Calibri"/>
        <family val="2"/>
        <scheme val="minor"/>
      </rPr>
      <t xml:space="preserve"> Sydney </t>
    </r>
    <r>
      <rPr>
        <sz val="10"/>
        <color rgb="FF888888"/>
        <rFont val="Calibri"/>
        <family val="2"/>
        <scheme val="minor"/>
      </rPr>
      <t>•</t>
    </r>
    <r>
      <rPr>
        <sz val="10"/>
        <color indexed="32"/>
        <rFont val="Calibri"/>
        <family val="2"/>
        <scheme val="minor"/>
      </rPr>
      <t xml:space="preserve"> Tokyo </t>
    </r>
    <r>
      <rPr>
        <sz val="10"/>
        <color rgb="FF888888"/>
        <rFont val="Calibri"/>
        <family val="2"/>
        <scheme val="minor"/>
      </rPr>
      <t>•</t>
    </r>
    <r>
      <rPr>
        <sz val="10"/>
        <color indexed="32"/>
        <rFont val="Calibri"/>
        <family val="2"/>
        <scheme val="minor"/>
      </rPr>
      <t xml:space="preserve"> Toronto </t>
    </r>
    <r>
      <rPr>
        <sz val="10"/>
        <color rgb="FF888888"/>
        <rFont val="Calibri"/>
        <family val="2"/>
        <scheme val="minor"/>
      </rPr>
      <t>•</t>
    </r>
    <r>
      <rPr>
        <sz val="10"/>
        <color indexed="32"/>
        <rFont val="Calibri"/>
        <family val="2"/>
        <scheme val="minor"/>
      </rPr>
      <t xml:space="preserve"> Vienna</t>
    </r>
  </si>
  <si>
    <r>
      <t xml:space="preserve">Addis Ababa </t>
    </r>
    <r>
      <rPr>
        <sz val="10"/>
        <color rgb="FF888888"/>
        <rFont val="Calibri"/>
        <family val="2"/>
        <scheme val="minor"/>
      </rPr>
      <t>•</t>
    </r>
    <r>
      <rPr>
        <sz val="10"/>
        <color indexed="32"/>
        <rFont val="Calibri"/>
        <family val="2"/>
        <scheme val="minor"/>
      </rPr>
      <t xml:space="preserve"> Algiers </t>
    </r>
    <r>
      <rPr>
        <sz val="10"/>
        <color rgb="FF888888"/>
        <rFont val="Calibri"/>
        <family val="2"/>
        <scheme val="minor"/>
      </rPr>
      <t>•</t>
    </r>
    <r>
      <rPr>
        <sz val="10"/>
        <color indexed="32"/>
        <rFont val="Calibri"/>
        <family val="2"/>
        <scheme val="minor"/>
      </rPr>
      <t xml:space="preserve"> Cairo </t>
    </r>
    <r>
      <rPr>
        <sz val="10"/>
        <color rgb="FF888888"/>
        <rFont val="Calibri"/>
        <family val="2"/>
        <scheme val="minor"/>
      </rPr>
      <t>•</t>
    </r>
    <r>
      <rPr>
        <sz val="10"/>
        <color indexed="32"/>
        <rFont val="Calibri"/>
        <family val="2"/>
        <scheme val="minor"/>
      </rPr>
      <t xml:space="preserve"> Colombo </t>
    </r>
    <r>
      <rPr>
        <sz val="10"/>
        <color rgb="FF888888"/>
        <rFont val="Calibri"/>
        <family val="2"/>
        <scheme val="minor"/>
      </rPr>
      <t>•</t>
    </r>
    <r>
      <rPr>
        <sz val="10"/>
        <color indexed="32"/>
        <rFont val="Calibri"/>
        <family val="2"/>
        <scheme val="minor"/>
      </rPr>
      <t xml:space="preserve"> Delhi </t>
    </r>
    <r>
      <rPr>
        <sz val="10"/>
        <color rgb="FF888888"/>
        <rFont val="Calibri"/>
        <family val="2"/>
        <scheme val="minor"/>
      </rPr>
      <t>•</t>
    </r>
    <r>
      <rPr>
        <sz val="10"/>
        <color indexed="32"/>
        <rFont val="Calibri"/>
        <family val="2"/>
        <scheme val="minor"/>
      </rPr>
      <t xml:space="preserve"> Dhaka </t>
    </r>
    <r>
      <rPr>
        <sz val="10"/>
        <color rgb="FF888888"/>
        <rFont val="Calibri"/>
        <family val="2"/>
        <scheme val="minor"/>
      </rPr>
      <t>•</t>
    </r>
    <r>
      <rPr>
        <sz val="10"/>
        <color indexed="32"/>
        <rFont val="Calibri"/>
        <family val="2"/>
        <scheme val="minor"/>
      </rPr>
      <t xml:space="preserve"> Johannesburg </t>
    </r>
    <r>
      <rPr>
        <sz val="10"/>
        <color rgb="FF888888"/>
        <rFont val="Calibri"/>
        <family val="2"/>
        <scheme val="minor"/>
      </rPr>
      <t>•</t>
    </r>
    <r>
      <rPr>
        <sz val="10"/>
        <color indexed="32"/>
        <rFont val="Calibri"/>
        <family val="2"/>
        <scheme val="minor"/>
      </rPr>
      <t xml:space="preserve"> Karachi </t>
    </r>
    <r>
      <rPr>
        <sz val="10"/>
        <color rgb="FF888888"/>
        <rFont val="Calibri"/>
        <family val="2"/>
        <scheme val="minor"/>
      </rPr>
      <t>•</t>
    </r>
    <r>
      <rPr>
        <sz val="10"/>
        <color indexed="32"/>
        <rFont val="Calibri"/>
        <family val="2"/>
        <scheme val="minor"/>
      </rPr>
      <t xml:space="preserve"> Kathmandu </t>
    </r>
    <r>
      <rPr>
        <sz val="10"/>
        <color rgb="FF888888"/>
        <rFont val="Calibri"/>
        <family val="2"/>
        <scheme val="minor"/>
      </rPr>
      <t>•</t>
    </r>
    <r>
      <rPr>
        <sz val="10"/>
        <color indexed="32"/>
        <rFont val="Calibri"/>
        <family val="2"/>
        <scheme val="minor"/>
      </rPr>
      <t xml:space="preserve"> Kolkata </t>
    </r>
    <r>
      <rPr>
        <sz val="10"/>
        <color rgb="FF888888"/>
        <rFont val="Calibri"/>
        <family val="2"/>
        <scheme val="minor"/>
      </rPr>
      <t>•</t>
    </r>
    <r>
      <rPr>
        <sz val="10"/>
        <color indexed="32"/>
        <rFont val="Calibri"/>
        <family val="2"/>
        <scheme val="minor"/>
      </rPr>
      <t xml:space="preserve"> Kuwait City </t>
    </r>
    <r>
      <rPr>
        <sz val="10"/>
        <color rgb="FF888888"/>
        <rFont val="Calibri"/>
        <family val="2"/>
        <scheme val="minor"/>
      </rPr>
      <t>•</t>
    </r>
    <r>
      <rPr>
        <sz val="10"/>
        <color indexed="32"/>
        <rFont val="Calibri"/>
        <family val="2"/>
        <scheme val="minor"/>
      </rPr>
      <t xml:space="preserve"> Lagos </t>
    </r>
    <r>
      <rPr>
        <sz val="10"/>
        <color rgb="FF888888"/>
        <rFont val="Calibri"/>
        <family val="2"/>
        <scheme val="minor"/>
      </rPr>
      <t>•</t>
    </r>
    <r>
      <rPr>
        <sz val="10"/>
        <color indexed="32"/>
        <rFont val="Calibri"/>
        <family val="2"/>
        <scheme val="minor"/>
      </rPr>
      <t xml:space="preserve"> Manila </t>
    </r>
    <r>
      <rPr>
        <sz val="10"/>
        <color rgb="FF888888"/>
        <rFont val="Calibri"/>
        <family val="2"/>
        <scheme val="minor"/>
      </rPr>
      <t>•</t>
    </r>
    <r>
      <rPr>
        <sz val="10"/>
        <color indexed="32"/>
        <rFont val="Calibri"/>
        <family val="2"/>
        <scheme val="minor"/>
      </rPr>
      <t xml:space="preserve"> Mumbai </t>
    </r>
    <r>
      <rPr>
        <sz val="10"/>
        <color rgb="FF888888"/>
        <rFont val="Calibri"/>
        <family val="2"/>
        <scheme val="minor"/>
      </rPr>
      <t>•</t>
    </r>
    <r>
      <rPr>
        <sz val="10"/>
        <color indexed="32"/>
        <rFont val="Calibri"/>
        <family val="2"/>
        <scheme val="minor"/>
      </rPr>
      <t xml:space="preserve"> Nairobi </t>
    </r>
    <r>
      <rPr>
        <sz val="10"/>
        <color rgb="FF888888"/>
        <rFont val="Calibri"/>
        <family val="2"/>
        <scheme val="minor"/>
      </rPr>
      <t>•</t>
    </r>
    <r>
      <rPr>
        <sz val="10"/>
        <color indexed="32"/>
        <rFont val="Calibri"/>
        <family val="2"/>
        <scheme val="minor"/>
      </rPr>
      <t xml:space="preserve"> Phnom Penh </t>
    </r>
    <r>
      <rPr>
        <sz val="10"/>
        <color rgb="FF888888"/>
        <rFont val="Calibri"/>
        <family val="2"/>
        <scheme val="minor"/>
      </rPr>
      <t>•</t>
    </r>
    <r>
      <rPr>
        <sz val="10"/>
        <color indexed="32"/>
        <rFont val="Calibri"/>
        <family val="2"/>
        <scheme val="minor"/>
      </rPr>
      <t xml:space="preserve"> Riyadh </t>
    </r>
    <r>
      <rPr>
        <sz val="10"/>
        <color rgb="FF888888"/>
        <rFont val="Calibri"/>
        <family val="2"/>
        <scheme val="minor"/>
      </rPr>
      <t>•</t>
    </r>
    <r>
      <rPr>
        <sz val="10"/>
        <color indexed="32"/>
        <rFont val="Calibri"/>
        <family val="2"/>
        <scheme val="minor"/>
      </rPr>
      <t xml:space="preserve"> Wuhan </t>
    </r>
    <r>
      <rPr>
        <sz val="10"/>
        <color rgb="FF888888"/>
        <rFont val="Calibri"/>
        <family val="2"/>
        <scheme val="minor"/>
      </rPr>
      <t>•</t>
    </r>
    <r>
      <rPr>
        <sz val="10"/>
        <color indexed="32"/>
        <rFont val="Calibri"/>
        <family val="2"/>
        <scheme val="minor"/>
      </rPr>
      <t xml:space="preserve"> Yangon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</si>
</sst>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
    <numFmt numFmtId="165" formatCode="0.0"/>
    <numFmt numFmtId="166" formatCode="#,##0.0"/>
    <numFmt numFmtId="167" formatCode="0.0%"/>
    <numFmt numFmtId="168" formatCode="\+0.00;\-0.00;0.00"/>
    <numFmt numFmtId="169" formatCode="0.0000000000000000%"/>
  </numFmts>
  <fonts count="110" x14ac:knownFonts="1">
    <font>
      <sz val="11"/>
      <color theme="1"/>
      <name val="Calibri"/>
      <family val="2"/>
      <scheme val="minor"/>
    </font>
    <font>
      <sz val="8"/>
      <color theme="1"/>
      <name val="Calibri"/>
      <family val="2"/>
      <scheme val="minor"/>
    </font>
    <font>
      <sz val="8"/>
      <color theme="0"/>
      <name val="Calibri"/>
      <family val="2"/>
      <scheme val="minor"/>
    </font>
    <font>
      <sz val="8"/>
      <color theme="9" tint="-0.499984740745262"/>
      <name val="Calibri"/>
      <family val="2"/>
      <scheme val="minor"/>
    </font>
    <font>
      <sz val="8"/>
      <color rgb="FFFF0000"/>
      <name val="Calibri"/>
      <family val="2"/>
      <scheme val="minor"/>
    </font>
    <font>
      <b/>
      <sz val="11"/>
      <color theme="1"/>
      <name val="Calibri"/>
      <family val="2"/>
      <scheme val="minor"/>
    </font>
    <font>
      <sz val="11"/>
      <color theme="0"/>
      <name val="Calibri"/>
      <family val="2"/>
      <scheme val="minor"/>
    </font>
    <font>
      <sz val="8"/>
      <color rgb="FF7030A0"/>
      <name val="Calibri"/>
      <family val="2"/>
      <scheme val="minor"/>
    </font>
    <font>
      <sz val="8"/>
      <name val="Calibri"/>
      <family val="2"/>
      <scheme val="minor"/>
    </font>
    <font>
      <sz val="10"/>
      <color theme="1"/>
      <name val="Calibri"/>
      <family val="2"/>
      <scheme val="minor"/>
    </font>
    <font>
      <sz val="10"/>
      <color theme="0" tint="-0.499984740745262"/>
      <name val="Calibri"/>
      <family val="2"/>
      <scheme val="minor"/>
    </font>
    <font>
      <b/>
      <sz val="10"/>
      <color theme="1"/>
      <name val="Calibri"/>
      <family val="2"/>
      <scheme val="minor"/>
    </font>
    <font>
      <b/>
      <sz val="9"/>
      <color theme="0"/>
      <name val="Calibri"/>
      <family val="2"/>
      <scheme val="minor"/>
    </font>
    <font>
      <b/>
      <sz val="10"/>
      <color rgb="FF0070C0"/>
      <name val="Calibri"/>
      <family val="2"/>
      <scheme val="minor"/>
    </font>
    <font>
      <b/>
      <sz val="10"/>
      <color theme="0" tint="-0.499984740745262"/>
      <name val="Calibri"/>
      <family val="2"/>
      <scheme val="minor"/>
    </font>
    <font>
      <sz val="10"/>
      <color rgb="FF000000"/>
      <name val="Calibri"/>
      <family val="2"/>
      <scheme val="minor"/>
    </font>
    <font>
      <sz val="10"/>
      <color theme="0"/>
      <name val="Calibri"/>
      <family val="2"/>
      <scheme val="minor"/>
    </font>
    <font>
      <sz val="10"/>
      <name val="Calibri"/>
      <family val="2"/>
      <scheme val="minor"/>
    </font>
    <font>
      <sz val="11"/>
      <color rgb="FFFF0000"/>
      <name val="Calibri"/>
      <family val="2"/>
      <scheme val="minor"/>
    </font>
    <font>
      <sz val="10"/>
      <color rgb="FFFF0000"/>
      <name val="Calibri"/>
      <family val="2"/>
      <scheme val="minor"/>
    </font>
    <font>
      <sz val="11"/>
      <color rgb="FF000000"/>
      <name val="Calibri"/>
      <family val="2"/>
    </font>
    <font>
      <i/>
      <sz val="10"/>
      <color theme="1"/>
      <name val="Calibri"/>
      <family val="2"/>
      <scheme val="minor"/>
    </font>
    <font>
      <b/>
      <sz val="14"/>
      <name val="Calibri"/>
      <family val="2"/>
      <scheme val="minor"/>
    </font>
    <font>
      <sz val="11"/>
      <name val="Calibri"/>
      <family val="2"/>
      <scheme val="minor"/>
    </font>
    <font>
      <b/>
      <sz val="14"/>
      <color theme="1"/>
      <name val="Calibri"/>
      <family val="2"/>
      <scheme val="minor"/>
    </font>
    <font>
      <b/>
      <sz val="11"/>
      <name val="Calibri"/>
      <family val="2"/>
      <scheme val="minor"/>
    </font>
    <font>
      <sz val="9"/>
      <color theme="1"/>
      <name val="Calibri"/>
      <family val="2"/>
      <scheme val="minor"/>
    </font>
    <font>
      <sz val="9"/>
      <color rgb="FF0070C0"/>
      <name val="Calibri"/>
      <family val="2"/>
      <scheme val="minor"/>
    </font>
    <font>
      <sz val="9"/>
      <color theme="0" tint="-0.499984740745262"/>
      <name val="Calibri"/>
      <family val="2"/>
      <scheme val="minor"/>
    </font>
    <font>
      <b/>
      <sz val="9"/>
      <color theme="1"/>
      <name val="Calibri"/>
      <family val="2"/>
      <scheme val="minor"/>
    </font>
    <font>
      <sz val="9"/>
      <color theme="0"/>
      <name val="Calibri"/>
      <family val="2"/>
      <scheme val="minor"/>
    </font>
    <font>
      <sz val="10"/>
      <color rgb="FF7030A0"/>
      <name val="Calibri"/>
      <family val="2"/>
      <scheme val="minor"/>
    </font>
    <font>
      <b/>
      <sz val="10"/>
      <color theme="9" tint="-0.499984740745262"/>
      <name val="Calibri"/>
      <family val="2"/>
      <scheme val="minor"/>
    </font>
    <font>
      <sz val="8"/>
      <color theme="1"/>
      <name val="Arial"/>
      <family val="2"/>
    </font>
    <font>
      <b/>
      <sz val="8"/>
      <color rgb="FF0070C0"/>
      <name val="Calibri"/>
      <family val="2"/>
      <scheme val="minor"/>
    </font>
    <font>
      <sz val="8"/>
      <color theme="1"/>
      <name val="Arial Narrow"/>
      <family val="2"/>
    </font>
    <font>
      <sz val="11"/>
      <color rgb="FF000000"/>
      <name val="Calibri"/>
      <family val="2"/>
      <scheme val="minor"/>
    </font>
    <font>
      <sz val="12"/>
      <color theme="1"/>
      <name val="Calibri"/>
      <family val="2"/>
      <scheme val="minor"/>
    </font>
    <font>
      <b/>
      <sz val="10"/>
      <name val="Calibri"/>
      <family val="2"/>
      <scheme val="minor"/>
    </font>
    <font>
      <b/>
      <sz val="18"/>
      <color theme="1" tint="0.499984740745262"/>
      <name val="Calibri"/>
      <family val="2"/>
      <scheme val="minor"/>
    </font>
    <font>
      <sz val="18"/>
      <color rgb="FFC00000"/>
      <name val="Calibri"/>
      <family val="2"/>
      <scheme val="minor"/>
    </font>
    <font>
      <i/>
      <sz val="11"/>
      <color theme="1"/>
      <name val="Calibri"/>
      <family val="2"/>
      <scheme val="minor"/>
    </font>
    <font>
      <b/>
      <sz val="24"/>
      <name val="Calibri"/>
      <family val="2"/>
      <scheme val="minor"/>
    </font>
    <font>
      <b/>
      <sz val="18"/>
      <color theme="1"/>
      <name val="Calibri"/>
      <family val="2"/>
      <scheme val="minor"/>
    </font>
    <font>
      <b/>
      <sz val="16"/>
      <color rgb="FFFF0000"/>
      <name val="Calibri"/>
      <family val="2"/>
      <scheme val="minor"/>
    </font>
    <font>
      <b/>
      <sz val="14"/>
      <color rgb="FF0070C0"/>
      <name val="Calibri"/>
      <family val="2"/>
      <scheme val="minor"/>
    </font>
    <font>
      <b/>
      <sz val="11"/>
      <color rgb="FF0070C0"/>
      <name val="Calibri"/>
      <family val="2"/>
      <scheme val="minor"/>
    </font>
    <font>
      <sz val="9"/>
      <name val="Calibri"/>
      <family val="2"/>
      <scheme val="minor"/>
    </font>
    <font>
      <sz val="8"/>
      <color theme="0" tint="-0.499984740745262"/>
      <name val="Arial Narrow"/>
      <family val="2"/>
    </font>
    <font>
      <b/>
      <sz val="10"/>
      <color theme="0" tint="-0.499984740745262"/>
      <name val="Calibri"/>
      <family val="2"/>
    </font>
    <font>
      <b/>
      <sz val="14"/>
      <color indexed="48"/>
      <name val="Calibri"/>
      <family val="2"/>
      <scheme val="minor"/>
    </font>
    <font>
      <sz val="10"/>
      <color theme="0" tint="-0.34998626667073579"/>
      <name val="Calibri"/>
      <family val="2"/>
      <scheme val="minor"/>
    </font>
    <font>
      <b/>
      <sz val="12"/>
      <color rgb="FF0070C0"/>
      <name val="Calibri"/>
      <family val="2"/>
      <scheme val="minor"/>
    </font>
    <font>
      <sz val="9"/>
      <color theme="9" tint="-0.499984740745262"/>
      <name val="Calibri"/>
      <family val="2"/>
      <scheme val="minor"/>
    </font>
    <font>
      <b/>
      <sz val="10"/>
      <color rgb="FFFF0000"/>
      <name val="Calibri"/>
      <family val="2"/>
      <scheme val="minor"/>
    </font>
    <font>
      <sz val="11"/>
      <color theme="1"/>
      <name val="Calibri"/>
      <family val="2"/>
    </font>
    <font>
      <b/>
      <sz val="14"/>
      <color theme="0" tint="-0.499984740745262"/>
      <name val="Calibri"/>
      <family val="2"/>
      <scheme val="minor"/>
    </font>
    <font>
      <b/>
      <sz val="14"/>
      <color indexed="31"/>
      <name val="Calibri"/>
      <family val="2"/>
      <scheme val="minor"/>
    </font>
    <font>
      <b/>
      <sz val="11"/>
      <color theme="0" tint="-0.499984740745262"/>
      <name val="Calibri"/>
      <family val="2"/>
      <scheme val="minor"/>
    </font>
    <font>
      <sz val="14"/>
      <color rgb="FF00B050"/>
      <name val="Calibri"/>
      <family val="2"/>
      <scheme val="minor"/>
    </font>
    <font>
      <b/>
      <sz val="22"/>
      <name val="Calibri"/>
      <family val="2"/>
      <scheme val="minor"/>
    </font>
    <font>
      <sz val="8"/>
      <name val="Arial Narrow"/>
      <family val="2"/>
    </font>
    <font>
      <sz val="8"/>
      <color theme="0" tint="-0.499984740745262"/>
      <name val="Calibri"/>
      <family val="2"/>
      <scheme val="minor"/>
    </font>
    <font>
      <b/>
      <sz val="11"/>
      <color rgb="FFFF0000"/>
      <name val="Calibri"/>
      <family val="2"/>
      <scheme val="minor"/>
    </font>
    <font>
      <b/>
      <sz val="18"/>
      <color indexed="31"/>
      <name val="Calibri"/>
      <family val="2"/>
      <scheme val="minor"/>
    </font>
    <font>
      <i/>
      <sz val="9"/>
      <color rgb="FF7030A0"/>
      <name val="Calibri"/>
      <family val="2"/>
      <scheme val="minor"/>
    </font>
    <font>
      <b/>
      <sz val="11"/>
      <color rgb="FF7030A0"/>
      <name val="Calibri"/>
      <family val="2"/>
      <scheme val="minor"/>
    </font>
    <font>
      <b/>
      <sz val="11"/>
      <color rgb="FF00B050"/>
      <name val="Calibri"/>
      <family val="2"/>
      <scheme val="minor"/>
    </font>
    <font>
      <b/>
      <sz val="14"/>
      <color rgb="FF7030A0"/>
      <name val="Calibri"/>
      <family val="2"/>
      <scheme val="minor"/>
    </font>
    <font>
      <sz val="8"/>
      <color theme="4"/>
      <name val="Arial Narrow"/>
      <family val="2"/>
    </font>
    <font>
      <sz val="8"/>
      <color rgb="FF00B050"/>
      <name val="Calibri"/>
      <family val="2"/>
      <scheme val="minor"/>
    </font>
    <font>
      <sz val="14"/>
      <color theme="9" tint="-0.249977111117893"/>
      <name val="Calibri"/>
      <family val="2"/>
      <scheme val="minor"/>
    </font>
    <font>
      <b/>
      <i/>
      <sz val="10"/>
      <color rgb="FF0070C0"/>
      <name val="Calibri"/>
      <family val="2"/>
      <scheme val="minor"/>
    </font>
    <font>
      <b/>
      <sz val="18"/>
      <name val="Calibri"/>
      <family val="2"/>
      <scheme val="minor"/>
    </font>
    <font>
      <sz val="10"/>
      <color indexed="32"/>
      <name val="Calibri"/>
      <family val="2"/>
      <scheme val="minor"/>
    </font>
    <font>
      <b/>
      <u/>
      <sz val="11"/>
      <color rgb="FF0070C0"/>
      <name val="Calibri"/>
      <family val="2"/>
      <scheme val="minor"/>
    </font>
    <font>
      <sz val="18"/>
      <color theme="1"/>
      <name val="Calibri"/>
      <family val="2"/>
      <scheme val="minor"/>
    </font>
    <font>
      <sz val="18"/>
      <color rgb="FF00B050"/>
      <name val="Calibri"/>
      <family val="2"/>
      <scheme val="minor"/>
    </font>
    <font>
      <sz val="24"/>
      <color rgb="FFC00000"/>
      <name val="Calibri"/>
      <family val="2"/>
    </font>
    <font>
      <b/>
      <i/>
      <sz val="10"/>
      <color theme="0" tint="-0.499984740745262"/>
      <name val="Calibri"/>
      <family val="2"/>
      <scheme val="minor"/>
    </font>
    <font>
      <b/>
      <sz val="8"/>
      <color theme="9" tint="-0.249977111117893"/>
      <name val="Calibri"/>
      <family val="2"/>
      <scheme val="minor"/>
    </font>
    <font>
      <sz val="11"/>
      <color rgb="FF0070C0"/>
      <name val="Calibri"/>
      <family val="2"/>
    </font>
    <font>
      <b/>
      <sz val="9"/>
      <color rgb="FF0070C0"/>
      <name val="Calibri"/>
      <family val="2"/>
      <scheme val="minor"/>
    </font>
    <font>
      <sz val="20"/>
      <color theme="1"/>
      <name val="Calibri"/>
      <family val="2"/>
      <scheme val="minor"/>
    </font>
    <font>
      <b/>
      <sz val="9"/>
      <color theme="0" tint="-0.499984740745262"/>
      <name val="Calibri"/>
      <family val="2"/>
      <scheme val="minor"/>
    </font>
    <font>
      <vertAlign val="superscript"/>
      <sz val="11"/>
      <color theme="1"/>
      <name val="Calibri"/>
      <family val="2"/>
      <scheme val="minor"/>
    </font>
    <font>
      <b/>
      <sz val="8"/>
      <color indexed="48"/>
      <name val="Calibri"/>
      <family val="2"/>
      <scheme val="minor"/>
    </font>
    <font>
      <b/>
      <sz val="9"/>
      <color indexed="48"/>
      <name val="Calibri"/>
      <family val="2"/>
      <scheme val="minor"/>
    </font>
    <font>
      <sz val="9"/>
      <color indexed="48"/>
      <name val="Calibri"/>
      <family val="2"/>
      <scheme val="minor"/>
    </font>
    <font>
      <sz val="11"/>
      <color indexed="48"/>
      <name val="Calibri"/>
      <family val="2"/>
    </font>
    <font>
      <b/>
      <sz val="11"/>
      <color indexed="31"/>
      <name val="Calibri"/>
      <family val="2"/>
      <scheme val="minor"/>
    </font>
    <font>
      <b/>
      <i/>
      <sz val="10"/>
      <color theme="0" tint="-0.499984740745262"/>
      <name val="Calibri"/>
      <family val="2"/>
    </font>
    <font>
      <sz val="11"/>
      <color indexed="54"/>
      <name val="Calibri"/>
      <family val="2"/>
      <scheme val="minor"/>
    </font>
    <font>
      <sz val="11"/>
      <color indexed="53"/>
      <name val="Calibri"/>
      <family val="2"/>
      <scheme val="minor"/>
    </font>
    <font>
      <sz val="11"/>
      <color indexed="52"/>
      <name val="Calibri"/>
      <family val="2"/>
      <scheme val="minor"/>
    </font>
    <font>
      <sz val="11"/>
      <color indexed="51"/>
      <name val="Calibri"/>
      <family val="2"/>
      <scheme val="minor"/>
    </font>
    <font>
      <sz val="11"/>
      <color indexed="50"/>
      <name val="Calibri"/>
      <family val="2"/>
      <scheme val="minor"/>
    </font>
    <font>
      <sz val="11"/>
      <color indexed="55"/>
      <name val="Calibri"/>
      <family val="2"/>
      <scheme val="minor"/>
    </font>
    <font>
      <sz val="12"/>
      <color rgb="FF00B050"/>
      <name val="Calibri"/>
      <family val="2"/>
      <scheme val="minor"/>
    </font>
    <font>
      <b/>
      <sz val="24"/>
      <color rgb="FF0070C0"/>
      <name val="Calibri"/>
      <family val="2"/>
      <scheme val="minor"/>
    </font>
    <font>
      <b/>
      <sz val="18"/>
      <color rgb="FF0070C0"/>
      <name val="Calibri"/>
      <family val="2"/>
      <scheme val="minor"/>
    </font>
    <font>
      <b/>
      <i/>
      <sz val="10"/>
      <color rgb="FFFF0000"/>
      <name val="Calibri"/>
      <family val="2"/>
      <scheme val="minor"/>
    </font>
    <font>
      <i/>
      <sz val="9"/>
      <color theme="1"/>
      <name val="Calibri"/>
      <family val="2"/>
      <scheme val="minor"/>
    </font>
    <font>
      <sz val="10"/>
      <color rgb="FF888888"/>
      <name val="Calibri"/>
      <family val="2"/>
      <scheme val="minor"/>
    </font>
    <font>
      <sz val="9"/>
      <color indexed="53"/>
      <name val="Calibri"/>
      <family val="2"/>
      <scheme val="minor"/>
    </font>
    <font>
      <sz val="9"/>
      <color indexed="52"/>
      <name val="Calibri"/>
      <family val="2"/>
      <scheme val="minor"/>
    </font>
    <font>
      <sz val="9"/>
      <color indexed="51"/>
      <name val="Calibri"/>
      <family val="2"/>
      <scheme val="minor"/>
    </font>
    <font>
      <sz val="9"/>
      <color indexed="54"/>
      <name val="Calibri"/>
      <family val="2"/>
      <scheme val="minor"/>
    </font>
    <font>
      <sz val="9"/>
      <color indexed="50"/>
      <name val="Calibri"/>
      <family val="2"/>
      <scheme val="minor"/>
    </font>
    <font>
      <sz val="11"/>
      <color indexed="32"/>
      <name val="Calibri"/>
      <family val="2"/>
      <scheme val="minor"/>
    </font>
  </fonts>
  <fills count="28">
    <fill>
      <patternFill patternType="none"/>
    </fill>
    <fill>
      <patternFill patternType="gray125"/>
    </fill>
    <fill>
      <patternFill patternType="solid">
        <fgColor rgb="FFFFFFFF"/>
        <bgColor indexed="64"/>
      </patternFill>
    </fill>
    <fill>
      <patternFill patternType="solid">
        <fgColor theme="1"/>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FF00"/>
        <bgColor indexed="64"/>
      </patternFill>
    </fill>
    <fill>
      <patternFill patternType="solid">
        <fgColor theme="9" tint="0.79998168889431442"/>
        <bgColor indexed="64"/>
      </patternFill>
    </fill>
    <fill>
      <patternFill patternType="solid">
        <fgColor indexed="42"/>
        <bgColor indexed="64"/>
      </patternFill>
    </fill>
    <fill>
      <patternFill patternType="solid">
        <fgColor indexed="43"/>
        <bgColor indexed="64"/>
      </patternFill>
    </fill>
    <fill>
      <patternFill patternType="solid">
        <fgColor indexed="45"/>
        <bgColor indexed="64"/>
      </patternFill>
    </fill>
    <fill>
      <patternFill patternType="solid">
        <fgColor indexed="44"/>
        <bgColor indexed="64"/>
      </patternFill>
    </fill>
    <fill>
      <patternFill patternType="solid">
        <fgColor theme="9" tint="0.59999389629810485"/>
        <bgColor indexed="64"/>
      </patternFill>
    </fill>
    <fill>
      <patternFill patternType="solid">
        <fgColor rgb="FFFF0000"/>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indexed="46"/>
        <bgColor indexed="64"/>
      </patternFill>
    </fill>
    <fill>
      <patternFill patternType="solid">
        <fgColor theme="9" tint="-0.249977111117893"/>
        <bgColor indexed="64"/>
      </patternFill>
    </fill>
    <fill>
      <patternFill patternType="solid">
        <fgColor rgb="FF0070C0"/>
        <bgColor indexed="64"/>
      </patternFill>
    </fill>
    <fill>
      <patternFill patternType="solid">
        <fgColor theme="6" tint="0.79998168889431442"/>
        <bgColor indexed="64"/>
      </patternFill>
    </fill>
    <fill>
      <patternFill patternType="solid">
        <fgColor rgb="FF7030A0"/>
        <bgColor indexed="64"/>
      </patternFill>
    </fill>
    <fill>
      <patternFill patternType="solid">
        <fgColor theme="2"/>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rgb="FF1A9641"/>
        <bgColor indexed="64"/>
      </patternFill>
    </fill>
    <fill>
      <patternFill patternType="solid">
        <fgColor theme="2" tint="-9.9978637043366805E-2"/>
        <bgColor indexed="64"/>
      </patternFill>
    </fill>
    <fill>
      <patternFill patternType="solid">
        <fgColor theme="4"/>
        <bgColor indexed="64"/>
      </patternFill>
    </fill>
    <fill>
      <patternFill patternType="solid">
        <fgColor theme="9" tint="-0.499984740745262"/>
        <bgColor indexed="64"/>
      </patternFill>
    </fill>
  </fills>
  <borders count="42">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right/>
      <top style="thin">
        <color theme="0" tint="-0.14996795556505021"/>
      </top>
      <bottom style="thin">
        <color theme="0" tint="-0.14996795556505021"/>
      </bottom>
      <diagonal/>
    </border>
    <border>
      <left/>
      <right/>
      <top style="thin">
        <color theme="0"/>
      </top>
      <bottom style="thin">
        <color theme="0"/>
      </bottom>
      <diagonal/>
    </border>
    <border>
      <left/>
      <right/>
      <top style="thin">
        <color theme="0" tint="-0.14996795556505021"/>
      </top>
      <bottom/>
      <diagonal/>
    </border>
    <border>
      <left style="thin">
        <color theme="0" tint="-0.14993743705557422"/>
      </left>
      <right/>
      <top style="thin">
        <color theme="0" tint="-0.14996795556505021"/>
      </top>
      <bottom style="thin">
        <color theme="0" tint="-0.14996795556505021"/>
      </bottom>
      <diagonal/>
    </border>
    <border>
      <left style="thin">
        <color theme="0" tint="-0.24994659260841701"/>
      </left>
      <right/>
      <top/>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right style="thin">
        <color theme="0" tint="-0.24994659260841701"/>
      </right>
      <top/>
      <bottom/>
      <diagonal/>
    </border>
    <border>
      <left style="thin">
        <color theme="0"/>
      </left>
      <right style="thin">
        <color theme="0"/>
      </right>
      <top style="thin">
        <color theme="0"/>
      </top>
      <bottom style="thin">
        <color theme="0"/>
      </bottom>
      <diagonal/>
    </border>
    <border>
      <left style="thin">
        <color theme="0" tint="-0.14996795556505021"/>
      </left>
      <right/>
      <top/>
      <bottom/>
      <diagonal/>
    </border>
    <border>
      <left/>
      <right style="thin">
        <color theme="0" tint="-0.14996795556505021"/>
      </right>
      <top/>
      <bottom/>
      <diagonal/>
    </border>
    <border>
      <left style="thin">
        <color theme="0" tint="-0.14993743705557422"/>
      </left>
      <right style="thin">
        <color theme="0" tint="-0.14993743705557422"/>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dotted">
        <color theme="0" tint="-0.14993743705557422"/>
      </left>
      <right style="dotted">
        <color theme="0" tint="-0.14993743705557422"/>
      </right>
      <top/>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style="dotted">
        <color theme="0" tint="-0.34998626667073579"/>
      </left>
      <right style="dotted">
        <color theme="0" tint="-0.34998626667073579"/>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6795556505021"/>
      </top>
      <bottom style="thin">
        <color theme="0" tint="-0.14993743705557422"/>
      </bottom>
      <diagonal/>
    </border>
    <border>
      <left style="thin">
        <color theme="0" tint="-0.14996795556505021"/>
      </left>
      <right style="thin">
        <color theme="0" tint="-0.14996795556505021"/>
      </right>
      <top/>
      <bottom/>
      <diagonal/>
    </border>
    <border>
      <left/>
      <right/>
      <top style="thick">
        <color theme="0" tint="-4.9989318521683403E-2"/>
      </top>
      <bottom style="thick">
        <color theme="0" tint="-4.9989318521683403E-2"/>
      </bottom>
      <diagonal/>
    </border>
    <border>
      <left/>
      <right/>
      <top/>
      <bottom style="thin">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theme="0" tint="-0.14993743705557422"/>
      </left>
      <right style="thin">
        <color theme="0" tint="-0.14990691854609822"/>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ck">
        <color theme="0"/>
      </left>
      <right style="thick">
        <color theme="0"/>
      </right>
      <top style="thick">
        <color theme="0"/>
      </top>
      <bottom/>
      <diagonal/>
    </border>
    <border>
      <left style="thin">
        <color theme="0" tint="-0.14993743705557422"/>
      </left>
      <right/>
      <top/>
      <bottom/>
      <diagonal/>
    </border>
    <border>
      <left/>
      <right/>
      <top style="medium">
        <color theme="0" tint="-0.14996795556505021"/>
      </top>
      <bottom/>
      <diagonal/>
    </border>
    <border>
      <left/>
      <right/>
      <top/>
      <bottom style="medium">
        <color theme="0" tint="-0.14996795556505021"/>
      </bottom>
      <diagonal/>
    </border>
  </borders>
  <cellStyleXfs count="1">
    <xf numFmtId="0" fontId="0" fillId="0" borderId="0"/>
  </cellStyleXfs>
  <cellXfs count="385">
    <xf numFmtId="0" fontId="0" fillId="0" borderId="0" xfId="0"/>
    <xf numFmtId="0" fontId="1" fillId="0" borderId="0" xfId="0" applyFont="1"/>
    <xf numFmtId="0" fontId="9" fillId="0" borderId="0" xfId="0" applyFont="1"/>
    <xf numFmtId="0" fontId="26" fillId="0" borderId="0" xfId="0" applyFont="1"/>
    <xf numFmtId="0" fontId="0" fillId="0" borderId="0" xfId="0" applyProtection="1">
      <protection hidden="1"/>
    </xf>
    <xf numFmtId="0" fontId="73" fillId="0" borderId="0" xfId="0" applyFont="1" applyAlignment="1" applyProtection="1">
      <alignment horizontal="center"/>
      <protection hidden="1"/>
    </xf>
    <xf numFmtId="0" fontId="39" fillId="0" borderId="0" xfId="0" applyFont="1" applyAlignment="1" applyProtection="1">
      <alignment horizontal="center"/>
      <protection hidden="1"/>
    </xf>
    <xf numFmtId="0" fontId="0" fillId="0" borderId="0" xfId="0" applyAlignment="1" applyProtection="1">
      <alignment horizontal="center"/>
      <protection hidden="1"/>
    </xf>
    <xf numFmtId="0" fontId="40" fillId="0" borderId="0" xfId="0" applyFont="1" applyAlignment="1" applyProtection="1">
      <alignment horizontal="center"/>
      <protection hidden="1"/>
    </xf>
    <xf numFmtId="0" fontId="41" fillId="0" borderId="0" xfId="0" applyFont="1" applyProtection="1">
      <protection hidden="1"/>
    </xf>
    <xf numFmtId="0" fontId="0" fillId="4" borderId="0" xfId="0" applyFill="1" applyProtection="1">
      <protection hidden="1"/>
    </xf>
    <xf numFmtId="0" fontId="15" fillId="4" borderId="0" xfId="0" applyFont="1" applyFill="1" applyAlignment="1" applyProtection="1">
      <alignment horizontal="right" vertical="center" indent="1"/>
      <protection hidden="1"/>
    </xf>
    <xf numFmtId="0" fontId="18" fillId="0" borderId="0" xfId="0" applyFont="1" applyProtection="1">
      <protection hidden="1"/>
    </xf>
    <xf numFmtId="0" fontId="6" fillId="3" borderId="0" xfId="0" applyFont="1" applyFill="1" applyProtection="1">
      <protection hidden="1"/>
    </xf>
    <xf numFmtId="0" fontId="42" fillId="0" borderId="0" xfId="0" applyFont="1" applyAlignment="1" applyProtection="1">
      <alignment horizontal="centerContinuous"/>
      <protection hidden="1"/>
    </xf>
    <xf numFmtId="0" fontId="43" fillId="0" borderId="0" xfId="0" applyFont="1" applyAlignment="1" applyProtection="1">
      <alignment horizontal="centerContinuous"/>
      <protection hidden="1"/>
    </xf>
    <xf numFmtId="0" fontId="0" fillId="0" borderId="0" xfId="0" applyAlignment="1" applyProtection="1">
      <alignment horizontal="centerContinuous"/>
      <protection hidden="1"/>
    </xf>
    <xf numFmtId="0" fontId="44" fillId="0" borderId="0" xfId="0" applyFont="1" applyAlignment="1" applyProtection="1">
      <alignment horizontal="centerContinuous"/>
      <protection hidden="1"/>
    </xf>
    <xf numFmtId="0" fontId="60" fillId="0" borderId="0" xfId="0" applyFont="1" applyAlignment="1" applyProtection="1">
      <alignment horizontal="left" vertical="center"/>
      <protection hidden="1"/>
    </xf>
    <xf numFmtId="0" fontId="23" fillId="0" borderId="0" xfId="0" applyFont="1" applyAlignment="1" applyProtection="1">
      <alignment horizontal="centerContinuous"/>
      <protection hidden="1"/>
    </xf>
    <xf numFmtId="0" fontId="22" fillId="0" borderId="0" xfId="0" applyFont="1" applyAlignment="1" applyProtection="1">
      <alignment horizontal="left" vertical="center"/>
      <protection hidden="1"/>
    </xf>
    <xf numFmtId="0" fontId="0" fillId="12" borderId="0" xfId="0" applyFill="1" applyProtection="1">
      <protection hidden="1"/>
    </xf>
    <xf numFmtId="0" fontId="60" fillId="0" borderId="0" xfId="0" applyFont="1" applyAlignment="1" applyProtection="1">
      <alignment horizontal="left"/>
      <protection hidden="1"/>
    </xf>
    <xf numFmtId="0" fontId="22" fillId="0" borderId="0" xfId="0" applyFont="1" applyAlignment="1" applyProtection="1">
      <alignment horizontal="left"/>
      <protection hidden="1"/>
    </xf>
    <xf numFmtId="0" fontId="41" fillId="0" borderId="0" xfId="0" applyFont="1" applyAlignment="1" applyProtection="1">
      <alignment horizontal="left"/>
      <protection hidden="1"/>
    </xf>
    <xf numFmtId="0" fontId="52" fillId="0" borderId="0" xfId="0" applyFont="1" applyAlignment="1" applyProtection="1">
      <alignment horizontal="left"/>
      <protection hidden="1"/>
    </xf>
    <xf numFmtId="0" fontId="1" fillId="0" borderId="0" xfId="0" applyFont="1" applyProtection="1">
      <protection hidden="1"/>
    </xf>
    <xf numFmtId="0" fontId="56" fillId="0" borderId="0" xfId="0" applyFont="1" applyAlignment="1" applyProtection="1">
      <alignment vertical="center"/>
      <protection hidden="1"/>
    </xf>
    <xf numFmtId="0" fontId="36" fillId="0" borderId="0" xfId="0" applyFont="1" applyAlignment="1" applyProtection="1">
      <alignment horizontal="left" vertical="center" indent="1"/>
      <protection hidden="1"/>
    </xf>
    <xf numFmtId="0" fontId="0" fillId="0" borderId="0" xfId="0" applyAlignment="1" applyProtection="1">
      <alignment vertical="top"/>
      <protection hidden="1"/>
    </xf>
    <xf numFmtId="0" fontId="0" fillId="0" borderId="0" xfId="0" applyAlignment="1" applyProtection="1">
      <alignment horizontal="center" vertical="top"/>
      <protection hidden="1"/>
    </xf>
    <xf numFmtId="0" fontId="21" fillId="0" borderId="0" xfId="0" applyFont="1" applyProtection="1">
      <protection hidden="1"/>
    </xf>
    <xf numFmtId="0" fontId="6" fillId="5" borderId="0" xfId="0" applyFont="1" applyFill="1" applyProtection="1">
      <protection hidden="1"/>
    </xf>
    <xf numFmtId="0" fontId="43" fillId="0" borderId="0" xfId="0" applyFont="1" applyAlignment="1" applyProtection="1">
      <alignment horizontal="left"/>
      <protection hidden="1"/>
    </xf>
    <xf numFmtId="0" fontId="44" fillId="0" borderId="0" xfId="0" applyFont="1" applyAlignment="1" applyProtection="1">
      <alignment horizontal="right"/>
      <protection hidden="1"/>
    </xf>
    <xf numFmtId="164" fontId="0" fillId="0" borderId="0" xfId="0" applyNumberFormat="1" applyProtection="1">
      <protection hidden="1"/>
    </xf>
    <xf numFmtId="0" fontId="11" fillId="0" borderId="0" xfId="0" applyFont="1" applyProtection="1">
      <protection hidden="1"/>
    </xf>
    <xf numFmtId="0" fontId="9" fillId="0" borderId="0" xfId="0" applyFont="1" applyProtection="1">
      <protection hidden="1"/>
    </xf>
    <xf numFmtId="0" fontId="5" fillId="0" borderId="0" xfId="0" applyFont="1" applyProtection="1">
      <protection hidden="1"/>
    </xf>
    <xf numFmtId="0" fontId="19" fillId="0" borderId="0" xfId="0" applyFont="1" applyProtection="1">
      <protection hidden="1"/>
    </xf>
    <xf numFmtId="0" fontId="0" fillId="7" borderId="0" xfId="0" applyFill="1" applyProtection="1">
      <protection hidden="1"/>
    </xf>
    <xf numFmtId="0" fontId="6" fillId="13" borderId="0" xfId="0" applyFont="1" applyFill="1" applyProtection="1">
      <protection hidden="1"/>
    </xf>
    <xf numFmtId="0" fontId="6" fillId="18" borderId="0" xfId="0" applyFont="1" applyFill="1" applyProtection="1">
      <protection hidden="1"/>
    </xf>
    <xf numFmtId="0" fontId="0" fillId="0" borderId="0" xfId="0" applyAlignment="1" applyProtection="1">
      <alignment horizontal="right"/>
      <protection hidden="1"/>
    </xf>
    <xf numFmtId="0" fontId="100" fillId="2" borderId="0" xfId="0" quotePrefix="1" applyFont="1" applyFill="1" applyProtection="1">
      <protection hidden="1"/>
    </xf>
    <xf numFmtId="0" fontId="24" fillId="0" borderId="0" xfId="0" applyFont="1" applyAlignment="1" applyProtection="1">
      <alignment vertical="center"/>
      <protection hidden="1"/>
    </xf>
    <xf numFmtId="0" fontId="99" fillId="2" borderId="0" xfId="0" quotePrefix="1" applyFont="1" applyFill="1" applyProtection="1">
      <protection hidden="1"/>
    </xf>
    <xf numFmtId="0" fontId="45" fillId="2" borderId="0" xfId="0" quotePrefix="1" applyFont="1" applyFill="1" applyProtection="1">
      <protection hidden="1"/>
    </xf>
    <xf numFmtId="0" fontId="25" fillId="0" borderId="0" xfId="0" applyFont="1" applyProtection="1">
      <protection hidden="1"/>
    </xf>
    <xf numFmtId="0" fontId="4" fillId="0" borderId="0" xfId="0" applyFont="1" applyProtection="1">
      <protection hidden="1"/>
    </xf>
    <xf numFmtId="0" fontId="23" fillId="0" borderId="37" xfId="0" applyFont="1" applyBorder="1" applyAlignment="1" applyProtection="1">
      <alignment horizontal="center" vertical="center" wrapText="1"/>
      <protection hidden="1"/>
    </xf>
    <xf numFmtId="0" fontId="45" fillId="0" borderId="0" xfId="0" applyFont="1" applyAlignment="1" applyProtection="1">
      <alignment horizontal="center" vertical="center"/>
      <protection hidden="1"/>
    </xf>
    <xf numFmtId="165" fontId="25" fillId="0" borderId="0" xfId="0" applyNumberFormat="1" applyFont="1" applyAlignment="1" applyProtection="1">
      <alignment horizontal="center" vertical="center"/>
      <protection hidden="1"/>
    </xf>
    <xf numFmtId="0" fontId="12" fillId="3" borderId="0" xfId="0" applyFont="1" applyFill="1" applyAlignment="1" applyProtection="1">
      <alignment horizontal="left" vertical="center"/>
      <protection hidden="1"/>
    </xf>
    <xf numFmtId="0" fontId="0" fillId="0" borderId="5" xfId="0" applyBorder="1" applyProtection="1">
      <protection hidden="1"/>
    </xf>
    <xf numFmtId="165" fontId="17" fillId="0" borderId="0" xfId="0" applyNumberFormat="1" applyFont="1" applyAlignment="1" applyProtection="1">
      <alignment horizontal="center" vertical="center" wrapText="1"/>
      <protection hidden="1"/>
    </xf>
    <xf numFmtId="0" fontId="38" fillId="0" borderId="0" xfId="0" applyFont="1" applyAlignment="1" applyProtection="1">
      <alignment horizontal="left" vertical="center"/>
      <protection hidden="1"/>
    </xf>
    <xf numFmtId="0" fontId="25" fillId="0" borderId="0" xfId="0" applyFont="1" applyAlignment="1" applyProtection="1">
      <alignment horizontal="center" vertical="center" wrapText="1"/>
      <protection hidden="1"/>
    </xf>
    <xf numFmtId="0" fontId="4" fillId="0" borderId="0" xfId="0" applyFont="1" applyAlignment="1" applyProtection="1">
      <alignment vertical="center"/>
      <protection hidden="1"/>
    </xf>
    <xf numFmtId="0" fontId="8" fillId="4" borderId="1" xfId="0" applyFont="1" applyFill="1" applyBorder="1" applyAlignment="1" applyProtection="1">
      <alignment horizontal="center" vertical="center" wrapText="1"/>
      <protection hidden="1"/>
    </xf>
    <xf numFmtId="0" fontId="38" fillId="4" borderId="1" xfId="0" applyFont="1" applyFill="1" applyBorder="1" applyAlignment="1" applyProtection="1">
      <alignment horizontal="left" vertical="center" wrapText="1" indent="1"/>
      <protection hidden="1"/>
    </xf>
    <xf numFmtId="0" fontId="17" fillId="0" borderId="1" xfId="0" applyFont="1" applyBorder="1" applyAlignment="1" applyProtection="1">
      <alignment horizontal="center" vertical="center" wrapText="1"/>
      <protection hidden="1"/>
    </xf>
    <xf numFmtId="0" fontId="0" fillId="0" borderId="0" xfId="0" applyAlignment="1" applyProtection="1">
      <alignment horizontal="center" vertical="center"/>
      <protection hidden="1"/>
    </xf>
    <xf numFmtId="0" fontId="25" fillId="0" borderId="23" xfId="0" applyFont="1" applyBorder="1" applyAlignment="1" applyProtection="1">
      <alignment horizontal="center" vertical="center" wrapText="1"/>
      <protection hidden="1"/>
    </xf>
    <xf numFmtId="0" fontId="17" fillId="0" borderId="0" xfId="0" applyFont="1" applyAlignment="1" applyProtection="1">
      <alignment horizontal="left" vertical="center"/>
      <protection hidden="1"/>
    </xf>
    <xf numFmtId="0" fontId="23" fillId="0" borderId="0" xfId="0" applyFont="1" applyAlignment="1" applyProtection="1">
      <alignment horizontal="center" vertical="center" wrapText="1"/>
      <protection hidden="1"/>
    </xf>
    <xf numFmtId="0" fontId="83" fillId="0" borderId="0" xfId="0" applyFont="1" applyAlignment="1" applyProtection="1">
      <alignment horizontal="center" vertical="center" wrapText="1"/>
      <protection hidden="1"/>
    </xf>
    <xf numFmtId="165" fontId="0" fillId="0" borderId="0" xfId="0" applyNumberFormat="1" applyAlignment="1" applyProtection="1">
      <alignment horizontal="center" vertical="center"/>
      <protection hidden="1"/>
    </xf>
    <xf numFmtId="0" fontId="8"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6" fillId="4"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23" fillId="0" borderId="1" xfId="0" applyFont="1" applyBorder="1" applyAlignment="1" applyProtection="1">
      <alignment horizontal="center" vertical="center" wrapText="1"/>
      <protection hidden="1"/>
    </xf>
    <xf numFmtId="0" fontId="23" fillId="0" borderId="4" xfId="0" applyFont="1" applyBorder="1" applyAlignment="1" applyProtection="1">
      <alignment horizontal="center" vertical="center" wrapText="1"/>
      <protection hidden="1"/>
    </xf>
    <xf numFmtId="0" fontId="8" fillId="4" borderId="0" xfId="0" applyFont="1" applyFill="1" applyAlignment="1" applyProtection="1">
      <alignment horizontal="center" vertical="center" wrapText="1"/>
      <protection hidden="1"/>
    </xf>
    <xf numFmtId="0" fontId="38" fillId="4" borderId="0" xfId="0" applyFont="1" applyFill="1" applyAlignment="1" applyProtection="1">
      <alignment horizontal="left" vertical="center" wrapText="1" indent="1"/>
      <protection hidden="1"/>
    </xf>
    <xf numFmtId="0" fontId="17" fillId="0" borderId="0" xfId="0" applyFont="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46" fillId="0" borderId="0" xfId="0" applyFont="1" applyProtection="1">
      <protection hidden="1"/>
    </xf>
    <xf numFmtId="0" fontId="55" fillId="0" borderId="0" xfId="0" applyFont="1" applyProtection="1">
      <protection hidden="1"/>
    </xf>
    <xf numFmtId="0" fontId="3" fillId="0" borderId="0" xfId="0" applyFont="1" applyProtection="1">
      <protection hidden="1"/>
    </xf>
    <xf numFmtId="0" fontId="79" fillId="0" borderId="0" xfId="0" applyFont="1" applyProtection="1">
      <protection hidden="1"/>
    </xf>
    <xf numFmtId="0" fontId="101" fillId="0" borderId="0" xfId="0" applyFont="1" applyProtection="1">
      <protection hidden="1"/>
    </xf>
    <xf numFmtId="0" fontId="2" fillId="20" borderId="0" xfId="0" applyFont="1" applyFill="1" applyProtection="1">
      <protection hidden="1"/>
    </xf>
    <xf numFmtId="0" fontId="1" fillId="0" borderId="19" xfId="0" applyFont="1" applyBorder="1" applyAlignment="1" applyProtection="1">
      <alignment horizontal="center" vertical="center"/>
      <protection hidden="1"/>
    </xf>
    <xf numFmtId="0" fontId="8" fillId="0" borderId="19" xfId="0" applyFont="1" applyBorder="1" applyAlignment="1" applyProtection="1">
      <alignment horizontal="center" vertical="center"/>
      <protection hidden="1"/>
    </xf>
    <xf numFmtId="0" fontId="1" fillId="0" borderId="19" xfId="0" applyFont="1" applyBorder="1" applyAlignment="1" applyProtection="1">
      <alignment vertical="center"/>
      <protection hidden="1"/>
    </xf>
    <xf numFmtId="0" fontId="4" fillId="0" borderId="19" xfId="0" applyFont="1" applyBorder="1" applyProtection="1">
      <protection hidden="1"/>
    </xf>
    <xf numFmtId="0" fontId="4" fillId="0" borderId="0" xfId="0" applyFont="1" applyAlignment="1" applyProtection="1">
      <alignment horizontal="left"/>
      <protection hidden="1"/>
    </xf>
    <xf numFmtId="0" fontId="6" fillId="17" borderId="0" xfId="0" applyFont="1" applyFill="1" applyProtection="1">
      <protection hidden="1"/>
    </xf>
    <xf numFmtId="0" fontId="7" fillId="0" borderId="19" xfId="0" applyFont="1" applyBorder="1" applyProtection="1">
      <protection hidden="1"/>
    </xf>
    <xf numFmtId="0" fontId="7" fillId="0" borderId="0" xfId="0" applyFont="1" applyProtection="1">
      <protection hidden="1"/>
    </xf>
    <xf numFmtId="0" fontId="1" fillId="4" borderId="0" xfId="0" applyFont="1" applyFill="1" applyAlignment="1" applyProtection="1">
      <alignment horizontal="left"/>
      <protection hidden="1"/>
    </xf>
    <xf numFmtId="0" fontId="1" fillId="4" borderId="20" xfId="0" applyFont="1" applyFill="1" applyBorder="1" applyAlignment="1" applyProtection="1">
      <alignment horizontal="left" wrapText="1"/>
      <protection hidden="1"/>
    </xf>
    <xf numFmtId="0" fontId="6" fillId="27" borderId="0" xfId="0" applyFont="1" applyFill="1" applyProtection="1">
      <protection hidden="1"/>
    </xf>
    <xf numFmtId="0" fontId="6" fillId="0" borderId="0" xfId="0" applyFont="1" applyProtection="1">
      <protection hidden="1"/>
    </xf>
    <xf numFmtId="0" fontId="2" fillId="0" borderId="0" xfId="0" applyFont="1" applyProtection="1">
      <protection hidden="1"/>
    </xf>
    <xf numFmtId="0" fontId="1" fillId="0" borderId="0" xfId="0" applyFont="1" applyAlignment="1" applyProtection="1">
      <alignment horizontal="left"/>
      <protection hidden="1"/>
    </xf>
    <xf numFmtId="0" fontId="1" fillId="0" borderId="0" xfId="0" applyFont="1" applyAlignment="1" applyProtection="1">
      <alignment horizontal="left" wrapText="1"/>
      <protection hidden="1"/>
    </xf>
    <xf numFmtId="0" fontId="0" fillId="0" borderId="0" xfId="0" applyAlignment="1" applyProtection="1">
      <alignment vertical="top" wrapText="1"/>
      <protection hidden="1"/>
    </xf>
    <xf numFmtId="0" fontId="8" fillId="0" borderId="0" xfId="0" applyFont="1" applyProtection="1">
      <protection hidden="1"/>
    </xf>
    <xf numFmtId="0" fontId="1" fillId="0" borderId="19" xfId="0" applyFont="1" applyBorder="1" applyProtection="1">
      <protection hidden="1"/>
    </xf>
    <xf numFmtId="3" fontId="26" fillId="0" borderId="0" xfId="0" applyNumberFormat="1" applyFont="1" applyAlignment="1" applyProtection="1">
      <alignment horizontal="left" vertical="center"/>
      <protection hidden="1"/>
    </xf>
    <xf numFmtId="0" fontId="29" fillId="0" borderId="0" xfId="0" applyFont="1" applyAlignment="1" applyProtection="1">
      <alignment vertical="top"/>
      <protection hidden="1"/>
    </xf>
    <xf numFmtId="0" fontId="26" fillId="0" borderId="0" xfId="0" applyFont="1" applyAlignment="1" applyProtection="1">
      <alignment vertical="top"/>
      <protection hidden="1"/>
    </xf>
    <xf numFmtId="166" fontId="26" fillId="0" borderId="0" xfId="0" applyNumberFormat="1" applyFont="1" applyAlignment="1" applyProtection="1">
      <alignment horizontal="center" vertical="center"/>
      <protection hidden="1"/>
    </xf>
    <xf numFmtId="0" fontId="102" fillId="0" borderId="0" xfId="0" applyFont="1" applyAlignment="1" applyProtection="1">
      <alignment vertical="top" wrapText="1"/>
      <protection hidden="1"/>
    </xf>
    <xf numFmtId="0" fontId="0" fillId="17" borderId="0" xfId="0" applyFill="1" applyProtection="1">
      <protection hidden="1"/>
    </xf>
    <xf numFmtId="0" fontId="26" fillId="0" borderId="3" xfId="0" applyFont="1" applyBorder="1" applyAlignment="1" applyProtection="1">
      <alignment vertical="top" wrapText="1"/>
      <protection hidden="1"/>
    </xf>
    <xf numFmtId="166" fontId="26" fillId="0" borderId="3" xfId="0" applyNumberFormat="1" applyFont="1" applyBorder="1" applyAlignment="1" applyProtection="1">
      <alignment horizontal="left" vertical="top" wrapText="1"/>
      <protection hidden="1"/>
    </xf>
    <xf numFmtId="166" fontId="26" fillId="0" borderId="0" xfId="0" applyNumberFormat="1" applyFont="1" applyAlignment="1" applyProtection="1">
      <alignment vertical="top" wrapText="1"/>
      <protection hidden="1"/>
    </xf>
    <xf numFmtId="0" fontId="0" fillId="6" borderId="0" xfId="0" applyFill="1" applyProtection="1">
      <protection hidden="1"/>
    </xf>
    <xf numFmtId="0" fontId="0" fillId="0" borderId="15" xfId="0" applyBorder="1" applyAlignment="1" applyProtection="1">
      <alignment horizontal="center"/>
      <protection hidden="1"/>
    </xf>
    <xf numFmtId="0" fontId="7" fillId="0" borderId="0" xfId="0" applyFont="1" applyAlignment="1" applyProtection="1">
      <alignment vertical="center"/>
      <protection hidden="1"/>
    </xf>
    <xf numFmtId="0" fontId="4" fillId="6" borderId="0" xfId="0" applyFont="1" applyFill="1" applyProtection="1">
      <protection hidden="1"/>
    </xf>
    <xf numFmtId="0" fontId="30" fillId="20" borderId="14" xfId="0" applyFont="1" applyFill="1" applyBorder="1" applyAlignment="1" applyProtection="1">
      <alignment horizontal="left"/>
      <protection hidden="1"/>
    </xf>
    <xf numFmtId="0" fontId="14" fillId="0" borderId="0" xfId="0" applyFont="1" applyProtection="1">
      <protection hidden="1"/>
    </xf>
    <xf numFmtId="0" fontId="57" fillId="2" borderId="0" xfId="0" quotePrefix="1" applyFont="1" applyFill="1" applyProtection="1">
      <protection hidden="1"/>
    </xf>
    <xf numFmtId="0" fontId="0" fillId="15" borderId="0" xfId="0" applyFill="1" applyProtection="1">
      <protection hidden="1"/>
    </xf>
    <xf numFmtId="0" fontId="0" fillId="23" borderId="9" xfId="0" applyFill="1" applyBorder="1" applyAlignment="1" applyProtection="1">
      <alignment horizontal="center"/>
      <protection hidden="1"/>
    </xf>
    <xf numFmtId="0" fontId="17" fillId="0" borderId="0" xfId="0" applyFont="1" applyAlignment="1" applyProtection="1">
      <alignment vertical="center"/>
      <protection hidden="1"/>
    </xf>
    <xf numFmtId="0" fontId="0" fillId="0" borderId="0" xfId="0" applyAlignment="1" applyProtection="1">
      <alignment vertical="center"/>
      <protection hidden="1"/>
    </xf>
    <xf numFmtId="0" fontId="9" fillId="0" borderId="0" xfId="0" applyFont="1" applyAlignment="1" applyProtection="1">
      <alignment vertical="center"/>
      <protection hidden="1"/>
    </xf>
    <xf numFmtId="0" fontId="34" fillId="0" borderId="0" xfId="0" applyFont="1" applyProtection="1">
      <protection hidden="1"/>
    </xf>
    <xf numFmtId="0" fontId="72" fillId="0" borderId="0" xfId="0" applyFont="1" applyProtection="1">
      <protection hidden="1"/>
    </xf>
    <xf numFmtId="0" fontId="0" fillId="0" borderId="14" xfId="0" applyBorder="1" applyAlignment="1" applyProtection="1">
      <alignment horizontal="center"/>
      <protection hidden="1"/>
    </xf>
    <xf numFmtId="0" fontId="1" fillId="0" borderId="0" xfId="0" applyFont="1" applyAlignment="1" applyProtection="1">
      <alignment horizontal="right"/>
      <protection hidden="1"/>
    </xf>
    <xf numFmtId="0" fontId="47" fillId="4" borderId="0" xfId="0" applyFont="1" applyFill="1" applyProtection="1">
      <protection hidden="1"/>
    </xf>
    <xf numFmtId="0" fontId="47" fillId="4" borderId="0" xfId="0" applyFont="1" applyFill="1" applyAlignment="1" applyProtection="1">
      <alignment horizontal="right"/>
      <protection hidden="1"/>
    </xf>
    <xf numFmtId="0" fontId="47" fillId="4" borderId="0" xfId="0" applyFont="1" applyFill="1" applyAlignment="1" applyProtection="1">
      <alignment horizontal="right" indent="1"/>
      <protection hidden="1"/>
    </xf>
    <xf numFmtId="0" fontId="47" fillId="4" borderId="0" xfId="0" applyFont="1" applyFill="1" applyAlignment="1" applyProtection="1">
      <alignment horizontal="left" indent="2"/>
      <protection hidden="1"/>
    </xf>
    <xf numFmtId="0" fontId="47" fillId="4" borderId="0" xfId="0" applyFont="1" applyFill="1" applyAlignment="1" applyProtection="1">
      <alignment horizontal="left" indent="1"/>
      <protection hidden="1"/>
    </xf>
    <xf numFmtId="0" fontId="0" fillId="25" borderId="0" xfId="0" applyFill="1" applyAlignment="1" applyProtection="1">
      <alignment horizontal="center"/>
      <protection hidden="1"/>
    </xf>
    <xf numFmtId="0" fontId="0" fillId="4" borderId="0" xfId="0" applyFill="1" applyAlignment="1" applyProtection="1">
      <alignment vertical="center"/>
      <protection hidden="1"/>
    </xf>
    <xf numFmtId="0" fontId="26" fillId="24" borderId="6" xfId="0" applyFont="1" applyFill="1" applyBorder="1" applyAlignment="1" applyProtection="1">
      <alignment horizontal="center" vertical="center"/>
      <protection hidden="1"/>
    </xf>
    <xf numFmtId="0" fontId="28" fillId="0" borderId="0" xfId="0" applyFont="1" applyAlignment="1" applyProtection="1">
      <alignment horizontal="center" vertical="center"/>
      <protection hidden="1"/>
    </xf>
    <xf numFmtId="166" fontId="9" fillId="0" borderId="0" xfId="0" applyNumberFormat="1" applyFont="1" applyAlignment="1" applyProtection="1">
      <alignment horizontal="right" vertical="center"/>
      <protection hidden="1"/>
    </xf>
    <xf numFmtId="3" fontId="85" fillId="0" borderId="17" xfId="0" applyNumberFormat="1" applyFont="1" applyBorder="1" applyAlignment="1" applyProtection="1">
      <alignment vertical="center"/>
      <protection hidden="1"/>
    </xf>
    <xf numFmtId="166" fontId="9" fillId="0" borderId="0" xfId="0" applyNumberFormat="1" applyFont="1" applyAlignment="1" applyProtection="1">
      <alignment horizontal="right" vertical="center" indent="1"/>
      <protection hidden="1"/>
    </xf>
    <xf numFmtId="4" fontId="48" fillId="0" borderId="25" xfId="0" applyNumberFormat="1" applyFont="1" applyBorder="1" applyAlignment="1" applyProtection="1">
      <alignment horizontal="left" vertical="center" indent="1"/>
      <protection hidden="1"/>
    </xf>
    <xf numFmtId="0" fontId="10" fillId="0" borderId="0" xfId="0" applyFont="1" applyAlignment="1" applyProtection="1">
      <alignment horizontal="left" indent="2"/>
      <protection hidden="1"/>
    </xf>
    <xf numFmtId="0" fontId="10" fillId="0" borderId="0" xfId="0" applyFont="1" applyAlignment="1" applyProtection="1">
      <alignment horizontal="left" indent="1"/>
      <protection hidden="1"/>
    </xf>
    <xf numFmtId="166" fontId="0" fillId="0" borderId="0" xfId="0" applyNumberFormat="1" applyProtection="1">
      <protection hidden="1"/>
    </xf>
    <xf numFmtId="0" fontId="26" fillId="0" borderId="0" xfId="0" applyFont="1" applyProtection="1">
      <protection hidden="1"/>
    </xf>
    <xf numFmtId="0" fontId="47" fillId="0" borderId="0" xfId="0" applyFont="1" applyProtection="1">
      <protection hidden="1"/>
    </xf>
    <xf numFmtId="0" fontId="3" fillId="6" borderId="0" xfId="0" applyFont="1" applyFill="1" applyProtection="1">
      <protection hidden="1"/>
    </xf>
    <xf numFmtId="0" fontId="36" fillId="0" borderId="0" xfId="0" applyFont="1" applyProtection="1">
      <protection hidden="1"/>
    </xf>
    <xf numFmtId="0" fontId="1" fillId="4" borderId="20" xfId="0" applyFont="1" applyFill="1" applyBorder="1" applyAlignment="1" applyProtection="1">
      <alignment horizontal="right" wrapText="1" indent="1"/>
      <protection hidden="1"/>
    </xf>
    <xf numFmtId="0" fontId="29" fillId="0" borderId="5" xfId="0" applyFont="1" applyBorder="1" applyAlignment="1" applyProtection="1">
      <alignment vertical="center"/>
      <protection hidden="1"/>
    </xf>
    <xf numFmtId="166" fontId="29" fillId="0" borderId="5" xfId="0" applyNumberFormat="1" applyFont="1" applyBorder="1" applyAlignment="1" applyProtection="1">
      <alignment horizontal="left" vertical="center"/>
      <protection hidden="1"/>
    </xf>
    <xf numFmtId="166" fontId="29" fillId="0" borderId="21" xfId="0" applyNumberFormat="1" applyFont="1" applyBorder="1" applyAlignment="1" applyProtection="1">
      <alignment horizontal="right" vertical="center" indent="1"/>
      <protection hidden="1"/>
    </xf>
    <xf numFmtId="0" fontId="26" fillId="0" borderId="5" xfId="0" applyFont="1" applyBorder="1" applyAlignment="1" applyProtection="1">
      <alignment vertical="center"/>
      <protection hidden="1"/>
    </xf>
    <xf numFmtId="166" fontId="26" fillId="0" borderId="5" xfId="0" applyNumberFormat="1" applyFont="1" applyBorder="1" applyAlignment="1" applyProtection="1">
      <alignment horizontal="left" vertical="center"/>
      <protection hidden="1"/>
    </xf>
    <xf numFmtId="166" fontId="26" fillId="0" borderId="21" xfId="0" applyNumberFormat="1" applyFont="1" applyBorder="1" applyAlignment="1" applyProtection="1">
      <alignment horizontal="right" vertical="center" indent="1"/>
      <protection hidden="1"/>
    </xf>
    <xf numFmtId="3" fontId="26" fillId="0" borderId="21" xfId="0" applyNumberFormat="1" applyFont="1" applyBorder="1" applyAlignment="1" applyProtection="1">
      <alignment horizontal="right" vertical="center" indent="1"/>
      <protection hidden="1"/>
    </xf>
    <xf numFmtId="4" fontId="26" fillId="0" borderId="21" xfId="0" applyNumberFormat="1" applyFont="1" applyBorder="1" applyAlignment="1" applyProtection="1">
      <alignment horizontal="right" vertical="center" indent="1"/>
      <protection hidden="1"/>
    </xf>
    <xf numFmtId="167" fontId="10" fillId="0" borderId="0" xfId="0" applyNumberFormat="1" applyFont="1" applyAlignment="1" applyProtection="1">
      <alignment vertical="center"/>
      <protection hidden="1"/>
    </xf>
    <xf numFmtId="0" fontId="0" fillId="0" borderId="0" xfId="0" applyAlignment="1" applyProtection="1">
      <alignment horizontal="left"/>
      <protection hidden="1"/>
    </xf>
    <xf numFmtId="0" fontId="1" fillId="4" borderId="0" xfId="0" applyFont="1" applyFill="1" applyAlignment="1" applyProtection="1">
      <alignment horizontal="right" wrapText="1" indent="1"/>
      <protection hidden="1"/>
    </xf>
    <xf numFmtId="167" fontId="84" fillId="0" borderId="22" xfId="0" applyNumberFormat="1" applyFont="1" applyBorder="1" applyAlignment="1" applyProtection="1">
      <alignment horizontal="right" vertical="center" indent="1"/>
      <protection hidden="1"/>
    </xf>
    <xf numFmtId="10" fontId="84" fillId="0" borderId="22" xfId="0" applyNumberFormat="1" applyFont="1" applyBorder="1" applyAlignment="1" applyProtection="1">
      <alignment horizontal="right" vertical="center" indent="1"/>
      <protection hidden="1"/>
    </xf>
    <xf numFmtId="166" fontId="29" fillId="0" borderId="22" xfId="0" applyNumberFormat="1" applyFont="1" applyBorder="1" applyAlignment="1" applyProtection="1">
      <alignment horizontal="right" vertical="center" indent="1"/>
      <protection hidden="1"/>
    </xf>
    <xf numFmtId="167" fontId="28" fillId="0" borderId="22" xfId="0" applyNumberFormat="1" applyFont="1" applyBorder="1" applyAlignment="1" applyProtection="1">
      <alignment horizontal="right" vertical="center" indent="1"/>
      <protection hidden="1"/>
    </xf>
    <xf numFmtId="10" fontId="28" fillId="0" borderId="22" xfId="0" applyNumberFormat="1" applyFont="1" applyBorder="1" applyAlignment="1" applyProtection="1">
      <alignment horizontal="right" vertical="center" indent="1"/>
      <protection hidden="1"/>
    </xf>
    <xf numFmtId="166" fontId="26" fillId="0" borderId="22" xfId="0" applyNumberFormat="1" applyFont="1" applyBorder="1" applyAlignment="1" applyProtection="1">
      <alignment horizontal="right" vertical="center" indent="1"/>
      <protection hidden="1"/>
    </xf>
    <xf numFmtId="164" fontId="9" fillId="0" borderId="0" xfId="0" applyNumberFormat="1" applyFont="1" applyProtection="1">
      <protection hidden="1"/>
    </xf>
    <xf numFmtId="0" fontId="16" fillId="3" borderId="0" xfId="0" applyFont="1" applyFill="1" applyProtection="1">
      <protection hidden="1"/>
    </xf>
    <xf numFmtId="0" fontId="31" fillId="0" borderId="0" xfId="0" applyFont="1" applyAlignment="1" applyProtection="1">
      <alignment vertical="center"/>
      <protection hidden="1"/>
    </xf>
    <xf numFmtId="0" fontId="9" fillId="6" borderId="0" xfId="0" applyFont="1" applyFill="1" applyProtection="1">
      <protection hidden="1"/>
    </xf>
    <xf numFmtId="0" fontId="31" fillId="0" borderId="0" xfId="0" applyFont="1" applyProtection="1">
      <protection hidden="1"/>
    </xf>
    <xf numFmtId="0" fontId="45" fillId="0" borderId="0" xfId="0" applyFont="1" applyAlignment="1" applyProtection="1">
      <alignment vertical="center"/>
      <protection hidden="1"/>
    </xf>
    <xf numFmtId="0" fontId="21" fillId="0" borderId="0" xfId="0" applyFont="1" applyAlignment="1" applyProtection="1">
      <alignment vertical="center"/>
      <protection hidden="1"/>
    </xf>
    <xf numFmtId="0" fontId="32" fillId="4" borderId="0" xfId="0" applyFont="1" applyFill="1" applyAlignment="1" applyProtection="1">
      <alignment vertical="center" wrapText="1"/>
      <protection hidden="1"/>
    </xf>
    <xf numFmtId="0" fontId="9" fillId="4" borderId="0" xfId="0" applyFont="1" applyFill="1" applyProtection="1">
      <protection hidden="1"/>
    </xf>
    <xf numFmtId="0" fontId="32" fillId="4" borderId="0" xfId="0" applyFont="1" applyFill="1" applyAlignment="1" applyProtection="1">
      <alignment vertical="center"/>
      <protection hidden="1"/>
    </xf>
    <xf numFmtId="0" fontId="13" fillId="0" borderId="0" xfId="0" applyFont="1" applyProtection="1">
      <protection hidden="1"/>
    </xf>
    <xf numFmtId="0" fontId="17" fillId="0" borderId="0" xfId="0" applyFont="1" applyProtection="1">
      <protection hidden="1"/>
    </xf>
    <xf numFmtId="0" fontId="9" fillId="0" borderId="0" xfId="0" applyFont="1" applyAlignment="1" applyProtection="1">
      <alignment horizontal="right"/>
      <protection hidden="1"/>
    </xf>
    <xf numFmtId="0" fontId="9" fillId="12" borderId="0" xfId="0" applyFont="1" applyFill="1" applyProtection="1">
      <protection hidden="1"/>
    </xf>
    <xf numFmtId="0" fontId="9" fillId="21" borderId="0" xfId="0" applyFont="1" applyFill="1" applyProtection="1">
      <protection hidden="1"/>
    </xf>
    <xf numFmtId="0" fontId="19" fillId="21" borderId="0" xfId="0" applyFont="1" applyFill="1" applyProtection="1">
      <protection hidden="1"/>
    </xf>
    <xf numFmtId="0" fontId="9" fillId="0" borderId="2" xfId="0" applyFont="1" applyBorder="1" applyAlignment="1" applyProtection="1">
      <alignment vertical="center"/>
      <protection hidden="1"/>
    </xf>
    <xf numFmtId="10" fontId="9" fillId="0" borderId="2" xfId="0" applyNumberFormat="1" applyFont="1" applyBorder="1" applyAlignment="1" applyProtection="1">
      <alignment vertical="center"/>
      <protection hidden="1"/>
    </xf>
    <xf numFmtId="167" fontId="35" fillId="0" borderId="2" xfId="0" applyNumberFormat="1" applyFont="1" applyBorder="1" applyAlignment="1" applyProtection="1">
      <alignment horizontal="left" vertical="center" indent="2"/>
      <protection hidden="1"/>
    </xf>
    <xf numFmtId="0" fontId="11" fillId="21" borderId="2" xfId="0" applyFont="1" applyFill="1" applyBorder="1" applyAlignment="1" applyProtection="1">
      <alignment vertical="center"/>
      <protection locked="0" hidden="1"/>
    </xf>
    <xf numFmtId="0" fontId="11" fillId="0" borderId="2" xfId="0" applyFont="1" applyBorder="1" applyAlignment="1" applyProtection="1">
      <alignment vertical="center"/>
      <protection hidden="1"/>
    </xf>
    <xf numFmtId="10" fontId="11" fillId="0" borderId="2" xfId="0" applyNumberFormat="1" applyFont="1" applyBorder="1" applyAlignment="1" applyProtection="1">
      <alignment vertical="center"/>
      <protection hidden="1"/>
    </xf>
    <xf numFmtId="0" fontId="1" fillId="0" borderId="0" xfId="0" applyFont="1" applyAlignment="1" applyProtection="1">
      <alignment horizontal="left" vertical="center" indent="2"/>
      <protection hidden="1"/>
    </xf>
    <xf numFmtId="0" fontId="9" fillId="0" borderId="0" xfId="0" applyFont="1" applyProtection="1">
      <protection locked="0" hidden="1"/>
    </xf>
    <xf numFmtId="0" fontId="13" fillId="0" borderId="0" xfId="0" applyFont="1" applyAlignment="1" applyProtection="1">
      <alignment vertical="center"/>
      <protection hidden="1"/>
    </xf>
    <xf numFmtId="0" fontId="1" fillId="0" borderId="0" xfId="0" applyFont="1" applyAlignment="1" applyProtection="1">
      <alignment horizontal="left" indent="2"/>
      <protection hidden="1"/>
    </xf>
    <xf numFmtId="0" fontId="9" fillId="0" borderId="0" xfId="0" applyFont="1" applyAlignment="1" applyProtection="1">
      <alignment horizontal="right"/>
      <protection locked="0" hidden="1"/>
    </xf>
    <xf numFmtId="167" fontId="9" fillId="0" borderId="2" xfId="0" applyNumberFormat="1" applyFont="1" applyBorder="1" applyAlignment="1" applyProtection="1">
      <alignment vertical="center"/>
      <protection hidden="1"/>
    </xf>
    <xf numFmtId="167" fontId="33" fillId="0" borderId="2" xfId="0" applyNumberFormat="1" applyFont="1" applyBorder="1" applyAlignment="1" applyProtection="1">
      <alignment horizontal="left" vertical="center" indent="2"/>
      <protection hidden="1"/>
    </xf>
    <xf numFmtId="0" fontId="9" fillId="21" borderId="2" xfId="0" applyFont="1" applyFill="1" applyBorder="1" applyAlignment="1" applyProtection="1">
      <alignment horizontal="right" vertical="center"/>
      <protection locked="0" hidden="1"/>
    </xf>
    <xf numFmtId="169" fontId="9" fillId="0" borderId="0" xfId="0" applyNumberFormat="1" applyFont="1" applyProtection="1">
      <protection hidden="1"/>
    </xf>
    <xf numFmtId="0" fontId="6" fillId="26" borderId="0" xfId="0" applyFont="1" applyFill="1" applyProtection="1">
      <protection hidden="1"/>
    </xf>
    <xf numFmtId="0" fontId="14" fillId="0" borderId="0" xfId="0" applyFont="1" applyAlignment="1" applyProtection="1">
      <alignment horizontal="left" vertical="top"/>
      <protection hidden="1"/>
    </xf>
    <xf numFmtId="0" fontId="90" fillId="2" borderId="0" xfId="0" quotePrefix="1" applyFont="1" applyFill="1" applyAlignment="1" applyProtection="1">
      <alignment vertical="top"/>
      <protection hidden="1"/>
    </xf>
    <xf numFmtId="0" fontId="63" fillId="0" borderId="0" xfId="0" applyFont="1" applyProtection="1">
      <protection hidden="1"/>
    </xf>
    <xf numFmtId="0" fontId="18" fillId="0" borderId="3" xfId="0" applyFont="1" applyBorder="1" applyProtection="1">
      <protection hidden="1"/>
    </xf>
    <xf numFmtId="0" fontId="0" fillId="0" borderId="3" xfId="0" applyBorder="1" applyProtection="1">
      <protection hidden="1"/>
    </xf>
    <xf numFmtId="0" fontId="67" fillId="2" borderId="0" xfId="0" quotePrefix="1" applyFont="1" applyFill="1" applyAlignment="1" applyProtection="1">
      <alignment vertical="top"/>
      <protection hidden="1"/>
    </xf>
    <xf numFmtId="0" fontId="58" fillId="2" borderId="0" xfId="0" quotePrefix="1" applyFont="1" applyFill="1" applyAlignment="1" applyProtection="1">
      <alignment vertical="center"/>
      <protection hidden="1"/>
    </xf>
    <xf numFmtId="168" fontId="5" fillId="0" borderId="0" xfId="0" applyNumberFormat="1" applyFont="1" applyAlignment="1" applyProtection="1">
      <alignment vertical="center"/>
      <protection hidden="1"/>
    </xf>
    <xf numFmtId="0" fontId="71"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2" fontId="24" fillId="0" borderId="0" xfId="0" applyNumberFormat="1" applyFont="1" applyAlignment="1" applyProtection="1">
      <alignment horizontal="right" vertical="center"/>
      <protection hidden="1"/>
    </xf>
    <xf numFmtId="0" fontId="26" fillId="0" borderId="5" xfId="0" applyFont="1" applyBorder="1" applyProtection="1">
      <protection hidden="1"/>
    </xf>
    <xf numFmtId="2" fontId="26" fillId="0" borderId="5" xfId="0" applyNumberFormat="1" applyFont="1" applyBorder="1" applyAlignment="1" applyProtection="1">
      <alignment horizontal="right"/>
      <protection hidden="1"/>
    </xf>
    <xf numFmtId="2" fontId="0" fillId="0" borderId="0" xfId="0" applyNumberFormat="1" applyAlignment="1" applyProtection="1">
      <alignment horizontal="right"/>
      <protection hidden="1"/>
    </xf>
    <xf numFmtId="0" fontId="79" fillId="0" borderId="0" xfId="0" applyFont="1" applyAlignment="1" applyProtection="1">
      <alignment vertical="center"/>
      <protection hidden="1"/>
    </xf>
    <xf numFmtId="0" fontId="26" fillId="4" borderId="0" xfId="0" applyFont="1" applyFill="1" applyProtection="1">
      <protection hidden="1"/>
    </xf>
    <xf numFmtId="166" fontId="26" fillId="4" borderId="0" xfId="0" applyNumberFormat="1" applyFont="1" applyFill="1" applyAlignment="1" applyProtection="1">
      <alignment horizontal="right"/>
      <protection hidden="1"/>
    </xf>
    <xf numFmtId="0" fontId="26" fillId="4" borderId="0" xfId="0" applyFont="1" applyFill="1" applyAlignment="1" applyProtection="1">
      <alignment horizontal="right"/>
      <protection hidden="1"/>
    </xf>
    <xf numFmtId="3" fontId="26" fillId="4" borderId="0" xfId="0" applyNumberFormat="1" applyFont="1" applyFill="1" applyAlignment="1" applyProtection="1">
      <alignment horizontal="right"/>
      <protection hidden="1"/>
    </xf>
    <xf numFmtId="0" fontId="62" fillId="0" borderId="0" xfId="0" applyFont="1" applyAlignment="1" applyProtection="1">
      <alignment vertical="center"/>
      <protection hidden="1"/>
    </xf>
    <xf numFmtId="0" fontId="70" fillId="0" borderId="0" xfId="0" applyFont="1" applyAlignment="1" applyProtection="1">
      <alignment horizontal="right"/>
      <protection hidden="1"/>
    </xf>
    <xf numFmtId="0" fontId="66" fillId="4" borderId="0" xfId="0" applyFont="1" applyFill="1" applyProtection="1">
      <protection hidden="1"/>
    </xf>
    <xf numFmtId="0" fontId="67" fillId="4" borderId="0" xfId="0" applyFont="1" applyFill="1" applyProtection="1">
      <protection hidden="1"/>
    </xf>
    <xf numFmtId="0" fontId="91" fillId="0" borderId="0" xfId="0" applyFont="1" applyAlignment="1" applyProtection="1">
      <alignment horizontal="left"/>
      <protection hidden="1"/>
    </xf>
    <xf numFmtId="0" fontId="81" fillId="0" borderId="0" xfId="0" applyFont="1" applyAlignment="1" applyProtection="1">
      <alignment horizontal="right" vertical="top"/>
      <protection hidden="1"/>
    </xf>
    <xf numFmtId="0" fontId="26" fillId="0" borderId="0" xfId="0" applyFont="1" applyAlignment="1" applyProtection="1">
      <alignment vertical="center"/>
      <protection hidden="1"/>
    </xf>
    <xf numFmtId="0" fontId="89" fillId="0" borderId="0" xfId="0" applyFont="1" applyAlignment="1" applyProtection="1">
      <alignment horizontal="right" vertical="center"/>
      <protection hidden="1"/>
    </xf>
    <xf numFmtId="0" fontId="80" fillId="0" borderId="0" xfId="0" applyFont="1" applyAlignment="1" applyProtection="1">
      <alignment horizontal="right"/>
      <protection hidden="1"/>
    </xf>
    <xf numFmtId="0" fontId="34" fillId="0" borderId="3" xfId="0" applyFont="1" applyBorder="1" applyAlignment="1" applyProtection="1">
      <alignment horizontal="right"/>
      <protection hidden="1"/>
    </xf>
    <xf numFmtId="0" fontId="86" fillId="0" borderId="0" xfId="0" applyFont="1" applyAlignment="1" applyProtection="1">
      <alignment horizontal="right"/>
      <protection hidden="1"/>
    </xf>
    <xf numFmtId="0" fontId="26" fillId="7" borderId="0" xfId="0" applyFont="1" applyFill="1" applyProtection="1">
      <protection hidden="1"/>
    </xf>
    <xf numFmtId="0" fontId="0" fillId="0" borderId="18" xfId="0" applyBorder="1" applyProtection="1">
      <protection hidden="1"/>
    </xf>
    <xf numFmtId="165" fontId="82" fillId="0" borderId="5" xfId="0" applyNumberFormat="1" applyFont="1" applyBorder="1" applyAlignment="1" applyProtection="1">
      <alignment vertical="center"/>
      <protection hidden="1"/>
    </xf>
    <xf numFmtId="165" fontId="87" fillId="0" borderId="5" xfId="0" applyNumberFormat="1" applyFont="1" applyBorder="1" applyAlignment="1" applyProtection="1">
      <alignment vertical="center"/>
      <protection hidden="1"/>
    </xf>
    <xf numFmtId="165" fontId="27" fillId="0" borderId="5" xfId="0" applyNumberFormat="1" applyFont="1" applyBorder="1" applyAlignment="1" applyProtection="1">
      <alignment vertical="center"/>
      <protection hidden="1"/>
    </xf>
    <xf numFmtId="165" fontId="88" fillId="0" borderId="5" xfId="0" applyNumberFormat="1" applyFont="1" applyBorder="1" applyAlignment="1" applyProtection="1">
      <alignment vertical="center"/>
      <protection hidden="1"/>
    </xf>
    <xf numFmtId="0" fontId="0" fillId="19" borderId="0" xfId="0" applyFill="1" applyProtection="1">
      <protection hidden="1"/>
    </xf>
    <xf numFmtId="0" fontId="26" fillId="15" borderId="0" xfId="0" applyFont="1" applyFill="1" applyProtection="1">
      <protection hidden="1"/>
    </xf>
    <xf numFmtId="0" fontId="34" fillId="0" borderId="0" xfId="0" applyFont="1" applyAlignment="1" applyProtection="1">
      <alignment horizontal="right"/>
      <protection hidden="1"/>
    </xf>
    <xf numFmtId="0" fontId="59" fillId="0" borderId="0" xfId="0" applyFont="1" applyAlignment="1" applyProtection="1">
      <alignment horizontal="center" vertical="center"/>
      <protection hidden="1"/>
    </xf>
    <xf numFmtId="165" fontId="9" fillId="0" borderId="0" xfId="0" applyNumberFormat="1" applyFont="1" applyAlignment="1" applyProtection="1">
      <alignment horizontal="center" vertical="center"/>
      <protection hidden="1"/>
    </xf>
    <xf numFmtId="165" fontId="54" fillId="0" borderId="0" xfId="0" applyNumberFormat="1" applyFont="1" applyAlignment="1" applyProtection="1">
      <alignment horizontal="center" vertical="center"/>
      <protection hidden="1"/>
    </xf>
    <xf numFmtId="165" fontId="11" fillId="0" borderId="0" xfId="0" applyNumberFormat="1" applyFont="1" applyAlignment="1" applyProtection="1">
      <alignment horizontal="right" vertical="center"/>
      <protection hidden="1"/>
    </xf>
    <xf numFmtId="0" fontId="9" fillId="0" borderId="3" xfId="0" applyFont="1" applyBorder="1" applyAlignment="1" applyProtection="1">
      <alignment vertical="center"/>
      <protection hidden="1"/>
    </xf>
    <xf numFmtId="0" fontId="38" fillId="0" borderId="0" xfId="0" applyFont="1" applyAlignment="1" applyProtection="1">
      <alignment horizontal="right" indent="1"/>
      <protection hidden="1"/>
    </xf>
    <xf numFmtId="165" fontId="54" fillId="0" borderId="3" xfId="0" applyNumberFormat="1" applyFont="1" applyBorder="1" applyAlignment="1" applyProtection="1">
      <alignment horizontal="center" vertical="center"/>
      <protection hidden="1"/>
    </xf>
    <xf numFmtId="0" fontId="1" fillId="0" borderId="3" xfId="0" applyFont="1" applyBorder="1" applyAlignment="1" applyProtection="1">
      <alignment horizontal="right"/>
      <protection hidden="1"/>
    </xf>
    <xf numFmtId="165" fontId="14" fillId="0" borderId="5" xfId="0" applyNumberFormat="1" applyFont="1" applyBorder="1" applyAlignment="1" applyProtection="1">
      <alignment horizontal="center" vertical="center"/>
      <protection hidden="1"/>
    </xf>
    <xf numFmtId="0" fontId="76" fillId="0" borderId="24" xfId="0" applyFont="1" applyBorder="1" applyAlignment="1" applyProtection="1">
      <alignment horizontal="center" vertical="center"/>
      <protection hidden="1"/>
    </xf>
    <xf numFmtId="0" fontId="37" fillId="0" borderId="36" xfId="0" applyFont="1" applyBorder="1" applyAlignment="1" applyProtection="1">
      <alignment horizontal="center" vertical="center"/>
      <protection hidden="1"/>
    </xf>
    <xf numFmtId="0" fontId="0" fillId="0" borderId="5" xfId="0" applyBorder="1" applyAlignment="1" applyProtection="1">
      <alignment horizontal="left" vertical="center" indent="1"/>
      <protection hidden="1"/>
    </xf>
    <xf numFmtId="0" fontId="9" fillId="0" borderId="5" xfId="0" applyFont="1" applyBorder="1" applyAlignment="1" applyProtection="1">
      <alignment vertical="center"/>
      <protection hidden="1"/>
    </xf>
    <xf numFmtId="165" fontId="46" fillId="0" borderId="18" xfId="0" applyNumberFormat="1" applyFont="1" applyBorder="1" applyAlignment="1" applyProtection="1">
      <alignment horizontal="center" vertical="center"/>
      <protection hidden="1"/>
    </xf>
    <xf numFmtId="165" fontId="69" fillId="0" borderId="8" xfId="0" applyNumberFormat="1" applyFont="1" applyBorder="1" applyAlignment="1" applyProtection="1">
      <alignment horizontal="left" vertical="center"/>
      <protection hidden="1"/>
    </xf>
    <xf numFmtId="165" fontId="69" fillId="0" borderId="5" xfId="0" applyNumberFormat="1" applyFont="1" applyBorder="1" applyAlignment="1" applyProtection="1">
      <alignment horizontal="left" vertical="center"/>
      <protection hidden="1"/>
    </xf>
    <xf numFmtId="165" fontId="61" fillId="0" borderId="5" xfId="0" applyNumberFormat="1" applyFont="1" applyBorder="1" applyAlignment="1" applyProtection="1">
      <alignment horizontal="left" vertical="center"/>
      <protection hidden="1"/>
    </xf>
    <xf numFmtId="0" fontId="11" fillId="0" borderId="0" xfId="0" applyFont="1" applyAlignment="1" applyProtection="1">
      <alignment vertical="center"/>
      <protection hidden="1"/>
    </xf>
    <xf numFmtId="165" fontId="10" fillId="0" borderId="5" xfId="0" applyNumberFormat="1" applyFont="1" applyBorder="1" applyAlignment="1" applyProtection="1">
      <alignment horizontal="center" vertical="center"/>
      <protection hidden="1"/>
    </xf>
    <xf numFmtId="0" fontId="77" fillId="0" borderId="5" xfId="0" applyFont="1" applyBorder="1" applyAlignment="1" applyProtection="1">
      <alignment horizontal="center" vertical="center"/>
      <protection hidden="1"/>
    </xf>
    <xf numFmtId="0" fontId="98" fillId="0" borderId="5" xfId="0" applyFont="1" applyBorder="1" applyAlignment="1" applyProtection="1">
      <alignment horizontal="center" vertical="center"/>
      <protection hidden="1"/>
    </xf>
    <xf numFmtId="165" fontId="23" fillId="0" borderId="5" xfId="0" applyNumberFormat="1" applyFont="1" applyBorder="1" applyAlignment="1" applyProtection="1">
      <alignment horizontal="center" vertical="center"/>
      <protection hidden="1"/>
    </xf>
    <xf numFmtId="0" fontId="38" fillId="4" borderId="0" xfId="0" applyFont="1" applyFill="1" applyAlignment="1" applyProtection="1">
      <alignment vertical="center"/>
      <protection hidden="1"/>
    </xf>
    <xf numFmtId="165" fontId="54" fillId="4" borderId="3" xfId="0" applyNumberFormat="1" applyFont="1" applyFill="1" applyBorder="1" applyAlignment="1" applyProtection="1">
      <alignment horizontal="center" vertical="center"/>
      <protection hidden="1"/>
    </xf>
    <xf numFmtId="0" fontId="1" fillId="4" borderId="3" xfId="0" applyFont="1" applyFill="1" applyBorder="1" applyAlignment="1" applyProtection="1">
      <alignment horizontal="right"/>
      <protection hidden="1"/>
    </xf>
    <xf numFmtId="165" fontId="14" fillId="0" borderId="0" xfId="0" applyNumberFormat="1" applyFont="1" applyAlignment="1" applyProtection="1">
      <alignment horizontal="center" vertical="center"/>
      <protection hidden="1"/>
    </xf>
    <xf numFmtId="0" fontId="76" fillId="0" borderId="0" xfId="0" applyFont="1" applyAlignment="1" applyProtection="1">
      <alignment horizontal="center" vertical="center"/>
      <protection hidden="1"/>
    </xf>
    <xf numFmtId="0" fontId="37" fillId="0" borderId="0" xfId="0" applyFont="1" applyAlignment="1" applyProtection="1">
      <alignment horizontal="center" vertical="center"/>
      <protection hidden="1"/>
    </xf>
    <xf numFmtId="0" fontId="0" fillId="0" borderId="0" xfId="0" applyAlignment="1" applyProtection="1">
      <alignment horizontal="left" vertical="center" indent="1"/>
      <protection hidden="1"/>
    </xf>
    <xf numFmtId="165" fontId="46" fillId="0" borderId="0" xfId="0" applyNumberFormat="1" applyFont="1" applyAlignment="1" applyProtection="1">
      <alignment horizontal="center" vertical="center"/>
      <protection hidden="1"/>
    </xf>
    <xf numFmtId="165" fontId="69" fillId="0" borderId="0" xfId="0" applyNumberFormat="1" applyFont="1" applyAlignment="1" applyProtection="1">
      <alignment horizontal="left" vertical="center"/>
      <protection hidden="1"/>
    </xf>
    <xf numFmtId="165" fontId="69" fillId="0" borderId="3" xfId="0" applyNumberFormat="1" applyFont="1" applyBorder="1" applyAlignment="1" applyProtection="1">
      <alignment horizontal="left" vertical="center"/>
      <protection hidden="1"/>
    </xf>
    <xf numFmtId="165" fontId="61" fillId="0" borderId="0" xfId="0" applyNumberFormat="1" applyFont="1" applyAlignment="1" applyProtection="1">
      <alignment horizontal="left" vertical="center"/>
      <protection hidden="1"/>
    </xf>
    <xf numFmtId="0" fontId="38" fillId="4" borderId="0" xfId="0" applyFont="1" applyFill="1" applyProtection="1">
      <protection hidden="1"/>
    </xf>
    <xf numFmtId="0" fontId="9" fillId="18" borderId="0" xfId="0" applyFont="1" applyFill="1" applyProtection="1">
      <protection hidden="1"/>
    </xf>
    <xf numFmtId="0" fontId="78" fillId="23" borderId="0" xfId="0" applyFont="1" applyFill="1" applyAlignment="1" applyProtection="1">
      <alignment horizontal="center" vertical="center"/>
      <protection hidden="1"/>
    </xf>
    <xf numFmtId="0" fontId="9" fillId="0" borderId="16" xfId="0" applyFont="1" applyBorder="1" applyProtection="1">
      <protection hidden="1"/>
    </xf>
    <xf numFmtId="0" fontId="0" fillId="0" borderId="16" xfId="0" applyBorder="1" applyProtection="1">
      <protection hidden="1"/>
    </xf>
    <xf numFmtId="0" fontId="92" fillId="16" borderId="0" xfId="0" applyFont="1" applyFill="1" applyAlignment="1" applyProtection="1">
      <alignment horizontal="centerContinuous" vertical="center"/>
      <protection hidden="1"/>
    </xf>
    <xf numFmtId="0" fontId="93" fillId="10" borderId="0" xfId="0" applyFont="1" applyFill="1" applyAlignment="1" applyProtection="1">
      <alignment horizontal="centerContinuous" vertical="center"/>
      <protection hidden="1"/>
    </xf>
    <xf numFmtId="0" fontId="94" fillId="11" borderId="0" xfId="0" applyFont="1" applyFill="1" applyAlignment="1" applyProtection="1">
      <alignment horizontal="centerContinuous" vertical="center"/>
      <protection hidden="1"/>
    </xf>
    <xf numFmtId="0" fontId="95" fillId="9" borderId="0" xfId="0" applyFont="1" applyFill="1" applyAlignment="1" applyProtection="1">
      <alignment horizontal="centerContinuous" vertical="center"/>
      <protection hidden="1"/>
    </xf>
    <xf numFmtId="0" fontId="96" fillId="8" borderId="0" xfId="0" applyFont="1" applyFill="1" applyAlignment="1" applyProtection="1">
      <alignment horizontal="centerContinuous" vertical="center"/>
      <protection hidden="1"/>
    </xf>
    <xf numFmtId="0" fontId="107" fillId="16" borderId="0" xfId="0" applyFont="1" applyFill="1" applyAlignment="1" applyProtection="1">
      <alignment horizontal="centerContinuous" vertical="center"/>
      <protection hidden="1"/>
    </xf>
    <xf numFmtId="0" fontId="104" fillId="10" borderId="0" xfId="0" applyFont="1" applyFill="1" applyAlignment="1" applyProtection="1">
      <alignment horizontal="centerContinuous" vertical="center"/>
      <protection hidden="1"/>
    </xf>
    <xf numFmtId="0" fontId="105" fillId="11" borderId="0" xfId="0" applyFont="1" applyFill="1" applyAlignment="1" applyProtection="1">
      <alignment horizontal="centerContinuous" vertical="center"/>
      <protection hidden="1"/>
    </xf>
    <xf numFmtId="0" fontId="106" fillId="9" borderId="0" xfId="0" applyFont="1" applyFill="1" applyAlignment="1" applyProtection="1">
      <alignment horizontal="centerContinuous" vertical="center"/>
      <protection hidden="1"/>
    </xf>
    <xf numFmtId="0" fontId="108" fillId="8" borderId="0" xfId="0" applyFont="1" applyFill="1" applyAlignment="1" applyProtection="1">
      <alignment horizontal="centerContinuous" vertical="center"/>
      <protection hidden="1"/>
    </xf>
    <xf numFmtId="0" fontId="0" fillId="25" borderId="0" xfId="0" applyFill="1" applyProtection="1">
      <protection hidden="1"/>
    </xf>
    <xf numFmtId="0" fontId="72" fillId="0" borderId="0" xfId="0" quotePrefix="1" applyFont="1" applyProtection="1">
      <protection hidden="1"/>
    </xf>
    <xf numFmtId="0" fontId="50" fillId="0" borderId="0" xfId="0" quotePrefix="1" applyFont="1" applyProtection="1">
      <protection hidden="1"/>
    </xf>
    <xf numFmtId="0" fontId="68" fillId="0" borderId="0" xfId="0" quotePrefix="1" applyFont="1" applyProtection="1">
      <protection hidden="1"/>
    </xf>
    <xf numFmtId="0" fontId="53" fillId="0" borderId="0" xfId="0" applyFont="1" applyProtection="1">
      <protection hidden="1"/>
    </xf>
    <xf numFmtId="0" fontId="19" fillId="0" borderId="0" xfId="0" applyFont="1" applyAlignment="1" applyProtection="1">
      <alignment horizontal="center" vertical="center"/>
      <protection hidden="1"/>
    </xf>
    <xf numFmtId="165" fontId="9" fillId="0" borderId="0" xfId="0" applyNumberFormat="1" applyFont="1" applyAlignment="1" applyProtection="1">
      <alignment vertical="center"/>
      <protection hidden="1"/>
    </xf>
    <xf numFmtId="0" fontId="79" fillId="0" borderId="0" xfId="0" quotePrefix="1" applyFont="1" applyProtection="1">
      <protection hidden="1"/>
    </xf>
    <xf numFmtId="0" fontId="0" fillId="21" borderId="0" xfId="0" applyFill="1" applyProtection="1">
      <protection hidden="1"/>
    </xf>
    <xf numFmtId="0" fontId="4" fillId="21" borderId="0" xfId="0" applyFont="1" applyFill="1" applyProtection="1">
      <protection hidden="1"/>
    </xf>
    <xf numFmtId="0" fontId="1" fillId="21" borderId="0" xfId="0" applyFont="1" applyFill="1" applyProtection="1">
      <protection hidden="1"/>
    </xf>
    <xf numFmtId="0" fontId="8" fillId="14" borderId="0" xfId="0" applyFont="1" applyFill="1" applyProtection="1">
      <protection hidden="1"/>
    </xf>
    <xf numFmtId="0" fontId="8" fillId="14" borderId="0" xfId="0" applyFont="1" applyFill="1" applyAlignment="1" applyProtection="1">
      <alignment horizontal="right"/>
      <protection hidden="1"/>
    </xf>
    <xf numFmtId="0" fontId="8" fillId="4" borderId="0" xfId="0" applyFont="1" applyFill="1" applyProtection="1">
      <protection hidden="1"/>
    </xf>
    <xf numFmtId="0" fontId="8" fillId="4" borderId="0" xfId="0" applyFont="1" applyFill="1" applyAlignment="1" applyProtection="1">
      <alignment horizontal="right"/>
      <protection hidden="1"/>
    </xf>
    <xf numFmtId="0" fontId="4" fillId="22" borderId="0" xfId="0" applyFont="1" applyFill="1" applyProtection="1">
      <protection hidden="1"/>
    </xf>
    <xf numFmtId="0" fontId="1" fillId="25" borderId="0" xfId="0" applyFont="1" applyFill="1" applyProtection="1">
      <protection hidden="1"/>
    </xf>
    <xf numFmtId="0" fontId="3" fillId="0" borderId="6" xfId="0" applyFont="1" applyBorder="1" applyAlignment="1" applyProtection="1">
      <alignment horizontal="center" vertical="center"/>
      <protection hidden="1"/>
    </xf>
    <xf numFmtId="0" fontId="51" fillId="0" borderId="0" xfId="0" applyFont="1" applyAlignment="1" applyProtection="1">
      <alignment horizontal="center" vertical="center"/>
      <protection hidden="1"/>
    </xf>
    <xf numFmtId="0" fontId="0" fillId="0" borderId="10" xfId="0" applyBorder="1" applyProtection="1">
      <protection hidden="1"/>
    </xf>
    <xf numFmtId="0" fontId="14" fillId="0" borderId="7" xfId="0" applyFont="1" applyBorder="1" applyProtection="1">
      <protection hidden="1"/>
    </xf>
    <xf numFmtId="0" fontId="0" fillId="0" borderId="7" xfId="0" applyBorder="1" applyProtection="1">
      <protection hidden="1"/>
    </xf>
    <xf numFmtId="0" fontId="14" fillId="0" borderId="7" xfId="0" applyFont="1" applyBorder="1" applyAlignment="1" applyProtection="1">
      <alignment horizontal="left"/>
      <protection hidden="1"/>
    </xf>
    <xf numFmtId="0" fontId="0" fillId="0" borderId="11" xfId="0" applyBorder="1" applyProtection="1">
      <protection hidden="1"/>
    </xf>
    <xf numFmtId="0" fontId="0" fillId="4" borderId="10" xfId="0" applyFill="1" applyBorder="1" applyProtection="1">
      <protection hidden="1"/>
    </xf>
    <xf numFmtId="0" fontId="65" fillId="4" borderId="7" xfId="0" applyFont="1" applyFill="1" applyBorder="1" applyProtection="1">
      <protection hidden="1"/>
    </xf>
    <xf numFmtId="0" fontId="0" fillId="4" borderId="11" xfId="0" applyFill="1" applyBorder="1" applyProtection="1">
      <protection hidden="1"/>
    </xf>
    <xf numFmtId="0" fontId="0" fillId="0" borderId="17" xfId="0" applyBorder="1" applyProtection="1">
      <protection hidden="1"/>
    </xf>
    <xf numFmtId="0" fontId="0" fillId="4" borderId="16" xfId="0" applyFill="1" applyBorder="1" applyProtection="1">
      <protection hidden="1"/>
    </xf>
    <xf numFmtId="0" fontId="38" fillId="14" borderId="0" xfId="0" applyFont="1" applyFill="1" applyAlignment="1" applyProtection="1">
      <alignment horizontal="left" vertical="center"/>
      <protection hidden="1"/>
    </xf>
    <xf numFmtId="0" fontId="0" fillId="4" borderId="17" xfId="0" applyFill="1" applyBorder="1" applyProtection="1">
      <protection hidden="1"/>
    </xf>
    <xf numFmtId="0" fontId="38" fillId="14" borderId="5" xfId="0" applyFont="1" applyFill="1" applyBorder="1" applyAlignment="1" applyProtection="1">
      <alignment horizontal="left" vertical="center"/>
      <protection hidden="1"/>
    </xf>
    <xf numFmtId="0" fontId="17" fillId="4" borderId="5" xfId="0" applyFont="1" applyFill="1" applyBorder="1" applyAlignment="1" applyProtection="1">
      <alignment horizontal="left" vertical="center"/>
      <protection hidden="1"/>
    </xf>
    <xf numFmtId="0" fontId="1" fillId="0" borderId="26" xfId="0" applyFont="1" applyBorder="1" applyAlignment="1" applyProtection="1">
      <alignment horizontal="center" vertical="center"/>
      <protection hidden="1"/>
    </xf>
    <xf numFmtId="0" fontId="0" fillId="0" borderId="27" xfId="0" applyBorder="1" applyProtection="1">
      <protection hidden="1"/>
    </xf>
    <xf numFmtId="0" fontId="4" fillId="0" borderId="16" xfId="0" applyFont="1" applyBorder="1" applyProtection="1">
      <protection hidden="1"/>
    </xf>
    <xf numFmtId="0" fontId="109" fillId="0" borderId="0" xfId="0" applyFont="1" applyProtection="1">
      <protection hidden="1"/>
    </xf>
    <xf numFmtId="0" fontId="93" fillId="10" borderId="40" xfId="0" applyFont="1" applyFill="1" applyBorder="1" applyAlignment="1" applyProtection="1">
      <alignment horizontal="center" vertical="center"/>
      <protection hidden="1"/>
    </xf>
    <xf numFmtId="0" fontId="93" fillId="10" borderId="0" xfId="0" applyFont="1" applyFill="1" applyAlignment="1" applyProtection="1">
      <alignment horizontal="center" vertical="center"/>
      <protection hidden="1"/>
    </xf>
    <xf numFmtId="0" fontId="0" fillId="0" borderId="12" xfId="0" applyBorder="1" applyProtection="1">
      <protection hidden="1"/>
    </xf>
    <xf numFmtId="0" fontId="93" fillId="10" borderId="41" xfId="0" applyFont="1" applyFill="1" applyBorder="1" applyAlignment="1" applyProtection="1">
      <alignment horizontal="center" vertical="center"/>
      <protection hidden="1"/>
    </xf>
    <xf numFmtId="0" fontId="94" fillId="11" borderId="40" xfId="0" applyFont="1" applyFill="1" applyBorder="1" applyAlignment="1" applyProtection="1">
      <alignment horizontal="center" vertical="center"/>
      <protection hidden="1"/>
    </xf>
    <xf numFmtId="0" fontId="94" fillId="11" borderId="0" xfId="0" applyFont="1" applyFill="1" applyAlignment="1" applyProtection="1">
      <alignment horizontal="center" vertical="center"/>
      <protection hidden="1"/>
    </xf>
    <xf numFmtId="0" fontId="94" fillId="11" borderId="41" xfId="0" applyFont="1" applyFill="1" applyBorder="1" applyAlignment="1" applyProtection="1">
      <alignment horizontal="center" vertical="center"/>
      <protection hidden="1"/>
    </xf>
    <xf numFmtId="0" fontId="95" fillId="9" borderId="40" xfId="0" applyFont="1" applyFill="1" applyBorder="1" applyAlignment="1" applyProtection="1">
      <alignment horizontal="center" vertical="center"/>
      <protection hidden="1"/>
    </xf>
    <xf numFmtId="0" fontId="95" fillId="9" borderId="0" xfId="0" applyFont="1" applyFill="1" applyAlignment="1" applyProtection="1">
      <alignment horizontal="center" vertical="center"/>
      <protection hidden="1"/>
    </xf>
    <xf numFmtId="0" fontId="95" fillId="9" borderId="41" xfId="0" applyFont="1" applyFill="1" applyBorder="1" applyAlignment="1" applyProtection="1">
      <alignment horizontal="center" vertical="center"/>
      <protection hidden="1"/>
    </xf>
    <xf numFmtId="0" fontId="96" fillId="8" borderId="40" xfId="0" applyFont="1" applyFill="1" applyBorder="1" applyAlignment="1" applyProtection="1">
      <alignment horizontal="center" vertical="center"/>
      <protection hidden="1"/>
    </xf>
    <xf numFmtId="0" fontId="96" fillId="8" borderId="0" xfId="0" applyFont="1" applyFill="1" applyAlignment="1" applyProtection="1">
      <alignment horizontal="center" vertical="center"/>
      <protection hidden="1"/>
    </xf>
    <xf numFmtId="0" fontId="96" fillId="8" borderId="41" xfId="0" applyFont="1" applyFill="1" applyBorder="1" applyAlignment="1" applyProtection="1">
      <alignment horizontal="center" vertical="center"/>
      <protection hidden="1"/>
    </xf>
    <xf numFmtId="0" fontId="0" fillId="4" borderId="12" xfId="0" applyFill="1" applyBorder="1" applyProtection="1">
      <protection hidden="1"/>
    </xf>
    <xf numFmtId="0" fontId="0" fillId="4" borderId="3" xfId="0" applyFill="1" applyBorder="1" applyProtection="1">
      <protection hidden="1"/>
    </xf>
    <xf numFmtId="0" fontId="0" fillId="4" borderId="13" xfId="0" applyFill="1" applyBorder="1" applyProtection="1">
      <protection hidden="1"/>
    </xf>
    <xf numFmtId="165" fontId="7" fillId="0" borderId="0" xfId="0" applyNumberFormat="1" applyFont="1" applyAlignment="1" applyProtection="1">
      <alignment horizontal="right" vertical="center"/>
      <protection hidden="1"/>
    </xf>
    <xf numFmtId="165" fontId="70" fillId="0" borderId="0" xfId="0" applyNumberFormat="1" applyFont="1" applyAlignment="1" applyProtection="1">
      <alignment horizontal="right" vertical="center"/>
      <protection hidden="1"/>
    </xf>
    <xf numFmtId="0" fontId="75" fillId="0" borderId="0" xfId="0" applyFont="1" applyAlignment="1" applyProtection="1">
      <alignment horizontal="center" vertical="center"/>
      <protection hidden="1"/>
    </xf>
    <xf numFmtId="0" fontId="0" fillId="0" borderId="0" xfId="0" applyAlignment="1" applyProtection="1">
      <alignment horizontal="justify" vertical="top" wrapText="1"/>
      <protection hidden="1"/>
    </xf>
    <xf numFmtId="0" fontId="25" fillId="0" borderId="5" xfId="0" applyFont="1" applyBorder="1" applyAlignment="1" applyProtection="1">
      <alignment horizontal="center" vertical="center" wrapText="1"/>
      <protection hidden="1"/>
    </xf>
    <xf numFmtId="0" fontId="0" fillId="0" borderId="5" xfId="0" applyBorder="1" applyProtection="1">
      <protection hidden="1"/>
    </xf>
    <xf numFmtId="0" fontId="0" fillId="0" borderId="23" xfId="0" applyBorder="1" applyProtection="1">
      <protection hidden="1"/>
    </xf>
    <xf numFmtId="0" fontId="45" fillId="0" borderId="39" xfId="0" applyFont="1" applyBorder="1" applyAlignment="1" applyProtection="1">
      <alignment horizontal="center" vertical="center"/>
      <protection hidden="1"/>
    </xf>
    <xf numFmtId="0" fontId="0" fillId="0" borderId="0" xfId="0" applyProtection="1">
      <protection hidden="1"/>
    </xf>
    <xf numFmtId="166" fontId="26" fillId="0" borderId="0" xfId="0" applyNumberFormat="1" applyFont="1" applyAlignment="1" applyProtection="1">
      <alignment horizontal="left" vertical="top" wrapText="1"/>
      <protection hidden="1"/>
    </xf>
    <xf numFmtId="0" fontId="0" fillId="0" borderId="3" xfId="0" applyBorder="1" applyAlignment="1" applyProtection="1">
      <alignment horizontal="left" vertical="top" wrapText="1"/>
      <protection hidden="1"/>
    </xf>
    <xf numFmtId="2" fontId="5" fillId="0" borderId="0" xfId="0" applyNumberFormat="1" applyFont="1" applyAlignment="1" applyProtection="1">
      <alignment horizontal="right" vertical="center"/>
      <protection hidden="1"/>
    </xf>
    <xf numFmtId="0" fontId="26" fillId="4" borderId="0" xfId="0" applyFont="1" applyFill="1" applyAlignment="1" applyProtection="1">
      <alignment horizontal="justify" vertical="top" wrapText="1"/>
      <protection hidden="1"/>
    </xf>
    <xf numFmtId="0" fontId="0" fillId="0" borderId="0" xfId="0" applyAlignment="1" applyProtection="1">
      <alignment wrapText="1"/>
      <protection hidden="1"/>
    </xf>
    <xf numFmtId="0" fontId="26" fillId="0" borderId="0" xfId="0" applyFont="1" applyAlignment="1" applyProtection="1">
      <alignment vertical="center" wrapText="1"/>
      <protection hidden="1"/>
    </xf>
    <xf numFmtId="0" fontId="17" fillId="14" borderId="0" xfId="0" applyFont="1" applyFill="1" applyAlignment="1" applyProtection="1">
      <alignment vertical="top" wrapText="1"/>
      <protection hidden="1"/>
    </xf>
    <xf numFmtId="0" fontId="9" fillId="14" borderId="0" xfId="0" applyFont="1" applyFill="1" applyAlignment="1" applyProtection="1">
      <alignment vertical="top" wrapText="1"/>
      <protection hidden="1"/>
    </xf>
    <xf numFmtId="0" fontId="17" fillId="4" borderId="0" xfId="0" applyFont="1" applyFill="1" applyAlignment="1" applyProtection="1">
      <alignment vertical="top" wrapText="1"/>
      <protection hidden="1"/>
    </xf>
    <xf numFmtId="0" fontId="9" fillId="4" borderId="0" xfId="0" applyFont="1" applyFill="1" applyAlignment="1" applyProtection="1">
      <alignment vertical="top" wrapText="1"/>
      <protection hidden="1"/>
    </xf>
    <xf numFmtId="0" fontId="9" fillId="0" borderId="3" xfId="0" applyFont="1" applyBorder="1" applyAlignment="1" applyProtection="1">
      <alignment vertical="center"/>
      <protection hidden="1"/>
    </xf>
    <xf numFmtId="165" fontId="9" fillId="0" borderId="3" xfId="0" applyNumberFormat="1" applyFont="1" applyBorder="1" applyAlignment="1" applyProtection="1">
      <alignment vertical="center"/>
      <protection hidden="1"/>
    </xf>
    <xf numFmtId="0" fontId="26" fillId="0" borderId="28" xfId="0" applyFont="1" applyBorder="1" applyAlignment="1" applyProtection="1">
      <alignment vertical="top" wrapText="1"/>
      <protection hidden="1"/>
    </xf>
    <xf numFmtId="0" fontId="26" fillId="0" borderId="29" xfId="0" applyFont="1" applyBorder="1" applyAlignment="1" applyProtection="1">
      <alignment vertical="top"/>
      <protection hidden="1"/>
    </xf>
    <xf numFmtId="0" fontId="0" fillId="0" borderId="29" xfId="0" applyBorder="1" applyProtection="1">
      <protection hidden="1"/>
    </xf>
    <xf numFmtId="0" fontId="0" fillId="0" borderId="30" xfId="0" applyBorder="1" applyProtection="1">
      <protection hidden="1"/>
    </xf>
    <xf numFmtId="0" fontId="26" fillId="0" borderId="31" xfId="0" applyFont="1" applyBorder="1" applyAlignment="1" applyProtection="1">
      <alignment vertical="top"/>
      <protection hidden="1"/>
    </xf>
    <xf numFmtId="0" fontId="26" fillId="0" borderId="0" xfId="0" applyFont="1" applyAlignment="1" applyProtection="1">
      <alignment vertical="top"/>
      <protection hidden="1"/>
    </xf>
    <xf numFmtId="0" fontId="0" fillId="0" borderId="32" xfId="0" applyBorder="1" applyProtection="1">
      <protection hidden="1"/>
    </xf>
    <xf numFmtId="0" fontId="26" fillId="0" borderId="33" xfId="0" applyFont="1" applyBorder="1" applyAlignment="1" applyProtection="1">
      <alignment vertical="top"/>
      <protection hidden="1"/>
    </xf>
    <xf numFmtId="0" fontId="26" fillId="0" borderId="34" xfId="0" applyFont="1" applyBorder="1" applyAlignment="1" applyProtection="1">
      <alignment vertical="top"/>
      <protection hidden="1"/>
    </xf>
    <xf numFmtId="0" fontId="0" fillId="0" borderId="34" xfId="0" applyBorder="1" applyProtection="1">
      <protection hidden="1"/>
    </xf>
    <xf numFmtId="0" fontId="0" fillId="0" borderId="35" xfId="0" applyBorder="1" applyProtection="1">
      <protection hidden="1"/>
    </xf>
    <xf numFmtId="0" fontId="74" fillId="0" borderId="38" xfId="0" applyFont="1" applyBorder="1" applyAlignment="1" applyProtection="1">
      <alignment horizontal="left" vertical="center" wrapText="1" indent="1"/>
      <protection hidden="1"/>
    </xf>
    <xf numFmtId="0" fontId="0" fillId="0" borderId="38" xfId="0" applyBorder="1" applyAlignment="1" applyProtection="1">
      <alignment horizontal="left" vertical="center" indent="1"/>
      <protection hidden="1"/>
    </xf>
    <xf numFmtId="0" fontId="64" fillId="0" borderId="0" xfId="0" quotePrefix="1" applyFont="1" applyAlignment="1" applyProtection="1">
      <alignment wrapText="1"/>
      <protection hidden="1"/>
    </xf>
    <xf numFmtId="0" fontId="1" fillId="0" borderId="38" xfId="0" applyFont="1" applyBorder="1" applyAlignment="1" applyProtection="1">
      <alignment horizontal="left" vertical="center" wrapText="1" indent="1"/>
      <protection hidden="1"/>
    </xf>
    <xf numFmtId="0" fontId="0" fillId="0" borderId="38" xfId="0" applyBorder="1" applyAlignment="1" applyProtection="1">
      <alignment horizontal="left" vertical="center" wrapText="1" indent="1"/>
      <protection hidden="1"/>
    </xf>
    <xf numFmtId="0" fontId="97" fillId="0" borderId="38" xfId="0" applyFont="1" applyBorder="1" applyAlignment="1" applyProtection="1">
      <alignment horizontal="center" vertical="center"/>
      <protection hidden="1"/>
    </xf>
    <xf numFmtId="0" fontId="74" fillId="0" borderId="40" xfId="0" applyFont="1" applyBorder="1" applyAlignment="1" applyProtection="1">
      <alignment horizontal="left" vertical="center" wrapText="1"/>
      <protection hidden="1"/>
    </xf>
    <xf numFmtId="0" fontId="109" fillId="0" borderId="0" xfId="0" applyFont="1" applyProtection="1">
      <protection hidden="1"/>
    </xf>
    <xf numFmtId="0" fontId="109" fillId="0" borderId="41" xfId="0" applyFont="1" applyBorder="1" applyProtection="1">
      <protection hidden="1"/>
    </xf>
    <xf numFmtId="0" fontId="0" fillId="0" borderId="41" xfId="0" applyBorder="1" applyProtection="1">
      <protection hidden="1"/>
    </xf>
    <xf numFmtId="0" fontId="26" fillId="0" borderId="40" xfId="0" applyFont="1" applyBorder="1" applyAlignment="1" applyProtection="1">
      <alignment horizontal="center" vertical="center" wrapText="1"/>
      <protection hidden="1"/>
    </xf>
    <xf numFmtId="0" fontId="26" fillId="0" borderId="0" xfId="0" applyFont="1" applyAlignment="1" applyProtection="1">
      <alignment horizontal="center"/>
      <protection hidden="1"/>
    </xf>
    <xf numFmtId="0" fontId="26" fillId="0" borderId="41" xfId="0" applyFont="1" applyBorder="1" applyAlignment="1" applyProtection="1">
      <alignment horizontal="center"/>
      <protection hidden="1"/>
    </xf>
    <xf numFmtId="0" fontId="92" fillId="16" borderId="41" xfId="0" applyFont="1" applyFill="1" applyBorder="1" applyAlignment="1" applyProtection="1">
      <alignment horizontal="center" vertical="center"/>
      <protection hidden="1"/>
    </xf>
    <xf numFmtId="0" fontId="92" fillId="16" borderId="40" xfId="0" applyFont="1" applyFill="1" applyBorder="1" applyAlignment="1" applyProtection="1">
      <alignment horizontal="center" vertical="center"/>
      <protection hidden="1"/>
    </xf>
    <xf numFmtId="0" fontId="92" fillId="16" borderId="0" xfId="0" applyFont="1" applyFill="1" applyAlignment="1" applyProtection="1">
      <alignment horizontal="center" vertical="center"/>
      <protection hidden="1"/>
    </xf>
  </cellXfs>
  <cellStyles count="1">
    <cellStyle name="Normal" xfId="0" builtinId="0"/>
  </cellStyles>
  <dxfs count="887">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bottom style="thin">
          <color indexed="18"/>
        </bottom>
        <vertical style="thin">
          <color indexed="18"/>
        </vertical>
      </border>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theme="0"/>
      </font>
      <fill>
        <patternFill>
          <bgColor rgb="FF7030A0"/>
        </patternFill>
      </fill>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top style="thin">
          <color indexed="18"/>
        </top>
        <bottom style="thin">
          <color indexed="18"/>
        </bottom>
        <vertical style="thin">
          <color indexed="18"/>
        </vertical>
      </border>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theme="0" tint="-0.499984740745262"/>
      </font>
    </dxf>
    <dxf>
      <font>
        <color theme="0" tint="-0.499984740745262"/>
      </font>
    </dxf>
    <dxf>
      <fill>
        <patternFill>
          <bgColor theme="0"/>
        </patternFill>
      </fill>
      <border>
        <bottom style="thin">
          <color theme="0" tint="-0.24994659260841701"/>
        </bottom>
        <vertical/>
        <horizontal/>
      </border>
    </dxf>
    <dxf>
      <fill>
        <patternFill>
          <bgColor theme="0"/>
        </patternFill>
      </fill>
      <border>
        <bottom style="thin">
          <color theme="0" tint="-0.24994659260841701"/>
        </bottom>
        <vertical/>
        <horizontal/>
      </border>
    </dxf>
    <dxf>
      <fill>
        <patternFill>
          <bgColor theme="0"/>
        </patternFill>
      </fill>
      <border>
        <bottom style="thin">
          <color theme="0" tint="-0.24994659260841701"/>
        </bottom>
        <vertical/>
        <horizontal/>
      </border>
    </dxf>
    <dxf>
      <fill>
        <patternFill>
          <bgColor theme="0"/>
        </patternFill>
      </fill>
      <border>
        <bottom style="thin">
          <color theme="0" tint="-0.24994659260841701"/>
        </bottom>
        <vertical/>
        <horizontal/>
      </border>
    </dxf>
    <dxf>
      <fill>
        <patternFill>
          <bgColor theme="0"/>
        </patternFill>
      </fill>
      <border>
        <bottom style="thin">
          <color theme="0" tint="-0.24994659260841701"/>
        </bottom>
        <vertical/>
        <horizontal/>
      </border>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47"/>
      </font>
    </dxf>
    <dxf>
      <font>
        <color indexed="46"/>
      </font>
    </dxf>
    <dxf>
      <font>
        <color indexed="45"/>
      </font>
    </dxf>
    <dxf>
      <font>
        <color indexed="44"/>
      </font>
    </dxf>
    <dxf>
      <font>
        <color indexed="43"/>
      </font>
    </dxf>
    <dxf>
      <font>
        <color indexed="42"/>
      </font>
    </dxf>
    <dxf>
      <font>
        <color indexed="41"/>
      </font>
    </dxf>
    <dxf>
      <font>
        <color indexed="47"/>
      </font>
    </dxf>
    <dxf>
      <font>
        <color indexed="46"/>
      </font>
    </dxf>
    <dxf>
      <font>
        <color indexed="45"/>
      </font>
    </dxf>
    <dxf>
      <font>
        <color indexed="44"/>
      </font>
    </dxf>
    <dxf>
      <font>
        <color indexed="43"/>
      </font>
    </dxf>
    <dxf>
      <font>
        <color indexed="42"/>
      </font>
    </dxf>
    <dxf>
      <font>
        <color indexed="41"/>
      </font>
    </dxf>
    <dxf>
      <font>
        <color indexed="46"/>
      </font>
    </dxf>
    <dxf>
      <font>
        <color indexed="45"/>
      </font>
    </dxf>
    <dxf>
      <font>
        <color indexed="44"/>
      </font>
    </dxf>
    <dxf>
      <font>
        <color indexed="43"/>
      </font>
    </dxf>
    <dxf>
      <font>
        <color indexed="4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indexed="46"/>
      </font>
    </dxf>
    <dxf>
      <font>
        <color indexed="45"/>
      </font>
    </dxf>
    <dxf>
      <font>
        <color indexed="44"/>
      </font>
    </dxf>
    <dxf>
      <font>
        <color indexed="43"/>
      </font>
    </dxf>
    <dxf>
      <font>
        <color indexed="42"/>
      </font>
    </dxf>
    <dxf>
      <font>
        <color theme="0" tint="-0.499984740745262"/>
      </font>
    </dxf>
    <dxf>
      <font>
        <color theme="0" tint="-0.499984740745262"/>
      </font>
    </dxf>
    <dxf>
      <fill>
        <patternFill>
          <bgColor theme="2"/>
        </patternFill>
      </fill>
    </dxf>
    <dxf>
      <fill>
        <patternFill>
          <bgColor theme="2"/>
        </patternFill>
      </fill>
    </dxf>
    <dxf>
      <fill>
        <patternFill>
          <bgColor theme="2"/>
        </patternFill>
      </fill>
    </dxf>
    <dxf>
      <fill>
        <patternFill>
          <bgColor theme="2"/>
        </patternFill>
      </fill>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border>
        <bottom style="thin">
          <color indexed="18"/>
        </bottom>
        <vertical style="thin">
          <color indexed="18"/>
        </vertical>
      </border>
    </dxf>
    <dxf>
      <font>
        <color indexed="25"/>
      </font>
      <fill>
        <patternFill patternType="solid">
          <bgColor indexed="48"/>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bgColor theme="0"/>
        </patternFill>
      </fill>
      <border>
        <bottom style="thin">
          <color indexed="18"/>
        </bottom>
        <vertical style="thin">
          <color indexed="18"/>
        </vertical>
      </border>
    </dxf>
    <dxf>
      <font>
        <color indexed="25"/>
      </font>
      <fill>
        <patternFill patternType="solid">
          <bgColor indexed="48"/>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bgColor theme="0"/>
        </patternFill>
      </fill>
      <border>
        <bottom style="thin">
          <color indexed="18"/>
        </bottom>
        <vertical style="thin">
          <color indexed="18"/>
        </vertical>
      </border>
    </dxf>
    <dxf>
      <font>
        <color indexed="25"/>
      </font>
      <fill>
        <patternFill patternType="solid">
          <bgColor indexed="48"/>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bgColor theme="0"/>
        </patternFill>
      </fill>
      <border>
        <bottom style="thin">
          <color indexed="18"/>
        </bottom>
        <vertical style="thin">
          <color indexed="18"/>
        </vertical>
      </border>
    </dxf>
    <dxf>
      <font>
        <color indexed="25"/>
      </font>
      <fill>
        <patternFill patternType="solid">
          <bgColor indexed="48"/>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bgColor theme="0"/>
        </patternFill>
      </fill>
      <border>
        <bottom style="thin">
          <color indexed="18"/>
        </bottom>
        <vertical style="thin">
          <color indexed="18"/>
        </vertical>
      </border>
    </dxf>
    <dxf>
      <font>
        <color indexed="25"/>
      </font>
      <fill>
        <patternFill patternType="solid">
          <bgColor indexed="48"/>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bgColor theme="0"/>
        </patternFill>
      </fill>
      <border>
        <bottom style="thin">
          <color indexed="18"/>
        </bottom>
        <vertical style="thin">
          <color indexed="18"/>
        </vertical>
      </border>
    </dxf>
    <dxf>
      <font>
        <color indexed="25"/>
      </font>
      <fill>
        <patternFill patternType="solid">
          <bgColor indexed="48"/>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bgColor theme="0"/>
        </patternFill>
      </fill>
      <border>
        <bottom style="thin">
          <color indexed="18"/>
        </bottom>
        <vertical style="thin">
          <color indexed="18"/>
        </vertical>
      </border>
    </dxf>
    <dxf>
      <font>
        <color indexed="25"/>
      </font>
      <fill>
        <patternFill patternType="solid">
          <bgColor indexed="48"/>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bgColor theme="0"/>
        </patternFill>
      </fill>
      <border>
        <bottom style="thin">
          <color indexed="18"/>
        </bottom>
        <vertical style="thin">
          <color indexed="18"/>
        </vertical>
      </border>
    </dxf>
    <dxf>
      <font>
        <b/>
        <i val="0"/>
        <color theme="0"/>
      </font>
      <fill>
        <patternFill>
          <bgColor indexed="12"/>
        </patternFill>
      </fill>
    </dxf>
    <dxf>
      <fill>
        <patternFill>
          <bgColor theme="0" tint="-4.9989318521683403E-2"/>
        </patternFill>
      </fill>
    </dxf>
    <dxf>
      <font>
        <color theme="3" tint="0.39994506668294322"/>
      </font>
    </dxf>
    <dxf>
      <fill>
        <patternFill>
          <bgColor theme="2"/>
        </patternFill>
      </fill>
    </dxf>
    <dxf>
      <fill>
        <patternFill>
          <bgColor theme="5" tint="0.59996337778862885"/>
        </patternFill>
      </fill>
    </dxf>
    <dxf>
      <font>
        <color theme="0" tint="-0.499984740745262"/>
      </font>
    </dxf>
    <dxf>
      <font>
        <color theme="0" tint="-0.499984740745262"/>
      </font>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fill>
        <patternFill patternType="none">
          <bgColor indexed="65"/>
        </patternFill>
      </fill>
      <border>
        <bottom style="thin">
          <color indexed="18"/>
        </bottom>
        <vertical style="thin">
          <color indexed="18"/>
        </vertical>
      </border>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border>
        <bottom style="thin">
          <color indexed="18"/>
        </bottom>
        <vertical style="thin">
          <color indexed="18"/>
        </vertical>
      </border>
    </dxf>
    <dxf>
      <font>
        <color indexed="25"/>
      </font>
      <fill>
        <patternFill patternType="solid">
          <bgColor indexed="24"/>
        </patternFill>
      </fill>
      <border>
        <bottom style="thin">
          <color indexed="18"/>
        </bottom>
        <vertical style="thin">
          <color indexed="18"/>
        </vertical>
      </border>
    </dxf>
    <dxf>
      <font>
        <color indexed="27"/>
      </font>
      <fill>
        <patternFill patternType="solid">
          <bgColor indexed="26"/>
        </patternFill>
      </fill>
      <border>
        <bottom style="thin">
          <color indexed="18"/>
        </bottom>
        <vertical style="thin">
          <color indexed="18"/>
        </vertical>
      </border>
    </dxf>
    <dxf>
      <border>
        <bottom style="thin">
          <color indexed="18"/>
        </bottom>
        <vertical style="thin">
          <color indexed="18"/>
        </vertical>
      </border>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8"/>
      </font>
      <fill>
        <patternFill patternType="solid">
          <bgColor indexed="42"/>
        </patternFill>
      </fill>
    </dxf>
    <dxf>
      <font>
        <color indexed="59"/>
      </font>
      <fill>
        <patternFill patternType="solid">
          <bgColor indexed="43"/>
        </patternFill>
      </fill>
    </dxf>
    <dxf>
      <font>
        <color indexed="60"/>
      </font>
      <fill>
        <patternFill patternType="solid">
          <bgColor indexed="44"/>
        </patternFill>
      </fill>
    </dxf>
    <dxf>
      <font>
        <color indexed="61"/>
      </font>
      <fill>
        <patternFill patternType="solid">
          <bgColor indexed="45"/>
        </patternFill>
      </fill>
    </dxf>
    <dxf>
      <font>
        <color indexed="62"/>
      </font>
      <fill>
        <patternFill patternType="solid">
          <bgColor indexed="46"/>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8"/>
      </font>
      <fill>
        <patternFill patternType="solid">
          <bgColor indexed="42"/>
        </patternFill>
      </fill>
    </dxf>
    <dxf>
      <font>
        <color indexed="59"/>
      </font>
      <fill>
        <patternFill patternType="solid">
          <bgColor indexed="43"/>
        </patternFill>
      </fill>
    </dxf>
    <dxf>
      <font>
        <color indexed="60"/>
      </font>
      <fill>
        <patternFill patternType="solid">
          <bgColor indexed="44"/>
        </patternFill>
      </fill>
    </dxf>
    <dxf>
      <font>
        <color indexed="61"/>
      </font>
      <fill>
        <patternFill patternType="solid">
          <bgColor indexed="45"/>
        </patternFill>
      </fill>
    </dxf>
    <dxf>
      <font>
        <color indexed="62"/>
      </font>
      <fill>
        <patternFill patternType="solid">
          <bgColor indexed="46"/>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8"/>
      </font>
      <fill>
        <patternFill patternType="solid">
          <bgColor indexed="42"/>
        </patternFill>
      </fill>
    </dxf>
    <dxf>
      <font>
        <color indexed="59"/>
      </font>
      <fill>
        <patternFill patternType="solid">
          <bgColor indexed="43"/>
        </patternFill>
      </fill>
    </dxf>
    <dxf>
      <font>
        <color indexed="60"/>
      </font>
      <fill>
        <patternFill patternType="solid">
          <bgColor indexed="44"/>
        </patternFill>
      </fill>
    </dxf>
    <dxf>
      <font>
        <color indexed="61"/>
      </font>
      <fill>
        <patternFill patternType="solid">
          <bgColor indexed="45"/>
        </patternFill>
      </fill>
    </dxf>
    <dxf>
      <font>
        <color indexed="62"/>
      </font>
      <fill>
        <patternFill patternType="solid">
          <bgColor indexed="46"/>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8"/>
      </font>
      <fill>
        <patternFill patternType="solid">
          <bgColor indexed="42"/>
        </patternFill>
      </fill>
    </dxf>
    <dxf>
      <font>
        <color indexed="59"/>
      </font>
      <fill>
        <patternFill patternType="solid">
          <bgColor indexed="43"/>
        </patternFill>
      </fill>
    </dxf>
    <dxf>
      <font>
        <color indexed="60"/>
      </font>
      <fill>
        <patternFill patternType="solid">
          <bgColor indexed="44"/>
        </patternFill>
      </fill>
    </dxf>
    <dxf>
      <font>
        <color indexed="61"/>
      </font>
      <fill>
        <patternFill patternType="solid">
          <bgColor indexed="45"/>
        </patternFill>
      </fill>
    </dxf>
    <dxf>
      <font>
        <color indexed="62"/>
      </font>
      <fill>
        <patternFill patternType="solid">
          <bgColor indexed="46"/>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55"/>
      </font>
      <fill>
        <patternFill patternType="solid">
          <bgColor indexed="47"/>
        </patternFill>
      </fill>
    </dxf>
    <dxf>
      <font>
        <color indexed="54"/>
      </font>
      <fill>
        <patternFill patternType="solid">
          <bgColor indexed="46"/>
        </patternFill>
      </fill>
    </dxf>
    <dxf>
      <font>
        <color indexed="53"/>
      </font>
      <fill>
        <patternFill patternType="solid">
          <bgColor indexed="45"/>
        </patternFill>
      </fill>
    </dxf>
    <dxf>
      <font>
        <color indexed="52"/>
      </font>
      <fill>
        <patternFill patternType="solid">
          <bgColor indexed="44"/>
        </patternFill>
      </fill>
    </dxf>
    <dxf>
      <font>
        <color indexed="51"/>
      </font>
      <fill>
        <patternFill patternType="solid">
          <bgColor indexed="43"/>
        </patternFill>
      </fill>
    </dxf>
    <dxf>
      <font>
        <color indexed="50"/>
      </font>
      <fill>
        <patternFill patternType="solid">
          <bgColor indexed="42"/>
        </patternFill>
      </fill>
    </dxf>
    <dxf>
      <font>
        <color indexed="49"/>
      </font>
      <fill>
        <patternFill patternType="solid">
          <bgColor indexed="41"/>
        </patternFill>
      </fill>
    </dxf>
    <dxf>
      <font>
        <color indexed="62"/>
      </font>
      <fill>
        <patternFill patternType="solid">
          <bgColor indexed="46"/>
        </patternFill>
      </fill>
    </dxf>
    <dxf>
      <font>
        <color indexed="61"/>
      </font>
      <fill>
        <patternFill patternType="solid">
          <bgColor indexed="45"/>
        </patternFill>
      </fill>
    </dxf>
    <dxf>
      <font>
        <color indexed="60"/>
      </font>
      <fill>
        <patternFill patternType="solid">
          <bgColor indexed="44"/>
        </patternFill>
      </fill>
    </dxf>
    <dxf>
      <font>
        <color indexed="59"/>
      </font>
      <fill>
        <patternFill patternType="solid">
          <bgColor indexed="43"/>
        </patternFill>
      </fill>
    </dxf>
    <dxf>
      <font>
        <color indexed="58"/>
      </font>
      <fill>
        <patternFill patternType="solid">
          <bgColor indexed="42"/>
        </patternFill>
      </fill>
    </dxf>
    <dxf>
      <font>
        <color indexed="57"/>
      </font>
      <fill>
        <patternFill patternType="solid">
          <bgColor indexed="41"/>
        </patternFill>
      </fill>
    </dxf>
    <dxf>
      <font>
        <color indexed="58"/>
      </font>
      <fill>
        <patternFill patternType="solid">
          <bgColor indexed="42"/>
        </patternFill>
      </fill>
    </dxf>
    <dxf>
      <font>
        <color indexed="59"/>
      </font>
      <fill>
        <patternFill patternType="solid">
          <bgColor indexed="43"/>
        </patternFill>
      </fill>
    </dxf>
    <dxf>
      <font>
        <color indexed="60"/>
      </font>
      <fill>
        <patternFill patternType="solid">
          <bgColor indexed="44"/>
        </patternFill>
      </fill>
    </dxf>
    <dxf>
      <font>
        <color indexed="61"/>
      </font>
      <fill>
        <patternFill patternType="solid">
          <bgColor indexed="45"/>
        </patternFill>
      </fill>
    </dxf>
    <dxf>
      <font>
        <color indexed="62"/>
      </font>
      <fill>
        <patternFill patternType="solid">
          <bgColor indexed="46"/>
        </patternFill>
      </fill>
    </dxf>
    <dxf>
      <font>
        <color indexed="58"/>
      </font>
      <fill>
        <patternFill patternType="solid">
          <bgColor indexed="42"/>
        </patternFill>
      </fill>
    </dxf>
    <dxf>
      <font>
        <color indexed="59"/>
      </font>
      <fill>
        <patternFill patternType="solid">
          <bgColor indexed="43"/>
        </patternFill>
      </fill>
    </dxf>
    <dxf>
      <font>
        <color indexed="60"/>
      </font>
      <fill>
        <patternFill patternType="solid">
          <bgColor indexed="44"/>
        </patternFill>
      </fill>
    </dxf>
    <dxf>
      <font>
        <color indexed="61"/>
      </font>
      <fill>
        <patternFill patternType="solid">
          <bgColor indexed="45"/>
        </patternFill>
      </fill>
    </dxf>
    <dxf>
      <font>
        <color indexed="62"/>
      </font>
      <fill>
        <patternFill patternType="solid">
          <bgColor indexed="46"/>
        </patternFill>
      </fill>
    </dxf>
    <dxf>
      <font>
        <color indexed="58"/>
      </font>
      <fill>
        <patternFill patternType="solid">
          <bgColor indexed="42"/>
        </patternFill>
      </fill>
    </dxf>
    <dxf>
      <font>
        <color indexed="59"/>
      </font>
      <fill>
        <patternFill patternType="solid">
          <bgColor indexed="43"/>
        </patternFill>
      </fill>
    </dxf>
    <dxf>
      <font>
        <color indexed="60"/>
      </font>
      <fill>
        <patternFill patternType="solid">
          <bgColor indexed="44"/>
        </patternFill>
      </fill>
    </dxf>
    <dxf>
      <font>
        <color indexed="61"/>
      </font>
      <fill>
        <patternFill patternType="solid">
          <bgColor indexed="45"/>
        </patternFill>
      </fill>
    </dxf>
    <dxf>
      <font>
        <color indexed="62"/>
      </font>
      <fill>
        <patternFill patternType="solid">
          <bgColor indexed="46"/>
        </patternFill>
      </fill>
    </dxf>
    <dxf>
      <font>
        <color indexed="58"/>
      </font>
      <fill>
        <patternFill patternType="solid">
          <bgColor indexed="42"/>
        </patternFill>
      </fill>
    </dxf>
    <dxf>
      <font>
        <color indexed="59"/>
      </font>
      <fill>
        <patternFill patternType="solid">
          <bgColor indexed="43"/>
        </patternFill>
      </fill>
    </dxf>
    <dxf>
      <font>
        <color indexed="60"/>
      </font>
      <fill>
        <patternFill patternType="solid">
          <bgColor indexed="44"/>
        </patternFill>
      </fill>
    </dxf>
    <dxf>
      <font>
        <color indexed="61"/>
      </font>
      <fill>
        <patternFill patternType="solid">
          <bgColor indexed="45"/>
        </patternFill>
      </fill>
    </dxf>
    <dxf>
      <font>
        <color indexed="62"/>
      </font>
      <fill>
        <patternFill patternType="solid">
          <bgColor indexed="46"/>
        </patternFill>
      </fill>
    </dxf>
    <dxf>
      <font>
        <color indexed="58"/>
      </font>
      <fill>
        <patternFill patternType="solid">
          <bgColor indexed="42"/>
        </patternFill>
      </fill>
    </dxf>
    <dxf>
      <font>
        <color indexed="59"/>
      </font>
      <fill>
        <patternFill patternType="solid">
          <bgColor indexed="43"/>
        </patternFill>
      </fill>
    </dxf>
    <dxf>
      <font>
        <color indexed="60"/>
      </font>
      <fill>
        <patternFill patternType="solid">
          <bgColor indexed="44"/>
        </patternFill>
      </fill>
    </dxf>
    <dxf>
      <font>
        <color indexed="61"/>
      </font>
      <fill>
        <patternFill patternType="solid">
          <bgColor indexed="45"/>
        </patternFill>
      </fill>
    </dxf>
    <dxf>
      <font>
        <color indexed="62"/>
      </font>
      <fill>
        <patternFill patternType="solid">
          <bgColor indexed="46"/>
        </patternFill>
      </fill>
    </dxf>
    <dxf>
      <font>
        <color indexed="58"/>
      </font>
      <fill>
        <patternFill patternType="solid">
          <bgColor indexed="42"/>
        </patternFill>
      </fill>
    </dxf>
    <dxf>
      <font>
        <color indexed="59"/>
      </font>
      <fill>
        <patternFill patternType="solid">
          <bgColor indexed="43"/>
        </patternFill>
      </fill>
    </dxf>
    <dxf>
      <font>
        <color indexed="60"/>
      </font>
      <fill>
        <patternFill patternType="solid">
          <bgColor indexed="44"/>
        </patternFill>
      </fill>
    </dxf>
    <dxf>
      <font>
        <color indexed="61"/>
      </font>
      <fill>
        <patternFill patternType="solid">
          <bgColor indexed="45"/>
        </patternFill>
      </fill>
    </dxf>
    <dxf>
      <font>
        <color indexed="62"/>
      </font>
      <fill>
        <patternFill patternType="solid">
          <bgColor indexed="46"/>
        </patternFill>
      </fill>
    </dxf>
    <dxf>
      <font>
        <color indexed="62"/>
      </font>
      <fill>
        <patternFill patternType="solid">
          <bgColor indexed="46"/>
        </patternFill>
      </fill>
    </dxf>
    <dxf>
      <font>
        <color indexed="61"/>
      </font>
      <fill>
        <patternFill patternType="solid">
          <bgColor indexed="45"/>
        </patternFill>
      </fill>
    </dxf>
    <dxf>
      <font>
        <color indexed="60"/>
      </font>
      <fill>
        <patternFill patternType="solid">
          <bgColor indexed="44"/>
        </patternFill>
      </fill>
    </dxf>
    <dxf>
      <font>
        <color indexed="59"/>
      </font>
      <fill>
        <patternFill patternType="solid">
          <bgColor indexed="43"/>
        </patternFill>
      </fill>
    </dxf>
    <dxf>
      <font>
        <color indexed="58"/>
      </font>
      <fill>
        <patternFill patternType="solid">
          <bgColor indexed="42"/>
        </patternFill>
      </fill>
    </dxf>
    <dxf>
      <font>
        <color indexed="57"/>
      </font>
      <fill>
        <patternFill patternType="solid">
          <bgColor indexed="41"/>
        </patternFill>
      </fill>
    </dxf>
    <dxf>
      <font>
        <color indexed="62"/>
      </font>
      <fill>
        <patternFill patternType="solid">
          <bgColor indexed="46"/>
        </patternFill>
      </fill>
    </dxf>
    <dxf>
      <font>
        <color indexed="61"/>
      </font>
      <fill>
        <patternFill patternType="solid">
          <bgColor indexed="45"/>
        </patternFill>
      </fill>
    </dxf>
    <dxf>
      <font>
        <color indexed="60"/>
      </font>
      <fill>
        <patternFill patternType="solid">
          <bgColor indexed="44"/>
        </patternFill>
      </fill>
    </dxf>
    <dxf>
      <font>
        <color indexed="59"/>
      </font>
      <fill>
        <patternFill patternType="solid">
          <bgColor indexed="43"/>
        </patternFill>
      </fill>
    </dxf>
    <dxf>
      <font>
        <color indexed="58"/>
      </font>
      <fill>
        <patternFill patternType="solid">
          <bgColor indexed="42"/>
        </patternFill>
      </fill>
    </dxf>
    <dxf>
      <font>
        <color indexed="57"/>
      </font>
      <fill>
        <patternFill patternType="solid">
          <bgColor indexed="41"/>
        </patternFill>
      </fill>
    </dxf>
    <dxf>
      <font>
        <color indexed="58"/>
      </font>
      <fill>
        <patternFill patternType="solid">
          <bgColor indexed="42"/>
        </patternFill>
      </fill>
    </dxf>
    <dxf>
      <font>
        <color indexed="59"/>
      </font>
      <fill>
        <patternFill patternType="solid">
          <bgColor indexed="43"/>
        </patternFill>
      </fill>
    </dxf>
    <dxf>
      <font>
        <color indexed="60"/>
      </font>
      <fill>
        <patternFill patternType="solid">
          <bgColor indexed="44"/>
        </patternFill>
      </fill>
    </dxf>
    <dxf>
      <font>
        <color indexed="61"/>
      </font>
      <fill>
        <patternFill patternType="solid">
          <bgColor indexed="45"/>
        </patternFill>
      </fill>
    </dxf>
    <dxf>
      <font>
        <color indexed="62"/>
      </font>
      <fill>
        <patternFill patternType="solid">
          <bgColor indexed="46"/>
        </patternFill>
      </fill>
    </dxf>
    <dxf>
      <font>
        <color indexed="58"/>
      </font>
      <fill>
        <patternFill patternType="solid">
          <bgColor indexed="42"/>
        </patternFill>
      </fill>
    </dxf>
    <dxf>
      <font>
        <color indexed="59"/>
      </font>
      <fill>
        <patternFill patternType="solid">
          <bgColor indexed="43"/>
        </patternFill>
      </fill>
    </dxf>
    <dxf>
      <font>
        <color indexed="60"/>
      </font>
      <fill>
        <patternFill patternType="solid">
          <bgColor indexed="44"/>
        </patternFill>
      </fill>
    </dxf>
    <dxf>
      <font>
        <color indexed="61"/>
      </font>
      <fill>
        <patternFill patternType="solid">
          <bgColor indexed="45"/>
        </patternFill>
      </fill>
    </dxf>
    <dxf>
      <font>
        <color indexed="62"/>
      </font>
      <fill>
        <patternFill patternType="solid">
          <bgColor indexed="46"/>
        </patternFill>
      </fill>
    </dxf>
    <dxf>
      <font>
        <color indexed="58"/>
      </font>
      <fill>
        <patternFill patternType="solid">
          <bgColor indexed="42"/>
        </patternFill>
      </fill>
    </dxf>
    <dxf>
      <font>
        <color indexed="59"/>
      </font>
      <fill>
        <patternFill patternType="solid">
          <bgColor indexed="43"/>
        </patternFill>
      </fill>
    </dxf>
    <dxf>
      <font>
        <color indexed="60"/>
      </font>
      <fill>
        <patternFill patternType="solid">
          <bgColor indexed="44"/>
        </patternFill>
      </fill>
    </dxf>
    <dxf>
      <font>
        <color indexed="61"/>
      </font>
      <fill>
        <patternFill patternType="solid">
          <bgColor indexed="45"/>
        </patternFill>
      </fill>
    </dxf>
    <dxf>
      <font>
        <color indexed="62"/>
      </font>
      <fill>
        <patternFill patternType="solid">
          <bgColor indexed="46"/>
        </patternFill>
      </fill>
    </dxf>
    <dxf>
      <font>
        <color indexed="58"/>
      </font>
      <fill>
        <patternFill patternType="solid">
          <bgColor indexed="42"/>
        </patternFill>
      </fill>
    </dxf>
    <dxf>
      <font>
        <color indexed="59"/>
      </font>
      <fill>
        <patternFill patternType="solid">
          <bgColor indexed="43"/>
        </patternFill>
      </fill>
    </dxf>
    <dxf>
      <font>
        <color indexed="60"/>
      </font>
      <fill>
        <patternFill patternType="solid">
          <bgColor indexed="44"/>
        </patternFill>
      </fill>
    </dxf>
    <dxf>
      <font>
        <color indexed="61"/>
      </font>
      <fill>
        <patternFill patternType="solid">
          <bgColor indexed="45"/>
        </patternFill>
      </fill>
    </dxf>
    <dxf>
      <font>
        <color indexed="62"/>
      </font>
      <fill>
        <patternFill patternType="solid">
          <bgColor indexed="46"/>
        </patternFill>
      </fill>
    </dxf>
    <dxf>
      <font>
        <color indexed="58"/>
      </font>
      <fill>
        <patternFill patternType="solid">
          <bgColor indexed="42"/>
        </patternFill>
      </fill>
    </dxf>
    <dxf>
      <font>
        <color indexed="59"/>
      </font>
      <fill>
        <patternFill patternType="solid">
          <bgColor indexed="43"/>
        </patternFill>
      </fill>
    </dxf>
    <dxf>
      <font>
        <color indexed="60"/>
      </font>
      <fill>
        <patternFill patternType="solid">
          <bgColor indexed="44"/>
        </patternFill>
      </fill>
    </dxf>
    <dxf>
      <font>
        <color indexed="61"/>
      </font>
      <fill>
        <patternFill patternType="solid">
          <bgColor indexed="45"/>
        </patternFill>
      </fill>
    </dxf>
    <dxf>
      <font>
        <color indexed="62"/>
      </font>
      <fill>
        <patternFill patternType="solid">
          <bgColor indexed="46"/>
        </patternFill>
      </fill>
    </dxf>
    <dxf>
      <font>
        <color indexed="58"/>
      </font>
      <fill>
        <patternFill patternType="solid">
          <bgColor indexed="42"/>
        </patternFill>
      </fill>
    </dxf>
    <dxf>
      <font>
        <color indexed="59"/>
      </font>
      <fill>
        <patternFill patternType="solid">
          <bgColor indexed="43"/>
        </patternFill>
      </fill>
    </dxf>
    <dxf>
      <font>
        <color indexed="60"/>
      </font>
      <fill>
        <patternFill patternType="solid">
          <bgColor indexed="44"/>
        </patternFill>
      </fill>
    </dxf>
    <dxf>
      <font>
        <color indexed="61"/>
      </font>
      <fill>
        <patternFill patternType="solid">
          <bgColor indexed="45"/>
        </patternFill>
      </fill>
    </dxf>
    <dxf>
      <font>
        <color indexed="62"/>
      </font>
      <fill>
        <patternFill patternType="solid">
          <bgColor indexed="46"/>
        </patternFill>
      </fill>
    </dxf>
    <dxf>
      <font>
        <color indexed="58"/>
      </font>
      <fill>
        <patternFill patternType="solid">
          <bgColor indexed="42"/>
        </patternFill>
      </fill>
    </dxf>
    <dxf>
      <font>
        <color indexed="59"/>
      </font>
      <fill>
        <patternFill patternType="solid">
          <bgColor indexed="43"/>
        </patternFill>
      </fill>
    </dxf>
    <dxf>
      <font>
        <color indexed="60"/>
      </font>
      <fill>
        <patternFill patternType="solid">
          <bgColor indexed="44"/>
        </patternFill>
      </fill>
    </dxf>
    <dxf>
      <font>
        <color indexed="61"/>
      </font>
      <fill>
        <patternFill patternType="solid">
          <bgColor indexed="45"/>
        </patternFill>
      </fill>
    </dxf>
    <dxf>
      <font>
        <color indexed="62"/>
      </font>
      <fill>
        <patternFill patternType="solid">
          <bgColor indexed="46"/>
        </patternFill>
      </fill>
    </dxf>
    <dxf>
      <font>
        <color indexed="58"/>
      </font>
      <fill>
        <patternFill patternType="solid">
          <bgColor indexed="42"/>
        </patternFill>
      </fill>
    </dxf>
    <dxf>
      <font>
        <color indexed="59"/>
      </font>
      <fill>
        <patternFill patternType="solid">
          <bgColor indexed="43"/>
        </patternFill>
      </fill>
    </dxf>
    <dxf>
      <font>
        <color indexed="60"/>
      </font>
      <fill>
        <patternFill patternType="solid">
          <bgColor indexed="44"/>
        </patternFill>
      </fill>
    </dxf>
    <dxf>
      <font>
        <color indexed="61"/>
      </font>
      <fill>
        <patternFill patternType="solid">
          <bgColor indexed="45"/>
        </patternFill>
      </fill>
    </dxf>
    <dxf>
      <font>
        <color indexed="62"/>
      </font>
      <fill>
        <patternFill patternType="solid">
          <bgColor indexed="46"/>
        </patternFill>
      </fill>
    </dxf>
    <dxf>
      <font>
        <color indexed="58"/>
      </font>
      <fill>
        <patternFill patternType="solid">
          <bgColor indexed="42"/>
        </patternFill>
      </fill>
    </dxf>
    <dxf>
      <font>
        <color indexed="59"/>
      </font>
      <fill>
        <patternFill patternType="solid">
          <bgColor indexed="43"/>
        </patternFill>
      </fill>
    </dxf>
    <dxf>
      <font>
        <color indexed="60"/>
      </font>
      <fill>
        <patternFill patternType="solid">
          <bgColor indexed="44"/>
        </patternFill>
      </fill>
    </dxf>
    <dxf>
      <font>
        <color indexed="61"/>
      </font>
      <fill>
        <patternFill patternType="solid">
          <bgColor indexed="45"/>
        </patternFill>
      </fill>
    </dxf>
    <dxf>
      <font>
        <color indexed="62"/>
      </font>
      <fill>
        <patternFill patternType="solid">
          <bgColor indexed="46"/>
        </patternFill>
      </fill>
    </dxf>
    <dxf>
      <font>
        <color indexed="58"/>
      </font>
      <fill>
        <patternFill patternType="solid">
          <bgColor indexed="42"/>
        </patternFill>
      </fill>
    </dxf>
    <dxf>
      <font>
        <color indexed="59"/>
      </font>
      <fill>
        <patternFill patternType="solid">
          <bgColor indexed="43"/>
        </patternFill>
      </fill>
    </dxf>
    <dxf>
      <font>
        <color indexed="60"/>
      </font>
      <fill>
        <patternFill patternType="solid">
          <bgColor indexed="44"/>
        </patternFill>
      </fill>
    </dxf>
    <dxf>
      <font>
        <color indexed="61"/>
      </font>
      <fill>
        <patternFill patternType="solid">
          <bgColor indexed="45"/>
        </patternFill>
      </fill>
    </dxf>
    <dxf>
      <font>
        <color indexed="62"/>
      </font>
      <fill>
        <patternFill patternType="solid">
          <bgColor indexed="46"/>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005E9E"/>
      <rgbColor rgb="00000000"/>
      <rgbColor rgb="00808080"/>
      <rgbColor rgb="00E3E3E3"/>
      <rgbColor rgb="00D2D2D2"/>
      <rgbColor rgb="00005E9E"/>
      <rgbColor rgb="00808080"/>
      <rgbColor rgb="00F2F2F2"/>
      <rgbColor rgb="00D8D8D8"/>
      <rgbColor rgb="00808080"/>
      <rgbColor rgb="00F2F2F2"/>
      <rgbColor rgb="00FFEFCE"/>
      <rgbColor rgb="00FFEFCE"/>
      <rgbColor rgb="00D8D8D8"/>
      <rgbColor rgb="00005E9E"/>
      <rgbColor rgb="00FFFFFF"/>
      <rgbColor rgb="00DBE5F1"/>
      <rgbColor rgb="00000000"/>
      <rgbColor rgb="00005E9E"/>
      <rgbColor rgb="00DE3118"/>
      <rgbColor rgb="00909090"/>
      <rgbColor rgb="007030A0"/>
      <rgbColor rgb="000070C0"/>
      <rgbColor rgb="0095B3D7"/>
      <rgbColor rgb="00DBE5F1"/>
      <rgbColor rgb="00FFFFFF"/>
      <rgbColor rgb="00005E9E"/>
      <rgbColor rgb="00FFEFCE"/>
      <rgbColor rgb="00D7E4BC"/>
      <rgbColor rgb="00E6B9B8"/>
      <rgbColor rgb="00EEECE1"/>
      <rgbColor rgb="00D2D2D2"/>
      <rgbColor rgb="00D7191C"/>
      <rgbColor rgb="00FDAE61"/>
      <rgbColor rgb="00FEE08B"/>
      <rgbColor rgb="00A6D96A"/>
      <rgbColor rgb="001A9641"/>
      <rgbColor rgb="00005E9E"/>
      <rgbColor rgb="00E26B0A"/>
      <rgbColor rgb="00000000"/>
      <rgbColor rgb="00FFFFFF"/>
      <rgbColor rgb="00000000"/>
      <rgbColor rgb="00000000"/>
      <rgbColor rgb="00000000"/>
      <rgbColor rgb="00FFFFFF"/>
      <rgbColor rgb="00005E9E"/>
      <rgbColor rgb="00E26B0A"/>
      <rgbColor rgb="00005E9E"/>
      <rgbColor rgb="00E26B0A"/>
      <rgbColor rgb="00000000"/>
      <rgbColor rgb="00000000"/>
      <rgbColor rgb="00000000"/>
      <rgbColor rgb="00000000"/>
      <rgbColor rgb="00DBE5F1"/>
    </indexedColors>
    <mruColors>
      <color rgb="FF3EBFC2"/>
      <color rgb="FFF0F0F0"/>
      <color rgb="FFD9D9D9"/>
      <color rgb="FFC2C2C2"/>
      <color rgb="FF5079BC"/>
      <color rgb="FF3527E5"/>
      <color rgb="FF66FFFF"/>
      <color rgb="FFFFFFCC"/>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microsoft.com/office/2017/06/relationships/rdRichValueTypes" Target="richData/rdRichValueTyp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17/06/relationships/rdRichValueStructure" Target="richData/rdrichvaluestructure.xml"/><Relationship Id="rId20" Type="http://schemas.openxmlformats.org/officeDocument/2006/relationships/worksheet" Target="worksheets/sheet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8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8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spPr>
            <a:solidFill>
              <a:schemeClr val="bg1">
                <a:lumMod val="75000"/>
              </a:schemeClr>
            </a:solidFill>
            <a:ln>
              <a:noFill/>
            </a:ln>
            <a:effectLst/>
          </c:spPr>
          <c:invertIfNegative val="0"/>
          <c:cat>
            <c:strRef>
              <c:f>All_Measures!$S$29:$S$78</c:f>
              <c:strCache>
                <c:ptCount val="50"/>
                <c:pt idx="0">
                  <c:v>Hong Kong</c:v>
                </c:pt>
                <c:pt idx="1">
                  <c:v>London</c:v>
                </c:pt>
                <c:pt idx="2">
                  <c:v>Madrid</c:v>
                </c:pt>
                <c:pt idx="3">
                  <c:v>New York City</c:v>
                </c:pt>
                <c:pt idx="4">
                  <c:v>Berlin</c:v>
                </c:pt>
                <c:pt idx="5">
                  <c:v>Toronto</c:v>
                </c:pt>
                <c:pt idx="6">
                  <c:v>Singapore</c:v>
                </c:pt>
                <c:pt idx="7">
                  <c:v>Tokyo</c:v>
                </c:pt>
                <c:pt idx="8">
                  <c:v>Melbourne</c:v>
                </c:pt>
                <c:pt idx="9">
                  <c:v>Seoul</c:v>
                </c:pt>
                <c:pt idx="10">
                  <c:v>Helsinki</c:v>
                </c:pt>
                <c:pt idx="11">
                  <c:v>Vienna</c:v>
                </c:pt>
                <c:pt idx="12">
                  <c:v>Osaka</c:v>
                </c:pt>
                <c:pt idx="13">
                  <c:v>San Francisco</c:v>
                </c:pt>
                <c:pt idx="14">
                  <c:v>Jakarta</c:v>
                </c:pt>
                <c:pt idx="15">
                  <c:v>Auckland</c:v>
                </c:pt>
                <c:pt idx="16">
                  <c:v>Sydney</c:v>
                </c:pt>
                <c:pt idx="17">
                  <c:v>Bogotá</c:v>
                </c:pt>
                <c:pt idx="18">
                  <c:v>Budapest</c:v>
                </c:pt>
                <c:pt idx="19">
                  <c:v>Bangkok</c:v>
                </c:pt>
                <c:pt idx="20">
                  <c:v>São Paulo</c:v>
                </c:pt>
                <c:pt idx="21">
                  <c:v>Ho Chi Minh City</c:v>
                </c:pt>
                <c:pt idx="22">
                  <c:v>Moscow</c:v>
                </c:pt>
                <c:pt idx="23">
                  <c:v>Shanghai</c:v>
                </c:pt>
                <c:pt idx="24">
                  <c:v>Dubai</c:v>
                </c:pt>
                <c:pt idx="25">
                  <c:v>Paris</c:v>
                </c:pt>
                <c:pt idx="26">
                  <c:v>Rome</c:v>
                </c:pt>
                <c:pt idx="27">
                  <c:v>Beijing</c:v>
                </c:pt>
                <c:pt idx="28">
                  <c:v>Atlanta</c:v>
                </c:pt>
                <c:pt idx="29">
                  <c:v>Mexico City</c:v>
                </c:pt>
                <c:pt idx="30">
                  <c:v>Istanbul</c:v>
                </c:pt>
                <c:pt idx="31">
                  <c:v>Wuhan</c:v>
                </c:pt>
                <c:pt idx="32">
                  <c:v>Delhi</c:v>
                </c:pt>
                <c:pt idx="33">
                  <c:v>Mumbai</c:v>
                </c:pt>
                <c:pt idx="34">
                  <c:v>Johannesburg</c:v>
                </c:pt>
                <c:pt idx="35">
                  <c:v>Nairobi</c:v>
                </c:pt>
                <c:pt idx="36">
                  <c:v>Kolkata</c:v>
                </c:pt>
                <c:pt idx="37">
                  <c:v>Lagos</c:v>
                </c:pt>
                <c:pt idx="38">
                  <c:v>Phnom Penh</c:v>
                </c:pt>
                <c:pt idx="39">
                  <c:v>Colombo</c:v>
                </c:pt>
                <c:pt idx="40">
                  <c:v>Addis Ababa</c:v>
                </c:pt>
                <c:pt idx="41">
                  <c:v>Manila</c:v>
                </c:pt>
                <c:pt idx="42">
                  <c:v>Karachi</c:v>
                </c:pt>
                <c:pt idx="43">
                  <c:v>Riyadh</c:v>
                </c:pt>
                <c:pt idx="44">
                  <c:v>Yangon</c:v>
                </c:pt>
                <c:pt idx="45">
                  <c:v>Kuwait City</c:v>
                </c:pt>
                <c:pt idx="46">
                  <c:v>Dhaka</c:v>
                </c:pt>
                <c:pt idx="47">
                  <c:v>Algiers</c:v>
                </c:pt>
                <c:pt idx="48">
                  <c:v>Kathmandu</c:v>
                </c:pt>
                <c:pt idx="49">
                  <c:v>Cairo</c:v>
                </c:pt>
              </c:strCache>
            </c:strRef>
          </c:cat>
          <c:val>
            <c:numRef>
              <c:f>All_Measures!$V$29:$V$78</c:f>
              <c:numCache>
                <c:formatCode>#,##0.0</c:formatCode>
                <c:ptCount val="50"/>
                <c:pt idx="0">
                  <c:v>83.2</c:v>
                </c:pt>
                <c:pt idx="1">
                  <c:v>82.6</c:v>
                </c:pt>
                <c:pt idx="2">
                  <c:v>79.599999999999994</c:v>
                </c:pt>
                <c:pt idx="3">
                  <c:v>79.099999999999994</c:v>
                </c:pt>
                <c:pt idx="4">
                  <c:v>77.400000000000006</c:v>
                </c:pt>
                <c:pt idx="5">
                  <c:v>77</c:v>
                </c:pt>
                <c:pt idx="6">
                  <c:v>76.099999999999994</c:v>
                </c:pt>
                <c:pt idx="7">
                  <c:v>76.099999999999994</c:v>
                </c:pt>
                <c:pt idx="8">
                  <c:v>75.8</c:v>
                </c:pt>
                <c:pt idx="9">
                  <c:v>75.599999999999994</c:v>
                </c:pt>
                <c:pt idx="10">
                  <c:v>75.5</c:v>
                </c:pt>
                <c:pt idx="11">
                  <c:v>75.099999999999994</c:v>
                </c:pt>
                <c:pt idx="12">
                  <c:v>74.2</c:v>
                </c:pt>
                <c:pt idx="13">
                  <c:v>72</c:v>
                </c:pt>
                <c:pt idx="14">
                  <c:v>71.7</c:v>
                </c:pt>
                <c:pt idx="15">
                  <c:v>71</c:v>
                </c:pt>
                <c:pt idx="16">
                  <c:v>70.5</c:v>
                </c:pt>
                <c:pt idx="17">
                  <c:v>69.7</c:v>
                </c:pt>
                <c:pt idx="18">
                  <c:v>69.5</c:v>
                </c:pt>
                <c:pt idx="19">
                  <c:v>68.8</c:v>
                </c:pt>
                <c:pt idx="20">
                  <c:v>67.099999999999994</c:v>
                </c:pt>
                <c:pt idx="21">
                  <c:v>66</c:v>
                </c:pt>
                <c:pt idx="22">
                  <c:v>65.900000000000006</c:v>
                </c:pt>
                <c:pt idx="23">
                  <c:v>65.3</c:v>
                </c:pt>
                <c:pt idx="24">
                  <c:v>65</c:v>
                </c:pt>
                <c:pt idx="25">
                  <c:v>64.5</c:v>
                </c:pt>
                <c:pt idx="26">
                  <c:v>63.5</c:v>
                </c:pt>
                <c:pt idx="27">
                  <c:v>63.4</c:v>
                </c:pt>
                <c:pt idx="28">
                  <c:v>63.1</c:v>
                </c:pt>
                <c:pt idx="29">
                  <c:v>60.9</c:v>
                </c:pt>
                <c:pt idx="30">
                  <c:v>60.4</c:v>
                </c:pt>
                <c:pt idx="31">
                  <c:v>57.3</c:v>
                </c:pt>
                <c:pt idx="32">
                  <c:v>56.8</c:v>
                </c:pt>
                <c:pt idx="33">
                  <c:v>53.2</c:v>
                </c:pt>
                <c:pt idx="34">
                  <c:v>52.5</c:v>
                </c:pt>
                <c:pt idx="35">
                  <c:v>52.2</c:v>
                </c:pt>
                <c:pt idx="36">
                  <c:v>51.8</c:v>
                </c:pt>
                <c:pt idx="37">
                  <c:v>51.6</c:v>
                </c:pt>
                <c:pt idx="38">
                  <c:v>51.4</c:v>
                </c:pt>
                <c:pt idx="39">
                  <c:v>50.1</c:v>
                </c:pt>
                <c:pt idx="40">
                  <c:v>49.6</c:v>
                </c:pt>
                <c:pt idx="41">
                  <c:v>48.8</c:v>
                </c:pt>
                <c:pt idx="42">
                  <c:v>44.3</c:v>
                </c:pt>
                <c:pt idx="43">
                  <c:v>44.2</c:v>
                </c:pt>
                <c:pt idx="44">
                  <c:v>43.5</c:v>
                </c:pt>
                <c:pt idx="45">
                  <c:v>42.1</c:v>
                </c:pt>
                <c:pt idx="46">
                  <c:v>41.8</c:v>
                </c:pt>
                <c:pt idx="47">
                  <c:v>41</c:v>
                </c:pt>
                <c:pt idx="48">
                  <c:v>40.9</c:v>
                </c:pt>
                <c:pt idx="49">
                  <c:v>40.6</c:v>
                </c:pt>
              </c:numCache>
            </c:numRef>
          </c:val>
          <c:extLst>
            <c:ext xmlns:c16="http://schemas.microsoft.com/office/drawing/2014/chart" uri="{C3380CC4-5D6E-409C-BE32-E72D297353CC}">
              <c16:uniqueId val="{00000000-47FC-4E02-991E-CCBE164FE7C9}"/>
            </c:ext>
          </c:extLst>
        </c:ser>
        <c:dLbls>
          <c:showLegendKey val="0"/>
          <c:showVal val="0"/>
          <c:showCatName val="0"/>
          <c:showSerName val="0"/>
          <c:showPercent val="0"/>
          <c:showBubbleSize val="0"/>
        </c:dLbls>
        <c:gapWidth val="150"/>
        <c:axId val="833474560"/>
        <c:axId val="833470336"/>
      </c:barChart>
      <c:catAx>
        <c:axId val="833474560"/>
        <c:scaling>
          <c:orientation val="maxMin"/>
        </c:scaling>
        <c:delete val="1"/>
        <c:axPos val="l"/>
        <c:numFmt formatCode="General" sourceLinked="1"/>
        <c:majorTickMark val="out"/>
        <c:minorTickMark val="none"/>
        <c:tickLblPos val="nextTo"/>
        <c:crossAx val="833470336"/>
        <c:crosses val="autoZero"/>
        <c:auto val="1"/>
        <c:lblAlgn val="ctr"/>
        <c:lblOffset val="100"/>
        <c:noMultiLvlLbl val="0"/>
      </c:catAx>
      <c:valAx>
        <c:axId val="833470336"/>
        <c:scaling>
          <c:orientation val="minMax"/>
          <c:max val="100"/>
          <c:min val="0"/>
        </c:scaling>
        <c:delete val="1"/>
        <c:axPos val="t"/>
        <c:numFmt formatCode="#,##0.0" sourceLinked="1"/>
        <c:majorTickMark val="out"/>
        <c:minorTickMark val="none"/>
        <c:tickLblPos val="nextTo"/>
        <c:crossAx val="833474560"/>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Compare!$O$25</c:f>
              <c:numCache>
                <c:formatCode>0.0</c:formatCode>
                <c:ptCount val="1"/>
                <c:pt idx="0">
                  <c:v>19.100000000000001</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Compare!$P$25</c:f>
              <c:numCache>
                <c:formatCode>0.0</c:formatCode>
                <c:ptCount val="1"/>
                <c:pt idx="0">
                  <c:v>64.3</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Compare!$K$25:$L$25</c:f>
              <c:numCache>
                <c:formatCode>General</c:formatCode>
                <c:ptCount val="2"/>
                <c:pt idx="0">
                  <c:v>19.100000000000001</c:v>
                </c:pt>
                <c:pt idx="1">
                  <c:v>91.9</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(iCountry!$K$60,iCountry!$K$60)</c:f>
              <c:numCache>
                <c:formatCode>General</c:formatCode>
                <c:ptCount val="2"/>
                <c:pt idx="0">
                  <c:v>42.5</c:v>
                </c:pt>
                <c:pt idx="1">
                  <c:v>42.5</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iCountry!$BO$60:$BP$60</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(iCountry!$BW$60,iCountry!$BW$60)</c:f>
              <c:numCache>
                <c:formatCode>General</c:formatCode>
                <c:ptCount val="2"/>
                <c:pt idx="0">
                  <c:v>47.8</c:v>
                </c:pt>
                <c:pt idx="1">
                  <c:v>47.8</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(iCountry!$K$61,iCountry!$K$61)</c:f>
              <c:numCache>
                <c:formatCode>General</c:formatCode>
                <c:ptCount val="2"/>
                <c:pt idx="0">
                  <c:v>0</c:v>
                </c:pt>
                <c:pt idx="1">
                  <c:v>0</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iCountry!$BO$61:$BP$61</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(iCountry!$BW$61,iCountry!$BW$61)</c:f>
              <c:numCache>
                <c:formatCode>General</c:formatCode>
                <c:ptCount val="2"/>
                <c:pt idx="0">
                  <c:v>70</c:v>
                </c:pt>
                <c:pt idx="1">
                  <c:v>70</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(iCountry!$K$62,iCountry!$K$62)</c:f>
              <c:numCache>
                <c:formatCode>General</c:formatCode>
                <c:ptCount val="2"/>
                <c:pt idx="0">
                  <c:v>71</c:v>
                </c:pt>
                <c:pt idx="1">
                  <c:v>71</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iCountry!$BO$62:$BP$62</c:f>
              <c:numCache>
                <c:formatCode>General</c:formatCode>
                <c:ptCount val="2"/>
                <c:pt idx="0">
                  <c:v>13.9</c:v>
                </c:pt>
                <c:pt idx="1">
                  <c:v>98</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(iCountry!$BW$62,iCountry!$BW$62)</c:f>
              <c:numCache>
                <c:formatCode>General</c:formatCode>
                <c:ptCount val="2"/>
                <c:pt idx="0">
                  <c:v>61.6</c:v>
                </c:pt>
                <c:pt idx="1">
                  <c:v>61.6</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(iCountry!$K$63,iCountry!$K$63)</c:f>
              <c:numCache>
                <c:formatCode>General</c:formatCode>
                <c:ptCount val="2"/>
                <c:pt idx="0">
                  <c:v>31.5</c:v>
                </c:pt>
                <c:pt idx="1">
                  <c:v>31.5</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iCountry!$BO$63:$BP$63</c:f>
              <c:numCache>
                <c:formatCode>General</c:formatCode>
                <c:ptCount val="2"/>
                <c:pt idx="0">
                  <c:v>8.6</c:v>
                </c:pt>
                <c:pt idx="1">
                  <c:v>99</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(iCountry!$BW$63,iCountry!$BW$63)</c:f>
              <c:numCache>
                <c:formatCode>General</c:formatCode>
                <c:ptCount val="2"/>
                <c:pt idx="0">
                  <c:v>64.900000000000006</c:v>
                </c:pt>
                <c:pt idx="1">
                  <c:v>64.900000000000006</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(iCountry!$K$64,iCountry!$K$64)</c:f>
              <c:numCache>
                <c:formatCode>General</c:formatCode>
                <c:ptCount val="2"/>
                <c:pt idx="0">
                  <c:v>47.4</c:v>
                </c:pt>
                <c:pt idx="1">
                  <c:v>47.4</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iCountry!$BO$64:$BP$64</c:f>
              <c:numCache>
                <c:formatCode>General</c:formatCode>
                <c:ptCount val="2"/>
                <c:pt idx="0">
                  <c:v>27.8</c:v>
                </c:pt>
                <c:pt idx="1">
                  <c:v>98.4</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(iCountry!$BW$64,iCountry!$BW$64)</c:f>
              <c:numCache>
                <c:formatCode>General</c:formatCode>
                <c:ptCount val="2"/>
                <c:pt idx="0">
                  <c:v>66.5</c:v>
                </c:pt>
                <c:pt idx="1">
                  <c:v>66.5</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(iCountry!$K$65,iCountry!$K$65)</c:f>
              <c:numCache>
                <c:formatCode>General</c:formatCode>
                <c:ptCount val="2"/>
                <c:pt idx="0">
                  <c:v>4.7</c:v>
                </c:pt>
                <c:pt idx="1">
                  <c:v>4.7</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iCountry!$BO$65:$BP$65</c:f>
              <c:numCache>
                <c:formatCode>General</c:formatCode>
                <c:ptCount val="2"/>
                <c:pt idx="0">
                  <c:v>4.7</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(iCountry!$BW$65,iCountry!$BW$65)</c:f>
              <c:numCache>
                <c:formatCode>General</c:formatCode>
                <c:ptCount val="2"/>
                <c:pt idx="0">
                  <c:v>45.8</c:v>
                </c:pt>
                <c:pt idx="1">
                  <c:v>45.8</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(iCountry!$K$66,iCountry!$K$66)</c:f>
              <c:numCache>
                <c:formatCode>General</c:formatCode>
                <c:ptCount val="2"/>
                <c:pt idx="0">
                  <c:v>50</c:v>
                </c:pt>
                <c:pt idx="1">
                  <c:v>50</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iCountry!$BO$66:$BP$66</c:f>
              <c:numCache>
                <c:formatCode>General</c:formatCode>
                <c:ptCount val="2"/>
                <c:pt idx="0">
                  <c:v>10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(iCountry!$BW$66,iCountry!$BW$66)</c:f>
              <c:numCache>
                <c:formatCode>General</c:formatCode>
                <c:ptCount val="2"/>
                <c:pt idx="0">
                  <c:v>53.9</c:v>
                </c:pt>
                <c:pt idx="1">
                  <c:v>53.9</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(iCountry!$K$67,iCountry!$K$67)</c:f>
              <c:numCache>
                <c:formatCode>General</c:formatCode>
                <c:ptCount val="2"/>
                <c:pt idx="0">
                  <c:v>42.6</c:v>
                </c:pt>
                <c:pt idx="1">
                  <c:v>42.6</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iCountry!$BO$67:$BP$67</c:f>
              <c:numCache>
                <c:formatCode>General</c:formatCode>
                <c:ptCount val="2"/>
                <c:pt idx="0">
                  <c:v>16.5</c:v>
                </c:pt>
                <c:pt idx="1">
                  <c:v>92.9</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(iCountry!$BW$67,iCountry!$BW$67)</c:f>
              <c:numCache>
                <c:formatCode>General</c:formatCode>
                <c:ptCount val="2"/>
                <c:pt idx="0">
                  <c:v>60.4</c:v>
                </c:pt>
                <c:pt idx="1">
                  <c:v>60.4</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(iCountry!$K$68,iCountry!$K$68)</c:f>
              <c:numCache>
                <c:formatCode>General</c:formatCode>
                <c:ptCount val="2"/>
                <c:pt idx="0">
                  <c:v>61.3</c:v>
                </c:pt>
                <c:pt idx="1">
                  <c:v>61.3</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iCountry!$BO$68:$BP$68</c:f>
              <c:numCache>
                <c:formatCode>General</c:formatCode>
                <c:ptCount val="2"/>
                <c:pt idx="0">
                  <c:v>29.8</c:v>
                </c:pt>
                <c:pt idx="1">
                  <c:v>86.7</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(iCountry!$BW$68,iCountry!$BW$68)</c:f>
              <c:numCache>
                <c:formatCode>General</c:formatCode>
                <c:ptCount val="2"/>
                <c:pt idx="0">
                  <c:v>63</c:v>
                </c:pt>
                <c:pt idx="1">
                  <c:v>63</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(iCountry!$K$69,iCountry!$K$69)</c:f>
              <c:numCache>
                <c:formatCode>General</c:formatCode>
                <c:ptCount val="2"/>
                <c:pt idx="0">
                  <c:v>46.7</c:v>
                </c:pt>
                <c:pt idx="1">
                  <c:v>46.7</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iCountry!$BO$69:$BP$69</c:f>
              <c:numCache>
                <c:formatCode>General</c:formatCode>
                <c:ptCount val="2"/>
                <c:pt idx="0">
                  <c:v>41</c:v>
                </c:pt>
                <c:pt idx="1">
                  <c:v>98.9</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(iCountry!$BW$69,iCountry!$BW$69)</c:f>
              <c:numCache>
                <c:formatCode>General</c:formatCode>
                <c:ptCount val="2"/>
                <c:pt idx="0">
                  <c:v>78.900000000000006</c:v>
                </c:pt>
                <c:pt idx="1">
                  <c:v>78.900000000000006</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Compare!$O$26</c:f>
              <c:numCache>
                <c:formatCode>0.0</c:formatCode>
                <c:ptCount val="1"/>
                <c:pt idx="0">
                  <c:v>67.599999999999994</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Compare!$P$26</c:f>
              <c:numCache>
                <c:formatCode>0.0</c:formatCode>
                <c:ptCount val="1"/>
                <c:pt idx="0">
                  <c:v>68.900000000000006</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Compare!$K$26:$L$26</c:f>
              <c:numCache>
                <c:formatCode>General</c:formatCode>
                <c:ptCount val="2"/>
                <c:pt idx="0">
                  <c:v>37</c:v>
                </c:pt>
                <c:pt idx="1">
                  <c:v>96.3</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(iCountry!$K$70,iCountry!$K$70)</c:f>
              <c:numCache>
                <c:formatCode>General</c:formatCode>
                <c:ptCount val="2"/>
                <c:pt idx="0">
                  <c:v>94.6</c:v>
                </c:pt>
                <c:pt idx="1">
                  <c:v>94.6</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iCountry!$BO$70:$BP$70</c:f>
              <c:numCache>
                <c:formatCode>General</c:formatCode>
                <c:ptCount val="2"/>
                <c:pt idx="0">
                  <c:v>13.3</c:v>
                </c:pt>
                <c:pt idx="1">
                  <c:v>94.6</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(iCountry!$BW$70,iCountry!$BW$70)</c:f>
              <c:numCache>
                <c:formatCode>General</c:formatCode>
                <c:ptCount val="2"/>
                <c:pt idx="0">
                  <c:v>62.9</c:v>
                </c:pt>
                <c:pt idx="1">
                  <c:v>62.9</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(iCountry!$K$71,iCountry!$K$71)</c:f>
              <c:numCache>
                <c:formatCode>General</c:formatCode>
                <c:ptCount val="2"/>
                <c:pt idx="0">
                  <c:v>30.5</c:v>
                </c:pt>
                <c:pt idx="1">
                  <c:v>30.5</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iCountry!$BO$71:$BP$71</c:f>
              <c:numCache>
                <c:formatCode>General</c:formatCode>
                <c:ptCount val="2"/>
                <c:pt idx="0">
                  <c:v>15.9</c:v>
                </c:pt>
                <c:pt idx="1">
                  <c:v>75.7</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(iCountry!$BW$71,iCountry!$BW$71)</c:f>
              <c:numCache>
                <c:formatCode>General</c:formatCode>
                <c:ptCount val="2"/>
                <c:pt idx="0">
                  <c:v>31.8</c:v>
                </c:pt>
                <c:pt idx="1">
                  <c:v>31.8</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(iCountry!$K$72,iCountry!$K$72)</c:f>
              <c:numCache>
                <c:formatCode>General</c:formatCode>
                <c:ptCount val="2"/>
                <c:pt idx="0">
                  <c:v>0</c:v>
                </c:pt>
                <c:pt idx="1">
                  <c:v>0</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iCountry!$BO$72:$BP$72</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(iCountry!$BW$72,iCountry!$BW$72)</c:f>
              <c:numCache>
                <c:formatCode>General</c:formatCode>
                <c:ptCount val="2"/>
                <c:pt idx="0">
                  <c:v>89</c:v>
                </c:pt>
                <c:pt idx="1">
                  <c:v>89</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(iCountry!$K$73,iCountry!$K$73)</c:f>
              <c:numCache>
                <c:formatCode>General</c:formatCode>
                <c:ptCount val="2"/>
                <c:pt idx="0">
                  <c:v>34</c:v>
                </c:pt>
                <c:pt idx="1">
                  <c:v>34</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iCountry!$BO$73:$BP$73</c:f>
              <c:numCache>
                <c:formatCode>General</c:formatCode>
                <c:ptCount val="2"/>
                <c:pt idx="0">
                  <c:v>33</c:v>
                </c:pt>
                <c:pt idx="1">
                  <c:v>80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(iCountry!$BW$73,iCountry!$BW$73)</c:f>
              <c:numCache>
                <c:formatCode>General</c:formatCode>
                <c:ptCount val="2"/>
                <c:pt idx="0">
                  <c:v>56.9</c:v>
                </c:pt>
                <c:pt idx="1">
                  <c:v>56.9</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(iCountry!$K$74,iCountry!$K$74)</c:f>
              <c:numCache>
                <c:formatCode>General</c:formatCode>
                <c:ptCount val="2"/>
                <c:pt idx="0">
                  <c:v>42.4</c:v>
                </c:pt>
                <c:pt idx="1">
                  <c:v>42.4</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iCountry!$BO$74:$BP$74</c:f>
              <c:numCache>
                <c:formatCode>General</c:formatCode>
                <c:ptCount val="2"/>
                <c:pt idx="0">
                  <c:v>26.3</c:v>
                </c:pt>
                <c:pt idx="1">
                  <c:v>87.5</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(iCountry!$BW$74,iCountry!$BW$74)</c:f>
              <c:numCache>
                <c:formatCode>General</c:formatCode>
                <c:ptCount val="2"/>
                <c:pt idx="0">
                  <c:v>59</c:v>
                </c:pt>
                <c:pt idx="1">
                  <c:v>59</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(iCountry!$K$75,iCountry!$K$75)</c:f>
              <c:numCache>
                <c:formatCode>General</c:formatCode>
                <c:ptCount val="2"/>
                <c:pt idx="0">
                  <c:v>0</c:v>
                </c:pt>
                <c:pt idx="1">
                  <c:v>0</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iCountry!$BO$75:$BP$75</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(iCountry!$BW$75,iCountry!$BW$75)</c:f>
              <c:numCache>
                <c:formatCode>General</c:formatCode>
                <c:ptCount val="2"/>
                <c:pt idx="0">
                  <c:v>52</c:v>
                </c:pt>
                <c:pt idx="1">
                  <c:v>52</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(iCountry!$K$76,iCountry!$K$76)</c:f>
              <c:numCache>
                <c:formatCode>General</c:formatCode>
                <c:ptCount val="2"/>
                <c:pt idx="0">
                  <c:v>100</c:v>
                </c:pt>
                <c:pt idx="1">
                  <c:v>100</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iCountry!$BO$76:$BP$76</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(iCountry!$BW$76,iCountry!$BW$76)</c:f>
              <c:numCache>
                <c:formatCode>General</c:formatCode>
                <c:ptCount val="2"/>
                <c:pt idx="0">
                  <c:v>52</c:v>
                </c:pt>
                <c:pt idx="1">
                  <c:v>52</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(iCountry!$K$77,iCountry!$K$77)</c:f>
              <c:numCache>
                <c:formatCode>General</c:formatCode>
                <c:ptCount val="2"/>
                <c:pt idx="0">
                  <c:v>100</c:v>
                </c:pt>
                <c:pt idx="1">
                  <c:v>100</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iCountry!$BO$77:$BP$77</c:f>
              <c:numCache>
                <c:formatCode>General</c:formatCode>
                <c:ptCount val="2"/>
                <c:pt idx="0">
                  <c:v>33.299999999999997</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(iCountry!$BW$77,iCountry!$BW$77)</c:f>
              <c:numCache>
                <c:formatCode>General</c:formatCode>
                <c:ptCount val="2"/>
                <c:pt idx="0">
                  <c:v>88.7</c:v>
                </c:pt>
                <c:pt idx="1">
                  <c:v>88.7</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(iCountry!$K$78,iCountry!$K$78)</c:f>
              <c:numCache>
                <c:formatCode>General</c:formatCode>
                <c:ptCount val="2"/>
                <c:pt idx="0">
                  <c:v>66.7</c:v>
                </c:pt>
                <c:pt idx="1">
                  <c:v>66.7</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iCountry!$BO$78:$BP$78</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(iCountry!$BW$78,iCountry!$BW$78)</c:f>
              <c:numCache>
                <c:formatCode>General</c:formatCode>
                <c:ptCount val="2"/>
                <c:pt idx="0">
                  <c:v>60.7</c:v>
                </c:pt>
                <c:pt idx="1">
                  <c:v>60.7</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(iCountry!$K$79,iCountry!$K$79)</c:f>
              <c:numCache>
                <c:formatCode>General</c:formatCode>
                <c:ptCount val="2"/>
                <c:pt idx="0">
                  <c:v>0</c:v>
                </c:pt>
                <c:pt idx="1">
                  <c:v>0</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iCountry!$BO$79:$BP$79</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(iCountry!$BW$79,iCountry!$BW$79)</c:f>
              <c:numCache>
                <c:formatCode>General</c:formatCode>
                <c:ptCount val="2"/>
                <c:pt idx="0">
                  <c:v>55</c:v>
                </c:pt>
                <c:pt idx="1">
                  <c:v>55</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Compare!$O$29</c:f>
              <c:numCache>
                <c:formatCode>0.0</c:formatCode>
                <c:ptCount val="1"/>
                <c:pt idx="0">
                  <c:v>82.5</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Compare!$P$29</c:f>
              <c:numCache>
                <c:formatCode>0.0</c:formatCode>
                <c:ptCount val="1"/>
                <c:pt idx="0">
                  <c:v>67.2</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Compare!$K$29:$L$29</c:f>
              <c:numCache>
                <c:formatCode>General</c:formatCode>
                <c:ptCount val="2"/>
                <c:pt idx="0">
                  <c:v>31.2</c:v>
                </c:pt>
                <c:pt idx="1">
                  <c:v>87</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(iCountry!$K$80,iCountry!$K$80)</c:f>
              <c:numCache>
                <c:formatCode>General</c:formatCode>
                <c:ptCount val="2"/>
                <c:pt idx="0">
                  <c:v>100</c:v>
                </c:pt>
                <c:pt idx="1">
                  <c:v>100</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iCountry!$BO$80:$BP$80</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(iCountry!$BW$80,iCountry!$BW$80)</c:f>
              <c:numCache>
                <c:formatCode>General</c:formatCode>
                <c:ptCount val="2"/>
                <c:pt idx="0">
                  <c:v>78</c:v>
                </c:pt>
                <c:pt idx="1">
                  <c:v>78</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(iCountry!$K$81,iCountry!$K$81)</c:f>
              <c:numCache>
                <c:formatCode>General</c:formatCode>
                <c:ptCount val="2"/>
                <c:pt idx="0">
                  <c:v>100</c:v>
                </c:pt>
                <c:pt idx="1">
                  <c:v>100</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iCountry!$BO$81:$BP$81</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(iCountry!$BW$81,iCountry!$BW$81)</c:f>
              <c:numCache>
                <c:formatCode>General</c:formatCode>
                <c:ptCount val="2"/>
                <c:pt idx="0">
                  <c:v>95</c:v>
                </c:pt>
                <c:pt idx="1">
                  <c:v>95</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(iCountry!$K$82,iCountry!$K$82)</c:f>
              <c:numCache>
                <c:formatCode>General</c:formatCode>
                <c:ptCount val="2"/>
                <c:pt idx="0">
                  <c:v>75</c:v>
                </c:pt>
                <c:pt idx="1">
                  <c:v>75</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iCountry!$BO$82:$BP$82</c:f>
              <c:numCache>
                <c:formatCode>General</c:formatCode>
                <c:ptCount val="2"/>
                <c:pt idx="0">
                  <c:v>25</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(iCountry!$BW$82,iCountry!$BW$82)</c:f>
              <c:numCache>
                <c:formatCode>General</c:formatCode>
                <c:ptCount val="2"/>
                <c:pt idx="0">
                  <c:v>67</c:v>
                </c:pt>
                <c:pt idx="1">
                  <c:v>67</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(iCountry!$K$83,iCountry!$K$83)</c:f>
              <c:numCache>
                <c:formatCode>General</c:formatCode>
                <c:ptCount val="2"/>
                <c:pt idx="0">
                  <c:v>66.7</c:v>
                </c:pt>
                <c:pt idx="1">
                  <c:v>66.7</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iCountry!$BO$83:$BP$83</c:f>
              <c:numCache>
                <c:formatCode>General</c:formatCode>
                <c:ptCount val="2"/>
                <c:pt idx="0">
                  <c:v>33.299999999999997</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(iCountry!$BW$83,iCountry!$BW$83)</c:f>
              <c:numCache>
                <c:formatCode>General</c:formatCode>
                <c:ptCount val="2"/>
                <c:pt idx="0">
                  <c:v>82.7</c:v>
                </c:pt>
                <c:pt idx="1">
                  <c:v>82.7</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(iCountry!$K$84,iCountry!$K$84)</c:f>
              <c:numCache>
                <c:formatCode>General</c:formatCode>
                <c:ptCount val="2"/>
                <c:pt idx="0">
                  <c:v>0</c:v>
                </c:pt>
                <c:pt idx="1">
                  <c:v>0</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iCountry!$BO$84:$BP$84</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(iCountry!$BW$84,iCountry!$BW$84)</c:f>
              <c:numCache>
                <c:formatCode>General</c:formatCode>
                <c:ptCount val="2"/>
                <c:pt idx="0">
                  <c:v>41</c:v>
                </c:pt>
                <c:pt idx="1">
                  <c:v>41</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spPr>
            <a:solidFill>
              <a:schemeClr val="bg1">
                <a:lumMod val="75000"/>
              </a:schemeClr>
            </a:solidFill>
            <a:ln>
              <a:noFill/>
            </a:ln>
            <a:effectLst/>
          </c:spPr>
          <c:invertIfNegative val="0"/>
          <c:cat>
            <c:strRef>
              <c:f>Overview!$W$17:$W$66</c:f>
              <c:strCache>
                <c:ptCount val="50"/>
                <c:pt idx="0">
                  <c:v>Hong Kong</c:v>
                </c:pt>
                <c:pt idx="1">
                  <c:v>London</c:v>
                </c:pt>
                <c:pt idx="2">
                  <c:v>Madrid</c:v>
                </c:pt>
                <c:pt idx="3">
                  <c:v>New York City</c:v>
                </c:pt>
                <c:pt idx="4">
                  <c:v>Berlin</c:v>
                </c:pt>
                <c:pt idx="5">
                  <c:v>Toronto</c:v>
                </c:pt>
                <c:pt idx="6">
                  <c:v>Singapore</c:v>
                </c:pt>
                <c:pt idx="7">
                  <c:v>Tokyo</c:v>
                </c:pt>
                <c:pt idx="8">
                  <c:v>Melbourne</c:v>
                </c:pt>
                <c:pt idx="9">
                  <c:v>Seoul</c:v>
                </c:pt>
                <c:pt idx="10">
                  <c:v>Helsinki</c:v>
                </c:pt>
                <c:pt idx="11">
                  <c:v>Vienna</c:v>
                </c:pt>
                <c:pt idx="12">
                  <c:v>Osaka</c:v>
                </c:pt>
                <c:pt idx="13">
                  <c:v>San Francisco</c:v>
                </c:pt>
                <c:pt idx="14">
                  <c:v>Jakarta</c:v>
                </c:pt>
                <c:pt idx="15">
                  <c:v>Auckland</c:v>
                </c:pt>
                <c:pt idx="16">
                  <c:v>Sydney</c:v>
                </c:pt>
                <c:pt idx="17">
                  <c:v>Bogotá</c:v>
                </c:pt>
                <c:pt idx="18">
                  <c:v>Budapest</c:v>
                </c:pt>
                <c:pt idx="19">
                  <c:v>Bangkok</c:v>
                </c:pt>
                <c:pt idx="20">
                  <c:v>São Paulo</c:v>
                </c:pt>
                <c:pt idx="21">
                  <c:v>Ho Chi Minh City</c:v>
                </c:pt>
                <c:pt idx="22">
                  <c:v>Moscow</c:v>
                </c:pt>
                <c:pt idx="23">
                  <c:v>Shanghai</c:v>
                </c:pt>
                <c:pt idx="24">
                  <c:v>Dubai</c:v>
                </c:pt>
                <c:pt idx="25">
                  <c:v>Paris</c:v>
                </c:pt>
                <c:pt idx="26">
                  <c:v>Rome</c:v>
                </c:pt>
                <c:pt idx="27">
                  <c:v>Beijing</c:v>
                </c:pt>
                <c:pt idx="28">
                  <c:v>Atlanta</c:v>
                </c:pt>
                <c:pt idx="29">
                  <c:v>Mexico City</c:v>
                </c:pt>
                <c:pt idx="30">
                  <c:v>Istanbul</c:v>
                </c:pt>
                <c:pt idx="31">
                  <c:v>Wuhan</c:v>
                </c:pt>
                <c:pt idx="32">
                  <c:v>Delhi</c:v>
                </c:pt>
                <c:pt idx="33">
                  <c:v>Mumbai</c:v>
                </c:pt>
                <c:pt idx="34">
                  <c:v>Johannesburg</c:v>
                </c:pt>
                <c:pt idx="35">
                  <c:v>Nairobi</c:v>
                </c:pt>
                <c:pt idx="36">
                  <c:v>Kolkata</c:v>
                </c:pt>
                <c:pt idx="37">
                  <c:v>Lagos</c:v>
                </c:pt>
                <c:pt idx="38">
                  <c:v>Phnom Penh</c:v>
                </c:pt>
                <c:pt idx="39">
                  <c:v>Colombo</c:v>
                </c:pt>
                <c:pt idx="40">
                  <c:v>Addis Ababa</c:v>
                </c:pt>
                <c:pt idx="41">
                  <c:v>Manila</c:v>
                </c:pt>
                <c:pt idx="42">
                  <c:v>Karachi</c:v>
                </c:pt>
                <c:pt idx="43">
                  <c:v>Riyadh</c:v>
                </c:pt>
                <c:pt idx="44">
                  <c:v>Yangon</c:v>
                </c:pt>
                <c:pt idx="45">
                  <c:v>Kuwait City</c:v>
                </c:pt>
                <c:pt idx="46">
                  <c:v>Dhaka</c:v>
                </c:pt>
                <c:pt idx="47">
                  <c:v>Algiers</c:v>
                </c:pt>
                <c:pt idx="48">
                  <c:v>Kathmandu</c:v>
                </c:pt>
                <c:pt idx="49">
                  <c:v>Cairo</c:v>
                </c:pt>
              </c:strCache>
            </c:strRef>
          </c:cat>
          <c:val>
            <c:numRef>
              <c:f>Overview!$AC$17:$AC$66</c:f>
              <c:numCache>
                <c:formatCode>0.0</c:formatCode>
                <c:ptCount val="50"/>
                <c:pt idx="0">
                  <c:v>83.2</c:v>
                </c:pt>
                <c:pt idx="1">
                  <c:v>82.6</c:v>
                </c:pt>
                <c:pt idx="2">
                  <c:v>79.599999999999994</c:v>
                </c:pt>
                <c:pt idx="3">
                  <c:v>79.099999999999994</c:v>
                </c:pt>
                <c:pt idx="4">
                  <c:v>77.400000000000006</c:v>
                </c:pt>
                <c:pt idx="5">
                  <c:v>77</c:v>
                </c:pt>
                <c:pt idx="6">
                  <c:v>76.099999999999994</c:v>
                </c:pt>
                <c:pt idx="7">
                  <c:v>76.099999999999994</c:v>
                </c:pt>
                <c:pt idx="8">
                  <c:v>75.8</c:v>
                </c:pt>
                <c:pt idx="9">
                  <c:v>75.599999999999994</c:v>
                </c:pt>
                <c:pt idx="10">
                  <c:v>75.5</c:v>
                </c:pt>
                <c:pt idx="11">
                  <c:v>75.099999999999994</c:v>
                </c:pt>
                <c:pt idx="12">
                  <c:v>74.2</c:v>
                </c:pt>
                <c:pt idx="13">
                  <c:v>72</c:v>
                </c:pt>
                <c:pt idx="14">
                  <c:v>71.7</c:v>
                </c:pt>
                <c:pt idx="15">
                  <c:v>71</c:v>
                </c:pt>
                <c:pt idx="16">
                  <c:v>70.5</c:v>
                </c:pt>
                <c:pt idx="17">
                  <c:v>69.7</c:v>
                </c:pt>
                <c:pt idx="18">
                  <c:v>69.5</c:v>
                </c:pt>
                <c:pt idx="19">
                  <c:v>68.8</c:v>
                </c:pt>
                <c:pt idx="20">
                  <c:v>67.099999999999994</c:v>
                </c:pt>
                <c:pt idx="21">
                  <c:v>66</c:v>
                </c:pt>
                <c:pt idx="22">
                  <c:v>65.900000000000006</c:v>
                </c:pt>
                <c:pt idx="23">
                  <c:v>65.3</c:v>
                </c:pt>
                <c:pt idx="24">
                  <c:v>65</c:v>
                </c:pt>
                <c:pt idx="25">
                  <c:v>64.5</c:v>
                </c:pt>
                <c:pt idx="26">
                  <c:v>63.5</c:v>
                </c:pt>
                <c:pt idx="27">
                  <c:v>63.4</c:v>
                </c:pt>
                <c:pt idx="28">
                  <c:v>63.1</c:v>
                </c:pt>
                <c:pt idx="29">
                  <c:v>60.9</c:v>
                </c:pt>
                <c:pt idx="30">
                  <c:v>60.4</c:v>
                </c:pt>
                <c:pt idx="31">
                  <c:v>57.3</c:v>
                </c:pt>
                <c:pt idx="32">
                  <c:v>56.8</c:v>
                </c:pt>
                <c:pt idx="33">
                  <c:v>53.2</c:v>
                </c:pt>
                <c:pt idx="34">
                  <c:v>52.5</c:v>
                </c:pt>
                <c:pt idx="35">
                  <c:v>52.2</c:v>
                </c:pt>
                <c:pt idx="36">
                  <c:v>51.8</c:v>
                </c:pt>
                <c:pt idx="37">
                  <c:v>51.6</c:v>
                </c:pt>
                <c:pt idx="38">
                  <c:v>51.4</c:v>
                </c:pt>
                <c:pt idx="39">
                  <c:v>50.1</c:v>
                </c:pt>
                <c:pt idx="40">
                  <c:v>49.6</c:v>
                </c:pt>
                <c:pt idx="41">
                  <c:v>48.8</c:v>
                </c:pt>
                <c:pt idx="42">
                  <c:v>44.3</c:v>
                </c:pt>
                <c:pt idx="43">
                  <c:v>44.2</c:v>
                </c:pt>
                <c:pt idx="44">
                  <c:v>43.5</c:v>
                </c:pt>
                <c:pt idx="45">
                  <c:v>42.1</c:v>
                </c:pt>
                <c:pt idx="46">
                  <c:v>41.8</c:v>
                </c:pt>
                <c:pt idx="47">
                  <c:v>41</c:v>
                </c:pt>
                <c:pt idx="48">
                  <c:v>40.9</c:v>
                </c:pt>
                <c:pt idx="49">
                  <c:v>40.6</c:v>
                </c:pt>
              </c:numCache>
            </c:numRef>
          </c:val>
          <c:extLst>
            <c:ext xmlns:c16="http://schemas.microsoft.com/office/drawing/2014/chart" uri="{C3380CC4-5D6E-409C-BE32-E72D297353CC}">
              <c16:uniqueId val="{00000000-1C3F-4D5A-AE28-49F2F9056F52}"/>
            </c:ext>
          </c:extLst>
        </c:ser>
        <c:dLbls>
          <c:showLegendKey val="0"/>
          <c:showVal val="0"/>
          <c:showCatName val="0"/>
          <c:showSerName val="0"/>
          <c:showPercent val="0"/>
          <c:showBubbleSize val="0"/>
        </c:dLbls>
        <c:gapWidth val="78"/>
        <c:axId val="552359072"/>
        <c:axId val="552359424"/>
      </c:barChart>
      <c:catAx>
        <c:axId val="552359072"/>
        <c:scaling>
          <c:orientation val="maxMin"/>
        </c:scaling>
        <c:delete val="1"/>
        <c:axPos val="l"/>
        <c:numFmt formatCode="General" sourceLinked="1"/>
        <c:majorTickMark val="none"/>
        <c:minorTickMark val="none"/>
        <c:tickLblPos val="nextTo"/>
        <c:crossAx val="552359424"/>
        <c:crosses val="autoZero"/>
        <c:auto val="1"/>
        <c:lblAlgn val="ctr"/>
        <c:lblOffset val="100"/>
        <c:noMultiLvlLbl val="0"/>
      </c:catAx>
      <c:valAx>
        <c:axId val="552359424"/>
        <c:scaling>
          <c:orientation val="minMax"/>
          <c:max val="100"/>
          <c:min val="0"/>
        </c:scaling>
        <c:delete val="1"/>
        <c:axPos val="t"/>
        <c:numFmt formatCode="0.0" sourceLinked="1"/>
        <c:majorTickMark val="out"/>
        <c:minorTickMark val="none"/>
        <c:tickLblPos val="nextTo"/>
        <c:crossAx val="5523590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Compare!$O$30</c:f>
              <c:numCache>
                <c:formatCode>0.0</c:formatCode>
                <c:ptCount val="1"/>
                <c:pt idx="0">
                  <c:v>65</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Compare!$P$30</c:f>
              <c:numCache>
                <c:formatCode>0.0</c:formatCode>
                <c:ptCount val="1"/>
                <c:pt idx="0">
                  <c:v>64.400000000000006</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Compare!$K$30:$L$30</c:f>
              <c:numCache>
                <c:formatCode>General</c:formatCode>
                <c:ptCount val="2"/>
                <c:pt idx="0">
                  <c:v>37</c:v>
                </c:pt>
                <c:pt idx="1">
                  <c:v>74</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Compare!$O$31</c:f>
              <c:numCache>
                <c:formatCode>0.0</c:formatCode>
                <c:ptCount val="1"/>
                <c:pt idx="0">
                  <c:v>100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Compare!$P$31</c:f>
              <c:numCache>
                <c:formatCode>0.0</c:formatCode>
                <c:ptCount val="1"/>
                <c:pt idx="0">
                  <c:v>70</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Compare!$K$31:$L$31</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Compare!$O$32</c:f>
              <c:numCache>
                <c:formatCode>0.0</c:formatCode>
                <c:ptCount val="1"/>
                <c:pt idx="0">
                  <c:v>2.2999999999999998</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Compare!$P$32</c:f>
              <c:numCache>
                <c:formatCode>0.0</c:formatCode>
                <c:ptCount val="1"/>
                <c:pt idx="0">
                  <c:v>59.4</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Compare!$K$32:$L$32</c:f>
              <c:numCache>
                <c:formatCode>General</c:formatCode>
                <c:ptCount val="2"/>
                <c:pt idx="0">
                  <c:v>2.2999999999999998</c:v>
                </c:pt>
                <c:pt idx="1">
                  <c:v>95.7</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Compare!$O$33</c:f>
              <c:numCache>
                <c:formatCode>0.0</c:formatCode>
                <c:ptCount val="1"/>
                <c:pt idx="0">
                  <c:v>4.5</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Compare!$P$33</c:f>
              <c:numCache>
                <c:formatCode>0.0</c:formatCode>
                <c:ptCount val="1"/>
                <c:pt idx="0">
                  <c:v>54.8</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Compare!$K$33:$L$33</c:f>
              <c:numCache>
                <c:formatCode>General</c:formatCode>
                <c:ptCount val="2"/>
                <c:pt idx="0">
                  <c:v>4.5</c:v>
                </c:pt>
                <c:pt idx="1">
                  <c:v>92.2</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Compare!$O$34</c:f>
              <c:numCache>
                <c:formatCode>0.0</c:formatCode>
                <c:ptCount val="1"/>
                <c:pt idx="0">
                  <c:v>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Compare!$P$34</c:f>
              <c:numCache>
                <c:formatCode>0.0</c:formatCode>
                <c:ptCount val="1"/>
                <c:pt idx="0">
                  <c:v>64</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Compare!$K$34:$L$34</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Compare!$O$35</c:f>
              <c:numCache>
                <c:formatCode>0.0</c:formatCode>
                <c:ptCount val="1"/>
                <c:pt idx="0">
                  <c:v>98</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Compare!$P$35</c:f>
              <c:numCache>
                <c:formatCode>0.0</c:formatCode>
                <c:ptCount val="1"/>
                <c:pt idx="0">
                  <c:v>85.2</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Compare!$K$35:$L$35</c:f>
              <c:numCache>
                <c:formatCode>General</c:formatCode>
                <c:ptCount val="2"/>
                <c:pt idx="0">
                  <c:v>44.4</c:v>
                </c:pt>
                <c:pt idx="1">
                  <c:v>99.8</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Compare!$O$36</c:f>
              <c:numCache>
                <c:formatCode>0.0</c:formatCode>
                <c:ptCount val="1"/>
                <c:pt idx="0">
                  <c:v>96</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Compare!$P$36</c:f>
              <c:numCache>
                <c:formatCode>0.0</c:formatCode>
                <c:ptCount val="1"/>
                <c:pt idx="0">
                  <c:v>94.4</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Compare!$K$36:$L$36</c:f>
              <c:numCache>
                <c:formatCode>General</c:formatCode>
                <c:ptCount val="2"/>
                <c:pt idx="0">
                  <c:v>70.2</c:v>
                </c:pt>
                <c:pt idx="1">
                  <c:v>99.6</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27015238203137"/>
          <c:y val="3.12139802494431E-2"/>
          <c:w val="0.84913725712343513"/>
          <c:h val="0.81177854281074169"/>
        </c:manualLayout>
      </c:layout>
      <c:scatterChart>
        <c:scatterStyle val="lineMarker"/>
        <c:varyColors val="0"/>
        <c:ser>
          <c:idx val="6"/>
          <c:order val="0"/>
          <c:tx>
            <c:v>Visible_Markers</c:v>
          </c:tx>
          <c:spPr>
            <a:ln w="28575">
              <a:noFill/>
            </a:ln>
          </c:spPr>
          <c:marker>
            <c:symbol val="circle"/>
            <c:size val="17"/>
            <c:spPr>
              <a:noFill/>
              <a:ln>
                <a:solidFill>
                  <a:schemeClr val="bg1">
                    <a:lumMod val="75000"/>
                  </a:schemeClr>
                </a:solidFill>
              </a:ln>
              <a:extLst>
                <a:ext uri="{909E8E84-426E-40DD-AFC4-6F175D3DCCD1}">
                  <a14:hiddenFill xmlns:a14="http://schemas.microsoft.com/office/drawing/2010/main">
                    <a:noFill/>
                  </a14:hiddenFill>
                </a:ext>
              </a:extLst>
            </c:spPr>
          </c:marker>
          <c:dPt>
            <c:idx val="0"/>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96-2E9A-46A8-BA73-B1F75B3544A3}"/>
              </c:ext>
            </c:extLst>
          </c:dPt>
          <c:dPt>
            <c:idx val="1"/>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97-2E9A-46A8-BA73-B1F75B3544A3}"/>
              </c:ext>
            </c:extLst>
          </c:dPt>
          <c:dPt>
            <c:idx val="2"/>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98-2E9A-46A8-BA73-B1F75B3544A3}"/>
              </c:ext>
            </c:extLst>
          </c:dPt>
          <c:dPt>
            <c:idx val="3"/>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99-2E9A-46A8-BA73-B1F75B3544A3}"/>
              </c:ext>
            </c:extLst>
          </c:dPt>
          <c:dPt>
            <c:idx val="4"/>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9A-2E9A-46A8-BA73-B1F75B3544A3}"/>
              </c:ext>
            </c:extLst>
          </c:dPt>
          <c:dPt>
            <c:idx val="5"/>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9B-2E9A-46A8-BA73-B1F75B3544A3}"/>
              </c:ext>
            </c:extLst>
          </c:dPt>
          <c:dPt>
            <c:idx val="6"/>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9C-2E9A-46A8-BA73-B1F75B3544A3}"/>
              </c:ext>
            </c:extLst>
          </c:dPt>
          <c:dPt>
            <c:idx val="7"/>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9D-2E9A-46A8-BA73-B1F75B3544A3}"/>
              </c:ext>
            </c:extLst>
          </c:dPt>
          <c:dPt>
            <c:idx val="8"/>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9E-2E9A-46A8-BA73-B1F75B3544A3}"/>
              </c:ext>
            </c:extLst>
          </c:dPt>
          <c:dPt>
            <c:idx val="9"/>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9F-2E9A-46A8-BA73-B1F75B3544A3}"/>
              </c:ext>
            </c:extLst>
          </c:dPt>
          <c:dPt>
            <c:idx val="10"/>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A0-2E9A-46A8-BA73-B1F75B3544A3}"/>
              </c:ext>
            </c:extLst>
          </c:dPt>
          <c:dPt>
            <c:idx val="11"/>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A1-2E9A-46A8-BA73-B1F75B3544A3}"/>
              </c:ext>
            </c:extLst>
          </c:dPt>
          <c:dPt>
            <c:idx val="12"/>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A2-2E9A-46A8-BA73-B1F75B3544A3}"/>
              </c:ext>
            </c:extLst>
          </c:dPt>
          <c:dPt>
            <c:idx val="13"/>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A3-2E9A-46A8-BA73-B1F75B3544A3}"/>
              </c:ext>
            </c:extLst>
          </c:dPt>
          <c:dPt>
            <c:idx val="14"/>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A4-2E9A-46A8-BA73-B1F75B3544A3}"/>
              </c:ext>
            </c:extLst>
          </c:dPt>
          <c:dPt>
            <c:idx val="15"/>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03-9F6B-4734-B663-1D8DC8F0114C}"/>
              </c:ext>
            </c:extLst>
          </c:dPt>
          <c:dPt>
            <c:idx val="16"/>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04-9F6B-4734-B663-1D8DC8F0114C}"/>
              </c:ext>
            </c:extLst>
          </c:dPt>
          <c:dPt>
            <c:idx val="17"/>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05-9F6B-4734-B663-1D8DC8F0114C}"/>
              </c:ext>
            </c:extLst>
          </c:dPt>
          <c:dPt>
            <c:idx val="18"/>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06-9F6B-4734-B663-1D8DC8F0114C}"/>
              </c:ext>
            </c:extLst>
          </c:dPt>
          <c:dPt>
            <c:idx val="19"/>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07-9F6B-4734-B663-1D8DC8F0114C}"/>
              </c:ext>
            </c:extLst>
          </c:dPt>
          <c:dPt>
            <c:idx val="20"/>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08-9F6B-4734-B663-1D8DC8F0114C}"/>
              </c:ext>
            </c:extLst>
          </c:dPt>
          <c:dPt>
            <c:idx val="21"/>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09-9F6B-4734-B663-1D8DC8F0114C}"/>
              </c:ext>
            </c:extLst>
          </c:dPt>
          <c:dPt>
            <c:idx val="22"/>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0A-9F6B-4734-B663-1D8DC8F0114C}"/>
              </c:ext>
            </c:extLst>
          </c:dPt>
          <c:dPt>
            <c:idx val="23"/>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0B-9F6B-4734-B663-1D8DC8F0114C}"/>
              </c:ext>
            </c:extLst>
          </c:dPt>
          <c:dPt>
            <c:idx val="24"/>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0C-9F6B-4734-B663-1D8DC8F0114C}"/>
              </c:ext>
            </c:extLst>
          </c:dPt>
          <c:dPt>
            <c:idx val="25"/>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0D-9F6B-4734-B663-1D8DC8F0114C}"/>
              </c:ext>
            </c:extLst>
          </c:dPt>
          <c:dPt>
            <c:idx val="26"/>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0E-9F6B-4734-B663-1D8DC8F0114C}"/>
              </c:ext>
            </c:extLst>
          </c:dPt>
          <c:dPt>
            <c:idx val="27"/>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0F-9F6B-4734-B663-1D8DC8F0114C}"/>
              </c:ext>
            </c:extLst>
          </c:dPt>
          <c:dPt>
            <c:idx val="28"/>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10-9F6B-4734-B663-1D8DC8F0114C}"/>
              </c:ext>
            </c:extLst>
          </c:dPt>
          <c:dPt>
            <c:idx val="29"/>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11-9F6B-4734-B663-1D8DC8F0114C}"/>
              </c:ext>
            </c:extLst>
          </c:dPt>
          <c:dPt>
            <c:idx val="30"/>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12-9F6B-4734-B663-1D8DC8F0114C}"/>
              </c:ext>
            </c:extLst>
          </c:dPt>
          <c:dPt>
            <c:idx val="31"/>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13-9F6B-4734-B663-1D8DC8F0114C}"/>
              </c:ext>
            </c:extLst>
          </c:dPt>
          <c:dPt>
            <c:idx val="32"/>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14-9F6B-4734-B663-1D8DC8F0114C}"/>
              </c:ext>
            </c:extLst>
          </c:dPt>
          <c:dPt>
            <c:idx val="33"/>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15-9F6B-4734-B663-1D8DC8F0114C}"/>
              </c:ext>
            </c:extLst>
          </c:dPt>
          <c:dPt>
            <c:idx val="34"/>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16-9F6B-4734-B663-1D8DC8F0114C}"/>
              </c:ext>
            </c:extLst>
          </c:dPt>
          <c:dPt>
            <c:idx val="35"/>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17-9F6B-4734-B663-1D8DC8F0114C}"/>
              </c:ext>
            </c:extLst>
          </c:dPt>
          <c:dPt>
            <c:idx val="36"/>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18-9F6B-4734-B663-1D8DC8F0114C}"/>
              </c:ext>
            </c:extLst>
          </c:dPt>
          <c:dPt>
            <c:idx val="37"/>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19-9F6B-4734-B663-1D8DC8F0114C}"/>
              </c:ext>
            </c:extLst>
          </c:dPt>
          <c:dPt>
            <c:idx val="38"/>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1A-9F6B-4734-B663-1D8DC8F0114C}"/>
              </c:ext>
            </c:extLst>
          </c:dPt>
          <c:dPt>
            <c:idx val="39"/>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1B-9F6B-4734-B663-1D8DC8F0114C}"/>
              </c:ext>
            </c:extLst>
          </c:dPt>
          <c:dPt>
            <c:idx val="40"/>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1C-9F6B-4734-B663-1D8DC8F0114C}"/>
              </c:ext>
            </c:extLst>
          </c:dPt>
          <c:dPt>
            <c:idx val="41"/>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1D-9F6B-4734-B663-1D8DC8F0114C}"/>
              </c:ext>
            </c:extLst>
          </c:dPt>
          <c:dPt>
            <c:idx val="42"/>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1E-9F6B-4734-B663-1D8DC8F0114C}"/>
              </c:ext>
            </c:extLst>
          </c:dPt>
          <c:dPt>
            <c:idx val="43"/>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1F-9F6B-4734-B663-1D8DC8F0114C}"/>
              </c:ext>
            </c:extLst>
          </c:dPt>
          <c:dPt>
            <c:idx val="44"/>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20-9F6B-4734-B663-1D8DC8F0114C}"/>
              </c:ext>
            </c:extLst>
          </c:dPt>
          <c:dPt>
            <c:idx val="45"/>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21-9F6B-4734-B663-1D8DC8F0114C}"/>
              </c:ext>
            </c:extLst>
          </c:dPt>
          <c:dPt>
            <c:idx val="46"/>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22-9F6B-4734-B663-1D8DC8F0114C}"/>
              </c:ext>
            </c:extLst>
          </c:dPt>
          <c:dPt>
            <c:idx val="47"/>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23-9F6B-4734-B663-1D8DC8F0114C}"/>
              </c:ext>
            </c:extLst>
          </c:dPt>
          <c:dPt>
            <c:idx val="48"/>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24-9F6B-4734-B663-1D8DC8F0114C}"/>
              </c:ext>
            </c:extLst>
          </c:dPt>
          <c:dPt>
            <c:idx val="49"/>
            <c:marker>
              <c:spPr>
                <a:solidFill>
                  <a:srgbClr val="D2D2D2"/>
                </a:solidFill>
                <a:ln>
                  <a:solidFill>
                    <a:schemeClr val="bg1">
                      <a:lumMod val="75000"/>
                    </a:schemeClr>
                  </a:solidFill>
                </a:ln>
              </c:spPr>
            </c:marker>
            <c:bubble3D val="0"/>
            <c:extLst>
              <c:ext xmlns:c16="http://schemas.microsoft.com/office/drawing/2014/chart" uri="{C3380CC4-5D6E-409C-BE32-E72D297353CC}">
                <c16:uniqueId val="{00000025-9F6B-4734-B663-1D8DC8F0114C}"/>
              </c:ext>
            </c:extLst>
          </c:dPt>
          <c:dPt>
            <c:idx val="50"/>
            <c:marker>
              <c:spPr>
                <a:noFill/>
                <a:ln>
                  <a:solidFill>
                    <a:schemeClr val="bg1">
                      <a:lumMod val="75000"/>
                    </a:schemeClr>
                  </a:solidFill>
                </a:ln>
                <a:extLst>
                  <a:ext uri="{909E8E84-426E-40DD-AFC4-6F175D3DCCD1}">
                    <a14:hiddenFill xmlns:a14="http://schemas.microsoft.com/office/drawing/2010/main">
                      <a:solidFill>
                        <a:srgbClr val="D2D2D2"/>
                      </a:solidFill>
                    </a14:hiddenFill>
                  </a:ext>
                </a:extLst>
              </c:spPr>
            </c:marker>
            <c:bubble3D val="0"/>
            <c:extLst>
              <c:ext xmlns:c16="http://schemas.microsoft.com/office/drawing/2014/chart" uri="{C3380CC4-5D6E-409C-BE32-E72D297353CC}">
                <c16:uniqueId val="{00000026-9F6B-4734-B663-1D8DC8F0114C}"/>
              </c:ext>
            </c:extLst>
          </c:dPt>
          <c:dPt>
            <c:idx val="51"/>
            <c:marker>
              <c:spPr>
                <a:noFill/>
                <a:ln>
                  <a:solidFill>
                    <a:schemeClr val="bg1">
                      <a:lumMod val="75000"/>
                    </a:schemeClr>
                  </a:solidFill>
                </a:ln>
                <a:extLst>
                  <a:ext uri="{909E8E84-426E-40DD-AFC4-6F175D3DCCD1}">
                    <a14:hiddenFill xmlns:a14="http://schemas.microsoft.com/office/drawing/2010/main">
                      <a:solidFill>
                        <a:srgbClr val="D2D2D2"/>
                      </a:solidFill>
                    </a14:hiddenFill>
                  </a:ext>
                </a:extLst>
              </c:spPr>
            </c:marker>
            <c:bubble3D val="0"/>
            <c:extLst>
              <c:ext xmlns:c16="http://schemas.microsoft.com/office/drawing/2014/chart" uri="{C3380CC4-5D6E-409C-BE32-E72D297353CC}">
                <c16:uniqueId val="{00000027-9F6B-4734-B663-1D8DC8F0114C}"/>
              </c:ext>
            </c:extLst>
          </c:dPt>
          <c:dPt>
            <c:idx val="52"/>
            <c:marker>
              <c:spPr>
                <a:noFill/>
                <a:ln>
                  <a:solidFill>
                    <a:schemeClr val="bg1">
                      <a:lumMod val="75000"/>
                    </a:schemeClr>
                  </a:solidFill>
                </a:ln>
                <a:extLst>
                  <a:ext uri="{909E8E84-426E-40DD-AFC4-6F175D3DCCD1}">
                    <a14:hiddenFill xmlns:a14="http://schemas.microsoft.com/office/drawing/2010/main">
                      <a:solidFill>
                        <a:srgbClr val="D2D2D2"/>
                      </a:solidFill>
                    </a14:hiddenFill>
                  </a:ext>
                </a:extLst>
              </c:spPr>
            </c:marker>
            <c:bubble3D val="0"/>
            <c:extLst>
              <c:ext xmlns:c16="http://schemas.microsoft.com/office/drawing/2014/chart" uri="{C3380CC4-5D6E-409C-BE32-E72D297353CC}">
                <c16:uniqueId val="{00000028-9F6B-4734-B663-1D8DC8F0114C}"/>
              </c:ext>
            </c:extLst>
          </c:dPt>
          <c:dPt>
            <c:idx val="53"/>
            <c:marker>
              <c:spPr>
                <a:noFill/>
                <a:ln>
                  <a:solidFill>
                    <a:schemeClr val="bg1">
                      <a:lumMod val="75000"/>
                    </a:schemeClr>
                  </a:solidFill>
                </a:ln>
                <a:extLst>
                  <a:ext uri="{909E8E84-426E-40DD-AFC4-6F175D3DCCD1}">
                    <a14:hiddenFill xmlns:a14="http://schemas.microsoft.com/office/drawing/2010/main">
                      <a:solidFill>
                        <a:srgbClr val="D2D2D2"/>
                      </a:solidFill>
                    </a14:hiddenFill>
                  </a:ext>
                </a:extLst>
              </c:spPr>
            </c:marker>
            <c:bubble3D val="0"/>
            <c:extLst>
              <c:ext xmlns:c16="http://schemas.microsoft.com/office/drawing/2014/chart" uri="{C3380CC4-5D6E-409C-BE32-E72D297353CC}">
                <c16:uniqueId val="{00000029-9F6B-4734-B663-1D8DC8F0114C}"/>
              </c:ext>
            </c:extLst>
          </c:dPt>
          <c:dPt>
            <c:idx val="54"/>
            <c:marker>
              <c:spPr>
                <a:noFill/>
                <a:ln>
                  <a:solidFill>
                    <a:schemeClr val="bg1">
                      <a:lumMod val="75000"/>
                    </a:schemeClr>
                  </a:solidFill>
                </a:ln>
                <a:extLst>
                  <a:ext uri="{909E8E84-426E-40DD-AFC4-6F175D3DCCD1}">
                    <a14:hiddenFill xmlns:a14="http://schemas.microsoft.com/office/drawing/2010/main">
                      <a:solidFill>
                        <a:srgbClr val="D2D2D2"/>
                      </a:solidFill>
                    </a14:hiddenFill>
                  </a:ext>
                </a:extLst>
              </c:spPr>
            </c:marker>
            <c:bubble3D val="0"/>
            <c:extLst>
              <c:ext xmlns:c16="http://schemas.microsoft.com/office/drawing/2014/chart" uri="{C3380CC4-5D6E-409C-BE32-E72D297353CC}">
                <c16:uniqueId val="{00000028-5A3A-4645-B009-49D36B3E9A73}"/>
              </c:ext>
            </c:extLst>
          </c:dPt>
          <c:dPt>
            <c:idx val="55"/>
            <c:marker>
              <c:spPr>
                <a:noFill/>
                <a:ln>
                  <a:solidFill>
                    <a:schemeClr val="bg1">
                      <a:lumMod val="75000"/>
                    </a:schemeClr>
                  </a:solidFill>
                </a:ln>
                <a:extLst>
                  <a:ext uri="{909E8E84-426E-40DD-AFC4-6F175D3DCCD1}">
                    <a14:hiddenFill xmlns:a14="http://schemas.microsoft.com/office/drawing/2010/main">
                      <a:solidFill>
                        <a:srgbClr val="D2D2D2"/>
                      </a:solidFill>
                    </a14:hiddenFill>
                  </a:ext>
                </a:extLst>
              </c:spPr>
            </c:marker>
            <c:bubble3D val="0"/>
            <c:extLst>
              <c:ext xmlns:c16="http://schemas.microsoft.com/office/drawing/2014/chart" uri="{C3380CC4-5D6E-409C-BE32-E72D297353CC}">
                <c16:uniqueId val="{00000029-5A3A-4645-B009-49D36B3E9A73}"/>
              </c:ext>
            </c:extLst>
          </c:dPt>
          <c:dPt>
            <c:idx val="56"/>
            <c:marker>
              <c:spPr>
                <a:noFill/>
                <a:ln>
                  <a:solidFill>
                    <a:schemeClr val="bg1">
                      <a:lumMod val="75000"/>
                    </a:schemeClr>
                  </a:solidFill>
                </a:ln>
                <a:extLst>
                  <a:ext uri="{909E8E84-426E-40DD-AFC4-6F175D3DCCD1}">
                    <a14:hiddenFill xmlns:a14="http://schemas.microsoft.com/office/drawing/2010/main">
                      <a:solidFill>
                        <a:srgbClr val="D2D2D2"/>
                      </a:solidFill>
                    </a14:hiddenFill>
                  </a:ext>
                </a:extLst>
              </c:spPr>
            </c:marker>
            <c:bubble3D val="0"/>
            <c:extLst>
              <c:ext xmlns:c16="http://schemas.microsoft.com/office/drawing/2014/chart" uri="{C3380CC4-5D6E-409C-BE32-E72D297353CC}">
                <c16:uniqueId val="{0000002A-5A3A-4645-B009-49D36B3E9A73}"/>
              </c:ext>
            </c:extLst>
          </c:dPt>
          <c:dPt>
            <c:idx val="57"/>
            <c:marker>
              <c:spPr>
                <a:noFill/>
                <a:ln>
                  <a:solidFill>
                    <a:schemeClr val="bg1">
                      <a:lumMod val="75000"/>
                    </a:schemeClr>
                  </a:solidFill>
                </a:ln>
                <a:extLst>
                  <a:ext uri="{909E8E84-426E-40DD-AFC4-6F175D3DCCD1}">
                    <a14:hiddenFill xmlns:a14="http://schemas.microsoft.com/office/drawing/2010/main">
                      <a:solidFill>
                        <a:srgbClr val="D2D2D2"/>
                      </a:solidFill>
                    </a14:hiddenFill>
                  </a:ext>
                </a:extLst>
              </c:spPr>
            </c:marker>
            <c:bubble3D val="0"/>
            <c:extLst>
              <c:ext xmlns:c16="http://schemas.microsoft.com/office/drawing/2014/chart" uri="{C3380CC4-5D6E-409C-BE32-E72D297353CC}">
                <c16:uniqueId val="{0000002B-5A3A-4645-B009-49D36B3E9A73}"/>
              </c:ext>
            </c:extLst>
          </c:dPt>
          <c:dPt>
            <c:idx val="58"/>
            <c:marker>
              <c:spPr>
                <a:noFill/>
                <a:ln>
                  <a:solidFill>
                    <a:schemeClr val="bg1">
                      <a:lumMod val="75000"/>
                    </a:schemeClr>
                  </a:solidFill>
                </a:ln>
                <a:extLst>
                  <a:ext uri="{909E8E84-426E-40DD-AFC4-6F175D3DCCD1}">
                    <a14:hiddenFill xmlns:a14="http://schemas.microsoft.com/office/drawing/2010/main">
                      <a:solidFill>
                        <a:srgbClr val="D2D2D2"/>
                      </a:solidFill>
                    </a14:hiddenFill>
                  </a:ext>
                </a:extLst>
              </c:spPr>
            </c:marker>
            <c:bubble3D val="0"/>
            <c:extLst>
              <c:ext xmlns:c16="http://schemas.microsoft.com/office/drawing/2014/chart" uri="{C3380CC4-5D6E-409C-BE32-E72D297353CC}">
                <c16:uniqueId val="{0000002C-5A3A-4645-B009-49D36B3E9A73}"/>
              </c:ext>
            </c:extLst>
          </c:dPt>
          <c:dPt>
            <c:idx val="59"/>
            <c:marker>
              <c:spPr>
                <a:noFill/>
                <a:ln>
                  <a:solidFill>
                    <a:schemeClr val="bg1">
                      <a:lumMod val="75000"/>
                    </a:schemeClr>
                  </a:solidFill>
                </a:ln>
                <a:extLst>
                  <a:ext uri="{909E8E84-426E-40DD-AFC4-6F175D3DCCD1}">
                    <a14:hiddenFill xmlns:a14="http://schemas.microsoft.com/office/drawing/2010/main">
                      <a:solidFill>
                        <a:srgbClr val="D2D2D2"/>
                      </a:solidFill>
                    </a14:hiddenFill>
                  </a:ext>
                </a:extLst>
              </c:spPr>
            </c:marker>
            <c:bubble3D val="0"/>
            <c:extLst>
              <c:ext xmlns:c16="http://schemas.microsoft.com/office/drawing/2014/chart" uri="{C3380CC4-5D6E-409C-BE32-E72D297353CC}">
                <c16:uniqueId val="{0000002D-5A3A-4645-B009-49D36B3E9A73}"/>
              </c:ext>
            </c:extLst>
          </c:dPt>
          <c:dLbls>
            <c:dLbl>
              <c:idx val="0"/>
              <c:tx>
                <c:rich>
                  <a:bodyPr wrap="square" lIns="38100" tIns="19050" rIns="38100" bIns="19050" anchor="ctr">
                    <a:spAutoFit/>
                  </a:bodyPr>
                  <a:lstStyle/>
                  <a:p>
                    <a:pPr>
                      <a:defRPr sz="700">
                        <a:solidFill>
                          <a:srgbClr val="000000"/>
                        </a:solidFill>
                      </a:defRPr>
                    </a:pPr>
                    <a:r>
                      <a:rPr lang="en-US"/>
                      <a:t>ADD</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2E9A-46A8-BA73-B1F75B3544A3}"/>
                </c:ext>
              </c:extLst>
            </c:dLbl>
            <c:dLbl>
              <c:idx val="1"/>
              <c:tx>
                <c:rich>
                  <a:bodyPr wrap="square" lIns="38100" tIns="19050" rIns="38100" bIns="19050" anchor="ctr">
                    <a:spAutoFit/>
                  </a:bodyPr>
                  <a:lstStyle/>
                  <a:p>
                    <a:pPr>
                      <a:defRPr sz="700">
                        <a:solidFill>
                          <a:srgbClr val="000000"/>
                        </a:solidFill>
                      </a:defRPr>
                    </a:pPr>
                    <a:r>
                      <a:rPr lang="en-US"/>
                      <a:t>UAY</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2E9A-46A8-BA73-B1F75B3544A3}"/>
                </c:ext>
              </c:extLst>
            </c:dLbl>
            <c:dLbl>
              <c:idx val="2"/>
              <c:tx>
                <c:rich>
                  <a:bodyPr wrap="square" lIns="38100" tIns="19050" rIns="38100" bIns="19050" anchor="ctr">
                    <a:spAutoFit/>
                  </a:bodyPr>
                  <a:lstStyle/>
                  <a:p>
                    <a:pPr>
                      <a:defRPr sz="700">
                        <a:solidFill>
                          <a:srgbClr val="000000"/>
                        </a:solidFill>
                      </a:defRPr>
                    </a:pPr>
                    <a:r>
                      <a:rPr lang="en-US"/>
                      <a:t>A2N</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2E9A-46A8-BA73-B1F75B3544A3}"/>
                </c:ext>
              </c:extLst>
            </c:dLbl>
            <c:dLbl>
              <c:idx val="3"/>
              <c:tx>
                <c:rich>
                  <a:bodyPr wrap="square" lIns="38100" tIns="19050" rIns="38100" bIns="19050" anchor="ctr">
                    <a:spAutoFit/>
                  </a:bodyPr>
                  <a:lstStyle/>
                  <a:p>
                    <a:pPr>
                      <a:defRPr sz="700">
                        <a:solidFill>
                          <a:srgbClr val="000000"/>
                        </a:solidFill>
                      </a:defRPr>
                    </a:pPr>
                    <a:r>
                      <a:rPr lang="en-US"/>
                      <a:t>AKL</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2E9A-46A8-BA73-B1F75B3544A3}"/>
                </c:ext>
              </c:extLst>
            </c:dLbl>
            <c:dLbl>
              <c:idx val="4"/>
              <c:tx>
                <c:rich>
                  <a:bodyPr wrap="square" lIns="38100" tIns="19050" rIns="38100" bIns="19050" anchor="ctr">
                    <a:spAutoFit/>
                  </a:bodyPr>
                  <a:lstStyle/>
                  <a:p>
                    <a:pPr>
                      <a:defRPr sz="700">
                        <a:solidFill>
                          <a:srgbClr val="000000"/>
                        </a:solidFill>
                      </a:defRPr>
                    </a:pPr>
                    <a:r>
                      <a:rPr lang="en-US"/>
                      <a:t>BKK</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2E9A-46A8-BA73-B1F75B3544A3}"/>
                </c:ext>
              </c:extLst>
            </c:dLbl>
            <c:dLbl>
              <c:idx val="5"/>
              <c:tx>
                <c:rich>
                  <a:bodyPr wrap="square" lIns="38100" tIns="19050" rIns="38100" bIns="19050" anchor="ctr">
                    <a:spAutoFit/>
                  </a:bodyPr>
                  <a:lstStyle/>
                  <a:p>
                    <a:pPr>
                      <a:defRPr sz="700">
                        <a:solidFill>
                          <a:srgbClr val="000000"/>
                        </a:solidFill>
                      </a:defRPr>
                    </a:pPr>
                    <a:r>
                      <a:rPr lang="en-US"/>
                      <a:t>BJS</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2E9A-46A8-BA73-B1F75B3544A3}"/>
                </c:ext>
              </c:extLst>
            </c:dLbl>
            <c:dLbl>
              <c:idx val="6"/>
              <c:tx>
                <c:rich>
                  <a:bodyPr wrap="square" lIns="38100" tIns="19050" rIns="38100" bIns="19050" anchor="ctr">
                    <a:spAutoFit/>
                  </a:bodyPr>
                  <a:lstStyle/>
                  <a:p>
                    <a:pPr>
                      <a:defRPr sz="700">
                        <a:solidFill>
                          <a:srgbClr val="000000"/>
                        </a:solidFill>
                      </a:defRPr>
                    </a:pPr>
                    <a:r>
                      <a:rPr lang="en-US"/>
                      <a:t>BER</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2E9A-46A8-BA73-B1F75B3544A3}"/>
                </c:ext>
              </c:extLst>
            </c:dLbl>
            <c:dLbl>
              <c:idx val="7"/>
              <c:tx>
                <c:rich>
                  <a:bodyPr wrap="square" lIns="38100" tIns="19050" rIns="38100" bIns="19050" anchor="ctr">
                    <a:spAutoFit/>
                  </a:bodyPr>
                  <a:lstStyle/>
                  <a:p>
                    <a:pPr>
                      <a:defRPr sz="700">
                        <a:solidFill>
                          <a:srgbClr val="000000"/>
                        </a:solidFill>
                      </a:defRPr>
                    </a:pPr>
                    <a:r>
                      <a:rPr lang="en-US"/>
                      <a:t>B6Y</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2E9A-46A8-BA73-B1F75B3544A3}"/>
                </c:ext>
              </c:extLst>
            </c:dLbl>
            <c:dLbl>
              <c:idx val="8"/>
              <c:tx>
                <c:rich>
                  <a:bodyPr wrap="square" lIns="38100" tIns="19050" rIns="38100" bIns="19050" anchor="ctr">
                    <a:spAutoFit/>
                  </a:bodyPr>
                  <a:lstStyle/>
                  <a:p>
                    <a:pPr>
                      <a:defRPr sz="700">
                        <a:solidFill>
                          <a:srgbClr val="000000"/>
                        </a:solidFill>
                      </a:defRPr>
                    </a:pPr>
                    <a:r>
                      <a:rPr lang="en-US"/>
                      <a:t>BUD</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2E9A-46A8-BA73-B1F75B3544A3}"/>
                </c:ext>
              </c:extLst>
            </c:dLbl>
            <c:dLbl>
              <c:idx val="9"/>
              <c:tx>
                <c:rich>
                  <a:bodyPr wrap="square" lIns="38100" tIns="19050" rIns="38100" bIns="19050" anchor="ctr">
                    <a:spAutoFit/>
                  </a:bodyPr>
                  <a:lstStyle/>
                  <a:p>
                    <a:pPr>
                      <a:defRPr sz="700">
                        <a:solidFill>
                          <a:srgbClr val="000000"/>
                        </a:solidFill>
                      </a:defRPr>
                    </a:pPr>
                    <a:r>
                      <a:rPr lang="en-US"/>
                      <a:t>CJR</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2E9A-46A8-BA73-B1F75B3544A3}"/>
                </c:ext>
              </c:extLst>
            </c:dLbl>
            <c:dLbl>
              <c:idx val="10"/>
              <c:tx>
                <c:rich>
                  <a:bodyPr wrap="square" lIns="38100" tIns="19050" rIns="38100" bIns="19050" anchor="ctr">
                    <a:spAutoFit/>
                  </a:bodyPr>
                  <a:lstStyle/>
                  <a:p>
                    <a:pPr>
                      <a:defRPr sz="700">
                        <a:solidFill>
                          <a:srgbClr val="000000"/>
                        </a:solidFill>
                      </a:defRPr>
                    </a:pPr>
                    <a:r>
                      <a:rPr lang="en-US"/>
                      <a:t>COX</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2E9A-46A8-BA73-B1F75B3544A3}"/>
                </c:ext>
              </c:extLst>
            </c:dLbl>
            <c:dLbl>
              <c:idx val="11"/>
              <c:tx>
                <c:rich>
                  <a:bodyPr wrap="square" lIns="38100" tIns="19050" rIns="38100" bIns="19050" anchor="ctr">
                    <a:spAutoFit/>
                  </a:bodyPr>
                  <a:lstStyle/>
                  <a:p>
                    <a:pPr>
                      <a:defRPr sz="700">
                        <a:solidFill>
                          <a:srgbClr val="000000"/>
                        </a:solidFill>
                      </a:defRPr>
                    </a:pPr>
                    <a:r>
                      <a:rPr lang="en-US"/>
                      <a:t>DLI</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2E9A-46A8-BA73-B1F75B3544A3}"/>
                </c:ext>
              </c:extLst>
            </c:dLbl>
            <c:dLbl>
              <c:idx val="12"/>
              <c:tx>
                <c:rich>
                  <a:bodyPr wrap="square" lIns="38100" tIns="19050" rIns="38100" bIns="19050" anchor="ctr">
                    <a:spAutoFit/>
                  </a:bodyPr>
                  <a:lstStyle/>
                  <a:p>
                    <a:pPr>
                      <a:defRPr sz="700">
                        <a:solidFill>
                          <a:srgbClr val="000000"/>
                        </a:solidFill>
                      </a:defRPr>
                    </a:pPr>
                    <a:r>
                      <a:rPr lang="en-US"/>
                      <a:t>DAC</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2E9A-46A8-BA73-B1F75B3544A3}"/>
                </c:ext>
              </c:extLst>
            </c:dLbl>
            <c:dLbl>
              <c:idx val="13"/>
              <c:tx>
                <c:rich>
                  <a:bodyPr wrap="square" lIns="38100" tIns="19050" rIns="38100" bIns="19050" anchor="ctr">
                    <a:spAutoFit/>
                  </a:bodyPr>
                  <a:lstStyle/>
                  <a:p>
                    <a:pPr>
                      <a:defRPr sz="700">
                        <a:solidFill>
                          <a:srgbClr val="000000"/>
                        </a:solidFill>
                      </a:defRPr>
                    </a:pPr>
                    <a:r>
                      <a:rPr lang="en-US"/>
                      <a:t>DXB</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2E9A-46A8-BA73-B1F75B3544A3}"/>
                </c:ext>
              </c:extLst>
            </c:dLbl>
            <c:dLbl>
              <c:idx val="14"/>
              <c:tx>
                <c:rich>
                  <a:bodyPr wrap="square" lIns="38100" tIns="19050" rIns="38100" bIns="19050" anchor="ctr">
                    <a:spAutoFit/>
                  </a:bodyPr>
                  <a:lstStyle/>
                  <a:p>
                    <a:pPr>
                      <a:defRPr sz="700">
                        <a:solidFill>
                          <a:srgbClr val="000000"/>
                        </a:solidFill>
                      </a:defRPr>
                    </a:pPr>
                    <a:r>
                      <a:rPr lang="en-US"/>
                      <a:t>HEL</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2E9A-46A8-BA73-B1F75B3544A3}"/>
                </c:ext>
              </c:extLst>
            </c:dLbl>
            <c:dLbl>
              <c:idx val="15"/>
              <c:tx>
                <c:rich>
                  <a:bodyPr wrap="square" lIns="38100" tIns="19050" rIns="38100" bIns="19050" anchor="ctr">
                    <a:spAutoFit/>
                  </a:bodyPr>
                  <a:lstStyle/>
                  <a:p>
                    <a:pPr>
                      <a:defRPr sz="700">
                        <a:solidFill>
                          <a:srgbClr val="000000"/>
                        </a:solidFill>
                      </a:defRPr>
                    </a:pPr>
                    <a:r>
                      <a:rPr lang="en-US"/>
                      <a:t>SGN</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F6B-4734-B663-1D8DC8F0114C}"/>
                </c:ext>
              </c:extLst>
            </c:dLbl>
            <c:dLbl>
              <c:idx val="16"/>
              <c:tx>
                <c:rich>
                  <a:bodyPr wrap="square" lIns="38100" tIns="19050" rIns="38100" bIns="19050" anchor="ctr">
                    <a:spAutoFit/>
                  </a:bodyPr>
                  <a:lstStyle/>
                  <a:p>
                    <a:pPr>
                      <a:defRPr sz="700">
                        <a:solidFill>
                          <a:srgbClr val="000000"/>
                        </a:solidFill>
                      </a:defRPr>
                    </a:pPr>
                    <a:r>
                      <a:rPr lang="en-US"/>
                      <a:t>HKG</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F6B-4734-B663-1D8DC8F0114C}"/>
                </c:ext>
              </c:extLst>
            </c:dLbl>
            <c:dLbl>
              <c:idx val="17"/>
              <c:tx>
                <c:rich>
                  <a:bodyPr wrap="square" lIns="38100" tIns="19050" rIns="38100" bIns="19050" anchor="ctr">
                    <a:spAutoFit/>
                  </a:bodyPr>
                  <a:lstStyle/>
                  <a:p>
                    <a:pPr>
                      <a:defRPr sz="700">
                        <a:solidFill>
                          <a:srgbClr val="000000"/>
                        </a:solidFill>
                      </a:defRPr>
                    </a:pPr>
                    <a:r>
                      <a:rPr lang="en-US"/>
                      <a:t>IST</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F6B-4734-B663-1D8DC8F0114C}"/>
                </c:ext>
              </c:extLst>
            </c:dLbl>
            <c:dLbl>
              <c:idx val="18"/>
              <c:tx>
                <c:rich>
                  <a:bodyPr wrap="square" lIns="38100" tIns="19050" rIns="38100" bIns="19050" anchor="ctr">
                    <a:spAutoFit/>
                  </a:bodyPr>
                  <a:lstStyle/>
                  <a:p>
                    <a:pPr>
                      <a:defRPr sz="700">
                        <a:solidFill>
                          <a:srgbClr val="000000"/>
                        </a:solidFill>
                      </a:defRPr>
                    </a:pPr>
                    <a:r>
                      <a:rPr lang="en-US"/>
                      <a:t>JKT</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F6B-4734-B663-1D8DC8F0114C}"/>
                </c:ext>
              </c:extLst>
            </c:dLbl>
            <c:dLbl>
              <c:idx val="19"/>
              <c:tx>
                <c:rich>
                  <a:bodyPr wrap="square" lIns="38100" tIns="19050" rIns="38100" bIns="19050" anchor="ctr">
                    <a:spAutoFit/>
                  </a:bodyPr>
                  <a:lstStyle/>
                  <a:p>
                    <a:pPr>
                      <a:defRPr sz="700">
                        <a:solidFill>
                          <a:srgbClr val="000000"/>
                        </a:solidFill>
                      </a:defRPr>
                    </a:pPr>
                    <a:r>
                      <a:rPr lang="en-US"/>
                      <a:t>JNB</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F6B-4734-B663-1D8DC8F0114C}"/>
                </c:ext>
              </c:extLst>
            </c:dLbl>
            <c:dLbl>
              <c:idx val="20"/>
              <c:tx>
                <c:rich>
                  <a:bodyPr wrap="square" lIns="38100" tIns="19050" rIns="38100" bIns="19050" anchor="ctr">
                    <a:spAutoFit/>
                  </a:bodyPr>
                  <a:lstStyle/>
                  <a:p>
                    <a:pPr>
                      <a:defRPr sz="700">
                        <a:solidFill>
                          <a:srgbClr val="000000"/>
                        </a:solidFill>
                      </a:defRPr>
                    </a:pPr>
                    <a:r>
                      <a:rPr lang="en-US"/>
                      <a:t>KHI</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F6B-4734-B663-1D8DC8F0114C}"/>
                </c:ext>
              </c:extLst>
            </c:dLbl>
            <c:dLbl>
              <c:idx val="21"/>
              <c:tx>
                <c:rich>
                  <a:bodyPr wrap="square" lIns="38100" tIns="19050" rIns="38100" bIns="19050" anchor="ctr">
                    <a:spAutoFit/>
                  </a:bodyPr>
                  <a:lstStyle/>
                  <a:p>
                    <a:pPr>
                      <a:defRPr sz="700">
                        <a:solidFill>
                          <a:srgbClr val="000000"/>
                        </a:solidFill>
                      </a:defRPr>
                    </a:pPr>
                    <a:r>
                      <a:rPr lang="en-US"/>
                      <a:t>KTM</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F6B-4734-B663-1D8DC8F0114C}"/>
                </c:ext>
              </c:extLst>
            </c:dLbl>
            <c:dLbl>
              <c:idx val="22"/>
              <c:tx>
                <c:rich>
                  <a:bodyPr wrap="square" lIns="38100" tIns="19050" rIns="38100" bIns="19050" anchor="ctr">
                    <a:spAutoFit/>
                  </a:bodyPr>
                  <a:lstStyle/>
                  <a:p>
                    <a:pPr>
                      <a:defRPr sz="700">
                        <a:solidFill>
                          <a:srgbClr val="000000"/>
                        </a:solidFill>
                      </a:defRPr>
                    </a:pPr>
                    <a:r>
                      <a:rPr lang="en-US"/>
                      <a:t>CCU</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F6B-4734-B663-1D8DC8F0114C}"/>
                </c:ext>
              </c:extLst>
            </c:dLbl>
            <c:dLbl>
              <c:idx val="23"/>
              <c:tx>
                <c:rich>
                  <a:bodyPr wrap="square" lIns="38100" tIns="19050" rIns="38100" bIns="19050" anchor="ctr">
                    <a:spAutoFit/>
                  </a:bodyPr>
                  <a:lstStyle/>
                  <a:p>
                    <a:pPr>
                      <a:defRPr sz="700">
                        <a:solidFill>
                          <a:srgbClr val="000000"/>
                        </a:solidFill>
                      </a:defRPr>
                    </a:pPr>
                    <a:r>
                      <a:rPr lang="en-US"/>
                      <a:t>KWI</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9F6B-4734-B663-1D8DC8F0114C}"/>
                </c:ext>
              </c:extLst>
            </c:dLbl>
            <c:dLbl>
              <c:idx val="24"/>
              <c:tx>
                <c:rich>
                  <a:bodyPr wrap="square" lIns="38100" tIns="19050" rIns="38100" bIns="19050" anchor="ctr">
                    <a:spAutoFit/>
                  </a:bodyPr>
                  <a:lstStyle/>
                  <a:p>
                    <a:pPr>
                      <a:defRPr sz="700">
                        <a:solidFill>
                          <a:srgbClr val="000000"/>
                        </a:solidFill>
                      </a:defRPr>
                    </a:pPr>
                    <a:r>
                      <a:rPr lang="en-US"/>
                      <a:t>ZGM</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F6B-4734-B663-1D8DC8F0114C}"/>
                </c:ext>
              </c:extLst>
            </c:dLbl>
            <c:dLbl>
              <c:idx val="25"/>
              <c:tx>
                <c:rich>
                  <a:bodyPr wrap="square" lIns="38100" tIns="19050" rIns="38100" bIns="19050" anchor="ctr">
                    <a:spAutoFit/>
                  </a:bodyPr>
                  <a:lstStyle/>
                  <a:p>
                    <a:pPr>
                      <a:defRPr sz="700">
                        <a:solidFill>
                          <a:srgbClr val="000000"/>
                        </a:solidFill>
                      </a:defRPr>
                    </a:pPr>
                    <a:r>
                      <a:rPr lang="en-US"/>
                      <a:t>LOD</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9F6B-4734-B663-1D8DC8F0114C}"/>
                </c:ext>
              </c:extLst>
            </c:dLbl>
            <c:dLbl>
              <c:idx val="26"/>
              <c:tx>
                <c:rich>
                  <a:bodyPr wrap="square" lIns="38100" tIns="19050" rIns="38100" bIns="19050" anchor="ctr">
                    <a:spAutoFit/>
                  </a:bodyPr>
                  <a:lstStyle/>
                  <a:p>
                    <a:pPr>
                      <a:defRPr sz="700">
                        <a:solidFill>
                          <a:srgbClr val="000000"/>
                        </a:solidFill>
                      </a:defRPr>
                    </a:pPr>
                    <a:r>
                      <a:rPr lang="en-US"/>
                      <a:t>MDD</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9F6B-4734-B663-1D8DC8F0114C}"/>
                </c:ext>
              </c:extLst>
            </c:dLbl>
            <c:dLbl>
              <c:idx val="27"/>
              <c:tx>
                <c:rich>
                  <a:bodyPr wrap="square" lIns="38100" tIns="19050" rIns="38100" bIns="19050" anchor="ctr">
                    <a:spAutoFit/>
                  </a:bodyPr>
                  <a:lstStyle/>
                  <a:p>
                    <a:pPr>
                      <a:defRPr sz="700">
                        <a:solidFill>
                          <a:srgbClr val="000000"/>
                        </a:solidFill>
                      </a:defRPr>
                    </a:pPr>
                    <a:r>
                      <a:rPr lang="en-US"/>
                      <a:t>MNL</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9F6B-4734-B663-1D8DC8F0114C}"/>
                </c:ext>
              </c:extLst>
            </c:dLbl>
            <c:dLbl>
              <c:idx val="28"/>
              <c:tx>
                <c:rich>
                  <a:bodyPr wrap="square" lIns="38100" tIns="19050" rIns="38100" bIns="19050" anchor="ctr">
                    <a:spAutoFit/>
                  </a:bodyPr>
                  <a:lstStyle/>
                  <a:p>
                    <a:pPr>
                      <a:defRPr sz="700">
                        <a:solidFill>
                          <a:srgbClr val="000000"/>
                        </a:solidFill>
                      </a:defRPr>
                    </a:pPr>
                    <a:r>
                      <a:rPr lang="en-US"/>
                      <a:t>MEL</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9F6B-4734-B663-1D8DC8F0114C}"/>
                </c:ext>
              </c:extLst>
            </c:dLbl>
            <c:dLbl>
              <c:idx val="29"/>
              <c:tx>
                <c:rich>
                  <a:bodyPr wrap="square" lIns="38100" tIns="19050" rIns="38100" bIns="19050" anchor="ctr">
                    <a:spAutoFit/>
                  </a:bodyPr>
                  <a:lstStyle/>
                  <a:p>
                    <a:pPr>
                      <a:defRPr sz="700">
                        <a:solidFill>
                          <a:srgbClr val="000000"/>
                        </a:solidFill>
                      </a:defRPr>
                    </a:pPr>
                    <a:r>
                      <a:rPr lang="en-US"/>
                      <a:t>MEX</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9F6B-4734-B663-1D8DC8F0114C}"/>
                </c:ext>
              </c:extLst>
            </c:dLbl>
            <c:dLbl>
              <c:idx val="30"/>
              <c:tx>
                <c:rich>
                  <a:bodyPr wrap="square" lIns="38100" tIns="19050" rIns="38100" bIns="19050" anchor="ctr">
                    <a:spAutoFit/>
                  </a:bodyPr>
                  <a:lstStyle/>
                  <a:p>
                    <a:pPr>
                      <a:defRPr sz="700">
                        <a:solidFill>
                          <a:srgbClr val="000000"/>
                        </a:solidFill>
                      </a:defRPr>
                    </a:pPr>
                    <a:r>
                      <a:rPr lang="en-US"/>
                      <a:t>MW3</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9F6B-4734-B663-1D8DC8F0114C}"/>
                </c:ext>
              </c:extLst>
            </c:dLbl>
            <c:dLbl>
              <c:idx val="31"/>
              <c:tx>
                <c:rich>
                  <a:bodyPr wrap="square" lIns="38100" tIns="19050" rIns="38100" bIns="19050" anchor="ctr">
                    <a:spAutoFit/>
                  </a:bodyPr>
                  <a:lstStyle/>
                  <a:p>
                    <a:pPr>
                      <a:defRPr sz="700">
                        <a:solidFill>
                          <a:srgbClr val="000000"/>
                        </a:solidFill>
                      </a:defRPr>
                    </a:pPr>
                    <a:r>
                      <a:rPr lang="en-US"/>
                      <a:t>BOM</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9F6B-4734-B663-1D8DC8F0114C}"/>
                </c:ext>
              </c:extLst>
            </c:dLbl>
            <c:dLbl>
              <c:idx val="32"/>
              <c:tx>
                <c:rich>
                  <a:bodyPr wrap="square" lIns="38100" tIns="19050" rIns="38100" bIns="19050" anchor="ctr">
                    <a:spAutoFit/>
                  </a:bodyPr>
                  <a:lstStyle/>
                  <a:p>
                    <a:pPr>
                      <a:defRPr sz="700">
                        <a:solidFill>
                          <a:srgbClr val="000000"/>
                        </a:solidFill>
                      </a:defRPr>
                    </a:pPr>
                    <a:r>
                      <a:rPr lang="en-US"/>
                      <a:t>NBO</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9F6B-4734-B663-1D8DC8F0114C}"/>
                </c:ext>
              </c:extLst>
            </c:dLbl>
            <c:dLbl>
              <c:idx val="33"/>
              <c:tx>
                <c:rich>
                  <a:bodyPr wrap="square" lIns="38100" tIns="19050" rIns="38100" bIns="19050" anchor="ctr">
                    <a:spAutoFit/>
                  </a:bodyPr>
                  <a:lstStyle/>
                  <a:p>
                    <a:pPr>
                      <a:defRPr sz="700">
                        <a:solidFill>
                          <a:srgbClr val="000000"/>
                        </a:solidFill>
                      </a:defRPr>
                    </a:pPr>
                    <a:r>
                      <a:rPr lang="en-US"/>
                      <a:t>NYC</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9F6B-4734-B663-1D8DC8F0114C}"/>
                </c:ext>
              </c:extLst>
            </c:dLbl>
            <c:dLbl>
              <c:idx val="34"/>
              <c:tx>
                <c:rich>
                  <a:bodyPr wrap="square" lIns="38100" tIns="19050" rIns="38100" bIns="19050" anchor="ctr">
                    <a:spAutoFit/>
                  </a:bodyPr>
                  <a:lstStyle/>
                  <a:p>
                    <a:pPr>
                      <a:defRPr sz="700">
                        <a:solidFill>
                          <a:srgbClr val="000000"/>
                        </a:solidFill>
                      </a:defRPr>
                    </a:pPr>
                    <a:r>
                      <a:rPr lang="en-US"/>
                      <a:t>OSA</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9F6B-4734-B663-1D8DC8F0114C}"/>
                </c:ext>
              </c:extLst>
            </c:dLbl>
            <c:dLbl>
              <c:idx val="35"/>
              <c:tx>
                <c:rich>
                  <a:bodyPr wrap="square" lIns="38100" tIns="19050" rIns="38100" bIns="19050" anchor="ctr">
                    <a:spAutoFit/>
                  </a:bodyPr>
                  <a:lstStyle/>
                  <a:p>
                    <a:pPr>
                      <a:defRPr sz="700">
                        <a:solidFill>
                          <a:srgbClr val="000000"/>
                        </a:solidFill>
                      </a:defRPr>
                    </a:pPr>
                    <a:r>
                      <a:rPr lang="en-US"/>
                      <a:t>PAR</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9F6B-4734-B663-1D8DC8F0114C}"/>
                </c:ext>
              </c:extLst>
            </c:dLbl>
            <c:dLbl>
              <c:idx val="36"/>
              <c:tx>
                <c:rich>
                  <a:bodyPr wrap="square" lIns="38100" tIns="19050" rIns="38100" bIns="19050" anchor="ctr">
                    <a:spAutoFit/>
                  </a:bodyPr>
                  <a:lstStyle/>
                  <a:p>
                    <a:pPr>
                      <a:defRPr sz="700">
                        <a:solidFill>
                          <a:srgbClr val="000000"/>
                        </a:solidFill>
                      </a:defRPr>
                    </a:pPr>
                    <a:r>
                      <a:rPr lang="en-US"/>
                      <a:t>PNH</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9F6B-4734-B663-1D8DC8F0114C}"/>
                </c:ext>
              </c:extLst>
            </c:dLbl>
            <c:dLbl>
              <c:idx val="37"/>
              <c:tx>
                <c:rich>
                  <a:bodyPr wrap="square" lIns="38100" tIns="19050" rIns="38100" bIns="19050" anchor="ctr">
                    <a:spAutoFit/>
                  </a:bodyPr>
                  <a:lstStyle/>
                  <a:p>
                    <a:pPr>
                      <a:defRPr sz="700">
                        <a:solidFill>
                          <a:srgbClr val="000000"/>
                        </a:solidFill>
                      </a:defRPr>
                    </a:pPr>
                    <a:r>
                      <a:rPr lang="en-US"/>
                      <a:t>RUH</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9F6B-4734-B663-1D8DC8F0114C}"/>
                </c:ext>
              </c:extLst>
            </c:dLbl>
            <c:dLbl>
              <c:idx val="38"/>
              <c:tx>
                <c:rich>
                  <a:bodyPr wrap="square" lIns="38100" tIns="19050" rIns="38100" bIns="19050" anchor="ctr">
                    <a:spAutoFit/>
                  </a:bodyPr>
                  <a:lstStyle/>
                  <a:p>
                    <a:pPr>
                      <a:defRPr sz="700">
                        <a:solidFill>
                          <a:srgbClr val="000000"/>
                        </a:solidFill>
                      </a:defRPr>
                    </a:pPr>
                    <a:r>
                      <a:rPr lang="en-US"/>
                      <a:t>RMG</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9F6B-4734-B663-1D8DC8F0114C}"/>
                </c:ext>
              </c:extLst>
            </c:dLbl>
            <c:dLbl>
              <c:idx val="39"/>
              <c:tx>
                <c:rich>
                  <a:bodyPr wrap="square" lIns="38100" tIns="19050" rIns="38100" bIns="19050" anchor="ctr">
                    <a:spAutoFit/>
                  </a:bodyPr>
                  <a:lstStyle/>
                  <a:p>
                    <a:pPr>
                      <a:defRPr sz="700">
                        <a:solidFill>
                          <a:srgbClr val="000000"/>
                        </a:solidFill>
                      </a:defRPr>
                    </a:pPr>
                    <a:r>
                      <a:rPr lang="en-US"/>
                      <a:t>SFO</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9F6B-4734-B663-1D8DC8F0114C}"/>
                </c:ext>
              </c:extLst>
            </c:dLbl>
            <c:dLbl>
              <c:idx val="40"/>
              <c:tx>
                <c:rich>
                  <a:bodyPr wrap="square" lIns="38100" tIns="19050" rIns="38100" bIns="19050" anchor="ctr">
                    <a:spAutoFit/>
                  </a:bodyPr>
                  <a:lstStyle/>
                  <a:p>
                    <a:pPr>
                      <a:defRPr sz="700">
                        <a:solidFill>
                          <a:srgbClr val="000000"/>
                        </a:solidFill>
                      </a:defRPr>
                    </a:pPr>
                    <a:r>
                      <a:rPr lang="en-US"/>
                      <a:t>SPF</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9F6B-4734-B663-1D8DC8F0114C}"/>
                </c:ext>
              </c:extLst>
            </c:dLbl>
            <c:dLbl>
              <c:idx val="41"/>
              <c:tx>
                <c:rich>
                  <a:bodyPr wrap="square" lIns="38100" tIns="19050" rIns="38100" bIns="19050" anchor="ctr">
                    <a:spAutoFit/>
                  </a:bodyPr>
                  <a:lstStyle/>
                  <a:p>
                    <a:pPr>
                      <a:defRPr sz="700">
                        <a:solidFill>
                          <a:srgbClr val="000000"/>
                        </a:solidFill>
                      </a:defRPr>
                    </a:pPr>
                    <a:r>
                      <a:rPr lang="en-US"/>
                      <a:t>SEL</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9F6B-4734-B663-1D8DC8F0114C}"/>
                </c:ext>
              </c:extLst>
            </c:dLbl>
            <c:dLbl>
              <c:idx val="42"/>
              <c:tx>
                <c:rich>
                  <a:bodyPr wrap="square" lIns="38100" tIns="19050" rIns="38100" bIns="19050" anchor="ctr">
                    <a:spAutoFit/>
                  </a:bodyPr>
                  <a:lstStyle/>
                  <a:p>
                    <a:pPr>
                      <a:defRPr sz="700">
                        <a:solidFill>
                          <a:srgbClr val="000000"/>
                        </a:solidFill>
                      </a:defRPr>
                    </a:pPr>
                    <a:r>
                      <a:rPr lang="en-US"/>
                      <a:t>SGH</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9F6B-4734-B663-1D8DC8F0114C}"/>
                </c:ext>
              </c:extLst>
            </c:dLbl>
            <c:dLbl>
              <c:idx val="43"/>
              <c:tx>
                <c:rich>
                  <a:bodyPr wrap="square" lIns="38100" tIns="19050" rIns="38100" bIns="19050" anchor="ctr">
                    <a:spAutoFit/>
                  </a:bodyPr>
                  <a:lstStyle/>
                  <a:p>
                    <a:pPr>
                      <a:defRPr sz="700">
                        <a:solidFill>
                          <a:srgbClr val="000000"/>
                        </a:solidFill>
                      </a:defRPr>
                    </a:pPr>
                    <a:r>
                      <a:rPr lang="en-US"/>
                      <a:t>SIN</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9F6B-4734-B663-1D8DC8F0114C}"/>
                </c:ext>
              </c:extLst>
            </c:dLbl>
            <c:dLbl>
              <c:idx val="44"/>
              <c:tx>
                <c:rich>
                  <a:bodyPr wrap="square" lIns="38100" tIns="19050" rIns="38100" bIns="19050" anchor="ctr">
                    <a:spAutoFit/>
                  </a:bodyPr>
                  <a:lstStyle/>
                  <a:p>
                    <a:pPr>
                      <a:defRPr sz="700">
                        <a:solidFill>
                          <a:srgbClr val="000000"/>
                        </a:solidFill>
                      </a:defRPr>
                    </a:pPr>
                    <a:r>
                      <a:rPr lang="en-US"/>
                      <a:t>SYD</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9F6B-4734-B663-1D8DC8F0114C}"/>
                </c:ext>
              </c:extLst>
            </c:dLbl>
            <c:dLbl>
              <c:idx val="45"/>
              <c:tx>
                <c:rich>
                  <a:bodyPr wrap="square" lIns="38100" tIns="19050" rIns="38100" bIns="19050" anchor="ctr">
                    <a:spAutoFit/>
                  </a:bodyPr>
                  <a:lstStyle/>
                  <a:p>
                    <a:pPr>
                      <a:defRPr sz="700">
                        <a:solidFill>
                          <a:srgbClr val="000000"/>
                        </a:solidFill>
                      </a:defRPr>
                    </a:pPr>
                    <a:r>
                      <a:rPr lang="en-US"/>
                      <a:t>TYO</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9F6B-4734-B663-1D8DC8F0114C}"/>
                </c:ext>
              </c:extLst>
            </c:dLbl>
            <c:dLbl>
              <c:idx val="46"/>
              <c:tx>
                <c:rich>
                  <a:bodyPr wrap="square" lIns="38100" tIns="19050" rIns="38100" bIns="19050" anchor="ctr">
                    <a:spAutoFit/>
                  </a:bodyPr>
                  <a:lstStyle/>
                  <a:p>
                    <a:pPr>
                      <a:defRPr sz="700">
                        <a:solidFill>
                          <a:srgbClr val="000000"/>
                        </a:solidFill>
                      </a:defRPr>
                    </a:pPr>
                    <a:r>
                      <a:rPr lang="en-US"/>
                      <a:t>TOR</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9F6B-4734-B663-1D8DC8F0114C}"/>
                </c:ext>
              </c:extLst>
            </c:dLbl>
            <c:dLbl>
              <c:idx val="47"/>
              <c:tx>
                <c:rich>
                  <a:bodyPr wrap="square" lIns="38100" tIns="19050" rIns="38100" bIns="19050" anchor="ctr">
                    <a:spAutoFit/>
                  </a:bodyPr>
                  <a:lstStyle/>
                  <a:p>
                    <a:pPr>
                      <a:defRPr sz="700">
                        <a:solidFill>
                          <a:srgbClr val="000000"/>
                        </a:solidFill>
                      </a:defRPr>
                    </a:pPr>
                    <a:r>
                      <a:rPr lang="en-US"/>
                      <a:t>VIE</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9F6B-4734-B663-1D8DC8F0114C}"/>
                </c:ext>
              </c:extLst>
            </c:dLbl>
            <c:dLbl>
              <c:idx val="48"/>
              <c:tx>
                <c:rich>
                  <a:bodyPr wrap="square" lIns="38100" tIns="19050" rIns="38100" bIns="19050" anchor="ctr">
                    <a:spAutoFit/>
                  </a:bodyPr>
                  <a:lstStyle/>
                  <a:p>
                    <a:pPr>
                      <a:defRPr sz="700">
                        <a:solidFill>
                          <a:srgbClr val="000000"/>
                        </a:solidFill>
                      </a:defRPr>
                    </a:pPr>
                    <a:r>
                      <a:rPr lang="en-US"/>
                      <a:t>NHN</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9F6B-4734-B663-1D8DC8F0114C}"/>
                </c:ext>
              </c:extLst>
            </c:dLbl>
            <c:dLbl>
              <c:idx val="49"/>
              <c:tx>
                <c:rich>
                  <a:bodyPr wrap="square" lIns="38100" tIns="19050" rIns="38100" bIns="19050" anchor="ctr">
                    <a:spAutoFit/>
                  </a:bodyPr>
                  <a:lstStyle/>
                  <a:p>
                    <a:pPr>
                      <a:defRPr sz="700">
                        <a:solidFill>
                          <a:srgbClr val="000000"/>
                        </a:solidFill>
                      </a:defRPr>
                    </a:pPr>
                    <a:r>
                      <a:rPr lang="en-US"/>
                      <a:t>RGN</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9F6B-4734-B663-1D8DC8F0114C}"/>
                </c:ext>
              </c:extLst>
            </c:dLbl>
            <c:dLbl>
              <c:idx val="50"/>
              <c:tx>
                <c:rich>
                  <a:bodyPr wrap="square" lIns="38100" tIns="19050" rIns="38100" bIns="19050" anchor="ctr">
                    <a:spAutoFit/>
                  </a:bodyPr>
                  <a:lstStyle/>
                  <a:p>
                    <a:pPr>
                      <a:defRPr sz="700">
                        <a:solidFill>
                          <a:srgbClr val="000000"/>
                        </a:solidFill>
                      </a:defRPr>
                    </a:pPr>
                    <a:r>
                      <a:rPr lang="en-US"/>
                      <a:t>TZA</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9F6B-4734-B663-1D8DC8F0114C}"/>
                </c:ext>
              </c:extLst>
            </c:dLbl>
            <c:dLbl>
              <c:idx val="51"/>
              <c:tx>
                <c:rich>
                  <a:bodyPr wrap="square" lIns="38100" tIns="19050" rIns="38100" bIns="19050" anchor="ctr">
                    <a:spAutoFit/>
                  </a:bodyPr>
                  <a:lstStyle/>
                  <a:p>
                    <a:pPr>
                      <a:defRPr sz="700">
                        <a:solidFill>
                          <a:srgbClr val="000000"/>
                        </a:solidFill>
                      </a:defRPr>
                    </a:pPr>
                    <a:r>
                      <a:rPr lang="en-US"/>
                      <a:t>THA</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9F6B-4734-B663-1D8DC8F0114C}"/>
                </c:ext>
              </c:extLst>
            </c:dLbl>
            <c:dLbl>
              <c:idx val="52"/>
              <c:tx>
                <c:rich>
                  <a:bodyPr wrap="square" lIns="38100" tIns="19050" rIns="38100" bIns="19050" anchor="ctr">
                    <a:spAutoFit/>
                  </a:bodyPr>
                  <a:lstStyle/>
                  <a:p>
                    <a:pPr>
                      <a:defRPr sz="700">
                        <a:solidFill>
                          <a:srgbClr val="000000"/>
                        </a:solidFill>
                      </a:defRPr>
                    </a:pPr>
                    <a:r>
                      <a:rPr lang="en-US"/>
                      <a:t>TUR</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9F6B-4734-B663-1D8DC8F0114C}"/>
                </c:ext>
              </c:extLst>
            </c:dLbl>
            <c:dLbl>
              <c:idx val="53"/>
              <c:tx>
                <c:rich>
                  <a:bodyPr wrap="square" lIns="38100" tIns="19050" rIns="38100" bIns="19050" anchor="ctr">
                    <a:spAutoFit/>
                  </a:bodyPr>
                  <a:lstStyle/>
                  <a:p>
                    <a:pPr>
                      <a:defRPr sz="700">
                        <a:solidFill>
                          <a:srgbClr val="000000"/>
                        </a:solidFill>
                      </a:defRPr>
                    </a:pPr>
                    <a:r>
                      <a:rPr lang="en-US"/>
                      <a:t>ARE</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9F6B-4734-B663-1D8DC8F0114C}"/>
                </c:ext>
              </c:extLst>
            </c:dLbl>
            <c:dLbl>
              <c:idx val="54"/>
              <c:tx>
                <c:rich>
                  <a:bodyPr wrap="square" lIns="38100" tIns="19050" rIns="38100" bIns="19050" anchor="ctr">
                    <a:spAutoFit/>
                  </a:bodyPr>
                  <a:lstStyle/>
                  <a:p>
                    <a:pPr>
                      <a:defRPr sz="700">
                        <a:solidFill>
                          <a:srgbClr val="000000"/>
                        </a:solidFill>
                      </a:defRPr>
                    </a:pPr>
                    <a:r>
                      <a:rPr lang="en-US"/>
                      <a:t>UGA</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5A3A-4645-B009-49D36B3E9A73}"/>
                </c:ext>
              </c:extLst>
            </c:dLbl>
            <c:dLbl>
              <c:idx val="55"/>
              <c:tx>
                <c:rich>
                  <a:bodyPr wrap="square" lIns="38100" tIns="19050" rIns="38100" bIns="19050" anchor="ctr">
                    <a:spAutoFit/>
                  </a:bodyPr>
                  <a:lstStyle/>
                  <a:p>
                    <a:pPr>
                      <a:defRPr sz="700">
                        <a:solidFill>
                          <a:srgbClr val="000000"/>
                        </a:solidFill>
                      </a:defRPr>
                    </a:pPr>
                    <a:r>
                      <a:rPr lang="en-US"/>
                      <a:t>GBR</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5A3A-4645-B009-49D36B3E9A73}"/>
                </c:ext>
              </c:extLst>
            </c:dLbl>
            <c:dLbl>
              <c:idx val="56"/>
              <c:tx>
                <c:rich>
                  <a:bodyPr wrap="square" lIns="38100" tIns="19050" rIns="38100" bIns="19050" anchor="ctr">
                    <a:spAutoFit/>
                  </a:bodyPr>
                  <a:lstStyle/>
                  <a:p>
                    <a:pPr>
                      <a:defRPr sz="700">
                        <a:solidFill>
                          <a:srgbClr val="000000"/>
                        </a:solidFill>
                      </a:defRPr>
                    </a:pPr>
                    <a:r>
                      <a:rPr lang="en-US"/>
                      <a:t>USA</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5A3A-4645-B009-49D36B3E9A73}"/>
                </c:ext>
              </c:extLst>
            </c:dLbl>
            <c:dLbl>
              <c:idx val="57"/>
              <c:tx>
                <c:rich>
                  <a:bodyPr wrap="square" lIns="38100" tIns="19050" rIns="38100" bIns="19050" anchor="ctr">
                    <a:spAutoFit/>
                  </a:bodyPr>
                  <a:lstStyle/>
                  <a:p>
                    <a:pPr>
                      <a:defRPr sz="700">
                        <a:solidFill>
                          <a:srgbClr val="000000"/>
                        </a:solidFill>
                      </a:defRPr>
                    </a:pPr>
                    <a:r>
                      <a:rPr lang="en-US"/>
                      <a:t>UZB</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5A3A-4645-B009-49D36B3E9A73}"/>
                </c:ext>
              </c:extLst>
            </c:dLbl>
            <c:dLbl>
              <c:idx val="58"/>
              <c:tx>
                <c:rich>
                  <a:bodyPr wrap="square" lIns="38100" tIns="19050" rIns="38100" bIns="19050" anchor="ctr">
                    <a:spAutoFit/>
                  </a:bodyPr>
                  <a:lstStyle/>
                  <a:p>
                    <a:pPr>
                      <a:defRPr sz="700">
                        <a:solidFill>
                          <a:srgbClr val="000000"/>
                        </a:solidFill>
                      </a:defRPr>
                    </a:pPr>
                    <a:r>
                      <a:rPr lang="en-US"/>
                      <a:t>VEN</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5A3A-4645-B009-49D36B3E9A73}"/>
                </c:ext>
              </c:extLst>
            </c:dLbl>
            <c:dLbl>
              <c:idx val="59"/>
              <c:tx>
                <c:rich>
                  <a:bodyPr wrap="square" lIns="38100" tIns="19050" rIns="38100" bIns="19050" anchor="ctr">
                    <a:spAutoFit/>
                  </a:bodyPr>
                  <a:lstStyle/>
                  <a:p>
                    <a:pPr>
                      <a:defRPr sz="700">
                        <a:solidFill>
                          <a:srgbClr val="000000"/>
                        </a:solidFill>
                      </a:defRPr>
                    </a:pPr>
                    <a:r>
                      <a:rPr lang="en-US"/>
                      <a:t>VNM</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5A3A-4645-B009-49D36B3E9A73}"/>
                </c:ext>
              </c:extLst>
            </c:dLbl>
            <c:spPr>
              <a:noFill/>
              <a:ln>
                <a:noFill/>
              </a:ln>
              <a:effectLst/>
            </c:spPr>
            <c:txPr>
              <a:bodyPr wrap="square" lIns="38100" tIns="19050" rIns="38100" bIns="19050" anchor="ctr">
                <a:spAutoFit/>
              </a:bodyPr>
              <a:lstStyle/>
              <a:p>
                <a:pPr>
                  <a:defRPr sz="700"/>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trendline>
            <c:name>Linear (Visible_Markers)</c:name>
            <c:trendlineType val="linear"/>
            <c:dispRSqr val="0"/>
            <c:dispEq val="0"/>
          </c:trendline>
          <c:xVal>
            <c:numRef>
              <c:f>iScatter!$U$95:$U$144</c:f>
              <c:numCache>
                <c:formatCode>General</c:formatCode>
                <c:ptCount val="50"/>
                <c:pt idx="0">
                  <c:v>49.6</c:v>
                </c:pt>
                <c:pt idx="1">
                  <c:v>41</c:v>
                </c:pt>
                <c:pt idx="2">
                  <c:v>63.1</c:v>
                </c:pt>
                <c:pt idx="3">
                  <c:v>71</c:v>
                </c:pt>
                <c:pt idx="4">
                  <c:v>68.8</c:v>
                </c:pt>
                <c:pt idx="5">
                  <c:v>63.4</c:v>
                </c:pt>
                <c:pt idx="6">
                  <c:v>77.400000000000006</c:v>
                </c:pt>
                <c:pt idx="7">
                  <c:v>69.7</c:v>
                </c:pt>
                <c:pt idx="8">
                  <c:v>69.5</c:v>
                </c:pt>
                <c:pt idx="9">
                  <c:v>40.6</c:v>
                </c:pt>
                <c:pt idx="10">
                  <c:v>50.1</c:v>
                </c:pt>
                <c:pt idx="11">
                  <c:v>56.8</c:v>
                </c:pt>
                <c:pt idx="12">
                  <c:v>41.8</c:v>
                </c:pt>
                <c:pt idx="13">
                  <c:v>65</c:v>
                </c:pt>
                <c:pt idx="14">
                  <c:v>75.5</c:v>
                </c:pt>
                <c:pt idx="15">
                  <c:v>66</c:v>
                </c:pt>
                <c:pt idx="16">
                  <c:v>83.2</c:v>
                </c:pt>
                <c:pt idx="17">
                  <c:v>60.4</c:v>
                </c:pt>
                <c:pt idx="18">
                  <c:v>71.7</c:v>
                </c:pt>
                <c:pt idx="19">
                  <c:v>52.5</c:v>
                </c:pt>
                <c:pt idx="20">
                  <c:v>44.3</c:v>
                </c:pt>
                <c:pt idx="21">
                  <c:v>40.9</c:v>
                </c:pt>
                <c:pt idx="22">
                  <c:v>51.8</c:v>
                </c:pt>
                <c:pt idx="23">
                  <c:v>42.1</c:v>
                </c:pt>
                <c:pt idx="24">
                  <c:v>51.6</c:v>
                </c:pt>
                <c:pt idx="25">
                  <c:v>82.6</c:v>
                </c:pt>
                <c:pt idx="26">
                  <c:v>79.599999999999994</c:v>
                </c:pt>
                <c:pt idx="27">
                  <c:v>48.8</c:v>
                </c:pt>
                <c:pt idx="28">
                  <c:v>75.8</c:v>
                </c:pt>
                <c:pt idx="29">
                  <c:v>60.9</c:v>
                </c:pt>
                <c:pt idx="30">
                  <c:v>65.900000000000006</c:v>
                </c:pt>
                <c:pt idx="31">
                  <c:v>53.2</c:v>
                </c:pt>
                <c:pt idx="32">
                  <c:v>52.2</c:v>
                </c:pt>
                <c:pt idx="33">
                  <c:v>79.099999999999994</c:v>
                </c:pt>
                <c:pt idx="34">
                  <c:v>74.2</c:v>
                </c:pt>
                <c:pt idx="35">
                  <c:v>64.5</c:v>
                </c:pt>
                <c:pt idx="36">
                  <c:v>51.4</c:v>
                </c:pt>
                <c:pt idx="37">
                  <c:v>44.2</c:v>
                </c:pt>
                <c:pt idx="38">
                  <c:v>63.5</c:v>
                </c:pt>
                <c:pt idx="39">
                  <c:v>72</c:v>
                </c:pt>
                <c:pt idx="40">
                  <c:v>67.099999999999994</c:v>
                </c:pt>
                <c:pt idx="41">
                  <c:v>75.599999999999994</c:v>
                </c:pt>
                <c:pt idx="42">
                  <c:v>65.3</c:v>
                </c:pt>
                <c:pt idx="43">
                  <c:v>76.099999999999994</c:v>
                </c:pt>
                <c:pt idx="44">
                  <c:v>70.5</c:v>
                </c:pt>
                <c:pt idx="45">
                  <c:v>76.099999999999994</c:v>
                </c:pt>
                <c:pt idx="46">
                  <c:v>77</c:v>
                </c:pt>
                <c:pt idx="47">
                  <c:v>75.099999999999994</c:v>
                </c:pt>
                <c:pt idx="48">
                  <c:v>57.3</c:v>
                </c:pt>
                <c:pt idx="49">
                  <c:v>43.5</c:v>
                </c:pt>
              </c:numCache>
            </c:numRef>
          </c:xVal>
          <c:yVal>
            <c:numRef>
              <c:f>iScatter!$V$95:$V$144</c:f>
              <c:numCache>
                <c:formatCode>General</c:formatCode>
                <c:ptCount val="50"/>
                <c:pt idx="0">
                  <c:v>65.900000000000006</c:v>
                </c:pt>
                <c:pt idx="1">
                  <c:v>54.3</c:v>
                </c:pt>
                <c:pt idx="2">
                  <c:v>86.8</c:v>
                </c:pt>
                <c:pt idx="3">
                  <c:v>75.7</c:v>
                </c:pt>
                <c:pt idx="4">
                  <c:v>72.8</c:v>
                </c:pt>
                <c:pt idx="5">
                  <c:v>54.3</c:v>
                </c:pt>
                <c:pt idx="6">
                  <c:v>89.6</c:v>
                </c:pt>
                <c:pt idx="7">
                  <c:v>68.900000000000006</c:v>
                </c:pt>
                <c:pt idx="8">
                  <c:v>85.6</c:v>
                </c:pt>
                <c:pt idx="9">
                  <c:v>40.9</c:v>
                </c:pt>
                <c:pt idx="10">
                  <c:v>51.9</c:v>
                </c:pt>
                <c:pt idx="11">
                  <c:v>44.2</c:v>
                </c:pt>
                <c:pt idx="12">
                  <c:v>39.5</c:v>
                </c:pt>
                <c:pt idx="13">
                  <c:v>74.3</c:v>
                </c:pt>
                <c:pt idx="14">
                  <c:v>86.4</c:v>
                </c:pt>
                <c:pt idx="15">
                  <c:v>77</c:v>
                </c:pt>
                <c:pt idx="16">
                  <c:v>84.3</c:v>
                </c:pt>
                <c:pt idx="17">
                  <c:v>80.599999999999994</c:v>
                </c:pt>
                <c:pt idx="18">
                  <c:v>77.8</c:v>
                </c:pt>
                <c:pt idx="19">
                  <c:v>80.099999999999994</c:v>
                </c:pt>
                <c:pt idx="20">
                  <c:v>56.4</c:v>
                </c:pt>
                <c:pt idx="21">
                  <c:v>41.3</c:v>
                </c:pt>
                <c:pt idx="22">
                  <c:v>34.200000000000003</c:v>
                </c:pt>
                <c:pt idx="23">
                  <c:v>49.5</c:v>
                </c:pt>
                <c:pt idx="24">
                  <c:v>73.3</c:v>
                </c:pt>
                <c:pt idx="25">
                  <c:v>86.9</c:v>
                </c:pt>
                <c:pt idx="26">
                  <c:v>81.900000000000006</c:v>
                </c:pt>
                <c:pt idx="27">
                  <c:v>58</c:v>
                </c:pt>
                <c:pt idx="28">
                  <c:v>87.9</c:v>
                </c:pt>
                <c:pt idx="29">
                  <c:v>79.8</c:v>
                </c:pt>
                <c:pt idx="30">
                  <c:v>75.7</c:v>
                </c:pt>
                <c:pt idx="31">
                  <c:v>34.200000000000003</c:v>
                </c:pt>
                <c:pt idx="32">
                  <c:v>55.6</c:v>
                </c:pt>
                <c:pt idx="33">
                  <c:v>86.8</c:v>
                </c:pt>
                <c:pt idx="34">
                  <c:v>84.2</c:v>
                </c:pt>
                <c:pt idx="35">
                  <c:v>84</c:v>
                </c:pt>
                <c:pt idx="36">
                  <c:v>58.5</c:v>
                </c:pt>
                <c:pt idx="37">
                  <c:v>61</c:v>
                </c:pt>
                <c:pt idx="38">
                  <c:v>82.8</c:v>
                </c:pt>
                <c:pt idx="39">
                  <c:v>86.8</c:v>
                </c:pt>
                <c:pt idx="40">
                  <c:v>70.099999999999994</c:v>
                </c:pt>
                <c:pt idx="41">
                  <c:v>82.8</c:v>
                </c:pt>
                <c:pt idx="42">
                  <c:v>54.3</c:v>
                </c:pt>
                <c:pt idx="43">
                  <c:v>86.2</c:v>
                </c:pt>
                <c:pt idx="44">
                  <c:v>87.9</c:v>
                </c:pt>
                <c:pt idx="45">
                  <c:v>84.2</c:v>
                </c:pt>
                <c:pt idx="46">
                  <c:v>89.9</c:v>
                </c:pt>
                <c:pt idx="47">
                  <c:v>87.3</c:v>
                </c:pt>
                <c:pt idx="48">
                  <c:v>54.3</c:v>
                </c:pt>
                <c:pt idx="49">
                  <c:v>51.1</c:v>
                </c:pt>
              </c:numCache>
            </c:numRef>
          </c:yVal>
          <c:smooth val="0"/>
          <c:extLst>
            <c:ext xmlns:c16="http://schemas.microsoft.com/office/drawing/2014/chart" uri="{C3380CC4-5D6E-409C-BE32-E72D297353CC}">
              <c16:uniqueId val="{00000000-3AE4-4611-A4BD-F5319B7C4B94}"/>
            </c:ext>
          </c:extLst>
        </c:ser>
        <c:ser>
          <c:idx val="0"/>
          <c:order val="1"/>
          <c:tx>
            <c:v>Invisi_Axis_Helper</c:v>
          </c:tx>
          <c:spPr>
            <a:ln w="28575">
              <a:noFill/>
            </a:ln>
          </c:spPr>
          <c:marker>
            <c:symbol val="none"/>
          </c:marker>
          <c:xVal>
            <c:numRef>
              <c:f>iScatter!$B$78:$C$78</c:f>
              <c:numCache>
                <c:formatCode>General</c:formatCode>
                <c:ptCount val="2"/>
                <c:pt idx="0">
                  <c:v>0</c:v>
                </c:pt>
                <c:pt idx="1">
                  <c:v>100</c:v>
                </c:pt>
              </c:numCache>
            </c:numRef>
          </c:xVal>
          <c:yVal>
            <c:numRef>
              <c:f>iScatter!$B$79:$C$79</c:f>
              <c:numCache>
                <c:formatCode>General</c:formatCode>
                <c:ptCount val="2"/>
                <c:pt idx="0">
                  <c:v>0</c:v>
                </c:pt>
                <c:pt idx="1">
                  <c:v>100</c:v>
                </c:pt>
              </c:numCache>
            </c:numRef>
          </c:yVal>
          <c:smooth val="0"/>
          <c:extLst>
            <c:ext xmlns:c16="http://schemas.microsoft.com/office/drawing/2014/chart" uri="{C3380CC4-5D6E-409C-BE32-E72D297353CC}">
              <c16:uniqueId val="{00000002-C7A8-42B7-810C-455682042FA8}"/>
            </c:ext>
          </c:extLst>
        </c:ser>
        <c:ser>
          <c:idx val="1"/>
          <c:order val="2"/>
          <c:tx>
            <c:v>City_Highlight</c:v>
          </c:tx>
          <c:spPr>
            <a:ln w="28575">
              <a:noFill/>
            </a:ln>
          </c:spPr>
          <c:marker>
            <c:symbol val="circle"/>
            <c:size val="17"/>
            <c:spPr>
              <a:solidFill>
                <a:schemeClr val="accent6">
                  <a:lumMod val="75000"/>
                </a:schemeClr>
              </a:solidFill>
              <a:ln>
                <a:noFill/>
              </a:ln>
            </c:spPr>
          </c:marker>
          <c:dPt>
            <c:idx val="0"/>
            <c:marker>
              <c:spPr>
                <a:solidFill>
                  <a:srgbClr val="E26B0A"/>
                </a:solidFill>
                <a:ln>
                  <a:noFill/>
                </a:ln>
              </c:spPr>
            </c:marker>
            <c:bubble3D val="0"/>
            <c:extLst>
              <c:ext xmlns:c16="http://schemas.microsoft.com/office/drawing/2014/chart" uri="{C3380CC4-5D6E-409C-BE32-E72D297353CC}">
                <c16:uniqueId val="{0000003E-8703-45C9-8CAA-B2CE820B154A}"/>
              </c:ext>
            </c:extLst>
          </c:dPt>
          <c:dPt>
            <c:idx val="1"/>
            <c:marker>
              <c:spPr>
                <a:solidFill>
                  <a:srgbClr val="E26B0A"/>
                </a:solidFill>
                <a:ln>
                  <a:noFill/>
                </a:ln>
              </c:spPr>
            </c:marker>
            <c:bubble3D val="0"/>
            <c:extLst>
              <c:ext xmlns:c16="http://schemas.microsoft.com/office/drawing/2014/chart" uri="{C3380CC4-5D6E-409C-BE32-E72D297353CC}">
                <c16:uniqueId val="{0000003F-8703-45C9-8CAA-B2CE820B154A}"/>
              </c:ext>
            </c:extLst>
          </c:dPt>
          <c:dPt>
            <c:idx val="2"/>
            <c:marker>
              <c:spPr>
                <a:solidFill>
                  <a:srgbClr val="E26B0A"/>
                </a:solidFill>
                <a:ln>
                  <a:noFill/>
                </a:ln>
              </c:spPr>
            </c:marker>
            <c:bubble3D val="0"/>
            <c:extLst>
              <c:ext xmlns:c16="http://schemas.microsoft.com/office/drawing/2014/chart" uri="{C3380CC4-5D6E-409C-BE32-E72D297353CC}">
                <c16:uniqueId val="{00000040-8703-45C9-8CAA-B2CE820B154A}"/>
              </c:ext>
            </c:extLst>
          </c:dPt>
          <c:dPt>
            <c:idx val="3"/>
            <c:marker>
              <c:spPr>
                <a:solidFill>
                  <a:srgbClr val="E26B0A"/>
                </a:solidFill>
                <a:ln>
                  <a:noFill/>
                </a:ln>
              </c:spPr>
            </c:marker>
            <c:bubble3D val="0"/>
            <c:extLst>
              <c:ext xmlns:c16="http://schemas.microsoft.com/office/drawing/2014/chart" uri="{C3380CC4-5D6E-409C-BE32-E72D297353CC}">
                <c16:uniqueId val="{00000041-8703-45C9-8CAA-B2CE820B154A}"/>
              </c:ext>
            </c:extLst>
          </c:dPt>
          <c:dPt>
            <c:idx val="4"/>
            <c:marker>
              <c:spPr>
                <a:solidFill>
                  <a:srgbClr val="E26B0A"/>
                </a:solidFill>
                <a:ln>
                  <a:noFill/>
                </a:ln>
              </c:spPr>
            </c:marker>
            <c:bubble3D val="0"/>
            <c:extLst>
              <c:ext xmlns:c16="http://schemas.microsoft.com/office/drawing/2014/chart" uri="{C3380CC4-5D6E-409C-BE32-E72D297353CC}">
                <c16:uniqueId val="{00000042-8703-45C9-8CAA-B2CE820B154A}"/>
              </c:ext>
            </c:extLst>
          </c:dPt>
          <c:dPt>
            <c:idx val="5"/>
            <c:marker>
              <c:spPr>
                <a:solidFill>
                  <a:srgbClr val="E26B0A"/>
                </a:solidFill>
                <a:ln>
                  <a:noFill/>
                </a:ln>
              </c:spPr>
            </c:marker>
            <c:bubble3D val="0"/>
            <c:extLst>
              <c:ext xmlns:c16="http://schemas.microsoft.com/office/drawing/2014/chart" uri="{C3380CC4-5D6E-409C-BE32-E72D297353CC}">
                <c16:uniqueId val="{00000043-8703-45C9-8CAA-B2CE820B154A}"/>
              </c:ext>
            </c:extLst>
          </c:dPt>
          <c:dPt>
            <c:idx val="6"/>
            <c:marker>
              <c:spPr>
                <a:solidFill>
                  <a:srgbClr val="E26B0A"/>
                </a:solidFill>
                <a:ln>
                  <a:noFill/>
                </a:ln>
              </c:spPr>
            </c:marker>
            <c:bubble3D val="0"/>
            <c:extLst>
              <c:ext xmlns:c16="http://schemas.microsoft.com/office/drawing/2014/chart" uri="{C3380CC4-5D6E-409C-BE32-E72D297353CC}">
                <c16:uniqueId val="{00000044-8703-45C9-8CAA-B2CE820B154A}"/>
              </c:ext>
            </c:extLst>
          </c:dPt>
          <c:dPt>
            <c:idx val="7"/>
            <c:marker>
              <c:spPr>
                <a:solidFill>
                  <a:srgbClr val="E26B0A"/>
                </a:solidFill>
                <a:ln>
                  <a:noFill/>
                </a:ln>
              </c:spPr>
            </c:marker>
            <c:bubble3D val="0"/>
            <c:extLst>
              <c:ext xmlns:c16="http://schemas.microsoft.com/office/drawing/2014/chart" uri="{C3380CC4-5D6E-409C-BE32-E72D297353CC}">
                <c16:uniqueId val="{00000045-8703-45C9-8CAA-B2CE820B154A}"/>
              </c:ext>
            </c:extLst>
          </c:dPt>
          <c:dPt>
            <c:idx val="8"/>
            <c:marker>
              <c:spPr>
                <a:solidFill>
                  <a:srgbClr val="E26B0A"/>
                </a:solidFill>
                <a:ln>
                  <a:noFill/>
                </a:ln>
              </c:spPr>
            </c:marker>
            <c:bubble3D val="0"/>
            <c:extLst>
              <c:ext xmlns:c16="http://schemas.microsoft.com/office/drawing/2014/chart" uri="{C3380CC4-5D6E-409C-BE32-E72D297353CC}">
                <c16:uniqueId val="{00000046-8703-45C9-8CAA-B2CE820B154A}"/>
              </c:ext>
            </c:extLst>
          </c:dPt>
          <c:dPt>
            <c:idx val="9"/>
            <c:marker>
              <c:spPr>
                <a:solidFill>
                  <a:srgbClr val="E26B0A"/>
                </a:solidFill>
                <a:ln>
                  <a:noFill/>
                </a:ln>
              </c:spPr>
            </c:marker>
            <c:bubble3D val="0"/>
            <c:extLst>
              <c:ext xmlns:c16="http://schemas.microsoft.com/office/drawing/2014/chart" uri="{C3380CC4-5D6E-409C-BE32-E72D297353CC}">
                <c16:uniqueId val="{00000047-8703-45C9-8CAA-B2CE820B154A}"/>
              </c:ext>
            </c:extLst>
          </c:dPt>
          <c:dPt>
            <c:idx val="10"/>
            <c:marker>
              <c:spPr>
                <a:solidFill>
                  <a:srgbClr val="E26B0A"/>
                </a:solidFill>
                <a:ln>
                  <a:noFill/>
                </a:ln>
              </c:spPr>
            </c:marker>
            <c:bubble3D val="0"/>
            <c:extLst>
              <c:ext xmlns:c16="http://schemas.microsoft.com/office/drawing/2014/chart" uri="{C3380CC4-5D6E-409C-BE32-E72D297353CC}">
                <c16:uniqueId val="{00000048-8703-45C9-8CAA-B2CE820B154A}"/>
              </c:ext>
            </c:extLst>
          </c:dPt>
          <c:dPt>
            <c:idx val="11"/>
            <c:marker>
              <c:spPr>
                <a:solidFill>
                  <a:srgbClr val="E26B0A"/>
                </a:solidFill>
                <a:ln>
                  <a:noFill/>
                </a:ln>
              </c:spPr>
            </c:marker>
            <c:bubble3D val="0"/>
            <c:extLst>
              <c:ext xmlns:c16="http://schemas.microsoft.com/office/drawing/2014/chart" uri="{C3380CC4-5D6E-409C-BE32-E72D297353CC}">
                <c16:uniqueId val="{00000049-8703-45C9-8CAA-B2CE820B154A}"/>
              </c:ext>
            </c:extLst>
          </c:dPt>
          <c:dPt>
            <c:idx val="12"/>
            <c:marker>
              <c:spPr>
                <a:solidFill>
                  <a:srgbClr val="E26B0A"/>
                </a:solidFill>
                <a:ln>
                  <a:noFill/>
                </a:ln>
              </c:spPr>
            </c:marker>
            <c:bubble3D val="0"/>
            <c:extLst>
              <c:ext xmlns:c16="http://schemas.microsoft.com/office/drawing/2014/chart" uri="{C3380CC4-5D6E-409C-BE32-E72D297353CC}">
                <c16:uniqueId val="{0000004A-8703-45C9-8CAA-B2CE820B154A}"/>
              </c:ext>
            </c:extLst>
          </c:dPt>
          <c:dPt>
            <c:idx val="13"/>
            <c:marker>
              <c:spPr>
                <a:solidFill>
                  <a:srgbClr val="E26B0A"/>
                </a:solidFill>
                <a:ln>
                  <a:noFill/>
                </a:ln>
              </c:spPr>
            </c:marker>
            <c:bubble3D val="0"/>
            <c:extLst>
              <c:ext xmlns:c16="http://schemas.microsoft.com/office/drawing/2014/chart" uri="{C3380CC4-5D6E-409C-BE32-E72D297353CC}">
                <c16:uniqueId val="{0000004B-8703-45C9-8CAA-B2CE820B154A}"/>
              </c:ext>
            </c:extLst>
          </c:dPt>
          <c:dPt>
            <c:idx val="14"/>
            <c:marker>
              <c:spPr>
                <a:solidFill>
                  <a:srgbClr val="E26B0A"/>
                </a:solidFill>
                <a:ln>
                  <a:noFill/>
                </a:ln>
              </c:spPr>
            </c:marker>
            <c:bubble3D val="0"/>
            <c:extLst>
              <c:ext xmlns:c16="http://schemas.microsoft.com/office/drawing/2014/chart" uri="{C3380CC4-5D6E-409C-BE32-E72D297353CC}">
                <c16:uniqueId val="{0000004C-8703-45C9-8CAA-B2CE820B154A}"/>
              </c:ext>
            </c:extLst>
          </c:dPt>
          <c:dPt>
            <c:idx val="15"/>
            <c:marker>
              <c:spPr>
                <a:solidFill>
                  <a:srgbClr val="E26B0A"/>
                </a:solidFill>
                <a:ln>
                  <a:noFill/>
                </a:ln>
              </c:spPr>
            </c:marker>
            <c:bubble3D val="0"/>
            <c:extLst>
              <c:ext xmlns:c16="http://schemas.microsoft.com/office/drawing/2014/chart" uri="{C3380CC4-5D6E-409C-BE32-E72D297353CC}">
                <c16:uniqueId val="{0000004D-8703-45C9-8CAA-B2CE820B154A}"/>
              </c:ext>
            </c:extLst>
          </c:dPt>
          <c:dPt>
            <c:idx val="16"/>
            <c:marker>
              <c:spPr>
                <a:solidFill>
                  <a:srgbClr val="E26B0A"/>
                </a:solidFill>
                <a:ln>
                  <a:noFill/>
                </a:ln>
              </c:spPr>
            </c:marker>
            <c:bubble3D val="0"/>
            <c:extLst>
              <c:ext xmlns:c16="http://schemas.microsoft.com/office/drawing/2014/chart" uri="{C3380CC4-5D6E-409C-BE32-E72D297353CC}">
                <c16:uniqueId val="{0000004E-8703-45C9-8CAA-B2CE820B154A}"/>
              </c:ext>
            </c:extLst>
          </c:dPt>
          <c:dPt>
            <c:idx val="17"/>
            <c:marker>
              <c:spPr>
                <a:solidFill>
                  <a:srgbClr val="E26B0A"/>
                </a:solidFill>
                <a:ln>
                  <a:noFill/>
                </a:ln>
              </c:spPr>
            </c:marker>
            <c:bubble3D val="0"/>
            <c:extLst>
              <c:ext xmlns:c16="http://schemas.microsoft.com/office/drawing/2014/chart" uri="{C3380CC4-5D6E-409C-BE32-E72D297353CC}">
                <c16:uniqueId val="{0000004F-8703-45C9-8CAA-B2CE820B154A}"/>
              </c:ext>
            </c:extLst>
          </c:dPt>
          <c:dPt>
            <c:idx val="18"/>
            <c:marker>
              <c:spPr>
                <a:solidFill>
                  <a:srgbClr val="E26B0A"/>
                </a:solidFill>
                <a:ln>
                  <a:noFill/>
                </a:ln>
              </c:spPr>
            </c:marker>
            <c:bubble3D val="0"/>
            <c:extLst>
              <c:ext xmlns:c16="http://schemas.microsoft.com/office/drawing/2014/chart" uri="{C3380CC4-5D6E-409C-BE32-E72D297353CC}">
                <c16:uniqueId val="{00000050-8703-45C9-8CAA-B2CE820B154A}"/>
              </c:ext>
            </c:extLst>
          </c:dPt>
          <c:dPt>
            <c:idx val="19"/>
            <c:marker>
              <c:spPr>
                <a:solidFill>
                  <a:srgbClr val="E26B0A"/>
                </a:solidFill>
                <a:ln>
                  <a:noFill/>
                </a:ln>
              </c:spPr>
            </c:marker>
            <c:bubble3D val="0"/>
            <c:extLst>
              <c:ext xmlns:c16="http://schemas.microsoft.com/office/drawing/2014/chart" uri="{C3380CC4-5D6E-409C-BE32-E72D297353CC}">
                <c16:uniqueId val="{00000051-8703-45C9-8CAA-B2CE820B154A}"/>
              </c:ext>
            </c:extLst>
          </c:dPt>
          <c:dPt>
            <c:idx val="20"/>
            <c:marker>
              <c:spPr>
                <a:solidFill>
                  <a:srgbClr val="E26B0A"/>
                </a:solidFill>
                <a:ln>
                  <a:noFill/>
                </a:ln>
              </c:spPr>
            </c:marker>
            <c:bubble3D val="0"/>
            <c:extLst>
              <c:ext xmlns:c16="http://schemas.microsoft.com/office/drawing/2014/chart" uri="{C3380CC4-5D6E-409C-BE32-E72D297353CC}">
                <c16:uniqueId val="{00000052-8703-45C9-8CAA-B2CE820B154A}"/>
              </c:ext>
            </c:extLst>
          </c:dPt>
          <c:dPt>
            <c:idx val="21"/>
            <c:marker>
              <c:spPr>
                <a:solidFill>
                  <a:srgbClr val="E26B0A"/>
                </a:solidFill>
                <a:ln>
                  <a:noFill/>
                </a:ln>
              </c:spPr>
            </c:marker>
            <c:bubble3D val="0"/>
            <c:extLst>
              <c:ext xmlns:c16="http://schemas.microsoft.com/office/drawing/2014/chart" uri="{C3380CC4-5D6E-409C-BE32-E72D297353CC}">
                <c16:uniqueId val="{00000053-8703-45C9-8CAA-B2CE820B154A}"/>
              </c:ext>
            </c:extLst>
          </c:dPt>
          <c:dPt>
            <c:idx val="22"/>
            <c:marker>
              <c:spPr>
                <a:solidFill>
                  <a:srgbClr val="E26B0A"/>
                </a:solidFill>
                <a:ln>
                  <a:noFill/>
                </a:ln>
              </c:spPr>
            </c:marker>
            <c:bubble3D val="0"/>
            <c:extLst>
              <c:ext xmlns:c16="http://schemas.microsoft.com/office/drawing/2014/chart" uri="{C3380CC4-5D6E-409C-BE32-E72D297353CC}">
                <c16:uniqueId val="{00000054-8703-45C9-8CAA-B2CE820B154A}"/>
              </c:ext>
            </c:extLst>
          </c:dPt>
          <c:dPt>
            <c:idx val="23"/>
            <c:marker>
              <c:spPr>
                <a:solidFill>
                  <a:srgbClr val="E26B0A"/>
                </a:solidFill>
                <a:ln>
                  <a:noFill/>
                </a:ln>
              </c:spPr>
            </c:marker>
            <c:bubble3D val="0"/>
            <c:extLst>
              <c:ext xmlns:c16="http://schemas.microsoft.com/office/drawing/2014/chart" uri="{C3380CC4-5D6E-409C-BE32-E72D297353CC}">
                <c16:uniqueId val="{00000055-8703-45C9-8CAA-B2CE820B154A}"/>
              </c:ext>
            </c:extLst>
          </c:dPt>
          <c:dPt>
            <c:idx val="24"/>
            <c:marker>
              <c:spPr>
                <a:solidFill>
                  <a:srgbClr val="E26B0A"/>
                </a:solidFill>
                <a:ln>
                  <a:noFill/>
                </a:ln>
              </c:spPr>
            </c:marker>
            <c:bubble3D val="0"/>
            <c:extLst>
              <c:ext xmlns:c16="http://schemas.microsoft.com/office/drawing/2014/chart" uri="{C3380CC4-5D6E-409C-BE32-E72D297353CC}">
                <c16:uniqueId val="{00000056-8703-45C9-8CAA-B2CE820B154A}"/>
              </c:ext>
            </c:extLst>
          </c:dPt>
          <c:dPt>
            <c:idx val="25"/>
            <c:marker>
              <c:spPr>
                <a:solidFill>
                  <a:srgbClr val="E26B0A"/>
                </a:solidFill>
                <a:ln>
                  <a:noFill/>
                </a:ln>
              </c:spPr>
            </c:marker>
            <c:bubble3D val="0"/>
            <c:extLst>
              <c:ext xmlns:c16="http://schemas.microsoft.com/office/drawing/2014/chart" uri="{C3380CC4-5D6E-409C-BE32-E72D297353CC}">
                <c16:uniqueId val="{00000056-CF22-4CB3-ACA5-B2DE9DD0A284}"/>
              </c:ext>
            </c:extLst>
          </c:dPt>
          <c:dPt>
            <c:idx val="26"/>
            <c:marker>
              <c:spPr>
                <a:solidFill>
                  <a:srgbClr val="E26B0A"/>
                </a:solidFill>
                <a:ln>
                  <a:noFill/>
                </a:ln>
              </c:spPr>
            </c:marker>
            <c:bubble3D val="0"/>
            <c:extLst>
              <c:ext xmlns:c16="http://schemas.microsoft.com/office/drawing/2014/chart" uri="{C3380CC4-5D6E-409C-BE32-E72D297353CC}">
                <c16:uniqueId val="{00000057-CF22-4CB3-ACA5-B2DE9DD0A284}"/>
              </c:ext>
            </c:extLst>
          </c:dPt>
          <c:dPt>
            <c:idx val="27"/>
            <c:marker>
              <c:spPr>
                <a:solidFill>
                  <a:srgbClr val="E26B0A"/>
                </a:solidFill>
                <a:ln>
                  <a:noFill/>
                </a:ln>
              </c:spPr>
            </c:marker>
            <c:bubble3D val="0"/>
            <c:extLst>
              <c:ext xmlns:c16="http://schemas.microsoft.com/office/drawing/2014/chart" uri="{C3380CC4-5D6E-409C-BE32-E72D297353CC}">
                <c16:uniqueId val="{00000058-CF22-4CB3-ACA5-B2DE9DD0A284}"/>
              </c:ext>
            </c:extLst>
          </c:dPt>
          <c:dPt>
            <c:idx val="28"/>
            <c:marker>
              <c:spPr>
                <a:solidFill>
                  <a:srgbClr val="E26B0A"/>
                </a:solidFill>
                <a:ln>
                  <a:noFill/>
                </a:ln>
              </c:spPr>
            </c:marker>
            <c:bubble3D val="0"/>
            <c:extLst>
              <c:ext xmlns:c16="http://schemas.microsoft.com/office/drawing/2014/chart" uri="{C3380CC4-5D6E-409C-BE32-E72D297353CC}">
                <c16:uniqueId val="{00000059-CF22-4CB3-ACA5-B2DE9DD0A284}"/>
              </c:ext>
            </c:extLst>
          </c:dPt>
          <c:dPt>
            <c:idx val="29"/>
            <c:marker>
              <c:spPr>
                <a:solidFill>
                  <a:srgbClr val="E26B0A"/>
                </a:solidFill>
                <a:ln>
                  <a:noFill/>
                </a:ln>
              </c:spPr>
            </c:marker>
            <c:bubble3D val="0"/>
            <c:extLst>
              <c:ext xmlns:c16="http://schemas.microsoft.com/office/drawing/2014/chart" uri="{C3380CC4-5D6E-409C-BE32-E72D297353CC}">
                <c16:uniqueId val="{0000005A-CF22-4CB3-ACA5-B2DE9DD0A284}"/>
              </c:ext>
            </c:extLst>
          </c:dPt>
          <c:dPt>
            <c:idx val="30"/>
            <c:marker>
              <c:spPr>
                <a:solidFill>
                  <a:srgbClr val="E26B0A"/>
                </a:solidFill>
                <a:ln>
                  <a:noFill/>
                </a:ln>
              </c:spPr>
            </c:marker>
            <c:bubble3D val="0"/>
            <c:extLst>
              <c:ext xmlns:c16="http://schemas.microsoft.com/office/drawing/2014/chart" uri="{C3380CC4-5D6E-409C-BE32-E72D297353CC}">
                <c16:uniqueId val="{0000005B-CF22-4CB3-ACA5-B2DE9DD0A284}"/>
              </c:ext>
            </c:extLst>
          </c:dPt>
          <c:dPt>
            <c:idx val="31"/>
            <c:marker>
              <c:spPr>
                <a:solidFill>
                  <a:srgbClr val="E26B0A"/>
                </a:solidFill>
                <a:ln>
                  <a:noFill/>
                </a:ln>
              </c:spPr>
            </c:marker>
            <c:bubble3D val="0"/>
            <c:extLst>
              <c:ext xmlns:c16="http://schemas.microsoft.com/office/drawing/2014/chart" uri="{C3380CC4-5D6E-409C-BE32-E72D297353CC}">
                <c16:uniqueId val="{0000005C-CF22-4CB3-ACA5-B2DE9DD0A284}"/>
              </c:ext>
            </c:extLst>
          </c:dPt>
          <c:dPt>
            <c:idx val="32"/>
            <c:marker>
              <c:spPr>
                <a:solidFill>
                  <a:srgbClr val="E26B0A"/>
                </a:solidFill>
                <a:ln>
                  <a:noFill/>
                </a:ln>
              </c:spPr>
            </c:marker>
            <c:bubble3D val="0"/>
            <c:extLst>
              <c:ext xmlns:c16="http://schemas.microsoft.com/office/drawing/2014/chart" uri="{C3380CC4-5D6E-409C-BE32-E72D297353CC}">
                <c16:uniqueId val="{0000005D-CF22-4CB3-ACA5-B2DE9DD0A284}"/>
              </c:ext>
            </c:extLst>
          </c:dPt>
          <c:dPt>
            <c:idx val="33"/>
            <c:marker>
              <c:spPr>
                <a:solidFill>
                  <a:srgbClr val="E26B0A"/>
                </a:solidFill>
                <a:ln>
                  <a:noFill/>
                </a:ln>
              </c:spPr>
            </c:marker>
            <c:bubble3D val="0"/>
            <c:extLst>
              <c:ext xmlns:c16="http://schemas.microsoft.com/office/drawing/2014/chart" uri="{C3380CC4-5D6E-409C-BE32-E72D297353CC}">
                <c16:uniqueId val="{0000005E-CF22-4CB3-ACA5-B2DE9DD0A284}"/>
              </c:ext>
            </c:extLst>
          </c:dPt>
          <c:dPt>
            <c:idx val="34"/>
            <c:marker>
              <c:spPr>
                <a:solidFill>
                  <a:srgbClr val="E26B0A"/>
                </a:solidFill>
                <a:ln>
                  <a:noFill/>
                </a:ln>
              </c:spPr>
            </c:marker>
            <c:bubble3D val="0"/>
            <c:extLst>
              <c:ext xmlns:c16="http://schemas.microsoft.com/office/drawing/2014/chart" uri="{C3380CC4-5D6E-409C-BE32-E72D297353CC}">
                <c16:uniqueId val="{0000005F-CF22-4CB3-ACA5-B2DE9DD0A284}"/>
              </c:ext>
            </c:extLst>
          </c:dPt>
          <c:dPt>
            <c:idx val="35"/>
            <c:marker>
              <c:spPr>
                <a:solidFill>
                  <a:srgbClr val="E26B0A"/>
                </a:solidFill>
                <a:ln>
                  <a:noFill/>
                </a:ln>
              </c:spPr>
            </c:marker>
            <c:bubble3D val="0"/>
            <c:extLst>
              <c:ext xmlns:c16="http://schemas.microsoft.com/office/drawing/2014/chart" uri="{C3380CC4-5D6E-409C-BE32-E72D297353CC}">
                <c16:uniqueId val="{00000060-CF22-4CB3-ACA5-B2DE9DD0A284}"/>
              </c:ext>
            </c:extLst>
          </c:dPt>
          <c:dPt>
            <c:idx val="36"/>
            <c:marker>
              <c:spPr>
                <a:solidFill>
                  <a:srgbClr val="E26B0A"/>
                </a:solidFill>
                <a:ln>
                  <a:noFill/>
                </a:ln>
              </c:spPr>
            </c:marker>
            <c:bubble3D val="0"/>
            <c:extLst>
              <c:ext xmlns:c16="http://schemas.microsoft.com/office/drawing/2014/chart" uri="{C3380CC4-5D6E-409C-BE32-E72D297353CC}">
                <c16:uniqueId val="{00000061-CF22-4CB3-ACA5-B2DE9DD0A284}"/>
              </c:ext>
            </c:extLst>
          </c:dPt>
          <c:dPt>
            <c:idx val="37"/>
            <c:marker>
              <c:spPr>
                <a:solidFill>
                  <a:srgbClr val="E26B0A"/>
                </a:solidFill>
                <a:ln>
                  <a:noFill/>
                </a:ln>
              </c:spPr>
            </c:marker>
            <c:bubble3D val="0"/>
            <c:extLst>
              <c:ext xmlns:c16="http://schemas.microsoft.com/office/drawing/2014/chart" uri="{C3380CC4-5D6E-409C-BE32-E72D297353CC}">
                <c16:uniqueId val="{00000062-CF22-4CB3-ACA5-B2DE9DD0A284}"/>
              </c:ext>
            </c:extLst>
          </c:dPt>
          <c:dPt>
            <c:idx val="38"/>
            <c:marker>
              <c:spPr>
                <a:solidFill>
                  <a:srgbClr val="E26B0A"/>
                </a:solidFill>
                <a:ln>
                  <a:noFill/>
                </a:ln>
              </c:spPr>
            </c:marker>
            <c:bubble3D val="0"/>
            <c:extLst>
              <c:ext xmlns:c16="http://schemas.microsoft.com/office/drawing/2014/chart" uri="{C3380CC4-5D6E-409C-BE32-E72D297353CC}">
                <c16:uniqueId val="{00000063-CF22-4CB3-ACA5-B2DE9DD0A284}"/>
              </c:ext>
            </c:extLst>
          </c:dPt>
          <c:dPt>
            <c:idx val="39"/>
            <c:marker>
              <c:spPr>
                <a:solidFill>
                  <a:srgbClr val="E26B0A"/>
                </a:solidFill>
                <a:ln>
                  <a:noFill/>
                </a:ln>
              </c:spPr>
            </c:marker>
            <c:bubble3D val="0"/>
            <c:extLst>
              <c:ext xmlns:c16="http://schemas.microsoft.com/office/drawing/2014/chart" uri="{C3380CC4-5D6E-409C-BE32-E72D297353CC}">
                <c16:uniqueId val="{00000064-CF22-4CB3-ACA5-B2DE9DD0A284}"/>
              </c:ext>
            </c:extLst>
          </c:dPt>
          <c:dPt>
            <c:idx val="40"/>
            <c:marker>
              <c:spPr>
                <a:solidFill>
                  <a:srgbClr val="E26B0A"/>
                </a:solidFill>
                <a:ln>
                  <a:noFill/>
                </a:ln>
              </c:spPr>
            </c:marker>
            <c:bubble3D val="0"/>
            <c:extLst>
              <c:ext xmlns:c16="http://schemas.microsoft.com/office/drawing/2014/chart" uri="{C3380CC4-5D6E-409C-BE32-E72D297353CC}">
                <c16:uniqueId val="{00000065-CF22-4CB3-ACA5-B2DE9DD0A284}"/>
              </c:ext>
            </c:extLst>
          </c:dPt>
          <c:dPt>
            <c:idx val="41"/>
            <c:marker>
              <c:spPr>
                <a:solidFill>
                  <a:srgbClr val="E26B0A"/>
                </a:solidFill>
                <a:ln>
                  <a:noFill/>
                </a:ln>
              </c:spPr>
            </c:marker>
            <c:bubble3D val="0"/>
            <c:extLst>
              <c:ext xmlns:c16="http://schemas.microsoft.com/office/drawing/2014/chart" uri="{C3380CC4-5D6E-409C-BE32-E72D297353CC}">
                <c16:uniqueId val="{00000066-CF22-4CB3-ACA5-B2DE9DD0A284}"/>
              </c:ext>
            </c:extLst>
          </c:dPt>
          <c:dPt>
            <c:idx val="42"/>
            <c:marker>
              <c:spPr>
                <a:solidFill>
                  <a:srgbClr val="E26B0A"/>
                </a:solidFill>
                <a:ln>
                  <a:noFill/>
                </a:ln>
              </c:spPr>
            </c:marker>
            <c:bubble3D val="0"/>
            <c:extLst>
              <c:ext xmlns:c16="http://schemas.microsoft.com/office/drawing/2014/chart" uri="{C3380CC4-5D6E-409C-BE32-E72D297353CC}">
                <c16:uniqueId val="{00000067-CF22-4CB3-ACA5-B2DE9DD0A284}"/>
              </c:ext>
            </c:extLst>
          </c:dPt>
          <c:dPt>
            <c:idx val="43"/>
            <c:marker>
              <c:spPr>
                <a:solidFill>
                  <a:srgbClr val="E26B0A"/>
                </a:solidFill>
                <a:ln>
                  <a:noFill/>
                </a:ln>
              </c:spPr>
            </c:marker>
            <c:bubble3D val="0"/>
            <c:extLst>
              <c:ext xmlns:c16="http://schemas.microsoft.com/office/drawing/2014/chart" uri="{C3380CC4-5D6E-409C-BE32-E72D297353CC}">
                <c16:uniqueId val="{00000068-CF22-4CB3-ACA5-B2DE9DD0A284}"/>
              </c:ext>
            </c:extLst>
          </c:dPt>
          <c:dPt>
            <c:idx val="44"/>
            <c:marker>
              <c:spPr>
                <a:solidFill>
                  <a:srgbClr val="E26B0A"/>
                </a:solidFill>
                <a:ln>
                  <a:noFill/>
                </a:ln>
              </c:spPr>
            </c:marker>
            <c:bubble3D val="0"/>
            <c:extLst>
              <c:ext xmlns:c16="http://schemas.microsoft.com/office/drawing/2014/chart" uri="{C3380CC4-5D6E-409C-BE32-E72D297353CC}">
                <c16:uniqueId val="{00000069-CF22-4CB3-ACA5-B2DE9DD0A284}"/>
              </c:ext>
            </c:extLst>
          </c:dPt>
          <c:dPt>
            <c:idx val="45"/>
            <c:marker>
              <c:spPr>
                <a:solidFill>
                  <a:srgbClr val="E26B0A"/>
                </a:solidFill>
                <a:ln>
                  <a:noFill/>
                </a:ln>
              </c:spPr>
            </c:marker>
            <c:bubble3D val="0"/>
            <c:extLst>
              <c:ext xmlns:c16="http://schemas.microsoft.com/office/drawing/2014/chart" uri="{C3380CC4-5D6E-409C-BE32-E72D297353CC}">
                <c16:uniqueId val="{0000006A-CF22-4CB3-ACA5-B2DE9DD0A284}"/>
              </c:ext>
            </c:extLst>
          </c:dPt>
          <c:dPt>
            <c:idx val="46"/>
            <c:marker>
              <c:spPr>
                <a:solidFill>
                  <a:srgbClr val="E26B0A"/>
                </a:solidFill>
                <a:ln>
                  <a:noFill/>
                </a:ln>
              </c:spPr>
            </c:marker>
            <c:bubble3D val="0"/>
            <c:extLst>
              <c:ext xmlns:c16="http://schemas.microsoft.com/office/drawing/2014/chart" uri="{C3380CC4-5D6E-409C-BE32-E72D297353CC}">
                <c16:uniqueId val="{0000006B-CF22-4CB3-ACA5-B2DE9DD0A284}"/>
              </c:ext>
            </c:extLst>
          </c:dPt>
          <c:dPt>
            <c:idx val="47"/>
            <c:marker>
              <c:spPr>
                <a:solidFill>
                  <a:srgbClr val="E26B0A"/>
                </a:solidFill>
                <a:ln>
                  <a:noFill/>
                </a:ln>
              </c:spPr>
            </c:marker>
            <c:bubble3D val="0"/>
            <c:extLst>
              <c:ext xmlns:c16="http://schemas.microsoft.com/office/drawing/2014/chart" uri="{C3380CC4-5D6E-409C-BE32-E72D297353CC}">
                <c16:uniqueId val="{0000006C-CF22-4CB3-ACA5-B2DE9DD0A284}"/>
              </c:ext>
            </c:extLst>
          </c:dPt>
          <c:dPt>
            <c:idx val="48"/>
            <c:marker>
              <c:spPr>
                <a:solidFill>
                  <a:srgbClr val="E26B0A"/>
                </a:solidFill>
                <a:ln>
                  <a:noFill/>
                </a:ln>
              </c:spPr>
            </c:marker>
            <c:bubble3D val="0"/>
            <c:extLst>
              <c:ext xmlns:c16="http://schemas.microsoft.com/office/drawing/2014/chart" uri="{C3380CC4-5D6E-409C-BE32-E72D297353CC}">
                <c16:uniqueId val="{0000006D-CF22-4CB3-ACA5-B2DE9DD0A284}"/>
              </c:ext>
            </c:extLst>
          </c:dPt>
          <c:dPt>
            <c:idx val="49"/>
            <c:marker>
              <c:spPr>
                <a:solidFill>
                  <a:srgbClr val="E26B0A"/>
                </a:solidFill>
                <a:ln>
                  <a:noFill/>
                </a:ln>
              </c:spPr>
            </c:marker>
            <c:bubble3D val="0"/>
            <c:extLst>
              <c:ext xmlns:c16="http://schemas.microsoft.com/office/drawing/2014/chart" uri="{C3380CC4-5D6E-409C-BE32-E72D297353CC}">
                <c16:uniqueId val="{0000006E-CF22-4CB3-ACA5-B2DE9DD0A284}"/>
              </c:ext>
            </c:extLst>
          </c:dPt>
          <c:dLbls>
            <c:dLbl>
              <c:idx val="0"/>
              <c:tx>
                <c:rich>
                  <a:bodyPr wrap="square" lIns="38100" tIns="19050" rIns="38100" bIns="19050" anchor="ctr">
                    <a:spAutoFit/>
                  </a:bodyPr>
                  <a:lstStyle/>
                  <a:p>
                    <a:pPr>
                      <a:defRPr sz="800">
                        <a:solidFill>
                          <a:srgbClr val="FFFFFF"/>
                        </a:solidFill>
                      </a:defRPr>
                    </a:pPr>
                    <a:r>
                      <a:rPr lang="en-US"/>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8703-45C9-8CAA-B2CE820B154A}"/>
                </c:ext>
              </c:extLst>
            </c:dLbl>
            <c:dLbl>
              <c:idx val="1"/>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8703-45C9-8CAA-B2CE820B154A}"/>
                </c:ext>
              </c:extLst>
            </c:dLbl>
            <c:dLbl>
              <c:idx val="2"/>
              <c:tx>
                <c:rich>
                  <a:bodyPr wrap="square" lIns="38100" tIns="19050" rIns="38100" bIns="19050" anchor="ctr">
                    <a:spAutoFit/>
                  </a:bodyPr>
                  <a:lstStyle/>
                  <a:p>
                    <a:pPr>
                      <a:defRPr sz="800">
                        <a:solidFill>
                          <a:srgbClr val="FFFFFF"/>
                        </a:solidFill>
                      </a:defRPr>
                    </a:pPr>
                    <a:r>
                      <a:rPr lang="en-US"/>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8703-45C9-8CAA-B2CE820B154A}"/>
                </c:ext>
              </c:extLst>
            </c:dLbl>
            <c:dLbl>
              <c:idx val="3"/>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8703-45C9-8CAA-B2CE820B154A}"/>
                </c:ext>
              </c:extLst>
            </c:dLbl>
            <c:dLbl>
              <c:idx val="4"/>
              <c:tx>
                <c:rich>
                  <a:bodyPr wrap="square" lIns="38100" tIns="19050" rIns="38100" bIns="19050" anchor="ctr">
                    <a:spAutoFit/>
                  </a:bodyPr>
                  <a:lstStyle/>
                  <a:p>
                    <a:pPr>
                      <a:defRPr sz="800">
                        <a:solidFill>
                          <a:srgbClr val="FFFFFF"/>
                        </a:solidFill>
                      </a:defRPr>
                    </a:pPr>
                    <a:r>
                      <a:rPr lang="en-US"/>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8703-45C9-8CAA-B2CE820B154A}"/>
                </c:ext>
              </c:extLst>
            </c:dLbl>
            <c:dLbl>
              <c:idx val="5"/>
              <c:tx>
                <c:rich>
                  <a:bodyPr wrap="square" lIns="38100" tIns="19050" rIns="38100" bIns="19050" anchor="ctr">
                    <a:spAutoFit/>
                  </a:bodyPr>
                  <a:lstStyle/>
                  <a:p>
                    <a:pPr>
                      <a:defRPr sz="800">
                        <a:solidFill>
                          <a:srgbClr val="FFFFFF"/>
                        </a:solidFill>
                      </a:defRPr>
                    </a:pPr>
                    <a:r>
                      <a:rPr lang="en-US"/>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8703-45C9-8CAA-B2CE820B154A}"/>
                </c:ext>
              </c:extLst>
            </c:dLbl>
            <c:dLbl>
              <c:idx val="6"/>
              <c:tx>
                <c:rich>
                  <a:bodyPr wrap="square" lIns="38100" tIns="19050" rIns="38100" bIns="19050" anchor="ctr">
                    <a:spAutoFit/>
                  </a:bodyPr>
                  <a:lstStyle/>
                  <a:p>
                    <a:pPr>
                      <a:defRPr sz="800">
                        <a:solidFill>
                          <a:srgbClr val="FFFFFF"/>
                        </a:solidFill>
                      </a:defRPr>
                    </a:pPr>
                    <a:r>
                      <a:rPr lang="en-US"/>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8703-45C9-8CAA-B2CE820B154A}"/>
                </c:ext>
              </c:extLst>
            </c:dLbl>
            <c:dLbl>
              <c:idx val="7"/>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8703-45C9-8CAA-B2CE820B154A}"/>
                </c:ext>
              </c:extLst>
            </c:dLbl>
            <c:dLbl>
              <c:idx val="8"/>
              <c:tx>
                <c:rich>
                  <a:bodyPr wrap="square" lIns="38100" tIns="19050" rIns="38100" bIns="19050" anchor="ctr">
                    <a:spAutoFit/>
                  </a:bodyPr>
                  <a:lstStyle/>
                  <a:p>
                    <a:pPr>
                      <a:defRPr sz="800">
                        <a:solidFill>
                          <a:srgbClr val="FFFFFF"/>
                        </a:solidFill>
                      </a:defRPr>
                    </a:pPr>
                    <a:r>
                      <a:rPr lang="en-US"/>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8703-45C9-8CAA-B2CE820B154A}"/>
                </c:ext>
              </c:extLst>
            </c:dLbl>
            <c:dLbl>
              <c:idx val="9"/>
              <c:tx>
                <c:rich>
                  <a:bodyPr wrap="square" lIns="38100" tIns="19050" rIns="38100" bIns="19050" anchor="ctr">
                    <a:spAutoFit/>
                  </a:bodyPr>
                  <a:lstStyle/>
                  <a:p>
                    <a:pPr>
                      <a:defRPr sz="800">
                        <a:solidFill>
                          <a:srgbClr val="FFFFFF"/>
                        </a:solidFill>
                      </a:defRPr>
                    </a:pPr>
                    <a:r>
                      <a:rPr lang="en-US"/>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8703-45C9-8CAA-B2CE820B154A}"/>
                </c:ext>
              </c:extLst>
            </c:dLbl>
            <c:dLbl>
              <c:idx val="10"/>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8703-45C9-8CAA-B2CE820B154A}"/>
                </c:ext>
              </c:extLst>
            </c:dLbl>
            <c:dLbl>
              <c:idx val="11"/>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8703-45C9-8CAA-B2CE820B154A}"/>
                </c:ext>
              </c:extLst>
            </c:dLbl>
            <c:dLbl>
              <c:idx val="12"/>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8703-45C9-8CAA-B2CE820B154A}"/>
                </c:ext>
              </c:extLst>
            </c:dLbl>
            <c:dLbl>
              <c:idx val="13"/>
              <c:tx>
                <c:rich>
                  <a:bodyPr wrap="square" lIns="38100" tIns="19050" rIns="38100" bIns="19050" anchor="ctr">
                    <a:spAutoFit/>
                  </a:bodyPr>
                  <a:lstStyle/>
                  <a:p>
                    <a:pPr>
                      <a:defRPr sz="800">
                        <a:solidFill>
                          <a:srgbClr val="FFFFFF"/>
                        </a:solidFill>
                      </a:defRPr>
                    </a:pPr>
                    <a:r>
                      <a:rPr lang="en-US"/>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8703-45C9-8CAA-B2CE820B154A}"/>
                </c:ext>
              </c:extLst>
            </c:dLbl>
            <c:dLbl>
              <c:idx val="14"/>
              <c:tx>
                <c:rich>
                  <a:bodyPr wrap="square" lIns="38100" tIns="19050" rIns="38100" bIns="19050" anchor="ctr">
                    <a:spAutoFit/>
                  </a:bodyPr>
                  <a:lstStyle/>
                  <a:p>
                    <a:pPr>
                      <a:defRPr sz="800">
                        <a:solidFill>
                          <a:srgbClr val="FFFFFF"/>
                        </a:solidFill>
                      </a:defRPr>
                    </a:pPr>
                    <a:r>
                      <a:rPr lang="en-US"/>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8703-45C9-8CAA-B2CE820B154A}"/>
                </c:ext>
              </c:extLst>
            </c:dLbl>
            <c:dLbl>
              <c:idx val="15"/>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8703-45C9-8CAA-B2CE820B154A}"/>
                </c:ext>
              </c:extLst>
            </c:dLbl>
            <c:dLbl>
              <c:idx val="16"/>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8703-45C9-8CAA-B2CE820B154A}"/>
                </c:ext>
              </c:extLst>
            </c:dLbl>
            <c:dLbl>
              <c:idx val="17"/>
              <c:tx>
                <c:rich>
                  <a:bodyPr wrap="square" lIns="38100" tIns="19050" rIns="38100" bIns="19050" anchor="ctr">
                    <a:spAutoFit/>
                  </a:bodyPr>
                  <a:lstStyle/>
                  <a:p>
                    <a:pPr>
                      <a:defRPr sz="800">
                        <a:solidFill>
                          <a:srgbClr val="FFFFFF"/>
                        </a:solidFill>
                      </a:defRPr>
                    </a:pPr>
                    <a:r>
                      <a:rPr lang="en-US"/>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8703-45C9-8CAA-B2CE820B154A}"/>
                </c:ext>
              </c:extLst>
            </c:dLbl>
            <c:dLbl>
              <c:idx val="18"/>
              <c:tx>
                <c:rich>
                  <a:bodyPr wrap="square" lIns="38100" tIns="19050" rIns="38100" bIns="19050" anchor="ctr">
                    <a:spAutoFit/>
                  </a:bodyPr>
                  <a:lstStyle/>
                  <a:p>
                    <a:pPr>
                      <a:defRPr sz="800">
                        <a:solidFill>
                          <a:srgbClr val="FFFFFF"/>
                        </a:solidFill>
                      </a:defRPr>
                    </a:pPr>
                    <a:r>
                      <a:rPr lang="en-US"/>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8703-45C9-8CAA-B2CE820B154A}"/>
                </c:ext>
              </c:extLst>
            </c:dLbl>
            <c:dLbl>
              <c:idx val="19"/>
              <c:tx>
                <c:rich>
                  <a:bodyPr wrap="square" lIns="38100" tIns="19050" rIns="38100" bIns="19050" anchor="ctr">
                    <a:spAutoFit/>
                  </a:bodyPr>
                  <a:lstStyle/>
                  <a:p>
                    <a:pPr>
                      <a:defRPr sz="800">
                        <a:solidFill>
                          <a:srgbClr val="FFFFFF"/>
                        </a:solidFill>
                      </a:defRPr>
                    </a:pPr>
                    <a:r>
                      <a:rPr lang="en-US"/>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8703-45C9-8CAA-B2CE820B154A}"/>
                </c:ext>
              </c:extLst>
            </c:dLbl>
            <c:dLbl>
              <c:idx val="20"/>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8703-45C9-8CAA-B2CE820B154A}"/>
                </c:ext>
              </c:extLst>
            </c:dLbl>
            <c:dLbl>
              <c:idx val="21"/>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8703-45C9-8CAA-B2CE820B154A}"/>
                </c:ext>
              </c:extLst>
            </c:dLbl>
            <c:dLbl>
              <c:idx val="22"/>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8703-45C9-8CAA-B2CE820B154A}"/>
                </c:ext>
              </c:extLst>
            </c:dLbl>
            <c:dLbl>
              <c:idx val="23"/>
              <c:tx>
                <c:rich>
                  <a:bodyPr wrap="square" lIns="38100" tIns="19050" rIns="38100" bIns="19050" anchor="ctr">
                    <a:spAutoFit/>
                  </a:bodyPr>
                  <a:lstStyle/>
                  <a:p>
                    <a:pPr>
                      <a:defRPr sz="800">
                        <a:solidFill>
                          <a:srgbClr val="FFFFFF"/>
                        </a:solidFill>
                      </a:defRPr>
                    </a:pPr>
                    <a:r>
                      <a:rPr lang="en-US"/>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8703-45C9-8CAA-B2CE820B154A}"/>
                </c:ext>
              </c:extLst>
            </c:dLbl>
            <c:dLbl>
              <c:idx val="24"/>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8703-45C9-8CAA-B2CE820B154A}"/>
                </c:ext>
              </c:extLst>
            </c:dLbl>
            <c:dLbl>
              <c:idx val="25"/>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CF22-4CB3-ACA5-B2DE9DD0A284}"/>
                </c:ext>
              </c:extLst>
            </c:dLbl>
            <c:dLbl>
              <c:idx val="26"/>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CF22-4CB3-ACA5-B2DE9DD0A284}"/>
                </c:ext>
              </c:extLst>
            </c:dLbl>
            <c:dLbl>
              <c:idx val="27"/>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CF22-4CB3-ACA5-B2DE9DD0A284}"/>
                </c:ext>
              </c:extLst>
            </c:dLbl>
            <c:dLbl>
              <c:idx val="28"/>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CF22-4CB3-ACA5-B2DE9DD0A284}"/>
                </c:ext>
              </c:extLst>
            </c:dLbl>
            <c:dLbl>
              <c:idx val="29"/>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CF22-4CB3-ACA5-B2DE9DD0A284}"/>
                </c:ext>
              </c:extLst>
            </c:dLbl>
            <c:dLbl>
              <c:idx val="30"/>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CF22-4CB3-ACA5-B2DE9DD0A284}"/>
                </c:ext>
              </c:extLst>
            </c:dLbl>
            <c:dLbl>
              <c:idx val="31"/>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CF22-4CB3-ACA5-B2DE9DD0A284}"/>
                </c:ext>
              </c:extLst>
            </c:dLbl>
            <c:dLbl>
              <c:idx val="32"/>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CF22-4CB3-ACA5-B2DE9DD0A284}"/>
                </c:ext>
              </c:extLst>
            </c:dLbl>
            <c:dLbl>
              <c:idx val="33"/>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CF22-4CB3-ACA5-B2DE9DD0A284}"/>
                </c:ext>
              </c:extLst>
            </c:dLbl>
            <c:dLbl>
              <c:idx val="34"/>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CF22-4CB3-ACA5-B2DE9DD0A284}"/>
                </c:ext>
              </c:extLst>
            </c:dLbl>
            <c:dLbl>
              <c:idx val="35"/>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CF22-4CB3-ACA5-B2DE9DD0A284}"/>
                </c:ext>
              </c:extLst>
            </c:dLbl>
            <c:dLbl>
              <c:idx val="36"/>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CF22-4CB3-ACA5-B2DE9DD0A284}"/>
                </c:ext>
              </c:extLst>
            </c:dLbl>
            <c:dLbl>
              <c:idx val="37"/>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CF22-4CB3-ACA5-B2DE9DD0A284}"/>
                </c:ext>
              </c:extLst>
            </c:dLbl>
            <c:dLbl>
              <c:idx val="38"/>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CF22-4CB3-ACA5-B2DE9DD0A284}"/>
                </c:ext>
              </c:extLst>
            </c:dLbl>
            <c:dLbl>
              <c:idx val="39"/>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CF22-4CB3-ACA5-B2DE9DD0A284}"/>
                </c:ext>
              </c:extLst>
            </c:dLbl>
            <c:dLbl>
              <c:idx val="40"/>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CF22-4CB3-ACA5-B2DE9DD0A284}"/>
                </c:ext>
              </c:extLst>
            </c:dLbl>
            <c:dLbl>
              <c:idx val="41"/>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CF22-4CB3-ACA5-B2DE9DD0A284}"/>
                </c:ext>
              </c:extLst>
            </c:dLbl>
            <c:dLbl>
              <c:idx val="42"/>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CF22-4CB3-ACA5-B2DE9DD0A284}"/>
                </c:ext>
              </c:extLst>
            </c:dLbl>
            <c:dLbl>
              <c:idx val="43"/>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CF22-4CB3-ACA5-B2DE9DD0A284}"/>
                </c:ext>
              </c:extLst>
            </c:dLbl>
            <c:dLbl>
              <c:idx val="44"/>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CF22-4CB3-ACA5-B2DE9DD0A284}"/>
                </c:ext>
              </c:extLst>
            </c:dLbl>
            <c:dLbl>
              <c:idx val="45"/>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CF22-4CB3-ACA5-B2DE9DD0A284}"/>
                </c:ext>
              </c:extLst>
            </c:dLbl>
            <c:dLbl>
              <c:idx val="46"/>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CF22-4CB3-ACA5-B2DE9DD0A284}"/>
                </c:ext>
              </c:extLst>
            </c:dLbl>
            <c:dLbl>
              <c:idx val="47"/>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CF22-4CB3-ACA5-B2DE9DD0A284}"/>
                </c:ext>
              </c:extLst>
            </c:dLbl>
            <c:dLbl>
              <c:idx val="48"/>
              <c:tx>
                <c:rich>
                  <a:bodyPr wrap="square" lIns="38100" tIns="19050" rIns="38100" bIns="19050" anchor="ctr">
                    <a:spAutoFit/>
                  </a:bodyPr>
                  <a:lstStyle/>
                  <a:p>
                    <a:pPr>
                      <a:defRPr sz="800">
                        <a:solidFill>
                          <a:srgbClr val="FFFFFF"/>
                        </a:solidFill>
                      </a:defRPr>
                    </a:pPr>
                    <a:r>
                      <a:rPr lang="en-GB"/>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CF22-4CB3-ACA5-B2DE9DD0A284}"/>
                </c:ext>
              </c:extLst>
            </c:dLbl>
            <c:dLbl>
              <c:idx val="49"/>
              <c:tx>
                <c:rich>
                  <a:bodyPr wrap="square" lIns="38100" tIns="19050" rIns="38100" bIns="19050" anchor="ctr">
                    <a:spAutoFit/>
                  </a:bodyPr>
                  <a:lstStyle/>
                  <a:p>
                    <a:pPr>
                      <a:defRPr sz="800">
                        <a:solidFill>
                          <a:srgbClr val="FFFFFF"/>
                        </a:solidFill>
                      </a:defRPr>
                    </a:pPr>
                    <a:r>
                      <a:rPr lang="en-US"/>
                      <a:t>XXX</a:t>
                    </a:r>
                  </a:p>
                </c:rich>
              </c:tx>
              <c:spPr>
                <a:solidFill>
                  <a:srgbClr val="E26B0A"/>
                </a:solidFill>
                <a:ln>
                  <a:noFill/>
                </a:ln>
                <a:effectLst/>
              </c:sp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CF22-4CB3-ACA5-B2DE9DD0A284}"/>
                </c:ext>
              </c:extLst>
            </c:dLbl>
            <c:spPr>
              <a:noFill/>
              <a:ln>
                <a:noFill/>
              </a:ln>
              <a:effectLst/>
            </c:spPr>
            <c:txPr>
              <a:bodyPr wrap="square" lIns="38100" tIns="19050" rIns="38100" bIns="19050" anchor="ctr">
                <a:spAutoFit/>
              </a:bodyPr>
              <a:lstStyle/>
              <a:p>
                <a:pPr>
                  <a:defRPr sz="800"/>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xVal>
            <c:numRef>
              <c:f>iScatter!$AR$95:$AR$144</c:f>
              <c:numCache>
                <c:formatCode>General</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xVal>
          <c:yVal>
            <c:numRef>
              <c:f>iScatter!$AS$95:$AS$144</c:f>
              <c:numCache>
                <c:formatCode>General</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3D-8703-45C9-8CAA-B2CE820B154A}"/>
            </c:ext>
          </c:extLst>
        </c:ser>
        <c:dLbls>
          <c:showLegendKey val="0"/>
          <c:showVal val="0"/>
          <c:showCatName val="0"/>
          <c:showSerName val="0"/>
          <c:showPercent val="0"/>
          <c:showBubbleSize val="0"/>
        </c:dLbls>
        <c:axId val="214051840"/>
        <c:axId val="214090880"/>
      </c:scatterChart>
      <c:valAx>
        <c:axId val="214051840"/>
        <c:scaling>
          <c:orientation val="minMax"/>
          <c:max val="100"/>
          <c:min val="0"/>
        </c:scaling>
        <c:delete val="0"/>
        <c:axPos val="b"/>
        <c:majorGridlines>
          <c:spPr>
            <a:ln>
              <a:solidFill>
                <a:schemeClr val="bg1">
                  <a:lumMod val="85000"/>
                </a:schemeClr>
              </a:solidFill>
            </a:ln>
          </c:spPr>
        </c:majorGridlines>
        <c:title>
          <c:tx>
            <c:strRef>
              <c:f>iScatter!$B$59</c:f>
              <c:strCache>
                <c:ptCount val="1"/>
                <c:pt idx="0">
                  <c:v>OVERALL
          more healthy environment ---------&gt;</c:v>
                </c:pt>
              </c:strCache>
            </c:strRef>
          </c:tx>
          <c:overlay val="0"/>
          <c:txPr>
            <a:bodyPr/>
            <a:lstStyle/>
            <a:p>
              <a:pPr>
                <a:defRPr b="0">
                  <a:solidFill>
                    <a:srgbClr val="7030A0"/>
                  </a:solidFill>
                </a:defRPr>
              </a:pPr>
              <a:endParaRPr lang="en-US"/>
            </a:p>
          </c:txPr>
        </c:title>
        <c:numFmt formatCode="General" sourceLinked="0"/>
        <c:majorTickMark val="none"/>
        <c:minorTickMark val="none"/>
        <c:tickLblPos val="low"/>
        <c:spPr>
          <a:noFill/>
          <a:ln w="19050" cap="flat" cmpd="sng" algn="ctr">
            <a:noFill/>
            <a:prstDash val="solid"/>
            <a:round/>
          </a:ln>
          <a:effectLst/>
          <a:extLst>
            <a:ext uri="{91240B29-F687-4F45-9708-019B960494DF}">
              <a14:hiddenLine xmlns:a14="http://schemas.microsoft.com/office/drawing/2010/main" w="19050" cap="flat" cmpd="sng" algn="ctr">
                <a:solidFill>
                  <a:srgbClr val="4F81BD"/>
                </a:solidFill>
                <a:prstDash val="solid"/>
                <a:round/>
              </a14:hiddenLine>
            </a:ext>
          </a:extLst>
        </c:spPr>
        <c:txPr>
          <a:bodyPr rot="0" vert="horz" anchor="t" anchorCtr="0"/>
          <a:lstStyle/>
          <a:p>
            <a:pPr>
              <a:defRPr lang="en-GB" sz="1000" b="0" i="0" u="none" strike="noStrike" baseline="0">
                <a:solidFill>
                  <a:schemeClr val="tx1"/>
                </a:solidFill>
                <a:latin typeface="Calibri"/>
                <a:ea typeface="Calibri"/>
                <a:cs typeface="Calibri"/>
              </a:defRPr>
            </a:pPr>
            <a:endParaRPr lang="en-US"/>
          </a:p>
        </c:txPr>
        <c:crossAx val="214090880"/>
        <c:crosses val="autoZero"/>
        <c:crossBetween val="midCat"/>
      </c:valAx>
      <c:valAx>
        <c:axId val="214090880"/>
        <c:scaling>
          <c:orientation val="minMax"/>
          <c:max val="100"/>
          <c:min val="0"/>
        </c:scaling>
        <c:delete val="0"/>
        <c:axPos val="l"/>
        <c:majorGridlines>
          <c:spPr>
            <a:ln>
              <a:solidFill>
                <a:schemeClr val="bg1">
                  <a:lumMod val="85000"/>
                </a:schemeClr>
              </a:solidFill>
            </a:ln>
          </c:spPr>
        </c:majorGridlines>
        <c:title>
          <c:tx>
            <c:strRef>
              <c:f>iScatter!$B$66</c:f>
              <c:strCache>
                <c:ptCount val="1"/>
                <c:pt idx="0">
                  <c:v>SOCIAL DETERMINANTS
          more healthy environment ---------&gt;</c:v>
                </c:pt>
              </c:strCache>
            </c:strRef>
          </c:tx>
          <c:overlay val="0"/>
          <c:spPr>
            <a:noFill/>
            <a:ln w="25400">
              <a:noFill/>
            </a:ln>
          </c:spPr>
          <c:txPr>
            <a:bodyPr/>
            <a:lstStyle/>
            <a:p>
              <a:pPr>
                <a:defRPr lang="en-GB" sz="1000" b="0" i="0" u="none" strike="noStrike" baseline="0">
                  <a:solidFill>
                    <a:srgbClr val="00B050"/>
                  </a:solidFill>
                  <a:latin typeface="Calibri"/>
                  <a:ea typeface="Calibri"/>
                  <a:cs typeface="Calibri"/>
                </a:defRPr>
              </a:pPr>
              <a:endParaRPr lang="en-US"/>
            </a:p>
          </c:txPr>
        </c:title>
        <c:numFmt formatCode="General" sourceLinked="1"/>
        <c:majorTickMark val="none"/>
        <c:minorTickMark val="none"/>
        <c:tickLblPos val="low"/>
        <c:spPr>
          <a:noFill/>
          <a:ln w="19050" cap="flat" cmpd="sng" algn="ctr">
            <a:noFill/>
            <a:prstDash val="solid"/>
            <a:round/>
          </a:ln>
          <a:effectLst/>
          <a:extLst>
            <a:ext uri="{91240B29-F687-4F45-9708-019B960494DF}">
              <a14:hiddenLine xmlns:a14="http://schemas.microsoft.com/office/drawing/2010/main" w="19050" cap="flat" cmpd="sng" algn="ctr">
                <a:solidFill>
                  <a:srgbClr val="4F81BD"/>
                </a:solidFill>
                <a:prstDash val="solid"/>
                <a:round/>
              </a14:hiddenLine>
            </a:ext>
          </a:extLst>
        </c:spPr>
        <c:txPr>
          <a:bodyPr rot="0" vert="horz"/>
          <a:lstStyle/>
          <a:p>
            <a:pPr>
              <a:defRPr lang="en-GB" sz="1000" b="0" i="0" u="none" strike="noStrike" baseline="0">
                <a:solidFill>
                  <a:schemeClr val="tx1"/>
                </a:solidFill>
                <a:latin typeface="Calibri"/>
                <a:ea typeface="Calibri"/>
                <a:cs typeface="Calibri"/>
              </a:defRPr>
            </a:pPr>
            <a:endParaRPr lang="en-US"/>
          </a:p>
        </c:txPr>
        <c:crossAx val="214051840"/>
        <c:crosses val="autoZero"/>
        <c:crossBetween val="midCat"/>
      </c:valAx>
      <c:spPr>
        <a:noFill/>
        <a:ln w="25400">
          <a:noFill/>
        </a:ln>
      </c:spPr>
    </c:plotArea>
    <c:plotVisOnly val="1"/>
    <c:dispBlanksAs val="gap"/>
    <c:showDLblsOverMax val="0"/>
  </c:chart>
  <c:spPr>
    <a:noFill/>
    <a:ln>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Compare!$O$37</c:f>
              <c:numCache>
                <c:formatCode>0.0</c:formatCode>
                <c:ptCount val="1"/>
                <c:pt idx="0">
                  <c:v>100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Compare!$P$37</c:f>
              <c:numCache>
                <c:formatCode>0.0</c:formatCode>
                <c:ptCount val="1"/>
                <c:pt idx="0">
                  <c:v>76</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Compare!$K$37:$L$37</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Compare!$O$38</c:f>
              <c:numCache>
                <c:formatCode>0.0</c:formatCode>
                <c:ptCount val="1"/>
                <c:pt idx="0">
                  <c:v>52.5</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Compare!$P$38</c:f>
              <c:numCache>
                <c:formatCode>0.0</c:formatCode>
                <c:ptCount val="1"/>
                <c:pt idx="0">
                  <c:v>63.3</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Compare!$K$38:$L$38</c:f>
              <c:numCache>
                <c:formatCode>General</c:formatCode>
                <c:ptCount val="2"/>
                <c:pt idx="0">
                  <c:v>44.1</c:v>
                </c:pt>
                <c:pt idx="1">
                  <c:v>84.1</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Compare!$O$39</c:f>
              <c:numCache>
                <c:formatCode>0.0</c:formatCode>
                <c:ptCount val="1"/>
                <c:pt idx="0">
                  <c:v>94.4</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Compare!$P$39</c:f>
              <c:numCache>
                <c:formatCode>0.0</c:formatCode>
                <c:ptCount val="1"/>
                <c:pt idx="0">
                  <c:v>74.599999999999994</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Compare!$K$39:$L$39</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Compare!$O$41</c:f>
              <c:numCache>
                <c:formatCode>0.0</c:formatCode>
                <c:ptCount val="1"/>
                <c:pt idx="0">
                  <c:v>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Compare!$P$41</c:f>
              <c:numCache>
                <c:formatCode>0.0</c:formatCode>
                <c:ptCount val="1"/>
                <c:pt idx="0">
                  <c:v>0</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Compare!$K$41:$L$41</c:f>
              <c:numCache>
                <c:formatCode>General</c:formatCode>
                <c:ptCount val="2"/>
                <c:pt idx="0">
                  <c:v>0</c:v>
                </c:pt>
                <c:pt idx="1">
                  <c:v>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Compare!$O$42</c:f>
              <c:numCache>
                <c:formatCode>0.0</c:formatCode>
                <c:ptCount val="1"/>
                <c:pt idx="0">
                  <c:v>42.5</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Compare!$P$42</c:f>
              <c:numCache>
                <c:formatCode>0.0</c:formatCode>
                <c:ptCount val="1"/>
                <c:pt idx="0">
                  <c:v>47.8</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Compare!$K$42:$L$42</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Compare!$O$43</c:f>
              <c:numCache>
                <c:formatCode>0.0</c:formatCode>
                <c:ptCount val="1"/>
                <c:pt idx="0">
                  <c:v>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Compare!$P$43</c:f>
              <c:numCache>
                <c:formatCode>0.0</c:formatCode>
                <c:ptCount val="1"/>
                <c:pt idx="0">
                  <c:v>70</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Compare!$K$43:$L$43</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Compare!$O$44</c:f>
              <c:numCache>
                <c:formatCode>0.0</c:formatCode>
                <c:ptCount val="1"/>
                <c:pt idx="0">
                  <c:v>71</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Compare!$P$44</c:f>
              <c:numCache>
                <c:formatCode>0.0</c:formatCode>
                <c:ptCount val="1"/>
                <c:pt idx="0">
                  <c:v>61.6</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Compare!$K$44:$L$44</c:f>
              <c:numCache>
                <c:formatCode>General</c:formatCode>
                <c:ptCount val="2"/>
                <c:pt idx="0">
                  <c:v>13.9</c:v>
                </c:pt>
                <c:pt idx="1">
                  <c:v>98</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Compare!$O$45</c:f>
              <c:numCache>
                <c:formatCode>0.0</c:formatCode>
                <c:ptCount val="1"/>
                <c:pt idx="0">
                  <c:v>41.9</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Compare!$P$45</c:f>
              <c:numCache>
                <c:formatCode>0.0</c:formatCode>
                <c:ptCount val="1"/>
                <c:pt idx="0">
                  <c:v>81.099999999999994</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Compare!$K$45:$L$45</c:f>
              <c:numCache>
                <c:formatCode>General</c:formatCode>
                <c:ptCount val="2"/>
                <c:pt idx="0">
                  <c:v>27.7</c:v>
                </c:pt>
                <c:pt idx="1">
                  <c:v>96.2</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Compare!$O$46</c:f>
              <c:numCache>
                <c:formatCode>0.0</c:formatCode>
                <c:ptCount val="1"/>
                <c:pt idx="0">
                  <c:v>100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Compare!$P$46</c:f>
              <c:numCache>
                <c:formatCode>0.0</c:formatCode>
                <c:ptCount val="1"/>
                <c:pt idx="0">
                  <c:v>42</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Compare!$K$46:$L$46</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Compare!$O$47</c:f>
              <c:numCache>
                <c:formatCode>0.0</c:formatCode>
                <c:ptCount val="1"/>
                <c:pt idx="0">
                  <c:v>31.5</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Compare!$P$47</c:f>
              <c:numCache>
                <c:formatCode>0.0</c:formatCode>
                <c:ptCount val="1"/>
                <c:pt idx="0">
                  <c:v>64.900000000000006</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Compare!$K$47:$L$47</c:f>
              <c:numCache>
                <c:formatCode>General</c:formatCode>
                <c:ptCount val="2"/>
                <c:pt idx="0">
                  <c:v>8.6</c:v>
                </c:pt>
                <c:pt idx="1">
                  <c:v>99</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2135263395104E-3"/>
          <c:y val="0"/>
          <c:w val="0.94940880503144653"/>
          <c:h val="1"/>
        </c:manualLayout>
      </c:layout>
      <c:scatterChart>
        <c:scatterStyle val="lineMarker"/>
        <c:varyColors val="0"/>
        <c:ser>
          <c:idx val="0"/>
          <c:order val="0"/>
          <c:tx>
            <c:v>x_axis_values</c:v>
          </c:tx>
          <c:spPr>
            <a:ln w="28575">
              <a:noFill/>
            </a:ln>
          </c:spPr>
          <c:marker>
            <c:symbol val="circle"/>
            <c:size val="6"/>
            <c:spPr>
              <a:solidFill>
                <a:sysClr val="windowText" lastClr="000000">
                  <a:alpha val="19000"/>
                </a:sysClr>
              </a:solidFill>
              <a:ln>
                <a:noFill/>
              </a:ln>
            </c:spPr>
          </c:marker>
          <c:xVal>
            <c:numRef>
              <c:f>iScatter!$U$95:$U$144</c:f>
              <c:numCache>
                <c:formatCode>General</c:formatCode>
                <c:ptCount val="50"/>
                <c:pt idx="0">
                  <c:v>49.6</c:v>
                </c:pt>
                <c:pt idx="1">
                  <c:v>41</c:v>
                </c:pt>
                <c:pt idx="2">
                  <c:v>63.1</c:v>
                </c:pt>
                <c:pt idx="3">
                  <c:v>71</c:v>
                </c:pt>
                <c:pt idx="4">
                  <c:v>68.8</c:v>
                </c:pt>
                <c:pt idx="5">
                  <c:v>63.4</c:v>
                </c:pt>
                <c:pt idx="6">
                  <c:v>77.400000000000006</c:v>
                </c:pt>
                <c:pt idx="7">
                  <c:v>69.7</c:v>
                </c:pt>
                <c:pt idx="8">
                  <c:v>69.5</c:v>
                </c:pt>
                <c:pt idx="9">
                  <c:v>40.6</c:v>
                </c:pt>
                <c:pt idx="10">
                  <c:v>50.1</c:v>
                </c:pt>
                <c:pt idx="11">
                  <c:v>56.8</c:v>
                </c:pt>
                <c:pt idx="12">
                  <c:v>41.8</c:v>
                </c:pt>
                <c:pt idx="13">
                  <c:v>65</c:v>
                </c:pt>
                <c:pt idx="14">
                  <c:v>75.5</c:v>
                </c:pt>
                <c:pt idx="15">
                  <c:v>66</c:v>
                </c:pt>
                <c:pt idx="16">
                  <c:v>83.2</c:v>
                </c:pt>
                <c:pt idx="17">
                  <c:v>60.4</c:v>
                </c:pt>
                <c:pt idx="18">
                  <c:v>71.7</c:v>
                </c:pt>
                <c:pt idx="19">
                  <c:v>52.5</c:v>
                </c:pt>
                <c:pt idx="20">
                  <c:v>44.3</c:v>
                </c:pt>
                <c:pt idx="21">
                  <c:v>40.9</c:v>
                </c:pt>
                <c:pt idx="22">
                  <c:v>51.8</c:v>
                </c:pt>
                <c:pt idx="23">
                  <c:v>42.1</c:v>
                </c:pt>
                <c:pt idx="24">
                  <c:v>51.6</c:v>
                </c:pt>
                <c:pt idx="25">
                  <c:v>82.6</c:v>
                </c:pt>
                <c:pt idx="26">
                  <c:v>79.599999999999994</c:v>
                </c:pt>
                <c:pt idx="27">
                  <c:v>48.8</c:v>
                </c:pt>
                <c:pt idx="28">
                  <c:v>75.8</c:v>
                </c:pt>
                <c:pt idx="29">
                  <c:v>60.9</c:v>
                </c:pt>
                <c:pt idx="30">
                  <c:v>65.900000000000006</c:v>
                </c:pt>
                <c:pt idx="31">
                  <c:v>53.2</c:v>
                </c:pt>
                <c:pt idx="32">
                  <c:v>52.2</c:v>
                </c:pt>
                <c:pt idx="33">
                  <c:v>79.099999999999994</c:v>
                </c:pt>
                <c:pt idx="34">
                  <c:v>74.2</c:v>
                </c:pt>
                <c:pt idx="35">
                  <c:v>64.5</c:v>
                </c:pt>
                <c:pt idx="36">
                  <c:v>51.4</c:v>
                </c:pt>
                <c:pt idx="37">
                  <c:v>44.2</c:v>
                </c:pt>
                <c:pt idx="38">
                  <c:v>63.5</c:v>
                </c:pt>
                <c:pt idx="39">
                  <c:v>72</c:v>
                </c:pt>
                <c:pt idx="40">
                  <c:v>67.099999999999994</c:v>
                </c:pt>
                <c:pt idx="41">
                  <c:v>75.599999999999994</c:v>
                </c:pt>
                <c:pt idx="42">
                  <c:v>65.3</c:v>
                </c:pt>
                <c:pt idx="43">
                  <c:v>76.099999999999994</c:v>
                </c:pt>
                <c:pt idx="44">
                  <c:v>70.5</c:v>
                </c:pt>
                <c:pt idx="45">
                  <c:v>76.099999999999994</c:v>
                </c:pt>
                <c:pt idx="46">
                  <c:v>77</c:v>
                </c:pt>
                <c:pt idx="47">
                  <c:v>75.099999999999994</c:v>
                </c:pt>
                <c:pt idx="48">
                  <c:v>57.3</c:v>
                </c:pt>
                <c:pt idx="49">
                  <c:v>43.5</c:v>
                </c:pt>
              </c:numCache>
            </c:numRef>
          </c:xVal>
          <c:yVal>
            <c:numRef>
              <c:f>iScatter!$F$95:$F$144</c:f>
              <c:numCache>
                <c:formatCode>General</c:formatCode>
                <c:ptCount val="5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numCache>
            </c:numRef>
          </c:yVal>
          <c:smooth val="0"/>
          <c:extLst>
            <c:ext xmlns:c16="http://schemas.microsoft.com/office/drawing/2014/chart" uri="{C3380CC4-5D6E-409C-BE32-E72D297353CC}">
              <c16:uniqueId val="{00000000-06E1-4C88-8305-C707CA33AE25}"/>
            </c:ext>
          </c:extLst>
        </c:ser>
        <c:ser>
          <c:idx val="2"/>
          <c:order val="1"/>
          <c:tx>
            <c:v>Active_Entity_Dot</c:v>
          </c:tx>
          <c:spPr>
            <a:ln w="28575">
              <a:noFill/>
            </a:ln>
          </c:spPr>
          <c:marker>
            <c:symbol val="circle"/>
            <c:size val="8"/>
            <c:spPr>
              <a:solidFill>
                <a:schemeClr val="accent6">
                  <a:lumMod val="75000"/>
                </a:schemeClr>
              </a:solidFill>
              <a:ln>
                <a:noFill/>
              </a:ln>
            </c:spPr>
          </c:marker>
          <c:xVal>
            <c:numRef>
              <c:f>iScatter!$B$82</c:f>
              <c:numCache>
                <c:formatCode>General</c:formatCode>
                <c:ptCount val="1"/>
                <c:pt idx="0">
                  <c:v>#N/A</c:v>
                </c:pt>
              </c:numCache>
            </c:numRef>
          </c:xVal>
          <c:yVal>
            <c:numLit>
              <c:formatCode>General</c:formatCode>
              <c:ptCount val="1"/>
              <c:pt idx="0">
                <c:v>2</c:v>
              </c:pt>
            </c:numLit>
          </c:yVal>
          <c:smooth val="0"/>
          <c:extLst>
            <c:ext xmlns:c16="http://schemas.microsoft.com/office/drawing/2014/chart" uri="{C3380CC4-5D6E-409C-BE32-E72D297353CC}">
              <c16:uniqueId val="{00000001-06E1-4C88-8305-C707CA33AE25}"/>
            </c:ext>
          </c:extLst>
        </c:ser>
        <c:ser>
          <c:idx val="1"/>
          <c:order val="2"/>
          <c:tx>
            <c:v>invisi_axis_helper</c:v>
          </c:tx>
          <c:spPr>
            <a:ln w="28575">
              <a:noFill/>
            </a:ln>
          </c:spPr>
          <c:marker>
            <c:symbol val="none"/>
          </c:marker>
          <c:xVal>
            <c:numRef>
              <c:f>iScatter!$B$78:$C$78</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4E35-469D-913D-8DD6C1B4EF01}"/>
            </c:ext>
          </c:extLst>
        </c:ser>
        <c:dLbls>
          <c:showLegendKey val="0"/>
          <c:showVal val="0"/>
          <c:showCatName val="0"/>
          <c:showSerName val="0"/>
          <c:showPercent val="0"/>
          <c:showBubbleSize val="0"/>
        </c:dLbls>
        <c:axId val="196708224"/>
        <c:axId val="196709760"/>
      </c:scatterChart>
      <c:valAx>
        <c:axId val="196708224"/>
        <c:scaling>
          <c:orientation val="minMax"/>
          <c:max val="100"/>
          <c:min val="0"/>
        </c:scaling>
        <c:delete val="0"/>
        <c:axPos val="b"/>
        <c:numFmt formatCode="General" sourceLinked="1"/>
        <c:majorTickMark val="out"/>
        <c:minorTickMark val="none"/>
        <c:tickLblPos val="nextTo"/>
        <c:spPr>
          <a:ln>
            <a:noFill/>
          </a:ln>
        </c:spPr>
        <c:txPr>
          <a:bodyPr/>
          <a:lstStyle/>
          <a:p>
            <a:pPr>
              <a:defRPr sz="800"/>
            </a:pPr>
            <a:endParaRPr lang="en-US"/>
          </a:p>
        </c:txPr>
        <c:crossAx val="196709760"/>
        <c:crosses val="autoZero"/>
        <c:crossBetween val="midCat"/>
      </c:valAx>
      <c:valAx>
        <c:axId val="196709760"/>
        <c:scaling>
          <c:orientation val="minMax"/>
          <c:max val="4"/>
          <c:min val="0"/>
        </c:scaling>
        <c:delete val="0"/>
        <c:axPos val="l"/>
        <c:numFmt formatCode="General" sourceLinked="1"/>
        <c:majorTickMark val="none"/>
        <c:minorTickMark val="none"/>
        <c:tickLblPos val="none"/>
        <c:spPr>
          <a:noFill/>
          <a:ln w="19050" cap="flat" cmpd="sng" algn="ctr">
            <a:noFill/>
            <a:prstDash val="solid"/>
            <a:round/>
          </a:ln>
          <a:effectLst/>
          <a:extLst>
            <a:ext uri="{91240B29-F687-4F45-9708-019B960494DF}">
              <a14:hiddenLine xmlns:a14="http://schemas.microsoft.com/office/drawing/2010/main" w="19050" cap="flat" cmpd="sng" algn="ctr">
                <a:solidFill>
                  <a:srgbClr val="4F81BD"/>
                </a:solidFill>
                <a:prstDash val="solid"/>
                <a:round/>
              </a14:hiddenLine>
            </a:ext>
          </a:extLst>
        </c:spPr>
        <c:crossAx val="196708224"/>
        <c:crosses val="autoZero"/>
        <c:crossBetween val="midCat"/>
      </c:valAx>
      <c:spPr>
        <a:solidFill>
          <a:schemeClr val="bg1">
            <a:lumMod val="95000"/>
          </a:schemeClr>
        </a:solid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Compare!$O$49</c:f>
              <c:numCache>
                <c:formatCode>0.0</c:formatCode>
                <c:ptCount val="1"/>
                <c:pt idx="0">
                  <c:v>47.4</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Compare!$P$49</c:f>
              <c:numCache>
                <c:formatCode>0.0</c:formatCode>
                <c:ptCount val="1"/>
                <c:pt idx="0">
                  <c:v>66.5</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Compare!$K$49:$L$49</c:f>
              <c:numCache>
                <c:formatCode>General</c:formatCode>
                <c:ptCount val="2"/>
                <c:pt idx="0">
                  <c:v>27.8</c:v>
                </c:pt>
                <c:pt idx="1">
                  <c:v>98.4</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Compare!$O$50</c:f>
              <c:numCache>
                <c:formatCode>0.0</c:formatCode>
                <c:ptCount val="1"/>
                <c:pt idx="0">
                  <c:v>94.8</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Compare!$P$50</c:f>
              <c:numCache>
                <c:formatCode>0.0</c:formatCode>
                <c:ptCount val="1"/>
                <c:pt idx="0">
                  <c:v>79</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Compare!$K$50:$L$50</c:f>
              <c:numCache>
                <c:formatCode>General</c:formatCode>
                <c:ptCount val="2"/>
                <c:pt idx="0">
                  <c:v>55.6</c:v>
                </c:pt>
                <c:pt idx="1">
                  <c:v>96.7</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Compare!$O$51</c:f>
              <c:numCache>
                <c:formatCode>0.0</c:formatCode>
                <c:ptCount val="1"/>
                <c:pt idx="0">
                  <c:v>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Compare!$P$51</c:f>
              <c:numCache>
                <c:formatCode>0.0</c:formatCode>
                <c:ptCount val="1"/>
                <c:pt idx="0">
                  <c:v>54</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Compare!$K$51:$L$51</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Compare!$O$52</c:f>
              <c:numCache>
                <c:formatCode>0.0</c:formatCode>
                <c:ptCount val="1"/>
                <c:pt idx="0">
                  <c:v>4.7</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Compare!$P$52</c:f>
              <c:numCache>
                <c:formatCode>0.0</c:formatCode>
                <c:ptCount val="1"/>
                <c:pt idx="0">
                  <c:v>45.8</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Compare!$K$52:$L$52</c:f>
              <c:numCache>
                <c:formatCode>General</c:formatCode>
                <c:ptCount val="2"/>
                <c:pt idx="0">
                  <c:v>4.7</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Compare!$O$53</c:f>
              <c:numCache>
                <c:formatCode>0.0</c:formatCode>
                <c:ptCount val="1"/>
                <c:pt idx="0">
                  <c:v>9.5</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Compare!$P$53</c:f>
              <c:numCache>
                <c:formatCode>0.0</c:formatCode>
                <c:ptCount val="1"/>
                <c:pt idx="0">
                  <c:v>45.6</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Compare!$K$53:$L$53</c:f>
              <c:numCache>
                <c:formatCode>General</c:formatCode>
                <c:ptCount val="2"/>
                <c:pt idx="0">
                  <c:v>9.5</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Compare!$O$54</c:f>
              <c:numCache>
                <c:formatCode>0.0</c:formatCode>
                <c:ptCount val="1"/>
                <c:pt idx="0">
                  <c:v>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Compare!$P$54</c:f>
              <c:numCache>
                <c:formatCode>0.0</c:formatCode>
                <c:ptCount val="1"/>
                <c:pt idx="0">
                  <c:v>46</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Compare!$K$54:$L$54</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Compare!$O$55</c:f>
              <c:numCache>
                <c:formatCode>0.0</c:formatCode>
                <c:ptCount val="1"/>
                <c:pt idx="0">
                  <c:v>50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Compare!$P$55</c:f>
              <c:numCache>
                <c:formatCode>0.0</c:formatCode>
                <c:ptCount val="1"/>
                <c:pt idx="0">
                  <c:v>53.9</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Compare!$K$55:$L$55</c:f>
              <c:numCache>
                <c:formatCode>General</c:formatCode>
                <c:ptCount val="2"/>
                <c:pt idx="0">
                  <c:v>10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Compare!$O$56</c:f>
              <c:numCache>
                <c:formatCode>0.0</c:formatCode>
                <c:ptCount val="1"/>
                <c:pt idx="0">
                  <c:v>100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Compare!$P$56</c:f>
              <c:numCache>
                <c:formatCode>0.0</c:formatCode>
                <c:ptCount val="1"/>
                <c:pt idx="0">
                  <c:v>93.8</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Compare!$K$56:$L$56</c:f>
              <c:numCache>
                <c:formatCode>General</c:formatCode>
                <c:ptCount val="2"/>
                <c:pt idx="0">
                  <c:v>20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Compare!$O$57</c:f>
              <c:numCache>
                <c:formatCode>0.0</c:formatCode>
                <c:ptCount val="1"/>
                <c:pt idx="0">
                  <c:v>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Compare!$P$57</c:f>
              <c:numCache>
                <c:formatCode>0.0</c:formatCode>
                <c:ptCount val="1"/>
                <c:pt idx="0">
                  <c:v>14</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Compare!$K$57:$L$57</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Compare!$O$58</c:f>
              <c:numCache>
                <c:formatCode>0.0</c:formatCode>
                <c:ptCount val="1"/>
                <c:pt idx="0">
                  <c:v>42.6</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Compare!$P$58</c:f>
              <c:numCache>
                <c:formatCode>0.0</c:formatCode>
                <c:ptCount val="1"/>
                <c:pt idx="0">
                  <c:v>60.4</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Compare!$K$58:$L$58</c:f>
              <c:numCache>
                <c:formatCode>General</c:formatCode>
                <c:ptCount val="2"/>
                <c:pt idx="0">
                  <c:v>16.5</c:v>
                </c:pt>
                <c:pt idx="1">
                  <c:v>92.9</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465214314749854E-2"/>
          <c:y val="0"/>
          <c:w val="0.94873167622689614"/>
          <c:h val="1"/>
        </c:manualLayout>
      </c:layout>
      <c:scatterChart>
        <c:scatterStyle val="lineMarker"/>
        <c:varyColors val="0"/>
        <c:ser>
          <c:idx val="0"/>
          <c:order val="0"/>
          <c:tx>
            <c:v>x_axis_values</c:v>
          </c:tx>
          <c:spPr>
            <a:ln w="28575">
              <a:noFill/>
            </a:ln>
          </c:spPr>
          <c:marker>
            <c:symbol val="circle"/>
            <c:size val="6"/>
            <c:spPr>
              <a:solidFill>
                <a:sysClr val="windowText" lastClr="000000">
                  <a:alpha val="19000"/>
                </a:sysClr>
              </a:solidFill>
              <a:ln>
                <a:noFill/>
              </a:ln>
            </c:spPr>
          </c:marker>
          <c:xVal>
            <c:numRef>
              <c:f>iScatter!$V$95:$V$144</c:f>
              <c:numCache>
                <c:formatCode>General</c:formatCode>
                <c:ptCount val="50"/>
                <c:pt idx="0">
                  <c:v>65.900000000000006</c:v>
                </c:pt>
                <c:pt idx="1">
                  <c:v>54.3</c:v>
                </c:pt>
                <c:pt idx="2">
                  <c:v>86.8</c:v>
                </c:pt>
                <c:pt idx="3">
                  <c:v>75.7</c:v>
                </c:pt>
                <c:pt idx="4">
                  <c:v>72.8</c:v>
                </c:pt>
                <c:pt idx="5">
                  <c:v>54.3</c:v>
                </c:pt>
                <c:pt idx="6">
                  <c:v>89.6</c:v>
                </c:pt>
                <c:pt idx="7">
                  <c:v>68.900000000000006</c:v>
                </c:pt>
                <c:pt idx="8">
                  <c:v>85.6</c:v>
                </c:pt>
                <c:pt idx="9">
                  <c:v>40.9</c:v>
                </c:pt>
                <c:pt idx="10">
                  <c:v>51.9</c:v>
                </c:pt>
                <c:pt idx="11">
                  <c:v>44.2</c:v>
                </c:pt>
                <c:pt idx="12">
                  <c:v>39.5</c:v>
                </c:pt>
                <c:pt idx="13">
                  <c:v>74.3</c:v>
                </c:pt>
                <c:pt idx="14">
                  <c:v>86.4</c:v>
                </c:pt>
                <c:pt idx="15">
                  <c:v>77</c:v>
                </c:pt>
                <c:pt idx="16">
                  <c:v>84.3</c:v>
                </c:pt>
                <c:pt idx="17">
                  <c:v>80.599999999999994</c:v>
                </c:pt>
                <c:pt idx="18">
                  <c:v>77.8</c:v>
                </c:pt>
                <c:pt idx="19">
                  <c:v>80.099999999999994</c:v>
                </c:pt>
                <c:pt idx="20">
                  <c:v>56.4</c:v>
                </c:pt>
                <c:pt idx="21">
                  <c:v>41.3</c:v>
                </c:pt>
                <c:pt idx="22">
                  <c:v>34.200000000000003</c:v>
                </c:pt>
                <c:pt idx="23">
                  <c:v>49.5</c:v>
                </c:pt>
                <c:pt idx="24">
                  <c:v>73.3</c:v>
                </c:pt>
                <c:pt idx="25">
                  <c:v>86.9</c:v>
                </c:pt>
                <c:pt idx="26">
                  <c:v>81.900000000000006</c:v>
                </c:pt>
                <c:pt idx="27">
                  <c:v>58</c:v>
                </c:pt>
                <c:pt idx="28">
                  <c:v>87.9</c:v>
                </c:pt>
                <c:pt idx="29">
                  <c:v>79.8</c:v>
                </c:pt>
                <c:pt idx="30">
                  <c:v>75.7</c:v>
                </c:pt>
                <c:pt idx="31">
                  <c:v>34.200000000000003</c:v>
                </c:pt>
                <c:pt idx="32">
                  <c:v>55.6</c:v>
                </c:pt>
                <c:pt idx="33">
                  <c:v>86.8</c:v>
                </c:pt>
                <c:pt idx="34">
                  <c:v>84.2</c:v>
                </c:pt>
                <c:pt idx="35">
                  <c:v>84</c:v>
                </c:pt>
                <c:pt idx="36">
                  <c:v>58.5</c:v>
                </c:pt>
                <c:pt idx="37">
                  <c:v>61</c:v>
                </c:pt>
                <c:pt idx="38">
                  <c:v>82.8</c:v>
                </c:pt>
                <c:pt idx="39">
                  <c:v>86.8</c:v>
                </c:pt>
                <c:pt idx="40">
                  <c:v>70.099999999999994</c:v>
                </c:pt>
                <c:pt idx="41">
                  <c:v>82.8</c:v>
                </c:pt>
                <c:pt idx="42">
                  <c:v>54.3</c:v>
                </c:pt>
                <c:pt idx="43">
                  <c:v>86.2</c:v>
                </c:pt>
                <c:pt idx="44">
                  <c:v>87.9</c:v>
                </c:pt>
                <c:pt idx="45">
                  <c:v>84.2</c:v>
                </c:pt>
                <c:pt idx="46">
                  <c:v>89.9</c:v>
                </c:pt>
                <c:pt idx="47">
                  <c:v>87.3</c:v>
                </c:pt>
                <c:pt idx="48">
                  <c:v>54.3</c:v>
                </c:pt>
                <c:pt idx="49">
                  <c:v>51.1</c:v>
                </c:pt>
              </c:numCache>
            </c:numRef>
          </c:xVal>
          <c:yVal>
            <c:numRef>
              <c:f>iScatter!$F$95:$F$144</c:f>
              <c:numCache>
                <c:formatCode>General</c:formatCode>
                <c:ptCount val="5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numCache>
            </c:numRef>
          </c:yVal>
          <c:smooth val="0"/>
          <c:extLst>
            <c:ext xmlns:c16="http://schemas.microsoft.com/office/drawing/2014/chart" uri="{C3380CC4-5D6E-409C-BE32-E72D297353CC}">
              <c16:uniqueId val="{00000000-7F5B-4872-B846-20F3046C528E}"/>
            </c:ext>
          </c:extLst>
        </c:ser>
        <c:ser>
          <c:idx val="2"/>
          <c:order val="1"/>
          <c:tx>
            <c:v>Active_Entity_Dot</c:v>
          </c:tx>
          <c:spPr>
            <a:ln w="28575">
              <a:noFill/>
            </a:ln>
          </c:spPr>
          <c:marker>
            <c:symbol val="circle"/>
            <c:size val="8"/>
            <c:spPr>
              <a:solidFill>
                <a:schemeClr val="accent6">
                  <a:lumMod val="75000"/>
                </a:schemeClr>
              </a:solidFill>
              <a:ln>
                <a:noFill/>
              </a:ln>
            </c:spPr>
          </c:marker>
          <c:xVal>
            <c:numRef>
              <c:f>iScatter!$B$83</c:f>
              <c:numCache>
                <c:formatCode>General</c:formatCode>
                <c:ptCount val="1"/>
                <c:pt idx="0">
                  <c:v>#N/A</c:v>
                </c:pt>
              </c:numCache>
            </c:numRef>
          </c:xVal>
          <c:yVal>
            <c:numLit>
              <c:formatCode>General</c:formatCode>
              <c:ptCount val="1"/>
              <c:pt idx="0">
                <c:v>2</c:v>
              </c:pt>
            </c:numLit>
          </c:yVal>
          <c:smooth val="0"/>
          <c:extLst>
            <c:ext xmlns:c16="http://schemas.microsoft.com/office/drawing/2014/chart" uri="{C3380CC4-5D6E-409C-BE32-E72D297353CC}">
              <c16:uniqueId val="{00000001-7F5B-4872-B846-20F3046C528E}"/>
            </c:ext>
          </c:extLst>
        </c:ser>
        <c:ser>
          <c:idx val="1"/>
          <c:order val="2"/>
          <c:tx>
            <c:v>invisi_axis_helper</c:v>
          </c:tx>
          <c:spPr>
            <a:ln w="28575">
              <a:noFill/>
            </a:ln>
          </c:spPr>
          <c:marker>
            <c:symbol val="none"/>
          </c:marker>
          <c:xVal>
            <c:numRef>
              <c:f>iScatter!$B$79:$C$79</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3D41-4BD0-96FA-209EE5DD12F9}"/>
            </c:ext>
          </c:extLst>
        </c:ser>
        <c:dLbls>
          <c:showLegendKey val="0"/>
          <c:showVal val="0"/>
          <c:showCatName val="0"/>
          <c:showSerName val="0"/>
          <c:showPercent val="0"/>
          <c:showBubbleSize val="0"/>
        </c:dLbls>
        <c:axId val="196708224"/>
        <c:axId val="196709760"/>
      </c:scatterChart>
      <c:valAx>
        <c:axId val="196708224"/>
        <c:scaling>
          <c:orientation val="minMax"/>
          <c:max val="100"/>
          <c:min val="0"/>
        </c:scaling>
        <c:delete val="0"/>
        <c:axPos val="b"/>
        <c:numFmt formatCode="General" sourceLinked="1"/>
        <c:majorTickMark val="out"/>
        <c:minorTickMark val="none"/>
        <c:tickLblPos val="nextTo"/>
        <c:spPr>
          <a:ln w="19050">
            <a:noFill/>
          </a:ln>
        </c:spPr>
        <c:crossAx val="196709760"/>
        <c:crosses val="autoZero"/>
        <c:crossBetween val="midCat"/>
      </c:valAx>
      <c:valAx>
        <c:axId val="196709760"/>
        <c:scaling>
          <c:orientation val="minMax"/>
        </c:scaling>
        <c:delete val="0"/>
        <c:axPos val="l"/>
        <c:numFmt formatCode="General" sourceLinked="1"/>
        <c:majorTickMark val="none"/>
        <c:minorTickMark val="none"/>
        <c:tickLblPos val="none"/>
        <c:spPr>
          <a:noFill/>
          <a:ln w="19050" cap="flat" cmpd="sng" algn="ctr">
            <a:noFill/>
            <a:prstDash val="solid"/>
            <a:round/>
          </a:ln>
          <a:effectLst/>
          <a:extLst>
            <a:ext uri="{91240B29-F687-4F45-9708-019B960494DF}">
              <a14:hiddenLine xmlns:a14="http://schemas.microsoft.com/office/drawing/2010/main" w="19050" cap="flat" cmpd="sng" algn="ctr">
                <a:solidFill>
                  <a:srgbClr val="4F81BD"/>
                </a:solidFill>
                <a:prstDash val="solid"/>
                <a:round/>
              </a14:hiddenLine>
            </a:ext>
          </a:extLst>
        </c:spPr>
        <c:crossAx val="196708224"/>
        <c:crosses val="autoZero"/>
        <c:crossBetween val="midCat"/>
      </c:valAx>
      <c:spPr>
        <a:solidFill>
          <a:schemeClr val="bg1">
            <a:lumMod val="95000"/>
          </a:schemeClr>
        </a:solidFill>
        <a:ln w="25400">
          <a:noFill/>
        </a:ln>
      </c:spPr>
    </c:plotArea>
    <c:plotVisOnly val="0"/>
    <c:dispBlanksAs val="gap"/>
    <c:showDLblsOverMax val="0"/>
  </c:chart>
  <c:spPr>
    <a:noFill/>
    <a:ln>
      <a:noFill/>
    </a:ln>
  </c:spPr>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Compare!$O$59</c:f>
              <c:numCache>
                <c:formatCode>0.0</c:formatCode>
                <c:ptCount val="1"/>
                <c:pt idx="0">
                  <c:v>85.1</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Compare!$P$59</c:f>
              <c:numCache>
                <c:formatCode>0.0</c:formatCode>
                <c:ptCount val="1"/>
                <c:pt idx="0">
                  <c:v>68.7</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Compare!$K$59:$L$59</c:f>
              <c:numCache>
                <c:formatCode>General</c:formatCode>
                <c:ptCount val="2"/>
                <c:pt idx="0">
                  <c:v>33</c:v>
                </c:pt>
                <c:pt idx="1">
                  <c:v>89.5</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Compare!$O$60</c:f>
              <c:numCache>
                <c:formatCode>0.0</c:formatCode>
                <c:ptCount val="1"/>
                <c:pt idx="0">
                  <c:v>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Compare!$P$60</c:f>
              <c:numCache>
                <c:formatCode>0.0</c:formatCode>
                <c:ptCount val="1"/>
                <c:pt idx="0">
                  <c:v>52</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Compare!$K$60:$L$60</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Compare!$O$61</c:f>
              <c:numCache>
                <c:formatCode>0.0</c:formatCode>
                <c:ptCount val="1"/>
                <c:pt idx="0">
                  <c:v>61.3</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Compare!$P$61</c:f>
              <c:numCache>
                <c:formatCode>0.0</c:formatCode>
                <c:ptCount val="1"/>
                <c:pt idx="0">
                  <c:v>63</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Compare!$K$61:$L$61</c:f>
              <c:numCache>
                <c:formatCode>General</c:formatCode>
                <c:ptCount val="2"/>
                <c:pt idx="0">
                  <c:v>29.8</c:v>
                </c:pt>
                <c:pt idx="1">
                  <c:v>86.7</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Compare!$O$62</c:f>
              <c:numCache>
                <c:formatCode>0.0</c:formatCode>
                <c:ptCount val="1"/>
                <c:pt idx="0">
                  <c:v>72.599999999999994</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Compare!$P$62</c:f>
              <c:numCache>
                <c:formatCode>0.0</c:formatCode>
                <c:ptCount val="1"/>
                <c:pt idx="0">
                  <c:v>66.900000000000006</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Compare!$K$62:$L$62</c:f>
              <c:numCache>
                <c:formatCode>General</c:formatCode>
                <c:ptCount val="2"/>
                <c:pt idx="0">
                  <c:v>51.7</c:v>
                </c:pt>
                <c:pt idx="1">
                  <c:v>77.900000000000006</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Compare!$O$63</c:f>
              <c:numCache>
                <c:formatCode>0.0</c:formatCode>
                <c:ptCount val="1"/>
                <c:pt idx="0">
                  <c:v>50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Compare!$P$63</c:f>
              <c:numCache>
                <c:formatCode>0.0</c:formatCode>
                <c:ptCount val="1"/>
                <c:pt idx="0">
                  <c:v>59</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Compare!$K$63:$L$63</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Compare!$O$64</c:f>
              <c:numCache>
                <c:formatCode>0.0</c:formatCode>
                <c:ptCount val="1"/>
                <c:pt idx="0">
                  <c:v>46.7</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Compare!$P$64</c:f>
              <c:numCache>
                <c:formatCode>0.0</c:formatCode>
                <c:ptCount val="1"/>
                <c:pt idx="0">
                  <c:v>78.900000000000006</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Compare!$K$64:$L$64</c:f>
              <c:numCache>
                <c:formatCode>General</c:formatCode>
                <c:ptCount val="2"/>
                <c:pt idx="0">
                  <c:v>41</c:v>
                </c:pt>
                <c:pt idx="1">
                  <c:v>98.9</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Compare!$O$65</c:f>
              <c:numCache>
                <c:formatCode>0.0</c:formatCode>
                <c:ptCount val="1"/>
                <c:pt idx="0">
                  <c:v>93.3</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Compare!$P$65</c:f>
              <c:numCache>
                <c:formatCode>0.0</c:formatCode>
                <c:ptCount val="1"/>
                <c:pt idx="0">
                  <c:v>93.8</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Compare!$K$65:$L$65</c:f>
              <c:numCache>
                <c:formatCode>General</c:formatCode>
                <c:ptCount val="2"/>
                <c:pt idx="0">
                  <c:v>67.8</c:v>
                </c:pt>
                <c:pt idx="1">
                  <c:v>98.3</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Compare!$O$66</c:f>
              <c:numCache>
                <c:formatCode>0.0</c:formatCode>
                <c:ptCount val="1"/>
                <c:pt idx="0">
                  <c:v>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Compare!$P$66</c:f>
              <c:numCache>
                <c:formatCode>0.0</c:formatCode>
                <c:ptCount val="1"/>
                <c:pt idx="0">
                  <c:v>64</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Compare!$K$66:$L$66</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Compare!$O$67</c:f>
              <c:numCache>
                <c:formatCode>0.0</c:formatCode>
                <c:ptCount val="1"/>
                <c:pt idx="0">
                  <c:v>94.6</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Compare!$P$67</c:f>
              <c:numCache>
                <c:formatCode>0.0</c:formatCode>
                <c:ptCount val="1"/>
                <c:pt idx="0">
                  <c:v>62.9</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Compare!$K$67:$L$67</c:f>
              <c:numCache>
                <c:formatCode>General</c:formatCode>
                <c:ptCount val="2"/>
                <c:pt idx="0">
                  <c:v>13.3</c:v>
                </c:pt>
                <c:pt idx="1">
                  <c:v>94.6</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Compare!$O$68</c:f>
              <c:numCache>
                <c:formatCode>0.0</c:formatCode>
                <c:ptCount val="1"/>
                <c:pt idx="0">
                  <c:v>89.1</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Compare!$P$68</c:f>
              <c:numCache>
                <c:formatCode>0.0</c:formatCode>
                <c:ptCount val="1"/>
                <c:pt idx="0">
                  <c:v>51.7</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Compare!$K$68:$L$68</c:f>
              <c:numCache>
                <c:formatCode>General</c:formatCode>
                <c:ptCount val="2"/>
                <c:pt idx="0">
                  <c:v>22.3</c:v>
                </c:pt>
                <c:pt idx="1">
                  <c:v>89.1</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Compare!$O$14</c:f>
              <c:numCache>
                <c:formatCode>General</c:formatCode>
                <c:ptCount val="1"/>
                <c:pt idx="0">
                  <c:v>41.4</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Compare!$P$14</c:f>
              <c:numCache>
                <c:formatCode>General</c:formatCode>
                <c:ptCount val="1"/>
                <c:pt idx="0">
                  <c:v>51.5</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Compare!$K$14:$L$14</c:f>
              <c:numCache>
                <c:formatCode>General</c:formatCode>
                <c:ptCount val="2"/>
                <c:pt idx="0">
                  <c:v>28.6</c:v>
                </c:pt>
                <c:pt idx="1">
                  <c:v>71.7</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Compare!$O$69</c:f>
              <c:numCache>
                <c:formatCode>0.0</c:formatCode>
                <c:ptCount val="1"/>
                <c:pt idx="0">
                  <c:v>100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Compare!$P$69</c:f>
              <c:numCache>
                <c:formatCode>0.0</c:formatCode>
                <c:ptCount val="1"/>
                <c:pt idx="0">
                  <c:v>74</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Compare!$K$69:$L$69</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Compare!$O$70</c:f>
              <c:numCache>
                <c:formatCode>0.0</c:formatCode>
                <c:ptCount val="1"/>
                <c:pt idx="0">
                  <c:v>30.5</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Compare!$P$70</c:f>
              <c:numCache>
                <c:formatCode>0.0</c:formatCode>
                <c:ptCount val="1"/>
                <c:pt idx="0">
                  <c:v>31.8</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Compare!$K$70:$L$70</c:f>
              <c:numCache>
                <c:formatCode>General</c:formatCode>
                <c:ptCount val="2"/>
                <c:pt idx="0">
                  <c:v>15.9</c:v>
                </c:pt>
                <c:pt idx="1">
                  <c:v>75.7</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Compare!$O$71</c:f>
              <c:numCache>
                <c:formatCode>0.0</c:formatCode>
                <c:ptCount val="1"/>
                <c:pt idx="0">
                  <c:v>61</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Compare!$P$71</c:f>
              <c:numCache>
                <c:formatCode>0.0</c:formatCode>
                <c:ptCount val="1"/>
                <c:pt idx="0">
                  <c:v>41.5</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Compare!$K$71:$L$71</c:f>
              <c:numCache>
                <c:formatCode>General</c:formatCode>
                <c:ptCount val="2"/>
                <c:pt idx="0">
                  <c:v>28.8</c:v>
                </c:pt>
                <c:pt idx="1">
                  <c:v>61</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Compare!$O$72</c:f>
              <c:numCache>
                <c:formatCode>0.0</c:formatCode>
                <c:ptCount val="1"/>
                <c:pt idx="0">
                  <c:v>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Compare!$P$72</c:f>
              <c:numCache>
                <c:formatCode>0.0</c:formatCode>
                <c:ptCount val="1"/>
                <c:pt idx="0">
                  <c:v>22</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Compare!$K$72:$L$72</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Compare!$O$74</c:f>
              <c:numCache>
                <c:formatCode>0.0</c:formatCode>
                <c:ptCount val="1"/>
                <c:pt idx="0">
                  <c:v>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Compare!$P$74</c:f>
              <c:numCache>
                <c:formatCode>0.0</c:formatCode>
                <c:ptCount val="1"/>
                <c:pt idx="0">
                  <c:v>89</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Compare!$K$74:$L$74</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Compare!$O$75</c:f>
              <c:numCache>
                <c:formatCode>0.0</c:formatCode>
                <c:ptCount val="1"/>
                <c:pt idx="0">
                  <c:v>34</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Compare!$P$75</c:f>
              <c:numCache>
                <c:formatCode>0.0</c:formatCode>
                <c:ptCount val="1"/>
                <c:pt idx="0">
                  <c:v>56.9</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Compare!$K$75:$L$75</c:f>
              <c:numCache>
                <c:formatCode>General</c:formatCode>
                <c:ptCount val="2"/>
                <c:pt idx="0">
                  <c:v>33</c:v>
                </c:pt>
                <c:pt idx="1">
                  <c:v>80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Compare!$O$76</c:f>
              <c:numCache>
                <c:formatCode>0.0</c:formatCode>
                <c:ptCount val="1"/>
                <c:pt idx="0">
                  <c:v>42.4</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Compare!$P$76</c:f>
              <c:numCache>
                <c:formatCode>0.0</c:formatCode>
                <c:ptCount val="1"/>
                <c:pt idx="0">
                  <c:v>59</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Compare!$K$76:$L$76</c:f>
              <c:numCache>
                <c:formatCode>General</c:formatCode>
                <c:ptCount val="2"/>
                <c:pt idx="0">
                  <c:v>26.3</c:v>
                </c:pt>
                <c:pt idx="1">
                  <c:v>87.5</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Compare!$O$77</c:f>
              <c:numCache>
                <c:formatCode>0.0</c:formatCode>
                <c:ptCount val="1"/>
                <c:pt idx="0">
                  <c:v>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Compare!$P$77</c:f>
              <c:numCache>
                <c:formatCode>0.0</c:formatCode>
                <c:ptCount val="1"/>
                <c:pt idx="0">
                  <c:v>52</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Compare!$K$77:$L$77</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Compare!$O$79</c:f>
              <c:numCache>
                <c:formatCode>0.0</c:formatCode>
                <c:ptCount val="1"/>
                <c:pt idx="0">
                  <c:v>100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Compare!$P$79</c:f>
              <c:numCache>
                <c:formatCode>0.0</c:formatCode>
                <c:ptCount val="1"/>
                <c:pt idx="0">
                  <c:v>52</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Compare!$K$79:$L$79</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Compare!$O$80</c:f>
              <c:numCache>
                <c:formatCode>0.0</c:formatCode>
                <c:ptCount val="1"/>
                <c:pt idx="0">
                  <c:v>100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Compare!$P$80</c:f>
              <c:numCache>
                <c:formatCode>0.0</c:formatCode>
                <c:ptCount val="1"/>
                <c:pt idx="0">
                  <c:v>88.7</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Compare!$K$80:$L$80</c:f>
              <c:numCache>
                <c:formatCode>General</c:formatCode>
                <c:ptCount val="2"/>
                <c:pt idx="0">
                  <c:v>33.299999999999997</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Compare!$O$21</c:f>
              <c:numCache>
                <c:formatCode>0.0</c:formatCode>
                <c:ptCount val="1"/>
                <c:pt idx="0">
                  <c:v>49.6</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Compare!$P$21</c:f>
              <c:numCache>
                <c:formatCode>0.0</c:formatCode>
                <c:ptCount val="1"/>
                <c:pt idx="0">
                  <c:v>62.4</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Compare!$K$21:$L$21</c:f>
              <c:numCache>
                <c:formatCode>General</c:formatCode>
                <c:ptCount val="2"/>
                <c:pt idx="0">
                  <c:v>40.6</c:v>
                </c:pt>
                <c:pt idx="1">
                  <c:v>83.2</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Compare!$O$81</c:f>
              <c:numCache>
                <c:formatCode>0.0</c:formatCode>
                <c:ptCount val="1"/>
                <c:pt idx="0">
                  <c:v>66.7</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Compare!$P$81</c:f>
              <c:numCache>
                <c:formatCode>0.0</c:formatCode>
                <c:ptCount val="1"/>
                <c:pt idx="0">
                  <c:v>60.7</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Compare!$K$81:$L$81</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Compare!$O$82</c:f>
              <c:numCache>
                <c:formatCode>0.0</c:formatCode>
                <c:ptCount val="1"/>
                <c:pt idx="0">
                  <c:v>33.299999999999997</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Compare!$P$82</c:f>
              <c:numCache>
                <c:formatCode>0.0</c:formatCode>
                <c:ptCount val="1"/>
                <c:pt idx="0">
                  <c:v>55.3</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Compare!$K$82:$L$82</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Compare!$O$83</c:f>
              <c:numCache>
                <c:formatCode>0.0</c:formatCode>
                <c:ptCount val="1"/>
                <c:pt idx="0">
                  <c:v>100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Compare!$P$83</c:f>
              <c:numCache>
                <c:formatCode>0.0</c:formatCode>
                <c:ptCount val="1"/>
                <c:pt idx="0">
                  <c:v>66</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Compare!$K$83:$L$83</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Compare!$O$84</c:f>
              <c:numCache>
                <c:formatCode>0.0</c:formatCode>
                <c:ptCount val="1"/>
                <c:pt idx="0">
                  <c:v>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Compare!$P$84</c:f>
              <c:numCache>
                <c:formatCode>0.0</c:formatCode>
                <c:ptCount val="1"/>
                <c:pt idx="0">
                  <c:v>55</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Compare!$K$84:$L$84</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Compare!$O$85</c:f>
              <c:numCache>
                <c:formatCode>0.0</c:formatCode>
                <c:ptCount val="1"/>
                <c:pt idx="0">
                  <c:v>100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Compare!$P$85</c:f>
              <c:numCache>
                <c:formatCode>0.0</c:formatCode>
                <c:ptCount val="1"/>
                <c:pt idx="0">
                  <c:v>78</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Compare!$K$85:$L$85</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Compare!$O$86</c:f>
              <c:numCache>
                <c:formatCode>0.0</c:formatCode>
                <c:ptCount val="1"/>
                <c:pt idx="0">
                  <c:v>100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Compare!$P$86</c:f>
              <c:numCache>
                <c:formatCode>0.0</c:formatCode>
                <c:ptCount val="1"/>
                <c:pt idx="0">
                  <c:v>95</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Compare!$K$86:$L$86</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Compare!$O$87</c:f>
              <c:numCache>
                <c:formatCode>0.0</c:formatCode>
                <c:ptCount val="1"/>
                <c:pt idx="0">
                  <c:v>75</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Compare!$P$87</c:f>
              <c:numCache>
                <c:formatCode>0.0</c:formatCode>
                <c:ptCount val="1"/>
                <c:pt idx="0">
                  <c:v>67</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Compare!$K$87:$L$87</c:f>
              <c:numCache>
                <c:formatCode>General</c:formatCode>
                <c:ptCount val="2"/>
                <c:pt idx="0">
                  <c:v>25</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Compare!$O$88</c:f>
              <c:numCache>
                <c:formatCode>0.0</c:formatCode>
                <c:ptCount val="1"/>
                <c:pt idx="0">
                  <c:v>66.7</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Compare!$P$88</c:f>
              <c:numCache>
                <c:formatCode>0.0</c:formatCode>
                <c:ptCount val="1"/>
                <c:pt idx="0">
                  <c:v>82.7</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Compare!$K$88:$L$88</c:f>
              <c:numCache>
                <c:formatCode>General</c:formatCode>
                <c:ptCount val="2"/>
                <c:pt idx="0">
                  <c:v>33.299999999999997</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Compare!$O$89</c:f>
              <c:numCache>
                <c:formatCode>0.0</c:formatCode>
                <c:ptCount val="1"/>
                <c:pt idx="0">
                  <c:v>0</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Compare!$P$89</c:f>
              <c:numCache>
                <c:formatCode>0.0</c:formatCode>
                <c:ptCount val="1"/>
                <c:pt idx="0">
                  <c:v>41</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Compare!$K$89:$L$89</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iCountry!$C$4</c:f>
              <c:strCache>
                <c:ptCount val="1"/>
                <c:pt idx="0">
                  <c:v>Addis Ababa</c:v>
                </c:pt>
              </c:strCache>
            </c:strRef>
          </c:tx>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D-CE08-489E-8DC8-00DA4721E0CC}"/>
              </c:ext>
            </c:extLst>
          </c:dPt>
          <c:dPt>
            <c:idx val="1"/>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3-76A1-46B9-9178-B47BE0729E83}"/>
              </c:ext>
            </c:extLst>
          </c:dPt>
          <c:dPt>
            <c:idx val="2"/>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4-76A1-46B9-9178-B47BE0729E83}"/>
              </c:ext>
            </c:extLst>
          </c:dPt>
          <c:dPt>
            <c:idx val="3"/>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5-76A1-46B9-9178-B47BE0729E83}"/>
              </c:ext>
            </c:extLst>
          </c:dPt>
          <c:cat>
            <c:strRef>
              <c:f>iCountry!$J$13:$J$16</c:f>
              <c:strCache>
                <c:ptCount val="4"/>
                <c:pt idx="0">
                  <c:v>OVERALL</c:v>
                </c:pt>
                <c:pt idx="1">
                  <c:v>SOCIAL DETERMINANTS</c:v>
                </c:pt>
                <c:pt idx="2">
                  <c:v>PHYSICAL ENVIRONMENT</c:v>
                </c:pt>
                <c:pt idx="3">
                  <c:v>HEALTH RISKS</c:v>
                </c:pt>
              </c:strCache>
            </c:strRef>
          </c:cat>
          <c:val>
            <c:numRef>
              <c:f>iCountry!$K$13:$K$16</c:f>
              <c:numCache>
                <c:formatCode>General</c:formatCode>
                <c:ptCount val="4"/>
                <c:pt idx="0">
                  <c:v>49.6</c:v>
                </c:pt>
                <c:pt idx="1">
                  <c:v>65.900000000000006</c:v>
                </c:pt>
                <c:pt idx="2">
                  <c:v>29</c:v>
                </c:pt>
                <c:pt idx="3">
                  <c:v>47.2</c:v>
                </c:pt>
              </c:numCache>
            </c:numRef>
          </c:val>
          <c:extLst>
            <c:ext xmlns:c16="http://schemas.microsoft.com/office/drawing/2014/chart" uri="{C3380CC4-5D6E-409C-BE32-E72D297353CC}">
              <c16:uniqueId val="{00000000-76A1-46B9-9178-B47BE0729E83}"/>
            </c:ext>
          </c:extLst>
        </c:ser>
        <c:ser>
          <c:idx val="1"/>
          <c:order val="1"/>
          <c:tx>
            <c:strRef>
              <c:f>iCountry!$C$10</c:f>
              <c:strCache>
                <c:ptCount val="1"/>
                <c:pt idx="0">
                  <c:v>All cities (average)</c:v>
                </c:pt>
              </c:strCache>
            </c:strRef>
          </c:tx>
          <c:spPr>
            <a:solidFill>
              <a:schemeClr val="bg1">
                <a:lumMod val="65000"/>
              </a:schemeClr>
            </a:solidFill>
            <a:ln>
              <a:noFill/>
            </a:ln>
            <a:effectLst/>
          </c:spPr>
          <c:invertIfNegative val="0"/>
          <c:dPt>
            <c:idx val="1"/>
            <c:invertIfNegative val="0"/>
            <c:bubble3D val="0"/>
            <c:spPr>
              <a:solidFill>
                <a:schemeClr val="bg1">
                  <a:lumMod val="75000"/>
                </a:schemeClr>
              </a:solidFill>
              <a:ln>
                <a:noFill/>
              </a:ln>
              <a:effectLst/>
            </c:spPr>
            <c:extLst>
              <c:ext xmlns:c16="http://schemas.microsoft.com/office/drawing/2014/chart" uri="{C3380CC4-5D6E-409C-BE32-E72D297353CC}">
                <c16:uniqueId val="{00000006-76A1-46B9-9178-B47BE0729E83}"/>
              </c:ext>
            </c:extLst>
          </c:dPt>
          <c:dPt>
            <c:idx val="2"/>
            <c:invertIfNegative val="0"/>
            <c:bubble3D val="0"/>
            <c:spPr>
              <a:solidFill>
                <a:schemeClr val="bg1">
                  <a:lumMod val="75000"/>
                </a:schemeClr>
              </a:solidFill>
              <a:ln>
                <a:noFill/>
              </a:ln>
              <a:effectLst/>
            </c:spPr>
            <c:extLst>
              <c:ext xmlns:c16="http://schemas.microsoft.com/office/drawing/2014/chart" uri="{C3380CC4-5D6E-409C-BE32-E72D297353CC}">
                <c16:uniqueId val="{00000007-76A1-46B9-9178-B47BE0729E83}"/>
              </c:ext>
            </c:extLst>
          </c:dPt>
          <c:dPt>
            <c:idx val="3"/>
            <c:invertIfNegative val="0"/>
            <c:bubble3D val="0"/>
            <c:spPr>
              <a:solidFill>
                <a:schemeClr val="bg1">
                  <a:lumMod val="75000"/>
                </a:schemeClr>
              </a:solidFill>
              <a:ln>
                <a:noFill/>
              </a:ln>
              <a:effectLst/>
            </c:spPr>
            <c:extLst>
              <c:ext xmlns:c16="http://schemas.microsoft.com/office/drawing/2014/chart" uri="{C3380CC4-5D6E-409C-BE32-E72D297353CC}">
                <c16:uniqueId val="{00000008-76A1-46B9-9178-B47BE0729E83}"/>
              </c:ext>
            </c:extLst>
          </c:dPt>
          <c:val>
            <c:numRef>
              <c:f>iCountry!$E$13:$E$16</c:f>
              <c:numCache>
                <c:formatCode>General</c:formatCode>
                <c:ptCount val="4"/>
                <c:pt idx="0">
                  <c:v>62.4</c:v>
                </c:pt>
                <c:pt idx="1">
                  <c:v>70</c:v>
                </c:pt>
                <c:pt idx="2">
                  <c:v>48.8</c:v>
                </c:pt>
                <c:pt idx="3">
                  <c:v>57.9</c:v>
                </c:pt>
              </c:numCache>
            </c:numRef>
          </c:val>
          <c:extLst>
            <c:ext xmlns:c16="http://schemas.microsoft.com/office/drawing/2014/chart" uri="{C3380CC4-5D6E-409C-BE32-E72D297353CC}">
              <c16:uniqueId val="{00000002-76A1-46B9-9178-B47BE0729E83}"/>
            </c:ext>
          </c:extLst>
        </c:ser>
        <c:dLbls>
          <c:showLegendKey val="0"/>
          <c:showVal val="0"/>
          <c:showCatName val="0"/>
          <c:showSerName val="0"/>
          <c:showPercent val="0"/>
          <c:showBubbleSize val="0"/>
        </c:dLbls>
        <c:gapWidth val="120"/>
        <c:overlap val="-16"/>
        <c:axId val="785777800"/>
        <c:axId val="785779400"/>
      </c:barChart>
      <c:catAx>
        <c:axId val="785777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5779400"/>
        <c:crosses val="autoZero"/>
        <c:auto val="1"/>
        <c:lblAlgn val="ctr"/>
        <c:lblOffset val="100"/>
        <c:noMultiLvlLbl val="0"/>
      </c:catAx>
      <c:valAx>
        <c:axId val="785779400"/>
        <c:scaling>
          <c:orientation val="minMax"/>
          <c:max val="100"/>
        </c:scaling>
        <c:delete val="0"/>
        <c:axPos val="l"/>
        <c:majorGridlines>
          <c:spPr>
            <a:ln w="9525" cap="flat" cmpd="sng" algn="ctr">
              <a:solidFill>
                <a:schemeClr val="bg1">
                  <a:lumMod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57778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Compare!$O$22</c:f>
              <c:numCache>
                <c:formatCode>0.0</c:formatCode>
                <c:ptCount val="1"/>
                <c:pt idx="0">
                  <c:v>65.900000000000006</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Compare!$P$22</c:f>
              <c:numCache>
                <c:formatCode>0.0</c:formatCode>
                <c:ptCount val="1"/>
                <c:pt idx="0">
                  <c:v>70</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Compare!$K$22:$L$22</c:f>
              <c:numCache>
                <c:formatCode>General</c:formatCode>
                <c:ptCount val="2"/>
                <c:pt idx="0">
                  <c:v>34.200000000000003</c:v>
                </c:pt>
                <c:pt idx="1">
                  <c:v>89.9</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iCountry!$C$4</c:f>
              <c:strCache>
                <c:ptCount val="1"/>
                <c:pt idx="0">
                  <c:v>Addis Ababa</c:v>
                </c:pt>
              </c:strCache>
            </c:strRef>
          </c:tx>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5-D906-4F37-89BA-415A55FF3BEF}"/>
              </c:ext>
            </c:extLst>
          </c:dPt>
          <c:dPt>
            <c:idx val="1"/>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1-24EF-40CE-9FD8-756E721717E2}"/>
              </c:ext>
            </c:extLst>
          </c:dPt>
          <c:dPt>
            <c:idx val="2"/>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3-24EF-40CE-9FD8-756E721717E2}"/>
              </c:ext>
            </c:extLst>
          </c:dPt>
          <c:dPt>
            <c:idx val="3"/>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5-24EF-40CE-9FD8-756E721717E2}"/>
              </c:ext>
            </c:extLst>
          </c:dPt>
          <c:dPt>
            <c:idx val="4"/>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D-D906-4F37-89BA-415A55FF3BEF}"/>
              </c:ext>
            </c:extLst>
          </c:dPt>
          <c:dPt>
            <c:idx val="5"/>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E-D906-4F37-89BA-415A55FF3BEF}"/>
              </c:ext>
            </c:extLst>
          </c:dPt>
          <c:dPt>
            <c:idx val="6"/>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F-D906-4F37-89BA-415A55FF3BEF}"/>
              </c:ext>
            </c:extLst>
          </c:dPt>
          <c:cat>
            <c:strRef>
              <c:f>iCountry!$J$13:$J$19</c:f>
              <c:strCache>
                <c:ptCount val="6"/>
                <c:pt idx="0">
                  <c:v>OVERALL</c:v>
                </c:pt>
                <c:pt idx="1">
                  <c:v>SOCIAL DETERMINANTS</c:v>
                </c:pt>
                <c:pt idx="2">
                  <c:v>PHYSICAL ENVIRONMENT</c:v>
                </c:pt>
                <c:pt idx="3">
                  <c:v>HEALTH RISKS</c:v>
                </c:pt>
                <c:pt idx="4">
                  <c:v>HEALTH SERVICES</c:v>
                </c:pt>
                <c:pt idx="5">
                  <c:v>GOVERNANCE</c:v>
                </c:pt>
              </c:strCache>
            </c:strRef>
          </c:cat>
          <c:val>
            <c:numRef>
              <c:f>iCountry!$K$13:$K$19</c:f>
              <c:numCache>
                <c:formatCode>General</c:formatCode>
                <c:ptCount val="7"/>
                <c:pt idx="0">
                  <c:v>49.6</c:v>
                </c:pt>
                <c:pt idx="1">
                  <c:v>65.900000000000006</c:v>
                </c:pt>
                <c:pt idx="2">
                  <c:v>29</c:v>
                </c:pt>
                <c:pt idx="3">
                  <c:v>47.2</c:v>
                </c:pt>
                <c:pt idx="4">
                  <c:v>19.100000000000001</c:v>
                </c:pt>
                <c:pt idx="5">
                  <c:v>67.599999999999994</c:v>
                </c:pt>
                <c:pt idx="6">
                  <c:v>0</c:v>
                </c:pt>
              </c:numCache>
            </c:numRef>
          </c:val>
          <c:extLst>
            <c:ext xmlns:c16="http://schemas.microsoft.com/office/drawing/2014/chart" uri="{C3380CC4-5D6E-409C-BE32-E72D297353CC}">
              <c16:uniqueId val="{00000006-24EF-40CE-9FD8-756E721717E2}"/>
            </c:ext>
          </c:extLst>
        </c:ser>
        <c:ser>
          <c:idx val="1"/>
          <c:order val="1"/>
          <c:tx>
            <c:strRef>
              <c:f>iCountry!$C$10</c:f>
              <c:strCache>
                <c:ptCount val="1"/>
                <c:pt idx="0">
                  <c:v>All cities (average)</c:v>
                </c:pt>
              </c:strCache>
            </c:strRef>
          </c:tx>
          <c:spPr>
            <a:solidFill>
              <a:schemeClr val="bg1">
                <a:lumMod val="50000"/>
              </a:schemeClr>
            </a:solidFill>
            <a:ln>
              <a:noFill/>
            </a:ln>
            <a:effectLst/>
          </c:spPr>
          <c:invertIfNegative val="0"/>
          <c:dPt>
            <c:idx val="0"/>
            <c:invertIfNegative val="0"/>
            <c:bubble3D val="0"/>
            <c:spPr>
              <a:solidFill>
                <a:schemeClr val="bg1">
                  <a:lumMod val="65000"/>
                </a:schemeClr>
              </a:solidFill>
              <a:ln>
                <a:noFill/>
              </a:ln>
              <a:effectLst/>
            </c:spPr>
            <c:extLst>
              <c:ext xmlns:c16="http://schemas.microsoft.com/office/drawing/2014/chart" uri="{C3380CC4-5D6E-409C-BE32-E72D297353CC}">
                <c16:uniqueId val="{00000014-D906-4F37-89BA-415A55FF3BEF}"/>
              </c:ext>
            </c:extLst>
          </c:dPt>
          <c:dPt>
            <c:idx val="1"/>
            <c:invertIfNegative val="0"/>
            <c:bubble3D val="0"/>
            <c:spPr>
              <a:solidFill>
                <a:schemeClr val="bg1">
                  <a:lumMod val="75000"/>
                </a:schemeClr>
              </a:solidFill>
              <a:ln>
                <a:noFill/>
              </a:ln>
              <a:effectLst/>
            </c:spPr>
            <c:extLst>
              <c:ext xmlns:c16="http://schemas.microsoft.com/office/drawing/2014/chart" uri="{C3380CC4-5D6E-409C-BE32-E72D297353CC}">
                <c16:uniqueId val="{00000008-24EF-40CE-9FD8-756E721717E2}"/>
              </c:ext>
            </c:extLst>
          </c:dPt>
          <c:dPt>
            <c:idx val="2"/>
            <c:invertIfNegative val="0"/>
            <c:bubble3D val="0"/>
            <c:spPr>
              <a:solidFill>
                <a:schemeClr val="bg1">
                  <a:lumMod val="75000"/>
                </a:schemeClr>
              </a:solidFill>
              <a:ln>
                <a:noFill/>
              </a:ln>
              <a:effectLst/>
            </c:spPr>
            <c:extLst>
              <c:ext xmlns:c16="http://schemas.microsoft.com/office/drawing/2014/chart" uri="{C3380CC4-5D6E-409C-BE32-E72D297353CC}">
                <c16:uniqueId val="{0000000A-24EF-40CE-9FD8-756E721717E2}"/>
              </c:ext>
            </c:extLst>
          </c:dPt>
          <c:dPt>
            <c:idx val="3"/>
            <c:invertIfNegative val="0"/>
            <c:bubble3D val="0"/>
            <c:spPr>
              <a:solidFill>
                <a:schemeClr val="bg1">
                  <a:lumMod val="75000"/>
                </a:schemeClr>
              </a:solidFill>
              <a:ln>
                <a:noFill/>
              </a:ln>
              <a:effectLst/>
            </c:spPr>
            <c:extLst>
              <c:ext xmlns:c16="http://schemas.microsoft.com/office/drawing/2014/chart" uri="{C3380CC4-5D6E-409C-BE32-E72D297353CC}">
                <c16:uniqueId val="{0000000C-24EF-40CE-9FD8-756E721717E2}"/>
              </c:ext>
            </c:extLst>
          </c:dPt>
          <c:dPt>
            <c:idx val="4"/>
            <c:invertIfNegative val="0"/>
            <c:bubble3D val="0"/>
            <c:spPr>
              <a:solidFill>
                <a:schemeClr val="bg1">
                  <a:lumMod val="75000"/>
                </a:schemeClr>
              </a:solidFill>
              <a:ln>
                <a:noFill/>
              </a:ln>
              <a:effectLst/>
            </c:spPr>
            <c:extLst>
              <c:ext xmlns:c16="http://schemas.microsoft.com/office/drawing/2014/chart" uri="{C3380CC4-5D6E-409C-BE32-E72D297353CC}">
                <c16:uniqueId val="{00000010-D906-4F37-89BA-415A55FF3BEF}"/>
              </c:ext>
            </c:extLst>
          </c:dPt>
          <c:dPt>
            <c:idx val="5"/>
            <c:invertIfNegative val="0"/>
            <c:bubble3D val="0"/>
            <c:spPr>
              <a:solidFill>
                <a:schemeClr val="bg1">
                  <a:lumMod val="75000"/>
                </a:schemeClr>
              </a:solidFill>
              <a:ln>
                <a:noFill/>
              </a:ln>
              <a:effectLst/>
            </c:spPr>
            <c:extLst>
              <c:ext xmlns:c16="http://schemas.microsoft.com/office/drawing/2014/chart" uri="{C3380CC4-5D6E-409C-BE32-E72D297353CC}">
                <c16:uniqueId val="{00000011-D906-4F37-89BA-415A55FF3BEF}"/>
              </c:ext>
            </c:extLst>
          </c:dPt>
          <c:dPt>
            <c:idx val="6"/>
            <c:invertIfNegative val="0"/>
            <c:bubble3D val="0"/>
            <c:spPr>
              <a:solidFill>
                <a:schemeClr val="bg1">
                  <a:lumMod val="75000"/>
                </a:schemeClr>
              </a:solidFill>
              <a:ln>
                <a:noFill/>
              </a:ln>
              <a:effectLst/>
            </c:spPr>
            <c:extLst>
              <c:ext xmlns:c16="http://schemas.microsoft.com/office/drawing/2014/chart" uri="{C3380CC4-5D6E-409C-BE32-E72D297353CC}">
                <c16:uniqueId val="{00000012-D906-4F37-89BA-415A55FF3BEF}"/>
              </c:ext>
            </c:extLst>
          </c:dPt>
          <c:cat>
            <c:strRef>
              <c:f>iCountry!$J$13:$J$19</c:f>
              <c:strCache>
                <c:ptCount val="6"/>
                <c:pt idx="0">
                  <c:v>OVERALL</c:v>
                </c:pt>
                <c:pt idx="1">
                  <c:v>SOCIAL DETERMINANTS</c:v>
                </c:pt>
                <c:pt idx="2">
                  <c:v>PHYSICAL ENVIRONMENT</c:v>
                </c:pt>
                <c:pt idx="3">
                  <c:v>HEALTH RISKS</c:v>
                </c:pt>
                <c:pt idx="4">
                  <c:v>HEALTH SERVICES</c:v>
                </c:pt>
                <c:pt idx="5">
                  <c:v>GOVERNANCE</c:v>
                </c:pt>
              </c:strCache>
            </c:strRef>
          </c:cat>
          <c:val>
            <c:numRef>
              <c:f>iCountry!$E$13:$E$19</c:f>
              <c:numCache>
                <c:formatCode>General</c:formatCode>
                <c:ptCount val="7"/>
                <c:pt idx="0">
                  <c:v>62.4</c:v>
                </c:pt>
                <c:pt idx="1">
                  <c:v>70</c:v>
                </c:pt>
                <c:pt idx="2">
                  <c:v>48.8</c:v>
                </c:pt>
                <c:pt idx="3">
                  <c:v>57.9</c:v>
                </c:pt>
                <c:pt idx="4">
                  <c:v>64.3</c:v>
                </c:pt>
                <c:pt idx="5">
                  <c:v>68.900000000000006</c:v>
                </c:pt>
                <c:pt idx="6">
                  <c:v>0</c:v>
                </c:pt>
              </c:numCache>
            </c:numRef>
          </c:val>
          <c:extLst>
            <c:ext xmlns:c16="http://schemas.microsoft.com/office/drawing/2014/chart" uri="{C3380CC4-5D6E-409C-BE32-E72D297353CC}">
              <c16:uniqueId val="{0000000D-24EF-40CE-9FD8-756E721717E2}"/>
            </c:ext>
          </c:extLst>
        </c:ser>
        <c:dLbls>
          <c:showLegendKey val="0"/>
          <c:showVal val="0"/>
          <c:showCatName val="0"/>
          <c:showSerName val="0"/>
          <c:showPercent val="0"/>
          <c:showBubbleSize val="0"/>
        </c:dLbls>
        <c:gapWidth val="147"/>
        <c:overlap val="-16"/>
        <c:axId val="785777800"/>
        <c:axId val="785779400"/>
      </c:barChart>
      <c:catAx>
        <c:axId val="785777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85779400"/>
        <c:crosses val="autoZero"/>
        <c:auto val="1"/>
        <c:lblAlgn val="ctr"/>
        <c:lblOffset val="100"/>
        <c:noMultiLvlLbl val="0"/>
      </c:catAx>
      <c:valAx>
        <c:axId val="785779400"/>
        <c:scaling>
          <c:orientation val="minMax"/>
          <c:max val="100"/>
        </c:scaling>
        <c:delete val="0"/>
        <c:axPos val="l"/>
        <c:majorGridlines>
          <c:spPr>
            <a:ln w="9525" cap="flat" cmpd="sng" algn="ctr">
              <a:solidFill>
                <a:schemeClr val="bg1">
                  <a:lumMod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57778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iCountry!$C$4</c:f>
              <c:strCache>
                <c:ptCount val="1"/>
                <c:pt idx="0">
                  <c:v>Addis Ababa</c:v>
                </c:pt>
              </c:strCache>
            </c:strRef>
          </c:tx>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C436-47EB-92DB-35CD7B4269C4}"/>
              </c:ext>
            </c:extLst>
          </c:dPt>
          <c:dPt>
            <c:idx val="1"/>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3-C436-47EB-92DB-35CD7B4269C4}"/>
              </c:ext>
            </c:extLst>
          </c:dPt>
          <c:dPt>
            <c:idx val="2"/>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5-C436-47EB-92DB-35CD7B4269C4}"/>
              </c:ext>
            </c:extLst>
          </c:dPt>
          <c:dPt>
            <c:idx val="3"/>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7-C436-47EB-92DB-35CD7B4269C4}"/>
              </c:ext>
            </c:extLst>
          </c:dPt>
          <c:dPt>
            <c:idx val="4"/>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9-C436-47EB-92DB-35CD7B4269C4}"/>
              </c:ext>
            </c:extLst>
          </c:dPt>
          <c:dPt>
            <c:idx val="5"/>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B-C436-47EB-92DB-35CD7B4269C4}"/>
              </c:ext>
            </c:extLst>
          </c:dPt>
          <c:dPt>
            <c:idx val="6"/>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D-C436-47EB-92DB-35CD7B4269C4}"/>
              </c:ext>
            </c:extLst>
          </c:dPt>
          <c:cat>
            <c:strRef>
              <c:f>iCountry!$J$13:$J$20</c:f>
              <c:strCache>
                <c:ptCount val="6"/>
                <c:pt idx="0">
                  <c:v>OVERALL</c:v>
                </c:pt>
                <c:pt idx="1">
                  <c:v>SOCIAL DETERMINANTS</c:v>
                </c:pt>
                <c:pt idx="2">
                  <c:v>PHYSICAL ENVIRONMENT</c:v>
                </c:pt>
                <c:pt idx="3">
                  <c:v>HEALTH RISKS</c:v>
                </c:pt>
                <c:pt idx="4">
                  <c:v>HEALTH SERVICES</c:v>
                </c:pt>
                <c:pt idx="5">
                  <c:v>GOVERNANCE</c:v>
                </c:pt>
              </c:strCache>
            </c:strRef>
          </c:cat>
          <c:val>
            <c:numRef>
              <c:f>iCountry!$K$13:$K$20</c:f>
              <c:numCache>
                <c:formatCode>General</c:formatCode>
                <c:ptCount val="8"/>
                <c:pt idx="0">
                  <c:v>49.6</c:v>
                </c:pt>
                <c:pt idx="1">
                  <c:v>65.900000000000006</c:v>
                </c:pt>
                <c:pt idx="2">
                  <c:v>29</c:v>
                </c:pt>
                <c:pt idx="3">
                  <c:v>47.2</c:v>
                </c:pt>
                <c:pt idx="4">
                  <c:v>19.100000000000001</c:v>
                </c:pt>
                <c:pt idx="5">
                  <c:v>67.599999999999994</c:v>
                </c:pt>
                <c:pt idx="6">
                  <c:v>0</c:v>
                </c:pt>
                <c:pt idx="7">
                  <c:v>0</c:v>
                </c:pt>
              </c:numCache>
            </c:numRef>
          </c:val>
          <c:extLst>
            <c:ext xmlns:c16="http://schemas.microsoft.com/office/drawing/2014/chart" uri="{C3380CC4-5D6E-409C-BE32-E72D297353CC}">
              <c16:uniqueId val="{0000000E-C436-47EB-92DB-35CD7B4269C4}"/>
            </c:ext>
          </c:extLst>
        </c:ser>
        <c:ser>
          <c:idx val="1"/>
          <c:order val="1"/>
          <c:tx>
            <c:strRef>
              <c:f>iCountry!$C$10</c:f>
              <c:strCache>
                <c:ptCount val="1"/>
                <c:pt idx="0">
                  <c:v>All cities (average)</c:v>
                </c:pt>
              </c:strCache>
            </c:strRef>
          </c:tx>
          <c:spPr>
            <a:solidFill>
              <a:schemeClr val="bg1">
                <a:lumMod val="50000"/>
              </a:schemeClr>
            </a:solidFill>
            <a:ln>
              <a:noFill/>
            </a:ln>
            <a:effectLst/>
          </c:spPr>
          <c:invertIfNegative val="0"/>
          <c:dPt>
            <c:idx val="0"/>
            <c:invertIfNegative val="0"/>
            <c:bubble3D val="0"/>
            <c:spPr>
              <a:solidFill>
                <a:schemeClr val="bg1">
                  <a:lumMod val="65000"/>
                </a:schemeClr>
              </a:solidFill>
              <a:ln>
                <a:noFill/>
              </a:ln>
              <a:effectLst/>
            </c:spPr>
            <c:extLst>
              <c:ext xmlns:c16="http://schemas.microsoft.com/office/drawing/2014/chart" uri="{C3380CC4-5D6E-409C-BE32-E72D297353CC}">
                <c16:uniqueId val="{00000010-C436-47EB-92DB-35CD7B4269C4}"/>
              </c:ext>
            </c:extLst>
          </c:dPt>
          <c:dPt>
            <c:idx val="1"/>
            <c:invertIfNegative val="0"/>
            <c:bubble3D val="0"/>
            <c:spPr>
              <a:solidFill>
                <a:schemeClr val="bg1">
                  <a:lumMod val="75000"/>
                </a:schemeClr>
              </a:solidFill>
              <a:ln>
                <a:noFill/>
              </a:ln>
              <a:effectLst/>
            </c:spPr>
            <c:extLst>
              <c:ext xmlns:c16="http://schemas.microsoft.com/office/drawing/2014/chart" uri="{C3380CC4-5D6E-409C-BE32-E72D297353CC}">
                <c16:uniqueId val="{00000012-C436-47EB-92DB-35CD7B4269C4}"/>
              </c:ext>
            </c:extLst>
          </c:dPt>
          <c:dPt>
            <c:idx val="2"/>
            <c:invertIfNegative val="0"/>
            <c:bubble3D val="0"/>
            <c:spPr>
              <a:solidFill>
                <a:schemeClr val="bg1">
                  <a:lumMod val="75000"/>
                </a:schemeClr>
              </a:solidFill>
              <a:ln>
                <a:noFill/>
              </a:ln>
              <a:effectLst/>
            </c:spPr>
            <c:extLst>
              <c:ext xmlns:c16="http://schemas.microsoft.com/office/drawing/2014/chart" uri="{C3380CC4-5D6E-409C-BE32-E72D297353CC}">
                <c16:uniqueId val="{00000014-C436-47EB-92DB-35CD7B4269C4}"/>
              </c:ext>
            </c:extLst>
          </c:dPt>
          <c:dPt>
            <c:idx val="3"/>
            <c:invertIfNegative val="0"/>
            <c:bubble3D val="0"/>
            <c:spPr>
              <a:solidFill>
                <a:schemeClr val="bg1">
                  <a:lumMod val="75000"/>
                </a:schemeClr>
              </a:solidFill>
              <a:ln>
                <a:noFill/>
              </a:ln>
              <a:effectLst/>
            </c:spPr>
            <c:extLst>
              <c:ext xmlns:c16="http://schemas.microsoft.com/office/drawing/2014/chart" uri="{C3380CC4-5D6E-409C-BE32-E72D297353CC}">
                <c16:uniqueId val="{00000016-C436-47EB-92DB-35CD7B4269C4}"/>
              </c:ext>
            </c:extLst>
          </c:dPt>
          <c:dPt>
            <c:idx val="4"/>
            <c:invertIfNegative val="0"/>
            <c:bubble3D val="0"/>
            <c:spPr>
              <a:solidFill>
                <a:schemeClr val="bg1">
                  <a:lumMod val="75000"/>
                </a:schemeClr>
              </a:solidFill>
              <a:ln>
                <a:noFill/>
              </a:ln>
              <a:effectLst/>
            </c:spPr>
            <c:extLst>
              <c:ext xmlns:c16="http://schemas.microsoft.com/office/drawing/2014/chart" uri="{C3380CC4-5D6E-409C-BE32-E72D297353CC}">
                <c16:uniqueId val="{00000018-C436-47EB-92DB-35CD7B4269C4}"/>
              </c:ext>
            </c:extLst>
          </c:dPt>
          <c:dPt>
            <c:idx val="5"/>
            <c:invertIfNegative val="0"/>
            <c:bubble3D val="0"/>
            <c:spPr>
              <a:solidFill>
                <a:schemeClr val="bg1">
                  <a:lumMod val="75000"/>
                </a:schemeClr>
              </a:solidFill>
              <a:ln>
                <a:noFill/>
              </a:ln>
              <a:effectLst/>
            </c:spPr>
            <c:extLst>
              <c:ext xmlns:c16="http://schemas.microsoft.com/office/drawing/2014/chart" uri="{C3380CC4-5D6E-409C-BE32-E72D297353CC}">
                <c16:uniqueId val="{0000001A-C436-47EB-92DB-35CD7B4269C4}"/>
              </c:ext>
            </c:extLst>
          </c:dPt>
          <c:dPt>
            <c:idx val="6"/>
            <c:invertIfNegative val="0"/>
            <c:bubble3D val="0"/>
            <c:spPr>
              <a:solidFill>
                <a:schemeClr val="bg1">
                  <a:lumMod val="75000"/>
                </a:schemeClr>
              </a:solidFill>
              <a:ln>
                <a:noFill/>
              </a:ln>
              <a:effectLst/>
            </c:spPr>
            <c:extLst>
              <c:ext xmlns:c16="http://schemas.microsoft.com/office/drawing/2014/chart" uri="{C3380CC4-5D6E-409C-BE32-E72D297353CC}">
                <c16:uniqueId val="{0000001C-C436-47EB-92DB-35CD7B4269C4}"/>
              </c:ext>
            </c:extLst>
          </c:dPt>
          <c:cat>
            <c:strRef>
              <c:f>iCountry!$J$13:$J$20</c:f>
              <c:strCache>
                <c:ptCount val="6"/>
                <c:pt idx="0">
                  <c:v>OVERALL</c:v>
                </c:pt>
                <c:pt idx="1">
                  <c:v>SOCIAL DETERMINANTS</c:v>
                </c:pt>
                <c:pt idx="2">
                  <c:v>PHYSICAL ENVIRONMENT</c:v>
                </c:pt>
                <c:pt idx="3">
                  <c:v>HEALTH RISKS</c:v>
                </c:pt>
                <c:pt idx="4">
                  <c:v>HEALTH SERVICES</c:v>
                </c:pt>
                <c:pt idx="5">
                  <c:v>GOVERNANCE</c:v>
                </c:pt>
              </c:strCache>
            </c:strRef>
          </c:cat>
          <c:val>
            <c:numRef>
              <c:f>iCountry!$E$13:$E$20</c:f>
              <c:numCache>
                <c:formatCode>General</c:formatCode>
                <c:ptCount val="8"/>
                <c:pt idx="0">
                  <c:v>62.4</c:v>
                </c:pt>
                <c:pt idx="1">
                  <c:v>70</c:v>
                </c:pt>
                <c:pt idx="2">
                  <c:v>48.8</c:v>
                </c:pt>
                <c:pt idx="3">
                  <c:v>57.9</c:v>
                </c:pt>
                <c:pt idx="4">
                  <c:v>64.3</c:v>
                </c:pt>
                <c:pt idx="5">
                  <c:v>68.900000000000006</c:v>
                </c:pt>
                <c:pt idx="6">
                  <c:v>0</c:v>
                </c:pt>
                <c:pt idx="7">
                  <c:v>0</c:v>
                </c:pt>
              </c:numCache>
            </c:numRef>
          </c:val>
          <c:extLst>
            <c:ext xmlns:c16="http://schemas.microsoft.com/office/drawing/2014/chart" uri="{C3380CC4-5D6E-409C-BE32-E72D297353CC}">
              <c16:uniqueId val="{0000001D-C436-47EB-92DB-35CD7B4269C4}"/>
            </c:ext>
          </c:extLst>
        </c:ser>
        <c:dLbls>
          <c:showLegendKey val="0"/>
          <c:showVal val="0"/>
          <c:showCatName val="0"/>
          <c:showSerName val="0"/>
          <c:showPercent val="0"/>
          <c:showBubbleSize val="0"/>
        </c:dLbls>
        <c:gapWidth val="147"/>
        <c:overlap val="-16"/>
        <c:axId val="785777800"/>
        <c:axId val="785779400"/>
      </c:barChart>
      <c:catAx>
        <c:axId val="785777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85779400"/>
        <c:crosses val="autoZero"/>
        <c:auto val="1"/>
        <c:lblAlgn val="ctr"/>
        <c:lblOffset val="100"/>
        <c:noMultiLvlLbl val="0"/>
      </c:catAx>
      <c:valAx>
        <c:axId val="785779400"/>
        <c:scaling>
          <c:orientation val="minMax"/>
          <c:max val="100"/>
        </c:scaling>
        <c:delete val="0"/>
        <c:axPos val="l"/>
        <c:majorGridlines>
          <c:spPr>
            <a:ln w="9525" cap="flat" cmpd="sng" algn="ctr">
              <a:solidFill>
                <a:schemeClr val="bg1">
                  <a:lumMod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57778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iCountry!$C$4</c:f>
              <c:strCache>
                <c:ptCount val="1"/>
                <c:pt idx="0">
                  <c:v>Addis Ababa</c:v>
                </c:pt>
              </c:strCache>
            </c:strRef>
          </c:tx>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638D-45E5-B171-DEC85DEB1676}"/>
              </c:ext>
            </c:extLst>
          </c:dPt>
          <c:dPt>
            <c:idx val="1"/>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3-638D-45E5-B171-DEC85DEB1676}"/>
              </c:ext>
            </c:extLst>
          </c:dPt>
          <c:dPt>
            <c:idx val="2"/>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5-638D-45E5-B171-DEC85DEB1676}"/>
              </c:ext>
            </c:extLst>
          </c:dPt>
          <c:dPt>
            <c:idx val="3"/>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7-638D-45E5-B171-DEC85DEB1676}"/>
              </c:ext>
            </c:extLst>
          </c:dPt>
          <c:cat>
            <c:strRef>
              <c:f>iCountry!$J$13:$J$15</c:f>
              <c:strCache>
                <c:ptCount val="3"/>
                <c:pt idx="0">
                  <c:v>OVERALL</c:v>
                </c:pt>
                <c:pt idx="1">
                  <c:v>SOCIAL DETERMINANTS</c:v>
                </c:pt>
                <c:pt idx="2">
                  <c:v>PHYSICAL ENVIRONMENT</c:v>
                </c:pt>
              </c:strCache>
            </c:strRef>
          </c:cat>
          <c:val>
            <c:numRef>
              <c:f>iCountry!$K$13:$K$15</c:f>
              <c:numCache>
                <c:formatCode>General</c:formatCode>
                <c:ptCount val="3"/>
                <c:pt idx="0">
                  <c:v>49.6</c:v>
                </c:pt>
                <c:pt idx="1">
                  <c:v>65.900000000000006</c:v>
                </c:pt>
                <c:pt idx="2">
                  <c:v>29</c:v>
                </c:pt>
              </c:numCache>
            </c:numRef>
          </c:val>
          <c:extLst>
            <c:ext xmlns:c16="http://schemas.microsoft.com/office/drawing/2014/chart" uri="{C3380CC4-5D6E-409C-BE32-E72D297353CC}">
              <c16:uniqueId val="{00000008-638D-45E5-B171-DEC85DEB1676}"/>
            </c:ext>
          </c:extLst>
        </c:ser>
        <c:ser>
          <c:idx val="1"/>
          <c:order val="1"/>
          <c:tx>
            <c:strRef>
              <c:f>iCountry!$C$10</c:f>
              <c:strCache>
                <c:ptCount val="1"/>
                <c:pt idx="0">
                  <c:v>All cities (average)</c:v>
                </c:pt>
              </c:strCache>
            </c:strRef>
          </c:tx>
          <c:spPr>
            <a:solidFill>
              <a:schemeClr val="bg1">
                <a:lumMod val="65000"/>
              </a:schemeClr>
            </a:solidFill>
            <a:ln>
              <a:noFill/>
            </a:ln>
            <a:effectLst/>
          </c:spPr>
          <c:invertIfNegative val="0"/>
          <c:dPt>
            <c:idx val="1"/>
            <c:invertIfNegative val="0"/>
            <c:bubble3D val="0"/>
            <c:spPr>
              <a:solidFill>
                <a:schemeClr val="bg1">
                  <a:lumMod val="75000"/>
                </a:schemeClr>
              </a:solidFill>
              <a:ln>
                <a:noFill/>
              </a:ln>
              <a:effectLst/>
            </c:spPr>
            <c:extLst>
              <c:ext xmlns:c16="http://schemas.microsoft.com/office/drawing/2014/chart" uri="{C3380CC4-5D6E-409C-BE32-E72D297353CC}">
                <c16:uniqueId val="{0000000A-638D-45E5-B171-DEC85DEB1676}"/>
              </c:ext>
            </c:extLst>
          </c:dPt>
          <c:dPt>
            <c:idx val="2"/>
            <c:invertIfNegative val="0"/>
            <c:bubble3D val="0"/>
            <c:spPr>
              <a:solidFill>
                <a:schemeClr val="bg1">
                  <a:lumMod val="75000"/>
                </a:schemeClr>
              </a:solidFill>
              <a:ln>
                <a:noFill/>
              </a:ln>
              <a:effectLst/>
            </c:spPr>
            <c:extLst>
              <c:ext xmlns:c16="http://schemas.microsoft.com/office/drawing/2014/chart" uri="{C3380CC4-5D6E-409C-BE32-E72D297353CC}">
                <c16:uniqueId val="{0000000C-638D-45E5-B171-DEC85DEB1676}"/>
              </c:ext>
            </c:extLst>
          </c:dPt>
          <c:dPt>
            <c:idx val="3"/>
            <c:invertIfNegative val="0"/>
            <c:bubble3D val="0"/>
            <c:spPr>
              <a:solidFill>
                <a:schemeClr val="bg1">
                  <a:lumMod val="75000"/>
                </a:schemeClr>
              </a:solidFill>
              <a:ln>
                <a:noFill/>
              </a:ln>
              <a:effectLst/>
            </c:spPr>
            <c:extLst>
              <c:ext xmlns:c16="http://schemas.microsoft.com/office/drawing/2014/chart" uri="{C3380CC4-5D6E-409C-BE32-E72D297353CC}">
                <c16:uniqueId val="{0000000E-638D-45E5-B171-DEC85DEB1676}"/>
              </c:ext>
            </c:extLst>
          </c:dPt>
          <c:cat>
            <c:strRef>
              <c:f>iCountry!$J$13:$J$15</c:f>
              <c:strCache>
                <c:ptCount val="3"/>
                <c:pt idx="0">
                  <c:v>OVERALL</c:v>
                </c:pt>
                <c:pt idx="1">
                  <c:v>SOCIAL DETERMINANTS</c:v>
                </c:pt>
                <c:pt idx="2">
                  <c:v>PHYSICAL ENVIRONMENT</c:v>
                </c:pt>
              </c:strCache>
            </c:strRef>
          </c:cat>
          <c:val>
            <c:numRef>
              <c:f>iCountry!$E$13:$E$15</c:f>
              <c:numCache>
                <c:formatCode>General</c:formatCode>
                <c:ptCount val="3"/>
                <c:pt idx="0">
                  <c:v>62.4</c:v>
                </c:pt>
                <c:pt idx="1">
                  <c:v>70</c:v>
                </c:pt>
                <c:pt idx="2">
                  <c:v>48.8</c:v>
                </c:pt>
              </c:numCache>
            </c:numRef>
          </c:val>
          <c:extLst>
            <c:ext xmlns:c16="http://schemas.microsoft.com/office/drawing/2014/chart" uri="{C3380CC4-5D6E-409C-BE32-E72D297353CC}">
              <c16:uniqueId val="{0000000F-638D-45E5-B171-DEC85DEB1676}"/>
            </c:ext>
          </c:extLst>
        </c:ser>
        <c:dLbls>
          <c:showLegendKey val="0"/>
          <c:showVal val="0"/>
          <c:showCatName val="0"/>
          <c:showSerName val="0"/>
          <c:showPercent val="0"/>
          <c:showBubbleSize val="0"/>
        </c:dLbls>
        <c:gapWidth val="120"/>
        <c:overlap val="-16"/>
        <c:axId val="785777800"/>
        <c:axId val="785779400"/>
      </c:barChart>
      <c:catAx>
        <c:axId val="785777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5779400"/>
        <c:crosses val="autoZero"/>
        <c:auto val="1"/>
        <c:lblAlgn val="ctr"/>
        <c:lblOffset val="100"/>
        <c:noMultiLvlLbl val="0"/>
      </c:catAx>
      <c:valAx>
        <c:axId val="785779400"/>
        <c:scaling>
          <c:orientation val="minMax"/>
          <c:max val="100"/>
        </c:scaling>
        <c:delete val="0"/>
        <c:axPos val="l"/>
        <c:majorGridlines>
          <c:spPr>
            <a:ln w="9525" cap="flat" cmpd="sng" algn="ctr">
              <a:solidFill>
                <a:schemeClr val="bg1">
                  <a:lumMod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57778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0"/>
          <c:order val="0"/>
          <c:tx>
            <c:v>Countries</c:v>
          </c:tx>
          <c:spPr>
            <a:ln w="28575">
              <a:noFill/>
            </a:ln>
          </c:spPr>
          <c:marker>
            <c:symbol val="circle"/>
            <c:size val="5"/>
            <c:spPr>
              <a:solidFill>
                <a:sysClr val="windowText" lastClr="000000">
                  <a:alpha val="19000"/>
                </a:sysClr>
              </a:solidFill>
              <a:ln>
                <a:noFill/>
              </a:ln>
            </c:spPr>
          </c:marker>
          <c:xVal>
            <c:numRef>
              <c:f>iCountry!$P$13:$BM$13</c:f>
              <c:numCache>
                <c:formatCode>General</c:formatCode>
                <c:ptCount val="50"/>
                <c:pt idx="0">
                  <c:v>49.6</c:v>
                </c:pt>
                <c:pt idx="1">
                  <c:v>41</c:v>
                </c:pt>
                <c:pt idx="2">
                  <c:v>63.1</c:v>
                </c:pt>
                <c:pt idx="3">
                  <c:v>71</c:v>
                </c:pt>
                <c:pt idx="4">
                  <c:v>68.8</c:v>
                </c:pt>
                <c:pt idx="5">
                  <c:v>63.4</c:v>
                </c:pt>
                <c:pt idx="6">
                  <c:v>77.400000000000006</c:v>
                </c:pt>
                <c:pt idx="7">
                  <c:v>69.7</c:v>
                </c:pt>
                <c:pt idx="8">
                  <c:v>69.5</c:v>
                </c:pt>
                <c:pt idx="9">
                  <c:v>40.6</c:v>
                </c:pt>
                <c:pt idx="10">
                  <c:v>50.1</c:v>
                </c:pt>
                <c:pt idx="11">
                  <c:v>56.8</c:v>
                </c:pt>
                <c:pt idx="12">
                  <c:v>41.8</c:v>
                </c:pt>
                <c:pt idx="13">
                  <c:v>65</c:v>
                </c:pt>
                <c:pt idx="14">
                  <c:v>75.5</c:v>
                </c:pt>
                <c:pt idx="15">
                  <c:v>66</c:v>
                </c:pt>
                <c:pt idx="16">
                  <c:v>83.2</c:v>
                </c:pt>
                <c:pt idx="17">
                  <c:v>60.4</c:v>
                </c:pt>
                <c:pt idx="18">
                  <c:v>71.7</c:v>
                </c:pt>
                <c:pt idx="19">
                  <c:v>52.5</c:v>
                </c:pt>
                <c:pt idx="20">
                  <c:v>44.3</c:v>
                </c:pt>
                <c:pt idx="21">
                  <c:v>40.9</c:v>
                </c:pt>
                <c:pt idx="22">
                  <c:v>51.8</c:v>
                </c:pt>
                <c:pt idx="23">
                  <c:v>42.1</c:v>
                </c:pt>
                <c:pt idx="24">
                  <c:v>51.6</c:v>
                </c:pt>
                <c:pt idx="25">
                  <c:v>82.6</c:v>
                </c:pt>
                <c:pt idx="26">
                  <c:v>79.599999999999994</c:v>
                </c:pt>
                <c:pt idx="27">
                  <c:v>48.8</c:v>
                </c:pt>
                <c:pt idx="28">
                  <c:v>75.8</c:v>
                </c:pt>
                <c:pt idx="29">
                  <c:v>60.9</c:v>
                </c:pt>
                <c:pt idx="30">
                  <c:v>65.900000000000006</c:v>
                </c:pt>
                <c:pt idx="31">
                  <c:v>53.2</c:v>
                </c:pt>
                <c:pt idx="32">
                  <c:v>52.2</c:v>
                </c:pt>
                <c:pt idx="33">
                  <c:v>79.099999999999994</c:v>
                </c:pt>
                <c:pt idx="34">
                  <c:v>74.2</c:v>
                </c:pt>
                <c:pt idx="35">
                  <c:v>64.5</c:v>
                </c:pt>
                <c:pt idx="36">
                  <c:v>51.4</c:v>
                </c:pt>
                <c:pt idx="37">
                  <c:v>44.2</c:v>
                </c:pt>
                <c:pt idx="38">
                  <c:v>63.5</c:v>
                </c:pt>
                <c:pt idx="39">
                  <c:v>72</c:v>
                </c:pt>
                <c:pt idx="40">
                  <c:v>67.099999999999994</c:v>
                </c:pt>
                <c:pt idx="41">
                  <c:v>75.599999999999994</c:v>
                </c:pt>
                <c:pt idx="42">
                  <c:v>65.3</c:v>
                </c:pt>
                <c:pt idx="43">
                  <c:v>76.099999999999994</c:v>
                </c:pt>
                <c:pt idx="44">
                  <c:v>70.5</c:v>
                </c:pt>
                <c:pt idx="45">
                  <c:v>76.099999999999994</c:v>
                </c:pt>
                <c:pt idx="46">
                  <c:v>77</c:v>
                </c:pt>
                <c:pt idx="47">
                  <c:v>75.099999999999994</c:v>
                </c:pt>
                <c:pt idx="48">
                  <c:v>57.3</c:v>
                </c:pt>
                <c:pt idx="49">
                  <c:v>43.5</c:v>
                </c:pt>
              </c:numCache>
            </c:numRef>
          </c:xVal>
          <c:yVal>
            <c:numRef>
              <c:f>iCountry!$P$7:$BM$7</c:f>
              <c:numCache>
                <c:formatCode>General</c:formatCode>
                <c:ptCount val="50"/>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numCache>
            </c:numRef>
          </c:yVal>
          <c:smooth val="0"/>
          <c:extLst>
            <c:ext xmlns:c16="http://schemas.microsoft.com/office/drawing/2014/chart" uri="{C3380CC4-5D6E-409C-BE32-E72D297353CC}">
              <c16:uniqueId val="{00000000-4009-4A8B-8BEC-2E49969CD7D4}"/>
            </c:ext>
          </c:extLst>
        </c:ser>
        <c:ser>
          <c:idx val="2"/>
          <c:order val="1"/>
          <c:tx>
            <c:v>Active_Entity_Dot</c:v>
          </c:tx>
          <c:spPr>
            <a:ln w="28575">
              <a:noFill/>
            </a:ln>
          </c:spPr>
          <c:marker>
            <c:symbol val="circle"/>
            <c:size val="9"/>
            <c:spPr>
              <a:solidFill>
                <a:schemeClr val="accent6">
                  <a:lumMod val="75000"/>
                </a:schemeClr>
              </a:solidFill>
              <a:ln>
                <a:noFill/>
              </a:ln>
            </c:spPr>
          </c:marker>
          <c:dPt>
            <c:idx val="0"/>
            <c:marker>
              <c:spPr>
                <a:solidFill>
                  <a:srgbClr val="0070C0"/>
                </a:solidFill>
                <a:ln>
                  <a:noFill/>
                </a:ln>
              </c:spPr>
            </c:marker>
            <c:bubble3D val="0"/>
            <c:extLst>
              <c:ext xmlns:c16="http://schemas.microsoft.com/office/drawing/2014/chart" uri="{C3380CC4-5D6E-409C-BE32-E72D297353CC}">
                <c16:uniqueId val="{00000001-4009-4A8B-8BEC-2E49969CD7D4}"/>
              </c:ext>
            </c:extLst>
          </c:dPt>
          <c:errBars>
            <c:errDir val="x"/>
            <c:errBarType val="minus"/>
            <c:errValType val="percentage"/>
            <c:noEndCap val="1"/>
            <c:val val="100"/>
            <c:spPr>
              <a:ln w="41275">
                <a:solidFill>
                  <a:srgbClr val="0070C0"/>
                </a:solidFill>
              </a:ln>
            </c:spPr>
          </c:errBars>
          <c:xVal>
            <c:numRef>
              <c:f>(iCountry!$K$13,iCountry!$K$13)</c:f>
              <c:numCache>
                <c:formatCode>General</c:formatCode>
                <c:ptCount val="2"/>
                <c:pt idx="0">
                  <c:v>49.6</c:v>
                </c:pt>
                <c:pt idx="1">
                  <c:v>49.6</c:v>
                </c:pt>
              </c:numCache>
            </c:numRef>
          </c:xVal>
          <c:yVal>
            <c:numLit>
              <c:formatCode>General</c:formatCode>
              <c:ptCount val="1"/>
              <c:pt idx="0">
                <c:v>2</c:v>
              </c:pt>
            </c:numLit>
          </c:yVal>
          <c:smooth val="0"/>
          <c:extLst>
            <c:ext xmlns:c16="http://schemas.microsoft.com/office/drawing/2014/chart" uri="{C3380CC4-5D6E-409C-BE32-E72D297353CC}">
              <c16:uniqueId val="{00000002-4009-4A8B-8BEC-2E49969CD7D4}"/>
            </c:ext>
          </c:extLst>
        </c:ser>
        <c:dLbls>
          <c:showLegendKey val="0"/>
          <c:showVal val="0"/>
          <c:showCatName val="0"/>
          <c:showSerName val="0"/>
          <c:showPercent val="0"/>
          <c:showBubbleSize val="0"/>
        </c:dLbls>
        <c:axId val="196708224"/>
        <c:axId val="196709760"/>
      </c:scatterChart>
      <c:valAx>
        <c:axId val="196708224"/>
        <c:scaling>
          <c:orientation val="minMax"/>
          <c:max val="101"/>
          <c:min val="-1"/>
        </c:scaling>
        <c:delete val="1"/>
        <c:axPos val="b"/>
        <c:numFmt formatCode="General" sourceLinked="1"/>
        <c:majorTickMark val="out"/>
        <c:minorTickMark val="none"/>
        <c:tickLblPos val="none"/>
        <c:crossAx val="196709760"/>
        <c:crosses val="autoZero"/>
        <c:crossBetween val="midCat"/>
      </c:valAx>
      <c:valAx>
        <c:axId val="196709760"/>
        <c:scaling>
          <c:orientation val="minMax"/>
          <c:max val="4"/>
          <c:min val="0"/>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0"/>
          <c:order val="0"/>
          <c:tx>
            <c:v>Countries</c:v>
          </c:tx>
          <c:spPr>
            <a:ln w="28575">
              <a:noFill/>
            </a:ln>
          </c:spPr>
          <c:marker>
            <c:symbol val="circle"/>
            <c:size val="5"/>
            <c:spPr>
              <a:solidFill>
                <a:sysClr val="windowText" lastClr="000000">
                  <a:alpha val="19000"/>
                </a:sysClr>
              </a:solidFill>
              <a:ln>
                <a:noFill/>
              </a:ln>
            </c:spPr>
          </c:marker>
          <c:xVal>
            <c:numRef>
              <c:f>iCountry!$P$13:$BM$13</c:f>
              <c:numCache>
                <c:formatCode>General</c:formatCode>
                <c:ptCount val="50"/>
                <c:pt idx="0">
                  <c:v>49.6</c:v>
                </c:pt>
                <c:pt idx="1">
                  <c:v>41</c:v>
                </c:pt>
                <c:pt idx="2">
                  <c:v>63.1</c:v>
                </c:pt>
                <c:pt idx="3">
                  <c:v>71</c:v>
                </c:pt>
                <c:pt idx="4">
                  <c:v>68.8</c:v>
                </c:pt>
                <c:pt idx="5">
                  <c:v>63.4</c:v>
                </c:pt>
                <c:pt idx="6">
                  <c:v>77.400000000000006</c:v>
                </c:pt>
                <c:pt idx="7">
                  <c:v>69.7</c:v>
                </c:pt>
                <c:pt idx="8">
                  <c:v>69.5</c:v>
                </c:pt>
                <c:pt idx="9">
                  <c:v>40.6</c:v>
                </c:pt>
                <c:pt idx="10">
                  <c:v>50.1</c:v>
                </c:pt>
                <c:pt idx="11">
                  <c:v>56.8</c:v>
                </c:pt>
                <c:pt idx="12">
                  <c:v>41.8</c:v>
                </c:pt>
                <c:pt idx="13">
                  <c:v>65</c:v>
                </c:pt>
                <c:pt idx="14">
                  <c:v>75.5</c:v>
                </c:pt>
                <c:pt idx="15">
                  <c:v>66</c:v>
                </c:pt>
                <c:pt idx="16">
                  <c:v>83.2</c:v>
                </c:pt>
                <c:pt idx="17">
                  <c:v>60.4</c:v>
                </c:pt>
                <c:pt idx="18">
                  <c:v>71.7</c:v>
                </c:pt>
                <c:pt idx="19">
                  <c:v>52.5</c:v>
                </c:pt>
                <c:pt idx="20">
                  <c:v>44.3</c:v>
                </c:pt>
                <c:pt idx="21">
                  <c:v>40.9</c:v>
                </c:pt>
                <c:pt idx="22">
                  <c:v>51.8</c:v>
                </c:pt>
                <c:pt idx="23">
                  <c:v>42.1</c:v>
                </c:pt>
                <c:pt idx="24">
                  <c:v>51.6</c:v>
                </c:pt>
                <c:pt idx="25">
                  <c:v>82.6</c:v>
                </c:pt>
                <c:pt idx="26">
                  <c:v>79.599999999999994</c:v>
                </c:pt>
                <c:pt idx="27">
                  <c:v>48.8</c:v>
                </c:pt>
                <c:pt idx="28">
                  <c:v>75.8</c:v>
                </c:pt>
                <c:pt idx="29">
                  <c:v>60.9</c:v>
                </c:pt>
                <c:pt idx="30">
                  <c:v>65.900000000000006</c:v>
                </c:pt>
                <c:pt idx="31">
                  <c:v>53.2</c:v>
                </c:pt>
                <c:pt idx="32">
                  <c:v>52.2</c:v>
                </c:pt>
                <c:pt idx="33">
                  <c:v>79.099999999999994</c:v>
                </c:pt>
                <c:pt idx="34">
                  <c:v>74.2</c:v>
                </c:pt>
                <c:pt idx="35">
                  <c:v>64.5</c:v>
                </c:pt>
                <c:pt idx="36">
                  <c:v>51.4</c:v>
                </c:pt>
                <c:pt idx="37">
                  <c:v>44.2</c:v>
                </c:pt>
                <c:pt idx="38">
                  <c:v>63.5</c:v>
                </c:pt>
                <c:pt idx="39">
                  <c:v>72</c:v>
                </c:pt>
                <c:pt idx="40">
                  <c:v>67.099999999999994</c:v>
                </c:pt>
                <c:pt idx="41">
                  <c:v>75.599999999999994</c:v>
                </c:pt>
                <c:pt idx="42">
                  <c:v>65.3</c:v>
                </c:pt>
                <c:pt idx="43">
                  <c:v>76.099999999999994</c:v>
                </c:pt>
                <c:pt idx="44">
                  <c:v>70.5</c:v>
                </c:pt>
                <c:pt idx="45">
                  <c:v>76.099999999999994</c:v>
                </c:pt>
                <c:pt idx="46">
                  <c:v>77</c:v>
                </c:pt>
                <c:pt idx="47">
                  <c:v>75.099999999999994</c:v>
                </c:pt>
                <c:pt idx="48">
                  <c:v>57.3</c:v>
                </c:pt>
                <c:pt idx="49">
                  <c:v>43.5</c:v>
                </c:pt>
              </c:numCache>
            </c:numRef>
          </c:xVal>
          <c:yVal>
            <c:numRef>
              <c:f>iCountry!$P$8:$BM$8</c:f>
              <c:numCache>
                <c:formatCode>General</c:formatCode>
                <c:ptCount val="5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numCache>
            </c:numRef>
          </c:yVal>
          <c:smooth val="0"/>
          <c:extLst>
            <c:ext xmlns:c16="http://schemas.microsoft.com/office/drawing/2014/chart" uri="{C3380CC4-5D6E-409C-BE32-E72D297353CC}">
              <c16:uniqueId val="{00000000-3C3B-4870-85DB-F073C2F8D9D8}"/>
            </c:ext>
          </c:extLst>
        </c:ser>
        <c:ser>
          <c:idx val="2"/>
          <c:order val="1"/>
          <c:tx>
            <c:v>Active_Entity_Dot</c:v>
          </c:tx>
          <c:spPr>
            <a:ln w="28575">
              <a:noFill/>
            </a:ln>
          </c:spPr>
          <c:marker>
            <c:symbol val="circle"/>
            <c:size val="10"/>
            <c:spPr>
              <a:solidFill>
                <a:srgbClr val="0070C0"/>
              </a:solidFill>
              <a:ln>
                <a:noFill/>
              </a:ln>
            </c:spPr>
          </c:marker>
          <c:xVal>
            <c:numRef>
              <c:f>(iCountry!$K$13,iCountry!$K$13)</c:f>
              <c:numCache>
                <c:formatCode>General</c:formatCode>
                <c:ptCount val="2"/>
                <c:pt idx="0">
                  <c:v>49.6</c:v>
                </c:pt>
                <c:pt idx="1">
                  <c:v>49.6</c:v>
                </c:pt>
              </c:numCache>
            </c:numRef>
          </c:xVal>
          <c:yVal>
            <c:numLit>
              <c:formatCode>General</c:formatCode>
              <c:ptCount val="1"/>
              <c:pt idx="0">
                <c:v>2</c:v>
              </c:pt>
            </c:numLit>
          </c:yVal>
          <c:smooth val="0"/>
          <c:extLst>
            <c:ext xmlns:c16="http://schemas.microsoft.com/office/drawing/2014/chart" uri="{C3380CC4-5D6E-409C-BE32-E72D297353CC}">
              <c16:uniqueId val="{00000001-3C3B-4870-85DB-F073C2F8D9D8}"/>
            </c:ext>
          </c:extLst>
        </c:ser>
        <c:dLbls>
          <c:showLegendKey val="0"/>
          <c:showVal val="0"/>
          <c:showCatName val="0"/>
          <c:showSerName val="0"/>
          <c:showPercent val="0"/>
          <c:showBubbleSize val="0"/>
        </c:dLbls>
        <c:axId val="196708224"/>
        <c:axId val="196709760"/>
      </c:scatterChart>
      <c:valAx>
        <c:axId val="196708224"/>
        <c:scaling>
          <c:orientation val="minMax"/>
          <c:max val="101"/>
          <c:min val="-1"/>
        </c:scaling>
        <c:delete val="1"/>
        <c:axPos val="b"/>
        <c:numFmt formatCode="General" sourceLinked="1"/>
        <c:majorTickMark val="out"/>
        <c:minorTickMark val="none"/>
        <c:tickLblPos val="none"/>
        <c:crossAx val="196709760"/>
        <c:crosses val="autoZero"/>
        <c:crossBetween val="midCat"/>
      </c:valAx>
      <c:valAx>
        <c:axId val="196709760"/>
        <c:scaling>
          <c:orientation val="minMax"/>
          <c:max val="4"/>
          <c:min val="0"/>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barChart>
        <c:barDir val="bar"/>
        <c:grouping val="clustered"/>
        <c:varyColors val="0"/>
        <c:ser>
          <c:idx val="2"/>
          <c:order val="0"/>
          <c:tx>
            <c:v>Active_Entity_Dot</c:v>
          </c:tx>
          <c:spPr>
            <a:solidFill>
              <a:srgbClr val="0070C0"/>
            </a:solidFill>
            <a:ln w="28575">
              <a:noFill/>
            </a:ln>
          </c:spPr>
          <c:invertIfNegative val="0"/>
          <c:cat>
            <c:numRef>
              <c:f>iCountry!$B$13</c:f>
              <c:numCache>
                <c:formatCode>General</c:formatCode>
                <c:ptCount val="1"/>
                <c:pt idx="0">
                  <c:v>1</c:v>
                </c:pt>
              </c:numCache>
            </c:numRef>
          </c:cat>
          <c:val>
            <c:numRef>
              <c:f>iCountry!$K$13</c:f>
              <c:numCache>
                <c:formatCode>General</c:formatCode>
                <c:ptCount val="1"/>
                <c:pt idx="0">
                  <c:v>49.6</c:v>
                </c:pt>
              </c:numCache>
            </c:numRef>
          </c:val>
          <c:extLst>
            <c:ext xmlns:c16="http://schemas.microsoft.com/office/drawing/2014/chart" uri="{C3380CC4-5D6E-409C-BE32-E72D297353CC}">
              <c16:uniqueId val="{00000001-F14A-43D3-9E45-89572ABAC97A}"/>
            </c:ext>
          </c:extLst>
        </c:ser>
        <c:dLbls>
          <c:showLegendKey val="0"/>
          <c:showVal val="0"/>
          <c:showCatName val="0"/>
          <c:showSerName val="0"/>
          <c:showPercent val="0"/>
          <c:showBubbleSize val="0"/>
        </c:dLbls>
        <c:gapWidth val="150"/>
        <c:axId val="196708224"/>
        <c:axId val="196709760"/>
      </c:barChart>
      <c:catAx>
        <c:axId val="196708224"/>
        <c:scaling>
          <c:orientation val="minMax"/>
        </c:scaling>
        <c:delete val="1"/>
        <c:axPos val="l"/>
        <c:numFmt formatCode="General" sourceLinked="1"/>
        <c:majorTickMark val="out"/>
        <c:minorTickMark val="none"/>
        <c:tickLblPos val="none"/>
        <c:crossAx val="196709760"/>
        <c:crosses val="autoZero"/>
        <c:auto val="1"/>
        <c:lblAlgn val="ctr"/>
        <c:lblOffset val="100"/>
        <c:noMultiLvlLbl val="0"/>
      </c:catAx>
      <c:valAx>
        <c:axId val="196709760"/>
        <c:scaling>
          <c:orientation val="minMax"/>
          <c:max val="100"/>
          <c:min val="0"/>
        </c:scaling>
        <c:delete val="1"/>
        <c:axPos val="b"/>
        <c:numFmt formatCode="General" sourceLinked="1"/>
        <c:majorTickMark val="out"/>
        <c:minorTickMark val="none"/>
        <c:tickLblPos val="nextTo"/>
        <c:crossAx val="196708224"/>
        <c:crosses val="autoZero"/>
        <c:crossBetween val="between"/>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854249489172159E-2"/>
          <c:y val="0"/>
          <c:w val="0.93554882145060003"/>
          <c:h val="1"/>
        </c:manualLayout>
      </c:layout>
      <c:scatterChart>
        <c:scatterStyle val="lineMarker"/>
        <c:varyColors val="0"/>
        <c:ser>
          <c:idx val="2"/>
          <c:order val="0"/>
          <c:tx>
            <c:v>Active_Entity_Dot</c:v>
          </c:tx>
          <c:spPr>
            <a:ln w="28575">
              <a:noFill/>
            </a:ln>
          </c:spPr>
          <c:marker>
            <c:symbol val="circle"/>
            <c:size val="12"/>
            <c:spPr>
              <a:solidFill>
                <a:schemeClr val="accent6">
                  <a:lumMod val="75000"/>
                </a:schemeClr>
              </a:solidFill>
              <a:ln>
                <a:noFill/>
              </a:ln>
            </c:spPr>
          </c:marker>
          <c:dPt>
            <c:idx val="0"/>
            <c:marker>
              <c:spPr>
                <a:solidFill>
                  <a:srgbClr val="0070C0"/>
                </a:solidFill>
                <a:ln>
                  <a:noFill/>
                </a:ln>
              </c:spPr>
            </c:marker>
            <c:bubble3D val="0"/>
            <c:extLst>
              <c:ext xmlns:c16="http://schemas.microsoft.com/office/drawing/2014/chart" uri="{C3380CC4-5D6E-409C-BE32-E72D297353CC}">
                <c16:uniqueId val="{00000001-38D5-46B8-94C1-AEF5D5C040CD}"/>
              </c:ext>
            </c:extLst>
          </c:dPt>
          <c:errBars>
            <c:errDir val="x"/>
            <c:errBarType val="minus"/>
            <c:errValType val="percentage"/>
            <c:noEndCap val="1"/>
            <c:val val="100"/>
            <c:spPr>
              <a:ln w="57150">
                <a:solidFill>
                  <a:srgbClr val="0070C0"/>
                </a:solidFill>
              </a:ln>
            </c:spPr>
          </c:errBars>
          <c:xVal>
            <c:numRef>
              <c:f>(iCountry!$K$13,iCountry!$K$13)</c:f>
              <c:numCache>
                <c:formatCode>General</c:formatCode>
                <c:ptCount val="2"/>
                <c:pt idx="0">
                  <c:v>49.6</c:v>
                </c:pt>
                <c:pt idx="1">
                  <c:v>49.6</c:v>
                </c:pt>
              </c:numCache>
            </c:numRef>
          </c:xVal>
          <c:yVal>
            <c:numLit>
              <c:formatCode>General</c:formatCode>
              <c:ptCount val="1"/>
              <c:pt idx="0">
                <c:v>2</c:v>
              </c:pt>
            </c:numLit>
          </c:yVal>
          <c:smooth val="0"/>
          <c:extLst>
            <c:ext xmlns:c16="http://schemas.microsoft.com/office/drawing/2014/chart" uri="{C3380CC4-5D6E-409C-BE32-E72D297353CC}">
              <c16:uniqueId val="{00000002-38D5-46B8-94C1-AEF5D5C040CD}"/>
            </c:ext>
          </c:extLst>
        </c:ser>
        <c:dLbls>
          <c:showLegendKey val="0"/>
          <c:showVal val="0"/>
          <c:showCatName val="0"/>
          <c:showSerName val="0"/>
          <c:showPercent val="0"/>
          <c:showBubbleSize val="0"/>
        </c:dLbls>
        <c:axId val="196708224"/>
        <c:axId val="196709760"/>
      </c:scatterChart>
      <c:valAx>
        <c:axId val="196708224"/>
        <c:scaling>
          <c:orientation val="minMax"/>
          <c:max val="101"/>
          <c:min val="-1"/>
        </c:scaling>
        <c:delete val="1"/>
        <c:axPos val="b"/>
        <c:numFmt formatCode="General" sourceLinked="1"/>
        <c:majorTickMark val="out"/>
        <c:minorTickMark val="none"/>
        <c:tickLblPos val="none"/>
        <c:crossAx val="196709760"/>
        <c:crosses val="autoZero"/>
        <c:crossBetween val="midCat"/>
      </c:valAx>
      <c:valAx>
        <c:axId val="196709760"/>
        <c:scaling>
          <c:orientation val="minMax"/>
          <c:max val="4"/>
          <c:min val="0"/>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0"/>
          <c:order val="0"/>
          <c:tx>
            <c:v>Countries</c:v>
          </c:tx>
          <c:spPr>
            <a:ln w="28575">
              <a:noFill/>
            </a:ln>
          </c:spPr>
          <c:marker>
            <c:symbol val="circle"/>
            <c:size val="5"/>
            <c:spPr>
              <a:solidFill>
                <a:sysClr val="windowText" lastClr="000000">
                  <a:alpha val="19000"/>
                </a:sysClr>
              </a:solidFill>
              <a:ln>
                <a:noFill/>
              </a:ln>
            </c:spPr>
          </c:marker>
          <c:xVal>
            <c:numRef>
              <c:f>iCountry!$P$13:$BM$13</c:f>
              <c:numCache>
                <c:formatCode>General</c:formatCode>
                <c:ptCount val="50"/>
                <c:pt idx="0">
                  <c:v>49.6</c:v>
                </c:pt>
                <c:pt idx="1">
                  <c:v>41</c:v>
                </c:pt>
                <c:pt idx="2">
                  <c:v>63.1</c:v>
                </c:pt>
                <c:pt idx="3">
                  <c:v>71</c:v>
                </c:pt>
                <c:pt idx="4">
                  <c:v>68.8</c:v>
                </c:pt>
                <c:pt idx="5">
                  <c:v>63.4</c:v>
                </c:pt>
                <c:pt idx="6">
                  <c:v>77.400000000000006</c:v>
                </c:pt>
                <c:pt idx="7">
                  <c:v>69.7</c:v>
                </c:pt>
                <c:pt idx="8">
                  <c:v>69.5</c:v>
                </c:pt>
                <c:pt idx="9">
                  <c:v>40.6</c:v>
                </c:pt>
                <c:pt idx="10">
                  <c:v>50.1</c:v>
                </c:pt>
                <c:pt idx="11">
                  <c:v>56.8</c:v>
                </c:pt>
                <c:pt idx="12">
                  <c:v>41.8</c:v>
                </c:pt>
                <c:pt idx="13">
                  <c:v>65</c:v>
                </c:pt>
                <c:pt idx="14">
                  <c:v>75.5</c:v>
                </c:pt>
                <c:pt idx="15">
                  <c:v>66</c:v>
                </c:pt>
                <c:pt idx="16">
                  <c:v>83.2</c:v>
                </c:pt>
                <c:pt idx="17">
                  <c:v>60.4</c:v>
                </c:pt>
                <c:pt idx="18">
                  <c:v>71.7</c:v>
                </c:pt>
                <c:pt idx="19">
                  <c:v>52.5</c:v>
                </c:pt>
                <c:pt idx="20">
                  <c:v>44.3</c:v>
                </c:pt>
                <c:pt idx="21">
                  <c:v>40.9</c:v>
                </c:pt>
                <c:pt idx="22">
                  <c:v>51.8</c:v>
                </c:pt>
                <c:pt idx="23">
                  <c:v>42.1</c:v>
                </c:pt>
                <c:pt idx="24">
                  <c:v>51.6</c:v>
                </c:pt>
                <c:pt idx="25">
                  <c:v>82.6</c:v>
                </c:pt>
                <c:pt idx="26">
                  <c:v>79.599999999999994</c:v>
                </c:pt>
                <c:pt idx="27">
                  <c:v>48.8</c:v>
                </c:pt>
                <c:pt idx="28">
                  <c:v>75.8</c:v>
                </c:pt>
                <c:pt idx="29">
                  <c:v>60.9</c:v>
                </c:pt>
                <c:pt idx="30">
                  <c:v>65.900000000000006</c:v>
                </c:pt>
                <c:pt idx="31">
                  <c:v>53.2</c:v>
                </c:pt>
                <c:pt idx="32">
                  <c:v>52.2</c:v>
                </c:pt>
                <c:pt idx="33">
                  <c:v>79.099999999999994</c:v>
                </c:pt>
                <c:pt idx="34">
                  <c:v>74.2</c:v>
                </c:pt>
                <c:pt idx="35">
                  <c:v>64.5</c:v>
                </c:pt>
                <c:pt idx="36">
                  <c:v>51.4</c:v>
                </c:pt>
                <c:pt idx="37">
                  <c:v>44.2</c:v>
                </c:pt>
                <c:pt idx="38">
                  <c:v>63.5</c:v>
                </c:pt>
                <c:pt idx="39">
                  <c:v>72</c:v>
                </c:pt>
                <c:pt idx="40">
                  <c:v>67.099999999999994</c:v>
                </c:pt>
                <c:pt idx="41">
                  <c:v>75.599999999999994</c:v>
                </c:pt>
                <c:pt idx="42">
                  <c:v>65.3</c:v>
                </c:pt>
                <c:pt idx="43">
                  <c:v>76.099999999999994</c:v>
                </c:pt>
                <c:pt idx="44">
                  <c:v>70.5</c:v>
                </c:pt>
                <c:pt idx="45">
                  <c:v>76.099999999999994</c:v>
                </c:pt>
                <c:pt idx="46">
                  <c:v>77</c:v>
                </c:pt>
                <c:pt idx="47">
                  <c:v>75.099999999999994</c:v>
                </c:pt>
                <c:pt idx="48">
                  <c:v>57.3</c:v>
                </c:pt>
                <c:pt idx="49">
                  <c:v>43.5</c:v>
                </c:pt>
              </c:numCache>
            </c:numRef>
          </c:xVal>
          <c:yVal>
            <c:numRef>
              <c:f>iCountry!$P$7:$BM$7</c:f>
              <c:numCache>
                <c:formatCode>General</c:formatCode>
                <c:ptCount val="50"/>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numCache>
            </c:numRef>
          </c:yVal>
          <c:smooth val="0"/>
          <c:extLst>
            <c:ext xmlns:c16="http://schemas.microsoft.com/office/drawing/2014/chart" uri="{C3380CC4-5D6E-409C-BE32-E72D297353CC}">
              <c16:uniqueId val="{00000000-5958-48D3-9175-1BA147F83A58}"/>
            </c:ext>
          </c:extLst>
        </c:ser>
        <c:ser>
          <c:idx val="2"/>
          <c:order val="1"/>
          <c:tx>
            <c:v>Active_Entity_Dot</c:v>
          </c:tx>
          <c:spPr>
            <a:ln w="28575">
              <a:noFill/>
            </a:ln>
          </c:spPr>
          <c:marker>
            <c:symbol val="circle"/>
            <c:size val="9"/>
            <c:spPr>
              <a:solidFill>
                <a:schemeClr val="accent6">
                  <a:lumMod val="75000"/>
                </a:schemeClr>
              </a:solidFill>
              <a:ln>
                <a:noFill/>
              </a:ln>
            </c:spPr>
          </c:marker>
          <c:dPt>
            <c:idx val="0"/>
            <c:marker>
              <c:spPr>
                <a:solidFill>
                  <a:srgbClr val="0070C0"/>
                </a:solidFill>
                <a:ln>
                  <a:noFill/>
                </a:ln>
              </c:spPr>
            </c:marker>
            <c:bubble3D val="0"/>
            <c:extLst>
              <c:ext xmlns:c16="http://schemas.microsoft.com/office/drawing/2014/chart" uri="{C3380CC4-5D6E-409C-BE32-E72D297353CC}">
                <c16:uniqueId val="{00000001-5958-48D3-9175-1BA147F83A58}"/>
              </c:ext>
            </c:extLst>
          </c:dPt>
          <c:errBars>
            <c:errDir val="x"/>
            <c:errBarType val="minus"/>
            <c:errValType val="fixedVal"/>
            <c:noEndCap val="1"/>
            <c:val val="30"/>
            <c:spPr>
              <a:ln w="41275">
                <a:solidFill>
                  <a:srgbClr val="0070C0"/>
                </a:solidFill>
              </a:ln>
            </c:spPr>
          </c:errBars>
          <c:xVal>
            <c:numRef>
              <c:f>(iCountry!$K$13,iCountry!$K$13)</c:f>
              <c:numCache>
                <c:formatCode>General</c:formatCode>
                <c:ptCount val="2"/>
                <c:pt idx="0">
                  <c:v>49.6</c:v>
                </c:pt>
                <c:pt idx="1">
                  <c:v>49.6</c:v>
                </c:pt>
              </c:numCache>
            </c:numRef>
          </c:xVal>
          <c:yVal>
            <c:numLit>
              <c:formatCode>General</c:formatCode>
              <c:ptCount val="1"/>
              <c:pt idx="0">
                <c:v>2</c:v>
              </c:pt>
            </c:numLit>
          </c:yVal>
          <c:smooth val="0"/>
          <c:extLst>
            <c:ext xmlns:c16="http://schemas.microsoft.com/office/drawing/2014/chart" uri="{C3380CC4-5D6E-409C-BE32-E72D297353CC}">
              <c16:uniqueId val="{00000002-5958-48D3-9175-1BA147F83A58}"/>
            </c:ext>
          </c:extLst>
        </c:ser>
        <c:dLbls>
          <c:showLegendKey val="0"/>
          <c:showVal val="0"/>
          <c:showCatName val="0"/>
          <c:showSerName val="0"/>
          <c:showPercent val="0"/>
          <c:showBubbleSize val="0"/>
        </c:dLbls>
        <c:axId val="196708224"/>
        <c:axId val="196709760"/>
      </c:scatterChart>
      <c:valAx>
        <c:axId val="196708224"/>
        <c:scaling>
          <c:orientation val="minMax"/>
          <c:max val="101"/>
          <c:min val="-1"/>
        </c:scaling>
        <c:delete val="1"/>
        <c:axPos val="b"/>
        <c:numFmt formatCode="General" sourceLinked="1"/>
        <c:majorTickMark val="out"/>
        <c:minorTickMark val="none"/>
        <c:tickLblPos val="none"/>
        <c:crossAx val="196709760"/>
        <c:crosses val="autoZero"/>
        <c:crossBetween val="midCat"/>
      </c:valAx>
      <c:valAx>
        <c:axId val="196709760"/>
        <c:scaling>
          <c:orientation val="minMax"/>
          <c:max val="4"/>
          <c:min val="0"/>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2"/>
            <c:spPr>
              <a:solidFill>
                <a:srgbClr val="0070C0"/>
              </a:solidFill>
              <a:ln>
                <a:noFill/>
              </a:ln>
            </c:spPr>
          </c:marker>
          <c:xVal>
            <c:numRef>
              <c:f>(iCountry!$K$13,iCountry!$K$13)</c:f>
              <c:numCache>
                <c:formatCode>General</c:formatCode>
                <c:ptCount val="2"/>
                <c:pt idx="0">
                  <c:v>49.6</c:v>
                </c:pt>
                <c:pt idx="1">
                  <c:v>49.6</c:v>
                </c:pt>
              </c:numCache>
            </c:numRef>
          </c:xVal>
          <c:yVal>
            <c:numLit>
              <c:formatCode>General</c:formatCode>
              <c:ptCount val="1"/>
              <c:pt idx="0">
                <c:v>2</c:v>
              </c:pt>
            </c:numLit>
          </c:yVal>
          <c:smooth val="0"/>
          <c:extLst>
            <c:ext xmlns:c16="http://schemas.microsoft.com/office/drawing/2014/chart" uri="{C3380CC4-5D6E-409C-BE32-E72D297353CC}">
              <c16:uniqueId val="{00000001-DED4-46B1-BB26-74E016F0E758}"/>
            </c:ext>
          </c:extLst>
        </c:ser>
        <c:ser>
          <c:idx val="0"/>
          <c:order val="1"/>
          <c:tx>
            <c:v>Countries</c:v>
          </c:tx>
          <c:spPr>
            <a:ln w="28575">
              <a:noFill/>
            </a:ln>
          </c:spPr>
          <c:marker>
            <c:symbol val="circle"/>
            <c:size val="6"/>
            <c:spPr>
              <a:solidFill>
                <a:sysClr val="windowText" lastClr="000000">
                  <a:alpha val="19000"/>
                </a:sysClr>
              </a:solidFill>
              <a:ln>
                <a:noFill/>
              </a:ln>
            </c:spPr>
          </c:marker>
          <c:xVal>
            <c:numRef>
              <c:f>iCountry!$P$13:$BM$13</c:f>
              <c:numCache>
                <c:formatCode>General</c:formatCode>
                <c:ptCount val="50"/>
                <c:pt idx="0">
                  <c:v>49.6</c:v>
                </c:pt>
                <c:pt idx="1">
                  <c:v>41</c:v>
                </c:pt>
                <c:pt idx="2">
                  <c:v>63.1</c:v>
                </c:pt>
                <c:pt idx="3">
                  <c:v>71</c:v>
                </c:pt>
                <c:pt idx="4">
                  <c:v>68.8</c:v>
                </c:pt>
                <c:pt idx="5">
                  <c:v>63.4</c:v>
                </c:pt>
                <c:pt idx="6">
                  <c:v>77.400000000000006</c:v>
                </c:pt>
                <c:pt idx="7">
                  <c:v>69.7</c:v>
                </c:pt>
                <c:pt idx="8">
                  <c:v>69.5</c:v>
                </c:pt>
                <c:pt idx="9">
                  <c:v>40.6</c:v>
                </c:pt>
                <c:pt idx="10">
                  <c:v>50.1</c:v>
                </c:pt>
                <c:pt idx="11">
                  <c:v>56.8</c:v>
                </c:pt>
                <c:pt idx="12">
                  <c:v>41.8</c:v>
                </c:pt>
                <c:pt idx="13">
                  <c:v>65</c:v>
                </c:pt>
                <c:pt idx="14">
                  <c:v>75.5</c:v>
                </c:pt>
                <c:pt idx="15">
                  <c:v>66</c:v>
                </c:pt>
                <c:pt idx="16">
                  <c:v>83.2</c:v>
                </c:pt>
                <c:pt idx="17">
                  <c:v>60.4</c:v>
                </c:pt>
                <c:pt idx="18">
                  <c:v>71.7</c:v>
                </c:pt>
                <c:pt idx="19">
                  <c:v>52.5</c:v>
                </c:pt>
                <c:pt idx="20">
                  <c:v>44.3</c:v>
                </c:pt>
                <c:pt idx="21">
                  <c:v>40.9</c:v>
                </c:pt>
                <c:pt idx="22">
                  <c:v>51.8</c:v>
                </c:pt>
                <c:pt idx="23">
                  <c:v>42.1</c:v>
                </c:pt>
                <c:pt idx="24">
                  <c:v>51.6</c:v>
                </c:pt>
                <c:pt idx="25">
                  <c:v>82.6</c:v>
                </c:pt>
                <c:pt idx="26">
                  <c:v>79.599999999999994</c:v>
                </c:pt>
                <c:pt idx="27">
                  <c:v>48.8</c:v>
                </c:pt>
                <c:pt idx="28">
                  <c:v>75.8</c:v>
                </c:pt>
                <c:pt idx="29">
                  <c:v>60.9</c:v>
                </c:pt>
                <c:pt idx="30">
                  <c:v>65.900000000000006</c:v>
                </c:pt>
                <c:pt idx="31">
                  <c:v>53.2</c:v>
                </c:pt>
                <c:pt idx="32">
                  <c:v>52.2</c:v>
                </c:pt>
                <c:pt idx="33">
                  <c:v>79.099999999999994</c:v>
                </c:pt>
                <c:pt idx="34">
                  <c:v>74.2</c:v>
                </c:pt>
                <c:pt idx="35">
                  <c:v>64.5</c:v>
                </c:pt>
                <c:pt idx="36">
                  <c:v>51.4</c:v>
                </c:pt>
                <c:pt idx="37">
                  <c:v>44.2</c:v>
                </c:pt>
                <c:pt idx="38">
                  <c:v>63.5</c:v>
                </c:pt>
                <c:pt idx="39">
                  <c:v>72</c:v>
                </c:pt>
                <c:pt idx="40">
                  <c:v>67.099999999999994</c:v>
                </c:pt>
                <c:pt idx="41">
                  <c:v>75.599999999999994</c:v>
                </c:pt>
                <c:pt idx="42">
                  <c:v>65.3</c:v>
                </c:pt>
                <c:pt idx="43">
                  <c:v>76.099999999999994</c:v>
                </c:pt>
                <c:pt idx="44">
                  <c:v>70.5</c:v>
                </c:pt>
                <c:pt idx="45">
                  <c:v>76.099999999999994</c:v>
                </c:pt>
                <c:pt idx="46">
                  <c:v>77</c:v>
                </c:pt>
                <c:pt idx="47">
                  <c:v>75.099999999999994</c:v>
                </c:pt>
                <c:pt idx="48">
                  <c:v>57.3</c:v>
                </c:pt>
                <c:pt idx="49">
                  <c:v>43.5</c:v>
                </c:pt>
              </c:numCache>
            </c:numRef>
          </c:xVal>
          <c:yVal>
            <c:numRef>
              <c:f>iCountry!$P$8:$BM$8</c:f>
              <c:numCache>
                <c:formatCode>General</c:formatCode>
                <c:ptCount val="5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numCache>
            </c:numRef>
          </c:yVal>
          <c:smooth val="0"/>
          <c:extLst>
            <c:ext xmlns:c16="http://schemas.microsoft.com/office/drawing/2014/chart" uri="{C3380CC4-5D6E-409C-BE32-E72D297353CC}">
              <c16:uniqueId val="{00000000-DED4-46B1-BB26-74E016F0E758}"/>
            </c:ext>
          </c:extLst>
        </c:ser>
        <c:ser>
          <c:idx val="1"/>
          <c:order val="2"/>
          <c:tx>
            <c:v>RangeLine</c:v>
          </c:tx>
          <c:spPr>
            <a:ln w="85725">
              <a:solidFill>
                <a:schemeClr val="bg1">
                  <a:lumMod val="65000"/>
                </a:schemeClr>
              </a:solidFill>
            </a:ln>
          </c:spPr>
          <c:marker>
            <c:symbol val="none"/>
          </c:marker>
          <c:xVal>
            <c:numRef>
              <c:f>iCountry!$BO$13:$BP$13</c:f>
              <c:numCache>
                <c:formatCode>General</c:formatCode>
                <c:ptCount val="2"/>
                <c:pt idx="0">
                  <c:v>40.6</c:v>
                </c:pt>
                <c:pt idx="1">
                  <c:v>83.2</c:v>
                </c:pt>
              </c:numCache>
            </c:numRef>
          </c:xVal>
          <c:yVal>
            <c:numLit>
              <c:formatCode>General</c:formatCode>
              <c:ptCount val="2"/>
              <c:pt idx="0">
                <c:v>2</c:v>
              </c:pt>
              <c:pt idx="1">
                <c:v>2</c:v>
              </c:pt>
            </c:numLit>
          </c:yVal>
          <c:smooth val="0"/>
          <c:extLst>
            <c:ext xmlns:c16="http://schemas.microsoft.com/office/drawing/2014/chart" uri="{C3380CC4-5D6E-409C-BE32-E72D297353CC}">
              <c16:uniqueId val="{00000002-DED4-46B1-BB26-74E016F0E758}"/>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2"/>
            <c:spPr>
              <a:solidFill>
                <a:srgbClr val="0070C0"/>
              </a:solidFill>
              <a:ln>
                <a:noFill/>
              </a:ln>
            </c:spPr>
          </c:marker>
          <c:xVal>
            <c:numRef>
              <c:f>(iCountry!$K$13,iCountry!$K$13)</c:f>
              <c:numCache>
                <c:formatCode>General</c:formatCode>
                <c:ptCount val="2"/>
                <c:pt idx="0">
                  <c:v>49.6</c:v>
                </c:pt>
                <c:pt idx="1">
                  <c:v>49.6</c:v>
                </c:pt>
              </c:numCache>
            </c:numRef>
          </c:xVal>
          <c:yVal>
            <c:numLit>
              <c:formatCode>General</c:formatCode>
              <c:ptCount val="1"/>
              <c:pt idx="0">
                <c:v>2</c:v>
              </c:pt>
            </c:numLit>
          </c:yVal>
          <c:smooth val="0"/>
          <c:extLst>
            <c:ext xmlns:c16="http://schemas.microsoft.com/office/drawing/2014/chart" uri="{C3380CC4-5D6E-409C-BE32-E72D297353CC}">
              <c16:uniqueId val="{00000000-A2FA-4D64-8908-D3D7277E89EF}"/>
            </c:ext>
          </c:extLst>
        </c:ser>
        <c:ser>
          <c:idx val="1"/>
          <c:order val="1"/>
          <c:tx>
            <c:v>RangeLine</c:v>
          </c:tx>
          <c:spPr>
            <a:ln w="85725">
              <a:solidFill>
                <a:schemeClr val="bg1">
                  <a:lumMod val="65000"/>
                </a:schemeClr>
              </a:solidFill>
            </a:ln>
          </c:spPr>
          <c:marker>
            <c:symbol val="none"/>
          </c:marker>
          <c:xVal>
            <c:numRef>
              <c:f>iCountry!$BO$13:$BP$13</c:f>
              <c:numCache>
                <c:formatCode>General</c:formatCode>
                <c:ptCount val="2"/>
                <c:pt idx="0">
                  <c:v>40.6</c:v>
                </c:pt>
                <c:pt idx="1">
                  <c:v>83.2</c:v>
                </c:pt>
              </c:numCache>
            </c:numRef>
          </c:xVal>
          <c:yVal>
            <c:numLit>
              <c:formatCode>General</c:formatCode>
              <c:ptCount val="2"/>
              <c:pt idx="0">
                <c:v>2</c:v>
              </c:pt>
              <c:pt idx="1">
                <c:v>2</c:v>
              </c:pt>
            </c:numLit>
          </c:yVal>
          <c:smooth val="0"/>
          <c:extLst>
            <c:ext xmlns:c16="http://schemas.microsoft.com/office/drawing/2014/chart" uri="{C3380CC4-5D6E-409C-BE32-E72D297353CC}">
              <c16:uniqueId val="{00000002-A2FA-4D64-8908-D3D7277E89EF}"/>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Compare!$O$23</c:f>
              <c:numCache>
                <c:formatCode>0.0</c:formatCode>
                <c:ptCount val="1"/>
                <c:pt idx="0">
                  <c:v>29</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Compare!$P$23</c:f>
              <c:numCache>
                <c:formatCode>0.0</c:formatCode>
                <c:ptCount val="1"/>
                <c:pt idx="0">
                  <c:v>48.8</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Compare!$K$23:$L$23</c:f>
              <c:numCache>
                <c:formatCode>General</c:formatCode>
                <c:ptCount val="2"/>
                <c:pt idx="0">
                  <c:v>9.8000000000000007</c:v>
                </c:pt>
                <c:pt idx="1">
                  <c:v>77.5</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(iCountry!$K$13,iCountry!$K$13)</c:f>
              <c:numCache>
                <c:formatCode>General</c:formatCode>
                <c:ptCount val="2"/>
                <c:pt idx="0">
                  <c:v>49.6</c:v>
                </c:pt>
                <c:pt idx="1">
                  <c:v>49.6</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iCountry!$BO$13:$BP$13</c:f>
              <c:numCache>
                <c:formatCode>General</c:formatCode>
                <c:ptCount val="2"/>
                <c:pt idx="0">
                  <c:v>40.6</c:v>
                </c:pt>
                <c:pt idx="1">
                  <c:v>83.2</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(iCountry!$BW$13,iCountry!$BW$13)</c:f>
              <c:numCache>
                <c:formatCode>General</c:formatCode>
                <c:ptCount val="2"/>
                <c:pt idx="0">
                  <c:v>62.4</c:v>
                </c:pt>
                <c:pt idx="1">
                  <c:v>62.4</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010752688172046E-2"/>
          <c:y val="4.1666666666666664E-2"/>
          <c:w val="0.92114695340501795"/>
          <c:h val="0.79081802274715662"/>
        </c:manualLayout>
      </c:layout>
      <c:barChart>
        <c:barDir val="col"/>
        <c:grouping val="clustered"/>
        <c:varyColors val="0"/>
        <c:ser>
          <c:idx val="0"/>
          <c:order val="0"/>
          <c:spPr>
            <a:solidFill>
              <a:srgbClr val="0070C0"/>
            </a:solidFill>
            <a:ln>
              <a:noFill/>
            </a:ln>
            <a:effectLst/>
          </c:spPr>
          <c:invertIfNegative val="0"/>
          <c:dLbls>
            <c:numFmt formatCode="0.0;\-0.0;[Color1]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iCountry!$J$59:$J$63</c:f>
              <c:strCache>
                <c:ptCount val="5"/>
                <c:pt idx="0">
                  <c:v>Air quality</c:v>
                </c:pt>
                <c:pt idx="1">
                  <c:v>Open spaces and green areas</c:v>
                </c:pt>
                <c:pt idx="2">
                  <c:v>Active transport</c:v>
                </c:pt>
                <c:pt idx="3">
                  <c:v>Food security</c:v>
                </c:pt>
                <c:pt idx="4">
                  <c:v>Access to public transport</c:v>
                </c:pt>
              </c:strCache>
            </c:strRef>
          </c:cat>
          <c:val>
            <c:numRef>
              <c:f>iCountry!$K$59:$K$63</c:f>
              <c:numCache>
                <c:formatCode>General</c:formatCode>
                <c:ptCount val="5"/>
                <c:pt idx="0">
                  <c:v>0</c:v>
                </c:pt>
                <c:pt idx="1">
                  <c:v>42.5</c:v>
                </c:pt>
                <c:pt idx="2">
                  <c:v>0</c:v>
                </c:pt>
                <c:pt idx="3">
                  <c:v>71</c:v>
                </c:pt>
                <c:pt idx="4">
                  <c:v>31.5</c:v>
                </c:pt>
              </c:numCache>
            </c:numRef>
          </c:val>
          <c:extLst>
            <c:ext xmlns:c16="http://schemas.microsoft.com/office/drawing/2014/chart" uri="{C3380CC4-5D6E-409C-BE32-E72D297353CC}">
              <c16:uniqueId val="{00000000-DABD-4E1C-9F64-74CC6C9287A8}"/>
            </c:ext>
          </c:extLst>
        </c:ser>
        <c:ser>
          <c:idx val="1"/>
          <c:order val="1"/>
          <c:tx>
            <c:v>Average</c:v>
          </c:tx>
          <c:spPr>
            <a:solidFill>
              <a:schemeClr val="accent2">
                <a:lumMod val="20000"/>
                <a:lumOff val="80000"/>
              </a:schemeClr>
            </a:solidFill>
            <a:ln w="25400">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iCountry!$J$59:$J$63</c:f>
              <c:strCache>
                <c:ptCount val="5"/>
                <c:pt idx="0">
                  <c:v>Air quality</c:v>
                </c:pt>
                <c:pt idx="1">
                  <c:v>Open spaces and green areas</c:v>
                </c:pt>
                <c:pt idx="2">
                  <c:v>Active transport</c:v>
                </c:pt>
                <c:pt idx="3">
                  <c:v>Food security</c:v>
                </c:pt>
                <c:pt idx="4">
                  <c:v>Access to public transport</c:v>
                </c:pt>
              </c:strCache>
            </c:strRef>
          </c:cat>
          <c:val>
            <c:numRef>
              <c:f>iCountry!$G$59:$G$63</c:f>
              <c:numCache>
                <c:formatCode>General</c:formatCode>
                <c:ptCount val="5"/>
                <c:pt idx="0">
                  <c:v>0</c:v>
                </c:pt>
                <c:pt idx="1">
                  <c:v>47.8</c:v>
                </c:pt>
                <c:pt idx="2">
                  <c:v>70</c:v>
                </c:pt>
                <c:pt idx="3">
                  <c:v>61.6</c:v>
                </c:pt>
                <c:pt idx="4">
                  <c:v>64.900000000000006</c:v>
                </c:pt>
              </c:numCache>
            </c:numRef>
          </c:val>
          <c:extLst>
            <c:ext xmlns:c16="http://schemas.microsoft.com/office/drawing/2014/chart" uri="{C3380CC4-5D6E-409C-BE32-E72D297353CC}">
              <c16:uniqueId val="{00000001-DABD-4E1C-9F64-74CC6C9287A8}"/>
            </c:ext>
          </c:extLst>
        </c:ser>
        <c:dLbls>
          <c:showLegendKey val="0"/>
          <c:showVal val="0"/>
          <c:showCatName val="0"/>
          <c:showSerName val="0"/>
          <c:showPercent val="0"/>
          <c:showBubbleSize val="0"/>
        </c:dLbls>
        <c:gapWidth val="120"/>
        <c:axId val="850473632"/>
        <c:axId val="850471168"/>
      </c:barChart>
      <c:catAx>
        <c:axId val="850473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0471168"/>
        <c:crosses val="autoZero"/>
        <c:auto val="1"/>
        <c:lblAlgn val="ctr"/>
        <c:lblOffset val="100"/>
        <c:noMultiLvlLbl val="0"/>
      </c:catAx>
      <c:valAx>
        <c:axId val="850471168"/>
        <c:scaling>
          <c:orientation val="minMax"/>
          <c:max val="100"/>
          <c:min val="0"/>
        </c:scaling>
        <c:delete val="1"/>
        <c:axPos val="l"/>
        <c:numFmt formatCode="General" sourceLinked="1"/>
        <c:majorTickMark val="out"/>
        <c:minorTickMark val="none"/>
        <c:tickLblPos val="nextTo"/>
        <c:crossAx val="850473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010752688172046E-2"/>
          <c:y val="4.1666666666666664E-2"/>
          <c:w val="0.92114695340501795"/>
          <c:h val="0.79081802274715662"/>
        </c:manualLayout>
      </c:layout>
      <c:barChart>
        <c:barDir val="col"/>
        <c:grouping val="clustered"/>
        <c:varyColors val="0"/>
        <c:ser>
          <c:idx val="0"/>
          <c:order val="0"/>
          <c:spPr>
            <a:solidFill>
              <a:srgbClr val="0070C0"/>
            </a:solidFill>
            <a:ln>
              <a:noFill/>
            </a:ln>
            <a:effectLst/>
          </c:spPr>
          <c:invertIfNegative val="0"/>
          <c:dLbls>
            <c:numFmt formatCode="0.0;\-0.0;[Color1]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iCountry!$J$54:$J$58</c:f>
              <c:strCache>
                <c:ptCount val="5"/>
                <c:pt idx="0">
                  <c:v>Poverty and inequality</c:v>
                </c:pt>
                <c:pt idx="1">
                  <c:v>Education
</c:v>
                </c:pt>
                <c:pt idx="2">
                  <c:v>Employment
</c:v>
                </c:pt>
                <c:pt idx="3">
                  <c:v>Access to healthcare
</c:v>
                </c:pt>
                <c:pt idx="4">
                  <c:v>Household health expenditure
</c:v>
                </c:pt>
              </c:strCache>
            </c:strRef>
          </c:cat>
          <c:val>
            <c:numRef>
              <c:f>iCountry!$K$54:$K$58</c:f>
              <c:numCache>
                <c:formatCode>General</c:formatCode>
                <c:ptCount val="5"/>
                <c:pt idx="0">
                  <c:v>82.5</c:v>
                </c:pt>
                <c:pt idx="1">
                  <c:v>2.2999999999999998</c:v>
                </c:pt>
                <c:pt idx="2">
                  <c:v>98</c:v>
                </c:pt>
                <c:pt idx="3">
                  <c:v>52.5</c:v>
                </c:pt>
                <c:pt idx="4">
                  <c:v>94.4</c:v>
                </c:pt>
              </c:numCache>
            </c:numRef>
          </c:val>
          <c:extLst>
            <c:ext xmlns:c16="http://schemas.microsoft.com/office/drawing/2014/chart" uri="{C3380CC4-5D6E-409C-BE32-E72D297353CC}">
              <c16:uniqueId val="{00000000-386A-4BFB-9262-7377AD023C91}"/>
            </c:ext>
          </c:extLst>
        </c:ser>
        <c:ser>
          <c:idx val="1"/>
          <c:order val="1"/>
          <c:tx>
            <c:v>Average</c:v>
          </c:tx>
          <c:spPr>
            <a:solidFill>
              <a:schemeClr val="accent2">
                <a:lumMod val="20000"/>
                <a:lumOff val="80000"/>
              </a:schemeClr>
            </a:solidFill>
            <a:ln w="25400">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iCountry!$J$54:$J$58</c:f>
              <c:strCache>
                <c:ptCount val="5"/>
                <c:pt idx="0">
                  <c:v>Poverty and inequality</c:v>
                </c:pt>
                <c:pt idx="1">
                  <c:v>Education
</c:v>
                </c:pt>
                <c:pt idx="2">
                  <c:v>Employment
</c:v>
                </c:pt>
                <c:pt idx="3">
                  <c:v>Access to healthcare
</c:v>
                </c:pt>
                <c:pt idx="4">
                  <c:v>Household health expenditure
</c:v>
                </c:pt>
              </c:strCache>
            </c:strRef>
          </c:cat>
          <c:val>
            <c:numRef>
              <c:f>iCountry!$G$54:$G$58</c:f>
              <c:numCache>
                <c:formatCode>General</c:formatCode>
                <c:ptCount val="5"/>
                <c:pt idx="0">
                  <c:v>67.2</c:v>
                </c:pt>
                <c:pt idx="1">
                  <c:v>59.4</c:v>
                </c:pt>
                <c:pt idx="2">
                  <c:v>85.2</c:v>
                </c:pt>
                <c:pt idx="3">
                  <c:v>63.3</c:v>
                </c:pt>
                <c:pt idx="4">
                  <c:v>74.599999999999994</c:v>
                </c:pt>
              </c:numCache>
            </c:numRef>
          </c:val>
          <c:extLst>
            <c:ext xmlns:c16="http://schemas.microsoft.com/office/drawing/2014/chart" uri="{C3380CC4-5D6E-409C-BE32-E72D297353CC}">
              <c16:uniqueId val="{00000001-386A-4BFB-9262-7377AD023C91}"/>
            </c:ext>
          </c:extLst>
        </c:ser>
        <c:dLbls>
          <c:showLegendKey val="0"/>
          <c:showVal val="0"/>
          <c:showCatName val="0"/>
          <c:showSerName val="0"/>
          <c:showPercent val="0"/>
          <c:showBubbleSize val="0"/>
        </c:dLbls>
        <c:gapWidth val="120"/>
        <c:axId val="850473632"/>
        <c:axId val="850471168"/>
      </c:barChart>
      <c:catAx>
        <c:axId val="850473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0471168"/>
        <c:crosses val="autoZero"/>
        <c:auto val="1"/>
        <c:lblAlgn val="ctr"/>
        <c:lblOffset val="100"/>
        <c:noMultiLvlLbl val="0"/>
      </c:catAx>
      <c:valAx>
        <c:axId val="850471168"/>
        <c:scaling>
          <c:orientation val="minMax"/>
          <c:max val="100"/>
          <c:min val="0"/>
        </c:scaling>
        <c:delete val="1"/>
        <c:axPos val="l"/>
        <c:numFmt formatCode="General" sourceLinked="1"/>
        <c:majorTickMark val="out"/>
        <c:minorTickMark val="none"/>
        <c:tickLblPos val="nextTo"/>
        <c:crossAx val="850473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010752688172046E-2"/>
          <c:y val="4.1666666666666664E-2"/>
          <c:w val="0.92114695340501795"/>
          <c:h val="0.79081802274715662"/>
        </c:manualLayout>
      </c:layout>
      <c:barChart>
        <c:barDir val="col"/>
        <c:grouping val="clustered"/>
        <c:varyColors val="0"/>
        <c:ser>
          <c:idx val="0"/>
          <c:order val="0"/>
          <c:spPr>
            <a:solidFill>
              <a:srgbClr val="0070C0"/>
            </a:solidFill>
            <a:ln>
              <a:noFill/>
            </a:ln>
            <a:effectLst/>
          </c:spPr>
          <c:invertIfNegative val="0"/>
          <c:dLbls>
            <c:numFmt formatCode="0.0;\-0.0;[Color1]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iCountry!$J$72:$J$75</c:f>
              <c:strCache>
                <c:ptCount val="4"/>
                <c:pt idx="0">
                  <c:v>Access to medicines</c:v>
                </c:pt>
                <c:pt idx="1">
                  <c:v>Hypertension diagnosis coverage</c:v>
                </c:pt>
                <c:pt idx="2">
                  <c:v>Undiagnosed diabetes</c:v>
                </c:pt>
                <c:pt idx="3">
                  <c:v>Patient-centred care</c:v>
                </c:pt>
              </c:strCache>
            </c:strRef>
          </c:cat>
          <c:val>
            <c:numRef>
              <c:f>iCountry!$K$72:$K$75</c:f>
              <c:numCache>
                <c:formatCode>General</c:formatCode>
                <c:ptCount val="4"/>
                <c:pt idx="0">
                  <c:v>0</c:v>
                </c:pt>
                <c:pt idx="1">
                  <c:v>34</c:v>
                </c:pt>
                <c:pt idx="2">
                  <c:v>42.4</c:v>
                </c:pt>
                <c:pt idx="3">
                  <c:v>0</c:v>
                </c:pt>
              </c:numCache>
            </c:numRef>
          </c:val>
          <c:extLst>
            <c:ext xmlns:c16="http://schemas.microsoft.com/office/drawing/2014/chart" uri="{C3380CC4-5D6E-409C-BE32-E72D297353CC}">
              <c16:uniqueId val="{00000000-074B-4443-A2B7-79881F503D64}"/>
            </c:ext>
          </c:extLst>
        </c:ser>
        <c:ser>
          <c:idx val="1"/>
          <c:order val="1"/>
          <c:tx>
            <c:v>Average</c:v>
          </c:tx>
          <c:spPr>
            <a:solidFill>
              <a:schemeClr val="accent2">
                <a:lumMod val="20000"/>
                <a:lumOff val="80000"/>
              </a:schemeClr>
            </a:solidFill>
            <a:ln w="25400">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iCountry!$J$72:$J$75</c:f>
              <c:strCache>
                <c:ptCount val="4"/>
                <c:pt idx="0">
                  <c:v>Access to medicines</c:v>
                </c:pt>
                <c:pt idx="1">
                  <c:v>Hypertension diagnosis coverage</c:v>
                </c:pt>
                <c:pt idx="2">
                  <c:v>Undiagnosed diabetes</c:v>
                </c:pt>
                <c:pt idx="3">
                  <c:v>Patient-centred care</c:v>
                </c:pt>
              </c:strCache>
            </c:strRef>
          </c:cat>
          <c:val>
            <c:numRef>
              <c:f>iCountry!$G$72:$G$75</c:f>
              <c:numCache>
                <c:formatCode>General</c:formatCode>
                <c:ptCount val="4"/>
                <c:pt idx="0">
                  <c:v>89</c:v>
                </c:pt>
                <c:pt idx="1">
                  <c:v>56.9</c:v>
                </c:pt>
                <c:pt idx="2">
                  <c:v>59</c:v>
                </c:pt>
                <c:pt idx="3">
                  <c:v>52</c:v>
                </c:pt>
              </c:numCache>
            </c:numRef>
          </c:val>
          <c:extLst>
            <c:ext xmlns:c16="http://schemas.microsoft.com/office/drawing/2014/chart" uri="{C3380CC4-5D6E-409C-BE32-E72D297353CC}">
              <c16:uniqueId val="{00000001-074B-4443-A2B7-79881F503D64}"/>
            </c:ext>
          </c:extLst>
        </c:ser>
        <c:dLbls>
          <c:showLegendKey val="0"/>
          <c:showVal val="0"/>
          <c:showCatName val="0"/>
          <c:showSerName val="0"/>
          <c:showPercent val="0"/>
          <c:showBubbleSize val="0"/>
        </c:dLbls>
        <c:gapWidth val="120"/>
        <c:axId val="850473632"/>
        <c:axId val="850471168"/>
      </c:barChart>
      <c:catAx>
        <c:axId val="850473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0471168"/>
        <c:crosses val="autoZero"/>
        <c:auto val="1"/>
        <c:lblAlgn val="ctr"/>
        <c:lblOffset val="100"/>
        <c:noMultiLvlLbl val="0"/>
      </c:catAx>
      <c:valAx>
        <c:axId val="850471168"/>
        <c:scaling>
          <c:orientation val="minMax"/>
          <c:max val="100"/>
          <c:min val="0"/>
        </c:scaling>
        <c:delete val="1"/>
        <c:axPos val="l"/>
        <c:numFmt formatCode="General" sourceLinked="1"/>
        <c:majorTickMark val="out"/>
        <c:minorTickMark val="none"/>
        <c:tickLblPos val="nextTo"/>
        <c:crossAx val="850473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010752688172046E-2"/>
          <c:y val="4.1666666666666664E-2"/>
          <c:w val="0.92114695340501795"/>
          <c:h val="0.79081802274715662"/>
        </c:manualLayout>
      </c:layout>
      <c:barChart>
        <c:barDir val="col"/>
        <c:grouping val="clustered"/>
        <c:varyColors val="0"/>
        <c:ser>
          <c:idx val="0"/>
          <c:order val="0"/>
          <c:spPr>
            <a:solidFill>
              <a:srgbClr val="0070C0"/>
            </a:solidFill>
            <a:ln>
              <a:noFill/>
            </a:ln>
            <a:effectLst/>
          </c:spPr>
          <c:invertIfNegative val="0"/>
          <c:dLbls>
            <c:numFmt formatCode="0.0;\-0.0;[Color1]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iCountry!$J$64:$J$71</c:f>
              <c:strCache>
                <c:ptCount val="8"/>
                <c:pt idx="0">
                  <c:v>Tobacco use</c:v>
                </c:pt>
                <c:pt idx="1">
                  <c:v>Vegetable consumption</c:v>
                </c:pt>
                <c:pt idx="2">
                  <c:v>Trans fats consumption</c:v>
                </c:pt>
                <c:pt idx="3">
                  <c:v>Physical activity</c:v>
                </c:pt>
                <c:pt idx="4">
                  <c:v>Hypertension</c:v>
                </c:pt>
                <c:pt idx="5">
                  <c:v>Diabetes</c:v>
                </c:pt>
                <c:pt idx="6">
                  <c:v>Obesity</c:v>
                </c:pt>
                <c:pt idx="7">
                  <c:v>Cholesterol</c:v>
                </c:pt>
              </c:strCache>
            </c:strRef>
          </c:cat>
          <c:val>
            <c:numRef>
              <c:f>iCountry!$K$64:$K$71</c:f>
              <c:numCache>
                <c:formatCode>General</c:formatCode>
                <c:ptCount val="8"/>
                <c:pt idx="0">
                  <c:v>47.4</c:v>
                </c:pt>
                <c:pt idx="1">
                  <c:v>4.7</c:v>
                </c:pt>
                <c:pt idx="2">
                  <c:v>50</c:v>
                </c:pt>
                <c:pt idx="3">
                  <c:v>42.6</c:v>
                </c:pt>
                <c:pt idx="4">
                  <c:v>61.3</c:v>
                </c:pt>
                <c:pt idx="5">
                  <c:v>46.7</c:v>
                </c:pt>
                <c:pt idx="6">
                  <c:v>94.6</c:v>
                </c:pt>
                <c:pt idx="7">
                  <c:v>30.5</c:v>
                </c:pt>
              </c:numCache>
            </c:numRef>
          </c:val>
          <c:extLst>
            <c:ext xmlns:c16="http://schemas.microsoft.com/office/drawing/2014/chart" uri="{C3380CC4-5D6E-409C-BE32-E72D297353CC}">
              <c16:uniqueId val="{00000000-BEEB-4DFD-ADDC-BD4F2344FA51}"/>
            </c:ext>
          </c:extLst>
        </c:ser>
        <c:ser>
          <c:idx val="1"/>
          <c:order val="1"/>
          <c:tx>
            <c:v>Average</c:v>
          </c:tx>
          <c:spPr>
            <a:solidFill>
              <a:schemeClr val="accent2">
                <a:lumMod val="20000"/>
                <a:lumOff val="80000"/>
              </a:schemeClr>
            </a:solidFill>
            <a:ln w="25400">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iCountry!$J$64:$J$71</c:f>
              <c:strCache>
                <c:ptCount val="8"/>
                <c:pt idx="0">
                  <c:v>Tobacco use</c:v>
                </c:pt>
                <c:pt idx="1">
                  <c:v>Vegetable consumption</c:v>
                </c:pt>
                <c:pt idx="2">
                  <c:v>Trans fats consumption</c:v>
                </c:pt>
                <c:pt idx="3">
                  <c:v>Physical activity</c:v>
                </c:pt>
                <c:pt idx="4">
                  <c:v>Hypertension</c:v>
                </c:pt>
                <c:pt idx="5">
                  <c:v>Diabetes</c:v>
                </c:pt>
                <c:pt idx="6">
                  <c:v>Obesity</c:v>
                </c:pt>
                <c:pt idx="7">
                  <c:v>Cholesterol</c:v>
                </c:pt>
              </c:strCache>
            </c:strRef>
          </c:cat>
          <c:val>
            <c:numRef>
              <c:f>iCountry!$G$64:$G$71</c:f>
              <c:numCache>
                <c:formatCode>General</c:formatCode>
                <c:ptCount val="8"/>
                <c:pt idx="0">
                  <c:v>66.5</c:v>
                </c:pt>
                <c:pt idx="1">
                  <c:v>45.8</c:v>
                </c:pt>
                <c:pt idx="2">
                  <c:v>53.9</c:v>
                </c:pt>
                <c:pt idx="3">
                  <c:v>60.4</c:v>
                </c:pt>
                <c:pt idx="4">
                  <c:v>63</c:v>
                </c:pt>
                <c:pt idx="5">
                  <c:v>78.900000000000006</c:v>
                </c:pt>
                <c:pt idx="6">
                  <c:v>62.9</c:v>
                </c:pt>
                <c:pt idx="7">
                  <c:v>31.8</c:v>
                </c:pt>
              </c:numCache>
            </c:numRef>
          </c:val>
          <c:extLst>
            <c:ext xmlns:c16="http://schemas.microsoft.com/office/drawing/2014/chart" uri="{C3380CC4-5D6E-409C-BE32-E72D297353CC}">
              <c16:uniqueId val="{00000001-BEEB-4DFD-ADDC-BD4F2344FA51}"/>
            </c:ext>
          </c:extLst>
        </c:ser>
        <c:dLbls>
          <c:showLegendKey val="0"/>
          <c:showVal val="0"/>
          <c:showCatName val="0"/>
          <c:showSerName val="0"/>
          <c:showPercent val="0"/>
          <c:showBubbleSize val="0"/>
        </c:dLbls>
        <c:gapWidth val="120"/>
        <c:axId val="850473632"/>
        <c:axId val="850471168"/>
      </c:barChart>
      <c:catAx>
        <c:axId val="850473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0471168"/>
        <c:crosses val="autoZero"/>
        <c:auto val="1"/>
        <c:lblAlgn val="ctr"/>
        <c:lblOffset val="100"/>
        <c:noMultiLvlLbl val="0"/>
      </c:catAx>
      <c:valAx>
        <c:axId val="850471168"/>
        <c:scaling>
          <c:orientation val="minMax"/>
          <c:max val="100"/>
          <c:min val="0"/>
        </c:scaling>
        <c:delete val="1"/>
        <c:axPos val="l"/>
        <c:numFmt formatCode="General" sourceLinked="1"/>
        <c:majorTickMark val="out"/>
        <c:minorTickMark val="none"/>
        <c:tickLblPos val="nextTo"/>
        <c:crossAx val="850473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iCountry!$C$4</c:f>
              <c:strCache>
                <c:ptCount val="1"/>
                <c:pt idx="0">
                  <c:v>Addis Ababa</c:v>
                </c:pt>
              </c:strCache>
            </c:strRef>
          </c:tx>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1-3914-4B8F-A892-1FF1000FD37C}"/>
              </c:ext>
            </c:extLst>
          </c:dPt>
          <c:dPt>
            <c:idx val="1"/>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1-B0AF-452D-A185-763431B45725}"/>
              </c:ext>
            </c:extLst>
          </c:dPt>
          <c:dPt>
            <c:idx val="2"/>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3-B0AF-452D-A185-763431B45725}"/>
              </c:ext>
            </c:extLst>
          </c:dPt>
          <c:dPt>
            <c:idx val="3"/>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5-B0AF-452D-A185-763431B45725}"/>
              </c:ext>
            </c:extLst>
          </c:dPt>
          <c:dPt>
            <c:idx val="4"/>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F-B0AF-452D-A185-763431B45725}"/>
              </c:ext>
            </c:extLst>
          </c:dPt>
          <c:cat>
            <c:strRef>
              <c:f>iCountry!$J$13:$J$17</c:f>
              <c:strCache>
                <c:ptCount val="5"/>
                <c:pt idx="0">
                  <c:v>OVERALL</c:v>
                </c:pt>
                <c:pt idx="1">
                  <c:v>SOCIAL DETERMINANTS</c:v>
                </c:pt>
                <c:pt idx="2">
                  <c:v>PHYSICAL ENVIRONMENT</c:v>
                </c:pt>
                <c:pt idx="3">
                  <c:v>HEALTH RISKS</c:v>
                </c:pt>
                <c:pt idx="4">
                  <c:v>HEALTH SERVICES</c:v>
                </c:pt>
              </c:strCache>
            </c:strRef>
          </c:cat>
          <c:val>
            <c:numRef>
              <c:f>iCountry!$K$13:$K$17</c:f>
              <c:numCache>
                <c:formatCode>General</c:formatCode>
                <c:ptCount val="5"/>
                <c:pt idx="0">
                  <c:v>49.6</c:v>
                </c:pt>
                <c:pt idx="1">
                  <c:v>65.900000000000006</c:v>
                </c:pt>
                <c:pt idx="2">
                  <c:v>29</c:v>
                </c:pt>
                <c:pt idx="3">
                  <c:v>47.2</c:v>
                </c:pt>
                <c:pt idx="4">
                  <c:v>19.100000000000001</c:v>
                </c:pt>
              </c:numCache>
            </c:numRef>
          </c:val>
          <c:extLst>
            <c:ext xmlns:c16="http://schemas.microsoft.com/office/drawing/2014/chart" uri="{C3380CC4-5D6E-409C-BE32-E72D297353CC}">
              <c16:uniqueId val="{00000006-B0AF-452D-A185-763431B45725}"/>
            </c:ext>
          </c:extLst>
        </c:ser>
        <c:ser>
          <c:idx val="1"/>
          <c:order val="1"/>
          <c:tx>
            <c:strRef>
              <c:f>iCountry!$C$10</c:f>
              <c:strCache>
                <c:ptCount val="1"/>
                <c:pt idx="0">
                  <c:v>All cities (average)</c:v>
                </c:pt>
              </c:strCache>
            </c:strRef>
          </c:tx>
          <c:spPr>
            <a:solidFill>
              <a:schemeClr val="bg1">
                <a:lumMod val="65000"/>
              </a:schemeClr>
            </a:solidFill>
            <a:ln>
              <a:noFill/>
            </a:ln>
            <a:effectLst/>
          </c:spPr>
          <c:invertIfNegative val="0"/>
          <c:dPt>
            <c:idx val="1"/>
            <c:invertIfNegative val="0"/>
            <c:bubble3D val="0"/>
            <c:spPr>
              <a:solidFill>
                <a:schemeClr val="bg1">
                  <a:lumMod val="75000"/>
                </a:schemeClr>
              </a:solidFill>
              <a:ln>
                <a:noFill/>
              </a:ln>
              <a:effectLst/>
            </c:spPr>
            <c:extLst>
              <c:ext xmlns:c16="http://schemas.microsoft.com/office/drawing/2014/chart" uri="{C3380CC4-5D6E-409C-BE32-E72D297353CC}">
                <c16:uniqueId val="{00000008-B0AF-452D-A185-763431B45725}"/>
              </c:ext>
            </c:extLst>
          </c:dPt>
          <c:dPt>
            <c:idx val="2"/>
            <c:invertIfNegative val="0"/>
            <c:bubble3D val="0"/>
            <c:spPr>
              <a:solidFill>
                <a:schemeClr val="bg1">
                  <a:lumMod val="75000"/>
                </a:schemeClr>
              </a:solidFill>
              <a:ln>
                <a:noFill/>
              </a:ln>
              <a:effectLst/>
            </c:spPr>
            <c:extLst>
              <c:ext xmlns:c16="http://schemas.microsoft.com/office/drawing/2014/chart" uri="{C3380CC4-5D6E-409C-BE32-E72D297353CC}">
                <c16:uniqueId val="{0000000A-B0AF-452D-A185-763431B45725}"/>
              </c:ext>
            </c:extLst>
          </c:dPt>
          <c:dPt>
            <c:idx val="3"/>
            <c:invertIfNegative val="0"/>
            <c:bubble3D val="0"/>
            <c:spPr>
              <a:solidFill>
                <a:schemeClr val="bg1">
                  <a:lumMod val="75000"/>
                </a:schemeClr>
              </a:solidFill>
              <a:ln>
                <a:noFill/>
              </a:ln>
              <a:effectLst/>
            </c:spPr>
            <c:extLst>
              <c:ext xmlns:c16="http://schemas.microsoft.com/office/drawing/2014/chart" uri="{C3380CC4-5D6E-409C-BE32-E72D297353CC}">
                <c16:uniqueId val="{0000000C-B0AF-452D-A185-763431B45725}"/>
              </c:ext>
            </c:extLst>
          </c:dPt>
          <c:dPt>
            <c:idx val="4"/>
            <c:invertIfNegative val="0"/>
            <c:bubble3D val="0"/>
            <c:spPr>
              <a:solidFill>
                <a:schemeClr val="bg1">
                  <a:lumMod val="75000"/>
                </a:schemeClr>
              </a:solidFill>
              <a:ln>
                <a:noFill/>
              </a:ln>
              <a:effectLst/>
            </c:spPr>
            <c:extLst>
              <c:ext xmlns:c16="http://schemas.microsoft.com/office/drawing/2014/chart" uri="{C3380CC4-5D6E-409C-BE32-E72D297353CC}">
                <c16:uniqueId val="{00000010-B0AF-452D-A185-763431B45725}"/>
              </c:ext>
            </c:extLst>
          </c:dPt>
          <c:cat>
            <c:strRef>
              <c:f>iCountry!$J$13:$J$17</c:f>
              <c:strCache>
                <c:ptCount val="5"/>
                <c:pt idx="0">
                  <c:v>OVERALL</c:v>
                </c:pt>
                <c:pt idx="1">
                  <c:v>SOCIAL DETERMINANTS</c:v>
                </c:pt>
                <c:pt idx="2">
                  <c:v>PHYSICAL ENVIRONMENT</c:v>
                </c:pt>
                <c:pt idx="3">
                  <c:v>HEALTH RISKS</c:v>
                </c:pt>
                <c:pt idx="4">
                  <c:v>HEALTH SERVICES</c:v>
                </c:pt>
              </c:strCache>
            </c:strRef>
          </c:cat>
          <c:val>
            <c:numRef>
              <c:f>iCountry!$E$13:$E$17</c:f>
              <c:numCache>
                <c:formatCode>General</c:formatCode>
                <c:ptCount val="5"/>
                <c:pt idx="0">
                  <c:v>62.4</c:v>
                </c:pt>
                <c:pt idx="1">
                  <c:v>70</c:v>
                </c:pt>
                <c:pt idx="2">
                  <c:v>48.8</c:v>
                </c:pt>
                <c:pt idx="3">
                  <c:v>57.9</c:v>
                </c:pt>
                <c:pt idx="4">
                  <c:v>64.3</c:v>
                </c:pt>
              </c:numCache>
            </c:numRef>
          </c:val>
          <c:extLst>
            <c:ext xmlns:c16="http://schemas.microsoft.com/office/drawing/2014/chart" uri="{C3380CC4-5D6E-409C-BE32-E72D297353CC}">
              <c16:uniqueId val="{0000000D-B0AF-452D-A185-763431B45725}"/>
            </c:ext>
          </c:extLst>
        </c:ser>
        <c:dLbls>
          <c:showLegendKey val="0"/>
          <c:showVal val="0"/>
          <c:showCatName val="0"/>
          <c:showSerName val="0"/>
          <c:showPercent val="0"/>
          <c:showBubbleSize val="0"/>
        </c:dLbls>
        <c:gapWidth val="121"/>
        <c:overlap val="-7"/>
        <c:axId val="785777800"/>
        <c:axId val="785779400"/>
      </c:barChart>
      <c:catAx>
        <c:axId val="785777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85779400"/>
        <c:crosses val="autoZero"/>
        <c:auto val="1"/>
        <c:lblAlgn val="ctr"/>
        <c:lblOffset val="100"/>
        <c:noMultiLvlLbl val="0"/>
      </c:catAx>
      <c:valAx>
        <c:axId val="785779400"/>
        <c:scaling>
          <c:orientation val="minMax"/>
          <c:max val="100"/>
        </c:scaling>
        <c:delete val="0"/>
        <c:axPos val="l"/>
        <c:majorGridlines>
          <c:spPr>
            <a:ln w="9525" cap="flat" cmpd="sng" algn="ctr">
              <a:solidFill>
                <a:schemeClr val="bg1">
                  <a:lumMod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57778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Lit>
              <c:formatCode>General</c:formatCode>
              <c:ptCount val="1"/>
              <c:pt idx="0">
                <c:v>50</c:v>
              </c:pt>
            </c:numLit>
          </c:xVal>
          <c:yVal>
            <c:numLit>
              <c:formatCode>General</c:formatCode>
              <c:ptCount val="1"/>
              <c:pt idx="0">
                <c:v>2</c:v>
              </c:pt>
            </c:numLit>
          </c:yVal>
          <c:smooth val="0"/>
          <c:extLst>
            <c:ext xmlns:c16="http://schemas.microsoft.com/office/drawing/2014/chart" uri="{C3380CC4-5D6E-409C-BE32-E72D297353CC}">
              <c16:uniqueId val="{00000000-DA14-4CA8-B58A-DBF3C279E482}"/>
            </c:ext>
          </c:extLst>
        </c:ser>
        <c:ser>
          <c:idx val="1"/>
          <c:order val="1"/>
          <c:tx>
            <c:v>RangeLine</c:v>
          </c:tx>
          <c:spPr>
            <a:ln w="85725">
              <a:solidFill>
                <a:schemeClr val="bg1">
                  <a:lumMod val="85000"/>
                </a:schemeClr>
              </a:solidFill>
            </a:ln>
          </c:spPr>
          <c:marker>
            <c:symbol val="none"/>
          </c:marker>
          <c:xVal>
            <c:numLit>
              <c:formatCode>General</c:formatCode>
              <c:ptCount val="2"/>
              <c:pt idx="0">
                <c:v>15</c:v>
              </c:pt>
              <c:pt idx="1">
                <c:v>85</c:v>
              </c:pt>
            </c:numLit>
          </c:xVal>
          <c:yVal>
            <c:numLit>
              <c:formatCode>General</c:formatCode>
              <c:ptCount val="2"/>
              <c:pt idx="0">
                <c:v>2</c:v>
              </c:pt>
              <c:pt idx="1">
                <c:v>2</c:v>
              </c:pt>
            </c:numLit>
          </c:yVal>
          <c:smooth val="0"/>
          <c:extLst>
            <c:ext xmlns:c16="http://schemas.microsoft.com/office/drawing/2014/chart" uri="{C3380CC4-5D6E-409C-BE32-E72D297353CC}">
              <c16:uniqueId val="{00000001-DA14-4CA8-B58A-DBF3C279E482}"/>
            </c:ext>
          </c:extLst>
        </c:ser>
        <c:ser>
          <c:idx val="0"/>
          <c:order val="2"/>
          <c:tx>
            <c:v>All_Entity_Average</c:v>
          </c:tx>
          <c:spPr>
            <a:ln w="28575">
              <a:solidFill>
                <a:schemeClr val="bg1">
                  <a:lumMod val="50000"/>
                </a:schemeClr>
              </a:solidFill>
            </a:ln>
          </c:spPr>
          <c:marker>
            <c:symbol val="none"/>
          </c:marker>
          <c:xVal>
            <c:numLit>
              <c:formatCode>General</c:formatCode>
              <c:ptCount val="2"/>
              <c:pt idx="0">
                <c:v>60</c:v>
              </c:pt>
              <c:pt idx="1">
                <c:v>60</c:v>
              </c:pt>
            </c:numLit>
          </c:xVal>
          <c:yVal>
            <c:numLit>
              <c:formatCode>General</c:formatCode>
              <c:ptCount val="2"/>
              <c:pt idx="0">
                <c:v>0.25</c:v>
              </c:pt>
              <c:pt idx="1">
                <c:v>3.75</c:v>
              </c:pt>
            </c:numLit>
          </c:yVal>
          <c:smooth val="0"/>
          <c:extLst>
            <c:ext xmlns:c16="http://schemas.microsoft.com/office/drawing/2014/chart" uri="{C3380CC4-5D6E-409C-BE32-E72D297353CC}">
              <c16:uniqueId val="{00000002-DA14-4CA8-B58A-DBF3C279E482}"/>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solidFill>
          <a:schemeClr val="bg1"/>
        </a:solidFill>
        <a:ln w="25400">
          <a:noFill/>
        </a:ln>
      </c:spPr>
    </c:plotArea>
    <c:plotVisOnly val="0"/>
    <c:dispBlanksAs val="gap"/>
    <c:showDLblsOverMax val="0"/>
  </c:chart>
  <c:spPr>
    <a:solidFill>
      <a:schemeClr val="bg1"/>
    </a:solid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010752688172046E-2"/>
          <c:y val="4.1666666666666664E-2"/>
          <c:w val="0.92114695340501795"/>
          <c:h val="0.79081802274715662"/>
        </c:manualLayout>
      </c:layout>
      <c:barChart>
        <c:barDir val="col"/>
        <c:grouping val="clustered"/>
        <c:varyColors val="0"/>
        <c:ser>
          <c:idx val="0"/>
          <c:order val="0"/>
          <c:spPr>
            <a:solidFill>
              <a:srgbClr val="0070C0"/>
            </a:solidFill>
            <a:ln>
              <a:noFill/>
            </a:ln>
            <a:effectLst/>
          </c:spPr>
          <c:invertIfNegative val="0"/>
          <c:dLbls>
            <c:numFmt formatCode="0.0;\-0.0;[Color1]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iCountry!$J$76:$J$84</c:f>
              <c:strCache>
                <c:ptCount val="9"/>
                <c:pt idx="0">
                  <c:v>Regulatory power</c:v>
                </c:pt>
                <c:pt idx="1">
                  <c:v>Political will</c:v>
                </c:pt>
                <c:pt idx="2">
                  <c:v>Urban health plan</c:v>
                </c:pt>
                <c:pt idx="3">
                  <c:v>Healthy diet policies</c:v>
                </c:pt>
                <c:pt idx="4">
                  <c:v>CVD management guidelines</c:v>
                </c:pt>
                <c:pt idx="5">
                  <c:v>Treatment guidelines</c:v>
                </c:pt>
                <c:pt idx="6">
                  <c:v>Tobacco control</c:v>
                </c:pt>
                <c:pt idx="7">
                  <c:v>Air pollution control</c:v>
                </c:pt>
                <c:pt idx="8">
                  <c:v>Health promotion</c:v>
                </c:pt>
              </c:strCache>
            </c:strRef>
          </c:cat>
          <c:val>
            <c:numRef>
              <c:f>iCountry!$K$76:$K$84</c:f>
              <c:numCache>
                <c:formatCode>General</c:formatCode>
                <c:ptCount val="9"/>
                <c:pt idx="0">
                  <c:v>100</c:v>
                </c:pt>
                <c:pt idx="1">
                  <c:v>100</c:v>
                </c:pt>
                <c:pt idx="2">
                  <c:v>66.7</c:v>
                </c:pt>
                <c:pt idx="3">
                  <c:v>0</c:v>
                </c:pt>
                <c:pt idx="4">
                  <c:v>100</c:v>
                </c:pt>
                <c:pt idx="5">
                  <c:v>100</c:v>
                </c:pt>
                <c:pt idx="6">
                  <c:v>75</c:v>
                </c:pt>
                <c:pt idx="7">
                  <c:v>66.7</c:v>
                </c:pt>
                <c:pt idx="8">
                  <c:v>0</c:v>
                </c:pt>
              </c:numCache>
            </c:numRef>
          </c:val>
          <c:extLst>
            <c:ext xmlns:c16="http://schemas.microsoft.com/office/drawing/2014/chart" uri="{C3380CC4-5D6E-409C-BE32-E72D297353CC}">
              <c16:uniqueId val="{00000000-F23B-4017-809E-258BB6DE2A83}"/>
            </c:ext>
          </c:extLst>
        </c:ser>
        <c:ser>
          <c:idx val="1"/>
          <c:order val="1"/>
          <c:tx>
            <c:v>Average</c:v>
          </c:tx>
          <c:spPr>
            <a:solidFill>
              <a:schemeClr val="accent2">
                <a:lumMod val="20000"/>
                <a:lumOff val="80000"/>
              </a:schemeClr>
            </a:solidFill>
            <a:ln w="25400">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iCountry!$J$76:$J$84</c:f>
              <c:strCache>
                <c:ptCount val="9"/>
                <c:pt idx="0">
                  <c:v>Regulatory power</c:v>
                </c:pt>
                <c:pt idx="1">
                  <c:v>Political will</c:v>
                </c:pt>
                <c:pt idx="2">
                  <c:v>Urban health plan</c:v>
                </c:pt>
                <c:pt idx="3">
                  <c:v>Healthy diet policies</c:v>
                </c:pt>
                <c:pt idx="4">
                  <c:v>CVD management guidelines</c:v>
                </c:pt>
                <c:pt idx="5">
                  <c:v>Treatment guidelines</c:v>
                </c:pt>
                <c:pt idx="6">
                  <c:v>Tobacco control</c:v>
                </c:pt>
                <c:pt idx="7">
                  <c:v>Air pollution control</c:v>
                </c:pt>
                <c:pt idx="8">
                  <c:v>Health promotion</c:v>
                </c:pt>
              </c:strCache>
            </c:strRef>
          </c:cat>
          <c:val>
            <c:numRef>
              <c:f>iCountry!$G$76:$G$84</c:f>
              <c:numCache>
                <c:formatCode>General</c:formatCode>
                <c:ptCount val="9"/>
                <c:pt idx="0">
                  <c:v>52</c:v>
                </c:pt>
                <c:pt idx="1">
                  <c:v>88.7</c:v>
                </c:pt>
                <c:pt idx="2">
                  <c:v>60.7</c:v>
                </c:pt>
                <c:pt idx="3">
                  <c:v>55</c:v>
                </c:pt>
                <c:pt idx="4">
                  <c:v>78</c:v>
                </c:pt>
                <c:pt idx="5">
                  <c:v>95</c:v>
                </c:pt>
                <c:pt idx="6">
                  <c:v>67</c:v>
                </c:pt>
                <c:pt idx="7">
                  <c:v>82.7</c:v>
                </c:pt>
                <c:pt idx="8">
                  <c:v>41</c:v>
                </c:pt>
              </c:numCache>
            </c:numRef>
          </c:val>
          <c:extLst>
            <c:ext xmlns:c16="http://schemas.microsoft.com/office/drawing/2014/chart" uri="{C3380CC4-5D6E-409C-BE32-E72D297353CC}">
              <c16:uniqueId val="{00000001-F23B-4017-809E-258BB6DE2A83}"/>
            </c:ext>
          </c:extLst>
        </c:ser>
        <c:dLbls>
          <c:showLegendKey val="0"/>
          <c:showVal val="0"/>
          <c:showCatName val="0"/>
          <c:showSerName val="0"/>
          <c:showPercent val="0"/>
          <c:showBubbleSize val="0"/>
        </c:dLbls>
        <c:gapWidth val="120"/>
        <c:axId val="850473632"/>
        <c:axId val="850471168"/>
      </c:barChart>
      <c:catAx>
        <c:axId val="850473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0471168"/>
        <c:crosses val="autoZero"/>
        <c:auto val="1"/>
        <c:lblAlgn val="ctr"/>
        <c:lblOffset val="100"/>
        <c:noMultiLvlLbl val="0"/>
      </c:catAx>
      <c:valAx>
        <c:axId val="850471168"/>
        <c:scaling>
          <c:orientation val="minMax"/>
          <c:max val="100"/>
          <c:min val="0"/>
        </c:scaling>
        <c:delete val="1"/>
        <c:axPos val="l"/>
        <c:numFmt formatCode="General" sourceLinked="1"/>
        <c:majorTickMark val="out"/>
        <c:minorTickMark val="none"/>
        <c:tickLblPos val="nextTo"/>
        <c:crossAx val="850473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(iCountry!$K$13,iCountry!$K$13)</c:f>
              <c:numCache>
                <c:formatCode>General</c:formatCode>
                <c:ptCount val="2"/>
                <c:pt idx="0">
                  <c:v>49.6</c:v>
                </c:pt>
                <c:pt idx="1">
                  <c:v>49.6</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iCountry!$BO$13:$BP$13</c:f>
              <c:numCache>
                <c:formatCode>General</c:formatCode>
                <c:ptCount val="2"/>
                <c:pt idx="0">
                  <c:v>40.6</c:v>
                </c:pt>
                <c:pt idx="1">
                  <c:v>83.2</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(iCountry!$BW$13,iCountry!$BW$13)</c:f>
              <c:numCache>
                <c:formatCode>General</c:formatCode>
                <c:ptCount val="2"/>
                <c:pt idx="0">
                  <c:v>62.4</c:v>
                </c:pt>
                <c:pt idx="1">
                  <c:v>62.4</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(iCountry!$K$14,iCountry!$K$14)</c:f>
              <c:numCache>
                <c:formatCode>General</c:formatCode>
                <c:ptCount val="2"/>
                <c:pt idx="0">
                  <c:v>65.900000000000006</c:v>
                </c:pt>
                <c:pt idx="1">
                  <c:v>65.900000000000006</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iCountry!$BO$14:$BP$14</c:f>
              <c:numCache>
                <c:formatCode>General</c:formatCode>
                <c:ptCount val="2"/>
                <c:pt idx="0">
                  <c:v>34.200000000000003</c:v>
                </c:pt>
                <c:pt idx="1">
                  <c:v>89.9</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(iCountry!$BW$14,iCountry!$BW$14)</c:f>
              <c:numCache>
                <c:formatCode>General</c:formatCode>
                <c:ptCount val="2"/>
                <c:pt idx="0">
                  <c:v>70</c:v>
                </c:pt>
                <c:pt idx="1">
                  <c:v>70</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6"/>
            <c:spPr>
              <a:solidFill>
                <a:srgbClr val="0070C0"/>
              </a:solidFill>
              <a:ln>
                <a:noFill/>
              </a:ln>
            </c:spPr>
          </c:marker>
          <c:xVal>
            <c:numRef>
              <c:f>Compare!$O$24</c:f>
              <c:numCache>
                <c:formatCode>0.0</c:formatCode>
                <c:ptCount val="1"/>
                <c:pt idx="0">
                  <c:v>47.2</c:v>
                </c:pt>
              </c:numCache>
            </c:numRef>
          </c:xVal>
          <c:yVal>
            <c:numLit>
              <c:formatCode>General</c:formatCode>
              <c:ptCount val="1"/>
              <c:pt idx="0">
                <c:v>2</c:v>
              </c:pt>
            </c:numLit>
          </c:yVal>
          <c:smooth val="0"/>
          <c:extLst>
            <c:ext xmlns:c16="http://schemas.microsoft.com/office/drawing/2014/chart" uri="{C3380CC4-5D6E-409C-BE32-E72D297353CC}">
              <c16:uniqueId val="{00000000-016B-4A6F-8760-551F913ADDE7}"/>
            </c:ext>
          </c:extLst>
        </c:ser>
        <c:ser>
          <c:idx val="0"/>
          <c:order val="1"/>
          <c:tx>
            <c:v>Comparison_Dot</c:v>
          </c:tx>
          <c:spPr>
            <a:ln w="28575">
              <a:noFill/>
            </a:ln>
          </c:spPr>
          <c:marker>
            <c:symbol val="circle"/>
            <c:size val="6"/>
            <c:spPr>
              <a:solidFill>
                <a:schemeClr val="accent6">
                  <a:lumMod val="75000"/>
                </a:schemeClr>
              </a:solidFill>
              <a:ln>
                <a:noFill/>
              </a:ln>
            </c:spPr>
          </c:marker>
          <c:xVal>
            <c:numRef>
              <c:f>Compare!$P$24</c:f>
              <c:numCache>
                <c:formatCode>0.0</c:formatCode>
                <c:ptCount val="1"/>
                <c:pt idx="0">
                  <c:v>57.9</c:v>
                </c:pt>
              </c:numCache>
            </c:numRef>
          </c:xVal>
          <c:yVal>
            <c:numLit>
              <c:formatCode>General</c:formatCode>
              <c:ptCount val="1"/>
              <c:pt idx="0">
                <c:v>2</c:v>
              </c:pt>
            </c:numLit>
          </c:yVal>
          <c:smooth val="0"/>
          <c:extLst>
            <c:ext xmlns:c16="http://schemas.microsoft.com/office/drawing/2014/chart" uri="{C3380CC4-5D6E-409C-BE32-E72D297353CC}">
              <c16:uniqueId val="{00000002-016B-4A6F-8760-551F913ADDE7}"/>
            </c:ext>
          </c:extLst>
        </c:ser>
        <c:ser>
          <c:idx val="1"/>
          <c:order val="2"/>
          <c:tx>
            <c:v>RangeLine</c:v>
          </c:tx>
          <c:spPr>
            <a:ln w="34925">
              <a:solidFill>
                <a:schemeClr val="bg1">
                  <a:lumMod val="75000"/>
                </a:schemeClr>
              </a:solidFill>
            </a:ln>
          </c:spPr>
          <c:marker>
            <c:symbol val="none"/>
          </c:marker>
          <c:xVal>
            <c:numRef>
              <c:f>Compare!$K$24:$L$24</c:f>
              <c:numCache>
                <c:formatCode>General</c:formatCode>
                <c:ptCount val="2"/>
                <c:pt idx="0">
                  <c:v>33.4</c:v>
                </c:pt>
                <c:pt idx="1">
                  <c:v>86</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016B-4A6F-8760-551F913ADDE7}"/>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0.0"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(iCountry!$K$15,iCountry!$K$15)</c:f>
              <c:numCache>
                <c:formatCode>General</c:formatCode>
                <c:ptCount val="2"/>
                <c:pt idx="0">
                  <c:v>29</c:v>
                </c:pt>
                <c:pt idx="1">
                  <c:v>29</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iCountry!$BO$15:$BP$15</c:f>
              <c:numCache>
                <c:formatCode>General</c:formatCode>
                <c:ptCount val="2"/>
                <c:pt idx="0">
                  <c:v>9.8000000000000007</c:v>
                </c:pt>
                <c:pt idx="1">
                  <c:v>77.5</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(iCountry!$BW$15,iCountry!$BW$15)</c:f>
              <c:numCache>
                <c:formatCode>General</c:formatCode>
                <c:ptCount val="2"/>
                <c:pt idx="0">
                  <c:v>48.8</c:v>
                </c:pt>
                <c:pt idx="1">
                  <c:v>48.8</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(iCountry!$K$16,iCountry!$K$16)</c:f>
              <c:numCache>
                <c:formatCode>General</c:formatCode>
                <c:ptCount val="2"/>
                <c:pt idx="0">
                  <c:v>47.2</c:v>
                </c:pt>
                <c:pt idx="1">
                  <c:v>47.2</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iCountry!$BO$16:$BP$16</c:f>
              <c:numCache>
                <c:formatCode>General</c:formatCode>
                <c:ptCount val="2"/>
                <c:pt idx="0">
                  <c:v>33.4</c:v>
                </c:pt>
                <c:pt idx="1">
                  <c:v>86</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(iCountry!$BW$16,iCountry!$BW$16)</c:f>
              <c:numCache>
                <c:formatCode>General</c:formatCode>
                <c:ptCount val="2"/>
                <c:pt idx="0">
                  <c:v>57.9</c:v>
                </c:pt>
                <c:pt idx="1">
                  <c:v>57.9</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(iCountry!$K$17,iCountry!$K$17)</c:f>
              <c:numCache>
                <c:formatCode>General</c:formatCode>
                <c:ptCount val="2"/>
                <c:pt idx="0">
                  <c:v>19.100000000000001</c:v>
                </c:pt>
                <c:pt idx="1">
                  <c:v>19.100000000000001</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iCountry!$BO$17:$BP$17</c:f>
              <c:numCache>
                <c:formatCode>General</c:formatCode>
                <c:ptCount val="2"/>
                <c:pt idx="0">
                  <c:v>19.100000000000001</c:v>
                </c:pt>
                <c:pt idx="1">
                  <c:v>91.9</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(iCountry!$BW$17,iCountry!$BW$17)</c:f>
              <c:numCache>
                <c:formatCode>General</c:formatCode>
                <c:ptCount val="2"/>
                <c:pt idx="0">
                  <c:v>64.3</c:v>
                </c:pt>
                <c:pt idx="1">
                  <c:v>64.3</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(iCountry!$K$18,iCountry!$K$18)</c:f>
              <c:numCache>
                <c:formatCode>General</c:formatCode>
                <c:ptCount val="2"/>
                <c:pt idx="0">
                  <c:v>67.599999999999994</c:v>
                </c:pt>
                <c:pt idx="1">
                  <c:v>67.599999999999994</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iCountry!$BO$18:$BP$18</c:f>
              <c:numCache>
                <c:formatCode>General</c:formatCode>
                <c:ptCount val="2"/>
                <c:pt idx="0">
                  <c:v>37</c:v>
                </c:pt>
                <c:pt idx="1">
                  <c:v>96.3</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(iCountry!$BW$18,iCountry!$BW$18)</c:f>
              <c:numCache>
                <c:formatCode>General</c:formatCode>
                <c:ptCount val="2"/>
                <c:pt idx="0">
                  <c:v>68.900000000000006</c:v>
                </c:pt>
                <c:pt idx="1">
                  <c:v>68.900000000000006</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(iCountry!$K$54,iCountry!$K$54)</c:f>
              <c:numCache>
                <c:formatCode>General</c:formatCode>
                <c:ptCount val="2"/>
                <c:pt idx="0">
                  <c:v>82.5</c:v>
                </c:pt>
                <c:pt idx="1">
                  <c:v>82.5</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iCountry!$BO$54:$BP$54</c:f>
              <c:numCache>
                <c:formatCode>General</c:formatCode>
                <c:ptCount val="2"/>
                <c:pt idx="0">
                  <c:v>31.2</c:v>
                </c:pt>
                <c:pt idx="1">
                  <c:v>87</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(iCountry!$BW$54,iCountry!$BW$54)</c:f>
              <c:numCache>
                <c:formatCode>General</c:formatCode>
                <c:ptCount val="2"/>
                <c:pt idx="0">
                  <c:v>67.2</c:v>
                </c:pt>
                <c:pt idx="1">
                  <c:v>67.2</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(iCountry!$K$55,iCountry!$K$55)</c:f>
              <c:numCache>
                <c:formatCode>General</c:formatCode>
                <c:ptCount val="2"/>
                <c:pt idx="0">
                  <c:v>2.2999999999999998</c:v>
                </c:pt>
                <c:pt idx="1">
                  <c:v>2.2999999999999998</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iCountry!$BO$55:$BP$55</c:f>
              <c:numCache>
                <c:formatCode>General</c:formatCode>
                <c:ptCount val="2"/>
                <c:pt idx="0">
                  <c:v>2.2999999999999998</c:v>
                </c:pt>
                <c:pt idx="1">
                  <c:v>95.7</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(iCountry!$BW$55,iCountry!$BW$55)</c:f>
              <c:numCache>
                <c:formatCode>General</c:formatCode>
                <c:ptCount val="2"/>
                <c:pt idx="0">
                  <c:v>59.4</c:v>
                </c:pt>
                <c:pt idx="1">
                  <c:v>59.4</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(iCountry!$K$56,iCountry!$K$56)</c:f>
              <c:numCache>
                <c:formatCode>General</c:formatCode>
                <c:ptCount val="2"/>
                <c:pt idx="0">
                  <c:v>98</c:v>
                </c:pt>
                <c:pt idx="1">
                  <c:v>98</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iCountry!$BO$56:$BP$56</c:f>
              <c:numCache>
                <c:formatCode>General</c:formatCode>
                <c:ptCount val="2"/>
                <c:pt idx="0">
                  <c:v>44.4</c:v>
                </c:pt>
                <c:pt idx="1">
                  <c:v>99.8</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(iCountry!$BW$56,iCountry!$BW$56)</c:f>
              <c:numCache>
                <c:formatCode>General</c:formatCode>
                <c:ptCount val="2"/>
                <c:pt idx="0">
                  <c:v>85.2</c:v>
                </c:pt>
                <c:pt idx="1">
                  <c:v>85.2</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(iCountry!$K$57,iCountry!$K$57)</c:f>
              <c:numCache>
                <c:formatCode>General</c:formatCode>
                <c:ptCount val="2"/>
                <c:pt idx="0">
                  <c:v>52.5</c:v>
                </c:pt>
                <c:pt idx="1">
                  <c:v>52.5</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iCountry!$BO$57:$BP$57</c:f>
              <c:numCache>
                <c:formatCode>General</c:formatCode>
                <c:ptCount val="2"/>
                <c:pt idx="0">
                  <c:v>44.1</c:v>
                </c:pt>
                <c:pt idx="1">
                  <c:v>84.1</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(iCountry!$BW$57,iCountry!$BW$57)</c:f>
              <c:numCache>
                <c:formatCode>General</c:formatCode>
                <c:ptCount val="2"/>
                <c:pt idx="0">
                  <c:v>63.3</c:v>
                </c:pt>
                <c:pt idx="1">
                  <c:v>63.3</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(iCountry!$K$58,iCountry!$K$58)</c:f>
              <c:numCache>
                <c:formatCode>General</c:formatCode>
                <c:ptCount val="2"/>
                <c:pt idx="0">
                  <c:v>94.4</c:v>
                </c:pt>
                <c:pt idx="1">
                  <c:v>94.4</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iCountry!$BO$58:$BP$58</c:f>
              <c:numCache>
                <c:formatCode>General</c:formatCode>
                <c:ptCount val="2"/>
                <c:pt idx="0">
                  <c:v>0</c:v>
                </c:pt>
                <c:pt idx="1">
                  <c:v>100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(iCountry!$BW$58,iCountry!$BW$58)</c:f>
              <c:numCache>
                <c:formatCode>General</c:formatCode>
                <c:ptCount val="2"/>
                <c:pt idx="0">
                  <c:v>74.599999999999994</c:v>
                </c:pt>
                <c:pt idx="1">
                  <c:v>74.599999999999994</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97390615375652E-2"/>
          <c:y val="0"/>
          <c:w val="0.93554882145060003"/>
          <c:h val="1"/>
        </c:manualLayout>
      </c:layout>
      <c:scatterChart>
        <c:scatterStyle val="lineMarker"/>
        <c:varyColors val="0"/>
        <c:ser>
          <c:idx val="2"/>
          <c:order val="0"/>
          <c:tx>
            <c:v>Active_Entity_Dot</c:v>
          </c:tx>
          <c:spPr>
            <a:ln w="28575">
              <a:noFill/>
            </a:ln>
          </c:spPr>
          <c:marker>
            <c:symbol val="circle"/>
            <c:size val="10"/>
            <c:spPr>
              <a:solidFill>
                <a:srgbClr val="0070C0"/>
              </a:solidFill>
              <a:ln>
                <a:noFill/>
              </a:ln>
            </c:spPr>
          </c:marker>
          <c:xVal>
            <c:numRef>
              <c:f>(iCountry!$K$59,iCountry!$K$59)</c:f>
              <c:numCache>
                <c:formatCode>General</c:formatCode>
                <c:ptCount val="2"/>
                <c:pt idx="0">
                  <c:v>0</c:v>
                </c:pt>
                <c:pt idx="1">
                  <c:v>0</c:v>
                </c:pt>
              </c:numCache>
            </c:numRef>
          </c:xVal>
          <c:yVal>
            <c:numLit>
              <c:formatCode>General</c:formatCode>
              <c:ptCount val="1"/>
              <c:pt idx="0">
                <c:v>2</c:v>
              </c:pt>
            </c:numLit>
          </c:yVal>
          <c:smooth val="0"/>
          <c:extLst>
            <c:ext xmlns:c16="http://schemas.microsoft.com/office/drawing/2014/chart" uri="{C3380CC4-5D6E-409C-BE32-E72D297353CC}">
              <c16:uniqueId val="{00000000-2974-4EE6-98F1-CB66062DF876}"/>
            </c:ext>
          </c:extLst>
        </c:ser>
        <c:ser>
          <c:idx val="1"/>
          <c:order val="1"/>
          <c:tx>
            <c:v>RangeLine</c:v>
          </c:tx>
          <c:spPr>
            <a:ln w="85725">
              <a:solidFill>
                <a:schemeClr val="bg1">
                  <a:lumMod val="85000"/>
                </a:schemeClr>
              </a:solidFill>
            </a:ln>
          </c:spPr>
          <c:marker>
            <c:symbol val="none"/>
          </c:marker>
          <c:xVal>
            <c:numRef>
              <c:f>iCountry!$BO$59:$BP$59</c:f>
              <c:numCache>
                <c:formatCode>General</c:formatCode>
                <c:ptCount val="2"/>
                <c:pt idx="0">
                  <c:v>0</c:v>
                </c:pt>
                <c:pt idx="1">
                  <c:v>0</c:v>
                </c:pt>
              </c:numCache>
            </c:numRef>
          </c:xVal>
          <c:yVal>
            <c:numLit>
              <c:formatCode>General</c:formatCode>
              <c:ptCount val="2"/>
              <c:pt idx="0">
                <c:v>2</c:v>
              </c:pt>
              <c:pt idx="1">
                <c:v>2</c:v>
              </c:pt>
            </c:numLit>
          </c:yVal>
          <c:smooth val="0"/>
          <c:extLst>
            <c:ext xmlns:c16="http://schemas.microsoft.com/office/drawing/2014/chart" uri="{C3380CC4-5D6E-409C-BE32-E72D297353CC}">
              <c16:uniqueId val="{00000001-2974-4EE6-98F1-CB66062DF876}"/>
            </c:ext>
          </c:extLst>
        </c:ser>
        <c:ser>
          <c:idx val="0"/>
          <c:order val="2"/>
          <c:tx>
            <c:v>All_Entity_Average</c:v>
          </c:tx>
          <c:spPr>
            <a:ln w="28575">
              <a:solidFill>
                <a:schemeClr val="bg1">
                  <a:lumMod val="50000"/>
                </a:schemeClr>
              </a:solidFill>
            </a:ln>
          </c:spPr>
          <c:marker>
            <c:symbol val="none"/>
          </c:marker>
          <c:xVal>
            <c:numRef>
              <c:f>(iCountry!$BW$59,iCountry!$BW$59)</c:f>
              <c:numCache>
                <c:formatCode>General</c:formatCode>
                <c:ptCount val="2"/>
                <c:pt idx="0">
                  <c:v>0</c:v>
                </c:pt>
                <c:pt idx="1">
                  <c:v>0</c:v>
                </c:pt>
              </c:numCache>
            </c:numRef>
          </c:xVal>
          <c:yVal>
            <c:numLit>
              <c:formatCode>General</c:formatCode>
              <c:ptCount val="2"/>
              <c:pt idx="0">
                <c:v>0.25</c:v>
              </c:pt>
              <c:pt idx="1">
                <c:v>3.75</c:v>
              </c:pt>
            </c:numLit>
          </c:yVal>
          <c:smooth val="0"/>
          <c:extLst>
            <c:ext xmlns:c16="http://schemas.microsoft.com/office/drawing/2014/chart" uri="{C3380CC4-5D6E-409C-BE32-E72D297353CC}">
              <c16:uniqueId val="{00000002-2974-4EE6-98F1-CB66062DF876}"/>
            </c:ext>
          </c:extLst>
        </c:ser>
        <c:dLbls>
          <c:showLegendKey val="0"/>
          <c:showVal val="0"/>
          <c:showCatName val="0"/>
          <c:showSerName val="0"/>
          <c:showPercent val="0"/>
          <c:showBubbleSize val="0"/>
        </c:dLbls>
        <c:axId val="196708224"/>
        <c:axId val="196709760"/>
      </c:scatterChart>
      <c:valAx>
        <c:axId val="196708224"/>
        <c:scaling>
          <c:orientation val="minMax"/>
          <c:max val="100"/>
        </c:scaling>
        <c:delete val="1"/>
        <c:axPos val="b"/>
        <c:numFmt formatCode="General" sourceLinked="1"/>
        <c:majorTickMark val="out"/>
        <c:minorTickMark val="none"/>
        <c:tickLblPos val="nextTo"/>
        <c:crossAx val="196709760"/>
        <c:crosses val="autoZero"/>
        <c:crossBetween val="midCat"/>
      </c:valAx>
      <c:valAx>
        <c:axId val="196709760"/>
        <c:scaling>
          <c:orientation val="minMax"/>
        </c:scaling>
        <c:delete val="1"/>
        <c:axPos val="l"/>
        <c:numFmt formatCode="General" sourceLinked="1"/>
        <c:majorTickMark val="out"/>
        <c:minorTickMark val="none"/>
        <c:tickLblPos val="none"/>
        <c:crossAx val="196708224"/>
        <c:crosses val="autoZero"/>
        <c:crossBetween val="midCat"/>
      </c:valAx>
      <c:spPr>
        <a:noFill/>
        <a:ln w="25400">
          <a:noFill/>
        </a:ln>
      </c:spPr>
    </c:plotArea>
    <c:plotVisOnly val="0"/>
    <c:dispBlanksAs val="gap"/>
    <c:showDLblsOverMax val="0"/>
  </c:chart>
  <c:spPr>
    <a:noFill/>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Drop" dropLines="25" dropStyle="combo" dx="22" fmlaLink="uxbGlobals!$B$266" fmlaRange="static_enum_palette" noThreeD="1" sel="1" val="0"/>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Drop" dropLines="40" dropStyle="combo" dx="22" fmlaLink="uxbGlobals!$B$274" fmlaRange="auto_TimeSliceDescription" noThreeD="1" sel="1" val="0"/>
</file>

<file path=xl/ctrlProps/ctrlProp15.xml><?xml version="1.0" encoding="utf-8"?>
<formControlPr xmlns="http://schemas.microsoft.com/office/spreadsheetml/2009/9/main" objectType="Drop" dropLines="25" dropStyle="combo" dx="22" fmlaLink="uxbGlobals!$B$267" fmlaRange="man_weight_profile_names" noThreeD="1" sel="1" val="0"/>
</file>

<file path=xl/ctrlProps/ctrlProp16.xml><?xml version="1.0" encoding="utf-8"?>
<formControlPr xmlns="http://schemas.microsoft.com/office/spreadsheetml/2009/9/main" objectType="Drop" dropLines="40" dropStyle="combo" dx="22" fmlaLink="uxbGlobals!$B$272" fmlaRange="auto_TimeSliceDescription" noThreeD="1" sel="1" val="0"/>
</file>

<file path=xl/ctrlProps/ctrlProp17.xml><?xml version="1.0" encoding="utf-8"?>
<formControlPr xmlns="http://schemas.microsoft.com/office/spreadsheetml/2009/9/main" objectType="Drop" dropLines="5" dropStyle="combo" dx="22" fmlaLink="uxbGlobals!$B$268" fmlaRange="static_enum_WeightsMode" noThreeD="1" sel="1" val="0"/>
</file>

<file path=xl/ctrlProps/ctrlProp18.xml><?xml version="1.0" encoding="utf-8"?>
<formControlPr xmlns="http://schemas.microsoft.com/office/spreadsheetml/2009/9/main" objectType="Drop" dropLines="40" dropStyle="combo" dx="22" fmlaLink="uxbGlobals!$B$273" fmlaRange="auto_TimeSliceComparisonDescription" noThreeD="1" sel="1" val="0"/>
</file>

<file path=xl/ctrlProps/ctrlProp19.xml><?xml version="1.0" encoding="utf-8"?>
<formControlPr xmlns="http://schemas.microsoft.com/office/spreadsheetml/2009/9/main" objectType="Drop" dropLines="40" dropStyle="combo" dx="22" fmlaLink="uxbGlobals!$B$280" fmlaRange="_dyn_dd_flt_country_hi" noThreeD="1" sel="1" val="0"/>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Drop" dropLines="25" dropStyle="combo" dx="22" fmlaLink="uxbGlobals!$B$275" fmlaRange="auto_ddGroup_Highlight" noThreeD="1" sel="1" val="0"/>
</file>

<file path=xl/ctrlProps/ctrlProp21.xml><?xml version="1.0" encoding="utf-8"?>
<formControlPr xmlns="http://schemas.microsoft.com/office/spreadsheetml/2009/9/main" objectType="Drop" dropLines="40" dropStyle="combo" dx="22" fmlaLink="uxbGlobals!$B$285" fmlaRange="auto_ddCountry_Or_None" noThreeD="1" sel="1" val="0"/>
</file>

<file path=xl/ctrlProps/ctrlProp22.xml><?xml version="1.0" encoding="utf-8"?>
<formControlPr xmlns="http://schemas.microsoft.com/office/spreadsheetml/2009/9/main" objectType="Drop" dropLines="40" dropStyle="combo" dx="22" fmlaLink="uxbGlobals!$B$284" fmlaRange="auto_ddCountry_Or_None" noThreeD="1" sel="1" val="0"/>
</file>

<file path=xl/ctrlProps/ctrlProp23.xml><?xml version="1.0" encoding="utf-8"?>
<formControlPr xmlns="http://schemas.microsoft.com/office/spreadsheetml/2009/9/main" objectType="Drop" dropLines="40" dropStyle="combo" dx="22" fmlaLink="uxbGlobals!$B$293" fmlaRange="static_enum_Sort_Order_1" noThreeD="1" sel="1" val="0"/>
</file>

<file path=xl/ctrlProps/ctrlProp24.xml><?xml version="1.0" encoding="utf-8"?>
<formControlPr xmlns="http://schemas.microsoft.com/office/spreadsheetml/2009/9/main" objectType="Drop" dropLines="40" dropStyle="combo" dx="22" fmlaLink="uxbGlobals!$B$288" fmlaRange="auto_ss_All_Series_Indent" noThreeD="1" sel="1" val="3"/>
</file>

<file path=xl/ctrlProps/ctrlProp25.xml><?xml version="1.0" encoding="utf-8"?>
<formControlPr xmlns="http://schemas.microsoft.com/office/spreadsheetml/2009/9/main" objectType="Drop" dropLines="40" dropStyle="combo" dx="22" fmlaLink="uxbGlobals!$B$287" fmlaRange="auto_enum_CatMultiples" noThreeD="1" sel="1" val="0"/>
</file>

<file path=xl/ctrlProps/ctrlProp26.xml><?xml version="1.0" encoding="utf-8"?>
<formControlPr xmlns="http://schemas.microsoft.com/office/spreadsheetml/2009/9/main" objectType="Drop" dropLines="38" dropStyle="combo" dx="22" fmlaLink="uxbGlobals!$B$291" fmlaRange="auto_ss_Scatter_X" noThreeD="1" sel="1" val="19"/>
</file>

<file path=xl/ctrlProps/ctrlProp27.xml><?xml version="1.0" encoding="utf-8"?>
<formControlPr xmlns="http://schemas.microsoft.com/office/spreadsheetml/2009/9/main" objectType="Drop" dropLines="38" dropStyle="combo" dx="22" fmlaLink="uxbGlobals!$B$292" fmlaRange="auto_ss_Scatter_Y" noThreeD="1" sel="2" val="0"/>
</file>

<file path=xl/ctrlProps/ctrlProp28.xml><?xml version="1.0" encoding="utf-8"?>
<formControlPr xmlns="http://schemas.microsoft.com/office/spreadsheetml/2009/9/main" objectType="Drop" dropLines="25" dropStyle="combo" dx="22" fmlaLink="uxbGlobals!$B$278" fmlaRange="auto_ddGroup_Filter" noThreeD="1" sel="1" val="0"/>
</file>

<file path=xl/ctrlProps/ctrlProp29.xml><?xml version="1.0" encoding="utf-8"?>
<formControlPr xmlns="http://schemas.microsoft.com/office/spreadsheetml/2009/9/main" objectType="Drop" dropLines="40" dropStyle="combo" dx="22" fmlaLink="uxbGlobals!$B$279" fmlaRange="_dyn_dd_flt_country_2" noThreeD="1" sel="1" val="0"/>
</file>

<file path=xl/ctrlProps/ctrlProp3.xml><?xml version="1.0" encoding="utf-8"?>
<formControlPr xmlns="http://schemas.microsoft.com/office/spreadsheetml/2009/9/main" objectType="Drop" dropLines="25" dropStyle="combo" dx="22" fmlaLink="uxbGlobals!$B$276" fmlaRange="auto_ddGroup_Filter" noThreeD="1" sel="1" val="0"/>
</file>

<file path=xl/ctrlProps/ctrlProp30.xml><?xml version="1.0" encoding="utf-8"?>
<formControlPr xmlns="http://schemas.microsoft.com/office/spreadsheetml/2009/9/main" objectType="Drop" dropLines="20" dropStyle="combo" dx="22" fmlaLink="uxbGlobals!$B$270" fmlaRange="auto_enum_ModelDepthDescriptions" noThreeD="1" sel="3" val="0"/>
</file>

<file path=xl/ctrlProps/ctrlProp31.xml><?xml version="1.0" encoding="utf-8"?>
<formControlPr xmlns="http://schemas.microsoft.com/office/spreadsheetml/2009/9/main" objectType="Drop" dropLines="40" dropStyle="combo" dx="22" fmlaLink="uxbGlobals!$B$289" fmlaRange="auto_ss_HighLevel" noThreeD="1" sel="1" val="0"/>
</file>

<file path=xl/ctrlProps/ctrlProp32.xml><?xml version="1.0" encoding="utf-8"?>
<formControlPr xmlns="http://schemas.microsoft.com/office/spreadsheetml/2009/9/main" objectType="Drop" dropLines="40" dropStyle="combo" dx="22" fmlaLink="uxbGlobals!$B$286" fmlaRange="auto_enum_CatFilter" noThreeD="1" sel="1" val="0"/>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Drop" dropLines="20" dropStyle="combo" dx="22" fmlaLink="uxbGlobals!$B$269" fmlaRange="static_oosi_depth" noThreeD="1" sel="2" val="0"/>
</file>

<file path=xl/ctrlProps/ctrlProp35.xml><?xml version="1.0" encoding="utf-8"?>
<formControlPr xmlns="http://schemas.microsoft.com/office/spreadsheetml/2009/9/main" objectType="Drop" dropLines="40" dropStyle="combo" dx="22" fmlaLink="uxbGlobals!$B$271" fmlaRange="static_enum_data_filter" noThreeD="1" sel="1" val="0"/>
</file>

<file path=xl/ctrlProps/ctrlProp36.xml><?xml version="1.0" encoding="utf-8"?>
<formControlPr xmlns="http://schemas.microsoft.com/office/spreadsheetml/2009/9/main" objectType="Drop" dropLines="40" dropStyle="combo" dx="22" fmlaLink="uxbGlobals!$B$295" fmlaRange="static_enum_indicator_view" noThreeD="1" sel="1" val="0"/>
</file>

<file path=xl/ctrlProps/ctrlProp37.xml><?xml version="1.0" encoding="utf-8"?>
<formControlPr xmlns="http://schemas.microsoft.com/office/spreadsheetml/2009/9/main" objectType="Drop" dropLines="38" dropStyle="combo" dx="22" fmlaLink="uxbGlobals!$B$296" fmlaRange="static_enum_scatter_data_options" noThreeD="1" sel="1" val="0"/>
</file>

<file path=xl/ctrlProps/ctrlProp38.xml><?xml version="1.0" encoding="utf-8"?>
<formControlPr xmlns="http://schemas.microsoft.com/office/spreadsheetml/2009/9/main" objectType="Drop" dropLines="40" dropStyle="combo" dx="22" fmlaLink="uxbGlobals!$B$297" fmlaRange="static_enum_dots_view" noThreeD="1" sel="1" val="0"/>
</file>

<file path=xl/ctrlProps/ctrlProp39.xml><?xml version="1.0" encoding="utf-8"?>
<formControlPr xmlns="http://schemas.microsoft.com/office/spreadsheetml/2009/9/main" objectType="Drop" dropLines="40" dropStyle="combo" dx="22" fmlaLink="uxbGlobals!$B$298" fmlaRange="static_chart_options" noThreeD="1" sel="2" val="0"/>
</file>

<file path=xl/ctrlProps/ctrlProp4.xml><?xml version="1.0" encoding="utf-8"?>
<formControlPr xmlns="http://schemas.microsoft.com/office/spreadsheetml/2009/9/main" objectType="Drop" dropLines="40" dropStyle="combo" dx="22" fmlaLink="uxbGlobals!$B$277" fmlaRange="_dyn_dd_flt_country" noThreeD="1" sel="1" val="0"/>
</file>

<file path=xl/ctrlProps/ctrlProp40.xml><?xml version="1.0" encoding="utf-8"?>
<formControlPr xmlns="http://schemas.microsoft.com/office/spreadsheetml/2009/9/main" objectType="Drop" dropLines="40" dropStyle="combo" dx="22" fmlaLink="uxbGlobals!$B$299" fmlaRange="auto_ss_depth_3_or_below" noThreeD="1" sel="1" val="0"/>
</file>

<file path=xl/ctrlProps/ctrlProp41.xml><?xml version="1.0" encoding="utf-8"?>
<formControlPr xmlns="http://schemas.microsoft.com/office/spreadsheetml/2009/9/main" objectType="Drop" dropLines="40" dropStyle="combo" dx="22" fmlaLink="uxbGlobals!$B$300" fmlaRange="man_country_or_average" noThreeD="1" sel="1" val="0"/>
</file>

<file path=xl/ctrlProps/ctrlProp42.xml><?xml version="1.0" encoding="utf-8"?>
<formControlPr xmlns="http://schemas.microsoft.com/office/spreadsheetml/2009/9/main" objectType="Drop" dropLines="40" dropStyle="combo" dx="22" fmlaLink="uxbGlobals!$B$302" fmlaRange="static_compare_detail" noThreeD="1" sel="1" val="0"/>
</file>

<file path=xl/ctrlProps/ctrlProp43.xml><?xml version="1.0" encoding="utf-8"?>
<formControlPr xmlns="http://schemas.microsoft.com/office/spreadsheetml/2009/9/main" objectType="Drop" dropLines="40" dropStyle="combo" dx="22" fmlaLink="uxbGlobals!$B$301" fmlaRange="man_country_or_average" noThreeD="1" sel="1" val="0"/>
</file>

<file path=xl/ctrlProps/ctrlProp44.xml><?xml version="1.0" encoding="utf-8"?>
<formControlPr xmlns="http://schemas.microsoft.com/office/spreadsheetml/2009/9/main" objectType="Drop" dropLines="40" dropStyle="combo" dx="22" fmlaLink="uxbGlobals!$B$290" fmlaRange="auto_ss_Overview" noThreeD="1" sel="1" val="0"/>
</file>

<file path=xl/ctrlProps/ctrlProp45.xml><?xml version="1.0" encoding="utf-8"?>
<formControlPr xmlns="http://schemas.microsoft.com/office/spreadsheetml/2009/9/main" objectType="Drop" dropLines="40" dropStyle="combo" dx="22" fmlaLink="uxbGlobals!$B$303" fmlaRange="static_show_references" noThreeD="1" sel="2" val="0"/>
</file>

<file path=xl/ctrlProps/ctrlProp46.xml><?xml version="1.0" encoding="utf-8"?>
<formControlPr xmlns="http://schemas.microsoft.com/office/spreadsheetml/2009/9/main" objectType="Drop" dropLines="40" dropStyle="combo" dx="22" fmlaLink="uxbGlobals!$B$304" fmlaRange="static_classification_scheme" noThreeD="1" sel="1" val="0"/>
</file>

<file path=xl/ctrlProps/ctrlProp47.xml><?xml version="1.0" encoding="utf-8"?>
<formControlPr xmlns="http://schemas.microsoft.com/office/spreadsheetml/2009/9/main" objectType="Drop" dropLines="10" dropStyle="combo" dx="22" fmlaLink="uxbGlobals!$B$265" fmlaRange="static_enum_GlobalZoom" noThreeD="1" sel="3" val="0"/>
</file>

<file path=xl/ctrlProps/ctrlProp48.xml><?xml version="1.0" encoding="utf-8"?>
<formControlPr xmlns="http://schemas.microsoft.com/office/spreadsheetml/2009/9/main" objectType="Drop" dropLines="10" dropStyle="combo" dx="22" fmlaLink="uxbGlobals!$B$265" fmlaRange="static_enum_GlobalZoom" noThreeD="1" sel="3" val="0"/>
</file>

<file path=xl/ctrlProps/ctrlProp49.xml><?xml version="1.0" encoding="utf-8"?>
<formControlPr xmlns="http://schemas.microsoft.com/office/spreadsheetml/2009/9/main" objectType="Drop" dropLines="25" dropStyle="combo" dx="22" fmlaLink="uxbGlobals!$B$266" fmlaRange="static_enum_palette" noThreeD="1" sel="1" val="0"/>
</file>

<file path=xl/ctrlProps/ctrlProp5.xml><?xml version="1.0" encoding="utf-8"?>
<formControlPr xmlns="http://schemas.microsoft.com/office/spreadsheetml/2009/9/main" objectType="Drop" dropLines="10" dropStyle="combo" dx="22" fmlaLink="uxbGlobals!$B$265" fmlaRange="static_enum_GlobalZoom" noThreeD="1" sel="3" val="0"/>
</file>

<file path=xl/ctrlProps/ctrlProp50.xml><?xml version="1.0" encoding="utf-8"?>
<formControlPr xmlns="http://schemas.microsoft.com/office/spreadsheetml/2009/9/main" objectType="Drop" dropLines="10" dropStyle="combo" dx="22" fmlaLink="uxbGlobals!$B$265" fmlaRange="static_enum_GlobalZoom" noThreeD="1" sel="3" val="0"/>
</file>

<file path=xl/ctrlProps/ctrlProp51.xml><?xml version="1.0" encoding="utf-8"?>
<formControlPr xmlns="http://schemas.microsoft.com/office/spreadsheetml/2009/9/main" objectType="Drop" dropLines="40" dropStyle="combo" dx="22" fmlaLink="uxbGlobals!$B$301" fmlaRange="man_country_or_average" noThreeD="1" sel="1" val="0"/>
</file>

<file path=xl/ctrlProps/ctrlProp52.xml><?xml version="1.0" encoding="utf-8"?>
<formControlPr xmlns="http://schemas.microsoft.com/office/spreadsheetml/2009/9/main" objectType="Drop" dropLines="40" dropStyle="combo" dx="22" fmlaLink="uxbGlobals!$B$277" fmlaRange="_dyn_dd_flt_country" noThreeD="1" sel="1" val="0"/>
</file>

<file path=xl/ctrlProps/ctrlProp53.xml><?xml version="1.0" encoding="utf-8"?>
<formControlPr xmlns="http://schemas.microsoft.com/office/spreadsheetml/2009/9/main" objectType="Drop" dropLines="40" dropStyle="combo" dx="22" fmlaLink="uxbGlobals!$B$303" fmlaRange="static_show_references" noThreeD="1" sel="2" val="0"/>
</file>

<file path=xl/ctrlProps/ctrlProp54.xml><?xml version="1.0" encoding="utf-8"?>
<formControlPr xmlns="http://schemas.microsoft.com/office/spreadsheetml/2009/9/main" objectType="Drop" dropLines="40" dropStyle="combo" dx="22" fmlaLink="uxbGlobals!$B$288" fmlaRange="auto_ss_All_Series_Indent" noThreeD="1" sel="1" val="0"/>
</file>

<file path=xl/ctrlProps/ctrlProp55.xml><?xml version="1.0" encoding="utf-8"?>
<formControlPr xmlns="http://schemas.microsoft.com/office/spreadsheetml/2009/9/main" objectType="Drop" dropLines="25" dropStyle="combo" dx="22" fmlaLink="uxbGlobals!$B$275" fmlaRange="auto_ddGroup_Highlight" noThreeD="1" sel="1" val="0"/>
</file>

<file path=xl/ctrlProps/ctrlProp56.xml><?xml version="1.0" encoding="utf-8"?>
<formControlPr xmlns="http://schemas.microsoft.com/office/spreadsheetml/2009/9/main" objectType="Drop" dropLines="40" dropStyle="combo" dx="22" fmlaLink="uxbGlobals!$B$280" fmlaRange="_dyn_dd_flt_country_hi" noThreeD="1" sel="1" val="0"/>
</file>

<file path=xl/ctrlProps/ctrlProp57.xml><?xml version="1.0" encoding="utf-8"?>
<formControlPr xmlns="http://schemas.microsoft.com/office/spreadsheetml/2009/9/main" objectType="Drop" dropLines="40" dropStyle="combo" dx="22" fmlaLink="uxbGlobals!$B$271" fmlaRange="static_enum_data_filter" noThreeD="1" sel="1" val="0"/>
</file>

<file path=xl/ctrlProps/ctrlProp58.xml><?xml version="1.0" encoding="utf-8"?>
<formControlPr xmlns="http://schemas.microsoft.com/office/spreadsheetml/2009/9/main" objectType="Drop" dropLines="20" dropStyle="combo" dx="22" fmlaLink="uxbGlobals!$B$270" fmlaRange="auto_enum_ModelDepthDescriptions" noThreeD="1" sel="3" val="0"/>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Drop" dropLines="25" dropStyle="combo" dx="22" fmlaLink="uxbGlobals!$B$267" fmlaRange="man_weight_profile_names" noThreeD="1" sel="1" val="0"/>
</file>

<file path=xl/ctrlProps/ctrlProp63.xml><?xml version="1.0" encoding="utf-8"?>
<formControlPr xmlns="http://schemas.microsoft.com/office/spreadsheetml/2009/9/main" objectType="Drop" dropLines="20" dropStyle="combo" dx="22" fmlaLink="uxbGlobals!$B$269" fmlaRange="static_oosi_depth" noThreeD="1" sel="2" val="0"/>
</file>

<file path=xl/ctrlProps/ctrlProp64.xml><?xml version="1.0" encoding="utf-8"?>
<formControlPr xmlns="http://schemas.microsoft.com/office/spreadsheetml/2009/9/main" objectType="Drop" dropLines="38" dropStyle="combo" dx="22" fmlaLink="uxbGlobals!$B$291" fmlaRange="auto_ss_Scatter_X" noThreeD="1" sel="1" val="0"/>
</file>

<file path=xl/ctrlProps/ctrlProp65.xml><?xml version="1.0" encoding="utf-8"?>
<formControlPr xmlns="http://schemas.microsoft.com/office/spreadsheetml/2009/9/main" objectType="Drop" dropLines="38" dropStyle="combo" dx="22" fmlaLink="uxbGlobals!$B$292" fmlaRange="auto_ss_Scatter_Y" noThreeD="1" sel="2" val="40"/>
</file>

<file path=xl/ctrlProps/ctrlProp66.xml><?xml version="1.0" encoding="utf-8"?>
<formControlPr xmlns="http://schemas.microsoft.com/office/spreadsheetml/2009/9/main" objectType="Drop" dropLines="38" dropStyle="combo" dx="22" fmlaLink="uxbGlobals!$B$296" fmlaRange="static_enum_scatter_data_options" noThreeD="1" sel="1" val="0"/>
</file>

<file path=xl/ctrlProps/ctrlProp67.xml><?xml version="1.0" encoding="utf-8"?>
<formControlPr xmlns="http://schemas.microsoft.com/office/spreadsheetml/2009/9/main" objectType="Drop" dropLines="25" dropStyle="combo" dx="22" fmlaLink="uxbGlobals!$B$275" fmlaRange="auto_ddGroup_Highlight" noThreeD="1" sel="1" val="0"/>
</file>

<file path=xl/ctrlProps/ctrlProp68.xml><?xml version="1.0" encoding="utf-8"?>
<formControlPr xmlns="http://schemas.microsoft.com/office/spreadsheetml/2009/9/main" objectType="Drop" dropLines="40" dropStyle="combo" dx="22" fmlaLink="uxbGlobals!$B$280" fmlaRange="_dyn_dd_flt_country_hi" noThreeD="1" sel="1" val="0"/>
</file>

<file path=xl/ctrlProps/ctrlProp69.xml><?xml version="1.0" encoding="utf-8"?>
<formControlPr xmlns="http://schemas.microsoft.com/office/spreadsheetml/2009/9/main" objectType="Drop" dropLines="40" dropStyle="combo" dx="22" fmlaLink="uxbGlobals!$B$282" fmlaRange="auto_ddCountry" noThreeD="1" sel="1" val="0"/>
</file>

<file path=xl/ctrlProps/ctrlProp7.xml><?xml version="1.0" encoding="utf-8"?>
<formControlPr xmlns="http://schemas.microsoft.com/office/spreadsheetml/2009/9/main" objectType="Drop" dropLines="40" dropStyle="combo" dx="22" fmlaLink="uxbGlobals!$B$283" fmlaRange="auto_ddCountry" noThreeD="1" sel="2" val="0"/>
</file>

<file path=xl/ctrlProps/ctrlProp70.xml><?xml version="1.0" encoding="utf-8"?>
<formControlPr xmlns="http://schemas.microsoft.com/office/spreadsheetml/2009/9/main" objectType="Drop" dropLines="40" dropStyle="combo" dx="22" fmlaLink="uxbGlobals!$B$300" fmlaRange="man_country_or_average" noThreeD="1" sel="1" val="0"/>
</file>

<file path=xl/ctrlProps/ctrlProp71.xml><?xml version="1.0" encoding="utf-8"?>
<formControlPr xmlns="http://schemas.microsoft.com/office/spreadsheetml/2009/9/main" objectType="Drop" dropLines="40" dropStyle="combo" dx="22" fmlaLink="uxbGlobals!$B$302" fmlaRange="static_compare_detail" noThreeD="1" sel="1" val="0"/>
</file>

<file path=xl/ctrlProps/ctrlProp72.xml><?xml version="1.0" encoding="utf-8"?>
<formControlPr xmlns="http://schemas.microsoft.com/office/spreadsheetml/2009/9/main" objectType="Drop" dropLines="40" dropStyle="combo" dx="22" fmlaLink="uxbGlobals!$B$277" fmlaRange="_dyn_dd_flt_country" noThreeD="1" sel="1" val="9"/>
</file>

<file path=xl/ctrlProps/ctrlProp73.xml><?xml version="1.0" encoding="utf-8"?>
<formControlPr xmlns="http://schemas.microsoft.com/office/spreadsheetml/2009/9/main" objectType="Drop" dropLines="40" dropStyle="combo" dx="22" fmlaLink="uxbGlobals!$B$287" fmlaRange="auto_enum_CatMultiples" noThreeD="1" sel="1" val="0"/>
</file>

<file path=xl/ctrlProps/ctrlProp74.xml><?xml version="1.0" encoding="utf-8"?>
<formControlPr xmlns="http://schemas.microsoft.com/office/spreadsheetml/2009/9/main" objectType="Drop" dropLines="40" dropStyle="combo" dx="22" fmlaLink="uxbGlobals!$B$293" fmlaRange="static_enum_Sort_Order_1" noThreeD="1" sel="1" val="0"/>
</file>

<file path=xl/ctrlProps/ctrlProp75.xml><?xml version="1.0" encoding="utf-8"?>
<formControlPr xmlns="http://schemas.microsoft.com/office/spreadsheetml/2009/9/main" objectType="Drop" dropLines="25" dropStyle="combo" dx="22" fmlaLink="uxbGlobals!$B$275" fmlaRange="auto_ddGroup_Highlight" noThreeD="1" sel="1" val="0"/>
</file>

<file path=xl/ctrlProps/ctrlProp76.xml><?xml version="1.0" encoding="utf-8"?>
<formControlPr xmlns="http://schemas.microsoft.com/office/spreadsheetml/2009/9/main" objectType="Drop" dropLines="40" dropStyle="combo" dx="22" fmlaLink="uxbGlobals!$B$280" fmlaRange="_dyn_dd_flt_country_hi" noThreeD="1" sel="1" val="0"/>
</file>

<file path=xl/ctrlProps/ctrlProp77.xml><?xml version="1.0" encoding="utf-8"?>
<formControlPr xmlns="http://schemas.microsoft.com/office/spreadsheetml/2009/9/main" objectType="Drop" dropLines="40" dropStyle="combo" dx="22" fmlaLink="uxbGlobals!$B$290" fmlaRange="auto_ss_Overview" noThreeD="1" sel="1" val="0"/>
</file>

<file path=xl/ctrlProps/ctrlProp78.xml><?xml version="1.0" encoding="utf-8"?>
<formControlPr xmlns="http://schemas.microsoft.com/office/spreadsheetml/2009/9/main" objectType="Drop" dropLines="25" dropStyle="combo" dx="22" fmlaLink="uxbGlobals!$B$275" fmlaRange="auto_ddGroup_Highlight" noThreeD="1" sel="1" val="0"/>
</file>

<file path=xl/ctrlProps/ctrlProp79.xml><?xml version="1.0" encoding="utf-8"?>
<formControlPr xmlns="http://schemas.microsoft.com/office/spreadsheetml/2009/9/main" objectType="Drop" dropLines="40" dropStyle="combo" dx="22" fmlaLink="uxbGlobals!$B$280" fmlaRange="_dyn_dd_flt_country_hi" noThreeD="1" sel="1" val="0"/>
</file>

<file path=xl/ctrlProps/ctrlProp8.xml><?xml version="1.0" encoding="utf-8"?>
<formControlPr xmlns="http://schemas.microsoft.com/office/spreadsheetml/2009/9/main" objectType="Drop" dropLines="40" dropStyle="combo" dx="22" fmlaLink="uxbGlobals!$B$282" fmlaRange="auto_ddCountry" noThreeD="1" sel="1" val="0"/>
</file>

<file path=xl/ctrlProps/ctrlProp9.xml><?xml version="1.0" encoding="utf-8"?>
<formControlPr xmlns="http://schemas.microsoft.com/office/spreadsheetml/2009/9/main" objectType="Drop" dropLines="40" dropStyle="combo" dx="22" fmlaLink="uxbGlobals!$B$281" fmlaRange="auto_ddCountry_Or_None" noThreeD="1" sel="1" val="0"/>
</file>

<file path=xl/drawings/_rels/drawing10.xml.rels><?xml version="1.0" encoding="UTF-8" standalone="yes"?>
<Relationships xmlns="http://schemas.openxmlformats.org/package/2006/relationships"><Relationship Id="rId8" Type="http://schemas.openxmlformats.org/officeDocument/2006/relationships/hyperlink" Target="#F2"/><Relationship Id="rId13" Type="http://schemas.openxmlformats.org/officeDocument/2006/relationships/image" Target="../media/image14.png"/><Relationship Id="rId3" Type="http://schemas.openxmlformats.org/officeDocument/2006/relationships/image" Target="../media/image8.png"/><Relationship Id="rId7" Type="http://schemas.openxmlformats.org/officeDocument/2006/relationships/image" Target="../media/image11.gif"/><Relationship Id="rId12" Type="http://schemas.openxmlformats.org/officeDocument/2006/relationships/hyperlink" Target="#C2"/><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G2"/><Relationship Id="rId11" Type="http://schemas.openxmlformats.org/officeDocument/2006/relationships/image" Target="../media/image13.png"/><Relationship Id="rId5" Type="http://schemas.openxmlformats.org/officeDocument/2006/relationships/image" Target="../media/image10.png"/><Relationship Id="rId10" Type="http://schemas.openxmlformats.org/officeDocument/2006/relationships/hyperlink" Target="#B2"/><Relationship Id="rId4" Type="http://schemas.openxmlformats.org/officeDocument/2006/relationships/image" Target="../media/image9.png"/><Relationship Id="rId9"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8" Type="http://schemas.openxmlformats.org/officeDocument/2006/relationships/hyperlink" Target="#F2"/><Relationship Id="rId13" Type="http://schemas.openxmlformats.org/officeDocument/2006/relationships/image" Target="../media/image14.png"/><Relationship Id="rId3" Type="http://schemas.openxmlformats.org/officeDocument/2006/relationships/image" Target="../media/image8.png"/><Relationship Id="rId7" Type="http://schemas.openxmlformats.org/officeDocument/2006/relationships/image" Target="../media/image11.gif"/><Relationship Id="rId12" Type="http://schemas.openxmlformats.org/officeDocument/2006/relationships/hyperlink" Target="#C2"/><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G2"/><Relationship Id="rId11" Type="http://schemas.openxmlformats.org/officeDocument/2006/relationships/image" Target="../media/image13.png"/><Relationship Id="rId5" Type="http://schemas.openxmlformats.org/officeDocument/2006/relationships/image" Target="../media/image10.png"/><Relationship Id="rId10" Type="http://schemas.openxmlformats.org/officeDocument/2006/relationships/hyperlink" Target="#B2"/><Relationship Id="rId4" Type="http://schemas.openxmlformats.org/officeDocument/2006/relationships/image" Target="../media/image9.png"/><Relationship Id="rId9"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hyperlink" Target="#B2"/><Relationship Id="rId3" Type="http://schemas.openxmlformats.org/officeDocument/2006/relationships/chart" Target="../charts/chart4.xml"/><Relationship Id="rId7" Type="http://schemas.openxmlformats.org/officeDocument/2006/relationships/image" Target="../media/image9.png"/><Relationship Id="rId12" Type="http://schemas.openxmlformats.org/officeDocument/2006/relationships/image" Target="../media/image12.png"/><Relationship Id="rId2" Type="http://schemas.openxmlformats.org/officeDocument/2006/relationships/chart" Target="../charts/chart3.xml"/><Relationship Id="rId16" Type="http://schemas.openxmlformats.org/officeDocument/2006/relationships/image" Target="../media/image14.png"/><Relationship Id="rId1" Type="http://schemas.openxmlformats.org/officeDocument/2006/relationships/chart" Target="../charts/chart2.xml"/><Relationship Id="rId6" Type="http://schemas.openxmlformats.org/officeDocument/2006/relationships/image" Target="../media/image8.png"/><Relationship Id="rId11" Type="http://schemas.openxmlformats.org/officeDocument/2006/relationships/hyperlink" Target="#F2"/><Relationship Id="rId5" Type="http://schemas.openxmlformats.org/officeDocument/2006/relationships/image" Target="../media/image7.png"/><Relationship Id="rId15" Type="http://schemas.openxmlformats.org/officeDocument/2006/relationships/hyperlink" Target="#C2"/><Relationship Id="rId10" Type="http://schemas.openxmlformats.org/officeDocument/2006/relationships/image" Target="../media/image11.gif"/><Relationship Id="rId4" Type="http://schemas.openxmlformats.org/officeDocument/2006/relationships/image" Target="../media/image6.png"/><Relationship Id="rId9" Type="http://schemas.openxmlformats.org/officeDocument/2006/relationships/hyperlink" Target="#G2"/><Relationship Id="rId14"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26" Type="http://schemas.openxmlformats.org/officeDocument/2006/relationships/chart" Target="../charts/chart30.xml"/><Relationship Id="rId21" Type="http://schemas.openxmlformats.org/officeDocument/2006/relationships/chart" Target="../charts/chart25.xml"/><Relationship Id="rId42" Type="http://schemas.openxmlformats.org/officeDocument/2006/relationships/chart" Target="../charts/chart46.xml"/><Relationship Id="rId47" Type="http://schemas.openxmlformats.org/officeDocument/2006/relationships/chart" Target="../charts/chart51.xml"/><Relationship Id="rId63" Type="http://schemas.openxmlformats.org/officeDocument/2006/relationships/chart" Target="../charts/chart67.xml"/><Relationship Id="rId68" Type="http://schemas.openxmlformats.org/officeDocument/2006/relationships/image" Target="../media/image9.png"/><Relationship Id="rId16" Type="http://schemas.openxmlformats.org/officeDocument/2006/relationships/chart" Target="../charts/chart20.xml"/><Relationship Id="rId11" Type="http://schemas.openxmlformats.org/officeDocument/2006/relationships/chart" Target="../charts/chart15.xml"/><Relationship Id="rId24" Type="http://schemas.openxmlformats.org/officeDocument/2006/relationships/chart" Target="../charts/chart28.xml"/><Relationship Id="rId32" Type="http://schemas.openxmlformats.org/officeDocument/2006/relationships/chart" Target="../charts/chart36.xml"/><Relationship Id="rId37" Type="http://schemas.openxmlformats.org/officeDocument/2006/relationships/chart" Target="../charts/chart41.xml"/><Relationship Id="rId40" Type="http://schemas.openxmlformats.org/officeDocument/2006/relationships/chart" Target="../charts/chart44.xml"/><Relationship Id="rId45" Type="http://schemas.openxmlformats.org/officeDocument/2006/relationships/chart" Target="../charts/chart49.xml"/><Relationship Id="rId53" Type="http://schemas.openxmlformats.org/officeDocument/2006/relationships/chart" Target="../charts/chart57.xml"/><Relationship Id="rId58" Type="http://schemas.openxmlformats.org/officeDocument/2006/relationships/chart" Target="../charts/chart62.xml"/><Relationship Id="rId66" Type="http://schemas.openxmlformats.org/officeDocument/2006/relationships/image" Target="../media/image7.png"/><Relationship Id="rId74" Type="http://schemas.openxmlformats.org/officeDocument/2006/relationships/hyperlink" Target="#B2"/><Relationship Id="rId5" Type="http://schemas.openxmlformats.org/officeDocument/2006/relationships/chart" Target="../charts/chart9.xml"/><Relationship Id="rId61" Type="http://schemas.openxmlformats.org/officeDocument/2006/relationships/chart" Target="../charts/chart65.xml"/><Relationship Id="rId19" Type="http://schemas.openxmlformats.org/officeDocument/2006/relationships/chart" Target="../charts/chart23.xml"/><Relationship Id="rId14" Type="http://schemas.openxmlformats.org/officeDocument/2006/relationships/chart" Target="../charts/chart18.xml"/><Relationship Id="rId22" Type="http://schemas.openxmlformats.org/officeDocument/2006/relationships/chart" Target="../charts/chart26.xml"/><Relationship Id="rId27" Type="http://schemas.openxmlformats.org/officeDocument/2006/relationships/chart" Target="../charts/chart31.xml"/><Relationship Id="rId30" Type="http://schemas.openxmlformats.org/officeDocument/2006/relationships/chart" Target="../charts/chart34.xml"/><Relationship Id="rId35" Type="http://schemas.openxmlformats.org/officeDocument/2006/relationships/chart" Target="../charts/chart39.xml"/><Relationship Id="rId43" Type="http://schemas.openxmlformats.org/officeDocument/2006/relationships/chart" Target="../charts/chart47.xml"/><Relationship Id="rId48" Type="http://schemas.openxmlformats.org/officeDocument/2006/relationships/chart" Target="../charts/chart52.xml"/><Relationship Id="rId56" Type="http://schemas.openxmlformats.org/officeDocument/2006/relationships/chart" Target="../charts/chart60.xml"/><Relationship Id="rId64" Type="http://schemas.openxmlformats.org/officeDocument/2006/relationships/chart" Target="../charts/chart68.xml"/><Relationship Id="rId69" Type="http://schemas.openxmlformats.org/officeDocument/2006/relationships/image" Target="../media/image10.png"/><Relationship Id="rId77" Type="http://schemas.openxmlformats.org/officeDocument/2006/relationships/image" Target="../media/image14.png"/><Relationship Id="rId8" Type="http://schemas.openxmlformats.org/officeDocument/2006/relationships/chart" Target="../charts/chart12.xml"/><Relationship Id="rId51" Type="http://schemas.openxmlformats.org/officeDocument/2006/relationships/chart" Target="../charts/chart55.xml"/><Relationship Id="rId72" Type="http://schemas.openxmlformats.org/officeDocument/2006/relationships/hyperlink" Target="#F2"/><Relationship Id="rId3" Type="http://schemas.openxmlformats.org/officeDocument/2006/relationships/chart" Target="../charts/chart7.xml"/><Relationship Id="rId12" Type="http://schemas.openxmlformats.org/officeDocument/2006/relationships/chart" Target="../charts/chart16.xml"/><Relationship Id="rId17" Type="http://schemas.openxmlformats.org/officeDocument/2006/relationships/chart" Target="../charts/chart21.xml"/><Relationship Id="rId25" Type="http://schemas.openxmlformats.org/officeDocument/2006/relationships/chart" Target="../charts/chart29.xml"/><Relationship Id="rId33" Type="http://schemas.openxmlformats.org/officeDocument/2006/relationships/chart" Target="../charts/chart37.xml"/><Relationship Id="rId38" Type="http://schemas.openxmlformats.org/officeDocument/2006/relationships/chart" Target="../charts/chart42.xml"/><Relationship Id="rId46" Type="http://schemas.openxmlformats.org/officeDocument/2006/relationships/chart" Target="../charts/chart50.xml"/><Relationship Id="rId59" Type="http://schemas.openxmlformats.org/officeDocument/2006/relationships/chart" Target="../charts/chart63.xml"/><Relationship Id="rId67" Type="http://schemas.openxmlformats.org/officeDocument/2006/relationships/image" Target="../media/image8.png"/><Relationship Id="rId20" Type="http://schemas.openxmlformats.org/officeDocument/2006/relationships/chart" Target="../charts/chart24.xml"/><Relationship Id="rId41" Type="http://schemas.openxmlformats.org/officeDocument/2006/relationships/chart" Target="../charts/chart45.xml"/><Relationship Id="rId54" Type="http://schemas.openxmlformats.org/officeDocument/2006/relationships/chart" Target="../charts/chart58.xml"/><Relationship Id="rId62" Type="http://schemas.openxmlformats.org/officeDocument/2006/relationships/chart" Target="../charts/chart66.xml"/><Relationship Id="rId70" Type="http://schemas.openxmlformats.org/officeDocument/2006/relationships/hyperlink" Target="#G2"/><Relationship Id="rId75" Type="http://schemas.openxmlformats.org/officeDocument/2006/relationships/image" Target="../media/image13.png"/><Relationship Id="rId1" Type="http://schemas.openxmlformats.org/officeDocument/2006/relationships/chart" Target="../charts/chart5.xml"/><Relationship Id="rId6" Type="http://schemas.openxmlformats.org/officeDocument/2006/relationships/chart" Target="../charts/chart10.xml"/><Relationship Id="rId15" Type="http://schemas.openxmlformats.org/officeDocument/2006/relationships/chart" Target="../charts/chart19.xml"/><Relationship Id="rId23" Type="http://schemas.openxmlformats.org/officeDocument/2006/relationships/chart" Target="../charts/chart27.xml"/><Relationship Id="rId28" Type="http://schemas.openxmlformats.org/officeDocument/2006/relationships/chart" Target="../charts/chart32.xml"/><Relationship Id="rId36" Type="http://schemas.openxmlformats.org/officeDocument/2006/relationships/chart" Target="../charts/chart40.xml"/><Relationship Id="rId49" Type="http://schemas.openxmlformats.org/officeDocument/2006/relationships/chart" Target="../charts/chart53.xml"/><Relationship Id="rId57" Type="http://schemas.openxmlformats.org/officeDocument/2006/relationships/chart" Target="../charts/chart61.xml"/><Relationship Id="rId10" Type="http://schemas.openxmlformats.org/officeDocument/2006/relationships/chart" Target="../charts/chart14.xml"/><Relationship Id="rId31" Type="http://schemas.openxmlformats.org/officeDocument/2006/relationships/chart" Target="../charts/chart35.xml"/><Relationship Id="rId44" Type="http://schemas.openxmlformats.org/officeDocument/2006/relationships/chart" Target="../charts/chart48.xml"/><Relationship Id="rId52" Type="http://schemas.openxmlformats.org/officeDocument/2006/relationships/chart" Target="../charts/chart56.xml"/><Relationship Id="rId60" Type="http://schemas.openxmlformats.org/officeDocument/2006/relationships/chart" Target="../charts/chart64.xml"/><Relationship Id="rId65" Type="http://schemas.openxmlformats.org/officeDocument/2006/relationships/image" Target="../media/image6.png"/><Relationship Id="rId73" Type="http://schemas.openxmlformats.org/officeDocument/2006/relationships/image" Target="../media/image12.png"/><Relationship Id="rId4" Type="http://schemas.openxmlformats.org/officeDocument/2006/relationships/chart" Target="../charts/chart8.xml"/><Relationship Id="rId9" Type="http://schemas.openxmlformats.org/officeDocument/2006/relationships/chart" Target="../charts/chart13.xml"/><Relationship Id="rId13" Type="http://schemas.openxmlformats.org/officeDocument/2006/relationships/chart" Target="../charts/chart17.xml"/><Relationship Id="rId18" Type="http://schemas.openxmlformats.org/officeDocument/2006/relationships/chart" Target="../charts/chart22.xml"/><Relationship Id="rId39" Type="http://schemas.openxmlformats.org/officeDocument/2006/relationships/chart" Target="../charts/chart43.xml"/><Relationship Id="rId34" Type="http://schemas.openxmlformats.org/officeDocument/2006/relationships/chart" Target="../charts/chart38.xml"/><Relationship Id="rId50" Type="http://schemas.openxmlformats.org/officeDocument/2006/relationships/chart" Target="../charts/chart54.xml"/><Relationship Id="rId55" Type="http://schemas.openxmlformats.org/officeDocument/2006/relationships/chart" Target="../charts/chart59.xml"/><Relationship Id="rId76" Type="http://schemas.openxmlformats.org/officeDocument/2006/relationships/hyperlink" Target="#C2"/><Relationship Id="rId7" Type="http://schemas.openxmlformats.org/officeDocument/2006/relationships/chart" Target="../charts/chart11.xml"/><Relationship Id="rId71" Type="http://schemas.openxmlformats.org/officeDocument/2006/relationships/image" Target="../media/image11.gif"/><Relationship Id="rId2" Type="http://schemas.openxmlformats.org/officeDocument/2006/relationships/chart" Target="../charts/chart6.xml"/><Relationship Id="rId29" Type="http://schemas.openxmlformats.org/officeDocument/2006/relationships/chart" Target="../charts/chart33.xml"/></Relationships>
</file>

<file path=xl/drawings/_rels/drawing14.xml.rels><?xml version="1.0" encoding="UTF-8" standalone="yes"?>
<Relationships xmlns="http://schemas.openxmlformats.org/package/2006/relationships"><Relationship Id="rId26" Type="http://schemas.openxmlformats.org/officeDocument/2006/relationships/chart" Target="../charts/chart94.xml"/><Relationship Id="rId21" Type="http://schemas.openxmlformats.org/officeDocument/2006/relationships/chart" Target="../charts/chart89.xml"/><Relationship Id="rId42" Type="http://schemas.openxmlformats.org/officeDocument/2006/relationships/chart" Target="../charts/chart110.xml"/><Relationship Id="rId47" Type="http://schemas.openxmlformats.org/officeDocument/2006/relationships/chart" Target="../charts/chart115.xml"/><Relationship Id="rId63" Type="http://schemas.openxmlformats.org/officeDocument/2006/relationships/image" Target="../media/image11.gif"/><Relationship Id="rId68" Type="http://schemas.openxmlformats.org/officeDocument/2006/relationships/hyperlink" Target="#C2"/><Relationship Id="rId7" Type="http://schemas.openxmlformats.org/officeDocument/2006/relationships/chart" Target="../charts/chart75.xml"/><Relationship Id="rId2" Type="http://schemas.openxmlformats.org/officeDocument/2006/relationships/chart" Target="../charts/chart70.xml"/><Relationship Id="rId16" Type="http://schemas.openxmlformats.org/officeDocument/2006/relationships/chart" Target="../charts/chart84.xml"/><Relationship Id="rId29" Type="http://schemas.openxmlformats.org/officeDocument/2006/relationships/chart" Target="../charts/chart97.xml"/><Relationship Id="rId11" Type="http://schemas.openxmlformats.org/officeDocument/2006/relationships/chart" Target="../charts/chart79.xml"/><Relationship Id="rId24" Type="http://schemas.openxmlformats.org/officeDocument/2006/relationships/chart" Target="../charts/chart92.xml"/><Relationship Id="rId32" Type="http://schemas.openxmlformats.org/officeDocument/2006/relationships/chart" Target="../charts/chart100.xml"/><Relationship Id="rId37" Type="http://schemas.openxmlformats.org/officeDocument/2006/relationships/chart" Target="../charts/chart105.xml"/><Relationship Id="rId40" Type="http://schemas.openxmlformats.org/officeDocument/2006/relationships/chart" Target="../charts/chart108.xml"/><Relationship Id="rId45" Type="http://schemas.openxmlformats.org/officeDocument/2006/relationships/chart" Target="../charts/chart113.xml"/><Relationship Id="rId53" Type="http://schemas.openxmlformats.org/officeDocument/2006/relationships/chart" Target="../charts/chart121.xml"/><Relationship Id="rId58" Type="http://schemas.openxmlformats.org/officeDocument/2006/relationships/image" Target="../media/image7.png"/><Relationship Id="rId66" Type="http://schemas.openxmlformats.org/officeDocument/2006/relationships/hyperlink" Target="#B2"/><Relationship Id="rId5" Type="http://schemas.openxmlformats.org/officeDocument/2006/relationships/chart" Target="../charts/chart73.xml"/><Relationship Id="rId61" Type="http://schemas.openxmlformats.org/officeDocument/2006/relationships/image" Target="../media/image10.png"/><Relationship Id="rId19" Type="http://schemas.openxmlformats.org/officeDocument/2006/relationships/chart" Target="../charts/chart87.xml"/><Relationship Id="rId14" Type="http://schemas.openxmlformats.org/officeDocument/2006/relationships/chart" Target="../charts/chart82.xml"/><Relationship Id="rId22" Type="http://schemas.openxmlformats.org/officeDocument/2006/relationships/chart" Target="../charts/chart90.xml"/><Relationship Id="rId27" Type="http://schemas.openxmlformats.org/officeDocument/2006/relationships/chart" Target="../charts/chart95.xml"/><Relationship Id="rId30" Type="http://schemas.openxmlformats.org/officeDocument/2006/relationships/chart" Target="../charts/chart98.xml"/><Relationship Id="rId35" Type="http://schemas.openxmlformats.org/officeDocument/2006/relationships/chart" Target="../charts/chart103.xml"/><Relationship Id="rId43" Type="http://schemas.openxmlformats.org/officeDocument/2006/relationships/chart" Target="../charts/chart111.xml"/><Relationship Id="rId48" Type="http://schemas.openxmlformats.org/officeDocument/2006/relationships/chart" Target="../charts/chart116.xml"/><Relationship Id="rId56" Type="http://schemas.openxmlformats.org/officeDocument/2006/relationships/chart" Target="../charts/chart124.xml"/><Relationship Id="rId64" Type="http://schemas.openxmlformats.org/officeDocument/2006/relationships/hyperlink" Target="#F2"/><Relationship Id="rId69" Type="http://schemas.openxmlformats.org/officeDocument/2006/relationships/image" Target="../media/image14.png"/><Relationship Id="rId8" Type="http://schemas.openxmlformats.org/officeDocument/2006/relationships/chart" Target="../charts/chart76.xml"/><Relationship Id="rId51" Type="http://schemas.openxmlformats.org/officeDocument/2006/relationships/chart" Target="../charts/chart119.xml"/><Relationship Id="rId3" Type="http://schemas.openxmlformats.org/officeDocument/2006/relationships/chart" Target="../charts/chart71.xml"/><Relationship Id="rId12" Type="http://schemas.openxmlformats.org/officeDocument/2006/relationships/chart" Target="../charts/chart80.xml"/><Relationship Id="rId17" Type="http://schemas.openxmlformats.org/officeDocument/2006/relationships/chart" Target="../charts/chart85.xml"/><Relationship Id="rId25" Type="http://schemas.openxmlformats.org/officeDocument/2006/relationships/chart" Target="../charts/chart93.xml"/><Relationship Id="rId33" Type="http://schemas.openxmlformats.org/officeDocument/2006/relationships/chart" Target="../charts/chart101.xml"/><Relationship Id="rId38" Type="http://schemas.openxmlformats.org/officeDocument/2006/relationships/chart" Target="../charts/chart106.xml"/><Relationship Id="rId46" Type="http://schemas.openxmlformats.org/officeDocument/2006/relationships/chart" Target="../charts/chart114.xml"/><Relationship Id="rId59" Type="http://schemas.openxmlformats.org/officeDocument/2006/relationships/image" Target="../media/image8.png"/><Relationship Id="rId67" Type="http://schemas.openxmlformats.org/officeDocument/2006/relationships/image" Target="../media/image13.png"/><Relationship Id="rId20" Type="http://schemas.openxmlformats.org/officeDocument/2006/relationships/chart" Target="../charts/chart88.xml"/><Relationship Id="rId41" Type="http://schemas.openxmlformats.org/officeDocument/2006/relationships/chart" Target="../charts/chart109.xml"/><Relationship Id="rId54" Type="http://schemas.openxmlformats.org/officeDocument/2006/relationships/chart" Target="../charts/chart122.xml"/><Relationship Id="rId62" Type="http://schemas.openxmlformats.org/officeDocument/2006/relationships/hyperlink" Target="#G2"/><Relationship Id="rId1" Type="http://schemas.openxmlformats.org/officeDocument/2006/relationships/chart" Target="../charts/chart69.xml"/><Relationship Id="rId6" Type="http://schemas.openxmlformats.org/officeDocument/2006/relationships/chart" Target="../charts/chart74.xml"/><Relationship Id="rId15" Type="http://schemas.openxmlformats.org/officeDocument/2006/relationships/chart" Target="../charts/chart83.xml"/><Relationship Id="rId23" Type="http://schemas.openxmlformats.org/officeDocument/2006/relationships/chart" Target="../charts/chart91.xml"/><Relationship Id="rId28" Type="http://schemas.openxmlformats.org/officeDocument/2006/relationships/chart" Target="../charts/chart96.xml"/><Relationship Id="rId36" Type="http://schemas.openxmlformats.org/officeDocument/2006/relationships/chart" Target="../charts/chart104.xml"/><Relationship Id="rId49" Type="http://schemas.openxmlformats.org/officeDocument/2006/relationships/chart" Target="../charts/chart117.xml"/><Relationship Id="rId57" Type="http://schemas.openxmlformats.org/officeDocument/2006/relationships/image" Target="../media/image6.png"/><Relationship Id="rId10" Type="http://schemas.openxmlformats.org/officeDocument/2006/relationships/chart" Target="../charts/chart78.xml"/><Relationship Id="rId31" Type="http://schemas.openxmlformats.org/officeDocument/2006/relationships/chart" Target="../charts/chart99.xml"/><Relationship Id="rId44" Type="http://schemas.openxmlformats.org/officeDocument/2006/relationships/chart" Target="../charts/chart112.xml"/><Relationship Id="rId52" Type="http://schemas.openxmlformats.org/officeDocument/2006/relationships/chart" Target="../charts/chart120.xml"/><Relationship Id="rId60" Type="http://schemas.openxmlformats.org/officeDocument/2006/relationships/image" Target="../media/image9.png"/><Relationship Id="rId65" Type="http://schemas.openxmlformats.org/officeDocument/2006/relationships/image" Target="../media/image12.png"/><Relationship Id="rId4" Type="http://schemas.openxmlformats.org/officeDocument/2006/relationships/chart" Target="../charts/chart72.xml"/><Relationship Id="rId9" Type="http://schemas.openxmlformats.org/officeDocument/2006/relationships/chart" Target="../charts/chart77.xml"/><Relationship Id="rId13" Type="http://schemas.openxmlformats.org/officeDocument/2006/relationships/chart" Target="../charts/chart81.xml"/><Relationship Id="rId18" Type="http://schemas.openxmlformats.org/officeDocument/2006/relationships/chart" Target="../charts/chart86.xml"/><Relationship Id="rId39" Type="http://schemas.openxmlformats.org/officeDocument/2006/relationships/chart" Target="../charts/chart107.xml"/><Relationship Id="rId34" Type="http://schemas.openxmlformats.org/officeDocument/2006/relationships/chart" Target="../charts/chart102.xml"/><Relationship Id="rId50" Type="http://schemas.openxmlformats.org/officeDocument/2006/relationships/chart" Target="../charts/chart118.xml"/><Relationship Id="rId55" Type="http://schemas.openxmlformats.org/officeDocument/2006/relationships/chart" Target="../charts/chart123.xml"/></Relationships>
</file>

<file path=xl/drawings/_rels/drawing15.xml.rels><?xml version="1.0" encoding="UTF-8" standalone="yes"?>
<Relationships xmlns="http://schemas.openxmlformats.org/package/2006/relationships"><Relationship Id="rId8" Type="http://schemas.openxmlformats.org/officeDocument/2006/relationships/hyperlink" Target="#F2"/><Relationship Id="rId13" Type="http://schemas.openxmlformats.org/officeDocument/2006/relationships/image" Target="../media/image14.png"/><Relationship Id="rId3" Type="http://schemas.openxmlformats.org/officeDocument/2006/relationships/image" Target="../media/image8.png"/><Relationship Id="rId7" Type="http://schemas.openxmlformats.org/officeDocument/2006/relationships/image" Target="../media/image11.gif"/><Relationship Id="rId12" Type="http://schemas.openxmlformats.org/officeDocument/2006/relationships/hyperlink" Target="#C2"/><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G2"/><Relationship Id="rId11" Type="http://schemas.openxmlformats.org/officeDocument/2006/relationships/image" Target="../media/image13.png"/><Relationship Id="rId5" Type="http://schemas.openxmlformats.org/officeDocument/2006/relationships/image" Target="../media/image10.png"/><Relationship Id="rId10" Type="http://schemas.openxmlformats.org/officeDocument/2006/relationships/hyperlink" Target="#B2"/><Relationship Id="rId4" Type="http://schemas.openxmlformats.org/officeDocument/2006/relationships/image" Target="../media/image9.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1.gif"/><Relationship Id="rId13" Type="http://schemas.openxmlformats.org/officeDocument/2006/relationships/hyperlink" Target="#C2"/><Relationship Id="rId3" Type="http://schemas.openxmlformats.org/officeDocument/2006/relationships/image" Target="../media/image7.png"/><Relationship Id="rId7" Type="http://schemas.openxmlformats.org/officeDocument/2006/relationships/hyperlink" Target="#G2"/><Relationship Id="rId12" Type="http://schemas.openxmlformats.org/officeDocument/2006/relationships/image" Target="../media/image13.png"/><Relationship Id="rId2" Type="http://schemas.openxmlformats.org/officeDocument/2006/relationships/image" Target="../media/image6.png"/><Relationship Id="rId1" Type="http://schemas.openxmlformats.org/officeDocument/2006/relationships/chart" Target="../charts/chart125.xml"/><Relationship Id="rId6" Type="http://schemas.openxmlformats.org/officeDocument/2006/relationships/image" Target="../media/image10.png"/><Relationship Id="rId11" Type="http://schemas.openxmlformats.org/officeDocument/2006/relationships/hyperlink" Target="#B2"/><Relationship Id="rId5" Type="http://schemas.openxmlformats.org/officeDocument/2006/relationships/image" Target="../media/image9.png"/><Relationship Id="rId10" Type="http://schemas.openxmlformats.org/officeDocument/2006/relationships/image" Target="../media/image12.png"/><Relationship Id="rId4" Type="http://schemas.openxmlformats.org/officeDocument/2006/relationships/image" Target="../media/image8.png"/><Relationship Id="rId9" Type="http://schemas.openxmlformats.org/officeDocument/2006/relationships/hyperlink" Target="#F2"/><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impact.economist.com/?pid=2024_CITY_HEARTBEAT&amp;referrer=f1research_xl" TargetMode="External"/></Relationships>
</file>

<file path=xl/drawings/_rels/drawing3.xml.rels><?xml version="1.0" encoding="UTF-8" standalone="yes"?>
<Relationships xmlns="http://schemas.openxmlformats.org/package/2006/relationships"><Relationship Id="rId8" Type="http://schemas.openxmlformats.org/officeDocument/2006/relationships/hyperlink" Target="mailto:JadBaghdadi@economist.com" TargetMode="External"/><Relationship Id="rId3" Type="http://schemas.openxmlformats.org/officeDocument/2006/relationships/image" Target="../media/image2.png"/><Relationship Id="rId7" Type="http://schemas.openxmlformats.org/officeDocument/2006/relationships/hyperlink" Target="mailto:MirandaBaxa@economist.com" TargetMode="External"/><Relationship Id="rId2" Type="http://schemas.openxmlformats.org/officeDocument/2006/relationships/hyperlink" Target="http://www.f1research.com/?pid=2024_CITY_HEARTBEAT" TargetMode="External"/><Relationship Id="rId1" Type="http://schemas.openxmlformats.org/officeDocument/2006/relationships/hyperlink" Target="mailto:AliciaWhite@economist.com" TargetMode="External"/><Relationship Id="rId6" Type="http://schemas.openxmlformats.org/officeDocument/2006/relationships/hyperlink" Target="mailto:AmandaStucke@economist.com" TargetMode="External"/><Relationship Id="rId5" Type="http://schemas.openxmlformats.org/officeDocument/2006/relationships/image" Target="../media/image1.png"/><Relationship Id="rId4" Type="http://schemas.openxmlformats.org/officeDocument/2006/relationships/hyperlink" Target="https://impact.economist.com/?pid=2024_CITY_HEARTBEAT&amp;referrer=f1research_xl" TargetMode="External"/></Relationships>
</file>

<file path=xl/drawings/_rels/drawing4.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mailto:AliciaWhite@economist.com;AmandaStucke@economist.com;MirandaBaxa@economist.com" TargetMode="External"/><Relationship Id="rId7" Type="http://schemas.openxmlformats.org/officeDocument/2006/relationships/hyperlink" Target="http://www.f1research.com/?pid=2024_CITY_HEARTBEAT" TargetMode="External"/><Relationship Id="rId2" Type="http://schemas.openxmlformats.org/officeDocument/2006/relationships/image" Target="../media/image1.png"/><Relationship Id="rId1" Type="http://schemas.openxmlformats.org/officeDocument/2006/relationships/hyperlink" Target="https://impact.economist.com/?pid=2024_CITY_HEARTBEAT&amp;referrer=f1research_xl" TargetMode="External"/><Relationship Id="rId6" Type="http://schemas.openxmlformats.org/officeDocument/2006/relationships/hyperlink" Target="mailto:MirandaBaxa@economist.com" TargetMode="External"/><Relationship Id="rId5" Type="http://schemas.openxmlformats.org/officeDocument/2006/relationships/hyperlink" Target="mailto:AmandaStucke@economist.com" TargetMode="External"/><Relationship Id="rId4" Type="http://schemas.openxmlformats.org/officeDocument/2006/relationships/hyperlink" Target="mailto:AliciaWhite@economist.com" TargetMode="External"/><Relationship Id="rId9"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8" Type="http://schemas.openxmlformats.org/officeDocument/2006/relationships/hyperlink" Target="#F2"/><Relationship Id="rId13" Type="http://schemas.openxmlformats.org/officeDocument/2006/relationships/image" Target="../media/image14.png"/><Relationship Id="rId3" Type="http://schemas.openxmlformats.org/officeDocument/2006/relationships/image" Target="../media/image8.png"/><Relationship Id="rId7" Type="http://schemas.openxmlformats.org/officeDocument/2006/relationships/image" Target="../media/image11.gif"/><Relationship Id="rId12" Type="http://schemas.openxmlformats.org/officeDocument/2006/relationships/hyperlink" Target="#C2"/><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G2"/><Relationship Id="rId11" Type="http://schemas.openxmlformats.org/officeDocument/2006/relationships/image" Target="../media/image13.png"/><Relationship Id="rId5" Type="http://schemas.openxmlformats.org/officeDocument/2006/relationships/image" Target="../media/image10.png"/><Relationship Id="rId10" Type="http://schemas.openxmlformats.org/officeDocument/2006/relationships/hyperlink" Target="#B2"/><Relationship Id="rId4" Type="http://schemas.openxmlformats.org/officeDocument/2006/relationships/image" Target="../media/image9.png"/><Relationship Id="rId9" Type="http://schemas.openxmlformats.org/officeDocument/2006/relationships/image" Target="../media/image12.png"/></Relationships>
</file>

<file path=xl/drawings/_rels/drawing7.xml.rels><?xml version="1.0" encoding="UTF-8" standalone="yes"?>
<Relationships xmlns="http://schemas.openxmlformats.org/package/2006/relationships"><Relationship Id="rId8" Type="http://schemas.openxmlformats.org/officeDocument/2006/relationships/hyperlink" Target="#F2"/><Relationship Id="rId13" Type="http://schemas.openxmlformats.org/officeDocument/2006/relationships/image" Target="../media/image14.png"/><Relationship Id="rId3" Type="http://schemas.openxmlformats.org/officeDocument/2006/relationships/image" Target="../media/image8.png"/><Relationship Id="rId7" Type="http://schemas.openxmlformats.org/officeDocument/2006/relationships/image" Target="../media/image11.gif"/><Relationship Id="rId12" Type="http://schemas.openxmlformats.org/officeDocument/2006/relationships/hyperlink" Target="#C2"/><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G2"/><Relationship Id="rId11" Type="http://schemas.openxmlformats.org/officeDocument/2006/relationships/image" Target="../media/image13.png"/><Relationship Id="rId5" Type="http://schemas.openxmlformats.org/officeDocument/2006/relationships/image" Target="../media/image10.png"/><Relationship Id="rId10" Type="http://schemas.openxmlformats.org/officeDocument/2006/relationships/hyperlink" Target="#B2"/><Relationship Id="rId4" Type="http://schemas.openxmlformats.org/officeDocument/2006/relationships/image" Target="../media/image9.png"/><Relationship Id="rId9" Type="http://schemas.openxmlformats.org/officeDocument/2006/relationships/image" Target="../media/image12.png"/></Relationships>
</file>

<file path=xl/drawings/_rels/drawing8.xml.rels><?xml version="1.0" encoding="UTF-8" standalone="yes"?>
<Relationships xmlns="http://schemas.openxmlformats.org/package/2006/relationships"><Relationship Id="rId8" Type="http://schemas.openxmlformats.org/officeDocument/2006/relationships/image" Target="../media/image11.gif"/><Relationship Id="rId13" Type="http://schemas.openxmlformats.org/officeDocument/2006/relationships/hyperlink" Target="#C2"/><Relationship Id="rId3" Type="http://schemas.openxmlformats.org/officeDocument/2006/relationships/image" Target="../media/image7.png"/><Relationship Id="rId7" Type="http://schemas.openxmlformats.org/officeDocument/2006/relationships/hyperlink" Target="#G2"/><Relationship Id="rId12" Type="http://schemas.openxmlformats.org/officeDocument/2006/relationships/image" Target="../media/image13.png"/><Relationship Id="rId2" Type="http://schemas.openxmlformats.org/officeDocument/2006/relationships/image" Target="../media/image6.png"/><Relationship Id="rId1" Type="http://schemas.openxmlformats.org/officeDocument/2006/relationships/chart" Target="../charts/chart1.xml"/><Relationship Id="rId6" Type="http://schemas.openxmlformats.org/officeDocument/2006/relationships/image" Target="../media/image10.png"/><Relationship Id="rId11" Type="http://schemas.openxmlformats.org/officeDocument/2006/relationships/hyperlink" Target="#B2"/><Relationship Id="rId5" Type="http://schemas.openxmlformats.org/officeDocument/2006/relationships/image" Target="../media/image9.png"/><Relationship Id="rId10" Type="http://schemas.openxmlformats.org/officeDocument/2006/relationships/image" Target="../media/image12.png"/><Relationship Id="rId4" Type="http://schemas.openxmlformats.org/officeDocument/2006/relationships/image" Target="../media/image8.png"/><Relationship Id="rId9" Type="http://schemas.openxmlformats.org/officeDocument/2006/relationships/hyperlink" Target="#F2"/><Relationship Id="rId14" Type="http://schemas.openxmlformats.org/officeDocument/2006/relationships/image" Target="../media/image14.png"/></Relationships>
</file>

<file path=xl/drawings/_rels/drawing9.xml.rels><?xml version="1.0" encoding="UTF-8" standalone="yes"?>
<Relationships xmlns="http://schemas.openxmlformats.org/package/2006/relationships"><Relationship Id="rId8" Type="http://schemas.openxmlformats.org/officeDocument/2006/relationships/hyperlink" Target="#F2"/><Relationship Id="rId13" Type="http://schemas.openxmlformats.org/officeDocument/2006/relationships/image" Target="../media/image14.png"/><Relationship Id="rId3" Type="http://schemas.openxmlformats.org/officeDocument/2006/relationships/image" Target="../media/image8.png"/><Relationship Id="rId7" Type="http://schemas.openxmlformats.org/officeDocument/2006/relationships/image" Target="../media/image11.gif"/><Relationship Id="rId12" Type="http://schemas.openxmlformats.org/officeDocument/2006/relationships/hyperlink" Target="#C2"/><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G2"/><Relationship Id="rId11" Type="http://schemas.openxmlformats.org/officeDocument/2006/relationships/image" Target="../media/image13.png"/><Relationship Id="rId5" Type="http://schemas.openxmlformats.org/officeDocument/2006/relationships/image" Target="../media/image10.png"/><Relationship Id="rId10" Type="http://schemas.openxmlformats.org/officeDocument/2006/relationships/hyperlink" Target="#B2"/><Relationship Id="rId4" Type="http://schemas.openxmlformats.org/officeDocument/2006/relationships/image" Target="../media/image9.png"/><Relationship Id="rId9" Type="http://schemas.openxmlformats.org/officeDocument/2006/relationships/image" Target="../media/image1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0</xdr:colOff>
          <xdr:row>31</xdr:row>
          <xdr:rowOff>0</xdr:rowOff>
        </xdr:from>
        <xdr:to>
          <xdr:col>6</xdr:col>
          <xdr:colOff>0</xdr:colOff>
          <xdr:row>32</xdr:row>
          <xdr:rowOff>0</xdr:rowOff>
        </xdr:to>
        <xdr:sp macro="" textlink="">
          <xdr:nvSpPr>
            <xdr:cNvPr id="4536322" name="bld_SetControlWidth" hidden="1">
              <a:extLst>
                <a:ext uri="{63B3BB69-23CF-44E3-9099-C40C66FF867C}">
                  <a14:compatExt spid="_x0000_s4536322"/>
                </a:ext>
                <a:ext uri="{FF2B5EF4-FFF2-40B4-BE49-F238E27FC236}">
                  <a16:creationId xmlns:a16="http://schemas.microsoft.com/office/drawing/2014/main" id="{00000000-0008-0000-0B00-000002384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1100" b="0" i="0" u="none" strike="noStrike" baseline="0">
                  <a:solidFill>
                    <a:srgbClr val="000000"/>
                  </a:solidFill>
                  <a:latin typeface="Calibri"/>
                  <a:ea typeface="Calibri"/>
                  <a:cs typeface="Calibri"/>
                </a:rPr>
                <a:t>SET WIDTH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27214</xdr:colOff>
          <xdr:row>0</xdr:row>
          <xdr:rowOff>114300</xdr:rowOff>
        </xdr:from>
        <xdr:to>
          <xdr:col>11</xdr:col>
          <xdr:colOff>201386</xdr:colOff>
          <xdr:row>1</xdr:row>
          <xdr:rowOff>190500</xdr:rowOff>
        </xdr:to>
        <xdr:sp macro="" textlink="">
          <xdr:nvSpPr>
            <xdr:cNvPr id="4536323" name="bld_GenVBA" hidden="1">
              <a:extLst>
                <a:ext uri="{63B3BB69-23CF-44E3-9099-C40C66FF867C}">
                  <a14:compatExt spid="_x0000_s4536323"/>
                </a:ext>
                <a:ext uri="{FF2B5EF4-FFF2-40B4-BE49-F238E27FC236}">
                  <a16:creationId xmlns:a16="http://schemas.microsoft.com/office/drawing/2014/main" id="{00000000-0008-0000-0B00-000003384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1100" b="0" i="0" u="none" strike="noStrike" baseline="0">
                  <a:solidFill>
                    <a:srgbClr val="000000"/>
                  </a:solidFill>
                  <a:latin typeface="Calibri"/>
                  <a:ea typeface="Calibri"/>
                  <a:cs typeface="Calibri"/>
                </a:rPr>
                <a:t>Gen VBA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27214</xdr:rowOff>
        </xdr:from>
        <xdr:to>
          <xdr:col>11</xdr:col>
          <xdr:colOff>103414</xdr:colOff>
          <xdr:row>44</xdr:row>
          <xdr:rowOff>239486</xdr:rowOff>
        </xdr:to>
        <xdr:sp macro="" textlink="">
          <xdr:nvSpPr>
            <xdr:cNvPr id="4536324" name="cnt_GroupFilter" hidden="1">
              <a:extLst>
                <a:ext uri="{63B3BB69-23CF-44E3-9099-C40C66FF867C}">
                  <a14:compatExt spid="_x0000_s4536324"/>
                </a:ext>
                <a:ext uri="{FF2B5EF4-FFF2-40B4-BE49-F238E27FC236}">
                  <a16:creationId xmlns:a16="http://schemas.microsoft.com/office/drawing/2014/main" id="{00000000-0008-0000-0B00-000004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45</xdr:row>
          <xdr:rowOff>27214</xdr:rowOff>
        </xdr:from>
        <xdr:to>
          <xdr:col>10</xdr:col>
          <xdr:colOff>517071</xdr:colOff>
          <xdr:row>45</xdr:row>
          <xdr:rowOff>239486</xdr:rowOff>
        </xdr:to>
        <xdr:sp macro="" textlink="">
          <xdr:nvSpPr>
            <xdr:cNvPr id="4536325" name="cnt_CountryFlt" hidden="1">
              <a:extLst>
                <a:ext uri="{63B3BB69-23CF-44E3-9099-C40C66FF867C}">
                  <a14:compatExt spid="_x0000_s4536325"/>
                </a:ext>
                <a:ext uri="{FF2B5EF4-FFF2-40B4-BE49-F238E27FC236}">
                  <a16:creationId xmlns:a16="http://schemas.microsoft.com/office/drawing/2014/main" id="{00000000-0008-0000-0B00-000005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33</xdr:row>
          <xdr:rowOff>27214</xdr:rowOff>
        </xdr:from>
        <xdr:to>
          <xdr:col>10</xdr:col>
          <xdr:colOff>48986</xdr:colOff>
          <xdr:row>33</xdr:row>
          <xdr:rowOff>239486</xdr:rowOff>
        </xdr:to>
        <xdr:sp macro="" textlink="">
          <xdr:nvSpPr>
            <xdr:cNvPr id="4536327" name="cnt_GlobalZoom" hidden="1">
              <a:extLst>
                <a:ext uri="{63B3BB69-23CF-44E3-9099-C40C66FF867C}">
                  <a14:compatExt spid="_x0000_s4536327"/>
                </a:ext>
                <a:ext uri="{FF2B5EF4-FFF2-40B4-BE49-F238E27FC236}">
                  <a16:creationId xmlns:a16="http://schemas.microsoft.com/office/drawing/2014/main" id="{00000000-0008-0000-0B00-000007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277586</xdr:colOff>
          <xdr:row>1</xdr:row>
          <xdr:rowOff>10886</xdr:rowOff>
        </xdr:from>
        <xdr:to>
          <xdr:col>4</xdr:col>
          <xdr:colOff>381000</xdr:colOff>
          <xdr:row>2</xdr:row>
          <xdr:rowOff>10886</xdr:rowOff>
        </xdr:to>
        <xdr:sp macro="" textlink="">
          <xdr:nvSpPr>
            <xdr:cNvPr id="4536328" name="bld_PrintSetup" hidden="1">
              <a:extLst>
                <a:ext uri="{63B3BB69-23CF-44E3-9099-C40C66FF867C}">
                  <a14:compatExt spid="_x0000_s4536328"/>
                </a:ext>
                <a:ext uri="{FF2B5EF4-FFF2-40B4-BE49-F238E27FC236}">
                  <a16:creationId xmlns:a16="http://schemas.microsoft.com/office/drawing/2014/main" id="{00000000-0008-0000-0B00-000008384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1100" b="0" i="0" u="none" strike="noStrike" baseline="0">
                  <a:solidFill>
                    <a:srgbClr val="000000"/>
                  </a:solidFill>
                  <a:latin typeface="Calibri"/>
                  <a:ea typeface="Calibri"/>
                  <a:cs typeface="Calibri"/>
                </a:rPr>
                <a:t>Print Setup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51</xdr:row>
          <xdr:rowOff>27214</xdr:rowOff>
        </xdr:from>
        <xdr:to>
          <xdr:col>10</xdr:col>
          <xdr:colOff>517071</xdr:colOff>
          <xdr:row>51</xdr:row>
          <xdr:rowOff>239486</xdr:rowOff>
        </xdr:to>
        <xdr:sp macro="" textlink="">
          <xdr:nvSpPr>
            <xdr:cNvPr id="4536329" name="cnt_Country_2" hidden="1">
              <a:extLst>
                <a:ext uri="{63B3BB69-23CF-44E3-9099-C40C66FF867C}">
                  <a14:compatExt spid="_x0000_s4536329"/>
                </a:ext>
                <a:ext uri="{FF2B5EF4-FFF2-40B4-BE49-F238E27FC236}">
                  <a16:creationId xmlns:a16="http://schemas.microsoft.com/office/drawing/2014/main" id="{00000000-0008-0000-0B00-000009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50</xdr:row>
          <xdr:rowOff>27214</xdr:rowOff>
        </xdr:from>
        <xdr:to>
          <xdr:col>10</xdr:col>
          <xdr:colOff>517071</xdr:colOff>
          <xdr:row>50</xdr:row>
          <xdr:rowOff>239486</xdr:rowOff>
        </xdr:to>
        <xdr:sp macro="" textlink="">
          <xdr:nvSpPr>
            <xdr:cNvPr id="4536330" name="cnt_Country_1" hidden="1">
              <a:extLst>
                <a:ext uri="{63B3BB69-23CF-44E3-9099-C40C66FF867C}">
                  <a14:compatExt spid="_x0000_s4536330"/>
                </a:ext>
                <a:ext uri="{FF2B5EF4-FFF2-40B4-BE49-F238E27FC236}">
                  <a16:creationId xmlns:a16="http://schemas.microsoft.com/office/drawing/2014/main" id="{00000000-0008-0000-0B00-00000A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27214</xdr:rowOff>
        </xdr:from>
        <xdr:to>
          <xdr:col>10</xdr:col>
          <xdr:colOff>517071</xdr:colOff>
          <xdr:row>49</xdr:row>
          <xdr:rowOff>239486</xdr:rowOff>
        </xdr:to>
        <xdr:sp macro="" textlink="">
          <xdr:nvSpPr>
            <xdr:cNvPr id="4536331" name="cnt_CountryHighlight" hidden="1">
              <a:extLst>
                <a:ext uri="{63B3BB69-23CF-44E3-9099-C40C66FF867C}">
                  <a14:compatExt spid="_x0000_s4536331"/>
                </a:ext>
                <a:ext uri="{FF2B5EF4-FFF2-40B4-BE49-F238E27FC236}">
                  <a16:creationId xmlns:a16="http://schemas.microsoft.com/office/drawing/2014/main" id="{00000000-0008-0000-0B00-00000B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34</xdr:row>
          <xdr:rowOff>27214</xdr:rowOff>
        </xdr:from>
        <xdr:to>
          <xdr:col>11</xdr:col>
          <xdr:colOff>206829</xdr:colOff>
          <xdr:row>34</xdr:row>
          <xdr:rowOff>239486</xdr:rowOff>
        </xdr:to>
        <xdr:sp macro="" textlink="">
          <xdr:nvSpPr>
            <xdr:cNvPr id="4536332" name="cnt_PalettePicker" hidden="1">
              <a:extLst>
                <a:ext uri="{63B3BB69-23CF-44E3-9099-C40C66FF867C}">
                  <a14:compatExt spid="_x0000_s4536332"/>
                </a:ext>
                <a:ext uri="{FF2B5EF4-FFF2-40B4-BE49-F238E27FC236}">
                  <a16:creationId xmlns:a16="http://schemas.microsoft.com/office/drawing/2014/main" id="{00000000-0008-0000-0B00-00000C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391886</xdr:colOff>
          <xdr:row>0</xdr:row>
          <xdr:rowOff>174171</xdr:rowOff>
        </xdr:from>
        <xdr:to>
          <xdr:col>2</xdr:col>
          <xdr:colOff>1017814</xdr:colOff>
          <xdr:row>1</xdr:row>
          <xdr:rowOff>250371</xdr:rowOff>
        </xdr:to>
        <xdr:sp macro="" textlink="">
          <xdr:nvSpPr>
            <xdr:cNvPr id="4536333" name="bld_Build" hidden="1">
              <a:extLst>
                <a:ext uri="{63B3BB69-23CF-44E3-9099-C40C66FF867C}">
                  <a14:compatExt spid="_x0000_s4536333"/>
                </a:ext>
                <a:ext uri="{FF2B5EF4-FFF2-40B4-BE49-F238E27FC236}">
                  <a16:creationId xmlns:a16="http://schemas.microsoft.com/office/drawing/2014/main" id="{00000000-0008-0000-0B00-00000D384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1100" b="0" i="0" u="none" strike="noStrike" baseline="0">
                  <a:solidFill>
                    <a:srgbClr val="000000"/>
                  </a:solidFill>
                  <a:latin typeface="Calibri"/>
                  <a:ea typeface="Calibri"/>
                  <a:cs typeface="Calibri"/>
                </a:rPr>
                <a:t>Build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87086</xdr:colOff>
          <xdr:row>0</xdr:row>
          <xdr:rowOff>152400</xdr:rowOff>
        </xdr:from>
        <xdr:to>
          <xdr:col>1</xdr:col>
          <xdr:colOff>38100</xdr:colOff>
          <xdr:row>1</xdr:row>
          <xdr:rowOff>228600</xdr:rowOff>
        </xdr:to>
        <xdr:sp macro="" textlink="">
          <xdr:nvSpPr>
            <xdr:cNvPr id="4536334" name="bld_ImportMDF" hidden="1">
              <a:extLst>
                <a:ext uri="{63B3BB69-23CF-44E3-9099-C40C66FF867C}">
                  <a14:compatExt spid="_x0000_s4536334"/>
                </a:ext>
                <a:ext uri="{FF2B5EF4-FFF2-40B4-BE49-F238E27FC236}">
                  <a16:creationId xmlns:a16="http://schemas.microsoft.com/office/drawing/2014/main" id="{00000000-0008-0000-0B00-00000E384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1100" b="0" i="0" u="none" strike="noStrike" baseline="0">
                  <a:solidFill>
                    <a:srgbClr val="000000"/>
                  </a:solidFill>
                  <a:latin typeface="Calibri"/>
                  <a:ea typeface="Calibri"/>
                  <a:cs typeface="Calibri"/>
                </a:rPr>
                <a:t>Import MDF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103414</xdr:colOff>
          <xdr:row>0</xdr:row>
          <xdr:rowOff>163286</xdr:rowOff>
        </xdr:from>
        <xdr:to>
          <xdr:col>7</xdr:col>
          <xdr:colOff>440871</xdr:colOff>
          <xdr:row>1</xdr:row>
          <xdr:rowOff>239486</xdr:rowOff>
        </xdr:to>
        <xdr:sp macro="" textlink="">
          <xdr:nvSpPr>
            <xdr:cNvPr id="4536335" name="bld_OrganiseWorksheets" hidden="1">
              <a:extLst>
                <a:ext uri="{63B3BB69-23CF-44E3-9099-C40C66FF867C}">
                  <a14:compatExt spid="_x0000_s4536335"/>
                </a:ext>
                <a:ext uri="{FF2B5EF4-FFF2-40B4-BE49-F238E27FC236}">
                  <a16:creationId xmlns:a16="http://schemas.microsoft.com/office/drawing/2014/main" id="{00000000-0008-0000-0B00-00000F384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1100" b="0" i="0" u="none" strike="noStrike" baseline="0">
                  <a:solidFill>
                    <a:srgbClr val="000000"/>
                  </a:solidFill>
                  <a:latin typeface="Calibri"/>
                  <a:ea typeface="Calibri"/>
                  <a:cs typeface="Calibri"/>
                </a:rPr>
                <a:t>Organise worksheets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27214</xdr:rowOff>
        </xdr:from>
        <xdr:to>
          <xdr:col>10</xdr:col>
          <xdr:colOff>527957</xdr:colOff>
          <xdr:row>42</xdr:row>
          <xdr:rowOff>239486</xdr:rowOff>
        </xdr:to>
        <xdr:sp macro="" textlink="">
          <xdr:nvSpPr>
            <xdr:cNvPr id="4536336" name="cnt_TimesliceDataTable" hidden="1">
              <a:extLst>
                <a:ext uri="{63B3BB69-23CF-44E3-9099-C40C66FF867C}">
                  <a14:compatExt spid="_x0000_s4536336"/>
                </a:ext>
                <a:ext uri="{FF2B5EF4-FFF2-40B4-BE49-F238E27FC236}">
                  <a16:creationId xmlns:a16="http://schemas.microsoft.com/office/drawing/2014/main" id="{00000000-0008-0000-0B00-000010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27214</xdr:rowOff>
        </xdr:from>
        <xdr:to>
          <xdr:col>12</xdr:col>
          <xdr:colOff>321129</xdr:colOff>
          <xdr:row>35</xdr:row>
          <xdr:rowOff>239486</xdr:rowOff>
        </xdr:to>
        <xdr:sp macro="" textlink="">
          <xdr:nvSpPr>
            <xdr:cNvPr id="4536337" name="cnt_WeightProfile" hidden="1">
              <a:extLst>
                <a:ext uri="{63B3BB69-23CF-44E3-9099-C40C66FF867C}">
                  <a14:compatExt spid="_x0000_s4536337"/>
                </a:ext>
                <a:ext uri="{FF2B5EF4-FFF2-40B4-BE49-F238E27FC236}">
                  <a16:creationId xmlns:a16="http://schemas.microsoft.com/office/drawing/2014/main" id="{00000000-0008-0000-0B00-000011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27214</xdr:rowOff>
        </xdr:from>
        <xdr:to>
          <xdr:col>10</xdr:col>
          <xdr:colOff>527957</xdr:colOff>
          <xdr:row>40</xdr:row>
          <xdr:rowOff>239486</xdr:rowOff>
        </xdr:to>
        <xdr:sp macro="" textlink="">
          <xdr:nvSpPr>
            <xdr:cNvPr id="4536338" name="cnt_Timeslice" hidden="1">
              <a:extLst>
                <a:ext uri="{63B3BB69-23CF-44E3-9099-C40C66FF867C}">
                  <a14:compatExt spid="_x0000_s4536338"/>
                </a:ext>
                <a:ext uri="{FF2B5EF4-FFF2-40B4-BE49-F238E27FC236}">
                  <a16:creationId xmlns:a16="http://schemas.microsoft.com/office/drawing/2014/main" id="{00000000-0008-0000-0B00-000012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27214</xdr:rowOff>
        </xdr:from>
        <xdr:to>
          <xdr:col>10</xdr:col>
          <xdr:colOff>582386</xdr:colOff>
          <xdr:row>36</xdr:row>
          <xdr:rowOff>239486</xdr:rowOff>
        </xdr:to>
        <xdr:sp macro="" textlink="">
          <xdr:nvSpPr>
            <xdr:cNvPr id="4536339" name="cnt_WeightMode" hidden="1">
              <a:extLst>
                <a:ext uri="{63B3BB69-23CF-44E3-9099-C40C66FF867C}">
                  <a14:compatExt spid="_x0000_s4536339"/>
                </a:ext>
                <a:ext uri="{FF2B5EF4-FFF2-40B4-BE49-F238E27FC236}">
                  <a16:creationId xmlns:a16="http://schemas.microsoft.com/office/drawing/2014/main" id="{00000000-0008-0000-0B00-000013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27214</xdr:rowOff>
        </xdr:from>
        <xdr:to>
          <xdr:col>10</xdr:col>
          <xdr:colOff>527957</xdr:colOff>
          <xdr:row>41</xdr:row>
          <xdr:rowOff>239486</xdr:rowOff>
        </xdr:to>
        <xdr:sp macro="" textlink="">
          <xdr:nvSpPr>
            <xdr:cNvPr id="4536340" name="cnt_TimesliceComparison" hidden="1">
              <a:extLst>
                <a:ext uri="{63B3BB69-23CF-44E3-9099-C40C66FF867C}">
                  <a14:compatExt spid="_x0000_s4536340"/>
                </a:ext>
                <a:ext uri="{FF2B5EF4-FFF2-40B4-BE49-F238E27FC236}">
                  <a16:creationId xmlns:a16="http://schemas.microsoft.com/office/drawing/2014/main" id="{00000000-0008-0000-0B00-000014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48</xdr:row>
          <xdr:rowOff>27214</xdr:rowOff>
        </xdr:from>
        <xdr:to>
          <xdr:col>11</xdr:col>
          <xdr:colOff>16329</xdr:colOff>
          <xdr:row>48</xdr:row>
          <xdr:rowOff>239486</xdr:rowOff>
        </xdr:to>
        <xdr:sp macro="" textlink="">
          <xdr:nvSpPr>
            <xdr:cNvPr id="4536341" name="cnt_CountryFltHighlight" hidden="1">
              <a:extLst>
                <a:ext uri="{63B3BB69-23CF-44E3-9099-C40C66FF867C}">
                  <a14:compatExt spid="_x0000_s4536341"/>
                </a:ext>
                <a:ext uri="{FF2B5EF4-FFF2-40B4-BE49-F238E27FC236}">
                  <a16:creationId xmlns:a16="http://schemas.microsoft.com/office/drawing/2014/main" id="{00000000-0008-0000-0B00-000015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27214</xdr:rowOff>
        </xdr:from>
        <xdr:to>
          <xdr:col>11</xdr:col>
          <xdr:colOff>103414</xdr:colOff>
          <xdr:row>43</xdr:row>
          <xdr:rowOff>239486</xdr:rowOff>
        </xdr:to>
        <xdr:sp macro="" textlink="">
          <xdr:nvSpPr>
            <xdr:cNvPr id="4536342" name="cnt_GroupHighlight" hidden="1">
              <a:extLst>
                <a:ext uri="{63B3BB69-23CF-44E3-9099-C40C66FF867C}">
                  <a14:compatExt spid="_x0000_s4536342"/>
                </a:ext>
                <a:ext uri="{FF2B5EF4-FFF2-40B4-BE49-F238E27FC236}">
                  <a16:creationId xmlns:a16="http://schemas.microsoft.com/office/drawing/2014/main" id="{00000000-0008-0000-0B00-000016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27214</xdr:rowOff>
        </xdr:from>
        <xdr:to>
          <xdr:col>10</xdr:col>
          <xdr:colOff>517071</xdr:colOff>
          <xdr:row>53</xdr:row>
          <xdr:rowOff>239486</xdr:rowOff>
        </xdr:to>
        <xdr:sp macro="" textlink="">
          <xdr:nvSpPr>
            <xdr:cNvPr id="4536343" name="cnt_Country_4" hidden="1">
              <a:extLst>
                <a:ext uri="{63B3BB69-23CF-44E3-9099-C40C66FF867C}">
                  <a14:compatExt spid="_x0000_s4536343"/>
                </a:ext>
                <a:ext uri="{FF2B5EF4-FFF2-40B4-BE49-F238E27FC236}">
                  <a16:creationId xmlns:a16="http://schemas.microsoft.com/office/drawing/2014/main" id="{00000000-0008-0000-0B00-000017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27214</xdr:rowOff>
        </xdr:from>
        <xdr:to>
          <xdr:col>10</xdr:col>
          <xdr:colOff>517071</xdr:colOff>
          <xdr:row>52</xdr:row>
          <xdr:rowOff>239486</xdr:rowOff>
        </xdr:to>
        <xdr:sp macro="" textlink="">
          <xdr:nvSpPr>
            <xdr:cNvPr id="4536344" name="cnt_Country_3" hidden="1">
              <a:extLst>
                <a:ext uri="{63B3BB69-23CF-44E3-9099-C40C66FF867C}">
                  <a14:compatExt spid="_x0000_s4536344"/>
                </a:ext>
                <a:ext uri="{FF2B5EF4-FFF2-40B4-BE49-F238E27FC236}">
                  <a16:creationId xmlns:a16="http://schemas.microsoft.com/office/drawing/2014/main" id="{00000000-0008-0000-0B00-000018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61</xdr:row>
          <xdr:rowOff>27214</xdr:rowOff>
        </xdr:from>
        <xdr:to>
          <xdr:col>11</xdr:col>
          <xdr:colOff>560614</xdr:colOff>
          <xdr:row>61</xdr:row>
          <xdr:rowOff>239486</xdr:rowOff>
        </xdr:to>
        <xdr:sp macro="" textlink="">
          <xdr:nvSpPr>
            <xdr:cNvPr id="4536345" name="cnt_Sort_Order_1" hidden="1">
              <a:extLst>
                <a:ext uri="{63B3BB69-23CF-44E3-9099-C40C66FF867C}">
                  <a14:compatExt spid="_x0000_s4536345"/>
                </a:ext>
                <a:ext uri="{FF2B5EF4-FFF2-40B4-BE49-F238E27FC236}">
                  <a16:creationId xmlns:a16="http://schemas.microsoft.com/office/drawing/2014/main" id="{00000000-0008-0000-0B00-000019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27214</xdr:rowOff>
        </xdr:from>
        <xdr:to>
          <xdr:col>12</xdr:col>
          <xdr:colOff>571500</xdr:colOff>
          <xdr:row>56</xdr:row>
          <xdr:rowOff>239486</xdr:rowOff>
        </xdr:to>
        <xdr:sp macro="" textlink="">
          <xdr:nvSpPr>
            <xdr:cNvPr id="4536346" name="cnt_SeriesAll" hidden="1">
              <a:extLst>
                <a:ext uri="{63B3BB69-23CF-44E3-9099-C40C66FF867C}">
                  <a14:compatExt spid="_x0000_s4536346"/>
                </a:ext>
                <a:ext uri="{FF2B5EF4-FFF2-40B4-BE49-F238E27FC236}">
                  <a16:creationId xmlns:a16="http://schemas.microsoft.com/office/drawing/2014/main" id="{00000000-0008-0000-0B00-00001A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55</xdr:row>
          <xdr:rowOff>27214</xdr:rowOff>
        </xdr:from>
        <xdr:to>
          <xdr:col>12</xdr:col>
          <xdr:colOff>342900</xdr:colOff>
          <xdr:row>55</xdr:row>
          <xdr:rowOff>239486</xdr:rowOff>
        </xdr:to>
        <xdr:sp macro="" textlink="">
          <xdr:nvSpPr>
            <xdr:cNvPr id="4536347" name="cnt_CatMultiples" hidden="1">
              <a:extLst>
                <a:ext uri="{63B3BB69-23CF-44E3-9099-C40C66FF867C}">
                  <a14:compatExt spid="_x0000_s4536347"/>
                </a:ext>
                <a:ext uri="{FF2B5EF4-FFF2-40B4-BE49-F238E27FC236}">
                  <a16:creationId xmlns:a16="http://schemas.microsoft.com/office/drawing/2014/main" id="{00000000-0008-0000-0B00-00001B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59</xdr:row>
          <xdr:rowOff>27214</xdr:rowOff>
        </xdr:from>
        <xdr:to>
          <xdr:col>12</xdr:col>
          <xdr:colOff>571500</xdr:colOff>
          <xdr:row>59</xdr:row>
          <xdr:rowOff>239486</xdr:rowOff>
        </xdr:to>
        <xdr:sp macro="" textlink="">
          <xdr:nvSpPr>
            <xdr:cNvPr id="4536348" name="cnt_SeriesScatterX" hidden="1">
              <a:extLst>
                <a:ext uri="{63B3BB69-23CF-44E3-9099-C40C66FF867C}">
                  <a14:compatExt spid="_x0000_s4536348"/>
                </a:ext>
                <a:ext uri="{FF2B5EF4-FFF2-40B4-BE49-F238E27FC236}">
                  <a16:creationId xmlns:a16="http://schemas.microsoft.com/office/drawing/2014/main" id="{00000000-0008-0000-0B00-00001C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60</xdr:row>
          <xdr:rowOff>27214</xdr:rowOff>
        </xdr:from>
        <xdr:to>
          <xdr:col>12</xdr:col>
          <xdr:colOff>571500</xdr:colOff>
          <xdr:row>60</xdr:row>
          <xdr:rowOff>239486</xdr:rowOff>
        </xdr:to>
        <xdr:sp macro="" textlink="">
          <xdr:nvSpPr>
            <xdr:cNvPr id="4536349" name="cnt_SeriesScatterY" hidden="1">
              <a:extLst>
                <a:ext uri="{63B3BB69-23CF-44E3-9099-C40C66FF867C}">
                  <a14:compatExt spid="_x0000_s4536349"/>
                </a:ext>
                <a:ext uri="{FF2B5EF4-FFF2-40B4-BE49-F238E27FC236}">
                  <a16:creationId xmlns:a16="http://schemas.microsoft.com/office/drawing/2014/main" id="{00000000-0008-0000-0B00-00001D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27214</xdr:rowOff>
        </xdr:from>
        <xdr:to>
          <xdr:col>11</xdr:col>
          <xdr:colOff>103414</xdr:colOff>
          <xdr:row>46</xdr:row>
          <xdr:rowOff>239486</xdr:rowOff>
        </xdr:to>
        <xdr:sp macro="" textlink="">
          <xdr:nvSpPr>
            <xdr:cNvPr id="4536352" name="cnt_GroupFilter_2" hidden="1">
              <a:extLst>
                <a:ext uri="{63B3BB69-23CF-44E3-9099-C40C66FF867C}">
                  <a14:compatExt spid="_x0000_s4536352"/>
                </a:ext>
                <a:ext uri="{FF2B5EF4-FFF2-40B4-BE49-F238E27FC236}">
                  <a16:creationId xmlns:a16="http://schemas.microsoft.com/office/drawing/2014/main" id="{00000000-0008-0000-0B00-000020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47</xdr:row>
          <xdr:rowOff>27214</xdr:rowOff>
        </xdr:from>
        <xdr:to>
          <xdr:col>10</xdr:col>
          <xdr:colOff>517071</xdr:colOff>
          <xdr:row>47</xdr:row>
          <xdr:rowOff>239486</xdr:rowOff>
        </xdr:to>
        <xdr:sp macro="" textlink="">
          <xdr:nvSpPr>
            <xdr:cNvPr id="4536353" name="cnt_CountryFlt_2" hidden="1">
              <a:extLst>
                <a:ext uri="{63B3BB69-23CF-44E3-9099-C40C66FF867C}">
                  <a14:compatExt spid="_x0000_s4536353"/>
                </a:ext>
                <a:ext uri="{FF2B5EF4-FFF2-40B4-BE49-F238E27FC236}">
                  <a16:creationId xmlns:a16="http://schemas.microsoft.com/office/drawing/2014/main" id="{00000000-0008-0000-0B00-000021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38</xdr:row>
          <xdr:rowOff>27214</xdr:rowOff>
        </xdr:from>
        <xdr:to>
          <xdr:col>10</xdr:col>
          <xdr:colOff>582386</xdr:colOff>
          <xdr:row>38</xdr:row>
          <xdr:rowOff>239486</xdr:rowOff>
        </xdr:to>
        <xdr:sp macro="" textlink="">
          <xdr:nvSpPr>
            <xdr:cNvPr id="4536357" name="cnt_ModelDepthDescription" hidden="1">
              <a:extLst>
                <a:ext uri="{63B3BB69-23CF-44E3-9099-C40C66FF867C}">
                  <a14:compatExt spid="_x0000_s4536357"/>
                </a:ext>
                <a:ext uri="{FF2B5EF4-FFF2-40B4-BE49-F238E27FC236}">
                  <a16:creationId xmlns:a16="http://schemas.microsoft.com/office/drawing/2014/main" id="{00000000-0008-0000-0B00-000025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57</xdr:row>
          <xdr:rowOff>27214</xdr:rowOff>
        </xdr:from>
        <xdr:to>
          <xdr:col>12</xdr:col>
          <xdr:colOff>571500</xdr:colOff>
          <xdr:row>57</xdr:row>
          <xdr:rowOff>239486</xdr:rowOff>
        </xdr:to>
        <xdr:sp macro="" textlink="">
          <xdr:nvSpPr>
            <xdr:cNvPr id="4536359" name="cnt_SeriesHighLevel" hidden="1">
              <a:extLst>
                <a:ext uri="{63B3BB69-23CF-44E3-9099-C40C66FF867C}">
                  <a14:compatExt spid="_x0000_s4536359"/>
                </a:ext>
                <a:ext uri="{FF2B5EF4-FFF2-40B4-BE49-F238E27FC236}">
                  <a16:creationId xmlns:a16="http://schemas.microsoft.com/office/drawing/2014/main" id="{00000000-0008-0000-0B00-000027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27214</xdr:rowOff>
        </xdr:from>
        <xdr:to>
          <xdr:col>12</xdr:col>
          <xdr:colOff>190500</xdr:colOff>
          <xdr:row>54</xdr:row>
          <xdr:rowOff>239486</xdr:rowOff>
        </xdr:to>
        <xdr:sp macro="" textlink="">
          <xdr:nvSpPr>
            <xdr:cNvPr id="4536360" name="cnt_CatFilter" hidden="1">
              <a:extLst>
                <a:ext uri="{63B3BB69-23CF-44E3-9099-C40C66FF867C}">
                  <a14:compatExt spid="_x0000_s4536360"/>
                </a:ext>
                <a:ext uri="{FF2B5EF4-FFF2-40B4-BE49-F238E27FC236}">
                  <a16:creationId xmlns:a16="http://schemas.microsoft.com/office/drawing/2014/main" id="{00000000-0008-0000-0B00-000028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391886</xdr:colOff>
          <xdr:row>1</xdr:row>
          <xdr:rowOff>59871</xdr:rowOff>
        </xdr:from>
        <xdr:to>
          <xdr:col>15</xdr:col>
          <xdr:colOff>468086</xdr:colOff>
          <xdr:row>2</xdr:row>
          <xdr:rowOff>174171</xdr:rowOff>
        </xdr:to>
        <xdr:sp macro="" textlink="">
          <xdr:nvSpPr>
            <xdr:cNvPr id="4536361" name="Button 41" hidden="1">
              <a:extLst>
                <a:ext uri="{63B3BB69-23CF-44E3-9099-C40C66FF867C}">
                  <a14:compatExt spid="_x0000_s4536361"/>
                </a:ext>
                <a:ext uri="{FF2B5EF4-FFF2-40B4-BE49-F238E27FC236}">
                  <a16:creationId xmlns:a16="http://schemas.microsoft.com/office/drawing/2014/main" id="{00000000-0008-0000-0B00-000029384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1100" b="0" i="0" u="none" strike="noStrike" baseline="0">
                  <a:solidFill>
                    <a:srgbClr val="000000"/>
                  </a:solidFill>
                  <a:latin typeface="Calibri"/>
                  <a:ea typeface="Calibri"/>
                  <a:cs typeface="Calibri"/>
                </a:rPr>
                <a:t>Import MD and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37</xdr:row>
          <xdr:rowOff>27214</xdr:rowOff>
        </xdr:from>
        <xdr:to>
          <xdr:col>11</xdr:col>
          <xdr:colOff>827314</xdr:colOff>
          <xdr:row>37</xdr:row>
          <xdr:rowOff>239486</xdr:rowOff>
        </xdr:to>
        <xdr:sp macro="" textlink="">
          <xdr:nvSpPr>
            <xdr:cNvPr id="4536362" name="cnt_WeightsDepth" hidden="1">
              <a:extLst>
                <a:ext uri="{63B3BB69-23CF-44E3-9099-C40C66FF867C}">
                  <a14:compatExt spid="_x0000_s4536362"/>
                </a:ext>
                <a:ext uri="{FF2B5EF4-FFF2-40B4-BE49-F238E27FC236}">
                  <a16:creationId xmlns:a16="http://schemas.microsoft.com/office/drawing/2014/main" id="{00000000-0008-0000-0B00-00002A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27214</xdr:rowOff>
        </xdr:from>
        <xdr:to>
          <xdr:col>11</xdr:col>
          <xdr:colOff>332014</xdr:colOff>
          <xdr:row>39</xdr:row>
          <xdr:rowOff>239486</xdr:rowOff>
        </xdr:to>
        <xdr:sp macro="" textlink="">
          <xdr:nvSpPr>
            <xdr:cNvPr id="4536364" name="cnt_DataTableFilter" hidden="1">
              <a:extLst>
                <a:ext uri="{63B3BB69-23CF-44E3-9099-C40C66FF867C}">
                  <a14:compatExt spid="_x0000_s4536364"/>
                </a:ext>
                <a:ext uri="{FF2B5EF4-FFF2-40B4-BE49-F238E27FC236}">
                  <a16:creationId xmlns:a16="http://schemas.microsoft.com/office/drawing/2014/main" id="{00000000-0008-0000-0B00-00002C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62</xdr:row>
          <xdr:rowOff>27214</xdr:rowOff>
        </xdr:from>
        <xdr:to>
          <xdr:col>10</xdr:col>
          <xdr:colOff>429986</xdr:colOff>
          <xdr:row>62</xdr:row>
          <xdr:rowOff>239486</xdr:rowOff>
        </xdr:to>
        <xdr:sp macro="" textlink="">
          <xdr:nvSpPr>
            <xdr:cNvPr id="4536365" name="cnt_Indicator_View" hidden="1">
              <a:extLst>
                <a:ext uri="{63B3BB69-23CF-44E3-9099-C40C66FF867C}">
                  <a14:compatExt spid="_x0000_s4536365"/>
                </a:ext>
                <a:ext uri="{FF2B5EF4-FFF2-40B4-BE49-F238E27FC236}">
                  <a16:creationId xmlns:a16="http://schemas.microsoft.com/office/drawing/2014/main" id="{00000000-0008-0000-0B00-00002D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63</xdr:row>
          <xdr:rowOff>27214</xdr:rowOff>
        </xdr:from>
        <xdr:to>
          <xdr:col>11</xdr:col>
          <xdr:colOff>321129</xdr:colOff>
          <xdr:row>63</xdr:row>
          <xdr:rowOff>239486</xdr:rowOff>
        </xdr:to>
        <xdr:sp macro="" textlink="">
          <xdr:nvSpPr>
            <xdr:cNvPr id="4536367" name="cnt_Scatter_Data_Option" hidden="1">
              <a:extLst>
                <a:ext uri="{63B3BB69-23CF-44E3-9099-C40C66FF867C}">
                  <a14:compatExt spid="_x0000_s4536367"/>
                </a:ext>
                <a:ext uri="{FF2B5EF4-FFF2-40B4-BE49-F238E27FC236}">
                  <a16:creationId xmlns:a16="http://schemas.microsoft.com/office/drawing/2014/main" id="{00000000-0008-0000-0B00-00002F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64</xdr:row>
          <xdr:rowOff>27214</xdr:rowOff>
        </xdr:from>
        <xdr:to>
          <xdr:col>11</xdr:col>
          <xdr:colOff>321129</xdr:colOff>
          <xdr:row>64</xdr:row>
          <xdr:rowOff>239486</xdr:rowOff>
        </xdr:to>
        <xdr:sp macro="" textlink="">
          <xdr:nvSpPr>
            <xdr:cNvPr id="4536368" name="cnt_View_Dots" hidden="1">
              <a:extLst>
                <a:ext uri="{63B3BB69-23CF-44E3-9099-C40C66FF867C}">
                  <a14:compatExt spid="_x0000_s4536368"/>
                </a:ext>
                <a:ext uri="{FF2B5EF4-FFF2-40B4-BE49-F238E27FC236}">
                  <a16:creationId xmlns:a16="http://schemas.microsoft.com/office/drawing/2014/main" id="{00000000-0008-0000-0B00-000030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65</xdr:row>
          <xdr:rowOff>27214</xdr:rowOff>
        </xdr:from>
        <xdr:to>
          <xdr:col>11</xdr:col>
          <xdr:colOff>321129</xdr:colOff>
          <xdr:row>65</xdr:row>
          <xdr:rowOff>239486</xdr:rowOff>
        </xdr:to>
        <xdr:sp macro="" textlink="">
          <xdr:nvSpPr>
            <xdr:cNvPr id="4536369" name="cnt_Chart_Selector_1" hidden="1">
              <a:extLst>
                <a:ext uri="{63B3BB69-23CF-44E3-9099-C40C66FF867C}">
                  <a14:compatExt spid="_x0000_s4536369"/>
                </a:ext>
                <a:ext uri="{FF2B5EF4-FFF2-40B4-BE49-F238E27FC236}">
                  <a16:creationId xmlns:a16="http://schemas.microsoft.com/office/drawing/2014/main" id="{00000000-0008-0000-0B00-000031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27214</xdr:rowOff>
        </xdr:from>
        <xdr:to>
          <xdr:col>12</xdr:col>
          <xdr:colOff>571500</xdr:colOff>
          <xdr:row>66</xdr:row>
          <xdr:rowOff>239486</xdr:rowOff>
        </xdr:to>
        <xdr:sp macro="" textlink="">
          <xdr:nvSpPr>
            <xdr:cNvPr id="4536370" name="cnt_IFG_Measure" hidden="1">
              <a:extLst>
                <a:ext uri="{63B3BB69-23CF-44E3-9099-C40C66FF867C}">
                  <a14:compatExt spid="_x0000_s4536370"/>
                </a:ext>
                <a:ext uri="{FF2B5EF4-FFF2-40B4-BE49-F238E27FC236}">
                  <a16:creationId xmlns:a16="http://schemas.microsoft.com/office/drawing/2014/main" id="{00000000-0008-0000-0B00-000032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27214</xdr:rowOff>
        </xdr:from>
        <xdr:to>
          <xdr:col>10</xdr:col>
          <xdr:colOff>517071</xdr:colOff>
          <xdr:row>67</xdr:row>
          <xdr:rowOff>239486</xdr:rowOff>
        </xdr:to>
        <xdr:sp macro="" textlink="">
          <xdr:nvSpPr>
            <xdr:cNvPr id="4536371" name="cnt_Country_Or_Average" hidden="1">
              <a:extLst>
                <a:ext uri="{63B3BB69-23CF-44E3-9099-C40C66FF867C}">
                  <a14:compatExt spid="_x0000_s4536371"/>
                </a:ext>
                <a:ext uri="{FF2B5EF4-FFF2-40B4-BE49-F238E27FC236}">
                  <a16:creationId xmlns:a16="http://schemas.microsoft.com/office/drawing/2014/main" id="{00000000-0008-0000-0B00-000033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69</xdr:row>
          <xdr:rowOff>27214</xdr:rowOff>
        </xdr:from>
        <xdr:to>
          <xdr:col>11</xdr:col>
          <xdr:colOff>321129</xdr:colOff>
          <xdr:row>69</xdr:row>
          <xdr:rowOff>239486</xdr:rowOff>
        </xdr:to>
        <xdr:sp macro="" textlink="">
          <xdr:nvSpPr>
            <xdr:cNvPr id="4536372" name="cnt_Compare_Detail" hidden="1">
              <a:extLst>
                <a:ext uri="{63B3BB69-23CF-44E3-9099-C40C66FF867C}">
                  <a14:compatExt spid="_x0000_s4536372"/>
                </a:ext>
                <a:ext uri="{FF2B5EF4-FFF2-40B4-BE49-F238E27FC236}">
                  <a16:creationId xmlns:a16="http://schemas.microsoft.com/office/drawing/2014/main" id="{00000000-0008-0000-0B00-000034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68</xdr:row>
          <xdr:rowOff>27214</xdr:rowOff>
        </xdr:from>
        <xdr:to>
          <xdr:col>10</xdr:col>
          <xdr:colOff>517071</xdr:colOff>
          <xdr:row>68</xdr:row>
          <xdr:rowOff>239486</xdr:rowOff>
        </xdr:to>
        <xdr:sp macro="" textlink="">
          <xdr:nvSpPr>
            <xdr:cNvPr id="4536373" name="cnt_Country_Or_Average_2" hidden="1">
              <a:extLst>
                <a:ext uri="{63B3BB69-23CF-44E3-9099-C40C66FF867C}">
                  <a14:compatExt spid="_x0000_s4536373"/>
                </a:ext>
                <a:ext uri="{FF2B5EF4-FFF2-40B4-BE49-F238E27FC236}">
                  <a16:creationId xmlns:a16="http://schemas.microsoft.com/office/drawing/2014/main" id="{00000000-0008-0000-0B00-000035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58</xdr:row>
          <xdr:rowOff>27214</xdr:rowOff>
        </xdr:from>
        <xdr:to>
          <xdr:col>12</xdr:col>
          <xdr:colOff>571500</xdr:colOff>
          <xdr:row>58</xdr:row>
          <xdr:rowOff>239486</xdr:rowOff>
        </xdr:to>
        <xdr:sp macro="" textlink="">
          <xdr:nvSpPr>
            <xdr:cNvPr id="4536376" name="cnt_SeriesOverview" hidden="1">
              <a:extLst>
                <a:ext uri="{63B3BB69-23CF-44E3-9099-C40C66FF867C}">
                  <a14:compatExt spid="_x0000_s4536376"/>
                </a:ext>
                <a:ext uri="{FF2B5EF4-FFF2-40B4-BE49-F238E27FC236}">
                  <a16:creationId xmlns:a16="http://schemas.microsoft.com/office/drawing/2014/main" id="{00000000-0008-0000-0B00-000038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70</xdr:row>
          <xdr:rowOff>27214</xdr:rowOff>
        </xdr:from>
        <xdr:to>
          <xdr:col>11</xdr:col>
          <xdr:colOff>179614</xdr:colOff>
          <xdr:row>70</xdr:row>
          <xdr:rowOff>239486</xdr:rowOff>
        </xdr:to>
        <xdr:sp macro="" textlink="">
          <xdr:nvSpPr>
            <xdr:cNvPr id="4536379" name="cnt_ShowReferences" hidden="1">
              <a:extLst>
                <a:ext uri="{63B3BB69-23CF-44E3-9099-C40C66FF867C}">
                  <a14:compatExt spid="_x0000_s4536379"/>
                </a:ext>
                <a:ext uri="{FF2B5EF4-FFF2-40B4-BE49-F238E27FC236}">
                  <a16:creationId xmlns:a16="http://schemas.microsoft.com/office/drawing/2014/main" id="{00000000-0008-0000-0B00-00003B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27214</xdr:rowOff>
        </xdr:from>
        <xdr:to>
          <xdr:col>11</xdr:col>
          <xdr:colOff>179614</xdr:colOff>
          <xdr:row>71</xdr:row>
          <xdr:rowOff>239486</xdr:rowOff>
        </xdr:to>
        <xdr:sp macro="" textlink="">
          <xdr:nvSpPr>
            <xdr:cNvPr id="4536380" name="cnt_ClassificationScheme" hidden="1">
              <a:extLst>
                <a:ext uri="{63B3BB69-23CF-44E3-9099-C40C66FF867C}">
                  <a14:compatExt spid="_x0000_s4536380"/>
                </a:ext>
                <a:ext uri="{FF2B5EF4-FFF2-40B4-BE49-F238E27FC236}">
                  <a16:creationId xmlns:a16="http://schemas.microsoft.com/office/drawing/2014/main" id="{00000000-0008-0000-0B00-00003C38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3</xdr:row>
      <xdr:rowOff>533397</xdr:rowOff>
    </xdr:from>
    <xdr:to>
      <xdr:col>15</xdr:col>
      <xdr:colOff>718457</xdr:colOff>
      <xdr:row>4</xdr:row>
      <xdr:rowOff>304797</xdr:rowOff>
    </xdr:to>
    <xdr:sp macro="[0]!k" textlink="">
      <xdr:nvSpPr>
        <xdr:cNvPr id="44" name="ui_txt_infobar" hidden="1">
          <a:extLst>
            <a:ext uri="{FF2B5EF4-FFF2-40B4-BE49-F238E27FC236}">
              <a16:creationId xmlns:a16="http://schemas.microsoft.com/office/drawing/2014/main" id="{00000000-0008-0000-2100-00002C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000"/>
        </a:p>
      </xdr:txBody>
    </xdr:sp>
    <xdr:clientData fPrintsWithSheet="0"/>
  </xdr:twoCellAnchor>
  <xdr:twoCellAnchor editAs="absolute">
    <xdr:from>
      <xdr:col>0</xdr:col>
      <xdr:colOff>0</xdr:colOff>
      <xdr:row>0</xdr:row>
      <xdr:rowOff>0</xdr:rowOff>
    </xdr:from>
    <xdr:to>
      <xdr:col>15</xdr:col>
      <xdr:colOff>718457</xdr:colOff>
      <xdr:row>2</xdr:row>
      <xdr:rowOff>0</xdr:rowOff>
    </xdr:to>
    <xdr:sp macro="[0]!k" textlink="">
      <xdr:nvSpPr>
        <xdr:cNvPr id="3" name="ui_cmd_leave_zen_mode" hidden="1">
          <a:extLst>
            <a:ext uri="{FF2B5EF4-FFF2-40B4-BE49-F238E27FC236}">
              <a16:creationId xmlns:a16="http://schemas.microsoft.com/office/drawing/2014/main" id="{00000000-0008-0000-2100-000003000000}"/>
            </a:ext>
          </a:extLst>
        </xdr:cNvPr>
        <xdr:cNvSpPr txBox="1"/>
      </xdr:nvSpPr>
      <xdr:spPr>
        <a:xfrm>
          <a:off x="0" y="0"/>
          <a:ext cx="11887200" cy="304800"/>
        </a:xfrm>
        <a:prstGeom prst="rect">
          <a:avLst/>
        </a:prstGeom>
        <a:solidFill>
          <a:schemeClr val="l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GB" sz="1100" b="1">
              <a:solidFill>
                <a:schemeClr val="bg1">
                  <a:lumMod val="65000"/>
                </a:schemeClr>
              </a:solidFill>
            </a:rPr>
            <a:t>ZEN MODE.  NAVIGATION IS HIDDEN TO MAXIMISE VISIBLE</a:t>
          </a:r>
          <a:r>
            <a:rPr lang="en-GB" sz="1100" b="1" baseline="0">
              <a:solidFill>
                <a:schemeClr val="bg1">
                  <a:lumMod val="65000"/>
                </a:schemeClr>
              </a:solidFill>
            </a:rPr>
            <a:t> CONTENT. </a:t>
          </a:r>
          <a:r>
            <a:rPr lang="en-GB" sz="1100" b="1">
              <a:solidFill>
                <a:schemeClr val="bg1">
                  <a:lumMod val="65000"/>
                </a:schemeClr>
              </a:solidFill>
            </a:rPr>
            <a:t>  </a:t>
          </a:r>
          <a:r>
            <a:rPr lang="en-GB" sz="1100" b="1" u="sng">
              <a:solidFill>
                <a:srgbClr val="0070C0"/>
              </a:solidFill>
            </a:rPr>
            <a:t>CLICK HERE</a:t>
          </a:r>
          <a:r>
            <a:rPr lang="en-GB" sz="1100" b="1" baseline="0">
              <a:solidFill>
                <a:srgbClr val="0070C0"/>
              </a:solidFill>
            </a:rPr>
            <a:t> </a:t>
          </a:r>
          <a:r>
            <a:rPr lang="en-GB" sz="1100" b="1">
              <a:solidFill>
                <a:schemeClr val="bg1">
                  <a:lumMod val="65000"/>
                </a:schemeClr>
              </a:solidFill>
            </a:rPr>
            <a:t>TO RESTORE NAVIGATION</a:t>
          </a:r>
        </a:p>
      </xdr:txBody>
    </xdr:sp>
    <xdr:clientData fPrintsWithSheet="0"/>
  </xdr:twoCellAnchor>
  <xdr:twoCellAnchor editAs="absolute">
    <xdr:from>
      <xdr:col>0</xdr:col>
      <xdr:colOff>0</xdr:colOff>
      <xdr:row>3</xdr:row>
      <xdr:rowOff>533397</xdr:rowOff>
    </xdr:from>
    <xdr:to>
      <xdr:col>15</xdr:col>
      <xdr:colOff>718457</xdr:colOff>
      <xdr:row>4</xdr:row>
      <xdr:rowOff>304797</xdr:rowOff>
    </xdr:to>
    <xdr:sp macro="[0]!k" textlink="">
      <xdr:nvSpPr>
        <xdr:cNvPr id="45" name="ui_cmd_warningbar" hidden="1">
          <a:extLst>
            <a:ext uri="{FF2B5EF4-FFF2-40B4-BE49-F238E27FC236}">
              <a16:creationId xmlns:a16="http://schemas.microsoft.com/office/drawing/2014/main" id="{00000000-0008-0000-2100-00002D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000"/>
        </a:p>
      </xdr:txBody>
    </xdr:sp>
    <xdr:clientData fPrintsWithSheet="0"/>
  </xdr:twoCellAnchor>
  <xdr:twoCellAnchor editAs="absolute">
    <xdr:from>
      <xdr:col>0</xdr:col>
      <xdr:colOff>0</xdr:colOff>
      <xdr:row>3</xdr:row>
      <xdr:rowOff>533397</xdr:rowOff>
    </xdr:from>
    <xdr:to>
      <xdr:col>15</xdr:col>
      <xdr:colOff>718457</xdr:colOff>
      <xdr:row>4</xdr:row>
      <xdr:rowOff>304797</xdr:rowOff>
    </xdr:to>
    <xdr:sp macro="[0]!k" textlink="">
      <xdr:nvSpPr>
        <xdr:cNvPr id="46" name="ui_cmd_globalwarninginfobar" hidden="1">
          <a:extLst>
            <a:ext uri="{FF2B5EF4-FFF2-40B4-BE49-F238E27FC236}">
              <a16:creationId xmlns:a16="http://schemas.microsoft.com/office/drawing/2014/main" id="{00000000-0008-0000-2100-00002E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a:t>A</a:t>
          </a:r>
          <a:r>
            <a:rPr lang="en-GB" sz="1000" baseline="0"/>
            <a:t> custom weight profile is selected.  Scores and ranks may be different from official publication.  </a:t>
          </a:r>
          <a:r>
            <a:rPr lang="en-GB" sz="1000" b="1" u="sng" baseline="0">
              <a:solidFill>
                <a:srgbClr val="0070C0"/>
              </a:solidFill>
            </a:rPr>
            <a:t>RESTORE DEFAULT WEIGHT PROFILE</a:t>
          </a:r>
          <a:endParaRPr lang="en-GB" sz="1000" b="1" u="sng">
            <a:solidFill>
              <a:srgbClr val="0070C0"/>
            </a:solidFill>
          </a:endParaRPr>
        </a:p>
      </xdr:txBody>
    </xdr:sp>
    <xdr:clientData fPrintsWithSheet="0"/>
  </xdr:twoCellAnchor>
  <xdr:twoCellAnchor editAs="absolute">
    <xdr:from>
      <xdr:col>0</xdr:col>
      <xdr:colOff>0</xdr:colOff>
      <xdr:row>0</xdr:row>
      <xdr:rowOff>0</xdr:rowOff>
    </xdr:from>
    <xdr:to>
      <xdr:col>15</xdr:col>
      <xdr:colOff>718459</xdr:colOff>
      <xdr:row>3</xdr:row>
      <xdr:rowOff>533397</xdr:rowOff>
    </xdr:to>
    <xdr:grpSp>
      <xdr:nvGrpSpPr>
        <xdr:cNvPr id="54" name="ui_all">
          <a:extLst>
            <a:ext uri="{FF2B5EF4-FFF2-40B4-BE49-F238E27FC236}">
              <a16:creationId xmlns:a16="http://schemas.microsoft.com/office/drawing/2014/main" id="{00000000-0008-0000-2100-000036000000}"/>
            </a:ext>
          </a:extLst>
        </xdr:cNvPr>
        <xdr:cNvGrpSpPr/>
      </xdr:nvGrpSpPr>
      <xdr:grpSpPr>
        <a:xfrm>
          <a:off x="0" y="0"/>
          <a:ext cx="11887202" cy="1164768"/>
          <a:chOff x="0" y="304800"/>
          <a:chExt cx="11887202" cy="1164768"/>
        </a:xfrm>
      </xdr:grpSpPr>
      <xdr:sp macro="" textlink="">
        <xdr:nvSpPr>
          <xdr:cNvPr id="43" name="ui_dropdown_controls_bg">
            <a:extLst>
              <a:ext uri="{FF2B5EF4-FFF2-40B4-BE49-F238E27FC236}">
                <a16:creationId xmlns:a16="http://schemas.microsoft.com/office/drawing/2014/main" id="{00000000-0008-0000-2100-00002B000000}"/>
              </a:ext>
            </a:extLst>
          </xdr:cNvPr>
          <xdr:cNvSpPr/>
        </xdr:nvSpPr>
        <xdr:spPr>
          <a:xfrm>
            <a:off x="0" y="936168"/>
            <a:ext cx="11887200" cy="533400"/>
          </a:xfrm>
          <a:prstGeom prst="rect">
            <a:avLst/>
          </a:prstGeom>
          <a:solidFill>
            <a:srgbClr xmlns:mc="http://schemas.openxmlformats.org/markup-compatibility/2006" xmlns:a14="http://schemas.microsoft.com/office/drawing/2010/main" val="F2F2F2" mc:Ignorable="a14" a14:legacySpreadsheetColorIndex="17"/>
          </a:solidFill>
          <a:ln w="9525" cap="flat" cmpd="sng" algn="ctr">
            <a:noFill/>
            <a:prstDash val="solid"/>
          </a:ln>
          <a:effectLst/>
          <a:extLst>
            <a:ext uri="{91240B29-F687-4F45-9708-019B960494DF}">
              <a14:hiddenLine xmlns:a14="http://schemas.microsoft.com/office/drawing/2010/main" w="9525" cap="flat" cmpd="sng" algn="ctr">
                <a:solidFill>
                  <a:srgbClr xmlns:mc="http://schemas.openxmlformats.org/markup-compatibility/2006" val="D8D8D8" mc:Ignorable="a14" a14:legacySpreadsheetColorIndex="18"/>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37" name="ui_page_second_bg">
            <a:extLst>
              <a:ext uri="{FF2B5EF4-FFF2-40B4-BE49-F238E27FC236}">
                <a16:creationId xmlns:a16="http://schemas.microsoft.com/office/drawing/2014/main" id="{00000000-0008-0000-2100-000025000000}"/>
              </a:ext>
            </a:extLst>
          </xdr:cNvPr>
          <xdr:cNvSpPr/>
        </xdr:nvSpPr>
        <xdr:spPr>
          <a:xfrm>
            <a:off x="11709400" y="609600"/>
            <a:ext cx="177800" cy="326568"/>
          </a:xfrm>
          <a:prstGeom prst="rect">
            <a:avLst/>
          </a:prstGeom>
          <a:solidFill>
            <a:srgbClr xmlns:mc="http://schemas.openxmlformats.org/markup-compatibility/2006" xmlns:a14="http://schemas.microsoft.com/office/drawing/2010/main" val="E3E3E3" mc:Ignorable="a14" a14:legacySpreadsheetColorIndex="13"/>
          </a:solidFill>
          <a:ln w="19050" cap="flat" cmpd="sng" algn="ctr">
            <a:noFill/>
            <a:prstDash val="solid"/>
          </a:ln>
          <a:effectLst/>
          <a:extLst>
            <a:ext uri="{91240B29-F687-4F45-9708-019B960494DF}">
              <a14:hiddenLine xmlns:a14="http://schemas.microsoft.com/office/drawing/2010/main" w="19050" cap="flat" cmpd="sng" algn="ctr">
                <a:solidFill>
                  <a:srgbClr xmlns:mc="http://schemas.openxmlformats.org/markup-compatibility/2006" val="D2D2D2" mc:Ignorable="a14" a14:legacySpreadsheetColorIndex="14"/>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36" name="ui_page_bg">
            <a:extLst>
              <a:ext uri="{FF2B5EF4-FFF2-40B4-BE49-F238E27FC236}">
                <a16:creationId xmlns:a16="http://schemas.microsoft.com/office/drawing/2014/main" id="{00000000-0008-0000-2100-000024000000}"/>
              </a:ext>
            </a:extLst>
          </xdr:cNvPr>
          <xdr:cNvSpPr/>
        </xdr:nvSpPr>
        <xdr:spPr>
          <a:xfrm>
            <a:off x="0" y="609600"/>
            <a:ext cx="11709400" cy="326568"/>
          </a:xfrm>
          <a:prstGeom prst="rect">
            <a:avLst/>
          </a:prstGeom>
          <a:solidFill>
            <a:srgbClr xmlns:mc="http://schemas.openxmlformats.org/markup-compatibility/2006" xmlns:a14="http://schemas.microsoft.com/office/drawing/2010/main" val="E3E3E3" mc:Ignorable="a14" a14:legacySpreadsheetColorIndex="13"/>
          </a:solidFill>
          <a:ln w="19050" cap="flat" cmpd="sng" algn="ctr">
            <a:noFill/>
            <a:prstDash val="solid"/>
          </a:ln>
          <a:effectLst/>
          <a:extLst>
            <a:ext uri="{91240B29-F687-4F45-9708-019B960494DF}">
              <a14:hiddenLine xmlns:a14="http://schemas.microsoft.com/office/drawing/2010/main" w="19050" cap="flat" cmpd="sng" algn="ctr">
                <a:solidFill>
                  <a:srgbClr xmlns:mc="http://schemas.openxmlformats.org/markup-compatibility/2006" val="D2D2D2" mc:Ignorable="a14" a14:legacySpreadsheetColorIndex="14"/>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7" name="ui_bg_home_back_forward">
            <a:extLst>
              <a:ext uri="{FF2B5EF4-FFF2-40B4-BE49-F238E27FC236}">
                <a16:creationId xmlns:a16="http://schemas.microsoft.com/office/drawing/2014/main" id="{00000000-0008-0000-2100-000007000000}"/>
              </a:ext>
            </a:extLst>
          </xdr:cNvPr>
          <xdr:cNvSpPr txBox="1"/>
        </xdr:nvSpPr>
        <xdr:spPr>
          <a:xfrm>
            <a:off x="0" y="304800"/>
            <a:ext cx="664070" cy="304800"/>
          </a:xfrm>
          <a:prstGeom prst="rect">
            <a:avLst/>
          </a:prstGeom>
          <a:solidFill>
            <a:srgbClr xmlns:mc="http://schemas.openxmlformats.org/markup-compatibility/2006" xmlns:a14="http://schemas.microsoft.com/office/drawing/2010/main" val="808080" mc:Ignorable="a14" a14:legacySpreadsheetColorIndex="1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endParaRPr lang="en-GB" sz="1100" b="0"/>
          </a:p>
        </xdr:txBody>
      </xdr:sp>
      <xdr:pic macro="[0]!k">
        <xdr:nvPicPr>
          <xdr:cNvPr id="4" name="ui_nav_home" descr="home-white-xxl.png">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stretch>
            <a:fillRect/>
          </a:stretch>
        </xdr:blipFill>
        <xdr:spPr>
          <a:xfrm>
            <a:off x="25400" y="393700"/>
            <a:ext cx="165100"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pic macro="[0]!k">
        <xdr:nvPicPr>
          <xdr:cNvPr id="5" name="ui_nav_back" descr="arrow-left-white-xxl.png">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2" cstate="print"/>
          <a:stretch>
            <a:fillRect/>
          </a:stretch>
        </xdr:blipFill>
        <xdr:spPr>
          <a:xfrm>
            <a:off x="254000" y="393700"/>
            <a:ext cx="165100"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pic macro="[0]!k">
        <xdr:nvPicPr>
          <xdr:cNvPr id="6" name="ui_nav_forward" descr="arrow-right-white-xxl.png" hidden="1">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3" cstate="print"/>
          <a:stretch>
            <a:fillRect/>
          </a:stretch>
        </xdr:blipFill>
        <xdr:spPr>
          <a:xfrm>
            <a:off x="444500" y="393700"/>
            <a:ext cx="168776"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sp macro="[0]!k" textlink="">
        <xdr:nvSpPr>
          <xdr:cNvPr id="8" name="ui_nav_sec_1">
            <a:extLst>
              <a:ext uri="{FF2B5EF4-FFF2-40B4-BE49-F238E27FC236}">
                <a16:creationId xmlns:a16="http://schemas.microsoft.com/office/drawing/2014/main" id="{00000000-0008-0000-2100-000008000000}"/>
              </a:ext>
            </a:extLst>
          </xdr:cNvPr>
          <xdr:cNvSpPr txBox="1"/>
        </xdr:nvSpPr>
        <xdr:spPr>
          <a:xfrm>
            <a:off x="740270" y="304800"/>
            <a:ext cx="926262" cy="304800"/>
          </a:xfrm>
          <a:prstGeom prst="rect">
            <a:avLst/>
          </a:prstGeom>
          <a:solidFill>
            <a:srgbClr xmlns:mc="http://schemas.openxmlformats.org/markup-compatibility/2006" xmlns:a14="http://schemas.microsoft.com/office/drawing/2010/main" val="E3E3E3" mc:Ignorable="a14" a14:legacySpreadsheetColorIndex="13"/>
          </a:solidFill>
          <a:ln w="19050" cmpd="sng">
            <a:solidFill>
              <a:srgbClr xmlns:mc="http://schemas.openxmlformats.org/markup-compatibility/2006" xmlns:a14="http://schemas.microsoft.com/office/drawing/2010/main" val="D2D2D2" mc:Ignorable="a14" a14:legacySpreadsheetColorIndex="14"/>
            </a:solidFill>
          </a:ln>
        </xdr:spPr>
        <xdr:style>
          <a:lnRef idx="0">
            <a:scrgbClr r="0" g="0" b="0"/>
          </a:lnRef>
          <a:fillRef idx="0">
            <a:scrgbClr r="0" g="0" b="0"/>
          </a:fillRef>
          <a:effectRef idx="0">
            <a:scrgbClr r="0" g="0" b="0"/>
          </a:effectRef>
          <a:fontRef idx="minor">
            <a:schemeClr val="dk1"/>
          </a:fontRef>
        </xdr:style>
        <xdr:txBody>
          <a:bodyPr vertOverflow="clip" wrap="square" lIns="0" rIns="0" bIns="72000" rtlCol="0" anchor="ctr" anchorCtr="0"/>
          <a:lstStyle/>
          <a:p>
            <a:pPr algn="ctr"/>
            <a:r>
              <a:rPr lang="en-GB" sz="900" b="1">
                <a:solidFill>
                  <a:srgbClr xmlns:mc="http://schemas.openxmlformats.org/markup-compatibility/2006" xmlns:a14="http://schemas.microsoft.com/office/drawing/2010/main" val="005E9E" mc:Ignorable="a14" a14:legacySpreadsheetColorIndex="15"/>
                </a:solidFill>
              </a:rPr>
              <a:t>CITY HEARTBEAT</a:t>
            </a:r>
          </a:p>
        </xdr:txBody>
      </xdr:sp>
      <xdr:cxnSp macro="">
        <xdr:nvCxnSpPr>
          <xdr:cNvPr id="9" name="ui_line_sec_active">
            <a:extLst>
              <a:ext uri="{FF2B5EF4-FFF2-40B4-BE49-F238E27FC236}">
                <a16:creationId xmlns:a16="http://schemas.microsoft.com/office/drawing/2014/main" id="{00000000-0008-0000-2100-000009000000}"/>
              </a:ext>
            </a:extLst>
          </xdr:cNvPr>
          <xdr:cNvCxnSpPr/>
        </xdr:nvCxnSpPr>
        <xdr:spPr>
          <a:xfrm>
            <a:off x="740270" y="609600"/>
            <a:ext cx="926262" cy="0"/>
          </a:xfrm>
          <a:prstGeom prst="line">
            <a:avLst/>
          </a:prstGeom>
          <a:ln w="28575">
            <a:solidFill>
              <a:srgbClr xmlns:mc="http://schemas.openxmlformats.org/markup-compatibility/2006" xmlns:a14="http://schemas.microsoft.com/office/drawing/2010/main" val="E3E3E3" mc:Ignorable="a14" a14:legacySpreadsheetColorIndex="13"/>
            </a:solidFill>
          </a:ln>
        </xdr:spPr>
        <xdr:style>
          <a:lnRef idx="1">
            <a:schemeClr val="accent1"/>
          </a:lnRef>
          <a:fillRef idx="0">
            <a:schemeClr val="accent1"/>
          </a:fillRef>
          <a:effectRef idx="0">
            <a:schemeClr val="accent1"/>
          </a:effectRef>
          <a:fontRef idx="minor">
            <a:schemeClr val="tx1"/>
          </a:fontRef>
        </xdr:style>
      </xdr:cxnSp>
      <xdr:sp macro="" textlink="">
        <xdr:nvSpPr>
          <xdr:cNvPr id="10" name="ui_line_sec_divider1">
            <a:extLst>
              <a:ext uri="{FF2B5EF4-FFF2-40B4-BE49-F238E27FC236}">
                <a16:creationId xmlns:a16="http://schemas.microsoft.com/office/drawing/2014/main" id="{00000000-0008-0000-2100-00000A000000}"/>
              </a:ext>
            </a:extLst>
          </xdr:cNvPr>
          <xdr:cNvSpPr txBox="1"/>
        </xdr:nvSpPr>
        <xdr:spPr>
          <a:xfrm>
            <a:off x="1666532" y="304800"/>
            <a:ext cx="1778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9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13" name="ui_nav_page_1_0">
            <a:extLst>
              <a:ext uri="{FF2B5EF4-FFF2-40B4-BE49-F238E27FC236}">
                <a16:creationId xmlns:a16="http://schemas.microsoft.com/office/drawing/2014/main" id="{00000000-0008-0000-2100-00000D000000}"/>
              </a:ext>
            </a:extLst>
          </xdr:cNvPr>
          <xdr:cNvSpPr txBox="1"/>
        </xdr:nvSpPr>
        <xdr:spPr>
          <a:xfrm>
            <a:off x="794372" y="622300"/>
            <a:ext cx="715785"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OVERVIEW</a:t>
            </a:r>
          </a:p>
        </xdr:txBody>
      </xdr:sp>
      <xdr:sp macro="" textlink="">
        <xdr:nvSpPr>
          <xdr:cNvPr id="14" name="ui_line_page_divider1">
            <a:extLst>
              <a:ext uri="{FF2B5EF4-FFF2-40B4-BE49-F238E27FC236}">
                <a16:creationId xmlns:a16="http://schemas.microsoft.com/office/drawing/2014/main" id="{00000000-0008-0000-2100-00000E000000}"/>
              </a:ext>
            </a:extLst>
          </xdr:cNvPr>
          <xdr:cNvSpPr txBox="1"/>
        </xdr:nvSpPr>
        <xdr:spPr>
          <a:xfrm>
            <a:off x="151015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15" name="ui_nav_page_1_1">
            <a:extLst>
              <a:ext uri="{FF2B5EF4-FFF2-40B4-BE49-F238E27FC236}">
                <a16:creationId xmlns:a16="http://schemas.microsoft.com/office/drawing/2014/main" id="{00000000-0008-0000-2100-00000F000000}"/>
              </a:ext>
            </a:extLst>
          </xdr:cNvPr>
          <xdr:cNvSpPr txBox="1"/>
        </xdr:nvSpPr>
        <xdr:spPr>
          <a:xfrm>
            <a:off x="1687957" y="622300"/>
            <a:ext cx="68728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RANKINGS</a:t>
            </a:r>
          </a:p>
        </xdr:txBody>
      </xdr:sp>
      <xdr:sp macro="" textlink="">
        <xdr:nvSpPr>
          <xdr:cNvPr id="16" name="ui_line_page_divider2">
            <a:extLst>
              <a:ext uri="{FF2B5EF4-FFF2-40B4-BE49-F238E27FC236}">
                <a16:creationId xmlns:a16="http://schemas.microsoft.com/office/drawing/2014/main" id="{00000000-0008-0000-2100-000010000000}"/>
              </a:ext>
            </a:extLst>
          </xdr:cNvPr>
          <xdr:cNvSpPr txBox="1"/>
        </xdr:nvSpPr>
        <xdr:spPr>
          <a:xfrm>
            <a:off x="2375243"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17" name="ui_nav_page_1_2">
            <a:extLst>
              <a:ext uri="{FF2B5EF4-FFF2-40B4-BE49-F238E27FC236}">
                <a16:creationId xmlns:a16="http://schemas.microsoft.com/office/drawing/2014/main" id="{00000000-0008-0000-2100-000011000000}"/>
              </a:ext>
            </a:extLst>
          </xdr:cNvPr>
          <xdr:cNvSpPr txBox="1"/>
        </xdr:nvSpPr>
        <xdr:spPr>
          <a:xfrm>
            <a:off x="2553043" y="622300"/>
            <a:ext cx="995591"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SNAPSHOTS</a:t>
            </a:r>
          </a:p>
        </xdr:txBody>
      </xdr:sp>
      <xdr:sp macro="" textlink="">
        <xdr:nvSpPr>
          <xdr:cNvPr id="18" name="ui_line_page_divider3">
            <a:extLst>
              <a:ext uri="{FF2B5EF4-FFF2-40B4-BE49-F238E27FC236}">
                <a16:creationId xmlns:a16="http://schemas.microsoft.com/office/drawing/2014/main" id="{00000000-0008-0000-2100-000012000000}"/>
              </a:ext>
            </a:extLst>
          </xdr:cNvPr>
          <xdr:cNvSpPr txBox="1"/>
        </xdr:nvSpPr>
        <xdr:spPr>
          <a:xfrm>
            <a:off x="3548634"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19" name="ui_nav_page_1_3">
            <a:extLst>
              <a:ext uri="{FF2B5EF4-FFF2-40B4-BE49-F238E27FC236}">
                <a16:creationId xmlns:a16="http://schemas.microsoft.com/office/drawing/2014/main" id="{00000000-0008-0000-2100-000013000000}"/>
              </a:ext>
            </a:extLst>
          </xdr:cNvPr>
          <xdr:cNvSpPr txBox="1"/>
        </xdr:nvSpPr>
        <xdr:spPr>
          <a:xfrm>
            <a:off x="3726434" y="622300"/>
            <a:ext cx="864108"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PROFILES</a:t>
            </a:r>
          </a:p>
        </xdr:txBody>
      </xdr:sp>
      <xdr:sp macro="" textlink="">
        <xdr:nvSpPr>
          <xdr:cNvPr id="20" name="ui_line_page_divider4">
            <a:extLst>
              <a:ext uri="{FF2B5EF4-FFF2-40B4-BE49-F238E27FC236}">
                <a16:creationId xmlns:a16="http://schemas.microsoft.com/office/drawing/2014/main" id="{00000000-0008-0000-2100-000014000000}"/>
              </a:ext>
            </a:extLst>
          </xdr:cNvPr>
          <xdr:cNvSpPr txBox="1"/>
        </xdr:nvSpPr>
        <xdr:spPr>
          <a:xfrm>
            <a:off x="4590542"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1" name="ui_nav_page_1_4">
            <a:extLst>
              <a:ext uri="{FF2B5EF4-FFF2-40B4-BE49-F238E27FC236}">
                <a16:creationId xmlns:a16="http://schemas.microsoft.com/office/drawing/2014/main" id="{00000000-0008-0000-2100-000015000000}"/>
              </a:ext>
            </a:extLst>
          </xdr:cNvPr>
          <xdr:cNvSpPr txBox="1"/>
        </xdr:nvSpPr>
        <xdr:spPr>
          <a:xfrm>
            <a:off x="4768342" y="622300"/>
            <a:ext cx="755942"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DETAIL</a:t>
            </a:r>
          </a:p>
        </xdr:txBody>
      </xdr:sp>
      <xdr:sp macro="" textlink="">
        <xdr:nvSpPr>
          <xdr:cNvPr id="22" name="ui_line_page_divider5">
            <a:extLst>
              <a:ext uri="{FF2B5EF4-FFF2-40B4-BE49-F238E27FC236}">
                <a16:creationId xmlns:a16="http://schemas.microsoft.com/office/drawing/2014/main" id="{00000000-0008-0000-2100-000016000000}"/>
              </a:ext>
            </a:extLst>
          </xdr:cNvPr>
          <xdr:cNvSpPr txBox="1"/>
        </xdr:nvSpPr>
        <xdr:spPr>
          <a:xfrm>
            <a:off x="5524284"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3" name="ui_nav_page_1_5">
            <a:extLst>
              <a:ext uri="{FF2B5EF4-FFF2-40B4-BE49-F238E27FC236}">
                <a16:creationId xmlns:a16="http://schemas.microsoft.com/office/drawing/2014/main" id="{00000000-0008-0000-2100-000017000000}"/>
              </a:ext>
            </a:extLst>
          </xdr:cNvPr>
          <xdr:cNvSpPr txBox="1"/>
        </xdr:nvSpPr>
        <xdr:spPr>
          <a:xfrm>
            <a:off x="5702084" y="622300"/>
            <a:ext cx="995591"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COMPARE CITIES</a:t>
            </a:r>
          </a:p>
        </xdr:txBody>
      </xdr:sp>
      <xdr:sp macro="" textlink="">
        <xdr:nvSpPr>
          <xdr:cNvPr id="24" name="ui_line_page_divider6">
            <a:extLst>
              <a:ext uri="{FF2B5EF4-FFF2-40B4-BE49-F238E27FC236}">
                <a16:creationId xmlns:a16="http://schemas.microsoft.com/office/drawing/2014/main" id="{00000000-0008-0000-2100-000018000000}"/>
              </a:ext>
            </a:extLst>
          </xdr:cNvPr>
          <xdr:cNvSpPr txBox="1"/>
        </xdr:nvSpPr>
        <xdr:spPr>
          <a:xfrm>
            <a:off x="6697675"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5" name="ui_nav_page_1_6">
            <a:extLst>
              <a:ext uri="{FF2B5EF4-FFF2-40B4-BE49-F238E27FC236}">
                <a16:creationId xmlns:a16="http://schemas.microsoft.com/office/drawing/2014/main" id="{00000000-0008-0000-2100-000019000000}"/>
              </a:ext>
            </a:extLst>
          </xdr:cNvPr>
          <xdr:cNvSpPr txBox="1"/>
        </xdr:nvSpPr>
        <xdr:spPr>
          <a:xfrm>
            <a:off x="6875475" y="622300"/>
            <a:ext cx="89843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ALL MEASURES</a:t>
            </a:r>
          </a:p>
        </xdr:txBody>
      </xdr:sp>
      <xdr:sp macro="" textlink="">
        <xdr:nvSpPr>
          <xdr:cNvPr id="26" name="ui_line_page_divider7">
            <a:extLst>
              <a:ext uri="{FF2B5EF4-FFF2-40B4-BE49-F238E27FC236}">
                <a16:creationId xmlns:a16="http://schemas.microsoft.com/office/drawing/2014/main" id="{00000000-0008-0000-2100-00001A000000}"/>
              </a:ext>
            </a:extLst>
          </xdr:cNvPr>
          <xdr:cNvSpPr txBox="1"/>
        </xdr:nvSpPr>
        <xdr:spPr>
          <a:xfrm>
            <a:off x="7773912"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7" name="ui_nav_page_1_7">
            <a:extLst>
              <a:ext uri="{FF2B5EF4-FFF2-40B4-BE49-F238E27FC236}">
                <a16:creationId xmlns:a16="http://schemas.microsoft.com/office/drawing/2014/main" id="{00000000-0008-0000-2100-00001B000000}"/>
              </a:ext>
            </a:extLst>
          </xdr:cNvPr>
          <xdr:cNvSpPr txBox="1"/>
        </xdr:nvSpPr>
        <xdr:spPr>
          <a:xfrm>
            <a:off x="7951712" y="622300"/>
            <a:ext cx="88159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SCATTER PLOT</a:t>
            </a:r>
          </a:p>
        </xdr:txBody>
      </xdr:sp>
      <xdr:sp macro="" textlink="">
        <xdr:nvSpPr>
          <xdr:cNvPr id="28" name="ui_line_page_divider8">
            <a:extLst>
              <a:ext uri="{FF2B5EF4-FFF2-40B4-BE49-F238E27FC236}">
                <a16:creationId xmlns:a16="http://schemas.microsoft.com/office/drawing/2014/main" id="{00000000-0008-0000-2100-00001C000000}"/>
              </a:ext>
            </a:extLst>
          </xdr:cNvPr>
          <xdr:cNvSpPr txBox="1"/>
        </xdr:nvSpPr>
        <xdr:spPr>
          <a:xfrm>
            <a:off x="883330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9" name="ui_nav_page_1_8">
            <a:extLst>
              <a:ext uri="{FF2B5EF4-FFF2-40B4-BE49-F238E27FC236}">
                <a16:creationId xmlns:a16="http://schemas.microsoft.com/office/drawing/2014/main" id="{00000000-0008-0000-2100-00001D000000}"/>
              </a:ext>
            </a:extLst>
          </xdr:cNvPr>
          <xdr:cNvSpPr txBox="1"/>
        </xdr:nvSpPr>
        <xdr:spPr>
          <a:xfrm>
            <a:off x="9011107" y="622300"/>
            <a:ext cx="635470"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WEIGHTS</a:t>
            </a:r>
          </a:p>
        </xdr:txBody>
      </xdr:sp>
      <xdr:sp macro="" textlink="">
        <xdr:nvSpPr>
          <xdr:cNvPr id="30" name="ui_line_page_divider9">
            <a:extLst>
              <a:ext uri="{FF2B5EF4-FFF2-40B4-BE49-F238E27FC236}">
                <a16:creationId xmlns:a16="http://schemas.microsoft.com/office/drawing/2014/main" id="{00000000-0008-0000-2100-00001E000000}"/>
              </a:ext>
            </a:extLst>
          </xdr:cNvPr>
          <xdr:cNvSpPr txBox="1"/>
        </xdr:nvSpPr>
        <xdr:spPr>
          <a:xfrm>
            <a:off x="964657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31" name="ui_nav_page_1_9">
            <a:extLst>
              <a:ext uri="{FF2B5EF4-FFF2-40B4-BE49-F238E27FC236}">
                <a16:creationId xmlns:a16="http://schemas.microsoft.com/office/drawing/2014/main" id="{00000000-0008-0000-2100-00001F000000}"/>
              </a:ext>
            </a:extLst>
          </xdr:cNvPr>
          <xdr:cNvSpPr txBox="1"/>
        </xdr:nvSpPr>
        <xdr:spPr>
          <a:xfrm>
            <a:off x="9824377" y="622300"/>
            <a:ext cx="458648"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DATA</a:t>
            </a:r>
          </a:p>
        </xdr:txBody>
      </xdr:sp>
      <xdr:sp macro="" textlink="">
        <xdr:nvSpPr>
          <xdr:cNvPr id="32" name="ui_line_page_divider10">
            <a:extLst>
              <a:ext uri="{FF2B5EF4-FFF2-40B4-BE49-F238E27FC236}">
                <a16:creationId xmlns:a16="http://schemas.microsoft.com/office/drawing/2014/main" id="{00000000-0008-0000-2100-000020000000}"/>
              </a:ext>
            </a:extLst>
          </xdr:cNvPr>
          <xdr:cNvSpPr txBox="1"/>
        </xdr:nvSpPr>
        <xdr:spPr>
          <a:xfrm>
            <a:off x="10283025"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 textlink="">
        <xdr:nvSpPr>
          <xdr:cNvPr id="35" name="ui_line_page_divider11">
            <a:extLst>
              <a:ext uri="{FF2B5EF4-FFF2-40B4-BE49-F238E27FC236}">
                <a16:creationId xmlns:a16="http://schemas.microsoft.com/office/drawing/2014/main" id="{00000000-0008-0000-2100-000023000000}"/>
              </a:ext>
            </a:extLst>
          </xdr:cNvPr>
          <xdr:cNvSpPr txBox="1"/>
        </xdr:nvSpPr>
        <xdr:spPr>
          <a:xfrm>
            <a:off x="11016628"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33" name="ui_nav_page_1_10">
            <a:extLst>
              <a:ext uri="{FF2B5EF4-FFF2-40B4-BE49-F238E27FC236}">
                <a16:creationId xmlns:a16="http://schemas.microsoft.com/office/drawing/2014/main" id="{00000000-0008-0000-2100-000021000000}"/>
              </a:ext>
            </a:extLst>
          </xdr:cNvPr>
          <xdr:cNvSpPr txBox="1"/>
        </xdr:nvSpPr>
        <xdr:spPr>
          <a:xfrm>
            <a:off x="10460825" y="647700"/>
            <a:ext cx="555803" cy="288468"/>
          </a:xfrm>
          <a:prstGeom prst="rect">
            <a:avLst/>
          </a:prstGeom>
          <a:solidFill>
            <a:srgbClr xmlns:mc="http://schemas.openxmlformats.org/markup-compatibility/2006" xmlns:a14="http://schemas.microsoft.com/office/drawing/2010/main" val="F2F2F2" mc:Ignorable="a14" a14:legacySpreadsheetColorIndex="17"/>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005E9E" mc:Ignorable="a14" a14:legacySpreadsheetColorIndex="15"/>
                </a:solidFill>
              </a:rPr>
              <a:t>SCORES</a:t>
            </a:r>
          </a:p>
        </xdr:txBody>
      </xdr:sp>
      <xdr:cxnSp macro="">
        <xdr:nvCxnSpPr>
          <xdr:cNvPr id="34" name="ui_line_page_active">
            <a:extLst>
              <a:ext uri="{FF2B5EF4-FFF2-40B4-BE49-F238E27FC236}">
                <a16:creationId xmlns:a16="http://schemas.microsoft.com/office/drawing/2014/main" id="{00000000-0008-0000-2100-000022000000}"/>
              </a:ext>
            </a:extLst>
          </xdr:cNvPr>
          <xdr:cNvCxnSpPr/>
        </xdr:nvCxnSpPr>
        <xdr:spPr>
          <a:xfrm>
            <a:off x="10460825" y="936168"/>
            <a:ext cx="555803" cy="0"/>
          </a:xfrm>
          <a:prstGeom prst="line">
            <a:avLst/>
          </a:prstGeom>
          <a:ln w="28575">
            <a:solidFill>
              <a:srgbClr xmlns:mc="http://schemas.openxmlformats.org/markup-compatibility/2006" xmlns:a14="http://schemas.microsoft.com/office/drawing/2010/main" val="F2F2F2" mc:Ignorable="a14" a14:legacySpreadsheetColorIndex="17"/>
            </a:solidFill>
          </a:ln>
        </xdr:spPr>
        <xdr:style>
          <a:lnRef idx="1">
            <a:schemeClr val="accent1"/>
          </a:lnRef>
          <a:fillRef idx="0">
            <a:schemeClr val="accent1"/>
          </a:fillRef>
          <a:effectRef idx="0">
            <a:schemeClr val="accent1"/>
          </a:effectRef>
          <a:fontRef idx="minor">
            <a:schemeClr val="tx1"/>
          </a:fontRef>
        </xdr:style>
      </xdr:cxnSp>
      <xdr:sp macro="" textlink="">
        <xdr:nvSpPr>
          <xdr:cNvPr id="38" name="ui_lbl_cnt_ModelDepthDescription">
            <a:extLst>
              <a:ext uri="{FF2B5EF4-FFF2-40B4-BE49-F238E27FC236}">
                <a16:creationId xmlns:a16="http://schemas.microsoft.com/office/drawing/2014/main" id="{00000000-0008-0000-2100-000026000000}"/>
              </a:ext>
            </a:extLst>
          </xdr:cNvPr>
          <xdr:cNvSpPr txBox="1"/>
        </xdr:nvSpPr>
        <xdr:spPr>
          <a:xfrm>
            <a:off x="127000" y="986968"/>
            <a:ext cx="881850"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LEVEL OF DETAIL</a:t>
            </a:r>
          </a:p>
        </xdr:txBody>
      </xdr:sp>
      <mc:AlternateContent xmlns:mc="http://schemas.openxmlformats.org/markup-compatibility/2006">
        <mc:Choice xmlns:a14="http://schemas.microsoft.com/office/drawing/2010/main" Requires="a14">
          <xdr:sp macro="" textlink="">
            <xdr:nvSpPr>
              <xdr:cNvPr id="6502926" name="ui_cnt_ModelDepthDescription" hidden="1">
                <a:extLst>
                  <a:ext uri="{63B3BB69-23CF-44E3-9099-C40C66FF867C}">
                    <a14:compatExt spid="_x0000_s6502926"/>
                  </a:ext>
                  <a:ext uri="{FF2B5EF4-FFF2-40B4-BE49-F238E27FC236}">
                    <a16:creationId xmlns:a16="http://schemas.microsoft.com/office/drawing/2014/main" id="{00000000-0008-0000-2100-00000E3A6300}"/>
                  </a:ext>
                </a:extLst>
              </xdr:cNvPr>
              <xdr:cNvSpPr/>
            </xdr:nvSpPr>
            <xdr:spPr bwMode="auto">
              <a:xfrm>
                <a:off x="127000" y="1177468"/>
                <a:ext cx="1170214" cy="212271"/>
              </a:xfrm>
              <a:prstGeom prst="rect">
                <a:avLst/>
              </a:prstGeom>
              <a:noFill/>
              <a:ln w="9525">
                <a:miter lim="800000"/>
                <a:headEnd/>
                <a:tailEnd/>
              </a:ln>
              <a:extLst>
                <a:ext uri="{909E8E84-426E-40DD-AFC4-6F175D3DCCD1}">
                  <a14:hiddenFill>
                    <a:noFill/>
                  </a14:hiddenFill>
                </a:ext>
              </a:extLst>
            </xdr:spPr>
          </xdr:sp>
        </mc:Choice>
        <mc:Fallback/>
      </mc:AlternateContent>
      <xdr:pic macro="[0]!k">
        <xdr:nvPicPr>
          <xdr:cNvPr id="41" name="ui_spu_ModelDepthDescription" descr="scroll_up_small.png">
            <a:extLst>
              <a:ext uri="{FF2B5EF4-FFF2-40B4-BE49-F238E27FC236}">
                <a16:creationId xmlns:a16="http://schemas.microsoft.com/office/drawing/2014/main" id="{00000000-0008-0000-2100-000029000000}"/>
              </a:ext>
            </a:extLst>
          </xdr:cNvPr>
          <xdr:cNvPicPr>
            <a:picLocks noChangeAspect="1"/>
          </xdr:cNvPicPr>
        </xdr:nvPicPr>
        <xdr:blipFill>
          <a:blip xmlns:r="http://schemas.openxmlformats.org/officeDocument/2006/relationships" r:embed="rId4" cstate="print"/>
          <a:stretch>
            <a:fillRect/>
          </a:stretch>
        </xdr:blipFill>
        <xdr:spPr>
          <a:xfrm>
            <a:off x="1322616" y="1177468"/>
            <a:ext cx="228615" cy="77699"/>
          </a:xfrm>
          <a:prstGeom prst="rect">
            <a:avLst/>
          </a:prstGeom>
        </xdr:spPr>
      </xdr:pic>
      <xdr:pic macro="[0]!k">
        <xdr:nvPicPr>
          <xdr:cNvPr id="42" name="ui_spd_ModelDepthDescription" descr="scroll_down_small.png">
            <a:extLst>
              <a:ext uri="{FF2B5EF4-FFF2-40B4-BE49-F238E27FC236}">
                <a16:creationId xmlns:a16="http://schemas.microsoft.com/office/drawing/2014/main" id="{00000000-0008-0000-2100-00002A000000}"/>
              </a:ext>
            </a:extLst>
          </xdr:cNvPr>
          <xdr:cNvPicPr>
            <a:picLocks noChangeAspect="1"/>
          </xdr:cNvPicPr>
        </xdr:nvPicPr>
        <xdr:blipFill>
          <a:blip xmlns:r="http://schemas.openxmlformats.org/officeDocument/2006/relationships" r:embed="rId5" cstate="print"/>
          <a:stretch>
            <a:fillRect/>
          </a:stretch>
        </xdr:blipFill>
        <xdr:spPr>
          <a:xfrm>
            <a:off x="1322616" y="1282458"/>
            <a:ext cx="228604" cy="56388"/>
          </a:xfrm>
          <a:prstGeom prst="rect">
            <a:avLst/>
          </a:prstGeom>
        </xdr:spPr>
      </xdr:pic>
      <xdr:pic macro="[0]!k">
        <xdr:nvPicPr>
          <xdr:cNvPr id="50" name="ui_cmd_export_xl" descr="xl_icon.gif">
            <a:hlinkClick xmlns:r="http://schemas.openxmlformats.org/officeDocument/2006/relationships" r:id="rId6" tooltip="Export current page as a standalone Excel workbook"/>
            <a:extLst>
              <a:ext uri="{FF2B5EF4-FFF2-40B4-BE49-F238E27FC236}">
                <a16:creationId xmlns:a16="http://schemas.microsoft.com/office/drawing/2014/main" id="{00000000-0008-0000-2100-000032000000}"/>
              </a:ext>
            </a:extLst>
          </xdr:cNvPr>
          <xdr:cNvPicPr>
            <a:picLocks noChangeAspect="1"/>
          </xdr:cNvPicPr>
        </xdr:nvPicPr>
        <xdr:blipFill>
          <a:blip xmlns:r="http://schemas.openxmlformats.org/officeDocument/2006/relationships" r:embed="rId7" cstate="print"/>
          <a:stretch>
            <a:fillRect/>
          </a:stretch>
        </xdr:blipFill>
        <xdr:spPr>
          <a:xfrm>
            <a:off x="11367528" y="361950"/>
            <a:ext cx="519674" cy="190500"/>
          </a:xfrm>
          <a:prstGeom prst="rect">
            <a:avLst/>
          </a:prstGeom>
        </xdr:spPr>
      </xdr:pic>
      <xdr:pic macro="[0]!k">
        <xdr:nvPicPr>
          <xdr:cNvPr id="49" name="ui_cmd_reset_controls">
            <a:hlinkClick xmlns:r="http://schemas.openxmlformats.org/officeDocument/2006/relationships" r:id="rId8" tooltip="Reset all options and controls on this page to the default value."/>
            <a:extLst>
              <a:ext uri="{FF2B5EF4-FFF2-40B4-BE49-F238E27FC236}">
                <a16:creationId xmlns:a16="http://schemas.microsoft.com/office/drawing/2014/main" id="{00000000-0008-0000-21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628209" y="974268"/>
            <a:ext cx="208189" cy="190500"/>
          </a:xfrm>
          <a:prstGeom prst="rect">
            <a:avLst/>
          </a:prstGeom>
        </xdr:spPr>
      </xdr:pic>
      <xdr:pic macro="[0]!k">
        <xdr:nvPicPr>
          <xdr:cNvPr id="47" name="ui_cmd_full_screen">
            <a:hlinkClick xmlns:r="http://schemas.openxmlformats.org/officeDocument/2006/relationships" r:id="rId10" tooltip="Full screen mode (recommended)"/>
            <a:extLst>
              <a:ext uri="{FF2B5EF4-FFF2-40B4-BE49-F238E27FC236}">
                <a16:creationId xmlns:a16="http://schemas.microsoft.com/office/drawing/2014/main" id="{00000000-0008-0000-21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099356" y="361950"/>
            <a:ext cx="217368" cy="190500"/>
          </a:xfrm>
          <a:prstGeom prst="rect">
            <a:avLst/>
          </a:prstGeom>
        </xdr:spPr>
      </xdr:pic>
      <xdr:pic macro="[0]!k">
        <xdr:nvPicPr>
          <xdr:cNvPr id="48" name="ui_cmd_exit_full_screen" hidden="1">
            <a:hlinkClick xmlns:r="http://schemas.openxmlformats.org/officeDocument/2006/relationships" r:id="rId12" tooltip="Leave full screen mode"/>
            <a:extLst>
              <a:ext uri="{FF2B5EF4-FFF2-40B4-BE49-F238E27FC236}">
                <a16:creationId xmlns:a16="http://schemas.microsoft.com/office/drawing/2014/main" id="{00000000-0008-0000-2100-00003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099356" y="361950"/>
            <a:ext cx="209038" cy="190500"/>
          </a:xfrm>
          <a:prstGeom prst="rect">
            <a:avLst/>
          </a:prstGeom>
        </xdr:spPr>
      </xdr:pic>
    </xdr:grpSp>
    <xdr:clientData fPrintsWithSheet="0"/>
  </xdr:twoCellAnchor>
  <xdr:twoCellAnchor>
    <xdr:from>
      <xdr:col>7</xdr:col>
      <xdr:colOff>0</xdr:colOff>
      <xdr:row>85</xdr:row>
      <xdr:rowOff>0</xdr:rowOff>
    </xdr:from>
    <xdr:to>
      <xdr:col>7</xdr:col>
      <xdr:colOff>1015093</xdr:colOff>
      <xdr:row>86</xdr:row>
      <xdr:rowOff>0</xdr:rowOff>
    </xdr:to>
    <xdr:sp macro="k" textlink="">
      <xdr:nvSpPr>
        <xdr:cNvPr id="2" name="go_top">
          <a:extLst>
            <a:ext uri="{FF2B5EF4-FFF2-40B4-BE49-F238E27FC236}">
              <a16:creationId xmlns:a16="http://schemas.microsoft.com/office/drawing/2014/main" id="{00000000-0008-0000-2100-000002000000}"/>
            </a:ext>
          </a:extLst>
        </xdr:cNvPr>
        <xdr:cNvSpPr txBox="1"/>
      </xdr:nvSpPr>
      <xdr:spPr>
        <a:xfrm>
          <a:off x="304800" y="15169243"/>
          <a:ext cx="1015093" cy="185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none" strike="noStrike" baseline="0">
              <a:solidFill>
                <a:srgbClr val="0070C0"/>
              </a:solidFill>
              <a:latin typeface="+mn-lt"/>
            </a:rPr>
            <a:t>↑ Top of page</a:t>
          </a:r>
        </a:p>
      </xdr:txBody>
    </xdr:sp>
    <xdr:clientData fPrintsWithSheet="0"/>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16</xdr:row>
          <xdr:rowOff>0</xdr:rowOff>
        </xdr:from>
        <xdr:to>
          <xdr:col>18</xdr:col>
          <xdr:colOff>636814</xdr:colOff>
          <xdr:row>16</xdr:row>
          <xdr:rowOff>255814</xdr:rowOff>
        </xdr:to>
        <xdr:sp macro="" textlink="">
          <xdr:nvSpPr>
            <xdr:cNvPr id="4547585" name="prm_cmd_SaveWeights" hidden="1">
              <a:extLst>
                <a:ext uri="{63B3BB69-23CF-44E3-9099-C40C66FF867C}">
                  <a14:compatExt spid="_x0000_s4547585"/>
                </a:ext>
                <a:ext uri="{FF2B5EF4-FFF2-40B4-BE49-F238E27FC236}">
                  <a16:creationId xmlns:a16="http://schemas.microsoft.com/office/drawing/2014/main" id="{00000000-0008-0000-2200-000001644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1100" b="0" i="0" u="none" strike="noStrike" baseline="0">
                  <a:solidFill>
                    <a:srgbClr val="000000"/>
                  </a:solidFill>
                  <a:latin typeface="Calibri"/>
                  <a:ea typeface="Calibri"/>
                  <a:cs typeface="Calibri"/>
                </a:rPr>
                <a:t>Save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0</xdr:colOff>
          <xdr:row>16</xdr:row>
          <xdr:rowOff>277586</xdr:rowOff>
        </xdr:from>
        <xdr:to>
          <xdr:col>18</xdr:col>
          <xdr:colOff>636814</xdr:colOff>
          <xdr:row>17</xdr:row>
          <xdr:rowOff>32657</xdr:rowOff>
        </xdr:to>
        <xdr:sp macro="" textlink="">
          <xdr:nvSpPr>
            <xdr:cNvPr id="4547586" name="prm_cmd_CancelWeightsEdit" hidden="1">
              <a:extLst>
                <a:ext uri="{63B3BB69-23CF-44E3-9099-C40C66FF867C}">
                  <a14:compatExt spid="_x0000_s4547586"/>
                </a:ext>
                <a:ext uri="{FF2B5EF4-FFF2-40B4-BE49-F238E27FC236}">
                  <a16:creationId xmlns:a16="http://schemas.microsoft.com/office/drawing/2014/main" id="{00000000-0008-0000-2200-000002644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1100" b="0" i="0" u="none" strike="noStrike" baseline="0">
                  <a:solidFill>
                    <a:srgbClr val="000000"/>
                  </a:solidFill>
                  <a:latin typeface="Calibri"/>
                  <a:ea typeface="Calibri"/>
                  <a:cs typeface="Calibri"/>
                </a:rPr>
                <a:t>Cancel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402771</xdr:colOff>
          <xdr:row>17</xdr:row>
          <xdr:rowOff>0</xdr:rowOff>
        </xdr:from>
        <xdr:to>
          <xdr:col>16</xdr:col>
          <xdr:colOff>1017814</xdr:colOff>
          <xdr:row>18</xdr:row>
          <xdr:rowOff>0</xdr:rowOff>
        </xdr:to>
        <xdr:sp macro="" textlink="">
          <xdr:nvSpPr>
            <xdr:cNvPr id="4547587" name="prm_cmd_EditWeights" hidden="1">
              <a:extLst>
                <a:ext uri="{63B3BB69-23CF-44E3-9099-C40C66FF867C}">
                  <a14:compatExt spid="_x0000_s4547587"/>
                </a:ext>
                <a:ext uri="{FF2B5EF4-FFF2-40B4-BE49-F238E27FC236}">
                  <a16:creationId xmlns:a16="http://schemas.microsoft.com/office/drawing/2014/main" id="{00000000-0008-0000-2200-000003644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1100" b="0" i="0" u="none" strike="noStrike" baseline="0">
                  <a:solidFill>
                    <a:srgbClr val="000000"/>
                  </a:solidFill>
                  <a:latin typeface="Calibri"/>
                  <a:ea typeface="Calibri"/>
                  <a:cs typeface="Calibri"/>
                </a:rPr>
                <a:t>Edit</a:t>
              </a:r>
            </a:p>
          </xdr:txBody>
        </xdr:sp>
        <xdr:clientData fPrintsWithSheet="0"/>
      </xdr:twoCellAnchor>
    </mc:Choice>
    <mc:Fallback/>
  </mc:AlternateContent>
  <xdr:twoCellAnchor>
    <xdr:from>
      <xdr:col>3</xdr:col>
      <xdr:colOff>0</xdr:colOff>
      <xdr:row>277</xdr:row>
      <xdr:rowOff>0</xdr:rowOff>
    </xdr:from>
    <xdr:to>
      <xdr:col>13</xdr:col>
      <xdr:colOff>1015093</xdr:colOff>
      <xdr:row>278</xdr:row>
      <xdr:rowOff>21771</xdr:rowOff>
    </xdr:to>
    <xdr:sp macro="k" textlink="">
      <xdr:nvSpPr>
        <xdr:cNvPr id="53" name="go_top">
          <a:extLst>
            <a:ext uri="{FF2B5EF4-FFF2-40B4-BE49-F238E27FC236}">
              <a16:creationId xmlns:a16="http://schemas.microsoft.com/office/drawing/2014/main" id="{00000000-0008-0000-2200-000035000000}"/>
            </a:ext>
          </a:extLst>
        </xdr:cNvPr>
        <xdr:cNvSpPr txBox="1"/>
      </xdr:nvSpPr>
      <xdr:spPr>
        <a:xfrm>
          <a:off x="489857" y="16524514"/>
          <a:ext cx="1015093" cy="185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none" strike="noStrike" baseline="0">
              <a:solidFill>
                <a:srgbClr val="0070C0"/>
              </a:solidFill>
              <a:latin typeface="+mn-lt"/>
            </a:rPr>
            <a:t>↑ Top of page</a:t>
          </a:r>
        </a:p>
      </xdr:txBody>
    </xdr:sp>
    <xdr:clientData fPrintsWithSheet="0"/>
  </xdr:twoCellAnchor>
  <xdr:twoCellAnchor>
    <xdr:from>
      <xdr:col>3</xdr:col>
      <xdr:colOff>0</xdr:colOff>
      <xdr:row>277</xdr:row>
      <xdr:rowOff>0</xdr:rowOff>
    </xdr:from>
    <xdr:to>
      <xdr:col>13</xdr:col>
      <xdr:colOff>1015093</xdr:colOff>
      <xdr:row>278</xdr:row>
      <xdr:rowOff>21771</xdr:rowOff>
    </xdr:to>
    <xdr:sp macro="k" textlink="">
      <xdr:nvSpPr>
        <xdr:cNvPr id="6123060" name="go_top">
          <a:extLst>
            <a:ext uri="{FF2B5EF4-FFF2-40B4-BE49-F238E27FC236}">
              <a16:creationId xmlns:a16="http://schemas.microsoft.com/office/drawing/2014/main" id="{00000000-0008-0000-2200-0000346E5D00}"/>
            </a:ext>
          </a:extLst>
        </xdr:cNvPr>
        <xdr:cNvSpPr txBox="1"/>
      </xdr:nvSpPr>
      <xdr:spPr>
        <a:xfrm>
          <a:off x="489857" y="16524514"/>
          <a:ext cx="1015093" cy="185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none" strike="noStrike" baseline="0">
              <a:solidFill>
                <a:srgbClr val="0070C0"/>
              </a:solidFill>
              <a:latin typeface="+mn-lt"/>
            </a:rPr>
            <a:t>↑ Top of page</a:t>
          </a:r>
        </a:p>
      </xdr:txBody>
    </xdr:sp>
    <xdr:clientData fPrintsWithSheet="0"/>
  </xdr:twoCellAnchor>
  <xdr:twoCellAnchor editAs="absolute">
    <xdr:from>
      <xdr:col>0</xdr:col>
      <xdr:colOff>0</xdr:colOff>
      <xdr:row>3</xdr:row>
      <xdr:rowOff>533397</xdr:rowOff>
    </xdr:from>
    <xdr:to>
      <xdr:col>18</xdr:col>
      <xdr:colOff>201386</xdr:colOff>
      <xdr:row>4</xdr:row>
      <xdr:rowOff>304797</xdr:rowOff>
    </xdr:to>
    <xdr:sp macro="[0]!k" textlink="">
      <xdr:nvSpPr>
        <xdr:cNvPr id="47" name="ui_txt_infobar" hidden="1">
          <a:extLst>
            <a:ext uri="{FF2B5EF4-FFF2-40B4-BE49-F238E27FC236}">
              <a16:creationId xmlns:a16="http://schemas.microsoft.com/office/drawing/2014/main" id="{00000000-0008-0000-2200-00002F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000"/>
        </a:p>
      </xdr:txBody>
    </xdr:sp>
    <xdr:clientData fPrintsWithSheet="0"/>
  </xdr:twoCellAnchor>
  <xdr:twoCellAnchor editAs="absolute">
    <xdr:from>
      <xdr:col>0</xdr:col>
      <xdr:colOff>0</xdr:colOff>
      <xdr:row>0</xdr:row>
      <xdr:rowOff>0</xdr:rowOff>
    </xdr:from>
    <xdr:to>
      <xdr:col>18</xdr:col>
      <xdr:colOff>201386</xdr:colOff>
      <xdr:row>2</xdr:row>
      <xdr:rowOff>0</xdr:rowOff>
    </xdr:to>
    <xdr:sp macro="[0]!k" textlink="">
      <xdr:nvSpPr>
        <xdr:cNvPr id="4" name="ui_cmd_leave_zen_mode" hidden="1">
          <a:extLst>
            <a:ext uri="{FF2B5EF4-FFF2-40B4-BE49-F238E27FC236}">
              <a16:creationId xmlns:a16="http://schemas.microsoft.com/office/drawing/2014/main" id="{00000000-0008-0000-2200-000004000000}"/>
            </a:ext>
          </a:extLst>
        </xdr:cNvPr>
        <xdr:cNvSpPr txBox="1"/>
      </xdr:nvSpPr>
      <xdr:spPr>
        <a:xfrm>
          <a:off x="0" y="0"/>
          <a:ext cx="11887200" cy="304800"/>
        </a:xfrm>
        <a:prstGeom prst="rect">
          <a:avLst/>
        </a:prstGeom>
        <a:solidFill>
          <a:schemeClr val="l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GB" sz="1100" b="1">
              <a:solidFill>
                <a:schemeClr val="bg1">
                  <a:lumMod val="65000"/>
                </a:schemeClr>
              </a:solidFill>
            </a:rPr>
            <a:t>ZEN MODE.  NAVIGATION IS HIDDEN TO MAXIMISE VISIBLE</a:t>
          </a:r>
          <a:r>
            <a:rPr lang="en-GB" sz="1100" b="1" baseline="0">
              <a:solidFill>
                <a:schemeClr val="bg1">
                  <a:lumMod val="65000"/>
                </a:schemeClr>
              </a:solidFill>
            </a:rPr>
            <a:t> CONTENT. </a:t>
          </a:r>
          <a:r>
            <a:rPr lang="en-GB" sz="1100" b="1">
              <a:solidFill>
                <a:schemeClr val="bg1">
                  <a:lumMod val="65000"/>
                </a:schemeClr>
              </a:solidFill>
            </a:rPr>
            <a:t>  </a:t>
          </a:r>
          <a:r>
            <a:rPr lang="en-GB" sz="1100" b="1" u="sng">
              <a:solidFill>
                <a:srgbClr val="0070C0"/>
              </a:solidFill>
            </a:rPr>
            <a:t>CLICK HERE</a:t>
          </a:r>
          <a:r>
            <a:rPr lang="en-GB" sz="1100" b="1" baseline="0">
              <a:solidFill>
                <a:srgbClr val="0070C0"/>
              </a:solidFill>
            </a:rPr>
            <a:t> </a:t>
          </a:r>
          <a:r>
            <a:rPr lang="en-GB" sz="1100" b="1">
              <a:solidFill>
                <a:schemeClr val="bg1">
                  <a:lumMod val="65000"/>
                </a:schemeClr>
              </a:solidFill>
            </a:rPr>
            <a:t>TO RESTORE NAVIGATION</a:t>
          </a:r>
        </a:p>
      </xdr:txBody>
    </xdr:sp>
    <xdr:clientData fPrintsWithSheet="0"/>
  </xdr:twoCellAnchor>
  <xdr:twoCellAnchor editAs="absolute">
    <xdr:from>
      <xdr:col>0</xdr:col>
      <xdr:colOff>0</xdr:colOff>
      <xdr:row>3</xdr:row>
      <xdr:rowOff>533397</xdr:rowOff>
    </xdr:from>
    <xdr:to>
      <xdr:col>18</xdr:col>
      <xdr:colOff>201386</xdr:colOff>
      <xdr:row>4</xdr:row>
      <xdr:rowOff>304797</xdr:rowOff>
    </xdr:to>
    <xdr:sp macro="[0]!k" textlink="">
      <xdr:nvSpPr>
        <xdr:cNvPr id="48" name="ui_cmd_warningbar" hidden="1">
          <a:extLst>
            <a:ext uri="{FF2B5EF4-FFF2-40B4-BE49-F238E27FC236}">
              <a16:creationId xmlns:a16="http://schemas.microsoft.com/office/drawing/2014/main" id="{00000000-0008-0000-2200-000030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000"/>
        </a:p>
      </xdr:txBody>
    </xdr:sp>
    <xdr:clientData fPrintsWithSheet="0"/>
  </xdr:twoCellAnchor>
  <xdr:twoCellAnchor editAs="absolute">
    <xdr:from>
      <xdr:col>0</xdr:col>
      <xdr:colOff>0</xdr:colOff>
      <xdr:row>3</xdr:row>
      <xdr:rowOff>533397</xdr:rowOff>
    </xdr:from>
    <xdr:to>
      <xdr:col>18</xdr:col>
      <xdr:colOff>201386</xdr:colOff>
      <xdr:row>4</xdr:row>
      <xdr:rowOff>304797</xdr:rowOff>
    </xdr:to>
    <xdr:sp macro="[0]!k" textlink="">
      <xdr:nvSpPr>
        <xdr:cNvPr id="49" name="ui_cmd_globalwarninginfobar" hidden="1">
          <a:extLst>
            <a:ext uri="{FF2B5EF4-FFF2-40B4-BE49-F238E27FC236}">
              <a16:creationId xmlns:a16="http://schemas.microsoft.com/office/drawing/2014/main" id="{00000000-0008-0000-2200-000031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a:t>A</a:t>
          </a:r>
          <a:r>
            <a:rPr lang="en-GB" sz="1000" baseline="0"/>
            <a:t> custom weight profile is selected.  Scores and ranks may be different from official publication.  </a:t>
          </a:r>
          <a:r>
            <a:rPr lang="en-GB" sz="1000" b="1" u="sng" baseline="0">
              <a:solidFill>
                <a:srgbClr val="0070C0"/>
              </a:solidFill>
            </a:rPr>
            <a:t>RESTORE DEFAULT WEIGHT PROFILE</a:t>
          </a:r>
          <a:endParaRPr lang="en-GB" sz="1000" b="1" u="sng">
            <a:solidFill>
              <a:srgbClr val="0070C0"/>
            </a:solidFill>
          </a:endParaRPr>
        </a:p>
      </xdr:txBody>
    </xdr:sp>
    <xdr:clientData fPrintsWithSheet="0"/>
  </xdr:twoCellAnchor>
  <xdr:twoCellAnchor editAs="absolute">
    <xdr:from>
      <xdr:col>0</xdr:col>
      <xdr:colOff>0</xdr:colOff>
      <xdr:row>0</xdr:row>
      <xdr:rowOff>0</xdr:rowOff>
    </xdr:from>
    <xdr:to>
      <xdr:col>18</xdr:col>
      <xdr:colOff>201388</xdr:colOff>
      <xdr:row>3</xdr:row>
      <xdr:rowOff>533397</xdr:rowOff>
    </xdr:to>
    <xdr:grpSp>
      <xdr:nvGrpSpPr>
        <xdr:cNvPr id="6123031" name="ui_all">
          <a:extLst>
            <a:ext uri="{FF2B5EF4-FFF2-40B4-BE49-F238E27FC236}">
              <a16:creationId xmlns:a16="http://schemas.microsoft.com/office/drawing/2014/main" id="{00000000-0008-0000-2200-0000176E5D00}"/>
            </a:ext>
          </a:extLst>
        </xdr:cNvPr>
        <xdr:cNvGrpSpPr/>
      </xdr:nvGrpSpPr>
      <xdr:grpSpPr>
        <a:xfrm>
          <a:off x="0" y="0"/>
          <a:ext cx="11887202" cy="1164768"/>
          <a:chOff x="0" y="304800"/>
          <a:chExt cx="11887202" cy="1164768"/>
        </a:xfrm>
      </xdr:grpSpPr>
      <xdr:sp macro="" textlink="">
        <xdr:nvSpPr>
          <xdr:cNvPr id="46" name="ui_dropdown_controls_bg">
            <a:extLst>
              <a:ext uri="{FF2B5EF4-FFF2-40B4-BE49-F238E27FC236}">
                <a16:creationId xmlns:a16="http://schemas.microsoft.com/office/drawing/2014/main" id="{00000000-0008-0000-2200-00002E000000}"/>
              </a:ext>
            </a:extLst>
          </xdr:cNvPr>
          <xdr:cNvSpPr/>
        </xdr:nvSpPr>
        <xdr:spPr>
          <a:xfrm>
            <a:off x="0" y="936168"/>
            <a:ext cx="11887200" cy="533400"/>
          </a:xfrm>
          <a:prstGeom prst="rect">
            <a:avLst/>
          </a:prstGeom>
          <a:solidFill>
            <a:srgbClr xmlns:mc="http://schemas.openxmlformats.org/markup-compatibility/2006" xmlns:a14="http://schemas.microsoft.com/office/drawing/2010/main" val="F2F2F2" mc:Ignorable="a14" a14:legacySpreadsheetColorIndex="17"/>
          </a:solidFill>
          <a:ln w="9525" cap="flat" cmpd="sng" algn="ctr">
            <a:noFill/>
            <a:prstDash val="solid"/>
          </a:ln>
          <a:effectLst/>
          <a:extLst>
            <a:ext uri="{91240B29-F687-4F45-9708-019B960494DF}">
              <a14:hiddenLine xmlns:a14="http://schemas.microsoft.com/office/drawing/2010/main" w="9525" cap="flat" cmpd="sng" algn="ctr">
                <a:solidFill>
                  <a:srgbClr xmlns:mc="http://schemas.openxmlformats.org/markup-compatibility/2006" val="D8D8D8" mc:Ignorable="a14" a14:legacySpreadsheetColorIndex="18"/>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38" name="ui_page_second_bg">
            <a:extLst>
              <a:ext uri="{FF2B5EF4-FFF2-40B4-BE49-F238E27FC236}">
                <a16:creationId xmlns:a16="http://schemas.microsoft.com/office/drawing/2014/main" id="{00000000-0008-0000-2200-000026000000}"/>
              </a:ext>
            </a:extLst>
          </xdr:cNvPr>
          <xdr:cNvSpPr/>
        </xdr:nvSpPr>
        <xdr:spPr>
          <a:xfrm>
            <a:off x="11709400" y="609600"/>
            <a:ext cx="177800" cy="326568"/>
          </a:xfrm>
          <a:prstGeom prst="rect">
            <a:avLst/>
          </a:prstGeom>
          <a:solidFill>
            <a:srgbClr xmlns:mc="http://schemas.openxmlformats.org/markup-compatibility/2006" xmlns:a14="http://schemas.microsoft.com/office/drawing/2010/main" val="E3E3E3" mc:Ignorable="a14" a14:legacySpreadsheetColorIndex="13"/>
          </a:solidFill>
          <a:ln w="19050" cap="flat" cmpd="sng" algn="ctr">
            <a:noFill/>
            <a:prstDash val="solid"/>
          </a:ln>
          <a:effectLst/>
          <a:extLst>
            <a:ext uri="{91240B29-F687-4F45-9708-019B960494DF}">
              <a14:hiddenLine xmlns:a14="http://schemas.microsoft.com/office/drawing/2010/main" w="19050" cap="flat" cmpd="sng" algn="ctr">
                <a:solidFill>
                  <a:srgbClr xmlns:mc="http://schemas.openxmlformats.org/markup-compatibility/2006" val="D2D2D2" mc:Ignorable="a14" a14:legacySpreadsheetColorIndex="14"/>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37" name="ui_page_bg">
            <a:extLst>
              <a:ext uri="{FF2B5EF4-FFF2-40B4-BE49-F238E27FC236}">
                <a16:creationId xmlns:a16="http://schemas.microsoft.com/office/drawing/2014/main" id="{00000000-0008-0000-2200-000025000000}"/>
              </a:ext>
            </a:extLst>
          </xdr:cNvPr>
          <xdr:cNvSpPr/>
        </xdr:nvSpPr>
        <xdr:spPr>
          <a:xfrm>
            <a:off x="0" y="609600"/>
            <a:ext cx="11709400" cy="326568"/>
          </a:xfrm>
          <a:prstGeom prst="rect">
            <a:avLst/>
          </a:prstGeom>
          <a:solidFill>
            <a:srgbClr xmlns:mc="http://schemas.openxmlformats.org/markup-compatibility/2006" xmlns:a14="http://schemas.microsoft.com/office/drawing/2010/main" val="E3E3E3" mc:Ignorable="a14" a14:legacySpreadsheetColorIndex="13"/>
          </a:solidFill>
          <a:ln w="19050" cap="flat" cmpd="sng" algn="ctr">
            <a:noFill/>
            <a:prstDash val="solid"/>
          </a:ln>
          <a:effectLst/>
          <a:extLst>
            <a:ext uri="{91240B29-F687-4F45-9708-019B960494DF}">
              <a14:hiddenLine xmlns:a14="http://schemas.microsoft.com/office/drawing/2010/main" w="19050" cap="flat" cmpd="sng" algn="ctr">
                <a:solidFill>
                  <a:srgbClr xmlns:mc="http://schemas.openxmlformats.org/markup-compatibility/2006" val="D2D2D2" mc:Ignorable="a14" a14:legacySpreadsheetColorIndex="14"/>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8" name="ui_bg_home_back_forward">
            <a:extLst>
              <a:ext uri="{FF2B5EF4-FFF2-40B4-BE49-F238E27FC236}">
                <a16:creationId xmlns:a16="http://schemas.microsoft.com/office/drawing/2014/main" id="{00000000-0008-0000-2200-000008000000}"/>
              </a:ext>
            </a:extLst>
          </xdr:cNvPr>
          <xdr:cNvSpPr txBox="1"/>
        </xdr:nvSpPr>
        <xdr:spPr>
          <a:xfrm>
            <a:off x="0" y="304800"/>
            <a:ext cx="664070" cy="304800"/>
          </a:xfrm>
          <a:prstGeom prst="rect">
            <a:avLst/>
          </a:prstGeom>
          <a:solidFill>
            <a:srgbClr xmlns:mc="http://schemas.openxmlformats.org/markup-compatibility/2006" xmlns:a14="http://schemas.microsoft.com/office/drawing/2010/main" val="808080" mc:Ignorable="a14" a14:legacySpreadsheetColorIndex="1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endParaRPr lang="en-GB" sz="1100" b="0"/>
          </a:p>
        </xdr:txBody>
      </xdr:sp>
      <xdr:pic macro="[0]!k">
        <xdr:nvPicPr>
          <xdr:cNvPr id="5" name="ui_nav_home" descr="home-white-xxl.png">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1" cstate="print"/>
          <a:stretch>
            <a:fillRect/>
          </a:stretch>
        </xdr:blipFill>
        <xdr:spPr>
          <a:xfrm>
            <a:off x="25400" y="393700"/>
            <a:ext cx="165100"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pic macro="[0]!k">
        <xdr:nvPicPr>
          <xdr:cNvPr id="6" name="ui_nav_back" descr="arrow-left-white-xxl.png">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2" cstate="print"/>
          <a:stretch>
            <a:fillRect/>
          </a:stretch>
        </xdr:blipFill>
        <xdr:spPr>
          <a:xfrm>
            <a:off x="254000" y="393700"/>
            <a:ext cx="165100"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pic macro="[0]!k">
        <xdr:nvPicPr>
          <xdr:cNvPr id="7" name="ui_nav_forward" descr="arrow-right-white-xxl.png" hidden="1">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3" cstate="print"/>
          <a:stretch>
            <a:fillRect/>
          </a:stretch>
        </xdr:blipFill>
        <xdr:spPr>
          <a:xfrm>
            <a:off x="444500" y="393700"/>
            <a:ext cx="168776"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sp macro="[0]!k" textlink="">
        <xdr:nvSpPr>
          <xdr:cNvPr id="9" name="ui_nav_sec_1">
            <a:extLst>
              <a:ext uri="{FF2B5EF4-FFF2-40B4-BE49-F238E27FC236}">
                <a16:creationId xmlns:a16="http://schemas.microsoft.com/office/drawing/2014/main" id="{00000000-0008-0000-2200-000009000000}"/>
              </a:ext>
            </a:extLst>
          </xdr:cNvPr>
          <xdr:cNvSpPr txBox="1"/>
        </xdr:nvSpPr>
        <xdr:spPr>
          <a:xfrm>
            <a:off x="740270" y="304800"/>
            <a:ext cx="926262" cy="304800"/>
          </a:xfrm>
          <a:prstGeom prst="rect">
            <a:avLst/>
          </a:prstGeom>
          <a:solidFill>
            <a:srgbClr xmlns:mc="http://schemas.openxmlformats.org/markup-compatibility/2006" xmlns:a14="http://schemas.microsoft.com/office/drawing/2010/main" val="E3E3E3" mc:Ignorable="a14" a14:legacySpreadsheetColorIndex="13"/>
          </a:solidFill>
          <a:ln w="19050" cmpd="sng">
            <a:solidFill>
              <a:srgbClr xmlns:mc="http://schemas.openxmlformats.org/markup-compatibility/2006" xmlns:a14="http://schemas.microsoft.com/office/drawing/2010/main" val="D2D2D2" mc:Ignorable="a14" a14:legacySpreadsheetColorIndex="14"/>
            </a:solidFill>
          </a:ln>
        </xdr:spPr>
        <xdr:style>
          <a:lnRef idx="0">
            <a:scrgbClr r="0" g="0" b="0"/>
          </a:lnRef>
          <a:fillRef idx="0">
            <a:scrgbClr r="0" g="0" b="0"/>
          </a:fillRef>
          <a:effectRef idx="0">
            <a:scrgbClr r="0" g="0" b="0"/>
          </a:effectRef>
          <a:fontRef idx="minor">
            <a:schemeClr val="dk1"/>
          </a:fontRef>
        </xdr:style>
        <xdr:txBody>
          <a:bodyPr vertOverflow="clip" wrap="square" lIns="0" rIns="0" bIns="72000" rtlCol="0" anchor="ctr" anchorCtr="0"/>
          <a:lstStyle/>
          <a:p>
            <a:pPr algn="ctr"/>
            <a:r>
              <a:rPr lang="en-GB" sz="900" b="1">
                <a:solidFill>
                  <a:srgbClr xmlns:mc="http://schemas.openxmlformats.org/markup-compatibility/2006" xmlns:a14="http://schemas.microsoft.com/office/drawing/2010/main" val="005E9E" mc:Ignorable="a14" a14:legacySpreadsheetColorIndex="15"/>
                </a:solidFill>
              </a:rPr>
              <a:t>CITY HEARTBEAT</a:t>
            </a:r>
          </a:p>
        </xdr:txBody>
      </xdr:sp>
      <xdr:cxnSp macro="">
        <xdr:nvCxnSpPr>
          <xdr:cNvPr id="10" name="ui_line_sec_active">
            <a:extLst>
              <a:ext uri="{FF2B5EF4-FFF2-40B4-BE49-F238E27FC236}">
                <a16:creationId xmlns:a16="http://schemas.microsoft.com/office/drawing/2014/main" id="{00000000-0008-0000-2200-00000A000000}"/>
              </a:ext>
            </a:extLst>
          </xdr:cNvPr>
          <xdr:cNvCxnSpPr/>
        </xdr:nvCxnSpPr>
        <xdr:spPr>
          <a:xfrm>
            <a:off x="740270" y="609600"/>
            <a:ext cx="926262" cy="0"/>
          </a:xfrm>
          <a:prstGeom prst="line">
            <a:avLst/>
          </a:prstGeom>
          <a:ln w="28575">
            <a:solidFill>
              <a:srgbClr xmlns:mc="http://schemas.openxmlformats.org/markup-compatibility/2006" xmlns:a14="http://schemas.microsoft.com/office/drawing/2010/main" val="E3E3E3" mc:Ignorable="a14" a14:legacySpreadsheetColorIndex="13"/>
            </a:solidFill>
          </a:ln>
        </xdr:spPr>
        <xdr:style>
          <a:lnRef idx="1">
            <a:schemeClr val="accent1"/>
          </a:lnRef>
          <a:fillRef idx="0">
            <a:schemeClr val="accent1"/>
          </a:fillRef>
          <a:effectRef idx="0">
            <a:schemeClr val="accent1"/>
          </a:effectRef>
          <a:fontRef idx="minor">
            <a:schemeClr val="tx1"/>
          </a:fontRef>
        </xdr:style>
      </xdr:cxnSp>
      <xdr:sp macro="" textlink="">
        <xdr:nvSpPr>
          <xdr:cNvPr id="11" name="ui_line_sec_divider1">
            <a:extLst>
              <a:ext uri="{FF2B5EF4-FFF2-40B4-BE49-F238E27FC236}">
                <a16:creationId xmlns:a16="http://schemas.microsoft.com/office/drawing/2014/main" id="{00000000-0008-0000-2200-00000B000000}"/>
              </a:ext>
            </a:extLst>
          </xdr:cNvPr>
          <xdr:cNvSpPr txBox="1"/>
        </xdr:nvSpPr>
        <xdr:spPr>
          <a:xfrm>
            <a:off x="1666532" y="304800"/>
            <a:ext cx="1778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9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14" name="ui_nav_page_1_0">
            <a:extLst>
              <a:ext uri="{FF2B5EF4-FFF2-40B4-BE49-F238E27FC236}">
                <a16:creationId xmlns:a16="http://schemas.microsoft.com/office/drawing/2014/main" id="{00000000-0008-0000-2200-00000E000000}"/>
              </a:ext>
            </a:extLst>
          </xdr:cNvPr>
          <xdr:cNvSpPr txBox="1"/>
        </xdr:nvSpPr>
        <xdr:spPr>
          <a:xfrm>
            <a:off x="794372" y="622300"/>
            <a:ext cx="715785"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OVERVIEW</a:t>
            </a:r>
          </a:p>
        </xdr:txBody>
      </xdr:sp>
      <xdr:sp macro="" textlink="">
        <xdr:nvSpPr>
          <xdr:cNvPr id="15" name="ui_line_page_divider1">
            <a:extLst>
              <a:ext uri="{FF2B5EF4-FFF2-40B4-BE49-F238E27FC236}">
                <a16:creationId xmlns:a16="http://schemas.microsoft.com/office/drawing/2014/main" id="{00000000-0008-0000-2200-00000F000000}"/>
              </a:ext>
            </a:extLst>
          </xdr:cNvPr>
          <xdr:cNvSpPr txBox="1"/>
        </xdr:nvSpPr>
        <xdr:spPr>
          <a:xfrm>
            <a:off x="151015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16" name="ui_nav_page_1_1">
            <a:extLst>
              <a:ext uri="{FF2B5EF4-FFF2-40B4-BE49-F238E27FC236}">
                <a16:creationId xmlns:a16="http://schemas.microsoft.com/office/drawing/2014/main" id="{00000000-0008-0000-2200-000010000000}"/>
              </a:ext>
            </a:extLst>
          </xdr:cNvPr>
          <xdr:cNvSpPr txBox="1"/>
        </xdr:nvSpPr>
        <xdr:spPr>
          <a:xfrm>
            <a:off x="1687957" y="622300"/>
            <a:ext cx="68728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RANKINGS</a:t>
            </a:r>
          </a:p>
        </xdr:txBody>
      </xdr:sp>
      <xdr:sp macro="" textlink="">
        <xdr:nvSpPr>
          <xdr:cNvPr id="17" name="ui_line_page_divider2">
            <a:extLst>
              <a:ext uri="{FF2B5EF4-FFF2-40B4-BE49-F238E27FC236}">
                <a16:creationId xmlns:a16="http://schemas.microsoft.com/office/drawing/2014/main" id="{00000000-0008-0000-2200-000011000000}"/>
              </a:ext>
            </a:extLst>
          </xdr:cNvPr>
          <xdr:cNvSpPr txBox="1"/>
        </xdr:nvSpPr>
        <xdr:spPr>
          <a:xfrm>
            <a:off x="2375243"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18" name="ui_nav_page_1_2">
            <a:extLst>
              <a:ext uri="{FF2B5EF4-FFF2-40B4-BE49-F238E27FC236}">
                <a16:creationId xmlns:a16="http://schemas.microsoft.com/office/drawing/2014/main" id="{00000000-0008-0000-2200-000012000000}"/>
              </a:ext>
            </a:extLst>
          </xdr:cNvPr>
          <xdr:cNvSpPr txBox="1"/>
        </xdr:nvSpPr>
        <xdr:spPr>
          <a:xfrm>
            <a:off x="2553043" y="622300"/>
            <a:ext cx="995591"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SNAPSHOTS</a:t>
            </a:r>
          </a:p>
        </xdr:txBody>
      </xdr:sp>
      <xdr:sp macro="" textlink="">
        <xdr:nvSpPr>
          <xdr:cNvPr id="19" name="ui_line_page_divider3">
            <a:extLst>
              <a:ext uri="{FF2B5EF4-FFF2-40B4-BE49-F238E27FC236}">
                <a16:creationId xmlns:a16="http://schemas.microsoft.com/office/drawing/2014/main" id="{00000000-0008-0000-2200-000013000000}"/>
              </a:ext>
            </a:extLst>
          </xdr:cNvPr>
          <xdr:cNvSpPr txBox="1"/>
        </xdr:nvSpPr>
        <xdr:spPr>
          <a:xfrm>
            <a:off x="3548634"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0" name="ui_nav_page_1_3">
            <a:extLst>
              <a:ext uri="{FF2B5EF4-FFF2-40B4-BE49-F238E27FC236}">
                <a16:creationId xmlns:a16="http://schemas.microsoft.com/office/drawing/2014/main" id="{00000000-0008-0000-2200-000014000000}"/>
              </a:ext>
            </a:extLst>
          </xdr:cNvPr>
          <xdr:cNvSpPr txBox="1"/>
        </xdr:nvSpPr>
        <xdr:spPr>
          <a:xfrm>
            <a:off x="3726434" y="622300"/>
            <a:ext cx="864108"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PROFILES</a:t>
            </a:r>
          </a:p>
        </xdr:txBody>
      </xdr:sp>
      <xdr:sp macro="" textlink="">
        <xdr:nvSpPr>
          <xdr:cNvPr id="21" name="ui_line_page_divider4">
            <a:extLst>
              <a:ext uri="{FF2B5EF4-FFF2-40B4-BE49-F238E27FC236}">
                <a16:creationId xmlns:a16="http://schemas.microsoft.com/office/drawing/2014/main" id="{00000000-0008-0000-2200-000015000000}"/>
              </a:ext>
            </a:extLst>
          </xdr:cNvPr>
          <xdr:cNvSpPr txBox="1"/>
        </xdr:nvSpPr>
        <xdr:spPr>
          <a:xfrm>
            <a:off x="4590542"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2" name="ui_nav_page_1_4">
            <a:extLst>
              <a:ext uri="{FF2B5EF4-FFF2-40B4-BE49-F238E27FC236}">
                <a16:creationId xmlns:a16="http://schemas.microsoft.com/office/drawing/2014/main" id="{00000000-0008-0000-2200-000016000000}"/>
              </a:ext>
            </a:extLst>
          </xdr:cNvPr>
          <xdr:cNvSpPr txBox="1"/>
        </xdr:nvSpPr>
        <xdr:spPr>
          <a:xfrm>
            <a:off x="4768342" y="622300"/>
            <a:ext cx="755942"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DETAIL</a:t>
            </a:r>
          </a:p>
        </xdr:txBody>
      </xdr:sp>
      <xdr:sp macro="" textlink="">
        <xdr:nvSpPr>
          <xdr:cNvPr id="23" name="ui_line_page_divider5">
            <a:extLst>
              <a:ext uri="{FF2B5EF4-FFF2-40B4-BE49-F238E27FC236}">
                <a16:creationId xmlns:a16="http://schemas.microsoft.com/office/drawing/2014/main" id="{00000000-0008-0000-2200-000017000000}"/>
              </a:ext>
            </a:extLst>
          </xdr:cNvPr>
          <xdr:cNvSpPr txBox="1"/>
        </xdr:nvSpPr>
        <xdr:spPr>
          <a:xfrm>
            <a:off x="5524284"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4" name="ui_nav_page_1_5">
            <a:extLst>
              <a:ext uri="{FF2B5EF4-FFF2-40B4-BE49-F238E27FC236}">
                <a16:creationId xmlns:a16="http://schemas.microsoft.com/office/drawing/2014/main" id="{00000000-0008-0000-2200-000018000000}"/>
              </a:ext>
            </a:extLst>
          </xdr:cNvPr>
          <xdr:cNvSpPr txBox="1"/>
        </xdr:nvSpPr>
        <xdr:spPr>
          <a:xfrm>
            <a:off x="5702084" y="622300"/>
            <a:ext cx="995591"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COMPARE CITIES</a:t>
            </a:r>
          </a:p>
        </xdr:txBody>
      </xdr:sp>
      <xdr:sp macro="" textlink="">
        <xdr:nvSpPr>
          <xdr:cNvPr id="25" name="ui_line_page_divider6">
            <a:extLst>
              <a:ext uri="{FF2B5EF4-FFF2-40B4-BE49-F238E27FC236}">
                <a16:creationId xmlns:a16="http://schemas.microsoft.com/office/drawing/2014/main" id="{00000000-0008-0000-2200-000019000000}"/>
              </a:ext>
            </a:extLst>
          </xdr:cNvPr>
          <xdr:cNvSpPr txBox="1"/>
        </xdr:nvSpPr>
        <xdr:spPr>
          <a:xfrm>
            <a:off x="6697675"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6" name="ui_nav_page_1_6">
            <a:extLst>
              <a:ext uri="{FF2B5EF4-FFF2-40B4-BE49-F238E27FC236}">
                <a16:creationId xmlns:a16="http://schemas.microsoft.com/office/drawing/2014/main" id="{00000000-0008-0000-2200-00001A000000}"/>
              </a:ext>
            </a:extLst>
          </xdr:cNvPr>
          <xdr:cNvSpPr txBox="1"/>
        </xdr:nvSpPr>
        <xdr:spPr>
          <a:xfrm>
            <a:off x="6875475" y="622300"/>
            <a:ext cx="89843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ALL MEASURES</a:t>
            </a:r>
          </a:p>
        </xdr:txBody>
      </xdr:sp>
      <xdr:sp macro="" textlink="">
        <xdr:nvSpPr>
          <xdr:cNvPr id="27" name="ui_line_page_divider7">
            <a:extLst>
              <a:ext uri="{FF2B5EF4-FFF2-40B4-BE49-F238E27FC236}">
                <a16:creationId xmlns:a16="http://schemas.microsoft.com/office/drawing/2014/main" id="{00000000-0008-0000-2200-00001B000000}"/>
              </a:ext>
            </a:extLst>
          </xdr:cNvPr>
          <xdr:cNvSpPr txBox="1"/>
        </xdr:nvSpPr>
        <xdr:spPr>
          <a:xfrm>
            <a:off x="7773912"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8" name="ui_nav_page_1_7">
            <a:extLst>
              <a:ext uri="{FF2B5EF4-FFF2-40B4-BE49-F238E27FC236}">
                <a16:creationId xmlns:a16="http://schemas.microsoft.com/office/drawing/2014/main" id="{00000000-0008-0000-2200-00001C000000}"/>
              </a:ext>
            </a:extLst>
          </xdr:cNvPr>
          <xdr:cNvSpPr txBox="1"/>
        </xdr:nvSpPr>
        <xdr:spPr>
          <a:xfrm>
            <a:off x="7951712" y="622300"/>
            <a:ext cx="88159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SCATTER PLOT</a:t>
            </a:r>
          </a:p>
        </xdr:txBody>
      </xdr:sp>
      <xdr:sp macro="" textlink="">
        <xdr:nvSpPr>
          <xdr:cNvPr id="29" name="ui_line_page_divider8">
            <a:extLst>
              <a:ext uri="{FF2B5EF4-FFF2-40B4-BE49-F238E27FC236}">
                <a16:creationId xmlns:a16="http://schemas.microsoft.com/office/drawing/2014/main" id="{00000000-0008-0000-2200-00001D000000}"/>
              </a:ext>
            </a:extLst>
          </xdr:cNvPr>
          <xdr:cNvSpPr txBox="1"/>
        </xdr:nvSpPr>
        <xdr:spPr>
          <a:xfrm>
            <a:off x="883330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 textlink="">
        <xdr:nvSpPr>
          <xdr:cNvPr id="32" name="ui_line_page_divider9">
            <a:extLst>
              <a:ext uri="{FF2B5EF4-FFF2-40B4-BE49-F238E27FC236}">
                <a16:creationId xmlns:a16="http://schemas.microsoft.com/office/drawing/2014/main" id="{00000000-0008-0000-2200-000020000000}"/>
              </a:ext>
            </a:extLst>
          </xdr:cNvPr>
          <xdr:cNvSpPr txBox="1"/>
        </xdr:nvSpPr>
        <xdr:spPr>
          <a:xfrm>
            <a:off x="964657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33" name="ui_nav_page_1_9">
            <a:extLst>
              <a:ext uri="{FF2B5EF4-FFF2-40B4-BE49-F238E27FC236}">
                <a16:creationId xmlns:a16="http://schemas.microsoft.com/office/drawing/2014/main" id="{00000000-0008-0000-2200-000021000000}"/>
              </a:ext>
            </a:extLst>
          </xdr:cNvPr>
          <xdr:cNvSpPr txBox="1"/>
        </xdr:nvSpPr>
        <xdr:spPr>
          <a:xfrm>
            <a:off x="9824377" y="622300"/>
            <a:ext cx="458648"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DATA</a:t>
            </a:r>
          </a:p>
        </xdr:txBody>
      </xdr:sp>
      <xdr:sp macro="" textlink="">
        <xdr:nvSpPr>
          <xdr:cNvPr id="34" name="ui_line_page_divider10">
            <a:extLst>
              <a:ext uri="{FF2B5EF4-FFF2-40B4-BE49-F238E27FC236}">
                <a16:creationId xmlns:a16="http://schemas.microsoft.com/office/drawing/2014/main" id="{00000000-0008-0000-2200-000022000000}"/>
              </a:ext>
            </a:extLst>
          </xdr:cNvPr>
          <xdr:cNvSpPr txBox="1"/>
        </xdr:nvSpPr>
        <xdr:spPr>
          <a:xfrm>
            <a:off x="10283025"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35" name="ui_nav_page_1_10">
            <a:extLst>
              <a:ext uri="{FF2B5EF4-FFF2-40B4-BE49-F238E27FC236}">
                <a16:creationId xmlns:a16="http://schemas.microsoft.com/office/drawing/2014/main" id="{00000000-0008-0000-2200-000023000000}"/>
              </a:ext>
            </a:extLst>
          </xdr:cNvPr>
          <xdr:cNvSpPr txBox="1"/>
        </xdr:nvSpPr>
        <xdr:spPr>
          <a:xfrm>
            <a:off x="10460825" y="622300"/>
            <a:ext cx="555803"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SCORES</a:t>
            </a:r>
          </a:p>
        </xdr:txBody>
      </xdr:sp>
      <xdr:sp macro="" textlink="">
        <xdr:nvSpPr>
          <xdr:cNvPr id="36" name="ui_line_page_divider11">
            <a:extLst>
              <a:ext uri="{FF2B5EF4-FFF2-40B4-BE49-F238E27FC236}">
                <a16:creationId xmlns:a16="http://schemas.microsoft.com/office/drawing/2014/main" id="{00000000-0008-0000-2200-000024000000}"/>
              </a:ext>
            </a:extLst>
          </xdr:cNvPr>
          <xdr:cNvSpPr txBox="1"/>
        </xdr:nvSpPr>
        <xdr:spPr>
          <a:xfrm>
            <a:off x="11016628"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30" name="ui_nav_page_1_8">
            <a:extLst>
              <a:ext uri="{FF2B5EF4-FFF2-40B4-BE49-F238E27FC236}">
                <a16:creationId xmlns:a16="http://schemas.microsoft.com/office/drawing/2014/main" id="{00000000-0008-0000-2200-00001E000000}"/>
              </a:ext>
            </a:extLst>
          </xdr:cNvPr>
          <xdr:cNvSpPr txBox="1"/>
        </xdr:nvSpPr>
        <xdr:spPr>
          <a:xfrm>
            <a:off x="9011107" y="647700"/>
            <a:ext cx="635470" cy="288468"/>
          </a:xfrm>
          <a:prstGeom prst="rect">
            <a:avLst/>
          </a:prstGeom>
          <a:solidFill>
            <a:srgbClr xmlns:mc="http://schemas.openxmlformats.org/markup-compatibility/2006" xmlns:a14="http://schemas.microsoft.com/office/drawing/2010/main" val="F2F2F2" mc:Ignorable="a14" a14:legacySpreadsheetColorIndex="17"/>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005E9E" mc:Ignorable="a14" a14:legacySpreadsheetColorIndex="15"/>
                </a:solidFill>
              </a:rPr>
              <a:t>WEIGHTS</a:t>
            </a:r>
          </a:p>
        </xdr:txBody>
      </xdr:sp>
      <xdr:cxnSp macro="">
        <xdr:nvCxnSpPr>
          <xdr:cNvPr id="31" name="ui_line_page_active">
            <a:extLst>
              <a:ext uri="{FF2B5EF4-FFF2-40B4-BE49-F238E27FC236}">
                <a16:creationId xmlns:a16="http://schemas.microsoft.com/office/drawing/2014/main" id="{00000000-0008-0000-2200-00001F000000}"/>
              </a:ext>
            </a:extLst>
          </xdr:cNvPr>
          <xdr:cNvCxnSpPr/>
        </xdr:nvCxnSpPr>
        <xdr:spPr>
          <a:xfrm>
            <a:off x="9011107" y="936168"/>
            <a:ext cx="635470" cy="0"/>
          </a:xfrm>
          <a:prstGeom prst="line">
            <a:avLst/>
          </a:prstGeom>
          <a:ln w="28575">
            <a:solidFill>
              <a:srgbClr xmlns:mc="http://schemas.openxmlformats.org/markup-compatibility/2006" xmlns:a14="http://schemas.microsoft.com/office/drawing/2010/main" val="F2F2F2" mc:Ignorable="a14" a14:legacySpreadsheetColorIndex="17"/>
            </a:solidFill>
          </a:ln>
        </xdr:spPr>
        <xdr:style>
          <a:lnRef idx="1">
            <a:schemeClr val="accent1"/>
          </a:lnRef>
          <a:fillRef idx="0">
            <a:schemeClr val="accent1"/>
          </a:fillRef>
          <a:effectRef idx="0">
            <a:schemeClr val="accent1"/>
          </a:effectRef>
          <a:fontRef idx="minor">
            <a:schemeClr val="tx1"/>
          </a:fontRef>
        </xdr:style>
      </xdr:cxnSp>
      <xdr:sp macro="" textlink="">
        <xdr:nvSpPr>
          <xdr:cNvPr id="39" name="ui_lbl_cnt_WeightProfile">
            <a:extLst>
              <a:ext uri="{FF2B5EF4-FFF2-40B4-BE49-F238E27FC236}">
                <a16:creationId xmlns:a16="http://schemas.microsoft.com/office/drawing/2014/main" id="{00000000-0008-0000-2200-000027000000}"/>
              </a:ext>
            </a:extLst>
          </xdr:cNvPr>
          <xdr:cNvSpPr txBox="1"/>
        </xdr:nvSpPr>
        <xdr:spPr>
          <a:xfrm>
            <a:off x="127000" y="986968"/>
            <a:ext cx="1300010"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SELECT WEIGHT PROFILE</a:t>
            </a:r>
          </a:p>
        </xdr:txBody>
      </xdr:sp>
      <xdr:sp macro="" textlink="">
        <xdr:nvSpPr>
          <xdr:cNvPr id="44" name="ui_lbl_cnt_WeightsDepth">
            <a:extLst>
              <a:ext uri="{FF2B5EF4-FFF2-40B4-BE49-F238E27FC236}">
                <a16:creationId xmlns:a16="http://schemas.microsoft.com/office/drawing/2014/main" id="{00000000-0008-0000-2200-00002C000000}"/>
              </a:ext>
            </a:extLst>
          </xdr:cNvPr>
          <xdr:cNvSpPr txBox="1"/>
        </xdr:nvSpPr>
        <xdr:spPr>
          <a:xfrm>
            <a:off x="3075216" y="986968"/>
            <a:ext cx="881850"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LEVEL OF DETAIL</a:t>
            </a:r>
          </a:p>
        </xdr:txBody>
      </xdr:sp>
      <mc:AlternateContent xmlns:mc="http://schemas.openxmlformats.org/markup-compatibility/2006">
        <mc:Choice xmlns:a14="http://schemas.microsoft.com/office/drawing/2010/main" Requires="a14">
          <xdr:sp macro="" textlink="">
            <xdr:nvSpPr>
              <xdr:cNvPr id="6123038" name="ui_cnt_WeightProfile" hidden="1">
                <a:extLst>
                  <a:ext uri="{63B3BB69-23CF-44E3-9099-C40C66FF867C}">
                    <a14:compatExt spid="_x0000_s6123038"/>
                  </a:ext>
                  <a:ext uri="{FF2B5EF4-FFF2-40B4-BE49-F238E27FC236}">
                    <a16:creationId xmlns:a16="http://schemas.microsoft.com/office/drawing/2014/main" id="{00000000-0008-0000-2200-00001E6E5D00}"/>
                  </a:ext>
                </a:extLst>
              </xdr:cNvPr>
              <xdr:cNvSpPr/>
            </xdr:nvSpPr>
            <xdr:spPr bwMode="auto">
              <a:xfrm>
                <a:off x="127000" y="1177468"/>
                <a:ext cx="2541814" cy="212271"/>
              </a:xfrm>
              <a:prstGeom prst="rect">
                <a:avLst/>
              </a:prstGeom>
              <a:noFill/>
              <a:ln w="9525">
                <a:miter lim="800000"/>
                <a:headEnd/>
                <a:tailEnd/>
              </a:ln>
              <a:extLst>
                <a:ext uri="{909E8E84-426E-40DD-AFC4-6F175D3DCCD1}">
                  <a14:hiddenFill>
                    <a:noFill/>
                  </a14:hiddenFill>
                </a:ext>
              </a:extLst>
            </xdr:spPr>
          </xdr:sp>
        </mc:Choice>
        <mc:Fallback/>
      </mc:AlternateContent>
      <xdr:pic macro="[0]!k">
        <xdr:nvPicPr>
          <xdr:cNvPr id="42" name="ui_spu_WeightProfile" descr="scroll_up_small.png">
            <a:extLst>
              <a:ext uri="{FF2B5EF4-FFF2-40B4-BE49-F238E27FC236}">
                <a16:creationId xmlns:a16="http://schemas.microsoft.com/office/drawing/2014/main" id="{00000000-0008-0000-2200-00002A000000}"/>
              </a:ext>
            </a:extLst>
          </xdr:cNvPr>
          <xdr:cNvPicPr>
            <a:picLocks noChangeAspect="1"/>
          </xdr:cNvPicPr>
        </xdr:nvPicPr>
        <xdr:blipFill>
          <a:blip xmlns:r="http://schemas.openxmlformats.org/officeDocument/2006/relationships" r:embed="rId4" cstate="print"/>
          <a:stretch>
            <a:fillRect/>
          </a:stretch>
        </xdr:blipFill>
        <xdr:spPr>
          <a:xfrm>
            <a:off x="2694216" y="1177468"/>
            <a:ext cx="228615" cy="77699"/>
          </a:xfrm>
          <a:prstGeom prst="rect">
            <a:avLst/>
          </a:prstGeom>
        </xdr:spPr>
      </xdr:pic>
      <xdr:pic macro="[0]!k">
        <xdr:nvPicPr>
          <xdr:cNvPr id="43" name="ui_spd_WeightProfile" descr="scroll_down_small.png">
            <a:extLst>
              <a:ext uri="{FF2B5EF4-FFF2-40B4-BE49-F238E27FC236}">
                <a16:creationId xmlns:a16="http://schemas.microsoft.com/office/drawing/2014/main" id="{00000000-0008-0000-2200-00002B000000}"/>
              </a:ext>
            </a:extLst>
          </xdr:cNvPr>
          <xdr:cNvPicPr>
            <a:picLocks noChangeAspect="1"/>
          </xdr:cNvPicPr>
        </xdr:nvPicPr>
        <xdr:blipFill>
          <a:blip xmlns:r="http://schemas.openxmlformats.org/officeDocument/2006/relationships" r:embed="rId5" cstate="print"/>
          <a:stretch>
            <a:fillRect/>
          </a:stretch>
        </xdr:blipFill>
        <xdr:spPr>
          <a:xfrm>
            <a:off x="2694216" y="1282458"/>
            <a:ext cx="228604" cy="56388"/>
          </a:xfrm>
          <a:prstGeom prst="rect">
            <a:avLst/>
          </a:prstGeom>
        </xdr:spPr>
      </xdr:pic>
      <mc:AlternateContent xmlns:mc="http://schemas.openxmlformats.org/markup-compatibility/2006">
        <mc:Choice xmlns:a14="http://schemas.microsoft.com/office/drawing/2010/main" Requires="a14">
          <xdr:sp macro="" textlink="">
            <xdr:nvSpPr>
              <xdr:cNvPr id="6123040" name="ui_cnt_WeightsDepth" hidden="1">
                <a:extLst>
                  <a:ext uri="{63B3BB69-23CF-44E3-9099-C40C66FF867C}">
                    <a14:compatExt spid="_x0000_s6123040"/>
                  </a:ext>
                  <a:ext uri="{FF2B5EF4-FFF2-40B4-BE49-F238E27FC236}">
                    <a16:creationId xmlns:a16="http://schemas.microsoft.com/office/drawing/2014/main" id="{00000000-0008-0000-2200-0000206E5D00}"/>
                  </a:ext>
                </a:extLst>
              </xdr:cNvPr>
              <xdr:cNvSpPr/>
            </xdr:nvSpPr>
            <xdr:spPr bwMode="auto">
              <a:xfrm>
                <a:off x="3075216" y="1177468"/>
                <a:ext cx="2068285" cy="212272"/>
              </a:xfrm>
              <a:prstGeom prst="rect">
                <a:avLst/>
              </a:prstGeom>
              <a:noFill/>
              <a:ln w="9525">
                <a:miter lim="800000"/>
                <a:headEnd/>
                <a:tailEnd/>
              </a:ln>
              <a:extLst>
                <a:ext uri="{909E8E84-426E-40DD-AFC4-6F175D3DCCD1}">
                  <a14:hiddenFill>
                    <a:noFill/>
                  </a14:hiddenFill>
                </a:ext>
              </a:extLst>
            </xdr:spPr>
          </xdr:sp>
        </mc:Choice>
        <mc:Fallback/>
      </mc:AlternateContent>
      <xdr:pic macro="[0]!k">
        <xdr:nvPicPr>
          <xdr:cNvPr id="6123026" name="ui_cmd_export_xl" descr="xl_icon.gif">
            <a:hlinkClick xmlns:r="http://schemas.openxmlformats.org/officeDocument/2006/relationships" r:id="rId6" tooltip="Export current page as a standalone Excel workbook"/>
            <a:extLst>
              <a:ext uri="{FF2B5EF4-FFF2-40B4-BE49-F238E27FC236}">
                <a16:creationId xmlns:a16="http://schemas.microsoft.com/office/drawing/2014/main" id="{00000000-0008-0000-2200-0000126E5D00}"/>
              </a:ext>
            </a:extLst>
          </xdr:cNvPr>
          <xdr:cNvPicPr>
            <a:picLocks noChangeAspect="1"/>
          </xdr:cNvPicPr>
        </xdr:nvPicPr>
        <xdr:blipFill>
          <a:blip xmlns:r="http://schemas.openxmlformats.org/officeDocument/2006/relationships" r:embed="rId7" cstate="print"/>
          <a:stretch>
            <a:fillRect/>
          </a:stretch>
        </xdr:blipFill>
        <xdr:spPr>
          <a:xfrm>
            <a:off x="11367528" y="361950"/>
            <a:ext cx="519674" cy="190500"/>
          </a:xfrm>
          <a:prstGeom prst="rect">
            <a:avLst/>
          </a:prstGeom>
        </xdr:spPr>
      </xdr:pic>
      <xdr:pic macro="[0]!k">
        <xdr:nvPicPr>
          <xdr:cNvPr id="52" name="ui_cmd_reset_controls">
            <a:hlinkClick xmlns:r="http://schemas.openxmlformats.org/officeDocument/2006/relationships" r:id="rId8" tooltip="Reset all options and controls on this page to the default value."/>
            <a:extLst>
              <a:ext uri="{FF2B5EF4-FFF2-40B4-BE49-F238E27FC236}">
                <a16:creationId xmlns:a16="http://schemas.microsoft.com/office/drawing/2014/main" id="{00000000-0008-0000-2200-00003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628209" y="974268"/>
            <a:ext cx="208189" cy="190500"/>
          </a:xfrm>
          <a:prstGeom prst="rect">
            <a:avLst/>
          </a:prstGeom>
        </xdr:spPr>
      </xdr:pic>
      <xdr:pic macro="[0]!k">
        <xdr:nvPicPr>
          <xdr:cNvPr id="50" name="ui_cmd_full_screen">
            <a:hlinkClick xmlns:r="http://schemas.openxmlformats.org/officeDocument/2006/relationships" r:id="rId10" tooltip="Full screen mode (recommended)"/>
            <a:extLst>
              <a:ext uri="{FF2B5EF4-FFF2-40B4-BE49-F238E27FC236}">
                <a16:creationId xmlns:a16="http://schemas.microsoft.com/office/drawing/2014/main" id="{00000000-0008-0000-22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099356" y="361950"/>
            <a:ext cx="217368" cy="190500"/>
          </a:xfrm>
          <a:prstGeom prst="rect">
            <a:avLst/>
          </a:prstGeom>
        </xdr:spPr>
      </xdr:pic>
      <xdr:pic macro="[0]!k">
        <xdr:nvPicPr>
          <xdr:cNvPr id="51" name="ui_cmd_exit_full_screen" hidden="1">
            <a:hlinkClick xmlns:r="http://schemas.openxmlformats.org/officeDocument/2006/relationships" r:id="rId12" tooltip="Leave full screen mode"/>
            <a:extLst>
              <a:ext uri="{FF2B5EF4-FFF2-40B4-BE49-F238E27FC236}">
                <a16:creationId xmlns:a16="http://schemas.microsoft.com/office/drawing/2014/main" id="{00000000-0008-0000-2200-00003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099356" y="361950"/>
            <a:ext cx="209038" cy="190500"/>
          </a:xfrm>
          <a:prstGeom prst="rect">
            <a:avLst/>
          </a:prstGeom>
        </xdr:spPr>
      </xdr:pic>
    </xdr:grpSp>
    <xdr:clientData fPrintsWithSheet="0"/>
  </xdr:twoCellAnchor>
  <xdr:twoCellAnchor>
    <xdr:from>
      <xdr:col>3</xdr:col>
      <xdr:colOff>0</xdr:colOff>
      <xdr:row>277</xdr:row>
      <xdr:rowOff>0</xdr:rowOff>
    </xdr:from>
    <xdr:to>
      <xdr:col>13</xdr:col>
      <xdr:colOff>1015093</xdr:colOff>
      <xdr:row>278</xdr:row>
      <xdr:rowOff>21771</xdr:rowOff>
    </xdr:to>
    <xdr:sp macro="k" textlink="">
      <xdr:nvSpPr>
        <xdr:cNvPr id="6123032" name="go_top">
          <a:extLst>
            <a:ext uri="{FF2B5EF4-FFF2-40B4-BE49-F238E27FC236}">
              <a16:creationId xmlns:a16="http://schemas.microsoft.com/office/drawing/2014/main" id="{00000000-0008-0000-2200-0000186E5D00}"/>
            </a:ext>
          </a:extLst>
        </xdr:cNvPr>
        <xdr:cNvSpPr txBox="1"/>
      </xdr:nvSpPr>
      <xdr:spPr>
        <a:xfrm>
          <a:off x="489857" y="16524514"/>
          <a:ext cx="1015093" cy="185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none" strike="noStrike" baseline="0">
              <a:solidFill>
                <a:srgbClr val="0070C0"/>
              </a:solidFill>
              <a:latin typeface="+mn-lt"/>
            </a:rPr>
            <a:t>↑ Top of page</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20</xdr:row>
      <xdr:rowOff>276224</xdr:rowOff>
    </xdr:from>
    <xdr:to>
      <xdr:col>21</xdr:col>
      <xdr:colOff>257175</xdr:colOff>
      <xdr:row>59</xdr:row>
      <xdr:rowOff>0</xdr:rowOff>
    </xdr:to>
    <xdr:graphicFrame macro="">
      <xdr:nvGraphicFramePr>
        <xdr:cNvPr id="61" name="chtScatter">
          <a:extLst>
            <a:ext uri="{FF2B5EF4-FFF2-40B4-BE49-F238E27FC236}">
              <a16:creationId xmlns:a16="http://schemas.microsoft.com/office/drawing/2014/main" id="{00000000-0008-0000-23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10</xdr:row>
      <xdr:rowOff>38100</xdr:rowOff>
    </xdr:from>
    <xdr:to>
      <xdr:col>29</xdr:col>
      <xdr:colOff>54428</xdr:colOff>
      <xdr:row>12</xdr:row>
      <xdr:rowOff>92075</xdr:rowOff>
    </xdr:to>
    <xdr:graphicFrame macro="">
      <xdr:nvGraphicFramePr>
        <xdr:cNvPr id="64" name="cht_scatter_dist_x">
          <a:extLst>
            <a:ext uri="{FF2B5EF4-FFF2-40B4-BE49-F238E27FC236}">
              <a16:creationId xmlns:a16="http://schemas.microsoft.com/office/drawing/2014/main" id="{00000000-0008-0000-23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xdr:colOff>
      <xdr:row>14</xdr:row>
      <xdr:rowOff>95250</xdr:rowOff>
    </xdr:from>
    <xdr:to>
      <xdr:col>29</xdr:col>
      <xdr:colOff>54428</xdr:colOff>
      <xdr:row>17</xdr:row>
      <xdr:rowOff>44450</xdr:rowOff>
    </xdr:to>
    <xdr:graphicFrame macro="">
      <xdr:nvGraphicFramePr>
        <xdr:cNvPr id="65" name="cht_scatter_dist_y">
          <a:extLst>
            <a:ext uri="{FF2B5EF4-FFF2-40B4-BE49-F238E27FC236}">
              <a16:creationId xmlns:a16="http://schemas.microsoft.com/office/drawing/2014/main" id="{00000000-0008-0000-23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0</xdr:colOff>
      <xdr:row>3</xdr:row>
      <xdr:rowOff>533397</xdr:rowOff>
    </xdr:from>
    <xdr:to>
      <xdr:col>27</xdr:col>
      <xdr:colOff>217714</xdr:colOff>
      <xdr:row>4</xdr:row>
      <xdr:rowOff>304797</xdr:rowOff>
    </xdr:to>
    <xdr:sp macro="[0]!k" textlink="">
      <xdr:nvSpPr>
        <xdr:cNvPr id="49" name="ui_txt_infobar" hidden="1">
          <a:extLst>
            <a:ext uri="{FF2B5EF4-FFF2-40B4-BE49-F238E27FC236}">
              <a16:creationId xmlns:a16="http://schemas.microsoft.com/office/drawing/2014/main" id="{00000000-0008-0000-2300-000031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000"/>
        </a:p>
      </xdr:txBody>
    </xdr:sp>
    <xdr:clientData fPrintsWithSheet="0"/>
  </xdr:twoCellAnchor>
  <xdr:twoCellAnchor editAs="absolute">
    <xdr:from>
      <xdr:col>0</xdr:col>
      <xdr:colOff>0</xdr:colOff>
      <xdr:row>0</xdr:row>
      <xdr:rowOff>0</xdr:rowOff>
    </xdr:from>
    <xdr:to>
      <xdr:col>27</xdr:col>
      <xdr:colOff>217714</xdr:colOff>
      <xdr:row>2</xdr:row>
      <xdr:rowOff>0</xdr:rowOff>
    </xdr:to>
    <xdr:sp macro="[0]!k" textlink="">
      <xdr:nvSpPr>
        <xdr:cNvPr id="2" name="ui_cmd_leave_zen_mode" hidden="1">
          <a:extLst>
            <a:ext uri="{FF2B5EF4-FFF2-40B4-BE49-F238E27FC236}">
              <a16:creationId xmlns:a16="http://schemas.microsoft.com/office/drawing/2014/main" id="{00000000-0008-0000-2300-000002000000}"/>
            </a:ext>
          </a:extLst>
        </xdr:cNvPr>
        <xdr:cNvSpPr txBox="1"/>
      </xdr:nvSpPr>
      <xdr:spPr>
        <a:xfrm>
          <a:off x="0" y="0"/>
          <a:ext cx="11887200" cy="304800"/>
        </a:xfrm>
        <a:prstGeom prst="rect">
          <a:avLst/>
        </a:prstGeom>
        <a:solidFill>
          <a:schemeClr val="l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GB" sz="1100" b="1">
              <a:solidFill>
                <a:schemeClr val="bg1">
                  <a:lumMod val="65000"/>
                </a:schemeClr>
              </a:solidFill>
            </a:rPr>
            <a:t>ZEN MODE.  NAVIGATION IS HIDDEN TO MAXIMISE VISIBLE</a:t>
          </a:r>
          <a:r>
            <a:rPr lang="en-GB" sz="1100" b="1" baseline="0">
              <a:solidFill>
                <a:schemeClr val="bg1">
                  <a:lumMod val="65000"/>
                </a:schemeClr>
              </a:solidFill>
            </a:rPr>
            <a:t> CONTENT. </a:t>
          </a:r>
          <a:r>
            <a:rPr lang="en-GB" sz="1100" b="1">
              <a:solidFill>
                <a:schemeClr val="bg1">
                  <a:lumMod val="65000"/>
                </a:schemeClr>
              </a:solidFill>
            </a:rPr>
            <a:t>  </a:t>
          </a:r>
          <a:r>
            <a:rPr lang="en-GB" sz="1100" b="1" u="sng">
              <a:solidFill>
                <a:srgbClr val="0070C0"/>
              </a:solidFill>
            </a:rPr>
            <a:t>CLICK HERE</a:t>
          </a:r>
          <a:r>
            <a:rPr lang="en-GB" sz="1100" b="1" baseline="0">
              <a:solidFill>
                <a:srgbClr val="0070C0"/>
              </a:solidFill>
            </a:rPr>
            <a:t> </a:t>
          </a:r>
          <a:r>
            <a:rPr lang="en-GB" sz="1100" b="1">
              <a:solidFill>
                <a:schemeClr val="bg1">
                  <a:lumMod val="65000"/>
                </a:schemeClr>
              </a:solidFill>
            </a:rPr>
            <a:t>TO RESTORE NAVIGATION</a:t>
          </a:r>
        </a:p>
      </xdr:txBody>
    </xdr:sp>
    <xdr:clientData fPrintsWithSheet="0"/>
  </xdr:twoCellAnchor>
  <xdr:twoCellAnchor editAs="absolute">
    <xdr:from>
      <xdr:col>0</xdr:col>
      <xdr:colOff>0</xdr:colOff>
      <xdr:row>3</xdr:row>
      <xdr:rowOff>533397</xdr:rowOff>
    </xdr:from>
    <xdr:to>
      <xdr:col>27</xdr:col>
      <xdr:colOff>217714</xdr:colOff>
      <xdr:row>4</xdr:row>
      <xdr:rowOff>304797</xdr:rowOff>
    </xdr:to>
    <xdr:sp macro="[0]!k" textlink="">
      <xdr:nvSpPr>
        <xdr:cNvPr id="50" name="ui_cmd_warningbar" hidden="1">
          <a:extLst>
            <a:ext uri="{FF2B5EF4-FFF2-40B4-BE49-F238E27FC236}">
              <a16:creationId xmlns:a16="http://schemas.microsoft.com/office/drawing/2014/main" id="{00000000-0008-0000-2300-000032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000"/>
        </a:p>
      </xdr:txBody>
    </xdr:sp>
    <xdr:clientData fPrintsWithSheet="0"/>
  </xdr:twoCellAnchor>
  <xdr:twoCellAnchor editAs="absolute">
    <xdr:from>
      <xdr:col>0</xdr:col>
      <xdr:colOff>0</xdr:colOff>
      <xdr:row>3</xdr:row>
      <xdr:rowOff>533397</xdr:rowOff>
    </xdr:from>
    <xdr:to>
      <xdr:col>27</xdr:col>
      <xdr:colOff>217714</xdr:colOff>
      <xdr:row>4</xdr:row>
      <xdr:rowOff>304797</xdr:rowOff>
    </xdr:to>
    <xdr:sp macro="[0]!k" textlink="">
      <xdr:nvSpPr>
        <xdr:cNvPr id="51" name="ui_cmd_globalwarninginfobar" hidden="1">
          <a:extLst>
            <a:ext uri="{FF2B5EF4-FFF2-40B4-BE49-F238E27FC236}">
              <a16:creationId xmlns:a16="http://schemas.microsoft.com/office/drawing/2014/main" id="{00000000-0008-0000-2300-000033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a:t>A</a:t>
          </a:r>
          <a:r>
            <a:rPr lang="en-GB" sz="1000" baseline="0"/>
            <a:t> custom weight profile is selected.  Scores and ranks may be different from official publication.  </a:t>
          </a:r>
          <a:r>
            <a:rPr lang="en-GB" sz="1000" b="1" u="sng" baseline="0">
              <a:solidFill>
                <a:srgbClr val="0070C0"/>
              </a:solidFill>
            </a:rPr>
            <a:t>RESTORE DEFAULT WEIGHT PROFILE</a:t>
          </a:r>
          <a:endParaRPr lang="en-GB" sz="1000" b="1" u="sng">
            <a:solidFill>
              <a:srgbClr val="0070C0"/>
            </a:solidFill>
          </a:endParaRPr>
        </a:p>
      </xdr:txBody>
    </xdr:sp>
    <xdr:clientData fPrintsWithSheet="0"/>
  </xdr:twoCellAnchor>
  <xdr:twoCellAnchor editAs="absolute">
    <xdr:from>
      <xdr:col>0</xdr:col>
      <xdr:colOff>0</xdr:colOff>
      <xdr:row>0</xdr:row>
      <xdr:rowOff>0</xdr:rowOff>
    </xdr:from>
    <xdr:to>
      <xdr:col>27</xdr:col>
      <xdr:colOff>217716</xdr:colOff>
      <xdr:row>3</xdr:row>
      <xdr:rowOff>533397</xdr:rowOff>
    </xdr:to>
    <xdr:grpSp>
      <xdr:nvGrpSpPr>
        <xdr:cNvPr id="59" name="ui_all">
          <a:extLst>
            <a:ext uri="{FF2B5EF4-FFF2-40B4-BE49-F238E27FC236}">
              <a16:creationId xmlns:a16="http://schemas.microsoft.com/office/drawing/2014/main" id="{00000000-0008-0000-2300-00003B000000}"/>
            </a:ext>
          </a:extLst>
        </xdr:cNvPr>
        <xdr:cNvGrpSpPr/>
      </xdr:nvGrpSpPr>
      <xdr:grpSpPr>
        <a:xfrm>
          <a:off x="0" y="0"/>
          <a:ext cx="11887202" cy="1164768"/>
          <a:chOff x="0" y="304800"/>
          <a:chExt cx="11887202" cy="1164768"/>
        </a:xfrm>
      </xdr:grpSpPr>
      <xdr:sp macro="" textlink="">
        <xdr:nvSpPr>
          <xdr:cNvPr id="48" name="ui_dropdown_controls_bg">
            <a:extLst>
              <a:ext uri="{FF2B5EF4-FFF2-40B4-BE49-F238E27FC236}">
                <a16:creationId xmlns:a16="http://schemas.microsoft.com/office/drawing/2014/main" id="{00000000-0008-0000-2300-000030000000}"/>
              </a:ext>
            </a:extLst>
          </xdr:cNvPr>
          <xdr:cNvSpPr/>
        </xdr:nvSpPr>
        <xdr:spPr>
          <a:xfrm>
            <a:off x="0" y="936168"/>
            <a:ext cx="11887200" cy="533400"/>
          </a:xfrm>
          <a:prstGeom prst="rect">
            <a:avLst/>
          </a:prstGeom>
          <a:solidFill>
            <a:srgbClr xmlns:mc="http://schemas.openxmlformats.org/markup-compatibility/2006" xmlns:a14="http://schemas.microsoft.com/office/drawing/2010/main" val="F2F2F2" mc:Ignorable="a14" a14:legacySpreadsheetColorIndex="17"/>
          </a:solidFill>
          <a:ln w="9525" cap="flat" cmpd="sng" algn="ctr">
            <a:noFill/>
            <a:prstDash val="solid"/>
          </a:ln>
          <a:effectLst/>
          <a:extLst>
            <a:ext uri="{91240B29-F687-4F45-9708-019B960494DF}">
              <a14:hiddenLine xmlns:a14="http://schemas.microsoft.com/office/drawing/2010/main" w="9525" cap="flat" cmpd="sng" algn="ctr">
                <a:solidFill>
                  <a:srgbClr xmlns:mc="http://schemas.openxmlformats.org/markup-compatibility/2006" val="D8D8D8" mc:Ignorable="a14" a14:legacySpreadsheetColorIndex="18"/>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36" name="ui_page_second_bg">
            <a:extLst>
              <a:ext uri="{FF2B5EF4-FFF2-40B4-BE49-F238E27FC236}">
                <a16:creationId xmlns:a16="http://schemas.microsoft.com/office/drawing/2014/main" id="{00000000-0008-0000-2300-000024000000}"/>
              </a:ext>
            </a:extLst>
          </xdr:cNvPr>
          <xdr:cNvSpPr/>
        </xdr:nvSpPr>
        <xdr:spPr>
          <a:xfrm>
            <a:off x="11709400" y="609600"/>
            <a:ext cx="177800" cy="326568"/>
          </a:xfrm>
          <a:prstGeom prst="rect">
            <a:avLst/>
          </a:prstGeom>
          <a:solidFill>
            <a:srgbClr xmlns:mc="http://schemas.openxmlformats.org/markup-compatibility/2006" xmlns:a14="http://schemas.microsoft.com/office/drawing/2010/main" val="E3E3E3" mc:Ignorable="a14" a14:legacySpreadsheetColorIndex="13"/>
          </a:solidFill>
          <a:ln w="19050" cap="flat" cmpd="sng" algn="ctr">
            <a:noFill/>
            <a:prstDash val="solid"/>
          </a:ln>
          <a:effectLst/>
          <a:extLst>
            <a:ext uri="{91240B29-F687-4F45-9708-019B960494DF}">
              <a14:hiddenLine xmlns:a14="http://schemas.microsoft.com/office/drawing/2010/main" w="19050" cap="flat" cmpd="sng" algn="ctr">
                <a:solidFill>
                  <a:srgbClr xmlns:mc="http://schemas.openxmlformats.org/markup-compatibility/2006" val="D2D2D2" mc:Ignorable="a14" a14:legacySpreadsheetColorIndex="14"/>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35" name="ui_page_bg">
            <a:extLst>
              <a:ext uri="{FF2B5EF4-FFF2-40B4-BE49-F238E27FC236}">
                <a16:creationId xmlns:a16="http://schemas.microsoft.com/office/drawing/2014/main" id="{00000000-0008-0000-2300-000023000000}"/>
              </a:ext>
            </a:extLst>
          </xdr:cNvPr>
          <xdr:cNvSpPr/>
        </xdr:nvSpPr>
        <xdr:spPr>
          <a:xfrm>
            <a:off x="0" y="609600"/>
            <a:ext cx="11709400" cy="326568"/>
          </a:xfrm>
          <a:prstGeom prst="rect">
            <a:avLst/>
          </a:prstGeom>
          <a:solidFill>
            <a:srgbClr xmlns:mc="http://schemas.openxmlformats.org/markup-compatibility/2006" xmlns:a14="http://schemas.microsoft.com/office/drawing/2010/main" val="E3E3E3" mc:Ignorable="a14" a14:legacySpreadsheetColorIndex="13"/>
          </a:solidFill>
          <a:ln w="19050" cap="flat" cmpd="sng" algn="ctr">
            <a:noFill/>
            <a:prstDash val="solid"/>
          </a:ln>
          <a:effectLst/>
          <a:extLst>
            <a:ext uri="{91240B29-F687-4F45-9708-019B960494DF}">
              <a14:hiddenLine xmlns:a14="http://schemas.microsoft.com/office/drawing/2010/main" w="19050" cap="flat" cmpd="sng" algn="ctr">
                <a:solidFill>
                  <a:srgbClr xmlns:mc="http://schemas.openxmlformats.org/markup-compatibility/2006" val="D2D2D2" mc:Ignorable="a14" a14:legacySpreadsheetColorIndex="14"/>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6" name="ui_bg_home_back_forward">
            <a:extLst>
              <a:ext uri="{FF2B5EF4-FFF2-40B4-BE49-F238E27FC236}">
                <a16:creationId xmlns:a16="http://schemas.microsoft.com/office/drawing/2014/main" id="{00000000-0008-0000-2300-000006000000}"/>
              </a:ext>
            </a:extLst>
          </xdr:cNvPr>
          <xdr:cNvSpPr txBox="1"/>
        </xdr:nvSpPr>
        <xdr:spPr>
          <a:xfrm>
            <a:off x="0" y="304800"/>
            <a:ext cx="664070" cy="304800"/>
          </a:xfrm>
          <a:prstGeom prst="rect">
            <a:avLst/>
          </a:prstGeom>
          <a:solidFill>
            <a:srgbClr xmlns:mc="http://schemas.openxmlformats.org/markup-compatibility/2006" xmlns:a14="http://schemas.microsoft.com/office/drawing/2010/main" val="808080" mc:Ignorable="a14" a14:legacySpreadsheetColorIndex="1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endParaRPr lang="en-GB" sz="1100" b="0"/>
          </a:p>
        </xdr:txBody>
      </xdr:sp>
      <xdr:pic macro="[0]!k">
        <xdr:nvPicPr>
          <xdr:cNvPr id="3" name="ui_nav_home" descr="home-white-xxl.png">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4" cstate="print"/>
          <a:stretch>
            <a:fillRect/>
          </a:stretch>
        </xdr:blipFill>
        <xdr:spPr>
          <a:xfrm>
            <a:off x="25400" y="393700"/>
            <a:ext cx="165100"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pic macro="[0]!k">
        <xdr:nvPicPr>
          <xdr:cNvPr id="4" name="ui_nav_back" descr="arrow-left-white-xxl.png">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5" cstate="print"/>
          <a:stretch>
            <a:fillRect/>
          </a:stretch>
        </xdr:blipFill>
        <xdr:spPr>
          <a:xfrm>
            <a:off x="254000" y="393700"/>
            <a:ext cx="165100"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pic macro="[0]!k">
        <xdr:nvPicPr>
          <xdr:cNvPr id="5" name="ui_nav_forward" descr="arrow-right-white-xxl.png" hidden="1">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6" cstate="print"/>
          <a:stretch>
            <a:fillRect/>
          </a:stretch>
        </xdr:blipFill>
        <xdr:spPr>
          <a:xfrm>
            <a:off x="444500" y="393700"/>
            <a:ext cx="168776"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sp macro="[0]!k" textlink="">
        <xdr:nvSpPr>
          <xdr:cNvPr id="7" name="ui_nav_sec_1">
            <a:extLst>
              <a:ext uri="{FF2B5EF4-FFF2-40B4-BE49-F238E27FC236}">
                <a16:creationId xmlns:a16="http://schemas.microsoft.com/office/drawing/2014/main" id="{00000000-0008-0000-2300-000007000000}"/>
              </a:ext>
            </a:extLst>
          </xdr:cNvPr>
          <xdr:cNvSpPr txBox="1"/>
        </xdr:nvSpPr>
        <xdr:spPr>
          <a:xfrm>
            <a:off x="740270" y="304800"/>
            <a:ext cx="926262" cy="304800"/>
          </a:xfrm>
          <a:prstGeom prst="rect">
            <a:avLst/>
          </a:prstGeom>
          <a:solidFill>
            <a:srgbClr xmlns:mc="http://schemas.openxmlformats.org/markup-compatibility/2006" xmlns:a14="http://schemas.microsoft.com/office/drawing/2010/main" val="E3E3E3" mc:Ignorable="a14" a14:legacySpreadsheetColorIndex="13"/>
          </a:solidFill>
          <a:ln w="19050" cmpd="sng">
            <a:solidFill>
              <a:srgbClr xmlns:mc="http://schemas.openxmlformats.org/markup-compatibility/2006" xmlns:a14="http://schemas.microsoft.com/office/drawing/2010/main" val="D2D2D2" mc:Ignorable="a14" a14:legacySpreadsheetColorIndex="14"/>
            </a:solidFill>
          </a:ln>
        </xdr:spPr>
        <xdr:style>
          <a:lnRef idx="0">
            <a:scrgbClr r="0" g="0" b="0"/>
          </a:lnRef>
          <a:fillRef idx="0">
            <a:scrgbClr r="0" g="0" b="0"/>
          </a:fillRef>
          <a:effectRef idx="0">
            <a:scrgbClr r="0" g="0" b="0"/>
          </a:effectRef>
          <a:fontRef idx="minor">
            <a:schemeClr val="dk1"/>
          </a:fontRef>
        </xdr:style>
        <xdr:txBody>
          <a:bodyPr vertOverflow="clip" wrap="square" lIns="0" rIns="0" bIns="72000" rtlCol="0" anchor="ctr" anchorCtr="0"/>
          <a:lstStyle/>
          <a:p>
            <a:pPr algn="ctr"/>
            <a:r>
              <a:rPr lang="en-GB" sz="900" b="1">
                <a:solidFill>
                  <a:srgbClr xmlns:mc="http://schemas.openxmlformats.org/markup-compatibility/2006" xmlns:a14="http://schemas.microsoft.com/office/drawing/2010/main" val="005E9E" mc:Ignorable="a14" a14:legacySpreadsheetColorIndex="15"/>
                </a:solidFill>
              </a:rPr>
              <a:t>CITY HEARTBEAT</a:t>
            </a:r>
          </a:p>
        </xdr:txBody>
      </xdr:sp>
      <xdr:cxnSp macro="">
        <xdr:nvCxnSpPr>
          <xdr:cNvPr id="8" name="ui_line_sec_active">
            <a:extLst>
              <a:ext uri="{FF2B5EF4-FFF2-40B4-BE49-F238E27FC236}">
                <a16:creationId xmlns:a16="http://schemas.microsoft.com/office/drawing/2014/main" id="{00000000-0008-0000-2300-000008000000}"/>
              </a:ext>
            </a:extLst>
          </xdr:cNvPr>
          <xdr:cNvCxnSpPr/>
        </xdr:nvCxnSpPr>
        <xdr:spPr>
          <a:xfrm>
            <a:off x="740270" y="609600"/>
            <a:ext cx="926262" cy="0"/>
          </a:xfrm>
          <a:prstGeom prst="line">
            <a:avLst/>
          </a:prstGeom>
          <a:ln w="28575">
            <a:solidFill>
              <a:srgbClr xmlns:mc="http://schemas.openxmlformats.org/markup-compatibility/2006" xmlns:a14="http://schemas.microsoft.com/office/drawing/2010/main" val="E3E3E3" mc:Ignorable="a14" a14:legacySpreadsheetColorIndex="13"/>
            </a:solidFill>
          </a:ln>
        </xdr:spPr>
        <xdr:style>
          <a:lnRef idx="1">
            <a:schemeClr val="accent1"/>
          </a:lnRef>
          <a:fillRef idx="0">
            <a:schemeClr val="accent1"/>
          </a:fillRef>
          <a:effectRef idx="0">
            <a:schemeClr val="accent1"/>
          </a:effectRef>
          <a:fontRef idx="minor">
            <a:schemeClr val="tx1"/>
          </a:fontRef>
        </xdr:style>
      </xdr:cxnSp>
      <xdr:sp macro="" textlink="">
        <xdr:nvSpPr>
          <xdr:cNvPr id="9" name="ui_line_sec_divider1">
            <a:extLst>
              <a:ext uri="{FF2B5EF4-FFF2-40B4-BE49-F238E27FC236}">
                <a16:creationId xmlns:a16="http://schemas.microsoft.com/office/drawing/2014/main" id="{00000000-0008-0000-2300-000009000000}"/>
              </a:ext>
            </a:extLst>
          </xdr:cNvPr>
          <xdr:cNvSpPr txBox="1"/>
        </xdr:nvSpPr>
        <xdr:spPr>
          <a:xfrm>
            <a:off x="1666532" y="304800"/>
            <a:ext cx="1778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9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12" name="ui_nav_page_1_0">
            <a:extLst>
              <a:ext uri="{FF2B5EF4-FFF2-40B4-BE49-F238E27FC236}">
                <a16:creationId xmlns:a16="http://schemas.microsoft.com/office/drawing/2014/main" id="{00000000-0008-0000-2300-00000C000000}"/>
              </a:ext>
            </a:extLst>
          </xdr:cNvPr>
          <xdr:cNvSpPr txBox="1"/>
        </xdr:nvSpPr>
        <xdr:spPr>
          <a:xfrm>
            <a:off x="794372" y="622300"/>
            <a:ext cx="715785"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OVERVIEW</a:t>
            </a:r>
          </a:p>
        </xdr:txBody>
      </xdr:sp>
      <xdr:sp macro="" textlink="">
        <xdr:nvSpPr>
          <xdr:cNvPr id="13" name="ui_line_page_divider1">
            <a:extLst>
              <a:ext uri="{FF2B5EF4-FFF2-40B4-BE49-F238E27FC236}">
                <a16:creationId xmlns:a16="http://schemas.microsoft.com/office/drawing/2014/main" id="{00000000-0008-0000-2300-00000D000000}"/>
              </a:ext>
            </a:extLst>
          </xdr:cNvPr>
          <xdr:cNvSpPr txBox="1"/>
        </xdr:nvSpPr>
        <xdr:spPr>
          <a:xfrm>
            <a:off x="151015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14" name="ui_nav_page_1_1">
            <a:extLst>
              <a:ext uri="{FF2B5EF4-FFF2-40B4-BE49-F238E27FC236}">
                <a16:creationId xmlns:a16="http://schemas.microsoft.com/office/drawing/2014/main" id="{00000000-0008-0000-2300-00000E000000}"/>
              </a:ext>
            </a:extLst>
          </xdr:cNvPr>
          <xdr:cNvSpPr txBox="1"/>
        </xdr:nvSpPr>
        <xdr:spPr>
          <a:xfrm>
            <a:off x="1687957" y="622300"/>
            <a:ext cx="68728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RANKINGS</a:t>
            </a:r>
          </a:p>
        </xdr:txBody>
      </xdr:sp>
      <xdr:sp macro="" textlink="">
        <xdr:nvSpPr>
          <xdr:cNvPr id="15" name="ui_line_page_divider2">
            <a:extLst>
              <a:ext uri="{FF2B5EF4-FFF2-40B4-BE49-F238E27FC236}">
                <a16:creationId xmlns:a16="http://schemas.microsoft.com/office/drawing/2014/main" id="{00000000-0008-0000-2300-00000F000000}"/>
              </a:ext>
            </a:extLst>
          </xdr:cNvPr>
          <xdr:cNvSpPr txBox="1"/>
        </xdr:nvSpPr>
        <xdr:spPr>
          <a:xfrm>
            <a:off x="2375243"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16" name="ui_nav_page_1_2">
            <a:extLst>
              <a:ext uri="{FF2B5EF4-FFF2-40B4-BE49-F238E27FC236}">
                <a16:creationId xmlns:a16="http://schemas.microsoft.com/office/drawing/2014/main" id="{00000000-0008-0000-2300-000010000000}"/>
              </a:ext>
            </a:extLst>
          </xdr:cNvPr>
          <xdr:cNvSpPr txBox="1"/>
        </xdr:nvSpPr>
        <xdr:spPr>
          <a:xfrm>
            <a:off x="2553043" y="622300"/>
            <a:ext cx="995591"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SNAPSHOTS</a:t>
            </a:r>
          </a:p>
        </xdr:txBody>
      </xdr:sp>
      <xdr:sp macro="" textlink="">
        <xdr:nvSpPr>
          <xdr:cNvPr id="17" name="ui_line_page_divider3">
            <a:extLst>
              <a:ext uri="{FF2B5EF4-FFF2-40B4-BE49-F238E27FC236}">
                <a16:creationId xmlns:a16="http://schemas.microsoft.com/office/drawing/2014/main" id="{00000000-0008-0000-2300-000011000000}"/>
              </a:ext>
            </a:extLst>
          </xdr:cNvPr>
          <xdr:cNvSpPr txBox="1"/>
        </xdr:nvSpPr>
        <xdr:spPr>
          <a:xfrm>
            <a:off x="3548634"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18" name="ui_nav_page_1_3">
            <a:extLst>
              <a:ext uri="{FF2B5EF4-FFF2-40B4-BE49-F238E27FC236}">
                <a16:creationId xmlns:a16="http://schemas.microsoft.com/office/drawing/2014/main" id="{00000000-0008-0000-2300-000012000000}"/>
              </a:ext>
            </a:extLst>
          </xdr:cNvPr>
          <xdr:cNvSpPr txBox="1"/>
        </xdr:nvSpPr>
        <xdr:spPr>
          <a:xfrm>
            <a:off x="3726434" y="622300"/>
            <a:ext cx="864108"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PROFILES</a:t>
            </a:r>
          </a:p>
        </xdr:txBody>
      </xdr:sp>
      <xdr:sp macro="" textlink="">
        <xdr:nvSpPr>
          <xdr:cNvPr id="19" name="ui_line_page_divider4">
            <a:extLst>
              <a:ext uri="{FF2B5EF4-FFF2-40B4-BE49-F238E27FC236}">
                <a16:creationId xmlns:a16="http://schemas.microsoft.com/office/drawing/2014/main" id="{00000000-0008-0000-2300-000013000000}"/>
              </a:ext>
            </a:extLst>
          </xdr:cNvPr>
          <xdr:cNvSpPr txBox="1"/>
        </xdr:nvSpPr>
        <xdr:spPr>
          <a:xfrm>
            <a:off x="4590542"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0" name="ui_nav_page_1_4">
            <a:extLst>
              <a:ext uri="{FF2B5EF4-FFF2-40B4-BE49-F238E27FC236}">
                <a16:creationId xmlns:a16="http://schemas.microsoft.com/office/drawing/2014/main" id="{00000000-0008-0000-2300-000014000000}"/>
              </a:ext>
            </a:extLst>
          </xdr:cNvPr>
          <xdr:cNvSpPr txBox="1"/>
        </xdr:nvSpPr>
        <xdr:spPr>
          <a:xfrm>
            <a:off x="4768342" y="622300"/>
            <a:ext cx="755942"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DETAIL</a:t>
            </a:r>
          </a:p>
        </xdr:txBody>
      </xdr:sp>
      <xdr:sp macro="" textlink="">
        <xdr:nvSpPr>
          <xdr:cNvPr id="21" name="ui_line_page_divider5">
            <a:extLst>
              <a:ext uri="{FF2B5EF4-FFF2-40B4-BE49-F238E27FC236}">
                <a16:creationId xmlns:a16="http://schemas.microsoft.com/office/drawing/2014/main" id="{00000000-0008-0000-2300-000015000000}"/>
              </a:ext>
            </a:extLst>
          </xdr:cNvPr>
          <xdr:cNvSpPr txBox="1"/>
        </xdr:nvSpPr>
        <xdr:spPr>
          <a:xfrm>
            <a:off x="5524284"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2" name="ui_nav_page_1_5">
            <a:extLst>
              <a:ext uri="{FF2B5EF4-FFF2-40B4-BE49-F238E27FC236}">
                <a16:creationId xmlns:a16="http://schemas.microsoft.com/office/drawing/2014/main" id="{00000000-0008-0000-2300-000016000000}"/>
              </a:ext>
            </a:extLst>
          </xdr:cNvPr>
          <xdr:cNvSpPr txBox="1"/>
        </xdr:nvSpPr>
        <xdr:spPr>
          <a:xfrm>
            <a:off x="5702084" y="622300"/>
            <a:ext cx="995591"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COMPARE CITIES</a:t>
            </a:r>
          </a:p>
        </xdr:txBody>
      </xdr:sp>
      <xdr:sp macro="" textlink="">
        <xdr:nvSpPr>
          <xdr:cNvPr id="23" name="ui_line_page_divider6">
            <a:extLst>
              <a:ext uri="{FF2B5EF4-FFF2-40B4-BE49-F238E27FC236}">
                <a16:creationId xmlns:a16="http://schemas.microsoft.com/office/drawing/2014/main" id="{00000000-0008-0000-2300-000017000000}"/>
              </a:ext>
            </a:extLst>
          </xdr:cNvPr>
          <xdr:cNvSpPr txBox="1"/>
        </xdr:nvSpPr>
        <xdr:spPr>
          <a:xfrm>
            <a:off x="6697675"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4" name="ui_nav_page_1_6">
            <a:extLst>
              <a:ext uri="{FF2B5EF4-FFF2-40B4-BE49-F238E27FC236}">
                <a16:creationId xmlns:a16="http://schemas.microsoft.com/office/drawing/2014/main" id="{00000000-0008-0000-2300-000018000000}"/>
              </a:ext>
            </a:extLst>
          </xdr:cNvPr>
          <xdr:cNvSpPr txBox="1"/>
        </xdr:nvSpPr>
        <xdr:spPr>
          <a:xfrm>
            <a:off x="6875475" y="622300"/>
            <a:ext cx="89843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ALL MEASURES</a:t>
            </a:r>
          </a:p>
        </xdr:txBody>
      </xdr:sp>
      <xdr:sp macro="" textlink="">
        <xdr:nvSpPr>
          <xdr:cNvPr id="25" name="ui_line_page_divider7">
            <a:extLst>
              <a:ext uri="{FF2B5EF4-FFF2-40B4-BE49-F238E27FC236}">
                <a16:creationId xmlns:a16="http://schemas.microsoft.com/office/drawing/2014/main" id="{00000000-0008-0000-2300-000019000000}"/>
              </a:ext>
            </a:extLst>
          </xdr:cNvPr>
          <xdr:cNvSpPr txBox="1"/>
        </xdr:nvSpPr>
        <xdr:spPr>
          <a:xfrm>
            <a:off x="7773912"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 textlink="">
        <xdr:nvSpPr>
          <xdr:cNvPr id="28" name="ui_line_page_divider8">
            <a:extLst>
              <a:ext uri="{FF2B5EF4-FFF2-40B4-BE49-F238E27FC236}">
                <a16:creationId xmlns:a16="http://schemas.microsoft.com/office/drawing/2014/main" id="{00000000-0008-0000-2300-00001C000000}"/>
              </a:ext>
            </a:extLst>
          </xdr:cNvPr>
          <xdr:cNvSpPr txBox="1"/>
        </xdr:nvSpPr>
        <xdr:spPr>
          <a:xfrm>
            <a:off x="883330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29" name="ui_nav_page_1_8">
            <a:extLst>
              <a:ext uri="{FF2B5EF4-FFF2-40B4-BE49-F238E27FC236}">
                <a16:creationId xmlns:a16="http://schemas.microsoft.com/office/drawing/2014/main" id="{00000000-0008-0000-2300-00001D000000}"/>
              </a:ext>
            </a:extLst>
          </xdr:cNvPr>
          <xdr:cNvSpPr txBox="1"/>
        </xdr:nvSpPr>
        <xdr:spPr>
          <a:xfrm>
            <a:off x="9011107" y="622300"/>
            <a:ext cx="635470"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WEIGHTS</a:t>
            </a:r>
          </a:p>
        </xdr:txBody>
      </xdr:sp>
      <xdr:sp macro="" textlink="">
        <xdr:nvSpPr>
          <xdr:cNvPr id="30" name="ui_line_page_divider9">
            <a:extLst>
              <a:ext uri="{FF2B5EF4-FFF2-40B4-BE49-F238E27FC236}">
                <a16:creationId xmlns:a16="http://schemas.microsoft.com/office/drawing/2014/main" id="{00000000-0008-0000-2300-00001E000000}"/>
              </a:ext>
            </a:extLst>
          </xdr:cNvPr>
          <xdr:cNvSpPr txBox="1"/>
        </xdr:nvSpPr>
        <xdr:spPr>
          <a:xfrm>
            <a:off x="964657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31" name="ui_nav_page_1_9">
            <a:extLst>
              <a:ext uri="{FF2B5EF4-FFF2-40B4-BE49-F238E27FC236}">
                <a16:creationId xmlns:a16="http://schemas.microsoft.com/office/drawing/2014/main" id="{00000000-0008-0000-2300-00001F000000}"/>
              </a:ext>
            </a:extLst>
          </xdr:cNvPr>
          <xdr:cNvSpPr txBox="1"/>
        </xdr:nvSpPr>
        <xdr:spPr>
          <a:xfrm>
            <a:off x="9824377" y="622300"/>
            <a:ext cx="458648"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DATA</a:t>
            </a:r>
          </a:p>
        </xdr:txBody>
      </xdr:sp>
      <xdr:sp macro="" textlink="">
        <xdr:nvSpPr>
          <xdr:cNvPr id="32" name="ui_line_page_divider10">
            <a:extLst>
              <a:ext uri="{FF2B5EF4-FFF2-40B4-BE49-F238E27FC236}">
                <a16:creationId xmlns:a16="http://schemas.microsoft.com/office/drawing/2014/main" id="{00000000-0008-0000-2300-000020000000}"/>
              </a:ext>
            </a:extLst>
          </xdr:cNvPr>
          <xdr:cNvSpPr txBox="1"/>
        </xdr:nvSpPr>
        <xdr:spPr>
          <a:xfrm>
            <a:off x="10283025"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33" name="ui_nav_page_1_10">
            <a:extLst>
              <a:ext uri="{FF2B5EF4-FFF2-40B4-BE49-F238E27FC236}">
                <a16:creationId xmlns:a16="http://schemas.microsoft.com/office/drawing/2014/main" id="{00000000-0008-0000-2300-000021000000}"/>
              </a:ext>
            </a:extLst>
          </xdr:cNvPr>
          <xdr:cNvSpPr txBox="1"/>
        </xdr:nvSpPr>
        <xdr:spPr>
          <a:xfrm>
            <a:off x="10460825" y="622300"/>
            <a:ext cx="555803"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SCORES</a:t>
            </a:r>
          </a:p>
        </xdr:txBody>
      </xdr:sp>
      <xdr:sp macro="" textlink="">
        <xdr:nvSpPr>
          <xdr:cNvPr id="34" name="ui_line_page_divider11">
            <a:extLst>
              <a:ext uri="{FF2B5EF4-FFF2-40B4-BE49-F238E27FC236}">
                <a16:creationId xmlns:a16="http://schemas.microsoft.com/office/drawing/2014/main" id="{00000000-0008-0000-2300-000022000000}"/>
              </a:ext>
            </a:extLst>
          </xdr:cNvPr>
          <xdr:cNvSpPr txBox="1"/>
        </xdr:nvSpPr>
        <xdr:spPr>
          <a:xfrm>
            <a:off x="11016628"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26" name="ui_nav_page_1_7">
            <a:extLst>
              <a:ext uri="{FF2B5EF4-FFF2-40B4-BE49-F238E27FC236}">
                <a16:creationId xmlns:a16="http://schemas.microsoft.com/office/drawing/2014/main" id="{00000000-0008-0000-2300-00001A000000}"/>
              </a:ext>
            </a:extLst>
          </xdr:cNvPr>
          <xdr:cNvSpPr txBox="1"/>
        </xdr:nvSpPr>
        <xdr:spPr>
          <a:xfrm>
            <a:off x="7951712" y="647700"/>
            <a:ext cx="881596" cy="288468"/>
          </a:xfrm>
          <a:prstGeom prst="rect">
            <a:avLst/>
          </a:prstGeom>
          <a:solidFill>
            <a:srgbClr xmlns:mc="http://schemas.openxmlformats.org/markup-compatibility/2006" xmlns:a14="http://schemas.microsoft.com/office/drawing/2010/main" val="F2F2F2" mc:Ignorable="a14" a14:legacySpreadsheetColorIndex="17"/>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005E9E" mc:Ignorable="a14" a14:legacySpreadsheetColorIndex="15"/>
                </a:solidFill>
              </a:rPr>
              <a:t>SCATTER PLOT</a:t>
            </a:r>
          </a:p>
        </xdr:txBody>
      </xdr:sp>
      <xdr:cxnSp macro="">
        <xdr:nvCxnSpPr>
          <xdr:cNvPr id="27" name="ui_line_page_active">
            <a:extLst>
              <a:ext uri="{FF2B5EF4-FFF2-40B4-BE49-F238E27FC236}">
                <a16:creationId xmlns:a16="http://schemas.microsoft.com/office/drawing/2014/main" id="{00000000-0008-0000-2300-00001B000000}"/>
              </a:ext>
            </a:extLst>
          </xdr:cNvPr>
          <xdr:cNvCxnSpPr/>
        </xdr:nvCxnSpPr>
        <xdr:spPr>
          <a:xfrm>
            <a:off x="7951712" y="936168"/>
            <a:ext cx="881596" cy="0"/>
          </a:xfrm>
          <a:prstGeom prst="line">
            <a:avLst/>
          </a:prstGeom>
          <a:ln w="28575">
            <a:solidFill>
              <a:srgbClr xmlns:mc="http://schemas.openxmlformats.org/markup-compatibility/2006" xmlns:a14="http://schemas.microsoft.com/office/drawing/2010/main" val="F2F2F2" mc:Ignorable="a14" a14:legacySpreadsheetColorIndex="17"/>
            </a:solidFill>
          </a:ln>
        </xdr:spPr>
        <xdr:style>
          <a:lnRef idx="1">
            <a:schemeClr val="accent1"/>
          </a:lnRef>
          <a:fillRef idx="0">
            <a:schemeClr val="accent1"/>
          </a:fillRef>
          <a:effectRef idx="0">
            <a:schemeClr val="accent1"/>
          </a:effectRef>
          <a:fontRef idx="minor">
            <a:schemeClr val="tx1"/>
          </a:fontRef>
        </xdr:style>
      </xdr:cxnSp>
      <xdr:sp macro="" textlink="">
        <xdr:nvSpPr>
          <xdr:cNvPr id="37" name="ui_lbl_cnt_SeriesScatterX">
            <a:extLst>
              <a:ext uri="{FF2B5EF4-FFF2-40B4-BE49-F238E27FC236}">
                <a16:creationId xmlns:a16="http://schemas.microsoft.com/office/drawing/2014/main" id="{00000000-0008-0000-2300-000025000000}"/>
              </a:ext>
            </a:extLst>
          </xdr:cNvPr>
          <xdr:cNvSpPr txBox="1"/>
        </xdr:nvSpPr>
        <xdr:spPr>
          <a:xfrm>
            <a:off x="127000" y="986968"/>
            <a:ext cx="960742"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X-AXIS INDICATOR</a:t>
            </a:r>
          </a:p>
        </xdr:txBody>
      </xdr:sp>
      <xdr:sp macro="" textlink="">
        <xdr:nvSpPr>
          <xdr:cNvPr id="40" name="ui_lbl_cnt_SeriesScatterY">
            <a:extLst>
              <a:ext uri="{FF2B5EF4-FFF2-40B4-BE49-F238E27FC236}">
                <a16:creationId xmlns:a16="http://schemas.microsoft.com/office/drawing/2014/main" id="{00000000-0008-0000-2300-000028000000}"/>
              </a:ext>
            </a:extLst>
          </xdr:cNvPr>
          <xdr:cNvSpPr txBox="1"/>
        </xdr:nvSpPr>
        <xdr:spPr>
          <a:xfrm>
            <a:off x="3325584" y="986968"/>
            <a:ext cx="955612"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Y-AXIS INDICATOR</a:t>
            </a:r>
          </a:p>
        </xdr:txBody>
      </xdr:sp>
      <xdr:sp macro="" textlink="">
        <xdr:nvSpPr>
          <xdr:cNvPr id="43" name="ui_lbl_cnt_Scatter_Data_Option">
            <a:extLst>
              <a:ext uri="{FF2B5EF4-FFF2-40B4-BE49-F238E27FC236}">
                <a16:creationId xmlns:a16="http://schemas.microsoft.com/office/drawing/2014/main" id="{00000000-0008-0000-2300-00002B000000}"/>
              </a:ext>
            </a:extLst>
          </xdr:cNvPr>
          <xdr:cNvSpPr txBox="1"/>
        </xdr:nvSpPr>
        <xdr:spPr>
          <a:xfrm>
            <a:off x="6524168" y="986968"/>
            <a:ext cx="808101"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SELECT METRIC</a:t>
            </a:r>
          </a:p>
        </xdr:txBody>
      </xdr:sp>
      <xdr:sp macro="" textlink="">
        <xdr:nvSpPr>
          <xdr:cNvPr id="46" name="ui_lbl_cnt_GroupHighlight">
            <a:extLst>
              <a:ext uri="{FF2B5EF4-FFF2-40B4-BE49-F238E27FC236}">
                <a16:creationId xmlns:a16="http://schemas.microsoft.com/office/drawing/2014/main" id="{00000000-0008-0000-2300-00002E000000}"/>
              </a:ext>
            </a:extLst>
          </xdr:cNvPr>
          <xdr:cNvSpPr txBox="1"/>
        </xdr:nvSpPr>
        <xdr:spPr>
          <a:xfrm>
            <a:off x="8492668" y="986968"/>
            <a:ext cx="1012050"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GROUP HIGHLIGHT</a:t>
            </a:r>
          </a:p>
        </xdr:txBody>
      </xdr:sp>
      <xdr:sp macro="" textlink="">
        <xdr:nvSpPr>
          <xdr:cNvPr id="47" name="ui_lbl_cnt_CountryFltHighlight">
            <a:extLst>
              <a:ext uri="{FF2B5EF4-FFF2-40B4-BE49-F238E27FC236}">
                <a16:creationId xmlns:a16="http://schemas.microsoft.com/office/drawing/2014/main" id="{00000000-0008-0000-2300-00002F000000}"/>
              </a:ext>
            </a:extLst>
          </xdr:cNvPr>
          <xdr:cNvSpPr txBox="1"/>
        </xdr:nvSpPr>
        <xdr:spPr>
          <a:xfrm>
            <a:off x="9964051" y="986968"/>
            <a:ext cx="847865"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CITY HIGHLIGHT</a:t>
            </a:r>
          </a:p>
        </xdr:txBody>
      </xdr:sp>
      <mc:AlternateContent xmlns:mc="http://schemas.openxmlformats.org/markup-compatibility/2006">
        <mc:Choice xmlns:a14="http://schemas.microsoft.com/office/drawing/2010/main" Requires="a14">
          <xdr:sp macro="" textlink="">
            <xdr:nvSpPr>
              <xdr:cNvPr id="6823264" name="ui_cnt_SeriesScatterX" hidden="1">
                <a:extLst>
                  <a:ext uri="{63B3BB69-23CF-44E3-9099-C40C66FF867C}">
                    <a14:compatExt spid="_x0000_s6823264"/>
                  </a:ext>
                  <a:ext uri="{FF2B5EF4-FFF2-40B4-BE49-F238E27FC236}">
                    <a16:creationId xmlns:a16="http://schemas.microsoft.com/office/drawing/2014/main" id="{00000000-0008-0000-2300-0000601D6800}"/>
                  </a:ext>
                </a:extLst>
              </xdr:cNvPr>
              <xdr:cNvSpPr/>
            </xdr:nvSpPr>
            <xdr:spPr bwMode="auto">
              <a:xfrm>
                <a:off x="127000" y="1177468"/>
                <a:ext cx="2792185" cy="212271"/>
              </a:xfrm>
              <a:prstGeom prst="rect">
                <a:avLst/>
              </a:prstGeom>
              <a:noFill/>
              <a:ln w="9525">
                <a:miter lim="800000"/>
                <a:headEnd/>
                <a:tailEnd/>
              </a:ln>
              <a:extLst>
                <a:ext uri="{909E8E84-426E-40DD-AFC4-6F175D3DCCD1}">
                  <a14:hiddenFill>
                    <a:noFill/>
                  </a14:hiddenFill>
                </a:ext>
              </a:extLst>
            </xdr:spPr>
          </xdr:sp>
        </mc:Choice>
        <mc:Fallback/>
      </mc:AlternateContent>
      <xdr:pic macro="[0]!k">
        <xdr:nvPicPr>
          <xdr:cNvPr id="38" name="ui_spu_SeriesScatterX" descr="scroll_up_small.png">
            <a:extLst>
              <a:ext uri="{FF2B5EF4-FFF2-40B4-BE49-F238E27FC236}">
                <a16:creationId xmlns:a16="http://schemas.microsoft.com/office/drawing/2014/main" id="{00000000-0008-0000-2300-000026000000}"/>
              </a:ext>
            </a:extLst>
          </xdr:cNvPr>
          <xdr:cNvPicPr>
            <a:picLocks noChangeAspect="1"/>
          </xdr:cNvPicPr>
        </xdr:nvPicPr>
        <xdr:blipFill>
          <a:blip xmlns:r="http://schemas.openxmlformats.org/officeDocument/2006/relationships" r:embed="rId7" cstate="print"/>
          <a:stretch>
            <a:fillRect/>
          </a:stretch>
        </xdr:blipFill>
        <xdr:spPr>
          <a:xfrm>
            <a:off x="2944584" y="1177468"/>
            <a:ext cx="228615" cy="77699"/>
          </a:xfrm>
          <a:prstGeom prst="rect">
            <a:avLst/>
          </a:prstGeom>
        </xdr:spPr>
      </xdr:pic>
      <xdr:pic macro="[0]!k">
        <xdr:nvPicPr>
          <xdr:cNvPr id="39" name="ui_spd_SeriesScatterX" descr="scroll_down_small.png">
            <a:extLst>
              <a:ext uri="{FF2B5EF4-FFF2-40B4-BE49-F238E27FC236}">
                <a16:creationId xmlns:a16="http://schemas.microsoft.com/office/drawing/2014/main" id="{00000000-0008-0000-2300-000027000000}"/>
              </a:ext>
            </a:extLst>
          </xdr:cNvPr>
          <xdr:cNvPicPr>
            <a:picLocks noChangeAspect="1"/>
          </xdr:cNvPicPr>
        </xdr:nvPicPr>
        <xdr:blipFill>
          <a:blip xmlns:r="http://schemas.openxmlformats.org/officeDocument/2006/relationships" r:embed="rId8" cstate="print"/>
          <a:stretch>
            <a:fillRect/>
          </a:stretch>
        </xdr:blipFill>
        <xdr:spPr>
          <a:xfrm>
            <a:off x="2944584" y="1282458"/>
            <a:ext cx="228604" cy="56388"/>
          </a:xfrm>
          <a:prstGeom prst="rect">
            <a:avLst/>
          </a:prstGeom>
        </xdr:spPr>
      </xdr:pic>
      <mc:AlternateContent xmlns:mc="http://schemas.openxmlformats.org/markup-compatibility/2006">
        <mc:Choice xmlns:a14="http://schemas.microsoft.com/office/drawing/2010/main" Requires="a14">
          <xdr:sp macro="" textlink="">
            <xdr:nvSpPr>
              <xdr:cNvPr id="6823266" name="ui_cnt_SeriesScatterY" hidden="1">
                <a:extLst>
                  <a:ext uri="{63B3BB69-23CF-44E3-9099-C40C66FF867C}">
                    <a14:compatExt spid="_x0000_s6823266"/>
                  </a:ext>
                  <a:ext uri="{FF2B5EF4-FFF2-40B4-BE49-F238E27FC236}">
                    <a16:creationId xmlns:a16="http://schemas.microsoft.com/office/drawing/2014/main" id="{00000000-0008-0000-2300-0000621D6800}"/>
                  </a:ext>
                </a:extLst>
              </xdr:cNvPr>
              <xdr:cNvSpPr/>
            </xdr:nvSpPr>
            <xdr:spPr bwMode="auto">
              <a:xfrm>
                <a:off x="3325584" y="1177468"/>
                <a:ext cx="2792185" cy="212272"/>
              </a:xfrm>
              <a:prstGeom prst="rect">
                <a:avLst/>
              </a:prstGeom>
              <a:noFill/>
              <a:ln w="9525">
                <a:miter lim="800000"/>
                <a:headEnd/>
                <a:tailEnd/>
              </a:ln>
              <a:extLst>
                <a:ext uri="{909E8E84-426E-40DD-AFC4-6F175D3DCCD1}">
                  <a14:hiddenFill>
                    <a:noFill/>
                  </a14:hiddenFill>
                </a:ext>
              </a:extLst>
            </xdr:spPr>
          </xdr:sp>
        </mc:Choice>
        <mc:Fallback/>
      </mc:AlternateContent>
      <xdr:pic macro="[0]!k">
        <xdr:nvPicPr>
          <xdr:cNvPr id="41" name="ui_spu_SeriesScatterY" descr="scroll_up_small.png">
            <a:extLst>
              <a:ext uri="{FF2B5EF4-FFF2-40B4-BE49-F238E27FC236}">
                <a16:creationId xmlns:a16="http://schemas.microsoft.com/office/drawing/2014/main" id="{00000000-0008-0000-2300-000029000000}"/>
              </a:ext>
            </a:extLst>
          </xdr:cNvPr>
          <xdr:cNvPicPr>
            <a:picLocks noChangeAspect="1"/>
          </xdr:cNvPicPr>
        </xdr:nvPicPr>
        <xdr:blipFill>
          <a:blip xmlns:r="http://schemas.openxmlformats.org/officeDocument/2006/relationships" r:embed="rId7" cstate="print"/>
          <a:stretch>
            <a:fillRect/>
          </a:stretch>
        </xdr:blipFill>
        <xdr:spPr>
          <a:xfrm>
            <a:off x="6143168" y="1177468"/>
            <a:ext cx="228615" cy="77699"/>
          </a:xfrm>
          <a:prstGeom prst="rect">
            <a:avLst/>
          </a:prstGeom>
        </xdr:spPr>
      </xdr:pic>
      <xdr:pic macro="[0]!k">
        <xdr:nvPicPr>
          <xdr:cNvPr id="42" name="ui_spd_SeriesScatterY" descr="scroll_down_small.png">
            <a:extLst>
              <a:ext uri="{FF2B5EF4-FFF2-40B4-BE49-F238E27FC236}">
                <a16:creationId xmlns:a16="http://schemas.microsoft.com/office/drawing/2014/main" id="{00000000-0008-0000-2300-00002A000000}"/>
              </a:ext>
            </a:extLst>
          </xdr:cNvPr>
          <xdr:cNvPicPr>
            <a:picLocks noChangeAspect="1"/>
          </xdr:cNvPicPr>
        </xdr:nvPicPr>
        <xdr:blipFill>
          <a:blip xmlns:r="http://schemas.openxmlformats.org/officeDocument/2006/relationships" r:embed="rId8" cstate="print"/>
          <a:stretch>
            <a:fillRect/>
          </a:stretch>
        </xdr:blipFill>
        <xdr:spPr>
          <a:xfrm>
            <a:off x="6143168" y="1282458"/>
            <a:ext cx="228604" cy="56388"/>
          </a:xfrm>
          <a:prstGeom prst="rect">
            <a:avLst/>
          </a:prstGeom>
        </xdr:spPr>
      </xdr:pic>
      <mc:AlternateContent xmlns:mc="http://schemas.openxmlformats.org/markup-compatibility/2006">
        <mc:Choice xmlns:a14="http://schemas.microsoft.com/office/drawing/2010/main" Requires="a14">
          <xdr:sp macro="" textlink="">
            <xdr:nvSpPr>
              <xdr:cNvPr id="6823268" name="ui_cnt_Scatter_Data_Option" hidden="1">
                <a:extLst>
                  <a:ext uri="{63B3BB69-23CF-44E3-9099-C40C66FF867C}">
                    <a14:compatExt spid="_x0000_s6823268"/>
                  </a:ext>
                  <a:ext uri="{FF2B5EF4-FFF2-40B4-BE49-F238E27FC236}">
                    <a16:creationId xmlns:a16="http://schemas.microsoft.com/office/drawing/2014/main" id="{00000000-0008-0000-2300-0000641D6800}"/>
                  </a:ext>
                </a:extLst>
              </xdr:cNvPr>
              <xdr:cNvSpPr/>
            </xdr:nvSpPr>
            <xdr:spPr bwMode="auto">
              <a:xfrm>
                <a:off x="6524168" y="1177468"/>
                <a:ext cx="1562100" cy="212271"/>
              </a:xfrm>
              <a:prstGeom prst="rect">
                <a:avLst/>
              </a:prstGeom>
              <a:noFill/>
              <a:ln w="9525">
                <a:miter lim="800000"/>
                <a:headEnd/>
                <a:tailEnd/>
              </a:ln>
              <a:extLst>
                <a:ext uri="{909E8E84-426E-40DD-AFC4-6F175D3DCCD1}">
                  <a14:hiddenFill>
                    <a:noFill/>
                  </a14:hiddenFill>
                </a:ext>
              </a:extLst>
            </xdr:spPr>
          </xdr:sp>
        </mc:Choice>
        <mc:Fallback/>
      </mc:AlternateContent>
      <xdr:pic macro="[0]!k">
        <xdr:nvPicPr>
          <xdr:cNvPr id="44" name="ui_spu_Scatter_Data_Option" descr="scroll_up_small.png">
            <a:extLst>
              <a:ext uri="{FF2B5EF4-FFF2-40B4-BE49-F238E27FC236}">
                <a16:creationId xmlns:a16="http://schemas.microsoft.com/office/drawing/2014/main" id="{00000000-0008-0000-2300-00002C000000}"/>
              </a:ext>
            </a:extLst>
          </xdr:cNvPr>
          <xdr:cNvPicPr>
            <a:picLocks noChangeAspect="1"/>
          </xdr:cNvPicPr>
        </xdr:nvPicPr>
        <xdr:blipFill>
          <a:blip xmlns:r="http://schemas.openxmlformats.org/officeDocument/2006/relationships" r:embed="rId7" cstate="print"/>
          <a:stretch>
            <a:fillRect/>
          </a:stretch>
        </xdr:blipFill>
        <xdr:spPr>
          <a:xfrm>
            <a:off x="8111668" y="1177468"/>
            <a:ext cx="228615" cy="77699"/>
          </a:xfrm>
          <a:prstGeom prst="rect">
            <a:avLst/>
          </a:prstGeom>
        </xdr:spPr>
      </xdr:pic>
      <xdr:pic macro="[0]!k">
        <xdr:nvPicPr>
          <xdr:cNvPr id="45" name="ui_spd_Scatter_Data_Option" descr="scroll_down_small.png">
            <a:extLst>
              <a:ext uri="{FF2B5EF4-FFF2-40B4-BE49-F238E27FC236}">
                <a16:creationId xmlns:a16="http://schemas.microsoft.com/office/drawing/2014/main" id="{00000000-0008-0000-2300-00002D000000}"/>
              </a:ext>
            </a:extLst>
          </xdr:cNvPr>
          <xdr:cNvPicPr>
            <a:picLocks noChangeAspect="1"/>
          </xdr:cNvPicPr>
        </xdr:nvPicPr>
        <xdr:blipFill>
          <a:blip xmlns:r="http://schemas.openxmlformats.org/officeDocument/2006/relationships" r:embed="rId8" cstate="print"/>
          <a:stretch>
            <a:fillRect/>
          </a:stretch>
        </xdr:blipFill>
        <xdr:spPr>
          <a:xfrm>
            <a:off x="8111668" y="1282458"/>
            <a:ext cx="228604" cy="56388"/>
          </a:xfrm>
          <a:prstGeom prst="rect">
            <a:avLst/>
          </a:prstGeom>
        </xdr:spPr>
      </xdr:pic>
      <mc:AlternateContent xmlns:mc="http://schemas.openxmlformats.org/markup-compatibility/2006">
        <mc:Choice xmlns:a14="http://schemas.microsoft.com/office/drawing/2010/main" Requires="a14">
          <xdr:sp macro="" textlink="">
            <xdr:nvSpPr>
              <xdr:cNvPr id="6823270" name="ui_cnt_GroupHighlight" hidden="1">
                <a:extLst>
                  <a:ext uri="{63B3BB69-23CF-44E3-9099-C40C66FF867C}">
                    <a14:compatExt spid="_x0000_s6823270"/>
                  </a:ext>
                  <a:ext uri="{FF2B5EF4-FFF2-40B4-BE49-F238E27FC236}">
                    <a16:creationId xmlns:a16="http://schemas.microsoft.com/office/drawing/2014/main" id="{00000000-0008-0000-2300-0000661D6800}"/>
                  </a:ext>
                </a:extLst>
              </xdr:cNvPr>
              <xdr:cNvSpPr/>
            </xdr:nvSpPr>
            <xdr:spPr bwMode="auto">
              <a:xfrm>
                <a:off x="8492668" y="1177468"/>
                <a:ext cx="1344385" cy="212272"/>
              </a:xfrm>
              <a:prstGeom prst="rect">
                <a:avLst/>
              </a:prstGeom>
              <a:noFill/>
              <a:ln w="9525">
                <a:miter lim="800000"/>
                <a:headEnd/>
                <a:tailEnd/>
              </a:ln>
              <a:extLst>
                <a:ext uri="{909E8E84-426E-40DD-AFC4-6F175D3DCCD1}">
                  <a14:hiddenFill>
                    <a:noFill/>
                  </a14:hiddenFill>
                </a:ext>
              </a:extLst>
            </xdr:spPr>
          </xdr:sp>
        </mc:Choice>
        <mc:Fallback/>
      </mc:AlternateContent>
      <mc:AlternateContent xmlns:mc="http://schemas.openxmlformats.org/markup-compatibility/2006">
        <mc:Choice xmlns:a14="http://schemas.microsoft.com/office/drawing/2010/main" Requires="a14">
          <xdr:sp macro="" textlink="">
            <xdr:nvSpPr>
              <xdr:cNvPr id="6823272" name="ui_cnt_CountryFltHighlight" hidden="1">
                <a:extLst>
                  <a:ext uri="{63B3BB69-23CF-44E3-9099-C40C66FF867C}">
                    <a14:compatExt spid="_x0000_s6823272"/>
                  </a:ext>
                  <a:ext uri="{FF2B5EF4-FFF2-40B4-BE49-F238E27FC236}">
                    <a16:creationId xmlns:a16="http://schemas.microsoft.com/office/drawing/2014/main" id="{00000000-0008-0000-2300-0000681D6800}"/>
                  </a:ext>
                </a:extLst>
              </xdr:cNvPr>
              <xdr:cNvSpPr/>
            </xdr:nvSpPr>
            <xdr:spPr bwMode="auto">
              <a:xfrm>
                <a:off x="9964051" y="1177468"/>
                <a:ext cx="1257300" cy="212271"/>
              </a:xfrm>
              <a:prstGeom prst="rect">
                <a:avLst/>
              </a:prstGeom>
              <a:noFill/>
              <a:ln w="9525">
                <a:miter lim="800000"/>
                <a:headEnd/>
                <a:tailEnd/>
              </a:ln>
              <a:extLst>
                <a:ext uri="{909E8E84-426E-40DD-AFC4-6F175D3DCCD1}">
                  <a14:hiddenFill>
                    <a:noFill/>
                  </a14:hiddenFill>
                </a:ext>
              </a:extLst>
            </xdr:spPr>
          </xdr:sp>
        </mc:Choice>
        <mc:Fallback/>
      </mc:AlternateContent>
      <xdr:pic macro="[0]!k">
        <xdr:nvPicPr>
          <xdr:cNvPr id="55" name="ui_cmd_export_xl" descr="xl_icon.gif">
            <a:hlinkClick xmlns:r="http://schemas.openxmlformats.org/officeDocument/2006/relationships" r:id="rId9" tooltip="Export current page as a standalone Excel workbook"/>
            <a:extLst>
              <a:ext uri="{FF2B5EF4-FFF2-40B4-BE49-F238E27FC236}">
                <a16:creationId xmlns:a16="http://schemas.microsoft.com/office/drawing/2014/main" id="{00000000-0008-0000-2300-000037000000}"/>
              </a:ext>
            </a:extLst>
          </xdr:cNvPr>
          <xdr:cNvPicPr>
            <a:picLocks noChangeAspect="1"/>
          </xdr:cNvPicPr>
        </xdr:nvPicPr>
        <xdr:blipFill>
          <a:blip xmlns:r="http://schemas.openxmlformats.org/officeDocument/2006/relationships" r:embed="rId10" cstate="print"/>
          <a:stretch>
            <a:fillRect/>
          </a:stretch>
        </xdr:blipFill>
        <xdr:spPr>
          <a:xfrm>
            <a:off x="11367528" y="361950"/>
            <a:ext cx="519674" cy="190500"/>
          </a:xfrm>
          <a:prstGeom prst="rect">
            <a:avLst/>
          </a:prstGeom>
        </xdr:spPr>
      </xdr:pic>
      <xdr:pic macro="[0]!k">
        <xdr:nvPicPr>
          <xdr:cNvPr id="54" name="ui_cmd_reset_controls">
            <a:hlinkClick xmlns:r="http://schemas.openxmlformats.org/officeDocument/2006/relationships" r:id="rId11" tooltip="Reset all options and controls on this page to the default value."/>
            <a:extLst>
              <a:ext uri="{FF2B5EF4-FFF2-40B4-BE49-F238E27FC236}">
                <a16:creationId xmlns:a16="http://schemas.microsoft.com/office/drawing/2014/main" id="{00000000-0008-0000-2300-00003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628209" y="974268"/>
            <a:ext cx="208189" cy="190500"/>
          </a:xfrm>
          <a:prstGeom prst="rect">
            <a:avLst/>
          </a:prstGeom>
        </xdr:spPr>
      </xdr:pic>
      <xdr:pic macro="[0]!k">
        <xdr:nvPicPr>
          <xdr:cNvPr id="52" name="ui_cmd_full_screen">
            <a:hlinkClick xmlns:r="http://schemas.openxmlformats.org/officeDocument/2006/relationships" r:id="rId13" tooltip="Full screen mode (recommended)"/>
            <a:extLst>
              <a:ext uri="{FF2B5EF4-FFF2-40B4-BE49-F238E27FC236}">
                <a16:creationId xmlns:a16="http://schemas.microsoft.com/office/drawing/2014/main" id="{00000000-0008-0000-2300-00003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099356" y="361950"/>
            <a:ext cx="217368" cy="190500"/>
          </a:xfrm>
          <a:prstGeom prst="rect">
            <a:avLst/>
          </a:prstGeom>
        </xdr:spPr>
      </xdr:pic>
      <xdr:pic macro="[0]!k">
        <xdr:nvPicPr>
          <xdr:cNvPr id="53" name="ui_cmd_exit_full_screen" hidden="1">
            <a:hlinkClick xmlns:r="http://schemas.openxmlformats.org/officeDocument/2006/relationships" r:id="rId15" tooltip="Leave full screen mode"/>
            <a:extLst>
              <a:ext uri="{FF2B5EF4-FFF2-40B4-BE49-F238E27FC236}">
                <a16:creationId xmlns:a16="http://schemas.microsoft.com/office/drawing/2014/main" id="{00000000-0008-0000-2300-00003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099356" y="361950"/>
            <a:ext cx="209038" cy="190500"/>
          </a:xfrm>
          <a:prstGeom prst="rect">
            <a:avLst/>
          </a:prstGeom>
        </xdr:spPr>
      </xdr:pic>
    </xdr:grpSp>
    <xdr:clientData fPrintsWithSheet="0"/>
  </xdr:twoCellAnchor>
  <xdr:twoCellAnchor>
    <xdr:from>
      <xdr:col>3</xdr:col>
      <xdr:colOff>157843</xdr:colOff>
      <xdr:row>97</xdr:row>
      <xdr:rowOff>0</xdr:rowOff>
    </xdr:from>
    <xdr:to>
      <xdr:col>6</xdr:col>
      <xdr:colOff>89807</xdr:colOff>
      <xdr:row>98</xdr:row>
      <xdr:rowOff>0</xdr:rowOff>
    </xdr:to>
    <xdr:sp macro="k" textlink="">
      <xdr:nvSpPr>
        <xdr:cNvPr id="60" name="go_top">
          <a:extLst>
            <a:ext uri="{FF2B5EF4-FFF2-40B4-BE49-F238E27FC236}">
              <a16:creationId xmlns:a16="http://schemas.microsoft.com/office/drawing/2014/main" id="{00000000-0008-0000-2300-00003C000000}"/>
            </a:ext>
          </a:extLst>
        </xdr:cNvPr>
        <xdr:cNvSpPr txBox="1"/>
      </xdr:nvSpPr>
      <xdr:spPr>
        <a:xfrm>
          <a:off x="1001486" y="16943614"/>
          <a:ext cx="1015092" cy="185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none" strike="noStrike" baseline="0">
              <a:solidFill>
                <a:srgbClr val="0070C0"/>
              </a:solidFill>
              <a:latin typeface="+mn-lt"/>
            </a:rPr>
            <a:t>↑ Top of page</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13</xdr:col>
      <xdr:colOff>19050</xdr:colOff>
      <xdr:row>13</xdr:row>
      <xdr:rowOff>0</xdr:rowOff>
    </xdr:from>
    <xdr:to>
      <xdr:col>14</xdr:col>
      <xdr:colOff>0</xdr:colOff>
      <xdr:row>14</xdr:row>
      <xdr:rowOff>0</xdr:rowOff>
    </xdr:to>
    <xdr:graphicFrame macro="">
      <xdr:nvGraphicFramePr>
        <xdr:cNvPr id="6279257" name="x_cht_template_comp">
          <a:extLst>
            <a:ext uri="{FF2B5EF4-FFF2-40B4-BE49-F238E27FC236}">
              <a16:creationId xmlns:a16="http://schemas.microsoft.com/office/drawing/2014/main" id="{00000000-0008-0000-2400-000059D0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19</xdr:row>
      <xdr:rowOff>28575</xdr:rowOff>
    </xdr:from>
    <xdr:to>
      <xdr:col>14</xdr:col>
      <xdr:colOff>0</xdr:colOff>
      <xdr:row>19</xdr:row>
      <xdr:rowOff>161925</xdr:rowOff>
    </xdr:to>
    <xdr:grpSp>
      <xdr:nvGrpSpPr>
        <xdr:cNvPr id="6279465" name="grp_ScaleText_1">
          <a:extLst>
            <a:ext uri="{FF2B5EF4-FFF2-40B4-BE49-F238E27FC236}">
              <a16:creationId xmlns:a16="http://schemas.microsoft.com/office/drawing/2014/main" id="{00000000-0008-0000-2400-000029D15F00}"/>
            </a:ext>
          </a:extLst>
        </xdr:cNvPr>
        <xdr:cNvGrpSpPr/>
      </xdr:nvGrpSpPr>
      <xdr:grpSpPr>
        <a:xfrm>
          <a:off x="10281557" y="4344761"/>
          <a:ext cx="2204357" cy="133350"/>
          <a:chOff x="4857750" y="2114550"/>
          <a:chExt cx="1371600" cy="285750"/>
        </a:xfrm>
      </xdr:grpSpPr>
      <xdr:sp macro="" textlink="">
        <xdr:nvSpPr>
          <xdr:cNvPr id="6279463" name="TextBox 6279462">
            <a:extLst>
              <a:ext uri="{FF2B5EF4-FFF2-40B4-BE49-F238E27FC236}">
                <a16:creationId xmlns:a16="http://schemas.microsoft.com/office/drawing/2014/main" id="{00000000-0008-0000-2400-000027D15F00}"/>
              </a:ext>
            </a:extLst>
          </xdr:cNvPr>
          <xdr:cNvSpPr txBox="1"/>
        </xdr:nvSpPr>
        <xdr:spPr>
          <a:xfrm>
            <a:off x="4857750" y="2114550"/>
            <a:ext cx="1809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14400" rtlCol="0" anchor="b" anchorCtr="0"/>
          <a:lstStyle/>
          <a:p>
            <a:r>
              <a:rPr lang="en-GB" sz="800" b="1">
                <a:solidFill>
                  <a:schemeClr val="bg1">
                    <a:lumMod val="50000"/>
                  </a:schemeClr>
                </a:solidFill>
              </a:rPr>
              <a:t>0</a:t>
            </a:r>
          </a:p>
        </xdr:txBody>
      </xdr:sp>
      <xdr:sp macro="" textlink="">
        <xdr:nvSpPr>
          <xdr:cNvPr id="6279464" name="TextBox 6279463">
            <a:extLst>
              <a:ext uri="{FF2B5EF4-FFF2-40B4-BE49-F238E27FC236}">
                <a16:creationId xmlns:a16="http://schemas.microsoft.com/office/drawing/2014/main" id="{00000000-0008-0000-2400-000028D15F00}"/>
              </a:ext>
            </a:extLst>
          </xdr:cNvPr>
          <xdr:cNvSpPr txBox="1"/>
        </xdr:nvSpPr>
        <xdr:spPr>
          <a:xfrm>
            <a:off x="6048375" y="2114550"/>
            <a:ext cx="1809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14400" rtlCol="0" anchor="b" anchorCtr="0"/>
          <a:lstStyle/>
          <a:p>
            <a:pPr algn="r"/>
            <a:r>
              <a:rPr lang="en-GB" sz="800" b="1">
                <a:solidFill>
                  <a:schemeClr val="bg1">
                    <a:lumMod val="50000"/>
                  </a:schemeClr>
                </a:solidFill>
              </a:rPr>
              <a:t>100</a:t>
            </a:r>
          </a:p>
        </xdr:txBody>
      </xdr:sp>
    </xdr:grpSp>
    <xdr:clientData/>
  </xdr:twoCellAnchor>
  <xdr:twoCellAnchor>
    <xdr:from>
      <xdr:col>13</xdr:col>
      <xdr:colOff>0</xdr:colOff>
      <xdr:row>27</xdr:row>
      <xdr:rowOff>57150</xdr:rowOff>
    </xdr:from>
    <xdr:to>
      <xdr:col>14</xdr:col>
      <xdr:colOff>0</xdr:colOff>
      <xdr:row>28</xdr:row>
      <xdr:rowOff>0</xdr:rowOff>
    </xdr:to>
    <xdr:grpSp>
      <xdr:nvGrpSpPr>
        <xdr:cNvPr id="6279189" name="grpScaleText_2">
          <a:extLst>
            <a:ext uri="{FF2B5EF4-FFF2-40B4-BE49-F238E27FC236}">
              <a16:creationId xmlns:a16="http://schemas.microsoft.com/office/drawing/2014/main" id="{00000000-0008-0000-2400-000015D05F00}"/>
            </a:ext>
          </a:extLst>
        </xdr:cNvPr>
        <xdr:cNvGrpSpPr/>
      </xdr:nvGrpSpPr>
      <xdr:grpSpPr>
        <a:xfrm>
          <a:off x="10281557" y="6125936"/>
          <a:ext cx="2204357" cy="389164"/>
          <a:chOff x="4857750" y="2114550"/>
          <a:chExt cx="1371600" cy="285750"/>
        </a:xfrm>
      </xdr:grpSpPr>
      <xdr:sp macro="" textlink="">
        <xdr:nvSpPr>
          <xdr:cNvPr id="6279190" name="TextBox 6279189">
            <a:extLst>
              <a:ext uri="{FF2B5EF4-FFF2-40B4-BE49-F238E27FC236}">
                <a16:creationId xmlns:a16="http://schemas.microsoft.com/office/drawing/2014/main" id="{00000000-0008-0000-2400-000016D05F00}"/>
              </a:ext>
            </a:extLst>
          </xdr:cNvPr>
          <xdr:cNvSpPr txBox="1"/>
        </xdr:nvSpPr>
        <xdr:spPr>
          <a:xfrm>
            <a:off x="4857750" y="2114550"/>
            <a:ext cx="1809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14400" rtlCol="0" anchor="b" anchorCtr="0"/>
          <a:lstStyle/>
          <a:p>
            <a:r>
              <a:rPr lang="en-GB" sz="800" b="1">
                <a:solidFill>
                  <a:schemeClr val="bg1">
                    <a:lumMod val="50000"/>
                  </a:schemeClr>
                </a:solidFill>
              </a:rPr>
              <a:t>0</a:t>
            </a:r>
          </a:p>
        </xdr:txBody>
      </xdr:sp>
      <xdr:sp macro="" textlink="">
        <xdr:nvSpPr>
          <xdr:cNvPr id="6279191" name="TextBox 6279190">
            <a:extLst>
              <a:ext uri="{FF2B5EF4-FFF2-40B4-BE49-F238E27FC236}">
                <a16:creationId xmlns:a16="http://schemas.microsoft.com/office/drawing/2014/main" id="{00000000-0008-0000-2400-000017D05F00}"/>
              </a:ext>
            </a:extLst>
          </xdr:cNvPr>
          <xdr:cNvSpPr txBox="1"/>
        </xdr:nvSpPr>
        <xdr:spPr>
          <a:xfrm>
            <a:off x="6048375" y="2114550"/>
            <a:ext cx="1809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14400" rtlCol="0" anchor="b" anchorCtr="0"/>
          <a:lstStyle/>
          <a:p>
            <a:pPr algn="r"/>
            <a:r>
              <a:rPr lang="en-GB" sz="800" b="1">
                <a:solidFill>
                  <a:schemeClr val="bg1">
                    <a:lumMod val="50000"/>
                  </a:schemeClr>
                </a:solidFill>
              </a:rPr>
              <a:t>100</a:t>
            </a:r>
          </a:p>
        </xdr:txBody>
      </xdr:sp>
    </xdr:grpSp>
    <xdr:clientData/>
  </xdr:twoCellAnchor>
  <xdr:twoCellAnchor>
    <xdr:from>
      <xdr:col>13</xdr:col>
      <xdr:colOff>0</xdr:colOff>
      <xdr:row>46</xdr:row>
      <xdr:rowOff>276225</xdr:rowOff>
    </xdr:from>
    <xdr:to>
      <xdr:col>14</xdr:col>
      <xdr:colOff>0</xdr:colOff>
      <xdr:row>47</xdr:row>
      <xdr:rowOff>0</xdr:rowOff>
    </xdr:to>
    <xdr:grpSp>
      <xdr:nvGrpSpPr>
        <xdr:cNvPr id="6279666" name="grpScaleText_2">
          <a:extLst>
            <a:ext uri="{FF2B5EF4-FFF2-40B4-BE49-F238E27FC236}">
              <a16:creationId xmlns:a16="http://schemas.microsoft.com/office/drawing/2014/main" id="{00000000-0008-0000-2400-0000F2D15F00}"/>
            </a:ext>
          </a:extLst>
        </xdr:cNvPr>
        <xdr:cNvGrpSpPr/>
      </xdr:nvGrpSpPr>
      <xdr:grpSpPr>
        <a:xfrm>
          <a:off x="10281557" y="11074853"/>
          <a:ext cx="2204357" cy="1361"/>
          <a:chOff x="4857750" y="2114550"/>
          <a:chExt cx="1371600" cy="285750"/>
        </a:xfrm>
      </xdr:grpSpPr>
      <xdr:sp macro="" textlink="">
        <xdr:nvSpPr>
          <xdr:cNvPr id="6279667" name="TextBox 6279666">
            <a:extLst>
              <a:ext uri="{FF2B5EF4-FFF2-40B4-BE49-F238E27FC236}">
                <a16:creationId xmlns:a16="http://schemas.microsoft.com/office/drawing/2014/main" id="{00000000-0008-0000-2400-0000F3D15F00}"/>
              </a:ext>
            </a:extLst>
          </xdr:cNvPr>
          <xdr:cNvSpPr txBox="1"/>
        </xdr:nvSpPr>
        <xdr:spPr>
          <a:xfrm>
            <a:off x="4857750" y="2114550"/>
            <a:ext cx="1809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14400" rtlCol="0" anchor="b" anchorCtr="0"/>
          <a:lstStyle/>
          <a:p>
            <a:r>
              <a:rPr lang="en-GB" sz="800" b="1">
                <a:solidFill>
                  <a:schemeClr val="bg1">
                    <a:lumMod val="50000"/>
                  </a:schemeClr>
                </a:solidFill>
              </a:rPr>
              <a:t>0</a:t>
            </a:r>
          </a:p>
        </xdr:txBody>
      </xdr:sp>
      <xdr:sp macro="" textlink="">
        <xdr:nvSpPr>
          <xdr:cNvPr id="6279668" name="TextBox 6279667">
            <a:extLst>
              <a:ext uri="{FF2B5EF4-FFF2-40B4-BE49-F238E27FC236}">
                <a16:creationId xmlns:a16="http://schemas.microsoft.com/office/drawing/2014/main" id="{00000000-0008-0000-2400-0000F4D15F00}"/>
              </a:ext>
            </a:extLst>
          </xdr:cNvPr>
          <xdr:cNvSpPr txBox="1"/>
        </xdr:nvSpPr>
        <xdr:spPr>
          <a:xfrm>
            <a:off x="6048375" y="2114550"/>
            <a:ext cx="1809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14400" rtlCol="0" anchor="b" anchorCtr="0"/>
          <a:lstStyle/>
          <a:p>
            <a:pPr algn="r"/>
            <a:r>
              <a:rPr lang="en-GB" sz="800" b="1">
                <a:solidFill>
                  <a:schemeClr val="bg1">
                    <a:lumMod val="50000"/>
                  </a:schemeClr>
                </a:solidFill>
              </a:rPr>
              <a:t>100</a:t>
            </a:r>
          </a:p>
        </xdr:txBody>
      </xdr:sp>
    </xdr:grpSp>
    <xdr:clientData/>
  </xdr:twoCellAnchor>
  <xdr:twoCellAnchor>
    <xdr:from>
      <xdr:col>14</xdr:col>
      <xdr:colOff>190500</xdr:colOff>
      <xdr:row>16</xdr:row>
      <xdr:rowOff>85725</xdr:rowOff>
    </xdr:from>
    <xdr:to>
      <xdr:col>15</xdr:col>
      <xdr:colOff>0</xdr:colOff>
      <xdr:row>16</xdr:row>
      <xdr:rowOff>85725</xdr:rowOff>
    </xdr:to>
    <xdr:cxnSp macro="">
      <xdr:nvCxnSpPr>
        <xdr:cNvPr id="3" name="Straight Connector 2">
          <a:extLst>
            <a:ext uri="{FF2B5EF4-FFF2-40B4-BE49-F238E27FC236}">
              <a16:creationId xmlns:a16="http://schemas.microsoft.com/office/drawing/2014/main" id="{00000000-0008-0000-2400-000003000000}"/>
            </a:ext>
          </a:extLst>
        </xdr:cNvPr>
        <xdr:cNvCxnSpPr/>
      </xdr:nvCxnSpPr>
      <xdr:spPr>
        <a:xfrm>
          <a:off x="5495925" y="1790700"/>
          <a:ext cx="466725" cy="0"/>
        </a:xfrm>
        <a:prstGeom prst="line">
          <a:avLst/>
        </a:prstGeom>
        <a:ln w="412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104775</xdr:colOff>
      <xdr:row>16</xdr:row>
      <xdr:rowOff>104775</xdr:rowOff>
    </xdr:from>
    <xdr:to>
      <xdr:col>19</xdr:col>
      <xdr:colOff>76200</xdr:colOff>
      <xdr:row>18</xdr:row>
      <xdr:rowOff>114300</xdr:rowOff>
    </xdr:to>
    <xdr:sp macro="" textlink="">
      <xdr:nvSpPr>
        <xdr:cNvPr id="5" name="TextBox 4">
          <a:extLst>
            <a:ext uri="{FF2B5EF4-FFF2-40B4-BE49-F238E27FC236}">
              <a16:creationId xmlns:a16="http://schemas.microsoft.com/office/drawing/2014/main" id="{00000000-0008-0000-2400-000005000000}"/>
            </a:ext>
          </a:extLst>
        </xdr:cNvPr>
        <xdr:cNvSpPr txBox="1"/>
      </xdr:nvSpPr>
      <xdr:spPr>
        <a:xfrm>
          <a:off x="5410200" y="1809750"/>
          <a:ext cx="2447925" cy="39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mn-lt"/>
              <a:ea typeface="+mn-ea"/>
              <a:cs typeface="+mn-cs"/>
            </a:rPr>
            <a:t>Grey line shows the range of scores (minimum to maximum) across all 50 cities</a:t>
          </a:r>
          <a:r>
            <a:rPr lang="en-GB" sz="900"/>
            <a:t> </a:t>
          </a:r>
        </a:p>
      </xdr:txBody>
    </xdr:sp>
    <xdr:clientData/>
  </xdr:twoCellAnchor>
  <xdr:twoCellAnchor>
    <xdr:from>
      <xdr:col>13</xdr:col>
      <xdr:colOff>0</xdr:colOff>
      <xdr:row>20</xdr:row>
      <xdr:rowOff>0</xdr:rowOff>
    </xdr:from>
    <xdr:to>
      <xdr:col>13</xdr:col>
      <xdr:colOff>2185307</xdr:colOff>
      <xdr:row>21</xdr:row>
      <xdr:rowOff>0</xdr:rowOff>
    </xdr:to>
    <xdr:graphicFrame macro="">
      <xdr:nvGraphicFramePr>
        <xdr:cNvPr id="6282341" name="cht_scatter_21">
          <a:extLst>
            <a:ext uri="{FF2B5EF4-FFF2-40B4-BE49-F238E27FC236}">
              <a16:creationId xmlns:a16="http://schemas.microsoft.com/office/drawing/2014/main" id="{00000000-0008-0000-2400-000065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21</xdr:row>
      <xdr:rowOff>0</xdr:rowOff>
    </xdr:from>
    <xdr:to>
      <xdr:col>13</xdr:col>
      <xdr:colOff>2185307</xdr:colOff>
      <xdr:row>22</xdr:row>
      <xdr:rowOff>0</xdr:rowOff>
    </xdr:to>
    <xdr:graphicFrame macro="">
      <xdr:nvGraphicFramePr>
        <xdr:cNvPr id="6282342" name="cht_scatter_22">
          <a:extLst>
            <a:ext uri="{FF2B5EF4-FFF2-40B4-BE49-F238E27FC236}">
              <a16:creationId xmlns:a16="http://schemas.microsoft.com/office/drawing/2014/main" id="{00000000-0008-0000-2400-000066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22</xdr:row>
      <xdr:rowOff>0</xdr:rowOff>
    </xdr:from>
    <xdr:to>
      <xdr:col>13</xdr:col>
      <xdr:colOff>2185307</xdr:colOff>
      <xdr:row>23</xdr:row>
      <xdr:rowOff>0</xdr:rowOff>
    </xdr:to>
    <xdr:graphicFrame macro="">
      <xdr:nvGraphicFramePr>
        <xdr:cNvPr id="6282343" name="cht_scatter_23">
          <a:extLst>
            <a:ext uri="{FF2B5EF4-FFF2-40B4-BE49-F238E27FC236}">
              <a16:creationId xmlns:a16="http://schemas.microsoft.com/office/drawing/2014/main" id="{00000000-0008-0000-2400-000067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23</xdr:row>
      <xdr:rowOff>0</xdr:rowOff>
    </xdr:from>
    <xdr:to>
      <xdr:col>13</xdr:col>
      <xdr:colOff>2185307</xdr:colOff>
      <xdr:row>24</xdr:row>
      <xdr:rowOff>0</xdr:rowOff>
    </xdr:to>
    <xdr:graphicFrame macro="">
      <xdr:nvGraphicFramePr>
        <xdr:cNvPr id="6282344" name="cht_scatter_24">
          <a:extLst>
            <a:ext uri="{FF2B5EF4-FFF2-40B4-BE49-F238E27FC236}">
              <a16:creationId xmlns:a16="http://schemas.microsoft.com/office/drawing/2014/main" id="{00000000-0008-0000-2400-000068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24</xdr:row>
      <xdr:rowOff>0</xdr:rowOff>
    </xdr:from>
    <xdr:to>
      <xdr:col>13</xdr:col>
      <xdr:colOff>2185307</xdr:colOff>
      <xdr:row>25</xdr:row>
      <xdr:rowOff>0</xdr:rowOff>
    </xdr:to>
    <xdr:graphicFrame macro="">
      <xdr:nvGraphicFramePr>
        <xdr:cNvPr id="6282345" name="cht_scatter_25">
          <a:extLst>
            <a:ext uri="{FF2B5EF4-FFF2-40B4-BE49-F238E27FC236}">
              <a16:creationId xmlns:a16="http://schemas.microsoft.com/office/drawing/2014/main" id="{00000000-0008-0000-2400-000069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25</xdr:row>
      <xdr:rowOff>0</xdr:rowOff>
    </xdr:from>
    <xdr:to>
      <xdr:col>13</xdr:col>
      <xdr:colOff>2185307</xdr:colOff>
      <xdr:row>26</xdr:row>
      <xdr:rowOff>0</xdr:rowOff>
    </xdr:to>
    <xdr:graphicFrame macro="">
      <xdr:nvGraphicFramePr>
        <xdr:cNvPr id="6282346" name="cht_scatter_26">
          <a:extLst>
            <a:ext uri="{FF2B5EF4-FFF2-40B4-BE49-F238E27FC236}">
              <a16:creationId xmlns:a16="http://schemas.microsoft.com/office/drawing/2014/main" id="{00000000-0008-0000-2400-00006A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28</xdr:row>
      <xdr:rowOff>0</xdr:rowOff>
    </xdr:from>
    <xdr:to>
      <xdr:col>13</xdr:col>
      <xdr:colOff>2185307</xdr:colOff>
      <xdr:row>29</xdr:row>
      <xdr:rowOff>0</xdr:rowOff>
    </xdr:to>
    <xdr:graphicFrame macro="">
      <xdr:nvGraphicFramePr>
        <xdr:cNvPr id="6282348" name="cht_scatter_29">
          <a:extLst>
            <a:ext uri="{FF2B5EF4-FFF2-40B4-BE49-F238E27FC236}">
              <a16:creationId xmlns:a16="http://schemas.microsoft.com/office/drawing/2014/main" id="{00000000-0008-0000-2400-00006C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29</xdr:row>
      <xdr:rowOff>0</xdr:rowOff>
    </xdr:from>
    <xdr:to>
      <xdr:col>13</xdr:col>
      <xdr:colOff>2185307</xdr:colOff>
      <xdr:row>30</xdr:row>
      <xdr:rowOff>0</xdr:rowOff>
    </xdr:to>
    <xdr:graphicFrame macro="">
      <xdr:nvGraphicFramePr>
        <xdr:cNvPr id="6282349" name="cht_scatter_30">
          <a:extLst>
            <a:ext uri="{FF2B5EF4-FFF2-40B4-BE49-F238E27FC236}">
              <a16:creationId xmlns:a16="http://schemas.microsoft.com/office/drawing/2014/main" id="{00000000-0008-0000-2400-00006D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0</xdr:colOff>
      <xdr:row>30</xdr:row>
      <xdr:rowOff>0</xdr:rowOff>
    </xdr:from>
    <xdr:to>
      <xdr:col>13</xdr:col>
      <xdr:colOff>2185307</xdr:colOff>
      <xdr:row>31</xdr:row>
      <xdr:rowOff>0</xdr:rowOff>
    </xdr:to>
    <xdr:graphicFrame macro="">
      <xdr:nvGraphicFramePr>
        <xdr:cNvPr id="6282350" name="cht_scatter_31">
          <a:extLst>
            <a:ext uri="{FF2B5EF4-FFF2-40B4-BE49-F238E27FC236}">
              <a16:creationId xmlns:a16="http://schemas.microsoft.com/office/drawing/2014/main" id="{00000000-0008-0000-2400-00006E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0</xdr:colOff>
      <xdr:row>31</xdr:row>
      <xdr:rowOff>0</xdr:rowOff>
    </xdr:from>
    <xdr:to>
      <xdr:col>13</xdr:col>
      <xdr:colOff>2185307</xdr:colOff>
      <xdr:row>32</xdr:row>
      <xdr:rowOff>0</xdr:rowOff>
    </xdr:to>
    <xdr:graphicFrame macro="">
      <xdr:nvGraphicFramePr>
        <xdr:cNvPr id="6282351" name="cht_scatter_32">
          <a:extLst>
            <a:ext uri="{FF2B5EF4-FFF2-40B4-BE49-F238E27FC236}">
              <a16:creationId xmlns:a16="http://schemas.microsoft.com/office/drawing/2014/main" id="{00000000-0008-0000-2400-00006F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32</xdr:row>
      <xdr:rowOff>0</xdr:rowOff>
    </xdr:from>
    <xdr:to>
      <xdr:col>13</xdr:col>
      <xdr:colOff>2185307</xdr:colOff>
      <xdr:row>33</xdr:row>
      <xdr:rowOff>0</xdr:rowOff>
    </xdr:to>
    <xdr:graphicFrame macro="">
      <xdr:nvGraphicFramePr>
        <xdr:cNvPr id="6282352" name="cht_scatter_33">
          <a:extLst>
            <a:ext uri="{FF2B5EF4-FFF2-40B4-BE49-F238E27FC236}">
              <a16:creationId xmlns:a16="http://schemas.microsoft.com/office/drawing/2014/main" id="{00000000-0008-0000-2400-000070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33</xdr:row>
      <xdr:rowOff>0</xdr:rowOff>
    </xdr:from>
    <xdr:to>
      <xdr:col>13</xdr:col>
      <xdr:colOff>2185307</xdr:colOff>
      <xdr:row>34</xdr:row>
      <xdr:rowOff>0</xdr:rowOff>
    </xdr:to>
    <xdr:graphicFrame macro="">
      <xdr:nvGraphicFramePr>
        <xdr:cNvPr id="6282353" name="cht_scatter_34">
          <a:extLst>
            <a:ext uri="{FF2B5EF4-FFF2-40B4-BE49-F238E27FC236}">
              <a16:creationId xmlns:a16="http://schemas.microsoft.com/office/drawing/2014/main" id="{00000000-0008-0000-2400-000071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34</xdr:row>
      <xdr:rowOff>0</xdr:rowOff>
    </xdr:from>
    <xdr:to>
      <xdr:col>13</xdr:col>
      <xdr:colOff>2185307</xdr:colOff>
      <xdr:row>35</xdr:row>
      <xdr:rowOff>0</xdr:rowOff>
    </xdr:to>
    <xdr:graphicFrame macro="">
      <xdr:nvGraphicFramePr>
        <xdr:cNvPr id="6282354" name="cht_scatter_35">
          <a:extLst>
            <a:ext uri="{FF2B5EF4-FFF2-40B4-BE49-F238E27FC236}">
              <a16:creationId xmlns:a16="http://schemas.microsoft.com/office/drawing/2014/main" id="{00000000-0008-0000-2400-000072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0</xdr:colOff>
      <xdr:row>35</xdr:row>
      <xdr:rowOff>0</xdr:rowOff>
    </xdr:from>
    <xdr:to>
      <xdr:col>13</xdr:col>
      <xdr:colOff>2185307</xdr:colOff>
      <xdr:row>36</xdr:row>
      <xdr:rowOff>0</xdr:rowOff>
    </xdr:to>
    <xdr:graphicFrame macro="">
      <xdr:nvGraphicFramePr>
        <xdr:cNvPr id="6282355" name="cht_scatter_36">
          <a:extLst>
            <a:ext uri="{FF2B5EF4-FFF2-40B4-BE49-F238E27FC236}">
              <a16:creationId xmlns:a16="http://schemas.microsoft.com/office/drawing/2014/main" id="{00000000-0008-0000-2400-000073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0</xdr:colOff>
      <xdr:row>36</xdr:row>
      <xdr:rowOff>0</xdr:rowOff>
    </xdr:from>
    <xdr:to>
      <xdr:col>13</xdr:col>
      <xdr:colOff>2185307</xdr:colOff>
      <xdr:row>37</xdr:row>
      <xdr:rowOff>0</xdr:rowOff>
    </xdr:to>
    <xdr:graphicFrame macro="">
      <xdr:nvGraphicFramePr>
        <xdr:cNvPr id="6282356" name="cht_scatter_37">
          <a:extLst>
            <a:ext uri="{FF2B5EF4-FFF2-40B4-BE49-F238E27FC236}">
              <a16:creationId xmlns:a16="http://schemas.microsoft.com/office/drawing/2014/main" id="{00000000-0008-0000-2400-000074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0</xdr:colOff>
      <xdr:row>37</xdr:row>
      <xdr:rowOff>0</xdr:rowOff>
    </xdr:from>
    <xdr:to>
      <xdr:col>13</xdr:col>
      <xdr:colOff>2185307</xdr:colOff>
      <xdr:row>38</xdr:row>
      <xdr:rowOff>0</xdr:rowOff>
    </xdr:to>
    <xdr:graphicFrame macro="">
      <xdr:nvGraphicFramePr>
        <xdr:cNvPr id="6282357" name="cht_scatter_38">
          <a:extLst>
            <a:ext uri="{FF2B5EF4-FFF2-40B4-BE49-F238E27FC236}">
              <a16:creationId xmlns:a16="http://schemas.microsoft.com/office/drawing/2014/main" id="{00000000-0008-0000-2400-000075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0</xdr:colOff>
      <xdr:row>38</xdr:row>
      <xdr:rowOff>0</xdr:rowOff>
    </xdr:from>
    <xdr:to>
      <xdr:col>13</xdr:col>
      <xdr:colOff>2185307</xdr:colOff>
      <xdr:row>39</xdr:row>
      <xdr:rowOff>0</xdr:rowOff>
    </xdr:to>
    <xdr:graphicFrame macro="">
      <xdr:nvGraphicFramePr>
        <xdr:cNvPr id="6282358" name="cht_scatter_39">
          <a:extLst>
            <a:ext uri="{FF2B5EF4-FFF2-40B4-BE49-F238E27FC236}">
              <a16:creationId xmlns:a16="http://schemas.microsoft.com/office/drawing/2014/main" id="{00000000-0008-0000-2400-000076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13</xdr:col>
      <xdr:colOff>0</xdr:colOff>
      <xdr:row>40</xdr:row>
      <xdr:rowOff>1</xdr:rowOff>
    </xdr:from>
    <xdr:to>
      <xdr:col>13</xdr:col>
      <xdr:colOff>2185307</xdr:colOff>
      <xdr:row>41</xdr:row>
      <xdr:rowOff>1</xdr:rowOff>
    </xdr:to>
    <xdr:graphicFrame macro="">
      <xdr:nvGraphicFramePr>
        <xdr:cNvPr id="6282359" name="cht_scatter_41">
          <a:extLst>
            <a:ext uri="{FF2B5EF4-FFF2-40B4-BE49-F238E27FC236}">
              <a16:creationId xmlns:a16="http://schemas.microsoft.com/office/drawing/2014/main" id="{00000000-0008-0000-2400-000077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0</xdr:colOff>
      <xdr:row>41</xdr:row>
      <xdr:rowOff>1</xdr:rowOff>
    </xdr:from>
    <xdr:to>
      <xdr:col>13</xdr:col>
      <xdr:colOff>2185307</xdr:colOff>
      <xdr:row>42</xdr:row>
      <xdr:rowOff>1</xdr:rowOff>
    </xdr:to>
    <xdr:graphicFrame macro="">
      <xdr:nvGraphicFramePr>
        <xdr:cNvPr id="6282360" name="cht_scatter_42">
          <a:extLst>
            <a:ext uri="{FF2B5EF4-FFF2-40B4-BE49-F238E27FC236}">
              <a16:creationId xmlns:a16="http://schemas.microsoft.com/office/drawing/2014/main" id="{00000000-0008-0000-2400-000078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13</xdr:col>
      <xdr:colOff>0</xdr:colOff>
      <xdr:row>42</xdr:row>
      <xdr:rowOff>1</xdr:rowOff>
    </xdr:from>
    <xdr:to>
      <xdr:col>13</xdr:col>
      <xdr:colOff>2185307</xdr:colOff>
      <xdr:row>43</xdr:row>
      <xdr:rowOff>1</xdr:rowOff>
    </xdr:to>
    <xdr:graphicFrame macro="">
      <xdr:nvGraphicFramePr>
        <xdr:cNvPr id="6282361" name="cht_scatter_43">
          <a:extLst>
            <a:ext uri="{FF2B5EF4-FFF2-40B4-BE49-F238E27FC236}">
              <a16:creationId xmlns:a16="http://schemas.microsoft.com/office/drawing/2014/main" id="{00000000-0008-0000-2400-000079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13</xdr:col>
      <xdr:colOff>0</xdr:colOff>
      <xdr:row>43</xdr:row>
      <xdr:rowOff>1</xdr:rowOff>
    </xdr:from>
    <xdr:to>
      <xdr:col>13</xdr:col>
      <xdr:colOff>2185307</xdr:colOff>
      <xdr:row>44</xdr:row>
      <xdr:rowOff>1</xdr:rowOff>
    </xdr:to>
    <xdr:graphicFrame macro="">
      <xdr:nvGraphicFramePr>
        <xdr:cNvPr id="6282362" name="cht_scatter_44">
          <a:extLst>
            <a:ext uri="{FF2B5EF4-FFF2-40B4-BE49-F238E27FC236}">
              <a16:creationId xmlns:a16="http://schemas.microsoft.com/office/drawing/2014/main" id="{00000000-0008-0000-2400-00007A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13</xdr:col>
      <xdr:colOff>0</xdr:colOff>
      <xdr:row>44</xdr:row>
      <xdr:rowOff>1</xdr:rowOff>
    </xdr:from>
    <xdr:to>
      <xdr:col>13</xdr:col>
      <xdr:colOff>2185307</xdr:colOff>
      <xdr:row>45</xdr:row>
      <xdr:rowOff>1</xdr:rowOff>
    </xdr:to>
    <xdr:graphicFrame macro="">
      <xdr:nvGraphicFramePr>
        <xdr:cNvPr id="6282363" name="cht_scatter_45">
          <a:extLst>
            <a:ext uri="{FF2B5EF4-FFF2-40B4-BE49-F238E27FC236}">
              <a16:creationId xmlns:a16="http://schemas.microsoft.com/office/drawing/2014/main" id="{00000000-0008-0000-2400-00007B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13</xdr:col>
      <xdr:colOff>0</xdr:colOff>
      <xdr:row>45</xdr:row>
      <xdr:rowOff>1</xdr:rowOff>
    </xdr:from>
    <xdr:to>
      <xdr:col>13</xdr:col>
      <xdr:colOff>2185307</xdr:colOff>
      <xdr:row>46</xdr:row>
      <xdr:rowOff>1</xdr:rowOff>
    </xdr:to>
    <xdr:graphicFrame macro="">
      <xdr:nvGraphicFramePr>
        <xdr:cNvPr id="6282364" name="cht_scatter_46">
          <a:extLst>
            <a:ext uri="{FF2B5EF4-FFF2-40B4-BE49-F238E27FC236}">
              <a16:creationId xmlns:a16="http://schemas.microsoft.com/office/drawing/2014/main" id="{00000000-0008-0000-2400-00007C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13</xdr:col>
      <xdr:colOff>0</xdr:colOff>
      <xdr:row>46</xdr:row>
      <xdr:rowOff>1</xdr:rowOff>
    </xdr:from>
    <xdr:to>
      <xdr:col>13</xdr:col>
      <xdr:colOff>2185307</xdr:colOff>
      <xdr:row>47</xdr:row>
      <xdr:rowOff>1</xdr:rowOff>
    </xdr:to>
    <xdr:graphicFrame macro="">
      <xdr:nvGraphicFramePr>
        <xdr:cNvPr id="6282365" name="cht_scatter_47">
          <a:extLst>
            <a:ext uri="{FF2B5EF4-FFF2-40B4-BE49-F238E27FC236}">
              <a16:creationId xmlns:a16="http://schemas.microsoft.com/office/drawing/2014/main" id="{00000000-0008-0000-2400-00007D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0</xdr:colOff>
      <xdr:row>47</xdr:row>
      <xdr:rowOff>446314</xdr:rowOff>
    </xdr:from>
    <xdr:to>
      <xdr:col>13</xdr:col>
      <xdr:colOff>2185307</xdr:colOff>
      <xdr:row>48</xdr:row>
      <xdr:rowOff>228599</xdr:rowOff>
    </xdr:to>
    <xdr:graphicFrame macro="">
      <xdr:nvGraphicFramePr>
        <xdr:cNvPr id="6282366" name="cht_scatter_49">
          <a:extLst>
            <a:ext uri="{FF2B5EF4-FFF2-40B4-BE49-F238E27FC236}">
              <a16:creationId xmlns:a16="http://schemas.microsoft.com/office/drawing/2014/main" id="{00000000-0008-0000-2400-00007E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0</xdr:colOff>
      <xdr:row>48</xdr:row>
      <xdr:rowOff>228599</xdr:rowOff>
    </xdr:from>
    <xdr:to>
      <xdr:col>13</xdr:col>
      <xdr:colOff>2185307</xdr:colOff>
      <xdr:row>49</xdr:row>
      <xdr:rowOff>228599</xdr:rowOff>
    </xdr:to>
    <xdr:graphicFrame macro="">
      <xdr:nvGraphicFramePr>
        <xdr:cNvPr id="6282367" name="cht_scatter_50">
          <a:extLst>
            <a:ext uri="{FF2B5EF4-FFF2-40B4-BE49-F238E27FC236}">
              <a16:creationId xmlns:a16="http://schemas.microsoft.com/office/drawing/2014/main" id="{00000000-0008-0000-2400-00007FDC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0</xdr:colOff>
      <xdr:row>49</xdr:row>
      <xdr:rowOff>228599</xdr:rowOff>
    </xdr:from>
    <xdr:to>
      <xdr:col>13</xdr:col>
      <xdr:colOff>2185307</xdr:colOff>
      <xdr:row>50</xdr:row>
      <xdr:rowOff>228599</xdr:rowOff>
    </xdr:to>
    <xdr:graphicFrame macro="">
      <xdr:nvGraphicFramePr>
        <xdr:cNvPr id="6279616" name="cht_scatter_51">
          <a:extLst>
            <a:ext uri="{FF2B5EF4-FFF2-40B4-BE49-F238E27FC236}">
              <a16:creationId xmlns:a16="http://schemas.microsoft.com/office/drawing/2014/main" id="{00000000-0008-0000-2400-0000C0D1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0</xdr:colOff>
      <xdr:row>50</xdr:row>
      <xdr:rowOff>228599</xdr:rowOff>
    </xdr:from>
    <xdr:to>
      <xdr:col>13</xdr:col>
      <xdr:colOff>2185307</xdr:colOff>
      <xdr:row>51</xdr:row>
      <xdr:rowOff>228599</xdr:rowOff>
    </xdr:to>
    <xdr:graphicFrame macro="">
      <xdr:nvGraphicFramePr>
        <xdr:cNvPr id="6279617" name="cht_scatter_52">
          <a:extLst>
            <a:ext uri="{FF2B5EF4-FFF2-40B4-BE49-F238E27FC236}">
              <a16:creationId xmlns:a16="http://schemas.microsoft.com/office/drawing/2014/main" id="{00000000-0008-0000-2400-0000C1D1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0</xdr:colOff>
      <xdr:row>51</xdr:row>
      <xdr:rowOff>228599</xdr:rowOff>
    </xdr:from>
    <xdr:to>
      <xdr:col>13</xdr:col>
      <xdr:colOff>2185307</xdr:colOff>
      <xdr:row>52</xdr:row>
      <xdr:rowOff>228599</xdr:rowOff>
    </xdr:to>
    <xdr:graphicFrame macro="">
      <xdr:nvGraphicFramePr>
        <xdr:cNvPr id="6279618" name="cht_scatter_53">
          <a:extLst>
            <a:ext uri="{FF2B5EF4-FFF2-40B4-BE49-F238E27FC236}">
              <a16:creationId xmlns:a16="http://schemas.microsoft.com/office/drawing/2014/main" id="{00000000-0008-0000-2400-0000C2D1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0</xdr:colOff>
      <xdr:row>52</xdr:row>
      <xdr:rowOff>228599</xdr:rowOff>
    </xdr:from>
    <xdr:to>
      <xdr:col>13</xdr:col>
      <xdr:colOff>2185307</xdr:colOff>
      <xdr:row>53</xdr:row>
      <xdr:rowOff>228599</xdr:rowOff>
    </xdr:to>
    <xdr:graphicFrame macro="">
      <xdr:nvGraphicFramePr>
        <xdr:cNvPr id="6279619" name="cht_scatter_54">
          <a:extLst>
            <a:ext uri="{FF2B5EF4-FFF2-40B4-BE49-F238E27FC236}">
              <a16:creationId xmlns:a16="http://schemas.microsoft.com/office/drawing/2014/main" id="{00000000-0008-0000-2400-0000C3D1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0</xdr:colOff>
      <xdr:row>53</xdr:row>
      <xdr:rowOff>228599</xdr:rowOff>
    </xdr:from>
    <xdr:to>
      <xdr:col>13</xdr:col>
      <xdr:colOff>2185307</xdr:colOff>
      <xdr:row>54</xdr:row>
      <xdr:rowOff>228599</xdr:rowOff>
    </xdr:to>
    <xdr:graphicFrame macro="">
      <xdr:nvGraphicFramePr>
        <xdr:cNvPr id="6279620" name="cht_scatter_55">
          <a:extLst>
            <a:ext uri="{FF2B5EF4-FFF2-40B4-BE49-F238E27FC236}">
              <a16:creationId xmlns:a16="http://schemas.microsoft.com/office/drawing/2014/main" id="{00000000-0008-0000-2400-0000C4D1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0</xdr:colOff>
      <xdr:row>55</xdr:row>
      <xdr:rowOff>0</xdr:rowOff>
    </xdr:from>
    <xdr:to>
      <xdr:col>13</xdr:col>
      <xdr:colOff>2185307</xdr:colOff>
      <xdr:row>56</xdr:row>
      <xdr:rowOff>0</xdr:rowOff>
    </xdr:to>
    <xdr:graphicFrame macro="">
      <xdr:nvGraphicFramePr>
        <xdr:cNvPr id="6279621" name="cht_scatter_56">
          <a:extLst>
            <a:ext uri="{FF2B5EF4-FFF2-40B4-BE49-F238E27FC236}">
              <a16:creationId xmlns:a16="http://schemas.microsoft.com/office/drawing/2014/main" id="{00000000-0008-0000-2400-0000C5D1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0</xdr:colOff>
      <xdr:row>56</xdr:row>
      <xdr:rowOff>0</xdr:rowOff>
    </xdr:from>
    <xdr:to>
      <xdr:col>13</xdr:col>
      <xdr:colOff>2185307</xdr:colOff>
      <xdr:row>57</xdr:row>
      <xdr:rowOff>0</xdr:rowOff>
    </xdr:to>
    <xdr:graphicFrame macro="">
      <xdr:nvGraphicFramePr>
        <xdr:cNvPr id="6279622" name="cht_scatter_57">
          <a:extLst>
            <a:ext uri="{FF2B5EF4-FFF2-40B4-BE49-F238E27FC236}">
              <a16:creationId xmlns:a16="http://schemas.microsoft.com/office/drawing/2014/main" id="{00000000-0008-0000-2400-0000C6D1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0</xdr:colOff>
      <xdr:row>57</xdr:row>
      <xdr:rowOff>0</xdr:rowOff>
    </xdr:from>
    <xdr:to>
      <xdr:col>13</xdr:col>
      <xdr:colOff>2185307</xdr:colOff>
      <xdr:row>58</xdr:row>
      <xdr:rowOff>0</xdr:rowOff>
    </xdr:to>
    <xdr:graphicFrame macro="">
      <xdr:nvGraphicFramePr>
        <xdr:cNvPr id="6279623" name="cht_scatter_58">
          <a:extLst>
            <a:ext uri="{FF2B5EF4-FFF2-40B4-BE49-F238E27FC236}">
              <a16:creationId xmlns:a16="http://schemas.microsoft.com/office/drawing/2014/main" id="{00000000-0008-0000-2400-0000C7D1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0</xdr:colOff>
      <xdr:row>58</xdr:row>
      <xdr:rowOff>0</xdr:rowOff>
    </xdr:from>
    <xdr:to>
      <xdr:col>13</xdr:col>
      <xdr:colOff>2185307</xdr:colOff>
      <xdr:row>59</xdr:row>
      <xdr:rowOff>0</xdr:rowOff>
    </xdr:to>
    <xdr:graphicFrame macro="">
      <xdr:nvGraphicFramePr>
        <xdr:cNvPr id="6279624" name="cht_scatter_59">
          <a:extLst>
            <a:ext uri="{FF2B5EF4-FFF2-40B4-BE49-F238E27FC236}">
              <a16:creationId xmlns:a16="http://schemas.microsoft.com/office/drawing/2014/main" id="{00000000-0008-0000-2400-0000C8D1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0</xdr:colOff>
      <xdr:row>59</xdr:row>
      <xdr:rowOff>0</xdr:rowOff>
    </xdr:from>
    <xdr:to>
      <xdr:col>13</xdr:col>
      <xdr:colOff>2185307</xdr:colOff>
      <xdr:row>60</xdr:row>
      <xdr:rowOff>0</xdr:rowOff>
    </xdr:to>
    <xdr:graphicFrame macro="">
      <xdr:nvGraphicFramePr>
        <xdr:cNvPr id="6279625" name="cht_scatter_60">
          <a:extLst>
            <a:ext uri="{FF2B5EF4-FFF2-40B4-BE49-F238E27FC236}">
              <a16:creationId xmlns:a16="http://schemas.microsoft.com/office/drawing/2014/main" id="{00000000-0008-0000-2400-0000C9D1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0</xdr:colOff>
      <xdr:row>60</xdr:row>
      <xdr:rowOff>0</xdr:rowOff>
    </xdr:from>
    <xdr:to>
      <xdr:col>13</xdr:col>
      <xdr:colOff>2185307</xdr:colOff>
      <xdr:row>61</xdr:row>
      <xdr:rowOff>0</xdr:rowOff>
    </xdr:to>
    <xdr:graphicFrame macro="">
      <xdr:nvGraphicFramePr>
        <xdr:cNvPr id="6279626" name="cht_scatter_61">
          <a:extLst>
            <a:ext uri="{FF2B5EF4-FFF2-40B4-BE49-F238E27FC236}">
              <a16:creationId xmlns:a16="http://schemas.microsoft.com/office/drawing/2014/main" id="{00000000-0008-0000-2400-0000CAD1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13</xdr:col>
      <xdr:colOff>0</xdr:colOff>
      <xdr:row>61</xdr:row>
      <xdr:rowOff>0</xdr:rowOff>
    </xdr:from>
    <xdr:to>
      <xdr:col>13</xdr:col>
      <xdr:colOff>2185307</xdr:colOff>
      <xdr:row>62</xdr:row>
      <xdr:rowOff>0</xdr:rowOff>
    </xdr:to>
    <xdr:graphicFrame macro="">
      <xdr:nvGraphicFramePr>
        <xdr:cNvPr id="6279627" name="cht_scatter_62">
          <a:extLst>
            <a:ext uri="{FF2B5EF4-FFF2-40B4-BE49-F238E27FC236}">
              <a16:creationId xmlns:a16="http://schemas.microsoft.com/office/drawing/2014/main" id="{00000000-0008-0000-2400-0000CBD1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13</xdr:col>
      <xdr:colOff>0</xdr:colOff>
      <xdr:row>62</xdr:row>
      <xdr:rowOff>0</xdr:rowOff>
    </xdr:from>
    <xdr:to>
      <xdr:col>13</xdr:col>
      <xdr:colOff>2185307</xdr:colOff>
      <xdr:row>63</xdr:row>
      <xdr:rowOff>0</xdr:rowOff>
    </xdr:to>
    <xdr:graphicFrame macro="">
      <xdr:nvGraphicFramePr>
        <xdr:cNvPr id="6279628" name="cht_scatter_63">
          <a:extLst>
            <a:ext uri="{FF2B5EF4-FFF2-40B4-BE49-F238E27FC236}">
              <a16:creationId xmlns:a16="http://schemas.microsoft.com/office/drawing/2014/main" id="{00000000-0008-0000-2400-0000CCD1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13</xdr:col>
      <xdr:colOff>0</xdr:colOff>
      <xdr:row>63</xdr:row>
      <xdr:rowOff>0</xdr:rowOff>
    </xdr:from>
    <xdr:to>
      <xdr:col>13</xdr:col>
      <xdr:colOff>2185307</xdr:colOff>
      <xdr:row>64</xdr:row>
      <xdr:rowOff>0</xdr:rowOff>
    </xdr:to>
    <xdr:graphicFrame macro="">
      <xdr:nvGraphicFramePr>
        <xdr:cNvPr id="6279629" name="cht_scatter_64">
          <a:extLst>
            <a:ext uri="{FF2B5EF4-FFF2-40B4-BE49-F238E27FC236}">
              <a16:creationId xmlns:a16="http://schemas.microsoft.com/office/drawing/2014/main" id="{00000000-0008-0000-2400-0000CDD1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13</xdr:col>
      <xdr:colOff>0</xdr:colOff>
      <xdr:row>64</xdr:row>
      <xdr:rowOff>0</xdr:rowOff>
    </xdr:from>
    <xdr:to>
      <xdr:col>13</xdr:col>
      <xdr:colOff>2185307</xdr:colOff>
      <xdr:row>65</xdr:row>
      <xdr:rowOff>0</xdr:rowOff>
    </xdr:to>
    <xdr:graphicFrame macro="">
      <xdr:nvGraphicFramePr>
        <xdr:cNvPr id="6279630" name="cht_scatter_65">
          <a:extLst>
            <a:ext uri="{FF2B5EF4-FFF2-40B4-BE49-F238E27FC236}">
              <a16:creationId xmlns:a16="http://schemas.microsoft.com/office/drawing/2014/main" id="{00000000-0008-0000-2400-0000CED1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13</xdr:col>
      <xdr:colOff>0</xdr:colOff>
      <xdr:row>65</xdr:row>
      <xdr:rowOff>0</xdr:rowOff>
    </xdr:from>
    <xdr:to>
      <xdr:col>13</xdr:col>
      <xdr:colOff>2185307</xdr:colOff>
      <xdr:row>66</xdr:row>
      <xdr:rowOff>0</xdr:rowOff>
    </xdr:to>
    <xdr:graphicFrame macro="">
      <xdr:nvGraphicFramePr>
        <xdr:cNvPr id="6279631" name="cht_scatter_66">
          <a:extLst>
            <a:ext uri="{FF2B5EF4-FFF2-40B4-BE49-F238E27FC236}">
              <a16:creationId xmlns:a16="http://schemas.microsoft.com/office/drawing/2014/main" id="{00000000-0008-0000-2400-0000CFD1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13</xdr:col>
      <xdr:colOff>0</xdr:colOff>
      <xdr:row>66</xdr:row>
      <xdr:rowOff>0</xdr:rowOff>
    </xdr:from>
    <xdr:to>
      <xdr:col>13</xdr:col>
      <xdr:colOff>2185307</xdr:colOff>
      <xdr:row>67</xdr:row>
      <xdr:rowOff>0</xdr:rowOff>
    </xdr:to>
    <xdr:graphicFrame macro="">
      <xdr:nvGraphicFramePr>
        <xdr:cNvPr id="6279632" name="cht_scatter_67">
          <a:extLst>
            <a:ext uri="{FF2B5EF4-FFF2-40B4-BE49-F238E27FC236}">
              <a16:creationId xmlns:a16="http://schemas.microsoft.com/office/drawing/2014/main" id="{00000000-0008-0000-2400-0000D0D1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13</xdr:col>
      <xdr:colOff>0</xdr:colOff>
      <xdr:row>67</xdr:row>
      <xdr:rowOff>0</xdr:rowOff>
    </xdr:from>
    <xdr:to>
      <xdr:col>13</xdr:col>
      <xdr:colOff>2185307</xdr:colOff>
      <xdr:row>68</xdr:row>
      <xdr:rowOff>0</xdr:rowOff>
    </xdr:to>
    <xdr:graphicFrame macro="">
      <xdr:nvGraphicFramePr>
        <xdr:cNvPr id="6279633" name="cht_scatter_68">
          <a:extLst>
            <a:ext uri="{FF2B5EF4-FFF2-40B4-BE49-F238E27FC236}">
              <a16:creationId xmlns:a16="http://schemas.microsoft.com/office/drawing/2014/main" id="{00000000-0008-0000-2400-0000D1D1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13</xdr:col>
      <xdr:colOff>0</xdr:colOff>
      <xdr:row>68</xdr:row>
      <xdr:rowOff>0</xdr:rowOff>
    </xdr:from>
    <xdr:to>
      <xdr:col>13</xdr:col>
      <xdr:colOff>2185307</xdr:colOff>
      <xdr:row>69</xdr:row>
      <xdr:rowOff>0</xdr:rowOff>
    </xdr:to>
    <xdr:graphicFrame macro="">
      <xdr:nvGraphicFramePr>
        <xdr:cNvPr id="6279634" name="cht_scatter_69">
          <a:extLst>
            <a:ext uri="{FF2B5EF4-FFF2-40B4-BE49-F238E27FC236}">
              <a16:creationId xmlns:a16="http://schemas.microsoft.com/office/drawing/2014/main" id="{00000000-0008-0000-2400-0000D2D1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13</xdr:col>
      <xdr:colOff>0</xdr:colOff>
      <xdr:row>69</xdr:row>
      <xdr:rowOff>0</xdr:rowOff>
    </xdr:from>
    <xdr:to>
      <xdr:col>13</xdr:col>
      <xdr:colOff>2185307</xdr:colOff>
      <xdr:row>70</xdr:row>
      <xdr:rowOff>0</xdr:rowOff>
    </xdr:to>
    <xdr:graphicFrame macro="">
      <xdr:nvGraphicFramePr>
        <xdr:cNvPr id="6279635" name="cht_scatter_70">
          <a:extLst>
            <a:ext uri="{FF2B5EF4-FFF2-40B4-BE49-F238E27FC236}">
              <a16:creationId xmlns:a16="http://schemas.microsoft.com/office/drawing/2014/main" id="{00000000-0008-0000-2400-0000D3D1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13</xdr:col>
      <xdr:colOff>0</xdr:colOff>
      <xdr:row>70</xdr:row>
      <xdr:rowOff>0</xdr:rowOff>
    </xdr:from>
    <xdr:to>
      <xdr:col>13</xdr:col>
      <xdr:colOff>2185307</xdr:colOff>
      <xdr:row>71</xdr:row>
      <xdr:rowOff>0</xdr:rowOff>
    </xdr:to>
    <xdr:graphicFrame macro="">
      <xdr:nvGraphicFramePr>
        <xdr:cNvPr id="6279636" name="cht_scatter_71">
          <a:extLst>
            <a:ext uri="{FF2B5EF4-FFF2-40B4-BE49-F238E27FC236}">
              <a16:creationId xmlns:a16="http://schemas.microsoft.com/office/drawing/2014/main" id="{00000000-0008-0000-2400-0000D4D1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13</xdr:col>
      <xdr:colOff>0</xdr:colOff>
      <xdr:row>71</xdr:row>
      <xdr:rowOff>0</xdr:rowOff>
    </xdr:from>
    <xdr:to>
      <xdr:col>13</xdr:col>
      <xdr:colOff>2185307</xdr:colOff>
      <xdr:row>72</xdr:row>
      <xdr:rowOff>0</xdr:rowOff>
    </xdr:to>
    <xdr:graphicFrame macro="">
      <xdr:nvGraphicFramePr>
        <xdr:cNvPr id="6279222" name="cht_scatter_72">
          <a:extLst>
            <a:ext uri="{FF2B5EF4-FFF2-40B4-BE49-F238E27FC236}">
              <a16:creationId xmlns:a16="http://schemas.microsoft.com/office/drawing/2014/main" id="{00000000-0008-0000-2400-000036D0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13</xdr:col>
      <xdr:colOff>0</xdr:colOff>
      <xdr:row>73</xdr:row>
      <xdr:rowOff>0</xdr:rowOff>
    </xdr:from>
    <xdr:to>
      <xdr:col>13</xdr:col>
      <xdr:colOff>2185307</xdr:colOff>
      <xdr:row>74</xdr:row>
      <xdr:rowOff>0</xdr:rowOff>
    </xdr:to>
    <xdr:graphicFrame macro="">
      <xdr:nvGraphicFramePr>
        <xdr:cNvPr id="6279223" name="cht_scatter_74">
          <a:extLst>
            <a:ext uri="{FF2B5EF4-FFF2-40B4-BE49-F238E27FC236}">
              <a16:creationId xmlns:a16="http://schemas.microsoft.com/office/drawing/2014/main" id="{00000000-0008-0000-2400-000037D0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13</xdr:col>
      <xdr:colOff>0</xdr:colOff>
      <xdr:row>74</xdr:row>
      <xdr:rowOff>0</xdr:rowOff>
    </xdr:from>
    <xdr:to>
      <xdr:col>13</xdr:col>
      <xdr:colOff>2185307</xdr:colOff>
      <xdr:row>75</xdr:row>
      <xdr:rowOff>0</xdr:rowOff>
    </xdr:to>
    <xdr:graphicFrame macro="">
      <xdr:nvGraphicFramePr>
        <xdr:cNvPr id="6279224" name="cht_scatter_75">
          <a:extLst>
            <a:ext uri="{FF2B5EF4-FFF2-40B4-BE49-F238E27FC236}">
              <a16:creationId xmlns:a16="http://schemas.microsoft.com/office/drawing/2014/main" id="{00000000-0008-0000-2400-000038D0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13</xdr:col>
      <xdr:colOff>0</xdr:colOff>
      <xdr:row>75</xdr:row>
      <xdr:rowOff>0</xdr:rowOff>
    </xdr:from>
    <xdr:to>
      <xdr:col>13</xdr:col>
      <xdr:colOff>2185307</xdr:colOff>
      <xdr:row>76</xdr:row>
      <xdr:rowOff>0</xdr:rowOff>
    </xdr:to>
    <xdr:graphicFrame macro="">
      <xdr:nvGraphicFramePr>
        <xdr:cNvPr id="6279225" name="cht_scatter_76">
          <a:extLst>
            <a:ext uri="{FF2B5EF4-FFF2-40B4-BE49-F238E27FC236}">
              <a16:creationId xmlns:a16="http://schemas.microsoft.com/office/drawing/2014/main" id="{00000000-0008-0000-2400-000039D0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13</xdr:col>
      <xdr:colOff>0</xdr:colOff>
      <xdr:row>76</xdr:row>
      <xdr:rowOff>0</xdr:rowOff>
    </xdr:from>
    <xdr:to>
      <xdr:col>13</xdr:col>
      <xdr:colOff>2185307</xdr:colOff>
      <xdr:row>77</xdr:row>
      <xdr:rowOff>0</xdr:rowOff>
    </xdr:to>
    <xdr:graphicFrame macro="">
      <xdr:nvGraphicFramePr>
        <xdr:cNvPr id="6279226" name="cht_scatter_77">
          <a:extLst>
            <a:ext uri="{FF2B5EF4-FFF2-40B4-BE49-F238E27FC236}">
              <a16:creationId xmlns:a16="http://schemas.microsoft.com/office/drawing/2014/main" id="{00000000-0008-0000-2400-00003AD0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13</xdr:col>
      <xdr:colOff>0</xdr:colOff>
      <xdr:row>78</xdr:row>
      <xdr:rowOff>0</xdr:rowOff>
    </xdr:from>
    <xdr:to>
      <xdr:col>13</xdr:col>
      <xdr:colOff>2185307</xdr:colOff>
      <xdr:row>79</xdr:row>
      <xdr:rowOff>0</xdr:rowOff>
    </xdr:to>
    <xdr:graphicFrame macro="">
      <xdr:nvGraphicFramePr>
        <xdr:cNvPr id="6279227" name="cht_scatter_79">
          <a:extLst>
            <a:ext uri="{FF2B5EF4-FFF2-40B4-BE49-F238E27FC236}">
              <a16:creationId xmlns:a16="http://schemas.microsoft.com/office/drawing/2014/main" id="{00000000-0008-0000-2400-00003BD0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13</xdr:col>
      <xdr:colOff>0</xdr:colOff>
      <xdr:row>79</xdr:row>
      <xdr:rowOff>0</xdr:rowOff>
    </xdr:from>
    <xdr:to>
      <xdr:col>13</xdr:col>
      <xdr:colOff>2185307</xdr:colOff>
      <xdr:row>80</xdr:row>
      <xdr:rowOff>0</xdr:rowOff>
    </xdr:to>
    <xdr:graphicFrame macro="">
      <xdr:nvGraphicFramePr>
        <xdr:cNvPr id="6279228" name="cht_scatter_80">
          <a:extLst>
            <a:ext uri="{FF2B5EF4-FFF2-40B4-BE49-F238E27FC236}">
              <a16:creationId xmlns:a16="http://schemas.microsoft.com/office/drawing/2014/main" id="{00000000-0008-0000-2400-00003CD0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13</xdr:col>
      <xdr:colOff>0</xdr:colOff>
      <xdr:row>80</xdr:row>
      <xdr:rowOff>0</xdr:rowOff>
    </xdr:from>
    <xdr:to>
      <xdr:col>13</xdr:col>
      <xdr:colOff>2185307</xdr:colOff>
      <xdr:row>81</xdr:row>
      <xdr:rowOff>0</xdr:rowOff>
    </xdr:to>
    <xdr:graphicFrame macro="">
      <xdr:nvGraphicFramePr>
        <xdr:cNvPr id="6279229" name="cht_scatter_81">
          <a:extLst>
            <a:ext uri="{FF2B5EF4-FFF2-40B4-BE49-F238E27FC236}">
              <a16:creationId xmlns:a16="http://schemas.microsoft.com/office/drawing/2014/main" id="{00000000-0008-0000-2400-00003DD0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13</xdr:col>
      <xdr:colOff>0</xdr:colOff>
      <xdr:row>81</xdr:row>
      <xdr:rowOff>0</xdr:rowOff>
    </xdr:from>
    <xdr:to>
      <xdr:col>13</xdr:col>
      <xdr:colOff>2185307</xdr:colOff>
      <xdr:row>82</xdr:row>
      <xdr:rowOff>0</xdr:rowOff>
    </xdr:to>
    <xdr:graphicFrame macro="">
      <xdr:nvGraphicFramePr>
        <xdr:cNvPr id="6279230" name="cht_scatter_82">
          <a:extLst>
            <a:ext uri="{FF2B5EF4-FFF2-40B4-BE49-F238E27FC236}">
              <a16:creationId xmlns:a16="http://schemas.microsoft.com/office/drawing/2014/main" id="{00000000-0008-0000-2400-00003ED0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13</xdr:col>
      <xdr:colOff>0</xdr:colOff>
      <xdr:row>82</xdr:row>
      <xdr:rowOff>0</xdr:rowOff>
    </xdr:from>
    <xdr:to>
      <xdr:col>13</xdr:col>
      <xdr:colOff>2185307</xdr:colOff>
      <xdr:row>83</xdr:row>
      <xdr:rowOff>0</xdr:rowOff>
    </xdr:to>
    <xdr:graphicFrame macro="">
      <xdr:nvGraphicFramePr>
        <xdr:cNvPr id="6279231" name="cht_scatter_83">
          <a:extLst>
            <a:ext uri="{FF2B5EF4-FFF2-40B4-BE49-F238E27FC236}">
              <a16:creationId xmlns:a16="http://schemas.microsoft.com/office/drawing/2014/main" id="{00000000-0008-0000-2400-00003FD0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13</xdr:col>
      <xdr:colOff>0</xdr:colOff>
      <xdr:row>83</xdr:row>
      <xdr:rowOff>0</xdr:rowOff>
    </xdr:from>
    <xdr:to>
      <xdr:col>13</xdr:col>
      <xdr:colOff>2185307</xdr:colOff>
      <xdr:row>84</xdr:row>
      <xdr:rowOff>0</xdr:rowOff>
    </xdr:to>
    <xdr:graphicFrame macro="">
      <xdr:nvGraphicFramePr>
        <xdr:cNvPr id="6279232" name="cht_scatter_84">
          <a:extLst>
            <a:ext uri="{FF2B5EF4-FFF2-40B4-BE49-F238E27FC236}">
              <a16:creationId xmlns:a16="http://schemas.microsoft.com/office/drawing/2014/main" id="{00000000-0008-0000-2400-000040D0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13</xdr:col>
      <xdr:colOff>0</xdr:colOff>
      <xdr:row>84</xdr:row>
      <xdr:rowOff>0</xdr:rowOff>
    </xdr:from>
    <xdr:to>
      <xdr:col>13</xdr:col>
      <xdr:colOff>2185307</xdr:colOff>
      <xdr:row>85</xdr:row>
      <xdr:rowOff>0</xdr:rowOff>
    </xdr:to>
    <xdr:graphicFrame macro="">
      <xdr:nvGraphicFramePr>
        <xdr:cNvPr id="6279233" name="cht_scatter_85">
          <a:extLst>
            <a:ext uri="{FF2B5EF4-FFF2-40B4-BE49-F238E27FC236}">
              <a16:creationId xmlns:a16="http://schemas.microsoft.com/office/drawing/2014/main" id="{00000000-0008-0000-2400-000041D0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13</xdr:col>
      <xdr:colOff>0</xdr:colOff>
      <xdr:row>85</xdr:row>
      <xdr:rowOff>0</xdr:rowOff>
    </xdr:from>
    <xdr:to>
      <xdr:col>13</xdr:col>
      <xdr:colOff>2185307</xdr:colOff>
      <xdr:row>86</xdr:row>
      <xdr:rowOff>0</xdr:rowOff>
    </xdr:to>
    <xdr:graphicFrame macro="">
      <xdr:nvGraphicFramePr>
        <xdr:cNvPr id="6279234" name="cht_scatter_86">
          <a:extLst>
            <a:ext uri="{FF2B5EF4-FFF2-40B4-BE49-F238E27FC236}">
              <a16:creationId xmlns:a16="http://schemas.microsoft.com/office/drawing/2014/main" id="{00000000-0008-0000-2400-000042D0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13</xdr:col>
      <xdr:colOff>0</xdr:colOff>
      <xdr:row>86</xdr:row>
      <xdr:rowOff>0</xdr:rowOff>
    </xdr:from>
    <xdr:to>
      <xdr:col>13</xdr:col>
      <xdr:colOff>2185307</xdr:colOff>
      <xdr:row>87</xdr:row>
      <xdr:rowOff>0</xdr:rowOff>
    </xdr:to>
    <xdr:graphicFrame macro="">
      <xdr:nvGraphicFramePr>
        <xdr:cNvPr id="6279235" name="cht_scatter_87">
          <a:extLst>
            <a:ext uri="{FF2B5EF4-FFF2-40B4-BE49-F238E27FC236}">
              <a16:creationId xmlns:a16="http://schemas.microsoft.com/office/drawing/2014/main" id="{00000000-0008-0000-2400-000043D0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13</xdr:col>
      <xdr:colOff>0</xdr:colOff>
      <xdr:row>87</xdr:row>
      <xdr:rowOff>0</xdr:rowOff>
    </xdr:from>
    <xdr:to>
      <xdr:col>13</xdr:col>
      <xdr:colOff>2185307</xdr:colOff>
      <xdr:row>88</xdr:row>
      <xdr:rowOff>0</xdr:rowOff>
    </xdr:to>
    <xdr:graphicFrame macro="">
      <xdr:nvGraphicFramePr>
        <xdr:cNvPr id="6279236" name="cht_scatter_88">
          <a:extLst>
            <a:ext uri="{FF2B5EF4-FFF2-40B4-BE49-F238E27FC236}">
              <a16:creationId xmlns:a16="http://schemas.microsoft.com/office/drawing/2014/main" id="{00000000-0008-0000-2400-000044D0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13</xdr:col>
      <xdr:colOff>0</xdr:colOff>
      <xdr:row>88</xdr:row>
      <xdr:rowOff>0</xdr:rowOff>
    </xdr:from>
    <xdr:to>
      <xdr:col>13</xdr:col>
      <xdr:colOff>2185307</xdr:colOff>
      <xdr:row>89</xdr:row>
      <xdr:rowOff>0</xdr:rowOff>
    </xdr:to>
    <xdr:graphicFrame macro="">
      <xdr:nvGraphicFramePr>
        <xdr:cNvPr id="6279237" name="cht_scatter_89">
          <a:extLst>
            <a:ext uri="{FF2B5EF4-FFF2-40B4-BE49-F238E27FC236}">
              <a16:creationId xmlns:a16="http://schemas.microsoft.com/office/drawing/2014/main" id="{00000000-0008-0000-2400-000045D0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13</xdr:col>
      <xdr:colOff>0</xdr:colOff>
      <xdr:row>39</xdr:row>
      <xdr:rowOff>304801</xdr:rowOff>
    </xdr:from>
    <xdr:to>
      <xdr:col>14</xdr:col>
      <xdr:colOff>0</xdr:colOff>
      <xdr:row>39</xdr:row>
      <xdr:rowOff>438151</xdr:rowOff>
    </xdr:to>
    <xdr:grpSp>
      <xdr:nvGrpSpPr>
        <xdr:cNvPr id="6279238" name="grp_ScaleText_1">
          <a:extLst>
            <a:ext uri="{FF2B5EF4-FFF2-40B4-BE49-F238E27FC236}">
              <a16:creationId xmlns:a16="http://schemas.microsoft.com/office/drawing/2014/main" id="{00000000-0008-0000-2400-000046D05F00}"/>
            </a:ext>
          </a:extLst>
        </xdr:cNvPr>
        <xdr:cNvGrpSpPr/>
      </xdr:nvGrpSpPr>
      <xdr:grpSpPr>
        <a:xfrm>
          <a:off x="10281557" y="9334501"/>
          <a:ext cx="2204357" cy="133350"/>
          <a:chOff x="4857750" y="2114550"/>
          <a:chExt cx="1371600" cy="285750"/>
        </a:xfrm>
      </xdr:grpSpPr>
      <xdr:sp macro="" textlink="">
        <xdr:nvSpPr>
          <xdr:cNvPr id="6279239" name="TextBox 6279238">
            <a:extLst>
              <a:ext uri="{FF2B5EF4-FFF2-40B4-BE49-F238E27FC236}">
                <a16:creationId xmlns:a16="http://schemas.microsoft.com/office/drawing/2014/main" id="{00000000-0008-0000-2400-000047D05F00}"/>
              </a:ext>
            </a:extLst>
          </xdr:cNvPr>
          <xdr:cNvSpPr txBox="1"/>
        </xdr:nvSpPr>
        <xdr:spPr>
          <a:xfrm>
            <a:off x="4857750" y="2114550"/>
            <a:ext cx="1809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14400" rtlCol="0" anchor="b" anchorCtr="0"/>
          <a:lstStyle/>
          <a:p>
            <a:r>
              <a:rPr lang="en-GB" sz="800" b="1">
                <a:solidFill>
                  <a:schemeClr val="bg1">
                    <a:lumMod val="50000"/>
                  </a:schemeClr>
                </a:solidFill>
              </a:rPr>
              <a:t>0</a:t>
            </a:r>
          </a:p>
        </xdr:txBody>
      </xdr:sp>
      <xdr:sp macro="" textlink="">
        <xdr:nvSpPr>
          <xdr:cNvPr id="6279240" name="TextBox 6279239">
            <a:extLst>
              <a:ext uri="{FF2B5EF4-FFF2-40B4-BE49-F238E27FC236}">
                <a16:creationId xmlns:a16="http://schemas.microsoft.com/office/drawing/2014/main" id="{00000000-0008-0000-2400-000048D05F00}"/>
              </a:ext>
            </a:extLst>
          </xdr:cNvPr>
          <xdr:cNvSpPr txBox="1"/>
        </xdr:nvSpPr>
        <xdr:spPr>
          <a:xfrm>
            <a:off x="6048375" y="2114550"/>
            <a:ext cx="1809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14400" rtlCol="0" anchor="b" anchorCtr="0"/>
          <a:lstStyle/>
          <a:p>
            <a:pPr algn="r"/>
            <a:r>
              <a:rPr lang="en-GB" sz="800" b="1">
                <a:solidFill>
                  <a:schemeClr val="bg1">
                    <a:lumMod val="50000"/>
                  </a:schemeClr>
                </a:solidFill>
              </a:rPr>
              <a:t>100</a:t>
            </a:r>
          </a:p>
        </xdr:txBody>
      </xdr:sp>
    </xdr:grpSp>
    <xdr:clientData/>
  </xdr:twoCellAnchor>
  <xdr:twoCellAnchor>
    <xdr:from>
      <xdr:col>13</xdr:col>
      <xdr:colOff>0</xdr:colOff>
      <xdr:row>47</xdr:row>
      <xdr:rowOff>283036</xdr:rowOff>
    </xdr:from>
    <xdr:to>
      <xdr:col>14</xdr:col>
      <xdr:colOff>0</xdr:colOff>
      <xdr:row>47</xdr:row>
      <xdr:rowOff>416386</xdr:rowOff>
    </xdr:to>
    <xdr:grpSp>
      <xdr:nvGrpSpPr>
        <xdr:cNvPr id="6279244" name="grp_ScaleText_1">
          <a:extLst>
            <a:ext uri="{FF2B5EF4-FFF2-40B4-BE49-F238E27FC236}">
              <a16:creationId xmlns:a16="http://schemas.microsoft.com/office/drawing/2014/main" id="{00000000-0008-0000-2400-00004CD05F00}"/>
            </a:ext>
          </a:extLst>
        </xdr:cNvPr>
        <xdr:cNvGrpSpPr/>
      </xdr:nvGrpSpPr>
      <xdr:grpSpPr>
        <a:xfrm>
          <a:off x="10281557" y="11359250"/>
          <a:ext cx="2204357" cy="133350"/>
          <a:chOff x="4857750" y="2114550"/>
          <a:chExt cx="1371600" cy="285750"/>
        </a:xfrm>
      </xdr:grpSpPr>
      <xdr:sp macro="" textlink="">
        <xdr:nvSpPr>
          <xdr:cNvPr id="6279245" name="TextBox 6279244">
            <a:extLst>
              <a:ext uri="{FF2B5EF4-FFF2-40B4-BE49-F238E27FC236}">
                <a16:creationId xmlns:a16="http://schemas.microsoft.com/office/drawing/2014/main" id="{00000000-0008-0000-2400-00004DD05F00}"/>
              </a:ext>
            </a:extLst>
          </xdr:cNvPr>
          <xdr:cNvSpPr txBox="1"/>
        </xdr:nvSpPr>
        <xdr:spPr>
          <a:xfrm>
            <a:off x="4857750" y="2114550"/>
            <a:ext cx="1809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14400" rtlCol="0" anchor="b" anchorCtr="0"/>
          <a:lstStyle/>
          <a:p>
            <a:r>
              <a:rPr lang="en-GB" sz="800" b="1">
                <a:solidFill>
                  <a:schemeClr val="bg1">
                    <a:lumMod val="50000"/>
                  </a:schemeClr>
                </a:solidFill>
              </a:rPr>
              <a:t>0</a:t>
            </a:r>
          </a:p>
        </xdr:txBody>
      </xdr:sp>
      <xdr:sp macro="" textlink="">
        <xdr:nvSpPr>
          <xdr:cNvPr id="6279246" name="TextBox 6279245">
            <a:extLst>
              <a:ext uri="{FF2B5EF4-FFF2-40B4-BE49-F238E27FC236}">
                <a16:creationId xmlns:a16="http://schemas.microsoft.com/office/drawing/2014/main" id="{00000000-0008-0000-2400-00004ED05F00}"/>
              </a:ext>
            </a:extLst>
          </xdr:cNvPr>
          <xdr:cNvSpPr txBox="1"/>
        </xdr:nvSpPr>
        <xdr:spPr>
          <a:xfrm>
            <a:off x="6048375" y="2114550"/>
            <a:ext cx="1809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14400" rtlCol="0" anchor="b" anchorCtr="0"/>
          <a:lstStyle/>
          <a:p>
            <a:pPr algn="r"/>
            <a:r>
              <a:rPr lang="en-GB" sz="800" b="1">
                <a:solidFill>
                  <a:schemeClr val="bg1">
                    <a:lumMod val="50000"/>
                  </a:schemeClr>
                </a:solidFill>
              </a:rPr>
              <a:t>100</a:t>
            </a:r>
          </a:p>
        </xdr:txBody>
      </xdr:sp>
    </xdr:grpSp>
    <xdr:clientData/>
  </xdr:twoCellAnchor>
  <xdr:twoCellAnchor>
    <xdr:from>
      <xdr:col>13</xdr:col>
      <xdr:colOff>0</xdr:colOff>
      <xdr:row>72</xdr:row>
      <xdr:rowOff>288474</xdr:rowOff>
    </xdr:from>
    <xdr:to>
      <xdr:col>14</xdr:col>
      <xdr:colOff>0</xdr:colOff>
      <xdr:row>72</xdr:row>
      <xdr:rowOff>421824</xdr:rowOff>
    </xdr:to>
    <xdr:grpSp>
      <xdr:nvGrpSpPr>
        <xdr:cNvPr id="6279247" name="grp_ScaleText_1">
          <a:extLst>
            <a:ext uri="{FF2B5EF4-FFF2-40B4-BE49-F238E27FC236}">
              <a16:creationId xmlns:a16="http://schemas.microsoft.com/office/drawing/2014/main" id="{00000000-0008-0000-2400-00004FD05F00}"/>
            </a:ext>
          </a:extLst>
        </xdr:cNvPr>
        <xdr:cNvGrpSpPr/>
      </xdr:nvGrpSpPr>
      <xdr:grpSpPr>
        <a:xfrm>
          <a:off x="10281557" y="17297403"/>
          <a:ext cx="2204357" cy="133350"/>
          <a:chOff x="4857750" y="2114550"/>
          <a:chExt cx="1371600" cy="285750"/>
        </a:xfrm>
      </xdr:grpSpPr>
      <xdr:sp macro="" textlink="">
        <xdr:nvSpPr>
          <xdr:cNvPr id="6279248" name="TextBox 6279247">
            <a:extLst>
              <a:ext uri="{FF2B5EF4-FFF2-40B4-BE49-F238E27FC236}">
                <a16:creationId xmlns:a16="http://schemas.microsoft.com/office/drawing/2014/main" id="{00000000-0008-0000-2400-000050D05F00}"/>
              </a:ext>
            </a:extLst>
          </xdr:cNvPr>
          <xdr:cNvSpPr txBox="1"/>
        </xdr:nvSpPr>
        <xdr:spPr>
          <a:xfrm>
            <a:off x="4857750" y="2114550"/>
            <a:ext cx="1809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14400" rtlCol="0" anchor="b" anchorCtr="0"/>
          <a:lstStyle/>
          <a:p>
            <a:r>
              <a:rPr lang="en-GB" sz="800" b="1">
                <a:solidFill>
                  <a:schemeClr val="bg1">
                    <a:lumMod val="50000"/>
                  </a:schemeClr>
                </a:solidFill>
              </a:rPr>
              <a:t>0</a:t>
            </a:r>
          </a:p>
        </xdr:txBody>
      </xdr:sp>
      <xdr:sp macro="" textlink="">
        <xdr:nvSpPr>
          <xdr:cNvPr id="6279249" name="TextBox 6279248">
            <a:extLst>
              <a:ext uri="{FF2B5EF4-FFF2-40B4-BE49-F238E27FC236}">
                <a16:creationId xmlns:a16="http://schemas.microsoft.com/office/drawing/2014/main" id="{00000000-0008-0000-2400-000051D05F00}"/>
              </a:ext>
            </a:extLst>
          </xdr:cNvPr>
          <xdr:cNvSpPr txBox="1"/>
        </xdr:nvSpPr>
        <xdr:spPr>
          <a:xfrm>
            <a:off x="6048375" y="2114550"/>
            <a:ext cx="1809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14400" rtlCol="0" anchor="b" anchorCtr="0"/>
          <a:lstStyle/>
          <a:p>
            <a:pPr algn="r"/>
            <a:r>
              <a:rPr lang="en-GB" sz="800" b="1">
                <a:solidFill>
                  <a:schemeClr val="bg1">
                    <a:lumMod val="50000"/>
                  </a:schemeClr>
                </a:solidFill>
              </a:rPr>
              <a:t>100</a:t>
            </a:r>
          </a:p>
        </xdr:txBody>
      </xdr:sp>
    </xdr:grpSp>
    <xdr:clientData/>
  </xdr:twoCellAnchor>
  <xdr:twoCellAnchor>
    <xdr:from>
      <xdr:col>13</xdr:col>
      <xdr:colOff>0</xdr:colOff>
      <xdr:row>77</xdr:row>
      <xdr:rowOff>288475</xdr:rowOff>
    </xdr:from>
    <xdr:to>
      <xdr:col>14</xdr:col>
      <xdr:colOff>0</xdr:colOff>
      <xdr:row>77</xdr:row>
      <xdr:rowOff>421825</xdr:rowOff>
    </xdr:to>
    <xdr:grpSp>
      <xdr:nvGrpSpPr>
        <xdr:cNvPr id="6279250" name="grp_ScaleText_1">
          <a:extLst>
            <a:ext uri="{FF2B5EF4-FFF2-40B4-BE49-F238E27FC236}">
              <a16:creationId xmlns:a16="http://schemas.microsoft.com/office/drawing/2014/main" id="{00000000-0008-0000-2400-000052D05F00}"/>
            </a:ext>
          </a:extLst>
        </xdr:cNvPr>
        <xdr:cNvGrpSpPr/>
      </xdr:nvGrpSpPr>
      <xdr:grpSpPr>
        <a:xfrm>
          <a:off x="10281557" y="18658118"/>
          <a:ext cx="2204357" cy="133350"/>
          <a:chOff x="4857750" y="2114550"/>
          <a:chExt cx="1371600" cy="285750"/>
        </a:xfrm>
      </xdr:grpSpPr>
      <xdr:sp macro="" textlink="">
        <xdr:nvSpPr>
          <xdr:cNvPr id="6279251" name="TextBox 6279250">
            <a:extLst>
              <a:ext uri="{FF2B5EF4-FFF2-40B4-BE49-F238E27FC236}">
                <a16:creationId xmlns:a16="http://schemas.microsoft.com/office/drawing/2014/main" id="{00000000-0008-0000-2400-000053D05F00}"/>
              </a:ext>
            </a:extLst>
          </xdr:cNvPr>
          <xdr:cNvSpPr txBox="1"/>
        </xdr:nvSpPr>
        <xdr:spPr>
          <a:xfrm>
            <a:off x="4857750" y="2114550"/>
            <a:ext cx="1809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14400" rtlCol="0" anchor="b" anchorCtr="0"/>
          <a:lstStyle/>
          <a:p>
            <a:r>
              <a:rPr lang="en-GB" sz="800" b="1">
                <a:solidFill>
                  <a:schemeClr val="bg1">
                    <a:lumMod val="50000"/>
                  </a:schemeClr>
                </a:solidFill>
              </a:rPr>
              <a:t>0</a:t>
            </a:r>
          </a:p>
        </xdr:txBody>
      </xdr:sp>
      <xdr:sp macro="" textlink="">
        <xdr:nvSpPr>
          <xdr:cNvPr id="6279252" name="TextBox 6279251">
            <a:extLst>
              <a:ext uri="{FF2B5EF4-FFF2-40B4-BE49-F238E27FC236}">
                <a16:creationId xmlns:a16="http://schemas.microsoft.com/office/drawing/2014/main" id="{00000000-0008-0000-2400-000054D05F00}"/>
              </a:ext>
            </a:extLst>
          </xdr:cNvPr>
          <xdr:cNvSpPr txBox="1"/>
        </xdr:nvSpPr>
        <xdr:spPr>
          <a:xfrm>
            <a:off x="6048375" y="2114550"/>
            <a:ext cx="1809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14400" rtlCol="0" anchor="b" anchorCtr="0"/>
          <a:lstStyle/>
          <a:p>
            <a:pPr algn="r"/>
            <a:r>
              <a:rPr lang="en-GB" sz="800" b="1">
                <a:solidFill>
                  <a:schemeClr val="bg1">
                    <a:lumMod val="50000"/>
                  </a:schemeClr>
                </a:solidFill>
              </a:rPr>
              <a:t>100</a:t>
            </a:r>
          </a:p>
        </xdr:txBody>
      </xdr:sp>
    </xdr:grpSp>
    <xdr:clientData/>
  </xdr:twoCellAnchor>
  <xdr:twoCellAnchor>
    <xdr:from>
      <xdr:col>3</xdr:col>
      <xdr:colOff>0</xdr:colOff>
      <xdr:row>92</xdr:row>
      <xdr:rowOff>0</xdr:rowOff>
    </xdr:from>
    <xdr:to>
      <xdr:col>12</xdr:col>
      <xdr:colOff>1015093</xdr:colOff>
      <xdr:row>93</xdr:row>
      <xdr:rowOff>0</xdr:rowOff>
    </xdr:to>
    <xdr:sp macro="k" textlink="">
      <xdr:nvSpPr>
        <xdr:cNvPr id="6279652" name="go_top">
          <a:extLst>
            <a:ext uri="{FF2B5EF4-FFF2-40B4-BE49-F238E27FC236}">
              <a16:creationId xmlns:a16="http://schemas.microsoft.com/office/drawing/2014/main" id="{00000000-0008-0000-2400-0000E4D15F00}"/>
            </a:ext>
          </a:extLst>
        </xdr:cNvPr>
        <xdr:cNvSpPr txBox="1"/>
      </xdr:nvSpPr>
      <xdr:spPr>
        <a:xfrm>
          <a:off x="489857" y="15484929"/>
          <a:ext cx="1015093" cy="185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none" strike="noStrike" baseline="0">
              <a:solidFill>
                <a:srgbClr val="0070C0"/>
              </a:solidFill>
              <a:latin typeface="+mn-lt"/>
            </a:rPr>
            <a:t>↑ Top of page</a:t>
          </a:r>
        </a:p>
      </xdr:txBody>
    </xdr:sp>
    <xdr:clientData fPrintsWithSheet="0"/>
  </xdr:twoCellAnchor>
  <xdr:twoCellAnchor editAs="absolute">
    <xdr:from>
      <xdr:col>0</xdr:col>
      <xdr:colOff>0</xdr:colOff>
      <xdr:row>3</xdr:row>
      <xdr:rowOff>533397</xdr:rowOff>
    </xdr:from>
    <xdr:to>
      <xdr:col>13</xdr:col>
      <xdr:colOff>1605643</xdr:colOff>
      <xdr:row>4</xdr:row>
      <xdr:rowOff>304797</xdr:rowOff>
    </xdr:to>
    <xdr:sp macro="[0]!k" textlink="">
      <xdr:nvSpPr>
        <xdr:cNvPr id="49" name="ui_txt_infobar" hidden="1">
          <a:extLst>
            <a:ext uri="{FF2B5EF4-FFF2-40B4-BE49-F238E27FC236}">
              <a16:creationId xmlns:a16="http://schemas.microsoft.com/office/drawing/2014/main" id="{00000000-0008-0000-2400-000031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000"/>
        </a:p>
      </xdr:txBody>
    </xdr:sp>
    <xdr:clientData fPrintsWithSheet="0"/>
  </xdr:twoCellAnchor>
  <xdr:twoCellAnchor editAs="absolute">
    <xdr:from>
      <xdr:col>0</xdr:col>
      <xdr:colOff>0</xdr:colOff>
      <xdr:row>0</xdr:row>
      <xdr:rowOff>0</xdr:rowOff>
    </xdr:from>
    <xdr:to>
      <xdr:col>13</xdr:col>
      <xdr:colOff>1605643</xdr:colOff>
      <xdr:row>2</xdr:row>
      <xdr:rowOff>0</xdr:rowOff>
    </xdr:to>
    <xdr:sp macro="[0]!k" textlink="">
      <xdr:nvSpPr>
        <xdr:cNvPr id="2" name="ui_cmd_leave_zen_mode" hidden="1">
          <a:extLst>
            <a:ext uri="{FF2B5EF4-FFF2-40B4-BE49-F238E27FC236}">
              <a16:creationId xmlns:a16="http://schemas.microsoft.com/office/drawing/2014/main" id="{00000000-0008-0000-2400-000002000000}"/>
            </a:ext>
          </a:extLst>
        </xdr:cNvPr>
        <xdr:cNvSpPr txBox="1"/>
      </xdr:nvSpPr>
      <xdr:spPr>
        <a:xfrm>
          <a:off x="0" y="0"/>
          <a:ext cx="11887200" cy="304800"/>
        </a:xfrm>
        <a:prstGeom prst="rect">
          <a:avLst/>
        </a:prstGeom>
        <a:solidFill>
          <a:schemeClr val="l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GB" sz="1100" b="1">
              <a:solidFill>
                <a:schemeClr val="bg1">
                  <a:lumMod val="65000"/>
                </a:schemeClr>
              </a:solidFill>
            </a:rPr>
            <a:t>ZEN MODE.  NAVIGATION IS HIDDEN TO MAXIMISE VISIBLE</a:t>
          </a:r>
          <a:r>
            <a:rPr lang="en-GB" sz="1100" b="1" baseline="0">
              <a:solidFill>
                <a:schemeClr val="bg1">
                  <a:lumMod val="65000"/>
                </a:schemeClr>
              </a:solidFill>
            </a:rPr>
            <a:t> CONTENT. </a:t>
          </a:r>
          <a:r>
            <a:rPr lang="en-GB" sz="1100" b="1">
              <a:solidFill>
                <a:schemeClr val="bg1">
                  <a:lumMod val="65000"/>
                </a:schemeClr>
              </a:solidFill>
            </a:rPr>
            <a:t>  </a:t>
          </a:r>
          <a:r>
            <a:rPr lang="en-GB" sz="1100" b="1" u="sng">
              <a:solidFill>
                <a:srgbClr val="0070C0"/>
              </a:solidFill>
            </a:rPr>
            <a:t>CLICK HERE</a:t>
          </a:r>
          <a:r>
            <a:rPr lang="en-GB" sz="1100" b="1" baseline="0">
              <a:solidFill>
                <a:srgbClr val="0070C0"/>
              </a:solidFill>
            </a:rPr>
            <a:t> </a:t>
          </a:r>
          <a:r>
            <a:rPr lang="en-GB" sz="1100" b="1">
              <a:solidFill>
                <a:schemeClr val="bg1">
                  <a:lumMod val="65000"/>
                </a:schemeClr>
              </a:solidFill>
            </a:rPr>
            <a:t>TO RESTORE NAVIGATION</a:t>
          </a:r>
        </a:p>
      </xdr:txBody>
    </xdr:sp>
    <xdr:clientData fPrintsWithSheet="0"/>
  </xdr:twoCellAnchor>
  <xdr:twoCellAnchor editAs="absolute">
    <xdr:from>
      <xdr:col>0</xdr:col>
      <xdr:colOff>0</xdr:colOff>
      <xdr:row>3</xdr:row>
      <xdr:rowOff>533397</xdr:rowOff>
    </xdr:from>
    <xdr:to>
      <xdr:col>13</xdr:col>
      <xdr:colOff>1605643</xdr:colOff>
      <xdr:row>4</xdr:row>
      <xdr:rowOff>304797</xdr:rowOff>
    </xdr:to>
    <xdr:sp macro="[0]!k" textlink="">
      <xdr:nvSpPr>
        <xdr:cNvPr id="50" name="ui_cmd_warningbar" hidden="1">
          <a:extLst>
            <a:ext uri="{FF2B5EF4-FFF2-40B4-BE49-F238E27FC236}">
              <a16:creationId xmlns:a16="http://schemas.microsoft.com/office/drawing/2014/main" id="{00000000-0008-0000-2400-000032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000"/>
        </a:p>
      </xdr:txBody>
    </xdr:sp>
    <xdr:clientData fPrintsWithSheet="0"/>
  </xdr:twoCellAnchor>
  <xdr:twoCellAnchor editAs="absolute">
    <xdr:from>
      <xdr:col>0</xdr:col>
      <xdr:colOff>0</xdr:colOff>
      <xdr:row>3</xdr:row>
      <xdr:rowOff>533397</xdr:rowOff>
    </xdr:from>
    <xdr:to>
      <xdr:col>13</xdr:col>
      <xdr:colOff>1605643</xdr:colOff>
      <xdr:row>4</xdr:row>
      <xdr:rowOff>304797</xdr:rowOff>
    </xdr:to>
    <xdr:sp macro="[0]!k" textlink="">
      <xdr:nvSpPr>
        <xdr:cNvPr id="51" name="ui_cmd_globalwarninginfobar" hidden="1">
          <a:extLst>
            <a:ext uri="{FF2B5EF4-FFF2-40B4-BE49-F238E27FC236}">
              <a16:creationId xmlns:a16="http://schemas.microsoft.com/office/drawing/2014/main" id="{00000000-0008-0000-2400-000033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a:t>A</a:t>
          </a:r>
          <a:r>
            <a:rPr lang="en-GB" sz="1000" baseline="0"/>
            <a:t> custom weight profile is selected.  Scores and ranks may be different from official publication.  </a:t>
          </a:r>
          <a:r>
            <a:rPr lang="en-GB" sz="1000" b="1" u="sng" baseline="0">
              <a:solidFill>
                <a:srgbClr val="0070C0"/>
              </a:solidFill>
            </a:rPr>
            <a:t>RESTORE DEFAULT WEIGHT PROFILE</a:t>
          </a:r>
          <a:endParaRPr lang="en-GB" sz="1000" b="1" u="sng">
            <a:solidFill>
              <a:srgbClr val="0070C0"/>
            </a:solidFill>
          </a:endParaRPr>
        </a:p>
      </xdr:txBody>
    </xdr:sp>
    <xdr:clientData fPrintsWithSheet="0"/>
  </xdr:twoCellAnchor>
  <xdr:twoCellAnchor editAs="absolute">
    <xdr:from>
      <xdr:col>0</xdr:col>
      <xdr:colOff>0</xdr:colOff>
      <xdr:row>0</xdr:row>
      <xdr:rowOff>0</xdr:rowOff>
    </xdr:from>
    <xdr:to>
      <xdr:col>13</xdr:col>
      <xdr:colOff>1605645</xdr:colOff>
      <xdr:row>3</xdr:row>
      <xdr:rowOff>533397</xdr:rowOff>
    </xdr:to>
    <xdr:grpSp>
      <xdr:nvGrpSpPr>
        <xdr:cNvPr id="59" name="ui_all">
          <a:extLst>
            <a:ext uri="{FF2B5EF4-FFF2-40B4-BE49-F238E27FC236}">
              <a16:creationId xmlns:a16="http://schemas.microsoft.com/office/drawing/2014/main" id="{00000000-0008-0000-2400-00003B000000}"/>
            </a:ext>
          </a:extLst>
        </xdr:cNvPr>
        <xdr:cNvGrpSpPr/>
      </xdr:nvGrpSpPr>
      <xdr:grpSpPr>
        <a:xfrm>
          <a:off x="0" y="0"/>
          <a:ext cx="11887202" cy="1164768"/>
          <a:chOff x="0" y="304800"/>
          <a:chExt cx="11887202" cy="1164768"/>
        </a:xfrm>
      </xdr:grpSpPr>
      <xdr:sp macro="" textlink="">
        <xdr:nvSpPr>
          <xdr:cNvPr id="48" name="ui_dropdown_controls_bg">
            <a:extLst>
              <a:ext uri="{FF2B5EF4-FFF2-40B4-BE49-F238E27FC236}">
                <a16:creationId xmlns:a16="http://schemas.microsoft.com/office/drawing/2014/main" id="{00000000-0008-0000-2400-000030000000}"/>
              </a:ext>
            </a:extLst>
          </xdr:cNvPr>
          <xdr:cNvSpPr/>
        </xdr:nvSpPr>
        <xdr:spPr>
          <a:xfrm>
            <a:off x="0" y="936168"/>
            <a:ext cx="11887200" cy="533400"/>
          </a:xfrm>
          <a:prstGeom prst="rect">
            <a:avLst/>
          </a:prstGeom>
          <a:solidFill>
            <a:srgbClr xmlns:mc="http://schemas.openxmlformats.org/markup-compatibility/2006" xmlns:a14="http://schemas.microsoft.com/office/drawing/2010/main" val="F2F2F2" mc:Ignorable="a14" a14:legacySpreadsheetColorIndex="17"/>
          </a:solidFill>
          <a:ln w="9525" cap="flat" cmpd="sng" algn="ctr">
            <a:noFill/>
            <a:prstDash val="solid"/>
          </a:ln>
          <a:effectLst/>
          <a:extLst>
            <a:ext uri="{91240B29-F687-4F45-9708-019B960494DF}">
              <a14:hiddenLine xmlns:a14="http://schemas.microsoft.com/office/drawing/2010/main" w="9525" cap="flat" cmpd="sng" algn="ctr">
                <a:solidFill>
                  <a:srgbClr xmlns:mc="http://schemas.openxmlformats.org/markup-compatibility/2006" val="D8D8D8" mc:Ignorable="a14" a14:legacySpreadsheetColorIndex="18"/>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38" name="ui_page_second_bg">
            <a:extLst>
              <a:ext uri="{FF2B5EF4-FFF2-40B4-BE49-F238E27FC236}">
                <a16:creationId xmlns:a16="http://schemas.microsoft.com/office/drawing/2014/main" id="{00000000-0008-0000-2400-000026000000}"/>
              </a:ext>
            </a:extLst>
          </xdr:cNvPr>
          <xdr:cNvSpPr/>
        </xdr:nvSpPr>
        <xdr:spPr>
          <a:xfrm>
            <a:off x="11709400" y="609600"/>
            <a:ext cx="177800" cy="326568"/>
          </a:xfrm>
          <a:prstGeom prst="rect">
            <a:avLst/>
          </a:prstGeom>
          <a:solidFill>
            <a:srgbClr xmlns:mc="http://schemas.openxmlformats.org/markup-compatibility/2006" xmlns:a14="http://schemas.microsoft.com/office/drawing/2010/main" val="E3E3E3" mc:Ignorable="a14" a14:legacySpreadsheetColorIndex="13"/>
          </a:solidFill>
          <a:ln w="19050" cap="flat" cmpd="sng" algn="ctr">
            <a:noFill/>
            <a:prstDash val="solid"/>
          </a:ln>
          <a:effectLst/>
          <a:extLst>
            <a:ext uri="{91240B29-F687-4F45-9708-019B960494DF}">
              <a14:hiddenLine xmlns:a14="http://schemas.microsoft.com/office/drawing/2010/main" w="19050" cap="flat" cmpd="sng" algn="ctr">
                <a:solidFill>
                  <a:srgbClr xmlns:mc="http://schemas.openxmlformats.org/markup-compatibility/2006" val="D2D2D2" mc:Ignorable="a14" a14:legacySpreadsheetColorIndex="14"/>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37" name="ui_page_bg">
            <a:extLst>
              <a:ext uri="{FF2B5EF4-FFF2-40B4-BE49-F238E27FC236}">
                <a16:creationId xmlns:a16="http://schemas.microsoft.com/office/drawing/2014/main" id="{00000000-0008-0000-2400-000025000000}"/>
              </a:ext>
            </a:extLst>
          </xdr:cNvPr>
          <xdr:cNvSpPr/>
        </xdr:nvSpPr>
        <xdr:spPr>
          <a:xfrm>
            <a:off x="0" y="609600"/>
            <a:ext cx="11709400" cy="326568"/>
          </a:xfrm>
          <a:prstGeom prst="rect">
            <a:avLst/>
          </a:prstGeom>
          <a:solidFill>
            <a:srgbClr xmlns:mc="http://schemas.openxmlformats.org/markup-compatibility/2006" xmlns:a14="http://schemas.microsoft.com/office/drawing/2010/main" val="E3E3E3" mc:Ignorable="a14" a14:legacySpreadsheetColorIndex="13"/>
          </a:solidFill>
          <a:ln w="19050" cap="flat" cmpd="sng" algn="ctr">
            <a:noFill/>
            <a:prstDash val="solid"/>
          </a:ln>
          <a:effectLst/>
          <a:extLst>
            <a:ext uri="{91240B29-F687-4F45-9708-019B960494DF}">
              <a14:hiddenLine xmlns:a14="http://schemas.microsoft.com/office/drawing/2010/main" w="19050" cap="flat" cmpd="sng" algn="ctr">
                <a:solidFill>
                  <a:srgbClr xmlns:mc="http://schemas.openxmlformats.org/markup-compatibility/2006" val="D2D2D2" mc:Ignorable="a14" a14:legacySpreadsheetColorIndex="14"/>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8" name="ui_bg_home_back_forward">
            <a:extLst>
              <a:ext uri="{FF2B5EF4-FFF2-40B4-BE49-F238E27FC236}">
                <a16:creationId xmlns:a16="http://schemas.microsoft.com/office/drawing/2014/main" id="{00000000-0008-0000-2400-000008000000}"/>
              </a:ext>
            </a:extLst>
          </xdr:cNvPr>
          <xdr:cNvSpPr txBox="1"/>
        </xdr:nvSpPr>
        <xdr:spPr>
          <a:xfrm>
            <a:off x="0" y="304800"/>
            <a:ext cx="664070" cy="304800"/>
          </a:xfrm>
          <a:prstGeom prst="rect">
            <a:avLst/>
          </a:prstGeom>
          <a:solidFill>
            <a:srgbClr xmlns:mc="http://schemas.openxmlformats.org/markup-compatibility/2006" xmlns:a14="http://schemas.microsoft.com/office/drawing/2010/main" val="808080" mc:Ignorable="a14" a14:legacySpreadsheetColorIndex="1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endParaRPr lang="en-GB" sz="1100" b="0"/>
          </a:p>
        </xdr:txBody>
      </xdr:sp>
      <xdr:pic macro="[0]!k">
        <xdr:nvPicPr>
          <xdr:cNvPr id="4" name="ui_nav_home" descr="home-white-xxl.png">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65" cstate="print"/>
          <a:stretch>
            <a:fillRect/>
          </a:stretch>
        </xdr:blipFill>
        <xdr:spPr>
          <a:xfrm>
            <a:off x="25400" y="393700"/>
            <a:ext cx="165100"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pic macro="[0]!k">
        <xdr:nvPicPr>
          <xdr:cNvPr id="6" name="ui_nav_back" descr="arrow-left-white-xxl.png">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66" cstate="print"/>
          <a:stretch>
            <a:fillRect/>
          </a:stretch>
        </xdr:blipFill>
        <xdr:spPr>
          <a:xfrm>
            <a:off x="254000" y="393700"/>
            <a:ext cx="165100"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pic macro="[0]!k">
        <xdr:nvPicPr>
          <xdr:cNvPr id="7" name="ui_nav_forward" descr="arrow-right-white-xxl.png" hidden="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67" cstate="print"/>
          <a:stretch>
            <a:fillRect/>
          </a:stretch>
        </xdr:blipFill>
        <xdr:spPr>
          <a:xfrm>
            <a:off x="444500" y="393700"/>
            <a:ext cx="168776"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sp macro="[0]!k" textlink="">
        <xdr:nvSpPr>
          <xdr:cNvPr id="9" name="ui_nav_sec_1">
            <a:extLst>
              <a:ext uri="{FF2B5EF4-FFF2-40B4-BE49-F238E27FC236}">
                <a16:creationId xmlns:a16="http://schemas.microsoft.com/office/drawing/2014/main" id="{00000000-0008-0000-2400-000009000000}"/>
              </a:ext>
            </a:extLst>
          </xdr:cNvPr>
          <xdr:cNvSpPr txBox="1"/>
        </xdr:nvSpPr>
        <xdr:spPr>
          <a:xfrm>
            <a:off x="740270" y="304800"/>
            <a:ext cx="926262" cy="304800"/>
          </a:xfrm>
          <a:prstGeom prst="rect">
            <a:avLst/>
          </a:prstGeom>
          <a:solidFill>
            <a:srgbClr xmlns:mc="http://schemas.openxmlformats.org/markup-compatibility/2006" xmlns:a14="http://schemas.microsoft.com/office/drawing/2010/main" val="E3E3E3" mc:Ignorable="a14" a14:legacySpreadsheetColorIndex="13"/>
          </a:solidFill>
          <a:ln w="19050" cmpd="sng">
            <a:solidFill>
              <a:srgbClr xmlns:mc="http://schemas.openxmlformats.org/markup-compatibility/2006" xmlns:a14="http://schemas.microsoft.com/office/drawing/2010/main" val="D2D2D2" mc:Ignorable="a14" a14:legacySpreadsheetColorIndex="14"/>
            </a:solidFill>
          </a:ln>
        </xdr:spPr>
        <xdr:style>
          <a:lnRef idx="0">
            <a:scrgbClr r="0" g="0" b="0"/>
          </a:lnRef>
          <a:fillRef idx="0">
            <a:scrgbClr r="0" g="0" b="0"/>
          </a:fillRef>
          <a:effectRef idx="0">
            <a:scrgbClr r="0" g="0" b="0"/>
          </a:effectRef>
          <a:fontRef idx="minor">
            <a:schemeClr val="dk1"/>
          </a:fontRef>
        </xdr:style>
        <xdr:txBody>
          <a:bodyPr vertOverflow="clip" wrap="square" lIns="0" rIns="0" bIns="72000" rtlCol="0" anchor="ctr" anchorCtr="0"/>
          <a:lstStyle/>
          <a:p>
            <a:pPr algn="ctr"/>
            <a:r>
              <a:rPr lang="en-GB" sz="900" b="1">
                <a:solidFill>
                  <a:srgbClr xmlns:mc="http://schemas.openxmlformats.org/markup-compatibility/2006" xmlns:a14="http://schemas.microsoft.com/office/drawing/2010/main" val="005E9E" mc:Ignorable="a14" a14:legacySpreadsheetColorIndex="15"/>
                </a:solidFill>
              </a:rPr>
              <a:t>CITY HEARTBEAT</a:t>
            </a:r>
          </a:p>
        </xdr:txBody>
      </xdr:sp>
      <xdr:cxnSp macro="">
        <xdr:nvCxnSpPr>
          <xdr:cNvPr id="10" name="ui_line_sec_active">
            <a:extLst>
              <a:ext uri="{FF2B5EF4-FFF2-40B4-BE49-F238E27FC236}">
                <a16:creationId xmlns:a16="http://schemas.microsoft.com/office/drawing/2014/main" id="{00000000-0008-0000-2400-00000A000000}"/>
              </a:ext>
            </a:extLst>
          </xdr:cNvPr>
          <xdr:cNvCxnSpPr/>
        </xdr:nvCxnSpPr>
        <xdr:spPr>
          <a:xfrm>
            <a:off x="740270" y="609600"/>
            <a:ext cx="926262" cy="0"/>
          </a:xfrm>
          <a:prstGeom prst="line">
            <a:avLst/>
          </a:prstGeom>
          <a:ln w="28575">
            <a:solidFill>
              <a:srgbClr xmlns:mc="http://schemas.openxmlformats.org/markup-compatibility/2006" xmlns:a14="http://schemas.microsoft.com/office/drawing/2010/main" val="E3E3E3" mc:Ignorable="a14" a14:legacySpreadsheetColorIndex="13"/>
            </a:solidFill>
          </a:ln>
        </xdr:spPr>
        <xdr:style>
          <a:lnRef idx="1">
            <a:schemeClr val="accent1"/>
          </a:lnRef>
          <a:fillRef idx="0">
            <a:schemeClr val="accent1"/>
          </a:fillRef>
          <a:effectRef idx="0">
            <a:schemeClr val="accent1"/>
          </a:effectRef>
          <a:fontRef idx="minor">
            <a:schemeClr val="tx1"/>
          </a:fontRef>
        </xdr:style>
      </xdr:cxnSp>
      <xdr:sp macro="" textlink="">
        <xdr:nvSpPr>
          <xdr:cNvPr id="11" name="ui_line_sec_divider1">
            <a:extLst>
              <a:ext uri="{FF2B5EF4-FFF2-40B4-BE49-F238E27FC236}">
                <a16:creationId xmlns:a16="http://schemas.microsoft.com/office/drawing/2014/main" id="{00000000-0008-0000-2400-00000B000000}"/>
              </a:ext>
            </a:extLst>
          </xdr:cNvPr>
          <xdr:cNvSpPr txBox="1"/>
        </xdr:nvSpPr>
        <xdr:spPr>
          <a:xfrm>
            <a:off x="1666532" y="304800"/>
            <a:ext cx="1778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9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14" name="ui_nav_page_1_0">
            <a:extLst>
              <a:ext uri="{FF2B5EF4-FFF2-40B4-BE49-F238E27FC236}">
                <a16:creationId xmlns:a16="http://schemas.microsoft.com/office/drawing/2014/main" id="{00000000-0008-0000-2400-00000E000000}"/>
              </a:ext>
            </a:extLst>
          </xdr:cNvPr>
          <xdr:cNvSpPr txBox="1"/>
        </xdr:nvSpPr>
        <xdr:spPr>
          <a:xfrm>
            <a:off x="794372" y="622300"/>
            <a:ext cx="715785"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OVERVIEW</a:t>
            </a:r>
          </a:p>
        </xdr:txBody>
      </xdr:sp>
      <xdr:sp macro="" textlink="">
        <xdr:nvSpPr>
          <xdr:cNvPr id="15" name="ui_line_page_divider1">
            <a:extLst>
              <a:ext uri="{FF2B5EF4-FFF2-40B4-BE49-F238E27FC236}">
                <a16:creationId xmlns:a16="http://schemas.microsoft.com/office/drawing/2014/main" id="{00000000-0008-0000-2400-00000F000000}"/>
              </a:ext>
            </a:extLst>
          </xdr:cNvPr>
          <xdr:cNvSpPr txBox="1"/>
        </xdr:nvSpPr>
        <xdr:spPr>
          <a:xfrm>
            <a:off x="151015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16" name="ui_nav_page_1_1">
            <a:extLst>
              <a:ext uri="{FF2B5EF4-FFF2-40B4-BE49-F238E27FC236}">
                <a16:creationId xmlns:a16="http://schemas.microsoft.com/office/drawing/2014/main" id="{00000000-0008-0000-2400-000010000000}"/>
              </a:ext>
            </a:extLst>
          </xdr:cNvPr>
          <xdr:cNvSpPr txBox="1"/>
        </xdr:nvSpPr>
        <xdr:spPr>
          <a:xfrm>
            <a:off x="1687957" y="622300"/>
            <a:ext cx="68728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RANKINGS</a:t>
            </a:r>
          </a:p>
        </xdr:txBody>
      </xdr:sp>
      <xdr:sp macro="" textlink="">
        <xdr:nvSpPr>
          <xdr:cNvPr id="17" name="ui_line_page_divider2">
            <a:extLst>
              <a:ext uri="{FF2B5EF4-FFF2-40B4-BE49-F238E27FC236}">
                <a16:creationId xmlns:a16="http://schemas.microsoft.com/office/drawing/2014/main" id="{00000000-0008-0000-2400-000011000000}"/>
              </a:ext>
            </a:extLst>
          </xdr:cNvPr>
          <xdr:cNvSpPr txBox="1"/>
        </xdr:nvSpPr>
        <xdr:spPr>
          <a:xfrm>
            <a:off x="2375243"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18" name="ui_nav_page_1_2">
            <a:extLst>
              <a:ext uri="{FF2B5EF4-FFF2-40B4-BE49-F238E27FC236}">
                <a16:creationId xmlns:a16="http://schemas.microsoft.com/office/drawing/2014/main" id="{00000000-0008-0000-2400-000012000000}"/>
              </a:ext>
            </a:extLst>
          </xdr:cNvPr>
          <xdr:cNvSpPr txBox="1"/>
        </xdr:nvSpPr>
        <xdr:spPr>
          <a:xfrm>
            <a:off x="2553043" y="622300"/>
            <a:ext cx="995591"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SNAPSHOTS</a:t>
            </a:r>
          </a:p>
        </xdr:txBody>
      </xdr:sp>
      <xdr:sp macro="" textlink="">
        <xdr:nvSpPr>
          <xdr:cNvPr id="19" name="ui_line_page_divider3">
            <a:extLst>
              <a:ext uri="{FF2B5EF4-FFF2-40B4-BE49-F238E27FC236}">
                <a16:creationId xmlns:a16="http://schemas.microsoft.com/office/drawing/2014/main" id="{00000000-0008-0000-2400-000013000000}"/>
              </a:ext>
            </a:extLst>
          </xdr:cNvPr>
          <xdr:cNvSpPr txBox="1"/>
        </xdr:nvSpPr>
        <xdr:spPr>
          <a:xfrm>
            <a:off x="3548634"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0" name="ui_nav_page_1_3">
            <a:extLst>
              <a:ext uri="{FF2B5EF4-FFF2-40B4-BE49-F238E27FC236}">
                <a16:creationId xmlns:a16="http://schemas.microsoft.com/office/drawing/2014/main" id="{00000000-0008-0000-2400-000014000000}"/>
              </a:ext>
            </a:extLst>
          </xdr:cNvPr>
          <xdr:cNvSpPr txBox="1"/>
        </xdr:nvSpPr>
        <xdr:spPr>
          <a:xfrm>
            <a:off x="3726434" y="622300"/>
            <a:ext cx="864108"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PROFILES</a:t>
            </a:r>
          </a:p>
        </xdr:txBody>
      </xdr:sp>
      <xdr:sp macro="" textlink="">
        <xdr:nvSpPr>
          <xdr:cNvPr id="21" name="ui_line_page_divider4">
            <a:extLst>
              <a:ext uri="{FF2B5EF4-FFF2-40B4-BE49-F238E27FC236}">
                <a16:creationId xmlns:a16="http://schemas.microsoft.com/office/drawing/2014/main" id="{00000000-0008-0000-2400-000015000000}"/>
              </a:ext>
            </a:extLst>
          </xdr:cNvPr>
          <xdr:cNvSpPr txBox="1"/>
        </xdr:nvSpPr>
        <xdr:spPr>
          <a:xfrm>
            <a:off x="4590542"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2" name="ui_nav_page_1_4">
            <a:extLst>
              <a:ext uri="{FF2B5EF4-FFF2-40B4-BE49-F238E27FC236}">
                <a16:creationId xmlns:a16="http://schemas.microsoft.com/office/drawing/2014/main" id="{00000000-0008-0000-2400-000016000000}"/>
              </a:ext>
            </a:extLst>
          </xdr:cNvPr>
          <xdr:cNvSpPr txBox="1"/>
        </xdr:nvSpPr>
        <xdr:spPr>
          <a:xfrm>
            <a:off x="4768342" y="622300"/>
            <a:ext cx="755942"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DETAIL</a:t>
            </a:r>
          </a:p>
        </xdr:txBody>
      </xdr:sp>
      <xdr:sp macro="" textlink="">
        <xdr:nvSpPr>
          <xdr:cNvPr id="23" name="ui_line_page_divider5">
            <a:extLst>
              <a:ext uri="{FF2B5EF4-FFF2-40B4-BE49-F238E27FC236}">
                <a16:creationId xmlns:a16="http://schemas.microsoft.com/office/drawing/2014/main" id="{00000000-0008-0000-2400-000017000000}"/>
              </a:ext>
            </a:extLst>
          </xdr:cNvPr>
          <xdr:cNvSpPr txBox="1"/>
        </xdr:nvSpPr>
        <xdr:spPr>
          <a:xfrm>
            <a:off x="5524284"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 textlink="">
        <xdr:nvSpPr>
          <xdr:cNvPr id="26" name="ui_line_page_divider6">
            <a:extLst>
              <a:ext uri="{FF2B5EF4-FFF2-40B4-BE49-F238E27FC236}">
                <a16:creationId xmlns:a16="http://schemas.microsoft.com/office/drawing/2014/main" id="{00000000-0008-0000-2400-00001A000000}"/>
              </a:ext>
            </a:extLst>
          </xdr:cNvPr>
          <xdr:cNvSpPr txBox="1"/>
        </xdr:nvSpPr>
        <xdr:spPr>
          <a:xfrm>
            <a:off x="6697675"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27" name="ui_nav_page_1_6">
            <a:extLst>
              <a:ext uri="{FF2B5EF4-FFF2-40B4-BE49-F238E27FC236}">
                <a16:creationId xmlns:a16="http://schemas.microsoft.com/office/drawing/2014/main" id="{00000000-0008-0000-2400-00001B000000}"/>
              </a:ext>
            </a:extLst>
          </xdr:cNvPr>
          <xdr:cNvSpPr txBox="1"/>
        </xdr:nvSpPr>
        <xdr:spPr>
          <a:xfrm>
            <a:off x="6875475" y="622300"/>
            <a:ext cx="89843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ALL MEASURES</a:t>
            </a:r>
          </a:p>
        </xdr:txBody>
      </xdr:sp>
      <xdr:sp macro="" textlink="">
        <xdr:nvSpPr>
          <xdr:cNvPr id="28" name="ui_line_page_divider7">
            <a:extLst>
              <a:ext uri="{FF2B5EF4-FFF2-40B4-BE49-F238E27FC236}">
                <a16:creationId xmlns:a16="http://schemas.microsoft.com/office/drawing/2014/main" id="{00000000-0008-0000-2400-00001C000000}"/>
              </a:ext>
            </a:extLst>
          </xdr:cNvPr>
          <xdr:cNvSpPr txBox="1"/>
        </xdr:nvSpPr>
        <xdr:spPr>
          <a:xfrm>
            <a:off x="7773912"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9" name="ui_nav_page_1_7">
            <a:extLst>
              <a:ext uri="{FF2B5EF4-FFF2-40B4-BE49-F238E27FC236}">
                <a16:creationId xmlns:a16="http://schemas.microsoft.com/office/drawing/2014/main" id="{00000000-0008-0000-2400-00001D000000}"/>
              </a:ext>
            </a:extLst>
          </xdr:cNvPr>
          <xdr:cNvSpPr txBox="1"/>
        </xdr:nvSpPr>
        <xdr:spPr>
          <a:xfrm>
            <a:off x="7951712" y="622300"/>
            <a:ext cx="88159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SCATTER PLOT</a:t>
            </a:r>
          </a:p>
        </xdr:txBody>
      </xdr:sp>
      <xdr:sp macro="" textlink="">
        <xdr:nvSpPr>
          <xdr:cNvPr id="30" name="ui_line_page_divider8">
            <a:extLst>
              <a:ext uri="{FF2B5EF4-FFF2-40B4-BE49-F238E27FC236}">
                <a16:creationId xmlns:a16="http://schemas.microsoft.com/office/drawing/2014/main" id="{00000000-0008-0000-2400-00001E000000}"/>
              </a:ext>
            </a:extLst>
          </xdr:cNvPr>
          <xdr:cNvSpPr txBox="1"/>
        </xdr:nvSpPr>
        <xdr:spPr>
          <a:xfrm>
            <a:off x="883330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31" name="ui_nav_page_1_8">
            <a:extLst>
              <a:ext uri="{FF2B5EF4-FFF2-40B4-BE49-F238E27FC236}">
                <a16:creationId xmlns:a16="http://schemas.microsoft.com/office/drawing/2014/main" id="{00000000-0008-0000-2400-00001F000000}"/>
              </a:ext>
            </a:extLst>
          </xdr:cNvPr>
          <xdr:cNvSpPr txBox="1"/>
        </xdr:nvSpPr>
        <xdr:spPr>
          <a:xfrm>
            <a:off x="9011107" y="622300"/>
            <a:ext cx="635470"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WEIGHTS</a:t>
            </a:r>
          </a:p>
        </xdr:txBody>
      </xdr:sp>
      <xdr:sp macro="" textlink="">
        <xdr:nvSpPr>
          <xdr:cNvPr id="32" name="ui_line_page_divider9">
            <a:extLst>
              <a:ext uri="{FF2B5EF4-FFF2-40B4-BE49-F238E27FC236}">
                <a16:creationId xmlns:a16="http://schemas.microsoft.com/office/drawing/2014/main" id="{00000000-0008-0000-2400-000020000000}"/>
              </a:ext>
            </a:extLst>
          </xdr:cNvPr>
          <xdr:cNvSpPr txBox="1"/>
        </xdr:nvSpPr>
        <xdr:spPr>
          <a:xfrm>
            <a:off x="964657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33" name="ui_nav_page_1_9">
            <a:extLst>
              <a:ext uri="{FF2B5EF4-FFF2-40B4-BE49-F238E27FC236}">
                <a16:creationId xmlns:a16="http://schemas.microsoft.com/office/drawing/2014/main" id="{00000000-0008-0000-2400-000021000000}"/>
              </a:ext>
            </a:extLst>
          </xdr:cNvPr>
          <xdr:cNvSpPr txBox="1"/>
        </xdr:nvSpPr>
        <xdr:spPr>
          <a:xfrm>
            <a:off x="9824377" y="622300"/>
            <a:ext cx="458648"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DATA</a:t>
            </a:r>
          </a:p>
        </xdr:txBody>
      </xdr:sp>
      <xdr:sp macro="" textlink="">
        <xdr:nvSpPr>
          <xdr:cNvPr id="34" name="ui_line_page_divider10">
            <a:extLst>
              <a:ext uri="{FF2B5EF4-FFF2-40B4-BE49-F238E27FC236}">
                <a16:creationId xmlns:a16="http://schemas.microsoft.com/office/drawing/2014/main" id="{00000000-0008-0000-2400-000022000000}"/>
              </a:ext>
            </a:extLst>
          </xdr:cNvPr>
          <xdr:cNvSpPr txBox="1"/>
        </xdr:nvSpPr>
        <xdr:spPr>
          <a:xfrm>
            <a:off x="10283025"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35" name="ui_nav_page_1_10">
            <a:extLst>
              <a:ext uri="{FF2B5EF4-FFF2-40B4-BE49-F238E27FC236}">
                <a16:creationId xmlns:a16="http://schemas.microsoft.com/office/drawing/2014/main" id="{00000000-0008-0000-2400-000023000000}"/>
              </a:ext>
            </a:extLst>
          </xdr:cNvPr>
          <xdr:cNvSpPr txBox="1"/>
        </xdr:nvSpPr>
        <xdr:spPr>
          <a:xfrm>
            <a:off x="10460825" y="622300"/>
            <a:ext cx="555803"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SCORES</a:t>
            </a:r>
          </a:p>
        </xdr:txBody>
      </xdr:sp>
      <xdr:sp macro="" textlink="">
        <xdr:nvSpPr>
          <xdr:cNvPr id="36" name="ui_line_page_divider11">
            <a:extLst>
              <a:ext uri="{FF2B5EF4-FFF2-40B4-BE49-F238E27FC236}">
                <a16:creationId xmlns:a16="http://schemas.microsoft.com/office/drawing/2014/main" id="{00000000-0008-0000-2400-000024000000}"/>
              </a:ext>
            </a:extLst>
          </xdr:cNvPr>
          <xdr:cNvSpPr txBox="1"/>
        </xdr:nvSpPr>
        <xdr:spPr>
          <a:xfrm>
            <a:off x="11016628"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24" name="ui_nav_page_1_5">
            <a:extLst>
              <a:ext uri="{FF2B5EF4-FFF2-40B4-BE49-F238E27FC236}">
                <a16:creationId xmlns:a16="http://schemas.microsoft.com/office/drawing/2014/main" id="{00000000-0008-0000-2400-000018000000}"/>
              </a:ext>
            </a:extLst>
          </xdr:cNvPr>
          <xdr:cNvSpPr txBox="1"/>
        </xdr:nvSpPr>
        <xdr:spPr>
          <a:xfrm>
            <a:off x="5702084" y="647700"/>
            <a:ext cx="995591" cy="288468"/>
          </a:xfrm>
          <a:prstGeom prst="rect">
            <a:avLst/>
          </a:prstGeom>
          <a:solidFill>
            <a:srgbClr xmlns:mc="http://schemas.openxmlformats.org/markup-compatibility/2006" xmlns:a14="http://schemas.microsoft.com/office/drawing/2010/main" val="F2F2F2" mc:Ignorable="a14" a14:legacySpreadsheetColorIndex="17"/>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005E9E" mc:Ignorable="a14" a14:legacySpreadsheetColorIndex="15"/>
                </a:solidFill>
              </a:rPr>
              <a:t>COMPARE CITIES</a:t>
            </a:r>
          </a:p>
        </xdr:txBody>
      </xdr:sp>
      <xdr:cxnSp macro="">
        <xdr:nvCxnSpPr>
          <xdr:cNvPr id="25" name="ui_line_page_active">
            <a:extLst>
              <a:ext uri="{FF2B5EF4-FFF2-40B4-BE49-F238E27FC236}">
                <a16:creationId xmlns:a16="http://schemas.microsoft.com/office/drawing/2014/main" id="{00000000-0008-0000-2400-000019000000}"/>
              </a:ext>
            </a:extLst>
          </xdr:cNvPr>
          <xdr:cNvCxnSpPr/>
        </xdr:nvCxnSpPr>
        <xdr:spPr>
          <a:xfrm>
            <a:off x="5702084" y="936168"/>
            <a:ext cx="995591" cy="0"/>
          </a:xfrm>
          <a:prstGeom prst="line">
            <a:avLst/>
          </a:prstGeom>
          <a:ln w="28575">
            <a:solidFill>
              <a:srgbClr xmlns:mc="http://schemas.openxmlformats.org/markup-compatibility/2006" xmlns:a14="http://schemas.microsoft.com/office/drawing/2010/main" val="F2F2F2" mc:Ignorable="a14" a14:legacySpreadsheetColorIndex="17"/>
            </a:solidFill>
          </a:ln>
        </xdr:spPr>
        <xdr:style>
          <a:lnRef idx="1">
            <a:schemeClr val="accent1"/>
          </a:lnRef>
          <a:fillRef idx="0">
            <a:schemeClr val="accent1"/>
          </a:fillRef>
          <a:effectRef idx="0">
            <a:schemeClr val="accent1"/>
          </a:effectRef>
          <a:fontRef idx="minor">
            <a:schemeClr val="tx1"/>
          </a:fontRef>
        </xdr:style>
      </xdr:cxnSp>
      <xdr:sp macro="" textlink="">
        <xdr:nvSpPr>
          <xdr:cNvPr id="39" name="ui_lbl_cnt_Country_1">
            <a:extLst>
              <a:ext uri="{FF2B5EF4-FFF2-40B4-BE49-F238E27FC236}">
                <a16:creationId xmlns:a16="http://schemas.microsoft.com/office/drawing/2014/main" id="{00000000-0008-0000-2400-000027000000}"/>
              </a:ext>
            </a:extLst>
          </xdr:cNvPr>
          <xdr:cNvSpPr txBox="1"/>
        </xdr:nvSpPr>
        <xdr:spPr>
          <a:xfrm>
            <a:off x="127000" y="986968"/>
            <a:ext cx="627240"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SELECT CITY</a:t>
            </a:r>
          </a:p>
        </xdr:txBody>
      </xdr:sp>
      <xdr:sp macro="" textlink="">
        <xdr:nvSpPr>
          <xdr:cNvPr id="42" name="ui_lbl_cnt_Country_Or_Average">
            <a:extLst>
              <a:ext uri="{FF2B5EF4-FFF2-40B4-BE49-F238E27FC236}">
                <a16:creationId xmlns:a16="http://schemas.microsoft.com/office/drawing/2014/main" id="{00000000-0008-0000-2400-00002A000000}"/>
              </a:ext>
            </a:extLst>
          </xdr:cNvPr>
          <xdr:cNvSpPr txBox="1"/>
        </xdr:nvSpPr>
        <xdr:spPr>
          <a:xfrm>
            <a:off x="1638300" y="986968"/>
            <a:ext cx="1650835"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SELECT CITY / 50 CITY AVERAGE</a:t>
            </a:r>
          </a:p>
        </xdr:txBody>
      </xdr:sp>
      <xdr:sp macro="" textlink="">
        <xdr:nvSpPr>
          <xdr:cNvPr id="45" name="ui_lbl_cnt_Compare_Detail">
            <a:extLst>
              <a:ext uri="{FF2B5EF4-FFF2-40B4-BE49-F238E27FC236}">
                <a16:creationId xmlns:a16="http://schemas.microsoft.com/office/drawing/2014/main" id="{00000000-0008-0000-2400-00002D000000}"/>
              </a:ext>
            </a:extLst>
          </xdr:cNvPr>
          <xdr:cNvSpPr txBox="1"/>
        </xdr:nvSpPr>
        <xdr:spPr>
          <a:xfrm>
            <a:off x="3416135" y="986968"/>
            <a:ext cx="881850"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LEVEL OF DETAIL</a:t>
            </a:r>
          </a:p>
        </xdr:txBody>
      </xdr:sp>
      <mc:AlternateContent xmlns:mc="http://schemas.openxmlformats.org/markup-compatibility/2006">
        <mc:Choice xmlns:a14="http://schemas.microsoft.com/office/drawing/2010/main" Requires="a14">
          <xdr:sp macro="" textlink="">
            <xdr:nvSpPr>
              <xdr:cNvPr id="6279948" name="ui_cnt_Country_1" hidden="1">
                <a:extLst>
                  <a:ext uri="{63B3BB69-23CF-44E3-9099-C40C66FF867C}">
                    <a14:compatExt spid="_x0000_s6279948"/>
                  </a:ext>
                  <a:ext uri="{FF2B5EF4-FFF2-40B4-BE49-F238E27FC236}">
                    <a16:creationId xmlns:a16="http://schemas.microsoft.com/office/drawing/2014/main" id="{00000000-0008-0000-2400-00000CD35F00}"/>
                  </a:ext>
                </a:extLst>
              </xdr:cNvPr>
              <xdr:cNvSpPr/>
            </xdr:nvSpPr>
            <xdr:spPr bwMode="auto">
              <a:xfrm>
                <a:off x="127000" y="1177468"/>
                <a:ext cx="1104900" cy="212272"/>
              </a:xfrm>
              <a:prstGeom prst="rect">
                <a:avLst/>
              </a:prstGeom>
              <a:noFill/>
              <a:ln w="9525">
                <a:miter lim="800000"/>
                <a:headEnd/>
                <a:tailEnd/>
              </a:ln>
              <a:extLst>
                <a:ext uri="{909E8E84-426E-40DD-AFC4-6F175D3DCCD1}">
                  <a14:hiddenFill>
                    <a:noFill/>
                  </a14:hiddenFill>
                </a:ext>
              </a:extLst>
            </xdr:spPr>
          </xdr:sp>
        </mc:Choice>
        <mc:Fallback/>
      </mc:AlternateContent>
      <xdr:pic macro="[0]!k">
        <xdr:nvPicPr>
          <xdr:cNvPr id="40" name="ui_spu_Country_1" descr="scroll_up_small.png">
            <a:extLst>
              <a:ext uri="{FF2B5EF4-FFF2-40B4-BE49-F238E27FC236}">
                <a16:creationId xmlns:a16="http://schemas.microsoft.com/office/drawing/2014/main" id="{00000000-0008-0000-2400-000028000000}"/>
              </a:ext>
            </a:extLst>
          </xdr:cNvPr>
          <xdr:cNvPicPr>
            <a:picLocks noChangeAspect="1"/>
          </xdr:cNvPicPr>
        </xdr:nvPicPr>
        <xdr:blipFill>
          <a:blip xmlns:r="http://schemas.openxmlformats.org/officeDocument/2006/relationships" r:embed="rId68" cstate="print"/>
          <a:stretch>
            <a:fillRect/>
          </a:stretch>
        </xdr:blipFill>
        <xdr:spPr>
          <a:xfrm>
            <a:off x="1257300" y="1177468"/>
            <a:ext cx="228615" cy="77699"/>
          </a:xfrm>
          <a:prstGeom prst="rect">
            <a:avLst/>
          </a:prstGeom>
        </xdr:spPr>
      </xdr:pic>
      <xdr:pic macro="[0]!k">
        <xdr:nvPicPr>
          <xdr:cNvPr id="41" name="ui_spd_Country_1" descr="scroll_down_small.png">
            <a:extLst>
              <a:ext uri="{FF2B5EF4-FFF2-40B4-BE49-F238E27FC236}">
                <a16:creationId xmlns:a16="http://schemas.microsoft.com/office/drawing/2014/main" id="{00000000-0008-0000-2400-000029000000}"/>
              </a:ext>
            </a:extLst>
          </xdr:cNvPr>
          <xdr:cNvPicPr>
            <a:picLocks noChangeAspect="1"/>
          </xdr:cNvPicPr>
        </xdr:nvPicPr>
        <xdr:blipFill>
          <a:blip xmlns:r="http://schemas.openxmlformats.org/officeDocument/2006/relationships" r:embed="rId69" cstate="print"/>
          <a:stretch>
            <a:fillRect/>
          </a:stretch>
        </xdr:blipFill>
        <xdr:spPr>
          <a:xfrm>
            <a:off x="1257300" y="1282458"/>
            <a:ext cx="228604" cy="56388"/>
          </a:xfrm>
          <a:prstGeom prst="rect">
            <a:avLst/>
          </a:prstGeom>
        </xdr:spPr>
      </xdr:pic>
      <mc:AlternateContent xmlns:mc="http://schemas.openxmlformats.org/markup-compatibility/2006">
        <mc:Choice xmlns:a14="http://schemas.microsoft.com/office/drawing/2010/main" Requires="a14">
          <xdr:sp macro="" textlink="">
            <xdr:nvSpPr>
              <xdr:cNvPr id="6279950" name="ui_cnt_Country_Or_Average" hidden="1">
                <a:extLst>
                  <a:ext uri="{63B3BB69-23CF-44E3-9099-C40C66FF867C}">
                    <a14:compatExt spid="_x0000_s6279950"/>
                  </a:ext>
                  <a:ext uri="{FF2B5EF4-FFF2-40B4-BE49-F238E27FC236}">
                    <a16:creationId xmlns:a16="http://schemas.microsoft.com/office/drawing/2014/main" id="{00000000-0008-0000-2400-00000ED35F00}"/>
                  </a:ext>
                </a:extLst>
              </xdr:cNvPr>
              <xdr:cNvSpPr/>
            </xdr:nvSpPr>
            <xdr:spPr bwMode="auto">
              <a:xfrm>
                <a:off x="1638300" y="1177468"/>
                <a:ext cx="1104900" cy="212272"/>
              </a:xfrm>
              <a:prstGeom prst="rect">
                <a:avLst/>
              </a:prstGeom>
              <a:noFill/>
              <a:ln w="9525">
                <a:miter lim="800000"/>
                <a:headEnd/>
                <a:tailEnd/>
              </a:ln>
              <a:extLst>
                <a:ext uri="{909E8E84-426E-40DD-AFC4-6F175D3DCCD1}">
                  <a14:hiddenFill>
                    <a:noFill/>
                  </a14:hiddenFill>
                </a:ext>
              </a:extLst>
            </xdr:spPr>
          </xdr:sp>
        </mc:Choice>
        <mc:Fallback/>
      </mc:AlternateContent>
      <xdr:pic macro="[0]!k">
        <xdr:nvPicPr>
          <xdr:cNvPr id="43" name="ui_spu_Country_Or_Average" descr="scroll_up_small.png">
            <a:extLst>
              <a:ext uri="{FF2B5EF4-FFF2-40B4-BE49-F238E27FC236}">
                <a16:creationId xmlns:a16="http://schemas.microsoft.com/office/drawing/2014/main" id="{00000000-0008-0000-2400-00002B000000}"/>
              </a:ext>
            </a:extLst>
          </xdr:cNvPr>
          <xdr:cNvPicPr>
            <a:picLocks noChangeAspect="1"/>
          </xdr:cNvPicPr>
        </xdr:nvPicPr>
        <xdr:blipFill>
          <a:blip xmlns:r="http://schemas.openxmlformats.org/officeDocument/2006/relationships" r:embed="rId68" cstate="print"/>
          <a:stretch>
            <a:fillRect/>
          </a:stretch>
        </xdr:blipFill>
        <xdr:spPr>
          <a:xfrm>
            <a:off x="2768600" y="1177468"/>
            <a:ext cx="228615" cy="77699"/>
          </a:xfrm>
          <a:prstGeom prst="rect">
            <a:avLst/>
          </a:prstGeom>
        </xdr:spPr>
      </xdr:pic>
      <xdr:pic macro="[0]!k">
        <xdr:nvPicPr>
          <xdr:cNvPr id="44" name="ui_spd_Country_Or_Average" descr="scroll_down_small.png">
            <a:extLst>
              <a:ext uri="{FF2B5EF4-FFF2-40B4-BE49-F238E27FC236}">
                <a16:creationId xmlns:a16="http://schemas.microsoft.com/office/drawing/2014/main" id="{00000000-0008-0000-2400-00002C000000}"/>
              </a:ext>
            </a:extLst>
          </xdr:cNvPr>
          <xdr:cNvPicPr>
            <a:picLocks noChangeAspect="1"/>
          </xdr:cNvPicPr>
        </xdr:nvPicPr>
        <xdr:blipFill>
          <a:blip xmlns:r="http://schemas.openxmlformats.org/officeDocument/2006/relationships" r:embed="rId69" cstate="print"/>
          <a:stretch>
            <a:fillRect/>
          </a:stretch>
        </xdr:blipFill>
        <xdr:spPr>
          <a:xfrm>
            <a:off x="2768600" y="1282458"/>
            <a:ext cx="228604" cy="56388"/>
          </a:xfrm>
          <a:prstGeom prst="rect">
            <a:avLst/>
          </a:prstGeom>
        </xdr:spPr>
      </xdr:pic>
      <mc:AlternateContent xmlns:mc="http://schemas.openxmlformats.org/markup-compatibility/2006">
        <mc:Choice xmlns:a14="http://schemas.microsoft.com/office/drawing/2010/main" Requires="a14">
          <xdr:sp macro="" textlink="">
            <xdr:nvSpPr>
              <xdr:cNvPr id="6279952" name="ui_cnt_Compare_Detail" hidden="1">
                <a:extLst>
                  <a:ext uri="{63B3BB69-23CF-44E3-9099-C40C66FF867C}">
                    <a14:compatExt spid="_x0000_s6279952"/>
                  </a:ext>
                  <a:ext uri="{FF2B5EF4-FFF2-40B4-BE49-F238E27FC236}">
                    <a16:creationId xmlns:a16="http://schemas.microsoft.com/office/drawing/2014/main" id="{00000000-0008-0000-2400-000010D35F00}"/>
                  </a:ext>
                </a:extLst>
              </xdr:cNvPr>
              <xdr:cNvSpPr/>
            </xdr:nvSpPr>
            <xdr:spPr bwMode="auto">
              <a:xfrm>
                <a:off x="3416135" y="1177468"/>
                <a:ext cx="1562100" cy="212271"/>
              </a:xfrm>
              <a:prstGeom prst="rect">
                <a:avLst/>
              </a:prstGeom>
              <a:noFill/>
              <a:ln w="9525">
                <a:miter lim="800000"/>
                <a:headEnd/>
                <a:tailEnd/>
              </a:ln>
              <a:extLst>
                <a:ext uri="{909E8E84-426E-40DD-AFC4-6F175D3DCCD1}">
                  <a14:hiddenFill>
                    <a:noFill/>
                  </a14:hiddenFill>
                </a:ext>
              </a:extLst>
            </xdr:spPr>
          </xdr:sp>
        </mc:Choice>
        <mc:Fallback/>
      </mc:AlternateContent>
      <xdr:pic macro="[0]!k">
        <xdr:nvPicPr>
          <xdr:cNvPr id="46" name="ui_spu_Compare_Detail" descr="scroll_up_small.png">
            <a:extLst>
              <a:ext uri="{FF2B5EF4-FFF2-40B4-BE49-F238E27FC236}">
                <a16:creationId xmlns:a16="http://schemas.microsoft.com/office/drawing/2014/main" id="{00000000-0008-0000-2400-00002E000000}"/>
              </a:ext>
            </a:extLst>
          </xdr:cNvPr>
          <xdr:cNvPicPr>
            <a:picLocks noChangeAspect="1"/>
          </xdr:cNvPicPr>
        </xdr:nvPicPr>
        <xdr:blipFill>
          <a:blip xmlns:r="http://schemas.openxmlformats.org/officeDocument/2006/relationships" r:embed="rId68" cstate="print"/>
          <a:stretch>
            <a:fillRect/>
          </a:stretch>
        </xdr:blipFill>
        <xdr:spPr>
          <a:xfrm>
            <a:off x="5003635" y="1177468"/>
            <a:ext cx="228615" cy="77699"/>
          </a:xfrm>
          <a:prstGeom prst="rect">
            <a:avLst/>
          </a:prstGeom>
        </xdr:spPr>
      </xdr:pic>
      <xdr:pic macro="[0]!k">
        <xdr:nvPicPr>
          <xdr:cNvPr id="47" name="ui_spd_Compare_Detail" descr="scroll_down_small.png">
            <a:extLst>
              <a:ext uri="{FF2B5EF4-FFF2-40B4-BE49-F238E27FC236}">
                <a16:creationId xmlns:a16="http://schemas.microsoft.com/office/drawing/2014/main" id="{00000000-0008-0000-2400-00002F000000}"/>
              </a:ext>
            </a:extLst>
          </xdr:cNvPr>
          <xdr:cNvPicPr>
            <a:picLocks noChangeAspect="1"/>
          </xdr:cNvPicPr>
        </xdr:nvPicPr>
        <xdr:blipFill>
          <a:blip xmlns:r="http://schemas.openxmlformats.org/officeDocument/2006/relationships" r:embed="rId69" cstate="print"/>
          <a:stretch>
            <a:fillRect/>
          </a:stretch>
        </xdr:blipFill>
        <xdr:spPr>
          <a:xfrm>
            <a:off x="5003635" y="1282458"/>
            <a:ext cx="228604" cy="56388"/>
          </a:xfrm>
          <a:prstGeom prst="rect">
            <a:avLst/>
          </a:prstGeom>
        </xdr:spPr>
      </xdr:pic>
      <xdr:pic macro="[0]!k">
        <xdr:nvPicPr>
          <xdr:cNvPr id="55" name="ui_cmd_export_xl" descr="xl_icon.gif">
            <a:hlinkClick xmlns:r="http://schemas.openxmlformats.org/officeDocument/2006/relationships" r:id="rId70" tooltip="Export current page as a standalone Excel workbook"/>
            <a:extLst>
              <a:ext uri="{FF2B5EF4-FFF2-40B4-BE49-F238E27FC236}">
                <a16:creationId xmlns:a16="http://schemas.microsoft.com/office/drawing/2014/main" id="{00000000-0008-0000-2400-000037000000}"/>
              </a:ext>
            </a:extLst>
          </xdr:cNvPr>
          <xdr:cNvPicPr>
            <a:picLocks noChangeAspect="1"/>
          </xdr:cNvPicPr>
        </xdr:nvPicPr>
        <xdr:blipFill>
          <a:blip xmlns:r="http://schemas.openxmlformats.org/officeDocument/2006/relationships" r:embed="rId71" cstate="print"/>
          <a:stretch>
            <a:fillRect/>
          </a:stretch>
        </xdr:blipFill>
        <xdr:spPr>
          <a:xfrm>
            <a:off x="11367528" y="361950"/>
            <a:ext cx="519674" cy="190500"/>
          </a:xfrm>
          <a:prstGeom prst="rect">
            <a:avLst/>
          </a:prstGeom>
        </xdr:spPr>
      </xdr:pic>
      <xdr:pic macro="[0]!k">
        <xdr:nvPicPr>
          <xdr:cNvPr id="54" name="ui_cmd_reset_controls">
            <a:hlinkClick xmlns:r="http://schemas.openxmlformats.org/officeDocument/2006/relationships" r:id="rId72" tooltip="Reset all options and controls on this page to the default value."/>
            <a:extLst>
              <a:ext uri="{FF2B5EF4-FFF2-40B4-BE49-F238E27FC236}">
                <a16:creationId xmlns:a16="http://schemas.microsoft.com/office/drawing/2014/main" id="{00000000-0008-0000-2400-00003600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11628209" y="974268"/>
            <a:ext cx="208189" cy="190500"/>
          </a:xfrm>
          <a:prstGeom prst="rect">
            <a:avLst/>
          </a:prstGeom>
        </xdr:spPr>
      </xdr:pic>
      <xdr:pic macro="[0]!k">
        <xdr:nvPicPr>
          <xdr:cNvPr id="52" name="ui_cmd_full_screen">
            <a:hlinkClick xmlns:r="http://schemas.openxmlformats.org/officeDocument/2006/relationships" r:id="rId74" tooltip="Full screen mode (recommended)"/>
            <a:extLst>
              <a:ext uri="{FF2B5EF4-FFF2-40B4-BE49-F238E27FC236}">
                <a16:creationId xmlns:a16="http://schemas.microsoft.com/office/drawing/2014/main" id="{00000000-0008-0000-2400-000034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11099356" y="361950"/>
            <a:ext cx="217368" cy="190500"/>
          </a:xfrm>
          <a:prstGeom prst="rect">
            <a:avLst/>
          </a:prstGeom>
        </xdr:spPr>
      </xdr:pic>
      <xdr:pic macro="[0]!k">
        <xdr:nvPicPr>
          <xdr:cNvPr id="53" name="ui_cmd_exit_full_screen" hidden="1">
            <a:hlinkClick xmlns:r="http://schemas.openxmlformats.org/officeDocument/2006/relationships" r:id="rId76" tooltip="Leave full screen mode"/>
            <a:extLst>
              <a:ext uri="{FF2B5EF4-FFF2-40B4-BE49-F238E27FC236}">
                <a16:creationId xmlns:a16="http://schemas.microsoft.com/office/drawing/2014/main" id="{00000000-0008-0000-2400-000035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1099356" y="361950"/>
            <a:ext cx="209038" cy="190500"/>
          </a:xfrm>
          <a:prstGeom prst="rect">
            <a:avLst/>
          </a:prstGeom>
        </xdr:spPr>
      </xdr:pic>
    </xdr:grpSp>
    <xdr:clientData fPrintsWithSheet="0"/>
  </xdr:twoCellAnchor>
  <xdr:twoCellAnchor>
    <xdr:from>
      <xdr:col>3</xdr:col>
      <xdr:colOff>0</xdr:colOff>
      <xdr:row>92</xdr:row>
      <xdr:rowOff>0</xdr:rowOff>
    </xdr:from>
    <xdr:to>
      <xdr:col>12</xdr:col>
      <xdr:colOff>1015093</xdr:colOff>
      <xdr:row>93</xdr:row>
      <xdr:rowOff>0</xdr:rowOff>
    </xdr:to>
    <xdr:sp macro="k" textlink="">
      <xdr:nvSpPr>
        <xdr:cNvPr id="6279653" name="go_top">
          <a:extLst>
            <a:ext uri="{FF2B5EF4-FFF2-40B4-BE49-F238E27FC236}">
              <a16:creationId xmlns:a16="http://schemas.microsoft.com/office/drawing/2014/main" id="{00000000-0008-0000-2400-0000E5D15F00}"/>
            </a:ext>
          </a:extLst>
        </xdr:cNvPr>
        <xdr:cNvSpPr txBox="1"/>
      </xdr:nvSpPr>
      <xdr:spPr>
        <a:xfrm>
          <a:off x="489857" y="15484929"/>
          <a:ext cx="1015093" cy="185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none" strike="noStrike" baseline="0">
              <a:solidFill>
                <a:srgbClr val="0070C0"/>
              </a:solidFill>
              <a:latin typeface="+mn-lt"/>
            </a:rPr>
            <a:t>↑ Top of page</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35</xdr:col>
      <xdr:colOff>0</xdr:colOff>
      <xdr:row>19</xdr:row>
      <xdr:rowOff>0</xdr:rowOff>
    </xdr:from>
    <xdr:to>
      <xdr:col>35</xdr:col>
      <xdr:colOff>0</xdr:colOff>
      <xdr:row>27</xdr:row>
      <xdr:rowOff>76202</xdr:rowOff>
    </xdr:to>
    <xdr:graphicFrame macro="">
      <xdr:nvGraphicFramePr>
        <xdr:cNvPr id="4" name="cht_cp_3_cat" hidden="1">
          <a:extLst>
            <a:ext uri="{FF2B5EF4-FFF2-40B4-BE49-F238E27FC236}">
              <a16:creationId xmlns:a16="http://schemas.microsoft.com/office/drawing/2014/main" id="{00000000-0008-0000-2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0</xdr:colOff>
      <xdr:row>19</xdr:row>
      <xdr:rowOff>0</xdr:rowOff>
    </xdr:from>
    <xdr:to>
      <xdr:col>35</xdr:col>
      <xdr:colOff>0</xdr:colOff>
      <xdr:row>27</xdr:row>
      <xdr:rowOff>76202</xdr:rowOff>
    </xdr:to>
    <xdr:graphicFrame macro="">
      <xdr:nvGraphicFramePr>
        <xdr:cNvPr id="56" name="cht_cp_6_cat" hidden="1">
          <a:extLst>
            <a:ext uri="{FF2B5EF4-FFF2-40B4-BE49-F238E27FC236}">
              <a16:creationId xmlns:a16="http://schemas.microsoft.com/office/drawing/2014/main" id="{00000000-0008-0000-25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0</xdr:colOff>
      <xdr:row>19</xdr:row>
      <xdr:rowOff>0</xdr:rowOff>
    </xdr:from>
    <xdr:to>
      <xdr:col>35</xdr:col>
      <xdr:colOff>0</xdr:colOff>
      <xdr:row>27</xdr:row>
      <xdr:rowOff>76202</xdr:rowOff>
    </xdr:to>
    <xdr:graphicFrame macro="">
      <xdr:nvGraphicFramePr>
        <xdr:cNvPr id="92" name="cht_cp_7_cat" hidden="1">
          <a:extLst>
            <a:ext uri="{FF2B5EF4-FFF2-40B4-BE49-F238E27FC236}">
              <a16:creationId xmlns:a16="http://schemas.microsoft.com/office/drawing/2014/main" id="{00000000-0008-0000-25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0</xdr:colOff>
      <xdr:row>19</xdr:row>
      <xdr:rowOff>0</xdr:rowOff>
    </xdr:from>
    <xdr:to>
      <xdr:col>35</xdr:col>
      <xdr:colOff>0</xdr:colOff>
      <xdr:row>27</xdr:row>
      <xdr:rowOff>76202</xdr:rowOff>
    </xdr:to>
    <xdr:graphicFrame macro="">
      <xdr:nvGraphicFramePr>
        <xdr:cNvPr id="94" name="cht_cp_2_cat" hidden="1">
          <a:extLst>
            <a:ext uri="{FF2B5EF4-FFF2-40B4-BE49-F238E27FC236}">
              <a16:creationId xmlns:a16="http://schemas.microsoft.com/office/drawing/2014/main" id="{00000000-0008-0000-25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11</xdr:row>
      <xdr:rowOff>0</xdr:rowOff>
    </xdr:from>
    <xdr:to>
      <xdr:col>25</xdr:col>
      <xdr:colOff>0</xdr:colOff>
      <xdr:row>13</xdr:row>
      <xdr:rowOff>0</xdr:rowOff>
    </xdr:to>
    <xdr:graphicFrame macro="">
      <xdr:nvGraphicFramePr>
        <xdr:cNvPr id="12" name="x_cht_template_lollipop_and_dist">
          <a:extLst>
            <a:ext uri="{FF2B5EF4-FFF2-40B4-BE49-F238E27FC236}">
              <a16:creationId xmlns:a16="http://schemas.microsoft.com/office/drawing/2014/main" id="{00000000-0008-0000-2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438149</xdr:colOff>
      <xdr:row>11</xdr:row>
      <xdr:rowOff>0</xdr:rowOff>
    </xdr:from>
    <xdr:to>
      <xdr:col>24</xdr:col>
      <xdr:colOff>0</xdr:colOff>
      <xdr:row>13</xdr:row>
      <xdr:rowOff>0</xdr:rowOff>
    </xdr:to>
    <xdr:graphicFrame macro="">
      <xdr:nvGraphicFramePr>
        <xdr:cNvPr id="13" name="x_cht_template_distribution">
          <a:extLst>
            <a:ext uri="{FF2B5EF4-FFF2-40B4-BE49-F238E27FC236}">
              <a16:creationId xmlns:a16="http://schemas.microsoft.com/office/drawing/2014/main" id="{00000000-0008-0000-2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11</xdr:row>
      <xdr:rowOff>9525</xdr:rowOff>
    </xdr:from>
    <xdr:to>
      <xdr:col>24</xdr:col>
      <xdr:colOff>0</xdr:colOff>
      <xdr:row>13</xdr:row>
      <xdr:rowOff>66675</xdr:rowOff>
    </xdr:to>
    <xdr:graphicFrame macro="">
      <xdr:nvGraphicFramePr>
        <xdr:cNvPr id="14" name="x_cht_template_bar">
          <a:extLst>
            <a:ext uri="{FF2B5EF4-FFF2-40B4-BE49-F238E27FC236}">
              <a16:creationId xmlns:a16="http://schemas.microsoft.com/office/drawing/2014/main" id="{00000000-0008-0000-2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xdr:colOff>
      <xdr:row>11</xdr:row>
      <xdr:rowOff>0</xdr:rowOff>
    </xdr:from>
    <xdr:to>
      <xdr:col>24</xdr:col>
      <xdr:colOff>1</xdr:colOff>
      <xdr:row>13</xdr:row>
      <xdr:rowOff>0</xdr:rowOff>
    </xdr:to>
    <xdr:graphicFrame macro="">
      <xdr:nvGraphicFramePr>
        <xdr:cNvPr id="21" name="x_cht_template_lollipop">
          <a:extLst>
            <a:ext uri="{FF2B5EF4-FFF2-40B4-BE49-F238E27FC236}">
              <a16:creationId xmlns:a16="http://schemas.microsoft.com/office/drawing/2014/main" id="{00000000-0008-0000-2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1</xdr:colOff>
      <xdr:row>11</xdr:row>
      <xdr:rowOff>0</xdr:rowOff>
    </xdr:from>
    <xdr:to>
      <xdr:col>24</xdr:col>
      <xdr:colOff>0</xdr:colOff>
      <xdr:row>13</xdr:row>
      <xdr:rowOff>0</xdr:rowOff>
    </xdr:to>
    <xdr:graphicFrame macro="">
      <xdr:nvGraphicFramePr>
        <xdr:cNvPr id="5272429" name="x_cht_template_lollipop_and_dist">
          <a:extLst>
            <a:ext uri="{FF2B5EF4-FFF2-40B4-BE49-F238E27FC236}">
              <a16:creationId xmlns:a16="http://schemas.microsoft.com/office/drawing/2014/main" id="{00000000-0008-0000-2500-00006D73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11</xdr:row>
      <xdr:rowOff>0</xdr:rowOff>
    </xdr:from>
    <xdr:to>
      <xdr:col>24</xdr:col>
      <xdr:colOff>0</xdr:colOff>
      <xdr:row>13</xdr:row>
      <xdr:rowOff>0</xdr:rowOff>
    </xdr:to>
    <xdr:graphicFrame macro="">
      <xdr:nvGraphicFramePr>
        <xdr:cNvPr id="5272377" name="x_cht_template_range_and_dist">
          <a:extLst>
            <a:ext uri="{FF2B5EF4-FFF2-40B4-BE49-F238E27FC236}">
              <a16:creationId xmlns:a16="http://schemas.microsoft.com/office/drawing/2014/main" id="{00000000-0008-0000-2500-00003973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0</xdr:colOff>
      <xdr:row>11</xdr:row>
      <xdr:rowOff>0</xdr:rowOff>
    </xdr:from>
    <xdr:to>
      <xdr:col>24</xdr:col>
      <xdr:colOff>0</xdr:colOff>
      <xdr:row>13</xdr:row>
      <xdr:rowOff>0</xdr:rowOff>
    </xdr:to>
    <xdr:graphicFrame macro="">
      <xdr:nvGraphicFramePr>
        <xdr:cNvPr id="5272411" name="x_cht_template_range">
          <a:extLst>
            <a:ext uri="{FF2B5EF4-FFF2-40B4-BE49-F238E27FC236}">
              <a16:creationId xmlns:a16="http://schemas.microsoft.com/office/drawing/2014/main" id="{00000000-0008-0000-2500-00005B73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200025</xdr:colOff>
      <xdr:row>11</xdr:row>
      <xdr:rowOff>0</xdr:rowOff>
    </xdr:from>
    <xdr:to>
      <xdr:col>33</xdr:col>
      <xdr:colOff>180975</xdr:colOff>
      <xdr:row>13</xdr:row>
      <xdr:rowOff>0</xdr:rowOff>
    </xdr:to>
    <xdr:graphicFrame macro="">
      <xdr:nvGraphicFramePr>
        <xdr:cNvPr id="5272960" name="x_cht_template_range_groups">
          <a:extLst>
            <a:ext uri="{FF2B5EF4-FFF2-40B4-BE49-F238E27FC236}">
              <a16:creationId xmlns:a16="http://schemas.microsoft.com/office/drawing/2014/main" id="{00000000-0008-0000-2500-00008075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133350</xdr:colOff>
      <xdr:row>80</xdr:row>
      <xdr:rowOff>0</xdr:rowOff>
    </xdr:from>
    <xdr:to>
      <xdr:col>35</xdr:col>
      <xdr:colOff>400050</xdr:colOff>
      <xdr:row>90</xdr:row>
      <xdr:rowOff>0</xdr:rowOff>
    </xdr:to>
    <xdr:graphicFrame macro="">
      <xdr:nvGraphicFramePr>
        <xdr:cNvPr id="5272961" name="Chart 5272960">
          <a:extLst>
            <a:ext uri="{FF2B5EF4-FFF2-40B4-BE49-F238E27FC236}">
              <a16:creationId xmlns:a16="http://schemas.microsoft.com/office/drawing/2014/main" id="{00000000-0008-0000-2500-00008175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0</xdr:colOff>
      <xdr:row>80</xdr:row>
      <xdr:rowOff>0</xdr:rowOff>
    </xdr:from>
    <xdr:to>
      <xdr:col>23</xdr:col>
      <xdr:colOff>247650</xdr:colOff>
      <xdr:row>90</xdr:row>
      <xdr:rowOff>0</xdr:rowOff>
    </xdr:to>
    <xdr:graphicFrame macro="">
      <xdr:nvGraphicFramePr>
        <xdr:cNvPr id="5272962" name="Chart 5272961">
          <a:extLst>
            <a:ext uri="{FF2B5EF4-FFF2-40B4-BE49-F238E27FC236}">
              <a16:creationId xmlns:a16="http://schemas.microsoft.com/office/drawing/2014/main" id="{00000000-0008-0000-2500-00008275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114300</xdr:colOff>
      <xdr:row>93</xdr:row>
      <xdr:rowOff>0</xdr:rowOff>
    </xdr:from>
    <xdr:to>
      <xdr:col>35</xdr:col>
      <xdr:colOff>381000</xdr:colOff>
      <xdr:row>103</xdr:row>
      <xdr:rowOff>0</xdr:rowOff>
    </xdr:to>
    <xdr:graphicFrame macro="">
      <xdr:nvGraphicFramePr>
        <xdr:cNvPr id="5272540" name="Chart 5272539">
          <a:extLst>
            <a:ext uri="{FF2B5EF4-FFF2-40B4-BE49-F238E27FC236}">
              <a16:creationId xmlns:a16="http://schemas.microsoft.com/office/drawing/2014/main" id="{00000000-0008-0000-2500-0000DC73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0</xdr:colOff>
      <xdr:row>93</xdr:row>
      <xdr:rowOff>0</xdr:rowOff>
    </xdr:from>
    <xdr:to>
      <xdr:col>23</xdr:col>
      <xdr:colOff>0</xdr:colOff>
      <xdr:row>103</xdr:row>
      <xdr:rowOff>0</xdr:rowOff>
    </xdr:to>
    <xdr:graphicFrame macro="">
      <xdr:nvGraphicFramePr>
        <xdr:cNvPr id="5272541" name="Chart 5272540">
          <a:extLst>
            <a:ext uri="{FF2B5EF4-FFF2-40B4-BE49-F238E27FC236}">
              <a16:creationId xmlns:a16="http://schemas.microsoft.com/office/drawing/2014/main" id="{00000000-0008-0000-2500-0000DD73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28</xdr:col>
      <xdr:colOff>447675</xdr:colOff>
      <xdr:row>10</xdr:row>
      <xdr:rowOff>201386</xdr:rowOff>
    </xdr:from>
    <xdr:to>
      <xdr:col>37</xdr:col>
      <xdr:colOff>312964</xdr:colOff>
      <xdr:row>24</xdr:row>
      <xdr:rowOff>125184</xdr:rowOff>
    </xdr:to>
    <xdr:grpSp>
      <xdr:nvGrpSpPr>
        <xdr:cNvPr id="86" name="Group 85">
          <a:extLst>
            <a:ext uri="{FF2B5EF4-FFF2-40B4-BE49-F238E27FC236}">
              <a16:creationId xmlns:a16="http://schemas.microsoft.com/office/drawing/2014/main" id="{00000000-0008-0000-2500-000056000000}"/>
            </a:ext>
          </a:extLst>
        </xdr:cNvPr>
        <xdr:cNvGrpSpPr/>
      </xdr:nvGrpSpPr>
      <xdr:grpSpPr>
        <a:xfrm>
          <a:off x="12492718" y="2759529"/>
          <a:ext cx="4219575" cy="3107869"/>
          <a:chOff x="11820525" y="4200525"/>
          <a:chExt cx="3943350" cy="3105149"/>
        </a:xfrm>
      </xdr:grpSpPr>
      <xdr:graphicFrame macro="">
        <xdr:nvGraphicFramePr>
          <xdr:cNvPr id="57" name="cht_cp_4_cat">
            <a:extLst>
              <a:ext uri="{FF2B5EF4-FFF2-40B4-BE49-F238E27FC236}">
                <a16:creationId xmlns:a16="http://schemas.microsoft.com/office/drawing/2014/main" id="{00000000-0008-0000-2500-000039000000}"/>
              </a:ext>
            </a:extLst>
          </xdr:cNvPr>
          <xdr:cNvGraphicFramePr>
            <a:graphicFrameLocks/>
          </xdr:cNvGraphicFramePr>
        </xdr:nvGraphicFramePr>
        <xdr:xfrm>
          <a:off x="14428655" y="4912915"/>
          <a:ext cx="0" cy="2371725"/>
        </xdr:xfrm>
        <a:graphic>
          <a:graphicData uri="http://schemas.openxmlformats.org/drawingml/2006/chart">
            <c:chart xmlns:c="http://schemas.openxmlformats.org/drawingml/2006/chart" xmlns:r="http://schemas.openxmlformats.org/officeDocument/2006/relationships" r:id="rId17"/>
          </a:graphicData>
        </a:graphic>
      </xdr:graphicFrame>
      <xdr:sp macro="" textlink="">
        <xdr:nvSpPr>
          <xdr:cNvPr id="64" name="Rectangle 63">
            <a:extLst>
              <a:ext uri="{FF2B5EF4-FFF2-40B4-BE49-F238E27FC236}">
                <a16:creationId xmlns:a16="http://schemas.microsoft.com/office/drawing/2014/main" id="{00000000-0008-0000-2500-000040000000}"/>
              </a:ext>
            </a:extLst>
          </xdr:cNvPr>
          <xdr:cNvSpPr/>
        </xdr:nvSpPr>
        <xdr:spPr>
          <a:xfrm>
            <a:off x="11820525" y="4200525"/>
            <a:ext cx="3943350" cy="3105149"/>
          </a:xfrm>
          <a:prstGeom prst="rect">
            <a:avLst/>
          </a:prstGeom>
          <a:solidFill>
            <a:schemeClr val="bg1">
              <a:lumMod val="95000"/>
            </a:schemeClr>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3" name="TextBox 32">
            <a:extLst>
              <a:ext uri="{FF2B5EF4-FFF2-40B4-BE49-F238E27FC236}">
                <a16:creationId xmlns:a16="http://schemas.microsoft.com/office/drawing/2014/main" id="{00000000-0008-0000-2500-000021000000}"/>
              </a:ext>
            </a:extLst>
          </xdr:cNvPr>
          <xdr:cNvSpPr txBox="1"/>
        </xdr:nvSpPr>
        <xdr:spPr>
          <a:xfrm>
            <a:off x="12011025" y="4627881"/>
            <a:ext cx="1695450" cy="6965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solidFill>
                  <a:schemeClr val="bg1">
                    <a:lumMod val="50000"/>
                  </a:schemeClr>
                </a:solidFill>
              </a:rPr>
              <a:t>Horizontal</a:t>
            </a:r>
            <a:r>
              <a:rPr lang="en-GB" sz="900" baseline="0">
                <a:solidFill>
                  <a:schemeClr val="bg1">
                    <a:lumMod val="50000"/>
                  </a:schemeClr>
                </a:solidFill>
              </a:rPr>
              <a:t> g</a:t>
            </a:r>
            <a:r>
              <a:rPr lang="en-GB" sz="900">
                <a:solidFill>
                  <a:schemeClr val="bg1">
                    <a:lumMod val="50000"/>
                  </a:schemeClr>
                </a:solidFill>
              </a:rPr>
              <a:t>rey line</a:t>
            </a:r>
          </a:p>
          <a:p>
            <a:endParaRPr lang="en-GB" sz="900"/>
          </a:p>
          <a:p>
            <a:r>
              <a:rPr lang="en-GB" sz="900" b="1"/>
              <a:t>Range of</a:t>
            </a:r>
            <a:r>
              <a:rPr lang="en-GB" sz="900" b="1" baseline="0"/>
              <a:t> scores </a:t>
            </a:r>
            <a:r>
              <a:rPr lang="en-GB" sz="900" baseline="0">
                <a:solidFill>
                  <a:schemeClr val="dk1"/>
                </a:solidFill>
                <a:effectLst/>
                <a:latin typeface="+mn-lt"/>
                <a:ea typeface="+mn-ea"/>
                <a:cs typeface="+mn-cs"/>
              </a:rPr>
              <a:t>aross all 50 cities.</a:t>
            </a:r>
            <a:r>
              <a:rPr lang="en-GB" sz="900" baseline="0"/>
              <a:t> (minimum to maximum) </a:t>
            </a:r>
            <a:endParaRPr lang="en-GB" sz="900"/>
          </a:p>
        </xdr:txBody>
      </xdr:sp>
      <xdr:sp macro="" textlink="">
        <xdr:nvSpPr>
          <xdr:cNvPr id="35" name="TextBox 34">
            <a:extLst>
              <a:ext uri="{FF2B5EF4-FFF2-40B4-BE49-F238E27FC236}">
                <a16:creationId xmlns:a16="http://schemas.microsoft.com/office/drawing/2014/main" id="{00000000-0008-0000-2500-000023000000}"/>
              </a:ext>
            </a:extLst>
          </xdr:cNvPr>
          <xdr:cNvSpPr txBox="1"/>
        </xdr:nvSpPr>
        <xdr:spPr>
          <a:xfrm>
            <a:off x="13354051" y="6349010"/>
            <a:ext cx="914399" cy="8042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900"/>
              <a:t>Score for the </a:t>
            </a:r>
            <a:r>
              <a:rPr lang="en-GB" sz="900" b="1"/>
              <a:t>selected city</a:t>
            </a:r>
            <a:r>
              <a:rPr lang="en-GB" sz="900"/>
              <a:t>.</a:t>
            </a:r>
          </a:p>
          <a:p>
            <a:endParaRPr lang="en-GB" sz="900"/>
          </a:p>
          <a:p>
            <a:endParaRPr lang="en-GB" sz="900"/>
          </a:p>
          <a:p>
            <a:pPr algn="ctr"/>
            <a:r>
              <a:rPr lang="en-GB" sz="900">
                <a:solidFill>
                  <a:srgbClr val="0070C0"/>
                </a:solidFill>
              </a:rPr>
              <a:t>Blue dot</a:t>
            </a:r>
          </a:p>
        </xdr:txBody>
      </xdr:sp>
      <xdr:sp macro="" textlink="">
        <xdr:nvSpPr>
          <xdr:cNvPr id="38" name="TextBox 37">
            <a:extLst>
              <a:ext uri="{FF2B5EF4-FFF2-40B4-BE49-F238E27FC236}">
                <a16:creationId xmlns:a16="http://schemas.microsoft.com/office/drawing/2014/main" id="{00000000-0008-0000-2500-000026000000}"/>
              </a:ext>
            </a:extLst>
          </xdr:cNvPr>
          <xdr:cNvSpPr txBox="1"/>
        </xdr:nvSpPr>
        <xdr:spPr>
          <a:xfrm>
            <a:off x="14173201" y="4617199"/>
            <a:ext cx="1390650" cy="7072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solidFill>
                  <a:schemeClr val="bg1">
                    <a:lumMod val="50000"/>
                  </a:schemeClr>
                </a:solidFill>
              </a:rPr>
              <a:t>Vertical grey </a:t>
            </a:r>
            <a:r>
              <a:rPr lang="en-GB" sz="900" b="0" i="0" baseline="0">
                <a:solidFill>
                  <a:schemeClr val="bg1">
                    <a:lumMod val="50000"/>
                  </a:schemeClr>
                </a:solidFill>
                <a:effectLst/>
                <a:latin typeface="+mn-lt"/>
                <a:ea typeface="+mn-ea"/>
                <a:cs typeface="+mn-cs"/>
              </a:rPr>
              <a:t>line</a:t>
            </a:r>
          </a:p>
          <a:p>
            <a:endParaRPr lang="en-GB" sz="900" b="0" i="0" baseline="0">
              <a:solidFill>
                <a:schemeClr val="dk1"/>
              </a:solidFill>
              <a:effectLst/>
              <a:latin typeface="+mn-lt"/>
              <a:ea typeface="+mn-ea"/>
              <a:cs typeface="+mn-cs"/>
            </a:endParaRPr>
          </a:p>
          <a:p>
            <a:r>
              <a:rPr lang="en-GB" sz="900" b="1" i="0" baseline="0">
                <a:solidFill>
                  <a:schemeClr val="dk1"/>
                </a:solidFill>
                <a:effectLst/>
                <a:latin typeface="+mn-lt"/>
                <a:ea typeface="+mn-ea"/>
                <a:cs typeface="+mn-cs"/>
              </a:rPr>
              <a:t>Average score </a:t>
            </a:r>
            <a:r>
              <a:rPr lang="en-GB" sz="900" b="0" i="0" baseline="0">
                <a:solidFill>
                  <a:schemeClr val="dk1"/>
                </a:solidFill>
                <a:effectLst/>
                <a:latin typeface="+mn-lt"/>
                <a:ea typeface="+mn-ea"/>
                <a:cs typeface="+mn-cs"/>
              </a:rPr>
              <a:t>across all 50 cities.</a:t>
            </a:r>
            <a:endParaRPr lang="en-GB" sz="900"/>
          </a:p>
        </xdr:txBody>
      </xdr:sp>
      <xdr:graphicFrame macro="">
        <xdr:nvGraphicFramePr>
          <xdr:cNvPr id="5272991" name="legend_scatter">
            <a:extLst>
              <a:ext uri="{FF2B5EF4-FFF2-40B4-BE49-F238E27FC236}">
                <a16:creationId xmlns:a16="http://schemas.microsoft.com/office/drawing/2014/main" id="{00000000-0008-0000-2500-00009F755000}"/>
              </a:ext>
            </a:extLst>
          </xdr:cNvPr>
          <xdr:cNvGraphicFramePr>
            <a:graphicFrameLocks/>
          </xdr:cNvGraphicFramePr>
        </xdr:nvGraphicFramePr>
        <xdr:xfrm>
          <a:off x="12125325" y="5592515"/>
          <a:ext cx="3286126" cy="427357"/>
        </xdr:xfrm>
        <a:graphic>
          <a:graphicData uri="http://schemas.openxmlformats.org/drawingml/2006/chart">
            <c:chart xmlns:c="http://schemas.openxmlformats.org/drawingml/2006/chart" xmlns:r="http://schemas.openxmlformats.org/officeDocument/2006/relationships" r:id="rId18"/>
          </a:graphicData>
        </a:graphic>
      </xdr:graphicFrame>
      <xdr:sp macro="" textlink="">
        <xdr:nvSpPr>
          <xdr:cNvPr id="66" name="TextBox 65">
            <a:extLst>
              <a:ext uri="{FF2B5EF4-FFF2-40B4-BE49-F238E27FC236}">
                <a16:creationId xmlns:a16="http://schemas.microsoft.com/office/drawing/2014/main" id="{00000000-0008-0000-2500-000042000000}"/>
              </a:ext>
            </a:extLst>
          </xdr:cNvPr>
          <xdr:cNvSpPr txBox="1"/>
        </xdr:nvSpPr>
        <xdr:spPr>
          <a:xfrm>
            <a:off x="11896725" y="4285997"/>
            <a:ext cx="1314450" cy="256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t>Legend</a:t>
            </a:r>
          </a:p>
        </xdr:txBody>
      </xdr:sp>
      <xdr:cxnSp macro="">
        <xdr:nvCxnSpPr>
          <xdr:cNvPr id="69" name="Straight Arrow Connector 68">
            <a:extLst>
              <a:ext uri="{FF2B5EF4-FFF2-40B4-BE49-F238E27FC236}">
                <a16:creationId xmlns:a16="http://schemas.microsoft.com/office/drawing/2014/main" id="{00000000-0008-0000-2500-000045000000}"/>
              </a:ext>
            </a:extLst>
          </xdr:cNvPr>
          <xdr:cNvCxnSpPr>
            <a:stCxn id="33" idx="2"/>
          </xdr:cNvCxnSpPr>
        </xdr:nvCxnSpPr>
        <xdr:spPr>
          <a:xfrm>
            <a:off x="12858750" y="5324474"/>
            <a:ext cx="409575" cy="466726"/>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Straight Arrow Connector 72">
            <a:extLst>
              <a:ext uri="{FF2B5EF4-FFF2-40B4-BE49-F238E27FC236}">
                <a16:creationId xmlns:a16="http://schemas.microsoft.com/office/drawing/2014/main" id="{00000000-0008-0000-2500-000049000000}"/>
              </a:ext>
            </a:extLst>
          </xdr:cNvPr>
          <xdr:cNvCxnSpPr>
            <a:stCxn id="38" idx="2"/>
          </xdr:cNvCxnSpPr>
        </xdr:nvCxnSpPr>
        <xdr:spPr>
          <a:xfrm flipH="1">
            <a:off x="14087475" y="5324475"/>
            <a:ext cx="781051" cy="390525"/>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Straight Arrow Connector 78">
            <a:extLst>
              <a:ext uri="{FF2B5EF4-FFF2-40B4-BE49-F238E27FC236}">
                <a16:creationId xmlns:a16="http://schemas.microsoft.com/office/drawing/2014/main" id="{00000000-0008-0000-2500-00004F000000}"/>
              </a:ext>
            </a:extLst>
          </xdr:cNvPr>
          <xdr:cNvCxnSpPr>
            <a:stCxn id="35" idx="0"/>
          </xdr:cNvCxnSpPr>
        </xdr:nvCxnSpPr>
        <xdr:spPr>
          <a:xfrm flipH="1" flipV="1">
            <a:off x="13754100" y="5867400"/>
            <a:ext cx="57151" cy="481610"/>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0</xdr:colOff>
      <xdr:row>106</xdr:row>
      <xdr:rowOff>0</xdr:rowOff>
    </xdr:from>
    <xdr:to>
      <xdr:col>35</xdr:col>
      <xdr:colOff>397328</xdr:colOff>
      <xdr:row>116</xdr:row>
      <xdr:rowOff>0</xdr:rowOff>
    </xdr:to>
    <xdr:graphicFrame macro="">
      <xdr:nvGraphicFramePr>
        <xdr:cNvPr id="5272570" name="Chart 5272569">
          <a:extLst>
            <a:ext uri="{FF2B5EF4-FFF2-40B4-BE49-F238E27FC236}">
              <a16:creationId xmlns:a16="http://schemas.microsoft.com/office/drawing/2014/main" id="{00000000-0008-0000-2500-0000FA73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21</xdr:row>
      <xdr:rowOff>0</xdr:rowOff>
    </xdr:from>
    <xdr:to>
      <xdr:col>27</xdr:col>
      <xdr:colOff>443593</xdr:colOff>
      <xdr:row>22</xdr:row>
      <xdr:rowOff>0</xdr:rowOff>
    </xdr:to>
    <xdr:graphicFrame macro="">
      <xdr:nvGraphicFramePr>
        <xdr:cNvPr id="49" name="cht_scatter_22">
          <a:extLst>
            <a:ext uri="{FF2B5EF4-FFF2-40B4-BE49-F238E27FC236}">
              <a16:creationId xmlns:a16="http://schemas.microsoft.com/office/drawing/2014/main" id="{00000000-0008-0000-25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23</xdr:row>
      <xdr:rowOff>0</xdr:rowOff>
    </xdr:from>
    <xdr:to>
      <xdr:col>27</xdr:col>
      <xdr:colOff>443593</xdr:colOff>
      <xdr:row>24</xdr:row>
      <xdr:rowOff>0</xdr:rowOff>
    </xdr:to>
    <xdr:graphicFrame macro="">
      <xdr:nvGraphicFramePr>
        <xdr:cNvPr id="50" name="cht_scatter_24">
          <a:extLst>
            <a:ext uri="{FF2B5EF4-FFF2-40B4-BE49-F238E27FC236}">
              <a16:creationId xmlns:a16="http://schemas.microsoft.com/office/drawing/2014/main" id="{00000000-0008-0000-25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24</xdr:row>
      <xdr:rowOff>0</xdr:rowOff>
    </xdr:from>
    <xdr:to>
      <xdr:col>27</xdr:col>
      <xdr:colOff>443593</xdr:colOff>
      <xdr:row>25</xdr:row>
      <xdr:rowOff>0</xdr:rowOff>
    </xdr:to>
    <xdr:graphicFrame macro="">
      <xdr:nvGraphicFramePr>
        <xdr:cNvPr id="51" name="cht_scatter_25">
          <a:extLst>
            <a:ext uri="{FF2B5EF4-FFF2-40B4-BE49-F238E27FC236}">
              <a16:creationId xmlns:a16="http://schemas.microsoft.com/office/drawing/2014/main" id="{00000000-0008-0000-25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25</xdr:row>
      <xdr:rowOff>0</xdr:rowOff>
    </xdr:from>
    <xdr:to>
      <xdr:col>27</xdr:col>
      <xdr:colOff>443593</xdr:colOff>
      <xdr:row>26</xdr:row>
      <xdr:rowOff>0</xdr:rowOff>
    </xdr:to>
    <xdr:graphicFrame macro="">
      <xdr:nvGraphicFramePr>
        <xdr:cNvPr id="52" name="cht_scatter_26">
          <a:extLst>
            <a:ext uri="{FF2B5EF4-FFF2-40B4-BE49-F238E27FC236}">
              <a16:creationId xmlns:a16="http://schemas.microsoft.com/office/drawing/2014/main" id="{00000000-0008-0000-25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19</xdr:col>
      <xdr:colOff>0</xdr:colOff>
      <xdr:row>26</xdr:row>
      <xdr:rowOff>1</xdr:rowOff>
    </xdr:from>
    <xdr:to>
      <xdr:col>27</xdr:col>
      <xdr:colOff>443593</xdr:colOff>
      <xdr:row>27</xdr:row>
      <xdr:rowOff>1</xdr:rowOff>
    </xdr:to>
    <xdr:graphicFrame macro="">
      <xdr:nvGraphicFramePr>
        <xdr:cNvPr id="53" name="cht_scatter_27">
          <a:extLst>
            <a:ext uri="{FF2B5EF4-FFF2-40B4-BE49-F238E27FC236}">
              <a16:creationId xmlns:a16="http://schemas.microsoft.com/office/drawing/2014/main" id="{00000000-0008-0000-25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0</xdr:colOff>
      <xdr:row>27</xdr:row>
      <xdr:rowOff>1</xdr:rowOff>
    </xdr:from>
    <xdr:to>
      <xdr:col>27</xdr:col>
      <xdr:colOff>443593</xdr:colOff>
      <xdr:row>28</xdr:row>
      <xdr:rowOff>1</xdr:rowOff>
    </xdr:to>
    <xdr:graphicFrame macro="">
      <xdr:nvGraphicFramePr>
        <xdr:cNvPr id="54" name="cht_scatter_28">
          <a:extLst>
            <a:ext uri="{FF2B5EF4-FFF2-40B4-BE49-F238E27FC236}">
              <a16:creationId xmlns:a16="http://schemas.microsoft.com/office/drawing/2014/main" id="{00000000-0008-0000-25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0</xdr:colOff>
      <xdr:row>34</xdr:row>
      <xdr:rowOff>0</xdr:rowOff>
    </xdr:from>
    <xdr:to>
      <xdr:col>27</xdr:col>
      <xdr:colOff>443593</xdr:colOff>
      <xdr:row>35</xdr:row>
      <xdr:rowOff>0</xdr:rowOff>
    </xdr:to>
    <xdr:graphicFrame macro="">
      <xdr:nvGraphicFramePr>
        <xdr:cNvPr id="55" name="cht_scatter_35">
          <a:extLst>
            <a:ext uri="{FF2B5EF4-FFF2-40B4-BE49-F238E27FC236}">
              <a16:creationId xmlns:a16="http://schemas.microsoft.com/office/drawing/2014/main" id="{00000000-0008-0000-25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19</xdr:col>
      <xdr:colOff>0</xdr:colOff>
      <xdr:row>35</xdr:row>
      <xdr:rowOff>0</xdr:rowOff>
    </xdr:from>
    <xdr:to>
      <xdr:col>27</xdr:col>
      <xdr:colOff>443593</xdr:colOff>
      <xdr:row>36</xdr:row>
      <xdr:rowOff>0</xdr:rowOff>
    </xdr:to>
    <xdr:graphicFrame macro="">
      <xdr:nvGraphicFramePr>
        <xdr:cNvPr id="58" name="cht_scatter_36">
          <a:extLst>
            <a:ext uri="{FF2B5EF4-FFF2-40B4-BE49-F238E27FC236}">
              <a16:creationId xmlns:a16="http://schemas.microsoft.com/office/drawing/2014/main" id="{00000000-0008-0000-25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19</xdr:col>
      <xdr:colOff>0</xdr:colOff>
      <xdr:row>36</xdr:row>
      <xdr:rowOff>0</xdr:rowOff>
    </xdr:from>
    <xdr:to>
      <xdr:col>27</xdr:col>
      <xdr:colOff>443593</xdr:colOff>
      <xdr:row>37</xdr:row>
      <xdr:rowOff>0</xdr:rowOff>
    </xdr:to>
    <xdr:graphicFrame macro="">
      <xdr:nvGraphicFramePr>
        <xdr:cNvPr id="59" name="cht_scatter_37">
          <a:extLst>
            <a:ext uri="{FF2B5EF4-FFF2-40B4-BE49-F238E27FC236}">
              <a16:creationId xmlns:a16="http://schemas.microsoft.com/office/drawing/2014/main" id="{00000000-0008-0000-25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19</xdr:col>
      <xdr:colOff>0</xdr:colOff>
      <xdr:row>37</xdr:row>
      <xdr:rowOff>0</xdr:rowOff>
    </xdr:from>
    <xdr:to>
      <xdr:col>27</xdr:col>
      <xdr:colOff>443593</xdr:colOff>
      <xdr:row>38</xdr:row>
      <xdr:rowOff>0</xdr:rowOff>
    </xdr:to>
    <xdr:graphicFrame macro="">
      <xdr:nvGraphicFramePr>
        <xdr:cNvPr id="60" name="cht_scatter_38">
          <a:extLst>
            <a:ext uri="{FF2B5EF4-FFF2-40B4-BE49-F238E27FC236}">
              <a16:creationId xmlns:a16="http://schemas.microsoft.com/office/drawing/2014/main" id="{00000000-0008-0000-25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19</xdr:col>
      <xdr:colOff>0</xdr:colOff>
      <xdr:row>38</xdr:row>
      <xdr:rowOff>0</xdr:rowOff>
    </xdr:from>
    <xdr:to>
      <xdr:col>27</xdr:col>
      <xdr:colOff>443593</xdr:colOff>
      <xdr:row>39</xdr:row>
      <xdr:rowOff>0</xdr:rowOff>
    </xdr:to>
    <xdr:graphicFrame macro="">
      <xdr:nvGraphicFramePr>
        <xdr:cNvPr id="61" name="cht_scatter_39">
          <a:extLst>
            <a:ext uri="{FF2B5EF4-FFF2-40B4-BE49-F238E27FC236}">
              <a16:creationId xmlns:a16="http://schemas.microsoft.com/office/drawing/2014/main" id="{00000000-0008-0000-25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19</xdr:col>
      <xdr:colOff>0</xdr:colOff>
      <xdr:row>41</xdr:row>
      <xdr:rowOff>0</xdr:rowOff>
    </xdr:from>
    <xdr:to>
      <xdr:col>27</xdr:col>
      <xdr:colOff>443593</xdr:colOff>
      <xdr:row>42</xdr:row>
      <xdr:rowOff>0</xdr:rowOff>
    </xdr:to>
    <xdr:graphicFrame macro="">
      <xdr:nvGraphicFramePr>
        <xdr:cNvPr id="62" name="cht_scatter_42">
          <a:extLst>
            <a:ext uri="{FF2B5EF4-FFF2-40B4-BE49-F238E27FC236}">
              <a16:creationId xmlns:a16="http://schemas.microsoft.com/office/drawing/2014/main" id="{00000000-0008-0000-25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19</xdr:col>
      <xdr:colOff>0</xdr:colOff>
      <xdr:row>42</xdr:row>
      <xdr:rowOff>0</xdr:rowOff>
    </xdr:from>
    <xdr:to>
      <xdr:col>27</xdr:col>
      <xdr:colOff>443593</xdr:colOff>
      <xdr:row>43</xdr:row>
      <xdr:rowOff>0</xdr:rowOff>
    </xdr:to>
    <xdr:graphicFrame macro="">
      <xdr:nvGraphicFramePr>
        <xdr:cNvPr id="5272562" name="cht_scatter_43">
          <a:extLst>
            <a:ext uri="{FF2B5EF4-FFF2-40B4-BE49-F238E27FC236}">
              <a16:creationId xmlns:a16="http://schemas.microsoft.com/office/drawing/2014/main" id="{00000000-0008-0000-2500-0000F273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19</xdr:col>
      <xdr:colOff>0</xdr:colOff>
      <xdr:row>43</xdr:row>
      <xdr:rowOff>0</xdr:rowOff>
    </xdr:from>
    <xdr:to>
      <xdr:col>27</xdr:col>
      <xdr:colOff>443593</xdr:colOff>
      <xdr:row>44</xdr:row>
      <xdr:rowOff>0</xdr:rowOff>
    </xdr:to>
    <xdr:graphicFrame macro="">
      <xdr:nvGraphicFramePr>
        <xdr:cNvPr id="5272563" name="cht_scatter_44">
          <a:extLst>
            <a:ext uri="{FF2B5EF4-FFF2-40B4-BE49-F238E27FC236}">
              <a16:creationId xmlns:a16="http://schemas.microsoft.com/office/drawing/2014/main" id="{00000000-0008-0000-2500-0000F373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19</xdr:col>
      <xdr:colOff>0</xdr:colOff>
      <xdr:row>44</xdr:row>
      <xdr:rowOff>0</xdr:rowOff>
    </xdr:from>
    <xdr:to>
      <xdr:col>27</xdr:col>
      <xdr:colOff>443593</xdr:colOff>
      <xdr:row>45</xdr:row>
      <xdr:rowOff>0</xdr:rowOff>
    </xdr:to>
    <xdr:graphicFrame macro="">
      <xdr:nvGraphicFramePr>
        <xdr:cNvPr id="5272564" name="cht_scatter_45">
          <a:extLst>
            <a:ext uri="{FF2B5EF4-FFF2-40B4-BE49-F238E27FC236}">
              <a16:creationId xmlns:a16="http://schemas.microsoft.com/office/drawing/2014/main" id="{00000000-0008-0000-2500-0000F473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19</xdr:col>
      <xdr:colOff>0</xdr:colOff>
      <xdr:row>45</xdr:row>
      <xdr:rowOff>0</xdr:rowOff>
    </xdr:from>
    <xdr:to>
      <xdr:col>27</xdr:col>
      <xdr:colOff>443593</xdr:colOff>
      <xdr:row>46</xdr:row>
      <xdr:rowOff>0</xdr:rowOff>
    </xdr:to>
    <xdr:graphicFrame macro="">
      <xdr:nvGraphicFramePr>
        <xdr:cNvPr id="5272565" name="cht_scatter_46">
          <a:extLst>
            <a:ext uri="{FF2B5EF4-FFF2-40B4-BE49-F238E27FC236}">
              <a16:creationId xmlns:a16="http://schemas.microsoft.com/office/drawing/2014/main" id="{00000000-0008-0000-2500-0000F573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19</xdr:col>
      <xdr:colOff>0</xdr:colOff>
      <xdr:row>48</xdr:row>
      <xdr:rowOff>0</xdr:rowOff>
    </xdr:from>
    <xdr:to>
      <xdr:col>27</xdr:col>
      <xdr:colOff>443593</xdr:colOff>
      <xdr:row>49</xdr:row>
      <xdr:rowOff>0</xdr:rowOff>
    </xdr:to>
    <xdr:graphicFrame macro="">
      <xdr:nvGraphicFramePr>
        <xdr:cNvPr id="5272566" name="cht_scatter_49">
          <a:extLst>
            <a:ext uri="{FF2B5EF4-FFF2-40B4-BE49-F238E27FC236}">
              <a16:creationId xmlns:a16="http://schemas.microsoft.com/office/drawing/2014/main" id="{00000000-0008-0000-2500-0000F673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19</xdr:col>
      <xdr:colOff>0</xdr:colOff>
      <xdr:row>49</xdr:row>
      <xdr:rowOff>0</xdr:rowOff>
    </xdr:from>
    <xdr:to>
      <xdr:col>27</xdr:col>
      <xdr:colOff>443593</xdr:colOff>
      <xdr:row>50</xdr:row>
      <xdr:rowOff>0</xdr:rowOff>
    </xdr:to>
    <xdr:graphicFrame macro="">
      <xdr:nvGraphicFramePr>
        <xdr:cNvPr id="5272567" name="cht_scatter_50">
          <a:extLst>
            <a:ext uri="{FF2B5EF4-FFF2-40B4-BE49-F238E27FC236}">
              <a16:creationId xmlns:a16="http://schemas.microsoft.com/office/drawing/2014/main" id="{00000000-0008-0000-2500-0000F773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19</xdr:col>
      <xdr:colOff>0</xdr:colOff>
      <xdr:row>50</xdr:row>
      <xdr:rowOff>0</xdr:rowOff>
    </xdr:from>
    <xdr:to>
      <xdr:col>27</xdr:col>
      <xdr:colOff>443593</xdr:colOff>
      <xdr:row>51</xdr:row>
      <xdr:rowOff>0</xdr:rowOff>
    </xdr:to>
    <xdr:graphicFrame macro="">
      <xdr:nvGraphicFramePr>
        <xdr:cNvPr id="5272568" name="cht_scatter_51">
          <a:extLst>
            <a:ext uri="{FF2B5EF4-FFF2-40B4-BE49-F238E27FC236}">
              <a16:creationId xmlns:a16="http://schemas.microsoft.com/office/drawing/2014/main" id="{00000000-0008-0000-2500-0000F873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19</xdr:col>
      <xdr:colOff>0</xdr:colOff>
      <xdr:row>51</xdr:row>
      <xdr:rowOff>0</xdr:rowOff>
    </xdr:from>
    <xdr:to>
      <xdr:col>27</xdr:col>
      <xdr:colOff>443593</xdr:colOff>
      <xdr:row>52</xdr:row>
      <xdr:rowOff>0</xdr:rowOff>
    </xdr:to>
    <xdr:graphicFrame macro="">
      <xdr:nvGraphicFramePr>
        <xdr:cNvPr id="5272569" name="cht_scatter_52">
          <a:extLst>
            <a:ext uri="{FF2B5EF4-FFF2-40B4-BE49-F238E27FC236}">
              <a16:creationId xmlns:a16="http://schemas.microsoft.com/office/drawing/2014/main" id="{00000000-0008-0000-2500-0000F973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19</xdr:col>
      <xdr:colOff>0</xdr:colOff>
      <xdr:row>52</xdr:row>
      <xdr:rowOff>0</xdr:rowOff>
    </xdr:from>
    <xdr:to>
      <xdr:col>27</xdr:col>
      <xdr:colOff>443593</xdr:colOff>
      <xdr:row>53</xdr:row>
      <xdr:rowOff>0</xdr:rowOff>
    </xdr:to>
    <xdr:graphicFrame macro="">
      <xdr:nvGraphicFramePr>
        <xdr:cNvPr id="5272571" name="cht_scatter_53">
          <a:extLst>
            <a:ext uri="{FF2B5EF4-FFF2-40B4-BE49-F238E27FC236}">
              <a16:creationId xmlns:a16="http://schemas.microsoft.com/office/drawing/2014/main" id="{00000000-0008-0000-2500-0000FB73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19</xdr:col>
      <xdr:colOff>0</xdr:colOff>
      <xdr:row>53</xdr:row>
      <xdr:rowOff>0</xdr:rowOff>
    </xdr:from>
    <xdr:to>
      <xdr:col>27</xdr:col>
      <xdr:colOff>443593</xdr:colOff>
      <xdr:row>54</xdr:row>
      <xdr:rowOff>0</xdr:rowOff>
    </xdr:to>
    <xdr:graphicFrame macro="">
      <xdr:nvGraphicFramePr>
        <xdr:cNvPr id="5272572" name="cht_scatter_54">
          <a:extLst>
            <a:ext uri="{FF2B5EF4-FFF2-40B4-BE49-F238E27FC236}">
              <a16:creationId xmlns:a16="http://schemas.microsoft.com/office/drawing/2014/main" id="{00000000-0008-0000-2500-0000FC73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19</xdr:col>
      <xdr:colOff>0</xdr:colOff>
      <xdr:row>54</xdr:row>
      <xdr:rowOff>0</xdr:rowOff>
    </xdr:from>
    <xdr:to>
      <xdr:col>27</xdr:col>
      <xdr:colOff>443593</xdr:colOff>
      <xdr:row>55</xdr:row>
      <xdr:rowOff>0</xdr:rowOff>
    </xdr:to>
    <xdr:graphicFrame macro="">
      <xdr:nvGraphicFramePr>
        <xdr:cNvPr id="5272573" name="cht_scatter_55">
          <a:extLst>
            <a:ext uri="{FF2B5EF4-FFF2-40B4-BE49-F238E27FC236}">
              <a16:creationId xmlns:a16="http://schemas.microsoft.com/office/drawing/2014/main" id="{00000000-0008-0000-2500-0000FD73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19</xdr:col>
      <xdr:colOff>0</xdr:colOff>
      <xdr:row>55</xdr:row>
      <xdr:rowOff>0</xdr:rowOff>
    </xdr:from>
    <xdr:to>
      <xdr:col>27</xdr:col>
      <xdr:colOff>443593</xdr:colOff>
      <xdr:row>56</xdr:row>
      <xdr:rowOff>0</xdr:rowOff>
    </xdr:to>
    <xdr:graphicFrame macro="">
      <xdr:nvGraphicFramePr>
        <xdr:cNvPr id="5272574" name="cht_scatter_56">
          <a:extLst>
            <a:ext uri="{FF2B5EF4-FFF2-40B4-BE49-F238E27FC236}">
              <a16:creationId xmlns:a16="http://schemas.microsoft.com/office/drawing/2014/main" id="{00000000-0008-0000-2500-0000FE73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19</xdr:col>
      <xdr:colOff>0</xdr:colOff>
      <xdr:row>58</xdr:row>
      <xdr:rowOff>0</xdr:rowOff>
    </xdr:from>
    <xdr:to>
      <xdr:col>27</xdr:col>
      <xdr:colOff>443593</xdr:colOff>
      <xdr:row>59</xdr:row>
      <xdr:rowOff>0</xdr:rowOff>
    </xdr:to>
    <xdr:graphicFrame macro="">
      <xdr:nvGraphicFramePr>
        <xdr:cNvPr id="5272575" name="cht_scatter_59">
          <a:extLst>
            <a:ext uri="{FF2B5EF4-FFF2-40B4-BE49-F238E27FC236}">
              <a16:creationId xmlns:a16="http://schemas.microsoft.com/office/drawing/2014/main" id="{00000000-0008-0000-2500-0000FF73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19</xdr:col>
      <xdr:colOff>0</xdr:colOff>
      <xdr:row>59</xdr:row>
      <xdr:rowOff>0</xdr:rowOff>
    </xdr:from>
    <xdr:to>
      <xdr:col>27</xdr:col>
      <xdr:colOff>443593</xdr:colOff>
      <xdr:row>60</xdr:row>
      <xdr:rowOff>0</xdr:rowOff>
    </xdr:to>
    <xdr:graphicFrame macro="">
      <xdr:nvGraphicFramePr>
        <xdr:cNvPr id="5272963" name="cht_scatter_60">
          <a:extLst>
            <a:ext uri="{FF2B5EF4-FFF2-40B4-BE49-F238E27FC236}">
              <a16:creationId xmlns:a16="http://schemas.microsoft.com/office/drawing/2014/main" id="{00000000-0008-0000-2500-00008375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19</xdr:col>
      <xdr:colOff>0</xdr:colOff>
      <xdr:row>60</xdr:row>
      <xdr:rowOff>0</xdr:rowOff>
    </xdr:from>
    <xdr:to>
      <xdr:col>27</xdr:col>
      <xdr:colOff>443593</xdr:colOff>
      <xdr:row>61</xdr:row>
      <xdr:rowOff>0</xdr:rowOff>
    </xdr:to>
    <xdr:graphicFrame macro="">
      <xdr:nvGraphicFramePr>
        <xdr:cNvPr id="5272964" name="cht_scatter_61">
          <a:extLst>
            <a:ext uri="{FF2B5EF4-FFF2-40B4-BE49-F238E27FC236}">
              <a16:creationId xmlns:a16="http://schemas.microsoft.com/office/drawing/2014/main" id="{00000000-0008-0000-2500-00008475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19</xdr:col>
      <xdr:colOff>0</xdr:colOff>
      <xdr:row>61</xdr:row>
      <xdr:rowOff>0</xdr:rowOff>
    </xdr:from>
    <xdr:to>
      <xdr:col>27</xdr:col>
      <xdr:colOff>443593</xdr:colOff>
      <xdr:row>62</xdr:row>
      <xdr:rowOff>0</xdr:rowOff>
    </xdr:to>
    <xdr:graphicFrame macro="">
      <xdr:nvGraphicFramePr>
        <xdr:cNvPr id="5272965" name="cht_scatter_62">
          <a:extLst>
            <a:ext uri="{FF2B5EF4-FFF2-40B4-BE49-F238E27FC236}">
              <a16:creationId xmlns:a16="http://schemas.microsoft.com/office/drawing/2014/main" id="{00000000-0008-0000-2500-00008575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19</xdr:col>
      <xdr:colOff>0</xdr:colOff>
      <xdr:row>64</xdr:row>
      <xdr:rowOff>0</xdr:rowOff>
    </xdr:from>
    <xdr:to>
      <xdr:col>27</xdr:col>
      <xdr:colOff>443593</xdr:colOff>
      <xdr:row>65</xdr:row>
      <xdr:rowOff>0</xdr:rowOff>
    </xdr:to>
    <xdr:graphicFrame macro="">
      <xdr:nvGraphicFramePr>
        <xdr:cNvPr id="5272966" name="cht_scatter_65">
          <a:extLst>
            <a:ext uri="{FF2B5EF4-FFF2-40B4-BE49-F238E27FC236}">
              <a16:creationId xmlns:a16="http://schemas.microsoft.com/office/drawing/2014/main" id="{00000000-0008-0000-2500-00008675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19</xdr:col>
      <xdr:colOff>0</xdr:colOff>
      <xdr:row>65</xdr:row>
      <xdr:rowOff>0</xdr:rowOff>
    </xdr:from>
    <xdr:to>
      <xdr:col>27</xdr:col>
      <xdr:colOff>443593</xdr:colOff>
      <xdr:row>66</xdr:row>
      <xdr:rowOff>0</xdr:rowOff>
    </xdr:to>
    <xdr:graphicFrame macro="">
      <xdr:nvGraphicFramePr>
        <xdr:cNvPr id="5272967" name="cht_scatter_66">
          <a:extLst>
            <a:ext uri="{FF2B5EF4-FFF2-40B4-BE49-F238E27FC236}">
              <a16:creationId xmlns:a16="http://schemas.microsoft.com/office/drawing/2014/main" id="{00000000-0008-0000-2500-00008775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19</xdr:col>
      <xdr:colOff>0</xdr:colOff>
      <xdr:row>66</xdr:row>
      <xdr:rowOff>0</xdr:rowOff>
    </xdr:from>
    <xdr:to>
      <xdr:col>27</xdr:col>
      <xdr:colOff>443593</xdr:colOff>
      <xdr:row>67</xdr:row>
      <xdr:rowOff>0</xdr:rowOff>
    </xdr:to>
    <xdr:graphicFrame macro="">
      <xdr:nvGraphicFramePr>
        <xdr:cNvPr id="5272968" name="cht_scatter_67">
          <a:extLst>
            <a:ext uri="{FF2B5EF4-FFF2-40B4-BE49-F238E27FC236}">
              <a16:creationId xmlns:a16="http://schemas.microsoft.com/office/drawing/2014/main" id="{00000000-0008-0000-2500-00008875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19</xdr:col>
      <xdr:colOff>0</xdr:colOff>
      <xdr:row>67</xdr:row>
      <xdr:rowOff>0</xdr:rowOff>
    </xdr:from>
    <xdr:to>
      <xdr:col>27</xdr:col>
      <xdr:colOff>443593</xdr:colOff>
      <xdr:row>68</xdr:row>
      <xdr:rowOff>0</xdr:rowOff>
    </xdr:to>
    <xdr:graphicFrame macro="">
      <xdr:nvGraphicFramePr>
        <xdr:cNvPr id="5272969" name="cht_scatter_68">
          <a:extLst>
            <a:ext uri="{FF2B5EF4-FFF2-40B4-BE49-F238E27FC236}">
              <a16:creationId xmlns:a16="http://schemas.microsoft.com/office/drawing/2014/main" id="{00000000-0008-0000-2500-00008975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19</xdr:col>
      <xdr:colOff>0</xdr:colOff>
      <xdr:row>68</xdr:row>
      <xdr:rowOff>0</xdr:rowOff>
    </xdr:from>
    <xdr:to>
      <xdr:col>27</xdr:col>
      <xdr:colOff>443593</xdr:colOff>
      <xdr:row>69</xdr:row>
      <xdr:rowOff>0</xdr:rowOff>
    </xdr:to>
    <xdr:graphicFrame macro="">
      <xdr:nvGraphicFramePr>
        <xdr:cNvPr id="5272970" name="cht_scatter_69">
          <a:extLst>
            <a:ext uri="{FF2B5EF4-FFF2-40B4-BE49-F238E27FC236}">
              <a16:creationId xmlns:a16="http://schemas.microsoft.com/office/drawing/2014/main" id="{00000000-0008-0000-2500-00008A75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19</xdr:col>
      <xdr:colOff>0</xdr:colOff>
      <xdr:row>69</xdr:row>
      <xdr:rowOff>0</xdr:rowOff>
    </xdr:from>
    <xdr:to>
      <xdr:col>27</xdr:col>
      <xdr:colOff>443593</xdr:colOff>
      <xdr:row>70</xdr:row>
      <xdr:rowOff>0</xdr:rowOff>
    </xdr:to>
    <xdr:graphicFrame macro="">
      <xdr:nvGraphicFramePr>
        <xdr:cNvPr id="5272971" name="cht_scatter_70">
          <a:extLst>
            <a:ext uri="{FF2B5EF4-FFF2-40B4-BE49-F238E27FC236}">
              <a16:creationId xmlns:a16="http://schemas.microsoft.com/office/drawing/2014/main" id="{00000000-0008-0000-2500-00008B75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19</xdr:col>
      <xdr:colOff>0</xdr:colOff>
      <xdr:row>70</xdr:row>
      <xdr:rowOff>0</xdr:rowOff>
    </xdr:from>
    <xdr:to>
      <xdr:col>27</xdr:col>
      <xdr:colOff>443593</xdr:colOff>
      <xdr:row>71</xdr:row>
      <xdr:rowOff>0</xdr:rowOff>
    </xdr:to>
    <xdr:graphicFrame macro="">
      <xdr:nvGraphicFramePr>
        <xdr:cNvPr id="5272972" name="cht_scatter_71">
          <a:extLst>
            <a:ext uri="{FF2B5EF4-FFF2-40B4-BE49-F238E27FC236}">
              <a16:creationId xmlns:a16="http://schemas.microsoft.com/office/drawing/2014/main" id="{00000000-0008-0000-2500-00008C75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19</xdr:col>
      <xdr:colOff>0</xdr:colOff>
      <xdr:row>71</xdr:row>
      <xdr:rowOff>0</xdr:rowOff>
    </xdr:from>
    <xdr:to>
      <xdr:col>27</xdr:col>
      <xdr:colOff>443593</xdr:colOff>
      <xdr:row>72</xdr:row>
      <xdr:rowOff>0</xdr:rowOff>
    </xdr:to>
    <xdr:graphicFrame macro="">
      <xdr:nvGraphicFramePr>
        <xdr:cNvPr id="5272973" name="cht_scatter_72">
          <a:extLst>
            <a:ext uri="{FF2B5EF4-FFF2-40B4-BE49-F238E27FC236}">
              <a16:creationId xmlns:a16="http://schemas.microsoft.com/office/drawing/2014/main" id="{00000000-0008-0000-2500-00008D75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19</xdr:col>
      <xdr:colOff>0</xdr:colOff>
      <xdr:row>72</xdr:row>
      <xdr:rowOff>0</xdr:rowOff>
    </xdr:from>
    <xdr:to>
      <xdr:col>27</xdr:col>
      <xdr:colOff>443593</xdr:colOff>
      <xdr:row>73</xdr:row>
      <xdr:rowOff>0</xdr:rowOff>
    </xdr:to>
    <xdr:graphicFrame macro="">
      <xdr:nvGraphicFramePr>
        <xdr:cNvPr id="5272974" name="cht_scatter_73">
          <a:extLst>
            <a:ext uri="{FF2B5EF4-FFF2-40B4-BE49-F238E27FC236}">
              <a16:creationId xmlns:a16="http://schemas.microsoft.com/office/drawing/2014/main" id="{00000000-0008-0000-2500-00008E75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editAs="absolute">
    <xdr:from>
      <xdr:col>0</xdr:col>
      <xdr:colOff>0</xdr:colOff>
      <xdr:row>3</xdr:row>
      <xdr:rowOff>533397</xdr:rowOff>
    </xdr:from>
    <xdr:to>
      <xdr:col>27</xdr:col>
      <xdr:colOff>304800</xdr:colOff>
      <xdr:row>4</xdr:row>
      <xdr:rowOff>304797</xdr:rowOff>
    </xdr:to>
    <xdr:sp macro="[0]!k" textlink="">
      <xdr:nvSpPr>
        <xdr:cNvPr id="63" name="ui_txt_infobar" hidden="1">
          <a:extLst>
            <a:ext uri="{FF2B5EF4-FFF2-40B4-BE49-F238E27FC236}">
              <a16:creationId xmlns:a16="http://schemas.microsoft.com/office/drawing/2014/main" id="{00000000-0008-0000-2500-00003F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000"/>
        </a:p>
      </xdr:txBody>
    </xdr:sp>
    <xdr:clientData fPrintsWithSheet="0"/>
  </xdr:twoCellAnchor>
  <xdr:twoCellAnchor editAs="absolute">
    <xdr:from>
      <xdr:col>0</xdr:col>
      <xdr:colOff>0</xdr:colOff>
      <xdr:row>0</xdr:row>
      <xdr:rowOff>0</xdr:rowOff>
    </xdr:from>
    <xdr:to>
      <xdr:col>27</xdr:col>
      <xdr:colOff>304800</xdr:colOff>
      <xdr:row>2</xdr:row>
      <xdr:rowOff>0</xdr:rowOff>
    </xdr:to>
    <xdr:sp macro="[0]!k" textlink="">
      <xdr:nvSpPr>
        <xdr:cNvPr id="2" name="ui_cmd_leave_zen_mode" hidden="1">
          <a:extLst>
            <a:ext uri="{FF2B5EF4-FFF2-40B4-BE49-F238E27FC236}">
              <a16:creationId xmlns:a16="http://schemas.microsoft.com/office/drawing/2014/main" id="{00000000-0008-0000-2500-000002000000}"/>
            </a:ext>
          </a:extLst>
        </xdr:cNvPr>
        <xdr:cNvSpPr txBox="1"/>
      </xdr:nvSpPr>
      <xdr:spPr>
        <a:xfrm>
          <a:off x="0" y="0"/>
          <a:ext cx="11887200" cy="304800"/>
        </a:xfrm>
        <a:prstGeom prst="rect">
          <a:avLst/>
        </a:prstGeom>
        <a:solidFill>
          <a:schemeClr val="l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GB" sz="1100" b="1">
              <a:solidFill>
                <a:schemeClr val="bg1">
                  <a:lumMod val="65000"/>
                </a:schemeClr>
              </a:solidFill>
            </a:rPr>
            <a:t>ZEN MODE.  NAVIGATION IS HIDDEN TO MAXIMISE VISIBLE</a:t>
          </a:r>
          <a:r>
            <a:rPr lang="en-GB" sz="1100" b="1" baseline="0">
              <a:solidFill>
                <a:schemeClr val="bg1">
                  <a:lumMod val="65000"/>
                </a:schemeClr>
              </a:solidFill>
            </a:rPr>
            <a:t> CONTENT. </a:t>
          </a:r>
          <a:r>
            <a:rPr lang="en-GB" sz="1100" b="1">
              <a:solidFill>
                <a:schemeClr val="bg1">
                  <a:lumMod val="65000"/>
                </a:schemeClr>
              </a:solidFill>
            </a:rPr>
            <a:t>  </a:t>
          </a:r>
          <a:r>
            <a:rPr lang="en-GB" sz="1100" b="1" u="sng">
              <a:solidFill>
                <a:srgbClr val="0070C0"/>
              </a:solidFill>
            </a:rPr>
            <a:t>CLICK HERE</a:t>
          </a:r>
          <a:r>
            <a:rPr lang="en-GB" sz="1100" b="1" baseline="0">
              <a:solidFill>
                <a:srgbClr val="0070C0"/>
              </a:solidFill>
            </a:rPr>
            <a:t> </a:t>
          </a:r>
          <a:r>
            <a:rPr lang="en-GB" sz="1100" b="1">
              <a:solidFill>
                <a:schemeClr val="bg1">
                  <a:lumMod val="65000"/>
                </a:schemeClr>
              </a:solidFill>
            </a:rPr>
            <a:t>TO RESTORE NAVIGATION</a:t>
          </a:r>
        </a:p>
      </xdr:txBody>
    </xdr:sp>
    <xdr:clientData fPrintsWithSheet="0"/>
  </xdr:twoCellAnchor>
  <xdr:twoCellAnchor editAs="absolute">
    <xdr:from>
      <xdr:col>0</xdr:col>
      <xdr:colOff>0</xdr:colOff>
      <xdr:row>3</xdr:row>
      <xdr:rowOff>533397</xdr:rowOff>
    </xdr:from>
    <xdr:to>
      <xdr:col>27</xdr:col>
      <xdr:colOff>304800</xdr:colOff>
      <xdr:row>4</xdr:row>
      <xdr:rowOff>304797</xdr:rowOff>
    </xdr:to>
    <xdr:sp macro="[0]!k" textlink="">
      <xdr:nvSpPr>
        <xdr:cNvPr id="5272512" name="ui_cmd_warningbar" hidden="1">
          <a:extLst>
            <a:ext uri="{FF2B5EF4-FFF2-40B4-BE49-F238E27FC236}">
              <a16:creationId xmlns:a16="http://schemas.microsoft.com/office/drawing/2014/main" id="{00000000-0008-0000-2500-0000C0735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000"/>
        </a:p>
      </xdr:txBody>
    </xdr:sp>
    <xdr:clientData fPrintsWithSheet="0"/>
  </xdr:twoCellAnchor>
  <xdr:twoCellAnchor editAs="absolute">
    <xdr:from>
      <xdr:col>0</xdr:col>
      <xdr:colOff>0</xdr:colOff>
      <xdr:row>3</xdr:row>
      <xdr:rowOff>533397</xdr:rowOff>
    </xdr:from>
    <xdr:to>
      <xdr:col>27</xdr:col>
      <xdr:colOff>304800</xdr:colOff>
      <xdr:row>4</xdr:row>
      <xdr:rowOff>304797</xdr:rowOff>
    </xdr:to>
    <xdr:sp macro="[0]!k" textlink="">
      <xdr:nvSpPr>
        <xdr:cNvPr id="5272513" name="ui_cmd_globalwarninginfobar" hidden="1">
          <a:extLst>
            <a:ext uri="{FF2B5EF4-FFF2-40B4-BE49-F238E27FC236}">
              <a16:creationId xmlns:a16="http://schemas.microsoft.com/office/drawing/2014/main" id="{00000000-0008-0000-2500-0000C1735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a:t>A</a:t>
          </a:r>
          <a:r>
            <a:rPr lang="en-GB" sz="1000" baseline="0"/>
            <a:t> custom weight profile is selected.  Scores and ranks may be different from official publication.  </a:t>
          </a:r>
          <a:r>
            <a:rPr lang="en-GB" sz="1000" b="1" u="sng" baseline="0">
              <a:solidFill>
                <a:srgbClr val="0070C0"/>
              </a:solidFill>
            </a:rPr>
            <a:t>RESTORE DEFAULT WEIGHT PROFILE</a:t>
          </a:r>
          <a:endParaRPr lang="en-GB" sz="1000" b="1" u="sng">
            <a:solidFill>
              <a:srgbClr val="0070C0"/>
            </a:solidFill>
          </a:endParaRPr>
        </a:p>
      </xdr:txBody>
    </xdr:sp>
    <xdr:clientData fPrintsWithSheet="0"/>
  </xdr:twoCellAnchor>
  <xdr:twoCellAnchor editAs="absolute">
    <xdr:from>
      <xdr:col>0</xdr:col>
      <xdr:colOff>0</xdr:colOff>
      <xdr:row>0</xdr:row>
      <xdr:rowOff>0</xdr:rowOff>
    </xdr:from>
    <xdr:to>
      <xdr:col>27</xdr:col>
      <xdr:colOff>304802</xdr:colOff>
      <xdr:row>3</xdr:row>
      <xdr:rowOff>533397</xdr:rowOff>
    </xdr:to>
    <xdr:grpSp>
      <xdr:nvGrpSpPr>
        <xdr:cNvPr id="5272521" name="ui_all">
          <a:extLst>
            <a:ext uri="{FF2B5EF4-FFF2-40B4-BE49-F238E27FC236}">
              <a16:creationId xmlns:a16="http://schemas.microsoft.com/office/drawing/2014/main" id="{00000000-0008-0000-2500-0000C9735000}"/>
            </a:ext>
          </a:extLst>
        </xdr:cNvPr>
        <xdr:cNvGrpSpPr/>
      </xdr:nvGrpSpPr>
      <xdr:grpSpPr>
        <a:xfrm>
          <a:off x="0" y="0"/>
          <a:ext cx="11887202" cy="1164768"/>
          <a:chOff x="0" y="304800"/>
          <a:chExt cx="11887202" cy="1164768"/>
        </a:xfrm>
      </xdr:grpSpPr>
      <xdr:sp macro="" textlink="">
        <xdr:nvSpPr>
          <xdr:cNvPr id="48" name="ui_dropdown_controls_bg">
            <a:extLst>
              <a:ext uri="{FF2B5EF4-FFF2-40B4-BE49-F238E27FC236}">
                <a16:creationId xmlns:a16="http://schemas.microsoft.com/office/drawing/2014/main" id="{00000000-0008-0000-2500-000030000000}"/>
              </a:ext>
            </a:extLst>
          </xdr:cNvPr>
          <xdr:cNvSpPr/>
        </xdr:nvSpPr>
        <xdr:spPr>
          <a:xfrm>
            <a:off x="0" y="936168"/>
            <a:ext cx="11887200" cy="533400"/>
          </a:xfrm>
          <a:prstGeom prst="rect">
            <a:avLst/>
          </a:prstGeom>
          <a:solidFill>
            <a:srgbClr xmlns:mc="http://schemas.openxmlformats.org/markup-compatibility/2006" xmlns:a14="http://schemas.microsoft.com/office/drawing/2010/main" val="F2F2F2" mc:Ignorable="a14" a14:legacySpreadsheetColorIndex="17"/>
          </a:solidFill>
          <a:ln w="9525" cap="flat" cmpd="sng" algn="ctr">
            <a:noFill/>
            <a:prstDash val="solid"/>
          </a:ln>
          <a:effectLst/>
          <a:extLst>
            <a:ext uri="{91240B29-F687-4F45-9708-019B960494DF}">
              <a14:hiddenLine xmlns:a14="http://schemas.microsoft.com/office/drawing/2010/main" w="9525" cap="flat" cmpd="sng" algn="ctr">
                <a:solidFill>
                  <a:srgbClr xmlns:mc="http://schemas.openxmlformats.org/markup-compatibility/2006" val="D8D8D8" mc:Ignorable="a14" a14:legacySpreadsheetColorIndex="18"/>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44" name="ui_page_second_bg">
            <a:extLst>
              <a:ext uri="{FF2B5EF4-FFF2-40B4-BE49-F238E27FC236}">
                <a16:creationId xmlns:a16="http://schemas.microsoft.com/office/drawing/2014/main" id="{00000000-0008-0000-2500-00002C000000}"/>
              </a:ext>
            </a:extLst>
          </xdr:cNvPr>
          <xdr:cNvSpPr/>
        </xdr:nvSpPr>
        <xdr:spPr>
          <a:xfrm>
            <a:off x="11709400" y="609600"/>
            <a:ext cx="177800" cy="326568"/>
          </a:xfrm>
          <a:prstGeom prst="rect">
            <a:avLst/>
          </a:prstGeom>
          <a:solidFill>
            <a:srgbClr xmlns:mc="http://schemas.openxmlformats.org/markup-compatibility/2006" xmlns:a14="http://schemas.microsoft.com/office/drawing/2010/main" val="E3E3E3" mc:Ignorable="a14" a14:legacySpreadsheetColorIndex="13"/>
          </a:solidFill>
          <a:ln w="19050" cap="flat" cmpd="sng" algn="ctr">
            <a:noFill/>
            <a:prstDash val="solid"/>
          </a:ln>
          <a:effectLst/>
          <a:extLst>
            <a:ext uri="{91240B29-F687-4F45-9708-019B960494DF}">
              <a14:hiddenLine xmlns:a14="http://schemas.microsoft.com/office/drawing/2010/main" w="19050" cap="flat" cmpd="sng" algn="ctr">
                <a:solidFill>
                  <a:srgbClr xmlns:mc="http://schemas.openxmlformats.org/markup-compatibility/2006" val="D2D2D2" mc:Ignorable="a14" a14:legacySpreadsheetColorIndex="14"/>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43" name="ui_page_bg">
            <a:extLst>
              <a:ext uri="{FF2B5EF4-FFF2-40B4-BE49-F238E27FC236}">
                <a16:creationId xmlns:a16="http://schemas.microsoft.com/office/drawing/2014/main" id="{00000000-0008-0000-2500-00002B000000}"/>
              </a:ext>
            </a:extLst>
          </xdr:cNvPr>
          <xdr:cNvSpPr/>
        </xdr:nvSpPr>
        <xdr:spPr>
          <a:xfrm>
            <a:off x="0" y="609600"/>
            <a:ext cx="11709400" cy="326568"/>
          </a:xfrm>
          <a:prstGeom prst="rect">
            <a:avLst/>
          </a:prstGeom>
          <a:solidFill>
            <a:srgbClr xmlns:mc="http://schemas.openxmlformats.org/markup-compatibility/2006" xmlns:a14="http://schemas.microsoft.com/office/drawing/2010/main" val="E3E3E3" mc:Ignorable="a14" a14:legacySpreadsheetColorIndex="13"/>
          </a:solidFill>
          <a:ln w="19050" cap="flat" cmpd="sng" algn="ctr">
            <a:noFill/>
            <a:prstDash val="solid"/>
          </a:ln>
          <a:effectLst/>
          <a:extLst>
            <a:ext uri="{91240B29-F687-4F45-9708-019B960494DF}">
              <a14:hiddenLine xmlns:a14="http://schemas.microsoft.com/office/drawing/2010/main" w="19050" cap="flat" cmpd="sng" algn="ctr">
                <a:solidFill>
                  <a:srgbClr xmlns:mc="http://schemas.openxmlformats.org/markup-compatibility/2006" val="D2D2D2" mc:Ignorable="a14" a14:legacySpreadsheetColorIndex="14"/>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7" name="ui_bg_home_back_forward">
            <a:extLst>
              <a:ext uri="{FF2B5EF4-FFF2-40B4-BE49-F238E27FC236}">
                <a16:creationId xmlns:a16="http://schemas.microsoft.com/office/drawing/2014/main" id="{00000000-0008-0000-2500-000007000000}"/>
              </a:ext>
            </a:extLst>
          </xdr:cNvPr>
          <xdr:cNvSpPr txBox="1"/>
        </xdr:nvSpPr>
        <xdr:spPr>
          <a:xfrm>
            <a:off x="0" y="304800"/>
            <a:ext cx="664070" cy="304800"/>
          </a:xfrm>
          <a:prstGeom prst="rect">
            <a:avLst/>
          </a:prstGeom>
          <a:solidFill>
            <a:srgbClr xmlns:mc="http://schemas.openxmlformats.org/markup-compatibility/2006" xmlns:a14="http://schemas.microsoft.com/office/drawing/2010/main" val="808080" mc:Ignorable="a14" a14:legacySpreadsheetColorIndex="1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endParaRPr lang="en-GB" sz="1100" b="0"/>
          </a:p>
        </xdr:txBody>
      </xdr:sp>
      <xdr:pic macro="[0]!k">
        <xdr:nvPicPr>
          <xdr:cNvPr id="3" name="ui_nav_home" descr="home-white-xxl.png">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57" cstate="print"/>
          <a:stretch>
            <a:fillRect/>
          </a:stretch>
        </xdr:blipFill>
        <xdr:spPr>
          <a:xfrm>
            <a:off x="25400" y="393700"/>
            <a:ext cx="165100"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pic macro="[0]!k">
        <xdr:nvPicPr>
          <xdr:cNvPr id="5" name="ui_nav_back" descr="arrow-left-white-xxl.png">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58" cstate="print"/>
          <a:stretch>
            <a:fillRect/>
          </a:stretch>
        </xdr:blipFill>
        <xdr:spPr>
          <a:xfrm>
            <a:off x="254000" y="393700"/>
            <a:ext cx="165100"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pic macro="[0]!k">
        <xdr:nvPicPr>
          <xdr:cNvPr id="6" name="ui_nav_forward" descr="arrow-right-white-xxl.png" hidden="1">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9" cstate="print"/>
          <a:stretch>
            <a:fillRect/>
          </a:stretch>
        </xdr:blipFill>
        <xdr:spPr>
          <a:xfrm>
            <a:off x="444500" y="393700"/>
            <a:ext cx="168776"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sp macro="[0]!k" textlink="">
        <xdr:nvSpPr>
          <xdr:cNvPr id="8" name="ui_nav_sec_1">
            <a:extLst>
              <a:ext uri="{FF2B5EF4-FFF2-40B4-BE49-F238E27FC236}">
                <a16:creationId xmlns:a16="http://schemas.microsoft.com/office/drawing/2014/main" id="{00000000-0008-0000-2500-000008000000}"/>
              </a:ext>
            </a:extLst>
          </xdr:cNvPr>
          <xdr:cNvSpPr txBox="1"/>
        </xdr:nvSpPr>
        <xdr:spPr>
          <a:xfrm>
            <a:off x="740270" y="304800"/>
            <a:ext cx="926262" cy="304800"/>
          </a:xfrm>
          <a:prstGeom prst="rect">
            <a:avLst/>
          </a:prstGeom>
          <a:solidFill>
            <a:srgbClr xmlns:mc="http://schemas.openxmlformats.org/markup-compatibility/2006" xmlns:a14="http://schemas.microsoft.com/office/drawing/2010/main" val="E3E3E3" mc:Ignorable="a14" a14:legacySpreadsheetColorIndex="13"/>
          </a:solidFill>
          <a:ln w="19050" cmpd="sng">
            <a:solidFill>
              <a:srgbClr xmlns:mc="http://schemas.openxmlformats.org/markup-compatibility/2006" xmlns:a14="http://schemas.microsoft.com/office/drawing/2010/main" val="D2D2D2" mc:Ignorable="a14" a14:legacySpreadsheetColorIndex="14"/>
            </a:solidFill>
          </a:ln>
        </xdr:spPr>
        <xdr:style>
          <a:lnRef idx="0">
            <a:scrgbClr r="0" g="0" b="0"/>
          </a:lnRef>
          <a:fillRef idx="0">
            <a:scrgbClr r="0" g="0" b="0"/>
          </a:fillRef>
          <a:effectRef idx="0">
            <a:scrgbClr r="0" g="0" b="0"/>
          </a:effectRef>
          <a:fontRef idx="minor">
            <a:schemeClr val="dk1"/>
          </a:fontRef>
        </xdr:style>
        <xdr:txBody>
          <a:bodyPr vertOverflow="clip" wrap="square" lIns="0" rIns="0" bIns="72000" rtlCol="0" anchor="ctr" anchorCtr="0"/>
          <a:lstStyle/>
          <a:p>
            <a:pPr algn="ctr"/>
            <a:r>
              <a:rPr lang="en-GB" sz="900" b="1">
                <a:solidFill>
                  <a:srgbClr xmlns:mc="http://schemas.openxmlformats.org/markup-compatibility/2006" xmlns:a14="http://schemas.microsoft.com/office/drawing/2010/main" val="005E9E" mc:Ignorable="a14" a14:legacySpreadsheetColorIndex="15"/>
                </a:solidFill>
              </a:rPr>
              <a:t>CITY HEARTBEAT</a:t>
            </a:r>
          </a:p>
        </xdr:txBody>
      </xdr:sp>
      <xdr:cxnSp macro="">
        <xdr:nvCxnSpPr>
          <xdr:cNvPr id="9" name="ui_line_sec_active">
            <a:extLst>
              <a:ext uri="{FF2B5EF4-FFF2-40B4-BE49-F238E27FC236}">
                <a16:creationId xmlns:a16="http://schemas.microsoft.com/office/drawing/2014/main" id="{00000000-0008-0000-2500-000009000000}"/>
              </a:ext>
            </a:extLst>
          </xdr:cNvPr>
          <xdr:cNvCxnSpPr/>
        </xdr:nvCxnSpPr>
        <xdr:spPr>
          <a:xfrm>
            <a:off x="740270" y="609600"/>
            <a:ext cx="926262" cy="0"/>
          </a:xfrm>
          <a:prstGeom prst="line">
            <a:avLst/>
          </a:prstGeom>
          <a:ln w="28575">
            <a:solidFill>
              <a:srgbClr xmlns:mc="http://schemas.openxmlformats.org/markup-compatibility/2006" xmlns:a14="http://schemas.microsoft.com/office/drawing/2010/main" val="E3E3E3" mc:Ignorable="a14" a14:legacySpreadsheetColorIndex="13"/>
            </a:solidFill>
          </a:ln>
        </xdr:spPr>
        <xdr:style>
          <a:lnRef idx="1">
            <a:schemeClr val="accent1"/>
          </a:lnRef>
          <a:fillRef idx="0">
            <a:schemeClr val="accent1"/>
          </a:fillRef>
          <a:effectRef idx="0">
            <a:schemeClr val="accent1"/>
          </a:effectRef>
          <a:fontRef idx="minor">
            <a:schemeClr val="tx1"/>
          </a:fontRef>
        </xdr:style>
      </xdr:cxnSp>
      <xdr:sp macro="" textlink="">
        <xdr:nvSpPr>
          <xdr:cNvPr id="10" name="ui_line_sec_divider1">
            <a:extLst>
              <a:ext uri="{FF2B5EF4-FFF2-40B4-BE49-F238E27FC236}">
                <a16:creationId xmlns:a16="http://schemas.microsoft.com/office/drawing/2014/main" id="{00000000-0008-0000-2500-00000A000000}"/>
              </a:ext>
            </a:extLst>
          </xdr:cNvPr>
          <xdr:cNvSpPr txBox="1"/>
        </xdr:nvSpPr>
        <xdr:spPr>
          <a:xfrm>
            <a:off x="1666532" y="304800"/>
            <a:ext cx="1778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9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16" name="ui_nav_page_1_0">
            <a:extLst>
              <a:ext uri="{FF2B5EF4-FFF2-40B4-BE49-F238E27FC236}">
                <a16:creationId xmlns:a16="http://schemas.microsoft.com/office/drawing/2014/main" id="{00000000-0008-0000-2500-000010000000}"/>
              </a:ext>
            </a:extLst>
          </xdr:cNvPr>
          <xdr:cNvSpPr txBox="1"/>
        </xdr:nvSpPr>
        <xdr:spPr>
          <a:xfrm>
            <a:off x="794372" y="622300"/>
            <a:ext cx="715785"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OVERVIEW</a:t>
            </a:r>
          </a:p>
        </xdr:txBody>
      </xdr:sp>
      <xdr:sp macro="" textlink="">
        <xdr:nvSpPr>
          <xdr:cNvPr id="17" name="ui_line_page_divider1">
            <a:extLst>
              <a:ext uri="{FF2B5EF4-FFF2-40B4-BE49-F238E27FC236}">
                <a16:creationId xmlns:a16="http://schemas.microsoft.com/office/drawing/2014/main" id="{00000000-0008-0000-2500-000011000000}"/>
              </a:ext>
            </a:extLst>
          </xdr:cNvPr>
          <xdr:cNvSpPr txBox="1"/>
        </xdr:nvSpPr>
        <xdr:spPr>
          <a:xfrm>
            <a:off x="151015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18" name="ui_nav_page_1_1">
            <a:extLst>
              <a:ext uri="{FF2B5EF4-FFF2-40B4-BE49-F238E27FC236}">
                <a16:creationId xmlns:a16="http://schemas.microsoft.com/office/drawing/2014/main" id="{00000000-0008-0000-2500-000012000000}"/>
              </a:ext>
            </a:extLst>
          </xdr:cNvPr>
          <xdr:cNvSpPr txBox="1"/>
        </xdr:nvSpPr>
        <xdr:spPr>
          <a:xfrm>
            <a:off x="1687957" y="622300"/>
            <a:ext cx="68728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RANKINGS</a:t>
            </a:r>
          </a:p>
        </xdr:txBody>
      </xdr:sp>
      <xdr:sp macro="" textlink="">
        <xdr:nvSpPr>
          <xdr:cNvPr id="19" name="ui_line_page_divider2">
            <a:extLst>
              <a:ext uri="{FF2B5EF4-FFF2-40B4-BE49-F238E27FC236}">
                <a16:creationId xmlns:a16="http://schemas.microsoft.com/office/drawing/2014/main" id="{00000000-0008-0000-2500-000013000000}"/>
              </a:ext>
            </a:extLst>
          </xdr:cNvPr>
          <xdr:cNvSpPr txBox="1"/>
        </xdr:nvSpPr>
        <xdr:spPr>
          <a:xfrm>
            <a:off x="2375243"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0" name="ui_nav_page_1_2">
            <a:extLst>
              <a:ext uri="{FF2B5EF4-FFF2-40B4-BE49-F238E27FC236}">
                <a16:creationId xmlns:a16="http://schemas.microsoft.com/office/drawing/2014/main" id="{00000000-0008-0000-2500-000014000000}"/>
              </a:ext>
            </a:extLst>
          </xdr:cNvPr>
          <xdr:cNvSpPr txBox="1"/>
        </xdr:nvSpPr>
        <xdr:spPr>
          <a:xfrm>
            <a:off x="2553043" y="622300"/>
            <a:ext cx="995591"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SNAPSHOTS</a:t>
            </a:r>
          </a:p>
        </xdr:txBody>
      </xdr:sp>
      <xdr:sp macro="" textlink="">
        <xdr:nvSpPr>
          <xdr:cNvPr id="22" name="ui_line_page_divider3">
            <a:extLst>
              <a:ext uri="{FF2B5EF4-FFF2-40B4-BE49-F238E27FC236}">
                <a16:creationId xmlns:a16="http://schemas.microsoft.com/office/drawing/2014/main" id="{00000000-0008-0000-2500-000016000000}"/>
              </a:ext>
            </a:extLst>
          </xdr:cNvPr>
          <xdr:cNvSpPr txBox="1"/>
        </xdr:nvSpPr>
        <xdr:spPr>
          <a:xfrm>
            <a:off x="3548634"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 textlink="">
        <xdr:nvSpPr>
          <xdr:cNvPr id="25" name="ui_line_page_divider4">
            <a:extLst>
              <a:ext uri="{FF2B5EF4-FFF2-40B4-BE49-F238E27FC236}">
                <a16:creationId xmlns:a16="http://schemas.microsoft.com/office/drawing/2014/main" id="{00000000-0008-0000-2500-000019000000}"/>
              </a:ext>
            </a:extLst>
          </xdr:cNvPr>
          <xdr:cNvSpPr txBox="1"/>
        </xdr:nvSpPr>
        <xdr:spPr>
          <a:xfrm>
            <a:off x="4590542"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26" name="ui_nav_page_1_4">
            <a:extLst>
              <a:ext uri="{FF2B5EF4-FFF2-40B4-BE49-F238E27FC236}">
                <a16:creationId xmlns:a16="http://schemas.microsoft.com/office/drawing/2014/main" id="{00000000-0008-0000-2500-00001A000000}"/>
              </a:ext>
            </a:extLst>
          </xdr:cNvPr>
          <xdr:cNvSpPr txBox="1"/>
        </xdr:nvSpPr>
        <xdr:spPr>
          <a:xfrm>
            <a:off x="4768342" y="622300"/>
            <a:ext cx="755942"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DETAIL</a:t>
            </a:r>
          </a:p>
        </xdr:txBody>
      </xdr:sp>
      <xdr:sp macro="" textlink="">
        <xdr:nvSpPr>
          <xdr:cNvPr id="27" name="ui_line_page_divider5">
            <a:extLst>
              <a:ext uri="{FF2B5EF4-FFF2-40B4-BE49-F238E27FC236}">
                <a16:creationId xmlns:a16="http://schemas.microsoft.com/office/drawing/2014/main" id="{00000000-0008-0000-2500-00001B000000}"/>
              </a:ext>
            </a:extLst>
          </xdr:cNvPr>
          <xdr:cNvSpPr txBox="1"/>
        </xdr:nvSpPr>
        <xdr:spPr>
          <a:xfrm>
            <a:off x="5524284"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8" name="ui_nav_page_1_5">
            <a:extLst>
              <a:ext uri="{FF2B5EF4-FFF2-40B4-BE49-F238E27FC236}">
                <a16:creationId xmlns:a16="http://schemas.microsoft.com/office/drawing/2014/main" id="{00000000-0008-0000-2500-00001C000000}"/>
              </a:ext>
            </a:extLst>
          </xdr:cNvPr>
          <xdr:cNvSpPr txBox="1"/>
        </xdr:nvSpPr>
        <xdr:spPr>
          <a:xfrm>
            <a:off x="5702084" y="622300"/>
            <a:ext cx="995591"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COMPARE CITIES</a:t>
            </a:r>
          </a:p>
        </xdr:txBody>
      </xdr:sp>
      <xdr:sp macro="" textlink="">
        <xdr:nvSpPr>
          <xdr:cNvPr id="29" name="ui_line_page_divider6">
            <a:extLst>
              <a:ext uri="{FF2B5EF4-FFF2-40B4-BE49-F238E27FC236}">
                <a16:creationId xmlns:a16="http://schemas.microsoft.com/office/drawing/2014/main" id="{00000000-0008-0000-2500-00001D000000}"/>
              </a:ext>
            </a:extLst>
          </xdr:cNvPr>
          <xdr:cNvSpPr txBox="1"/>
        </xdr:nvSpPr>
        <xdr:spPr>
          <a:xfrm>
            <a:off x="6697675"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30" name="ui_nav_page_1_6">
            <a:extLst>
              <a:ext uri="{FF2B5EF4-FFF2-40B4-BE49-F238E27FC236}">
                <a16:creationId xmlns:a16="http://schemas.microsoft.com/office/drawing/2014/main" id="{00000000-0008-0000-2500-00001E000000}"/>
              </a:ext>
            </a:extLst>
          </xdr:cNvPr>
          <xdr:cNvSpPr txBox="1"/>
        </xdr:nvSpPr>
        <xdr:spPr>
          <a:xfrm>
            <a:off x="6875475" y="622300"/>
            <a:ext cx="89843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ALL MEASURES</a:t>
            </a:r>
          </a:p>
        </xdr:txBody>
      </xdr:sp>
      <xdr:sp macro="" textlink="">
        <xdr:nvSpPr>
          <xdr:cNvPr id="31" name="ui_line_page_divider7">
            <a:extLst>
              <a:ext uri="{FF2B5EF4-FFF2-40B4-BE49-F238E27FC236}">
                <a16:creationId xmlns:a16="http://schemas.microsoft.com/office/drawing/2014/main" id="{00000000-0008-0000-2500-00001F000000}"/>
              </a:ext>
            </a:extLst>
          </xdr:cNvPr>
          <xdr:cNvSpPr txBox="1"/>
        </xdr:nvSpPr>
        <xdr:spPr>
          <a:xfrm>
            <a:off x="7773912"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32" name="ui_nav_page_1_7">
            <a:extLst>
              <a:ext uri="{FF2B5EF4-FFF2-40B4-BE49-F238E27FC236}">
                <a16:creationId xmlns:a16="http://schemas.microsoft.com/office/drawing/2014/main" id="{00000000-0008-0000-2500-000020000000}"/>
              </a:ext>
            </a:extLst>
          </xdr:cNvPr>
          <xdr:cNvSpPr txBox="1"/>
        </xdr:nvSpPr>
        <xdr:spPr>
          <a:xfrm>
            <a:off x="7951712" y="622300"/>
            <a:ext cx="88159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SCATTER PLOT</a:t>
            </a:r>
          </a:p>
        </xdr:txBody>
      </xdr:sp>
      <xdr:sp macro="" textlink="">
        <xdr:nvSpPr>
          <xdr:cNvPr id="34" name="ui_line_page_divider8">
            <a:extLst>
              <a:ext uri="{FF2B5EF4-FFF2-40B4-BE49-F238E27FC236}">
                <a16:creationId xmlns:a16="http://schemas.microsoft.com/office/drawing/2014/main" id="{00000000-0008-0000-2500-000022000000}"/>
              </a:ext>
            </a:extLst>
          </xdr:cNvPr>
          <xdr:cNvSpPr txBox="1"/>
        </xdr:nvSpPr>
        <xdr:spPr>
          <a:xfrm>
            <a:off x="883330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36" name="ui_nav_page_1_8">
            <a:extLst>
              <a:ext uri="{FF2B5EF4-FFF2-40B4-BE49-F238E27FC236}">
                <a16:creationId xmlns:a16="http://schemas.microsoft.com/office/drawing/2014/main" id="{00000000-0008-0000-2500-000024000000}"/>
              </a:ext>
            </a:extLst>
          </xdr:cNvPr>
          <xdr:cNvSpPr txBox="1"/>
        </xdr:nvSpPr>
        <xdr:spPr>
          <a:xfrm>
            <a:off x="9011107" y="622300"/>
            <a:ext cx="635470"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WEIGHTS</a:t>
            </a:r>
          </a:p>
        </xdr:txBody>
      </xdr:sp>
      <xdr:sp macro="" textlink="">
        <xdr:nvSpPr>
          <xdr:cNvPr id="37" name="ui_line_page_divider9">
            <a:extLst>
              <a:ext uri="{FF2B5EF4-FFF2-40B4-BE49-F238E27FC236}">
                <a16:creationId xmlns:a16="http://schemas.microsoft.com/office/drawing/2014/main" id="{00000000-0008-0000-2500-000025000000}"/>
              </a:ext>
            </a:extLst>
          </xdr:cNvPr>
          <xdr:cNvSpPr txBox="1"/>
        </xdr:nvSpPr>
        <xdr:spPr>
          <a:xfrm>
            <a:off x="964657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39" name="ui_nav_page_1_9">
            <a:extLst>
              <a:ext uri="{FF2B5EF4-FFF2-40B4-BE49-F238E27FC236}">
                <a16:creationId xmlns:a16="http://schemas.microsoft.com/office/drawing/2014/main" id="{00000000-0008-0000-2500-000027000000}"/>
              </a:ext>
            </a:extLst>
          </xdr:cNvPr>
          <xdr:cNvSpPr txBox="1"/>
        </xdr:nvSpPr>
        <xdr:spPr>
          <a:xfrm>
            <a:off x="9824377" y="622300"/>
            <a:ext cx="458648"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DATA</a:t>
            </a:r>
          </a:p>
        </xdr:txBody>
      </xdr:sp>
      <xdr:sp macro="" textlink="">
        <xdr:nvSpPr>
          <xdr:cNvPr id="40" name="ui_line_page_divider10">
            <a:extLst>
              <a:ext uri="{FF2B5EF4-FFF2-40B4-BE49-F238E27FC236}">
                <a16:creationId xmlns:a16="http://schemas.microsoft.com/office/drawing/2014/main" id="{00000000-0008-0000-2500-000028000000}"/>
              </a:ext>
            </a:extLst>
          </xdr:cNvPr>
          <xdr:cNvSpPr txBox="1"/>
        </xdr:nvSpPr>
        <xdr:spPr>
          <a:xfrm>
            <a:off x="10283025"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41" name="ui_nav_page_1_10">
            <a:extLst>
              <a:ext uri="{FF2B5EF4-FFF2-40B4-BE49-F238E27FC236}">
                <a16:creationId xmlns:a16="http://schemas.microsoft.com/office/drawing/2014/main" id="{00000000-0008-0000-2500-000029000000}"/>
              </a:ext>
            </a:extLst>
          </xdr:cNvPr>
          <xdr:cNvSpPr txBox="1"/>
        </xdr:nvSpPr>
        <xdr:spPr>
          <a:xfrm>
            <a:off x="10460825" y="622300"/>
            <a:ext cx="555803"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SCORES</a:t>
            </a:r>
          </a:p>
        </xdr:txBody>
      </xdr:sp>
      <xdr:sp macro="" textlink="">
        <xdr:nvSpPr>
          <xdr:cNvPr id="42" name="ui_line_page_divider11">
            <a:extLst>
              <a:ext uri="{FF2B5EF4-FFF2-40B4-BE49-F238E27FC236}">
                <a16:creationId xmlns:a16="http://schemas.microsoft.com/office/drawing/2014/main" id="{00000000-0008-0000-2500-00002A000000}"/>
              </a:ext>
            </a:extLst>
          </xdr:cNvPr>
          <xdr:cNvSpPr txBox="1"/>
        </xdr:nvSpPr>
        <xdr:spPr>
          <a:xfrm>
            <a:off x="11016628"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23" name="ui_nav_page_1_3">
            <a:extLst>
              <a:ext uri="{FF2B5EF4-FFF2-40B4-BE49-F238E27FC236}">
                <a16:creationId xmlns:a16="http://schemas.microsoft.com/office/drawing/2014/main" id="{00000000-0008-0000-2500-000017000000}"/>
              </a:ext>
            </a:extLst>
          </xdr:cNvPr>
          <xdr:cNvSpPr txBox="1"/>
        </xdr:nvSpPr>
        <xdr:spPr>
          <a:xfrm>
            <a:off x="3726434" y="647700"/>
            <a:ext cx="864108" cy="288468"/>
          </a:xfrm>
          <a:prstGeom prst="rect">
            <a:avLst/>
          </a:prstGeom>
          <a:solidFill>
            <a:srgbClr xmlns:mc="http://schemas.openxmlformats.org/markup-compatibility/2006" xmlns:a14="http://schemas.microsoft.com/office/drawing/2010/main" val="F2F2F2" mc:Ignorable="a14" a14:legacySpreadsheetColorIndex="17"/>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005E9E" mc:Ignorable="a14" a14:legacySpreadsheetColorIndex="15"/>
                </a:solidFill>
              </a:rPr>
              <a:t>CITY PROFILES</a:t>
            </a:r>
          </a:p>
        </xdr:txBody>
      </xdr:sp>
      <xdr:cxnSp macro="">
        <xdr:nvCxnSpPr>
          <xdr:cNvPr id="24" name="ui_line_page_active">
            <a:extLst>
              <a:ext uri="{FF2B5EF4-FFF2-40B4-BE49-F238E27FC236}">
                <a16:creationId xmlns:a16="http://schemas.microsoft.com/office/drawing/2014/main" id="{00000000-0008-0000-2500-000018000000}"/>
              </a:ext>
            </a:extLst>
          </xdr:cNvPr>
          <xdr:cNvCxnSpPr/>
        </xdr:nvCxnSpPr>
        <xdr:spPr>
          <a:xfrm>
            <a:off x="3726434" y="936168"/>
            <a:ext cx="864108" cy="0"/>
          </a:xfrm>
          <a:prstGeom prst="line">
            <a:avLst/>
          </a:prstGeom>
          <a:ln w="28575">
            <a:solidFill>
              <a:srgbClr xmlns:mc="http://schemas.openxmlformats.org/markup-compatibility/2006" xmlns:a14="http://schemas.microsoft.com/office/drawing/2010/main" val="F2F2F2" mc:Ignorable="a14" a14:legacySpreadsheetColorIndex="17"/>
            </a:solidFill>
          </a:ln>
        </xdr:spPr>
        <xdr:style>
          <a:lnRef idx="1">
            <a:schemeClr val="accent1"/>
          </a:lnRef>
          <a:fillRef idx="0">
            <a:schemeClr val="accent1"/>
          </a:fillRef>
          <a:effectRef idx="0">
            <a:schemeClr val="accent1"/>
          </a:effectRef>
          <a:fontRef idx="minor">
            <a:schemeClr val="tx1"/>
          </a:fontRef>
        </xdr:style>
      </xdr:cxnSp>
      <xdr:sp macro="" textlink="">
        <xdr:nvSpPr>
          <xdr:cNvPr id="45" name="ui_lbl_cnt_CountryFlt">
            <a:extLst>
              <a:ext uri="{FF2B5EF4-FFF2-40B4-BE49-F238E27FC236}">
                <a16:creationId xmlns:a16="http://schemas.microsoft.com/office/drawing/2014/main" id="{00000000-0008-0000-2500-00002D000000}"/>
              </a:ext>
            </a:extLst>
          </xdr:cNvPr>
          <xdr:cNvSpPr txBox="1"/>
        </xdr:nvSpPr>
        <xdr:spPr>
          <a:xfrm>
            <a:off x="127000" y="986968"/>
            <a:ext cx="627240"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SELECT CITY</a:t>
            </a:r>
          </a:p>
        </xdr:txBody>
      </xdr:sp>
      <mc:AlternateContent xmlns:mc="http://schemas.openxmlformats.org/markup-compatibility/2006">
        <mc:Choice xmlns:a14="http://schemas.microsoft.com/office/drawing/2010/main" Requires="a14">
          <xdr:sp macro="" textlink="">
            <xdr:nvSpPr>
              <xdr:cNvPr id="6412818" name="ui_cnt_CountryFlt" hidden="1">
                <a:extLst>
                  <a:ext uri="{63B3BB69-23CF-44E3-9099-C40C66FF867C}">
                    <a14:compatExt spid="_x0000_s6412818"/>
                  </a:ext>
                  <a:ext uri="{FF2B5EF4-FFF2-40B4-BE49-F238E27FC236}">
                    <a16:creationId xmlns:a16="http://schemas.microsoft.com/office/drawing/2014/main" id="{00000000-0008-0000-2500-000012DA6100}"/>
                  </a:ext>
                </a:extLst>
              </xdr:cNvPr>
              <xdr:cNvSpPr/>
            </xdr:nvSpPr>
            <xdr:spPr bwMode="auto">
              <a:xfrm>
                <a:off x="127000" y="1177468"/>
                <a:ext cx="1104900" cy="212271"/>
              </a:xfrm>
              <a:prstGeom prst="rect">
                <a:avLst/>
              </a:prstGeom>
              <a:noFill/>
              <a:ln w="9525">
                <a:miter lim="800000"/>
                <a:headEnd/>
                <a:tailEnd/>
              </a:ln>
              <a:extLst>
                <a:ext uri="{909E8E84-426E-40DD-AFC4-6F175D3DCCD1}">
                  <a14:hiddenFill>
                    <a:noFill/>
                  </a14:hiddenFill>
                </a:ext>
              </a:extLst>
            </xdr:spPr>
          </xdr:sp>
        </mc:Choice>
        <mc:Fallback/>
      </mc:AlternateContent>
      <xdr:pic macro="[0]!k">
        <xdr:nvPicPr>
          <xdr:cNvPr id="46" name="ui_spu_CountryFlt" descr="scroll_up_small.png">
            <a:extLst>
              <a:ext uri="{FF2B5EF4-FFF2-40B4-BE49-F238E27FC236}">
                <a16:creationId xmlns:a16="http://schemas.microsoft.com/office/drawing/2014/main" id="{00000000-0008-0000-2500-00002E000000}"/>
              </a:ext>
            </a:extLst>
          </xdr:cNvPr>
          <xdr:cNvPicPr>
            <a:picLocks noChangeAspect="1"/>
          </xdr:cNvPicPr>
        </xdr:nvPicPr>
        <xdr:blipFill>
          <a:blip xmlns:r="http://schemas.openxmlformats.org/officeDocument/2006/relationships" r:embed="rId60" cstate="print"/>
          <a:stretch>
            <a:fillRect/>
          </a:stretch>
        </xdr:blipFill>
        <xdr:spPr>
          <a:xfrm>
            <a:off x="1257300" y="1177468"/>
            <a:ext cx="228615" cy="77699"/>
          </a:xfrm>
          <a:prstGeom prst="rect">
            <a:avLst/>
          </a:prstGeom>
        </xdr:spPr>
      </xdr:pic>
      <xdr:pic macro="[0]!k">
        <xdr:nvPicPr>
          <xdr:cNvPr id="47" name="ui_spd_CountryFlt" descr="scroll_down_small.png">
            <a:extLst>
              <a:ext uri="{FF2B5EF4-FFF2-40B4-BE49-F238E27FC236}">
                <a16:creationId xmlns:a16="http://schemas.microsoft.com/office/drawing/2014/main" id="{00000000-0008-0000-2500-00002F000000}"/>
              </a:ext>
            </a:extLst>
          </xdr:cNvPr>
          <xdr:cNvPicPr>
            <a:picLocks noChangeAspect="1"/>
          </xdr:cNvPicPr>
        </xdr:nvPicPr>
        <xdr:blipFill>
          <a:blip xmlns:r="http://schemas.openxmlformats.org/officeDocument/2006/relationships" r:embed="rId61" cstate="print"/>
          <a:stretch>
            <a:fillRect/>
          </a:stretch>
        </xdr:blipFill>
        <xdr:spPr>
          <a:xfrm>
            <a:off x="1257300" y="1282458"/>
            <a:ext cx="228604" cy="56388"/>
          </a:xfrm>
          <a:prstGeom prst="rect">
            <a:avLst/>
          </a:prstGeom>
        </xdr:spPr>
      </xdr:pic>
      <xdr:pic macro="[0]!k">
        <xdr:nvPicPr>
          <xdr:cNvPr id="5272517" name="ui_cmd_export_xl" descr="xl_icon.gif">
            <a:hlinkClick xmlns:r="http://schemas.openxmlformats.org/officeDocument/2006/relationships" r:id="rId62" tooltip="Export current page as a standalone Excel workbook"/>
            <a:extLst>
              <a:ext uri="{FF2B5EF4-FFF2-40B4-BE49-F238E27FC236}">
                <a16:creationId xmlns:a16="http://schemas.microsoft.com/office/drawing/2014/main" id="{00000000-0008-0000-2500-0000C5735000}"/>
              </a:ext>
            </a:extLst>
          </xdr:cNvPr>
          <xdr:cNvPicPr>
            <a:picLocks noChangeAspect="1"/>
          </xdr:cNvPicPr>
        </xdr:nvPicPr>
        <xdr:blipFill>
          <a:blip xmlns:r="http://schemas.openxmlformats.org/officeDocument/2006/relationships" r:embed="rId63" cstate="print"/>
          <a:stretch>
            <a:fillRect/>
          </a:stretch>
        </xdr:blipFill>
        <xdr:spPr>
          <a:xfrm>
            <a:off x="11367528" y="361950"/>
            <a:ext cx="519674" cy="190500"/>
          </a:xfrm>
          <a:prstGeom prst="rect">
            <a:avLst/>
          </a:prstGeom>
        </xdr:spPr>
      </xdr:pic>
      <xdr:pic macro="[0]!k">
        <xdr:nvPicPr>
          <xdr:cNvPr id="5272516" name="ui_cmd_reset_controls">
            <a:hlinkClick xmlns:r="http://schemas.openxmlformats.org/officeDocument/2006/relationships" r:id="rId64" tooltip="Reset all options and controls on this page to the default value."/>
            <a:extLst>
              <a:ext uri="{FF2B5EF4-FFF2-40B4-BE49-F238E27FC236}">
                <a16:creationId xmlns:a16="http://schemas.microsoft.com/office/drawing/2014/main" id="{00000000-0008-0000-2500-0000C4735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1628209" y="974268"/>
            <a:ext cx="208189" cy="190500"/>
          </a:xfrm>
          <a:prstGeom prst="rect">
            <a:avLst/>
          </a:prstGeom>
        </xdr:spPr>
      </xdr:pic>
      <xdr:pic macro="[0]!k">
        <xdr:nvPicPr>
          <xdr:cNvPr id="5272514" name="ui_cmd_full_screen">
            <a:hlinkClick xmlns:r="http://schemas.openxmlformats.org/officeDocument/2006/relationships" r:id="rId66" tooltip="Full screen mode (recommended)"/>
            <a:extLst>
              <a:ext uri="{FF2B5EF4-FFF2-40B4-BE49-F238E27FC236}">
                <a16:creationId xmlns:a16="http://schemas.microsoft.com/office/drawing/2014/main" id="{00000000-0008-0000-2500-0000C2735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1099356" y="361950"/>
            <a:ext cx="217368" cy="190500"/>
          </a:xfrm>
          <a:prstGeom prst="rect">
            <a:avLst/>
          </a:prstGeom>
        </xdr:spPr>
      </xdr:pic>
      <xdr:pic macro="[0]!k">
        <xdr:nvPicPr>
          <xdr:cNvPr id="5272515" name="ui_cmd_exit_full_screen" hidden="1">
            <a:hlinkClick xmlns:r="http://schemas.openxmlformats.org/officeDocument/2006/relationships" r:id="rId68" tooltip="Leave full screen mode"/>
            <a:extLst>
              <a:ext uri="{FF2B5EF4-FFF2-40B4-BE49-F238E27FC236}">
                <a16:creationId xmlns:a16="http://schemas.microsoft.com/office/drawing/2014/main" id="{00000000-0008-0000-2500-0000C3735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11099356" y="361950"/>
            <a:ext cx="209038" cy="190500"/>
          </a:xfrm>
          <a:prstGeom prst="rect">
            <a:avLst/>
          </a:prstGeom>
        </xdr:spPr>
      </xdr:pic>
    </xdr:grpSp>
    <xdr:clientData fPrintsWithSheet="0"/>
  </xdr:twoCellAnchor>
  <xdr:twoCellAnchor>
    <xdr:from>
      <xdr:col>11</xdr:col>
      <xdr:colOff>0</xdr:colOff>
      <xdr:row>181</xdr:row>
      <xdr:rowOff>185057</xdr:rowOff>
    </xdr:from>
    <xdr:to>
      <xdr:col>13</xdr:col>
      <xdr:colOff>89807</xdr:colOff>
      <xdr:row>182</xdr:row>
      <xdr:rowOff>185056</xdr:rowOff>
    </xdr:to>
    <xdr:sp macro="k" textlink="">
      <xdr:nvSpPr>
        <xdr:cNvPr id="5272522" name="go_top">
          <a:extLst>
            <a:ext uri="{FF2B5EF4-FFF2-40B4-BE49-F238E27FC236}">
              <a16:creationId xmlns:a16="http://schemas.microsoft.com/office/drawing/2014/main" id="{00000000-0008-0000-2500-0000CA735000}"/>
            </a:ext>
          </a:extLst>
        </xdr:cNvPr>
        <xdr:cNvSpPr txBox="1"/>
      </xdr:nvSpPr>
      <xdr:spPr>
        <a:xfrm>
          <a:off x="783771" y="38344928"/>
          <a:ext cx="1015093" cy="185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none" strike="noStrike" baseline="0">
              <a:solidFill>
                <a:srgbClr val="0070C0"/>
              </a:solidFill>
              <a:latin typeface="+mn-lt"/>
            </a:rPr>
            <a:t>↑ Top of page</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16</xdr:col>
      <xdr:colOff>66675</xdr:colOff>
      <xdr:row>15</xdr:row>
      <xdr:rowOff>104775</xdr:rowOff>
    </xdr:from>
    <xdr:to>
      <xdr:col>41</xdr:col>
      <xdr:colOff>50389</xdr:colOff>
      <xdr:row>15</xdr:row>
      <xdr:rowOff>371937</xdr:rowOff>
    </xdr:to>
    <xdr:grpSp>
      <xdr:nvGrpSpPr>
        <xdr:cNvPr id="6714585" name="5_class_legend">
          <a:extLst>
            <a:ext uri="{FF2B5EF4-FFF2-40B4-BE49-F238E27FC236}">
              <a16:creationId xmlns:a16="http://schemas.microsoft.com/office/drawing/2014/main" id="{00000000-0008-0000-2600-0000D9746600}"/>
            </a:ext>
          </a:extLst>
        </xdr:cNvPr>
        <xdr:cNvGrpSpPr/>
      </xdr:nvGrpSpPr>
      <xdr:grpSpPr>
        <a:xfrm>
          <a:off x="6532789" y="3697061"/>
          <a:ext cx="6047057" cy="267162"/>
          <a:chOff x="8421735" y="12319001"/>
          <a:chExt cx="5762672" cy="269876"/>
        </a:xfrm>
      </xdr:grpSpPr>
      <xdr:sp macro="" textlink="uxbGlobals!$B$173">
        <xdr:nvSpPr>
          <xdr:cNvPr id="6714586" name="txtLegendLabel5i">
            <a:extLst>
              <a:ext uri="{FF2B5EF4-FFF2-40B4-BE49-F238E27FC236}">
                <a16:creationId xmlns:a16="http://schemas.microsoft.com/office/drawing/2014/main" id="{00000000-0008-0000-2600-0000DA746600}"/>
              </a:ext>
            </a:extLst>
          </xdr:cNvPr>
          <xdr:cNvSpPr txBox="1"/>
        </xdr:nvSpPr>
        <xdr:spPr>
          <a:xfrm>
            <a:off x="8621372" y="12319002"/>
            <a:ext cx="959285"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pPr algn="l"/>
            <a:fld id="{EA56387A-8FE7-4BDA-A804-794FD2D8B094}" type="TxLink">
              <a:rPr lang="en-US" sz="800" b="0" i="0" u="none" strike="noStrike">
                <a:solidFill>
                  <a:sysClr val="windowText" lastClr="000000"/>
                </a:solidFill>
                <a:latin typeface="Calibri"/>
                <a:cs typeface="Calibri"/>
              </a:rPr>
              <a:pPr algn="l"/>
              <a:t>Score 80.0-100.0</a:t>
            </a:fld>
            <a:endParaRPr lang="en-GB" sz="800">
              <a:solidFill>
                <a:sysClr val="windowText" lastClr="000000"/>
              </a:solidFill>
            </a:endParaRPr>
          </a:p>
        </xdr:txBody>
      </xdr:sp>
      <xdr:sp macro="" textlink="uxbGlobals!$B$137">
        <xdr:nvSpPr>
          <xdr:cNvPr id="6714587" name="shpLegendGroup5h">
            <a:extLst>
              <a:ext uri="{FF2B5EF4-FFF2-40B4-BE49-F238E27FC236}">
                <a16:creationId xmlns:a16="http://schemas.microsoft.com/office/drawing/2014/main" id="{00000000-0008-0000-2600-0000DB746600}"/>
              </a:ext>
            </a:extLst>
          </xdr:cNvPr>
          <xdr:cNvSpPr>
            <a:spLocks noChangeAspect="1"/>
          </xdr:cNvSpPr>
        </xdr:nvSpPr>
        <xdr:spPr>
          <a:xfrm>
            <a:off x="8421735" y="12319001"/>
            <a:ext cx="190547" cy="269875"/>
          </a:xfrm>
          <a:prstGeom prst="rect">
            <a:avLst/>
          </a:prstGeom>
          <a:solidFill>
            <a:srgbClr xmlns:mc="http://schemas.openxmlformats.org/markup-compatibility/2006" xmlns:a14="http://schemas.microsoft.com/office/drawing/2010/main" val="1A9641" mc:Ignorable="a14" a14:legacySpreadsheetColorIndex="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ctr"/>
            <a:fld id="{C1547AC5-ED9B-4854-A6E3-98A6BC359FEE}" type="TxLink">
              <a:rPr lang="en-US" sz="900" b="0" i="0" u="none" strike="noStrike">
                <a:solidFill>
                  <a:srgbClr xmlns:mc="http://schemas.openxmlformats.org/markup-compatibility/2006" xmlns:a14="http://schemas.microsoft.com/office/drawing/2010/main" val="FFFFFF" mc:Ignorable="a14" a14:legacySpreadsheetColorIndex="54"/>
                </a:solidFill>
                <a:latin typeface="Calibri"/>
                <a:cs typeface="Calibri"/>
              </a:rPr>
              <a:pPr algn="ctr"/>
              <a:t> </a:t>
            </a:fld>
            <a:endParaRPr lang="en-GB" sz="900">
              <a:solidFill>
                <a:srgbClr xmlns:mc="http://schemas.openxmlformats.org/markup-compatibility/2006" xmlns:a14="http://schemas.microsoft.com/office/drawing/2010/main" val="FFFFFF" mc:Ignorable="a14" a14:legacySpreadsheetColorIndex="54"/>
              </a:solidFill>
            </a:endParaRPr>
          </a:p>
        </xdr:txBody>
      </xdr:sp>
      <xdr:sp macro="" textlink="uxbGlobals!$B$172">
        <xdr:nvSpPr>
          <xdr:cNvPr id="6714588" name="txtLegendLabel4i">
            <a:extLst>
              <a:ext uri="{FF2B5EF4-FFF2-40B4-BE49-F238E27FC236}">
                <a16:creationId xmlns:a16="http://schemas.microsoft.com/office/drawing/2014/main" id="{00000000-0008-0000-2600-0000DC746600}"/>
              </a:ext>
            </a:extLst>
          </xdr:cNvPr>
          <xdr:cNvSpPr txBox="1"/>
        </xdr:nvSpPr>
        <xdr:spPr>
          <a:xfrm>
            <a:off x="9772310" y="12319002"/>
            <a:ext cx="959285"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pPr algn="l"/>
            <a:fld id="{329D097E-9736-44EE-B76E-B31BDA5CA800}" type="TxLink">
              <a:rPr lang="en-US" sz="800" b="0" i="0" u="none" strike="noStrike">
                <a:solidFill>
                  <a:sysClr val="windowText" lastClr="000000"/>
                </a:solidFill>
                <a:latin typeface="Calibri"/>
                <a:cs typeface="Calibri"/>
              </a:rPr>
              <a:pPr algn="l"/>
              <a:t>Score 60.0-79.9</a:t>
            </a:fld>
            <a:endParaRPr lang="en-GB" sz="800">
              <a:solidFill>
                <a:sysClr val="windowText" lastClr="000000"/>
              </a:solidFill>
            </a:endParaRPr>
          </a:p>
        </xdr:txBody>
      </xdr:sp>
      <xdr:sp macro="" textlink="uxbGlobals!$B$136">
        <xdr:nvSpPr>
          <xdr:cNvPr id="6714589" name="shpLegendGroup4h">
            <a:extLst>
              <a:ext uri="{FF2B5EF4-FFF2-40B4-BE49-F238E27FC236}">
                <a16:creationId xmlns:a16="http://schemas.microsoft.com/office/drawing/2014/main" id="{00000000-0008-0000-2600-0000DD746600}"/>
              </a:ext>
            </a:extLst>
          </xdr:cNvPr>
          <xdr:cNvSpPr>
            <a:spLocks noChangeAspect="1"/>
          </xdr:cNvSpPr>
        </xdr:nvSpPr>
        <xdr:spPr>
          <a:xfrm>
            <a:off x="9572673" y="12319001"/>
            <a:ext cx="190547" cy="269875"/>
          </a:xfrm>
          <a:prstGeom prst="rect">
            <a:avLst/>
          </a:prstGeom>
          <a:solidFill>
            <a:srgbClr xmlns:mc="http://schemas.openxmlformats.org/markup-compatibility/2006" xmlns:a14="http://schemas.microsoft.com/office/drawing/2010/main" val="A6D96A" mc:Ignorable="a14" a14:legacySpreadsheetColorIndex="4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ctr"/>
            <a:fld id="{465A46BF-5830-4242-B700-D10A7C076CF4}" type="TxLink">
              <a:rPr lang="en-US" sz="900" b="0" i="0" u="none" strike="noStrike">
                <a:solidFill>
                  <a:srgbClr xmlns:mc="http://schemas.openxmlformats.org/markup-compatibility/2006" xmlns:a14="http://schemas.microsoft.com/office/drawing/2010/main" val="000000" mc:Ignorable="a14" a14:legacySpreadsheetColorIndex="53"/>
                </a:solidFill>
                <a:latin typeface="Calibri"/>
                <a:cs typeface="Calibri"/>
              </a:rPr>
              <a:pPr algn="ctr"/>
              <a:t> </a:t>
            </a:fld>
            <a:endParaRPr lang="en-GB" sz="900">
              <a:solidFill>
                <a:srgbClr xmlns:mc="http://schemas.openxmlformats.org/markup-compatibility/2006" xmlns:a14="http://schemas.microsoft.com/office/drawing/2010/main" val="000000" mc:Ignorable="a14" a14:legacySpreadsheetColorIndex="53"/>
              </a:solidFill>
            </a:endParaRPr>
          </a:p>
        </xdr:txBody>
      </xdr:sp>
      <xdr:sp macro="" textlink="uxbGlobals!$B$171">
        <xdr:nvSpPr>
          <xdr:cNvPr id="6714590" name="txtLegendLabel3i">
            <a:extLst>
              <a:ext uri="{FF2B5EF4-FFF2-40B4-BE49-F238E27FC236}">
                <a16:creationId xmlns:a16="http://schemas.microsoft.com/office/drawing/2014/main" id="{00000000-0008-0000-2600-0000DE746600}"/>
              </a:ext>
            </a:extLst>
          </xdr:cNvPr>
          <xdr:cNvSpPr txBox="1"/>
        </xdr:nvSpPr>
        <xdr:spPr>
          <a:xfrm>
            <a:off x="10923247" y="12319002"/>
            <a:ext cx="959285"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pPr algn="l"/>
            <a:fld id="{F2EB9E62-18AD-4111-8C72-E75F0CBEC621}" type="TxLink">
              <a:rPr lang="en-US" sz="800" b="0" i="0" u="none" strike="noStrike">
                <a:solidFill>
                  <a:sysClr val="windowText" lastClr="000000"/>
                </a:solidFill>
                <a:latin typeface="Calibri"/>
                <a:cs typeface="Calibri"/>
              </a:rPr>
              <a:pPr algn="l"/>
              <a:t>Score 40.0-59.9</a:t>
            </a:fld>
            <a:endParaRPr lang="en-GB" sz="800">
              <a:solidFill>
                <a:sysClr val="windowText" lastClr="000000"/>
              </a:solidFill>
            </a:endParaRPr>
          </a:p>
        </xdr:txBody>
      </xdr:sp>
      <xdr:sp macro="" textlink="uxbGlobals!$B$135">
        <xdr:nvSpPr>
          <xdr:cNvPr id="6714591" name="shpLegendGroup3h">
            <a:extLst>
              <a:ext uri="{FF2B5EF4-FFF2-40B4-BE49-F238E27FC236}">
                <a16:creationId xmlns:a16="http://schemas.microsoft.com/office/drawing/2014/main" id="{00000000-0008-0000-2600-0000DF746600}"/>
              </a:ext>
            </a:extLst>
          </xdr:cNvPr>
          <xdr:cNvSpPr>
            <a:spLocks noChangeAspect="1"/>
          </xdr:cNvSpPr>
        </xdr:nvSpPr>
        <xdr:spPr>
          <a:xfrm>
            <a:off x="10723610" y="12319001"/>
            <a:ext cx="190547" cy="269875"/>
          </a:xfrm>
          <a:prstGeom prst="rect">
            <a:avLst/>
          </a:prstGeom>
          <a:solidFill>
            <a:srgbClr xmlns:mc="http://schemas.openxmlformats.org/markup-compatibility/2006" xmlns:a14="http://schemas.microsoft.com/office/drawing/2010/main" val="FEE08B" mc:Ignorable="a14" a14:legacySpreadsheetColorIndex="4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ctr"/>
            <a:fld id="{0A3C7BA9-CF07-49B4-816F-55252D110F98}" type="TxLink">
              <a:rPr lang="en-US" sz="900" b="0" i="0" u="none" strike="noStrike">
                <a:solidFill>
                  <a:srgbClr xmlns:mc="http://schemas.openxmlformats.org/markup-compatibility/2006" xmlns:a14="http://schemas.microsoft.com/office/drawing/2010/main" val="000000" mc:Ignorable="a14" a14:legacySpreadsheetColorIndex="52"/>
                </a:solidFill>
                <a:latin typeface="Calibri"/>
                <a:cs typeface="Calibri"/>
              </a:rPr>
              <a:pPr algn="ctr"/>
              <a:t> </a:t>
            </a:fld>
            <a:endParaRPr lang="en-GB" sz="900">
              <a:solidFill>
                <a:srgbClr xmlns:mc="http://schemas.openxmlformats.org/markup-compatibility/2006" xmlns:a14="http://schemas.microsoft.com/office/drawing/2010/main" val="000000" mc:Ignorable="a14" a14:legacySpreadsheetColorIndex="52"/>
              </a:solidFill>
            </a:endParaRPr>
          </a:p>
        </xdr:txBody>
      </xdr:sp>
      <xdr:sp macro="" textlink="uxbGlobals!$B$170">
        <xdr:nvSpPr>
          <xdr:cNvPr id="6714592" name="txtLegendLabel2i">
            <a:extLst>
              <a:ext uri="{FF2B5EF4-FFF2-40B4-BE49-F238E27FC236}">
                <a16:creationId xmlns:a16="http://schemas.microsoft.com/office/drawing/2014/main" id="{00000000-0008-0000-2600-0000E0746600}"/>
              </a:ext>
            </a:extLst>
          </xdr:cNvPr>
          <xdr:cNvSpPr txBox="1"/>
        </xdr:nvSpPr>
        <xdr:spPr>
          <a:xfrm>
            <a:off x="12074185" y="12319002"/>
            <a:ext cx="959285"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pPr algn="l"/>
            <a:fld id="{7E86BC02-B587-461A-8A38-25F8BBCBC6F7}" type="TxLink">
              <a:rPr lang="en-US" sz="800" b="0" i="0" u="none" strike="noStrike">
                <a:solidFill>
                  <a:sysClr val="windowText" lastClr="000000"/>
                </a:solidFill>
                <a:latin typeface="Calibri"/>
                <a:cs typeface="Calibri"/>
              </a:rPr>
              <a:pPr algn="l"/>
              <a:t>Score 20.0-39.9</a:t>
            </a:fld>
            <a:endParaRPr lang="en-GB" sz="800">
              <a:solidFill>
                <a:sysClr val="windowText" lastClr="000000"/>
              </a:solidFill>
            </a:endParaRPr>
          </a:p>
        </xdr:txBody>
      </xdr:sp>
      <xdr:sp macro="" textlink="uxbGlobals!$B$134">
        <xdr:nvSpPr>
          <xdr:cNvPr id="6714593" name="shpLegendGroup2h">
            <a:extLst>
              <a:ext uri="{FF2B5EF4-FFF2-40B4-BE49-F238E27FC236}">
                <a16:creationId xmlns:a16="http://schemas.microsoft.com/office/drawing/2014/main" id="{00000000-0008-0000-2600-0000E1746600}"/>
              </a:ext>
            </a:extLst>
          </xdr:cNvPr>
          <xdr:cNvSpPr>
            <a:spLocks noChangeAspect="1"/>
          </xdr:cNvSpPr>
        </xdr:nvSpPr>
        <xdr:spPr>
          <a:xfrm>
            <a:off x="11874548" y="12319001"/>
            <a:ext cx="190547" cy="269875"/>
          </a:xfrm>
          <a:prstGeom prst="rect">
            <a:avLst/>
          </a:prstGeom>
          <a:solidFill>
            <a:srgbClr xmlns:mc="http://schemas.openxmlformats.org/markup-compatibility/2006" xmlns:a14="http://schemas.microsoft.com/office/drawing/2010/main" val="FDAE61" mc:Ignorable="a14" a14:legacySpreadsheetColorIndex="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ctr"/>
            <a:fld id="{D0B6E4F4-F304-4485-821F-C6C106E9A287}" type="TxLink">
              <a:rPr lang="en-US" sz="900" b="0" i="0" u="none" strike="noStrike">
                <a:solidFill>
                  <a:srgbClr xmlns:mc="http://schemas.openxmlformats.org/markup-compatibility/2006" xmlns:a14="http://schemas.microsoft.com/office/drawing/2010/main" val="000000" mc:Ignorable="a14" a14:legacySpreadsheetColorIndex="51"/>
                </a:solidFill>
                <a:latin typeface="Calibri"/>
                <a:cs typeface="Calibri"/>
              </a:rPr>
              <a:pPr algn="ctr"/>
              <a:t> </a:t>
            </a:fld>
            <a:endParaRPr lang="en-GB" sz="900">
              <a:solidFill>
                <a:srgbClr xmlns:mc="http://schemas.openxmlformats.org/markup-compatibility/2006" xmlns:a14="http://schemas.microsoft.com/office/drawing/2010/main" val="000000" mc:Ignorable="a14" a14:legacySpreadsheetColorIndex="51"/>
              </a:solidFill>
            </a:endParaRPr>
          </a:p>
        </xdr:txBody>
      </xdr:sp>
      <xdr:sp macro="" textlink="uxbGlobals!$B$169">
        <xdr:nvSpPr>
          <xdr:cNvPr id="6714595" name="txtLegendLabel1i">
            <a:extLst>
              <a:ext uri="{FF2B5EF4-FFF2-40B4-BE49-F238E27FC236}">
                <a16:creationId xmlns:a16="http://schemas.microsoft.com/office/drawing/2014/main" id="{00000000-0008-0000-2600-0000E3746600}"/>
              </a:ext>
            </a:extLst>
          </xdr:cNvPr>
          <xdr:cNvSpPr txBox="1"/>
        </xdr:nvSpPr>
        <xdr:spPr>
          <a:xfrm>
            <a:off x="13225122" y="12319002"/>
            <a:ext cx="959285"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pPr algn="l"/>
            <a:fld id="{662338A8-8BA2-4435-8F8C-D9BA1EE24855}" type="TxLink">
              <a:rPr lang="en-US" sz="800" b="0" i="0" u="none" strike="noStrike">
                <a:solidFill>
                  <a:sysClr val="windowText" lastClr="000000"/>
                </a:solidFill>
                <a:latin typeface="Calibri"/>
                <a:cs typeface="Calibri"/>
              </a:rPr>
              <a:pPr algn="l"/>
              <a:t>Score 0-19.9</a:t>
            </a:fld>
            <a:endParaRPr lang="en-GB" sz="800">
              <a:solidFill>
                <a:sysClr val="windowText" lastClr="000000"/>
              </a:solidFill>
            </a:endParaRPr>
          </a:p>
        </xdr:txBody>
      </xdr:sp>
      <xdr:sp macro="" textlink="uxbGlobals!$B$133">
        <xdr:nvSpPr>
          <xdr:cNvPr id="6714597" name="shpLegendGroup1h">
            <a:extLst>
              <a:ext uri="{FF2B5EF4-FFF2-40B4-BE49-F238E27FC236}">
                <a16:creationId xmlns:a16="http://schemas.microsoft.com/office/drawing/2014/main" id="{00000000-0008-0000-2600-0000E5746600}"/>
              </a:ext>
            </a:extLst>
          </xdr:cNvPr>
          <xdr:cNvSpPr>
            <a:spLocks noChangeAspect="1"/>
          </xdr:cNvSpPr>
        </xdr:nvSpPr>
        <xdr:spPr>
          <a:xfrm>
            <a:off x="13025485" y="12319001"/>
            <a:ext cx="190547" cy="269875"/>
          </a:xfrm>
          <a:prstGeom prst="rect">
            <a:avLst/>
          </a:prstGeom>
          <a:solidFill>
            <a:srgbClr xmlns:mc="http://schemas.openxmlformats.org/markup-compatibility/2006" xmlns:a14="http://schemas.microsoft.com/office/drawing/2010/main" val="D7191C" mc:Ignorable="a14" a14:legacySpreadsheetColorIndex="4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ctr"/>
            <a:fld id="{99034E38-2ABA-474A-93A9-46137EAF5812}" type="TxLink">
              <a:rPr lang="en-US" sz="900" b="0" i="0" u="none" strike="noStrike">
                <a:solidFill>
                  <a:srgbClr xmlns:mc="http://schemas.openxmlformats.org/markup-compatibility/2006" xmlns:a14="http://schemas.microsoft.com/office/drawing/2010/main" val="FFFFFF" mc:Ignorable="a14" a14:legacySpreadsheetColorIndex="50"/>
                </a:solidFill>
                <a:latin typeface="Calibri"/>
                <a:cs typeface="Calibri"/>
              </a:rPr>
              <a:pPr algn="ctr"/>
              <a:t> </a:t>
            </a:fld>
            <a:endParaRPr lang="en-GB" sz="900">
              <a:solidFill>
                <a:srgbClr xmlns:mc="http://schemas.openxmlformats.org/markup-compatibility/2006" xmlns:a14="http://schemas.microsoft.com/office/drawing/2010/main" val="FFFFFF" mc:Ignorable="a14" a14:legacySpreadsheetColorIndex="50"/>
              </a:solidFill>
            </a:endParaRPr>
          </a:p>
        </xdr:txBody>
      </xdr:sp>
    </xdr:grpSp>
    <xdr:clientData/>
  </xdr:twoCellAnchor>
  <xdr:twoCellAnchor editAs="absolute">
    <xdr:from>
      <xdr:col>0</xdr:col>
      <xdr:colOff>0</xdr:colOff>
      <xdr:row>3</xdr:row>
      <xdr:rowOff>533397</xdr:rowOff>
    </xdr:from>
    <xdr:to>
      <xdr:col>36</xdr:col>
      <xdr:colOff>381000</xdr:colOff>
      <xdr:row>4</xdr:row>
      <xdr:rowOff>304797</xdr:rowOff>
    </xdr:to>
    <xdr:sp macro="[0]!k" textlink="">
      <xdr:nvSpPr>
        <xdr:cNvPr id="44" name="ui_txt_infobar" hidden="1">
          <a:extLst>
            <a:ext uri="{FF2B5EF4-FFF2-40B4-BE49-F238E27FC236}">
              <a16:creationId xmlns:a16="http://schemas.microsoft.com/office/drawing/2014/main" id="{00000000-0008-0000-2600-00002C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000"/>
        </a:p>
      </xdr:txBody>
    </xdr:sp>
    <xdr:clientData fPrintsWithSheet="0"/>
  </xdr:twoCellAnchor>
  <xdr:twoCellAnchor editAs="absolute">
    <xdr:from>
      <xdr:col>0</xdr:col>
      <xdr:colOff>0</xdr:colOff>
      <xdr:row>0</xdr:row>
      <xdr:rowOff>0</xdr:rowOff>
    </xdr:from>
    <xdr:to>
      <xdr:col>36</xdr:col>
      <xdr:colOff>381000</xdr:colOff>
      <xdr:row>2</xdr:row>
      <xdr:rowOff>0</xdr:rowOff>
    </xdr:to>
    <xdr:sp macro="[0]!k" textlink="">
      <xdr:nvSpPr>
        <xdr:cNvPr id="2" name="ui_cmd_leave_zen_mode" hidden="1">
          <a:extLst>
            <a:ext uri="{FF2B5EF4-FFF2-40B4-BE49-F238E27FC236}">
              <a16:creationId xmlns:a16="http://schemas.microsoft.com/office/drawing/2014/main" id="{00000000-0008-0000-2600-000002000000}"/>
            </a:ext>
          </a:extLst>
        </xdr:cNvPr>
        <xdr:cNvSpPr txBox="1"/>
      </xdr:nvSpPr>
      <xdr:spPr>
        <a:xfrm>
          <a:off x="0" y="0"/>
          <a:ext cx="11887200" cy="304800"/>
        </a:xfrm>
        <a:prstGeom prst="rect">
          <a:avLst/>
        </a:prstGeom>
        <a:solidFill>
          <a:schemeClr val="l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GB" sz="1100" b="1">
              <a:solidFill>
                <a:schemeClr val="bg1">
                  <a:lumMod val="65000"/>
                </a:schemeClr>
              </a:solidFill>
            </a:rPr>
            <a:t>ZEN MODE.  NAVIGATION IS HIDDEN TO MAXIMISE VISIBLE</a:t>
          </a:r>
          <a:r>
            <a:rPr lang="en-GB" sz="1100" b="1" baseline="0">
              <a:solidFill>
                <a:schemeClr val="bg1">
                  <a:lumMod val="65000"/>
                </a:schemeClr>
              </a:solidFill>
            </a:rPr>
            <a:t> CONTENT. </a:t>
          </a:r>
          <a:r>
            <a:rPr lang="en-GB" sz="1100" b="1">
              <a:solidFill>
                <a:schemeClr val="bg1">
                  <a:lumMod val="65000"/>
                </a:schemeClr>
              </a:solidFill>
            </a:rPr>
            <a:t>  </a:t>
          </a:r>
          <a:r>
            <a:rPr lang="en-GB" sz="1100" b="1" u="sng">
              <a:solidFill>
                <a:srgbClr val="0070C0"/>
              </a:solidFill>
            </a:rPr>
            <a:t>CLICK HERE</a:t>
          </a:r>
          <a:r>
            <a:rPr lang="en-GB" sz="1100" b="1" baseline="0">
              <a:solidFill>
                <a:srgbClr val="0070C0"/>
              </a:solidFill>
            </a:rPr>
            <a:t> </a:t>
          </a:r>
          <a:r>
            <a:rPr lang="en-GB" sz="1100" b="1">
              <a:solidFill>
                <a:schemeClr val="bg1">
                  <a:lumMod val="65000"/>
                </a:schemeClr>
              </a:solidFill>
            </a:rPr>
            <a:t>TO RESTORE NAVIGATION</a:t>
          </a:r>
        </a:p>
      </xdr:txBody>
    </xdr:sp>
    <xdr:clientData fPrintsWithSheet="0"/>
  </xdr:twoCellAnchor>
  <xdr:twoCellAnchor editAs="absolute">
    <xdr:from>
      <xdr:col>0</xdr:col>
      <xdr:colOff>0</xdr:colOff>
      <xdr:row>3</xdr:row>
      <xdr:rowOff>533397</xdr:rowOff>
    </xdr:from>
    <xdr:to>
      <xdr:col>36</xdr:col>
      <xdr:colOff>381000</xdr:colOff>
      <xdr:row>4</xdr:row>
      <xdr:rowOff>304797</xdr:rowOff>
    </xdr:to>
    <xdr:sp macro="[0]!k" textlink="">
      <xdr:nvSpPr>
        <xdr:cNvPr id="45" name="ui_cmd_warningbar" hidden="1">
          <a:extLst>
            <a:ext uri="{FF2B5EF4-FFF2-40B4-BE49-F238E27FC236}">
              <a16:creationId xmlns:a16="http://schemas.microsoft.com/office/drawing/2014/main" id="{00000000-0008-0000-2600-00002D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000"/>
        </a:p>
      </xdr:txBody>
    </xdr:sp>
    <xdr:clientData fPrintsWithSheet="0"/>
  </xdr:twoCellAnchor>
  <xdr:twoCellAnchor editAs="absolute">
    <xdr:from>
      <xdr:col>0</xdr:col>
      <xdr:colOff>0</xdr:colOff>
      <xdr:row>3</xdr:row>
      <xdr:rowOff>533397</xdr:rowOff>
    </xdr:from>
    <xdr:to>
      <xdr:col>36</xdr:col>
      <xdr:colOff>381000</xdr:colOff>
      <xdr:row>4</xdr:row>
      <xdr:rowOff>304797</xdr:rowOff>
    </xdr:to>
    <xdr:sp macro="[0]!k" textlink="">
      <xdr:nvSpPr>
        <xdr:cNvPr id="46" name="ui_cmd_globalwarninginfobar" hidden="1">
          <a:extLst>
            <a:ext uri="{FF2B5EF4-FFF2-40B4-BE49-F238E27FC236}">
              <a16:creationId xmlns:a16="http://schemas.microsoft.com/office/drawing/2014/main" id="{00000000-0008-0000-2600-00002E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a:t>A</a:t>
          </a:r>
          <a:r>
            <a:rPr lang="en-GB" sz="1000" baseline="0"/>
            <a:t> custom weight profile is selected.  Scores and ranks may be different from official publication.  </a:t>
          </a:r>
          <a:r>
            <a:rPr lang="en-GB" sz="1000" b="1" u="sng" baseline="0">
              <a:solidFill>
                <a:srgbClr val="0070C0"/>
              </a:solidFill>
            </a:rPr>
            <a:t>RESTORE DEFAULT WEIGHT PROFILE</a:t>
          </a:r>
          <a:endParaRPr lang="en-GB" sz="1000" b="1" u="sng">
            <a:solidFill>
              <a:srgbClr val="0070C0"/>
            </a:solidFill>
          </a:endParaRPr>
        </a:p>
      </xdr:txBody>
    </xdr:sp>
    <xdr:clientData fPrintsWithSheet="0"/>
  </xdr:twoCellAnchor>
  <xdr:twoCellAnchor editAs="absolute">
    <xdr:from>
      <xdr:col>0</xdr:col>
      <xdr:colOff>0</xdr:colOff>
      <xdr:row>0</xdr:row>
      <xdr:rowOff>0</xdr:rowOff>
    </xdr:from>
    <xdr:to>
      <xdr:col>36</xdr:col>
      <xdr:colOff>381002</xdr:colOff>
      <xdr:row>3</xdr:row>
      <xdr:rowOff>533397</xdr:rowOff>
    </xdr:to>
    <xdr:grpSp>
      <xdr:nvGrpSpPr>
        <xdr:cNvPr id="54" name="ui_all">
          <a:extLst>
            <a:ext uri="{FF2B5EF4-FFF2-40B4-BE49-F238E27FC236}">
              <a16:creationId xmlns:a16="http://schemas.microsoft.com/office/drawing/2014/main" id="{00000000-0008-0000-2600-000036000000}"/>
            </a:ext>
          </a:extLst>
        </xdr:cNvPr>
        <xdr:cNvGrpSpPr/>
      </xdr:nvGrpSpPr>
      <xdr:grpSpPr>
        <a:xfrm>
          <a:off x="0" y="0"/>
          <a:ext cx="11887202" cy="1164768"/>
          <a:chOff x="0" y="304800"/>
          <a:chExt cx="11887202" cy="1164768"/>
        </a:xfrm>
      </xdr:grpSpPr>
      <xdr:sp macro="" textlink="">
        <xdr:nvSpPr>
          <xdr:cNvPr id="43" name="ui_dropdown_controls_bg">
            <a:extLst>
              <a:ext uri="{FF2B5EF4-FFF2-40B4-BE49-F238E27FC236}">
                <a16:creationId xmlns:a16="http://schemas.microsoft.com/office/drawing/2014/main" id="{00000000-0008-0000-2600-00002B000000}"/>
              </a:ext>
            </a:extLst>
          </xdr:cNvPr>
          <xdr:cNvSpPr/>
        </xdr:nvSpPr>
        <xdr:spPr>
          <a:xfrm>
            <a:off x="0" y="936168"/>
            <a:ext cx="11887200" cy="533400"/>
          </a:xfrm>
          <a:prstGeom prst="rect">
            <a:avLst/>
          </a:prstGeom>
          <a:solidFill>
            <a:srgbClr xmlns:mc="http://schemas.openxmlformats.org/markup-compatibility/2006" xmlns:a14="http://schemas.microsoft.com/office/drawing/2010/main" val="F2F2F2" mc:Ignorable="a14" a14:legacySpreadsheetColorIndex="17"/>
          </a:solidFill>
          <a:ln w="9525" cap="flat" cmpd="sng" algn="ctr">
            <a:noFill/>
            <a:prstDash val="solid"/>
          </a:ln>
          <a:effectLst/>
          <a:extLst>
            <a:ext uri="{91240B29-F687-4F45-9708-019B960494DF}">
              <a14:hiddenLine xmlns:a14="http://schemas.microsoft.com/office/drawing/2010/main" w="9525" cap="flat" cmpd="sng" algn="ctr">
                <a:solidFill>
                  <a:srgbClr xmlns:mc="http://schemas.openxmlformats.org/markup-compatibility/2006" val="D8D8D8" mc:Ignorable="a14" a14:legacySpreadsheetColorIndex="18"/>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36" name="ui_page_second_bg">
            <a:extLst>
              <a:ext uri="{FF2B5EF4-FFF2-40B4-BE49-F238E27FC236}">
                <a16:creationId xmlns:a16="http://schemas.microsoft.com/office/drawing/2014/main" id="{00000000-0008-0000-2600-000024000000}"/>
              </a:ext>
            </a:extLst>
          </xdr:cNvPr>
          <xdr:cNvSpPr/>
        </xdr:nvSpPr>
        <xdr:spPr>
          <a:xfrm>
            <a:off x="11709400" y="609600"/>
            <a:ext cx="177800" cy="326568"/>
          </a:xfrm>
          <a:prstGeom prst="rect">
            <a:avLst/>
          </a:prstGeom>
          <a:solidFill>
            <a:srgbClr xmlns:mc="http://schemas.openxmlformats.org/markup-compatibility/2006" xmlns:a14="http://schemas.microsoft.com/office/drawing/2010/main" val="E3E3E3" mc:Ignorable="a14" a14:legacySpreadsheetColorIndex="13"/>
          </a:solidFill>
          <a:ln w="19050" cap="flat" cmpd="sng" algn="ctr">
            <a:noFill/>
            <a:prstDash val="solid"/>
          </a:ln>
          <a:effectLst/>
          <a:extLst>
            <a:ext uri="{91240B29-F687-4F45-9708-019B960494DF}">
              <a14:hiddenLine xmlns:a14="http://schemas.microsoft.com/office/drawing/2010/main" w="19050" cap="flat" cmpd="sng" algn="ctr">
                <a:solidFill>
                  <a:srgbClr xmlns:mc="http://schemas.openxmlformats.org/markup-compatibility/2006" val="D2D2D2" mc:Ignorable="a14" a14:legacySpreadsheetColorIndex="14"/>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35" name="ui_page_bg">
            <a:extLst>
              <a:ext uri="{FF2B5EF4-FFF2-40B4-BE49-F238E27FC236}">
                <a16:creationId xmlns:a16="http://schemas.microsoft.com/office/drawing/2014/main" id="{00000000-0008-0000-2600-000023000000}"/>
              </a:ext>
            </a:extLst>
          </xdr:cNvPr>
          <xdr:cNvSpPr/>
        </xdr:nvSpPr>
        <xdr:spPr>
          <a:xfrm>
            <a:off x="0" y="609600"/>
            <a:ext cx="11709400" cy="326568"/>
          </a:xfrm>
          <a:prstGeom prst="rect">
            <a:avLst/>
          </a:prstGeom>
          <a:solidFill>
            <a:srgbClr xmlns:mc="http://schemas.openxmlformats.org/markup-compatibility/2006" xmlns:a14="http://schemas.microsoft.com/office/drawing/2010/main" val="E3E3E3" mc:Ignorable="a14" a14:legacySpreadsheetColorIndex="13"/>
          </a:solidFill>
          <a:ln w="19050" cap="flat" cmpd="sng" algn="ctr">
            <a:noFill/>
            <a:prstDash val="solid"/>
          </a:ln>
          <a:effectLst/>
          <a:extLst>
            <a:ext uri="{91240B29-F687-4F45-9708-019B960494DF}">
              <a14:hiddenLine xmlns:a14="http://schemas.microsoft.com/office/drawing/2010/main" w="19050" cap="flat" cmpd="sng" algn="ctr">
                <a:solidFill>
                  <a:srgbClr xmlns:mc="http://schemas.openxmlformats.org/markup-compatibility/2006" val="D2D2D2" mc:Ignorable="a14" a14:legacySpreadsheetColorIndex="14"/>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6" name="ui_bg_home_back_forward">
            <a:extLst>
              <a:ext uri="{FF2B5EF4-FFF2-40B4-BE49-F238E27FC236}">
                <a16:creationId xmlns:a16="http://schemas.microsoft.com/office/drawing/2014/main" id="{00000000-0008-0000-2600-000006000000}"/>
              </a:ext>
            </a:extLst>
          </xdr:cNvPr>
          <xdr:cNvSpPr txBox="1"/>
        </xdr:nvSpPr>
        <xdr:spPr>
          <a:xfrm>
            <a:off x="0" y="304800"/>
            <a:ext cx="664070" cy="304800"/>
          </a:xfrm>
          <a:prstGeom prst="rect">
            <a:avLst/>
          </a:prstGeom>
          <a:solidFill>
            <a:srgbClr xmlns:mc="http://schemas.openxmlformats.org/markup-compatibility/2006" xmlns:a14="http://schemas.microsoft.com/office/drawing/2010/main" val="808080" mc:Ignorable="a14" a14:legacySpreadsheetColorIndex="1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endParaRPr lang="en-GB" sz="1100" b="0"/>
          </a:p>
        </xdr:txBody>
      </xdr:sp>
      <xdr:pic macro="[0]!k">
        <xdr:nvPicPr>
          <xdr:cNvPr id="3" name="ui_nav_home" descr="home-white-xxl.png">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cstate="print"/>
          <a:stretch>
            <a:fillRect/>
          </a:stretch>
        </xdr:blipFill>
        <xdr:spPr>
          <a:xfrm>
            <a:off x="25400" y="393700"/>
            <a:ext cx="165100"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pic macro="[0]!k">
        <xdr:nvPicPr>
          <xdr:cNvPr id="4" name="ui_nav_back" descr="arrow-left-white-xxl.png">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2" cstate="print"/>
          <a:stretch>
            <a:fillRect/>
          </a:stretch>
        </xdr:blipFill>
        <xdr:spPr>
          <a:xfrm>
            <a:off x="254000" y="393700"/>
            <a:ext cx="165100"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pic macro="[0]!k">
        <xdr:nvPicPr>
          <xdr:cNvPr id="5" name="ui_nav_forward" descr="arrow-right-white-xxl.png" hidden="1">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3" cstate="print"/>
          <a:stretch>
            <a:fillRect/>
          </a:stretch>
        </xdr:blipFill>
        <xdr:spPr>
          <a:xfrm>
            <a:off x="444500" y="393700"/>
            <a:ext cx="168776"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sp macro="[0]!k" textlink="">
        <xdr:nvSpPr>
          <xdr:cNvPr id="7" name="ui_nav_sec_1">
            <a:extLst>
              <a:ext uri="{FF2B5EF4-FFF2-40B4-BE49-F238E27FC236}">
                <a16:creationId xmlns:a16="http://schemas.microsoft.com/office/drawing/2014/main" id="{00000000-0008-0000-2600-000007000000}"/>
              </a:ext>
            </a:extLst>
          </xdr:cNvPr>
          <xdr:cNvSpPr txBox="1"/>
        </xdr:nvSpPr>
        <xdr:spPr>
          <a:xfrm>
            <a:off x="740229" y="304800"/>
            <a:ext cx="926262" cy="304800"/>
          </a:xfrm>
          <a:prstGeom prst="rect">
            <a:avLst/>
          </a:prstGeom>
          <a:solidFill>
            <a:srgbClr xmlns:mc="http://schemas.openxmlformats.org/markup-compatibility/2006" xmlns:a14="http://schemas.microsoft.com/office/drawing/2010/main" val="E3E3E3" mc:Ignorable="a14" a14:legacySpreadsheetColorIndex="13"/>
          </a:solidFill>
          <a:ln w="19050" cmpd="sng">
            <a:solidFill>
              <a:srgbClr xmlns:mc="http://schemas.openxmlformats.org/markup-compatibility/2006" xmlns:a14="http://schemas.microsoft.com/office/drawing/2010/main" val="D2D2D2" mc:Ignorable="a14" a14:legacySpreadsheetColorIndex="14"/>
            </a:solidFill>
          </a:ln>
        </xdr:spPr>
        <xdr:style>
          <a:lnRef idx="0">
            <a:scrgbClr r="0" g="0" b="0"/>
          </a:lnRef>
          <a:fillRef idx="0">
            <a:scrgbClr r="0" g="0" b="0"/>
          </a:fillRef>
          <a:effectRef idx="0">
            <a:scrgbClr r="0" g="0" b="0"/>
          </a:effectRef>
          <a:fontRef idx="minor">
            <a:schemeClr val="dk1"/>
          </a:fontRef>
        </xdr:style>
        <xdr:txBody>
          <a:bodyPr vertOverflow="clip" wrap="square" lIns="0" rIns="0" bIns="72000" rtlCol="0" anchor="ctr" anchorCtr="0"/>
          <a:lstStyle/>
          <a:p>
            <a:pPr algn="ctr"/>
            <a:r>
              <a:rPr lang="en-GB" sz="900" b="1">
                <a:solidFill>
                  <a:srgbClr xmlns:mc="http://schemas.openxmlformats.org/markup-compatibility/2006" xmlns:a14="http://schemas.microsoft.com/office/drawing/2010/main" val="005E9E" mc:Ignorable="a14" a14:legacySpreadsheetColorIndex="15"/>
                </a:solidFill>
              </a:rPr>
              <a:t>CITY HEARTBEAT</a:t>
            </a:r>
          </a:p>
        </xdr:txBody>
      </xdr:sp>
      <xdr:cxnSp macro="">
        <xdr:nvCxnSpPr>
          <xdr:cNvPr id="8" name="ui_line_sec_active">
            <a:extLst>
              <a:ext uri="{FF2B5EF4-FFF2-40B4-BE49-F238E27FC236}">
                <a16:creationId xmlns:a16="http://schemas.microsoft.com/office/drawing/2014/main" id="{00000000-0008-0000-2600-000008000000}"/>
              </a:ext>
            </a:extLst>
          </xdr:cNvPr>
          <xdr:cNvCxnSpPr/>
        </xdr:nvCxnSpPr>
        <xdr:spPr>
          <a:xfrm>
            <a:off x="740229" y="609600"/>
            <a:ext cx="926262" cy="0"/>
          </a:xfrm>
          <a:prstGeom prst="line">
            <a:avLst/>
          </a:prstGeom>
          <a:ln w="28575">
            <a:solidFill>
              <a:srgbClr xmlns:mc="http://schemas.openxmlformats.org/markup-compatibility/2006" xmlns:a14="http://schemas.microsoft.com/office/drawing/2010/main" val="E3E3E3" mc:Ignorable="a14" a14:legacySpreadsheetColorIndex="13"/>
            </a:solidFill>
          </a:ln>
        </xdr:spPr>
        <xdr:style>
          <a:lnRef idx="1">
            <a:schemeClr val="accent1"/>
          </a:lnRef>
          <a:fillRef idx="0">
            <a:schemeClr val="accent1"/>
          </a:fillRef>
          <a:effectRef idx="0">
            <a:schemeClr val="accent1"/>
          </a:effectRef>
          <a:fontRef idx="minor">
            <a:schemeClr val="tx1"/>
          </a:fontRef>
        </xdr:style>
      </xdr:cxnSp>
      <xdr:sp macro="" textlink="">
        <xdr:nvSpPr>
          <xdr:cNvPr id="9" name="ui_line_sec_divider1">
            <a:extLst>
              <a:ext uri="{FF2B5EF4-FFF2-40B4-BE49-F238E27FC236}">
                <a16:creationId xmlns:a16="http://schemas.microsoft.com/office/drawing/2014/main" id="{00000000-0008-0000-2600-000009000000}"/>
              </a:ext>
            </a:extLst>
          </xdr:cNvPr>
          <xdr:cNvSpPr txBox="1"/>
        </xdr:nvSpPr>
        <xdr:spPr>
          <a:xfrm>
            <a:off x="1666532" y="304800"/>
            <a:ext cx="1778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9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12" name="ui_nav_page_1_0">
            <a:extLst>
              <a:ext uri="{FF2B5EF4-FFF2-40B4-BE49-F238E27FC236}">
                <a16:creationId xmlns:a16="http://schemas.microsoft.com/office/drawing/2014/main" id="{00000000-0008-0000-2600-00000C000000}"/>
              </a:ext>
            </a:extLst>
          </xdr:cNvPr>
          <xdr:cNvSpPr txBox="1"/>
        </xdr:nvSpPr>
        <xdr:spPr>
          <a:xfrm>
            <a:off x="794372" y="622300"/>
            <a:ext cx="715785"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OVERVIEW</a:t>
            </a:r>
          </a:p>
        </xdr:txBody>
      </xdr:sp>
      <xdr:sp macro="" textlink="">
        <xdr:nvSpPr>
          <xdr:cNvPr id="13" name="ui_line_page_divider1">
            <a:extLst>
              <a:ext uri="{FF2B5EF4-FFF2-40B4-BE49-F238E27FC236}">
                <a16:creationId xmlns:a16="http://schemas.microsoft.com/office/drawing/2014/main" id="{00000000-0008-0000-2600-00000D000000}"/>
              </a:ext>
            </a:extLst>
          </xdr:cNvPr>
          <xdr:cNvSpPr txBox="1"/>
        </xdr:nvSpPr>
        <xdr:spPr>
          <a:xfrm>
            <a:off x="151015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 textlink="">
        <xdr:nvSpPr>
          <xdr:cNvPr id="16" name="ui_line_page_divider2">
            <a:extLst>
              <a:ext uri="{FF2B5EF4-FFF2-40B4-BE49-F238E27FC236}">
                <a16:creationId xmlns:a16="http://schemas.microsoft.com/office/drawing/2014/main" id="{00000000-0008-0000-2600-000010000000}"/>
              </a:ext>
            </a:extLst>
          </xdr:cNvPr>
          <xdr:cNvSpPr txBox="1"/>
        </xdr:nvSpPr>
        <xdr:spPr>
          <a:xfrm>
            <a:off x="2375243"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17" name="ui_nav_page_1_2">
            <a:extLst>
              <a:ext uri="{FF2B5EF4-FFF2-40B4-BE49-F238E27FC236}">
                <a16:creationId xmlns:a16="http://schemas.microsoft.com/office/drawing/2014/main" id="{00000000-0008-0000-2600-000011000000}"/>
              </a:ext>
            </a:extLst>
          </xdr:cNvPr>
          <xdr:cNvSpPr txBox="1"/>
        </xdr:nvSpPr>
        <xdr:spPr>
          <a:xfrm>
            <a:off x="2553043" y="622300"/>
            <a:ext cx="995591"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SNAPSHOTS</a:t>
            </a:r>
          </a:p>
        </xdr:txBody>
      </xdr:sp>
      <xdr:sp macro="" textlink="">
        <xdr:nvSpPr>
          <xdr:cNvPr id="18" name="ui_line_page_divider3">
            <a:extLst>
              <a:ext uri="{FF2B5EF4-FFF2-40B4-BE49-F238E27FC236}">
                <a16:creationId xmlns:a16="http://schemas.microsoft.com/office/drawing/2014/main" id="{00000000-0008-0000-2600-000012000000}"/>
              </a:ext>
            </a:extLst>
          </xdr:cNvPr>
          <xdr:cNvSpPr txBox="1"/>
        </xdr:nvSpPr>
        <xdr:spPr>
          <a:xfrm>
            <a:off x="3548634"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19" name="ui_nav_page_1_3">
            <a:extLst>
              <a:ext uri="{FF2B5EF4-FFF2-40B4-BE49-F238E27FC236}">
                <a16:creationId xmlns:a16="http://schemas.microsoft.com/office/drawing/2014/main" id="{00000000-0008-0000-2600-000013000000}"/>
              </a:ext>
            </a:extLst>
          </xdr:cNvPr>
          <xdr:cNvSpPr txBox="1"/>
        </xdr:nvSpPr>
        <xdr:spPr>
          <a:xfrm>
            <a:off x="3726434" y="622300"/>
            <a:ext cx="864108"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PROFILES</a:t>
            </a:r>
          </a:p>
        </xdr:txBody>
      </xdr:sp>
      <xdr:sp macro="" textlink="">
        <xdr:nvSpPr>
          <xdr:cNvPr id="20" name="ui_line_page_divider4">
            <a:extLst>
              <a:ext uri="{FF2B5EF4-FFF2-40B4-BE49-F238E27FC236}">
                <a16:creationId xmlns:a16="http://schemas.microsoft.com/office/drawing/2014/main" id="{00000000-0008-0000-2600-000014000000}"/>
              </a:ext>
            </a:extLst>
          </xdr:cNvPr>
          <xdr:cNvSpPr txBox="1"/>
        </xdr:nvSpPr>
        <xdr:spPr>
          <a:xfrm>
            <a:off x="4590542"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1" name="ui_nav_page_1_4">
            <a:extLst>
              <a:ext uri="{FF2B5EF4-FFF2-40B4-BE49-F238E27FC236}">
                <a16:creationId xmlns:a16="http://schemas.microsoft.com/office/drawing/2014/main" id="{00000000-0008-0000-2600-000015000000}"/>
              </a:ext>
            </a:extLst>
          </xdr:cNvPr>
          <xdr:cNvSpPr txBox="1"/>
        </xdr:nvSpPr>
        <xdr:spPr>
          <a:xfrm>
            <a:off x="4768342" y="622300"/>
            <a:ext cx="755942"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DETAIL</a:t>
            </a:r>
          </a:p>
        </xdr:txBody>
      </xdr:sp>
      <xdr:sp macro="" textlink="">
        <xdr:nvSpPr>
          <xdr:cNvPr id="22" name="ui_line_page_divider5">
            <a:extLst>
              <a:ext uri="{FF2B5EF4-FFF2-40B4-BE49-F238E27FC236}">
                <a16:creationId xmlns:a16="http://schemas.microsoft.com/office/drawing/2014/main" id="{00000000-0008-0000-2600-000016000000}"/>
              </a:ext>
            </a:extLst>
          </xdr:cNvPr>
          <xdr:cNvSpPr txBox="1"/>
        </xdr:nvSpPr>
        <xdr:spPr>
          <a:xfrm>
            <a:off x="5524284"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3" name="ui_nav_page_1_5">
            <a:extLst>
              <a:ext uri="{FF2B5EF4-FFF2-40B4-BE49-F238E27FC236}">
                <a16:creationId xmlns:a16="http://schemas.microsoft.com/office/drawing/2014/main" id="{00000000-0008-0000-2600-000017000000}"/>
              </a:ext>
            </a:extLst>
          </xdr:cNvPr>
          <xdr:cNvSpPr txBox="1"/>
        </xdr:nvSpPr>
        <xdr:spPr>
          <a:xfrm>
            <a:off x="5702084" y="622300"/>
            <a:ext cx="995591"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COMPARE CITIES</a:t>
            </a:r>
          </a:p>
        </xdr:txBody>
      </xdr:sp>
      <xdr:sp macro="" textlink="">
        <xdr:nvSpPr>
          <xdr:cNvPr id="24" name="ui_line_page_divider6">
            <a:extLst>
              <a:ext uri="{FF2B5EF4-FFF2-40B4-BE49-F238E27FC236}">
                <a16:creationId xmlns:a16="http://schemas.microsoft.com/office/drawing/2014/main" id="{00000000-0008-0000-2600-000018000000}"/>
              </a:ext>
            </a:extLst>
          </xdr:cNvPr>
          <xdr:cNvSpPr txBox="1"/>
        </xdr:nvSpPr>
        <xdr:spPr>
          <a:xfrm>
            <a:off x="6697675"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5" name="ui_nav_page_1_6">
            <a:extLst>
              <a:ext uri="{FF2B5EF4-FFF2-40B4-BE49-F238E27FC236}">
                <a16:creationId xmlns:a16="http://schemas.microsoft.com/office/drawing/2014/main" id="{00000000-0008-0000-2600-000019000000}"/>
              </a:ext>
            </a:extLst>
          </xdr:cNvPr>
          <xdr:cNvSpPr txBox="1"/>
        </xdr:nvSpPr>
        <xdr:spPr>
          <a:xfrm>
            <a:off x="6875475" y="622300"/>
            <a:ext cx="89843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ALL MEASURES</a:t>
            </a:r>
          </a:p>
        </xdr:txBody>
      </xdr:sp>
      <xdr:sp macro="" textlink="">
        <xdr:nvSpPr>
          <xdr:cNvPr id="26" name="ui_line_page_divider7">
            <a:extLst>
              <a:ext uri="{FF2B5EF4-FFF2-40B4-BE49-F238E27FC236}">
                <a16:creationId xmlns:a16="http://schemas.microsoft.com/office/drawing/2014/main" id="{00000000-0008-0000-2600-00001A000000}"/>
              </a:ext>
            </a:extLst>
          </xdr:cNvPr>
          <xdr:cNvSpPr txBox="1"/>
        </xdr:nvSpPr>
        <xdr:spPr>
          <a:xfrm>
            <a:off x="7773912"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7" name="ui_nav_page_1_7">
            <a:extLst>
              <a:ext uri="{FF2B5EF4-FFF2-40B4-BE49-F238E27FC236}">
                <a16:creationId xmlns:a16="http://schemas.microsoft.com/office/drawing/2014/main" id="{00000000-0008-0000-2600-00001B000000}"/>
              </a:ext>
            </a:extLst>
          </xdr:cNvPr>
          <xdr:cNvSpPr txBox="1"/>
        </xdr:nvSpPr>
        <xdr:spPr>
          <a:xfrm>
            <a:off x="7951712" y="622300"/>
            <a:ext cx="88159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SCATTER PLOT</a:t>
            </a:r>
          </a:p>
        </xdr:txBody>
      </xdr:sp>
      <xdr:sp macro="" textlink="">
        <xdr:nvSpPr>
          <xdr:cNvPr id="28" name="ui_line_page_divider8">
            <a:extLst>
              <a:ext uri="{FF2B5EF4-FFF2-40B4-BE49-F238E27FC236}">
                <a16:creationId xmlns:a16="http://schemas.microsoft.com/office/drawing/2014/main" id="{00000000-0008-0000-2600-00001C000000}"/>
              </a:ext>
            </a:extLst>
          </xdr:cNvPr>
          <xdr:cNvSpPr txBox="1"/>
        </xdr:nvSpPr>
        <xdr:spPr>
          <a:xfrm>
            <a:off x="883330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9" name="ui_nav_page_1_8">
            <a:extLst>
              <a:ext uri="{FF2B5EF4-FFF2-40B4-BE49-F238E27FC236}">
                <a16:creationId xmlns:a16="http://schemas.microsoft.com/office/drawing/2014/main" id="{00000000-0008-0000-2600-00001D000000}"/>
              </a:ext>
            </a:extLst>
          </xdr:cNvPr>
          <xdr:cNvSpPr txBox="1"/>
        </xdr:nvSpPr>
        <xdr:spPr>
          <a:xfrm>
            <a:off x="9011107" y="622300"/>
            <a:ext cx="635470"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WEIGHTS</a:t>
            </a:r>
          </a:p>
        </xdr:txBody>
      </xdr:sp>
      <xdr:sp macro="" textlink="">
        <xdr:nvSpPr>
          <xdr:cNvPr id="30" name="ui_line_page_divider9">
            <a:extLst>
              <a:ext uri="{FF2B5EF4-FFF2-40B4-BE49-F238E27FC236}">
                <a16:creationId xmlns:a16="http://schemas.microsoft.com/office/drawing/2014/main" id="{00000000-0008-0000-2600-00001E000000}"/>
              </a:ext>
            </a:extLst>
          </xdr:cNvPr>
          <xdr:cNvSpPr txBox="1"/>
        </xdr:nvSpPr>
        <xdr:spPr>
          <a:xfrm>
            <a:off x="964657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31" name="ui_nav_page_1_9">
            <a:extLst>
              <a:ext uri="{FF2B5EF4-FFF2-40B4-BE49-F238E27FC236}">
                <a16:creationId xmlns:a16="http://schemas.microsoft.com/office/drawing/2014/main" id="{00000000-0008-0000-2600-00001F000000}"/>
              </a:ext>
            </a:extLst>
          </xdr:cNvPr>
          <xdr:cNvSpPr txBox="1"/>
        </xdr:nvSpPr>
        <xdr:spPr>
          <a:xfrm>
            <a:off x="9824377" y="622300"/>
            <a:ext cx="458648"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DATA</a:t>
            </a:r>
          </a:p>
        </xdr:txBody>
      </xdr:sp>
      <xdr:sp macro="" textlink="">
        <xdr:nvSpPr>
          <xdr:cNvPr id="32" name="ui_line_page_divider10">
            <a:extLst>
              <a:ext uri="{FF2B5EF4-FFF2-40B4-BE49-F238E27FC236}">
                <a16:creationId xmlns:a16="http://schemas.microsoft.com/office/drawing/2014/main" id="{00000000-0008-0000-2600-000020000000}"/>
              </a:ext>
            </a:extLst>
          </xdr:cNvPr>
          <xdr:cNvSpPr txBox="1"/>
        </xdr:nvSpPr>
        <xdr:spPr>
          <a:xfrm>
            <a:off x="10283025"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33" name="ui_nav_page_1_10">
            <a:extLst>
              <a:ext uri="{FF2B5EF4-FFF2-40B4-BE49-F238E27FC236}">
                <a16:creationId xmlns:a16="http://schemas.microsoft.com/office/drawing/2014/main" id="{00000000-0008-0000-2600-000021000000}"/>
              </a:ext>
            </a:extLst>
          </xdr:cNvPr>
          <xdr:cNvSpPr txBox="1"/>
        </xdr:nvSpPr>
        <xdr:spPr>
          <a:xfrm>
            <a:off x="10460825" y="622300"/>
            <a:ext cx="555803"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SCORES</a:t>
            </a:r>
          </a:p>
        </xdr:txBody>
      </xdr:sp>
      <xdr:sp macro="" textlink="">
        <xdr:nvSpPr>
          <xdr:cNvPr id="34" name="ui_line_page_divider11">
            <a:extLst>
              <a:ext uri="{FF2B5EF4-FFF2-40B4-BE49-F238E27FC236}">
                <a16:creationId xmlns:a16="http://schemas.microsoft.com/office/drawing/2014/main" id="{00000000-0008-0000-2600-000022000000}"/>
              </a:ext>
            </a:extLst>
          </xdr:cNvPr>
          <xdr:cNvSpPr txBox="1"/>
        </xdr:nvSpPr>
        <xdr:spPr>
          <a:xfrm>
            <a:off x="11016628"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14" name="ui_nav_page_1_1">
            <a:extLst>
              <a:ext uri="{FF2B5EF4-FFF2-40B4-BE49-F238E27FC236}">
                <a16:creationId xmlns:a16="http://schemas.microsoft.com/office/drawing/2014/main" id="{00000000-0008-0000-2600-00000E000000}"/>
              </a:ext>
            </a:extLst>
          </xdr:cNvPr>
          <xdr:cNvSpPr txBox="1"/>
        </xdr:nvSpPr>
        <xdr:spPr>
          <a:xfrm>
            <a:off x="1687957" y="647700"/>
            <a:ext cx="687286" cy="288468"/>
          </a:xfrm>
          <a:prstGeom prst="rect">
            <a:avLst/>
          </a:prstGeom>
          <a:solidFill>
            <a:srgbClr xmlns:mc="http://schemas.openxmlformats.org/markup-compatibility/2006" xmlns:a14="http://schemas.microsoft.com/office/drawing/2010/main" val="F2F2F2" mc:Ignorable="a14" a14:legacySpreadsheetColorIndex="17"/>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005E9E" mc:Ignorable="a14" a14:legacySpreadsheetColorIndex="15"/>
                </a:solidFill>
              </a:rPr>
              <a:t>RANKINGS</a:t>
            </a:r>
          </a:p>
        </xdr:txBody>
      </xdr:sp>
      <xdr:cxnSp macro="">
        <xdr:nvCxnSpPr>
          <xdr:cNvPr id="15" name="ui_line_page_active">
            <a:extLst>
              <a:ext uri="{FF2B5EF4-FFF2-40B4-BE49-F238E27FC236}">
                <a16:creationId xmlns:a16="http://schemas.microsoft.com/office/drawing/2014/main" id="{00000000-0008-0000-2600-00000F000000}"/>
              </a:ext>
            </a:extLst>
          </xdr:cNvPr>
          <xdr:cNvCxnSpPr/>
        </xdr:nvCxnSpPr>
        <xdr:spPr>
          <a:xfrm>
            <a:off x="1687957" y="936168"/>
            <a:ext cx="687286" cy="0"/>
          </a:xfrm>
          <a:prstGeom prst="line">
            <a:avLst/>
          </a:prstGeom>
          <a:ln w="28575">
            <a:solidFill>
              <a:srgbClr xmlns:mc="http://schemas.openxmlformats.org/markup-compatibility/2006" xmlns:a14="http://schemas.microsoft.com/office/drawing/2010/main" val="F2F2F2" mc:Ignorable="a14" a14:legacySpreadsheetColorIndex="17"/>
            </a:solidFill>
          </a:ln>
        </xdr:spPr>
        <xdr:style>
          <a:lnRef idx="1">
            <a:schemeClr val="accent1"/>
          </a:lnRef>
          <a:fillRef idx="0">
            <a:schemeClr val="accent1"/>
          </a:fillRef>
          <a:effectRef idx="0">
            <a:schemeClr val="accent1"/>
          </a:effectRef>
          <a:fontRef idx="minor">
            <a:schemeClr val="tx1"/>
          </a:fontRef>
        </xdr:style>
      </xdr:cxnSp>
      <xdr:sp macro="" textlink="">
        <xdr:nvSpPr>
          <xdr:cNvPr id="37" name="ui_lbl_cnt_CatMultiples">
            <a:extLst>
              <a:ext uri="{FF2B5EF4-FFF2-40B4-BE49-F238E27FC236}">
                <a16:creationId xmlns:a16="http://schemas.microsoft.com/office/drawing/2014/main" id="{00000000-0008-0000-2600-000025000000}"/>
              </a:ext>
            </a:extLst>
          </xdr:cNvPr>
          <xdr:cNvSpPr txBox="1"/>
        </xdr:nvSpPr>
        <xdr:spPr>
          <a:xfrm>
            <a:off x="127000" y="986968"/>
            <a:ext cx="1203820"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SELECT INDICATOR SET</a:t>
            </a:r>
          </a:p>
        </xdr:txBody>
      </xdr:sp>
      <xdr:sp macro="" textlink="">
        <xdr:nvSpPr>
          <xdr:cNvPr id="40" name="ui_lbl_cnt_Sort_Order_1">
            <a:extLst>
              <a:ext uri="{FF2B5EF4-FFF2-40B4-BE49-F238E27FC236}">
                <a16:creationId xmlns:a16="http://schemas.microsoft.com/office/drawing/2014/main" id="{00000000-0008-0000-2600-000028000000}"/>
              </a:ext>
            </a:extLst>
          </xdr:cNvPr>
          <xdr:cNvSpPr txBox="1"/>
        </xdr:nvSpPr>
        <xdr:spPr>
          <a:xfrm>
            <a:off x="3096984" y="986968"/>
            <a:ext cx="667004"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SORT ORDER</a:t>
            </a:r>
          </a:p>
        </xdr:txBody>
      </xdr:sp>
      <xdr:sp macro="" textlink="">
        <xdr:nvSpPr>
          <xdr:cNvPr id="41" name="ui_lbl_cnt_GroupHighlight">
            <a:extLst>
              <a:ext uri="{FF2B5EF4-FFF2-40B4-BE49-F238E27FC236}">
                <a16:creationId xmlns:a16="http://schemas.microsoft.com/office/drawing/2014/main" id="{00000000-0008-0000-2600-000029000000}"/>
              </a:ext>
            </a:extLst>
          </xdr:cNvPr>
          <xdr:cNvSpPr txBox="1"/>
        </xdr:nvSpPr>
        <xdr:spPr>
          <a:xfrm>
            <a:off x="5025568" y="986968"/>
            <a:ext cx="1012050"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GROUP HIGHLIGHT</a:t>
            </a:r>
          </a:p>
        </xdr:txBody>
      </xdr:sp>
      <xdr:sp macro="" textlink="">
        <xdr:nvSpPr>
          <xdr:cNvPr id="42" name="ui_lbl_cnt_CountryFltHighlight">
            <a:extLst>
              <a:ext uri="{FF2B5EF4-FFF2-40B4-BE49-F238E27FC236}">
                <a16:creationId xmlns:a16="http://schemas.microsoft.com/office/drawing/2014/main" id="{00000000-0008-0000-2600-00002A000000}"/>
              </a:ext>
            </a:extLst>
          </xdr:cNvPr>
          <xdr:cNvSpPr txBox="1"/>
        </xdr:nvSpPr>
        <xdr:spPr>
          <a:xfrm>
            <a:off x="6496952" y="986968"/>
            <a:ext cx="847865"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CITY HIGHLIGHT</a:t>
            </a:r>
          </a:p>
        </xdr:txBody>
      </xdr:sp>
      <mc:AlternateContent xmlns:mc="http://schemas.openxmlformats.org/markup-compatibility/2006">
        <mc:Choice xmlns:a14="http://schemas.microsoft.com/office/drawing/2010/main" Requires="a14">
          <xdr:sp macro="" textlink="">
            <xdr:nvSpPr>
              <xdr:cNvPr id="6714954" name="ui_cnt_CatMultiples" hidden="1">
                <a:extLst>
                  <a:ext uri="{63B3BB69-23CF-44E3-9099-C40C66FF867C}">
                    <a14:compatExt spid="_x0000_s6714954"/>
                  </a:ext>
                  <a:ext uri="{FF2B5EF4-FFF2-40B4-BE49-F238E27FC236}">
                    <a16:creationId xmlns:a16="http://schemas.microsoft.com/office/drawing/2014/main" id="{00000000-0008-0000-2600-00004A766600}"/>
                  </a:ext>
                </a:extLst>
              </xdr:cNvPr>
              <xdr:cNvSpPr/>
            </xdr:nvSpPr>
            <xdr:spPr bwMode="auto">
              <a:xfrm>
                <a:off x="127000" y="1177468"/>
                <a:ext cx="2563585" cy="212272"/>
              </a:xfrm>
              <a:prstGeom prst="rect">
                <a:avLst/>
              </a:prstGeom>
              <a:noFill/>
              <a:ln w="9525">
                <a:miter lim="800000"/>
                <a:headEnd/>
                <a:tailEnd/>
              </a:ln>
              <a:extLst>
                <a:ext uri="{909E8E84-426E-40DD-AFC4-6F175D3DCCD1}">
                  <a14:hiddenFill>
                    <a:noFill/>
                  </a14:hiddenFill>
                </a:ext>
              </a:extLst>
            </xdr:spPr>
          </xdr:sp>
        </mc:Choice>
        <mc:Fallback/>
      </mc:AlternateContent>
      <xdr:pic macro="[0]!k">
        <xdr:nvPicPr>
          <xdr:cNvPr id="38" name="ui_spu_CatMultiples" descr="scroll_up_small.png">
            <a:extLst>
              <a:ext uri="{FF2B5EF4-FFF2-40B4-BE49-F238E27FC236}">
                <a16:creationId xmlns:a16="http://schemas.microsoft.com/office/drawing/2014/main" id="{00000000-0008-0000-2600-000026000000}"/>
              </a:ext>
            </a:extLst>
          </xdr:cNvPr>
          <xdr:cNvPicPr>
            <a:picLocks noChangeAspect="1"/>
          </xdr:cNvPicPr>
        </xdr:nvPicPr>
        <xdr:blipFill>
          <a:blip xmlns:r="http://schemas.openxmlformats.org/officeDocument/2006/relationships" r:embed="rId4" cstate="print"/>
          <a:stretch>
            <a:fillRect/>
          </a:stretch>
        </xdr:blipFill>
        <xdr:spPr>
          <a:xfrm>
            <a:off x="2715984" y="1177468"/>
            <a:ext cx="228615" cy="77699"/>
          </a:xfrm>
          <a:prstGeom prst="rect">
            <a:avLst/>
          </a:prstGeom>
        </xdr:spPr>
      </xdr:pic>
      <xdr:pic macro="[0]!k">
        <xdr:nvPicPr>
          <xdr:cNvPr id="39" name="ui_spd_CatMultiples" descr="scroll_down_small.png">
            <a:extLst>
              <a:ext uri="{FF2B5EF4-FFF2-40B4-BE49-F238E27FC236}">
                <a16:creationId xmlns:a16="http://schemas.microsoft.com/office/drawing/2014/main" id="{00000000-0008-0000-2600-000027000000}"/>
              </a:ext>
            </a:extLst>
          </xdr:cNvPr>
          <xdr:cNvPicPr>
            <a:picLocks noChangeAspect="1"/>
          </xdr:cNvPicPr>
        </xdr:nvPicPr>
        <xdr:blipFill>
          <a:blip xmlns:r="http://schemas.openxmlformats.org/officeDocument/2006/relationships" r:embed="rId5" cstate="print"/>
          <a:stretch>
            <a:fillRect/>
          </a:stretch>
        </xdr:blipFill>
        <xdr:spPr>
          <a:xfrm>
            <a:off x="2715984" y="1282458"/>
            <a:ext cx="228604" cy="56388"/>
          </a:xfrm>
          <a:prstGeom prst="rect">
            <a:avLst/>
          </a:prstGeom>
        </xdr:spPr>
      </xdr:pic>
      <mc:AlternateContent xmlns:mc="http://schemas.openxmlformats.org/markup-compatibility/2006">
        <mc:Choice xmlns:a14="http://schemas.microsoft.com/office/drawing/2010/main" Requires="a14">
          <xdr:sp macro="" textlink="">
            <xdr:nvSpPr>
              <xdr:cNvPr id="6714956" name="ui_cnt_Sort_Order_1" hidden="1">
                <a:extLst>
                  <a:ext uri="{63B3BB69-23CF-44E3-9099-C40C66FF867C}">
                    <a14:compatExt spid="_x0000_s6714956"/>
                  </a:ext>
                  <a:ext uri="{FF2B5EF4-FFF2-40B4-BE49-F238E27FC236}">
                    <a16:creationId xmlns:a16="http://schemas.microsoft.com/office/drawing/2014/main" id="{00000000-0008-0000-2600-00004C766600}"/>
                  </a:ext>
                </a:extLst>
              </xdr:cNvPr>
              <xdr:cNvSpPr/>
            </xdr:nvSpPr>
            <xdr:spPr bwMode="auto">
              <a:xfrm>
                <a:off x="3096984" y="1177468"/>
                <a:ext cx="1801585" cy="212272"/>
              </a:xfrm>
              <a:prstGeom prst="rect">
                <a:avLst/>
              </a:prstGeom>
              <a:noFill/>
              <a:ln w="9525">
                <a:miter lim="800000"/>
                <a:headEnd/>
                <a:tailEnd/>
              </a:ln>
              <a:extLst>
                <a:ext uri="{909E8E84-426E-40DD-AFC4-6F175D3DCCD1}">
                  <a14:hiddenFill>
                    <a:noFill/>
                  </a14:hiddenFill>
                </a:ext>
              </a:extLst>
            </xdr:spPr>
          </xdr:sp>
        </mc:Choice>
        <mc:Fallback/>
      </mc:AlternateContent>
      <mc:AlternateContent xmlns:mc="http://schemas.openxmlformats.org/markup-compatibility/2006">
        <mc:Choice xmlns:a14="http://schemas.microsoft.com/office/drawing/2010/main" Requires="a14">
          <xdr:sp macro="" textlink="">
            <xdr:nvSpPr>
              <xdr:cNvPr id="6714958" name="ui_cnt_GroupHighlight" hidden="1">
                <a:extLst>
                  <a:ext uri="{63B3BB69-23CF-44E3-9099-C40C66FF867C}">
                    <a14:compatExt spid="_x0000_s6714958"/>
                  </a:ext>
                  <a:ext uri="{FF2B5EF4-FFF2-40B4-BE49-F238E27FC236}">
                    <a16:creationId xmlns:a16="http://schemas.microsoft.com/office/drawing/2014/main" id="{00000000-0008-0000-2600-00004E766600}"/>
                  </a:ext>
                </a:extLst>
              </xdr:cNvPr>
              <xdr:cNvSpPr/>
            </xdr:nvSpPr>
            <xdr:spPr bwMode="auto">
              <a:xfrm>
                <a:off x="5025568" y="1177468"/>
                <a:ext cx="1344385" cy="212272"/>
              </a:xfrm>
              <a:prstGeom prst="rect">
                <a:avLst/>
              </a:prstGeom>
              <a:noFill/>
              <a:ln w="9525">
                <a:miter lim="800000"/>
                <a:headEnd/>
                <a:tailEnd/>
              </a:ln>
              <a:extLst>
                <a:ext uri="{909E8E84-426E-40DD-AFC4-6F175D3DCCD1}">
                  <a14:hiddenFill>
                    <a:noFill/>
                  </a14:hiddenFill>
                </a:ext>
              </a:extLst>
            </xdr:spPr>
          </xdr:sp>
        </mc:Choice>
        <mc:Fallback/>
      </mc:AlternateContent>
      <mc:AlternateContent xmlns:mc="http://schemas.openxmlformats.org/markup-compatibility/2006">
        <mc:Choice xmlns:a14="http://schemas.microsoft.com/office/drawing/2010/main" Requires="a14">
          <xdr:sp macro="" textlink="">
            <xdr:nvSpPr>
              <xdr:cNvPr id="6714960" name="ui_cnt_CountryFltHighlight" hidden="1">
                <a:extLst>
                  <a:ext uri="{63B3BB69-23CF-44E3-9099-C40C66FF867C}">
                    <a14:compatExt spid="_x0000_s6714960"/>
                  </a:ext>
                  <a:ext uri="{FF2B5EF4-FFF2-40B4-BE49-F238E27FC236}">
                    <a16:creationId xmlns:a16="http://schemas.microsoft.com/office/drawing/2014/main" id="{00000000-0008-0000-2600-000050766600}"/>
                  </a:ext>
                </a:extLst>
              </xdr:cNvPr>
              <xdr:cNvSpPr/>
            </xdr:nvSpPr>
            <xdr:spPr bwMode="auto">
              <a:xfrm>
                <a:off x="6496952" y="1177468"/>
                <a:ext cx="1257300" cy="212271"/>
              </a:xfrm>
              <a:prstGeom prst="rect">
                <a:avLst/>
              </a:prstGeom>
              <a:noFill/>
              <a:ln w="9525">
                <a:miter lim="800000"/>
                <a:headEnd/>
                <a:tailEnd/>
              </a:ln>
              <a:extLst>
                <a:ext uri="{909E8E84-426E-40DD-AFC4-6F175D3DCCD1}">
                  <a14:hiddenFill>
                    <a:noFill/>
                  </a14:hiddenFill>
                </a:ext>
              </a:extLst>
            </xdr:spPr>
          </xdr:sp>
        </mc:Choice>
        <mc:Fallback/>
      </mc:AlternateContent>
      <xdr:pic macro="[0]!k">
        <xdr:nvPicPr>
          <xdr:cNvPr id="50" name="ui_cmd_export_xl" descr="xl_icon.gif">
            <a:hlinkClick xmlns:r="http://schemas.openxmlformats.org/officeDocument/2006/relationships" r:id="rId6" tooltip="Export current page as a standalone Excel workbook"/>
            <a:extLst>
              <a:ext uri="{FF2B5EF4-FFF2-40B4-BE49-F238E27FC236}">
                <a16:creationId xmlns:a16="http://schemas.microsoft.com/office/drawing/2014/main" id="{00000000-0008-0000-2600-000032000000}"/>
              </a:ext>
            </a:extLst>
          </xdr:cNvPr>
          <xdr:cNvPicPr>
            <a:picLocks noChangeAspect="1"/>
          </xdr:cNvPicPr>
        </xdr:nvPicPr>
        <xdr:blipFill>
          <a:blip xmlns:r="http://schemas.openxmlformats.org/officeDocument/2006/relationships" r:embed="rId7" cstate="print"/>
          <a:stretch>
            <a:fillRect/>
          </a:stretch>
        </xdr:blipFill>
        <xdr:spPr>
          <a:xfrm>
            <a:off x="11367528" y="361950"/>
            <a:ext cx="519674" cy="190500"/>
          </a:xfrm>
          <a:prstGeom prst="rect">
            <a:avLst/>
          </a:prstGeom>
        </xdr:spPr>
      </xdr:pic>
      <xdr:pic macro="[0]!k">
        <xdr:nvPicPr>
          <xdr:cNvPr id="49" name="ui_cmd_reset_controls">
            <a:hlinkClick xmlns:r="http://schemas.openxmlformats.org/officeDocument/2006/relationships" r:id="rId8" tooltip="Reset all options and controls on this page to the default value."/>
            <a:extLst>
              <a:ext uri="{FF2B5EF4-FFF2-40B4-BE49-F238E27FC236}">
                <a16:creationId xmlns:a16="http://schemas.microsoft.com/office/drawing/2014/main" id="{00000000-0008-0000-26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628209" y="974268"/>
            <a:ext cx="208189" cy="190500"/>
          </a:xfrm>
          <a:prstGeom prst="rect">
            <a:avLst/>
          </a:prstGeom>
        </xdr:spPr>
      </xdr:pic>
      <xdr:pic macro="[0]!k">
        <xdr:nvPicPr>
          <xdr:cNvPr id="47" name="ui_cmd_full_screen">
            <a:hlinkClick xmlns:r="http://schemas.openxmlformats.org/officeDocument/2006/relationships" r:id="rId10" tooltip="Full screen mode (recommended)"/>
            <a:extLst>
              <a:ext uri="{FF2B5EF4-FFF2-40B4-BE49-F238E27FC236}">
                <a16:creationId xmlns:a16="http://schemas.microsoft.com/office/drawing/2014/main" id="{00000000-0008-0000-26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099356" y="361950"/>
            <a:ext cx="217368" cy="190500"/>
          </a:xfrm>
          <a:prstGeom prst="rect">
            <a:avLst/>
          </a:prstGeom>
        </xdr:spPr>
      </xdr:pic>
      <xdr:pic macro="[0]!k">
        <xdr:nvPicPr>
          <xdr:cNvPr id="48" name="ui_cmd_exit_full_screen" hidden="1">
            <a:hlinkClick xmlns:r="http://schemas.openxmlformats.org/officeDocument/2006/relationships" r:id="rId12" tooltip="Leave full screen mode"/>
            <a:extLst>
              <a:ext uri="{FF2B5EF4-FFF2-40B4-BE49-F238E27FC236}">
                <a16:creationId xmlns:a16="http://schemas.microsoft.com/office/drawing/2014/main" id="{00000000-0008-0000-2600-00003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099356" y="361950"/>
            <a:ext cx="209038" cy="190500"/>
          </a:xfrm>
          <a:prstGeom prst="rect">
            <a:avLst/>
          </a:prstGeom>
        </xdr:spPr>
      </xdr:pic>
    </xdr:grpSp>
    <xdr:clientData fPrintsWithSheet="0"/>
  </xdr:twoCellAnchor>
  <xdr:twoCellAnchor>
    <xdr:from>
      <xdr:col>7</xdr:col>
      <xdr:colOff>0</xdr:colOff>
      <xdr:row>74</xdr:row>
      <xdr:rowOff>0</xdr:rowOff>
    </xdr:from>
    <xdr:to>
      <xdr:col>19</xdr:col>
      <xdr:colOff>503464</xdr:colOff>
      <xdr:row>75</xdr:row>
      <xdr:rowOff>0</xdr:rowOff>
    </xdr:to>
    <xdr:sp macro="k" textlink="">
      <xdr:nvSpPr>
        <xdr:cNvPr id="55" name="go_top">
          <a:extLst>
            <a:ext uri="{FF2B5EF4-FFF2-40B4-BE49-F238E27FC236}">
              <a16:creationId xmlns:a16="http://schemas.microsoft.com/office/drawing/2014/main" id="{00000000-0008-0000-2600-000037000000}"/>
            </a:ext>
          </a:extLst>
        </xdr:cNvPr>
        <xdr:cNvSpPr txBox="1"/>
      </xdr:nvSpPr>
      <xdr:spPr>
        <a:xfrm>
          <a:off x="250371" y="15087600"/>
          <a:ext cx="1015093" cy="185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none" strike="noStrike" baseline="0">
              <a:solidFill>
                <a:srgbClr val="0070C0"/>
              </a:solidFill>
              <a:latin typeface="+mn-lt"/>
            </a:rPr>
            <a:t>↑ Top of page</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31</xdr:col>
      <xdr:colOff>5443</xdr:colOff>
      <xdr:row>15</xdr:row>
      <xdr:rowOff>201384</xdr:rowOff>
    </xdr:from>
    <xdr:to>
      <xdr:col>35</xdr:col>
      <xdr:colOff>146958</xdr:colOff>
      <xdr:row>65</xdr:row>
      <xdr:rowOff>195942</xdr:rowOff>
    </xdr:to>
    <xdr:graphicFrame macro="">
      <xdr:nvGraphicFramePr>
        <xdr:cNvPr id="2" name="Chart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56762</xdr:colOff>
      <xdr:row>17</xdr:row>
      <xdr:rowOff>28575</xdr:rowOff>
    </xdr:from>
    <xdr:to>
      <xdr:col>83</xdr:col>
      <xdr:colOff>28186</xdr:colOff>
      <xdr:row>36</xdr:row>
      <xdr:rowOff>152400</xdr:rowOff>
    </xdr:to>
    <xdr:grpSp>
      <xdr:nvGrpSpPr>
        <xdr:cNvPr id="3" name="Group 2">
          <a:extLst>
            <a:ext uri="{FF2B5EF4-FFF2-40B4-BE49-F238E27FC236}">
              <a16:creationId xmlns:a16="http://schemas.microsoft.com/office/drawing/2014/main" id="{00000000-0008-0000-2700-000003000000}"/>
            </a:ext>
          </a:extLst>
        </xdr:cNvPr>
        <xdr:cNvGrpSpPr/>
      </xdr:nvGrpSpPr>
      <xdr:grpSpPr>
        <a:xfrm>
          <a:off x="7938019" y="3952875"/>
          <a:ext cx="8592910" cy="3950154"/>
          <a:chOff x="609600" y="762000"/>
          <a:chExt cx="11439525" cy="4421407"/>
        </a:xfrm>
        <a:solidFill>
          <a:schemeClr val="accent1">
            <a:lumMod val="20000"/>
            <a:lumOff val="80000"/>
          </a:schemeClr>
        </a:solidFill>
      </xdr:grpSpPr>
      <xdr:sp macro="" textlink="">
        <xdr:nvSpPr>
          <xdr:cNvPr id="4" name="NCS">
            <a:extLst>
              <a:ext uri="{FF2B5EF4-FFF2-40B4-BE49-F238E27FC236}">
                <a16:creationId xmlns:a16="http://schemas.microsoft.com/office/drawing/2014/main" id="{00000000-0008-0000-2700-000004000000}"/>
              </a:ext>
            </a:extLst>
          </xdr:cNvPr>
          <xdr:cNvSpPr/>
        </xdr:nvSpPr>
        <xdr:spPr>
          <a:xfrm>
            <a:off x="7369463" y="2285158"/>
            <a:ext cx="58618" cy="21315"/>
          </a:xfrm>
          <a:custGeom>
            <a:avLst/>
            <a:gdLst/>
            <a:ahLst/>
            <a:cxnLst/>
            <a:rect l="0" t="0" r="0" b="0"/>
            <a:pathLst>
              <a:path w="58569" h="21315">
                <a:moveTo>
                  <a:pt x="0" y="16879"/>
                </a:moveTo>
                <a:lnTo>
                  <a:pt x="2244" y="16704"/>
                </a:lnTo>
                <a:lnTo>
                  <a:pt x="6832" y="9046"/>
                </a:lnTo>
                <a:lnTo>
                  <a:pt x="29698" y="9474"/>
                </a:lnTo>
                <a:lnTo>
                  <a:pt x="58568" y="0"/>
                </a:lnTo>
                <a:lnTo>
                  <a:pt x="37115" y="13519"/>
                </a:lnTo>
                <a:lnTo>
                  <a:pt x="39427" y="19466"/>
                </a:lnTo>
                <a:lnTo>
                  <a:pt x="36023" y="18352"/>
                </a:lnTo>
                <a:lnTo>
                  <a:pt x="29958" y="20755"/>
                </a:lnTo>
                <a:lnTo>
                  <a:pt x="25206" y="20095"/>
                </a:lnTo>
                <a:lnTo>
                  <a:pt x="23621" y="21314"/>
                </a:lnTo>
                <a:lnTo>
                  <a:pt x="22990" y="18104"/>
                </a:lnTo>
                <a:lnTo>
                  <a:pt x="20700" y="16158"/>
                </a:lnTo>
                <a:lnTo>
                  <a:pt x="14578" y="15827"/>
                </a:lnTo>
                <a:lnTo>
                  <a:pt x="5962" y="18536"/>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 name="FK_">
            <a:extLst>
              <a:ext uri="{FF2B5EF4-FFF2-40B4-BE49-F238E27FC236}">
                <a16:creationId xmlns:a16="http://schemas.microsoft.com/office/drawing/2014/main" id="{00000000-0008-0000-2700-000005000000}"/>
              </a:ext>
            </a:extLst>
          </xdr:cNvPr>
          <xdr:cNvSpPr/>
        </xdr:nvSpPr>
        <xdr:spPr>
          <a:xfrm>
            <a:off x="4384643" y="5040157"/>
            <a:ext cx="109629" cy="38101"/>
          </a:xfrm>
          <a:custGeom>
            <a:avLst/>
            <a:gdLst/>
            <a:ahLst/>
            <a:cxnLst/>
            <a:rect l="0" t="0" r="0" b="0"/>
            <a:pathLst>
              <a:path w="109538" h="38101">
                <a:moveTo>
                  <a:pt x="0" y="23812"/>
                </a:moveTo>
                <a:lnTo>
                  <a:pt x="38100" y="4762"/>
                </a:lnTo>
                <a:lnTo>
                  <a:pt x="65087" y="12700"/>
                </a:lnTo>
                <a:lnTo>
                  <a:pt x="84137" y="0"/>
                </a:lnTo>
                <a:lnTo>
                  <a:pt x="109537" y="14287"/>
                </a:lnTo>
                <a:lnTo>
                  <a:pt x="100012" y="25400"/>
                </a:lnTo>
                <a:lnTo>
                  <a:pt x="57150" y="34925"/>
                </a:lnTo>
                <a:lnTo>
                  <a:pt x="42862" y="23812"/>
                </a:lnTo>
                <a:lnTo>
                  <a:pt x="15875" y="3810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GRL">
            <a:extLst>
              <a:ext uri="{FF2B5EF4-FFF2-40B4-BE49-F238E27FC236}">
                <a16:creationId xmlns:a16="http://schemas.microsoft.com/office/drawing/2014/main" id="{00000000-0008-0000-2700-000006000000}"/>
              </a:ext>
            </a:extLst>
          </xdr:cNvPr>
          <xdr:cNvSpPr/>
        </xdr:nvSpPr>
        <xdr:spPr>
          <a:xfrm>
            <a:off x="4000243" y="762000"/>
            <a:ext cx="1941173" cy="749564"/>
          </a:xfrm>
          <a:custGeom>
            <a:avLst/>
            <a:gdLst/>
            <a:ahLst/>
            <a:cxnLst/>
            <a:rect l="0" t="0" r="0" b="0"/>
            <a:pathLst>
              <a:path w="1939557" h="749564">
                <a:moveTo>
                  <a:pt x="842429" y="32292"/>
                </a:moveTo>
                <a:lnTo>
                  <a:pt x="949026" y="13331"/>
                </a:lnTo>
                <a:lnTo>
                  <a:pt x="1060434" y="14760"/>
                </a:lnTo>
                <a:lnTo>
                  <a:pt x="1100928" y="3051"/>
                </a:lnTo>
                <a:lnTo>
                  <a:pt x="1213139" y="0"/>
                </a:lnTo>
                <a:lnTo>
                  <a:pt x="1466739" y="3981"/>
                </a:lnTo>
                <a:lnTo>
                  <a:pt x="1665338" y="29159"/>
                </a:lnTo>
                <a:lnTo>
                  <a:pt x="1606715" y="41382"/>
                </a:lnTo>
                <a:lnTo>
                  <a:pt x="1485249" y="42779"/>
                </a:lnTo>
                <a:lnTo>
                  <a:pt x="1314355" y="45881"/>
                </a:lnTo>
                <a:lnTo>
                  <a:pt x="1330341" y="51549"/>
                </a:lnTo>
                <a:lnTo>
                  <a:pt x="1442729" y="48047"/>
                </a:lnTo>
                <a:lnTo>
                  <a:pt x="1538367" y="58994"/>
                </a:lnTo>
                <a:lnTo>
                  <a:pt x="1600000" y="49272"/>
                </a:lnTo>
                <a:lnTo>
                  <a:pt x="1626400" y="60661"/>
                </a:lnTo>
                <a:lnTo>
                  <a:pt x="1591545" y="79133"/>
                </a:lnTo>
                <a:lnTo>
                  <a:pt x="1672380" y="67325"/>
                </a:lnTo>
                <a:lnTo>
                  <a:pt x="1826539" y="55010"/>
                </a:lnTo>
                <a:lnTo>
                  <a:pt x="1921726" y="61156"/>
                </a:lnTo>
                <a:lnTo>
                  <a:pt x="1939556" y="74726"/>
                </a:lnTo>
                <a:lnTo>
                  <a:pt x="1810121" y="97316"/>
                </a:lnTo>
                <a:lnTo>
                  <a:pt x="1792192" y="104619"/>
                </a:lnTo>
                <a:lnTo>
                  <a:pt x="1690713" y="110108"/>
                </a:lnTo>
                <a:lnTo>
                  <a:pt x="1764239" y="111633"/>
                </a:lnTo>
                <a:lnTo>
                  <a:pt x="1727105" y="134781"/>
                </a:lnTo>
                <a:lnTo>
                  <a:pt x="1701546" y="155378"/>
                </a:lnTo>
                <a:lnTo>
                  <a:pt x="1702546" y="190706"/>
                </a:lnTo>
                <a:lnTo>
                  <a:pt x="1740665" y="211435"/>
                </a:lnTo>
                <a:lnTo>
                  <a:pt x="1691068" y="212750"/>
                </a:lnTo>
                <a:lnTo>
                  <a:pt x="1638859" y="222796"/>
                </a:lnTo>
                <a:lnTo>
                  <a:pt x="1697447" y="239617"/>
                </a:lnTo>
                <a:lnTo>
                  <a:pt x="1704911" y="266595"/>
                </a:lnTo>
                <a:lnTo>
                  <a:pt x="1670964" y="269532"/>
                </a:lnTo>
                <a:lnTo>
                  <a:pt x="1712093" y="296846"/>
                </a:lnTo>
                <a:lnTo>
                  <a:pt x="1641564" y="299126"/>
                </a:lnTo>
                <a:lnTo>
                  <a:pt x="1678384" y="312038"/>
                </a:lnTo>
                <a:lnTo>
                  <a:pt x="1667976" y="323237"/>
                </a:lnTo>
                <a:lnTo>
                  <a:pt x="1623212" y="328152"/>
                </a:lnTo>
                <a:lnTo>
                  <a:pt x="1578962" y="328247"/>
                </a:lnTo>
                <a:lnTo>
                  <a:pt x="1618739" y="349751"/>
                </a:lnTo>
                <a:lnTo>
                  <a:pt x="1619170" y="363886"/>
                </a:lnTo>
                <a:lnTo>
                  <a:pt x="1556344" y="350748"/>
                </a:lnTo>
                <a:lnTo>
                  <a:pt x="1540002" y="359248"/>
                </a:lnTo>
                <a:lnTo>
                  <a:pt x="1582864" y="367185"/>
                </a:lnTo>
                <a:lnTo>
                  <a:pt x="1624463" y="386591"/>
                </a:lnTo>
                <a:lnTo>
                  <a:pt x="1636503" y="412159"/>
                </a:lnTo>
                <a:lnTo>
                  <a:pt x="1579912" y="418277"/>
                </a:lnTo>
                <a:lnTo>
                  <a:pt x="1555432" y="406038"/>
                </a:lnTo>
                <a:lnTo>
                  <a:pt x="1516177" y="387800"/>
                </a:lnTo>
                <a:lnTo>
                  <a:pt x="1527035" y="409346"/>
                </a:lnTo>
                <a:lnTo>
                  <a:pt x="1490160" y="426040"/>
                </a:lnTo>
                <a:lnTo>
                  <a:pt x="1573834" y="427389"/>
                </a:lnTo>
                <a:lnTo>
                  <a:pt x="1617599" y="429120"/>
                </a:lnTo>
                <a:lnTo>
                  <a:pt x="1532499" y="456765"/>
                </a:lnTo>
                <a:lnTo>
                  <a:pt x="1446200" y="481793"/>
                </a:lnTo>
                <a:lnTo>
                  <a:pt x="1353289" y="492763"/>
                </a:lnTo>
                <a:lnTo>
                  <a:pt x="1318269" y="492896"/>
                </a:lnTo>
                <a:lnTo>
                  <a:pt x="1285427" y="505129"/>
                </a:lnTo>
                <a:lnTo>
                  <a:pt x="1241266" y="538651"/>
                </a:lnTo>
                <a:lnTo>
                  <a:pt x="1172978" y="560901"/>
                </a:lnTo>
                <a:lnTo>
                  <a:pt x="1151039" y="562209"/>
                </a:lnTo>
                <a:lnTo>
                  <a:pt x="1108770" y="570007"/>
                </a:lnTo>
                <a:lnTo>
                  <a:pt x="1063142" y="577424"/>
                </a:lnTo>
                <a:lnTo>
                  <a:pt x="1035939" y="597061"/>
                </a:lnTo>
                <a:lnTo>
                  <a:pt x="1035501" y="619318"/>
                </a:lnTo>
                <a:lnTo>
                  <a:pt x="1019438" y="640162"/>
                </a:lnTo>
                <a:lnTo>
                  <a:pt x="967664" y="665568"/>
                </a:lnTo>
                <a:lnTo>
                  <a:pt x="980449" y="690378"/>
                </a:lnTo>
                <a:lnTo>
                  <a:pt x="966178" y="716632"/>
                </a:lnTo>
                <a:lnTo>
                  <a:pt x="949915" y="747629"/>
                </a:lnTo>
                <a:lnTo>
                  <a:pt x="905176" y="749563"/>
                </a:lnTo>
                <a:lnTo>
                  <a:pt x="858310" y="723639"/>
                </a:lnTo>
                <a:lnTo>
                  <a:pt x="794832" y="723477"/>
                </a:lnTo>
                <a:lnTo>
                  <a:pt x="764028" y="706066"/>
                </a:lnTo>
                <a:lnTo>
                  <a:pt x="742842" y="675058"/>
                </a:lnTo>
                <a:lnTo>
                  <a:pt x="687825" y="635577"/>
                </a:lnTo>
                <a:lnTo>
                  <a:pt x="671731" y="614892"/>
                </a:lnTo>
                <a:lnTo>
                  <a:pt x="667397" y="586371"/>
                </a:lnTo>
                <a:lnTo>
                  <a:pt x="623421" y="557069"/>
                </a:lnTo>
                <a:lnTo>
                  <a:pt x="634854" y="533673"/>
                </a:lnTo>
                <a:lnTo>
                  <a:pt x="613660" y="522481"/>
                </a:lnTo>
                <a:lnTo>
                  <a:pt x="645052" y="485378"/>
                </a:lnTo>
                <a:lnTo>
                  <a:pt x="692835" y="473567"/>
                </a:lnTo>
                <a:lnTo>
                  <a:pt x="705377" y="460289"/>
                </a:lnTo>
                <a:lnTo>
                  <a:pt x="712019" y="435483"/>
                </a:lnTo>
                <a:lnTo>
                  <a:pt x="675748" y="446728"/>
                </a:lnTo>
                <a:lnTo>
                  <a:pt x="658466" y="451450"/>
                </a:lnTo>
                <a:lnTo>
                  <a:pt x="629942" y="455977"/>
                </a:lnTo>
                <a:lnTo>
                  <a:pt x="590982" y="445614"/>
                </a:lnTo>
                <a:lnTo>
                  <a:pt x="588867" y="424046"/>
                </a:lnTo>
                <a:lnTo>
                  <a:pt x="601288" y="407155"/>
                </a:lnTo>
                <a:lnTo>
                  <a:pt x="630736" y="406695"/>
                </a:lnTo>
                <a:lnTo>
                  <a:pt x="695544" y="415140"/>
                </a:lnTo>
                <a:lnTo>
                  <a:pt x="640956" y="394979"/>
                </a:lnTo>
                <a:lnTo>
                  <a:pt x="612546" y="384108"/>
                </a:lnTo>
                <a:lnTo>
                  <a:pt x="580930" y="388575"/>
                </a:lnTo>
                <a:lnTo>
                  <a:pt x="554428" y="380704"/>
                </a:lnTo>
                <a:lnTo>
                  <a:pt x="589877" y="351116"/>
                </a:lnTo>
                <a:lnTo>
                  <a:pt x="570570" y="339296"/>
                </a:lnTo>
                <a:lnTo>
                  <a:pt x="545370" y="317350"/>
                </a:lnTo>
                <a:lnTo>
                  <a:pt x="507155" y="283679"/>
                </a:lnTo>
                <a:lnTo>
                  <a:pt x="466731" y="271351"/>
                </a:lnTo>
                <a:lnTo>
                  <a:pt x="467099" y="258057"/>
                </a:lnTo>
                <a:lnTo>
                  <a:pt x="381901" y="239480"/>
                </a:lnTo>
                <a:lnTo>
                  <a:pt x="314496" y="237169"/>
                </a:lnTo>
                <a:lnTo>
                  <a:pt x="229638" y="238448"/>
                </a:lnTo>
                <a:lnTo>
                  <a:pt x="152165" y="240782"/>
                </a:lnTo>
                <a:lnTo>
                  <a:pt x="115319" y="230673"/>
                </a:lnTo>
                <a:lnTo>
                  <a:pt x="60147" y="210708"/>
                </a:lnTo>
                <a:lnTo>
                  <a:pt x="143519" y="200723"/>
                </a:lnTo>
                <a:lnTo>
                  <a:pt x="207422" y="199043"/>
                </a:lnTo>
                <a:lnTo>
                  <a:pt x="71568" y="190792"/>
                </a:lnTo>
                <a:lnTo>
                  <a:pt x="0" y="177828"/>
                </a:lnTo>
                <a:lnTo>
                  <a:pt x="4369" y="165493"/>
                </a:lnTo>
                <a:lnTo>
                  <a:pt x="124571" y="150215"/>
                </a:lnTo>
                <a:lnTo>
                  <a:pt x="240865" y="134959"/>
                </a:lnTo>
                <a:lnTo>
                  <a:pt x="253146" y="123412"/>
                </a:lnTo>
                <a:lnTo>
                  <a:pt x="167449" y="112010"/>
                </a:lnTo>
                <a:lnTo>
                  <a:pt x="195126" y="99355"/>
                </a:lnTo>
                <a:lnTo>
                  <a:pt x="305044" y="77187"/>
                </a:lnTo>
                <a:lnTo>
                  <a:pt x="351237" y="73786"/>
                </a:lnTo>
                <a:lnTo>
                  <a:pt x="338004" y="59521"/>
                </a:lnTo>
                <a:lnTo>
                  <a:pt x="413210" y="51165"/>
                </a:lnTo>
                <a:lnTo>
                  <a:pt x="510845" y="46177"/>
                </a:lnTo>
                <a:lnTo>
                  <a:pt x="608412" y="45894"/>
                </a:lnTo>
                <a:lnTo>
                  <a:pt x="643055" y="55778"/>
                </a:lnTo>
                <a:lnTo>
                  <a:pt x="727278" y="38299"/>
                </a:lnTo>
                <a:lnTo>
                  <a:pt x="803056" y="50174"/>
                </a:lnTo>
                <a:lnTo>
                  <a:pt x="847636" y="52679"/>
                </a:lnTo>
                <a:lnTo>
                  <a:pt x="913574" y="63004"/>
                </a:lnTo>
                <a:lnTo>
                  <a:pt x="838082" y="45888"/>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KSV">
            <a:extLst>
              <a:ext uri="{FF2B5EF4-FFF2-40B4-BE49-F238E27FC236}">
                <a16:creationId xmlns:a16="http://schemas.microsoft.com/office/drawing/2014/main" id="{00000000-0008-0000-2700-000007000000}"/>
              </a:ext>
            </a:extLst>
          </xdr:cNvPr>
          <xdr:cNvSpPr/>
        </xdr:nvSpPr>
        <xdr:spPr>
          <a:xfrm>
            <a:off x="6967137" y="2043842"/>
            <a:ext cx="54161" cy="45245"/>
          </a:xfrm>
          <a:custGeom>
            <a:avLst/>
            <a:gdLst/>
            <a:ahLst/>
            <a:cxnLst/>
            <a:rect l="0" t="0" r="0" b="0"/>
            <a:pathLst>
              <a:path w="54116" h="45245">
                <a:moveTo>
                  <a:pt x="21956" y="38742"/>
                </a:moveTo>
                <a:lnTo>
                  <a:pt x="20530" y="45244"/>
                </a:lnTo>
                <a:lnTo>
                  <a:pt x="16495" y="44980"/>
                </a:lnTo>
                <a:lnTo>
                  <a:pt x="14361" y="33471"/>
                </a:lnTo>
                <a:lnTo>
                  <a:pt x="6763" y="30220"/>
                </a:lnTo>
                <a:lnTo>
                  <a:pt x="0" y="21701"/>
                </a:lnTo>
                <a:lnTo>
                  <a:pt x="5934" y="14583"/>
                </a:lnTo>
                <a:lnTo>
                  <a:pt x="13529" y="12300"/>
                </a:lnTo>
                <a:lnTo>
                  <a:pt x="17920" y="1759"/>
                </a:lnTo>
                <a:lnTo>
                  <a:pt x="23616" y="0"/>
                </a:lnTo>
                <a:lnTo>
                  <a:pt x="28124" y="4483"/>
                </a:lnTo>
                <a:lnTo>
                  <a:pt x="34059" y="6458"/>
                </a:lnTo>
                <a:lnTo>
                  <a:pt x="38211" y="11510"/>
                </a:lnTo>
                <a:lnTo>
                  <a:pt x="43434" y="13005"/>
                </a:lnTo>
                <a:lnTo>
                  <a:pt x="49603" y="18888"/>
                </a:lnTo>
                <a:lnTo>
                  <a:pt x="54115" y="18714"/>
                </a:lnTo>
                <a:lnTo>
                  <a:pt x="50552" y="26445"/>
                </a:lnTo>
                <a:lnTo>
                  <a:pt x="46756" y="30220"/>
                </a:lnTo>
                <a:lnTo>
                  <a:pt x="47813" y="32604"/>
                </a:lnTo>
                <a:lnTo>
                  <a:pt x="40704" y="33824"/>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 name="NC_">
            <a:extLst>
              <a:ext uri="{FF2B5EF4-FFF2-40B4-BE49-F238E27FC236}">
                <a16:creationId xmlns:a16="http://schemas.microsoft.com/office/drawing/2014/main" id="{00000000-0008-0000-2700-000008000000}"/>
              </a:ext>
            </a:extLst>
          </xdr:cNvPr>
          <xdr:cNvSpPr/>
        </xdr:nvSpPr>
        <xdr:spPr>
          <a:xfrm>
            <a:off x="11541640" y="4056084"/>
            <a:ext cx="98203" cy="72849"/>
          </a:xfrm>
          <a:custGeom>
            <a:avLst/>
            <a:gdLst/>
            <a:ahLst/>
            <a:cxnLst/>
            <a:rect l="0" t="0" r="0" b="0"/>
            <a:pathLst>
              <a:path w="98121" h="72849">
                <a:moveTo>
                  <a:pt x="55576" y="30937"/>
                </a:moveTo>
                <a:lnTo>
                  <a:pt x="81611" y="50623"/>
                </a:lnTo>
                <a:lnTo>
                  <a:pt x="98120" y="65228"/>
                </a:lnTo>
                <a:lnTo>
                  <a:pt x="86055" y="72848"/>
                </a:lnTo>
                <a:lnTo>
                  <a:pt x="68583" y="64266"/>
                </a:lnTo>
                <a:lnTo>
                  <a:pt x="45872" y="49975"/>
                </a:lnTo>
                <a:lnTo>
                  <a:pt x="25407" y="33153"/>
                </a:lnTo>
                <a:lnTo>
                  <a:pt x="4394" y="10766"/>
                </a:lnTo>
                <a:lnTo>
                  <a:pt x="0" y="0"/>
                </a:lnTo>
                <a:lnTo>
                  <a:pt x="13666" y="457"/>
                </a:lnTo>
                <a:lnTo>
                  <a:pt x="31445" y="11253"/>
                </a:lnTo>
                <a:lnTo>
                  <a:pt x="45416" y="22048"/>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 name="PRI">
            <a:extLst>
              <a:ext uri="{FF2B5EF4-FFF2-40B4-BE49-F238E27FC236}">
                <a16:creationId xmlns:a16="http://schemas.microsoft.com/office/drawing/2014/main" id="{00000000-0008-0000-2700-000009000000}"/>
              </a:ext>
            </a:extLst>
          </xdr:cNvPr>
          <xdr:cNvSpPr/>
        </xdr:nvSpPr>
        <xdr:spPr>
          <a:xfrm>
            <a:off x="4192636" y="2829702"/>
            <a:ext cx="52477" cy="18226"/>
          </a:xfrm>
          <a:custGeom>
            <a:avLst/>
            <a:gdLst/>
            <a:ahLst/>
            <a:cxnLst/>
            <a:rect l="0" t="0" r="0" b="0"/>
            <a:pathLst>
              <a:path w="52433" h="18226">
                <a:moveTo>
                  <a:pt x="30480" y="184"/>
                </a:moveTo>
                <a:lnTo>
                  <a:pt x="46708" y="2982"/>
                </a:lnTo>
                <a:lnTo>
                  <a:pt x="52432" y="9290"/>
                </a:lnTo>
                <a:lnTo>
                  <a:pt x="44298" y="17295"/>
                </a:lnTo>
                <a:lnTo>
                  <a:pt x="20400" y="17107"/>
                </a:lnTo>
                <a:lnTo>
                  <a:pt x="1848" y="18225"/>
                </a:lnTo>
                <a:lnTo>
                  <a:pt x="0" y="4639"/>
                </a:lnTo>
                <a:lnTo>
                  <a:pt x="4499"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 name="PSE">
            <a:extLst>
              <a:ext uri="{FF2B5EF4-FFF2-40B4-BE49-F238E27FC236}">
                <a16:creationId xmlns:a16="http://schemas.microsoft.com/office/drawing/2014/main" id="{00000000-0008-0000-2700-00000A000000}"/>
              </a:ext>
            </a:extLst>
          </xdr:cNvPr>
          <xdr:cNvSpPr/>
        </xdr:nvSpPr>
        <xdr:spPr>
          <a:xfrm>
            <a:off x="7439230" y="2384824"/>
            <a:ext cx="19649" cy="37438"/>
          </a:xfrm>
          <a:custGeom>
            <a:avLst/>
            <a:gdLst/>
            <a:ahLst/>
            <a:cxnLst/>
            <a:rect l="0" t="0" r="0" b="0"/>
            <a:pathLst>
              <a:path w="19633" h="37438">
                <a:moveTo>
                  <a:pt x="19632" y="4398"/>
                </a:moveTo>
                <a:lnTo>
                  <a:pt x="19618" y="23813"/>
                </a:lnTo>
                <a:lnTo>
                  <a:pt x="14930" y="33128"/>
                </a:lnTo>
                <a:lnTo>
                  <a:pt x="0" y="37437"/>
                </a:lnTo>
                <a:lnTo>
                  <a:pt x="1369" y="29074"/>
                </a:lnTo>
                <a:lnTo>
                  <a:pt x="9478" y="24708"/>
                </a:lnTo>
                <a:lnTo>
                  <a:pt x="1499" y="21143"/>
                </a:lnTo>
                <a:lnTo>
                  <a:pt x="8145"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 name="ESH">
            <a:extLst>
              <a:ext uri="{FF2B5EF4-FFF2-40B4-BE49-F238E27FC236}">
                <a16:creationId xmlns:a16="http://schemas.microsoft.com/office/drawing/2014/main" id="{00000000-0008-0000-2700-00000B000000}"/>
              </a:ext>
            </a:extLst>
          </xdr:cNvPr>
          <xdr:cNvSpPr/>
        </xdr:nvSpPr>
        <xdr:spPr>
          <a:xfrm>
            <a:off x="5787147" y="2539641"/>
            <a:ext cx="266870" cy="211348"/>
          </a:xfrm>
          <a:custGeom>
            <a:avLst/>
            <a:gdLst/>
            <a:ahLst/>
            <a:cxnLst/>
            <a:rect l="0" t="0" r="0" b="0"/>
            <a:pathLst>
              <a:path w="266648" h="211348">
                <a:moveTo>
                  <a:pt x="262526" y="17008"/>
                </a:moveTo>
                <a:lnTo>
                  <a:pt x="261798" y="0"/>
                </a:lnTo>
                <a:lnTo>
                  <a:pt x="266631" y="0"/>
                </a:lnTo>
                <a:lnTo>
                  <a:pt x="266647" y="2124"/>
                </a:lnTo>
                <a:lnTo>
                  <a:pt x="266034" y="8277"/>
                </a:lnTo>
                <a:lnTo>
                  <a:pt x="265942" y="56366"/>
                </a:lnTo>
                <a:lnTo>
                  <a:pt x="161735" y="54705"/>
                </a:lnTo>
                <a:lnTo>
                  <a:pt x="162758" y="135947"/>
                </a:lnTo>
                <a:lnTo>
                  <a:pt x="133008" y="138798"/>
                </a:lnTo>
                <a:lnTo>
                  <a:pt x="125242" y="155105"/>
                </a:lnTo>
                <a:lnTo>
                  <a:pt x="131265" y="200955"/>
                </a:lnTo>
                <a:lnTo>
                  <a:pt x="6928" y="200758"/>
                </a:lnTo>
                <a:lnTo>
                  <a:pt x="0" y="211347"/>
                </a:lnTo>
                <a:lnTo>
                  <a:pt x="1366" y="197932"/>
                </a:lnTo>
                <a:lnTo>
                  <a:pt x="1918" y="197983"/>
                </a:lnTo>
                <a:lnTo>
                  <a:pt x="73419" y="195446"/>
                </a:lnTo>
                <a:lnTo>
                  <a:pt x="77236" y="184007"/>
                </a:lnTo>
                <a:lnTo>
                  <a:pt x="90240" y="169742"/>
                </a:lnTo>
                <a:lnTo>
                  <a:pt x="100721" y="125901"/>
                </a:lnTo>
                <a:lnTo>
                  <a:pt x="144857" y="91640"/>
                </a:lnTo>
                <a:lnTo>
                  <a:pt x="159786" y="51609"/>
                </a:lnTo>
                <a:lnTo>
                  <a:pt x="169711" y="49285"/>
                </a:lnTo>
                <a:lnTo>
                  <a:pt x="180048" y="24542"/>
                </a:lnTo>
                <a:lnTo>
                  <a:pt x="206760" y="21133"/>
                </a:lnTo>
                <a:lnTo>
                  <a:pt x="218250" y="25257"/>
                </a:lnTo>
                <a:lnTo>
                  <a:pt x="232668" y="25257"/>
                </a:lnTo>
                <a:lnTo>
                  <a:pt x="242901" y="1803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 name="SOMALILAND">
            <a:extLst>
              <a:ext uri="{FF2B5EF4-FFF2-40B4-BE49-F238E27FC236}">
                <a16:creationId xmlns:a16="http://schemas.microsoft.com/office/drawing/2014/main" id="{00000000-0008-0000-2700-00000C000000}"/>
              </a:ext>
            </a:extLst>
          </xdr:cNvPr>
          <xdr:cNvSpPr/>
        </xdr:nvSpPr>
        <xdr:spPr>
          <a:xfrm>
            <a:off x="7681729" y="3053813"/>
            <a:ext cx="203034" cy="110018"/>
          </a:xfrm>
          <a:custGeom>
            <a:avLst/>
            <a:gdLst/>
            <a:ahLst/>
            <a:cxnLst/>
            <a:rect l="0" t="0" r="0" b="0"/>
            <a:pathLst>
              <a:path w="202865" h="110018">
                <a:moveTo>
                  <a:pt x="202544" y="63827"/>
                </a:moveTo>
                <a:lnTo>
                  <a:pt x="188211" y="83324"/>
                </a:lnTo>
                <a:lnTo>
                  <a:pt x="166072" y="109823"/>
                </a:lnTo>
                <a:lnTo>
                  <a:pt x="139367" y="110017"/>
                </a:lnTo>
                <a:lnTo>
                  <a:pt x="35561" y="72339"/>
                </a:lnTo>
                <a:lnTo>
                  <a:pt x="23438" y="61008"/>
                </a:lnTo>
                <a:lnTo>
                  <a:pt x="11726" y="45723"/>
                </a:lnTo>
                <a:lnTo>
                  <a:pt x="0" y="28238"/>
                </a:lnTo>
                <a:lnTo>
                  <a:pt x="6925" y="16989"/>
                </a:lnTo>
                <a:lnTo>
                  <a:pt x="18621" y="0"/>
                </a:lnTo>
                <a:lnTo>
                  <a:pt x="28953" y="5851"/>
                </a:lnTo>
                <a:lnTo>
                  <a:pt x="35176" y="18980"/>
                </a:lnTo>
                <a:lnTo>
                  <a:pt x="49499" y="32274"/>
                </a:lnTo>
                <a:lnTo>
                  <a:pt x="65263" y="32379"/>
                </a:lnTo>
                <a:lnTo>
                  <a:pt x="95190" y="24257"/>
                </a:lnTo>
                <a:lnTo>
                  <a:pt x="129750" y="20495"/>
                </a:lnTo>
                <a:lnTo>
                  <a:pt x="157700" y="10630"/>
                </a:lnTo>
                <a:lnTo>
                  <a:pt x="173445" y="8538"/>
                </a:lnTo>
                <a:lnTo>
                  <a:pt x="184786" y="2746"/>
                </a:lnTo>
                <a:lnTo>
                  <a:pt x="202864" y="1632"/>
                </a:lnTo>
                <a:lnTo>
                  <a:pt x="202667" y="2150"/>
                </a:lnTo>
                <a:lnTo>
                  <a:pt x="202556" y="15231"/>
                </a:lnTo>
                <a:lnTo>
                  <a:pt x="202547" y="4726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 name="TLS">
            <a:extLst>
              <a:ext uri="{FF2B5EF4-FFF2-40B4-BE49-F238E27FC236}">
                <a16:creationId xmlns:a16="http://schemas.microsoft.com/office/drawing/2014/main" id="{00000000-0008-0000-2700-00000D000000}"/>
              </a:ext>
            </a:extLst>
          </xdr:cNvPr>
          <xdr:cNvSpPr/>
        </xdr:nvSpPr>
        <xdr:spPr>
          <a:xfrm>
            <a:off x="10300424" y="3680409"/>
            <a:ext cx="75222" cy="35558"/>
          </a:xfrm>
          <a:custGeom>
            <a:avLst/>
            <a:gdLst/>
            <a:ahLst/>
            <a:cxnLst/>
            <a:rect l="0" t="0" r="0" b="0"/>
            <a:pathLst>
              <a:path w="75159" h="35558">
                <a:moveTo>
                  <a:pt x="0" y="19669"/>
                </a:moveTo>
                <a:lnTo>
                  <a:pt x="3731" y="12179"/>
                </a:lnTo>
                <a:lnTo>
                  <a:pt x="31064" y="5042"/>
                </a:lnTo>
                <a:lnTo>
                  <a:pt x="53213" y="3965"/>
                </a:lnTo>
                <a:lnTo>
                  <a:pt x="63135" y="0"/>
                </a:lnTo>
                <a:lnTo>
                  <a:pt x="75158" y="3937"/>
                </a:lnTo>
                <a:lnTo>
                  <a:pt x="63477" y="12541"/>
                </a:lnTo>
                <a:lnTo>
                  <a:pt x="30391" y="26438"/>
                </a:lnTo>
                <a:lnTo>
                  <a:pt x="3803" y="35557"/>
                </a:lnTo>
                <a:lnTo>
                  <a:pt x="3216" y="2593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FR_2">
            <a:extLst>
              <a:ext uri="{FF2B5EF4-FFF2-40B4-BE49-F238E27FC236}">
                <a16:creationId xmlns:a16="http://schemas.microsoft.com/office/drawing/2014/main" id="{00000000-0008-0000-2700-00000E000000}"/>
              </a:ext>
            </a:extLst>
          </xdr:cNvPr>
          <xdr:cNvSpPr/>
        </xdr:nvSpPr>
        <xdr:spPr>
          <a:xfrm>
            <a:off x="6600866" y="2052164"/>
            <a:ext cx="32280" cy="51753"/>
          </a:xfrm>
          <a:custGeom>
            <a:avLst/>
            <a:gdLst/>
            <a:ahLst/>
            <a:cxnLst/>
            <a:rect l="0" t="0" r="0" b="0"/>
            <a:pathLst>
              <a:path w="32253" h="51753">
                <a:moveTo>
                  <a:pt x="32252" y="27226"/>
                </a:moveTo>
                <a:lnTo>
                  <a:pt x="21768" y="51752"/>
                </a:lnTo>
                <a:lnTo>
                  <a:pt x="7350" y="45288"/>
                </a:lnTo>
                <a:lnTo>
                  <a:pt x="0" y="23924"/>
                </a:lnTo>
                <a:lnTo>
                  <a:pt x="6407" y="12125"/>
                </a:lnTo>
                <a:lnTo>
                  <a:pt x="26854"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 name="NO_2">
            <a:extLst>
              <a:ext uri="{FF2B5EF4-FFF2-40B4-BE49-F238E27FC236}">
                <a16:creationId xmlns:a16="http://schemas.microsoft.com/office/drawing/2014/main" id="{00000000-0008-0000-2700-00000F000000}"/>
              </a:ext>
            </a:extLst>
          </xdr:cNvPr>
          <xdr:cNvSpPr/>
        </xdr:nvSpPr>
        <xdr:spPr>
          <a:xfrm>
            <a:off x="6987960" y="926788"/>
            <a:ext cx="127047" cy="32069"/>
          </a:xfrm>
          <a:custGeom>
            <a:avLst/>
            <a:gdLst/>
            <a:ahLst/>
            <a:cxnLst/>
            <a:rect l="0" t="0" r="0" b="0"/>
            <a:pathLst>
              <a:path w="126941" h="32069">
                <a:moveTo>
                  <a:pt x="126940" y="19085"/>
                </a:moveTo>
                <a:lnTo>
                  <a:pt x="56017" y="32068"/>
                </a:lnTo>
                <a:lnTo>
                  <a:pt x="0" y="24699"/>
                </a:lnTo>
                <a:lnTo>
                  <a:pt x="21910" y="16507"/>
                </a:lnTo>
                <a:lnTo>
                  <a:pt x="2727" y="6360"/>
                </a:lnTo>
                <a:lnTo>
                  <a:pt x="68526" y="0"/>
                </a:lnTo>
                <a:lnTo>
                  <a:pt x="81131" y="1191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6" name="NO_3">
            <a:extLst>
              <a:ext uri="{FF2B5EF4-FFF2-40B4-BE49-F238E27FC236}">
                <a16:creationId xmlns:a16="http://schemas.microsoft.com/office/drawing/2014/main" id="{00000000-0008-0000-2700-000010000000}"/>
              </a:ext>
            </a:extLst>
          </xdr:cNvPr>
          <xdr:cNvSpPr/>
        </xdr:nvSpPr>
        <xdr:spPr>
          <a:xfrm>
            <a:off x="6661251" y="876115"/>
            <a:ext cx="352697" cy="104157"/>
          </a:xfrm>
          <a:custGeom>
            <a:avLst/>
            <a:gdLst/>
            <a:ahLst/>
            <a:cxnLst/>
            <a:rect l="0" t="0" r="0" b="0"/>
            <a:pathLst>
              <a:path w="352403" h="104157">
                <a:moveTo>
                  <a:pt x="247881" y="11084"/>
                </a:moveTo>
                <a:lnTo>
                  <a:pt x="352402" y="34760"/>
                </a:lnTo>
                <a:lnTo>
                  <a:pt x="272506" y="47254"/>
                </a:lnTo>
                <a:lnTo>
                  <a:pt x="254863" y="70619"/>
                </a:lnTo>
                <a:lnTo>
                  <a:pt x="227009" y="76610"/>
                </a:lnTo>
                <a:lnTo>
                  <a:pt x="211889" y="102918"/>
                </a:lnTo>
                <a:lnTo>
                  <a:pt x="173631" y="104156"/>
                </a:lnTo>
                <a:lnTo>
                  <a:pt x="105349" y="84789"/>
                </a:lnTo>
                <a:lnTo>
                  <a:pt x="134146" y="73508"/>
                </a:lnTo>
                <a:lnTo>
                  <a:pt x="86553" y="64326"/>
                </a:lnTo>
                <a:lnTo>
                  <a:pt x="24694" y="37516"/>
                </a:lnTo>
                <a:lnTo>
                  <a:pt x="0" y="12653"/>
                </a:lnTo>
                <a:lnTo>
                  <a:pt x="86559" y="1283"/>
                </a:lnTo>
                <a:lnTo>
                  <a:pt x="103949" y="12399"/>
                </a:lnTo>
                <a:lnTo>
                  <a:pt x="149170" y="11957"/>
                </a:lnTo>
                <a:lnTo>
                  <a:pt x="161229" y="1105"/>
                </a:lnTo>
                <a:lnTo>
                  <a:pt x="207847"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NO_4">
            <a:extLst>
              <a:ext uri="{FF2B5EF4-FFF2-40B4-BE49-F238E27FC236}">
                <a16:creationId xmlns:a16="http://schemas.microsoft.com/office/drawing/2014/main" id="{00000000-0008-0000-2700-000011000000}"/>
              </a:ext>
            </a:extLst>
          </xdr:cNvPr>
          <xdr:cNvSpPr/>
        </xdr:nvSpPr>
        <xdr:spPr>
          <a:xfrm>
            <a:off x="6881254" y="856869"/>
            <a:ext cx="319021" cy="39913"/>
          </a:xfrm>
          <a:custGeom>
            <a:avLst/>
            <a:gdLst/>
            <a:ahLst/>
            <a:cxnLst/>
            <a:rect l="0" t="0" r="0" b="0"/>
            <a:pathLst>
              <a:path w="318755" h="39913">
                <a:moveTo>
                  <a:pt x="256528" y="7931"/>
                </a:moveTo>
                <a:lnTo>
                  <a:pt x="318754" y="19072"/>
                </a:lnTo>
                <a:lnTo>
                  <a:pt x="271676" y="36172"/>
                </a:lnTo>
                <a:lnTo>
                  <a:pt x="179595" y="39912"/>
                </a:lnTo>
                <a:lnTo>
                  <a:pt x="85954" y="34616"/>
                </a:lnTo>
                <a:lnTo>
                  <a:pt x="80305" y="25866"/>
                </a:lnTo>
                <a:lnTo>
                  <a:pt x="34745" y="25311"/>
                </a:lnTo>
                <a:lnTo>
                  <a:pt x="0" y="10737"/>
                </a:lnTo>
                <a:lnTo>
                  <a:pt x="98045" y="1870"/>
                </a:lnTo>
                <a:lnTo>
                  <a:pt x="144143" y="9505"/>
                </a:lnTo>
                <a:lnTo>
                  <a:pt x="176255"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FR_4">
            <a:extLst>
              <a:ext uri="{FF2B5EF4-FFF2-40B4-BE49-F238E27FC236}">
                <a16:creationId xmlns:a16="http://schemas.microsoft.com/office/drawing/2014/main" id="{00000000-0008-0000-2700-000012000000}"/>
              </a:ext>
            </a:extLst>
          </xdr:cNvPr>
          <xdr:cNvSpPr/>
        </xdr:nvSpPr>
        <xdr:spPr>
          <a:xfrm>
            <a:off x="4596757" y="3234963"/>
            <a:ext cx="91104" cy="117574"/>
          </a:xfrm>
          <a:custGeom>
            <a:avLst/>
            <a:gdLst/>
            <a:ahLst/>
            <a:cxnLst/>
            <a:rect l="0" t="0" r="0" b="0"/>
            <a:pathLst>
              <a:path w="91028" h="117574">
                <a:moveTo>
                  <a:pt x="62497" y="103244"/>
                </a:moveTo>
                <a:lnTo>
                  <a:pt x="50327" y="115303"/>
                </a:lnTo>
                <a:lnTo>
                  <a:pt x="35125" y="117573"/>
                </a:lnTo>
                <a:lnTo>
                  <a:pt x="30798" y="108636"/>
                </a:lnTo>
                <a:lnTo>
                  <a:pt x="23695" y="107308"/>
                </a:lnTo>
                <a:lnTo>
                  <a:pt x="13865" y="115916"/>
                </a:lnTo>
                <a:lnTo>
                  <a:pt x="0" y="109369"/>
                </a:lnTo>
                <a:lnTo>
                  <a:pt x="8052" y="95815"/>
                </a:lnTo>
                <a:lnTo>
                  <a:pt x="10811" y="81353"/>
                </a:lnTo>
                <a:lnTo>
                  <a:pt x="16297" y="67751"/>
                </a:lnTo>
                <a:lnTo>
                  <a:pt x="3978" y="49018"/>
                </a:lnTo>
                <a:lnTo>
                  <a:pt x="1467" y="27295"/>
                </a:lnTo>
                <a:lnTo>
                  <a:pt x="17996" y="0"/>
                </a:lnTo>
                <a:lnTo>
                  <a:pt x="28775" y="3492"/>
                </a:lnTo>
                <a:lnTo>
                  <a:pt x="52156" y="11004"/>
                </a:lnTo>
                <a:lnTo>
                  <a:pt x="85773" y="37804"/>
                </a:lnTo>
                <a:lnTo>
                  <a:pt x="91027" y="50809"/>
                </a:lnTo>
                <a:lnTo>
                  <a:pt x="72247" y="79864"/>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19" name="AUS">
            <a:extLst>
              <a:ext uri="{FF2B5EF4-FFF2-40B4-BE49-F238E27FC236}">
                <a16:creationId xmlns:a16="http://schemas.microsoft.com/office/drawing/2014/main" id="{00000000-0008-0000-2700-000013000000}"/>
              </a:ext>
            </a:extLst>
          </xdr:cNvPr>
          <xdr:cNvGrpSpPr/>
        </xdr:nvGrpSpPr>
        <xdr:grpSpPr>
          <a:xfrm>
            <a:off x="9930872" y="3756447"/>
            <a:ext cx="1278384" cy="1046684"/>
            <a:chOff x="9821512" y="4010447"/>
            <a:chExt cx="1277320" cy="1046684"/>
          </a:xfrm>
          <a:grpFill/>
        </xdr:grpSpPr>
        <xdr:sp macro="" textlink="">
          <xdr:nvSpPr>
            <xdr:cNvPr id="6586915" name="AU_1">
              <a:extLst>
                <a:ext uri="{FF2B5EF4-FFF2-40B4-BE49-F238E27FC236}">
                  <a16:creationId xmlns:a16="http://schemas.microsoft.com/office/drawing/2014/main" id="{00000000-0008-0000-2700-000023826400}"/>
                </a:ext>
              </a:extLst>
            </xdr:cNvPr>
            <xdr:cNvSpPr/>
          </xdr:nvSpPr>
          <xdr:spPr>
            <a:xfrm>
              <a:off x="10817799" y="4964083"/>
              <a:ext cx="115629" cy="93048"/>
            </a:xfrm>
            <a:custGeom>
              <a:avLst/>
              <a:gdLst/>
              <a:ahLst/>
              <a:cxnLst/>
              <a:rect l="0" t="0" r="0" b="0"/>
              <a:pathLst>
                <a:path w="115629" h="93048">
                  <a:moveTo>
                    <a:pt x="21587" y="2810"/>
                  </a:moveTo>
                  <a:lnTo>
                    <a:pt x="52261" y="13770"/>
                  </a:lnTo>
                  <a:lnTo>
                    <a:pt x="69548" y="9414"/>
                  </a:lnTo>
                  <a:lnTo>
                    <a:pt x="94336" y="3312"/>
                  </a:lnTo>
                  <a:lnTo>
                    <a:pt x="113380" y="5442"/>
                  </a:lnTo>
                  <a:lnTo>
                    <a:pt x="115628" y="43129"/>
                  </a:lnTo>
                  <a:lnTo>
                    <a:pt x="104750" y="54071"/>
                  </a:lnTo>
                  <a:lnTo>
                    <a:pt x="101474" y="79614"/>
                  </a:lnTo>
                  <a:lnTo>
                    <a:pt x="90377" y="70920"/>
                  </a:lnTo>
                  <a:lnTo>
                    <a:pt x="68332" y="93047"/>
                  </a:lnTo>
                  <a:lnTo>
                    <a:pt x="61760" y="91342"/>
                  </a:lnTo>
                  <a:lnTo>
                    <a:pt x="42237" y="90351"/>
                  </a:lnTo>
                  <a:lnTo>
                    <a:pt x="22664" y="63177"/>
                  </a:lnTo>
                  <a:lnTo>
                    <a:pt x="18320" y="42215"/>
                  </a:lnTo>
                  <a:lnTo>
                    <a:pt x="0" y="14561"/>
                  </a:lnTo>
                  <a:lnTo>
                    <a:pt x="816"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916" name="AU_2">
              <a:extLst>
                <a:ext uri="{FF2B5EF4-FFF2-40B4-BE49-F238E27FC236}">
                  <a16:creationId xmlns:a16="http://schemas.microsoft.com/office/drawing/2014/main" id="{00000000-0008-0000-2700-000024826400}"/>
                </a:ext>
              </a:extLst>
            </xdr:cNvPr>
            <xdr:cNvSpPr/>
          </xdr:nvSpPr>
          <xdr:spPr>
            <a:xfrm>
              <a:off x="9821512" y="4010447"/>
              <a:ext cx="1277320" cy="900672"/>
            </a:xfrm>
            <a:custGeom>
              <a:avLst/>
              <a:gdLst/>
              <a:ahLst/>
              <a:cxnLst/>
              <a:rect l="0" t="0" r="0" b="0"/>
              <a:pathLst>
                <a:path w="1277320" h="900672">
                  <a:moveTo>
                    <a:pt x="959574" y="98282"/>
                  </a:moveTo>
                  <a:lnTo>
                    <a:pt x="971014" y="123193"/>
                  </a:lnTo>
                  <a:lnTo>
                    <a:pt x="991385" y="111220"/>
                  </a:lnTo>
                  <a:lnTo>
                    <a:pt x="1001900" y="124660"/>
                  </a:lnTo>
                  <a:lnTo>
                    <a:pt x="1017134" y="137058"/>
                  </a:lnTo>
                  <a:lnTo>
                    <a:pt x="1013873" y="151130"/>
                  </a:lnTo>
                  <a:lnTo>
                    <a:pt x="1020646" y="178355"/>
                  </a:lnTo>
                  <a:lnTo>
                    <a:pt x="1025463" y="194205"/>
                  </a:lnTo>
                  <a:lnTo>
                    <a:pt x="1033460" y="198079"/>
                  </a:lnTo>
                  <a:lnTo>
                    <a:pt x="1042077" y="225218"/>
                  </a:lnTo>
                  <a:lnTo>
                    <a:pt x="1039010" y="241677"/>
                  </a:lnTo>
                  <a:lnTo>
                    <a:pt x="1049291" y="263211"/>
                  </a:lnTo>
                  <a:lnTo>
                    <a:pt x="1083695" y="279797"/>
                  </a:lnTo>
                  <a:lnTo>
                    <a:pt x="1106126" y="294884"/>
                  </a:lnTo>
                  <a:lnTo>
                    <a:pt x="1127424" y="308705"/>
                  </a:lnTo>
                  <a:lnTo>
                    <a:pt x="1123268" y="316398"/>
                  </a:lnTo>
                  <a:lnTo>
                    <a:pt x="1141426" y="336305"/>
                  </a:lnTo>
                  <a:lnTo>
                    <a:pt x="1153773" y="370659"/>
                  </a:lnTo>
                  <a:lnTo>
                    <a:pt x="1166445" y="363683"/>
                  </a:lnTo>
                  <a:lnTo>
                    <a:pt x="1179320" y="377440"/>
                  </a:lnTo>
                  <a:lnTo>
                    <a:pt x="1187079" y="372561"/>
                  </a:lnTo>
                  <a:lnTo>
                    <a:pt x="1192550" y="406209"/>
                  </a:lnTo>
                  <a:lnTo>
                    <a:pt x="1215080" y="425707"/>
                  </a:lnTo>
                  <a:lnTo>
                    <a:pt x="1229821" y="437823"/>
                  </a:lnTo>
                  <a:lnTo>
                    <a:pt x="1254640" y="463527"/>
                  </a:lnTo>
                  <a:lnTo>
                    <a:pt x="1263562" y="489045"/>
                  </a:lnTo>
                  <a:lnTo>
                    <a:pt x="1264377" y="507146"/>
                  </a:lnTo>
                  <a:lnTo>
                    <a:pt x="1262187" y="526799"/>
                  </a:lnTo>
                  <a:lnTo>
                    <a:pt x="1277319" y="553780"/>
                  </a:lnTo>
                  <a:lnTo>
                    <a:pt x="1275497" y="581879"/>
                  </a:lnTo>
                  <a:lnTo>
                    <a:pt x="1270004" y="596582"/>
                  </a:lnTo>
                  <a:lnTo>
                    <a:pt x="1261434" y="624903"/>
                  </a:lnTo>
                  <a:lnTo>
                    <a:pt x="1262082" y="643109"/>
                  </a:lnTo>
                  <a:lnTo>
                    <a:pt x="1255796" y="665867"/>
                  </a:lnTo>
                  <a:lnTo>
                    <a:pt x="1241775" y="694747"/>
                  </a:lnTo>
                  <a:lnTo>
                    <a:pt x="1218252" y="710346"/>
                  </a:lnTo>
                  <a:lnTo>
                    <a:pt x="1206659" y="734942"/>
                  </a:lnTo>
                  <a:lnTo>
                    <a:pt x="1196074" y="750640"/>
                  </a:lnTo>
                  <a:lnTo>
                    <a:pt x="1186661" y="778043"/>
                  </a:lnTo>
                  <a:lnTo>
                    <a:pt x="1174408" y="793867"/>
                  </a:lnTo>
                  <a:lnTo>
                    <a:pt x="1166375" y="817626"/>
                  </a:lnTo>
                  <a:lnTo>
                    <a:pt x="1162276" y="839498"/>
                  </a:lnTo>
                  <a:lnTo>
                    <a:pt x="1163901" y="849538"/>
                  </a:lnTo>
                  <a:lnTo>
                    <a:pt x="1145696" y="860568"/>
                  </a:lnTo>
                  <a:lnTo>
                    <a:pt x="1110158" y="861723"/>
                  </a:lnTo>
                  <a:lnTo>
                    <a:pt x="1080856" y="874744"/>
                  </a:lnTo>
                  <a:lnTo>
                    <a:pt x="1066264" y="887041"/>
                  </a:lnTo>
                  <a:lnTo>
                    <a:pt x="1047081" y="900671"/>
                  </a:lnTo>
                  <a:lnTo>
                    <a:pt x="1020785" y="886638"/>
                  </a:lnTo>
                  <a:lnTo>
                    <a:pt x="1001332" y="881037"/>
                  </a:lnTo>
                  <a:lnTo>
                    <a:pt x="1006260" y="864489"/>
                  </a:lnTo>
                  <a:lnTo>
                    <a:pt x="988908" y="870493"/>
                  </a:lnTo>
                  <a:lnTo>
                    <a:pt x="961105" y="893486"/>
                  </a:lnTo>
                  <a:lnTo>
                    <a:pt x="933654" y="884875"/>
                  </a:lnTo>
                  <a:lnTo>
                    <a:pt x="915648" y="879849"/>
                  </a:lnTo>
                  <a:lnTo>
                    <a:pt x="897497" y="877579"/>
                  </a:lnTo>
                  <a:lnTo>
                    <a:pt x="866763" y="868397"/>
                  </a:lnTo>
                  <a:lnTo>
                    <a:pt x="846240" y="848826"/>
                  </a:lnTo>
                  <a:lnTo>
                    <a:pt x="840347" y="824719"/>
                  </a:lnTo>
                  <a:lnTo>
                    <a:pt x="832965" y="808679"/>
                  </a:lnTo>
                  <a:lnTo>
                    <a:pt x="817366" y="795801"/>
                  </a:lnTo>
                  <a:lnTo>
                    <a:pt x="786820" y="791975"/>
                  </a:lnTo>
                  <a:lnTo>
                    <a:pt x="797259" y="776576"/>
                  </a:lnTo>
                  <a:lnTo>
                    <a:pt x="789579" y="752999"/>
                  </a:lnTo>
                  <a:lnTo>
                    <a:pt x="774072" y="774973"/>
                  </a:lnTo>
                  <a:lnTo>
                    <a:pt x="745821" y="780805"/>
                  </a:lnTo>
                  <a:lnTo>
                    <a:pt x="762426" y="763241"/>
                  </a:lnTo>
                  <a:lnTo>
                    <a:pt x="767237" y="744922"/>
                  </a:lnTo>
                  <a:lnTo>
                    <a:pt x="779498" y="729370"/>
                  </a:lnTo>
                  <a:lnTo>
                    <a:pt x="776965" y="705860"/>
                  </a:lnTo>
                  <a:lnTo>
                    <a:pt x="751136" y="732936"/>
                  </a:lnTo>
                  <a:lnTo>
                    <a:pt x="731302" y="743794"/>
                  </a:lnTo>
                  <a:lnTo>
                    <a:pt x="719138" y="769045"/>
                  </a:lnTo>
                  <a:lnTo>
                    <a:pt x="694348" y="755983"/>
                  </a:lnTo>
                  <a:lnTo>
                    <a:pt x="695332" y="739134"/>
                  </a:lnTo>
                  <a:lnTo>
                    <a:pt x="675463" y="716108"/>
                  </a:lnTo>
                  <a:lnTo>
                    <a:pt x="658714" y="704212"/>
                  </a:lnTo>
                  <a:lnTo>
                    <a:pt x="664684" y="696881"/>
                  </a:lnTo>
                  <a:lnTo>
                    <a:pt x="623945" y="677640"/>
                  </a:lnTo>
                  <a:lnTo>
                    <a:pt x="601635" y="676732"/>
                  </a:lnTo>
                  <a:lnTo>
                    <a:pt x="571097" y="661276"/>
                  </a:lnTo>
                  <a:lnTo>
                    <a:pt x="514249" y="664280"/>
                  </a:lnTo>
                  <a:lnTo>
                    <a:pt x="473136" y="675649"/>
                  </a:lnTo>
                  <a:lnTo>
                    <a:pt x="437005" y="686248"/>
                  </a:lnTo>
                  <a:lnTo>
                    <a:pt x="406709" y="684142"/>
                  </a:lnTo>
                  <a:lnTo>
                    <a:pt x="373051" y="700424"/>
                  </a:lnTo>
                  <a:lnTo>
                    <a:pt x="345524" y="707749"/>
                  </a:lnTo>
                  <a:lnTo>
                    <a:pt x="339405" y="724395"/>
                  </a:lnTo>
                  <a:lnTo>
                    <a:pt x="327683" y="737298"/>
                  </a:lnTo>
                  <a:lnTo>
                    <a:pt x="300737" y="738070"/>
                  </a:lnTo>
                  <a:lnTo>
                    <a:pt x="280801" y="740892"/>
                  </a:lnTo>
                  <a:lnTo>
                    <a:pt x="252737" y="735101"/>
                  </a:lnTo>
                  <a:lnTo>
                    <a:pt x="229912" y="738568"/>
                  </a:lnTo>
                  <a:lnTo>
                    <a:pt x="208113" y="740026"/>
                  </a:lnTo>
                  <a:lnTo>
                    <a:pt x="189228" y="756958"/>
                  </a:lnTo>
                  <a:lnTo>
                    <a:pt x="179969" y="755520"/>
                  </a:lnTo>
                  <a:lnTo>
                    <a:pt x="164043" y="764495"/>
                  </a:lnTo>
                  <a:lnTo>
                    <a:pt x="148781" y="774589"/>
                  </a:lnTo>
                  <a:lnTo>
                    <a:pt x="125620" y="773344"/>
                  </a:lnTo>
                  <a:lnTo>
                    <a:pt x="104334" y="773331"/>
                  </a:lnTo>
                  <a:lnTo>
                    <a:pt x="70654" y="753052"/>
                  </a:lnTo>
                  <a:lnTo>
                    <a:pt x="53589" y="747023"/>
                  </a:lnTo>
                  <a:lnTo>
                    <a:pt x="54281" y="728828"/>
                  </a:lnTo>
                  <a:lnTo>
                    <a:pt x="70044" y="724506"/>
                  </a:lnTo>
                  <a:lnTo>
                    <a:pt x="75429" y="717277"/>
                  </a:lnTo>
                  <a:lnTo>
                    <a:pt x="74308" y="705872"/>
                  </a:lnTo>
                  <a:lnTo>
                    <a:pt x="78189" y="683796"/>
                  </a:lnTo>
                  <a:lnTo>
                    <a:pt x="74632" y="664978"/>
                  </a:lnTo>
                  <a:lnTo>
                    <a:pt x="57846" y="632885"/>
                  </a:lnTo>
                  <a:lnTo>
                    <a:pt x="52642" y="614759"/>
                  </a:lnTo>
                  <a:lnTo>
                    <a:pt x="54007" y="596674"/>
                  </a:lnTo>
                  <a:lnTo>
                    <a:pt x="41371" y="576008"/>
                  </a:lnTo>
                  <a:lnTo>
                    <a:pt x="40561" y="566680"/>
                  </a:lnTo>
                  <a:lnTo>
                    <a:pt x="26500" y="554034"/>
                  </a:lnTo>
                  <a:lnTo>
                    <a:pt x="22540" y="529164"/>
                  </a:lnTo>
                  <a:lnTo>
                    <a:pt x="4398" y="504028"/>
                  </a:lnTo>
                  <a:lnTo>
                    <a:pt x="0" y="490483"/>
                  </a:lnTo>
                  <a:lnTo>
                    <a:pt x="13951" y="504215"/>
                  </a:lnTo>
                  <a:lnTo>
                    <a:pt x="3239" y="474761"/>
                  </a:lnTo>
                  <a:lnTo>
                    <a:pt x="18984" y="483965"/>
                  </a:lnTo>
                  <a:lnTo>
                    <a:pt x="28382" y="496259"/>
                  </a:lnTo>
                  <a:lnTo>
                    <a:pt x="27852" y="479999"/>
                  </a:lnTo>
                  <a:lnTo>
                    <a:pt x="12138" y="454999"/>
                  </a:lnTo>
                  <a:lnTo>
                    <a:pt x="9091" y="445001"/>
                  </a:lnTo>
                  <a:lnTo>
                    <a:pt x="1731" y="435502"/>
                  </a:lnTo>
                  <a:lnTo>
                    <a:pt x="5176" y="417138"/>
                  </a:lnTo>
                  <a:lnTo>
                    <a:pt x="11685" y="409321"/>
                  </a:lnTo>
                  <a:lnTo>
                    <a:pt x="16016" y="393440"/>
                  </a:lnTo>
                  <a:lnTo>
                    <a:pt x="12624" y="374882"/>
                  </a:lnTo>
                  <a:lnTo>
                    <a:pt x="25744" y="352034"/>
                  </a:lnTo>
                  <a:lnTo>
                    <a:pt x="28141" y="376215"/>
                  </a:lnTo>
                  <a:lnTo>
                    <a:pt x="41555" y="354371"/>
                  </a:lnTo>
                  <a:lnTo>
                    <a:pt x="67349" y="343757"/>
                  </a:lnTo>
                  <a:lnTo>
                    <a:pt x="82818" y="330215"/>
                  </a:lnTo>
                  <a:lnTo>
                    <a:pt x="107081" y="318563"/>
                  </a:lnTo>
                  <a:lnTo>
                    <a:pt x="121518" y="316084"/>
                  </a:lnTo>
                  <a:lnTo>
                    <a:pt x="130255" y="319999"/>
                  </a:lnTo>
                  <a:lnTo>
                    <a:pt x="155277" y="308165"/>
                  </a:lnTo>
                  <a:lnTo>
                    <a:pt x="174534" y="304644"/>
                  </a:lnTo>
                  <a:lnTo>
                    <a:pt x="179350" y="297688"/>
                  </a:lnTo>
                  <a:lnTo>
                    <a:pt x="187754" y="294789"/>
                  </a:lnTo>
                  <a:lnTo>
                    <a:pt x="205303" y="295538"/>
                  </a:lnTo>
                  <a:lnTo>
                    <a:pt x="238672" y="286242"/>
                  </a:lnTo>
                  <a:lnTo>
                    <a:pt x="255934" y="272148"/>
                  </a:lnTo>
                  <a:lnTo>
                    <a:pt x="264037" y="255178"/>
                  </a:lnTo>
                  <a:lnTo>
                    <a:pt x="282661" y="239058"/>
                  </a:lnTo>
                  <a:lnTo>
                    <a:pt x="284087" y="226390"/>
                  </a:lnTo>
                  <a:lnTo>
                    <a:pt x="284919" y="209131"/>
                  </a:lnTo>
                  <a:lnTo>
                    <a:pt x="307137" y="182150"/>
                  </a:lnTo>
                  <a:lnTo>
                    <a:pt x="320510" y="209562"/>
                  </a:lnTo>
                  <a:lnTo>
                    <a:pt x="334020" y="203225"/>
                  </a:lnTo>
                  <a:lnTo>
                    <a:pt x="322714" y="188223"/>
                  </a:lnTo>
                  <a:lnTo>
                    <a:pt x="332680" y="172818"/>
                  </a:lnTo>
                  <a:lnTo>
                    <a:pt x="346689" y="179695"/>
                  </a:lnTo>
                  <a:lnTo>
                    <a:pt x="350543" y="155540"/>
                  </a:lnTo>
                  <a:lnTo>
                    <a:pt x="367894" y="139919"/>
                  </a:lnTo>
                  <a:lnTo>
                    <a:pt x="375550" y="127387"/>
                  </a:lnTo>
                  <a:lnTo>
                    <a:pt x="391513" y="121980"/>
                  </a:lnTo>
                  <a:lnTo>
                    <a:pt x="392011" y="113109"/>
                  </a:lnTo>
                  <a:lnTo>
                    <a:pt x="405959" y="116811"/>
                  </a:lnTo>
                  <a:lnTo>
                    <a:pt x="406521" y="108832"/>
                  </a:lnTo>
                  <a:lnTo>
                    <a:pt x="420485" y="104286"/>
                  </a:lnTo>
                  <a:lnTo>
                    <a:pt x="435830" y="100006"/>
                  </a:lnTo>
                  <a:lnTo>
                    <a:pt x="459283" y="114576"/>
                  </a:lnTo>
                  <a:lnTo>
                    <a:pt x="476908" y="133381"/>
                  </a:lnTo>
                  <a:lnTo>
                    <a:pt x="496777" y="133598"/>
                  </a:lnTo>
                  <a:lnTo>
                    <a:pt x="516970" y="136576"/>
                  </a:lnTo>
                  <a:lnTo>
                    <a:pt x="510242" y="119142"/>
                  </a:lnTo>
                  <a:lnTo>
                    <a:pt x="525451" y="93678"/>
                  </a:lnTo>
                  <a:lnTo>
                    <a:pt x="539767" y="85382"/>
                  </a:lnTo>
                  <a:lnTo>
                    <a:pt x="534814" y="77448"/>
                  </a:lnTo>
                  <a:lnTo>
                    <a:pt x="548603" y="59315"/>
                  </a:lnTo>
                  <a:lnTo>
                    <a:pt x="567834" y="48114"/>
                  </a:lnTo>
                  <a:lnTo>
                    <a:pt x="584077" y="51889"/>
                  </a:lnTo>
                  <a:lnTo>
                    <a:pt x="610753" y="45904"/>
                  </a:lnTo>
                  <a:lnTo>
                    <a:pt x="610179" y="29680"/>
                  </a:lnTo>
                  <a:lnTo>
                    <a:pt x="586922" y="19227"/>
                  </a:lnTo>
                  <a:lnTo>
                    <a:pt x="603829" y="14614"/>
                  </a:lnTo>
                  <a:lnTo>
                    <a:pt x="624860" y="22485"/>
                  </a:lnTo>
                  <a:lnTo>
                    <a:pt x="641726" y="35506"/>
                  </a:lnTo>
                  <a:lnTo>
                    <a:pt x="668468" y="43631"/>
                  </a:lnTo>
                  <a:lnTo>
                    <a:pt x="677533" y="40418"/>
                  </a:lnTo>
                  <a:lnTo>
                    <a:pt x="697215" y="50178"/>
                  </a:lnTo>
                  <a:lnTo>
                    <a:pt x="715763" y="41087"/>
                  </a:lnTo>
                  <a:lnTo>
                    <a:pt x="727692" y="43850"/>
                  </a:lnTo>
                  <a:lnTo>
                    <a:pt x="735125" y="37750"/>
                  </a:lnTo>
                  <a:lnTo>
                    <a:pt x="749701" y="53460"/>
                  </a:lnTo>
                  <a:lnTo>
                    <a:pt x="741240" y="70453"/>
                  </a:lnTo>
                  <a:lnTo>
                    <a:pt x="729184" y="83280"/>
                  </a:lnTo>
                  <a:lnTo>
                    <a:pt x="718274" y="84337"/>
                  </a:lnTo>
                  <a:lnTo>
                    <a:pt x="721951" y="97031"/>
                  </a:lnTo>
                  <a:lnTo>
                    <a:pt x="712623" y="112897"/>
                  </a:lnTo>
                  <a:lnTo>
                    <a:pt x="701349" y="128498"/>
                  </a:lnTo>
                  <a:lnTo>
                    <a:pt x="703619" y="137461"/>
                  </a:lnTo>
                  <a:lnTo>
                    <a:pt x="728860" y="155006"/>
                  </a:lnTo>
                  <a:lnTo>
                    <a:pt x="753314" y="165183"/>
                  </a:lnTo>
                  <a:lnTo>
                    <a:pt x="769668" y="176114"/>
                  </a:lnTo>
                  <a:lnTo>
                    <a:pt x="792614" y="194926"/>
                  </a:lnTo>
                  <a:lnTo>
                    <a:pt x="801568" y="194894"/>
                  </a:lnTo>
                  <a:lnTo>
                    <a:pt x="818182" y="203025"/>
                  </a:lnTo>
                  <a:lnTo>
                    <a:pt x="823011" y="212833"/>
                  </a:lnTo>
                  <a:lnTo>
                    <a:pt x="853320" y="223602"/>
                  </a:lnTo>
                  <a:lnTo>
                    <a:pt x="874284" y="212753"/>
                  </a:lnTo>
                  <a:lnTo>
                    <a:pt x="880495" y="195700"/>
                  </a:lnTo>
                  <a:lnTo>
                    <a:pt x="886940" y="181632"/>
                  </a:lnTo>
                  <a:lnTo>
                    <a:pt x="890880" y="164220"/>
                  </a:lnTo>
                  <a:lnTo>
                    <a:pt x="900532" y="138960"/>
                  </a:lnTo>
                  <a:lnTo>
                    <a:pt x="896126" y="123606"/>
                  </a:lnTo>
                  <a:lnTo>
                    <a:pt x="898415" y="114370"/>
                  </a:lnTo>
                  <a:lnTo>
                    <a:pt x="894744" y="96199"/>
                  </a:lnTo>
                  <a:lnTo>
                    <a:pt x="898904" y="72278"/>
                  </a:lnTo>
                  <a:lnTo>
                    <a:pt x="904993" y="65827"/>
                  </a:lnTo>
                  <a:lnTo>
                    <a:pt x="900050" y="55226"/>
                  </a:lnTo>
                  <a:lnTo>
                    <a:pt x="907720" y="38395"/>
                  </a:lnTo>
                  <a:lnTo>
                    <a:pt x="913750" y="20948"/>
                  </a:lnTo>
                  <a:lnTo>
                    <a:pt x="914550" y="11890"/>
                  </a:lnTo>
                  <a:lnTo>
                    <a:pt x="926349" y="0"/>
                  </a:lnTo>
                  <a:lnTo>
                    <a:pt x="935301" y="15532"/>
                  </a:lnTo>
                  <a:lnTo>
                    <a:pt x="937508" y="35449"/>
                  </a:lnTo>
                  <a:lnTo>
                    <a:pt x="945417" y="39287"/>
                  </a:lnTo>
                  <a:lnTo>
                    <a:pt x="946773" y="52625"/>
                  </a:lnTo>
                  <a:lnTo>
                    <a:pt x="958314" y="68777"/>
                  </a:lnTo>
                  <a:lnTo>
                    <a:pt x="960698" y="8674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20" name="BLR">
            <a:extLst>
              <a:ext uri="{FF2B5EF4-FFF2-40B4-BE49-F238E27FC236}">
                <a16:creationId xmlns:a16="http://schemas.microsoft.com/office/drawing/2014/main" id="{00000000-0008-0000-2700-000014000000}"/>
              </a:ext>
            </a:extLst>
          </xdr:cNvPr>
          <xdr:cNvSpPr/>
        </xdr:nvSpPr>
        <xdr:spPr>
          <a:xfrm>
            <a:off x="7066560" y="1634363"/>
            <a:ext cx="301689" cy="153975"/>
          </a:xfrm>
          <a:custGeom>
            <a:avLst/>
            <a:gdLst/>
            <a:ahLst/>
            <a:cxnLst/>
            <a:rect l="0" t="0" r="0" b="0"/>
            <a:pathLst>
              <a:path w="301438" h="153975">
                <a:moveTo>
                  <a:pt x="9036" y="71647"/>
                </a:moveTo>
                <a:lnTo>
                  <a:pt x="39725" y="71862"/>
                </a:lnTo>
                <a:lnTo>
                  <a:pt x="74196" y="59902"/>
                </a:lnTo>
                <a:lnTo>
                  <a:pt x="81562" y="41976"/>
                </a:lnTo>
                <a:lnTo>
                  <a:pt x="107594" y="31810"/>
                </a:lnTo>
                <a:lnTo>
                  <a:pt x="104610" y="17589"/>
                </a:lnTo>
                <a:lnTo>
                  <a:pt x="123920" y="12249"/>
                </a:lnTo>
                <a:lnTo>
                  <a:pt x="158026" y="0"/>
                </a:lnTo>
                <a:lnTo>
                  <a:pt x="191452" y="7962"/>
                </a:lnTo>
                <a:lnTo>
                  <a:pt x="195964" y="15843"/>
                </a:lnTo>
                <a:lnTo>
                  <a:pt x="212623" y="12052"/>
                </a:lnTo>
                <a:lnTo>
                  <a:pt x="243662" y="19624"/>
                </a:lnTo>
                <a:lnTo>
                  <a:pt x="246770" y="34531"/>
                </a:lnTo>
                <a:lnTo>
                  <a:pt x="239966" y="43094"/>
                </a:lnTo>
                <a:lnTo>
                  <a:pt x="259873" y="63881"/>
                </a:lnTo>
                <a:lnTo>
                  <a:pt x="272793" y="69675"/>
                </a:lnTo>
                <a:lnTo>
                  <a:pt x="270884" y="75409"/>
                </a:lnTo>
                <a:lnTo>
                  <a:pt x="292293" y="80997"/>
                </a:lnTo>
                <a:lnTo>
                  <a:pt x="301437" y="89462"/>
                </a:lnTo>
                <a:lnTo>
                  <a:pt x="289083" y="96405"/>
                </a:lnTo>
                <a:lnTo>
                  <a:pt x="263465" y="95303"/>
                </a:lnTo>
                <a:lnTo>
                  <a:pt x="257356" y="98269"/>
                </a:lnTo>
                <a:lnTo>
                  <a:pt x="264810" y="108807"/>
                </a:lnTo>
                <a:lnTo>
                  <a:pt x="272621" y="129140"/>
                </a:lnTo>
                <a:lnTo>
                  <a:pt x="245363" y="131022"/>
                </a:lnTo>
                <a:lnTo>
                  <a:pt x="235585" y="137995"/>
                </a:lnTo>
                <a:lnTo>
                  <a:pt x="233540" y="153974"/>
                </a:lnTo>
                <a:lnTo>
                  <a:pt x="220913" y="150907"/>
                </a:lnTo>
                <a:lnTo>
                  <a:pt x="192259" y="152428"/>
                </a:lnTo>
                <a:lnTo>
                  <a:pt x="183937" y="145005"/>
                </a:lnTo>
                <a:lnTo>
                  <a:pt x="172024" y="150539"/>
                </a:lnTo>
                <a:lnTo>
                  <a:pt x="160086" y="145951"/>
                </a:lnTo>
                <a:lnTo>
                  <a:pt x="135083" y="145313"/>
                </a:lnTo>
                <a:lnTo>
                  <a:pt x="99647" y="137693"/>
                </a:lnTo>
                <a:lnTo>
                  <a:pt x="67573" y="135204"/>
                </a:lnTo>
                <a:lnTo>
                  <a:pt x="42976" y="135908"/>
                </a:lnTo>
                <a:lnTo>
                  <a:pt x="25578" y="144516"/>
                </a:lnTo>
                <a:lnTo>
                  <a:pt x="10401" y="145751"/>
                </a:lnTo>
                <a:lnTo>
                  <a:pt x="9795" y="131619"/>
                </a:lnTo>
                <a:lnTo>
                  <a:pt x="0" y="116906"/>
                </a:lnTo>
                <a:lnTo>
                  <a:pt x="19040" y="110426"/>
                </a:lnTo>
                <a:lnTo>
                  <a:pt x="19221" y="97771"/>
                </a:lnTo>
                <a:lnTo>
                  <a:pt x="10413" y="8569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BEL">
            <a:extLst>
              <a:ext uri="{FF2B5EF4-FFF2-40B4-BE49-F238E27FC236}">
                <a16:creationId xmlns:a16="http://schemas.microsoft.com/office/drawing/2014/main" id="{00000000-0008-0000-2700-000015000000}"/>
              </a:ext>
            </a:extLst>
          </xdr:cNvPr>
          <xdr:cNvSpPr/>
        </xdr:nvSpPr>
        <xdr:spPr>
          <a:xfrm>
            <a:off x="6409234" y="1783400"/>
            <a:ext cx="115766" cy="61771"/>
          </a:xfrm>
          <a:custGeom>
            <a:avLst/>
            <a:gdLst/>
            <a:ahLst/>
            <a:cxnLst/>
            <a:rect l="0" t="0" r="0" b="0"/>
            <a:pathLst>
              <a:path w="115670" h="61771">
                <a:moveTo>
                  <a:pt x="25445" y="4102"/>
                </a:moveTo>
                <a:lnTo>
                  <a:pt x="48689" y="6595"/>
                </a:lnTo>
                <a:lnTo>
                  <a:pt x="78118" y="0"/>
                </a:lnTo>
                <a:lnTo>
                  <a:pt x="98216" y="13897"/>
                </a:lnTo>
                <a:lnTo>
                  <a:pt x="115669" y="21314"/>
                </a:lnTo>
                <a:lnTo>
                  <a:pt x="112062" y="42764"/>
                </a:lnTo>
                <a:lnTo>
                  <a:pt x="103785" y="43964"/>
                </a:lnTo>
                <a:lnTo>
                  <a:pt x="100346" y="61770"/>
                </a:lnTo>
                <a:lnTo>
                  <a:pt x="72568" y="47295"/>
                </a:lnTo>
                <a:lnTo>
                  <a:pt x="56274" y="49768"/>
                </a:lnTo>
                <a:lnTo>
                  <a:pt x="34119" y="34798"/>
                </a:lnTo>
                <a:lnTo>
                  <a:pt x="19358" y="22054"/>
                </a:lnTo>
                <a:lnTo>
                  <a:pt x="4598" y="21533"/>
                </a:lnTo>
                <a:lnTo>
                  <a:pt x="0" y="1036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22" name="CAN">
            <a:extLst>
              <a:ext uri="{FF2B5EF4-FFF2-40B4-BE49-F238E27FC236}">
                <a16:creationId xmlns:a16="http://schemas.microsoft.com/office/drawing/2014/main" id="{00000000-0008-0000-2700-000016000000}"/>
              </a:ext>
            </a:extLst>
          </xdr:cNvPr>
          <xdr:cNvGrpSpPr/>
        </xdr:nvGrpSpPr>
        <xdr:grpSpPr>
          <a:xfrm>
            <a:off x="1848951" y="775077"/>
            <a:ext cx="2807441" cy="1319471"/>
            <a:chOff x="1746319" y="1029077"/>
            <a:chExt cx="2805104" cy="1319471"/>
          </a:xfrm>
          <a:grpFill/>
        </xdr:grpSpPr>
        <xdr:sp macro="" textlink="">
          <xdr:nvSpPr>
            <xdr:cNvPr id="6586885" name="CA_1">
              <a:extLst>
                <a:ext uri="{FF2B5EF4-FFF2-40B4-BE49-F238E27FC236}">
                  <a16:creationId xmlns:a16="http://schemas.microsoft.com/office/drawing/2014/main" id="{00000000-0008-0000-2700-000005826400}"/>
                </a:ext>
              </a:extLst>
            </xdr:cNvPr>
            <xdr:cNvSpPr/>
          </xdr:nvSpPr>
          <xdr:spPr>
            <a:xfrm>
              <a:off x="4178534" y="2178338"/>
              <a:ext cx="75582" cy="33904"/>
            </a:xfrm>
            <a:custGeom>
              <a:avLst/>
              <a:gdLst/>
              <a:ahLst/>
              <a:cxnLst/>
              <a:rect l="0" t="0" r="0" b="0"/>
              <a:pathLst>
                <a:path w="75582" h="33904">
                  <a:moveTo>
                    <a:pt x="23118" y="15431"/>
                  </a:moveTo>
                  <a:lnTo>
                    <a:pt x="46143" y="19689"/>
                  </a:lnTo>
                  <a:lnTo>
                    <a:pt x="75581" y="18825"/>
                  </a:lnTo>
                  <a:lnTo>
                    <a:pt x="59967" y="31833"/>
                  </a:lnTo>
                  <a:lnTo>
                    <a:pt x="48206" y="33903"/>
                  </a:lnTo>
                  <a:lnTo>
                    <a:pt x="7932" y="20425"/>
                  </a:lnTo>
                  <a:lnTo>
                    <a:pt x="0" y="9795"/>
                  </a:lnTo>
                  <a:lnTo>
                    <a:pt x="11992"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86" name="CA_2">
              <a:extLst>
                <a:ext uri="{FF2B5EF4-FFF2-40B4-BE49-F238E27FC236}">
                  <a16:creationId xmlns:a16="http://schemas.microsoft.com/office/drawing/2014/main" id="{00000000-0008-0000-2700-000006826400}"/>
                </a:ext>
              </a:extLst>
            </xdr:cNvPr>
            <xdr:cNvSpPr/>
          </xdr:nvSpPr>
          <xdr:spPr>
            <a:xfrm>
              <a:off x="4174518" y="2085590"/>
              <a:ext cx="86133" cy="27624"/>
            </a:xfrm>
            <a:custGeom>
              <a:avLst/>
              <a:gdLst/>
              <a:ahLst/>
              <a:cxnLst/>
              <a:rect l="0" t="0" r="0" b="0"/>
              <a:pathLst>
                <a:path w="86133" h="27624">
                  <a:moveTo>
                    <a:pt x="86132" y="27055"/>
                  </a:moveTo>
                  <a:lnTo>
                    <a:pt x="70672" y="27623"/>
                  </a:lnTo>
                  <a:lnTo>
                    <a:pt x="29521" y="17669"/>
                  </a:lnTo>
                  <a:lnTo>
                    <a:pt x="0" y="2674"/>
                  </a:lnTo>
                  <a:lnTo>
                    <a:pt x="10982" y="0"/>
                  </a:lnTo>
                  <a:lnTo>
                    <a:pt x="52730" y="7963"/>
                  </a:lnTo>
                  <a:lnTo>
                    <a:pt x="85201" y="21228"/>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87" name="CA_3">
              <a:extLst>
                <a:ext uri="{FF2B5EF4-FFF2-40B4-BE49-F238E27FC236}">
                  <a16:creationId xmlns:a16="http://schemas.microsoft.com/office/drawing/2014/main" id="{00000000-0008-0000-2700-000007826400}"/>
                </a:ext>
              </a:extLst>
            </xdr:cNvPr>
            <xdr:cNvSpPr/>
          </xdr:nvSpPr>
          <xdr:spPr>
            <a:xfrm>
              <a:off x="2144884" y="2059765"/>
              <a:ext cx="156674" cy="76194"/>
            </a:xfrm>
            <a:custGeom>
              <a:avLst/>
              <a:gdLst/>
              <a:ahLst/>
              <a:cxnLst/>
              <a:rect l="0" t="0" r="0" b="0"/>
              <a:pathLst>
                <a:path w="156674" h="76194">
                  <a:moveTo>
                    <a:pt x="156673" y="71774"/>
                  </a:moveTo>
                  <a:lnTo>
                    <a:pt x="140706" y="76193"/>
                  </a:lnTo>
                  <a:lnTo>
                    <a:pt x="88569" y="61773"/>
                  </a:lnTo>
                  <a:lnTo>
                    <a:pt x="79044" y="50501"/>
                  </a:lnTo>
                  <a:lnTo>
                    <a:pt x="50628" y="39389"/>
                  </a:lnTo>
                  <a:lnTo>
                    <a:pt x="44913" y="30340"/>
                  </a:lnTo>
                  <a:lnTo>
                    <a:pt x="12233" y="24625"/>
                  </a:lnTo>
                  <a:lnTo>
                    <a:pt x="0" y="7350"/>
                  </a:lnTo>
                  <a:lnTo>
                    <a:pt x="2736" y="0"/>
                  </a:lnTo>
                  <a:lnTo>
                    <a:pt x="36067" y="6921"/>
                  </a:lnTo>
                  <a:lnTo>
                    <a:pt x="55549" y="11738"/>
                  </a:lnTo>
                  <a:lnTo>
                    <a:pt x="85394" y="15100"/>
                  </a:lnTo>
                  <a:lnTo>
                    <a:pt x="96189" y="26054"/>
                  </a:lnTo>
                  <a:lnTo>
                    <a:pt x="111880" y="41126"/>
                  </a:lnTo>
                  <a:lnTo>
                    <a:pt x="143576" y="5423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88" name="CA_4">
              <a:extLst>
                <a:ext uri="{FF2B5EF4-FFF2-40B4-BE49-F238E27FC236}">
                  <a16:creationId xmlns:a16="http://schemas.microsoft.com/office/drawing/2014/main" id="{00000000-0008-0000-2700-000008826400}"/>
                </a:ext>
              </a:extLst>
            </xdr:cNvPr>
            <xdr:cNvSpPr/>
          </xdr:nvSpPr>
          <xdr:spPr>
            <a:xfrm>
              <a:off x="4336431" y="2032412"/>
              <a:ext cx="214992" cy="159189"/>
            </a:xfrm>
            <a:custGeom>
              <a:avLst/>
              <a:gdLst/>
              <a:ahLst/>
              <a:cxnLst/>
              <a:rect l="0" t="0" r="0" b="0"/>
              <a:pathLst>
                <a:path w="214992" h="159189">
                  <a:moveTo>
                    <a:pt x="104314" y="30007"/>
                  </a:moveTo>
                  <a:lnTo>
                    <a:pt x="83299" y="57779"/>
                  </a:lnTo>
                  <a:lnTo>
                    <a:pt x="104025" y="47054"/>
                  </a:lnTo>
                  <a:lnTo>
                    <a:pt x="125348" y="53858"/>
                  </a:lnTo>
                  <a:lnTo>
                    <a:pt x="114207" y="64929"/>
                  </a:lnTo>
                  <a:lnTo>
                    <a:pt x="142379" y="73632"/>
                  </a:lnTo>
                  <a:lnTo>
                    <a:pt x="157025" y="65894"/>
                  </a:lnTo>
                  <a:lnTo>
                    <a:pt x="188690" y="75661"/>
                  </a:lnTo>
                  <a:lnTo>
                    <a:pt x="178863" y="98911"/>
                  </a:lnTo>
                  <a:lnTo>
                    <a:pt x="201085" y="93482"/>
                  </a:lnTo>
                  <a:lnTo>
                    <a:pt x="205133" y="110328"/>
                  </a:lnTo>
                  <a:lnTo>
                    <a:pt x="214991" y="130067"/>
                  </a:lnTo>
                  <a:lnTo>
                    <a:pt x="201621" y="158007"/>
                  </a:lnTo>
                  <a:lnTo>
                    <a:pt x="187261" y="159188"/>
                  </a:lnTo>
                  <a:lnTo>
                    <a:pt x="166389" y="153194"/>
                  </a:lnTo>
                  <a:lnTo>
                    <a:pt x="173278" y="127219"/>
                  </a:lnTo>
                  <a:lnTo>
                    <a:pt x="164433" y="123184"/>
                  </a:lnTo>
                  <a:lnTo>
                    <a:pt x="127593" y="150721"/>
                  </a:lnTo>
                  <a:lnTo>
                    <a:pt x="108648" y="149619"/>
                  </a:lnTo>
                  <a:lnTo>
                    <a:pt x="131073" y="134700"/>
                  </a:lnTo>
                  <a:lnTo>
                    <a:pt x="100605" y="126987"/>
                  </a:lnTo>
                  <a:lnTo>
                    <a:pt x="66494" y="128883"/>
                  </a:lnTo>
                  <a:lnTo>
                    <a:pt x="4873" y="127915"/>
                  </a:lnTo>
                  <a:lnTo>
                    <a:pt x="0" y="118510"/>
                  </a:lnTo>
                  <a:lnTo>
                    <a:pt x="19777" y="107334"/>
                  </a:lnTo>
                  <a:lnTo>
                    <a:pt x="5965" y="98708"/>
                  </a:lnTo>
                  <a:lnTo>
                    <a:pt x="32629" y="79582"/>
                  </a:lnTo>
                  <a:lnTo>
                    <a:pt x="65430" y="29013"/>
                  </a:lnTo>
                  <a:lnTo>
                    <a:pt x="85115" y="10945"/>
                  </a:lnTo>
                  <a:lnTo>
                    <a:pt x="112664" y="0"/>
                  </a:lnTo>
                  <a:lnTo>
                    <a:pt x="127396" y="1391"/>
                  </a:lnTo>
                  <a:lnTo>
                    <a:pt x="121262" y="1000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89" name="CA_5">
              <a:extLst>
                <a:ext uri="{FF2B5EF4-FFF2-40B4-BE49-F238E27FC236}">
                  <a16:creationId xmlns:a16="http://schemas.microsoft.com/office/drawing/2014/main" id="{00000000-0008-0000-2700-000009826400}"/>
                </a:ext>
              </a:extLst>
            </xdr:cNvPr>
            <xdr:cNvSpPr/>
          </xdr:nvSpPr>
          <xdr:spPr>
            <a:xfrm>
              <a:off x="1992639" y="1951834"/>
              <a:ext cx="65428" cy="63171"/>
            </a:xfrm>
            <a:custGeom>
              <a:avLst/>
              <a:gdLst/>
              <a:ahLst/>
              <a:cxnLst/>
              <a:rect l="0" t="0" r="0" b="0"/>
              <a:pathLst>
                <a:path w="65428" h="63171">
                  <a:moveTo>
                    <a:pt x="1896" y="0"/>
                  </a:moveTo>
                  <a:lnTo>
                    <a:pt x="16818" y="4128"/>
                  </a:lnTo>
                  <a:lnTo>
                    <a:pt x="47298" y="1587"/>
                  </a:lnTo>
                  <a:lnTo>
                    <a:pt x="37789" y="37636"/>
                  </a:lnTo>
                  <a:lnTo>
                    <a:pt x="65427" y="63170"/>
                  </a:lnTo>
                  <a:lnTo>
                    <a:pt x="52765" y="63106"/>
                  </a:lnTo>
                  <a:lnTo>
                    <a:pt x="33633" y="48587"/>
                  </a:lnTo>
                  <a:lnTo>
                    <a:pt x="21898" y="33972"/>
                  </a:lnTo>
                  <a:lnTo>
                    <a:pt x="5877" y="24082"/>
                  </a:lnTo>
                  <a:lnTo>
                    <a:pt x="0" y="10125"/>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90" name="CA_6">
              <a:extLst>
                <a:ext uri="{FF2B5EF4-FFF2-40B4-BE49-F238E27FC236}">
                  <a16:creationId xmlns:a16="http://schemas.microsoft.com/office/drawing/2014/main" id="{00000000-0008-0000-2700-00000A826400}"/>
                </a:ext>
              </a:extLst>
            </xdr:cNvPr>
            <xdr:cNvSpPr/>
          </xdr:nvSpPr>
          <xdr:spPr>
            <a:xfrm>
              <a:off x="3671500" y="1690989"/>
              <a:ext cx="34811" cy="23892"/>
            </a:xfrm>
            <a:custGeom>
              <a:avLst/>
              <a:gdLst/>
              <a:ahLst/>
              <a:cxnLst/>
              <a:rect l="0" t="0" r="0" b="0"/>
              <a:pathLst>
                <a:path w="34811" h="23892">
                  <a:moveTo>
                    <a:pt x="34810" y="7204"/>
                  </a:moveTo>
                  <a:lnTo>
                    <a:pt x="22374" y="23891"/>
                  </a:lnTo>
                  <a:lnTo>
                    <a:pt x="8337" y="21193"/>
                  </a:lnTo>
                  <a:lnTo>
                    <a:pt x="0" y="11719"/>
                  </a:lnTo>
                  <a:lnTo>
                    <a:pt x="1485" y="9525"/>
                  </a:lnTo>
                  <a:lnTo>
                    <a:pt x="13741" y="0"/>
                  </a:lnTo>
                  <a:lnTo>
                    <a:pt x="26740" y="695"/>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91" name="CA_7">
              <a:extLst>
                <a:ext uri="{FF2B5EF4-FFF2-40B4-BE49-F238E27FC236}">
                  <a16:creationId xmlns:a16="http://schemas.microsoft.com/office/drawing/2014/main" id="{00000000-0008-0000-2700-00000B826400}"/>
                </a:ext>
              </a:extLst>
            </xdr:cNvPr>
            <xdr:cNvSpPr/>
          </xdr:nvSpPr>
          <xdr:spPr>
            <a:xfrm>
              <a:off x="3556199" y="1674209"/>
              <a:ext cx="67207" cy="23969"/>
            </a:xfrm>
            <a:custGeom>
              <a:avLst/>
              <a:gdLst/>
              <a:ahLst/>
              <a:cxnLst/>
              <a:rect l="0" t="0" r="0" b="0"/>
              <a:pathLst>
                <a:path w="67207" h="23969">
                  <a:moveTo>
                    <a:pt x="66529" y="6455"/>
                  </a:moveTo>
                  <a:lnTo>
                    <a:pt x="29372" y="23968"/>
                  </a:lnTo>
                  <a:lnTo>
                    <a:pt x="6957" y="23234"/>
                  </a:lnTo>
                  <a:lnTo>
                    <a:pt x="0" y="14646"/>
                  </a:lnTo>
                  <a:lnTo>
                    <a:pt x="23597" y="0"/>
                  </a:lnTo>
                  <a:lnTo>
                    <a:pt x="67206" y="301"/>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92" name="CA_8">
              <a:extLst>
                <a:ext uri="{FF2B5EF4-FFF2-40B4-BE49-F238E27FC236}">
                  <a16:creationId xmlns:a16="http://schemas.microsoft.com/office/drawing/2014/main" id="{00000000-0008-0000-2700-00000C826400}"/>
                </a:ext>
              </a:extLst>
            </xdr:cNvPr>
            <xdr:cNvSpPr/>
          </xdr:nvSpPr>
          <xdr:spPr>
            <a:xfrm>
              <a:off x="3453701" y="1584524"/>
              <a:ext cx="226013" cy="85295"/>
            </a:xfrm>
            <a:custGeom>
              <a:avLst/>
              <a:gdLst/>
              <a:ahLst/>
              <a:cxnLst/>
              <a:rect l="0" t="0" r="0" b="0"/>
              <a:pathLst>
                <a:path w="226013" h="85295">
                  <a:moveTo>
                    <a:pt x="65427" y="2588"/>
                  </a:moveTo>
                  <a:lnTo>
                    <a:pt x="71317" y="16552"/>
                  </a:lnTo>
                  <a:lnTo>
                    <a:pt x="87566" y="11653"/>
                  </a:lnTo>
                  <a:lnTo>
                    <a:pt x="106026" y="19978"/>
                  </a:lnTo>
                  <a:lnTo>
                    <a:pt x="140792" y="30865"/>
                  </a:lnTo>
                  <a:lnTo>
                    <a:pt x="177165" y="40758"/>
                  </a:lnTo>
                  <a:lnTo>
                    <a:pt x="179978" y="55855"/>
                  </a:lnTo>
                  <a:lnTo>
                    <a:pt x="203346" y="53382"/>
                  </a:lnTo>
                  <a:lnTo>
                    <a:pt x="226012" y="63907"/>
                  </a:lnTo>
                  <a:lnTo>
                    <a:pt x="197834" y="73902"/>
                  </a:lnTo>
                  <a:lnTo>
                    <a:pt x="148425" y="66266"/>
                  </a:lnTo>
                  <a:lnTo>
                    <a:pt x="130594" y="51972"/>
                  </a:lnTo>
                  <a:lnTo>
                    <a:pt x="99111" y="68870"/>
                  </a:lnTo>
                  <a:lnTo>
                    <a:pt x="53931" y="85294"/>
                  </a:lnTo>
                  <a:lnTo>
                    <a:pt x="43028" y="66723"/>
                  </a:lnTo>
                  <a:lnTo>
                    <a:pt x="0" y="69774"/>
                  </a:lnTo>
                  <a:lnTo>
                    <a:pt x="27597" y="54071"/>
                  </a:lnTo>
                  <a:lnTo>
                    <a:pt x="31658" y="29080"/>
                  </a:lnTo>
                  <a:lnTo>
                    <a:pt x="42488"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93" name="CA_9">
              <a:extLst>
                <a:ext uri="{FF2B5EF4-FFF2-40B4-BE49-F238E27FC236}">
                  <a16:creationId xmlns:a16="http://schemas.microsoft.com/office/drawing/2014/main" id="{00000000-0008-0000-2700-00000D826400}"/>
                </a:ext>
              </a:extLst>
            </xdr:cNvPr>
            <xdr:cNvSpPr/>
          </xdr:nvSpPr>
          <xdr:spPr>
            <a:xfrm>
              <a:off x="3770744" y="1503613"/>
              <a:ext cx="67727" cy="37736"/>
            </a:xfrm>
            <a:custGeom>
              <a:avLst/>
              <a:gdLst/>
              <a:ahLst/>
              <a:cxnLst/>
              <a:rect l="0" t="0" r="0" b="0"/>
              <a:pathLst>
                <a:path w="67727" h="37736">
                  <a:moveTo>
                    <a:pt x="43513" y="36141"/>
                  </a:moveTo>
                  <a:lnTo>
                    <a:pt x="7921" y="37735"/>
                  </a:lnTo>
                  <a:lnTo>
                    <a:pt x="0" y="22196"/>
                  </a:lnTo>
                  <a:lnTo>
                    <a:pt x="13484" y="4400"/>
                  </a:lnTo>
                  <a:lnTo>
                    <a:pt x="42583" y="0"/>
                  </a:lnTo>
                  <a:lnTo>
                    <a:pt x="67370" y="8788"/>
                  </a:lnTo>
                  <a:lnTo>
                    <a:pt x="67726" y="22390"/>
                  </a:lnTo>
                  <a:lnTo>
                    <a:pt x="64147" y="26765"/>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94" name="CA_10">
              <a:extLst>
                <a:ext uri="{FF2B5EF4-FFF2-40B4-BE49-F238E27FC236}">
                  <a16:creationId xmlns:a16="http://schemas.microsoft.com/office/drawing/2014/main" id="{00000000-0008-0000-2700-00000E826400}"/>
                </a:ext>
              </a:extLst>
            </xdr:cNvPr>
            <xdr:cNvSpPr/>
          </xdr:nvSpPr>
          <xdr:spPr>
            <a:xfrm>
              <a:off x="3054432" y="1444675"/>
              <a:ext cx="131754" cy="44023"/>
            </a:xfrm>
            <a:custGeom>
              <a:avLst/>
              <a:gdLst/>
              <a:ahLst/>
              <a:cxnLst/>
              <a:rect l="0" t="0" r="0" b="0"/>
              <a:pathLst>
                <a:path w="131754" h="44023">
                  <a:moveTo>
                    <a:pt x="131753" y="32887"/>
                  </a:moveTo>
                  <a:lnTo>
                    <a:pt x="112011" y="44022"/>
                  </a:lnTo>
                  <a:lnTo>
                    <a:pt x="69215" y="34401"/>
                  </a:lnTo>
                  <a:lnTo>
                    <a:pt x="43358" y="37872"/>
                  </a:lnTo>
                  <a:lnTo>
                    <a:pt x="0" y="23606"/>
                  </a:lnTo>
                  <a:lnTo>
                    <a:pt x="27940" y="13764"/>
                  </a:lnTo>
                  <a:lnTo>
                    <a:pt x="50137" y="0"/>
                  </a:lnTo>
                  <a:lnTo>
                    <a:pt x="83820" y="9001"/>
                  </a:lnTo>
                  <a:lnTo>
                    <a:pt x="102870" y="14716"/>
                  </a:lnTo>
                  <a:lnTo>
                    <a:pt x="112395" y="2074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95" name="CA_11">
              <a:extLst>
                <a:ext uri="{FF2B5EF4-FFF2-40B4-BE49-F238E27FC236}">
                  <a16:creationId xmlns:a16="http://schemas.microsoft.com/office/drawing/2014/main" id="{00000000-0008-0000-2700-00000F826400}"/>
                </a:ext>
              </a:extLst>
            </xdr:cNvPr>
            <xdr:cNvSpPr/>
          </xdr:nvSpPr>
          <xdr:spPr>
            <a:xfrm>
              <a:off x="1746319" y="1388256"/>
              <a:ext cx="2708733" cy="960292"/>
            </a:xfrm>
            <a:custGeom>
              <a:avLst/>
              <a:gdLst/>
              <a:ahLst/>
              <a:cxnLst/>
              <a:rect l="0" t="0" r="0" b="0"/>
              <a:pathLst>
                <a:path w="2708734" h="960292">
                  <a:moveTo>
                    <a:pt x="1601810" y="76923"/>
                  </a:moveTo>
                  <a:lnTo>
                    <a:pt x="1601670" y="109394"/>
                  </a:lnTo>
                  <a:lnTo>
                    <a:pt x="1644101" y="84512"/>
                  </a:lnTo>
                  <a:lnTo>
                    <a:pt x="1682055" y="104946"/>
                  </a:lnTo>
                  <a:lnTo>
                    <a:pt x="1672600" y="128495"/>
                  </a:lnTo>
                  <a:lnTo>
                    <a:pt x="1703312" y="149917"/>
                  </a:lnTo>
                  <a:lnTo>
                    <a:pt x="1736462" y="126968"/>
                  </a:lnTo>
                  <a:lnTo>
                    <a:pt x="1759623" y="99564"/>
                  </a:lnTo>
                  <a:lnTo>
                    <a:pt x="1761357" y="64719"/>
                  </a:lnTo>
                  <a:lnTo>
                    <a:pt x="1806480" y="67154"/>
                  </a:lnTo>
                  <a:lnTo>
                    <a:pt x="1853413" y="71824"/>
                  </a:lnTo>
                  <a:lnTo>
                    <a:pt x="1896028" y="87582"/>
                  </a:lnTo>
                  <a:lnTo>
                    <a:pt x="1897939" y="103339"/>
                  </a:lnTo>
                  <a:lnTo>
                    <a:pt x="1874311" y="120269"/>
                  </a:lnTo>
                  <a:lnTo>
                    <a:pt x="1896698" y="137264"/>
                  </a:lnTo>
                  <a:lnTo>
                    <a:pt x="1892659" y="152707"/>
                  </a:lnTo>
                  <a:lnTo>
                    <a:pt x="1830489" y="174910"/>
                  </a:lnTo>
                  <a:lnTo>
                    <a:pt x="1786332" y="179806"/>
                  </a:lnTo>
                  <a:lnTo>
                    <a:pt x="1753502" y="170249"/>
                  </a:lnTo>
                  <a:lnTo>
                    <a:pt x="1744034" y="186188"/>
                  </a:lnTo>
                  <a:lnTo>
                    <a:pt x="1713434" y="212963"/>
                  </a:lnTo>
                  <a:lnTo>
                    <a:pt x="1704169" y="226850"/>
                  </a:lnTo>
                  <a:lnTo>
                    <a:pt x="1667345" y="248332"/>
                  </a:lnTo>
                  <a:lnTo>
                    <a:pt x="1621898" y="250437"/>
                  </a:lnTo>
                  <a:lnTo>
                    <a:pt x="1596828" y="263852"/>
                  </a:lnTo>
                  <a:lnTo>
                    <a:pt x="1594733" y="284489"/>
                  </a:lnTo>
                  <a:lnTo>
                    <a:pt x="1557795" y="288461"/>
                  </a:lnTo>
                  <a:lnTo>
                    <a:pt x="1518946" y="314191"/>
                  </a:lnTo>
                  <a:lnTo>
                    <a:pt x="1484513" y="349942"/>
                  </a:lnTo>
                  <a:lnTo>
                    <a:pt x="1472200" y="374977"/>
                  </a:lnTo>
                  <a:lnTo>
                    <a:pt x="1470444" y="411851"/>
                  </a:lnTo>
                  <a:lnTo>
                    <a:pt x="1517104" y="417144"/>
                  </a:lnTo>
                  <a:lnTo>
                    <a:pt x="1531404" y="446875"/>
                  </a:lnTo>
                  <a:lnTo>
                    <a:pt x="1546251" y="470960"/>
                  </a:lnTo>
                  <a:lnTo>
                    <a:pt x="1590678" y="464686"/>
                  </a:lnTo>
                  <a:lnTo>
                    <a:pt x="1649676" y="478434"/>
                  </a:lnTo>
                  <a:lnTo>
                    <a:pt x="1681417" y="490502"/>
                  </a:lnTo>
                  <a:lnTo>
                    <a:pt x="1704137" y="505504"/>
                  </a:lnTo>
                  <a:lnTo>
                    <a:pt x="1743920" y="514245"/>
                  </a:lnTo>
                  <a:lnTo>
                    <a:pt x="1777556" y="527618"/>
                  </a:lnTo>
                  <a:lnTo>
                    <a:pt x="1829982" y="529450"/>
                  </a:lnTo>
                  <a:lnTo>
                    <a:pt x="1864516" y="532517"/>
                  </a:lnTo>
                  <a:lnTo>
                    <a:pt x="1859331" y="560012"/>
                  </a:lnTo>
                  <a:lnTo>
                    <a:pt x="1869212" y="591931"/>
                  </a:lnTo>
                  <a:lnTo>
                    <a:pt x="1892205" y="627462"/>
                  </a:lnTo>
                  <a:lnTo>
                    <a:pt x="1939446" y="657609"/>
                  </a:lnTo>
                  <a:lnTo>
                    <a:pt x="1963890" y="647274"/>
                  </a:lnTo>
                  <a:lnTo>
                    <a:pt x="1981070" y="614629"/>
                  </a:lnTo>
                  <a:lnTo>
                    <a:pt x="1964487" y="564486"/>
                  </a:lnTo>
                  <a:lnTo>
                    <a:pt x="1942091" y="547776"/>
                  </a:lnTo>
                  <a:lnTo>
                    <a:pt x="1992919" y="532892"/>
                  </a:lnTo>
                  <a:lnTo>
                    <a:pt x="2028895" y="510638"/>
                  </a:lnTo>
                  <a:lnTo>
                    <a:pt x="2046491" y="488515"/>
                  </a:lnTo>
                  <a:lnTo>
                    <a:pt x="2043894" y="467293"/>
                  </a:lnTo>
                  <a:lnTo>
                    <a:pt x="2022333" y="440321"/>
                  </a:lnTo>
                  <a:lnTo>
                    <a:pt x="1983769" y="416429"/>
                  </a:lnTo>
                  <a:lnTo>
                    <a:pt x="2021237" y="383155"/>
                  </a:lnTo>
                  <a:lnTo>
                    <a:pt x="2007397" y="354412"/>
                  </a:lnTo>
                  <a:lnTo>
                    <a:pt x="1996787" y="304828"/>
                  </a:lnTo>
                  <a:lnTo>
                    <a:pt x="2018891" y="297497"/>
                  </a:lnTo>
                  <a:lnTo>
                    <a:pt x="2073326" y="306136"/>
                  </a:lnTo>
                  <a:lnTo>
                    <a:pt x="2105965" y="309226"/>
                  </a:lnTo>
                  <a:lnTo>
                    <a:pt x="2132264" y="300885"/>
                  </a:lnTo>
                  <a:lnTo>
                    <a:pt x="2161836" y="311639"/>
                  </a:lnTo>
                  <a:lnTo>
                    <a:pt x="2200933" y="330044"/>
                  </a:lnTo>
                  <a:lnTo>
                    <a:pt x="2210565" y="342369"/>
                  </a:lnTo>
                  <a:lnTo>
                    <a:pt x="2267185" y="344776"/>
                  </a:lnTo>
                  <a:lnTo>
                    <a:pt x="2266236" y="371452"/>
                  </a:lnTo>
                  <a:lnTo>
                    <a:pt x="2276790" y="411578"/>
                  </a:lnTo>
                  <a:lnTo>
                    <a:pt x="2305790" y="416541"/>
                  </a:lnTo>
                  <a:lnTo>
                    <a:pt x="2328799" y="435241"/>
                  </a:lnTo>
                  <a:lnTo>
                    <a:pt x="2374774" y="417614"/>
                  </a:lnTo>
                  <a:lnTo>
                    <a:pt x="2405145" y="382581"/>
                  </a:lnTo>
                  <a:lnTo>
                    <a:pt x="2426154" y="367820"/>
                  </a:lnTo>
                  <a:lnTo>
                    <a:pt x="2450881" y="396173"/>
                  </a:lnTo>
                  <a:lnTo>
                    <a:pt x="2492229" y="436670"/>
                  </a:lnTo>
                  <a:lnTo>
                    <a:pt x="2527342" y="474760"/>
                  </a:lnTo>
                  <a:lnTo>
                    <a:pt x="2514572" y="494699"/>
                  </a:lnTo>
                  <a:lnTo>
                    <a:pt x="2556805" y="512603"/>
                  </a:lnTo>
                  <a:lnTo>
                    <a:pt x="2585346" y="530745"/>
                  </a:lnTo>
                  <a:lnTo>
                    <a:pt x="2635971" y="538956"/>
                  </a:lnTo>
                  <a:lnTo>
                    <a:pt x="2656351" y="549084"/>
                  </a:lnTo>
                  <a:lnTo>
                    <a:pt x="2668934" y="575951"/>
                  </a:lnTo>
                  <a:lnTo>
                    <a:pt x="2693661" y="580167"/>
                  </a:lnTo>
                  <a:lnTo>
                    <a:pt x="2706418" y="592140"/>
                  </a:lnTo>
                  <a:lnTo>
                    <a:pt x="2708733" y="627821"/>
                  </a:lnTo>
                  <a:lnTo>
                    <a:pt x="2685688" y="639756"/>
                  </a:lnTo>
                  <a:lnTo>
                    <a:pt x="2662901" y="650900"/>
                  </a:lnTo>
                  <a:lnTo>
                    <a:pt x="2610580" y="662184"/>
                  </a:lnTo>
                  <a:lnTo>
                    <a:pt x="2570629" y="688267"/>
                  </a:lnTo>
                  <a:lnTo>
                    <a:pt x="2516953" y="693420"/>
                  </a:lnTo>
                  <a:lnTo>
                    <a:pt x="2449046" y="686736"/>
                  </a:lnTo>
                  <a:lnTo>
                    <a:pt x="2401396" y="686508"/>
                  </a:lnTo>
                  <a:lnTo>
                    <a:pt x="2368509" y="688705"/>
                  </a:lnTo>
                  <a:lnTo>
                    <a:pt x="2341928" y="711482"/>
                  </a:lnTo>
                  <a:lnTo>
                    <a:pt x="2301453" y="725554"/>
                  </a:lnTo>
                  <a:lnTo>
                    <a:pt x="2255654" y="767575"/>
                  </a:lnTo>
                  <a:lnTo>
                    <a:pt x="2219109" y="796886"/>
                  </a:lnTo>
                  <a:lnTo>
                    <a:pt x="2246078" y="791667"/>
                  </a:lnTo>
                  <a:lnTo>
                    <a:pt x="2297043" y="749950"/>
                  </a:lnTo>
                  <a:lnTo>
                    <a:pt x="2363642" y="723499"/>
                  </a:lnTo>
                  <a:lnTo>
                    <a:pt x="2411143" y="720334"/>
                  </a:lnTo>
                  <a:lnTo>
                    <a:pt x="2439251" y="735901"/>
                  </a:lnTo>
                  <a:lnTo>
                    <a:pt x="2409266" y="757224"/>
                  </a:lnTo>
                  <a:lnTo>
                    <a:pt x="2419328" y="791448"/>
                  </a:lnTo>
                  <a:lnTo>
                    <a:pt x="2429688" y="815403"/>
                  </a:lnTo>
                  <a:lnTo>
                    <a:pt x="2470928" y="831262"/>
                  </a:lnTo>
                  <a:lnTo>
                    <a:pt x="2523398" y="826665"/>
                  </a:lnTo>
                  <a:lnTo>
                    <a:pt x="2555231" y="790975"/>
                  </a:lnTo>
                  <a:lnTo>
                    <a:pt x="2557438" y="814003"/>
                  </a:lnTo>
                  <a:lnTo>
                    <a:pt x="2577938" y="825503"/>
                  </a:lnTo>
                  <a:lnTo>
                    <a:pt x="2538664" y="846302"/>
                  </a:lnTo>
                  <a:lnTo>
                    <a:pt x="2468344" y="865200"/>
                  </a:lnTo>
                  <a:lnTo>
                    <a:pt x="2436851" y="878046"/>
                  </a:lnTo>
                  <a:lnTo>
                    <a:pt x="2401370" y="900915"/>
                  </a:lnTo>
                  <a:lnTo>
                    <a:pt x="2377263" y="898582"/>
                  </a:lnTo>
                  <a:lnTo>
                    <a:pt x="2376047" y="871708"/>
                  </a:lnTo>
                  <a:lnTo>
                    <a:pt x="2431171" y="845454"/>
                  </a:lnTo>
                  <a:lnTo>
                    <a:pt x="2380355" y="846493"/>
                  </a:lnTo>
                  <a:lnTo>
                    <a:pt x="2345068" y="850360"/>
                  </a:lnTo>
                  <a:lnTo>
                    <a:pt x="2324307" y="832411"/>
                  </a:lnTo>
                  <a:lnTo>
                    <a:pt x="2324332" y="789117"/>
                  </a:lnTo>
                  <a:lnTo>
                    <a:pt x="2310238" y="779957"/>
                  </a:lnTo>
                  <a:lnTo>
                    <a:pt x="2288947" y="785352"/>
                  </a:lnTo>
                  <a:lnTo>
                    <a:pt x="2278400" y="777008"/>
                  </a:lnTo>
                  <a:lnTo>
                    <a:pt x="2254181" y="800970"/>
                  </a:lnTo>
                  <a:lnTo>
                    <a:pt x="2244497" y="825674"/>
                  </a:lnTo>
                  <a:lnTo>
                    <a:pt x="2233226" y="840120"/>
                  </a:lnTo>
                  <a:lnTo>
                    <a:pt x="2219738" y="845035"/>
                  </a:lnTo>
                  <a:lnTo>
                    <a:pt x="2209572" y="846629"/>
                  </a:lnTo>
                  <a:lnTo>
                    <a:pt x="2206393" y="854465"/>
                  </a:lnTo>
                  <a:lnTo>
                    <a:pt x="2147888" y="854491"/>
                  </a:lnTo>
                  <a:lnTo>
                    <a:pt x="2099653" y="854709"/>
                  </a:lnTo>
                  <a:lnTo>
                    <a:pt x="2085328" y="860552"/>
                  </a:lnTo>
                  <a:lnTo>
                    <a:pt x="2051774" y="883418"/>
                  </a:lnTo>
                  <a:lnTo>
                    <a:pt x="2047806" y="885888"/>
                  </a:lnTo>
                  <a:lnTo>
                    <a:pt x="2037646" y="898261"/>
                  </a:lnTo>
                  <a:lnTo>
                    <a:pt x="2008502" y="898251"/>
                  </a:lnTo>
                  <a:lnTo>
                    <a:pt x="1977311" y="898379"/>
                  </a:lnTo>
                  <a:lnTo>
                    <a:pt x="1962979" y="903420"/>
                  </a:lnTo>
                  <a:lnTo>
                    <a:pt x="1968113" y="909653"/>
                  </a:lnTo>
                  <a:lnTo>
                    <a:pt x="1970971" y="919337"/>
                  </a:lnTo>
                  <a:lnTo>
                    <a:pt x="1970354" y="922556"/>
                  </a:lnTo>
                  <a:lnTo>
                    <a:pt x="1928826" y="938349"/>
                  </a:lnTo>
                  <a:lnTo>
                    <a:pt x="1896114" y="943340"/>
                  </a:lnTo>
                  <a:lnTo>
                    <a:pt x="1859233" y="960291"/>
                  </a:lnTo>
                  <a:lnTo>
                    <a:pt x="1851270" y="960291"/>
                  </a:lnTo>
                  <a:lnTo>
                    <a:pt x="1840484" y="955284"/>
                  </a:lnTo>
                  <a:lnTo>
                    <a:pt x="1836922" y="950747"/>
                  </a:lnTo>
                  <a:lnTo>
                    <a:pt x="1837621" y="947435"/>
                  </a:lnTo>
                  <a:lnTo>
                    <a:pt x="1844606" y="936323"/>
                  </a:lnTo>
                  <a:lnTo>
                    <a:pt x="1859528" y="918860"/>
                  </a:lnTo>
                  <a:lnTo>
                    <a:pt x="1868812" y="900093"/>
                  </a:lnTo>
                  <a:lnTo>
                    <a:pt x="1862455" y="872506"/>
                  </a:lnTo>
                  <a:lnTo>
                    <a:pt x="1855689" y="843692"/>
                  </a:lnTo>
                  <a:lnTo>
                    <a:pt x="1822606" y="828789"/>
                  </a:lnTo>
                  <a:lnTo>
                    <a:pt x="1826521" y="823144"/>
                  </a:lnTo>
                  <a:lnTo>
                    <a:pt x="1821869" y="819264"/>
                  </a:lnTo>
                  <a:lnTo>
                    <a:pt x="1813148" y="819264"/>
                  </a:lnTo>
                  <a:lnTo>
                    <a:pt x="1806763" y="814232"/>
                  </a:lnTo>
                  <a:lnTo>
                    <a:pt x="1805169" y="806713"/>
                  </a:lnTo>
                  <a:lnTo>
                    <a:pt x="1798990" y="809996"/>
                  </a:lnTo>
                  <a:lnTo>
                    <a:pt x="1790475" y="809018"/>
                  </a:lnTo>
                  <a:lnTo>
                    <a:pt x="1792418" y="805872"/>
                  </a:lnTo>
                  <a:lnTo>
                    <a:pt x="1784941" y="802748"/>
                  </a:lnTo>
                  <a:lnTo>
                    <a:pt x="1781864" y="794397"/>
                  </a:lnTo>
                  <a:lnTo>
                    <a:pt x="1757217" y="784234"/>
                  </a:lnTo>
                  <a:lnTo>
                    <a:pt x="1731512" y="773658"/>
                  </a:lnTo>
                  <a:lnTo>
                    <a:pt x="1700467" y="761381"/>
                  </a:lnTo>
                  <a:lnTo>
                    <a:pt x="1670676" y="749858"/>
                  </a:lnTo>
                  <a:lnTo>
                    <a:pt x="1642266" y="758847"/>
                  </a:lnTo>
                  <a:lnTo>
                    <a:pt x="1631881" y="759158"/>
                  </a:lnTo>
                  <a:lnTo>
                    <a:pt x="1592828" y="750903"/>
                  </a:lnTo>
                  <a:lnTo>
                    <a:pt x="1567110" y="755031"/>
                  </a:lnTo>
                  <a:lnTo>
                    <a:pt x="1536313" y="745188"/>
                  </a:lnTo>
                  <a:lnTo>
                    <a:pt x="1503899" y="740130"/>
                  </a:lnTo>
                  <a:lnTo>
                    <a:pt x="1481732" y="738181"/>
                  </a:lnTo>
                  <a:lnTo>
                    <a:pt x="1471860" y="732806"/>
                  </a:lnTo>
                  <a:lnTo>
                    <a:pt x="1466222" y="715375"/>
                  </a:lnTo>
                  <a:lnTo>
                    <a:pt x="1455474" y="715524"/>
                  </a:lnTo>
                  <a:lnTo>
                    <a:pt x="1455379" y="727725"/>
                  </a:lnTo>
                  <a:lnTo>
                    <a:pt x="1389669" y="727703"/>
                  </a:lnTo>
                  <a:lnTo>
                    <a:pt x="1281043" y="727725"/>
                  </a:lnTo>
                  <a:lnTo>
                    <a:pt x="1173147" y="727729"/>
                  </a:lnTo>
                  <a:lnTo>
                    <a:pt x="1077843" y="727725"/>
                  </a:lnTo>
                  <a:lnTo>
                    <a:pt x="982593" y="727725"/>
                  </a:lnTo>
                  <a:lnTo>
                    <a:pt x="888931" y="727725"/>
                  </a:lnTo>
                  <a:lnTo>
                    <a:pt x="792150" y="727725"/>
                  </a:lnTo>
                  <a:lnTo>
                    <a:pt x="760940" y="727725"/>
                  </a:lnTo>
                  <a:lnTo>
                    <a:pt x="666681" y="727725"/>
                  </a:lnTo>
                  <a:lnTo>
                    <a:pt x="576510" y="727725"/>
                  </a:lnTo>
                  <a:lnTo>
                    <a:pt x="572250" y="727646"/>
                  </a:lnTo>
                  <a:lnTo>
                    <a:pt x="510782" y="696464"/>
                  </a:lnTo>
                  <a:lnTo>
                    <a:pt x="488100" y="682748"/>
                  </a:lnTo>
                  <a:lnTo>
                    <a:pt x="430600" y="669604"/>
                  </a:lnTo>
                  <a:lnTo>
                    <a:pt x="412909" y="641499"/>
                  </a:lnTo>
                  <a:lnTo>
                    <a:pt x="417434" y="622011"/>
                  </a:lnTo>
                  <a:lnTo>
                    <a:pt x="376809" y="608491"/>
                  </a:lnTo>
                  <a:lnTo>
                    <a:pt x="371240" y="582895"/>
                  </a:lnTo>
                  <a:lnTo>
                    <a:pt x="332829" y="559844"/>
                  </a:lnTo>
                  <a:lnTo>
                    <a:pt x="332159" y="543486"/>
                  </a:lnTo>
                  <a:lnTo>
                    <a:pt x="349816" y="528177"/>
                  </a:lnTo>
                  <a:lnTo>
                    <a:pt x="348933" y="508149"/>
                  </a:lnTo>
                  <a:lnTo>
                    <a:pt x="294958" y="487946"/>
                  </a:lnTo>
                  <a:lnTo>
                    <a:pt x="262490" y="451726"/>
                  </a:lnTo>
                  <a:lnTo>
                    <a:pt x="242640" y="428948"/>
                  </a:lnTo>
                  <a:lnTo>
                    <a:pt x="213573" y="414636"/>
                  </a:lnTo>
                  <a:lnTo>
                    <a:pt x="192177" y="401634"/>
                  </a:lnTo>
                  <a:lnTo>
                    <a:pt x="175324" y="385213"/>
                  </a:lnTo>
                  <a:lnTo>
                    <a:pt x="143450" y="395497"/>
                  </a:lnTo>
                  <a:lnTo>
                    <a:pt x="112564" y="413242"/>
                  </a:lnTo>
                  <a:lnTo>
                    <a:pt x="84357" y="392379"/>
                  </a:lnTo>
                  <a:lnTo>
                    <a:pt x="62192" y="378475"/>
                  </a:lnTo>
                  <a:lnTo>
                    <a:pt x="31268" y="369687"/>
                  </a:lnTo>
                  <a:lnTo>
                    <a:pt x="0" y="368747"/>
                  </a:lnTo>
                  <a:lnTo>
                    <a:pt x="169" y="187975"/>
                  </a:lnTo>
                  <a:lnTo>
                    <a:pt x="375" y="70119"/>
                  </a:lnTo>
                  <a:lnTo>
                    <a:pt x="59605" y="77771"/>
                  </a:lnTo>
                  <a:lnTo>
                    <a:pt x="109582" y="93043"/>
                  </a:lnTo>
                  <a:lnTo>
                    <a:pt x="142691" y="95964"/>
                  </a:lnTo>
                  <a:lnTo>
                    <a:pt x="170561" y="82721"/>
                  </a:lnTo>
                  <a:lnTo>
                    <a:pt x="209017" y="72805"/>
                  </a:lnTo>
                  <a:lnTo>
                    <a:pt x="256175" y="76682"/>
                  </a:lnTo>
                  <a:lnTo>
                    <a:pt x="303733" y="62738"/>
                  </a:lnTo>
                  <a:lnTo>
                    <a:pt x="355699" y="54825"/>
                  </a:lnTo>
                  <a:lnTo>
                    <a:pt x="377511" y="67983"/>
                  </a:lnTo>
                  <a:lnTo>
                    <a:pt x="401200" y="60566"/>
                  </a:lnTo>
                  <a:lnTo>
                    <a:pt x="408293" y="45615"/>
                  </a:lnTo>
                  <a:lnTo>
                    <a:pt x="430235" y="48999"/>
                  </a:lnTo>
                  <a:lnTo>
                    <a:pt x="483918" y="77466"/>
                  </a:lnTo>
                  <a:lnTo>
                    <a:pt x="526193" y="55946"/>
                  </a:lnTo>
                  <a:lnTo>
                    <a:pt x="530483" y="80035"/>
                  </a:lnTo>
                  <a:lnTo>
                    <a:pt x="569491" y="74828"/>
                  </a:lnTo>
                  <a:lnTo>
                    <a:pt x="581479" y="65563"/>
                  </a:lnTo>
                  <a:lnTo>
                    <a:pt x="619935" y="67395"/>
                  </a:lnTo>
                  <a:lnTo>
                    <a:pt x="668493" y="80727"/>
                  </a:lnTo>
                  <a:lnTo>
                    <a:pt x="742795" y="92367"/>
                  </a:lnTo>
                  <a:lnTo>
                    <a:pt x="786492" y="97758"/>
                  </a:lnTo>
                  <a:lnTo>
                    <a:pt x="817591" y="95713"/>
                  </a:lnTo>
                  <a:lnTo>
                    <a:pt x="860422" y="111810"/>
                  </a:lnTo>
                  <a:lnTo>
                    <a:pt x="815750" y="127568"/>
                  </a:lnTo>
                  <a:lnTo>
                    <a:pt x="873141" y="134378"/>
                  </a:lnTo>
                  <a:lnTo>
                    <a:pt x="958844" y="130632"/>
                  </a:lnTo>
                  <a:lnTo>
                    <a:pt x="985889" y="125079"/>
                  </a:lnTo>
                  <a:lnTo>
                    <a:pt x="1019734" y="144116"/>
                  </a:lnTo>
                  <a:lnTo>
                    <a:pt x="1054272" y="128050"/>
                  </a:lnTo>
                  <a:lnTo>
                    <a:pt x="1021868" y="114582"/>
                  </a:lnTo>
                  <a:lnTo>
                    <a:pt x="1042372" y="103714"/>
                  </a:lnTo>
                  <a:lnTo>
                    <a:pt x="1081018" y="102250"/>
                  </a:lnTo>
                  <a:lnTo>
                    <a:pt x="1106418" y="99075"/>
                  </a:lnTo>
                  <a:lnTo>
                    <a:pt x="1132047" y="106657"/>
                  </a:lnTo>
                  <a:lnTo>
                    <a:pt x="1163952" y="123904"/>
                  </a:lnTo>
                  <a:lnTo>
                    <a:pt x="1199411" y="121370"/>
                  </a:lnTo>
                  <a:lnTo>
                    <a:pt x="1255506" y="135686"/>
                  </a:lnTo>
                  <a:lnTo>
                    <a:pt x="1304795" y="130644"/>
                  </a:lnTo>
                  <a:lnTo>
                    <a:pt x="1351109" y="131410"/>
                  </a:lnTo>
                  <a:lnTo>
                    <a:pt x="1347445" y="111652"/>
                  </a:lnTo>
                  <a:lnTo>
                    <a:pt x="1375674" y="106105"/>
                  </a:lnTo>
                  <a:lnTo>
                    <a:pt x="1424874" y="116874"/>
                  </a:lnTo>
                  <a:lnTo>
                    <a:pt x="1424683" y="146910"/>
                  </a:lnTo>
                  <a:lnTo>
                    <a:pt x="1444892" y="121596"/>
                  </a:lnTo>
                  <a:lnTo>
                    <a:pt x="1470432" y="122450"/>
                  </a:lnTo>
                  <a:lnTo>
                    <a:pt x="1484789" y="90535"/>
                  </a:lnTo>
                  <a:lnTo>
                    <a:pt x="1450775" y="70954"/>
                  </a:lnTo>
                  <a:lnTo>
                    <a:pt x="1413717" y="58124"/>
                  </a:lnTo>
                  <a:lnTo>
                    <a:pt x="1416263" y="23040"/>
                  </a:lnTo>
                  <a:lnTo>
                    <a:pt x="1453801" y="0"/>
                  </a:lnTo>
                  <a:lnTo>
                    <a:pt x="1495673" y="5092"/>
                  </a:lnTo>
                  <a:lnTo>
                    <a:pt x="1527798" y="19107"/>
                  </a:lnTo>
                  <a:lnTo>
                    <a:pt x="1570933" y="54902"/>
                  </a:lnTo>
                  <a:lnTo>
                    <a:pt x="1542762" y="7050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96" name="CA_12">
              <a:extLst>
                <a:ext uri="{FF2B5EF4-FFF2-40B4-BE49-F238E27FC236}">
                  <a16:creationId xmlns:a16="http://schemas.microsoft.com/office/drawing/2014/main" id="{00000000-0008-0000-2700-000010826400}"/>
                </a:ext>
              </a:extLst>
            </xdr:cNvPr>
            <xdr:cNvSpPr/>
          </xdr:nvSpPr>
          <xdr:spPr>
            <a:xfrm>
              <a:off x="2431986" y="1343993"/>
              <a:ext cx="584874" cy="151737"/>
            </a:xfrm>
            <a:custGeom>
              <a:avLst/>
              <a:gdLst/>
              <a:ahLst/>
              <a:cxnLst/>
              <a:rect l="0" t="0" r="0" b="0"/>
              <a:pathLst>
                <a:path w="584874" h="151737">
                  <a:moveTo>
                    <a:pt x="166205" y="6134"/>
                  </a:moveTo>
                  <a:lnTo>
                    <a:pt x="150358" y="21012"/>
                  </a:lnTo>
                  <a:lnTo>
                    <a:pt x="221012" y="11404"/>
                  </a:lnTo>
                  <a:lnTo>
                    <a:pt x="265163" y="27438"/>
                  </a:lnTo>
                  <a:lnTo>
                    <a:pt x="301041" y="11223"/>
                  </a:lnTo>
                  <a:lnTo>
                    <a:pt x="330057" y="21631"/>
                  </a:lnTo>
                  <a:lnTo>
                    <a:pt x="356032" y="52822"/>
                  </a:lnTo>
                  <a:lnTo>
                    <a:pt x="371983" y="39659"/>
                  </a:lnTo>
                  <a:lnTo>
                    <a:pt x="349428" y="7147"/>
                  </a:lnTo>
                  <a:lnTo>
                    <a:pt x="377365" y="2495"/>
                  </a:lnTo>
                  <a:lnTo>
                    <a:pt x="408921" y="7575"/>
                  </a:lnTo>
                  <a:lnTo>
                    <a:pt x="444484" y="20383"/>
                  </a:lnTo>
                  <a:lnTo>
                    <a:pt x="464414" y="51314"/>
                  </a:lnTo>
                  <a:lnTo>
                    <a:pt x="474256" y="73711"/>
                  </a:lnTo>
                  <a:lnTo>
                    <a:pt x="527577" y="89433"/>
                  </a:lnTo>
                  <a:lnTo>
                    <a:pt x="584873" y="104467"/>
                  </a:lnTo>
                  <a:lnTo>
                    <a:pt x="581428" y="118431"/>
                  </a:lnTo>
                  <a:lnTo>
                    <a:pt x="529298" y="120986"/>
                  </a:lnTo>
                  <a:lnTo>
                    <a:pt x="549551" y="133191"/>
                  </a:lnTo>
                  <a:lnTo>
                    <a:pt x="538855" y="144837"/>
                  </a:lnTo>
                  <a:lnTo>
                    <a:pt x="481393" y="139846"/>
                  </a:lnTo>
                  <a:lnTo>
                    <a:pt x="426784" y="131273"/>
                  </a:lnTo>
                  <a:lnTo>
                    <a:pt x="389874" y="133204"/>
                  </a:lnTo>
                  <a:lnTo>
                    <a:pt x="330264" y="143973"/>
                  </a:lnTo>
                  <a:lnTo>
                    <a:pt x="249806" y="148733"/>
                  </a:lnTo>
                  <a:lnTo>
                    <a:pt x="193319" y="151736"/>
                  </a:lnTo>
                  <a:lnTo>
                    <a:pt x="176117" y="136754"/>
                  </a:lnTo>
                  <a:lnTo>
                    <a:pt x="132778" y="128098"/>
                  </a:lnTo>
                  <a:lnTo>
                    <a:pt x="104588" y="131648"/>
                  </a:lnTo>
                  <a:lnTo>
                    <a:pt x="65468" y="106508"/>
                  </a:lnTo>
                  <a:lnTo>
                    <a:pt x="86592" y="103124"/>
                  </a:lnTo>
                  <a:lnTo>
                    <a:pt x="135601" y="97704"/>
                  </a:lnTo>
                  <a:lnTo>
                    <a:pt x="180359" y="99130"/>
                  </a:lnTo>
                  <a:lnTo>
                    <a:pt x="221802" y="93605"/>
                  </a:lnTo>
                  <a:lnTo>
                    <a:pt x="160401" y="86188"/>
                  </a:lnTo>
                  <a:lnTo>
                    <a:pt x="92558" y="88716"/>
                  </a:lnTo>
                  <a:lnTo>
                    <a:pt x="47536" y="88074"/>
                  </a:lnTo>
                  <a:lnTo>
                    <a:pt x="30785" y="76371"/>
                  </a:lnTo>
                  <a:lnTo>
                    <a:pt x="104423" y="63671"/>
                  </a:lnTo>
                  <a:lnTo>
                    <a:pt x="55445" y="64116"/>
                  </a:lnTo>
                  <a:lnTo>
                    <a:pt x="0" y="55753"/>
                  </a:lnTo>
                  <a:lnTo>
                    <a:pt x="26648" y="31963"/>
                  </a:lnTo>
                  <a:lnTo>
                    <a:pt x="48755" y="19326"/>
                  </a:lnTo>
                  <a:lnTo>
                    <a:pt x="133760"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97" name="CA_13">
              <a:extLst>
                <a:ext uri="{FF2B5EF4-FFF2-40B4-BE49-F238E27FC236}">
                  <a16:creationId xmlns:a16="http://schemas.microsoft.com/office/drawing/2014/main" id="{00000000-0008-0000-2700-000011826400}"/>
                </a:ext>
              </a:extLst>
            </xdr:cNvPr>
            <xdr:cNvSpPr/>
          </xdr:nvSpPr>
          <xdr:spPr>
            <a:xfrm>
              <a:off x="2827654" y="1333661"/>
              <a:ext cx="77472" cy="27941"/>
            </a:xfrm>
            <a:custGeom>
              <a:avLst/>
              <a:gdLst/>
              <a:ahLst/>
              <a:cxnLst/>
              <a:rect l="0" t="0" r="0" b="0"/>
              <a:pathLst>
                <a:path w="77472" h="27941">
                  <a:moveTo>
                    <a:pt x="77471" y="6985"/>
                  </a:moveTo>
                  <a:lnTo>
                    <a:pt x="49531" y="27940"/>
                  </a:lnTo>
                  <a:lnTo>
                    <a:pt x="0" y="5715"/>
                  </a:lnTo>
                  <a:lnTo>
                    <a:pt x="10796" y="1270"/>
                  </a:lnTo>
                  <a:lnTo>
                    <a:pt x="53341"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98" name="CA_14">
              <a:extLst>
                <a:ext uri="{FF2B5EF4-FFF2-40B4-BE49-F238E27FC236}">
                  <a16:creationId xmlns:a16="http://schemas.microsoft.com/office/drawing/2014/main" id="{00000000-0008-0000-2700-000012826400}"/>
                </a:ext>
              </a:extLst>
            </xdr:cNvPr>
            <xdr:cNvSpPr/>
          </xdr:nvSpPr>
          <xdr:spPr>
            <a:xfrm>
              <a:off x="3655183" y="1329861"/>
              <a:ext cx="146835" cy="32307"/>
            </a:xfrm>
            <a:custGeom>
              <a:avLst/>
              <a:gdLst/>
              <a:ahLst/>
              <a:cxnLst/>
              <a:rect l="0" t="0" r="0" b="0"/>
              <a:pathLst>
                <a:path w="146835" h="32307">
                  <a:moveTo>
                    <a:pt x="144021" y="20860"/>
                  </a:moveTo>
                  <a:lnTo>
                    <a:pt x="146834" y="29632"/>
                  </a:lnTo>
                  <a:lnTo>
                    <a:pt x="113084" y="28708"/>
                  </a:lnTo>
                  <a:lnTo>
                    <a:pt x="78880" y="28035"/>
                  </a:lnTo>
                  <a:lnTo>
                    <a:pt x="44126" y="32306"/>
                  </a:lnTo>
                  <a:lnTo>
                    <a:pt x="34935" y="30378"/>
                  </a:lnTo>
                  <a:lnTo>
                    <a:pt x="0" y="13541"/>
                  </a:lnTo>
                  <a:lnTo>
                    <a:pt x="1340" y="2111"/>
                  </a:lnTo>
                  <a:lnTo>
                    <a:pt x="16606" y="0"/>
                  </a:lnTo>
                  <a:lnTo>
                    <a:pt x="89272" y="342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99" name="CA_15">
              <a:extLst>
                <a:ext uri="{FF2B5EF4-FFF2-40B4-BE49-F238E27FC236}">
                  <a16:creationId xmlns:a16="http://schemas.microsoft.com/office/drawing/2014/main" id="{00000000-0008-0000-2700-000013826400}"/>
                </a:ext>
              </a:extLst>
            </xdr:cNvPr>
            <xdr:cNvSpPr/>
          </xdr:nvSpPr>
          <xdr:spPr>
            <a:xfrm>
              <a:off x="3358984" y="1328461"/>
              <a:ext cx="900215" cy="376965"/>
            </a:xfrm>
            <a:custGeom>
              <a:avLst/>
              <a:gdLst/>
              <a:ahLst/>
              <a:cxnLst/>
              <a:rect l="0" t="0" r="0" b="0"/>
              <a:pathLst>
                <a:path w="900215" h="376965">
                  <a:moveTo>
                    <a:pt x="115666" y="20523"/>
                  </a:moveTo>
                  <a:lnTo>
                    <a:pt x="140678" y="40313"/>
                  </a:lnTo>
                  <a:lnTo>
                    <a:pt x="170025" y="14716"/>
                  </a:lnTo>
                  <a:lnTo>
                    <a:pt x="250495" y="1676"/>
                  </a:lnTo>
                  <a:lnTo>
                    <a:pt x="304962" y="34522"/>
                  </a:lnTo>
                  <a:lnTo>
                    <a:pt x="300238" y="55305"/>
                  </a:lnTo>
                  <a:lnTo>
                    <a:pt x="363049" y="46088"/>
                  </a:lnTo>
                  <a:lnTo>
                    <a:pt x="393085" y="33471"/>
                  </a:lnTo>
                  <a:lnTo>
                    <a:pt x="463531" y="49533"/>
                  </a:lnTo>
                  <a:lnTo>
                    <a:pt x="507257" y="64665"/>
                  </a:lnTo>
                  <a:lnTo>
                    <a:pt x="511369" y="78518"/>
                  </a:lnTo>
                  <a:lnTo>
                    <a:pt x="570326" y="71339"/>
                  </a:lnTo>
                  <a:lnTo>
                    <a:pt x="603416" y="91560"/>
                  </a:lnTo>
                  <a:lnTo>
                    <a:pt x="680057" y="104102"/>
                  </a:lnTo>
                  <a:lnTo>
                    <a:pt x="707714" y="116900"/>
                  </a:lnTo>
                  <a:lnTo>
                    <a:pt x="737750" y="146612"/>
                  </a:lnTo>
                  <a:lnTo>
                    <a:pt x="679453" y="161404"/>
                  </a:lnTo>
                  <a:lnTo>
                    <a:pt x="754231" y="182137"/>
                  </a:lnTo>
                  <a:lnTo>
                    <a:pt x="804637" y="189112"/>
                  </a:lnTo>
                  <a:lnTo>
                    <a:pt x="850275" y="218291"/>
                  </a:lnTo>
                  <a:lnTo>
                    <a:pt x="900214" y="220399"/>
                  </a:lnTo>
                  <a:lnTo>
                    <a:pt x="890334" y="242681"/>
                  </a:lnTo>
                  <a:lnTo>
                    <a:pt x="834606" y="279562"/>
                  </a:lnTo>
                  <a:lnTo>
                    <a:pt x="795538" y="265995"/>
                  </a:lnTo>
                  <a:lnTo>
                    <a:pt x="745617" y="235451"/>
                  </a:lnTo>
                  <a:lnTo>
                    <a:pt x="704539" y="239430"/>
                  </a:lnTo>
                  <a:lnTo>
                    <a:pt x="700529" y="257619"/>
                  </a:lnTo>
                  <a:lnTo>
                    <a:pt x="733921" y="276076"/>
                  </a:lnTo>
                  <a:lnTo>
                    <a:pt x="777021" y="290684"/>
                  </a:lnTo>
                  <a:lnTo>
                    <a:pt x="790099" y="299120"/>
                  </a:lnTo>
                  <a:lnTo>
                    <a:pt x="810762" y="330546"/>
                  </a:lnTo>
                  <a:lnTo>
                    <a:pt x="799828" y="353365"/>
                  </a:lnTo>
                  <a:lnTo>
                    <a:pt x="759784" y="344764"/>
                  </a:lnTo>
                  <a:lnTo>
                    <a:pt x="680149" y="319345"/>
                  </a:lnTo>
                  <a:lnTo>
                    <a:pt x="725027" y="346703"/>
                  </a:lnTo>
                  <a:lnTo>
                    <a:pt x="758092" y="365877"/>
                  </a:lnTo>
                  <a:lnTo>
                    <a:pt x="763258" y="376964"/>
                  </a:lnTo>
                  <a:lnTo>
                    <a:pt x="677158" y="364290"/>
                  </a:lnTo>
                  <a:lnTo>
                    <a:pt x="609023" y="345856"/>
                  </a:lnTo>
                  <a:lnTo>
                    <a:pt x="570542" y="330390"/>
                  </a:lnTo>
                  <a:lnTo>
                    <a:pt x="581625" y="321430"/>
                  </a:lnTo>
                  <a:lnTo>
                    <a:pt x="534255" y="305111"/>
                  </a:lnTo>
                  <a:lnTo>
                    <a:pt x="488023" y="289709"/>
                  </a:lnTo>
                  <a:lnTo>
                    <a:pt x="488528" y="298916"/>
                  </a:lnTo>
                  <a:lnTo>
                    <a:pt x="396723" y="303984"/>
                  </a:lnTo>
                  <a:lnTo>
                    <a:pt x="369866" y="293081"/>
                  </a:lnTo>
                  <a:lnTo>
                    <a:pt x="390776" y="269703"/>
                  </a:lnTo>
                  <a:lnTo>
                    <a:pt x="450435" y="269138"/>
                  </a:lnTo>
                  <a:lnTo>
                    <a:pt x="515792" y="265081"/>
                  </a:lnTo>
                  <a:lnTo>
                    <a:pt x="505184" y="253746"/>
                  </a:lnTo>
                  <a:lnTo>
                    <a:pt x="516265" y="237909"/>
                  </a:lnTo>
                  <a:lnTo>
                    <a:pt x="557340" y="206984"/>
                  </a:lnTo>
                  <a:lnTo>
                    <a:pt x="548612" y="192941"/>
                  </a:lnTo>
                  <a:lnTo>
                    <a:pt x="536372" y="182067"/>
                  </a:lnTo>
                  <a:lnTo>
                    <a:pt x="487741" y="166662"/>
                  </a:lnTo>
                  <a:lnTo>
                    <a:pt x="423421" y="155864"/>
                  </a:lnTo>
                  <a:lnTo>
                    <a:pt x="443757" y="147828"/>
                  </a:lnTo>
                  <a:lnTo>
                    <a:pt x="410140" y="128089"/>
                  </a:lnTo>
                  <a:lnTo>
                    <a:pt x="382162" y="126279"/>
                  </a:lnTo>
                  <a:lnTo>
                    <a:pt x="357124" y="115471"/>
                  </a:lnTo>
                  <a:lnTo>
                    <a:pt x="340128" y="124841"/>
                  </a:lnTo>
                  <a:lnTo>
                    <a:pt x="282566" y="128924"/>
                  </a:lnTo>
                  <a:lnTo>
                    <a:pt x="167021" y="121831"/>
                  </a:lnTo>
                  <a:lnTo>
                    <a:pt x="99861" y="112515"/>
                  </a:lnTo>
                  <a:lnTo>
                    <a:pt x="48371" y="107731"/>
                  </a:lnTo>
                  <a:lnTo>
                    <a:pt x="21965" y="96577"/>
                  </a:lnTo>
                  <a:lnTo>
                    <a:pt x="55166" y="82093"/>
                  </a:lnTo>
                  <a:lnTo>
                    <a:pt x="10065" y="81953"/>
                  </a:lnTo>
                  <a:lnTo>
                    <a:pt x="0" y="49806"/>
                  </a:lnTo>
                  <a:lnTo>
                    <a:pt x="24404" y="21409"/>
                  </a:lnTo>
                  <a:lnTo>
                    <a:pt x="57055" y="8442"/>
                  </a:lnTo>
                  <a:lnTo>
                    <a:pt x="139034"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900" name="CA_16">
              <a:extLst>
                <a:ext uri="{FF2B5EF4-FFF2-40B4-BE49-F238E27FC236}">
                  <a16:creationId xmlns:a16="http://schemas.microsoft.com/office/drawing/2014/main" id="{00000000-0008-0000-2700-000014826400}"/>
                </a:ext>
              </a:extLst>
            </xdr:cNvPr>
            <xdr:cNvSpPr/>
          </xdr:nvSpPr>
          <xdr:spPr>
            <a:xfrm>
              <a:off x="2968625" y="1327188"/>
              <a:ext cx="189230" cy="81630"/>
            </a:xfrm>
            <a:custGeom>
              <a:avLst/>
              <a:gdLst/>
              <a:ahLst/>
              <a:cxnLst/>
              <a:rect l="0" t="0" r="0" b="0"/>
              <a:pathLst>
                <a:path w="189230" h="81630">
                  <a:moveTo>
                    <a:pt x="68059" y="0"/>
                  </a:moveTo>
                  <a:lnTo>
                    <a:pt x="105921" y="6683"/>
                  </a:lnTo>
                  <a:lnTo>
                    <a:pt x="162560" y="2663"/>
                  </a:lnTo>
                  <a:lnTo>
                    <a:pt x="170814" y="11871"/>
                  </a:lnTo>
                  <a:lnTo>
                    <a:pt x="141173" y="27095"/>
                  </a:lnTo>
                  <a:lnTo>
                    <a:pt x="189229" y="40763"/>
                  </a:lnTo>
                  <a:lnTo>
                    <a:pt x="183514" y="69338"/>
                  </a:lnTo>
                  <a:lnTo>
                    <a:pt x="131454" y="81629"/>
                  </a:lnTo>
                  <a:lnTo>
                    <a:pt x="100872" y="78978"/>
                  </a:lnTo>
                  <a:lnTo>
                    <a:pt x="78905" y="66852"/>
                  </a:lnTo>
                  <a:lnTo>
                    <a:pt x="0" y="42351"/>
                  </a:lnTo>
                  <a:lnTo>
                    <a:pt x="635" y="32191"/>
                  </a:lnTo>
                  <a:lnTo>
                    <a:pt x="65455" y="36131"/>
                  </a:lnTo>
                  <a:lnTo>
                    <a:pt x="30479" y="1536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901" name="CA_17">
              <a:extLst>
                <a:ext uri="{FF2B5EF4-FFF2-40B4-BE49-F238E27FC236}">
                  <a16:creationId xmlns:a16="http://schemas.microsoft.com/office/drawing/2014/main" id="{00000000-0008-0000-2700-000015826400}"/>
                </a:ext>
              </a:extLst>
            </xdr:cNvPr>
            <xdr:cNvSpPr/>
          </xdr:nvSpPr>
          <xdr:spPr>
            <a:xfrm>
              <a:off x="3173930" y="1317948"/>
              <a:ext cx="175384" cy="67003"/>
            </a:xfrm>
            <a:custGeom>
              <a:avLst/>
              <a:gdLst/>
              <a:ahLst/>
              <a:cxnLst/>
              <a:rect l="0" t="0" r="0" b="0"/>
              <a:pathLst>
                <a:path w="175384" h="67003">
                  <a:moveTo>
                    <a:pt x="90087" y="43272"/>
                  </a:moveTo>
                  <a:lnTo>
                    <a:pt x="56029" y="67002"/>
                  </a:lnTo>
                  <a:lnTo>
                    <a:pt x="19805" y="65818"/>
                  </a:lnTo>
                  <a:lnTo>
                    <a:pt x="0" y="37929"/>
                  </a:lnTo>
                  <a:lnTo>
                    <a:pt x="489" y="22146"/>
                  </a:lnTo>
                  <a:lnTo>
                    <a:pt x="17078" y="8652"/>
                  </a:lnTo>
                  <a:lnTo>
                    <a:pt x="48577" y="0"/>
                  </a:lnTo>
                  <a:lnTo>
                    <a:pt x="114735" y="1108"/>
                  </a:lnTo>
                  <a:lnTo>
                    <a:pt x="175383" y="8833"/>
                  </a:lnTo>
                  <a:lnTo>
                    <a:pt x="127942" y="3710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902" name="CA_18">
              <a:extLst>
                <a:ext uri="{FF2B5EF4-FFF2-40B4-BE49-F238E27FC236}">
                  <a16:creationId xmlns:a16="http://schemas.microsoft.com/office/drawing/2014/main" id="{00000000-0008-0000-2700-000016826400}"/>
                </a:ext>
              </a:extLst>
            </xdr:cNvPr>
            <xdr:cNvSpPr/>
          </xdr:nvSpPr>
          <xdr:spPr>
            <a:xfrm>
              <a:off x="2224757" y="1307979"/>
              <a:ext cx="330776" cy="112628"/>
            </a:xfrm>
            <a:custGeom>
              <a:avLst/>
              <a:gdLst/>
              <a:ahLst/>
              <a:cxnLst/>
              <a:rect l="0" t="0" r="0" b="0"/>
              <a:pathLst>
                <a:path w="330776" h="112628">
                  <a:moveTo>
                    <a:pt x="173638" y="97323"/>
                  </a:moveTo>
                  <a:lnTo>
                    <a:pt x="90065" y="112627"/>
                  </a:lnTo>
                  <a:lnTo>
                    <a:pt x="73307" y="98707"/>
                  </a:lnTo>
                  <a:lnTo>
                    <a:pt x="0" y="81921"/>
                  </a:lnTo>
                  <a:lnTo>
                    <a:pt x="13618" y="68472"/>
                  </a:lnTo>
                  <a:lnTo>
                    <a:pt x="35611" y="45285"/>
                  </a:lnTo>
                  <a:lnTo>
                    <a:pt x="63147" y="24412"/>
                  </a:lnTo>
                  <a:lnTo>
                    <a:pt x="32102" y="4956"/>
                  </a:lnTo>
                  <a:lnTo>
                    <a:pt x="139414" y="0"/>
                  </a:lnTo>
                  <a:lnTo>
                    <a:pt x="184756" y="6591"/>
                  </a:lnTo>
                  <a:lnTo>
                    <a:pt x="265852" y="8353"/>
                  </a:lnTo>
                  <a:lnTo>
                    <a:pt x="296688" y="17551"/>
                  </a:lnTo>
                  <a:lnTo>
                    <a:pt x="330775" y="30915"/>
                  </a:lnTo>
                  <a:lnTo>
                    <a:pt x="290862" y="38925"/>
                  </a:lnTo>
                  <a:lnTo>
                    <a:pt x="213007" y="61242"/>
                  </a:lnTo>
                  <a:lnTo>
                    <a:pt x="173638" y="8346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903" name="CA_19">
              <a:extLst>
                <a:ext uri="{FF2B5EF4-FFF2-40B4-BE49-F238E27FC236}">
                  <a16:creationId xmlns:a16="http://schemas.microsoft.com/office/drawing/2014/main" id="{00000000-0008-0000-2700-000017826400}"/>
                </a:ext>
              </a:extLst>
            </xdr:cNvPr>
            <xdr:cNvSpPr/>
          </xdr:nvSpPr>
          <xdr:spPr>
            <a:xfrm>
              <a:off x="3148936" y="1269933"/>
              <a:ext cx="101858" cy="33494"/>
            </a:xfrm>
            <a:custGeom>
              <a:avLst/>
              <a:gdLst/>
              <a:ahLst/>
              <a:cxnLst/>
              <a:rect l="0" t="0" r="0" b="0"/>
              <a:pathLst>
                <a:path w="101858" h="33494">
                  <a:moveTo>
                    <a:pt x="101857" y="21183"/>
                  </a:moveTo>
                  <a:lnTo>
                    <a:pt x="84582" y="33493"/>
                  </a:lnTo>
                  <a:lnTo>
                    <a:pt x="38487" y="31124"/>
                  </a:lnTo>
                  <a:lnTo>
                    <a:pt x="0" y="22847"/>
                  </a:lnTo>
                  <a:lnTo>
                    <a:pt x="16900" y="8553"/>
                  </a:lnTo>
                  <a:lnTo>
                    <a:pt x="62551" y="0"/>
                  </a:lnTo>
                  <a:lnTo>
                    <a:pt x="90272" y="11135"/>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904" name="CA_20">
              <a:extLst>
                <a:ext uri="{FF2B5EF4-FFF2-40B4-BE49-F238E27FC236}">
                  <a16:creationId xmlns:a16="http://schemas.microsoft.com/office/drawing/2014/main" id="{00000000-0008-0000-2700-000018826400}"/>
                </a:ext>
              </a:extLst>
            </xdr:cNvPr>
            <xdr:cNvSpPr/>
          </xdr:nvSpPr>
          <xdr:spPr>
            <a:xfrm>
              <a:off x="2966545" y="1235871"/>
              <a:ext cx="154341" cy="57869"/>
            </a:xfrm>
            <a:custGeom>
              <a:avLst/>
              <a:gdLst/>
              <a:ahLst/>
              <a:cxnLst/>
              <a:rect l="0" t="0" r="0" b="0"/>
              <a:pathLst>
                <a:path w="154341" h="57869">
                  <a:moveTo>
                    <a:pt x="129080" y="0"/>
                  </a:moveTo>
                  <a:lnTo>
                    <a:pt x="153349" y="14713"/>
                  </a:lnTo>
                  <a:lnTo>
                    <a:pt x="154340" y="31007"/>
                  </a:lnTo>
                  <a:lnTo>
                    <a:pt x="139875" y="54610"/>
                  </a:lnTo>
                  <a:lnTo>
                    <a:pt x="87528" y="57868"/>
                  </a:lnTo>
                  <a:lnTo>
                    <a:pt x="53397" y="52788"/>
                  </a:lnTo>
                  <a:lnTo>
                    <a:pt x="54057" y="34268"/>
                  </a:lnTo>
                  <a:lnTo>
                    <a:pt x="2013" y="36710"/>
                  </a:lnTo>
                  <a:lnTo>
                    <a:pt x="0" y="12173"/>
                  </a:lnTo>
                  <a:lnTo>
                    <a:pt x="34157" y="13164"/>
                  </a:lnTo>
                  <a:lnTo>
                    <a:pt x="81978" y="2340"/>
                  </a:lnTo>
                  <a:lnTo>
                    <a:pt x="126635" y="417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905" name="CA_21">
              <a:extLst>
                <a:ext uri="{FF2B5EF4-FFF2-40B4-BE49-F238E27FC236}">
                  <a16:creationId xmlns:a16="http://schemas.microsoft.com/office/drawing/2014/main" id="{00000000-0008-0000-2700-000019826400}"/>
                </a:ext>
              </a:extLst>
            </xdr:cNvPr>
            <xdr:cNvSpPr/>
          </xdr:nvSpPr>
          <xdr:spPr>
            <a:xfrm>
              <a:off x="2485694" y="1233516"/>
              <a:ext cx="381173" cy="76197"/>
            </a:xfrm>
            <a:custGeom>
              <a:avLst/>
              <a:gdLst/>
              <a:ahLst/>
              <a:cxnLst/>
              <a:rect l="0" t="0" r="0" b="0"/>
              <a:pathLst>
                <a:path w="381173" h="76197">
                  <a:moveTo>
                    <a:pt x="301594" y="18811"/>
                  </a:moveTo>
                  <a:lnTo>
                    <a:pt x="314040" y="30121"/>
                  </a:lnTo>
                  <a:lnTo>
                    <a:pt x="342313" y="24809"/>
                  </a:lnTo>
                  <a:lnTo>
                    <a:pt x="375584" y="26187"/>
                  </a:lnTo>
                  <a:lnTo>
                    <a:pt x="381172" y="41741"/>
                  </a:lnTo>
                  <a:lnTo>
                    <a:pt x="361852" y="56797"/>
                  </a:lnTo>
                  <a:lnTo>
                    <a:pt x="254331" y="61728"/>
                  </a:lnTo>
                  <a:lnTo>
                    <a:pt x="174222" y="75476"/>
                  </a:lnTo>
                  <a:lnTo>
                    <a:pt x="125940" y="76196"/>
                  </a:lnTo>
                  <a:lnTo>
                    <a:pt x="121889" y="65846"/>
                  </a:lnTo>
                  <a:lnTo>
                    <a:pt x="187840" y="51806"/>
                  </a:lnTo>
                  <a:lnTo>
                    <a:pt x="44393" y="55587"/>
                  </a:lnTo>
                  <a:lnTo>
                    <a:pt x="0" y="49911"/>
                  </a:lnTo>
                  <a:lnTo>
                    <a:pt x="43320" y="18897"/>
                  </a:lnTo>
                  <a:lnTo>
                    <a:pt x="73200" y="10010"/>
                  </a:lnTo>
                  <a:lnTo>
                    <a:pt x="162554" y="20729"/>
                  </a:lnTo>
                  <a:lnTo>
                    <a:pt x="218955" y="39528"/>
                  </a:lnTo>
                  <a:lnTo>
                    <a:pt x="274425" y="41941"/>
                  </a:lnTo>
                  <a:lnTo>
                    <a:pt x="229016" y="11569"/>
                  </a:lnTo>
                  <a:lnTo>
                    <a:pt x="258106" y="0"/>
                  </a:lnTo>
                  <a:lnTo>
                    <a:pt x="290887" y="367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906" name="CA_22">
              <a:extLst>
                <a:ext uri="{FF2B5EF4-FFF2-40B4-BE49-F238E27FC236}">
                  <a16:creationId xmlns:a16="http://schemas.microsoft.com/office/drawing/2014/main" id="{00000000-0008-0000-2700-00001A826400}"/>
                </a:ext>
              </a:extLst>
            </xdr:cNvPr>
            <xdr:cNvSpPr/>
          </xdr:nvSpPr>
          <xdr:spPr>
            <a:xfrm>
              <a:off x="3139395" y="1221857"/>
              <a:ext cx="548879" cy="87920"/>
            </a:xfrm>
            <a:custGeom>
              <a:avLst/>
              <a:gdLst/>
              <a:ahLst/>
              <a:cxnLst/>
              <a:rect l="0" t="0" r="0" b="0"/>
              <a:pathLst>
                <a:path w="548879" h="87920">
                  <a:moveTo>
                    <a:pt x="77384" y="2016"/>
                  </a:moveTo>
                  <a:lnTo>
                    <a:pt x="112633" y="12227"/>
                  </a:lnTo>
                  <a:lnTo>
                    <a:pt x="175146" y="12157"/>
                  </a:lnTo>
                  <a:lnTo>
                    <a:pt x="202552" y="22600"/>
                  </a:lnTo>
                  <a:lnTo>
                    <a:pt x="195316" y="34525"/>
                  </a:lnTo>
                  <a:lnTo>
                    <a:pt x="231750" y="41707"/>
                  </a:lnTo>
                  <a:lnTo>
                    <a:pt x="251914" y="49251"/>
                  </a:lnTo>
                  <a:lnTo>
                    <a:pt x="294738" y="50648"/>
                  </a:lnTo>
                  <a:lnTo>
                    <a:pt x="341065" y="53308"/>
                  </a:lnTo>
                  <a:lnTo>
                    <a:pt x="391535" y="46425"/>
                  </a:lnTo>
                  <a:lnTo>
                    <a:pt x="456184" y="43723"/>
                  </a:lnTo>
                  <a:lnTo>
                    <a:pt x="507775" y="45955"/>
                  </a:lnTo>
                  <a:lnTo>
                    <a:pt x="541779" y="57931"/>
                  </a:lnTo>
                  <a:lnTo>
                    <a:pt x="548878" y="71066"/>
                  </a:lnTo>
                  <a:lnTo>
                    <a:pt x="529069" y="79505"/>
                  </a:lnTo>
                  <a:lnTo>
                    <a:pt x="481730" y="86325"/>
                  </a:lnTo>
                  <a:lnTo>
                    <a:pt x="441087" y="82467"/>
                  </a:lnTo>
                  <a:lnTo>
                    <a:pt x="350009" y="87357"/>
                  </a:lnTo>
                  <a:lnTo>
                    <a:pt x="284829" y="87919"/>
                  </a:lnTo>
                  <a:lnTo>
                    <a:pt x="233575" y="84004"/>
                  </a:lnTo>
                  <a:lnTo>
                    <a:pt x="149193" y="73774"/>
                  </a:lnTo>
                  <a:lnTo>
                    <a:pt x="138211" y="56344"/>
                  </a:lnTo>
                  <a:lnTo>
                    <a:pt x="134350" y="40599"/>
                  </a:lnTo>
                  <a:lnTo>
                    <a:pt x="102476" y="26740"/>
                  </a:lnTo>
                  <a:lnTo>
                    <a:pt x="36795" y="22860"/>
                  </a:lnTo>
                  <a:lnTo>
                    <a:pt x="0" y="13027"/>
                  </a:lnTo>
                  <a:lnTo>
                    <a:pt x="11948"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907" name="CA_23">
              <a:extLst>
                <a:ext uri="{FF2B5EF4-FFF2-40B4-BE49-F238E27FC236}">
                  <a16:creationId xmlns:a16="http://schemas.microsoft.com/office/drawing/2014/main" id="{00000000-0008-0000-2700-00001B826400}"/>
                </a:ext>
              </a:extLst>
            </xdr:cNvPr>
            <xdr:cNvSpPr/>
          </xdr:nvSpPr>
          <xdr:spPr>
            <a:xfrm>
              <a:off x="2322356" y="1206493"/>
              <a:ext cx="211339" cy="55414"/>
            </a:xfrm>
            <a:custGeom>
              <a:avLst/>
              <a:gdLst/>
              <a:ahLst/>
              <a:cxnLst/>
              <a:rect l="0" t="0" r="0" b="0"/>
              <a:pathLst>
                <a:path w="211339" h="55414">
                  <a:moveTo>
                    <a:pt x="211338" y="0"/>
                  </a:moveTo>
                  <a:lnTo>
                    <a:pt x="206982" y="24394"/>
                  </a:lnTo>
                  <a:lnTo>
                    <a:pt x="182525" y="35411"/>
                  </a:lnTo>
                  <a:lnTo>
                    <a:pt x="152861" y="36960"/>
                  </a:lnTo>
                  <a:lnTo>
                    <a:pt x="93841" y="50549"/>
                  </a:lnTo>
                  <a:lnTo>
                    <a:pt x="43019" y="55413"/>
                  </a:lnTo>
                  <a:lnTo>
                    <a:pt x="0" y="48540"/>
                  </a:lnTo>
                  <a:lnTo>
                    <a:pt x="0" y="48540"/>
                  </a:lnTo>
                  <a:lnTo>
                    <a:pt x="53893" y="24791"/>
                  </a:lnTo>
                  <a:lnTo>
                    <a:pt x="119095" y="4226"/>
                  </a:lnTo>
                  <a:lnTo>
                    <a:pt x="167793" y="466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908" name="CA_24">
              <a:extLst>
                <a:ext uri="{FF2B5EF4-FFF2-40B4-BE49-F238E27FC236}">
                  <a16:creationId xmlns:a16="http://schemas.microsoft.com/office/drawing/2014/main" id="{00000000-0008-0000-2700-00001C826400}"/>
                </a:ext>
              </a:extLst>
            </xdr:cNvPr>
            <xdr:cNvSpPr/>
          </xdr:nvSpPr>
          <xdr:spPr>
            <a:xfrm>
              <a:off x="3161147" y="1200483"/>
              <a:ext cx="86221" cy="10901"/>
            </a:xfrm>
            <a:custGeom>
              <a:avLst/>
              <a:gdLst/>
              <a:ahLst/>
              <a:cxnLst/>
              <a:rect l="0" t="0" r="0" b="0"/>
              <a:pathLst>
                <a:path w="86221" h="10901">
                  <a:moveTo>
                    <a:pt x="82432" y="9988"/>
                  </a:moveTo>
                  <a:lnTo>
                    <a:pt x="67967" y="10900"/>
                  </a:lnTo>
                  <a:lnTo>
                    <a:pt x="8464" y="8874"/>
                  </a:lnTo>
                  <a:lnTo>
                    <a:pt x="0" y="0"/>
                  </a:lnTo>
                  <a:lnTo>
                    <a:pt x="63935" y="463"/>
                  </a:lnTo>
                  <a:lnTo>
                    <a:pt x="86220" y="635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909" name="CA_25">
              <a:extLst>
                <a:ext uri="{FF2B5EF4-FFF2-40B4-BE49-F238E27FC236}">
                  <a16:creationId xmlns:a16="http://schemas.microsoft.com/office/drawing/2014/main" id="{00000000-0008-0000-2700-00001D826400}"/>
                </a:ext>
              </a:extLst>
            </xdr:cNvPr>
            <xdr:cNvSpPr/>
          </xdr:nvSpPr>
          <xdr:spPr>
            <a:xfrm>
              <a:off x="2618285" y="1190374"/>
              <a:ext cx="116835" cy="23616"/>
            </a:xfrm>
            <a:custGeom>
              <a:avLst/>
              <a:gdLst/>
              <a:ahLst/>
              <a:cxnLst/>
              <a:rect l="0" t="0" r="0" b="0"/>
              <a:pathLst>
                <a:path w="116835" h="23616">
                  <a:moveTo>
                    <a:pt x="106280" y="14478"/>
                  </a:moveTo>
                  <a:lnTo>
                    <a:pt x="47089" y="23615"/>
                  </a:lnTo>
                  <a:lnTo>
                    <a:pt x="0" y="13360"/>
                  </a:lnTo>
                  <a:lnTo>
                    <a:pt x="25709" y="3235"/>
                  </a:lnTo>
                  <a:lnTo>
                    <a:pt x="72070" y="0"/>
                  </a:lnTo>
                  <a:lnTo>
                    <a:pt x="116834" y="4975"/>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910" name="CA_26">
              <a:extLst>
                <a:ext uri="{FF2B5EF4-FFF2-40B4-BE49-F238E27FC236}">
                  <a16:creationId xmlns:a16="http://schemas.microsoft.com/office/drawing/2014/main" id="{00000000-0008-0000-2700-00001E826400}"/>
                </a:ext>
              </a:extLst>
            </xdr:cNvPr>
            <xdr:cNvSpPr/>
          </xdr:nvSpPr>
          <xdr:spPr>
            <a:xfrm>
              <a:off x="2649788" y="1168244"/>
              <a:ext cx="91409" cy="14069"/>
            </a:xfrm>
            <a:custGeom>
              <a:avLst/>
              <a:gdLst/>
              <a:ahLst/>
              <a:cxnLst/>
              <a:rect l="0" t="0" r="0" b="0"/>
              <a:pathLst>
                <a:path w="91409" h="14069">
                  <a:moveTo>
                    <a:pt x="91408" y="7874"/>
                  </a:moveTo>
                  <a:lnTo>
                    <a:pt x="52730" y="14068"/>
                  </a:lnTo>
                  <a:lnTo>
                    <a:pt x="0" y="14037"/>
                  </a:lnTo>
                  <a:lnTo>
                    <a:pt x="514" y="9506"/>
                  </a:lnTo>
                  <a:lnTo>
                    <a:pt x="33087" y="0"/>
                  </a:lnTo>
                  <a:lnTo>
                    <a:pt x="50114" y="1448"/>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911" name="CA_27">
              <a:extLst>
                <a:ext uri="{FF2B5EF4-FFF2-40B4-BE49-F238E27FC236}">
                  <a16:creationId xmlns:a16="http://schemas.microsoft.com/office/drawing/2014/main" id="{00000000-0008-0000-2700-00001F826400}"/>
                </a:ext>
              </a:extLst>
            </xdr:cNvPr>
            <xdr:cNvSpPr/>
          </xdr:nvSpPr>
          <xdr:spPr>
            <a:xfrm>
              <a:off x="3091433" y="1167549"/>
              <a:ext cx="97560" cy="32427"/>
            </a:xfrm>
            <a:custGeom>
              <a:avLst/>
              <a:gdLst/>
              <a:ahLst/>
              <a:cxnLst/>
              <a:rect l="0" t="0" r="0" b="0"/>
              <a:pathLst>
                <a:path w="97560" h="32427">
                  <a:moveTo>
                    <a:pt x="88955" y="25876"/>
                  </a:moveTo>
                  <a:lnTo>
                    <a:pt x="41980" y="32426"/>
                  </a:lnTo>
                  <a:lnTo>
                    <a:pt x="16120" y="25050"/>
                  </a:lnTo>
                  <a:lnTo>
                    <a:pt x="2512" y="13138"/>
                  </a:lnTo>
                  <a:lnTo>
                    <a:pt x="0" y="0"/>
                  </a:lnTo>
                  <a:lnTo>
                    <a:pt x="41110" y="1266"/>
                  </a:lnTo>
                  <a:lnTo>
                    <a:pt x="59614" y="3368"/>
                  </a:lnTo>
                  <a:lnTo>
                    <a:pt x="97559" y="14401"/>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912" name="CA_28">
              <a:extLst>
                <a:ext uri="{FF2B5EF4-FFF2-40B4-BE49-F238E27FC236}">
                  <a16:creationId xmlns:a16="http://schemas.microsoft.com/office/drawing/2014/main" id="{00000000-0008-0000-2700-000020826400}"/>
                </a:ext>
              </a:extLst>
            </xdr:cNvPr>
            <xdr:cNvSpPr/>
          </xdr:nvSpPr>
          <xdr:spPr>
            <a:xfrm>
              <a:off x="2873619" y="1153906"/>
              <a:ext cx="184830" cy="44263"/>
            </a:xfrm>
            <a:custGeom>
              <a:avLst/>
              <a:gdLst/>
              <a:ahLst/>
              <a:cxnLst/>
              <a:rect l="0" t="0" r="0" b="0"/>
              <a:pathLst>
                <a:path w="184830" h="44263">
                  <a:moveTo>
                    <a:pt x="172469" y="31013"/>
                  </a:moveTo>
                  <a:lnTo>
                    <a:pt x="184829" y="44262"/>
                  </a:lnTo>
                  <a:lnTo>
                    <a:pt x="132982" y="40722"/>
                  </a:lnTo>
                  <a:lnTo>
                    <a:pt x="80724" y="30429"/>
                  </a:lnTo>
                  <a:lnTo>
                    <a:pt x="10039" y="29251"/>
                  </a:lnTo>
                  <a:lnTo>
                    <a:pt x="40700" y="19818"/>
                  </a:lnTo>
                  <a:lnTo>
                    <a:pt x="2308" y="12169"/>
                  </a:lnTo>
                  <a:lnTo>
                    <a:pt x="0" y="0"/>
                  </a:lnTo>
                  <a:lnTo>
                    <a:pt x="62325" y="4327"/>
                  </a:lnTo>
                  <a:lnTo>
                    <a:pt x="148180" y="1591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913" name="CA_29">
              <a:extLst>
                <a:ext uri="{FF2B5EF4-FFF2-40B4-BE49-F238E27FC236}">
                  <a16:creationId xmlns:a16="http://schemas.microsoft.com/office/drawing/2014/main" id="{00000000-0008-0000-2700-000021826400}"/>
                </a:ext>
              </a:extLst>
            </xdr:cNvPr>
            <xdr:cNvSpPr/>
          </xdr:nvSpPr>
          <xdr:spPr>
            <a:xfrm>
              <a:off x="3152467" y="1091809"/>
              <a:ext cx="345926" cy="96588"/>
            </a:xfrm>
            <a:custGeom>
              <a:avLst/>
              <a:gdLst/>
              <a:ahLst/>
              <a:cxnLst/>
              <a:rect l="0" t="0" r="0" b="0"/>
              <a:pathLst>
                <a:path w="345926" h="96588">
                  <a:moveTo>
                    <a:pt x="307648" y="50717"/>
                  </a:moveTo>
                  <a:lnTo>
                    <a:pt x="345925" y="60976"/>
                  </a:lnTo>
                  <a:lnTo>
                    <a:pt x="302326" y="70425"/>
                  </a:lnTo>
                  <a:lnTo>
                    <a:pt x="243662" y="94304"/>
                  </a:lnTo>
                  <a:lnTo>
                    <a:pt x="187493" y="96587"/>
                  </a:lnTo>
                  <a:lnTo>
                    <a:pt x="121697" y="92523"/>
                  </a:lnTo>
                  <a:lnTo>
                    <a:pt x="87582" y="79578"/>
                  </a:lnTo>
                  <a:lnTo>
                    <a:pt x="88074" y="68062"/>
                  </a:lnTo>
                  <a:lnTo>
                    <a:pt x="113172" y="59604"/>
                  </a:lnTo>
                  <a:lnTo>
                    <a:pt x="55108" y="59846"/>
                  </a:lnTo>
                  <a:lnTo>
                    <a:pt x="20116" y="49289"/>
                  </a:lnTo>
                  <a:lnTo>
                    <a:pt x="0" y="34912"/>
                  </a:lnTo>
                  <a:lnTo>
                    <a:pt x="22012" y="20799"/>
                  </a:lnTo>
                  <a:lnTo>
                    <a:pt x="44015" y="11116"/>
                  </a:lnTo>
                  <a:lnTo>
                    <a:pt x="76558" y="8893"/>
                  </a:lnTo>
                  <a:lnTo>
                    <a:pt x="62684" y="1616"/>
                  </a:lnTo>
                  <a:lnTo>
                    <a:pt x="136521" y="0"/>
                  </a:lnTo>
                  <a:lnTo>
                    <a:pt x="177063" y="16951"/>
                  </a:lnTo>
                  <a:lnTo>
                    <a:pt x="230495" y="23752"/>
                  </a:lnTo>
                  <a:lnTo>
                    <a:pt x="282565" y="2976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914" name="CA_30">
              <a:extLst>
                <a:ext uri="{FF2B5EF4-FFF2-40B4-BE49-F238E27FC236}">
                  <a16:creationId xmlns:a16="http://schemas.microsoft.com/office/drawing/2014/main" id="{00000000-0008-0000-2700-000022826400}"/>
                </a:ext>
              </a:extLst>
            </xdr:cNvPr>
            <xdr:cNvSpPr/>
          </xdr:nvSpPr>
          <xdr:spPr>
            <a:xfrm>
              <a:off x="3315112" y="1029077"/>
              <a:ext cx="944151" cy="224001"/>
            </a:xfrm>
            <a:custGeom>
              <a:avLst/>
              <a:gdLst/>
              <a:ahLst/>
              <a:cxnLst/>
              <a:rect l="0" t="0" r="0" b="0"/>
              <a:pathLst>
                <a:path w="944151" h="224001">
                  <a:moveTo>
                    <a:pt x="733013" y="4029"/>
                  </a:moveTo>
                  <a:lnTo>
                    <a:pt x="817871" y="6515"/>
                  </a:lnTo>
                  <a:lnTo>
                    <a:pt x="886047" y="10579"/>
                  </a:lnTo>
                  <a:lnTo>
                    <a:pt x="944150" y="19196"/>
                  </a:lnTo>
                  <a:lnTo>
                    <a:pt x="942756" y="27674"/>
                  </a:lnTo>
                  <a:lnTo>
                    <a:pt x="865283" y="41447"/>
                  </a:lnTo>
                  <a:lnTo>
                    <a:pt x="788467" y="47876"/>
                  </a:lnTo>
                  <a:lnTo>
                    <a:pt x="759759" y="54985"/>
                  </a:lnTo>
                  <a:lnTo>
                    <a:pt x="828888" y="54820"/>
                  </a:lnTo>
                  <a:lnTo>
                    <a:pt x="753967" y="74079"/>
                  </a:lnTo>
                  <a:lnTo>
                    <a:pt x="702224" y="83071"/>
                  </a:lnTo>
                  <a:lnTo>
                    <a:pt x="647922" y="109004"/>
                  </a:lnTo>
                  <a:lnTo>
                    <a:pt x="582429" y="114269"/>
                  </a:lnTo>
                  <a:lnTo>
                    <a:pt x="562197" y="120746"/>
                  </a:lnTo>
                  <a:lnTo>
                    <a:pt x="466068" y="124146"/>
                  </a:lnTo>
                  <a:lnTo>
                    <a:pt x="509835" y="128127"/>
                  </a:lnTo>
                  <a:lnTo>
                    <a:pt x="487887" y="133798"/>
                  </a:lnTo>
                  <a:lnTo>
                    <a:pt x="514144" y="149460"/>
                  </a:lnTo>
                  <a:lnTo>
                    <a:pt x="483981" y="160344"/>
                  </a:lnTo>
                  <a:lnTo>
                    <a:pt x="434928" y="169333"/>
                  </a:lnTo>
                  <a:lnTo>
                    <a:pt x="419872" y="181756"/>
                  </a:lnTo>
                  <a:lnTo>
                    <a:pt x="375523" y="191246"/>
                  </a:lnTo>
                  <a:lnTo>
                    <a:pt x="379962" y="198431"/>
                  </a:lnTo>
                  <a:lnTo>
                    <a:pt x="434216" y="197206"/>
                  </a:lnTo>
                  <a:lnTo>
                    <a:pt x="434909" y="204953"/>
                  </a:lnTo>
                  <a:lnTo>
                    <a:pt x="350066" y="224000"/>
                  </a:lnTo>
                  <a:lnTo>
                    <a:pt x="267100" y="215240"/>
                  </a:lnTo>
                  <a:lnTo>
                    <a:pt x="173838" y="220161"/>
                  </a:lnTo>
                  <a:lnTo>
                    <a:pt x="126588" y="216319"/>
                  </a:lnTo>
                  <a:lnTo>
                    <a:pt x="66558" y="214656"/>
                  </a:lnTo>
                  <a:lnTo>
                    <a:pt x="62576" y="199425"/>
                  </a:lnTo>
                  <a:lnTo>
                    <a:pt x="121273" y="192243"/>
                  </a:lnTo>
                  <a:lnTo>
                    <a:pt x="105633" y="169329"/>
                  </a:lnTo>
                  <a:lnTo>
                    <a:pt x="125000" y="167101"/>
                  </a:lnTo>
                  <a:lnTo>
                    <a:pt x="209890" y="180801"/>
                  </a:lnTo>
                  <a:lnTo>
                    <a:pt x="166592" y="160439"/>
                  </a:lnTo>
                  <a:lnTo>
                    <a:pt x="115097" y="154350"/>
                  </a:lnTo>
                  <a:lnTo>
                    <a:pt x="140811" y="142066"/>
                  </a:lnTo>
                  <a:lnTo>
                    <a:pt x="197114" y="134503"/>
                  </a:lnTo>
                  <a:lnTo>
                    <a:pt x="206125" y="123438"/>
                  </a:lnTo>
                  <a:lnTo>
                    <a:pt x="161281" y="111030"/>
                  </a:lnTo>
                  <a:lnTo>
                    <a:pt x="147803" y="94669"/>
                  </a:lnTo>
                  <a:lnTo>
                    <a:pt x="234588" y="96038"/>
                  </a:lnTo>
                  <a:lnTo>
                    <a:pt x="259661" y="99479"/>
                  </a:lnTo>
                  <a:lnTo>
                    <a:pt x="309207" y="87910"/>
                  </a:lnTo>
                  <a:lnTo>
                    <a:pt x="237713" y="84239"/>
                  </a:lnTo>
                  <a:lnTo>
                    <a:pt x="126619" y="86262"/>
                  </a:lnTo>
                  <a:lnTo>
                    <a:pt x="70498" y="75486"/>
                  </a:lnTo>
                  <a:lnTo>
                    <a:pt x="44038" y="62649"/>
                  </a:lnTo>
                  <a:lnTo>
                    <a:pt x="6957" y="53344"/>
                  </a:lnTo>
                  <a:lnTo>
                    <a:pt x="0" y="42510"/>
                  </a:lnTo>
                  <a:lnTo>
                    <a:pt x="47213" y="36456"/>
                  </a:lnTo>
                  <a:lnTo>
                    <a:pt x="84287" y="35424"/>
                  </a:lnTo>
                  <a:lnTo>
                    <a:pt x="146584" y="30277"/>
                  </a:lnTo>
                  <a:lnTo>
                    <a:pt x="193263" y="18444"/>
                  </a:lnTo>
                  <a:lnTo>
                    <a:pt x="232633" y="20104"/>
                  </a:lnTo>
                  <a:lnTo>
                    <a:pt x="266922" y="28994"/>
                  </a:lnTo>
                  <a:lnTo>
                    <a:pt x="291053" y="11849"/>
                  </a:lnTo>
                  <a:lnTo>
                    <a:pt x="332963" y="6769"/>
                  </a:lnTo>
                  <a:lnTo>
                    <a:pt x="389903" y="3258"/>
                  </a:lnTo>
                  <a:lnTo>
                    <a:pt x="486950" y="1940"/>
                  </a:lnTo>
                  <a:lnTo>
                    <a:pt x="503816" y="5372"/>
                  </a:lnTo>
                  <a:lnTo>
                    <a:pt x="595488" y="0"/>
                  </a:lnTo>
                  <a:lnTo>
                    <a:pt x="664248" y="201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nvGrpSpPr>
          <xdr:cNvPr id="23" name="CHN">
            <a:extLst>
              <a:ext uri="{FF2B5EF4-FFF2-40B4-BE49-F238E27FC236}">
                <a16:creationId xmlns:a16="http://schemas.microsoft.com/office/drawing/2014/main" id="{00000000-0008-0000-2700-000017000000}"/>
              </a:ext>
            </a:extLst>
          </xdr:cNvPr>
          <xdr:cNvGrpSpPr/>
        </xdr:nvGrpSpPr>
        <xdr:grpSpPr>
          <a:xfrm>
            <a:off x="8670504" y="1720414"/>
            <a:ext cx="1949515" cy="1119541"/>
            <a:chOff x="8562193" y="1974414"/>
            <a:chExt cx="1947892" cy="1119541"/>
          </a:xfrm>
          <a:grpFill/>
        </xdr:grpSpPr>
        <xdr:sp macro="" textlink="">
          <xdr:nvSpPr>
            <xdr:cNvPr id="6586883" name="CN_1">
              <a:extLst>
                <a:ext uri="{FF2B5EF4-FFF2-40B4-BE49-F238E27FC236}">
                  <a16:creationId xmlns:a16="http://schemas.microsoft.com/office/drawing/2014/main" id="{00000000-0008-0000-2700-000003826400}"/>
                </a:ext>
              </a:extLst>
            </xdr:cNvPr>
            <xdr:cNvSpPr/>
          </xdr:nvSpPr>
          <xdr:spPr>
            <a:xfrm>
              <a:off x="9671881" y="3033515"/>
              <a:ext cx="75690" cy="60440"/>
            </a:xfrm>
            <a:custGeom>
              <a:avLst/>
              <a:gdLst/>
              <a:ahLst/>
              <a:cxnLst/>
              <a:rect l="0" t="0" r="0" b="0"/>
              <a:pathLst>
                <a:path w="75690" h="60440">
                  <a:moveTo>
                    <a:pt x="54388" y="45177"/>
                  </a:moveTo>
                  <a:lnTo>
                    <a:pt x="26956" y="60439"/>
                  </a:lnTo>
                  <a:lnTo>
                    <a:pt x="921" y="50597"/>
                  </a:lnTo>
                  <a:lnTo>
                    <a:pt x="0" y="23286"/>
                  </a:lnTo>
                  <a:lnTo>
                    <a:pt x="15650" y="8900"/>
                  </a:lnTo>
                  <a:lnTo>
                    <a:pt x="50337" y="0"/>
                  </a:lnTo>
                  <a:lnTo>
                    <a:pt x="68593" y="756"/>
                  </a:lnTo>
                  <a:lnTo>
                    <a:pt x="75689" y="12872"/>
                  </a:lnTo>
                  <a:lnTo>
                    <a:pt x="61735" y="2684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84" name="CN_2">
              <a:extLst>
                <a:ext uri="{FF2B5EF4-FFF2-40B4-BE49-F238E27FC236}">
                  <a16:creationId xmlns:a16="http://schemas.microsoft.com/office/drawing/2014/main" id="{00000000-0008-0000-2700-000004826400}"/>
                </a:ext>
              </a:extLst>
            </xdr:cNvPr>
            <xdr:cNvSpPr/>
          </xdr:nvSpPr>
          <xdr:spPr>
            <a:xfrm>
              <a:off x="8562193" y="1974414"/>
              <a:ext cx="1947892" cy="1053349"/>
            </a:xfrm>
            <a:custGeom>
              <a:avLst/>
              <a:gdLst/>
              <a:ahLst/>
              <a:cxnLst/>
              <a:rect l="0" t="0" r="0" b="0"/>
              <a:pathLst>
                <a:path w="1947892" h="1053349">
                  <a:moveTo>
                    <a:pt x="1713929" y="117428"/>
                  </a:moveTo>
                  <a:lnTo>
                    <a:pt x="1769187" y="127578"/>
                  </a:lnTo>
                  <a:lnTo>
                    <a:pt x="1806795" y="150149"/>
                  </a:lnTo>
                  <a:lnTo>
                    <a:pt x="1819653" y="179982"/>
                  </a:lnTo>
                  <a:lnTo>
                    <a:pt x="1867894" y="180017"/>
                  </a:lnTo>
                  <a:lnTo>
                    <a:pt x="1895419" y="167494"/>
                  </a:lnTo>
                  <a:lnTo>
                    <a:pt x="1947891" y="158135"/>
                  </a:lnTo>
                  <a:lnTo>
                    <a:pt x="1931207" y="186703"/>
                  </a:lnTo>
                  <a:lnTo>
                    <a:pt x="1918875" y="198321"/>
                  </a:lnTo>
                  <a:lnTo>
                    <a:pt x="1907991" y="233106"/>
                  </a:lnTo>
                  <a:lnTo>
                    <a:pt x="1886639" y="263992"/>
                  </a:lnTo>
                  <a:lnTo>
                    <a:pt x="1848108" y="258369"/>
                  </a:lnTo>
                  <a:lnTo>
                    <a:pt x="1820856" y="269583"/>
                  </a:lnTo>
                  <a:lnTo>
                    <a:pt x="1829220" y="296777"/>
                  </a:lnTo>
                  <a:lnTo>
                    <a:pt x="1824651" y="334290"/>
                  </a:lnTo>
                  <a:lnTo>
                    <a:pt x="1808433" y="335147"/>
                  </a:lnTo>
                  <a:lnTo>
                    <a:pt x="1808626" y="351276"/>
                  </a:lnTo>
                  <a:lnTo>
                    <a:pt x="1788126" y="332531"/>
                  </a:lnTo>
                  <a:lnTo>
                    <a:pt x="1775502" y="350324"/>
                  </a:lnTo>
                  <a:lnTo>
                    <a:pt x="1726464" y="363998"/>
                  </a:lnTo>
                  <a:lnTo>
                    <a:pt x="1731423" y="380747"/>
                  </a:lnTo>
                  <a:lnTo>
                    <a:pt x="1703972" y="379591"/>
                  </a:lnTo>
                  <a:lnTo>
                    <a:pt x="1688900" y="369640"/>
                  </a:lnTo>
                  <a:lnTo>
                    <a:pt x="1667085" y="392161"/>
                  </a:lnTo>
                  <a:lnTo>
                    <a:pt x="1632094" y="409226"/>
                  </a:lnTo>
                  <a:lnTo>
                    <a:pt x="1606239" y="429588"/>
                  </a:lnTo>
                  <a:lnTo>
                    <a:pt x="1561853" y="438817"/>
                  </a:lnTo>
                  <a:lnTo>
                    <a:pt x="1538478" y="453654"/>
                  </a:lnTo>
                  <a:lnTo>
                    <a:pt x="1504290" y="462322"/>
                  </a:lnTo>
                  <a:lnTo>
                    <a:pt x="1521162" y="447609"/>
                  </a:lnTo>
                  <a:lnTo>
                    <a:pt x="1514520" y="435245"/>
                  </a:lnTo>
                  <a:lnTo>
                    <a:pt x="1539660" y="413906"/>
                  </a:lnTo>
                  <a:lnTo>
                    <a:pt x="1522889" y="397269"/>
                  </a:lnTo>
                  <a:lnTo>
                    <a:pt x="1495210" y="408477"/>
                  </a:lnTo>
                  <a:lnTo>
                    <a:pt x="1459364" y="430553"/>
                  </a:lnTo>
                  <a:lnTo>
                    <a:pt x="1439803" y="451057"/>
                  </a:lnTo>
                  <a:lnTo>
                    <a:pt x="1408662" y="452581"/>
                  </a:lnTo>
                  <a:lnTo>
                    <a:pt x="1392469" y="467399"/>
                  </a:lnTo>
                  <a:lnTo>
                    <a:pt x="1409202" y="488865"/>
                  </a:lnTo>
                  <a:lnTo>
                    <a:pt x="1435186" y="494078"/>
                  </a:lnTo>
                  <a:lnTo>
                    <a:pt x="1436250" y="508328"/>
                  </a:lnTo>
                  <a:lnTo>
                    <a:pt x="1461371" y="517602"/>
                  </a:lnTo>
                  <a:lnTo>
                    <a:pt x="1496953" y="494932"/>
                  </a:lnTo>
                  <a:lnTo>
                    <a:pt x="1525140" y="507293"/>
                  </a:lnTo>
                  <a:lnTo>
                    <a:pt x="1545670" y="508137"/>
                  </a:lnTo>
                  <a:lnTo>
                    <a:pt x="1550816" y="524771"/>
                  </a:lnTo>
                  <a:lnTo>
                    <a:pt x="1505865" y="533639"/>
                  </a:lnTo>
                  <a:lnTo>
                    <a:pt x="1491032" y="550780"/>
                  </a:lnTo>
                  <a:lnTo>
                    <a:pt x="1460158" y="566706"/>
                  </a:lnTo>
                  <a:lnTo>
                    <a:pt x="1443857" y="588928"/>
                  </a:lnTo>
                  <a:lnTo>
                    <a:pt x="1478029" y="606378"/>
                  </a:lnTo>
                  <a:lnTo>
                    <a:pt x="1490505" y="637607"/>
                  </a:lnTo>
                  <a:lnTo>
                    <a:pt x="1509827" y="666703"/>
                  </a:lnTo>
                  <a:lnTo>
                    <a:pt x="1531389" y="691090"/>
                  </a:lnTo>
                  <a:lnTo>
                    <a:pt x="1530874" y="714674"/>
                  </a:lnTo>
                  <a:lnTo>
                    <a:pt x="1510948" y="723345"/>
                  </a:lnTo>
                  <a:lnTo>
                    <a:pt x="1518542" y="740280"/>
                  </a:lnTo>
                  <a:lnTo>
                    <a:pt x="1537230" y="750135"/>
                  </a:lnTo>
                  <a:lnTo>
                    <a:pt x="1532351" y="775996"/>
                  </a:lnTo>
                  <a:lnTo>
                    <a:pt x="1524286" y="801158"/>
                  </a:lnTo>
                  <a:lnTo>
                    <a:pt x="1506548" y="804009"/>
                  </a:lnTo>
                  <a:lnTo>
                    <a:pt x="1483364" y="838378"/>
                  </a:lnTo>
                  <a:lnTo>
                    <a:pt x="1457646" y="880047"/>
                  </a:lnTo>
                  <a:lnTo>
                    <a:pt x="1428163" y="917937"/>
                  </a:lnTo>
                  <a:lnTo>
                    <a:pt x="1384497" y="947240"/>
                  </a:lnTo>
                  <a:lnTo>
                    <a:pt x="1340336" y="973960"/>
                  </a:lnTo>
                  <a:lnTo>
                    <a:pt x="1304557" y="977605"/>
                  </a:lnTo>
                  <a:lnTo>
                    <a:pt x="1285148" y="991712"/>
                  </a:lnTo>
                  <a:lnTo>
                    <a:pt x="1274173" y="981409"/>
                  </a:lnTo>
                  <a:lnTo>
                    <a:pt x="1256211" y="997186"/>
                  </a:lnTo>
                  <a:lnTo>
                    <a:pt x="1211841" y="1013089"/>
                  </a:lnTo>
                  <a:lnTo>
                    <a:pt x="1178246" y="1017959"/>
                  </a:lnTo>
                  <a:lnTo>
                    <a:pt x="1167403" y="1051491"/>
                  </a:lnTo>
                  <a:lnTo>
                    <a:pt x="1149811" y="1053348"/>
                  </a:lnTo>
                  <a:lnTo>
                    <a:pt x="1141486" y="1030307"/>
                  </a:lnTo>
                  <a:lnTo>
                    <a:pt x="1149004" y="1018023"/>
                  </a:lnTo>
                  <a:lnTo>
                    <a:pt x="1106405" y="1007860"/>
                  </a:lnTo>
                  <a:lnTo>
                    <a:pt x="1091400" y="1013029"/>
                  </a:lnTo>
                  <a:lnTo>
                    <a:pt x="1059435" y="1004790"/>
                  </a:lnTo>
                  <a:lnTo>
                    <a:pt x="1044319" y="991890"/>
                  </a:lnTo>
                  <a:lnTo>
                    <a:pt x="1049338" y="973598"/>
                  </a:lnTo>
                  <a:lnTo>
                    <a:pt x="1020312" y="967801"/>
                  </a:lnTo>
                  <a:lnTo>
                    <a:pt x="1005009" y="955888"/>
                  </a:lnTo>
                  <a:lnTo>
                    <a:pt x="977948" y="972808"/>
                  </a:lnTo>
                  <a:lnTo>
                    <a:pt x="947074" y="976472"/>
                  </a:lnTo>
                  <a:lnTo>
                    <a:pt x="921754" y="976313"/>
                  </a:lnTo>
                  <a:lnTo>
                    <a:pt x="904717" y="984060"/>
                  </a:lnTo>
                  <a:lnTo>
                    <a:pt x="888258" y="988715"/>
                  </a:lnTo>
                  <a:lnTo>
                    <a:pt x="893055" y="1025030"/>
                  </a:lnTo>
                  <a:lnTo>
                    <a:pt x="876129" y="1024164"/>
                  </a:lnTo>
                  <a:lnTo>
                    <a:pt x="873272" y="1016705"/>
                  </a:lnTo>
                  <a:lnTo>
                    <a:pt x="872319" y="1003580"/>
                  </a:lnTo>
                  <a:lnTo>
                    <a:pt x="849030" y="1012825"/>
                  </a:lnTo>
                  <a:lnTo>
                    <a:pt x="835283" y="1006980"/>
                  </a:lnTo>
                  <a:lnTo>
                    <a:pt x="811705" y="995061"/>
                  </a:lnTo>
                  <a:lnTo>
                    <a:pt x="820948" y="968687"/>
                  </a:lnTo>
                  <a:lnTo>
                    <a:pt x="800840" y="962537"/>
                  </a:lnTo>
                  <a:lnTo>
                    <a:pt x="793271" y="933308"/>
                  </a:lnTo>
                  <a:lnTo>
                    <a:pt x="759756" y="938575"/>
                  </a:lnTo>
                  <a:lnTo>
                    <a:pt x="763563" y="900913"/>
                  </a:lnTo>
                  <a:lnTo>
                    <a:pt x="793636" y="874399"/>
                  </a:lnTo>
                  <a:lnTo>
                    <a:pt x="794916" y="848211"/>
                  </a:lnTo>
                  <a:lnTo>
                    <a:pt x="793982" y="823913"/>
                  </a:lnTo>
                  <a:lnTo>
                    <a:pt x="780123" y="816344"/>
                  </a:lnTo>
                  <a:lnTo>
                    <a:pt x="769513" y="797653"/>
                  </a:lnTo>
                  <a:lnTo>
                    <a:pt x="750942" y="800012"/>
                  </a:lnTo>
                  <a:lnTo>
                    <a:pt x="716706" y="795268"/>
                  </a:lnTo>
                  <a:lnTo>
                    <a:pt x="727431" y="781933"/>
                  </a:lnTo>
                  <a:lnTo>
                    <a:pt x="712543" y="762191"/>
                  </a:lnTo>
                  <a:lnTo>
                    <a:pt x="689909" y="775561"/>
                  </a:lnTo>
                  <a:lnTo>
                    <a:pt x="663277" y="767760"/>
                  </a:lnTo>
                  <a:lnTo>
                    <a:pt x="626679" y="787978"/>
                  </a:lnTo>
                  <a:lnTo>
                    <a:pt x="597780" y="811591"/>
                  </a:lnTo>
                  <a:lnTo>
                    <a:pt x="572177" y="815566"/>
                  </a:lnTo>
                  <a:lnTo>
                    <a:pt x="558277" y="807028"/>
                  </a:lnTo>
                  <a:lnTo>
                    <a:pt x="541500" y="806254"/>
                  </a:lnTo>
                  <a:lnTo>
                    <a:pt x="518808" y="798907"/>
                  </a:lnTo>
                  <a:lnTo>
                    <a:pt x="501663" y="806959"/>
                  </a:lnTo>
                  <a:lnTo>
                    <a:pt x="480658" y="830565"/>
                  </a:lnTo>
                  <a:lnTo>
                    <a:pt x="477993" y="805558"/>
                  </a:lnTo>
                  <a:lnTo>
                    <a:pt x="458630" y="812238"/>
                  </a:lnTo>
                  <a:lnTo>
                    <a:pt x="421612" y="809133"/>
                  </a:lnTo>
                  <a:lnTo>
                    <a:pt x="385696" y="801853"/>
                  </a:lnTo>
                  <a:lnTo>
                    <a:pt x="359925" y="787909"/>
                  </a:lnTo>
                  <a:lnTo>
                    <a:pt x="335255" y="781651"/>
                  </a:lnTo>
                  <a:lnTo>
                    <a:pt x="324600" y="766401"/>
                  </a:lnTo>
                  <a:lnTo>
                    <a:pt x="306760" y="761845"/>
                  </a:lnTo>
                  <a:lnTo>
                    <a:pt x="274704" y="741157"/>
                  </a:lnTo>
                  <a:lnTo>
                    <a:pt x="249251" y="731397"/>
                  </a:lnTo>
                  <a:lnTo>
                    <a:pt x="236090" y="738991"/>
                  </a:lnTo>
                  <a:lnTo>
                    <a:pt x="191961" y="716792"/>
                  </a:lnTo>
                  <a:lnTo>
                    <a:pt x="160766" y="696688"/>
                  </a:lnTo>
                  <a:lnTo>
                    <a:pt x="151861" y="661690"/>
                  </a:lnTo>
                  <a:lnTo>
                    <a:pt x="174648" y="665957"/>
                  </a:lnTo>
                  <a:lnTo>
                    <a:pt x="175689" y="649745"/>
                  </a:lnTo>
                  <a:lnTo>
                    <a:pt x="163059" y="633496"/>
                  </a:lnTo>
                  <a:lnTo>
                    <a:pt x="166272" y="607597"/>
                  </a:lnTo>
                  <a:lnTo>
                    <a:pt x="132147" y="570383"/>
                  </a:lnTo>
                  <a:lnTo>
                    <a:pt x="79928" y="557543"/>
                  </a:lnTo>
                  <a:lnTo>
                    <a:pt x="70533" y="533147"/>
                  </a:lnTo>
                  <a:lnTo>
                    <a:pt x="47073" y="518345"/>
                  </a:lnTo>
                  <a:lnTo>
                    <a:pt x="41422" y="509232"/>
                  </a:lnTo>
                  <a:lnTo>
                    <a:pt x="36659" y="491135"/>
                  </a:lnTo>
                  <a:lnTo>
                    <a:pt x="37764" y="478791"/>
                  </a:lnTo>
                  <a:lnTo>
                    <a:pt x="18482" y="471561"/>
                  </a:lnTo>
                  <a:lnTo>
                    <a:pt x="8049" y="474758"/>
                  </a:lnTo>
                  <a:lnTo>
                    <a:pt x="0" y="445377"/>
                  </a:lnTo>
                  <a:lnTo>
                    <a:pt x="9037" y="438112"/>
                  </a:lnTo>
                  <a:lnTo>
                    <a:pt x="4661" y="430683"/>
                  </a:lnTo>
                  <a:lnTo>
                    <a:pt x="34973" y="415684"/>
                  </a:lnTo>
                  <a:lnTo>
                    <a:pt x="56909" y="409471"/>
                  </a:lnTo>
                  <a:lnTo>
                    <a:pt x="90519" y="413732"/>
                  </a:lnTo>
                  <a:lnTo>
                    <a:pt x="102524" y="393456"/>
                  </a:lnTo>
                  <a:lnTo>
                    <a:pt x="143250" y="389684"/>
                  </a:lnTo>
                  <a:lnTo>
                    <a:pt x="154569" y="377083"/>
                  </a:lnTo>
                  <a:lnTo>
                    <a:pt x="204598" y="359884"/>
                  </a:lnTo>
                  <a:lnTo>
                    <a:pt x="209062" y="352705"/>
                  </a:lnTo>
                  <a:lnTo>
                    <a:pt x="206528" y="334604"/>
                  </a:lnTo>
                  <a:lnTo>
                    <a:pt x="228309" y="326340"/>
                  </a:lnTo>
                  <a:lnTo>
                    <a:pt x="199730" y="271187"/>
                  </a:lnTo>
                  <a:lnTo>
                    <a:pt x="262627" y="258503"/>
                  </a:lnTo>
                  <a:lnTo>
                    <a:pt x="278877" y="251435"/>
                  </a:lnTo>
                  <a:lnTo>
                    <a:pt x="301787" y="194590"/>
                  </a:lnTo>
                  <a:lnTo>
                    <a:pt x="364773" y="205036"/>
                  </a:lnTo>
                  <a:lnTo>
                    <a:pt x="382433" y="190685"/>
                  </a:lnTo>
                  <a:lnTo>
                    <a:pt x="383946" y="158846"/>
                  </a:lnTo>
                  <a:lnTo>
                    <a:pt x="410319" y="155880"/>
                  </a:lnTo>
                  <a:lnTo>
                    <a:pt x="434487" y="134741"/>
                  </a:lnTo>
                  <a:lnTo>
                    <a:pt x="446910" y="132131"/>
                  </a:lnTo>
                  <a:lnTo>
                    <a:pt x="455244" y="154283"/>
                  </a:lnTo>
                  <a:lnTo>
                    <a:pt x="481930" y="171124"/>
                  </a:lnTo>
                  <a:lnTo>
                    <a:pt x="527222" y="183049"/>
                  </a:lnTo>
                  <a:lnTo>
                    <a:pt x="549129" y="208620"/>
                  </a:lnTo>
                  <a:lnTo>
                    <a:pt x="536905" y="245717"/>
                  </a:lnTo>
                  <a:lnTo>
                    <a:pt x="548326" y="259484"/>
                  </a:lnTo>
                  <a:lnTo>
                    <a:pt x="586058" y="264913"/>
                  </a:lnTo>
                  <a:lnTo>
                    <a:pt x="628818" y="269345"/>
                  </a:lnTo>
                  <a:lnTo>
                    <a:pt x="667179" y="289132"/>
                  </a:lnTo>
                  <a:lnTo>
                    <a:pt x="686801" y="292656"/>
                  </a:lnTo>
                  <a:lnTo>
                    <a:pt x="701266" y="321927"/>
                  </a:lnTo>
                  <a:lnTo>
                    <a:pt x="719900" y="340780"/>
                  </a:lnTo>
                  <a:lnTo>
                    <a:pt x="754901" y="340040"/>
                  </a:lnTo>
                  <a:lnTo>
                    <a:pt x="820433" y="347158"/>
                  </a:lnTo>
                  <a:lnTo>
                    <a:pt x="862664" y="342742"/>
                  </a:lnTo>
                  <a:lnTo>
                    <a:pt x="894004" y="347469"/>
                  </a:lnTo>
                  <a:lnTo>
                    <a:pt x="940972" y="366754"/>
                  </a:lnTo>
                  <a:lnTo>
                    <a:pt x="979389" y="366729"/>
                  </a:lnTo>
                  <a:lnTo>
                    <a:pt x="993445" y="376600"/>
                  </a:lnTo>
                  <a:lnTo>
                    <a:pt x="1030412" y="359553"/>
                  </a:lnTo>
                  <a:lnTo>
                    <a:pt x="1081704" y="348530"/>
                  </a:lnTo>
                  <a:lnTo>
                    <a:pt x="1129291" y="347327"/>
                  </a:lnTo>
                  <a:lnTo>
                    <a:pt x="1166391" y="336157"/>
                  </a:lnTo>
                  <a:lnTo>
                    <a:pt x="1189175" y="319152"/>
                  </a:lnTo>
                  <a:lnTo>
                    <a:pt x="1211396" y="308474"/>
                  </a:lnTo>
                  <a:lnTo>
                    <a:pt x="1206256" y="297993"/>
                  </a:lnTo>
                  <a:lnTo>
                    <a:pt x="1196118" y="285795"/>
                  </a:lnTo>
                  <a:lnTo>
                    <a:pt x="1212783" y="265326"/>
                  </a:lnTo>
                  <a:lnTo>
                    <a:pt x="1230653" y="268199"/>
                  </a:lnTo>
                  <a:lnTo>
                    <a:pt x="1263285" y="274635"/>
                  </a:lnTo>
                  <a:lnTo>
                    <a:pt x="1294921" y="257779"/>
                  </a:lnTo>
                  <a:lnTo>
                    <a:pt x="1343334" y="245479"/>
                  </a:lnTo>
                  <a:lnTo>
                    <a:pt x="1366600" y="224492"/>
                  </a:lnTo>
                  <a:lnTo>
                    <a:pt x="1388946" y="215459"/>
                  </a:lnTo>
                  <a:lnTo>
                    <a:pt x="1435065" y="211246"/>
                  </a:lnTo>
                  <a:lnTo>
                    <a:pt x="1460116" y="214824"/>
                  </a:lnTo>
                  <a:lnTo>
                    <a:pt x="1463593" y="203540"/>
                  </a:lnTo>
                  <a:lnTo>
                    <a:pt x="1434821" y="181347"/>
                  </a:lnTo>
                  <a:lnTo>
                    <a:pt x="1409342" y="171200"/>
                  </a:lnTo>
                  <a:lnTo>
                    <a:pt x="1384939" y="182915"/>
                  </a:lnTo>
                  <a:lnTo>
                    <a:pt x="1353618" y="177972"/>
                  </a:lnTo>
                  <a:lnTo>
                    <a:pt x="1335640" y="182001"/>
                  </a:lnTo>
                  <a:lnTo>
                    <a:pt x="1327465" y="169018"/>
                  </a:lnTo>
                  <a:lnTo>
                    <a:pt x="1349896" y="137294"/>
                  </a:lnTo>
                  <a:lnTo>
                    <a:pt x="1365359" y="113357"/>
                  </a:lnTo>
                  <a:lnTo>
                    <a:pt x="1403471" y="125343"/>
                  </a:lnTo>
                  <a:lnTo>
                    <a:pt x="1448216" y="105280"/>
                  </a:lnTo>
                  <a:lnTo>
                    <a:pt x="1447927" y="91310"/>
                  </a:lnTo>
                  <a:lnTo>
                    <a:pt x="1476585" y="57633"/>
                  </a:lnTo>
                  <a:lnTo>
                    <a:pt x="1494245" y="47457"/>
                  </a:lnTo>
                  <a:lnTo>
                    <a:pt x="1493851" y="29928"/>
                  </a:lnTo>
                  <a:lnTo>
                    <a:pt x="1476429" y="22381"/>
                  </a:lnTo>
                  <a:lnTo>
                    <a:pt x="1502655" y="6586"/>
                  </a:lnTo>
                  <a:lnTo>
                    <a:pt x="1542108" y="861"/>
                  </a:lnTo>
                  <a:lnTo>
                    <a:pt x="1584202" y="0"/>
                  </a:lnTo>
                  <a:lnTo>
                    <a:pt x="1631721" y="9456"/>
                  </a:lnTo>
                  <a:lnTo>
                    <a:pt x="1659601" y="21146"/>
                  </a:lnTo>
                  <a:lnTo>
                    <a:pt x="1679226" y="53166"/>
                  </a:lnTo>
                  <a:lnTo>
                    <a:pt x="1691126" y="66831"/>
                  </a:lnTo>
                  <a:lnTo>
                    <a:pt x="1702185" y="8632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24" name="FRA">
            <a:extLst>
              <a:ext uri="{FF2B5EF4-FFF2-40B4-BE49-F238E27FC236}">
                <a16:creationId xmlns:a16="http://schemas.microsoft.com/office/drawing/2014/main" id="{00000000-0008-0000-2700-000018000000}"/>
              </a:ext>
            </a:extLst>
          </xdr:cNvPr>
          <xdr:cNvSpPr/>
        </xdr:nvSpPr>
        <xdr:spPr>
          <a:xfrm>
            <a:off x="6183435" y="1793767"/>
            <a:ext cx="403295" cy="279563"/>
          </a:xfrm>
          <a:custGeom>
            <a:avLst/>
            <a:gdLst/>
            <a:ahLst/>
            <a:cxnLst/>
            <a:rect l="0" t="0" r="0" b="0"/>
            <a:pathLst>
              <a:path w="402959" h="279563">
                <a:moveTo>
                  <a:pt x="259731" y="24431"/>
                </a:moveTo>
                <a:lnTo>
                  <a:pt x="281886" y="39401"/>
                </a:lnTo>
                <a:lnTo>
                  <a:pt x="298180" y="36928"/>
                </a:lnTo>
                <a:lnTo>
                  <a:pt x="325958" y="51403"/>
                </a:lnTo>
                <a:lnTo>
                  <a:pt x="333061" y="54159"/>
                </a:lnTo>
                <a:lnTo>
                  <a:pt x="342221" y="53489"/>
                </a:lnTo>
                <a:lnTo>
                  <a:pt x="357203" y="61801"/>
                </a:lnTo>
                <a:lnTo>
                  <a:pt x="402958" y="67649"/>
                </a:lnTo>
                <a:lnTo>
                  <a:pt x="386906" y="89392"/>
                </a:lnTo>
                <a:lnTo>
                  <a:pt x="382876" y="112010"/>
                </a:lnTo>
                <a:lnTo>
                  <a:pt x="374158" y="117433"/>
                </a:lnTo>
                <a:lnTo>
                  <a:pt x="359692" y="114512"/>
                </a:lnTo>
                <a:lnTo>
                  <a:pt x="360712" y="122580"/>
                </a:lnTo>
                <a:lnTo>
                  <a:pt x="337493" y="140420"/>
                </a:lnTo>
                <a:lnTo>
                  <a:pt x="337023" y="154797"/>
                </a:lnTo>
                <a:lnTo>
                  <a:pt x="352184" y="149821"/>
                </a:lnTo>
                <a:lnTo>
                  <a:pt x="363090" y="163747"/>
                </a:lnTo>
                <a:lnTo>
                  <a:pt x="361782" y="172716"/>
                </a:lnTo>
                <a:lnTo>
                  <a:pt x="371126" y="184638"/>
                </a:lnTo>
                <a:lnTo>
                  <a:pt x="360118" y="194310"/>
                </a:lnTo>
                <a:lnTo>
                  <a:pt x="368297" y="218875"/>
                </a:lnTo>
                <a:lnTo>
                  <a:pt x="385505" y="222904"/>
                </a:lnTo>
                <a:lnTo>
                  <a:pt x="381873" y="236686"/>
                </a:lnTo>
                <a:lnTo>
                  <a:pt x="353108" y="254622"/>
                </a:lnTo>
                <a:lnTo>
                  <a:pt x="290490" y="246024"/>
                </a:lnTo>
                <a:lnTo>
                  <a:pt x="244243" y="256327"/>
                </a:lnTo>
                <a:lnTo>
                  <a:pt x="240611" y="275447"/>
                </a:lnTo>
                <a:lnTo>
                  <a:pt x="203806" y="279562"/>
                </a:lnTo>
                <a:lnTo>
                  <a:pt x="168081" y="265201"/>
                </a:lnTo>
                <a:lnTo>
                  <a:pt x="156537" y="272065"/>
                </a:lnTo>
                <a:lnTo>
                  <a:pt x="98092" y="257635"/>
                </a:lnTo>
                <a:lnTo>
                  <a:pt x="85436" y="245291"/>
                </a:lnTo>
                <a:lnTo>
                  <a:pt x="101857" y="226247"/>
                </a:lnTo>
                <a:lnTo>
                  <a:pt x="107902" y="162991"/>
                </a:lnTo>
                <a:lnTo>
                  <a:pt x="75140" y="129670"/>
                </a:lnTo>
                <a:lnTo>
                  <a:pt x="51721" y="113607"/>
                </a:lnTo>
                <a:lnTo>
                  <a:pt x="3197" y="101393"/>
                </a:lnTo>
                <a:lnTo>
                  <a:pt x="0" y="78241"/>
                </a:lnTo>
                <a:lnTo>
                  <a:pt x="41164" y="71336"/>
                </a:lnTo>
                <a:lnTo>
                  <a:pt x="94482" y="79505"/>
                </a:lnTo>
                <a:lnTo>
                  <a:pt x="84417" y="43567"/>
                </a:lnTo>
                <a:lnTo>
                  <a:pt x="114389" y="57184"/>
                </a:lnTo>
                <a:lnTo>
                  <a:pt x="188312" y="32426"/>
                </a:lnTo>
                <a:lnTo>
                  <a:pt x="197844" y="6410"/>
                </a:lnTo>
                <a:lnTo>
                  <a:pt x="225612" y="0"/>
                </a:lnTo>
                <a:lnTo>
                  <a:pt x="230210" y="11166"/>
                </a:lnTo>
                <a:lnTo>
                  <a:pt x="244970" y="1168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DEU">
            <a:extLst>
              <a:ext uri="{FF2B5EF4-FFF2-40B4-BE49-F238E27FC236}">
                <a16:creationId xmlns:a16="http://schemas.microsoft.com/office/drawing/2014/main" id="{00000000-0008-0000-2700-000019000000}"/>
              </a:ext>
            </a:extLst>
          </xdr:cNvPr>
          <xdr:cNvSpPr/>
        </xdr:nvSpPr>
        <xdr:spPr>
          <a:xfrm>
            <a:off x="6519661" y="1672018"/>
            <a:ext cx="286888" cy="243860"/>
          </a:xfrm>
          <a:custGeom>
            <a:avLst/>
            <a:gdLst/>
            <a:ahLst/>
            <a:cxnLst/>
            <a:rect l="0" t="0" r="0" b="0"/>
            <a:pathLst>
              <a:path w="286649" h="243860">
                <a:moveTo>
                  <a:pt x="124879" y="0"/>
                </a:moveTo>
                <a:lnTo>
                  <a:pt x="125441" y="12271"/>
                </a:lnTo>
                <a:lnTo>
                  <a:pt x="157524" y="19669"/>
                </a:lnTo>
                <a:lnTo>
                  <a:pt x="157188" y="30937"/>
                </a:lnTo>
                <a:lnTo>
                  <a:pt x="189471" y="24975"/>
                </a:lnTo>
                <a:lnTo>
                  <a:pt x="207318" y="16278"/>
                </a:lnTo>
                <a:lnTo>
                  <a:pt x="243167" y="28816"/>
                </a:lnTo>
                <a:lnTo>
                  <a:pt x="258159" y="38929"/>
                </a:lnTo>
                <a:lnTo>
                  <a:pt x="265576" y="55083"/>
                </a:lnTo>
                <a:lnTo>
                  <a:pt x="256724" y="63557"/>
                </a:lnTo>
                <a:lnTo>
                  <a:pt x="268252" y="74873"/>
                </a:lnTo>
                <a:lnTo>
                  <a:pt x="276108" y="91859"/>
                </a:lnTo>
                <a:lnTo>
                  <a:pt x="273634" y="102803"/>
                </a:lnTo>
                <a:lnTo>
                  <a:pt x="286648" y="123076"/>
                </a:lnTo>
                <a:lnTo>
                  <a:pt x="272478" y="126390"/>
                </a:lnTo>
                <a:lnTo>
                  <a:pt x="264106" y="122739"/>
                </a:lnTo>
                <a:lnTo>
                  <a:pt x="256143" y="128784"/>
                </a:lnTo>
                <a:lnTo>
                  <a:pt x="233344" y="134934"/>
                </a:lnTo>
                <a:lnTo>
                  <a:pt x="221554" y="142843"/>
                </a:lnTo>
                <a:lnTo>
                  <a:pt x="198481" y="149758"/>
                </a:lnTo>
                <a:lnTo>
                  <a:pt x="204041" y="159195"/>
                </a:lnTo>
                <a:lnTo>
                  <a:pt x="207400" y="172583"/>
                </a:lnTo>
                <a:lnTo>
                  <a:pt x="223602" y="180213"/>
                </a:lnTo>
                <a:lnTo>
                  <a:pt x="241528" y="193862"/>
                </a:lnTo>
                <a:lnTo>
                  <a:pt x="230337" y="208502"/>
                </a:lnTo>
                <a:lnTo>
                  <a:pt x="218929" y="212534"/>
                </a:lnTo>
                <a:lnTo>
                  <a:pt x="223431" y="233220"/>
                </a:lnTo>
                <a:lnTo>
                  <a:pt x="220468" y="238617"/>
                </a:lnTo>
                <a:lnTo>
                  <a:pt x="210569" y="232115"/>
                </a:lnTo>
                <a:lnTo>
                  <a:pt x="195348" y="231140"/>
                </a:lnTo>
                <a:lnTo>
                  <a:pt x="172646" y="236833"/>
                </a:lnTo>
                <a:lnTo>
                  <a:pt x="144647" y="235480"/>
                </a:lnTo>
                <a:lnTo>
                  <a:pt x="140125" y="243859"/>
                </a:lnTo>
                <a:lnTo>
                  <a:pt x="124059" y="235042"/>
                </a:lnTo>
                <a:lnTo>
                  <a:pt x="114474" y="236792"/>
                </a:lnTo>
                <a:lnTo>
                  <a:pt x="80451" y="227086"/>
                </a:lnTo>
                <a:lnTo>
                  <a:pt x="73933" y="233982"/>
                </a:lnTo>
                <a:lnTo>
                  <a:pt x="46929" y="233759"/>
                </a:lnTo>
                <a:lnTo>
                  <a:pt x="50959" y="211141"/>
                </a:lnTo>
                <a:lnTo>
                  <a:pt x="67011" y="189398"/>
                </a:lnTo>
                <a:lnTo>
                  <a:pt x="21256" y="183550"/>
                </a:lnTo>
                <a:lnTo>
                  <a:pt x="6274" y="175238"/>
                </a:lnTo>
                <a:lnTo>
                  <a:pt x="8067" y="161319"/>
                </a:lnTo>
                <a:lnTo>
                  <a:pt x="1727" y="154146"/>
                </a:lnTo>
                <a:lnTo>
                  <a:pt x="5334" y="132696"/>
                </a:lnTo>
                <a:lnTo>
                  <a:pt x="0" y="99425"/>
                </a:lnTo>
                <a:lnTo>
                  <a:pt x="19072" y="99413"/>
                </a:lnTo>
                <a:lnTo>
                  <a:pt x="27120" y="87462"/>
                </a:lnTo>
                <a:lnTo>
                  <a:pt x="35033" y="58391"/>
                </a:lnTo>
                <a:lnTo>
                  <a:pt x="29096" y="47654"/>
                </a:lnTo>
                <a:lnTo>
                  <a:pt x="35296" y="40932"/>
                </a:lnTo>
                <a:lnTo>
                  <a:pt x="61833" y="39205"/>
                </a:lnTo>
                <a:lnTo>
                  <a:pt x="67723" y="46206"/>
                </a:lnTo>
                <a:lnTo>
                  <a:pt x="89281" y="30553"/>
                </a:lnTo>
                <a:lnTo>
                  <a:pt x="82023" y="18653"/>
                </a:lnTo>
                <a:lnTo>
                  <a:pt x="80565" y="648"/>
                </a:lnTo>
                <a:lnTo>
                  <a:pt x="104562" y="483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IND">
            <a:extLst>
              <a:ext uri="{FF2B5EF4-FFF2-40B4-BE49-F238E27FC236}">
                <a16:creationId xmlns:a16="http://schemas.microsoft.com/office/drawing/2014/main" id="{00000000-0008-0000-2700-00001A000000}"/>
              </a:ext>
            </a:extLst>
          </xdr:cNvPr>
          <xdr:cNvSpPr/>
        </xdr:nvSpPr>
        <xdr:spPr>
          <a:xfrm>
            <a:off x="8495773" y="2290797"/>
            <a:ext cx="928699" cy="874031"/>
          </a:xfrm>
          <a:custGeom>
            <a:avLst/>
            <a:gdLst/>
            <a:ahLst/>
            <a:cxnLst/>
            <a:rect l="0" t="0" r="0" b="0"/>
            <a:pathLst>
              <a:path w="927926" h="874031">
                <a:moveTo>
                  <a:pt x="306733" y="0"/>
                </a:moveTo>
                <a:lnTo>
                  <a:pt x="340858" y="37214"/>
                </a:lnTo>
                <a:lnTo>
                  <a:pt x="337645" y="63113"/>
                </a:lnTo>
                <a:lnTo>
                  <a:pt x="350275" y="79362"/>
                </a:lnTo>
                <a:lnTo>
                  <a:pt x="349234" y="95574"/>
                </a:lnTo>
                <a:lnTo>
                  <a:pt x="326447" y="91307"/>
                </a:lnTo>
                <a:lnTo>
                  <a:pt x="335352" y="126305"/>
                </a:lnTo>
                <a:lnTo>
                  <a:pt x="366547" y="146409"/>
                </a:lnTo>
                <a:lnTo>
                  <a:pt x="410676" y="168608"/>
                </a:lnTo>
                <a:lnTo>
                  <a:pt x="390528" y="183010"/>
                </a:lnTo>
                <a:lnTo>
                  <a:pt x="378199" y="212709"/>
                </a:lnTo>
                <a:lnTo>
                  <a:pt x="408959" y="224723"/>
                </a:lnTo>
                <a:lnTo>
                  <a:pt x="438893" y="240300"/>
                </a:lnTo>
                <a:lnTo>
                  <a:pt x="480301" y="258112"/>
                </a:lnTo>
                <a:lnTo>
                  <a:pt x="523824" y="262226"/>
                </a:lnTo>
                <a:lnTo>
                  <a:pt x="542137" y="278378"/>
                </a:lnTo>
                <a:lnTo>
                  <a:pt x="566667" y="281400"/>
                </a:lnTo>
                <a:lnTo>
                  <a:pt x="604865" y="288801"/>
                </a:lnTo>
                <a:lnTo>
                  <a:pt x="631304" y="288271"/>
                </a:lnTo>
                <a:lnTo>
                  <a:pt x="634943" y="275704"/>
                </a:lnTo>
                <a:lnTo>
                  <a:pt x="630761" y="255530"/>
                </a:lnTo>
                <a:lnTo>
                  <a:pt x="633216" y="241855"/>
                </a:lnTo>
                <a:lnTo>
                  <a:pt x="652579" y="235175"/>
                </a:lnTo>
                <a:lnTo>
                  <a:pt x="655244" y="260182"/>
                </a:lnTo>
                <a:lnTo>
                  <a:pt x="655923" y="266541"/>
                </a:lnTo>
                <a:lnTo>
                  <a:pt x="684781" y="278594"/>
                </a:lnTo>
                <a:lnTo>
                  <a:pt x="704744" y="273631"/>
                </a:lnTo>
                <a:lnTo>
                  <a:pt x="731548" y="275761"/>
                </a:lnTo>
                <a:lnTo>
                  <a:pt x="757456" y="274818"/>
                </a:lnTo>
                <a:lnTo>
                  <a:pt x="759685" y="255314"/>
                </a:lnTo>
                <a:lnTo>
                  <a:pt x="746763" y="245183"/>
                </a:lnTo>
                <a:lnTo>
                  <a:pt x="772366" y="241208"/>
                </a:lnTo>
                <a:lnTo>
                  <a:pt x="801265" y="217595"/>
                </a:lnTo>
                <a:lnTo>
                  <a:pt x="837863" y="197377"/>
                </a:lnTo>
                <a:lnTo>
                  <a:pt x="864495" y="205178"/>
                </a:lnTo>
                <a:lnTo>
                  <a:pt x="887129" y="191808"/>
                </a:lnTo>
                <a:lnTo>
                  <a:pt x="902017" y="211550"/>
                </a:lnTo>
                <a:lnTo>
                  <a:pt x="891292" y="224885"/>
                </a:lnTo>
                <a:lnTo>
                  <a:pt x="925528" y="229629"/>
                </a:lnTo>
                <a:lnTo>
                  <a:pt x="927925" y="241665"/>
                </a:lnTo>
                <a:lnTo>
                  <a:pt x="916794" y="247488"/>
                </a:lnTo>
                <a:lnTo>
                  <a:pt x="919397" y="267024"/>
                </a:lnTo>
                <a:lnTo>
                  <a:pt x="896709" y="261283"/>
                </a:lnTo>
                <a:lnTo>
                  <a:pt x="855605" y="283223"/>
                </a:lnTo>
                <a:lnTo>
                  <a:pt x="856570" y="301393"/>
                </a:lnTo>
                <a:lnTo>
                  <a:pt x="839044" y="328025"/>
                </a:lnTo>
                <a:lnTo>
                  <a:pt x="837441" y="343497"/>
                </a:lnTo>
                <a:lnTo>
                  <a:pt x="823280" y="369675"/>
                </a:lnTo>
                <a:lnTo>
                  <a:pt x="798467" y="362439"/>
                </a:lnTo>
                <a:lnTo>
                  <a:pt x="797233" y="395297"/>
                </a:lnTo>
                <a:lnTo>
                  <a:pt x="790057" y="406111"/>
                </a:lnTo>
                <a:lnTo>
                  <a:pt x="793416" y="419592"/>
                </a:lnTo>
                <a:lnTo>
                  <a:pt x="777751" y="427126"/>
                </a:lnTo>
                <a:lnTo>
                  <a:pt x="761028" y="376761"/>
                </a:lnTo>
                <a:lnTo>
                  <a:pt x="752262" y="376863"/>
                </a:lnTo>
                <a:lnTo>
                  <a:pt x="747074" y="397151"/>
                </a:lnTo>
                <a:lnTo>
                  <a:pt x="729691" y="380698"/>
                </a:lnTo>
                <a:lnTo>
                  <a:pt x="739492" y="362629"/>
                </a:lnTo>
                <a:lnTo>
                  <a:pt x="753697" y="360794"/>
                </a:lnTo>
                <a:lnTo>
                  <a:pt x="768337" y="333924"/>
                </a:lnTo>
                <a:lnTo>
                  <a:pt x="750030" y="328504"/>
                </a:lnTo>
                <a:lnTo>
                  <a:pt x="720585" y="328974"/>
                </a:lnTo>
                <a:lnTo>
                  <a:pt x="690375" y="324622"/>
                </a:lnTo>
                <a:lnTo>
                  <a:pt x="687574" y="302542"/>
                </a:lnTo>
                <a:lnTo>
                  <a:pt x="672417" y="300977"/>
                </a:lnTo>
                <a:lnTo>
                  <a:pt x="647267" y="287258"/>
                </a:lnTo>
                <a:lnTo>
                  <a:pt x="636053" y="308797"/>
                </a:lnTo>
                <a:lnTo>
                  <a:pt x="658971" y="325606"/>
                </a:lnTo>
                <a:lnTo>
                  <a:pt x="639121" y="337436"/>
                </a:lnTo>
                <a:lnTo>
                  <a:pt x="632072" y="349006"/>
                </a:lnTo>
                <a:lnTo>
                  <a:pt x="651614" y="357514"/>
                </a:lnTo>
                <a:lnTo>
                  <a:pt x="646214" y="376647"/>
                </a:lnTo>
                <a:lnTo>
                  <a:pt x="657215" y="400523"/>
                </a:lnTo>
                <a:lnTo>
                  <a:pt x="662159" y="426666"/>
                </a:lnTo>
                <a:lnTo>
                  <a:pt x="657612" y="438258"/>
                </a:lnTo>
                <a:lnTo>
                  <a:pt x="636012" y="437858"/>
                </a:lnTo>
                <a:lnTo>
                  <a:pt x="596871" y="444449"/>
                </a:lnTo>
                <a:lnTo>
                  <a:pt x="598697" y="468335"/>
                </a:lnTo>
                <a:lnTo>
                  <a:pt x="581748" y="487121"/>
                </a:lnTo>
                <a:lnTo>
                  <a:pt x="536057" y="508489"/>
                </a:lnTo>
                <a:lnTo>
                  <a:pt x="500519" y="545846"/>
                </a:lnTo>
                <a:lnTo>
                  <a:pt x="476650" y="565874"/>
                </a:lnTo>
                <a:lnTo>
                  <a:pt x="445014" y="586657"/>
                </a:lnTo>
                <a:lnTo>
                  <a:pt x="444963" y="601259"/>
                </a:lnTo>
                <a:lnTo>
                  <a:pt x="429136" y="609086"/>
                </a:lnTo>
                <a:lnTo>
                  <a:pt x="400538" y="620459"/>
                </a:lnTo>
                <a:lnTo>
                  <a:pt x="385708" y="622135"/>
                </a:lnTo>
                <a:lnTo>
                  <a:pt x="376189" y="646354"/>
                </a:lnTo>
                <a:lnTo>
                  <a:pt x="382800" y="687648"/>
                </a:lnTo>
                <a:lnTo>
                  <a:pt x="384483" y="713984"/>
                </a:lnTo>
                <a:lnTo>
                  <a:pt x="371027" y="744150"/>
                </a:lnTo>
                <a:lnTo>
                  <a:pt x="370884" y="798090"/>
                </a:lnTo>
                <a:lnTo>
                  <a:pt x="354453" y="799627"/>
                </a:lnTo>
                <a:lnTo>
                  <a:pt x="340001" y="823846"/>
                </a:lnTo>
                <a:lnTo>
                  <a:pt x="349665" y="834311"/>
                </a:lnTo>
                <a:lnTo>
                  <a:pt x="320716" y="843312"/>
                </a:lnTo>
                <a:lnTo>
                  <a:pt x="310026" y="864902"/>
                </a:lnTo>
                <a:lnTo>
                  <a:pt x="297284" y="874030"/>
                </a:lnTo>
                <a:lnTo>
                  <a:pt x="267220" y="844382"/>
                </a:lnTo>
                <a:lnTo>
                  <a:pt x="252523" y="799922"/>
                </a:lnTo>
                <a:lnTo>
                  <a:pt x="240344" y="767896"/>
                </a:lnTo>
                <a:lnTo>
                  <a:pt x="229218" y="752881"/>
                </a:lnTo>
                <a:lnTo>
                  <a:pt x="212350" y="722379"/>
                </a:lnTo>
                <a:lnTo>
                  <a:pt x="204473" y="682669"/>
                </a:lnTo>
                <a:lnTo>
                  <a:pt x="198986" y="662838"/>
                </a:lnTo>
                <a:lnTo>
                  <a:pt x="170103" y="619230"/>
                </a:lnTo>
                <a:lnTo>
                  <a:pt x="156949" y="557701"/>
                </a:lnTo>
                <a:lnTo>
                  <a:pt x="147456" y="517074"/>
                </a:lnTo>
                <a:lnTo>
                  <a:pt x="147571" y="478615"/>
                </a:lnTo>
                <a:lnTo>
                  <a:pt x="141411" y="448881"/>
                </a:lnTo>
                <a:lnTo>
                  <a:pt x="95208" y="467887"/>
                </a:lnTo>
                <a:lnTo>
                  <a:pt x="72831" y="464080"/>
                </a:lnTo>
                <a:lnTo>
                  <a:pt x="31353" y="425599"/>
                </a:lnTo>
                <a:lnTo>
                  <a:pt x="46618" y="414122"/>
                </a:lnTo>
                <a:lnTo>
                  <a:pt x="37243" y="401663"/>
                </a:lnTo>
                <a:lnTo>
                  <a:pt x="0" y="374713"/>
                </a:lnTo>
                <a:lnTo>
                  <a:pt x="21145" y="353533"/>
                </a:lnTo>
                <a:lnTo>
                  <a:pt x="91014" y="353616"/>
                </a:lnTo>
                <a:lnTo>
                  <a:pt x="84712" y="326355"/>
                </a:lnTo>
                <a:lnTo>
                  <a:pt x="66875" y="310255"/>
                </a:lnTo>
                <a:lnTo>
                  <a:pt x="63255" y="285817"/>
                </a:lnTo>
                <a:lnTo>
                  <a:pt x="42475" y="271558"/>
                </a:lnTo>
                <a:lnTo>
                  <a:pt x="77466" y="238277"/>
                </a:lnTo>
                <a:lnTo>
                  <a:pt x="114335" y="240690"/>
                </a:lnTo>
                <a:lnTo>
                  <a:pt x="147548" y="207404"/>
                </a:lnTo>
                <a:lnTo>
                  <a:pt x="167449" y="175184"/>
                </a:lnTo>
                <a:lnTo>
                  <a:pt x="198272" y="143326"/>
                </a:lnTo>
                <a:lnTo>
                  <a:pt x="197780" y="120694"/>
                </a:lnTo>
                <a:lnTo>
                  <a:pt x="224853" y="102327"/>
                </a:lnTo>
                <a:lnTo>
                  <a:pt x="199231" y="86649"/>
                </a:lnTo>
                <a:lnTo>
                  <a:pt x="188204" y="65167"/>
                </a:lnTo>
                <a:lnTo>
                  <a:pt x="176952" y="37347"/>
                </a:lnTo>
                <a:lnTo>
                  <a:pt x="192519" y="23657"/>
                </a:lnTo>
                <a:lnTo>
                  <a:pt x="240681" y="31404"/>
                </a:lnTo>
                <a:lnTo>
                  <a:pt x="276069" y="26686"/>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7" name="IRN">
            <a:extLst>
              <a:ext uri="{FF2B5EF4-FFF2-40B4-BE49-F238E27FC236}">
                <a16:creationId xmlns:a16="http://schemas.microsoft.com/office/drawing/2014/main" id="{00000000-0008-0000-2700-00001B000000}"/>
              </a:ext>
            </a:extLst>
          </xdr:cNvPr>
          <xdr:cNvSpPr/>
        </xdr:nvSpPr>
        <xdr:spPr>
          <a:xfrm>
            <a:off x="7730996" y="2156844"/>
            <a:ext cx="610344" cy="464656"/>
          </a:xfrm>
          <a:custGeom>
            <a:avLst/>
            <a:gdLst/>
            <a:ahLst/>
            <a:cxnLst/>
            <a:rect l="0" t="0" r="0" b="0"/>
            <a:pathLst>
              <a:path w="609836" h="464656">
                <a:moveTo>
                  <a:pt x="311544" y="79822"/>
                </a:moveTo>
                <a:lnTo>
                  <a:pt x="339442" y="73679"/>
                </a:lnTo>
                <a:lnTo>
                  <a:pt x="362026" y="55527"/>
                </a:lnTo>
                <a:lnTo>
                  <a:pt x="383260" y="56448"/>
                </a:lnTo>
                <a:lnTo>
                  <a:pt x="397199" y="50533"/>
                </a:lnTo>
                <a:lnTo>
                  <a:pt x="419773" y="53460"/>
                </a:lnTo>
                <a:lnTo>
                  <a:pt x="454882" y="69554"/>
                </a:lnTo>
                <a:lnTo>
                  <a:pt x="480237" y="73025"/>
                </a:lnTo>
                <a:lnTo>
                  <a:pt x="516521" y="101142"/>
                </a:lnTo>
                <a:lnTo>
                  <a:pt x="540191" y="102279"/>
                </a:lnTo>
                <a:lnTo>
                  <a:pt x="542975" y="128997"/>
                </a:lnTo>
                <a:lnTo>
                  <a:pt x="530034" y="168557"/>
                </a:lnTo>
                <a:lnTo>
                  <a:pt x="521309" y="191662"/>
                </a:lnTo>
                <a:lnTo>
                  <a:pt x="535130" y="196348"/>
                </a:lnTo>
                <a:lnTo>
                  <a:pt x="521554" y="213731"/>
                </a:lnTo>
                <a:lnTo>
                  <a:pt x="531955" y="239080"/>
                </a:lnTo>
                <a:lnTo>
                  <a:pt x="534438" y="259235"/>
                </a:lnTo>
                <a:lnTo>
                  <a:pt x="558485" y="264588"/>
                </a:lnTo>
                <a:lnTo>
                  <a:pt x="561086" y="285023"/>
                </a:lnTo>
                <a:lnTo>
                  <a:pt x="532288" y="313810"/>
                </a:lnTo>
                <a:lnTo>
                  <a:pt x="548008" y="330508"/>
                </a:lnTo>
                <a:lnTo>
                  <a:pt x="560790" y="349685"/>
                </a:lnTo>
                <a:lnTo>
                  <a:pt x="591140" y="363645"/>
                </a:lnTo>
                <a:lnTo>
                  <a:pt x="592016" y="391607"/>
                </a:lnTo>
                <a:lnTo>
                  <a:pt x="607209" y="396748"/>
                </a:lnTo>
                <a:lnTo>
                  <a:pt x="609835" y="411369"/>
                </a:lnTo>
                <a:lnTo>
                  <a:pt x="564038" y="427768"/>
                </a:lnTo>
                <a:lnTo>
                  <a:pt x="552075" y="464655"/>
                </a:lnTo>
                <a:lnTo>
                  <a:pt x="492343" y="455066"/>
                </a:lnTo>
                <a:lnTo>
                  <a:pt x="457727" y="447770"/>
                </a:lnTo>
                <a:lnTo>
                  <a:pt x="421896" y="443646"/>
                </a:lnTo>
                <a:lnTo>
                  <a:pt x="408355" y="404714"/>
                </a:lnTo>
                <a:lnTo>
                  <a:pt x="393156" y="399088"/>
                </a:lnTo>
                <a:lnTo>
                  <a:pt x="368760" y="404761"/>
                </a:lnTo>
                <a:lnTo>
                  <a:pt x="336737" y="420125"/>
                </a:lnTo>
                <a:lnTo>
                  <a:pt x="297938" y="409594"/>
                </a:lnTo>
                <a:lnTo>
                  <a:pt x="265887" y="385197"/>
                </a:lnTo>
                <a:lnTo>
                  <a:pt x="235318" y="376151"/>
                </a:lnTo>
                <a:lnTo>
                  <a:pt x="214112" y="346027"/>
                </a:lnTo>
                <a:lnTo>
                  <a:pt x="190683" y="303695"/>
                </a:lnTo>
                <a:lnTo>
                  <a:pt x="173599" y="308841"/>
                </a:lnTo>
                <a:lnTo>
                  <a:pt x="153419" y="298320"/>
                </a:lnTo>
                <a:lnTo>
                  <a:pt x="141566" y="310711"/>
                </a:lnTo>
                <a:lnTo>
                  <a:pt x="123996" y="294021"/>
                </a:lnTo>
                <a:lnTo>
                  <a:pt x="123682" y="277110"/>
                </a:lnTo>
                <a:lnTo>
                  <a:pt x="113541" y="277117"/>
                </a:lnTo>
                <a:lnTo>
                  <a:pt x="118744" y="254120"/>
                </a:lnTo>
                <a:lnTo>
                  <a:pt x="102409" y="229990"/>
                </a:lnTo>
                <a:lnTo>
                  <a:pt x="63506" y="212588"/>
                </a:lnTo>
                <a:lnTo>
                  <a:pt x="41513" y="182410"/>
                </a:lnTo>
                <a:lnTo>
                  <a:pt x="48873" y="157635"/>
                </a:lnTo>
                <a:lnTo>
                  <a:pt x="64852" y="146675"/>
                </a:lnTo>
                <a:lnTo>
                  <a:pt x="62455" y="128130"/>
                </a:lnTo>
                <a:lnTo>
                  <a:pt x="41637" y="118602"/>
                </a:lnTo>
                <a:lnTo>
                  <a:pt x="21066" y="80724"/>
                </a:lnTo>
                <a:lnTo>
                  <a:pt x="3702" y="55289"/>
                </a:lnTo>
                <a:lnTo>
                  <a:pt x="9912" y="45456"/>
                </a:lnTo>
                <a:lnTo>
                  <a:pt x="0" y="9045"/>
                </a:lnTo>
                <a:lnTo>
                  <a:pt x="21742" y="0"/>
                </a:lnTo>
                <a:lnTo>
                  <a:pt x="26781" y="11976"/>
                </a:lnTo>
                <a:lnTo>
                  <a:pt x="42814" y="26635"/>
                </a:lnTo>
                <a:lnTo>
                  <a:pt x="64592" y="30854"/>
                </a:lnTo>
                <a:lnTo>
                  <a:pt x="76088" y="29921"/>
                </a:lnTo>
                <a:lnTo>
                  <a:pt x="113535" y="6496"/>
                </a:lnTo>
                <a:lnTo>
                  <a:pt x="125441" y="4153"/>
                </a:lnTo>
                <a:lnTo>
                  <a:pt x="134819" y="13468"/>
                </a:lnTo>
                <a:lnTo>
                  <a:pt x="123872" y="29178"/>
                </a:lnTo>
                <a:lnTo>
                  <a:pt x="143675" y="45802"/>
                </a:lnTo>
                <a:lnTo>
                  <a:pt x="151574" y="44221"/>
                </a:lnTo>
                <a:lnTo>
                  <a:pt x="161620" y="67630"/>
                </a:lnTo>
                <a:lnTo>
                  <a:pt x="191725" y="74244"/>
                </a:lnTo>
                <a:lnTo>
                  <a:pt x="213779" y="90176"/>
                </a:lnTo>
                <a:lnTo>
                  <a:pt x="258914" y="95650"/>
                </a:lnTo>
                <a:lnTo>
                  <a:pt x="308502" y="8724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ISR">
            <a:extLst>
              <a:ext uri="{FF2B5EF4-FFF2-40B4-BE49-F238E27FC236}">
                <a16:creationId xmlns:a16="http://schemas.microsoft.com/office/drawing/2014/main" id="{00000000-0008-0000-2700-00001C000000}"/>
              </a:ext>
            </a:extLst>
          </xdr:cNvPr>
          <xdr:cNvSpPr/>
        </xdr:nvSpPr>
        <xdr:spPr>
          <a:xfrm>
            <a:off x="7418195" y="2361174"/>
            <a:ext cx="49922" cy="119892"/>
          </a:xfrm>
          <a:custGeom>
            <a:avLst/>
            <a:gdLst/>
            <a:ahLst/>
            <a:cxnLst/>
            <a:rect l="0" t="0" r="0" b="0"/>
            <a:pathLst>
              <a:path w="49880" h="119892">
                <a:moveTo>
                  <a:pt x="46180" y="18040"/>
                </a:moveTo>
                <a:lnTo>
                  <a:pt x="40650" y="28048"/>
                </a:lnTo>
                <a:lnTo>
                  <a:pt x="29163" y="23650"/>
                </a:lnTo>
                <a:lnTo>
                  <a:pt x="22517" y="44793"/>
                </a:lnTo>
                <a:lnTo>
                  <a:pt x="30496" y="48358"/>
                </a:lnTo>
                <a:lnTo>
                  <a:pt x="22387" y="52724"/>
                </a:lnTo>
                <a:lnTo>
                  <a:pt x="21018" y="61087"/>
                </a:lnTo>
                <a:lnTo>
                  <a:pt x="35948" y="56778"/>
                </a:lnTo>
                <a:lnTo>
                  <a:pt x="36687" y="69129"/>
                </a:lnTo>
                <a:lnTo>
                  <a:pt x="20866" y="119891"/>
                </a:lnTo>
                <a:lnTo>
                  <a:pt x="0" y="65342"/>
                </a:lnTo>
                <a:lnTo>
                  <a:pt x="9239" y="54883"/>
                </a:lnTo>
                <a:lnTo>
                  <a:pt x="7071" y="53083"/>
                </a:lnTo>
                <a:lnTo>
                  <a:pt x="15468" y="38243"/>
                </a:lnTo>
                <a:lnTo>
                  <a:pt x="21907" y="14287"/>
                </a:lnTo>
                <a:lnTo>
                  <a:pt x="26451" y="6252"/>
                </a:lnTo>
                <a:lnTo>
                  <a:pt x="27327" y="5921"/>
                </a:lnTo>
                <a:lnTo>
                  <a:pt x="37951" y="5982"/>
                </a:lnTo>
                <a:lnTo>
                  <a:pt x="40875" y="416"/>
                </a:lnTo>
                <a:lnTo>
                  <a:pt x="49393" y="0"/>
                </a:lnTo>
                <a:lnTo>
                  <a:pt x="49879" y="12995"/>
                </a:lnTo>
                <a:lnTo>
                  <a:pt x="45574" y="17824"/>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29" name="ITA">
            <a:extLst>
              <a:ext uri="{FF2B5EF4-FFF2-40B4-BE49-F238E27FC236}">
                <a16:creationId xmlns:a16="http://schemas.microsoft.com/office/drawing/2014/main" id="{00000000-0008-0000-2700-00001D000000}"/>
              </a:ext>
            </a:extLst>
          </xdr:cNvPr>
          <xdr:cNvGrpSpPr/>
        </xdr:nvGrpSpPr>
        <xdr:grpSpPr>
          <a:xfrm>
            <a:off x="6543853" y="1921817"/>
            <a:ext cx="372745" cy="333230"/>
            <a:chOff x="6437312" y="2175817"/>
            <a:chExt cx="372435" cy="333230"/>
          </a:xfrm>
          <a:grpFill/>
        </xdr:grpSpPr>
        <xdr:sp macro="" textlink="">
          <xdr:nvSpPr>
            <xdr:cNvPr id="6586880" name="IT_1">
              <a:extLst>
                <a:ext uri="{FF2B5EF4-FFF2-40B4-BE49-F238E27FC236}">
                  <a16:creationId xmlns:a16="http://schemas.microsoft.com/office/drawing/2014/main" id="{00000000-0008-0000-2700-000000826400}"/>
                </a:ext>
              </a:extLst>
            </xdr:cNvPr>
            <xdr:cNvSpPr/>
          </xdr:nvSpPr>
          <xdr:spPr>
            <a:xfrm>
              <a:off x="6617684" y="2457891"/>
              <a:ext cx="98090" cy="51156"/>
            </a:xfrm>
            <a:custGeom>
              <a:avLst/>
              <a:gdLst/>
              <a:ahLst/>
              <a:cxnLst/>
              <a:rect l="0" t="0" r="0" b="0"/>
              <a:pathLst>
                <a:path w="98090" h="51156">
                  <a:moveTo>
                    <a:pt x="98089" y="0"/>
                  </a:moveTo>
                  <a:lnTo>
                    <a:pt x="86652" y="24993"/>
                  </a:lnTo>
                  <a:lnTo>
                    <a:pt x="91405" y="34830"/>
                  </a:lnTo>
                  <a:lnTo>
                    <a:pt x="84741" y="51155"/>
                  </a:lnTo>
                  <a:lnTo>
                    <a:pt x="60458" y="39198"/>
                  </a:lnTo>
                  <a:lnTo>
                    <a:pt x="44314" y="35773"/>
                  </a:lnTo>
                  <a:lnTo>
                    <a:pt x="0" y="19631"/>
                  </a:lnTo>
                  <a:lnTo>
                    <a:pt x="4442" y="3327"/>
                  </a:lnTo>
                  <a:lnTo>
                    <a:pt x="41599" y="6229"/>
                  </a:lnTo>
                  <a:lnTo>
                    <a:pt x="73984" y="277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81" name="IT_2">
              <a:extLst>
                <a:ext uri="{FF2B5EF4-FFF2-40B4-BE49-F238E27FC236}">
                  <a16:creationId xmlns:a16="http://schemas.microsoft.com/office/drawing/2014/main" id="{00000000-0008-0000-2700-000001826400}"/>
                </a:ext>
              </a:extLst>
            </xdr:cNvPr>
            <xdr:cNvSpPr/>
          </xdr:nvSpPr>
          <xdr:spPr>
            <a:xfrm>
              <a:off x="6482079" y="2363314"/>
              <a:ext cx="52389" cy="73134"/>
            </a:xfrm>
            <a:custGeom>
              <a:avLst/>
              <a:gdLst/>
              <a:ahLst/>
              <a:cxnLst/>
              <a:rect l="0" t="0" r="0" b="0"/>
              <a:pathLst>
                <a:path w="52389" h="73134">
                  <a:moveTo>
                    <a:pt x="33338" y="0"/>
                  </a:moveTo>
                  <a:lnTo>
                    <a:pt x="52388" y="22542"/>
                  </a:lnTo>
                  <a:lnTo>
                    <a:pt x="47927" y="64535"/>
                  </a:lnTo>
                  <a:lnTo>
                    <a:pt x="33490" y="62532"/>
                  </a:lnTo>
                  <a:lnTo>
                    <a:pt x="20540" y="73133"/>
                  </a:lnTo>
                  <a:lnTo>
                    <a:pt x="8519" y="64713"/>
                  </a:lnTo>
                  <a:lnTo>
                    <a:pt x="7249" y="26406"/>
                  </a:lnTo>
                  <a:lnTo>
                    <a:pt x="0" y="8255"/>
                  </a:lnTo>
                  <a:lnTo>
                    <a:pt x="17463" y="984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82" name="IT_3">
              <a:extLst>
                <a:ext uri="{FF2B5EF4-FFF2-40B4-BE49-F238E27FC236}">
                  <a16:creationId xmlns:a16="http://schemas.microsoft.com/office/drawing/2014/main" id="{00000000-0008-0000-2700-000002826400}"/>
                </a:ext>
              </a:extLst>
            </xdr:cNvPr>
            <xdr:cNvSpPr/>
          </xdr:nvSpPr>
          <xdr:spPr>
            <a:xfrm>
              <a:off x="6437312" y="2175817"/>
              <a:ext cx="372435" cy="292311"/>
            </a:xfrm>
            <a:custGeom>
              <a:avLst/>
              <a:gdLst/>
              <a:ahLst/>
              <a:cxnLst/>
              <a:rect l="0" t="0" r="0" b="0"/>
              <a:pathLst>
                <a:path w="372435" h="292311">
                  <a:moveTo>
                    <a:pt x="178641" y="11043"/>
                  </a:moveTo>
                  <a:lnTo>
                    <a:pt x="224044" y="19244"/>
                  </a:lnTo>
                  <a:lnTo>
                    <a:pt x="220602" y="34881"/>
                  </a:lnTo>
                  <a:lnTo>
                    <a:pt x="228206" y="48400"/>
                  </a:lnTo>
                  <a:lnTo>
                    <a:pt x="202933" y="43774"/>
                  </a:lnTo>
                  <a:lnTo>
                    <a:pt x="177120" y="55042"/>
                  </a:lnTo>
                  <a:lnTo>
                    <a:pt x="178877" y="70803"/>
                  </a:lnTo>
                  <a:lnTo>
                    <a:pt x="174990" y="79848"/>
                  </a:lnTo>
                  <a:lnTo>
                    <a:pt x="185395" y="96012"/>
                  </a:lnTo>
                  <a:lnTo>
                    <a:pt x="215167" y="112005"/>
                  </a:lnTo>
                  <a:lnTo>
                    <a:pt x="231134" y="138253"/>
                  </a:lnTo>
                  <a:lnTo>
                    <a:pt x="266465" y="163840"/>
                  </a:lnTo>
                  <a:lnTo>
                    <a:pt x="291344" y="163643"/>
                  </a:lnTo>
                  <a:lnTo>
                    <a:pt x="299082" y="170660"/>
                  </a:lnTo>
                  <a:lnTo>
                    <a:pt x="290173" y="176984"/>
                  </a:lnTo>
                  <a:lnTo>
                    <a:pt x="318612" y="188462"/>
                  </a:lnTo>
                  <a:lnTo>
                    <a:pt x="341922" y="198066"/>
                  </a:lnTo>
                  <a:lnTo>
                    <a:pt x="369148" y="214624"/>
                  </a:lnTo>
                  <a:lnTo>
                    <a:pt x="372434" y="220552"/>
                  </a:lnTo>
                  <a:lnTo>
                    <a:pt x="366503" y="231922"/>
                  </a:lnTo>
                  <a:lnTo>
                    <a:pt x="348882" y="217097"/>
                  </a:lnTo>
                  <a:lnTo>
                    <a:pt x="321297" y="211875"/>
                  </a:lnTo>
                  <a:lnTo>
                    <a:pt x="307934" y="232411"/>
                  </a:lnTo>
                  <a:lnTo>
                    <a:pt x="330883" y="244180"/>
                  </a:lnTo>
                  <a:lnTo>
                    <a:pt x="327114" y="260747"/>
                  </a:lnTo>
                  <a:lnTo>
                    <a:pt x="313852" y="262630"/>
                  </a:lnTo>
                  <a:lnTo>
                    <a:pt x="296894" y="289862"/>
                  </a:lnTo>
                  <a:lnTo>
                    <a:pt x="283658" y="292310"/>
                  </a:lnTo>
                  <a:lnTo>
                    <a:pt x="283781" y="282601"/>
                  </a:lnTo>
                  <a:lnTo>
                    <a:pt x="290258" y="265573"/>
                  </a:lnTo>
                  <a:lnTo>
                    <a:pt x="297158" y="258792"/>
                  </a:lnTo>
                  <a:lnTo>
                    <a:pt x="284759" y="240389"/>
                  </a:lnTo>
                  <a:lnTo>
                    <a:pt x="275069" y="224378"/>
                  </a:lnTo>
                  <a:lnTo>
                    <a:pt x="261890" y="220425"/>
                  </a:lnTo>
                  <a:lnTo>
                    <a:pt x="252517" y="206718"/>
                  </a:lnTo>
                  <a:lnTo>
                    <a:pt x="232115" y="200949"/>
                  </a:lnTo>
                  <a:lnTo>
                    <a:pt x="218377" y="188186"/>
                  </a:lnTo>
                  <a:lnTo>
                    <a:pt x="194885" y="186128"/>
                  </a:lnTo>
                  <a:lnTo>
                    <a:pt x="170075" y="171797"/>
                  </a:lnTo>
                  <a:lnTo>
                    <a:pt x="141030" y="151130"/>
                  </a:lnTo>
                  <a:lnTo>
                    <a:pt x="119440" y="132839"/>
                  </a:lnTo>
                  <a:lnTo>
                    <a:pt x="109538" y="101454"/>
                  </a:lnTo>
                  <a:lnTo>
                    <a:pt x="93742" y="97762"/>
                  </a:lnTo>
                  <a:lnTo>
                    <a:pt x="67910" y="87284"/>
                  </a:lnTo>
                  <a:lnTo>
                    <a:pt x="53296" y="91574"/>
                  </a:lnTo>
                  <a:lnTo>
                    <a:pt x="34951" y="106309"/>
                  </a:lnTo>
                  <a:lnTo>
                    <a:pt x="21755" y="108636"/>
                  </a:lnTo>
                  <a:lnTo>
                    <a:pt x="25387" y="94854"/>
                  </a:lnTo>
                  <a:lnTo>
                    <a:pt x="8179" y="90825"/>
                  </a:lnTo>
                  <a:lnTo>
                    <a:pt x="0" y="66260"/>
                  </a:lnTo>
                  <a:lnTo>
                    <a:pt x="11008" y="56588"/>
                  </a:lnTo>
                  <a:lnTo>
                    <a:pt x="1664" y="44666"/>
                  </a:lnTo>
                  <a:lnTo>
                    <a:pt x="2972" y="35697"/>
                  </a:lnTo>
                  <a:lnTo>
                    <a:pt x="16634" y="42498"/>
                  </a:lnTo>
                  <a:lnTo>
                    <a:pt x="31941" y="40987"/>
                  </a:lnTo>
                  <a:lnTo>
                    <a:pt x="49740" y="30220"/>
                  </a:lnTo>
                  <a:lnTo>
                    <a:pt x="55245" y="35249"/>
                  </a:lnTo>
                  <a:lnTo>
                    <a:pt x="70368" y="34243"/>
                  </a:lnTo>
                  <a:lnTo>
                    <a:pt x="77245" y="21438"/>
                  </a:lnTo>
                  <a:lnTo>
                    <a:pt x="100736" y="25416"/>
                  </a:lnTo>
                  <a:lnTo>
                    <a:pt x="114726" y="20060"/>
                  </a:lnTo>
                  <a:lnTo>
                    <a:pt x="117243" y="7046"/>
                  </a:lnTo>
                  <a:lnTo>
                    <a:pt x="136481" y="11558"/>
                  </a:lnTo>
                  <a:lnTo>
                    <a:pt x="140170" y="5519"/>
                  </a:lnTo>
                  <a:lnTo>
                    <a:pt x="171548"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nvGrpSpPr>
          <xdr:cNvPr id="30" name="JPN">
            <a:extLst>
              <a:ext uri="{FF2B5EF4-FFF2-40B4-BE49-F238E27FC236}">
                <a16:creationId xmlns:a16="http://schemas.microsoft.com/office/drawing/2014/main" id="{00000000-0008-0000-2700-00001E000000}"/>
              </a:ext>
            </a:extLst>
          </xdr:cNvPr>
          <xdr:cNvGrpSpPr/>
        </xdr:nvGrpSpPr>
        <xdr:grpSpPr>
          <a:xfrm>
            <a:off x="10441505" y="1971471"/>
            <a:ext cx="512702" cy="461072"/>
            <a:chOff x="10331719" y="2225471"/>
            <a:chExt cx="512275" cy="461072"/>
          </a:xfrm>
          <a:grpFill/>
        </xdr:grpSpPr>
        <xdr:sp macro="" textlink="">
          <xdr:nvSpPr>
            <xdr:cNvPr id="6586877" name="JP_1">
              <a:extLst>
                <a:ext uri="{FF2B5EF4-FFF2-40B4-BE49-F238E27FC236}">
                  <a16:creationId xmlns:a16="http://schemas.microsoft.com/office/drawing/2014/main" id="{00000000-0008-0000-2700-0000FD816400}"/>
                </a:ext>
              </a:extLst>
            </xdr:cNvPr>
            <xdr:cNvSpPr/>
          </xdr:nvSpPr>
          <xdr:spPr>
            <a:xfrm>
              <a:off x="10425528" y="2580646"/>
              <a:ext cx="76306" cy="52715"/>
            </a:xfrm>
            <a:custGeom>
              <a:avLst/>
              <a:gdLst/>
              <a:ahLst/>
              <a:cxnLst/>
              <a:rect l="0" t="0" r="0" b="0"/>
              <a:pathLst>
                <a:path w="76306" h="52715">
                  <a:moveTo>
                    <a:pt x="72241" y="6848"/>
                  </a:moveTo>
                  <a:lnTo>
                    <a:pt x="76305" y="17735"/>
                  </a:lnTo>
                  <a:lnTo>
                    <a:pt x="58429" y="36947"/>
                  </a:lnTo>
                  <a:lnTo>
                    <a:pt x="45399" y="26762"/>
                  </a:lnTo>
                  <a:lnTo>
                    <a:pt x="29121" y="34141"/>
                  </a:lnTo>
                  <a:lnTo>
                    <a:pt x="20694" y="52714"/>
                  </a:lnTo>
                  <a:lnTo>
                    <a:pt x="0" y="43672"/>
                  </a:lnTo>
                  <a:lnTo>
                    <a:pt x="257" y="28616"/>
                  </a:lnTo>
                  <a:lnTo>
                    <a:pt x="17821" y="9671"/>
                  </a:lnTo>
                  <a:lnTo>
                    <a:pt x="35874" y="13344"/>
                  </a:lnTo>
                  <a:lnTo>
                    <a:pt x="48927"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78" name="JP_2">
              <a:extLst>
                <a:ext uri="{FF2B5EF4-FFF2-40B4-BE49-F238E27FC236}">
                  <a16:creationId xmlns:a16="http://schemas.microsoft.com/office/drawing/2014/main" id="{00000000-0008-0000-2700-0000FE816400}"/>
                </a:ext>
              </a:extLst>
            </xdr:cNvPr>
            <xdr:cNvSpPr/>
          </xdr:nvSpPr>
          <xdr:spPr>
            <a:xfrm>
              <a:off x="10331719" y="2357961"/>
              <a:ext cx="397061" cy="328582"/>
            </a:xfrm>
            <a:custGeom>
              <a:avLst/>
              <a:gdLst/>
              <a:ahLst/>
              <a:cxnLst/>
              <a:rect l="0" t="0" r="0" b="0"/>
              <a:pathLst>
                <a:path w="397061" h="328582">
                  <a:moveTo>
                    <a:pt x="367281" y="134509"/>
                  </a:moveTo>
                  <a:lnTo>
                    <a:pt x="355324" y="159848"/>
                  </a:lnTo>
                  <a:lnTo>
                    <a:pt x="360858" y="175758"/>
                  </a:lnTo>
                  <a:lnTo>
                    <a:pt x="344323" y="198136"/>
                  </a:lnTo>
                  <a:lnTo>
                    <a:pt x="303752" y="213074"/>
                  </a:lnTo>
                  <a:lnTo>
                    <a:pt x="247939" y="215020"/>
                  </a:lnTo>
                  <a:lnTo>
                    <a:pt x="202708" y="251263"/>
                  </a:lnTo>
                  <a:lnTo>
                    <a:pt x="181372" y="239062"/>
                  </a:lnTo>
                  <a:lnTo>
                    <a:pt x="180051" y="215332"/>
                  </a:lnTo>
                  <a:lnTo>
                    <a:pt x="124835" y="222336"/>
                  </a:lnTo>
                  <a:lnTo>
                    <a:pt x="87259" y="237290"/>
                  </a:lnTo>
                  <a:lnTo>
                    <a:pt x="50089" y="237896"/>
                  </a:lnTo>
                  <a:lnTo>
                    <a:pt x="82281" y="261258"/>
                  </a:lnTo>
                  <a:lnTo>
                    <a:pt x="61097" y="315220"/>
                  </a:lnTo>
                  <a:lnTo>
                    <a:pt x="40571" y="328581"/>
                  </a:lnTo>
                  <a:lnTo>
                    <a:pt x="25206" y="316243"/>
                  </a:lnTo>
                  <a:lnTo>
                    <a:pt x="32995" y="287626"/>
                  </a:lnTo>
                  <a:lnTo>
                    <a:pt x="12897" y="278393"/>
                  </a:lnTo>
                  <a:lnTo>
                    <a:pt x="0" y="256619"/>
                  </a:lnTo>
                  <a:lnTo>
                    <a:pt x="30017" y="246837"/>
                  </a:lnTo>
                  <a:lnTo>
                    <a:pt x="46673" y="226882"/>
                  </a:lnTo>
                  <a:lnTo>
                    <a:pt x="78604" y="210467"/>
                  </a:lnTo>
                  <a:lnTo>
                    <a:pt x="101892" y="188760"/>
                  </a:lnTo>
                  <a:lnTo>
                    <a:pt x="165094" y="179292"/>
                  </a:lnTo>
                  <a:lnTo>
                    <a:pt x="199041" y="185785"/>
                  </a:lnTo>
                  <a:lnTo>
                    <a:pt x="232261" y="129337"/>
                  </a:lnTo>
                  <a:lnTo>
                    <a:pt x="253432" y="144500"/>
                  </a:lnTo>
                  <a:lnTo>
                    <a:pt x="300009" y="112747"/>
                  </a:lnTo>
                  <a:lnTo>
                    <a:pt x="318068" y="100412"/>
                  </a:lnTo>
                  <a:lnTo>
                    <a:pt x="338021" y="61588"/>
                  </a:lnTo>
                  <a:lnTo>
                    <a:pt x="332578" y="25886"/>
                  </a:lnTo>
                  <a:lnTo>
                    <a:pt x="345990" y="5829"/>
                  </a:lnTo>
                  <a:lnTo>
                    <a:pt x="379746" y="0"/>
                  </a:lnTo>
                  <a:lnTo>
                    <a:pt x="397060" y="44037"/>
                  </a:lnTo>
                  <a:lnTo>
                    <a:pt x="396116" y="69777"/>
                  </a:lnTo>
                  <a:lnTo>
                    <a:pt x="366745" y="101746"/>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79" name="JP_3">
              <a:extLst>
                <a:ext uri="{FF2B5EF4-FFF2-40B4-BE49-F238E27FC236}">
                  <a16:creationId xmlns:a16="http://schemas.microsoft.com/office/drawing/2014/main" id="{00000000-0008-0000-2700-0000FF816400}"/>
                </a:ext>
              </a:extLst>
            </xdr:cNvPr>
            <xdr:cNvSpPr/>
          </xdr:nvSpPr>
          <xdr:spPr>
            <a:xfrm>
              <a:off x="10662205" y="2225471"/>
              <a:ext cx="181789" cy="126427"/>
            </a:xfrm>
            <a:custGeom>
              <a:avLst/>
              <a:gdLst/>
              <a:ahLst/>
              <a:cxnLst/>
              <a:rect l="0" t="0" r="0" b="0"/>
              <a:pathLst>
                <a:path w="181789" h="126427">
                  <a:moveTo>
                    <a:pt x="129944" y="43733"/>
                  </a:moveTo>
                  <a:lnTo>
                    <a:pt x="152270" y="50502"/>
                  </a:lnTo>
                  <a:lnTo>
                    <a:pt x="174730" y="37046"/>
                  </a:lnTo>
                  <a:lnTo>
                    <a:pt x="181788" y="72689"/>
                  </a:lnTo>
                  <a:lnTo>
                    <a:pt x="134690" y="81379"/>
                  </a:lnTo>
                  <a:lnTo>
                    <a:pt x="106880" y="112913"/>
                  </a:lnTo>
                  <a:lnTo>
                    <a:pt x="56960" y="91209"/>
                  </a:lnTo>
                  <a:lnTo>
                    <a:pt x="39682" y="125949"/>
                  </a:lnTo>
                  <a:lnTo>
                    <a:pt x="4369" y="126426"/>
                  </a:lnTo>
                  <a:lnTo>
                    <a:pt x="0" y="94860"/>
                  </a:lnTo>
                  <a:lnTo>
                    <a:pt x="15704" y="70428"/>
                  </a:lnTo>
                  <a:lnTo>
                    <a:pt x="49625" y="68666"/>
                  </a:lnTo>
                  <a:lnTo>
                    <a:pt x="58880" y="24746"/>
                  </a:lnTo>
                  <a:lnTo>
                    <a:pt x="68266" y="0"/>
                  </a:lnTo>
                  <a:lnTo>
                    <a:pt x="105581" y="33055"/>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31" name="KAZ">
            <a:extLst>
              <a:ext uri="{FF2B5EF4-FFF2-40B4-BE49-F238E27FC236}">
                <a16:creationId xmlns:a16="http://schemas.microsoft.com/office/drawing/2014/main" id="{00000000-0008-0000-2700-00001F000000}"/>
              </a:ext>
            </a:extLst>
          </xdr:cNvPr>
          <xdr:cNvSpPr/>
        </xdr:nvSpPr>
        <xdr:spPr>
          <a:xfrm>
            <a:off x="7805899" y="1659248"/>
            <a:ext cx="1299455" cy="467456"/>
          </a:xfrm>
          <a:custGeom>
            <a:avLst/>
            <a:gdLst/>
            <a:ahLst/>
            <a:cxnLst/>
            <a:rect l="0" t="0" r="0" b="0"/>
            <a:pathLst>
              <a:path w="1298373" h="467456">
                <a:moveTo>
                  <a:pt x="777745" y="416532"/>
                </a:moveTo>
                <a:lnTo>
                  <a:pt x="759542" y="422402"/>
                </a:lnTo>
                <a:lnTo>
                  <a:pt x="717664" y="444535"/>
                </a:lnTo>
                <a:lnTo>
                  <a:pt x="703773" y="467252"/>
                </a:lnTo>
                <a:lnTo>
                  <a:pt x="691944" y="467455"/>
                </a:lnTo>
                <a:lnTo>
                  <a:pt x="683243" y="452415"/>
                </a:lnTo>
                <a:lnTo>
                  <a:pt x="642861" y="451387"/>
                </a:lnTo>
                <a:lnTo>
                  <a:pt x="636403" y="425377"/>
                </a:lnTo>
                <a:lnTo>
                  <a:pt x="620934" y="425155"/>
                </a:lnTo>
                <a:lnTo>
                  <a:pt x="623303" y="393306"/>
                </a:lnTo>
                <a:lnTo>
                  <a:pt x="585292" y="370116"/>
                </a:lnTo>
                <a:lnTo>
                  <a:pt x="530840" y="372593"/>
                </a:lnTo>
                <a:lnTo>
                  <a:pt x="493614" y="377216"/>
                </a:lnTo>
                <a:lnTo>
                  <a:pt x="463293" y="348599"/>
                </a:lnTo>
                <a:lnTo>
                  <a:pt x="437311" y="336591"/>
                </a:lnTo>
                <a:lnTo>
                  <a:pt x="388099" y="313858"/>
                </a:lnTo>
                <a:lnTo>
                  <a:pt x="382165" y="311103"/>
                </a:lnTo>
                <a:lnTo>
                  <a:pt x="300434" y="329864"/>
                </a:lnTo>
                <a:lnTo>
                  <a:pt x="301681" y="446935"/>
                </a:lnTo>
                <a:lnTo>
                  <a:pt x="285397" y="448482"/>
                </a:lnTo>
                <a:lnTo>
                  <a:pt x="263172" y="423586"/>
                </a:lnTo>
                <a:lnTo>
                  <a:pt x="241712" y="414693"/>
                </a:lnTo>
                <a:lnTo>
                  <a:pt x="205673" y="421300"/>
                </a:lnTo>
                <a:lnTo>
                  <a:pt x="191646" y="431864"/>
                </a:lnTo>
                <a:lnTo>
                  <a:pt x="189861" y="424120"/>
                </a:lnTo>
                <a:lnTo>
                  <a:pt x="197665" y="410890"/>
                </a:lnTo>
                <a:lnTo>
                  <a:pt x="191611" y="399828"/>
                </a:lnTo>
                <a:lnTo>
                  <a:pt x="154813" y="389011"/>
                </a:lnTo>
                <a:lnTo>
                  <a:pt x="140491" y="360499"/>
                </a:lnTo>
                <a:lnTo>
                  <a:pt x="122958" y="352466"/>
                </a:lnTo>
                <a:lnTo>
                  <a:pt x="121894" y="342122"/>
                </a:lnTo>
                <a:lnTo>
                  <a:pt x="152784" y="345135"/>
                </a:lnTo>
                <a:lnTo>
                  <a:pt x="154003" y="321923"/>
                </a:lnTo>
                <a:lnTo>
                  <a:pt x="181007" y="316767"/>
                </a:lnTo>
                <a:lnTo>
                  <a:pt x="208740" y="321510"/>
                </a:lnTo>
                <a:lnTo>
                  <a:pt x="214455" y="290535"/>
                </a:lnTo>
                <a:lnTo>
                  <a:pt x="208797" y="270901"/>
                </a:lnTo>
                <a:lnTo>
                  <a:pt x="177025" y="272437"/>
                </a:lnTo>
                <a:lnTo>
                  <a:pt x="150034" y="264687"/>
                </a:lnTo>
                <a:lnTo>
                  <a:pt x="113274" y="278648"/>
                </a:lnTo>
                <a:lnTo>
                  <a:pt x="83654" y="285306"/>
                </a:lnTo>
                <a:lnTo>
                  <a:pt x="67525" y="280172"/>
                </a:lnTo>
                <a:lnTo>
                  <a:pt x="70748" y="263833"/>
                </a:lnTo>
                <a:lnTo>
                  <a:pt x="50511" y="242618"/>
                </a:lnTo>
                <a:lnTo>
                  <a:pt x="26949" y="243507"/>
                </a:lnTo>
                <a:lnTo>
                  <a:pt x="0" y="221967"/>
                </a:lnTo>
                <a:lnTo>
                  <a:pt x="18329" y="197908"/>
                </a:lnTo>
                <a:lnTo>
                  <a:pt x="9055" y="191430"/>
                </a:lnTo>
                <a:lnTo>
                  <a:pt x="34388" y="156547"/>
                </a:lnTo>
                <a:lnTo>
                  <a:pt x="67037" y="174959"/>
                </a:lnTo>
                <a:lnTo>
                  <a:pt x="70992" y="151772"/>
                </a:lnTo>
                <a:lnTo>
                  <a:pt x="136531" y="117237"/>
                </a:lnTo>
                <a:lnTo>
                  <a:pt x="186128" y="116415"/>
                </a:lnTo>
                <a:lnTo>
                  <a:pt x="256111" y="138402"/>
                </a:lnTo>
                <a:lnTo>
                  <a:pt x="293703" y="151244"/>
                </a:lnTo>
                <a:lnTo>
                  <a:pt x="327393" y="137849"/>
                </a:lnTo>
                <a:lnTo>
                  <a:pt x="377726" y="137211"/>
                </a:lnTo>
                <a:lnTo>
                  <a:pt x="418335" y="153667"/>
                </a:lnTo>
                <a:lnTo>
                  <a:pt x="427558" y="144244"/>
                </a:lnTo>
                <a:lnTo>
                  <a:pt x="472154" y="145612"/>
                </a:lnTo>
                <a:lnTo>
                  <a:pt x="480110" y="130575"/>
                </a:lnTo>
                <a:lnTo>
                  <a:pt x="428660" y="108741"/>
                </a:lnTo>
                <a:lnTo>
                  <a:pt x="459133" y="93275"/>
                </a:lnTo>
                <a:lnTo>
                  <a:pt x="453186" y="84623"/>
                </a:lnTo>
                <a:lnTo>
                  <a:pt x="483667" y="76368"/>
                </a:lnTo>
                <a:lnTo>
                  <a:pt x="460746" y="54620"/>
                </a:lnTo>
                <a:lnTo>
                  <a:pt x="475303" y="43783"/>
                </a:lnTo>
                <a:lnTo>
                  <a:pt x="594109" y="32738"/>
                </a:lnTo>
                <a:lnTo>
                  <a:pt x="609615" y="24892"/>
                </a:lnTo>
                <a:lnTo>
                  <a:pt x="689060" y="13173"/>
                </a:lnTo>
                <a:lnTo>
                  <a:pt x="717606" y="0"/>
                </a:lnTo>
                <a:lnTo>
                  <a:pt x="774665" y="6846"/>
                </a:lnTo>
                <a:lnTo>
                  <a:pt x="784660" y="39751"/>
                </a:lnTo>
                <a:lnTo>
                  <a:pt x="817810" y="32023"/>
                </a:lnTo>
                <a:lnTo>
                  <a:pt x="858586" y="42853"/>
                </a:lnTo>
                <a:lnTo>
                  <a:pt x="855958" y="60182"/>
                </a:lnTo>
                <a:lnTo>
                  <a:pt x="886409" y="58369"/>
                </a:lnTo>
                <a:lnTo>
                  <a:pt x="965984" y="28410"/>
                </a:lnTo>
                <a:lnTo>
                  <a:pt x="954366" y="38364"/>
                </a:lnTo>
                <a:lnTo>
                  <a:pt x="994870" y="62894"/>
                </a:lnTo>
                <a:lnTo>
                  <a:pt x="1065822" y="143526"/>
                </a:lnTo>
                <a:lnTo>
                  <a:pt x="1082738" y="126905"/>
                </a:lnTo>
                <a:lnTo>
                  <a:pt x="1126477" y="145196"/>
                </a:lnTo>
                <a:lnTo>
                  <a:pt x="1172102" y="137036"/>
                </a:lnTo>
                <a:lnTo>
                  <a:pt x="1189631" y="142751"/>
                </a:lnTo>
                <a:lnTo>
                  <a:pt x="1204912" y="161096"/>
                </a:lnTo>
                <a:lnTo>
                  <a:pt x="1227112" y="167259"/>
                </a:lnTo>
                <a:lnTo>
                  <a:pt x="1240628" y="180734"/>
                </a:lnTo>
                <a:lnTo>
                  <a:pt x="1281525" y="176486"/>
                </a:lnTo>
                <a:lnTo>
                  <a:pt x="1298372" y="195907"/>
                </a:lnTo>
                <a:lnTo>
                  <a:pt x="1274204" y="217046"/>
                </a:lnTo>
                <a:lnTo>
                  <a:pt x="1247831" y="220012"/>
                </a:lnTo>
                <a:lnTo>
                  <a:pt x="1246318" y="251851"/>
                </a:lnTo>
                <a:lnTo>
                  <a:pt x="1228658" y="266202"/>
                </a:lnTo>
                <a:lnTo>
                  <a:pt x="1165672" y="255756"/>
                </a:lnTo>
                <a:lnTo>
                  <a:pt x="1142762" y="312601"/>
                </a:lnTo>
                <a:lnTo>
                  <a:pt x="1126512" y="319669"/>
                </a:lnTo>
                <a:lnTo>
                  <a:pt x="1063615" y="332353"/>
                </a:lnTo>
                <a:lnTo>
                  <a:pt x="1092194" y="387506"/>
                </a:lnTo>
                <a:lnTo>
                  <a:pt x="1070413" y="395770"/>
                </a:lnTo>
                <a:lnTo>
                  <a:pt x="1072947" y="413871"/>
                </a:lnTo>
                <a:lnTo>
                  <a:pt x="1053376" y="409213"/>
                </a:lnTo>
                <a:lnTo>
                  <a:pt x="1037457" y="397802"/>
                </a:lnTo>
                <a:lnTo>
                  <a:pt x="990346" y="394481"/>
                </a:lnTo>
                <a:lnTo>
                  <a:pt x="937704" y="393614"/>
                </a:lnTo>
                <a:lnTo>
                  <a:pt x="926167" y="397110"/>
                </a:lnTo>
                <a:lnTo>
                  <a:pt x="880951" y="383762"/>
                </a:lnTo>
                <a:lnTo>
                  <a:pt x="862929" y="390335"/>
                </a:lnTo>
                <a:lnTo>
                  <a:pt x="857992" y="409080"/>
                </a:lnTo>
                <a:lnTo>
                  <a:pt x="805758" y="398142"/>
                </a:lnTo>
                <a:lnTo>
                  <a:pt x="784857" y="40262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504" name="NLD">
            <a:extLst>
              <a:ext uri="{FF2B5EF4-FFF2-40B4-BE49-F238E27FC236}">
                <a16:creationId xmlns:a16="http://schemas.microsoft.com/office/drawing/2014/main" id="{00000000-0008-0000-2700-0000A07C6400}"/>
              </a:ext>
            </a:extLst>
          </xdr:cNvPr>
          <xdr:cNvSpPr/>
        </xdr:nvSpPr>
        <xdr:spPr>
          <a:xfrm>
            <a:off x="6434701" y="1718776"/>
            <a:ext cx="120024" cy="85939"/>
          </a:xfrm>
          <a:custGeom>
            <a:avLst/>
            <a:gdLst/>
            <a:ahLst/>
            <a:cxnLst/>
            <a:rect l="0" t="0" r="0" b="0"/>
            <a:pathLst>
              <a:path w="119924" h="85939">
                <a:moveTo>
                  <a:pt x="87604" y="0"/>
                </a:moveTo>
                <a:lnTo>
                  <a:pt x="113986" y="896"/>
                </a:lnTo>
                <a:lnTo>
                  <a:pt x="119923" y="11633"/>
                </a:lnTo>
                <a:lnTo>
                  <a:pt x="112010" y="40704"/>
                </a:lnTo>
                <a:lnTo>
                  <a:pt x="103962" y="52655"/>
                </a:lnTo>
                <a:lnTo>
                  <a:pt x="84890" y="52667"/>
                </a:lnTo>
                <a:lnTo>
                  <a:pt x="90224" y="85938"/>
                </a:lnTo>
                <a:lnTo>
                  <a:pt x="72771" y="78521"/>
                </a:lnTo>
                <a:lnTo>
                  <a:pt x="52673" y="64624"/>
                </a:lnTo>
                <a:lnTo>
                  <a:pt x="23244" y="71219"/>
                </a:lnTo>
                <a:lnTo>
                  <a:pt x="0" y="68726"/>
                </a:lnTo>
                <a:lnTo>
                  <a:pt x="16360" y="60004"/>
                </a:lnTo>
                <a:lnTo>
                  <a:pt x="44164" y="13291"/>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505" name="PRK">
            <a:extLst>
              <a:ext uri="{FF2B5EF4-FFF2-40B4-BE49-F238E27FC236}">
                <a16:creationId xmlns:a16="http://schemas.microsoft.com/office/drawing/2014/main" id="{00000000-0008-0000-2700-0000A17C6400}"/>
              </a:ext>
            </a:extLst>
          </xdr:cNvPr>
          <xdr:cNvSpPr/>
        </xdr:nvSpPr>
        <xdr:spPr>
          <a:xfrm>
            <a:off x="10278082" y="2052945"/>
            <a:ext cx="207006" cy="168794"/>
          </a:xfrm>
          <a:custGeom>
            <a:avLst/>
            <a:gdLst/>
            <a:ahLst/>
            <a:cxnLst/>
            <a:rect l="0" t="0" r="0" b="0"/>
            <a:pathLst>
              <a:path w="206834" h="168794">
                <a:moveTo>
                  <a:pt x="202387" y="18745"/>
                </a:moveTo>
                <a:lnTo>
                  <a:pt x="206833" y="24301"/>
                </a:lnTo>
                <a:lnTo>
                  <a:pt x="194768" y="22396"/>
                </a:lnTo>
                <a:lnTo>
                  <a:pt x="180985" y="33147"/>
                </a:lnTo>
                <a:lnTo>
                  <a:pt x="171508" y="43952"/>
                </a:lnTo>
                <a:lnTo>
                  <a:pt x="172708" y="66757"/>
                </a:lnTo>
                <a:lnTo>
                  <a:pt x="156290" y="73774"/>
                </a:lnTo>
                <a:lnTo>
                  <a:pt x="150648" y="79375"/>
                </a:lnTo>
                <a:lnTo>
                  <a:pt x="138678" y="88760"/>
                </a:lnTo>
                <a:lnTo>
                  <a:pt x="117533" y="93980"/>
                </a:lnTo>
                <a:lnTo>
                  <a:pt x="103753" y="102505"/>
                </a:lnTo>
                <a:lnTo>
                  <a:pt x="102759" y="116253"/>
                </a:lnTo>
                <a:lnTo>
                  <a:pt x="99054" y="119758"/>
                </a:lnTo>
                <a:lnTo>
                  <a:pt x="111687" y="124920"/>
                </a:lnTo>
                <a:lnTo>
                  <a:pt x="129671" y="138849"/>
                </a:lnTo>
                <a:lnTo>
                  <a:pt x="125098" y="146526"/>
                </a:lnTo>
                <a:lnTo>
                  <a:pt x="111583" y="148619"/>
                </a:lnTo>
                <a:lnTo>
                  <a:pt x="89144" y="150155"/>
                </a:lnTo>
                <a:lnTo>
                  <a:pt x="76775" y="164484"/>
                </a:lnTo>
                <a:lnTo>
                  <a:pt x="62602" y="163354"/>
                </a:lnTo>
                <a:lnTo>
                  <a:pt x="60618" y="166233"/>
                </a:lnTo>
                <a:lnTo>
                  <a:pt x="45197" y="160192"/>
                </a:lnTo>
                <a:lnTo>
                  <a:pt x="41364" y="166157"/>
                </a:lnTo>
                <a:lnTo>
                  <a:pt x="32058" y="168793"/>
                </a:lnTo>
                <a:lnTo>
                  <a:pt x="30940" y="162820"/>
                </a:lnTo>
                <a:lnTo>
                  <a:pt x="22714" y="159912"/>
                </a:lnTo>
                <a:lnTo>
                  <a:pt x="14180" y="154848"/>
                </a:lnTo>
                <a:lnTo>
                  <a:pt x="22873" y="140872"/>
                </a:lnTo>
                <a:lnTo>
                  <a:pt x="30363" y="137144"/>
                </a:lnTo>
                <a:lnTo>
                  <a:pt x="27537" y="131343"/>
                </a:lnTo>
                <a:lnTo>
                  <a:pt x="35592" y="114217"/>
                </a:lnTo>
                <a:lnTo>
                  <a:pt x="33512" y="109030"/>
                </a:lnTo>
                <a:lnTo>
                  <a:pt x="14983" y="105572"/>
                </a:lnTo>
                <a:lnTo>
                  <a:pt x="0" y="97057"/>
                </a:lnTo>
                <a:lnTo>
                  <a:pt x="25855" y="76695"/>
                </a:lnTo>
                <a:lnTo>
                  <a:pt x="60846" y="59630"/>
                </a:lnTo>
                <a:lnTo>
                  <a:pt x="82661" y="37109"/>
                </a:lnTo>
                <a:lnTo>
                  <a:pt x="97733" y="47060"/>
                </a:lnTo>
                <a:lnTo>
                  <a:pt x="125184" y="48216"/>
                </a:lnTo>
                <a:lnTo>
                  <a:pt x="120225" y="31467"/>
                </a:lnTo>
                <a:lnTo>
                  <a:pt x="169263" y="17793"/>
                </a:lnTo>
                <a:lnTo>
                  <a:pt x="181887"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506" name="NOR">
            <a:extLst>
              <a:ext uri="{FF2B5EF4-FFF2-40B4-BE49-F238E27FC236}">
                <a16:creationId xmlns:a16="http://schemas.microsoft.com/office/drawing/2014/main" id="{00000000-0008-0000-2700-0000A27C6400}"/>
              </a:ext>
            </a:extLst>
          </xdr:cNvPr>
          <xdr:cNvSpPr/>
        </xdr:nvSpPr>
        <xdr:spPr>
          <a:xfrm>
            <a:off x="6487993" y="1157592"/>
            <a:ext cx="835763" cy="416135"/>
          </a:xfrm>
          <a:custGeom>
            <a:avLst/>
            <a:gdLst/>
            <a:ahLst/>
            <a:cxnLst/>
            <a:rect l="0" t="0" r="0" b="0"/>
            <a:pathLst>
              <a:path w="835067" h="416135">
                <a:moveTo>
                  <a:pt x="735755" y="0"/>
                </a:moveTo>
                <a:lnTo>
                  <a:pt x="835066" y="23231"/>
                </a:lnTo>
                <a:lnTo>
                  <a:pt x="794172" y="31724"/>
                </a:lnTo>
                <a:lnTo>
                  <a:pt x="828960" y="51670"/>
                </a:lnTo>
                <a:lnTo>
                  <a:pt x="774938" y="64408"/>
                </a:lnTo>
                <a:lnTo>
                  <a:pt x="749293" y="67332"/>
                </a:lnTo>
                <a:lnTo>
                  <a:pt x="762746" y="45053"/>
                </a:lnTo>
                <a:lnTo>
                  <a:pt x="722001" y="32426"/>
                </a:lnTo>
                <a:lnTo>
                  <a:pt x="672702" y="43186"/>
                </a:lnTo>
                <a:lnTo>
                  <a:pt x="657133" y="66465"/>
                </a:lnTo>
                <a:lnTo>
                  <a:pt x="626859" y="80515"/>
                </a:lnTo>
                <a:lnTo>
                  <a:pt x="592769" y="72844"/>
                </a:lnTo>
                <a:lnTo>
                  <a:pt x="551310" y="74415"/>
                </a:lnTo>
                <a:lnTo>
                  <a:pt x="516026" y="57629"/>
                </a:lnTo>
                <a:lnTo>
                  <a:pt x="496998" y="66018"/>
                </a:lnTo>
                <a:lnTo>
                  <a:pt x="477304" y="67322"/>
                </a:lnTo>
                <a:lnTo>
                  <a:pt x="472646" y="88211"/>
                </a:lnTo>
                <a:lnTo>
                  <a:pt x="412807" y="83125"/>
                </a:lnTo>
                <a:lnTo>
                  <a:pt x="404403" y="100803"/>
                </a:lnTo>
                <a:lnTo>
                  <a:pt x="373913" y="100698"/>
                </a:lnTo>
                <a:lnTo>
                  <a:pt x="352951" y="123285"/>
                </a:lnTo>
                <a:lnTo>
                  <a:pt x="321192" y="158483"/>
                </a:lnTo>
                <a:lnTo>
                  <a:pt x="271894" y="203152"/>
                </a:lnTo>
                <a:lnTo>
                  <a:pt x="283457" y="213998"/>
                </a:lnTo>
                <a:lnTo>
                  <a:pt x="272408" y="226581"/>
                </a:lnTo>
                <a:lnTo>
                  <a:pt x="240913" y="226038"/>
                </a:lnTo>
                <a:lnTo>
                  <a:pt x="220297" y="255816"/>
                </a:lnTo>
                <a:lnTo>
                  <a:pt x="222249" y="297977"/>
                </a:lnTo>
                <a:lnTo>
                  <a:pt x="242538" y="314068"/>
                </a:lnTo>
                <a:lnTo>
                  <a:pt x="232038" y="351396"/>
                </a:lnTo>
                <a:lnTo>
                  <a:pt x="205619" y="373161"/>
                </a:lnTo>
                <a:lnTo>
                  <a:pt x="191620" y="391458"/>
                </a:lnTo>
                <a:lnTo>
                  <a:pt x="170322" y="371973"/>
                </a:lnTo>
                <a:lnTo>
                  <a:pt x="107629" y="408692"/>
                </a:lnTo>
                <a:lnTo>
                  <a:pt x="65297" y="416134"/>
                </a:lnTo>
                <a:lnTo>
                  <a:pt x="21390" y="399964"/>
                </a:lnTo>
                <a:lnTo>
                  <a:pt x="10036" y="365833"/>
                </a:lnTo>
                <a:lnTo>
                  <a:pt x="0" y="292560"/>
                </a:lnTo>
                <a:lnTo>
                  <a:pt x="29235" y="272129"/>
                </a:lnTo>
                <a:lnTo>
                  <a:pt x="113071" y="245475"/>
                </a:lnTo>
                <a:lnTo>
                  <a:pt x="175755" y="212709"/>
                </a:lnTo>
                <a:lnTo>
                  <a:pt x="233877" y="168459"/>
                </a:lnTo>
                <a:lnTo>
                  <a:pt x="310166" y="107153"/>
                </a:lnTo>
                <a:lnTo>
                  <a:pt x="363340" y="83258"/>
                </a:lnTo>
                <a:lnTo>
                  <a:pt x="450593" y="43437"/>
                </a:lnTo>
                <a:lnTo>
                  <a:pt x="520264" y="29537"/>
                </a:lnTo>
                <a:lnTo>
                  <a:pt x="572503" y="31223"/>
                </a:lnTo>
                <a:lnTo>
                  <a:pt x="620852" y="4921"/>
                </a:lnTo>
                <a:lnTo>
                  <a:pt x="678748" y="6324"/>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507" name="PAK">
            <a:extLst>
              <a:ext uri="{FF2B5EF4-FFF2-40B4-BE49-F238E27FC236}">
                <a16:creationId xmlns:a16="http://schemas.microsoft.com/office/drawing/2014/main" id="{00000000-0008-0000-2700-0000A37C6400}"/>
              </a:ext>
            </a:extLst>
          </xdr:cNvPr>
          <xdr:cNvSpPr/>
        </xdr:nvSpPr>
        <xdr:spPr>
          <a:xfrm>
            <a:off x="8263727" y="2238759"/>
            <a:ext cx="539035" cy="426752"/>
          </a:xfrm>
          <a:custGeom>
            <a:avLst/>
            <a:gdLst/>
            <a:ahLst/>
            <a:cxnLst/>
            <a:rect l="0" t="0" r="0" b="0"/>
            <a:pathLst>
              <a:path w="538586" h="426752">
                <a:moveTo>
                  <a:pt x="453511" y="0"/>
                </a:moveTo>
                <a:lnTo>
                  <a:pt x="476971" y="14802"/>
                </a:lnTo>
                <a:lnTo>
                  <a:pt x="486366" y="39198"/>
                </a:lnTo>
                <a:lnTo>
                  <a:pt x="538585" y="52038"/>
                </a:lnTo>
                <a:lnTo>
                  <a:pt x="507921" y="78724"/>
                </a:lnTo>
                <a:lnTo>
                  <a:pt x="472533" y="83442"/>
                </a:lnTo>
                <a:lnTo>
                  <a:pt x="424371" y="75695"/>
                </a:lnTo>
                <a:lnTo>
                  <a:pt x="408804" y="89385"/>
                </a:lnTo>
                <a:lnTo>
                  <a:pt x="420056" y="117205"/>
                </a:lnTo>
                <a:lnTo>
                  <a:pt x="431083" y="138687"/>
                </a:lnTo>
                <a:lnTo>
                  <a:pt x="456705" y="154365"/>
                </a:lnTo>
                <a:lnTo>
                  <a:pt x="429632" y="172732"/>
                </a:lnTo>
                <a:lnTo>
                  <a:pt x="430124" y="195364"/>
                </a:lnTo>
                <a:lnTo>
                  <a:pt x="399301" y="227222"/>
                </a:lnTo>
                <a:lnTo>
                  <a:pt x="379400" y="259442"/>
                </a:lnTo>
                <a:lnTo>
                  <a:pt x="346187" y="292728"/>
                </a:lnTo>
                <a:lnTo>
                  <a:pt x="309318" y="290315"/>
                </a:lnTo>
                <a:lnTo>
                  <a:pt x="274327" y="323596"/>
                </a:lnTo>
                <a:lnTo>
                  <a:pt x="295107" y="337855"/>
                </a:lnTo>
                <a:lnTo>
                  <a:pt x="298727" y="362293"/>
                </a:lnTo>
                <a:lnTo>
                  <a:pt x="316564" y="378393"/>
                </a:lnTo>
                <a:lnTo>
                  <a:pt x="322866" y="405654"/>
                </a:lnTo>
                <a:lnTo>
                  <a:pt x="252997" y="405571"/>
                </a:lnTo>
                <a:lnTo>
                  <a:pt x="231852" y="426751"/>
                </a:lnTo>
                <a:lnTo>
                  <a:pt x="208582" y="418725"/>
                </a:lnTo>
                <a:lnTo>
                  <a:pt x="199111" y="395903"/>
                </a:lnTo>
                <a:lnTo>
                  <a:pt x="174581" y="371726"/>
                </a:lnTo>
                <a:lnTo>
                  <a:pt x="116085" y="377698"/>
                </a:lnTo>
                <a:lnTo>
                  <a:pt x="64500" y="378288"/>
                </a:lnTo>
                <a:lnTo>
                  <a:pt x="19787" y="382740"/>
                </a:lnTo>
                <a:lnTo>
                  <a:pt x="31750" y="345853"/>
                </a:lnTo>
                <a:lnTo>
                  <a:pt x="77547" y="329454"/>
                </a:lnTo>
                <a:lnTo>
                  <a:pt x="74921" y="314833"/>
                </a:lnTo>
                <a:lnTo>
                  <a:pt x="59728" y="309692"/>
                </a:lnTo>
                <a:lnTo>
                  <a:pt x="58852" y="281730"/>
                </a:lnTo>
                <a:lnTo>
                  <a:pt x="28502" y="267770"/>
                </a:lnTo>
                <a:lnTo>
                  <a:pt x="15720" y="248593"/>
                </a:lnTo>
                <a:lnTo>
                  <a:pt x="0" y="231895"/>
                </a:lnTo>
                <a:lnTo>
                  <a:pt x="53204" y="248107"/>
                </a:lnTo>
                <a:lnTo>
                  <a:pt x="84966" y="243354"/>
                </a:lnTo>
                <a:lnTo>
                  <a:pt x="103943" y="247402"/>
                </a:lnTo>
                <a:lnTo>
                  <a:pt x="110369" y="240442"/>
                </a:lnTo>
                <a:lnTo>
                  <a:pt x="132484" y="243230"/>
                </a:lnTo>
                <a:lnTo>
                  <a:pt x="173746" y="230032"/>
                </a:lnTo>
                <a:lnTo>
                  <a:pt x="174857" y="203012"/>
                </a:lnTo>
                <a:lnTo>
                  <a:pt x="192554" y="185042"/>
                </a:lnTo>
                <a:lnTo>
                  <a:pt x="216192" y="185096"/>
                </a:lnTo>
                <a:lnTo>
                  <a:pt x="219663" y="176215"/>
                </a:lnTo>
                <a:lnTo>
                  <a:pt x="243926" y="172075"/>
                </a:lnTo>
                <a:lnTo>
                  <a:pt x="255668" y="175031"/>
                </a:lnTo>
                <a:lnTo>
                  <a:pt x="268085" y="166103"/>
                </a:lnTo>
                <a:lnTo>
                  <a:pt x="266329" y="147037"/>
                </a:lnTo>
                <a:lnTo>
                  <a:pt x="279810" y="127873"/>
                </a:lnTo>
                <a:lnTo>
                  <a:pt x="300019" y="119840"/>
                </a:lnTo>
                <a:lnTo>
                  <a:pt x="287538" y="98834"/>
                </a:lnTo>
                <a:lnTo>
                  <a:pt x="317742" y="99825"/>
                </a:lnTo>
                <a:lnTo>
                  <a:pt x="326473" y="88395"/>
                </a:lnTo>
                <a:lnTo>
                  <a:pt x="325145" y="76196"/>
                </a:lnTo>
                <a:lnTo>
                  <a:pt x="340961" y="62858"/>
                </a:lnTo>
                <a:lnTo>
                  <a:pt x="337332" y="47066"/>
                </a:lnTo>
                <a:lnTo>
                  <a:pt x="329823" y="33610"/>
                </a:lnTo>
                <a:lnTo>
                  <a:pt x="348364" y="19783"/>
                </a:lnTo>
                <a:lnTo>
                  <a:pt x="382454" y="13112"/>
                </a:lnTo>
                <a:lnTo>
                  <a:pt x="418891" y="9423"/>
                </a:lnTo>
                <a:lnTo>
                  <a:pt x="435029" y="356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6585508" name="RUS">
            <a:extLst>
              <a:ext uri="{FF2B5EF4-FFF2-40B4-BE49-F238E27FC236}">
                <a16:creationId xmlns:a16="http://schemas.microsoft.com/office/drawing/2014/main" id="{00000000-0008-0000-2700-0000A47C6400}"/>
              </a:ext>
            </a:extLst>
          </xdr:cNvPr>
          <xdr:cNvGrpSpPr/>
        </xdr:nvGrpSpPr>
        <xdr:grpSpPr>
          <a:xfrm>
            <a:off x="6954105" y="838031"/>
            <a:ext cx="5095020" cy="1273145"/>
            <a:chOff x="6847223" y="1092031"/>
            <a:chExt cx="5090778" cy="1273145"/>
          </a:xfrm>
          <a:grpFill/>
        </xdr:grpSpPr>
        <xdr:sp macro="" textlink="">
          <xdr:nvSpPr>
            <xdr:cNvPr id="6586866" name="RU_1">
              <a:extLst>
                <a:ext uri="{FF2B5EF4-FFF2-40B4-BE49-F238E27FC236}">
                  <a16:creationId xmlns:a16="http://schemas.microsoft.com/office/drawing/2014/main" id="{00000000-0008-0000-2700-0000F2816400}"/>
                </a:ext>
              </a:extLst>
            </xdr:cNvPr>
            <xdr:cNvSpPr/>
          </xdr:nvSpPr>
          <xdr:spPr>
            <a:xfrm>
              <a:off x="10718612" y="1945614"/>
              <a:ext cx="97156" cy="266673"/>
            </a:xfrm>
            <a:custGeom>
              <a:avLst/>
              <a:gdLst/>
              <a:ahLst/>
              <a:cxnLst/>
              <a:rect l="0" t="0" r="0" b="0"/>
              <a:pathLst>
                <a:path w="97156" h="266673">
                  <a:moveTo>
                    <a:pt x="65211" y="114881"/>
                  </a:moveTo>
                  <a:lnTo>
                    <a:pt x="97155" y="171117"/>
                  </a:lnTo>
                  <a:lnTo>
                    <a:pt x="50159" y="160633"/>
                  </a:lnTo>
                  <a:lnTo>
                    <a:pt x="30626" y="206512"/>
                  </a:lnTo>
                  <a:lnTo>
                    <a:pt x="61576" y="239052"/>
                  </a:lnTo>
                  <a:lnTo>
                    <a:pt x="60681" y="261239"/>
                  </a:lnTo>
                  <a:lnTo>
                    <a:pt x="36627" y="242097"/>
                  </a:lnTo>
                  <a:lnTo>
                    <a:pt x="15808" y="266672"/>
                  </a:lnTo>
                  <a:lnTo>
                    <a:pt x="9932" y="240030"/>
                  </a:lnTo>
                  <a:lnTo>
                    <a:pt x="13472" y="209099"/>
                  </a:lnTo>
                  <a:lnTo>
                    <a:pt x="9852" y="174838"/>
                  </a:lnTo>
                  <a:lnTo>
                    <a:pt x="17199" y="150835"/>
                  </a:lnTo>
                  <a:lnTo>
                    <a:pt x="18603" y="108382"/>
                  </a:lnTo>
                  <a:lnTo>
                    <a:pt x="0" y="77168"/>
                  </a:lnTo>
                  <a:lnTo>
                    <a:pt x="2807" y="33779"/>
                  </a:lnTo>
                  <a:lnTo>
                    <a:pt x="32157" y="19171"/>
                  </a:lnTo>
                  <a:lnTo>
                    <a:pt x="19545" y="4458"/>
                  </a:lnTo>
                  <a:lnTo>
                    <a:pt x="33678" y="0"/>
                  </a:lnTo>
                  <a:lnTo>
                    <a:pt x="41926" y="20996"/>
                  </a:lnTo>
                  <a:lnTo>
                    <a:pt x="52918" y="51597"/>
                  </a:lnTo>
                  <a:lnTo>
                    <a:pt x="52108" y="8284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67" name="RU_2">
              <a:extLst>
                <a:ext uri="{FF2B5EF4-FFF2-40B4-BE49-F238E27FC236}">
                  <a16:creationId xmlns:a16="http://schemas.microsoft.com/office/drawing/2014/main" id="{00000000-0008-0000-2700-0000F3816400}"/>
                </a:ext>
              </a:extLst>
            </xdr:cNvPr>
            <xdr:cNvSpPr/>
          </xdr:nvSpPr>
          <xdr:spPr>
            <a:xfrm>
              <a:off x="6847223" y="1919433"/>
              <a:ext cx="98337" cy="27878"/>
            </a:xfrm>
            <a:custGeom>
              <a:avLst/>
              <a:gdLst/>
              <a:ahLst/>
              <a:cxnLst/>
              <a:rect l="0" t="0" r="0" b="0"/>
              <a:pathLst>
                <a:path w="98337" h="27878">
                  <a:moveTo>
                    <a:pt x="97489" y="27400"/>
                  </a:moveTo>
                  <a:lnTo>
                    <a:pt x="39104" y="27877"/>
                  </a:lnTo>
                  <a:lnTo>
                    <a:pt x="0" y="24270"/>
                  </a:lnTo>
                  <a:lnTo>
                    <a:pt x="7236" y="10297"/>
                  </a:lnTo>
                  <a:lnTo>
                    <a:pt x="51048" y="0"/>
                  </a:lnTo>
                  <a:lnTo>
                    <a:pt x="84300" y="5563"/>
                  </a:lnTo>
                  <a:lnTo>
                    <a:pt x="98336" y="10601"/>
                  </a:lnTo>
                  <a:lnTo>
                    <a:pt x="94949" y="19298"/>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68" name="RU_4">
              <a:extLst>
                <a:ext uri="{FF2B5EF4-FFF2-40B4-BE49-F238E27FC236}">
                  <a16:creationId xmlns:a16="http://schemas.microsoft.com/office/drawing/2014/main" id="{00000000-0008-0000-2700-0000F4816400}"/>
                </a:ext>
              </a:extLst>
            </xdr:cNvPr>
            <xdr:cNvSpPr/>
          </xdr:nvSpPr>
          <xdr:spPr>
            <a:xfrm>
              <a:off x="11897528" y="1401108"/>
              <a:ext cx="40473" cy="23325"/>
            </a:xfrm>
            <a:custGeom>
              <a:avLst/>
              <a:gdLst/>
              <a:ahLst/>
              <a:cxnLst/>
              <a:rect l="0" t="0" r="0" b="0"/>
              <a:pathLst>
                <a:path w="40473" h="23325">
                  <a:moveTo>
                    <a:pt x="40472" y="21701"/>
                  </a:moveTo>
                  <a:lnTo>
                    <a:pt x="5654" y="23324"/>
                  </a:lnTo>
                  <a:lnTo>
                    <a:pt x="0" y="13237"/>
                  </a:lnTo>
                  <a:lnTo>
                    <a:pt x="40472"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69" name="RU_6">
              <a:extLst>
                <a:ext uri="{FF2B5EF4-FFF2-40B4-BE49-F238E27FC236}">
                  <a16:creationId xmlns:a16="http://schemas.microsoft.com/office/drawing/2014/main" id="{00000000-0008-0000-2700-0000F5816400}"/>
                </a:ext>
              </a:extLst>
            </xdr:cNvPr>
            <xdr:cNvSpPr/>
          </xdr:nvSpPr>
          <xdr:spPr>
            <a:xfrm>
              <a:off x="10663653" y="1326753"/>
              <a:ext cx="118768" cy="20708"/>
            </a:xfrm>
            <a:custGeom>
              <a:avLst/>
              <a:gdLst/>
              <a:ahLst/>
              <a:cxnLst/>
              <a:rect l="0" t="0" r="0" b="0"/>
              <a:pathLst>
                <a:path w="118768" h="20708">
                  <a:moveTo>
                    <a:pt x="118767" y="20485"/>
                  </a:moveTo>
                  <a:lnTo>
                    <a:pt x="70628" y="20707"/>
                  </a:lnTo>
                  <a:lnTo>
                    <a:pt x="5560" y="17167"/>
                  </a:lnTo>
                  <a:lnTo>
                    <a:pt x="0" y="15487"/>
                  </a:lnTo>
                  <a:lnTo>
                    <a:pt x="30118" y="2936"/>
                  </a:lnTo>
                  <a:lnTo>
                    <a:pt x="69818" y="0"/>
                  </a:lnTo>
                  <a:lnTo>
                    <a:pt x="114925" y="12138"/>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70" name="RU_7">
              <a:extLst>
                <a:ext uri="{FF2B5EF4-FFF2-40B4-BE49-F238E27FC236}">
                  <a16:creationId xmlns:a16="http://schemas.microsoft.com/office/drawing/2014/main" id="{00000000-0008-0000-2700-0000F6816400}"/>
                </a:ext>
              </a:extLst>
            </xdr:cNvPr>
            <xdr:cNvSpPr/>
          </xdr:nvSpPr>
          <xdr:spPr>
            <a:xfrm>
              <a:off x="10862284" y="1274708"/>
              <a:ext cx="146448" cy="25652"/>
            </a:xfrm>
            <a:custGeom>
              <a:avLst/>
              <a:gdLst/>
              <a:ahLst/>
              <a:cxnLst/>
              <a:rect l="0" t="0" r="0" b="0"/>
              <a:pathLst>
                <a:path w="146448" h="25652">
                  <a:moveTo>
                    <a:pt x="146447" y="13103"/>
                  </a:moveTo>
                  <a:lnTo>
                    <a:pt x="109750" y="25651"/>
                  </a:lnTo>
                  <a:lnTo>
                    <a:pt x="59001" y="22809"/>
                  </a:lnTo>
                  <a:lnTo>
                    <a:pt x="0" y="10281"/>
                  </a:lnTo>
                  <a:lnTo>
                    <a:pt x="7598" y="0"/>
                  </a:lnTo>
                  <a:lnTo>
                    <a:pt x="66770" y="4794"/>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71" name="RU_8">
              <a:extLst>
                <a:ext uri="{FF2B5EF4-FFF2-40B4-BE49-F238E27FC236}">
                  <a16:creationId xmlns:a16="http://schemas.microsoft.com/office/drawing/2014/main" id="{00000000-0008-0000-2700-0000F7816400}"/>
                </a:ext>
              </a:extLst>
            </xdr:cNvPr>
            <xdr:cNvSpPr/>
          </xdr:nvSpPr>
          <xdr:spPr>
            <a:xfrm>
              <a:off x="10571936" y="1254388"/>
              <a:ext cx="257555" cy="48429"/>
            </a:xfrm>
            <a:custGeom>
              <a:avLst/>
              <a:gdLst/>
              <a:ahLst/>
              <a:cxnLst/>
              <a:rect l="0" t="0" r="0" b="0"/>
              <a:pathLst>
                <a:path w="257555" h="48429">
                  <a:moveTo>
                    <a:pt x="257554" y="18231"/>
                  </a:moveTo>
                  <a:lnTo>
                    <a:pt x="232589" y="41808"/>
                  </a:lnTo>
                  <a:lnTo>
                    <a:pt x="115551" y="40929"/>
                  </a:lnTo>
                  <a:lnTo>
                    <a:pt x="62897" y="48428"/>
                  </a:lnTo>
                  <a:lnTo>
                    <a:pt x="0" y="27784"/>
                  </a:lnTo>
                  <a:lnTo>
                    <a:pt x="17063" y="5956"/>
                  </a:lnTo>
                  <a:lnTo>
                    <a:pt x="58951" y="0"/>
                  </a:lnTo>
                  <a:lnTo>
                    <a:pt x="142787" y="1394"/>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72" name="RU_9">
              <a:extLst>
                <a:ext uri="{FF2B5EF4-FFF2-40B4-BE49-F238E27FC236}">
                  <a16:creationId xmlns:a16="http://schemas.microsoft.com/office/drawing/2014/main" id="{00000000-0008-0000-2700-0000F8816400}"/>
                </a:ext>
              </a:extLst>
            </xdr:cNvPr>
            <xdr:cNvSpPr/>
          </xdr:nvSpPr>
          <xdr:spPr>
            <a:xfrm>
              <a:off x="7856721" y="1228896"/>
              <a:ext cx="552337" cy="200248"/>
            </a:xfrm>
            <a:custGeom>
              <a:avLst/>
              <a:gdLst/>
              <a:ahLst/>
              <a:cxnLst/>
              <a:rect l="0" t="0" r="0" b="0"/>
              <a:pathLst>
                <a:path w="552337" h="200248">
                  <a:moveTo>
                    <a:pt x="193037" y="197460"/>
                  </a:moveTo>
                  <a:lnTo>
                    <a:pt x="174282" y="200247"/>
                  </a:lnTo>
                  <a:lnTo>
                    <a:pt x="70536" y="196120"/>
                  </a:lnTo>
                  <a:lnTo>
                    <a:pt x="62110" y="182023"/>
                  </a:lnTo>
                  <a:lnTo>
                    <a:pt x="4639" y="173511"/>
                  </a:lnTo>
                  <a:lnTo>
                    <a:pt x="0" y="156362"/>
                  </a:lnTo>
                  <a:lnTo>
                    <a:pt x="32464" y="149552"/>
                  </a:lnTo>
                  <a:lnTo>
                    <a:pt x="31382" y="132239"/>
                  </a:lnTo>
                  <a:lnTo>
                    <a:pt x="94354" y="105162"/>
                  </a:lnTo>
                  <a:lnTo>
                    <a:pt x="65167" y="101279"/>
                  </a:lnTo>
                  <a:lnTo>
                    <a:pt x="141183" y="73412"/>
                  </a:lnTo>
                  <a:lnTo>
                    <a:pt x="132592" y="59001"/>
                  </a:lnTo>
                  <a:lnTo>
                    <a:pt x="203607" y="42237"/>
                  </a:lnTo>
                  <a:lnTo>
                    <a:pt x="308426" y="21838"/>
                  </a:lnTo>
                  <a:lnTo>
                    <a:pt x="414102" y="15894"/>
                  </a:lnTo>
                  <a:lnTo>
                    <a:pt x="468478" y="4124"/>
                  </a:lnTo>
                  <a:lnTo>
                    <a:pt x="530267" y="0"/>
                  </a:lnTo>
                  <a:lnTo>
                    <a:pt x="552336" y="12538"/>
                  </a:lnTo>
                  <a:lnTo>
                    <a:pt x="531012" y="22419"/>
                  </a:lnTo>
                  <a:lnTo>
                    <a:pt x="418513" y="38160"/>
                  </a:lnTo>
                  <a:lnTo>
                    <a:pt x="321555" y="53302"/>
                  </a:lnTo>
                  <a:lnTo>
                    <a:pt x="222926" y="83521"/>
                  </a:lnTo>
                  <a:lnTo>
                    <a:pt x="175609" y="114513"/>
                  </a:lnTo>
                  <a:lnTo>
                    <a:pt x="125842" y="145047"/>
                  </a:lnTo>
                  <a:lnTo>
                    <a:pt x="132302" y="171421"/>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73" name="RU_10">
              <a:extLst>
                <a:ext uri="{FF2B5EF4-FFF2-40B4-BE49-F238E27FC236}">
                  <a16:creationId xmlns:a16="http://schemas.microsoft.com/office/drawing/2014/main" id="{00000000-0008-0000-2700-0000F9816400}"/>
                </a:ext>
              </a:extLst>
            </xdr:cNvPr>
            <xdr:cNvSpPr/>
          </xdr:nvSpPr>
          <xdr:spPr>
            <a:xfrm>
              <a:off x="7089400" y="1204823"/>
              <a:ext cx="4848601" cy="1160353"/>
            </a:xfrm>
            <a:custGeom>
              <a:avLst/>
              <a:gdLst/>
              <a:ahLst/>
              <a:cxnLst/>
              <a:rect l="0" t="0" r="0" b="0"/>
              <a:pathLst>
                <a:path w="4848601" h="1160353">
                  <a:moveTo>
                    <a:pt x="2529900" y="22978"/>
                  </a:moveTo>
                  <a:lnTo>
                    <a:pt x="2538469" y="38668"/>
                  </a:lnTo>
                  <a:lnTo>
                    <a:pt x="2567483" y="30941"/>
                  </a:lnTo>
                  <a:lnTo>
                    <a:pt x="2660304" y="31366"/>
                  </a:lnTo>
                  <a:lnTo>
                    <a:pt x="2731874" y="46854"/>
                  </a:lnTo>
                  <a:lnTo>
                    <a:pt x="2757360" y="58747"/>
                  </a:lnTo>
                  <a:lnTo>
                    <a:pt x="2749461" y="75251"/>
                  </a:lnTo>
                  <a:lnTo>
                    <a:pt x="2714339" y="84646"/>
                  </a:lnTo>
                  <a:lnTo>
                    <a:pt x="2630903" y="102273"/>
                  </a:lnTo>
                  <a:lnTo>
                    <a:pt x="2607050" y="111693"/>
                  </a:lnTo>
                  <a:lnTo>
                    <a:pt x="2646419" y="116138"/>
                  </a:lnTo>
                  <a:lnTo>
                    <a:pt x="2693384" y="124149"/>
                  </a:lnTo>
                  <a:lnTo>
                    <a:pt x="2721969" y="118142"/>
                  </a:lnTo>
                  <a:lnTo>
                    <a:pt x="2738164" y="138519"/>
                  </a:lnTo>
                  <a:lnTo>
                    <a:pt x="2752109" y="130270"/>
                  </a:lnTo>
                  <a:lnTo>
                    <a:pt x="2802877" y="125257"/>
                  </a:lnTo>
                  <a:lnTo>
                    <a:pt x="2904747" y="130499"/>
                  </a:lnTo>
                  <a:lnTo>
                    <a:pt x="2912484" y="145348"/>
                  </a:lnTo>
                  <a:lnTo>
                    <a:pt x="3045222" y="150073"/>
                  </a:lnTo>
                  <a:lnTo>
                    <a:pt x="3047034" y="125822"/>
                  </a:lnTo>
                  <a:lnTo>
                    <a:pt x="3114415" y="131378"/>
                  </a:lnTo>
                  <a:lnTo>
                    <a:pt x="3165100" y="131204"/>
                  </a:lnTo>
                  <a:lnTo>
                    <a:pt x="3216374" y="147930"/>
                  </a:lnTo>
                  <a:lnTo>
                    <a:pt x="3230988" y="168250"/>
                  </a:lnTo>
                  <a:lnTo>
                    <a:pt x="3212205" y="181543"/>
                  </a:lnTo>
                  <a:lnTo>
                    <a:pt x="3252082" y="206531"/>
                  </a:lnTo>
                  <a:lnTo>
                    <a:pt x="3302013" y="219421"/>
                  </a:lnTo>
                  <a:lnTo>
                    <a:pt x="3332648" y="186106"/>
                  </a:lnTo>
                  <a:lnTo>
                    <a:pt x="3383581" y="200390"/>
                  </a:lnTo>
                  <a:lnTo>
                    <a:pt x="3437689" y="191853"/>
                  </a:lnTo>
                  <a:lnTo>
                    <a:pt x="3499145" y="201622"/>
                  </a:lnTo>
                  <a:lnTo>
                    <a:pt x="3522532" y="192719"/>
                  </a:lnTo>
                  <a:lnTo>
                    <a:pt x="3574466" y="197171"/>
                  </a:lnTo>
                  <a:lnTo>
                    <a:pt x="3551545" y="167694"/>
                  </a:lnTo>
                  <a:lnTo>
                    <a:pt x="3593464" y="153940"/>
                  </a:lnTo>
                  <a:lnTo>
                    <a:pt x="3880225" y="174558"/>
                  </a:lnTo>
                  <a:lnTo>
                    <a:pt x="3907250" y="193405"/>
                  </a:lnTo>
                  <a:lnTo>
                    <a:pt x="3990362" y="217669"/>
                  </a:lnTo>
                  <a:lnTo>
                    <a:pt x="4118569" y="211661"/>
                  </a:lnTo>
                  <a:lnTo>
                    <a:pt x="4181780" y="216891"/>
                  </a:lnTo>
                  <a:lnTo>
                    <a:pt x="4208211" y="230019"/>
                  </a:lnTo>
                  <a:lnTo>
                    <a:pt x="4204350" y="253235"/>
                  </a:lnTo>
                  <a:lnTo>
                    <a:pt x="4243460" y="262274"/>
                  </a:lnTo>
                  <a:lnTo>
                    <a:pt x="4285961" y="255775"/>
                  </a:lnTo>
                  <a:lnTo>
                    <a:pt x="4342266" y="254943"/>
                  </a:lnTo>
                  <a:lnTo>
                    <a:pt x="4402207" y="261172"/>
                  </a:lnTo>
                  <a:lnTo>
                    <a:pt x="4462383" y="257658"/>
                  </a:lnTo>
                  <a:lnTo>
                    <a:pt x="4517688" y="285880"/>
                  </a:lnTo>
                  <a:lnTo>
                    <a:pt x="4557036" y="275727"/>
                  </a:lnTo>
                  <a:lnTo>
                    <a:pt x="4531360" y="255432"/>
                  </a:lnTo>
                  <a:lnTo>
                    <a:pt x="4545498" y="241329"/>
                  </a:lnTo>
                  <a:lnTo>
                    <a:pt x="4646793" y="250206"/>
                  </a:lnTo>
                  <a:lnTo>
                    <a:pt x="4712836" y="248304"/>
                  </a:lnTo>
                  <a:lnTo>
                    <a:pt x="4804150" y="263458"/>
                  </a:lnTo>
                  <a:lnTo>
                    <a:pt x="4848600" y="277314"/>
                  </a:lnTo>
                  <a:lnTo>
                    <a:pt x="4848600" y="403803"/>
                  </a:lnTo>
                  <a:lnTo>
                    <a:pt x="4848371" y="403974"/>
                  </a:lnTo>
                  <a:lnTo>
                    <a:pt x="4807553" y="417925"/>
                  </a:lnTo>
                  <a:lnTo>
                    <a:pt x="4766408" y="415598"/>
                  </a:lnTo>
                  <a:lnTo>
                    <a:pt x="4795037" y="432499"/>
                  </a:lnTo>
                  <a:lnTo>
                    <a:pt x="4813938" y="458658"/>
                  </a:lnTo>
                  <a:lnTo>
                    <a:pt x="4828606" y="467211"/>
                  </a:lnTo>
                  <a:lnTo>
                    <a:pt x="4832293" y="480346"/>
                  </a:lnTo>
                  <a:lnTo>
                    <a:pt x="4824098" y="488753"/>
                  </a:lnTo>
                  <a:lnTo>
                    <a:pt x="4764916" y="481838"/>
                  </a:lnTo>
                  <a:lnTo>
                    <a:pt x="4676175" y="505736"/>
                  </a:lnTo>
                  <a:lnTo>
                    <a:pt x="4647943" y="509438"/>
                  </a:lnTo>
                  <a:lnTo>
                    <a:pt x="4599362" y="531746"/>
                  </a:lnTo>
                  <a:lnTo>
                    <a:pt x="4553277" y="551234"/>
                  </a:lnTo>
                  <a:lnTo>
                    <a:pt x="4541606" y="565661"/>
                  </a:lnTo>
                  <a:lnTo>
                    <a:pt x="4496190" y="543700"/>
                  </a:lnTo>
                  <a:lnTo>
                    <a:pt x="4413466" y="568620"/>
                  </a:lnTo>
                  <a:lnTo>
                    <a:pt x="4399019" y="556828"/>
                  </a:lnTo>
                  <a:lnTo>
                    <a:pt x="4368435" y="570430"/>
                  </a:lnTo>
                  <a:lnTo>
                    <a:pt x="4325972" y="566077"/>
                  </a:lnTo>
                  <a:lnTo>
                    <a:pt x="4315742" y="586959"/>
                  </a:lnTo>
                  <a:lnTo>
                    <a:pt x="4277649" y="617684"/>
                  </a:lnTo>
                  <a:lnTo>
                    <a:pt x="4278782" y="630517"/>
                  </a:lnTo>
                  <a:lnTo>
                    <a:pt x="4314942" y="637632"/>
                  </a:lnTo>
                  <a:lnTo>
                    <a:pt x="4310688" y="683854"/>
                  </a:lnTo>
                  <a:lnTo>
                    <a:pt x="4281214" y="685029"/>
                  </a:lnTo>
                  <a:lnTo>
                    <a:pt x="4267622" y="711587"/>
                  </a:lnTo>
                  <a:lnTo>
                    <a:pt x="4280830" y="725259"/>
                  </a:lnTo>
                  <a:lnTo>
                    <a:pt x="4225309" y="741477"/>
                  </a:lnTo>
                  <a:lnTo>
                    <a:pt x="4214289" y="777726"/>
                  </a:lnTo>
                  <a:lnTo>
                    <a:pt x="4166956" y="785470"/>
                  </a:lnTo>
                  <a:lnTo>
                    <a:pt x="4157440" y="817728"/>
                  </a:lnTo>
                  <a:lnTo>
                    <a:pt x="4111675" y="847309"/>
                  </a:lnTo>
                  <a:lnTo>
                    <a:pt x="4099934" y="825433"/>
                  </a:lnTo>
                  <a:lnTo>
                    <a:pt x="4086339" y="779113"/>
                  </a:lnTo>
                  <a:lnTo>
                    <a:pt x="4068619" y="708562"/>
                  </a:lnTo>
                  <a:lnTo>
                    <a:pt x="4083882" y="664528"/>
                  </a:lnTo>
                  <a:lnTo>
                    <a:pt x="4110672" y="645579"/>
                  </a:lnTo>
                  <a:lnTo>
                    <a:pt x="4112330" y="630742"/>
                  </a:lnTo>
                  <a:lnTo>
                    <a:pt x="4161666" y="623637"/>
                  </a:lnTo>
                  <a:lnTo>
                    <a:pt x="4218381" y="583663"/>
                  </a:lnTo>
                  <a:lnTo>
                    <a:pt x="4273035" y="551018"/>
                  </a:lnTo>
                  <a:lnTo>
                    <a:pt x="4330113" y="525685"/>
                  </a:lnTo>
                  <a:lnTo>
                    <a:pt x="4355637" y="480927"/>
                  </a:lnTo>
                  <a:lnTo>
                    <a:pt x="4317054" y="483603"/>
                  </a:lnTo>
                  <a:lnTo>
                    <a:pt x="4297988" y="509759"/>
                  </a:lnTo>
                  <a:lnTo>
                    <a:pt x="4217457" y="544630"/>
                  </a:lnTo>
                  <a:lnTo>
                    <a:pt x="4191447" y="505584"/>
                  </a:lnTo>
                  <a:lnTo>
                    <a:pt x="4109482" y="516366"/>
                  </a:lnTo>
                  <a:lnTo>
                    <a:pt x="4030024" y="569586"/>
                  </a:lnTo>
                  <a:lnTo>
                    <a:pt x="4056237" y="589055"/>
                  </a:lnTo>
                  <a:lnTo>
                    <a:pt x="3985374" y="597345"/>
                  </a:lnTo>
                  <a:lnTo>
                    <a:pt x="3936285" y="600615"/>
                  </a:lnTo>
                  <a:lnTo>
                    <a:pt x="3938588" y="577656"/>
                  </a:lnTo>
                  <a:lnTo>
                    <a:pt x="3889232" y="572840"/>
                  </a:lnTo>
                  <a:lnTo>
                    <a:pt x="3849897" y="588436"/>
                  </a:lnTo>
                  <a:lnTo>
                    <a:pt x="3752818" y="582978"/>
                  </a:lnTo>
                  <a:lnTo>
                    <a:pt x="3648380" y="592389"/>
                  </a:lnTo>
                  <a:lnTo>
                    <a:pt x="3545532" y="654361"/>
                  </a:lnTo>
                  <a:lnTo>
                    <a:pt x="3423856" y="729244"/>
                  </a:lnTo>
                  <a:lnTo>
                    <a:pt x="3473879" y="733244"/>
                  </a:lnTo>
                  <a:lnTo>
                    <a:pt x="3489490" y="753129"/>
                  </a:lnTo>
                  <a:lnTo>
                    <a:pt x="3520329" y="760187"/>
                  </a:lnTo>
                  <a:lnTo>
                    <a:pt x="3540645" y="744325"/>
                  </a:lnTo>
                  <a:lnTo>
                    <a:pt x="3575472" y="746386"/>
                  </a:lnTo>
                  <a:lnTo>
                    <a:pt x="3621312" y="781314"/>
                  </a:lnTo>
                  <a:lnTo>
                    <a:pt x="3622389" y="808326"/>
                  </a:lnTo>
                  <a:lnTo>
                    <a:pt x="3597567" y="840048"/>
                  </a:lnTo>
                  <a:lnTo>
                    <a:pt x="3594891" y="877964"/>
                  </a:lnTo>
                  <a:lnTo>
                    <a:pt x="3580564" y="928726"/>
                  </a:lnTo>
                  <a:lnTo>
                    <a:pt x="3532712" y="974668"/>
                  </a:lnTo>
                  <a:lnTo>
                    <a:pt x="3522075" y="996633"/>
                  </a:lnTo>
                  <a:lnTo>
                    <a:pt x="3478978" y="1033602"/>
                  </a:lnTo>
                  <a:lnTo>
                    <a:pt x="3436214" y="1070258"/>
                  </a:lnTo>
                  <a:lnTo>
                    <a:pt x="3415703" y="1089016"/>
                  </a:lnTo>
                  <a:lnTo>
                    <a:pt x="3373396" y="1107643"/>
                  </a:lnTo>
                  <a:lnTo>
                    <a:pt x="3353374" y="1108056"/>
                  </a:lnTo>
                  <a:lnTo>
                    <a:pt x="3333429" y="1092622"/>
                  </a:lnTo>
                  <a:lnTo>
                    <a:pt x="3290814" y="1115860"/>
                  </a:lnTo>
                  <a:lnTo>
                    <a:pt x="3285865" y="1126423"/>
                  </a:lnTo>
                  <a:lnTo>
                    <a:pt x="3281419" y="1120867"/>
                  </a:lnTo>
                  <a:lnTo>
                    <a:pt x="3281226" y="1104738"/>
                  </a:lnTo>
                  <a:lnTo>
                    <a:pt x="3297444" y="1103881"/>
                  </a:lnTo>
                  <a:lnTo>
                    <a:pt x="3302013" y="1066368"/>
                  </a:lnTo>
                  <a:lnTo>
                    <a:pt x="3293649" y="1039174"/>
                  </a:lnTo>
                  <a:lnTo>
                    <a:pt x="3320901" y="1027960"/>
                  </a:lnTo>
                  <a:lnTo>
                    <a:pt x="3359432" y="1033583"/>
                  </a:lnTo>
                  <a:lnTo>
                    <a:pt x="3380784" y="1002697"/>
                  </a:lnTo>
                  <a:lnTo>
                    <a:pt x="3391668" y="967912"/>
                  </a:lnTo>
                  <a:lnTo>
                    <a:pt x="3404000" y="956291"/>
                  </a:lnTo>
                  <a:lnTo>
                    <a:pt x="3420684" y="927726"/>
                  </a:lnTo>
                  <a:lnTo>
                    <a:pt x="3368212" y="937085"/>
                  </a:lnTo>
                  <a:lnTo>
                    <a:pt x="3340687" y="949608"/>
                  </a:lnTo>
                  <a:lnTo>
                    <a:pt x="3292446" y="949573"/>
                  </a:lnTo>
                  <a:lnTo>
                    <a:pt x="3279588" y="919740"/>
                  </a:lnTo>
                  <a:lnTo>
                    <a:pt x="3241980" y="897169"/>
                  </a:lnTo>
                  <a:lnTo>
                    <a:pt x="3186722" y="887019"/>
                  </a:lnTo>
                  <a:lnTo>
                    <a:pt x="3174978" y="855920"/>
                  </a:lnTo>
                  <a:lnTo>
                    <a:pt x="3163919" y="836422"/>
                  </a:lnTo>
                  <a:lnTo>
                    <a:pt x="3152019" y="822757"/>
                  </a:lnTo>
                  <a:lnTo>
                    <a:pt x="3132394" y="790737"/>
                  </a:lnTo>
                  <a:lnTo>
                    <a:pt x="3104514" y="779047"/>
                  </a:lnTo>
                  <a:lnTo>
                    <a:pt x="3056995" y="769591"/>
                  </a:lnTo>
                  <a:lnTo>
                    <a:pt x="3014901" y="770452"/>
                  </a:lnTo>
                  <a:lnTo>
                    <a:pt x="2975448" y="776177"/>
                  </a:lnTo>
                  <a:lnTo>
                    <a:pt x="2949222" y="791972"/>
                  </a:lnTo>
                  <a:lnTo>
                    <a:pt x="2966644" y="799519"/>
                  </a:lnTo>
                  <a:lnTo>
                    <a:pt x="2967038" y="817048"/>
                  </a:lnTo>
                  <a:lnTo>
                    <a:pt x="2949381" y="827227"/>
                  </a:lnTo>
                  <a:lnTo>
                    <a:pt x="2920720" y="860901"/>
                  </a:lnTo>
                  <a:lnTo>
                    <a:pt x="2921009" y="874871"/>
                  </a:lnTo>
                  <a:lnTo>
                    <a:pt x="2876264" y="894934"/>
                  </a:lnTo>
                  <a:lnTo>
                    <a:pt x="2838152" y="882948"/>
                  </a:lnTo>
                  <a:lnTo>
                    <a:pt x="2800270" y="885593"/>
                  </a:lnTo>
                  <a:lnTo>
                    <a:pt x="2783646" y="874957"/>
                  </a:lnTo>
                  <a:lnTo>
                    <a:pt x="2764609" y="871525"/>
                  </a:lnTo>
                  <a:lnTo>
                    <a:pt x="2718102" y="893899"/>
                  </a:lnTo>
                  <a:lnTo>
                    <a:pt x="2676303" y="899157"/>
                  </a:lnTo>
                  <a:lnTo>
                    <a:pt x="2647118" y="907028"/>
                  </a:lnTo>
                  <a:lnTo>
                    <a:pt x="2607125" y="901856"/>
                  </a:lnTo>
                  <a:lnTo>
                    <a:pt x="2577687" y="902189"/>
                  </a:lnTo>
                  <a:lnTo>
                    <a:pt x="2558414" y="885958"/>
                  </a:lnTo>
                  <a:lnTo>
                    <a:pt x="2527319" y="870699"/>
                  </a:lnTo>
                  <a:lnTo>
                    <a:pt x="2495499" y="866518"/>
                  </a:lnTo>
                  <a:lnTo>
                    <a:pt x="2455336" y="870668"/>
                  </a:lnTo>
                  <a:lnTo>
                    <a:pt x="2425328" y="876551"/>
                  </a:lnTo>
                  <a:lnTo>
                    <a:pt x="2380225" y="863197"/>
                  </a:lnTo>
                  <a:lnTo>
                    <a:pt x="2374170" y="839407"/>
                  </a:lnTo>
                  <a:lnTo>
                    <a:pt x="2336841" y="831247"/>
                  </a:lnTo>
                  <a:lnTo>
                    <a:pt x="2308018" y="827529"/>
                  </a:lnTo>
                  <a:lnTo>
                    <a:pt x="2272452" y="814403"/>
                  </a:lnTo>
                  <a:lnTo>
                    <a:pt x="2239566" y="847309"/>
                  </a:lnTo>
                  <a:lnTo>
                    <a:pt x="2252460" y="865997"/>
                  </a:lnTo>
                  <a:lnTo>
                    <a:pt x="2221598" y="888105"/>
                  </a:lnTo>
                  <a:lnTo>
                    <a:pt x="2175694" y="880123"/>
                  </a:lnTo>
                  <a:lnTo>
                    <a:pt x="2144004" y="878983"/>
                  </a:lnTo>
                  <a:lnTo>
                    <a:pt x="2122786" y="864153"/>
                  </a:lnTo>
                  <a:lnTo>
                    <a:pt x="2089658" y="863683"/>
                  </a:lnTo>
                  <a:lnTo>
                    <a:pt x="2062051" y="853939"/>
                  </a:lnTo>
                  <a:lnTo>
                    <a:pt x="2013759" y="868874"/>
                  </a:lnTo>
                  <a:lnTo>
                    <a:pt x="1953177" y="896220"/>
                  </a:lnTo>
                  <a:lnTo>
                    <a:pt x="1919703" y="901722"/>
                  </a:lnTo>
                  <a:lnTo>
                    <a:pt x="1907280" y="904332"/>
                  </a:lnTo>
                  <a:lnTo>
                    <a:pt x="1890433" y="884911"/>
                  </a:lnTo>
                  <a:lnTo>
                    <a:pt x="1849536" y="889159"/>
                  </a:lnTo>
                  <a:lnTo>
                    <a:pt x="1836020" y="875684"/>
                  </a:lnTo>
                  <a:lnTo>
                    <a:pt x="1813820" y="869521"/>
                  </a:lnTo>
                  <a:lnTo>
                    <a:pt x="1798539" y="851176"/>
                  </a:lnTo>
                  <a:lnTo>
                    <a:pt x="1781010" y="845461"/>
                  </a:lnTo>
                  <a:lnTo>
                    <a:pt x="1735385" y="853621"/>
                  </a:lnTo>
                  <a:lnTo>
                    <a:pt x="1691646" y="835330"/>
                  </a:lnTo>
                  <a:lnTo>
                    <a:pt x="1674730" y="851951"/>
                  </a:lnTo>
                  <a:lnTo>
                    <a:pt x="1603778" y="771319"/>
                  </a:lnTo>
                  <a:lnTo>
                    <a:pt x="1563274" y="746789"/>
                  </a:lnTo>
                  <a:lnTo>
                    <a:pt x="1574892" y="736835"/>
                  </a:lnTo>
                  <a:lnTo>
                    <a:pt x="1495317" y="766794"/>
                  </a:lnTo>
                  <a:lnTo>
                    <a:pt x="1464866" y="768607"/>
                  </a:lnTo>
                  <a:lnTo>
                    <a:pt x="1467494" y="751278"/>
                  </a:lnTo>
                  <a:lnTo>
                    <a:pt x="1426718" y="740448"/>
                  </a:lnTo>
                  <a:lnTo>
                    <a:pt x="1393568" y="748176"/>
                  </a:lnTo>
                  <a:lnTo>
                    <a:pt x="1383573" y="715271"/>
                  </a:lnTo>
                  <a:lnTo>
                    <a:pt x="1326514" y="708425"/>
                  </a:lnTo>
                  <a:lnTo>
                    <a:pt x="1297968" y="721598"/>
                  </a:lnTo>
                  <a:lnTo>
                    <a:pt x="1218523" y="733317"/>
                  </a:lnTo>
                  <a:lnTo>
                    <a:pt x="1203017" y="741163"/>
                  </a:lnTo>
                  <a:lnTo>
                    <a:pt x="1084211" y="752208"/>
                  </a:lnTo>
                  <a:lnTo>
                    <a:pt x="1069654" y="763045"/>
                  </a:lnTo>
                  <a:lnTo>
                    <a:pt x="1092575" y="784793"/>
                  </a:lnTo>
                  <a:lnTo>
                    <a:pt x="1062094" y="793048"/>
                  </a:lnTo>
                  <a:lnTo>
                    <a:pt x="1068041" y="801700"/>
                  </a:lnTo>
                  <a:lnTo>
                    <a:pt x="1037568" y="817166"/>
                  </a:lnTo>
                  <a:lnTo>
                    <a:pt x="1089018" y="839000"/>
                  </a:lnTo>
                  <a:lnTo>
                    <a:pt x="1081062" y="854037"/>
                  </a:lnTo>
                  <a:lnTo>
                    <a:pt x="1036466" y="852669"/>
                  </a:lnTo>
                  <a:lnTo>
                    <a:pt x="1027243" y="862092"/>
                  </a:lnTo>
                  <a:lnTo>
                    <a:pt x="986634" y="845639"/>
                  </a:lnTo>
                  <a:lnTo>
                    <a:pt x="936301" y="846274"/>
                  </a:lnTo>
                  <a:lnTo>
                    <a:pt x="902611" y="859669"/>
                  </a:lnTo>
                  <a:lnTo>
                    <a:pt x="865019" y="846827"/>
                  </a:lnTo>
                  <a:lnTo>
                    <a:pt x="795036" y="824840"/>
                  </a:lnTo>
                  <a:lnTo>
                    <a:pt x="745439" y="825662"/>
                  </a:lnTo>
                  <a:lnTo>
                    <a:pt x="679900" y="860197"/>
                  </a:lnTo>
                  <a:lnTo>
                    <a:pt x="675945" y="883384"/>
                  </a:lnTo>
                  <a:lnTo>
                    <a:pt x="643296" y="864972"/>
                  </a:lnTo>
                  <a:lnTo>
                    <a:pt x="617963" y="899855"/>
                  </a:lnTo>
                  <a:lnTo>
                    <a:pt x="627237" y="906333"/>
                  </a:lnTo>
                  <a:lnTo>
                    <a:pt x="608908" y="930392"/>
                  </a:lnTo>
                  <a:lnTo>
                    <a:pt x="635857" y="951929"/>
                  </a:lnTo>
                  <a:lnTo>
                    <a:pt x="659419" y="951043"/>
                  </a:lnTo>
                  <a:lnTo>
                    <a:pt x="679656" y="972258"/>
                  </a:lnTo>
                  <a:lnTo>
                    <a:pt x="676437" y="988597"/>
                  </a:lnTo>
                  <a:lnTo>
                    <a:pt x="692562" y="993731"/>
                  </a:lnTo>
                  <a:lnTo>
                    <a:pt x="678091" y="1012558"/>
                  </a:lnTo>
                  <a:lnTo>
                    <a:pt x="647309" y="1017791"/>
                  </a:lnTo>
                  <a:lnTo>
                    <a:pt x="615753" y="1050566"/>
                  </a:lnTo>
                  <a:lnTo>
                    <a:pt x="644610" y="1080697"/>
                  </a:lnTo>
                  <a:lnTo>
                    <a:pt x="641487" y="1102084"/>
                  </a:lnTo>
                  <a:lnTo>
                    <a:pt x="676154" y="1139476"/>
                  </a:lnTo>
                  <a:lnTo>
                    <a:pt x="657196" y="1152274"/>
                  </a:lnTo>
                  <a:lnTo>
                    <a:pt x="651748" y="1160352"/>
                  </a:lnTo>
                  <a:lnTo>
                    <a:pt x="637701" y="1158183"/>
                  </a:lnTo>
                  <a:lnTo>
                    <a:pt x="615883" y="1138898"/>
                  </a:lnTo>
                  <a:lnTo>
                    <a:pt x="606958" y="1137831"/>
                  </a:lnTo>
                  <a:lnTo>
                    <a:pt x="587000" y="1130475"/>
                  </a:lnTo>
                  <a:lnTo>
                    <a:pt x="577281" y="1117444"/>
                  </a:lnTo>
                  <a:lnTo>
                    <a:pt x="547668" y="1110802"/>
                  </a:lnTo>
                  <a:lnTo>
                    <a:pt x="528415" y="1115787"/>
                  </a:lnTo>
                  <a:lnTo>
                    <a:pt x="522853" y="1109888"/>
                  </a:lnTo>
                  <a:lnTo>
                    <a:pt x="479622" y="1094664"/>
                  </a:lnTo>
                  <a:lnTo>
                    <a:pt x="432879" y="1089524"/>
                  </a:lnTo>
                  <a:lnTo>
                    <a:pt x="406044" y="1084097"/>
                  </a:lnTo>
                  <a:lnTo>
                    <a:pt x="402171" y="1087847"/>
                  </a:lnTo>
                  <a:lnTo>
                    <a:pt x="361690" y="1061018"/>
                  </a:lnTo>
                  <a:lnTo>
                    <a:pt x="325466" y="1049042"/>
                  </a:lnTo>
                  <a:lnTo>
                    <a:pt x="298046" y="1030389"/>
                  </a:lnTo>
                  <a:lnTo>
                    <a:pt x="321151" y="1025316"/>
                  </a:lnTo>
                  <a:lnTo>
                    <a:pt x="347497" y="998760"/>
                  </a:lnTo>
                  <a:lnTo>
                    <a:pt x="329740" y="986196"/>
                  </a:lnTo>
                  <a:lnTo>
                    <a:pt x="376539" y="973236"/>
                  </a:lnTo>
                  <a:lnTo>
                    <a:pt x="375697" y="966296"/>
                  </a:lnTo>
                  <a:lnTo>
                    <a:pt x="347196" y="971414"/>
                  </a:lnTo>
                  <a:lnTo>
                    <a:pt x="348199" y="957310"/>
                  </a:lnTo>
                  <a:lnTo>
                    <a:pt x="364566" y="948446"/>
                  </a:lnTo>
                  <a:lnTo>
                    <a:pt x="395291" y="946118"/>
                  </a:lnTo>
                  <a:lnTo>
                    <a:pt x="400285" y="935530"/>
                  </a:lnTo>
                  <a:lnTo>
                    <a:pt x="393271" y="918023"/>
                  </a:lnTo>
                  <a:lnTo>
                    <a:pt x="406165" y="901399"/>
                  </a:lnTo>
                  <a:lnTo>
                    <a:pt x="405790" y="892074"/>
                  </a:lnTo>
                  <a:lnTo>
                    <a:pt x="358991" y="881742"/>
                  </a:lnTo>
                  <a:lnTo>
                    <a:pt x="340436" y="882085"/>
                  </a:lnTo>
                  <a:lnTo>
                    <a:pt x="320843" y="867216"/>
                  </a:lnTo>
                  <a:lnTo>
                    <a:pt x="296481" y="872246"/>
                  </a:lnTo>
                  <a:lnTo>
                    <a:pt x="256156" y="861082"/>
                  </a:lnTo>
                  <a:lnTo>
                    <a:pt x="256848" y="854837"/>
                  </a:lnTo>
                  <a:lnTo>
                    <a:pt x="245554" y="841067"/>
                  </a:lnTo>
                  <a:lnTo>
                    <a:pt x="220237" y="839530"/>
                  </a:lnTo>
                  <a:lnTo>
                    <a:pt x="217608" y="829675"/>
                  </a:lnTo>
                  <a:lnTo>
                    <a:pt x="225536" y="823246"/>
                  </a:lnTo>
                  <a:lnTo>
                    <a:pt x="205248" y="805269"/>
                  </a:lnTo>
                  <a:lnTo>
                    <a:pt x="172326" y="808336"/>
                  </a:lnTo>
                  <a:lnTo>
                    <a:pt x="162684" y="806742"/>
                  </a:lnTo>
                  <a:lnTo>
                    <a:pt x="154660" y="813962"/>
                  </a:lnTo>
                  <a:lnTo>
                    <a:pt x="142805" y="812680"/>
                  </a:lnTo>
                  <a:lnTo>
                    <a:pt x="134994" y="792347"/>
                  </a:lnTo>
                  <a:lnTo>
                    <a:pt x="127540" y="781809"/>
                  </a:lnTo>
                  <a:lnTo>
                    <a:pt x="133649" y="778843"/>
                  </a:lnTo>
                  <a:lnTo>
                    <a:pt x="159267" y="779945"/>
                  </a:lnTo>
                  <a:lnTo>
                    <a:pt x="171621" y="773002"/>
                  </a:lnTo>
                  <a:lnTo>
                    <a:pt x="162477" y="764537"/>
                  </a:lnTo>
                  <a:lnTo>
                    <a:pt x="141068" y="758949"/>
                  </a:lnTo>
                  <a:lnTo>
                    <a:pt x="142977" y="753215"/>
                  </a:lnTo>
                  <a:lnTo>
                    <a:pt x="130057" y="747421"/>
                  </a:lnTo>
                  <a:lnTo>
                    <a:pt x="110150" y="726634"/>
                  </a:lnTo>
                  <a:lnTo>
                    <a:pt x="116954" y="718071"/>
                  </a:lnTo>
                  <a:lnTo>
                    <a:pt x="113846" y="703164"/>
                  </a:lnTo>
                  <a:lnTo>
                    <a:pt x="82807" y="695592"/>
                  </a:lnTo>
                  <a:lnTo>
                    <a:pt x="66148" y="699383"/>
                  </a:lnTo>
                  <a:lnTo>
                    <a:pt x="61636" y="691502"/>
                  </a:lnTo>
                  <a:lnTo>
                    <a:pt x="28210" y="683540"/>
                  </a:lnTo>
                  <a:lnTo>
                    <a:pt x="18005" y="664801"/>
                  </a:lnTo>
                  <a:lnTo>
                    <a:pt x="15297" y="649402"/>
                  </a:lnTo>
                  <a:lnTo>
                    <a:pt x="0" y="642093"/>
                  </a:lnTo>
                  <a:lnTo>
                    <a:pt x="13605" y="632016"/>
                  </a:lnTo>
                  <a:lnTo>
                    <a:pt x="4191" y="602402"/>
                  </a:lnTo>
                  <a:lnTo>
                    <a:pt x="26781" y="584108"/>
                  </a:lnTo>
                  <a:lnTo>
                    <a:pt x="22000" y="578565"/>
                  </a:lnTo>
                  <a:lnTo>
                    <a:pt x="58086" y="561016"/>
                  </a:lnTo>
                  <a:lnTo>
                    <a:pt x="24822" y="545922"/>
                  </a:lnTo>
                  <a:lnTo>
                    <a:pt x="92802" y="505393"/>
                  </a:lnTo>
                  <a:lnTo>
                    <a:pt x="122294" y="487052"/>
                  </a:lnTo>
                  <a:lnTo>
                    <a:pt x="134235" y="470859"/>
                  </a:lnTo>
                  <a:lnTo>
                    <a:pt x="87239" y="449107"/>
                  </a:lnTo>
                  <a:lnTo>
                    <a:pt x="100219" y="428416"/>
                  </a:lnTo>
                  <a:lnTo>
                    <a:pt x="71634" y="404787"/>
                  </a:lnTo>
                  <a:lnTo>
                    <a:pt x="93008" y="377568"/>
                  </a:lnTo>
                  <a:lnTo>
                    <a:pt x="56083" y="341427"/>
                  </a:lnTo>
                  <a:lnTo>
                    <a:pt x="85382" y="317487"/>
                  </a:lnTo>
                  <a:lnTo>
                    <a:pt x="36757" y="296332"/>
                  </a:lnTo>
                  <a:lnTo>
                    <a:pt x="41392" y="274101"/>
                  </a:lnTo>
                  <a:lnTo>
                    <a:pt x="67037" y="271177"/>
                  </a:lnTo>
                  <a:lnTo>
                    <a:pt x="121059" y="258439"/>
                  </a:lnTo>
                  <a:lnTo>
                    <a:pt x="153812" y="247393"/>
                  </a:lnTo>
                  <a:lnTo>
                    <a:pt x="205971" y="266589"/>
                  </a:lnTo>
                  <a:lnTo>
                    <a:pt x="292919" y="274145"/>
                  </a:lnTo>
                  <a:lnTo>
                    <a:pt x="412880" y="310055"/>
                  </a:lnTo>
                  <a:lnTo>
                    <a:pt x="437252" y="325146"/>
                  </a:lnTo>
                  <a:lnTo>
                    <a:pt x="439350" y="346275"/>
                  </a:lnTo>
                  <a:lnTo>
                    <a:pt x="404101" y="362957"/>
                  </a:lnTo>
                  <a:lnTo>
                    <a:pt x="352260" y="371424"/>
                  </a:lnTo>
                  <a:lnTo>
                    <a:pt x="210518" y="347291"/>
                  </a:lnTo>
                  <a:lnTo>
                    <a:pt x="187204" y="351327"/>
                  </a:lnTo>
                  <a:lnTo>
                    <a:pt x="238969" y="374577"/>
                  </a:lnTo>
                  <a:lnTo>
                    <a:pt x="240995" y="389309"/>
                  </a:lnTo>
                  <a:lnTo>
                    <a:pt x="243068" y="421751"/>
                  </a:lnTo>
                  <a:lnTo>
                    <a:pt x="283943" y="431435"/>
                  </a:lnTo>
                  <a:lnTo>
                    <a:pt x="308753" y="439677"/>
                  </a:lnTo>
                  <a:lnTo>
                    <a:pt x="312858" y="424282"/>
                  </a:lnTo>
                  <a:lnTo>
                    <a:pt x="293732" y="410636"/>
                  </a:lnTo>
                  <a:lnTo>
                    <a:pt x="313938" y="398612"/>
                  </a:lnTo>
                  <a:lnTo>
                    <a:pt x="390690" y="418373"/>
                  </a:lnTo>
                  <a:lnTo>
                    <a:pt x="417430" y="410636"/>
                  </a:lnTo>
                  <a:lnTo>
                    <a:pt x="396062" y="387385"/>
                  </a:lnTo>
                  <a:lnTo>
                    <a:pt x="470055" y="356289"/>
                  </a:lnTo>
                  <a:lnTo>
                    <a:pt x="499357" y="358118"/>
                  </a:lnTo>
                  <a:lnTo>
                    <a:pt x="529006" y="369215"/>
                  </a:lnTo>
                  <a:lnTo>
                    <a:pt x="547500" y="347396"/>
                  </a:lnTo>
                  <a:lnTo>
                    <a:pt x="521023" y="328467"/>
                  </a:lnTo>
                  <a:lnTo>
                    <a:pt x="536568" y="309480"/>
                  </a:lnTo>
                  <a:lnTo>
                    <a:pt x="513226" y="289786"/>
                  </a:lnTo>
                  <a:lnTo>
                    <a:pt x="602037" y="299971"/>
                  </a:lnTo>
                  <a:lnTo>
                    <a:pt x="620175" y="317751"/>
                  </a:lnTo>
                  <a:lnTo>
                    <a:pt x="579977" y="321672"/>
                  </a:lnTo>
                  <a:lnTo>
                    <a:pt x="580193" y="339338"/>
                  </a:lnTo>
                  <a:lnTo>
                    <a:pt x="605186" y="350209"/>
                  </a:lnTo>
                  <a:lnTo>
                    <a:pt x="654240" y="343322"/>
                  </a:lnTo>
                  <a:lnTo>
                    <a:pt x="662006" y="323072"/>
                  </a:lnTo>
                  <a:lnTo>
                    <a:pt x="728329" y="307950"/>
                  </a:lnTo>
                  <a:lnTo>
                    <a:pt x="839127" y="280686"/>
                  </a:lnTo>
                  <a:lnTo>
                    <a:pt x="863076" y="282251"/>
                  </a:lnTo>
                  <a:lnTo>
                    <a:pt x="831773" y="301517"/>
                  </a:lnTo>
                  <a:lnTo>
                    <a:pt x="871159" y="304829"/>
                  </a:lnTo>
                  <a:lnTo>
                    <a:pt x="893905" y="293980"/>
                  </a:lnTo>
                  <a:lnTo>
                    <a:pt x="953414" y="293103"/>
                  </a:lnTo>
                  <a:lnTo>
                    <a:pt x="1000563" y="279943"/>
                  </a:lnTo>
                  <a:lnTo>
                    <a:pt x="1036739" y="299069"/>
                  </a:lnTo>
                  <a:lnTo>
                    <a:pt x="1072820" y="278041"/>
                  </a:lnTo>
                  <a:lnTo>
                    <a:pt x="1039552" y="259648"/>
                  </a:lnTo>
                  <a:lnTo>
                    <a:pt x="1056062" y="249171"/>
                  </a:lnTo>
                  <a:lnTo>
                    <a:pt x="1149852" y="258778"/>
                  </a:lnTo>
                  <a:lnTo>
                    <a:pt x="1193797" y="268704"/>
                  </a:lnTo>
                  <a:lnTo>
                    <a:pt x="1308862" y="304978"/>
                  </a:lnTo>
                  <a:lnTo>
                    <a:pt x="1330086" y="288363"/>
                  </a:lnTo>
                  <a:lnTo>
                    <a:pt x="1297819" y="271574"/>
                  </a:lnTo>
                  <a:lnTo>
                    <a:pt x="1296892" y="264840"/>
                  </a:lnTo>
                  <a:lnTo>
                    <a:pt x="1258630" y="261725"/>
                  </a:lnTo>
                  <a:lnTo>
                    <a:pt x="1269098" y="246672"/>
                  </a:lnTo>
                  <a:lnTo>
                    <a:pt x="1252115" y="221901"/>
                  </a:lnTo>
                  <a:lnTo>
                    <a:pt x="1251156" y="211738"/>
                  </a:lnTo>
                  <a:lnTo>
                    <a:pt x="1309747" y="182988"/>
                  </a:lnTo>
                  <a:lnTo>
                    <a:pt x="1330586" y="154130"/>
                  </a:lnTo>
                  <a:lnTo>
                    <a:pt x="1354194" y="147888"/>
                  </a:lnTo>
                  <a:lnTo>
                    <a:pt x="1438253" y="156261"/>
                  </a:lnTo>
                  <a:lnTo>
                    <a:pt x="1444872" y="173920"/>
                  </a:lnTo>
                  <a:lnTo>
                    <a:pt x="1414777" y="199673"/>
                  </a:lnTo>
                  <a:lnTo>
                    <a:pt x="1434525" y="209795"/>
                  </a:lnTo>
                  <a:lnTo>
                    <a:pt x="1444742" y="231991"/>
                  </a:lnTo>
                  <a:lnTo>
                    <a:pt x="1437529" y="275498"/>
                  </a:lnTo>
                  <a:lnTo>
                    <a:pt x="1472555" y="294958"/>
                  </a:lnTo>
                  <a:lnTo>
                    <a:pt x="1458928" y="316151"/>
                  </a:lnTo>
                  <a:lnTo>
                    <a:pt x="1396740" y="361248"/>
                  </a:lnTo>
                  <a:lnTo>
                    <a:pt x="1433030" y="365925"/>
                  </a:lnTo>
                  <a:lnTo>
                    <a:pt x="1445660" y="354495"/>
                  </a:lnTo>
                  <a:lnTo>
                    <a:pt x="1480591" y="346342"/>
                  </a:lnTo>
                  <a:lnTo>
                    <a:pt x="1489021" y="330632"/>
                  </a:lnTo>
                  <a:lnTo>
                    <a:pt x="1516501" y="315513"/>
                  </a:lnTo>
                  <a:lnTo>
                    <a:pt x="1498000" y="297463"/>
                  </a:lnTo>
                  <a:lnTo>
                    <a:pt x="1512811" y="276501"/>
                  </a:lnTo>
                  <a:lnTo>
                    <a:pt x="1478096" y="273888"/>
                  </a:lnTo>
                  <a:lnTo>
                    <a:pt x="1470460" y="256232"/>
                  </a:lnTo>
                  <a:lnTo>
                    <a:pt x="1495793" y="224352"/>
                  </a:lnTo>
                  <a:lnTo>
                    <a:pt x="1454559" y="198460"/>
                  </a:lnTo>
                  <a:lnTo>
                    <a:pt x="1511382" y="177060"/>
                  </a:lnTo>
                  <a:lnTo>
                    <a:pt x="1504032" y="154483"/>
                  </a:lnTo>
                  <a:lnTo>
                    <a:pt x="1519866" y="153762"/>
                  </a:lnTo>
                  <a:lnTo>
                    <a:pt x="1536551" y="171364"/>
                  </a:lnTo>
                  <a:lnTo>
                    <a:pt x="1524025" y="202003"/>
                  </a:lnTo>
                  <a:lnTo>
                    <a:pt x="1558001" y="207804"/>
                  </a:lnTo>
                  <a:lnTo>
                    <a:pt x="1543523" y="184909"/>
                  </a:lnTo>
                  <a:lnTo>
                    <a:pt x="1596660" y="172425"/>
                  </a:lnTo>
                  <a:lnTo>
                    <a:pt x="1662551" y="170745"/>
                  </a:lnTo>
                  <a:lnTo>
                    <a:pt x="1721225" y="188846"/>
                  </a:lnTo>
                  <a:lnTo>
                    <a:pt x="1692989" y="162401"/>
                  </a:lnTo>
                  <a:lnTo>
                    <a:pt x="1689827" y="128578"/>
                  </a:lnTo>
                  <a:lnTo>
                    <a:pt x="1745037" y="122171"/>
                  </a:lnTo>
                  <a:lnTo>
                    <a:pt x="1821405" y="123571"/>
                  </a:lnTo>
                  <a:lnTo>
                    <a:pt x="1890207" y="119412"/>
                  </a:lnTo>
                  <a:lnTo>
                    <a:pt x="1864404" y="102813"/>
                  </a:lnTo>
                  <a:lnTo>
                    <a:pt x="1901145" y="81963"/>
                  </a:lnTo>
                  <a:lnTo>
                    <a:pt x="1937623" y="81090"/>
                  </a:lnTo>
                  <a:lnTo>
                    <a:pt x="1999355" y="65338"/>
                  </a:lnTo>
                  <a:lnTo>
                    <a:pt x="2083194" y="61106"/>
                  </a:lnTo>
                  <a:lnTo>
                    <a:pt x="2093785" y="52410"/>
                  </a:lnTo>
                  <a:lnTo>
                    <a:pt x="2177155" y="49463"/>
                  </a:lnTo>
                  <a:lnTo>
                    <a:pt x="2203132" y="56591"/>
                  </a:lnTo>
                  <a:lnTo>
                    <a:pt x="2274389" y="39719"/>
                  </a:lnTo>
                  <a:lnTo>
                    <a:pt x="2332720" y="40246"/>
                  </a:lnTo>
                  <a:lnTo>
                    <a:pt x="2341470" y="26543"/>
                  </a:lnTo>
                  <a:lnTo>
                    <a:pt x="2371807" y="13030"/>
                  </a:lnTo>
                  <a:lnTo>
                    <a:pt x="2446763" y="0"/>
                  </a:lnTo>
                  <a:lnTo>
                    <a:pt x="2501214" y="10287"/>
                  </a:lnTo>
                  <a:lnTo>
                    <a:pt x="2457983" y="1811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74" name="RU_11">
              <a:extLst>
                <a:ext uri="{FF2B5EF4-FFF2-40B4-BE49-F238E27FC236}">
                  <a16:creationId xmlns:a16="http://schemas.microsoft.com/office/drawing/2014/main" id="{00000000-0008-0000-2700-0000FA816400}"/>
                </a:ext>
              </a:extLst>
            </xdr:cNvPr>
            <xdr:cNvSpPr/>
          </xdr:nvSpPr>
          <xdr:spPr>
            <a:xfrm>
              <a:off x="9380160" y="1152483"/>
              <a:ext cx="188415" cy="45258"/>
            </a:xfrm>
            <a:custGeom>
              <a:avLst/>
              <a:gdLst/>
              <a:ahLst/>
              <a:cxnLst/>
              <a:rect l="0" t="0" r="0" b="0"/>
              <a:pathLst>
                <a:path w="188415" h="45258">
                  <a:moveTo>
                    <a:pt x="178986" y="33004"/>
                  </a:moveTo>
                  <a:lnTo>
                    <a:pt x="0" y="45257"/>
                  </a:lnTo>
                  <a:lnTo>
                    <a:pt x="58000" y="3569"/>
                  </a:lnTo>
                  <a:lnTo>
                    <a:pt x="84083" y="0"/>
                  </a:lnTo>
                  <a:lnTo>
                    <a:pt x="107939" y="2067"/>
                  </a:lnTo>
                  <a:lnTo>
                    <a:pt x="188414" y="20101"/>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75" name="RU_12">
              <a:extLst>
                <a:ext uri="{FF2B5EF4-FFF2-40B4-BE49-F238E27FC236}">
                  <a16:creationId xmlns:a16="http://schemas.microsoft.com/office/drawing/2014/main" id="{00000000-0008-0000-2700-0000FB816400}"/>
                </a:ext>
              </a:extLst>
            </xdr:cNvPr>
            <xdr:cNvSpPr/>
          </xdr:nvSpPr>
          <xdr:spPr>
            <a:xfrm>
              <a:off x="7646892" y="1102556"/>
              <a:ext cx="211961" cy="28853"/>
            </a:xfrm>
            <a:custGeom>
              <a:avLst/>
              <a:gdLst/>
              <a:ahLst/>
              <a:cxnLst/>
              <a:rect l="0" t="0" r="0" b="0"/>
              <a:pathLst>
                <a:path w="211961" h="28853">
                  <a:moveTo>
                    <a:pt x="199682" y="11799"/>
                  </a:moveTo>
                  <a:lnTo>
                    <a:pt x="157058" y="15986"/>
                  </a:lnTo>
                  <a:lnTo>
                    <a:pt x="128505" y="18393"/>
                  </a:lnTo>
                  <a:lnTo>
                    <a:pt x="124076" y="23603"/>
                  </a:lnTo>
                  <a:lnTo>
                    <a:pt x="86966" y="28852"/>
                  </a:lnTo>
                  <a:lnTo>
                    <a:pt x="52572" y="21327"/>
                  </a:lnTo>
                  <a:lnTo>
                    <a:pt x="70660" y="11414"/>
                  </a:lnTo>
                  <a:lnTo>
                    <a:pt x="0" y="10449"/>
                  </a:lnTo>
                  <a:lnTo>
                    <a:pt x="61979" y="4668"/>
                  </a:lnTo>
                  <a:lnTo>
                    <a:pt x="110220" y="4283"/>
                  </a:lnTo>
                  <a:lnTo>
                    <a:pt x="116706" y="12837"/>
                  </a:lnTo>
                  <a:lnTo>
                    <a:pt x="134943" y="5236"/>
                  </a:lnTo>
                  <a:lnTo>
                    <a:pt x="164871" y="0"/>
                  </a:lnTo>
                  <a:lnTo>
                    <a:pt x="211960" y="696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76" name="RU_13">
              <a:extLst>
                <a:ext uri="{FF2B5EF4-FFF2-40B4-BE49-F238E27FC236}">
                  <a16:creationId xmlns:a16="http://schemas.microsoft.com/office/drawing/2014/main" id="{00000000-0008-0000-2700-0000FC816400}"/>
                </a:ext>
              </a:extLst>
            </xdr:cNvPr>
            <xdr:cNvSpPr/>
          </xdr:nvSpPr>
          <xdr:spPr>
            <a:xfrm>
              <a:off x="9118000" y="1092031"/>
              <a:ext cx="285928" cy="79192"/>
            </a:xfrm>
            <a:custGeom>
              <a:avLst/>
              <a:gdLst/>
              <a:ahLst/>
              <a:cxnLst/>
              <a:rect l="0" t="0" r="0" b="0"/>
              <a:pathLst>
                <a:path w="285928" h="79192">
                  <a:moveTo>
                    <a:pt x="278088" y="75232"/>
                  </a:moveTo>
                  <a:lnTo>
                    <a:pt x="208813" y="79191"/>
                  </a:lnTo>
                  <a:lnTo>
                    <a:pt x="120380" y="70031"/>
                  </a:lnTo>
                  <a:lnTo>
                    <a:pt x="67684" y="57909"/>
                  </a:lnTo>
                  <a:lnTo>
                    <a:pt x="43316" y="35135"/>
                  </a:lnTo>
                  <a:lnTo>
                    <a:pt x="0" y="28858"/>
                  </a:lnTo>
                  <a:lnTo>
                    <a:pt x="82442" y="7169"/>
                  </a:lnTo>
                  <a:lnTo>
                    <a:pt x="151123" y="0"/>
                  </a:lnTo>
                  <a:lnTo>
                    <a:pt x="212810" y="15983"/>
                  </a:lnTo>
                  <a:lnTo>
                    <a:pt x="285927" y="4668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6585509" name="ZAF">
            <a:extLst>
              <a:ext uri="{FF2B5EF4-FFF2-40B4-BE49-F238E27FC236}">
                <a16:creationId xmlns:a16="http://schemas.microsoft.com/office/drawing/2014/main" id="{00000000-0008-0000-2700-0000A57C6400}"/>
              </a:ext>
            </a:extLst>
          </xdr:cNvPr>
          <xdr:cNvSpPr/>
        </xdr:nvSpPr>
        <xdr:spPr>
          <a:xfrm>
            <a:off x="6848747" y="4119130"/>
            <a:ext cx="523839" cy="404112"/>
          </a:xfrm>
          <a:custGeom>
            <a:avLst/>
            <a:gdLst/>
            <a:ahLst/>
            <a:cxnLst/>
            <a:rect l="0" t="0" r="0" b="0"/>
            <a:pathLst>
              <a:path w="523403" h="404112">
                <a:moveTo>
                  <a:pt x="481838" y="227524"/>
                </a:moveTo>
                <a:lnTo>
                  <a:pt x="475635" y="232115"/>
                </a:lnTo>
                <a:lnTo>
                  <a:pt x="462179" y="248244"/>
                </a:lnTo>
                <a:lnTo>
                  <a:pt x="453320" y="264557"/>
                </a:lnTo>
                <a:lnTo>
                  <a:pt x="435315" y="287306"/>
                </a:lnTo>
                <a:lnTo>
                  <a:pt x="399435" y="320062"/>
                </a:lnTo>
                <a:lnTo>
                  <a:pt x="377025" y="339112"/>
                </a:lnTo>
                <a:lnTo>
                  <a:pt x="353048" y="353559"/>
                </a:lnTo>
                <a:lnTo>
                  <a:pt x="319866" y="365878"/>
                </a:lnTo>
                <a:lnTo>
                  <a:pt x="303679" y="367529"/>
                </a:lnTo>
                <a:lnTo>
                  <a:pt x="299580" y="376342"/>
                </a:lnTo>
                <a:lnTo>
                  <a:pt x="280286" y="371653"/>
                </a:lnTo>
                <a:lnTo>
                  <a:pt x="264570" y="377695"/>
                </a:lnTo>
                <a:lnTo>
                  <a:pt x="230156" y="371577"/>
                </a:lnTo>
                <a:lnTo>
                  <a:pt x="210922" y="375447"/>
                </a:lnTo>
                <a:lnTo>
                  <a:pt x="197777" y="373787"/>
                </a:lnTo>
                <a:lnTo>
                  <a:pt x="165030" y="386318"/>
                </a:lnTo>
                <a:lnTo>
                  <a:pt x="137926" y="391348"/>
                </a:lnTo>
                <a:lnTo>
                  <a:pt x="118310" y="403346"/>
                </a:lnTo>
                <a:lnTo>
                  <a:pt x="103867" y="404111"/>
                </a:lnTo>
                <a:lnTo>
                  <a:pt x="90434" y="392789"/>
                </a:lnTo>
                <a:lnTo>
                  <a:pt x="79702" y="392208"/>
                </a:lnTo>
                <a:lnTo>
                  <a:pt x="66028" y="378035"/>
                </a:lnTo>
                <a:lnTo>
                  <a:pt x="64529" y="382435"/>
                </a:lnTo>
                <a:lnTo>
                  <a:pt x="60310" y="373904"/>
                </a:lnTo>
                <a:lnTo>
                  <a:pt x="60487" y="355286"/>
                </a:lnTo>
                <a:lnTo>
                  <a:pt x="50171" y="334010"/>
                </a:lnTo>
                <a:lnTo>
                  <a:pt x="60417" y="328225"/>
                </a:lnTo>
                <a:lnTo>
                  <a:pt x="59589" y="303857"/>
                </a:lnTo>
                <a:lnTo>
                  <a:pt x="38795" y="274142"/>
                </a:lnTo>
                <a:lnTo>
                  <a:pt x="22841" y="247247"/>
                </a:lnTo>
                <a:lnTo>
                  <a:pt x="22793" y="247165"/>
                </a:lnTo>
                <a:lnTo>
                  <a:pt x="0" y="205912"/>
                </a:lnTo>
                <a:lnTo>
                  <a:pt x="15208" y="190211"/>
                </a:lnTo>
                <a:lnTo>
                  <a:pt x="27746" y="198901"/>
                </a:lnTo>
                <a:lnTo>
                  <a:pt x="33100" y="212478"/>
                </a:lnTo>
                <a:lnTo>
                  <a:pt x="47346" y="214792"/>
                </a:lnTo>
                <a:lnTo>
                  <a:pt x="67307" y="220796"/>
                </a:lnTo>
                <a:lnTo>
                  <a:pt x="84363" y="218475"/>
                </a:lnTo>
                <a:lnTo>
                  <a:pt x="112703" y="202241"/>
                </a:lnTo>
                <a:lnTo>
                  <a:pt x="112738" y="84979"/>
                </a:lnTo>
                <a:lnTo>
                  <a:pt x="121307" y="89748"/>
                </a:lnTo>
                <a:lnTo>
                  <a:pt x="140132" y="119913"/>
                </a:lnTo>
                <a:lnTo>
                  <a:pt x="137208" y="139262"/>
                </a:lnTo>
                <a:lnTo>
                  <a:pt x="144291" y="150406"/>
                </a:lnTo>
                <a:lnTo>
                  <a:pt x="167034" y="147168"/>
                </a:lnTo>
                <a:lnTo>
                  <a:pt x="182912" y="133001"/>
                </a:lnTo>
                <a:lnTo>
                  <a:pt x="197945" y="123447"/>
                </a:lnTo>
                <a:lnTo>
                  <a:pt x="205718" y="108242"/>
                </a:lnTo>
                <a:lnTo>
                  <a:pt x="221206" y="100882"/>
                </a:lnTo>
                <a:lnTo>
                  <a:pt x="234588" y="104737"/>
                </a:lnTo>
                <a:lnTo>
                  <a:pt x="249755" y="113630"/>
                </a:lnTo>
                <a:lnTo>
                  <a:pt x="275596" y="115202"/>
                </a:lnTo>
                <a:lnTo>
                  <a:pt x="295901" y="107807"/>
                </a:lnTo>
                <a:lnTo>
                  <a:pt x="299111" y="97901"/>
                </a:lnTo>
                <a:lnTo>
                  <a:pt x="304695" y="82712"/>
                </a:lnTo>
                <a:lnTo>
                  <a:pt x="321970" y="80169"/>
                </a:lnTo>
                <a:lnTo>
                  <a:pt x="331515" y="68244"/>
                </a:lnTo>
                <a:lnTo>
                  <a:pt x="342088" y="47085"/>
                </a:lnTo>
                <a:lnTo>
                  <a:pt x="370593" y="23384"/>
                </a:lnTo>
                <a:lnTo>
                  <a:pt x="415519" y="0"/>
                </a:lnTo>
                <a:lnTo>
                  <a:pt x="428434" y="346"/>
                </a:lnTo>
                <a:lnTo>
                  <a:pt x="443799" y="5725"/>
                </a:lnTo>
                <a:lnTo>
                  <a:pt x="454499" y="1915"/>
                </a:lnTo>
                <a:lnTo>
                  <a:pt x="471374" y="5086"/>
                </a:lnTo>
                <a:lnTo>
                  <a:pt x="486582" y="49775"/>
                </a:lnTo>
                <a:lnTo>
                  <a:pt x="494843" y="72330"/>
                </a:lnTo>
                <a:lnTo>
                  <a:pt x="489185" y="107728"/>
                </a:lnTo>
                <a:lnTo>
                  <a:pt x="491896" y="119126"/>
                </a:lnTo>
                <a:lnTo>
                  <a:pt x="475876" y="113313"/>
                </a:lnTo>
                <a:lnTo>
                  <a:pt x="466696" y="115577"/>
                </a:lnTo>
                <a:lnTo>
                  <a:pt x="463700" y="124819"/>
                </a:lnTo>
                <a:lnTo>
                  <a:pt x="455029" y="136741"/>
                </a:lnTo>
                <a:lnTo>
                  <a:pt x="455327" y="147717"/>
                </a:lnTo>
                <a:lnTo>
                  <a:pt x="474275" y="164929"/>
                </a:lnTo>
                <a:lnTo>
                  <a:pt x="492858" y="161500"/>
                </a:lnTo>
                <a:lnTo>
                  <a:pt x="499323" y="147399"/>
                </a:lnTo>
                <a:lnTo>
                  <a:pt x="523402" y="147666"/>
                </a:lnTo>
                <a:lnTo>
                  <a:pt x="515471" y="170780"/>
                </a:lnTo>
                <a:lnTo>
                  <a:pt x="511718" y="197158"/>
                </a:lnTo>
                <a:lnTo>
                  <a:pt x="503504" y="21149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510" name="CHE">
            <a:extLst>
              <a:ext uri="{FF2B5EF4-FFF2-40B4-BE49-F238E27FC236}">
                <a16:creationId xmlns:a16="http://schemas.microsoft.com/office/drawing/2014/main" id="{00000000-0008-0000-2700-0000A67C6400}"/>
              </a:ext>
            </a:extLst>
          </xdr:cNvPr>
          <xdr:cNvSpPr/>
        </xdr:nvSpPr>
        <xdr:spPr>
          <a:xfrm>
            <a:off x="6520738" y="1899104"/>
            <a:ext cx="140456" cy="65212"/>
          </a:xfrm>
          <a:custGeom>
            <a:avLst/>
            <a:gdLst/>
            <a:ahLst/>
            <a:cxnLst/>
            <a:rect l="0" t="0" r="0" b="0"/>
            <a:pathLst>
              <a:path w="140339" h="65212">
                <a:moveTo>
                  <a:pt x="113398" y="9706"/>
                </a:moveTo>
                <a:lnTo>
                  <a:pt x="114627" y="15341"/>
                </a:lnTo>
                <a:lnTo>
                  <a:pt x="109773" y="23113"/>
                </a:lnTo>
                <a:lnTo>
                  <a:pt x="124136" y="28895"/>
                </a:lnTo>
                <a:lnTo>
                  <a:pt x="140338" y="29759"/>
                </a:lnTo>
                <a:lnTo>
                  <a:pt x="137821" y="42773"/>
                </a:lnTo>
                <a:lnTo>
                  <a:pt x="123831" y="48129"/>
                </a:lnTo>
                <a:lnTo>
                  <a:pt x="100340" y="44151"/>
                </a:lnTo>
                <a:lnTo>
                  <a:pt x="93463" y="56956"/>
                </a:lnTo>
                <a:lnTo>
                  <a:pt x="78340" y="57962"/>
                </a:lnTo>
                <a:lnTo>
                  <a:pt x="72835" y="52933"/>
                </a:lnTo>
                <a:lnTo>
                  <a:pt x="55036" y="63700"/>
                </a:lnTo>
                <a:lnTo>
                  <a:pt x="39729" y="65211"/>
                </a:lnTo>
                <a:lnTo>
                  <a:pt x="26067" y="58410"/>
                </a:lnTo>
                <a:lnTo>
                  <a:pt x="15161" y="44484"/>
                </a:lnTo>
                <a:lnTo>
                  <a:pt x="0" y="49460"/>
                </a:lnTo>
                <a:lnTo>
                  <a:pt x="470" y="35083"/>
                </a:lnTo>
                <a:lnTo>
                  <a:pt x="23689" y="17243"/>
                </a:lnTo>
                <a:lnTo>
                  <a:pt x="22669" y="9175"/>
                </a:lnTo>
                <a:lnTo>
                  <a:pt x="37135" y="12096"/>
                </a:lnTo>
                <a:lnTo>
                  <a:pt x="45853" y="6673"/>
                </a:lnTo>
                <a:lnTo>
                  <a:pt x="72857" y="6896"/>
                </a:lnTo>
                <a:lnTo>
                  <a:pt x="79375"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6585525" name="GBR">
            <a:extLst>
              <a:ext uri="{FF2B5EF4-FFF2-40B4-BE49-F238E27FC236}">
                <a16:creationId xmlns:a16="http://schemas.microsoft.com/office/drawing/2014/main" id="{00000000-0008-0000-2700-0000B57C6400}"/>
              </a:ext>
            </a:extLst>
          </xdr:cNvPr>
          <xdr:cNvGrpSpPr/>
        </xdr:nvGrpSpPr>
        <xdr:grpSpPr>
          <a:xfrm>
            <a:off x="6088744" y="1556070"/>
            <a:ext cx="294051" cy="275432"/>
            <a:chOff x="5982582" y="1810070"/>
            <a:chExt cx="293806" cy="275432"/>
          </a:xfrm>
          <a:grpFill/>
        </xdr:grpSpPr>
        <xdr:sp macro="" textlink="">
          <xdr:nvSpPr>
            <xdr:cNvPr id="6586864" name="GB_1">
              <a:extLst>
                <a:ext uri="{FF2B5EF4-FFF2-40B4-BE49-F238E27FC236}">
                  <a16:creationId xmlns:a16="http://schemas.microsoft.com/office/drawing/2014/main" id="{00000000-0008-0000-2700-0000F0816400}"/>
                </a:ext>
              </a:extLst>
            </xdr:cNvPr>
            <xdr:cNvSpPr/>
          </xdr:nvSpPr>
          <xdr:spPr>
            <a:xfrm>
              <a:off x="5982582" y="1919992"/>
              <a:ext cx="60653" cy="41444"/>
            </a:xfrm>
            <a:custGeom>
              <a:avLst/>
              <a:gdLst/>
              <a:ahLst/>
              <a:cxnLst/>
              <a:rect l="0" t="0" r="0" b="0"/>
              <a:pathLst>
                <a:path w="60653" h="41444">
                  <a:moveTo>
                    <a:pt x="60652" y="19631"/>
                  </a:moveTo>
                  <a:lnTo>
                    <a:pt x="43634" y="41443"/>
                  </a:lnTo>
                  <a:lnTo>
                    <a:pt x="19638" y="34899"/>
                  </a:lnTo>
                  <a:lnTo>
                    <a:pt x="0" y="35334"/>
                  </a:lnTo>
                  <a:lnTo>
                    <a:pt x="6547" y="18323"/>
                  </a:lnTo>
                  <a:lnTo>
                    <a:pt x="0" y="1311"/>
                  </a:lnTo>
                  <a:lnTo>
                    <a:pt x="26619"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65" name="GB_2">
              <a:extLst>
                <a:ext uri="{FF2B5EF4-FFF2-40B4-BE49-F238E27FC236}">
                  <a16:creationId xmlns:a16="http://schemas.microsoft.com/office/drawing/2014/main" id="{00000000-0008-0000-2700-0000F1816400}"/>
                </a:ext>
              </a:extLst>
            </xdr:cNvPr>
            <xdr:cNvSpPr/>
          </xdr:nvSpPr>
          <xdr:spPr>
            <a:xfrm>
              <a:off x="6027737" y="1810070"/>
              <a:ext cx="248651" cy="275432"/>
            </a:xfrm>
            <a:custGeom>
              <a:avLst/>
              <a:gdLst/>
              <a:ahLst/>
              <a:cxnLst/>
              <a:rect l="0" t="0" r="0" b="0"/>
              <a:pathLst>
                <a:path w="248651" h="275432">
                  <a:moveTo>
                    <a:pt x="99854" y="0"/>
                  </a:moveTo>
                  <a:lnTo>
                    <a:pt x="65919" y="34354"/>
                  </a:lnTo>
                  <a:lnTo>
                    <a:pt x="98266" y="30004"/>
                  </a:lnTo>
                  <a:lnTo>
                    <a:pt x="133055" y="30169"/>
                  </a:lnTo>
                  <a:lnTo>
                    <a:pt x="124778" y="56039"/>
                  </a:lnTo>
                  <a:lnTo>
                    <a:pt x="96234" y="84493"/>
                  </a:lnTo>
                  <a:lnTo>
                    <a:pt x="129064" y="86519"/>
                  </a:lnTo>
                  <a:lnTo>
                    <a:pt x="131582" y="89856"/>
                  </a:lnTo>
                  <a:lnTo>
                    <a:pt x="159861" y="127318"/>
                  </a:lnTo>
                  <a:lnTo>
                    <a:pt x="181594" y="132417"/>
                  </a:lnTo>
                  <a:lnTo>
                    <a:pt x="201136" y="168593"/>
                  </a:lnTo>
                  <a:lnTo>
                    <a:pt x="210185" y="181134"/>
                  </a:lnTo>
                  <a:lnTo>
                    <a:pt x="248650" y="187182"/>
                  </a:lnTo>
                  <a:lnTo>
                    <a:pt x="244792" y="207486"/>
                  </a:lnTo>
                  <a:lnTo>
                    <a:pt x="228619" y="216796"/>
                  </a:lnTo>
                  <a:lnTo>
                    <a:pt x="241297" y="233223"/>
                  </a:lnTo>
                  <a:lnTo>
                    <a:pt x="212735" y="249850"/>
                  </a:lnTo>
                  <a:lnTo>
                    <a:pt x="170259" y="249555"/>
                  </a:lnTo>
                  <a:lnTo>
                    <a:pt x="116205" y="258286"/>
                  </a:lnTo>
                  <a:lnTo>
                    <a:pt x="101400" y="252035"/>
                  </a:lnTo>
                  <a:lnTo>
                    <a:pt x="80410" y="266910"/>
                  </a:lnTo>
                  <a:lnTo>
                    <a:pt x="51038" y="263309"/>
                  </a:lnTo>
                  <a:lnTo>
                    <a:pt x="28734" y="275431"/>
                  </a:lnTo>
                  <a:lnTo>
                    <a:pt x="11855" y="269091"/>
                  </a:lnTo>
                  <a:lnTo>
                    <a:pt x="58420" y="235744"/>
                  </a:lnTo>
                  <a:lnTo>
                    <a:pt x="86839" y="228886"/>
                  </a:lnTo>
                  <a:lnTo>
                    <a:pt x="86592" y="228860"/>
                  </a:lnTo>
                  <a:lnTo>
                    <a:pt x="37008" y="223568"/>
                  </a:lnTo>
                  <a:lnTo>
                    <a:pt x="28026" y="210934"/>
                  </a:lnTo>
                  <a:lnTo>
                    <a:pt x="61204" y="201092"/>
                  </a:lnTo>
                  <a:lnTo>
                    <a:pt x="43815" y="183992"/>
                  </a:lnTo>
                  <a:lnTo>
                    <a:pt x="49847" y="163195"/>
                  </a:lnTo>
                  <a:lnTo>
                    <a:pt x="97034" y="166069"/>
                  </a:lnTo>
                  <a:lnTo>
                    <a:pt x="97088" y="166072"/>
                  </a:lnTo>
                  <a:lnTo>
                    <a:pt x="101759" y="147638"/>
                  </a:lnTo>
                  <a:lnTo>
                    <a:pt x="80496" y="128083"/>
                  </a:lnTo>
                  <a:lnTo>
                    <a:pt x="80010" y="127635"/>
                  </a:lnTo>
                  <a:lnTo>
                    <a:pt x="41459" y="122047"/>
                  </a:lnTo>
                  <a:lnTo>
                    <a:pt x="33893" y="113456"/>
                  </a:lnTo>
                  <a:lnTo>
                    <a:pt x="45431" y="99267"/>
                  </a:lnTo>
                  <a:lnTo>
                    <a:pt x="34989" y="90519"/>
                  </a:lnTo>
                  <a:lnTo>
                    <a:pt x="17894" y="105534"/>
                  </a:lnTo>
                  <a:lnTo>
                    <a:pt x="16034" y="74930"/>
                  </a:lnTo>
                  <a:lnTo>
                    <a:pt x="0" y="58738"/>
                  </a:lnTo>
                  <a:lnTo>
                    <a:pt x="11531" y="25915"/>
                  </a:lnTo>
                  <a:lnTo>
                    <a:pt x="36195" y="159"/>
                  </a:lnTo>
                  <a:lnTo>
                    <a:pt x="61547" y="2674"/>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nvGrpSpPr>
          <xdr:cNvPr id="6585526" name="USA">
            <a:extLst>
              <a:ext uri="{FF2B5EF4-FFF2-40B4-BE49-F238E27FC236}">
                <a16:creationId xmlns:a16="http://schemas.microsoft.com/office/drawing/2014/main" id="{00000000-0008-0000-2700-0000B67C6400}"/>
              </a:ext>
            </a:extLst>
          </xdr:cNvPr>
          <xdr:cNvGrpSpPr/>
        </xdr:nvGrpSpPr>
        <xdr:grpSpPr>
          <a:xfrm>
            <a:off x="987404" y="1152121"/>
            <a:ext cx="3214058" cy="1469321"/>
            <a:chOff x="885488" y="1406121"/>
            <a:chExt cx="3211380" cy="1469321"/>
          </a:xfrm>
          <a:grpFill/>
        </xdr:grpSpPr>
        <xdr:sp macro="" textlink="">
          <xdr:nvSpPr>
            <xdr:cNvPr id="6586861" name="US_6">
              <a:extLst>
                <a:ext uri="{FF2B5EF4-FFF2-40B4-BE49-F238E27FC236}">
                  <a16:creationId xmlns:a16="http://schemas.microsoft.com/office/drawing/2014/main" id="{00000000-0008-0000-2700-0000ED816400}"/>
                </a:ext>
              </a:extLst>
            </xdr:cNvPr>
            <xdr:cNvSpPr/>
          </xdr:nvSpPr>
          <xdr:spPr>
            <a:xfrm>
              <a:off x="2264179" y="2103631"/>
              <a:ext cx="1832689" cy="771811"/>
            </a:xfrm>
            <a:custGeom>
              <a:avLst/>
              <a:gdLst/>
              <a:ahLst/>
              <a:cxnLst/>
              <a:rect l="0" t="0" r="0" b="0"/>
              <a:pathLst>
                <a:path w="1832690" h="771811">
                  <a:moveTo>
                    <a:pt x="948360" y="0"/>
                  </a:moveTo>
                  <a:lnTo>
                    <a:pt x="953998" y="17431"/>
                  </a:lnTo>
                  <a:lnTo>
                    <a:pt x="963870" y="22806"/>
                  </a:lnTo>
                  <a:lnTo>
                    <a:pt x="986037" y="24755"/>
                  </a:lnTo>
                  <a:lnTo>
                    <a:pt x="1018451" y="29813"/>
                  </a:lnTo>
                  <a:lnTo>
                    <a:pt x="1049248" y="39656"/>
                  </a:lnTo>
                  <a:lnTo>
                    <a:pt x="1074966" y="35528"/>
                  </a:lnTo>
                  <a:lnTo>
                    <a:pt x="1114019" y="43783"/>
                  </a:lnTo>
                  <a:lnTo>
                    <a:pt x="1124404" y="43472"/>
                  </a:lnTo>
                  <a:lnTo>
                    <a:pt x="1152814" y="34483"/>
                  </a:lnTo>
                  <a:lnTo>
                    <a:pt x="1182605" y="46006"/>
                  </a:lnTo>
                  <a:lnTo>
                    <a:pt x="1213650" y="58283"/>
                  </a:lnTo>
                  <a:lnTo>
                    <a:pt x="1239355" y="68859"/>
                  </a:lnTo>
                  <a:lnTo>
                    <a:pt x="1264002" y="79022"/>
                  </a:lnTo>
                  <a:lnTo>
                    <a:pt x="1267079" y="87373"/>
                  </a:lnTo>
                  <a:lnTo>
                    <a:pt x="1274556" y="90497"/>
                  </a:lnTo>
                  <a:lnTo>
                    <a:pt x="1272613" y="93643"/>
                  </a:lnTo>
                  <a:lnTo>
                    <a:pt x="1281128" y="94621"/>
                  </a:lnTo>
                  <a:lnTo>
                    <a:pt x="1287307" y="91338"/>
                  </a:lnTo>
                  <a:lnTo>
                    <a:pt x="1288901" y="98857"/>
                  </a:lnTo>
                  <a:lnTo>
                    <a:pt x="1295286" y="103889"/>
                  </a:lnTo>
                  <a:lnTo>
                    <a:pt x="1304007" y="103889"/>
                  </a:lnTo>
                  <a:lnTo>
                    <a:pt x="1308659" y="107769"/>
                  </a:lnTo>
                  <a:lnTo>
                    <a:pt x="1304744" y="113414"/>
                  </a:lnTo>
                  <a:lnTo>
                    <a:pt x="1337827" y="128317"/>
                  </a:lnTo>
                  <a:lnTo>
                    <a:pt x="1344593" y="157131"/>
                  </a:lnTo>
                  <a:lnTo>
                    <a:pt x="1350950" y="184718"/>
                  </a:lnTo>
                  <a:lnTo>
                    <a:pt x="1341666" y="203485"/>
                  </a:lnTo>
                  <a:lnTo>
                    <a:pt x="1326744" y="220948"/>
                  </a:lnTo>
                  <a:lnTo>
                    <a:pt x="1319759" y="232060"/>
                  </a:lnTo>
                  <a:lnTo>
                    <a:pt x="1319060" y="235372"/>
                  </a:lnTo>
                  <a:lnTo>
                    <a:pt x="1322622" y="239909"/>
                  </a:lnTo>
                  <a:lnTo>
                    <a:pt x="1333408" y="244916"/>
                  </a:lnTo>
                  <a:lnTo>
                    <a:pt x="1341371" y="244916"/>
                  </a:lnTo>
                  <a:lnTo>
                    <a:pt x="1378252" y="227965"/>
                  </a:lnTo>
                  <a:lnTo>
                    <a:pt x="1410964" y="222974"/>
                  </a:lnTo>
                  <a:lnTo>
                    <a:pt x="1452492" y="207181"/>
                  </a:lnTo>
                  <a:lnTo>
                    <a:pt x="1453109" y="203962"/>
                  </a:lnTo>
                  <a:lnTo>
                    <a:pt x="1450251" y="194278"/>
                  </a:lnTo>
                  <a:lnTo>
                    <a:pt x="1445117" y="188045"/>
                  </a:lnTo>
                  <a:lnTo>
                    <a:pt x="1459449" y="183004"/>
                  </a:lnTo>
                  <a:lnTo>
                    <a:pt x="1490640" y="182876"/>
                  </a:lnTo>
                  <a:lnTo>
                    <a:pt x="1519784" y="182886"/>
                  </a:lnTo>
                  <a:lnTo>
                    <a:pt x="1529944" y="170513"/>
                  </a:lnTo>
                  <a:lnTo>
                    <a:pt x="1533912" y="168043"/>
                  </a:lnTo>
                  <a:lnTo>
                    <a:pt x="1567466" y="145177"/>
                  </a:lnTo>
                  <a:lnTo>
                    <a:pt x="1581791" y="139334"/>
                  </a:lnTo>
                  <a:lnTo>
                    <a:pt x="1630026" y="139116"/>
                  </a:lnTo>
                  <a:lnTo>
                    <a:pt x="1688531" y="139090"/>
                  </a:lnTo>
                  <a:lnTo>
                    <a:pt x="1691710" y="131254"/>
                  </a:lnTo>
                  <a:lnTo>
                    <a:pt x="1701876" y="129660"/>
                  </a:lnTo>
                  <a:lnTo>
                    <a:pt x="1715364" y="124745"/>
                  </a:lnTo>
                  <a:lnTo>
                    <a:pt x="1726635" y="110299"/>
                  </a:lnTo>
                  <a:lnTo>
                    <a:pt x="1736319" y="85595"/>
                  </a:lnTo>
                  <a:lnTo>
                    <a:pt x="1760538" y="61633"/>
                  </a:lnTo>
                  <a:lnTo>
                    <a:pt x="1771085" y="69977"/>
                  </a:lnTo>
                  <a:lnTo>
                    <a:pt x="1792376" y="64582"/>
                  </a:lnTo>
                  <a:lnTo>
                    <a:pt x="1806470" y="73742"/>
                  </a:lnTo>
                  <a:lnTo>
                    <a:pt x="1806445" y="117036"/>
                  </a:lnTo>
                  <a:lnTo>
                    <a:pt x="1827206" y="134985"/>
                  </a:lnTo>
                  <a:lnTo>
                    <a:pt x="1832689" y="145392"/>
                  </a:lnTo>
                  <a:lnTo>
                    <a:pt x="1798787" y="160775"/>
                  </a:lnTo>
                  <a:lnTo>
                    <a:pt x="1766164" y="171735"/>
                  </a:lnTo>
                  <a:lnTo>
                    <a:pt x="1732629" y="181130"/>
                  </a:lnTo>
                  <a:lnTo>
                    <a:pt x="1715824" y="199987"/>
                  </a:lnTo>
                  <a:lnTo>
                    <a:pt x="1710445" y="207127"/>
                  </a:lnTo>
                  <a:lnTo>
                    <a:pt x="1710125" y="223964"/>
                  </a:lnTo>
                  <a:lnTo>
                    <a:pt x="1720602" y="240792"/>
                  </a:lnTo>
                  <a:lnTo>
                    <a:pt x="1733778" y="241585"/>
                  </a:lnTo>
                  <a:lnTo>
                    <a:pt x="1730445" y="229997"/>
                  </a:lnTo>
                  <a:lnTo>
                    <a:pt x="1739970" y="237052"/>
                  </a:lnTo>
                  <a:lnTo>
                    <a:pt x="1737430" y="246119"/>
                  </a:lnTo>
                  <a:lnTo>
                    <a:pt x="1715998" y="251269"/>
                  </a:lnTo>
                  <a:lnTo>
                    <a:pt x="1700746" y="250650"/>
                  </a:lnTo>
                  <a:lnTo>
                    <a:pt x="1677264" y="256190"/>
                  </a:lnTo>
                  <a:lnTo>
                    <a:pt x="1663452" y="257778"/>
                  </a:lnTo>
                  <a:lnTo>
                    <a:pt x="1644993" y="259346"/>
                  </a:lnTo>
                  <a:lnTo>
                    <a:pt x="1618526" y="268538"/>
                  </a:lnTo>
                  <a:lnTo>
                    <a:pt x="1665157" y="262556"/>
                  </a:lnTo>
                  <a:lnTo>
                    <a:pt x="1674565" y="268573"/>
                  </a:lnTo>
                  <a:lnTo>
                    <a:pt x="1630115" y="278098"/>
                  </a:lnTo>
                  <a:lnTo>
                    <a:pt x="1609890" y="278161"/>
                  </a:lnTo>
                  <a:lnTo>
                    <a:pt x="1610833" y="274266"/>
                  </a:lnTo>
                  <a:lnTo>
                    <a:pt x="1601168" y="283067"/>
                  </a:lnTo>
                  <a:lnTo>
                    <a:pt x="1610512" y="284524"/>
                  </a:lnTo>
                  <a:lnTo>
                    <a:pt x="1603654" y="307330"/>
                  </a:lnTo>
                  <a:lnTo>
                    <a:pt x="1580553" y="331771"/>
                  </a:lnTo>
                  <a:lnTo>
                    <a:pt x="1578191" y="323615"/>
                  </a:lnTo>
                  <a:lnTo>
                    <a:pt x="1571219" y="321961"/>
                  </a:lnTo>
                  <a:lnTo>
                    <a:pt x="1560804" y="314023"/>
                  </a:lnTo>
                  <a:lnTo>
                    <a:pt x="1567409" y="331120"/>
                  </a:lnTo>
                  <a:lnTo>
                    <a:pt x="1575289" y="336772"/>
                  </a:lnTo>
                  <a:lnTo>
                    <a:pt x="1575768" y="348770"/>
                  </a:lnTo>
                  <a:lnTo>
                    <a:pt x="1565583" y="361108"/>
                  </a:lnTo>
                  <a:lnTo>
                    <a:pt x="1547717" y="386464"/>
                  </a:lnTo>
                  <a:lnTo>
                    <a:pt x="1544825" y="385203"/>
                  </a:lnTo>
                  <a:lnTo>
                    <a:pt x="1554645" y="363598"/>
                  </a:lnTo>
                  <a:lnTo>
                    <a:pt x="1538424" y="351466"/>
                  </a:lnTo>
                  <a:lnTo>
                    <a:pt x="1534706" y="325088"/>
                  </a:lnTo>
                  <a:lnTo>
                    <a:pt x="1528588" y="338817"/>
                  </a:lnTo>
                  <a:lnTo>
                    <a:pt x="1535363" y="358956"/>
                  </a:lnTo>
                  <a:lnTo>
                    <a:pt x="1514386" y="353981"/>
                  </a:lnTo>
                  <a:lnTo>
                    <a:pt x="1536243" y="364207"/>
                  </a:lnTo>
                  <a:lnTo>
                    <a:pt x="1537605" y="394417"/>
                  </a:lnTo>
                  <a:lnTo>
                    <a:pt x="1546714" y="396611"/>
                  </a:lnTo>
                  <a:lnTo>
                    <a:pt x="1550009" y="407597"/>
                  </a:lnTo>
                  <a:lnTo>
                    <a:pt x="1554470" y="439366"/>
                  </a:lnTo>
                  <a:lnTo>
                    <a:pt x="1534287" y="462931"/>
                  </a:lnTo>
                  <a:lnTo>
                    <a:pt x="1501445" y="472344"/>
                  </a:lnTo>
                  <a:lnTo>
                    <a:pt x="1480572" y="490966"/>
                  </a:lnTo>
                  <a:lnTo>
                    <a:pt x="1464720" y="493004"/>
                  </a:lnTo>
                  <a:lnTo>
                    <a:pt x="1448641" y="504669"/>
                  </a:lnTo>
                  <a:lnTo>
                    <a:pt x="1444104" y="515321"/>
                  </a:lnTo>
                  <a:lnTo>
                    <a:pt x="1409252" y="535927"/>
                  </a:lnTo>
                  <a:lnTo>
                    <a:pt x="1391355" y="551043"/>
                  </a:lnTo>
                  <a:lnTo>
                    <a:pt x="1376391" y="569865"/>
                  </a:lnTo>
                  <a:lnTo>
                    <a:pt x="1371498" y="592423"/>
                  </a:lnTo>
                  <a:lnTo>
                    <a:pt x="1377109" y="614473"/>
                  </a:lnTo>
                  <a:lnTo>
                    <a:pt x="1387703" y="641635"/>
                  </a:lnTo>
                  <a:lnTo>
                    <a:pt x="1401813" y="664111"/>
                  </a:lnTo>
                  <a:lnTo>
                    <a:pt x="1401991" y="677831"/>
                  </a:lnTo>
                  <a:lnTo>
                    <a:pt x="1417025" y="714660"/>
                  </a:lnTo>
                  <a:lnTo>
                    <a:pt x="1416024" y="736066"/>
                  </a:lnTo>
                  <a:lnTo>
                    <a:pt x="1414640" y="748417"/>
                  </a:lnTo>
                  <a:lnTo>
                    <a:pt x="1406722" y="767804"/>
                  </a:lnTo>
                  <a:lnTo>
                    <a:pt x="1397228" y="771810"/>
                  </a:lnTo>
                  <a:lnTo>
                    <a:pt x="1381604" y="767959"/>
                  </a:lnTo>
                  <a:lnTo>
                    <a:pt x="1376591" y="754031"/>
                  </a:lnTo>
                  <a:lnTo>
                    <a:pt x="1364526" y="746728"/>
                  </a:lnTo>
                  <a:lnTo>
                    <a:pt x="1347698" y="719423"/>
                  </a:lnTo>
                  <a:lnTo>
                    <a:pt x="1332928" y="695134"/>
                  </a:lnTo>
                  <a:lnTo>
                    <a:pt x="1328163" y="682714"/>
                  </a:lnTo>
                  <a:lnTo>
                    <a:pt x="1334681" y="661638"/>
                  </a:lnTo>
                  <a:lnTo>
                    <a:pt x="1325791" y="644175"/>
                  </a:lnTo>
                  <a:lnTo>
                    <a:pt x="1301039" y="617613"/>
                  </a:lnTo>
                  <a:lnTo>
                    <a:pt x="1288644" y="612743"/>
                  </a:lnTo>
                  <a:lnTo>
                    <a:pt x="1256614" y="627151"/>
                  </a:lnTo>
                  <a:lnTo>
                    <a:pt x="1250931" y="625567"/>
                  </a:lnTo>
                  <a:lnTo>
                    <a:pt x="1235523" y="610755"/>
                  </a:lnTo>
                  <a:lnTo>
                    <a:pt x="1215619" y="602900"/>
                  </a:lnTo>
                  <a:lnTo>
                    <a:pt x="1179728" y="606891"/>
                  </a:lnTo>
                  <a:lnTo>
                    <a:pt x="1151553" y="603380"/>
                  </a:lnTo>
                  <a:lnTo>
                    <a:pt x="1127337" y="605567"/>
                  </a:lnTo>
                  <a:lnTo>
                    <a:pt x="1114215" y="610520"/>
                  </a:lnTo>
                  <a:lnTo>
                    <a:pt x="1119934" y="618959"/>
                  </a:lnTo>
                  <a:lnTo>
                    <a:pt x="1119416" y="631837"/>
                  </a:lnTo>
                  <a:lnTo>
                    <a:pt x="1126157" y="638108"/>
                  </a:lnTo>
                  <a:lnTo>
                    <a:pt x="1120108" y="642283"/>
                  </a:lnTo>
                  <a:lnTo>
                    <a:pt x="1108326" y="637600"/>
                  </a:lnTo>
                  <a:lnTo>
                    <a:pt x="1096410" y="643623"/>
                  </a:lnTo>
                  <a:lnTo>
                    <a:pt x="1073372" y="642636"/>
                  </a:lnTo>
                  <a:lnTo>
                    <a:pt x="1049668" y="625856"/>
                  </a:lnTo>
                  <a:lnTo>
                    <a:pt x="1021972" y="629815"/>
                  </a:lnTo>
                  <a:lnTo>
                    <a:pt x="998880" y="622465"/>
                  </a:lnTo>
                  <a:lnTo>
                    <a:pt x="979132" y="624694"/>
                  </a:lnTo>
                  <a:lnTo>
                    <a:pt x="952411" y="632110"/>
                  </a:lnTo>
                  <a:lnTo>
                    <a:pt x="923509" y="655650"/>
                  </a:lnTo>
                  <a:lnTo>
                    <a:pt x="891959" y="669337"/>
                  </a:lnTo>
                  <a:lnTo>
                    <a:pt x="874623" y="684498"/>
                  </a:lnTo>
                  <a:lnTo>
                    <a:pt x="867321" y="698785"/>
                  </a:lnTo>
                  <a:lnTo>
                    <a:pt x="867004" y="720693"/>
                  </a:lnTo>
                  <a:lnTo>
                    <a:pt x="868591" y="735933"/>
                  </a:lnTo>
                  <a:lnTo>
                    <a:pt x="874623" y="746728"/>
                  </a:lnTo>
                  <a:lnTo>
                    <a:pt x="862241" y="747681"/>
                  </a:lnTo>
                  <a:lnTo>
                    <a:pt x="839698" y="740695"/>
                  </a:lnTo>
                  <a:lnTo>
                    <a:pt x="814933" y="730853"/>
                  </a:lnTo>
                  <a:lnTo>
                    <a:pt x="806044" y="715931"/>
                  </a:lnTo>
                  <a:lnTo>
                    <a:pt x="799058" y="693706"/>
                  </a:lnTo>
                  <a:lnTo>
                    <a:pt x="780326" y="675608"/>
                  </a:lnTo>
                  <a:lnTo>
                    <a:pt x="769347" y="656999"/>
                  </a:lnTo>
                  <a:lnTo>
                    <a:pt x="753415" y="635263"/>
                  </a:lnTo>
                  <a:lnTo>
                    <a:pt x="731037" y="622608"/>
                  </a:lnTo>
                  <a:lnTo>
                    <a:pt x="705079" y="623220"/>
                  </a:lnTo>
                  <a:lnTo>
                    <a:pt x="685076" y="648303"/>
                  </a:lnTo>
                  <a:lnTo>
                    <a:pt x="658723" y="638778"/>
                  </a:lnTo>
                  <a:lnTo>
                    <a:pt x="642309" y="629189"/>
                  </a:lnTo>
                  <a:lnTo>
                    <a:pt x="634413" y="611736"/>
                  </a:lnTo>
                  <a:lnTo>
                    <a:pt x="623881" y="595153"/>
                  </a:lnTo>
                  <a:lnTo>
                    <a:pt x="605015" y="581190"/>
                  </a:lnTo>
                  <a:lnTo>
                    <a:pt x="588781" y="571150"/>
                  </a:lnTo>
                  <a:lnTo>
                    <a:pt x="577202" y="559895"/>
                  </a:lnTo>
                  <a:lnTo>
                    <a:pt x="522198" y="559882"/>
                  </a:lnTo>
                  <a:lnTo>
                    <a:pt x="522138" y="572986"/>
                  </a:lnTo>
                  <a:lnTo>
                    <a:pt x="496957" y="572995"/>
                  </a:lnTo>
                  <a:lnTo>
                    <a:pt x="433819" y="573224"/>
                  </a:lnTo>
                  <a:lnTo>
                    <a:pt x="361385" y="550859"/>
                  </a:lnTo>
                  <a:lnTo>
                    <a:pt x="313442" y="535422"/>
                  </a:lnTo>
                  <a:lnTo>
                    <a:pt x="316414" y="529215"/>
                  </a:lnTo>
                  <a:lnTo>
                    <a:pt x="276092" y="532657"/>
                  </a:lnTo>
                  <a:lnTo>
                    <a:pt x="240011" y="535105"/>
                  </a:lnTo>
                  <a:lnTo>
                    <a:pt x="234674" y="518884"/>
                  </a:lnTo>
                  <a:lnTo>
                    <a:pt x="214096" y="500627"/>
                  </a:lnTo>
                  <a:lnTo>
                    <a:pt x="199282" y="496827"/>
                  </a:lnTo>
                  <a:lnTo>
                    <a:pt x="195812" y="487718"/>
                  </a:lnTo>
                  <a:lnTo>
                    <a:pt x="177997" y="486124"/>
                  </a:lnTo>
                  <a:lnTo>
                    <a:pt x="166637" y="477536"/>
                  </a:lnTo>
                  <a:lnTo>
                    <a:pt x="137141" y="474405"/>
                  </a:lnTo>
                  <a:lnTo>
                    <a:pt x="129041" y="469277"/>
                  </a:lnTo>
                  <a:lnTo>
                    <a:pt x="125187" y="451869"/>
                  </a:lnTo>
                  <a:lnTo>
                    <a:pt x="94380" y="419973"/>
                  </a:lnTo>
                  <a:lnTo>
                    <a:pt x="67935" y="375831"/>
                  </a:lnTo>
                  <a:lnTo>
                    <a:pt x="69063" y="368477"/>
                  </a:lnTo>
                  <a:lnTo>
                    <a:pt x="55054" y="357991"/>
                  </a:lnTo>
                  <a:lnTo>
                    <a:pt x="30480" y="331384"/>
                  </a:lnTo>
                  <a:lnTo>
                    <a:pt x="26098" y="305498"/>
                  </a:lnTo>
                  <a:lnTo>
                    <a:pt x="9179" y="288156"/>
                  </a:lnTo>
                  <a:lnTo>
                    <a:pt x="16138" y="261842"/>
                  </a:lnTo>
                  <a:lnTo>
                    <a:pt x="15033" y="234613"/>
                  </a:lnTo>
                  <a:lnTo>
                    <a:pt x="4902" y="210280"/>
                  </a:lnTo>
                  <a:lnTo>
                    <a:pt x="17307" y="180359"/>
                  </a:lnTo>
                  <a:lnTo>
                    <a:pt x="21168" y="151546"/>
                  </a:lnTo>
                  <a:lnTo>
                    <a:pt x="25028" y="122732"/>
                  </a:lnTo>
                  <a:lnTo>
                    <a:pt x="19291" y="80143"/>
                  </a:lnTo>
                  <a:lnTo>
                    <a:pt x="9255" y="52984"/>
                  </a:lnTo>
                  <a:lnTo>
                    <a:pt x="0" y="38246"/>
                  </a:lnTo>
                  <a:lnTo>
                    <a:pt x="3845" y="32045"/>
                  </a:lnTo>
                  <a:lnTo>
                    <a:pt x="49758" y="42831"/>
                  </a:lnTo>
                  <a:lnTo>
                    <a:pt x="66668" y="72803"/>
                  </a:lnTo>
                  <a:lnTo>
                    <a:pt x="74523" y="64420"/>
                  </a:lnTo>
                  <a:lnTo>
                    <a:pt x="69444" y="38385"/>
                  </a:lnTo>
                  <a:lnTo>
                    <a:pt x="58648" y="12350"/>
                  </a:lnTo>
                  <a:lnTo>
                    <a:pt x="148819" y="12350"/>
                  </a:lnTo>
                  <a:lnTo>
                    <a:pt x="243078" y="12350"/>
                  </a:lnTo>
                  <a:lnTo>
                    <a:pt x="274288" y="12350"/>
                  </a:lnTo>
                  <a:lnTo>
                    <a:pt x="371069" y="12350"/>
                  </a:lnTo>
                  <a:lnTo>
                    <a:pt x="464731" y="12350"/>
                  </a:lnTo>
                  <a:lnTo>
                    <a:pt x="559981" y="12350"/>
                  </a:lnTo>
                  <a:lnTo>
                    <a:pt x="655285" y="12354"/>
                  </a:lnTo>
                  <a:lnTo>
                    <a:pt x="763181" y="12350"/>
                  </a:lnTo>
                  <a:lnTo>
                    <a:pt x="871807" y="12328"/>
                  </a:lnTo>
                  <a:lnTo>
                    <a:pt x="937517" y="12350"/>
                  </a:lnTo>
                  <a:lnTo>
                    <a:pt x="937612" y="14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62" name="US_7">
              <a:extLst>
                <a:ext uri="{FF2B5EF4-FFF2-40B4-BE49-F238E27FC236}">
                  <a16:creationId xmlns:a16="http://schemas.microsoft.com/office/drawing/2014/main" id="{00000000-0008-0000-2700-0000EE816400}"/>
                </a:ext>
              </a:extLst>
            </xdr:cNvPr>
            <xdr:cNvSpPr/>
          </xdr:nvSpPr>
          <xdr:spPr>
            <a:xfrm>
              <a:off x="1312194" y="1831216"/>
              <a:ext cx="80326" cy="39190"/>
            </a:xfrm>
            <a:custGeom>
              <a:avLst/>
              <a:gdLst/>
              <a:ahLst/>
              <a:cxnLst/>
              <a:rect l="0" t="0" r="0" b="0"/>
              <a:pathLst>
                <a:path w="80326" h="39190">
                  <a:moveTo>
                    <a:pt x="52855" y="27089"/>
                  </a:moveTo>
                  <a:lnTo>
                    <a:pt x="21143" y="39189"/>
                  </a:lnTo>
                  <a:lnTo>
                    <a:pt x="4909" y="30997"/>
                  </a:lnTo>
                  <a:lnTo>
                    <a:pt x="0" y="16122"/>
                  </a:lnTo>
                  <a:lnTo>
                    <a:pt x="28836" y="4838"/>
                  </a:lnTo>
                  <a:lnTo>
                    <a:pt x="45793" y="0"/>
                  </a:lnTo>
                  <a:lnTo>
                    <a:pt x="66872" y="2146"/>
                  </a:lnTo>
                  <a:lnTo>
                    <a:pt x="80325" y="11998"/>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63" name="US_10">
              <a:extLst>
                <a:ext uri="{FF2B5EF4-FFF2-40B4-BE49-F238E27FC236}">
                  <a16:creationId xmlns:a16="http://schemas.microsoft.com/office/drawing/2014/main" id="{00000000-0008-0000-2700-0000EF816400}"/>
                </a:ext>
              </a:extLst>
            </xdr:cNvPr>
            <xdr:cNvSpPr/>
          </xdr:nvSpPr>
          <xdr:spPr>
            <a:xfrm>
              <a:off x="885488" y="1406121"/>
              <a:ext cx="1210648" cy="538278"/>
            </a:xfrm>
            <a:custGeom>
              <a:avLst/>
              <a:gdLst/>
              <a:ahLst/>
              <a:cxnLst/>
              <a:rect l="0" t="0" r="0" b="0"/>
              <a:pathLst>
                <a:path w="1210648" h="538278">
                  <a:moveTo>
                    <a:pt x="414109" y="6668"/>
                  </a:moveTo>
                  <a:lnTo>
                    <a:pt x="437083" y="21000"/>
                  </a:lnTo>
                  <a:lnTo>
                    <a:pt x="451187" y="14853"/>
                  </a:lnTo>
                  <a:lnTo>
                    <a:pt x="504844" y="16758"/>
                  </a:lnTo>
                  <a:lnTo>
                    <a:pt x="502939" y="24060"/>
                  </a:lnTo>
                  <a:lnTo>
                    <a:pt x="551517" y="29458"/>
                  </a:lnTo>
                  <a:lnTo>
                    <a:pt x="583901" y="26283"/>
                  </a:lnTo>
                  <a:lnTo>
                    <a:pt x="650786" y="36316"/>
                  </a:lnTo>
                  <a:lnTo>
                    <a:pt x="711854" y="39300"/>
                  </a:lnTo>
                  <a:lnTo>
                    <a:pt x="736301" y="43428"/>
                  </a:lnTo>
                  <a:lnTo>
                    <a:pt x="778548" y="38269"/>
                  </a:lnTo>
                  <a:lnTo>
                    <a:pt x="826710" y="47813"/>
                  </a:lnTo>
                  <a:lnTo>
                    <a:pt x="861206" y="52254"/>
                  </a:lnTo>
                  <a:lnTo>
                    <a:pt x="861206" y="52254"/>
                  </a:lnTo>
                  <a:lnTo>
                    <a:pt x="861000" y="170110"/>
                  </a:lnTo>
                  <a:lnTo>
                    <a:pt x="860831" y="350882"/>
                  </a:lnTo>
                  <a:lnTo>
                    <a:pt x="892099" y="351822"/>
                  </a:lnTo>
                  <a:lnTo>
                    <a:pt x="923023" y="360610"/>
                  </a:lnTo>
                  <a:lnTo>
                    <a:pt x="945188" y="374514"/>
                  </a:lnTo>
                  <a:lnTo>
                    <a:pt x="973395" y="395377"/>
                  </a:lnTo>
                  <a:lnTo>
                    <a:pt x="1004281" y="377632"/>
                  </a:lnTo>
                  <a:lnTo>
                    <a:pt x="1036155" y="367348"/>
                  </a:lnTo>
                  <a:lnTo>
                    <a:pt x="1053008" y="383769"/>
                  </a:lnTo>
                  <a:lnTo>
                    <a:pt x="1074404" y="396771"/>
                  </a:lnTo>
                  <a:lnTo>
                    <a:pt x="1103474" y="411083"/>
                  </a:lnTo>
                  <a:lnTo>
                    <a:pt x="1123321" y="433861"/>
                  </a:lnTo>
                  <a:lnTo>
                    <a:pt x="1155789" y="470081"/>
                  </a:lnTo>
                  <a:lnTo>
                    <a:pt x="1209764" y="490284"/>
                  </a:lnTo>
                  <a:lnTo>
                    <a:pt x="1210647" y="510312"/>
                  </a:lnTo>
                  <a:lnTo>
                    <a:pt x="1192990" y="525621"/>
                  </a:lnTo>
                  <a:lnTo>
                    <a:pt x="1175537" y="513680"/>
                  </a:lnTo>
                  <a:lnTo>
                    <a:pt x="1147553" y="503555"/>
                  </a:lnTo>
                  <a:lnTo>
                    <a:pt x="1138574" y="475863"/>
                  </a:lnTo>
                  <a:lnTo>
                    <a:pt x="1097642" y="450180"/>
                  </a:lnTo>
                  <a:lnTo>
                    <a:pt x="1080532" y="420202"/>
                  </a:lnTo>
                  <a:lnTo>
                    <a:pt x="1050049" y="418151"/>
                  </a:lnTo>
                  <a:lnTo>
                    <a:pt x="999569" y="417373"/>
                  </a:lnTo>
                  <a:lnTo>
                    <a:pt x="962362" y="408235"/>
                  </a:lnTo>
                  <a:lnTo>
                    <a:pt x="896709" y="375285"/>
                  </a:lnTo>
                  <a:lnTo>
                    <a:pt x="866308" y="369262"/>
                  </a:lnTo>
                  <a:lnTo>
                    <a:pt x="810774" y="357931"/>
                  </a:lnTo>
                  <a:lnTo>
                    <a:pt x="766816" y="360636"/>
                  </a:lnTo>
                  <a:lnTo>
                    <a:pt x="704374" y="346050"/>
                  </a:lnTo>
                  <a:lnTo>
                    <a:pt x="666629" y="332521"/>
                  </a:lnTo>
                  <a:lnTo>
                    <a:pt x="631390" y="339243"/>
                  </a:lnTo>
                  <a:lnTo>
                    <a:pt x="637937" y="361299"/>
                  </a:lnTo>
                  <a:lnTo>
                    <a:pt x="620389" y="363335"/>
                  </a:lnTo>
                  <a:lnTo>
                    <a:pt x="583651" y="369954"/>
                  </a:lnTo>
                  <a:lnTo>
                    <a:pt x="555701" y="380670"/>
                  </a:lnTo>
                  <a:lnTo>
                    <a:pt x="520516" y="387414"/>
                  </a:lnTo>
                  <a:lnTo>
                    <a:pt x="515976" y="368707"/>
                  </a:lnTo>
                  <a:lnTo>
                    <a:pt x="530254" y="337566"/>
                  </a:lnTo>
                  <a:lnTo>
                    <a:pt x="563997" y="327794"/>
                  </a:lnTo>
                  <a:lnTo>
                    <a:pt x="555292" y="319831"/>
                  </a:lnTo>
                  <a:lnTo>
                    <a:pt x="514820" y="337522"/>
                  </a:lnTo>
                  <a:lnTo>
                    <a:pt x="493151" y="358651"/>
                  </a:lnTo>
                  <a:lnTo>
                    <a:pt x="447402" y="381238"/>
                  </a:lnTo>
                  <a:lnTo>
                    <a:pt x="470633" y="396656"/>
                  </a:lnTo>
                  <a:lnTo>
                    <a:pt x="440630" y="419462"/>
                  </a:lnTo>
                  <a:lnTo>
                    <a:pt x="406498" y="432753"/>
                  </a:lnTo>
                  <a:lnTo>
                    <a:pt x="374723" y="442437"/>
                  </a:lnTo>
                  <a:lnTo>
                    <a:pt x="366855" y="456495"/>
                  </a:lnTo>
                  <a:lnTo>
                    <a:pt x="317290" y="472891"/>
                  </a:lnTo>
                  <a:lnTo>
                    <a:pt x="307254" y="487794"/>
                  </a:lnTo>
                  <a:lnTo>
                    <a:pt x="270107" y="501368"/>
                  </a:lnTo>
                  <a:lnTo>
                    <a:pt x="248314" y="498926"/>
                  </a:lnTo>
                  <a:lnTo>
                    <a:pt x="218681" y="507781"/>
                  </a:lnTo>
                  <a:lnTo>
                    <a:pt x="186461" y="518592"/>
                  </a:lnTo>
                  <a:lnTo>
                    <a:pt x="160058" y="529213"/>
                  </a:lnTo>
                  <a:lnTo>
                    <a:pt x="105569" y="538277"/>
                  </a:lnTo>
                  <a:lnTo>
                    <a:pt x="100597" y="532943"/>
                  </a:lnTo>
                  <a:lnTo>
                    <a:pt x="135328" y="518109"/>
                  </a:lnTo>
                  <a:lnTo>
                    <a:pt x="166389" y="508311"/>
                  </a:lnTo>
                  <a:lnTo>
                    <a:pt x="200228" y="490944"/>
                  </a:lnTo>
                  <a:lnTo>
                    <a:pt x="239617" y="487353"/>
                  </a:lnTo>
                  <a:lnTo>
                    <a:pt x="255270" y="474336"/>
                  </a:lnTo>
                  <a:lnTo>
                    <a:pt x="299282" y="455330"/>
                  </a:lnTo>
                  <a:lnTo>
                    <a:pt x="306372" y="448974"/>
                  </a:lnTo>
                  <a:lnTo>
                    <a:pt x="329813" y="437763"/>
                  </a:lnTo>
                  <a:lnTo>
                    <a:pt x="335290" y="413687"/>
                  </a:lnTo>
                  <a:lnTo>
                    <a:pt x="351438" y="394935"/>
                  </a:lnTo>
                  <a:lnTo>
                    <a:pt x="314830" y="404559"/>
                  </a:lnTo>
                  <a:lnTo>
                    <a:pt x="304590" y="399098"/>
                  </a:lnTo>
                  <a:lnTo>
                    <a:pt x="287401" y="410642"/>
                  </a:lnTo>
                  <a:lnTo>
                    <a:pt x="266665" y="394539"/>
                  </a:lnTo>
                  <a:lnTo>
                    <a:pt x="258105" y="405934"/>
                  </a:lnTo>
                  <a:lnTo>
                    <a:pt x="246231" y="390103"/>
                  </a:lnTo>
                  <a:lnTo>
                    <a:pt x="214490" y="402812"/>
                  </a:lnTo>
                  <a:lnTo>
                    <a:pt x="194999" y="402784"/>
                  </a:lnTo>
                  <a:lnTo>
                    <a:pt x="192265" y="383886"/>
                  </a:lnTo>
                  <a:lnTo>
                    <a:pt x="198006" y="372244"/>
                  </a:lnTo>
                  <a:lnTo>
                    <a:pt x="177562" y="360938"/>
                  </a:lnTo>
                  <a:lnTo>
                    <a:pt x="136280" y="367021"/>
                  </a:lnTo>
                  <a:lnTo>
                    <a:pt x="109487" y="352117"/>
                  </a:lnTo>
                  <a:lnTo>
                    <a:pt x="87763" y="344497"/>
                  </a:lnTo>
                  <a:lnTo>
                    <a:pt x="87624" y="326514"/>
                  </a:lnTo>
                  <a:lnTo>
                    <a:pt x="63157" y="312985"/>
                  </a:lnTo>
                  <a:lnTo>
                    <a:pt x="75441" y="294729"/>
                  </a:lnTo>
                  <a:lnTo>
                    <a:pt x="101327" y="277009"/>
                  </a:lnTo>
                  <a:lnTo>
                    <a:pt x="112652" y="260712"/>
                  </a:lnTo>
                  <a:lnTo>
                    <a:pt x="138344" y="258395"/>
                  </a:lnTo>
                  <a:lnTo>
                    <a:pt x="160128" y="263471"/>
                  </a:lnTo>
                  <a:lnTo>
                    <a:pt x="185737" y="248155"/>
                  </a:lnTo>
                  <a:lnTo>
                    <a:pt x="208794" y="250889"/>
                  </a:lnTo>
                  <a:lnTo>
                    <a:pt x="232985" y="241037"/>
                  </a:lnTo>
                  <a:lnTo>
                    <a:pt x="227085" y="226537"/>
                  </a:lnTo>
                  <a:lnTo>
                    <a:pt x="209312" y="220821"/>
                  </a:lnTo>
                  <a:lnTo>
                    <a:pt x="232816" y="208572"/>
                  </a:lnTo>
                  <a:lnTo>
                    <a:pt x="213319" y="208934"/>
                  </a:lnTo>
                  <a:lnTo>
                    <a:pt x="179626" y="215849"/>
                  </a:lnTo>
                  <a:lnTo>
                    <a:pt x="169951" y="222860"/>
                  </a:lnTo>
                  <a:lnTo>
                    <a:pt x="144913" y="215856"/>
                  </a:lnTo>
                  <a:lnTo>
                    <a:pt x="100006" y="219421"/>
                  </a:lnTo>
                  <a:lnTo>
                    <a:pt x="53508" y="211808"/>
                  </a:lnTo>
                  <a:lnTo>
                    <a:pt x="40183" y="199038"/>
                  </a:lnTo>
                  <a:lnTo>
                    <a:pt x="0" y="180588"/>
                  </a:lnTo>
                  <a:lnTo>
                    <a:pt x="44618" y="167307"/>
                  </a:lnTo>
                  <a:lnTo>
                    <a:pt x="115440" y="151800"/>
                  </a:lnTo>
                  <a:lnTo>
                    <a:pt x="141545" y="151800"/>
                  </a:lnTo>
                  <a:lnTo>
                    <a:pt x="137223" y="167659"/>
                  </a:lnTo>
                  <a:lnTo>
                    <a:pt x="204241" y="166424"/>
                  </a:lnTo>
                  <a:lnTo>
                    <a:pt x="178464" y="146755"/>
                  </a:lnTo>
                  <a:lnTo>
                    <a:pt x="139411" y="134665"/>
                  </a:lnTo>
                  <a:lnTo>
                    <a:pt x="116827" y="118793"/>
                  </a:lnTo>
                  <a:lnTo>
                    <a:pt x="86369" y="105252"/>
                  </a:lnTo>
                  <a:lnTo>
                    <a:pt x="42742" y="95215"/>
                  </a:lnTo>
                  <a:lnTo>
                    <a:pt x="60512" y="78575"/>
                  </a:lnTo>
                  <a:lnTo>
                    <a:pt x="116834" y="77543"/>
                  </a:lnTo>
                  <a:lnTo>
                    <a:pt x="156908" y="63078"/>
                  </a:lnTo>
                  <a:lnTo>
                    <a:pt x="164465" y="47616"/>
                  </a:lnTo>
                  <a:lnTo>
                    <a:pt x="196904" y="32528"/>
                  </a:lnTo>
                  <a:lnTo>
                    <a:pt x="227832" y="28896"/>
                  </a:lnTo>
                  <a:lnTo>
                    <a:pt x="288017" y="14802"/>
                  </a:lnTo>
                  <a:lnTo>
                    <a:pt x="317211" y="16926"/>
                  </a:lnTo>
                  <a:lnTo>
                    <a:pt x="366071"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6585527" name="AFG">
            <a:extLst>
              <a:ext uri="{FF2B5EF4-FFF2-40B4-BE49-F238E27FC236}">
                <a16:creationId xmlns:a16="http://schemas.microsoft.com/office/drawing/2014/main" id="{00000000-0008-0000-2700-0000B77C6400}"/>
              </a:ext>
            </a:extLst>
          </xdr:cNvPr>
          <xdr:cNvSpPr/>
        </xdr:nvSpPr>
        <xdr:spPr>
          <a:xfrm>
            <a:off x="8252739" y="2195791"/>
            <a:ext cx="464878" cy="291076"/>
          </a:xfrm>
          <a:custGeom>
            <a:avLst/>
            <a:gdLst/>
            <a:ahLst/>
            <a:cxnLst/>
            <a:rect l="0" t="0" r="0" b="0"/>
            <a:pathLst>
              <a:path w="464491" h="291076">
                <a:moveTo>
                  <a:pt x="21666" y="90050"/>
                </a:moveTo>
                <a:lnTo>
                  <a:pt x="54048" y="102096"/>
                </a:lnTo>
                <a:lnTo>
                  <a:pt x="77987" y="97863"/>
                </a:lnTo>
                <a:lnTo>
                  <a:pt x="84617" y="83474"/>
                </a:lnTo>
                <a:lnTo>
                  <a:pt x="109681" y="78686"/>
                </a:lnTo>
                <a:lnTo>
                  <a:pt x="127575" y="69031"/>
                </a:lnTo>
                <a:lnTo>
                  <a:pt x="133912" y="43641"/>
                </a:lnTo>
                <a:lnTo>
                  <a:pt x="160671" y="37500"/>
                </a:lnTo>
                <a:lnTo>
                  <a:pt x="165646" y="26197"/>
                </a:lnTo>
                <a:lnTo>
                  <a:pt x="180626" y="34687"/>
                </a:lnTo>
                <a:lnTo>
                  <a:pt x="190189" y="35672"/>
                </a:lnTo>
                <a:lnTo>
                  <a:pt x="207880" y="35884"/>
                </a:lnTo>
                <a:lnTo>
                  <a:pt x="231826" y="42587"/>
                </a:lnTo>
                <a:lnTo>
                  <a:pt x="241529" y="46457"/>
                </a:lnTo>
                <a:lnTo>
                  <a:pt x="264509" y="36259"/>
                </a:lnTo>
                <a:lnTo>
                  <a:pt x="275206" y="42393"/>
                </a:lnTo>
                <a:lnTo>
                  <a:pt x="285445" y="27855"/>
                </a:lnTo>
                <a:lnTo>
                  <a:pt x="304426" y="28515"/>
                </a:lnTo>
                <a:lnTo>
                  <a:pt x="309315" y="23848"/>
                </a:lnTo>
                <a:lnTo>
                  <a:pt x="312671" y="11046"/>
                </a:lnTo>
                <a:lnTo>
                  <a:pt x="326340" y="0"/>
                </a:lnTo>
                <a:lnTo>
                  <a:pt x="343526" y="7220"/>
                </a:lnTo>
                <a:lnTo>
                  <a:pt x="340075" y="16923"/>
                </a:lnTo>
                <a:lnTo>
                  <a:pt x="349679" y="18431"/>
                </a:lnTo>
                <a:lnTo>
                  <a:pt x="346720" y="45108"/>
                </a:lnTo>
                <a:lnTo>
                  <a:pt x="359290" y="55502"/>
                </a:lnTo>
                <a:lnTo>
                  <a:pt x="370351" y="48832"/>
                </a:lnTo>
                <a:lnTo>
                  <a:pt x="384445" y="45679"/>
                </a:lnTo>
                <a:lnTo>
                  <a:pt x="404232" y="31465"/>
                </a:lnTo>
                <a:lnTo>
                  <a:pt x="426095" y="33805"/>
                </a:lnTo>
                <a:lnTo>
                  <a:pt x="458839" y="33855"/>
                </a:lnTo>
                <a:lnTo>
                  <a:pt x="464490" y="42968"/>
                </a:lnTo>
                <a:lnTo>
                  <a:pt x="446008" y="46530"/>
                </a:lnTo>
                <a:lnTo>
                  <a:pt x="429870" y="52391"/>
                </a:lnTo>
                <a:lnTo>
                  <a:pt x="393433" y="56080"/>
                </a:lnTo>
                <a:lnTo>
                  <a:pt x="359343" y="62751"/>
                </a:lnTo>
                <a:lnTo>
                  <a:pt x="340802" y="76578"/>
                </a:lnTo>
                <a:lnTo>
                  <a:pt x="348311" y="90034"/>
                </a:lnTo>
                <a:lnTo>
                  <a:pt x="351940" y="105826"/>
                </a:lnTo>
                <a:lnTo>
                  <a:pt x="336124" y="119164"/>
                </a:lnTo>
                <a:lnTo>
                  <a:pt x="337452" y="131363"/>
                </a:lnTo>
                <a:lnTo>
                  <a:pt x="328721" y="142793"/>
                </a:lnTo>
                <a:lnTo>
                  <a:pt x="298517" y="141802"/>
                </a:lnTo>
                <a:lnTo>
                  <a:pt x="310998" y="162808"/>
                </a:lnTo>
                <a:lnTo>
                  <a:pt x="290789" y="170841"/>
                </a:lnTo>
                <a:lnTo>
                  <a:pt x="277308" y="190005"/>
                </a:lnTo>
                <a:lnTo>
                  <a:pt x="279064" y="209071"/>
                </a:lnTo>
                <a:lnTo>
                  <a:pt x="266647" y="217999"/>
                </a:lnTo>
                <a:lnTo>
                  <a:pt x="254905" y="215043"/>
                </a:lnTo>
                <a:lnTo>
                  <a:pt x="230642" y="219183"/>
                </a:lnTo>
                <a:lnTo>
                  <a:pt x="227171" y="228064"/>
                </a:lnTo>
                <a:lnTo>
                  <a:pt x="203533" y="228010"/>
                </a:lnTo>
                <a:lnTo>
                  <a:pt x="185836" y="245980"/>
                </a:lnTo>
                <a:lnTo>
                  <a:pt x="184725" y="273000"/>
                </a:lnTo>
                <a:lnTo>
                  <a:pt x="143463" y="286198"/>
                </a:lnTo>
                <a:lnTo>
                  <a:pt x="121348" y="283410"/>
                </a:lnTo>
                <a:lnTo>
                  <a:pt x="114922" y="290370"/>
                </a:lnTo>
                <a:lnTo>
                  <a:pt x="95945" y="286322"/>
                </a:lnTo>
                <a:lnTo>
                  <a:pt x="64183" y="291075"/>
                </a:lnTo>
                <a:lnTo>
                  <a:pt x="10979" y="274863"/>
                </a:lnTo>
                <a:lnTo>
                  <a:pt x="39777" y="246076"/>
                </a:lnTo>
                <a:lnTo>
                  <a:pt x="37176" y="225641"/>
                </a:lnTo>
                <a:lnTo>
                  <a:pt x="13129" y="220288"/>
                </a:lnTo>
                <a:lnTo>
                  <a:pt x="10646" y="200133"/>
                </a:lnTo>
                <a:lnTo>
                  <a:pt x="245" y="174784"/>
                </a:lnTo>
                <a:lnTo>
                  <a:pt x="13821" y="157401"/>
                </a:lnTo>
                <a:lnTo>
                  <a:pt x="0" y="152715"/>
                </a:lnTo>
                <a:lnTo>
                  <a:pt x="8725" y="12961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528" name="ALB">
            <a:extLst>
              <a:ext uri="{FF2B5EF4-FFF2-40B4-BE49-F238E27FC236}">
                <a16:creationId xmlns:a16="http://schemas.microsoft.com/office/drawing/2014/main" id="{00000000-0008-0000-2700-0000B87C6400}"/>
              </a:ext>
            </a:extLst>
          </xdr:cNvPr>
          <xdr:cNvSpPr/>
        </xdr:nvSpPr>
        <xdr:spPr>
          <a:xfrm>
            <a:off x="6942790" y="2062381"/>
            <a:ext cx="54513" cy="97258"/>
          </a:xfrm>
          <a:custGeom>
            <a:avLst/>
            <a:gdLst/>
            <a:ahLst/>
            <a:cxnLst/>
            <a:rect l="0" t="0" r="0" b="0"/>
            <a:pathLst>
              <a:path w="54468" h="97258">
                <a:moveTo>
                  <a:pt x="40822" y="26441"/>
                </a:moveTo>
                <a:lnTo>
                  <a:pt x="36789" y="37246"/>
                </a:lnTo>
                <a:lnTo>
                  <a:pt x="41298" y="50864"/>
                </a:lnTo>
                <a:lnTo>
                  <a:pt x="54467" y="58595"/>
                </a:lnTo>
                <a:lnTo>
                  <a:pt x="53833" y="66935"/>
                </a:lnTo>
                <a:lnTo>
                  <a:pt x="43514" y="71539"/>
                </a:lnTo>
                <a:lnTo>
                  <a:pt x="41608" y="81858"/>
                </a:lnTo>
                <a:lnTo>
                  <a:pt x="26845" y="97257"/>
                </a:lnTo>
                <a:lnTo>
                  <a:pt x="21448" y="95034"/>
                </a:lnTo>
                <a:lnTo>
                  <a:pt x="20813" y="88049"/>
                </a:lnTo>
                <a:lnTo>
                  <a:pt x="3226" y="77388"/>
                </a:lnTo>
                <a:lnTo>
                  <a:pt x="464" y="62262"/>
                </a:lnTo>
                <a:lnTo>
                  <a:pt x="3143" y="40596"/>
                </a:lnTo>
                <a:lnTo>
                  <a:pt x="7477" y="30740"/>
                </a:lnTo>
                <a:lnTo>
                  <a:pt x="2137" y="25740"/>
                </a:lnTo>
                <a:lnTo>
                  <a:pt x="0" y="15637"/>
                </a:lnTo>
                <a:lnTo>
                  <a:pt x="13768" y="0"/>
                </a:lnTo>
                <a:lnTo>
                  <a:pt x="15784" y="5972"/>
                </a:lnTo>
                <a:lnTo>
                  <a:pt x="24327" y="3162"/>
                </a:lnTo>
                <a:lnTo>
                  <a:pt x="31093" y="11681"/>
                </a:lnTo>
                <a:lnTo>
                  <a:pt x="38688" y="1493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529" name="DZA">
            <a:extLst>
              <a:ext uri="{FF2B5EF4-FFF2-40B4-BE49-F238E27FC236}">
                <a16:creationId xmlns:a16="http://schemas.microsoft.com/office/drawing/2014/main" id="{00000000-0008-0000-2700-0000B97C6400}"/>
              </a:ext>
            </a:extLst>
          </xdr:cNvPr>
          <xdr:cNvSpPr/>
        </xdr:nvSpPr>
        <xdr:spPr>
          <a:xfrm>
            <a:off x="6053402" y="2239222"/>
            <a:ext cx="657262" cy="573438"/>
          </a:xfrm>
          <a:custGeom>
            <a:avLst/>
            <a:gdLst/>
            <a:ahLst/>
            <a:cxnLst/>
            <a:rect l="0" t="0" r="0" b="0"/>
            <a:pathLst>
              <a:path w="656715" h="573438">
                <a:moveTo>
                  <a:pt x="656714" y="433283"/>
                </a:moveTo>
                <a:lnTo>
                  <a:pt x="547919" y="493798"/>
                </a:lnTo>
                <a:lnTo>
                  <a:pt x="455993" y="556171"/>
                </a:lnTo>
                <a:lnTo>
                  <a:pt x="411219" y="570329"/>
                </a:lnTo>
                <a:lnTo>
                  <a:pt x="375999" y="573437"/>
                </a:lnTo>
                <a:lnTo>
                  <a:pt x="375637" y="553238"/>
                </a:lnTo>
                <a:lnTo>
                  <a:pt x="360934" y="548075"/>
                </a:lnTo>
                <a:lnTo>
                  <a:pt x="341166" y="538995"/>
                </a:lnTo>
                <a:lnTo>
                  <a:pt x="333616" y="524117"/>
                </a:lnTo>
                <a:lnTo>
                  <a:pt x="226514" y="454841"/>
                </a:lnTo>
                <a:lnTo>
                  <a:pt x="119415" y="385566"/>
                </a:lnTo>
                <a:lnTo>
                  <a:pt x="0" y="308696"/>
                </a:lnTo>
                <a:lnTo>
                  <a:pt x="613" y="302543"/>
                </a:lnTo>
                <a:lnTo>
                  <a:pt x="597" y="300419"/>
                </a:lnTo>
                <a:lnTo>
                  <a:pt x="327" y="262798"/>
                </a:lnTo>
                <a:lnTo>
                  <a:pt x="51600" y="239370"/>
                </a:lnTo>
                <a:lnTo>
                  <a:pt x="83306" y="234528"/>
                </a:lnTo>
                <a:lnTo>
                  <a:pt x="109293" y="225997"/>
                </a:lnTo>
                <a:lnTo>
                  <a:pt x="121437" y="210096"/>
                </a:lnTo>
                <a:lnTo>
                  <a:pt x="158559" y="197530"/>
                </a:lnTo>
                <a:lnTo>
                  <a:pt x="159921" y="174025"/>
                </a:lnTo>
                <a:lnTo>
                  <a:pt x="178289" y="171257"/>
                </a:lnTo>
                <a:lnTo>
                  <a:pt x="192652" y="159515"/>
                </a:lnTo>
                <a:lnTo>
                  <a:pt x="234204" y="154162"/>
                </a:lnTo>
                <a:lnTo>
                  <a:pt x="240024" y="141824"/>
                </a:lnTo>
                <a:lnTo>
                  <a:pt x="231660" y="135077"/>
                </a:lnTo>
                <a:lnTo>
                  <a:pt x="220691" y="101559"/>
                </a:lnTo>
                <a:lnTo>
                  <a:pt x="218802" y="82249"/>
                </a:lnTo>
                <a:lnTo>
                  <a:pt x="206835" y="61913"/>
                </a:lnTo>
                <a:lnTo>
                  <a:pt x="237356" y="44564"/>
                </a:lnTo>
                <a:lnTo>
                  <a:pt x="271681" y="39043"/>
                </a:lnTo>
                <a:lnTo>
                  <a:pt x="291728" y="25943"/>
                </a:lnTo>
                <a:lnTo>
                  <a:pt x="322303" y="16282"/>
                </a:lnTo>
                <a:lnTo>
                  <a:pt x="376113" y="10621"/>
                </a:lnTo>
                <a:lnTo>
                  <a:pt x="428631" y="8046"/>
                </a:lnTo>
                <a:lnTo>
                  <a:pt x="444643" y="12761"/>
                </a:lnTo>
                <a:lnTo>
                  <a:pt x="474542" y="245"/>
                </a:lnTo>
                <a:lnTo>
                  <a:pt x="508470" y="0"/>
                </a:lnTo>
                <a:lnTo>
                  <a:pt x="521382" y="7388"/>
                </a:lnTo>
                <a:lnTo>
                  <a:pt x="543096" y="5461"/>
                </a:lnTo>
                <a:lnTo>
                  <a:pt x="536645" y="21755"/>
                </a:lnTo>
                <a:lnTo>
                  <a:pt x="541680" y="52023"/>
                </a:lnTo>
                <a:lnTo>
                  <a:pt x="534206" y="78210"/>
                </a:lnTo>
                <a:lnTo>
                  <a:pt x="514632" y="95917"/>
                </a:lnTo>
                <a:lnTo>
                  <a:pt x="517429" y="119834"/>
                </a:lnTo>
                <a:lnTo>
                  <a:pt x="543398" y="138751"/>
                </a:lnTo>
                <a:lnTo>
                  <a:pt x="543671" y="146434"/>
                </a:lnTo>
                <a:lnTo>
                  <a:pt x="563245" y="159249"/>
                </a:lnTo>
                <a:lnTo>
                  <a:pt x="576786" y="216243"/>
                </a:lnTo>
                <a:lnTo>
                  <a:pt x="587057" y="244278"/>
                </a:lnTo>
                <a:lnTo>
                  <a:pt x="588785" y="259029"/>
                </a:lnTo>
                <a:lnTo>
                  <a:pt x="583194" y="284931"/>
                </a:lnTo>
                <a:lnTo>
                  <a:pt x="585486" y="299406"/>
                </a:lnTo>
                <a:lnTo>
                  <a:pt x="581453" y="316783"/>
                </a:lnTo>
                <a:lnTo>
                  <a:pt x="584222" y="336747"/>
                </a:lnTo>
                <a:lnTo>
                  <a:pt x="571621" y="350015"/>
                </a:lnTo>
                <a:lnTo>
                  <a:pt x="590394" y="373155"/>
                </a:lnTo>
                <a:lnTo>
                  <a:pt x="591588" y="386760"/>
                </a:lnTo>
                <a:lnTo>
                  <a:pt x="602875" y="404467"/>
                </a:lnTo>
                <a:lnTo>
                  <a:pt x="617722" y="398650"/>
                </a:lnTo>
                <a:lnTo>
                  <a:pt x="642782" y="413401"/>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6585530" name="AGO">
            <a:extLst>
              <a:ext uri="{FF2B5EF4-FFF2-40B4-BE49-F238E27FC236}">
                <a16:creationId xmlns:a16="http://schemas.microsoft.com/office/drawing/2014/main" id="{00000000-0008-0000-2700-0000BA7C6400}"/>
              </a:ext>
            </a:extLst>
          </xdr:cNvPr>
          <xdr:cNvGrpSpPr/>
        </xdr:nvGrpSpPr>
        <xdr:grpSpPr>
          <a:xfrm>
            <a:off x="6699242" y="3558638"/>
            <a:ext cx="395295" cy="428391"/>
            <a:chOff x="6592572" y="3812638"/>
            <a:chExt cx="394966" cy="428391"/>
          </a:xfrm>
          <a:grpFill/>
        </xdr:grpSpPr>
        <xdr:sp macro="" textlink="">
          <xdr:nvSpPr>
            <xdr:cNvPr id="6586859" name="AO_1">
              <a:extLst>
                <a:ext uri="{FF2B5EF4-FFF2-40B4-BE49-F238E27FC236}">
                  <a16:creationId xmlns:a16="http://schemas.microsoft.com/office/drawing/2014/main" id="{00000000-0008-0000-2700-0000EB816400}"/>
                </a:ext>
              </a:extLst>
            </xdr:cNvPr>
            <xdr:cNvSpPr/>
          </xdr:nvSpPr>
          <xdr:spPr>
            <a:xfrm>
              <a:off x="6592572" y="3857920"/>
              <a:ext cx="394966" cy="383109"/>
            </a:xfrm>
            <a:custGeom>
              <a:avLst/>
              <a:gdLst/>
              <a:ahLst/>
              <a:cxnLst/>
              <a:rect l="0" t="0" r="0" b="0"/>
              <a:pathLst>
                <a:path w="394966" h="383109">
                  <a:moveTo>
                    <a:pt x="148794" y="422"/>
                  </a:moveTo>
                  <a:lnTo>
                    <a:pt x="156626" y="24079"/>
                  </a:lnTo>
                  <a:lnTo>
                    <a:pt x="165739" y="43119"/>
                  </a:lnTo>
                  <a:lnTo>
                    <a:pt x="173035" y="53387"/>
                  </a:lnTo>
                  <a:lnTo>
                    <a:pt x="185195" y="69989"/>
                  </a:lnTo>
                  <a:lnTo>
                    <a:pt x="206188" y="67421"/>
                  </a:lnTo>
                  <a:lnTo>
                    <a:pt x="216666" y="62954"/>
                  </a:lnTo>
                  <a:lnTo>
                    <a:pt x="234211" y="67437"/>
                  </a:lnTo>
                  <a:lnTo>
                    <a:pt x="238967" y="59499"/>
                  </a:lnTo>
                  <a:lnTo>
                    <a:pt x="246933" y="40995"/>
                  </a:lnTo>
                  <a:lnTo>
                    <a:pt x="266624" y="39757"/>
                  </a:lnTo>
                  <a:lnTo>
                    <a:pt x="268336" y="34255"/>
                  </a:lnTo>
                  <a:lnTo>
                    <a:pt x="284535" y="34134"/>
                  </a:lnTo>
                  <a:lnTo>
                    <a:pt x="281769" y="45574"/>
                  </a:lnTo>
                  <a:lnTo>
                    <a:pt x="320295" y="45297"/>
                  </a:lnTo>
                  <a:lnTo>
                    <a:pt x="320879" y="65275"/>
                  </a:lnTo>
                  <a:lnTo>
                    <a:pt x="327311" y="77524"/>
                  </a:lnTo>
                  <a:lnTo>
                    <a:pt x="322635" y="96663"/>
                  </a:lnTo>
                  <a:lnTo>
                    <a:pt x="324965" y="116189"/>
                  </a:lnTo>
                  <a:lnTo>
                    <a:pt x="335557" y="127971"/>
                  </a:lnTo>
                  <a:lnTo>
                    <a:pt x="333858" y="165754"/>
                  </a:lnTo>
                  <a:lnTo>
                    <a:pt x="341717" y="162842"/>
                  </a:lnTo>
                  <a:lnTo>
                    <a:pt x="355512" y="163620"/>
                  </a:lnTo>
                  <a:lnTo>
                    <a:pt x="375181" y="158867"/>
                  </a:lnTo>
                  <a:lnTo>
                    <a:pt x="389640" y="160737"/>
                  </a:lnTo>
                  <a:lnTo>
                    <a:pt x="392996" y="170596"/>
                  </a:lnTo>
                  <a:lnTo>
                    <a:pt x="389386" y="185994"/>
                  </a:lnTo>
                  <a:lnTo>
                    <a:pt x="394965" y="200885"/>
                  </a:lnTo>
                  <a:lnTo>
                    <a:pt x="390234" y="212776"/>
                  </a:lnTo>
                  <a:lnTo>
                    <a:pt x="392938" y="223736"/>
                  </a:lnTo>
                  <a:lnTo>
                    <a:pt x="326829" y="223336"/>
                  </a:lnTo>
                  <a:lnTo>
                    <a:pt x="325365" y="324361"/>
                  </a:lnTo>
                  <a:lnTo>
                    <a:pt x="346787" y="350339"/>
                  </a:lnTo>
                  <a:lnTo>
                    <a:pt x="367503" y="370170"/>
                  </a:lnTo>
                  <a:lnTo>
                    <a:pt x="309154" y="383108"/>
                  </a:lnTo>
                  <a:lnTo>
                    <a:pt x="232287" y="378615"/>
                  </a:lnTo>
                  <a:lnTo>
                    <a:pt x="210287" y="363404"/>
                  </a:lnTo>
                  <a:lnTo>
                    <a:pt x="81585" y="364773"/>
                  </a:lnTo>
                  <a:lnTo>
                    <a:pt x="76785" y="367005"/>
                  </a:lnTo>
                  <a:lnTo>
                    <a:pt x="57859" y="352647"/>
                  </a:lnTo>
                  <a:lnTo>
                    <a:pt x="37276" y="351698"/>
                  </a:lnTo>
                  <a:lnTo>
                    <a:pt x="18270" y="357108"/>
                  </a:lnTo>
                  <a:lnTo>
                    <a:pt x="2988" y="363147"/>
                  </a:lnTo>
                  <a:lnTo>
                    <a:pt x="0" y="343182"/>
                  </a:lnTo>
                  <a:lnTo>
                    <a:pt x="4395" y="315265"/>
                  </a:lnTo>
                  <a:lnTo>
                    <a:pt x="15352" y="286197"/>
                  </a:lnTo>
                  <a:lnTo>
                    <a:pt x="17003" y="272570"/>
                  </a:lnTo>
                  <a:lnTo>
                    <a:pt x="27306" y="243951"/>
                  </a:lnTo>
                  <a:lnTo>
                    <a:pt x="34875" y="230940"/>
                  </a:lnTo>
                  <a:lnTo>
                    <a:pt x="53112" y="210166"/>
                  </a:lnTo>
                  <a:lnTo>
                    <a:pt x="63297" y="196037"/>
                  </a:lnTo>
                  <a:lnTo>
                    <a:pt x="66631" y="172520"/>
                  </a:lnTo>
                  <a:lnTo>
                    <a:pt x="64971" y="154524"/>
                  </a:lnTo>
                  <a:lnTo>
                    <a:pt x="55474" y="143173"/>
                  </a:lnTo>
                  <a:lnTo>
                    <a:pt x="47019" y="123910"/>
                  </a:lnTo>
                  <a:lnTo>
                    <a:pt x="39221" y="104860"/>
                  </a:lnTo>
                  <a:lnTo>
                    <a:pt x="40926" y="98263"/>
                  </a:lnTo>
                  <a:lnTo>
                    <a:pt x="50683" y="85674"/>
                  </a:lnTo>
                  <a:lnTo>
                    <a:pt x="41050" y="55000"/>
                  </a:lnTo>
                  <a:lnTo>
                    <a:pt x="34551" y="33747"/>
                  </a:lnTo>
                  <a:lnTo>
                    <a:pt x="18644" y="13659"/>
                  </a:lnTo>
                  <a:lnTo>
                    <a:pt x="21664" y="7490"/>
                  </a:lnTo>
                  <a:lnTo>
                    <a:pt x="34770" y="3223"/>
                  </a:lnTo>
                  <a:lnTo>
                    <a:pt x="43968" y="3816"/>
                  </a:lnTo>
                  <a:lnTo>
                    <a:pt x="55103"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60" name="AO_2">
              <a:extLst>
                <a:ext uri="{FF2B5EF4-FFF2-40B4-BE49-F238E27FC236}">
                  <a16:creationId xmlns:a16="http://schemas.microsoft.com/office/drawing/2014/main" id="{00000000-0008-0000-2700-0000EC816400}"/>
                </a:ext>
              </a:extLst>
            </xdr:cNvPr>
            <xdr:cNvSpPr/>
          </xdr:nvSpPr>
          <xdr:spPr>
            <a:xfrm>
              <a:off x="6601300" y="3812638"/>
              <a:ext cx="34308" cy="42924"/>
            </a:xfrm>
            <a:custGeom>
              <a:avLst/>
              <a:gdLst/>
              <a:ahLst/>
              <a:cxnLst/>
              <a:rect l="0" t="0" r="0" b="0"/>
              <a:pathLst>
                <a:path w="34308" h="42924">
                  <a:moveTo>
                    <a:pt x="16565" y="39570"/>
                  </a:moveTo>
                  <a:lnTo>
                    <a:pt x="8488" y="42923"/>
                  </a:lnTo>
                  <a:lnTo>
                    <a:pt x="0" y="19050"/>
                  </a:lnTo>
                  <a:lnTo>
                    <a:pt x="12815" y="5340"/>
                  </a:lnTo>
                  <a:lnTo>
                    <a:pt x="22410" y="0"/>
                  </a:lnTo>
                  <a:lnTo>
                    <a:pt x="34307" y="10893"/>
                  </a:lnTo>
                  <a:lnTo>
                    <a:pt x="22753" y="17567"/>
                  </a:lnTo>
                  <a:lnTo>
                    <a:pt x="17558" y="2573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nvGrpSpPr>
          <xdr:cNvPr id="6585531" name="ARG">
            <a:extLst>
              <a:ext uri="{FF2B5EF4-FFF2-40B4-BE49-F238E27FC236}">
                <a16:creationId xmlns:a16="http://schemas.microsoft.com/office/drawing/2014/main" id="{00000000-0008-0000-2700-0000BB7C6400}"/>
              </a:ext>
            </a:extLst>
          </xdr:cNvPr>
          <xdr:cNvGrpSpPr/>
        </xdr:nvGrpSpPr>
        <xdr:grpSpPr>
          <a:xfrm>
            <a:off x="3996480" y="4110907"/>
            <a:ext cx="628765" cy="1061013"/>
            <a:chOff x="3892060" y="4364907"/>
            <a:chExt cx="628242" cy="1061013"/>
          </a:xfrm>
          <a:grpFill/>
        </xdr:grpSpPr>
        <xdr:sp macro="" textlink="">
          <xdr:nvSpPr>
            <xdr:cNvPr id="6586857" name="AR_1">
              <a:extLst>
                <a:ext uri="{FF2B5EF4-FFF2-40B4-BE49-F238E27FC236}">
                  <a16:creationId xmlns:a16="http://schemas.microsoft.com/office/drawing/2014/main" id="{00000000-0008-0000-2700-0000E9816400}"/>
                </a:ext>
              </a:extLst>
            </xdr:cNvPr>
            <xdr:cNvSpPr/>
          </xdr:nvSpPr>
          <xdr:spPr>
            <a:xfrm>
              <a:off x="4043870" y="5342937"/>
              <a:ext cx="113793" cy="82983"/>
            </a:xfrm>
            <a:custGeom>
              <a:avLst/>
              <a:gdLst/>
              <a:ahLst/>
              <a:cxnLst/>
              <a:rect l="0" t="0" r="0" b="0"/>
              <a:pathLst>
                <a:path w="113793" h="82983">
                  <a:moveTo>
                    <a:pt x="99505" y="81395"/>
                  </a:moveTo>
                  <a:lnTo>
                    <a:pt x="69342" y="82982"/>
                  </a:lnTo>
                  <a:lnTo>
                    <a:pt x="53153" y="71768"/>
                  </a:lnTo>
                  <a:lnTo>
                    <a:pt x="34023" y="70917"/>
                  </a:lnTo>
                  <a:lnTo>
                    <a:pt x="22" y="70901"/>
                  </a:lnTo>
                  <a:lnTo>
                    <a:pt x="0" y="0"/>
                  </a:lnTo>
                  <a:lnTo>
                    <a:pt x="12192" y="14720"/>
                  </a:lnTo>
                  <a:lnTo>
                    <a:pt x="28067" y="38532"/>
                  </a:lnTo>
                  <a:lnTo>
                    <a:pt x="69342" y="57582"/>
                  </a:lnTo>
                  <a:lnTo>
                    <a:pt x="113792" y="6552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58" name="AR_2">
              <a:extLst>
                <a:ext uri="{FF2B5EF4-FFF2-40B4-BE49-F238E27FC236}">
                  <a16:creationId xmlns:a16="http://schemas.microsoft.com/office/drawing/2014/main" id="{00000000-0008-0000-2700-0000EA816400}"/>
                </a:ext>
              </a:extLst>
            </xdr:cNvPr>
            <xdr:cNvSpPr/>
          </xdr:nvSpPr>
          <xdr:spPr>
            <a:xfrm>
              <a:off x="3892060" y="4364907"/>
              <a:ext cx="628242" cy="968938"/>
            </a:xfrm>
            <a:custGeom>
              <a:avLst/>
              <a:gdLst/>
              <a:ahLst/>
              <a:cxnLst/>
              <a:rect l="0" t="0" r="0" b="0"/>
              <a:pathLst>
                <a:path w="628242" h="968938">
                  <a:moveTo>
                    <a:pt x="268304" y="7734"/>
                  </a:moveTo>
                  <a:lnTo>
                    <a:pt x="286970" y="30664"/>
                  </a:lnTo>
                  <a:lnTo>
                    <a:pt x="299358" y="5121"/>
                  </a:lnTo>
                  <a:lnTo>
                    <a:pt x="335563" y="6436"/>
                  </a:lnTo>
                  <a:lnTo>
                    <a:pt x="340688" y="13230"/>
                  </a:lnTo>
                  <a:lnTo>
                    <a:pt x="399060" y="65037"/>
                  </a:lnTo>
                  <a:lnTo>
                    <a:pt x="425019" y="69866"/>
                  </a:lnTo>
                  <a:lnTo>
                    <a:pt x="463814" y="93320"/>
                  </a:lnTo>
                  <a:lnTo>
                    <a:pt x="496513" y="105727"/>
                  </a:lnTo>
                  <a:lnTo>
                    <a:pt x="501069" y="119742"/>
                  </a:lnTo>
                  <a:lnTo>
                    <a:pt x="469812" y="168002"/>
                  </a:lnTo>
                  <a:lnTo>
                    <a:pt x="501828" y="176644"/>
                  </a:lnTo>
                  <a:lnTo>
                    <a:pt x="537487" y="181489"/>
                  </a:lnTo>
                  <a:lnTo>
                    <a:pt x="562598" y="176387"/>
                  </a:lnTo>
                  <a:lnTo>
                    <a:pt x="591395" y="152066"/>
                  </a:lnTo>
                  <a:lnTo>
                    <a:pt x="596586" y="124047"/>
                  </a:lnTo>
                  <a:lnTo>
                    <a:pt x="612312" y="117961"/>
                  </a:lnTo>
                  <a:lnTo>
                    <a:pt x="628241" y="136290"/>
                  </a:lnTo>
                  <a:lnTo>
                    <a:pt x="627593" y="161646"/>
                  </a:lnTo>
                  <a:lnTo>
                    <a:pt x="600860" y="179149"/>
                  </a:lnTo>
                  <a:lnTo>
                    <a:pt x="579536" y="192075"/>
                  </a:lnTo>
                  <a:lnTo>
                    <a:pt x="543703" y="222901"/>
                  </a:lnTo>
                  <a:lnTo>
                    <a:pt x="501343" y="266192"/>
                  </a:lnTo>
                  <a:lnTo>
                    <a:pt x="493411" y="291601"/>
                  </a:lnTo>
                  <a:lnTo>
                    <a:pt x="484918" y="324237"/>
                  </a:lnTo>
                  <a:lnTo>
                    <a:pt x="485229" y="355864"/>
                  </a:lnTo>
                  <a:lnTo>
                    <a:pt x="478340" y="362931"/>
                  </a:lnTo>
                  <a:lnTo>
                    <a:pt x="475879" y="383451"/>
                  </a:lnTo>
                  <a:lnTo>
                    <a:pt x="473711" y="400025"/>
                  </a:lnTo>
                  <a:lnTo>
                    <a:pt x="514020" y="427219"/>
                  </a:lnTo>
                  <a:lnTo>
                    <a:pt x="509683" y="449107"/>
                  </a:lnTo>
                  <a:lnTo>
                    <a:pt x="529524" y="462940"/>
                  </a:lnTo>
                  <a:lnTo>
                    <a:pt x="527911" y="478450"/>
                  </a:lnTo>
                  <a:lnTo>
                    <a:pt x="497403" y="519163"/>
                  </a:lnTo>
                  <a:lnTo>
                    <a:pt x="450327" y="536191"/>
                  </a:lnTo>
                  <a:lnTo>
                    <a:pt x="386652" y="542801"/>
                  </a:lnTo>
                  <a:lnTo>
                    <a:pt x="351772" y="539604"/>
                  </a:lnTo>
                  <a:lnTo>
                    <a:pt x="358445" y="558540"/>
                  </a:lnTo>
                  <a:lnTo>
                    <a:pt x="351946" y="582304"/>
                  </a:lnTo>
                  <a:lnTo>
                    <a:pt x="357804" y="598316"/>
                  </a:lnTo>
                  <a:lnTo>
                    <a:pt x="338760" y="609489"/>
                  </a:lnTo>
                  <a:lnTo>
                    <a:pt x="306226" y="613870"/>
                  </a:lnTo>
                  <a:lnTo>
                    <a:pt x="275695" y="602310"/>
                  </a:lnTo>
                  <a:lnTo>
                    <a:pt x="263443" y="610616"/>
                  </a:lnTo>
                  <a:lnTo>
                    <a:pt x="267869" y="642166"/>
                  </a:lnTo>
                  <a:lnTo>
                    <a:pt x="289306" y="651723"/>
                  </a:lnTo>
                  <a:lnTo>
                    <a:pt x="306690" y="641712"/>
                  </a:lnTo>
                  <a:lnTo>
                    <a:pt x="316145" y="658203"/>
                  </a:lnTo>
                  <a:lnTo>
                    <a:pt x="286913" y="668061"/>
                  </a:lnTo>
                  <a:lnTo>
                    <a:pt x="261417" y="687803"/>
                  </a:lnTo>
                  <a:lnTo>
                    <a:pt x="256750" y="719744"/>
                  </a:lnTo>
                  <a:lnTo>
                    <a:pt x="249241" y="736743"/>
                  </a:lnTo>
                  <a:lnTo>
                    <a:pt x="219247" y="736832"/>
                  </a:lnTo>
                  <a:lnTo>
                    <a:pt x="194361" y="753097"/>
                  </a:lnTo>
                  <a:lnTo>
                    <a:pt x="185258" y="776907"/>
                  </a:lnTo>
                  <a:lnTo>
                    <a:pt x="216482" y="800151"/>
                  </a:lnTo>
                  <a:lnTo>
                    <a:pt x="246838" y="806571"/>
                  </a:lnTo>
                  <a:lnTo>
                    <a:pt x="235913" y="835057"/>
                  </a:lnTo>
                  <a:lnTo>
                    <a:pt x="198413" y="852964"/>
                  </a:lnTo>
                  <a:lnTo>
                    <a:pt x="177778" y="890187"/>
                  </a:lnTo>
                  <a:lnTo>
                    <a:pt x="148803" y="902713"/>
                  </a:lnTo>
                  <a:lnTo>
                    <a:pt x="135792" y="917581"/>
                  </a:lnTo>
                  <a:lnTo>
                    <a:pt x="146044" y="950557"/>
                  </a:lnTo>
                  <a:lnTo>
                    <a:pt x="167177" y="968937"/>
                  </a:lnTo>
                  <a:lnTo>
                    <a:pt x="153794" y="967330"/>
                  </a:lnTo>
                  <a:lnTo>
                    <a:pt x="124365" y="962358"/>
                  </a:lnTo>
                  <a:lnTo>
                    <a:pt x="47645" y="958110"/>
                  </a:lnTo>
                  <a:lnTo>
                    <a:pt x="34481" y="939600"/>
                  </a:lnTo>
                  <a:lnTo>
                    <a:pt x="35097" y="915819"/>
                  </a:lnTo>
                  <a:lnTo>
                    <a:pt x="13961" y="917867"/>
                  </a:lnTo>
                  <a:lnTo>
                    <a:pt x="2772" y="906351"/>
                  </a:lnTo>
                  <a:lnTo>
                    <a:pt x="0" y="872684"/>
                  </a:lnTo>
                  <a:lnTo>
                    <a:pt x="24359" y="858720"/>
                  </a:lnTo>
                  <a:lnTo>
                    <a:pt x="34424" y="838578"/>
                  </a:lnTo>
                  <a:lnTo>
                    <a:pt x="30735" y="822522"/>
                  </a:lnTo>
                  <a:lnTo>
                    <a:pt x="47565" y="795417"/>
                  </a:lnTo>
                  <a:lnTo>
                    <a:pt x="59163" y="753377"/>
                  </a:lnTo>
                  <a:lnTo>
                    <a:pt x="55757" y="734739"/>
                  </a:lnTo>
                  <a:lnTo>
                    <a:pt x="69616" y="728723"/>
                  </a:lnTo>
                  <a:lnTo>
                    <a:pt x="66218" y="716763"/>
                  </a:lnTo>
                  <a:lnTo>
                    <a:pt x="51493" y="710403"/>
                  </a:lnTo>
                  <a:lnTo>
                    <a:pt x="61954" y="697081"/>
                  </a:lnTo>
                  <a:lnTo>
                    <a:pt x="47625" y="685047"/>
                  </a:lnTo>
                  <a:lnTo>
                    <a:pt x="40212" y="648418"/>
                  </a:lnTo>
                  <a:lnTo>
                    <a:pt x="52979" y="641956"/>
                  </a:lnTo>
                  <a:lnTo>
                    <a:pt x="47616" y="603250"/>
                  </a:lnTo>
                  <a:lnTo>
                    <a:pt x="55074" y="570735"/>
                  </a:lnTo>
                  <a:lnTo>
                    <a:pt x="63561" y="542407"/>
                  </a:lnTo>
                  <a:lnTo>
                    <a:pt x="82573" y="530882"/>
                  </a:lnTo>
                  <a:lnTo>
                    <a:pt x="72924" y="499888"/>
                  </a:lnTo>
                  <a:lnTo>
                    <a:pt x="72819" y="470719"/>
                  </a:lnTo>
                  <a:lnTo>
                    <a:pt x="96857" y="449986"/>
                  </a:lnTo>
                  <a:lnTo>
                    <a:pt x="96120" y="423462"/>
                  </a:lnTo>
                  <a:lnTo>
                    <a:pt x="114240" y="392471"/>
                  </a:lnTo>
                  <a:lnTo>
                    <a:pt x="114320" y="363271"/>
                  </a:lnTo>
                  <a:lnTo>
                    <a:pt x="106077" y="357470"/>
                  </a:lnTo>
                  <a:lnTo>
                    <a:pt x="91450" y="302663"/>
                  </a:lnTo>
                  <a:lnTo>
                    <a:pt x="111011" y="270002"/>
                  </a:lnTo>
                  <a:lnTo>
                    <a:pt x="108008" y="239255"/>
                  </a:lnTo>
                  <a:lnTo>
                    <a:pt x="119358" y="210401"/>
                  </a:lnTo>
                  <a:lnTo>
                    <a:pt x="140152" y="180622"/>
                  </a:lnTo>
                  <a:lnTo>
                    <a:pt x="162558" y="160877"/>
                  </a:lnTo>
                  <a:lnTo>
                    <a:pt x="153055" y="148419"/>
                  </a:lnTo>
                  <a:lnTo>
                    <a:pt x="159684" y="138198"/>
                  </a:lnTo>
                  <a:lnTo>
                    <a:pt x="158678" y="85290"/>
                  </a:lnTo>
                  <a:lnTo>
                    <a:pt x="193263" y="69628"/>
                  </a:lnTo>
                  <a:lnTo>
                    <a:pt x="204159" y="36639"/>
                  </a:lnTo>
                  <a:lnTo>
                    <a:pt x="200302" y="28689"/>
                  </a:lnTo>
                  <a:lnTo>
                    <a:pt x="226762"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6585532" name="ARM">
            <a:extLst>
              <a:ext uri="{FF2B5EF4-FFF2-40B4-BE49-F238E27FC236}">
                <a16:creationId xmlns:a16="http://schemas.microsoft.com/office/drawing/2014/main" id="{00000000-0008-0000-2700-0000BC7C6400}"/>
              </a:ext>
            </a:extLst>
          </xdr:cNvPr>
          <xdr:cNvSpPr/>
        </xdr:nvSpPr>
        <xdr:spPr>
          <a:xfrm>
            <a:off x="7714265" y="2108104"/>
            <a:ext cx="92883" cy="79595"/>
          </a:xfrm>
          <a:custGeom>
            <a:avLst/>
            <a:gdLst/>
            <a:ahLst/>
            <a:cxnLst/>
            <a:rect l="0" t="0" r="0" b="0"/>
            <a:pathLst>
              <a:path w="92806" h="79595">
                <a:moveTo>
                  <a:pt x="0" y="4953"/>
                </a:moveTo>
                <a:lnTo>
                  <a:pt x="44127" y="0"/>
                </a:lnTo>
                <a:lnTo>
                  <a:pt x="50698" y="8341"/>
                </a:lnTo>
                <a:lnTo>
                  <a:pt x="62792" y="13837"/>
                </a:lnTo>
                <a:lnTo>
                  <a:pt x="56404" y="21800"/>
                </a:lnTo>
                <a:lnTo>
                  <a:pt x="73317" y="32690"/>
                </a:lnTo>
                <a:lnTo>
                  <a:pt x="64367" y="42802"/>
                </a:lnTo>
                <a:lnTo>
                  <a:pt x="77845" y="51438"/>
                </a:lnTo>
                <a:lnTo>
                  <a:pt x="92101" y="56639"/>
                </a:lnTo>
                <a:lnTo>
                  <a:pt x="92805" y="78661"/>
                </a:lnTo>
                <a:lnTo>
                  <a:pt x="81309" y="79594"/>
                </a:lnTo>
                <a:lnTo>
                  <a:pt x="68348" y="61227"/>
                </a:lnTo>
                <a:lnTo>
                  <a:pt x="68494" y="56328"/>
                </a:lnTo>
                <a:lnTo>
                  <a:pt x="54464" y="56398"/>
                </a:lnTo>
                <a:lnTo>
                  <a:pt x="45063" y="47883"/>
                </a:lnTo>
                <a:lnTo>
                  <a:pt x="38459" y="48740"/>
                </a:lnTo>
                <a:lnTo>
                  <a:pt x="25950" y="39469"/>
                </a:lnTo>
                <a:lnTo>
                  <a:pt x="2340" y="31576"/>
                </a:lnTo>
                <a:lnTo>
                  <a:pt x="5398" y="16126"/>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533" name="AUT">
            <a:extLst>
              <a:ext uri="{FF2B5EF4-FFF2-40B4-BE49-F238E27FC236}">
                <a16:creationId xmlns:a16="http://schemas.microsoft.com/office/drawing/2014/main" id="{00000000-0008-0000-2700-0000BD7C6400}"/>
              </a:ext>
            </a:extLst>
          </xdr:cNvPr>
          <xdr:cNvSpPr/>
        </xdr:nvSpPr>
        <xdr:spPr>
          <a:xfrm>
            <a:off x="6630603" y="1860740"/>
            <a:ext cx="238314" cy="82783"/>
          </a:xfrm>
          <a:custGeom>
            <a:avLst/>
            <a:gdLst/>
            <a:ahLst/>
            <a:cxnLst/>
            <a:rect l="0" t="0" r="0" b="0"/>
            <a:pathLst>
              <a:path w="238116" h="82783">
                <a:moveTo>
                  <a:pt x="238115" y="29070"/>
                </a:moveTo>
                <a:lnTo>
                  <a:pt x="235705" y="42043"/>
                </a:lnTo>
                <a:lnTo>
                  <a:pt x="217824" y="42107"/>
                </a:lnTo>
                <a:lnTo>
                  <a:pt x="223974" y="48987"/>
                </a:lnTo>
                <a:lnTo>
                  <a:pt x="213432" y="69428"/>
                </a:lnTo>
                <a:lnTo>
                  <a:pt x="207381" y="74787"/>
                </a:lnTo>
                <a:lnTo>
                  <a:pt x="179613" y="75578"/>
                </a:lnTo>
                <a:lnTo>
                  <a:pt x="163591" y="82782"/>
                </a:lnTo>
                <a:lnTo>
                  <a:pt x="137366" y="80321"/>
                </a:lnTo>
                <a:lnTo>
                  <a:pt x="91963" y="72120"/>
                </a:lnTo>
                <a:lnTo>
                  <a:pt x="84870" y="61077"/>
                </a:lnTo>
                <a:lnTo>
                  <a:pt x="53492" y="66596"/>
                </a:lnTo>
                <a:lnTo>
                  <a:pt x="49803" y="72635"/>
                </a:lnTo>
                <a:lnTo>
                  <a:pt x="30565" y="68123"/>
                </a:lnTo>
                <a:lnTo>
                  <a:pt x="14363" y="67259"/>
                </a:lnTo>
                <a:lnTo>
                  <a:pt x="0" y="61477"/>
                </a:lnTo>
                <a:lnTo>
                  <a:pt x="4854" y="53705"/>
                </a:lnTo>
                <a:lnTo>
                  <a:pt x="3625" y="48070"/>
                </a:lnTo>
                <a:lnTo>
                  <a:pt x="13210" y="46320"/>
                </a:lnTo>
                <a:lnTo>
                  <a:pt x="29276" y="55137"/>
                </a:lnTo>
                <a:lnTo>
                  <a:pt x="33798" y="46758"/>
                </a:lnTo>
                <a:lnTo>
                  <a:pt x="61797" y="48111"/>
                </a:lnTo>
                <a:lnTo>
                  <a:pt x="84499" y="42418"/>
                </a:lnTo>
                <a:lnTo>
                  <a:pt x="99720" y="43393"/>
                </a:lnTo>
                <a:lnTo>
                  <a:pt x="109619" y="49895"/>
                </a:lnTo>
                <a:lnTo>
                  <a:pt x="112582" y="44498"/>
                </a:lnTo>
                <a:lnTo>
                  <a:pt x="108080" y="23812"/>
                </a:lnTo>
                <a:lnTo>
                  <a:pt x="119488" y="19780"/>
                </a:lnTo>
                <a:lnTo>
                  <a:pt x="130679" y="5140"/>
                </a:lnTo>
                <a:lnTo>
                  <a:pt x="154269" y="15361"/>
                </a:lnTo>
                <a:lnTo>
                  <a:pt x="172129" y="2372"/>
                </a:lnTo>
                <a:lnTo>
                  <a:pt x="183305" y="0"/>
                </a:lnTo>
                <a:lnTo>
                  <a:pt x="207949" y="9690"/>
                </a:lnTo>
                <a:lnTo>
                  <a:pt x="222862" y="8042"/>
                </a:lnTo>
                <a:lnTo>
                  <a:pt x="237499" y="14037"/>
                </a:lnTo>
                <a:lnTo>
                  <a:pt x="234950" y="1806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6585534" name="AZE">
            <a:extLst>
              <a:ext uri="{FF2B5EF4-FFF2-40B4-BE49-F238E27FC236}">
                <a16:creationId xmlns:a16="http://schemas.microsoft.com/office/drawing/2014/main" id="{00000000-0008-0000-2700-0000BE7C6400}"/>
              </a:ext>
            </a:extLst>
          </xdr:cNvPr>
          <xdr:cNvGrpSpPr/>
        </xdr:nvGrpSpPr>
        <xdr:grpSpPr>
          <a:xfrm>
            <a:off x="7752756" y="2088654"/>
            <a:ext cx="177911" cy="113993"/>
            <a:chOff x="7645209" y="2342654"/>
            <a:chExt cx="177763" cy="113993"/>
          </a:xfrm>
          <a:grpFill/>
        </xdr:grpSpPr>
        <xdr:sp macro="" textlink="">
          <xdr:nvSpPr>
            <xdr:cNvPr id="6586855" name="AZ_1">
              <a:extLst>
                <a:ext uri="{FF2B5EF4-FFF2-40B4-BE49-F238E27FC236}">
                  <a16:creationId xmlns:a16="http://schemas.microsoft.com/office/drawing/2014/main" id="{00000000-0008-0000-2700-0000E7816400}"/>
                </a:ext>
              </a:extLst>
            </xdr:cNvPr>
            <xdr:cNvSpPr/>
          </xdr:nvSpPr>
          <xdr:spPr>
            <a:xfrm>
              <a:off x="7645209" y="2409987"/>
              <a:ext cx="42851" cy="31712"/>
            </a:xfrm>
            <a:custGeom>
              <a:avLst/>
              <a:gdLst/>
              <a:ahLst/>
              <a:cxnLst/>
              <a:rect l="0" t="0" r="0" b="0"/>
              <a:pathLst>
                <a:path w="42851" h="31712">
                  <a:moveTo>
                    <a:pt x="6604" y="0"/>
                  </a:moveTo>
                  <a:lnTo>
                    <a:pt x="16005" y="8515"/>
                  </a:lnTo>
                  <a:lnTo>
                    <a:pt x="30035" y="8445"/>
                  </a:lnTo>
                  <a:lnTo>
                    <a:pt x="29889" y="13344"/>
                  </a:lnTo>
                  <a:lnTo>
                    <a:pt x="42850" y="31711"/>
                  </a:lnTo>
                  <a:lnTo>
                    <a:pt x="21072" y="27492"/>
                  </a:lnTo>
                  <a:lnTo>
                    <a:pt x="5039" y="12833"/>
                  </a:lnTo>
                  <a:lnTo>
                    <a:pt x="0" y="85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56" name="AZ_2">
              <a:extLst>
                <a:ext uri="{FF2B5EF4-FFF2-40B4-BE49-F238E27FC236}">
                  <a16:creationId xmlns:a16="http://schemas.microsoft.com/office/drawing/2014/main" id="{00000000-0008-0000-2700-0000E8816400}"/>
                </a:ext>
              </a:extLst>
            </xdr:cNvPr>
            <xdr:cNvSpPr/>
          </xdr:nvSpPr>
          <xdr:spPr>
            <a:xfrm>
              <a:off x="7650877" y="2342654"/>
              <a:ext cx="172095" cy="113993"/>
            </a:xfrm>
            <a:custGeom>
              <a:avLst/>
              <a:gdLst/>
              <a:ahLst/>
              <a:cxnLst/>
              <a:rect l="0" t="0" r="0" b="0"/>
              <a:pathLst>
                <a:path w="172095" h="113993">
                  <a:moveTo>
                    <a:pt x="76224" y="20352"/>
                  </a:moveTo>
                  <a:lnTo>
                    <a:pt x="90271" y="22521"/>
                  </a:lnTo>
                  <a:lnTo>
                    <a:pt x="95719" y="14443"/>
                  </a:lnTo>
                  <a:lnTo>
                    <a:pt x="114677" y="1645"/>
                  </a:lnTo>
                  <a:lnTo>
                    <a:pt x="131375" y="18364"/>
                  </a:lnTo>
                  <a:lnTo>
                    <a:pt x="147522" y="40888"/>
                  </a:lnTo>
                  <a:lnTo>
                    <a:pt x="162315" y="42371"/>
                  </a:lnTo>
                  <a:lnTo>
                    <a:pt x="172094" y="50930"/>
                  </a:lnTo>
                  <a:lnTo>
                    <a:pt x="145944" y="53486"/>
                  </a:lnTo>
                  <a:lnTo>
                    <a:pt x="140423" y="78143"/>
                  </a:lnTo>
                  <a:lnTo>
                    <a:pt x="134959" y="89265"/>
                  </a:lnTo>
                  <a:lnTo>
                    <a:pt x="123316" y="96685"/>
                  </a:lnTo>
                  <a:lnTo>
                    <a:pt x="124164" y="112411"/>
                  </a:lnTo>
                  <a:lnTo>
                    <a:pt x="116265" y="113992"/>
                  </a:lnTo>
                  <a:lnTo>
                    <a:pt x="96462" y="97368"/>
                  </a:lnTo>
                  <a:lnTo>
                    <a:pt x="107409" y="81658"/>
                  </a:lnTo>
                  <a:lnTo>
                    <a:pt x="98031" y="72343"/>
                  </a:lnTo>
                  <a:lnTo>
                    <a:pt x="86125" y="74686"/>
                  </a:lnTo>
                  <a:lnTo>
                    <a:pt x="48678" y="98111"/>
                  </a:lnTo>
                  <a:lnTo>
                    <a:pt x="47974" y="76089"/>
                  </a:lnTo>
                  <a:lnTo>
                    <a:pt x="33718" y="70888"/>
                  </a:lnTo>
                  <a:lnTo>
                    <a:pt x="20240" y="62252"/>
                  </a:lnTo>
                  <a:lnTo>
                    <a:pt x="29190" y="52140"/>
                  </a:lnTo>
                  <a:lnTo>
                    <a:pt x="12277" y="41250"/>
                  </a:lnTo>
                  <a:lnTo>
                    <a:pt x="18665" y="33287"/>
                  </a:lnTo>
                  <a:lnTo>
                    <a:pt x="6571" y="27791"/>
                  </a:lnTo>
                  <a:lnTo>
                    <a:pt x="0" y="19450"/>
                  </a:lnTo>
                  <a:lnTo>
                    <a:pt x="7775" y="14262"/>
                  </a:lnTo>
                  <a:lnTo>
                    <a:pt x="31435" y="23394"/>
                  </a:lnTo>
                  <a:lnTo>
                    <a:pt x="48549" y="25283"/>
                  </a:lnTo>
                  <a:lnTo>
                    <a:pt x="52876" y="21558"/>
                  </a:lnTo>
                  <a:lnTo>
                    <a:pt x="37239" y="4379"/>
                  </a:lnTo>
                  <a:lnTo>
                    <a:pt x="45481" y="0"/>
                  </a:lnTo>
                  <a:lnTo>
                    <a:pt x="54406" y="106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nvGrpSpPr>
          <xdr:cNvPr id="6585535" name="BHS">
            <a:extLst>
              <a:ext uri="{FF2B5EF4-FFF2-40B4-BE49-F238E27FC236}">
                <a16:creationId xmlns:a16="http://schemas.microsoft.com/office/drawing/2014/main" id="{00000000-0008-0000-2700-0000BF7C6400}"/>
              </a:ext>
            </a:extLst>
          </xdr:cNvPr>
          <xdr:cNvGrpSpPr/>
        </xdr:nvGrpSpPr>
        <xdr:grpSpPr>
          <a:xfrm>
            <a:off x="3819657" y="2559212"/>
            <a:ext cx="62919" cy="105728"/>
            <a:chOff x="3715384" y="2813212"/>
            <a:chExt cx="62867" cy="105728"/>
          </a:xfrm>
          <a:grpFill/>
        </xdr:grpSpPr>
        <xdr:sp macro="" textlink="">
          <xdr:nvSpPr>
            <xdr:cNvPr id="6586852" name="BS_1">
              <a:extLst>
                <a:ext uri="{FF2B5EF4-FFF2-40B4-BE49-F238E27FC236}">
                  <a16:creationId xmlns:a16="http://schemas.microsoft.com/office/drawing/2014/main" id="{00000000-0008-0000-2700-0000E4816400}"/>
                </a:ext>
              </a:extLst>
            </xdr:cNvPr>
            <xdr:cNvSpPr/>
          </xdr:nvSpPr>
          <xdr:spPr>
            <a:xfrm>
              <a:off x="3733530" y="2871304"/>
              <a:ext cx="27744" cy="47636"/>
            </a:xfrm>
            <a:custGeom>
              <a:avLst/>
              <a:gdLst/>
              <a:ahLst/>
              <a:cxnLst/>
              <a:rect l="0" t="0" r="0" b="0"/>
              <a:pathLst>
                <a:path w="27744" h="47636">
                  <a:moveTo>
                    <a:pt x="27743" y="46054"/>
                  </a:moveTo>
                  <a:lnTo>
                    <a:pt x="19954" y="47635"/>
                  </a:lnTo>
                  <a:lnTo>
                    <a:pt x="11890" y="29344"/>
                  </a:lnTo>
                  <a:lnTo>
                    <a:pt x="0" y="20152"/>
                  </a:lnTo>
                  <a:lnTo>
                    <a:pt x="6908" y="0"/>
                  </a:lnTo>
                  <a:lnTo>
                    <a:pt x="16462" y="1280"/>
                  </a:lnTo>
                  <a:lnTo>
                    <a:pt x="27574" y="2763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53" name="BS_2">
              <a:extLst>
                <a:ext uri="{FF2B5EF4-FFF2-40B4-BE49-F238E27FC236}">
                  <a16:creationId xmlns:a16="http://schemas.microsoft.com/office/drawing/2014/main" id="{00000000-0008-0000-2700-0000E5816400}"/>
                </a:ext>
              </a:extLst>
            </xdr:cNvPr>
            <xdr:cNvSpPr/>
          </xdr:nvSpPr>
          <xdr:spPr>
            <a:xfrm>
              <a:off x="3715384" y="2818609"/>
              <a:ext cx="36832" cy="14288"/>
            </a:xfrm>
            <a:custGeom>
              <a:avLst/>
              <a:gdLst/>
              <a:ahLst/>
              <a:cxnLst/>
              <a:rect l="0" t="0" r="0" b="0"/>
              <a:pathLst>
                <a:path w="36832" h="14288">
                  <a:moveTo>
                    <a:pt x="36831" y="9207"/>
                  </a:moveTo>
                  <a:lnTo>
                    <a:pt x="2223" y="14287"/>
                  </a:lnTo>
                  <a:lnTo>
                    <a:pt x="0" y="2540"/>
                  </a:lnTo>
                  <a:lnTo>
                    <a:pt x="14923" y="0"/>
                  </a:lnTo>
                  <a:lnTo>
                    <a:pt x="35878" y="95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54" name="BS_3">
              <a:extLst>
                <a:ext uri="{FF2B5EF4-FFF2-40B4-BE49-F238E27FC236}">
                  <a16:creationId xmlns:a16="http://schemas.microsoft.com/office/drawing/2014/main" id="{00000000-0008-0000-2700-0000E6816400}"/>
                </a:ext>
              </a:extLst>
            </xdr:cNvPr>
            <xdr:cNvSpPr/>
          </xdr:nvSpPr>
          <xdr:spPr>
            <a:xfrm>
              <a:off x="3753167" y="2813212"/>
              <a:ext cx="25084" cy="36856"/>
            </a:xfrm>
            <a:custGeom>
              <a:avLst/>
              <a:gdLst/>
              <a:ahLst/>
              <a:cxnLst/>
              <a:rect l="0" t="0" r="0" b="0"/>
              <a:pathLst>
                <a:path w="25084" h="36856">
                  <a:moveTo>
                    <a:pt x="25083" y="14287"/>
                  </a:moveTo>
                  <a:lnTo>
                    <a:pt x="19603" y="36855"/>
                  </a:lnTo>
                  <a:lnTo>
                    <a:pt x="13767" y="32788"/>
                  </a:lnTo>
                  <a:lnTo>
                    <a:pt x="14287" y="16192"/>
                  </a:lnTo>
                  <a:lnTo>
                    <a:pt x="63" y="3644"/>
                  </a:lnTo>
                  <a:lnTo>
                    <a:pt x="0"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6586432" name="BGD">
            <a:extLst>
              <a:ext uri="{FF2B5EF4-FFF2-40B4-BE49-F238E27FC236}">
                <a16:creationId xmlns:a16="http://schemas.microsoft.com/office/drawing/2014/main" id="{00000000-0008-0000-2700-000040806400}"/>
              </a:ext>
            </a:extLst>
          </xdr:cNvPr>
          <xdr:cNvSpPr/>
        </xdr:nvSpPr>
        <xdr:spPr>
          <a:xfrm>
            <a:off x="9128371" y="2578055"/>
            <a:ext cx="145801" cy="183376"/>
          </a:xfrm>
          <a:custGeom>
            <a:avLst/>
            <a:gdLst/>
            <a:ahLst/>
            <a:cxnLst/>
            <a:rect l="0" t="0" r="0" b="0"/>
            <a:pathLst>
              <a:path w="145680" h="183376">
                <a:moveTo>
                  <a:pt x="145679" y="139868"/>
                </a:moveTo>
                <a:lnTo>
                  <a:pt x="145031" y="162639"/>
                </a:lnTo>
                <a:lnTo>
                  <a:pt x="133947" y="157829"/>
                </a:lnTo>
                <a:lnTo>
                  <a:pt x="136024" y="183375"/>
                </a:lnTo>
                <a:lnTo>
                  <a:pt x="126953" y="166824"/>
                </a:lnTo>
                <a:lnTo>
                  <a:pt x="125120" y="150651"/>
                </a:lnTo>
                <a:lnTo>
                  <a:pt x="119079" y="135369"/>
                </a:lnTo>
                <a:lnTo>
                  <a:pt x="105813" y="116888"/>
                </a:lnTo>
                <a:lnTo>
                  <a:pt x="76568" y="115618"/>
                </a:lnTo>
                <a:lnTo>
                  <a:pt x="79458" y="128705"/>
                </a:lnTo>
                <a:lnTo>
                  <a:pt x="69488" y="146371"/>
                </a:lnTo>
                <a:lnTo>
                  <a:pt x="55979" y="139935"/>
                </a:lnTo>
                <a:lnTo>
                  <a:pt x="51359" y="145714"/>
                </a:lnTo>
                <a:lnTo>
                  <a:pt x="42370" y="142250"/>
                </a:lnTo>
                <a:lnTo>
                  <a:pt x="30087" y="139408"/>
                </a:lnTo>
                <a:lnTo>
                  <a:pt x="25143" y="113265"/>
                </a:lnTo>
                <a:lnTo>
                  <a:pt x="14142" y="89389"/>
                </a:lnTo>
                <a:lnTo>
                  <a:pt x="19542" y="70256"/>
                </a:lnTo>
                <a:lnTo>
                  <a:pt x="0" y="61748"/>
                </a:lnTo>
                <a:lnTo>
                  <a:pt x="7049" y="50178"/>
                </a:lnTo>
                <a:lnTo>
                  <a:pt x="26899" y="38348"/>
                </a:lnTo>
                <a:lnTo>
                  <a:pt x="3981" y="21539"/>
                </a:lnTo>
                <a:lnTo>
                  <a:pt x="15195" y="0"/>
                </a:lnTo>
                <a:lnTo>
                  <a:pt x="40345" y="13719"/>
                </a:lnTo>
                <a:lnTo>
                  <a:pt x="55502" y="15284"/>
                </a:lnTo>
                <a:lnTo>
                  <a:pt x="58303" y="37364"/>
                </a:lnTo>
                <a:lnTo>
                  <a:pt x="88513" y="41716"/>
                </a:lnTo>
                <a:lnTo>
                  <a:pt x="117958" y="41246"/>
                </a:lnTo>
                <a:lnTo>
                  <a:pt x="136265" y="46666"/>
                </a:lnTo>
                <a:lnTo>
                  <a:pt x="121625" y="73536"/>
                </a:lnTo>
                <a:lnTo>
                  <a:pt x="107420" y="75371"/>
                </a:lnTo>
                <a:lnTo>
                  <a:pt x="97619" y="93440"/>
                </a:lnTo>
                <a:lnTo>
                  <a:pt x="115002" y="109893"/>
                </a:lnTo>
                <a:lnTo>
                  <a:pt x="120190" y="89605"/>
                </a:lnTo>
                <a:lnTo>
                  <a:pt x="128956" y="8950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433" name="BLZ">
            <a:extLst>
              <a:ext uri="{FF2B5EF4-FFF2-40B4-BE49-F238E27FC236}">
                <a16:creationId xmlns:a16="http://schemas.microsoft.com/office/drawing/2014/main" id="{00000000-0008-0000-2700-000041806400}"/>
              </a:ext>
            </a:extLst>
          </xdr:cNvPr>
          <xdr:cNvSpPr/>
        </xdr:nvSpPr>
        <xdr:spPr>
          <a:xfrm>
            <a:off x="3493977" y="2830356"/>
            <a:ext cx="35664" cy="82967"/>
          </a:xfrm>
          <a:custGeom>
            <a:avLst/>
            <a:gdLst/>
            <a:ahLst/>
            <a:cxnLst/>
            <a:rect l="0" t="0" r="0" b="0"/>
            <a:pathLst>
              <a:path w="35634" h="82967">
                <a:moveTo>
                  <a:pt x="2730" y="21962"/>
                </a:moveTo>
                <a:lnTo>
                  <a:pt x="2482" y="17288"/>
                </a:lnTo>
                <a:lnTo>
                  <a:pt x="6324" y="15828"/>
                </a:lnTo>
                <a:lnTo>
                  <a:pt x="12090" y="19584"/>
                </a:lnTo>
                <a:lnTo>
                  <a:pt x="23463" y="420"/>
                </a:lnTo>
                <a:lnTo>
                  <a:pt x="29499" y="0"/>
                </a:lnTo>
                <a:lnTo>
                  <a:pt x="29616" y="4658"/>
                </a:lnTo>
                <a:lnTo>
                  <a:pt x="35633" y="4804"/>
                </a:lnTo>
                <a:lnTo>
                  <a:pt x="35102" y="13440"/>
                </a:lnTo>
                <a:lnTo>
                  <a:pt x="29962" y="27175"/>
                </a:lnTo>
                <a:lnTo>
                  <a:pt x="32740" y="32084"/>
                </a:lnTo>
                <a:lnTo>
                  <a:pt x="29416" y="43444"/>
                </a:lnTo>
                <a:lnTo>
                  <a:pt x="31419" y="46479"/>
                </a:lnTo>
                <a:lnTo>
                  <a:pt x="27740" y="62523"/>
                </a:lnTo>
                <a:lnTo>
                  <a:pt x="21504" y="70946"/>
                </a:lnTo>
                <a:lnTo>
                  <a:pt x="15770" y="71959"/>
                </a:lnTo>
                <a:lnTo>
                  <a:pt x="9477" y="82954"/>
                </a:lnTo>
                <a:lnTo>
                  <a:pt x="0" y="82966"/>
                </a:lnTo>
                <a:lnTo>
                  <a:pt x="2485" y="4713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434" name="BEN">
            <a:extLst>
              <a:ext uri="{FF2B5EF4-FFF2-40B4-BE49-F238E27FC236}">
                <a16:creationId xmlns:a16="http://schemas.microsoft.com/office/drawing/2014/main" id="{00000000-0008-0000-2700-000042806400}"/>
              </a:ext>
            </a:extLst>
          </xdr:cNvPr>
          <xdr:cNvSpPr/>
        </xdr:nvSpPr>
        <xdr:spPr>
          <a:xfrm>
            <a:off x="6353902" y="3029251"/>
            <a:ext cx="96118" cy="193467"/>
          </a:xfrm>
          <a:custGeom>
            <a:avLst/>
            <a:gdLst/>
            <a:ahLst/>
            <a:cxnLst/>
            <a:rect l="0" t="0" r="0" b="0"/>
            <a:pathLst>
              <a:path w="96038" h="193467">
                <a:moveTo>
                  <a:pt x="60941" y="189764"/>
                </a:moveTo>
                <a:lnTo>
                  <a:pt x="34700" y="193466"/>
                </a:lnTo>
                <a:lnTo>
                  <a:pt x="26883" y="171564"/>
                </a:lnTo>
                <a:lnTo>
                  <a:pt x="28327" y="98647"/>
                </a:lnTo>
                <a:lnTo>
                  <a:pt x="21930" y="92107"/>
                </a:lnTo>
                <a:lnTo>
                  <a:pt x="20726" y="76524"/>
                </a:lnTo>
                <a:lnTo>
                  <a:pt x="9700" y="65405"/>
                </a:lnTo>
                <a:lnTo>
                  <a:pt x="0" y="56033"/>
                </a:lnTo>
                <a:lnTo>
                  <a:pt x="4042" y="39316"/>
                </a:lnTo>
                <a:lnTo>
                  <a:pt x="14961" y="35722"/>
                </a:lnTo>
                <a:lnTo>
                  <a:pt x="21428" y="21841"/>
                </a:lnTo>
                <a:lnTo>
                  <a:pt x="36947" y="18872"/>
                </a:lnTo>
                <a:lnTo>
                  <a:pt x="43885" y="9379"/>
                </a:lnTo>
                <a:lnTo>
                  <a:pt x="54543" y="79"/>
                </a:lnTo>
                <a:lnTo>
                  <a:pt x="65922" y="0"/>
                </a:lnTo>
                <a:lnTo>
                  <a:pt x="90135" y="18269"/>
                </a:lnTo>
                <a:lnTo>
                  <a:pt x="88897" y="28820"/>
                </a:lnTo>
                <a:lnTo>
                  <a:pt x="96037" y="47654"/>
                </a:lnTo>
                <a:lnTo>
                  <a:pt x="89783" y="60433"/>
                </a:lnTo>
                <a:lnTo>
                  <a:pt x="93126" y="68974"/>
                </a:lnTo>
                <a:lnTo>
                  <a:pt x="77727" y="88627"/>
                </a:lnTo>
                <a:lnTo>
                  <a:pt x="67945" y="98361"/>
                </a:lnTo>
                <a:lnTo>
                  <a:pt x="61960" y="118390"/>
                </a:lnTo>
                <a:lnTo>
                  <a:pt x="62763" y="138586"/>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435" name="BTN">
            <a:extLst>
              <a:ext uri="{FF2B5EF4-FFF2-40B4-BE49-F238E27FC236}">
                <a16:creationId xmlns:a16="http://schemas.microsoft.com/office/drawing/2014/main" id="{00000000-0008-0000-2700-000043806400}"/>
              </a:ext>
            </a:extLst>
          </xdr:cNvPr>
          <xdr:cNvSpPr/>
        </xdr:nvSpPr>
        <xdr:spPr>
          <a:xfrm>
            <a:off x="9151563" y="2519321"/>
            <a:ext cx="104529" cy="50071"/>
          </a:xfrm>
          <a:custGeom>
            <a:avLst/>
            <a:gdLst/>
            <a:ahLst/>
            <a:cxnLst/>
            <a:rect l="0" t="0" r="0" b="0"/>
            <a:pathLst>
              <a:path w="104442" h="50071">
                <a:moveTo>
                  <a:pt x="91519" y="16659"/>
                </a:moveTo>
                <a:lnTo>
                  <a:pt x="104441" y="26790"/>
                </a:lnTo>
                <a:lnTo>
                  <a:pt x="102212" y="46294"/>
                </a:lnTo>
                <a:lnTo>
                  <a:pt x="76304" y="47237"/>
                </a:lnTo>
                <a:lnTo>
                  <a:pt x="49500" y="45107"/>
                </a:lnTo>
                <a:lnTo>
                  <a:pt x="29537" y="50070"/>
                </a:lnTo>
                <a:lnTo>
                  <a:pt x="679" y="38017"/>
                </a:lnTo>
                <a:lnTo>
                  <a:pt x="0" y="31658"/>
                </a:lnTo>
                <a:lnTo>
                  <a:pt x="21005" y="8052"/>
                </a:lnTo>
                <a:lnTo>
                  <a:pt x="38150" y="0"/>
                </a:lnTo>
                <a:lnTo>
                  <a:pt x="60842" y="7347"/>
                </a:lnTo>
                <a:lnTo>
                  <a:pt x="77619" y="8121"/>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436" name="BOL">
            <a:extLst>
              <a:ext uri="{FF2B5EF4-FFF2-40B4-BE49-F238E27FC236}">
                <a16:creationId xmlns:a16="http://schemas.microsoft.com/office/drawing/2014/main" id="{00000000-0008-0000-2700-000044806400}"/>
              </a:ext>
            </a:extLst>
          </xdr:cNvPr>
          <xdr:cNvSpPr/>
        </xdr:nvSpPr>
        <xdr:spPr>
          <a:xfrm>
            <a:off x="4118025" y="3727675"/>
            <a:ext cx="384242" cy="416272"/>
          </a:xfrm>
          <a:custGeom>
            <a:avLst/>
            <a:gdLst/>
            <a:ahLst/>
            <a:cxnLst/>
            <a:rect l="0" t="0" r="0" b="0"/>
            <a:pathLst>
              <a:path w="383922" h="416272">
                <a:moveTo>
                  <a:pt x="214119" y="389668"/>
                </a:moveTo>
                <a:lnTo>
                  <a:pt x="177914" y="388353"/>
                </a:lnTo>
                <a:lnTo>
                  <a:pt x="165526" y="413896"/>
                </a:lnTo>
                <a:lnTo>
                  <a:pt x="146860" y="390966"/>
                </a:lnTo>
                <a:lnTo>
                  <a:pt x="105318" y="383232"/>
                </a:lnTo>
                <a:lnTo>
                  <a:pt x="78858" y="411921"/>
                </a:lnTo>
                <a:lnTo>
                  <a:pt x="55950" y="416271"/>
                </a:lnTo>
                <a:lnTo>
                  <a:pt x="43514" y="372501"/>
                </a:lnTo>
                <a:lnTo>
                  <a:pt x="26454" y="336890"/>
                </a:lnTo>
                <a:lnTo>
                  <a:pt x="36456" y="306168"/>
                </a:lnTo>
                <a:lnTo>
                  <a:pt x="19800" y="292725"/>
                </a:lnTo>
                <a:lnTo>
                  <a:pt x="15564" y="269815"/>
                </a:lnTo>
                <a:lnTo>
                  <a:pt x="0" y="248221"/>
                </a:lnTo>
                <a:lnTo>
                  <a:pt x="20028" y="213954"/>
                </a:lnTo>
                <a:lnTo>
                  <a:pt x="6370" y="187265"/>
                </a:lnTo>
                <a:lnTo>
                  <a:pt x="13656" y="176594"/>
                </a:lnTo>
                <a:lnTo>
                  <a:pt x="7966" y="164821"/>
                </a:lnTo>
                <a:lnTo>
                  <a:pt x="20368" y="148958"/>
                </a:lnTo>
                <a:lnTo>
                  <a:pt x="20993" y="121942"/>
                </a:lnTo>
                <a:lnTo>
                  <a:pt x="22552" y="99622"/>
                </a:lnTo>
                <a:lnTo>
                  <a:pt x="29379" y="88878"/>
                </a:lnTo>
                <a:lnTo>
                  <a:pt x="1928" y="37773"/>
                </a:lnTo>
                <a:lnTo>
                  <a:pt x="25533" y="40462"/>
                </a:lnTo>
                <a:lnTo>
                  <a:pt x="41882" y="39767"/>
                </a:lnTo>
                <a:lnTo>
                  <a:pt x="48965" y="30166"/>
                </a:lnTo>
                <a:lnTo>
                  <a:pt x="76727" y="17297"/>
                </a:lnTo>
                <a:lnTo>
                  <a:pt x="93456" y="5375"/>
                </a:lnTo>
                <a:lnTo>
                  <a:pt x="135001" y="0"/>
                </a:lnTo>
                <a:lnTo>
                  <a:pt x="131623" y="23797"/>
                </a:lnTo>
                <a:lnTo>
                  <a:pt x="135525" y="36001"/>
                </a:lnTo>
                <a:lnTo>
                  <a:pt x="132973" y="57286"/>
                </a:lnTo>
                <a:lnTo>
                  <a:pt x="167450" y="85725"/>
                </a:lnTo>
                <a:lnTo>
                  <a:pt x="203007" y="90964"/>
                </a:lnTo>
                <a:lnTo>
                  <a:pt x="215497" y="102829"/>
                </a:lnTo>
                <a:lnTo>
                  <a:pt x="236960" y="109118"/>
                </a:lnTo>
                <a:lnTo>
                  <a:pt x="250102" y="118339"/>
                </a:lnTo>
                <a:lnTo>
                  <a:pt x="270076" y="118027"/>
                </a:lnTo>
                <a:lnTo>
                  <a:pt x="288516" y="127445"/>
                </a:lnTo>
                <a:lnTo>
                  <a:pt x="289916" y="145796"/>
                </a:lnTo>
                <a:lnTo>
                  <a:pt x="296104" y="155067"/>
                </a:lnTo>
                <a:lnTo>
                  <a:pt x="296523" y="168758"/>
                </a:lnTo>
                <a:lnTo>
                  <a:pt x="287255" y="169288"/>
                </a:lnTo>
                <a:lnTo>
                  <a:pt x="299466" y="206258"/>
                </a:lnTo>
                <a:lnTo>
                  <a:pt x="360337" y="207569"/>
                </a:lnTo>
                <a:lnTo>
                  <a:pt x="355673" y="225904"/>
                </a:lnTo>
                <a:lnTo>
                  <a:pt x="359080" y="238433"/>
                </a:lnTo>
                <a:lnTo>
                  <a:pt x="376422" y="247348"/>
                </a:lnTo>
                <a:lnTo>
                  <a:pt x="383921" y="267087"/>
                </a:lnTo>
                <a:lnTo>
                  <a:pt x="378282" y="292093"/>
                </a:lnTo>
                <a:lnTo>
                  <a:pt x="369583" y="306007"/>
                </a:lnTo>
                <a:lnTo>
                  <a:pt x="372637" y="324104"/>
                </a:lnTo>
                <a:lnTo>
                  <a:pt x="362712" y="330667"/>
                </a:lnTo>
                <a:lnTo>
                  <a:pt x="362169" y="320878"/>
                </a:lnTo>
                <a:lnTo>
                  <a:pt x="332594" y="304638"/>
                </a:lnTo>
                <a:lnTo>
                  <a:pt x="303111" y="304187"/>
                </a:lnTo>
                <a:lnTo>
                  <a:pt x="247780" y="313426"/>
                </a:lnTo>
                <a:lnTo>
                  <a:pt x="232550" y="341366"/>
                </a:lnTo>
                <a:lnTo>
                  <a:pt x="231750" y="358445"/>
                </a:lnTo>
                <a:lnTo>
                  <a:pt x="219244" y="39646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437" name="BIH">
            <a:extLst>
              <a:ext uri="{FF2B5EF4-FFF2-40B4-BE49-F238E27FC236}">
                <a16:creationId xmlns:a16="http://schemas.microsoft.com/office/drawing/2014/main" id="{00000000-0008-0000-2700-000045806400}"/>
              </a:ext>
            </a:extLst>
          </xdr:cNvPr>
          <xdr:cNvSpPr/>
        </xdr:nvSpPr>
        <xdr:spPr>
          <a:xfrm>
            <a:off x="6829841" y="1981558"/>
            <a:ext cx="122334" cy="82037"/>
          </a:xfrm>
          <a:custGeom>
            <a:avLst/>
            <a:gdLst/>
            <a:ahLst/>
            <a:cxnLst/>
            <a:rect l="0" t="0" r="0" b="0"/>
            <a:pathLst>
              <a:path w="122232" h="82037">
                <a:moveTo>
                  <a:pt x="103362" y="11862"/>
                </a:moveTo>
                <a:lnTo>
                  <a:pt x="114871" y="11773"/>
                </a:lnTo>
                <a:lnTo>
                  <a:pt x="106921" y="25740"/>
                </a:lnTo>
                <a:lnTo>
                  <a:pt x="122231" y="37951"/>
                </a:lnTo>
                <a:lnTo>
                  <a:pt x="117602" y="52886"/>
                </a:lnTo>
                <a:lnTo>
                  <a:pt x="110125" y="54293"/>
                </a:lnTo>
                <a:lnTo>
                  <a:pt x="104191" y="57191"/>
                </a:lnTo>
                <a:lnTo>
                  <a:pt x="93869" y="64570"/>
                </a:lnTo>
                <a:lnTo>
                  <a:pt x="89218" y="82036"/>
                </a:lnTo>
                <a:lnTo>
                  <a:pt x="61116" y="70015"/>
                </a:lnTo>
                <a:lnTo>
                  <a:pt x="49130" y="56753"/>
                </a:lnTo>
                <a:lnTo>
                  <a:pt x="37027" y="49724"/>
                </a:lnTo>
                <a:lnTo>
                  <a:pt x="22428" y="37865"/>
                </a:lnTo>
                <a:lnTo>
                  <a:pt x="15548" y="28026"/>
                </a:lnTo>
                <a:lnTo>
                  <a:pt x="0" y="13180"/>
                </a:lnTo>
                <a:lnTo>
                  <a:pt x="6648" y="0"/>
                </a:lnTo>
                <a:lnTo>
                  <a:pt x="18040" y="7293"/>
                </a:lnTo>
                <a:lnTo>
                  <a:pt x="24921" y="705"/>
                </a:lnTo>
                <a:lnTo>
                  <a:pt x="39754" y="0"/>
                </a:lnTo>
                <a:lnTo>
                  <a:pt x="67049" y="5274"/>
                </a:lnTo>
                <a:lnTo>
                  <a:pt x="89002" y="483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438" name="BWA">
            <a:extLst>
              <a:ext uri="{FF2B5EF4-FFF2-40B4-BE49-F238E27FC236}">
                <a16:creationId xmlns:a16="http://schemas.microsoft.com/office/drawing/2014/main" id="{00000000-0008-0000-2700-000046806400}"/>
              </a:ext>
            </a:extLst>
          </xdr:cNvPr>
          <xdr:cNvSpPr/>
        </xdr:nvSpPr>
        <xdr:spPr>
          <a:xfrm>
            <a:off x="6961570" y="3978493"/>
            <a:ext cx="303043" cy="291044"/>
          </a:xfrm>
          <a:custGeom>
            <a:avLst/>
            <a:gdLst/>
            <a:ahLst/>
            <a:cxnLst/>
            <a:rect l="0" t="0" r="0" b="0"/>
            <a:pathLst>
              <a:path w="302791" h="291044">
                <a:moveTo>
                  <a:pt x="182679" y="27757"/>
                </a:moveTo>
                <a:lnTo>
                  <a:pt x="189067" y="33421"/>
                </a:lnTo>
                <a:lnTo>
                  <a:pt x="199050" y="51794"/>
                </a:lnTo>
                <a:lnTo>
                  <a:pt x="234982" y="86668"/>
                </a:lnTo>
                <a:lnTo>
                  <a:pt x="248577" y="90085"/>
                </a:lnTo>
                <a:lnTo>
                  <a:pt x="248656" y="101283"/>
                </a:lnTo>
                <a:lnTo>
                  <a:pt x="257997" y="121419"/>
                </a:lnTo>
                <a:lnTo>
                  <a:pt x="282549" y="126292"/>
                </a:lnTo>
                <a:lnTo>
                  <a:pt x="302790" y="140637"/>
                </a:lnTo>
                <a:lnTo>
                  <a:pt x="257864" y="164021"/>
                </a:lnTo>
                <a:lnTo>
                  <a:pt x="229359" y="187722"/>
                </a:lnTo>
                <a:lnTo>
                  <a:pt x="218786" y="208881"/>
                </a:lnTo>
                <a:lnTo>
                  <a:pt x="209241" y="220806"/>
                </a:lnTo>
                <a:lnTo>
                  <a:pt x="191966" y="223349"/>
                </a:lnTo>
                <a:lnTo>
                  <a:pt x="186382" y="238538"/>
                </a:lnTo>
                <a:lnTo>
                  <a:pt x="183172" y="248444"/>
                </a:lnTo>
                <a:lnTo>
                  <a:pt x="162867" y="255839"/>
                </a:lnTo>
                <a:lnTo>
                  <a:pt x="137026" y="254267"/>
                </a:lnTo>
                <a:lnTo>
                  <a:pt x="121859" y="245374"/>
                </a:lnTo>
                <a:lnTo>
                  <a:pt x="108477" y="241519"/>
                </a:lnTo>
                <a:lnTo>
                  <a:pt x="92989" y="248879"/>
                </a:lnTo>
                <a:lnTo>
                  <a:pt x="85216" y="264084"/>
                </a:lnTo>
                <a:lnTo>
                  <a:pt x="70183" y="273638"/>
                </a:lnTo>
                <a:lnTo>
                  <a:pt x="54305" y="287805"/>
                </a:lnTo>
                <a:lnTo>
                  <a:pt x="31562" y="291043"/>
                </a:lnTo>
                <a:lnTo>
                  <a:pt x="24479" y="279899"/>
                </a:lnTo>
                <a:lnTo>
                  <a:pt x="27403" y="260550"/>
                </a:lnTo>
                <a:lnTo>
                  <a:pt x="8578" y="230385"/>
                </a:lnTo>
                <a:lnTo>
                  <a:pt x="9" y="225616"/>
                </a:lnTo>
                <a:lnTo>
                  <a:pt x="0" y="132951"/>
                </a:lnTo>
                <a:lnTo>
                  <a:pt x="31293" y="131842"/>
                </a:lnTo>
                <a:lnTo>
                  <a:pt x="32229" y="18746"/>
                </a:lnTo>
                <a:lnTo>
                  <a:pt x="55864" y="17695"/>
                </a:lnTo>
                <a:lnTo>
                  <a:pt x="104819" y="6579"/>
                </a:lnTo>
                <a:lnTo>
                  <a:pt x="116951" y="19670"/>
                </a:lnTo>
                <a:lnTo>
                  <a:pt x="137220" y="7224"/>
                </a:lnTo>
                <a:lnTo>
                  <a:pt x="146850" y="7154"/>
                </a:lnTo>
                <a:lnTo>
                  <a:pt x="164747" y="0"/>
                </a:lnTo>
                <a:lnTo>
                  <a:pt x="170456" y="237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439" name="BRA">
            <a:extLst>
              <a:ext uri="{FF2B5EF4-FFF2-40B4-BE49-F238E27FC236}">
                <a16:creationId xmlns:a16="http://schemas.microsoft.com/office/drawing/2014/main" id="{00000000-0008-0000-2700-000047806400}"/>
              </a:ext>
            </a:extLst>
          </xdr:cNvPr>
          <xdr:cNvSpPr/>
        </xdr:nvSpPr>
        <xdr:spPr>
          <a:xfrm>
            <a:off x="3978311" y="3251218"/>
            <a:ext cx="1247456" cy="1238661"/>
          </a:xfrm>
          <a:custGeom>
            <a:avLst/>
            <a:gdLst/>
            <a:ahLst/>
            <a:cxnLst/>
            <a:rect l="0" t="0" r="0" b="0"/>
            <a:pathLst>
              <a:path w="1246417" h="1238661">
                <a:moveTo>
                  <a:pt x="519497" y="1125881"/>
                </a:moveTo>
                <a:lnTo>
                  <a:pt x="561857" y="1082590"/>
                </a:lnTo>
                <a:lnTo>
                  <a:pt x="597690" y="1051764"/>
                </a:lnTo>
                <a:lnTo>
                  <a:pt x="619014" y="1038838"/>
                </a:lnTo>
                <a:lnTo>
                  <a:pt x="645747" y="1021335"/>
                </a:lnTo>
                <a:lnTo>
                  <a:pt x="646395" y="995979"/>
                </a:lnTo>
                <a:lnTo>
                  <a:pt x="630466" y="977650"/>
                </a:lnTo>
                <a:lnTo>
                  <a:pt x="614740" y="983736"/>
                </a:lnTo>
                <a:lnTo>
                  <a:pt x="620976" y="965413"/>
                </a:lnTo>
                <a:lnTo>
                  <a:pt x="625275" y="946637"/>
                </a:lnTo>
                <a:lnTo>
                  <a:pt x="625291" y="929180"/>
                </a:lnTo>
                <a:lnTo>
                  <a:pt x="613867" y="923421"/>
                </a:lnTo>
                <a:lnTo>
                  <a:pt x="601958" y="928555"/>
                </a:lnTo>
                <a:lnTo>
                  <a:pt x="590121" y="927145"/>
                </a:lnTo>
                <a:lnTo>
                  <a:pt x="586410" y="914924"/>
                </a:lnTo>
                <a:lnTo>
                  <a:pt x="583454" y="885829"/>
                </a:lnTo>
                <a:lnTo>
                  <a:pt x="577507" y="876345"/>
                </a:lnTo>
                <a:lnTo>
                  <a:pt x="556066" y="867753"/>
                </a:lnTo>
                <a:lnTo>
                  <a:pt x="543106" y="873973"/>
                </a:lnTo>
                <a:lnTo>
                  <a:pt x="509588" y="867877"/>
                </a:lnTo>
                <a:lnTo>
                  <a:pt x="511699" y="824777"/>
                </a:lnTo>
                <a:lnTo>
                  <a:pt x="502310" y="807124"/>
                </a:lnTo>
                <a:lnTo>
                  <a:pt x="512235" y="800561"/>
                </a:lnTo>
                <a:lnTo>
                  <a:pt x="509181" y="782464"/>
                </a:lnTo>
                <a:lnTo>
                  <a:pt x="517880" y="768550"/>
                </a:lnTo>
                <a:lnTo>
                  <a:pt x="523519" y="743544"/>
                </a:lnTo>
                <a:lnTo>
                  <a:pt x="516020" y="723805"/>
                </a:lnTo>
                <a:lnTo>
                  <a:pt x="498678" y="714890"/>
                </a:lnTo>
                <a:lnTo>
                  <a:pt x="495271" y="702361"/>
                </a:lnTo>
                <a:lnTo>
                  <a:pt x="499935" y="684026"/>
                </a:lnTo>
                <a:lnTo>
                  <a:pt x="439064" y="682715"/>
                </a:lnTo>
                <a:lnTo>
                  <a:pt x="426853" y="645745"/>
                </a:lnTo>
                <a:lnTo>
                  <a:pt x="436121" y="645215"/>
                </a:lnTo>
                <a:lnTo>
                  <a:pt x="435702" y="631524"/>
                </a:lnTo>
                <a:lnTo>
                  <a:pt x="429514" y="622253"/>
                </a:lnTo>
                <a:lnTo>
                  <a:pt x="428114" y="603902"/>
                </a:lnTo>
                <a:lnTo>
                  <a:pt x="409674" y="594484"/>
                </a:lnTo>
                <a:lnTo>
                  <a:pt x="389700" y="594796"/>
                </a:lnTo>
                <a:lnTo>
                  <a:pt x="376558" y="585575"/>
                </a:lnTo>
                <a:lnTo>
                  <a:pt x="355095" y="579286"/>
                </a:lnTo>
                <a:lnTo>
                  <a:pt x="342605" y="567421"/>
                </a:lnTo>
                <a:lnTo>
                  <a:pt x="307048" y="562182"/>
                </a:lnTo>
                <a:lnTo>
                  <a:pt x="272571" y="533743"/>
                </a:lnTo>
                <a:lnTo>
                  <a:pt x="275123" y="512458"/>
                </a:lnTo>
                <a:lnTo>
                  <a:pt x="271221" y="500254"/>
                </a:lnTo>
                <a:lnTo>
                  <a:pt x="274599" y="476457"/>
                </a:lnTo>
                <a:lnTo>
                  <a:pt x="233054" y="481832"/>
                </a:lnTo>
                <a:lnTo>
                  <a:pt x="216325" y="493754"/>
                </a:lnTo>
                <a:lnTo>
                  <a:pt x="188563" y="506623"/>
                </a:lnTo>
                <a:lnTo>
                  <a:pt x="181480" y="516224"/>
                </a:lnTo>
                <a:lnTo>
                  <a:pt x="165131" y="516919"/>
                </a:lnTo>
                <a:lnTo>
                  <a:pt x="141526" y="514230"/>
                </a:lnTo>
                <a:lnTo>
                  <a:pt x="123615" y="519701"/>
                </a:lnTo>
                <a:lnTo>
                  <a:pt x="109172" y="516052"/>
                </a:lnTo>
                <a:lnTo>
                  <a:pt x="111293" y="467824"/>
                </a:lnTo>
                <a:lnTo>
                  <a:pt x="85242" y="486534"/>
                </a:lnTo>
                <a:lnTo>
                  <a:pt x="57223" y="485715"/>
                </a:lnTo>
                <a:lnTo>
                  <a:pt x="45218" y="468780"/>
                </a:lnTo>
                <a:lnTo>
                  <a:pt x="24146" y="466938"/>
                </a:lnTo>
                <a:lnTo>
                  <a:pt x="30854" y="453305"/>
                </a:lnTo>
                <a:lnTo>
                  <a:pt x="13211" y="433988"/>
                </a:lnTo>
                <a:lnTo>
                  <a:pt x="0" y="405394"/>
                </a:lnTo>
                <a:lnTo>
                  <a:pt x="8376" y="399590"/>
                </a:lnTo>
                <a:lnTo>
                  <a:pt x="8341" y="386179"/>
                </a:lnTo>
                <a:lnTo>
                  <a:pt x="27534" y="377013"/>
                </a:lnTo>
                <a:lnTo>
                  <a:pt x="24368" y="359846"/>
                </a:lnTo>
                <a:lnTo>
                  <a:pt x="32471" y="348800"/>
                </a:lnTo>
                <a:lnTo>
                  <a:pt x="34776" y="333982"/>
                </a:lnTo>
                <a:lnTo>
                  <a:pt x="71082" y="312373"/>
                </a:lnTo>
                <a:lnTo>
                  <a:pt x="97104" y="306264"/>
                </a:lnTo>
                <a:lnTo>
                  <a:pt x="101359" y="301492"/>
                </a:lnTo>
                <a:lnTo>
                  <a:pt x="129972" y="302981"/>
                </a:lnTo>
                <a:lnTo>
                  <a:pt x="144243" y="215926"/>
                </a:lnTo>
                <a:lnTo>
                  <a:pt x="144993" y="202156"/>
                </a:lnTo>
                <a:lnTo>
                  <a:pt x="140021" y="183976"/>
                </a:lnTo>
                <a:lnTo>
                  <a:pt x="125936" y="172393"/>
                </a:lnTo>
                <a:lnTo>
                  <a:pt x="126098" y="149324"/>
                </a:lnTo>
                <a:lnTo>
                  <a:pt x="143980" y="144092"/>
                </a:lnTo>
                <a:lnTo>
                  <a:pt x="150330" y="147378"/>
                </a:lnTo>
                <a:lnTo>
                  <a:pt x="151403" y="135217"/>
                </a:lnTo>
                <a:lnTo>
                  <a:pt x="132797" y="131935"/>
                </a:lnTo>
                <a:lnTo>
                  <a:pt x="132404" y="112068"/>
                </a:lnTo>
                <a:lnTo>
                  <a:pt x="194265" y="112777"/>
                </a:lnTo>
                <a:lnTo>
                  <a:pt x="204768" y="101832"/>
                </a:lnTo>
                <a:lnTo>
                  <a:pt x="213589" y="111903"/>
                </a:lnTo>
                <a:lnTo>
                  <a:pt x="219780" y="130633"/>
                </a:lnTo>
                <a:lnTo>
                  <a:pt x="225771" y="126718"/>
                </a:lnTo>
                <a:lnTo>
                  <a:pt x="243249" y="143511"/>
                </a:lnTo>
                <a:lnTo>
                  <a:pt x="267935" y="141453"/>
                </a:lnTo>
                <a:lnTo>
                  <a:pt x="274082" y="131738"/>
                </a:lnTo>
                <a:lnTo>
                  <a:pt x="297694" y="124327"/>
                </a:lnTo>
                <a:lnTo>
                  <a:pt x="310766" y="119114"/>
                </a:lnTo>
                <a:lnTo>
                  <a:pt x="314455" y="105668"/>
                </a:lnTo>
                <a:lnTo>
                  <a:pt x="337134" y="96635"/>
                </a:lnTo>
                <a:lnTo>
                  <a:pt x="335416" y="89961"/>
                </a:lnTo>
                <a:lnTo>
                  <a:pt x="308521" y="87234"/>
                </a:lnTo>
                <a:lnTo>
                  <a:pt x="304114" y="67237"/>
                </a:lnTo>
                <a:lnTo>
                  <a:pt x="305393" y="45952"/>
                </a:lnTo>
                <a:lnTo>
                  <a:pt x="291182" y="37723"/>
                </a:lnTo>
                <a:lnTo>
                  <a:pt x="297132" y="34798"/>
                </a:lnTo>
                <a:lnTo>
                  <a:pt x="320640" y="38862"/>
                </a:lnTo>
                <a:lnTo>
                  <a:pt x="345884" y="46797"/>
                </a:lnTo>
                <a:lnTo>
                  <a:pt x="355050" y="39291"/>
                </a:lnTo>
                <a:lnTo>
                  <a:pt x="377882" y="34367"/>
                </a:lnTo>
                <a:lnTo>
                  <a:pt x="413395" y="22480"/>
                </a:lnTo>
                <a:lnTo>
                  <a:pt x="425006" y="10364"/>
                </a:lnTo>
                <a:lnTo>
                  <a:pt x="420802" y="1404"/>
                </a:lnTo>
                <a:lnTo>
                  <a:pt x="437309" y="0"/>
                </a:lnTo>
                <a:lnTo>
                  <a:pt x="444697" y="7316"/>
                </a:lnTo>
                <a:lnTo>
                  <a:pt x="440569" y="21257"/>
                </a:lnTo>
                <a:lnTo>
                  <a:pt x="451479" y="26067"/>
                </a:lnTo>
                <a:lnTo>
                  <a:pt x="458762" y="40822"/>
                </a:lnTo>
                <a:lnTo>
                  <a:pt x="449954" y="52007"/>
                </a:lnTo>
                <a:lnTo>
                  <a:pt x="444903" y="79036"/>
                </a:lnTo>
                <a:lnTo>
                  <a:pt x="453031" y="95088"/>
                </a:lnTo>
                <a:lnTo>
                  <a:pt x="455333" y="109779"/>
                </a:lnTo>
                <a:lnTo>
                  <a:pt x="474863" y="124677"/>
                </a:lnTo>
                <a:lnTo>
                  <a:pt x="490448" y="126251"/>
                </a:lnTo>
                <a:lnTo>
                  <a:pt x="493957" y="120035"/>
                </a:lnTo>
                <a:lnTo>
                  <a:pt x="503993" y="118660"/>
                </a:lnTo>
                <a:lnTo>
                  <a:pt x="518357" y="113091"/>
                </a:lnTo>
                <a:lnTo>
                  <a:pt x="528682" y="104648"/>
                </a:lnTo>
                <a:lnTo>
                  <a:pt x="546243" y="107341"/>
                </a:lnTo>
                <a:lnTo>
                  <a:pt x="553967" y="106204"/>
                </a:lnTo>
                <a:lnTo>
                  <a:pt x="571230" y="108802"/>
                </a:lnTo>
                <a:lnTo>
                  <a:pt x="574091" y="102315"/>
                </a:lnTo>
                <a:lnTo>
                  <a:pt x="568766" y="96003"/>
                </a:lnTo>
                <a:lnTo>
                  <a:pt x="571941" y="86808"/>
                </a:lnTo>
                <a:lnTo>
                  <a:pt x="584752" y="89631"/>
                </a:lnTo>
                <a:lnTo>
                  <a:pt x="599745" y="86386"/>
                </a:lnTo>
                <a:lnTo>
                  <a:pt x="617931" y="93114"/>
                </a:lnTo>
                <a:lnTo>
                  <a:pt x="631796" y="99661"/>
                </a:lnTo>
                <a:lnTo>
                  <a:pt x="641626" y="91053"/>
                </a:lnTo>
                <a:lnTo>
                  <a:pt x="648729" y="92381"/>
                </a:lnTo>
                <a:lnTo>
                  <a:pt x="653056" y="101318"/>
                </a:lnTo>
                <a:lnTo>
                  <a:pt x="668258" y="99048"/>
                </a:lnTo>
                <a:lnTo>
                  <a:pt x="680428" y="86989"/>
                </a:lnTo>
                <a:lnTo>
                  <a:pt x="690178" y="63609"/>
                </a:lnTo>
                <a:lnTo>
                  <a:pt x="708958" y="34554"/>
                </a:lnTo>
                <a:lnTo>
                  <a:pt x="719776" y="33052"/>
                </a:lnTo>
                <a:lnTo>
                  <a:pt x="727627" y="50613"/>
                </a:lnTo>
                <a:lnTo>
                  <a:pt x="745436" y="106138"/>
                </a:lnTo>
                <a:lnTo>
                  <a:pt x="762416" y="111380"/>
                </a:lnTo>
                <a:lnTo>
                  <a:pt x="763273" y="133297"/>
                </a:lnTo>
                <a:lnTo>
                  <a:pt x="739391" y="159433"/>
                </a:lnTo>
                <a:lnTo>
                  <a:pt x="749268" y="169003"/>
                </a:lnTo>
                <a:lnTo>
                  <a:pt x="805389" y="173991"/>
                </a:lnTo>
                <a:lnTo>
                  <a:pt x="806536" y="205814"/>
                </a:lnTo>
                <a:lnTo>
                  <a:pt x="830650" y="184979"/>
                </a:lnTo>
                <a:lnTo>
                  <a:pt x="870604" y="196390"/>
                </a:lnTo>
                <a:lnTo>
                  <a:pt x="923338" y="215780"/>
                </a:lnTo>
                <a:lnTo>
                  <a:pt x="938835" y="234389"/>
                </a:lnTo>
                <a:lnTo>
                  <a:pt x="933628" y="251962"/>
                </a:lnTo>
                <a:lnTo>
                  <a:pt x="970547" y="242177"/>
                </a:lnTo>
                <a:lnTo>
                  <a:pt x="1032335" y="258970"/>
                </a:lnTo>
                <a:lnTo>
                  <a:pt x="1079770" y="257734"/>
                </a:lnTo>
                <a:lnTo>
                  <a:pt x="1126706" y="284011"/>
                </a:lnTo>
                <a:lnTo>
                  <a:pt x="1167254" y="319577"/>
                </a:lnTo>
                <a:lnTo>
                  <a:pt x="1191714" y="328737"/>
                </a:lnTo>
                <a:lnTo>
                  <a:pt x="1218863" y="330010"/>
                </a:lnTo>
                <a:lnTo>
                  <a:pt x="1230370" y="340024"/>
                </a:lnTo>
                <a:lnTo>
                  <a:pt x="1241146" y="380451"/>
                </a:lnTo>
                <a:lnTo>
                  <a:pt x="1246416" y="399660"/>
                </a:lnTo>
                <a:lnTo>
                  <a:pt x="1233773" y="452149"/>
                </a:lnTo>
                <a:lnTo>
                  <a:pt x="1217619" y="472879"/>
                </a:lnTo>
                <a:lnTo>
                  <a:pt x="1172867" y="517056"/>
                </a:lnTo>
                <a:lnTo>
                  <a:pt x="1152639" y="552949"/>
                </a:lnTo>
                <a:lnTo>
                  <a:pt x="1129135" y="580473"/>
                </a:lnTo>
                <a:lnTo>
                  <a:pt x="1121197" y="581095"/>
                </a:lnTo>
                <a:lnTo>
                  <a:pt x="1112326" y="604454"/>
                </a:lnTo>
                <a:lnTo>
                  <a:pt x="1114580" y="663944"/>
                </a:lnTo>
                <a:lnTo>
                  <a:pt x="1105729" y="712880"/>
                </a:lnTo>
                <a:lnTo>
                  <a:pt x="1102357" y="733813"/>
                </a:lnTo>
                <a:lnTo>
                  <a:pt x="1092317" y="746341"/>
                </a:lnTo>
                <a:lnTo>
                  <a:pt x="1086688" y="788785"/>
                </a:lnTo>
                <a:lnTo>
                  <a:pt x="1054497" y="830231"/>
                </a:lnTo>
                <a:lnTo>
                  <a:pt x="1049096" y="863023"/>
                </a:lnTo>
                <a:lnTo>
                  <a:pt x="1023398" y="876783"/>
                </a:lnTo>
                <a:lnTo>
                  <a:pt x="1015965" y="895814"/>
                </a:lnTo>
                <a:lnTo>
                  <a:pt x="981472" y="895738"/>
                </a:lnTo>
                <a:lnTo>
                  <a:pt x="931526" y="907939"/>
                </a:lnTo>
                <a:lnTo>
                  <a:pt x="909164" y="922062"/>
                </a:lnTo>
                <a:lnTo>
                  <a:pt x="873604" y="931339"/>
                </a:lnTo>
                <a:lnTo>
                  <a:pt x="836238" y="956618"/>
                </a:lnTo>
                <a:lnTo>
                  <a:pt x="809362" y="988108"/>
                </a:lnTo>
                <a:lnTo>
                  <a:pt x="804742" y="1011816"/>
                </a:lnTo>
                <a:lnTo>
                  <a:pt x="810022" y="1029348"/>
                </a:lnTo>
                <a:lnTo>
                  <a:pt x="804091" y="1061422"/>
                </a:lnTo>
                <a:lnTo>
                  <a:pt x="796884" y="1076916"/>
                </a:lnTo>
                <a:lnTo>
                  <a:pt x="774697" y="1094391"/>
                </a:lnTo>
                <a:lnTo>
                  <a:pt x="739467" y="1150271"/>
                </a:lnTo>
                <a:lnTo>
                  <a:pt x="711549" y="1175455"/>
                </a:lnTo>
                <a:lnTo>
                  <a:pt x="689962" y="1190305"/>
                </a:lnTo>
                <a:lnTo>
                  <a:pt x="675484" y="1220505"/>
                </a:lnTo>
                <a:lnTo>
                  <a:pt x="654478" y="1238660"/>
                </a:lnTo>
                <a:lnTo>
                  <a:pt x="645690" y="1220677"/>
                </a:lnTo>
                <a:lnTo>
                  <a:pt x="659689" y="1205618"/>
                </a:lnTo>
                <a:lnTo>
                  <a:pt x="641324" y="1184012"/>
                </a:lnTo>
                <a:lnTo>
                  <a:pt x="616417" y="1166464"/>
                </a:lnTo>
                <a:lnTo>
                  <a:pt x="583746" y="1146125"/>
                </a:lnTo>
                <a:lnTo>
                  <a:pt x="571944" y="1147052"/>
                </a:lnTo>
                <a:lnTo>
                  <a:pt x="540105" y="1122496"/>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440" name="BRN">
            <a:extLst>
              <a:ext uri="{FF2B5EF4-FFF2-40B4-BE49-F238E27FC236}">
                <a16:creationId xmlns:a16="http://schemas.microsoft.com/office/drawing/2014/main" id="{00000000-0008-0000-2700-000048806400}"/>
              </a:ext>
            </a:extLst>
          </xdr:cNvPr>
          <xdr:cNvSpPr/>
        </xdr:nvSpPr>
        <xdr:spPr>
          <a:xfrm>
            <a:off x="9958360" y="3244767"/>
            <a:ext cx="39616" cy="45724"/>
          </a:xfrm>
          <a:custGeom>
            <a:avLst/>
            <a:gdLst/>
            <a:ahLst/>
            <a:cxnLst/>
            <a:rect l="0" t="0" r="0" b="0"/>
            <a:pathLst>
              <a:path w="39583" h="45724">
                <a:moveTo>
                  <a:pt x="0" y="29267"/>
                </a:moveTo>
                <a:lnTo>
                  <a:pt x="12573" y="17390"/>
                </a:lnTo>
                <a:lnTo>
                  <a:pt x="39582" y="0"/>
                </a:lnTo>
                <a:lnTo>
                  <a:pt x="38153" y="15637"/>
                </a:lnTo>
                <a:lnTo>
                  <a:pt x="36306" y="35912"/>
                </a:lnTo>
                <a:lnTo>
                  <a:pt x="21132" y="34906"/>
                </a:lnTo>
                <a:lnTo>
                  <a:pt x="14465" y="4572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441" name="BGR">
            <a:extLst>
              <a:ext uri="{FF2B5EF4-FFF2-40B4-BE49-F238E27FC236}">
                <a16:creationId xmlns:a16="http://schemas.microsoft.com/office/drawing/2014/main" id="{00000000-0008-0000-2700-000049806400}"/>
              </a:ext>
            </a:extLst>
          </xdr:cNvPr>
          <xdr:cNvSpPr/>
        </xdr:nvSpPr>
        <xdr:spPr>
          <a:xfrm>
            <a:off x="7040534" y="2013273"/>
            <a:ext cx="196303" cy="95264"/>
          </a:xfrm>
          <a:custGeom>
            <a:avLst/>
            <a:gdLst/>
            <a:ahLst/>
            <a:cxnLst/>
            <a:rect l="0" t="0" r="0" b="0"/>
            <a:pathLst>
              <a:path w="196140" h="95264">
                <a:moveTo>
                  <a:pt x="8783" y="0"/>
                </a:moveTo>
                <a:lnTo>
                  <a:pt x="17917" y="13053"/>
                </a:lnTo>
                <a:lnTo>
                  <a:pt x="30220" y="10729"/>
                </a:lnTo>
                <a:lnTo>
                  <a:pt x="54617" y="15678"/>
                </a:lnTo>
                <a:lnTo>
                  <a:pt x="101245" y="17352"/>
                </a:lnTo>
                <a:lnTo>
                  <a:pt x="116990" y="9252"/>
                </a:lnTo>
                <a:lnTo>
                  <a:pt x="154366" y="1870"/>
                </a:lnTo>
                <a:lnTo>
                  <a:pt x="177470" y="13412"/>
                </a:lnTo>
                <a:lnTo>
                  <a:pt x="196139" y="16745"/>
                </a:lnTo>
                <a:lnTo>
                  <a:pt x="179661" y="29899"/>
                </a:lnTo>
                <a:lnTo>
                  <a:pt x="168066" y="52610"/>
                </a:lnTo>
                <a:lnTo>
                  <a:pt x="178315" y="70724"/>
                </a:lnTo>
                <a:lnTo>
                  <a:pt x="150978" y="66466"/>
                </a:lnTo>
                <a:lnTo>
                  <a:pt x="118634" y="76454"/>
                </a:lnTo>
                <a:lnTo>
                  <a:pt x="118288" y="92266"/>
                </a:lnTo>
                <a:lnTo>
                  <a:pt x="89430" y="95263"/>
                </a:lnTo>
                <a:lnTo>
                  <a:pt x="67060" y="84170"/>
                </a:lnTo>
                <a:lnTo>
                  <a:pt x="41643" y="92894"/>
                </a:lnTo>
                <a:lnTo>
                  <a:pt x="18158" y="91977"/>
                </a:lnTo>
                <a:lnTo>
                  <a:pt x="15904" y="70981"/>
                </a:lnTo>
                <a:lnTo>
                  <a:pt x="0" y="60789"/>
                </a:lnTo>
                <a:lnTo>
                  <a:pt x="5223" y="56309"/>
                </a:lnTo>
                <a:lnTo>
                  <a:pt x="1781" y="52534"/>
                </a:lnTo>
                <a:lnTo>
                  <a:pt x="7122" y="42431"/>
                </a:lnTo>
                <a:lnTo>
                  <a:pt x="19225" y="32503"/>
                </a:lnTo>
                <a:lnTo>
                  <a:pt x="3801" y="18800"/>
                </a:lnTo>
                <a:lnTo>
                  <a:pt x="950" y="7201"/>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442" name="BFA">
            <a:extLst>
              <a:ext uri="{FF2B5EF4-FFF2-40B4-BE49-F238E27FC236}">
                <a16:creationId xmlns:a16="http://schemas.microsoft.com/office/drawing/2014/main" id="{00000000-0008-0000-2700-00004A806400}"/>
              </a:ext>
            </a:extLst>
          </xdr:cNvPr>
          <xdr:cNvSpPr/>
        </xdr:nvSpPr>
        <xdr:spPr>
          <a:xfrm>
            <a:off x="6155525" y="2937792"/>
            <a:ext cx="243017" cy="174798"/>
          </a:xfrm>
          <a:custGeom>
            <a:avLst/>
            <a:gdLst/>
            <a:ahLst/>
            <a:cxnLst/>
            <a:rect l="0" t="0" r="0" b="0"/>
            <a:pathLst>
              <a:path w="242815" h="174798">
                <a:moveTo>
                  <a:pt x="83918" y="173790"/>
                </a:moveTo>
                <a:lnTo>
                  <a:pt x="62189" y="165605"/>
                </a:lnTo>
                <a:lnTo>
                  <a:pt x="47314" y="166811"/>
                </a:lnTo>
                <a:lnTo>
                  <a:pt x="36208" y="174797"/>
                </a:lnTo>
                <a:lnTo>
                  <a:pt x="21930" y="168091"/>
                </a:lnTo>
                <a:lnTo>
                  <a:pt x="16380" y="157591"/>
                </a:lnTo>
                <a:lnTo>
                  <a:pt x="2105" y="150670"/>
                </a:lnTo>
                <a:lnTo>
                  <a:pt x="0" y="132236"/>
                </a:lnTo>
                <a:lnTo>
                  <a:pt x="8661" y="118780"/>
                </a:lnTo>
                <a:lnTo>
                  <a:pt x="7928" y="108023"/>
                </a:lnTo>
                <a:lnTo>
                  <a:pt x="33128" y="81712"/>
                </a:lnTo>
                <a:lnTo>
                  <a:pt x="37789" y="59938"/>
                </a:lnTo>
                <a:lnTo>
                  <a:pt x="46488" y="52188"/>
                </a:lnTo>
                <a:lnTo>
                  <a:pt x="61843" y="56467"/>
                </a:lnTo>
                <a:lnTo>
                  <a:pt x="75149" y="50003"/>
                </a:lnTo>
                <a:lnTo>
                  <a:pt x="79467" y="41847"/>
                </a:lnTo>
                <a:lnTo>
                  <a:pt x="104102" y="27616"/>
                </a:lnTo>
                <a:lnTo>
                  <a:pt x="110160" y="17691"/>
                </a:lnTo>
                <a:lnTo>
                  <a:pt x="139833" y="4521"/>
                </a:lnTo>
                <a:lnTo>
                  <a:pt x="157311" y="0"/>
                </a:lnTo>
                <a:lnTo>
                  <a:pt x="165237" y="6093"/>
                </a:lnTo>
                <a:lnTo>
                  <a:pt x="185595" y="5947"/>
                </a:lnTo>
                <a:lnTo>
                  <a:pt x="183077" y="21336"/>
                </a:lnTo>
                <a:lnTo>
                  <a:pt x="187341" y="35798"/>
                </a:lnTo>
                <a:lnTo>
                  <a:pt x="205219" y="56531"/>
                </a:lnTo>
                <a:lnTo>
                  <a:pt x="206207" y="71895"/>
                </a:lnTo>
                <a:lnTo>
                  <a:pt x="242814" y="79096"/>
                </a:lnTo>
                <a:lnTo>
                  <a:pt x="242097" y="100838"/>
                </a:lnTo>
                <a:lnTo>
                  <a:pt x="235159" y="110331"/>
                </a:lnTo>
                <a:lnTo>
                  <a:pt x="219640" y="113300"/>
                </a:lnTo>
                <a:lnTo>
                  <a:pt x="213173" y="127181"/>
                </a:lnTo>
                <a:lnTo>
                  <a:pt x="202254" y="130775"/>
                </a:lnTo>
                <a:lnTo>
                  <a:pt x="174447" y="130096"/>
                </a:lnTo>
                <a:lnTo>
                  <a:pt x="159763" y="127568"/>
                </a:lnTo>
                <a:lnTo>
                  <a:pt x="149511" y="132693"/>
                </a:lnTo>
                <a:lnTo>
                  <a:pt x="135483" y="130378"/>
                </a:lnTo>
                <a:lnTo>
                  <a:pt x="80334" y="131874"/>
                </a:lnTo>
                <a:lnTo>
                  <a:pt x="79588" y="14988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443" name="BDI">
            <a:extLst>
              <a:ext uri="{FF2B5EF4-FFF2-40B4-BE49-F238E27FC236}">
                <a16:creationId xmlns:a16="http://schemas.microsoft.com/office/drawing/2014/main" id="{00000000-0008-0000-2700-00004B806400}"/>
              </a:ext>
            </a:extLst>
          </xdr:cNvPr>
          <xdr:cNvSpPr/>
        </xdr:nvSpPr>
        <xdr:spPr>
          <a:xfrm>
            <a:off x="7251670" y="3492296"/>
            <a:ext cx="54892" cy="68312"/>
          </a:xfrm>
          <a:custGeom>
            <a:avLst/>
            <a:gdLst/>
            <a:ahLst/>
            <a:cxnLst/>
            <a:rect l="0" t="0" r="0" b="0"/>
            <a:pathLst>
              <a:path w="54846" h="68312">
                <a:moveTo>
                  <a:pt x="10004" y="68311"/>
                </a:moveTo>
                <a:lnTo>
                  <a:pt x="7985" y="30017"/>
                </a:lnTo>
                <a:lnTo>
                  <a:pt x="0" y="15583"/>
                </a:lnTo>
                <a:lnTo>
                  <a:pt x="19282" y="18079"/>
                </a:lnTo>
                <a:lnTo>
                  <a:pt x="29004" y="0"/>
                </a:lnTo>
                <a:lnTo>
                  <a:pt x="45873" y="2077"/>
                </a:lnTo>
                <a:lnTo>
                  <a:pt x="47714" y="14577"/>
                </a:lnTo>
                <a:lnTo>
                  <a:pt x="54550" y="21774"/>
                </a:lnTo>
                <a:lnTo>
                  <a:pt x="54845" y="32093"/>
                </a:lnTo>
                <a:lnTo>
                  <a:pt x="47012" y="38738"/>
                </a:lnTo>
                <a:lnTo>
                  <a:pt x="34652" y="55296"/>
                </a:lnTo>
                <a:lnTo>
                  <a:pt x="23133" y="6679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444" name="KHM">
            <a:extLst>
              <a:ext uri="{FF2B5EF4-FFF2-40B4-BE49-F238E27FC236}">
                <a16:creationId xmlns:a16="http://schemas.microsoft.com/office/drawing/2014/main" id="{00000000-0008-0000-2700-00004C806400}"/>
              </a:ext>
            </a:extLst>
          </xdr:cNvPr>
          <xdr:cNvSpPr/>
        </xdr:nvSpPr>
        <xdr:spPr>
          <a:xfrm>
            <a:off x="9581622" y="2955115"/>
            <a:ext cx="167348" cy="129671"/>
          </a:xfrm>
          <a:custGeom>
            <a:avLst/>
            <a:gdLst/>
            <a:ahLst/>
            <a:cxnLst/>
            <a:rect l="0" t="0" r="0" b="0"/>
            <a:pathLst>
              <a:path w="167209" h="129671">
                <a:moveTo>
                  <a:pt x="36486" y="125031"/>
                </a:moveTo>
                <a:lnTo>
                  <a:pt x="23577" y="108486"/>
                </a:lnTo>
                <a:lnTo>
                  <a:pt x="7518" y="75692"/>
                </a:lnTo>
                <a:lnTo>
                  <a:pt x="0" y="37350"/>
                </a:lnTo>
                <a:lnTo>
                  <a:pt x="20329" y="10950"/>
                </a:lnTo>
                <a:lnTo>
                  <a:pt x="61382" y="4886"/>
                </a:lnTo>
                <a:lnTo>
                  <a:pt x="91144" y="9442"/>
                </a:lnTo>
                <a:lnTo>
                  <a:pt x="117341" y="21892"/>
                </a:lnTo>
                <a:lnTo>
                  <a:pt x="131709" y="0"/>
                </a:lnTo>
                <a:lnTo>
                  <a:pt x="159848" y="11690"/>
                </a:lnTo>
                <a:lnTo>
                  <a:pt x="167208" y="32864"/>
                </a:lnTo>
                <a:lnTo>
                  <a:pt x="163300" y="70910"/>
                </a:lnTo>
                <a:lnTo>
                  <a:pt x="109931" y="95345"/>
                </a:lnTo>
                <a:lnTo>
                  <a:pt x="123876" y="114579"/>
                </a:lnTo>
                <a:lnTo>
                  <a:pt x="90544" y="116881"/>
                </a:lnTo>
                <a:lnTo>
                  <a:pt x="63062" y="12967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445" name="CMR">
            <a:extLst>
              <a:ext uri="{FF2B5EF4-FFF2-40B4-BE49-F238E27FC236}">
                <a16:creationId xmlns:a16="http://schemas.microsoft.com/office/drawing/2014/main" id="{00000000-0008-0000-2700-00004D806400}"/>
              </a:ext>
            </a:extLst>
          </xdr:cNvPr>
          <xdr:cNvSpPr/>
        </xdr:nvSpPr>
        <xdr:spPr>
          <a:xfrm>
            <a:off x="6599106" y="3009446"/>
            <a:ext cx="239090" cy="353432"/>
          </a:xfrm>
          <a:custGeom>
            <a:avLst/>
            <a:gdLst/>
            <a:ahLst/>
            <a:cxnLst/>
            <a:rect l="0" t="0" r="0" b="0"/>
            <a:pathLst>
              <a:path w="238891" h="353432">
                <a:moveTo>
                  <a:pt x="145637" y="336305"/>
                </a:moveTo>
                <a:lnTo>
                  <a:pt x="141684" y="334575"/>
                </a:lnTo>
                <a:lnTo>
                  <a:pt x="122891" y="338664"/>
                </a:lnTo>
                <a:lnTo>
                  <a:pt x="103597" y="334409"/>
                </a:lnTo>
                <a:lnTo>
                  <a:pt x="88506" y="336495"/>
                </a:lnTo>
                <a:lnTo>
                  <a:pt x="36842" y="335772"/>
                </a:lnTo>
                <a:lnTo>
                  <a:pt x="41478" y="310705"/>
                </a:lnTo>
                <a:lnTo>
                  <a:pt x="29070" y="289715"/>
                </a:lnTo>
                <a:lnTo>
                  <a:pt x="14583" y="284330"/>
                </a:lnTo>
                <a:lnTo>
                  <a:pt x="8131" y="270103"/>
                </a:lnTo>
                <a:lnTo>
                  <a:pt x="0" y="265550"/>
                </a:lnTo>
                <a:lnTo>
                  <a:pt x="365" y="256774"/>
                </a:lnTo>
                <a:lnTo>
                  <a:pt x="8531" y="234305"/>
                </a:lnTo>
                <a:lnTo>
                  <a:pt x="23635" y="203672"/>
                </a:lnTo>
                <a:lnTo>
                  <a:pt x="32826" y="203387"/>
                </a:lnTo>
                <a:lnTo>
                  <a:pt x="51737" y="184803"/>
                </a:lnTo>
                <a:lnTo>
                  <a:pt x="63773" y="184276"/>
                </a:lnTo>
                <a:lnTo>
                  <a:pt x="81597" y="197326"/>
                </a:lnTo>
                <a:lnTo>
                  <a:pt x="103410" y="186626"/>
                </a:lnTo>
                <a:lnTo>
                  <a:pt x="106378" y="173431"/>
                </a:lnTo>
                <a:lnTo>
                  <a:pt x="113509" y="160642"/>
                </a:lnTo>
                <a:lnTo>
                  <a:pt x="118430" y="144576"/>
                </a:lnTo>
                <a:lnTo>
                  <a:pt x="135411" y="131495"/>
                </a:lnTo>
                <a:lnTo>
                  <a:pt x="141817" y="109270"/>
                </a:lnTo>
                <a:lnTo>
                  <a:pt x="148552" y="102197"/>
                </a:lnTo>
                <a:lnTo>
                  <a:pt x="153031" y="85693"/>
                </a:lnTo>
                <a:lnTo>
                  <a:pt x="161420" y="65430"/>
                </a:lnTo>
                <a:lnTo>
                  <a:pt x="188170" y="40862"/>
                </a:lnTo>
                <a:lnTo>
                  <a:pt x="189845" y="30308"/>
                </a:lnTo>
                <a:lnTo>
                  <a:pt x="193307" y="24574"/>
                </a:lnTo>
                <a:lnTo>
                  <a:pt x="180737" y="11928"/>
                </a:lnTo>
                <a:lnTo>
                  <a:pt x="181759" y="1822"/>
                </a:lnTo>
                <a:lnTo>
                  <a:pt x="190722" y="0"/>
                </a:lnTo>
                <a:lnTo>
                  <a:pt x="203346" y="20332"/>
                </a:lnTo>
                <a:lnTo>
                  <a:pt x="205467" y="41395"/>
                </a:lnTo>
                <a:lnTo>
                  <a:pt x="204305" y="62487"/>
                </a:lnTo>
                <a:lnTo>
                  <a:pt x="221586" y="91348"/>
                </a:lnTo>
                <a:lnTo>
                  <a:pt x="203854" y="91036"/>
                </a:lnTo>
                <a:lnTo>
                  <a:pt x="194894" y="93297"/>
                </a:lnTo>
                <a:lnTo>
                  <a:pt x="180426" y="90106"/>
                </a:lnTo>
                <a:lnTo>
                  <a:pt x="173526" y="105089"/>
                </a:lnTo>
                <a:lnTo>
                  <a:pt x="192269" y="123618"/>
                </a:lnTo>
                <a:lnTo>
                  <a:pt x="206096" y="129009"/>
                </a:lnTo>
                <a:lnTo>
                  <a:pt x="210569" y="142151"/>
                </a:lnTo>
                <a:lnTo>
                  <a:pt x="220577" y="164039"/>
                </a:lnTo>
                <a:lnTo>
                  <a:pt x="215604" y="172640"/>
                </a:lnTo>
                <a:lnTo>
                  <a:pt x="199634" y="204815"/>
                </a:lnTo>
                <a:lnTo>
                  <a:pt x="192017" y="210578"/>
                </a:lnTo>
                <a:lnTo>
                  <a:pt x="189566" y="235191"/>
                </a:lnTo>
                <a:lnTo>
                  <a:pt x="192726" y="248564"/>
                </a:lnTo>
                <a:lnTo>
                  <a:pt x="190169" y="258025"/>
                </a:lnTo>
                <a:lnTo>
                  <a:pt x="205175" y="274605"/>
                </a:lnTo>
                <a:lnTo>
                  <a:pt x="207880" y="286004"/>
                </a:lnTo>
                <a:lnTo>
                  <a:pt x="219602" y="302390"/>
                </a:lnTo>
                <a:lnTo>
                  <a:pt x="234121" y="312607"/>
                </a:lnTo>
                <a:lnTo>
                  <a:pt x="235540" y="327088"/>
                </a:lnTo>
                <a:lnTo>
                  <a:pt x="238890" y="336289"/>
                </a:lnTo>
                <a:lnTo>
                  <a:pt x="236604" y="353431"/>
                </a:lnTo>
                <a:lnTo>
                  <a:pt x="211375" y="345929"/>
                </a:lnTo>
                <a:lnTo>
                  <a:pt x="185705" y="33755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446" name="CAF">
            <a:extLst>
              <a:ext uri="{FF2B5EF4-FFF2-40B4-BE49-F238E27FC236}">
                <a16:creationId xmlns:a16="http://schemas.microsoft.com/office/drawing/2014/main" id="{00000000-0008-0000-2700-00004E806400}"/>
              </a:ext>
            </a:extLst>
          </xdr:cNvPr>
          <xdr:cNvSpPr/>
        </xdr:nvSpPr>
        <xdr:spPr>
          <a:xfrm>
            <a:off x="6788830" y="3063960"/>
            <a:ext cx="410388" cy="281776"/>
          </a:xfrm>
          <a:custGeom>
            <a:avLst/>
            <a:gdLst/>
            <a:ahLst/>
            <a:cxnLst/>
            <a:rect l="0" t="0" r="0" b="0"/>
            <a:pathLst>
              <a:path w="410046" h="281776">
                <a:moveTo>
                  <a:pt x="26038" y="118126"/>
                </a:moveTo>
                <a:lnTo>
                  <a:pt x="52286" y="115738"/>
                </a:lnTo>
                <a:lnTo>
                  <a:pt x="58141" y="107572"/>
                </a:lnTo>
                <a:lnTo>
                  <a:pt x="63399" y="108192"/>
                </a:lnTo>
                <a:lnTo>
                  <a:pt x="71330" y="115383"/>
                </a:lnTo>
                <a:lnTo>
                  <a:pt x="111300" y="103235"/>
                </a:lnTo>
                <a:lnTo>
                  <a:pt x="124784" y="90840"/>
                </a:lnTo>
                <a:lnTo>
                  <a:pt x="141339" y="79740"/>
                </a:lnTo>
                <a:lnTo>
                  <a:pt x="138196" y="68564"/>
                </a:lnTo>
                <a:lnTo>
                  <a:pt x="147149" y="65647"/>
                </a:lnTo>
                <a:lnTo>
                  <a:pt x="177810" y="67618"/>
                </a:lnTo>
                <a:lnTo>
                  <a:pt x="207693" y="52909"/>
                </a:lnTo>
                <a:lnTo>
                  <a:pt x="230645" y="18266"/>
                </a:lnTo>
                <a:lnTo>
                  <a:pt x="246752" y="5414"/>
                </a:lnTo>
                <a:lnTo>
                  <a:pt x="266853" y="0"/>
                </a:lnTo>
                <a:lnTo>
                  <a:pt x="270450" y="13586"/>
                </a:lnTo>
                <a:lnTo>
                  <a:pt x="288763" y="33436"/>
                </a:lnTo>
                <a:lnTo>
                  <a:pt x="288856" y="46393"/>
                </a:lnTo>
                <a:lnTo>
                  <a:pt x="283699" y="59605"/>
                </a:lnTo>
                <a:lnTo>
                  <a:pt x="285738" y="69472"/>
                </a:lnTo>
                <a:lnTo>
                  <a:pt x="296749" y="78616"/>
                </a:lnTo>
                <a:lnTo>
                  <a:pt x="320930" y="92495"/>
                </a:lnTo>
                <a:lnTo>
                  <a:pt x="338312" y="105324"/>
                </a:lnTo>
                <a:lnTo>
                  <a:pt x="338605" y="115643"/>
                </a:lnTo>
                <a:lnTo>
                  <a:pt x="359957" y="132179"/>
                </a:lnTo>
                <a:lnTo>
                  <a:pt x="373190" y="145917"/>
                </a:lnTo>
                <a:lnTo>
                  <a:pt x="381207" y="164964"/>
                </a:lnTo>
                <a:lnTo>
                  <a:pt x="404940" y="177527"/>
                </a:lnTo>
                <a:lnTo>
                  <a:pt x="410045" y="187595"/>
                </a:lnTo>
                <a:lnTo>
                  <a:pt x="399564" y="190961"/>
                </a:lnTo>
                <a:lnTo>
                  <a:pt x="379204" y="190230"/>
                </a:lnTo>
                <a:lnTo>
                  <a:pt x="355318" y="186890"/>
                </a:lnTo>
                <a:lnTo>
                  <a:pt x="343517" y="189611"/>
                </a:lnTo>
                <a:lnTo>
                  <a:pt x="338754" y="197333"/>
                </a:lnTo>
                <a:lnTo>
                  <a:pt x="328473" y="198285"/>
                </a:lnTo>
                <a:lnTo>
                  <a:pt x="315948" y="191567"/>
                </a:lnTo>
                <a:lnTo>
                  <a:pt x="280600" y="207413"/>
                </a:lnTo>
                <a:lnTo>
                  <a:pt x="266132" y="204226"/>
                </a:lnTo>
                <a:lnTo>
                  <a:pt x="261770" y="206670"/>
                </a:lnTo>
                <a:lnTo>
                  <a:pt x="252277" y="225845"/>
                </a:lnTo>
                <a:lnTo>
                  <a:pt x="228591" y="219650"/>
                </a:lnTo>
                <a:lnTo>
                  <a:pt x="205365" y="216523"/>
                </a:lnTo>
                <a:lnTo>
                  <a:pt x="185144" y="204810"/>
                </a:lnTo>
                <a:lnTo>
                  <a:pt x="159017" y="194021"/>
                </a:lnTo>
                <a:lnTo>
                  <a:pt x="142015" y="204245"/>
                </a:lnTo>
                <a:lnTo>
                  <a:pt x="129655" y="220364"/>
                </a:lnTo>
                <a:lnTo>
                  <a:pt x="126800" y="242507"/>
                </a:lnTo>
                <a:lnTo>
                  <a:pt x="106379" y="240735"/>
                </a:lnTo>
                <a:lnTo>
                  <a:pt x="84887" y="235401"/>
                </a:lnTo>
                <a:lnTo>
                  <a:pt x="65968" y="252225"/>
                </a:lnTo>
                <a:lnTo>
                  <a:pt x="49324" y="281775"/>
                </a:lnTo>
                <a:lnTo>
                  <a:pt x="45974" y="272574"/>
                </a:lnTo>
                <a:lnTo>
                  <a:pt x="44555" y="258093"/>
                </a:lnTo>
                <a:lnTo>
                  <a:pt x="30036" y="247876"/>
                </a:lnTo>
                <a:lnTo>
                  <a:pt x="18314" y="231490"/>
                </a:lnTo>
                <a:lnTo>
                  <a:pt x="15609" y="220091"/>
                </a:lnTo>
                <a:lnTo>
                  <a:pt x="603" y="203511"/>
                </a:lnTo>
                <a:lnTo>
                  <a:pt x="3160" y="194050"/>
                </a:lnTo>
                <a:lnTo>
                  <a:pt x="0" y="180677"/>
                </a:lnTo>
                <a:lnTo>
                  <a:pt x="2451" y="156064"/>
                </a:lnTo>
                <a:lnTo>
                  <a:pt x="10068" y="150301"/>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696" name="TCD">
            <a:extLst>
              <a:ext uri="{FF2B5EF4-FFF2-40B4-BE49-F238E27FC236}">
                <a16:creationId xmlns:a16="http://schemas.microsoft.com/office/drawing/2014/main" id="{00000000-0008-0000-2700-0000607D6400}"/>
              </a:ext>
            </a:extLst>
          </xdr:cNvPr>
          <xdr:cNvSpPr/>
        </xdr:nvSpPr>
        <xdr:spPr>
          <a:xfrm>
            <a:off x="6759627" y="2674473"/>
            <a:ext cx="328776" cy="507614"/>
          </a:xfrm>
          <a:custGeom>
            <a:avLst/>
            <a:gdLst/>
            <a:ahLst/>
            <a:cxnLst/>
            <a:rect l="0" t="0" r="0" b="0"/>
            <a:pathLst>
              <a:path w="328502" h="507614">
                <a:moveTo>
                  <a:pt x="30334" y="334973"/>
                </a:moveTo>
                <a:lnTo>
                  <a:pt x="33509" y="320018"/>
                </a:lnTo>
                <a:lnTo>
                  <a:pt x="13148" y="319288"/>
                </a:lnTo>
                <a:lnTo>
                  <a:pt x="13217" y="298863"/>
                </a:lnTo>
                <a:lnTo>
                  <a:pt x="0" y="287103"/>
                </a:lnTo>
                <a:lnTo>
                  <a:pt x="13710" y="245279"/>
                </a:lnTo>
                <a:lnTo>
                  <a:pt x="54207" y="215342"/>
                </a:lnTo>
                <a:lnTo>
                  <a:pt x="55880" y="174048"/>
                </a:lnTo>
                <a:lnTo>
                  <a:pt x="68113" y="109617"/>
                </a:lnTo>
                <a:lnTo>
                  <a:pt x="75019" y="95952"/>
                </a:lnTo>
                <a:lnTo>
                  <a:pt x="61808" y="85068"/>
                </a:lnTo>
                <a:lnTo>
                  <a:pt x="61300" y="74972"/>
                </a:lnTo>
                <a:lnTo>
                  <a:pt x="49419" y="66714"/>
                </a:lnTo>
                <a:lnTo>
                  <a:pt x="41621" y="17358"/>
                </a:lnTo>
                <a:lnTo>
                  <a:pt x="73673" y="0"/>
                </a:lnTo>
                <a:lnTo>
                  <a:pt x="200308" y="60789"/>
                </a:lnTo>
                <a:lnTo>
                  <a:pt x="326939" y="121578"/>
                </a:lnTo>
                <a:lnTo>
                  <a:pt x="328501" y="247616"/>
                </a:lnTo>
                <a:lnTo>
                  <a:pt x="301124" y="245396"/>
                </a:lnTo>
                <a:lnTo>
                  <a:pt x="286626" y="268777"/>
                </a:lnTo>
                <a:lnTo>
                  <a:pt x="278228" y="288382"/>
                </a:lnTo>
                <a:lnTo>
                  <a:pt x="284849" y="295799"/>
                </a:lnTo>
                <a:lnTo>
                  <a:pt x="274412" y="305537"/>
                </a:lnTo>
                <a:lnTo>
                  <a:pt x="278010" y="318688"/>
                </a:lnTo>
                <a:lnTo>
                  <a:pt x="269786" y="331921"/>
                </a:lnTo>
                <a:lnTo>
                  <a:pt x="266586" y="343583"/>
                </a:lnTo>
                <a:lnTo>
                  <a:pt x="277736" y="341745"/>
                </a:lnTo>
                <a:lnTo>
                  <a:pt x="284392" y="353997"/>
                </a:lnTo>
                <a:lnTo>
                  <a:pt x="284743" y="372437"/>
                </a:lnTo>
                <a:lnTo>
                  <a:pt x="296412" y="381797"/>
                </a:lnTo>
                <a:lnTo>
                  <a:pt x="296031" y="389487"/>
                </a:lnTo>
                <a:lnTo>
                  <a:pt x="275930" y="394901"/>
                </a:lnTo>
                <a:lnTo>
                  <a:pt x="259823" y="407753"/>
                </a:lnTo>
                <a:lnTo>
                  <a:pt x="236871" y="442396"/>
                </a:lnTo>
                <a:lnTo>
                  <a:pt x="206988" y="457105"/>
                </a:lnTo>
                <a:lnTo>
                  <a:pt x="176327" y="455134"/>
                </a:lnTo>
                <a:lnTo>
                  <a:pt x="167374" y="458051"/>
                </a:lnTo>
                <a:lnTo>
                  <a:pt x="170517" y="469227"/>
                </a:lnTo>
                <a:lnTo>
                  <a:pt x="153962" y="480327"/>
                </a:lnTo>
                <a:lnTo>
                  <a:pt x="140478" y="492722"/>
                </a:lnTo>
                <a:lnTo>
                  <a:pt x="100508" y="504870"/>
                </a:lnTo>
                <a:lnTo>
                  <a:pt x="92577" y="497679"/>
                </a:lnTo>
                <a:lnTo>
                  <a:pt x="87319" y="497059"/>
                </a:lnTo>
                <a:lnTo>
                  <a:pt x="81464" y="505225"/>
                </a:lnTo>
                <a:lnTo>
                  <a:pt x="55216" y="507613"/>
                </a:lnTo>
                <a:lnTo>
                  <a:pt x="60189" y="499012"/>
                </a:lnTo>
                <a:lnTo>
                  <a:pt x="50181" y="477124"/>
                </a:lnTo>
                <a:lnTo>
                  <a:pt x="45708" y="463982"/>
                </a:lnTo>
                <a:lnTo>
                  <a:pt x="31881" y="458591"/>
                </a:lnTo>
                <a:lnTo>
                  <a:pt x="13138" y="440062"/>
                </a:lnTo>
                <a:lnTo>
                  <a:pt x="20038" y="425079"/>
                </a:lnTo>
                <a:lnTo>
                  <a:pt x="34506" y="428270"/>
                </a:lnTo>
                <a:lnTo>
                  <a:pt x="43466" y="426009"/>
                </a:lnTo>
                <a:lnTo>
                  <a:pt x="61198" y="426321"/>
                </a:lnTo>
                <a:lnTo>
                  <a:pt x="43917" y="397460"/>
                </a:lnTo>
                <a:lnTo>
                  <a:pt x="45079" y="376368"/>
                </a:lnTo>
                <a:lnTo>
                  <a:pt x="42958" y="355305"/>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6585697" name="CHL">
            <a:extLst>
              <a:ext uri="{FF2B5EF4-FFF2-40B4-BE49-F238E27FC236}">
                <a16:creationId xmlns:a16="http://schemas.microsoft.com/office/drawing/2014/main" id="{00000000-0008-0000-2700-0000617D6400}"/>
              </a:ext>
            </a:extLst>
          </xdr:cNvPr>
          <xdr:cNvGrpSpPr/>
        </xdr:nvGrpSpPr>
        <xdr:grpSpPr>
          <a:xfrm>
            <a:off x="3925651" y="3975896"/>
            <a:ext cx="275964" cy="1207511"/>
            <a:chOff x="3821290" y="4229896"/>
            <a:chExt cx="275734" cy="1207511"/>
          </a:xfrm>
          <a:grpFill/>
        </xdr:grpSpPr>
        <xdr:sp macro="" textlink="">
          <xdr:nvSpPr>
            <xdr:cNvPr id="6586850" name="CL_1">
              <a:extLst>
                <a:ext uri="{FF2B5EF4-FFF2-40B4-BE49-F238E27FC236}">
                  <a16:creationId xmlns:a16="http://schemas.microsoft.com/office/drawing/2014/main" id="{00000000-0008-0000-2700-0000E2816400}"/>
                </a:ext>
              </a:extLst>
            </xdr:cNvPr>
            <xdr:cNvSpPr/>
          </xdr:nvSpPr>
          <xdr:spPr>
            <a:xfrm>
              <a:off x="3852465" y="5339188"/>
              <a:ext cx="244559" cy="98219"/>
            </a:xfrm>
            <a:custGeom>
              <a:avLst/>
              <a:gdLst/>
              <a:ahLst/>
              <a:cxnLst/>
              <a:rect l="0" t="0" r="0" b="0"/>
              <a:pathLst>
                <a:path w="244559" h="98219">
                  <a:moveTo>
                    <a:pt x="191405" y="3749"/>
                  </a:moveTo>
                  <a:lnTo>
                    <a:pt x="191427" y="74650"/>
                  </a:lnTo>
                  <a:lnTo>
                    <a:pt x="225428" y="74666"/>
                  </a:lnTo>
                  <a:lnTo>
                    <a:pt x="244558" y="75517"/>
                  </a:lnTo>
                  <a:lnTo>
                    <a:pt x="234045" y="88357"/>
                  </a:lnTo>
                  <a:lnTo>
                    <a:pt x="206817" y="98218"/>
                  </a:lnTo>
                  <a:lnTo>
                    <a:pt x="191214" y="97208"/>
                  </a:lnTo>
                  <a:lnTo>
                    <a:pt x="172415" y="94640"/>
                  </a:lnTo>
                  <a:lnTo>
                    <a:pt x="149365" y="85093"/>
                  </a:lnTo>
                  <a:lnTo>
                    <a:pt x="116104" y="80502"/>
                  </a:lnTo>
                  <a:lnTo>
                    <a:pt x="76156" y="62763"/>
                  </a:lnTo>
                  <a:lnTo>
                    <a:pt x="43729" y="45694"/>
                  </a:lnTo>
                  <a:lnTo>
                    <a:pt x="0" y="10134"/>
                  </a:lnTo>
                  <a:lnTo>
                    <a:pt x="26175" y="16799"/>
                  </a:lnTo>
                  <a:lnTo>
                    <a:pt x="70749" y="38007"/>
                  </a:lnTo>
                  <a:lnTo>
                    <a:pt x="112865" y="49402"/>
                  </a:lnTo>
                  <a:lnTo>
                    <a:pt x="129245" y="34845"/>
                  </a:lnTo>
                  <a:lnTo>
                    <a:pt x="139541" y="13109"/>
                  </a:lnTo>
                  <a:lnTo>
                    <a:pt x="168812"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51" name="CL_2">
              <a:extLst>
                <a:ext uri="{FF2B5EF4-FFF2-40B4-BE49-F238E27FC236}">
                  <a16:creationId xmlns:a16="http://schemas.microsoft.com/office/drawing/2014/main" id="{00000000-0008-0000-2700-0000E3816400}"/>
                </a:ext>
              </a:extLst>
            </xdr:cNvPr>
            <xdr:cNvSpPr/>
          </xdr:nvSpPr>
          <xdr:spPr>
            <a:xfrm>
              <a:off x="3821290" y="4229896"/>
              <a:ext cx="274930" cy="1151780"/>
            </a:xfrm>
            <a:custGeom>
              <a:avLst/>
              <a:gdLst/>
              <a:ahLst/>
              <a:cxnLst/>
              <a:rect l="0" t="0" r="0" b="0"/>
              <a:pathLst>
                <a:path w="274930" h="1151780">
                  <a:moveTo>
                    <a:pt x="235728" y="124280"/>
                  </a:moveTo>
                  <a:lnTo>
                    <a:pt x="248164" y="168050"/>
                  </a:lnTo>
                  <a:lnTo>
                    <a:pt x="271072" y="163700"/>
                  </a:lnTo>
                  <a:lnTo>
                    <a:pt x="274929" y="171650"/>
                  </a:lnTo>
                  <a:lnTo>
                    <a:pt x="264033" y="204639"/>
                  </a:lnTo>
                  <a:lnTo>
                    <a:pt x="229448" y="220301"/>
                  </a:lnTo>
                  <a:lnTo>
                    <a:pt x="230454" y="273209"/>
                  </a:lnTo>
                  <a:lnTo>
                    <a:pt x="223825" y="283430"/>
                  </a:lnTo>
                  <a:lnTo>
                    <a:pt x="233328" y="295888"/>
                  </a:lnTo>
                  <a:lnTo>
                    <a:pt x="210922" y="315633"/>
                  </a:lnTo>
                  <a:lnTo>
                    <a:pt x="190128" y="345412"/>
                  </a:lnTo>
                  <a:lnTo>
                    <a:pt x="178778" y="374266"/>
                  </a:lnTo>
                  <a:lnTo>
                    <a:pt x="181781" y="405013"/>
                  </a:lnTo>
                  <a:lnTo>
                    <a:pt x="162220" y="437674"/>
                  </a:lnTo>
                  <a:lnTo>
                    <a:pt x="176847" y="492481"/>
                  </a:lnTo>
                  <a:lnTo>
                    <a:pt x="185090" y="498282"/>
                  </a:lnTo>
                  <a:lnTo>
                    <a:pt x="185010" y="527482"/>
                  </a:lnTo>
                  <a:lnTo>
                    <a:pt x="166890" y="558473"/>
                  </a:lnTo>
                  <a:lnTo>
                    <a:pt x="167627" y="584997"/>
                  </a:lnTo>
                  <a:lnTo>
                    <a:pt x="143589" y="605730"/>
                  </a:lnTo>
                  <a:lnTo>
                    <a:pt x="143694" y="634899"/>
                  </a:lnTo>
                  <a:lnTo>
                    <a:pt x="153343" y="665893"/>
                  </a:lnTo>
                  <a:lnTo>
                    <a:pt x="134331" y="677418"/>
                  </a:lnTo>
                  <a:lnTo>
                    <a:pt x="125844" y="705746"/>
                  </a:lnTo>
                  <a:lnTo>
                    <a:pt x="118386" y="738261"/>
                  </a:lnTo>
                  <a:lnTo>
                    <a:pt x="123749" y="776967"/>
                  </a:lnTo>
                  <a:lnTo>
                    <a:pt x="110982" y="783429"/>
                  </a:lnTo>
                  <a:lnTo>
                    <a:pt x="118395" y="820058"/>
                  </a:lnTo>
                  <a:lnTo>
                    <a:pt x="132724" y="832092"/>
                  </a:lnTo>
                  <a:lnTo>
                    <a:pt x="122263" y="845414"/>
                  </a:lnTo>
                  <a:lnTo>
                    <a:pt x="136988" y="851774"/>
                  </a:lnTo>
                  <a:lnTo>
                    <a:pt x="140386" y="863734"/>
                  </a:lnTo>
                  <a:lnTo>
                    <a:pt x="126527" y="869750"/>
                  </a:lnTo>
                  <a:lnTo>
                    <a:pt x="129933" y="888388"/>
                  </a:lnTo>
                  <a:lnTo>
                    <a:pt x="118335" y="930428"/>
                  </a:lnTo>
                  <a:lnTo>
                    <a:pt x="101505" y="957533"/>
                  </a:lnTo>
                  <a:lnTo>
                    <a:pt x="105194" y="973589"/>
                  </a:lnTo>
                  <a:lnTo>
                    <a:pt x="95129" y="993731"/>
                  </a:lnTo>
                  <a:lnTo>
                    <a:pt x="70770" y="1007695"/>
                  </a:lnTo>
                  <a:lnTo>
                    <a:pt x="73542" y="1041362"/>
                  </a:lnTo>
                  <a:lnTo>
                    <a:pt x="84731" y="1052878"/>
                  </a:lnTo>
                  <a:lnTo>
                    <a:pt x="105867" y="1050830"/>
                  </a:lnTo>
                  <a:lnTo>
                    <a:pt x="105251" y="1074611"/>
                  </a:lnTo>
                  <a:lnTo>
                    <a:pt x="118415" y="1093121"/>
                  </a:lnTo>
                  <a:lnTo>
                    <a:pt x="195135" y="1097369"/>
                  </a:lnTo>
                  <a:lnTo>
                    <a:pt x="224564" y="1102341"/>
                  </a:lnTo>
                  <a:lnTo>
                    <a:pt x="196313" y="1102106"/>
                  </a:lnTo>
                  <a:lnTo>
                    <a:pt x="181026" y="1109914"/>
                  </a:lnTo>
                  <a:lnTo>
                    <a:pt x="152377" y="1121385"/>
                  </a:lnTo>
                  <a:lnTo>
                    <a:pt x="147260" y="1151043"/>
                  </a:lnTo>
                  <a:lnTo>
                    <a:pt x="133813" y="1151779"/>
                  </a:lnTo>
                  <a:lnTo>
                    <a:pt x="97996" y="1141457"/>
                  </a:lnTo>
                  <a:lnTo>
                    <a:pt x="61646" y="1119350"/>
                  </a:lnTo>
                  <a:lnTo>
                    <a:pt x="61646" y="1119350"/>
                  </a:lnTo>
                  <a:lnTo>
                    <a:pt x="22149" y="1101179"/>
                  </a:lnTo>
                  <a:lnTo>
                    <a:pt x="12205" y="1081069"/>
                  </a:lnTo>
                  <a:lnTo>
                    <a:pt x="21202" y="1062463"/>
                  </a:lnTo>
                  <a:lnTo>
                    <a:pt x="5226" y="1041350"/>
                  </a:lnTo>
                  <a:lnTo>
                    <a:pt x="1156" y="987228"/>
                  </a:lnTo>
                  <a:lnTo>
                    <a:pt x="14656" y="956688"/>
                  </a:lnTo>
                  <a:lnTo>
                    <a:pt x="48190" y="932158"/>
                  </a:lnTo>
                  <a:lnTo>
                    <a:pt x="0" y="922897"/>
                  </a:lnTo>
                  <a:lnTo>
                    <a:pt x="30232" y="894842"/>
                  </a:lnTo>
                  <a:lnTo>
                    <a:pt x="41043" y="842106"/>
                  </a:lnTo>
                  <a:lnTo>
                    <a:pt x="76327" y="853282"/>
                  </a:lnTo>
                  <a:lnTo>
                    <a:pt x="92919" y="787508"/>
                  </a:lnTo>
                  <a:lnTo>
                    <a:pt x="71612" y="779066"/>
                  </a:lnTo>
                  <a:lnTo>
                    <a:pt x="61693" y="818700"/>
                  </a:lnTo>
                  <a:lnTo>
                    <a:pt x="41672" y="814229"/>
                  </a:lnTo>
                  <a:lnTo>
                    <a:pt x="51638" y="768820"/>
                  </a:lnTo>
                  <a:lnTo>
                    <a:pt x="62462" y="710000"/>
                  </a:lnTo>
                  <a:lnTo>
                    <a:pt x="77051" y="688299"/>
                  </a:lnTo>
                  <a:lnTo>
                    <a:pt x="67907" y="657318"/>
                  </a:lnTo>
                  <a:lnTo>
                    <a:pt x="65287" y="621548"/>
                  </a:lnTo>
                  <a:lnTo>
                    <a:pt x="78667" y="620516"/>
                  </a:lnTo>
                  <a:lnTo>
                    <a:pt x="98149" y="569240"/>
                  </a:lnTo>
                  <a:lnTo>
                    <a:pt x="120101" y="518449"/>
                  </a:lnTo>
                  <a:lnTo>
                    <a:pt x="133537" y="471136"/>
                  </a:lnTo>
                  <a:lnTo>
                    <a:pt x="126228" y="423564"/>
                  </a:lnTo>
                  <a:lnTo>
                    <a:pt x="135709" y="397374"/>
                  </a:lnTo>
                  <a:lnTo>
                    <a:pt x="131905" y="358185"/>
                  </a:lnTo>
                  <a:lnTo>
                    <a:pt x="150472" y="319418"/>
                  </a:lnTo>
                  <a:lnTo>
                    <a:pt x="156191" y="257998"/>
                  </a:lnTo>
                  <a:lnTo>
                    <a:pt x="166382" y="192056"/>
                  </a:lnTo>
                  <a:lnTo>
                    <a:pt x="176314" y="121073"/>
                  </a:lnTo>
                  <a:lnTo>
                    <a:pt x="173990" y="69104"/>
                  </a:lnTo>
                  <a:lnTo>
                    <a:pt x="167380" y="24385"/>
                  </a:lnTo>
                  <a:lnTo>
                    <a:pt x="183705" y="16279"/>
                  </a:lnTo>
                  <a:lnTo>
                    <a:pt x="192214" y="0"/>
                  </a:lnTo>
                  <a:lnTo>
                    <a:pt x="207778" y="21594"/>
                  </a:lnTo>
                  <a:lnTo>
                    <a:pt x="212014" y="44504"/>
                  </a:lnTo>
                  <a:lnTo>
                    <a:pt x="228670" y="57947"/>
                  </a:lnTo>
                  <a:lnTo>
                    <a:pt x="218668" y="8866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6585698" name="COL">
            <a:extLst>
              <a:ext uri="{FF2B5EF4-FFF2-40B4-BE49-F238E27FC236}">
                <a16:creationId xmlns:a16="http://schemas.microsoft.com/office/drawing/2014/main" id="{00000000-0008-0000-2700-0000627D6400}"/>
              </a:ext>
            </a:extLst>
          </xdr:cNvPr>
          <xdr:cNvSpPr/>
        </xdr:nvSpPr>
        <xdr:spPr>
          <a:xfrm>
            <a:off x="3819310" y="3022847"/>
            <a:ext cx="384960" cy="531353"/>
          </a:xfrm>
          <a:custGeom>
            <a:avLst/>
            <a:gdLst/>
            <a:ahLst/>
            <a:cxnLst/>
            <a:rect l="0" t="0" r="0" b="0"/>
            <a:pathLst>
              <a:path w="384640" h="531353">
                <a:moveTo>
                  <a:pt x="114862" y="399710"/>
                </a:moveTo>
                <a:lnTo>
                  <a:pt x="101264" y="392192"/>
                </a:lnTo>
                <a:lnTo>
                  <a:pt x="85681" y="381676"/>
                </a:lnTo>
                <a:lnTo>
                  <a:pt x="76661" y="386728"/>
                </a:lnTo>
                <a:lnTo>
                  <a:pt x="49718" y="382321"/>
                </a:lnTo>
                <a:lnTo>
                  <a:pt x="41983" y="368662"/>
                </a:lnTo>
                <a:lnTo>
                  <a:pt x="36062" y="369170"/>
                </a:lnTo>
                <a:lnTo>
                  <a:pt x="4306" y="351041"/>
                </a:lnTo>
                <a:lnTo>
                  <a:pt x="0" y="341182"/>
                </a:lnTo>
                <a:lnTo>
                  <a:pt x="11846" y="338801"/>
                </a:lnTo>
                <a:lnTo>
                  <a:pt x="10440" y="322894"/>
                </a:lnTo>
                <a:lnTo>
                  <a:pt x="17885" y="311395"/>
                </a:lnTo>
                <a:lnTo>
                  <a:pt x="33637" y="309267"/>
                </a:lnTo>
                <a:lnTo>
                  <a:pt x="47006" y="289316"/>
                </a:lnTo>
                <a:lnTo>
                  <a:pt x="59157" y="272659"/>
                </a:lnTo>
                <a:lnTo>
                  <a:pt x="47454" y="265103"/>
                </a:lnTo>
                <a:lnTo>
                  <a:pt x="53445" y="246675"/>
                </a:lnTo>
                <a:lnTo>
                  <a:pt x="46282" y="217631"/>
                </a:lnTo>
                <a:lnTo>
                  <a:pt x="53090" y="209293"/>
                </a:lnTo>
                <a:lnTo>
                  <a:pt x="48076" y="182442"/>
                </a:lnTo>
                <a:lnTo>
                  <a:pt x="35221" y="165529"/>
                </a:lnTo>
                <a:lnTo>
                  <a:pt x="39291" y="150098"/>
                </a:lnTo>
                <a:lnTo>
                  <a:pt x="49524" y="152375"/>
                </a:lnTo>
                <a:lnTo>
                  <a:pt x="55509" y="142939"/>
                </a:lnTo>
                <a:lnTo>
                  <a:pt x="48140" y="124238"/>
                </a:lnTo>
                <a:lnTo>
                  <a:pt x="51991" y="119596"/>
                </a:lnTo>
                <a:lnTo>
                  <a:pt x="68396" y="120606"/>
                </a:lnTo>
                <a:lnTo>
                  <a:pt x="92218" y="98441"/>
                </a:lnTo>
                <a:lnTo>
                  <a:pt x="105293" y="95063"/>
                </a:lnTo>
                <a:lnTo>
                  <a:pt x="105607" y="84560"/>
                </a:lnTo>
                <a:lnTo>
                  <a:pt x="111459" y="57731"/>
                </a:lnTo>
                <a:lnTo>
                  <a:pt x="129668" y="42999"/>
                </a:lnTo>
                <a:lnTo>
                  <a:pt x="149673" y="42396"/>
                </a:lnTo>
                <a:lnTo>
                  <a:pt x="152200" y="35776"/>
                </a:lnTo>
                <a:lnTo>
                  <a:pt x="177042" y="38427"/>
                </a:lnTo>
                <a:lnTo>
                  <a:pt x="202029" y="22393"/>
                </a:lnTo>
                <a:lnTo>
                  <a:pt x="214399" y="15297"/>
                </a:lnTo>
                <a:lnTo>
                  <a:pt x="229769" y="0"/>
                </a:lnTo>
                <a:lnTo>
                  <a:pt x="241018" y="1947"/>
                </a:lnTo>
                <a:lnTo>
                  <a:pt x="249346" y="10297"/>
                </a:lnTo>
                <a:lnTo>
                  <a:pt x="243183" y="20987"/>
                </a:lnTo>
                <a:lnTo>
                  <a:pt x="222790" y="26308"/>
                </a:lnTo>
                <a:lnTo>
                  <a:pt x="214735" y="42183"/>
                </a:lnTo>
                <a:lnTo>
                  <a:pt x="202445" y="51286"/>
                </a:lnTo>
                <a:lnTo>
                  <a:pt x="193218" y="63087"/>
                </a:lnTo>
                <a:lnTo>
                  <a:pt x="189335" y="85741"/>
                </a:lnTo>
                <a:lnTo>
                  <a:pt x="180528" y="104309"/>
                </a:lnTo>
                <a:lnTo>
                  <a:pt x="196920" y="106436"/>
                </a:lnTo>
                <a:lnTo>
                  <a:pt x="200991" y="121031"/>
                </a:lnTo>
                <a:lnTo>
                  <a:pt x="207995" y="128016"/>
                </a:lnTo>
                <a:lnTo>
                  <a:pt x="210503" y="140802"/>
                </a:lnTo>
                <a:lnTo>
                  <a:pt x="206731" y="152552"/>
                </a:lnTo>
                <a:lnTo>
                  <a:pt x="207849" y="159179"/>
                </a:lnTo>
                <a:lnTo>
                  <a:pt x="215662" y="161827"/>
                </a:lnTo>
                <a:lnTo>
                  <a:pt x="223225" y="172901"/>
                </a:lnTo>
                <a:lnTo>
                  <a:pt x="264056" y="169847"/>
                </a:lnTo>
                <a:lnTo>
                  <a:pt x="282499" y="173892"/>
                </a:lnTo>
                <a:lnTo>
                  <a:pt x="304845" y="201213"/>
                </a:lnTo>
                <a:lnTo>
                  <a:pt x="317678" y="197819"/>
                </a:lnTo>
                <a:lnTo>
                  <a:pt x="340545" y="199517"/>
                </a:lnTo>
                <a:lnTo>
                  <a:pt x="358642" y="195898"/>
                </a:lnTo>
                <a:lnTo>
                  <a:pt x="369872" y="201352"/>
                </a:lnTo>
                <a:lnTo>
                  <a:pt x="364154" y="218453"/>
                </a:lnTo>
                <a:lnTo>
                  <a:pt x="357067" y="229114"/>
                </a:lnTo>
                <a:lnTo>
                  <a:pt x="354581" y="251886"/>
                </a:lnTo>
                <a:lnTo>
                  <a:pt x="360969" y="272980"/>
                </a:lnTo>
                <a:lnTo>
                  <a:pt x="369993" y="282416"/>
                </a:lnTo>
                <a:lnTo>
                  <a:pt x="371085" y="289522"/>
                </a:lnTo>
                <a:lnTo>
                  <a:pt x="354997" y="305327"/>
                </a:lnTo>
                <a:lnTo>
                  <a:pt x="366516" y="312325"/>
                </a:lnTo>
                <a:lnTo>
                  <a:pt x="374955" y="323428"/>
                </a:lnTo>
                <a:lnTo>
                  <a:pt x="384639" y="355089"/>
                </a:lnTo>
                <a:lnTo>
                  <a:pt x="378648" y="359004"/>
                </a:lnTo>
                <a:lnTo>
                  <a:pt x="372457" y="340274"/>
                </a:lnTo>
                <a:lnTo>
                  <a:pt x="363636" y="330203"/>
                </a:lnTo>
                <a:lnTo>
                  <a:pt x="353133" y="341148"/>
                </a:lnTo>
                <a:lnTo>
                  <a:pt x="291272" y="340439"/>
                </a:lnTo>
                <a:lnTo>
                  <a:pt x="291665" y="360306"/>
                </a:lnTo>
                <a:lnTo>
                  <a:pt x="310271" y="363588"/>
                </a:lnTo>
                <a:lnTo>
                  <a:pt x="309198" y="375749"/>
                </a:lnTo>
                <a:lnTo>
                  <a:pt x="302848" y="372463"/>
                </a:lnTo>
                <a:lnTo>
                  <a:pt x="284966" y="377695"/>
                </a:lnTo>
                <a:lnTo>
                  <a:pt x="284804" y="400764"/>
                </a:lnTo>
                <a:lnTo>
                  <a:pt x="298889" y="412347"/>
                </a:lnTo>
                <a:lnTo>
                  <a:pt x="303861" y="430527"/>
                </a:lnTo>
                <a:lnTo>
                  <a:pt x="303111" y="444297"/>
                </a:lnTo>
                <a:lnTo>
                  <a:pt x="288840" y="531352"/>
                </a:lnTo>
                <a:lnTo>
                  <a:pt x="272952" y="514474"/>
                </a:lnTo>
                <a:lnTo>
                  <a:pt x="263468" y="513722"/>
                </a:lnTo>
                <a:lnTo>
                  <a:pt x="283947" y="481410"/>
                </a:lnTo>
                <a:lnTo>
                  <a:pt x="259633" y="466541"/>
                </a:lnTo>
                <a:lnTo>
                  <a:pt x="240580" y="469268"/>
                </a:lnTo>
                <a:lnTo>
                  <a:pt x="229111" y="463776"/>
                </a:lnTo>
                <a:lnTo>
                  <a:pt x="211617" y="472170"/>
                </a:lnTo>
                <a:lnTo>
                  <a:pt x="187976" y="468195"/>
                </a:lnTo>
                <a:lnTo>
                  <a:pt x="169272" y="434905"/>
                </a:lnTo>
                <a:lnTo>
                  <a:pt x="154575" y="426723"/>
                </a:lnTo>
                <a:lnTo>
                  <a:pt x="144441" y="411737"/>
                </a:lnTo>
                <a:lnTo>
                  <a:pt x="123327" y="39670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n-GB" sz="1100">
              <a:solidFill>
                <a:schemeClr val="lt1"/>
              </a:solidFill>
              <a:latin typeface="+mn-lt"/>
              <a:ea typeface="+mn-ea"/>
              <a:cs typeface="+mn-cs"/>
            </a:endParaRPr>
          </a:p>
        </xdr:txBody>
      </xdr:sp>
      <xdr:sp macro="" textlink="">
        <xdr:nvSpPr>
          <xdr:cNvPr id="6585699" name="COG">
            <a:extLst>
              <a:ext uri="{FF2B5EF4-FFF2-40B4-BE49-F238E27FC236}">
                <a16:creationId xmlns:a16="http://schemas.microsoft.com/office/drawing/2014/main" id="{00000000-0008-0000-2700-0000637D6400}"/>
              </a:ext>
            </a:extLst>
          </xdr:cNvPr>
          <xdr:cNvSpPr/>
        </xdr:nvSpPr>
        <xdr:spPr>
          <a:xfrm>
            <a:off x="6681883" y="3299361"/>
            <a:ext cx="233853" cy="278328"/>
          </a:xfrm>
          <a:custGeom>
            <a:avLst/>
            <a:gdLst/>
            <a:ahLst/>
            <a:cxnLst/>
            <a:rect l="0" t="0" r="0" b="0"/>
            <a:pathLst>
              <a:path w="233658" h="278328">
                <a:moveTo>
                  <a:pt x="60379" y="270170"/>
                </a:moveTo>
                <a:lnTo>
                  <a:pt x="48482" y="259277"/>
                </a:lnTo>
                <a:lnTo>
                  <a:pt x="38887" y="264617"/>
                </a:lnTo>
                <a:lnTo>
                  <a:pt x="26072" y="278327"/>
                </a:lnTo>
                <a:lnTo>
                  <a:pt x="0" y="244697"/>
                </a:lnTo>
                <a:lnTo>
                  <a:pt x="24171" y="227174"/>
                </a:lnTo>
                <a:lnTo>
                  <a:pt x="12198" y="206178"/>
                </a:lnTo>
                <a:lnTo>
                  <a:pt x="23088" y="198196"/>
                </a:lnTo>
                <a:lnTo>
                  <a:pt x="44510" y="194307"/>
                </a:lnTo>
                <a:lnTo>
                  <a:pt x="47037" y="180235"/>
                </a:lnTo>
                <a:lnTo>
                  <a:pt x="64001" y="195482"/>
                </a:lnTo>
                <a:lnTo>
                  <a:pt x="92030" y="196819"/>
                </a:lnTo>
                <a:lnTo>
                  <a:pt x="101771" y="181816"/>
                </a:lnTo>
                <a:lnTo>
                  <a:pt x="105781" y="160706"/>
                </a:lnTo>
                <a:lnTo>
                  <a:pt x="102317" y="135916"/>
                </a:lnTo>
                <a:lnTo>
                  <a:pt x="87297" y="117138"/>
                </a:lnTo>
                <a:lnTo>
                  <a:pt x="101044" y="80369"/>
                </a:lnTo>
                <a:lnTo>
                  <a:pt x="93120" y="74057"/>
                </a:lnTo>
                <a:lnTo>
                  <a:pt x="69494" y="76644"/>
                </a:lnTo>
                <a:lnTo>
                  <a:pt x="60620" y="60239"/>
                </a:lnTo>
                <a:lnTo>
                  <a:pt x="62928" y="46390"/>
                </a:lnTo>
                <a:lnTo>
                  <a:pt x="102996" y="47635"/>
                </a:lnTo>
                <a:lnTo>
                  <a:pt x="128666" y="56014"/>
                </a:lnTo>
                <a:lnTo>
                  <a:pt x="153895" y="63516"/>
                </a:lnTo>
                <a:lnTo>
                  <a:pt x="156181" y="46374"/>
                </a:lnTo>
                <a:lnTo>
                  <a:pt x="172825" y="16824"/>
                </a:lnTo>
                <a:lnTo>
                  <a:pt x="191744" y="0"/>
                </a:lnTo>
                <a:lnTo>
                  <a:pt x="213236" y="5334"/>
                </a:lnTo>
                <a:lnTo>
                  <a:pt x="233657" y="7106"/>
                </a:lnTo>
                <a:lnTo>
                  <a:pt x="231775" y="26283"/>
                </a:lnTo>
                <a:lnTo>
                  <a:pt x="222266" y="43259"/>
                </a:lnTo>
                <a:lnTo>
                  <a:pt x="216059" y="63068"/>
                </a:lnTo>
                <a:lnTo>
                  <a:pt x="212102" y="91202"/>
                </a:lnTo>
                <a:lnTo>
                  <a:pt x="213763" y="109198"/>
                </a:lnTo>
                <a:lnTo>
                  <a:pt x="208591" y="120215"/>
                </a:lnTo>
                <a:lnTo>
                  <a:pt x="207797" y="131858"/>
                </a:lnTo>
                <a:lnTo>
                  <a:pt x="204149" y="141986"/>
                </a:lnTo>
                <a:lnTo>
                  <a:pt x="183245" y="157290"/>
                </a:lnTo>
                <a:lnTo>
                  <a:pt x="168697" y="173644"/>
                </a:lnTo>
                <a:lnTo>
                  <a:pt x="154908" y="204489"/>
                </a:lnTo>
                <a:lnTo>
                  <a:pt x="155971" y="230610"/>
                </a:lnTo>
                <a:lnTo>
                  <a:pt x="147945" y="240773"/>
                </a:lnTo>
                <a:lnTo>
                  <a:pt x="129451" y="256277"/>
                </a:lnTo>
                <a:lnTo>
                  <a:pt x="110769" y="276174"/>
                </a:lnTo>
                <a:lnTo>
                  <a:pt x="98908" y="270551"/>
                </a:lnTo>
                <a:lnTo>
                  <a:pt x="96875" y="261563"/>
                </a:lnTo>
                <a:lnTo>
                  <a:pt x="79578" y="261249"/>
                </a:lnTo>
                <a:lnTo>
                  <a:pt x="68719" y="273406"/>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00" name="COD">
            <a:extLst>
              <a:ext uri="{FF2B5EF4-FFF2-40B4-BE49-F238E27FC236}">
                <a16:creationId xmlns:a16="http://schemas.microsoft.com/office/drawing/2014/main" id="{00000000-0008-0000-2700-0000647D6400}"/>
              </a:ext>
            </a:extLst>
          </xdr:cNvPr>
          <xdr:cNvSpPr/>
        </xdr:nvSpPr>
        <xdr:spPr>
          <a:xfrm>
            <a:off x="6716472" y="3250850"/>
            <a:ext cx="603492" cy="587798"/>
          </a:xfrm>
          <a:custGeom>
            <a:avLst/>
            <a:gdLst/>
            <a:ahLst/>
            <a:cxnLst/>
            <a:rect l="0" t="0" r="0" b="0"/>
            <a:pathLst>
              <a:path w="602990" h="587798">
                <a:moveTo>
                  <a:pt x="592188" y="55464"/>
                </a:moveTo>
                <a:lnTo>
                  <a:pt x="590263" y="92590"/>
                </a:lnTo>
                <a:lnTo>
                  <a:pt x="602989" y="96889"/>
                </a:lnTo>
                <a:lnTo>
                  <a:pt x="592785" y="108163"/>
                </a:lnTo>
                <a:lnTo>
                  <a:pt x="580587" y="116596"/>
                </a:lnTo>
                <a:lnTo>
                  <a:pt x="568449" y="133153"/>
                </a:lnTo>
                <a:lnTo>
                  <a:pt x="561768" y="147914"/>
                </a:lnTo>
                <a:lnTo>
                  <a:pt x="559981" y="173400"/>
                </a:lnTo>
                <a:lnTo>
                  <a:pt x="552624" y="185531"/>
                </a:lnTo>
                <a:lnTo>
                  <a:pt x="552360" y="209468"/>
                </a:lnTo>
                <a:lnTo>
                  <a:pt x="543229" y="218320"/>
                </a:lnTo>
                <a:lnTo>
                  <a:pt x="542052" y="237211"/>
                </a:lnTo>
                <a:lnTo>
                  <a:pt x="537692" y="239659"/>
                </a:lnTo>
                <a:lnTo>
                  <a:pt x="534752" y="257029"/>
                </a:lnTo>
                <a:lnTo>
                  <a:pt x="542737" y="271463"/>
                </a:lnTo>
                <a:lnTo>
                  <a:pt x="544756" y="309757"/>
                </a:lnTo>
                <a:lnTo>
                  <a:pt x="550471" y="338966"/>
                </a:lnTo>
                <a:lnTo>
                  <a:pt x="547296" y="355476"/>
                </a:lnTo>
                <a:lnTo>
                  <a:pt x="553646" y="373891"/>
                </a:lnTo>
                <a:lnTo>
                  <a:pt x="572062" y="391671"/>
                </a:lnTo>
                <a:lnTo>
                  <a:pt x="589206" y="431676"/>
                </a:lnTo>
                <a:lnTo>
                  <a:pt x="576700" y="428447"/>
                </a:lnTo>
                <a:lnTo>
                  <a:pt x="534054" y="433804"/>
                </a:lnTo>
                <a:lnTo>
                  <a:pt x="525545" y="437601"/>
                </a:lnTo>
                <a:lnTo>
                  <a:pt x="516496" y="457867"/>
                </a:lnTo>
                <a:lnTo>
                  <a:pt x="523602" y="471869"/>
                </a:lnTo>
                <a:lnTo>
                  <a:pt x="517962" y="509461"/>
                </a:lnTo>
                <a:lnTo>
                  <a:pt x="514032" y="541328"/>
                </a:lnTo>
                <a:lnTo>
                  <a:pt x="522608" y="546980"/>
                </a:lnTo>
                <a:lnTo>
                  <a:pt x="544804" y="559334"/>
                </a:lnTo>
                <a:lnTo>
                  <a:pt x="553519" y="553561"/>
                </a:lnTo>
                <a:lnTo>
                  <a:pt x="556174" y="587797"/>
                </a:lnTo>
                <a:lnTo>
                  <a:pt x="531876" y="587537"/>
                </a:lnTo>
                <a:lnTo>
                  <a:pt x="518836" y="570062"/>
                </a:lnTo>
                <a:lnTo>
                  <a:pt x="507136" y="556533"/>
                </a:lnTo>
                <a:lnTo>
                  <a:pt x="482806" y="552095"/>
                </a:lnTo>
                <a:lnTo>
                  <a:pt x="475681" y="535458"/>
                </a:lnTo>
                <a:lnTo>
                  <a:pt x="456272" y="545481"/>
                </a:lnTo>
                <a:lnTo>
                  <a:pt x="430847" y="541055"/>
                </a:lnTo>
                <a:lnTo>
                  <a:pt x="420236" y="526638"/>
                </a:lnTo>
                <a:lnTo>
                  <a:pt x="400078" y="523710"/>
                </a:lnTo>
                <a:lnTo>
                  <a:pt x="385197" y="524475"/>
                </a:lnTo>
                <a:lnTo>
                  <a:pt x="383378" y="514607"/>
                </a:lnTo>
                <a:lnTo>
                  <a:pt x="372424" y="513807"/>
                </a:lnTo>
                <a:lnTo>
                  <a:pt x="357965" y="511937"/>
                </a:lnTo>
                <a:lnTo>
                  <a:pt x="338296" y="516690"/>
                </a:lnTo>
                <a:lnTo>
                  <a:pt x="324501" y="515912"/>
                </a:lnTo>
                <a:lnTo>
                  <a:pt x="316642" y="518824"/>
                </a:lnTo>
                <a:lnTo>
                  <a:pt x="318341" y="481041"/>
                </a:lnTo>
                <a:lnTo>
                  <a:pt x="307749" y="469259"/>
                </a:lnTo>
                <a:lnTo>
                  <a:pt x="305419" y="449733"/>
                </a:lnTo>
                <a:lnTo>
                  <a:pt x="310095" y="430594"/>
                </a:lnTo>
                <a:lnTo>
                  <a:pt x="303663" y="418345"/>
                </a:lnTo>
                <a:lnTo>
                  <a:pt x="303079" y="398367"/>
                </a:lnTo>
                <a:lnTo>
                  <a:pt x="264553" y="398644"/>
                </a:lnTo>
                <a:lnTo>
                  <a:pt x="267319" y="387204"/>
                </a:lnTo>
                <a:lnTo>
                  <a:pt x="251120" y="387325"/>
                </a:lnTo>
                <a:lnTo>
                  <a:pt x="249408" y="392827"/>
                </a:lnTo>
                <a:lnTo>
                  <a:pt x="229717" y="394065"/>
                </a:lnTo>
                <a:lnTo>
                  <a:pt x="221751" y="412569"/>
                </a:lnTo>
                <a:lnTo>
                  <a:pt x="216995" y="420507"/>
                </a:lnTo>
                <a:lnTo>
                  <a:pt x="199450" y="416024"/>
                </a:lnTo>
                <a:lnTo>
                  <a:pt x="188972" y="420491"/>
                </a:lnTo>
                <a:lnTo>
                  <a:pt x="167979" y="423059"/>
                </a:lnTo>
                <a:lnTo>
                  <a:pt x="155819" y="406457"/>
                </a:lnTo>
                <a:lnTo>
                  <a:pt x="148523" y="396189"/>
                </a:lnTo>
                <a:lnTo>
                  <a:pt x="139410" y="377149"/>
                </a:lnTo>
                <a:lnTo>
                  <a:pt x="131578" y="353492"/>
                </a:lnTo>
                <a:lnTo>
                  <a:pt x="37887" y="353070"/>
                </a:lnTo>
                <a:lnTo>
                  <a:pt x="26752" y="356886"/>
                </a:lnTo>
                <a:lnTo>
                  <a:pt x="17554" y="356293"/>
                </a:lnTo>
                <a:lnTo>
                  <a:pt x="4448" y="360560"/>
                </a:lnTo>
                <a:lnTo>
                  <a:pt x="0" y="350711"/>
                </a:lnTo>
                <a:lnTo>
                  <a:pt x="8077" y="347358"/>
                </a:lnTo>
                <a:lnTo>
                  <a:pt x="9070" y="333518"/>
                </a:lnTo>
                <a:lnTo>
                  <a:pt x="14265" y="325355"/>
                </a:lnTo>
                <a:lnTo>
                  <a:pt x="25819" y="318681"/>
                </a:lnTo>
                <a:lnTo>
                  <a:pt x="34159" y="321917"/>
                </a:lnTo>
                <a:lnTo>
                  <a:pt x="45018" y="309760"/>
                </a:lnTo>
                <a:lnTo>
                  <a:pt x="62315" y="310074"/>
                </a:lnTo>
                <a:lnTo>
                  <a:pt x="64348" y="319062"/>
                </a:lnTo>
                <a:lnTo>
                  <a:pt x="76209" y="324685"/>
                </a:lnTo>
                <a:lnTo>
                  <a:pt x="94891" y="304788"/>
                </a:lnTo>
                <a:lnTo>
                  <a:pt x="113385" y="289284"/>
                </a:lnTo>
                <a:lnTo>
                  <a:pt x="121411" y="279121"/>
                </a:lnTo>
                <a:lnTo>
                  <a:pt x="120348" y="253000"/>
                </a:lnTo>
                <a:lnTo>
                  <a:pt x="134137" y="222155"/>
                </a:lnTo>
                <a:lnTo>
                  <a:pt x="148685" y="205801"/>
                </a:lnTo>
                <a:lnTo>
                  <a:pt x="169589" y="190497"/>
                </a:lnTo>
                <a:lnTo>
                  <a:pt x="173237" y="180369"/>
                </a:lnTo>
                <a:lnTo>
                  <a:pt x="174031" y="168726"/>
                </a:lnTo>
                <a:lnTo>
                  <a:pt x="179203" y="157709"/>
                </a:lnTo>
                <a:lnTo>
                  <a:pt x="177542" y="139713"/>
                </a:lnTo>
                <a:lnTo>
                  <a:pt x="181499" y="111579"/>
                </a:lnTo>
                <a:lnTo>
                  <a:pt x="187706" y="91770"/>
                </a:lnTo>
                <a:lnTo>
                  <a:pt x="197215" y="74794"/>
                </a:lnTo>
                <a:lnTo>
                  <a:pt x="199097" y="55617"/>
                </a:lnTo>
                <a:lnTo>
                  <a:pt x="201952" y="33474"/>
                </a:lnTo>
                <a:lnTo>
                  <a:pt x="214312" y="17355"/>
                </a:lnTo>
                <a:lnTo>
                  <a:pt x="231314" y="7131"/>
                </a:lnTo>
                <a:lnTo>
                  <a:pt x="257441" y="17920"/>
                </a:lnTo>
                <a:lnTo>
                  <a:pt x="277662" y="29633"/>
                </a:lnTo>
                <a:lnTo>
                  <a:pt x="300888" y="32760"/>
                </a:lnTo>
                <a:lnTo>
                  <a:pt x="324574" y="38955"/>
                </a:lnTo>
                <a:lnTo>
                  <a:pt x="334067" y="19780"/>
                </a:lnTo>
                <a:lnTo>
                  <a:pt x="338429" y="17336"/>
                </a:lnTo>
                <a:lnTo>
                  <a:pt x="352897" y="20523"/>
                </a:lnTo>
                <a:lnTo>
                  <a:pt x="388245" y="4677"/>
                </a:lnTo>
                <a:lnTo>
                  <a:pt x="400770" y="11395"/>
                </a:lnTo>
                <a:lnTo>
                  <a:pt x="411051" y="10443"/>
                </a:lnTo>
                <a:lnTo>
                  <a:pt x="415814" y="2721"/>
                </a:lnTo>
                <a:lnTo>
                  <a:pt x="427615" y="0"/>
                </a:lnTo>
                <a:lnTo>
                  <a:pt x="451501" y="3340"/>
                </a:lnTo>
                <a:lnTo>
                  <a:pt x="471861" y="4071"/>
                </a:lnTo>
                <a:lnTo>
                  <a:pt x="482342" y="705"/>
                </a:lnTo>
                <a:lnTo>
                  <a:pt x="501577" y="26915"/>
                </a:lnTo>
                <a:lnTo>
                  <a:pt x="515832" y="30763"/>
                </a:lnTo>
                <a:lnTo>
                  <a:pt x="524332" y="25432"/>
                </a:lnTo>
                <a:lnTo>
                  <a:pt x="539013" y="27521"/>
                </a:lnTo>
                <a:lnTo>
                  <a:pt x="556694" y="20806"/>
                </a:lnTo>
                <a:lnTo>
                  <a:pt x="564235" y="34366"/>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01" name="CRI">
            <a:extLst>
              <a:ext uri="{FF2B5EF4-FFF2-40B4-BE49-F238E27FC236}">
                <a16:creationId xmlns:a16="http://schemas.microsoft.com/office/drawing/2014/main" id="{00000000-0008-0000-2700-0000657D6400}"/>
              </a:ext>
            </a:extLst>
          </xdr:cNvPr>
          <xdr:cNvSpPr/>
        </xdr:nvSpPr>
        <xdr:spPr>
          <a:xfrm>
            <a:off x="3598439" y="3061589"/>
            <a:ext cx="107898" cy="95000"/>
          </a:xfrm>
          <a:custGeom>
            <a:avLst/>
            <a:gdLst/>
            <a:ahLst/>
            <a:cxnLst/>
            <a:rect l="0" t="0" r="0" b="0"/>
            <a:pathLst>
              <a:path w="107808" h="95000">
                <a:moveTo>
                  <a:pt x="94484" y="94999"/>
                </a:moveTo>
                <a:lnTo>
                  <a:pt x="77257" y="87954"/>
                </a:lnTo>
                <a:lnTo>
                  <a:pt x="70808" y="81289"/>
                </a:lnTo>
                <a:lnTo>
                  <a:pt x="74466" y="75777"/>
                </a:lnTo>
                <a:lnTo>
                  <a:pt x="73313" y="68761"/>
                </a:lnTo>
                <a:lnTo>
                  <a:pt x="64509" y="61159"/>
                </a:lnTo>
                <a:lnTo>
                  <a:pt x="52015" y="54918"/>
                </a:lnTo>
                <a:lnTo>
                  <a:pt x="41087" y="50850"/>
                </a:lnTo>
                <a:lnTo>
                  <a:pt x="38998" y="41560"/>
                </a:lnTo>
                <a:lnTo>
                  <a:pt x="30670" y="35890"/>
                </a:lnTo>
                <a:lnTo>
                  <a:pt x="32712" y="45119"/>
                </a:lnTo>
                <a:lnTo>
                  <a:pt x="26377" y="52708"/>
                </a:lnTo>
                <a:lnTo>
                  <a:pt x="19119" y="43897"/>
                </a:lnTo>
                <a:lnTo>
                  <a:pt x="8918" y="40760"/>
                </a:lnTo>
                <a:lnTo>
                  <a:pt x="4581" y="34360"/>
                </a:lnTo>
                <a:lnTo>
                  <a:pt x="4762" y="24695"/>
                </a:lnTo>
                <a:lnTo>
                  <a:pt x="8966" y="14693"/>
                </a:lnTo>
                <a:lnTo>
                  <a:pt x="0" y="10217"/>
                </a:lnTo>
                <a:lnTo>
                  <a:pt x="7277" y="4086"/>
                </a:lnTo>
                <a:lnTo>
                  <a:pt x="12058" y="0"/>
                </a:lnTo>
                <a:lnTo>
                  <a:pt x="32978" y="8407"/>
                </a:lnTo>
                <a:lnTo>
                  <a:pt x="40278" y="4267"/>
                </a:lnTo>
                <a:lnTo>
                  <a:pt x="50349" y="6918"/>
                </a:lnTo>
                <a:lnTo>
                  <a:pt x="55610" y="13449"/>
                </a:lnTo>
                <a:lnTo>
                  <a:pt x="64979" y="15566"/>
                </a:lnTo>
                <a:lnTo>
                  <a:pt x="72583" y="8835"/>
                </a:lnTo>
                <a:lnTo>
                  <a:pt x="80626" y="26088"/>
                </a:lnTo>
                <a:lnTo>
                  <a:pt x="92900" y="38865"/>
                </a:lnTo>
                <a:lnTo>
                  <a:pt x="107807" y="52419"/>
                </a:lnTo>
                <a:lnTo>
                  <a:pt x="95529" y="55254"/>
                </a:lnTo>
                <a:lnTo>
                  <a:pt x="95710" y="68033"/>
                </a:lnTo>
                <a:lnTo>
                  <a:pt x="102314" y="72751"/>
                </a:lnTo>
                <a:lnTo>
                  <a:pt x="97567" y="76511"/>
                </a:lnTo>
                <a:lnTo>
                  <a:pt x="98802" y="82257"/>
                </a:lnTo>
                <a:lnTo>
                  <a:pt x="96155" y="88696"/>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02" name="CIV">
            <a:extLst>
              <a:ext uri="{FF2B5EF4-FFF2-40B4-BE49-F238E27FC236}">
                <a16:creationId xmlns:a16="http://schemas.microsoft.com/office/drawing/2014/main" id="{00000000-0008-0000-2700-0000667D6400}"/>
              </a:ext>
            </a:extLst>
          </xdr:cNvPr>
          <xdr:cNvSpPr/>
        </xdr:nvSpPr>
        <xdr:spPr>
          <a:xfrm>
            <a:off x="6055991" y="3083591"/>
            <a:ext cx="191954" cy="196400"/>
          </a:xfrm>
          <a:custGeom>
            <a:avLst/>
            <a:gdLst/>
            <a:ahLst/>
            <a:cxnLst/>
            <a:rect l="0" t="0" r="0" b="0"/>
            <a:pathLst>
              <a:path w="191794" h="196400">
                <a:moveTo>
                  <a:pt x="182461" y="175565"/>
                </a:moveTo>
                <a:lnTo>
                  <a:pt x="168015" y="175889"/>
                </a:lnTo>
                <a:lnTo>
                  <a:pt x="145863" y="169682"/>
                </a:lnTo>
                <a:lnTo>
                  <a:pt x="125508" y="170047"/>
                </a:lnTo>
                <a:lnTo>
                  <a:pt x="87897" y="175591"/>
                </a:lnTo>
                <a:lnTo>
                  <a:pt x="65853" y="184754"/>
                </a:lnTo>
                <a:lnTo>
                  <a:pt x="34418" y="196399"/>
                </a:lnTo>
                <a:lnTo>
                  <a:pt x="28280" y="195565"/>
                </a:lnTo>
                <a:lnTo>
                  <a:pt x="30719" y="169415"/>
                </a:lnTo>
                <a:lnTo>
                  <a:pt x="33757" y="165443"/>
                </a:lnTo>
                <a:lnTo>
                  <a:pt x="32789" y="152930"/>
                </a:lnTo>
                <a:lnTo>
                  <a:pt x="19342" y="139633"/>
                </a:lnTo>
                <a:lnTo>
                  <a:pt x="9259" y="137513"/>
                </a:lnTo>
                <a:lnTo>
                  <a:pt x="0" y="128794"/>
                </a:lnTo>
                <a:lnTo>
                  <a:pt x="6903" y="114691"/>
                </a:lnTo>
                <a:lnTo>
                  <a:pt x="3731" y="99343"/>
                </a:lnTo>
                <a:lnTo>
                  <a:pt x="5195" y="90110"/>
                </a:lnTo>
                <a:lnTo>
                  <a:pt x="10230" y="90072"/>
                </a:lnTo>
                <a:lnTo>
                  <a:pt x="12100" y="76226"/>
                </a:lnTo>
                <a:lnTo>
                  <a:pt x="9649" y="70095"/>
                </a:lnTo>
                <a:lnTo>
                  <a:pt x="12681" y="65678"/>
                </a:lnTo>
                <a:lnTo>
                  <a:pt x="24473" y="61862"/>
                </a:lnTo>
                <a:lnTo>
                  <a:pt x="16631" y="36446"/>
                </a:lnTo>
                <a:lnTo>
                  <a:pt x="9313" y="23324"/>
                </a:lnTo>
                <a:lnTo>
                  <a:pt x="11862" y="12545"/>
                </a:lnTo>
                <a:lnTo>
                  <a:pt x="18193" y="10084"/>
                </a:lnTo>
                <a:lnTo>
                  <a:pt x="22330" y="7198"/>
                </a:lnTo>
                <a:lnTo>
                  <a:pt x="31119" y="11967"/>
                </a:lnTo>
                <a:lnTo>
                  <a:pt x="55639" y="12227"/>
                </a:lnTo>
                <a:lnTo>
                  <a:pt x="61481" y="2962"/>
                </a:lnTo>
                <a:lnTo>
                  <a:pt x="66958" y="3582"/>
                </a:lnTo>
                <a:lnTo>
                  <a:pt x="76127" y="0"/>
                </a:lnTo>
                <a:lnTo>
                  <a:pt x="81039" y="13580"/>
                </a:lnTo>
                <a:lnTo>
                  <a:pt x="88456" y="9573"/>
                </a:lnTo>
                <a:lnTo>
                  <a:pt x="101556" y="4871"/>
                </a:lnTo>
                <a:lnTo>
                  <a:pt x="115831" y="11792"/>
                </a:lnTo>
                <a:lnTo>
                  <a:pt x="121381" y="22292"/>
                </a:lnTo>
                <a:lnTo>
                  <a:pt x="135659" y="28998"/>
                </a:lnTo>
                <a:lnTo>
                  <a:pt x="146765" y="21012"/>
                </a:lnTo>
                <a:lnTo>
                  <a:pt x="161640" y="19806"/>
                </a:lnTo>
                <a:lnTo>
                  <a:pt x="183369" y="27991"/>
                </a:lnTo>
                <a:lnTo>
                  <a:pt x="191793" y="73168"/>
                </a:lnTo>
                <a:lnTo>
                  <a:pt x="178413" y="99835"/>
                </a:lnTo>
                <a:lnTo>
                  <a:pt x="170133" y="135687"/>
                </a:lnTo>
                <a:lnTo>
                  <a:pt x="183903" y="16303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03" name="HRV">
            <a:extLst>
              <a:ext uri="{FF2B5EF4-FFF2-40B4-BE49-F238E27FC236}">
                <a16:creationId xmlns:a16="http://schemas.microsoft.com/office/drawing/2014/main" id="{00000000-0008-0000-2700-0000677D6400}"/>
              </a:ext>
            </a:extLst>
          </xdr:cNvPr>
          <xdr:cNvSpPr/>
        </xdr:nvSpPr>
        <xdr:spPr>
          <a:xfrm>
            <a:off x="6763332" y="1941236"/>
            <a:ext cx="182192" cy="127756"/>
          </a:xfrm>
          <a:custGeom>
            <a:avLst/>
            <a:gdLst/>
            <a:ahLst/>
            <a:cxnLst/>
            <a:rect l="0" t="0" r="0" b="0"/>
            <a:pathLst>
              <a:path w="182040" h="127756">
                <a:moveTo>
                  <a:pt x="164237" y="18888"/>
                </a:moveTo>
                <a:lnTo>
                  <a:pt x="171952" y="31188"/>
                </a:lnTo>
                <a:lnTo>
                  <a:pt x="182039" y="40237"/>
                </a:lnTo>
                <a:lnTo>
                  <a:pt x="169815" y="52184"/>
                </a:lnTo>
                <a:lnTo>
                  <a:pt x="155455" y="45155"/>
                </a:lnTo>
                <a:lnTo>
                  <a:pt x="133502" y="45596"/>
                </a:lnTo>
                <a:lnTo>
                  <a:pt x="106207" y="40322"/>
                </a:lnTo>
                <a:lnTo>
                  <a:pt x="91374" y="41027"/>
                </a:lnTo>
                <a:lnTo>
                  <a:pt x="84493" y="47615"/>
                </a:lnTo>
                <a:lnTo>
                  <a:pt x="73101" y="40322"/>
                </a:lnTo>
                <a:lnTo>
                  <a:pt x="66453" y="53502"/>
                </a:lnTo>
                <a:lnTo>
                  <a:pt x="82001" y="68348"/>
                </a:lnTo>
                <a:lnTo>
                  <a:pt x="88881" y="78187"/>
                </a:lnTo>
                <a:lnTo>
                  <a:pt x="103480" y="90046"/>
                </a:lnTo>
                <a:lnTo>
                  <a:pt x="115583" y="97075"/>
                </a:lnTo>
                <a:lnTo>
                  <a:pt x="127569" y="110337"/>
                </a:lnTo>
                <a:lnTo>
                  <a:pt x="155671" y="122358"/>
                </a:lnTo>
                <a:lnTo>
                  <a:pt x="152178" y="127755"/>
                </a:lnTo>
                <a:lnTo>
                  <a:pt x="122333" y="116008"/>
                </a:lnTo>
                <a:lnTo>
                  <a:pt x="103918" y="104578"/>
                </a:lnTo>
                <a:lnTo>
                  <a:pt x="74880" y="95142"/>
                </a:lnTo>
                <a:lnTo>
                  <a:pt x="48181" y="71774"/>
                </a:lnTo>
                <a:lnTo>
                  <a:pt x="54588" y="69402"/>
                </a:lnTo>
                <a:lnTo>
                  <a:pt x="40110" y="56048"/>
                </a:lnTo>
                <a:lnTo>
                  <a:pt x="39517" y="45329"/>
                </a:lnTo>
                <a:lnTo>
                  <a:pt x="19104" y="40322"/>
                </a:lnTo>
                <a:lnTo>
                  <a:pt x="9376" y="54029"/>
                </a:lnTo>
                <a:lnTo>
                  <a:pt x="0" y="43399"/>
                </a:lnTo>
                <a:lnTo>
                  <a:pt x="711" y="32375"/>
                </a:lnTo>
                <a:lnTo>
                  <a:pt x="1845" y="31861"/>
                </a:lnTo>
                <a:lnTo>
                  <a:pt x="23972" y="32944"/>
                </a:lnTo>
                <a:lnTo>
                  <a:pt x="29785" y="27587"/>
                </a:lnTo>
                <a:lnTo>
                  <a:pt x="40583" y="32769"/>
                </a:lnTo>
                <a:lnTo>
                  <a:pt x="53045" y="33385"/>
                </a:lnTo>
                <a:lnTo>
                  <a:pt x="52927" y="24511"/>
                </a:lnTo>
                <a:lnTo>
                  <a:pt x="63961" y="21260"/>
                </a:lnTo>
                <a:lnTo>
                  <a:pt x="67047" y="8436"/>
                </a:lnTo>
                <a:lnTo>
                  <a:pt x="92323" y="0"/>
                </a:lnTo>
                <a:lnTo>
                  <a:pt x="102410" y="3911"/>
                </a:lnTo>
                <a:lnTo>
                  <a:pt x="126146" y="17526"/>
                </a:lnTo>
                <a:lnTo>
                  <a:pt x="152372" y="23631"/>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04" name="CUB">
            <a:extLst>
              <a:ext uri="{FF2B5EF4-FFF2-40B4-BE49-F238E27FC236}">
                <a16:creationId xmlns:a16="http://schemas.microsoft.com/office/drawing/2014/main" id="{00000000-0008-0000-2700-0000687D6400}"/>
              </a:ext>
            </a:extLst>
          </xdr:cNvPr>
          <xdr:cNvSpPr/>
        </xdr:nvSpPr>
        <xdr:spPr>
          <a:xfrm>
            <a:off x="3629160" y="2681493"/>
            <a:ext cx="343089" cy="105827"/>
          </a:xfrm>
          <a:custGeom>
            <a:avLst/>
            <a:gdLst/>
            <a:ahLst/>
            <a:cxnLst/>
            <a:rect l="0" t="0" r="0" b="0"/>
            <a:pathLst>
              <a:path w="342803" h="105827">
                <a:moveTo>
                  <a:pt x="85938" y="0"/>
                </a:moveTo>
                <a:lnTo>
                  <a:pt x="113360" y="2264"/>
                </a:lnTo>
                <a:lnTo>
                  <a:pt x="138307" y="2623"/>
                </a:lnTo>
                <a:lnTo>
                  <a:pt x="168129" y="13440"/>
                </a:lnTo>
                <a:lnTo>
                  <a:pt x="180766" y="25064"/>
                </a:lnTo>
                <a:lnTo>
                  <a:pt x="210424" y="21476"/>
                </a:lnTo>
                <a:lnTo>
                  <a:pt x="221666" y="28937"/>
                </a:lnTo>
                <a:lnTo>
                  <a:pt x="248555" y="48600"/>
                </a:lnTo>
                <a:lnTo>
                  <a:pt x="268323" y="62923"/>
                </a:lnTo>
                <a:lnTo>
                  <a:pt x="278775" y="62484"/>
                </a:lnTo>
                <a:lnTo>
                  <a:pt x="297710" y="68961"/>
                </a:lnTo>
                <a:lnTo>
                  <a:pt x="295396" y="77899"/>
                </a:lnTo>
                <a:lnTo>
                  <a:pt x="318802" y="79207"/>
                </a:lnTo>
                <a:lnTo>
                  <a:pt x="342802" y="92202"/>
                </a:lnTo>
                <a:lnTo>
                  <a:pt x="339037" y="99638"/>
                </a:lnTo>
                <a:lnTo>
                  <a:pt x="317923" y="103670"/>
                </a:lnTo>
                <a:lnTo>
                  <a:pt x="296552" y="105245"/>
                </a:lnTo>
                <a:lnTo>
                  <a:pt x="274676" y="102734"/>
                </a:lnTo>
                <a:lnTo>
                  <a:pt x="229216" y="105826"/>
                </a:lnTo>
                <a:lnTo>
                  <a:pt x="250502" y="88113"/>
                </a:lnTo>
                <a:lnTo>
                  <a:pt x="237560" y="79867"/>
                </a:lnTo>
                <a:lnTo>
                  <a:pt x="217094" y="77747"/>
                </a:lnTo>
                <a:lnTo>
                  <a:pt x="206125" y="68580"/>
                </a:lnTo>
                <a:lnTo>
                  <a:pt x="198597" y="50499"/>
                </a:lnTo>
                <a:lnTo>
                  <a:pt x="180655" y="51734"/>
                </a:lnTo>
                <a:lnTo>
                  <a:pt x="151048" y="43222"/>
                </a:lnTo>
                <a:lnTo>
                  <a:pt x="141523" y="36561"/>
                </a:lnTo>
                <a:lnTo>
                  <a:pt x="100140" y="31639"/>
                </a:lnTo>
                <a:lnTo>
                  <a:pt x="89056" y="25448"/>
                </a:lnTo>
                <a:lnTo>
                  <a:pt x="100962" y="17514"/>
                </a:lnTo>
                <a:lnTo>
                  <a:pt x="69819" y="15888"/>
                </a:lnTo>
                <a:lnTo>
                  <a:pt x="47003" y="32389"/>
                </a:lnTo>
                <a:lnTo>
                  <a:pt x="33849" y="32830"/>
                </a:lnTo>
                <a:lnTo>
                  <a:pt x="29296" y="40577"/>
                </a:lnTo>
                <a:lnTo>
                  <a:pt x="13586" y="44050"/>
                </a:lnTo>
                <a:lnTo>
                  <a:pt x="0" y="41041"/>
                </a:lnTo>
                <a:lnTo>
                  <a:pt x="16758" y="31233"/>
                </a:lnTo>
                <a:lnTo>
                  <a:pt x="23638" y="19774"/>
                </a:lnTo>
                <a:lnTo>
                  <a:pt x="37996" y="12716"/>
                </a:lnTo>
                <a:lnTo>
                  <a:pt x="54210" y="6528"/>
                </a:lnTo>
                <a:lnTo>
                  <a:pt x="78248" y="349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05" name="CYP">
            <a:extLst>
              <a:ext uri="{FF2B5EF4-FFF2-40B4-BE49-F238E27FC236}">
                <a16:creationId xmlns:a16="http://schemas.microsoft.com/office/drawing/2014/main" id="{00000000-0008-0000-2700-0000697D6400}"/>
              </a:ext>
            </a:extLst>
          </xdr:cNvPr>
          <xdr:cNvSpPr/>
        </xdr:nvSpPr>
        <xdr:spPr>
          <a:xfrm>
            <a:off x="7354364" y="2300985"/>
            <a:ext cx="55553" cy="19090"/>
          </a:xfrm>
          <a:custGeom>
            <a:avLst/>
            <a:gdLst/>
            <a:ahLst/>
            <a:cxnLst/>
            <a:rect l="0" t="0" r="0" b="0"/>
            <a:pathLst>
              <a:path w="55507" h="19090">
                <a:moveTo>
                  <a:pt x="54513" y="3639"/>
                </a:moveTo>
                <a:lnTo>
                  <a:pt x="55506" y="6192"/>
                </a:lnTo>
                <a:lnTo>
                  <a:pt x="22959" y="19089"/>
                </a:lnTo>
                <a:lnTo>
                  <a:pt x="7418" y="14968"/>
                </a:lnTo>
                <a:lnTo>
                  <a:pt x="0" y="2220"/>
                </a:lnTo>
                <a:lnTo>
                  <a:pt x="15086" y="1052"/>
                </a:lnTo>
                <a:lnTo>
                  <a:pt x="21048" y="2709"/>
                </a:lnTo>
                <a:lnTo>
                  <a:pt x="29664" y="0"/>
                </a:lnTo>
                <a:lnTo>
                  <a:pt x="35786" y="331"/>
                </a:lnTo>
                <a:lnTo>
                  <a:pt x="38076" y="2277"/>
                </a:lnTo>
                <a:lnTo>
                  <a:pt x="38707" y="5487"/>
                </a:lnTo>
                <a:lnTo>
                  <a:pt x="40292" y="4268"/>
                </a:lnTo>
                <a:lnTo>
                  <a:pt x="45044" y="4928"/>
                </a:lnTo>
                <a:lnTo>
                  <a:pt x="51109" y="2525"/>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06" name="CZE">
            <a:extLst>
              <a:ext uri="{FF2B5EF4-FFF2-40B4-BE49-F238E27FC236}">
                <a16:creationId xmlns:a16="http://schemas.microsoft.com/office/drawing/2014/main" id="{00000000-0008-0000-2700-00006A7D6400}"/>
              </a:ext>
            </a:extLst>
          </xdr:cNvPr>
          <xdr:cNvSpPr/>
        </xdr:nvSpPr>
        <xdr:spPr>
          <a:xfrm>
            <a:off x="6718308" y="1794757"/>
            <a:ext cx="210139" cy="81345"/>
          </a:xfrm>
          <a:custGeom>
            <a:avLst/>
            <a:gdLst/>
            <a:ahLst/>
            <a:cxnLst/>
            <a:rect l="0" t="0" r="0" b="0"/>
            <a:pathLst>
              <a:path w="209964" h="81345">
                <a:moveTo>
                  <a:pt x="149867" y="80020"/>
                </a:moveTo>
                <a:lnTo>
                  <a:pt x="135230" y="74025"/>
                </a:lnTo>
                <a:lnTo>
                  <a:pt x="120317" y="75673"/>
                </a:lnTo>
                <a:lnTo>
                  <a:pt x="95673" y="65983"/>
                </a:lnTo>
                <a:lnTo>
                  <a:pt x="84497" y="68355"/>
                </a:lnTo>
                <a:lnTo>
                  <a:pt x="66637" y="81344"/>
                </a:lnTo>
                <a:lnTo>
                  <a:pt x="43047" y="71123"/>
                </a:lnTo>
                <a:lnTo>
                  <a:pt x="25121" y="57474"/>
                </a:lnTo>
                <a:lnTo>
                  <a:pt x="8919" y="49844"/>
                </a:lnTo>
                <a:lnTo>
                  <a:pt x="5560" y="36456"/>
                </a:lnTo>
                <a:lnTo>
                  <a:pt x="0" y="27019"/>
                </a:lnTo>
                <a:lnTo>
                  <a:pt x="23073" y="20104"/>
                </a:lnTo>
                <a:lnTo>
                  <a:pt x="34863" y="12195"/>
                </a:lnTo>
                <a:lnTo>
                  <a:pt x="57662" y="6045"/>
                </a:lnTo>
                <a:lnTo>
                  <a:pt x="65625" y="0"/>
                </a:lnTo>
                <a:lnTo>
                  <a:pt x="73997" y="3651"/>
                </a:lnTo>
                <a:lnTo>
                  <a:pt x="88167" y="337"/>
                </a:lnTo>
                <a:lnTo>
                  <a:pt x="103216" y="10560"/>
                </a:lnTo>
                <a:lnTo>
                  <a:pt x="126953" y="13322"/>
                </a:lnTo>
                <a:lnTo>
                  <a:pt x="124975" y="22057"/>
                </a:lnTo>
                <a:lnTo>
                  <a:pt x="142222" y="28626"/>
                </a:lnTo>
                <a:lnTo>
                  <a:pt x="146962" y="20425"/>
                </a:lnTo>
                <a:lnTo>
                  <a:pt x="168736" y="23978"/>
                </a:lnTo>
                <a:lnTo>
                  <a:pt x="171746" y="33919"/>
                </a:lnTo>
                <a:lnTo>
                  <a:pt x="195352" y="35836"/>
                </a:lnTo>
                <a:lnTo>
                  <a:pt x="209963" y="51470"/>
                </a:lnTo>
                <a:lnTo>
                  <a:pt x="200499" y="51508"/>
                </a:lnTo>
                <a:lnTo>
                  <a:pt x="195578" y="57223"/>
                </a:lnTo>
                <a:lnTo>
                  <a:pt x="188291" y="58604"/>
                </a:lnTo>
                <a:lnTo>
                  <a:pt x="186211" y="65827"/>
                </a:lnTo>
                <a:lnTo>
                  <a:pt x="180131" y="67336"/>
                </a:lnTo>
                <a:lnTo>
                  <a:pt x="179274" y="70288"/>
                </a:lnTo>
                <a:lnTo>
                  <a:pt x="168431" y="73574"/>
                </a:lnTo>
                <a:lnTo>
                  <a:pt x="154366" y="73035"/>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6585707" name="DNK">
            <a:extLst>
              <a:ext uri="{FF2B5EF4-FFF2-40B4-BE49-F238E27FC236}">
                <a16:creationId xmlns:a16="http://schemas.microsoft.com/office/drawing/2014/main" id="{00000000-0008-0000-2700-00006B7D6400}"/>
              </a:ext>
            </a:extLst>
          </xdr:cNvPr>
          <xdr:cNvGrpSpPr/>
        </xdr:nvGrpSpPr>
        <xdr:grpSpPr>
          <a:xfrm>
            <a:off x="6586433" y="1584804"/>
            <a:ext cx="146173" cy="93028"/>
            <a:chOff x="6479857" y="1838804"/>
            <a:chExt cx="146051" cy="93028"/>
          </a:xfrm>
          <a:grpFill/>
        </xdr:grpSpPr>
        <xdr:sp macro="" textlink="">
          <xdr:nvSpPr>
            <xdr:cNvPr id="6586848" name="DK_1">
              <a:extLst>
                <a:ext uri="{FF2B5EF4-FFF2-40B4-BE49-F238E27FC236}">
                  <a16:creationId xmlns:a16="http://schemas.microsoft.com/office/drawing/2014/main" id="{00000000-0008-0000-2700-0000E0816400}"/>
                </a:ext>
              </a:extLst>
            </xdr:cNvPr>
            <xdr:cNvSpPr/>
          </xdr:nvSpPr>
          <xdr:spPr>
            <a:xfrm>
              <a:off x="6569199" y="1890194"/>
              <a:ext cx="56709" cy="41638"/>
            </a:xfrm>
            <a:custGeom>
              <a:avLst/>
              <a:gdLst/>
              <a:ahLst/>
              <a:cxnLst/>
              <a:rect l="0" t="0" r="0" b="0"/>
              <a:pathLst>
                <a:path w="56709" h="41638">
                  <a:moveTo>
                    <a:pt x="56708" y="15920"/>
                  </a:moveTo>
                  <a:lnTo>
                    <a:pt x="37658" y="41637"/>
                  </a:lnTo>
                  <a:lnTo>
                    <a:pt x="4432" y="23702"/>
                  </a:lnTo>
                  <a:lnTo>
                    <a:pt x="0" y="10522"/>
                  </a:lnTo>
                  <a:lnTo>
                    <a:pt x="46577"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49" name="DK_2">
              <a:extLst>
                <a:ext uri="{FF2B5EF4-FFF2-40B4-BE49-F238E27FC236}">
                  <a16:creationId xmlns:a16="http://schemas.microsoft.com/office/drawing/2014/main" id="{00000000-0008-0000-2700-0000E1816400}"/>
                </a:ext>
              </a:extLst>
            </xdr:cNvPr>
            <xdr:cNvSpPr/>
          </xdr:nvSpPr>
          <xdr:spPr>
            <a:xfrm>
              <a:off x="6479857" y="1838804"/>
              <a:ext cx="89606" cy="92047"/>
            </a:xfrm>
            <a:custGeom>
              <a:avLst/>
              <a:gdLst/>
              <a:ahLst/>
              <a:cxnLst/>
              <a:rect l="0" t="0" r="0" b="0"/>
              <a:pathLst>
                <a:path w="89606" h="92047">
                  <a:moveTo>
                    <a:pt x="89605" y="40367"/>
                  </a:moveTo>
                  <a:lnTo>
                    <a:pt x="81845" y="52343"/>
                  </a:lnTo>
                  <a:lnTo>
                    <a:pt x="72390" y="48895"/>
                  </a:lnTo>
                  <a:lnTo>
                    <a:pt x="49530" y="71755"/>
                  </a:lnTo>
                  <a:lnTo>
                    <a:pt x="58163" y="87214"/>
                  </a:lnTo>
                  <a:lnTo>
                    <a:pt x="37846" y="92046"/>
                  </a:lnTo>
                  <a:lnTo>
                    <a:pt x="13849" y="87862"/>
                  </a:lnTo>
                  <a:lnTo>
                    <a:pt x="962" y="70240"/>
                  </a:lnTo>
                  <a:lnTo>
                    <a:pt x="0" y="37783"/>
                  </a:lnTo>
                  <a:lnTo>
                    <a:pt x="5290" y="29210"/>
                  </a:lnTo>
                  <a:lnTo>
                    <a:pt x="14395" y="19685"/>
                  </a:lnTo>
                  <a:lnTo>
                    <a:pt x="42371" y="17713"/>
                  </a:lnTo>
                  <a:lnTo>
                    <a:pt x="53518" y="8957"/>
                  </a:lnTo>
                  <a:lnTo>
                    <a:pt x="79058" y="0"/>
                  </a:lnTo>
                  <a:lnTo>
                    <a:pt x="77981" y="16329"/>
                  </a:lnTo>
                  <a:lnTo>
                    <a:pt x="68580" y="26670"/>
                  </a:lnTo>
                  <a:lnTo>
                    <a:pt x="72390" y="3556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6585708" name="DJI">
            <a:extLst>
              <a:ext uri="{FF2B5EF4-FFF2-40B4-BE49-F238E27FC236}">
                <a16:creationId xmlns:a16="http://schemas.microsoft.com/office/drawing/2014/main" id="{00000000-0008-0000-2700-00006C7D6400}"/>
              </a:ext>
            </a:extLst>
          </xdr:cNvPr>
          <xdr:cNvSpPr/>
        </xdr:nvSpPr>
        <xdr:spPr>
          <a:xfrm>
            <a:off x="7653225" y="3014519"/>
            <a:ext cx="52627" cy="56284"/>
          </a:xfrm>
          <a:custGeom>
            <a:avLst/>
            <a:gdLst/>
            <a:ahLst/>
            <a:cxnLst/>
            <a:rect l="0" t="0" r="0" b="0"/>
            <a:pathLst>
              <a:path w="52583" h="56284">
                <a:moveTo>
                  <a:pt x="45067" y="0"/>
                </a:moveTo>
                <a:lnTo>
                  <a:pt x="52582" y="9827"/>
                </a:lnTo>
                <a:lnTo>
                  <a:pt x="51582" y="23009"/>
                </a:lnTo>
                <a:lnTo>
                  <a:pt x="33468" y="30607"/>
                </a:lnTo>
                <a:lnTo>
                  <a:pt x="47101" y="39294"/>
                </a:lnTo>
                <a:lnTo>
                  <a:pt x="35405" y="56283"/>
                </a:lnTo>
                <a:lnTo>
                  <a:pt x="28357" y="50626"/>
                </a:lnTo>
                <a:lnTo>
                  <a:pt x="20712" y="52877"/>
                </a:lnTo>
                <a:lnTo>
                  <a:pt x="2979" y="52346"/>
                </a:lnTo>
                <a:lnTo>
                  <a:pt x="2471" y="42688"/>
                </a:lnTo>
                <a:lnTo>
                  <a:pt x="0" y="33922"/>
                </a:lnTo>
                <a:lnTo>
                  <a:pt x="10739" y="19038"/>
                </a:lnTo>
                <a:lnTo>
                  <a:pt x="21902" y="4998"/>
                </a:lnTo>
                <a:lnTo>
                  <a:pt x="35490" y="775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09" name="DOM">
            <a:extLst>
              <a:ext uri="{FF2B5EF4-FFF2-40B4-BE49-F238E27FC236}">
                <a16:creationId xmlns:a16="http://schemas.microsoft.com/office/drawing/2014/main" id="{00000000-0008-0000-2700-00006D7D6400}"/>
              </a:ext>
            </a:extLst>
          </xdr:cNvPr>
          <xdr:cNvSpPr/>
        </xdr:nvSpPr>
        <xdr:spPr>
          <a:xfrm>
            <a:off x="4043201" y="2786386"/>
            <a:ext cx="115261" cy="72591"/>
          </a:xfrm>
          <a:custGeom>
            <a:avLst/>
            <a:gdLst/>
            <a:ahLst/>
            <a:cxnLst/>
            <a:rect l="0" t="0" r="0" b="0"/>
            <a:pathLst>
              <a:path w="115165" h="72591">
                <a:moveTo>
                  <a:pt x="7389" y="5410"/>
                </a:moveTo>
                <a:lnTo>
                  <a:pt x="11361" y="0"/>
                </a:lnTo>
                <a:lnTo>
                  <a:pt x="36145" y="146"/>
                </a:lnTo>
                <a:lnTo>
                  <a:pt x="54950" y="8318"/>
                </a:lnTo>
                <a:lnTo>
                  <a:pt x="63319" y="7521"/>
                </a:lnTo>
                <a:lnTo>
                  <a:pt x="69082" y="18783"/>
                </a:lnTo>
                <a:lnTo>
                  <a:pt x="86456" y="18151"/>
                </a:lnTo>
                <a:lnTo>
                  <a:pt x="85434" y="27613"/>
                </a:lnTo>
                <a:lnTo>
                  <a:pt x="99559" y="28759"/>
                </a:lnTo>
                <a:lnTo>
                  <a:pt x="115164" y="40408"/>
                </a:lnTo>
                <a:lnTo>
                  <a:pt x="103372" y="53334"/>
                </a:lnTo>
                <a:lnTo>
                  <a:pt x="88272" y="46428"/>
                </a:lnTo>
                <a:lnTo>
                  <a:pt x="73696" y="47758"/>
                </a:lnTo>
                <a:lnTo>
                  <a:pt x="63253" y="46247"/>
                </a:lnTo>
                <a:lnTo>
                  <a:pt x="57528" y="52038"/>
                </a:lnTo>
                <a:lnTo>
                  <a:pt x="45340" y="53994"/>
                </a:lnTo>
                <a:lnTo>
                  <a:pt x="40507" y="46291"/>
                </a:lnTo>
                <a:lnTo>
                  <a:pt x="30008" y="50851"/>
                </a:lnTo>
                <a:lnTo>
                  <a:pt x="17301" y="72590"/>
                </a:lnTo>
                <a:lnTo>
                  <a:pt x="9125" y="67542"/>
                </a:lnTo>
                <a:lnTo>
                  <a:pt x="7519" y="58417"/>
                </a:lnTo>
                <a:lnTo>
                  <a:pt x="8173" y="49790"/>
                </a:lnTo>
                <a:lnTo>
                  <a:pt x="0" y="40259"/>
                </a:lnTo>
                <a:lnTo>
                  <a:pt x="7741" y="34909"/>
                </a:lnTo>
                <a:lnTo>
                  <a:pt x="10167" y="22704"/>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10" name="ECU">
            <a:extLst>
              <a:ext uri="{FF2B5EF4-FFF2-40B4-BE49-F238E27FC236}">
                <a16:creationId xmlns:a16="http://schemas.microsoft.com/office/drawing/2014/main" id="{00000000-0008-0000-2700-00006E7D6400}"/>
              </a:ext>
            </a:extLst>
          </xdr:cNvPr>
          <xdr:cNvSpPr/>
        </xdr:nvSpPr>
        <xdr:spPr>
          <a:xfrm>
            <a:off x="3756492" y="3373888"/>
            <a:ext cx="182210" cy="201296"/>
          </a:xfrm>
          <a:custGeom>
            <a:avLst/>
            <a:gdLst/>
            <a:ahLst/>
            <a:cxnLst/>
            <a:rect l="0" t="0" r="0" b="0"/>
            <a:pathLst>
              <a:path w="182058" h="201296">
                <a:moveTo>
                  <a:pt x="21120" y="151949"/>
                </a:moveTo>
                <a:lnTo>
                  <a:pt x="38020" y="128219"/>
                </a:lnTo>
                <a:lnTo>
                  <a:pt x="31153" y="114354"/>
                </a:lnTo>
                <a:lnTo>
                  <a:pt x="19018" y="129098"/>
                </a:lnTo>
                <a:lnTo>
                  <a:pt x="0" y="115183"/>
                </a:lnTo>
                <a:lnTo>
                  <a:pt x="6445" y="106232"/>
                </a:lnTo>
                <a:lnTo>
                  <a:pt x="1082" y="77419"/>
                </a:lnTo>
                <a:lnTo>
                  <a:pt x="12205" y="72631"/>
                </a:lnTo>
                <a:lnTo>
                  <a:pt x="18050" y="52851"/>
                </a:lnTo>
                <a:lnTo>
                  <a:pt x="30064" y="32404"/>
                </a:lnTo>
                <a:lnTo>
                  <a:pt x="27851" y="19447"/>
                </a:lnTo>
                <a:lnTo>
                  <a:pt x="45244" y="12636"/>
                </a:lnTo>
                <a:lnTo>
                  <a:pt x="67072" y="0"/>
                </a:lnTo>
                <a:lnTo>
                  <a:pt x="98828" y="18129"/>
                </a:lnTo>
                <a:lnTo>
                  <a:pt x="104749" y="17621"/>
                </a:lnTo>
                <a:lnTo>
                  <a:pt x="112484" y="31280"/>
                </a:lnTo>
                <a:lnTo>
                  <a:pt x="139427" y="35687"/>
                </a:lnTo>
                <a:lnTo>
                  <a:pt x="148447" y="30635"/>
                </a:lnTo>
                <a:lnTo>
                  <a:pt x="164030" y="41151"/>
                </a:lnTo>
                <a:lnTo>
                  <a:pt x="177628" y="48669"/>
                </a:lnTo>
                <a:lnTo>
                  <a:pt x="182057" y="72780"/>
                </a:lnTo>
                <a:lnTo>
                  <a:pt x="172174" y="93424"/>
                </a:lnTo>
                <a:lnTo>
                  <a:pt x="137554" y="126670"/>
                </a:lnTo>
                <a:lnTo>
                  <a:pt x="99374" y="139189"/>
                </a:lnTo>
                <a:lnTo>
                  <a:pt x="79918" y="166814"/>
                </a:lnTo>
                <a:lnTo>
                  <a:pt x="73911" y="188236"/>
                </a:lnTo>
                <a:lnTo>
                  <a:pt x="55959" y="201295"/>
                </a:lnTo>
                <a:lnTo>
                  <a:pt x="42634" y="185264"/>
                </a:lnTo>
                <a:lnTo>
                  <a:pt x="29810" y="181832"/>
                </a:lnTo>
                <a:lnTo>
                  <a:pt x="16688" y="184359"/>
                </a:lnTo>
                <a:lnTo>
                  <a:pt x="15827" y="172726"/>
                </a:lnTo>
                <a:lnTo>
                  <a:pt x="24886" y="165166"/>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11" name="EGY">
            <a:extLst>
              <a:ext uri="{FF2B5EF4-FFF2-40B4-BE49-F238E27FC236}">
                <a16:creationId xmlns:a16="http://schemas.microsoft.com/office/drawing/2014/main" id="{00000000-0008-0000-2700-00006F7D6400}"/>
              </a:ext>
            </a:extLst>
          </xdr:cNvPr>
          <xdr:cNvSpPr/>
        </xdr:nvSpPr>
        <xdr:spPr>
          <a:xfrm>
            <a:off x="7114243" y="2414885"/>
            <a:ext cx="386597" cy="304347"/>
          </a:xfrm>
          <a:custGeom>
            <a:avLst/>
            <a:gdLst/>
            <a:ahLst/>
            <a:cxnLst/>
            <a:rect l="0" t="0" r="0" b="0"/>
            <a:pathLst>
              <a:path w="386275" h="304347">
                <a:moveTo>
                  <a:pt x="324564" y="66180"/>
                </a:moveTo>
                <a:lnTo>
                  <a:pt x="315645" y="78940"/>
                </a:lnTo>
                <a:lnTo>
                  <a:pt x="308813" y="102924"/>
                </a:lnTo>
                <a:lnTo>
                  <a:pt x="300177" y="119457"/>
                </a:lnTo>
                <a:lnTo>
                  <a:pt x="292776" y="125000"/>
                </a:lnTo>
                <a:lnTo>
                  <a:pt x="282194" y="114754"/>
                </a:lnTo>
                <a:lnTo>
                  <a:pt x="267865" y="100588"/>
                </a:lnTo>
                <a:lnTo>
                  <a:pt x="245208" y="55074"/>
                </a:lnTo>
                <a:lnTo>
                  <a:pt x="241948" y="57954"/>
                </a:lnTo>
                <a:lnTo>
                  <a:pt x="255101" y="91456"/>
                </a:lnTo>
                <a:lnTo>
                  <a:pt x="274596" y="123375"/>
                </a:lnTo>
                <a:lnTo>
                  <a:pt x="298592" y="172828"/>
                </a:lnTo>
                <a:lnTo>
                  <a:pt x="310318" y="190091"/>
                </a:lnTo>
                <a:lnTo>
                  <a:pt x="320516" y="208023"/>
                </a:lnTo>
                <a:lnTo>
                  <a:pt x="349005" y="243174"/>
                </a:lnTo>
                <a:lnTo>
                  <a:pt x="342697" y="248708"/>
                </a:lnTo>
                <a:lnTo>
                  <a:pt x="343722" y="269345"/>
                </a:lnTo>
                <a:lnTo>
                  <a:pt x="380701" y="297841"/>
                </a:lnTo>
                <a:lnTo>
                  <a:pt x="386274" y="304346"/>
                </a:lnTo>
                <a:lnTo>
                  <a:pt x="260347" y="304346"/>
                </a:lnTo>
                <a:lnTo>
                  <a:pt x="137156" y="304346"/>
                </a:lnTo>
                <a:lnTo>
                  <a:pt x="9522" y="304346"/>
                </a:lnTo>
                <a:lnTo>
                  <a:pt x="9522" y="187427"/>
                </a:lnTo>
                <a:lnTo>
                  <a:pt x="9522" y="74518"/>
                </a:lnTo>
                <a:lnTo>
                  <a:pt x="0" y="48943"/>
                </a:lnTo>
                <a:lnTo>
                  <a:pt x="8175" y="29341"/>
                </a:lnTo>
                <a:lnTo>
                  <a:pt x="3264" y="15761"/>
                </a:lnTo>
                <a:lnTo>
                  <a:pt x="14754" y="524"/>
                </a:lnTo>
                <a:lnTo>
                  <a:pt x="56997" y="0"/>
                </a:lnTo>
                <a:lnTo>
                  <a:pt x="87550" y="8395"/>
                </a:lnTo>
                <a:lnTo>
                  <a:pt x="119075" y="17777"/>
                </a:lnTo>
                <a:lnTo>
                  <a:pt x="133775" y="22724"/>
                </a:lnTo>
                <a:lnTo>
                  <a:pt x="158219" y="12662"/>
                </a:lnTo>
                <a:lnTo>
                  <a:pt x="171288" y="3566"/>
                </a:lnTo>
                <a:lnTo>
                  <a:pt x="199288" y="947"/>
                </a:lnTo>
                <a:lnTo>
                  <a:pt x="221865" y="4957"/>
                </a:lnTo>
                <a:lnTo>
                  <a:pt x="230514" y="20705"/>
                </a:lnTo>
                <a:lnTo>
                  <a:pt x="237884" y="10332"/>
                </a:lnTo>
                <a:lnTo>
                  <a:pt x="263328" y="17831"/>
                </a:lnTo>
                <a:lnTo>
                  <a:pt x="288077" y="19628"/>
                </a:lnTo>
                <a:lnTo>
                  <a:pt x="303698" y="11631"/>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12" name="SLV">
            <a:extLst>
              <a:ext uri="{FF2B5EF4-FFF2-40B4-BE49-F238E27FC236}">
                <a16:creationId xmlns:a16="http://schemas.microsoft.com/office/drawing/2014/main" id="{00000000-0008-0000-2700-0000707D6400}"/>
              </a:ext>
            </a:extLst>
          </xdr:cNvPr>
          <xdr:cNvSpPr/>
        </xdr:nvSpPr>
        <xdr:spPr>
          <a:xfrm>
            <a:off x="3466442" y="2959766"/>
            <a:ext cx="75378" cy="40486"/>
          </a:xfrm>
          <a:custGeom>
            <a:avLst/>
            <a:gdLst/>
            <a:ahLst/>
            <a:cxnLst/>
            <a:rect l="0" t="0" r="0" b="0"/>
            <a:pathLst>
              <a:path w="75315" h="40486">
                <a:moveTo>
                  <a:pt x="73104" y="33008"/>
                </a:moveTo>
                <a:lnTo>
                  <a:pt x="69580" y="40485"/>
                </a:lnTo>
                <a:lnTo>
                  <a:pt x="51191" y="40009"/>
                </a:lnTo>
                <a:lnTo>
                  <a:pt x="39764" y="36970"/>
                </a:lnTo>
                <a:lnTo>
                  <a:pt x="26635" y="30658"/>
                </a:lnTo>
                <a:lnTo>
                  <a:pt x="8992" y="28686"/>
                </a:lnTo>
                <a:lnTo>
                  <a:pt x="0" y="21870"/>
                </a:lnTo>
                <a:lnTo>
                  <a:pt x="981" y="17212"/>
                </a:lnTo>
                <a:lnTo>
                  <a:pt x="11865" y="9205"/>
                </a:lnTo>
                <a:lnTo>
                  <a:pt x="17825" y="5693"/>
                </a:lnTo>
                <a:lnTo>
                  <a:pt x="16139" y="1953"/>
                </a:lnTo>
                <a:lnTo>
                  <a:pt x="23568" y="0"/>
                </a:lnTo>
                <a:lnTo>
                  <a:pt x="32928" y="2671"/>
                </a:lnTo>
                <a:lnTo>
                  <a:pt x="39767" y="9005"/>
                </a:lnTo>
                <a:lnTo>
                  <a:pt x="49352" y="14094"/>
                </a:lnTo>
                <a:lnTo>
                  <a:pt x="50533" y="18371"/>
                </a:lnTo>
                <a:lnTo>
                  <a:pt x="64462" y="14589"/>
                </a:lnTo>
                <a:lnTo>
                  <a:pt x="70996" y="16853"/>
                </a:lnTo>
                <a:lnTo>
                  <a:pt x="75314" y="20288"/>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13" name="GNQ">
            <a:extLst>
              <a:ext uri="{FF2B5EF4-FFF2-40B4-BE49-F238E27FC236}">
                <a16:creationId xmlns:a16="http://schemas.microsoft.com/office/drawing/2014/main" id="{00000000-0008-0000-2700-0000717D6400}"/>
              </a:ext>
            </a:extLst>
          </xdr:cNvPr>
          <xdr:cNvSpPr/>
        </xdr:nvSpPr>
        <xdr:spPr>
          <a:xfrm>
            <a:off x="6625060" y="3345218"/>
            <a:ext cx="62903" cy="40444"/>
          </a:xfrm>
          <a:custGeom>
            <a:avLst/>
            <a:gdLst/>
            <a:ahLst/>
            <a:cxnLst/>
            <a:rect l="0" t="0" r="0" b="0"/>
            <a:pathLst>
              <a:path w="62851" h="40444">
                <a:moveTo>
                  <a:pt x="5947" y="40443"/>
                </a:moveTo>
                <a:lnTo>
                  <a:pt x="0" y="35655"/>
                </a:lnTo>
                <a:lnTo>
                  <a:pt x="10909" y="0"/>
                </a:lnTo>
                <a:lnTo>
                  <a:pt x="62573" y="723"/>
                </a:lnTo>
                <a:lnTo>
                  <a:pt x="62850" y="38932"/>
                </a:lnTo>
                <a:lnTo>
                  <a:pt x="16659" y="38608"/>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14" name="ERI">
            <a:extLst>
              <a:ext uri="{FF2B5EF4-FFF2-40B4-BE49-F238E27FC236}">
                <a16:creationId xmlns:a16="http://schemas.microsoft.com/office/drawing/2014/main" id="{00000000-0008-0000-2700-0000727D6400}"/>
              </a:ext>
            </a:extLst>
          </xdr:cNvPr>
          <xdr:cNvSpPr/>
        </xdr:nvSpPr>
        <xdr:spPr>
          <a:xfrm>
            <a:off x="7483584" y="2846285"/>
            <a:ext cx="214747" cy="175988"/>
          </a:xfrm>
          <a:custGeom>
            <a:avLst/>
            <a:gdLst/>
            <a:ahLst/>
            <a:cxnLst/>
            <a:rect l="0" t="0" r="0" b="0"/>
            <a:pathLst>
              <a:path w="214568" h="175988">
                <a:moveTo>
                  <a:pt x="191402" y="173232"/>
                </a:moveTo>
                <a:lnTo>
                  <a:pt x="180546" y="162957"/>
                </a:lnTo>
                <a:lnTo>
                  <a:pt x="167494" y="144342"/>
                </a:lnTo>
                <a:lnTo>
                  <a:pt x="153416" y="134144"/>
                </a:lnTo>
                <a:lnTo>
                  <a:pt x="145206" y="123181"/>
                </a:lnTo>
                <a:lnTo>
                  <a:pt x="117570" y="110449"/>
                </a:lnTo>
                <a:lnTo>
                  <a:pt x="95803" y="110071"/>
                </a:lnTo>
                <a:lnTo>
                  <a:pt x="88144" y="103432"/>
                </a:lnTo>
                <a:lnTo>
                  <a:pt x="69526" y="110897"/>
                </a:lnTo>
                <a:lnTo>
                  <a:pt x="50257" y="96485"/>
                </a:lnTo>
                <a:lnTo>
                  <a:pt x="40342" y="120181"/>
                </a:lnTo>
                <a:lnTo>
                  <a:pt x="3375" y="113545"/>
                </a:lnTo>
                <a:lnTo>
                  <a:pt x="0" y="100832"/>
                </a:lnTo>
                <a:lnTo>
                  <a:pt x="13675" y="54179"/>
                </a:lnTo>
                <a:lnTo>
                  <a:pt x="16805" y="33074"/>
                </a:lnTo>
                <a:lnTo>
                  <a:pt x="26807" y="23343"/>
                </a:lnTo>
                <a:lnTo>
                  <a:pt x="50191" y="18123"/>
                </a:lnTo>
                <a:lnTo>
                  <a:pt x="66259" y="0"/>
                </a:lnTo>
                <a:lnTo>
                  <a:pt x="84690" y="36757"/>
                </a:lnTo>
                <a:lnTo>
                  <a:pt x="93437" y="65901"/>
                </a:lnTo>
                <a:lnTo>
                  <a:pt x="110843" y="81366"/>
                </a:lnTo>
                <a:lnTo>
                  <a:pt x="154181" y="111354"/>
                </a:lnTo>
                <a:lnTo>
                  <a:pt x="171825" y="129455"/>
                </a:lnTo>
                <a:lnTo>
                  <a:pt x="189027" y="147774"/>
                </a:lnTo>
                <a:lnTo>
                  <a:pt x="198958" y="158684"/>
                </a:lnTo>
                <a:lnTo>
                  <a:pt x="214567" y="168234"/>
                </a:lnTo>
                <a:lnTo>
                  <a:pt x="204990" y="17598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15" name="EST">
            <a:extLst>
              <a:ext uri="{FF2B5EF4-FFF2-40B4-BE49-F238E27FC236}">
                <a16:creationId xmlns:a16="http://schemas.microsoft.com/office/drawing/2014/main" id="{00000000-0008-0000-2700-0000737D6400}"/>
              </a:ext>
            </a:extLst>
          </xdr:cNvPr>
          <xdr:cNvSpPr/>
        </xdr:nvSpPr>
        <xdr:spPr>
          <a:xfrm>
            <a:off x="7071017" y="1525079"/>
            <a:ext cx="152271" cy="67838"/>
          </a:xfrm>
          <a:custGeom>
            <a:avLst/>
            <a:gdLst/>
            <a:ahLst/>
            <a:cxnLst/>
            <a:rect l="0" t="0" r="0" b="0"/>
            <a:pathLst>
              <a:path w="152144" h="67838">
                <a:moveTo>
                  <a:pt x="30896" y="57712"/>
                </a:moveTo>
                <a:lnTo>
                  <a:pt x="34579" y="38979"/>
                </a:lnTo>
                <a:lnTo>
                  <a:pt x="22905" y="42980"/>
                </a:lnTo>
                <a:lnTo>
                  <a:pt x="2756" y="31696"/>
                </a:lnTo>
                <a:lnTo>
                  <a:pt x="0" y="13459"/>
                </a:lnTo>
                <a:lnTo>
                  <a:pt x="40145" y="4610"/>
                </a:lnTo>
                <a:lnTo>
                  <a:pt x="80150" y="0"/>
                </a:lnTo>
                <a:lnTo>
                  <a:pt x="114595" y="5248"/>
                </a:lnTo>
                <a:lnTo>
                  <a:pt x="147362" y="4309"/>
                </a:lnTo>
                <a:lnTo>
                  <a:pt x="152143" y="9852"/>
                </a:lnTo>
                <a:lnTo>
                  <a:pt x="129553" y="28146"/>
                </a:lnTo>
                <a:lnTo>
                  <a:pt x="138967" y="57760"/>
                </a:lnTo>
                <a:lnTo>
                  <a:pt x="125362" y="67837"/>
                </a:lnTo>
                <a:lnTo>
                  <a:pt x="99178" y="67777"/>
                </a:lnTo>
                <a:lnTo>
                  <a:pt x="71851" y="55994"/>
                </a:lnTo>
                <a:lnTo>
                  <a:pt x="57938" y="5209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16" name="ETH">
            <a:extLst>
              <a:ext uri="{FF2B5EF4-FFF2-40B4-BE49-F238E27FC236}">
                <a16:creationId xmlns:a16="http://schemas.microsoft.com/office/drawing/2014/main" id="{00000000-0008-0000-2700-0000747D6400}"/>
              </a:ext>
            </a:extLst>
          </xdr:cNvPr>
          <xdr:cNvSpPr/>
        </xdr:nvSpPr>
        <xdr:spPr>
          <a:xfrm>
            <a:off x="7376529" y="2942770"/>
            <a:ext cx="471411" cy="366311"/>
          </a:xfrm>
          <a:custGeom>
            <a:avLst/>
            <a:gdLst/>
            <a:ahLst/>
            <a:cxnLst/>
            <a:rect l="0" t="0" r="0" b="0"/>
            <a:pathLst>
              <a:path w="471019" h="366311">
                <a:moveTo>
                  <a:pt x="157223" y="0"/>
                </a:moveTo>
                <a:lnTo>
                  <a:pt x="176492" y="14412"/>
                </a:lnTo>
                <a:lnTo>
                  <a:pt x="195110" y="6947"/>
                </a:lnTo>
                <a:lnTo>
                  <a:pt x="202769" y="13586"/>
                </a:lnTo>
                <a:lnTo>
                  <a:pt x="224539" y="13964"/>
                </a:lnTo>
                <a:lnTo>
                  <a:pt x="252172" y="26696"/>
                </a:lnTo>
                <a:lnTo>
                  <a:pt x="260382" y="37659"/>
                </a:lnTo>
                <a:lnTo>
                  <a:pt x="274460" y="47857"/>
                </a:lnTo>
                <a:lnTo>
                  <a:pt x="287512" y="66472"/>
                </a:lnTo>
                <a:lnTo>
                  <a:pt x="298368" y="76747"/>
                </a:lnTo>
                <a:lnTo>
                  <a:pt x="287205" y="90787"/>
                </a:lnTo>
                <a:lnTo>
                  <a:pt x="276466" y="105671"/>
                </a:lnTo>
                <a:lnTo>
                  <a:pt x="278937" y="114437"/>
                </a:lnTo>
                <a:lnTo>
                  <a:pt x="279445" y="124095"/>
                </a:lnTo>
                <a:lnTo>
                  <a:pt x="297178" y="124626"/>
                </a:lnTo>
                <a:lnTo>
                  <a:pt x="304823" y="122375"/>
                </a:lnTo>
                <a:lnTo>
                  <a:pt x="311871" y="128032"/>
                </a:lnTo>
                <a:lnTo>
                  <a:pt x="304946" y="139281"/>
                </a:lnTo>
                <a:lnTo>
                  <a:pt x="316672" y="156766"/>
                </a:lnTo>
                <a:lnTo>
                  <a:pt x="328384" y="172051"/>
                </a:lnTo>
                <a:lnTo>
                  <a:pt x="340507" y="183382"/>
                </a:lnTo>
                <a:lnTo>
                  <a:pt x="444313" y="221060"/>
                </a:lnTo>
                <a:lnTo>
                  <a:pt x="471018" y="220866"/>
                </a:lnTo>
                <a:lnTo>
                  <a:pt x="381299" y="316161"/>
                </a:lnTo>
                <a:lnTo>
                  <a:pt x="339938" y="317558"/>
                </a:lnTo>
                <a:lnTo>
                  <a:pt x="311643" y="339942"/>
                </a:lnTo>
                <a:lnTo>
                  <a:pt x="291287" y="340529"/>
                </a:lnTo>
                <a:lnTo>
                  <a:pt x="282604" y="350536"/>
                </a:lnTo>
                <a:lnTo>
                  <a:pt x="260909" y="350530"/>
                </a:lnTo>
                <a:lnTo>
                  <a:pt x="248105" y="339802"/>
                </a:lnTo>
                <a:lnTo>
                  <a:pt x="219098" y="353079"/>
                </a:lnTo>
                <a:lnTo>
                  <a:pt x="209715" y="366310"/>
                </a:lnTo>
                <a:lnTo>
                  <a:pt x="188542" y="363814"/>
                </a:lnTo>
                <a:lnTo>
                  <a:pt x="181512" y="360150"/>
                </a:lnTo>
                <a:lnTo>
                  <a:pt x="174080" y="361027"/>
                </a:lnTo>
                <a:lnTo>
                  <a:pt x="164043" y="360706"/>
                </a:lnTo>
                <a:lnTo>
                  <a:pt x="123854" y="333741"/>
                </a:lnTo>
                <a:lnTo>
                  <a:pt x="101756" y="333741"/>
                </a:lnTo>
                <a:lnTo>
                  <a:pt x="90907" y="323292"/>
                </a:lnTo>
                <a:lnTo>
                  <a:pt x="90907" y="305473"/>
                </a:lnTo>
                <a:lnTo>
                  <a:pt x="74416" y="300146"/>
                </a:lnTo>
                <a:lnTo>
                  <a:pt x="55652" y="265596"/>
                </a:lnTo>
                <a:lnTo>
                  <a:pt x="41151" y="258233"/>
                </a:lnTo>
                <a:lnTo>
                  <a:pt x="35589" y="245536"/>
                </a:lnTo>
                <a:lnTo>
                  <a:pt x="19498" y="230064"/>
                </a:lnTo>
                <a:lnTo>
                  <a:pt x="0" y="227788"/>
                </a:lnTo>
                <a:lnTo>
                  <a:pt x="10814" y="209703"/>
                </a:lnTo>
                <a:lnTo>
                  <a:pt x="27664" y="208922"/>
                </a:lnTo>
                <a:lnTo>
                  <a:pt x="32411" y="199225"/>
                </a:lnTo>
                <a:lnTo>
                  <a:pt x="31985" y="170682"/>
                </a:lnTo>
                <a:lnTo>
                  <a:pt x="41377" y="137456"/>
                </a:lnTo>
                <a:lnTo>
                  <a:pt x="56420" y="128563"/>
                </a:lnTo>
                <a:lnTo>
                  <a:pt x="59608" y="115583"/>
                </a:lnTo>
                <a:lnTo>
                  <a:pt x="73225" y="91329"/>
                </a:lnTo>
                <a:lnTo>
                  <a:pt x="92374" y="75600"/>
                </a:lnTo>
                <a:lnTo>
                  <a:pt x="105283" y="44327"/>
                </a:lnTo>
                <a:lnTo>
                  <a:pt x="110341" y="17060"/>
                </a:lnTo>
                <a:lnTo>
                  <a:pt x="147308" y="23696"/>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6585717" name="FJI">
            <a:extLst>
              <a:ext uri="{FF2B5EF4-FFF2-40B4-BE49-F238E27FC236}">
                <a16:creationId xmlns:a16="http://schemas.microsoft.com/office/drawing/2014/main" id="{00000000-0008-0000-2700-0000757D6400}"/>
              </a:ext>
            </a:extLst>
          </xdr:cNvPr>
          <xdr:cNvGrpSpPr/>
        </xdr:nvGrpSpPr>
        <xdr:grpSpPr>
          <a:xfrm>
            <a:off x="609600" y="3926395"/>
            <a:ext cx="11439525" cy="71982"/>
            <a:chOff x="508000" y="4180395"/>
            <a:chExt cx="11430001" cy="71982"/>
          </a:xfrm>
          <a:grpFill/>
        </xdr:grpSpPr>
        <xdr:sp macro="" textlink="">
          <xdr:nvSpPr>
            <xdr:cNvPr id="6586845" name="FJ_1">
              <a:extLst>
                <a:ext uri="{FF2B5EF4-FFF2-40B4-BE49-F238E27FC236}">
                  <a16:creationId xmlns:a16="http://schemas.microsoft.com/office/drawing/2014/main" id="{00000000-0008-0000-2700-0000DD816400}"/>
                </a:ext>
              </a:extLst>
            </xdr:cNvPr>
            <xdr:cNvSpPr/>
          </xdr:nvSpPr>
          <xdr:spPr>
            <a:xfrm>
              <a:off x="11851799" y="4222273"/>
              <a:ext cx="45501" cy="30104"/>
            </a:xfrm>
            <a:custGeom>
              <a:avLst/>
              <a:gdLst/>
              <a:ahLst/>
              <a:cxnLst/>
              <a:rect l="0" t="0" r="0" b="0"/>
              <a:pathLst>
                <a:path w="45501" h="30104">
                  <a:moveTo>
                    <a:pt x="34563" y="0"/>
                  </a:moveTo>
                  <a:lnTo>
                    <a:pt x="45500" y="9163"/>
                  </a:lnTo>
                  <a:lnTo>
                    <a:pt x="40249" y="25740"/>
                  </a:lnTo>
                  <a:lnTo>
                    <a:pt x="20563" y="30103"/>
                  </a:lnTo>
                  <a:lnTo>
                    <a:pt x="3063" y="26175"/>
                  </a:lnTo>
                  <a:lnTo>
                    <a:pt x="0" y="12218"/>
                  </a:lnTo>
                  <a:lnTo>
                    <a:pt x="12252" y="1308"/>
                  </a:lnTo>
                  <a:lnTo>
                    <a:pt x="26689" y="5236"/>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46" name="FJ_2">
              <a:extLst>
                <a:ext uri="{FF2B5EF4-FFF2-40B4-BE49-F238E27FC236}">
                  <a16:creationId xmlns:a16="http://schemas.microsoft.com/office/drawing/2014/main" id="{00000000-0008-0000-2700-0000DE816400}"/>
                </a:ext>
              </a:extLst>
            </xdr:cNvPr>
            <xdr:cNvSpPr/>
          </xdr:nvSpPr>
          <xdr:spPr>
            <a:xfrm>
              <a:off x="11893448" y="4181862"/>
              <a:ext cx="44553" cy="30002"/>
            </a:xfrm>
            <a:custGeom>
              <a:avLst/>
              <a:gdLst/>
              <a:ahLst/>
              <a:cxnLst/>
              <a:rect l="0" t="0" r="0" b="0"/>
              <a:pathLst>
                <a:path w="44553" h="30002">
                  <a:moveTo>
                    <a:pt x="24362" y="23314"/>
                  </a:moveTo>
                  <a:lnTo>
                    <a:pt x="4073" y="30001"/>
                  </a:lnTo>
                  <a:lnTo>
                    <a:pt x="0" y="18164"/>
                  </a:lnTo>
                  <a:lnTo>
                    <a:pt x="15869" y="11649"/>
                  </a:lnTo>
                  <a:lnTo>
                    <a:pt x="25930" y="9906"/>
                  </a:lnTo>
                  <a:lnTo>
                    <a:pt x="44552" y="0"/>
                  </a:lnTo>
                  <a:lnTo>
                    <a:pt x="44552" y="1549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47" name="FJ_3">
              <a:extLst>
                <a:ext uri="{FF2B5EF4-FFF2-40B4-BE49-F238E27FC236}">
                  <a16:creationId xmlns:a16="http://schemas.microsoft.com/office/drawing/2014/main" id="{00000000-0008-0000-2700-0000DF816400}"/>
                </a:ext>
              </a:extLst>
            </xdr:cNvPr>
            <xdr:cNvSpPr/>
          </xdr:nvSpPr>
          <xdr:spPr>
            <a:xfrm>
              <a:off x="508000" y="4180395"/>
              <a:ext cx="6563" cy="16965"/>
            </a:xfrm>
            <a:custGeom>
              <a:avLst/>
              <a:gdLst/>
              <a:ahLst/>
              <a:cxnLst/>
              <a:rect l="0" t="0" r="0" b="0"/>
              <a:pathLst>
                <a:path w="6563" h="16965">
                  <a:moveTo>
                    <a:pt x="2622" y="15269"/>
                  </a:moveTo>
                  <a:lnTo>
                    <a:pt x="0" y="16964"/>
                  </a:lnTo>
                  <a:lnTo>
                    <a:pt x="0" y="1467"/>
                  </a:lnTo>
                  <a:lnTo>
                    <a:pt x="6562"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6585718" name="FIN">
            <a:extLst>
              <a:ext uri="{FF2B5EF4-FFF2-40B4-BE49-F238E27FC236}">
                <a16:creationId xmlns:a16="http://schemas.microsoft.com/office/drawing/2014/main" id="{00000000-0008-0000-2700-0000767D6400}"/>
              </a:ext>
            </a:extLst>
          </xdr:cNvPr>
          <xdr:cNvSpPr/>
        </xdr:nvSpPr>
        <xdr:spPr>
          <a:xfrm>
            <a:off x="6985405" y="1190018"/>
            <a:ext cx="345427" cy="327591"/>
          </a:xfrm>
          <a:custGeom>
            <a:avLst/>
            <a:gdLst/>
            <a:ahLst/>
            <a:cxnLst/>
            <a:rect l="0" t="0" r="0" b="0"/>
            <a:pathLst>
              <a:path w="345139" h="327591">
                <a:moveTo>
                  <a:pt x="252295" y="34906"/>
                </a:moveTo>
                <a:lnTo>
                  <a:pt x="247660" y="57137"/>
                </a:lnTo>
                <a:lnTo>
                  <a:pt x="296285" y="78292"/>
                </a:lnTo>
                <a:lnTo>
                  <a:pt x="266986" y="102232"/>
                </a:lnTo>
                <a:lnTo>
                  <a:pt x="303911" y="138373"/>
                </a:lnTo>
                <a:lnTo>
                  <a:pt x="282537" y="165592"/>
                </a:lnTo>
                <a:lnTo>
                  <a:pt x="311122" y="189221"/>
                </a:lnTo>
                <a:lnTo>
                  <a:pt x="298142" y="209912"/>
                </a:lnTo>
                <a:lnTo>
                  <a:pt x="345138" y="231664"/>
                </a:lnTo>
                <a:lnTo>
                  <a:pt x="333197" y="247857"/>
                </a:lnTo>
                <a:lnTo>
                  <a:pt x="303705" y="266198"/>
                </a:lnTo>
                <a:lnTo>
                  <a:pt x="235725" y="306727"/>
                </a:lnTo>
                <a:lnTo>
                  <a:pt x="178105" y="309251"/>
                </a:lnTo>
                <a:lnTo>
                  <a:pt x="122270" y="320894"/>
                </a:lnTo>
                <a:lnTo>
                  <a:pt x="70616" y="327590"/>
                </a:lnTo>
                <a:lnTo>
                  <a:pt x="52235" y="310271"/>
                </a:lnTo>
                <a:lnTo>
                  <a:pt x="21482" y="299847"/>
                </a:lnTo>
                <a:lnTo>
                  <a:pt x="28553" y="268570"/>
                </a:lnTo>
                <a:lnTo>
                  <a:pt x="13132" y="239929"/>
                </a:lnTo>
                <a:lnTo>
                  <a:pt x="28271" y="221441"/>
                </a:lnTo>
                <a:lnTo>
                  <a:pt x="57058" y="201498"/>
                </a:lnTo>
                <a:lnTo>
                  <a:pt x="129696" y="167065"/>
                </a:lnTo>
                <a:lnTo>
                  <a:pt x="150892" y="160426"/>
                </a:lnTo>
                <a:lnTo>
                  <a:pt x="147587" y="146999"/>
                </a:lnTo>
                <a:lnTo>
                  <a:pt x="103435" y="131994"/>
                </a:lnTo>
                <a:lnTo>
                  <a:pt x="92720" y="119637"/>
                </a:lnTo>
                <a:lnTo>
                  <a:pt x="91882" y="70745"/>
                </a:lnTo>
                <a:lnTo>
                  <a:pt x="42320" y="49130"/>
                </a:lnTo>
                <a:lnTo>
                  <a:pt x="0" y="33592"/>
                </a:lnTo>
                <a:lnTo>
                  <a:pt x="19028" y="25203"/>
                </a:lnTo>
                <a:lnTo>
                  <a:pt x="54312" y="41989"/>
                </a:lnTo>
                <a:lnTo>
                  <a:pt x="95771" y="40418"/>
                </a:lnTo>
                <a:lnTo>
                  <a:pt x="129861" y="48089"/>
                </a:lnTo>
                <a:lnTo>
                  <a:pt x="160135" y="34039"/>
                </a:lnTo>
                <a:lnTo>
                  <a:pt x="175704" y="10760"/>
                </a:lnTo>
                <a:lnTo>
                  <a:pt x="225003" y="0"/>
                </a:lnTo>
                <a:lnTo>
                  <a:pt x="265748" y="1262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19" name="GAB">
            <a:extLst>
              <a:ext uri="{FF2B5EF4-FFF2-40B4-BE49-F238E27FC236}">
                <a16:creationId xmlns:a16="http://schemas.microsoft.com/office/drawing/2014/main" id="{00000000-0008-0000-2700-0000777D6400}"/>
              </a:ext>
            </a:extLst>
          </xdr:cNvPr>
          <xdr:cNvSpPr/>
        </xdr:nvSpPr>
        <xdr:spPr>
          <a:xfrm>
            <a:off x="6608931" y="3343855"/>
            <a:ext cx="178823" cy="200204"/>
          </a:xfrm>
          <a:custGeom>
            <a:avLst/>
            <a:gdLst/>
            <a:ahLst/>
            <a:cxnLst/>
            <a:rect l="0" t="0" r="0" b="0"/>
            <a:pathLst>
              <a:path w="178674" h="200204">
                <a:moveTo>
                  <a:pt x="72892" y="200203"/>
                </a:moveTo>
                <a:lnTo>
                  <a:pt x="40262" y="168158"/>
                </a:lnTo>
                <a:lnTo>
                  <a:pt x="19279" y="141958"/>
                </a:lnTo>
                <a:lnTo>
                  <a:pt x="0" y="109160"/>
                </a:lnTo>
                <a:lnTo>
                  <a:pt x="1019" y="98613"/>
                </a:lnTo>
                <a:lnTo>
                  <a:pt x="7950" y="88463"/>
                </a:lnTo>
                <a:lnTo>
                  <a:pt x="15666" y="65345"/>
                </a:lnTo>
                <a:lnTo>
                  <a:pt x="22063" y="41806"/>
                </a:lnTo>
                <a:lnTo>
                  <a:pt x="32775" y="39971"/>
                </a:lnTo>
                <a:lnTo>
                  <a:pt x="78966" y="40295"/>
                </a:lnTo>
                <a:lnTo>
                  <a:pt x="78689" y="2086"/>
                </a:lnTo>
                <a:lnTo>
                  <a:pt x="93780" y="0"/>
                </a:lnTo>
                <a:lnTo>
                  <a:pt x="113074" y="4255"/>
                </a:lnTo>
                <a:lnTo>
                  <a:pt x="131867" y="166"/>
                </a:lnTo>
                <a:lnTo>
                  <a:pt x="135820" y="1896"/>
                </a:lnTo>
                <a:lnTo>
                  <a:pt x="133512" y="15745"/>
                </a:lnTo>
                <a:lnTo>
                  <a:pt x="142386" y="32150"/>
                </a:lnTo>
                <a:lnTo>
                  <a:pt x="166012" y="29563"/>
                </a:lnTo>
                <a:lnTo>
                  <a:pt x="173936" y="35875"/>
                </a:lnTo>
                <a:lnTo>
                  <a:pt x="160189" y="72644"/>
                </a:lnTo>
                <a:lnTo>
                  <a:pt x="175209" y="91422"/>
                </a:lnTo>
                <a:lnTo>
                  <a:pt x="178673" y="116212"/>
                </a:lnTo>
                <a:lnTo>
                  <a:pt x="174663" y="137322"/>
                </a:lnTo>
                <a:lnTo>
                  <a:pt x="164922" y="152325"/>
                </a:lnTo>
                <a:lnTo>
                  <a:pt x="136893" y="150988"/>
                </a:lnTo>
                <a:lnTo>
                  <a:pt x="119929" y="135741"/>
                </a:lnTo>
                <a:lnTo>
                  <a:pt x="117402" y="149813"/>
                </a:lnTo>
                <a:lnTo>
                  <a:pt x="95980" y="153702"/>
                </a:lnTo>
                <a:lnTo>
                  <a:pt x="85090" y="161684"/>
                </a:lnTo>
                <a:lnTo>
                  <a:pt x="97063" y="18268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20" name="GMB">
            <a:extLst>
              <a:ext uri="{FF2B5EF4-FFF2-40B4-BE49-F238E27FC236}">
                <a16:creationId xmlns:a16="http://schemas.microsoft.com/office/drawing/2014/main" id="{00000000-0008-0000-2700-0000787D6400}"/>
              </a:ext>
            </a:extLst>
          </xdr:cNvPr>
          <xdr:cNvSpPr/>
        </xdr:nvSpPr>
        <xdr:spPr>
          <a:xfrm>
            <a:off x="5794198" y="2977152"/>
            <a:ext cx="95219" cy="23693"/>
          </a:xfrm>
          <a:custGeom>
            <a:avLst/>
            <a:gdLst/>
            <a:ahLst/>
            <a:cxnLst/>
            <a:rect l="0" t="0" r="0" b="0"/>
            <a:pathLst>
              <a:path w="95140" h="23693">
                <a:moveTo>
                  <a:pt x="0" y="23023"/>
                </a:moveTo>
                <a:lnTo>
                  <a:pt x="4058" y="8938"/>
                </a:lnTo>
                <a:lnTo>
                  <a:pt x="38637" y="8030"/>
                </a:lnTo>
                <a:lnTo>
                  <a:pt x="45805" y="512"/>
                </a:lnTo>
                <a:lnTo>
                  <a:pt x="55873" y="0"/>
                </a:lnTo>
                <a:lnTo>
                  <a:pt x="68405" y="7814"/>
                </a:lnTo>
                <a:lnTo>
                  <a:pt x="78257" y="7963"/>
                </a:lnTo>
                <a:lnTo>
                  <a:pt x="88725" y="2617"/>
                </a:lnTo>
                <a:lnTo>
                  <a:pt x="95139" y="11796"/>
                </a:lnTo>
                <a:lnTo>
                  <a:pt x="81401" y="18920"/>
                </a:lnTo>
                <a:lnTo>
                  <a:pt x="67605" y="18362"/>
                </a:lnTo>
                <a:lnTo>
                  <a:pt x="53984" y="11653"/>
                </a:lnTo>
                <a:lnTo>
                  <a:pt x="42218" y="18984"/>
                </a:lnTo>
                <a:lnTo>
                  <a:pt x="36528" y="19244"/>
                </a:lnTo>
                <a:lnTo>
                  <a:pt x="28899" y="2369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21" name="GEO">
            <a:extLst>
              <a:ext uri="{FF2B5EF4-FFF2-40B4-BE49-F238E27FC236}">
                <a16:creationId xmlns:a16="http://schemas.microsoft.com/office/drawing/2014/main" id="{00000000-0008-0000-2700-0000797D6400}"/>
              </a:ext>
            </a:extLst>
          </xdr:cNvPr>
          <xdr:cNvSpPr/>
        </xdr:nvSpPr>
        <xdr:spPr>
          <a:xfrm>
            <a:off x="7598990" y="2034920"/>
            <a:ext cx="212360" cy="79018"/>
          </a:xfrm>
          <a:custGeom>
            <a:avLst/>
            <a:gdLst/>
            <a:ahLst/>
            <a:cxnLst/>
            <a:rect l="0" t="0" r="0" b="0"/>
            <a:pathLst>
              <a:path w="212183" h="79018">
                <a:moveTo>
                  <a:pt x="50771" y="64053"/>
                </a:moveTo>
                <a:lnTo>
                  <a:pt x="55505" y="50489"/>
                </a:lnTo>
                <a:lnTo>
                  <a:pt x="47577" y="28830"/>
                </a:lnTo>
                <a:lnTo>
                  <a:pt x="29225" y="17130"/>
                </a:lnTo>
                <a:lnTo>
                  <a:pt x="11633" y="13478"/>
                </a:lnTo>
                <a:lnTo>
                  <a:pt x="0" y="3750"/>
                </a:lnTo>
                <a:lnTo>
                  <a:pt x="3873" y="0"/>
                </a:lnTo>
                <a:lnTo>
                  <a:pt x="30708" y="5427"/>
                </a:lnTo>
                <a:lnTo>
                  <a:pt x="77451" y="10567"/>
                </a:lnTo>
                <a:lnTo>
                  <a:pt x="120682" y="25791"/>
                </a:lnTo>
                <a:lnTo>
                  <a:pt x="126244" y="31690"/>
                </a:lnTo>
                <a:lnTo>
                  <a:pt x="145497" y="26705"/>
                </a:lnTo>
                <a:lnTo>
                  <a:pt x="175110" y="33347"/>
                </a:lnTo>
                <a:lnTo>
                  <a:pt x="184829" y="46378"/>
                </a:lnTo>
                <a:lnTo>
                  <a:pt x="204787" y="53734"/>
                </a:lnTo>
                <a:lnTo>
                  <a:pt x="196545" y="58113"/>
                </a:lnTo>
                <a:lnTo>
                  <a:pt x="212182" y="75292"/>
                </a:lnTo>
                <a:lnTo>
                  <a:pt x="207855" y="79017"/>
                </a:lnTo>
                <a:lnTo>
                  <a:pt x="190741" y="77128"/>
                </a:lnTo>
                <a:lnTo>
                  <a:pt x="167081" y="67996"/>
                </a:lnTo>
                <a:lnTo>
                  <a:pt x="159306" y="73184"/>
                </a:lnTo>
                <a:lnTo>
                  <a:pt x="115179" y="78137"/>
                </a:lnTo>
                <a:lnTo>
                  <a:pt x="84598" y="62545"/>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23" name="GHA">
            <a:extLst>
              <a:ext uri="{FF2B5EF4-FFF2-40B4-BE49-F238E27FC236}">
                <a16:creationId xmlns:a16="http://schemas.microsoft.com/office/drawing/2014/main" id="{00000000-0008-0000-2700-00007B7D6400}"/>
              </a:ext>
            </a:extLst>
          </xdr:cNvPr>
          <xdr:cNvSpPr/>
        </xdr:nvSpPr>
        <xdr:spPr>
          <a:xfrm>
            <a:off x="6226266" y="3065360"/>
            <a:ext cx="136783" cy="202814"/>
          </a:xfrm>
          <a:custGeom>
            <a:avLst/>
            <a:gdLst/>
            <a:ahLst/>
            <a:cxnLst/>
            <a:rect l="0" t="0" r="0" b="0"/>
            <a:pathLst>
              <a:path w="136669" h="202814">
                <a:moveTo>
                  <a:pt x="136668" y="164132"/>
                </a:moveTo>
                <a:lnTo>
                  <a:pt x="86893" y="182715"/>
                </a:lnTo>
                <a:lnTo>
                  <a:pt x="69240" y="193606"/>
                </a:lnTo>
                <a:lnTo>
                  <a:pt x="40630" y="202813"/>
                </a:lnTo>
                <a:lnTo>
                  <a:pt x="12328" y="193796"/>
                </a:lnTo>
                <a:lnTo>
                  <a:pt x="13770" y="181268"/>
                </a:lnTo>
                <a:lnTo>
                  <a:pt x="0" y="153918"/>
                </a:lnTo>
                <a:lnTo>
                  <a:pt x="8280" y="118066"/>
                </a:lnTo>
                <a:lnTo>
                  <a:pt x="21660" y="91399"/>
                </a:lnTo>
                <a:lnTo>
                  <a:pt x="13236" y="46222"/>
                </a:lnTo>
                <a:lnTo>
                  <a:pt x="8906" y="22321"/>
                </a:lnTo>
                <a:lnTo>
                  <a:pt x="9652" y="4306"/>
                </a:lnTo>
                <a:lnTo>
                  <a:pt x="64801" y="2810"/>
                </a:lnTo>
                <a:lnTo>
                  <a:pt x="78829" y="5125"/>
                </a:lnTo>
                <a:lnTo>
                  <a:pt x="89081" y="0"/>
                </a:lnTo>
                <a:lnTo>
                  <a:pt x="103765" y="2528"/>
                </a:lnTo>
                <a:lnTo>
                  <a:pt x="101428" y="12427"/>
                </a:lnTo>
                <a:lnTo>
                  <a:pt x="114681" y="28801"/>
                </a:lnTo>
                <a:lnTo>
                  <a:pt x="114627" y="51858"/>
                </a:lnTo>
                <a:lnTo>
                  <a:pt x="117653" y="76870"/>
                </a:lnTo>
                <a:lnTo>
                  <a:pt x="125615" y="88450"/>
                </a:lnTo>
                <a:lnTo>
                  <a:pt x="118599" y="117050"/>
                </a:lnTo>
                <a:lnTo>
                  <a:pt x="121120" y="132839"/>
                </a:lnTo>
                <a:lnTo>
                  <a:pt x="129581" y="152981"/>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6585725" name="GRC">
            <a:extLst>
              <a:ext uri="{FF2B5EF4-FFF2-40B4-BE49-F238E27FC236}">
                <a16:creationId xmlns:a16="http://schemas.microsoft.com/office/drawing/2014/main" id="{00000000-0008-0000-2700-00007D7D6400}"/>
              </a:ext>
            </a:extLst>
          </xdr:cNvPr>
          <xdr:cNvGrpSpPr/>
        </xdr:nvGrpSpPr>
        <xdr:grpSpPr>
          <a:xfrm>
            <a:off x="6969657" y="2089727"/>
            <a:ext cx="205093" cy="219295"/>
            <a:chOff x="6862762" y="2343727"/>
            <a:chExt cx="204922" cy="219295"/>
          </a:xfrm>
          <a:grpFill/>
        </xdr:grpSpPr>
        <xdr:sp macro="" textlink="">
          <xdr:nvSpPr>
            <xdr:cNvPr id="6586843" name="GR_1">
              <a:extLst>
                <a:ext uri="{FF2B5EF4-FFF2-40B4-BE49-F238E27FC236}">
                  <a16:creationId xmlns:a16="http://schemas.microsoft.com/office/drawing/2014/main" id="{00000000-0008-0000-2700-0000DB816400}"/>
                </a:ext>
              </a:extLst>
            </xdr:cNvPr>
            <xdr:cNvSpPr/>
          </xdr:nvSpPr>
          <xdr:spPr>
            <a:xfrm>
              <a:off x="6969600" y="2538098"/>
              <a:ext cx="88108" cy="24924"/>
            </a:xfrm>
            <a:custGeom>
              <a:avLst/>
              <a:gdLst/>
              <a:ahLst/>
              <a:cxnLst/>
              <a:rect l="0" t="0" r="0" b="0"/>
              <a:pathLst>
                <a:path w="88108" h="24924">
                  <a:moveTo>
                    <a:pt x="5875" y="0"/>
                  </a:moveTo>
                  <a:lnTo>
                    <a:pt x="23232" y="10699"/>
                  </a:lnTo>
                  <a:lnTo>
                    <a:pt x="47943" y="8890"/>
                  </a:lnTo>
                  <a:lnTo>
                    <a:pt x="71571" y="11144"/>
                  </a:lnTo>
                  <a:lnTo>
                    <a:pt x="70803" y="16668"/>
                  </a:lnTo>
                  <a:lnTo>
                    <a:pt x="88107" y="12858"/>
                  </a:lnTo>
                  <a:lnTo>
                    <a:pt x="84138" y="22225"/>
                  </a:lnTo>
                  <a:lnTo>
                    <a:pt x="38418" y="24923"/>
                  </a:lnTo>
                  <a:lnTo>
                    <a:pt x="38736" y="19685"/>
                  </a:lnTo>
                  <a:lnTo>
                    <a:pt x="0" y="1349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44" name="GR_2">
              <a:extLst>
                <a:ext uri="{FF2B5EF4-FFF2-40B4-BE49-F238E27FC236}">
                  <a16:creationId xmlns:a16="http://schemas.microsoft.com/office/drawing/2014/main" id="{00000000-0008-0000-2700-0000DC816400}"/>
                </a:ext>
              </a:extLst>
            </xdr:cNvPr>
            <xdr:cNvSpPr/>
          </xdr:nvSpPr>
          <xdr:spPr>
            <a:xfrm>
              <a:off x="6862762" y="2343727"/>
              <a:ext cx="204922" cy="171988"/>
            </a:xfrm>
            <a:custGeom>
              <a:avLst/>
              <a:gdLst/>
              <a:ahLst/>
              <a:cxnLst/>
              <a:rect l="0" t="0" r="0" b="0"/>
              <a:pathLst>
                <a:path w="204922" h="171988">
                  <a:moveTo>
                    <a:pt x="204921" y="8408"/>
                  </a:moveTo>
                  <a:lnTo>
                    <a:pt x="195091" y="28277"/>
                  </a:lnTo>
                  <a:lnTo>
                    <a:pt x="187544" y="31839"/>
                  </a:lnTo>
                  <a:lnTo>
                    <a:pt x="168202" y="30938"/>
                  </a:lnTo>
                  <a:lnTo>
                    <a:pt x="151632" y="27934"/>
                  </a:lnTo>
                  <a:lnTo>
                    <a:pt x="113182" y="36189"/>
                  </a:lnTo>
                  <a:lnTo>
                    <a:pt x="135192" y="54036"/>
                  </a:lnTo>
                  <a:lnTo>
                    <a:pt x="119063" y="59211"/>
                  </a:lnTo>
                  <a:lnTo>
                    <a:pt x="101378" y="59243"/>
                  </a:lnTo>
                  <a:lnTo>
                    <a:pt x="84582" y="42891"/>
                  </a:lnTo>
                  <a:lnTo>
                    <a:pt x="78622" y="49857"/>
                  </a:lnTo>
                  <a:lnTo>
                    <a:pt x="85716" y="68822"/>
                  </a:lnTo>
                  <a:lnTo>
                    <a:pt x="101600" y="83722"/>
                  </a:lnTo>
                  <a:lnTo>
                    <a:pt x="89633" y="90678"/>
                  </a:lnTo>
                  <a:lnTo>
                    <a:pt x="107315" y="105312"/>
                  </a:lnTo>
                  <a:lnTo>
                    <a:pt x="123031" y="114519"/>
                  </a:lnTo>
                  <a:lnTo>
                    <a:pt x="123507" y="132458"/>
                  </a:lnTo>
                  <a:lnTo>
                    <a:pt x="94138" y="124044"/>
                  </a:lnTo>
                  <a:lnTo>
                    <a:pt x="103505" y="140237"/>
                  </a:lnTo>
                  <a:lnTo>
                    <a:pt x="83344" y="143571"/>
                  </a:lnTo>
                  <a:lnTo>
                    <a:pt x="95383" y="171590"/>
                  </a:lnTo>
                  <a:lnTo>
                    <a:pt x="74295" y="171987"/>
                  </a:lnTo>
                  <a:lnTo>
                    <a:pt x="48260" y="158176"/>
                  </a:lnTo>
                  <a:lnTo>
                    <a:pt x="36354" y="132776"/>
                  </a:lnTo>
                  <a:lnTo>
                    <a:pt x="30797" y="111652"/>
                  </a:lnTo>
                  <a:lnTo>
                    <a:pt x="18415" y="97057"/>
                  </a:lnTo>
                  <a:lnTo>
                    <a:pt x="2149" y="78953"/>
                  </a:lnTo>
                  <a:lnTo>
                    <a:pt x="0" y="69911"/>
                  </a:lnTo>
                  <a:lnTo>
                    <a:pt x="14763" y="54512"/>
                  </a:lnTo>
                  <a:lnTo>
                    <a:pt x="16669" y="44193"/>
                  </a:lnTo>
                  <a:lnTo>
                    <a:pt x="26988" y="39589"/>
                  </a:lnTo>
                  <a:lnTo>
                    <a:pt x="27622" y="31249"/>
                  </a:lnTo>
                  <a:lnTo>
                    <a:pt x="48393" y="28436"/>
                  </a:lnTo>
                  <a:lnTo>
                    <a:pt x="60496" y="21495"/>
                  </a:lnTo>
                  <a:lnTo>
                    <a:pt x="77701" y="22111"/>
                  </a:lnTo>
                  <a:lnTo>
                    <a:pt x="82924" y="16577"/>
                  </a:lnTo>
                  <a:lnTo>
                    <a:pt x="88976" y="15523"/>
                  </a:lnTo>
                  <a:lnTo>
                    <a:pt x="112461" y="16440"/>
                  </a:lnTo>
                  <a:lnTo>
                    <a:pt x="137878" y="7716"/>
                  </a:lnTo>
                  <a:lnTo>
                    <a:pt x="160248" y="18809"/>
                  </a:lnTo>
                  <a:lnTo>
                    <a:pt x="189106" y="15812"/>
                  </a:lnTo>
                  <a:lnTo>
                    <a:pt x="189452"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6585727" name="GTM">
            <a:extLst>
              <a:ext uri="{FF2B5EF4-FFF2-40B4-BE49-F238E27FC236}">
                <a16:creationId xmlns:a16="http://schemas.microsoft.com/office/drawing/2014/main" id="{00000000-0008-0000-2700-00007F7D6400}"/>
              </a:ext>
            </a:extLst>
          </xdr:cNvPr>
          <xdr:cNvSpPr/>
        </xdr:nvSpPr>
        <xdr:spPr>
          <a:xfrm>
            <a:off x="3398644" y="2851969"/>
            <a:ext cx="127241" cy="129668"/>
          </a:xfrm>
          <a:custGeom>
            <a:avLst/>
            <a:gdLst/>
            <a:ahLst/>
            <a:cxnLst/>
            <a:rect l="0" t="0" r="0" b="0"/>
            <a:pathLst>
              <a:path w="127135" h="129668">
                <a:moveTo>
                  <a:pt x="67742" y="129667"/>
                </a:moveTo>
                <a:lnTo>
                  <a:pt x="51454" y="124126"/>
                </a:lnTo>
                <a:lnTo>
                  <a:pt x="31649" y="123555"/>
                </a:lnTo>
                <a:lnTo>
                  <a:pt x="17130" y="117256"/>
                </a:lnTo>
                <a:lnTo>
                  <a:pt x="45" y="104155"/>
                </a:lnTo>
                <a:lnTo>
                  <a:pt x="826" y="94907"/>
                </a:lnTo>
                <a:lnTo>
                  <a:pt x="4509" y="87461"/>
                </a:lnTo>
                <a:lnTo>
                  <a:pt x="0" y="81531"/>
                </a:lnTo>
                <a:lnTo>
                  <a:pt x="15279" y="55648"/>
                </a:lnTo>
                <a:lnTo>
                  <a:pt x="56030" y="55553"/>
                </a:lnTo>
                <a:lnTo>
                  <a:pt x="56842" y="44742"/>
                </a:lnTo>
                <a:lnTo>
                  <a:pt x="51702" y="42814"/>
                </a:lnTo>
                <a:lnTo>
                  <a:pt x="48178" y="35934"/>
                </a:lnTo>
                <a:lnTo>
                  <a:pt x="36433" y="28600"/>
                </a:lnTo>
                <a:lnTo>
                  <a:pt x="24616" y="18005"/>
                </a:lnTo>
                <a:lnTo>
                  <a:pt x="38955" y="17926"/>
                </a:lnTo>
                <a:lnTo>
                  <a:pt x="38980" y="54"/>
                </a:lnTo>
                <a:lnTo>
                  <a:pt x="68622" y="0"/>
                </a:lnTo>
                <a:lnTo>
                  <a:pt x="97984" y="349"/>
                </a:lnTo>
                <a:lnTo>
                  <a:pt x="97739" y="25517"/>
                </a:lnTo>
                <a:lnTo>
                  <a:pt x="95254" y="61353"/>
                </a:lnTo>
                <a:lnTo>
                  <a:pt x="104731" y="61341"/>
                </a:lnTo>
                <a:lnTo>
                  <a:pt x="115081" y="67084"/>
                </a:lnTo>
                <a:lnTo>
                  <a:pt x="117818" y="62353"/>
                </a:lnTo>
                <a:lnTo>
                  <a:pt x="127134" y="66408"/>
                </a:lnTo>
                <a:lnTo>
                  <a:pt x="112665" y="78521"/>
                </a:lnTo>
                <a:lnTo>
                  <a:pt x="97613" y="87404"/>
                </a:lnTo>
                <a:lnTo>
                  <a:pt x="95378" y="93503"/>
                </a:lnTo>
                <a:lnTo>
                  <a:pt x="97908" y="99736"/>
                </a:lnTo>
                <a:lnTo>
                  <a:pt x="91310" y="107797"/>
                </a:lnTo>
                <a:lnTo>
                  <a:pt x="83881" y="109750"/>
                </a:lnTo>
                <a:lnTo>
                  <a:pt x="85567" y="113490"/>
                </a:lnTo>
                <a:lnTo>
                  <a:pt x="79607" y="117002"/>
                </a:lnTo>
                <a:lnTo>
                  <a:pt x="68723" y="12500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29" name="GIN">
            <a:extLst>
              <a:ext uri="{FF2B5EF4-FFF2-40B4-BE49-F238E27FC236}">
                <a16:creationId xmlns:a16="http://schemas.microsoft.com/office/drawing/2014/main" id="{00000000-0008-0000-2700-0000817D6400}"/>
              </a:ext>
            </a:extLst>
          </xdr:cNvPr>
          <xdr:cNvSpPr/>
        </xdr:nvSpPr>
        <xdr:spPr>
          <a:xfrm>
            <a:off x="5848575" y="3018120"/>
            <a:ext cx="231911" cy="167552"/>
          </a:xfrm>
          <a:custGeom>
            <a:avLst/>
            <a:gdLst/>
            <a:ahLst/>
            <a:cxnLst/>
            <a:rect l="0" t="0" r="0" b="0"/>
            <a:pathLst>
              <a:path w="231718" h="167552">
                <a:moveTo>
                  <a:pt x="212439" y="155581"/>
                </a:moveTo>
                <a:lnTo>
                  <a:pt x="203460" y="154765"/>
                </a:lnTo>
                <a:lnTo>
                  <a:pt x="196983" y="167551"/>
                </a:lnTo>
                <a:lnTo>
                  <a:pt x="188007" y="167395"/>
                </a:lnTo>
                <a:lnTo>
                  <a:pt x="181832" y="160632"/>
                </a:lnTo>
                <a:lnTo>
                  <a:pt x="183927" y="147882"/>
                </a:lnTo>
                <a:lnTo>
                  <a:pt x="170656" y="128432"/>
                </a:lnTo>
                <a:lnTo>
                  <a:pt x="162359" y="132007"/>
                </a:lnTo>
                <a:lnTo>
                  <a:pt x="155581" y="132715"/>
                </a:lnTo>
                <a:lnTo>
                  <a:pt x="146837" y="134534"/>
                </a:lnTo>
                <a:lnTo>
                  <a:pt x="147192" y="122894"/>
                </a:lnTo>
                <a:lnTo>
                  <a:pt x="142097" y="114585"/>
                </a:lnTo>
                <a:lnTo>
                  <a:pt x="143125" y="105356"/>
                </a:lnTo>
                <a:lnTo>
                  <a:pt x="136242" y="92011"/>
                </a:lnTo>
                <a:lnTo>
                  <a:pt x="127406" y="80654"/>
                </a:lnTo>
                <a:lnTo>
                  <a:pt x="102012" y="80619"/>
                </a:lnTo>
                <a:lnTo>
                  <a:pt x="94614" y="86601"/>
                </a:lnTo>
                <a:lnTo>
                  <a:pt x="85864" y="87325"/>
                </a:lnTo>
                <a:lnTo>
                  <a:pt x="80441" y="94170"/>
                </a:lnTo>
                <a:lnTo>
                  <a:pt x="76781" y="102981"/>
                </a:lnTo>
                <a:lnTo>
                  <a:pt x="59807" y="116941"/>
                </a:lnTo>
                <a:lnTo>
                  <a:pt x="45881" y="98155"/>
                </a:lnTo>
                <a:lnTo>
                  <a:pt x="33537" y="85725"/>
                </a:lnTo>
                <a:lnTo>
                  <a:pt x="25406" y="81613"/>
                </a:lnTo>
                <a:lnTo>
                  <a:pt x="17481" y="75301"/>
                </a:lnTo>
                <a:lnTo>
                  <a:pt x="13877" y="61274"/>
                </a:lnTo>
                <a:lnTo>
                  <a:pt x="9229" y="54280"/>
                </a:lnTo>
                <a:lnTo>
                  <a:pt x="0" y="49079"/>
                </a:lnTo>
                <a:lnTo>
                  <a:pt x="14115" y="33604"/>
                </a:lnTo>
                <a:lnTo>
                  <a:pt x="23752" y="34191"/>
                </a:lnTo>
                <a:lnTo>
                  <a:pt x="32032" y="28864"/>
                </a:lnTo>
                <a:lnTo>
                  <a:pt x="39036" y="28813"/>
                </a:lnTo>
                <a:lnTo>
                  <a:pt x="44040" y="24603"/>
                </a:lnTo>
                <a:lnTo>
                  <a:pt x="41338" y="14084"/>
                </a:lnTo>
                <a:lnTo>
                  <a:pt x="44818" y="10763"/>
                </a:lnTo>
                <a:lnTo>
                  <a:pt x="45396" y="0"/>
                </a:lnTo>
                <a:lnTo>
                  <a:pt x="60721" y="327"/>
                </a:lnTo>
                <a:lnTo>
                  <a:pt x="83540" y="8067"/>
                </a:lnTo>
                <a:lnTo>
                  <a:pt x="90541" y="7359"/>
                </a:lnTo>
                <a:lnTo>
                  <a:pt x="92922" y="3829"/>
                </a:lnTo>
                <a:lnTo>
                  <a:pt x="110235" y="6337"/>
                </a:lnTo>
                <a:lnTo>
                  <a:pt x="114820" y="4546"/>
                </a:lnTo>
                <a:lnTo>
                  <a:pt x="116652" y="16173"/>
                </a:lnTo>
                <a:lnTo>
                  <a:pt x="121688" y="16135"/>
                </a:lnTo>
                <a:lnTo>
                  <a:pt x="129975" y="11906"/>
                </a:lnTo>
                <a:lnTo>
                  <a:pt x="135239" y="12963"/>
                </a:lnTo>
                <a:lnTo>
                  <a:pt x="144052" y="21025"/>
                </a:lnTo>
                <a:lnTo>
                  <a:pt x="157641" y="23561"/>
                </a:lnTo>
                <a:lnTo>
                  <a:pt x="166347" y="16690"/>
                </a:lnTo>
                <a:lnTo>
                  <a:pt x="176606" y="12446"/>
                </a:lnTo>
                <a:lnTo>
                  <a:pt x="184235" y="7998"/>
                </a:lnTo>
                <a:lnTo>
                  <a:pt x="190588" y="8829"/>
                </a:lnTo>
                <a:lnTo>
                  <a:pt x="197643" y="15805"/>
                </a:lnTo>
                <a:lnTo>
                  <a:pt x="201428" y="24561"/>
                </a:lnTo>
                <a:lnTo>
                  <a:pt x="214439" y="37865"/>
                </a:lnTo>
                <a:lnTo>
                  <a:pt x="207930" y="46037"/>
                </a:lnTo>
                <a:lnTo>
                  <a:pt x="206692" y="56365"/>
                </a:lnTo>
                <a:lnTo>
                  <a:pt x="213455" y="53241"/>
                </a:lnTo>
                <a:lnTo>
                  <a:pt x="217420" y="56946"/>
                </a:lnTo>
                <a:lnTo>
                  <a:pt x="215738" y="66402"/>
                </a:lnTo>
                <a:lnTo>
                  <a:pt x="225437" y="75555"/>
                </a:lnTo>
                <a:lnTo>
                  <a:pt x="219106" y="78016"/>
                </a:lnTo>
                <a:lnTo>
                  <a:pt x="216557" y="88795"/>
                </a:lnTo>
                <a:lnTo>
                  <a:pt x="223875" y="101917"/>
                </a:lnTo>
                <a:lnTo>
                  <a:pt x="231717" y="127333"/>
                </a:lnTo>
                <a:lnTo>
                  <a:pt x="219925" y="131149"/>
                </a:lnTo>
                <a:lnTo>
                  <a:pt x="216893" y="135566"/>
                </a:lnTo>
                <a:lnTo>
                  <a:pt x="219344" y="141697"/>
                </a:lnTo>
                <a:lnTo>
                  <a:pt x="217474" y="15554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30" name="GNB">
            <a:extLst>
              <a:ext uri="{FF2B5EF4-FFF2-40B4-BE49-F238E27FC236}">
                <a16:creationId xmlns:a16="http://schemas.microsoft.com/office/drawing/2014/main" id="{00000000-0008-0000-2700-0000827D6400}"/>
              </a:ext>
            </a:extLst>
          </xdr:cNvPr>
          <xdr:cNvSpPr/>
        </xdr:nvSpPr>
        <xdr:spPr>
          <a:xfrm>
            <a:off x="5799410" y="3016786"/>
            <a:ext cx="94600" cy="50414"/>
          </a:xfrm>
          <a:custGeom>
            <a:avLst/>
            <a:gdLst/>
            <a:ahLst/>
            <a:cxnLst/>
            <a:rect l="0" t="0" r="0" b="0"/>
            <a:pathLst>
              <a:path w="94521" h="50414">
                <a:moveTo>
                  <a:pt x="49124" y="50413"/>
                </a:moveTo>
                <a:lnTo>
                  <a:pt x="32172" y="37138"/>
                </a:lnTo>
                <a:lnTo>
                  <a:pt x="18805" y="35039"/>
                </a:lnTo>
                <a:lnTo>
                  <a:pt x="11516" y="26089"/>
                </a:lnTo>
                <a:lnTo>
                  <a:pt x="11703" y="21257"/>
                </a:lnTo>
                <a:lnTo>
                  <a:pt x="2023" y="14519"/>
                </a:lnTo>
                <a:lnTo>
                  <a:pt x="0" y="7725"/>
                </a:lnTo>
                <a:lnTo>
                  <a:pt x="16821" y="2553"/>
                </a:lnTo>
                <a:lnTo>
                  <a:pt x="27333" y="3575"/>
                </a:lnTo>
                <a:lnTo>
                  <a:pt x="35846" y="0"/>
                </a:lnTo>
                <a:lnTo>
                  <a:pt x="94520" y="1334"/>
                </a:lnTo>
                <a:lnTo>
                  <a:pt x="93942" y="12097"/>
                </a:lnTo>
                <a:lnTo>
                  <a:pt x="90462" y="15418"/>
                </a:lnTo>
                <a:lnTo>
                  <a:pt x="93164" y="25937"/>
                </a:lnTo>
                <a:lnTo>
                  <a:pt x="88160" y="30147"/>
                </a:lnTo>
                <a:lnTo>
                  <a:pt x="81156" y="30198"/>
                </a:lnTo>
                <a:lnTo>
                  <a:pt x="72876" y="35525"/>
                </a:lnTo>
                <a:lnTo>
                  <a:pt x="63239" y="34938"/>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31" name="GUY">
            <a:extLst>
              <a:ext uri="{FF2B5EF4-FFF2-40B4-BE49-F238E27FC236}">
                <a16:creationId xmlns:a16="http://schemas.microsoft.com/office/drawing/2014/main" id="{00000000-0008-0000-2700-0000837D6400}"/>
              </a:ext>
            </a:extLst>
          </xdr:cNvPr>
          <xdr:cNvSpPr/>
        </xdr:nvSpPr>
        <xdr:spPr>
          <a:xfrm>
            <a:off x="4377959" y="3152079"/>
            <a:ext cx="154781" cy="225391"/>
          </a:xfrm>
          <a:custGeom>
            <a:avLst/>
            <a:gdLst/>
            <a:ahLst/>
            <a:cxnLst/>
            <a:rect l="0" t="0" r="0" b="0"/>
            <a:pathLst>
              <a:path w="154652" h="225391">
                <a:moveTo>
                  <a:pt x="52451" y="0"/>
                </a:moveTo>
                <a:lnTo>
                  <a:pt x="73299" y="11678"/>
                </a:lnTo>
                <a:lnTo>
                  <a:pt x="92942" y="32363"/>
                </a:lnTo>
                <a:lnTo>
                  <a:pt x="93835" y="48711"/>
                </a:lnTo>
                <a:lnTo>
                  <a:pt x="105798" y="49463"/>
                </a:lnTo>
                <a:lnTo>
                  <a:pt x="122813" y="64951"/>
                </a:lnTo>
                <a:lnTo>
                  <a:pt x="135348" y="76006"/>
                </a:lnTo>
                <a:lnTo>
                  <a:pt x="130274" y="104566"/>
                </a:lnTo>
                <a:lnTo>
                  <a:pt x="110999" y="112852"/>
                </a:lnTo>
                <a:lnTo>
                  <a:pt x="112716" y="120339"/>
                </a:lnTo>
                <a:lnTo>
                  <a:pt x="106858" y="136719"/>
                </a:lnTo>
                <a:lnTo>
                  <a:pt x="120927" y="159776"/>
                </a:lnTo>
                <a:lnTo>
                  <a:pt x="131093" y="159814"/>
                </a:lnTo>
                <a:lnTo>
                  <a:pt x="135262" y="177740"/>
                </a:lnTo>
                <a:lnTo>
                  <a:pt x="154651" y="205343"/>
                </a:lnTo>
                <a:lnTo>
                  <a:pt x="146927" y="206480"/>
                </a:lnTo>
                <a:lnTo>
                  <a:pt x="129366" y="203787"/>
                </a:lnTo>
                <a:lnTo>
                  <a:pt x="119041" y="212230"/>
                </a:lnTo>
                <a:lnTo>
                  <a:pt x="104677" y="217799"/>
                </a:lnTo>
                <a:lnTo>
                  <a:pt x="94641" y="219174"/>
                </a:lnTo>
                <a:lnTo>
                  <a:pt x="91132" y="225390"/>
                </a:lnTo>
                <a:lnTo>
                  <a:pt x="75547" y="223816"/>
                </a:lnTo>
                <a:lnTo>
                  <a:pt x="56017" y="208918"/>
                </a:lnTo>
                <a:lnTo>
                  <a:pt x="53715" y="194227"/>
                </a:lnTo>
                <a:lnTo>
                  <a:pt x="45587" y="178175"/>
                </a:lnTo>
                <a:lnTo>
                  <a:pt x="50638" y="151146"/>
                </a:lnTo>
                <a:lnTo>
                  <a:pt x="59446" y="139961"/>
                </a:lnTo>
                <a:lnTo>
                  <a:pt x="52163" y="125206"/>
                </a:lnTo>
                <a:lnTo>
                  <a:pt x="41253" y="120396"/>
                </a:lnTo>
                <a:lnTo>
                  <a:pt x="45381" y="106455"/>
                </a:lnTo>
                <a:lnTo>
                  <a:pt x="37993" y="99139"/>
                </a:lnTo>
                <a:lnTo>
                  <a:pt x="21486" y="100543"/>
                </a:lnTo>
                <a:lnTo>
                  <a:pt x="0" y="76451"/>
                </a:lnTo>
                <a:lnTo>
                  <a:pt x="8601" y="67714"/>
                </a:lnTo>
                <a:lnTo>
                  <a:pt x="7970" y="53051"/>
                </a:lnTo>
                <a:lnTo>
                  <a:pt x="27506" y="47955"/>
                </a:lnTo>
                <a:lnTo>
                  <a:pt x="35389" y="42008"/>
                </a:lnTo>
                <a:lnTo>
                  <a:pt x="24521" y="30226"/>
                </a:lnTo>
                <a:lnTo>
                  <a:pt x="27296" y="1865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32" name="HTI">
            <a:extLst>
              <a:ext uri="{FF2B5EF4-FFF2-40B4-BE49-F238E27FC236}">
                <a16:creationId xmlns:a16="http://schemas.microsoft.com/office/drawing/2014/main" id="{00000000-0008-0000-2700-0000847D6400}"/>
              </a:ext>
            </a:extLst>
          </xdr:cNvPr>
          <xdr:cNvSpPr/>
        </xdr:nvSpPr>
        <xdr:spPr>
          <a:xfrm>
            <a:off x="3963350" y="2785408"/>
            <a:ext cx="90027" cy="59840"/>
          </a:xfrm>
          <a:custGeom>
            <a:avLst/>
            <a:gdLst/>
            <a:ahLst/>
            <a:cxnLst/>
            <a:rect l="0" t="0" r="0" b="0"/>
            <a:pathLst>
              <a:path w="89952" h="59840">
                <a:moveTo>
                  <a:pt x="40266" y="0"/>
                </a:moveTo>
                <a:lnTo>
                  <a:pt x="59636" y="1403"/>
                </a:lnTo>
                <a:lnTo>
                  <a:pt x="87173" y="6388"/>
                </a:lnTo>
                <a:lnTo>
                  <a:pt x="89951" y="23682"/>
                </a:lnTo>
                <a:lnTo>
                  <a:pt x="87525" y="35887"/>
                </a:lnTo>
                <a:lnTo>
                  <a:pt x="79784" y="41237"/>
                </a:lnTo>
                <a:lnTo>
                  <a:pt x="87957" y="50768"/>
                </a:lnTo>
                <a:lnTo>
                  <a:pt x="87303" y="59395"/>
                </a:lnTo>
                <a:lnTo>
                  <a:pt x="66215" y="53997"/>
                </a:lnTo>
                <a:lnTo>
                  <a:pt x="51232" y="56201"/>
                </a:lnTo>
                <a:lnTo>
                  <a:pt x="31858" y="53905"/>
                </a:lnTo>
                <a:lnTo>
                  <a:pt x="17005" y="59839"/>
                </a:lnTo>
                <a:lnTo>
                  <a:pt x="0" y="49949"/>
                </a:lnTo>
                <a:lnTo>
                  <a:pt x="2797" y="39713"/>
                </a:lnTo>
                <a:lnTo>
                  <a:pt x="32020" y="44120"/>
                </a:lnTo>
                <a:lnTo>
                  <a:pt x="55979" y="46669"/>
                </a:lnTo>
                <a:lnTo>
                  <a:pt x="67408" y="39602"/>
                </a:lnTo>
                <a:lnTo>
                  <a:pt x="52908" y="25848"/>
                </a:lnTo>
                <a:lnTo>
                  <a:pt x="53147" y="13719"/>
                </a:lnTo>
                <a:lnTo>
                  <a:pt x="33115" y="8766"/>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33" name="HND">
            <a:extLst>
              <a:ext uri="{FF2B5EF4-FFF2-40B4-BE49-F238E27FC236}">
                <a16:creationId xmlns:a16="http://schemas.microsoft.com/office/drawing/2014/main" id="{00000000-0008-0000-2700-0000857D6400}"/>
              </a:ext>
            </a:extLst>
          </xdr:cNvPr>
          <xdr:cNvSpPr/>
        </xdr:nvSpPr>
        <xdr:spPr>
          <a:xfrm>
            <a:off x="3490030" y="2909560"/>
            <a:ext cx="197209" cy="95908"/>
          </a:xfrm>
          <a:custGeom>
            <a:avLst/>
            <a:gdLst/>
            <a:ahLst/>
            <a:cxnLst/>
            <a:rect l="0" t="0" r="0" b="0"/>
            <a:pathLst>
              <a:path w="197045" h="95908">
                <a:moveTo>
                  <a:pt x="64662" y="95907"/>
                </a:moveTo>
                <a:lnTo>
                  <a:pt x="59179" y="85976"/>
                </a:lnTo>
                <a:lnTo>
                  <a:pt x="49536" y="83214"/>
                </a:lnTo>
                <a:lnTo>
                  <a:pt x="51746" y="70494"/>
                </a:lnTo>
                <a:lnTo>
                  <a:pt x="47428" y="67059"/>
                </a:lnTo>
                <a:lnTo>
                  <a:pt x="40894" y="64795"/>
                </a:lnTo>
                <a:lnTo>
                  <a:pt x="26965" y="68577"/>
                </a:lnTo>
                <a:lnTo>
                  <a:pt x="25784" y="64300"/>
                </a:lnTo>
                <a:lnTo>
                  <a:pt x="16199" y="59211"/>
                </a:lnTo>
                <a:lnTo>
                  <a:pt x="9360" y="52877"/>
                </a:lnTo>
                <a:lnTo>
                  <a:pt x="0" y="50206"/>
                </a:lnTo>
                <a:lnTo>
                  <a:pt x="6598" y="42145"/>
                </a:lnTo>
                <a:lnTo>
                  <a:pt x="4068" y="35912"/>
                </a:lnTo>
                <a:lnTo>
                  <a:pt x="6303" y="29813"/>
                </a:lnTo>
                <a:lnTo>
                  <a:pt x="21355" y="20930"/>
                </a:lnTo>
                <a:lnTo>
                  <a:pt x="35824" y="8817"/>
                </a:lnTo>
                <a:lnTo>
                  <a:pt x="39119" y="10055"/>
                </a:lnTo>
                <a:lnTo>
                  <a:pt x="46086" y="4474"/>
                </a:lnTo>
                <a:lnTo>
                  <a:pt x="55169" y="4020"/>
                </a:lnTo>
                <a:lnTo>
                  <a:pt x="58115" y="6607"/>
                </a:lnTo>
                <a:lnTo>
                  <a:pt x="63040" y="5032"/>
                </a:lnTo>
                <a:lnTo>
                  <a:pt x="77791" y="7896"/>
                </a:lnTo>
                <a:lnTo>
                  <a:pt x="92469" y="7067"/>
                </a:lnTo>
                <a:lnTo>
                  <a:pt x="102683" y="3556"/>
                </a:lnTo>
                <a:lnTo>
                  <a:pt x="106404" y="0"/>
                </a:lnTo>
                <a:lnTo>
                  <a:pt x="116523" y="1641"/>
                </a:lnTo>
                <a:lnTo>
                  <a:pt x="124121" y="3800"/>
                </a:lnTo>
                <a:lnTo>
                  <a:pt x="132426" y="3054"/>
                </a:lnTo>
                <a:lnTo>
                  <a:pt x="138735" y="302"/>
                </a:lnTo>
                <a:lnTo>
                  <a:pt x="153235" y="4705"/>
                </a:lnTo>
                <a:lnTo>
                  <a:pt x="158274" y="5404"/>
                </a:lnTo>
                <a:lnTo>
                  <a:pt x="167964" y="11341"/>
                </a:lnTo>
                <a:lnTo>
                  <a:pt x="177143" y="18456"/>
                </a:lnTo>
                <a:lnTo>
                  <a:pt x="188687" y="23320"/>
                </a:lnTo>
                <a:lnTo>
                  <a:pt x="197044" y="32055"/>
                </a:lnTo>
                <a:lnTo>
                  <a:pt x="186160" y="31404"/>
                </a:lnTo>
                <a:lnTo>
                  <a:pt x="181759" y="35728"/>
                </a:lnTo>
                <a:lnTo>
                  <a:pt x="170739" y="39878"/>
                </a:lnTo>
                <a:lnTo>
                  <a:pt x="162719" y="39897"/>
                </a:lnTo>
                <a:lnTo>
                  <a:pt x="155702" y="43936"/>
                </a:lnTo>
                <a:lnTo>
                  <a:pt x="149343" y="42501"/>
                </a:lnTo>
                <a:lnTo>
                  <a:pt x="143933" y="37649"/>
                </a:lnTo>
                <a:lnTo>
                  <a:pt x="140615" y="38573"/>
                </a:lnTo>
                <a:lnTo>
                  <a:pt x="136541" y="46161"/>
                </a:lnTo>
                <a:lnTo>
                  <a:pt x="133493" y="45885"/>
                </a:lnTo>
                <a:lnTo>
                  <a:pt x="132966" y="52419"/>
                </a:lnTo>
                <a:lnTo>
                  <a:pt x="121885" y="61163"/>
                </a:lnTo>
                <a:lnTo>
                  <a:pt x="116034" y="64938"/>
                </a:lnTo>
                <a:lnTo>
                  <a:pt x="112776" y="68875"/>
                </a:lnTo>
                <a:lnTo>
                  <a:pt x="103410" y="62458"/>
                </a:lnTo>
                <a:lnTo>
                  <a:pt x="96558" y="70929"/>
                </a:lnTo>
                <a:lnTo>
                  <a:pt x="89935" y="70704"/>
                </a:lnTo>
                <a:lnTo>
                  <a:pt x="82493" y="71457"/>
                </a:lnTo>
                <a:lnTo>
                  <a:pt x="83169" y="87068"/>
                </a:lnTo>
                <a:lnTo>
                  <a:pt x="78508" y="87351"/>
                </a:lnTo>
                <a:lnTo>
                  <a:pt x="74533" y="9460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34" name="HUN">
            <a:extLst>
              <a:ext uri="{FF2B5EF4-FFF2-40B4-BE49-F238E27FC236}">
                <a16:creationId xmlns:a16="http://schemas.microsoft.com/office/drawing/2014/main" id="{00000000-0008-0000-2700-0000867D6400}"/>
              </a:ext>
            </a:extLst>
          </xdr:cNvPr>
          <xdr:cNvSpPr/>
        </xdr:nvSpPr>
        <xdr:spPr>
          <a:xfrm>
            <a:off x="6844213" y="1873923"/>
            <a:ext cx="206809" cy="90945"/>
          </a:xfrm>
          <a:custGeom>
            <a:avLst/>
            <a:gdLst/>
            <a:ahLst/>
            <a:cxnLst/>
            <a:rect l="0" t="0" r="0" b="0"/>
            <a:pathLst>
              <a:path w="206637" h="90945">
                <a:moveTo>
                  <a:pt x="0" y="56245"/>
                </a:moveTo>
                <a:lnTo>
                  <a:pt x="10542" y="35804"/>
                </a:lnTo>
                <a:lnTo>
                  <a:pt x="4392" y="28924"/>
                </a:lnTo>
                <a:lnTo>
                  <a:pt x="22273" y="28860"/>
                </a:lnTo>
                <a:lnTo>
                  <a:pt x="24683" y="15887"/>
                </a:lnTo>
                <a:lnTo>
                  <a:pt x="40837" y="24015"/>
                </a:lnTo>
                <a:lnTo>
                  <a:pt x="52541" y="27479"/>
                </a:lnTo>
                <a:lnTo>
                  <a:pt x="79192" y="23587"/>
                </a:lnTo>
                <a:lnTo>
                  <a:pt x="81747" y="17211"/>
                </a:lnTo>
                <a:lnTo>
                  <a:pt x="94364" y="16271"/>
                </a:lnTo>
                <a:lnTo>
                  <a:pt x="109827" y="11344"/>
                </a:lnTo>
                <a:lnTo>
                  <a:pt x="113259" y="13373"/>
                </a:lnTo>
                <a:lnTo>
                  <a:pt x="128169" y="9407"/>
                </a:lnTo>
                <a:lnTo>
                  <a:pt x="135615" y="1936"/>
                </a:lnTo>
                <a:lnTo>
                  <a:pt x="146019" y="0"/>
                </a:lnTo>
                <a:lnTo>
                  <a:pt x="180020" y="9648"/>
                </a:lnTo>
                <a:lnTo>
                  <a:pt x="186795" y="6400"/>
                </a:lnTo>
                <a:lnTo>
                  <a:pt x="204423" y="15039"/>
                </a:lnTo>
                <a:lnTo>
                  <a:pt x="206636" y="23549"/>
                </a:lnTo>
                <a:lnTo>
                  <a:pt x="187246" y="30210"/>
                </a:lnTo>
                <a:lnTo>
                  <a:pt x="172219" y="51742"/>
                </a:lnTo>
                <a:lnTo>
                  <a:pt x="153026" y="73272"/>
                </a:lnTo>
                <a:lnTo>
                  <a:pt x="127569" y="79260"/>
                </a:lnTo>
                <a:lnTo>
                  <a:pt x="107750" y="77857"/>
                </a:lnTo>
                <a:lnTo>
                  <a:pt x="83424" y="86201"/>
                </a:lnTo>
                <a:lnTo>
                  <a:pt x="71559" y="90944"/>
                </a:lnTo>
                <a:lnTo>
                  <a:pt x="45333" y="84839"/>
                </a:lnTo>
                <a:lnTo>
                  <a:pt x="21597" y="71224"/>
                </a:lnTo>
                <a:lnTo>
                  <a:pt x="11510" y="67313"/>
                </a:lnTo>
                <a:lnTo>
                  <a:pt x="5341" y="5659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35" name="ISL">
            <a:extLst>
              <a:ext uri="{FF2B5EF4-FFF2-40B4-BE49-F238E27FC236}">
                <a16:creationId xmlns:a16="http://schemas.microsoft.com/office/drawing/2014/main" id="{00000000-0008-0000-2700-0000877D6400}"/>
              </a:ext>
            </a:extLst>
          </xdr:cNvPr>
          <xdr:cNvSpPr/>
        </xdr:nvSpPr>
        <xdr:spPr>
          <a:xfrm>
            <a:off x="5556361" y="1305506"/>
            <a:ext cx="340533" cy="96216"/>
          </a:xfrm>
          <a:custGeom>
            <a:avLst/>
            <a:gdLst/>
            <a:ahLst/>
            <a:cxnLst/>
            <a:rect l="0" t="0" r="0" b="0"/>
            <a:pathLst>
              <a:path w="340249" h="96216">
                <a:moveTo>
                  <a:pt x="311705" y="2251"/>
                </a:moveTo>
                <a:lnTo>
                  <a:pt x="304374" y="22799"/>
                </a:lnTo>
                <a:lnTo>
                  <a:pt x="340248" y="44453"/>
                </a:lnTo>
                <a:lnTo>
                  <a:pt x="298970" y="68665"/>
                </a:lnTo>
                <a:lnTo>
                  <a:pt x="207384" y="90427"/>
                </a:lnTo>
                <a:lnTo>
                  <a:pt x="180022" y="96215"/>
                </a:lnTo>
                <a:lnTo>
                  <a:pt x="138220" y="91541"/>
                </a:lnTo>
                <a:lnTo>
                  <a:pt x="49631" y="81489"/>
                </a:lnTo>
                <a:lnTo>
                  <a:pt x="80889" y="67459"/>
                </a:lnTo>
                <a:lnTo>
                  <a:pt x="11785" y="51933"/>
                </a:lnTo>
                <a:lnTo>
                  <a:pt x="68002" y="45777"/>
                </a:lnTo>
                <a:lnTo>
                  <a:pt x="66636" y="36455"/>
                </a:lnTo>
                <a:lnTo>
                  <a:pt x="0" y="29070"/>
                </a:lnTo>
                <a:lnTo>
                  <a:pt x="21453" y="8391"/>
                </a:lnTo>
                <a:lnTo>
                  <a:pt x="69573" y="3692"/>
                </a:lnTo>
                <a:lnTo>
                  <a:pt x="119059" y="25231"/>
                </a:lnTo>
                <a:lnTo>
                  <a:pt x="167303" y="7943"/>
                </a:lnTo>
                <a:lnTo>
                  <a:pt x="207251" y="16919"/>
                </a:lnTo>
                <a:lnTo>
                  <a:pt x="259029"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6585736" name="IDN">
            <a:extLst>
              <a:ext uri="{FF2B5EF4-FFF2-40B4-BE49-F238E27FC236}">
                <a16:creationId xmlns:a16="http://schemas.microsoft.com/office/drawing/2014/main" id="{00000000-0008-0000-2700-0000887D6400}"/>
              </a:ext>
            </a:extLst>
          </xdr:cNvPr>
          <xdr:cNvGrpSpPr/>
        </xdr:nvGrpSpPr>
        <xdr:grpSpPr>
          <a:xfrm>
            <a:off x="9357435" y="3243748"/>
            <a:ext cx="1453485" cy="502915"/>
            <a:chOff x="9248552" y="3497748"/>
            <a:chExt cx="1452275" cy="502915"/>
          </a:xfrm>
          <a:grpFill/>
        </xdr:grpSpPr>
        <xdr:sp macro="" textlink="">
          <xdr:nvSpPr>
            <xdr:cNvPr id="6586830" name="ID_1">
              <a:extLst>
                <a:ext uri="{FF2B5EF4-FFF2-40B4-BE49-F238E27FC236}">
                  <a16:creationId xmlns:a16="http://schemas.microsoft.com/office/drawing/2014/main" id="{00000000-0008-0000-2700-0000CE816400}"/>
                </a:ext>
              </a:extLst>
            </xdr:cNvPr>
            <xdr:cNvSpPr/>
          </xdr:nvSpPr>
          <xdr:spPr>
            <a:xfrm>
              <a:off x="10000227" y="3968953"/>
              <a:ext cx="57395" cy="28490"/>
            </a:xfrm>
            <a:custGeom>
              <a:avLst/>
              <a:gdLst/>
              <a:ahLst/>
              <a:cxnLst/>
              <a:rect l="0" t="0" r="0" b="0"/>
              <a:pathLst>
                <a:path w="57395" h="28490">
                  <a:moveTo>
                    <a:pt x="55493" y="27886"/>
                  </a:moveTo>
                  <a:lnTo>
                    <a:pt x="42139" y="28489"/>
                  </a:lnTo>
                  <a:lnTo>
                    <a:pt x="0" y="6245"/>
                  </a:lnTo>
                  <a:lnTo>
                    <a:pt x="29607" y="0"/>
                  </a:lnTo>
                  <a:lnTo>
                    <a:pt x="46292" y="9671"/>
                  </a:lnTo>
                  <a:lnTo>
                    <a:pt x="57394" y="19316"/>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31" name="ID_2">
              <a:extLst>
                <a:ext uri="{FF2B5EF4-FFF2-40B4-BE49-F238E27FC236}">
                  <a16:creationId xmlns:a16="http://schemas.microsoft.com/office/drawing/2014/main" id="{00000000-0008-0000-2700-0000CF816400}"/>
                </a:ext>
              </a:extLst>
            </xdr:cNvPr>
            <xdr:cNvSpPr/>
          </xdr:nvSpPr>
          <xdr:spPr>
            <a:xfrm>
              <a:off x="10142855" y="3954078"/>
              <a:ext cx="51705" cy="46585"/>
            </a:xfrm>
            <a:custGeom>
              <a:avLst/>
              <a:gdLst/>
              <a:ahLst/>
              <a:cxnLst/>
              <a:rect l="0" t="0" r="0" b="0"/>
              <a:pathLst>
                <a:path w="51705" h="46585">
                  <a:moveTo>
                    <a:pt x="30988" y="39598"/>
                  </a:moveTo>
                  <a:lnTo>
                    <a:pt x="3810" y="46584"/>
                  </a:lnTo>
                  <a:lnTo>
                    <a:pt x="0" y="42773"/>
                  </a:lnTo>
                  <a:lnTo>
                    <a:pt x="2857" y="31979"/>
                  </a:lnTo>
                  <a:lnTo>
                    <a:pt x="16510" y="12611"/>
                  </a:lnTo>
                  <a:lnTo>
                    <a:pt x="47901" y="0"/>
                  </a:lnTo>
                  <a:lnTo>
                    <a:pt x="51117" y="6261"/>
                  </a:lnTo>
                  <a:lnTo>
                    <a:pt x="51704" y="15888"/>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32" name="ID_3">
              <a:extLst>
                <a:ext uri="{FF2B5EF4-FFF2-40B4-BE49-F238E27FC236}">
                  <a16:creationId xmlns:a16="http://schemas.microsoft.com/office/drawing/2014/main" id="{00000000-0008-0000-2700-0000D0816400}"/>
                </a:ext>
              </a:extLst>
            </xdr:cNvPr>
            <xdr:cNvSpPr/>
          </xdr:nvSpPr>
          <xdr:spPr>
            <a:xfrm>
              <a:off x="9929497" y="3928770"/>
              <a:ext cx="75770" cy="30011"/>
            </a:xfrm>
            <a:custGeom>
              <a:avLst/>
              <a:gdLst/>
              <a:ahLst/>
              <a:cxnLst/>
              <a:rect l="0" t="0" r="0" b="0"/>
              <a:pathLst>
                <a:path w="75770" h="30011">
                  <a:moveTo>
                    <a:pt x="36828" y="0"/>
                  </a:moveTo>
                  <a:lnTo>
                    <a:pt x="48276" y="8467"/>
                  </a:lnTo>
                  <a:lnTo>
                    <a:pt x="67895" y="5874"/>
                  </a:lnTo>
                  <a:lnTo>
                    <a:pt x="75769" y="19371"/>
                  </a:lnTo>
                  <a:lnTo>
                    <a:pt x="39063" y="25746"/>
                  </a:lnTo>
                  <a:lnTo>
                    <a:pt x="17070" y="30010"/>
                  </a:lnTo>
                  <a:lnTo>
                    <a:pt x="0" y="29756"/>
                  </a:lnTo>
                  <a:lnTo>
                    <a:pt x="10910" y="11477"/>
                  </a:lnTo>
                  <a:lnTo>
                    <a:pt x="28319" y="1122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33" name="ID_4">
              <a:extLst>
                <a:ext uri="{FF2B5EF4-FFF2-40B4-BE49-F238E27FC236}">
                  <a16:creationId xmlns:a16="http://schemas.microsoft.com/office/drawing/2014/main" id="{00000000-0008-0000-2700-0000D1816400}"/>
                </a:ext>
              </a:extLst>
            </xdr:cNvPr>
            <xdr:cNvSpPr/>
          </xdr:nvSpPr>
          <xdr:spPr>
            <a:xfrm>
              <a:off x="10030488" y="3928722"/>
              <a:ext cx="94698" cy="26655"/>
            </a:xfrm>
            <a:custGeom>
              <a:avLst/>
              <a:gdLst/>
              <a:ahLst/>
              <a:cxnLst/>
              <a:rect l="0" t="0" r="0" b="0"/>
              <a:pathLst>
                <a:path w="94698" h="26655">
                  <a:moveTo>
                    <a:pt x="94697" y="0"/>
                  </a:moveTo>
                  <a:lnTo>
                    <a:pt x="90046" y="17640"/>
                  </a:lnTo>
                  <a:lnTo>
                    <a:pt x="42342" y="26654"/>
                  </a:lnTo>
                  <a:lnTo>
                    <a:pt x="111" y="22740"/>
                  </a:lnTo>
                  <a:lnTo>
                    <a:pt x="0" y="11135"/>
                  </a:lnTo>
                  <a:lnTo>
                    <a:pt x="25216" y="4534"/>
                  </a:lnTo>
                  <a:lnTo>
                    <a:pt x="45110" y="14050"/>
                  </a:lnTo>
                  <a:lnTo>
                    <a:pt x="66246" y="1163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34" name="ID_5">
              <a:extLst>
                <a:ext uri="{FF2B5EF4-FFF2-40B4-BE49-F238E27FC236}">
                  <a16:creationId xmlns:a16="http://schemas.microsoft.com/office/drawing/2014/main" id="{00000000-0008-0000-2700-0000D2816400}"/>
                </a:ext>
              </a:extLst>
            </xdr:cNvPr>
            <xdr:cNvSpPr/>
          </xdr:nvSpPr>
          <xdr:spPr>
            <a:xfrm>
              <a:off x="9568354" y="3858926"/>
              <a:ext cx="328296" cy="90676"/>
            </a:xfrm>
            <a:custGeom>
              <a:avLst/>
              <a:gdLst/>
              <a:ahLst/>
              <a:cxnLst/>
              <a:rect l="0" t="0" r="0" b="0"/>
              <a:pathLst>
                <a:path w="328296" h="90676">
                  <a:moveTo>
                    <a:pt x="103442" y="27997"/>
                  </a:moveTo>
                  <a:lnTo>
                    <a:pt x="164265" y="31163"/>
                  </a:lnTo>
                  <a:lnTo>
                    <a:pt x="171263" y="18076"/>
                  </a:lnTo>
                  <a:lnTo>
                    <a:pt x="230165" y="33341"/>
                  </a:lnTo>
                  <a:lnTo>
                    <a:pt x="241723" y="53921"/>
                  </a:lnTo>
                  <a:lnTo>
                    <a:pt x="289351" y="59709"/>
                  </a:lnTo>
                  <a:lnTo>
                    <a:pt x="328295" y="78579"/>
                  </a:lnTo>
                  <a:lnTo>
                    <a:pt x="292068" y="90675"/>
                  </a:lnTo>
                  <a:lnTo>
                    <a:pt x="257150" y="77883"/>
                  </a:lnTo>
                  <a:lnTo>
                    <a:pt x="228416" y="78750"/>
                  </a:lnTo>
                  <a:lnTo>
                    <a:pt x="195472" y="76397"/>
                  </a:lnTo>
                  <a:lnTo>
                    <a:pt x="165754" y="70698"/>
                  </a:lnTo>
                  <a:lnTo>
                    <a:pt x="128975" y="58573"/>
                  </a:lnTo>
                  <a:lnTo>
                    <a:pt x="105671" y="55426"/>
                  </a:lnTo>
                  <a:lnTo>
                    <a:pt x="92466" y="59398"/>
                  </a:lnTo>
                  <a:lnTo>
                    <a:pt x="34563" y="46324"/>
                  </a:lnTo>
                  <a:lnTo>
                    <a:pt x="29054" y="32671"/>
                  </a:lnTo>
                  <a:lnTo>
                    <a:pt x="0" y="30337"/>
                  </a:lnTo>
                  <a:lnTo>
                    <a:pt x="21784" y="0"/>
                  </a:lnTo>
                  <a:lnTo>
                    <a:pt x="60309" y="1877"/>
                  </a:lnTo>
                  <a:lnTo>
                    <a:pt x="85935" y="14285"/>
                  </a:lnTo>
                  <a:lnTo>
                    <a:pt x="99101" y="16704"/>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35" name="ID_6">
              <a:extLst>
                <a:ext uri="{FF2B5EF4-FFF2-40B4-BE49-F238E27FC236}">
                  <a16:creationId xmlns:a16="http://schemas.microsoft.com/office/drawing/2014/main" id="{00000000-0008-0000-2700-0000D3816400}"/>
                </a:ext>
              </a:extLst>
            </xdr:cNvPr>
            <xdr:cNvSpPr/>
          </xdr:nvSpPr>
          <xdr:spPr>
            <a:xfrm>
              <a:off x="10481081" y="3844610"/>
              <a:ext cx="19502" cy="46045"/>
            </a:xfrm>
            <a:custGeom>
              <a:avLst/>
              <a:gdLst/>
              <a:ahLst/>
              <a:cxnLst/>
              <a:rect l="0" t="0" r="0" b="0"/>
              <a:pathLst>
                <a:path w="19502" h="46045">
                  <a:moveTo>
                    <a:pt x="19425" y="24429"/>
                  </a:moveTo>
                  <a:lnTo>
                    <a:pt x="3089" y="46044"/>
                  </a:lnTo>
                  <a:lnTo>
                    <a:pt x="0" y="22146"/>
                  </a:lnTo>
                  <a:lnTo>
                    <a:pt x="5636" y="10735"/>
                  </a:lnTo>
                  <a:lnTo>
                    <a:pt x="12281" y="0"/>
                  </a:lnTo>
                  <a:lnTo>
                    <a:pt x="19501" y="929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36" name="ID_7">
              <a:extLst>
                <a:ext uri="{FF2B5EF4-FFF2-40B4-BE49-F238E27FC236}">
                  <a16:creationId xmlns:a16="http://schemas.microsoft.com/office/drawing/2014/main" id="{00000000-0008-0000-2700-0000D4816400}"/>
                </a:ext>
              </a:extLst>
            </xdr:cNvPr>
            <xdr:cNvSpPr/>
          </xdr:nvSpPr>
          <xdr:spPr>
            <a:xfrm>
              <a:off x="10223150" y="3771087"/>
              <a:ext cx="40012" cy="21010"/>
            </a:xfrm>
            <a:custGeom>
              <a:avLst/>
              <a:gdLst/>
              <a:ahLst/>
              <a:cxnLst/>
              <a:rect l="0" t="0" r="0" b="0"/>
              <a:pathLst>
                <a:path w="40012" h="21010">
                  <a:moveTo>
                    <a:pt x="40011" y="10471"/>
                  </a:moveTo>
                  <a:lnTo>
                    <a:pt x="28128" y="21009"/>
                  </a:lnTo>
                  <a:lnTo>
                    <a:pt x="6185" y="15179"/>
                  </a:lnTo>
                  <a:lnTo>
                    <a:pt x="0" y="1524"/>
                  </a:lnTo>
                  <a:lnTo>
                    <a:pt x="32122"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37" name="ID_8">
              <a:extLst>
                <a:ext uri="{FF2B5EF4-FFF2-40B4-BE49-F238E27FC236}">
                  <a16:creationId xmlns:a16="http://schemas.microsoft.com/office/drawing/2014/main" id="{00000000-0008-0000-2700-0000D5816400}"/>
                </a:ext>
              </a:extLst>
            </xdr:cNvPr>
            <xdr:cNvSpPr/>
          </xdr:nvSpPr>
          <xdr:spPr>
            <a:xfrm>
              <a:off x="10283790" y="3760701"/>
              <a:ext cx="93215" cy="33539"/>
            </a:xfrm>
            <a:custGeom>
              <a:avLst/>
              <a:gdLst/>
              <a:ahLst/>
              <a:cxnLst/>
              <a:rect l="0" t="0" r="0" b="0"/>
              <a:pathLst>
                <a:path w="93215" h="33539">
                  <a:moveTo>
                    <a:pt x="81673" y="9259"/>
                  </a:moveTo>
                  <a:lnTo>
                    <a:pt x="93214" y="33538"/>
                  </a:lnTo>
                  <a:lnTo>
                    <a:pt x="66408" y="20450"/>
                  </a:lnTo>
                  <a:lnTo>
                    <a:pt x="39887" y="17793"/>
                  </a:lnTo>
                  <a:lnTo>
                    <a:pt x="21964" y="19892"/>
                  </a:lnTo>
                  <a:lnTo>
                    <a:pt x="0" y="18771"/>
                  </a:lnTo>
                  <a:lnTo>
                    <a:pt x="7524" y="1318"/>
                  </a:lnTo>
                  <a:lnTo>
                    <a:pt x="46739"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38" name="ID_9">
              <a:extLst>
                <a:ext uri="{FF2B5EF4-FFF2-40B4-BE49-F238E27FC236}">
                  <a16:creationId xmlns:a16="http://schemas.microsoft.com/office/drawing/2014/main" id="{00000000-0008-0000-2700-0000D6816400}"/>
                </a:ext>
              </a:extLst>
            </xdr:cNvPr>
            <xdr:cNvSpPr/>
          </xdr:nvSpPr>
          <xdr:spPr>
            <a:xfrm>
              <a:off x="10366997" y="3683463"/>
              <a:ext cx="333830" cy="277763"/>
            </a:xfrm>
            <a:custGeom>
              <a:avLst/>
              <a:gdLst/>
              <a:ahLst/>
              <a:cxnLst/>
              <a:rect l="0" t="0" r="0" b="0"/>
              <a:pathLst>
                <a:path w="333830" h="277763">
                  <a:moveTo>
                    <a:pt x="115056" y="24841"/>
                  </a:moveTo>
                  <a:lnTo>
                    <a:pt x="123920" y="76190"/>
                  </a:lnTo>
                  <a:lnTo>
                    <a:pt x="156781" y="95196"/>
                  </a:lnTo>
                  <a:lnTo>
                    <a:pt x="183315" y="61516"/>
                  </a:lnTo>
                  <a:lnTo>
                    <a:pt x="219745" y="42354"/>
                  </a:lnTo>
                  <a:lnTo>
                    <a:pt x="247971" y="42329"/>
                  </a:lnTo>
                  <a:lnTo>
                    <a:pt x="275123" y="53397"/>
                  </a:lnTo>
                  <a:lnTo>
                    <a:pt x="298676" y="64757"/>
                  </a:lnTo>
                  <a:lnTo>
                    <a:pt x="332759" y="70825"/>
                  </a:lnTo>
                  <a:lnTo>
                    <a:pt x="333295" y="174292"/>
                  </a:lnTo>
                  <a:lnTo>
                    <a:pt x="333829" y="277762"/>
                  </a:lnTo>
                  <a:lnTo>
                    <a:pt x="305556" y="251704"/>
                  </a:lnTo>
                  <a:lnTo>
                    <a:pt x="273310" y="245316"/>
                  </a:lnTo>
                  <a:lnTo>
                    <a:pt x="265490" y="254362"/>
                  </a:lnTo>
                  <a:lnTo>
                    <a:pt x="225263" y="255340"/>
                  </a:lnTo>
                  <a:lnTo>
                    <a:pt x="238744" y="229502"/>
                  </a:lnTo>
                  <a:lnTo>
                    <a:pt x="258731" y="220685"/>
                  </a:lnTo>
                  <a:lnTo>
                    <a:pt x="250454" y="186160"/>
                  </a:lnTo>
                  <a:lnTo>
                    <a:pt x="235210" y="159509"/>
                  </a:lnTo>
                  <a:lnTo>
                    <a:pt x="173663" y="132620"/>
                  </a:lnTo>
                  <a:lnTo>
                    <a:pt x="147479" y="129965"/>
                  </a:lnTo>
                  <a:lnTo>
                    <a:pt x="99799" y="100628"/>
                  </a:lnTo>
                  <a:lnTo>
                    <a:pt x="90427" y="116056"/>
                  </a:lnTo>
                  <a:lnTo>
                    <a:pt x="78245" y="118856"/>
                  </a:lnTo>
                  <a:lnTo>
                    <a:pt x="71034" y="107213"/>
                  </a:lnTo>
                  <a:lnTo>
                    <a:pt x="70936" y="93418"/>
                  </a:lnTo>
                  <a:lnTo>
                    <a:pt x="46678" y="77822"/>
                  </a:lnTo>
                  <a:lnTo>
                    <a:pt x="80873" y="66386"/>
                  </a:lnTo>
                  <a:lnTo>
                    <a:pt x="103518" y="67002"/>
                  </a:lnTo>
                  <a:lnTo>
                    <a:pt x="100857" y="58579"/>
                  </a:lnTo>
                  <a:lnTo>
                    <a:pt x="54381" y="58515"/>
                  </a:lnTo>
                  <a:lnTo>
                    <a:pt x="41802" y="39615"/>
                  </a:lnTo>
                  <a:lnTo>
                    <a:pt x="13436" y="33750"/>
                  </a:lnTo>
                  <a:lnTo>
                    <a:pt x="0" y="18040"/>
                  </a:lnTo>
                  <a:lnTo>
                    <a:pt x="42796" y="10351"/>
                  </a:lnTo>
                  <a:lnTo>
                    <a:pt x="59071" y="0"/>
                  </a:lnTo>
                  <a:lnTo>
                    <a:pt x="110042" y="1304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39" name="ID_10">
              <a:extLst>
                <a:ext uri="{FF2B5EF4-FFF2-40B4-BE49-F238E27FC236}">
                  <a16:creationId xmlns:a16="http://schemas.microsoft.com/office/drawing/2014/main" id="{00000000-0008-0000-2700-0000D7816400}"/>
                </a:ext>
              </a:extLst>
            </xdr:cNvPr>
            <xdr:cNvSpPr/>
          </xdr:nvSpPr>
          <xdr:spPr>
            <a:xfrm>
              <a:off x="9993877" y="3619556"/>
              <a:ext cx="205509" cy="232307"/>
            </a:xfrm>
            <a:custGeom>
              <a:avLst/>
              <a:gdLst/>
              <a:ahLst/>
              <a:cxnLst/>
              <a:rect l="0" t="0" r="0" b="0"/>
              <a:pathLst>
                <a:path w="205509" h="232307">
                  <a:moveTo>
                    <a:pt x="205508" y="7097"/>
                  </a:moveTo>
                  <a:lnTo>
                    <a:pt x="179998" y="38590"/>
                  </a:lnTo>
                  <a:lnTo>
                    <a:pt x="156137" y="44695"/>
                  </a:lnTo>
                  <a:lnTo>
                    <a:pt x="125581" y="38488"/>
                  </a:lnTo>
                  <a:lnTo>
                    <a:pt x="72672" y="40072"/>
                  </a:lnTo>
                  <a:lnTo>
                    <a:pt x="44936" y="44644"/>
                  </a:lnTo>
                  <a:lnTo>
                    <a:pt x="40421" y="68676"/>
                  </a:lnTo>
                  <a:lnTo>
                    <a:pt x="68837" y="96908"/>
                  </a:lnTo>
                  <a:lnTo>
                    <a:pt x="85979" y="82528"/>
                  </a:lnTo>
                  <a:lnTo>
                    <a:pt x="145187" y="71724"/>
                  </a:lnTo>
                  <a:lnTo>
                    <a:pt x="142577" y="86345"/>
                  </a:lnTo>
                  <a:lnTo>
                    <a:pt x="128743" y="81735"/>
                  </a:lnTo>
                  <a:lnTo>
                    <a:pt x="114957" y="100337"/>
                  </a:lnTo>
                  <a:lnTo>
                    <a:pt x="87011" y="112643"/>
                  </a:lnTo>
                  <a:lnTo>
                    <a:pt x="117056" y="153334"/>
                  </a:lnTo>
                  <a:lnTo>
                    <a:pt x="111255" y="164237"/>
                  </a:lnTo>
                  <a:lnTo>
                    <a:pt x="139802" y="200883"/>
                  </a:lnTo>
                  <a:lnTo>
                    <a:pt x="139526" y="221740"/>
                  </a:lnTo>
                  <a:lnTo>
                    <a:pt x="122577" y="231074"/>
                  </a:lnTo>
                  <a:lnTo>
                    <a:pt x="110128" y="219908"/>
                  </a:lnTo>
                  <a:lnTo>
                    <a:pt x="125470" y="193914"/>
                  </a:lnTo>
                  <a:lnTo>
                    <a:pt x="94311" y="206204"/>
                  </a:lnTo>
                  <a:lnTo>
                    <a:pt x="86414" y="197419"/>
                  </a:lnTo>
                  <a:lnTo>
                    <a:pt x="90532" y="185160"/>
                  </a:lnTo>
                  <a:lnTo>
                    <a:pt x="67640" y="166542"/>
                  </a:lnTo>
                  <a:lnTo>
                    <a:pt x="69997" y="135602"/>
                  </a:lnTo>
                  <a:lnTo>
                    <a:pt x="48822" y="145254"/>
                  </a:lnTo>
                  <a:lnTo>
                    <a:pt x="51505" y="182274"/>
                  </a:lnTo>
                  <a:lnTo>
                    <a:pt x="52797" y="227696"/>
                  </a:lnTo>
                  <a:lnTo>
                    <a:pt x="32662" y="232306"/>
                  </a:lnTo>
                  <a:lnTo>
                    <a:pt x="19021" y="222987"/>
                  </a:lnTo>
                  <a:lnTo>
                    <a:pt x="28124" y="193762"/>
                  </a:lnTo>
                  <a:lnTo>
                    <a:pt x="23210" y="163123"/>
                  </a:lnTo>
                  <a:lnTo>
                    <a:pt x="9858" y="162888"/>
                  </a:lnTo>
                  <a:lnTo>
                    <a:pt x="0" y="141139"/>
                  </a:lnTo>
                  <a:lnTo>
                    <a:pt x="13119" y="120346"/>
                  </a:lnTo>
                  <a:lnTo>
                    <a:pt x="17640" y="95137"/>
                  </a:lnTo>
                  <a:lnTo>
                    <a:pt x="33598" y="47276"/>
                  </a:lnTo>
                  <a:lnTo>
                    <a:pt x="40256" y="34189"/>
                  </a:lnTo>
                  <a:lnTo>
                    <a:pt x="67246" y="10608"/>
                  </a:lnTo>
                  <a:lnTo>
                    <a:pt x="92043" y="19984"/>
                  </a:lnTo>
                  <a:lnTo>
                    <a:pt x="132073" y="24388"/>
                  </a:lnTo>
                  <a:lnTo>
                    <a:pt x="168583" y="23058"/>
                  </a:lnTo>
                  <a:lnTo>
                    <a:pt x="199968"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40" name="ID_11">
              <a:extLst>
                <a:ext uri="{FF2B5EF4-FFF2-40B4-BE49-F238E27FC236}">
                  <a16:creationId xmlns:a16="http://schemas.microsoft.com/office/drawing/2014/main" id="{00000000-0008-0000-2700-0000D8816400}"/>
                </a:ext>
              </a:extLst>
            </xdr:cNvPr>
            <xdr:cNvSpPr/>
          </xdr:nvSpPr>
          <xdr:spPr>
            <a:xfrm>
              <a:off x="10267934" y="3602688"/>
              <a:ext cx="40917" cy="97620"/>
            </a:xfrm>
            <a:custGeom>
              <a:avLst/>
              <a:gdLst/>
              <a:ahLst/>
              <a:cxnLst/>
              <a:rect l="0" t="0" r="0" b="0"/>
              <a:pathLst>
                <a:path w="40917" h="97620">
                  <a:moveTo>
                    <a:pt x="40916" y="33090"/>
                  </a:moveTo>
                  <a:lnTo>
                    <a:pt x="39259" y="60836"/>
                  </a:lnTo>
                  <a:lnTo>
                    <a:pt x="22882" y="57728"/>
                  </a:lnTo>
                  <a:lnTo>
                    <a:pt x="18049" y="77048"/>
                  </a:lnTo>
                  <a:lnTo>
                    <a:pt x="31131" y="93808"/>
                  </a:lnTo>
                  <a:lnTo>
                    <a:pt x="22241" y="97619"/>
                  </a:lnTo>
                  <a:lnTo>
                    <a:pt x="9430" y="77508"/>
                  </a:lnTo>
                  <a:lnTo>
                    <a:pt x="0" y="36922"/>
                  </a:lnTo>
                  <a:lnTo>
                    <a:pt x="6381" y="11554"/>
                  </a:lnTo>
                  <a:lnTo>
                    <a:pt x="16919" y="0"/>
                  </a:lnTo>
                  <a:lnTo>
                    <a:pt x="19199" y="17339"/>
                  </a:lnTo>
                  <a:lnTo>
                    <a:pt x="37944" y="2012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41" name="ID_12">
              <a:extLst>
                <a:ext uri="{FF2B5EF4-FFF2-40B4-BE49-F238E27FC236}">
                  <a16:creationId xmlns:a16="http://schemas.microsoft.com/office/drawing/2014/main" id="{00000000-0008-0000-2700-0000D9816400}"/>
                </a:ext>
              </a:extLst>
            </xdr:cNvPr>
            <xdr:cNvSpPr/>
          </xdr:nvSpPr>
          <xdr:spPr>
            <a:xfrm>
              <a:off x="9682248" y="3534997"/>
              <a:ext cx="318898" cy="267133"/>
            </a:xfrm>
            <a:custGeom>
              <a:avLst/>
              <a:gdLst/>
              <a:ahLst/>
              <a:cxnLst/>
              <a:rect l="0" t="0" r="0" b="0"/>
              <a:pathLst>
                <a:path w="318898" h="267133">
                  <a:moveTo>
                    <a:pt x="283302" y="78708"/>
                  </a:moveTo>
                  <a:lnTo>
                    <a:pt x="318897" y="108089"/>
                  </a:lnTo>
                  <a:lnTo>
                    <a:pt x="281279" y="111836"/>
                  </a:lnTo>
                  <a:lnTo>
                    <a:pt x="270687" y="133480"/>
                  </a:lnTo>
                  <a:lnTo>
                    <a:pt x="272063" y="162252"/>
                  </a:lnTo>
                  <a:lnTo>
                    <a:pt x="241532" y="183969"/>
                  </a:lnTo>
                  <a:lnTo>
                    <a:pt x="240699" y="215586"/>
                  </a:lnTo>
                  <a:lnTo>
                    <a:pt x="228454" y="264138"/>
                  </a:lnTo>
                  <a:lnTo>
                    <a:pt x="223780" y="252844"/>
                  </a:lnTo>
                  <a:lnTo>
                    <a:pt x="187709" y="267132"/>
                  </a:lnTo>
                  <a:lnTo>
                    <a:pt x="175133" y="247723"/>
                  </a:lnTo>
                  <a:lnTo>
                    <a:pt x="152495" y="245929"/>
                  </a:lnTo>
                  <a:lnTo>
                    <a:pt x="136661" y="235756"/>
                  </a:lnTo>
                  <a:lnTo>
                    <a:pt x="98913" y="247174"/>
                  </a:lnTo>
                  <a:lnTo>
                    <a:pt x="87331" y="231807"/>
                  </a:lnTo>
                  <a:lnTo>
                    <a:pt x="66532" y="233553"/>
                  </a:lnTo>
                  <a:lnTo>
                    <a:pt x="40357" y="229889"/>
                  </a:lnTo>
                  <a:lnTo>
                    <a:pt x="35503" y="187309"/>
                  </a:lnTo>
                  <a:lnTo>
                    <a:pt x="19659" y="178482"/>
                  </a:lnTo>
                  <a:lnTo>
                    <a:pt x="4419" y="151324"/>
                  </a:lnTo>
                  <a:lnTo>
                    <a:pt x="0" y="123545"/>
                  </a:lnTo>
                  <a:lnTo>
                    <a:pt x="3695" y="94129"/>
                  </a:lnTo>
                  <a:lnTo>
                    <a:pt x="22561" y="73028"/>
                  </a:lnTo>
                  <a:lnTo>
                    <a:pt x="27860" y="94250"/>
                  </a:lnTo>
                  <a:lnTo>
                    <a:pt x="49575" y="112188"/>
                  </a:lnTo>
                  <a:lnTo>
                    <a:pt x="70053" y="105731"/>
                  </a:lnTo>
                  <a:lnTo>
                    <a:pt x="90322" y="108020"/>
                  </a:lnTo>
                  <a:lnTo>
                    <a:pt x="108826" y="91964"/>
                  </a:lnTo>
                  <a:lnTo>
                    <a:pt x="124050" y="89179"/>
                  </a:lnTo>
                  <a:lnTo>
                    <a:pt x="154086" y="98079"/>
                  </a:lnTo>
                  <a:lnTo>
                    <a:pt x="179981" y="91310"/>
                  </a:lnTo>
                  <a:lnTo>
                    <a:pt x="196256" y="47152"/>
                  </a:lnTo>
                  <a:lnTo>
                    <a:pt x="208483" y="36112"/>
                  </a:lnTo>
                  <a:lnTo>
                    <a:pt x="219481" y="0"/>
                  </a:lnTo>
                  <a:lnTo>
                    <a:pt x="255984" y="16"/>
                  </a:lnTo>
                  <a:lnTo>
                    <a:pt x="283505" y="5365"/>
                  </a:lnTo>
                  <a:lnTo>
                    <a:pt x="265446" y="34042"/>
                  </a:lnTo>
                  <a:lnTo>
                    <a:pt x="288785" y="6410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42" name="ID_13">
              <a:extLst>
                <a:ext uri="{FF2B5EF4-FFF2-40B4-BE49-F238E27FC236}">
                  <a16:creationId xmlns:a16="http://schemas.microsoft.com/office/drawing/2014/main" id="{00000000-0008-0000-2700-0000DA816400}"/>
                </a:ext>
              </a:extLst>
            </xdr:cNvPr>
            <xdr:cNvSpPr/>
          </xdr:nvSpPr>
          <xdr:spPr>
            <a:xfrm>
              <a:off x="9248552" y="3497748"/>
              <a:ext cx="343396" cy="360462"/>
            </a:xfrm>
            <a:custGeom>
              <a:avLst/>
              <a:gdLst/>
              <a:ahLst/>
              <a:cxnLst/>
              <a:rect l="0" t="0" r="0" b="0"/>
              <a:pathLst>
                <a:path w="343396" h="360462">
                  <a:moveTo>
                    <a:pt x="334159" y="359797"/>
                  </a:moveTo>
                  <a:lnTo>
                    <a:pt x="299003" y="360461"/>
                  </a:lnTo>
                  <a:lnTo>
                    <a:pt x="272262" y="333918"/>
                  </a:lnTo>
                  <a:lnTo>
                    <a:pt x="231499" y="307978"/>
                  </a:lnTo>
                  <a:lnTo>
                    <a:pt x="217907" y="288731"/>
                  </a:lnTo>
                  <a:lnTo>
                    <a:pt x="193869" y="262877"/>
                  </a:lnTo>
                  <a:lnTo>
                    <a:pt x="178102" y="239080"/>
                  </a:lnTo>
                  <a:lnTo>
                    <a:pt x="153956" y="194630"/>
                  </a:lnTo>
                  <a:lnTo>
                    <a:pt x="126070" y="168170"/>
                  </a:lnTo>
                  <a:lnTo>
                    <a:pt x="116745" y="140871"/>
                  </a:lnTo>
                  <a:lnTo>
                    <a:pt x="105042" y="116087"/>
                  </a:lnTo>
                  <a:lnTo>
                    <a:pt x="76410" y="96094"/>
                  </a:lnTo>
                  <a:lnTo>
                    <a:pt x="59814" y="68929"/>
                  </a:lnTo>
                  <a:lnTo>
                    <a:pt x="35909" y="51146"/>
                  </a:lnTo>
                  <a:lnTo>
                    <a:pt x="2791" y="16161"/>
                  </a:lnTo>
                  <a:lnTo>
                    <a:pt x="0" y="0"/>
                  </a:lnTo>
                  <a:lnTo>
                    <a:pt x="20444" y="1279"/>
                  </a:lnTo>
                  <a:lnTo>
                    <a:pt x="69593" y="7414"/>
                  </a:lnTo>
                  <a:lnTo>
                    <a:pt x="97669" y="38462"/>
                  </a:lnTo>
                  <a:lnTo>
                    <a:pt x="122225" y="59991"/>
                  </a:lnTo>
                  <a:lnTo>
                    <a:pt x="139732" y="73199"/>
                  </a:lnTo>
                  <a:lnTo>
                    <a:pt x="169812" y="107328"/>
                  </a:lnTo>
                  <a:lnTo>
                    <a:pt x="202089" y="107826"/>
                  </a:lnTo>
                  <a:lnTo>
                    <a:pt x="228768" y="129575"/>
                  </a:lnTo>
                  <a:lnTo>
                    <a:pt x="247136" y="156159"/>
                  </a:lnTo>
                  <a:lnTo>
                    <a:pt x="271317" y="170666"/>
                  </a:lnTo>
                  <a:lnTo>
                    <a:pt x="258591" y="196586"/>
                  </a:lnTo>
                  <a:lnTo>
                    <a:pt x="276790" y="207613"/>
                  </a:lnTo>
                  <a:lnTo>
                    <a:pt x="288195" y="208426"/>
                  </a:lnTo>
                  <a:lnTo>
                    <a:pt x="293577" y="230575"/>
                  </a:lnTo>
                  <a:lnTo>
                    <a:pt x="304638" y="248291"/>
                  </a:lnTo>
                  <a:lnTo>
                    <a:pt x="327949" y="251098"/>
                  </a:lnTo>
                  <a:lnTo>
                    <a:pt x="343395" y="271195"/>
                  </a:lnTo>
                  <a:lnTo>
                    <a:pt x="335420" y="31068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6585737" name="IRQ">
            <a:extLst>
              <a:ext uri="{FF2B5EF4-FFF2-40B4-BE49-F238E27FC236}">
                <a16:creationId xmlns:a16="http://schemas.microsoft.com/office/drawing/2014/main" id="{00000000-0008-0000-2700-0000897D6400}"/>
              </a:ext>
            </a:extLst>
          </xdr:cNvPr>
          <xdr:cNvSpPr/>
        </xdr:nvSpPr>
        <xdr:spPr>
          <a:xfrm>
            <a:off x="7562043" y="2230748"/>
            <a:ext cx="310638" cy="263091"/>
          </a:xfrm>
          <a:custGeom>
            <a:avLst/>
            <a:gdLst/>
            <a:ahLst/>
            <a:cxnLst/>
            <a:rect l="0" t="0" r="0" b="0"/>
            <a:pathLst>
              <a:path w="310379" h="263091">
                <a:moveTo>
                  <a:pt x="210449" y="44698"/>
                </a:moveTo>
                <a:lnTo>
                  <a:pt x="231267" y="54226"/>
                </a:lnTo>
                <a:lnTo>
                  <a:pt x="233664" y="72771"/>
                </a:lnTo>
                <a:lnTo>
                  <a:pt x="217685" y="83731"/>
                </a:lnTo>
                <a:lnTo>
                  <a:pt x="210325" y="108506"/>
                </a:lnTo>
                <a:lnTo>
                  <a:pt x="232318" y="138684"/>
                </a:lnTo>
                <a:lnTo>
                  <a:pt x="271221" y="156086"/>
                </a:lnTo>
                <a:lnTo>
                  <a:pt x="287556" y="180216"/>
                </a:lnTo>
                <a:lnTo>
                  <a:pt x="282353" y="203213"/>
                </a:lnTo>
                <a:lnTo>
                  <a:pt x="292494" y="203206"/>
                </a:lnTo>
                <a:lnTo>
                  <a:pt x="292808" y="220117"/>
                </a:lnTo>
                <a:lnTo>
                  <a:pt x="310378" y="236807"/>
                </a:lnTo>
                <a:lnTo>
                  <a:pt x="291535" y="235252"/>
                </a:lnTo>
                <a:lnTo>
                  <a:pt x="270202" y="232607"/>
                </a:lnTo>
                <a:lnTo>
                  <a:pt x="246901" y="263090"/>
                </a:lnTo>
                <a:lnTo>
                  <a:pt x="187871" y="260553"/>
                </a:lnTo>
                <a:lnTo>
                  <a:pt x="98352" y="196701"/>
                </a:lnTo>
                <a:lnTo>
                  <a:pt x="51045" y="174476"/>
                </a:lnTo>
                <a:lnTo>
                  <a:pt x="12802" y="165872"/>
                </a:lnTo>
                <a:lnTo>
                  <a:pt x="0" y="127210"/>
                </a:lnTo>
                <a:lnTo>
                  <a:pt x="70291" y="94168"/>
                </a:lnTo>
                <a:lnTo>
                  <a:pt x="82287" y="55785"/>
                </a:lnTo>
                <a:lnTo>
                  <a:pt x="79292" y="32591"/>
                </a:lnTo>
                <a:lnTo>
                  <a:pt x="96673" y="24746"/>
                </a:lnTo>
                <a:lnTo>
                  <a:pt x="112945" y="4934"/>
                </a:lnTo>
                <a:lnTo>
                  <a:pt x="126581" y="0"/>
                </a:lnTo>
                <a:lnTo>
                  <a:pt x="163513" y="4099"/>
                </a:lnTo>
                <a:lnTo>
                  <a:pt x="174663" y="12186"/>
                </a:lnTo>
                <a:lnTo>
                  <a:pt x="189878" y="682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38" name="IRL">
            <a:extLst>
              <a:ext uri="{FF2B5EF4-FFF2-40B4-BE49-F238E27FC236}">
                <a16:creationId xmlns:a16="http://schemas.microsoft.com/office/drawing/2014/main" id="{00000000-0008-0000-2700-00008A7D6400}"/>
              </a:ext>
            </a:extLst>
          </xdr:cNvPr>
          <xdr:cNvSpPr/>
        </xdr:nvSpPr>
        <xdr:spPr>
          <a:xfrm>
            <a:off x="6012325" y="1667303"/>
            <a:ext cx="125330" cy="109929"/>
          </a:xfrm>
          <a:custGeom>
            <a:avLst/>
            <a:gdLst/>
            <a:ahLst/>
            <a:cxnLst/>
            <a:rect l="0" t="0" r="0" b="0"/>
            <a:pathLst>
              <a:path w="125226" h="109929">
                <a:moveTo>
                  <a:pt x="119989" y="40132"/>
                </a:moveTo>
                <a:lnTo>
                  <a:pt x="125225" y="62814"/>
                </a:lnTo>
                <a:lnTo>
                  <a:pt x="101225" y="91170"/>
                </a:lnTo>
                <a:lnTo>
                  <a:pt x="44942" y="109928"/>
                </a:lnTo>
                <a:lnTo>
                  <a:pt x="0" y="105127"/>
                </a:lnTo>
                <a:lnTo>
                  <a:pt x="25743" y="71977"/>
                </a:lnTo>
                <a:lnTo>
                  <a:pt x="9163" y="39694"/>
                </a:lnTo>
                <a:lnTo>
                  <a:pt x="52358" y="14831"/>
                </a:lnTo>
                <a:lnTo>
                  <a:pt x="76355" y="0"/>
                </a:lnTo>
                <a:lnTo>
                  <a:pt x="82902" y="17012"/>
                </a:lnTo>
                <a:lnTo>
                  <a:pt x="76355" y="34023"/>
                </a:lnTo>
                <a:lnTo>
                  <a:pt x="95993" y="33588"/>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39" name="JAM">
            <a:extLst>
              <a:ext uri="{FF2B5EF4-FFF2-40B4-BE49-F238E27FC236}">
                <a16:creationId xmlns:a16="http://schemas.microsoft.com/office/drawing/2014/main" id="{00000000-0008-0000-2700-00008B7D6400}"/>
              </a:ext>
            </a:extLst>
          </xdr:cNvPr>
          <xdr:cNvSpPr/>
        </xdr:nvSpPr>
        <xdr:spPr>
          <a:xfrm>
            <a:off x="3840068" y="2829588"/>
            <a:ext cx="67939" cy="26135"/>
          </a:xfrm>
          <a:custGeom>
            <a:avLst/>
            <a:gdLst/>
            <a:ahLst/>
            <a:cxnLst/>
            <a:rect l="0" t="0" r="0" b="0"/>
            <a:pathLst>
              <a:path w="67882" h="26135">
                <a:moveTo>
                  <a:pt x="24387" y="1070"/>
                </a:moveTo>
                <a:lnTo>
                  <a:pt x="45755" y="3915"/>
                </a:lnTo>
                <a:lnTo>
                  <a:pt x="62620" y="11541"/>
                </a:lnTo>
                <a:lnTo>
                  <a:pt x="67881" y="20234"/>
                </a:lnTo>
                <a:lnTo>
                  <a:pt x="45564" y="20828"/>
                </a:lnTo>
                <a:lnTo>
                  <a:pt x="35922" y="26134"/>
                </a:lnTo>
                <a:lnTo>
                  <a:pt x="18151" y="21038"/>
                </a:lnTo>
                <a:lnTo>
                  <a:pt x="0" y="9468"/>
                </a:lnTo>
                <a:lnTo>
                  <a:pt x="3810" y="2213"/>
                </a:lnTo>
                <a:lnTo>
                  <a:pt x="17154"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40" name="JOR">
            <a:extLst>
              <a:ext uri="{FF2B5EF4-FFF2-40B4-BE49-F238E27FC236}">
                <a16:creationId xmlns:a16="http://schemas.microsoft.com/office/drawing/2014/main" id="{00000000-0008-0000-2700-00008C7D6400}"/>
              </a:ext>
            </a:extLst>
          </xdr:cNvPr>
          <xdr:cNvSpPr/>
        </xdr:nvSpPr>
        <xdr:spPr>
          <a:xfrm>
            <a:off x="7439078" y="2357958"/>
            <a:ext cx="135779" cy="132754"/>
          </a:xfrm>
          <a:custGeom>
            <a:avLst/>
            <a:gdLst/>
            <a:ahLst/>
            <a:cxnLst/>
            <a:rect l="0" t="0" r="0" b="0"/>
            <a:pathLst>
              <a:path w="135666" h="132754">
                <a:moveTo>
                  <a:pt x="19784" y="31264"/>
                </a:moveTo>
                <a:lnTo>
                  <a:pt x="25314" y="21256"/>
                </a:lnTo>
                <a:lnTo>
                  <a:pt x="60690" y="33839"/>
                </a:lnTo>
                <a:lnTo>
                  <a:pt x="122863" y="0"/>
                </a:lnTo>
                <a:lnTo>
                  <a:pt x="135665" y="38662"/>
                </a:lnTo>
                <a:lnTo>
                  <a:pt x="129613" y="43450"/>
                </a:lnTo>
                <a:lnTo>
                  <a:pt x="66027" y="59382"/>
                </a:lnTo>
                <a:lnTo>
                  <a:pt x="97670" y="91129"/>
                </a:lnTo>
                <a:lnTo>
                  <a:pt x="87169" y="96520"/>
                </a:lnTo>
                <a:lnTo>
                  <a:pt x="81946" y="107153"/>
                </a:lnTo>
                <a:lnTo>
                  <a:pt x="57718" y="111550"/>
                </a:lnTo>
                <a:lnTo>
                  <a:pt x="50120" y="122980"/>
                </a:lnTo>
                <a:lnTo>
                  <a:pt x="36395" y="132753"/>
                </a:lnTo>
                <a:lnTo>
                  <a:pt x="1061" y="127701"/>
                </a:lnTo>
                <a:lnTo>
                  <a:pt x="0" y="123107"/>
                </a:lnTo>
                <a:lnTo>
                  <a:pt x="15821" y="72345"/>
                </a:lnTo>
                <a:lnTo>
                  <a:pt x="15082" y="59994"/>
                </a:lnTo>
                <a:lnTo>
                  <a:pt x="19770" y="5067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41" name="KEN">
            <a:extLst>
              <a:ext uri="{FF2B5EF4-FFF2-40B4-BE49-F238E27FC236}">
                <a16:creationId xmlns:a16="http://schemas.microsoft.com/office/drawing/2014/main" id="{00000000-0008-0000-2700-00008D7D6400}"/>
              </a:ext>
            </a:extLst>
          </xdr:cNvPr>
          <xdr:cNvSpPr/>
        </xdr:nvSpPr>
        <xdr:spPr>
          <a:xfrm>
            <a:off x="7406380" y="3242916"/>
            <a:ext cx="252990" cy="323305"/>
          </a:xfrm>
          <a:custGeom>
            <a:avLst/>
            <a:gdLst/>
            <a:ahLst/>
            <a:cxnLst/>
            <a:rect l="0" t="0" r="0" b="0"/>
            <a:pathLst>
              <a:path w="252779" h="323305">
                <a:moveTo>
                  <a:pt x="225406" y="202067"/>
                </a:moveTo>
                <a:lnTo>
                  <a:pt x="244206" y="228260"/>
                </a:lnTo>
                <a:lnTo>
                  <a:pt x="221971" y="240935"/>
                </a:lnTo>
                <a:lnTo>
                  <a:pt x="214132" y="254184"/>
                </a:lnTo>
                <a:lnTo>
                  <a:pt x="202228" y="256511"/>
                </a:lnTo>
                <a:lnTo>
                  <a:pt x="197726" y="278882"/>
                </a:lnTo>
                <a:lnTo>
                  <a:pt x="187532" y="291693"/>
                </a:lnTo>
                <a:lnTo>
                  <a:pt x="181334" y="312817"/>
                </a:lnTo>
                <a:lnTo>
                  <a:pt x="168548" y="323304"/>
                </a:lnTo>
                <a:lnTo>
                  <a:pt x="122977" y="291563"/>
                </a:lnTo>
                <a:lnTo>
                  <a:pt x="120812" y="273145"/>
                </a:lnTo>
                <a:lnTo>
                  <a:pt x="5684" y="208464"/>
                </a:lnTo>
                <a:lnTo>
                  <a:pt x="321" y="204978"/>
                </a:lnTo>
                <a:lnTo>
                  <a:pt x="0" y="171329"/>
                </a:lnTo>
                <a:lnTo>
                  <a:pt x="9094" y="158464"/>
                </a:lnTo>
                <a:lnTo>
                  <a:pt x="24718" y="137449"/>
                </a:lnTo>
                <a:lnTo>
                  <a:pt x="36272" y="114306"/>
                </a:lnTo>
                <a:lnTo>
                  <a:pt x="22304" y="77860"/>
                </a:lnTo>
                <a:lnTo>
                  <a:pt x="18590" y="61925"/>
                </a:lnTo>
                <a:lnTo>
                  <a:pt x="3537" y="39881"/>
                </a:lnTo>
                <a:lnTo>
                  <a:pt x="23070" y="20920"/>
                </a:lnTo>
                <a:lnTo>
                  <a:pt x="44590" y="0"/>
                </a:lnTo>
                <a:lnTo>
                  <a:pt x="61081" y="5327"/>
                </a:lnTo>
                <a:lnTo>
                  <a:pt x="61081" y="23146"/>
                </a:lnTo>
                <a:lnTo>
                  <a:pt x="71930" y="33595"/>
                </a:lnTo>
                <a:lnTo>
                  <a:pt x="94028" y="33595"/>
                </a:lnTo>
                <a:lnTo>
                  <a:pt x="134217" y="60560"/>
                </a:lnTo>
                <a:lnTo>
                  <a:pt x="144254" y="60881"/>
                </a:lnTo>
                <a:lnTo>
                  <a:pt x="151686" y="60004"/>
                </a:lnTo>
                <a:lnTo>
                  <a:pt x="158716" y="63668"/>
                </a:lnTo>
                <a:lnTo>
                  <a:pt x="179889" y="66164"/>
                </a:lnTo>
                <a:lnTo>
                  <a:pt x="189272" y="52933"/>
                </a:lnTo>
                <a:lnTo>
                  <a:pt x="218279" y="39656"/>
                </a:lnTo>
                <a:lnTo>
                  <a:pt x="231083" y="50384"/>
                </a:lnTo>
                <a:lnTo>
                  <a:pt x="252778" y="50390"/>
                </a:lnTo>
                <a:lnTo>
                  <a:pt x="225029" y="8640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42" name="KWT">
            <a:extLst>
              <a:ext uri="{FF2B5EF4-FFF2-40B4-BE49-F238E27FC236}">
                <a16:creationId xmlns:a16="http://schemas.microsoft.com/office/drawing/2014/main" id="{00000000-0008-0000-2700-00008E7D6400}"/>
              </a:ext>
            </a:extLst>
          </xdr:cNvPr>
          <xdr:cNvSpPr/>
        </xdr:nvSpPr>
        <xdr:spPr>
          <a:xfrm>
            <a:off x="7809150" y="2463355"/>
            <a:ext cx="58704" cy="48674"/>
          </a:xfrm>
          <a:custGeom>
            <a:avLst/>
            <a:gdLst/>
            <a:ahLst/>
            <a:cxnLst/>
            <a:rect l="0" t="0" r="0" b="0"/>
            <a:pathLst>
              <a:path w="58655" h="48674">
                <a:moveTo>
                  <a:pt x="44634" y="2645"/>
                </a:moveTo>
                <a:lnTo>
                  <a:pt x="51260" y="16656"/>
                </a:lnTo>
                <a:lnTo>
                  <a:pt x="48425" y="23901"/>
                </a:lnTo>
                <a:lnTo>
                  <a:pt x="58654" y="47851"/>
                </a:lnTo>
                <a:lnTo>
                  <a:pt x="36201" y="48673"/>
                </a:lnTo>
                <a:lnTo>
                  <a:pt x="28292" y="33547"/>
                </a:lnTo>
                <a:lnTo>
                  <a:pt x="0" y="30483"/>
                </a:lnTo>
                <a:lnTo>
                  <a:pt x="23301"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43" name="KGZ">
            <a:extLst>
              <a:ext uri="{FF2B5EF4-FFF2-40B4-BE49-F238E27FC236}">
                <a16:creationId xmlns:a16="http://schemas.microsoft.com/office/drawing/2014/main" id="{00000000-0008-0000-2700-00008F7D6400}"/>
              </a:ext>
            </a:extLst>
          </xdr:cNvPr>
          <xdr:cNvSpPr/>
        </xdr:nvSpPr>
        <xdr:spPr>
          <a:xfrm>
            <a:off x="8536710" y="2043010"/>
            <a:ext cx="343032" cy="127598"/>
          </a:xfrm>
          <a:custGeom>
            <a:avLst/>
            <a:gdLst/>
            <a:ahLst/>
            <a:cxnLst/>
            <a:rect l="0" t="0" r="0" b="0"/>
            <a:pathLst>
              <a:path w="342746" h="127598">
                <a:moveTo>
                  <a:pt x="47543" y="32770"/>
                </a:moveTo>
                <a:lnTo>
                  <a:pt x="54655" y="18860"/>
                </a:lnTo>
                <a:lnTo>
                  <a:pt x="75556" y="14380"/>
                </a:lnTo>
                <a:lnTo>
                  <a:pt x="127790" y="25318"/>
                </a:lnTo>
                <a:lnTo>
                  <a:pt x="132727" y="6573"/>
                </a:lnTo>
                <a:lnTo>
                  <a:pt x="150749" y="0"/>
                </a:lnTo>
                <a:lnTo>
                  <a:pt x="195965" y="13348"/>
                </a:lnTo>
                <a:lnTo>
                  <a:pt x="207502" y="9852"/>
                </a:lnTo>
                <a:lnTo>
                  <a:pt x="260144" y="10719"/>
                </a:lnTo>
                <a:lnTo>
                  <a:pt x="307255" y="14040"/>
                </a:lnTo>
                <a:lnTo>
                  <a:pt x="323174" y="25451"/>
                </a:lnTo>
                <a:lnTo>
                  <a:pt x="342745" y="30109"/>
                </a:lnTo>
                <a:lnTo>
                  <a:pt x="338281" y="37288"/>
                </a:lnTo>
                <a:lnTo>
                  <a:pt x="288252" y="54487"/>
                </a:lnTo>
                <a:lnTo>
                  <a:pt x="276933" y="67088"/>
                </a:lnTo>
                <a:lnTo>
                  <a:pt x="236207" y="70860"/>
                </a:lnTo>
                <a:lnTo>
                  <a:pt x="224202" y="91136"/>
                </a:lnTo>
                <a:lnTo>
                  <a:pt x="190592" y="86875"/>
                </a:lnTo>
                <a:lnTo>
                  <a:pt x="168656" y="93088"/>
                </a:lnTo>
                <a:lnTo>
                  <a:pt x="138344" y="108087"/>
                </a:lnTo>
                <a:lnTo>
                  <a:pt x="142720" y="115516"/>
                </a:lnTo>
                <a:lnTo>
                  <a:pt x="133683" y="122781"/>
                </a:lnTo>
                <a:lnTo>
                  <a:pt x="73653" y="127597"/>
                </a:lnTo>
                <a:lnTo>
                  <a:pt x="34426" y="117288"/>
                </a:lnTo>
                <a:lnTo>
                  <a:pt x="0" y="119749"/>
                </a:lnTo>
                <a:lnTo>
                  <a:pt x="3007" y="101445"/>
                </a:lnTo>
                <a:lnTo>
                  <a:pt x="37563" y="106760"/>
                </a:lnTo>
                <a:lnTo>
                  <a:pt x="49191" y="96962"/>
                </a:lnTo>
                <a:lnTo>
                  <a:pt x="73343" y="100092"/>
                </a:lnTo>
                <a:lnTo>
                  <a:pt x="113998" y="77226"/>
                </a:lnTo>
                <a:lnTo>
                  <a:pt x="76365" y="60497"/>
                </a:lnTo>
                <a:lnTo>
                  <a:pt x="53753" y="68412"/>
                </a:lnTo>
                <a:lnTo>
                  <a:pt x="30324" y="56461"/>
                </a:lnTo>
                <a:lnTo>
                  <a:pt x="56969" y="3589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44" name="LAO">
            <a:extLst>
              <a:ext uri="{FF2B5EF4-FFF2-40B4-BE49-F238E27FC236}">
                <a16:creationId xmlns:a16="http://schemas.microsoft.com/office/drawing/2014/main" id="{00000000-0008-0000-2700-0000907D6400}"/>
              </a:ext>
            </a:extLst>
          </xdr:cNvPr>
          <xdr:cNvSpPr/>
        </xdr:nvSpPr>
        <xdr:spPr>
          <a:xfrm>
            <a:off x="9510693" y="2704474"/>
            <a:ext cx="236688" cy="272534"/>
          </a:xfrm>
          <a:custGeom>
            <a:avLst/>
            <a:gdLst/>
            <a:ahLst/>
            <a:cxnLst/>
            <a:rect l="0" t="0" r="0" b="0"/>
            <a:pathLst>
              <a:path w="236491" h="272534">
                <a:moveTo>
                  <a:pt x="162014" y="260083"/>
                </a:moveTo>
                <a:lnTo>
                  <a:pt x="172349" y="245774"/>
                </a:lnTo>
                <a:lnTo>
                  <a:pt x="173768" y="218900"/>
                </a:lnTo>
                <a:lnTo>
                  <a:pt x="148060" y="191227"/>
                </a:lnTo>
                <a:lnTo>
                  <a:pt x="146079" y="159890"/>
                </a:lnTo>
                <a:lnTo>
                  <a:pt x="121936" y="134106"/>
                </a:lnTo>
                <a:lnTo>
                  <a:pt x="97924" y="131928"/>
                </a:lnTo>
                <a:lnTo>
                  <a:pt x="91526" y="142973"/>
                </a:lnTo>
                <a:lnTo>
                  <a:pt x="72930" y="143891"/>
                </a:lnTo>
                <a:lnTo>
                  <a:pt x="63424" y="138293"/>
                </a:lnTo>
                <a:lnTo>
                  <a:pt x="29957" y="157236"/>
                </a:lnTo>
                <a:lnTo>
                  <a:pt x="29207" y="128775"/>
                </a:lnTo>
                <a:lnTo>
                  <a:pt x="37021" y="95320"/>
                </a:lnTo>
                <a:lnTo>
                  <a:pt x="15567" y="93869"/>
                </a:lnTo>
                <a:lnTo>
                  <a:pt x="13745" y="74790"/>
                </a:lnTo>
                <a:lnTo>
                  <a:pt x="0" y="64992"/>
                </a:lnTo>
                <a:lnTo>
                  <a:pt x="6766" y="53299"/>
                </a:lnTo>
                <a:lnTo>
                  <a:pt x="33783" y="32645"/>
                </a:lnTo>
                <a:lnTo>
                  <a:pt x="36640" y="40104"/>
                </a:lnTo>
                <a:lnTo>
                  <a:pt x="53566" y="40970"/>
                </a:lnTo>
                <a:lnTo>
                  <a:pt x="48769" y="4655"/>
                </a:lnTo>
                <a:lnTo>
                  <a:pt x="65228" y="0"/>
                </a:lnTo>
                <a:lnTo>
                  <a:pt x="83786" y="25073"/>
                </a:lnTo>
                <a:lnTo>
                  <a:pt x="98042" y="53918"/>
                </a:lnTo>
                <a:lnTo>
                  <a:pt x="137129" y="54169"/>
                </a:lnTo>
                <a:lnTo>
                  <a:pt x="149435" y="81858"/>
                </a:lnTo>
                <a:lnTo>
                  <a:pt x="129140" y="90173"/>
                </a:lnTo>
                <a:lnTo>
                  <a:pt x="120032" y="101587"/>
                </a:lnTo>
                <a:lnTo>
                  <a:pt x="158071" y="120580"/>
                </a:lnTo>
                <a:lnTo>
                  <a:pt x="184462" y="158099"/>
                </a:lnTo>
                <a:lnTo>
                  <a:pt x="204471" y="186071"/>
                </a:lnTo>
                <a:lnTo>
                  <a:pt x="228496" y="208163"/>
                </a:lnTo>
                <a:lnTo>
                  <a:pt x="236490" y="230588"/>
                </a:lnTo>
                <a:lnTo>
                  <a:pt x="230718" y="262331"/>
                </a:lnTo>
                <a:lnTo>
                  <a:pt x="202579" y="250641"/>
                </a:lnTo>
                <a:lnTo>
                  <a:pt x="188211" y="27253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45" name="LVA">
            <a:extLst>
              <a:ext uri="{FF2B5EF4-FFF2-40B4-BE49-F238E27FC236}">
                <a16:creationId xmlns:a16="http://schemas.microsoft.com/office/drawing/2014/main" id="{00000000-0008-0000-2700-0000917D6400}"/>
              </a:ext>
            </a:extLst>
          </xdr:cNvPr>
          <xdr:cNvSpPr/>
        </xdr:nvSpPr>
        <xdr:spPr>
          <a:xfrm>
            <a:off x="6998440" y="1577178"/>
            <a:ext cx="226278" cy="74775"/>
          </a:xfrm>
          <a:custGeom>
            <a:avLst/>
            <a:gdLst/>
            <a:ahLst/>
            <a:cxnLst/>
            <a:rect l="0" t="0" r="0" b="0"/>
            <a:pathLst>
              <a:path w="226090" h="74775">
                <a:moveTo>
                  <a:pt x="0" y="61566"/>
                </a:moveTo>
                <a:lnTo>
                  <a:pt x="1099" y="37665"/>
                </a:lnTo>
                <a:lnTo>
                  <a:pt x="16704" y="17726"/>
                </a:lnTo>
                <a:lnTo>
                  <a:pt x="46625" y="6883"/>
                </a:lnTo>
                <a:lnTo>
                  <a:pt x="71841" y="30607"/>
                </a:lnTo>
                <a:lnTo>
                  <a:pt x="97311" y="29987"/>
                </a:lnTo>
                <a:lnTo>
                  <a:pt x="103413" y="5613"/>
                </a:lnTo>
                <a:lnTo>
                  <a:pt x="130455" y="0"/>
                </a:lnTo>
                <a:lnTo>
                  <a:pt x="144368" y="3895"/>
                </a:lnTo>
                <a:lnTo>
                  <a:pt x="171695" y="15678"/>
                </a:lnTo>
                <a:lnTo>
                  <a:pt x="197879" y="15738"/>
                </a:lnTo>
                <a:lnTo>
                  <a:pt x="213176" y="23047"/>
                </a:lnTo>
                <a:lnTo>
                  <a:pt x="215884" y="38446"/>
                </a:lnTo>
                <a:lnTo>
                  <a:pt x="226089" y="57185"/>
                </a:lnTo>
                <a:lnTo>
                  <a:pt x="191983" y="69434"/>
                </a:lnTo>
                <a:lnTo>
                  <a:pt x="172673" y="74774"/>
                </a:lnTo>
                <a:lnTo>
                  <a:pt x="142151" y="59369"/>
                </a:lnTo>
                <a:lnTo>
                  <a:pt x="125257" y="57331"/>
                </a:lnTo>
                <a:lnTo>
                  <a:pt x="120806" y="50727"/>
                </a:lnTo>
                <a:lnTo>
                  <a:pt x="89614" y="53863"/>
                </a:lnTo>
                <a:lnTo>
                  <a:pt x="36366" y="51828"/>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46" name="LBN">
            <a:extLst>
              <a:ext uri="{FF2B5EF4-FFF2-40B4-BE49-F238E27FC236}">
                <a16:creationId xmlns:a16="http://schemas.microsoft.com/office/drawing/2014/main" id="{00000000-0008-0000-2700-0000927D6400}"/>
              </a:ext>
            </a:extLst>
          </xdr:cNvPr>
          <xdr:cNvSpPr/>
        </xdr:nvSpPr>
        <xdr:spPr>
          <a:xfrm>
            <a:off x="7445544" y="2317756"/>
            <a:ext cx="47211" cy="49401"/>
          </a:xfrm>
          <a:custGeom>
            <a:avLst/>
            <a:gdLst/>
            <a:ahLst/>
            <a:cxnLst/>
            <a:rect l="0" t="0" r="0" b="0"/>
            <a:pathLst>
              <a:path w="47172" h="49401">
                <a:moveTo>
                  <a:pt x="22066" y="43418"/>
                </a:moveTo>
                <a:lnTo>
                  <a:pt x="13548" y="43834"/>
                </a:lnTo>
                <a:lnTo>
                  <a:pt x="10624" y="49400"/>
                </a:lnTo>
                <a:lnTo>
                  <a:pt x="0" y="49339"/>
                </a:lnTo>
                <a:lnTo>
                  <a:pt x="11306" y="23476"/>
                </a:lnTo>
                <a:lnTo>
                  <a:pt x="27098" y="1105"/>
                </a:lnTo>
                <a:lnTo>
                  <a:pt x="27695" y="0"/>
                </a:lnTo>
                <a:lnTo>
                  <a:pt x="41977" y="1619"/>
                </a:lnTo>
                <a:lnTo>
                  <a:pt x="47171" y="14068"/>
                </a:lnTo>
                <a:lnTo>
                  <a:pt x="29858" y="26035"/>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47" name="LSO">
            <a:extLst>
              <a:ext uri="{FF2B5EF4-FFF2-40B4-BE49-F238E27FC236}">
                <a16:creationId xmlns:a16="http://schemas.microsoft.com/office/drawing/2014/main" id="{00000000-0008-0000-2700-0000937D6400}"/>
              </a:ext>
            </a:extLst>
          </xdr:cNvPr>
          <xdr:cNvSpPr/>
        </xdr:nvSpPr>
        <xdr:spPr>
          <a:xfrm>
            <a:off x="7187303" y="4327290"/>
            <a:ext cx="73910" cy="63424"/>
          </a:xfrm>
          <a:custGeom>
            <a:avLst/>
            <a:gdLst/>
            <a:ahLst/>
            <a:cxnLst/>
            <a:rect l="0" t="0" r="0" b="0"/>
            <a:pathLst>
              <a:path w="73848" h="63424">
                <a:moveTo>
                  <a:pt x="62833" y="9782"/>
                </a:moveTo>
                <a:lnTo>
                  <a:pt x="73847" y="19364"/>
                </a:lnTo>
                <a:lnTo>
                  <a:pt x="64107" y="34807"/>
                </a:lnTo>
                <a:lnTo>
                  <a:pt x="58709" y="45167"/>
                </a:lnTo>
                <a:lnTo>
                  <a:pt x="41015" y="50123"/>
                </a:lnTo>
                <a:lnTo>
                  <a:pt x="35176" y="60267"/>
                </a:lnTo>
                <a:lnTo>
                  <a:pt x="23816" y="63423"/>
                </a:lnTo>
                <a:lnTo>
                  <a:pt x="0" y="39005"/>
                </a:lnTo>
                <a:lnTo>
                  <a:pt x="16929" y="18897"/>
                </a:lnTo>
                <a:lnTo>
                  <a:pt x="34131" y="6476"/>
                </a:lnTo>
                <a:lnTo>
                  <a:pt x="48971"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48" name="LBR">
            <a:extLst>
              <a:ext uri="{FF2B5EF4-FFF2-40B4-BE49-F238E27FC236}">
                <a16:creationId xmlns:a16="http://schemas.microsoft.com/office/drawing/2014/main" id="{00000000-0008-0000-2700-0000947D6400}"/>
              </a:ext>
            </a:extLst>
          </xdr:cNvPr>
          <xdr:cNvSpPr/>
        </xdr:nvSpPr>
        <xdr:spPr>
          <a:xfrm>
            <a:off x="5965877" y="3146552"/>
            <a:ext cx="123900" cy="132884"/>
          </a:xfrm>
          <a:custGeom>
            <a:avLst/>
            <a:gdLst/>
            <a:ahLst/>
            <a:cxnLst/>
            <a:rect l="0" t="0" r="0" b="0"/>
            <a:pathLst>
              <a:path w="123797" h="132884">
                <a:moveTo>
                  <a:pt x="118319" y="132604"/>
                </a:moveTo>
                <a:lnTo>
                  <a:pt x="110004" y="132883"/>
                </a:lnTo>
                <a:lnTo>
                  <a:pt x="77279" y="117751"/>
                </a:lnTo>
                <a:lnTo>
                  <a:pt x="48431" y="93583"/>
                </a:lnTo>
                <a:lnTo>
                  <a:pt x="21380" y="76212"/>
                </a:lnTo>
                <a:lnTo>
                  <a:pt x="0" y="55727"/>
                </a:lnTo>
                <a:lnTo>
                  <a:pt x="7588" y="45570"/>
                </a:lnTo>
                <a:lnTo>
                  <a:pt x="9274" y="36334"/>
                </a:lnTo>
                <a:lnTo>
                  <a:pt x="23596" y="19100"/>
                </a:lnTo>
                <a:lnTo>
                  <a:pt x="38376" y="4283"/>
                </a:lnTo>
                <a:lnTo>
                  <a:pt x="45154" y="3575"/>
                </a:lnTo>
                <a:lnTo>
                  <a:pt x="53451" y="0"/>
                </a:lnTo>
                <a:lnTo>
                  <a:pt x="66722" y="19450"/>
                </a:lnTo>
                <a:lnTo>
                  <a:pt x="64627" y="32200"/>
                </a:lnTo>
                <a:lnTo>
                  <a:pt x="70802" y="38963"/>
                </a:lnTo>
                <a:lnTo>
                  <a:pt x="79778" y="39119"/>
                </a:lnTo>
                <a:lnTo>
                  <a:pt x="86255" y="26333"/>
                </a:lnTo>
                <a:lnTo>
                  <a:pt x="95234" y="27149"/>
                </a:lnTo>
                <a:lnTo>
                  <a:pt x="93770" y="36382"/>
                </a:lnTo>
                <a:lnTo>
                  <a:pt x="96942" y="51730"/>
                </a:lnTo>
                <a:lnTo>
                  <a:pt x="90039" y="65833"/>
                </a:lnTo>
                <a:lnTo>
                  <a:pt x="99298" y="74552"/>
                </a:lnTo>
                <a:lnTo>
                  <a:pt x="109381" y="76672"/>
                </a:lnTo>
                <a:lnTo>
                  <a:pt x="122828" y="89969"/>
                </a:lnTo>
                <a:lnTo>
                  <a:pt x="123796" y="102482"/>
                </a:lnTo>
                <a:lnTo>
                  <a:pt x="120758" y="106454"/>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49" name="LBY">
            <a:extLst>
              <a:ext uri="{FF2B5EF4-FFF2-40B4-BE49-F238E27FC236}">
                <a16:creationId xmlns:a16="http://schemas.microsoft.com/office/drawing/2014/main" id="{00000000-0008-0000-2700-0000957D6400}"/>
              </a:ext>
            </a:extLst>
          </xdr:cNvPr>
          <xdr:cNvSpPr/>
        </xdr:nvSpPr>
        <xdr:spPr>
          <a:xfrm>
            <a:off x="6625500" y="2365632"/>
            <a:ext cx="503511" cy="430420"/>
          </a:xfrm>
          <a:custGeom>
            <a:avLst/>
            <a:gdLst/>
            <a:ahLst/>
            <a:cxnLst/>
            <a:rect l="0" t="0" r="0" b="0"/>
            <a:pathLst>
              <a:path w="503092" h="430420">
                <a:moveTo>
                  <a:pt x="175637" y="326199"/>
                </a:moveTo>
                <a:lnTo>
                  <a:pt x="153177" y="338001"/>
                </a:lnTo>
                <a:lnTo>
                  <a:pt x="135318" y="320564"/>
                </a:lnTo>
                <a:lnTo>
                  <a:pt x="85093" y="306873"/>
                </a:lnTo>
                <a:lnTo>
                  <a:pt x="71161" y="286991"/>
                </a:lnTo>
                <a:lnTo>
                  <a:pt x="46101" y="272240"/>
                </a:lnTo>
                <a:lnTo>
                  <a:pt x="31254" y="278057"/>
                </a:lnTo>
                <a:lnTo>
                  <a:pt x="19967" y="260350"/>
                </a:lnTo>
                <a:lnTo>
                  <a:pt x="18773" y="246745"/>
                </a:lnTo>
                <a:lnTo>
                  <a:pt x="0" y="223605"/>
                </a:lnTo>
                <a:lnTo>
                  <a:pt x="12601" y="210337"/>
                </a:lnTo>
                <a:lnTo>
                  <a:pt x="9832" y="190373"/>
                </a:lnTo>
                <a:lnTo>
                  <a:pt x="13865" y="172996"/>
                </a:lnTo>
                <a:lnTo>
                  <a:pt x="11573" y="158521"/>
                </a:lnTo>
                <a:lnTo>
                  <a:pt x="17164" y="132619"/>
                </a:lnTo>
                <a:lnTo>
                  <a:pt x="15436" y="117868"/>
                </a:lnTo>
                <a:lnTo>
                  <a:pt x="5165" y="89833"/>
                </a:lnTo>
                <a:lnTo>
                  <a:pt x="20656" y="82477"/>
                </a:lnTo>
                <a:lnTo>
                  <a:pt x="23405" y="69062"/>
                </a:lnTo>
                <a:lnTo>
                  <a:pt x="20027" y="55908"/>
                </a:lnTo>
                <a:lnTo>
                  <a:pt x="41830" y="43675"/>
                </a:lnTo>
                <a:lnTo>
                  <a:pt x="51606" y="33502"/>
                </a:lnTo>
                <a:lnTo>
                  <a:pt x="67084" y="24387"/>
                </a:lnTo>
                <a:lnTo>
                  <a:pt x="68878" y="0"/>
                </a:lnTo>
                <a:lnTo>
                  <a:pt x="106168" y="10928"/>
                </a:lnTo>
                <a:lnTo>
                  <a:pt x="119503" y="8198"/>
                </a:lnTo>
                <a:lnTo>
                  <a:pt x="146027" y="13493"/>
                </a:lnTo>
                <a:lnTo>
                  <a:pt x="188156" y="27682"/>
                </a:lnTo>
                <a:lnTo>
                  <a:pt x="203025" y="55902"/>
                </a:lnTo>
                <a:lnTo>
                  <a:pt x="231527" y="62065"/>
                </a:lnTo>
                <a:lnTo>
                  <a:pt x="276278" y="75355"/>
                </a:lnTo>
                <a:lnTo>
                  <a:pt x="310102" y="91141"/>
                </a:lnTo>
                <a:lnTo>
                  <a:pt x="325583" y="82905"/>
                </a:lnTo>
                <a:lnTo>
                  <a:pt x="340801" y="68300"/>
                </a:lnTo>
                <a:lnTo>
                  <a:pt x="333403" y="43980"/>
                </a:lnTo>
                <a:lnTo>
                  <a:pt x="343363" y="28536"/>
                </a:lnTo>
                <a:lnTo>
                  <a:pt x="366239" y="13659"/>
                </a:lnTo>
                <a:lnTo>
                  <a:pt x="388099" y="9328"/>
                </a:lnTo>
                <a:lnTo>
                  <a:pt x="431050" y="15824"/>
                </a:lnTo>
                <a:lnTo>
                  <a:pt x="441877" y="30019"/>
                </a:lnTo>
                <a:lnTo>
                  <a:pt x="453698" y="30153"/>
                </a:lnTo>
                <a:lnTo>
                  <a:pt x="463806" y="35569"/>
                </a:lnTo>
                <a:lnTo>
                  <a:pt x="495353" y="39293"/>
                </a:lnTo>
                <a:lnTo>
                  <a:pt x="503091" y="49777"/>
                </a:lnTo>
                <a:lnTo>
                  <a:pt x="491601" y="65014"/>
                </a:lnTo>
                <a:lnTo>
                  <a:pt x="496512" y="78594"/>
                </a:lnTo>
                <a:lnTo>
                  <a:pt x="488337" y="98196"/>
                </a:lnTo>
                <a:lnTo>
                  <a:pt x="497859" y="123771"/>
                </a:lnTo>
                <a:lnTo>
                  <a:pt x="497859" y="236680"/>
                </a:lnTo>
                <a:lnTo>
                  <a:pt x="497859" y="353599"/>
                </a:lnTo>
                <a:lnTo>
                  <a:pt x="497859" y="417004"/>
                </a:lnTo>
                <a:lnTo>
                  <a:pt x="461346" y="417099"/>
                </a:lnTo>
                <a:lnTo>
                  <a:pt x="460955" y="430419"/>
                </a:lnTo>
                <a:lnTo>
                  <a:pt x="334324" y="369630"/>
                </a:lnTo>
                <a:lnTo>
                  <a:pt x="207689" y="308841"/>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50" name="LTU">
            <a:extLst>
              <a:ext uri="{FF2B5EF4-FFF2-40B4-BE49-F238E27FC236}">
                <a16:creationId xmlns:a16="http://schemas.microsoft.com/office/drawing/2014/main" id="{00000000-0008-0000-2700-0000967D6400}"/>
              </a:ext>
            </a:extLst>
          </xdr:cNvPr>
          <xdr:cNvSpPr/>
        </xdr:nvSpPr>
        <xdr:spPr>
          <a:xfrm>
            <a:off x="6998440" y="1627905"/>
            <a:ext cx="175804" cy="78321"/>
          </a:xfrm>
          <a:custGeom>
            <a:avLst/>
            <a:gdLst/>
            <a:ahLst/>
            <a:cxnLst/>
            <a:rect l="0" t="0" r="0" b="0"/>
            <a:pathLst>
              <a:path w="175658" h="78321">
                <a:moveTo>
                  <a:pt x="53191" y="64928"/>
                </a:moveTo>
                <a:lnTo>
                  <a:pt x="50651" y="56826"/>
                </a:lnTo>
                <a:lnTo>
                  <a:pt x="54038" y="48129"/>
                </a:lnTo>
                <a:lnTo>
                  <a:pt x="40002" y="43091"/>
                </a:lnTo>
                <a:lnTo>
                  <a:pt x="6750" y="37528"/>
                </a:lnTo>
                <a:lnTo>
                  <a:pt x="0" y="10839"/>
                </a:lnTo>
                <a:lnTo>
                  <a:pt x="36366" y="1101"/>
                </a:lnTo>
                <a:lnTo>
                  <a:pt x="89614" y="3136"/>
                </a:lnTo>
                <a:lnTo>
                  <a:pt x="120806" y="0"/>
                </a:lnTo>
                <a:lnTo>
                  <a:pt x="125257" y="6604"/>
                </a:lnTo>
                <a:lnTo>
                  <a:pt x="142151" y="8642"/>
                </a:lnTo>
                <a:lnTo>
                  <a:pt x="172673" y="24047"/>
                </a:lnTo>
                <a:lnTo>
                  <a:pt x="175657" y="38268"/>
                </a:lnTo>
                <a:lnTo>
                  <a:pt x="149625" y="48434"/>
                </a:lnTo>
                <a:lnTo>
                  <a:pt x="142259" y="66360"/>
                </a:lnTo>
                <a:lnTo>
                  <a:pt x="107788" y="78320"/>
                </a:lnTo>
                <a:lnTo>
                  <a:pt x="77099" y="78105"/>
                </a:lnTo>
                <a:lnTo>
                  <a:pt x="69475" y="6832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51" name="LUX">
            <a:extLst>
              <a:ext uri="{FF2B5EF4-FFF2-40B4-BE49-F238E27FC236}">
                <a16:creationId xmlns:a16="http://schemas.microsoft.com/office/drawing/2014/main" id="{00000000-0008-0000-2700-0000977D6400}"/>
              </a:ext>
            </a:extLst>
          </xdr:cNvPr>
          <xdr:cNvSpPr/>
        </xdr:nvSpPr>
        <xdr:spPr>
          <a:xfrm>
            <a:off x="6509664" y="1826164"/>
            <a:ext cx="18072" cy="21763"/>
          </a:xfrm>
          <a:custGeom>
            <a:avLst/>
            <a:gdLst/>
            <a:ahLst/>
            <a:cxnLst/>
            <a:rect l="0" t="0" r="0" b="0"/>
            <a:pathLst>
              <a:path w="18057" h="21763">
                <a:moveTo>
                  <a:pt x="11716" y="0"/>
                </a:moveTo>
                <a:lnTo>
                  <a:pt x="18056" y="7173"/>
                </a:lnTo>
                <a:lnTo>
                  <a:pt x="16263" y="21092"/>
                </a:lnTo>
                <a:lnTo>
                  <a:pt x="7103" y="21762"/>
                </a:lnTo>
                <a:lnTo>
                  <a:pt x="0" y="19006"/>
                </a:lnTo>
                <a:lnTo>
                  <a:pt x="3439" y="120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52" name="MKD">
            <a:extLst>
              <a:ext uri="{FF2B5EF4-FFF2-40B4-BE49-F238E27FC236}">
                <a16:creationId xmlns:a16="http://schemas.microsoft.com/office/drawing/2014/main" id="{00000000-0008-0000-2700-0000987D6400}"/>
              </a:ext>
            </a:extLst>
          </xdr:cNvPr>
          <xdr:cNvSpPr/>
        </xdr:nvSpPr>
        <xdr:spPr>
          <a:xfrm>
            <a:off x="6979606" y="2074062"/>
            <a:ext cx="79102" cy="46915"/>
          </a:xfrm>
          <a:custGeom>
            <a:avLst/>
            <a:gdLst/>
            <a:ahLst/>
            <a:cxnLst/>
            <a:rect l="0" t="0" r="0" b="0"/>
            <a:pathLst>
              <a:path w="79036" h="46915">
                <a:moveTo>
                  <a:pt x="4036" y="14760"/>
                </a:moveTo>
                <a:lnTo>
                  <a:pt x="8071" y="15024"/>
                </a:lnTo>
                <a:lnTo>
                  <a:pt x="9497" y="8522"/>
                </a:lnTo>
                <a:lnTo>
                  <a:pt x="28245" y="3604"/>
                </a:lnTo>
                <a:lnTo>
                  <a:pt x="35354" y="2384"/>
                </a:lnTo>
                <a:lnTo>
                  <a:pt x="46164" y="530"/>
                </a:lnTo>
                <a:lnTo>
                  <a:pt x="60877" y="0"/>
                </a:lnTo>
                <a:lnTo>
                  <a:pt x="76781" y="10192"/>
                </a:lnTo>
                <a:lnTo>
                  <a:pt x="79035" y="31188"/>
                </a:lnTo>
                <a:lnTo>
                  <a:pt x="72983" y="32242"/>
                </a:lnTo>
                <a:lnTo>
                  <a:pt x="67760" y="37776"/>
                </a:lnTo>
                <a:lnTo>
                  <a:pt x="50555" y="37160"/>
                </a:lnTo>
                <a:lnTo>
                  <a:pt x="38452" y="44101"/>
                </a:lnTo>
                <a:lnTo>
                  <a:pt x="17681" y="46914"/>
                </a:lnTo>
                <a:lnTo>
                  <a:pt x="4512" y="39183"/>
                </a:lnTo>
                <a:lnTo>
                  <a:pt x="0" y="25565"/>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55" name="MDG">
            <a:extLst>
              <a:ext uri="{FF2B5EF4-FFF2-40B4-BE49-F238E27FC236}">
                <a16:creationId xmlns:a16="http://schemas.microsoft.com/office/drawing/2014/main" id="{00000000-0008-0000-2700-00009B7D6400}"/>
              </a:ext>
            </a:extLst>
          </xdr:cNvPr>
          <xdr:cNvSpPr/>
        </xdr:nvSpPr>
        <xdr:spPr>
          <a:xfrm>
            <a:off x="7703826" y="3800021"/>
            <a:ext cx="229500" cy="430556"/>
          </a:xfrm>
          <a:custGeom>
            <a:avLst/>
            <a:gdLst/>
            <a:ahLst/>
            <a:cxnLst/>
            <a:rect l="0" t="0" r="0" b="0"/>
            <a:pathLst>
              <a:path w="229309" h="430556">
                <a:moveTo>
                  <a:pt x="199686" y="13627"/>
                </a:moveTo>
                <a:lnTo>
                  <a:pt x="208116" y="27136"/>
                </a:lnTo>
                <a:lnTo>
                  <a:pt x="215973" y="48107"/>
                </a:lnTo>
                <a:lnTo>
                  <a:pt x="221082" y="86302"/>
                </a:lnTo>
                <a:lnTo>
                  <a:pt x="229308" y="101152"/>
                </a:lnTo>
                <a:lnTo>
                  <a:pt x="226152" y="116379"/>
                </a:lnTo>
                <a:lnTo>
                  <a:pt x="220539" y="125720"/>
                </a:lnTo>
                <a:lnTo>
                  <a:pt x="209753" y="107114"/>
                </a:lnTo>
                <a:lnTo>
                  <a:pt x="203785" y="116509"/>
                </a:lnTo>
                <a:lnTo>
                  <a:pt x="209839" y="140030"/>
                </a:lnTo>
                <a:lnTo>
                  <a:pt x="207023" y="153492"/>
                </a:lnTo>
                <a:lnTo>
                  <a:pt x="198260" y="160826"/>
                </a:lnTo>
                <a:lnTo>
                  <a:pt x="196260" y="187722"/>
                </a:lnTo>
                <a:lnTo>
                  <a:pt x="183757" y="224732"/>
                </a:lnTo>
                <a:lnTo>
                  <a:pt x="168095" y="268487"/>
                </a:lnTo>
                <a:lnTo>
                  <a:pt x="148479" y="328640"/>
                </a:lnTo>
                <a:lnTo>
                  <a:pt x="136319" y="372789"/>
                </a:lnTo>
                <a:lnTo>
                  <a:pt x="121971" y="409606"/>
                </a:lnTo>
                <a:lnTo>
                  <a:pt x="96149" y="417128"/>
                </a:lnTo>
                <a:lnTo>
                  <a:pt x="68431" y="430555"/>
                </a:lnTo>
                <a:lnTo>
                  <a:pt x="50146" y="422449"/>
                </a:lnTo>
                <a:lnTo>
                  <a:pt x="24940" y="411089"/>
                </a:lnTo>
                <a:lnTo>
                  <a:pt x="16180" y="394338"/>
                </a:lnTo>
                <a:lnTo>
                  <a:pt x="14085" y="366188"/>
                </a:lnTo>
                <a:lnTo>
                  <a:pt x="2906" y="340877"/>
                </a:lnTo>
                <a:lnTo>
                  <a:pt x="0" y="318033"/>
                </a:lnTo>
                <a:lnTo>
                  <a:pt x="5687" y="295144"/>
                </a:lnTo>
                <a:lnTo>
                  <a:pt x="20305" y="289645"/>
                </a:lnTo>
                <a:lnTo>
                  <a:pt x="20391" y="279079"/>
                </a:lnTo>
                <a:lnTo>
                  <a:pt x="35563" y="255009"/>
                </a:lnTo>
                <a:lnTo>
                  <a:pt x="38424" y="234788"/>
                </a:lnTo>
                <a:lnTo>
                  <a:pt x="31058" y="219754"/>
                </a:lnTo>
                <a:lnTo>
                  <a:pt x="25045" y="199732"/>
                </a:lnTo>
                <a:lnTo>
                  <a:pt x="22508" y="170475"/>
                </a:lnTo>
                <a:lnTo>
                  <a:pt x="33601" y="152714"/>
                </a:lnTo>
                <a:lnTo>
                  <a:pt x="37856" y="132575"/>
                </a:lnTo>
                <a:lnTo>
                  <a:pt x="53680" y="131406"/>
                </a:lnTo>
                <a:lnTo>
                  <a:pt x="71391" y="124897"/>
                </a:lnTo>
                <a:lnTo>
                  <a:pt x="83147" y="119154"/>
                </a:lnTo>
                <a:lnTo>
                  <a:pt x="97092" y="118725"/>
                </a:lnTo>
                <a:lnTo>
                  <a:pt x="115189" y="100634"/>
                </a:lnTo>
                <a:lnTo>
                  <a:pt x="141317" y="81080"/>
                </a:lnTo>
                <a:lnTo>
                  <a:pt x="150845" y="65106"/>
                </a:lnTo>
                <a:lnTo>
                  <a:pt x="146520" y="51539"/>
                </a:lnTo>
                <a:lnTo>
                  <a:pt x="160008" y="55356"/>
                </a:lnTo>
                <a:lnTo>
                  <a:pt x="177511" y="33293"/>
                </a:lnTo>
                <a:lnTo>
                  <a:pt x="178096" y="14201"/>
                </a:lnTo>
                <a:lnTo>
                  <a:pt x="188611"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56" name="MWI">
            <a:extLst>
              <a:ext uri="{FF2B5EF4-FFF2-40B4-BE49-F238E27FC236}">
                <a16:creationId xmlns:a16="http://schemas.microsoft.com/office/drawing/2014/main" id="{00000000-0008-0000-2700-00009C7D6400}"/>
              </a:ext>
            </a:extLst>
          </xdr:cNvPr>
          <xdr:cNvSpPr/>
        </xdr:nvSpPr>
        <xdr:spPr>
          <a:xfrm>
            <a:off x="7368077" y="3710803"/>
            <a:ext cx="97990" cy="240371"/>
          </a:xfrm>
          <a:custGeom>
            <a:avLst/>
            <a:gdLst/>
            <a:ahLst/>
            <a:cxnLst/>
            <a:rect l="0" t="0" r="0" b="0"/>
            <a:pathLst>
              <a:path w="97908" h="240371">
                <a:moveTo>
                  <a:pt x="59430" y="72688"/>
                </a:moveTo>
                <a:lnTo>
                  <a:pt x="50540" y="96818"/>
                </a:lnTo>
                <a:lnTo>
                  <a:pt x="59430" y="138093"/>
                </a:lnTo>
                <a:lnTo>
                  <a:pt x="70453" y="137630"/>
                </a:lnTo>
                <a:lnTo>
                  <a:pt x="81908" y="147866"/>
                </a:lnTo>
                <a:lnTo>
                  <a:pt x="95205" y="170828"/>
                </a:lnTo>
                <a:lnTo>
                  <a:pt x="97907" y="211655"/>
                </a:lnTo>
                <a:lnTo>
                  <a:pt x="84166" y="218338"/>
                </a:lnTo>
                <a:lnTo>
                  <a:pt x="74472" y="240370"/>
                </a:lnTo>
                <a:lnTo>
                  <a:pt x="53756" y="220758"/>
                </a:lnTo>
                <a:lnTo>
                  <a:pt x="51406" y="198374"/>
                </a:lnTo>
                <a:lnTo>
                  <a:pt x="58086" y="183613"/>
                </a:lnTo>
                <a:lnTo>
                  <a:pt x="56242" y="170891"/>
                </a:lnTo>
                <a:lnTo>
                  <a:pt x="43707" y="162859"/>
                </a:lnTo>
                <a:lnTo>
                  <a:pt x="34972" y="165773"/>
                </a:lnTo>
                <a:lnTo>
                  <a:pt x="16694" y="150536"/>
                </a:lnTo>
                <a:lnTo>
                  <a:pt x="0" y="142313"/>
                </a:lnTo>
                <a:lnTo>
                  <a:pt x="9639" y="112817"/>
                </a:lnTo>
                <a:lnTo>
                  <a:pt x="19628" y="101765"/>
                </a:lnTo>
                <a:lnTo>
                  <a:pt x="13529" y="75457"/>
                </a:lnTo>
                <a:lnTo>
                  <a:pt x="19911" y="49717"/>
                </a:lnTo>
                <a:lnTo>
                  <a:pt x="25320" y="41116"/>
                </a:lnTo>
                <a:lnTo>
                  <a:pt x="17246" y="14164"/>
                </a:lnTo>
                <a:lnTo>
                  <a:pt x="2260" y="0"/>
                </a:lnTo>
                <a:lnTo>
                  <a:pt x="33385" y="5925"/>
                </a:lnTo>
                <a:lnTo>
                  <a:pt x="39770" y="14703"/>
                </a:lnTo>
                <a:lnTo>
                  <a:pt x="50540" y="2950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6585757" name="MYS">
            <a:extLst>
              <a:ext uri="{FF2B5EF4-FFF2-40B4-BE49-F238E27FC236}">
                <a16:creationId xmlns:a16="http://schemas.microsoft.com/office/drawing/2014/main" id="{00000000-0008-0000-2700-00009D7D6400}"/>
              </a:ext>
            </a:extLst>
          </xdr:cNvPr>
          <xdr:cNvGrpSpPr/>
        </xdr:nvGrpSpPr>
        <xdr:grpSpPr>
          <a:xfrm>
            <a:off x="9509733" y="3197764"/>
            <a:ext cx="606808" cy="195422"/>
            <a:chOff x="9400723" y="3451764"/>
            <a:chExt cx="606303" cy="195422"/>
          </a:xfrm>
          <a:grpFill/>
        </xdr:grpSpPr>
        <xdr:sp macro="" textlink="">
          <xdr:nvSpPr>
            <xdr:cNvPr id="6586828" name="MY_1">
              <a:extLst>
                <a:ext uri="{FF2B5EF4-FFF2-40B4-BE49-F238E27FC236}">
                  <a16:creationId xmlns:a16="http://schemas.microsoft.com/office/drawing/2014/main" id="{00000000-0008-0000-2700-0000CC816400}"/>
                </a:ext>
              </a:extLst>
            </xdr:cNvPr>
            <xdr:cNvSpPr/>
          </xdr:nvSpPr>
          <xdr:spPr>
            <a:xfrm>
              <a:off x="9400723" y="3460822"/>
              <a:ext cx="132148" cy="171975"/>
            </a:xfrm>
            <a:custGeom>
              <a:avLst/>
              <a:gdLst/>
              <a:ahLst/>
              <a:cxnLst/>
              <a:rect l="0" t="0" r="0" b="0"/>
              <a:pathLst>
                <a:path w="132148" h="171975">
                  <a:moveTo>
                    <a:pt x="31423" y="13904"/>
                  </a:moveTo>
                  <a:lnTo>
                    <a:pt x="33922" y="30207"/>
                  </a:lnTo>
                  <a:lnTo>
                    <a:pt x="54881" y="26417"/>
                  </a:lnTo>
                  <a:lnTo>
                    <a:pt x="65260" y="13374"/>
                  </a:lnTo>
                  <a:lnTo>
                    <a:pt x="72559" y="16339"/>
                  </a:lnTo>
                  <a:lnTo>
                    <a:pt x="91310" y="35507"/>
                  </a:lnTo>
                  <a:lnTo>
                    <a:pt x="104630" y="56763"/>
                  </a:lnTo>
                  <a:lnTo>
                    <a:pt x="106452" y="78144"/>
                  </a:lnTo>
                  <a:lnTo>
                    <a:pt x="103071" y="92587"/>
                  </a:lnTo>
                  <a:lnTo>
                    <a:pt x="106160" y="103502"/>
                  </a:lnTo>
                  <a:lnTo>
                    <a:pt x="108477" y="122295"/>
                  </a:lnTo>
                  <a:lnTo>
                    <a:pt x="119664" y="131042"/>
                  </a:lnTo>
                  <a:lnTo>
                    <a:pt x="132147" y="159122"/>
                  </a:lnTo>
                  <a:lnTo>
                    <a:pt x="131541" y="169857"/>
                  </a:lnTo>
                  <a:lnTo>
                    <a:pt x="109027" y="171974"/>
                  </a:lnTo>
                  <a:lnTo>
                    <a:pt x="78989" y="148454"/>
                  </a:lnTo>
                  <a:lnTo>
                    <a:pt x="41428" y="123254"/>
                  </a:lnTo>
                  <a:lnTo>
                    <a:pt x="37710" y="107078"/>
                  </a:lnTo>
                  <a:lnTo>
                    <a:pt x="19356" y="85843"/>
                  </a:lnTo>
                  <a:lnTo>
                    <a:pt x="14974" y="59548"/>
                  </a:lnTo>
                  <a:lnTo>
                    <a:pt x="3522" y="42238"/>
                  </a:lnTo>
                  <a:lnTo>
                    <a:pt x="7001" y="19121"/>
                  </a:lnTo>
                  <a:lnTo>
                    <a:pt x="0" y="5662"/>
                  </a:lnTo>
                  <a:lnTo>
                    <a:pt x="5519"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29" name="MY_2">
              <a:extLst>
                <a:ext uri="{FF2B5EF4-FFF2-40B4-BE49-F238E27FC236}">
                  <a16:creationId xmlns:a16="http://schemas.microsoft.com/office/drawing/2014/main" id="{00000000-0008-0000-2700-0000CD816400}"/>
                </a:ext>
              </a:extLst>
            </xdr:cNvPr>
            <xdr:cNvSpPr/>
          </xdr:nvSpPr>
          <xdr:spPr>
            <a:xfrm>
              <a:off x="9704809" y="3451764"/>
              <a:ext cx="302217" cy="195422"/>
            </a:xfrm>
            <a:custGeom>
              <a:avLst/>
              <a:gdLst/>
              <a:ahLst/>
              <a:cxnLst/>
              <a:rect l="0" t="0" r="0" b="0"/>
              <a:pathLst>
                <a:path w="302217" h="195422">
                  <a:moveTo>
                    <a:pt x="284322" y="77784"/>
                  </a:moveTo>
                  <a:lnTo>
                    <a:pt x="260944" y="88598"/>
                  </a:lnTo>
                  <a:lnTo>
                    <a:pt x="233423" y="83249"/>
                  </a:lnTo>
                  <a:lnTo>
                    <a:pt x="196920" y="83233"/>
                  </a:lnTo>
                  <a:lnTo>
                    <a:pt x="185922" y="119345"/>
                  </a:lnTo>
                  <a:lnTo>
                    <a:pt x="173695" y="130385"/>
                  </a:lnTo>
                  <a:lnTo>
                    <a:pt x="157420" y="174543"/>
                  </a:lnTo>
                  <a:lnTo>
                    <a:pt x="131525" y="181312"/>
                  </a:lnTo>
                  <a:lnTo>
                    <a:pt x="101489" y="172412"/>
                  </a:lnTo>
                  <a:lnTo>
                    <a:pt x="86265" y="175197"/>
                  </a:lnTo>
                  <a:lnTo>
                    <a:pt x="67761" y="191253"/>
                  </a:lnTo>
                  <a:lnTo>
                    <a:pt x="47492" y="188964"/>
                  </a:lnTo>
                  <a:lnTo>
                    <a:pt x="27014" y="195421"/>
                  </a:lnTo>
                  <a:lnTo>
                    <a:pt x="5299" y="177483"/>
                  </a:lnTo>
                  <a:lnTo>
                    <a:pt x="0" y="156261"/>
                  </a:lnTo>
                  <a:lnTo>
                    <a:pt x="23266" y="167142"/>
                  </a:lnTo>
                  <a:lnTo>
                    <a:pt x="47803" y="161211"/>
                  </a:lnTo>
                  <a:lnTo>
                    <a:pt x="54191" y="134328"/>
                  </a:lnTo>
                  <a:lnTo>
                    <a:pt x="67742" y="128340"/>
                  </a:lnTo>
                  <a:lnTo>
                    <a:pt x="105801" y="121466"/>
                  </a:lnTo>
                  <a:lnTo>
                    <a:pt x="128575" y="96349"/>
                  </a:lnTo>
                  <a:lnTo>
                    <a:pt x="144168" y="76270"/>
                  </a:lnTo>
                  <a:lnTo>
                    <a:pt x="158633" y="92726"/>
                  </a:lnTo>
                  <a:lnTo>
                    <a:pt x="165300" y="81909"/>
                  </a:lnTo>
                  <a:lnTo>
                    <a:pt x="180474" y="82915"/>
                  </a:lnTo>
                  <a:lnTo>
                    <a:pt x="182321" y="62640"/>
                  </a:lnTo>
                  <a:lnTo>
                    <a:pt x="183750" y="47003"/>
                  </a:lnTo>
                  <a:lnTo>
                    <a:pt x="208198" y="24921"/>
                  </a:lnTo>
                  <a:lnTo>
                    <a:pt x="224212" y="105"/>
                  </a:lnTo>
                  <a:lnTo>
                    <a:pt x="237055" y="0"/>
                  </a:lnTo>
                  <a:lnTo>
                    <a:pt x="253369" y="16063"/>
                  </a:lnTo>
                  <a:lnTo>
                    <a:pt x="254820" y="29864"/>
                  </a:lnTo>
                  <a:lnTo>
                    <a:pt x="275730" y="38716"/>
                  </a:lnTo>
                  <a:lnTo>
                    <a:pt x="302216" y="48270"/>
                  </a:lnTo>
                  <a:lnTo>
                    <a:pt x="299955" y="60706"/>
                  </a:lnTo>
                  <a:lnTo>
                    <a:pt x="278651" y="62281"/>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6585760" name="MLI">
            <a:extLst>
              <a:ext uri="{FF2B5EF4-FFF2-40B4-BE49-F238E27FC236}">
                <a16:creationId xmlns:a16="http://schemas.microsoft.com/office/drawing/2014/main" id="{00000000-0008-0000-2700-0000A07D6400}"/>
              </a:ext>
            </a:extLst>
          </xdr:cNvPr>
          <xdr:cNvSpPr/>
        </xdr:nvSpPr>
        <xdr:spPr>
          <a:xfrm>
            <a:off x="5942617" y="2624788"/>
            <a:ext cx="522437" cy="472384"/>
          </a:xfrm>
          <a:custGeom>
            <a:avLst/>
            <a:gdLst/>
            <a:ahLst/>
            <a:cxnLst/>
            <a:rect l="0" t="0" r="0" b="0"/>
            <a:pathLst>
              <a:path w="522002" h="472384">
                <a:moveTo>
                  <a:pt x="0" y="328860"/>
                </a:moveTo>
                <a:lnTo>
                  <a:pt x="10687" y="323072"/>
                </a:lnTo>
                <a:lnTo>
                  <a:pt x="16024" y="304368"/>
                </a:lnTo>
                <a:lnTo>
                  <a:pt x="26089" y="303635"/>
                </a:lnTo>
                <a:lnTo>
                  <a:pt x="48259" y="312480"/>
                </a:lnTo>
                <a:lnTo>
                  <a:pt x="66166" y="306200"/>
                </a:lnTo>
                <a:lnTo>
                  <a:pt x="78438" y="308308"/>
                </a:lnTo>
                <a:lnTo>
                  <a:pt x="83204" y="301247"/>
                </a:lnTo>
                <a:lnTo>
                  <a:pt x="210601" y="300765"/>
                </a:lnTo>
                <a:lnTo>
                  <a:pt x="217662" y="278533"/>
                </a:lnTo>
                <a:lnTo>
                  <a:pt x="212163" y="274622"/>
                </a:lnTo>
                <a:lnTo>
                  <a:pt x="196840" y="137598"/>
                </a:lnTo>
                <a:lnTo>
                  <a:pt x="181514" y="571"/>
                </a:lnTo>
                <a:lnTo>
                  <a:pt x="230108" y="0"/>
                </a:lnTo>
                <a:lnTo>
                  <a:pt x="337207" y="69275"/>
                </a:lnTo>
                <a:lnTo>
                  <a:pt x="444309" y="138551"/>
                </a:lnTo>
                <a:lnTo>
                  <a:pt x="451859" y="153429"/>
                </a:lnTo>
                <a:lnTo>
                  <a:pt x="471627" y="162509"/>
                </a:lnTo>
                <a:lnTo>
                  <a:pt x="486330" y="167672"/>
                </a:lnTo>
                <a:lnTo>
                  <a:pt x="486692" y="187871"/>
                </a:lnTo>
                <a:lnTo>
                  <a:pt x="521912" y="184763"/>
                </a:lnTo>
                <a:lnTo>
                  <a:pt x="522001" y="257886"/>
                </a:lnTo>
                <a:lnTo>
                  <a:pt x="504640" y="279092"/>
                </a:lnTo>
                <a:lnTo>
                  <a:pt x="501939" y="298656"/>
                </a:lnTo>
                <a:lnTo>
                  <a:pt x="473735" y="303692"/>
                </a:lnTo>
                <a:lnTo>
                  <a:pt x="430412" y="306419"/>
                </a:lnTo>
                <a:lnTo>
                  <a:pt x="418674" y="317703"/>
                </a:lnTo>
                <a:lnTo>
                  <a:pt x="398326" y="318951"/>
                </a:lnTo>
                <a:lnTo>
                  <a:pt x="377968" y="319097"/>
                </a:lnTo>
                <a:lnTo>
                  <a:pt x="370042" y="313004"/>
                </a:lnTo>
                <a:lnTo>
                  <a:pt x="352564" y="317525"/>
                </a:lnTo>
                <a:lnTo>
                  <a:pt x="322891" y="330695"/>
                </a:lnTo>
                <a:lnTo>
                  <a:pt x="316833" y="340620"/>
                </a:lnTo>
                <a:lnTo>
                  <a:pt x="292198" y="354851"/>
                </a:lnTo>
                <a:lnTo>
                  <a:pt x="287880" y="363007"/>
                </a:lnTo>
                <a:lnTo>
                  <a:pt x="274574" y="369471"/>
                </a:lnTo>
                <a:lnTo>
                  <a:pt x="259219" y="365192"/>
                </a:lnTo>
                <a:lnTo>
                  <a:pt x="250520" y="372942"/>
                </a:lnTo>
                <a:lnTo>
                  <a:pt x="245859" y="394716"/>
                </a:lnTo>
                <a:lnTo>
                  <a:pt x="220659" y="421027"/>
                </a:lnTo>
                <a:lnTo>
                  <a:pt x="221392" y="431784"/>
                </a:lnTo>
                <a:lnTo>
                  <a:pt x="212731" y="445240"/>
                </a:lnTo>
                <a:lnTo>
                  <a:pt x="214836" y="463674"/>
                </a:lnTo>
                <a:lnTo>
                  <a:pt x="201736" y="468376"/>
                </a:lnTo>
                <a:lnTo>
                  <a:pt x="194319" y="472383"/>
                </a:lnTo>
                <a:lnTo>
                  <a:pt x="189407" y="458803"/>
                </a:lnTo>
                <a:lnTo>
                  <a:pt x="180238" y="462385"/>
                </a:lnTo>
                <a:lnTo>
                  <a:pt x="174761" y="461765"/>
                </a:lnTo>
                <a:lnTo>
                  <a:pt x="168919" y="471030"/>
                </a:lnTo>
                <a:lnTo>
                  <a:pt x="144399" y="470770"/>
                </a:lnTo>
                <a:lnTo>
                  <a:pt x="135610" y="466001"/>
                </a:lnTo>
                <a:lnTo>
                  <a:pt x="131473" y="468887"/>
                </a:lnTo>
                <a:lnTo>
                  <a:pt x="121774" y="459734"/>
                </a:lnTo>
                <a:lnTo>
                  <a:pt x="123456" y="450278"/>
                </a:lnTo>
                <a:lnTo>
                  <a:pt x="119491" y="446573"/>
                </a:lnTo>
                <a:lnTo>
                  <a:pt x="112728" y="449697"/>
                </a:lnTo>
                <a:lnTo>
                  <a:pt x="113966" y="439369"/>
                </a:lnTo>
                <a:lnTo>
                  <a:pt x="120475" y="431197"/>
                </a:lnTo>
                <a:lnTo>
                  <a:pt x="107464" y="417893"/>
                </a:lnTo>
                <a:lnTo>
                  <a:pt x="103679" y="409137"/>
                </a:lnTo>
                <a:lnTo>
                  <a:pt x="96624" y="402161"/>
                </a:lnTo>
                <a:lnTo>
                  <a:pt x="90271" y="401330"/>
                </a:lnTo>
                <a:lnTo>
                  <a:pt x="82642" y="405778"/>
                </a:lnTo>
                <a:lnTo>
                  <a:pt x="72383" y="410022"/>
                </a:lnTo>
                <a:lnTo>
                  <a:pt x="63677" y="416893"/>
                </a:lnTo>
                <a:lnTo>
                  <a:pt x="50088" y="414357"/>
                </a:lnTo>
                <a:lnTo>
                  <a:pt x="41275" y="406295"/>
                </a:lnTo>
                <a:lnTo>
                  <a:pt x="36011" y="405238"/>
                </a:lnTo>
                <a:lnTo>
                  <a:pt x="27724" y="409467"/>
                </a:lnTo>
                <a:lnTo>
                  <a:pt x="22688" y="409505"/>
                </a:lnTo>
                <a:lnTo>
                  <a:pt x="20856" y="397878"/>
                </a:lnTo>
                <a:lnTo>
                  <a:pt x="22317" y="387988"/>
                </a:lnTo>
                <a:lnTo>
                  <a:pt x="19602" y="375710"/>
                </a:lnTo>
                <a:lnTo>
                  <a:pt x="7718" y="366792"/>
                </a:lnTo>
                <a:lnTo>
                  <a:pt x="1457" y="34861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63" name="MRT">
            <a:extLst>
              <a:ext uri="{FF2B5EF4-FFF2-40B4-BE49-F238E27FC236}">
                <a16:creationId xmlns:a16="http://schemas.microsoft.com/office/drawing/2014/main" id="{00000000-0008-0000-2700-0000A37D6400}"/>
              </a:ext>
            </a:extLst>
          </xdr:cNvPr>
          <xdr:cNvSpPr/>
        </xdr:nvSpPr>
        <xdr:spPr>
          <a:xfrm>
            <a:off x="5787147" y="2547918"/>
            <a:ext cx="385771" cy="405731"/>
          </a:xfrm>
          <a:custGeom>
            <a:avLst/>
            <a:gdLst/>
            <a:ahLst/>
            <a:cxnLst/>
            <a:rect l="0" t="0" r="0" b="0"/>
            <a:pathLst>
              <a:path w="385450" h="405731">
                <a:moveTo>
                  <a:pt x="155341" y="405730"/>
                </a:moveTo>
                <a:lnTo>
                  <a:pt x="134389" y="383921"/>
                </a:lnTo>
                <a:lnTo>
                  <a:pt x="115180" y="360562"/>
                </a:lnTo>
                <a:lnTo>
                  <a:pt x="94104" y="352152"/>
                </a:lnTo>
                <a:lnTo>
                  <a:pt x="78934" y="342817"/>
                </a:lnTo>
                <a:lnTo>
                  <a:pt x="61205" y="343167"/>
                </a:lnTo>
                <a:lnTo>
                  <a:pt x="45711" y="350088"/>
                </a:lnTo>
                <a:lnTo>
                  <a:pt x="29931" y="347345"/>
                </a:lnTo>
                <a:lnTo>
                  <a:pt x="19060" y="357527"/>
                </a:lnTo>
                <a:lnTo>
                  <a:pt x="16311" y="340417"/>
                </a:lnTo>
                <a:lnTo>
                  <a:pt x="25172" y="324761"/>
                </a:lnTo>
                <a:lnTo>
                  <a:pt x="29118" y="294869"/>
                </a:lnTo>
                <a:lnTo>
                  <a:pt x="25607" y="263493"/>
                </a:lnTo>
                <a:lnTo>
                  <a:pt x="21772" y="247710"/>
                </a:lnTo>
                <a:lnTo>
                  <a:pt x="24943" y="231877"/>
                </a:lnTo>
                <a:lnTo>
                  <a:pt x="16736" y="216783"/>
                </a:lnTo>
                <a:lnTo>
                  <a:pt x="0" y="203070"/>
                </a:lnTo>
                <a:lnTo>
                  <a:pt x="6928" y="192481"/>
                </a:lnTo>
                <a:lnTo>
                  <a:pt x="131265" y="192678"/>
                </a:lnTo>
                <a:lnTo>
                  <a:pt x="125242" y="146828"/>
                </a:lnTo>
                <a:lnTo>
                  <a:pt x="133008" y="130521"/>
                </a:lnTo>
                <a:lnTo>
                  <a:pt x="162758" y="127670"/>
                </a:lnTo>
                <a:lnTo>
                  <a:pt x="161735" y="46428"/>
                </a:lnTo>
                <a:lnTo>
                  <a:pt x="265942" y="48089"/>
                </a:lnTo>
                <a:lnTo>
                  <a:pt x="266034" y="0"/>
                </a:lnTo>
                <a:lnTo>
                  <a:pt x="385449" y="76870"/>
                </a:lnTo>
                <a:lnTo>
                  <a:pt x="336855" y="77441"/>
                </a:lnTo>
                <a:lnTo>
                  <a:pt x="352181" y="214468"/>
                </a:lnTo>
                <a:lnTo>
                  <a:pt x="367504" y="351492"/>
                </a:lnTo>
                <a:lnTo>
                  <a:pt x="373003" y="355403"/>
                </a:lnTo>
                <a:lnTo>
                  <a:pt x="365942" y="377635"/>
                </a:lnTo>
                <a:lnTo>
                  <a:pt x="238545" y="378117"/>
                </a:lnTo>
                <a:lnTo>
                  <a:pt x="233779" y="385178"/>
                </a:lnTo>
                <a:lnTo>
                  <a:pt x="221507" y="383070"/>
                </a:lnTo>
                <a:lnTo>
                  <a:pt x="203600" y="389350"/>
                </a:lnTo>
                <a:lnTo>
                  <a:pt x="181430" y="380505"/>
                </a:lnTo>
                <a:lnTo>
                  <a:pt x="171365" y="381238"/>
                </a:lnTo>
                <a:lnTo>
                  <a:pt x="166028" y="39994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66" name="MEXICO">
            <a:extLst>
              <a:ext uri="{FF2B5EF4-FFF2-40B4-BE49-F238E27FC236}">
                <a16:creationId xmlns:a16="http://schemas.microsoft.com/office/drawing/2014/main" id="{00000000-0008-0000-2700-0000A67D6400}"/>
              </a:ext>
            </a:extLst>
          </xdr:cNvPr>
          <xdr:cNvSpPr/>
        </xdr:nvSpPr>
        <xdr:spPr>
          <a:xfrm>
            <a:off x="2607455" y="2378846"/>
            <a:ext cx="963330" cy="577279"/>
          </a:xfrm>
          <a:custGeom>
            <a:avLst/>
            <a:gdLst/>
            <a:ahLst/>
            <a:cxnLst/>
            <a:rect l="0" t="0" r="0" b="0"/>
            <a:pathLst>
              <a:path w="962528" h="577279">
                <a:moveTo>
                  <a:pt x="634612" y="217513"/>
                </a:moveTo>
                <a:lnTo>
                  <a:pt x="622290" y="245386"/>
                </a:lnTo>
                <a:lnTo>
                  <a:pt x="616740" y="268240"/>
                </a:lnTo>
                <a:lnTo>
                  <a:pt x="614419" y="310775"/>
                </a:lnTo>
                <a:lnTo>
                  <a:pt x="611359" y="326282"/>
                </a:lnTo>
                <a:lnTo>
                  <a:pt x="616864" y="343602"/>
                </a:lnTo>
                <a:lnTo>
                  <a:pt x="626707" y="359086"/>
                </a:lnTo>
                <a:lnTo>
                  <a:pt x="633047" y="383711"/>
                </a:lnTo>
                <a:lnTo>
                  <a:pt x="654120" y="407349"/>
                </a:lnTo>
                <a:lnTo>
                  <a:pt x="661533" y="425463"/>
                </a:lnTo>
                <a:lnTo>
                  <a:pt x="673954" y="441096"/>
                </a:lnTo>
                <a:lnTo>
                  <a:pt x="707666" y="449520"/>
                </a:lnTo>
                <a:lnTo>
                  <a:pt x="720791" y="462801"/>
                </a:lnTo>
                <a:lnTo>
                  <a:pt x="748636" y="453930"/>
                </a:lnTo>
                <a:lnTo>
                  <a:pt x="772849" y="450723"/>
                </a:lnTo>
                <a:lnTo>
                  <a:pt x="796623" y="445014"/>
                </a:lnTo>
                <a:lnTo>
                  <a:pt x="816607" y="439569"/>
                </a:lnTo>
                <a:lnTo>
                  <a:pt x="836800" y="426615"/>
                </a:lnTo>
                <a:lnTo>
                  <a:pt x="844366" y="408095"/>
                </a:lnTo>
                <a:lnTo>
                  <a:pt x="846972" y="381422"/>
                </a:lnTo>
                <a:lnTo>
                  <a:pt x="852462" y="372139"/>
                </a:lnTo>
                <a:lnTo>
                  <a:pt x="873966" y="363826"/>
                </a:lnTo>
                <a:lnTo>
                  <a:pt x="907539" y="356460"/>
                </a:lnTo>
                <a:lnTo>
                  <a:pt x="935653" y="357568"/>
                </a:lnTo>
                <a:lnTo>
                  <a:pt x="954910" y="354879"/>
                </a:lnTo>
                <a:lnTo>
                  <a:pt x="962527" y="361610"/>
                </a:lnTo>
                <a:lnTo>
                  <a:pt x="961450" y="376901"/>
                </a:lnTo>
                <a:lnTo>
                  <a:pt x="944388" y="395776"/>
                </a:lnTo>
                <a:lnTo>
                  <a:pt x="936837" y="415106"/>
                </a:lnTo>
                <a:lnTo>
                  <a:pt x="942689" y="420637"/>
                </a:lnTo>
                <a:lnTo>
                  <a:pt x="937933" y="434362"/>
                </a:lnTo>
                <a:lnTo>
                  <a:pt x="929977" y="459137"/>
                </a:lnTo>
                <a:lnTo>
                  <a:pt x="921928" y="450983"/>
                </a:lnTo>
                <a:lnTo>
                  <a:pt x="915283" y="451510"/>
                </a:lnTo>
                <a:lnTo>
                  <a:pt x="909247" y="451930"/>
                </a:lnTo>
                <a:lnTo>
                  <a:pt x="897874" y="471094"/>
                </a:lnTo>
                <a:lnTo>
                  <a:pt x="892108" y="467338"/>
                </a:lnTo>
                <a:lnTo>
                  <a:pt x="888266" y="468798"/>
                </a:lnTo>
                <a:lnTo>
                  <a:pt x="888514" y="473472"/>
                </a:lnTo>
                <a:lnTo>
                  <a:pt x="859152" y="473123"/>
                </a:lnTo>
                <a:lnTo>
                  <a:pt x="829510" y="473177"/>
                </a:lnTo>
                <a:lnTo>
                  <a:pt x="829485" y="491049"/>
                </a:lnTo>
                <a:lnTo>
                  <a:pt x="815146" y="491128"/>
                </a:lnTo>
                <a:lnTo>
                  <a:pt x="826963" y="501723"/>
                </a:lnTo>
                <a:lnTo>
                  <a:pt x="838708" y="509057"/>
                </a:lnTo>
                <a:lnTo>
                  <a:pt x="842232" y="515937"/>
                </a:lnTo>
                <a:lnTo>
                  <a:pt x="847372" y="517865"/>
                </a:lnTo>
                <a:lnTo>
                  <a:pt x="846560" y="528676"/>
                </a:lnTo>
                <a:lnTo>
                  <a:pt x="805809" y="528771"/>
                </a:lnTo>
                <a:lnTo>
                  <a:pt x="790530" y="554654"/>
                </a:lnTo>
                <a:lnTo>
                  <a:pt x="795039" y="560584"/>
                </a:lnTo>
                <a:lnTo>
                  <a:pt x="791356" y="568030"/>
                </a:lnTo>
                <a:lnTo>
                  <a:pt x="790575" y="577278"/>
                </a:lnTo>
                <a:lnTo>
                  <a:pt x="754643" y="543096"/>
                </a:lnTo>
                <a:lnTo>
                  <a:pt x="738270" y="532784"/>
                </a:lnTo>
                <a:lnTo>
                  <a:pt x="712346" y="524504"/>
                </a:lnTo>
                <a:lnTo>
                  <a:pt x="694614" y="526812"/>
                </a:lnTo>
                <a:lnTo>
                  <a:pt x="669112" y="538756"/>
                </a:lnTo>
                <a:lnTo>
                  <a:pt x="653110" y="541887"/>
                </a:lnTo>
                <a:lnTo>
                  <a:pt x="630688" y="533518"/>
                </a:lnTo>
                <a:lnTo>
                  <a:pt x="606895" y="527479"/>
                </a:lnTo>
                <a:lnTo>
                  <a:pt x="577218" y="512915"/>
                </a:lnTo>
                <a:lnTo>
                  <a:pt x="553415" y="508464"/>
                </a:lnTo>
                <a:lnTo>
                  <a:pt x="517471" y="493703"/>
                </a:lnTo>
                <a:lnTo>
                  <a:pt x="490909" y="478530"/>
                </a:lnTo>
                <a:lnTo>
                  <a:pt x="482895" y="470049"/>
                </a:lnTo>
                <a:lnTo>
                  <a:pt x="465128" y="468154"/>
                </a:lnTo>
                <a:lnTo>
                  <a:pt x="432651" y="458105"/>
                </a:lnTo>
                <a:lnTo>
                  <a:pt x="419427" y="443617"/>
                </a:lnTo>
                <a:lnTo>
                  <a:pt x="385312" y="425599"/>
                </a:lnTo>
                <a:lnTo>
                  <a:pt x="369405" y="405574"/>
                </a:lnTo>
                <a:lnTo>
                  <a:pt x="361835" y="390103"/>
                </a:lnTo>
                <a:lnTo>
                  <a:pt x="372427" y="387004"/>
                </a:lnTo>
                <a:lnTo>
                  <a:pt x="369160" y="377949"/>
                </a:lnTo>
                <a:lnTo>
                  <a:pt x="376460" y="369713"/>
                </a:lnTo>
                <a:lnTo>
                  <a:pt x="376618" y="358734"/>
                </a:lnTo>
                <a:lnTo>
                  <a:pt x="365906" y="344478"/>
                </a:lnTo>
                <a:lnTo>
                  <a:pt x="363042" y="331842"/>
                </a:lnTo>
                <a:lnTo>
                  <a:pt x="352396" y="315817"/>
                </a:lnTo>
                <a:lnTo>
                  <a:pt x="324415" y="284258"/>
                </a:lnTo>
                <a:lnTo>
                  <a:pt x="292494" y="259458"/>
                </a:lnTo>
                <a:lnTo>
                  <a:pt x="277047" y="239665"/>
                </a:lnTo>
                <a:lnTo>
                  <a:pt x="249796" y="226701"/>
                </a:lnTo>
                <a:lnTo>
                  <a:pt x="243957" y="218945"/>
                </a:lnTo>
                <a:lnTo>
                  <a:pt x="248799" y="199323"/>
                </a:lnTo>
                <a:lnTo>
                  <a:pt x="232610" y="191916"/>
                </a:lnTo>
                <a:lnTo>
                  <a:pt x="213871" y="176489"/>
                </a:lnTo>
                <a:lnTo>
                  <a:pt x="205956" y="154334"/>
                </a:lnTo>
                <a:lnTo>
                  <a:pt x="188877" y="151752"/>
                </a:lnTo>
                <a:lnTo>
                  <a:pt x="170440" y="135026"/>
                </a:lnTo>
                <a:lnTo>
                  <a:pt x="155562" y="119583"/>
                </a:lnTo>
                <a:lnTo>
                  <a:pt x="154178" y="109665"/>
                </a:lnTo>
                <a:lnTo>
                  <a:pt x="137103" y="85715"/>
                </a:lnTo>
                <a:lnTo>
                  <a:pt x="125857" y="61401"/>
                </a:lnTo>
                <a:lnTo>
                  <a:pt x="126336" y="49206"/>
                </a:lnTo>
                <a:lnTo>
                  <a:pt x="103375" y="36614"/>
                </a:lnTo>
                <a:lnTo>
                  <a:pt x="92777" y="37998"/>
                </a:lnTo>
                <a:lnTo>
                  <a:pt x="74654" y="29251"/>
                </a:lnTo>
                <a:lnTo>
                  <a:pt x="69567" y="42142"/>
                </a:lnTo>
                <a:lnTo>
                  <a:pt x="74822" y="57379"/>
                </a:lnTo>
                <a:lnTo>
                  <a:pt x="77911" y="81220"/>
                </a:lnTo>
                <a:lnTo>
                  <a:pt x="88798" y="94310"/>
                </a:lnTo>
                <a:lnTo>
                  <a:pt x="112360" y="116180"/>
                </a:lnTo>
                <a:lnTo>
                  <a:pt x="117592" y="123654"/>
                </a:lnTo>
                <a:lnTo>
                  <a:pt x="122422" y="125921"/>
                </a:lnTo>
                <a:lnTo>
                  <a:pt x="126612" y="136827"/>
                </a:lnTo>
                <a:lnTo>
                  <a:pt x="132255" y="136385"/>
                </a:lnTo>
                <a:lnTo>
                  <a:pt x="138627" y="156864"/>
                </a:lnTo>
                <a:lnTo>
                  <a:pt x="148269" y="164941"/>
                </a:lnTo>
                <a:lnTo>
                  <a:pt x="155029" y="176184"/>
                </a:lnTo>
                <a:lnTo>
                  <a:pt x="174984" y="192342"/>
                </a:lnTo>
                <a:lnTo>
                  <a:pt x="185518" y="221875"/>
                </a:lnTo>
                <a:lnTo>
                  <a:pt x="194945" y="235782"/>
                </a:lnTo>
                <a:lnTo>
                  <a:pt x="203765" y="250660"/>
                </a:lnTo>
                <a:lnTo>
                  <a:pt x="205511" y="267405"/>
                </a:lnTo>
                <a:lnTo>
                  <a:pt x="220818" y="268456"/>
                </a:lnTo>
                <a:lnTo>
                  <a:pt x="233553" y="282880"/>
                </a:lnTo>
                <a:lnTo>
                  <a:pt x="245069" y="297056"/>
                </a:lnTo>
                <a:lnTo>
                  <a:pt x="244297" y="302743"/>
                </a:lnTo>
                <a:lnTo>
                  <a:pt x="230937" y="314404"/>
                </a:lnTo>
                <a:lnTo>
                  <a:pt x="225310" y="314252"/>
                </a:lnTo>
                <a:lnTo>
                  <a:pt x="216938" y="294951"/>
                </a:lnTo>
                <a:lnTo>
                  <a:pt x="196161" y="276854"/>
                </a:lnTo>
                <a:lnTo>
                  <a:pt x="173266" y="261506"/>
                </a:lnTo>
                <a:lnTo>
                  <a:pt x="157029" y="253441"/>
                </a:lnTo>
                <a:lnTo>
                  <a:pt x="158077" y="230210"/>
                </a:lnTo>
                <a:lnTo>
                  <a:pt x="153260" y="213004"/>
                </a:lnTo>
                <a:lnTo>
                  <a:pt x="138128" y="203162"/>
                </a:lnTo>
                <a:lnTo>
                  <a:pt x="116303" y="188995"/>
                </a:lnTo>
                <a:lnTo>
                  <a:pt x="112112" y="193081"/>
                </a:lnTo>
                <a:lnTo>
                  <a:pt x="104105" y="184807"/>
                </a:lnTo>
                <a:lnTo>
                  <a:pt x="84522" y="177124"/>
                </a:lnTo>
                <a:lnTo>
                  <a:pt x="65808" y="158690"/>
                </a:lnTo>
                <a:lnTo>
                  <a:pt x="68119" y="156293"/>
                </a:lnTo>
                <a:lnTo>
                  <a:pt x="81197" y="158093"/>
                </a:lnTo>
                <a:lnTo>
                  <a:pt x="92980" y="146234"/>
                </a:lnTo>
                <a:lnTo>
                  <a:pt x="94164" y="131912"/>
                </a:lnTo>
                <a:lnTo>
                  <a:pt x="69723" y="109261"/>
                </a:lnTo>
                <a:lnTo>
                  <a:pt x="51089" y="100470"/>
                </a:lnTo>
                <a:lnTo>
                  <a:pt x="39382" y="80645"/>
                </a:lnTo>
                <a:lnTo>
                  <a:pt x="27603" y="59827"/>
                </a:lnTo>
                <a:lnTo>
                  <a:pt x="12900" y="34452"/>
                </a:lnTo>
                <a:lnTo>
                  <a:pt x="0" y="5890"/>
                </a:lnTo>
                <a:lnTo>
                  <a:pt x="36081" y="3442"/>
                </a:lnTo>
                <a:lnTo>
                  <a:pt x="76403" y="0"/>
                </a:lnTo>
                <a:lnTo>
                  <a:pt x="73431" y="6207"/>
                </a:lnTo>
                <a:lnTo>
                  <a:pt x="121374" y="21644"/>
                </a:lnTo>
                <a:lnTo>
                  <a:pt x="193808" y="44009"/>
                </a:lnTo>
                <a:lnTo>
                  <a:pt x="256946" y="43780"/>
                </a:lnTo>
                <a:lnTo>
                  <a:pt x="282127" y="43771"/>
                </a:lnTo>
                <a:lnTo>
                  <a:pt x="282187" y="30667"/>
                </a:lnTo>
                <a:lnTo>
                  <a:pt x="337191" y="30680"/>
                </a:lnTo>
                <a:lnTo>
                  <a:pt x="348770" y="41935"/>
                </a:lnTo>
                <a:lnTo>
                  <a:pt x="365004" y="51975"/>
                </a:lnTo>
                <a:lnTo>
                  <a:pt x="383870" y="65938"/>
                </a:lnTo>
                <a:lnTo>
                  <a:pt x="394402" y="82521"/>
                </a:lnTo>
                <a:lnTo>
                  <a:pt x="402298" y="99974"/>
                </a:lnTo>
                <a:lnTo>
                  <a:pt x="418712" y="109563"/>
                </a:lnTo>
                <a:lnTo>
                  <a:pt x="445065" y="119088"/>
                </a:lnTo>
                <a:lnTo>
                  <a:pt x="465068" y="94005"/>
                </a:lnTo>
                <a:lnTo>
                  <a:pt x="491026" y="93393"/>
                </a:lnTo>
                <a:lnTo>
                  <a:pt x="513404" y="106048"/>
                </a:lnTo>
                <a:lnTo>
                  <a:pt x="529336" y="127784"/>
                </a:lnTo>
                <a:lnTo>
                  <a:pt x="540315" y="146393"/>
                </a:lnTo>
                <a:lnTo>
                  <a:pt x="559047" y="164491"/>
                </a:lnTo>
                <a:lnTo>
                  <a:pt x="566033" y="186716"/>
                </a:lnTo>
                <a:lnTo>
                  <a:pt x="574922" y="201638"/>
                </a:lnTo>
                <a:lnTo>
                  <a:pt x="599687" y="211480"/>
                </a:lnTo>
                <a:lnTo>
                  <a:pt x="622230" y="218466"/>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67" name="MDA">
            <a:extLst>
              <a:ext uri="{FF2B5EF4-FFF2-40B4-BE49-F238E27FC236}">
                <a16:creationId xmlns:a16="http://schemas.microsoft.com/office/drawing/2014/main" id="{00000000-0008-0000-2700-0000A77D6400}"/>
              </a:ext>
            </a:extLst>
          </xdr:cNvPr>
          <xdr:cNvSpPr/>
        </xdr:nvSpPr>
        <xdr:spPr>
          <a:xfrm>
            <a:off x="7175229" y="1878901"/>
            <a:ext cx="108212" cy="94578"/>
          </a:xfrm>
          <a:custGeom>
            <a:avLst/>
            <a:gdLst/>
            <a:ahLst/>
            <a:cxnLst/>
            <a:rect l="0" t="0" r="0" b="0"/>
            <a:pathLst>
              <a:path w="108122" h="94578">
                <a:moveTo>
                  <a:pt x="0" y="7823"/>
                </a:moveTo>
                <a:lnTo>
                  <a:pt x="7571" y="3140"/>
                </a:lnTo>
                <a:lnTo>
                  <a:pt x="28676" y="0"/>
                </a:lnTo>
                <a:lnTo>
                  <a:pt x="52076" y="9890"/>
                </a:lnTo>
                <a:lnTo>
                  <a:pt x="65138" y="11081"/>
                </a:lnTo>
                <a:lnTo>
                  <a:pt x="79482" y="19622"/>
                </a:lnTo>
                <a:lnTo>
                  <a:pt x="77203" y="30382"/>
                </a:lnTo>
                <a:lnTo>
                  <a:pt x="88766" y="35576"/>
                </a:lnTo>
                <a:lnTo>
                  <a:pt x="93357" y="48847"/>
                </a:lnTo>
                <a:lnTo>
                  <a:pt x="104444" y="56918"/>
                </a:lnTo>
                <a:lnTo>
                  <a:pt x="102200" y="61652"/>
                </a:lnTo>
                <a:lnTo>
                  <a:pt x="108121" y="64872"/>
                </a:lnTo>
                <a:lnTo>
                  <a:pt x="99717" y="67218"/>
                </a:lnTo>
                <a:lnTo>
                  <a:pt x="81006" y="66288"/>
                </a:lnTo>
                <a:lnTo>
                  <a:pt x="77876" y="61893"/>
                </a:lnTo>
                <a:lnTo>
                  <a:pt x="71236" y="64427"/>
                </a:lnTo>
                <a:lnTo>
                  <a:pt x="73481" y="70113"/>
                </a:lnTo>
                <a:lnTo>
                  <a:pt x="64792" y="80236"/>
                </a:lnTo>
                <a:lnTo>
                  <a:pt x="59245" y="91129"/>
                </a:lnTo>
                <a:lnTo>
                  <a:pt x="51253" y="94577"/>
                </a:lnTo>
                <a:lnTo>
                  <a:pt x="45564" y="80089"/>
                </a:lnTo>
                <a:lnTo>
                  <a:pt x="48917" y="66532"/>
                </a:lnTo>
                <a:lnTo>
                  <a:pt x="47901" y="52597"/>
                </a:lnTo>
                <a:lnTo>
                  <a:pt x="29587" y="33719"/>
                </a:lnTo>
                <a:lnTo>
                  <a:pt x="19513" y="20329"/>
                </a:lnTo>
                <a:lnTo>
                  <a:pt x="9680" y="10916"/>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68" name="MNG">
            <a:extLst>
              <a:ext uri="{FF2B5EF4-FFF2-40B4-BE49-F238E27FC236}">
                <a16:creationId xmlns:a16="http://schemas.microsoft.com/office/drawing/2014/main" id="{00000000-0008-0000-2700-0000A87D6400}"/>
              </a:ext>
            </a:extLst>
          </xdr:cNvPr>
          <xdr:cNvSpPr/>
        </xdr:nvSpPr>
        <xdr:spPr>
          <a:xfrm>
            <a:off x="9117787" y="1765226"/>
            <a:ext cx="1017531" cy="331789"/>
          </a:xfrm>
          <a:custGeom>
            <a:avLst/>
            <a:gdLst/>
            <a:ahLst/>
            <a:cxnLst/>
            <a:rect l="0" t="0" r="0" b="0"/>
            <a:pathLst>
              <a:path w="1016684" h="331789">
                <a:moveTo>
                  <a:pt x="0" y="87319"/>
                </a:moveTo>
                <a:lnTo>
                  <a:pt x="33474" y="81817"/>
                </a:lnTo>
                <a:lnTo>
                  <a:pt x="94056" y="54471"/>
                </a:lnTo>
                <a:lnTo>
                  <a:pt x="142348" y="39536"/>
                </a:lnTo>
                <a:lnTo>
                  <a:pt x="169955" y="49280"/>
                </a:lnTo>
                <a:lnTo>
                  <a:pt x="203083" y="49750"/>
                </a:lnTo>
                <a:lnTo>
                  <a:pt x="224301" y="64580"/>
                </a:lnTo>
                <a:lnTo>
                  <a:pt x="255991" y="65720"/>
                </a:lnTo>
                <a:lnTo>
                  <a:pt x="301892" y="73702"/>
                </a:lnTo>
                <a:lnTo>
                  <a:pt x="332757" y="51594"/>
                </a:lnTo>
                <a:lnTo>
                  <a:pt x="319863" y="32906"/>
                </a:lnTo>
                <a:lnTo>
                  <a:pt x="352749" y="0"/>
                </a:lnTo>
                <a:lnTo>
                  <a:pt x="388315" y="13126"/>
                </a:lnTo>
                <a:lnTo>
                  <a:pt x="417138" y="16844"/>
                </a:lnTo>
                <a:lnTo>
                  <a:pt x="454467" y="25004"/>
                </a:lnTo>
                <a:lnTo>
                  <a:pt x="460522" y="48794"/>
                </a:lnTo>
                <a:lnTo>
                  <a:pt x="505625" y="62148"/>
                </a:lnTo>
                <a:lnTo>
                  <a:pt x="535633" y="56265"/>
                </a:lnTo>
                <a:lnTo>
                  <a:pt x="575796" y="52115"/>
                </a:lnTo>
                <a:lnTo>
                  <a:pt x="607616" y="56296"/>
                </a:lnTo>
                <a:lnTo>
                  <a:pt x="638711" y="71555"/>
                </a:lnTo>
                <a:lnTo>
                  <a:pt x="657984" y="87786"/>
                </a:lnTo>
                <a:lnTo>
                  <a:pt x="687422" y="87453"/>
                </a:lnTo>
                <a:lnTo>
                  <a:pt x="727415" y="92625"/>
                </a:lnTo>
                <a:lnTo>
                  <a:pt x="756600" y="84754"/>
                </a:lnTo>
                <a:lnTo>
                  <a:pt x="798399" y="79496"/>
                </a:lnTo>
                <a:lnTo>
                  <a:pt x="844906" y="57122"/>
                </a:lnTo>
                <a:lnTo>
                  <a:pt x="863943" y="60554"/>
                </a:lnTo>
                <a:lnTo>
                  <a:pt x="880567" y="71190"/>
                </a:lnTo>
                <a:lnTo>
                  <a:pt x="918449" y="68545"/>
                </a:lnTo>
                <a:lnTo>
                  <a:pt x="902986" y="92482"/>
                </a:lnTo>
                <a:lnTo>
                  <a:pt x="880555" y="124206"/>
                </a:lnTo>
                <a:lnTo>
                  <a:pt x="888730" y="137189"/>
                </a:lnTo>
                <a:lnTo>
                  <a:pt x="906708" y="133160"/>
                </a:lnTo>
                <a:lnTo>
                  <a:pt x="938029" y="138103"/>
                </a:lnTo>
                <a:lnTo>
                  <a:pt x="962432" y="126388"/>
                </a:lnTo>
                <a:lnTo>
                  <a:pt x="987911" y="136535"/>
                </a:lnTo>
                <a:lnTo>
                  <a:pt x="1016683" y="158728"/>
                </a:lnTo>
                <a:lnTo>
                  <a:pt x="1013206" y="170012"/>
                </a:lnTo>
                <a:lnTo>
                  <a:pt x="988155" y="166434"/>
                </a:lnTo>
                <a:lnTo>
                  <a:pt x="942036" y="170647"/>
                </a:lnTo>
                <a:lnTo>
                  <a:pt x="919690" y="179680"/>
                </a:lnTo>
                <a:lnTo>
                  <a:pt x="896424" y="200667"/>
                </a:lnTo>
                <a:lnTo>
                  <a:pt x="848011" y="212967"/>
                </a:lnTo>
                <a:lnTo>
                  <a:pt x="816375" y="229823"/>
                </a:lnTo>
                <a:lnTo>
                  <a:pt x="783743" y="223387"/>
                </a:lnTo>
                <a:lnTo>
                  <a:pt x="765873" y="220514"/>
                </a:lnTo>
                <a:lnTo>
                  <a:pt x="749208" y="240983"/>
                </a:lnTo>
                <a:lnTo>
                  <a:pt x="759346" y="253181"/>
                </a:lnTo>
                <a:lnTo>
                  <a:pt x="764486" y="263662"/>
                </a:lnTo>
                <a:lnTo>
                  <a:pt x="742265" y="274340"/>
                </a:lnTo>
                <a:lnTo>
                  <a:pt x="719481" y="291345"/>
                </a:lnTo>
                <a:lnTo>
                  <a:pt x="682381" y="302515"/>
                </a:lnTo>
                <a:lnTo>
                  <a:pt x="634794" y="303718"/>
                </a:lnTo>
                <a:lnTo>
                  <a:pt x="583502" y="314741"/>
                </a:lnTo>
                <a:lnTo>
                  <a:pt x="546535" y="331788"/>
                </a:lnTo>
                <a:lnTo>
                  <a:pt x="532479" y="321917"/>
                </a:lnTo>
                <a:lnTo>
                  <a:pt x="494062" y="321942"/>
                </a:lnTo>
                <a:lnTo>
                  <a:pt x="447094" y="302657"/>
                </a:lnTo>
                <a:lnTo>
                  <a:pt x="415754" y="297930"/>
                </a:lnTo>
                <a:lnTo>
                  <a:pt x="373523" y="302346"/>
                </a:lnTo>
                <a:lnTo>
                  <a:pt x="307991" y="295228"/>
                </a:lnTo>
                <a:lnTo>
                  <a:pt x="272990" y="295968"/>
                </a:lnTo>
                <a:lnTo>
                  <a:pt x="254356" y="277115"/>
                </a:lnTo>
                <a:lnTo>
                  <a:pt x="239891" y="247844"/>
                </a:lnTo>
                <a:lnTo>
                  <a:pt x="220269" y="244320"/>
                </a:lnTo>
                <a:lnTo>
                  <a:pt x="181908" y="224533"/>
                </a:lnTo>
                <a:lnTo>
                  <a:pt x="139148" y="220101"/>
                </a:lnTo>
                <a:lnTo>
                  <a:pt x="101416" y="214672"/>
                </a:lnTo>
                <a:lnTo>
                  <a:pt x="89995" y="200905"/>
                </a:lnTo>
                <a:lnTo>
                  <a:pt x="102219" y="163808"/>
                </a:lnTo>
                <a:lnTo>
                  <a:pt x="80312" y="138237"/>
                </a:lnTo>
                <a:lnTo>
                  <a:pt x="35020" y="126312"/>
                </a:lnTo>
                <a:lnTo>
                  <a:pt x="8334" y="109471"/>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69" name="MNE">
            <a:extLst>
              <a:ext uri="{FF2B5EF4-FFF2-40B4-BE49-F238E27FC236}">
                <a16:creationId xmlns:a16="http://schemas.microsoft.com/office/drawing/2014/main" id="{00000000-0008-0000-2700-0000A97D6400}"/>
              </a:ext>
            </a:extLst>
          </xdr:cNvPr>
          <xdr:cNvSpPr/>
        </xdr:nvSpPr>
        <xdr:spPr>
          <a:xfrm>
            <a:off x="6915637" y="2035851"/>
            <a:ext cx="60052" cy="52271"/>
          </a:xfrm>
          <a:custGeom>
            <a:avLst/>
            <a:gdLst/>
            <a:ahLst/>
            <a:cxnLst/>
            <a:rect l="0" t="0" r="0" b="0"/>
            <a:pathLst>
              <a:path w="60002" h="52271">
                <a:moveTo>
                  <a:pt x="42914" y="32502"/>
                </a:moveTo>
                <a:lnTo>
                  <a:pt x="40898" y="26530"/>
                </a:lnTo>
                <a:lnTo>
                  <a:pt x="27130" y="42167"/>
                </a:lnTo>
                <a:lnTo>
                  <a:pt x="29267" y="52270"/>
                </a:lnTo>
                <a:lnTo>
                  <a:pt x="22622" y="49809"/>
                </a:lnTo>
                <a:lnTo>
                  <a:pt x="13719" y="39443"/>
                </a:lnTo>
                <a:lnTo>
                  <a:pt x="0" y="33140"/>
                </a:lnTo>
                <a:lnTo>
                  <a:pt x="3493" y="27743"/>
                </a:lnTo>
                <a:lnTo>
                  <a:pt x="8144" y="10277"/>
                </a:lnTo>
                <a:lnTo>
                  <a:pt x="18466" y="2898"/>
                </a:lnTo>
                <a:lnTo>
                  <a:pt x="24400" y="0"/>
                </a:lnTo>
                <a:lnTo>
                  <a:pt x="32827" y="5445"/>
                </a:lnTo>
                <a:lnTo>
                  <a:pt x="37465" y="9842"/>
                </a:lnTo>
                <a:lnTo>
                  <a:pt x="47898" y="13265"/>
                </a:lnTo>
                <a:lnTo>
                  <a:pt x="60001" y="19853"/>
                </a:lnTo>
                <a:lnTo>
                  <a:pt x="57391" y="22574"/>
                </a:lnTo>
                <a:lnTo>
                  <a:pt x="51457" y="2969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70" name="MAR">
            <a:extLst>
              <a:ext uri="{FF2B5EF4-FFF2-40B4-BE49-F238E27FC236}">
                <a16:creationId xmlns:a16="http://schemas.microsoft.com/office/drawing/2014/main" id="{00000000-0008-0000-2700-0000AA7D6400}"/>
              </a:ext>
            </a:extLst>
          </xdr:cNvPr>
          <xdr:cNvSpPr/>
        </xdr:nvSpPr>
        <xdr:spPr>
          <a:xfrm>
            <a:off x="5788514" y="2282351"/>
            <a:ext cx="505114" cy="455274"/>
          </a:xfrm>
          <a:custGeom>
            <a:avLst/>
            <a:gdLst/>
            <a:ahLst/>
            <a:cxnLst/>
            <a:rect l="0" t="0" r="0" b="0"/>
            <a:pathLst>
              <a:path w="504693" h="455274">
                <a:moveTo>
                  <a:pt x="375491" y="153"/>
                </a:moveTo>
                <a:lnTo>
                  <a:pt x="394633" y="13631"/>
                </a:lnTo>
                <a:lnTo>
                  <a:pt x="424824" y="11434"/>
                </a:lnTo>
                <a:lnTo>
                  <a:pt x="457711" y="18444"/>
                </a:lnTo>
                <a:lnTo>
                  <a:pt x="471503" y="18784"/>
                </a:lnTo>
                <a:lnTo>
                  <a:pt x="483470" y="39120"/>
                </a:lnTo>
                <a:lnTo>
                  <a:pt x="485359" y="58430"/>
                </a:lnTo>
                <a:lnTo>
                  <a:pt x="496328" y="91948"/>
                </a:lnTo>
                <a:lnTo>
                  <a:pt x="504692" y="98695"/>
                </a:lnTo>
                <a:lnTo>
                  <a:pt x="498872" y="111033"/>
                </a:lnTo>
                <a:lnTo>
                  <a:pt x="457320" y="116386"/>
                </a:lnTo>
                <a:lnTo>
                  <a:pt x="442957" y="128128"/>
                </a:lnTo>
                <a:lnTo>
                  <a:pt x="424589" y="130896"/>
                </a:lnTo>
                <a:lnTo>
                  <a:pt x="423227" y="154401"/>
                </a:lnTo>
                <a:lnTo>
                  <a:pt x="386105" y="166967"/>
                </a:lnTo>
                <a:lnTo>
                  <a:pt x="373961" y="182868"/>
                </a:lnTo>
                <a:lnTo>
                  <a:pt x="347974" y="191399"/>
                </a:lnTo>
                <a:lnTo>
                  <a:pt x="316268" y="196241"/>
                </a:lnTo>
                <a:lnTo>
                  <a:pt x="264995" y="219669"/>
                </a:lnTo>
                <a:lnTo>
                  <a:pt x="265265" y="257290"/>
                </a:lnTo>
                <a:lnTo>
                  <a:pt x="260432" y="257290"/>
                </a:lnTo>
                <a:lnTo>
                  <a:pt x="260432" y="257290"/>
                </a:lnTo>
                <a:lnTo>
                  <a:pt x="261160" y="274298"/>
                </a:lnTo>
                <a:lnTo>
                  <a:pt x="241535" y="275320"/>
                </a:lnTo>
                <a:lnTo>
                  <a:pt x="231302" y="282547"/>
                </a:lnTo>
                <a:lnTo>
                  <a:pt x="216884" y="282547"/>
                </a:lnTo>
                <a:lnTo>
                  <a:pt x="205394" y="278423"/>
                </a:lnTo>
                <a:lnTo>
                  <a:pt x="178682" y="281832"/>
                </a:lnTo>
                <a:lnTo>
                  <a:pt x="168345" y="306575"/>
                </a:lnTo>
                <a:lnTo>
                  <a:pt x="158420" y="308899"/>
                </a:lnTo>
                <a:lnTo>
                  <a:pt x="143491" y="348930"/>
                </a:lnTo>
                <a:lnTo>
                  <a:pt x="99355" y="383191"/>
                </a:lnTo>
                <a:lnTo>
                  <a:pt x="88874" y="427032"/>
                </a:lnTo>
                <a:lnTo>
                  <a:pt x="75870" y="441297"/>
                </a:lnTo>
                <a:lnTo>
                  <a:pt x="72053" y="452736"/>
                </a:lnTo>
                <a:lnTo>
                  <a:pt x="552" y="455273"/>
                </a:lnTo>
                <a:lnTo>
                  <a:pt x="0" y="455222"/>
                </a:lnTo>
                <a:lnTo>
                  <a:pt x="1498" y="440509"/>
                </a:lnTo>
                <a:lnTo>
                  <a:pt x="13694" y="431858"/>
                </a:lnTo>
                <a:lnTo>
                  <a:pt x="24082" y="415313"/>
                </a:lnTo>
                <a:lnTo>
                  <a:pt x="22034" y="404565"/>
                </a:lnTo>
                <a:lnTo>
                  <a:pt x="32950" y="382162"/>
                </a:lnTo>
                <a:lnTo>
                  <a:pt x="50622" y="361979"/>
                </a:lnTo>
                <a:lnTo>
                  <a:pt x="61312" y="356861"/>
                </a:lnTo>
                <a:lnTo>
                  <a:pt x="69717" y="338344"/>
                </a:lnTo>
                <a:lnTo>
                  <a:pt x="70469" y="321428"/>
                </a:lnTo>
                <a:lnTo>
                  <a:pt x="81931" y="301803"/>
                </a:lnTo>
                <a:lnTo>
                  <a:pt x="103079" y="290230"/>
                </a:lnTo>
                <a:lnTo>
                  <a:pt x="123206" y="257807"/>
                </a:lnTo>
                <a:lnTo>
                  <a:pt x="123787" y="257363"/>
                </a:lnTo>
                <a:lnTo>
                  <a:pt x="139751" y="245167"/>
                </a:lnTo>
                <a:lnTo>
                  <a:pt x="169275" y="241662"/>
                </a:lnTo>
                <a:lnTo>
                  <a:pt x="194291" y="219961"/>
                </a:lnTo>
                <a:lnTo>
                  <a:pt x="210210" y="211500"/>
                </a:lnTo>
                <a:lnTo>
                  <a:pt x="236715" y="184989"/>
                </a:lnTo>
                <a:lnTo>
                  <a:pt x="228781" y="145488"/>
                </a:lnTo>
                <a:lnTo>
                  <a:pt x="240843" y="118171"/>
                </a:lnTo>
                <a:lnTo>
                  <a:pt x="245100" y="101451"/>
                </a:lnTo>
                <a:lnTo>
                  <a:pt x="265522" y="80004"/>
                </a:lnTo>
                <a:lnTo>
                  <a:pt x="297377" y="65497"/>
                </a:lnTo>
                <a:lnTo>
                  <a:pt x="320926" y="52372"/>
                </a:lnTo>
                <a:lnTo>
                  <a:pt x="342141" y="19498"/>
                </a:lnTo>
                <a:lnTo>
                  <a:pt x="352120"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71" name="MOZ">
            <a:extLst>
              <a:ext uri="{FF2B5EF4-FFF2-40B4-BE49-F238E27FC236}">
                <a16:creationId xmlns:a16="http://schemas.microsoft.com/office/drawing/2014/main" id="{00000000-0008-0000-2700-0000AB7D6400}"/>
              </a:ext>
            </a:extLst>
          </xdr:cNvPr>
          <xdr:cNvSpPr/>
        </xdr:nvSpPr>
        <xdr:spPr>
          <a:xfrm>
            <a:off x="7288358" y="3745299"/>
            <a:ext cx="336704" cy="521498"/>
          </a:xfrm>
          <a:custGeom>
            <a:avLst/>
            <a:gdLst/>
            <a:ahLst/>
            <a:cxnLst/>
            <a:rect l="0" t="0" r="0" b="0"/>
            <a:pathLst>
              <a:path w="336424" h="521498">
                <a:moveTo>
                  <a:pt x="139082" y="38192"/>
                </a:moveTo>
                <a:lnTo>
                  <a:pt x="162970" y="35624"/>
                </a:lnTo>
                <a:lnTo>
                  <a:pt x="201125" y="44571"/>
                </a:lnTo>
                <a:lnTo>
                  <a:pt x="209414" y="40558"/>
                </a:lnTo>
                <a:lnTo>
                  <a:pt x="231515" y="39742"/>
                </a:lnTo>
                <a:lnTo>
                  <a:pt x="242827" y="30217"/>
                </a:lnTo>
                <a:lnTo>
                  <a:pt x="261877" y="30737"/>
                </a:lnTo>
                <a:lnTo>
                  <a:pt x="296593" y="18409"/>
                </a:lnTo>
                <a:lnTo>
                  <a:pt x="321854" y="0"/>
                </a:lnTo>
                <a:lnTo>
                  <a:pt x="326990" y="14234"/>
                </a:lnTo>
                <a:lnTo>
                  <a:pt x="325686" y="45866"/>
                </a:lnTo>
                <a:lnTo>
                  <a:pt x="329607" y="73727"/>
                </a:lnTo>
                <a:lnTo>
                  <a:pt x="330839" y="123346"/>
                </a:lnTo>
                <a:lnTo>
                  <a:pt x="336423" y="138897"/>
                </a:lnTo>
                <a:lnTo>
                  <a:pt x="326956" y="161583"/>
                </a:lnTo>
                <a:lnTo>
                  <a:pt x="314637" y="183633"/>
                </a:lnTo>
                <a:lnTo>
                  <a:pt x="294421" y="203321"/>
                </a:lnTo>
                <a:lnTo>
                  <a:pt x="265396" y="215389"/>
                </a:lnTo>
                <a:lnTo>
                  <a:pt x="229604" y="230800"/>
                </a:lnTo>
                <a:lnTo>
                  <a:pt x="193733" y="264878"/>
                </a:lnTo>
                <a:lnTo>
                  <a:pt x="181516" y="270676"/>
                </a:lnTo>
                <a:lnTo>
                  <a:pt x="159350" y="293234"/>
                </a:lnTo>
                <a:lnTo>
                  <a:pt x="146270" y="300574"/>
                </a:lnTo>
                <a:lnTo>
                  <a:pt x="143587" y="323212"/>
                </a:lnTo>
                <a:lnTo>
                  <a:pt x="158643" y="347260"/>
                </a:lnTo>
                <a:lnTo>
                  <a:pt x="164907" y="365878"/>
                </a:lnTo>
                <a:lnTo>
                  <a:pt x="165300" y="375377"/>
                </a:lnTo>
                <a:lnTo>
                  <a:pt x="170911" y="373790"/>
                </a:lnTo>
                <a:lnTo>
                  <a:pt x="170003" y="404931"/>
                </a:lnTo>
                <a:lnTo>
                  <a:pt x="164856" y="419682"/>
                </a:lnTo>
                <a:lnTo>
                  <a:pt x="172339" y="425117"/>
                </a:lnTo>
                <a:lnTo>
                  <a:pt x="167615" y="438325"/>
                </a:lnTo>
                <a:lnTo>
                  <a:pt x="154344" y="449622"/>
                </a:lnTo>
                <a:lnTo>
                  <a:pt x="128153" y="460350"/>
                </a:lnTo>
                <a:lnTo>
                  <a:pt x="89971" y="477536"/>
                </a:lnTo>
                <a:lnTo>
                  <a:pt x="76045" y="489274"/>
                </a:lnTo>
                <a:lnTo>
                  <a:pt x="78769" y="502651"/>
                </a:lnTo>
                <a:lnTo>
                  <a:pt x="86884" y="504787"/>
                </a:lnTo>
                <a:lnTo>
                  <a:pt x="84157" y="521497"/>
                </a:lnTo>
                <a:lnTo>
                  <a:pt x="60078" y="521230"/>
                </a:lnTo>
                <a:lnTo>
                  <a:pt x="57350" y="507197"/>
                </a:lnTo>
                <a:lnTo>
                  <a:pt x="52651" y="492957"/>
                </a:lnTo>
                <a:lnTo>
                  <a:pt x="49940" y="481559"/>
                </a:lnTo>
                <a:lnTo>
                  <a:pt x="55598" y="446161"/>
                </a:lnTo>
                <a:lnTo>
                  <a:pt x="47337" y="423606"/>
                </a:lnTo>
                <a:lnTo>
                  <a:pt x="32129" y="378917"/>
                </a:lnTo>
                <a:lnTo>
                  <a:pt x="65580" y="342881"/>
                </a:lnTo>
                <a:lnTo>
                  <a:pt x="73952" y="319983"/>
                </a:lnTo>
                <a:lnTo>
                  <a:pt x="78747" y="317094"/>
                </a:lnTo>
                <a:lnTo>
                  <a:pt x="82335" y="298403"/>
                </a:lnTo>
                <a:lnTo>
                  <a:pt x="77233" y="288998"/>
                </a:lnTo>
                <a:lnTo>
                  <a:pt x="78595" y="265272"/>
                </a:lnTo>
                <a:lnTo>
                  <a:pt x="84786" y="243269"/>
                </a:lnTo>
                <a:lnTo>
                  <a:pt x="84713" y="203083"/>
                </a:lnTo>
                <a:lnTo>
                  <a:pt x="68222" y="192881"/>
                </a:lnTo>
                <a:lnTo>
                  <a:pt x="53103" y="190573"/>
                </a:lnTo>
                <a:lnTo>
                  <a:pt x="46260" y="182718"/>
                </a:lnTo>
                <a:lnTo>
                  <a:pt x="31547" y="176016"/>
                </a:lnTo>
                <a:lnTo>
                  <a:pt x="5064" y="176648"/>
                </a:lnTo>
                <a:lnTo>
                  <a:pt x="3010" y="164805"/>
                </a:lnTo>
                <a:lnTo>
                  <a:pt x="0" y="142209"/>
                </a:lnTo>
                <a:lnTo>
                  <a:pt x="96346" y="116040"/>
                </a:lnTo>
                <a:lnTo>
                  <a:pt x="114624" y="131277"/>
                </a:lnTo>
                <a:lnTo>
                  <a:pt x="123359" y="128363"/>
                </a:lnTo>
                <a:lnTo>
                  <a:pt x="135894" y="136395"/>
                </a:lnTo>
                <a:lnTo>
                  <a:pt x="137738" y="149117"/>
                </a:lnTo>
                <a:lnTo>
                  <a:pt x="131058" y="163878"/>
                </a:lnTo>
                <a:lnTo>
                  <a:pt x="133408" y="186262"/>
                </a:lnTo>
                <a:lnTo>
                  <a:pt x="154124" y="205874"/>
                </a:lnTo>
                <a:lnTo>
                  <a:pt x="163818" y="183842"/>
                </a:lnTo>
                <a:lnTo>
                  <a:pt x="177559" y="177159"/>
                </a:lnTo>
                <a:lnTo>
                  <a:pt x="174857" y="136332"/>
                </a:lnTo>
                <a:lnTo>
                  <a:pt x="161560" y="113370"/>
                </a:lnTo>
                <a:lnTo>
                  <a:pt x="150105" y="103134"/>
                </a:lnTo>
                <a:lnTo>
                  <a:pt x="139082" y="103597"/>
                </a:lnTo>
                <a:lnTo>
                  <a:pt x="130192" y="6232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72" name="MMR">
            <a:extLst>
              <a:ext uri="{FF2B5EF4-FFF2-40B4-BE49-F238E27FC236}">
                <a16:creationId xmlns:a16="http://schemas.microsoft.com/office/drawing/2014/main" id="{00000000-0008-0000-2700-0000AC7D6400}"/>
              </a:ext>
            </a:extLst>
          </xdr:cNvPr>
          <xdr:cNvSpPr/>
        </xdr:nvSpPr>
        <xdr:spPr>
          <a:xfrm>
            <a:off x="9262430" y="2518067"/>
            <a:ext cx="282075" cy="584293"/>
          </a:xfrm>
          <a:custGeom>
            <a:avLst/>
            <a:gdLst/>
            <a:ahLst/>
            <a:cxnLst/>
            <a:rect l="0" t="0" r="0" b="0"/>
            <a:pathLst>
              <a:path w="281840" h="584293">
                <a:moveTo>
                  <a:pt x="229874" y="258740"/>
                </a:moveTo>
                <a:lnTo>
                  <a:pt x="211344" y="272507"/>
                </a:lnTo>
                <a:lnTo>
                  <a:pt x="188929" y="273929"/>
                </a:lnTo>
                <a:lnTo>
                  <a:pt x="174454" y="308254"/>
                </a:lnTo>
                <a:lnTo>
                  <a:pt x="161058" y="314023"/>
                </a:lnTo>
                <a:lnTo>
                  <a:pt x="176400" y="341884"/>
                </a:lnTo>
                <a:lnTo>
                  <a:pt x="196552" y="365064"/>
                </a:lnTo>
                <a:lnTo>
                  <a:pt x="209553" y="386019"/>
                </a:lnTo>
                <a:lnTo>
                  <a:pt x="197936" y="413620"/>
                </a:lnTo>
                <a:lnTo>
                  <a:pt x="186972" y="419487"/>
                </a:lnTo>
                <a:lnTo>
                  <a:pt x="194552" y="435416"/>
                </a:lnTo>
                <a:lnTo>
                  <a:pt x="215729" y="460641"/>
                </a:lnTo>
                <a:lnTo>
                  <a:pt x="219355" y="478364"/>
                </a:lnTo>
                <a:lnTo>
                  <a:pt x="218860" y="493115"/>
                </a:lnTo>
                <a:lnTo>
                  <a:pt x="231270" y="522068"/>
                </a:lnTo>
                <a:lnTo>
                  <a:pt x="213834" y="551668"/>
                </a:lnTo>
                <a:lnTo>
                  <a:pt x="198450" y="584292"/>
                </a:lnTo>
                <a:lnTo>
                  <a:pt x="195390" y="560724"/>
                </a:lnTo>
                <a:lnTo>
                  <a:pt x="205146" y="536403"/>
                </a:lnTo>
                <a:lnTo>
                  <a:pt x="194472" y="517617"/>
                </a:lnTo>
                <a:lnTo>
                  <a:pt x="197053" y="483028"/>
                </a:lnTo>
                <a:lnTo>
                  <a:pt x="184162" y="466579"/>
                </a:lnTo>
                <a:lnTo>
                  <a:pt x="173816" y="428580"/>
                </a:lnTo>
                <a:lnTo>
                  <a:pt x="168081" y="388470"/>
                </a:lnTo>
                <a:lnTo>
                  <a:pt x="154346" y="362178"/>
                </a:lnTo>
                <a:lnTo>
                  <a:pt x="133433" y="378101"/>
                </a:lnTo>
                <a:lnTo>
                  <a:pt x="97352" y="400732"/>
                </a:lnTo>
                <a:lnTo>
                  <a:pt x="79540" y="397903"/>
                </a:lnTo>
                <a:lnTo>
                  <a:pt x="59868" y="390461"/>
                </a:lnTo>
                <a:lnTo>
                  <a:pt x="70812" y="351113"/>
                </a:lnTo>
                <a:lnTo>
                  <a:pt x="64186" y="321386"/>
                </a:lnTo>
                <a:lnTo>
                  <a:pt x="39300" y="284778"/>
                </a:lnTo>
                <a:lnTo>
                  <a:pt x="43183" y="273332"/>
                </a:lnTo>
                <a:lnTo>
                  <a:pt x="24609" y="269265"/>
                </a:lnTo>
                <a:lnTo>
                  <a:pt x="2077" y="243363"/>
                </a:lnTo>
                <a:lnTo>
                  <a:pt x="0" y="217817"/>
                </a:lnTo>
                <a:lnTo>
                  <a:pt x="11084" y="222627"/>
                </a:lnTo>
                <a:lnTo>
                  <a:pt x="11732" y="199856"/>
                </a:lnTo>
                <a:lnTo>
                  <a:pt x="27397" y="192322"/>
                </a:lnTo>
                <a:lnTo>
                  <a:pt x="24038" y="178841"/>
                </a:lnTo>
                <a:lnTo>
                  <a:pt x="31214" y="168027"/>
                </a:lnTo>
                <a:lnTo>
                  <a:pt x="32448" y="135169"/>
                </a:lnTo>
                <a:lnTo>
                  <a:pt x="57261" y="142405"/>
                </a:lnTo>
                <a:lnTo>
                  <a:pt x="71422" y="116227"/>
                </a:lnTo>
                <a:lnTo>
                  <a:pt x="73025" y="100755"/>
                </a:lnTo>
                <a:lnTo>
                  <a:pt x="90551" y="74123"/>
                </a:lnTo>
                <a:lnTo>
                  <a:pt x="89586" y="55953"/>
                </a:lnTo>
                <a:lnTo>
                  <a:pt x="130690" y="34013"/>
                </a:lnTo>
                <a:lnTo>
                  <a:pt x="153378" y="39754"/>
                </a:lnTo>
                <a:lnTo>
                  <a:pt x="150775" y="20218"/>
                </a:lnTo>
                <a:lnTo>
                  <a:pt x="161906" y="14395"/>
                </a:lnTo>
                <a:lnTo>
                  <a:pt x="159509" y="2359"/>
                </a:lnTo>
                <a:lnTo>
                  <a:pt x="178080" y="0"/>
                </a:lnTo>
                <a:lnTo>
                  <a:pt x="188690" y="18691"/>
                </a:lnTo>
                <a:lnTo>
                  <a:pt x="202549" y="26260"/>
                </a:lnTo>
                <a:lnTo>
                  <a:pt x="203483" y="50558"/>
                </a:lnTo>
                <a:lnTo>
                  <a:pt x="202203" y="76746"/>
                </a:lnTo>
                <a:lnTo>
                  <a:pt x="172130" y="103260"/>
                </a:lnTo>
                <a:lnTo>
                  <a:pt x="168323" y="140922"/>
                </a:lnTo>
                <a:lnTo>
                  <a:pt x="201838" y="135655"/>
                </a:lnTo>
                <a:lnTo>
                  <a:pt x="209407" y="164884"/>
                </a:lnTo>
                <a:lnTo>
                  <a:pt x="229515" y="171034"/>
                </a:lnTo>
                <a:lnTo>
                  <a:pt x="220272" y="197408"/>
                </a:lnTo>
                <a:lnTo>
                  <a:pt x="243850" y="209327"/>
                </a:lnTo>
                <a:lnTo>
                  <a:pt x="257597" y="215172"/>
                </a:lnTo>
                <a:lnTo>
                  <a:pt x="280886" y="205927"/>
                </a:lnTo>
                <a:lnTo>
                  <a:pt x="281839" y="219052"/>
                </a:lnTo>
                <a:lnTo>
                  <a:pt x="254822" y="239706"/>
                </a:lnTo>
                <a:lnTo>
                  <a:pt x="248056" y="25139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73" name="NAM">
            <a:extLst>
              <a:ext uri="{FF2B5EF4-FFF2-40B4-BE49-F238E27FC236}">
                <a16:creationId xmlns:a16="http://schemas.microsoft.com/office/drawing/2014/main" id="{00000000-0008-0000-2700-0000AD7D6400}"/>
              </a:ext>
            </a:extLst>
          </xdr:cNvPr>
          <xdr:cNvSpPr/>
        </xdr:nvSpPr>
        <xdr:spPr>
          <a:xfrm>
            <a:off x="6702232" y="3955618"/>
            <a:ext cx="424223" cy="384309"/>
          </a:xfrm>
          <a:custGeom>
            <a:avLst/>
            <a:gdLst/>
            <a:ahLst/>
            <a:cxnLst/>
            <a:rect l="0" t="0" r="0" b="0"/>
            <a:pathLst>
              <a:path w="423870" h="384309">
                <a:moveTo>
                  <a:pt x="146393" y="369424"/>
                </a:moveTo>
                <a:lnTo>
                  <a:pt x="122797" y="345436"/>
                </a:lnTo>
                <a:lnTo>
                  <a:pt x="110373" y="322253"/>
                </a:lnTo>
                <a:lnTo>
                  <a:pt x="103362" y="291341"/>
                </a:lnTo>
                <a:lnTo>
                  <a:pt x="95536" y="268338"/>
                </a:lnTo>
                <a:lnTo>
                  <a:pt x="84897" y="219446"/>
                </a:lnTo>
                <a:lnTo>
                  <a:pt x="84185" y="181463"/>
                </a:lnTo>
                <a:lnTo>
                  <a:pt x="80121" y="164144"/>
                </a:lnTo>
                <a:lnTo>
                  <a:pt x="67768" y="151057"/>
                </a:lnTo>
                <a:lnTo>
                  <a:pt x="51381" y="124825"/>
                </a:lnTo>
                <a:lnTo>
                  <a:pt x="34691" y="86737"/>
                </a:lnTo>
                <a:lnTo>
                  <a:pt x="27762" y="66802"/>
                </a:lnTo>
                <a:lnTo>
                  <a:pt x="1927" y="35807"/>
                </a:lnTo>
                <a:lnTo>
                  <a:pt x="0" y="11449"/>
                </a:lnTo>
                <a:lnTo>
                  <a:pt x="15282" y="5410"/>
                </a:lnTo>
                <a:lnTo>
                  <a:pt x="34288" y="0"/>
                </a:lnTo>
                <a:lnTo>
                  <a:pt x="54871" y="949"/>
                </a:lnTo>
                <a:lnTo>
                  <a:pt x="73797" y="15307"/>
                </a:lnTo>
                <a:lnTo>
                  <a:pt x="78597" y="13075"/>
                </a:lnTo>
                <a:lnTo>
                  <a:pt x="207299" y="11706"/>
                </a:lnTo>
                <a:lnTo>
                  <a:pt x="229299" y="26917"/>
                </a:lnTo>
                <a:lnTo>
                  <a:pt x="306166" y="31410"/>
                </a:lnTo>
                <a:lnTo>
                  <a:pt x="364515" y="18472"/>
                </a:lnTo>
                <a:lnTo>
                  <a:pt x="390516" y="11255"/>
                </a:lnTo>
                <a:lnTo>
                  <a:pt x="411103" y="13084"/>
                </a:lnTo>
                <a:lnTo>
                  <a:pt x="423634" y="20240"/>
                </a:lnTo>
                <a:lnTo>
                  <a:pt x="423869" y="22875"/>
                </a:lnTo>
                <a:lnTo>
                  <a:pt x="405972" y="30029"/>
                </a:lnTo>
                <a:lnTo>
                  <a:pt x="396342" y="30099"/>
                </a:lnTo>
                <a:lnTo>
                  <a:pt x="376073" y="42545"/>
                </a:lnTo>
                <a:lnTo>
                  <a:pt x="363941" y="29454"/>
                </a:lnTo>
                <a:lnTo>
                  <a:pt x="314986" y="40570"/>
                </a:lnTo>
                <a:lnTo>
                  <a:pt x="291351" y="41621"/>
                </a:lnTo>
                <a:lnTo>
                  <a:pt x="290415" y="154717"/>
                </a:lnTo>
                <a:lnTo>
                  <a:pt x="259122" y="155826"/>
                </a:lnTo>
                <a:lnTo>
                  <a:pt x="259131" y="248491"/>
                </a:lnTo>
                <a:lnTo>
                  <a:pt x="259096" y="365753"/>
                </a:lnTo>
                <a:lnTo>
                  <a:pt x="230756" y="381987"/>
                </a:lnTo>
                <a:lnTo>
                  <a:pt x="213700" y="384308"/>
                </a:lnTo>
                <a:lnTo>
                  <a:pt x="193739" y="378304"/>
                </a:lnTo>
                <a:lnTo>
                  <a:pt x="179493" y="375990"/>
                </a:lnTo>
                <a:lnTo>
                  <a:pt x="174139" y="362413"/>
                </a:lnTo>
                <a:lnTo>
                  <a:pt x="161601" y="35372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74" name="NPL">
            <a:extLst>
              <a:ext uri="{FF2B5EF4-FFF2-40B4-BE49-F238E27FC236}">
                <a16:creationId xmlns:a16="http://schemas.microsoft.com/office/drawing/2014/main" id="{00000000-0008-0000-2700-0000AE7D6400}"/>
              </a:ext>
            </a:extLst>
          </xdr:cNvPr>
          <xdr:cNvSpPr/>
        </xdr:nvSpPr>
        <xdr:spPr>
          <a:xfrm>
            <a:off x="8874287" y="2451811"/>
            <a:ext cx="256959" cy="127788"/>
          </a:xfrm>
          <a:custGeom>
            <a:avLst/>
            <a:gdLst/>
            <a:ahLst/>
            <a:cxnLst/>
            <a:rect l="0" t="0" r="0" b="0"/>
            <a:pathLst>
              <a:path w="256745" h="127788">
                <a:moveTo>
                  <a:pt x="255017" y="80841"/>
                </a:moveTo>
                <a:lnTo>
                  <a:pt x="252562" y="94516"/>
                </a:lnTo>
                <a:lnTo>
                  <a:pt x="256744" y="114690"/>
                </a:lnTo>
                <a:lnTo>
                  <a:pt x="253105" y="127257"/>
                </a:lnTo>
                <a:lnTo>
                  <a:pt x="226666" y="127787"/>
                </a:lnTo>
                <a:lnTo>
                  <a:pt x="188468" y="120386"/>
                </a:lnTo>
                <a:lnTo>
                  <a:pt x="163938" y="117364"/>
                </a:lnTo>
                <a:lnTo>
                  <a:pt x="145625" y="101212"/>
                </a:lnTo>
                <a:lnTo>
                  <a:pt x="102102" y="97098"/>
                </a:lnTo>
                <a:lnTo>
                  <a:pt x="60694" y="79286"/>
                </a:lnTo>
                <a:lnTo>
                  <a:pt x="30760" y="63709"/>
                </a:lnTo>
                <a:lnTo>
                  <a:pt x="0" y="51695"/>
                </a:lnTo>
                <a:lnTo>
                  <a:pt x="12329" y="21996"/>
                </a:lnTo>
                <a:lnTo>
                  <a:pt x="32477" y="7594"/>
                </a:lnTo>
                <a:lnTo>
                  <a:pt x="45638" y="0"/>
                </a:lnTo>
                <a:lnTo>
                  <a:pt x="71091" y="9760"/>
                </a:lnTo>
                <a:lnTo>
                  <a:pt x="103147" y="30448"/>
                </a:lnTo>
                <a:lnTo>
                  <a:pt x="120987" y="35004"/>
                </a:lnTo>
                <a:lnTo>
                  <a:pt x="131642" y="50254"/>
                </a:lnTo>
                <a:lnTo>
                  <a:pt x="156312" y="56512"/>
                </a:lnTo>
                <a:lnTo>
                  <a:pt x="182083" y="70456"/>
                </a:lnTo>
                <a:lnTo>
                  <a:pt x="217999" y="77736"/>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6585775" name="NZL">
            <a:extLst>
              <a:ext uri="{FF2B5EF4-FFF2-40B4-BE49-F238E27FC236}">
                <a16:creationId xmlns:a16="http://schemas.microsoft.com/office/drawing/2014/main" id="{00000000-0008-0000-2700-0000AF7D6400}"/>
              </a:ext>
            </a:extLst>
          </xdr:cNvPr>
          <xdr:cNvGrpSpPr/>
        </xdr:nvGrpSpPr>
        <xdr:grpSpPr>
          <a:xfrm>
            <a:off x="11620431" y="4511541"/>
            <a:ext cx="381572" cy="387050"/>
            <a:chOff x="11509664" y="4765541"/>
            <a:chExt cx="381254" cy="387050"/>
          </a:xfrm>
          <a:grpFill/>
        </xdr:grpSpPr>
        <xdr:sp macro="" textlink="">
          <xdr:nvSpPr>
            <xdr:cNvPr id="6586826" name="NZ_1">
              <a:extLst>
                <a:ext uri="{FF2B5EF4-FFF2-40B4-BE49-F238E27FC236}">
                  <a16:creationId xmlns:a16="http://schemas.microsoft.com/office/drawing/2014/main" id="{00000000-0008-0000-2700-0000CA816400}"/>
                </a:ext>
              </a:extLst>
            </xdr:cNvPr>
            <xdr:cNvSpPr/>
          </xdr:nvSpPr>
          <xdr:spPr>
            <a:xfrm>
              <a:off x="11509664" y="4957416"/>
              <a:ext cx="245727" cy="195175"/>
            </a:xfrm>
            <a:custGeom>
              <a:avLst/>
              <a:gdLst/>
              <a:ahLst/>
              <a:cxnLst/>
              <a:rect l="0" t="0" r="0" b="0"/>
              <a:pathLst>
                <a:path w="245727" h="195175">
                  <a:moveTo>
                    <a:pt x="206734" y="13497"/>
                  </a:moveTo>
                  <a:lnTo>
                    <a:pt x="213934" y="26606"/>
                  </a:lnTo>
                  <a:lnTo>
                    <a:pt x="236515" y="13738"/>
                  </a:lnTo>
                  <a:lnTo>
                    <a:pt x="245697" y="27153"/>
                  </a:lnTo>
                  <a:lnTo>
                    <a:pt x="245726" y="40513"/>
                  </a:lnTo>
                  <a:lnTo>
                    <a:pt x="233911" y="55219"/>
                  </a:lnTo>
                  <a:lnTo>
                    <a:pt x="213156" y="78613"/>
                  </a:lnTo>
                  <a:lnTo>
                    <a:pt x="196916" y="91386"/>
                  </a:lnTo>
                  <a:lnTo>
                    <a:pt x="208629" y="106658"/>
                  </a:lnTo>
                  <a:lnTo>
                    <a:pt x="184133" y="107052"/>
                  </a:lnTo>
                  <a:lnTo>
                    <a:pt x="156965" y="119015"/>
                  </a:lnTo>
                  <a:lnTo>
                    <a:pt x="148463" y="139798"/>
                  </a:lnTo>
                  <a:lnTo>
                    <a:pt x="130416" y="171923"/>
                  </a:lnTo>
                  <a:lnTo>
                    <a:pt x="105482" y="186112"/>
                  </a:lnTo>
                  <a:lnTo>
                    <a:pt x="89636" y="195174"/>
                  </a:lnTo>
                  <a:lnTo>
                    <a:pt x="60397" y="194497"/>
                  </a:lnTo>
                  <a:lnTo>
                    <a:pt x="39833" y="184029"/>
                  </a:lnTo>
                  <a:lnTo>
                    <a:pt x="5327" y="181797"/>
                  </a:lnTo>
                  <a:lnTo>
                    <a:pt x="0" y="170139"/>
                  </a:lnTo>
                  <a:lnTo>
                    <a:pt x="17059" y="146587"/>
                  </a:lnTo>
                  <a:lnTo>
                    <a:pt x="56981" y="115253"/>
                  </a:lnTo>
                  <a:lnTo>
                    <a:pt x="77479" y="109277"/>
                  </a:lnTo>
                  <a:lnTo>
                    <a:pt x="100288" y="97196"/>
                  </a:lnTo>
                  <a:lnTo>
                    <a:pt x="127501" y="80572"/>
                  </a:lnTo>
                  <a:lnTo>
                    <a:pt x="146557" y="64097"/>
                  </a:lnTo>
                  <a:lnTo>
                    <a:pt x="160674" y="40430"/>
                  </a:lnTo>
                  <a:lnTo>
                    <a:pt x="172707" y="32398"/>
                  </a:lnTo>
                  <a:lnTo>
                    <a:pt x="177421" y="14671"/>
                  </a:lnTo>
                  <a:lnTo>
                    <a:pt x="199691"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27" name="NZ_2">
              <a:extLst>
                <a:ext uri="{FF2B5EF4-FFF2-40B4-BE49-F238E27FC236}">
                  <a16:creationId xmlns:a16="http://schemas.microsoft.com/office/drawing/2014/main" id="{00000000-0008-0000-2700-0000CB816400}"/>
                </a:ext>
              </a:extLst>
            </xdr:cNvPr>
            <xdr:cNvSpPr/>
          </xdr:nvSpPr>
          <xdr:spPr>
            <a:xfrm>
              <a:off x="11704193" y="4765541"/>
              <a:ext cx="186725" cy="229795"/>
            </a:xfrm>
            <a:custGeom>
              <a:avLst/>
              <a:gdLst/>
              <a:ahLst/>
              <a:cxnLst/>
              <a:rect l="0" t="0" r="0" b="0"/>
              <a:pathLst>
                <a:path w="186725" h="229795">
                  <a:moveTo>
                    <a:pt x="62738" y="54156"/>
                  </a:moveTo>
                  <a:lnTo>
                    <a:pt x="85743" y="87579"/>
                  </a:lnTo>
                  <a:lnTo>
                    <a:pt x="86410" y="65897"/>
                  </a:lnTo>
                  <a:lnTo>
                    <a:pt x="100739" y="74555"/>
                  </a:lnTo>
                  <a:lnTo>
                    <a:pt x="105489" y="98574"/>
                  </a:lnTo>
                  <a:lnTo>
                    <a:pt x="131038" y="108922"/>
                  </a:lnTo>
                  <a:lnTo>
                    <a:pt x="152488" y="111458"/>
                  </a:lnTo>
                  <a:lnTo>
                    <a:pt x="170637" y="99349"/>
                  </a:lnTo>
                  <a:lnTo>
                    <a:pt x="186724" y="103019"/>
                  </a:lnTo>
                  <a:lnTo>
                    <a:pt x="179028" y="131194"/>
                  </a:lnTo>
                  <a:lnTo>
                    <a:pt x="169370" y="149720"/>
                  </a:lnTo>
                  <a:lnTo>
                    <a:pt x="145129" y="149070"/>
                  </a:lnTo>
                  <a:lnTo>
                    <a:pt x="136651" y="158718"/>
                  </a:lnTo>
                  <a:lnTo>
                    <a:pt x="139601" y="172377"/>
                  </a:lnTo>
                  <a:lnTo>
                    <a:pt x="134930" y="178286"/>
                  </a:lnTo>
                  <a:lnTo>
                    <a:pt x="122936" y="195393"/>
                  </a:lnTo>
                  <a:lnTo>
                    <a:pt x="107200" y="217135"/>
                  </a:lnTo>
                  <a:lnTo>
                    <a:pt x="82664" y="229794"/>
                  </a:lnTo>
                  <a:lnTo>
                    <a:pt x="77212" y="221463"/>
                  </a:lnTo>
                  <a:lnTo>
                    <a:pt x="63976" y="216888"/>
                  </a:lnTo>
                  <a:lnTo>
                    <a:pt x="82282" y="190770"/>
                  </a:lnTo>
                  <a:lnTo>
                    <a:pt x="71888" y="173298"/>
                  </a:lnTo>
                  <a:lnTo>
                    <a:pt x="37718" y="160598"/>
                  </a:lnTo>
                  <a:lnTo>
                    <a:pt x="38617" y="149095"/>
                  </a:lnTo>
                  <a:lnTo>
                    <a:pt x="61557" y="138017"/>
                  </a:lnTo>
                  <a:lnTo>
                    <a:pt x="66913" y="113573"/>
                  </a:lnTo>
                  <a:lnTo>
                    <a:pt x="65436" y="93040"/>
                  </a:lnTo>
                  <a:lnTo>
                    <a:pt x="52577" y="71768"/>
                  </a:lnTo>
                  <a:lnTo>
                    <a:pt x="53435" y="66170"/>
                  </a:lnTo>
                  <a:lnTo>
                    <a:pt x="38258" y="53064"/>
                  </a:lnTo>
                  <a:lnTo>
                    <a:pt x="13277" y="24968"/>
                  </a:lnTo>
                  <a:lnTo>
                    <a:pt x="0" y="2489"/>
                  </a:lnTo>
                  <a:lnTo>
                    <a:pt x="11779" y="0"/>
                  </a:lnTo>
                  <a:lnTo>
                    <a:pt x="29060" y="17637"/>
                  </a:lnTo>
                  <a:lnTo>
                    <a:pt x="53765" y="2587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6585776" name="NIC">
            <a:extLst>
              <a:ext uri="{FF2B5EF4-FFF2-40B4-BE49-F238E27FC236}">
                <a16:creationId xmlns:a16="http://schemas.microsoft.com/office/drawing/2014/main" id="{00000000-0008-0000-2700-0000B07D6400}"/>
              </a:ext>
            </a:extLst>
          </xdr:cNvPr>
          <xdr:cNvSpPr/>
        </xdr:nvSpPr>
        <xdr:spPr>
          <a:xfrm>
            <a:off x="3543567" y="2940964"/>
            <a:ext cx="143673" cy="136192"/>
          </a:xfrm>
          <a:custGeom>
            <a:avLst/>
            <a:gdLst/>
            <a:ahLst/>
            <a:cxnLst/>
            <a:rect l="0" t="0" r="0" b="0"/>
            <a:pathLst>
              <a:path w="143553" h="136192">
                <a:moveTo>
                  <a:pt x="62104" y="124711"/>
                </a:moveTo>
                <a:lnTo>
                  <a:pt x="51118" y="114709"/>
                </a:lnTo>
                <a:lnTo>
                  <a:pt x="36281" y="101898"/>
                </a:lnTo>
                <a:lnTo>
                  <a:pt x="29290" y="91195"/>
                </a:lnTo>
                <a:lnTo>
                  <a:pt x="15907" y="81217"/>
                </a:lnTo>
                <a:lnTo>
                  <a:pt x="0" y="66878"/>
                </a:lnTo>
                <a:lnTo>
                  <a:pt x="3525" y="61967"/>
                </a:lnTo>
                <a:lnTo>
                  <a:pt x="8767" y="66748"/>
                </a:lnTo>
                <a:lnTo>
                  <a:pt x="11170" y="64503"/>
                </a:lnTo>
                <a:lnTo>
                  <a:pt x="21041" y="63198"/>
                </a:lnTo>
                <a:lnTo>
                  <a:pt x="25016" y="55947"/>
                </a:lnTo>
                <a:lnTo>
                  <a:pt x="29677" y="55664"/>
                </a:lnTo>
                <a:lnTo>
                  <a:pt x="29001" y="40053"/>
                </a:lnTo>
                <a:lnTo>
                  <a:pt x="36443" y="39300"/>
                </a:lnTo>
                <a:lnTo>
                  <a:pt x="43066" y="39525"/>
                </a:lnTo>
                <a:lnTo>
                  <a:pt x="49918" y="31054"/>
                </a:lnTo>
                <a:lnTo>
                  <a:pt x="59284" y="37471"/>
                </a:lnTo>
                <a:lnTo>
                  <a:pt x="62542" y="33534"/>
                </a:lnTo>
                <a:lnTo>
                  <a:pt x="68393" y="29759"/>
                </a:lnTo>
                <a:lnTo>
                  <a:pt x="79474" y="21015"/>
                </a:lnTo>
                <a:lnTo>
                  <a:pt x="80001" y="14481"/>
                </a:lnTo>
                <a:lnTo>
                  <a:pt x="83049" y="14757"/>
                </a:lnTo>
                <a:lnTo>
                  <a:pt x="87123" y="7169"/>
                </a:lnTo>
                <a:lnTo>
                  <a:pt x="90441" y="6245"/>
                </a:lnTo>
                <a:lnTo>
                  <a:pt x="95851" y="11097"/>
                </a:lnTo>
                <a:lnTo>
                  <a:pt x="102210" y="12532"/>
                </a:lnTo>
                <a:lnTo>
                  <a:pt x="109227" y="8493"/>
                </a:lnTo>
                <a:lnTo>
                  <a:pt x="117247" y="8474"/>
                </a:lnTo>
                <a:lnTo>
                  <a:pt x="128267" y="4324"/>
                </a:lnTo>
                <a:lnTo>
                  <a:pt x="132668" y="0"/>
                </a:lnTo>
                <a:lnTo>
                  <a:pt x="143552" y="651"/>
                </a:lnTo>
                <a:lnTo>
                  <a:pt x="140821" y="3696"/>
                </a:lnTo>
                <a:lnTo>
                  <a:pt x="139202" y="10785"/>
                </a:lnTo>
                <a:lnTo>
                  <a:pt x="142444" y="22403"/>
                </a:lnTo>
                <a:lnTo>
                  <a:pt x="135129" y="33217"/>
                </a:lnTo>
                <a:lnTo>
                  <a:pt x="131722" y="45993"/>
                </a:lnTo>
                <a:lnTo>
                  <a:pt x="130693" y="59982"/>
                </a:lnTo>
                <a:lnTo>
                  <a:pt x="132398" y="68167"/>
                </a:lnTo>
                <a:lnTo>
                  <a:pt x="133198" y="82461"/>
                </a:lnTo>
                <a:lnTo>
                  <a:pt x="128347" y="85579"/>
                </a:lnTo>
                <a:lnTo>
                  <a:pt x="125378" y="99162"/>
                </a:lnTo>
                <a:lnTo>
                  <a:pt x="127559" y="107547"/>
                </a:lnTo>
                <a:lnTo>
                  <a:pt x="121063" y="115665"/>
                </a:lnTo>
                <a:lnTo>
                  <a:pt x="122543" y="124247"/>
                </a:lnTo>
                <a:lnTo>
                  <a:pt x="127410" y="129460"/>
                </a:lnTo>
                <a:lnTo>
                  <a:pt x="119806" y="136191"/>
                </a:lnTo>
                <a:lnTo>
                  <a:pt x="110437" y="134074"/>
                </a:lnTo>
                <a:lnTo>
                  <a:pt x="105176" y="127543"/>
                </a:lnTo>
                <a:lnTo>
                  <a:pt x="95105" y="124892"/>
                </a:lnTo>
                <a:lnTo>
                  <a:pt x="87805" y="129032"/>
                </a:lnTo>
                <a:lnTo>
                  <a:pt x="66885" y="120625"/>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77" name="NER">
            <a:extLst>
              <a:ext uri="{FF2B5EF4-FFF2-40B4-BE49-F238E27FC236}">
                <a16:creationId xmlns:a16="http://schemas.microsoft.com/office/drawing/2014/main" id="{00000000-0008-0000-2700-0000B17D6400}"/>
              </a:ext>
            </a:extLst>
          </xdr:cNvPr>
          <xdr:cNvSpPr/>
        </xdr:nvSpPr>
        <xdr:spPr>
          <a:xfrm>
            <a:off x="6338755" y="2672505"/>
            <a:ext cx="495955" cy="375016"/>
          </a:xfrm>
          <a:custGeom>
            <a:avLst/>
            <a:gdLst/>
            <a:ahLst/>
            <a:cxnLst/>
            <a:rect l="0" t="0" r="0" b="0"/>
            <a:pathLst>
              <a:path w="495542" h="375016">
                <a:moveTo>
                  <a:pt x="59020" y="366125"/>
                </a:moveTo>
                <a:lnTo>
                  <a:pt x="59737" y="344383"/>
                </a:lnTo>
                <a:lnTo>
                  <a:pt x="23130" y="337182"/>
                </a:lnTo>
                <a:lnTo>
                  <a:pt x="22142" y="321818"/>
                </a:lnTo>
                <a:lnTo>
                  <a:pt x="4264" y="301085"/>
                </a:lnTo>
                <a:lnTo>
                  <a:pt x="0" y="286623"/>
                </a:lnTo>
                <a:lnTo>
                  <a:pt x="2518" y="271234"/>
                </a:lnTo>
                <a:lnTo>
                  <a:pt x="22866" y="269986"/>
                </a:lnTo>
                <a:lnTo>
                  <a:pt x="34604" y="258702"/>
                </a:lnTo>
                <a:lnTo>
                  <a:pt x="77927" y="255975"/>
                </a:lnTo>
                <a:lnTo>
                  <a:pt x="106131" y="250939"/>
                </a:lnTo>
                <a:lnTo>
                  <a:pt x="108832" y="231375"/>
                </a:lnTo>
                <a:lnTo>
                  <a:pt x="126193" y="210169"/>
                </a:lnTo>
                <a:lnTo>
                  <a:pt x="126104" y="137046"/>
                </a:lnTo>
                <a:lnTo>
                  <a:pt x="170878" y="122888"/>
                </a:lnTo>
                <a:lnTo>
                  <a:pt x="262804" y="60515"/>
                </a:lnTo>
                <a:lnTo>
                  <a:pt x="371599" y="0"/>
                </a:lnTo>
                <a:lnTo>
                  <a:pt x="421824" y="13691"/>
                </a:lnTo>
                <a:lnTo>
                  <a:pt x="439683" y="31128"/>
                </a:lnTo>
                <a:lnTo>
                  <a:pt x="462143" y="19326"/>
                </a:lnTo>
                <a:lnTo>
                  <a:pt x="469941" y="68682"/>
                </a:lnTo>
                <a:lnTo>
                  <a:pt x="481822" y="76937"/>
                </a:lnTo>
                <a:lnTo>
                  <a:pt x="482330" y="87036"/>
                </a:lnTo>
                <a:lnTo>
                  <a:pt x="495541" y="97920"/>
                </a:lnTo>
                <a:lnTo>
                  <a:pt x="488635" y="111585"/>
                </a:lnTo>
                <a:lnTo>
                  <a:pt x="476402" y="176016"/>
                </a:lnTo>
                <a:lnTo>
                  <a:pt x="474729" y="217310"/>
                </a:lnTo>
                <a:lnTo>
                  <a:pt x="434232" y="247247"/>
                </a:lnTo>
                <a:lnTo>
                  <a:pt x="420522" y="289071"/>
                </a:lnTo>
                <a:lnTo>
                  <a:pt x="433739" y="300831"/>
                </a:lnTo>
                <a:lnTo>
                  <a:pt x="433670" y="321256"/>
                </a:lnTo>
                <a:lnTo>
                  <a:pt x="454031" y="321986"/>
                </a:lnTo>
                <a:lnTo>
                  <a:pt x="450856" y="336941"/>
                </a:lnTo>
                <a:lnTo>
                  <a:pt x="441893" y="338763"/>
                </a:lnTo>
                <a:lnTo>
                  <a:pt x="440871" y="348869"/>
                </a:lnTo>
                <a:lnTo>
                  <a:pt x="434969" y="349571"/>
                </a:lnTo>
                <a:lnTo>
                  <a:pt x="413483" y="314811"/>
                </a:lnTo>
                <a:lnTo>
                  <a:pt x="406032" y="313550"/>
                </a:lnTo>
                <a:lnTo>
                  <a:pt x="381206" y="331295"/>
                </a:lnTo>
                <a:lnTo>
                  <a:pt x="356622" y="322031"/>
                </a:lnTo>
                <a:lnTo>
                  <a:pt x="339534" y="320180"/>
                </a:lnTo>
                <a:lnTo>
                  <a:pt x="330371" y="324637"/>
                </a:lnTo>
                <a:lnTo>
                  <a:pt x="311759" y="323672"/>
                </a:lnTo>
                <a:lnTo>
                  <a:pt x="293030" y="337204"/>
                </a:lnTo>
                <a:lnTo>
                  <a:pt x="276837" y="337979"/>
                </a:lnTo>
                <a:lnTo>
                  <a:pt x="238414" y="321570"/>
                </a:lnTo>
                <a:lnTo>
                  <a:pt x="223364" y="329365"/>
                </a:lnTo>
                <a:lnTo>
                  <a:pt x="207162" y="328822"/>
                </a:lnTo>
                <a:lnTo>
                  <a:pt x="195256" y="316830"/>
                </a:lnTo>
                <a:lnTo>
                  <a:pt x="163433" y="304984"/>
                </a:lnTo>
                <a:lnTo>
                  <a:pt x="129308" y="308743"/>
                </a:lnTo>
                <a:lnTo>
                  <a:pt x="121040" y="315611"/>
                </a:lnTo>
                <a:lnTo>
                  <a:pt x="116576" y="333870"/>
                </a:lnTo>
                <a:lnTo>
                  <a:pt x="107474" y="346672"/>
                </a:lnTo>
                <a:lnTo>
                  <a:pt x="105270" y="375015"/>
                </a:lnTo>
                <a:lnTo>
                  <a:pt x="81057" y="356746"/>
                </a:lnTo>
                <a:lnTo>
                  <a:pt x="69678" y="356825"/>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778" name="NGA">
            <a:extLst>
              <a:ext uri="{FF2B5EF4-FFF2-40B4-BE49-F238E27FC236}">
                <a16:creationId xmlns:a16="http://schemas.microsoft.com/office/drawing/2014/main" id="{00000000-0008-0000-2700-0000B27D6400}"/>
              </a:ext>
            </a:extLst>
          </xdr:cNvPr>
          <xdr:cNvSpPr/>
        </xdr:nvSpPr>
        <xdr:spPr>
          <a:xfrm>
            <a:off x="6414894" y="2977489"/>
            <a:ext cx="377680" cy="305605"/>
          </a:xfrm>
          <a:custGeom>
            <a:avLst/>
            <a:gdLst/>
            <a:ahLst/>
            <a:cxnLst/>
            <a:rect l="0" t="0" r="0" b="0"/>
            <a:pathLst>
              <a:path w="377366" h="305605">
                <a:moveTo>
                  <a:pt x="184423" y="288731"/>
                </a:moveTo>
                <a:lnTo>
                  <a:pt x="151460" y="300158"/>
                </a:lnTo>
                <a:lnTo>
                  <a:pt x="139411" y="298488"/>
                </a:lnTo>
                <a:lnTo>
                  <a:pt x="127203" y="305604"/>
                </a:lnTo>
                <a:lnTo>
                  <a:pt x="101807" y="304908"/>
                </a:lnTo>
                <a:lnTo>
                  <a:pt x="84808" y="285049"/>
                </a:lnTo>
                <a:lnTo>
                  <a:pt x="74355" y="262068"/>
                </a:lnTo>
                <a:lnTo>
                  <a:pt x="51876" y="241148"/>
                </a:lnTo>
                <a:lnTo>
                  <a:pt x="28019" y="241542"/>
                </a:lnTo>
                <a:lnTo>
                  <a:pt x="0" y="241526"/>
                </a:lnTo>
                <a:lnTo>
                  <a:pt x="1822" y="190348"/>
                </a:lnTo>
                <a:lnTo>
                  <a:pt x="1019" y="170152"/>
                </a:lnTo>
                <a:lnTo>
                  <a:pt x="7004" y="150123"/>
                </a:lnTo>
                <a:lnTo>
                  <a:pt x="16786" y="140389"/>
                </a:lnTo>
                <a:lnTo>
                  <a:pt x="32185" y="120736"/>
                </a:lnTo>
                <a:lnTo>
                  <a:pt x="28842" y="112195"/>
                </a:lnTo>
                <a:lnTo>
                  <a:pt x="35096" y="99416"/>
                </a:lnTo>
                <a:lnTo>
                  <a:pt x="27956" y="80582"/>
                </a:lnTo>
                <a:lnTo>
                  <a:pt x="29194" y="70031"/>
                </a:lnTo>
                <a:lnTo>
                  <a:pt x="31398" y="41688"/>
                </a:lnTo>
                <a:lnTo>
                  <a:pt x="40500" y="28886"/>
                </a:lnTo>
                <a:lnTo>
                  <a:pt x="44964" y="10627"/>
                </a:lnTo>
                <a:lnTo>
                  <a:pt x="53232" y="3759"/>
                </a:lnTo>
                <a:lnTo>
                  <a:pt x="87357" y="0"/>
                </a:lnTo>
                <a:lnTo>
                  <a:pt x="119180" y="11846"/>
                </a:lnTo>
                <a:lnTo>
                  <a:pt x="131086" y="23838"/>
                </a:lnTo>
                <a:lnTo>
                  <a:pt x="147288" y="24381"/>
                </a:lnTo>
                <a:lnTo>
                  <a:pt x="162338" y="16586"/>
                </a:lnTo>
                <a:lnTo>
                  <a:pt x="200761" y="32995"/>
                </a:lnTo>
                <a:lnTo>
                  <a:pt x="216954" y="32220"/>
                </a:lnTo>
                <a:lnTo>
                  <a:pt x="235683" y="18688"/>
                </a:lnTo>
                <a:lnTo>
                  <a:pt x="254295" y="19653"/>
                </a:lnTo>
                <a:lnTo>
                  <a:pt x="263458" y="15196"/>
                </a:lnTo>
                <a:lnTo>
                  <a:pt x="280546" y="17047"/>
                </a:lnTo>
                <a:lnTo>
                  <a:pt x="305130" y="26311"/>
                </a:lnTo>
                <a:lnTo>
                  <a:pt x="329956" y="8566"/>
                </a:lnTo>
                <a:lnTo>
                  <a:pt x="337407" y="9827"/>
                </a:lnTo>
                <a:lnTo>
                  <a:pt x="358893" y="44587"/>
                </a:lnTo>
                <a:lnTo>
                  <a:pt x="364795" y="43885"/>
                </a:lnTo>
                <a:lnTo>
                  <a:pt x="377365" y="56531"/>
                </a:lnTo>
                <a:lnTo>
                  <a:pt x="373903" y="62265"/>
                </a:lnTo>
                <a:lnTo>
                  <a:pt x="372228" y="72819"/>
                </a:lnTo>
                <a:lnTo>
                  <a:pt x="345478" y="97387"/>
                </a:lnTo>
                <a:lnTo>
                  <a:pt x="337089" y="117650"/>
                </a:lnTo>
                <a:lnTo>
                  <a:pt x="332610" y="134154"/>
                </a:lnTo>
                <a:lnTo>
                  <a:pt x="325875" y="141227"/>
                </a:lnTo>
                <a:lnTo>
                  <a:pt x="319469" y="163452"/>
                </a:lnTo>
                <a:lnTo>
                  <a:pt x="302488" y="176533"/>
                </a:lnTo>
                <a:lnTo>
                  <a:pt x="297567" y="192599"/>
                </a:lnTo>
                <a:lnTo>
                  <a:pt x="290436" y="205388"/>
                </a:lnTo>
                <a:lnTo>
                  <a:pt x="287468" y="218583"/>
                </a:lnTo>
                <a:lnTo>
                  <a:pt x="265655" y="229283"/>
                </a:lnTo>
                <a:lnTo>
                  <a:pt x="247831" y="216233"/>
                </a:lnTo>
                <a:lnTo>
                  <a:pt x="235795" y="216760"/>
                </a:lnTo>
                <a:lnTo>
                  <a:pt x="216884" y="235344"/>
                </a:lnTo>
                <a:lnTo>
                  <a:pt x="207693" y="235629"/>
                </a:lnTo>
                <a:lnTo>
                  <a:pt x="192589" y="26626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6585779" name="OMN">
            <a:extLst>
              <a:ext uri="{FF2B5EF4-FFF2-40B4-BE49-F238E27FC236}">
                <a16:creationId xmlns:a16="http://schemas.microsoft.com/office/drawing/2014/main" id="{00000000-0008-0000-2700-0000B37D6400}"/>
              </a:ext>
            </a:extLst>
          </xdr:cNvPr>
          <xdr:cNvGrpSpPr/>
        </xdr:nvGrpSpPr>
        <xdr:grpSpPr>
          <a:xfrm>
            <a:off x="7981738" y="2579662"/>
            <a:ext cx="248115" cy="309398"/>
            <a:chOff x="7874000" y="2833662"/>
            <a:chExt cx="247908" cy="309398"/>
          </a:xfrm>
          <a:grpFill/>
        </xdr:grpSpPr>
        <xdr:sp macro="" textlink="">
          <xdr:nvSpPr>
            <xdr:cNvPr id="6586824" name="OM_1">
              <a:extLst>
                <a:ext uri="{FF2B5EF4-FFF2-40B4-BE49-F238E27FC236}">
                  <a16:creationId xmlns:a16="http://schemas.microsoft.com/office/drawing/2014/main" id="{00000000-0008-0000-2700-0000C8816400}"/>
                </a:ext>
              </a:extLst>
            </xdr:cNvPr>
            <xdr:cNvSpPr/>
          </xdr:nvSpPr>
          <xdr:spPr>
            <a:xfrm>
              <a:off x="7874000" y="2880372"/>
              <a:ext cx="247908" cy="262688"/>
            </a:xfrm>
            <a:custGeom>
              <a:avLst/>
              <a:gdLst/>
              <a:ahLst/>
              <a:cxnLst/>
              <a:rect l="0" t="0" r="0" b="0"/>
              <a:pathLst>
                <a:path w="247908" h="262688">
                  <a:moveTo>
                    <a:pt x="217840" y="120990"/>
                  </a:moveTo>
                  <a:lnTo>
                    <a:pt x="205993" y="142739"/>
                  </a:lnTo>
                  <a:lnTo>
                    <a:pt x="191589" y="141075"/>
                  </a:lnTo>
                  <a:lnTo>
                    <a:pt x="184987" y="148644"/>
                  </a:lnTo>
                  <a:lnTo>
                    <a:pt x="179889" y="164741"/>
                  </a:lnTo>
                  <a:lnTo>
                    <a:pt x="183791" y="185963"/>
                  </a:lnTo>
                  <a:lnTo>
                    <a:pt x="180797" y="189865"/>
                  </a:lnTo>
                  <a:lnTo>
                    <a:pt x="166189" y="189760"/>
                  </a:lnTo>
                  <a:lnTo>
                    <a:pt x="146357" y="201625"/>
                  </a:lnTo>
                  <a:lnTo>
                    <a:pt x="143262" y="217094"/>
                  </a:lnTo>
                  <a:lnTo>
                    <a:pt x="136001" y="223793"/>
                  </a:lnTo>
                  <a:lnTo>
                    <a:pt x="116252" y="223539"/>
                  </a:lnTo>
                  <a:lnTo>
                    <a:pt x="103819" y="231534"/>
                  </a:lnTo>
                  <a:lnTo>
                    <a:pt x="103978" y="244358"/>
                  </a:lnTo>
                  <a:lnTo>
                    <a:pt x="88613" y="253175"/>
                  </a:lnTo>
                  <a:lnTo>
                    <a:pt x="71097" y="250181"/>
                  </a:lnTo>
                  <a:lnTo>
                    <a:pt x="49863" y="260890"/>
                  </a:lnTo>
                  <a:lnTo>
                    <a:pt x="35197" y="262687"/>
                  </a:lnTo>
                  <a:lnTo>
                    <a:pt x="24834" y="240506"/>
                  </a:lnTo>
                  <a:lnTo>
                    <a:pt x="0" y="188109"/>
                  </a:lnTo>
                  <a:lnTo>
                    <a:pt x="95250" y="156359"/>
                  </a:lnTo>
                  <a:lnTo>
                    <a:pt x="116417" y="92859"/>
                  </a:lnTo>
                  <a:lnTo>
                    <a:pt x="101863" y="70371"/>
                  </a:lnTo>
                  <a:lnTo>
                    <a:pt x="102695" y="57585"/>
                  </a:lnTo>
                  <a:lnTo>
                    <a:pt x="111944" y="44444"/>
                  </a:lnTo>
                  <a:lnTo>
                    <a:pt x="112032" y="31468"/>
                  </a:lnTo>
                  <a:lnTo>
                    <a:pt x="126403" y="25216"/>
                  </a:lnTo>
                  <a:lnTo>
                    <a:pt x="120780" y="20800"/>
                  </a:lnTo>
                  <a:lnTo>
                    <a:pt x="123387" y="124"/>
                  </a:lnTo>
                  <a:lnTo>
                    <a:pt x="139598" y="0"/>
                  </a:lnTo>
                  <a:lnTo>
                    <a:pt x="153831" y="21685"/>
                  </a:lnTo>
                  <a:lnTo>
                    <a:pt x="171560" y="33214"/>
                  </a:lnTo>
                  <a:lnTo>
                    <a:pt x="194846" y="37364"/>
                  </a:lnTo>
                  <a:lnTo>
                    <a:pt x="213652" y="43148"/>
                  </a:lnTo>
                  <a:lnTo>
                    <a:pt x="227980" y="61351"/>
                  </a:lnTo>
                  <a:lnTo>
                    <a:pt x="236540" y="71895"/>
                  </a:lnTo>
                  <a:lnTo>
                    <a:pt x="247907" y="75918"/>
                  </a:lnTo>
                  <a:lnTo>
                    <a:pt x="247843" y="83001"/>
                  </a:lnTo>
                  <a:lnTo>
                    <a:pt x="236290" y="101924"/>
                  </a:lnTo>
                  <a:lnTo>
                    <a:pt x="231216" y="11083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25" name="OM_2">
              <a:extLst>
                <a:ext uri="{FF2B5EF4-FFF2-40B4-BE49-F238E27FC236}">
                  <a16:creationId xmlns:a16="http://schemas.microsoft.com/office/drawing/2014/main" id="{00000000-0008-0000-2700-0000C9816400}"/>
                </a:ext>
              </a:extLst>
            </xdr:cNvPr>
            <xdr:cNvSpPr/>
          </xdr:nvSpPr>
          <xdr:spPr>
            <a:xfrm>
              <a:off x="8003247" y="2833662"/>
              <a:ext cx="13174" cy="21632"/>
            </a:xfrm>
            <a:custGeom>
              <a:avLst/>
              <a:gdLst/>
              <a:ahLst/>
              <a:cxnLst/>
              <a:rect l="0" t="0" r="0" b="0"/>
              <a:pathLst>
                <a:path w="13174" h="21632">
                  <a:moveTo>
                    <a:pt x="10180" y="15872"/>
                  </a:moveTo>
                  <a:lnTo>
                    <a:pt x="6040" y="21631"/>
                  </a:lnTo>
                  <a:lnTo>
                    <a:pt x="0" y="10807"/>
                  </a:lnTo>
                  <a:lnTo>
                    <a:pt x="9246" y="0"/>
                  </a:lnTo>
                  <a:lnTo>
                    <a:pt x="13173" y="2755"/>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6585780" name="PAN">
            <a:extLst>
              <a:ext uri="{FF2B5EF4-FFF2-40B4-BE49-F238E27FC236}">
                <a16:creationId xmlns:a16="http://schemas.microsoft.com/office/drawing/2014/main" id="{00000000-0008-0000-2700-0000B47D6400}"/>
              </a:ext>
            </a:extLst>
          </xdr:cNvPr>
          <xdr:cNvSpPr/>
        </xdr:nvSpPr>
        <xdr:spPr>
          <a:xfrm>
            <a:off x="3693002" y="3112563"/>
            <a:ext cx="181864" cy="75918"/>
          </a:xfrm>
          <a:custGeom>
            <a:avLst/>
            <a:gdLst/>
            <a:ahLst/>
            <a:cxnLst/>
            <a:rect l="0" t="0" r="0" b="0"/>
            <a:pathLst>
              <a:path w="181713" h="75918">
                <a:moveTo>
                  <a:pt x="161424" y="75813"/>
                </a:moveTo>
                <a:lnTo>
                  <a:pt x="150841" y="66653"/>
                </a:lnTo>
                <a:lnTo>
                  <a:pt x="144037" y="49518"/>
                </a:lnTo>
                <a:lnTo>
                  <a:pt x="151883" y="41034"/>
                </a:lnTo>
                <a:lnTo>
                  <a:pt x="143837" y="38859"/>
                </a:lnTo>
                <a:lnTo>
                  <a:pt x="137913" y="28369"/>
                </a:lnTo>
                <a:lnTo>
                  <a:pt x="122095" y="19542"/>
                </a:lnTo>
                <a:lnTo>
                  <a:pt x="108201" y="21565"/>
                </a:lnTo>
                <a:lnTo>
                  <a:pt x="101766" y="32610"/>
                </a:lnTo>
                <a:lnTo>
                  <a:pt x="88942" y="40586"/>
                </a:lnTo>
                <a:lnTo>
                  <a:pt x="82014" y="41694"/>
                </a:lnTo>
                <a:lnTo>
                  <a:pt x="78902" y="48301"/>
                </a:lnTo>
                <a:lnTo>
                  <a:pt x="94047" y="65535"/>
                </a:lnTo>
                <a:lnTo>
                  <a:pt x="85379" y="69590"/>
                </a:lnTo>
                <a:lnTo>
                  <a:pt x="80791" y="74295"/>
                </a:lnTo>
                <a:lnTo>
                  <a:pt x="66021" y="75917"/>
                </a:lnTo>
                <a:lnTo>
                  <a:pt x="60525" y="56950"/>
                </a:lnTo>
                <a:lnTo>
                  <a:pt x="56392" y="62348"/>
                </a:lnTo>
                <a:lnTo>
                  <a:pt x="45921" y="60484"/>
                </a:lnTo>
                <a:lnTo>
                  <a:pt x="39513" y="47708"/>
                </a:lnTo>
                <a:lnTo>
                  <a:pt x="26493" y="45600"/>
                </a:lnTo>
                <a:lnTo>
                  <a:pt x="18253" y="41885"/>
                </a:lnTo>
                <a:lnTo>
                  <a:pt x="4626" y="41932"/>
                </a:lnTo>
                <a:lnTo>
                  <a:pt x="3645" y="48825"/>
                </a:lnTo>
                <a:lnTo>
                  <a:pt x="0" y="44025"/>
                </a:lnTo>
                <a:lnTo>
                  <a:pt x="1671" y="37722"/>
                </a:lnTo>
                <a:lnTo>
                  <a:pt x="4318" y="31283"/>
                </a:lnTo>
                <a:lnTo>
                  <a:pt x="3083" y="25537"/>
                </a:lnTo>
                <a:lnTo>
                  <a:pt x="7830" y="21777"/>
                </a:lnTo>
                <a:lnTo>
                  <a:pt x="1226" y="17059"/>
                </a:lnTo>
                <a:lnTo>
                  <a:pt x="1045" y="4280"/>
                </a:lnTo>
                <a:lnTo>
                  <a:pt x="13323" y="1445"/>
                </a:lnTo>
                <a:lnTo>
                  <a:pt x="24724" y="12833"/>
                </a:lnTo>
                <a:lnTo>
                  <a:pt x="24073" y="19558"/>
                </a:lnTo>
                <a:lnTo>
                  <a:pt x="36741" y="20987"/>
                </a:lnTo>
                <a:lnTo>
                  <a:pt x="39739" y="18402"/>
                </a:lnTo>
                <a:lnTo>
                  <a:pt x="48467" y="26207"/>
                </a:lnTo>
                <a:lnTo>
                  <a:pt x="64088" y="23911"/>
                </a:lnTo>
                <a:lnTo>
                  <a:pt x="77594" y="15891"/>
                </a:lnTo>
                <a:lnTo>
                  <a:pt x="96876" y="9487"/>
                </a:lnTo>
                <a:lnTo>
                  <a:pt x="107712" y="0"/>
                </a:lnTo>
                <a:lnTo>
                  <a:pt x="125241" y="1864"/>
                </a:lnTo>
                <a:lnTo>
                  <a:pt x="124057" y="4985"/>
                </a:lnTo>
                <a:lnTo>
                  <a:pt x="141761" y="6067"/>
                </a:lnTo>
                <a:lnTo>
                  <a:pt x="155890" y="11554"/>
                </a:lnTo>
                <a:lnTo>
                  <a:pt x="166253" y="21108"/>
                </a:lnTo>
                <a:lnTo>
                  <a:pt x="178194" y="29880"/>
                </a:lnTo>
                <a:lnTo>
                  <a:pt x="174343" y="34522"/>
                </a:lnTo>
                <a:lnTo>
                  <a:pt x="181712" y="53223"/>
                </a:lnTo>
                <a:lnTo>
                  <a:pt x="175727" y="62659"/>
                </a:lnTo>
                <a:lnTo>
                  <a:pt x="165494" y="6038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6585795" name="PNG">
            <a:extLst>
              <a:ext uri="{FF2B5EF4-FFF2-40B4-BE49-F238E27FC236}">
                <a16:creationId xmlns:a16="http://schemas.microsoft.com/office/drawing/2014/main" id="{00000000-0008-0000-2700-0000C37D6400}"/>
              </a:ext>
            </a:extLst>
          </xdr:cNvPr>
          <xdr:cNvGrpSpPr/>
        </xdr:nvGrpSpPr>
        <xdr:grpSpPr>
          <a:xfrm>
            <a:off x="10809848" y="3497107"/>
            <a:ext cx="477276" cy="258842"/>
            <a:chOff x="10699756" y="3751107"/>
            <a:chExt cx="476879" cy="258842"/>
          </a:xfrm>
          <a:grpFill/>
        </xdr:grpSpPr>
        <xdr:sp macro="" textlink="">
          <xdr:nvSpPr>
            <xdr:cNvPr id="6586820" name="PG_1">
              <a:extLst>
                <a:ext uri="{FF2B5EF4-FFF2-40B4-BE49-F238E27FC236}">
                  <a16:creationId xmlns:a16="http://schemas.microsoft.com/office/drawing/2014/main" id="{00000000-0008-0000-2700-0000C4816400}"/>
                </a:ext>
              </a:extLst>
            </xdr:cNvPr>
            <xdr:cNvSpPr/>
          </xdr:nvSpPr>
          <xdr:spPr>
            <a:xfrm>
              <a:off x="11128823" y="3831828"/>
              <a:ext cx="47812" cy="59614"/>
            </a:xfrm>
            <a:custGeom>
              <a:avLst/>
              <a:gdLst/>
              <a:ahLst/>
              <a:cxnLst/>
              <a:rect l="0" t="0" r="0" b="0"/>
              <a:pathLst>
                <a:path w="47812" h="59614">
                  <a:moveTo>
                    <a:pt x="43367" y="56438"/>
                  </a:moveTo>
                  <a:lnTo>
                    <a:pt x="34477" y="59613"/>
                  </a:lnTo>
                  <a:lnTo>
                    <a:pt x="20729" y="47418"/>
                  </a:lnTo>
                  <a:lnTo>
                    <a:pt x="6829" y="27254"/>
                  </a:lnTo>
                  <a:lnTo>
                    <a:pt x="0" y="3070"/>
                  </a:lnTo>
                  <a:lnTo>
                    <a:pt x="4393" y="0"/>
                  </a:lnTo>
                  <a:lnTo>
                    <a:pt x="7807" y="9448"/>
                  </a:lnTo>
                  <a:lnTo>
                    <a:pt x="17423" y="16649"/>
                  </a:lnTo>
                  <a:lnTo>
                    <a:pt x="32816" y="36776"/>
                  </a:lnTo>
                  <a:lnTo>
                    <a:pt x="47811" y="47548"/>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21" name="PG_2">
              <a:extLst>
                <a:ext uri="{FF2B5EF4-FFF2-40B4-BE49-F238E27FC236}">
                  <a16:creationId xmlns:a16="http://schemas.microsoft.com/office/drawing/2014/main" id="{00000000-0008-0000-2700-0000C5816400}"/>
                </a:ext>
              </a:extLst>
            </xdr:cNvPr>
            <xdr:cNvSpPr/>
          </xdr:nvSpPr>
          <xdr:spPr>
            <a:xfrm>
              <a:off x="10932124" y="3803456"/>
              <a:ext cx="127630" cy="68867"/>
            </a:xfrm>
            <a:custGeom>
              <a:avLst/>
              <a:gdLst/>
              <a:ahLst/>
              <a:cxnLst/>
              <a:rect l="0" t="0" r="0" b="0"/>
              <a:pathLst>
                <a:path w="127630" h="68867">
                  <a:moveTo>
                    <a:pt x="116329" y="42205"/>
                  </a:moveTo>
                  <a:lnTo>
                    <a:pt x="99702" y="44815"/>
                  </a:lnTo>
                  <a:lnTo>
                    <a:pt x="94695" y="53718"/>
                  </a:lnTo>
                  <a:lnTo>
                    <a:pt x="77328" y="61436"/>
                  </a:lnTo>
                  <a:lnTo>
                    <a:pt x="61034" y="68866"/>
                  </a:lnTo>
                  <a:lnTo>
                    <a:pt x="44168" y="68824"/>
                  </a:lnTo>
                  <a:lnTo>
                    <a:pt x="18136" y="59601"/>
                  </a:lnTo>
                  <a:lnTo>
                    <a:pt x="0" y="50746"/>
                  </a:lnTo>
                  <a:lnTo>
                    <a:pt x="2633" y="40926"/>
                  </a:lnTo>
                  <a:lnTo>
                    <a:pt x="31099" y="45558"/>
                  </a:lnTo>
                  <a:lnTo>
                    <a:pt x="48473" y="43075"/>
                  </a:lnTo>
                  <a:lnTo>
                    <a:pt x="53258" y="27854"/>
                  </a:lnTo>
                  <a:lnTo>
                    <a:pt x="57814" y="27067"/>
                  </a:lnTo>
                  <a:lnTo>
                    <a:pt x="60897" y="43923"/>
                  </a:lnTo>
                  <a:lnTo>
                    <a:pt x="79013" y="41497"/>
                  </a:lnTo>
                  <a:lnTo>
                    <a:pt x="87973" y="30635"/>
                  </a:lnTo>
                  <a:lnTo>
                    <a:pt x="105696" y="19313"/>
                  </a:lnTo>
                  <a:lnTo>
                    <a:pt x="102204" y="603"/>
                  </a:lnTo>
                  <a:lnTo>
                    <a:pt x="121219" y="0"/>
                  </a:lnTo>
                  <a:lnTo>
                    <a:pt x="127629" y="5213"/>
                  </a:lnTo>
                  <a:lnTo>
                    <a:pt x="126994" y="22825"/>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22" name="PG_3">
              <a:extLst>
                <a:ext uri="{FF2B5EF4-FFF2-40B4-BE49-F238E27FC236}">
                  <a16:creationId xmlns:a16="http://schemas.microsoft.com/office/drawing/2014/main" id="{00000000-0008-0000-2700-0000C6816400}"/>
                </a:ext>
              </a:extLst>
            </xdr:cNvPr>
            <xdr:cNvSpPr/>
          </xdr:nvSpPr>
          <xdr:spPr>
            <a:xfrm>
              <a:off x="10699756" y="3754288"/>
              <a:ext cx="311196" cy="255661"/>
            </a:xfrm>
            <a:custGeom>
              <a:avLst/>
              <a:gdLst/>
              <a:ahLst/>
              <a:cxnLst/>
              <a:rect l="0" t="0" r="0" b="0"/>
              <a:pathLst>
                <a:path w="311196" h="255661">
                  <a:moveTo>
                    <a:pt x="196586" y="152013"/>
                  </a:moveTo>
                  <a:lnTo>
                    <a:pt x="224929" y="172843"/>
                  </a:lnTo>
                  <a:lnTo>
                    <a:pt x="245551" y="206518"/>
                  </a:lnTo>
                  <a:lnTo>
                    <a:pt x="263735" y="205460"/>
                  </a:lnTo>
                  <a:lnTo>
                    <a:pt x="262458" y="219526"/>
                  </a:lnTo>
                  <a:lnTo>
                    <a:pt x="286972" y="224920"/>
                  </a:lnTo>
                  <a:lnTo>
                    <a:pt x="277450" y="230908"/>
                  </a:lnTo>
                  <a:lnTo>
                    <a:pt x="311195" y="244268"/>
                  </a:lnTo>
                  <a:lnTo>
                    <a:pt x="307670" y="253444"/>
                  </a:lnTo>
                  <a:lnTo>
                    <a:pt x="286645" y="255660"/>
                  </a:lnTo>
                  <a:lnTo>
                    <a:pt x="278832" y="247431"/>
                  </a:lnTo>
                  <a:lnTo>
                    <a:pt x="251552" y="243862"/>
                  </a:lnTo>
                  <a:lnTo>
                    <a:pt x="219481" y="239084"/>
                  </a:lnTo>
                  <a:lnTo>
                    <a:pt x="194792" y="218827"/>
                  </a:lnTo>
                  <a:lnTo>
                    <a:pt x="176774" y="201371"/>
                  </a:lnTo>
                  <a:lnTo>
                    <a:pt x="160284" y="173583"/>
                  </a:lnTo>
                  <a:lnTo>
                    <a:pt x="118872" y="159699"/>
                  </a:lnTo>
                  <a:lnTo>
                    <a:pt x="91976" y="168754"/>
                  </a:lnTo>
                  <a:lnTo>
                    <a:pt x="72587" y="179238"/>
                  </a:lnTo>
                  <a:lnTo>
                    <a:pt x="76635" y="202657"/>
                  </a:lnTo>
                  <a:lnTo>
                    <a:pt x="51695" y="213569"/>
                  </a:lnTo>
                  <a:lnTo>
                    <a:pt x="33912" y="208261"/>
                  </a:lnTo>
                  <a:lnTo>
                    <a:pt x="1070" y="206937"/>
                  </a:lnTo>
                  <a:lnTo>
                    <a:pt x="536" y="103467"/>
                  </a:lnTo>
                  <a:lnTo>
                    <a:pt x="0" y="0"/>
                  </a:lnTo>
                  <a:lnTo>
                    <a:pt x="55086" y="21876"/>
                  </a:lnTo>
                  <a:lnTo>
                    <a:pt x="113786" y="40043"/>
                  </a:lnTo>
                  <a:lnTo>
                    <a:pt x="135667" y="56308"/>
                  </a:lnTo>
                  <a:lnTo>
                    <a:pt x="153340" y="72272"/>
                  </a:lnTo>
                  <a:lnTo>
                    <a:pt x="158169" y="90976"/>
                  </a:lnTo>
                  <a:lnTo>
                    <a:pt x="211071" y="110601"/>
                  </a:lnTo>
                  <a:lnTo>
                    <a:pt x="218786" y="127438"/>
                  </a:lnTo>
                  <a:lnTo>
                    <a:pt x="189570" y="13085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23" name="PG_4">
              <a:extLst>
                <a:ext uri="{FF2B5EF4-FFF2-40B4-BE49-F238E27FC236}">
                  <a16:creationId xmlns:a16="http://schemas.microsoft.com/office/drawing/2014/main" id="{00000000-0008-0000-2700-0000C7816400}"/>
                </a:ext>
              </a:extLst>
            </xdr:cNvPr>
            <xdr:cNvSpPr/>
          </xdr:nvSpPr>
          <xdr:spPr>
            <a:xfrm>
              <a:off x="11006518" y="3751107"/>
              <a:ext cx="78677" cy="71959"/>
            </a:xfrm>
            <a:custGeom>
              <a:avLst/>
              <a:gdLst/>
              <a:ahLst/>
              <a:cxnLst/>
              <a:rect l="0" t="0" r="0" b="0"/>
              <a:pathLst>
                <a:path w="78677" h="71959">
                  <a:moveTo>
                    <a:pt x="78676" y="63500"/>
                  </a:moveTo>
                  <a:lnTo>
                    <a:pt x="68748" y="71958"/>
                  </a:lnTo>
                  <a:lnTo>
                    <a:pt x="62760" y="53216"/>
                  </a:lnTo>
                  <a:lnTo>
                    <a:pt x="55372" y="40947"/>
                  </a:lnTo>
                  <a:lnTo>
                    <a:pt x="40996" y="30546"/>
                  </a:lnTo>
                  <a:lnTo>
                    <a:pt x="22933" y="16999"/>
                  </a:lnTo>
                  <a:lnTo>
                    <a:pt x="0" y="7667"/>
                  </a:lnTo>
                  <a:lnTo>
                    <a:pt x="8826" y="0"/>
                  </a:lnTo>
                  <a:lnTo>
                    <a:pt x="25972" y="8889"/>
                  </a:lnTo>
                  <a:lnTo>
                    <a:pt x="36766" y="15875"/>
                  </a:lnTo>
                  <a:lnTo>
                    <a:pt x="50101" y="23494"/>
                  </a:lnTo>
                  <a:lnTo>
                    <a:pt x="62801" y="36830"/>
                  </a:lnTo>
                  <a:lnTo>
                    <a:pt x="74866" y="4698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6585796" name="PRY">
            <a:extLst>
              <a:ext uri="{FF2B5EF4-FFF2-40B4-BE49-F238E27FC236}">
                <a16:creationId xmlns:a16="http://schemas.microsoft.com/office/drawing/2014/main" id="{00000000-0008-0000-2700-0000C47D6400}"/>
              </a:ext>
            </a:extLst>
          </xdr:cNvPr>
          <xdr:cNvSpPr/>
        </xdr:nvSpPr>
        <xdr:spPr>
          <a:xfrm>
            <a:off x="4337452" y="4031862"/>
            <a:ext cx="266672" cy="260535"/>
          </a:xfrm>
          <a:custGeom>
            <a:avLst/>
            <a:gdLst/>
            <a:ahLst/>
            <a:cxnLst/>
            <a:rect l="0" t="0" r="0" b="0"/>
            <a:pathLst>
              <a:path w="266450" h="260535">
                <a:moveTo>
                  <a:pt x="0" y="92275"/>
                </a:moveTo>
                <a:lnTo>
                  <a:pt x="12506" y="54258"/>
                </a:lnTo>
                <a:lnTo>
                  <a:pt x="13306" y="37179"/>
                </a:lnTo>
                <a:lnTo>
                  <a:pt x="28536" y="9239"/>
                </a:lnTo>
                <a:lnTo>
                  <a:pt x="83867" y="0"/>
                </a:lnTo>
                <a:lnTo>
                  <a:pt x="113350" y="451"/>
                </a:lnTo>
                <a:lnTo>
                  <a:pt x="142925" y="16691"/>
                </a:lnTo>
                <a:lnTo>
                  <a:pt x="143468" y="26480"/>
                </a:lnTo>
                <a:lnTo>
                  <a:pt x="152857" y="44133"/>
                </a:lnTo>
                <a:lnTo>
                  <a:pt x="150746" y="87233"/>
                </a:lnTo>
                <a:lnTo>
                  <a:pt x="184264" y="93329"/>
                </a:lnTo>
                <a:lnTo>
                  <a:pt x="197224" y="87109"/>
                </a:lnTo>
                <a:lnTo>
                  <a:pt x="218665" y="95701"/>
                </a:lnTo>
                <a:lnTo>
                  <a:pt x="224612" y="105185"/>
                </a:lnTo>
                <a:lnTo>
                  <a:pt x="227568" y="134280"/>
                </a:lnTo>
                <a:lnTo>
                  <a:pt x="231279" y="146501"/>
                </a:lnTo>
                <a:lnTo>
                  <a:pt x="243116" y="147911"/>
                </a:lnTo>
                <a:lnTo>
                  <a:pt x="255025" y="142777"/>
                </a:lnTo>
                <a:lnTo>
                  <a:pt x="266449" y="148536"/>
                </a:lnTo>
                <a:lnTo>
                  <a:pt x="266433" y="165993"/>
                </a:lnTo>
                <a:lnTo>
                  <a:pt x="262134" y="184769"/>
                </a:lnTo>
                <a:lnTo>
                  <a:pt x="255898" y="203092"/>
                </a:lnTo>
                <a:lnTo>
                  <a:pt x="250707" y="231111"/>
                </a:lnTo>
                <a:lnTo>
                  <a:pt x="221910" y="255432"/>
                </a:lnTo>
                <a:lnTo>
                  <a:pt x="196799" y="260534"/>
                </a:lnTo>
                <a:lnTo>
                  <a:pt x="161140" y="255689"/>
                </a:lnTo>
                <a:lnTo>
                  <a:pt x="129124" y="247047"/>
                </a:lnTo>
                <a:lnTo>
                  <a:pt x="160381" y="198787"/>
                </a:lnTo>
                <a:lnTo>
                  <a:pt x="155825" y="184772"/>
                </a:lnTo>
                <a:lnTo>
                  <a:pt x="123126" y="172365"/>
                </a:lnTo>
                <a:lnTo>
                  <a:pt x="84331" y="148911"/>
                </a:lnTo>
                <a:lnTo>
                  <a:pt x="58372" y="14408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800" name="PER">
            <a:extLst>
              <a:ext uri="{FF2B5EF4-FFF2-40B4-BE49-F238E27FC236}">
                <a16:creationId xmlns:a16="http://schemas.microsoft.com/office/drawing/2014/main" id="{00000000-0008-0000-2700-0000C87D6400}"/>
              </a:ext>
            </a:extLst>
          </xdr:cNvPr>
          <xdr:cNvSpPr/>
        </xdr:nvSpPr>
        <xdr:spPr>
          <a:xfrm>
            <a:off x="3742411" y="3419547"/>
            <a:ext cx="405018" cy="580735"/>
          </a:xfrm>
          <a:custGeom>
            <a:avLst/>
            <a:gdLst/>
            <a:ahLst/>
            <a:cxnLst/>
            <a:rect l="0" t="0" r="0" b="0"/>
            <a:pathLst>
              <a:path w="404681" h="580735">
                <a:moveTo>
                  <a:pt x="375301" y="556349"/>
                </a:moveTo>
                <a:lnTo>
                  <a:pt x="366792" y="572628"/>
                </a:lnTo>
                <a:lnTo>
                  <a:pt x="350467" y="580734"/>
                </a:lnTo>
                <a:lnTo>
                  <a:pt x="318631" y="562502"/>
                </a:lnTo>
                <a:lnTo>
                  <a:pt x="315878" y="549476"/>
                </a:lnTo>
                <a:lnTo>
                  <a:pt x="252934" y="517596"/>
                </a:lnTo>
                <a:lnTo>
                  <a:pt x="195993" y="482871"/>
                </a:lnTo>
                <a:lnTo>
                  <a:pt x="171504" y="463300"/>
                </a:lnTo>
                <a:lnTo>
                  <a:pt x="158350" y="437071"/>
                </a:lnTo>
                <a:lnTo>
                  <a:pt x="163567" y="427921"/>
                </a:lnTo>
                <a:lnTo>
                  <a:pt x="136675" y="386255"/>
                </a:lnTo>
                <a:lnTo>
                  <a:pt x="105369" y="327676"/>
                </a:lnTo>
                <a:lnTo>
                  <a:pt x="75372" y="264459"/>
                </a:lnTo>
                <a:lnTo>
                  <a:pt x="62389" y="249987"/>
                </a:lnTo>
                <a:lnTo>
                  <a:pt x="52398" y="226604"/>
                </a:lnTo>
                <a:lnTo>
                  <a:pt x="27731" y="205884"/>
                </a:lnTo>
                <a:lnTo>
                  <a:pt x="5109" y="193028"/>
                </a:lnTo>
                <a:lnTo>
                  <a:pt x="15387" y="178861"/>
                </a:lnTo>
                <a:lnTo>
                  <a:pt x="0" y="148578"/>
                </a:lnTo>
                <a:lnTo>
                  <a:pt x="9881" y="126340"/>
                </a:lnTo>
                <a:lnTo>
                  <a:pt x="35189" y="106290"/>
                </a:lnTo>
                <a:lnTo>
                  <a:pt x="38955" y="119507"/>
                </a:lnTo>
                <a:lnTo>
                  <a:pt x="29896" y="127067"/>
                </a:lnTo>
                <a:lnTo>
                  <a:pt x="30757" y="138700"/>
                </a:lnTo>
                <a:lnTo>
                  <a:pt x="43879" y="136173"/>
                </a:lnTo>
                <a:lnTo>
                  <a:pt x="56703" y="139605"/>
                </a:lnTo>
                <a:lnTo>
                  <a:pt x="70028" y="155636"/>
                </a:lnTo>
                <a:lnTo>
                  <a:pt x="87980" y="142577"/>
                </a:lnTo>
                <a:lnTo>
                  <a:pt x="93987" y="121155"/>
                </a:lnTo>
                <a:lnTo>
                  <a:pt x="113443" y="93530"/>
                </a:lnTo>
                <a:lnTo>
                  <a:pt x="151623" y="81011"/>
                </a:lnTo>
                <a:lnTo>
                  <a:pt x="186243" y="47765"/>
                </a:lnTo>
                <a:lnTo>
                  <a:pt x="196126" y="27121"/>
                </a:lnTo>
                <a:lnTo>
                  <a:pt x="191697" y="3010"/>
                </a:lnTo>
                <a:lnTo>
                  <a:pt x="200162" y="0"/>
                </a:lnTo>
                <a:lnTo>
                  <a:pt x="221276" y="15037"/>
                </a:lnTo>
                <a:lnTo>
                  <a:pt x="231410" y="30023"/>
                </a:lnTo>
                <a:lnTo>
                  <a:pt x="246107" y="38205"/>
                </a:lnTo>
                <a:lnTo>
                  <a:pt x="264811" y="71495"/>
                </a:lnTo>
                <a:lnTo>
                  <a:pt x="288452" y="75470"/>
                </a:lnTo>
                <a:lnTo>
                  <a:pt x="305946" y="67076"/>
                </a:lnTo>
                <a:lnTo>
                  <a:pt x="317415" y="72568"/>
                </a:lnTo>
                <a:lnTo>
                  <a:pt x="336468" y="69841"/>
                </a:lnTo>
                <a:lnTo>
                  <a:pt x="360782" y="84710"/>
                </a:lnTo>
                <a:lnTo>
                  <a:pt x="340303" y="117022"/>
                </a:lnTo>
                <a:lnTo>
                  <a:pt x="349787" y="117774"/>
                </a:lnTo>
                <a:lnTo>
                  <a:pt x="365675" y="134652"/>
                </a:lnTo>
                <a:lnTo>
                  <a:pt x="337062" y="133163"/>
                </a:lnTo>
                <a:lnTo>
                  <a:pt x="332807" y="137935"/>
                </a:lnTo>
                <a:lnTo>
                  <a:pt x="306785" y="144044"/>
                </a:lnTo>
                <a:lnTo>
                  <a:pt x="270479" y="165653"/>
                </a:lnTo>
                <a:lnTo>
                  <a:pt x="268174" y="180471"/>
                </a:lnTo>
                <a:lnTo>
                  <a:pt x="260071" y="191517"/>
                </a:lnTo>
                <a:lnTo>
                  <a:pt x="263237" y="208684"/>
                </a:lnTo>
                <a:lnTo>
                  <a:pt x="244044" y="217850"/>
                </a:lnTo>
                <a:lnTo>
                  <a:pt x="244079" y="231261"/>
                </a:lnTo>
                <a:lnTo>
                  <a:pt x="235703" y="237065"/>
                </a:lnTo>
                <a:lnTo>
                  <a:pt x="248914" y="265659"/>
                </a:lnTo>
                <a:lnTo>
                  <a:pt x="266557" y="284976"/>
                </a:lnTo>
                <a:lnTo>
                  <a:pt x="259849" y="298609"/>
                </a:lnTo>
                <a:lnTo>
                  <a:pt x="280921" y="300451"/>
                </a:lnTo>
                <a:lnTo>
                  <a:pt x="292926" y="317386"/>
                </a:lnTo>
                <a:lnTo>
                  <a:pt x="320945" y="318205"/>
                </a:lnTo>
                <a:lnTo>
                  <a:pt x="346996" y="299495"/>
                </a:lnTo>
                <a:lnTo>
                  <a:pt x="344875" y="347723"/>
                </a:lnTo>
                <a:lnTo>
                  <a:pt x="359318" y="351372"/>
                </a:lnTo>
                <a:lnTo>
                  <a:pt x="377229" y="345901"/>
                </a:lnTo>
                <a:lnTo>
                  <a:pt x="404680" y="397006"/>
                </a:lnTo>
                <a:lnTo>
                  <a:pt x="397853" y="407750"/>
                </a:lnTo>
                <a:lnTo>
                  <a:pt x="396294" y="430070"/>
                </a:lnTo>
                <a:lnTo>
                  <a:pt x="395669" y="457086"/>
                </a:lnTo>
                <a:lnTo>
                  <a:pt x="383267" y="472949"/>
                </a:lnTo>
                <a:lnTo>
                  <a:pt x="388957" y="484722"/>
                </a:lnTo>
                <a:lnTo>
                  <a:pt x="381671" y="495393"/>
                </a:lnTo>
                <a:lnTo>
                  <a:pt x="395329" y="52208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6585801" name="PHL">
            <a:extLst>
              <a:ext uri="{FF2B5EF4-FFF2-40B4-BE49-F238E27FC236}">
                <a16:creationId xmlns:a16="http://schemas.microsoft.com/office/drawing/2014/main" id="{00000000-0008-0000-2700-0000C97D6400}"/>
              </a:ext>
            </a:extLst>
          </xdr:cNvPr>
          <xdr:cNvGrpSpPr/>
        </xdr:nvGrpSpPr>
        <xdr:grpSpPr>
          <a:xfrm>
            <a:off x="10052745" y="2830191"/>
            <a:ext cx="297528" cy="410345"/>
            <a:chOff x="9943283" y="3084191"/>
            <a:chExt cx="297280" cy="410345"/>
          </a:xfrm>
          <a:grpFill/>
        </xdr:grpSpPr>
        <xdr:sp macro="" textlink="">
          <xdr:nvSpPr>
            <xdr:cNvPr id="6586813" name="PH_1">
              <a:extLst>
                <a:ext uri="{FF2B5EF4-FFF2-40B4-BE49-F238E27FC236}">
                  <a16:creationId xmlns:a16="http://schemas.microsoft.com/office/drawing/2014/main" id="{00000000-0008-0000-2700-0000BD816400}"/>
                </a:ext>
              </a:extLst>
            </xdr:cNvPr>
            <xdr:cNvSpPr/>
          </xdr:nvSpPr>
          <xdr:spPr>
            <a:xfrm>
              <a:off x="10093956" y="3361842"/>
              <a:ext cx="146607" cy="132694"/>
            </a:xfrm>
            <a:custGeom>
              <a:avLst/>
              <a:gdLst/>
              <a:ahLst/>
              <a:cxnLst/>
              <a:rect l="0" t="0" r="0" b="0"/>
              <a:pathLst>
                <a:path w="146607" h="132694">
                  <a:moveTo>
                    <a:pt x="141507" y="42723"/>
                  </a:moveTo>
                  <a:lnTo>
                    <a:pt x="144736" y="63814"/>
                  </a:lnTo>
                  <a:lnTo>
                    <a:pt x="146606" y="81626"/>
                  </a:lnTo>
                  <a:lnTo>
                    <a:pt x="135792" y="110680"/>
                  </a:lnTo>
                  <a:lnTo>
                    <a:pt x="124190" y="78315"/>
                  </a:lnTo>
                  <a:lnTo>
                    <a:pt x="109347" y="94418"/>
                  </a:lnTo>
                  <a:lnTo>
                    <a:pt x="119485" y="117811"/>
                  </a:lnTo>
                  <a:lnTo>
                    <a:pt x="110383" y="132693"/>
                  </a:lnTo>
                  <a:lnTo>
                    <a:pt x="73022" y="114265"/>
                  </a:lnTo>
                  <a:lnTo>
                    <a:pt x="64097" y="91287"/>
                  </a:lnTo>
                  <a:lnTo>
                    <a:pt x="73781" y="76190"/>
                  </a:lnTo>
                  <a:lnTo>
                    <a:pt x="53668" y="61176"/>
                  </a:lnTo>
                  <a:lnTo>
                    <a:pt x="43694" y="74339"/>
                  </a:lnTo>
                  <a:lnTo>
                    <a:pt x="28753" y="73117"/>
                  </a:lnTo>
                  <a:lnTo>
                    <a:pt x="5258" y="90834"/>
                  </a:lnTo>
                  <a:lnTo>
                    <a:pt x="0" y="81540"/>
                  </a:lnTo>
                  <a:lnTo>
                    <a:pt x="12462" y="54778"/>
                  </a:lnTo>
                  <a:lnTo>
                    <a:pt x="32465" y="45850"/>
                  </a:lnTo>
                  <a:lnTo>
                    <a:pt x="49778" y="33887"/>
                  </a:lnTo>
                  <a:lnTo>
                    <a:pt x="61002" y="48260"/>
                  </a:lnTo>
                  <a:lnTo>
                    <a:pt x="85141" y="39563"/>
                  </a:lnTo>
                  <a:lnTo>
                    <a:pt x="90320" y="25397"/>
                  </a:lnTo>
                  <a:lnTo>
                    <a:pt x="112761" y="24552"/>
                  </a:lnTo>
                  <a:lnTo>
                    <a:pt x="110878" y="0"/>
                  </a:lnTo>
                  <a:lnTo>
                    <a:pt x="136614" y="15056"/>
                  </a:lnTo>
                  <a:lnTo>
                    <a:pt x="139278" y="31045"/>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14" name="PH_2">
              <a:extLst>
                <a:ext uri="{FF2B5EF4-FFF2-40B4-BE49-F238E27FC236}">
                  <a16:creationId xmlns:a16="http://schemas.microsoft.com/office/drawing/2014/main" id="{00000000-0008-0000-2700-0000BE816400}"/>
                </a:ext>
              </a:extLst>
            </xdr:cNvPr>
            <xdr:cNvSpPr/>
          </xdr:nvSpPr>
          <xdr:spPr>
            <a:xfrm>
              <a:off x="10108568" y="3315093"/>
              <a:ext cx="53906" cy="70185"/>
            </a:xfrm>
            <a:custGeom>
              <a:avLst/>
              <a:gdLst/>
              <a:ahLst/>
              <a:cxnLst/>
              <a:rect l="0" t="0" r="0" b="0"/>
              <a:pathLst>
                <a:path w="53906" h="70185">
                  <a:moveTo>
                    <a:pt x="50873" y="30286"/>
                  </a:moveTo>
                  <a:lnTo>
                    <a:pt x="39468" y="40723"/>
                  </a:lnTo>
                  <a:lnTo>
                    <a:pt x="29521" y="60782"/>
                  </a:lnTo>
                  <a:lnTo>
                    <a:pt x="19551" y="70184"/>
                  </a:lnTo>
                  <a:lnTo>
                    <a:pt x="0" y="48238"/>
                  </a:lnTo>
                  <a:lnTo>
                    <a:pt x="6540" y="39742"/>
                  </a:lnTo>
                  <a:lnTo>
                    <a:pt x="14510" y="30845"/>
                  </a:lnTo>
                  <a:lnTo>
                    <a:pt x="18012" y="11138"/>
                  </a:lnTo>
                  <a:lnTo>
                    <a:pt x="35519" y="9275"/>
                  </a:lnTo>
                  <a:lnTo>
                    <a:pt x="30406" y="30648"/>
                  </a:lnTo>
                  <a:lnTo>
                    <a:pt x="53905"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15" name="PH_3">
              <a:extLst>
                <a:ext uri="{FF2B5EF4-FFF2-40B4-BE49-F238E27FC236}">
                  <a16:creationId xmlns:a16="http://schemas.microsoft.com/office/drawing/2014/main" id="{00000000-0008-0000-2700-0000BF816400}"/>
                </a:ext>
              </a:extLst>
            </xdr:cNvPr>
            <xdr:cNvSpPr/>
          </xdr:nvSpPr>
          <xdr:spPr>
            <a:xfrm>
              <a:off x="9943283" y="3310744"/>
              <a:ext cx="79865" cy="95320"/>
            </a:xfrm>
            <a:custGeom>
              <a:avLst/>
              <a:gdLst/>
              <a:ahLst/>
              <a:cxnLst/>
              <a:rect l="0" t="0" r="0" b="0"/>
              <a:pathLst>
                <a:path w="79865" h="95320">
                  <a:moveTo>
                    <a:pt x="42237" y="65192"/>
                  </a:moveTo>
                  <a:lnTo>
                    <a:pt x="0" y="95319"/>
                  </a:lnTo>
                  <a:lnTo>
                    <a:pt x="15564" y="73113"/>
                  </a:lnTo>
                  <a:lnTo>
                    <a:pt x="38500" y="53504"/>
                  </a:lnTo>
                  <a:lnTo>
                    <a:pt x="57563" y="31540"/>
                  </a:lnTo>
                  <a:lnTo>
                    <a:pt x="74207" y="0"/>
                  </a:lnTo>
                  <a:lnTo>
                    <a:pt x="79864" y="25888"/>
                  </a:lnTo>
                  <a:lnTo>
                    <a:pt x="58903" y="4337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16" name="PH_4">
              <a:extLst>
                <a:ext uri="{FF2B5EF4-FFF2-40B4-BE49-F238E27FC236}">
                  <a16:creationId xmlns:a16="http://schemas.microsoft.com/office/drawing/2014/main" id="{00000000-0008-0000-2700-0000C0816400}"/>
                </a:ext>
              </a:extLst>
            </xdr:cNvPr>
            <xdr:cNvSpPr/>
          </xdr:nvSpPr>
          <xdr:spPr>
            <a:xfrm>
              <a:off x="10092801" y="3294167"/>
              <a:ext cx="39266" cy="46064"/>
            </a:xfrm>
            <a:custGeom>
              <a:avLst/>
              <a:gdLst/>
              <a:ahLst/>
              <a:cxnLst/>
              <a:rect l="0" t="0" r="0" b="0"/>
              <a:pathLst>
                <a:path w="39266" h="46064">
                  <a:moveTo>
                    <a:pt x="0" y="0"/>
                  </a:moveTo>
                  <a:lnTo>
                    <a:pt x="19059" y="9830"/>
                  </a:lnTo>
                  <a:lnTo>
                    <a:pt x="39265" y="9782"/>
                  </a:lnTo>
                  <a:lnTo>
                    <a:pt x="38649" y="23047"/>
                  </a:lnTo>
                  <a:lnTo>
                    <a:pt x="23945" y="36528"/>
                  </a:lnTo>
                  <a:lnTo>
                    <a:pt x="3781" y="46063"/>
                  </a:lnTo>
                  <a:lnTo>
                    <a:pt x="2664" y="31309"/>
                  </a:lnTo>
                  <a:lnTo>
                    <a:pt x="4918" y="1511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17" name="PH_5">
              <a:extLst>
                <a:ext uri="{FF2B5EF4-FFF2-40B4-BE49-F238E27FC236}">
                  <a16:creationId xmlns:a16="http://schemas.microsoft.com/office/drawing/2014/main" id="{00000000-0008-0000-2700-0000C1816400}"/>
                </a:ext>
              </a:extLst>
            </xdr:cNvPr>
            <xdr:cNvSpPr/>
          </xdr:nvSpPr>
          <xdr:spPr>
            <a:xfrm>
              <a:off x="10168470" y="3273021"/>
              <a:ext cx="48157" cy="76935"/>
            </a:xfrm>
            <a:custGeom>
              <a:avLst/>
              <a:gdLst/>
              <a:ahLst/>
              <a:cxnLst/>
              <a:rect l="0" t="0" r="0" b="0"/>
              <a:pathLst>
                <a:path w="48157" h="76935">
                  <a:moveTo>
                    <a:pt x="39237" y="12545"/>
                  </a:moveTo>
                  <a:lnTo>
                    <a:pt x="48156" y="47997"/>
                  </a:lnTo>
                  <a:lnTo>
                    <a:pt x="23657" y="39570"/>
                  </a:lnTo>
                  <a:lnTo>
                    <a:pt x="24321" y="50229"/>
                  </a:lnTo>
                  <a:lnTo>
                    <a:pt x="32087" y="69822"/>
                  </a:lnTo>
                  <a:lnTo>
                    <a:pt x="16987" y="76934"/>
                  </a:lnTo>
                  <a:lnTo>
                    <a:pt x="15666" y="54604"/>
                  </a:lnTo>
                  <a:lnTo>
                    <a:pt x="6106" y="52956"/>
                  </a:lnTo>
                  <a:lnTo>
                    <a:pt x="1134" y="33731"/>
                  </a:lnTo>
                  <a:lnTo>
                    <a:pt x="19818" y="36265"/>
                  </a:lnTo>
                  <a:lnTo>
                    <a:pt x="19406" y="24245"/>
                  </a:lnTo>
                  <a:lnTo>
                    <a:pt x="0" y="0"/>
                  </a:lnTo>
                  <a:lnTo>
                    <a:pt x="30490" y="70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18" name="PH_6">
              <a:extLst>
                <a:ext uri="{FF2B5EF4-FFF2-40B4-BE49-F238E27FC236}">
                  <a16:creationId xmlns:a16="http://schemas.microsoft.com/office/drawing/2014/main" id="{00000000-0008-0000-2700-0000C2816400}"/>
                </a:ext>
              </a:extLst>
            </xdr:cNvPr>
            <xdr:cNvSpPr/>
          </xdr:nvSpPr>
          <xdr:spPr>
            <a:xfrm>
              <a:off x="10043267" y="3244173"/>
              <a:ext cx="38228" cy="40032"/>
            </a:xfrm>
            <a:custGeom>
              <a:avLst/>
              <a:gdLst/>
              <a:ahLst/>
              <a:cxnLst/>
              <a:rect l="0" t="0" r="0" b="0"/>
              <a:pathLst>
                <a:path w="38228" h="40032">
                  <a:moveTo>
                    <a:pt x="38227" y="12599"/>
                  </a:moveTo>
                  <a:lnTo>
                    <a:pt x="29808" y="40031"/>
                  </a:lnTo>
                  <a:lnTo>
                    <a:pt x="16209" y="24191"/>
                  </a:lnTo>
                  <a:lnTo>
                    <a:pt x="0" y="0"/>
                  </a:lnTo>
                  <a:lnTo>
                    <a:pt x="27201" y="1165"/>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19" name="PH_7">
              <a:extLst>
                <a:ext uri="{FF2B5EF4-FFF2-40B4-BE49-F238E27FC236}">
                  <a16:creationId xmlns:a16="http://schemas.microsoft.com/office/drawing/2014/main" id="{00000000-0008-0000-2700-0000C3816400}"/>
                </a:ext>
              </a:extLst>
            </xdr:cNvPr>
            <xdr:cNvSpPr/>
          </xdr:nvSpPr>
          <xdr:spPr>
            <a:xfrm>
              <a:off x="10029310" y="3084191"/>
              <a:ext cx="136447" cy="189501"/>
            </a:xfrm>
            <a:custGeom>
              <a:avLst/>
              <a:gdLst/>
              <a:ahLst/>
              <a:cxnLst/>
              <a:rect l="0" t="0" r="0" b="0"/>
              <a:pathLst>
                <a:path w="136447" h="189501">
                  <a:moveTo>
                    <a:pt x="45640" y="35"/>
                  </a:moveTo>
                  <a:lnTo>
                    <a:pt x="65208" y="9100"/>
                  </a:lnTo>
                  <a:lnTo>
                    <a:pt x="75000" y="835"/>
                  </a:lnTo>
                  <a:lnTo>
                    <a:pt x="77890" y="8900"/>
                  </a:lnTo>
                  <a:lnTo>
                    <a:pt x="72723" y="22063"/>
                  </a:lnTo>
                  <a:lnTo>
                    <a:pt x="83563" y="44822"/>
                  </a:lnTo>
                  <a:lnTo>
                    <a:pt x="75200" y="71209"/>
                  </a:lnTo>
                  <a:lnTo>
                    <a:pt x="56483" y="81731"/>
                  </a:lnTo>
                  <a:lnTo>
                    <a:pt x="51477" y="107328"/>
                  </a:lnTo>
                  <a:lnTo>
                    <a:pt x="58579" y="132614"/>
                  </a:lnTo>
                  <a:lnTo>
                    <a:pt x="75410" y="136113"/>
                  </a:lnTo>
                  <a:lnTo>
                    <a:pt x="89456" y="132357"/>
                  </a:lnTo>
                  <a:lnTo>
                    <a:pt x="129111" y="149959"/>
                  </a:lnTo>
                  <a:lnTo>
                    <a:pt x="126089" y="167240"/>
                  </a:lnTo>
                  <a:lnTo>
                    <a:pt x="136446" y="174870"/>
                  </a:lnTo>
                  <a:lnTo>
                    <a:pt x="133147" y="189500"/>
                  </a:lnTo>
                  <a:lnTo>
                    <a:pt x="108401" y="173917"/>
                  </a:lnTo>
                  <a:lnTo>
                    <a:pt x="96676" y="157236"/>
                  </a:lnTo>
                  <a:lnTo>
                    <a:pt x="88507" y="168891"/>
                  </a:lnTo>
                  <a:lnTo>
                    <a:pt x="68288" y="149883"/>
                  </a:lnTo>
                  <a:lnTo>
                    <a:pt x="39452" y="154575"/>
                  </a:lnTo>
                  <a:lnTo>
                    <a:pt x="23647" y="147559"/>
                  </a:lnTo>
                  <a:lnTo>
                    <a:pt x="25260" y="134436"/>
                  </a:lnTo>
                  <a:lnTo>
                    <a:pt x="35179" y="126359"/>
                  </a:lnTo>
                  <a:lnTo>
                    <a:pt x="25702" y="119015"/>
                  </a:lnTo>
                  <a:lnTo>
                    <a:pt x="21600" y="130458"/>
                  </a:lnTo>
                  <a:lnTo>
                    <a:pt x="5925" y="112214"/>
                  </a:lnTo>
                  <a:lnTo>
                    <a:pt x="1178" y="98390"/>
                  </a:lnTo>
                  <a:lnTo>
                    <a:pt x="0" y="67993"/>
                  </a:lnTo>
                  <a:lnTo>
                    <a:pt x="12786" y="78442"/>
                  </a:lnTo>
                  <a:lnTo>
                    <a:pt x="16072" y="28769"/>
                  </a:lnTo>
                  <a:lnTo>
                    <a:pt x="26419"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6585803" name="POL">
            <a:extLst>
              <a:ext uri="{FF2B5EF4-FFF2-40B4-BE49-F238E27FC236}">
                <a16:creationId xmlns:a16="http://schemas.microsoft.com/office/drawing/2014/main" id="{00000000-0008-0000-2700-0000CB7D6400}"/>
              </a:ext>
            </a:extLst>
          </xdr:cNvPr>
          <xdr:cNvSpPr/>
        </xdr:nvSpPr>
        <xdr:spPr>
          <a:xfrm>
            <a:off x="6776599" y="1676196"/>
            <a:ext cx="316351" cy="184916"/>
          </a:xfrm>
          <a:custGeom>
            <a:avLst/>
            <a:gdLst/>
            <a:ahLst/>
            <a:cxnLst/>
            <a:rect l="0" t="0" r="0" b="0"/>
            <a:pathLst>
              <a:path w="316088" h="184916">
                <a:moveTo>
                  <a:pt x="29924" y="118898"/>
                </a:moveTo>
                <a:lnTo>
                  <a:pt x="16910" y="98625"/>
                </a:lnTo>
                <a:lnTo>
                  <a:pt x="19384" y="87681"/>
                </a:lnTo>
                <a:lnTo>
                  <a:pt x="11528" y="70695"/>
                </a:lnTo>
                <a:lnTo>
                  <a:pt x="0" y="59379"/>
                </a:lnTo>
                <a:lnTo>
                  <a:pt x="8852" y="50905"/>
                </a:lnTo>
                <a:lnTo>
                  <a:pt x="1435" y="34751"/>
                </a:lnTo>
                <a:lnTo>
                  <a:pt x="23127" y="25426"/>
                </a:lnTo>
                <a:lnTo>
                  <a:pt x="72676" y="10741"/>
                </a:lnTo>
                <a:lnTo>
                  <a:pt x="112658" y="0"/>
                </a:lnTo>
                <a:lnTo>
                  <a:pt x="144348" y="5363"/>
                </a:lnTo>
                <a:lnTo>
                  <a:pt x="146742" y="13107"/>
                </a:lnTo>
                <a:lnTo>
                  <a:pt x="177358" y="13507"/>
                </a:lnTo>
                <a:lnTo>
                  <a:pt x="216462" y="17114"/>
                </a:lnTo>
                <a:lnTo>
                  <a:pt x="274847" y="16637"/>
                </a:lnTo>
                <a:lnTo>
                  <a:pt x="291131" y="20031"/>
                </a:lnTo>
                <a:lnTo>
                  <a:pt x="298755" y="29814"/>
                </a:lnTo>
                <a:lnTo>
                  <a:pt x="300132" y="43860"/>
                </a:lnTo>
                <a:lnTo>
                  <a:pt x="308940" y="55938"/>
                </a:lnTo>
                <a:lnTo>
                  <a:pt x="308759" y="68593"/>
                </a:lnTo>
                <a:lnTo>
                  <a:pt x="289719" y="75073"/>
                </a:lnTo>
                <a:lnTo>
                  <a:pt x="299514" y="89786"/>
                </a:lnTo>
                <a:lnTo>
                  <a:pt x="300120" y="103918"/>
                </a:lnTo>
                <a:lnTo>
                  <a:pt x="316087" y="131639"/>
                </a:lnTo>
                <a:lnTo>
                  <a:pt x="312683" y="140545"/>
                </a:lnTo>
                <a:lnTo>
                  <a:pt x="296926" y="144241"/>
                </a:lnTo>
                <a:lnTo>
                  <a:pt x="268097" y="170647"/>
                </a:lnTo>
                <a:lnTo>
                  <a:pt x="276285" y="184915"/>
                </a:lnTo>
                <a:lnTo>
                  <a:pt x="269354" y="183064"/>
                </a:lnTo>
                <a:lnTo>
                  <a:pt x="239182" y="170860"/>
                </a:lnTo>
                <a:lnTo>
                  <a:pt x="216328" y="175346"/>
                </a:lnTo>
                <a:lnTo>
                  <a:pt x="201336" y="172085"/>
                </a:lnTo>
                <a:lnTo>
                  <a:pt x="182578" y="178893"/>
                </a:lnTo>
                <a:lnTo>
                  <a:pt x="166567" y="167637"/>
                </a:lnTo>
                <a:lnTo>
                  <a:pt x="153514" y="171949"/>
                </a:lnTo>
                <a:lnTo>
                  <a:pt x="151720" y="170031"/>
                </a:lnTo>
                <a:lnTo>
                  <a:pt x="137109" y="154397"/>
                </a:lnTo>
                <a:lnTo>
                  <a:pt x="113503" y="152480"/>
                </a:lnTo>
                <a:lnTo>
                  <a:pt x="110493" y="142539"/>
                </a:lnTo>
                <a:lnTo>
                  <a:pt x="88719" y="138986"/>
                </a:lnTo>
                <a:lnTo>
                  <a:pt x="83979" y="147187"/>
                </a:lnTo>
                <a:lnTo>
                  <a:pt x="66732" y="140618"/>
                </a:lnTo>
                <a:lnTo>
                  <a:pt x="68710" y="131883"/>
                </a:lnTo>
                <a:lnTo>
                  <a:pt x="44973" y="129121"/>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804" name="PRT">
            <a:extLst>
              <a:ext uri="{FF2B5EF4-FFF2-40B4-BE49-F238E27FC236}">
                <a16:creationId xmlns:a16="http://schemas.microsoft.com/office/drawing/2014/main" id="{00000000-0008-0000-2700-0000CC7D6400}"/>
              </a:ext>
            </a:extLst>
          </xdr:cNvPr>
          <xdr:cNvSpPr/>
        </xdr:nvSpPr>
        <xdr:spPr>
          <a:xfrm>
            <a:off x="6026640" y="2075326"/>
            <a:ext cx="99700" cy="172790"/>
          </a:xfrm>
          <a:custGeom>
            <a:avLst/>
            <a:gdLst/>
            <a:ahLst/>
            <a:cxnLst/>
            <a:rect l="0" t="0" r="0" b="0"/>
            <a:pathLst>
              <a:path w="99617" h="172790">
                <a:moveTo>
                  <a:pt x="15615" y="12696"/>
                </a:moveTo>
                <a:lnTo>
                  <a:pt x="27137" y="4629"/>
                </a:lnTo>
                <a:lnTo>
                  <a:pt x="40091" y="0"/>
                </a:lnTo>
                <a:lnTo>
                  <a:pt x="48051" y="15544"/>
                </a:lnTo>
                <a:lnTo>
                  <a:pt x="66805" y="15506"/>
                </a:lnTo>
                <a:lnTo>
                  <a:pt x="72241" y="11499"/>
                </a:lnTo>
                <a:lnTo>
                  <a:pt x="90741" y="12607"/>
                </a:lnTo>
                <a:lnTo>
                  <a:pt x="99616" y="28533"/>
                </a:lnTo>
                <a:lnTo>
                  <a:pt x="84947" y="37128"/>
                </a:lnTo>
                <a:lnTo>
                  <a:pt x="84537" y="61899"/>
                </a:lnTo>
                <a:lnTo>
                  <a:pt x="79381" y="66548"/>
                </a:lnTo>
                <a:lnTo>
                  <a:pt x="78105" y="81553"/>
                </a:lnTo>
                <a:lnTo>
                  <a:pt x="64389" y="84166"/>
                </a:lnTo>
                <a:lnTo>
                  <a:pt x="77108" y="103200"/>
                </a:lnTo>
                <a:lnTo>
                  <a:pt x="68342" y="124059"/>
                </a:lnTo>
                <a:lnTo>
                  <a:pt x="79289" y="133499"/>
                </a:lnTo>
                <a:lnTo>
                  <a:pt x="74933" y="142132"/>
                </a:lnTo>
                <a:lnTo>
                  <a:pt x="63167" y="154038"/>
                </a:lnTo>
                <a:lnTo>
                  <a:pt x="65815" y="164550"/>
                </a:lnTo>
                <a:lnTo>
                  <a:pt x="53054" y="172789"/>
                </a:lnTo>
                <a:lnTo>
                  <a:pt x="36316" y="168325"/>
                </a:lnTo>
                <a:lnTo>
                  <a:pt x="19929" y="171821"/>
                </a:lnTo>
                <a:lnTo>
                  <a:pt x="24781" y="146977"/>
                </a:lnTo>
                <a:lnTo>
                  <a:pt x="21799" y="127454"/>
                </a:lnTo>
                <a:lnTo>
                  <a:pt x="7591" y="124523"/>
                </a:lnTo>
                <a:lnTo>
                  <a:pt x="0" y="112493"/>
                </a:lnTo>
                <a:lnTo>
                  <a:pt x="2527" y="91706"/>
                </a:lnTo>
                <a:lnTo>
                  <a:pt x="15186" y="80181"/>
                </a:lnTo>
                <a:lnTo>
                  <a:pt x="17437" y="67348"/>
                </a:lnTo>
                <a:lnTo>
                  <a:pt x="24063" y="48256"/>
                </a:lnTo>
                <a:lnTo>
                  <a:pt x="23358" y="34804"/>
                </a:lnTo>
                <a:lnTo>
                  <a:pt x="17012" y="2339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806" name="QAT">
            <a:extLst>
              <a:ext uri="{FF2B5EF4-FFF2-40B4-BE49-F238E27FC236}">
                <a16:creationId xmlns:a16="http://schemas.microsoft.com/office/drawing/2014/main" id="{00000000-0008-0000-2700-0000CE7D6400}"/>
              </a:ext>
            </a:extLst>
          </xdr:cNvPr>
          <xdr:cNvSpPr/>
        </xdr:nvSpPr>
        <xdr:spPr>
          <a:xfrm>
            <a:off x="7941822" y="2588593"/>
            <a:ext cx="27418" cy="49477"/>
          </a:xfrm>
          <a:custGeom>
            <a:avLst/>
            <a:gdLst/>
            <a:ahLst/>
            <a:cxnLst/>
            <a:rect l="0" t="0" r="0" b="0"/>
            <a:pathLst>
              <a:path w="27395" h="49477">
                <a:moveTo>
                  <a:pt x="2102" y="43177"/>
                </a:moveTo>
                <a:lnTo>
                  <a:pt x="0" y="20072"/>
                </a:lnTo>
                <a:lnTo>
                  <a:pt x="8557" y="3416"/>
                </a:lnTo>
                <a:lnTo>
                  <a:pt x="17228" y="0"/>
                </a:lnTo>
                <a:lnTo>
                  <a:pt x="26836" y="9954"/>
                </a:lnTo>
                <a:lnTo>
                  <a:pt x="27394" y="28540"/>
                </a:lnTo>
                <a:lnTo>
                  <a:pt x="20501" y="47218"/>
                </a:lnTo>
                <a:lnTo>
                  <a:pt x="11700" y="49476"/>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807" name="ROM">
            <a:extLst>
              <a:ext uri="{FF2B5EF4-FFF2-40B4-BE49-F238E27FC236}">
                <a16:creationId xmlns:a16="http://schemas.microsoft.com/office/drawing/2014/main" id="{00000000-0008-0000-2700-0000CF7D6400}"/>
              </a:ext>
            </a:extLst>
          </xdr:cNvPr>
          <xdr:cNvSpPr/>
        </xdr:nvSpPr>
        <xdr:spPr>
          <a:xfrm>
            <a:off x="6971888" y="1886718"/>
            <a:ext cx="298900" cy="143908"/>
          </a:xfrm>
          <a:custGeom>
            <a:avLst/>
            <a:gdLst/>
            <a:ahLst/>
            <a:cxnLst/>
            <a:rect l="0" t="0" r="0" b="0"/>
            <a:pathLst>
              <a:path w="298651" h="143908">
                <a:moveTo>
                  <a:pt x="79067" y="10754"/>
                </a:moveTo>
                <a:lnTo>
                  <a:pt x="92774" y="3956"/>
                </a:lnTo>
                <a:lnTo>
                  <a:pt x="112421" y="7471"/>
                </a:lnTo>
                <a:lnTo>
                  <a:pt x="132775" y="7588"/>
                </a:lnTo>
                <a:lnTo>
                  <a:pt x="147514" y="15348"/>
                </a:lnTo>
                <a:lnTo>
                  <a:pt x="158353" y="10471"/>
                </a:lnTo>
                <a:lnTo>
                  <a:pt x="181791" y="7423"/>
                </a:lnTo>
                <a:lnTo>
                  <a:pt x="189779" y="0"/>
                </a:lnTo>
                <a:lnTo>
                  <a:pt x="203172" y="6"/>
                </a:lnTo>
                <a:lnTo>
                  <a:pt x="212852" y="3099"/>
                </a:lnTo>
                <a:lnTo>
                  <a:pt x="222685" y="12512"/>
                </a:lnTo>
                <a:lnTo>
                  <a:pt x="232759" y="25902"/>
                </a:lnTo>
                <a:lnTo>
                  <a:pt x="251073" y="44780"/>
                </a:lnTo>
                <a:lnTo>
                  <a:pt x="252089" y="58715"/>
                </a:lnTo>
                <a:lnTo>
                  <a:pt x="248736" y="72272"/>
                </a:lnTo>
                <a:lnTo>
                  <a:pt x="254425" y="86760"/>
                </a:lnTo>
                <a:lnTo>
                  <a:pt x="268592" y="92611"/>
                </a:lnTo>
                <a:lnTo>
                  <a:pt x="283512" y="87503"/>
                </a:lnTo>
                <a:lnTo>
                  <a:pt x="297913" y="92951"/>
                </a:lnTo>
                <a:lnTo>
                  <a:pt x="298650" y="101139"/>
                </a:lnTo>
                <a:lnTo>
                  <a:pt x="283254" y="107972"/>
                </a:lnTo>
                <a:lnTo>
                  <a:pt x="273612" y="104997"/>
                </a:lnTo>
                <a:lnTo>
                  <a:pt x="264728" y="143300"/>
                </a:lnTo>
                <a:lnTo>
                  <a:pt x="246059" y="139967"/>
                </a:lnTo>
                <a:lnTo>
                  <a:pt x="222955" y="128425"/>
                </a:lnTo>
                <a:lnTo>
                  <a:pt x="185579" y="135807"/>
                </a:lnTo>
                <a:lnTo>
                  <a:pt x="169834" y="143907"/>
                </a:lnTo>
                <a:lnTo>
                  <a:pt x="123206" y="142233"/>
                </a:lnTo>
                <a:lnTo>
                  <a:pt x="98809" y="137284"/>
                </a:lnTo>
                <a:lnTo>
                  <a:pt x="86506" y="139608"/>
                </a:lnTo>
                <a:lnTo>
                  <a:pt x="77372" y="126555"/>
                </a:lnTo>
                <a:lnTo>
                  <a:pt x="71558" y="121021"/>
                </a:lnTo>
                <a:lnTo>
                  <a:pt x="78914" y="115662"/>
                </a:lnTo>
                <a:lnTo>
                  <a:pt x="71082" y="111709"/>
                </a:lnTo>
                <a:lnTo>
                  <a:pt x="61115" y="118824"/>
                </a:lnTo>
                <a:lnTo>
                  <a:pt x="42602" y="109601"/>
                </a:lnTo>
                <a:lnTo>
                  <a:pt x="40110" y="96510"/>
                </a:lnTo>
                <a:lnTo>
                  <a:pt x="20767" y="89043"/>
                </a:lnTo>
                <a:lnTo>
                  <a:pt x="17209" y="78940"/>
                </a:lnTo>
                <a:lnTo>
                  <a:pt x="0" y="66465"/>
                </a:lnTo>
                <a:lnTo>
                  <a:pt x="25457" y="60477"/>
                </a:lnTo>
                <a:lnTo>
                  <a:pt x="44650" y="38947"/>
                </a:lnTo>
                <a:lnTo>
                  <a:pt x="59677" y="17415"/>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5823" name="RWA">
            <a:extLst>
              <a:ext uri="{FF2B5EF4-FFF2-40B4-BE49-F238E27FC236}">
                <a16:creationId xmlns:a16="http://schemas.microsoft.com/office/drawing/2014/main" id="{00000000-0008-0000-2700-0000DF7D6400}"/>
              </a:ext>
            </a:extLst>
          </xdr:cNvPr>
          <xdr:cNvSpPr/>
        </xdr:nvSpPr>
        <xdr:spPr>
          <a:xfrm>
            <a:off x="7251670" y="3453758"/>
            <a:ext cx="56918" cy="56618"/>
          </a:xfrm>
          <a:custGeom>
            <a:avLst/>
            <a:gdLst/>
            <a:ahLst/>
            <a:cxnLst/>
            <a:rect l="0" t="0" r="0" b="0"/>
            <a:pathLst>
              <a:path w="56871" h="56618">
                <a:moveTo>
                  <a:pt x="44266" y="0"/>
                </a:moveTo>
                <a:lnTo>
                  <a:pt x="56870" y="17913"/>
                </a:lnTo>
                <a:lnTo>
                  <a:pt x="55036" y="36595"/>
                </a:lnTo>
                <a:lnTo>
                  <a:pt x="45873" y="40615"/>
                </a:lnTo>
                <a:lnTo>
                  <a:pt x="29004" y="38538"/>
                </a:lnTo>
                <a:lnTo>
                  <a:pt x="19282" y="56617"/>
                </a:lnTo>
                <a:lnTo>
                  <a:pt x="0" y="54121"/>
                </a:lnTo>
                <a:lnTo>
                  <a:pt x="2940" y="36751"/>
                </a:lnTo>
                <a:lnTo>
                  <a:pt x="7300" y="34303"/>
                </a:lnTo>
                <a:lnTo>
                  <a:pt x="8477" y="15412"/>
                </a:lnTo>
                <a:lnTo>
                  <a:pt x="17608" y="6560"/>
                </a:lnTo>
                <a:lnTo>
                  <a:pt x="25292" y="9798"/>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66" name="SAU">
            <a:extLst>
              <a:ext uri="{FF2B5EF4-FFF2-40B4-BE49-F238E27FC236}">
                <a16:creationId xmlns:a16="http://schemas.microsoft.com/office/drawing/2014/main" id="{00000000-0008-0000-2700-00008E816400}"/>
              </a:ext>
            </a:extLst>
          </xdr:cNvPr>
          <xdr:cNvSpPr/>
        </xdr:nvSpPr>
        <xdr:spPr>
          <a:xfrm>
            <a:off x="7429853" y="2396620"/>
            <a:ext cx="668399" cy="502067"/>
          </a:xfrm>
          <a:custGeom>
            <a:avLst/>
            <a:gdLst/>
            <a:ahLst/>
            <a:cxnLst/>
            <a:rect l="0" t="0" r="0" b="0"/>
            <a:pathLst>
              <a:path w="667843" h="502067">
                <a:moveTo>
                  <a:pt x="258667" y="502066"/>
                </a:moveTo>
                <a:lnTo>
                  <a:pt x="254550" y="488518"/>
                </a:lnTo>
                <a:lnTo>
                  <a:pt x="244973" y="478955"/>
                </a:lnTo>
                <a:lnTo>
                  <a:pt x="242526" y="466290"/>
                </a:lnTo>
                <a:lnTo>
                  <a:pt x="226127" y="454914"/>
                </a:lnTo>
                <a:lnTo>
                  <a:pt x="209204" y="428288"/>
                </a:lnTo>
                <a:lnTo>
                  <a:pt x="200247" y="402415"/>
                </a:lnTo>
                <a:lnTo>
                  <a:pt x="178289" y="380568"/>
                </a:lnTo>
                <a:lnTo>
                  <a:pt x="164129" y="375351"/>
                </a:lnTo>
                <a:lnTo>
                  <a:pt x="143101" y="345094"/>
                </a:lnTo>
                <a:lnTo>
                  <a:pt x="139427" y="323027"/>
                </a:lnTo>
                <a:lnTo>
                  <a:pt x="140780" y="304206"/>
                </a:lnTo>
                <a:lnTo>
                  <a:pt x="122571" y="269001"/>
                </a:lnTo>
                <a:lnTo>
                  <a:pt x="107683" y="256613"/>
                </a:lnTo>
                <a:lnTo>
                  <a:pt x="90529" y="250047"/>
                </a:lnTo>
                <a:lnTo>
                  <a:pt x="80090" y="231854"/>
                </a:lnTo>
                <a:lnTo>
                  <a:pt x="81826" y="224679"/>
                </a:lnTo>
                <a:lnTo>
                  <a:pt x="73003" y="208216"/>
                </a:lnTo>
                <a:lnTo>
                  <a:pt x="63732" y="201130"/>
                </a:lnTo>
                <a:lnTo>
                  <a:pt x="51333" y="177511"/>
                </a:lnTo>
                <a:lnTo>
                  <a:pt x="32001" y="151907"/>
                </a:lnTo>
                <a:lnTo>
                  <a:pt x="15808" y="130099"/>
                </a:lnTo>
                <a:lnTo>
                  <a:pt x="0" y="130254"/>
                </a:lnTo>
                <a:lnTo>
                  <a:pt x="4937" y="112827"/>
                </a:lnTo>
                <a:lnTo>
                  <a:pt x="6347" y="101711"/>
                </a:lnTo>
                <a:lnTo>
                  <a:pt x="10278" y="89039"/>
                </a:lnTo>
                <a:lnTo>
                  <a:pt x="45612" y="94091"/>
                </a:lnTo>
                <a:lnTo>
                  <a:pt x="59337" y="84318"/>
                </a:lnTo>
                <a:lnTo>
                  <a:pt x="66935" y="72888"/>
                </a:lnTo>
                <a:lnTo>
                  <a:pt x="91163" y="68491"/>
                </a:lnTo>
                <a:lnTo>
                  <a:pt x="96386" y="57858"/>
                </a:lnTo>
                <a:lnTo>
                  <a:pt x="106887" y="52467"/>
                </a:lnTo>
                <a:lnTo>
                  <a:pt x="75244" y="20720"/>
                </a:lnTo>
                <a:lnTo>
                  <a:pt x="138830" y="4788"/>
                </a:lnTo>
                <a:lnTo>
                  <a:pt x="144882" y="0"/>
                </a:lnTo>
                <a:lnTo>
                  <a:pt x="183125" y="8604"/>
                </a:lnTo>
                <a:lnTo>
                  <a:pt x="230432" y="30829"/>
                </a:lnTo>
                <a:lnTo>
                  <a:pt x="319951" y="94681"/>
                </a:lnTo>
                <a:lnTo>
                  <a:pt x="378981" y="97218"/>
                </a:lnTo>
                <a:lnTo>
                  <a:pt x="407273" y="100282"/>
                </a:lnTo>
                <a:lnTo>
                  <a:pt x="415182" y="115408"/>
                </a:lnTo>
                <a:lnTo>
                  <a:pt x="437635" y="114586"/>
                </a:lnTo>
                <a:lnTo>
                  <a:pt x="450066" y="141967"/>
                </a:lnTo>
                <a:lnTo>
                  <a:pt x="465687" y="149218"/>
                </a:lnTo>
                <a:lnTo>
                  <a:pt x="471126" y="160369"/>
                </a:lnTo>
                <a:lnTo>
                  <a:pt x="492763" y="173714"/>
                </a:lnTo>
                <a:lnTo>
                  <a:pt x="494684" y="186817"/>
                </a:lnTo>
                <a:lnTo>
                  <a:pt x="491522" y="197389"/>
                </a:lnTo>
                <a:lnTo>
                  <a:pt x="495541" y="208057"/>
                </a:lnTo>
                <a:lnTo>
                  <a:pt x="504669" y="216954"/>
                </a:lnTo>
                <a:lnTo>
                  <a:pt x="508898" y="227365"/>
                </a:lnTo>
                <a:lnTo>
                  <a:pt x="513645" y="235150"/>
                </a:lnTo>
                <a:lnTo>
                  <a:pt x="523243" y="241449"/>
                </a:lnTo>
                <a:lnTo>
                  <a:pt x="532044" y="239191"/>
                </a:lnTo>
                <a:lnTo>
                  <a:pt x="538073" y="251317"/>
                </a:lnTo>
                <a:lnTo>
                  <a:pt x="539286" y="258661"/>
                </a:lnTo>
                <a:lnTo>
                  <a:pt x="551447" y="290823"/>
                </a:lnTo>
                <a:lnTo>
                  <a:pt x="646891" y="306835"/>
                </a:lnTo>
                <a:lnTo>
                  <a:pt x="653288" y="300123"/>
                </a:lnTo>
                <a:lnTo>
                  <a:pt x="667842" y="322611"/>
                </a:lnTo>
                <a:lnTo>
                  <a:pt x="646675" y="386111"/>
                </a:lnTo>
                <a:lnTo>
                  <a:pt x="551425" y="417861"/>
                </a:lnTo>
                <a:lnTo>
                  <a:pt x="459880" y="430031"/>
                </a:lnTo>
                <a:lnTo>
                  <a:pt x="430244" y="444319"/>
                </a:lnTo>
                <a:lnTo>
                  <a:pt x="407492" y="477656"/>
                </a:lnTo>
                <a:lnTo>
                  <a:pt x="392675" y="482949"/>
                </a:lnTo>
                <a:lnTo>
                  <a:pt x="384737" y="472367"/>
                </a:lnTo>
                <a:lnTo>
                  <a:pt x="372567" y="473954"/>
                </a:lnTo>
                <a:lnTo>
                  <a:pt x="341875" y="470779"/>
                </a:lnTo>
                <a:lnTo>
                  <a:pt x="336055" y="467604"/>
                </a:lnTo>
                <a:lnTo>
                  <a:pt x="299412" y="468331"/>
                </a:lnTo>
                <a:lnTo>
                  <a:pt x="290805" y="471201"/>
                </a:lnTo>
                <a:lnTo>
                  <a:pt x="277765" y="462946"/>
                </a:lnTo>
                <a:lnTo>
                  <a:pt x="269351" y="478555"/>
                </a:lnTo>
                <a:lnTo>
                  <a:pt x="272609" y="49193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67" name="SEN">
            <a:extLst>
              <a:ext uri="{FF2B5EF4-FFF2-40B4-BE49-F238E27FC236}">
                <a16:creationId xmlns:a16="http://schemas.microsoft.com/office/drawing/2014/main" id="{00000000-0008-0000-2700-00008F816400}"/>
              </a:ext>
            </a:extLst>
          </xdr:cNvPr>
          <xdr:cNvSpPr/>
        </xdr:nvSpPr>
        <xdr:spPr>
          <a:xfrm>
            <a:off x="5769302" y="2890735"/>
            <a:ext cx="195652" cy="135453"/>
          </a:xfrm>
          <a:custGeom>
            <a:avLst/>
            <a:gdLst/>
            <a:ahLst/>
            <a:cxnLst/>
            <a:rect l="0" t="0" r="0" b="0"/>
            <a:pathLst>
              <a:path w="195489" h="135453">
                <a:moveTo>
                  <a:pt x="28934" y="95355"/>
                </a:moveTo>
                <a:lnTo>
                  <a:pt x="15840" y="70638"/>
                </a:lnTo>
                <a:lnTo>
                  <a:pt x="0" y="59335"/>
                </a:lnTo>
                <a:lnTo>
                  <a:pt x="13963" y="53302"/>
                </a:lnTo>
                <a:lnTo>
                  <a:pt x="29346" y="31014"/>
                </a:lnTo>
                <a:lnTo>
                  <a:pt x="36890" y="14710"/>
                </a:lnTo>
                <a:lnTo>
                  <a:pt x="47761" y="4528"/>
                </a:lnTo>
                <a:lnTo>
                  <a:pt x="63541" y="7271"/>
                </a:lnTo>
                <a:lnTo>
                  <a:pt x="79035" y="350"/>
                </a:lnTo>
                <a:lnTo>
                  <a:pt x="96764" y="0"/>
                </a:lnTo>
                <a:lnTo>
                  <a:pt x="111934" y="9335"/>
                </a:lnTo>
                <a:lnTo>
                  <a:pt x="133010" y="17745"/>
                </a:lnTo>
                <a:lnTo>
                  <a:pt x="152219" y="41104"/>
                </a:lnTo>
                <a:lnTo>
                  <a:pt x="173171" y="62913"/>
                </a:lnTo>
                <a:lnTo>
                  <a:pt x="174628" y="82665"/>
                </a:lnTo>
                <a:lnTo>
                  <a:pt x="180889" y="100845"/>
                </a:lnTo>
                <a:lnTo>
                  <a:pt x="192773" y="109763"/>
                </a:lnTo>
                <a:lnTo>
                  <a:pt x="195488" y="122041"/>
                </a:lnTo>
                <a:lnTo>
                  <a:pt x="194027" y="131931"/>
                </a:lnTo>
                <a:lnTo>
                  <a:pt x="189442" y="133722"/>
                </a:lnTo>
                <a:lnTo>
                  <a:pt x="172129" y="131214"/>
                </a:lnTo>
                <a:lnTo>
                  <a:pt x="169748" y="134744"/>
                </a:lnTo>
                <a:lnTo>
                  <a:pt x="162747" y="135452"/>
                </a:lnTo>
                <a:lnTo>
                  <a:pt x="139928" y="127712"/>
                </a:lnTo>
                <a:lnTo>
                  <a:pt x="124603" y="127385"/>
                </a:lnTo>
                <a:lnTo>
                  <a:pt x="65929" y="126051"/>
                </a:lnTo>
                <a:lnTo>
                  <a:pt x="57416" y="129626"/>
                </a:lnTo>
                <a:lnTo>
                  <a:pt x="46904" y="128604"/>
                </a:lnTo>
                <a:lnTo>
                  <a:pt x="30083" y="133776"/>
                </a:lnTo>
                <a:lnTo>
                  <a:pt x="24876" y="109440"/>
                </a:lnTo>
                <a:lnTo>
                  <a:pt x="53775" y="110109"/>
                </a:lnTo>
                <a:lnTo>
                  <a:pt x="61404" y="105661"/>
                </a:lnTo>
                <a:lnTo>
                  <a:pt x="67094" y="105401"/>
                </a:lnTo>
                <a:lnTo>
                  <a:pt x="78860" y="98070"/>
                </a:lnTo>
                <a:lnTo>
                  <a:pt x="92481" y="104779"/>
                </a:lnTo>
                <a:lnTo>
                  <a:pt x="106277" y="105337"/>
                </a:lnTo>
                <a:lnTo>
                  <a:pt x="120015" y="98213"/>
                </a:lnTo>
                <a:lnTo>
                  <a:pt x="113601" y="89034"/>
                </a:lnTo>
                <a:lnTo>
                  <a:pt x="103133" y="94380"/>
                </a:lnTo>
                <a:lnTo>
                  <a:pt x="93281" y="94231"/>
                </a:lnTo>
                <a:lnTo>
                  <a:pt x="80749" y="86417"/>
                </a:lnTo>
                <a:lnTo>
                  <a:pt x="70681" y="86929"/>
                </a:lnTo>
                <a:lnTo>
                  <a:pt x="63513" y="9444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68" name="SRB">
            <a:extLst>
              <a:ext uri="{FF2B5EF4-FFF2-40B4-BE49-F238E27FC236}">
                <a16:creationId xmlns:a16="http://schemas.microsoft.com/office/drawing/2014/main" id="{00000000-0008-0000-2700-000090816400}"/>
              </a:ext>
            </a:extLst>
          </xdr:cNvPr>
          <xdr:cNvSpPr/>
        </xdr:nvSpPr>
        <xdr:spPr>
          <a:xfrm>
            <a:off x="6927706" y="1951780"/>
            <a:ext cx="132070" cy="124667"/>
          </a:xfrm>
          <a:custGeom>
            <a:avLst/>
            <a:gdLst/>
            <a:ahLst/>
            <a:cxnLst/>
            <a:rect l="0" t="0" r="0" b="0"/>
            <a:pathLst>
              <a:path w="131960" h="124667">
                <a:moveTo>
                  <a:pt x="64912" y="23981"/>
                </a:moveTo>
                <a:lnTo>
                  <a:pt x="84255" y="31448"/>
                </a:lnTo>
                <a:lnTo>
                  <a:pt x="86747" y="44539"/>
                </a:lnTo>
                <a:lnTo>
                  <a:pt x="105260" y="53762"/>
                </a:lnTo>
                <a:lnTo>
                  <a:pt x="115227" y="46647"/>
                </a:lnTo>
                <a:lnTo>
                  <a:pt x="123059" y="50600"/>
                </a:lnTo>
                <a:lnTo>
                  <a:pt x="115703" y="55959"/>
                </a:lnTo>
                <a:lnTo>
                  <a:pt x="121517" y="61493"/>
                </a:lnTo>
                <a:lnTo>
                  <a:pt x="113684" y="68694"/>
                </a:lnTo>
                <a:lnTo>
                  <a:pt x="116535" y="80293"/>
                </a:lnTo>
                <a:lnTo>
                  <a:pt x="131959" y="93996"/>
                </a:lnTo>
                <a:lnTo>
                  <a:pt x="119856" y="103924"/>
                </a:lnTo>
                <a:lnTo>
                  <a:pt x="114515" y="114027"/>
                </a:lnTo>
                <a:lnTo>
                  <a:pt x="117957" y="117802"/>
                </a:lnTo>
                <a:lnTo>
                  <a:pt x="112734" y="122282"/>
                </a:lnTo>
                <a:lnTo>
                  <a:pt x="98021" y="122812"/>
                </a:lnTo>
                <a:lnTo>
                  <a:pt x="87211" y="124666"/>
                </a:lnTo>
                <a:lnTo>
                  <a:pt x="86154" y="122282"/>
                </a:lnTo>
                <a:lnTo>
                  <a:pt x="89950" y="118507"/>
                </a:lnTo>
                <a:lnTo>
                  <a:pt x="93513" y="110776"/>
                </a:lnTo>
                <a:lnTo>
                  <a:pt x="89001" y="110950"/>
                </a:lnTo>
                <a:lnTo>
                  <a:pt x="82832" y="105067"/>
                </a:lnTo>
                <a:lnTo>
                  <a:pt x="77609" y="103572"/>
                </a:lnTo>
                <a:lnTo>
                  <a:pt x="73457" y="98520"/>
                </a:lnTo>
                <a:lnTo>
                  <a:pt x="67522" y="96545"/>
                </a:lnTo>
                <a:lnTo>
                  <a:pt x="63014" y="92062"/>
                </a:lnTo>
                <a:lnTo>
                  <a:pt x="57318" y="93821"/>
                </a:lnTo>
                <a:lnTo>
                  <a:pt x="52927" y="104362"/>
                </a:lnTo>
                <a:lnTo>
                  <a:pt x="45332" y="106645"/>
                </a:lnTo>
                <a:lnTo>
                  <a:pt x="47942" y="103924"/>
                </a:lnTo>
                <a:lnTo>
                  <a:pt x="35839" y="97336"/>
                </a:lnTo>
                <a:lnTo>
                  <a:pt x="25406" y="93913"/>
                </a:lnTo>
                <a:lnTo>
                  <a:pt x="20768" y="89516"/>
                </a:lnTo>
                <a:lnTo>
                  <a:pt x="12341" y="84071"/>
                </a:lnTo>
                <a:lnTo>
                  <a:pt x="19818" y="82664"/>
                </a:lnTo>
                <a:lnTo>
                  <a:pt x="24447" y="67729"/>
                </a:lnTo>
                <a:lnTo>
                  <a:pt x="9137" y="55518"/>
                </a:lnTo>
                <a:lnTo>
                  <a:pt x="17087" y="41551"/>
                </a:lnTo>
                <a:lnTo>
                  <a:pt x="5578" y="41640"/>
                </a:lnTo>
                <a:lnTo>
                  <a:pt x="17802" y="29693"/>
                </a:lnTo>
                <a:lnTo>
                  <a:pt x="7715" y="20644"/>
                </a:lnTo>
                <a:lnTo>
                  <a:pt x="0" y="8344"/>
                </a:lnTo>
                <a:lnTo>
                  <a:pt x="24326" y="0"/>
                </a:lnTo>
                <a:lnTo>
                  <a:pt x="44145" y="1403"/>
                </a:lnTo>
                <a:lnTo>
                  <a:pt x="61354" y="13878"/>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69" name="SLE">
            <a:extLst>
              <a:ext uri="{FF2B5EF4-FFF2-40B4-BE49-F238E27FC236}">
                <a16:creationId xmlns:a16="http://schemas.microsoft.com/office/drawing/2014/main" id="{00000000-0008-0000-2700-000091816400}"/>
              </a:ext>
            </a:extLst>
          </xdr:cNvPr>
          <xdr:cNvSpPr/>
        </xdr:nvSpPr>
        <xdr:spPr>
          <a:xfrm>
            <a:off x="5908432" y="3098739"/>
            <a:ext cx="95855" cy="103541"/>
          </a:xfrm>
          <a:custGeom>
            <a:avLst/>
            <a:gdLst/>
            <a:ahLst/>
            <a:cxnLst/>
            <a:rect l="0" t="0" r="0" b="0"/>
            <a:pathLst>
              <a:path w="95775" h="103541">
                <a:moveTo>
                  <a:pt x="57398" y="103540"/>
                </a:moveTo>
                <a:lnTo>
                  <a:pt x="48844" y="101184"/>
                </a:lnTo>
                <a:lnTo>
                  <a:pt x="25987" y="88395"/>
                </a:lnTo>
                <a:lnTo>
                  <a:pt x="9449" y="71387"/>
                </a:lnTo>
                <a:lnTo>
                  <a:pt x="3893" y="59789"/>
                </a:lnTo>
                <a:lnTo>
                  <a:pt x="0" y="36322"/>
                </a:lnTo>
                <a:lnTo>
                  <a:pt x="16974" y="22362"/>
                </a:lnTo>
                <a:lnTo>
                  <a:pt x="20634" y="13551"/>
                </a:lnTo>
                <a:lnTo>
                  <a:pt x="26057" y="6706"/>
                </a:lnTo>
                <a:lnTo>
                  <a:pt x="34807" y="5982"/>
                </a:lnTo>
                <a:lnTo>
                  <a:pt x="42205" y="0"/>
                </a:lnTo>
                <a:lnTo>
                  <a:pt x="67599" y="35"/>
                </a:lnTo>
                <a:lnTo>
                  <a:pt x="76435" y="11392"/>
                </a:lnTo>
                <a:lnTo>
                  <a:pt x="83318" y="24737"/>
                </a:lnTo>
                <a:lnTo>
                  <a:pt x="82290" y="33966"/>
                </a:lnTo>
                <a:lnTo>
                  <a:pt x="87385" y="42275"/>
                </a:lnTo>
                <a:lnTo>
                  <a:pt x="87030" y="53915"/>
                </a:lnTo>
                <a:lnTo>
                  <a:pt x="95774" y="52096"/>
                </a:lnTo>
                <a:lnTo>
                  <a:pt x="80994" y="66913"/>
                </a:lnTo>
                <a:lnTo>
                  <a:pt x="66672" y="84147"/>
                </a:lnTo>
                <a:lnTo>
                  <a:pt x="64986" y="9338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70" name="SVK">
            <a:extLst>
              <a:ext uri="{FF2B5EF4-FFF2-40B4-BE49-F238E27FC236}">
                <a16:creationId xmlns:a16="http://schemas.microsoft.com/office/drawing/2014/main" id="{00000000-0008-0000-2700-000092816400}"/>
              </a:ext>
            </a:extLst>
          </xdr:cNvPr>
          <xdr:cNvSpPr/>
        </xdr:nvSpPr>
        <xdr:spPr>
          <a:xfrm>
            <a:off x="6865749" y="1843833"/>
            <a:ext cx="180430" cy="57570"/>
          </a:xfrm>
          <a:custGeom>
            <a:avLst/>
            <a:gdLst/>
            <a:ahLst/>
            <a:cxnLst/>
            <a:rect l="0" t="0" r="0" b="0"/>
            <a:pathLst>
              <a:path w="180280" h="57570">
                <a:moveTo>
                  <a:pt x="62645" y="2394"/>
                </a:moveTo>
                <a:lnTo>
                  <a:pt x="64439" y="4312"/>
                </a:lnTo>
                <a:lnTo>
                  <a:pt x="77492" y="0"/>
                </a:lnTo>
                <a:lnTo>
                  <a:pt x="93503" y="11256"/>
                </a:lnTo>
                <a:lnTo>
                  <a:pt x="112261" y="4448"/>
                </a:lnTo>
                <a:lnTo>
                  <a:pt x="127253" y="7709"/>
                </a:lnTo>
                <a:lnTo>
                  <a:pt x="150107" y="3223"/>
                </a:lnTo>
                <a:lnTo>
                  <a:pt x="180279" y="15427"/>
                </a:lnTo>
                <a:lnTo>
                  <a:pt x="171475" y="23692"/>
                </a:lnTo>
                <a:lnTo>
                  <a:pt x="165277" y="36490"/>
                </a:lnTo>
                <a:lnTo>
                  <a:pt x="158502" y="39738"/>
                </a:lnTo>
                <a:lnTo>
                  <a:pt x="124501" y="30090"/>
                </a:lnTo>
                <a:lnTo>
                  <a:pt x="114097" y="32026"/>
                </a:lnTo>
                <a:lnTo>
                  <a:pt x="106651" y="39497"/>
                </a:lnTo>
                <a:lnTo>
                  <a:pt x="91741" y="43463"/>
                </a:lnTo>
                <a:lnTo>
                  <a:pt x="88309" y="41434"/>
                </a:lnTo>
                <a:lnTo>
                  <a:pt x="72846" y="46361"/>
                </a:lnTo>
                <a:lnTo>
                  <a:pt x="60229" y="47301"/>
                </a:lnTo>
                <a:lnTo>
                  <a:pt x="57674" y="53677"/>
                </a:lnTo>
                <a:lnTo>
                  <a:pt x="31023" y="57569"/>
                </a:lnTo>
                <a:lnTo>
                  <a:pt x="19319" y="54105"/>
                </a:lnTo>
                <a:lnTo>
                  <a:pt x="3165" y="45977"/>
                </a:lnTo>
                <a:lnTo>
                  <a:pt x="0" y="34976"/>
                </a:lnTo>
                <a:lnTo>
                  <a:pt x="2549" y="30944"/>
                </a:lnTo>
                <a:lnTo>
                  <a:pt x="7048" y="23959"/>
                </a:lnTo>
                <a:lnTo>
                  <a:pt x="21113" y="24498"/>
                </a:lnTo>
                <a:lnTo>
                  <a:pt x="31956" y="21212"/>
                </a:lnTo>
                <a:lnTo>
                  <a:pt x="32813" y="18260"/>
                </a:lnTo>
                <a:lnTo>
                  <a:pt x="38893" y="16751"/>
                </a:lnTo>
                <a:lnTo>
                  <a:pt x="40973" y="9528"/>
                </a:lnTo>
                <a:lnTo>
                  <a:pt x="48260" y="8147"/>
                </a:lnTo>
                <a:lnTo>
                  <a:pt x="53181" y="243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71" name="SVN">
            <a:extLst>
              <a:ext uri="{FF2B5EF4-FFF2-40B4-BE49-F238E27FC236}">
                <a16:creationId xmlns:a16="http://schemas.microsoft.com/office/drawing/2014/main" id="{00000000-0008-0000-2700-000093816400}"/>
              </a:ext>
            </a:extLst>
          </xdr:cNvPr>
          <xdr:cNvSpPr/>
        </xdr:nvSpPr>
        <xdr:spPr>
          <a:xfrm>
            <a:off x="6764638" y="1930168"/>
            <a:ext cx="91095" cy="44454"/>
          </a:xfrm>
          <a:custGeom>
            <a:avLst/>
            <a:gdLst/>
            <a:ahLst/>
            <a:cxnLst/>
            <a:rect l="0" t="0" r="0" b="0"/>
            <a:pathLst>
              <a:path w="91019" h="44454">
                <a:moveTo>
                  <a:pt x="3442" y="10893"/>
                </a:moveTo>
                <a:lnTo>
                  <a:pt x="29667" y="13354"/>
                </a:lnTo>
                <a:lnTo>
                  <a:pt x="45689" y="6150"/>
                </a:lnTo>
                <a:lnTo>
                  <a:pt x="73457" y="5359"/>
                </a:lnTo>
                <a:lnTo>
                  <a:pt x="79508" y="0"/>
                </a:lnTo>
                <a:lnTo>
                  <a:pt x="84849" y="352"/>
                </a:lnTo>
                <a:lnTo>
                  <a:pt x="91018" y="11068"/>
                </a:lnTo>
                <a:lnTo>
                  <a:pt x="65742" y="19504"/>
                </a:lnTo>
                <a:lnTo>
                  <a:pt x="62656" y="32328"/>
                </a:lnTo>
                <a:lnTo>
                  <a:pt x="51622" y="35579"/>
                </a:lnTo>
                <a:lnTo>
                  <a:pt x="51740" y="44453"/>
                </a:lnTo>
                <a:lnTo>
                  <a:pt x="39278" y="43837"/>
                </a:lnTo>
                <a:lnTo>
                  <a:pt x="28480" y="38655"/>
                </a:lnTo>
                <a:lnTo>
                  <a:pt x="22667" y="44012"/>
                </a:lnTo>
                <a:lnTo>
                  <a:pt x="540" y="42929"/>
                </a:lnTo>
                <a:lnTo>
                  <a:pt x="7604" y="40049"/>
                </a:lnTo>
                <a:lnTo>
                  <a:pt x="0" y="2653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6586772" name="SLB">
            <a:extLst>
              <a:ext uri="{FF2B5EF4-FFF2-40B4-BE49-F238E27FC236}">
                <a16:creationId xmlns:a16="http://schemas.microsoft.com/office/drawing/2014/main" id="{00000000-0008-0000-2700-000094816400}"/>
              </a:ext>
            </a:extLst>
          </xdr:cNvPr>
          <xdr:cNvGrpSpPr/>
        </xdr:nvGrpSpPr>
        <xdr:grpSpPr>
          <a:xfrm>
            <a:off x="11302104" y="3627259"/>
            <a:ext cx="187710" cy="134212"/>
            <a:chOff x="11191602" y="3881259"/>
            <a:chExt cx="187554" cy="134212"/>
          </a:xfrm>
          <a:grpFill/>
        </xdr:grpSpPr>
        <xdr:sp macro="" textlink="">
          <xdr:nvSpPr>
            <xdr:cNvPr id="6586808" name="SB_1">
              <a:extLst>
                <a:ext uri="{FF2B5EF4-FFF2-40B4-BE49-F238E27FC236}">
                  <a16:creationId xmlns:a16="http://schemas.microsoft.com/office/drawing/2014/main" id="{00000000-0008-0000-2700-0000B8816400}"/>
                </a:ext>
              </a:extLst>
            </xdr:cNvPr>
            <xdr:cNvSpPr/>
          </xdr:nvSpPr>
          <xdr:spPr>
            <a:xfrm>
              <a:off x="11344903" y="3995734"/>
              <a:ext cx="34253" cy="19737"/>
            </a:xfrm>
            <a:custGeom>
              <a:avLst/>
              <a:gdLst/>
              <a:ahLst/>
              <a:cxnLst/>
              <a:rect l="0" t="0" r="0" b="0"/>
              <a:pathLst>
                <a:path w="34253" h="19737">
                  <a:moveTo>
                    <a:pt x="25375" y="8823"/>
                  </a:moveTo>
                  <a:lnTo>
                    <a:pt x="34252" y="19736"/>
                  </a:lnTo>
                  <a:lnTo>
                    <a:pt x="12072" y="19532"/>
                  </a:lnTo>
                  <a:lnTo>
                    <a:pt x="0" y="0"/>
                  </a:lnTo>
                  <a:lnTo>
                    <a:pt x="18974" y="768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09" name="SB_2">
              <a:extLst>
                <a:ext uri="{FF2B5EF4-FFF2-40B4-BE49-F238E27FC236}">
                  <a16:creationId xmlns:a16="http://schemas.microsoft.com/office/drawing/2014/main" id="{00000000-0008-0000-2700-0000B9816400}"/>
                </a:ext>
              </a:extLst>
            </xdr:cNvPr>
            <xdr:cNvSpPr/>
          </xdr:nvSpPr>
          <xdr:spPr>
            <a:xfrm>
              <a:off x="11291569" y="3965194"/>
              <a:ext cx="38489" cy="20711"/>
            </a:xfrm>
            <a:custGeom>
              <a:avLst/>
              <a:gdLst/>
              <a:ahLst/>
              <a:cxnLst/>
              <a:rect l="0" t="0" r="0" b="0"/>
              <a:pathLst>
                <a:path w="38489" h="20711">
                  <a:moveTo>
                    <a:pt x="38488" y="20002"/>
                  </a:moveTo>
                  <a:lnTo>
                    <a:pt x="26118" y="20710"/>
                  </a:lnTo>
                  <a:lnTo>
                    <a:pt x="6649" y="17497"/>
                  </a:lnTo>
                  <a:lnTo>
                    <a:pt x="0" y="12607"/>
                  </a:lnTo>
                  <a:lnTo>
                    <a:pt x="1998" y="0"/>
                  </a:lnTo>
                  <a:lnTo>
                    <a:pt x="22955" y="4997"/>
                  </a:lnTo>
                  <a:lnTo>
                    <a:pt x="33290" y="11661"/>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10" name="SB_3">
              <a:extLst>
                <a:ext uri="{FF2B5EF4-FFF2-40B4-BE49-F238E27FC236}">
                  <a16:creationId xmlns:a16="http://schemas.microsoft.com/office/drawing/2014/main" id="{00000000-0008-0000-2700-0000BA816400}"/>
                </a:ext>
              </a:extLst>
            </xdr:cNvPr>
            <xdr:cNvSpPr/>
          </xdr:nvSpPr>
          <xdr:spPr>
            <a:xfrm>
              <a:off x="11321415" y="3935891"/>
              <a:ext cx="34926" cy="46493"/>
            </a:xfrm>
            <a:custGeom>
              <a:avLst/>
              <a:gdLst/>
              <a:ahLst/>
              <a:cxnLst/>
              <a:rect l="0" t="0" r="0" b="0"/>
              <a:pathLst>
                <a:path w="34926" h="46493">
                  <a:moveTo>
                    <a:pt x="34925" y="40641"/>
                  </a:moveTo>
                  <a:lnTo>
                    <a:pt x="30143" y="46492"/>
                  </a:lnTo>
                  <a:lnTo>
                    <a:pt x="6613" y="18971"/>
                  </a:lnTo>
                  <a:lnTo>
                    <a:pt x="0" y="0"/>
                  </a:lnTo>
                  <a:lnTo>
                    <a:pt x="10794" y="0"/>
                  </a:lnTo>
                  <a:lnTo>
                    <a:pt x="22225" y="2540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11" name="SB_4">
              <a:extLst>
                <a:ext uri="{FF2B5EF4-FFF2-40B4-BE49-F238E27FC236}">
                  <a16:creationId xmlns:a16="http://schemas.microsoft.com/office/drawing/2014/main" id="{00000000-0008-0000-2700-0000BB816400}"/>
                </a:ext>
              </a:extLst>
            </xdr:cNvPr>
            <xdr:cNvSpPr/>
          </xdr:nvSpPr>
          <xdr:spPr>
            <a:xfrm>
              <a:off x="11246202" y="3904141"/>
              <a:ext cx="54176" cy="38682"/>
            </a:xfrm>
            <a:custGeom>
              <a:avLst/>
              <a:gdLst/>
              <a:ahLst/>
              <a:cxnLst/>
              <a:rect l="0" t="0" r="0" b="0"/>
              <a:pathLst>
                <a:path w="54176" h="38682">
                  <a:moveTo>
                    <a:pt x="52829" y="32300"/>
                  </a:moveTo>
                  <a:lnTo>
                    <a:pt x="54175" y="38681"/>
                  </a:lnTo>
                  <a:lnTo>
                    <a:pt x="29292" y="25216"/>
                  </a:lnTo>
                  <a:lnTo>
                    <a:pt x="11906" y="13805"/>
                  </a:lnTo>
                  <a:lnTo>
                    <a:pt x="0" y="3236"/>
                  </a:lnTo>
                  <a:lnTo>
                    <a:pt x="4728" y="0"/>
                  </a:lnTo>
                  <a:lnTo>
                    <a:pt x="19332" y="7621"/>
                  </a:lnTo>
                  <a:lnTo>
                    <a:pt x="45367" y="22225"/>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12" name="SB_5">
              <a:extLst>
                <a:ext uri="{FF2B5EF4-FFF2-40B4-BE49-F238E27FC236}">
                  <a16:creationId xmlns:a16="http://schemas.microsoft.com/office/drawing/2014/main" id="{00000000-0008-0000-2700-0000BC816400}"/>
                </a:ext>
              </a:extLst>
            </xdr:cNvPr>
            <xdr:cNvSpPr/>
          </xdr:nvSpPr>
          <xdr:spPr>
            <a:xfrm>
              <a:off x="11191602" y="3881259"/>
              <a:ext cx="33243" cy="25576"/>
            </a:xfrm>
            <a:custGeom>
              <a:avLst/>
              <a:gdLst/>
              <a:ahLst/>
              <a:cxnLst/>
              <a:rect l="0" t="0" r="0" b="0"/>
              <a:pathLst>
                <a:path w="33243" h="25576">
                  <a:moveTo>
                    <a:pt x="33242" y="23765"/>
                  </a:moveTo>
                  <a:lnTo>
                    <a:pt x="26924" y="25575"/>
                  </a:lnTo>
                  <a:lnTo>
                    <a:pt x="13036" y="18339"/>
                  </a:lnTo>
                  <a:lnTo>
                    <a:pt x="0" y="5290"/>
                  </a:lnTo>
                  <a:lnTo>
                    <a:pt x="1631" y="0"/>
                  </a:lnTo>
                  <a:lnTo>
                    <a:pt x="20592" y="13408"/>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6586773" name="SOM">
            <a:extLst>
              <a:ext uri="{FF2B5EF4-FFF2-40B4-BE49-F238E27FC236}">
                <a16:creationId xmlns:a16="http://schemas.microsoft.com/office/drawing/2014/main" id="{00000000-0008-0000-2700-000095816400}"/>
              </a:ext>
            </a:extLst>
          </xdr:cNvPr>
          <xdr:cNvSpPr/>
        </xdr:nvSpPr>
        <xdr:spPr>
          <a:xfrm>
            <a:off x="7631596" y="3035950"/>
            <a:ext cx="322621" cy="435227"/>
          </a:xfrm>
          <a:custGeom>
            <a:avLst/>
            <a:gdLst/>
            <a:ahLst/>
            <a:cxnLst/>
            <a:rect l="0" t="0" r="0" b="0"/>
            <a:pathLst>
              <a:path w="322352" h="435227">
                <a:moveTo>
                  <a:pt x="277732" y="14151"/>
                </a:moveTo>
                <a:lnTo>
                  <a:pt x="294566" y="10954"/>
                </a:lnTo>
                <a:lnTo>
                  <a:pt x="309591" y="86"/>
                </a:lnTo>
                <a:lnTo>
                  <a:pt x="321630" y="0"/>
                </a:lnTo>
                <a:lnTo>
                  <a:pt x="322351" y="8776"/>
                </a:lnTo>
                <a:lnTo>
                  <a:pt x="319417" y="27245"/>
                </a:lnTo>
                <a:lnTo>
                  <a:pt x="319537" y="43933"/>
                </a:lnTo>
                <a:lnTo>
                  <a:pt x="312835" y="55401"/>
                </a:lnTo>
                <a:lnTo>
                  <a:pt x="303888" y="89723"/>
                </a:lnTo>
                <a:lnTo>
                  <a:pt x="288601" y="125188"/>
                </a:lnTo>
                <a:lnTo>
                  <a:pt x="268973" y="165732"/>
                </a:lnTo>
                <a:lnTo>
                  <a:pt x="241725" y="212265"/>
                </a:lnTo>
                <a:lnTo>
                  <a:pt x="214620" y="247815"/>
                </a:lnTo>
                <a:lnTo>
                  <a:pt x="177282" y="291125"/>
                </a:lnTo>
                <a:lnTo>
                  <a:pt x="145506" y="316827"/>
                </a:lnTo>
                <a:lnTo>
                  <a:pt x="98014" y="348355"/>
                </a:lnTo>
                <a:lnTo>
                  <a:pt x="68418" y="372504"/>
                </a:lnTo>
                <a:lnTo>
                  <a:pt x="33670" y="410966"/>
                </a:lnTo>
                <a:lnTo>
                  <a:pt x="26345" y="427708"/>
                </a:lnTo>
                <a:lnTo>
                  <a:pt x="19177" y="435226"/>
                </a:lnTo>
                <a:lnTo>
                  <a:pt x="377" y="409033"/>
                </a:lnTo>
                <a:lnTo>
                  <a:pt x="0" y="293373"/>
                </a:lnTo>
                <a:lnTo>
                  <a:pt x="27749" y="257356"/>
                </a:lnTo>
                <a:lnTo>
                  <a:pt x="36432" y="247349"/>
                </a:lnTo>
                <a:lnTo>
                  <a:pt x="56788" y="246762"/>
                </a:lnTo>
                <a:lnTo>
                  <a:pt x="85083" y="224378"/>
                </a:lnTo>
                <a:lnTo>
                  <a:pt x="126444" y="222981"/>
                </a:lnTo>
                <a:lnTo>
                  <a:pt x="216163" y="127686"/>
                </a:lnTo>
                <a:lnTo>
                  <a:pt x="238302" y="101187"/>
                </a:lnTo>
                <a:lnTo>
                  <a:pt x="252635" y="81690"/>
                </a:lnTo>
                <a:lnTo>
                  <a:pt x="252638" y="65123"/>
                </a:lnTo>
                <a:lnTo>
                  <a:pt x="252647" y="33094"/>
                </a:lnTo>
                <a:lnTo>
                  <a:pt x="252758" y="20013"/>
                </a:lnTo>
                <a:lnTo>
                  <a:pt x="252955" y="19495"/>
                </a:lnTo>
                <a:lnTo>
                  <a:pt x="263102" y="1886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74" name="KOR">
            <a:extLst>
              <a:ext uri="{FF2B5EF4-FFF2-40B4-BE49-F238E27FC236}">
                <a16:creationId xmlns:a16="http://schemas.microsoft.com/office/drawing/2014/main" id="{00000000-0008-0000-2700-000096816400}"/>
              </a:ext>
            </a:extLst>
          </xdr:cNvPr>
          <xdr:cNvSpPr/>
        </xdr:nvSpPr>
        <xdr:spPr>
          <a:xfrm>
            <a:off x="10336926" y="2191794"/>
            <a:ext cx="106481" cy="134056"/>
          </a:xfrm>
          <a:custGeom>
            <a:avLst/>
            <a:gdLst/>
            <a:ahLst/>
            <a:cxnLst/>
            <a:rect l="0" t="0" r="0" b="0"/>
            <a:pathLst>
              <a:path w="106392" h="134056">
                <a:moveTo>
                  <a:pt x="70876" y="0"/>
                </a:moveTo>
                <a:lnTo>
                  <a:pt x="98282" y="37459"/>
                </a:lnTo>
                <a:lnTo>
                  <a:pt x="106140" y="58039"/>
                </a:lnTo>
                <a:lnTo>
                  <a:pt x="106391" y="94618"/>
                </a:lnTo>
                <a:lnTo>
                  <a:pt x="94425" y="112068"/>
                </a:lnTo>
                <a:lnTo>
                  <a:pt x="65674" y="118167"/>
                </a:lnTo>
                <a:lnTo>
                  <a:pt x="40294" y="131334"/>
                </a:lnTo>
                <a:lnTo>
                  <a:pt x="11693" y="134055"/>
                </a:lnTo>
                <a:lnTo>
                  <a:pt x="8144" y="116764"/>
                </a:lnTo>
                <a:lnTo>
                  <a:pt x="14027" y="92955"/>
                </a:lnTo>
                <a:lnTo>
                  <a:pt x="0" y="59903"/>
                </a:lnTo>
                <a:lnTo>
                  <a:pt x="23581" y="54556"/>
                </a:lnTo>
                <a:lnTo>
                  <a:pt x="1823" y="27384"/>
                </a:lnTo>
                <a:lnTo>
                  <a:pt x="3807" y="24505"/>
                </a:lnTo>
                <a:lnTo>
                  <a:pt x="17980" y="25635"/>
                </a:lnTo>
                <a:lnTo>
                  <a:pt x="30349" y="11306"/>
                </a:lnTo>
                <a:lnTo>
                  <a:pt x="52788" y="9770"/>
                </a:lnTo>
                <a:lnTo>
                  <a:pt x="66303" y="767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75" name="ESP">
            <a:extLst>
              <a:ext uri="{FF2B5EF4-FFF2-40B4-BE49-F238E27FC236}">
                <a16:creationId xmlns:a16="http://schemas.microsoft.com/office/drawing/2014/main" id="{00000000-0008-0000-2700-000097816400}"/>
              </a:ext>
            </a:extLst>
          </xdr:cNvPr>
          <xdr:cNvSpPr/>
        </xdr:nvSpPr>
        <xdr:spPr>
          <a:xfrm>
            <a:off x="6030889" y="2028723"/>
            <a:ext cx="395059" cy="247695"/>
          </a:xfrm>
          <a:custGeom>
            <a:avLst/>
            <a:gdLst/>
            <a:ahLst/>
            <a:cxnLst/>
            <a:rect l="0" t="0" r="0" b="0"/>
            <a:pathLst>
              <a:path w="394730" h="247695">
                <a:moveTo>
                  <a:pt x="11370" y="59299"/>
                </a:moveTo>
                <a:lnTo>
                  <a:pt x="12970" y="36687"/>
                </a:lnTo>
                <a:lnTo>
                  <a:pt x="0" y="22914"/>
                </a:lnTo>
                <a:lnTo>
                  <a:pt x="44917" y="0"/>
                </a:lnTo>
                <a:lnTo>
                  <a:pt x="83769" y="5728"/>
                </a:lnTo>
                <a:lnTo>
                  <a:pt x="126397" y="5528"/>
                </a:lnTo>
                <a:lnTo>
                  <a:pt x="160182" y="10950"/>
                </a:lnTo>
                <a:lnTo>
                  <a:pt x="186544" y="9284"/>
                </a:lnTo>
                <a:lnTo>
                  <a:pt x="237855" y="10335"/>
                </a:lnTo>
                <a:lnTo>
                  <a:pt x="250511" y="22679"/>
                </a:lnTo>
                <a:lnTo>
                  <a:pt x="308956" y="37109"/>
                </a:lnTo>
                <a:lnTo>
                  <a:pt x="320500" y="30245"/>
                </a:lnTo>
                <a:lnTo>
                  <a:pt x="356225" y="44606"/>
                </a:lnTo>
                <a:lnTo>
                  <a:pt x="393030" y="40491"/>
                </a:lnTo>
                <a:lnTo>
                  <a:pt x="394729" y="58934"/>
                </a:lnTo>
                <a:lnTo>
                  <a:pt x="364639" y="80080"/>
                </a:lnTo>
                <a:lnTo>
                  <a:pt x="323958" y="86792"/>
                </a:lnTo>
                <a:lnTo>
                  <a:pt x="321126" y="97472"/>
                </a:lnTo>
                <a:lnTo>
                  <a:pt x="301612" y="115075"/>
                </a:lnTo>
                <a:lnTo>
                  <a:pt x="289376" y="140916"/>
                </a:lnTo>
                <a:lnTo>
                  <a:pt x="301758" y="159061"/>
                </a:lnTo>
                <a:lnTo>
                  <a:pt x="283394" y="173225"/>
                </a:lnTo>
                <a:lnTo>
                  <a:pt x="276527" y="193862"/>
                </a:lnTo>
                <a:lnTo>
                  <a:pt x="252555" y="200190"/>
                </a:lnTo>
                <a:lnTo>
                  <a:pt x="230073" y="224606"/>
                </a:lnTo>
                <a:lnTo>
                  <a:pt x="189773" y="225088"/>
                </a:lnTo>
                <a:lnTo>
                  <a:pt x="159512" y="224488"/>
                </a:lnTo>
                <a:lnTo>
                  <a:pt x="139627" y="235699"/>
                </a:lnTo>
                <a:lnTo>
                  <a:pt x="127498" y="247694"/>
                </a:lnTo>
                <a:lnTo>
                  <a:pt x="111966" y="245062"/>
                </a:lnTo>
                <a:lnTo>
                  <a:pt x="100209" y="234334"/>
                </a:lnTo>
                <a:lnTo>
                  <a:pt x="91208" y="216071"/>
                </a:lnTo>
                <a:lnTo>
                  <a:pt x="61570" y="211153"/>
                </a:lnTo>
                <a:lnTo>
                  <a:pt x="58922" y="200641"/>
                </a:lnTo>
                <a:lnTo>
                  <a:pt x="70688" y="188735"/>
                </a:lnTo>
                <a:lnTo>
                  <a:pt x="75044" y="180102"/>
                </a:lnTo>
                <a:lnTo>
                  <a:pt x="64097" y="170662"/>
                </a:lnTo>
                <a:lnTo>
                  <a:pt x="72863" y="149803"/>
                </a:lnTo>
                <a:lnTo>
                  <a:pt x="60144" y="130769"/>
                </a:lnTo>
                <a:lnTo>
                  <a:pt x="73860" y="128156"/>
                </a:lnTo>
                <a:lnTo>
                  <a:pt x="75136" y="113151"/>
                </a:lnTo>
                <a:lnTo>
                  <a:pt x="80292" y="108502"/>
                </a:lnTo>
                <a:lnTo>
                  <a:pt x="80702" y="83731"/>
                </a:lnTo>
                <a:lnTo>
                  <a:pt x="95371" y="75136"/>
                </a:lnTo>
                <a:lnTo>
                  <a:pt x="86496" y="59210"/>
                </a:lnTo>
                <a:lnTo>
                  <a:pt x="67996" y="58102"/>
                </a:lnTo>
                <a:lnTo>
                  <a:pt x="62560" y="62109"/>
                </a:lnTo>
                <a:lnTo>
                  <a:pt x="43806" y="62147"/>
                </a:lnTo>
                <a:lnTo>
                  <a:pt x="35846" y="46603"/>
                </a:lnTo>
                <a:lnTo>
                  <a:pt x="22892" y="5123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76" name="LKA">
            <a:extLst>
              <a:ext uri="{FF2B5EF4-FFF2-40B4-BE49-F238E27FC236}">
                <a16:creationId xmlns:a16="http://schemas.microsoft.com/office/drawing/2014/main" id="{00000000-0008-0000-2700-000098816400}"/>
              </a:ext>
            </a:extLst>
          </xdr:cNvPr>
          <xdr:cNvSpPr/>
        </xdr:nvSpPr>
        <xdr:spPr>
          <a:xfrm>
            <a:off x="8861792" y="3105816"/>
            <a:ext cx="66502" cy="122420"/>
          </a:xfrm>
          <a:custGeom>
            <a:avLst/>
            <a:gdLst/>
            <a:ahLst/>
            <a:cxnLst/>
            <a:rect l="0" t="0" r="0" b="0"/>
            <a:pathLst>
              <a:path w="66447" h="122420">
                <a:moveTo>
                  <a:pt x="66446" y="73057"/>
                </a:moveTo>
                <a:lnTo>
                  <a:pt x="61662" y="106118"/>
                </a:lnTo>
                <a:lnTo>
                  <a:pt x="48349" y="115157"/>
                </a:lnTo>
                <a:lnTo>
                  <a:pt x="20739" y="122419"/>
                </a:lnTo>
                <a:lnTo>
                  <a:pt x="5630" y="97174"/>
                </a:lnTo>
                <a:lnTo>
                  <a:pt x="0" y="51540"/>
                </a:lnTo>
                <a:lnTo>
                  <a:pt x="14370" y="0"/>
                </a:lnTo>
                <a:lnTo>
                  <a:pt x="36309" y="17644"/>
                </a:lnTo>
                <a:lnTo>
                  <a:pt x="51089" y="4000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6586777" name="SDN">
            <a:extLst>
              <a:ext uri="{FF2B5EF4-FFF2-40B4-BE49-F238E27FC236}">
                <a16:creationId xmlns:a16="http://schemas.microsoft.com/office/drawing/2014/main" id="{00000000-0008-0000-2700-000099816400}"/>
              </a:ext>
            </a:extLst>
          </xdr:cNvPr>
          <xdr:cNvGrpSpPr/>
        </xdr:nvGrpSpPr>
        <xdr:grpSpPr>
          <a:xfrm>
            <a:off x="7026435" y="2719231"/>
            <a:ext cx="523464" cy="587084"/>
            <a:chOff x="6591625" y="4391055"/>
            <a:chExt cx="523464" cy="587084"/>
          </a:xfrm>
          <a:grpFill/>
        </xdr:grpSpPr>
        <xdr:sp macro="" textlink="">
          <xdr:nvSpPr>
            <xdr:cNvPr id="6586806" name="SD_2">
              <a:extLst>
                <a:ext uri="{FF2B5EF4-FFF2-40B4-BE49-F238E27FC236}">
                  <a16:creationId xmlns:a16="http://schemas.microsoft.com/office/drawing/2014/main" id="{00000000-0008-0000-2700-0000B6816400}"/>
                </a:ext>
              </a:extLst>
            </xdr:cNvPr>
            <xdr:cNvSpPr/>
          </xdr:nvSpPr>
          <xdr:spPr>
            <a:xfrm>
              <a:off x="6653596" y="4700681"/>
              <a:ext cx="362602" cy="277458"/>
            </a:xfrm>
            <a:custGeom>
              <a:avLst/>
              <a:gdLst/>
              <a:ahLst/>
              <a:cxnLst/>
              <a:rect l="0" t="0" r="0" b="0"/>
              <a:pathLst>
                <a:path w="362300" h="277458">
                  <a:moveTo>
                    <a:pt x="319926" y="88383"/>
                  </a:moveTo>
                  <a:lnTo>
                    <a:pt x="320294" y="113138"/>
                  </a:lnTo>
                  <a:lnTo>
                    <a:pt x="315547" y="122835"/>
                  </a:lnTo>
                  <a:lnTo>
                    <a:pt x="298697" y="123616"/>
                  </a:lnTo>
                  <a:lnTo>
                    <a:pt x="287883" y="141701"/>
                  </a:lnTo>
                  <a:lnTo>
                    <a:pt x="307381" y="143977"/>
                  </a:lnTo>
                  <a:lnTo>
                    <a:pt x="323472" y="159449"/>
                  </a:lnTo>
                  <a:lnTo>
                    <a:pt x="329034" y="172146"/>
                  </a:lnTo>
                  <a:lnTo>
                    <a:pt x="343535" y="179509"/>
                  </a:lnTo>
                  <a:lnTo>
                    <a:pt x="362299" y="214059"/>
                  </a:lnTo>
                  <a:lnTo>
                    <a:pt x="340779" y="234979"/>
                  </a:lnTo>
                  <a:lnTo>
                    <a:pt x="321246" y="253940"/>
                  </a:lnTo>
                  <a:lnTo>
                    <a:pt x="301720" y="268542"/>
                  </a:lnTo>
                  <a:lnTo>
                    <a:pt x="279381" y="268469"/>
                  </a:lnTo>
                  <a:lnTo>
                    <a:pt x="253825" y="275899"/>
                  </a:lnTo>
                  <a:lnTo>
                    <a:pt x="233635" y="268799"/>
                  </a:lnTo>
                  <a:lnTo>
                    <a:pt x="220560" y="277457"/>
                  </a:lnTo>
                  <a:lnTo>
                    <a:pt x="192611" y="256359"/>
                  </a:lnTo>
                  <a:lnTo>
                    <a:pt x="185070" y="242799"/>
                  </a:lnTo>
                  <a:lnTo>
                    <a:pt x="167389" y="249514"/>
                  </a:lnTo>
                  <a:lnTo>
                    <a:pt x="152708" y="247425"/>
                  </a:lnTo>
                  <a:lnTo>
                    <a:pt x="144208" y="252756"/>
                  </a:lnTo>
                  <a:lnTo>
                    <a:pt x="129953" y="248908"/>
                  </a:lnTo>
                  <a:lnTo>
                    <a:pt x="110718" y="222698"/>
                  </a:lnTo>
                  <a:lnTo>
                    <a:pt x="105613" y="212630"/>
                  </a:lnTo>
                  <a:lnTo>
                    <a:pt x="81880" y="200067"/>
                  </a:lnTo>
                  <a:lnTo>
                    <a:pt x="73863" y="181020"/>
                  </a:lnTo>
                  <a:lnTo>
                    <a:pt x="60630" y="167282"/>
                  </a:lnTo>
                  <a:lnTo>
                    <a:pt x="39278" y="150746"/>
                  </a:lnTo>
                  <a:lnTo>
                    <a:pt x="38985" y="140427"/>
                  </a:lnTo>
                  <a:lnTo>
                    <a:pt x="21603" y="127598"/>
                  </a:lnTo>
                  <a:lnTo>
                    <a:pt x="0" y="115199"/>
                  </a:lnTo>
                  <a:lnTo>
                    <a:pt x="9750" y="111738"/>
                  </a:lnTo>
                  <a:lnTo>
                    <a:pt x="20650" y="105744"/>
                  </a:lnTo>
                  <a:lnTo>
                    <a:pt x="28825" y="77401"/>
                  </a:lnTo>
                  <a:lnTo>
                    <a:pt x="37547" y="62681"/>
                  </a:lnTo>
                  <a:lnTo>
                    <a:pt x="60439" y="58322"/>
                  </a:lnTo>
                  <a:lnTo>
                    <a:pt x="65891" y="67044"/>
                  </a:lnTo>
                  <a:lnTo>
                    <a:pt x="82242" y="85576"/>
                  </a:lnTo>
                  <a:lnTo>
                    <a:pt x="90964" y="88300"/>
                  </a:lnTo>
                  <a:lnTo>
                    <a:pt x="102409" y="82849"/>
                  </a:lnTo>
                  <a:lnTo>
                    <a:pt x="125304" y="83941"/>
                  </a:lnTo>
                  <a:lnTo>
                    <a:pt x="129664" y="90482"/>
                  </a:lnTo>
                  <a:lnTo>
                    <a:pt x="161277" y="90482"/>
                  </a:lnTo>
                  <a:lnTo>
                    <a:pt x="162366" y="83941"/>
                  </a:lnTo>
                  <a:lnTo>
                    <a:pt x="178720" y="77944"/>
                  </a:lnTo>
                  <a:lnTo>
                    <a:pt x="181991" y="68679"/>
                  </a:lnTo>
                  <a:lnTo>
                    <a:pt x="193980" y="62138"/>
                  </a:lnTo>
                  <a:lnTo>
                    <a:pt x="220687" y="80671"/>
                  </a:lnTo>
                  <a:lnTo>
                    <a:pt x="237042" y="77401"/>
                  </a:lnTo>
                  <a:lnTo>
                    <a:pt x="252847" y="54505"/>
                  </a:lnTo>
                  <a:lnTo>
                    <a:pt x="270291" y="37065"/>
                  </a:lnTo>
                  <a:lnTo>
                    <a:pt x="267564" y="17987"/>
                  </a:lnTo>
                  <a:lnTo>
                    <a:pt x="259934" y="8722"/>
                  </a:lnTo>
                  <a:lnTo>
                    <a:pt x="279009" y="7087"/>
                  </a:lnTo>
                  <a:lnTo>
                    <a:pt x="281191" y="0"/>
                  </a:lnTo>
                  <a:lnTo>
                    <a:pt x="295907" y="2182"/>
                  </a:lnTo>
                  <a:lnTo>
                    <a:pt x="292093" y="25620"/>
                  </a:lnTo>
                  <a:lnTo>
                    <a:pt x="295907" y="48511"/>
                  </a:lnTo>
                  <a:lnTo>
                    <a:pt x="312261" y="61046"/>
                  </a:lnTo>
                  <a:lnTo>
                    <a:pt x="316074" y="71949"/>
                  </a:lnTo>
                  <a:lnTo>
                    <a:pt x="315531" y="87754"/>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07" name="SD_1">
              <a:extLst>
                <a:ext uri="{FF2B5EF4-FFF2-40B4-BE49-F238E27FC236}">
                  <a16:creationId xmlns:a16="http://schemas.microsoft.com/office/drawing/2014/main" id="{00000000-0008-0000-2700-0000B7816400}"/>
                </a:ext>
              </a:extLst>
            </xdr:cNvPr>
            <xdr:cNvSpPr/>
          </xdr:nvSpPr>
          <xdr:spPr>
            <a:xfrm>
              <a:off x="6591625" y="4391055"/>
              <a:ext cx="523464" cy="424826"/>
            </a:xfrm>
            <a:custGeom>
              <a:avLst/>
              <a:gdLst/>
              <a:ahLst/>
              <a:cxnLst/>
              <a:rect l="0" t="0" r="0" b="0"/>
              <a:pathLst>
                <a:path w="523028" h="424826">
                  <a:moveTo>
                    <a:pt x="381845" y="398009"/>
                  </a:moveTo>
                  <a:lnTo>
                    <a:pt x="377450" y="397380"/>
                  </a:lnTo>
                  <a:lnTo>
                    <a:pt x="377993" y="381575"/>
                  </a:lnTo>
                  <a:lnTo>
                    <a:pt x="374180" y="370672"/>
                  </a:lnTo>
                  <a:lnTo>
                    <a:pt x="357826" y="358137"/>
                  </a:lnTo>
                  <a:lnTo>
                    <a:pt x="354012" y="335246"/>
                  </a:lnTo>
                  <a:lnTo>
                    <a:pt x="357826" y="311808"/>
                  </a:lnTo>
                  <a:lnTo>
                    <a:pt x="343110" y="309626"/>
                  </a:lnTo>
                  <a:lnTo>
                    <a:pt x="340928" y="316713"/>
                  </a:lnTo>
                  <a:lnTo>
                    <a:pt x="321853" y="318348"/>
                  </a:lnTo>
                  <a:lnTo>
                    <a:pt x="329483" y="327613"/>
                  </a:lnTo>
                  <a:lnTo>
                    <a:pt x="332210" y="346691"/>
                  </a:lnTo>
                  <a:lnTo>
                    <a:pt x="314766" y="364131"/>
                  </a:lnTo>
                  <a:lnTo>
                    <a:pt x="298961" y="387027"/>
                  </a:lnTo>
                  <a:lnTo>
                    <a:pt x="282606" y="390297"/>
                  </a:lnTo>
                  <a:lnTo>
                    <a:pt x="255899" y="371764"/>
                  </a:lnTo>
                  <a:lnTo>
                    <a:pt x="243910" y="378305"/>
                  </a:lnTo>
                  <a:lnTo>
                    <a:pt x="240639" y="387570"/>
                  </a:lnTo>
                  <a:lnTo>
                    <a:pt x="224285" y="393567"/>
                  </a:lnTo>
                  <a:lnTo>
                    <a:pt x="223196" y="400108"/>
                  </a:lnTo>
                  <a:lnTo>
                    <a:pt x="191583" y="400108"/>
                  </a:lnTo>
                  <a:lnTo>
                    <a:pt x="187223" y="393567"/>
                  </a:lnTo>
                  <a:lnTo>
                    <a:pt x="164328" y="392475"/>
                  </a:lnTo>
                  <a:lnTo>
                    <a:pt x="152883" y="397926"/>
                  </a:lnTo>
                  <a:lnTo>
                    <a:pt x="144161" y="395202"/>
                  </a:lnTo>
                  <a:lnTo>
                    <a:pt x="127810" y="376670"/>
                  </a:lnTo>
                  <a:lnTo>
                    <a:pt x="122358" y="367948"/>
                  </a:lnTo>
                  <a:lnTo>
                    <a:pt x="99466" y="372307"/>
                  </a:lnTo>
                  <a:lnTo>
                    <a:pt x="90744" y="387027"/>
                  </a:lnTo>
                  <a:lnTo>
                    <a:pt x="82569" y="415370"/>
                  </a:lnTo>
                  <a:lnTo>
                    <a:pt x="71669" y="421364"/>
                  </a:lnTo>
                  <a:lnTo>
                    <a:pt x="61919" y="424825"/>
                  </a:lnTo>
                  <a:lnTo>
                    <a:pt x="59341" y="423345"/>
                  </a:lnTo>
                  <a:lnTo>
                    <a:pt x="48330" y="414201"/>
                  </a:lnTo>
                  <a:lnTo>
                    <a:pt x="46291" y="404334"/>
                  </a:lnTo>
                  <a:lnTo>
                    <a:pt x="51448" y="391122"/>
                  </a:lnTo>
                  <a:lnTo>
                    <a:pt x="51355" y="378165"/>
                  </a:lnTo>
                  <a:lnTo>
                    <a:pt x="33042" y="358315"/>
                  </a:lnTo>
                  <a:lnTo>
                    <a:pt x="29445" y="344729"/>
                  </a:lnTo>
                  <a:lnTo>
                    <a:pt x="29826" y="337039"/>
                  </a:lnTo>
                  <a:lnTo>
                    <a:pt x="18157" y="327679"/>
                  </a:lnTo>
                  <a:lnTo>
                    <a:pt x="17806" y="309239"/>
                  </a:lnTo>
                  <a:lnTo>
                    <a:pt x="11150" y="296987"/>
                  </a:lnTo>
                  <a:lnTo>
                    <a:pt x="0" y="298825"/>
                  </a:lnTo>
                  <a:lnTo>
                    <a:pt x="3200" y="287163"/>
                  </a:lnTo>
                  <a:lnTo>
                    <a:pt x="11424" y="273930"/>
                  </a:lnTo>
                  <a:lnTo>
                    <a:pt x="7826" y="260779"/>
                  </a:lnTo>
                  <a:lnTo>
                    <a:pt x="18263" y="251041"/>
                  </a:lnTo>
                  <a:lnTo>
                    <a:pt x="11642" y="243624"/>
                  </a:lnTo>
                  <a:lnTo>
                    <a:pt x="20040" y="224019"/>
                  </a:lnTo>
                  <a:lnTo>
                    <a:pt x="34538" y="200638"/>
                  </a:lnTo>
                  <a:lnTo>
                    <a:pt x="61915" y="202858"/>
                  </a:lnTo>
                  <a:lnTo>
                    <a:pt x="60353" y="76820"/>
                  </a:lnTo>
                  <a:lnTo>
                    <a:pt x="60744" y="63500"/>
                  </a:lnTo>
                  <a:lnTo>
                    <a:pt x="97257" y="63405"/>
                  </a:lnTo>
                  <a:lnTo>
                    <a:pt x="97257" y="0"/>
                  </a:lnTo>
                  <a:lnTo>
                    <a:pt x="224891" y="0"/>
                  </a:lnTo>
                  <a:lnTo>
                    <a:pt x="348082" y="0"/>
                  </a:lnTo>
                  <a:lnTo>
                    <a:pt x="474009" y="0"/>
                  </a:lnTo>
                  <a:lnTo>
                    <a:pt x="484248" y="31150"/>
                  </a:lnTo>
                  <a:lnTo>
                    <a:pt x="477285" y="36913"/>
                  </a:lnTo>
                  <a:lnTo>
                    <a:pt x="481898" y="69596"/>
                  </a:lnTo>
                  <a:lnTo>
                    <a:pt x="493554" y="107503"/>
                  </a:lnTo>
                  <a:lnTo>
                    <a:pt x="505650" y="115320"/>
                  </a:lnTo>
                  <a:lnTo>
                    <a:pt x="523027" y="127054"/>
                  </a:lnTo>
                  <a:lnTo>
                    <a:pt x="506959" y="145177"/>
                  </a:lnTo>
                  <a:lnTo>
                    <a:pt x="483575" y="150397"/>
                  </a:lnTo>
                  <a:lnTo>
                    <a:pt x="473573" y="160128"/>
                  </a:lnTo>
                  <a:lnTo>
                    <a:pt x="470443" y="181233"/>
                  </a:lnTo>
                  <a:lnTo>
                    <a:pt x="456768" y="227886"/>
                  </a:lnTo>
                  <a:lnTo>
                    <a:pt x="460143" y="240599"/>
                  </a:lnTo>
                  <a:lnTo>
                    <a:pt x="455085" y="267866"/>
                  </a:lnTo>
                  <a:lnTo>
                    <a:pt x="442176" y="299139"/>
                  </a:lnTo>
                  <a:lnTo>
                    <a:pt x="423027" y="314868"/>
                  </a:lnTo>
                  <a:lnTo>
                    <a:pt x="409410" y="339122"/>
                  </a:lnTo>
                  <a:lnTo>
                    <a:pt x="406222" y="352102"/>
                  </a:lnTo>
                  <a:lnTo>
                    <a:pt x="391179" y="360995"/>
                  </a:lnTo>
                  <a:lnTo>
                    <a:pt x="381787" y="394221"/>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6586778" name="SUR">
            <a:extLst>
              <a:ext uri="{FF2B5EF4-FFF2-40B4-BE49-F238E27FC236}">
                <a16:creationId xmlns:a16="http://schemas.microsoft.com/office/drawing/2014/main" id="{00000000-0008-0000-2700-00009A816400}"/>
              </a:ext>
            </a:extLst>
          </xdr:cNvPr>
          <xdr:cNvSpPr/>
        </xdr:nvSpPr>
        <xdr:spPr>
          <a:xfrm>
            <a:off x="4484906" y="3226428"/>
            <a:ext cx="129862" cy="133593"/>
          </a:xfrm>
          <a:custGeom>
            <a:avLst/>
            <a:gdLst/>
            <a:ahLst/>
            <a:cxnLst/>
            <a:rect l="0" t="0" r="0" b="0"/>
            <a:pathLst>
              <a:path w="129754" h="133593">
                <a:moveTo>
                  <a:pt x="28490" y="1657"/>
                </a:moveTo>
                <a:lnTo>
                  <a:pt x="66529" y="8014"/>
                </a:lnTo>
                <a:lnTo>
                  <a:pt x="69942" y="2293"/>
                </a:lnTo>
                <a:lnTo>
                  <a:pt x="95612" y="0"/>
                </a:lnTo>
                <a:lnTo>
                  <a:pt x="129753" y="8535"/>
                </a:lnTo>
                <a:lnTo>
                  <a:pt x="113224" y="35830"/>
                </a:lnTo>
                <a:lnTo>
                  <a:pt x="115735" y="57553"/>
                </a:lnTo>
                <a:lnTo>
                  <a:pt x="128201" y="76368"/>
                </a:lnTo>
                <a:lnTo>
                  <a:pt x="122650" y="90027"/>
                </a:lnTo>
                <a:lnTo>
                  <a:pt x="119856" y="104550"/>
                </a:lnTo>
                <a:lnTo>
                  <a:pt x="111757" y="117904"/>
                </a:lnTo>
                <a:lnTo>
                  <a:pt x="93571" y="111176"/>
                </a:lnTo>
                <a:lnTo>
                  <a:pt x="78578" y="114421"/>
                </a:lnTo>
                <a:lnTo>
                  <a:pt x="65767" y="111598"/>
                </a:lnTo>
                <a:lnTo>
                  <a:pt x="62592" y="120793"/>
                </a:lnTo>
                <a:lnTo>
                  <a:pt x="67917" y="127105"/>
                </a:lnTo>
                <a:lnTo>
                  <a:pt x="65056" y="133592"/>
                </a:lnTo>
                <a:lnTo>
                  <a:pt x="47793" y="130994"/>
                </a:lnTo>
                <a:lnTo>
                  <a:pt x="28404" y="103391"/>
                </a:lnTo>
                <a:lnTo>
                  <a:pt x="24235" y="85465"/>
                </a:lnTo>
                <a:lnTo>
                  <a:pt x="14069" y="85427"/>
                </a:lnTo>
                <a:lnTo>
                  <a:pt x="0" y="62370"/>
                </a:lnTo>
                <a:lnTo>
                  <a:pt x="5858" y="45990"/>
                </a:lnTo>
                <a:lnTo>
                  <a:pt x="4141" y="38503"/>
                </a:lnTo>
                <a:lnTo>
                  <a:pt x="23416" y="3021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79" name="SWZ">
            <a:extLst>
              <a:ext uri="{FF2B5EF4-FFF2-40B4-BE49-F238E27FC236}">
                <a16:creationId xmlns:a16="http://schemas.microsoft.com/office/drawing/2014/main" id="{00000000-0008-0000-2700-00009B816400}"/>
              </a:ext>
            </a:extLst>
          </xdr:cNvPr>
          <xdr:cNvSpPr/>
        </xdr:nvSpPr>
        <xdr:spPr>
          <a:xfrm>
            <a:off x="7304156" y="4232443"/>
            <a:ext cx="44332" cy="51617"/>
          </a:xfrm>
          <a:custGeom>
            <a:avLst/>
            <a:gdLst/>
            <a:ahLst/>
            <a:cxnLst/>
            <a:rect l="0" t="0" r="0" b="0"/>
            <a:pathLst>
              <a:path w="44295" h="51617">
                <a:moveTo>
                  <a:pt x="44294" y="34086"/>
                </a:moveTo>
                <a:lnTo>
                  <a:pt x="37829" y="48187"/>
                </a:lnTo>
                <a:lnTo>
                  <a:pt x="19246" y="51616"/>
                </a:lnTo>
                <a:lnTo>
                  <a:pt x="298" y="34404"/>
                </a:lnTo>
                <a:lnTo>
                  <a:pt x="0" y="23428"/>
                </a:lnTo>
                <a:lnTo>
                  <a:pt x="8671" y="11506"/>
                </a:lnTo>
                <a:lnTo>
                  <a:pt x="11667" y="2264"/>
                </a:lnTo>
                <a:lnTo>
                  <a:pt x="20847" y="0"/>
                </a:lnTo>
                <a:lnTo>
                  <a:pt x="36867" y="5813"/>
                </a:lnTo>
                <a:lnTo>
                  <a:pt x="41566" y="2005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80" name="SWE">
            <a:extLst>
              <a:ext uri="{FF2B5EF4-FFF2-40B4-BE49-F238E27FC236}">
                <a16:creationId xmlns:a16="http://schemas.microsoft.com/office/drawing/2014/main" id="{00000000-0008-0000-2700-00009C816400}"/>
              </a:ext>
            </a:extLst>
          </xdr:cNvPr>
          <xdr:cNvSpPr/>
        </xdr:nvSpPr>
        <xdr:spPr>
          <a:xfrm>
            <a:off x="6679773" y="1223610"/>
            <a:ext cx="409155" cy="436388"/>
          </a:xfrm>
          <a:custGeom>
            <a:avLst/>
            <a:gdLst/>
            <a:ahLst/>
            <a:cxnLst/>
            <a:rect l="0" t="0" r="0" b="0"/>
            <a:pathLst>
              <a:path w="408814" h="436388">
                <a:moveTo>
                  <a:pt x="354197" y="107394"/>
                </a:moveTo>
                <a:lnTo>
                  <a:pt x="323409" y="129546"/>
                </a:lnTo>
                <a:lnTo>
                  <a:pt x="328365" y="148990"/>
                </a:lnTo>
                <a:lnTo>
                  <a:pt x="277861" y="174517"/>
                </a:lnTo>
                <a:lnTo>
                  <a:pt x="216548" y="201828"/>
                </a:lnTo>
                <a:lnTo>
                  <a:pt x="193428" y="246538"/>
                </a:lnTo>
                <a:lnTo>
                  <a:pt x="216024" y="268909"/>
                </a:lnTo>
                <a:lnTo>
                  <a:pt x="246390" y="286521"/>
                </a:lnTo>
                <a:lnTo>
                  <a:pt x="217227" y="322338"/>
                </a:lnTo>
                <a:lnTo>
                  <a:pt x="184208" y="329768"/>
                </a:lnTo>
                <a:lnTo>
                  <a:pt x="172095" y="383066"/>
                </a:lnTo>
                <a:lnTo>
                  <a:pt x="154064" y="412810"/>
                </a:lnTo>
                <a:lnTo>
                  <a:pt x="115548" y="409743"/>
                </a:lnTo>
                <a:lnTo>
                  <a:pt x="97578" y="434924"/>
                </a:lnTo>
                <a:lnTo>
                  <a:pt x="60817" y="436387"/>
                </a:lnTo>
                <a:lnTo>
                  <a:pt x="50727" y="406371"/>
                </a:lnTo>
                <a:lnTo>
                  <a:pt x="24146" y="370344"/>
                </a:lnTo>
                <a:lnTo>
                  <a:pt x="0" y="325440"/>
                </a:lnTo>
                <a:lnTo>
                  <a:pt x="13999" y="307143"/>
                </a:lnTo>
                <a:lnTo>
                  <a:pt x="40418" y="285378"/>
                </a:lnTo>
                <a:lnTo>
                  <a:pt x="50918" y="248050"/>
                </a:lnTo>
                <a:lnTo>
                  <a:pt x="30629" y="231959"/>
                </a:lnTo>
                <a:lnTo>
                  <a:pt x="28677" y="189798"/>
                </a:lnTo>
                <a:lnTo>
                  <a:pt x="49293" y="160020"/>
                </a:lnTo>
                <a:lnTo>
                  <a:pt x="80788" y="160563"/>
                </a:lnTo>
                <a:lnTo>
                  <a:pt x="91837" y="147980"/>
                </a:lnTo>
                <a:lnTo>
                  <a:pt x="80274" y="137134"/>
                </a:lnTo>
                <a:lnTo>
                  <a:pt x="129572" y="92465"/>
                </a:lnTo>
                <a:lnTo>
                  <a:pt x="161331" y="57267"/>
                </a:lnTo>
                <a:lnTo>
                  <a:pt x="182293" y="34680"/>
                </a:lnTo>
                <a:lnTo>
                  <a:pt x="212783" y="34785"/>
                </a:lnTo>
                <a:lnTo>
                  <a:pt x="221187" y="17107"/>
                </a:lnTo>
                <a:lnTo>
                  <a:pt x="281026" y="22193"/>
                </a:lnTo>
                <a:lnTo>
                  <a:pt x="285684" y="1304"/>
                </a:lnTo>
                <a:lnTo>
                  <a:pt x="305378" y="0"/>
                </a:lnTo>
                <a:lnTo>
                  <a:pt x="347698" y="15538"/>
                </a:lnTo>
                <a:lnTo>
                  <a:pt x="397260" y="37153"/>
                </a:lnTo>
                <a:lnTo>
                  <a:pt x="398098" y="86045"/>
                </a:lnTo>
                <a:lnTo>
                  <a:pt x="408813" y="9840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81" name="SYR">
            <a:extLst>
              <a:ext uri="{FF2B5EF4-FFF2-40B4-BE49-F238E27FC236}">
                <a16:creationId xmlns:a16="http://schemas.microsoft.com/office/drawing/2014/main" id="{00000000-0008-0000-2700-00009D816400}"/>
              </a:ext>
            </a:extLst>
          </xdr:cNvPr>
          <xdr:cNvSpPr/>
        </xdr:nvSpPr>
        <xdr:spPr>
          <a:xfrm>
            <a:off x="7463806" y="2235682"/>
            <a:ext cx="211277" cy="156116"/>
          </a:xfrm>
          <a:custGeom>
            <a:avLst/>
            <a:gdLst/>
            <a:ahLst/>
            <a:cxnLst/>
            <a:rect l="0" t="0" r="0" b="0"/>
            <a:pathLst>
              <a:path w="211101" h="156116">
                <a:moveTo>
                  <a:pt x="98155" y="122276"/>
                </a:moveTo>
                <a:lnTo>
                  <a:pt x="35982" y="156115"/>
                </a:lnTo>
                <a:lnTo>
                  <a:pt x="606" y="143532"/>
                </a:lnTo>
                <a:lnTo>
                  <a:pt x="0" y="143316"/>
                </a:lnTo>
                <a:lnTo>
                  <a:pt x="4305" y="138487"/>
                </a:lnTo>
                <a:lnTo>
                  <a:pt x="3819" y="125492"/>
                </a:lnTo>
                <a:lnTo>
                  <a:pt x="11611" y="108109"/>
                </a:lnTo>
                <a:lnTo>
                  <a:pt x="28924" y="96142"/>
                </a:lnTo>
                <a:lnTo>
                  <a:pt x="23730" y="83693"/>
                </a:lnTo>
                <a:lnTo>
                  <a:pt x="9448" y="82074"/>
                </a:lnTo>
                <a:lnTo>
                  <a:pt x="6483" y="57782"/>
                </a:lnTo>
                <a:lnTo>
                  <a:pt x="14256" y="44717"/>
                </a:lnTo>
                <a:lnTo>
                  <a:pt x="22758" y="37760"/>
                </a:lnTo>
                <a:lnTo>
                  <a:pt x="31261" y="30804"/>
                </a:lnTo>
                <a:lnTo>
                  <a:pt x="32979" y="13094"/>
                </a:lnTo>
                <a:lnTo>
                  <a:pt x="43370" y="19269"/>
                </a:lnTo>
                <a:lnTo>
                  <a:pt x="78324" y="10436"/>
                </a:lnTo>
                <a:lnTo>
                  <a:pt x="95221" y="16415"/>
                </a:lnTo>
                <a:lnTo>
                  <a:pt x="121342" y="16313"/>
                </a:lnTo>
                <a:lnTo>
                  <a:pt x="157876" y="4401"/>
                </a:lnTo>
                <a:lnTo>
                  <a:pt x="174984" y="4937"/>
                </a:lnTo>
                <a:lnTo>
                  <a:pt x="211100" y="0"/>
                </a:lnTo>
                <a:lnTo>
                  <a:pt x="194828" y="19812"/>
                </a:lnTo>
                <a:lnTo>
                  <a:pt x="177447" y="27657"/>
                </a:lnTo>
                <a:lnTo>
                  <a:pt x="180442" y="50851"/>
                </a:lnTo>
                <a:lnTo>
                  <a:pt x="168446" y="89234"/>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82" name="TWN">
            <a:extLst>
              <a:ext uri="{FF2B5EF4-FFF2-40B4-BE49-F238E27FC236}">
                <a16:creationId xmlns:a16="http://schemas.microsoft.com/office/drawing/2014/main" id="{00000000-0008-0000-2700-00009E816400}"/>
              </a:ext>
            </a:extLst>
          </xdr:cNvPr>
          <xdr:cNvSpPr/>
        </xdr:nvSpPr>
        <xdr:spPr>
          <a:xfrm>
            <a:off x="10145910" y="2614599"/>
            <a:ext cx="58629" cy="105567"/>
          </a:xfrm>
          <a:custGeom>
            <a:avLst/>
            <a:gdLst/>
            <a:ahLst/>
            <a:cxnLst/>
            <a:rect l="0" t="0" r="0" b="0"/>
            <a:pathLst>
              <a:path w="58580" h="105567">
                <a:moveTo>
                  <a:pt x="53074" y="28613"/>
                </a:moveTo>
                <a:lnTo>
                  <a:pt x="33954" y="79521"/>
                </a:lnTo>
                <a:lnTo>
                  <a:pt x="20349" y="105566"/>
                </a:lnTo>
                <a:lnTo>
                  <a:pt x="3616" y="78759"/>
                </a:lnTo>
                <a:lnTo>
                  <a:pt x="0" y="55220"/>
                </a:lnTo>
                <a:lnTo>
                  <a:pt x="18685" y="24035"/>
                </a:lnTo>
                <a:lnTo>
                  <a:pt x="44095" y="0"/>
                </a:lnTo>
                <a:lnTo>
                  <a:pt x="58579" y="945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83" name="TJK">
            <a:extLst>
              <a:ext uri="{FF2B5EF4-FFF2-40B4-BE49-F238E27FC236}">
                <a16:creationId xmlns:a16="http://schemas.microsoft.com/office/drawing/2014/main" id="{00000000-0008-0000-2700-00009F816400}"/>
              </a:ext>
            </a:extLst>
          </xdr:cNvPr>
          <xdr:cNvSpPr/>
        </xdr:nvSpPr>
        <xdr:spPr>
          <a:xfrm>
            <a:off x="8472436" y="2117245"/>
            <a:ext cx="239525" cy="134049"/>
          </a:xfrm>
          <a:custGeom>
            <a:avLst/>
            <a:gdLst/>
            <a:ahLst/>
            <a:cxnLst/>
            <a:rect l="0" t="0" r="0" b="0"/>
            <a:pathLst>
              <a:path w="239326" h="134049">
                <a:moveTo>
                  <a:pt x="113411" y="22727"/>
                </a:moveTo>
                <a:lnTo>
                  <a:pt x="101783" y="32525"/>
                </a:lnTo>
                <a:lnTo>
                  <a:pt x="67227" y="27210"/>
                </a:lnTo>
                <a:lnTo>
                  <a:pt x="64220" y="45514"/>
                </a:lnTo>
                <a:lnTo>
                  <a:pt x="98646" y="43053"/>
                </a:lnTo>
                <a:lnTo>
                  <a:pt x="137873" y="53362"/>
                </a:lnTo>
                <a:lnTo>
                  <a:pt x="197903" y="48546"/>
                </a:lnTo>
                <a:lnTo>
                  <a:pt x="205952" y="77927"/>
                </a:lnTo>
                <a:lnTo>
                  <a:pt x="216385" y="74730"/>
                </a:lnTo>
                <a:lnTo>
                  <a:pt x="235667" y="81960"/>
                </a:lnTo>
                <a:lnTo>
                  <a:pt x="234562" y="94304"/>
                </a:lnTo>
                <a:lnTo>
                  <a:pt x="239325" y="112401"/>
                </a:lnTo>
                <a:lnTo>
                  <a:pt x="206581" y="112351"/>
                </a:lnTo>
                <a:lnTo>
                  <a:pt x="184718" y="110011"/>
                </a:lnTo>
                <a:lnTo>
                  <a:pt x="164931" y="124225"/>
                </a:lnTo>
                <a:lnTo>
                  <a:pt x="150837" y="127378"/>
                </a:lnTo>
                <a:lnTo>
                  <a:pt x="139776" y="134048"/>
                </a:lnTo>
                <a:lnTo>
                  <a:pt x="127206" y="123654"/>
                </a:lnTo>
                <a:lnTo>
                  <a:pt x="130165" y="96977"/>
                </a:lnTo>
                <a:lnTo>
                  <a:pt x="120561" y="95469"/>
                </a:lnTo>
                <a:lnTo>
                  <a:pt x="124012" y="85766"/>
                </a:lnTo>
                <a:lnTo>
                  <a:pt x="106826" y="78546"/>
                </a:lnTo>
                <a:lnTo>
                  <a:pt x="93157" y="89592"/>
                </a:lnTo>
                <a:lnTo>
                  <a:pt x="89801" y="102394"/>
                </a:lnTo>
                <a:lnTo>
                  <a:pt x="84912" y="107061"/>
                </a:lnTo>
                <a:lnTo>
                  <a:pt x="65931" y="106401"/>
                </a:lnTo>
                <a:lnTo>
                  <a:pt x="55692" y="120939"/>
                </a:lnTo>
                <a:lnTo>
                  <a:pt x="44995" y="114805"/>
                </a:lnTo>
                <a:lnTo>
                  <a:pt x="22015" y="125003"/>
                </a:lnTo>
                <a:lnTo>
                  <a:pt x="12312" y="121133"/>
                </a:lnTo>
                <a:lnTo>
                  <a:pt x="30155" y="89002"/>
                </a:lnTo>
                <a:lnTo>
                  <a:pt x="23298" y="65361"/>
                </a:lnTo>
                <a:lnTo>
                  <a:pt x="0" y="57788"/>
                </a:lnTo>
                <a:lnTo>
                  <a:pt x="8229" y="43806"/>
                </a:lnTo>
                <a:lnTo>
                  <a:pt x="34740" y="45298"/>
                </a:lnTo>
                <a:lnTo>
                  <a:pt x="49828" y="27750"/>
                </a:lnTo>
                <a:lnTo>
                  <a:pt x="59921" y="7379"/>
                </a:lnTo>
                <a:lnTo>
                  <a:pt x="102374" y="0"/>
                </a:lnTo>
                <a:lnTo>
                  <a:pt x="95757" y="14723"/>
                </a:lnTo>
                <a:lnTo>
                  <a:pt x="100304" y="2354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84" name="TZA">
            <a:extLst>
              <a:ext uri="{FF2B5EF4-FFF2-40B4-BE49-F238E27FC236}">
                <a16:creationId xmlns:a16="http://schemas.microsoft.com/office/drawing/2014/main" id="{00000000-0008-0000-2700-0000A0816400}"/>
              </a:ext>
            </a:extLst>
          </xdr:cNvPr>
          <xdr:cNvSpPr/>
        </xdr:nvSpPr>
        <xdr:spPr>
          <a:xfrm>
            <a:off x="7261682" y="3447894"/>
            <a:ext cx="348799" cy="341977"/>
          </a:xfrm>
          <a:custGeom>
            <a:avLst/>
            <a:gdLst/>
            <a:ahLst/>
            <a:cxnLst/>
            <a:rect l="0" t="0" r="0" b="0"/>
            <a:pathLst>
              <a:path w="348509" h="341977">
                <a:moveTo>
                  <a:pt x="144898" y="0"/>
                </a:moveTo>
                <a:lnTo>
                  <a:pt x="150261" y="3486"/>
                </a:lnTo>
                <a:lnTo>
                  <a:pt x="265389" y="68167"/>
                </a:lnTo>
                <a:lnTo>
                  <a:pt x="267554" y="86585"/>
                </a:lnTo>
                <a:lnTo>
                  <a:pt x="313125" y="118326"/>
                </a:lnTo>
                <a:lnTo>
                  <a:pt x="298466" y="157445"/>
                </a:lnTo>
                <a:lnTo>
                  <a:pt x="300349" y="175441"/>
                </a:lnTo>
                <a:lnTo>
                  <a:pt x="320675" y="187007"/>
                </a:lnTo>
                <a:lnTo>
                  <a:pt x="321628" y="195263"/>
                </a:lnTo>
                <a:lnTo>
                  <a:pt x="312887" y="214436"/>
                </a:lnTo>
                <a:lnTo>
                  <a:pt x="314707" y="224085"/>
                </a:lnTo>
                <a:lnTo>
                  <a:pt x="312627" y="239252"/>
                </a:lnTo>
                <a:lnTo>
                  <a:pt x="323714" y="259156"/>
                </a:lnTo>
                <a:lnTo>
                  <a:pt x="336856" y="290462"/>
                </a:lnTo>
                <a:lnTo>
                  <a:pt x="348508" y="297405"/>
                </a:lnTo>
                <a:lnTo>
                  <a:pt x="323247" y="315814"/>
                </a:lnTo>
                <a:lnTo>
                  <a:pt x="288531" y="328142"/>
                </a:lnTo>
                <a:lnTo>
                  <a:pt x="269481" y="327622"/>
                </a:lnTo>
                <a:lnTo>
                  <a:pt x="258169" y="337147"/>
                </a:lnTo>
                <a:lnTo>
                  <a:pt x="236068" y="337963"/>
                </a:lnTo>
                <a:lnTo>
                  <a:pt x="227779" y="341976"/>
                </a:lnTo>
                <a:lnTo>
                  <a:pt x="189624" y="333029"/>
                </a:lnTo>
                <a:lnTo>
                  <a:pt x="165736" y="335597"/>
                </a:lnTo>
                <a:lnTo>
                  <a:pt x="156846" y="292418"/>
                </a:lnTo>
                <a:lnTo>
                  <a:pt x="146076" y="277612"/>
                </a:lnTo>
                <a:lnTo>
                  <a:pt x="139691" y="268830"/>
                </a:lnTo>
                <a:lnTo>
                  <a:pt x="108566" y="262909"/>
                </a:lnTo>
                <a:lnTo>
                  <a:pt x="90548" y="253378"/>
                </a:lnTo>
                <a:lnTo>
                  <a:pt x="70368" y="248031"/>
                </a:lnTo>
                <a:lnTo>
                  <a:pt x="57715" y="242716"/>
                </a:lnTo>
                <a:lnTo>
                  <a:pt x="44450" y="234632"/>
                </a:lnTo>
                <a:lnTo>
                  <a:pt x="27306" y="194627"/>
                </a:lnTo>
                <a:lnTo>
                  <a:pt x="8890" y="176847"/>
                </a:lnTo>
                <a:lnTo>
                  <a:pt x="2540" y="158432"/>
                </a:lnTo>
                <a:lnTo>
                  <a:pt x="5715" y="141922"/>
                </a:lnTo>
                <a:lnTo>
                  <a:pt x="0" y="112713"/>
                </a:lnTo>
                <a:lnTo>
                  <a:pt x="13129" y="111201"/>
                </a:lnTo>
                <a:lnTo>
                  <a:pt x="24648" y="99698"/>
                </a:lnTo>
                <a:lnTo>
                  <a:pt x="37005" y="83140"/>
                </a:lnTo>
                <a:lnTo>
                  <a:pt x="44838" y="76495"/>
                </a:lnTo>
                <a:lnTo>
                  <a:pt x="44546" y="66176"/>
                </a:lnTo>
                <a:lnTo>
                  <a:pt x="37710" y="58979"/>
                </a:lnTo>
                <a:lnTo>
                  <a:pt x="35869" y="46476"/>
                </a:lnTo>
                <a:lnTo>
                  <a:pt x="45032" y="42459"/>
                </a:lnTo>
                <a:lnTo>
                  <a:pt x="46866" y="23777"/>
                </a:lnTo>
                <a:lnTo>
                  <a:pt x="34262" y="5864"/>
                </a:lnTo>
                <a:lnTo>
                  <a:pt x="45400" y="2051"/>
                </a:lnTo>
                <a:lnTo>
                  <a:pt x="80208" y="245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85" name="THA">
            <a:extLst>
              <a:ext uri="{FF2B5EF4-FFF2-40B4-BE49-F238E27FC236}">
                <a16:creationId xmlns:a16="http://schemas.microsoft.com/office/drawing/2014/main" id="{00000000-0008-0000-2700-0000A1816400}"/>
              </a:ext>
            </a:extLst>
          </xdr:cNvPr>
          <xdr:cNvSpPr/>
        </xdr:nvSpPr>
        <xdr:spPr>
          <a:xfrm>
            <a:off x="9423622" y="2769466"/>
            <a:ext cx="260984" cy="467564"/>
          </a:xfrm>
          <a:custGeom>
            <a:avLst/>
            <a:gdLst/>
            <a:ahLst/>
            <a:cxnLst/>
            <a:rect l="0" t="0" r="0" b="0"/>
            <a:pathLst>
              <a:path w="260767" h="467564">
                <a:moveTo>
                  <a:pt x="165386" y="261341"/>
                </a:moveTo>
                <a:lnTo>
                  <a:pt x="136884" y="246765"/>
                </a:lnTo>
                <a:lnTo>
                  <a:pt x="109726" y="247355"/>
                </a:lnTo>
                <a:lnTo>
                  <a:pt x="114383" y="222412"/>
                </a:lnTo>
                <a:lnTo>
                  <a:pt x="86421" y="222596"/>
                </a:lnTo>
                <a:lnTo>
                  <a:pt x="83909" y="257518"/>
                </a:lnTo>
                <a:lnTo>
                  <a:pt x="66771" y="303892"/>
                </a:lnTo>
                <a:lnTo>
                  <a:pt x="56449" y="331937"/>
                </a:lnTo>
                <a:lnTo>
                  <a:pt x="58627" y="354918"/>
                </a:lnTo>
                <a:lnTo>
                  <a:pt x="79309" y="355914"/>
                </a:lnTo>
                <a:lnTo>
                  <a:pt x="92192" y="384893"/>
                </a:lnTo>
                <a:lnTo>
                  <a:pt x="97898" y="412376"/>
                </a:lnTo>
                <a:lnTo>
                  <a:pt x="115615" y="430559"/>
                </a:lnTo>
                <a:lnTo>
                  <a:pt x="134849" y="434252"/>
                </a:lnTo>
                <a:lnTo>
                  <a:pt x="151299" y="450730"/>
                </a:lnTo>
                <a:lnTo>
                  <a:pt x="140920" y="463773"/>
                </a:lnTo>
                <a:lnTo>
                  <a:pt x="119961" y="467563"/>
                </a:lnTo>
                <a:lnTo>
                  <a:pt x="117462" y="451260"/>
                </a:lnTo>
                <a:lnTo>
                  <a:pt x="91558" y="437356"/>
                </a:lnTo>
                <a:lnTo>
                  <a:pt x="86039" y="443018"/>
                </a:lnTo>
                <a:lnTo>
                  <a:pt x="73495" y="430835"/>
                </a:lnTo>
                <a:lnTo>
                  <a:pt x="68063" y="415109"/>
                </a:lnTo>
                <a:lnTo>
                  <a:pt x="51194" y="397186"/>
                </a:lnTo>
                <a:lnTo>
                  <a:pt x="35811" y="382128"/>
                </a:lnTo>
                <a:lnTo>
                  <a:pt x="30601" y="400790"/>
                </a:lnTo>
                <a:lnTo>
                  <a:pt x="24578" y="383153"/>
                </a:lnTo>
                <a:lnTo>
                  <a:pt x="28045" y="363344"/>
                </a:lnTo>
                <a:lnTo>
                  <a:pt x="37392" y="332893"/>
                </a:lnTo>
                <a:lnTo>
                  <a:pt x="52776" y="300269"/>
                </a:lnTo>
                <a:lnTo>
                  <a:pt x="70212" y="270669"/>
                </a:lnTo>
                <a:lnTo>
                  <a:pt x="57802" y="241716"/>
                </a:lnTo>
                <a:lnTo>
                  <a:pt x="58297" y="226965"/>
                </a:lnTo>
                <a:lnTo>
                  <a:pt x="54671" y="209242"/>
                </a:lnTo>
                <a:lnTo>
                  <a:pt x="33494" y="184017"/>
                </a:lnTo>
                <a:lnTo>
                  <a:pt x="25914" y="168088"/>
                </a:lnTo>
                <a:lnTo>
                  <a:pt x="36878" y="162221"/>
                </a:lnTo>
                <a:lnTo>
                  <a:pt x="48495" y="134620"/>
                </a:lnTo>
                <a:lnTo>
                  <a:pt x="35494" y="113665"/>
                </a:lnTo>
                <a:lnTo>
                  <a:pt x="15342" y="90485"/>
                </a:lnTo>
                <a:lnTo>
                  <a:pt x="0" y="62624"/>
                </a:lnTo>
                <a:lnTo>
                  <a:pt x="13396" y="56855"/>
                </a:lnTo>
                <a:lnTo>
                  <a:pt x="27871" y="22530"/>
                </a:lnTo>
                <a:lnTo>
                  <a:pt x="50286" y="21108"/>
                </a:lnTo>
                <a:lnTo>
                  <a:pt x="68816" y="7341"/>
                </a:lnTo>
                <a:lnTo>
                  <a:pt x="86998" y="0"/>
                </a:lnTo>
                <a:lnTo>
                  <a:pt x="100743" y="9798"/>
                </a:lnTo>
                <a:lnTo>
                  <a:pt x="102565" y="28877"/>
                </a:lnTo>
                <a:lnTo>
                  <a:pt x="124019" y="30328"/>
                </a:lnTo>
                <a:lnTo>
                  <a:pt x="116205" y="63783"/>
                </a:lnTo>
                <a:lnTo>
                  <a:pt x="116955" y="92244"/>
                </a:lnTo>
                <a:lnTo>
                  <a:pt x="150422" y="73301"/>
                </a:lnTo>
                <a:lnTo>
                  <a:pt x="159928" y="78899"/>
                </a:lnTo>
                <a:lnTo>
                  <a:pt x="178524" y="77981"/>
                </a:lnTo>
                <a:lnTo>
                  <a:pt x="184922" y="66936"/>
                </a:lnTo>
                <a:lnTo>
                  <a:pt x="208934" y="69114"/>
                </a:lnTo>
                <a:lnTo>
                  <a:pt x="233077" y="94898"/>
                </a:lnTo>
                <a:lnTo>
                  <a:pt x="235058" y="126235"/>
                </a:lnTo>
                <a:lnTo>
                  <a:pt x="260766" y="153908"/>
                </a:lnTo>
                <a:lnTo>
                  <a:pt x="259347" y="180782"/>
                </a:lnTo>
                <a:lnTo>
                  <a:pt x="249012" y="195091"/>
                </a:lnTo>
                <a:lnTo>
                  <a:pt x="219250" y="190535"/>
                </a:lnTo>
                <a:lnTo>
                  <a:pt x="178197" y="196599"/>
                </a:lnTo>
                <a:lnTo>
                  <a:pt x="157868" y="22299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86" name="TGO">
            <a:extLst>
              <a:ext uri="{FF2B5EF4-FFF2-40B4-BE49-F238E27FC236}">
                <a16:creationId xmlns:a16="http://schemas.microsoft.com/office/drawing/2014/main" id="{00000000-0008-0000-2700-0000A2816400}"/>
              </a:ext>
            </a:extLst>
          </xdr:cNvPr>
          <xdr:cNvSpPr/>
        </xdr:nvSpPr>
        <xdr:spPr>
          <a:xfrm>
            <a:off x="6327779" y="3067888"/>
            <a:ext cx="60854" cy="161605"/>
          </a:xfrm>
          <a:custGeom>
            <a:avLst/>
            <a:gdLst/>
            <a:ahLst/>
            <a:cxnLst/>
            <a:rect l="0" t="0" r="0" b="0"/>
            <a:pathLst>
              <a:path w="60803" h="161605">
                <a:moveTo>
                  <a:pt x="60802" y="154829"/>
                </a:moveTo>
                <a:lnTo>
                  <a:pt x="35240" y="161604"/>
                </a:lnTo>
                <a:lnTo>
                  <a:pt x="28153" y="150453"/>
                </a:lnTo>
                <a:lnTo>
                  <a:pt x="19692" y="130311"/>
                </a:lnTo>
                <a:lnTo>
                  <a:pt x="17171" y="114522"/>
                </a:lnTo>
                <a:lnTo>
                  <a:pt x="24187" y="85922"/>
                </a:lnTo>
                <a:lnTo>
                  <a:pt x="16225" y="74342"/>
                </a:lnTo>
                <a:lnTo>
                  <a:pt x="13199" y="49330"/>
                </a:lnTo>
                <a:lnTo>
                  <a:pt x="13253" y="26273"/>
                </a:lnTo>
                <a:lnTo>
                  <a:pt x="0" y="9899"/>
                </a:lnTo>
                <a:lnTo>
                  <a:pt x="2337" y="0"/>
                </a:lnTo>
                <a:lnTo>
                  <a:pt x="30144" y="679"/>
                </a:lnTo>
                <a:lnTo>
                  <a:pt x="26102" y="17396"/>
                </a:lnTo>
                <a:lnTo>
                  <a:pt x="35802" y="26768"/>
                </a:lnTo>
                <a:lnTo>
                  <a:pt x="46828" y="37887"/>
                </a:lnTo>
                <a:lnTo>
                  <a:pt x="48032" y="53470"/>
                </a:lnTo>
                <a:lnTo>
                  <a:pt x="54429" y="60010"/>
                </a:lnTo>
                <a:lnTo>
                  <a:pt x="52985" y="13292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87" name="TTO">
            <a:extLst>
              <a:ext uri="{FF2B5EF4-FFF2-40B4-BE49-F238E27FC236}">
                <a16:creationId xmlns:a16="http://schemas.microsoft.com/office/drawing/2014/main" id="{00000000-0008-0000-2700-0000A3816400}"/>
              </a:ext>
            </a:extLst>
          </xdr:cNvPr>
          <xdr:cNvSpPr/>
        </xdr:nvSpPr>
        <xdr:spPr>
          <a:xfrm>
            <a:off x="4360810" y="3071974"/>
            <a:ext cx="33525" cy="28259"/>
          </a:xfrm>
          <a:custGeom>
            <a:avLst/>
            <a:gdLst/>
            <a:ahLst/>
            <a:cxnLst/>
            <a:rect l="0" t="0" r="0" b="0"/>
            <a:pathLst>
              <a:path w="33497" h="28259">
                <a:moveTo>
                  <a:pt x="8572" y="4127"/>
                </a:moveTo>
                <a:lnTo>
                  <a:pt x="26829" y="0"/>
                </a:lnTo>
                <a:lnTo>
                  <a:pt x="33496" y="1111"/>
                </a:lnTo>
                <a:lnTo>
                  <a:pt x="32226" y="24765"/>
                </a:lnTo>
                <a:lnTo>
                  <a:pt x="5715" y="28258"/>
                </a:lnTo>
                <a:lnTo>
                  <a:pt x="0" y="25400"/>
                </a:lnTo>
                <a:lnTo>
                  <a:pt x="9208" y="1666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88" name="TUN">
            <a:extLst>
              <a:ext uri="{FF2B5EF4-FFF2-40B4-BE49-F238E27FC236}">
                <a16:creationId xmlns:a16="http://schemas.microsoft.com/office/drawing/2014/main" id="{00000000-0008-0000-2700-0000A4816400}"/>
              </a:ext>
            </a:extLst>
          </xdr:cNvPr>
          <xdr:cNvSpPr/>
        </xdr:nvSpPr>
        <xdr:spPr>
          <a:xfrm>
            <a:off x="6568463" y="2231869"/>
            <a:ext cx="125973" cy="223597"/>
          </a:xfrm>
          <a:custGeom>
            <a:avLst/>
            <a:gdLst/>
            <a:ahLst/>
            <a:cxnLst/>
            <a:rect l="0" t="0" r="0" b="0"/>
            <a:pathLst>
              <a:path w="125868" h="223597">
                <a:moveTo>
                  <a:pt x="62154" y="223596"/>
                </a:moveTo>
                <a:lnTo>
                  <a:pt x="48613" y="166602"/>
                </a:lnTo>
                <a:lnTo>
                  <a:pt x="29039" y="153787"/>
                </a:lnTo>
                <a:lnTo>
                  <a:pt x="28766" y="146104"/>
                </a:lnTo>
                <a:lnTo>
                  <a:pt x="2797" y="127187"/>
                </a:lnTo>
                <a:lnTo>
                  <a:pt x="0" y="103270"/>
                </a:lnTo>
                <a:lnTo>
                  <a:pt x="19574" y="85563"/>
                </a:lnTo>
                <a:lnTo>
                  <a:pt x="27048" y="59376"/>
                </a:lnTo>
                <a:lnTo>
                  <a:pt x="22013" y="29108"/>
                </a:lnTo>
                <a:lnTo>
                  <a:pt x="28464" y="12814"/>
                </a:lnTo>
                <a:lnTo>
                  <a:pt x="63040" y="0"/>
                </a:lnTo>
                <a:lnTo>
                  <a:pt x="85265" y="3810"/>
                </a:lnTo>
                <a:lnTo>
                  <a:pt x="84334" y="19875"/>
                </a:lnTo>
                <a:lnTo>
                  <a:pt x="111265" y="8188"/>
                </a:lnTo>
                <a:lnTo>
                  <a:pt x="113523" y="14287"/>
                </a:lnTo>
                <a:lnTo>
                  <a:pt x="97648" y="29845"/>
                </a:lnTo>
                <a:lnTo>
                  <a:pt x="97435" y="44532"/>
                </a:lnTo>
                <a:lnTo>
                  <a:pt x="108427" y="52419"/>
                </a:lnTo>
                <a:lnTo>
                  <a:pt x="104245" y="79899"/>
                </a:lnTo>
                <a:lnTo>
                  <a:pt x="83348" y="95860"/>
                </a:lnTo>
                <a:lnTo>
                  <a:pt x="89383" y="113166"/>
                </a:lnTo>
                <a:lnTo>
                  <a:pt x="105801" y="113706"/>
                </a:lnTo>
                <a:lnTo>
                  <a:pt x="113792" y="128800"/>
                </a:lnTo>
                <a:lnTo>
                  <a:pt x="125867" y="133763"/>
                </a:lnTo>
                <a:lnTo>
                  <a:pt x="124073" y="158150"/>
                </a:lnTo>
                <a:lnTo>
                  <a:pt x="108595" y="167265"/>
                </a:lnTo>
                <a:lnTo>
                  <a:pt x="98819" y="177438"/>
                </a:lnTo>
                <a:lnTo>
                  <a:pt x="77016" y="189671"/>
                </a:lnTo>
                <a:lnTo>
                  <a:pt x="80394" y="202825"/>
                </a:lnTo>
                <a:lnTo>
                  <a:pt x="77645" y="21624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6586789" name="TUR">
            <a:extLst>
              <a:ext uri="{FF2B5EF4-FFF2-40B4-BE49-F238E27FC236}">
                <a16:creationId xmlns:a16="http://schemas.microsoft.com/office/drawing/2014/main" id="{00000000-0008-0000-2700-0000A5816400}"/>
              </a:ext>
            </a:extLst>
          </xdr:cNvPr>
          <xdr:cNvGrpSpPr/>
        </xdr:nvGrpSpPr>
        <xdr:grpSpPr>
          <a:xfrm>
            <a:off x="7156929" y="2079739"/>
            <a:ext cx="595828" cy="200661"/>
            <a:chOff x="7049878" y="2333739"/>
            <a:chExt cx="595332" cy="200661"/>
          </a:xfrm>
          <a:grpFill/>
        </xdr:grpSpPr>
        <xdr:sp macro="" textlink="">
          <xdr:nvSpPr>
            <xdr:cNvPr id="6586804" name="TR_1">
              <a:extLst>
                <a:ext uri="{FF2B5EF4-FFF2-40B4-BE49-F238E27FC236}">
                  <a16:creationId xmlns:a16="http://schemas.microsoft.com/office/drawing/2014/main" id="{00000000-0008-0000-2700-0000B4816400}"/>
                </a:ext>
              </a:extLst>
            </xdr:cNvPr>
            <xdr:cNvSpPr/>
          </xdr:nvSpPr>
          <xdr:spPr>
            <a:xfrm>
              <a:off x="7053922" y="2336955"/>
              <a:ext cx="591288" cy="197445"/>
            </a:xfrm>
            <a:custGeom>
              <a:avLst/>
              <a:gdLst/>
              <a:ahLst/>
              <a:cxnLst/>
              <a:rect l="0" t="0" r="0" b="0"/>
              <a:pathLst>
                <a:path w="591288" h="197445">
                  <a:moveTo>
                    <a:pt x="341069" y="22377"/>
                  </a:moveTo>
                  <a:lnTo>
                    <a:pt x="386617" y="34658"/>
                  </a:lnTo>
                  <a:lnTo>
                    <a:pt x="423602" y="29762"/>
                  </a:lnTo>
                  <a:lnTo>
                    <a:pt x="450933" y="32592"/>
                  </a:lnTo>
                  <a:lnTo>
                    <a:pt x="488420" y="16018"/>
                  </a:lnTo>
                  <a:lnTo>
                    <a:pt x="522247" y="14510"/>
                  </a:lnTo>
                  <a:lnTo>
                    <a:pt x="552828" y="30102"/>
                  </a:lnTo>
                  <a:lnTo>
                    <a:pt x="558226" y="41275"/>
                  </a:lnTo>
                  <a:lnTo>
                    <a:pt x="555168" y="56725"/>
                  </a:lnTo>
                  <a:lnTo>
                    <a:pt x="578778" y="64618"/>
                  </a:lnTo>
                  <a:lnTo>
                    <a:pt x="591287" y="73889"/>
                  </a:lnTo>
                  <a:lnTo>
                    <a:pt x="569545" y="82934"/>
                  </a:lnTo>
                  <a:lnTo>
                    <a:pt x="579457" y="119345"/>
                  </a:lnTo>
                  <a:lnTo>
                    <a:pt x="573247" y="129178"/>
                  </a:lnTo>
                  <a:lnTo>
                    <a:pt x="590611" y="154616"/>
                  </a:lnTo>
                  <a:lnTo>
                    <a:pt x="575396" y="159979"/>
                  </a:lnTo>
                  <a:lnTo>
                    <a:pt x="564246" y="151892"/>
                  </a:lnTo>
                  <a:lnTo>
                    <a:pt x="527314" y="147793"/>
                  </a:lnTo>
                  <a:lnTo>
                    <a:pt x="513678" y="152727"/>
                  </a:lnTo>
                  <a:lnTo>
                    <a:pt x="477562" y="157664"/>
                  </a:lnTo>
                  <a:lnTo>
                    <a:pt x="460454" y="157128"/>
                  </a:lnTo>
                  <a:lnTo>
                    <a:pt x="423920" y="169040"/>
                  </a:lnTo>
                  <a:lnTo>
                    <a:pt x="397799" y="169142"/>
                  </a:lnTo>
                  <a:lnTo>
                    <a:pt x="380902" y="163163"/>
                  </a:lnTo>
                  <a:lnTo>
                    <a:pt x="345948" y="171996"/>
                  </a:lnTo>
                  <a:lnTo>
                    <a:pt x="335557" y="165821"/>
                  </a:lnTo>
                  <a:lnTo>
                    <a:pt x="333839" y="183531"/>
                  </a:lnTo>
                  <a:lnTo>
                    <a:pt x="325336" y="190487"/>
                  </a:lnTo>
                  <a:lnTo>
                    <a:pt x="316834" y="197444"/>
                  </a:lnTo>
                  <a:lnTo>
                    <a:pt x="305159" y="183045"/>
                  </a:lnTo>
                  <a:lnTo>
                    <a:pt x="317183" y="171120"/>
                  </a:lnTo>
                  <a:lnTo>
                    <a:pt x="297819" y="173825"/>
                  </a:lnTo>
                  <a:lnTo>
                    <a:pt x="271266" y="166519"/>
                  </a:lnTo>
                  <a:lnTo>
                    <a:pt x="249432" y="184791"/>
                  </a:lnTo>
                  <a:lnTo>
                    <a:pt x="201245" y="188360"/>
                  </a:lnTo>
                  <a:lnTo>
                    <a:pt x="175540" y="171320"/>
                  </a:lnTo>
                  <a:lnTo>
                    <a:pt x="141314" y="170253"/>
                  </a:lnTo>
                  <a:lnTo>
                    <a:pt x="133995" y="183426"/>
                  </a:lnTo>
                  <a:lnTo>
                    <a:pt x="112053" y="187192"/>
                  </a:lnTo>
                  <a:lnTo>
                    <a:pt x="81347" y="170288"/>
                  </a:lnTo>
                  <a:lnTo>
                    <a:pt x="46686" y="170859"/>
                  </a:lnTo>
                  <a:lnTo>
                    <a:pt x="27877" y="139281"/>
                  </a:lnTo>
                  <a:lnTo>
                    <a:pt x="4680" y="121669"/>
                  </a:lnTo>
                  <a:lnTo>
                    <a:pt x="20127" y="96977"/>
                  </a:lnTo>
                  <a:lnTo>
                    <a:pt x="0" y="81807"/>
                  </a:lnTo>
                  <a:lnTo>
                    <a:pt x="35218" y="51441"/>
                  </a:lnTo>
                  <a:lnTo>
                    <a:pt x="84112" y="50171"/>
                  </a:lnTo>
                  <a:lnTo>
                    <a:pt x="97447" y="26041"/>
                  </a:lnTo>
                  <a:lnTo>
                    <a:pt x="157960" y="30245"/>
                  </a:lnTo>
                  <a:lnTo>
                    <a:pt x="196126" y="9649"/>
                  </a:lnTo>
                  <a:lnTo>
                    <a:pt x="233125" y="673"/>
                  </a:lnTo>
                  <a:lnTo>
                    <a:pt x="285652"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05" name="TR_2">
              <a:extLst>
                <a:ext uri="{FF2B5EF4-FFF2-40B4-BE49-F238E27FC236}">
                  <a16:creationId xmlns:a16="http://schemas.microsoft.com/office/drawing/2014/main" id="{00000000-0008-0000-2700-0000B5816400}"/>
                </a:ext>
              </a:extLst>
            </xdr:cNvPr>
            <xdr:cNvSpPr/>
          </xdr:nvSpPr>
          <xdr:spPr>
            <a:xfrm>
              <a:off x="7049878" y="2333739"/>
              <a:ext cx="93504" cy="63168"/>
            </a:xfrm>
            <a:custGeom>
              <a:avLst/>
              <a:gdLst/>
              <a:ahLst/>
              <a:cxnLst/>
              <a:rect l="0" t="0" r="0" b="0"/>
              <a:pathLst>
                <a:path w="93504" h="63168">
                  <a:moveTo>
                    <a:pt x="36480" y="46066"/>
                  </a:moveTo>
                  <a:lnTo>
                    <a:pt x="9988" y="63167"/>
                  </a:lnTo>
                  <a:lnTo>
                    <a:pt x="0" y="48377"/>
                  </a:lnTo>
                  <a:lnTo>
                    <a:pt x="428" y="41827"/>
                  </a:lnTo>
                  <a:lnTo>
                    <a:pt x="7975" y="38265"/>
                  </a:lnTo>
                  <a:lnTo>
                    <a:pt x="17805" y="18396"/>
                  </a:lnTo>
                  <a:lnTo>
                    <a:pt x="2336" y="9988"/>
                  </a:lnTo>
                  <a:lnTo>
                    <a:pt x="34680" y="0"/>
                  </a:lnTo>
                  <a:lnTo>
                    <a:pt x="62017" y="4258"/>
                  </a:lnTo>
                  <a:lnTo>
                    <a:pt x="65789" y="16465"/>
                  </a:lnTo>
                  <a:lnTo>
                    <a:pt x="93503" y="26721"/>
                  </a:lnTo>
                  <a:lnTo>
                    <a:pt x="87725" y="34496"/>
                  </a:lnTo>
                  <a:lnTo>
                    <a:pt x="50025" y="3624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6586790" name="TKM">
            <a:extLst>
              <a:ext uri="{FF2B5EF4-FFF2-40B4-BE49-F238E27FC236}">
                <a16:creationId xmlns:a16="http://schemas.microsoft.com/office/drawing/2014/main" id="{00000000-0008-0000-2700-0000A6816400}"/>
              </a:ext>
            </a:extLst>
          </xdr:cNvPr>
          <xdr:cNvSpPr/>
        </xdr:nvSpPr>
        <xdr:spPr>
          <a:xfrm>
            <a:off x="7997705" y="2060368"/>
            <a:ext cx="446260" cy="237520"/>
          </a:xfrm>
          <a:custGeom>
            <a:avLst/>
            <a:gdLst/>
            <a:ahLst/>
            <a:cxnLst/>
            <a:rect l="0" t="0" r="0" b="0"/>
            <a:pathLst>
              <a:path w="445888" h="237520">
                <a:moveTo>
                  <a:pt x="276488" y="225473"/>
                </a:moveTo>
                <a:lnTo>
                  <a:pt x="273704" y="198755"/>
                </a:lnTo>
                <a:lnTo>
                  <a:pt x="250034" y="197618"/>
                </a:lnTo>
                <a:lnTo>
                  <a:pt x="213750" y="169501"/>
                </a:lnTo>
                <a:lnTo>
                  <a:pt x="188395" y="166030"/>
                </a:lnTo>
                <a:lnTo>
                  <a:pt x="153286" y="149936"/>
                </a:lnTo>
                <a:lnTo>
                  <a:pt x="130712" y="147009"/>
                </a:lnTo>
                <a:lnTo>
                  <a:pt x="116773" y="152924"/>
                </a:lnTo>
                <a:lnTo>
                  <a:pt x="95539" y="152003"/>
                </a:lnTo>
                <a:lnTo>
                  <a:pt x="72955" y="170155"/>
                </a:lnTo>
                <a:lnTo>
                  <a:pt x="45057" y="176298"/>
                </a:lnTo>
                <a:lnTo>
                  <a:pt x="39148" y="153845"/>
                </a:lnTo>
                <a:lnTo>
                  <a:pt x="43764" y="120634"/>
                </a:lnTo>
                <a:lnTo>
                  <a:pt x="19002" y="109887"/>
                </a:lnTo>
                <a:lnTo>
                  <a:pt x="27155" y="88148"/>
                </a:lnTo>
                <a:lnTo>
                  <a:pt x="6080" y="86297"/>
                </a:lnTo>
                <a:lnTo>
                  <a:pt x="13107" y="59534"/>
                </a:lnTo>
                <a:lnTo>
                  <a:pt x="43040" y="67329"/>
                </a:lnTo>
                <a:lnTo>
                  <a:pt x="70939" y="57169"/>
                </a:lnTo>
                <a:lnTo>
                  <a:pt x="47809" y="38113"/>
                </a:lnTo>
                <a:lnTo>
                  <a:pt x="38710" y="19952"/>
                </a:lnTo>
                <a:lnTo>
                  <a:pt x="13151" y="28051"/>
                </a:lnTo>
                <a:lnTo>
                  <a:pt x="9912" y="51314"/>
                </a:lnTo>
                <a:lnTo>
                  <a:pt x="0" y="30744"/>
                </a:lnTo>
                <a:lnTo>
                  <a:pt x="14027" y="20180"/>
                </a:lnTo>
                <a:lnTo>
                  <a:pt x="50066" y="13573"/>
                </a:lnTo>
                <a:lnTo>
                  <a:pt x="71526" y="22466"/>
                </a:lnTo>
                <a:lnTo>
                  <a:pt x="93751" y="47362"/>
                </a:lnTo>
                <a:lnTo>
                  <a:pt x="110035" y="45815"/>
                </a:lnTo>
                <a:lnTo>
                  <a:pt x="145857" y="45380"/>
                </a:lnTo>
                <a:lnTo>
                  <a:pt x="140643" y="29388"/>
                </a:lnTo>
                <a:lnTo>
                  <a:pt x="167767" y="18447"/>
                </a:lnTo>
                <a:lnTo>
                  <a:pt x="194516" y="0"/>
                </a:lnTo>
                <a:lnTo>
                  <a:pt x="237296" y="16780"/>
                </a:lnTo>
                <a:lnTo>
                  <a:pt x="240690" y="42117"/>
                </a:lnTo>
                <a:lnTo>
                  <a:pt x="252841" y="48619"/>
                </a:lnTo>
                <a:lnTo>
                  <a:pt x="287169" y="47155"/>
                </a:lnTo>
                <a:lnTo>
                  <a:pt x="297821" y="52918"/>
                </a:lnTo>
                <a:lnTo>
                  <a:pt x="313429" y="85652"/>
                </a:lnTo>
                <a:lnTo>
                  <a:pt x="349742" y="107579"/>
                </a:lnTo>
                <a:lnTo>
                  <a:pt x="370449" y="122530"/>
                </a:lnTo>
                <a:lnTo>
                  <a:pt x="403653" y="138078"/>
                </a:lnTo>
                <a:lnTo>
                  <a:pt x="445887" y="151667"/>
                </a:lnTo>
                <a:lnTo>
                  <a:pt x="445011" y="171095"/>
                </a:lnTo>
                <a:lnTo>
                  <a:pt x="435448" y="170110"/>
                </a:lnTo>
                <a:lnTo>
                  <a:pt x="420468" y="161620"/>
                </a:lnTo>
                <a:lnTo>
                  <a:pt x="415493" y="172923"/>
                </a:lnTo>
                <a:lnTo>
                  <a:pt x="388734" y="179064"/>
                </a:lnTo>
                <a:lnTo>
                  <a:pt x="382397" y="204454"/>
                </a:lnTo>
                <a:lnTo>
                  <a:pt x="364503" y="214109"/>
                </a:lnTo>
                <a:lnTo>
                  <a:pt x="339439" y="218897"/>
                </a:lnTo>
                <a:lnTo>
                  <a:pt x="332809" y="233286"/>
                </a:lnTo>
                <a:lnTo>
                  <a:pt x="308870" y="237519"/>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91" name="UGA">
            <a:extLst>
              <a:ext uri="{FF2B5EF4-FFF2-40B4-BE49-F238E27FC236}">
                <a16:creationId xmlns:a16="http://schemas.microsoft.com/office/drawing/2014/main" id="{00000000-0008-0000-2700-0000A7816400}"/>
              </a:ext>
            </a:extLst>
          </xdr:cNvPr>
          <xdr:cNvSpPr/>
        </xdr:nvSpPr>
        <xdr:spPr>
          <a:xfrm>
            <a:off x="7269293" y="3282797"/>
            <a:ext cx="173390" cy="180760"/>
          </a:xfrm>
          <a:custGeom>
            <a:avLst/>
            <a:gdLst/>
            <a:ahLst/>
            <a:cxnLst/>
            <a:rect l="0" t="0" r="0" b="0"/>
            <a:pathLst>
              <a:path w="173246" h="180760">
                <a:moveTo>
                  <a:pt x="72604" y="167554"/>
                </a:moveTo>
                <a:lnTo>
                  <a:pt x="37796" y="167148"/>
                </a:lnTo>
                <a:lnTo>
                  <a:pt x="26658" y="170961"/>
                </a:lnTo>
                <a:lnTo>
                  <a:pt x="7684" y="180759"/>
                </a:lnTo>
                <a:lnTo>
                  <a:pt x="0" y="177521"/>
                </a:lnTo>
                <a:lnTo>
                  <a:pt x="264" y="153584"/>
                </a:lnTo>
                <a:lnTo>
                  <a:pt x="7621" y="141453"/>
                </a:lnTo>
                <a:lnTo>
                  <a:pt x="9408" y="115967"/>
                </a:lnTo>
                <a:lnTo>
                  <a:pt x="16089" y="101206"/>
                </a:lnTo>
                <a:lnTo>
                  <a:pt x="28227" y="84649"/>
                </a:lnTo>
                <a:lnTo>
                  <a:pt x="40425" y="76216"/>
                </a:lnTo>
                <a:lnTo>
                  <a:pt x="50629" y="64942"/>
                </a:lnTo>
                <a:lnTo>
                  <a:pt x="37903" y="60643"/>
                </a:lnTo>
                <a:lnTo>
                  <a:pt x="39824" y="23517"/>
                </a:lnTo>
                <a:lnTo>
                  <a:pt x="52899" y="14859"/>
                </a:lnTo>
                <a:lnTo>
                  <a:pt x="73089" y="21959"/>
                </a:lnTo>
                <a:lnTo>
                  <a:pt x="98645" y="14529"/>
                </a:lnTo>
                <a:lnTo>
                  <a:pt x="120984" y="14602"/>
                </a:lnTo>
                <a:lnTo>
                  <a:pt x="140510" y="0"/>
                </a:lnTo>
                <a:lnTo>
                  <a:pt x="155563" y="22044"/>
                </a:lnTo>
                <a:lnTo>
                  <a:pt x="159277" y="37979"/>
                </a:lnTo>
                <a:lnTo>
                  <a:pt x="173245" y="74425"/>
                </a:lnTo>
                <a:lnTo>
                  <a:pt x="161691" y="97568"/>
                </a:lnTo>
                <a:lnTo>
                  <a:pt x="146067" y="118583"/>
                </a:lnTo>
                <a:lnTo>
                  <a:pt x="136973" y="131448"/>
                </a:lnTo>
                <a:lnTo>
                  <a:pt x="137294" y="16509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92" name="UKR">
            <a:extLst>
              <a:ext uri="{FF2B5EF4-FFF2-40B4-BE49-F238E27FC236}">
                <a16:creationId xmlns:a16="http://schemas.microsoft.com/office/drawing/2014/main" id="{00000000-0008-0000-2700-0000A8816400}"/>
              </a:ext>
            </a:extLst>
          </xdr:cNvPr>
          <xdr:cNvSpPr/>
        </xdr:nvSpPr>
        <xdr:spPr>
          <a:xfrm>
            <a:off x="7031163" y="1756092"/>
            <a:ext cx="571825" cy="253163"/>
          </a:xfrm>
          <a:custGeom>
            <a:avLst/>
            <a:gdLst/>
            <a:ahLst/>
            <a:cxnLst/>
            <a:rect l="0" t="0" r="0" b="0"/>
            <a:pathLst>
              <a:path w="571349" h="253163">
                <a:moveTo>
                  <a:pt x="307988" y="7411"/>
                </a:moveTo>
                <a:lnTo>
                  <a:pt x="319843" y="8693"/>
                </a:lnTo>
                <a:lnTo>
                  <a:pt x="327867" y="1473"/>
                </a:lnTo>
                <a:lnTo>
                  <a:pt x="337509" y="3067"/>
                </a:lnTo>
                <a:lnTo>
                  <a:pt x="370431" y="0"/>
                </a:lnTo>
                <a:lnTo>
                  <a:pt x="390719" y="17977"/>
                </a:lnTo>
                <a:lnTo>
                  <a:pt x="382791" y="24406"/>
                </a:lnTo>
                <a:lnTo>
                  <a:pt x="385420" y="34261"/>
                </a:lnTo>
                <a:lnTo>
                  <a:pt x="410737" y="35798"/>
                </a:lnTo>
                <a:lnTo>
                  <a:pt x="422031" y="49565"/>
                </a:lnTo>
                <a:lnTo>
                  <a:pt x="421339" y="55813"/>
                </a:lnTo>
                <a:lnTo>
                  <a:pt x="461664" y="66977"/>
                </a:lnTo>
                <a:lnTo>
                  <a:pt x="486026" y="61947"/>
                </a:lnTo>
                <a:lnTo>
                  <a:pt x="505619" y="76816"/>
                </a:lnTo>
                <a:lnTo>
                  <a:pt x="524174" y="76473"/>
                </a:lnTo>
                <a:lnTo>
                  <a:pt x="570976" y="86805"/>
                </a:lnTo>
                <a:lnTo>
                  <a:pt x="571348" y="96130"/>
                </a:lnTo>
                <a:lnTo>
                  <a:pt x="558454" y="112754"/>
                </a:lnTo>
                <a:lnTo>
                  <a:pt x="565468" y="130261"/>
                </a:lnTo>
                <a:lnTo>
                  <a:pt x="560474" y="140849"/>
                </a:lnTo>
                <a:lnTo>
                  <a:pt x="529749" y="143177"/>
                </a:lnTo>
                <a:lnTo>
                  <a:pt x="513382" y="152041"/>
                </a:lnTo>
                <a:lnTo>
                  <a:pt x="512379" y="166145"/>
                </a:lnTo>
                <a:lnTo>
                  <a:pt x="487029" y="168685"/>
                </a:lnTo>
                <a:lnTo>
                  <a:pt x="465910" y="178956"/>
                </a:lnTo>
                <a:lnTo>
                  <a:pt x="436185" y="180629"/>
                </a:lnTo>
                <a:lnTo>
                  <a:pt x="408836" y="192465"/>
                </a:lnTo>
                <a:lnTo>
                  <a:pt x="410693" y="212214"/>
                </a:lnTo>
                <a:lnTo>
                  <a:pt x="426225" y="219872"/>
                </a:lnTo>
                <a:lnTo>
                  <a:pt x="458610" y="217967"/>
                </a:lnTo>
                <a:lnTo>
                  <a:pt x="452409" y="229295"/>
                </a:lnTo>
                <a:lnTo>
                  <a:pt x="417652" y="234795"/>
                </a:lnTo>
                <a:lnTo>
                  <a:pt x="374552" y="253162"/>
                </a:lnTo>
                <a:lnTo>
                  <a:pt x="356895" y="246704"/>
                </a:lnTo>
                <a:lnTo>
                  <a:pt x="363897" y="231785"/>
                </a:lnTo>
                <a:lnTo>
                  <a:pt x="329203" y="222491"/>
                </a:lnTo>
                <a:lnTo>
                  <a:pt x="334811" y="216405"/>
                </a:lnTo>
                <a:lnTo>
                  <a:pt x="365208" y="205851"/>
                </a:lnTo>
                <a:lnTo>
                  <a:pt x="356013" y="198580"/>
                </a:lnTo>
                <a:lnTo>
                  <a:pt x="306657" y="190557"/>
                </a:lnTo>
                <a:lnTo>
                  <a:pt x="304473" y="178718"/>
                </a:lnTo>
                <a:lnTo>
                  <a:pt x="275054" y="182626"/>
                </a:lnTo>
                <a:lnTo>
                  <a:pt x="263271" y="200111"/>
                </a:lnTo>
                <a:lnTo>
                  <a:pt x="238687" y="223577"/>
                </a:lnTo>
                <a:lnTo>
                  <a:pt x="224286" y="218129"/>
                </a:lnTo>
                <a:lnTo>
                  <a:pt x="209366" y="223237"/>
                </a:lnTo>
                <a:lnTo>
                  <a:pt x="195199" y="217386"/>
                </a:lnTo>
                <a:lnTo>
                  <a:pt x="203191" y="213938"/>
                </a:lnTo>
                <a:lnTo>
                  <a:pt x="208738" y="203045"/>
                </a:lnTo>
                <a:lnTo>
                  <a:pt x="217427" y="192922"/>
                </a:lnTo>
                <a:lnTo>
                  <a:pt x="215182" y="187236"/>
                </a:lnTo>
                <a:lnTo>
                  <a:pt x="221822" y="184702"/>
                </a:lnTo>
                <a:lnTo>
                  <a:pt x="224952" y="189097"/>
                </a:lnTo>
                <a:lnTo>
                  <a:pt x="243663" y="190027"/>
                </a:lnTo>
                <a:lnTo>
                  <a:pt x="252067" y="187681"/>
                </a:lnTo>
                <a:lnTo>
                  <a:pt x="246146" y="184461"/>
                </a:lnTo>
                <a:lnTo>
                  <a:pt x="248390" y="179727"/>
                </a:lnTo>
                <a:lnTo>
                  <a:pt x="237303" y="171656"/>
                </a:lnTo>
                <a:lnTo>
                  <a:pt x="232712" y="158385"/>
                </a:lnTo>
                <a:lnTo>
                  <a:pt x="221149" y="153191"/>
                </a:lnTo>
                <a:lnTo>
                  <a:pt x="223428" y="142431"/>
                </a:lnTo>
                <a:lnTo>
                  <a:pt x="209084" y="133890"/>
                </a:lnTo>
                <a:lnTo>
                  <a:pt x="196022" y="132699"/>
                </a:lnTo>
                <a:lnTo>
                  <a:pt x="172622" y="122809"/>
                </a:lnTo>
                <a:lnTo>
                  <a:pt x="151517" y="125949"/>
                </a:lnTo>
                <a:lnTo>
                  <a:pt x="143946" y="130632"/>
                </a:lnTo>
                <a:lnTo>
                  <a:pt x="130553" y="130626"/>
                </a:lnTo>
                <a:lnTo>
                  <a:pt x="122565" y="138049"/>
                </a:lnTo>
                <a:lnTo>
                  <a:pt x="99127" y="141097"/>
                </a:lnTo>
                <a:lnTo>
                  <a:pt x="88288" y="145974"/>
                </a:lnTo>
                <a:lnTo>
                  <a:pt x="73549" y="138214"/>
                </a:lnTo>
                <a:lnTo>
                  <a:pt x="53195" y="138097"/>
                </a:lnTo>
                <a:lnTo>
                  <a:pt x="33548" y="134582"/>
                </a:lnTo>
                <a:lnTo>
                  <a:pt x="19841" y="141380"/>
                </a:lnTo>
                <a:lnTo>
                  <a:pt x="17628" y="132870"/>
                </a:lnTo>
                <a:lnTo>
                  <a:pt x="0" y="124231"/>
                </a:lnTo>
                <a:lnTo>
                  <a:pt x="6198" y="111433"/>
                </a:lnTo>
                <a:lnTo>
                  <a:pt x="15002" y="103168"/>
                </a:lnTo>
                <a:lnTo>
                  <a:pt x="21933" y="105019"/>
                </a:lnTo>
                <a:lnTo>
                  <a:pt x="13745" y="90751"/>
                </a:lnTo>
                <a:lnTo>
                  <a:pt x="42574" y="64345"/>
                </a:lnTo>
                <a:lnTo>
                  <a:pt x="58331" y="60649"/>
                </a:lnTo>
                <a:lnTo>
                  <a:pt x="61735" y="51743"/>
                </a:lnTo>
                <a:lnTo>
                  <a:pt x="45768" y="24022"/>
                </a:lnTo>
                <a:lnTo>
                  <a:pt x="60945" y="22787"/>
                </a:lnTo>
                <a:lnTo>
                  <a:pt x="78343" y="14179"/>
                </a:lnTo>
                <a:lnTo>
                  <a:pt x="102940" y="13475"/>
                </a:lnTo>
                <a:lnTo>
                  <a:pt x="135014" y="15964"/>
                </a:lnTo>
                <a:lnTo>
                  <a:pt x="170450" y="23584"/>
                </a:lnTo>
                <a:lnTo>
                  <a:pt x="195453" y="24222"/>
                </a:lnTo>
                <a:lnTo>
                  <a:pt x="207391" y="28810"/>
                </a:lnTo>
                <a:lnTo>
                  <a:pt x="219304" y="23276"/>
                </a:lnTo>
                <a:lnTo>
                  <a:pt x="227626" y="30699"/>
                </a:lnTo>
                <a:lnTo>
                  <a:pt x="256280" y="29178"/>
                </a:lnTo>
                <a:lnTo>
                  <a:pt x="268907" y="32245"/>
                </a:lnTo>
                <a:lnTo>
                  <a:pt x="270952" y="16266"/>
                </a:lnTo>
                <a:lnTo>
                  <a:pt x="280730" y="9293"/>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93" name="ARE">
            <a:extLst>
              <a:ext uri="{FF2B5EF4-FFF2-40B4-BE49-F238E27FC236}">
                <a16:creationId xmlns:a16="http://schemas.microsoft.com/office/drawing/2014/main" id="{00000000-0008-0000-2700-0000A9816400}"/>
              </a:ext>
            </a:extLst>
          </xdr:cNvPr>
          <xdr:cNvSpPr/>
        </xdr:nvSpPr>
        <xdr:spPr>
          <a:xfrm>
            <a:off x="7968375" y="2590469"/>
            <a:ext cx="153078" cy="112987"/>
          </a:xfrm>
          <a:custGeom>
            <a:avLst/>
            <a:gdLst/>
            <a:ahLst/>
            <a:cxnLst/>
            <a:rect l="0" t="0" r="0" b="0"/>
            <a:pathLst>
              <a:path w="152951" h="112987">
                <a:moveTo>
                  <a:pt x="0" y="57468"/>
                </a:moveTo>
                <a:lnTo>
                  <a:pt x="5649" y="55925"/>
                </a:lnTo>
                <a:lnTo>
                  <a:pt x="6824" y="64634"/>
                </a:lnTo>
                <a:lnTo>
                  <a:pt x="31674" y="59630"/>
                </a:lnTo>
                <a:lnTo>
                  <a:pt x="57929" y="60459"/>
                </a:lnTo>
                <a:lnTo>
                  <a:pt x="77106" y="61395"/>
                </a:lnTo>
                <a:lnTo>
                  <a:pt x="98854" y="39929"/>
                </a:lnTo>
                <a:lnTo>
                  <a:pt x="122539" y="19571"/>
                </a:lnTo>
                <a:lnTo>
                  <a:pt x="142599" y="0"/>
                </a:lnTo>
                <a:lnTo>
                  <a:pt x="148639" y="10824"/>
                </a:lnTo>
                <a:lnTo>
                  <a:pt x="152950" y="35903"/>
                </a:lnTo>
                <a:lnTo>
                  <a:pt x="136739" y="36027"/>
                </a:lnTo>
                <a:lnTo>
                  <a:pt x="134132" y="56703"/>
                </a:lnTo>
                <a:lnTo>
                  <a:pt x="139755" y="61119"/>
                </a:lnTo>
                <a:lnTo>
                  <a:pt x="125384" y="67371"/>
                </a:lnTo>
                <a:lnTo>
                  <a:pt x="125296" y="80347"/>
                </a:lnTo>
                <a:lnTo>
                  <a:pt x="116047" y="93488"/>
                </a:lnTo>
                <a:lnTo>
                  <a:pt x="115215" y="106274"/>
                </a:lnTo>
                <a:lnTo>
                  <a:pt x="108818" y="112986"/>
                </a:lnTo>
                <a:lnTo>
                  <a:pt x="13374" y="96974"/>
                </a:lnTo>
                <a:lnTo>
                  <a:pt x="1213" y="6481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94" name="URY">
            <a:extLst>
              <a:ext uri="{FF2B5EF4-FFF2-40B4-BE49-F238E27FC236}">
                <a16:creationId xmlns:a16="http://schemas.microsoft.com/office/drawing/2014/main" id="{00000000-0008-0000-2700-0000AA816400}"/>
              </a:ext>
            </a:extLst>
          </xdr:cNvPr>
          <xdr:cNvSpPr/>
        </xdr:nvSpPr>
        <xdr:spPr>
          <a:xfrm>
            <a:off x="4472755" y="4373714"/>
            <a:ext cx="165795" cy="153764"/>
          </a:xfrm>
          <a:custGeom>
            <a:avLst/>
            <a:gdLst/>
            <a:ahLst/>
            <a:cxnLst/>
            <a:rect l="0" t="0" r="0" b="0"/>
            <a:pathLst>
              <a:path w="165657" h="153764">
                <a:moveTo>
                  <a:pt x="25464" y="3385"/>
                </a:moveTo>
                <a:lnTo>
                  <a:pt x="46072" y="0"/>
                </a:lnTo>
                <a:lnTo>
                  <a:pt x="77911" y="24556"/>
                </a:lnTo>
                <a:lnTo>
                  <a:pt x="89713" y="23629"/>
                </a:lnTo>
                <a:lnTo>
                  <a:pt x="122384" y="43968"/>
                </a:lnTo>
                <a:lnTo>
                  <a:pt x="147291" y="61516"/>
                </a:lnTo>
                <a:lnTo>
                  <a:pt x="165656" y="83122"/>
                </a:lnTo>
                <a:lnTo>
                  <a:pt x="151657" y="98181"/>
                </a:lnTo>
                <a:lnTo>
                  <a:pt x="160445" y="116164"/>
                </a:lnTo>
                <a:lnTo>
                  <a:pt x="146707" y="136116"/>
                </a:lnTo>
                <a:lnTo>
                  <a:pt x="110846" y="153763"/>
                </a:lnTo>
                <a:lnTo>
                  <a:pt x="87408" y="147416"/>
                </a:lnTo>
                <a:lnTo>
                  <a:pt x="70225" y="150816"/>
                </a:lnTo>
                <a:lnTo>
                  <a:pt x="40875" y="137186"/>
                </a:lnTo>
                <a:lnTo>
                  <a:pt x="19342" y="138202"/>
                </a:lnTo>
                <a:lnTo>
                  <a:pt x="0" y="120644"/>
                </a:lnTo>
                <a:lnTo>
                  <a:pt x="2461" y="100124"/>
                </a:lnTo>
                <a:lnTo>
                  <a:pt x="9350" y="93057"/>
                </a:lnTo>
                <a:lnTo>
                  <a:pt x="9039" y="61430"/>
                </a:lnTo>
                <a:lnTo>
                  <a:pt x="17532" y="28794"/>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95" name="UZB">
            <a:extLst>
              <a:ext uri="{FF2B5EF4-FFF2-40B4-BE49-F238E27FC236}">
                <a16:creationId xmlns:a16="http://schemas.microsoft.com/office/drawing/2014/main" id="{00000000-0008-0000-2700-0000AB816400}"/>
              </a:ext>
            </a:extLst>
          </xdr:cNvPr>
          <xdr:cNvSpPr/>
        </xdr:nvSpPr>
        <xdr:spPr>
          <a:xfrm>
            <a:off x="8106584" y="1970351"/>
            <a:ext cx="544220" cy="268028"/>
          </a:xfrm>
          <a:custGeom>
            <a:avLst/>
            <a:gdLst/>
            <a:ahLst/>
            <a:cxnLst/>
            <a:rect l="0" t="0" r="0" b="0"/>
            <a:pathLst>
              <a:path w="543767" h="268028">
                <a:moveTo>
                  <a:pt x="336223" y="261112"/>
                </a:moveTo>
                <a:lnTo>
                  <a:pt x="337099" y="241684"/>
                </a:lnTo>
                <a:lnTo>
                  <a:pt x="294865" y="228095"/>
                </a:lnTo>
                <a:lnTo>
                  <a:pt x="261661" y="212547"/>
                </a:lnTo>
                <a:lnTo>
                  <a:pt x="240954" y="197596"/>
                </a:lnTo>
                <a:lnTo>
                  <a:pt x="204641" y="175669"/>
                </a:lnTo>
                <a:lnTo>
                  <a:pt x="189033" y="142935"/>
                </a:lnTo>
                <a:lnTo>
                  <a:pt x="178381" y="137172"/>
                </a:lnTo>
                <a:lnTo>
                  <a:pt x="144053" y="138636"/>
                </a:lnTo>
                <a:lnTo>
                  <a:pt x="131902" y="132134"/>
                </a:lnTo>
                <a:lnTo>
                  <a:pt x="128508" y="106797"/>
                </a:lnTo>
                <a:lnTo>
                  <a:pt x="85728" y="90017"/>
                </a:lnTo>
                <a:lnTo>
                  <a:pt x="58979" y="108464"/>
                </a:lnTo>
                <a:lnTo>
                  <a:pt x="31855" y="119405"/>
                </a:lnTo>
                <a:lnTo>
                  <a:pt x="37069" y="135397"/>
                </a:lnTo>
                <a:lnTo>
                  <a:pt x="1247" y="135832"/>
                </a:lnTo>
                <a:lnTo>
                  <a:pt x="0" y="18761"/>
                </a:lnTo>
                <a:lnTo>
                  <a:pt x="81731" y="0"/>
                </a:lnTo>
                <a:lnTo>
                  <a:pt x="87665" y="2755"/>
                </a:lnTo>
                <a:lnTo>
                  <a:pt x="136877" y="25488"/>
                </a:lnTo>
                <a:lnTo>
                  <a:pt x="162859" y="37496"/>
                </a:lnTo>
                <a:lnTo>
                  <a:pt x="193180" y="66113"/>
                </a:lnTo>
                <a:lnTo>
                  <a:pt x="230406" y="61490"/>
                </a:lnTo>
                <a:lnTo>
                  <a:pt x="284858" y="59013"/>
                </a:lnTo>
                <a:lnTo>
                  <a:pt x="322869" y="82203"/>
                </a:lnTo>
                <a:lnTo>
                  <a:pt x="320500" y="114052"/>
                </a:lnTo>
                <a:lnTo>
                  <a:pt x="335969" y="114274"/>
                </a:lnTo>
                <a:lnTo>
                  <a:pt x="342427" y="140284"/>
                </a:lnTo>
                <a:lnTo>
                  <a:pt x="382809" y="141312"/>
                </a:lnTo>
                <a:lnTo>
                  <a:pt x="391510" y="156352"/>
                </a:lnTo>
                <a:lnTo>
                  <a:pt x="403339" y="156149"/>
                </a:lnTo>
                <a:lnTo>
                  <a:pt x="417230" y="133432"/>
                </a:lnTo>
                <a:lnTo>
                  <a:pt x="459108" y="111299"/>
                </a:lnTo>
                <a:lnTo>
                  <a:pt x="477311" y="105429"/>
                </a:lnTo>
                <a:lnTo>
                  <a:pt x="486737" y="108556"/>
                </a:lnTo>
                <a:lnTo>
                  <a:pt x="460092" y="129120"/>
                </a:lnTo>
                <a:lnTo>
                  <a:pt x="483521" y="141071"/>
                </a:lnTo>
                <a:lnTo>
                  <a:pt x="506133" y="133156"/>
                </a:lnTo>
                <a:lnTo>
                  <a:pt x="543766" y="149885"/>
                </a:lnTo>
                <a:lnTo>
                  <a:pt x="503111" y="172751"/>
                </a:lnTo>
                <a:lnTo>
                  <a:pt x="478959" y="169621"/>
                </a:lnTo>
                <a:lnTo>
                  <a:pt x="465852" y="170443"/>
                </a:lnTo>
                <a:lnTo>
                  <a:pt x="461305" y="161617"/>
                </a:lnTo>
                <a:lnTo>
                  <a:pt x="467922" y="146894"/>
                </a:lnTo>
                <a:lnTo>
                  <a:pt x="425469" y="154273"/>
                </a:lnTo>
                <a:lnTo>
                  <a:pt x="415376" y="174644"/>
                </a:lnTo>
                <a:lnTo>
                  <a:pt x="400288" y="192192"/>
                </a:lnTo>
                <a:lnTo>
                  <a:pt x="373777" y="190700"/>
                </a:lnTo>
                <a:lnTo>
                  <a:pt x="365548" y="204682"/>
                </a:lnTo>
                <a:lnTo>
                  <a:pt x="388846" y="212255"/>
                </a:lnTo>
                <a:lnTo>
                  <a:pt x="395703" y="235896"/>
                </a:lnTo>
                <a:lnTo>
                  <a:pt x="377860" y="268027"/>
                </a:lnTo>
                <a:lnTo>
                  <a:pt x="353914" y="261324"/>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6586796" name="VUT">
            <a:extLst>
              <a:ext uri="{FF2B5EF4-FFF2-40B4-BE49-F238E27FC236}">
                <a16:creationId xmlns:a16="http://schemas.microsoft.com/office/drawing/2014/main" id="{00000000-0008-0000-2700-0000AC816400}"/>
              </a:ext>
            </a:extLst>
          </xdr:cNvPr>
          <xdr:cNvGrpSpPr/>
        </xdr:nvGrpSpPr>
        <xdr:grpSpPr>
          <a:xfrm>
            <a:off x="11624243" y="3882123"/>
            <a:ext cx="38635" cy="62589"/>
            <a:chOff x="11513473" y="4136123"/>
            <a:chExt cx="38603" cy="62589"/>
          </a:xfrm>
          <a:grpFill/>
        </xdr:grpSpPr>
        <xdr:sp macro="" textlink="">
          <xdr:nvSpPr>
            <xdr:cNvPr id="6586802" name="VU_1">
              <a:extLst>
                <a:ext uri="{FF2B5EF4-FFF2-40B4-BE49-F238E27FC236}">
                  <a16:creationId xmlns:a16="http://schemas.microsoft.com/office/drawing/2014/main" id="{00000000-0008-0000-2700-0000B2816400}"/>
                </a:ext>
              </a:extLst>
            </xdr:cNvPr>
            <xdr:cNvSpPr/>
          </xdr:nvSpPr>
          <xdr:spPr>
            <a:xfrm>
              <a:off x="11530965" y="4176296"/>
              <a:ext cx="21111" cy="22416"/>
            </a:xfrm>
            <a:custGeom>
              <a:avLst/>
              <a:gdLst/>
              <a:ahLst/>
              <a:cxnLst/>
              <a:rect l="0" t="0" r="0" b="0"/>
              <a:pathLst>
                <a:path w="21111" h="22416">
                  <a:moveTo>
                    <a:pt x="21110" y="18240"/>
                  </a:moveTo>
                  <a:lnTo>
                    <a:pt x="10642" y="22415"/>
                  </a:lnTo>
                  <a:lnTo>
                    <a:pt x="0" y="8516"/>
                  </a:lnTo>
                  <a:lnTo>
                    <a:pt x="1168"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03" name="VU_2">
              <a:extLst>
                <a:ext uri="{FF2B5EF4-FFF2-40B4-BE49-F238E27FC236}">
                  <a16:creationId xmlns:a16="http://schemas.microsoft.com/office/drawing/2014/main" id="{00000000-0008-0000-2700-0000B3816400}"/>
                </a:ext>
              </a:extLst>
            </xdr:cNvPr>
            <xdr:cNvSpPr/>
          </xdr:nvSpPr>
          <xdr:spPr>
            <a:xfrm>
              <a:off x="11513473" y="4136123"/>
              <a:ext cx="20350" cy="35354"/>
            </a:xfrm>
            <a:custGeom>
              <a:avLst/>
              <a:gdLst/>
              <a:ahLst/>
              <a:cxnLst/>
              <a:rect l="0" t="0" r="0" b="0"/>
              <a:pathLst>
                <a:path w="20350" h="35354">
                  <a:moveTo>
                    <a:pt x="15196" y="9760"/>
                  </a:moveTo>
                  <a:lnTo>
                    <a:pt x="20349" y="35353"/>
                  </a:lnTo>
                  <a:lnTo>
                    <a:pt x="11814" y="31372"/>
                  </a:lnTo>
                  <a:lnTo>
                    <a:pt x="5210" y="33093"/>
                  </a:lnTo>
                  <a:lnTo>
                    <a:pt x="661" y="24327"/>
                  </a:lnTo>
                  <a:lnTo>
                    <a:pt x="0" y="0"/>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6586797" name="VEN">
            <a:extLst>
              <a:ext uri="{FF2B5EF4-FFF2-40B4-BE49-F238E27FC236}">
                <a16:creationId xmlns:a16="http://schemas.microsoft.com/office/drawing/2014/main" id="{00000000-0008-0000-2700-0000AD816400}"/>
              </a:ext>
            </a:extLst>
          </xdr:cNvPr>
          <xdr:cNvSpPr/>
        </xdr:nvSpPr>
        <xdr:spPr>
          <a:xfrm>
            <a:off x="3999989" y="3031578"/>
            <a:ext cx="430466" cy="363152"/>
          </a:xfrm>
          <a:custGeom>
            <a:avLst/>
            <a:gdLst/>
            <a:ahLst/>
            <a:cxnLst/>
            <a:rect l="0" t="0" r="0" b="0"/>
            <a:pathLst>
              <a:path w="430108" h="363152">
                <a:moveTo>
                  <a:pt x="62655" y="12256"/>
                </a:moveTo>
                <a:lnTo>
                  <a:pt x="61754" y="19759"/>
                </a:lnTo>
                <a:lnTo>
                  <a:pt x="43116" y="23464"/>
                </a:lnTo>
                <a:lnTo>
                  <a:pt x="53470" y="37872"/>
                </a:lnTo>
                <a:lnTo>
                  <a:pt x="53082" y="54477"/>
                </a:lnTo>
                <a:lnTo>
                  <a:pt x="39078" y="72917"/>
                </a:lnTo>
                <a:lnTo>
                  <a:pt x="51098" y="98108"/>
                </a:lnTo>
                <a:lnTo>
                  <a:pt x="64782" y="96047"/>
                </a:lnTo>
                <a:lnTo>
                  <a:pt x="71913" y="73098"/>
                </a:lnTo>
                <a:lnTo>
                  <a:pt x="62068" y="61926"/>
                </a:lnTo>
                <a:lnTo>
                  <a:pt x="60465" y="37888"/>
                </a:lnTo>
                <a:lnTo>
                  <a:pt x="100003" y="24981"/>
                </a:lnTo>
                <a:lnTo>
                  <a:pt x="95605" y="10018"/>
                </a:lnTo>
                <a:lnTo>
                  <a:pt x="106737" y="0"/>
                </a:lnTo>
                <a:lnTo>
                  <a:pt x="118132" y="22311"/>
                </a:lnTo>
                <a:lnTo>
                  <a:pt x="140398" y="22825"/>
                </a:lnTo>
                <a:lnTo>
                  <a:pt x="161026" y="40532"/>
                </a:lnTo>
                <a:lnTo>
                  <a:pt x="162271" y="51042"/>
                </a:lnTo>
                <a:lnTo>
                  <a:pt x="190779" y="51321"/>
                </a:lnTo>
                <a:lnTo>
                  <a:pt x="224698" y="48060"/>
                </a:lnTo>
                <a:lnTo>
                  <a:pt x="242881" y="62278"/>
                </a:lnTo>
                <a:lnTo>
                  <a:pt x="267160" y="66202"/>
                </a:lnTo>
                <a:lnTo>
                  <a:pt x="284972" y="56284"/>
                </a:lnTo>
                <a:lnTo>
                  <a:pt x="285337" y="48289"/>
                </a:lnTo>
                <a:lnTo>
                  <a:pt x="324666" y="46374"/>
                </a:lnTo>
                <a:lnTo>
                  <a:pt x="362715" y="45933"/>
                </a:lnTo>
                <a:lnTo>
                  <a:pt x="335753" y="55309"/>
                </a:lnTo>
                <a:lnTo>
                  <a:pt x="346599" y="70298"/>
                </a:lnTo>
                <a:lnTo>
                  <a:pt x="371989" y="72682"/>
                </a:lnTo>
                <a:lnTo>
                  <a:pt x="396062" y="88297"/>
                </a:lnTo>
                <a:lnTo>
                  <a:pt x="401120" y="113732"/>
                </a:lnTo>
                <a:lnTo>
                  <a:pt x="417668" y="113014"/>
                </a:lnTo>
                <a:lnTo>
                  <a:pt x="430107" y="120501"/>
                </a:lnTo>
                <a:lnTo>
                  <a:pt x="404952" y="139151"/>
                </a:lnTo>
                <a:lnTo>
                  <a:pt x="402177" y="150727"/>
                </a:lnTo>
                <a:lnTo>
                  <a:pt x="413045" y="162509"/>
                </a:lnTo>
                <a:lnTo>
                  <a:pt x="405162" y="168456"/>
                </a:lnTo>
                <a:lnTo>
                  <a:pt x="385626" y="173552"/>
                </a:lnTo>
                <a:lnTo>
                  <a:pt x="386257" y="188215"/>
                </a:lnTo>
                <a:lnTo>
                  <a:pt x="377656" y="196952"/>
                </a:lnTo>
                <a:lnTo>
                  <a:pt x="399142" y="221044"/>
                </a:lnTo>
                <a:lnTo>
                  <a:pt x="403346" y="230004"/>
                </a:lnTo>
                <a:lnTo>
                  <a:pt x="391735" y="242120"/>
                </a:lnTo>
                <a:lnTo>
                  <a:pt x="356222" y="254007"/>
                </a:lnTo>
                <a:lnTo>
                  <a:pt x="333390" y="258931"/>
                </a:lnTo>
                <a:lnTo>
                  <a:pt x="324224" y="266437"/>
                </a:lnTo>
                <a:lnTo>
                  <a:pt x="298980" y="258502"/>
                </a:lnTo>
                <a:lnTo>
                  <a:pt x="275472" y="254438"/>
                </a:lnTo>
                <a:lnTo>
                  <a:pt x="269522" y="257363"/>
                </a:lnTo>
                <a:lnTo>
                  <a:pt x="283733" y="265592"/>
                </a:lnTo>
                <a:lnTo>
                  <a:pt x="282454" y="286877"/>
                </a:lnTo>
                <a:lnTo>
                  <a:pt x="286861" y="306874"/>
                </a:lnTo>
                <a:lnTo>
                  <a:pt x="313756" y="309601"/>
                </a:lnTo>
                <a:lnTo>
                  <a:pt x="315474" y="316275"/>
                </a:lnTo>
                <a:lnTo>
                  <a:pt x="292795" y="325308"/>
                </a:lnTo>
                <a:lnTo>
                  <a:pt x="289106" y="338754"/>
                </a:lnTo>
                <a:lnTo>
                  <a:pt x="276034" y="343967"/>
                </a:lnTo>
                <a:lnTo>
                  <a:pt x="252422" y="351378"/>
                </a:lnTo>
                <a:lnTo>
                  <a:pt x="246275" y="361093"/>
                </a:lnTo>
                <a:lnTo>
                  <a:pt x="221589" y="363151"/>
                </a:lnTo>
                <a:lnTo>
                  <a:pt x="204111" y="346358"/>
                </a:lnTo>
                <a:lnTo>
                  <a:pt x="194427" y="314697"/>
                </a:lnTo>
                <a:lnTo>
                  <a:pt x="185988" y="303594"/>
                </a:lnTo>
                <a:lnTo>
                  <a:pt x="174469" y="296596"/>
                </a:lnTo>
                <a:lnTo>
                  <a:pt x="190557" y="280791"/>
                </a:lnTo>
                <a:lnTo>
                  <a:pt x="189465" y="273685"/>
                </a:lnTo>
                <a:lnTo>
                  <a:pt x="180441" y="264249"/>
                </a:lnTo>
                <a:lnTo>
                  <a:pt x="174053" y="243155"/>
                </a:lnTo>
                <a:lnTo>
                  <a:pt x="176539" y="220383"/>
                </a:lnTo>
                <a:lnTo>
                  <a:pt x="183626" y="209722"/>
                </a:lnTo>
                <a:lnTo>
                  <a:pt x="189344" y="192621"/>
                </a:lnTo>
                <a:lnTo>
                  <a:pt x="178114" y="187167"/>
                </a:lnTo>
                <a:lnTo>
                  <a:pt x="160017" y="190786"/>
                </a:lnTo>
                <a:lnTo>
                  <a:pt x="137150" y="189088"/>
                </a:lnTo>
                <a:lnTo>
                  <a:pt x="124317" y="192482"/>
                </a:lnTo>
                <a:lnTo>
                  <a:pt x="101971" y="165161"/>
                </a:lnTo>
                <a:lnTo>
                  <a:pt x="83528" y="161116"/>
                </a:lnTo>
                <a:lnTo>
                  <a:pt x="42697" y="164170"/>
                </a:lnTo>
                <a:lnTo>
                  <a:pt x="35134" y="153096"/>
                </a:lnTo>
                <a:lnTo>
                  <a:pt x="27321" y="150448"/>
                </a:lnTo>
                <a:lnTo>
                  <a:pt x="26203" y="143821"/>
                </a:lnTo>
                <a:lnTo>
                  <a:pt x="29975" y="132071"/>
                </a:lnTo>
                <a:lnTo>
                  <a:pt x="27467" y="119285"/>
                </a:lnTo>
                <a:lnTo>
                  <a:pt x="20463" y="112300"/>
                </a:lnTo>
                <a:lnTo>
                  <a:pt x="16392" y="97705"/>
                </a:lnTo>
                <a:lnTo>
                  <a:pt x="0" y="95578"/>
                </a:lnTo>
                <a:lnTo>
                  <a:pt x="8807" y="77010"/>
                </a:lnTo>
                <a:lnTo>
                  <a:pt x="12690" y="54356"/>
                </a:lnTo>
                <a:lnTo>
                  <a:pt x="21917" y="42555"/>
                </a:lnTo>
                <a:lnTo>
                  <a:pt x="34207" y="33452"/>
                </a:lnTo>
                <a:lnTo>
                  <a:pt x="42262" y="1757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98" name="VNM">
            <a:extLst>
              <a:ext uri="{FF2B5EF4-FFF2-40B4-BE49-F238E27FC236}">
                <a16:creationId xmlns:a16="http://schemas.microsoft.com/office/drawing/2014/main" id="{00000000-0008-0000-2700-0000AE816400}"/>
              </a:ext>
            </a:extLst>
          </xdr:cNvPr>
          <xdr:cNvSpPr/>
        </xdr:nvSpPr>
        <xdr:spPr>
          <a:xfrm>
            <a:off x="9575975" y="2676302"/>
            <a:ext cx="227676" cy="468387"/>
          </a:xfrm>
          <a:custGeom>
            <a:avLst/>
            <a:gdLst/>
            <a:ahLst/>
            <a:cxnLst/>
            <a:rect l="0" t="0" r="0" b="0"/>
            <a:pathLst>
              <a:path w="227486" h="468387">
                <a:moveTo>
                  <a:pt x="186683" y="57141"/>
                </a:moveTo>
                <a:lnTo>
                  <a:pt x="144294" y="84303"/>
                </a:lnTo>
                <a:lnTo>
                  <a:pt x="117833" y="114300"/>
                </a:lnTo>
                <a:lnTo>
                  <a:pt x="110858" y="136332"/>
                </a:lnTo>
                <a:lnTo>
                  <a:pt x="135141" y="169799"/>
                </a:lnTo>
                <a:lnTo>
                  <a:pt x="164833" y="211284"/>
                </a:lnTo>
                <a:lnTo>
                  <a:pt x="193646" y="230899"/>
                </a:lnTo>
                <a:lnTo>
                  <a:pt x="212937" y="256394"/>
                </a:lnTo>
                <a:lnTo>
                  <a:pt x="227485" y="315154"/>
                </a:lnTo>
                <a:lnTo>
                  <a:pt x="223193" y="371005"/>
                </a:lnTo>
                <a:lnTo>
                  <a:pt x="196713" y="391916"/>
                </a:lnTo>
                <a:lnTo>
                  <a:pt x="160353" y="412357"/>
                </a:lnTo>
                <a:lnTo>
                  <a:pt x="134452" y="438826"/>
                </a:lnTo>
                <a:lnTo>
                  <a:pt x="94866" y="468386"/>
                </a:lnTo>
                <a:lnTo>
                  <a:pt x="83337" y="448028"/>
                </a:lnTo>
                <a:lnTo>
                  <a:pt x="92259" y="426517"/>
                </a:lnTo>
                <a:lnTo>
                  <a:pt x="68704" y="408483"/>
                </a:lnTo>
                <a:lnTo>
                  <a:pt x="96186" y="395694"/>
                </a:lnTo>
                <a:lnTo>
                  <a:pt x="129518" y="393392"/>
                </a:lnTo>
                <a:lnTo>
                  <a:pt x="115573" y="374158"/>
                </a:lnTo>
                <a:lnTo>
                  <a:pt x="168942" y="349723"/>
                </a:lnTo>
                <a:lnTo>
                  <a:pt x="172850" y="311677"/>
                </a:lnTo>
                <a:lnTo>
                  <a:pt x="165490" y="290503"/>
                </a:lnTo>
                <a:lnTo>
                  <a:pt x="171262" y="258760"/>
                </a:lnTo>
                <a:lnTo>
                  <a:pt x="163268" y="236335"/>
                </a:lnTo>
                <a:lnTo>
                  <a:pt x="139243" y="214243"/>
                </a:lnTo>
                <a:lnTo>
                  <a:pt x="119234" y="186271"/>
                </a:lnTo>
                <a:lnTo>
                  <a:pt x="92843" y="148752"/>
                </a:lnTo>
                <a:lnTo>
                  <a:pt x="54804" y="129759"/>
                </a:lnTo>
                <a:lnTo>
                  <a:pt x="63912" y="118345"/>
                </a:lnTo>
                <a:lnTo>
                  <a:pt x="84207" y="110030"/>
                </a:lnTo>
                <a:lnTo>
                  <a:pt x="71901" y="82341"/>
                </a:lnTo>
                <a:lnTo>
                  <a:pt x="32814" y="82090"/>
                </a:lnTo>
                <a:lnTo>
                  <a:pt x="18558" y="53245"/>
                </a:lnTo>
                <a:lnTo>
                  <a:pt x="0" y="28172"/>
                </a:lnTo>
                <a:lnTo>
                  <a:pt x="17037" y="20425"/>
                </a:lnTo>
                <a:lnTo>
                  <a:pt x="42357" y="20584"/>
                </a:lnTo>
                <a:lnTo>
                  <a:pt x="73231" y="16920"/>
                </a:lnTo>
                <a:lnTo>
                  <a:pt x="100292" y="0"/>
                </a:lnTo>
                <a:lnTo>
                  <a:pt x="115595" y="11913"/>
                </a:lnTo>
                <a:lnTo>
                  <a:pt x="144621" y="17710"/>
                </a:lnTo>
                <a:lnTo>
                  <a:pt x="139602" y="36002"/>
                </a:lnTo>
                <a:lnTo>
                  <a:pt x="154718" y="48902"/>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799" name="YEM">
            <a:extLst>
              <a:ext uri="{FF2B5EF4-FFF2-40B4-BE49-F238E27FC236}">
                <a16:creationId xmlns:a16="http://schemas.microsoft.com/office/drawing/2014/main" id="{00000000-0008-0000-2700-0000AF816400}"/>
              </a:ext>
            </a:extLst>
          </xdr:cNvPr>
          <xdr:cNvSpPr/>
        </xdr:nvSpPr>
        <xdr:spPr>
          <a:xfrm>
            <a:off x="7683194" y="2814481"/>
            <a:ext cx="333771" cy="203646"/>
          </a:xfrm>
          <a:custGeom>
            <a:avLst/>
            <a:gdLst/>
            <a:ahLst/>
            <a:cxnLst/>
            <a:rect l="0" t="0" r="0" b="0"/>
            <a:pathLst>
              <a:path w="333493" h="203646">
                <a:moveTo>
                  <a:pt x="333492" y="74578"/>
                </a:moveTo>
                <a:lnTo>
                  <a:pt x="310525" y="83109"/>
                </a:lnTo>
                <a:lnTo>
                  <a:pt x="304381" y="97206"/>
                </a:lnTo>
                <a:lnTo>
                  <a:pt x="303634" y="108033"/>
                </a:lnTo>
                <a:lnTo>
                  <a:pt x="272022" y="121438"/>
                </a:lnTo>
                <a:lnTo>
                  <a:pt x="221288" y="136246"/>
                </a:lnTo>
                <a:lnTo>
                  <a:pt x="192859" y="158649"/>
                </a:lnTo>
                <a:lnTo>
                  <a:pt x="178879" y="160398"/>
                </a:lnTo>
                <a:lnTo>
                  <a:pt x="169354" y="158522"/>
                </a:lnTo>
                <a:lnTo>
                  <a:pt x="150800" y="171698"/>
                </a:lnTo>
                <a:lnTo>
                  <a:pt x="130562" y="177810"/>
                </a:lnTo>
                <a:lnTo>
                  <a:pt x="103908" y="179458"/>
                </a:lnTo>
                <a:lnTo>
                  <a:pt x="95891" y="181264"/>
                </a:lnTo>
                <a:lnTo>
                  <a:pt x="88951" y="189646"/>
                </a:lnTo>
                <a:lnTo>
                  <a:pt x="80629" y="191964"/>
                </a:lnTo>
                <a:lnTo>
                  <a:pt x="75711" y="200038"/>
                </a:lnTo>
                <a:lnTo>
                  <a:pt x="59998" y="199336"/>
                </a:lnTo>
                <a:lnTo>
                  <a:pt x="49854" y="203645"/>
                </a:lnTo>
                <a:lnTo>
                  <a:pt x="27880" y="202032"/>
                </a:lnTo>
                <a:lnTo>
                  <a:pt x="19622" y="183484"/>
                </a:lnTo>
                <a:lnTo>
                  <a:pt x="20526" y="166129"/>
                </a:lnTo>
                <a:lnTo>
                  <a:pt x="15335" y="156763"/>
                </a:lnTo>
                <a:lnTo>
                  <a:pt x="9122" y="133281"/>
                </a:lnTo>
                <a:lnTo>
                  <a:pt x="0" y="120228"/>
                </a:lnTo>
                <a:lnTo>
                  <a:pt x="6353" y="118682"/>
                </a:lnTo>
                <a:lnTo>
                  <a:pt x="3095" y="104175"/>
                </a:lnTo>
                <a:lnTo>
                  <a:pt x="6947" y="98054"/>
                </a:lnTo>
                <a:lnTo>
                  <a:pt x="5537" y="84205"/>
                </a:lnTo>
                <a:lnTo>
                  <a:pt x="19479" y="74076"/>
                </a:lnTo>
                <a:lnTo>
                  <a:pt x="16221" y="60694"/>
                </a:lnTo>
                <a:lnTo>
                  <a:pt x="24635" y="45085"/>
                </a:lnTo>
                <a:lnTo>
                  <a:pt x="37675" y="53340"/>
                </a:lnTo>
                <a:lnTo>
                  <a:pt x="46282" y="50470"/>
                </a:lnTo>
                <a:lnTo>
                  <a:pt x="82925" y="49743"/>
                </a:lnTo>
                <a:lnTo>
                  <a:pt x="88745" y="52918"/>
                </a:lnTo>
                <a:lnTo>
                  <a:pt x="119437" y="56093"/>
                </a:lnTo>
                <a:lnTo>
                  <a:pt x="131607" y="54506"/>
                </a:lnTo>
                <a:lnTo>
                  <a:pt x="139545" y="65088"/>
                </a:lnTo>
                <a:lnTo>
                  <a:pt x="154362" y="59795"/>
                </a:lnTo>
                <a:lnTo>
                  <a:pt x="177114" y="26458"/>
                </a:lnTo>
                <a:lnTo>
                  <a:pt x="206750" y="12170"/>
                </a:lnTo>
                <a:lnTo>
                  <a:pt x="298295" y="0"/>
                </a:lnTo>
                <a:lnTo>
                  <a:pt x="323129" y="52397"/>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00" name="ZMB">
            <a:extLst>
              <a:ext uri="{FF2B5EF4-FFF2-40B4-BE49-F238E27FC236}">
                <a16:creationId xmlns:a16="http://schemas.microsoft.com/office/drawing/2014/main" id="{00000000-0008-0000-2700-0000B0816400}"/>
              </a:ext>
            </a:extLst>
          </xdr:cNvPr>
          <xdr:cNvSpPr/>
        </xdr:nvSpPr>
        <xdr:spPr>
          <a:xfrm>
            <a:off x="7024878" y="3679297"/>
            <a:ext cx="368541" cy="308703"/>
          </a:xfrm>
          <a:custGeom>
            <a:avLst/>
            <a:gdLst/>
            <a:ahLst/>
            <a:cxnLst/>
            <a:rect l="0" t="0" r="0" b="0"/>
            <a:pathLst>
              <a:path w="368234" h="308703">
                <a:moveTo>
                  <a:pt x="345173" y="31506"/>
                </a:moveTo>
                <a:lnTo>
                  <a:pt x="360159" y="45670"/>
                </a:lnTo>
                <a:lnTo>
                  <a:pt x="368233" y="72622"/>
                </a:lnTo>
                <a:lnTo>
                  <a:pt x="362824" y="81223"/>
                </a:lnTo>
                <a:lnTo>
                  <a:pt x="356442" y="106963"/>
                </a:lnTo>
                <a:lnTo>
                  <a:pt x="362541" y="133271"/>
                </a:lnTo>
                <a:lnTo>
                  <a:pt x="352552" y="144323"/>
                </a:lnTo>
                <a:lnTo>
                  <a:pt x="342913" y="173819"/>
                </a:lnTo>
                <a:lnTo>
                  <a:pt x="359607" y="182042"/>
                </a:lnTo>
                <a:lnTo>
                  <a:pt x="263261" y="208211"/>
                </a:lnTo>
                <a:lnTo>
                  <a:pt x="266271" y="230807"/>
                </a:lnTo>
                <a:lnTo>
                  <a:pt x="242221" y="235153"/>
                </a:lnTo>
                <a:lnTo>
                  <a:pt x="224146" y="247803"/>
                </a:lnTo>
                <a:lnTo>
                  <a:pt x="220285" y="258807"/>
                </a:lnTo>
                <a:lnTo>
                  <a:pt x="208918" y="261306"/>
                </a:lnTo>
                <a:lnTo>
                  <a:pt x="181305" y="287417"/>
                </a:lnTo>
                <a:lnTo>
                  <a:pt x="163722" y="307966"/>
                </a:lnTo>
                <a:lnTo>
                  <a:pt x="153004" y="308702"/>
                </a:lnTo>
                <a:lnTo>
                  <a:pt x="142688" y="305045"/>
                </a:lnTo>
                <a:lnTo>
                  <a:pt x="107201" y="301568"/>
                </a:lnTo>
                <a:lnTo>
                  <a:pt x="101492" y="299196"/>
                </a:lnTo>
                <a:lnTo>
                  <a:pt x="101257" y="296561"/>
                </a:lnTo>
                <a:lnTo>
                  <a:pt x="88726" y="289405"/>
                </a:lnTo>
                <a:lnTo>
                  <a:pt x="68139" y="287576"/>
                </a:lnTo>
                <a:lnTo>
                  <a:pt x="42138" y="294793"/>
                </a:lnTo>
                <a:lnTo>
                  <a:pt x="21422" y="274962"/>
                </a:lnTo>
                <a:lnTo>
                  <a:pt x="0" y="248984"/>
                </a:lnTo>
                <a:lnTo>
                  <a:pt x="1464" y="147959"/>
                </a:lnTo>
                <a:lnTo>
                  <a:pt x="67573" y="148359"/>
                </a:lnTo>
                <a:lnTo>
                  <a:pt x="64869" y="137399"/>
                </a:lnTo>
                <a:lnTo>
                  <a:pt x="69600" y="125508"/>
                </a:lnTo>
                <a:lnTo>
                  <a:pt x="64021" y="110617"/>
                </a:lnTo>
                <a:lnTo>
                  <a:pt x="67631" y="95219"/>
                </a:lnTo>
                <a:lnTo>
                  <a:pt x="64275" y="85360"/>
                </a:lnTo>
                <a:lnTo>
                  <a:pt x="75229" y="86160"/>
                </a:lnTo>
                <a:lnTo>
                  <a:pt x="77048" y="96028"/>
                </a:lnTo>
                <a:lnTo>
                  <a:pt x="91929" y="95263"/>
                </a:lnTo>
                <a:lnTo>
                  <a:pt x="112087" y="98191"/>
                </a:lnTo>
                <a:lnTo>
                  <a:pt x="122698" y="112608"/>
                </a:lnTo>
                <a:lnTo>
                  <a:pt x="148123" y="117034"/>
                </a:lnTo>
                <a:lnTo>
                  <a:pt x="167532" y="107011"/>
                </a:lnTo>
                <a:lnTo>
                  <a:pt x="174657" y="123648"/>
                </a:lnTo>
                <a:lnTo>
                  <a:pt x="198987" y="128086"/>
                </a:lnTo>
                <a:lnTo>
                  <a:pt x="210687" y="141615"/>
                </a:lnTo>
                <a:lnTo>
                  <a:pt x="223727" y="159090"/>
                </a:lnTo>
                <a:lnTo>
                  <a:pt x="248025" y="159350"/>
                </a:lnTo>
                <a:lnTo>
                  <a:pt x="245370" y="125114"/>
                </a:lnTo>
                <a:lnTo>
                  <a:pt x="236655" y="130887"/>
                </a:lnTo>
                <a:lnTo>
                  <a:pt x="214459" y="118533"/>
                </a:lnTo>
                <a:lnTo>
                  <a:pt x="205883" y="112881"/>
                </a:lnTo>
                <a:lnTo>
                  <a:pt x="209813" y="81014"/>
                </a:lnTo>
                <a:lnTo>
                  <a:pt x="215453" y="43422"/>
                </a:lnTo>
                <a:lnTo>
                  <a:pt x="208347" y="29420"/>
                </a:lnTo>
                <a:lnTo>
                  <a:pt x="217396" y="9154"/>
                </a:lnTo>
                <a:lnTo>
                  <a:pt x="225905" y="5357"/>
                </a:lnTo>
                <a:lnTo>
                  <a:pt x="268551" y="0"/>
                </a:lnTo>
                <a:lnTo>
                  <a:pt x="281057" y="3229"/>
                </a:lnTo>
                <a:lnTo>
                  <a:pt x="294322" y="11313"/>
                </a:lnTo>
                <a:lnTo>
                  <a:pt x="306975" y="16628"/>
                </a:lnTo>
                <a:lnTo>
                  <a:pt x="327155" y="21975"/>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86801" name="ZWE">
            <a:extLst>
              <a:ext uri="{FF2B5EF4-FFF2-40B4-BE49-F238E27FC236}">
                <a16:creationId xmlns:a16="http://schemas.microsoft.com/office/drawing/2014/main" id="{00000000-0008-0000-2700-0000B1816400}"/>
              </a:ext>
            </a:extLst>
          </xdr:cNvPr>
          <xdr:cNvSpPr/>
        </xdr:nvSpPr>
        <xdr:spPr>
          <a:xfrm>
            <a:off x="7132168" y="3910104"/>
            <a:ext cx="241048" cy="214752"/>
          </a:xfrm>
          <a:custGeom>
            <a:avLst/>
            <a:gdLst/>
            <a:ahLst/>
            <a:cxnLst/>
            <a:rect l="0" t="0" r="0" b="0"/>
            <a:pathLst>
              <a:path w="240847" h="214752">
                <a:moveTo>
                  <a:pt x="188189" y="214112"/>
                </a:moveTo>
                <a:lnTo>
                  <a:pt x="171314" y="210941"/>
                </a:lnTo>
                <a:lnTo>
                  <a:pt x="160614" y="214751"/>
                </a:lnTo>
                <a:lnTo>
                  <a:pt x="145249" y="209372"/>
                </a:lnTo>
                <a:lnTo>
                  <a:pt x="132334" y="209026"/>
                </a:lnTo>
                <a:lnTo>
                  <a:pt x="112093" y="194681"/>
                </a:lnTo>
                <a:lnTo>
                  <a:pt x="87541" y="189808"/>
                </a:lnTo>
                <a:lnTo>
                  <a:pt x="78200" y="169672"/>
                </a:lnTo>
                <a:lnTo>
                  <a:pt x="78121" y="158474"/>
                </a:lnTo>
                <a:lnTo>
                  <a:pt x="64526" y="155057"/>
                </a:lnTo>
                <a:lnTo>
                  <a:pt x="28594" y="120183"/>
                </a:lnTo>
                <a:lnTo>
                  <a:pt x="18611" y="101810"/>
                </a:lnTo>
                <a:lnTo>
                  <a:pt x="12223" y="96146"/>
                </a:lnTo>
                <a:lnTo>
                  <a:pt x="0" y="70761"/>
                </a:lnTo>
                <a:lnTo>
                  <a:pt x="35487" y="74238"/>
                </a:lnTo>
                <a:lnTo>
                  <a:pt x="45803" y="77895"/>
                </a:lnTo>
                <a:lnTo>
                  <a:pt x="56521" y="77159"/>
                </a:lnTo>
                <a:lnTo>
                  <a:pt x="74104" y="56610"/>
                </a:lnTo>
                <a:lnTo>
                  <a:pt x="101717" y="30499"/>
                </a:lnTo>
                <a:lnTo>
                  <a:pt x="113084" y="28000"/>
                </a:lnTo>
                <a:lnTo>
                  <a:pt x="116945" y="16996"/>
                </a:lnTo>
                <a:lnTo>
                  <a:pt x="135020" y="4346"/>
                </a:lnTo>
                <a:lnTo>
                  <a:pt x="159070" y="0"/>
                </a:lnTo>
                <a:lnTo>
                  <a:pt x="161124" y="11843"/>
                </a:lnTo>
                <a:lnTo>
                  <a:pt x="187607" y="11211"/>
                </a:lnTo>
                <a:lnTo>
                  <a:pt x="202320" y="17913"/>
                </a:lnTo>
                <a:lnTo>
                  <a:pt x="209163" y="25768"/>
                </a:lnTo>
                <a:lnTo>
                  <a:pt x="224282" y="28076"/>
                </a:lnTo>
                <a:lnTo>
                  <a:pt x="240773" y="38278"/>
                </a:lnTo>
                <a:lnTo>
                  <a:pt x="240846" y="78464"/>
                </a:lnTo>
                <a:lnTo>
                  <a:pt x="234655" y="100467"/>
                </a:lnTo>
                <a:lnTo>
                  <a:pt x="233293" y="124193"/>
                </a:lnTo>
                <a:lnTo>
                  <a:pt x="238395" y="133598"/>
                </a:lnTo>
                <a:lnTo>
                  <a:pt x="234807" y="152289"/>
                </a:lnTo>
                <a:lnTo>
                  <a:pt x="230012" y="155178"/>
                </a:lnTo>
                <a:lnTo>
                  <a:pt x="221640" y="178076"/>
                </a:lnTo>
                <a:close/>
              </a:path>
            </a:pathLst>
          </a:custGeom>
          <a:grp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58</xdr:col>
      <xdr:colOff>70366</xdr:colOff>
      <xdr:row>23</xdr:row>
      <xdr:rowOff>48598</xdr:rowOff>
    </xdr:from>
    <xdr:to>
      <xdr:col>59</xdr:col>
      <xdr:colOff>28517</xdr:colOff>
      <xdr:row>23</xdr:row>
      <xdr:rowOff>178198</xdr:rowOff>
    </xdr:to>
    <xdr:sp macro="" textlink="">
      <xdr:nvSpPr>
        <xdr:cNvPr id="6586917" name="MDD">
          <a:extLst>
            <a:ext uri="{FF2B5EF4-FFF2-40B4-BE49-F238E27FC236}">
              <a16:creationId xmlns:a16="http://schemas.microsoft.com/office/drawing/2014/main" id="{00000000-0008-0000-2700-000025826400}"/>
            </a:ext>
          </a:extLst>
        </xdr:cNvPr>
        <xdr:cNvSpPr/>
      </xdr:nvSpPr>
      <xdr:spPr>
        <a:xfrm>
          <a:off x="11858040" y="5192098"/>
          <a:ext cx="136987" cy="129600"/>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72</xdr:col>
      <xdr:colOff>94192</xdr:colOff>
      <xdr:row>26</xdr:row>
      <xdr:rowOff>142875</xdr:rowOff>
    </xdr:from>
    <xdr:to>
      <xdr:col>73</xdr:col>
      <xdr:colOff>52342</xdr:colOff>
      <xdr:row>27</xdr:row>
      <xdr:rowOff>72450</xdr:rowOff>
    </xdr:to>
    <xdr:sp macro="" textlink="">
      <xdr:nvSpPr>
        <xdr:cNvPr id="6586918" name="BKK">
          <a:extLst>
            <a:ext uri="{FF2B5EF4-FFF2-40B4-BE49-F238E27FC236}">
              <a16:creationId xmlns:a16="http://schemas.microsoft.com/office/drawing/2014/main" id="{00000000-0008-0000-2700-000026826400}"/>
            </a:ext>
          </a:extLst>
        </xdr:cNvPr>
        <xdr:cNvSpPr/>
      </xdr:nvSpPr>
      <xdr:spPr>
        <a:xfrm>
          <a:off x="9219142" y="4371975"/>
          <a:ext cx="129600" cy="129600"/>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63</xdr:col>
      <xdr:colOff>58208</xdr:colOff>
      <xdr:row>24</xdr:row>
      <xdr:rowOff>103717</xdr:rowOff>
    </xdr:from>
    <xdr:to>
      <xdr:col>64</xdr:col>
      <xdr:colOff>16358</xdr:colOff>
      <xdr:row>25</xdr:row>
      <xdr:rowOff>33292</xdr:rowOff>
    </xdr:to>
    <xdr:sp macro="" textlink="">
      <xdr:nvSpPr>
        <xdr:cNvPr id="6586920" name="CJR">
          <a:extLst>
            <a:ext uri="{FF2B5EF4-FFF2-40B4-BE49-F238E27FC236}">
              <a16:creationId xmlns:a16="http://schemas.microsoft.com/office/drawing/2014/main" id="{00000000-0008-0000-2700-000028826400}"/>
            </a:ext>
          </a:extLst>
        </xdr:cNvPr>
        <xdr:cNvSpPr/>
      </xdr:nvSpPr>
      <xdr:spPr>
        <a:xfrm>
          <a:off x="7640108" y="3932767"/>
          <a:ext cx="129600" cy="129600"/>
        </a:xfrm>
        <a:prstGeom prst="ellipse">
          <a:avLst/>
        </a:prstGeom>
        <a:solidFill>
          <a:srgbClr val="FEE08B"/>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71</xdr:col>
      <xdr:colOff>22225</xdr:colOff>
      <xdr:row>25</xdr:row>
      <xdr:rowOff>67733</xdr:rowOff>
    </xdr:from>
    <xdr:to>
      <xdr:col>71</xdr:col>
      <xdr:colOff>151825</xdr:colOff>
      <xdr:row>25</xdr:row>
      <xdr:rowOff>197333</xdr:rowOff>
    </xdr:to>
    <xdr:sp macro="" textlink="">
      <xdr:nvSpPr>
        <xdr:cNvPr id="6586922" name="DAC">
          <a:extLst>
            <a:ext uri="{FF2B5EF4-FFF2-40B4-BE49-F238E27FC236}">
              <a16:creationId xmlns:a16="http://schemas.microsoft.com/office/drawing/2014/main" id="{00000000-0008-0000-2700-00002A826400}"/>
            </a:ext>
          </a:extLst>
        </xdr:cNvPr>
        <xdr:cNvSpPr/>
      </xdr:nvSpPr>
      <xdr:spPr>
        <a:xfrm>
          <a:off x="8975725" y="4096808"/>
          <a:ext cx="129600" cy="129600"/>
        </a:xfrm>
        <a:prstGeom prst="ellipse">
          <a:avLst/>
        </a:prstGeom>
        <a:solidFill>
          <a:srgbClr val="FEE08B"/>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66</xdr:col>
      <xdr:colOff>51858</xdr:colOff>
      <xdr:row>25</xdr:row>
      <xdr:rowOff>51858</xdr:rowOff>
    </xdr:from>
    <xdr:to>
      <xdr:col>67</xdr:col>
      <xdr:colOff>12389</xdr:colOff>
      <xdr:row>25</xdr:row>
      <xdr:rowOff>181458</xdr:rowOff>
    </xdr:to>
    <xdr:sp macro="" textlink="">
      <xdr:nvSpPr>
        <xdr:cNvPr id="6586923" name="DXB">
          <a:extLst>
            <a:ext uri="{FF2B5EF4-FFF2-40B4-BE49-F238E27FC236}">
              <a16:creationId xmlns:a16="http://schemas.microsoft.com/office/drawing/2014/main" id="{00000000-0008-0000-2700-00002B826400}"/>
            </a:ext>
          </a:extLst>
        </xdr:cNvPr>
        <xdr:cNvSpPr/>
      </xdr:nvSpPr>
      <xdr:spPr>
        <a:xfrm>
          <a:off x="8148108" y="4080933"/>
          <a:ext cx="131981" cy="129600"/>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74</xdr:col>
      <xdr:colOff>91016</xdr:colOff>
      <xdr:row>25</xdr:row>
      <xdr:rowOff>99483</xdr:rowOff>
    </xdr:from>
    <xdr:to>
      <xdr:col>75</xdr:col>
      <xdr:colOff>49166</xdr:colOff>
      <xdr:row>26</xdr:row>
      <xdr:rowOff>29058</xdr:rowOff>
    </xdr:to>
    <xdr:sp macro="" textlink="">
      <xdr:nvSpPr>
        <xdr:cNvPr id="6586924" name="HKG">
          <a:extLst>
            <a:ext uri="{FF2B5EF4-FFF2-40B4-BE49-F238E27FC236}">
              <a16:creationId xmlns:a16="http://schemas.microsoft.com/office/drawing/2014/main" id="{00000000-0008-0000-2700-00002C826400}"/>
            </a:ext>
          </a:extLst>
        </xdr:cNvPr>
        <xdr:cNvSpPr/>
      </xdr:nvSpPr>
      <xdr:spPr>
        <a:xfrm>
          <a:off x="9558866" y="4128558"/>
          <a:ext cx="129600" cy="129600"/>
        </a:xfrm>
        <a:prstGeom prst="ellipse">
          <a:avLst/>
        </a:prstGeom>
        <a:solidFill>
          <a:srgbClr val="1A964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62</xdr:col>
      <xdr:colOff>112939</xdr:colOff>
      <xdr:row>22</xdr:row>
      <xdr:rowOff>178707</xdr:rowOff>
    </xdr:from>
    <xdr:to>
      <xdr:col>63</xdr:col>
      <xdr:colOff>73470</xdr:colOff>
      <xdr:row>23</xdr:row>
      <xdr:rowOff>108282</xdr:rowOff>
    </xdr:to>
    <xdr:sp macro="" textlink="">
      <xdr:nvSpPr>
        <xdr:cNvPr id="6586925" name="IST">
          <a:extLst>
            <a:ext uri="{FF2B5EF4-FFF2-40B4-BE49-F238E27FC236}">
              <a16:creationId xmlns:a16="http://schemas.microsoft.com/office/drawing/2014/main" id="{00000000-0008-0000-2700-00002D826400}"/>
            </a:ext>
          </a:extLst>
        </xdr:cNvPr>
        <xdr:cNvSpPr/>
      </xdr:nvSpPr>
      <xdr:spPr>
        <a:xfrm>
          <a:off x="7523389" y="3607707"/>
          <a:ext cx="131981" cy="129600"/>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73</xdr:col>
      <xdr:colOff>33111</xdr:colOff>
      <xdr:row>29</xdr:row>
      <xdr:rowOff>121103</xdr:rowOff>
    </xdr:from>
    <xdr:to>
      <xdr:col>73</xdr:col>
      <xdr:colOff>165092</xdr:colOff>
      <xdr:row>30</xdr:row>
      <xdr:rowOff>50678</xdr:rowOff>
    </xdr:to>
    <xdr:sp macro="" textlink="">
      <xdr:nvSpPr>
        <xdr:cNvPr id="6586926" name="JKT">
          <a:extLst>
            <a:ext uri="{FF2B5EF4-FFF2-40B4-BE49-F238E27FC236}">
              <a16:creationId xmlns:a16="http://schemas.microsoft.com/office/drawing/2014/main" id="{00000000-0008-0000-2700-00002E826400}"/>
            </a:ext>
          </a:extLst>
        </xdr:cNvPr>
        <xdr:cNvSpPr/>
      </xdr:nvSpPr>
      <xdr:spPr>
        <a:xfrm>
          <a:off x="9329511" y="4950278"/>
          <a:ext cx="131981" cy="129600"/>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59</xdr:col>
      <xdr:colOff>117474</xdr:colOff>
      <xdr:row>27</xdr:row>
      <xdr:rowOff>158296</xdr:rowOff>
    </xdr:from>
    <xdr:to>
      <xdr:col>60</xdr:col>
      <xdr:colOff>78005</xdr:colOff>
      <xdr:row>28</xdr:row>
      <xdr:rowOff>87871</xdr:rowOff>
    </xdr:to>
    <xdr:sp macro="" textlink="">
      <xdr:nvSpPr>
        <xdr:cNvPr id="6586927" name="ZGM">
          <a:extLst>
            <a:ext uri="{FF2B5EF4-FFF2-40B4-BE49-F238E27FC236}">
              <a16:creationId xmlns:a16="http://schemas.microsoft.com/office/drawing/2014/main" id="{00000000-0008-0000-2700-00002F826400}"/>
            </a:ext>
          </a:extLst>
        </xdr:cNvPr>
        <xdr:cNvSpPr/>
      </xdr:nvSpPr>
      <xdr:spPr>
        <a:xfrm>
          <a:off x="7013574" y="4587421"/>
          <a:ext cx="131981" cy="129600"/>
        </a:xfrm>
        <a:prstGeom prst="ellipse">
          <a:avLst/>
        </a:prstGeom>
        <a:solidFill>
          <a:srgbClr val="FEE08B"/>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58</xdr:col>
      <xdr:colOff>148317</xdr:colOff>
      <xdr:row>21</xdr:row>
      <xdr:rowOff>70303</xdr:rowOff>
    </xdr:from>
    <xdr:to>
      <xdr:col>59</xdr:col>
      <xdr:colOff>106467</xdr:colOff>
      <xdr:row>21</xdr:row>
      <xdr:rowOff>199903</xdr:rowOff>
    </xdr:to>
    <xdr:sp macro="" textlink="">
      <xdr:nvSpPr>
        <xdr:cNvPr id="6586928" name="LOD">
          <a:extLst>
            <a:ext uri="{FF2B5EF4-FFF2-40B4-BE49-F238E27FC236}">
              <a16:creationId xmlns:a16="http://schemas.microsoft.com/office/drawing/2014/main" id="{00000000-0008-0000-2700-000030826400}"/>
            </a:ext>
          </a:extLst>
        </xdr:cNvPr>
        <xdr:cNvSpPr/>
      </xdr:nvSpPr>
      <xdr:spPr>
        <a:xfrm>
          <a:off x="6872967" y="3299278"/>
          <a:ext cx="129600" cy="129600"/>
        </a:xfrm>
        <a:prstGeom prst="ellipse">
          <a:avLst/>
        </a:prstGeom>
        <a:solidFill>
          <a:srgbClr val="1A964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64</xdr:col>
      <xdr:colOff>73933</xdr:colOff>
      <xdr:row>27</xdr:row>
      <xdr:rowOff>98424</xdr:rowOff>
    </xdr:from>
    <xdr:to>
      <xdr:col>65</xdr:col>
      <xdr:colOff>32083</xdr:colOff>
      <xdr:row>28</xdr:row>
      <xdr:rowOff>27999</xdr:rowOff>
    </xdr:to>
    <xdr:sp macro="" textlink="">
      <xdr:nvSpPr>
        <xdr:cNvPr id="6586929" name="ADD">
          <a:extLst>
            <a:ext uri="{FF2B5EF4-FFF2-40B4-BE49-F238E27FC236}">
              <a16:creationId xmlns:a16="http://schemas.microsoft.com/office/drawing/2014/main" id="{00000000-0008-0000-2700-000031826400}"/>
            </a:ext>
          </a:extLst>
        </xdr:cNvPr>
        <xdr:cNvSpPr/>
      </xdr:nvSpPr>
      <xdr:spPr>
        <a:xfrm>
          <a:off x="12968062" y="6047467"/>
          <a:ext cx="137764" cy="130961"/>
        </a:xfrm>
        <a:prstGeom prst="ellipse">
          <a:avLst/>
        </a:prstGeom>
        <a:solidFill>
          <a:srgbClr val="FEE08B"/>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78</xdr:col>
      <xdr:colOff>95704</xdr:colOff>
      <xdr:row>33</xdr:row>
      <xdr:rowOff>196397</xdr:rowOff>
    </xdr:from>
    <xdr:to>
      <xdr:col>79</xdr:col>
      <xdr:colOff>53854</xdr:colOff>
      <xdr:row>34</xdr:row>
      <xdr:rowOff>125972</xdr:rowOff>
    </xdr:to>
    <xdr:sp macro="" textlink="">
      <xdr:nvSpPr>
        <xdr:cNvPr id="6586930" name="MEL">
          <a:extLst>
            <a:ext uri="{FF2B5EF4-FFF2-40B4-BE49-F238E27FC236}">
              <a16:creationId xmlns:a16="http://schemas.microsoft.com/office/drawing/2014/main" id="{00000000-0008-0000-2700-000032826400}"/>
            </a:ext>
          </a:extLst>
        </xdr:cNvPr>
        <xdr:cNvSpPr/>
      </xdr:nvSpPr>
      <xdr:spPr>
        <a:xfrm>
          <a:off x="10249354" y="5825672"/>
          <a:ext cx="129600" cy="129600"/>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45</xdr:col>
      <xdr:colOff>153760</xdr:colOff>
      <xdr:row>25</xdr:row>
      <xdr:rowOff>163739</xdr:rowOff>
    </xdr:from>
    <xdr:to>
      <xdr:col>46</xdr:col>
      <xdr:colOff>111910</xdr:colOff>
      <xdr:row>26</xdr:row>
      <xdr:rowOff>93314</xdr:rowOff>
    </xdr:to>
    <xdr:sp macro="" textlink="">
      <xdr:nvSpPr>
        <xdr:cNvPr id="6586931" name="MEX">
          <a:extLst>
            <a:ext uri="{FF2B5EF4-FFF2-40B4-BE49-F238E27FC236}">
              <a16:creationId xmlns:a16="http://schemas.microsoft.com/office/drawing/2014/main" id="{00000000-0008-0000-2700-000033826400}"/>
            </a:ext>
          </a:extLst>
        </xdr:cNvPr>
        <xdr:cNvSpPr/>
      </xdr:nvSpPr>
      <xdr:spPr>
        <a:xfrm>
          <a:off x="4649560" y="4192814"/>
          <a:ext cx="129600" cy="129600"/>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60</xdr:col>
      <xdr:colOff>91686</xdr:colOff>
      <xdr:row>21</xdr:row>
      <xdr:rowOff>47625</xdr:rowOff>
    </xdr:from>
    <xdr:to>
      <xdr:col>61</xdr:col>
      <xdr:colOff>49836</xdr:colOff>
      <xdr:row>21</xdr:row>
      <xdr:rowOff>179362</xdr:rowOff>
    </xdr:to>
    <xdr:sp macro="" textlink="">
      <xdr:nvSpPr>
        <xdr:cNvPr id="6586932" name="BER">
          <a:extLst>
            <a:ext uri="{FF2B5EF4-FFF2-40B4-BE49-F238E27FC236}">
              <a16:creationId xmlns:a16="http://schemas.microsoft.com/office/drawing/2014/main" id="{00000000-0008-0000-2700-000034826400}"/>
            </a:ext>
          </a:extLst>
        </xdr:cNvPr>
        <xdr:cNvSpPr/>
      </xdr:nvSpPr>
      <xdr:spPr>
        <a:xfrm>
          <a:off x="12237033" y="4786799"/>
          <a:ext cx="136987" cy="131737"/>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69</xdr:col>
      <xdr:colOff>41275</xdr:colOff>
      <xdr:row>24</xdr:row>
      <xdr:rowOff>114300</xdr:rowOff>
    </xdr:from>
    <xdr:to>
      <xdr:col>69</xdr:col>
      <xdr:colOff>170875</xdr:colOff>
      <xdr:row>25</xdr:row>
      <xdr:rowOff>43875</xdr:rowOff>
    </xdr:to>
    <xdr:sp macro="" textlink="">
      <xdr:nvSpPr>
        <xdr:cNvPr id="6586933" name="DLI">
          <a:extLst>
            <a:ext uri="{FF2B5EF4-FFF2-40B4-BE49-F238E27FC236}">
              <a16:creationId xmlns:a16="http://schemas.microsoft.com/office/drawing/2014/main" id="{00000000-0008-0000-2700-000035826400}"/>
            </a:ext>
          </a:extLst>
        </xdr:cNvPr>
        <xdr:cNvSpPr/>
      </xdr:nvSpPr>
      <xdr:spPr>
        <a:xfrm>
          <a:off x="8651875" y="3943350"/>
          <a:ext cx="129600" cy="129600"/>
        </a:xfrm>
        <a:prstGeom prst="ellipse">
          <a:avLst/>
        </a:prstGeom>
        <a:solidFill>
          <a:srgbClr val="FEE08B"/>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49</xdr:col>
      <xdr:colOff>59419</xdr:colOff>
      <xdr:row>22</xdr:row>
      <xdr:rowOff>151493</xdr:rowOff>
    </xdr:from>
    <xdr:to>
      <xdr:col>50</xdr:col>
      <xdr:colOff>17569</xdr:colOff>
      <xdr:row>23</xdr:row>
      <xdr:rowOff>81068</xdr:rowOff>
    </xdr:to>
    <xdr:sp macro="" textlink="">
      <xdr:nvSpPr>
        <xdr:cNvPr id="6586934" name="NYC">
          <a:extLst>
            <a:ext uri="{FF2B5EF4-FFF2-40B4-BE49-F238E27FC236}">
              <a16:creationId xmlns:a16="http://schemas.microsoft.com/office/drawing/2014/main" id="{00000000-0008-0000-2700-000036826400}"/>
            </a:ext>
          </a:extLst>
        </xdr:cNvPr>
        <xdr:cNvSpPr/>
      </xdr:nvSpPr>
      <xdr:spPr>
        <a:xfrm>
          <a:off x="5241019" y="3580493"/>
          <a:ext cx="129600" cy="129600"/>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52</xdr:col>
      <xdr:colOff>150132</xdr:colOff>
      <xdr:row>32</xdr:row>
      <xdr:rowOff>1814</xdr:rowOff>
    </xdr:from>
    <xdr:to>
      <xdr:col>53</xdr:col>
      <xdr:colOff>108282</xdr:colOff>
      <xdr:row>32</xdr:row>
      <xdr:rowOff>131414</xdr:rowOff>
    </xdr:to>
    <xdr:sp macro="" textlink="">
      <xdr:nvSpPr>
        <xdr:cNvPr id="6586936" name="SPF">
          <a:extLst>
            <a:ext uri="{FF2B5EF4-FFF2-40B4-BE49-F238E27FC236}">
              <a16:creationId xmlns:a16="http://schemas.microsoft.com/office/drawing/2014/main" id="{00000000-0008-0000-2700-000038826400}"/>
            </a:ext>
          </a:extLst>
        </xdr:cNvPr>
        <xdr:cNvSpPr/>
      </xdr:nvSpPr>
      <xdr:spPr>
        <a:xfrm>
          <a:off x="5846082" y="5431064"/>
          <a:ext cx="129600" cy="129600"/>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75</xdr:col>
      <xdr:colOff>454</xdr:colOff>
      <xdr:row>24</xdr:row>
      <xdr:rowOff>14515</xdr:rowOff>
    </xdr:from>
    <xdr:to>
      <xdr:col>75</xdr:col>
      <xdr:colOff>130054</xdr:colOff>
      <xdr:row>24</xdr:row>
      <xdr:rowOff>144115</xdr:rowOff>
    </xdr:to>
    <xdr:sp macro="" textlink="">
      <xdr:nvSpPr>
        <xdr:cNvPr id="6586937" name="SGH">
          <a:extLst>
            <a:ext uri="{FF2B5EF4-FFF2-40B4-BE49-F238E27FC236}">
              <a16:creationId xmlns:a16="http://schemas.microsoft.com/office/drawing/2014/main" id="{00000000-0008-0000-2700-000039826400}"/>
            </a:ext>
          </a:extLst>
        </xdr:cNvPr>
        <xdr:cNvSpPr/>
      </xdr:nvSpPr>
      <xdr:spPr>
        <a:xfrm>
          <a:off x="9639754" y="3843565"/>
          <a:ext cx="129600" cy="129600"/>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72</xdr:col>
      <xdr:colOff>159203</xdr:colOff>
      <xdr:row>28</xdr:row>
      <xdr:rowOff>107950</xdr:rowOff>
    </xdr:from>
    <xdr:to>
      <xdr:col>73</xdr:col>
      <xdr:colOff>117353</xdr:colOff>
      <xdr:row>29</xdr:row>
      <xdr:rowOff>37525</xdr:rowOff>
    </xdr:to>
    <xdr:sp macro="" textlink="">
      <xdr:nvSpPr>
        <xdr:cNvPr id="6586938" name="SIN">
          <a:extLst>
            <a:ext uri="{FF2B5EF4-FFF2-40B4-BE49-F238E27FC236}">
              <a16:creationId xmlns:a16="http://schemas.microsoft.com/office/drawing/2014/main" id="{00000000-0008-0000-2700-00003A826400}"/>
            </a:ext>
          </a:extLst>
        </xdr:cNvPr>
        <xdr:cNvSpPr/>
      </xdr:nvSpPr>
      <xdr:spPr>
        <a:xfrm>
          <a:off x="9284153" y="4737100"/>
          <a:ext cx="129600" cy="129600"/>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77</xdr:col>
      <xdr:colOff>116179</xdr:colOff>
      <xdr:row>23</xdr:row>
      <xdr:rowOff>92723</xdr:rowOff>
    </xdr:from>
    <xdr:to>
      <xdr:col>78</xdr:col>
      <xdr:colOff>74329</xdr:colOff>
      <xdr:row>24</xdr:row>
      <xdr:rowOff>22298</xdr:rowOff>
    </xdr:to>
    <xdr:sp macro="" textlink="">
      <xdr:nvSpPr>
        <xdr:cNvPr id="6586939" name="TYO">
          <a:extLst>
            <a:ext uri="{FF2B5EF4-FFF2-40B4-BE49-F238E27FC236}">
              <a16:creationId xmlns:a16="http://schemas.microsoft.com/office/drawing/2014/main" id="{00000000-0008-0000-2700-00003B826400}"/>
            </a:ext>
          </a:extLst>
        </xdr:cNvPr>
        <xdr:cNvSpPr/>
      </xdr:nvSpPr>
      <xdr:spPr>
        <a:xfrm>
          <a:off x="15301750" y="5236223"/>
          <a:ext cx="136987" cy="131739"/>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59</xdr:col>
      <xdr:colOff>87958</xdr:colOff>
      <xdr:row>23</xdr:row>
      <xdr:rowOff>117126</xdr:rowOff>
    </xdr:from>
    <xdr:to>
      <xdr:col>60</xdr:col>
      <xdr:colOff>45689</xdr:colOff>
      <xdr:row>24</xdr:row>
      <xdr:rowOff>46702</xdr:rowOff>
    </xdr:to>
    <xdr:sp macro="" textlink="">
      <xdr:nvSpPr>
        <xdr:cNvPr id="6586940" name="UAY">
          <a:extLst>
            <a:ext uri="{FF2B5EF4-FFF2-40B4-BE49-F238E27FC236}">
              <a16:creationId xmlns:a16="http://schemas.microsoft.com/office/drawing/2014/main" id="{00000000-0008-0000-2700-00003C826400}"/>
            </a:ext>
          </a:extLst>
        </xdr:cNvPr>
        <xdr:cNvSpPr/>
      </xdr:nvSpPr>
      <xdr:spPr>
        <a:xfrm>
          <a:off x="12133420" y="5266906"/>
          <a:ext cx="137764" cy="130543"/>
        </a:xfrm>
        <a:prstGeom prst="ellipse">
          <a:avLst/>
        </a:prstGeom>
        <a:solidFill>
          <a:srgbClr val="FEE08B"/>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59</xdr:col>
      <xdr:colOff>66675</xdr:colOff>
      <xdr:row>21</xdr:row>
      <xdr:rowOff>190500</xdr:rowOff>
    </xdr:from>
    <xdr:to>
      <xdr:col>60</xdr:col>
      <xdr:colOff>24825</xdr:colOff>
      <xdr:row>22</xdr:row>
      <xdr:rowOff>120075</xdr:rowOff>
    </xdr:to>
    <xdr:sp macro="" textlink="">
      <xdr:nvSpPr>
        <xdr:cNvPr id="6586447" name="PAR">
          <a:extLst>
            <a:ext uri="{FF2B5EF4-FFF2-40B4-BE49-F238E27FC236}">
              <a16:creationId xmlns:a16="http://schemas.microsoft.com/office/drawing/2014/main" id="{00000000-0008-0000-2700-00004F806400}"/>
            </a:ext>
          </a:extLst>
        </xdr:cNvPr>
        <xdr:cNvSpPr/>
      </xdr:nvSpPr>
      <xdr:spPr>
        <a:xfrm>
          <a:off x="6962775" y="3419475"/>
          <a:ext cx="129600" cy="129600"/>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56</xdr:col>
      <xdr:colOff>1</xdr:colOff>
      <xdr:row>23</xdr:row>
      <xdr:rowOff>46201</xdr:rowOff>
    </xdr:from>
    <xdr:to>
      <xdr:col>58</xdr:col>
      <xdr:colOff>133739</xdr:colOff>
      <xdr:row>24</xdr:row>
      <xdr:rowOff>2527</xdr:rowOff>
    </xdr:to>
    <xdr:sp macro="" textlink="">
      <xdr:nvSpPr>
        <xdr:cNvPr id="6803641" name="MDD_label">
          <a:extLst>
            <a:ext uri="{FF2B5EF4-FFF2-40B4-BE49-F238E27FC236}">
              <a16:creationId xmlns:a16="http://schemas.microsoft.com/office/drawing/2014/main" id="{00000000-0008-0000-2700-0000B9D06700}"/>
            </a:ext>
          </a:extLst>
        </xdr:cNvPr>
        <xdr:cNvSpPr txBox="1"/>
      </xdr:nvSpPr>
      <xdr:spPr>
        <a:xfrm>
          <a:off x="11430001" y="5189701"/>
          <a:ext cx="485970" cy="148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MADRID</a:t>
          </a:r>
        </a:p>
      </xdr:txBody>
    </xdr:sp>
    <xdr:clientData fPrintsWithSheet="0"/>
  </xdr:twoCellAnchor>
  <xdr:twoCellAnchor editAs="oneCell">
    <xdr:from>
      <xdr:col>70</xdr:col>
      <xdr:colOff>128295</xdr:colOff>
      <xdr:row>27</xdr:row>
      <xdr:rowOff>38878</xdr:rowOff>
    </xdr:from>
    <xdr:to>
      <xdr:col>73</xdr:col>
      <xdr:colOff>67249</xdr:colOff>
      <xdr:row>27</xdr:row>
      <xdr:rowOff>178845</xdr:rowOff>
    </xdr:to>
    <xdr:sp macro="" textlink="">
      <xdr:nvSpPr>
        <xdr:cNvPr id="6803642" name="BKK_label">
          <a:extLst>
            <a:ext uri="{FF2B5EF4-FFF2-40B4-BE49-F238E27FC236}">
              <a16:creationId xmlns:a16="http://schemas.microsoft.com/office/drawing/2014/main" id="{00000000-0008-0000-2700-0000BAD06700}"/>
            </a:ext>
          </a:extLst>
        </xdr:cNvPr>
        <xdr:cNvSpPr txBox="1"/>
      </xdr:nvSpPr>
      <xdr:spPr>
        <a:xfrm>
          <a:off x="14062009" y="5991031"/>
          <a:ext cx="475456" cy="1399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BANGKOK</a:t>
          </a:r>
        </a:p>
      </xdr:txBody>
    </xdr:sp>
    <xdr:clientData fPrintsWithSheet="0"/>
  </xdr:twoCellAnchor>
  <xdr:twoCellAnchor editAs="oneCell">
    <xdr:from>
      <xdr:col>61</xdr:col>
      <xdr:colOff>80087</xdr:colOff>
      <xdr:row>24</xdr:row>
      <xdr:rowOff>90195</xdr:rowOff>
    </xdr:from>
    <xdr:to>
      <xdr:col>63</xdr:col>
      <xdr:colOff>124401</xdr:colOff>
      <xdr:row>25</xdr:row>
      <xdr:rowOff>59093</xdr:rowOff>
    </xdr:to>
    <xdr:sp macro="" textlink="">
      <xdr:nvSpPr>
        <xdr:cNvPr id="6803644" name="CJR_label">
          <a:extLst>
            <a:ext uri="{FF2B5EF4-FFF2-40B4-BE49-F238E27FC236}">
              <a16:creationId xmlns:a16="http://schemas.microsoft.com/office/drawing/2014/main" id="{00000000-0008-0000-2700-0000BCD06700}"/>
            </a:ext>
          </a:extLst>
        </xdr:cNvPr>
        <xdr:cNvSpPr txBox="1"/>
      </xdr:nvSpPr>
      <xdr:spPr>
        <a:xfrm>
          <a:off x="12435373" y="5435081"/>
          <a:ext cx="398107" cy="170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CAIRO</a:t>
          </a:r>
        </a:p>
      </xdr:txBody>
    </xdr:sp>
    <xdr:clientData fPrintsWithSheet="0"/>
  </xdr:twoCellAnchor>
  <xdr:twoCellAnchor editAs="oneCell">
    <xdr:from>
      <xdr:col>70</xdr:col>
      <xdr:colOff>145941</xdr:colOff>
      <xdr:row>24</xdr:row>
      <xdr:rowOff>132084</xdr:rowOff>
    </xdr:from>
    <xdr:to>
      <xdr:col>73</xdr:col>
      <xdr:colOff>133739</xdr:colOff>
      <xdr:row>25</xdr:row>
      <xdr:rowOff>116632</xdr:rowOff>
    </xdr:to>
    <xdr:sp macro="" textlink="">
      <xdr:nvSpPr>
        <xdr:cNvPr id="6803646" name="DAC_label">
          <a:extLst>
            <a:ext uri="{FF2B5EF4-FFF2-40B4-BE49-F238E27FC236}">
              <a16:creationId xmlns:a16="http://schemas.microsoft.com/office/drawing/2014/main" id="{00000000-0008-0000-2700-0000BED06700}"/>
            </a:ext>
          </a:extLst>
        </xdr:cNvPr>
        <xdr:cNvSpPr txBox="1"/>
      </xdr:nvSpPr>
      <xdr:spPr>
        <a:xfrm>
          <a:off x="14079655" y="5477748"/>
          <a:ext cx="518866" cy="186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DHAKA</a:t>
          </a:r>
        </a:p>
      </xdr:txBody>
    </xdr:sp>
    <xdr:clientData fPrintsWithSheet="0"/>
  </xdr:twoCellAnchor>
  <xdr:twoCellAnchor editAs="oneCell">
    <xdr:from>
      <xdr:col>65</xdr:col>
      <xdr:colOff>97438</xdr:colOff>
      <xdr:row>25</xdr:row>
      <xdr:rowOff>141796</xdr:rowOff>
    </xdr:from>
    <xdr:to>
      <xdr:col>67</xdr:col>
      <xdr:colOff>106532</xdr:colOff>
      <xdr:row>26</xdr:row>
      <xdr:rowOff>145412</xdr:rowOff>
    </xdr:to>
    <xdr:sp macro="" textlink="">
      <xdr:nvSpPr>
        <xdr:cNvPr id="6803647" name="DXB_label">
          <a:extLst>
            <a:ext uri="{FF2B5EF4-FFF2-40B4-BE49-F238E27FC236}">
              <a16:creationId xmlns:a16="http://schemas.microsoft.com/office/drawing/2014/main" id="{00000000-0008-0000-2700-0000BFD06700}"/>
            </a:ext>
          </a:extLst>
        </xdr:cNvPr>
        <xdr:cNvSpPr txBox="1"/>
      </xdr:nvSpPr>
      <xdr:spPr>
        <a:xfrm>
          <a:off x="13136969" y="5689622"/>
          <a:ext cx="361316" cy="200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DUBAI</a:t>
          </a:r>
        </a:p>
      </xdr:txBody>
    </xdr:sp>
    <xdr:clientData fPrintsWithSheet="0"/>
  </xdr:twoCellAnchor>
  <xdr:twoCellAnchor editAs="oneCell">
    <xdr:from>
      <xdr:col>75</xdr:col>
      <xdr:colOff>7775</xdr:colOff>
      <xdr:row>25</xdr:row>
      <xdr:rowOff>62204</xdr:rowOff>
    </xdr:from>
    <xdr:to>
      <xdr:col>78</xdr:col>
      <xdr:colOff>124402</xdr:colOff>
      <xdr:row>26</xdr:row>
      <xdr:rowOff>45759</xdr:rowOff>
    </xdr:to>
    <xdr:sp macro="" textlink="">
      <xdr:nvSpPr>
        <xdr:cNvPr id="6803648" name="HKG_label">
          <a:extLst>
            <a:ext uri="{FF2B5EF4-FFF2-40B4-BE49-F238E27FC236}">
              <a16:creationId xmlns:a16="http://schemas.microsoft.com/office/drawing/2014/main" id="{00000000-0008-0000-2700-0000C0D06700}"/>
            </a:ext>
          </a:extLst>
        </xdr:cNvPr>
        <xdr:cNvSpPr txBox="1"/>
      </xdr:nvSpPr>
      <xdr:spPr>
        <a:xfrm>
          <a:off x="14835673" y="5610030"/>
          <a:ext cx="653144" cy="185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HONG KONG</a:t>
          </a:r>
        </a:p>
      </xdr:txBody>
    </xdr:sp>
    <xdr:clientData fPrintsWithSheet="0"/>
  </xdr:twoCellAnchor>
  <xdr:twoCellAnchor editAs="oneCell">
    <xdr:from>
      <xdr:col>61</xdr:col>
      <xdr:colOff>52965</xdr:colOff>
      <xdr:row>23</xdr:row>
      <xdr:rowOff>40433</xdr:rowOff>
    </xdr:from>
    <xdr:to>
      <xdr:col>65</xdr:col>
      <xdr:colOff>11654</xdr:colOff>
      <xdr:row>24</xdr:row>
      <xdr:rowOff>97583</xdr:rowOff>
    </xdr:to>
    <xdr:sp macro="" textlink="">
      <xdr:nvSpPr>
        <xdr:cNvPr id="6803649" name="IST_label">
          <a:extLst>
            <a:ext uri="{FF2B5EF4-FFF2-40B4-BE49-F238E27FC236}">
              <a16:creationId xmlns:a16="http://schemas.microsoft.com/office/drawing/2014/main" id="{00000000-0008-0000-2700-0000C1D06700}"/>
            </a:ext>
          </a:extLst>
        </xdr:cNvPr>
        <xdr:cNvSpPr txBox="1"/>
      </xdr:nvSpPr>
      <xdr:spPr>
        <a:xfrm>
          <a:off x="12377149" y="5183933"/>
          <a:ext cx="674044" cy="259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ISTANBUL</a:t>
          </a:r>
        </a:p>
      </xdr:txBody>
    </xdr:sp>
    <xdr:clientData fPrintsWithSheet="0"/>
  </xdr:twoCellAnchor>
  <xdr:twoCellAnchor editAs="oneCell">
    <xdr:from>
      <xdr:col>72</xdr:col>
      <xdr:colOff>50541</xdr:colOff>
      <xdr:row>30</xdr:row>
      <xdr:rowOff>11015</xdr:rowOff>
    </xdr:from>
    <xdr:to>
      <xdr:col>76</xdr:col>
      <xdr:colOff>26213</xdr:colOff>
      <xdr:row>30</xdr:row>
      <xdr:rowOff>181177</xdr:rowOff>
    </xdr:to>
    <xdr:sp macro="" textlink="">
      <xdr:nvSpPr>
        <xdr:cNvPr id="6803650" name="JKT_label">
          <a:extLst>
            <a:ext uri="{FF2B5EF4-FFF2-40B4-BE49-F238E27FC236}">
              <a16:creationId xmlns:a16="http://schemas.microsoft.com/office/drawing/2014/main" id="{00000000-0008-0000-2700-0000C2D06700}"/>
            </a:ext>
          </a:extLst>
        </xdr:cNvPr>
        <xdr:cNvSpPr txBox="1"/>
      </xdr:nvSpPr>
      <xdr:spPr>
        <a:xfrm>
          <a:off x="14341929" y="6569658"/>
          <a:ext cx="691011" cy="1755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JAKARTA</a:t>
          </a:r>
        </a:p>
      </xdr:txBody>
    </xdr:sp>
    <xdr:clientData fPrintsWithSheet="0"/>
  </xdr:twoCellAnchor>
  <xdr:twoCellAnchor editAs="oneCell">
    <xdr:from>
      <xdr:col>58</xdr:col>
      <xdr:colOff>104737</xdr:colOff>
      <xdr:row>28</xdr:row>
      <xdr:rowOff>17106</xdr:rowOff>
    </xdr:from>
    <xdr:to>
      <xdr:col>61</xdr:col>
      <xdr:colOff>17884</xdr:colOff>
      <xdr:row>29</xdr:row>
      <xdr:rowOff>74255</xdr:rowOff>
    </xdr:to>
    <xdr:sp macro="" textlink="">
      <xdr:nvSpPr>
        <xdr:cNvPr id="6803651" name="ZGM_label">
          <a:extLst>
            <a:ext uri="{FF2B5EF4-FFF2-40B4-BE49-F238E27FC236}">
              <a16:creationId xmlns:a16="http://schemas.microsoft.com/office/drawing/2014/main" id="{00000000-0008-0000-2700-0000C3D06700}"/>
            </a:ext>
          </a:extLst>
        </xdr:cNvPr>
        <xdr:cNvSpPr txBox="1"/>
      </xdr:nvSpPr>
      <xdr:spPr>
        <a:xfrm>
          <a:off x="11892411" y="6171422"/>
          <a:ext cx="455099" cy="259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LAGOS</a:t>
          </a:r>
        </a:p>
      </xdr:txBody>
    </xdr:sp>
    <xdr:clientData fPrintsWithSheet="0"/>
  </xdr:twoCellAnchor>
  <xdr:twoCellAnchor editAs="oneCell">
    <xdr:from>
      <xdr:col>56</xdr:col>
      <xdr:colOff>38879</xdr:colOff>
      <xdr:row>21</xdr:row>
      <xdr:rowOff>2590</xdr:rowOff>
    </xdr:from>
    <xdr:to>
      <xdr:col>59</xdr:col>
      <xdr:colOff>55665</xdr:colOff>
      <xdr:row>22</xdr:row>
      <xdr:rowOff>56436</xdr:rowOff>
    </xdr:to>
    <xdr:sp macro="" textlink="">
      <xdr:nvSpPr>
        <xdr:cNvPr id="6803652" name="LOD_label">
          <a:extLst>
            <a:ext uri="{FF2B5EF4-FFF2-40B4-BE49-F238E27FC236}">
              <a16:creationId xmlns:a16="http://schemas.microsoft.com/office/drawing/2014/main" id="{00000000-0008-0000-2700-0000C4D06700}"/>
            </a:ext>
          </a:extLst>
        </xdr:cNvPr>
        <xdr:cNvSpPr txBox="1"/>
      </xdr:nvSpPr>
      <xdr:spPr>
        <a:xfrm>
          <a:off x="11468879" y="4741764"/>
          <a:ext cx="553296" cy="26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LONDON</a:t>
          </a:r>
        </a:p>
      </xdr:txBody>
    </xdr:sp>
    <xdr:clientData fPrintsWithSheet="0"/>
  </xdr:twoCellAnchor>
  <xdr:twoCellAnchor editAs="oneCell">
    <xdr:from>
      <xdr:col>62</xdr:col>
      <xdr:colOff>24104</xdr:colOff>
      <xdr:row>26</xdr:row>
      <xdr:rowOff>166395</xdr:rowOff>
    </xdr:from>
    <xdr:to>
      <xdr:col>66</xdr:col>
      <xdr:colOff>11013</xdr:colOff>
      <xdr:row>27</xdr:row>
      <xdr:rowOff>124400</xdr:rowOff>
    </xdr:to>
    <xdr:sp macro="" textlink="">
      <xdr:nvSpPr>
        <xdr:cNvPr id="6803653" name="ADD_label">
          <a:extLst>
            <a:ext uri="{FF2B5EF4-FFF2-40B4-BE49-F238E27FC236}">
              <a16:creationId xmlns:a16="http://schemas.microsoft.com/office/drawing/2014/main" id="{00000000-0008-0000-2700-0000C5D06700}"/>
            </a:ext>
          </a:extLst>
        </xdr:cNvPr>
        <xdr:cNvSpPr txBox="1"/>
      </xdr:nvSpPr>
      <xdr:spPr>
        <a:xfrm>
          <a:off x="12559004" y="5914052"/>
          <a:ext cx="705374" cy="159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ADDIS</a:t>
          </a:r>
          <a:r>
            <a:rPr lang="en-GB" sz="800" b="0" baseline="0">
              <a:solidFill>
                <a:srgbClr val="000000"/>
              </a:solidFill>
            </a:rPr>
            <a:t> ABABA</a:t>
          </a:r>
          <a:endParaRPr lang="en-GB" sz="800" b="0">
            <a:solidFill>
              <a:srgbClr val="000000"/>
            </a:solidFill>
          </a:endParaRPr>
        </a:p>
      </xdr:txBody>
    </xdr:sp>
    <xdr:clientData fPrintsWithSheet="0"/>
  </xdr:twoCellAnchor>
  <xdr:twoCellAnchor editAs="oneCell">
    <xdr:from>
      <xdr:col>76</xdr:col>
      <xdr:colOff>139959</xdr:colOff>
      <xdr:row>34</xdr:row>
      <xdr:rowOff>94084</xdr:rowOff>
    </xdr:from>
    <xdr:to>
      <xdr:col>80</xdr:col>
      <xdr:colOff>172752</xdr:colOff>
      <xdr:row>35</xdr:row>
      <xdr:rowOff>64545</xdr:rowOff>
    </xdr:to>
    <xdr:sp macro="" textlink="">
      <xdr:nvSpPr>
        <xdr:cNvPr id="6803654" name="MEL_label">
          <a:extLst>
            <a:ext uri="{FF2B5EF4-FFF2-40B4-BE49-F238E27FC236}">
              <a16:creationId xmlns:a16="http://schemas.microsoft.com/office/drawing/2014/main" id="{00000000-0008-0000-2700-0000C6D06700}"/>
            </a:ext>
          </a:extLst>
        </xdr:cNvPr>
        <xdr:cNvSpPr txBox="1"/>
      </xdr:nvSpPr>
      <xdr:spPr>
        <a:xfrm>
          <a:off x="15146694" y="7461380"/>
          <a:ext cx="748139" cy="178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MELBOURNE</a:t>
          </a:r>
        </a:p>
      </xdr:txBody>
    </xdr:sp>
    <xdr:clientData fPrintsWithSheet="0"/>
  </xdr:twoCellAnchor>
  <xdr:twoCellAnchor editAs="oneCell">
    <xdr:from>
      <xdr:col>44</xdr:col>
      <xdr:colOff>171062</xdr:colOff>
      <xdr:row>26</xdr:row>
      <xdr:rowOff>73089</xdr:rowOff>
    </xdr:from>
    <xdr:to>
      <xdr:col>48</xdr:col>
      <xdr:colOff>141397</xdr:colOff>
      <xdr:row>27</xdr:row>
      <xdr:rowOff>48200</xdr:rowOff>
    </xdr:to>
    <xdr:sp macro="" textlink="">
      <xdr:nvSpPr>
        <xdr:cNvPr id="6803655" name="MEX_label">
          <a:extLst>
            <a:ext uri="{FF2B5EF4-FFF2-40B4-BE49-F238E27FC236}">
              <a16:creationId xmlns:a16="http://schemas.microsoft.com/office/drawing/2014/main" id="{00000000-0008-0000-2700-0000C7D06700}"/>
            </a:ext>
          </a:extLst>
        </xdr:cNvPr>
        <xdr:cNvSpPr txBox="1"/>
      </xdr:nvSpPr>
      <xdr:spPr>
        <a:xfrm>
          <a:off x="9455021" y="5823079"/>
          <a:ext cx="685674" cy="171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MEXICO CITY</a:t>
          </a:r>
        </a:p>
      </xdr:txBody>
    </xdr:sp>
    <xdr:clientData fPrintsWithSheet="0"/>
  </xdr:twoCellAnchor>
  <xdr:twoCellAnchor editAs="oneCell">
    <xdr:from>
      <xdr:col>59</xdr:col>
      <xdr:colOff>171959</xdr:colOff>
      <xdr:row>20</xdr:row>
      <xdr:rowOff>113995</xdr:rowOff>
    </xdr:from>
    <xdr:to>
      <xdr:col>62</xdr:col>
      <xdr:colOff>11656</xdr:colOff>
      <xdr:row>21</xdr:row>
      <xdr:rowOff>83966</xdr:rowOff>
    </xdr:to>
    <xdr:sp macro="" textlink="">
      <xdr:nvSpPr>
        <xdr:cNvPr id="6803656" name="BER_label">
          <a:extLst>
            <a:ext uri="{FF2B5EF4-FFF2-40B4-BE49-F238E27FC236}">
              <a16:creationId xmlns:a16="http://schemas.microsoft.com/office/drawing/2014/main" id="{00000000-0008-0000-2700-0000C8D06700}"/>
            </a:ext>
          </a:extLst>
        </xdr:cNvPr>
        <xdr:cNvSpPr txBox="1"/>
      </xdr:nvSpPr>
      <xdr:spPr>
        <a:xfrm>
          <a:off x="12138469" y="4651005"/>
          <a:ext cx="376216" cy="177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BERLIN</a:t>
          </a:r>
        </a:p>
      </xdr:txBody>
    </xdr:sp>
    <xdr:clientData fPrintsWithSheet="0"/>
  </xdr:twoCellAnchor>
  <xdr:twoCellAnchor editAs="oneCell">
    <xdr:from>
      <xdr:col>67</xdr:col>
      <xdr:colOff>133203</xdr:colOff>
      <xdr:row>23</xdr:row>
      <xdr:rowOff>196721</xdr:rowOff>
    </xdr:from>
    <xdr:to>
      <xdr:col>69</xdr:col>
      <xdr:colOff>144634</xdr:colOff>
      <xdr:row>24</xdr:row>
      <xdr:rowOff>171879</xdr:rowOff>
    </xdr:to>
    <xdr:sp macro="" textlink="">
      <xdr:nvSpPr>
        <xdr:cNvPr id="6803657" name="DLI_label">
          <a:extLst>
            <a:ext uri="{FF2B5EF4-FFF2-40B4-BE49-F238E27FC236}">
              <a16:creationId xmlns:a16="http://schemas.microsoft.com/office/drawing/2014/main" id="{00000000-0008-0000-2700-0000C9D06700}"/>
            </a:ext>
          </a:extLst>
        </xdr:cNvPr>
        <xdr:cNvSpPr txBox="1"/>
      </xdr:nvSpPr>
      <xdr:spPr>
        <a:xfrm>
          <a:off x="13566174" y="5340221"/>
          <a:ext cx="365209" cy="171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DELHI</a:t>
          </a:r>
        </a:p>
      </xdr:txBody>
    </xdr:sp>
    <xdr:clientData fPrintsWithSheet="0"/>
  </xdr:twoCellAnchor>
  <xdr:twoCellAnchor editAs="oneCell">
    <xdr:from>
      <xdr:col>47</xdr:col>
      <xdr:colOff>155187</xdr:colOff>
      <xdr:row>23</xdr:row>
      <xdr:rowOff>31103</xdr:rowOff>
    </xdr:from>
    <xdr:to>
      <xdr:col>52</xdr:col>
      <xdr:colOff>146958</xdr:colOff>
      <xdr:row>24</xdr:row>
      <xdr:rowOff>27215</xdr:rowOff>
    </xdr:to>
    <xdr:sp macro="" textlink="">
      <xdr:nvSpPr>
        <xdr:cNvPr id="6803658" name="NYC_label">
          <a:extLst>
            <a:ext uri="{FF2B5EF4-FFF2-40B4-BE49-F238E27FC236}">
              <a16:creationId xmlns:a16="http://schemas.microsoft.com/office/drawing/2014/main" id="{00000000-0008-0000-2700-0000CAD06700}"/>
            </a:ext>
          </a:extLst>
        </xdr:cNvPr>
        <xdr:cNvSpPr txBox="1"/>
      </xdr:nvSpPr>
      <xdr:spPr>
        <a:xfrm>
          <a:off x="10191816" y="5163717"/>
          <a:ext cx="889842" cy="1974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NEW YORK CITY</a:t>
          </a:r>
        </a:p>
      </xdr:txBody>
    </xdr:sp>
    <xdr:clientData fPrintsWithSheet="0"/>
  </xdr:twoCellAnchor>
  <xdr:twoCellAnchor editAs="oneCell">
    <xdr:from>
      <xdr:col>57</xdr:col>
      <xdr:colOff>69980</xdr:colOff>
      <xdr:row>21</xdr:row>
      <xdr:rowOff>182724</xdr:rowOff>
    </xdr:from>
    <xdr:to>
      <xdr:col>59</xdr:col>
      <xdr:colOff>94143</xdr:colOff>
      <xdr:row>22</xdr:row>
      <xdr:rowOff>182667</xdr:rowOff>
    </xdr:to>
    <xdr:sp macro="" textlink="">
      <xdr:nvSpPr>
        <xdr:cNvPr id="6803659" name="PAR_label">
          <a:extLst>
            <a:ext uri="{FF2B5EF4-FFF2-40B4-BE49-F238E27FC236}">
              <a16:creationId xmlns:a16="http://schemas.microsoft.com/office/drawing/2014/main" id="{00000000-0008-0000-2700-0000CBD06700}"/>
            </a:ext>
          </a:extLst>
        </xdr:cNvPr>
        <xdr:cNvSpPr txBox="1"/>
      </xdr:nvSpPr>
      <xdr:spPr>
        <a:xfrm>
          <a:off x="11678816" y="4921898"/>
          <a:ext cx="387280" cy="2020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PARIS</a:t>
          </a:r>
        </a:p>
      </xdr:txBody>
    </xdr:sp>
    <xdr:clientData fPrintsWithSheet="0"/>
  </xdr:twoCellAnchor>
  <xdr:twoCellAnchor editAs="oneCell">
    <xdr:from>
      <xdr:col>53</xdr:col>
      <xdr:colOff>34989</xdr:colOff>
      <xdr:row>31</xdr:row>
      <xdr:rowOff>134516</xdr:rowOff>
    </xdr:from>
    <xdr:to>
      <xdr:col>56</xdr:col>
      <xdr:colOff>171195</xdr:colOff>
      <xdr:row>32</xdr:row>
      <xdr:rowOff>191666</xdr:rowOff>
    </xdr:to>
    <xdr:sp macro="" textlink="">
      <xdr:nvSpPr>
        <xdr:cNvPr id="6803661" name="SPF_label">
          <a:extLst>
            <a:ext uri="{FF2B5EF4-FFF2-40B4-BE49-F238E27FC236}">
              <a16:creationId xmlns:a16="http://schemas.microsoft.com/office/drawing/2014/main" id="{00000000-0008-0000-2700-0000CDD06700}"/>
            </a:ext>
          </a:extLst>
        </xdr:cNvPr>
        <xdr:cNvSpPr txBox="1"/>
      </xdr:nvSpPr>
      <xdr:spPr>
        <a:xfrm>
          <a:off x="10928479" y="6895322"/>
          <a:ext cx="678158" cy="259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SÃO PAULO</a:t>
          </a:r>
        </a:p>
      </xdr:txBody>
    </xdr:sp>
    <xdr:clientData fPrintsWithSheet="0"/>
  </xdr:twoCellAnchor>
  <xdr:twoCellAnchor editAs="oneCell">
    <xdr:from>
      <xdr:col>74</xdr:col>
      <xdr:colOff>19438</xdr:colOff>
      <xdr:row>24</xdr:row>
      <xdr:rowOff>93926</xdr:rowOff>
    </xdr:from>
    <xdr:to>
      <xdr:col>76</xdr:col>
      <xdr:colOff>171359</xdr:colOff>
      <xdr:row>25</xdr:row>
      <xdr:rowOff>64546</xdr:rowOff>
    </xdr:to>
    <xdr:sp macro="" textlink="">
      <xdr:nvSpPr>
        <xdr:cNvPr id="6803662" name="SGH_label">
          <a:extLst>
            <a:ext uri="{FF2B5EF4-FFF2-40B4-BE49-F238E27FC236}">
              <a16:creationId xmlns:a16="http://schemas.microsoft.com/office/drawing/2014/main" id="{00000000-0008-0000-2700-0000CED06700}"/>
            </a:ext>
          </a:extLst>
        </xdr:cNvPr>
        <xdr:cNvSpPr txBox="1"/>
      </xdr:nvSpPr>
      <xdr:spPr>
        <a:xfrm>
          <a:off x="14668499" y="5439590"/>
          <a:ext cx="509595" cy="178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SHANGHAI</a:t>
          </a:r>
        </a:p>
      </xdr:txBody>
    </xdr:sp>
    <xdr:clientData fPrintsWithSheet="0"/>
  </xdr:twoCellAnchor>
  <xdr:twoCellAnchor editAs="oneCell">
    <xdr:from>
      <xdr:col>73</xdr:col>
      <xdr:colOff>89419</xdr:colOff>
      <xdr:row>28</xdr:row>
      <xdr:rowOff>65314</xdr:rowOff>
    </xdr:from>
    <xdr:to>
      <xdr:col>76</xdr:col>
      <xdr:colOff>140528</xdr:colOff>
      <xdr:row>29</xdr:row>
      <xdr:rowOff>123652</xdr:rowOff>
    </xdr:to>
    <xdr:sp macro="" textlink="">
      <xdr:nvSpPr>
        <xdr:cNvPr id="6803663" name="SIN_label">
          <a:extLst>
            <a:ext uri="{FF2B5EF4-FFF2-40B4-BE49-F238E27FC236}">
              <a16:creationId xmlns:a16="http://schemas.microsoft.com/office/drawing/2014/main" id="{00000000-0008-0000-2700-0000CFD06700}"/>
            </a:ext>
          </a:extLst>
        </xdr:cNvPr>
        <xdr:cNvSpPr txBox="1"/>
      </xdr:nvSpPr>
      <xdr:spPr>
        <a:xfrm>
          <a:off x="14559643" y="6219630"/>
          <a:ext cx="587612" cy="260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SINGAPORE</a:t>
          </a:r>
        </a:p>
      </xdr:txBody>
    </xdr:sp>
    <xdr:clientData fPrintsWithSheet="0"/>
  </xdr:twoCellAnchor>
  <xdr:twoCellAnchor editAs="oneCell">
    <xdr:from>
      <xdr:col>78</xdr:col>
      <xdr:colOff>66090</xdr:colOff>
      <xdr:row>23</xdr:row>
      <xdr:rowOff>73867</xdr:rowOff>
    </xdr:from>
    <xdr:to>
      <xdr:col>80</xdr:col>
      <xdr:colOff>45481</xdr:colOff>
      <xdr:row>24</xdr:row>
      <xdr:rowOff>38878</xdr:rowOff>
    </xdr:to>
    <xdr:sp macro="" textlink="">
      <xdr:nvSpPr>
        <xdr:cNvPr id="6803664" name="TYO_label">
          <a:extLst>
            <a:ext uri="{FF2B5EF4-FFF2-40B4-BE49-F238E27FC236}">
              <a16:creationId xmlns:a16="http://schemas.microsoft.com/office/drawing/2014/main" id="{00000000-0008-0000-2700-0000D0D06700}"/>
            </a:ext>
          </a:extLst>
        </xdr:cNvPr>
        <xdr:cNvSpPr txBox="1"/>
      </xdr:nvSpPr>
      <xdr:spPr>
        <a:xfrm>
          <a:off x="15430498" y="5217367"/>
          <a:ext cx="337073" cy="16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TOKYO</a:t>
          </a:r>
        </a:p>
      </xdr:txBody>
    </xdr:sp>
    <xdr:clientData fPrintsWithSheet="0"/>
  </xdr:twoCellAnchor>
  <xdr:twoCellAnchor editAs="oneCell">
    <xdr:from>
      <xdr:col>58</xdr:col>
      <xdr:colOff>137627</xdr:colOff>
      <xdr:row>23</xdr:row>
      <xdr:rowOff>178264</xdr:rowOff>
    </xdr:from>
    <xdr:to>
      <xdr:col>61</xdr:col>
      <xdr:colOff>38263</xdr:colOff>
      <xdr:row>25</xdr:row>
      <xdr:rowOff>16628</xdr:rowOff>
    </xdr:to>
    <xdr:sp macro="" textlink="">
      <xdr:nvSpPr>
        <xdr:cNvPr id="6803665" name="UAY_label">
          <a:extLst>
            <a:ext uri="{FF2B5EF4-FFF2-40B4-BE49-F238E27FC236}">
              <a16:creationId xmlns:a16="http://schemas.microsoft.com/office/drawing/2014/main" id="{00000000-0008-0000-2700-0000D1D06700}"/>
            </a:ext>
          </a:extLst>
        </xdr:cNvPr>
        <xdr:cNvSpPr txBox="1"/>
      </xdr:nvSpPr>
      <xdr:spPr>
        <a:xfrm>
          <a:off x="11954070" y="5321764"/>
          <a:ext cx="439479" cy="2465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ALGIERS</a:t>
          </a:r>
        </a:p>
      </xdr:txBody>
    </xdr:sp>
    <xdr:clientData fPrintsWithSheet="0"/>
  </xdr:twoCellAnchor>
  <xdr:twoCellAnchor>
    <xdr:from>
      <xdr:col>47</xdr:col>
      <xdr:colOff>150297</xdr:colOff>
      <xdr:row>23</xdr:row>
      <xdr:rowOff>167473</xdr:rowOff>
    </xdr:from>
    <xdr:to>
      <xdr:col>48</xdr:col>
      <xdr:colOff>108447</xdr:colOff>
      <xdr:row>24</xdr:row>
      <xdr:rowOff>97048</xdr:rowOff>
    </xdr:to>
    <xdr:sp macro="" textlink="">
      <xdr:nvSpPr>
        <xdr:cNvPr id="32" name="A2N">
          <a:extLst>
            <a:ext uri="{FF2B5EF4-FFF2-40B4-BE49-F238E27FC236}">
              <a16:creationId xmlns:a16="http://schemas.microsoft.com/office/drawing/2014/main" id="{00000000-0008-0000-2700-000020000000}"/>
            </a:ext>
          </a:extLst>
        </xdr:cNvPr>
        <xdr:cNvSpPr/>
      </xdr:nvSpPr>
      <xdr:spPr>
        <a:xfrm>
          <a:off x="10035363" y="5317253"/>
          <a:ext cx="138183" cy="130542"/>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46</xdr:col>
      <xdr:colOff>104969</xdr:colOff>
      <xdr:row>24</xdr:row>
      <xdr:rowOff>70543</xdr:rowOff>
    </xdr:from>
    <xdr:to>
      <xdr:col>50</xdr:col>
      <xdr:colOff>88034</xdr:colOff>
      <xdr:row>25</xdr:row>
      <xdr:rowOff>38877</xdr:rowOff>
    </xdr:to>
    <xdr:sp macro="" textlink="">
      <xdr:nvSpPr>
        <xdr:cNvPr id="33" name="A2N_label">
          <a:extLst>
            <a:ext uri="{FF2B5EF4-FFF2-40B4-BE49-F238E27FC236}">
              <a16:creationId xmlns:a16="http://schemas.microsoft.com/office/drawing/2014/main" id="{00000000-0008-0000-2700-000021000000}"/>
            </a:ext>
          </a:extLst>
        </xdr:cNvPr>
        <xdr:cNvSpPr txBox="1"/>
      </xdr:nvSpPr>
      <xdr:spPr>
        <a:xfrm>
          <a:off x="9746602" y="5416207"/>
          <a:ext cx="692975" cy="1704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ATLANTA</a:t>
          </a:r>
        </a:p>
      </xdr:txBody>
    </xdr:sp>
    <xdr:clientData fPrintsWithSheet="0"/>
  </xdr:twoCellAnchor>
  <xdr:twoCellAnchor>
    <xdr:from>
      <xdr:col>82</xdr:col>
      <xdr:colOff>49813</xdr:colOff>
      <xdr:row>33</xdr:row>
      <xdr:rowOff>180034</xdr:rowOff>
    </xdr:from>
    <xdr:to>
      <xdr:col>83</xdr:col>
      <xdr:colOff>7963</xdr:colOff>
      <xdr:row>34</xdr:row>
      <xdr:rowOff>109609</xdr:rowOff>
    </xdr:to>
    <xdr:sp macro="" textlink="">
      <xdr:nvSpPr>
        <xdr:cNvPr id="34" name="AKL">
          <a:extLst>
            <a:ext uri="{FF2B5EF4-FFF2-40B4-BE49-F238E27FC236}">
              <a16:creationId xmlns:a16="http://schemas.microsoft.com/office/drawing/2014/main" id="{00000000-0008-0000-2700-000022000000}"/>
            </a:ext>
          </a:extLst>
        </xdr:cNvPr>
        <xdr:cNvSpPr/>
      </xdr:nvSpPr>
      <xdr:spPr>
        <a:xfrm>
          <a:off x="16236033" y="7339485"/>
          <a:ext cx="138183" cy="130542"/>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81</xdr:col>
      <xdr:colOff>54428</xdr:colOff>
      <xdr:row>34</xdr:row>
      <xdr:rowOff>81610</xdr:rowOff>
    </xdr:from>
    <xdr:to>
      <xdr:col>84</xdr:col>
      <xdr:colOff>149889</xdr:colOff>
      <xdr:row>35</xdr:row>
      <xdr:rowOff>73869</xdr:rowOff>
    </xdr:to>
    <xdr:sp macro="" textlink="">
      <xdr:nvSpPr>
        <xdr:cNvPr id="35" name="AKL_label">
          <a:extLst>
            <a:ext uri="{FF2B5EF4-FFF2-40B4-BE49-F238E27FC236}">
              <a16:creationId xmlns:a16="http://schemas.microsoft.com/office/drawing/2014/main" id="{00000000-0008-0000-2700-000023000000}"/>
            </a:ext>
          </a:extLst>
        </xdr:cNvPr>
        <xdr:cNvSpPr txBox="1"/>
      </xdr:nvSpPr>
      <xdr:spPr>
        <a:xfrm>
          <a:off x="15955347" y="7448906"/>
          <a:ext cx="631971" cy="1944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AUCKLAND</a:t>
          </a:r>
        </a:p>
      </xdr:txBody>
    </xdr:sp>
    <xdr:clientData fPrintsWithSheet="0"/>
  </xdr:twoCellAnchor>
  <xdr:twoCellAnchor>
    <xdr:from>
      <xdr:col>74</xdr:col>
      <xdr:colOff>112616</xdr:colOff>
      <xdr:row>22</xdr:row>
      <xdr:rowOff>120825</xdr:rowOff>
    </xdr:from>
    <xdr:to>
      <xdr:col>75</xdr:col>
      <xdr:colOff>70766</xdr:colOff>
      <xdr:row>23</xdr:row>
      <xdr:rowOff>50400</xdr:rowOff>
    </xdr:to>
    <xdr:sp macro="" textlink="">
      <xdr:nvSpPr>
        <xdr:cNvPr id="36" name="BJS">
          <a:extLst>
            <a:ext uri="{FF2B5EF4-FFF2-40B4-BE49-F238E27FC236}">
              <a16:creationId xmlns:a16="http://schemas.microsoft.com/office/drawing/2014/main" id="{00000000-0008-0000-2700-000024000000}"/>
            </a:ext>
          </a:extLst>
        </xdr:cNvPr>
        <xdr:cNvSpPr/>
      </xdr:nvSpPr>
      <xdr:spPr>
        <a:xfrm>
          <a:off x="14858572" y="5069638"/>
          <a:ext cx="138183" cy="130542"/>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73</xdr:col>
      <xdr:colOff>19439</xdr:colOff>
      <xdr:row>21</xdr:row>
      <xdr:rowOff>182723</xdr:rowOff>
    </xdr:from>
    <xdr:to>
      <xdr:col>76</xdr:col>
      <xdr:colOff>104139</xdr:colOff>
      <xdr:row>22</xdr:row>
      <xdr:rowOff>142926</xdr:rowOff>
    </xdr:to>
    <xdr:sp macro="" textlink="">
      <xdr:nvSpPr>
        <xdr:cNvPr id="37" name="BJS_label">
          <a:extLst>
            <a:ext uri="{FF2B5EF4-FFF2-40B4-BE49-F238E27FC236}">
              <a16:creationId xmlns:a16="http://schemas.microsoft.com/office/drawing/2014/main" id="{00000000-0008-0000-2700-000025000000}"/>
            </a:ext>
          </a:extLst>
        </xdr:cNvPr>
        <xdr:cNvSpPr txBox="1"/>
      </xdr:nvSpPr>
      <xdr:spPr>
        <a:xfrm>
          <a:off x="14489663" y="4921897"/>
          <a:ext cx="621203" cy="167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BEIJING</a:t>
          </a:r>
        </a:p>
      </xdr:txBody>
    </xdr:sp>
    <xdr:clientData fPrintsWithSheet="0"/>
  </xdr:twoCellAnchor>
  <xdr:twoCellAnchor>
    <xdr:from>
      <xdr:col>48</xdr:col>
      <xdr:colOff>179606</xdr:colOff>
      <xdr:row>28</xdr:row>
      <xdr:rowOff>4188</xdr:rowOff>
    </xdr:from>
    <xdr:to>
      <xdr:col>49</xdr:col>
      <xdr:colOff>137756</xdr:colOff>
      <xdr:row>28</xdr:row>
      <xdr:rowOff>133788</xdr:rowOff>
    </xdr:to>
    <xdr:sp macro="" textlink="">
      <xdr:nvSpPr>
        <xdr:cNvPr id="38" name="B6Y">
          <a:extLst>
            <a:ext uri="{FF2B5EF4-FFF2-40B4-BE49-F238E27FC236}">
              <a16:creationId xmlns:a16="http://schemas.microsoft.com/office/drawing/2014/main" id="{00000000-0008-0000-2700-000026000000}"/>
            </a:ext>
          </a:extLst>
        </xdr:cNvPr>
        <xdr:cNvSpPr/>
      </xdr:nvSpPr>
      <xdr:spPr>
        <a:xfrm>
          <a:off x="10244705" y="6158803"/>
          <a:ext cx="138183" cy="129600"/>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46</xdr:col>
      <xdr:colOff>110054</xdr:colOff>
      <xdr:row>27</xdr:row>
      <xdr:rowOff>129414</xdr:rowOff>
    </xdr:from>
    <xdr:to>
      <xdr:col>49</xdr:col>
      <xdr:colOff>16748</xdr:colOff>
      <xdr:row>28</xdr:row>
      <xdr:rowOff>182325</xdr:rowOff>
    </xdr:to>
    <xdr:sp macro="" textlink="">
      <xdr:nvSpPr>
        <xdr:cNvPr id="39" name="B6Y_label">
          <a:extLst>
            <a:ext uri="{FF2B5EF4-FFF2-40B4-BE49-F238E27FC236}">
              <a16:creationId xmlns:a16="http://schemas.microsoft.com/office/drawing/2014/main" id="{00000000-0008-0000-2700-000027000000}"/>
            </a:ext>
          </a:extLst>
        </xdr:cNvPr>
        <xdr:cNvSpPr txBox="1"/>
      </xdr:nvSpPr>
      <xdr:spPr>
        <a:xfrm>
          <a:off x="9815087" y="6083062"/>
          <a:ext cx="446793" cy="259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800" b="0">
              <a:solidFill>
                <a:srgbClr val="000000"/>
              </a:solidFill>
              <a:latin typeface="+mn-lt"/>
              <a:ea typeface="+mn-ea"/>
              <a:cs typeface="+mn-cs"/>
            </a:rPr>
            <a:t>BOGOTÁ</a:t>
          </a:r>
          <a:endParaRPr lang="en-GB" sz="800" b="0">
            <a:solidFill>
              <a:srgbClr val="000000"/>
            </a:solidFill>
            <a:latin typeface="+mn-lt"/>
            <a:ea typeface="+mn-ea"/>
            <a:cs typeface="+mn-cs"/>
            <a:hlinkClick xmlns:r="http://schemas.openxmlformats.org/officeDocument/2006/relationships" r:id="">
              <a:extLst>
                <a:ext uri="{A12FA001-AC4F-418D-AE19-62706E023703}">
                  <ahyp:hlinkClr xmlns:ahyp="http://schemas.microsoft.com/office/drawing/2018/hyperlinkcolor" val="tx"/>
                </a:ext>
              </a:extLst>
            </a:hlinkClick>
          </a:endParaRPr>
        </a:p>
      </xdr:txBody>
    </xdr:sp>
    <xdr:clientData fPrintsWithSheet="0"/>
  </xdr:twoCellAnchor>
  <xdr:twoCellAnchor>
    <xdr:from>
      <xdr:col>69</xdr:col>
      <xdr:colOff>150297</xdr:colOff>
      <xdr:row>27</xdr:row>
      <xdr:rowOff>138166</xdr:rowOff>
    </xdr:from>
    <xdr:to>
      <xdr:col>70</xdr:col>
      <xdr:colOff>99865</xdr:colOff>
      <xdr:row>28</xdr:row>
      <xdr:rowOff>67741</xdr:rowOff>
    </xdr:to>
    <xdr:sp macro="" textlink="">
      <xdr:nvSpPr>
        <xdr:cNvPr id="40" name="COX">
          <a:extLst>
            <a:ext uri="{FF2B5EF4-FFF2-40B4-BE49-F238E27FC236}">
              <a16:creationId xmlns:a16="http://schemas.microsoft.com/office/drawing/2014/main" id="{00000000-0008-0000-2700-000028000000}"/>
            </a:ext>
          </a:extLst>
        </xdr:cNvPr>
        <xdr:cNvSpPr/>
      </xdr:nvSpPr>
      <xdr:spPr>
        <a:xfrm>
          <a:off x="13996089" y="6091814"/>
          <a:ext cx="129600" cy="130542"/>
        </a:xfrm>
        <a:prstGeom prst="ellipse">
          <a:avLst/>
        </a:prstGeom>
        <a:solidFill>
          <a:srgbClr val="FEE08B"/>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67</xdr:col>
      <xdr:colOff>132185</xdr:colOff>
      <xdr:row>28</xdr:row>
      <xdr:rowOff>22351</xdr:rowOff>
    </xdr:from>
    <xdr:to>
      <xdr:col>70</xdr:col>
      <xdr:colOff>169210</xdr:colOff>
      <xdr:row>29</xdr:row>
      <xdr:rowOff>0</xdr:rowOff>
    </xdr:to>
    <xdr:sp macro="" textlink="">
      <xdr:nvSpPr>
        <xdr:cNvPr id="41" name="COX_label">
          <a:extLst>
            <a:ext uri="{FF2B5EF4-FFF2-40B4-BE49-F238E27FC236}">
              <a16:creationId xmlns:a16="http://schemas.microsoft.com/office/drawing/2014/main" id="{00000000-0008-0000-2700-000029000000}"/>
            </a:ext>
          </a:extLst>
        </xdr:cNvPr>
        <xdr:cNvSpPr txBox="1"/>
      </xdr:nvSpPr>
      <xdr:spPr>
        <a:xfrm>
          <a:off x="13529389" y="6176667"/>
          <a:ext cx="578977" cy="179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COLOMBO</a:t>
          </a:r>
        </a:p>
      </xdr:txBody>
    </xdr:sp>
    <xdr:clientData fPrintsWithSheet="0"/>
  </xdr:twoCellAnchor>
  <xdr:twoCellAnchor>
    <xdr:from>
      <xdr:col>62</xdr:col>
      <xdr:colOff>68355</xdr:colOff>
      <xdr:row>19</xdr:row>
      <xdr:rowOff>159398</xdr:rowOff>
    </xdr:from>
    <xdr:to>
      <xdr:col>63</xdr:col>
      <xdr:colOff>19119</xdr:colOff>
      <xdr:row>20</xdr:row>
      <xdr:rowOff>88973</xdr:rowOff>
    </xdr:to>
    <xdr:sp macro="" textlink="">
      <xdr:nvSpPr>
        <xdr:cNvPr id="42" name="HEL">
          <a:extLst>
            <a:ext uri="{FF2B5EF4-FFF2-40B4-BE49-F238E27FC236}">
              <a16:creationId xmlns:a16="http://schemas.microsoft.com/office/drawing/2014/main" id="{00000000-0008-0000-2700-00002A000000}"/>
            </a:ext>
          </a:extLst>
        </xdr:cNvPr>
        <xdr:cNvSpPr/>
      </xdr:nvSpPr>
      <xdr:spPr>
        <a:xfrm>
          <a:off x="12571376" y="4494245"/>
          <a:ext cx="129600" cy="131738"/>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61</xdr:col>
      <xdr:colOff>38877</xdr:colOff>
      <xdr:row>19</xdr:row>
      <xdr:rowOff>15551</xdr:rowOff>
    </xdr:from>
    <xdr:to>
      <xdr:col>64</xdr:col>
      <xdr:colOff>19440</xdr:colOff>
      <xdr:row>20</xdr:row>
      <xdr:rowOff>9258</xdr:rowOff>
    </xdr:to>
    <xdr:sp macro="" textlink="">
      <xdr:nvSpPr>
        <xdr:cNvPr id="43" name="HEL_label">
          <a:extLst>
            <a:ext uri="{FF2B5EF4-FFF2-40B4-BE49-F238E27FC236}">
              <a16:creationId xmlns:a16="http://schemas.microsoft.com/office/drawing/2014/main" id="{00000000-0008-0000-2700-00002B000000}"/>
            </a:ext>
          </a:extLst>
        </xdr:cNvPr>
        <xdr:cNvSpPr txBox="1"/>
      </xdr:nvSpPr>
      <xdr:spPr>
        <a:xfrm>
          <a:off x="12363061" y="4350398"/>
          <a:ext cx="517072" cy="195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HELSINKI</a:t>
          </a:r>
        </a:p>
      </xdr:txBody>
    </xdr:sp>
    <xdr:clientData fPrintsWithSheet="0"/>
  </xdr:twoCellAnchor>
  <xdr:twoCellAnchor>
    <xdr:from>
      <xdr:col>73</xdr:col>
      <xdr:colOff>60582</xdr:colOff>
      <xdr:row>27</xdr:row>
      <xdr:rowOff>42765</xdr:rowOff>
    </xdr:from>
    <xdr:to>
      <xdr:col>74</xdr:col>
      <xdr:colOff>11345</xdr:colOff>
      <xdr:row>27</xdr:row>
      <xdr:rowOff>174503</xdr:rowOff>
    </xdr:to>
    <xdr:sp macro="" textlink="">
      <xdr:nvSpPr>
        <xdr:cNvPr id="44" name="SGN">
          <a:extLst>
            <a:ext uri="{FF2B5EF4-FFF2-40B4-BE49-F238E27FC236}">
              <a16:creationId xmlns:a16="http://schemas.microsoft.com/office/drawing/2014/main" id="{00000000-0008-0000-2700-00002C000000}"/>
            </a:ext>
          </a:extLst>
        </xdr:cNvPr>
        <xdr:cNvSpPr/>
      </xdr:nvSpPr>
      <xdr:spPr>
        <a:xfrm>
          <a:off x="14530806" y="5994918"/>
          <a:ext cx="129600" cy="131738"/>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72</xdr:col>
      <xdr:colOff>120521</xdr:colOff>
      <xdr:row>27</xdr:row>
      <xdr:rowOff>115077</xdr:rowOff>
    </xdr:from>
    <xdr:to>
      <xdr:col>76</xdr:col>
      <xdr:colOff>56762</xdr:colOff>
      <xdr:row>28</xdr:row>
      <xdr:rowOff>103356</xdr:rowOff>
    </xdr:to>
    <xdr:sp macro="" textlink="">
      <xdr:nvSpPr>
        <xdr:cNvPr id="45" name="SGN_label">
          <a:extLst>
            <a:ext uri="{FF2B5EF4-FFF2-40B4-BE49-F238E27FC236}">
              <a16:creationId xmlns:a16="http://schemas.microsoft.com/office/drawing/2014/main" id="{00000000-0008-0000-2700-00002D000000}"/>
            </a:ext>
          </a:extLst>
        </xdr:cNvPr>
        <xdr:cNvSpPr txBox="1"/>
      </xdr:nvSpPr>
      <xdr:spPr>
        <a:xfrm>
          <a:off x="14451564" y="6064120"/>
          <a:ext cx="660140" cy="195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HO CHI MINH</a:t>
          </a:r>
        </a:p>
      </xdr:txBody>
    </xdr:sp>
    <xdr:clientData fPrintsWithSheet="0"/>
  </xdr:twoCellAnchor>
  <xdr:twoCellAnchor>
    <xdr:from>
      <xdr:col>62</xdr:col>
      <xdr:colOff>130560</xdr:colOff>
      <xdr:row>32</xdr:row>
      <xdr:rowOff>54429</xdr:rowOff>
    </xdr:from>
    <xdr:to>
      <xdr:col>63</xdr:col>
      <xdr:colOff>81324</xdr:colOff>
      <xdr:row>32</xdr:row>
      <xdr:rowOff>186167</xdr:rowOff>
    </xdr:to>
    <xdr:sp macro="" textlink="">
      <xdr:nvSpPr>
        <xdr:cNvPr id="46" name="JNB">
          <a:extLst>
            <a:ext uri="{FF2B5EF4-FFF2-40B4-BE49-F238E27FC236}">
              <a16:creationId xmlns:a16="http://schemas.microsoft.com/office/drawing/2014/main" id="{00000000-0008-0000-2700-00002E000000}"/>
            </a:ext>
          </a:extLst>
        </xdr:cNvPr>
        <xdr:cNvSpPr/>
      </xdr:nvSpPr>
      <xdr:spPr>
        <a:xfrm>
          <a:off x="12633581" y="7017398"/>
          <a:ext cx="129600" cy="131738"/>
        </a:xfrm>
        <a:prstGeom prst="ellipse">
          <a:avLst/>
        </a:prstGeom>
        <a:solidFill>
          <a:srgbClr val="FEE08B"/>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63</xdr:col>
      <xdr:colOff>42767</xdr:colOff>
      <xdr:row>31</xdr:row>
      <xdr:rowOff>198017</xdr:rowOff>
    </xdr:from>
    <xdr:to>
      <xdr:col>67</xdr:col>
      <xdr:colOff>143856</xdr:colOff>
      <xdr:row>33</xdr:row>
      <xdr:rowOff>55919</xdr:rowOff>
    </xdr:to>
    <xdr:sp macro="" textlink="">
      <xdr:nvSpPr>
        <xdr:cNvPr id="47" name="JNB_label">
          <a:extLst>
            <a:ext uri="{FF2B5EF4-FFF2-40B4-BE49-F238E27FC236}">
              <a16:creationId xmlns:a16="http://schemas.microsoft.com/office/drawing/2014/main" id="{00000000-0008-0000-2700-00002F000000}"/>
            </a:ext>
          </a:extLst>
        </xdr:cNvPr>
        <xdr:cNvSpPr txBox="1"/>
      </xdr:nvSpPr>
      <xdr:spPr>
        <a:xfrm>
          <a:off x="12757281" y="6952603"/>
          <a:ext cx="819538" cy="260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JOHANNESBURG</a:t>
          </a:r>
        </a:p>
      </xdr:txBody>
    </xdr:sp>
    <xdr:clientData fPrintsWithSheet="0"/>
  </xdr:twoCellAnchor>
  <xdr:twoCellAnchor>
    <xdr:from>
      <xdr:col>67</xdr:col>
      <xdr:colOff>161663</xdr:colOff>
      <xdr:row>24</xdr:row>
      <xdr:rowOff>194386</xdr:rowOff>
    </xdr:from>
    <xdr:to>
      <xdr:col>68</xdr:col>
      <xdr:colOff>112426</xdr:colOff>
      <xdr:row>25</xdr:row>
      <xdr:rowOff>123962</xdr:rowOff>
    </xdr:to>
    <xdr:sp macro="" textlink="">
      <xdr:nvSpPr>
        <xdr:cNvPr id="48" name="KHI">
          <a:extLst>
            <a:ext uri="{FF2B5EF4-FFF2-40B4-BE49-F238E27FC236}">
              <a16:creationId xmlns:a16="http://schemas.microsoft.com/office/drawing/2014/main" id="{00000000-0008-0000-2700-000030000000}"/>
            </a:ext>
          </a:extLst>
        </xdr:cNvPr>
        <xdr:cNvSpPr/>
      </xdr:nvSpPr>
      <xdr:spPr>
        <a:xfrm>
          <a:off x="13558867" y="5540050"/>
          <a:ext cx="129600" cy="131738"/>
        </a:xfrm>
        <a:prstGeom prst="ellipse">
          <a:avLst/>
        </a:prstGeom>
        <a:solidFill>
          <a:srgbClr val="FEE08B"/>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66</xdr:col>
      <xdr:colOff>163286</xdr:colOff>
      <xdr:row>25</xdr:row>
      <xdr:rowOff>47172</xdr:rowOff>
    </xdr:from>
    <xdr:to>
      <xdr:col>69</xdr:col>
      <xdr:colOff>125956</xdr:colOff>
      <xdr:row>26</xdr:row>
      <xdr:rowOff>48202</xdr:rowOff>
    </xdr:to>
    <xdr:sp macro="" textlink="">
      <xdr:nvSpPr>
        <xdr:cNvPr id="49" name="KHI_label">
          <a:extLst>
            <a:ext uri="{FF2B5EF4-FFF2-40B4-BE49-F238E27FC236}">
              <a16:creationId xmlns:a16="http://schemas.microsoft.com/office/drawing/2014/main" id="{00000000-0008-0000-2700-000031000000}"/>
            </a:ext>
          </a:extLst>
        </xdr:cNvPr>
        <xdr:cNvSpPr txBox="1"/>
      </xdr:nvSpPr>
      <xdr:spPr>
        <a:xfrm>
          <a:off x="13381653" y="5594998"/>
          <a:ext cx="493746" cy="197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KARACHI</a:t>
          </a:r>
        </a:p>
      </xdr:txBody>
    </xdr:sp>
    <xdr:clientData fPrintsWithSheet="0"/>
  </xdr:twoCellAnchor>
  <xdr:twoCellAnchor>
    <xdr:from>
      <xdr:col>70</xdr:col>
      <xdr:colOff>72245</xdr:colOff>
      <xdr:row>24</xdr:row>
      <xdr:rowOff>77755</xdr:rowOff>
    </xdr:from>
    <xdr:to>
      <xdr:col>71</xdr:col>
      <xdr:colOff>23008</xdr:colOff>
      <xdr:row>25</xdr:row>
      <xdr:rowOff>7331</xdr:rowOff>
    </xdr:to>
    <xdr:sp macro="" textlink="">
      <xdr:nvSpPr>
        <xdr:cNvPr id="50" name="KTM">
          <a:extLst>
            <a:ext uri="{FF2B5EF4-FFF2-40B4-BE49-F238E27FC236}">
              <a16:creationId xmlns:a16="http://schemas.microsoft.com/office/drawing/2014/main" id="{00000000-0008-0000-2700-000032000000}"/>
            </a:ext>
          </a:extLst>
        </xdr:cNvPr>
        <xdr:cNvSpPr/>
      </xdr:nvSpPr>
      <xdr:spPr>
        <a:xfrm>
          <a:off x="14005959" y="5423419"/>
          <a:ext cx="129600" cy="131738"/>
        </a:xfrm>
        <a:prstGeom prst="ellipse">
          <a:avLst/>
        </a:prstGeom>
        <a:solidFill>
          <a:srgbClr val="FEE08B"/>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69</xdr:col>
      <xdr:colOff>140737</xdr:colOff>
      <xdr:row>23</xdr:row>
      <xdr:rowOff>118187</xdr:rowOff>
    </xdr:from>
    <xdr:to>
      <xdr:col>73</xdr:col>
      <xdr:colOff>94084</xdr:colOff>
      <xdr:row>24</xdr:row>
      <xdr:rowOff>115789</xdr:rowOff>
    </xdr:to>
    <xdr:sp macro="" textlink="">
      <xdr:nvSpPr>
        <xdr:cNvPr id="51" name="KTM_label">
          <a:extLst>
            <a:ext uri="{FF2B5EF4-FFF2-40B4-BE49-F238E27FC236}">
              <a16:creationId xmlns:a16="http://schemas.microsoft.com/office/drawing/2014/main" id="{00000000-0008-0000-2700-000033000000}"/>
            </a:ext>
          </a:extLst>
        </xdr:cNvPr>
        <xdr:cNvSpPr txBox="1"/>
      </xdr:nvSpPr>
      <xdr:spPr>
        <a:xfrm>
          <a:off x="13932937" y="5261687"/>
          <a:ext cx="671804" cy="198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KATHMANDU</a:t>
          </a:r>
        </a:p>
      </xdr:txBody>
    </xdr:sp>
    <xdr:clientData fPrintsWithSheet="0"/>
  </xdr:twoCellAnchor>
  <xdr:twoCellAnchor>
    <xdr:from>
      <xdr:col>70</xdr:col>
      <xdr:colOff>52806</xdr:colOff>
      <xdr:row>25</xdr:row>
      <xdr:rowOff>69980</xdr:rowOff>
    </xdr:from>
    <xdr:to>
      <xdr:col>71</xdr:col>
      <xdr:colOff>3569</xdr:colOff>
      <xdr:row>25</xdr:row>
      <xdr:rowOff>201718</xdr:rowOff>
    </xdr:to>
    <xdr:sp macro="" textlink="">
      <xdr:nvSpPr>
        <xdr:cNvPr id="52" name="CCU">
          <a:extLst>
            <a:ext uri="{FF2B5EF4-FFF2-40B4-BE49-F238E27FC236}">
              <a16:creationId xmlns:a16="http://schemas.microsoft.com/office/drawing/2014/main" id="{00000000-0008-0000-2700-000034000000}"/>
            </a:ext>
          </a:extLst>
        </xdr:cNvPr>
        <xdr:cNvSpPr/>
      </xdr:nvSpPr>
      <xdr:spPr>
        <a:xfrm>
          <a:off x="13986520" y="5617806"/>
          <a:ext cx="129600" cy="131738"/>
        </a:xfrm>
        <a:prstGeom prst="ellipse">
          <a:avLst/>
        </a:prstGeom>
        <a:solidFill>
          <a:srgbClr val="FEE08B"/>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69</xdr:col>
      <xdr:colOff>11662</xdr:colOff>
      <xdr:row>25</xdr:row>
      <xdr:rowOff>167174</xdr:rowOff>
    </xdr:from>
    <xdr:to>
      <xdr:col>72</xdr:col>
      <xdr:colOff>11655</xdr:colOff>
      <xdr:row>26</xdr:row>
      <xdr:rowOff>159325</xdr:rowOff>
    </xdr:to>
    <xdr:sp macro="" textlink="">
      <xdr:nvSpPr>
        <xdr:cNvPr id="53" name="CCU_label">
          <a:extLst>
            <a:ext uri="{FF2B5EF4-FFF2-40B4-BE49-F238E27FC236}">
              <a16:creationId xmlns:a16="http://schemas.microsoft.com/office/drawing/2014/main" id="{00000000-0008-0000-2700-000035000000}"/>
            </a:ext>
          </a:extLst>
        </xdr:cNvPr>
        <xdr:cNvSpPr txBox="1"/>
      </xdr:nvSpPr>
      <xdr:spPr>
        <a:xfrm>
          <a:off x="13766540" y="5715000"/>
          <a:ext cx="536511" cy="199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KOLKATA</a:t>
          </a:r>
        </a:p>
      </xdr:txBody>
    </xdr:sp>
    <xdr:clientData fPrintsWithSheet="0"/>
  </xdr:twoCellAnchor>
  <xdr:twoCellAnchor>
    <xdr:from>
      <xdr:col>65</xdr:col>
      <xdr:colOff>76131</xdr:colOff>
      <xdr:row>24</xdr:row>
      <xdr:rowOff>73866</xdr:rowOff>
    </xdr:from>
    <xdr:to>
      <xdr:col>66</xdr:col>
      <xdr:colOff>26895</xdr:colOff>
      <xdr:row>25</xdr:row>
      <xdr:rowOff>3442</xdr:rowOff>
    </xdr:to>
    <xdr:sp macro="" textlink="">
      <xdr:nvSpPr>
        <xdr:cNvPr id="54" name="KWI">
          <a:extLst>
            <a:ext uri="{FF2B5EF4-FFF2-40B4-BE49-F238E27FC236}">
              <a16:creationId xmlns:a16="http://schemas.microsoft.com/office/drawing/2014/main" id="{00000000-0008-0000-2700-000036000000}"/>
            </a:ext>
          </a:extLst>
        </xdr:cNvPr>
        <xdr:cNvSpPr/>
      </xdr:nvSpPr>
      <xdr:spPr>
        <a:xfrm>
          <a:off x="13115662" y="5419530"/>
          <a:ext cx="129600" cy="131738"/>
        </a:xfrm>
        <a:prstGeom prst="ellipse">
          <a:avLst/>
        </a:prstGeom>
        <a:solidFill>
          <a:srgbClr val="FEE08B"/>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64</xdr:col>
      <xdr:colOff>85532</xdr:colOff>
      <xdr:row>23</xdr:row>
      <xdr:rowOff>109375</xdr:rowOff>
    </xdr:from>
    <xdr:to>
      <xdr:col>67</xdr:col>
      <xdr:colOff>172616</xdr:colOff>
      <xdr:row>24</xdr:row>
      <xdr:rowOff>174104</xdr:rowOff>
    </xdr:to>
    <xdr:sp macro="" textlink="">
      <xdr:nvSpPr>
        <xdr:cNvPr id="55" name="KWI_label">
          <a:extLst>
            <a:ext uri="{FF2B5EF4-FFF2-40B4-BE49-F238E27FC236}">
              <a16:creationId xmlns:a16="http://schemas.microsoft.com/office/drawing/2014/main" id="{00000000-0008-0000-2700-000037000000}"/>
            </a:ext>
          </a:extLst>
        </xdr:cNvPr>
        <xdr:cNvSpPr txBox="1"/>
      </xdr:nvSpPr>
      <xdr:spPr>
        <a:xfrm>
          <a:off x="12946226" y="5252875"/>
          <a:ext cx="618153" cy="26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KUWAIT CITY</a:t>
          </a:r>
        </a:p>
      </xdr:txBody>
    </xdr:sp>
    <xdr:clientData fPrintsWithSheet="0"/>
  </xdr:twoCellAnchor>
  <xdr:twoCellAnchor>
    <xdr:from>
      <xdr:col>64</xdr:col>
      <xdr:colOff>12723</xdr:colOff>
      <xdr:row>20</xdr:row>
      <xdr:rowOff>171061</xdr:rowOff>
    </xdr:from>
    <xdr:to>
      <xdr:col>64</xdr:col>
      <xdr:colOff>142323</xdr:colOff>
      <xdr:row>21</xdr:row>
      <xdr:rowOff>100635</xdr:rowOff>
    </xdr:to>
    <xdr:sp macro="" textlink="">
      <xdr:nvSpPr>
        <xdr:cNvPr id="56" name="MW3">
          <a:extLst>
            <a:ext uri="{FF2B5EF4-FFF2-40B4-BE49-F238E27FC236}">
              <a16:creationId xmlns:a16="http://schemas.microsoft.com/office/drawing/2014/main" id="{00000000-0008-0000-2700-000038000000}"/>
            </a:ext>
          </a:extLst>
        </xdr:cNvPr>
        <xdr:cNvSpPr/>
      </xdr:nvSpPr>
      <xdr:spPr>
        <a:xfrm>
          <a:off x="12873417" y="4708071"/>
          <a:ext cx="129600" cy="131738"/>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62</xdr:col>
      <xdr:colOff>62203</xdr:colOff>
      <xdr:row>20</xdr:row>
      <xdr:rowOff>31620</xdr:rowOff>
    </xdr:from>
    <xdr:to>
      <xdr:col>66</xdr:col>
      <xdr:colOff>105717</xdr:colOff>
      <xdr:row>20</xdr:row>
      <xdr:rowOff>181328</xdr:rowOff>
    </xdr:to>
    <xdr:sp macro="" textlink="">
      <xdr:nvSpPr>
        <xdr:cNvPr id="57" name="MW3_label">
          <a:extLst>
            <a:ext uri="{FF2B5EF4-FFF2-40B4-BE49-F238E27FC236}">
              <a16:creationId xmlns:a16="http://schemas.microsoft.com/office/drawing/2014/main" id="{00000000-0008-0000-2700-000039000000}"/>
            </a:ext>
          </a:extLst>
        </xdr:cNvPr>
        <xdr:cNvSpPr txBox="1"/>
      </xdr:nvSpPr>
      <xdr:spPr>
        <a:xfrm>
          <a:off x="12565224" y="4568630"/>
          <a:ext cx="758852" cy="155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MOSCOW</a:t>
          </a:r>
        </a:p>
      </xdr:txBody>
    </xdr:sp>
    <xdr:clientData fPrintsWithSheet="0"/>
  </xdr:twoCellAnchor>
  <xdr:twoCellAnchor>
    <xdr:from>
      <xdr:col>68</xdr:col>
      <xdr:colOff>137132</xdr:colOff>
      <xdr:row>26</xdr:row>
      <xdr:rowOff>73867</xdr:rowOff>
    </xdr:from>
    <xdr:to>
      <xdr:col>69</xdr:col>
      <xdr:colOff>87895</xdr:colOff>
      <xdr:row>27</xdr:row>
      <xdr:rowOff>3442</xdr:rowOff>
    </xdr:to>
    <xdr:sp macro="" textlink="">
      <xdr:nvSpPr>
        <xdr:cNvPr id="58" name="BOM">
          <a:extLst>
            <a:ext uri="{FF2B5EF4-FFF2-40B4-BE49-F238E27FC236}">
              <a16:creationId xmlns:a16="http://schemas.microsoft.com/office/drawing/2014/main" id="{00000000-0008-0000-2700-00003A000000}"/>
            </a:ext>
          </a:extLst>
        </xdr:cNvPr>
        <xdr:cNvSpPr/>
      </xdr:nvSpPr>
      <xdr:spPr>
        <a:xfrm>
          <a:off x="13713173" y="5823857"/>
          <a:ext cx="129600" cy="131738"/>
        </a:xfrm>
        <a:prstGeom prst="ellipse">
          <a:avLst/>
        </a:prstGeom>
        <a:solidFill>
          <a:srgbClr val="FEE08B"/>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67</xdr:col>
      <xdr:colOff>1</xdr:colOff>
      <xdr:row>26</xdr:row>
      <xdr:rowOff>175469</xdr:rowOff>
    </xdr:from>
    <xdr:to>
      <xdr:col>70</xdr:col>
      <xdr:colOff>742</xdr:colOff>
      <xdr:row>27</xdr:row>
      <xdr:rowOff>116634</xdr:rowOff>
    </xdr:to>
    <xdr:sp macro="" textlink="">
      <xdr:nvSpPr>
        <xdr:cNvPr id="59" name="BOM_label">
          <a:extLst>
            <a:ext uri="{FF2B5EF4-FFF2-40B4-BE49-F238E27FC236}">
              <a16:creationId xmlns:a16="http://schemas.microsoft.com/office/drawing/2014/main" id="{00000000-0008-0000-2700-00003B000000}"/>
            </a:ext>
          </a:extLst>
        </xdr:cNvPr>
        <xdr:cNvSpPr txBox="1"/>
      </xdr:nvSpPr>
      <xdr:spPr>
        <a:xfrm>
          <a:off x="13397205" y="5925459"/>
          <a:ext cx="537251" cy="143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MUMBAI</a:t>
          </a:r>
        </a:p>
      </xdr:txBody>
    </xdr:sp>
    <xdr:clientData fPrintsWithSheet="0"/>
  </xdr:twoCellAnchor>
  <xdr:twoCellAnchor>
    <xdr:from>
      <xdr:col>63</xdr:col>
      <xdr:colOff>141020</xdr:colOff>
      <xdr:row>28</xdr:row>
      <xdr:rowOff>136072</xdr:rowOff>
    </xdr:from>
    <xdr:to>
      <xdr:col>64</xdr:col>
      <xdr:colOff>91783</xdr:colOff>
      <xdr:row>29</xdr:row>
      <xdr:rowOff>65647</xdr:rowOff>
    </xdr:to>
    <xdr:sp macro="" textlink="">
      <xdr:nvSpPr>
        <xdr:cNvPr id="60" name="NBO">
          <a:extLst>
            <a:ext uri="{FF2B5EF4-FFF2-40B4-BE49-F238E27FC236}">
              <a16:creationId xmlns:a16="http://schemas.microsoft.com/office/drawing/2014/main" id="{00000000-0008-0000-2700-00003C000000}"/>
            </a:ext>
          </a:extLst>
        </xdr:cNvPr>
        <xdr:cNvSpPr/>
      </xdr:nvSpPr>
      <xdr:spPr>
        <a:xfrm>
          <a:off x="12822877" y="6290388"/>
          <a:ext cx="129600" cy="131738"/>
        </a:xfrm>
        <a:prstGeom prst="ellipse">
          <a:avLst/>
        </a:prstGeom>
        <a:solidFill>
          <a:srgbClr val="FEE08B"/>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64</xdr:col>
      <xdr:colOff>46652</xdr:colOff>
      <xdr:row>28</xdr:row>
      <xdr:rowOff>136073</xdr:rowOff>
    </xdr:from>
    <xdr:to>
      <xdr:col>66</xdr:col>
      <xdr:colOff>160129</xdr:colOff>
      <xdr:row>29</xdr:row>
      <xdr:rowOff>84120</xdr:rowOff>
    </xdr:to>
    <xdr:sp macro="" textlink="">
      <xdr:nvSpPr>
        <xdr:cNvPr id="61" name="NBO_label">
          <a:extLst>
            <a:ext uri="{FF2B5EF4-FFF2-40B4-BE49-F238E27FC236}">
              <a16:creationId xmlns:a16="http://schemas.microsoft.com/office/drawing/2014/main" id="{00000000-0008-0000-2700-00003D000000}"/>
            </a:ext>
          </a:extLst>
        </xdr:cNvPr>
        <xdr:cNvSpPr txBox="1"/>
      </xdr:nvSpPr>
      <xdr:spPr>
        <a:xfrm>
          <a:off x="12907346" y="6290389"/>
          <a:ext cx="471159" cy="155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NAIROBI</a:t>
          </a:r>
        </a:p>
      </xdr:txBody>
    </xdr:sp>
    <xdr:clientData fPrintsWithSheet="0"/>
  </xdr:twoCellAnchor>
  <xdr:twoCellAnchor>
    <xdr:from>
      <xdr:col>76</xdr:col>
      <xdr:colOff>156570</xdr:colOff>
      <xdr:row>23</xdr:row>
      <xdr:rowOff>174949</xdr:rowOff>
    </xdr:from>
    <xdr:to>
      <xdr:col>77</xdr:col>
      <xdr:colOff>107334</xdr:colOff>
      <xdr:row>24</xdr:row>
      <xdr:rowOff>104523</xdr:rowOff>
    </xdr:to>
    <xdr:sp macro="" textlink="">
      <xdr:nvSpPr>
        <xdr:cNvPr id="62" name="OSA">
          <a:extLst>
            <a:ext uri="{FF2B5EF4-FFF2-40B4-BE49-F238E27FC236}">
              <a16:creationId xmlns:a16="http://schemas.microsoft.com/office/drawing/2014/main" id="{00000000-0008-0000-2700-00003E000000}"/>
            </a:ext>
          </a:extLst>
        </xdr:cNvPr>
        <xdr:cNvSpPr/>
      </xdr:nvSpPr>
      <xdr:spPr>
        <a:xfrm>
          <a:off x="15163305" y="5318449"/>
          <a:ext cx="129600" cy="131738"/>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77</xdr:col>
      <xdr:colOff>3888</xdr:colOff>
      <xdr:row>24</xdr:row>
      <xdr:rowOff>23843</xdr:rowOff>
    </xdr:from>
    <xdr:to>
      <xdr:col>79</xdr:col>
      <xdr:colOff>77755</xdr:colOff>
      <xdr:row>25</xdr:row>
      <xdr:rowOff>20992</xdr:rowOff>
    </xdr:to>
    <xdr:sp macro="" textlink="">
      <xdr:nvSpPr>
        <xdr:cNvPr id="63" name="OSA_label">
          <a:extLst>
            <a:ext uri="{FF2B5EF4-FFF2-40B4-BE49-F238E27FC236}">
              <a16:creationId xmlns:a16="http://schemas.microsoft.com/office/drawing/2014/main" id="{00000000-0008-0000-2700-00003F000000}"/>
            </a:ext>
          </a:extLst>
        </xdr:cNvPr>
        <xdr:cNvSpPr txBox="1"/>
      </xdr:nvSpPr>
      <xdr:spPr>
        <a:xfrm>
          <a:off x="15189459" y="5369507"/>
          <a:ext cx="431541" cy="193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OSAKA</a:t>
          </a:r>
        </a:p>
      </xdr:txBody>
    </xdr:sp>
    <xdr:clientData fPrintsWithSheet="0"/>
  </xdr:twoCellAnchor>
  <xdr:twoCellAnchor>
    <xdr:from>
      <xdr:col>73</xdr:col>
      <xdr:colOff>36051</xdr:colOff>
      <xdr:row>26</xdr:row>
      <xdr:rowOff>120520</xdr:rowOff>
    </xdr:from>
    <xdr:to>
      <xdr:col>73</xdr:col>
      <xdr:colOff>165651</xdr:colOff>
      <xdr:row>27</xdr:row>
      <xdr:rowOff>50095</xdr:rowOff>
    </xdr:to>
    <xdr:sp macro="" textlink="">
      <xdr:nvSpPr>
        <xdr:cNvPr id="6585664" name="PNH">
          <a:extLst>
            <a:ext uri="{FF2B5EF4-FFF2-40B4-BE49-F238E27FC236}">
              <a16:creationId xmlns:a16="http://schemas.microsoft.com/office/drawing/2014/main" id="{00000000-0008-0000-2700-0000407D6400}"/>
            </a:ext>
          </a:extLst>
        </xdr:cNvPr>
        <xdr:cNvSpPr/>
      </xdr:nvSpPr>
      <xdr:spPr>
        <a:xfrm>
          <a:off x="14506275" y="5870510"/>
          <a:ext cx="129600" cy="131738"/>
        </a:xfrm>
        <a:prstGeom prst="ellipse">
          <a:avLst/>
        </a:prstGeom>
        <a:solidFill>
          <a:srgbClr val="FEE08B"/>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73</xdr:col>
      <xdr:colOff>73868</xdr:colOff>
      <xdr:row>26</xdr:row>
      <xdr:rowOff>101600</xdr:rowOff>
    </xdr:from>
    <xdr:to>
      <xdr:col>77</xdr:col>
      <xdr:colOff>122808</xdr:colOff>
      <xdr:row>27</xdr:row>
      <xdr:rowOff>54580</xdr:rowOff>
    </xdr:to>
    <xdr:sp macro="" textlink="">
      <xdr:nvSpPr>
        <xdr:cNvPr id="6585665" name="PNH_label">
          <a:extLst>
            <a:ext uri="{FF2B5EF4-FFF2-40B4-BE49-F238E27FC236}">
              <a16:creationId xmlns:a16="http://schemas.microsoft.com/office/drawing/2014/main" id="{00000000-0008-0000-2700-0000417D6400}"/>
            </a:ext>
          </a:extLst>
        </xdr:cNvPr>
        <xdr:cNvSpPr txBox="1"/>
      </xdr:nvSpPr>
      <xdr:spPr>
        <a:xfrm>
          <a:off x="14544092" y="5851590"/>
          <a:ext cx="758852" cy="155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PHNOM PENH</a:t>
          </a:r>
        </a:p>
      </xdr:txBody>
    </xdr:sp>
    <xdr:clientData fPrintsWithSheet="0"/>
  </xdr:twoCellAnchor>
  <xdr:twoCellAnchor>
    <xdr:from>
      <xdr:col>64</xdr:col>
      <xdr:colOff>164345</xdr:colOff>
      <xdr:row>25</xdr:row>
      <xdr:rowOff>69980</xdr:rowOff>
    </xdr:from>
    <xdr:to>
      <xdr:col>65</xdr:col>
      <xdr:colOff>115108</xdr:colOff>
      <xdr:row>25</xdr:row>
      <xdr:rowOff>201718</xdr:rowOff>
    </xdr:to>
    <xdr:sp macro="" textlink="">
      <xdr:nvSpPr>
        <xdr:cNvPr id="6585666" name="RUH">
          <a:extLst>
            <a:ext uri="{FF2B5EF4-FFF2-40B4-BE49-F238E27FC236}">
              <a16:creationId xmlns:a16="http://schemas.microsoft.com/office/drawing/2014/main" id="{00000000-0008-0000-2700-0000427D6400}"/>
            </a:ext>
          </a:extLst>
        </xdr:cNvPr>
        <xdr:cNvSpPr/>
      </xdr:nvSpPr>
      <xdr:spPr>
        <a:xfrm>
          <a:off x="13025039" y="5617806"/>
          <a:ext cx="129600" cy="131738"/>
        </a:xfrm>
        <a:prstGeom prst="ellipse">
          <a:avLst/>
        </a:prstGeom>
        <a:solidFill>
          <a:srgbClr val="FEE08B"/>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62</xdr:col>
      <xdr:colOff>139959</xdr:colOff>
      <xdr:row>25</xdr:row>
      <xdr:rowOff>105490</xdr:rowOff>
    </xdr:from>
    <xdr:to>
      <xdr:col>65</xdr:col>
      <xdr:colOff>48200</xdr:colOff>
      <xdr:row>26</xdr:row>
      <xdr:rowOff>66102</xdr:rowOff>
    </xdr:to>
    <xdr:sp macro="" textlink="">
      <xdr:nvSpPr>
        <xdr:cNvPr id="6585667" name="RUH_label">
          <a:extLst>
            <a:ext uri="{FF2B5EF4-FFF2-40B4-BE49-F238E27FC236}">
              <a16:creationId xmlns:a16="http://schemas.microsoft.com/office/drawing/2014/main" id="{00000000-0008-0000-2700-0000437D6400}"/>
            </a:ext>
          </a:extLst>
        </xdr:cNvPr>
        <xdr:cNvSpPr txBox="1"/>
      </xdr:nvSpPr>
      <xdr:spPr>
        <a:xfrm>
          <a:off x="12642980" y="5653316"/>
          <a:ext cx="439316" cy="162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RIYADH</a:t>
          </a:r>
        </a:p>
      </xdr:txBody>
    </xdr:sp>
    <xdr:clientData fPrintsWithSheet="0"/>
  </xdr:twoCellAnchor>
  <xdr:twoCellAnchor>
    <xdr:from>
      <xdr:col>60</xdr:col>
      <xdr:colOff>98253</xdr:colOff>
      <xdr:row>22</xdr:row>
      <xdr:rowOff>151624</xdr:rowOff>
    </xdr:from>
    <xdr:to>
      <xdr:col>61</xdr:col>
      <xdr:colOff>49016</xdr:colOff>
      <xdr:row>23</xdr:row>
      <xdr:rowOff>81198</xdr:rowOff>
    </xdr:to>
    <xdr:sp macro="" textlink="">
      <xdr:nvSpPr>
        <xdr:cNvPr id="6585668" name="RMG">
          <a:extLst>
            <a:ext uri="{FF2B5EF4-FFF2-40B4-BE49-F238E27FC236}">
              <a16:creationId xmlns:a16="http://schemas.microsoft.com/office/drawing/2014/main" id="{00000000-0008-0000-2700-0000447D6400}"/>
            </a:ext>
          </a:extLst>
        </xdr:cNvPr>
        <xdr:cNvSpPr/>
      </xdr:nvSpPr>
      <xdr:spPr>
        <a:xfrm>
          <a:off x="12243600" y="5092960"/>
          <a:ext cx="129600" cy="131738"/>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60</xdr:col>
      <xdr:colOff>11664</xdr:colOff>
      <xdr:row>23</xdr:row>
      <xdr:rowOff>39397</xdr:rowOff>
    </xdr:from>
    <xdr:to>
      <xdr:col>62</xdr:col>
      <xdr:colOff>59056</xdr:colOff>
      <xdr:row>23</xdr:row>
      <xdr:rowOff>182733</xdr:rowOff>
    </xdr:to>
    <xdr:sp macro="" textlink="">
      <xdr:nvSpPr>
        <xdr:cNvPr id="6585669" name="RMG_label">
          <a:extLst>
            <a:ext uri="{FF2B5EF4-FFF2-40B4-BE49-F238E27FC236}">
              <a16:creationId xmlns:a16="http://schemas.microsoft.com/office/drawing/2014/main" id="{00000000-0008-0000-2700-0000457D6400}"/>
            </a:ext>
          </a:extLst>
        </xdr:cNvPr>
        <xdr:cNvSpPr txBox="1"/>
      </xdr:nvSpPr>
      <xdr:spPr>
        <a:xfrm>
          <a:off x="12157011" y="5182897"/>
          <a:ext cx="405066" cy="143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ROME</a:t>
          </a:r>
        </a:p>
      </xdr:txBody>
    </xdr:sp>
    <xdr:clientData fPrintsWithSheet="0"/>
  </xdr:twoCellAnchor>
  <xdr:twoCellAnchor>
    <xdr:from>
      <xdr:col>42</xdr:col>
      <xdr:colOff>82703</xdr:colOff>
      <xdr:row>23</xdr:row>
      <xdr:rowOff>42765</xdr:rowOff>
    </xdr:from>
    <xdr:to>
      <xdr:col>43</xdr:col>
      <xdr:colOff>33467</xdr:colOff>
      <xdr:row>23</xdr:row>
      <xdr:rowOff>174503</xdr:rowOff>
    </xdr:to>
    <xdr:sp macro="" textlink="">
      <xdr:nvSpPr>
        <xdr:cNvPr id="6585670" name="SFO">
          <a:extLst>
            <a:ext uri="{FF2B5EF4-FFF2-40B4-BE49-F238E27FC236}">
              <a16:creationId xmlns:a16="http://schemas.microsoft.com/office/drawing/2014/main" id="{00000000-0008-0000-2700-0000467D6400}"/>
            </a:ext>
          </a:extLst>
        </xdr:cNvPr>
        <xdr:cNvSpPr/>
      </xdr:nvSpPr>
      <xdr:spPr>
        <a:xfrm>
          <a:off x="9008989" y="5186265"/>
          <a:ext cx="129600" cy="131738"/>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40</xdr:col>
      <xdr:colOff>116634</xdr:colOff>
      <xdr:row>22</xdr:row>
      <xdr:rowOff>121039</xdr:rowOff>
    </xdr:from>
    <xdr:to>
      <xdr:col>44</xdr:col>
      <xdr:colOff>160131</xdr:colOff>
      <xdr:row>23</xdr:row>
      <xdr:rowOff>74019</xdr:rowOff>
    </xdr:to>
    <xdr:sp macro="" textlink="">
      <xdr:nvSpPr>
        <xdr:cNvPr id="6585671" name="SFO_label">
          <a:extLst>
            <a:ext uri="{FF2B5EF4-FFF2-40B4-BE49-F238E27FC236}">
              <a16:creationId xmlns:a16="http://schemas.microsoft.com/office/drawing/2014/main" id="{00000000-0008-0000-2700-0000477D6400}"/>
            </a:ext>
          </a:extLst>
        </xdr:cNvPr>
        <xdr:cNvSpPr txBox="1"/>
      </xdr:nvSpPr>
      <xdr:spPr>
        <a:xfrm>
          <a:off x="8685246" y="5062375"/>
          <a:ext cx="758852" cy="155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SAN FRANCISCO</a:t>
          </a:r>
        </a:p>
      </xdr:txBody>
    </xdr:sp>
    <xdr:clientData fPrintsWithSheet="0"/>
  </xdr:twoCellAnchor>
  <xdr:twoCellAnchor>
    <xdr:from>
      <xdr:col>75</xdr:col>
      <xdr:colOff>164347</xdr:colOff>
      <xdr:row>23</xdr:row>
      <xdr:rowOff>85531</xdr:rowOff>
    </xdr:from>
    <xdr:to>
      <xdr:col>76</xdr:col>
      <xdr:colOff>115110</xdr:colOff>
      <xdr:row>24</xdr:row>
      <xdr:rowOff>15105</xdr:rowOff>
    </xdr:to>
    <xdr:sp macro="" textlink="">
      <xdr:nvSpPr>
        <xdr:cNvPr id="6585672" name="SEL">
          <a:extLst>
            <a:ext uri="{FF2B5EF4-FFF2-40B4-BE49-F238E27FC236}">
              <a16:creationId xmlns:a16="http://schemas.microsoft.com/office/drawing/2014/main" id="{00000000-0008-0000-2700-0000487D6400}"/>
            </a:ext>
          </a:extLst>
        </xdr:cNvPr>
        <xdr:cNvSpPr/>
      </xdr:nvSpPr>
      <xdr:spPr>
        <a:xfrm>
          <a:off x="14992245" y="5229031"/>
          <a:ext cx="129600" cy="131738"/>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75</xdr:col>
      <xdr:colOff>42765</xdr:colOff>
      <xdr:row>22</xdr:row>
      <xdr:rowOff>140479</xdr:rowOff>
    </xdr:from>
    <xdr:to>
      <xdr:col>77</xdr:col>
      <xdr:colOff>124400</xdr:colOff>
      <xdr:row>23</xdr:row>
      <xdr:rowOff>112746</xdr:rowOff>
    </xdr:to>
    <xdr:sp macro="" textlink="">
      <xdr:nvSpPr>
        <xdr:cNvPr id="6585673" name="SEL_label">
          <a:extLst>
            <a:ext uri="{FF2B5EF4-FFF2-40B4-BE49-F238E27FC236}">
              <a16:creationId xmlns:a16="http://schemas.microsoft.com/office/drawing/2014/main" id="{00000000-0008-0000-2700-0000497D6400}"/>
            </a:ext>
          </a:extLst>
        </xdr:cNvPr>
        <xdr:cNvSpPr txBox="1"/>
      </xdr:nvSpPr>
      <xdr:spPr>
        <a:xfrm>
          <a:off x="14870663" y="5081815"/>
          <a:ext cx="439316" cy="174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SEOUL</a:t>
          </a:r>
        </a:p>
      </xdr:txBody>
    </xdr:sp>
    <xdr:clientData fPrintsWithSheet="0"/>
  </xdr:twoCellAnchor>
  <xdr:twoCellAnchor>
    <xdr:from>
      <xdr:col>78</xdr:col>
      <xdr:colOff>168233</xdr:colOff>
      <xdr:row>32</xdr:row>
      <xdr:rowOff>198276</xdr:rowOff>
    </xdr:from>
    <xdr:to>
      <xdr:col>79</xdr:col>
      <xdr:colOff>118996</xdr:colOff>
      <xdr:row>33</xdr:row>
      <xdr:rowOff>127850</xdr:rowOff>
    </xdr:to>
    <xdr:sp macro="" textlink="">
      <xdr:nvSpPr>
        <xdr:cNvPr id="6585674" name="SYD">
          <a:extLst>
            <a:ext uri="{FF2B5EF4-FFF2-40B4-BE49-F238E27FC236}">
              <a16:creationId xmlns:a16="http://schemas.microsoft.com/office/drawing/2014/main" id="{00000000-0008-0000-2700-00004A7D6400}"/>
            </a:ext>
          </a:extLst>
        </xdr:cNvPr>
        <xdr:cNvSpPr/>
      </xdr:nvSpPr>
      <xdr:spPr>
        <a:xfrm>
          <a:off x="15532641" y="7161245"/>
          <a:ext cx="129600" cy="131738"/>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78</xdr:col>
      <xdr:colOff>85532</xdr:colOff>
      <xdr:row>32</xdr:row>
      <xdr:rowOff>74386</xdr:rowOff>
    </xdr:from>
    <xdr:to>
      <xdr:col>80</xdr:col>
      <xdr:colOff>103423</xdr:colOff>
      <xdr:row>33</xdr:row>
      <xdr:rowOff>48201</xdr:rowOff>
    </xdr:to>
    <xdr:sp macro="" textlink="">
      <xdr:nvSpPr>
        <xdr:cNvPr id="6585675" name="SYD_label">
          <a:extLst>
            <a:ext uri="{FF2B5EF4-FFF2-40B4-BE49-F238E27FC236}">
              <a16:creationId xmlns:a16="http://schemas.microsoft.com/office/drawing/2014/main" id="{00000000-0008-0000-2700-00004B7D6400}"/>
            </a:ext>
          </a:extLst>
        </xdr:cNvPr>
        <xdr:cNvSpPr txBox="1"/>
      </xdr:nvSpPr>
      <xdr:spPr>
        <a:xfrm>
          <a:off x="15449940" y="7037355"/>
          <a:ext cx="381000" cy="1705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SYDNEY</a:t>
          </a:r>
        </a:p>
      </xdr:txBody>
    </xdr:sp>
    <xdr:clientData fPrintsWithSheet="0"/>
  </xdr:twoCellAnchor>
  <xdr:twoCellAnchor>
    <xdr:from>
      <xdr:col>48</xdr:col>
      <xdr:colOff>129356</xdr:colOff>
      <xdr:row>22</xdr:row>
      <xdr:rowOff>42766</xdr:rowOff>
    </xdr:from>
    <xdr:to>
      <xdr:col>49</xdr:col>
      <xdr:colOff>80119</xdr:colOff>
      <xdr:row>22</xdr:row>
      <xdr:rowOff>174504</xdr:rowOff>
    </xdr:to>
    <xdr:sp macro="" textlink="">
      <xdr:nvSpPr>
        <xdr:cNvPr id="6585676" name="TOR">
          <a:extLst>
            <a:ext uri="{FF2B5EF4-FFF2-40B4-BE49-F238E27FC236}">
              <a16:creationId xmlns:a16="http://schemas.microsoft.com/office/drawing/2014/main" id="{00000000-0008-0000-2700-00004C7D6400}"/>
            </a:ext>
          </a:extLst>
        </xdr:cNvPr>
        <xdr:cNvSpPr/>
      </xdr:nvSpPr>
      <xdr:spPr>
        <a:xfrm>
          <a:off x="10128662" y="4984102"/>
          <a:ext cx="129600" cy="131738"/>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47</xdr:col>
      <xdr:colOff>147736</xdr:colOff>
      <xdr:row>21</xdr:row>
      <xdr:rowOff>144364</xdr:rowOff>
    </xdr:from>
    <xdr:to>
      <xdr:col>50</xdr:col>
      <xdr:colOff>130632</xdr:colOff>
      <xdr:row>22</xdr:row>
      <xdr:rowOff>73866</xdr:rowOff>
    </xdr:to>
    <xdr:sp macro="" textlink="">
      <xdr:nvSpPr>
        <xdr:cNvPr id="6585677" name="TOR_label">
          <a:extLst>
            <a:ext uri="{FF2B5EF4-FFF2-40B4-BE49-F238E27FC236}">
              <a16:creationId xmlns:a16="http://schemas.microsoft.com/office/drawing/2014/main" id="{00000000-0008-0000-2700-00004D7D6400}"/>
            </a:ext>
          </a:extLst>
        </xdr:cNvPr>
        <xdr:cNvSpPr txBox="1"/>
      </xdr:nvSpPr>
      <xdr:spPr>
        <a:xfrm>
          <a:off x="9968205" y="4883538"/>
          <a:ext cx="524847" cy="1316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TORONTO</a:t>
          </a:r>
        </a:p>
      </xdr:txBody>
    </xdr:sp>
    <xdr:clientData fPrintsWithSheet="0"/>
  </xdr:twoCellAnchor>
  <xdr:twoCellAnchor>
    <xdr:from>
      <xdr:col>60</xdr:col>
      <xdr:colOff>121581</xdr:colOff>
      <xdr:row>21</xdr:row>
      <xdr:rowOff>182724</xdr:rowOff>
    </xdr:from>
    <xdr:to>
      <xdr:col>61</xdr:col>
      <xdr:colOff>72344</xdr:colOff>
      <xdr:row>22</xdr:row>
      <xdr:rowOff>112300</xdr:rowOff>
    </xdr:to>
    <xdr:sp macro="" textlink="">
      <xdr:nvSpPr>
        <xdr:cNvPr id="6585678" name="VIE">
          <a:extLst>
            <a:ext uri="{FF2B5EF4-FFF2-40B4-BE49-F238E27FC236}">
              <a16:creationId xmlns:a16="http://schemas.microsoft.com/office/drawing/2014/main" id="{00000000-0008-0000-2700-00004E7D6400}"/>
            </a:ext>
          </a:extLst>
        </xdr:cNvPr>
        <xdr:cNvSpPr/>
      </xdr:nvSpPr>
      <xdr:spPr>
        <a:xfrm>
          <a:off x="12266928" y="4921898"/>
          <a:ext cx="129600" cy="131738"/>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61</xdr:col>
      <xdr:colOff>7774</xdr:colOff>
      <xdr:row>21</xdr:row>
      <xdr:rowOff>89937</xdr:rowOff>
    </xdr:from>
    <xdr:to>
      <xdr:col>63</xdr:col>
      <xdr:colOff>93305</xdr:colOff>
      <xdr:row>22</xdr:row>
      <xdr:rowOff>38878</xdr:rowOff>
    </xdr:to>
    <xdr:sp macro="" textlink="">
      <xdr:nvSpPr>
        <xdr:cNvPr id="6585679" name="VIE_label">
          <a:extLst>
            <a:ext uri="{FF2B5EF4-FFF2-40B4-BE49-F238E27FC236}">
              <a16:creationId xmlns:a16="http://schemas.microsoft.com/office/drawing/2014/main" id="{00000000-0008-0000-2700-00004F7D6400}"/>
            </a:ext>
          </a:extLst>
        </xdr:cNvPr>
        <xdr:cNvSpPr txBox="1"/>
      </xdr:nvSpPr>
      <xdr:spPr>
        <a:xfrm>
          <a:off x="12331958" y="4829111"/>
          <a:ext cx="443204" cy="1511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VIENNA</a:t>
          </a:r>
        </a:p>
      </xdr:txBody>
    </xdr:sp>
    <xdr:clientData fPrintsWithSheet="0"/>
  </xdr:twoCellAnchor>
  <xdr:twoCellAnchor>
    <xdr:from>
      <xdr:col>73</xdr:col>
      <xdr:colOff>152683</xdr:colOff>
      <xdr:row>23</xdr:row>
      <xdr:rowOff>202163</xdr:rowOff>
    </xdr:from>
    <xdr:to>
      <xdr:col>74</xdr:col>
      <xdr:colOff>103446</xdr:colOff>
      <xdr:row>24</xdr:row>
      <xdr:rowOff>131737</xdr:rowOff>
    </xdr:to>
    <xdr:sp macro="" textlink="">
      <xdr:nvSpPr>
        <xdr:cNvPr id="6585680" name="NHN">
          <a:extLst>
            <a:ext uri="{FF2B5EF4-FFF2-40B4-BE49-F238E27FC236}">
              <a16:creationId xmlns:a16="http://schemas.microsoft.com/office/drawing/2014/main" id="{00000000-0008-0000-2700-0000507D6400}"/>
            </a:ext>
          </a:extLst>
        </xdr:cNvPr>
        <xdr:cNvSpPr/>
      </xdr:nvSpPr>
      <xdr:spPr>
        <a:xfrm>
          <a:off x="14622907" y="5345663"/>
          <a:ext cx="129600" cy="131738"/>
        </a:xfrm>
        <a:prstGeom prst="ellipse">
          <a:avLst/>
        </a:prstGeom>
        <a:solidFill>
          <a:srgbClr val="FEE08B"/>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72</xdr:col>
      <xdr:colOff>143070</xdr:colOff>
      <xdr:row>23</xdr:row>
      <xdr:rowOff>94602</xdr:rowOff>
    </xdr:from>
    <xdr:to>
      <xdr:col>75</xdr:col>
      <xdr:colOff>84745</xdr:colOff>
      <xdr:row>24</xdr:row>
      <xdr:rowOff>20215</xdr:rowOff>
    </xdr:to>
    <xdr:sp macro="" textlink="">
      <xdr:nvSpPr>
        <xdr:cNvPr id="6585681" name="NHN_label">
          <a:extLst>
            <a:ext uri="{FF2B5EF4-FFF2-40B4-BE49-F238E27FC236}">
              <a16:creationId xmlns:a16="http://schemas.microsoft.com/office/drawing/2014/main" id="{00000000-0008-0000-2700-0000517D6400}"/>
            </a:ext>
          </a:extLst>
        </xdr:cNvPr>
        <xdr:cNvSpPr txBox="1"/>
      </xdr:nvSpPr>
      <xdr:spPr>
        <a:xfrm>
          <a:off x="14474113" y="5238102"/>
          <a:ext cx="480526" cy="12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WUHAN</a:t>
          </a:r>
        </a:p>
      </xdr:txBody>
    </xdr:sp>
    <xdr:clientData fPrintsWithSheet="0"/>
  </xdr:twoCellAnchor>
  <xdr:twoCellAnchor>
    <xdr:from>
      <xdr:col>71</xdr:col>
      <xdr:colOff>156570</xdr:colOff>
      <xdr:row>26</xdr:row>
      <xdr:rowOff>66091</xdr:rowOff>
    </xdr:from>
    <xdr:to>
      <xdr:col>72</xdr:col>
      <xdr:colOff>107333</xdr:colOff>
      <xdr:row>26</xdr:row>
      <xdr:rowOff>197829</xdr:rowOff>
    </xdr:to>
    <xdr:sp macro="" textlink="">
      <xdr:nvSpPr>
        <xdr:cNvPr id="6585682" name="RGN">
          <a:extLst>
            <a:ext uri="{FF2B5EF4-FFF2-40B4-BE49-F238E27FC236}">
              <a16:creationId xmlns:a16="http://schemas.microsoft.com/office/drawing/2014/main" id="{00000000-0008-0000-2700-0000527D6400}"/>
            </a:ext>
          </a:extLst>
        </xdr:cNvPr>
        <xdr:cNvSpPr/>
      </xdr:nvSpPr>
      <xdr:spPr>
        <a:xfrm>
          <a:off x="14269121" y="5816081"/>
          <a:ext cx="129600" cy="131738"/>
        </a:xfrm>
        <a:prstGeom prst="ellipse">
          <a:avLst/>
        </a:prstGeom>
        <a:solidFill>
          <a:srgbClr val="FEE08B"/>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71</xdr:col>
      <xdr:colOff>108858</xdr:colOff>
      <xdr:row>25</xdr:row>
      <xdr:rowOff>156029</xdr:rowOff>
    </xdr:from>
    <xdr:to>
      <xdr:col>74</xdr:col>
      <xdr:colOff>164017</xdr:colOff>
      <xdr:row>26</xdr:row>
      <xdr:rowOff>103422</xdr:rowOff>
    </xdr:to>
    <xdr:sp macro="" textlink="">
      <xdr:nvSpPr>
        <xdr:cNvPr id="6585683" name="RGN_label">
          <a:extLst>
            <a:ext uri="{FF2B5EF4-FFF2-40B4-BE49-F238E27FC236}">
              <a16:creationId xmlns:a16="http://schemas.microsoft.com/office/drawing/2014/main" id="{00000000-0008-0000-2700-0000537D6400}"/>
            </a:ext>
          </a:extLst>
        </xdr:cNvPr>
        <xdr:cNvSpPr txBox="1"/>
      </xdr:nvSpPr>
      <xdr:spPr>
        <a:xfrm>
          <a:off x="14221409" y="5703855"/>
          <a:ext cx="591678" cy="1549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RANGOON</a:t>
          </a:r>
        </a:p>
      </xdr:txBody>
    </xdr:sp>
    <xdr:clientData fPrintsWithSheet="0"/>
  </xdr:twoCellAnchor>
  <xdr:twoCellAnchor>
    <xdr:from>
      <xdr:col>61</xdr:col>
      <xdr:colOff>90478</xdr:colOff>
      <xdr:row>22</xdr:row>
      <xdr:rowOff>31103</xdr:rowOff>
    </xdr:from>
    <xdr:to>
      <xdr:col>62</xdr:col>
      <xdr:colOff>41241</xdr:colOff>
      <xdr:row>22</xdr:row>
      <xdr:rowOff>162841</xdr:rowOff>
    </xdr:to>
    <xdr:sp macro="" textlink="">
      <xdr:nvSpPr>
        <xdr:cNvPr id="6585684" name="BUD">
          <a:extLst>
            <a:ext uri="{FF2B5EF4-FFF2-40B4-BE49-F238E27FC236}">
              <a16:creationId xmlns:a16="http://schemas.microsoft.com/office/drawing/2014/main" id="{00000000-0008-0000-2700-0000547D6400}"/>
            </a:ext>
          </a:extLst>
        </xdr:cNvPr>
        <xdr:cNvSpPr/>
      </xdr:nvSpPr>
      <xdr:spPr>
        <a:xfrm>
          <a:off x="12414662" y="4972439"/>
          <a:ext cx="129600" cy="131738"/>
        </a:xfrm>
        <a:prstGeom prst="ellipse">
          <a:avLst/>
        </a:prstGeom>
        <a:solidFill>
          <a:srgbClr val="A6D96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62</xdr:col>
      <xdr:colOff>11663</xdr:colOff>
      <xdr:row>22</xdr:row>
      <xdr:rowOff>519</xdr:rowOff>
    </xdr:from>
    <xdr:to>
      <xdr:col>65</xdr:col>
      <xdr:colOff>11655</xdr:colOff>
      <xdr:row>22</xdr:row>
      <xdr:rowOff>172616</xdr:rowOff>
    </xdr:to>
    <xdr:sp macro="" textlink="">
      <xdr:nvSpPr>
        <xdr:cNvPr id="6585685" name="BUD_label">
          <a:extLst>
            <a:ext uri="{FF2B5EF4-FFF2-40B4-BE49-F238E27FC236}">
              <a16:creationId xmlns:a16="http://schemas.microsoft.com/office/drawing/2014/main" id="{00000000-0008-0000-2700-0000557D6400}"/>
            </a:ext>
          </a:extLst>
        </xdr:cNvPr>
        <xdr:cNvSpPr txBox="1"/>
      </xdr:nvSpPr>
      <xdr:spPr>
        <a:xfrm>
          <a:off x="12514684" y="4941855"/>
          <a:ext cx="536510" cy="1666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BUDAPEST</a:t>
          </a:r>
        </a:p>
      </xdr:txBody>
    </xdr:sp>
    <xdr:clientData fPrintsWithSheet="0"/>
  </xdr:twoCellAnchor>
  <xdr:twoCellAnchor>
    <xdr:from>
      <xdr:col>75</xdr:col>
      <xdr:colOff>58616</xdr:colOff>
      <xdr:row>27</xdr:row>
      <xdr:rowOff>30584</xdr:rowOff>
    </xdr:from>
    <xdr:to>
      <xdr:col>76</xdr:col>
      <xdr:colOff>8961</xdr:colOff>
      <xdr:row>27</xdr:row>
      <xdr:rowOff>162322</xdr:rowOff>
    </xdr:to>
    <xdr:sp macro="" textlink="">
      <xdr:nvSpPr>
        <xdr:cNvPr id="6585690" name="MNL">
          <a:extLst>
            <a:ext uri="{FF2B5EF4-FFF2-40B4-BE49-F238E27FC236}">
              <a16:creationId xmlns:a16="http://schemas.microsoft.com/office/drawing/2014/main" id="{00000000-0008-0000-2700-00005A7D6400}"/>
            </a:ext>
          </a:extLst>
        </xdr:cNvPr>
        <xdr:cNvSpPr/>
      </xdr:nvSpPr>
      <xdr:spPr>
        <a:xfrm>
          <a:off x="14984605" y="5984232"/>
          <a:ext cx="130378" cy="131738"/>
        </a:xfrm>
        <a:prstGeom prst="ellipse">
          <a:avLst/>
        </a:prstGeom>
        <a:solidFill>
          <a:srgbClr val="FEE08B"/>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75</xdr:col>
      <xdr:colOff>126153</xdr:colOff>
      <xdr:row>27</xdr:row>
      <xdr:rowOff>6280</xdr:rowOff>
    </xdr:from>
    <xdr:to>
      <xdr:col>78</xdr:col>
      <xdr:colOff>83311</xdr:colOff>
      <xdr:row>28</xdr:row>
      <xdr:rowOff>11714</xdr:rowOff>
    </xdr:to>
    <xdr:sp macro="" textlink="">
      <xdr:nvSpPr>
        <xdr:cNvPr id="6585691" name="MNL_label">
          <a:extLst>
            <a:ext uri="{FF2B5EF4-FFF2-40B4-BE49-F238E27FC236}">
              <a16:creationId xmlns:a16="http://schemas.microsoft.com/office/drawing/2014/main" id="{00000000-0008-0000-2700-00005B7D6400}"/>
            </a:ext>
          </a:extLst>
        </xdr:cNvPr>
        <xdr:cNvSpPr txBox="1"/>
      </xdr:nvSpPr>
      <xdr:spPr>
        <a:xfrm>
          <a:off x="15052142" y="5959928"/>
          <a:ext cx="502707" cy="206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800" b="0">
              <a:solidFill>
                <a:srgbClr val="000000"/>
              </a:solidFill>
            </a:rPr>
            <a:t>MANILA</a:t>
          </a:r>
        </a:p>
      </xdr:txBody>
    </xdr:sp>
    <xdr:clientData fPrintsWithSheet="0"/>
  </xdr:twoCellAnchor>
  <xdr:twoCellAnchor editAs="absolute">
    <xdr:from>
      <xdr:col>0</xdr:col>
      <xdr:colOff>0</xdr:colOff>
      <xdr:row>3</xdr:row>
      <xdr:rowOff>533397</xdr:rowOff>
    </xdr:from>
    <xdr:to>
      <xdr:col>57</xdr:col>
      <xdr:colOff>54429</xdr:colOff>
      <xdr:row>4</xdr:row>
      <xdr:rowOff>304797</xdr:rowOff>
    </xdr:to>
    <xdr:sp macro="[0]!k" textlink="">
      <xdr:nvSpPr>
        <xdr:cNvPr id="6585810" name="ui_txt_infobar" hidden="1">
          <a:extLst>
            <a:ext uri="{FF2B5EF4-FFF2-40B4-BE49-F238E27FC236}">
              <a16:creationId xmlns:a16="http://schemas.microsoft.com/office/drawing/2014/main" id="{00000000-0008-0000-2700-0000D27D64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000"/>
        </a:p>
      </xdr:txBody>
    </xdr:sp>
    <xdr:clientData fPrintsWithSheet="0"/>
  </xdr:twoCellAnchor>
  <xdr:twoCellAnchor editAs="absolute">
    <xdr:from>
      <xdr:col>0</xdr:col>
      <xdr:colOff>0</xdr:colOff>
      <xdr:row>0</xdr:row>
      <xdr:rowOff>0</xdr:rowOff>
    </xdr:from>
    <xdr:to>
      <xdr:col>57</xdr:col>
      <xdr:colOff>54429</xdr:colOff>
      <xdr:row>2</xdr:row>
      <xdr:rowOff>0</xdr:rowOff>
    </xdr:to>
    <xdr:sp macro="[0]!k" textlink="">
      <xdr:nvSpPr>
        <xdr:cNvPr id="6585686" name="ui_cmd_leave_zen_mode" hidden="1">
          <a:extLst>
            <a:ext uri="{FF2B5EF4-FFF2-40B4-BE49-F238E27FC236}">
              <a16:creationId xmlns:a16="http://schemas.microsoft.com/office/drawing/2014/main" id="{00000000-0008-0000-2700-0000567D6400}"/>
            </a:ext>
          </a:extLst>
        </xdr:cNvPr>
        <xdr:cNvSpPr txBox="1"/>
      </xdr:nvSpPr>
      <xdr:spPr>
        <a:xfrm>
          <a:off x="0" y="0"/>
          <a:ext cx="11887200" cy="304800"/>
        </a:xfrm>
        <a:prstGeom prst="rect">
          <a:avLst/>
        </a:prstGeom>
        <a:solidFill>
          <a:schemeClr val="l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GB" sz="1100" b="1">
              <a:solidFill>
                <a:schemeClr val="bg1">
                  <a:lumMod val="65000"/>
                </a:schemeClr>
              </a:solidFill>
            </a:rPr>
            <a:t>ZEN MODE.  NAVIGATION IS HIDDEN TO MAXIMISE VISIBLE</a:t>
          </a:r>
          <a:r>
            <a:rPr lang="en-GB" sz="1100" b="1" baseline="0">
              <a:solidFill>
                <a:schemeClr val="bg1">
                  <a:lumMod val="65000"/>
                </a:schemeClr>
              </a:solidFill>
            </a:rPr>
            <a:t> CONTENT. </a:t>
          </a:r>
          <a:r>
            <a:rPr lang="en-GB" sz="1100" b="1">
              <a:solidFill>
                <a:schemeClr val="bg1">
                  <a:lumMod val="65000"/>
                </a:schemeClr>
              </a:solidFill>
            </a:rPr>
            <a:t>  </a:t>
          </a:r>
          <a:r>
            <a:rPr lang="en-GB" sz="1100" b="1" u="sng">
              <a:solidFill>
                <a:srgbClr val="0070C0"/>
              </a:solidFill>
            </a:rPr>
            <a:t>CLICK HERE</a:t>
          </a:r>
          <a:r>
            <a:rPr lang="en-GB" sz="1100" b="1" baseline="0">
              <a:solidFill>
                <a:srgbClr val="0070C0"/>
              </a:solidFill>
            </a:rPr>
            <a:t> </a:t>
          </a:r>
          <a:r>
            <a:rPr lang="en-GB" sz="1100" b="1">
              <a:solidFill>
                <a:schemeClr val="bg1">
                  <a:lumMod val="65000"/>
                </a:schemeClr>
              </a:solidFill>
            </a:rPr>
            <a:t>TO RESTORE NAVIGATION</a:t>
          </a:r>
        </a:p>
      </xdr:txBody>
    </xdr:sp>
    <xdr:clientData fPrintsWithSheet="0"/>
  </xdr:twoCellAnchor>
  <xdr:twoCellAnchor editAs="absolute">
    <xdr:from>
      <xdr:col>0</xdr:col>
      <xdr:colOff>0</xdr:colOff>
      <xdr:row>3</xdr:row>
      <xdr:rowOff>533397</xdr:rowOff>
    </xdr:from>
    <xdr:to>
      <xdr:col>57</xdr:col>
      <xdr:colOff>54429</xdr:colOff>
      <xdr:row>4</xdr:row>
      <xdr:rowOff>304797</xdr:rowOff>
    </xdr:to>
    <xdr:sp macro="[0]!k" textlink="">
      <xdr:nvSpPr>
        <xdr:cNvPr id="6585811" name="ui_cmd_warningbar" hidden="1">
          <a:extLst>
            <a:ext uri="{FF2B5EF4-FFF2-40B4-BE49-F238E27FC236}">
              <a16:creationId xmlns:a16="http://schemas.microsoft.com/office/drawing/2014/main" id="{00000000-0008-0000-2700-0000D37D64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000"/>
        </a:p>
      </xdr:txBody>
    </xdr:sp>
    <xdr:clientData fPrintsWithSheet="0"/>
  </xdr:twoCellAnchor>
  <xdr:twoCellAnchor editAs="absolute">
    <xdr:from>
      <xdr:col>0</xdr:col>
      <xdr:colOff>0</xdr:colOff>
      <xdr:row>3</xdr:row>
      <xdr:rowOff>533397</xdr:rowOff>
    </xdr:from>
    <xdr:to>
      <xdr:col>57</xdr:col>
      <xdr:colOff>54429</xdr:colOff>
      <xdr:row>4</xdr:row>
      <xdr:rowOff>304797</xdr:rowOff>
    </xdr:to>
    <xdr:sp macro="[0]!k" textlink="">
      <xdr:nvSpPr>
        <xdr:cNvPr id="6585812" name="ui_cmd_globalwarninginfobar" hidden="1">
          <a:extLst>
            <a:ext uri="{FF2B5EF4-FFF2-40B4-BE49-F238E27FC236}">
              <a16:creationId xmlns:a16="http://schemas.microsoft.com/office/drawing/2014/main" id="{00000000-0008-0000-2700-0000D47D64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a:t>A</a:t>
          </a:r>
          <a:r>
            <a:rPr lang="en-GB" sz="1000" baseline="0"/>
            <a:t> custom weight profile is selected.  Scores and ranks may be different from official publication.  </a:t>
          </a:r>
          <a:r>
            <a:rPr lang="en-GB" sz="1000" b="1" u="sng" baseline="0">
              <a:solidFill>
                <a:srgbClr val="0070C0"/>
              </a:solidFill>
            </a:rPr>
            <a:t>RESTORE DEFAULT WEIGHT PROFILE</a:t>
          </a:r>
          <a:endParaRPr lang="en-GB" sz="1000" b="1" u="sng">
            <a:solidFill>
              <a:srgbClr val="0070C0"/>
            </a:solidFill>
          </a:endParaRPr>
        </a:p>
      </xdr:txBody>
    </xdr:sp>
    <xdr:clientData fPrintsWithSheet="0"/>
  </xdr:twoCellAnchor>
  <xdr:twoCellAnchor editAs="absolute">
    <xdr:from>
      <xdr:col>0</xdr:col>
      <xdr:colOff>0</xdr:colOff>
      <xdr:row>0</xdr:row>
      <xdr:rowOff>0</xdr:rowOff>
    </xdr:from>
    <xdr:to>
      <xdr:col>57</xdr:col>
      <xdr:colOff>54431</xdr:colOff>
      <xdr:row>3</xdr:row>
      <xdr:rowOff>533397</xdr:rowOff>
    </xdr:to>
    <xdr:grpSp>
      <xdr:nvGrpSpPr>
        <xdr:cNvPr id="6585820" name="ui_all">
          <a:extLst>
            <a:ext uri="{FF2B5EF4-FFF2-40B4-BE49-F238E27FC236}">
              <a16:creationId xmlns:a16="http://schemas.microsoft.com/office/drawing/2014/main" id="{00000000-0008-0000-2700-0000DC7D6400}"/>
            </a:ext>
          </a:extLst>
        </xdr:cNvPr>
        <xdr:cNvGrpSpPr/>
      </xdr:nvGrpSpPr>
      <xdr:grpSpPr>
        <a:xfrm>
          <a:off x="0" y="0"/>
          <a:ext cx="11887202" cy="1164768"/>
          <a:chOff x="0" y="304800"/>
          <a:chExt cx="11887202" cy="1164768"/>
        </a:xfrm>
      </xdr:grpSpPr>
      <xdr:sp macro="" textlink="">
        <xdr:nvSpPr>
          <xdr:cNvPr id="6585809" name="ui_dropdown_controls_bg">
            <a:extLst>
              <a:ext uri="{FF2B5EF4-FFF2-40B4-BE49-F238E27FC236}">
                <a16:creationId xmlns:a16="http://schemas.microsoft.com/office/drawing/2014/main" id="{00000000-0008-0000-2700-0000D17D6400}"/>
              </a:ext>
            </a:extLst>
          </xdr:cNvPr>
          <xdr:cNvSpPr/>
        </xdr:nvSpPr>
        <xdr:spPr>
          <a:xfrm>
            <a:off x="0" y="936168"/>
            <a:ext cx="11887200" cy="533400"/>
          </a:xfrm>
          <a:prstGeom prst="rect">
            <a:avLst/>
          </a:prstGeom>
          <a:solidFill>
            <a:srgbClr xmlns:mc="http://schemas.openxmlformats.org/markup-compatibility/2006" xmlns:a14="http://schemas.microsoft.com/office/drawing/2010/main" val="F2F2F2" mc:Ignorable="a14" a14:legacySpreadsheetColorIndex="17"/>
          </a:solidFill>
          <a:ln w="9525" cap="flat" cmpd="sng" algn="ctr">
            <a:noFill/>
            <a:prstDash val="solid"/>
          </a:ln>
          <a:effectLst/>
          <a:extLst>
            <a:ext uri="{91240B29-F687-4F45-9708-019B960494DF}">
              <a14:hiddenLine xmlns:a14="http://schemas.microsoft.com/office/drawing/2010/main" w="9525" cap="flat" cmpd="sng" algn="ctr">
                <a:solidFill>
                  <a:srgbClr xmlns:mc="http://schemas.openxmlformats.org/markup-compatibility/2006" val="D8D8D8" mc:Ignorable="a14" a14:legacySpreadsheetColorIndex="18"/>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6585797" name="ui_page_second_bg">
            <a:extLst>
              <a:ext uri="{FF2B5EF4-FFF2-40B4-BE49-F238E27FC236}">
                <a16:creationId xmlns:a16="http://schemas.microsoft.com/office/drawing/2014/main" id="{00000000-0008-0000-2700-0000C57D6400}"/>
              </a:ext>
            </a:extLst>
          </xdr:cNvPr>
          <xdr:cNvSpPr/>
        </xdr:nvSpPr>
        <xdr:spPr>
          <a:xfrm>
            <a:off x="11709400" y="609600"/>
            <a:ext cx="177800" cy="326568"/>
          </a:xfrm>
          <a:prstGeom prst="rect">
            <a:avLst/>
          </a:prstGeom>
          <a:solidFill>
            <a:srgbClr xmlns:mc="http://schemas.openxmlformats.org/markup-compatibility/2006" xmlns:a14="http://schemas.microsoft.com/office/drawing/2010/main" val="E3E3E3" mc:Ignorable="a14" a14:legacySpreadsheetColorIndex="13"/>
          </a:solidFill>
          <a:ln w="19050" cap="flat" cmpd="sng" algn="ctr">
            <a:noFill/>
            <a:prstDash val="solid"/>
          </a:ln>
          <a:effectLst/>
          <a:extLst>
            <a:ext uri="{91240B29-F687-4F45-9708-019B960494DF}">
              <a14:hiddenLine xmlns:a14="http://schemas.microsoft.com/office/drawing/2010/main" w="19050" cap="flat" cmpd="sng" algn="ctr">
                <a:solidFill>
                  <a:srgbClr xmlns:mc="http://schemas.openxmlformats.org/markup-compatibility/2006" val="D2D2D2" mc:Ignorable="a14" a14:legacySpreadsheetColorIndex="14"/>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6585794" name="ui_page_bg">
            <a:extLst>
              <a:ext uri="{FF2B5EF4-FFF2-40B4-BE49-F238E27FC236}">
                <a16:creationId xmlns:a16="http://schemas.microsoft.com/office/drawing/2014/main" id="{00000000-0008-0000-2700-0000C27D6400}"/>
              </a:ext>
            </a:extLst>
          </xdr:cNvPr>
          <xdr:cNvSpPr/>
        </xdr:nvSpPr>
        <xdr:spPr>
          <a:xfrm>
            <a:off x="0" y="609600"/>
            <a:ext cx="11709400" cy="326568"/>
          </a:xfrm>
          <a:prstGeom prst="rect">
            <a:avLst/>
          </a:prstGeom>
          <a:solidFill>
            <a:srgbClr xmlns:mc="http://schemas.openxmlformats.org/markup-compatibility/2006" xmlns:a14="http://schemas.microsoft.com/office/drawing/2010/main" val="E3E3E3" mc:Ignorable="a14" a14:legacySpreadsheetColorIndex="13"/>
          </a:solidFill>
          <a:ln w="19050" cap="flat" cmpd="sng" algn="ctr">
            <a:noFill/>
            <a:prstDash val="solid"/>
          </a:ln>
          <a:effectLst/>
          <a:extLst>
            <a:ext uri="{91240B29-F687-4F45-9708-019B960494DF}">
              <a14:hiddenLine xmlns:a14="http://schemas.microsoft.com/office/drawing/2010/main" w="19050" cap="flat" cmpd="sng" algn="ctr">
                <a:solidFill>
                  <a:srgbClr xmlns:mc="http://schemas.openxmlformats.org/markup-compatibility/2006" val="D2D2D2" mc:Ignorable="a14" a14:legacySpreadsheetColorIndex="14"/>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6585692" name="ui_bg_home_back_forward">
            <a:extLst>
              <a:ext uri="{FF2B5EF4-FFF2-40B4-BE49-F238E27FC236}">
                <a16:creationId xmlns:a16="http://schemas.microsoft.com/office/drawing/2014/main" id="{00000000-0008-0000-2700-00005C7D6400}"/>
              </a:ext>
            </a:extLst>
          </xdr:cNvPr>
          <xdr:cNvSpPr txBox="1"/>
        </xdr:nvSpPr>
        <xdr:spPr>
          <a:xfrm>
            <a:off x="0" y="304800"/>
            <a:ext cx="664070" cy="304800"/>
          </a:xfrm>
          <a:prstGeom prst="rect">
            <a:avLst/>
          </a:prstGeom>
          <a:solidFill>
            <a:srgbClr xmlns:mc="http://schemas.openxmlformats.org/markup-compatibility/2006" xmlns:a14="http://schemas.microsoft.com/office/drawing/2010/main" val="808080" mc:Ignorable="a14" a14:legacySpreadsheetColorIndex="1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endParaRPr lang="en-GB" sz="1100" b="0"/>
          </a:p>
        </xdr:txBody>
      </xdr:sp>
      <xdr:pic macro="[0]!k">
        <xdr:nvPicPr>
          <xdr:cNvPr id="6585687" name="ui_nav_home" descr="home-white-xxl.png">
            <a:extLst>
              <a:ext uri="{FF2B5EF4-FFF2-40B4-BE49-F238E27FC236}">
                <a16:creationId xmlns:a16="http://schemas.microsoft.com/office/drawing/2014/main" id="{00000000-0008-0000-2700-0000577D6400}"/>
              </a:ext>
            </a:extLst>
          </xdr:cNvPr>
          <xdr:cNvPicPr>
            <a:picLocks noChangeAspect="1"/>
          </xdr:cNvPicPr>
        </xdr:nvPicPr>
        <xdr:blipFill>
          <a:blip xmlns:r="http://schemas.openxmlformats.org/officeDocument/2006/relationships" r:embed="rId2" cstate="print"/>
          <a:stretch>
            <a:fillRect/>
          </a:stretch>
        </xdr:blipFill>
        <xdr:spPr>
          <a:xfrm>
            <a:off x="25400" y="393700"/>
            <a:ext cx="165100"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pic macro="[0]!k">
        <xdr:nvPicPr>
          <xdr:cNvPr id="6585688" name="ui_nav_back" descr="arrow-left-white-xxl.png">
            <a:extLst>
              <a:ext uri="{FF2B5EF4-FFF2-40B4-BE49-F238E27FC236}">
                <a16:creationId xmlns:a16="http://schemas.microsoft.com/office/drawing/2014/main" id="{00000000-0008-0000-2700-0000587D6400}"/>
              </a:ext>
            </a:extLst>
          </xdr:cNvPr>
          <xdr:cNvPicPr>
            <a:picLocks noChangeAspect="1"/>
          </xdr:cNvPicPr>
        </xdr:nvPicPr>
        <xdr:blipFill>
          <a:blip xmlns:r="http://schemas.openxmlformats.org/officeDocument/2006/relationships" r:embed="rId3" cstate="print"/>
          <a:stretch>
            <a:fillRect/>
          </a:stretch>
        </xdr:blipFill>
        <xdr:spPr>
          <a:xfrm>
            <a:off x="254000" y="393700"/>
            <a:ext cx="165100"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pic macro="[0]!k">
        <xdr:nvPicPr>
          <xdr:cNvPr id="6585689" name="ui_nav_forward" descr="arrow-right-white-xxl.png" hidden="1">
            <a:extLst>
              <a:ext uri="{FF2B5EF4-FFF2-40B4-BE49-F238E27FC236}">
                <a16:creationId xmlns:a16="http://schemas.microsoft.com/office/drawing/2014/main" id="{00000000-0008-0000-2700-0000597D6400}"/>
              </a:ext>
            </a:extLst>
          </xdr:cNvPr>
          <xdr:cNvPicPr>
            <a:picLocks noChangeAspect="1"/>
          </xdr:cNvPicPr>
        </xdr:nvPicPr>
        <xdr:blipFill>
          <a:blip xmlns:r="http://schemas.openxmlformats.org/officeDocument/2006/relationships" r:embed="rId4" cstate="print"/>
          <a:stretch>
            <a:fillRect/>
          </a:stretch>
        </xdr:blipFill>
        <xdr:spPr>
          <a:xfrm>
            <a:off x="444500" y="393700"/>
            <a:ext cx="168776"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sp macro="[0]!k" textlink="">
        <xdr:nvSpPr>
          <xdr:cNvPr id="6585693" name="ui_nav_sec_1">
            <a:extLst>
              <a:ext uri="{FF2B5EF4-FFF2-40B4-BE49-F238E27FC236}">
                <a16:creationId xmlns:a16="http://schemas.microsoft.com/office/drawing/2014/main" id="{00000000-0008-0000-2700-00005D7D6400}"/>
              </a:ext>
            </a:extLst>
          </xdr:cNvPr>
          <xdr:cNvSpPr txBox="1"/>
        </xdr:nvSpPr>
        <xdr:spPr>
          <a:xfrm>
            <a:off x="740270" y="304800"/>
            <a:ext cx="926262" cy="304800"/>
          </a:xfrm>
          <a:prstGeom prst="rect">
            <a:avLst/>
          </a:prstGeom>
          <a:solidFill>
            <a:srgbClr xmlns:mc="http://schemas.openxmlformats.org/markup-compatibility/2006" xmlns:a14="http://schemas.microsoft.com/office/drawing/2010/main" val="E3E3E3" mc:Ignorable="a14" a14:legacySpreadsheetColorIndex="13"/>
          </a:solidFill>
          <a:ln w="19050" cmpd="sng">
            <a:solidFill>
              <a:srgbClr xmlns:mc="http://schemas.openxmlformats.org/markup-compatibility/2006" xmlns:a14="http://schemas.microsoft.com/office/drawing/2010/main" val="D2D2D2" mc:Ignorable="a14" a14:legacySpreadsheetColorIndex="14"/>
            </a:solidFill>
          </a:ln>
        </xdr:spPr>
        <xdr:style>
          <a:lnRef idx="0">
            <a:scrgbClr r="0" g="0" b="0"/>
          </a:lnRef>
          <a:fillRef idx="0">
            <a:scrgbClr r="0" g="0" b="0"/>
          </a:fillRef>
          <a:effectRef idx="0">
            <a:scrgbClr r="0" g="0" b="0"/>
          </a:effectRef>
          <a:fontRef idx="minor">
            <a:schemeClr val="dk1"/>
          </a:fontRef>
        </xdr:style>
        <xdr:txBody>
          <a:bodyPr vertOverflow="clip" wrap="square" lIns="0" rIns="0" bIns="72000" rtlCol="0" anchor="ctr" anchorCtr="0"/>
          <a:lstStyle/>
          <a:p>
            <a:pPr algn="ctr"/>
            <a:r>
              <a:rPr lang="en-GB" sz="900" b="1">
                <a:solidFill>
                  <a:srgbClr xmlns:mc="http://schemas.openxmlformats.org/markup-compatibility/2006" xmlns:a14="http://schemas.microsoft.com/office/drawing/2010/main" val="005E9E" mc:Ignorable="a14" a14:legacySpreadsheetColorIndex="15"/>
                </a:solidFill>
              </a:rPr>
              <a:t>CITY HEARTBEAT</a:t>
            </a:r>
          </a:p>
        </xdr:txBody>
      </xdr:sp>
      <xdr:cxnSp macro="">
        <xdr:nvCxnSpPr>
          <xdr:cNvPr id="6585694" name="ui_line_sec_active">
            <a:extLst>
              <a:ext uri="{FF2B5EF4-FFF2-40B4-BE49-F238E27FC236}">
                <a16:creationId xmlns:a16="http://schemas.microsoft.com/office/drawing/2014/main" id="{00000000-0008-0000-2700-00005E7D6400}"/>
              </a:ext>
            </a:extLst>
          </xdr:cNvPr>
          <xdr:cNvCxnSpPr/>
        </xdr:nvCxnSpPr>
        <xdr:spPr>
          <a:xfrm>
            <a:off x="740270" y="609600"/>
            <a:ext cx="926262" cy="0"/>
          </a:xfrm>
          <a:prstGeom prst="line">
            <a:avLst/>
          </a:prstGeom>
          <a:ln w="28575">
            <a:solidFill>
              <a:srgbClr xmlns:mc="http://schemas.openxmlformats.org/markup-compatibility/2006" xmlns:a14="http://schemas.microsoft.com/office/drawing/2010/main" val="E3E3E3" mc:Ignorable="a14" a14:legacySpreadsheetColorIndex="13"/>
            </a:solidFill>
          </a:ln>
        </xdr:spPr>
        <xdr:style>
          <a:lnRef idx="1">
            <a:schemeClr val="accent1"/>
          </a:lnRef>
          <a:fillRef idx="0">
            <a:schemeClr val="accent1"/>
          </a:fillRef>
          <a:effectRef idx="0">
            <a:schemeClr val="accent1"/>
          </a:effectRef>
          <a:fontRef idx="minor">
            <a:schemeClr val="tx1"/>
          </a:fontRef>
        </xdr:style>
      </xdr:cxnSp>
      <xdr:sp macro="" textlink="">
        <xdr:nvSpPr>
          <xdr:cNvPr id="6585695" name="ui_line_sec_divider1">
            <a:extLst>
              <a:ext uri="{FF2B5EF4-FFF2-40B4-BE49-F238E27FC236}">
                <a16:creationId xmlns:a16="http://schemas.microsoft.com/office/drawing/2014/main" id="{00000000-0008-0000-2700-00005F7D6400}"/>
              </a:ext>
            </a:extLst>
          </xdr:cNvPr>
          <xdr:cNvSpPr txBox="1"/>
        </xdr:nvSpPr>
        <xdr:spPr>
          <a:xfrm>
            <a:off x="1666532" y="304800"/>
            <a:ext cx="1778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900" b="0">
                <a:solidFill>
                  <a:srgbClr xmlns:mc="http://schemas.openxmlformats.org/markup-compatibility/2006" xmlns:a14="http://schemas.microsoft.com/office/drawing/2010/main" val="808080" mc:Ignorable="a14" a14:legacySpreadsheetColorIndex="16"/>
                </a:solidFill>
              </a:rPr>
              <a:t> </a:t>
            </a:r>
          </a:p>
        </xdr:txBody>
      </xdr:sp>
      <xdr:sp macro="" textlink="">
        <xdr:nvSpPr>
          <xdr:cNvPr id="6585753" name="ui_line_page_divider1">
            <a:extLst>
              <a:ext uri="{FF2B5EF4-FFF2-40B4-BE49-F238E27FC236}">
                <a16:creationId xmlns:a16="http://schemas.microsoft.com/office/drawing/2014/main" id="{00000000-0008-0000-2700-0000997D6400}"/>
              </a:ext>
            </a:extLst>
          </xdr:cNvPr>
          <xdr:cNvSpPr txBox="1"/>
        </xdr:nvSpPr>
        <xdr:spPr>
          <a:xfrm>
            <a:off x="151015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6585754" name="ui_nav_page_1_1">
            <a:extLst>
              <a:ext uri="{FF2B5EF4-FFF2-40B4-BE49-F238E27FC236}">
                <a16:creationId xmlns:a16="http://schemas.microsoft.com/office/drawing/2014/main" id="{00000000-0008-0000-2700-00009A7D6400}"/>
              </a:ext>
            </a:extLst>
          </xdr:cNvPr>
          <xdr:cNvSpPr txBox="1"/>
        </xdr:nvSpPr>
        <xdr:spPr>
          <a:xfrm>
            <a:off x="1687957" y="622300"/>
            <a:ext cx="68728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RANKINGS</a:t>
            </a:r>
          </a:p>
        </xdr:txBody>
      </xdr:sp>
      <xdr:sp macro="" textlink="">
        <xdr:nvSpPr>
          <xdr:cNvPr id="6585758" name="ui_line_page_divider2">
            <a:extLst>
              <a:ext uri="{FF2B5EF4-FFF2-40B4-BE49-F238E27FC236}">
                <a16:creationId xmlns:a16="http://schemas.microsoft.com/office/drawing/2014/main" id="{00000000-0008-0000-2700-00009E7D6400}"/>
              </a:ext>
            </a:extLst>
          </xdr:cNvPr>
          <xdr:cNvSpPr txBox="1"/>
        </xdr:nvSpPr>
        <xdr:spPr>
          <a:xfrm>
            <a:off x="2375243"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6585759" name="ui_nav_page_1_2">
            <a:extLst>
              <a:ext uri="{FF2B5EF4-FFF2-40B4-BE49-F238E27FC236}">
                <a16:creationId xmlns:a16="http://schemas.microsoft.com/office/drawing/2014/main" id="{00000000-0008-0000-2700-00009F7D6400}"/>
              </a:ext>
            </a:extLst>
          </xdr:cNvPr>
          <xdr:cNvSpPr txBox="1"/>
        </xdr:nvSpPr>
        <xdr:spPr>
          <a:xfrm>
            <a:off x="2553043" y="622300"/>
            <a:ext cx="995591"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SNAPSHOTS</a:t>
            </a:r>
          </a:p>
        </xdr:txBody>
      </xdr:sp>
      <xdr:sp macro="" textlink="">
        <xdr:nvSpPr>
          <xdr:cNvPr id="6585761" name="ui_line_page_divider3">
            <a:extLst>
              <a:ext uri="{FF2B5EF4-FFF2-40B4-BE49-F238E27FC236}">
                <a16:creationId xmlns:a16="http://schemas.microsoft.com/office/drawing/2014/main" id="{00000000-0008-0000-2700-0000A17D6400}"/>
              </a:ext>
            </a:extLst>
          </xdr:cNvPr>
          <xdr:cNvSpPr txBox="1"/>
        </xdr:nvSpPr>
        <xdr:spPr>
          <a:xfrm>
            <a:off x="3548634"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6585762" name="ui_nav_page_1_3">
            <a:extLst>
              <a:ext uri="{FF2B5EF4-FFF2-40B4-BE49-F238E27FC236}">
                <a16:creationId xmlns:a16="http://schemas.microsoft.com/office/drawing/2014/main" id="{00000000-0008-0000-2700-0000A27D6400}"/>
              </a:ext>
            </a:extLst>
          </xdr:cNvPr>
          <xdr:cNvSpPr txBox="1"/>
        </xdr:nvSpPr>
        <xdr:spPr>
          <a:xfrm>
            <a:off x="3726434" y="622300"/>
            <a:ext cx="864108"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PROFILES</a:t>
            </a:r>
          </a:p>
        </xdr:txBody>
      </xdr:sp>
      <xdr:sp macro="" textlink="">
        <xdr:nvSpPr>
          <xdr:cNvPr id="6585764" name="ui_line_page_divider4">
            <a:extLst>
              <a:ext uri="{FF2B5EF4-FFF2-40B4-BE49-F238E27FC236}">
                <a16:creationId xmlns:a16="http://schemas.microsoft.com/office/drawing/2014/main" id="{00000000-0008-0000-2700-0000A47D6400}"/>
              </a:ext>
            </a:extLst>
          </xdr:cNvPr>
          <xdr:cNvSpPr txBox="1"/>
        </xdr:nvSpPr>
        <xdr:spPr>
          <a:xfrm>
            <a:off x="4590542"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6585765" name="ui_nav_page_1_4">
            <a:extLst>
              <a:ext uri="{FF2B5EF4-FFF2-40B4-BE49-F238E27FC236}">
                <a16:creationId xmlns:a16="http://schemas.microsoft.com/office/drawing/2014/main" id="{00000000-0008-0000-2700-0000A57D6400}"/>
              </a:ext>
            </a:extLst>
          </xdr:cNvPr>
          <xdr:cNvSpPr txBox="1"/>
        </xdr:nvSpPr>
        <xdr:spPr>
          <a:xfrm>
            <a:off x="4768342" y="622300"/>
            <a:ext cx="755942"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DETAIL</a:t>
            </a:r>
          </a:p>
        </xdr:txBody>
      </xdr:sp>
      <xdr:sp macro="" textlink="">
        <xdr:nvSpPr>
          <xdr:cNvPr id="6585781" name="ui_line_page_divider5">
            <a:extLst>
              <a:ext uri="{FF2B5EF4-FFF2-40B4-BE49-F238E27FC236}">
                <a16:creationId xmlns:a16="http://schemas.microsoft.com/office/drawing/2014/main" id="{00000000-0008-0000-2700-0000B57D6400}"/>
              </a:ext>
            </a:extLst>
          </xdr:cNvPr>
          <xdr:cNvSpPr txBox="1"/>
        </xdr:nvSpPr>
        <xdr:spPr>
          <a:xfrm>
            <a:off x="5524284"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6585782" name="ui_nav_page_1_5">
            <a:extLst>
              <a:ext uri="{FF2B5EF4-FFF2-40B4-BE49-F238E27FC236}">
                <a16:creationId xmlns:a16="http://schemas.microsoft.com/office/drawing/2014/main" id="{00000000-0008-0000-2700-0000B67D6400}"/>
              </a:ext>
            </a:extLst>
          </xdr:cNvPr>
          <xdr:cNvSpPr txBox="1"/>
        </xdr:nvSpPr>
        <xdr:spPr>
          <a:xfrm>
            <a:off x="5702084" y="622300"/>
            <a:ext cx="995591"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COMPARE CITIES</a:t>
            </a:r>
          </a:p>
        </xdr:txBody>
      </xdr:sp>
      <xdr:sp macro="" textlink="">
        <xdr:nvSpPr>
          <xdr:cNvPr id="6585783" name="ui_line_page_divider6">
            <a:extLst>
              <a:ext uri="{FF2B5EF4-FFF2-40B4-BE49-F238E27FC236}">
                <a16:creationId xmlns:a16="http://schemas.microsoft.com/office/drawing/2014/main" id="{00000000-0008-0000-2700-0000B77D6400}"/>
              </a:ext>
            </a:extLst>
          </xdr:cNvPr>
          <xdr:cNvSpPr txBox="1"/>
        </xdr:nvSpPr>
        <xdr:spPr>
          <a:xfrm>
            <a:off x="6697675"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6585784" name="ui_nav_page_1_6">
            <a:extLst>
              <a:ext uri="{FF2B5EF4-FFF2-40B4-BE49-F238E27FC236}">
                <a16:creationId xmlns:a16="http://schemas.microsoft.com/office/drawing/2014/main" id="{00000000-0008-0000-2700-0000B87D6400}"/>
              </a:ext>
            </a:extLst>
          </xdr:cNvPr>
          <xdr:cNvSpPr txBox="1"/>
        </xdr:nvSpPr>
        <xdr:spPr>
          <a:xfrm>
            <a:off x="6875475" y="622300"/>
            <a:ext cx="89843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ALL MEASURES</a:t>
            </a:r>
          </a:p>
        </xdr:txBody>
      </xdr:sp>
      <xdr:sp macro="" textlink="">
        <xdr:nvSpPr>
          <xdr:cNvPr id="6585785" name="ui_line_page_divider7">
            <a:extLst>
              <a:ext uri="{FF2B5EF4-FFF2-40B4-BE49-F238E27FC236}">
                <a16:creationId xmlns:a16="http://schemas.microsoft.com/office/drawing/2014/main" id="{00000000-0008-0000-2700-0000B97D6400}"/>
              </a:ext>
            </a:extLst>
          </xdr:cNvPr>
          <xdr:cNvSpPr txBox="1"/>
        </xdr:nvSpPr>
        <xdr:spPr>
          <a:xfrm>
            <a:off x="7773912"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6585786" name="ui_nav_page_1_7">
            <a:extLst>
              <a:ext uri="{FF2B5EF4-FFF2-40B4-BE49-F238E27FC236}">
                <a16:creationId xmlns:a16="http://schemas.microsoft.com/office/drawing/2014/main" id="{00000000-0008-0000-2700-0000BA7D6400}"/>
              </a:ext>
            </a:extLst>
          </xdr:cNvPr>
          <xdr:cNvSpPr txBox="1"/>
        </xdr:nvSpPr>
        <xdr:spPr>
          <a:xfrm>
            <a:off x="7951712" y="622300"/>
            <a:ext cx="88159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SCATTER PLOT</a:t>
            </a:r>
          </a:p>
        </xdr:txBody>
      </xdr:sp>
      <xdr:sp macro="" textlink="">
        <xdr:nvSpPr>
          <xdr:cNvPr id="6585787" name="ui_line_page_divider8">
            <a:extLst>
              <a:ext uri="{FF2B5EF4-FFF2-40B4-BE49-F238E27FC236}">
                <a16:creationId xmlns:a16="http://schemas.microsoft.com/office/drawing/2014/main" id="{00000000-0008-0000-2700-0000BB7D6400}"/>
              </a:ext>
            </a:extLst>
          </xdr:cNvPr>
          <xdr:cNvSpPr txBox="1"/>
        </xdr:nvSpPr>
        <xdr:spPr>
          <a:xfrm>
            <a:off x="883330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6585788" name="ui_nav_page_1_8">
            <a:extLst>
              <a:ext uri="{FF2B5EF4-FFF2-40B4-BE49-F238E27FC236}">
                <a16:creationId xmlns:a16="http://schemas.microsoft.com/office/drawing/2014/main" id="{00000000-0008-0000-2700-0000BC7D6400}"/>
              </a:ext>
            </a:extLst>
          </xdr:cNvPr>
          <xdr:cNvSpPr txBox="1"/>
        </xdr:nvSpPr>
        <xdr:spPr>
          <a:xfrm>
            <a:off x="9011107" y="622300"/>
            <a:ext cx="635470"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WEIGHTS</a:t>
            </a:r>
          </a:p>
        </xdr:txBody>
      </xdr:sp>
      <xdr:sp macro="" textlink="">
        <xdr:nvSpPr>
          <xdr:cNvPr id="6585789" name="ui_line_page_divider9">
            <a:extLst>
              <a:ext uri="{FF2B5EF4-FFF2-40B4-BE49-F238E27FC236}">
                <a16:creationId xmlns:a16="http://schemas.microsoft.com/office/drawing/2014/main" id="{00000000-0008-0000-2700-0000BD7D6400}"/>
              </a:ext>
            </a:extLst>
          </xdr:cNvPr>
          <xdr:cNvSpPr txBox="1"/>
        </xdr:nvSpPr>
        <xdr:spPr>
          <a:xfrm>
            <a:off x="964657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6585790" name="ui_nav_page_1_9">
            <a:extLst>
              <a:ext uri="{FF2B5EF4-FFF2-40B4-BE49-F238E27FC236}">
                <a16:creationId xmlns:a16="http://schemas.microsoft.com/office/drawing/2014/main" id="{00000000-0008-0000-2700-0000BE7D6400}"/>
              </a:ext>
            </a:extLst>
          </xdr:cNvPr>
          <xdr:cNvSpPr txBox="1"/>
        </xdr:nvSpPr>
        <xdr:spPr>
          <a:xfrm>
            <a:off x="9824377" y="622300"/>
            <a:ext cx="458648"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DATA</a:t>
            </a:r>
          </a:p>
        </xdr:txBody>
      </xdr:sp>
      <xdr:sp macro="" textlink="">
        <xdr:nvSpPr>
          <xdr:cNvPr id="6585791" name="ui_line_page_divider10">
            <a:extLst>
              <a:ext uri="{FF2B5EF4-FFF2-40B4-BE49-F238E27FC236}">
                <a16:creationId xmlns:a16="http://schemas.microsoft.com/office/drawing/2014/main" id="{00000000-0008-0000-2700-0000BF7D6400}"/>
              </a:ext>
            </a:extLst>
          </xdr:cNvPr>
          <xdr:cNvSpPr txBox="1"/>
        </xdr:nvSpPr>
        <xdr:spPr>
          <a:xfrm>
            <a:off x="10283025"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6585792" name="ui_nav_page_1_10">
            <a:extLst>
              <a:ext uri="{FF2B5EF4-FFF2-40B4-BE49-F238E27FC236}">
                <a16:creationId xmlns:a16="http://schemas.microsoft.com/office/drawing/2014/main" id="{00000000-0008-0000-2700-0000C07D6400}"/>
              </a:ext>
            </a:extLst>
          </xdr:cNvPr>
          <xdr:cNvSpPr txBox="1"/>
        </xdr:nvSpPr>
        <xdr:spPr>
          <a:xfrm>
            <a:off x="10460825" y="622300"/>
            <a:ext cx="555803"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SCORES</a:t>
            </a:r>
          </a:p>
        </xdr:txBody>
      </xdr:sp>
      <xdr:sp macro="" textlink="">
        <xdr:nvSpPr>
          <xdr:cNvPr id="6585793" name="ui_line_page_divider11">
            <a:extLst>
              <a:ext uri="{FF2B5EF4-FFF2-40B4-BE49-F238E27FC236}">
                <a16:creationId xmlns:a16="http://schemas.microsoft.com/office/drawing/2014/main" id="{00000000-0008-0000-2700-0000C17D6400}"/>
              </a:ext>
            </a:extLst>
          </xdr:cNvPr>
          <xdr:cNvSpPr txBox="1"/>
        </xdr:nvSpPr>
        <xdr:spPr>
          <a:xfrm>
            <a:off x="11016628"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6585726" name="ui_nav_page_1_0">
            <a:extLst>
              <a:ext uri="{FF2B5EF4-FFF2-40B4-BE49-F238E27FC236}">
                <a16:creationId xmlns:a16="http://schemas.microsoft.com/office/drawing/2014/main" id="{00000000-0008-0000-2700-00007E7D6400}"/>
              </a:ext>
            </a:extLst>
          </xdr:cNvPr>
          <xdr:cNvSpPr txBox="1"/>
        </xdr:nvSpPr>
        <xdr:spPr>
          <a:xfrm>
            <a:off x="794372" y="647700"/>
            <a:ext cx="715785" cy="288468"/>
          </a:xfrm>
          <a:prstGeom prst="rect">
            <a:avLst/>
          </a:prstGeom>
          <a:solidFill>
            <a:srgbClr xmlns:mc="http://schemas.openxmlformats.org/markup-compatibility/2006" xmlns:a14="http://schemas.microsoft.com/office/drawing/2010/main" val="F2F2F2" mc:Ignorable="a14" a14:legacySpreadsheetColorIndex="17"/>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005E9E" mc:Ignorable="a14" a14:legacySpreadsheetColorIndex="15"/>
                </a:solidFill>
              </a:rPr>
              <a:t>OVERVIEW</a:t>
            </a:r>
          </a:p>
        </xdr:txBody>
      </xdr:sp>
      <xdr:cxnSp macro="">
        <xdr:nvCxnSpPr>
          <xdr:cNvPr id="6585728" name="ui_line_page_active">
            <a:extLst>
              <a:ext uri="{FF2B5EF4-FFF2-40B4-BE49-F238E27FC236}">
                <a16:creationId xmlns:a16="http://schemas.microsoft.com/office/drawing/2014/main" id="{00000000-0008-0000-2700-0000807D6400}"/>
              </a:ext>
            </a:extLst>
          </xdr:cNvPr>
          <xdr:cNvCxnSpPr/>
        </xdr:nvCxnSpPr>
        <xdr:spPr>
          <a:xfrm>
            <a:off x="794372" y="936168"/>
            <a:ext cx="715785" cy="0"/>
          </a:xfrm>
          <a:prstGeom prst="line">
            <a:avLst/>
          </a:prstGeom>
          <a:ln w="28575">
            <a:solidFill>
              <a:srgbClr xmlns:mc="http://schemas.openxmlformats.org/markup-compatibility/2006" xmlns:a14="http://schemas.microsoft.com/office/drawing/2010/main" val="F2F2F2" mc:Ignorable="a14" a14:legacySpreadsheetColorIndex="17"/>
            </a:solidFill>
          </a:ln>
        </xdr:spPr>
        <xdr:style>
          <a:lnRef idx="1">
            <a:schemeClr val="accent1"/>
          </a:lnRef>
          <a:fillRef idx="0">
            <a:schemeClr val="accent1"/>
          </a:fillRef>
          <a:effectRef idx="0">
            <a:schemeClr val="accent1"/>
          </a:effectRef>
          <a:fontRef idx="minor">
            <a:schemeClr val="tx1"/>
          </a:fontRef>
        </xdr:style>
      </xdr:cxnSp>
      <xdr:sp macro="" textlink="">
        <xdr:nvSpPr>
          <xdr:cNvPr id="6585798" name="ui_lbl_cnt_SeriesOverview">
            <a:extLst>
              <a:ext uri="{FF2B5EF4-FFF2-40B4-BE49-F238E27FC236}">
                <a16:creationId xmlns:a16="http://schemas.microsoft.com/office/drawing/2014/main" id="{00000000-0008-0000-2700-0000C67D6400}"/>
              </a:ext>
            </a:extLst>
          </xdr:cNvPr>
          <xdr:cNvSpPr txBox="1"/>
        </xdr:nvSpPr>
        <xdr:spPr>
          <a:xfrm>
            <a:off x="127000" y="986968"/>
            <a:ext cx="988962"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SELECT INDICATOR</a:t>
            </a:r>
          </a:p>
        </xdr:txBody>
      </xdr:sp>
      <xdr:sp macro="" textlink="">
        <xdr:nvSpPr>
          <xdr:cNvPr id="6585805" name="ui_lbl_cnt_GroupHighlight">
            <a:extLst>
              <a:ext uri="{FF2B5EF4-FFF2-40B4-BE49-F238E27FC236}">
                <a16:creationId xmlns:a16="http://schemas.microsoft.com/office/drawing/2014/main" id="{00000000-0008-0000-2700-0000CD7D6400}"/>
              </a:ext>
            </a:extLst>
          </xdr:cNvPr>
          <xdr:cNvSpPr txBox="1"/>
        </xdr:nvSpPr>
        <xdr:spPr>
          <a:xfrm>
            <a:off x="3325584" y="986968"/>
            <a:ext cx="1012050"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GROUP HIGHLIGHT</a:t>
            </a:r>
          </a:p>
        </xdr:txBody>
      </xdr:sp>
      <xdr:sp macro="" textlink="">
        <xdr:nvSpPr>
          <xdr:cNvPr id="6585808" name="ui_lbl_cnt_CountryFltHighlight">
            <a:extLst>
              <a:ext uri="{FF2B5EF4-FFF2-40B4-BE49-F238E27FC236}">
                <a16:creationId xmlns:a16="http://schemas.microsoft.com/office/drawing/2014/main" id="{00000000-0008-0000-2700-0000D07D6400}"/>
              </a:ext>
            </a:extLst>
          </xdr:cNvPr>
          <xdr:cNvSpPr txBox="1"/>
        </xdr:nvSpPr>
        <xdr:spPr>
          <a:xfrm>
            <a:off x="4796968" y="986968"/>
            <a:ext cx="847865"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CITY HIGHLIGHT</a:t>
            </a:r>
          </a:p>
        </xdr:txBody>
      </xdr:sp>
      <mc:AlternateContent xmlns:mc="http://schemas.openxmlformats.org/markup-compatibility/2006">
        <mc:Choice xmlns:a14="http://schemas.microsoft.com/office/drawing/2010/main" Requires="a14">
          <xdr:sp macro="" textlink="">
            <xdr:nvSpPr>
              <xdr:cNvPr id="6803680" name="ui_cnt_SeriesOverview" hidden="1">
                <a:extLst>
                  <a:ext uri="{63B3BB69-23CF-44E3-9099-C40C66FF867C}">
                    <a14:compatExt spid="_x0000_s6803680"/>
                  </a:ext>
                  <a:ext uri="{FF2B5EF4-FFF2-40B4-BE49-F238E27FC236}">
                    <a16:creationId xmlns:a16="http://schemas.microsoft.com/office/drawing/2014/main" id="{00000000-0008-0000-2700-0000E0D06700}"/>
                  </a:ext>
                </a:extLst>
              </xdr:cNvPr>
              <xdr:cNvSpPr/>
            </xdr:nvSpPr>
            <xdr:spPr bwMode="auto">
              <a:xfrm>
                <a:off x="127000" y="1177468"/>
                <a:ext cx="2792185" cy="212271"/>
              </a:xfrm>
              <a:prstGeom prst="rect">
                <a:avLst/>
              </a:prstGeom>
              <a:noFill/>
              <a:ln w="9525">
                <a:miter lim="800000"/>
                <a:headEnd/>
                <a:tailEnd/>
              </a:ln>
              <a:extLst>
                <a:ext uri="{909E8E84-426E-40DD-AFC4-6F175D3DCCD1}">
                  <a14:hiddenFill>
                    <a:noFill/>
                  </a14:hiddenFill>
                </a:ext>
              </a:extLst>
            </xdr:spPr>
          </xdr:sp>
        </mc:Choice>
        <mc:Fallback/>
      </mc:AlternateContent>
      <xdr:pic macro="[0]!k">
        <xdr:nvPicPr>
          <xdr:cNvPr id="6585799" name="ui_spu_SeriesOverview" descr="scroll_up_small.png">
            <a:extLst>
              <a:ext uri="{FF2B5EF4-FFF2-40B4-BE49-F238E27FC236}">
                <a16:creationId xmlns:a16="http://schemas.microsoft.com/office/drawing/2014/main" id="{00000000-0008-0000-2700-0000C77D6400}"/>
              </a:ext>
            </a:extLst>
          </xdr:cNvPr>
          <xdr:cNvPicPr>
            <a:picLocks noChangeAspect="1"/>
          </xdr:cNvPicPr>
        </xdr:nvPicPr>
        <xdr:blipFill>
          <a:blip xmlns:r="http://schemas.openxmlformats.org/officeDocument/2006/relationships" r:embed="rId5" cstate="print"/>
          <a:stretch>
            <a:fillRect/>
          </a:stretch>
        </xdr:blipFill>
        <xdr:spPr>
          <a:xfrm>
            <a:off x="2944584" y="1177468"/>
            <a:ext cx="228615" cy="77699"/>
          </a:xfrm>
          <a:prstGeom prst="rect">
            <a:avLst/>
          </a:prstGeom>
        </xdr:spPr>
      </xdr:pic>
      <xdr:pic macro="[0]!k">
        <xdr:nvPicPr>
          <xdr:cNvPr id="6585802" name="ui_spd_SeriesOverview" descr="scroll_down_small.png">
            <a:extLst>
              <a:ext uri="{FF2B5EF4-FFF2-40B4-BE49-F238E27FC236}">
                <a16:creationId xmlns:a16="http://schemas.microsoft.com/office/drawing/2014/main" id="{00000000-0008-0000-2700-0000CA7D6400}"/>
              </a:ext>
            </a:extLst>
          </xdr:cNvPr>
          <xdr:cNvPicPr>
            <a:picLocks noChangeAspect="1"/>
          </xdr:cNvPicPr>
        </xdr:nvPicPr>
        <xdr:blipFill>
          <a:blip xmlns:r="http://schemas.openxmlformats.org/officeDocument/2006/relationships" r:embed="rId6" cstate="print"/>
          <a:stretch>
            <a:fillRect/>
          </a:stretch>
        </xdr:blipFill>
        <xdr:spPr>
          <a:xfrm>
            <a:off x="2944584" y="1282458"/>
            <a:ext cx="228604" cy="56388"/>
          </a:xfrm>
          <a:prstGeom prst="rect">
            <a:avLst/>
          </a:prstGeom>
        </xdr:spPr>
      </xdr:pic>
      <mc:AlternateContent xmlns:mc="http://schemas.openxmlformats.org/markup-compatibility/2006">
        <mc:Choice xmlns:a14="http://schemas.microsoft.com/office/drawing/2010/main" Requires="a14">
          <xdr:sp macro="" textlink="">
            <xdr:nvSpPr>
              <xdr:cNvPr id="6803682" name="ui_cnt_GroupHighlight" hidden="1">
                <a:extLst>
                  <a:ext uri="{63B3BB69-23CF-44E3-9099-C40C66FF867C}">
                    <a14:compatExt spid="_x0000_s6803682"/>
                  </a:ext>
                  <a:ext uri="{FF2B5EF4-FFF2-40B4-BE49-F238E27FC236}">
                    <a16:creationId xmlns:a16="http://schemas.microsoft.com/office/drawing/2014/main" id="{00000000-0008-0000-2700-0000E2D06700}"/>
                  </a:ext>
                </a:extLst>
              </xdr:cNvPr>
              <xdr:cNvSpPr/>
            </xdr:nvSpPr>
            <xdr:spPr bwMode="auto">
              <a:xfrm>
                <a:off x="3325584" y="1177468"/>
                <a:ext cx="1344385" cy="212272"/>
              </a:xfrm>
              <a:prstGeom prst="rect">
                <a:avLst/>
              </a:prstGeom>
              <a:noFill/>
              <a:ln w="9525">
                <a:miter lim="800000"/>
                <a:headEnd/>
                <a:tailEnd/>
              </a:ln>
              <a:extLst>
                <a:ext uri="{909E8E84-426E-40DD-AFC4-6F175D3DCCD1}">
                  <a14:hiddenFill>
                    <a:noFill/>
                  </a14:hiddenFill>
                </a:ext>
              </a:extLst>
            </xdr:spPr>
          </xdr:sp>
        </mc:Choice>
        <mc:Fallback/>
      </mc:AlternateContent>
      <mc:AlternateContent xmlns:mc="http://schemas.openxmlformats.org/markup-compatibility/2006">
        <mc:Choice xmlns:a14="http://schemas.microsoft.com/office/drawing/2010/main" Requires="a14">
          <xdr:sp macro="" textlink="">
            <xdr:nvSpPr>
              <xdr:cNvPr id="6803684" name="ui_cnt_CountryFltHighlight" hidden="1">
                <a:extLst>
                  <a:ext uri="{63B3BB69-23CF-44E3-9099-C40C66FF867C}">
                    <a14:compatExt spid="_x0000_s6803684"/>
                  </a:ext>
                  <a:ext uri="{FF2B5EF4-FFF2-40B4-BE49-F238E27FC236}">
                    <a16:creationId xmlns:a16="http://schemas.microsoft.com/office/drawing/2014/main" id="{00000000-0008-0000-2700-0000E4D06700}"/>
                  </a:ext>
                </a:extLst>
              </xdr:cNvPr>
              <xdr:cNvSpPr/>
            </xdr:nvSpPr>
            <xdr:spPr bwMode="auto">
              <a:xfrm>
                <a:off x="4796968" y="1177468"/>
                <a:ext cx="1257300" cy="212271"/>
              </a:xfrm>
              <a:prstGeom prst="rect">
                <a:avLst/>
              </a:prstGeom>
              <a:noFill/>
              <a:ln w="9525">
                <a:miter lim="800000"/>
                <a:headEnd/>
                <a:tailEnd/>
              </a:ln>
              <a:extLst>
                <a:ext uri="{909E8E84-426E-40DD-AFC4-6F175D3DCCD1}">
                  <a14:hiddenFill>
                    <a:noFill/>
                  </a14:hiddenFill>
                </a:ext>
              </a:extLst>
            </xdr:spPr>
          </xdr:sp>
        </mc:Choice>
        <mc:Fallback/>
      </mc:AlternateContent>
      <xdr:pic macro="[0]!k">
        <xdr:nvPicPr>
          <xdr:cNvPr id="6585816" name="ui_cmd_export_xl" descr="xl_icon.gif">
            <a:hlinkClick xmlns:r="http://schemas.openxmlformats.org/officeDocument/2006/relationships" r:id="rId7" tooltip="Export current page as a standalone Excel workbook"/>
            <a:extLst>
              <a:ext uri="{FF2B5EF4-FFF2-40B4-BE49-F238E27FC236}">
                <a16:creationId xmlns:a16="http://schemas.microsoft.com/office/drawing/2014/main" id="{00000000-0008-0000-2700-0000D87D6400}"/>
              </a:ext>
            </a:extLst>
          </xdr:cNvPr>
          <xdr:cNvPicPr>
            <a:picLocks noChangeAspect="1"/>
          </xdr:cNvPicPr>
        </xdr:nvPicPr>
        <xdr:blipFill>
          <a:blip xmlns:r="http://schemas.openxmlformats.org/officeDocument/2006/relationships" r:embed="rId8" cstate="print"/>
          <a:stretch>
            <a:fillRect/>
          </a:stretch>
        </xdr:blipFill>
        <xdr:spPr>
          <a:xfrm>
            <a:off x="11367528" y="361950"/>
            <a:ext cx="519674" cy="190500"/>
          </a:xfrm>
          <a:prstGeom prst="rect">
            <a:avLst/>
          </a:prstGeom>
        </xdr:spPr>
      </xdr:pic>
      <xdr:pic macro="[0]!k">
        <xdr:nvPicPr>
          <xdr:cNvPr id="6585815" name="ui_cmd_reset_controls">
            <a:hlinkClick xmlns:r="http://schemas.openxmlformats.org/officeDocument/2006/relationships" r:id="rId9" tooltip="Reset all options and controls on this page to the default value."/>
            <a:extLst>
              <a:ext uri="{FF2B5EF4-FFF2-40B4-BE49-F238E27FC236}">
                <a16:creationId xmlns:a16="http://schemas.microsoft.com/office/drawing/2014/main" id="{00000000-0008-0000-2700-0000D77D64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628209" y="974268"/>
            <a:ext cx="208189" cy="190500"/>
          </a:xfrm>
          <a:prstGeom prst="rect">
            <a:avLst/>
          </a:prstGeom>
        </xdr:spPr>
      </xdr:pic>
      <xdr:pic macro="[0]!k">
        <xdr:nvPicPr>
          <xdr:cNvPr id="6585813" name="ui_cmd_full_screen">
            <a:hlinkClick xmlns:r="http://schemas.openxmlformats.org/officeDocument/2006/relationships" r:id="rId11" tooltip="Full screen mode (recommended)"/>
            <a:extLst>
              <a:ext uri="{FF2B5EF4-FFF2-40B4-BE49-F238E27FC236}">
                <a16:creationId xmlns:a16="http://schemas.microsoft.com/office/drawing/2014/main" id="{00000000-0008-0000-2700-0000D57D64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099356" y="361950"/>
            <a:ext cx="217368" cy="190500"/>
          </a:xfrm>
          <a:prstGeom prst="rect">
            <a:avLst/>
          </a:prstGeom>
        </xdr:spPr>
      </xdr:pic>
      <xdr:pic macro="[0]!k">
        <xdr:nvPicPr>
          <xdr:cNvPr id="6585814" name="ui_cmd_exit_full_screen" hidden="1">
            <a:hlinkClick xmlns:r="http://schemas.openxmlformats.org/officeDocument/2006/relationships" r:id="rId13" tooltip="Leave full screen mode"/>
            <a:extLst>
              <a:ext uri="{FF2B5EF4-FFF2-40B4-BE49-F238E27FC236}">
                <a16:creationId xmlns:a16="http://schemas.microsoft.com/office/drawing/2014/main" id="{00000000-0008-0000-2700-0000D67D64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099356" y="361950"/>
            <a:ext cx="209038" cy="190500"/>
          </a:xfrm>
          <a:prstGeom prst="rect">
            <a:avLst/>
          </a:prstGeom>
        </xdr:spPr>
      </xdr:pic>
    </xdr:grpSp>
    <xdr:clientData fPrintsWithSheet="0"/>
  </xdr:twoCellAnchor>
  <xdr:twoCellAnchor>
    <xdr:from>
      <xdr:col>19</xdr:col>
      <xdr:colOff>0</xdr:colOff>
      <xdr:row>70</xdr:row>
      <xdr:rowOff>0</xdr:rowOff>
    </xdr:from>
    <xdr:to>
      <xdr:col>24</xdr:col>
      <xdr:colOff>176893</xdr:colOff>
      <xdr:row>71</xdr:row>
      <xdr:rowOff>0</xdr:rowOff>
    </xdr:to>
    <xdr:sp macro="k" textlink="">
      <xdr:nvSpPr>
        <xdr:cNvPr id="6585821" name="go_top">
          <a:extLst>
            <a:ext uri="{FF2B5EF4-FFF2-40B4-BE49-F238E27FC236}">
              <a16:creationId xmlns:a16="http://schemas.microsoft.com/office/drawing/2014/main" id="{00000000-0008-0000-2700-0000DD7D6400}"/>
            </a:ext>
          </a:extLst>
        </xdr:cNvPr>
        <xdr:cNvSpPr txBox="1"/>
      </xdr:nvSpPr>
      <xdr:spPr>
        <a:xfrm>
          <a:off x="587829" y="14646729"/>
          <a:ext cx="1015093" cy="185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none" strike="noStrike" baseline="0">
              <a:solidFill>
                <a:srgbClr val="0070C0"/>
              </a:solidFill>
              <a:latin typeface="+mn-lt"/>
            </a:rPr>
            <a:t>↑ Top of page</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8</xdr:col>
      <xdr:colOff>352425</xdr:colOff>
      <xdr:row>1</xdr:row>
      <xdr:rowOff>57150</xdr:rowOff>
    </xdr:from>
    <xdr:to>
      <xdr:col>10</xdr:col>
      <xdr:colOff>371475</xdr:colOff>
      <xdr:row>1</xdr:row>
      <xdr:rowOff>676275</xdr:rowOff>
    </xdr:to>
    <xdr:pic>
      <xdr:nvPicPr>
        <xdr:cNvPr id="3" name="ei_logo">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90975" y="390525"/>
          <a:ext cx="1238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400050</xdr:colOff>
      <xdr:row>1</xdr:row>
      <xdr:rowOff>38101</xdr:rowOff>
    </xdr:from>
    <xdr:to>
      <xdr:col>7</xdr:col>
      <xdr:colOff>657226</xdr:colOff>
      <xdr:row>1</xdr:row>
      <xdr:rowOff>266701</xdr:rowOff>
    </xdr:to>
    <xdr:sp macro="" textlink="">
      <xdr:nvSpPr>
        <xdr:cNvPr id="2" name="npc_1">
          <a:extLst>
            <a:ext uri="{FF2B5EF4-FFF2-40B4-BE49-F238E27FC236}">
              <a16:creationId xmlns:a16="http://schemas.microsoft.com/office/drawing/2014/main" id="{00000000-0008-0000-1A00-000002000000}"/>
            </a:ext>
          </a:extLst>
        </xdr:cNvPr>
        <xdr:cNvSpPr txBox="1"/>
      </xdr:nvSpPr>
      <xdr:spPr>
        <a:xfrm>
          <a:off x="4191000" y="104776"/>
          <a:ext cx="4600576"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1000"/>
            <a:t>Select a zoom level appropriate for your display</a:t>
          </a:r>
        </a:p>
      </xdr:txBody>
    </xdr:sp>
    <xdr:clientData fPrintsWithSheet="0"/>
  </xdr:twoCellAnchor>
  <xdr:twoCellAnchor>
    <xdr:from>
      <xdr:col>4</xdr:col>
      <xdr:colOff>0</xdr:colOff>
      <xdr:row>16</xdr:row>
      <xdr:rowOff>0</xdr:rowOff>
    </xdr:from>
    <xdr:to>
      <xdr:col>9</xdr:col>
      <xdr:colOff>0</xdr:colOff>
      <xdr:row>17</xdr:row>
      <xdr:rowOff>0</xdr:rowOff>
    </xdr:to>
    <xdr:sp macro="" textlink="">
      <xdr:nvSpPr>
        <xdr:cNvPr id="3" name="magic_text_email_1">
          <a:hlinkClick xmlns:r="http://schemas.openxmlformats.org/officeDocument/2006/relationships" r:id="rId1"/>
          <a:extLst>
            <a:ext uri="{FF2B5EF4-FFF2-40B4-BE49-F238E27FC236}">
              <a16:creationId xmlns:a16="http://schemas.microsoft.com/office/drawing/2014/main" id="{00000000-0008-0000-1A00-000003000000}"/>
            </a:ext>
          </a:extLst>
        </xdr:cNvPr>
        <xdr:cNvSpPr txBox="1"/>
      </xdr:nvSpPr>
      <xdr:spPr>
        <a:xfrm>
          <a:off x="1847850" y="3562350"/>
          <a:ext cx="8039100" cy="371475"/>
        </a:xfrm>
        <a:prstGeom prst="rect">
          <a:avLst/>
        </a:prstGeom>
        <a:solidFill>
          <a:schemeClr val="bg1">
            <a:lumMod val="9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108000" tIns="72000" rIns="144000" rtlCol="0" anchor="ctr" anchorCtr="0"/>
        <a:lstStyle/>
        <a:p>
          <a:pPr algn="l"/>
          <a:endParaRPr lang="en-US" sz="1100" b="1" i="0" u="none" strike="noStrike">
            <a:solidFill>
              <a:sysClr val="windowText" lastClr="000000"/>
            </a:solidFill>
            <a:latin typeface="+mn-lt"/>
            <a:ea typeface="+mn-ea"/>
            <a:cs typeface="+mn-cs"/>
          </a:endParaRPr>
        </a:p>
      </xdr:txBody>
    </xdr:sp>
    <xdr:clientData/>
  </xdr:twoCellAnchor>
  <xdr:oneCellAnchor>
    <xdr:from>
      <xdr:col>9</xdr:col>
      <xdr:colOff>476250</xdr:colOff>
      <xdr:row>14</xdr:row>
      <xdr:rowOff>0</xdr:rowOff>
    </xdr:from>
    <xdr:ext cx="184731" cy="264560"/>
    <xdr:sp macro="" textlink="">
      <xdr:nvSpPr>
        <xdr:cNvPr id="4" name="TextBox 3">
          <a:extLst>
            <a:ext uri="{FF2B5EF4-FFF2-40B4-BE49-F238E27FC236}">
              <a16:creationId xmlns:a16="http://schemas.microsoft.com/office/drawing/2014/main" id="{00000000-0008-0000-1A00-000004000000}"/>
            </a:ext>
          </a:extLst>
        </xdr:cNvPr>
        <xdr:cNvSpPr txBox="1"/>
      </xdr:nvSpPr>
      <xdr:spPr>
        <a:xfrm>
          <a:off x="10363200"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mc:AlternateContent xmlns:mc="http://schemas.openxmlformats.org/markup-compatibility/2006">
    <mc:Choice xmlns:a14="http://schemas.microsoft.com/office/drawing/2010/main" Requires="a14">
      <xdr:twoCellAnchor editAs="oneCell">
        <xdr:from>
          <xdr:col>7</xdr:col>
          <xdr:colOff>1115786</xdr:colOff>
          <xdr:row>1</xdr:row>
          <xdr:rowOff>48986</xdr:rowOff>
        </xdr:from>
        <xdr:to>
          <xdr:col>8</xdr:col>
          <xdr:colOff>293914</xdr:colOff>
          <xdr:row>1</xdr:row>
          <xdr:rowOff>266700</xdr:rowOff>
        </xdr:to>
        <xdr:sp macro="" textlink="">
          <xdr:nvSpPr>
            <xdr:cNvPr id="5941249" name="cnt_GlobalZoom" hidden="1">
              <a:extLst>
                <a:ext uri="{63B3BB69-23CF-44E3-9099-C40C66FF867C}">
                  <a14:compatExt spid="_x0000_s5941249"/>
                </a:ext>
                <a:ext uri="{FF2B5EF4-FFF2-40B4-BE49-F238E27FC236}">
                  <a16:creationId xmlns:a16="http://schemas.microsoft.com/office/drawing/2014/main" id="{00000000-0008-0000-1A00-000001A85A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xdr:col>
      <xdr:colOff>0</xdr:colOff>
      <xdr:row>13</xdr:row>
      <xdr:rowOff>0</xdr:rowOff>
    </xdr:from>
    <xdr:to>
      <xdr:col>9</xdr:col>
      <xdr:colOff>0</xdr:colOff>
      <xdr:row>14</xdr:row>
      <xdr:rowOff>0</xdr:rowOff>
    </xdr:to>
    <xdr:sp macro="[0]!k" textlink="">
      <xdr:nvSpPr>
        <xdr:cNvPr id="6" name="nav_contents">
          <a:extLst>
            <a:ext uri="{FF2B5EF4-FFF2-40B4-BE49-F238E27FC236}">
              <a16:creationId xmlns:a16="http://schemas.microsoft.com/office/drawing/2014/main" id="{00000000-0008-0000-1A00-000006000000}"/>
            </a:ext>
          </a:extLst>
        </xdr:cNvPr>
        <xdr:cNvSpPr txBox="1"/>
      </xdr:nvSpPr>
      <xdr:spPr>
        <a:xfrm>
          <a:off x="419100" y="2686050"/>
          <a:ext cx="94678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rtlCol="0" anchor="t" anchorCtr="0"/>
        <a:lstStyle/>
        <a:p>
          <a:pPr algn="ctr"/>
          <a:r>
            <a:rPr lang="en-US" sz="2400" b="1" i="0" u="sng" strike="noStrike">
              <a:solidFill>
                <a:srgbClr val="0070C0"/>
              </a:solidFill>
              <a:latin typeface="Calibri"/>
            </a:rPr>
            <a:t>EXPLORE</a:t>
          </a:r>
          <a:r>
            <a:rPr lang="en-US" sz="2400" b="1" i="0" u="sng" strike="noStrike" baseline="0">
              <a:solidFill>
                <a:srgbClr val="0070C0"/>
              </a:solidFill>
              <a:latin typeface="Calibri"/>
            </a:rPr>
            <a:t> THE RESEARCH →</a:t>
          </a:r>
          <a:endParaRPr lang="en-US" sz="2400" b="1" i="0" u="sng" strike="noStrike">
            <a:solidFill>
              <a:srgbClr val="0070C0"/>
            </a:solidFill>
            <a:latin typeface="Calibri"/>
          </a:endParaRPr>
        </a:p>
      </xdr:txBody>
    </xdr:sp>
    <xdr:clientData/>
  </xdr:twoCellAnchor>
  <xdr:twoCellAnchor editAs="oneCell">
    <xdr:from>
      <xdr:col>7</xdr:col>
      <xdr:colOff>114300</xdr:colOff>
      <xdr:row>23</xdr:row>
      <xdr:rowOff>123825</xdr:rowOff>
    </xdr:from>
    <xdr:to>
      <xdr:col>9</xdr:col>
      <xdr:colOff>85725</xdr:colOff>
      <xdr:row>24</xdr:row>
      <xdr:rowOff>272810</xdr:rowOff>
    </xdr:to>
    <xdr:pic>
      <xdr:nvPicPr>
        <xdr:cNvPr id="7" name="f1_logo">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48650" y="5438775"/>
          <a:ext cx="1724025" cy="520460"/>
        </a:xfrm>
        <a:prstGeom prst="rect">
          <a:avLst/>
        </a:prstGeom>
      </xdr:spPr>
    </xdr:pic>
    <xdr:clientData/>
  </xdr:twoCellAnchor>
  <xdr:twoCellAnchor>
    <xdr:from>
      <xdr:col>2</xdr:col>
      <xdr:colOff>0</xdr:colOff>
      <xdr:row>3</xdr:row>
      <xdr:rowOff>9525</xdr:rowOff>
    </xdr:from>
    <xdr:to>
      <xdr:col>3</xdr:col>
      <xdr:colOff>800100</xdr:colOff>
      <xdr:row>3</xdr:row>
      <xdr:rowOff>628650</xdr:rowOff>
    </xdr:to>
    <xdr:pic>
      <xdr:nvPicPr>
        <xdr:cNvPr id="8" name="ei_logo">
          <a:hlinkClick xmlns:r="http://schemas.openxmlformats.org/officeDocument/2006/relationships" r:id="rId4"/>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9100" y="609600"/>
          <a:ext cx="1238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17</xdr:row>
      <xdr:rowOff>0</xdr:rowOff>
    </xdr:from>
    <xdr:to>
      <xdr:col>9</xdr:col>
      <xdr:colOff>0</xdr:colOff>
      <xdr:row>18</xdr:row>
      <xdr:rowOff>0</xdr:rowOff>
    </xdr:to>
    <xdr:sp macro="" textlink="">
      <xdr:nvSpPr>
        <xdr:cNvPr id="9" name="magic_text_email_2">
          <a:hlinkClick xmlns:r="http://schemas.openxmlformats.org/officeDocument/2006/relationships" r:id="rId6"/>
          <a:extLst>
            <a:ext uri="{FF2B5EF4-FFF2-40B4-BE49-F238E27FC236}">
              <a16:creationId xmlns:a16="http://schemas.microsoft.com/office/drawing/2014/main" id="{00000000-0008-0000-1A00-000009000000}"/>
            </a:ext>
          </a:extLst>
        </xdr:cNvPr>
        <xdr:cNvSpPr txBox="1"/>
      </xdr:nvSpPr>
      <xdr:spPr>
        <a:xfrm>
          <a:off x="1847850" y="3933825"/>
          <a:ext cx="8039100" cy="371475"/>
        </a:xfrm>
        <a:prstGeom prst="rect">
          <a:avLst/>
        </a:prstGeom>
        <a:solidFill>
          <a:schemeClr val="bg1">
            <a:lumMod val="9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108000" tIns="72000" rIns="144000" rtlCol="0" anchor="ctr" anchorCtr="0"/>
        <a:lstStyle/>
        <a:p>
          <a:pPr algn="l"/>
          <a:r>
            <a:rPr lang="en-US" sz="1100" b="0" i="0" u="none" strike="noStrike">
              <a:solidFill>
                <a:sysClr val="windowText" lastClr="000000"/>
              </a:solidFill>
              <a:latin typeface="Calibri"/>
              <a:ea typeface="+mn-ea"/>
              <a:cs typeface="Calibri"/>
            </a:rPr>
            <a:t>, </a:t>
          </a:r>
          <a:endParaRPr lang="en-US" sz="1100" b="1" i="0" u="none" strike="noStrike">
            <a:solidFill>
              <a:sysClr val="windowText" lastClr="000000"/>
            </a:solidFill>
            <a:latin typeface="+mn-lt"/>
            <a:ea typeface="+mn-ea"/>
            <a:cs typeface="+mn-cs"/>
          </a:endParaRPr>
        </a:p>
      </xdr:txBody>
    </xdr:sp>
    <xdr:clientData/>
  </xdr:twoCellAnchor>
  <xdr:twoCellAnchor>
    <xdr:from>
      <xdr:col>4</xdr:col>
      <xdr:colOff>0</xdr:colOff>
      <xdr:row>18</xdr:row>
      <xdr:rowOff>0</xdr:rowOff>
    </xdr:from>
    <xdr:to>
      <xdr:col>9</xdr:col>
      <xdr:colOff>0</xdr:colOff>
      <xdr:row>19</xdr:row>
      <xdr:rowOff>0</xdr:rowOff>
    </xdr:to>
    <xdr:sp macro="" textlink="">
      <xdr:nvSpPr>
        <xdr:cNvPr id="10" name="magic_text_email_3">
          <a:hlinkClick xmlns:r="http://schemas.openxmlformats.org/officeDocument/2006/relationships" r:id="rId7"/>
          <a:extLst>
            <a:ext uri="{FF2B5EF4-FFF2-40B4-BE49-F238E27FC236}">
              <a16:creationId xmlns:a16="http://schemas.microsoft.com/office/drawing/2014/main" id="{00000000-0008-0000-1A00-00000A000000}"/>
            </a:ext>
          </a:extLst>
        </xdr:cNvPr>
        <xdr:cNvSpPr txBox="1"/>
      </xdr:nvSpPr>
      <xdr:spPr>
        <a:xfrm>
          <a:off x="1847850" y="4305300"/>
          <a:ext cx="8039100" cy="371475"/>
        </a:xfrm>
        <a:prstGeom prst="rect">
          <a:avLst/>
        </a:prstGeom>
        <a:solidFill>
          <a:schemeClr val="bg1">
            <a:lumMod val="9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108000" tIns="72000" rIns="144000" rtlCol="0" anchor="ctr" anchorCtr="0"/>
        <a:lstStyle/>
        <a:p>
          <a:pPr algn="l"/>
          <a:r>
            <a:rPr lang="en-US" sz="1100" b="0" i="0" u="none" strike="noStrike">
              <a:solidFill>
                <a:sysClr val="windowText" lastClr="000000"/>
              </a:solidFill>
              <a:latin typeface="Calibri"/>
              <a:ea typeface="+mn-ea"/>
              <a:cs typeface="Calibri"/>
            </a:rPr>
            <a:t> </a:t>
          </a:r>
          <a:endParaRPr lang="en-US" sz="1100" b="1" i="0" u="none" strike="noStrike">
            <a:solidFill>
              <a:sysClr val="windowText" lastClr="000000"/>
            </a:solidFill>
            <a:latin typeface="+mn-lt"/>
            <a:ea typeface="+mn-ea"/>
            <a:cs typeface="+mn-cs"/>
          </a:endParaRPr>
        </a:p>
      </xdr:txBody>
    </xdr:sp>
    <xdr:clientData/>
  </xdr:twoCellAnchor>
  <xdr:twoCellAnchor>
    <xdr:from>
      <xdr:col>2</xdr:col>
      <xdr:colOff>0</xdr:colOff>
      <xdr:row>16</xdr:row>
      <xdr:rowOff>0</xdr:rowOff>
    </xdr:from>
    <xdr:to>
      <xdr:col>4</xdr:col>
      <xdr:colOff>0</xdr:colOff>
      <xdr:row>17</xdr:row>
      <xdr:rowOff>0</xdr:rowOff>
    </xdr:to>
    <xdr:sp macro="" textlink="">
      <xdr:nvSpPr>
        <xdr:cNvPr id="12" name="title_1">
          <a:extLst>
            <a:ext uri="{FF2B5EF4-FFF2-40B4-BE49-F238E27FC236}">
              <a16:creationId xmlns:a16="http://schemas.microsoft.com/office/drawing/2014/main" id="{00000000-0008-0000-1A00-00000C000000}"/>
            </a:ext>
          </a:extLst>
        </xdr:cNvPr>
        <xdr:cNvSpPr txBox="1"/>
      </xdr:nvSpPr>
      <xdr:spPr>
        <a:xfrm>
          <a:off x="419100" y="3562350"/>
          <a:ext cx="1428750" cy="371475"/>
        </a:xfrm>
        <a:prstGeom prst="rect">
          <a:avLst/>
        </a:prstGeom>
        <a:solidFill>
          <a:schemeClr val="bg1">
            <a:lumMod val="9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72000" tIns="72000" rIns="72000" rtlCol="0" anchor="ctr" anchorCtr="0"/>
        <a:lstStyle/>
        <a:p>
          <a:pPr algn="r"/>
          <a:fld id="{F59B44E2-C208-4F05-A3AB-CCED7A78143D}" type="TxLink">
            <a:rPr lang="en-US" sz="1100" b="1" i="0" u="none" strike="noStrike">
              <a:solidFill>
                <a:srgbClr val="000000"/>
              </a:solidFill>
              <a:latin typeface="Calibri"/>
              <a:ea typeface="+mn-ea"/>
              <a:cs typeface="Calibri"/>
            </a:rPr>
            <a:pPr algn="r"/>
            <a:t>Research director</a:t>
          </a:fld>
          <a:endParaRPr lang="en-US" sz="1100" b="1" i="0" u="none" strike="noStrike">
            <a:solidFill>
              <a:sysClr val="windowText" lastClr="000000"/>
            </a:solidFill>
            <a:latin typeface="Calibri"/>
            <a:ea typeface="+mn-ea"/>
            <a:cs typeface="Calibri"/>
          </a:endParaRPr>
        </a:p>
      </xdr:txBody>
    </xdr:sp>
    <xdr:clientData/>
  </xdr:twoCellAnchor>
  <xdr:twoCellAnchor>
    <xdr:from>
      <xdr:col>2</xdr:col>
      <xdr:colOff>0</xdr:colOff>
      <xdr:row>17</xdr:row>
      <xdr:rowOff>0</xdr:rowOff>
    </xdr:from>
    <xdr:to>
      <xdr:col>4</xdr:col>
      <xdr:colOff>0</xdr:colOff>
      <xdr:row>18</xdr:row>
      <xdr:rowOff>0</xdr:rowOff>
    </xdr:to>
    <xdr:sp macro="" textlink="">
      <xdr:nvSpPr>
        <xdr:cNvPr id="13" name="title_2">
          <a:extLst>
            <a:ext uri="{FF2B5EF4-FFF2-40B4-BE49-F238E27FC236}">
              <a16:creationId xmlns:a16="http://schemas.microsoft.com/office/drawing/2014/main" id="{00000000-0008-0000-1A00-00000D000000}"/>
            </a:ext>
          </a:extLst>
        </xdr:cNvPr>
        <xdr:cNvSpPr txBox="1"/>
      </xdr:nvSpPr>
      <xdr:spPr>
        <a:xfrm>
          <a:off x="419100" y="3933825"/>
          <a:ext cx="1428750" cy="371475"/>
        </a:xfrm>
        <a:prstGeom prst="rect">
          <a:avLst/>
        </a:prstGeom>
        <a:solidFill>
          <a:schemeClr val="bg1">
            <a:lumMod val="9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72000" tIns="72000" rIns="72000" rtlCol="0" anchor="ctr" anchorCtr="0"/>
        <a:lstStyle/>
        <a:p>
          <a:pPr algn="r"/>
          <a:fld id="{8D9FDB8F-E2B9-4A57-895C-5D442D54868D}" type="TxLink">
            <a:rPr lang="en-US" sz="1100" b="1" i="0" u="none" strike="noStrike">
              <a:solidFill>
                <a:srgbClr val="000000"/>
              </a:solidFill>
              <a:latin typeface="Calibri"/>
              <a:ea typeface="+mn-ea"/>
              <a:cs typeface="Calibri"/>
            </a:rPr>
            <a:pPr algn="r"/>
            <a:t> </a:t>
          </a:fld>
          <a:endParaRPr lang="en-US" sz="1100" b="1" i="0" u="none" strike="noStrike">
            <a:solidFill>
              <a:sysClr val="windowText" lastClr="000000"/>
            </a:solidFill>
            <a:latin typeface="Calibri"/>
            <a:ea typeface="+mn-ea"/>
            <a:cs typeface="Calibri"/>
          </a:endParaRPr>
        </a:p>
      </xdr:txBody>
    </xdr:sp>
    <xdr:clientData/>
  </xdr:twoCellAnchor>
  <xdr:twoCellAnchor>
    <xdr:from>
      <xdr:col>2</xdr:col>
      <xdr:colOff>0</xdr:colOff>
      <xdr:row>18</xdr:row>
      <xdr:rowOff>0</xdr:rowOff>
    </xdr:from>
    <xdr:to>
      <xdr:col>4</xdr:col>
      <xdr:colOff>0</xdr:colOff>
      <xdr:row>19</xdr:row>
      <xdr:rowOff>0</xdr:rowOff>
    </xdr:to>
    <xdr:sp macro="" textlink="">
      <xdr:nvSpPr>
        <xdr:cNvPr id="14" name="title_3">
          <a:extLst>
            <a:ext uri="{FF2B5EF4-FFF2-40B4-BE49-F238E27FC236}">
              <a16:creationId xmlns:a16="http://schemas.microsoft.com/office/drawing/2014/main" id="{00000000-0008-0000-1A00-00000E000000}"/>
            </a:ext>
          </a:extLst>
        </xdr:cNvPr>
        <xdr:cNvSpPr txBox="1"/>
      </xdr:nvSpPr>
      <xdr:spPr>
        <a:xfrm>
          <a:off x="419100" y="4305300"/>
          <a:ext cx="1428750" cy="371475"/>
        </a:xfrm>
        <a:prstGeom prst="rect">
          <a:avLst/>
        </a:prstGeom>
        <a:solidFill>
          <a:schemeClr val="bg1">
            <a:lumMod val="9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72000" tIns="72000" rIns="72000" rtlCol="0" anchor="ctr" anchorCtr="0"/>
        <a:lstStyle/>
        <a:p>
          <a:pPr algn="r"/>
          <a:fld id="{D3323A9C-2F9F-4706-8885-CB8B54584460}" type="TxLink">
            <a:rPr lang="en-US" sz="1100" b="1" i="0" u="none" strike="noStrike">
              <a:solidFill>
                <a:srgbClr val="000000"/>
              </a:solidFill>
              <a:latin typeface="Calibri"/>
              <a:ea typeface="+mn-ea"/>
              <a:cs typeface="Calibri"/>
            </a:rPr>
            <a:pPr algn="r"/>
            <a:t> </a:t>
          </a:fld>
          <a:endParaRPr lang="en-US" sz="1100" b="1" i="0" u="none" strike="noStrike">
            <a:solidFill>
              <a:sysClr val="windowText" lastClr="000000"/>
            </a:solidFill>
            <a:latin typeface="Calibri"/>
            <a:ea typeface="+mn-ea"/>
            <a:cs typeface="Calibri"/>
          </a:endParaRPr>
        </a:p>
      </xdr:txBody>
    </xdr:sp>
    <xdr:clientData/>
  </xdr:twoCellAnchor>
  <xdr:twoCellAnchor>
    <xdr:from>
      <xdr:col>4</xdr:col>
      <xdr:colOff>0</xdr:colOff>
      <xdr:row>20</xdr:row>
      <xdr:rowOff>0</xdr:rowOff>
    </xdr:from>
    <xdr:to>
      <xdr:col>9</xdr:col>
      <xdr:colOff>0</xdr:colOff>
      <xdr:row>21</xdr:row>
      <xdr:rowOff>0</xdr:rowOff>
    </xdr:to>
    <xdr:sp macro="" textlink="">
      <xdr:nvSpPr>
        <xdr:cNvPr id="16" name="magic_text_email_4">
          <a:hlinkClick xmlns:r="http://schemas.openxmlformats.org/officeDocument/2006/relationships" r:id="rId8"/>
          <a:extLst>
            <a:ext uri="{FF2B5EF4-FFF2-40B4-BE49-F238E27FC236}">
              <a16:creationId xmlns:a16="http://schemas.microsoft.com/office/drawing/2014/main" id="{00000000-0008-0000-1A00-000010000000}"/>
            </a:ext>
          </a:extLst>
        </xdr:cNvPr>
        <xdr:cNvSpPr txBox="1"/>
      </xdr:nvSpPr>
      <xdr:spPr>
        <a:xfrm>
          <a:off x="1847850" y="4676775"/>
          <a:ext cx="8039100" cy="371475"/>
        </a:xfrm>
        <a:prstGeom prst="rect">
          <a:avLst/>
        </a:prstGeom>
        <a:solidFill>
          <a:schemeClr val="bg1">
            <a:lumMod val="9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108000" tIns="72000" rIns="144000" rtlCol="0" anchor="ctr" anchorCtr="0"/>
        <a:lstStyle/>
        <a:p>
          <a:pPr algn="l"/>
          <a:r>
            <a:rPr lang="en-US" sz="1100" b="0" i="0" u="none" strike="noStrike">
              <a:solidFill>
                <a:sysClr val="windowText" lastClr="000000"/>
              </a:solidFill>
              <a:latin typeface="Calibri"/>
              <a:ea typeface="+mn-ea"/>
              <a:cs typeface="Calibri"/>
            </a:rPr>
            <a:t> </a:t>
          </a:r>
          <a:endParaRPr lang="en-US" sz="1100" b="1" i="0" u="none" strike="noStrike">
            <a:solidFill>
              <a:sysClr val="windowText" lastClr="000000"/>
            </a:solidFill>
            <a:latin typeface="+mn-lt"/>
            <a:ea typeface="+mn-ea"/>
            <a:cs typeface="+mn-cs"/>
          </a:endParaRPr>
        </a:p>
      </xdr:txBody>
    </xdr:sp>
    <xdr:clientData/>
  </xdr:twoCellAnchor>
  <xdr:twoCellAnchor>
    <xdr:from>
      <xdr:col>2</xdr:col>
      <xdr:colOff>0</xdr:colOff>
      <xdr:row>20</xdr:row>
      <xdr:rowOff>0</xdr:rowOff>
    </xdr:from>
    <xdr:to>
      <xdr:col>4</xdr:col>
      <xdr:colOff>0</xdr:colOff>
      <xdr:row>21</xdr:row>
      <xdr:rowOff>0</xdr:rowOff>
    </xdr:to>
    <xdr:sp macro="" textlink="">
      <xdr:nvSpPr>
        <xdr:cNvPr id="17" name="title_4">
          <a:extLst>
            <a:ext uri="{FF2B5EF4-FFF2-40B4-BE49-F238E27FC236}">
              <a16:creationId xmlns:a16="http://schemas.microsoft.com/office/drawing/2014/main" id="{00000000-0008-0000-1A00-000011000000}"/>
            </a:ext>
          </a:extLst>
        </xdr:cNvPr>
        <xdr:cNvSpPr txBox="1"/>
      </xdr:nvSpPr>
      <xdr:spPr>
        <a:xfrm>
          <a:off x="419100" y="4676775"/>
          <a:ext cx="1428750" cy="371475"/>
        </a:xfrm>
        <a:prstGeom prst="rect">
          <a:avLst/>
        </a:prstGeom>
        <a:solidFill>
          <a:schemeClr val="bg1">
            <a:lumMod val="9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72000" tIns="72000" rIns="72000" rtlCol="0" anchor="ctr" anchorCtr="0"/>
        <a:lstStyle/>
        <a:p>
          <a:pPr algn="r"/>
          <a:fld id="{6F75DC43-CECA-4BE5-A78D-E7D29A7A857C}" type="TxLink">
            <a:rPr lang="en-US" sz="1100" b="1" i="0" u="none" strike="noStrike">
              <a:solidFill>
                <a:srgbClr val="000000"/>
              </a:solidFill>
              <a:latin typeface="Calibri"/>
              <a:ea typeface="+mn-ea"/>
              <a:cs typeface="Calibri"/>
            </a:rPr>
            <a:pPr algn="r"/>
            <a:t> </a:t>
          </a:fld>
          <a:endParaRPr lang="en-US" sz="1100" b="1" i="0" u="none" strike="noStrike">
            <a:solidFill>
              <a:sysClr val="windowText" lastClr="000000"/>
            </a:solidFill>
            <a:latin typeface="Calibri"/>
            <a:ea typeface="+mn-ea"/>
            <a:cs typeface="Calibri"/>
          </a:endParaRPr>
        </a:p>
      </xdr:txBody>
    </xdr:sp>
    <xdr:clientData/>
  </xdr:twoCellAnchor>
  <xdr:twoCellAnchor>
    <xdr:from>
      <xdr:col>4</xdr:col>
      <xdr:colOff>0</xdr:colOff>
      <xdr:row>21</xdr:row>
      <xdr:rowOff>0</xdr:rowOff>
    </xdr:from>
    <xdr:to>
      <xdr:col>9</xdr:col>
      <xdr:colOff>0</xdr:colOff>
      <xdr:row>22</xdr:row>
      <xdr:rowOff>0</xdr:rowOff>
    </xdr:to>
    <xdr:sp macro="" textlink="">
      <xdr:nvSpPr>
        <xdr:cNvPr id="20" name="magic_text_email_4">
          <a:hlinkClick xmlns:r="http://schemas.openxmlformats.org/officeDocument/2006/relationships" r:id="rId8"/>
          <a:extLst>
            <a:ext uri="{FF2B5EF4-FFF2-40B4-BE49-F238E27FC236}">
              <a16:creationId xmlns:a16="http://schemas.microsoft.com/office/drawing/2014/main" id="{00000000-0008-0000-1A00-000014000000}"/>
            </a:ext>
          </a:extLst>
        </xdr:cNvPr>
        <xdr:cNvSpPr txBox="1"/>
      </xdr:nvSpPr>
      <xdr:spPr>
        <a:xfrm>
          <a:off x="1847850" y="5048250"/>
          <a:ext cx="8039100" cy="371475"/>
        </a:xfrm>
        <a:prstGeom prst="rect">
          <a:avLst/>
        </a:prstGeom>
        <a:solidFill>
          <a:schemeClr val="bg1">
            <a:lumMod val="9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108000" tIns="72000" rIns="144000" rtlCol="0" anchor="ctr" anchorCtr="0"/>
        <a:lstStyle/>
        <a:p>
          <a:pPr algn="l"/>
          <a:r>
            <a:rPr lang="en-US" sz="1100" b="0" i="0" u="none" strike="noStrike">
              <a:solidFill>
                <a:sysClr val="windowText" lastClr="000000"/>
              </a:solidFill>
              <a:latin typeface="Calibri"/>
              <a:ea typeface="+mn-ea"/>
              <a:cs typeface="Calibri"/>
            </a:rPr>
            <a:t> </a:t>
          </a:r>
          <a:endParaRPr lang="en-US" sz="1100" b="1" i="0" u="none" strike="noStrike">
            <a:solidFill>
              <a:sysClr val="windowText" lastClr="000000"/>
            </a:solidFill>
            <a:latin typeface="+mn-lt"/>
            <a:ea typeface="+mn-ea"/>
            <a:cs typeface="+mn-cs"/>
          </a:endParaRPr>
        </a:p>
      </xdr:txBody>
    </xdr:sp>
    <xdr:clientData/>
  </xdr:twoCellAnchor>
  <xdr:twoCellAnchor>
    <xdr:from>
      <xdr:col>2</xdr:col>
      <xdr:colOff>0</xdr:colOff>
      <xdr:row>21</xdr:row>
      <xdr:rowOff>0</xdr:rowOff>
    </xdr:from>
    <xdr:to>
      <xdr:col>4</xdr:col>
      <xdr:colOff>0</xdr:colOff>
      <xdr:row>22</xdr:row>
      <xdr:rowOff>0</xdr:rowOff>
    </xdr:to>
    <xdr:sp macro="" textlink="">
      <xdr:nvSpPr>
        <xdr:cNvPr id="21" name="title_4">
          <a:extLst>
            <a:ext uri="{FF2B5EF4-FFF2-40B4-BE49-F238E27FC236}">
              <a16:creationId xmlns:a16="http://schemas.microsoft.com/office/drawing/2014/main" id="{00000000-0008-0000-1A00-000015000000}"/>
            </a:ext>
          </a:extLst>
        </xdr:cNvPr>
        <xdr:cNvSpPr txBox="1"/>
      </xdr:nvSpPr>
      <xdr:spPr>
        <a:xfrm>
          <a:off x="419100" y="5048250"/>
          <a:ext cx="1428750" cy="371475"/>
        </a:xfrm>
        <a:prstGeom prst="rect">
          <a:avLst/>
        </a:prstGeom>
        <a:solidFill>
          <a:schemeClr val="bg1">
            <a:lumMod val="9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72000" tIns="72000" rIns="72000" rtlCol="0" anchor="ctr" anchorCtr="0"/>
        <a:lstStyle/>
        <a:p>
          <a:pPr algn="r"/>
          <a:fld id="{6F75DC43-CECA-4BE5-A78D-E7D29A7A857C}" type="TxLink">
            <a:rPr lang="en-US" sz="1100" b="1" i="0" u="none" strike="noStrike">
              <a:solidFill>
                <a:srgbClr val="000000"/>
              </a:solidFill>
              <a:latin typeface="Calibri"/>
              <a:ea typeface="+mn-ea"/>
              <a:cs typeface="Calibri"/>
            </a:rPr>
            <a:pPr algn="r"/>
            <a:t> </a:t>
          </a:fld>
          <a:endParaRPr lang="en-US" sz="1100" b="1" i="0" u="none" strike="noStrike">
            <a:solidFill>
              <a:sysClr val="windowText" lastClr="000000"/>
            </a:solidFill>
            <a:latin typeface="Calibri"/>
            <a:ea typeface="+mn-ea"/>
            <a:cs typeface="Calibri"/>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200025</xdr:colOff>
      <xdr:row>1</xdr:row>
      <xdr:rowOff>19050</xdr:rowOff>
    </xdr:from>
    <xdr:to>
      <xdr:col>7</xdr:col>
      <xdr:colOff>1152526</xdr:colOff>
      <xdr:row>1</xdr:row>
      <xdr:rowOff>266699</xdr:rowOff>
    </xdr:to>
    <xdr:sp macro="" textlink="">
      <xdr:nvSpPr>
        <xdr:cNvPr id="2" name="npc_1">
          <a:extLst>
            <a:ext uri="{FF2B5EF4-FFF2-40B4-BE49-F238E27FC236}">
              <a16:creationId xmlns:a16="http://schemas.microsoft.com/office/drawing/2014/main" id="{00000000-0008-0000-1B00-000002000000}"/>
            </a:ext>
          </a:extLst>
        </xdr:cNvPr>
        <xdr:cNvSpPr txBox="1"/>
      </xdr:nvSpPr>
      <xdr:spPr>
        <a:xfrm>
          <a:off x="6591300" y="85725"/>
          <a:ext cx="2828926"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1000"/>
            <a:t>Select a zoom level appropriate for your display</a:t>
          </a:r>
        </a:p>
      </xdr:txBody>
    </xdr:sp>
    <xdr:clientData fPrintsWithSheet="0"/>
  </xdr:twoCellAnchor>
  <xdr:twoCellAnchor>
    <xdr:from>
      <xdr:col>2</xdr:col>
      <xdr:colOff>0</xdr:colOff>
      <xdr:row>33</xdr:row>
      <xdr:rowOff>0</xdr:rowOff>
    </xdr:from>
    <xdr:to>
      <xdr:col>4</xdr:col>
      <xdr:colOff>0</xdr:colOff>
      <xdr:row>33</xdr:row>
      <xdr:rowOff>285750</xdr:rowOff>
    </xdr:to>
    <xdr:sp macro="[0]!k" textlink="">
      <xdr:nvSpPr>
        <xdr:cNvPr id="3" name="nav_page_1_4">
          <a:extLst>
            <a:ext uri="{FF2B5EF4-FFF2-40B4-BE49-F238E27FC236}">
              <a16:creationId xmlns:a16="http://schemas.microsoft.com/office/drawing/2014/main" id="{00000000-0008-0000-1B00-000003000000}"/>
            </a:ext>
          </a:extLst>
        </xdr:cNvPr>
        <xdr:cNvSpPr txBox="1"/>
      </xdr:nvSpPr>
      <xdr:spPr>
        <a:xfrm>
          <a:off x="514350" y="6438900"/>
          <a:ext cx="14668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rtlCol="0" anchor="t" anchorCtr="0"/>
        <a:lstStyle/>
        <a:p>
          <a:pPr algn="l"/>
          <a:r>
            <a:rPr lang="en-US" sz="1100" b="1" i="0" u="sng" strike="noStrike">
              <a:solidFill>
                <a:srgbClr val="0070C0"/>
              </a:solidFill>
              <a:latin typeface="Calibri"/>
            </a:rPr>
            <a:t>City Detail</a:t>
          </a:r>
        </a:p>
      </xdr:txBody>
    </xdr:sp>
    <xdr:clientData/>
  </xdr:twoCellAnchor>
  <xdr:twoCellAnchor>
    <xdr:from>
      <xdr:col>2</xdr:col>
      <xdr:colOff>0</xdr:colOff>
      <xdr:row>39</xdr:row>
      <xdr:rowOff>0</xdr:rowOff>
    </xdr:from>
    <xdr:to>
      <xdr:col>4</xdr:col>
      <xdr:colOff>0</xdr:colOff>
      <xdr:row>39</xdr:row>
      <xdr:rowOff>323848</xdr:rowOff>
    </xdr:to>
    <xdr:sp macro="[0]!k" textlink="">
      <xdr:nvSpPr>
        <xdr:cNvPr id="4" name="nav_page_1_7">
          <a:extLst>
            <a:ext uri="{FF2B5EF4-FFF2-40B4-BE49-F238E27FC236}">
              <a16:creationId xmlns:a16="http://schemas.microsoft.com/office/drawing/2014/main" id="{00000000-0008-0000-1B00-000004000000}"/>
            </a:ext>
          </a:extLst>
        </xdr:cNvPr>
        <xdr:cNvSpPr txBox="1"/>
      </xdr:nvSpPr>
      <xdr:spPr>
        <a:xfrm>
          <a:off x="514350" y="8001000"/>
          <a:ext cx="1466850" cy="31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rtlCol="0" anchor="t" anchorCtr="0"/>
        <a:lstStyle/>
        <a:p>
          <a:pPr algn="l"/>
          <a:r>
            <a:rPr lang="en-US" sz="1100" b="1" i="0" u="sng" strike="noStrike">
              <a:solidFill>
                <a:srgbClr val="0070C0"/>
              </a:solidFill>
              <a:latin typeface="Calibri"/>
            </a:rPr>
            <a:t>Scatter Plot</a:t>
          </a:r>
        </a:p>
      </xdr:txBody>
    </xdr:sp>
    <xdr:clientData/>
  </xdr:twoCellAnchor>
  <xdr:oneCellAnchor>
    <xdr:from>
      <xdr:col>9</xdr:col>
      <xdr:colOff>0</xdr:colOff>
      <xdr:row>36</xdr:row>
      <xdr:rowOff>0</xdr:rowOff>
    </xdr:from>
    <xdr:ext cx="184731" cy="264560"/>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1013460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2</xdr:col>
      <xdr:colOff>0</xdr:colOff>
      <xdr:row>37</xdr:row>
      <xdr:rowOff>0</xdr:rowOff>
    </xdr:from>
    <xdr:to>
      <xdr:col>4</xdr:col>
      <xdr:colOff>0</xdr:colOff>
      <xdr:row>37</xdr:row>
      <xdr:rowOff>323848</xdr:rowOff>
    </xdr:to>
    <xdr:sp macro="[0]!k" textlink="">
      <xdr:nvSpPr>
        <xdr:cNvPr id="6" name="nav_page_1_6">
          <a:extLst>
            <a:ext uri="{FF2B5EF4-FFF2-40B4-BE49-F238E27FC236}">
              <a16:creationId xmlns:a16="http://schemas.microsoft.com/office/drawing/2014/main" id="{00000000-0008-0000-1B00-000006000000}"/>
            </a:ext>
          </a:extLst>
        </xdr:cNvPr>
        <xdr:cNvSpPr txBox="1"/>
      </xdr:nvSpPr>
      <xdr:spPr>
        <a:xfrm>
          <a:off x="514350" y="7219950"/>
          <a:ext cx="1466850" cy="31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rtlCol="0" anchor="t" anchorCtr="0"/>
        <a:lstStyle/>
        <a:p>
          <a:pPr algn="l"/>
          <a:r>
            <a:rPr lang="en-US" sz="1100" b="1" i="0" u="sng" strike="noStrike">
              <a:solidFill>
                <a:srgbClr val="0070C0"/>
              </a:solidFill>
              <a:latin typeface="Calibri"/>
            </a:rPr>
            <a:t>All Measures</a:t>
          </a:r>
        </a:p>
      </xdr:txBody>
    </xdr:sp>
    <xdr:clientData/>
  </xdr:twoCellAnchor>
  <mc:AlternateContent xmlns:mc="http://schemas.openxmlformats.org/markup-compatibility/2006">
    <mc:Choice xmlns:a14="http://schemas.microsoft.com/office/drawing/2010/main" Requires="a14">
      <xdr:twoCellAnchor editAs="oneCell">
        <xdr:from>
          <xdr:col>7</xdr:col>
          <xdr:colOff>1230086</xdr:colOff>
          <xdr:row>1</xdr:row>
          <xdr:rowOff>38100</xdr:rowOff>
        </xdr:from>
        <xdr:to>
          <xdr:col>8</xdr:col>
          <xdr:colOff>293914</xdr:colOff>
          <xdr:row>1</xdr:row>
          <xdr:rowOff>255814</xdr:rowOff>
        </xdr:to>
        <xdr:sp macro="" textlink="">
          <xdr:nvSpPr>
            <xdr:cNvPr id="5942273" name="cnt_GlobalZoom" hidden="1">
              <a:extLst>
                <a:ext uri="{63B3BB69-23CF-44E3-9099-C40C66FF867C}">
                  <a14:compatExt spid="_x0000_s5942273"/>
                </a:ext>
                <a:ext uri="{FF2B5EF4-FFF2-40B4-BE49-F238E27FC236}">
                  <a16:creationId xmlns:a16="http://schemas.microsoft.com/office/drawing/2014/main" id="{00000000-0008-0000-1B00-000001AC5A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xdr:col>
      <xdr:colOff>0</xdr:colOff>
      <xdr:row>50</xdr:row>
      <xdr:rowOff>0</xdr:rowOff>
    </xdr:from>
    <xdr:to>
      <xdr:col>9</xdr:col>
      <xdr:colOff>0</xdr:colOff>
      <xdr:row>51</xdr:row>
      <xdr:rowOff>0</xdr:rowOff>
    </xdr:to>
    <xdr:sp macro="[0]!k" textlink="">
      <xdr:nvSpPr>
        <xdr:cNvPr id="8" name="nav_user_guide">
          <a:extLst>
            <a:ext uri="{FF2B5EF4-FFF2-40B4-BE49-F238E27FC236}">
              <a16:creationId xmlns:a16="http://schemas.microsoft.com/office/drawing/2014/main" id="{00000000-0008-0000-1B00-000008000000}"/>
            </a:ext>
          </a:extLst>
        </xdr:cNvPr>
        <xdr:cNvSpPr txBox="1"/>
      </xdr:nvSpPr>
      <xdr:spPr>
        <a:xfrm>
          <a:off x="514350" y="8982075"/>
          <a:ext cx="9620250" cy="352425"/>
        </a:xfrm>
        <a:prstGeom prst="rect">
          <a:avLst/>
        </a:prstGeom>
        <a:solidFill>
          <a:schemeClr val="accent6">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252000" tIns="72000" rIns="144000" rtlCol="0" anchor="ctr" anchorCtr="0"/>
        <a:lstStyle/>
        <a:p>
          <a:pPr algn="ctr"/>
          <a:r>
            <a:rPr lang="en-US" sz="1050" b="1" i="0" u="none" strike="noStrike">
              <a:solidFill>
                <a:sysClr val="windowText" lastClr="000000"/>
              </a:solidFill>
              <a:latin typeface="+mn-lt"/>
              <a:ea typeface="+mn-ea"/>
              <a:cs typeface="+mn-cs"/>
            </a:rPr>
            <a:t>First time user? </a:t>
          </a:r>
          <a:r>
            <a:rPr lang="en-US" sz="1050" b="1" i="0" u="sng" strike="noStrike">
              <a:solidFill>
                <a:srgbClr val="0070C0"/>
              </a:solidFill>
              <a:latin typeface="+mn-lt"/>
              <a:ea typeface="+mn-ea"/>
              <a:cs typeface="+mn-cs"/>
            </a:rPr>
            <a:t>Click here </a:t>
          </a:r>
          <a:r>
            <a:rPr lang="en-US" sz="1050" b="1" i="0" u="none" strike="noStrike">
              <a:solidFill>
                <a:sysClr val="windowText" lastClr="000000"/>
              </a:solidFill>
              <a:latin typeface="+mn-lt"/>
              <a:ea typeface="+mn-ea"/>
              <a:cs typeface="+mn-cs"/>
            </a:rPr>
            <a:t>for tips on using this workbook</a:t>
          </a:r>
        </a:p>
        <a:p>
          <a:pPr algn="ctr"/>
          <a:endParaRPr lang="en-US" sz="1050" b="1" i="0" u="none" strike="noStrike">
            <a:solidFill>
              <a:sysClr val="windowText" lastClr="000000"/>
            </a:solidFill>
            <a:latin typeface="Calibri"/>
            <a:ea typeface="+mn-ea"/>
            <a:cs typeface="+mn-cs"/>
          </a:endParaRPr>
        </a:p>
      </xdr:txBody>
    </xdr:sp>
    <xdr:clientData/>
  </xdr:twoCellAnchor>
  <xdr:twoCellAnchor>
    <xdr:from>
      <xdr:col>2</xdr:col>
      <xdr:colOff>0</xdr:colOff>
      <xdr:row>31</xdr:row>
      <xdr:rowOff>0</xdr:rowOff>
    </xdr:from>
    <xdr:to>
      <xdr:col>4</xdr:col>
      <xdr:colOff>0</xdr:colOff>
      <xdr:row>31</xdr:row>
      <xdr:rowOff>285750</xdr:rowOff>
    </xdr:to>
    <xdr:sp macro="[0]!k" textlink="">
      <xdr:nvSpPr>
        <xdr:cNvPr id="9" name="nav_page_1_3">
          <a:extLst>
            <a:ext uri="{FF2B5EF4-FFF2-40B4-BE49-F238E27FC236}">
              <a16:creationId xmlns:a16="http://schemas.microsoft.com/office/drawing/2014/main" id="{00000000-0008-0000-1B00-000009000000}"/>
            </a:ext>
          </a:extLst>
        </xdr:cNvPr>
        <xdr:cNvSpPr txBox="1"/>
      </xdr:nvSpPr>
      <xdr:spPr>
        <a:xfrm>
          <a:off x="514350" y="6048375"/>
          <a:ext cx="14668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rtlCol="0" anchor="t" anchorCtr="0"/>
        <a:lstStyle/>
        <a:p>
          <a:pPr algn="l"/>
          <a:r>
            <a:rPr lang="en-US" sz="1100" b="1" i="0" u="sng" strike="noStrike">
              <a:solidFill>
                <a:srgbClr val="0070C0"/>
              </a:solidFill>
              <a:latin typeface="Calibri"/>
            </a:rPr>
            <a:t>City Profiles</a:t>
          </a:r>
        </a:p>
      </xdr:txBody>
    </xdr:sp>
    <xdr:clientData/>
  </xdr:twoCellAnchor>
  <xdr:twoCellAnchor>
    <xdr:from>
      <xdr:col>2</xdr:col>
      <xdr:colOff>0</xdr:colOff>
      <xdr:row>13</xdr:row>
      <xdr:rowOff>104775</xdr:rowOff>
    </xdr:from>
    <xdr:to>
      <xdr:col>3</xdr:col>
      <xdr:colOff>800100</xdr:colOff>
      <xdr:row>16</xdr:row>
      <xdr:rowOff>9525</xdr:rowOff>
    </xdr:to>
    <xdr:pic>
      <xdr:nvPicPr>
        <xdr:cNvPr id="10" name="ei_logo">
          <a:hlinkClick xmlns:r="http://schemas.openxmlformats.org/officeDocument/2006/relationships" r:id="rId1"/>
          <a:extLst>
            <a:ext uri="{FF2B5EF4-FFF2-40B4-BE49-F238E27FC236}">
              <a16:creationId xmlns:a16="http://schemas.microsoft.com/office/drawing/2014/main" id="{00000000-0008-0000-1B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4350" y="2409825"/>
          <a:ext cx="1238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25</xdr:row>
      <xdr:rowOff>0</xdr:rowOff>
    </xdr:from>
    <xdr:to>
      <xdr:col>4</xdr:col>
      <xdr:colOff>0</xdr:colOff>
      <xdr:row>25</xdr:row>
      <xdr:rowOff>285750</xdr:rowOff>
    </xdr:to>
    <xdr:sp macro="[0]!k" textlink="">
      <xdr:nvSpPr>
        <xdr:cNvPr id="11" name="nav_page_1_0">
          <a:extLst>
            <a:ext uri="{FF2B5EF4-FFF2-40B4-BE49-F238E27FC236}">
              <a16:creationId xmlns:a16="http://schemas.microsoft.com/office/drawing/2014/main" id="{00000000-0008-0000-1B00-00000B000000}"/>
            </a:ext>
          </a:extLst>
        </xdr:cNvPr>
        <xdr:cNvSpPr txBox="1"/>
      </xdr:nvSpPr>
      <xdr:spPr>
        <a:xfrm>
          <a:off x="514350" y="4876800"/>
          <a:ext cx="14668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rtlCol="0" anchor="t" anchorCtr="0"/>
        <a:lstStyle/>
        <a:p>
          <a:pPr algn="l"/>
          <a:r>
            <a:rPr lang="en-US" sz="1100" b="1" i="0" u="sng" strike="noStrike">
              <a:solidFill>
                <a:srgbClr val="0070C0"/>
              </a:solidFill>
              <a:latin typeface="Calibri"/>
            </a:rPr>
            <a:t>Overview</a:t>
          </a:r>
        </a:p>
      </xdr:txBody>
    </xdr:sp>
    <xdr:clientData/>
  </xdr:twoCellAnchor>
  <xdr:twoCellAnchor>
    <xdr:from>
      <xdr:col>2</xdr:col>
      <xdr:colOff>0</xdr:colOff>
      <xdr:row>29</xdr:row>
      <xdr:rowOff>0</xdr:rowOff>
    </xdr:from>
    <xdr:to>
      <xdr:col>4</xdr:col>
      <xdr:colOff>0</xdr:colOff>
      <xdr:row>29</xdr:row>
      <xdr:rowOff>285750</xdr:rowOff>
    </xdr:to>
    <xdr:sp macro="[0]!k" textlink="">
      <xdr:nvSpPr>
        <xdr:cNvPr id="12" name="nav_page_1_2">
          <a:extLst>
            <a:ext uri="{FF2B5EF4-FFF2-40B4-BE49-F238E27FC236}">
              <a16:creationId xmlns:a16="http://schemas.microsoft.com/office/drawing/2014/main" id="{00000000-0008-0000-1B00-00000C000000}"/>
            </a:ext>
          </a:extLst>
        </xdr:cNvPr>
        <xdr:cNvSpPr txBox="1"/>
      </xdr:nvSpPr>
      <xdr:spPr>
        <a:xfrm>
          <a:off x="514350" y="5657850"/>
          <a:ext cx="14668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rtlCol="0" anchor="t" anchorCtr="0"/>
        <a:lstStyle/>
        <a:p>
          <a:pPr algn="l"/>
          <a:r>
            <a:rPr lang="en-US" sz="1100" b="1" i="0" u="sng" strike="noStrike">
              <a:solidFill>
                <a:srgbClr val="0070C0"/>
              </a:solidFill>
              <a:latin typeface="Calibri"/>
            </a:rPr>
            <a:t>City Snapshots</a:t>
          </a:r>
        </a:p>
      </xdr:txBody>
    </xdr:sp>
    <xdr:clientData/>
  </xdr:twoCellAnchor>
  <xdr:twoCellAnchor>
    <xdr:from>
      <xdr:col>2</xdr:col>
      <xdr:colOff>0</xdr:colOff>
      <xdr:row>35</xdr:row>
      <xdr:rowOff>0</xdr:rowOff>
    </xdr:from>
    <xdr:to>
      <xdr:col>4</xdr:col>
      <xdr:colOff>0</xdr:colOff>
      <xdr:row>35</xdr:row>
      <xdr:rowOff>323848</xdr:rowOff>
    </xdr:to>
    <xdr:sp macro="[0]!k" textlink="">
      <xdr:nvSpPr>
        <xdr:cNvPr id="13" name="nav_page_1_5">
          <a:extLst>
            <a:ext uri="{FF2B5EF4-FFF2-40B4-BE49-F238E27FC236}">
              <a16:creationId xmlns:a16="http://schemas.microsoft.com/office/drawing/2014/main" id="{00000000-0008-0000-1B00-00000D000000}"/>
            </a:ext>
          </a:extLst>
        </xdr:cNvPr>
        <xdr:cNvSpPr txBox="1"/>
      </xdr:nvSpPr>
      <xdr:spPr>
        <a:xfrm>
          <a:off x="514350" y="6829425"/>
          <a:ext cx="1466850" cy="31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rtlCol="0" anchor="t" anchorCtr="0"/>
        <a:lstStyle/>
        <a:p>
          <a:pPr algn="l"/>
          <a:r>
            <a:rPr lang="en-US" sz="1100" b="1" i="0" u="sng" strike="noStrike">
              <a:solidFill>
                <a:srgbClr val="0070C0"/>
              </a:solidFill>
              <a:latin typeface="Calibri"/>
            </a:rPr>
            <a:t>Compare Cities</a:t>
          </a:r>
        </a:p>
      </xdr:txBody>
    </xdr:sp>
    <xdr:clientData/>
  </xdr:twoCellAnchor>
  <xdr:oneCellAnchor>
    <xdr:from>
      <xdr:col>9</xdr:col>
      <xdr:colOff>0</xdr:colOff>
      <xdr:row>41</xdr:row>
      <xdr:rowOff>219075</xdr:rowOff>
    </xdr:from>
    <xdr:ext cx="184731" cy="264560"/>
    <xdr:sp macro="" textlink="">
      <xdr:nvSpPr>
        <xdr:cNvPr id="14" name="TextBox 13">
          <a:extLst>
            <a:ext uri="{FF2B5EF4-FFF2-40B4-BE49-F238E27FC236}">
              <a16:creationId xmlns:a16="http://schemas.microsoft.com/office/drawing/2014/main" id="{00000000-0008-0000-1B00-00000E000000}"/>
            </a:ext>
          </a:extLst>
        </xdr:cNvPr>
        <xdr:cNvSpPr txBox="1"/>
      </xdr:nvSpPr>
      <xdr:spPr>
        <a:xfrm>
          <a:off x="10134600" y="782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9</xdr:col>
      <xdr:colOff>0</xdr:colOff>
      <xdr:row>37</xdr:row>
      <xdr:rowOff>219075</xdr:rowOff>
    </xdr:from>
    <xdr:ext cx="184731" cy="264560"/>
    <xdr:sp macro="" textlink="">
      <xdr:nvSpPr>
        <xdr:cNvPr id="15" name="TextBox 14">
          <a:extLst>
            <a:ext uri="{FF2B5EF4-FFF2-40B4-BE49-F238E27FC236}">
              <a16:creationId xmlns:a16="http://schemas.microsoft.com/office/drawing/2014/main" id="{00000000-0008-0000-1B00-00000F000000}"/>
            </a:ext>
          </a:extLst>
        </xdr:cNvPr>
        <xdr:cNvSpPr txBox="1"/>
      </xdr:nvSpPr>
      <xdr:spPr>
        <a:xfrm>
          <a:off x="10134600" y="74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2</xdr:col>
      <xdr:colOff>0</xdr:colOff>
      <xdr:row>41</xdr:row>
      <xdr:rowOff>0</xdr:rowOff>
    </xdr:from>
    <xdr:to>
      <xdr:col>4</xdr:col>
      <xdr:colOff>0</xdr:colOff>
      <xdr:row>41</xdr:row>
      <xdr:rowOff>323848</xdr:rowOff>
    </xdr:to>
    <xdr:sp macro="[0]!k" textlink="">
      <xdr:nvSpPr>
        <xdr:cNvPr id="16" name="nav_page_1_8">
          <a:extLst>
            <a:ext uri="{FF2B5EF4-FFF2-40B4-BE49-F238E27FC236}">
              <a16:creationId xmlns:a16="http://schemas.microsoft.com/office/drawing/2014/main" id="{00000000-0008-0000-1B00-000010000000}"/>
            </a:ext>
          </a:extLst>
        </xdr:cNvPr>
        <xdr:cNvSpPr txBox="1"/>
      </xdr:nvSpPr>
      <xdr:spPr>
        <a:xfrm>
          <a:off x="514350" y="7610475"/>
          <a:ext cx="1466850" cy="31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rtlCol="0" anchor="t" anchorCtr="0"/>
        <a:lstStyle/>
        <a:p>
          <a:pPr algn="l"/>
          <a:r>
            <a:rPr lang="en-US" sz="1100" b="1" i="0" u="sng" strike="noStrike">
              <a:solidFill>
                <a:srgbClr val="0070C0"/>
              </a:solidFill>
              <a:latin typeface="Calibri"/>
            </a:rPr>
            <a:t>Weights</a:t>
          </a:r>
        </a:p>
      </xdr:txBody>
    </xdr:sp>
    <xdr:clientData/>
  </xdr:twoCellAnchor>
  <xdr:twoCellAnchor>
    <xdr:from>
      <xdr:col>2</xdr:col>
      <xdr:colOff>0</xdr:colOff>
      <xdr:row>51</xdr:row>
      <xdr:rowOff>0</xdr:rowOff>
    </xdr:from>
    <xdr:to>
      <xdr:col>9</xdr:col>
      <xdr:colOff>0</xdr:colOff>
      <xdr:row>51</xdr:row>
      <xdr:rowOff>361950</xdr:rowOff>
    </xdr:to>
    <xdr:sp macro="[0]!k" textlink="">
      <xdr:nvSpPr>
        <xdr:cNvPr id="17" name="email_the_team">
          <a:hlinkClick xmlns:r="http://schemas.openxmlformats.org/officeDocument/2006/relationships" r:id="rId3"/>
          <a:extLst>
            <a:ext uri="{FF2B5EF4-FFF2-40B4-BE49-F238E27FC236}">
              <a16:creationId xmlns:a16="http://schemas.microsoft.com/office/drawing/2014/main" id="{00000000-0008-0000-1B00-000011000000}"/>
            </a:ext>
          </a:extLst>
        </xdr:cNvPr>
        <xdr:cNvSpPr txBox="1"/>
      </xdr:nvSpPr>
      <xdr:spPr>
        <a:xfrm>
          <a:off x="514350" y="9334500"/>
          <a:ext cx="9620250" cy="361950"/>
        </a:xfrm>
        <a:prstGeom prst="rect">
          <a:avLst/>
        </a:prstGeom>
        <a:solidFill>
          <a:schemeClr val="accent6">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252000" tIns="72000" rIns="144000" rtlCol="0" anchor="ctr" anchorCtr="0"/>
        <a:lstStyle/>
        <a:p>
          <a:pPr algn="ctr"/>
          <a:r>
            <a:rPr lang="en-US" sz="1050" b="1" i="0" u="sng" strike="noStrike">
              <a:solidFill>
                <a:srgbClr val="0070C0"/>
              </a:solidFill>
              <a:latin typeface="+mn-lt"/>
              <a:ea typeface="+mn-ea"/>
              <a:cs typeface="+mn-cs"/>
            </a:rPr>
            <a:t>Send an email to the research</a:t>
          </a:r>
          <a:r>
            <a:rPr lang="en-US" sz="1050" b="1" i="0" u="sng" strike="noStrike" baseline="0">
              <a:solidFill>
                <a:srgbClr val="0070C0"/>
              </a:solidFill>
              <a:latin typeface="+mn-lt"/>
              <a:ea typeface="+mn-ea"/>
              <a:cs typeface="+mn-cs"/>
            </a:rPr>
            <a:t> team</a:t>
          </a:r>
          <a:endParaRPr lang="en-US" sz="1050" b="1" i="0" u="none" strike="noStrike">
            <a:solidFill>
              <a:sysClr val="windowText" lastClr="000000"/>
            </a:solidFill>
            <a:latin typeface="+mn-lt"/>
            <a:ea typeface="+mn-ea"/>
            <a:cs typeface="+mn-cs"/>
          </a:endParaRPr>
        </a:p>
        <a:p>
          <a:pPr algn="ctr"/>
          <a:endParaRPr lang="en-US" sz="1050" b="1" i="0" u="none" strike="noStrike">
            <a:solidFill>
              <a:sysClr val="windowText" lastClr="000000"/>
            </a:solidFill>
            <a:latin typeface="Calibri"/>
            <a:ea typeface="+mn-ea"/>
            <a:cs typeface="+mn-cs"/>
          </a:endParaRPr>
        </a:p>
      </xdr:txBody>
    </xdr:sp>
    <xdr:clientData/>
  </xdr:twoCellAnchor>
  <xdr:twoCellAnchor>
    <xdr:from>
      <xdr:col>2</xdr:col>
      <xdr:colOff>0</xdr:colOff>
      <xdr:row>27</xdr:row>
      <xdr:rowOff>0</xdr:rowOff>
    </xdr:from>
    <xdr:to>
      <xdr:col>4</xdr:col>
      <xdr:colOff>0</xdr:colOff>
      <xdr:row>27</xdr:row>
      <xdr:rowOff>285750</xdr:rowOff>
    </xdr:to>
    <xdr:sp macro="[0]!k" textlink="">
      <xdr:nvSpPr>
        <xdr:cNvPr id="18" name="nav_page_1_1">
          <a:extLst>
            <a:ext uri="{FF2B5EF4-FFF2-40B4-BE49-F238E27FC236}">
              <a16:creationId xmlns:a16="http://schemas.microsoft.com/office/drawing/2014/main" id="{00000000-0008-0000-1B00-000012000000}"/>
            </a:ext>
          </a:extLst>
        </xdr:cNvPr>
        <xdr:cNvSpPr txBox="1"/>
      </xdr:nvSpPr>
      <xdr:spPr>
        <a:xfrm>
          <a:off x="514350" y="5267325"/>
          <a:ext cx="14668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rtlCol="0" anchor="t" anchorCtr="0"/>
        <a:lstStyle/>
        <a:p>
          <a:pPr algn="l"/>
          <a:r>
            <a:rPr lang="en-US" sz="1100" b="1" i="0" u="sng" strike="noStrike">
              <a:solidFill>
                <a:srgbClr val="0070C0"/>
              </a:solidFill>
              <a:latin typeface="Calibri"/>
            </a:rPr>
            <a:t>Rankings</a:t>
          </a:r>
        </a:p>
      </xdr:txBody>
    </xdr:sp>
    <xdr:clientData/>
  </xdr:twoCellAnchor>
  <xdr:twoCellAnchor>
    <xdr:from>
      <xdr:col>2</xdr:col>
      <xdr:colOff>0</xdr:colOff>
      <xdr:row>3</xdr:row>
      <xdr:rowOff>0</xdr:rowOff>
    </xdr:from>
    <xdr:to>
      <xdr:col>9</xdr:col>
      <xdr:colOff>0</xdr:colOff>
      <xdr:row>4</xdr:row>
      <xdr:rowOff>0</xdr:rowOff>
    </xdr:to>
    <xdr:sp macro="" textlink="">
      <xdr:nvSpPr>
        <xdr:cNvPr id="19" name="txtDraftSticker">
          <a:extLst>
            <a:ext uri="{FF2B5EF4-FFF2-40B4-BE49-F238E27FC236}">
              <a16:creationId xmlns:a16="http://schemas.microsoft.com/office/drawing/2014/main" id="{00000000-0008-0000-1B00-000013000000}"/>
            </a:ext>
          </a:extLst>
        </xdr:cNvPr>
        <xdr:cNvSpPr txBox="1"/>
      </xdr:nvSpPr>
      <xdr:spPr>
        <a:xfrm>
          <a:off x="514350" y="514350"/>
          <a:ext cx="9620250" cy="6096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a:solidFill>
                <a:sysClr val="windowText" lastClr="000000"/>
              </a:solidFill>
            </a:rPr>
            <a:t>DEVELOPMENT</a:t>
          </a:r>
        </a:p>
        <a:p>
          <a:pPr algn="ctr"/>
          <a:r>
            <a:rPr lang="en-GB" sz="1100" b="1">
              <a:solidFill>
                <a:srgbClr val="FF0000"/>
              </a:solidFill>
            </a:rPr>
            <a:t>INTERNAL</a:t>
          </a:r>
          <a:r>
            <a:rPr lang="en-GB" sz="1100" b="1" baseline="0">
              <a:solidFill>
                <a:srgbClr val="FF0000"/>
              </a:solidFill>
            </a:rPr>
            <a:t> DISTRIBUTION ONLY</a:t>
          </a:r>
          <a:endParaRPr lang="en-GB" sz="1100" b="1">
            <a:solidFill>
              <a:srgbClr val="FF0000"/>
            </a:solidFill>
          </a:endParaRPr>
        </a:p>
      </xdr:txBody>
    </xdr:sp>
    <xdr:clientData/>
  </xdr:twoCellAnchor>
  <xdr:twoCellAnchor>
    <xdr:from>
      <xdr:col>4</xdr:col>
      <xdr:colOff>0</xdr:colOff>
      <xdr:row>53</xdr:row>
      <xdr:rowOff>0</xdr:rowOff>
    </xdr:from>
    <xdr:to>
      <xdr:col>9</xdr:col>
      <xdr:colOff>0</xdr:colOff>
      <xdr:row>54</xdr:row>
      <xdr:rowOff>0</xdr:rowOff>
    </xdr:to>
    <xdr:sp macro="" textlink="">
      <xdr:nvSpPr>
        <xdr:cNvPr id="20" name="magic_text_email_1">
          <a:hlinkClick xmlns:r="http://schemas.openxmlformats.org/officeDocument/2006/relationships" r:id="rId4"/>
          <a:extLst>
            <a:ext uri="{FF2B5EF4-FFF2-40B4-BE49-F238E27FC236}">
              <a16:creationId xmlns:a16="http://schemas.microsoft.com/office/drawing/2014/main" id="{00000000-0008-0000-1B00-000014000000}"/>
            </a:ext>
          </a:extLst>
        </xdr:cNvPr>
        <xdr:cNvSpPr txBox="1"/>
      </xdr:nvSpPr>
      <xdr:spPr>
        <a:xfrm>
          <a:off x="1981200" y="9934575"/>
          <a:ext cx="8153400" cy="371475"/>
        </a:xfrm>
        <a:prstGeom prst="rect">
          <a:avLst/>
        </a:prstGeom>
        <a:solidFill>
          <a:schemeClr val="bg1">
            <a:lumMod val="9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108000" tIns="72000" rIns="144000" rtlCol="0" anchor="ctr" anchorCtr="0"/>
        <a:lstStyle/>
        <a:p>
          <a:pPr algn="l"/>
          <a:r>
            <a:rPr lang="en-US" sz="1100" i="0" u="none" strike="noStrike">
              <a:solidFill>
                <a:sysClr val="windowText" lastClr="000000"/>
              </a:solidFill>
              <a:ea typeface="+mn-ea"/>
            </a:rPr>
            <a:t>Alicia White, </a:t>
          </a:r>
          <a:r>
            <a:rPr lang="en-US" sz="1100" b="1" i="0" u="words" strike="noStrike">
              <a:solidFill>
                <a:srgbClr xmlns:mc="http://schemas.openxmlformats.org/markup-compatibility/2006" xmlns:a14="http://schemas.microsoft.com/office/drawing/2010/main" val="005E9E" mc:Ignorable="a14" a14:legacySpreadsheetColorIndex="10"/>
              </a:solidFill>
              <a:ea typeface="+mn-ea"/>
            </a:rPr>
            <a:t>AliciaWhite@economist.com</a:t>
          </a:r>
        </a:p>
      </xdr:txBody>
    </xdr:sp>
    <xdr:clientData/>
  </xdr:twoCellAnchor>
  <xdr:twoCellAnchor>
    <xdr:from>
      <xdr:col>4</xdr:col>
      <xdr:colOff>0</xdr:colOff>
      <xdr:row>54</xdr:row>
      <xdr:rowOff>0</xdr:rowOff>
    </xdr:from>
    <xdr:to>
      <xdr:col>9</xdr:col>
      <xdr:colOff>0</xdr:colOff>
      <xdr:row>55</xdr:row>
      <xdr:rowOff>0</xdr:rowOff>
    </xdr:to>
    <xdr:sp macro="" textlink="">
      <xdr:nvSpPr>
        <xdr:cNvPr id="21" name="magic_text_email_2">
          <a:hlinkClick xmlns:r="http://schemas.openxmlformats.org/officeDocument/2006/relationships" r:id="rId5"/>
          <a:extLst>
            <a:ext uri="{FF2B5EF4-FFF2-40B4-BE49-F238E27FC236}">
              <a16:creationId xmlns:a16="http://schemas.microsoft.com/office/drawing/2014/main" id="{00000000-0008-0000-1B00-000015000000}"/>
            </a:ext>
          </a:extLst>
        </xdr:cNvPr>
        <xdr:cNvSpPr txBox="1"/>
      </xdr:nvSpPr>
      <xdr:spPr>
        <a:xfrm>
          <a:off x="1981200" y="10306050"/>
          <a:ext cx="8153400" cy="371475"/>
        </a:xfrm>
        <a:prstGeom prst="rect">
          <a:avLst/>
        </a:prstGeom>
        <a:solidFill>
          <a:schemeClr val="bg1">
            <a:lumMod val="9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108000" tIns="72000" rIns="144000" rtlCol="0" anchor="ctr" anchorCtr="0"/>
        <a:lstStyle/>
        <a:p>
          <a:pPr algn="l"/>
          <a:r>
            <a:rPr lang="en-US" sz="1100" i="0" u="none" strike="noStrike">
              <a:solidFill>
                <a:sysClr val="windowText" lastClr="000000"/>
              </a:solidFill>
              <a:ea typeface="+mn-ea"/>
            </a:rPr>
            <a:t>Amanda Stucke, </a:t>
          </a:r>
          <a:r>
            <a:rPr lang="en-US" sz="1100" b="1" i="0" u="words" strike="noStrike">
              <a:solidFill>
                <a:srgbClr xmlns:mc="http://schemas.openxmlformats.org/markup-compatibility/2006" xmlns:a14="http://schemas.microsoft.com/office/drawing/2010/main" val="005E9E" mc:Ignorable="a14" a14:legacySpreadsheetColorIndex="10"/>
              </a:solidFill>
              <a:ea typeface="+mn-ea"/>
            </a:rPr>
            <a:t>AmandaStucke@economist.com</a:t>
          </a:r>
        </a:p>
      </xdr:txBody>
    </xdr:sp>
    <xdr:clientData/>
  </xdr:twoCellAnchor>
  <xdr:twoCellAnchor>
    <xdr:from>
      <xdr:col>4</xdr:col>
      <xdr:colOff>0</xdr:colOff>
      <xdr:row>55</xdr:row>
      <xdr:rowOff>0</xdr:rowOff>
    </xdr:from>
    <xdr:to>
      <xdr:col>9</xdr:col>
      <xdr:colOff>0</xdr:colOff>
      <xdr:row>56</xdr:row>
      <xdr:rowOff>0</xdr:rowOff>
    </xdr:to>
    <xdr:sp macro="" textlink="">
      <xdr:nvSpPr>
        <xdr:cNvPr id="22" name="magic_text_email_3">
          <a:hlinkClick xmlns:r="http://schemas.openxmlformats.org/officeDocument/2006/relationships" r:id="rId6"/>
          <a:extLst>
            <a:ext uri="{FF2B5EF4-FFF2-40B4-BE49-F238E27FC236}">
              <a16:creationId xmlns:a16="http://schemas.microsoft.com/office/drawing/2014/main" id="{00000000-0008-0000-1B00-000016000000}"/>
            </a:ext>
          </a:extLst>
        </xdr:cNvPr>
        <xdr:cNvSpPr txBox="1"/>
      </xdr:nvSpPr>
      <xdr:spPr>
        <a:xfrm>
          <a:off x="1981200" y="10677525"/>
          <a:ext cx="8153400" cy="371475"/>
        </a:xfrm>
        <a:prstGeom prst="rect">
          <a:avLst/>
        </a:prstGeom>
        <a:solidFill>
          <a:schemeClr val="bg1">
            <a:lumMod val="9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108000" tIns="72000" rIns="144000" rtlCol="0" anchor="ctr" anchorCtr="0"/>
        <a:lstStyle/>
        <a:p>
          <a:pPr algn="l"/>
          <a:r>
            <a:rPr lang="en-US" sz="1100" i="0" u="none" strike="noStrike">
              <a:solidFill>
                <a:sysClr val="windowText" lastClr="000000"/>
              </a:solidFill>
              <a:ea typeface="+mn-ea"/>
            </a:rPr>
            <a:t>Miranda Baxa, </a:t>
          </a:r>
          <a:r>
            <a:rPr lang="en-US" sz="1100" b="1" i="0" u="words" strike="noStrike">
              <a:solidFill>
                <a:srgbClr xmlns:mc="http://schemas.openxmlformats.org/markup-compatibility/2006" xmlns:a14="http://schemas.microsoft.com/office/drawing/2010/main" val="005E9E" mc:Ignorable="a14" a14:legacySpreadsheetColorIndex="10"/>
              </a:solidFill>
              <a:ea typeface="+mn-ea"/>
            </a:rPr>
            <a:t>MirandaBaxa@economist.com</a:t>
          </a:r>
        </a:p>
      </xdr:txBody>
    </xdr:sp>
    <xdr:clientData/>
  </xdr:twoCellAnchor>
  <xdr:twoCellAnchor>
    <xdr:from>
      <xdr:col>2</xdr:col>
      <xdr:colOff>0</xdr:colOff>
      <xdr:row>53</xdr:row>
      <xdr:rowOff>0</xdr:rowOff>
    </xdr:from>
    <xdr:to>
      <xdr:col>4</xdr:col>
      <xdr:colOff>0</xdr:colOff>
      <xdr:row>54</xdr:row>
      <xdr:rowOff>0</xdr:rowOff>
    </xdr:to>
    <xdr:sp macro="" textlink="uxbGlobals!$B$73">
      <xdr:nvSpPr>
        <xdr:cNvPr id="24" name="title_1">
          <a:extLst>
            <a:ext uri="{FF2B5EF4-FFF2-40B4-BE49-F238E27FC236}">
              <a16:creationId xmlns:a16="http://schemas.microsoft.com/office/drawing/2014/main" id="{00000000-0008-0000-1B00-000018000000}"/>
            </a:ext>
          </a:extLst>
        </xdr:cNvPr>
        <xdr:cNvSpPr txBox="1"/>
      </xdr:nvSpPr>
      <xdr:spPr>
        <a:xfrm>
          <a:off x="514350" y="9934575"/>
          <a:ext cx="1466850" cy="371475"/>
        </a:xfrm>
        <a:prstGeom prst="rect">
          <a:avLst/>
        </a:prstGeom>
        <a:solidFill>
          <a:schemeClr val="bg1">
            <a:lumMod val="9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72000" tIns="72000" rIns="72000" rtlCol="0" anchor="ctr" anchorCtr="0"/>
        <a:lstStyle/>
        <a:p>
          <a:pPr algn="r"/>
          <a:fld id="{2680EBD5-C407-45DB-82D0-AA851301987F}" type="TxLink">
            <a:rPr lang="en-US" sz="1100" b="1" i="0" u="none" strike="noStrike">
              <a:solidFill>
                <a:srgbClr val="000000"/>
              </a:solidFill>
              <a:latin typeface="Calibri"/>
              <a:ea typeface="+mn-ea"/>
              <a:cs typeface="Calibri"/>
            </a:rPr>
            <a:pPr algn="r"/>
            <a:t>Research director</a:t>
          </a:fld>
          <a:endParaRPr lang="en-US" sz="1100" b="1" i="0" u="none" strike="noStrike">
            <a:solidFill>
              <a:sysClr val="windowText" lastClr="000000"/>
            </a:solidFill>
            <a:latin typeface="Calibri"/>
            <a:ea typeface="+mn-ea"/>
            <a:cs typeface="Calibri"/>
          </a:endParaRPr>
        </a:p>
      </xdr:txBody>
    </xdr:sp>
    <xdr:clientData/>
  </xdr:twoCellAnchor>
  <xdr:oneCellAnchor>
    <xdr:from>
      <xdr:col>9</xdr:col>
      <xdr:colOff>0</xdr:colOff>
      <xdr:row>39</xdr:row>
      <xdr:rowOff>219075</xdr:rowOff>
    </xdr:from>
    <xdr:ext cx="184731" cy="264560"/>
    <xdr:sp macro="" textlink="">
      <xdr:nvSpPr>
        <xdr:cNvPr id="29" name="TextBox 28">
          <a:extLst>
            <a:ext uri="{FF2B5EF4-FFF2-40B4-BE49-F238E27FC236}">
              <a16:creationId xmlns:a16="http://schemas.microsoft.com/office/drawing/2014/main" id="{00000000-0008-0000-1B00-00001D000000}"/>
            </a:ext>
          </a:extLst>
        </xdr:cNvPr>
        <xdr:cNvSpPr txBox="1"/>
      </xdr:nvSpPr>
      <xdr:spPr>
        <a:xfrm>
          <a:off x="10134600"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mc:AlternateContent xmlns:mc="http://schemas.openxmlformats.org/markup-compatibility/2006">
    <mc:Choice xmlns:a14="http://schemas.microsoft.com/office/drawing/2010/main" Requires="a14">
      <xdr:twoCellAnchor editAs="oneCell">
        <xdr:from>
          <xdr:col>5</xdr:col>
          <xdr:colOff>598714</xdr:colOff>
          <xdr:row>1</xdr:row>
          <xdr:rowOff>48986</xdr:rowOff>
        </xdr:from>
        <xdr:to>
          <xdr:col>5</xdr:col>
          <xdr:colOff>2046514</xdr:colOff>
          <xdr:row>1</xdr:row>
          <xdr:rowOff>250371</xdr:rowOff>
        </xdr:to>
        <xdr:sp macro="" textlink="">
          <xdr:nvSpPr>
            <xdr:cNvPr id="5942274" name="cnt_PalettePicker" hidden="1">
              <a:extLst>
                <a:ext uri="{63B3BB69-23CF-44E3-9099-C40C66FF867C}">
                  <a14:compatExt spid="_x0000_s5942274"/>
                </a:ext>
                <a:ext uri="{FF2B5EF4-FFF2-40B4-BE49-F238E27FC236}">
                  <a16:creationId xmlns:a16="http://schemas.microsoft.com/office/drawing/2014/main" id="{00000000-0008-0000-1B00-000002AC5A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4</xdr:col>
      <xdr:colOff>781050</xdr:colOff>
      <xdr:row>1</xdr:row>
      <xdr:rowOff>28575</xdr:rowOff>
    </xdr:from>
    <xdr:to>
      <xdr:col>5</xdr:col>
      <xdr:colOff>561976</xdr:colOff>
      <xdr:row>1</xdr:row>
      <xdr:rowOff>276224</xdr:rowOff>
    </xdr:to>
    <xdr:sp macro="" textlink="">
      <xdr:nvSpPr>
        <xdr:cNvPr id="31" name="npc_1">
          <a:extLst>
            <a:ext uri="{FF2B5EF4-FFF2-40B4-BE49-F238E27FC236}">
              <a16:creationId xmlns:a16="http://schemas.microsoft.com/office/drawing/2014/main" id="{00000000-0008-0000-1B00-00001F000000}"/>
            </a:ext>
          </a:extLst>
        </xdr:cNvPr>
        <xdr:cNvSpPr txBox="1"/>
      </xdr:nvSpPr>
      <xdr:spPr>
        <a:xfrm>
          <a:off x="2762250" y="95250"/>
          <a:ext cx="1724026"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1000"/>
            <a:t>Select a classification palette</a:t>
          </a:r>
        </a:p>
      </xdr:txBody>
    </xdr:sp>
    <xdr:clientData fPrintsWithSheet="0"/>
  </xdr:twoCellAnchor>
  <xdr:oneCellAnchor>
    <xdr:from>
      <xdr:col>9</xdr:col>
      <xdr:colOff>0</xdr:colOff>
      <xdr:row>44</xdr:row>
      <xdr:rowOff>0</xdr:rowOff>
    </xdr:from>
    <xdr:ext cx="184731" cy="264560"/>
    <xdr:sp macro="" textlink="">
      <xdr:nvSpPr>
        <xdr:cNvPr id="32" name="TextBox 31">
          <a:extLst>
            <a:ext uri="{FF2B5EF4-FFF2-40B4-BE49-F238E27FC236}">
              <a16:creationId xmlns:a16="http://schemas.microsoft.com/office/drawing/2014/main" id="{00000000-0008-0000-1B00-000020000000}"/>
            </a:ext>
          </a:extLst>
        </xdr:cNvPr>
        <xdr:cNvSpPr txBox="1"/>
      </xdr:nvSpPr>
      <xdr:spPr>
        <a:xfrm>
          <a:off x="10134600" y="861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7</xdr:col>
      <xdr:colOff>57150</xdr:colOff>
      <xdr:row>59</xdr:row>
      <xdr:rowOff>219075</xdr:rowOff>
    </xdr:from>
    <xdr:to>
      <xdr:col>8</xdr:col>
      <xdr:colOff>266700</xdr:colOff>
      <xdr:row>61</xdr:row>
      <xdr:rowOff>148984</xdr:rowOff>
    </xdr:to>
    <xdr:pic>
      <xdr:nvPicPr>
        <xdr:cNvPr id="33" name="f1_logo">
          <a:hlinkClick xmlns:r="http://schemas.openxmlformats.org/officeDocument/2006/relationships" r:id="rId7"/>
          <a:extLst>
            <a:ext uri="{FF2B5EF4-FFF2-40B4-BE49-F238E27FC236}">
              <a16:creationId xmlns:a16="http://schemas.microsoft.com/office/drawing/2014/main" id="{00000000-0008-0000-1B00-00002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324850" y="11639550"/>
          <a:ext cx="1724025" cy="520460"/>
        </a:xfrm>
        <a:prstGeom prst="rect">
          <a:avLst/>
        </a:prstGeom>
      </xdr:spPr>
    </xdr:pic>
    <xdr:clientData/>
  </xdr:twoCellAnchor>
  <xdr:twoCellAnchor>
    <xdr:from>
      <xdr:col>2</xdr:col>
      <xdr:colOff>0</xdr:colOff>
      <xdr:row>54</xdr:row>
      <xdr:rowOff>0</xdr:rowOff>
    </xdr:from>
    <xdr:to>
      <xdr:col>4</xdr:col>
      <xdr:colOff>0</xdr:colOff>
      <xdr:row>55</xdr:row>
      <xdr:rowOff>0</xdr:rowOff>
    </xdr:to>
    <xdr:sp macro="" textlink="uxbGlobals!$B$76">
      <xdr:nvSpPr>
        <xdr:cNvPr id="38" name="title_2">
          <a:extLst>
            <a:ext uri="{FF2B5EF4-FFF2-40B4-BE49-F238E27FC236}">
              <a16:creationId xmlns:a16="http://schemas.microsoft.com/office/drawing/2014/main" id="{00000000-0008-0000-1B00-000026000000}"/>
            </a:ext>
          </a:extLst>
        </xdr:cNvPr>
        <xdr:cNvSpPr txBox="1"/>
      </xdr:nvSpPr>
      <xdr:spPr>
        <a:xfrm>
          <a:off x="514350" y="10306050"/>
          <a:ext cx="1466850" cy="371475"/>
        </a:xfrm>
        <a:prstGeom prst="rect">
          <a:avLst/>
        </a:prstGeom>
        <a:solidFill>
          <a:schemeClr val="bg1">
            <a:lumMod val="9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72000" tIns="72000" rIns="72000" rtlCol="0" anchor="ctr" anchorCtr="0"/>
        <a:lstStyle/>
        <a:p>
          <a:pPr algn="r"/>
          <a:fld id="{4A9C8CED-47CB-4657-8110-8180D51DF657}" type="TxLink">
            <a:rPr lang="en-US" sz="1100" b="1" i="0" u="none" strike="noStrike">
              <a:solidFill>
                <a:srgbClr val="000000"/>
              </a:solidFill>
              <a:latin typeface="Calibri"/>
              <a:ea typeface="+mn-ea"/>
              <a:cs typeface="Calibri"/>
            </a:rPr>
            <a:pPr algn="r"/>
            <a:t>Research director</a:t>
          </a:fld>
          <a:endParaRPr lang="en-US" sz="1100" b="1" i="0" u="none" strike="noStrike">
            <a:solidFill>
              <a:sysClr val="windowText" lastClr="000000"/>
            </a:solidFill>
            <a:latin typeface="Calibri"/>
            <a:ea typeface="+mn-ea"/>
            <a:cs typeface="Calibri"/>
          </a:endParaRPr>
        </a:p>
      </xdr:txBody>
    </xdr:sp>
    <xdr:clientData/>
  </xdr:twoCellAnchor>
  <xdr:twoCellAnchor>
    <xdr:from>
      <xdr:col>2</xdr:col>
      <xdr:colOff>0</xdr:colOff>
      <xdr:row>55</xdr:row>
      <xdr:rowOff>0</xdr:rowOff>
    </xdr:from>
    <xdr:to>
      <xdr:col>4</xdr:col>
      <xdr:colOff>0</xdr:colOff>
      <xdr:row>56</xdr:row>
      <xdr:rowOff>0</xdr:rowOff>
    </xdr:to>
    <xdr:sp macro="" textlink="uxbGlobals!$B$79">
      <xdr:nvSpPr>
        <xdr:cNvPr id="39" name="title_3">
          <a:extLst>
            <a:ext uri="{FF2B5EF4-FFF2-40B4-BE49-F238E27FC236}">
              <a16:creationId xmlns:a16="http://schemas.microsoft.com/office/drawing/2014/main" id="{00000000-0008-0000-1B00-000027000000}"/>
            </a:ext>
          </a:extLst>
        </xdr:cNvPr>
        <xdr:cNvSpPr txBox="1"/>
      </xdr:nvSpPr>
      <xdr:spPr>
        <a:xfrm>
          <a:off x="514350" y="10782300"/>
          <a:ext cx="1466850" cy="371475"/>
        </a:xfrm>
        <a:prstGeom prst="rect">
          <a:avLst/>
        </a:prstGeom>
        <a:solidFill>
          <a:schemeClr val="bg1">
            <a:lumMod val="9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72000" tIns="72000" rIns="72000" rtlCol="0" anchor="ctr" anchorCtr="0"/>
        <a:lstStyle/>
        <a:p>
          <a:pPr algn="r"/>
          <a:fld id="{C2907E41-43A9-4DDB-A8D7-F6B188DC5B01}" type="TxLink">
            <a:rPr lang="en-US" sz="1100" b="1" i="0" u="none" strike="noStrike">
              <a:solidFill>
                <a:srgbClr val="000000"/>
              </a:solidFill>
              <a:latin typeface="Calibri"/>
              <a:ea typeface="+mn-ea"/>
              <a:cs typeface="Calibri"/>
            </a:rPr>
            <a:pPr algn="r"/>
            <a:t>Research team</a:t>
          </a:fld>
          <a:endParaRPr lang="en-US" sz="1100" b="1" i="0" u="none" strike="noStrike">
            <a:solidFill>
              <a:sysClr val="windowText" lastClr="000000"/>
            </a:solidFill>
            <a:latin typeface="Calibri"/>
            <a:ea typeface="+mn-ea"/>
            <a:cs typeface="Calibri"/>
          </a:endParaRPr>
        </a:p>
      </xdr:txBody>
    </xdr:sp>
    <xdr:clientData/>
  </xdr:twoCellAnchor>
  <xdr:oneCellAnchor>
    <xdr:from>
      <xdr:col>9</xdr:col>
      <xdr:colOff>0</xdr:colOff>
      <xdr:row>44</xdr:row>
      <xdr:rowOff>0</xdr:rowOff>
    </xdr:from>
    <xdr:ext cx="184731" cy="264560"/>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10134600"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9</xdr:col>
      <xdr:colOff>0</xdr:colOff>
      <xdr:row>41</xdr:row>
      <xdr:rowOff>219075</xdr:rowOff>
    </xdr:from>
    <xdr:ext cx="184731" cy="264560"/>
    <xdr:sp macro="" textlink="">
      <xdr:nvSpPr>
        <xdr:cNvPr id="26" name="TextBox 25">
          <a:extLst>
            <a:ext uri="{FF2B5EF4-FFF2-40B4-BE49-F238E27FC236}">
              <a16:creationId xmlns:a16="http://schemas.microsoft.com/office/drawing/2014/main" id="{00000000-0008-0000-1B00-00001A000000}"/>
            </a:ext>
          </a:extLst>
        </xdr:cNvPr>
        <xdr:cNvSpPr txBox="1"/>
      </xdr:nvSpPr>
      <xdr:spPr>
        <a:xfrm>
          <a:off x="10134600" y="782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9</xdr:col>
      <xdr:colOff>0</xdr:colOff>
      <xdr:row>44</xdr:row>
      <xdr:rowOff>0</xdr:rowOff>
    </xdr:from>
    <xdr:ext cx="184731" cy="264560"/>
    <xdr:sp macro="" textlink="">
      <xdr:nvSpPr>
        <xdr:cNvPr id="27" name="TextBox 26">
          <a:extLst>
            <a:ext uri="{FF2B5EF4-FFF2-40B4-BE49-F238E27FC236}">
              <a16:creationId xmlns:a16="http://schemas.microsoft.com/office/drawing/2014/main" id="{00000000-0008-0000-1B00-00001B000000}"/>
            </a:ext>
          </a:extLst>
        </xdr:cNvPr>
        <xdr:cNvSpPr txBox="1"/>
      </xdr:nvSpPr>
      <xdr:spPr>
        <a:xfrm>
          <a:off x="10134600"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9</xdr:col>
      <xdr:colOff>0</xdr:colOff>
      <xdr:row>44</xdr:row>
      <xdr:rowOff>0</xdr:rowOff>
    </xdr:from>
    <xdr:ext cx="184731" cy="264560"/>
    <xdr:sp macro="" textlink="">
      <xdr:nvSpPr>
        <xdr:cNvPr id="28" name="TextBox 27">
          <a:extLst>
            <a:ext uri="{FF2B5EF4-FFF2-40B4-BE49-F238E27FC236}">
              <a16:creationId xmlns:a16="http://schemas.microsoft.com/office/drawing/2014/main" id="{00000000-0008-0000-1B00-00001C000000}"/>
            </a:ext>
          </a:extLst>
        </xdr:cNvPr>
        <xdr:cNvSpPr txBox="1"/>
      </xdr:nvSpPr>
      <xdr:spPr>
        <a:xfrm>
          <a:off x="10134600" y="861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9</xdr:col>
      <xdr:colOff>0</xdr:colOff>
      <xdr:row>44</xdr:row>
      <xdr:rowOff>0</xdr:rowOff>
    </xdr:from>
    <xdr:ext cx="184731" cy="264560"/>
    <xdr:sp macro="" textlink="">
      <xdr:nvSpPr>
        <xdr:cNvPr id="5942272" name="TextBox 5942271">
          <a:extLst>
            <a:ext uri="{FF2B5EF4-FFF2-40B4-BE49-F238E27FC236}">
              <a16:creationId xmlns:a16="http://schemas.microsoft.com/office/drawing/2014/main" id="{00000000-0008-0000-1B00-000000AC5A00}"/>
            </a:ext>
          </a:extLst>
        </xdr:cNvPr>
        <xdr:cNvSpPr txBox="1"/>
      </xdr:nvSpPr>
      <xdr:spPr>
        <a:xfrm>
          <a:off x="10134600"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9</xdr:col>
      <xdr:colOff>0</xdr:colOff>
      <xdr:row>44</xdr:row>
      <xdr:rowOff>0</xdr:rowOff>
    </xdr:from>
    <xdr:ext cx="184731" cy="264560"/>
    <xdr:sp macro="" textlink="">
      <xdr:nvSpPr>
        <xdr:cNvPr id="5942275" name="TextBox 5942274">
          <a:extLst>
            <a:ext uri="{FF2B5EF4-FFF2-40B4-BE49-F238E27FC236}">
              <a16:creationId xmlns:a16="http://schemas.microsoft.com/office/drawing/2014/main" id="{00000000-0008-0000-1B00-000003AC5A00}"/>
            </a:ext>
          </a:extLst>
        </xdr:cNvPr>
        <xdr:cNvSpPr txBox="1"/>
      </xdr:nvSpPr>
      <xdr:spPr>
        <a:xfrm>
          <a:off x="9953625"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9</xdr:col>
      <xdr:colOff>0</xdr:colOff>
      <xdr:row>44</xdr:row>
      <xdr:rowOff>0</xdr:rowOff>
    </xdr:from>
    <xdr:ext cx="184731" cy="264560"/>
    <xdr:sp macro="" textlink="">
      <xdr:nvSpPr>
        <xdr:cNvPr id="5942276" name="TextBox 5942275">
          <a:extLst>
            <a:ext uri="{FF2B5EF4-FFF2-40B4-BE49-F238E27FC236}">
              <a16:creationId xmlns:a16="http://schemas.microsoft.com/office/drawing/2014/main" id="{00000000-0008-0000-1B00-000004AC5A00}"/>
            </a:ext>
          </a:extLst>
        </xdr:cNvPr>
        <xdr:cNvSpPr txBox="1"/>
      </xdr:nvSpPr>
      <xdr:spPr>
        <a:xfrm>
          <a:off x="9953625" y="613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9</xdr:col>
      <xdr:colOff>0</xdr:colOff>
      <xdr:row>44</xdr:row>
      <xdr:rowOff>0</xdr:rowOff>
    </xdr:from>
    <xdr:ext cx="184731" cy="264560"/>
    <xdr:sp macro="" textlink="">
      <xdr:nvSpPr>
        <xdr:cNvPr id="5942278" name="TextBox 5942277">
          <a:extLst>
            <a:ext uri="{FF2B5EF4-FFF2-40B4-BE49-F238E27FC236}">
              <a16:creationId xmlns:a16="http://schemas.microsoft.com/office/drawing/2014/main" id="{00000000-0008-0000-1B00-000006AC5A00}"/>
            </a:ext>
          </a:extLst>
        </xdr:cNvPr>
        <xdr:cNvSpPr txBox="1"/>
      </xdr:nvSpPr>
      <xdr:spPr>
        <a:xfrm>
          <a:off x="9953625" y="652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9</xdr:col>
      <xdr:colOff>0</xdr:colOff>
      <xdr:row>44</xdr:row>
      <xdr:rowOff>0</xdr:rowOff>
    </xdr:from>
    <xdr:ext cx="184731" cy="264560"/>
    <xdr:sp macro="" textlink="">
      <xdr:nvSpPr>
        <xdr:cNvPr id="5942279" name="TextBox 5942278">
          <a:extLst>
            <a:ext uri="{FF2B5EF4-FFF2-40B4-BE49-F238E27FC236}">
              <a16:creationId xmlns:a16="http://schemas.microsoft.com/office/drawing/2014/main" id="{00000000-0008-0000-1B00-000007AC5A00}"/>
            </a:ext>
          </a:extLst>
        </xdr:cNvPr>
        <xdr:cNvSpPr txBox="1"/>
      </xdr:nvSpPr>
      <xdr:spPr>
        <a:xfrm>
          <a:off x="9953625" y="70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9</xdr:col>
      <xdr:colOff>0</xdr:colOff>
      <xdr:row>44</xdr:row>
      <xdr:rowOff>0</xdr:rowOff>
    </xdr:from>
    <xdr:ext cx="184731" cy="264560"/>
    <xdr:sp macro="" textlink="">
      <xdr:nvSpPr>
        <xdr:cNvPr id="5942280" name="TextBox 5942279">
          <a:extLst>
            <a:ext uri="{FF2B5EF4-FFF2-40B4-BE49-F238E27FC236}">
              <a16:creationId xmlns:a16="http://schemas.microsoft.com/office/drawing/2014/main" id="{00000000-0008-0000-1B00-000008AC5A00}"/>
            </a:ext>
          </a:extLst>
        </xdr:cNvPr>
        <xdr:cNvSpPr txBox="1"/>
      </xdr:nvSpPr>
      <xdr:spPr>
        <a:xfrm>
          <a:off x="9953625"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9</xdr:col>
      <xdr:colOff>0</xdr:colOff>
      <xdr:row>44</xdr:row>
      <xdr:rowOff>0</xdr:rowOff>
    </xdr:from>
    <xdr:ext cx="184731" cy="264560"/>
    <xdr:sp macro="" textlink="">
      <xdr:nvSpPr>
        <xdr:cNvPr id="5942281" name="TextBox 5942280">
          <a:extLst>
            <a:ext uri="{FF2B5EF4-FFF2-40B4-BE49-F238E27FC236}">
              <a16:creationId xmlns:a16="http://schemas.microsoft.com/office/drawing/2014/main" id="{00000000-0008-0000-1B00-000009AC5A00}"/>
            </a:ext>
          </a:extLst>
        </xdr:cNvPr>
        <xdr:cNvSpPr txBox="1"/>
      </xdr:nvSpPr>
      <xdr:spPr>
        <a:xfrm>
          <a:off x="9953625" y="70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9</xdr:col>
      <xdr:colOff>0</xdr:colOff>
      <xdr:row>44</xdr:row>
      <xdr:rowOff>0</xdr:rowOff>
    </xdr:from>
    <xdr:ext cx="184731" cy="264560"/>
    <xdr:sp macro="" textlink="">
      <xdr:nvSpPr>
        <xdr:cNvPr id="5942283" name="TextBox 5942282">
          <a:extLst>
            <a:ext uri="{FF2B5EF4-FFF2-40B4-BE49-F238E27FC236}">
              <a16:creationId xmlns:a16="http://schemas.microsoft.com/office/drawing/2014/main" id="{00000000-0008-0000-1B00-00000BAC5A00}"/>
            </a:ext>
          </a:extLst>
        </xdr:cNvPr>
        <xdr:cNvSpPr txBox="1"/>
      </xdr:nvSpPr>
      <xdr:spPr>
        <a:xfrm>
          <a:off x="9953625" y="70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9</xdr:col>
      <xdr:colOff>0</xdr:colOff>
      <xdr:row>43</xdr:row>
      <xdr:rowOff>219075</xdr:rowOff>
    </xdr:from>
    <xdr:ext cx="184731" cy="264560"/>
    <xdr:sp macro="" textlink="">
      <xdr:nvSpPr>
        <xdr:cNvPr id="5942284" name="TextBox 5942283">
          <a:extLst>
            <a:ext uri="{FF2B5EF4-FFF2-40B4-BE49-F238E27FC236}">
              <a16:creationId xmlns:a16="http://schemas.microsoft.com/office/drawing/2014/main" id="{00000000-0008-0000-1B00-00000CAC5A00}"/>
            </a:ext>
          </a:extLst>
        </xdr:cNvPr>
        <xdr:cNvSpPr txBox="1"/>
      </xdr:nvSpPr>
      <xdr:spPr>
        <a:xfrm>
          <a:off x="10391775"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2</xdr:col>
      <xdr:colOff>0</xdr:colOff>
      <xdr:row>43</xdr:row>
      <xdr:rowOff>0</xdr:rowOff>
    </xdr:from>
    <xdr:to>
      <xdr:col>4</xdr:col>
      <xdr:colOff>0</xdr:colOff>
      <xdr:row>43</xdr:row>
      <xdr:rowOff>323848</xdr:rowOff>
    </xdr:to>
    <xdr:sp macro="[0]!k" textlink="">
      <xdr:nvSpPr>
        <xdr:cNvPr id="5942285" name="nav_page_1_9">
          <a:extLst>
            <a:ext uri="{FF2B5EF4-FFF2-40B4-BE49-F238E27FC236}">
              <a16:creationId xmlns:a16="http://schemas.microsoft.com/office/drawing/2014/main" id="{00000000-0008-0000-1B00-00000DAC5A00}"/>
            </a:ext>
          </a:extLst>
        </xdr:cNvPr>
        <xdr:cNvSpPr txBox="1"/>
      </xdr:nvSpPr>
      <xdr:spPr>
        <a:xfrm>
          <a:off x="514350" y="8001000"/>
          <a:ext cx="1724025" cy="31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rtlCol="0" anchor="t" anchorCtr="0"/>
        <a:lstStyle/>
        <a:p>
          <a:pPr algn="l"/>
          <a:r>
            <a:rPr lang="en-US" sz="1100" b="1" i="0" u="sng" strike="noStrike">
              <a:solidFill>
                <a:srgbClr val="0070C0"/>
              </a:solidFill>
              <a:latin typeface="Calibri"/>
            </a:rPr>
            <a:t>Data</a:t>
          </a:r>
        </a:p>
      </xdr:txBody>
    </xdr:sp>
    <xdr:clientData/>
  </xdr:twoCellAnchor>
  <xdr:oneCellAnchor>
    <xdr:from>
      <xdr:col>9</xdr:col>
      <xdr:colOff>0</xdr:colOff>
      <xdr:row>41</xdr:row>
      <xdr:rowOff>219075</xdr:rowOff>
    </xdr:from>
    <xdr:ext cx="184731" cy="264560"/>
    <xdr:sp macro="" textlink="">
      <xdr:nvSpPr>
        <xdr:cNvPr id="5942286" name="TextBox 5942285">
          <a:extLst>
            <a:ext uri="{FF2B5EF4-FFF2-40B4-BE49-F238E27FC236}">
              <a16:creationId xmlns:a16="http://schemas.microsoft.com/office/drawing/2014/main" id="{00000000-0008-0000-1B00-00000EAC5A00}"/>
            </a:ext>
          </a:extLst>
        </xdr:cNvPr>
        <xdr:cNvSpPr txBox="1"/>
      </xdr:nvSpPr>
      <xdr:spPr>
        <a:xfrm>
          <a:off x="10391775" y="782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9</xdr:col>
      <xdr:colOff>0</xdr:colOff>
      <xdr:row>43</xdr:row>
      <xdr:rowOff>219075</xdr:rowOff>
    </xdr:from>
    <xdr:ext cx="184731" cy="264560"/>
    <xdr:sp macro="" textlink="">
      <xdr:nvSpPr>
        <xdr:cNvPr id="5942287" name="TextBox 5942286">
          <a:extLst>
            <a:ext uri="{FF2B5EF4-FFF2-40B4-BE49-F238E27FC236}">
              <a16:creationId xmlns:a16="http://schemas.microsoft.com/office/drawing/2014/main" id="{00000000-0008-0000-1B00-00000FAC5A00}"/>
            </a:ext>
          </a:extLst>
        </xdr:cNvPr>
        <xdr:cNvSpPr txBox="1"/>
      </xdr:nvSpPr>
      <xdr:spPr>
        <a:xfrm>
          <a:off x="10391775"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9</xdr:col>
      <xdr:colOff>0</xdr:colOff>
      <xdr:row>44</xdr:row>
      <xdr:rowOff>0</xdr:rowOff>
    </xdr:from>
    <xdr:ext cx="184731" cy="264560"/>
    <xdr:sp macro="" textlink="">
      <xdr:nvSpPr>
        <xdr:cNvPr id="25" name="TextBox 24">
          <a:extLst>
            <a:ext uri="{FF2B5EF4-FFF2-40B4-BE49-F238E27FC236}">
              <a16:creationId xmlns:a16="http://schemas.microsoft.com/office/drawing/2014/main" id="{00000000-0008-0000-1B00-000019000000}"/>
            </a:ext>
          </a:extLst>
        </xdr:cNvPr>
        <xdr:cNvSpPr txBox="1"/>
      </xdr:nvSpPr>
      <xdr:spPr>
        <a:xfrm>
          <a:off x="10391775" y="878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9</xdr:col>
      <xdr:colOff>0</xdr:colOff>
      <xdr:row>44</xdr:row>
      <xdr:rowOff>0</xdr:rowOff>
    </xdr:from>
    <xdr:ext cx="184731" cy="264560"/>
    <xdr:sp macro="" textlink="">
      <xdr:nvSpPr>
        <xdr:cNvPr id="5942277" name="TextBox 5942276">
          <a:extLst>
            <a:ext uri="{FF2B5EF4-FFF2-40B4-BE49-F238E27FC236}">
              <a16:creationId xmlns:a16="http://schemas.microsoft.com/office/drawing/2014/main" id="{00000000-0008-0000-1B00-000005AC5A00}"/>
            </a:ext>
          </a:extLst>
        </xdr:cNvPr>
        <xdr:cNvSpPr txBox="1"/>
      </xdr:nvSpPr>
      <xdr:spPr>
        <a:xfrm>
          <a:off x="10391775" y="878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9</xdr:col>
      <xdr:colOff>0</xdr:colOff>
      <xdr:row>44</xdr:row>
      <xdr:rowOff>0</xdr:rowOff>
    </xdr:from>
    <xdr:ext cx="184731" cy="264560"/>
    <xdr:sp macro="" textlink="">
      <xdr:nvSpPr>
        <xdr:cNvPr id="5942288" name="TextBox 5942287">
          <a:extLst>
            <a:ext uri="{FF2B5EF4-FFF2-40B4-BE49-F238E27FC236}">
              <a16:creationId xmlns:a16="http://schemas.microsoft.com/office/drawing/2014/main" id="{00000000-0008-0000-1B00-000010AC5A00}"/>
            </a:ext>
          </a:extLst>
        </xdr:cNvPr>
        <xdr:cNvSpPr txBox="1"/>
      </xdr:nvSpPr>
      <xdr:spPr>
        <a:xfrm>
          <a:off x="10391775" y="878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9</xdr:col>
      <xdr:colOff>0</xdr:colOff>
      <xdr:row>44</xdr:row>
      <xdr:rowOff>0</xdr:rowOff>
    </xdr:from>
    <xdr:ext cx="184731" cy="264560"/>
    <xdr:sp macro="" textlink="">
      <xdr:nvSpPr>
        <xdr:cNvPr id="5942289" name="TextBox 5942288">
          <a:extLst>
            <a:ext uri="{FF2B5EF4-FFF2-40B4-BE49-F238E27FC236}">
              <a16:creationId xmlns:a16="http://schemas.microsoft.com/office/drawing/2014/main" id="{00000000-0008-0000-1B00-000011AC5A00}"/>
            </a:ext>
          </a:extLst>
        </xdr:cNvPr>
        <xdr:cNvSpPr txBox="1"/>
      </xdr:nvSpPr>
      <xdr:spPr>
        <a:xfrm>
          <a:off x="10391775" y="861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9</xdr:col>
      <xdr:colOff>0</xdr:colOff>
      <xdr:row>44</xdr:row>
      <xdr:rowOff>0</xdr:rowOff>
    </xdr:from>
    <xdr:ext cx="184731" cy="264560"/>
    <xdr:sp macro="" textlink="">
      <xdr:nvSpPr>
        <xdr:cNvPr id="5942290" name="TextBox 5942289">
          <a:extLst>
            <a:ext uri="{FF2B5EF4-FFF2-40B4-BE49-F238E27FC236}">
              <a16:creationId xmlns:a16="http://schemas.microsoft.com/office/drawing/2014/main" id="{00000000-0008-0000-1B00-000012AC5A00}"/>
            </a:ext>
          </a:extLst>
        </xdr:cNvPr>
        <xdr:cNvSpPr txBox="1"/>
      </xdr:nvSpPr>
      <xdr:spPr>
        <a:xfrm>
          <a:off x="10391775" y="861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9</xdr:col>
      <xdr:colOff>0</xdr:colOff>
      <xdr:row>44</xdr:row>
      <xdr:rowOff>0</xdr:rowOff>
    </xdr:from>
    <xdr:ext cx="184731" cy="264560"/>
    <xdr:sp macro="" textlink="">
      <xdr:nvSpPr>
        <xdr:cNvPr id="5942282" name="TextBox 5942281">
          <a:extLst>
            <a:ext uri="{FF2B5EF4-FFF2-40B4-BE49-F238E27FC236}">
              <a16:creationId xmlns:a16="http://schemas.microsoft.com/office/drawing/2014/main" id="{00000000-0008-0000-1B00-00000AAC5A00}"/>
            </a:ext>
          </a:extLst>
        </xdr:cNvPr>
        <xdr:cNvSpPr txBox="1"/>
      </xdr:nvSpPr>
      <xdr:spPr>
        <a:xfrm>
          <a:off x="10391775" y="878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9</xdr:col>
      <xdr:colOff>0</xdr:colOff>
      <xdr:row>44</xdr:row>
      <xdr:rowOff>0</xdr:rowOff>
    </xdr:from>
    <xdr:ext cx="184731" cy="264560"/>
    <xdr:sp macro="" textlink="">
      <xdr:nvSpPr>
        <xdr:cNvPr id="5942291" name="TextBox 5942290">
          <a:extLst>
            <a:ext uri="{FF2B5EF4-FFF2-40B4-BE49-F238E27FC236}">
              <a16:creationId xmlns:a16="http://schemas.microsoft.com/office/drawing/2014/main" id="{00000000-0008-0000-1B00-000013AC5A00}"/>
            </a:ext>
          </a:extLst>
        </xdr:cNvPr>
        <xdr:cNvSpPr txBox="1"/>
      </xdr:nvSpPr>
      <xdr:spPr>
        <a:xfrm>
          <a:off x="10391775" y="878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9</xdr:col>
      <xdr:colOff>0</xdr:colOff>
      <xdr:row>44</xdr:row>
      <xdr:rowOff>0</xdr:rowOff>
    </xdr:from>
    <xdr:ext cx="184731" cy="264560"/>
    <xdr:sp macro="" textlink="">
      <xdr:nvSpPr>
        <xdr:cNvPr id="5942293" name="TextBox 5942292">
          <a:extLst>
            <a:ext uri="{FF2B5EF4-FFF2-40B4-BE49-F238E27FC236}">
              <a16:creationId xmlns:a16="http://schemas.microsoft.com/office/drawing/2014/main" id="{00000000-0008-0000-1B00-000015AC5A00}"/>
            </a:ext>
          </a:extLst>
        </xdr:cNvPr>
        <xdr:cNvSpPr txBox="1"/>
      </xdr:nvSpPr>
      <xdr:spPr>
        <a:xfrm>
          <a:off x="10391775" y="878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2</xdr:col>
      <xdr:colOff>70757</xdr:colOff>
      <xdr:row>20</xdr:row>
      <xdr:rowOff>237115</xdr:rowOff>
    </xdr:from>
    <xdr:to>
      <xdr:col>3</xdr:col>
      <xdr:colOff>1251857</xdr:colOff>
      <xdr:row>20</xdr:row>
      <xdr:rowOff>537237</xdr:rowOff>
    </xdr:to>
    <xdr:pic>
      <xdr:nvPicPr>
        <xdr:cNvPr id="34" name="Picture 33">
          <a:extLst>
            <a:ext uri="{FF2B5EF4-FFF2-40B4-BE49-F238E27FC236}">
              <a16:creationId xmlns:a16="http://schemas.microsoft.com/office/drawing/2014/main" id="{00000000-0008-0000-1B00-00002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15043" y="4368244"/>
          <a:ext cx="1643743" cy="300122"/>
        </a:xfrm>
        <a:prstGeom prst="rect">
          <a:avLst/>
        </a:prstGeom>
      </xdr:spPr>
    </xdr:pic>
    <xdr:clientData/>
  </xdr:twoCellAnchor>
  <xdr:twoCellAnchor>
    <xdr:from>
      <xdr:col>2</xdr:col>
      <xdr:colOff>0</xdr:colOff>
      <xdr:row>45</xdr:row>
      <xdr:rowOff>0</xdr:rowOff>
    </xdr:from>
    <xdr:to>
      <xdr:col>4</xdr:col>
      <xdr:colOff>0</xdr:colOff>
      <xdr:row>45</xdr:row>
      <xdr:rowOff>323848</xdr:rowOff>
    </xdr:to>
    <xdr:sp macro="[0]!k" textlink="">
      <xdr:nvSpPr>
        <xdr:cNvPr id="30" name="nav_page_1_10">
          <a:extLst>
            <a:ext uri="{FF2B5EF4-FFF2-40B4-BE49-F238E27FC236}">
              <a16:creationId xmlns:a16="http://schemas.microsoft.com/office/drawing/2014/main" id="{00000000-0008-0000-1B00-00001E000000}"/>
            </a:ext>
          </a:extLst>
        </xdr:cNvPr>
        <xdr:cNvSpPr txBox="1"/>
      </xdr:nvSpPr>
      <xdr:spPr>
        <a:xfrm>
          <a:off x="544286" y="9040586"/>
          <a:ext cx="1828800" cy="312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rtlCol="0" anchor="t" anchorCtr="0"/>
        <a:lstStyle/>
        <a:p>
          <a:pPr algn="l"/>
          <a:r>
            <a:rPr lang="en-US" sz="1100" b="1" i="0" u="sng" strike="noStrike">
              <a:solidFill>
                <a:srgbClr val="0070C0"/>
              </a:solidFill>
              <a:latin typeface="Calibri"/>
            </a:rPr>
            <a:t>Scores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142875</xdr:colOff>
      <xdr:row>19</xdr:row>
      <xdr:rowOff>419099</xdr:rowOff>
    </xdr:from>
    <xdr:to>
      <xdr:col>8</xdr:col>
      <xdr:colOff>270975</xdr:colOff>
      <xdr:row>24</xdr:row>
      <xdr:rowOff>153017</xdr:rowOff>
    </xdr:to>
    <xdr:pic>
      <xdr:nvPicPr>
        <xdr:cNvPr id="5991439" name="Picture 5991438">
          <a:extLst>
            <a:ext uri="{FF2B5EF4-FFF2-40B4-BE49-F238E27FC236}">
              <a16:creationId xmlns:a16="http://schemas.microsoft.com/office/drawing/2014/main" id="{00000000-0008-0000-1C00-00000F6C5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 y="4610099"/>
          <a:ext cx="10605600" cy="1057892"/>
        </a:xfrm>
        <a:prstGeom prst="rect">
          <a:avLst/>
        </a:prstGeom>
      </xdr:spPr>
    </xdr:pic>
    <xdr:clientData/>
  </xdr:twoCellAnchor>
  <xdr:oneCellAnchor>
    <xdr:from>
      <xdr:col>10</xdr:col>
      <xdr:colOff>0</xdr:colOff>
      <xdr:row>43</xdr:row>
      <xdr:rowOff>0</xdr:rowOff>
    </xdr:from>
    <xdr:ext cx="184731" cy="264560"/>
    <xdr:sp macro="" textlink="">
      <xdr:nvSpPr>
        <xdr:cNvPr id="3" name="TextBox 2">
          <a:extLst>
            <a:ext uri="{FF2B5EF4-FFF2-40B4-BE49-F238E27FC236}">
              <a16:creationId xmlns:a16="http://schemas.microsoft.com/office/drawing/2014/main" id="{00000000-0008-0000-1C00-000003000000}"/>
            </a:ext>
          </a:extLst>
        </xdr:cNvPr>
        <xdr:cNvSpPr txBox="1"/>
      </xdr:nvSpPr>
      <xdr:spPr>
        <a:xfrm>
          <a:off x="11677650"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5</xdr:col>
      <xdr:colOff>142875</xdr:colOff>
      <xdr:row>43</xdr:row>
      <xdr:rowOff>0</xdr:rowOff>
    </xdr:from>
    <xdr:to>
      <xdr:col>5</xdr:col>
      <xdr:colOff>2019300</xdr:colOff>
      <xdr:row>44</xdr:row>
      <xdr:rowOff>0</xdr:rowOff>
    </xdr:to>
    <xdr:sp macro="[0]!k" textlink="">
      <xdr:nvSpPr>
        <xdr:cNvPr id="4" name="prm_nav_back">
          <a:extLst>
            <a:ext uri="{FF2B5EF4-FFF2-40B4-BE49-F238E27FC236}">
              <a16:creationId xmlns:a16="http://schemas.microsoft.com/office/drawing/2014/main" id="{00000000-0008-0000-1C00-000004000000}"/>
            </a:ext>
          </a:extLst>
        </xdr:cNvPr>
        <xdr:cNvSpPr txBox="1"/>
      </xdr:nvSpPr>
      <xdr:spPr>
        <a:xfrm>
          <a:off x="4914900" y="11201400"/>
          <a:ext cx="1876425"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l"/>
          <a:r>
            <a:rPr lang="en-US" sz="2000" b="1" i="0" u="sng" strike="noStrike" baseline="0">
              <a:solidFill>
                <a:srgbClr val="0070C0"/>
              </a:solidFill>
              <a:latin typeface="Calibri"/>
            </a:rPr>
            <a:t>CONTINUE </a:t>
          </a:r>
          <a:r>
            <a:rPr lang="en-US" sz="2000" b="1" i="0" u="sng" strike="noStrike">
              <a:solidFill>
                <a:srgbClr val="0070C0"/>
              </a:solidFill>
              <a:latin typeface="Calibri"/>
            </a:rPr>
            <a:t>→</a:t>
          </a:r>
        </a:p>
      </xdr:txBody>
    </xdr:sp>
    <xdr:clientData/>
  </xdr:twoCellAnchor>
  <xdr:twoCellAnchor>
    <xdr:from>
      <xdr:col>2</xdr:col>
      <xdr:colOff>0</xdr:colOff>
      <xdr:row>0</xdr:row>
      <xdr:rowOff>19050</xdr:rowOff>
    </xdr:from>
    <xdr:to>
      <xdr:col>3</xdr:col>
      <xdr:colOff>1019175</xdr:colOff>
      <xdr:row>1</xdr:row>
      <xdr:rowOff>0</xdr:rowOff>
    </xdr:to>
    <xdr:sp macro="[0]!k" textlink="">
      <xdr:nvSpPr>
        <xdr:cNvPr id="6" name="nav_home">
          <a:extLst>
            <a:ext uri="{FF2B5EF4-FFF2-40B4-BE49-F238E27FC236}">
              <a16:creationId xmlns:a16="http://schemas.microsoft.com/office/drawing/2014/main" id="{00000000-0008-0000-1C00-000006000000}"/>
            </a:ext>
          </a:extLst>
        </xdr:cNvPr>
        <xdr:cNvSpPr txBox="1"/>
      </xdr:nvSpPr>
      <xdr:spPr>
        <a:xfrm>
          <a:off x="514350" y="19050"/>
          <a:ext cx="14573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l"/>
          <a:r>
            <a:rPr lang="en-US" sz="1400" b="1" i="0" u="sng" strike="noStrike" baseline="0">
              <a:solidFill>
                <a:srgbClr val="0070C0"/>
              </a:solidFill>
              <a:latin typeface="Calibri"/>
            </a:rPr>
            <a:t>HOME ↑</a:t>
          </a:r>
          <a:endParaRPr lang="en-US" sz="1400" b="1" i="0" u="sng" strike="noStrike">
            <a:solidFill>
              <a:srgbClr val="0070C0"/>
            </a:solidFill>
            <a:latin typeface="Calibri"/>
          </a:endParaRPr>
        </a:p>
      </xdr:txBody>
    </xdr:sp>
    <xdr:clientData/>
  </xdr:twoCellAnchor>
  <xdr:twoCellAnchor>
    <xdr:from>
      <xdr:col>2</xdr:col>
      <xdr:colOff>0</xdr:colOff>
      <xdr:row>32</xdr:row>
      <xdr:rowOff>171450</xdr:rowOff>
    </xdr:from>
    <xdr:to>
      <xdr:col>3</xdr:col>
      <xdr:colOff>1543050</xdr:colOff>
      <xdr:row>35</xdr:row>
      <xdr:rowOff>0</xdr:rowOff>
    </xdr:to>
    <xdr:sp macro="[0]!k" textlink="">
      <xdr:nvSpPr>
        <xdr:cNvPr id="7" name="cmd_full_screen">
          <a:extLst>
            <a:ext uri="{FF2B5EF4-FFF2-40B4-BE49-F238E27FC236}">
              <a16:creationId xmlns:a16="http://schemas.microsoft.com/office/drawing/2014/main" id="{00000000-0008-0000-1C00-000007000000}"/>
            </a:ext>
          </a:extLst>
        </xdr:cNvPr>
        <xdr:cNvSpPr txBox="1"/>
      </xdr:nvSpPr>
      <xdr:spPr>
        <a:xfrm>
          <a:off x="514350" y="9058275"/>
          <a:ext cx="1981200" cy="485775"/>
        </a:xfrm>
        <a:prstGeom prst="rect">
          <a:avLst/>
        </a:prstGeom>
        <a:solidFill>
          <a:schemeClr val="bg1">
            <a:lumMod val="95000"/>
          </a:schemeClr>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l"/>
          <a:r>
            <a:rPr lang="en-US" sz="1200" b="1" i="0" u="none" strike="noStrike" baseline="0">
              <a:solidFill>
                <a:srgbClr val="0070C0"/>
              </a:solidFill>
              <a:latin typeface="Calibri"/>
            </a:rPr>
            <a:t>ENTER FULL SCREEN MODE</a:t>
          </a:r>
          <a:endParaRPr lang="en-US" sz="1200" b="1" i="0" u="none" strike="noStrike">
            <a:solidFill>
              <a:srgbClr val="0070C0"/>
            </a:solidFill>
            <a:latin typeface="Calibri"/>
          </a:endParaRPr>
        </a:p>
      </xdr:txBody>
    </xdr:sp>
    <xdr:clientData/>
  </xdr:twoCellAnchor>
  <xdr:twoCellAnchor>
    <xdr:from>
      <xdr:col>2</xdr:col>
      <xdr:colOff>66675</xdr:colOff>
      <xdr:row>18</xdr:row>
      <xdr:rowOff>0</xdr:rowOff>
    </xdr:from>
    <xdr:to>
      <xdr:col>3</xdr:col>
      <xdr:colOff>152401</xdr:colOff>
      <xdr:row>18</xdr:row>
      <xdr:rowOff>990599</xdr:rowOff>
    </xdr:to>
    <xdr:sp macro="" textlink="">
      <xdr:nvSpPr>
        <xdr:cNvPr id="8" name="TextBox 7">
          <a:extLst>
            <a:ext uri="{FF2B5EF4-FFF2-40B4-BE49-F238E27FC236}">
              <a16:creationId xmlns:a16="http://schemas.microsoft.com/office/drawing/2014/main" id="{00000000-0008-0000-1C00-000008000000}"/>
            </a:ext>
          </a:extLst>
        </xdr:cNvPr>
        <xdr:cNvSpPr txBox="1"/>
      </xdr:nvSpPr>
      <xdr:spPr>
        <a:xfrm>
          <a:off x="581025" y="4067175"/>
          <a:ext cx="523876" cy="7905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nchorCtr="0"/>
        <a:lstStyle/>
        <a:p>
          <a:r>
            <a:rPr lang="en-GB" sz="1000"/>
            <a:t>Go to home page</a:t>
          </a:r>
        </a:p>
      </xdr:txBody>
    </xdr:sp>
    <xdr:clientData/>
  </xdr:twoCellAnchor>
  <xdr:twoCellAnchor>
    <xdr:from>
      <xdr:col>3</xdr:col>
      <xdr:colOff>190501</xdr:colOff>
      <xdr:row>18</xdr:row>
      <xdr:rowOff>0</xdr:rowOff>
    </xdr:from>
    <xdr:to>
      <xdr:col>3</xdr:col>
      <xdr:colOff>971550</xdr:colOff>
      <xdr:row>19</xdr:row>
      <xdr:rowOff>0</xdr:rowOff>
    </xdr:to>
    <xdr:sp macro="" textlink="">
      <xdr:nvSpPr>
        <xdr:cNvPr id="9" name="TextBox 8">
          <a:extLst>
            <a:ext uri="{FF2B5EF4-FFF2-40B4-BE49-F238E27FC236}">
              <a16:creationId xmlns:a16="http://schemas.microsoft.com/office/drawing/2014/main" id="{00000000-0008-0000-1C00-000009000000}"/>
            </a:ext>
          </a:extLst>
        </xdr:cNvPr>
        <xdr:cNvSpPr txBox="1"/>
      </xdr:nvSpPr>
      <xdr:spPr>
        <a:xfrm>
          <a:off x="1143001" y="4067175"/>
          <a:ext cx="781049" cy="790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nchorCtr="0"/>
        <a:lstStyle/>
        <a:p>
          <a:r>
            <a:rPr lang="en-GB" sz="1000"/>
            <a:t>Go back to previous page</a:t>
          </a:r>
        </a:p>
      </xdr:txBody>
    </xdr:sp>
    <xdr:clientData/>
  </xdr:twoCellAnchor>
  <xdr:twoCellAnchor>
    <xdr:from>
      <xdr:col>6</xdr:col>
      <xdr:colOff>1514475</xdr:colOff>
      <xdr:row>18</xdr:row>
      <xdr:rowOff>285749</xdr:rowOff>
    </xdr:from>
    <xdr:to>
      <xdr:col>7</xdr:col>
      <xdr:colOff>866775</xdr:colOff>
      <xdr:row>19</xdr:row>
      <xdr:rowOff>76199</xdr:rowOff>
    </xdr:to>
    <xdr:sp macro="" textlink="">
      <xdr:nvSpPr>
        <xdr:cNvPr id="10" name="TextBox 9">
          <a:extLst>
            <a:ext uri="{FF2B5EF4-FFF2-40B4-BE49-F238E27FC236}">
              <a16:creationId xmlns:a16="http://schemas.microsoft.com/office/drawing/2014/main" id="{00000000-0008-0000-1C00-00000A000000}"/>
            </a:ext>
          </a:extLst>
        </xdr:cNvPr>
        <xdr:cNvSpPr txBox="1"/>
      </xdr:nvSpPr>
      <xdr:spPr>
        <a:xfrm>
          <a:off x="8753475" y="4419599"/>
          <a:ext cx="1228725" cy="581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nchorCtr="0"/>
        <a:lstStyle/>
        <a:p>
          <a:r>
            <a:rPr lang="en-GB" sz="1000">
              <a:solidFill>
                <a:schemeClr val="dk1"/>
              </a:solidFill>
              <a:effectLst/>
              <a:latin typeface="+mn-lt"/>
              <a:ea typeface="+mn-ea"/>
              <a:cs typeface="+mn-cs"/>
            </a:rPr>
            <a:t>Enter full screen</a:t>
          </a:r>
          <a:r>
            <a:rPr lang="en-GB" sz="1000" baseline="0">
              <a:solidFill>
                <a:schemeClr val="dk1"/>
              </a:solidFill>
              <a:effectLst/>
              <a:latin typeface="+mn-lt"/>
              <a:ea typeface="+mn-ea"/>
              <a:cs typeface="+mn-cs"/>
            </a:rPr>
            <a:t> </a:t>
          </a:r>
          <a:r>
            <a:rPr lang="en-GB" sz="1000">
              <a:solidFill>
                <a:schemeClr val="dk1"/>
              </a:solidFill>
              <a:effectLst/>
              <a:latin typeface="+mn-lt"/>
              <a:ea typeface="+mn-ea"/>
              <a:cs typeface="+mn-cs"/>
            </a:rPr>
            <a:t>mode </a:t>
          </a:r>
          <a:r>
            <a:rPr lang="en-GB" sz="1000" baseline="0">
              <a:solidFill>
                <a:schemeClr val="dk1"/>
              </a:solidFill>
              <a:effectLst/>
              <a:latin typeface="+mn-lt"/>
              <a:ea typeface="+mn-ea"/>
              <a:cs typeface="+mn-cs"/>
            </a:rPr>
            <a:t>to maximise viewable area.</a:t>
          </a:r>
          <a:endParaRPr lang="en-GB" sz="1000">
            <a:effectLst/>
          </a:endParaRPr>
        </a:p>
      </xdr:txBody>
    </xdr:sp>
    <xdr:clientData/>
  </xdr:twoCellAnchor>
  <xdr:twoCellAnchor>
    <xdr:from>
      <xdr:col>7</xdr:col>
      <xdr:colOff>428624</xdr:colOff>
      <xdr:row>26</xdr:row>
      <xdr:rowOff>0</xdr:rowOff>
    </xdr:from>
    <xdr:to>
      <xdr:col>7</xdr:col>
      <xdr:colOff>1828800</xdr:colOff>
      <xdr:row>26</xdr:row>
      <xdr:rowOff>790574</xdr:rowOff>
    </xdr:to>
    <xdr:sp macro="" textlink="">
      <xdr:nvSpPr>
        <xdr:cNvPr id="11" name="TextBox 10">
          <a:extLst>
            <a:ext uri="{FF2B5EF4-FFF2-40B4-BE49-F238E27FC236}">
              <a16:creationId xmlns:a16="http://schemas.microsoft.com/office/drawing/2014/main" id="{00000000-0008-0000-1C00-00000B000000}"/>
            </a:ext>
          </a:extLst>
        </xdr:cNvPr>
        <xdr:cNvSpPr txBox="1"/>
      </xdr:nvSpPr>
      <xdr:spPr>
        <a:xfrm>
          <a:off x="9544049" y="6953250"/>
          <a:ext cx="1400176" cy="7905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000">
              <a:solidFill>
                <a:schemeClr val="dk1"/>
              </a:solidFill>
              <a:effectLst/>
              <a:latin typeface="+mn-lt"/>
              <a:ea typeface="+mn-ea"/>
              <a:cs typeface="+mn-cs"/>
            </a:rPr>
            <a:t>Restore default view options for current page.</a:t>
          </a:r>
          <a:endParaRPr lang="en-GB" sz="1000">
            <a:effectLst/>
          </a:endParaRPr>
        </a:p>
      </xdr:txBody>
    </xdr:sp>
    <xdr:clientData/>
  </xdr:twoCellAnchor>
  <xdr:twoCellAnchor>
    <xdr:from>
      <xdr:col>5</xdr:col>
      <xdr:colOff>1123950</xdr:colOff>
      <xdr:row>18</xdr:row>
      <xdr:rowOff>66675</xdr:rowOff>
    </xdr:from>
    <xdr:to>
      <xdr:col>5</xdr:col>
      <xdr:colOff>2105025</xdr:colOff>
      <xdr:row>19</xdr:row>
      <xdr:rowOff>66675</xdr:rowOff>
    </xdr:to>
    <xdr:sp macro="" textlink="">
      <xdr:nvSpPr>
        <xdr:cNvPr id="12" name="TextBox 11">
          <a:extLst>
            <a:ext uri="{FF2B5EF4-FFF2-40B4-BE49-F238E27FC236}">
              <a16:creationId xmlns:a16="http://schemas.microsoft.com/office/drawing/2014/main" id="{00000000-0008-0000-1C00-00000C000000}"/>
            </a:ext>
          </a:extLst>
        </xdr:cNvPr>
        <xdr:cNvSpPr txBox="1"/>
      </xdr:nvSpPr>
      <xdr:spPr>
        <a:xfrm>
          <a:off x="5895975" y="4200525"/>
          <a:ext cx="981075" cy="790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nchorCtr="0"/>
        <a:lstStyle/>
        <a:p>
          <a:r>
            <a:rPr lang="en-GB" sz="1000"/>
            <a:t>Click to select a different page</a:t>
          </a:r>
        </a:p>
      </xdr:txBody>
    </xdr:sp>
    <xdr:clientData/>
  </xdr:twoCellAnchor>
  <xdr:twoCellAnchor>
    <xdr:from>
      <xdr:col>4</xdr:col>
      <xdr:colOff>1885950</xdr:colOff>
      <xdr:row>18</xdr:row>
      <xdr:rowOff>47625</xdr:rowOff>
    </xdr:from>
    <xdr:to>
      <xdr:col>5</xdr:col>
      <xdr:colOff>923925</xdr:colOff>
      <xdr:row>19</xdr:row>
      <xdr:rowOff>47625</xdr:rowOff>
    </xdr:to>
    <xdr:sp macro="" textlink="">
      <xdr:nvSpPr>
        <xdr:cNvPr id="13" name="TextBox 12">
          <a:extLst>
            <a:ext uri="{FF2B5EF4-FFF2-40B4-BE49-F238E27FC236}">
              <a16:creationId xmlns:a16="http://schemas.microsoft.com/office/drawing/2014/main" id="{00000000-0008-0000-1C00-00000D000000}"/>
            </a:ext>
          </a:extLst>
        </xdr:cNvPr>
        <xdr:cNvSpPr txBox="1"/>
      </xdr:nvSpPr>
      <xdr:spPr>
        <a:xfrm>
          <a:off x="4714875" y="4181475"/>
          <a:ext cx="981075" cy="790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nchorCtr="0"/>
        <a:lstStyle/>
        <a:p>
          <a:pPr algn="ctr"/>
          <a:r>
            <a:rPr lang="en-GB" sz="1000"/>
            <a:t>Selected page is highlighted</a:t>
          </a:r>
        </a:p>
      </xdr:txBody>
    </xdr:sp>
    <xdr:clientData/>
  </xdr:twoCellAnchor>
  <xdr:twoCellAnchor>
    <xdr:from>
      <xdr:col>3</xdr:col>
      <xdr:colOff>1152525</xdr:colOff>
      <xdr:row>26</xdr:row>
      <xdr:rowOff>142875</xdr:rowOff>
    </xdr:from>
    <xdr:to>
      <xdr:col>4</xdr:col>
      <xdr:colOff>1485900</xdr:colOff>
      <xdr:row>27</xdr:row>
      <xdr:rowOff>142876</xdr:rowOff>
    </xdr:to>
    <xdr:sp macro="" textlink="">
      <xdr:nvSpPr>
        <xdr:cNvPr id="14" name="TextBox 13">
          <a:extLst>
            <a:ext uri="{FF2B5EF4-FFF2-40B4-BE49-F238E27FC236}">
              <a16:creationId xmlns:a16="http://schemas.microsoft.com/office/drawing/2014/main" id="{00000000-0008-0000-1C00-00000E000000}"/>
            </a:ext>
          </a:extLst>
        </xdr:cNvPr>
        <xdr:cNvSpPr txBox="1"/>
      </xdr:nvSpPr>
      <xdr:spPr>
        <a:xfrm>
          <a:off x="1924050" y="6429375"/>
          <a:ext cx="2209800" cy="790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000" b="0"/>
            <a:t>Select view options</a:t>
          </a:r>
          <a:r>
            <a:rPr lang="en-GB" sz="1000" b="0" baseline="0"/>
            <a:t> available on the page using the dropdown controls.   Options vary by page.</a:t>
          </a:r>
          <a:endParaRPr lang="en-GB" sz="1000" b="0"/>
        </a:p>
      </xdr:txBody>
    </xdr:sp>
    <xdr:clientData/>
  </xdr:twoCellAnchor>
  <xdr:twoCellAnchor>
    <xdr:from>
      <xdr:col>2</xdr:col>
      <xdr:colOff>228600</xdr:colOff>
      <xdr:row>18</xdr:row>
      <xdr:rowOff>790574</xdr:rowOff>
    </xdr:from>
    <xdr:to>
      <xdr:col>2</xdr:col>
      <xdr:colOff>328613</xdr:colOff>
      <xdr:row>19</xdr:row>
      <xdr:rowOff>390525</xdr:rowOff>
    </xdr:to>
    <xdr:cxnSp macro="">
      <xdr:nvCxnSpPr>
        <xdr:cNvPr id="15" name="Straight Arrow Connector 14">
          <a:extLst>
            <a:ext uri="{FF2B5EF4-FFF2-40B4-BE49-F238E27FC236}">
              <a16:creationId xmlns:a16="http://schemas.microsoft.com/office/drawing/2014/main" id="{00000000-0008-0000-1C00-00000F000000}"/>
            </a:ext>
          </a:extLst>
        </xdr:cNvPr>
        <xdr:cNvCxnSpPr>
          <a:stCxn id="8" idx="2"/>
        </xdr:cNvCxnSpPr>
      </xdr:nvCxnSpPr>
      <xdr:spPr>
        <a:xfrm flipH="1">
          <a:off x="742950" y="4857749"/>
          <a:ext cx="100013" cy="390526"/>
        </a:xfrm>
        <a:prstGeom prst="straightConnector1">
          <a:avLst/>
        </a:prstGeom>
        <a:ln w="15875">
          <a:solidFill>
            <a:schemeClr val="accent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28575</xdr:colOff>
      <xdr:row>18</xdr:row>
      <xdr:rowOff>714375</xdr:rowOff>
    </xdr:from>
    <xdr:to>
      <xdr:col>3</xdr:col>
      <xdr:colOff>609601</xdr:colOff>
      <xdr:row>19</xdr:row>
      <xdr:rowOff>409575</xdr:rowOff>
    </xdr:to>
    <xdr:cxnSp macro="">
      <xdr:nvCxnSpPr>
        <xdr:cNvPr id="16" name="Straight Arrow Connector 15">
          <a:extLst>
            <a:ext uri="{FF2B5EF4-FFF2-40B4-BE49-F238E27FC236}">
              <a16:creationId xmlns:a16="http://schemas.microsoft.com/office/drawing/2014/main" id="{00000000-0008-0000-1C00-000010000000}"/>
            </a:ext>
          </a:extLst>
        </xdr:cNvPr>
        <xdr:cNvCxnSpPr/>
      </xdr:nvCxnSpPr>
      <xdr:spPr>
        <a:xfrm flipH="1">
          <a:off x="981075" y="4781550"/>
          <a:ext cx="581026" cy="485775"/>
        </a:xfrm>
        <a:prstGeom prst="straightConnector1">
          <a:avLst/>
        </a:prstGeom>
        <a:ln w="15875">
          <a:solidFill>
            <a:schemeClr val="accent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1228725</xdr:colOff>
      <xdr:row>19</xdr:row>
      <xdr:rowOff>47625</xdr:rowOff>
    </xdr:from>
    <xdr:to>
      <xdr:col>5</xdr:col>
      <xdr:colOff>433388</xdr:colOff>
      <xdr:row>21</xdr:row>
      <xdr:rowOff>104775</xdr:rowOff>
    </xdr:to>
    <xdr:cxnSp macro="">
      <xdr:nvCxnSpPr>
        <xdr:cNvPr id="17" name="Straight Arrow Connector 16">
          <a:extLst>
            <a:ext uri="{FF2B5EF4-FFF2-40B4-BE49-F238E27FC236}">
              <a16:creationId xmlns:a16="http://schemas.microsoft.com/office/drawing/2014/main" id="{00000000-0008-0000-1C00-000011000000}"/>
            </a:ext>
          </a:extLst>
        </xdr:cNvPr>
        <xdr:cNvCxnSpPr>
          <a:stCxn id="13" idx="2"/>
        </xdr:cNvCxnSpPr>
      </xdr:nvCxnSpPr>
      <xdr:spPr>
        <a:xfrm flipH="1">
          <a:off x="2000250" y="4238625"/>
          <a:ext cx="3024188" cy="723900"/>
        </a:xfrm>
        <a:prstGeom prst="straightConnector1">
          <a:avLst/>
        </a:prstGeom>
        <a:ln w="15875">
          <a:solidFill>
            <a:schemeClr val="accent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1614488</xdr:colOff>
      <xdr:row>19</xdr:row>
      <xdr:rowOff>66675</xdr:rowOff>
    </xdr:from>
    <xdr:to>
      <xdr:col>6</xdr:col>
      <xdr:colOff>533400</xdr:colOff>
      <xdr:row>20</xdr:row>
      <xdr:rowOff>123825</xdr:rowOff>
    </xdr:to>
    <xdr:cxnSp macro="">
      <xdr:nvCxnSpPr>
        <xdr:cNvPr id="18" name="Straight Arrow Connector 17">
          <a:extLst>
            <a:ext uri="{FF2B5EF4-FFF2-40B4-BE49-F238E27FC236}">
              <a16:creationId xmlns:a16="http://schemas.microsoft.com/office/drawing/2014/main" id="{00000000-0008-0000-1C00-000012000000}"/>
            </a:ext>
          </a:extLst>
        </xdr:cNvPr>
        <xdr:cNvCxnSpPr>
          <a:stCxn id="12" idx="2"/>
        </xdr:cNvCxnSpPr>
      </xdr:nvCxnSpPr>
      <xdr:spPr>
        <a:xfrm>
          <a:off x="6205538" y="4257675"/>
          <a:ext cx="1385887" cy="504825"/>
        </a:xfrm>
        <a:prstGeom prst="straightConnector1">
          <a:avLst/>
        </a:prstGeom>
        <a:ln w="15875">
          <a:solidFill>
            <a:schemeClr val="accent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571500</xdr:colOff>
      <xdr:row>19</xdr:row>
      <xdr:rowOff>95250</xdr:rowOff>
    </xdr:from>
    <xdr:to>
      <xdr:col>7</xdr:col>
      <xdr:colOff>1409700</xdr:colOff>
      <xdr:row>20</xdr:row>
      <xdr:rowOff>76200</xdr:rowOff>
    </xdr:to>
    <xdr:cxnSp macro="">
      <xdr:nvCxnSpPr>
        <xdr:cNvPr id="19" name="Straight Arrow Connector 18">
          <a:extLst>
            <a:ext uri="{FF2B5EF4-FFF2-40B4-BE49-F238E27FC236}">
              <a16:creationId xmlns:a16="http://schemas.microsoft.com/office/drawing/2014/main" id="{00000000-0008-0000-1C00-000013000000}"/>
            </a:ext>
          </a:extLst>
        </xdr:cNvPr>
        <xdr:cNvCxnSpPr/>
      </xdr:nvCxnSpPr>
      <xdr:spPr>
        <a:xfrm>
          <a:off x="9686925" y="5019675"/>
          <a:ext cx="838200" cy="428625"/>
        </a:xfrm>
        <a:prstGeom prst="straightConnector1">
          <a:avLst/>
        </a:prstGeom>
        <a:ln w="15875">
          <a:solidFill>
            <a:schemeClr val="accent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1128712</xdr:colOff>
      <xdr:row>23</xdr:row>
      <xdr:rowOff>142875</xdr:rowOff>
    </xdr:from>
    <xdr:to>
      <xdr:col>8</xdr:col>
      <xdr:colOff>47625</xdr:colOff>
      <xdr:row>26</xdr:row>
      <xdr:rowOff>0</xdr:rowOff>
    </xdr:to>
    <xdr:cxnSp macro="">
      <xdr:nvCxnSpPr>
        <xdr:cNvPr id="20" name="Straight Arrow Connector 19">
          <a:extLst>
            <a:ext uri="{FF2B5EF4-FFF2-40B4-BE49-F238E27FC236}">
              <a16:creationId xmlns:a16="http://schemas.microsoft.com/office/drawing/2014/main" id="{00000000-0008-0000-1C00-000014000000}"/>
            </a:ext>
          </a:extLst>
        </xdr:cNvPr>
        <xdr:cNvCxnSpPr>
          <a:stCxn id="11" idx="0"/>
        </xdr:cNvCxnSpPr>
      </xdr:nvCxnSpPr>
      <xdr:spPr>
        <a:xfrm flipV="1">
          <a:off x="10244137" y="6172200"/>
          <a:ext cx="795338" cy="847725"/>
        </a:xfrm>
        <a:prstGeom prst="straightConnector1">
          <a:avLst/>
        </a:prstGeom>
        <a:ln w="15875">
          <a:solidFill>
            <a:schemeClr val="accent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533400</xdr:colOff>
      <xdr:row>24</xdr:row>
      <xdr:rowOff>276225</xdr:rowOff>
    </xdr:from>
    <xdr:to>
      <xdr:col>4</xdr:col>
      <xdr:colOff>381000</xdr:colOff>
      <xdr:row>26</xdr:row>
      <xdr:rowOff>142875</xdr:rowOff>
    </xdr:to>
    <xdr:cxnSp macro="">
      <xdr:nvCxnSpPr>
        <xdr:cNvPr id="21" name="Straight Arrow Connector 20">
          <a:extLst>
            <a:ext uri="{FF2B5EF4-FFF2-40B4-BE49-F238E27FC236}">
              <a16:creationId xmlns:a16="http://schemas.microsoft.com/office/drawing/2014/main" id="{00000000-0008-0000-1C00-000015000000}"/>
            </a:ext>
          </a:extLst>
        </xdr:cNvPr>
        <xdr:cNvCxnSpPr>
          <a:stCxn id="14" idx="0"/>
        </xdr:cNvCxnSpPr>
      </xdr:nvCxnSpPr>
      <xdr:spPr>
        <a:xfrm flipH="1" flipV="1">
          <a:off x="1304925" y="5791200"/>
          <a:ext cx="1724025" cy="638175"/>
        </a:xfrm>
        <a:prstGeom prst="straightConnector1">
          <a:avLst/>
        </a:prstGeom>
        <a:ln w="15875">
          <a:solidFill>
            <a:schemeClr val="accent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371475</xdr:colOff>
      <xdr:row>24</xdr:row>
      <xdr:rowOff>219075</xdr:rowOff>
    </xdr:from>
    <xdr:to>
      <xdr:col>4</xdr:col>
      <xdr:colOff>381000</xdr:colOff>
      <xdr:row>26</xdr:row>
      <xdr:rowOff>142875</xdr:rowOff>
    </xdr:to>
    <xdr:cxnSp macro="">
      <xdr:nvCxnSpPr>
        <xdr:cNvPr id="22" name="Straight Arrow Connector 21">
          <a:extLst>
            <a:ext uri="{FF2B5EF4-FFF2-40B4-BE49-F238E27FC236}">
              <a16:creationId xmlns:a16="http://schemas.microsoft.com/office/drawing/2014/main" id="{00000000-0008-0000-1C00-000016000000}"/>
            </a:ext>
          </a:extLst>
        </xdr:cNvPr>
        <xdr:cNvCxnSpPr>
          <a:stCxn id="14" idx="0"/>
        </xdr:cNvCxnSpPr>
      </xdr:nvCxnSpPr>
      <xdr:spPr>
        <a:xfrm flipH="1" flipV="1">
          <a:off x="3019425" y="5734050"/>
          <a:ext cx="9525" cy="695325"/>
        </a:xfrm>
        <a:prstGeom prst="straightConnector1">
          <a:avLst/>
        </a:prstGeom>
        <a:ln w="15875">
          <a:solidFill>
            <a:schemeClr val="accent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381000</xdr:colOff>
      <xdr:row>24</xdr:row>
      <xdr:rowOff>247650</xdr:rowOff>
    </xdr:from>
    <xdr:to>
      <xdr:col>5</xdr:col>
      <xdr:colOff>428625</xdr:colOff>
      <xdr:row>26</xdr:row>
      <xdr:rowOff>142875</xdr:rowOff>
    </xdr:to>
    <xdr:cxnSp macro="">
      <xdr:nvCxnSpPr>
        <xdr:cNvPr id="24" name="Straight Arrow Connector 23">
          <a:extLst>
            <a:ext uri="{FF2B5EF4-FFF2-40B4-BE49-F238E27FC236}">
              <a16:creationId xmlns:a16="http://schemas.microsoft.com/office/drawing/2014/main" id="{00000000-0008-0000-1C00-000018000000}"/>
            </a:ext>
          </a:extLst>
        </xdr:cNvPr>
        <xdr:cNvCxnSpPr>
          <a:stCxn id="14" idx="0"/>
        </xdr:cNvCxnSpPr>
      </xdr:nvCxnSpPr>
      <xdr:spPr>
        <a:xfrm flipV="1">
          <a:off x="3028950" y="5762625"/>
          <a:ext cx="1990725" cy="666750"/>
        </a:xfrm>
        <a:prstGeom prst="straightConnector1">
          <a:avLst/>
        </a:prstGeom>
        <a:ln w="15875">
          <a:solidFill>
            <a:schemeClr val="accent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45</xdr:row>
      <xdr:rowOff>28575</xdr:rowOff>
    </xdr:from>
    <xdr:to>
      <xdr:col>3</xdr:col>
      <xdr:colOff>609600</xdr:colOff>
      <xdr:row>46</xdr:row>
      <xdr:rowOff>38100</xdr:rowOff>
    </xdr:to>
    <xdr:sp macro="[0]!k" textlink="">
      <xdr:nvSpPr>
        <xdr:cNvPr id="25" name="ass_top_of_page">
          <a:extLst>
            <a:ext uri="{FF2B5EF4-FFF2-40B4-BE49-F238E27FC236}">
              <a16:creationId xmlns:a16="http://schemas.microsoft.com/office/drawing/2014/main" id="{00000000-0008-0000-1C00-000019000000}"/>
            </a:ext>
          </a:extLst>
        </xdr:cNvPr>
        <xdr:cNvSpPr txBox="1"/>
      </xdr:nvSpPr>
      <xdr:spPr>
        <a:xfrm>
          <a:off x="514350" y="11906250"/>
          <a:ext cx="104775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none" strike="noStrike" baseline="0">
              <a:solidFill>
                <a:srgbClr val="0070C0"/>
              </a:solidFill>
              <a:latin typeface="+mn-lt"/>
            </a:rPr>
            <a:t>↑ Top of page</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59871</xdr:colOff>
          <xdr:row>39</xdr:row>
          <xdr:rowOff>27214</xdr:rowOff>
        </xdr:from>
        <xdr:to>
          <xdr:col>5</xdr:col>
          <xdr:colOff>636814</xdr:colOff>
          <xdr:row>40</xdr:row>
          <xdr:rowOff>27214</xdr:rowOff>
        </xdr:to>
        <xdr:sp macro="" textlink="">
          <xdr:nvSpPr>
            <xdr:cNvPr id="5991426" name="cnt_GlobalZoom" hidden="1">
              <a:extLst>
                <a:ext uri="{63B3BB69-23CF-44E3-9099-C40C66FF867C}">
                  <a14:compatExt spid="_x0000_s5991426"/>
                </a:ext>
                <a:ext uri="{FF2B5EF4-FFF2-40B4-BE49-F238E27FC236}">
                  <a16:creationId xmlns:a16="http://schemas.microsoft.com/office/drawing/2014/main" id="{00000000-0008-0000-1C00-0000026C5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7</xdr:col>
      <xdr:colOff>1576388</xdr:colOff>
      <xdr:row>18</xdr:row>
      <xdr:rowOff>723900</xdr:rowOff>
    </xdr:from>
    <xdr:to>
      <xdr:col>7</xdr:col>
      <xdr:colOff>1781175</xdr:colOff>
      <xdr:row>19</xdr:row>
      <xdr:rowOff>352425</xdr:rowOff>
    </xdr:to>
    <xdr:cxnSp macro="">
      <xdr:nvCxnSpPr>
        <xdr:cNvPr id="30" name="Straight Arrow Connector 29">
          <a:extLst>
            <a:ext uri="{FF2B5EF4-FFF2-40B4-BE49-F238E27FC236}">
              <a16:creationId xmlns:a16="http://schemas.microsoft.com/office/drawing/2014/main" id="{00000000-0008-0000-1C00-00001E000000}"/>
            </a:ext>
          </a:extLst>
        </xdr:cNvPr>
        <xdr:cNvCxnSpPr>
          <a:stCxn id="5991425" idx="2"/>
        </xdr:cNvCxnSpPr>
      </xdr:nvCxnSpPr>
      <xdr:spPr>
        <a:xfrm>
          <a:off x="10691813" y="4857750"/>
          <a:ext cx="204787" cy="419100"/>
        </a:xfrm>
        <a:prstGeom prst="straightConnector1">
          <a:avLst/>
        </a:prstGeom>
        <a:ln w="15875">
          <a:solidFill>
            <a:schemeClr val="accent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962025</xdr:colOff>
      <xdr:row>18</xdr:row>
      <xdr:rowOff>142875</xdr:rowOff>
    </xdr:from>
    <xdr:to>
      <xdr:col>8</xdr:col>
      <xdr:colOff>314325</xdr:colOff>
      <xdr:row>18</xdr:row>
      <xdr:rowOff>723900</xdr:rowOff>
    </xdr:to>
    <xdr:sp macro="" textlink="">
      <xdr:nvSpPr>
        <xdr:cNvPr id="5991425" name="TextBox 5991424">
          <a:extLst>
            <a:ext uri="{FF2B5EF4-FFF2-40B4-BE49-F238E27FC236}">
              <a16:creationId xmlns:a16="http://schemas.microsoft.com/office/drawing/2014/main" id="{00000000-0008-0000-1C00-0000016C5B00}"/>
            </a:ext>
          </a:extLst>
        </xdr:cNvPr>
        <xdr:cNvSpPr txBox="1"/>
      </xdr:nvSpPr>
      <xdr:spPr>
        <a:xfrm>
          <a:off x="10077450" y="4276725"/>
          <a:ext cx="1228725" cy="581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nchorCtr="0"/>
        <a:lstStyle/>
        <a:p>
          <a:r>
            <a:rPr lang="en-GB" sz="1000">
              <a:effectLst/>
            </a:rPr>
            <a:t>Export current page as standalone</a:t>
          </a:r>
          <a:r>
            <a:rPr lang="en-GB" sz="1000" baseline="0">
              <a:effectLst/>
            </a:rPr>
            <a:t> excel worksheet</a:t>
          </a:r>
          <a:endParaRPr lang="en-GB" sz="1000">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23</xdr:col>
      <xdr:colOff>857250</xdr:colOff>
      <xdr:row>18</xdr:row>
      <xdr:rowOff>85727</xdr:rowOff>
    </xdr:from>
    <xdr:to>
      <xdr:col>28</xdr:col>
      <xdr:colOff>866775</xdr:colOff>
      <xdr:row>18</xdr:row>
      <xdr:rowOff>438151</xdr:rowOff>
    </xdr:to>
    <xdr:sp macro="" textlink="">
      <xdr:nvSpPr>
        <xdr:cNvPr id="5365929" name="shp_Overview_Brace">
          <a:extLst>
            <a:ext uri="{FF2B5EF4-FFF2-40B4-BE49-F238E27FC236}">
              <a16:creationId xmlns:a16="http://schemas.microsoft.com/office/drawing/2014/main" id="{00000000-0008-0000-1D00-0000A9E05100}"/>
            </a:ext>
          </a:extLst>
        </xdr:cNvPr>
        <xdr:cNvSpPr/>
      </xdr:nvSpPr>
      <xdr:spPr>
        <a:xfrm rot="5400000">
          <a:off x="2100263" y="2471739"/>
          <a:ext cx="352424" cy="2343150"/>
        </a:xfrm>
        <a:prstGeom prst="leftBrace">
          <a:avLst>
            <a:gd name="adj1" fmla="val 8333"/>
            <a:gd name="adj2" fmla="val 50316"/>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33</xdr:col>
      <xdr:colOff>809624</xdr:colOff>
      <xdr:row>18</xdr:row>
      <xdr:rowOff>85728</xdr:rowOff>
    </xdr:from>
    <xdr:to>
      <xdr:col>38</xdr:col>
      <xdr:colOff>828675</xdr:colOff>
      <xdr:row>18</xdr:row>
      <xdr:rowOff>409576</xdr:rowOff>
    </xdr:to>
    <xdr:sp macro="" textlink="">
      <xdr:nvSpPr>
        <xdr:cNvPr id="5365854" name="shp_Overview_Brace">
          <a:extLst>
            <a:ext uri="{FF2B5EF4-FFF2-40B4-BE49-F238E27FC236}">
              <a16:creationId xmlns:a16="http://schemas.microsoft.com/office/drawing/2014/main" id="{00000000-0008-0000-1D00-00005EE05100}"/>
            </a:ext>
          </a:extLst>
        </xdr:cNvPr>
        <xdr:cNvSpPr/>
      </xdr:nvSpPr>
      <xdr:spPr>
        <a:xfrm rot="5400000">
          <a:off x="6738938" y="2452689"/>
          <a:ext cx="323848" cy="2352676"/>
        </a:xfrm>
        <a:prstGeom prst="leftBrace">
          <a:avLst>
            <a:gd name="adj1" fmla="val 8333"/>
            <a:gd name="adj2" fmla="val 50316"/>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23</xdr:col>
      <xdr:colOff>847724</xdr:colOff>
      <xdr:row>16</xdr:row>
      <xdr:rowOff>104778</xdr:rowOff>
    </xdr:from>
    <xdr:to>
      <xdr:col>43</xdr:col>
      <xdr:colOff>816431</xdr:colOff>
      <xdr:row>16</xdr:row>
      <xdr:rowOff>250376</xdr:rowOff>
    </xdr:to>
    <xdr:sp macro="" textlink="">
      <xdr:nvSpPr>
        <xdr:cNvPr id="5365853" name="shp_Overview_Brace">
          <a:extLst>
            <a:ext uri="{FF2B5EF4-FFF2-40B4-BE49-F238E27FC236}">
              <a16:creationId xmlns:a16="http://schemas.microsoft.com/office/drawing/2014/main" id="{00000000-0008-0000-1D00-00005DE05100}"/>
            </a:ext>
          </a:extLst>
        </xdr:cNvPr>
        <xdr:cNvSpPr/>
      </xdr:nvSpPr>
      <xdr:spPr>
        <a:xfrm rot="5400000">
          <a:off x="14725650" y="-3083377"/>
          <a:ext cx="145598" cy="14969222"/>
        </a:xfrm>
        <a:prstGeom prst="leftBrace">
          <a:avLst>
            <a:gd name="adj1" fmla="val 0"/>
            <a:gd name="adj2" fmla="val 50316"/>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33</xdr:col>
      <xdr:colOff>1216478</xdr:colOff>
      <xdr:row>10</xdr:row>
      <xdr:rowOff>238125</xdr:rowOff>
    </xdr:from>
    <xdr:to>
      <xdr:col>45</xdr:col>
      <xdr:colOff>74886</xdr:colOff>
      <xdr:row>11</xdr:row>
      <xdr:rowOff>110673</xdr:rowOff>
    </xdr:to>
    <xdr:grpSp>
      <xdr:nvGrpSpPr>
        <xdr:cNvPr id="5365506" name="5_class_legend">
          <a:extLst>
            <a:ext uri="{FF2B5EF4-FFF2-40B4-BE49-F238E27FC236}">
              <a16:creationId xmlns:a16="http://schemas.microsoft.com/office/drawing/2014/main" id="{00000000-0008-0000-1D00-000002DF5100}"/>
            </a:ext>
          </a:extLst>
        </xdr:cNvPr>
        <xdr:cNvGrpSpPr/>
      </xdr:nvGrpSpPr>
      <xdr:grpSpPr>
        <a:xfrm>
          <a:off x="14894378" y="2796268"/>
          <a:ext cx="8269108" cy="264434"/>
          <a:chOff x="8421735" y="12319001"/>
          <a:chExt cx="5762672" cy="269876"/>
        </a:xfrm>
      </xdr:grpSpPr>
      <xdr:sp macro="" textlink="uxbGlobals!$B$173">
        <xdr:nvSpPr>
          <xdr:cNvPr id="5365508" name="txtLegendLabel5i">
            <a:extLst>
              <a:ext uri="{FF2B5EF4-FFF2-40B4-BE49-F238E27FC236}">
                <a16:creationId xmlns:a16="http://schemas.microsoft.com/office/drawing/2014/main" id="{00000000-0008-0000-1D00-000004DF5100}"/>
              </a:ext>
            </a:extLst>
          </xdr:cNvPr>
          <xdr:cNvSpPr txBox="1"/>
        </xdr:nvSpPr>
        <xdr:spPr>
          <a:xfrm>
            <a:off x="8621372" y="12319002"/>
            <a:ext cx="959285"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pPr algn="l"/>
            <a:fld id="{EA56387A-8FE7-4BDA-A804-794FD2D8B094}" type="TxLink">
              <a:rPr lang="en-US" sz="800" b="0" i="0" u="none" strike="noStrike">
                <a:solidFill>
                  <a:sysClr val="windowText" lastClr="000000"/>
                </a:solidFill>
                <a:latin typeface="Calibri"/>
                <a:cs typeface="Calibri"/>
              </a:rPr>
              <a:pPr algn="l"/>
              <a:t>Score 80.0-100.0</a:t>
            </a:fld>
            <a:endParaRPr lang="en-GB" sz="800">
              <a:solidFill>
                <a:sysClr val="windowText" lastClr="000000"/>
              </a:solidFill>
            </a:endParaRPr>
          </a:p>
        </xdr:txBody>
      </xdr:sp>
      <xdr:sp macro="" textlink="uxbGlobals!$B$137">
        <xdr:nvSpPr>
          <xdr:cNvPr id="5365510" name="shpLegendGroup5h">
            <a:extLst>
              <a:ext uri="{FF2B5EF4-FFF2-40B4-BE49-F238E27FC236}">
                <a16:creationId xmlns:a16="http://schemas.microsoft.com/office/drawing/2014/main" id="{00000000-0008-0000-1D00-000006DF5100}"/>
              </a:ext>
            </a:extLst>
          </xdr:cNvPr>
          <xdr:cNvSpPr>
            <a:spLocks noChangeAspect="1"/>
          </xdr:cNvSpPr>
        </xdr:nvSpPr>
        <xdr:spPr>
          <a:xfrm>
            <a:off x="8421735" y="12319001"/>
            <a:ext cx="190547" cy="269875"/>
          </a:xfrm>
          <a:prstGeom prst="rect">
            <a:avLst/>
          </a:prstGeom>
          <a:solidFill>
            <a:srgbClr xmlns:mc="http://schemas.openxmlformats.org/markup-compatibility/2006" xmlns:a14="http://schemas.microsoft.com/office/drawing/2010/main" val="1A9641" mc:Ignorable="a14" a14:legacySpreadsheetColorIndex="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ctr"/>
            <a:fld id="{C1547AC5-ED9B-4854-A6E3-98A6BC359FEE}" type="TxLink">
              <a:rPr lang="en-US" sz="900" b="0" i="0" u="none" strike="noStrike">
                <a:solidFill>
                  <a:srgbClr xmlns:mc="http://schemas.openxmlformats.org/markup-compatibility/2006" xmlns:a14="http://schemas.microsoft.com/office/drawing/2010/main" val="FFFFFF" mc:Ignorable="a14" a14:legacySpreadsheetColorIndex="54"/>
                </a:solidFill>
                <a:latin typeface="Calibri"/>
                <a:cs typeface="Calibri"/>
              </a:rPr>
              <a:pPr algn="ctr"/>
              <a:t> </a:t>
            </a:fld>
            <a:endParaRPr lang="en-GB" sz="900">
              <a:solidFill>
                <a:srgbClr xmlns:mc="http://schemas.openxmlformats.org/markup-compatibility/2006" xmlns:a14="http://schemas.microsoft.com/office/drawing/2010/main" val="FFFFFF" mc:Ignorable="a14" a14:legacySpreadsheetColorIndex="54"/>
              </a:solidFill>
            </a:endParaRPr>
          </a:p>
        </xdr:txBody>
      </xdr:sp>
      <xdr:sp macro="" textlink="uxbGlobals!$B$172">
        <xdr:nvSpPr>
          <xdr:cNvPr id="5365511" name="txtLegendLabel4i">
            <a:extLst>
              <a:ext uri="{FF2B5EF4-FFF2-40B4-BE49-F238E27FC236}">
                <a16:creationId xmlns:a16="http://schemas.microsoft.com/office/drawing/2014/main" id="{00000000-0008-0000-1D00-000007DF5100}"/>
              </a:ext>
            </a:extLst>
          </xdr:cNvPr>
          <xdr:cNvSpPr txBox="1"/>
        </xdr:nvSpPr>
        <xdr:spPr>
          <a:xfrm>
            <a:off x="9772310" y="12319002"/>
            <a:ext cx="959285"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pPr algn="l"/>
            <a:fld id="{329D097E-9736-44EE-B76E-B31BDA5CA800}" type="TxLink">
              <a:rPr lang="en-US" sz="800" b="0" i="0" u="none" strike="noStrike">
                <a:solidFill>
                  <a:sysClr val="windowText" lastClr="000000"/>
                </a:solidFill>
                <a:latin typeface="Calibri"/>
                <a:cs typeface="Calibri"/>
              </a:rPr>
              <a:pPr algn="l"/>
              <a:t>Score 60.0-79.9</a:t>
            </a:fld>
            <a:endParaRPr lang="en-GB" sz="800">
              <a:solidFill>
                <a:sysClr val="windowText" lastClr="000000"/>
              </a:solidFill>
            </a:endParaRPr>
          </a:p>
        </xdr:txBody>
      </xdr:sp>
      <xdr:sp macro="" textlink="uxbGlobals!$B$136">
        <xdr:nvSpPr>
          <xdr:cNvPr id="5365512" name="shpLegendGroup4h">
            <a:extLst>
              <a:ext uri="{FF2B5EF4-FFF2-40B4-BE49-F238E27FC236}">
                <a16:creationId xmlns:a16="http://schemas.microsoft.com/office/drawing/2014/main" id="{00000000-0008-0000-1D00-000008DF5100}"/>
              </a:ext>
            </a:extLst>
          </xdr:cNvPr>
          <xdr:cNvSpPr>
            <a:spLocks noChangeAspect="1"/>
          </xdr:cNvSpPr>
        </xdr:nvSpPr>
        <xdr:spPr>
          <a:xfrm>
            <a:off x="9572673" y="12319001"/>
            <a:ext cx="190547" cy="269875"/>
          </a:xfrm>
          <a:prstGeom prst="rect">
            <a:avLst/>
          </a:prstGeom>
          <a:solidFill>
            <a:srgbClr xmlns:mc="http://schemas.openxmlformats.org/markup-compatibility/2006" xmlns:a14="http://schemas.microsoft.com/office/drawing/2010/main" val="A6D96A" mc:Ignorable="a14" a14:legacySpreadsheetColorIndex="4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ctr"/>
            <a:fld id="{465A46BF-5830-4242-B700-D10A7C076CF4}" type="TxLink">
              <a:rPr lang="en-US" sz="900" b="0" i="0" u="none" strike="noStrike">
                <a:solidFill>
                  <a:srgbClr xmlns:mc="http://schemas.openxmlformats.org/markup-compatibility/2006" xmlns:a14="http://schemas.microsoft.com/office/drawing/2010/main" val="000000" mc:Ignorable="a14" a14:legacySpreadsheetColorIndex="53"/>
                </a:solidFill>
                <a:latin typeface="Calibri"/>
                <a:cs typeface="Calibri"/>
              </a:rPr>
              <a:pPr algn="ctr"/>
              <a:t> </a:t>
            </a:fld>
            <a:endParaRPr lang="en-GB" sz="900">
              <a:solidFill>
                <a:srgbClr xmlns:mc="http://schemas.openxmlformats.org/markup-compatibility/2006" xmlns:a14="http://schemas.microsoft.com/office/drawing/2010/main" val="000000" mc:Ignorable="a14" a14:legacySpreadsheetColorIndex="53"/>
              </a:solidFill>
            </a:endParaRPr>
          </a:p>
        </xdr:txBody>
      </xdr:sp>
      <xdr:sp macro="" textlink="uxbGlobals!$B$171">
        <xdr:nvSpPr>
          <xdr:cNvPr id="5365513" name="txtLegendLabel3i">
            <a:extLst>
              <a:ext uri="{FF2B5EF4-FFF2-40B4-BE49-F238E27FC236}">
                <a16:creationId xmlns:a16="http://schemas.microsoft.com/office/drawing/2014/main" id="{00000000-0008-0000-1D00-000009DF5100}"/>
              </a:ext>
            </a:extLst>
          </xdr:cNvPr>
          <xdr:cNvSpPr txBox="1"/>
        </xdr:nvSpPr>
        <xdr:spPr>
          <a:xfrm>
            <a:off x="10923247" y="12319002"/>
            <a:ext cx="959285"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pPr algn="l"/>
            <a:fld id="{F2EB9E62-18AD-4111-8C72-E75F0CBEC621}" type="TxLink">
              <a:rPr lang="en-US" sz="800" b="0" i="0" u="none" strike="noStrike">
                <a:solidFill>
                  <a:sysClr val="windowText" lastClr="000000"/>
                </a:solidFill>
                <a:latin typeface="Calibri"/>
                <a:cs typeface="Calibri"/>
              </a:rPr>
              <a:pPr algn="l"/>
              <a:t>Score 40.0-59.9</a:t>
            </a:fld>
            <a:endParaRPr lang="en-GB" sz="800">
              <a:solidFill>
                <a:sysClr val="windowText" lastClr="000000"/>
              </a:solidFill>
            </a:endParaRPr>
          </a:p>
        </xdr:txBody>
      </xdr:sp>
      <xdr:sp macro="" textlink="uxbGlobals!$B$135">
        <xdr:nvSpPr>
          <xdr:cNvPr id="5365514" name="shpLegendGroup3h">
            <a:extLst>
              <a:ext uri="{FF2B5EF4-FFF2-40B4-BE49-F238E27FC236}">
                <a16:creationId xmlns:a16="http://schemas.microsoft.com/office/drawing/2014/main" id="{00000000-0008-0000-1D00-00000ADF5100}"/>
              </a:ext>
            </a:extLst>
          </xdr:cNvPr>
          <xdr:cNvSpPr>
            <a:spLocks noChangeAspect="1"/>
          </xdr:cNvSpPr>
        </xdr:nvSpPr>
        <xdr:spPr>
          <a:xfrm>
            <a:off x="10723610" y="12319001"/>
            <a:ext cx="190547" cy="269875"/>
          </a:xfrm>
          <a:prstGeom prst="rect">
            <a:avLst/>
          </a:prstGeom>
          <a:solidFill>
            <a:srgbClr xmlns:mc="http://schemas.openxmlformats.org/markup-compatibility/2006" xmlns:a14="http://schemas.microsoft.com/office/drawing/2010/main" val="FEE08B" mc:Ignorable="a14" a14:legacySpreadsheetColorIndex="4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ctr"/>
            <a:fld id="{0A3C7BA9-CF07-49B4-816F-55252D110F98}" type="TxLink">
              <a:rPr lang="en-US" sz="900" b="0" i="0" u="none" strike="noStrike">
                <a:solidFill>
                  <a:srgbClr xmlns:mc="http://schemas.openxmlformats.org/markup-compatibility/2006" xmlns:a14="http://schemas.microsoft.com/office/drawing/2010/main" val="000000" mc:Ignorable="a14" a14:legacySpreadsheetColorIndex="52"/>
                </a:solidFill>
                <a:latin typeface="Calibri"/>
                <a:cs typeface="Calibri"/>
              </a:rPr>
              <a:pPr algn="ctr"/>
              <a:t> </a:t>
            </a:fld>
            <a:endParaRPr lang="en-GB" sz="900">
              <a:solidFill>
                <a:srgbClr xmlns:mc="http://schemas.openxmlformats.org/markup-compatibility/2006" xmlns:a14="http://schemas.microsoft.com/office/drawing/2010/main" val="000000" mc:Ignorable="a14" a14:legacySpreadsheetColorIndex="52"/>
              </a:solidFill>
            </a:endParaRPr>
          </a:p>
        </xdr:txBody>
      </xdr:sp>
      <xdr:sp macro="" textlink="uxbGlobals!$B$170">
        <xdr:nvSpPr>
          <xdr:cNvPr id="5365515" name="txtLegendLabel2i">
            <a:extLst>
              <a:ext uri="{FF2B5EF4-FFF2-40B4-BE49-F238E27FC236}">
                <a16:creationId xmlns:a16="http://schemas.microsoft.com/office/drawing/2014/main" id="{00000000-0008-0000-1D00-00000BDF5100}"/>
              </a:ext>
            </a:extLst>
          </xdr:cNvPr>
          <xdr:cNvSpPr txBox="1"/>
        </xdr:nvSpPr>
        <xdr:spPr>
          <a:xfrm>
            <a:off x="12074185" y="12319002"/>
            <a:ext cx="959285"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pPr algn="l"/>
            <a:fld id="{7E86BC02-B587-461A-8A38-25F8BBCBC6F7}" type="TxLink">
              <a:rPr lang="en-US" sz="800" b="0" i="0" u="none" strike="noStrike">
                <a:solidFill>
                  <a:sysClr val="windowText" lastClr="000000"/>
                </a:solidFill>
                <a:latin typeface="Calibri"/>
                <a:cs typeface="Calibri"/>
              </a:rPr>
              <a:pPr algn="l"/>
              <a:t>Score 20.0-39.9</a:t>
            </a:fld>
            <a:endParaRPr lang="en-GB" sz="800">
              <a:solidFill>
                <a:sysClr val="windowText" lastClr="000000"/>
              </a:solidFill>
            </a:endParaRPr>
          </a:p>
        </xdr:txBody>
      </xdr:sp>
      <xdr:sp macro="" textlink="uxbGlobals!$B$134">
        <xdr:nvSpPr>
          <xdr:cNvPr id="5365516" name="shpLegendGroup2h">
            <a:extLst>
              <a:ext uri="{FF2B5EF4-FFF2-40B4-BE49-F238E27FC236}">
                <a16:creationId xmlns:a16="http://schemas.microsoft.com/office/drawing/2014/main" id="{00000000-0008-0000-1D00-00000CDF5100}"/>
              </a:ext>
            </a:extLst>
          </xdr:cNvPr>
          <xdr:cNvSpPr>
            <a:spLocks noChangeAspect="1"/>
          </xdr:cNvSpPr>
        </xdr:nvSpPr>
        <xdr:spPr>
          <a:xfrm>
            <a:off x="11874548" y="12319001"/>
            <a:ext cx="190547" cy="269875"/>
          </a:xfrm>
          <a:prstGeom prst="rect">
            <a:avLst/>
          </a:prstGeom>
          <a:solidFill>
            <a:srgbClr xmlns:mc="http://schemas.openxmlformats.org/markup-compatibility/2006" xmlns:a14="http://schemas.microsoft.com/office/drawing/2010/main" val="FDAE61" mc:Ignorable="a14" a14:legacySpreadsheetColorIndex="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ctr"/>
            <a:fld id="{D0B6E4F4-F304-4485-821F-C6C106E9A287}" type="TxLink">
              <a:rPr lang="en-US" sz="900" b="0" i="0" u="none" strike="noStrike">
                <a:solidFill>
                  <a:srgbClr xmlns:mc="http://schemas.openxmlformats.org/markup-compatibility/2006" xmlns:a14="http://schemas.microsoft.com/office/drawing/2010/main" val="000000" mc:Ignorable="a14" a14:legacySpreadsheetColorIndex="51"/>
                </a:solidFill>
                <a:latin typeface="Calibri"/>
                <a:cs typeface="Calibri"/>
              </a:rPr>
              <a:pPr algn="ctr"/>
              <a:t> </a:t>
            </a:fld>
            <a:endParaRPr lang="en-GB" sz="900">
              <a:solidFill>
                <a:srgbClr xmlns:mc="http://schemas.openxmlformats.org/markup-compatibility/2006" xmlns:a14="http://schemas.microsoft.com/office/drawing/2010/main" val="000000" mc:Ignorable="a14" a14:legacySpreadsheetColorIndex="51"/>
              </a:solidFill>
            </a:endParaRPr>
          </a:p>
        </xdr:txBody>
      </xdr:sp>
      <xdr:sp macro="" textlink="uxbGlobals!$B$169">
        <xdr:nvSpPr>
          <xdr:cNvPr id="5365517" name="txtLegendLabel1i">
            <a:extLst>
              <a:ext uri="{FF2B5EF4-FFF2-40B4-BE49-F238E27FC236}">
                <a16:creationId xmlns:a16="http://schemas.microsoft.com/office/drawing/2014/main" id="{00000000-0008-0000-1D00-00000DDF5100}"/>
              </a:ext>
            </a:extLst>
          </xdr:cNvPr>
          <xdr:cNvSpPr txBox="1"/>
        </xdr:nvSpPr>
        <xdr:spPr>
          <a:xfrm>
            <a:off x="13225122" y="12319002"/>
            <a:ext cx="959285"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pPr algn="l"/>
            <a:fld id="{662338A8-8BA2-4435-8F8C-D9BA1EE24855}" type="TxLink">
              <a:rPr lang="en-US" sz="800" b="0" i="0" u="none" strike="noStrike">
                <a:solidFill>
                  <a:sysClr val="windowText" lastClr="000000"/>
                </a:solidFill>
                <a:latin typeface="Calibri"/>
                <a:cs typeface="Calibri"/>
              </a:rPr>
              <a:pPr algn="l"/>
              <a:t>Score 0-19.9</a:t>
            </a:fld>
            <a:endParaRPr lang="en-GB" sz="800">
              <a:solidFill>
                <a:sysClr val="windowText" lastClr="000000"/>
              </a:solidFill>
            </a:endParaRPr>
          </a:p>
        </xdr:txBody>
      </xdr:sp>
      <xdr:sp macro="" textlink="uxbGlobals!$B$133">
        <xdr:nvSpPr>
          <xdr:cNvPr id="5365518" name="shpLegendGroup1h">
            <a:extLst>
              <a:ext uri="{FF2B5EF4-FFF2-40B4-BE49-F238E27FC236}">
                <a16:creationId xmlns:a16="http://schemas.microsoft.com/office/drawing/2014/main" id="{00000000-0008-0000-1D00-00000EDF5100}"/>
              </a:ext>
            </a:extLst>
          </xdr:cNvPr>
          <xdr:cNvSpPr>
            <a:spLocks noChangeAspect="1"/>
          </xdr:cNvSpPr>
        </xdr:nvSpPr>
        <xdr:spPr>
          <a:xfrm>
            <a:off x="13025485" y="12319001"/>
            <a:ext cx="190547" cy="269875"/>
          </a:xfrm>
          <a:prstGeom prst="rect">
            <a:avLst/>
          </a:prstGeom>
          <a:solidFill>
            <a:srgbClr xmlns:mc="http://schemas.openxmlformats.org/markup-compatibility/2006" xmlns:a14="http://schemas.microsoft.com/office/drawing/2010/main" val="D7191C" mc:Ignorable="a14" a14:legacySpreadsheetColorIndex="4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ctr"/>
            <a:fld id="{99034E38-2ABA-474A-93A9-46137EAF5812}" type="TxLink">
              <a:rPr lang="en-US" sz="900" b="0" i="0" u="none" strike="noStrike">
                <a:solidFill>
                  <a:srgbClr xmlns:mc="http://schemas.openxmlformats.org/markup-compatibility/2006" xmlns:a14="http://schemas.microsoft.com/office/drawing/2010/main" val="FFFFFF" mc:Ignorable="a14" a14:legacySpreadsheetColorIndex="50"/>
                </a:solidFill>
                <a:latin typeface="Calibri"/>
                <a:cs typeface="Calibri"/>
              </a:rPr>
              <a:pPr algn="ctr"/>
              <a:t> </a:t>
            </a:fld>
            <a:endParaRPr lang="en-GB" sz="900">
              <a:solidFill>
                <a:srgbClr xmlns:mc="http://schemas.openxmlformats.org/markup-compatibility/2006" xmlns:a14="http://schemas.microsoft.com/office/drawing/2010/main" val="FFFFFF" mc:Ignorable="a14" a14:legacySpreadsheetColorIndex="50"/>
              </a:solidFill>
            </a:endParaRPr>
          </a:p>
        </xdr:txBody>
      </xdr:sp>
    </xdr:grpSp>
    <xdr:clientData/>
  </xdr:twoCellAnchor>
  <xdr:twoCellAnchor editAs="absolute">
    <xdr:from>
      <xdr:col>0</xdr:col>
      <xdr:colOff>0</xdr:colOff>
      <xdr:row>3</xdr:row>
      <xdr:rowOff>533397</xdr:rowOff>
    </xdr:from>
    <xdr:to>
      <xdr:col>29</xdr:col>
      <xdr:colOff>70757</xdr:colOff>
      <xdr:row>4</xdr:row>
      <xdr:rowOff>304797</xdr:rowOff>
    </xdr:to>
    <xdr:sp macro="[0]!k" textlink="">
      <xdr:nvSpPr>
        <xdr:cNvPr id="41" name="ui_txt_infobar" hidden="1">
          <a:extLst>
            <a:ext uri="{FF2B5EF4-FFF2-40B4-BE49-F238E27FC236}">
              <a16:creationId xmlns:a16="http://schemas.microsoft.com/office/drawing/2014/main" id="{00000000-0008-0000-1D00-000029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000"/>
        </a:p>
      </xdr:txBody>
    </xdr:sp>
    <xdr:clientData fPrintsWithSheet="0"/>
  </xdr:twoCellAnchor>
  <xdr:twoCellAnchor editAs="absolute">
    <xdr:from>
      <xdr:col>0</xdr:col>
      <xdr:colOff>0</xdr:colOff>
      <xdr:row>0</xdr:row>
      <xdr:rowOff>0</xdr:rowOff>
    </xdr:from>
    <xdr:to>
      <xdr:col>29</xdr:col>
      <xdr:colOff>70757</xdr:colOff>
      <xdr:row>2</xdr:row>
      <xdr:rowOff>0</xdr:rowOff>
    </xdr:to>
    <xdr:sp macro="[0]!k" textlink="">
      <xdr:nvSpPr>
        <xdr:cNvPr id="2" name="ui_cmd_leave_zen_mode" hidden="1">
          <a:extLst>
            <a:ext uri="{FF2B5EF4-FFF2-40B4-BE49-F238E27FC236}">
              <a16:creationId xmlns:a16="http://schemas.microsoft.com/office/drawing/2014/main" id="{00000000-0008-0000-1D00-000002000000}"/>
            </a:ext>
          </a:extLst>
        </xdr:cNvPr>
        <xdr:cNvSpPr txBox="1"/>
      </xdr:nvSpPr>
      <xdr:spPr>
        <a:xfrm>
          <a:off x="0" y="0"/>
          <a:ext cx="11887200" cy="304800"/>
        </a:xfrm>
        <a:prstGeom prst="rect">
          <a:avLst/>
        </a:prstGeom>
        <a:solidFill>
          <a:schemeClr val="l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GB" sz="1100" b="1">
              <a:solidFill>
                <a:schemeClr val="bg1">
                  <a:lumMod val="65000"/>
                </a:schemeClr>
              </a:solidFill>
            </a:rPr>
            <a:t>ZEN MODE.  NAVIGATION IS HIDDEN TO MAXIMISE VISIBLE</a:t>
          </a:r>
          <a:r>
            <a:rPr lang="en-GB" sz="1100" b="1" baseline="0">
              <a:solidFill>
                <a:schemeClr val="bg1">
                  <a:lumMod val="65000"/>
                </a:schemeClr>
              </a:solidFill>
            </a:rPr>
            <a:t> CONTENT. </a:t>
          </a:r>
          <a:r>
            <a:rPr lang="en-GB" sz="1100" b="1">
              <a:solidFill>
                <a:schemeClr val="bg1">
                  <a:lumMod val="65000"/>
                </a:schemeClr>
              </a:solidFill>
            </a:rPr>
            <a:t>  </a:t>
          </a:r>
          <a:r>
            <a:rPr lang="en-GB" sz="1100" b="1" u="sng">
              <a:solidFill>
                <a:srgbClr val="0070C0"/>
              </a:solidFill>
            </a:rPr>
            <a:t>CLICK HERE</a:t>
          </a:r>
          <a:r>
            <a:rPr lang="en-GB" sz="1100" b="1" baseline="0">
              <a:solidFill>
                <a:srgbClr val="0070C0"/>
              </a:solidFill>
            </a:rPr>
            <a:t> </a:t>
          </a:r>
          <a:r>
            <a:rPr lang="en-GB" sz="1100" b="1">
              <a:solidFill>
                <a:schemeClr val="bg1">
                  <a:lumMod val="65000"/>
                </a:schemeClr>
              </a:solidFill>
            </a:rPr>
            <a:t>TO RESTORE NAVIGATION</a:t>
          </a:r>
        </a:p>
      </xdr:txBody>
    </xdr:sp>
    <xdr:clientData fPrintsWithSheet="0"/>
  </xdr:twoCellAnchor>
  <xdr:twoCellAnchor editAs="absolute">
    <xdr:from>
      <xdr:col>0</xdr:col>
      <xdr:colOff>0</xdr:colOff>
      <xdr:row>3</xdr:row>
      <xdr:rowOff>533397</xdr:rowOff>
    </xdr:from>
    <xdr:to>
      <xdr:col>29</xdr:col>
      <xdr:colOff>70757</xdr:colOff>
      <xdr:row>4</xdr:row>
      <xdr:rowOff>304797</xdr:rowOff>
    </xdr:to>
    <xdr:sp macro="[0]!k" textlink="">
      <xdr:nvSpPr>
        <xdr:cNvPr id="42" name="ui_cmd_warningbar" hidden="1">
          <a:extLst>
            <a:ext uri="{FF2B5EF4-FFF2-40B4-BE49-F238E27FC236}">
              <a16:creationId xmlns:a16="http://schemas.microsoft.com/office/drawing/2014/main" id="{00000000-0008-0000-1D00-00002A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000"/>
        </a:p>
      </xdr:txBody>
    </xdr:sp>
    <xdr:clientData fPrintsWithSheet="0"/>
  </xdr:twoCellAnchor>
  <xdr:twoCellAnchor editAs="absolute">
    <xdr:from>
      <xdr:col>0</xdr:col>
      <xdr:colOff>0</xdr:colOff>
      <xdr:row>3</xdr:row>
      <xdr:rowOff>533397</xdr:rowOff>
    </xdr:from>
    <xdr:to>
      <xdr:col>29</xdr:col>
      <xdr:colOff>70757</xdr:colOff>
      <xdr:row>4</xdr:row>
      <xdr:rowOff>304797</xdr:rowOff>
    </xdr:to>
    <xdr:sp macro="[0]!k" textlink="">
      <xdr:nvSpPr>
        <xdr:cNvPr id="43" name="ui_cmd_globalwarninginfobar" hidden="1">
          <a:extLst>
            <a:ext uri="{FF2B5EF4-FFF2-40B4-BE49-F238E27FC236}">
              <a16:creationId xmlns:a16="http://schemas.microsoft.com/office/drawing/2014/main" id="{00000000-0008-0000-1D00-00002B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a:t>A</a:t>
          </a:r>
          <a:r>
            <a:rPr lang="en-GB" sz="1000" baseline="0"/>
            <a:t> custom weight profile is selected.  Scores and ranks may be different from official publication.  </a:t>
          </a:r>
          <a:r>
            <a:rPr lang="en-GB" sz="1000" b="1" u="sng" baseline="0">
              <a:solidFill>
                <a:srgbClr val="0070C0"/>
              </a:solidFill>
            </a:rPr>
            <a:t>RESTORE DEFAULT WEIGHT PROFILE</a:t>
          </a:r>
          <a:endParaRPr lang="en-GB" sz="1000" b="1" u="sng">
            <a:solidFill>
              <a:srgbClr val="0070C0"/>
            </a:solidFill>
          </a:endParaRPr>
        </a:p>
      </xdr:txBody>
    </xdr:sp>
    <xdr:clientData fPrintsWithSheet="0"/>
  </xdr:twoCellAnchor>
  <xdr:twoCellAnchor editAs="absolute">
    <xdr:from>
      <xdr:col>0</xdr:col>
      <xdr:colOff>0</xdr:colOff>
      <xdr:row>0</xdr:row>
      <xdr:rowOff>0</xdr:rowOff>
    </xdr:from>
    <xdr:to>
      <xdr:col>29</xdr:col>
      <xdr:colOff>70759</xdr:colOff>
      <xdr:row>3</xdr:row>
      <xdr:rowOff>533397</xdr:rowOff>
    </xdr:to>
    <xdr:grpSp>
      <xdr:nvGrpSpPr>
        <xdr:cNvPr id="51" name="ui_all">
          <a:extLst>
            <a:ext uri="{FF2B5EF4-FFF2-40B4-BE49-F238E27FC236}">
              <a16:creationId xmlns:a16="http://schemas.microsoft.com/office/drawing/2014/main" id="{00000000-0008-0000-1D00-000033000000}"/>
            </a:ext>
          </a:extLst>
        </xdr:cNvPr>
        <xdr:cNvGrpSpPr/>
      </xdr:nvGrpSpPr>
      <xdr:grpSpPr>
        <a:xfrm>
          <a:off x="0" y="0"/>
          <a:ext cx="11887202" cy="1164768"/>
          <a:chOff x="0" y="304800"/>
          <a:chExt cx="11887202" cy="1164768"/>
        </a:xfrm>
      </xdr:grpSpPr>
      <xdr:sp macro="" textlink="">
        <xdr:nvSpPr>
          <xdr:cNvPr id="40" name="ui_dropdown_controls_bg">
            <a:extLst>
              <a:ext uri="{FF2B5EF4-FFF2-40B4-BE49-F238E27FC236}">
                <a16:creationId xmlns:a16="http://schemas.microsoft.com/office/drawing/2014/main" id="{00000000-0008-0000-1D00-000028000000}"/>
              </a:ext>
            </a:extLst>
          </xdr:cNvPr>
          <xdr:cNvSpPr/>
        </xdr:nvSpPr>
        <xdr:spPr>
          <a:xfrm>
            <a:off x="0" y="936168"/>
            <a:ext cx="11887200" cy="533400"/>
          </a:xfrm>
          <a:prstGeom prst="rect">
            <a:avLst/>
          </a:prstGeom>
          <a:solidFill>
            <a:srgbClr xmlns:mc="http://schemas.openxmlformats.org/markup-compatibility/2006" xmlns:a14="http://schemas.microsoft.com/office/drawing/2010/main" val="F2F2F2" mc:Ignorable="a14" a14:legacySpreadsheetColorIndex="17"/>
          </a:solidFill>
          <a:ln w="9525" cap="flat" cmpd="sng" algn="ctr">
            <a:noFill/>
            <a:prstDash val="solid"/>
          </a:ln>
          <a:effectLst/>
          <a:extLst>
            <a:ext uri="{91240B29-F687-4F45-9708-019B960494DF}">
              <a14:hiddenLine xmlns:a14="http://schemas.microsoft.com/office/drawing/2010/main" w="9525" cap="flat" cmpd="sng" algn="ctr">
                <a:solidFill>
                  <a:srgbClr xmlns:mc="http://schemas.openxmlformats.org/markup-compatibility/2006" val="D8D8D8" mc:Ignorable="a14" a14:legacySpreadsheetColorIndex="18"/>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36" name="ui_page_second_bg">
            <a:extLst>
              <a:ext uri="{FF2B5EF4-FFF2-40B4-BE49-F238E27FC236}">
                <a16:creationId xmlns:a16="http://schemas.microsoft.com/office/drawing/2014/main" id="{00000000-0008-0000-1D00-000024000000}"/>
              </a:ext>
            </a:extLst>
          </xdr:cNvPr>
          <xdr:cNvSpPr/>
        </xdr:nvSpPr>
        <xdr:spPr>
          <a:xfrm>
            <a:off x="11709400" y="609600"/>
            <a:ext cx="177800" cy="326568"/>
          </a:xfrm>
          <a:prstGeom prst="rect">
            <a:avLst/>
          </a:prstGeom>
          <a:solidFill>
            <a:srgbClr xmlns:mc="http://schemas.openxmlformats.org/markup-compatibility/2006" xmlns:a14="http://schemas.microsoft.com/office/drawing/2010/main" val="E3E3E3" mc:Ignorable="a14" a14:legacySpreadsheetColorIndex="13"/>
          </a:solidFill>
          <a:ln w="19050" cap="flat" cmpd="sng" algn="ctr">
            <a:noFill/>
            <a:prstDash val="solid"/>
          </a:ln>
          <a:effectLst/>
          <a:extLst>
            <a:ext uri="{91240B29-F687-4F45-9708-019B960494DF}">
              <a14:hiddenLine xmlns:a14="http://schemas.microsoft.com/office/drawing/2010/main" w="19050" cap="flat" cmpd="sng" algn="ctr">
                <a:solidFill>
                  <a:srgbClr xmlns:mc="http://schemas.openxmlformats.org/markup-compatibility/2006" val="D2D2D2" mc:Ignorable="a14" a14:legacySpreadsheetColorIndex="14"/>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35" name="ui_page_bg">
            <a:extLst>
              <a:ext uri="{FF2B5EF4-FFF2-40B4-BE49-F238E27FC236}">
                <a16:creationId xmlns:a16="http://schemas.microsoft.com/office/drawing/2014/main" id="{00000000-0008-0000-1D00-000023000000}"/>
              </a:ext>
            </a:extLst>
          </xdr:cNvPr>
          <xdr:cNvSpPr/>
        </xdr:nvSpPr>
        <xdr:spPr>
          <a:xfrm>
            <a:off x="0" y="609600"/>
            <a:ext cx="11709400" cy="326568"/>
          </a:xfrm>
          <a:prstGeom prst="rect">
            <a:avLst/>
          </a:prstGeom>
          <a:solidFill>
            <a:srgbClr xmlns:mc="http://schemas.openxmlformats.org/markup-compatibility/2006" xmlns:a14="http://schemas.microsoft.com/office/drawing/2010/main" val="E3E3E3" mc:Ignorable="a14" a14:legacySpreadsheetColorIndex="13"/>
          </a:solidFill>
          <a:ln w="19050" cap="flat" cmpd="sng" algn="ctr">
            <a:noFill/>
            <a:prstDash val="solid"/>
          </a:ln>
          <a:effectLst/>
          <a:extLst>
            <a:ext uri="{91240B29-F687-4F45-9708-019B960494DF}">
              <a14:hiddenLine xmlns:a14="http://schemas.microsoft.com/office/drawing/2010/main" w="19050" cap="flat" cmpd="sng" algn="ctr">
                <a:solidFill>
                  <a:srgbClr xmlns:mc="http://schemas.openxmlformats.org/markup-compatibility/2006" val="D2D2D2" mc:Ignorable="a14" a14:legacySpreadsheetColorIndex="14"/>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6" name="ui_bg_home_back_forward">
            <a:extLst>
              <a:ext uri="{FF2B5EF4-FFF2-40B4-BE49-F238E27FC236}">
                <a16:creationId xmlns:a16="http://schemas.microsoft.com/office/drawing/2014/main" id="{00000000-0008-0000-1D00-000006000000}"/>
              </a:ext>
            </a:extLst>
          </xdr:cNvPr>
          <xdr:cNvSpPr txBox="1"/>
        </xdr:nvSpPr>
        <xdr:spPr>
          <a:xfrm>
            <a:off x="0" y="304800"/>
            <a:ext cx="664070" cy="304800"/>
          </a:xfrm>
          <a:prstGeom prst="rect">
            <a:avLst/>
          </a:prstGeom>
          <a:solidFill>
            <a:srgbClr xmlns:mc="http://schemas.openxmlformats.org/markup-compatibility/2006" xmlns:a14="http://schemas.microsoft.com/office/drawing/2010/main" val="808080" mc:Ignorable="a14" a14:legacySpreadsheetColorIndex="1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endParaRPr lang="en-GB" sz="1100" b="0"/>
          </a:p>
        </xdr:txBody>
      </xdr:sp>
      <xdr:pic macro="[0]!k">
        <xdr:nvPicPr>
          <xdr:cNvPr id="3" name="ui_nav_home" descr="home-white-xxl.png">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cstate="print"/>
          <a:stretch>
            <a:fillRect/>
          </a:stretch>
        </xdr:blipFill>
        <xdr:spPr>
          <a:xfrm>
            <a:off x="25400" y="393700"/>
            <a:ext cx="165100"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pic macro="[0]!k">
        <xdr:nvPicPr>
          <xdr:cNvPr id="4" name="ui_nav_back" descr="arrow-left-white-xxl.png">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cstate="print"/>
          <a:stretch>
            <a:fillRect/>
          </a:stretch>
        </xdr:blipFill>
        <xdr:spPr>
          <a:xfrm>
            <a:off x="254000" y="393700"/>
            <a:ext cx="165100"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pic macro="[0]!k">
        <xdr:nvPicPr>
          <xdr:cNvPr id="5" name="ui_nav_forward" descr="arrow-right-white-xxl.png" hidden="1">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3" cstate="print"/>
          <a:stretch>
            <a:fillRect/>
          </a:stretch>
        </xdr:blipFill>
        <xdr:spPr>
          <a:xfrm>
            <a:off x="444500" y="393700"/>
            <a:ext cx="168776"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sp macro="[0]!k" textlink="">
        <xdr:nvSpPr>
          <xdr:cNvPr id="7" name="ui_nav_sec_1">
            <a:extLst>
              <a:ext uri="{FF2B5EF4-FFF2-40B4-BE49-F238E27FC236}">
                <a16:creationId xmlns:a16="http://schemas.microsoft.com/office/drawing/2014/main" id="{00000000-0008-0000-1D00-000007000000}"/>
              </a:ext>
            </a:extLst>
          </xdr:cNvPr>
          <xdr:cNvSpPr txBox="1"/>
        </xdr:nvSpPr>
        <xdr:spPr>
          <a:xfrm>
            <a:off x="740270" y="304800"/>
            <a:ext cx="926262" cy="304800"/>
          </a:xfrm>
          <a:prstGeom prst="rect">
            <a:avLst/>
          </a:prstGeom>
          <a:solidFill>
            <a:srgbClr xmlns:mc="http://schemas.openxmlformats.org/markup-compatibility/2006" xmlns:a14="http://schemas.microsoft.com/office/drawing/2010/main" val="E3E3E3" mc:Ignorable="a14" a14:legacySpreadsheetColorIndex="13"/>
          </a:solidFill>
          <a:ln w="19050" cmpd="sng">
            <a:solidFill>
              <a:srgbClr xmlns:mc="http://schemas.openxmlformats.org/markup-compatibility/2006" xmlns:a14="http://schemas.microsoft.com/office/drawing/2010/main" val="D2D2D2" mc:Ignorable="a14" a14:legacySpreadsheetColorIndex="14"/>
            </a:solidFill>
          </a:ln>
        </xdr:spPr>
        <xdr:style>
          <a:lnRef idx="0">
            <a:scrgbClr r="0" g="0" b="0"/>
          </a:lnRef>
          <a:fillRef idx="0">
            <a:scrgbClr r="0" g="0" b="0"/>
          </a:fillRef>
          <a:effectRef idx="0">
            <a:scrgbClr r="0" g="0" b="0"/>
          </a:effectRef>
          <a:fontRef idx="minor">
            <a:schemeClr val="dk1"/>
          </a:fontRef>
        </xdr:style>
        <xdr:txBody>
          <a:bodyPr vertOverflow="clip" wrap="square" lIns="0" rIns="0" bIns="72000" rtlCol="0" anchor="ctr" anchorCtr="0"/>
          <a:lstStyle/>
          <a:p>
            <a:pPr algn="ctr"/>
            <a:r>
              <a:rPr lang="en-GB" sz="900" b="1">
                <a:solidFill>
                  <a:srgbClr xmlns:mc="http://schemas.openxmlformats.org/markup-compatibility/2006" xmlns:a14="http://schemas.microsoft.com/office/drawing/2010/main" val="005E9E" mc:Ignorable="a14" a14:legacySpreadsheetColorIndex="15"/>
                </a:solidFill>
              </a:rPr>
              <a:t>CITY HEARTBEAT</a:t>
            </a:r>
          </a:p>
        </xdr:txBody>
      </xdr:sp>
      <xdr:cxnSp macro="">
        <xdr:nvCxnSpPr>
          <xdr:cNvPr id="8" name="ui_line_sec_active">
            <a:extLst>
              <a:ext uri="{FF2B5EF4-FFF2-40B4-BE49-F238E27FC236}">
                <a16:creationId xmlns:a16="http://schemas.microsoft.com/office/drawing/2014/main" id="{00000000-0008-0000-1D00-000008000000}"/>
              </a:ext>
            </a:extLst>
          </xdr:cNvPr>
          <xdr:cNvCxnSpPr/>
        </xdr:nvCxnSpPr>
        <xdr:spPr>
          <a:xfrm>
            <a:off x="740270" y="609600"/>
            <a:ext cx="926262" cy="0"/>
          </a:xfrm>
          <a:prstGeom prst="line">
            <a:avLst/>
          </a:prstGeom>
          <a:ln w="28575">
            <a:solidFill>
              <a:srgbClr xmlns:mc="http://schemas.openxmlformats.org/markup-compatibility/2006" xmlns:a14="http://schemas.microsoft.com/office/drawing/2010/main" val="E3E3E3" mc:Ignorable="a14" a14:legacySpreadsheetColorIndex="13"/>
            </a:solidFill>
          </a:ln>
        </xdr:spPr>
        <xdr:style>
          <a:lnRef idx="1">
            <a:schemeClr val="accent1"/>
          </a:lnRef>
          <a:fillRef idx="0">
            <a:schemeClr val="accent1"/>
          </a:fillRef>
          <a:effectRef idx="0">
            <a:schemeClr val="accent1"/>
          </a:effectRef>
          <a:fontRef idx="minor">
            <a:schemeClr val="tx1"/>
          </a:fontRef>
        </xdr:style>
      </xdr:cxnSp>
      <xdr:sp macro="" textlink="">
        <xdr:nvSpPr>
          <xdr:cNvPr id="9" name="ui_line_sec_divider1">
            <a:extLst>
              <a:ext uri="{FF2B5EF4-FFF2-40B4-BE49-F238E27FC236}">
                <a16:creationId xmlns:a16="http://schemas.microsoft.com/office/drawing/2014/main" id="{00000000-0008-0000-1D00-000009000000}"/>
              </a:ext>
            </a:extLst>
          </xdr:cNvPr>
          <xdr:cNvSpPr txBox="1"/>
        </xdr:nvSpPr>
        <xdr:spPr>
          <a:xfrm>
            <a:off x="1666532" y="304800"/>
            <a:ext cx="1778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9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12" name="ui_nav_page_1_0">
            <a:extLst>
              <a:ext uri="{FF2B5EF4-FFF2-40B4-BE49-F238E27FC236}">
                <a16:creationId xmlns:a16="http://schemas.microsoft.com/office/drawing/2014/main" id="{00000000-0008-0000-1D00-00000C000000}"/>
              </a:ext>
            </a:extLst>
          </xdr:cNvPr>
          <xdr:cNvSpPr txBox="1"/>
        </xdr:nvSpPr>
        <xdr:spPr>
          <a:xfrm>
            <a:off x="794372" y="622300"/>
            <a:ext cx="715785"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OVERVIEW</a:t>
            </a:r>
          </a:p>
        </xdr:txBody>
      </xdr:sp>
      <xdr:sp macro="" textlink="">
        <xdr:nvSpPr>
          <xdr:cNvPr id="13" name="ui_line_page_divider1">
            <a:extLst>
              <a:ext uri="{FF2B5EF4-FFF2-40B4-BE49-F238E27FC236}">
                <a16:creationId xmlns:a16="http://schemas.microsoft.com/office/drawing/2014/main" id="{00000000-0008-0000-1D00-00000D000000}"/>
              </a:ext>
            </a:extLst>
          </xdr:cNvPr>
          <xdr:cNvSpPr txBox="1"/>
        </xdr:nvSpPr>
        <xdr:spPr>
          <a:xfrm>
            <a:off x="151015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14" name="ui_nav_page_1_1">
            <a:extLst>
              <a:ext uri="{FF2B5EF4-FFF2-40B4-BE49-F238E27FC236}">
                <a16:creationId xmlns:a16="http://schemas.microsoft.com/office/drawing/2014/main" id="{00000000-0008-0000-1D00-00000E000000}"/>
              </a:ext>
            </a:extLst>
          </xdr:cNvPr>
          <xdr:cNvSpPr txBox="1"/>
        </xdr:nvSpPr>
        <xdr:spPr>
          <a:xfrm>
            <a:off x="1687957" y="622300"/>
            <a:ext cx="68728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RANKINGS</a:t>
            </a:r>
          </a:p>
        </xdr:txBody>
      </xdr:sp>
      <xdr:sp macro="" textlink="">
        <xdr:nvSpPr>
          <xdr:cNvPr id="15" name="ui_line_page_divider2">
            <a:extLst>
              <a:ext uri="{FF2B5EF4-FFF2-40B4-BE49-F238E27FC236}">
                <a16:creationId xmlns:a16="http://schemas.microsoft.com/office/drawing/2014/main" id="{00000000-0008-0000-1D00-00000F000000}"/>
              </a:ext>
            </a:extLst>
          </xdr:cNvPr>
          <xdr:cNvSpPr txBox="1"/>
        </xdr:nvSpPr>
        <xdr:spPr>
          <a:xfrm>
            <a:off x="2375243"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 textlink="">
        <xdr:nvSpPr>
          <xdr:cNvPr id="18" name="ui_line_page_divider3">
            <a:extLst>
              <a:ext uri="{FF2B5EF4-FFF2-40B4-BE49-F238E27FC236}">
                <a16:creationId xmlns:a16="http://schemas.microsoft.com/office/drawing/2014/main" id="{00000000-0008-0000-1D00-000012000000}"/>
              </a:ext>
            </a:extLst>
          </xdr:cNvPr>
          <xdr:cNvSpPr txBox="1"/>
        </xdr:nvSpPr>
        <xdr:spPr>
          <a:xfrm>
            <a:off x="3548634"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19" name="ui_nav_page_1_3">
            <a:extLst>
              <a:ext uri="{FF2B5EF4-FFF2-40B4-BE49-F238E27FC236}">
                <a16:creationId xmlns:a16="http://schemas.microsoft.com/office/drawing/2014/main" id="{00000000-0008-0000-1D00-000013000000}"/>
              </a:ext>
            </a:extLst>
          </xdr:cNvPr>
          <xdr:cNvSpPr txBox="1"/>
        </xdr:nvSpPr>
        <xdr:spPr>
          <a:xfrm>
            <a:off x="3726434" y="622300"/>
            <a:ext cx="864108"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PROFILES</a:t>
            </a:r>
          </a:p>
        </xdr:txBody>
      </xdr:sp>
      <xdr:sp macro="" textlink="">
        <xdr:nvSpPr>
          <xdr:cNvPr id="20" name="ui_line_page_divider4">
            <a:extLst>
              <a:ext uri="{FF2B5EF4-FFF2-40B4-BE49-F238E27FC236}">
                <a16:creationId xmlns:a16="http://schemas.microsoft.com/office/drawing/2014/main" id="{00000000-0008-0000-1D00-000014000000}"/>
              </a:ext>
            </a:extLst>
          </xdr:cNvPr>
          <xdr:cNvSpPr txBox="1"/>
        </xdr:nvSpPr>
        <xdr:spPr>
          <a:xfrm>
            <a:off x="4590542"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1" name="ui_nav_page_1_4">
            <a:extLst>
              <a:ext uri="{FF2B5EF4-FFF2-40B4-BE49-F238E27FC236}">
                <a16:creationId xmlns:a16="http://schemas.microsoft.com/office/drawing/2014/main" id="{00000000-0008-0000-1D00-000015000000}"/>
              </a:ext>
            </a:extLst>
          </xdr:cNvPr>
          <xdr:cNvSpPr txBox="1"/>
        </xdr:nvSpPr>
        <xdr:spPr>
          <a:xfrm>
            <a:off x="4768342" y="622300"/>
            <a:ext cx="755942"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DETAIL</a:t>
            </a:r>
          </a:p>
        </xdr:txBody>
      </xdr:sp>
      <xdr:sp macro="" textlink="">
        <xdr:nvSpPr>
          <xdr:cNvPr id="22" name="ui_line_page_divider5">
            <a:extLst>
              <a:ext uri="{FF2B5EF4-FFF2-40B4-BE49-F238E27FC236}">
                <a16:creationId xmlns:a16="http://schemas.microsoft.com/office/drawing/2014/main" id="{00000000-0008-0000-1D00-000016000000}"/>
              </a:ext>
            </a:extLst>
          </xdr:cNvPr>
          <xdr:cNvSpPr txBox="1"/>
        </xdr:nvSpPr>
        <xdr:spPr>
          <a:xfrm>
            <a:off x="5524284"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3" name="ui_nav_page_1_5">
            <a:extLst>
              <a:ext uri="{FF2B5EF4-FFF2-40B4-BE49-F238E27FC236}">
                <a16:creationId xmlns:a16="http://schemas.microsoft.com/office/drawing/2014/main" id="{00000000-0008-0000-1D00-000017000000}"/>
              </a:ext>
            </a:extLst>
          </xdr:cNvPr>
          <xdr:cNvSpPr txBox="1"/>
        </xdr:nvSpPr>
        <xdr:spPr>
          <a:xfrm>
            <a:off x="5702084" y="622300"/>
            <a:ext cx="995591"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COMPARE CITIES</a:t>
            </a:r>
          </a:p>
        </xdr:txBody>
      </xdr:sp>
      <xdr:sp macro="" textlink="">
        <xdr:nvSpPr>
          <xdr:cNvPr id="24" name="ui_line_page_divider6">
            <a:extLst>
              <a:ext uri="{FF2B5EF4-FFF2-40B4-BE49-F238E27FC236}">
                <a16:creationId xmlns:a16="http://schemas.microsoft.com/office/drawing/2014/main" id="{00000000-0008-0000-1D00-000018000000}"/>
              </a:ext>
            </a:extLst>
          </xdr:cNvPr>
          <xdr:cNvSpPr txBox="1"/>
        </xdr:nvSpPr>
        <xdr:spPr>
          <a:xfrm>
            <a:off x="6697675"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5" name="ui_nav_page_1_6">
            <a:extLst>
              <a:ext uri="{FF2B5EF4-FFF2-40B4-BE49-F238E27FC236}">
                <a16:creationId xmlns:a16="http://schemas.microsoft.com/office/drawing/2014/main" id="{00000000-0008-0000-1D00-000019000000}"/>
              </a:ext>
            </a:extLst>
          </xdr:cNvPr>
          <xdr:cNvSpPr txBox="1"/>
        </xdr:nvSpPr>
        <xdr:spPr>
          <a:xfrm>
            <a:off x="6875475" y="622300"/>
            <a:ext cx="89843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ALL MEASURES</a:t>
            </a:r>
          </a:p>
        </xdr:txBody>
      </xdr:sp>
      <xdr:sp macro="" textlink="">
        <xdr:nvSpPr>
          <xdr:cNvPr id="26" name="ui_line_page_divider7">
            <a:extLst>
              <a:ext uri="{FF2B5EF4-FFF2-40B4-BE49-F238E27FC236}">
                <a16:creationId xmlns:a16="http://schemas.microsoft.com/office/drawing/2014/main" id="{00000000-0008-0000-1D00-00001A000000}"/>
              </a:ext>
            </a:extLst>
          </xdr:cNvPr>
          <xdr:cNvSpPr txBox="1"/>
        </xdr:nvSpPr>
        <xdr:spPr>
          <a:xfrm>
            <a:off x="7773912"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7" name="ui_nav_page_1_7">
            <a:extLst>
              <a:ext uri="{FF2B5EF4-FFF2-40B4-BE49-F238E27FC236}">
                <a16:creationId xmlns:a16="http://schemas.microsoft.com/office/drawing/2014/main" id="{00000000-0008-0000-1D00-00001B000000}"/>
              </a:ext>
            </a:extLst>
          </xdr:cNvPr>
          <xdr:cNvSpPr txBox="1"/>
        </xdr:nvSpPr>
        <xdr:spPr>
          <a:xfrm>
            <a:off x="7951712" y="622300"/>
            <a:ext cx="88159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SCATTER PLOT</a:t>
            </a:r>
          </a:p>
        </xdr:txBody>
      </xdr:sp>
      <xdr:sp macro="" textlink="">
        <xdr:nvSpPr>
          <xdr:cNvPr id="28" name="ui_line_page_divider8">
            <a:extLst>
              <a:ext uri="{FF2B5EF4-FFF2-40B4-BE49-F238E27FC236}">
                <a16:creationId xmlns:a16="http://schemas.microsoft.com/office/drawing/2014/main" id="{00000000-0008-0000-1D00-00001C000000}"/>
              </a:ext>
            </a:extLst>
          </xdr:cNvPr>
          <xdr:cNvSpPr txBox="1"/>
        </xdr:nvSpPr>
        <xdr:spPr>
          <a:xfrm>
            <a:off x="883330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9" name="ui_nav_page_1_8">
            <a:extLst>
              <a:ext uri="{FF2B5EF4-FFF2-40B4-BE49-F238E27FC236}">
                <a16:creationId xmlns:a16="http://schemas.microsoft.com/office/drawing/2014/main" id="{00000000-0008-0000-1D00-00001D000000}"/>
              </a:ext>
            </a:extLst>
          </xdr:cNvPr>
          <xdr:cNvSpPr txBox="1"/>
        </xdr:nvSpPr>
        <xdr:spPr>
          <a:xfrm>
            <a:off x="9011107" y="622300"/>
            <a:ext cx="635470"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WEIGHTS</a:t>
            </a:r>
          </a:p>
        </xdr:txBody>
      </xdr:sp>
      <xdr:sp macro="" textlink="">
        <xdr:nvSpPr>
          <xdr:cNvPr id="30" name="ui_line_page_divider9">
            <a:extLst>
              <a:ext uri="{FF2B5EF4-FFF2-40B4-BE49-F238E27FC236}">
                <a16:creationId xmlns:a16="http://schemas.microsoft.com/office/drawing/2014/main" id="{00000000-0008-0000-1D00-00001E000000}"/>
              </a:ext>
            </a:extLst>
          </xdr:cNvPr>
          <xdr:cNvSpPr txBox="1"/>
        </xdr:nvSpPr>
        <xdr:spPr>
          <a:xfrm>
            <a:off x="964657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31" name="ui_nav_page_1_9">
            <a:extLst>
              <a:ext uri="{FF2B5EF4-FFF2-40B4-BE49-F238E27FC236}">
                <a16:creationId xmlns:a16="http://schemas.microsoft.com/office/drawing/2014/main" id="{00000000-0008-0000-1D00-00001F000000}"/>
              </a:ext>
            </a:extLst>
          </xdr:cNvPr>
          <xdr:cNvSpPr txBox="1"/>
        </xdr:nvSpPr>
        <xdr:spPr>
          <a:xfrm>
            <a:off x="9824377" y="622300"/>
            <a:ext cx="458648"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DATA</a:t>
            </a:r>
          </a:p>
        </xdr:txBody>
      </xdr:sp>
      <xdr:sp macro="" textlink="">
        <xdr:nvSpPr>
          <xdr:cNvPr id="32" name="ui_line_page_divider10">
            <a:extLst>
              <a:ext uri="{FF2B5EF4-FFF2-40B4-BE49-F238E27FC236}">
                <a16:creationId xmlns:a16="http://schemas.microsoft.com/office/drawing/2014/main" id="{00000000-0008-0000-1D00-000020000000}"/>
              </a:ext>
            </a:extLst>
          </xdr:cNvPr>
          <xdr:cNvSpPr txBox="1"/>
        </xdr:nvSpPr>
        <xdr:spPr>
          <a:xfrm>
            <a:off x="10283025"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33" name="ui_nav_page_1_10">
            <a:extLst>
              <a:ext uri="{FF2B5EF4-FFF2-40B4-BE49-F238E27FC236}">
                <a16:creationId xmlns:a16="http://schemas.microsoft.com/office/drawing/2014/main" id="{00000000-0008-0000-1D00-000021000000}"/>
              </a:ext>
            </a:extLst>
          </xdr:cNvPr>
          <xdr:cNvSpPr txBox="1"/>
        </xdr:nvSpPr>
        <xdr:spPr>
          <a:xfrm>
            <a:off x="10460825" y="622300"/>
            <a:ext cx="555803"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SCORES</a:t>
            </a:r>
          </a:p>
        </xdr:txBody>
      </xdr:sp>
      <xdr:sp macro="" textlink="">
        <xdr:nvSpPr>
          <xdr:cNvPr id="34" name="ui_line_page_divider11">
            <a:extLst>
              <a:ext uri="{FF2B5EF4-FFF2-40B4-BE49-F238E27FC236}">
                <a16:creationId xmlns:a16="http://schemas.microsoft.com/office/drawing/2014/main" id="{00000000-0008-0000-1D00-000022000000}"/>
              </a:ext>
            </a:extLst>
          </xdr:cNvPr>
          <xdr:cNvSpPr txBox="1"/>
        </xdr:nvSpPr>
        <xdr:spPr>
          <a:xfrm>
            <a:off x="11016628"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16" name="ui_nav_page_1_2">
            <a:extLst>
              <a:ext uri="{FF2B5EF4-FFF2-40B4-BE49-F238E27FC236}">
                <a16:creationId xmlns:a16="http://schemas.microsoft.com/office/drawing/2014/main" id="{00000000-0008-0000-1D00-000010000000}"/>
              </a:ext>
            </a:extLst>
          </xdr:cNvPr>
          <xdr:cNvSpPr txBox="1"/>
        </xdr:nvSpPr>
        <xdr:spPr>
          <a:xfrm>
            <a:off x="2553043" y="647700"/>
            <a:ext cx="995591" cy="288468"/>
          </a:xfrm>
          <a:prstGeom prst="rect">
            <a:avLst/>
          </a:prstGeom>
          <a:solidFill>
            <a:srgbClr xmlns:mc="http://schemas.openxmlformats.org/markup-compatibility/2006" xmlns:a14="http://schemas.microsoft.com/office/drawing/2010/main" val="F2F2F2" mc:Ignorable="a14" a14:legacySpreadsheetColorIndex="17"/>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005E9E" mc:Ignorable="a14" a14:legacySpreadsheetColorIndex="15"/>
                </a:solidFill>
              </a:rPr>
              <a:t>CITY SNAPSHOTS</a:t>
            </a:r>
          </a:p>
        </xdr:txBody>
      </xdr:sp>
      <xdr:cxnSp macro="">
        <xdr:nvCxnSpPr>
          <xdr:cNvPr id="17" name="ui_line_page_active">
            <a:extLst>
              <a:ext uri="{FF2B5EF4-FFF2-40B4-BE49-F238E27FC236}">
                <a16:creationId xmlns:a16="http://schemas.microsoft.com/office/drawing/2014/main" id="{00000000-0008-0000-1D00-000011000000}"/>
              </a:ext>
            </a:extLst>
          </xdr:cNvPr>
          <xdr:cNvCxnSpPr/>
        </xdr:nvCxnSpPr>
        <xdr:spPr>
          <a:xfrm>
            <a:off x="2553043" y="936168"/>
            <a:ext cx="995591" cy="0"/>
          </a:xfrm>
          <a:prstGeom prst="line">
            <a:avLst/>
          </a:prstGeom>
          <a:ln w="28575">
            <a:solidFill>
              <a:srgbClr xmlns:mc="http://schemas.openxmlformats.org/markup-compatibility/2006" xmlns:a14="http://schemas.microsoft.com/office/drawing/2010/main" val="F2F2F2" mc:Ignorable="a14" a14:legacySpreadsheetColorIndex="17"/>
            </a:solidFill>
          </a:ln>
        </xdr:spPr>
        <xdr:style>
          <a:lnRef idx="1">
            <a:schemeClr val="accent1"/>
          </a:lnRef>
          <a:fillRef idx="0">
            <a:schemeClr val="accent1"/>
          </a:fillRef>
          <a:effectRef idx="0">
            <a:schemeClr val="accent1"/>
          </a:effectRef>
          <a:fontRef idx="minor">
            <a:schemeClr val="tx1"/>
          </a:fontRef>
        </xdr:style>
      </xdr:cxnSp>
      <xdr:sp macro="" textlink="">
        <xdr:nvSpPr>
          <xdr:cNvPr id="37" name="ui_lbl_cnt_Country_Or_Average_2">
            <a:extLst>
              <a:ext uri="{FF2B5EF4-FFF2-40B4-BE49-F238E27FC236}">
                <a16:creationId xmlns:a16="http://schemas.microsoft.com/office/drawing/2014/main" id="{00000000-0008-0000-1D00-000025000000}"/>
              </a:ext>
            </a:extLst>
          </xdr:cNvPr>
          <xdr:cNvSpPr txBox="1"/>
        </xdr:nvSpPr>
        <xdr:spPr>
          <a:xfrm>
            <a:off x="127000" y="986968"/>
            <a:ext cx="1650835"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SELECT CITY / 50 CITY AVERAGE</a:t>
            </a:r>
          </a:p>
        </xdr:txBody>
      </xdr:sp>
      <mc:AlternateContent xmlns:mc="http://schemas.openxmlformats.org/markup-compatibility/2006">
        <mc:Choice xmlns:a14="http://schemas.microsoft.com/office/drawing/2010/main" Requires="a14">
          <xdr:sp macro="" textlink="">
            <xdr:nvSpPr>
              <xdr:cNvPr id="5365620" name="ui_cnt_Country_Or_Average_2" hidden="1">
                <a:extLst>
                  <a:ext uri="{63B3BB69-23CF-44E3-9099-C40C66FF867C}">
                    <a14:compatExt spid="_x0000_s5365620"/>
                  </a:ext>
                  <a:ext uri="{FF2B5EF4-FFF2-40B4-BE49-F238E27FC236}">
                    <a16:creationId xmlns:a16="http://schemas.microsoft.com/office/drawing/2014/main" id="{00000000-0008-0000-1D00-000074DF5100}"/>
                  </a:ext>
                </a:extLst>
              </xdr:cNvPr>
              <xdr:cNvSpPr/>
            </xdr:nvSpPr>
            <xdr:spPr bwMode="auto">
              <a:xfrm>
                <a:off x="127000" y="1177468"/>
                <a:ext cx="1104900" cy="212272"/>
              </a:xfrm>
              <a:prstGeom prst="rect">
                <a:avLst/>
              </a:prstGeom>
              <a:noFill/>
              <a:ln w="9525">
                <a:miter lim="800000"/>
                <a:headEnd/>
                <a:tailEnd/>
              </a:ln>
              <a:extLst>
                <a:ext uri="{909E8E84-426E-40DD-AFC4-6F175D3DCCD1}">
                  <a14:hiddenFill>
                    <a:noFill/>
                  </a14:hiddenFill>
                </a:ext>
              </a:extLst>
            </xdr:spPr>
          </xdr:sp>
        </mc:Choice>
        <mc:Fallback/>
      </mc:AlternateContent>
      <xdr:pic macro="[0]!k">
        <xdr:nvPicPr>
          <xdr:cNvPr id="38" name="ui_spu_Country_Or_Average_2" descr="scroll_up_small.png">
            <a:extLst>
              <a:ext uri="{FF2B5EF4-FFF2-40B4-BE49-F238E27FC236}">
                <a16:creationId xmlns:a16="http://schemas.microsoft.com/office/drawing/2014/main" id="{00000000-0008-0000-1D00-000026000000}"/>
              </a:ext>
            </a:extLst>
          </xdr:cNvPr>
          <xdr:cNvPicPr>
            <a:picLocks noChangeAspect="1"/>
          </xdr:cNvPicPr>
        </xdr:nvPicPr>
        <xdr:blipFill>
          <a:blip xmlns:r="http://schemas.openxmlformats.org/officeDocument/2006/relationships" r:embed="rId4" cstate="print"/>
          <a:stretch>
            <a:fillRect/>
          </a:stretch>
        </xdr:blipFill>
        <xdr:spPr>
          <a:xfrm>
            <a:off x="1257300" y="1177468"/>
            <a:ext cx="228615" cy="77699"/>
          </a:xfrm>
          <a:prstGeom prst="rect">
            <a:avLst/>
          </a:prstGeom>
        </xdr:spPr>
      </xdr:pic>
      <xdr:pic macro="[0]!k">
        <xdr:nvPicPr>
          <xdr:cNvPr id="39" name="ui_spd_Country_Or_Average_2" descr="scroll_down_small.png">
            <a:extLst>
              <a:ext uri="{FF2B5EF4-FFF2-40B4-BE49-F238E27FC236}">
                <a16:creationId xmlns:a16="http://schemas.microsoft.com/office/drawing/2014/main" id="{00000000-0008-0000-1D00-000027000000}"/>
              </a:ext>
            </a:extLst>
          </xdr:cNvPr>
          <xdr:cNvPicPr>
            <a:picLocks noChangeAspect="1"/>
          </xdr:cNvPicPr>
        </xdr:nvPicPr>
        <xdr:blipFill>
          <a:blip xmlns:r="http://schemas.openxmlformats.org/officeDocument/2006/relationships" r:embed="rId5" cstate="print"/>
          <a:stretch>
            <a:fillRect/>
          </a:stretch>
        </xdr:blipFill>
        <xdr:spPr>
          <a:xfrm>
            <a:off x="1257300" y="1282458"/>
            <a:ext cx="228604" cy="56388"/>
          </a:xfrm>
          <a:prstGeom prst="rect">
            <a:avLst/>
          </a:prstGeom>
        </xdr:spPr>
      </xdr:pic>
      <xdr:pic macro="[0]!k">
        <xdr:nvPicPr>
          <xdr:cNvPr id="47" name="ui_cmd_export_xl" descr="xl_icon.gif">
            <a:hlinkClick xmlns:r="http://schemas.openxmlformats.org/officeDocument/2006/relationships" r:id="rId6" tooltip="Export current page as a standalone Excel workbook"/>
            <a:extLst>
              <a:ext uri="{FF2B5EF4-FFF2-40B4-BE49-F238E27FC236}">
                <a16:creationId xmlns:a16="http://schemas.microsoft.com/office/drawing/2014/main" id="{00000000-0008-0000-1D00-00002F000000}"/>
              </a:ext>
            </a:extLst>
          </xdr:cNvPr>
          <xdr:cNvPicPr>
            <a:picLocks noChangeAspect="1"/>
          </xdr:cNvPicPr>
        </xdr:nvPicPr>
        <xdr:blipFill>
          <a:blip xmlns:r="http://schemas.openxmlformats.org/officeDocument/2006/relationships" r:embed="rId7" cstate="print"/>
          <a:stretch>
            <a:fillRect/>
          </a:stretch>
        </xdr:blipFill>
        <xdr:spPr>
          <a:xfrm>
            <a:off x="11367528" y="361950"/>
            <a:ext cx="519674" cy="190500"/>
          </a:xfrm>
          <a:prstGeom prst="rect">
            <a:avLst/>
          </a:prstGeom>
        </xdr:spPr>
      </xdr:pic>
      <xdr:pic macro="[0]!k">
        <xdr:nvPicPr>
          <xdr:cNvPr id="46" name="ui_cmd_reset_controls">
            <a:hlinkClick xmlns:r="http://schemas.openxmlformats.org/officeDocument/2006/relationships" r:id="rId8" tooltip="Reset all options and controls on this page to the default value."/>
            <a:extLst>
              <a:ext uri="{FF2B5EF4-FFF2-40B4-BE49-F238E27FC236}">
                <a16:creationId xmlns:a16="http://schemas.microsoft.com/office/drawing/2014/main" id="{00000000-0008-0000-1D00-00002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628209" y="974268"/>
            <a:ext cx="208189" cy="190500"/>
          </a:xfrm>
          <a:prstGeom prst="rect">
            <a:avLst/>
          </a:prstGeom>
        </xdr:spPr>
      </xdr:pic>
      <xdr:pic macro="[0]!k">
        <xdr:nvPicPr>
          <xdr:cNvPr id="44" name="ui_cmd_full_screen">
            <a:hlinkClick xmlns:r="http://schemas.openxmlformats.org/officeDocument/2006/relationships" r:id="rId10" tooltip="Full screen mode (recommended)"/>
            <a:extLst>
              <a:ext uri="{FF2B5EF4-FFF2-40B4-BE49-F238E27FC236}">
                <a16:creationId xmlns:a16="http://schemas.microsoft.com/office/drawing/2014/main" id="{00000000-0008-0000-1D00-00002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099356" y="361950"/>
            <a:ext cx="217368" cy="190500"/>
          </a:xfrm>
          <a:prstGeom prst="rect">
            <a:avLst/>
          </a:prstGeom>
        </xdr:spPr>
      </xdr:pic>
      <xdr:pic macro="[0]!k">
        <xdr:nvPicPr>
          <xdr:cNvPr id="45" name="ui_cmd_exit_full_screen" hidden="1">
            <a:hlinkClick xmlns:r="http://schemas.openxmlformats.org/officeDocument/2006/relationships" r:id="rId12" tooltip="Leave full screen mode"/>
            <a:extLst>
              <a:ext uri="{FF2B5EF4-FFF2-40B4-BE49-F238E27FC236}">
                <a16:creationId xmlns:a16="http://schemas.microsoft.com/office/drawing/2014/main" id="{00000000-0008-0000-1D00-00002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099356" y="361950"/>
            <a:ext cx="209038" cy="190500"/>
          </a:xfrm>
          <a:prstGeom prst="rect">
            <a:avLst/>
          </a:prstGeom>
        </xdr:spPr>
      </xdr:pic>
    </xdr:grpSp>
    <xdr:clientData fPrintsWithSheet="0"/>
  </xdr:twoCellAnchor>
  <xdr:twoCellAnchor>
    <xdr:from>
      <xdr:col>21</xdr:col>
      <xdr:colOff>0</xdr:colOff>
      <xdr:row>36</xdr:row>
      <xdr:rowOff>0</xdr:rowOff>
    </xdr:from>
    <xdr:to>
      <xdr:col>23</xdr:col>
      <xdr:colOff>1015093</xdr:colOff>
      <xdr:row>37</xdr:row>
      <xdr:rowOff>0</xdr:rowOff>
    </xdr:to>
    <xdr:sp macro="k" textlink="">
      <xdr:nvSpPr>
        <xdr:cNvPr id="52" name="go_top">
          <a:extLst>
            <a:ext uri="{FF2B5EF4-FFF2-40B4-BE49-F238E27FC236}">
              <a16:creationId xmlns:a16="http://schemas.microsoft.com/office/drawing/2014/main" id="{00000000-0008-0000-1D00-000034000000}"/>
            </a:ext>
          </a:extLst>
        </xdr:cNvPr>
        <xdr:cNvSpPr txBox="1"/>
      </xdr:nvSpPr>
      <xdr:spPr>
        <a:xfrm>
          <a:off x="751114" y="13345886"/>
          <a:ext cx="1015093" cy="185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none" strike="noStrike" baseline="0">
              <a:solidFill>
                <a:srgbClr val="0070C0"/>
              </a:solidFill>
              <a:latin typeface="+mn-lt"/>
            </a:rPr>
            <a:t>↑ Top of page</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3</xdr:row>
      <xdr:rowOff>533397</xdr:rowOff>
    </xdr:from>
    <xdr:to>
      <xdr:col>27</xdr:col>
      <xdr:colOff>6433457</xdr:colOff>
      <xdr:row>11</xdr:row>
      <xdr:rowOff>206825</xdr:rowOff>
    </xdr:to>
    <xdr:sp macro="[0]!k" textlink="">
      <xdr:nvSpPr>
        <xdr:cNvPr id="47" name="ui_txt_infobar" hidden="1">
          <a:extLst>
            <a:ext uri="{FF2B5EF4-FFF2-40B4-BE49-F238E27FC236}">
              <a16:creationId xmlns:a16="http://schemas.microsoft.com/office/drawing/2014/main" id="{00000000-0008-0000-1E00-00002F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000"/>
        </a:p>
      </xdr:txBody>
    </xdr:sp>
    <xdr:clientData fPrintsWithSheet="0"/>
  </xdr:twoCellAnchor>
  <xdr:twoCellAnchor editAs="absolute">
    <xdr:from>
      <xdr:col>0</xdr:col>
      <xdr:colOff>0</xdr:colOff>
      <xdr:row>0</xdr:row>
      <xdr:rowOff>0</xdr:rowOff>
    </xdr:from>
    <xdr:to>
      <xdr:col>27</xdr:col>
      <xdr:colOff>6433457</xdr:colOff>
      <xdr:row>2</xdr:row>
      <xdr:rowOff>0</xdr:rowOff>
    </xdr:to>
    <xdr:sp macro="[0]!k" textlink="">
      <xdr:nvSpPr>
        <xdr:cNvPr id="2" name="ui_cmd_leave_zen_mode" hidden="1">
          <a:extLst>
            <a:ext uri="{FF2B5EF4-FFF2-40B4-BE49-F238E27FC236}">
              <a16:creationId xmlns:a16="http://schemas.microsoft.com/office/drawing/2014/main" id="{00000000-0008-0000-1E00-000002000000}"/>
            </a:ext>
          </a:extLst>
        </xdr:cNvPr>
        <xdr:cNvSpPr txBox="1"/>
      </xdr:nvSpPr>
      <xdr:spPr>
        <a:xfrm>
          <a:off x="0" y="0"/>
          <a:ext cx="11887200" cy="304800"/>
        </a:xfrm>
        <a:prstGeom prst="rect">
          <a:avLst/>
        </a:prstGeom>
        <a:solidFill>
          <a:schemeClr val="l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GB" sz="1100" b="1">
              <a:solidFill>
                <a:schemeClr val="bg1">
                  <a:lumMod val="65000"/>
                </a:schemeClr>
              </a:solidFill>
            </a:rPr>
            <a:t>ZEN MODE.  NAVIGATION IS HIDDEN TO MAXIMISE VISIBLE</a:t>
          </a:r>
          <a:r>
            <a:rPr lang="en-GB" sz="1100" b="1" baseline="0">
              <a:solidFill>
                <a:schemeClr val="bg1">
                  <a:lumMod val="65000"/>
                </a:schemeClr>
              </a:solidFill>
            </a:rPr>
            <a:t> CONTENT. </a:t>
          </a:r>
          <a:r>
            <a:rPr lang="en-GB" sz="1100" b="1">
              <a:solidFill>
                <a:schemeClr val="bg1">
                  <a:lumMod val="65000"/>
                </a:schemeClr>
              </a:solidFill>
            </a:rPr>
            <a:t>  </a:t>
          </a:r>
          <a:r>
            <a:rPr lang="en-GB" sz="1100" b="1" u="sng">
              <a:solidFill>
                <a:srgbClr val="0070C0"/>
              </a:solidFill>
            </a:rPr>
            <a:t>CLICK HERE</a:t>
          </a:r>
          <a:r>
            <a:rPr lang="en-GB" sz="1100" b="1" baseline="0">
              <a:solidFill>
                <a:srgbClr val="0070C0"/>
              </a:solidFill>
            </a:rPr>
            <a:t> </a:t>
          </a:r>
          <a:r>
            <a:rPr lang="en-GB" sz="1100" b="1">
              <a:solidFill>
                <a:schemeClr val="bg1">
                  <a:lumMod val="65000"/>
                </a:schemeClr>
              </a:solidFill>
            </a:rPr>
            <a:t>TO RESTORE NAVIGATION</a:t>
          </a:r>
        </a:p>
      </xdr:txBody>
    </xdr:sp>
    <xdr:clientData fPrintsWithSheet="0"/>
  </xdr:twoCellAnchor>
  <xdr:twoCellAnchor editAs="absolute">
    <xdr:from>
      <xdr:col>0</xdr:col>
      <xdr:colOff>0</xdr:colOff>
      <xdr:row>3</xdr:row>
      <xdr:rowOff>533397</xdr:rowOff>
    </xdr:from>
    <xdr:to>
      <xdr:col>27</xdr:col>
      <xdr:colOff>6433457</xdr:colOff>
      <xdr:row>11</xdr:row>
      <xdr:rowOff>206825</xdr:rowOff>
    </xdr:to>
    <xdr:sp macro="[0]!k" textlink="">
      <xdr:nvSpPr>
        <xdr:cNvPr id="48" name="ui_cmd_warningbar" hidden="1">
          <a:extLst>
            <a:ext uri="{FF2B5EF4-FFF2-40B4-BE49-F238E27FC236}">
              <a16:creationId xmlns:a16="http://schemas.microsoft.com/office/drawing/2014/main" id="{00000000-0008-0000-1E00-000030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000"/>
        </a:p>
      </xdr:txBody>
    </xdr:sp>
    <xdr:clientData fPrintsWithSheet="0"/>
  </xdr:twoCellAnchor>
  <xdr:twoCellAnchor editAs="absolute">
    <xdr:from>
      <xdr:col>0</xdr:col>
      <xdr:colOff>0</xdr:colOff>
      <xdr:row>3</xdr:row>
      <xdr:rowOff>533397</xdr:rowOff>
    </xdr:from>
    <xdr:to>
      <xdr:col>27</xdr:col>
      <xdr:colOff>6433457</xdr:colOff>
      <xdr:row>11</xdr:row>
      <xdr:rowOff>206825</xdr:rowOff>
    </xdr:to>
    <xdr:sp macro="[0]!k" textlink="">
      <xdr:nvSpPr>
        <xdr:cNvPr id="49" name="ui_cmd_globalwarninginfobar" hidden="1">
          <a:extLst>
            <a:ext uri="{FF2B5EF4-FFF2-40B4-BE49-F238E27FC236}">
              <a16:creationId xmlns:a16="http://schemas.microsoft.com/office/drawing/2014/main" id="{00000000-0008-0000-1E00-000031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a:t>A</a:t>
          </a:r>
          <a:r>
            <a:rPr lang="en-GB" sz="1000" baseline="0"/>
            <a:t> custom weight profile is selected.  Scores and ranks may be different from official publication.  </a:t>
          </a:r>
          <a:r>
            <a:rPr lang="en-GB" sz="1000" b="1" u="sng" baseline="0">
              <a:solidFill>
                <a:srgbClr val="0070C0"/>
              </a:solidFill>
            </a:rPr>
            <a:t>RESTORE DEFAULT WEIGHT PROFILE</a:t>
          </a:r>
          <a:endParaRPr lang="en-GB" sz="1000" b="1" u="sng">
            <a:solidFill>
              <a:srgbClr val="0070C0"/>
            </a:solidFill>
          </a:endParaRPr>
        </a:p>
      </xdr:txBody>
    </xdr:sp>
    <xdr:clientData fPrintsWithSheet="0"/>
  </xdr:twoCellAnchor>
  <xdr:twoCellAnchor editAs="absolute">
    <xdr:from>
      <xdr:col>0</xdr:col>
      <xdr:colOff>0</xdr:colOff>
      <xdr:row>0</xdr:row>
      <xdr:rowOff>0</xdr:rowOff>
    </xdr:from>
    <xdr:to>
      <xdr:col>27</xdr:col>
      <xdr:colOff>6433459</xdr:colOff>
      <xdr:row>3</xdr:row>
      <xdr:rowOff>533397</xdr:rowOff>
    </xdr:to>
    <xdr:grpSp>
      <xdr:nvGrpSpPr>
        <xdr:cNvPr id="57" name="ui_all">
          <a:extLst>
            <a:ext uri="{FF2B5EF4-FFF2-40B4-BE49-F238E27FC236}">
              <a16:creationId xmlns:a16="http://schemas.microsoft.com/office/drawing/2014/main" id="{00000000-0008-0000-1E00-000039000000}"/>
            </a:ext>
          </a:extLst>
        </xdr:cNvPr>
        <xdr:cNvGrpSpPr/>
      </xdr:nvGrpSpPr>
      <xdr:grpSpPr>
        <a:xfrm>
          <a:off x="0" y="0"/>
          <a:ext cx="11887202" cy="1164768"/>
          <a:chOff x="0" y="304800"/>
          <a:chExt cx="11887202" cy="1164768"/>
        </a:xfrm>
      </xdr:grpSpPr>
      <xdr:sp macro="" textlink="">
        <xdr:nvSpPr>
          <xdr:cNvPr id="46" name="ui_dropdown_controls_bg">
            <a:extLst>
              <a:ext uri="{FF2B5EF4-FFF2-40B4-BE49-F238E27FC236}">
                <a16:creationId xmlns:a16="http://schemas.microsoft.com/office/drawing/2014/main" id="{00000000-0008-0000-1E00-00002E000000}"/>
              </a:ext>
            </a:extLst>
          </xdr:cNvPr>
          <xdr:cNvSpPr/>
        </xdr:nvSpPr>
        <xdr:spPr>
          <a:xfrm>
            <a:off x="0" y="936168"/>
            <a:ext cx="11887200" cy="533400"/>
          </a:xfrm>
          <a:prstGeom prst="rect">
            <a:avLst/>
          </a:prstGeom>
          <a:solidFill>
            <a:srgbClr xmlns:mc="http://schemas.openxmlformats.org/markup-compatibility/2006" xmlns:a14="http://schemas.microsoft.com/office/drawing/2010/main" val="F2F2F2" mc:Ignorable="a14" a14:legacySpreadsheetColorIndex="17"/>
          </a:solidFill>
          <a:ln w="9525" cap="flat" cmpd="sng" algn="ctr">
            <a:noFill/>
            <a:prstDash val="solid"/>
          </a:ln>
          <a:effectLst/>
          <a:extLst>
            <a:ext uri="{91240B29-F687-4F45-9708-019B960494DF}">
              <a14:hiddenLine xmlns:a14="http://schemas.microsoft.com/office/drawing/2010/main" w="9525" cap="flat" cmpd="sng" algn="ctr">
                <a:solidFill>
                  <a:srgbClr xmlns:mc="http://schemas.openxmlformats.org/markup-compatibility/2006" val="D8D8D8" mc:Ignorable="a14" a14:legacySpreadsheetColorIndex="18"/>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36" name="ui_page_second_bg">
            <a:extLst>
              <a:ext uri="{FF2B5EF4-FFF2-40B4-BE49-F238E27FC236}">
                <a16:creationId xmlns:a16="http://schemas.microsoft.com/office/drawing/2014/main" id="{00000000-0008-0000-1E00-000024000000}"/>
              </a:ext>
            </a:extLst>
          </xdr:cNvPr>
          <xdr:cNvSpPr/>
        </xdr:nvSpPr>
        <xdr:spPr>
          <a:xfrm>
            <a:off x="11709400" y="609600"/>
            <a:ext cx="177800" cy="326568"/>
          </a:xfrm>
          <a:prstGeom prst="rect">
            <a:avLst/>
          </a:prstGeom>
          <a:solidFill>
            <a:srgbClr xmlns:mc="http://schemas.openxmlformats.org/markup-compatibility/2006" xmlns:a14="http://schemas.microsoft.com/office/drawing/2010/main" val="E3E3E3" mc:Ignorable="a14" a14:legacySpreadsheetColorIndex="13"/>
          </a:solidFill>
          <a:ln w="19050" cap="flat" cmpd="sng" algn="ctr">
            <a:noFill/>
            <a:prstDash val="solid"/>
          </a:ln>
          <a:effectLst/>
          <a:extLst>
            <a:ext uri="{91240B29-F687-4F45-9708-019B960494DF}">
              <a14:hiddenLine xmlns:a14="http://schemas.microsoft.com/office/drawing/2010/main" w="19050" cap="flat" cmpd="sng" algn="ctr">
                <a:solidFill>
                  <a:srgbClr xmlns:mc="http://schemas.openxmlformats.org/markup-compatibility/2006" val="D2D2D2" mc:Ignorable="a14" a14:legacySpreadsheetColorIndex="14"/>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35" name="ui_page_bg">
            <a:extLst>
              <a:ext uri="{FF2B5EF4-FFF2-40B4-BE49-F238E27FC236}">
                <a16:creationId xmlns:a16="http://schemas.microsoft.com/office/drawing/2014/main" id="{00000000-0008-0000-1E00-000023000000}"/>
              </a:ext>
            </a:extLst>
          </xdr:cNvPr>
          <xdr:cNvSpPr/>
        </xdr:nvSpPr>
        <xdr:spPr>
          <a:xfrm>
            <a:off x="0" y="609600"/>
            <a:ext cx="11709400" cy="326568"/>
          </a:xfrm>
          <a:prstGeom prst="rect">
            <a:avLst/>
          </a:prstGeom>
          <a:solidFill>
            <a:srgbClr xmlns:mc="http://schemas.openxmlformats.org/markup-compatibility/2006" xmlns:a14="http://schemas.microsoft.com/office/drawing/2010/main" val="E3E3E3" mc:Ignorable="a14" a14:legacySpreadsheetColorIndex="13"/>
          </a:solidFill>
          <a:ln w="19050" cap="flat" cmpd="sng" algn="ctr">
            <a:noFill/>
            <a:prstDash val="solid"/>
          </a:ln>
          <a:effectLst/>
          <a:extLst>
            <a:ext uri="{91240B29-F687-4F45-9708-019B960494DF}">
              <a14:hiddenLine xmlns:a14="http://schemas.microsoft.com/office/drawing/2010/main" w="19050" cap="flat" cmpd="sng" algn="ctr">
                <a:solidFill>
                  <a:srgbClr xmlns:mc="http://schemas.openxmlformats.org/markup-compatibility/2006" val="D2D2D2" mc:Ignorable="a14" a14:legacySpreadsheetColorIndex="14"/>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6" name="ui_bg_home_back_forward">
            <a:extLst>
              <a:ext uri="{FF2B5EF4-FFF2-40B4-BE49-F238E27FC236}">
                <a16:creationId xmlns:a16="http://schemas.microsoft.com/office/drawing/2014/main" id="{00000000-0008-0000-1E00-000006000000}"/>
              </a:ext>
            </a:extLst>
          </xdr:cNvPr>
          <xdr:cNvSpPr txBox="1"/>
        </xdr:nvSpPr>
        <xdr:spPr>
          <a:xfrm>
            <a:off x="0" y="304800"/>
            <a:ext cx="664070" cy="304800"/>
          </a:xfrm>
          <a:prstGeom prst="rect">
            <a:avLst/>
          </a:prstGeom>
          <a:solidFill>
            <a:srgbClr xmlns:mc="http://schemas.openxmlformats.org/markup-compatibility/2006" xmlns:a14="http://schemas.microsoft.com/office/drawing/2010/main" val="808080" mc:Ignorable="a14" a14:legacySpreadsheetColorIndex="1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endParaRPr lang="en-GB" sz="1100" b="0"/>
          </a:p>
        </xdr:txBody>
      </xdr:sp>
      <xdr:pic macro="[0]!k">
        <xdr:nvPicPr>
          <xdr:cNvPr id="3" name="ui_nav_home" descr="home-white-xxl.png">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stretch>
            <a:fillRect/>
          </a:stretch>
        </xdr:blipFill>
        <xdr:spPr>
          <a:xfrm>
            <a:off x="25400" y="393700"/>
            <a:ext cx="165100"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pic macro="[0]!k">
        <xdr:nvPicPr>
          <xdr:cNvPr id="4" name="ui_nav_back" descr="arrow-left-white-xxl.png">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cstate="print"/>
          <a:stretch>
            <a:fillRect/>
          </a:stretch>
        </xdr:blipFill>
        <xdr:spPr>
          <a:xfrm>
            <a:off x="254000" y="393700"/>
            <a:ext cx="165100"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pic macro="[0]!k">
        <xdr:nvPicPr>
          <xdr:cNvPr id="5" name="ui_nav_forward" descr="arrow-right-white-xxl.png" hidden="1">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3" cstate="print"/>
          <a:stretch>
            <a:fillRect/>
          </a:stretch>
        </xdr:blipFill>
        <xdr:spPr>
          <a:xfrm>
            <a:off x="444500" y="393700"/>
            <a:ext cx="168776"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sp macro="[0]!k" textlink="">
        <xdr:nvSpPr>
          <xdr:cNvPr id="7" name="ui_nav_sec_1">
            <a:extLst>
              <a:ext uri="{FF2B5EF4-FFF2-40B4-BE49-F238E27FC236}">
                <a16:creationId xmlns:a16="http://schemas.microsoft.com/office/drawing/2014/main" id="{00000000-0008-0000-1E00-000007000000}"/>
              </a:ext>
            </a:extLst>
          </xdr:cNvPr>
          <xdr:cNvSpPr txBox="1"/>
        </xdr:nvSpPr>
        <xdr:spPr>
          <a:xfrm>
            <a:off x="740270" y="304800"/>
            <a:ext cx="926262" cy="304800"/>
          </a:xfrm>
          <a:prstGeom prst="rect">
            <a:avLst/>
          </a:prstGeom>
          <a:solidFill>
            <a:srgbClr xmlns:mc="http://schemas.openxmlformats.org/markup-compatibility/2006" xmlns:a14="http://schemas.microsoft.com/office/drawing/2010/main" val="E3E3E3" mc:Ignorable="a14" a14:legacySpreadsheetColorIndex="13"/>
          </a:solidFill>
          <a:ln w="19050" cmpd="sng">
            <a:solidFill>
              <a:srgbClr xmlns:mc="http://schemas.openxmlformats.org/markup-compatibility/2006" xmlns:a14="http://schemas.microsoft.com/office/drawing/2010/main" val="D2D2D2" mc:Ignorable="a14" a14:legacySpreadsheetColorIndex="14"/>
            </a:solidFill>
          </a:ln>
        </xdr:spPr>
        <xdr:style>
          <a:lnRef idx="0">
            <a:scrgbClr r="0" g="0" b="0"/>
          </a:lnRef>
          <a:fillRef idx="0">
            <a:scrgbClr r="0" g="0" b="0"/>
          </a:fillRef>
          <a:effectRef idx="0">
            <a:scrgbClr r="0" g="0" b="0"/>
          </a:effectRef>
          <a:fontRef idx="minor">
            <a:schemeClr val="dk1"/>
          </a:fontRef>
        </xdr:style>
        <xdr:txBody>
          <a:bodyPr vertOverflow="clip" wrap="square" lIns="0" rIns="0" bIns="72000" rtlCol="0" anchor="ctr" anchorCtr="0"/>
          <a:lstStyle/>
          <a:p>
            <a:pPr algn="ctr"/>
            <a:r>
              <a:rPr lang="en-GB" sz="900" b="1">
                <a:solidFill>
                  <a:srgbClr xmlns:mc="http://schemas.openxmlformats.org/markup-compatibility/2006" xmlns:a14="http://schemas.microsoft.com/office/drawing/2010/main" val="005E9E" mc:Ignorable="a14" a14:legacySpreadsheetColorIndex="15"/>
                </a:solidFill>
              </a:rPr>
              <a:t>CITY HEARTBEAT</a:t>
            </a:r>
          </a:p>
        </xdr:txBody>
      </xdr:sp>
      <xdr:cxnSp macro="">
        <xdr:nvCxnSpPr>
          <xdr:cNvPr id="8" name="ui_line_sec_active">
            <a:extLst>
              <a:ext uri="{FF2B5EF4-FFF2-40B4-BE49-F238E27FC236}">
                <a16:creationId xmlns:a16="http://schemas.microsoft.com/office/drawing/2014/main" id="{00000000-0008-0000-1E00-000008000000}"/>
              </a:ext>
            </a:extLst>
          </xdr:cNvPr>
          <xdr:cNvCxnSpPr/>
        </xdr:nvCxnSpPr>
        <xdr:spPr>
          <a:xfrm>
            <a:off x="740270" y="609600"/>
            <a:ext cx="926262" cy="0"/>
          </a:xfrm>
          <a:prstGeom prst="line">
            <a:avLst/>
          </a:prstGeom>
          <a:ln w="28575">
            <a:solidFill>
              <a:srgbClr xmlns:mc="http://schemas.openxmlformats.org/markup-compatibility/2006" xmlns:a14="http://schemas.microsoft.com/office/drawing/2010/main" val="E3E3E3" mc:Ignorable="a14" a14:legacySpreadsheetColorIndex="13"/>
            </a:solidFill>
          </a:ln>
        </xdr:spPr>
        <xdr:style>
          <a:lnRef idx="1">
            <a:schemeClr val="accent1"/>
          </a:lnRef>
          <a:fillRef idx="0">
            <a:schemeClr val="accent1"/>
          </a:fillRef>
          <a:effectRef idx="0">
            <a:schemeClr val="accent1"/>
          </a:effectRef>
          <a:fontRef idx="minor">
            <a:schemeClr val="tx1"/>
          </a:fontRef>
        </xdr:style>
      </xdr:cxnSp>
      <xdr:sp macro="" textlink="">
        <xdr:nvSpPr>
          <xdr:cNvPr id="9" name="ui_line_sec_divider1">
            <a:extLst>
              <a:ext uri="{FF2B5EF4-FFF2-40B4-BE49-F238E27FC236}">
                <a16:creationId xmlns:a16="http://schemas.microsoft.com/office/drawing/2014/main" id="{00000000-0008-0000-1E00-000009000000}"/>
              </a:ext>
            </a:extLst>
          </xdr:cNvPr>
          <xdr:cNvSpPr txBox="1"/>
        </xdr:nvSpPr>
        <xdr:spPr>
          <a:xfrm>
            <a:off x="1666532" y="304800"/>
            <a:ext cx="1778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9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12" name="ui_nav_page_1_0">
            <a:extLst>
              <a:ext uri="{FF2B5EF4-FFF2-40B4-BE49-F238E27FC236}">
                <a16:creationId xmlns:a16="http://schemas.microsoft.com/office/drawing/2014/main" id="{00000000-0008-0000-1E00-00000C000000}"/>
              </a:ext>
            </a:extLst>
          </xdr:cNvPr>
          <xdr:cNvSpPr txBox="1"/>
        </xdr:nvSpPr>
        <xdr:spPr>
          <a:xfrm>
            <a:off x="794372" y="622300"/>
            <a:ext cx="715785"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OVERVIEW</a:t>
            </a:r>
          </a:p>
        </xdr:txBody>
      </xdr:sp>
      <xdr:sp macro="" textlink="">
        <xdr:nvSpPr>
          <xdr:cNvPr id="13" name="ui_line_page_divider1">
            <a:extLst>
              <a:ext uri="{FF2B5EF4-FFF2-40B4-BE49-F238E27FC236}">
                <a16:creationId xmlns:a16="http://schemas.microsoft.com/office/drawing/2014/main" id="{00000000-0008-0000-1E00-00000D000000}"/>
              </a:ext>
            </a:extLst>
          </xdr:cNvPr>
          <xdr:cNvSpPr txBox="1"/>
        </xdr:nvSpPr>
        <xdr:spPr>
          <a:xfrm>
            <a:off x="151015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14" name="ui_nav_page_1_1">
            <a:extLst>
              <a:ext uri="{FF2B5EF4-FFF2-40B4-BE49-F238E27FC236}">
                <a16:creationId xmlns:a16="http://schemas.microsoft.com/office/drawing/2014/main" id="{00000000-0008-0000-1E00-00000E000000}"/>
              </a:ext>
            </a:extLst>
          </xdr:cNvPr>
          <xdr:cNvSpPr txBox="1"/>
        </xdr:nvSpPr>
        <xdr:spPr>
          <a:xfrm>
            <a:off x="1687957" y="622300"/>
            <a:ext cx="68728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RANKINGS</a:t>
            </a:r>
          </a:p>
        </xdr:txBody>
      </xdr:sp>
      <xdr:sp macro="" textlink="">
        <xdr:nvSpPr>
          <xdr:cNvPr id="15" name="ui_line_page_divider2">
            <a:extLst>
              <a:ext uri="{FF2B5EF4-FFF2-40B4-BE49-F238E27FC236}">
                <a16:creationId xmlns:a16="http://schemas.microsoft.com/office/drawing/2014/main" id="{00000000-0008-0000-1E00-00000F000000}"/>
              </a:ext>
            </a:extLst>
          </xdr:cNvPr>
          <xdr:cNvSpPr txBox="1"/>
        </xdr:nvSpPr>
        <xdr:spPr>
          <a:xfrm>
            <a:off x="2375243"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16" name="ui_nav_page_1_2">
            <a:extLst>
              <a:ext uri="{FF2B5EF4-FFF2-40B4-BE49-F238E27FC236}">
                <a16:creationId xmlns:a16="http://schemas.microsoft.com/office/drawing/2014/main" id="{00000000-0008-0000-1E00-000010000000}"/>
              </a:ext>
            </a:extLst>
          </xdr:cNvPr>
          <xdr:cNvSpPr txBox="1"/>
        </xdr:nvSpPr>
        <xdr:spPr>
          <a:xfrm>
            <a:off x="2553043" y="622300"/>
            <a:ext cx="995591"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SNAPSHOTS</a:t>
            </a:r>
          </a:p>
        </xdr:txBody>
      </xdr:sp>
      <xdr:sp macro="" textlink="">
        <xdr:nvSpPr>
          <xdr:cNvPr id="17" name="ui_line_page_divider3">
            <a:extLst>
              <a:ext uri="{FF2B5EF4-FFF2-40B4-BE49-F238E27FC236}">
                <a16:creationId xmlns:a16="http://schemas.microsoft.com/office/drawing/2014/main" id="{00000000-0008-0000-1E00-000011000000}"/>
              </a:ext>
            </a:extLst>
          </xdr:cNvPr>
          <xdr:cNvSpPr txBox="1"/>
        </xdr:nvSpPr>
        <xdr:spPr>
          <a:xfrm>
            <a:off x="3548634"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18" name="ui_nav_page_1_3">
            <a:extLst>
              <a:ext uri="{FF2B5EF4-FFF2-40B4-BE49-F238E27FC236}">
                <a16:creationId xmlns:a16="http://schemas.microsoft.com/office/drawing/2014/main" id="{00000000-0008-0000-1E00-000012000000}"/>
              </a:ext>
            </a:extLst>
          </xdr:cNvPr>
          <xdr:cNvSpPr txBox="1"/>
        </xdr:nvSpPr>
        <xdr:spPr>
          <a:xfrm>
            <a:off x="3726434" y="622300"/>
            <a:ext cx="864108"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PROFILES</a:t>
            </a:r>
          </a:p>
        </xdr:txBody>
      </xdr:sp>
      <xdr:sp macro="" textlink="">
        <xdr:nvSpPr>
          <xdr:cNvPr id="19" name="ui_line_page_divider4">
            <a:extLst>
              <a:ext uri="{FF2B5EF4-FFF2-40B4-BE49-F238E27FC236}">
                <a16:creationId xmlns:a16="http://schemas.microsoft.com/office/drawing/2014/main" id="{00000000-0008-0000-1E00-000013000000}"/>
              </a:ext>
            </a:extLst>
          </xdr:cNvPr>
          <xdr:cNvSpPr txBox="1"/>
        </xdr:nvSpPr>
        <xdr:spPr>
          <a:xfrm>
            <a:off x="4590542"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 textlink="">
        <xdr:nvSpPr>
          <xdr:cNvPr id="22" name="ui_line_page_divider5">
            <a:extLst>
              <a:ext uri="{FF2B5EF4-FFF2-40B4-BE49-F238E27FC236}">
                <a16:creationId xmlns:a16="http://schemas.microsoft.com/office/drawing/2014/main" id="{00000000-0008-0000-1E00-000016000000}"/>
              </a:ext>
            </a:extLst>
          </xdr:cNvPr>
          <xdr:cNvSpPr txBox="1"/>
        </xdr:nvSpPr>
        <xdr:spPr>
          <a:xfrm>
            <a:off x="5524284"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23" name="ui_nav_page_1_5">
            <a:extLst>
              <a:ext uri="{FF2B5EF4-FFF2-40B4-BE49-F238E27FC236}">
                <a16:creationId xmlns:a16="http://schemas.microsoft.com/office/drawing/2014/main" id="{00000000-0008-0000-1E00-000017000000}"/>
              </a:ext>
            </a:extLst>
          </xdr:cNvPr>
          <xdr:cNvSpPr txBox="1"/>
        </xdr:nvSpPr>
        <xdr:spPr>
          <a:xfrm>
            <a:off x="5702084" y="622300"/>
            <a:ext cx="995591"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COMPARE CITIES</a:t>
            </a:r>
          </a:p>
        </xdr:txBody>
      </xdr:sp>
      <xdr:sp macro="" textlink="">
        <xdr:nvSpPr>
          <xdr:cNvPr id="24" name="ui_line_page_divider6">
            <a:extLst>
              <a:ext uri="{FF2B5EF4-FFF2-40B4-BE49-F238E27FC236}">
                <a16:creationId xmlns:a16="http://schemas.microsoft.com/office/drawing/2014/main" id="{00000000-0008-0000-1E00-000018000000}"/>
              </a:ext>
            </a:extLst>
          </xdr:cNvPr>
          <xdr:cNvSpPr txBox="1"/>
        </xdr:nvSpPr>
        <xdr:spPr>
          <a:xfrm>
            <a:off x="6697675"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5" name="ui_nav_page_1_6">
            <a:extLst>
              <a:ext uri="{FF2B5EF4-FFF2-40B4-BE49-F238E27FC236}">
                <a16:creationId xmlns:a16="http://schemas.microsoft.com/office/drawing/2014/main" id="{00000000-0008-0000-1E00-000019000000}"/>
              </a:ext>
            </a:extLst>
          </xdr:cNvPr>
          <xdr:cNvSpPr txBox="1"/>
        </xdr:nvSpPr>
        <xdr:spPr>
          <a:xfrm>
            <a:off x="6875475" y="622300"/>
            <a:ext cx="89843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ALL MEASURES</a:t>
            </a:r>
          </a:p>
        </xdr:txBody>
      </xdr:sp>
      <xdr:sp macro="" textlink="">
        <xdr:nvSpPr>
          <xdr:cNvPr id="26" name="ui_line_page_divider7">
            <a:extLst>
              <a:ext uri="{FF2B5EF4-FFF2-40B4-BE49-F238E27FC236}">
                <a16:creationId xmlns:a16="http://schemas.microsoft.com/office/drawing/2014/main" id="{00000000-0008-0000-1E00-00001A000000}"/>
              </a:ext>
            </a:extLst>
          </xdr:cNvPr>
          <xdr:cNvSpPr txBox="1"/>
        </xdr:nvSpPr>
        <xdr:spPr>
          <a:xfrm>
            <a:off x="7773912"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7" name="ui_nav_page_1_7">
            <a:extLst>
              <a:ext uri="{FF2B5EF4-FFF2-40B4-BE49-F238E27FC236}">
                <a16:creationId xmlns:a16="http://schemas.microsoft.com/office/drawing/2014/main" id="{00000000-0008-0000-1E00-00001B000000}"/>
              </a:ext>
            </a:extLst>
          </xdr:cNvPr>
          <xdr:cNvSpPr txBox="1"/>
        </xdr:nvSpPr>
        <xdr:spPr>
          <a:xfrm>
            <a:off x="7951712" y="622300"/>
            <a:ext cx="88159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SCATTER PLOT</a:t>
            </a:r>
          </a:p>
        </xdr:txBody>
      </xdr:sp>
      <xdr:sp macro="" textlink="">
        <xdr:nvSpPr>
          <xdr:cNvPr id="28" name="ui_line_page_divider8">
            <a:extLst>
              <a:ext uri="{FF2B5EF4-FFF2-40B4-BE49-F238E27FC236}">
                <a16:creationId xmlns:a16="http://schemas.microsoft.com/office/drawing/2014/main" id="{00000000-0008-0000-1E00-00001C000000}"/>
              </a:ext>
            </a:extLst>
          </xdr:cNvPr>
          <xdr:cNvSpPr txBox="1"/>
        </xdr:nvSpPr>
        <xdr:spPr>
          <a:xfrm>
            <a:off x="883330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9" name="ui_nav_page_1_8">
            <a:extLst>
              <a:ext uri="{FF2B5EF4-FFF2-40B4-BE49-F238E27FC236}">
                <a16:creationId xmlns:a16="http://schemas.microsoft.com/office/drawing/2014/main" id="{00000000-0008-0000-1E00-00001D000000}"/>
              </a:ext>
            </a:extLst>
          </xdr:cNvPr>
          <xdr:cNvSpPr txBox="1"/>
        </xdr:nvSpPr>
        <xdr:spPr>
          <a:xfrm>
            <a:off x="9011107" y="622300"/>
            <a:ext cx="635470"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WEIGHTS</a:t>
            </a:r>
          </a:p>
        </xdr:txBody>
      </xdr:sp>
      <xdr:sp macro="" textlink="">
        <xdr:nvSpPr>
          <xdr:cNvPr id="30" name="ui_line_page_divider9">
            <a:extLst>
              <a:ext uri="{FF2B5EF4-FFF2-40B4-BE49-F238E27FC236}">
                <a16:creationId xmlns:a16="http://schemas.microsoft.com/office/drawing/2014/main" id="{00000000-0008-0000-1E00-00001E000000}"/>
              </a:ext>
            </a:extLst>
          </xdr:cNvPr>
          <xdr:cNvSpPr txBox="1"/>
        </xdr:nvSpPr>
        <xdr:spPr>
          <a:xfrm>
            <a:off x="964657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31" name="ui_nav_page_1_9">
            <a:extLst>
              <a:ext uri="{FF2B5EF4-FFF2-40B4-BE49-F238E27FC236}">
                <a16:creationId xmlns:a16="http://schemas.microsoft.com/office/drawing/2014/main" id="{00000000-0008-0000-1E00-00001F000000}"/>
              </a:ext>
            </a:extLst>
          </xdr:cNvPr>
          <xdr:cNvSpPr txBox="1"/>
        </xdr:nvSpPr>
        <xdr:spPr>
          <a:xfrm>
            <a:off x="9824377" y="622300"/>
            <a:ext cx="458648"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DATA</a:t>
            </a:r>
          </a:p>
        </xdr:txBody>
      </xdr:sp>
      <xdr:sp macro="" textlink="">
        <xdr:nvSpPr>
          <xdr:cNvPr id="32" name="ui_line_page_divider10">
            <a:extLst>
              <a:ext uri="{FF2B5EF4-FFF2-40B4-BE49-F238E27FC236}">
                <a16:creationId xmlns:a16="http://schemas.microsoft.com/office/drawing/2014/main" id="{00000000-0008-0000-1E00-000020000000}"/>
              </a:ext>
            </a:extLst>
          </xdr:cNvPr>
          <xdr:cNvSpPr txBox="1"/>
        </xdr:nvSpPr>
        <xdr:spPr>
          <a:xfrm>
            <a:off x="10283025"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33" name="ui_nav_page_1_10">
            <a:extLst>
              <a:ext uri="{FF2B5EF4-FFF2-40B4-BE49-F238E27FC236}">
                <a16:creationId xmlns:a16="http://schemas.microsoft.com/office/drawing/2014/main" id="{00000000-0008-0000-1E00-000021000000}"/>
              </a:ext>
            </a:extLst>
          </xdr:cNvPr>
          <xdr:cNvSpPr txBox="1"/>
        </xdr:nvSpPr>
        <xdr:spPr>
          <a:xfrm>
            <a:off x="10460825" y="622300"/>
            <a:ext cx="555803"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SCORES</a:t>
            </a:r>
          </a:p>
        </xdr:txBody>
      </xdr:sp>
      <xdr:sp macro="" textlink="">
        <xdr:nvSpPr>
          <xdr:cNvPr id="34" name="ui_line_page_divider11">
            <a:extLst>
              <a:ext uri="{FF2B5EF4-FFF2-40B4-BE49-F238E27FC236}">
                <a16:creationId xmlns:a16="http://schemas.microsoft.com/office/drawing/2014/main" id="{00000000-0008-0000-1E00-000022000000}"/>
              </a:ext>
            </a:extLst>
          </xdr:cNvPr>
          <xdr:cNvSpPr txBox="1"/>
        </xdr:nvSpPr>
        <xdr:spPr>
          <a:xfrm>
            <a:off x="11016628"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20" name="ui_nav_page_1_4">
            <a:extLst>
              <a:ext uri="{FF2B5EF4-FFF2-40B4-BE49-F238E27FC236}">
                <a16:creationId xmlns:a16="http://schemas.microsoft.com/office/drawing/2014/main" id="{00000000-0008-0000-1E00-000014000000}"/>
              </a:ext>
            </a:extLst>
          </xdr:cNvPr>
          <xdr:cNvSpPr txBox="1"/>
        </xdr:nvSpPr>
        <xdr:spPr>
          <a:xfrm>
            <a:off x="4768342" y="647700"/>
            <a:ext cx="755942" cy="288468"/>
          </a:xfrm>
          <a:prstGeom prst="rect">
            <a:avLst/>
          </a:prstGeom>
          <a:solidFill>
            <a:srgbClr xmlns:mc="http://schemas.openxmlformats.org/markup-compatibility/2006" xmlns:a14="http://schemas.microsoft.com/office/drawing/2010/main" val="F2F2F2" mc:Ignorable="a14" a14:legacySpreadsheetColorIndex="17"/>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005E9E" mc:Ignorable="a14" a14:legacySpreadsheetColorIndex="15"/>
                </a:solidFill>
              </a:rPr>
              <a:t>CITY DETAIL</a:t>
            </a:r>
          </a:p>
        </xdr:txBody>
      </xdr:sp>
      <xdr:cxnSp macro="">
        <xdr:nvCxnSpPr>
          <xdr:cNvPr id="21" name="ui_line_page_active">
            <a:extLst>
              <a:ext uri="{FF2B5EF4-FFF2-40B4-BE49-F238E27FC236}">
                <a16:creationId xmlns:a16="http://schemas.microsoft.com/office/drawing/2014/main" id="{00000000-0008-0000-1E00-000015000000}"/>
              </a:ext>
            </a:extLst>
          </xdr:cNvPr>
          <xdr:cNvCxnSpPr/>
        </xdr:nvCxnSpPr>
        <xdr:spPr>
          <a:xfrm>
            <a:off x="4768342" y="936168"/>
            <a:ext cx="755942" cy="0"/>
          </a:xfrm>
          <a:prstGeom prst="line">
            <a:avLst/>
          </a:prstGeom>
          <a:ln w="28575">
            <a:solidFill>
              <a:srgbClr xmlns:mc="http://schemas.openxmlformats.org/markup-compatibility/2006" xmlns:a14="http://schemas.microsoft.com/office/drawing/2010/main" val="F2F2F2" mc:Ignorable="a14" a14:legacySpreadsheetColorIndex="17"/>
            </a:solidFill>
          </a:ln>
        </xdr:spPr>
        <xdr:style>
          <a:lnRef idx="1">
            <a:schemeClr val="accent1"/>
          </a:lnRef>
          <a:fillRef idx="0">
            <a:schemeClr val="accent1"/>
          </a:fillRef>
          <a:effectRef idx="0">
            <a:schemeClr val="accent1"/>
          </a:effectRef>
          <a:fontRef idx="minor">
            <a:schemeClr val="tx1"/>
          </a:fontRef>
        </xdr:style>
      </xdr:cxnSp>
      <xdr:sp macro="" textlink="">
        <xdr:nvSpPr>
          <xdr:cNvPr id="37" name="ui_lbl_cnt_CountryFlt">
            <a:extLst>
              <a:ext uri="{FF2B5EF4-FFF2-40B4-BE49-F238E27FC236}">
                <a16:creationId xmlns:a16="http://schemas.microsoft.com/office/drawing/2014/main" id="{00000000-0008-0000-1E00-000025000000}"/>
              </a:ext>
            </a:extLst>
          </xdr:cNvPr>
          <xdr:cNvSpPr txBox="1"/>
        </xdr:nvSpPr>
        <xdr:spPr>
          <a:xfrm>
            <a:off x="127000" y="986968"/>
            <a:ext cx="627240"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SELECT CITY</a:t>
            </a:r>
          </a:p>
        </xdr:txBody>
      </xdr:sp>
      <xdr:sp macro="" textlink="">
        <xdr:nvSpPr>
          <xdr:cNvPr id="42" name="ui_lbl_cnt_ShowReferences">
            <a:extLst>
              <a:ext uri="{FF2B5EF4-FFF2-40B4-BE49-F238E27FC236}">
                <a16:creationId xmlns:a16="http://schemas.microsoft.com/office/drawing/2014/main" id="{00000000-0008-0000-1E00-00002A000000}"/>
              </a:ext>
            </a:extLst>
          </xdr:cNvPr>
          <xdr:cNvSpPr txBox="1"/>
        </xdr:nvSpPr>
        <xdr:spPr>
          <a:xfrm>
            <a:off x="1638300" y="986968"/>
            <a:ext cx="1028725"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SHOW REFERENCES</a:t>
            </a:r>
          </a:p>
        </xdr:txBody>
      </xdr:sp>
      <mc:AlternateContent xmlns:mc="http://schemas.openxmlformats.org/markup-compatibility/2006">
        <mc:Choice xmlns:a14="http://schemas.microsoft.com/office/drawing/2010/main" Requires="a14">
          <xdr:sp macro="" textlink="">
            <xdr:nvSpPr>
              <xdr:cNvPr id="6742387" name="ui_cnt_CountryFlt" hidden="1">
                <a:extLst>
                  <a:ext uri="{63B3BB69-23CF-44E3-9099-C40C66FF867C}">
                    <a14:compatExt spid="_x0000_s6742387"/>
                  </a:ext>
                  <a:ext uri="{FF2B5EF4-FFF2-40B4-BE49-F238E27FC236}">
                    <a16:creationId xmlns:a16="http://schemas.microsoft.com/office/drawing/2014/main" id="{00000000-0008-0000-1E00-000073E16600}"/>
                  </a:ext>
                </a:extLst>
              </xdr:cNvPr>
              <xdr:cNvSpPr/>
            </xdr:nvSpPr>
            <xdr:spPr bwMode="auto">
              <a:xfrm>
                <a:off x="127000" y="1177468"/>
                <a:ext cx="1104900" cy="212271"/>
              </a:xfrm>
              <a:prstGeom prst="rect">
                <a:avLst/>
              </a:prstGeom>
              <a:noFill/>
              <a:ln w="9525">
                <a:miter lim="800000"/>
                <a:headEnd/>
                <a:tailEnd/>
              </a:ln>
              <a:extLst>
                <a:ext uri="{909E8E84-426E-40DD-AFC4-6F175D3DCCD1}">
                  <a14:hiddenFill>
                    <a:noFill/>
                  </a14:hiddenFill>
                </a:ext>
              </a:extLst>
            </xdr:spPr>
          </xdr:sp>
        </mc:Choice>
        <mc:Fallback/>
      </mc:AlternateContent>
      <xdr:pic macro="[0]!k">
        <xdr:nvPicPr>
          <xdr:cNvPr id="40" name="ui_spu_CountryFlt" descr="scroll_up_small.png">
            <a:extLst>
              <a:ext uri="{FF2B5EF4-FFF2-40B4-BE49-F238E27FC236}">
                <a16:creationId xmlns:a16="http://schemas.microsoft.com/office/drawing/2014/main" id="{00000000-0008-0000-1E00-000028000000}"/>
              </a:ext>
            </a:extLst>
          </xdr:cNvPr>
          <xdr:cNvPicPr>
            <a:picLocks noChangeAspect="1"/>
          </xdr:cNvPicPr>
        </xdr:nvPicPr>
        <xdr:blipFill>
          <a:blip xmlns:r="http://schemas.openxmlformats.org/officeDocument/2006/relationships" r:embed="rId4" cstate="print"/>
          <a:stretch>
            <a:fillRect/>
          </a:stretch>
        </xdr:blipFill>
        <xdr:spPr>
          <a:xfrm>
            <a:off x="1257300" y="1177468"/>
            <a:ext cx="228615" cy="77699"/>
          </a:xfrm>
          <a:prstGeom prst="rect">
            <a:avLst/>
          </a:prstGeom>
        </xdr:spPr>
      </xdr:pic>
      <xdr:pic macro="[0]!k">
        <xdr:nvPicPr>
          <xdr:cNvPr id="41" name="ui_spd_CountryFlt" descr="scroll_down_small.png">
            <a:extLst>
              <a:ext uri="{FF2B5EF4-FFF2-40B4-BE49-F238E27FC236}">
                <a16:creationId xmlns:a16="http://schemas.microsoft.com/office/drawing/2014/main" id="{00000000-0008-0000-1E00-000029000000}"/>
              </a:ext>
            </a:extLst>
          </xdr:cNvPr>
          <xdr:cNvPicPr>
            <a:picLocks noChangeAspect="1"/>
          </xdr:cNvPicPr>
        </xdr:nvPicPr>
        <xdr:blipFill>
          <a:blip xmlns:r="http://schemas.openxmlformats.org/officeDocument/2006/relationships" r:embed="rId5" cstate="print"/>
          <a:stretch>
            <a:fillRect/>
          </a:stretch>
        </xdr:blipFill>
        <xdr:spPr>
          <a:xfrm>
            <a:off x="1257300" y="1282458"/>
            <a:ext cx="228604" cy="56388"/>
          </a:xfrm>
          <a:prstGeom prst="rect">
            <a:avLst/>
          </a:prstGeom>
        </xdr:spPr>
      </xdr:pic>
      <mc:AlternateContent xmlns:mc="http://schemas.openxmlformats.org/markup-compatibility/2006">
        <mc:Choice xmlns:a14="http://schemas.microsoft.com/office/drawing/2010/main" Requires="a14">
          <xdr:sp macro="" textlink="">
            <xdr:nvSpPr>
              <xdr:cNvPr id="6742389" name="ui_cnt_ShowReferences" hidden="1">
                <a:extLst>
                  <a:ext uri="{63B3BB69-23CF-44E3-9099-C40C66FF867C}">
                    <a14:compatExt spid="_x0000_s6742389"/>
                  </a:ext>
                  <a:ext uri="{FF2B5EF4-FFF2-40B4-BE49-F238E27FC236}">
                    <a16:creationId xmlns:a16="http://schemas.microsoft.com/office/drawing/2014/main" id="{00000000-0008-0000-1E00-000075E16600}"/>
                  </a:ext>
                </a:extLst>
              </xdr:cNvPr>
              <xdr:cNvSpPr/>
            </xdr:nvSpPr>
            <xdr:spPr bwMode="auto">
              <a:xfrm>
                <a:off x="1638300" y="1177468"/>
                <a:ext cx="1420585" cy="212271"/>
              </a:xfrm>
              <a:prstGeom prst="rect">
                <a:avLst/>
              </a:prstGeom>
              <a:noFill/>
              <a:ln w="9525">
                <a:miter lim="800000"/>
                <a:headEnd/>
                <a:tailEnd/>
              </a:ln>
              <a:extLst>
                <a:ext uri="{909E8E84-426E-40DD-AFC4-6F175D3DCCD1}">
                  <a14:hiddenFill>
                    <a:noFill/>
                  </a14:hiddenFill>
                </a:ext>
              </a:extLst>
            </xdr:spPr>
          </xdr:sp>
        </mc:Choice>
        <mc:Fallback/>
      </mc:AlternateContent>
      <xdr:pic macro="[0]!k">
        <xdr:nvPicPr>
          <xdr:cNvPr id="44" name="ui_spu_ShowReferences" descr="scroll_up_small.png">
            <a:extLst>
              <a:ext uri="{FF2B5EF4-FFF2-40B4-BE49-F238E27FC236}">
                <a16:creationId xmlns:a16="http://schemas.microsoft.com/office/drawing/2014/main" id="{00000000-0008-0000-1E00-00002C000000}"/>
              </a:ext>
            </a:extLst>
          </xdr:cNvPr>
          <xdr:cNvPicPr>
            <a:picLocks noChangeAspect="1"/>
          </xdr:cNvPicPr>
        </xdr:nvPicPr>
        <xdr:blipFill>
          <a:blip xmlns:r="http://schemas.openxmlformats.org/officeDocument/2006/relationships" r:embed="rId4" cstate="print"/>
          <a:stretch>
            <a:fillRect/>
          </a:stretch>
        </xdr:blipFill>
        <xdr:spPr>
          <a:xfrm>
            <a:off x="3084284" y="1177468"/>
            <a:ext cx="228615" cy="77699"/>
          </a:xfrm>
          <a:prstGeom prst="rect">
            <a:avLst/>
          </a:prstGeom>
        </xdr:spPr>
      </xdr:pic>
      <xdr:pic macro="[0]!k">
        <xdr:nvPicPr>
          <xdr:cNvPr id="45" name="ui_spd_ShowReferences" descr="scroll_down_small.png">
            <a:extLst>
              <a:ext uri="{FF2B5EF4-FFF2-40B4-BE49-F238E27FC236}">
                <a16:creationId xmlns:a16="http://schemas.microsoft.com/office/drawing/2014/main" id="{00000000-0008-0000-1E00-00002D000000}"/>
              </a:ext>
            </a:extLst>
          </xdr:cNvPr>
          <xdr:cNvPicPr>
            <a:picLocks noChangeAspect="1"/>
          </xdr:cNvPicPr>
        </xdr:nvPicPr>
        <xdr:blipFill>
          <a:blip xmlns:r="http://schemas.openxmlformats.org/officeDocument/2006/relationships" r:embed="rId5" cstate="print"/>
          <a:stretch>
            <a:fillRect/>
          </a:stretch>
        </xdr:blipFill>
        <xdr:spPr>
          <a:xfrm>
            <a:off x="3084284" y="1282458"/>
            <a:ext cx="228604" cy="56388"/>
          </a:xfrm>
          <a:prstGeom prst="rect">
            <a:avLst/>
          </a:prstGeom>
        </xdr:spPr>
      </xdr:pic>
      <xdr:pic macro="[0]!k">
        <xdr:nvPicPr>
          <xdr:cNvPr id="53" name="ui_cmd_export_xl" descr="xl_icon.gif">
            <a:hlinkClick xmlns:r="http://schemas.openxmlformats.org/officeDocument/2006/relationships" r:id="rId6" tooltip="Export current page as a standalone Excel workbook"/>
            <a:extLst>
              <a:ext uri="{FF2B5EF4-FFF2-40B4-BE49-F238E27FC236}">
                <a16:creationId xmlns:a16="http://schemas.microsoft.com/office/drawing/2014/main" id="{00000000-0008-0000-1E00-000035000000}"/>
              </a:ext>
            </a:extLst>
          </xdr:cNvPr>
          <xdr:cNvPicPr>
            <a:picLocks noChangeAspect="1"/>
          </xdr:cNvPicPr>
        </xdr:nvPicPr>
        <xdr:blipFill>
          <a:blip xmlns:r="http://schemas.openxmlformats.org/officeDocument/2006/relationships" r:embed="rId7" cstate="print"/>
          <a:stretch>
            <a:fillRect/>
          </a:stretch>
        </xdr:blipFill>
        <xdr:spPr>
          <a:xfrm>
            <a:off x="11367528" y="361950"/>
            <a:ext cx="519674" cy="190500"/>
          </a:xfrm>
          <a:prstGeom prst="rect">
            <a:avLst/>
          </a:prstGeom>
        </xdr:spPr>
      </xdr:pic>
      <xdr:pic macro="[0]!k">
        <xdr:nvPicPr>
          <xdr:cNvPr id="52" name="ui_cmd_reset_controls">
            <a:hlinkClick xmlns:r="http://schemas.openxmlformats.org/officeDocument/2006/relationships" r:id="rId8" tooltip="Reset all options and controls on this page to the default value."/>
            <a:extLst>
              <a:ext uri="{FF2B5EF4-FFF2-40B4-BE49-F238E27FC236}">
                <a16:creationId xmlns:a16="http://schemas.microsoft.com/office/drawing/2014/main" id="{00000000-0008-0000-1E00-00003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628209" y="974268"/>
            <a:ext cx="208189" cy="190500"/>
          </a:xfrm>
          <a:prstGeom prst="rect">
            <a:avLst/>
          </a:prstGeom>
        </xdr:spPr>
      </xdr:pic>
      <xdr:pic macro="[0]!k">
        <xdr:nvPicPr>
          <xdr:cNvPr id="50" name="ui_cmd_full_screen" hidden="1">
            <a:hlinkClick xmlns:r="http://schemas.openxmlformats.org/officeDocument/2006/relationships" r:id="rId10" tooltip="Full screen mode (recommended)"/>
            <a:extLst>
              <a:ext uri="{FF2B5EF4-FFF2-40B4-BE49-F238E27FC236}">
                <a16:creationId xmlns:a16="http://schemas.microsoft.com/office/drawing/2014/main" id="{00000000-0008-0000-1E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099356" y="361950"/>
            <a:ext cx="217368" cy="190500"/>
          </a:xfrm>
          <a:prstGeom prst="rect">
            <a:avLst/>
          </a:prstGeom>
        </xdr:spPr>
      </xdr:pic>
      <xdr:pic macro="[0]!k">
        <xdr:nvPicPr>
          <xdr:cNvPr id="51" name="ui_cmd_exit_full_screen">
            <a:hlinkClick xmlns:r="http://schemas.openxmlformats.org/officeDocument/2006/relationships" r:id="rId12" tooltip="Leave full screen mode"/>
            <a:extLst>
              <a:ext uri="{FF2B5EF4-FFF2-40B4-BE49-F238E27FC236}">
                <a16:creationId xmlns:a16="http://schemas.microsoft.com/office/drawing/2014/main" id="{00000000-0008-0000-1E00-00003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099356" y="361950"/>
            <a:ext cx="209038" cy="190500"/>
          </a:xfrm>
          <a:prstGeom prst="rect">
            <a:avLst/>
          </a:prstGeom>
        </xdr:spPr>
      </xdr:pic>
    </xdr:grpSp>
    <xdr:clientData fPrintsWithSheet="0"/>
  </xdr:twoCellAnchor>
  <xdr:twoCellAnchor>
    <xdr:from>
      <xdr:col>23</xdr:col>
      <xdr:colOff>0</xdr:colOff>
      <xdr:row>97</xdr:row>
      <xdr:rowOff>0</xdr:rowOff>
    </xdr:from>
    <xdr:to>
      <xdr:col>23</xdr:col>
      <xdr:colOff>1015093</xdr:colOff>
      <xdr:row>98</xdr:row>
      <xdr:rowOff>0</xdr:rowOff>
    </xdr:to>
    <xdr:sp macro="k" textlink="">
      <xdr:nvSpPr>
        <xdr:cNvPr id="58" name="go_top">
          <a:extLst>
            <a:ext uri="{FF2B5EF4-FFF2-40B4-BE49-F238E27FC236}">
              <a16:creationId xmlns:a16="http://schemas.microsoft.com/office/drawing/2014/main" id="{00000000-0008-0000-1E00-00003A000000}"/>
            </a:ext>
          </a:extLst>
        </xdr:cNvPr>
        <xdr:cNvSpPr txBox="1"/>
      </xdr:nvSpPr>
      <xdr:spPr>
        <a:xfrm>
          <a:off x="794657" y="32433986"/>
          <a:ext cx="1015093" cy="185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none" strike="noStrike" baseline="0">
              <a:solidFill>
                <a:srgbClr val="0070C0"/>
              </a:solidFill>
              <a:latin typeface="+mn-lt"/>
            </a:rPr>
            <a:t>↑ Top of page</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8</xdr:row>
      <xdr:rowOff>0</xdr:rowOff>
    </xdr:from>
    <xdr:to>
      <xdr:col>9</xdr:col>
      <xdr:colOff>0</xdr:colOff>
      <xdr:row>107</xdr:row>
      <xdr:rowOff>0</xdr:rowOff>
    </xdr:to>
    <xdr:sp macro="" textlink="">
      <xdr:nvSpPr>
        <xdr:cNvPr id="2" name="txtIndicatorSidebar">
          <a:extLst>
            <a:ext uri="{FF2B5EF4-FFF2-40B4-BE49-F238E27FC236}">
              <a16:creationId xmlns:a16="http://schemas.microsoft.com/office/drawing/2014/main" id="{00000000-0008-0000-1F00-000002000000}"/>
            </a:ext>
          </a:extLst>
        </xdr:cNvPr>
        <xdr:cNvSpPr txBox="1"/>
      </xdr:nvSpPr>
      <xdr:spPr>
        <a:xfrm>
          <a:off x="247650" y="1257300"/>
          <a:ext cx="3962400" cy="11782425"/>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t>SCORE CALCULATION
Weighted average of the following domain scores:
1) SOCIAL DETERMINANTS
2) PHYSICAL ENVIRONMENT
3) HEALTH RISKS
4) HEALTH SERVICES
5) GOVERNANCE
</a:t>
          </a:r>
        </a:p>
      </xdr:txBody>
    </xdr:sp>
    <xdr:clientData/>
  </xdr:twoCellAnchor>
  <xdr:twoCellAnchor>
    <xdr:from>
      <xdr:col>22</xdr:col>
      <xdr:colOff>0</xdr:colOff>
      <xdr:row>28</xdr:row>
      <xdr:rowOff>0</xdr:rowOff>
    </xdr:from>
    <xdr:to>
      <xdr:col>23</xdr:col>
      <xdr:colOff>0</xdr:colOff>
      <xdr:row>78</xdr:row>
      <xdr:rowOff>0</xdr:rowOff>
    </xdr:to>
    <xdr:graphicFrame macro="">
      <xdr:nvGraphicFramePr>
        <xdr:cNvPr id="311" name="Chart 310">
          <a:extLst>
            <a:ext uri="{FF2B5EF4-FFF2-40B4-BE49-F238E27FC236}">
              <a16:creationId xmlns:a16="http://schemas.microsoft.com/office/drawing/2014/main" id="{00000000-0008-0000-1F00-000037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0</xdr:colOff>
      <xdr:row>82</xdr:row>
      <xdr:rowOff>180975</xdr:rowOff>
    </xdr:from>
    <xdr:to>
      <xdr:col>25</xdr:col>
      <xdr:colOff>194623</xdr:colOff>
      <xdr:row>84</xdr:row>
      <xdr:rowOff>67136</xdr:rowOff>
    </xdr:to>
    <xdr:grpSp>
      <xdr:nvGrpSpPr>
        <xdr:cNvPr id="6365021" name="5_class_legend">
          <a:extLst>
            <a:ext uri="{FF2B5EF4-FFF2-40B4-BE49-F238E27FC236}">
              <a16:creationId xmlns:a16="http://schemas.microsoft.com/office/drawing/2014/main" id="{00000000-0008-0000-1F00-00005D1F6100}"/>
            </a:ext>
          </a:extLst>
        </xdr:cNvPr>
        <xdr:cNvGrpSpPr/>
      </xdr:nvGrpSpPr>
      <xdr:grpSpPr>
        <a:xfrm>
          <a:off x="8028214" y="17777732"/>
          <a:ext cx="5953166" cy="256275"/>
          <a:chOff x="8421735" y="12319001"/>
          <a:chExt cx="5762672" cy="269876"/>
        </a:xfrm>
      </xdr:grpSpPr>
      <xdr:sp macro="" textlink="uxbGlobals!$B$173">
        <xdr:nvSpPr>
          <xdr:cNvPr id="6365022" name="txtLegendLabel5i">
            <a:extLst>
              <a:ext uri="{FF2B5EF4-FFF2-40B4-BE49-F238E27FC236}">
                <a16:creationId xmlns:a16="http://schemas.microsoft.com/office/drawing/2014/main" id="{00000000-0008-0000-1F00-00005E1F6100}"/>
              </a:ext>
            </a:extLst>
          </xdr:cNvPr>
          <xdr:cNvSpPr txBox="1"/>
        </xdr:nvSpPr>
        <xdr:spPr>
          <a:xfrm>
            <a:off x="8621372" y="12319002"/>
            <a:ext cx="959285"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pPr algn="l"/>
            <a:fld id="{EA56387A-8FE7-4BDA-A804-794FD2D8B094}" type="TxLink">
              <a:rPr lang="en-US" sz="800" b="0" i="0" u="none" strike="noStrike">
                <a:solidFill>
                  <a:sysClr val="windowText" lastClr="000000"/>
                </a:solidFill>
                <a:latin typeface="Calibri"/>
                <a:cs typeface="Calibri"/>
              </a:rPr>
              <a:pPr algn="l"/>
              <a:t>Score 80.0-100.0</a:t>
            </a:fld>
            <a:endParaRPr lang="en-GB" sz="800">
              <a:solidFill>
                <a:sysClr val="windowText" lastClr="000000"/>
              </a:solidFill>
            </a:endParaRPr>
          </a:p>
        </xdr:txBody>
      </xdr:sp>
      <xdr:sp macro="" textlink="uxbGlobals!$B$137">
        <xdr:nvSpPr>
          <xdr:cNvPr id="6365023" name="shpLegendGroup5h">
            <a:extLst>
              <a:ext uri="{FF2B5EF4-FFF2-40B4-BE49-F238E27FC236}">
                <a16:creationId xmlns:a16="http://schemas.microsoft.com/office/drawing/2014/main" id="{00000000-0008-0000-1F00-00005F1F6100}"/>
              </a:ext>
            </a:extLst>
          </xdr:cNvPr>
          <xdr:cNvSpPr>
            <a:spLocks noChangeAspect="1"/>
          </xdr:cNvSpPr>
        </xdr:nvSpPr>
        <xdr:spPr>
          <a:xfrm>
            <a:off x="8421735" y="12319001"/>
            <a:ext cx="190547" cy="269875"/>
          </a:xfrm>
          <a:prstGeom prst="rect">
            <a:avLst/>
          </a:prstGeom>
          <a:solidFill>
            <a:srgbClr xmlns:mc="http://schemas.openxmlformats.org/markup-compatibility/2006" xmlns:a14="http://schemas.microsoft.com/office/drawing/2010/main" val="1A9641" mc:Ignorable="a14" a14:legacySpreadsheetColorIndex="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ctr"/>
            <a:fld id="{C1547AC5-ED9B-4854-A6E3-98A6BC359FEE}" type="TxLink">
              <a:rPr lang="en-US" sz="900" b="0" i="0" u="none" strike="noStrike">
                <a:solidFill>
                  <a:srgbClr xmlns:mc="http://schemas.openxmlformats.org/markup-compatibility/2006" xmlns:a14="http://schemas.microsoft.com/office/drawing/2010/main" val="FFFFFF" mc:Ignorable="a14" a14:legacySpreadsheetColorIndex="54"/>
                </a:solidFill>
                <a:latin typeface="Calibri"/>
                <a:cs typeface="Calibri"/>
              </a:rPr>
              <a:pPr algn="ctr"/>
              <a:t> </a:t>
            </a:fld>
            <a:endParaRPr lang="en-GB" sz="900">
              <a:solidFill>
                <a:srgbClr xmlns:mc="http://schemas.openxmlformats.org/markup-compatibility/2006" xmlns:a14="http://schemas.microsoft.com/office/drawing/2010/main" val="FFFFFF" mc:Ignorable="a14" a14:legacySpreadsheetColorIndex="54"/>
              </a:solidFill>
            </a:endParaRPr>
          </a:p>
        </xdr:txBody>
      </xdr:sp>
      <xdr:sp macro="" textlink="uxbGlobals!$B$172">
        <xdr:nvSpPr>
          <xdr:cNvPr id="288" name="txtLegendLabel4i">
            <a:extLst>
              <a:ext uri="{FF2B5EF4-FFF2-40B4-BE49-F238E27FC236}">
                <a16:creationId xmlns:a16="http://schemas.microsoft.com/office/drawing/2014/main" id="{00000000-0008-0000-1F00-000020010000}"/>
              </a:ext>
            </a:extLst>
          </xdr:cNvPr>
          <xdr:cNvSpPr txBox="1"/>
        </xdr:nvSpPr>
        <xdr:spPr>
          <a:xfrm>
            <a:off x="9772310" y="12319002"/>
            <a:ext cx="959285"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pPr algn="l"/>
            <a:fld id="{329D097E-9736-44EE-B76E-B31BDA5CA800}" type="TxLink">
              <a:rPr lang="en-US" sz="800" b="0" i="0" u="none" strike="noStrike">
                <a:solidFill>
                  <a:sysClr val="windowText" lastClr="000000"/>
                </a:solidFill>
                <a:latin typeface="Calibri"/>
                <a:cs typeface="Calibri"/>
              </a:rPr>
              <a:pPr algn="l"/>
              <a:t>Score 60.0-79.9</a:t>
            </a:fld>
            <a:endParaRPr lang="en-GB" sz="800">
              <a:solidFill>
                <a:sysClr val="windowText" lastClr="000000"/>
              </a:solidFill>
            </a:endParaRPr>
          </a:p>
        </xdr:txBody>
      </xdr:sp>
      <xdr:sp macro="" textlink="uxbGlobals!$B$136">
        <xdr:nvSpPr>
          <xdr:cNvPr id="289" name="shpLegendGroup4h">
            <a:extLst>
              <a:ext uri="{FF2B5EF4-FFF2-40B4-BE49-F238E27FC236}">
                <a16:creationId xmlns:a16="http://schemas.microsoft.com/office/drawing/2014/main" id="{00000000-0008-0000-1F00-000021010000}"/>
              </a:ext>
            </a:extLst>
          </xdr:cNvPr>
          <xdr:cNvSpPr>
            <a:spLocks noChangeAspect="1"/>
          </xdr:cNvSpPr>
        </xdr:nvSpPr>
        <xdr:spPr>
          <a:xfrm>
            <a:off x="9572673" y="12319001"/>
            <a:ext cx="190547" cy="269875"/>
          </a:xfrm>
          <a:prstGeom prst="rect">
            <a:avLst/>
          </a:prstGeom>
          <a:solidFill>
            <a:srgbClr xmlns:mc="http://schemas.openxmlformats.org/markup-compatibility/2006" xmlns:a14="http://schemas.microsoft.com/office/drawing/2010/main" val="A6D96A" mc:Ignorable="a14" a14:legacySpreadsheetColorIndex="4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ctr"/>
            <a:fld id="{465A46BF-5830-4242-B700-D10A7C076CF4}" type="TxLink">
              <a:rPr lang="en-US" sz="900" b="0" i="0" u="none" strike="noStrike">
                <a:solidFill>
                  <a:srgbClr xmlns:mc="http://schemas.openxmlformats.org/markup-compatibility/2006" xmlns:a14="http://schemas.microsoft.com/office/drawing/2010/main" val="000000" mc:Ignorable="a14" a14:legacySpreadsheetColorIndex="53"/>
                </a:solidFill>
                <a:latin typeface="Calibri"/>
                <a:cs typeface="Calibri"/>
              </a:rPr>
              <a:pPr algn="ctr"/>
              <a:t> </a:t>
            </a:fld>
            <a:endParaRPr lang="en-GB" sz="900">
              <a:solidFill>
                <a:srgbClr xmlns:mc="http://schemas.openxmlformats.org/markup-compatibility/2006" xmlns:a14="http://schemas.microsoft.com/office/drawing/2010/main" val="000000" mc:Ignorable="a14" a14:legacySpreadsheetColorIndex="53"/>
              </a:solidFill>
            </a:endParaRPr>
          </a:p>
        </xdr:txBody>
      </xdr:sp>
      <xdr:sp macro="" textlink="uxbGlobals!$B$171">
        <xdr:nvSpPr>
          <xdr:cNvPr id="290" name="txtLegendLabel3i">
            <a:extLst>
              <a:ext uri="{FF2B5EF4-FFF2-40B4-BE49-F238E27FC236}">
                <a16:creationId xmlns:a16="http://schemas.microsoft.com/office/drawing/2014/main" id="{00000000-0008-0000-1F00-000022010000}"/>
              </a:ext>
            </a:extLst>
          </xdr:cNvPr>
          <xdr:cNvSpPr txBox="1"/>
        </xdr:nvSpPr>
        <xdr:spPr>
          <a:xfrm>
            <a:off x="10923247" y="12319002"/>
            <a:ext cx="959285"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pPr algn="l"/>
            <a:fld id="{F2EB9E62-18AD-4111-8C72-E75F0CBEC621}" type="TxLink">
              <a:rPr lang="en-US" sz="800" b="0" i="0" u="none" strike="noStrike">
                <a:solidFill>
                  <a:sysClr val="windowText" lastClr="000000"/>
                </a:solidFill>
                <a:latin typeface="Calibri"/>
                <a:cs typeface="Calibri"/>
              </a:rPr>
              <a:pPr algn="l"/>
              <a:t>Score 40.0-59.9</a:t>
            </a:fld>
            <a:endParaRPr lang="en-GB" sz="800">
              <a:solidFill>
                <a:sysClr val="windowText" lastClr="000000"/>
              </a:solidFill>
            </a:endParaRPr>
          </a:p>
        </xdr:txBody>
      </xdr:sp>
      <xdr:sp macro="" textlink="uxbGlobals!$B$135">
        <xdr:nvSpPr>
          <xdr:cNvPr id="291" name="shpLegendGroup3h">
            <a:extLst>
              <a:ext uri="{FF2B5EF4-FFF2-40B4-BE49-F238E27FC236}">
                <a16:creationId xmlns:a16="http://schemas.microsoft.com/office/drawing/2014/main" id="{00000000-0008-0000-1F00-000023010000}"/>
              </a:ext>
            </a:extLst>
          </xdr:cNvPr>
          <xdr:cNvSpPr>
            <a:spLocks noChangeAspect="1"/>
          </xdr:cNvSpPr>
        </xdr:nvSpPr>
        <xdr:spPr>
          <a:xfrm>
            <a:off x="10723610" y="12319001"/>
            <a:ext cx="190547" cy="269875"/>
          </a:xfrm>
          <a:prstGeom prst="rect">
            <a:avLst/>
          </a:prstGeom>
          <a:solidFill>
            <a:srgbClr xmlns:mc="http://schemas.openxmlformats.org/markup-compatibility/2006" xmlns:a14="http://schemas.microsoft.com/office/drawing/2010/main" val="FEE08B" mc:Ignorable="a14" a14:legacySpreadsheetColorIndex="4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ctr"/>
            <a:fld id="{0A3C7BA9-CF07-49B4-816F-55252D110F98}" type="TxLink">
              <a:rPr lang="en-US" sz="900" b="0" i="0" u="none" strike="noStrike">
                <a:solidFill>
                  <a:srgbClr xmlns:mc="http://schemas.openxmlformats.org/markup-compatibility/2006" xmlns:a14="http://schemas.microsoft.com/office/drawing/2010/main" val="000000" mc:Ignorable="a14" a14:legacySpreadsheetColorIndex="52"/>
                </a:solidFill>
                <a:latin typeface="Calibri"/>
                <a:cs typeface="Calibri"/>
              </a:rPr>
              <a:pPr algn="ctr"/>
              <a:t> </a:t>
            </a:fld>
            <a:endParaRPr lang="en-GB" sz="900">
              <a:solidFill>
                <a:srgbClr xmlns:mc="http://schemas.openxmlformats.org/markup-compatibility/2006" xmlns:a14="http://schemas.microsoft.com/office/drawing/2010/main" val="000000" mc:Ignorable="a14" a14:legacySpreadsheetColorIndex="52"/>
              </a:solidFill>
            </a:endParaRPr>
          </a:p>
        </xdr:txBody>
      </xdr:sp>
      <xdr:sp macro="" textlink="uxbGlobals!$B$170">
        <xdr:nvSpPr>
          <xdr:cNvPr id="292" name="txtLegendLabel2i">
            <a:extLst>
              <a:ext uri="{FF2B5EF4-FFF2-40B4-BE49-F238E27FC236}">
                <a16:creationId xmlns:a16="http://schemas.microsoft.com/office/drawing/2014/main" id="{00000000-0008-0000-1F00-000024010000}"/>
              </a:ext>
            </a:extLst>
          </xdr:cNvPr>
          <xdr:cNvSpPr txBox="1"/>
        </xdr:nvSpPr>
        <xdr:spPr>
          <a:xfrm>
            <a:off x="12074185" y="12319002"/>
            <a:ext cx="959285"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pPr algn="l"/>
            <a:fld id="{7E86BC02-B587-461A-8A38-25F8BBCBC6F7}" type="TxLink">
              <a:rPr lang="en-US" sz="800" b="0" i="0" u="none" strike="noStrike">
                <a:solidFill>
                  <a:sysClr val="windowText" lastClr="000000"/>
                </a:solidFill>
                <a:latin typeface="Calibri"/>
                <a:cs typeface="Calibri"/>
              </a:rPr>
              <a:pPr algn="l"/>
              <a:t>Score 20.0-39.9</a:t>
            </a:fld>
            <a:endParaRPr lang="en-GB" sz="800">
              <a:solidFill>
                <a:sysClr val="windowText" lastClr="000000"/>
              </a:solidFill>
            </a:endParaRPr>
          </a:p>
        </xdr:txBody>
      </xdr:sp>
      <xdr:sp macro="" textlink="uxbGlobals!$B$134">
        <xdr:nvSpPr>
          <xdr:cNvPr id="293" name="shpLegendGroup2h">
            <a:extLst>
              <a:ext uri="{FF2B5EF4-FFF2-40B4-BE49-F238E27FC236}">
                <a16:creationId xmlns:a16="http://schemas.microsoft.com/office/drawing/2014/main" id="{00000000-0008-0000-1F00-000025010000}"/>
              </a:ext>
            </a:extLst>
          </xdr:cNvPr>
          <xdr:cNvSpPr>
            <a:spLocks noChangeAspect="1"/>
          </xdr:cNvSpPr>
        </xdr:nvSpPr>
        <xdr:spPr>
          <a:xfrm>
            <a:off x="11874548" y="12319001"/>
            <a:ext cx="190547" cy="269875"/>
          </a:xfrm>
          <a:prstGeom prst="rect">
            <a:avLst/>
          </a:prstGeom>
          <a:solidFill>
            <a:srgbClr xmlns:mc="http://schemas.openxmlformats.org/markup-compatibility/2006" xmlns:a14="http://schemas.microsoft.com/office/drawing/2010/main" val="FDAE61" mc:Ignorable="a14" a14:legacySpreadsheetColorIndex="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ctr"/>
            <a:fld id="{D0B6E4F4-F304-4485-821F-C6C106E9A287}" type="TxLink">
              <a:rPr lang="en-US" sz="900" b="0" i="0" u="none" strike="noStrike">
                <a:solidFill>
                  <a:srgbClr xmlns:mc="http://schemas.openxmlformats.org/markup-compatibility/2006" xmlns:a14="http://schemas.microsoft.com/office/drawing/2010/main" val="000000" mc:Ignorable="a14" a14:legacySpreadsheetColorIndex="51"/>
                </a:solidFill>
                <a:latin typeface="Calibri"/>
                <a:cs typeface="Calibri"/>
              </a:rPr>
              <a:pPr algn="ctr"/>
              <a:t> </a:t>
            </a:fld>
            <a:endParaRPr lang="en-GB" sz="900">
              <a:solidFill>
                <a:srgbClr xmlns:mc="http://schemas.openxmlformats.org/markup-compatibility/2006" xmlns:a14="http://schemas.microsoft.com/office/drawing/2010/main" val="000000" mc:Ignorable="a14" a14:legacySpreadsheetColorIndex="51"/>
              </a:solidFill>
            </a:endParaRPr>
          </a:p>
        </xdr:txBody>
      </xdr:sp>
      <xdr:sp macro="" textlink="uxbGlobals!$B$169">
        <xdr:nvSpPr>
          <xdr:cNvPr id="294" name="txtLegendLabel1i">
            <a:extLst>
              <a:ext uri="{FF2B5EF4-FFF2-40B4-BE49-F238E27FC236}">
                <a16:creationId xmlns:a16="http://schemas.microsoft.com/office/drawing/2014/main" id="{00000000-0008-0000-1F00-000026010000}"/>
              </a:ext>
            </a:extLst>
          </xdr:cNvPr>
          <xdr:cNvSpPr txBox="1"/>
        </xdr:nvSpPr>
        <xdr:spPr>
          <a:xfrm>
            <a:off x="13225122" y="12319002"/>
            <a:ext cx="959285"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pPr algn="l"/>
            <a:fld id="{662338A8-8BA2-4435-8F8C-D9BA1EE24855}" type="TxLink">
              <a:rPr lang="en-US" sz="800" b="0" i="0" u="none" strike="noStrike">
                <a:solidFill>
                  <a:sysClr val="windowText" lastClr="000000"/>
                </a:solidFill>
                <a:latin typeface="Calibri"/>
                <a:cs typeface="Calibri"/>
              </a:rPr>
              <a:pPr algn="l"/>
              <a:t>Score 0-19.9</a:t>
            </a:fld>
            <a:endParaRPr lang="en-GB" sz="800">
              <a:solidFill>
                <a:sysClr val="windowText" lastClr="000000"/>
              </a:solidFill>
            </a:endParaRPr>
          </a:p>
        </xdr:txBody>
      </xdr:sp>
      <xdr:sp macro="" textlink="uxbGlobals!$B$133">
        <xdr:nvSpPr>
          <xdr:cNvPr id="295" name="shpLegendGroup1h">
            <a:extLst>
              <a:ext uri="{FF2B5EF4-FFF2-40B4-BE49-F238E27FC236}">
                <a16:creationId xmlns:a16="http://schemas.microsoft.com/office/drawing/2014/main" id="{00000000-0008-0000-1F00-000027010000}"/>
              </a:ext>
            </a:extLst>
          </xdr:cNvPr>
          <xdr:cNvSpPr>
            <a:spLocks noChangeAspect="1"/>
          </xdr:cNvSpPr>
        </xdr:nvSpPr>
        <xdr:spPr>
          <a:xfrm>
            <a:off x="13025485" y="12319001"/>
            <a:ext cx="190547" cy="269875"/>
          </a:xfrm>
          <a:prstGeom prst="rect">
            <a:avLst/>
          </a:prstGeom>
          <a:solidFill>
            <a:srgbClr xmlns:mc="http://schemas.openxmlformats.org/markup-compatibility/2006" xmlns:a14="http://schemas.microsoft.com/office/drawing/2010/main" val="D7191C" mc:Ignorable="a14" a14:legacySpreadsheetColorIndex="4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ctr"/>
            <a:fld id="{99034E38-2ABA-474A-93A9-46137EAF5812}" type="TxLink">
              <a:rPr lang="en-US" sz="900" b="0" i="0" u="none" strike="noStrike">
                <a:solidFill>
                  <a:srgbClr xmlns:mc="http://schemas.openxmlformats.org/markup-compatibility/2006" xmlns:a14="http://schemas.microsoft.com/office/drawing/2010/main" val="FFFFFF" mc:Ignorable="a14" a14:legacySpreadsheetColorIndex="50"/>
                </a:solidFill>
                <a:latin typeface="Calibri"/>
                <a:cs typeface="Calibri"/>
              </a:rPr>
              <a:pPr algn="ctr"/>
              <a:t> </a:t>
            </a:fld>
            <a:endParaRPr lang="en-GB" sz="900">
              <a:solidFill>
                <a:srgbClr xmlns:mc="http://schemas.openxmlformats.org/markup-compatibility/2006" xmlns:a14="http://schemas.microsoft.com/office/drawing/2010/main" val="FFFFFF" mc:Ignorable="a14" a14:legacySpreadsheetColorIndex="50"/>
              </a:solidFill>
            </a:endParaRPr>
          </a:p>
        </xdr:txBody>
      </xdr:sp>
    </xdr:grpSp>
    <xdr:clientData/>
  </xdr:twoCellAnchor>
  <xdr:twoCellAnchor editAs="absolute">
    <xdr:from>
      <xdr:col>0</xdr:col>
      <xdr:colOff>0</xdr:colOff>
      <xdr:row>3</xdr:row>
      <xdr:rowOff>533397</xdr:rowOff>
    </xdr:from>
    <xdr:to>
      <xdr:col>22</xdr:col>
      <xdr:colOff>740229</xdr:colOff>
      <xdr:row>4</xdr:row>
      <xdr:rowOff>304797</xdr:rowOff>
    </xdr:to>
    <xdr:sp macro="[0]!k" textlink="">
      <xdr:nvSpPr>
        <xdr:cNvPr id="53" name="ui_txt_infobar" hidden="1">
          <a:extLst>
            <a:ext uri="{FF2B5EF4-FFF2-40B4-BE49-F238E27FC236}">
              <a16:creationId xmlns:a16="http://schemas.microsoft.com/office/drawing/2014/main" id="{00000000-0008-0000-1F00-000035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000"/>
        </a:p>
      </xdr:txBody>
    </xdr:sp>
    <xdr:clientData fPrintsWithSheet="0"/>
  </xdr:twoCellAnchor>
  <xdr:twoCellAnchor editAs="absolute">
    <xdr:from>
      <xdr:col>0</xdr:col>
      <xdr:colOff>0</xdr:colOff>
      <xdr:row>0</xdr:row>
      <xdr:rowOff>0</xdr:rowOff>
    </xdr:from>
    <xdr:to>
      <xdr:col>22</xdr:col>
      <xdr:colOff>740229</xdr:colOff>
      <xdr:row>2</xdr:row>
      <xdr:rowOff>0</xdr:rowOff>
    </xdr:to>
    <xdr:sp macro="[0]!k" textlink="">
      <xdr:nvSpPr>
        <xdr:cNvPr id="6" name="ui_cmd_leave_zen_mode" hidden="1">
          <a:extLst>
            <a:ext uri="{FF2B5EF4-FFF2-40B4-BE49-F238E27FC236}">
              <a16:creationId xmlns:a16="http://schemas.microsoft.com/office/drawing/2014/main" id="{00000000-0008-0000-1F00-000006000000}"/>
            </a:ext>
          </a:extLst>
        </xdr:cNvPr>
        <xdr:cNvSpPr txBox="1"/>
      </xdr:nvSpPr>
      <xdr:spPr>
        <a:xfrm>
          <a:off x="0" y="0"/>
          <a:ext cx="11887200" cy="304800"/>
        </a:xfrm>
        <a:prstGeom prst="rect">
          <a:avLst/>
        </a:prstGeom>
        <a:solidFill>
          <a:schemeClr val="l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GB" sz="1100" b="1">
              <a:solidFill>
                <a:schemeClr val="bg1">
                  <a:lumMod val="65000"/>
                </a:schemeClr>
              </a:solidFill>
            </a:rPr>
            <a:t>ZEN MODE.  NAVIGATION IS HIDDEN TO MAXIMISE VISIBLE</a:t>
          </a:r>
          <a:r>
            <a:rPr lang="en-GB" sz="1100" b="1" baseline="0">
              <a:solidFill>
                <a:schemeClr val="bg1">
                  <a:lumMod val="65000"/>
                </a:schemeClr>
              </a:solidFill>
            </a:rPr>
            <a:t> CONTENT. </a:t>
          </a:r>
          <a:r>
            <a:rPr lang="en-GB" sz="1100" b="1">
              <a:solidFill>
                <a:schemeClr val="bg1">
                  <a:lumMod val="65000"/>
                </a:schemeClr>
              </a:solidFill>
            </a:rPr>
            <a:t>  </a:t>
          </a:r>
          <a:r>
            <a:rPr lang="en-GB" sz="1100" b="1" u="sng">
              <a:solidFill>
                <a:srgbClr val="0070C0"/>
              </a:solidFill>
            </a:rPr>
            <a:t>CLICK HERE</a:t>
          </a:r>
          <a:r>
            <a:rPr lang="en-GB" sz="1100" b="1" baseline="0">
              <a:solidFill>
                <a:srgbClr val="0070C0"/>
              </a:solidFill>
            </a:rPr>
            <a:t> </a:t>
          </a:r>
          <a:r>
            <a:rPr lang="en-GB" sz="1100" b="1">
              <a:solidFill>
                <a:schemeClr val="bg1">
                  <a:lumMod val="65000"/>
                </a:schemeClr>
              </a:solidFill>
            </a:rPr>
            <a:t>TO RESTORE NAVIGATION</a:t>
          </a:r>
        </a:p>
      </xdr:txBody>
    </xdr:sp>
    <xdr:clientData fPrintsWithSheet="0"/>
  </xdr:twoCellAnchor>
  <xdr:twoCellAnchor editAs="absolute">
    <xdr:from>
      <xdr:col>0</xdr:col>
      <xdr:colOff>0</xdr:colOff>
      <xdr:row>3</xdr:row>
      <xdr:rowOff>533397</xdr:rowOff>
    </xdr:from>
    <xdr:to>
      <xdr:col>22</xdr:col>
      <xdr:colOff>740229</xdr:colOff>
      <xdr:row>4</xdr:row>
      <xdr:rowOff>304797</xdr:rowOff>
    </xdr:to>
    <xdr:sp macro="[0]!k" textlink="">
      <xdr:nvSpPr>
        <xdr:cNvPr id="54" name="ui_cmd_warningbar" hidden="1">
          <a:extLst>
            <a:ext uri="{FF2B5EF4-FFF2-40B4-BE49-F238E27FC236}">
              <a16:creationId xmlns:a16="http://schemas.microsoft.com/office/drawing/2014/main" id="{00000000-0008-0000-1F00-000036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000"/>
        </a:p>
      </xdr:txBody>
    </xdr:sp>
    <xdr:clientData fPrintsWithSheet="0"/>
  </xdr:twoCellAnchor>
  <xdr:twoCellAnchor editAs="absolute">
    <xdr:from>
      <xdr:col>0</xdr:col>
      <xdr:colOff>0</xdr:colOff>
      <xdr:row>3</xdr:row>
      <xdr:rowOff>533397</xdr:rowOff>
    </xdr:from>
    <xdr:to>
      <xdr:col>22</xdr:col>
      <xdr:colOff>740229</xdr:colOff>
      <xdr:row>4</xdr:row>
      <xdr:rowOff>304797</xdr:rowOff>
    </xdr:to>
    <xdr:sp macro="[0]!k" textlink="">
      <xdr:nvSpPr>
        <xdr:cNvPr id="55" name="ui_cmd_globalwarninginfobar" hidden="1">
          <a:extLst>
            <a:ext uri="{FF2B5EF4-FFF2-40B4-BE49-F238E27FC236}">
              <a16:creationId xmlns:a16="http://schemas.microsoft.com/office/drawing/2014/main" id="{00000000-0008-0000-1F00-000037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a:t>A</a:t>
          </a:r>
          <a:r>
            <a:rPr lang="en-GB" sz="1000" baseline="0"/>
            <a:t> custom weight profile is selected.  Scores and ranks may be different from official publication.  </a:t>
          </a:r>
          <a:r>
            <a:rPr lang="en-GB" sz="1000" b="1" u="sng" baseline="0">
              <a:solidFill>
                <a:srgbClr val="0070C0"/>
              </a:solidFill>
            </a:rPr>
            <a:t>RESTORE DEFAULT WEIGHT PROFILE</a:t>
          </a:r>
          <a:endParaRPr lang="en-GB" sz="1000" b="1" u="sng">
            <a:solidFill>
              <a:srgbClr val="0070C0"/>
            </a:solidFill>
          </a:endParaRPr>
        </a:p>
      </xdr:txBody>
    </xdr:sp>
    <xdr:clientData fPrintsWithSheet="0"/>
  </xdr:twoCellAnchor>
  <xdr:twoCellAnchor editAs="absolute">
    <xdr:from>
      <xdr:col>0</xdr:col>
      <xdr:colOff>0</xdr:colOff>
      <xdr:row>0</xdr:row>
      <xdr:rowOff>0</xdr:rowOff>
    </xdr:from>
    <xdr:to>
      <xdr:col>22</xdr:col>
      <xdr:colOff>740231</xdr:colOff>
      <xdr:row>3</xdr:row>
      <xdr:rowOff>533397</xdr:rowOff>
    </xdr:to>
    <xdr:grpSp>
      <xdr:nvGrpSpPr>
        <xdr:cNvPr id="6364041" name="ui_all">
          <a:extLst>
            <a:ext uri="{FF2B5EF4-FFF2-40B4-BE49-F238E27FC236}">
              <a16:creationId xmlns:a16="http://schemas.microsoft.com/office/drawing/2014/main" id="{00000000-0008-0000-1F00-0000891B6100}"/>
            </a:ext>
          </a:extLst>
        </xdr:cNvPr>
        <xdr:cNvGrpSpPr/>
      </xdr:nvGrpSpPr>
      <xdr:grpSpPr>
        <a:xfrm>
          <a:off x="0" y="0"/>
          <a:ext cx="11887202" cy="1164768"/>
          <a:chOff x="0" y="304800"/>
          <a:chExt cx="11887202" cy="1164768"/>
        </a:xfrm>
      </xdr:grpSpPr>
      <xdr:sp macro="" textlink="">
        <xdr:nvSpPr>
          <xdr:cNvPr id="52" name="ui_dropdown_controls_bg">
            <a:extLst>
              <a:ext uri="{FF2B5EF4-FFF2-40B4-BE49-F238E27FC236}">
                <a16:creationId xmlns:a16="http://schemas.microsoft.com/office/drawing/2014/main" id="{00000000-0008-0000-1F00-000034000000}"/>
              </a:ext>
            </a:extLst>
          </xdr:cNvPr>
          <xdr:cNvSpPr/>
        </xdr:nvSpPr>
        <xdr:spPr>
          <a:xfrm>
            <a:off x="0" y="936168"/>
            <a:ext cx="11887200" cy="533400"/>
          </a:xfrm>
          <a:prstGeom prst="rect">
            <a:avLst/>
          </a:prstGeom>
          <a:solidFill>
            <a:srgbClr xmlns:mc="http://schemas.openxmlformats.org/markup-compatibility/2006" xmlns:a14="http://schemas.microsoft.com/office/drawing/2010/main" val="F2F2F2" mc:Ignorable="a14" a14:legacySpreadsheetColorIndex="17"/>
          </a:solidFill>
          <a:ln w="9525" cap="flat" cmpd="sng" algn="ctr">
            <a:noFill/>
            <a:prstDash val="solid"/>
          </a:ln>
          <a:effectLst/>
          <a:extLst>
            <a:ext uri="{91240B29-F687-4F45-9708-019B960494DF}">
              <a14:hiddenLine xmlns:a14="http://schemas.microsoft.com/office/drawing/2010/main" w="9525" cap="flat" cmpd="sng" algn="ctr">
                <a:solidFill>
                  <a:srgbClr xmlns:mc="http://schemas.openxmlformats.org/markup-compatibility/2006" val="D8D8D8" mc:Ignorable="a14" a14:legacySpreadsheetColorIndex="18"/>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40" name="ui_page_second_bg">
            <a:extLst>
              <a:ext uri="{FF2B5EF4-FFF2-40B4-BE49-F238E27FC236}">
                <a16:creationId xmlns:a16="http://schemas.microsoft.com/office/drawing/2014/main" id="{00000000-0008-0000-1F00-000028000000}"/>
              </a:ext>
            </a:extLst>
          </xdr:cNvPr>
          <xdr:cNvSpPr/>
        </xdr:nvSpPr>
        <xdr:spPr>
          <a:xfrm>
            <a:off x="11709400" y="609600"/>
            <a:ext cx="177800" cy="326568"/>
          </a:xfrm>
          <a:prstGeom prst="rect">
            <a:avLst/>
          </a:prstGeom>
          <a:solidFill>
            <a:srgbClr xmlns:mc="http://schemas.openxmlformats.org/markup-compatibility/2006" xmlns:a14="http://schemas.microsoft.com/office/drawing/2010/main" val="E3E3E3" mc:Ignorable="a14" a14:legacySpreadsheetColorIndex="13"/>
          </a:solidFill>
          <a:ln w="19050" cap="flat" cmpd="sng" algn="ctr">
            <a:noFill/>
            <a:prstDash val="solid"/>
          </a:ln>
          <a:effectLst/>
          <a:extLst>
            <a:ext uri="{91240B29-F687-4F45-9708-019B960494DF}">
              <a14:hiddenLine xmlns:a14="http://schemas.microsoft.com/office/drawing/2010/main" w="19050" cap="flat" cmpd="sng" algn="ctr">
                <a:solidFill>
                  <a:srgbClr xmlns:mc="http://schemas.openxmlformats.org/markup-compatibility/2006" val="D2D2D2" mc:Ignorable="a14" a14:legacySpreadsheetColorIndex="14"/>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39" name="ui_page_bg">
            <a:extLst>
              <a:ext uri="{FF2B5EF4-FFF2-40B4-BE49-F238E27FC236}">
                <a16:creationId xmlns:a16="http://schemas.microsoft.com/office/drawing/2014/main" id="{00000000-0008-0000-1F00-000027000000}"/>
              </a:ext>
            </a:extLst>
          </xdr:cNvPr>
          <xdr:cNvSpPr/>
        </xdr:nvSpPr>
        <xdr:spPr>
          <a:xfrm>
            <a:off x="0" y="609600"/>
            <a:ext cx="11709400" cy="326568"/>
          </a:xfrm>
          <a:prstGeom prst="rect">
            <a:avLst/>
          </a:prstGeom>
          <a:solidFill>
            <a:srgbClr xmlns:mc="http://schemas.openxmlformats.org/markup-compatibility/2006" xmlns:a14="http://schemas.microsoft.com/office/drawing/2010/main" val="E3E3E3" mc:Ignorable="a14" a14:legacySpreadsheetColorIndex="13"/>
          </a:solidFill>
          <a:ln w="19050" cap="flat" cmpd="sng" algn="ctr">
            <a:noFill/>
            <a:prstDash val="solid"/>
          </a:ln>
          <a:effectLst/>
          <a:extLst>
            <a:ext uri="{91240B29-F687-4F45-9708-019B960494DF}">
              <a14:hiddenLine xmlns:a14="http://schemas.microsoft.com/office/drawing/2010/main" w="19050" cap="flat" cmpd="sng" algn="ctr">
                <a:solidFill>
                  <a:srgbClr xmlns:mc="http://schemas.openxmlformats.org/markup-compatibility/2006" val="D2D2D2" mc:Ignorable="a14" a14:legacySpreadsheetColorIndex="14"/>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10" name="ui_bg_home_back_forward">
            <a:extLst>
              <a:ext uri="{FF2B5EF4-FFF2-40B4-BE49-F238E27FC236}">
                <a16:creationId xmlns:a16="http://schemas.microsoft.com/office/drawing/2014/main" id="{00000000-0008-0000-1F00-00000A000000}"/>
              </a:ext>
            </a:extLst>
          </xdr:cNvPr>
          <xdr:cNvSpPr txBox="1"/>
        </xdr:nvSpPr>
        <xdr:spPr>
          <a:xfrm>
            <a:off x="0" y="304800"/>
            <a:ext cx="671424" cy="304800"/>
          </a:xfrm>
          <a:prstGeom prst="rect">
            <a:avLst/>
          </a:prstGeom>
          <a:solidFill>
            <a:srgbClr xmlns:mc="http://schemas.openxmlformats.org/markup-compatibility/2006" xmlns:a14="http://schemas.microsoft.com/office/drawing/2010/main" val="808080" mc:Ignorable="a14" a14:legacySpreadsheetColorIndex="1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endParaRPr lang="en-GB" sz="1100" b="0"/>
          </a:p>
        </xdr:txBody>
      </xdr:sp>
      <xdr:pic macro="[0]!k">
        <xdr:nvPicPr>
          <xdr:cNvPr id="7" name="ui_nav_home" descr="home-white-xxl.png">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2" cstate="print"/>
          <a:stretch>
            <a:fillRect/>
          </a:stretch>
        </xdr:blipFill>
        <xdr:spPr>
          <a:xfrm>
            <a:off x="25400" y="393700"/>
            <a:ext cx="168776"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pic macro="[0]!k">
        <xdr:nvPicPr>
          <xdr:cNvPr id="8" name="ui_nav_back" descr="arrow-left-white-xxl.png">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3" cstate="print"/>
          <a:stretch>
            <a:fillRect/>
          </a:stretch>
        </xdr:blipFill>
        <xdr:spPr>
          <a:xfrm>
            <a:off x="257670" y="393700"/>
            <a:ext cx="168776"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pic macro="[0]!k">
        <xdr:nvPicPr>
          <xdr:cNvPr id="9" name="ui_nav_forward" descr="arrow-right-white-xxl.png" hidden="1">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4" cstate="print"/>
          <a:stretch>
            <a:fillRect/>
          </a:stretch>
        </xdr:blipFill>
        <xdr:spPr>
          <a:xfrm>
            <a:off x="451853" y="393700"/>
            <a:ext cx="168776"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sp macro="[0]!k" textlink="">
        <xdr:nvSpPr>
          <xdr:cNvPr id="11" name="ui_nav_sec_1">
            <a:extLst>
              <a:ext uri="{FF2B5EF4-FFF2-40B4-BE49-F238E27FC236}">
                <a16:creationId xmlns:a16="http://schemas.microsoft.com/office/drawing/2014/main" id="{00000000-0008-0000-1F00-00000B000000}"/>
              </a:ext>
            </a:extLst>
          </xdr:cNvPr>
          <xdr:cNvSpPr txBox="1"/>
        </xdr:nvSpPr>
        <xdr:spPr>
          <a:xfrm>
            <a:off x="747624" y="304800"/>
            <a:ext cx="926262" cy="304800"/>
          </a:xfrm>
          <a:prstGeom prst="rect">
            <a:avLst/>
          </a:prstGeom>
          <a:solidFill>
            <a:srgbClr xmlns:mc="http://schemas.openxmlformats.org/markup-compatibility/2006" xmlns:a14="http://schemas.microsoft.com/office/drawing/2010/main" val="E3E3E3" mc:Ignorable="a14" a14:legacySpreadsheetColorIndex="13"/>
          </a:solidFill>
          <a:ln w="19050" cmpd="sng">
            <a:solidFill>
              <a:srgbClr xmlns:mc="http://schemas.openxmlformats.org/markup-compatibility/2006" xmlns:a14="http://schemas.microsoft.com/office/drawing/2010/main" val="D2D2D2" mc:Ignorable="a14" a14:legacySpreadsheetColorIndex="14"/>
            </a:solidFill>
          </a:ln>
        </xdr:spPr>
        <xdr:style>
          <a:lnRef idx="0">
            <a:scrgbClr r="0" g="0" b="0"/>
          </a:lnRef>
          <a:fillRef idx="0">
            <a:scrgbClr r="0" g="0" b="0"/>
          </a:fillRef>
          <a:effectRef idx="0">
            <a:scrgbClr r="0" g="0" b="0"/>
          </a:effectRef>
          <a:fontRef idx="minor">
            <a:schemeClr val="dk1"/>
          </a:fontRef>
        </xdr:style>
        <xdr:txBody>
          <a:bodyPr vertOverflow="clip" wrap="square" lIns="0" rIns="0" bIns="72000" rtlCol="0" anchor="ctr" anchorCtr="0"/>
          <a:lstStyle/>
          <a:p>
            <a:pPr algn="ctr"/>
            <a:r>
              <a:rPr lang="en-GB" sz="900" b="1">
                <a:solidFill>
                  <a:srgbClr xmlns:mc="http://schemas.openxmlformats.org/markup-compatibility/2006" xmlns:a14="http://schemas.microsoft.com/office/drawing/2010/main" val="005E9E" mc:Ignorable="a14" a14:legacySpreadsheetColorIndex="15"/>
                </a:solidFill>
              </a:rPr>
              <a:t>CITY HEARTBEAT</a:t>
            </a:r>
          </a:p>
        </xdr:txBody>
      </xdr:sp>
      <xdr:cxnSp macro="">
        <xdr:nvCxnSpPr>
          <xdr:cNvPr id="12" name="ui_line_sec_active">
            <a:extLst>
              <a:ext uri="{FF2B5EF4-FFF2-40B4-BE49-F238E27FC236}">
                <a16:creationId xmlns:a16="http://schemas.microsoft.com/office/drawing/2014/main" id="{00000000-0008-0000-1F00-00000C000000}"/>
              </a:ext>
            </a:extLst>
          </xdr:cNvPr>
          <xdr:cNvCxnSpPr/>
        </xdr:nvCxnSpPr>
        <xdr:spPr>
          <a:xfrm>
            <a:off x="747624" y="609600"/>
            <a:ext cx="926262" cy="0"/>
          </a:xfrm>
          <a:prstGeom prst="line">
            <a:avLst/>
          </a:prstGeom>
          <a:ln w="28575">
            <a:solidFill>
              <a:srgbClr xmlns:mc="http://schemas.openxmlformats.org/markup-compatibility/2006" xmlns:a14="http://schemas.microsoft.com/office/drawing/2010/main" val="E3E3E3" mc:Ignorable="a14" a14:legacySpreadsheetColorIndex="13"/>
            </a:solidFill>
          </a:ln>
        </xdr:spPr>
        <xdr:style>
          <a:lnRef idx="1">
            <a:schemeClr val="accent1"/>
          </a:lnRef>
          <a:fillRef idx="0">
            <a:schemeClr val="accent1"/>
          </a:fillRef>
          <a:effectRef idx="0">
            <a:schemeClr val="accent1"/>
          </a:effectRef>
          <a:fontRef idx="minor">
            <a:schemeClr val="tx1"/>
          </a:fontRef>
        </xdr:style>
      </xdr:cxnSp>
      <xdr:sp macro="" textlink="">
        <xdr:nvSpPr>
          <xdr:cNvPr id="13" name="ui_line_sec_divider1">
            <a:extLst>
              <a:ext uri="{FF2B5EF4-FFF2-40B4-BE49-F238E27FC236}">
                <a16:creationId xmlns:a16="http://schemas.microsoft.com/office/drawing/2014/main" id="{00000000-0008-0000-1F00-00000D000000}"/>
              </a:ext>
            </a:extLst>
          </xdr:cNvPr>
          <xdr:cNvSpPr txBox="1"/>
        </xdr:nvSpPr>
        <xdr:spPr>
          <a:xfrm>
            <a:off x="1673885" y="304800"/>
            <a:ext cx="1778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9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16" name="ui_nav_page_1_0">
            <a:extLst>
              <a:ext uri="{FF2B5EF4-FFF2-40B4-BE49-F238E27FC236}">
                <a16:creationId xmlns:a16="http://schemas.microsoft.com/office/drawing/2014/main" id="{00000000-0008-0000-1F00-000010000000}"/>
              </a:ext>
            </a:extLst>
          </xdr:cNvPr>
          <xdr:cNvSpPr txBox="1"/>
        </xdr:nvSpPr>
        <xdr:spPr>
          <a:xfrm>
            <a:off x="794372" y="622300"/>
            <a:ext cx="715785"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OVERVIEW</a:t>
            </a:r>
          </a:p>
        </xdr:txBody>
      </xdr:sp>
      <xdr:sp macro="" textlink="">
        <xdr:nvSpPr>
          <xdr:cNvPr id="17" name="ui_line_page_divider1">
            <a:extLst>
              <a:ext uri="{FF2B5EF4-FFF2-40B4-BE49-F238E27FC236}">
                <a16:creationId xmlns:a16="http://schemas.microsoft.com/office/drawing/2014/main" id="{00000000-0008-0000-1F00-000011000000}"/>
              </a:ext>
            </a:extLst>
          </xdr:cNvPr>
          <xdr:cNvSpPr txBox="1"/>
        </xdr:nvSpPr>
        <xdr:spPr>
          <a:xfrm>
            <a:off x="151015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18" name="ui_nav_page_1_1">
            <a:extLst>
              <a:ext uri="{FF2B5EF4-FFF2-40B4-BE49-F238E27FC236}">
                <a16:creationId xmlns:a16="http://schemas.microsoft.com/office/drawing/2014/main" id="{00000000-0008-0000-1F00-000012000000}"/>
              </a:ext>
            </a:extLst>
          </xdr:cNvPr>
          <xdr:cNvSpPr txBox="1"/>
        </xdr:nvSpPr>
        <xdr:spPr>
          <a:xfrm>
            <a:off x="1687957" y="622300"/>
            <a:ext cx="68728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RANKINGS</a:t>
            </a:r>
          </a:p>
        </xdr:txBody>
      </xdr:sp>
      <xdr:sp macro="" textlink="">
        <xdr:nvSpPr>
          <xdr:cNvPr id="19" name="ui_line_page_divider2">
            <a:extLst>
              <a:ext uri="{FF2B5EF4-FFF2-40B4-BE49-F238E27FC236}">
                <a16:creationId xmlns:a16="http://schemas.microsoft.com/office/drawing/2014/main" id="{00000000-0008-0000-1F00-000013000000}"/>
              </a:ext>
            </a:extLst>
          </xdr:cNvPr>
          <xdr:cNvSpPr txBox="1"/>
        </xdr:nvSpPr>
        <xdr:spPr>
          <a:xfrm>
            <a:off x="2375243"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0" name="ui_nav_page_1_2">
            <a:extLst>
              <a:ext uri="{FF2B5EF4-FFF2-40B4-BE49-F238E27FC236}">
                <a16:creationId xmlns:a16="http://schemas.microsoft.com/office/drawing/2014/main" id="{00000000-0008-0000-1F00-000014000000}"/>
              </a:ext>
            </a:extLst>
          </xdr:cNvPr>
          <xdr:cNvSpPr txBox="1"/>
        </xdr:nvSpPr>
        <xdr:spPr>
          <a:xfrm>
            <a:off x="2553043" y="622300"/>
            <a:ext cx="995591"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SNAPSHOTS</a:t>
            </a:r>
          </a:p>
        </xdr:txBody>
      </xdr:sp>
      <xdr:sp macro="" textlink="">
        <xdr:nvSpPr>
          <xdr:cNvPr id="21" name="ui_line_page_divider3">
            <a:extLst>
              <a:ext uri="{FF2B5EF4-FFF2-40B4-BE49-F238E27FC236}">
                <a16:creationId xmlns:a16="http://schemas.microsoft.com/office/drawing/2014/main" id="{00000000-0008-0000-1F00-000015000000}"/>
              </a:ext>
            </a:extLst>
          </xdr:cNvPr>
          <xdr:cNvSpPr txBox="1"/>
        </xdr:nvSpPr>
        <xdr:spPr>
          <a:xfrm>
            <a:off x="3548634"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2" name="ui_nav_page_1_3">
            <a:extLst>
              <a:ext uri="{FF2B5EF4-FFF2-40B4-BE49-F238E27FC236}">
                <a16:creationId xmlns:a16="http://schemas.microsoft.com/office/drawing/2014/main" id="{00000000-0008-0000-1F00-000016000000}"/>
              </a:ext>
            </a:extLst>
          </xdr:cNvPr>
          <xdr:cNvSpPr txBox="1"/>
        </xdr:nvSpPr>
        <xdr:spPr>
          <a:xfrm>
            <a:off x="3726434" y="622300"/>
            <a:ext cx="864108"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PROFILES</a:t>
            </a:r>
          </a:p>
        </xdr:txBody>
      </xdr:sp>
      <xdr:sp macro="" textlink="">
        <xdr:nvSpPr>
          <xdr:cNvPr id="23" name="ui_line_page_divider4">
            <a:extLst>
              <a:ext uri="{FF2B5EF4-FFF2-40B4-BE49-F238E27FC236}">
                <a16:creationId xmlns:a16="http://schemas.microsoft.com/office/drawing/2014/main" id="{00000000-0008-0000-1F00-000017000000}"/>
              </a:ext>
            </a:extLst>
          </xdr:cNvPr>
          <xdr:cNvSpPr txBox="1"/>
        </xdr:nvSpPr>
        <xdr:spPr>
          <a:xfrm>
            <a:off x="4590542"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4" name="ui_nav_page_1_4">
            <a:extLst>
              <a:ext uri="{FF2B5EF4-FFF2-40B4-BE49-F238E27FC236}">
                <a16:creationId xmlns:a16="http://schemas.microsoft.com/office/drawing/2014/main" id="{00000000-0008-0000-1F00-000018000000}"/>
              </a:ext>
            </a:extLst>
          </xdr:cNvPr>
          <xdr:cNvSpPr txBox="1"/>
        </xdr:nvSpPr>
        <xdr:spPr>
          <a:xfrm>
            <a:off x="4768342" y="622300"/>
            <a:ext cx="755942"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DETAIL</a:t>
            </a:r>
          </a:p>
        </xdr:txBody>
      </xdr:sp>
      <xdr:sp macro="" textlink="">
        <xdr:nvSpPr>
          <xdr:cNvPr id="25" name="ui_line_page_divider5">
            <a:extLst>
              <a:ext uri="{FF2B5EF4-FFF2-40B4-BE49-F238E27FC236}">
                <a16:creationId xmlns:a16="http://schemas.microsoft.com/office/drawing/2014/main" id="{00000000-0008-0000-1F00-000019000000}"/>
              </a:ext>
            </a:extLst>
          </xdr:cNvPr>
          <xdr:cNvSpPr txBox="1"/>
        </xdr:nvSpPr>
        <xdr:spPr>
          <a:xfrm>
            <a:off x="5524284"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6" name="ui_nav_page_1_5">
            <a:extLst>
              <a:ext uri="{FF2B5EF4-FFF2-40B4-BE49-F238E27FC236}">
                <a16:creationId xmlns:a16="http://schemas.microsoft.com/office/drawing/2014/main" id="{00000000-0008-0000-1F00-00001A000000}"/>
              </a:ext>
            </a:extLst>
          </xdr:cNvPr>
          <xdr:cNvSpPr txBox="1"/>
        </xdr:nvSpPr>
        <xdr:spPr>
          <a:xfrm>
            <a:off x="5702084" y="622300"/>
            <a:ext cx="995591"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COMPARE CITIES</a:t>
            </a:r>
          </a:p>
        </xdr:txBody>
      </xdr:sp>
      <xdr:sp macro="" textlink="">
        <xdr:nvSpPr>
          <xdr:cNvPr id="27" name="ui_line_page_divider6">
            <a:extLst>
              <a:ext uri="{FF2B5EF4-FFF2-40B4-BE49-F238E27FC236}">
                <a16:creationId xmlns:a16="http://schemas.microsoft.com/office/drawing/2014/main" id="{00000000-0008-0000-1F00-00001B000000}"/>
              </a:ext>
            </a:extLst>
          </xdr:cNvPr>
          <xdr:cNvSpPr txBox="1"/>
        </xdr:nvSpPr>
        <xdr:spPr>
          <a:xfrm>
            <a:off x="6697675"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 textlink="">
        <xdr:nvSpPr>
          <xdr:cNvPr id="30" name="ui_line_page_divider7">
            <a:extLst>
              <a:ext uri="{FF2B5EF4-FFF2-40B4-BE49-F238E27FC236}">
                <a16:creationId xmlns:a16="http://schemas.microsoft.com/office/drawing/2014/main" id="{00000000-0008-0000-1F00-00001E000000}"/>
              </a:ext>
            </a:extLst>
          </xdr:cNvPr>
          <xdr:cNvSpPr txBox="1"/>
        </xdr:nvSpPr>
        <xdr:spPr>
          <a:xfrm>
            <a:off x="7773912"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31" name="ui_nav_page_1_7">
            <a:extLst>
              <a:ext uri="{FF2B5EF4-FFF2-40B4-BE49-F238E27FC236}">
                <a16:creationId xmlns:a16="http://schemas.microsoft.com/office/drawing/2014/main" id="{00000000-0008-0000-1F00-00001F000000}"/>
              </a:ext>
            </a:extLst>
          </xdr:cNvPr>
          <xdr:cNvSpPr txBox="1"/>
        </xdr:nvSpPr>
        <xdr:spPr>
          <a:xfrm>
            <a:off x="7951712" y="622300"/>
            <a:ext cx="88159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SCATTER PLOT</a:t>
            </a:r>
          </a:p>
        </xdr:txBody>
      </xdr:sp>
      <xdr:sp macro="" textlink="">
        <xdr:nvSpPr>
          <xdr:cNvPr id="32" name="ui_line_page_divider8">
            <a:extLst>
              <a:ext uri="{FF2B5EF4-FFF2-40B4-BE49-F238E27FC236}">
                <a16:creationId xmlns:a16="http://schemas.microsoft.com/office/drawing/2014/main" id="{00000000-0008-0000-1F00-000020000000}"/>
              </a:ext>
            </a:extLst>
          </xdr:cNvPr>
          <xdr:cNvSpPr txBox="1"/>
        </xdr:nvSpPr>
        <xdr:spPr>
          <a:xfrm>
            <a:off x="883330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33" name="ui_nav_page_1_8">
            <a:extLst>
              <a:ext uri="{FF2B5EF4-FFF2-40B4-BE49-F238E27FC236}">
                <a16:creationId xmlns:a16="http://schemas.microsoft.com/office/drawing/2014/main" id="{00000000-0008-0000-1F00-000021000000}"/>
              </a:ext>
            </a:extLst>
          </xdr:cNvPr>
          <xdr:cNvSpPr txBox="1"/>
        </xdr:nvSpPr>
        <xdr:spPr>
          <a:xfrm>
            <a:off x="9011107" y="622300"/>
            <a:ext cx="635470"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WEIGHTS</a:t>
            </a:r>
          </a:p>
        </xdr:txBody>
      </xdr:sp>
      <xdr:sp macro="" textlink="">
        <xdr:nvSpPr>
          <xdr:cNvPr id="34" name="ui_line_page_divider9">
            <a:extLst>
              <a:ext uri="{FF2B5EF4-FFF2-40B4-BE49-F238E27FC236}">
                <a16:creationId xmlns:a16="http://schemas.microsoft.com/office/drawing/2014/main" id="{00000000-0008-0000-1F00-000022000000}"/>
              </a:ext>
            </a:extLst>
          </xdr:cNvPr>
          <xdr:cNvSpPr txBox="1"/>
        </xdr:nvSpPr>
        <xdr:spPr>
          <a:xfrm>
            <a:off x="964657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35" name="ui_nav_page_1_9">
            <a:extLst>
              <a:ext uri="{FF2B5EF4-FFF2-40B4-BE49-F238E27FC236}">
                <a16:creationId xmlns:a16="http://schemas.microsoft.com/office/drawing/2014/main" id="{00000000-0008-0000-1F00-000023000000}"/>
              </a:ext>
            </a:extLst>
          </xdr:cNvPr>
          <xdr:cNvSpPr txBox="1"/>
        </xdr:nvSpPr>
        <xdr:spPr>
          <a:xfrm>
            <a:off x="9824377" y="622300"/>
            <a:ext cx="458648"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DATA</a:t>
            </a:r>
          </a:p>
        </xdr:txBody>
      </xdr:sp>
      <xdr:sp macro="" textlink="">
        <xdr:nvSpPr>
          <xdr:cNvPr id="36" name="ui_line_page_divider10">
            <a:extLst>
              <a:ext uri="{FF2B5EF4-FFF2-40B4-BE49-F238E27FC236}">
                <a16:creationId xmlns:a16="http://schemas.microsoft.com/office/drawing/2014/main" id="{00000000-0008-0000-1F00-000024000000}"/>
              </a:ext>
            </a:extLst>
          </xdr:cNvPr>
          <xdr:cNvSpPr txBox="1"/>
        </xdr:nvSpPr>
        <xdr:spPr>
          <a:xfrm>
            <a:off x="10283025"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37" name="ui_nav_page_1_10">
            <a:extLst>
              <a:ext uri="{FF2B5EF4-FFF2-40B4-BE49-F238E27FC236}">
                <a16:creationId xmlns:a16="http://schemas.microsoft.com/office/drawing/2014/main" id="{00000000-0008-0000-1F00-000025000000}"/>
              </a:ext>
            </a:extLst>
          </xdr:cNvPr>
          <xdr:cNvSpPr txBox="1"/>
        </xdr:nvSpPr>
        <xdr:spPr>
          <a:xfrm>
            <a:off x="10460825" y="622300"/>
            <a:ext cx="555803"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SCORES</a:t>
            </a:r>
          </a:p>
        </xdr:txBody>
      </xdr:sp>
      <xdr:sp macro="" textlink="">
        <xdr:nvSpPr>
          <xdr:cNvPr id="38" name="ui_line_page_divider11">
            <a:extLst>
              <a:ext uri="{FF2B5EF4-FFF2-40B4-BE49-F238E27FC236}">
                <a16:creationId xmlns:a16="http://schemas.microsoft.com/office/drawing/2014/main" id="{00000000-0008-0000-1F00-000026000000}"/>
              </a:ext>
            </a:extLst>
          </xdr:cNvPr>
          <xdr:cNvSpPr txBox="1"/>
        </xdr:nvSpPr>
        <xdr:spPr>
          <a:xfrm>
            <a:off x="11016628"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28" name="ui_nav_page_1_6">
            <a:extLst>
              <a:ext uri="{FF2B5EF4-FFF2-40B4-BE49-F238E27FC236}">
                <a16:creationId xmlns:a16="http://schemas.microsoft.com/office/drawing/2014/main" id="{00000000-0008-0000-1F00-00001C000000}"/>
              </a:ext>
            </a:extLst>
          </xdr:cNvPr>
          <xdr:cNvSpPr txBox="1"/>
        </xdr:nvSpPr>
        <xdr:spPr>
          <a:xfrm>
            <a:off x="6875475" y="647700"/>
            <a:ext cx="898436" cy="288468"/>
          </a:xfrm>
          <a:prstGeom prst="rect">
            <a:avLst/>
          </a:prstGeom>
          <a:solidFill>
            <a:srgbClr xmlns:mc="http://schemas.openxmlformats.org/markup-compatibility/2006" xmlns:a14="http://schemas.microsoft.com/office/drawing/2010/main" val="F2F2F2" mc:Ignorable="a14" a14:legacySpreadsheetColorIndex="17"/>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005E9E" mc:Ignorable="a14" a14:legacySpreadsheetColorIndex="15"/>
                </a:solidFill>
              </a:rPr>
              <a:t>ALL MEASURES</a:t>
            </a:r>
          </a:p>
        </xdr:txBody>
      </xdr:sp>
      <xdr:cxnSp macro="">
        <xdr:nvCxnSpPr>
          <xdr:cNvPr id="29" name="ui_line_page_active">
            <a:extLst>
              <a:ext uri="{FF2B5EF4-FFF2-40B4-BE49-F238E27FC236}">
                <a16:creationId xmlns:a16="http://schemas.microsoft.com/office/drawing/2014/main" id="{00000000-0008-0000-1F00-00001D000000}"/>
              </a:ext>
            </a:extLst>
          </xdr:cNvPr>
          <xdr:cNvCxnSpPr/>
        </xdr:nvCxnSpPr>
        <xdr:spPr>
          <a:xfrm>
            <a:off x="6875475" y="936168"/>
            <a:ext cx="898436" cy="0"/>
          </a:xfrm>
          <a:prstGeom prst="line">
            <a:avLst/>
          </a:prstGeom>
          <a:ln w="28575">
            <a:solidFill>
              <a:srgbClr xmlns:mc="http://schemas.openxmlformats.org/markup-compatibility/2006" xmlns:a14="http://schemas.microsoft.com/office/drawing/2010/main" val="F2F2F2" mc:Ignorable="a14" a14:legacySpreadsheetColorIndex="17"/>
            </a:solidFill>
          </a:ln>
        </xdr:spPr>
        <xdr:style>
          <a:lnRef idx="1">
            <a:schemeClr val="accent1"/>
          </a:lnRef>
          <a:fillRef idx="0">
            <a:schemeClr val="accent1"/>
          </a:fillRef>
          <a:effectRef idx="0">
            <a:schemeClr val="accent1"/>
          </a:effectRef>
          <a:fontRef idx="minor">
            <a:schemeClr val="tx1"/>
          </a:fontRef>
        </xdr:style>
      </xdr:cxnSp>
      <xdr:sp macro="" textlink="">
        <xdr:nvSpPr>
          <xdr:cNvPr id="41" name="ui_lbl_cnt_SeriesAll">
            <a:extLst>
              <a:ext uri="{FF2B5EF4-FFF2-40B4-BE49-F238E27FC236}">
                <a16:creationId xmlns:a16="http://schemas.microsoft.com/office/drawing/2014/main" id="{00000000-0008-0000-1F00-000029000000}"/>
              </a:ext>
            </a:extLst>
          </xdr:cNvPr>
          <xdr:cNvSpPr txBox="1"/>
        </xdr:nvSpPr>
        <xdr:spPr>
          <a:xfrm>
            <a:off x="127000" y="986968"/>
            <a:ext cx="988962"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SELECT INDICATOR</a:t>
            </a:r>
          </a:p>
        </xdr:txBody>
      </xdr:sp>
      <xdr:sp macro="" textlink="">
        <xdr:nvSpPr>
          <xdr:cNvPr id="46" name="ui_lbl_cnt_GroupHighlight">
            <a:extLst>
              <a:ext uri="{FF2B5EF4-FFF2-40B4-BE49-F238E27FC236}">
                <a16:creationId xmlns:a16="http://schemas.microsoft.com/office/drawing/2014/main" id="{00000000-0008-0000-1F00-00002E000000}"/>
              </a:ext>
            </a:extLst>
          </xdr:cNvPr>
          <xdr:cNvSpPr txBox="1"/>
        </xdr:nvSpPr>
        <xdr:spPr>
          <a:xfrm>
            <a:off x="3325584" y="986968"/>
            <a:ext cx="1012050"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GROUP HIGHLIGHT</a:t>
            </a:r>
          </a:p>
        </xdr:txBody>
      </xdr:sp>
      <xdr:sp macro="" textlink="">
        <xdr:nvSpPr>
          <xdr:cNvPr id="49" name="ui_lbl_cnt_CountryFltHighlight">
            <a:extLst>
              <a:ext uri="{FF2B5EF4-FFF2-40B4-BE49-F238E27FC236}">
                <a16:creationId xmlns:a16="http://schemas.microsoft.com/office/drawing/2014/main" id="{00000000-0008-0000-1F00-000031000000}"/>
              </a:ext>
            </a:extLst>
          </xdr:cNvPr>
          <xdr:cNvSpPr txBox="1"/>
        </xdr:nvSpPr>
        <xdr:spPr>
          <a:xfrm>
            <a:off x="4796968" y="986968"/>
            <a:ext cx="847865"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CITY HIGHLIGHT</a:t>
            </a:r>
          </a:p>
        </xdr:txBody>
      </xdr:sp>
      <mc:AlternateContent xmlns:mc="http://schemas.openxmlformats.org/markup-compatibility/2006">
        <mc:Choice xmlns:a14="http://schemas.microsoft.com/office/drawing/2010/main" Requires="a14">
          <xdr:sp macro="" textlink="">
            <xdr:nvSpPr>
              <xdr:cNvPr id="6364050" name="ui_cnt_SeriesAll" hidden="1">
                <a:extLst>
                  <a:ext uri="{63B3BB69-23CF-44E3-9099-C40C66FF867C}">
                    <a14:compatExt spid="_x0000_s6364050"/>
                  </a:ext>
                  <a:ext uri="{FF2B5EF4-FFF2-40B4-BE49-F238E27FC236}">
                    <a16:creationId xmlns:a16="http://schemas.microsoft.com/office/drawing/2014/main" id="{00000000-0008-0000-1F00-0000921B6100}"/>
                  </a:ext>
                </a:extLst>
              </xdr:cNvPr>
              <xdr:cNvSpPr/>
            </xdr:nvSpPr>
            <xdr:spPr bwMode="auto">
              <a:xfrm>
                <a:off x="127000" y="1177468"/>
                <a:ext cx="2792185" cy="212271"/>
              </a:xfrm>
              <a:prstGeom prst="rect">
                <a:avLst/>
              </a:prstGeom>
              <a:noFill/>
              <a:ln w="9525">
                <a:miter lim="800000"/>
                <a:headEnd/>
                <a:tailEnd/>
              </a:ln>
              <a:extLst>
                <a:ext uri="{909E8E84-426E-40DD-AFC4-6F175D3DCCD1}">
                  <a14:hiddenFill>
                    <a:noFill/>
                  </a14:hiddenFill>
                </a:ext>
              </a:extLst>
            </xdr:spPr>
          </xdr:sp>
        </mc:Choice>
        <mc:Fallback/>
      </mc:AlternateContent>
      <xdr:pic macro="[0]!k">
        <xdr:nvPicPr>
          <xdr:cNvPr id="44" name="ui_spu_SeriesAll" descr="scroll_up_small.png">
            <a:extLst>
              <a:ext uri="{FF2B5EF4-FFF2-40B4-BE49-F238E27FC236}">
                <a16:creationId xmlns:a16="http://schemas.microsoft.com/office/drawing/2014/main" id="{00000000-0008-0000-1F00-00002C000000}"/>
              </a:ext>
            </a:extLst>
          </xdr:cNvPr>
          <xdr:cNvPicPr>
            <a:picLocks noChangeAspect="1"/>
          </xdr:cNvPicPr>
        </xdr:nvPicPr>
        <xdr:blipFill>
          <a:blip xmlns:r="http://schemas.openxmlformats.org/officeDocument/2006/relationships" r:embed="rId5" cstate="print"/>
          <a:stretch>
            <a:fillRect/>
          </a:stretch>
        </xdr:blipFill>
        <xdr:spPr>
          <a:xfrm>
            <a:off x="2944584" y="1177468"/>
            <a:ext cx="228615" cy="77699"/>
          </a:xfrm>
          <a:prstGeom prst="rect">
            <a:avLst/>
          </a:prstGeom>
        </xdr:spPr>
      </xdr:pic>
      <xdr:pic macro="[0]!k">
        <xdr:nvPicPr>
          <xdr:cNvPr id="45" name="ui_spd_SeriesAll" descr="scroll_down_small.png">
            <a:extLst>
              <a:ext uri="{FF2B5EF4-FFF2-40B4-BE49-F238E27FC236}">
                <a16:creationId xmlns:a16="http://schemas.microsoft.com/office/drawing/2014/main" id="{00000000-0008-0000-1F00-00002D000000}"/>
              </a:ext>
            </a:extLst>
          </xdr:cNvPr>
          <xdr:cNvPicPr>
            <a:picLocks noChangeAspect="1"/>
          </xdr:cNvPicPr>
        </xdr:nvPicPr>
        <xdr:blipFill>
          <a:blip xmlns:r="http://schemas.openxmlformats.org/officeDocument/2006/relationships" r:embed="rId6" cstate="print"/>
          <a:stretch>
            <a:fillRect/>
          </a:stretch>
        </xdr:blipFill>
        <xdr:spPr>
          <a:xfrm>
            <a:off x="2944584" y="1282458"/>
            <a:ext cx="228604" cy="56388"/>
          </a:xfrm>
          <a:prstGeom prst="rect">
            <a:avLst/>
          </a:prstGeom>
        </xdr:spPr>
      </xdr:pic>
      <mc:AlternateContent xmlns:mc="http://schemas.openxmlformats.org/markup-compatibility/2006">
        <mc:Choice xmlns:a14="http://schemas.microsoft.com/office/drawing/2010/main" Requires="a14">
          <xdr:sp macro="" textlink="">
            <xdr:nvSpPr>
              <xdr:cNvPr id="6364052" name="ui_cnt_GroupHighlight" hidden="1">
                <a:extLst>
                  <a:ext uri="{63B3BB69-23CF-44E3-9099-C40C66FF867C}">
                    <a14:compatExt spid="_x0000_s6364052"/>
                  </a:ext>
                  <a:ext uri="{FF2B5EF4-FFF2-40B4-BE49-F238E27FC236}">
                    <a16:creationId xmlns:a16="http://schemas.microsoft.com/office/drawing/2014/main" id="{00000000-0008-0000-1F00-0000941B6100}"/>
                  </a:ext>
                </a:extLst>
              </xdr:cNvPr>
              <xdr:cNvSpPr/>
            </xdr:nvSpPr>
            <xdr:spPr bwMode="auto">
              <a:xfrm>
                <a:off x="3325584" y="1177468"/>
                <a:ext cx="1344385" cy="212272"/>
              </a:xfrm>
              <a:prstGeom prst="rect">
                <a:avLst/>
              </a:prstGeom>
              <a:noFill/>
              <a:ln w="9525">
                <a:miter lim="800000"/>
                <a:headEnd/>
                <a:tailEnd/>
              </a:ln>
              <a:extLst>
                <a:ext uri="{909E8E84-426E-40DD-AFC4-6F175D3DCCD1}">
                  <a14:hiddenFill>
                    <a:noFill/>
                  </a14:hiddenFill>
                </a:ext>
              </a:extLst>
            </xdr:spPr>
          </xdr:sp>
        </mc:Choice>
        <mc:Fallback/>
      </mc:AlternateContent>
      <mc:AlternateContent xmlns:mc="http://schemas.openxmlformats.org/markup-compatibility/2006">
        <mc:Choice xmlns:a14="http://schemas.microsoft.com/office/drawing/2010/main" Requires="a14">
          <xdr:sp macro="" textlink="">
            <xdr:nvSpPr>
              <xdr:cNvPr id="6364054" name="ui_cnt_CountryFltHighlight" hidden="1">
                <a:extLst>
                  <a:ext uri="{63B3BB69-23CF-44E3-9099-C40C66FF867C}">
                    <a14:compatExt spid="_x0000_s6364054"/>
                  </a:ext>
                  <a:ext uri="{FF2B5EF4-FFF2-40B4-BE49-F238E27FC236}">
                    <a16:creationId xmlns:a16="http://schemas.microsoft.com/office/drawing/2014/main" id="{00000000-0008-0000-1F00-0000961B6100}"/>
                  </a:ext>
                </a:extLst>
              </xdr:cNvPr>
              <xdr:cNvSpPr/>
            </xdr:nvSpPr>
            <xdr:spPr bwMode="auto">
              <a:xfrm>
                <a:off x="4796968" y="1177468"/>
                <a:ext cx="1257300" cy="212271"/>
              </a:xfrm>
              <a:prstGeom prst="rect">
                <a:avLst/>
              </a:prstGeom>
              <a:noFill/>
              <a:ln w="9525">
                <a:miter lim="800000"/>
                <a:headEnd/>
                <a:tailEnd/>
              </a:ln>
              <a:extLst>
                <a:ext uri="{909E8E84-426E-40DD-AFC4-6F175D3DCCD1}">
                  <a14:hiddenFill>
                    <a:noFill/>
                  </a14:hiddenFill>
                </a:ext>
              </a:extLst>
            </xdr:spPr>
          </xdr:sp>
        </mc:Choice>
        <mc:Fallback/>
      </mc:AlternateContent>
      <xdr:pic macro="[0]!k">
        <xdr:nvPicPr>
          <xdr:cNvPr id="6364037" name="ui_cmd_export_xl" descr="xl_icon.gif">
            <a:hlinkClick xmlns:r="http://schemas.openxmlformats.org/officeDocument/2006/relationships" r:id="rId7" tooltip="Export current page as a standalone Excel workbook"/>
            <a:extLst>
              <a:ext uri="{FF2B5EF4-FFF2-40B4-BE49-F238E27FC236}">
                <a16:creationId xmlns:a16="http://schemas.microsoft.com/office/drawing/2014/main" id="{00000000-0008-0000-1F00-0000851B6100}"/>
              </a:ext>
            </a:extLst>
          </xdr:cNvPr>
          <xdr:cNvPicPr>
            <a:picLocks noChangeAspect="1"/>
          </xdr:cNvPicPr>
        </xdr:nvPicPr>
        <xdr:blipFill>
          <a:blip xmlns:r="http://schemas.openxmlformats.org/officeDocument/2006/relationships" r:embed="rId8" cstate="print"/>
          <a:stretch>
            <a:fillRect/>
          </a:stretch>
        </xdr:blipFill>
        <xdr:spPr>
          <a:xfrm>
            <a:off x="11367528" y="361950"/>
            <a:ext cx="519674" cy="190500"/>
          </a:xfrm>
          <a:prstGeom prst="rect">
            <a:avLst/>
          </a:prstGeom>
        </xdr:spPr>
      </xdr:pic>
      <xdr:pic macro="[0]!k">
        <xdr:nvPicPr>
          <xdr:cNvPr id="6364036" name="ui_cmd_reset_controls">
            <a:hlinkClick xmlns:r="http://schemas.openxmlformats.org/officeDocument/2006/relationships" r:id="rId9" tooltip="Reset all options and controls on this page to the default value."/>
            <a:extLst>
              <a:ext uri="{FF2B5EF4-FFF2-40B4-BE49-F238E27FC236}">
                <a16:creationId xmlns:a16="http://schemas.microsoft.com/office/drawing/2014/main" id="{00000000-0008-0000-1F00-0000841B61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628209" y="974268"/>
            <a:ext cx="208189" cy="190500"/>
          </a:xfrm>
          <a:prstGeom prst="rect">
            <a:avLst/>
          </a:prstGeom>
        </xdr:spPr>
      </xdr:pic>
      <xdr:pic macro="[0]!k">
        <xdr:nvPicPr>
          <xdr:cNvPr id="6364032" name="ui_cmd_full_screen">
            <a:hlinkClick xmlns:r="http://schemas.openxmlformats.org/officeDocument/2006/relationships" r:id="rId11" tooltip="Full screen mode (recommended)"/>
            <a:extLst>
              <a:ext uri="{FF2B5EF4-FFF2-40B4-BE49-F238E27FC236}">
                <a16:creationId xmlns:a16="http://schemas.microsoft.com/office/drawing/2014/main" id="{00000000-0008-0000-1F00-0000801B61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099356" y="361950"/>
            <a:ext cx="217368" cy="190500"/>
          </a:xfrm>
          <a:prstGeom prst="rect">
            <a:avLst/>
          </a:prstGeom>
        </xdr:spPr>
      </xdr:pic>
      <xdr:pic macro="[0]!k">
        <xdr:nvPicPr>
          <xdr:cNvPr id="6364034" name="ui_cmd_exit_full_screen" hidden="1">
            <a:hlinkClick xmlns:r="http://schemas.openxmlformats.org/officeDocument/2006/relationships" r:id="rId13" tooltip="Leave full screen mode"/>
            <a:extLst>
              <a:ext uri="{FF2B5EF4-FFF2-40B4-BE49-F238E27FC236}">
                <a16:creationId xmlns:a16="http://schemas.microsoft.com/office/drawing/2014/main" id="{00000000-0008-0000-1F00-0000821B61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099356" y="361950"/>
            <a:ext cx="209038" cy="190500"/>
          </a:xfrm>
          <a:prstGeom prst="rect">
            <a:avLst/>
          </a:prstGeom>
        </xdr:spPr>
      </xdr:pic>
    </xdr:grpSp>
    <xdr:clientData fPrintsWithSheet="0"/>
  </xdr:twoCellAnchor>
  <xdr:twoCellAnchor>
    <xdr:from>
      <xdr:col>6</xdr:col>
      <xdr:colOff>0</xdr:colOff>
      <xdr:row>111</xdr:row>
      <xdr:rowOff>0</xdr:rowOff>
    </xdr:from>
    <xdr:to>
      <xdr:col>7</xdr:col>
      <xdr:colOff>753836</xdr:colOff>
      <xdr:row>112</xdr:row>
      <xdr:rowOff>0</xdr:rowOff>
    </xdr:to>
    <xdr:sp macro="k" textlink="">
      <xdr:nvSpPr>
        <xdr:cNvPr id="6364042" name="go_top">
          <a:extLst>
            <a:ext uri="{FF2B5EF4-FFF2-40B4-BE49-F238E27FC236}">
              <a16:creationId xmlns:a16="http://schemas.microsoft.com/office/drawing/2014/main" id="{00000000-0008-0000-1F00-00008A1B6100}"/>
            </a:ext>
          </a:extLst>
        </xdr:cNvPr>
        <xdr:cNvSpPr txBox="1"/>
      </xdr:nvSpPr>
      <xdr:spPr>
        <a:xfrm>
          <a:off x="1611086" y="23268214"/>
          <a:ext cx="1015093" cy="185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none" strike="noStrike" baseline="0">
              <a:solidFill>
                <a:srgbClr val="0070C0"/>
              </a:solidFill>
              <a:latin typeface="+mn-lt"/>
            </a:rPr>
            <a:t>↑ Top of page</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3</xdr:row>
      <xdr:rowOff>533397</xdr:rowOff>
    </xdr:from>
    <xdr:to>
      <xdr:col>16</xdr:col>
      <xdr:colOff>32657</xdr:colOff>
      <xdr:row>4</xdr:row>
      <xdr:rowOff>304797</xdr:rowOff>
    </xdr:to>
    <xdr:sp macro="[0]!k" textlink="">
      <xdr:nvSpPr>
        <xdr:cNvPr id="41" name="ui_txt_infobar" hidden="1">
          <a:extLst>
            <a:ext uri="{FF2B5EF4-FFF2-40B4-BE49-F238E27FC236}">
              <a16:creationId xmlns:a16="http://schemas.microsoft.com/office/drawing/2014/main" id="{00000000-0008-0000-2000-000029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000"/>
        </a:p>
      </xdr:txBody>
    </xdr:sp>
    <xdr:clientData fPrintsWithSheet="0"/>
  </xdr:twoCellAnchor>
  <xdr:twoCellAnchor editAs="absolute">
    <xdr:from>
      <xdr:col>0</xdr:col>
      <xdr:colOff>0</xdr:colOff>
      <xdr:row>0</xdr:row>
      <xdr:rowOff>0</xdr:rowOff>
    </xdr:from>
    <xdr:to>
      <xdr:col>16</xdr:col>
      <xdr:colOff>32657</xdr:colOff>
      <xdr:row>2</xdr:row>
      <xdr:rowOff>0</xdr:rowOff>
    </xdr:to>
    <xdr:sp macro="[0]!k" textlink="">
      <xdr:nvSpPr>
        <xdr:cNvPr id="2" name="ui_cmd_leave_zen_mode" hidden="1">
          <a:extLst>
            <a:ext uri="{FF2B5EF4-FFF2-40B4-BE49-F238E27FC236}">
              <a16:creationId xmlns:a16="http://schemas.microsoft.com/office/drawing/2014/main" id="{00000000-0008-0000-2000-000002000000}"/>
            </a:ext>
          </a:extLst>
        </xdr:cNvPr>
        <xdr:cNvSpPr txBox="1"/>
      </xdr:nvSpPr>
      <xdr:spPr>
        <a:xfrm>
          <a:off x="0" y="0"/>
          <a:ext cx="11887200" cy="304800"/>
        </a:xfrm>
        <a:prstGeom prst="rect">
          <a:avLst/>
        </a:prstGeom>
        <a:solidFill>
          <a:schemeClr val="l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GB" sz="1100" b="1">
              <a:solidFill>
                <a:schemeClr val="bg1">
                  <a:lumMod val="65000"/>
                </a:schemeClr>
              </a:solidFill>
            </a:rPr>
            <a:t>ZEN MODE.  NAVIGATION IS HIDDEN TO MAXIMISE VISIBLE</a:t>
          </a:r>
          <a:r>
            <a:rPr lang="en-GB" sz="1100" b="1" baseline="0">
              <a:solidFill>
                <a:schemeClr val="bg1">
                  <a:lumMod val="65000"/>
                </a:schemeClr>
              </a:solidFill>
            </a:rPr>
            <a:t> CONTENT. </a:t>
          </a:r>
          <a:r>
            <a:rPr lang="en-GB" sz="1100" b="1">
              <a:solidFill>
                <a:schemeClr val="bg1">
                  <a:lumMod val="65000"/>
                </a:schemeClr>
              </a:solidFill>
            </a:rPr>
            <a:t>  </a:t>
          </a:r>
          <a:r>
            <a:rPr lang="en-GB" sz="1100" b="1" u="sng">
              <a:solidFill>
                <a:srgbClr val="0070C0"/>
              </a:solidFill>
            </a:rPr>
            <a:t>CLICK HERE</a:t>
          </a:r>
          <a:r>
            <a:rPr lang="en-GB" sz="1100" b="1" baseline="0">
              <a:solidFill>
                <a:srgbClr val="0070C0"/>
              </a:solidFill>
            </a:rPr>
            <a:t> </a:t>
          </a:r>
          <a:r>
            <a:rPr lang="en-GB" sz="1100" b="1">
              <a:solidFill>
                <a:schemeClr val="bg1">
                  <a:lumMod val="65000"/>
                </a:schemeClr>
              </a:solidFill>
            </a:rPr>
            <a:t>TO RESTORE NAVIGATION</a:t>
          </a:r>
        </a:p>
      </xdr:txBody>
    </xdr:sp>
    <xdr:clientData fPrintsWithSheet="0"/>
  </xdr:twoCellAnchor>
  <xdr:twoCellAnchor editAs="absolute">
    <xdr:from>
      <xdr:col>0</xdr:col>
      <xdr:colOff>0</xdr:colOff>
      <xdr:row>3</xdr:row>
      <xdr:rowOff>533397</xdr:rowOff>
    </xdr:from>
    <xdr:to>
      <xdr:col>16</xdr:col>
      <xdr:colOff>32657</xdr:colOff>
      <xdr:row>4</xdr:row>
      <xdr:rowOff>304797</xdr:rowOff>
    </xdr:to>
    <xdr:sp macro="[0]!k" textlink="">
      <xdr:nvSpPr>
        <xdr:cNvPr id="42" name="ui_cmd_warningbar" hidden="1">
          <a:extLst>
            <a:ext uri="{FF2B5EF4-FFF2-40B4-BE49-F238E27FC236}">
              <a16:creationId xmlns:a16="http://schemas.microsoft.com/office/drawing/2014/main" id="{00000000-0008-0000-2000-00002A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000"/>
        </a:p>
      </xdr:txBody>
    </xdr:sp>
    <xdr:clientData fPrintsWithSheet="0"/>
  </xdr:twoCellAnchor>
  <xdr:twoCellAnchor editAs="absolute">
    <xdr:from>
      <xdr:col>0</xdr:col>
      <xdr:colOff>0</xdr:colOff>
      <xdr:row>3</xdr:row>
      <xdr:rowOff>533397</xdr:rowOff>
    </xdr:from>
    <xdr:to>
      <xdr:col>16</xdr:col>
      <xdr:colOff>32657</xdr:colOff>
      <xdr:row>4</xdr:row>
      <xdr:rowOff>304797</xdr:rowOff>
    </xdr:to>
    <xdr:sp macro="[0]!k" textlink="">
      <xdr:nvSpPr>
        <xdr:cNvPr id="43" name="ui_cmd_globalwarninginfobar" hidden="1">
          <a:extLst>
            <a:ext uri="{FF2B5EF4-FFF2-40B4-BE49-F238E27FC236}">
              <a16:creationId xmlns:a16="http://schemas.microsoft.com/office/drawing/2014/main" id="{00000000-0008-0000-2000-00002B000000}"/>
            </a:ext>
          </a:extLst>
        </xdr:cNvPr>
        <xdr:cNvSpPr txBox="1"/>
      </xdr:nvSpPr>
      <xdr:spPr>
        <a:xfrm>
          <a:off x="0" y="1164768"/>
          <a:ext cx="11887200" cy="304800"/>
        </a:xfrm>
        <a:prstGeom prst="rect">
          <a:avLst/>
        </a:prstGeom>
        <a:solidFill>
          <a:srgbClr xmlns:mc="http://schemas.openxmlformats.org/markup-compatibility/2006" xmlns:a14="http://schemas.microsoft.com/office/drawing/2010/main" val="FFEFCE" mc:Ignorable="a14" a14:legacySpreadsheetColorIndex="2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a:t>A</a:t>
          </a:r>
          <a:r>
            <a:rPr lang="en-GB" sz="1000" baseline="0"/>
            <a:t> custom weight profile is selected.  Scores and ranks may be different from official publication.  </a:t>
          </a:r>
          <a:r>
            <a:rPr lang="en-GB" sz="1000" b="1" u="sng" baseline="0">
              <a:solidFill>
                <a:srgbClr val="0070C0"/>
              </a:solidFill>
            </a:rPr>
            <a:t>RESTORE DEFAULT WEIGHT PROFILE</a:t>
          </a:r>
          <a:endParaRPr lang="en-GB" sz="1000" b="1" u="sng">
            <a:solidFill>
              <a:srgbClr val="0070C0"/>
            </a:solidFill>
          </a:endParaRPr>
        </a:p>
      </xdr:txBody>
    </xdr:sp>
    <xdr:clientData fPrintsWithSheet="0"/>
  </xdr:twoCellAnchor>
  <xdr:twoCellAnchor editAs="absolute">
    <xdr:from>
      <xdr:col>0</xdr:col>
      <xdr:colOff>0</xdr:colOff>
      <xdr:row>0</xdr:row>
      <xdr:rowOff>0</xdr:rowOff>
    </xdr:from>
    <xdr:to>
      <xdr:col>16</xdr:col>
      <xdr:colOff>32659</xdr:colOff>
      <xdr:row>3</xdr:row>
      <xdr:rowOff>533397</xdr:rowOff>
    </xdr:to>
    <xdr:grpSp>
      <xdr:nvGrpSpPr>
        <xdr:cNvPr id="51" name="ui_all">
          <a:extLst>
            <a:ext uri="{FF2B5EF4-FFF2-40B4-BE49-F238E27FC236}">
              <a16:creationId xmlns:a16="http://schemas.microsoft.com/office/drawing/2014/main" id="{00000000-0008-0000-2000-000033000000}"/>
            </a:ext>
          </a:extLst>
        </xdr:cNvPr>
        <xdr:cNvGrpSpPr/>
      </xdr:nvGrpSpPr>
      <xdr:grpSpPr>
        <a:xfrm>
          <a:off x="0" y="0"/>
          <a:ext cx="11887202" cy="1164768"/>
          <a:chOff x="0" y="304800"/>
          <a:chExt cx="11887202" cy="1164768"/>
        </a:xfrm>
      </xdr:grpSpPr>
      <xdr:sp macro="" textlink="">
        <xdr:nvSpPr>
          <xdr:cNvPr id="40" name="ui_dropdown_controls_bg">
            <a:extLst>
              <a:ext uri="{FF2B5EF4-FFF2-40B4-BE49-F238E27FC236}">
                <a16:creationId xmlns:a16="http://schemas.microsoft.com/office/drawing/2014/main" id="{00000000-0008-0000-2000-000028000000}"/>
              </a:ext>
            </a:extLst>
          </xdr:cNvPr>
          <xdr:cNvSpPr/>
        </xdr:nvSpPr>
        <xdr:spPr>
          <a:xfrm>
            <a:off x="0" y="936168"/>
            <a:ext cx="11887200" cy="533400"/>
          </a:xfrm>
          <a:prstGeom prst="rect">
            <a:avLst/>
          </a:prstGeom>
          <a:solidFill>
            <a:srgbClr xmlns:mc="http://schemas.openxmlformats.org/markup-compatibility/2006" xmlns:a14="http://schemas.microsoft.com/office/drawing/2010/main" val="F2F2F2" mc:Ignorable="a14" a14:legacySpreadsheetColorIndex="17"/>
          </a:solidFill>
          <a:ln w="9525" cap="flat" cmpd="sng" algn="ctr">
            <a:noFill/>
            <a:prstDash val="solid"/>
          </a:ln>
          <a:effectLst/>
          <a:extLst>
            <a:ext uri="{91240B29-F687-4F45-9708-019B960494DF}">
              <a14:hiddenLine xmlns:a14="http://schemas.microsoft.com/office/drawing/2010/main" w="9525" cap="flat" cmpd="sng" algn="ctr">
                <a:solidFill>
                  <a:srgbClr xmlns:mc="http://schemas.openxmlformats.org/markup-compatibility/2006" val="D8D8D8" mc:Ignorable="a14" a14:legacySpreadsheetColorIndex="18"/>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36" name="ui_page_second_bg">
            <a:extLst>
              <a:ext uri="{FF2B5EF4-FFF2-40B4-BE49-F238E27FC236}">
                <a16:creationId xmlns:a16="http://schemas.microsoft.com/office/drawing/2014/main" id="{00000000-0008-0000-2000-000024000000}"/>
              </a:ext>
            </a:extLst>
          </xdr:cNvPr>
          <xdr:cNvSpPr/>
        </xdr:nvSpPr>
        <xdr:spPr>
          <a:xfrm>
            <a:off x="11709400" y="609600"/>
            <a:ext cx="177800" cy="326568"/>
          </a:xfrm>
          <a:prstGeom prst="rect">
            <a:avLst/>
          </a:prstGeom>
          <a:solidFill>
            <a:srgbClr xmlns:mc="http://schemas.openxmlformats.org/markup-compatibility/2006" xmlns:a14="http://schemas.microsoft.com/office/drawing/2010/main" val="E3E3E3" mc:Ignorable="a14" a14:legacySpreadsheetColorIndex="13"/>
          </a:solidFill>
          <a:ln w="19050" cap="flat" cmpd="sng" algn="ctr">
            <a:noFill/>
            <a:prstDash val="solid"/>
          </a:ln>
          <a:effectLst/>
          <a:extLst>
            <a:ext uri="{91240B29-F687-4F45-9708-019B960494DF}">
              <a14:hiddenLine xmlns:a14="http://schemas.microsoft.com/office/drawing/2010/main" w="19050" cap="flat" cmpd="sng" algn="ctr">
                <a:solidFill>
                  <a:srgbClr xmlns:mc="http://schemas.openxmlformats.org/markup-compatibility/2006" val="D2D2D2" mc:Ignorable="a14" a14:legacySpreadsheetColorIndex="14"/>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35" name="ui_page_bg">
            <a:extLst>
              <a:ext uri="{FF2B5EF4-FFF2-40B4-BE49-F238E27FC236}">
                <a16:creationId xmlns:a16="http://schemas.microsoft.com/office/drawing/2014/main" id="{00000000-0008-0000-2000-000023000000}"/>
              </a:ext>
            </a:extLst>
          </xdr:cNvPr>
          <xdr:cNvSpPr/>
        </xdr:nvSpPr>
        <xdr:spPr>
          <a:xfrm>
            <a:off x="0" y="609600"/>
            <a:ext cx="11709400" cy="326568"/>
          </a:xfrm>
          <a:prstGeom prst="rect">
            <a:avLst/>
          </a:prstGeom>
          <a:solidFill>
            <a:srgbClr xmlns:mc="http://schemas.openxmlformats.org/markup-compatibility/2006" xmlns:a14="http://schemas.microsoft.com/office/drawing/2010/main" val="E3E3E3" mc:Ignorable="a14" a14:legacySpreadsheetColorIndex="13"/>
          </a:solidFill>
          <a:ln w="19050" cap="flat" cmpd="sng" algn="ctr">
            <a:noFill/>
            <a:prstDash val="solid"/>
          </a:ln>
          <a:effectLst/>
          <a:extLst>
            <a:ext uri="{91240B29-F687-4F45-9708-019B960494DF}">
              <a14:hiddenLine xmlns:a14="http://schemas.microsoft.com/office/drawing/2010/main" w="19050" cap="flat" cmpd="sng" algn="ctr">
                <a:solidFill>
                  <a:srgbClr xmlns:mc="http://schemas.openxmlformats.org/markup-compatibility/2006" val="D2D2D2" mc:Ignorable="a14" a14:legacySpreadsheetColorIndex="14"/>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6" name="ui_bg_home_back_forward">
            <a:extLst>
              <a:ext uri="{FF2B5EF4-FFF2-40B4-BE49-F238E27FC236}">
                <a16:creationId xmlns:a16="http://schemas.microsoft.com/office/drawing/2014/main" id="{00000000-0008-0000-2000-000006000000}"/>
              </a:ext>
            </a:extLst>
          </xdr:cNvPr>
          <xdr:cNvSpPr txBox="1"/>
        </xdr:nvSpPr>
        <xdr:spPr>
          <a:xfrm>
            <a:off x="0" y="304800"/>
            <a:ext cx="671424" cy="304800"/>
          </a:xfrm>
          <a:prstGeom prst="rect">
            <a:avLst/>
          </a:prstGeom>
          <a:solidFill>
            <a:srgbClr xmlns:mc="http://schemas.openxmlformats.org/markup-compatibility/2006" xmlns:a14="http://schemas.microsoft.com/office/drawing/2010/main" val="808080" mc:Ignorable="a14" a14:legacySpreadsheetColorIndex="1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endParaRPr lang="en-GB" sz="1100" b="0"/>
          </a:p>
        </xdr:txBody>
      </xdr:sp>
      <xdr:pic macro="[0]!k">
        <xdr:nvPicPr>
          <xdr:cNvPr id="3" name="ui_nav_home" descr="home-white-xxl.png">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cstate="print"/>
          <a:stretch>
            <a:fillRect/>
          </a:stretch>
        </xdr:blipFill>
        <xdr:spPr>
          <a:xfrm>
            <a:off x="25400" y="393700"/>
            <a:ext cx="168776"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pic macro="[0]!k">
        <xdr:nvPicPr>
          <xdr:cNvPr id="4" name="ui_nav_back" descr="arrow-left-white-xxl.png">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cstate="print"/>
          <a:stretch>
            <a:fillRect/>
          </a:stretch>
        </xdr:blipFill>
        <xdr:spPr>
          <a:xfrm>
            <a:off x="257670" y="393700"/>
            <a:ext cx="168776"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pic macro="[0]!k">
        <xdr:nvPicPr>
          <xdr:cNvPr id="5" name="ui_nav_forward" descr="arrow-right-white-xxl.png" hidden="1">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3" cstate="print"/>
          <a:stretch>
            <a:fillRect/>
          </a:stretch>
        </xdr:blipFill>
        <xdr:spPr>
          <a:xfrm>
            <a:off x="451853" y="393700"/>
            <a:ext cx="168776" cy="152400"/>
          </a:xfrm>
          <a:prstGeom prst="rect">
            <a:avLst/>
          </a:prstGeom>
          <a:noFill/>
          <a:extLst>
            <a:ext uri="{909E8E84-426E-40DD-AFC4-6F175D3DCCD1}">
              <a14:hiddenFill xmlns:a14="http://schemas.microsoft.com/office/drawing/2010/main">
                <a:solidFill>
                  <a:schemeClr val="bg2">
                    <a:lumMod val="75000"/>
                  </a:schemeClr>
                </a:solidFill>
              </a14:hiddenFill>
            </a:ext>
          </a:extLst>
        </xdr:spPr>
      </xdr:pic>
      <xdr:sp macro="[0]!k" textlink="">
        <xdr:nvSpPr>
          <xdr:cNvPr id="7" name="ui_nav_sec_1">
            <a:extLst>
              <a:ext uri="{FF2B5EF4-FFF2-40B4-BE49-F238E27FC236}">
                <a16:creationId xmlns:a16="http://schemas.microsoft.com/office/drawing/2014/main" id="{00000000-0008-0000-2000-000007000000}"/>
              </a:ext>
            </a:extLst>
          </xdr:cNvPr>
          <xdr:cNvSpPr txBox="1"/>
        </xdr:nvSpPr>
        <xdr:spPr>
          <a:xfrm>
            <a:off x="747624" y="304800"/>
            <a:ext cx="926262" cy="304800"/>
          </a:xfrm>
          <a:prstGeom prst="rect">
            <a:avLst/>
          </a:prstGeom>
          <a:solidFill>
            <a:srgbClr xmlns:mc="http://schemas.openxmlformats.org/markup-compatibility/2006" xmlns:a14="http://schemas.microsoft.com/office/drawing/2010/main" val="E3E3E3" mc:Ignorable="a14" a14:legacySpreadsheetColorIndex="13"/>
          </a:solidFill>
          <a:ln w="19050" cmpd="sng">
            <a:solidFill>
              <a:srgbClr xmlns:mc="http://schemas.openxmlformats.org/markup-compatibility/2006" xmlns:a14="http://schemas.microsoft.com/office/drawing/2010/main" val="D2D2D2" mc:Ignorable="a14" a14:legacySpreadsheetColorIndex="14"/>
            </a:solidFill>
          </a:ln>
        </xdr:spPr>
        <xdr:style>
          <a:lnRef idx="0">
            <a:scrgbClr r="0" g="0" b="0"/>
          </a:lnRef>
          <a:fillRef idx="0">
            <a:scrgbClr r="0" g="0" b="0"/>
          </a:fillRef>
          <a:effectRef idx="0">
            <a:scrgbClr r="0" g="0" b="0"/>
          </a:effectRef>
          <a:fontRef idx="minor">
            <a:schemeClr val="dk1"/>
          </a:fontRef>
        </xdr:style>
        <xdr:txBody>
          <a:bodyPr vertOverflow="clip" wrap="square" lIns="0" rIns="0" bIns="72000" rtlCol="0" anchor="ctr" anchorCtr="0"/>
          <a:lstStyle/>
          <a:p>
            <a:pPr algn="ctr"/>
            <a:r>
              <a:rPr lang="en-GB" sz="900" b="1">
                <a:solidFill>
                  <a:srgbClr xmlns:mc="http://schemas.openxmlformats.org/markup-compatibility/2006" xmlns:a14="http://schemas.microsoft.com/office/drawing/2010/main" val="005E9E" mc:Ignorable="a14" a14:legacySpreadsheetColorIndex="15"/>
                </a:solidFill>
              </a:rPr>
              <a:t>CITY HEARTBEAT</a:t>
            </a:r>
          </a:p>
        </xdr:txBody>
      </xdr:sp>
      <xdr:cxnSp macro="">
        <xdr:nvCxnSpPr>
          <xdr:cNvPr id="8" name="ui_line_sec_active">
            <a:extLst>
              <a:ext uri="{FF2B5EF4-FFF2-40B4-BE49-F238E27FC236}">
                <a16:creationId xmlns:a16="http://schemas.microsoft.com/office/drawing/2014/main" id="{00000000-0008-0000-2000-000008000000}"/>
              </a:ext>
            </a:extLst>
          </xdr:cNvPr>
          <xdr:cNvCxnSpPr/>
        </xdr:nvCxnSpPr>
        <xdr:spPr>
          <a:xfrm>
            <a:off x="747624" y="609600"/>
            <a:ext cx="926262" cy="0"/>
          </a:xfrm>
          <a:prstGeom prst="line">
            <a:avLst/>
          </a:prstGeom>
          <a:ln w="28575">
            <a:solidFill>
              <a:srgbClr xmlns:mc="http://schemas.openxmlformats.org/markup-compatibility/2006" xmlns:a14="http://schemas.microsoft.com/office/drawing/2010/main" val="E3E3E3" mc:Ignorable="a14" a14:legacySpreadsheetColorIndex="13"/>
            </a:solidFill>
          </a:ln>
        </xdr:spPr>
        <xdr:style>
          <a:lnRef idx="1">
            <a:schemeClr val="accent1"/>
          </a:lnRef>
          <a:fillRef idx="0">
            <a:schemeClr val="accent1"/>
          </a:fillRef>
          <a:effectRef idx="0">
            <a:schemeClr val="accent1"/>
          </a:effectRef>
          <a:fontRef idx="minor">
            <a:schemeClr val="tx1"/>
          </a:fontRef>
        </xdr:style>
      </xdr:cxnSp>
      <xdr:sp macro="" textlink="">
        <xdr:nvSpPr>
          <xdr:cNvPr id="9" name="ui_line_sec_divider1">
            <a:extLst>
              <a:ext uri="{FF2B5EF4-FFF2-40B4-BE49-F238E27FC236}">
                <a16:creationId xmlns:a16="http://schemas.microsoft.com/office/drawing/2014/main" id="{00000000-0008-0000-2000-000009000000}"/>
              </a:ext>
            </a:extLst>
          </xdr:cNvPr>
          <xdr:cNvSpPr txBox="1"/>
        </xdr:nvSpPr>
        <xdr:spPr>
          <a:xfrm>
            <a:off x="1673885" y="304800"/>
            <a:ext cx="1778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9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12" name="ui_nav_page_1_0">
            <a:extLst>
              <a:ext uri="{FF2B5EF4-FFF2-40B4-BE49-F238E27FC236}">
                <a16:creationId xmlns:a16="http://schemas.microsoft.com/office/drawing/2014/main" id="{00000000-0008-0000-2000-00000C000000}"/>
              </a:ext>
            </a:extLst>
          </xdr:cNvPr>
          <xdr:cNvSpPr txBox="1"/>
        </xdr:nvSpPr>
        <xdr:spPr>
          <a:xfrm>
            <a:off x="794372" y="622300"/>
            <a:ext cx="715785"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OVERVIEW</a:t>
            </a:r>
          </a:p>
        </xdr:txBody>
      </xdr:sp>
      <xdr:sp macro="" textlink="">
        <xdr:nvSpPr>
          <xdr:cNvPr id="13" name="ui_line_page_divider1">
            <a:extLst>
              <a:ext uri="{FF2B5EF4-FFF2-40B4-BE49-F238E27FC236}">
                <a16:creationId xmlns:a16="http://schemas.microsoft.com/office/drawing/2014/main" id="{00000000-0008-0000-2000-00000D000000}"/>
              </a:ext>
            </a:extLst>
          </xdr:cNvPr>
          <xdr:cNvSpPr txBox="1"/>
        </xdr:nvSpPr>
        <xdr:spPr>
          <a:xfrm>
            <a:off x="151015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14" name="ui_nav_page_1_1">
            <a:extLst>
              <a:ext uri="{FF2B5EF4-FFF2-40B4-BE49-F238E27FC236}">
                <a16:creationId xmlns:a16="http://schemas.microsoft.com/office/drawing/2014/main" id="{00000000-0008-0000-2000-00000E000000}"/>
              </a:ext>
            </a:extLst>
          </xdr:cNvPr>
          <xdr:cNvSpPr txBox="1"/>
        </xdr:nvSpPr>
        <xdr:spPr>
          <a:xfrm>
            <a:off x="1687957" y="622300"/>
            <a:ext cx="68728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RANKINGS</a:t>
            </a:r>
          </a:p>
        </xdr:txBody>
      </xdr:sp>
      <xdr:sp macro="" textlink="">
        <xdr:nvSpPr>
          <xdr:cNvPr id="15" name="ui_line_page_divider2">
            <a:extLst>
              <a:ext uri="{FF2B5EF4-FFF2-40B4-BE49-F238E27FC236}">
                <a16:creationId xmlns:a16="http://schemas.microsoft.com/office/drawing/2014/main" id="{00000000-0008-0000-2000-00000F000000}"/>
              </a:ext>
            </a:extLst>
          </xdr:cNvPr>
          <xdr:cNvSpPr txBox="1"/>
        </xdr:nvSpPr>
        <xdr:spPr>
          <a:xfrm>
            <a:off x="2375243"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16" name="ui_nav_page_1_2">
            <a:extLst>
              <a:ext uri="{FF2B5EF4-FFF2-40B4-BE49-F238E27FC236}">
                <a16:creationId xmlns:a16="http://schemas.microsoft.com/office/drawing/2014/main" id="{00000000-0008-0000-2000-000010000000}"/>
              </a:ext>
            </a:extLst>
          </xdr:cNvPr>
          <xdr:cNvSpPr txBox="1"/>
        </xdr:nvSpPr>
        <xdr:spPr>
          <a:xfrm>
            <a:off x="2553043" y="622300"/>
            <a:ext cx="995591"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SNAPSHOTS</a:t>
            </a:r>
          </a:p>
        </xdr:txBody>
      </xdr:sp>
      <xdr:sp macro="" textlink="">
        <xdr:nvSpPr>
          <xdr:cNvPr id="17" name="ui_line_page_divider3">
            <a:extLst>
              <a:ext uri="{FF2B5EF4-FFF2-40B4-BE49-F238E27FC236}">
                <a16:creationId xmlns:a16="http://schemas.microsoft.com/office/drawing/2014/main" id="{00000000-0008-0000-2000-000011000000}"/>
              </a:ext>
            </a:extLst>
          </xdr:cNvPr>
          <xdr:cNvSpPr txBox="1"/>
        </xdr:nvSpPr>
        <xdr:spPr>
          <a:xfrm>
            <a:off x="3548634"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18" name="ui_nav_page_1_3">
            <a:extLst>
              <a:ext uri="{FF2B5EF4-FFF2-40B4-BE49-F238E27FC236}">
                <a16:creationId xmlns:a16="http://schemas.microsoft.com/office/drawing/2014/main" id="{00000000-0008-0000-2000-000012000000}"/>
              </a:ext>
            </a:extLst>
          </xdr:cNvPr>
          <xdr:cNvSpPr txBox="1"/>
        </xdr:nvSpPr>
        <xdr:spPr>
          <a:xfrm>
            <a:off x="3726434" y="622300"/>
            <a:ext cx="864108"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PROFILES</a:t>
            </a:r>
          </a:p>
        </xdr:txBody>
      </xdr:sp>
      <xdr:sp macro="" textlink="">
        <xdr:nvSpPr>
          <xdr:cNvPr id="19" name="ui_line_page_divider4">
            <a:extLst>
              <a:ext uri="{FF2B5EF4-FFF2-40B4-BE49-F238E27FC236}">
                <a16:creationId xmlns:a16="http://schemas.microsoft.com/office/drawing/2014/main" id="{00000000-0008-0000-2000-000013000000}"/>
              </a:ext>
            </a:extLst>
          </xdr:cNvPr>
          <xdr:cNvSpPr txBox="1"/>
        </xdr:nvSpPr>
        <xdr:spPr>
          <a:xfrm>
            <a:off x="4590542"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0" name="ui_nav_page_1_4">
            <a:extLst>
              <a:ext uri="{FF2B5EF4-FFF2-40B4-BE49-F238E27FC236}">
                <a16:creationId xmlns:a16="http://schemas.microsoft.com/office/drawing/2014/main" id="{00000000-0008-0000-2000-000014000000}"/>
              </a:ext>
            </a:extLst>
          </xdr:cNvPr>
          <xdr:cNvSpPr txBox="1"/>
        </xdr:nvSpPr>
        <xdr:spPr>
          <a:xfrm>
            <a:off x="4768342" y="622300"/>
            <a:ext cx="755942"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CITY DETAIL</a:t>
            </a:r>
          </a:p>
        </xdr:txBody>
      </xdr:sp>
      <xdr:sp macro="" textlink="">
        <xdr:nvSpPr>
          <xdr:cNvPr id="21" name="ui_line_page_divider5">
            <a:extLst>
              <a:ext uri="{FF2B5EF4-FFF2-40B4-BE49-F238E27FC236}">
                <a16:creationId xmlns:a16="http://schemas.microsoft.com/office/drawing/2014/main" id="{00000000-0008-0000-2000-000015000000}"/>
              </a:ext>
            </a:extLst>
          </xdr:cNvPr>
          <xdr:cNvSpPr txBox="1"/>
        </xdr:nvSpPr>
        <xdr:spPr>
          <a:xfrm>
            <a:off x="5524284"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2" name="ui_nav_page_1_5">
            <a:extLst>
              <a:ext uri="{FF2B5EF4-FFF2-40B4-BE49-F238E27FC236}">
                <a16:creationId xmlns:a16="http://schemas.microsoft.com/office/drawing/2014/main" id="{00000000-0008-0000-2000-000016000000}"/>
              </a:ext>
            </a:extLst>
          </xdr:cNvPr>
          <xdr:cNvSpPr txBox="1"/>
        </xdr:nvSpPr>
        <xdr:spPr>
          <a:xfrm>
            <a:off x="5702084" y="622300"/>
            <a:ext cx="995591"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COMPARE CITIES</a:t>
            </a:r>
          </a:p>
        </xdr:txBody>
      </xdr:sp>
      <xdr:sp macro="" textlink="">
        <xdr:nvSpPr>
          <xdr:cNvPr id="23" name="ui_line_page_divider6">
            <a:extLst>
              <a:ext uri="{FF2B5EF4-FFF2-40B4-BE49-F238E27FC236}">
                <a16:creationId xmlns:a16="http://schemas.microsoft.com/office/drawing/2014/main" id="{00000000-0008-0000-2000-000017000000}"/>
              </a:ext>
            </a:extLst>
          </xdr:cNvPr>
          <xdr:cNvSpPr txBox="1"/>
        </xdr:nvSpPr>
        <xdr:spPr>
          <a:xfrm>
            <a:off x="6697675"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4" name="ui_nav_page_1_6">
            <a:extLst>
              <a:ext uri="{FF2B5EF4-FFF2-40B4-BE49-F238E27FC236}">
                <a16:creationId xmlns:a16="http://schemas.microsoft.com/office/drawing/2014/main" id="{00000000-0008-0000-2000-000018000000}"/>
              </a:ext>
            </a:extLst>
          </xdr:cNvPr>
          <xdr:cNvSpPr txBox="1"/>
        </xdr:nvSpPr>
        <xdr:spPr>
          <a:xfrm>
            <a:off x="6875475" y="622300"/>
            <a:ext cx="89843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ALL MEASURES</a:t>
            </a:r>
          </a:p>
        </xdr:txBody>
      </xdr:sp>
      <xdr:sp macro="" textlink="">
        <xdr:nvSpPr>
          <xdr:cNvPr id="25" name="ui_line_page_divider7">
            <a:extLst>
              <a:ext uri="{FF2B5EF4-FFF2-40B4-BE49-F238E27FC236}">
                <a16:creationId xmlns:a16="http://schemas.microsoft.com/office/drawing/2014/main" id="{00000000-0008-0000-2000-000019000000}"/>
              </a:ext>
            </a:extLst>
          </xdr:cNvPr>
          <xdr:cNvSpPr txBox="1"/>
        </xdr:nvSpPr>
        <xdr:spPr>
          <a:xfrm>
            <a:off x="7773912"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6" name="ui_nav_page_1_7">
            <a:extLst>
              <a:ext uri="{FF2B5EF4-FFF2-40B4-BE49-F238E27FC236}">
                <a16:creationId xmlns:a16="http://schemas.microsoft.com/office/drawing/2014/main" id="{00000000-0008-0000-2000-00001A000000}"/>
              </a:ext>
            </a:extLst>
          </xdr:cNvPr>
          <xdr:cNvSpPr txBox="1"/>
        </xdr:nvSpPr>
        <xdr:spPr>
          <a:xfrm>
            <a:off x="7951712" y="622300"/>
            <a:ext cx="881596"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SCATTER PLOT</a:t>
            </a:r>
          </a:p>
        </xdr:txBody>
      </xdr:sp>
      <xdr:sp macro="" textlink="">
        <xdr:nvSpPr>
          <xdr:cNvPr id="27" name="ui_line_page_divider8">
            <a:extLst>
              <a:ext uri="{FF2B5EF4-FFF2-40B4-BE49-F238E27FC236}">
                <a16:creationId xmlns:a16="http://schemas.microsoft.com/office/drawing/2014/main" id="{00000000-0008-0000-2000-00001B000000}"/>
              </a:ext>
            </a:extLst>
          </xdr:cNvPr>
          <xdr:cNvSpPr txBox="1"/>
        </xdr:nvSpPr>
        <xdr:spPr>
          <a:xfrm>
            <a:off x="883330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a:t>
            </a:r>
          </a:p>
        </xdr:txBody>
      </xdr:sp>
      <xdr:sp macro="[0]!k" textlink="">
        <xdr:nvSpPr>
          <xdr:cNvPr id="28" name="ui_nav_page_1_8">
            <a:extLst>
              <a:ext uri="{FF2B5EF4-FFF2-40B4-BE49-F238E27FC236}">
                <a16:creationId xmlns:a16="http://schemas.microsoft.com/office/drawing/2014/main" id="{00000000-0008-0000-2000-00001C000000}"/>
              </a:ext>
            </a:extLst>
          </xdr:cNvPr>
          <xdr:cNvSpPr txBox="1"/>
        </xdr:nvSpPr>
        <xdr:spPr>
          <a:xfrm>
            <a:off x="9011107" y="622300"/>
            <a:ext cx="635470"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WEIGHTS</a:t>
            </a:r>
          </a:p>
        </xdr:txBody>
      </xdr:sp>
      <xdr:sp macro="" textlink="">
        <xdr:nvSpPr>
          <xdr:cNvPr id="29" name="ui_line_page_divider9">
            <a:extLst>
              <a:ext uri="{FF2B5EF4-FFF2-40B4-BE49-F238E27FC236}">
                <a16:creationId xmlns:a16="http://schemas.microsoft.com/office/drawing/2014/main" id="{00000000-0008-0000-2000-00001D000000}"/>
              </a:ext>
            </a:extLst>
          </xdr:cNvPr>
          <xdr:cNvSpPr txBox="1"/>
        </xdr:nvSpPr>
        <xdr:spPr>
          <a:xfrm>
            <a:off x="9646577"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 textlink="">
        <xdr:nvSpPr>
          <xdr:cNvPr id="32" name="ui_line_page_divider10">
            <a:extLst>
              <a:ext uri="{FF2B5EF4-FFF2-40B4-BE49-F238E27FC236}">
                <a16:creationId xmlns:a16="http://schemas.microsoft.com/office/drawing/2014/main" id="{00000000-0008-0000-2000-000020000000}"/>
              </a:ext>
            </a:extLst>
          </xdr:cNvPr>
          <xdr:cNvSpPr txBox="1"/>
        </xdr:nvSpPr>
        <xdr:spPr>
          <a:xfrm>
            <a:off x="10283025"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33" name="ui_nav_page_1_10">
            <a:extLst>
              <a:ext uri="{FF2B5EF4-FFF2-40B4-BE49-F238E27FC236}">
                <a16:creationId xmlns:a16="http://schemas.microsoft.com/office/drawing/2014/main" id="{00000000-0008-0000-2000-000021000000}"/>
              </a:ext>
            </a:extLst>
          </xdr:cNvPr>
          <xdr:cNvSpPr txBox="1"/>
        </xdr:nvSpPr>
        <xdr:spPr>
          <a:xfrm>
            <a:off x="10460825" y="622300"/>
            <a:ext cx="555803" cy="31386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bg1">
                    <a:lumMod val="85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808080" mc:Ignorable="a14" a14:legacySpreadsheetColorIndex="16"/>
                </a:solidFill>
              </a:rPr>
              <a:t>SCORES</a:t>
            </a:r>
          </a:p>
        </xdr:txBody>
      </xdr:sp>
      <xdr:sp macro="" textlink="">
        <xdr:nvSpPr>
          <xdr:cNvPr id="34" name="ui_line_page_divider11">
            <a:extLst>
              <a:ext uri="{FF2B5EF4-FFF2-40B4-BE49-F238E27FC236}">
                <a16:creationId xmlns:a16="http://schemas.microsoft.com/office/drawing/2014/main" id="{00000000-0008-0000-2000-000022000000}"/>
              </a:ext>
            </a:extLst>
          </xdr:cNvPr>
          <xdr:cNvSpPr txBox="1"/>
        </xdr:nvSpPr>
        <xdr:spPr>
          <a:xfrm>
            <a:off x="11016628" y="609600"/>
            <a:ext cx="17780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en-GB" sz="800" b="0">
                <a:solidFill>
                  <a:srgbClr xmlns:mc="http://schemas.openxmlformats.org/markup-compatibility/2006" xmlns:a14="http://schemas.microsoft.com/office/drawing/2010/main" val="808080" mc:Ignorable="a14" a14:legacySpreadsheetColorIndex="16"/>
                </a:solidFill>
              </a:rPr>
              <a:t> </a:t>
            </a:r>
          </a:p>
        </xdr:txBody>
      </xdr:sp>
      <xdr:sp macro="[0]!k" textlink="">
        <xdr:nvSpPr>
          <xdr:cNvPr id="30" name="ui_nav_page_1_9">
            <a:extLst>
              <a:ext uri="{FF2B5EF4-FFF2-40B4-BE49-F238E27FC236}">
                <a16:creationId xmlns:a16="http://schemas.microsoft.com/office/drawing/2014/main" id="{00000000-0008-0000-2000-00001E000000}"/>
              </a:ext>
            </a:extLst>
          </xdr:cNvPr>
          <xdr:cNvSpPr txBox="1"/>
        </xdr:nvSpPr>
        <xdr:spPr>
          <a:xfrm>
            <a:off x="9824377" y="647700"/>
            <a:ext cx="458648" cy="288468"/>
          </a:xfrm>
          <a:prstGeom prst="rect">
            <a:avLst/>
          </a:prstGeom>
          <a:solidFill>
            <a:srgbClr xmlns:mc="http://schemas.openxmlformats.org/markup-compatibility/2006" xmlns:a14="http://schemas.microsoft.com/office/drawing/2010/main" val="F2F2F2" mc:Ignorable="a14" a14:legacySpreadsheetColorIndex="17"/>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lIns="0" rIns="0" rtlCol="0" anchor="ctr" anchorCtr="0"/>
          <a:lstStyle/>
          <a:p>
            <a:pPr algn="ctr"/>
            <a:r>
              <a:rPr lang="en-GB" sz="900" b="0">
                <a:solidFill>
                  <a:srgbClr xmlns:mc="http://schemas.openxmlformats.org/markup-compatibility/2006" xmlns:a14="http://schemas.microsoft.com/office/drawing/2010/main" val="005E9E" mc:Ignorable="a14" a14:legacySpreadsheetColorIndex="15"/>
                </a:solidFill>
              </a:rPr>
              <a:t>DATA</a:t>
            </a:r>
          </a:p>
        </xdr:txBody>
      </xdr:sp>
      <xdr:cxnSp macro="">
        <xdr:nvCxnSpPr>
          <xdr:cNvPr id="31" name="ui_line_page_active">
            <a:extLst>
              <a:ext uri="{FF2B5EF4-FFF2-40B4-BE49-F238E27FC236}">
                <a16:creationId xmlns:a16="http://schemas.microsoft.com/office/drawing/2014/main" id="{00000000-0008-0000-2000-00001F000000}"/>
              </a:ext>
            </a:extLst>
          </xdr:cNvPr>
          <xdr:cNvCxnSpPr/>
        </xdr:nvCxnSpPr>
        <xdr:spPr>
          <a:xfrm>
            <a:off x="9824377" y="936168"/>
            <a:ext cx="458648" cy="0"/>
          </a:xfrm>
          <a:prstGeom prst="line">
            <a:avLst/>
          </a:prstGeom>
          <a:ln w="28575">
            <a:solidFill>
              <a:srgbClr xmlns:mc="http://schemas.openxmlformats.org/markup-compatibility/2006" xmlns:a14="http://schemas.microsoft.com/office/drawing/2010/main" val="F2F2F2" mc:Ignorable="a14" a14:legacySpreadsheetColorIndex="17"/>
            </a:solidFill>
          </a:ln>
        </xdr:spPr>
        <xdr:style>
          <a:lnRef idx="1">
            <a:schemeClr val="accent1"/>
          </a:lnRef>
          <a:fillRef idx="0">
            <a:schemeClr val="accent1"/>
          </a:fillRef>
          <a:effectRef idx="0">
            <a:schemeClr val="accent1"/>
          </a:effectRef>
          <a:fontRef idx="minor">
            <a:schemeClr val="tx1"/>
          </a:fontRef>
        </xdr:style>
      </xdr:cxnSp>
      <xdr:sp macro="" textlink="">
        <xdr:nvSpPr>
          <xdr:cNvPr id="37" name="ui_lbl_cnt_DataTableFilter">
            <a:extLst>
              <a:ext uri="{FF2B5EF4-FFF2-40B4-BE49-F238E27FC236}">
                <a16:creationId xmlns:a16="http://schemas.microsoft.com/office/drawing/2014/main" id="{00000000-0008-0000-2000-000025000000}"/>
              </a:ext>
            </a:extLst>
          </xdr:cNvPr>
          <xdr:cNvSpPr txBox="1"/>
        </xdr:nvSpPr>
        <xdr:spPr>
          <a:xfrm>
            <a:off x="127000" y="986968"/>
            <a:ext cx="881850"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900" b="1">
                <a:solidFill>
                  <a:srgbClr xmlns:mc="http://schemas.openxmlformats.org/markup-compatibility/2006" xmlns:a14="http://schemas.microsoft.com/office/drawing/2010/main" val="808080" mc:Ignorable="a14" a14:legacySpreadsheetColorIndex="19"/>
                </a:solidFill>
              </a:rPr>
              <a:t>LEVEL OF DETAIL</a:t>
            </a:r>
          </a:p>
        </xdr:txBody>
      </xdr:sp>
      <mc:AlternateContent xmlns:mc="http://schemas.openxmlformats.org/markup-compatibility/2006">
        <mc:Choice xmlns:a14="http://schemas.microsoft.com/office/drawing/2010/main" Requires="a14">
          <xdr:sp macro="" textlink="">
            <xdr:nvSpPr>
              <xdr:cNvPr id="6580666" name="ui_cnt_DataTableFilter" hidden="1">
                <a:extLst>
                  <a:ext uri="{63B3BB69-23CF-44E3-9099-C40C66FF867C}">
                    <a14:compatExt spid="_x0000_s6580666"/>
                  </a:ext>
                  <a:ext uri="{FF2B5EF4-FFF2-40B4-BE49-F238E27FC236}">
                    <a16:creationId xmlns:a16="http://schemas.microsoft.com/office/drawing/2014/main" id="{00000000-0008-0000-2000-0000BA696400}"/>
                  </a:ext>
                </a:extLst>
              </xdr:cNvPr>
              <xdr:cNvSpPr/>
            </xdr:nvSpPr>
            <xdr:spPr bwMode="auto">
              <a:xfrm>
                <a:off x="127000" y="1177468"/>
                <a:ext cx="1572985" cy="212271"/>
              </a:xfrm>
              <a:prstGeom prst="rect">
                <a:avLst/>
              </a:prstGeom>
              <a:noFill/>
              <a:ln w="9525">
                <a:miter lim="800000"/>
                <a:headEnd/>
                <a:tailEnd/>
              </a:ln>
              <a:extLst>
                <a:ext uri="{909E8E84-426E-40DD-AFC4-6F175D3DCCD1}">
                  <a14:hiddenFill>
                    <a:noFill/>
                  </a14:hiddenFill>
                </a:ext>
              </a:extLst>
            </xdr:spPr>
          </xdr:sp>
        </mc:Choice>
        <mc:Fallback/>
      </mc:AlternateContent>
      <xdr:pic macro="[0]!k">
        <xdr:nvPicPr>
          <xdr:cNvPr id="38" name="ui_spu_DataTableFilter" descr="scroll_up_small.png">
            <a:extLst>
              <a:ext uri="{FF2B5EF4-FFF2-40B4-BE49-F238E27FC236}">
                <a16:creationId xmlns:a16="http://schemas.microsoft.com/office/drawing/2014/main" id="{00000000-0008-0000-2000-000026000000}"/>
              </a:ext>
            </a:extLst>
          </xdr:cNvPr>
          <xdr:cNvPicPr>
            <a:picLocks noChangeAspect="1"/>
          </xdr:cNvPicPr>
        </xdr:nvPicPr>
        <xdr:blipFill>
          <a:blip xmlns:r="http://schemas.openxmlformats.org/officeDocument/2006/relationships" r:embed="rId4" cstate="print"/>
          <a:stretch>
            <a:fillRect/>
          </a:stretch>
        </xdr:blipFill>
        <xdr:spPr>
          <a:xfrm>
            <a:off x="1725384" y="1177468"/>
            <a:ext cx="228615" cy="77699"/>
          </a:xfrm>
          <a:prstGeom prst="rect">
            <a:avLst/>
          </a:prstGeom>
        </xdr:spPr>
      </xdr:pic>
      <xdr:pic macro="[0]!k">
        <xdr:nvPicPr>
          <xdr:cNvPr id="39" name="ui_spd_DataTableFilter" descr="scroll_down_small.png">
            <a:extLst>
              <a:ext uri="{FF2B5EF4-FFF2-40B4-BE49-F238E27FC236}">
                <a16:creationId xmlns:a16="http://schemas.microsoft.com/office/drawing/2014/main" id="{00000000-0008-0000-2000-000027000000}"/>
              </a:ext>
            </a:extLst>
          </xdr:cNvPr>
          <xdr:cNvPicPr>
            <a:picLocks noChangeAspect="1"/>
          </xdr:cNvPicPr>
        </xdr:nvPicPr>
        <xdr:blipFill>
          <a:blip xmlns:r="http://schemas.openxmlformats.org/officeDocument/2006/relationships" r:embed="rId5" cstate="print"/>
          <a:stretch>
            <a:fillRect/>
          </a:stretch>
        </xdr:blipFill>
        <xdr:spPr>
          <a:xfrm>
            <a:off x="1725384" y="1282458"/>
            <a:ext cx="228604" cy="56388"/>
          </a:xfrm>
          <a:prstGeom prst="rect">
            <a:avLst/>
          </a:prstGeom>
        </xdr:spPr>
      </xdr:pic>
      <xdr:pic macro="[0]!k">
        <xdr:nvPicPr>
          <xdr:cNvPr id="47" name="ui_cmd_export_xl" descr="xl_icon.gif">
            <a:hlinkClick xmlns:r="http://schemas.openxmlformats.org/officeDocument/2006/relationships" r:id="rId6" tooltip="Export current page as a standalone Excel workbook"/>
            <a:extLst>
              <a:ext uri="{FF2B5EF4-FFF2-40B4-BE49-F238E27FC236}">
                <a16:creationId xmlns:a16="http://schemas.microsoft.com/office/drawing/2014/main" id="{00000000-0008-0000-2000-00002F000000}"/>
              </a:ext>
            </a:extLst>
          </xdr:cNvPr>
          <xdr:cNvPicPr>
            <a:picLocks noChangeAspect="1"/>
          </xdr:cNvPicPr>
        </xdr:nvPicPr>
        <xdr:blipFill>
          <a:blip xmlns:r="http://schemas.openxmlformats.org/officeDocument/2006/relationships" r:embed="rId7" cstate="print"/>
          <a:stretch>
            <a:fillRect/>
          </a:stretch>
        </xdr:blipFill>
        <xdr:spPr>
          <a:xfrm>
            <a:off x="11367528" y="361950"/>
            <a:ext cx="519674" cy="190500"/>
          </a:xfrm>
          <a:prstGeom prst="rect">
            <a:avLst/>
          </a:prstGeom>
        </xdr:spPr>
      </xdr:pic>
      <xdr:pic macro="[0]!k">
        <xdr:nvPicPr>
          <xdr:cNvPr id="46" name="ui_cmd_reset_controls">
            <a:hlinkClick xmlns:r="http://schemas.openxmlformats.org/officeDocument/2006/relationships" r:id="rId8" tooltip="Reset all options and controls on this page to the default value."/>
            <a:extLst>
              <a:ext uri="{FF2B5EF4-FFF2-40B4-BE49-F238E27FC236}">
                <a16:creationId xmlns:a16="http://schemas.microsoft.com/office/drawing/2014/main" id="{00000000-0008-0000-2000-00002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628209" y="974268"/>
            <a:ext cx="208189" cy="190500"/>
          </a:xfrm>
          <a:prstGeom prst="rect">
            <a:avLst/>
          </a:prstGeom>
        </xdr:spPr>
      </xdr:pic>
      <xdr:pic macro="[0]!k">
        <xdr:nvPicPr>
          <xdr:cNvPr id="44" name="ui_cmd_full_screen">
            <a:hlinkClick xmlns:r="http://schemas.openxmlformats.org/officeDocument/2006/relationships" r:id="rId10" tooltip="Full screen mode (recommended)"/>
            <a:extLst>
              <a:ext uri="{FF2B5EF4-FFF2-40B4-BE49-F238E27FC236}">
                <a16:creationId xmlns:a16="http://schemas.microsoft.com/office/drawing/2014/main" id="{00000000-0008-0000-2000-00002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099356" y="361950"/>
            <a:ext cx="217368" cy="190500"/>
          </a:xfrm>
          <a:prstGeom prst="rect">
            <a:avLst/>
          </a:prstGeom>
        </xdr:spPr>
      </xdr:pic>
      <xdr:pic macro="[0]!k">
        <xdr:nvPicPr>
          <xdr:cNvPr id="45" name="ui_cmd_exit_full_screen" hidden="1">
            <a:hlinkClick xmlns:r="http://schemas.openxmlformats.org/officeDocument/2006/relationships" r:id="rId12" tooltip="Leave full screen mode"/>
            <a:extLst>
              <a:ext uri="{FF2B5EF4-FFF2-40B4-BE49-F238E27FC236}">
                <a16:creationId xmlns:a16="http://schemas.microsoft.com/office/drawing/2014/main" id="{00000000-0008-0000-2000-00002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099356" y="361950"/>
            <a:ext cx="209038" cy="190500"/>
          </a:xfrm>
          <a:prstGeom prst="rect">
            <a:avLst/>
          </a:prstGeom>
        </xdr:spPr>
      </xdr:pic>
    </xdr:grpSp>
    <xdr:clientData fPrintsWithSheet="0"/>
  </xdr:twoCellAnchor>
  <xdr:twoCellAnchor>
    <xdr:from>
      <xdr:col>9</xdr:col>
      <xdr:colOff>0</xdr:colOff>
      <xdr:row>100</xdr:row>
      <xdr:rowOff>0</xdr:rowOff>
    </xdr:from>
    <xdr:to>
      <xdr:col>9</xdr:col>
      <xdr:colOff>1015093</xdr:colOff>
      <xdr:row>101</xdr:row>
      <xdr:rowOff>0</xdr:rowOff>
    </xdr:to>
    <xdr:sp macro="k" textlink="">
      <xdr:nvSpPr>
        <xdr:cNvPr id="52" name="go_top">
          <a:extLst>
            <a:ext uri="{FF2B5EF4-FFF2-40B4-BE49-F238E27FC236}">
              <a16:creationId xmlns:a16="http://schemas.microsoft.com/office/drawing/2014/main" id="{00000000-0008-0000-2000-000034000000}"/>
            </a:ext>
          </a:extLst>
        </xdr:cNvPr>
        <xdr:cNvSpPr txBox="1"/>
      </xdr:nvSpPr>
      <xdr:spPr>
        <a:xfrm>
          <a:off x="304800" y="18059400"/>
          <a:ext cx="1015093" cy="185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none" strike="noStrike" baseline="0">
              <a:solidFill>
                <a:srgbClr val="0070C0"/>
              </a:solidFill>
              <a:latin typeface="+mn-lt"/>
            </a:rPr>
            <a:t>↑ Top of page</a:t>
          </a:r>
        </a:p>
      </xdr:txBody>
    </xdr:sp>
    <xdr:clientData fPrintsWithSheet="0"/>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8</v>
    <v>19328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support.microsoft.com/en-us/office/add-remove-or-change-a-trusted-location-in-microsoft-office-7ee1cdc2-483e-4cbb-bcb3-4e7c67147fb4"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47.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49.xml"/><Relationship Id="rId5" Type="http://schemas.openxmlformats.org/officeDocument/2006/relationships/ctrlProp" Target="../ctrlProps/ctrlProp48.xml"/><Relationship Id="rId4" Type="http://schemas.openxmlformats.org/officeDocument/2006/relationships/vmlDrawing" Target="../drawings/vmlDrawing5.v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50.xml"/><Relationship Id="rId4" Type="http://schemas.openxmlformats.org/officeDocument/2006/relationships/vmlDrawing" Target="../drawings/vmlDrawing7.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trlProp" Target="../ctrlProps/ctrlProp51.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trlProp" Target="../ctrlProps/ctrlProp5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trlProp" Target="../ctrlProps/ctrlProp58.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63.xml"/><Relationship Id="rId3" Type="http://schemas.openxmlformats.org/officeDocument/2006/relationships/vmlDrawing" Target="../drawings/vmlDrawing13.vml"/><Relationship Id="rId7" Type="http://schemas.openxmlformats.org/officeDocument/2006/relationships/ctrlProp" Target="../ctrlProps/ctrlProp62.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61.xml"/><Relationship Id="rId5" Type="http://schemas.openxmlformats.org/officeDocument/2006/relationships/ctrlProp" Target="../ctrlProps/ctrlProp60.xml"/><Relationship Id="rId4" Type="http://schemas.openxmlformats.org/officeDocument/2006/relationships/ctrlProp" Target="../ctrlProps/ctrlProp59.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68.xml"/><Relationship Id="rId3" Type="http://schemas.openxmlformats.org/officeDocument/2006/relationships/vmlDrawing" Target="../drawings/vmlDrawing14.vml"/><Relationship Id="rId7" Type="http://schemas.openxmlformats.org/officeDocument/2006/relationships/ctrlProp" Target="../ctrlProps/ctrlProp67.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66.xml"/><Relationship Id="rId5" Type="http://schemas.openxmlformats.org/officeDocument/2006/relationships/ctrlProp" Target="../ctrlProps/ctrlProp65.xml"/><Relationship Id="rId4" Type="http://schemas.openxmlformats.org/officeDocument/2006/relationships/ctrlProp" Target="../ctrlProps/ctrlProp64.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ctrlProp" Target="../ctrlProps/ctrlProp71.xml"/><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trlProp" Target="../ctrlProps/ctrlProp72.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7.vml"/><Relationship Id="rId7" Type="http://schemas.openxmlformats.org/officeDocument/2006/relationships/ctrlProp" Target="../ctrlProps/ctrlProp76.xml"/><Relationship Id="rId2" Type="http://schemas.openxmlformats.org/officeDocument/2006/relationships/drawing" Target="../drawings/drawing15.xml"/><Relationship Id="rId1" Type="http://schemas.openxmlformats.org/officeDocument/2006/relationships/printerSettings" Target="../printerSettings/printerSettings16.bin"/><Relationship Id="rId6" Type="http://schemas.openxmlformats.org/officeDocument/2006/relationships/ctrlProp" Target="../ctrlProps/ctrlProp75.xml"/><Relationship Id="rId5" Type="http://schemas.openxmlformats.org/officeDocument/2006/relationships/ctrlProp" Target="../ctrlProps/ctrlProp74.xml"/><Relationship Id="rId4" Type="http://schemas.openxmlformats.org/officeDocument/2006/relationships/ctrlProp" Target="../ctrlProps/ctrlProp7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6.xml"/><Relationship Id="rId1" Type="http://schemas.openxmlformats.org/officeDocument/2006/relationships/printerSettings" Target="../printerSettings/printerSettings17.bin"/><Relationship Id="rId6" Type="http://schemas.openxmlformats.org/officeDocument/2006/relationships/ctrlProp" Target="../ctrlProps/ctrlProp79.xml"/><Relationship Id="rId5" Type="http://schemas.openxmlformats.org/officeDocument/2006/relationships/ctrlProp" Target="../ctrlProps/ctrlProp78.xml"/><Relationship Id="rId4" Type="http://schemas.openxmlformats.org/officeDocument/2006/relationships/ctrlProp" Target="../ctrlProps/ctrlProp7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6FA20-E793-403F-BB5E-AD6B20EAC70F}">
  <sheetPr codeName="Sheet18">
    <tabColor theme="7"/>
  </sheetPr>
  <dimension ref="A1:G62"/>
  <sheetViews>
    <sheetView workbookViewId="0">
      <selection activeCell="H34" sqref="H34"/>
    </sheetView>
  </sheetViews>
  <sheetFormatPr defaultColWidth="9.15234375" defaultRowHeight="14.6" x14ac:dyDescent="0.4"/>
  <cols>
    <col min="1" max="1" width="27.69140625" bestFit="1" customWidth="1"/>
    <col min="2" max="2" width="17.69140625" customWidth="1"/>
    <col min="7" max="7" width="36.53515625" customWidth="1"/>
  </cols>
  <sheetData>
    <row r="1" spans="1:7" x14ac:dyDescent="0.4">
      <c r="A1" t="s">
        <v>97</v>
      </c>
      <c r="B1" t="s">
        <v>98</v>
      </c>
      <c r="C1" t="s">
        <v>99</v>
      </c>
      <c r="D1" t="s">
        <v>100</v>
      </c>
      <c r="E1" t="s">
        <v>101</v>
      </c>
      <c r="F1" t="s">
        <v>1107</v>
      </c>
      <c r="G1" t="s">
        <v>120</v>
      </c>
    </row>
    <row r="2" spans="1:7" x14ac:dyDescent="0.4">
      <c r="A2" t="s">
        <v>32</v>
      </c>
      <c r="C2" t="s">
        <v>102</v>
      </c>
      <c r="D2" t="s">
        <v>103</v>
      </c>
      <c r="E2" t="s">
        <v>104</v>
      </c>
    </row>
    <row r="3" spans="1:7" x14ac:dyDescent="0.4">
      <c r="A3" t="s">
        <v>33</v>
      </c>
      <c r="C3" t="s">
        <v>105</v>
      </c>
      <c r="D3" t="s">
        <v>103</v>
      </c>
      <c r="G3" t="s">
        <v>106</v>
      </c>
    </row>
    <row r="4" spans="1:7" x14ac:dyDescent="0.4">
      <c r="A4" t="s">
        <v>34</v>
      </c>
      <c r="C4" t="s">
        <v>105</v>
      </c>
      <c r="D4" t="s">
        <v>103</v>
      </c>
      <c r="G4" t="s">
        <v>107</v>
      </c>
    </row>
    <row r="5" spans="1:7" x14ac:dyDescent="0.4">
      <c r="A5" t="s">
        <v>29</v>
      </c>
      <c r="C5" t="s">
        <v>105</v>
      </c>
      <c r="D5" t="s">
        <v>103</v>
      </c>
      <c r="G5" t="s">
        <v>108</v>
      </c>
    </row>
    <row r="6" spans="1:7" x14ac:dyDescent="0.4">
      <c r="A6" t="s">
        <v>35</v>
      </c>
      <c r="C6" t="s">
        <v>105</v>
      </c>
      <c r="D6" t="s">
        <v>103</v>
      </c>
      <c r="G6" t="s">
        <v>60</v>
      </c>
    </row>
    <row r="7" spans="1:7" x14ac:dyDescent="0.4">
      <c r="A7" t="s">
        <v>85</v>
      </c>
      <c r="C7" t="s">
        <v>105</v>
      </c>
      <c r="D7" t="s">
        <v>103</v>
      </c>
      <c r="G7" t="s">
        <v>94</v>
      </c>
    </row>
    <row r="8" spans="1:7" x14ac:dyDescent="0.4">
      <c r="A8" t="s">
        <v>153</v>
      </c>
      <c r="C8" t="s">
        <v>105</v>
      </c>
      <c r="D8" t="s">
        <v>103</v>
      </c>
      <c r="G8" t="s">
        <v>243</v>
      </c>
    </row>
    <row r="9" spans="1:7" x14ac:dyDescent="0.4">
      <c r="A9" t="s">
        <v>91</v>
      </c>
      <c r="B9" t="s">
        <v>109</v>
      </c>
      <c r="C9" t="s">
        <v>105</v>
      </c>
      <c r="D9">
        <v>0</v>
      </c>
      <c r="G9" t="s">
        <v>122</v>
      </c>
    </row>
    <row r="10" spans="1:7" x14ac:dyDescent="0.4">
      <c r="A10" t="s">
        <v>1325</v>
      </c>
      <c r="B10" t="s">
        <v>1326</v>
      </c>
      <c r="C10" t="s">
        <v>105</v>
      </c>
      <c r="D10">
        <v>0</v>
      </c>
      <c r="G10" t="s">
        <v>1324</v>
      </c>
    </row>
    <row r="11" spans="1:7" x14ac:dyDescent="0.4">
      <c r="A11" t="s">
        <v>36</v>
      </c>
      <c r="C11" t="s">
        <v>105</v>
      </c>
      <c r="D11" t="s">
        <v>103</v>
      </c>
      <c r="F11" t="s">
        <v>1106</v>
      </c>
      <c r="G11" t="s">
        <v>121</v>
      </c>
    </row>
    <row r="12" spans="1:7" x14ac:dyDescent="0.4">
      <c r="A12" t="s">
        <v>37</v>
      </c>
      <c r="C12" t="s">
        <v>105</v>
      </c>
      <c r="D12" t="s">
        <v>103</v>
      </c>
      <c r="G12" t="s">
        <v>123</v>
      </c>
    </row>
    <row r="13" spans="1:7" x14ac:dyDescent="0.4">
      <c r="A13" t="s">
        <v>15</v>
      </c>
      <c r="C13" t="s">
        <v>105</v>
      </c>
      <c r="D13" t="s">
        <v>103</v>
      </c>
      <c r="G13" t="s">
        <v>21</v>
      </c>
    </row>
    <row r="14" spans="1:7" x14ac:dyDescent="0.4">
      <c r="A14" t="s">
        <v>4</v>
      </c>
      <c r="C14" t="s">
        <v>105</v>
      </c>
      <c r="D14" t="s">
        <v>103</v>
      </c>
      <c r="G14" t="s">
        <v>111</v>
      </c>
    </row>
    <row r="15" spans="1:7" x14ac:dyDescent="0.4">
      <c r="A15" t="s">
        <v>1</v>
      </c>
      <c r="C15" t="s">
        <v>105</v>
      </c>
      <c r="D15" t="s">
        <v>103</v>
      </c>
      <c r="G15" t="s">
        <v>124</v>
      </c>
    </row>
    <row r="16" spans="1:7" x14ac:dyDescent="0.4">
      <c r="A16" t="s">
        <v>88</v>
      </c>
      <c r="C16" t="s">
        <v>115</v>
      </c>
      <c r="D16" t="s">
        <v>103</v>
      </c>
      <c r="G16" t="s">
        <v>113</v>
      </c>
    </row>
    <row r="17" spans="1:7" x14ac:dyDescent="0.4">
      <c r="A17" t="s">
        <v>38</v>
      </c>
      <c r="C17" t="s">
        <v>115</v>
      </c>
      <c r="D17" t="s">
        <v>103</v>
      </c>
      <c r="G17" t="s">
        <v>125</v>
      </c>
    </row>
    <row r="18" spans="1:7" x14ac:dyDescent="0.4">
      <c r="A18" t="s">
        <v>2525</v>
      </c>
      <c r="C18" t="s">
        <v>115</v>
      </c>
      <c r="D18" t="s">
        <v>103</v>
      </c>
      <c r="G18" t="s">
        <v>2526</v>
      </c>
    </row>
    <row r="19" spans="1:7" x14ac:dyDescent="0.4">
      <c r="A19" t="s">
        <v>2675</v>
      </c>
      <c r="C19" t="s">
        <v>115</v>
      </c>
      <c r="D19" t="s">
        <v>103</v>
      </c>
      <c r="G19" t="s">
        <v>2676</v>
      </c>
    </row>
    <row r="20" spans="1:7" x14ac:dyDescent="0.4">
      <c r="A20" t="s">
        <v>1236</v>
      </c>
      <c r="C20" t="s">
        <v>115</v>
      </c>
      <c r="D20" t="s">
        <v>103</v>
      </c>
      <c r="G20" t="s">
        <v>1237</v>
      </c>
    </row>
    <row r="21" spans="1:7" x14ac:dyDescent="0.4">
      <c r="A21" t="s">
        <v>45</v>
      </c>
      <c r="C21" t="s">
        <v>105</v>
      </c>
      <c r="D21" t="s">
        <v>103</v>
      </c>
      <c r="G21" t="s">
        <v>116</v>
      </c>
    </row>
    <row r="22" spans="1:7" x14ac:dyDescent="0.4">
      <c r="A22" t="s">
        <v>39</v>
      </c>
      <c r="C22" t="s">
        <v>115</v>
      </c>
      <c r="D22" t="s">
        <v>103</v>
      </c>
      <c r="G22" t="s">
        <v>117</v>
      </c>
    </row>
    <row r="23" spans="1:7" x14ac:dyDescent="0.4">
      <c r="A23" t="s">
        <v>81</v>
      </c>
      <c r="C23" t="s">
        <v>115</v>
      </c>
      <c r="D23">
        <v>1</v>
      </c>
      <c r="G23" t="s">
        <v>131</v>
      </c>
    </row>
    <row r="24" spans="1:7" x14ac:dyDescent="0.4">
      <c r="A24" t="s">
        <v>86</v>
      </c>
      <c r="C24" t="s">
        <v>115</v>
      </c>
      <c r="D24" t="s">
        <v>103</v>
      </c>
      <c r="G24" t="s">
        <v>126</v>
      </c>
    </row>
    <row r="25" spans="1:7" x14ac:dyDescent="0.4">
      <c r="A25" t="s">
        <v>87</v>
      </c>
      <c r="C25" t="s">
        <v>115</v>
      </c>
      <c r="D25" t="s">
        <v>103</v>
      </c>
      <c r="G25" t="s">
        <v>127</v>
      </c>
    </row>
    <row r="26" spans="1:7" x14ac:dyDescent="0.4">
      <c r="A26" t="s">
        <v>151</v>
      </c>
      <c r="C26" t="s">
        <v>115</v>
      </c>
      <c r="D26" t="s">
        <v>152</v>
      </c>
    </row>
    <row r="27" spans="1:7" x14ac:dyDescent="0.4">
      <c r="A27" t="s">
        <v>40</v>
      </c>
      <c r="C27" t="s">
        <v>105</v>
      </c>
      <c r="D27" t="s">
        <v>65</v>
      </c>
      <c r="G27" t="s">
        <v>118</v>
      </c>
    </row>
    <row r="28" spans="1:7" x14ac:dyDescent="0.4">
      <c r="A28" t="s">
        <v>41</v>
      </c>
      <c r="C28" t="s">
        <v>105</v>
      </c>
      <c r="D28" t="s">
        <v>103</v>
      </c>
      <c r="G28" t="s">
        <v>119</v>
      </c>
    </row>
    <row r="29" spans="1:7" x14ac:dyDescent="0.4">
      <c r="A29" t="s">
        <v>42</v>
      </c>
      <c r="C29" t="s">
        <v>115</v>
      </c>
      <c r="D29" t="s">
        <v>103</v>
      </c>
      <c r="G29" t="s">
        <v>128</v>
      </c>
    </row>
    <row r="30" spans="1:7" x14ac:dyDescent="0.4">
      <c r="A30" t="s">
        <v>43</v>
      </c>
      <c r="C30" t="s">
        <v>115</v>
      </c>
      <c r="D30" t="s">
        <v>103</v>
      </c>
      <c r="G30" t="s">
        <v>129</v>
      </c>
    </row>
    <row r="31" spans="1:7" x14ac:dyDescent="0.4">
      <c r="A31" t="s">
        <v>44</v>
      </c>
      <c r="C31" t="s">
        <v>115</v>
      </c>
      <c r="D31" t="s">
        <v>103</v>
      </c>
      <c r="G31" t="s">
        <v>130</v>
      </c>
    </row>
    <row r="32" spans="1:7" x14ac:dyDescent="0.4">
      <c r="A32" t="s">
        <v>1371</v>
      </c>
      <c r="C32" t="s">
        <v>115</v>
      </c>
      <c r="D32" t="s">
        <v>103</v>
      </c>
      <c r="G32" t="s">
        <v>1371</v>
      </c>
    </row>
    <row r="33" spans="1:7" x14ac:dyDescent="0.4">
      <c r="A33" t="s">
        <v>1372</v>
      </c>
      <c r="C33" t="s">
        <v>115</v>
      </c>
      <c r="D33" t="s">
        <v>103</v>
      </c>
      <c r="G33" t="s">
        <v>1372</v>
      </c>
    </row>
    <row r="34" spans="1:7" x14ac:dyDescent="0.4">
      <c r="A34" t="s">
        <v>78</v>
      </c>
      <c r="C34" t="s">
        <v>105</v>
      </c>
      <c r="D34" t="s">
        <v>103</v>
      </c>
      <c r="G34" t="s">
        <v>78</v>
      </c>
    </row>
    <row r="35" spans="1:7" x14ac:dyDescent="0.4">
      <c r="A35" t="s">
        <v>69</v>
      </c>
      <c r="C35" t="s">
        <v>115</v>
      </c>
      <c r="D35" t="s">
        <v>103</v>
      </c>
      <c r="G35" t="s">
        <v>69</v>
      </c>
    </row>
    <row r="36" spans="1:7" x14ac:dyDescent="0.4">
      <c r="A36" t="s">
        <v>46</v>
      </c>
      <c r="C36" t="s">
        <v>115</v>
      </c>
      <c r="D36" t="s">
        <v>103</v>
      </c>
      <c r="F36" t="s">
        <v>1106</v>
      </c>
      <c r="G36" t="s">
        <v>46</v>
      </c>
    </row>
    <row r="37" spans="1:7" x14ac:dyDescent="0.4">
      <c r="A37" t="s">
        <v>47</v>
      </c>
      <c r="C37" t="s">
        <v>115</v>
      </c>
      <c r="D37" t="s">
        <v>103</v>
      </c>
      <c r="F37" t="s">
        <v>1106</v>
      </c>
      <c r="G37" t="s">
        <v>47</v>
      </c>
    </row>
    <row r="38" spans="1:7" x14ac:dyDescent="0.4">
      <c r="A38" t="s">
        <v>48</v>
      </c>
      <c r="C38" t="s">
        <v>115</v>
      </c>
      <c r="D38" t="s">
        <v>103</v>
      </c>
      <c r="F38" t="s">
        <v>1106</v>
      </c>
      <c r="G38" t="s">
        <v>48</v>
      </c>
    </row>
    <row r="39" spans="1:7" x14ac:dyDescent="0.4">
      <c r="A39" t="s">
        <v>49</v>
      </c>
      <c r="C39" t="s">
        <v>115</v>
      </c>
      <c r="D39" t="s">
        <v>103</v>
      </c>
      <c r="F39" t="s">
        <v>1106</v>
      </c>
      <c r="G39" t="s">
        <v>49</v>
      </c>
    </row>
    <row r="40" spans="1:7" x14ac:dyDescent="0.4">
      <c r="A40" t="s">
        <v>50</v>
      </c>
      <c r="C40" t="s">
        <v>115</v>
      </c>
      <c r="D40" t="s">
        <v>103</v>
      </c>
      <c r="F40" t="s">
        <v>1106</v>
      </c>
      <c r="G40" t="s">
        <v>50</v>
      </c>
    </row>
    <row r="41" spans="1:7" x14ac:dyDescent="0.4">
      <c r="A41" t="s">
        <v>51</v>
      </c>
      <c r="C41" t="s">
        <v>115</v>
      </c>
      <c r="D41" t="s">
        <v>103</v>
      </c>
      <c r="F41" t="s">
        <v>1106</v>
      </c>
      <c r="G41" t="s">
        <v>51</v>
      </c>
    </row>
    <row r="42" spans="1:7" x14ac:dyDescent="0.4">
      <c r="A42" t="s">
        <v>52</v>
      </c>
      <c r="C42" t="s">
        <v>115</v>
      </c>
      <c r="D42" t="s">
        <v>103</v>
      </c>
      <c r="F42" t="s">
        <v>1106</v>
      </c>
      <c r="G42" t="s">
        <v>52</v>
      </c>
    </row>
    <row r="43" spans="1:7" x14ac:dyDescent="0.4">
      <c r="A43" t="s">
        <v>74</v>
      </c>
      <c r="C43" t="s">
        <v>115</v>
      </c>
      <c r="D43" t="s">
        <v>103</v>
      </c>
      <c r="F43" t="s">
        <v>1106</v>
      </c>
      <c r="G43" t="s">
        <v>74</v>
      </c>
    </row>
    <row r="44" spans="1:7" x14ac:dyDescent="0.4">
      <c r="A44" t="s">
        <v>75</v>
      </c>
      <c r="C44" t="s">
        <v>115</v>
      </c>
      <c r="D44" t="s">
        <v>103</v>
      </c>
      <c r="F44" t="s">
        <v>1106</v>
      </c>
      <c r="G44" t="s">
        <v>75</v>
      </c>
    </row>
    <row r="45" spans="1:7" x14ac:dyDescent="0.4">
      <c r="A45" t="s">
        <v>1346</v>
      </c>
      <c r="C45" t="s">
        <v>115</v>
      </c>
      <c r="D45" t="s">
        <v>103</v>
      </c>
      <c r="G45" t="s">
        <v>1346</v>
      </c>
    </row>
    <row r="46" spans="1:7" x14ac:dyDescent="0.4">
      <c r="A46" t="s">
        <v>93</v>
      </c>
      <c r="C46" t="s">
        <v>102</v>
      </c>
      <c r="D46" t="s">
        <v>103</v>
      </c>
      <c r="E46" t="s">
        <v>104</v>
      </c>
    </row>
    <row r="47" spans="1:7" x14ac:dyDescent="0.4">
      <c r="A47" t="s">
        <v>1080</v>
      </c>
      <c r="C47" t="s">
        <v>102</v>
      </c>
      <c r="D47" t="s">
        <v>103</v>
      </c>
      <c r="E47" t="s">
        <v>104</v>
      </c>
    </row>
    <row r="48" spans="1:7" x14ac:dyDescent="0.4">
      <c r="A48" t="s">
        <v>82</v>
      </c>
      <c r="C48" t="s">
        <v>102</v>
      </c>
      <c r="D48" t="s">
        <v>103</v>
      </c>
      <c r="E48" t="s">
        <v>104</v>
      </c>
    </row>
    <row r="49" spans="1:5" x14ac:dyDescent="0.4">
      <c r="A49" t="s">
        <v>83</v>
      </c>
      <c r="C49" t="s">
        <v>102</v>
      </c>
      <c r="D49" t="s">
        <v>103</v>
      </c>
      <c r="E49" t="s">
        <v>104</v>
      </c>
    </row>
    <row r="50" spans="1:5" x14ac:dyDescent="0.4">
      <c r="A50" t="s">
        <v>84</v>
      </c>
      <c r="C50" t="s">
        <v>102</v>
      </c>
      <c r="D50" t="s">
        <v>103</v>
      </c>
      <c r="E50" t="s">
        <v>104</v>
      </c>
    </row>
    <row r="51" spans="1:5" x14ac:dyDescent="0.4">
      <c r="A51" t="s">
        <v>53</v>
      </c>
      <c r="C51" t="s">
        <v>102</v>
      </c>
      <c r="D51" t="s">
        <v>103</v>
      </c>
      <c r="E51" t="s">
        <v>104</v>
      </c>
    </row>
    <row r="52" spans="1:5" x14ac:dyDescent="0.4">
      <c r="A52" t="s">
        <v>54</v>
      </c>
      <c r="C52" t="s">
        <v>102</v>
      </c>
      <c r="D52" t="s">
        <v>103</v>
      </c>
      <c r="E52" t="s">
        <v>104</v>
      </c>
    </row>
    <row r="53" spans="1:5" x14ac:dyDescent="0.4">
      <c r="A53" t="s">
        <v>57</v>
      </c>
      <c r="C53" t="s">
        <v>102</v>
      </c>
      <c r="D53" t="s">
        <v>103</v>
      </c>
      <c r="E53" t="s">
        <v>104</v>
      </c>
    </row>
    <row r="54" spans="1:5" x14ac:dyDescent="0.4">
      <c r="A54" t="s">
        <v>55</v>
      </c>
      <c r="C54" t="s">
        <v>102</v>
      </c>
      <c r="D54" t="s">
        <v>103</v>
      </c>
      <c r="E54" t="s">
        <v>104</v>
      </c>
    </row>
    <row r="55" spans="1:5" x14ac:dyDescent="0.4">
      <c r="A55" t="s">
        <v>56</v>
      </c>
      <c r="C55" t="s">
        <v>102</v>
      </c>
      <c r="D55" t="s">
        <v>103</v>
      </c>
      <c r="E55" t="s">
        <v>104</v>
      </c>
    </row>
    <row r="56" spans="1:5" x14ac:dyDescent="0.4">
      <c r="A56" t="s">
        <v>79</v>
      </c>
      <c r="C56" t="s">
        <v>102</v>
      </c>
      <c r="D56" t="s">
        <v>103</v>
      </c>
      <c r="E56" t="s">
        <v>104</v>
      </c>
    </row>
    <row r="57" spans="1:5" x14ac:dyDescent="0.4">
      <c r="A57" t="s">
        <v>80</v>
      </c>
      <c r="C57" t="s">
        <v>102</v>
      </c>
      <c r="D57" t="s">
        <v>103</v>
      </c>
      <c r="E57" t="s">
        <v>104</v>
      </c>
    </row>
    <row r="58" spans="1:5" x14ac:dyDescent="0.4">
      <c r="A58" t="s">
        <v>58</v>
      </c>
      <c r="C58" t="s">
        <v>102</v>
      </c>
      <c r="D58" t="s">
        <v>103</v>
      </c>
      <c r="E58" t="s">
        <v>104</v>
      </c>
    </row>
    <row r="59" spans="1:5" x14ac:dyDescent="0.4">
      <c r="A59" t="s">
        <v>89</v>
      </c>
      <c r="C59" t="s">
        <v>102</v>
      </c>
      <c r="D59" t="s">
        <v>103</v>
      </c>
      <c r="E59" t="s">
        <v>104</v>
      </c>
    </row>
    <row r="60" spans="1:5" x14ac:dyDescent="0.4">
      <c r="A60" t="s">
        <v>90</v>
      </c>
      <c r="C60" t="s">
        <v>102</v>
      </c>
      <c r="D60" t="s">
        <v>103</v>
      </c>
      <c r="E60" t="s">
        <v>104</v>
      </c>
    </row>
    <row r="61" spans="1:5" x14ac:dyDescent="0.4">
      <c r="A61" t="s">
        <v>1526</v>
      </c>
      <c r="C61" t="s">
        <v>102</v>
      </c>
      <c r="D61" t="s">
        <v>103</v>
      </c>
      <c r="E61" t="s">
        <v>104</v>
      </c>
    </row>
    <row r="62" spans="1:5" x14ac:dyDescent="0.4">
      <c r="A62" t="s">
        <v>2523</v>
      </c>
      <c r="C62" t="s">
        <v>102</v>
      </c>
      <c r="D62" t="s">
        <v>103</v>
      </c>
      <c r="E62" t="s">
        <v>104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96360-68AB-498D-9A08-65E152EF19D1}">
  <sheetPr codeName="Sheet21">
    <tabColor rgb="FF7030A0"/>
  </sheetPr>
  <dimension ref="A1:OG11"/>
  <sheetViews>
    <sheetView workbookViewId="0">
      <pane xSplit="17" ySplit="1" topLeftCell="FU2" activePane="bottomRight" state="frozen"/>
      <selection activeCell="T29" sqref="T29"/>
      <selection pane="topRight" activeCell="T29" sqref="T29"/>
      <selection pane="bottomLeft" activeCell="T29" sqref="T29"/>
      <selection pane="bottomRight" activeCell="T29" sqref="T29"/>
    </sheetView>
  </sheetViews>
  <sheetFormatPr defaultColWidth="9.15234375" defaultRowHeight="14.6" x14ac:dyDescent="0.4"/>
  <sheetData>
    <row r="1" spans="1:397" x14ac:dyDescent="0.4">
      <c r="A1" t="s">
        <v>163</v>
      </c>
      <c r="Q1" t="s">
        <v>164</v>
      </c>
      <c r="BP1" t="s">
        <v>164</v>
      </c>
      <c r="DO1" t="s">
        <v>164</v>
      </c>
      <c r="FN1" t="s">
        <v>164</v>
      </c>
      <c r="HM1" t="s">
        <v>164</v>
      </c>
      <c r="JL1" t="s">
        <v>164</v>
      </c>
      <c r="LK1" t="s">
        <v>164</v>
      </c>
      <c r="LV1" t="s">
        <v>164</v>
      </c>
      <c r="MG1" t="s">
        <v>164</v>
      </c>
      <c r="MI1" t="s">
        <v>164</v>
      </c>
    </row>
    <row r="2" spans="1:397" x14ac:dyDescent="0.4">
      <c r="A2" t="s">
        <v>136</v>
      </c>
      <c r="B2" t="s">
        <v>1147</v>
      </c>
      <c r="C2">
        <f>uxbGlobals!$B$226</f>
        <v>78</v>
      </c>
    </row>
    <row r="3" spans="1:397" x14ac:dyDescent="0.4">
      <c r="A3" t="s">
        <v>136</v>
      </c>
      <c r="B3" t="s">
        <v>165</v>
      </c>
      <c r="C3">
        <f>uxbGlobals!$B$177</f>
        <v>100</v>
      </c>
      <c r="R3" t="s">
        <v>166</v>
      </c>
      <c r="BQ3" t="s">
        <v>242</v>
      </c>
      <c r="DP3" t="s">
        <v>167</v>
      </c>
      <c r="FO3" t="s">
        <v>168</v>
      </c>
      <c r="HN3" t="s">
        <v>169</v>
      </c>
      <c r="JM3" t="s">
        <v>170</v>
      </c>
      <c r="LL3" t="s">
        <v>171</v>
      </c>
      <c r="LW3" t="s">
        <v>1536</v>
      </c>
      <c r="MH3" t="s">
        <v>1091</v>
      </c>
      <c r="MJ3" t="s">
        <v>1089</v>
      </c>
    </row>
    <row r="4" spans="1:397" x14ac:dyDescent="0.4">
      <c r="A4" t="s">
        <v>136</v>
      </c>
      <c r="B4" t="s">
        <v>172</v>
      </c>
      <c r="C4">
        <f>uxbGlobals!$B$178</f>
        <v>1</v>
      </c>
      <c r="R4" t="s">
        <v>173</v>
      </c>
      <c r="BQ4" t="s">
        <v>1058</v>
      </c>
      <c r="DP4" t="s">
        <v>241</v>
      </c>
      <c r="FO4" t="s">
        <v>174</v>
      </c>
      <c r="HN4" t="s">
        <v>175</v>
      </c>
      <c r="JM4" t="s">
        <v>176</v>
      </c>
      <c r="LL4" t="s">
        <v>177</v>
      </c>
      <c r="LW4" t="s">
        <v>1537</v>
      </c>
      <c r="MH4" t="s">
        <v>1090</v>
      </c>
      <c r="MJ4" t="s">
        <v>1088</v>
      </c>
    </row>
    <row r="5" spans="1:397" x14ac:dyDescent="0.4">
      <c r="A5" t="s">
        <v>136</v>
      </c>
      <c r="B5" t="s">
        <v>178</v>
      </c>
      <c r="C5">
        <f>uxbGlobals!$B$224</f>
        <v>50</v>
      </c>
      <c r="R5">
        <v>1</v>
      </c>
      <c r="S5">
        <v>2</v>
      </c>
      <c r="T5">
        <v>3</v>
      </c>
      <c r="U5">
        <v>4</v>
      </c>
      <c r="V5">
        <v>5</v>
      </c>
      <c r="W5">
        <v>6</v>
      </c>
      <c r="X5">
        <v>7</v>
      </c>
      <c r="Y5">
        <v>8</v>
      </c>
      <c r="Z5">
        <v>9</v>
      </c>
      <c r="AA5">
        <v>10</v>
      </c>
      <c r="AB5">
        <v>11</v>
      </c>
      <c r="AC5">
        <v>12</v>
      </c>
      <c r="AD5">
        <v>13</v>
      </c>
      <c r="AE5">
        <v>14</v>
      </c>
      <c r="AF5">
        <v>15</v>
      </c>
      <c r="AG5">
        <v>16</v>
      </c>
      <c r="AH5">
        <v>17</v>
      </c>
      <c r="AI5">
        <v>18</v>
      </c>
      <c r="AJ5">
        <v>19</v>
      </c>
      <c r="AK5">
        <v>20</v>
      </c>
      <c r="AL5">
        <v>21</v>
      </c>
      <c r="AM5">
        <v>22</v>
      </c>
      <c r="AN5">
        <v>23</v>
      </c>
      <c r="AO5">
        <v>24</v>
      </c>
      <c r="AP5">
        <v>25</v>
      </c>
      <c r="AQ5">
        <v>26</v>
      </c>
      <c r="AR5">
        <v>27</v>
      </c>
      <c r="AS5">
        <v>28</v>
      </c>
      <c r="AT5">
        <v>29</v>
      </c>
      <c r="AU5">
        <v>30</v>
      </c>
      <c r="AV5">
        <v>31</v>
      </c>
      <c r="AW5">
        <v>32</v>
      </c>
      <c r="AX5">
        <v>33</v>
      </c>
      <c r="AY5">
        <v>34</v>
      </c>
      <c r="AZ5">
        <v>35</v>
      </c>
      <c r="BA5">
        <v>36</v>
      </c>
      <c r="BB5">
        <v>37</v>
      </c>
      <c r="BC5">
        <v>38</v>
      </c>
      <c r="BD5">
        <v>39</v>
      </c>
      <c r="BE5">
        <v>40</v>
      </c>
      <c r="BF5">
        <v>41</v>
      </c>
      <c r="BG5">
        <v>42</v>
      </c>
      <c r="BH5">
        <v>43</v>
      </c>
      <c r="BI5">
        <v>44</v>
      </c>
      <c r="BJ5">
        <v>45</v>
      </c>
      <c r="BK5">
        <v>46</v>
      </c>
      <c r="BL5">
        <v>47</v>
      </c>
      <c r="BM5">
        <v>48</v>
      </c>
      <c r="BN5">
        <v>49</v>
      </c>
      <c r="BO5">
        <v>50</v>
      </c>
      <c r="DP5" t="s">
        <v>1059</v>
      </c>
      <c r="FO5" t="s">
        <v>1060</v>
      </c>
      <c r="HN5" t="s">
        <v>179</v>
      </c>
      <c r="JM5" t="s">
        <v>180</v>
      </c>
    </row>
    <row r="6" spans="1:397" x14ac:dyDescent="0.4">
      <c r="A6" t="s">
        <v>136</v>
      </c>
      <c r="B6" t="s">
        <v>181</v>
      </c>
      <c r="C6" t="s">
        <v>193</v>
      </c>
      <c r="R6" t="str" cm="1">
        <f t="array" ref="R6">IFERROR(INDEX(auto_Country_ISO,R5),"")</f>
        <v>ADD</v>
      </c>
      <c r="S6" t="str" cm="1">
        <f t="array" ref="S6">IFERROR(INDEX(auto_Country_ISO,S5),"")</f>
        <v>UAY</v>
      </c>
      <c r="T6" t="str" cm="1">
        <f t="array" ref="T6">IFERROR(INDEX(auto_Country_ISO,T5),"")</f>
        <v>A2N</v>
      </c>
      <c r="U6" t="str" cm="1">
        <f t="array" ref="U6">IFERROR(INDEX(auto_Country_ISO,U5),"")</f>
        <v>AKL</v>
      </c>
      <c r="V6" t="str" cm="1">
        <f t="array" ref="V6">IFERROR(INDEX(auto_Country_ISO,V5),"")</f>
        <v>BKK</v>
      </c>
      <c r="W6" t="str" cm="1">
        <f t="array" ref="W6">IFERROR(INDEX(auto_Country_ISO,W5),"")</f>
        <v>BJS</v>
      </c>
      <c r="X6" t="str" cm="1">
        <f t="array" ref="X6">IFERROR(INDEX(auto_Country_ISO,X5),"")</f>
        <v>BER</v>
      </c>
      <c r="Y6" t="str" cm="1">
        <f t="array" ref="Y6">IFERROR(INDEX(auto_Country_ISO,Y5),"")</f>
        <v>B6Y</v>
      </c>
      <c r="Z6" t="str" cm="1">
        <f t="array" ref="Z6">IFERROR(INDEX(auto_Country_ISO,Z5),"")</f>
        <v>BUD</v>
      </c>
      <c r="AA6" t="str" cm="1">
        <f t="array" ref="AA6">IFERROR(INDEX(auto_Country_ISO,AA5),"")</f>
        <v>CJR</v>
      </c>
      <c r="AB6" t="str" cm="1">
        <f t="array" ref="AB6">IFERROR(INDEX(auto_Country_ISO,AB5),"")</f>
        <v>COX</v>
      </c>
      <c r="AC6" t="str" cm="1">
        <f t="array" ref="AC6">IFERROR(INDEX(auto_Country_ISO,AC5),"")</f>
        <v>DLI</v>
      </c>
      <c r="AD6" t="str" cm="1">
        <f t="array" ref="AD6">IFERROR(INDEX(auto_Country_ISO,AD5),"")</f>
        <v>DAC</v>
      </c>
      <c r="AE6" t="str" cm="1">
        <f t="array" ref="AE6">IFERROR(INDEX(auto_Country_ISO,AE5),"")</f>
        <v>DXB</v>
      </c>
      <c r="AF6" t="str" cm="1">
        <f t="array" ref="AF6">IFERROR(INDEX(auto_Country_ISO,AF5),"")</f>
        <v>HEL</v>
      </c>
      <c r="AG6" t="str" cm="1">
        <f t="array" ref="AG6">IFERROR(INDEX(auto_Country_ISO,AG5),"")</f>
        <v>SGN</v>
      </c>
      <c r="AH6" t="str" cm="1">
        <f t="array" ref="AH6">IFERROR(INDEX(auto_Country_ISO,AH5),"")</f>
        <v>HKG</v>
      </c>
      <c r="AI6" t="str" cm="1">
        <f t="array" ref="AI6">IFERROR(INDEX(auto_Country_ISO,AI5),"")</f>
        <v>IST</v>
      </c>
      <c r="AJ6" t="str" cm="1">
        <f t="array" ref="AJ6">IFERROR(INDEX(auto_Country_ISO,AJ5),"")</f>
        <v>JKT</v>
      </c>
      <c r="AK6" t="str" cm="1">
        <f t="array" ref="AK6">IFERROR(INDEX(auto_Country_ISO,AK5),"")</f>
        <v>JNB</v>
      </c>
      <c r="AL6" t="str" cm="1">
        <f t="array" ref="AL6">IFERROR(INDEX(auto_Country_ISO,AL5),"")</f>
        <v>KHI</v>
      </c>
      <c r="AM6" t="str" cm="1">
        <f t="array" ref="AM6">IFERROR(INDEX(auto_Country_ISO,AM5),"")</f>
        <v>KTM</v>
      </c>
      <c r="AN6" t="str" cm="1">
        <f t="array" ref="AN6">IFERROR(INDEX(auto_Country_ISO,AN5),"")</f>
        <v>CCU</v>
      </c>
      <c r="AO6" t="str" cm="1">
        <f t="array" ref="AO6">IFERROR(INDEX(auto_Country_ISO,AO5),"")</f>
        <v>KWI</v>
      </c>
      <c r="AP6" t="str" cm="1">
        <f t="array" ref="AP6">IFERROR(INDEX(auto_Country_ISO,AP5),"")</f>
        <v>ZGM</v>
      </c>
      <c r="AQ6" t="str" cm="1">
        <f t="array" ref="AQ6">IFERROR(INDEX(auto_Country_ISO,AQ5),"")</f>
        <v>LOD</v>
      </c>
      <c r="AR6" t="str" cm="1">
        <f t="array" ref="AR6">IFERROR(INDEX(auto_Country_ISO,AR5),"")</f>
        <v>MDD</v>
      </c>
      <c r="AS6" t="str" cm="1">
        <f t="array" ref="AS6">IFERROR(INDEX(auto_Country_ISO,AS5),"")</f>
        <v>MNL</v>
      </c>
      <c r="AT6" t="str" cm="1">
        <f t="array" ref="AT6">IFERROR(INDEX(auto_Country_ISO,AT5),"")</f>
        <v>MEL</v>
      </c>
      <c r="AU6" t="str" cm="1">
        <f t="array" ref="AU6">IFERROR(INDEX(auto_Country_ISO,AU5),"")</f>
        <v>MEX</v>
      </c>
      <c r="AV6" t="str" cm="1">
        <f t="array" ref="AV6">IFERROR(INDEX(auto_Country_ISO,AV5),"")</f>
        <v>MW3</v>
      </c>
      <c r="AW6" t="str" cm="1">
        <f t="array" ref="AW6">IFERROR(INDEX(auto_Country_ISO,AW5),"")</f>
        <v>BOM</v>
      </c>
      <c r="AX6" t="str" cm="1">
        <f t="array" ref="AX6">IFERROR(INDEX(auto_Country_ISO,AX5),"")</f>
        <v>NBO</v>
      </c>
      <c r="AY6" t="str" cm="1">
        <f t="array" ref="AY6">IFERROR(INDEX(auto_Country_ISO,AY5),"")</f>
        <v>NYC</v>
      </c>
      <c r="AZ6" t="str" cm="1">
        <f t="array" ref="AZ6">IFERROR(INDEX(auto_Country_ISO,AZ5),"")</f>
        <v>OSA</v>
      </c>
      <c r="BA6" t="str" cm="1">
        <f t="array" ref="BA6">IFERROR(INDEX(auto_Country_ISO,BA5),"")</f>
        <v>PAR</v>
      </c>
      <c r="BB6" t="str" cm="1">
        <f t="array" ref="BB6">IFERROR(INDEX(auto_Country_ISO,BB5),"")</f>
        <v>PNH</v>
      </c>
      <c r="BC6" t="str" cm="1">
        <f t="array" ref="BC6">IFERROR(INDEX(auto_Country_ISO,BC5),"")</f>
        <v>RUH</v>
      </c>
      <c r="BD6" t="str" cm="1">
        <f t="array" ref="BD6">IFERROR(INDEX(auto_Country_ISO,BD5),"")</f>
        <v>RMG</v>
      </c>
      <c r="BE6" t="str" cm="1">
        <f t="array" ref="BE6">IFERROR(INDEX(auto_Country_ISO,BE5),"")</f>
        <v>SFO</v>
      </c>
      <c r="BF6" t="str" cm="1">
        <f t="array" ref="BF6">IFERROR(INDEX(auto_Country_ISO,BF5),"")</f>
        <v>SPF</v>
      </c>
      <c r="BG6" t="str" cm="1">
        <f t="array" ref="BG6">IFERROR(INDEX(auto_Country_ISO,BG5),"")</f>
        <v>SEL</v>
      </c>
      <c r="BH6" t="str" cm="1">
        <f t="array" ref="BH6">IFERROR(INDEX(auto_Country_ISO,BH5),"")</f>
        <v>SGH</v>
      </c>
      <c r="BI6" t="str" cm="1">
        <f t="array" ref="BI6">IFERROR(INDEX(auto_Country_ISO,BI5),"")</f>
        <v>SIN</v>
      </c>
      <c r="BJ6" t="str" cm="1">
        <f t="array" ref="BJ6">IFERROR(INDEX(auto_Country_ISO,BJ5),"")</f>
        <v>SYD</v>
      </c>
      <c r="BK6" t="str" cm="1">
        <f t="array" ref="BK6">IFERROR(INDEX(auto_Country_ISO,BK5),"")</f>
        <v>TYO</v>
      </c>
      <c r="BL6" t="str" cm="1">
        <f t="array" ref="BL6">IFERROR(INDEX(auto_Country_ISO,BL5),"")</f>
        <v>TOR</v>
      </c>
      <c r="BM6" t="str" cm="1">
        <f t="array" ref="BM6">IFERROR(INDEX(auto_Country_ISO,BM5),"")</f>
        <v>VIE</v>
      </c>
      <c r="BN6" t="str" cm="1">
        <f t="array" ref="BN6">IFERROR(INDEX(auto_Country_ISO,BN5),"")</f>
        <v>NHN</v>
      </c>
      <c r="BO6" t="str" cm="1">
        <f t="array" ref="BO6">IFERROR(INDEX(auto_Country_ISO,BO5),"")</f>
        <v>RGN</v>
      </c>
      <c r="JM6" t="s">
        <v>183</v>
      </c>
      <c r="LL6" t="s">
        <v>182</v>
      </c>
    </row>
    <row r="7" spans="1:397" x14ac:dyDescent="0.4">
      <c r="C7">
        <f>VALUE(RIGHT(C6,1))</f>
        <v>1</v>
      </c>
    </row>
    <row r="8" spans="1:397" x14ac:dyDescent="0.4">
      <c r="E8">
        <f>MATCH(E9,tblSeries!$A$1:$AY$1,0)</f>
        <v>2</v>
      </c>
      <c r="F8">
        <f>MATCH(F9,tblSeries!$A$1:$AY$1,0)</f>
        <v>3</v>
      </c>
      <c r="G8">
        <f>MATCH(G9,tblSeries!$A$1:$AY$1,0)</f>
        <v>48</v>
      </c>
      <c r="H8">
        <f>MATCH(H9,tblSeries!$A$1:$AY$1,0)</f>
        <v>27</v>
      </c>
      <c r="I8">
        <f>MATCH(I9,tblSeries!$A$1:$AY$1,0)</f>
        <v>28</v>
      </c>
      <c r="J8">
        <f>MATCH(J9,tblSeries!$A$1:$AY$1,0)</f>
        <v>29</v>
      </c>
      <c r="K8">
        <f>MATCH(K9,tblSeries!$A$1:$AY$1,0)</f>
        <v>30</v>
      </c>
      <c r="P8" t="s">
        <v>184</v>
      </c>
      <c r="BQ8">
        <v>1</v>
      </c>
      <c r="BR8">
        <v>2</v>
      </c>
      <c r="BS8">
        <v>3</v>
      </c>
      <c r="BT8">
        <v>4</v>
      </c>
      <c r="BU8">
        <v>5</v>
      </c>
      <c r="BV8">
        <v>6</v>
      </c>
      <c r="BW8">
        <v>7</v>
      </c>
      <c r="BX8">
        <v>8</v>
      </c>
      <c r="BY8">
        <v>9</v>
      </c>
      <c r="BZ8">
        <v>10</v>
      </c>
      <c r="CA8">
        <v>11</v>
      </c>
      <c r="CB8">
        <v>12</v>
      </c>
      <c r="CC8">
        <v>13</v>
      </c>
      <c r="CD8">
        <v>14</v>
      </c>
      <c r="CE8">
        <v>15</v>
      </c>
      <c r="CF8">
        <v>16</v>
      </c>
      <c r="CG8">
        <v>17</v>
      </c>
      <c r="CH8">
        <v>18</v>
      </c>
      <c r="CI8">
        <v>19</v>
      </c>
      <c r="CJ8">
        <v>20</v>
      </c>
      <c r="CK8">
        <v>21</v>
      </c>
      <c r="CL8">
        <v>22</v>
      </c>
      <c r="CM8">
        <v>23</v>
      </c>
      <c r="CN8">
        <v>24</v>
      </c>
      <c r="CO8">
        <v>25</v>
      </c>
      <c r="CP8">
        <v>26</v>
      </c>
      <c r="CQ8">
        <v>27</v>
      </c>
      <c r="CR8">
        <v>28</v>
      </c>
      <c r="CS8">
        <v>29</v>
      </c>
      <c r="CT8">
        <v>30</v>
      </c>
      <c r="CU8">
        <v>31</v>
      </c>
      <c r="CV8">
        <v>32</v>
      </c>
      <c r="CW8">
        <v>33</v>
      </c>
      <c r="CX8">
        <v>34</v>
      </c>
      <c r="CY8">
        <v>35</v>
      </c>
      <c r="CZ8">
        <v>36</v>
      </c>
      <c r="DA8">
        <v>37</v>
      </c>
      <c r="DB8">
        <v>38</v>
      </c>
      <c r="DC8">
        <v>39</v>
      </c>
      <c r="DD8">
        <v>40</v>
      </c>
      <c r="DE8">
        <v>41</v>
      </c>
      <c r="DF8">
        <v>42</v>
      </c>
      <c r="DG8">
        <v>43</v>
      </c>
      <c r="DH8">
        <v>44</v>
      </c>
      <c r="DI8">
        <v>45</v>
      </c>
      <c r="DJ8">
        <v>46</v>
      </c>
      <c r="DK8">
        <v>47</v>
      </c>
      <c r="DL8">
        <v>48</v>
      </c>
      <c r="DM8">
        <v>49</v>
      </c>
      <c r="DN8">
        <v>50</v>
      </c>
      <c r="DP8">
        <v>1</v>
      </c>
      <c r="DQ8">
        <v>2</v>
      </c>
      <c r="DR8">
        <v>3</v>
      </c>
      <c r="DS8">
        <v>4</v>
      </c>
      <c r="DT8">
        <v>5</v>
      </c>
      <c r="DU8">
        <v>6</v>
      </c>
      <c r="DV8">
        <v>7</v>
      </c>
      <c r="DW8">
        <v>8</v>
      </c>
      <c r="DX8">
        <v>9</v>
      </c>
      <c r="DY8">
        <v>10</v>
      </c>
      <c r="DZ8">
        <v>11</v>
      </c>
      <c r="EA8">
        <v>12</v>
      </c>
      <c r="EB8">
        <v>13</v>
      </c>
      <c r="EC8">
        <v>14</v>
      </c>
      <c r="ED8">
        <v>15</v>
      </c>
      <c r="EE8">
        <v>16</v>
      </c>
      <c r="EF8">
        <v>17</v>
      </c>
      <c r="EG8">
        <v>18</v>
      </c>
      <c r="EH8">
        <v>19</v>
      </c>
      <c r="EI8">
        <v>20</v>
      </c>
      <c r="EJ8">
        <v>21</v>
      </c>
      <c r="EK8">
        <v>22</v>
      </c>
      <c r="EL8">
        <v>23</v>
      </c>
      <c r="EM8">
        <v>24</v>
      </c>
      <c r="EN8">
        <v>25</v>
      </c>
      <c r="EO8">
        <v>26</v>
      </c>
      <c r="EP8">
        <v>27</v>
      </c>
      <c r="EQ8">
        <v>28</v>
      </c>
      <c r="ER8">
        <v>29</v>
      </c>
      <c r="ES8">
        <v>30</v>
      </c>
      <c r="ET8">
        <v>31</v>
      </c>
      <c r="EU8">
        <v>32</v>
      </c>
      <c r="EV8">
        <v>33</v>
      </c>
      <c r="EW8">
        <v>34</v>
      </c>
      <c r="EX8">
        <v>35</v>
      </c>
      <c r="EY8">
        <v>36</v>
      </c>
      <c r="EZ8">
        <v>37</v>
      </c>
      <c r="FA8">
        <v>38</v>
      </c>
      <c r="FB8">
        <v>39</v>
      </c>
      <c r="FC8">
        <v>40</v>
      </c>
      <c r="FD8">
        <v>41</v>
      </c>
      <c r="FE8">
        <v>42</v>
      </c>
      <c r="FF8">
        <v>43</v>
      </c>
      <c r="FG8">
        <v>44</v>
      </c>
      <c r="FH8">
        <v>45</v>
      </c>
      <c r="FI8">
        <v>46</v>
      </c>
      <c r="FJ8">
        <v>47</v>
      </c>
      <c r="FK8">
        <v>48</v>
      </c>
      <c r="FL8">
        <v>49</v>
      </c>
      <c r="FM8">
        <v>50</v>
      </c>
      <c r="FO8">
        <v>1</v>
      </c>
      <c r="FP8">
        <v>2</v>
      </c>
      <c r="FQ8">
        <v>3</v>
      </c>
      <c r="FR8">
        <v>4</v>
      </c>
      <c r="FS8">
        <v>5</v>
      </c>
      <c r="FT8">
        <v>6</v>
      </c>
      <c r="FU8">
        <v>7</v>
      </c>
      <c r="FV8">
        <v>8</v>
      </c>
      <c r="FW8">
        <v>9</v>
      </c>
      <c r="FX8">
        <v>10</v>
      </c>
      <c r="FY8">
        <v>11</v>
      </c>
      <c r="FZ8">
        <v>12</v>
      </c>
      <c r="GA8">
        <v>13</v>
      </c>
      <c r="GB8">
        <v>14</v>
      </c>
      <c r="GC8">
        <v>15</v>
      </c>
      <c r="GD8">
        <v>16</v>
      </c>
      <c r="GE8">
        <v>17</v>
      </c>
      <c r="GF8">
        <v>18</v>
      </c>
      <c r="GG8">
        <v>19</v>
      </c>
      <c r="GH8">
        <v>20</v>
      </c>
      <c r="GI8">
        <v>21</v>
      </c>
      <c r="GJ8">
        <v>22</v>
      </c>
      <c r="GK8">
        <v>23</v>
      </c>
      <c r="GL8">
        <v>24</v>
      </c>
      <c r="GM8">
        <v>25</v>
      </c>
      <c r="GN8">
        <v>26</v>
      </c>
      <c r="GO8">
        <v>27</v>
      </c>
      <c r="GP8">
        <v>28</v>
      </c>
      <c r="GQ8">
        <v>29</v>
      </c>
      <c r="GR8">
        <v>30</v>
      </c>
      <c r="GS8">
        <v>31</v>
      </c>
      <c r="GT8">
        <v>32</v>
      </c>
      <c r="GU8">
        <v>33</v>
      </c>
      <c r="GV8">
        <v>34</v>
      </c>
      <c r="GW8">
        <v>35</v>
      </c>
      <c r="GX8">
        <v>36</v>
      </c>
      <c r="GY8">
        <v>37</v>
      </c>
      <c r="GZ8">
        <v>38</v>
      </c>
      <c r="HA8">
        <v>39</v>
      </c>
      <c r="HB8">
        <v>40</v>
      </c>
      <c r="HC8">
        <v>41</v>
      </c>
      <c r="HD8">
        <v>42</v>
      </c>
      <c r="HE8">
        <v>43</v>
      </c>
      <c r="HF8">
        <v>44</v>
      </c>
      <c r="HG8">
        <v>45</v>
      </c>
      <c r="HH8">
        <v>46</v>
      </c>
      <c r="HI8">
        <v>47</v>
      </c>
      <c r="HJ8">
        <v>48</v>
      </c>
      <c r="HK8">
        <v>49</v>
      </c>
      <c r="HL8">
        <v>50</v>
      </c>
      <c r="JM8">
        <v>1</v>
      </c>
      <c r="JN8">
        <v>2</v>
      </c>
      <c r="JO8">
        <v>3</v>
      </c>
      <c r="JP8">
        <v>4</v>
      </c>
      <c r="JQ8">
        <v>5</v>
      </c>
      <c r="JR8">
        <v>6</v>
      </c>
      <c r="JS8">
        <v>7</v>
      </c>
      <c r="JT8">
        <v>8</v>
      </c>
      <c r="JU8">
        <v>9</v>
      </c>
      <c r="JV8">
        <v>10</v>
      </c>
      <c r="JW8">
        <v>11</v>
      </c>
      <c r="JX8">
        <v>12</v>
      </c>
      <c r="JY8">
        <v>13</v>
      </c>
      <c r="JZ8">
        <v>14</v>
      </c>
      <c r="KA8">
        <v>15</v>
      </c>
      <c r="KB8">
        <v>16</v>
      </c>
      <c r="KC8">
        <v>17</v>
      </c>
      <c r="KD8">
        <v>18</v>
      </c>
      <c r="KE8">
        <v>19</v>
      </c>
      <c r="KF8">
        <v>20</v>
      </c>
      <c r="KG8">
        <v>21</v>
      </c>
      <c r="KH8">
        <v>22</v>
      </c>
      <c r="KI8">
        <v>23</v>
      </c>
      <c r="KJ8">
        <v>24</v>
      </c>
      <c r="KK8">
        <v>25</v>
      </c>
      <c r="KL8">
        <v>26</v>
      </c>
      <c r="KM8">
        <v>27</v>
      </c>
      <c r="KN8">
        <v>28</v>
      </c>
      <c r="KO8">
        <v>29</v>
      </c>
      <c r="KP8">
        <v>30</v>
      </c>
      <c r="KQ8">
        <v>31</v>
      </c>
      <c r="KR8">
        <v>32</v>
      </c>
      <c r="KS8">
        <v>33</v>
      </c>
      <c r="KT8">
        <v>34</v>
      </c>
      <c r="KU8">
        <v>35</v>
      </c>
      <c r="KV8">
        <v>36</v>
      </c>
      <c r="KW8">
        <v>37</v>
      </c>
      <c r="KX8">
        <v>38</v>
      </c>
      <c r="KY8">
        <v>39</v>
      </c>
      <c r="KZ8">
        <v>40</v>
      </c>
      <c r="LA8">
        <v>41</v>
      </c>
      <c r="LB8">
        <v>42</v>
      </c>
      <c r="LC8">
        <v>43</v>
      </c>
      <c r="LD8">
        <v>44</v>
      </c>
      <c r="LE8">
        <v>45</v>
      </c>
      <c r="LF8">
        <v>46</v>
      </c>
      <c r="LG8">
        <v>47</v>
      </c>
      <c r="LH8">
        <v>48</v>
      </c>
      <c r="LI8">
        <v>49</v>
      </c>
      <c r="LJ8">
        <v>50</v>
      </c>
      <c r="LL8">
        <v>1</v>
      </c>
      <c r="LM8">
        <v>2</v>
      </c>
      <c r="LN8">
        <v>3</v>
      </c>
      <c r="LO8">
        <v>4</v>
      </c>
      <c r="LP8">
        <v>5</v>
      </c>
      <c r="LQ8">
        <v>6</v>
      </c>
      <c r="LR8">
        <v>7</v>
      </c>
      <c r="LS8">
        <v>8</v>
      </c>
      <c r="LT8">
        <v>9</v>
      </c>
      <c r="LU8">
        <v>10</v>
      </c>
      <c r="LW8">
        <v>1</v>
      </c>
      <c r="LX8">
        <v>2</v>
      </c>
      <c r="LY8">
        <v>3</v>
      </c>
      <c r="LZ8">
        <v>4</v>
      </c>
      <c r="MA8">
        <v>5</v>
      </c>
      <c r="MB8">
        <v>6</v>
      </c>
      <c r="MC8">
        <v>7</v>
      </c>
      <c r="MD8">
        <v>8</v>
      </c>
      <c r="ME8">
        <v>9</v>
      </c>
      <c r="MF8">
        <v>10</v>
      </c>
      <c r="MJ8">
        <v>1</v>
      </c>
      <c r="MK8">
        <v>2</v>
      </c>
      <c r="ML8">
        <v>3</v>
      </c>
      <c r="MM8">
        <v>4</v>
      </c>
      <c r="MN8">
        <v>5</v>
      </c>
      <c r="MO8">
        <v>6</v>
      </c>
      <c r="MP8">
        <v>7</v>
      </c>
      <c r="MQ8">
        <v>8</v>
      </c>
      <c r="MR8">
        <v>9</v>
      </c>
      <c r="MS8">
        <v>10</v>
      </c>
      <c r="MT8">
        <v>11</v>
      </c>
      <c r="MU8">
        <v>12</v>
      </c>
      <c r="MV8">
        <v>13</v>
      </c>
      <c r="MW8">
        <v>14</v>
      </c>
      <c r="MX8">
        <v>15</v>
      </c>
      <c r="MY8">
        <v>16</v>
      </c>
      <c r="MZ8">
        <v>17</v>
      </c>
      <c r="NA8">
        <v>18</v>
      </c>
      <c r="NB8">
        <v>19</v>
      </c>
      <c r="NC8">
        <v>20</v>
      </c>
      <c r="ND8">
        <v>21</v>
      </c>
      <c r="NE8">
        <v>22</v>
      </c>
      <c r="NF8">
        <v>23</v>
      </c>
      <c r="NG8">
        <v>24</v>
      </c>
      <c r="NH8">
        <v>25</v>
      </c>
      <c r="NI8">
        <v>26</v>
      </c>
      <c r="NJ8">
        <v>27</v>
      </c>
      <c r="NK8">
        <v>28</v>
      </c>
      <c r="NL8">
        <v>29</v>
      </c>
      <c r="NM8">
        <v>30</v>
      </c>
      <c r="NN8">
        <v>31</v>
      </c>
      <c r="NO8">
        <v>32</v>
      </c>
      <c r="NP8">
        <v>33</v>
      </c>
      <c r="NQ8">
        <v>34</v>
      </c>
      <c r="NR8">
        <v>35</v>
      </c>
      <c r="NS8">
        <v>36</v>
      </c>
      <c r="NT8">
        <v>37</v>
      </c>
      <c r="NU8">
        <v>38</v>
      </c>
      <c r="NV8">
        <v>39</v>
      </c>
      <c r="NW8">
        <v>40</v>
      </c>
      <c r="NX8">
        <v>41</v>
      </c>
      <c r="NY8">
        <v>42</v>
      </c>
      <c r="NZ8">
        <v>43</v>
      </c>
      <c r="OA8">
        <v>44</v>
      </c>
      <c r="OB8">
        <v>45</v>
      </c>
      <c r="OC8">
        <v>46</v>
      </c>
      <c r="OD8">
        <v>47</v>
      </c>
      <c r="OE8">
        <v>48</v>
      </c>
      <c r="OF8">
        <v>49</v>
      </c>
      <c r="OG8">
        <v>50</v>
      </c>
    </row>
    <row r="9" spans="1:397" x14ac:dyDescent="0.4">
      <c r="B9" t="s">
        <v>185</v>
      </c>
      <c r="C9" t="s">
        <v>32</v>
      </c>
      <c r="D9" t="s">
        <v>186</v>
      </c>
      <c r="E9" t="s">
        <v>33</v>
      </c>
      <c r="F9" t="s">
        <v>34</v>
      </c>
      <c r="G9" t="s">
        <v>83</v>
      </c>
      <c r="H9" t="s">
        <v>41</v>
      </c>
      <c r="I9" t="s">
        <v>42</v>
      </c>
      <c r="J9" t="s">
        <v>43</v>
      </c>
      <c r="K9" t="s">
        <v>44</v>
      </c>
      <c r="L9" t="s">
        <v>187</v>
      </c>
      <c r="M9" t="s">
        <v>188</v>
      </c>
      <c r="N9" t="s">
        <v>189</v>
      </c>
      <c r="P9" t="s">
        <v>190</v>
      </c>
      <c r="LL9">
        <f ca="1">SUM(OFFSET(tblCountries!$T$3,0,LL$8,$C$5,1))</f>
        <v>50</v>
      </c>
      <c r="LM9">
        <f ca="1">SUM(OFFSET(tblCountries!$T$3,0,LM$8,$C$5,1))</f>
        <v>5</v>
      </c>
      <c r="LN9">
        <f ca="1">SUM(OFFSET(tblCountries!$T$3,0,LN$8,$C$5,1))</f>
        <v>7</v>
      </c>
      <c r="LO9">
        <f ca="1">SUM(OFFSET(tblCountries!$T$3,0,LO$8,$C$5,1))</f>
        <v>4</v>
      </c>
      <c r="LP9">
        <f ca="1">SUM(OFFSET(tblCountries!$T$3,0,LP$8,$C$5,1))</f>
        <v>10</v>
      </c>
      <c r="LQ9">
        <f ca="1">SUM(OFFSET(tblCountries!$T$3,0,LQ$8,$C$5,1))</f>
        <v>10</v>
      </c>
      <c r="LR9">
        <f ca="1">SUM(OFFSET(tblCountries!$T$3,0,LR$8,$C$5,1))</f>
        <v>14</v>
      </c>
      <c r="LS9">
        <f ca="1">SUM(OFFSET(tblCountries!$T$3,0,LS$8,$C$5,1))</f>
        <v>16</v>
      </c>
      <c r="LT9">
        <f ca="1">SUM(OFFSET(tblCountries!$T$3,0,LT$8,$C$5,1))</f>
        <v>11</v>
      </c>
      <c r="LU9">
        <f ca="1">SUM(OFFSET(tblCountries!$T$3,0,LU$8,$C$5,1))</f>
        <v>23</v>
      </c>
      <c r="LW9">
        <f ca="1">SUM(OFFSET(tblCountries!$T$3,0,LW$8,$C$5,1))</f>
        <v>50</v>
      </c>
      <c r="LX9">
        <f ca="1">SUM(OFFSET(tblCountries!$T$3,0,LX$8,$C$5,1))</f>
        <v>5</v>
      </c>
      <c r="LY9">
        <f ca="1">SUM(OFFSET(tblCountries!$T$3,0,LY$8,$C$5,1))</f>
        <v>7</v>
      </c>
      <c r="LZ9">
        <f ca="1">SUM(OFFSET(tblCountries!$T$3,0,LZ$8,$C$5,1))</f>
        <v>4</v>
      </c>
      <c r="MA9">
        <f ca="1">SUM(OFFSET(tblCountries!$T$3,0,MA$8,$C$5,1))</f>
        <v>10</v>
      </c>
      <c r="MB9">
        <f ca="1">SUM(OFFSET(tblCountries!$T$3,0,MB$8,$C$5,1))</f>
        <v>10</v>
      </c>
      <c r="MC9">
        <f ca="1">SUM(OFFSET(tblCountries!$T$3,0,MC$8,$C$5,1))</f>
        <v>14</v>
      </c>
      <c r="MD9">
        <f ca="1">SUM(OFFSET(tblCountries!$T$3,0,MD$8,$C$5,1))</f>
        <v>16</v>
      </c>
      <c r="ME9">
        <f ca="1">SUM(OFFSET(tblCountries!$T$3,0,ME$8,$C$5,1))</f>
        <v>11</v>
      </c>
      <c r="MF9">
        <f ca="1">SUM(OFFSET(tblCountries!$T$3,0,MF$8,$C$5,1))</f>
        <v>23</v>
      </c>
    </row>
    <row r="10" spans="1:397" x14ac:dyDescent="0.4">
      <c r="A10" t="str">
        <f ca="1">IF(OR(C10=0,ISERROR(C10)),"X","")</f>
        <v/>
      </c>
      <c r="B10">
        <v>1</v>
      </c>
      <c r="C10" cm="1">
        <f t="array" aca="1" ref="C10" ca="1">INDEX(OFFSET(auto_ss_All_Series,0,1,350,1),B10)</f>
        <v>1</v>
      </c>
      <c r="D10">
        <f ca="1">IF(OR(C10=0,ISERROR(C10)),#REF!,C10)</f>
        <v>1</v>
      </c>
      <c r="E10" t="str" cm="1">
        <f t="array" aca="1" ref="E10" ca="1">INDEX(OFFSET(tblSeries!$A$2,0,0,$C$2,100),$D10,E$8)</f>
        <v>OVERALL</v>
      </c>
      <c r="F10" cm="1">
        <f t="array" aca="1" ref="F10" ca="1">IF(OR(C10=0,ISERROR(C10)),"",INDEX(OFFSET(tblSeries!$A$2,0,0,$C$2,100),$D10,F$8))</f>
        <v>0</v>
      </c>
      <c r="G10" cm="1">
        <f t="array" aca="1" ref="G10" ca="1">INDEX(OFFSET(tblSeries!$A$2,0,0,$C$2,100),$D10,G$8)</f>
        <v>1</v>
      </c>
      <c r="H10" t="str" cm="1">
        <f t="array" aca="1" ref="H10" ca="1">INDEX(OFFSET(tblSeries!$A$2,0,0,$C$2,100),$D10,H$8)</f>
        <v>WEIGHTED_SUM</v>
      </c>
      <c r="I10" cm="1">
        <f t="array" aca="1" ref="I10" ca="1">INDEX(OFFSET(tblSeries!$A$2,0,0,$C$2,100),$D10,I$8)</f>
        <v>0</v>
      </c>
      <c r="J10" cm="1">
        <f t="array" aca="1" ref="J10" ca="1">INDEX(OFFSET(tblSeries!$A$2,0,0,$C$2,100),$D10,J$8)</f>
        <v>0</v>
      </c>
      <c r="K10" cm="1">
        <f t="array" aca="1" ref="K10" ca="1">INDEX(OFFSET(tblSeries!$A$2,0,0,$C$2,100),$D10,K$8)</f>
        <v>0</v>
      </c>
      <c r="L10">
        <f ca="1">IF($H10="ANNUAL_MIN_MAX",MIN(OFFSET($R10,0,0,1,$C$5)),I10)</f>
        <v>0</v>
      </c>
      <c r="M10">
        <f ca="1">IF($H10="ANNUAL_MIN_MAX",MAX(OFFSET($R10,0,0,1,$C$5)),J10)</f>
        <v>0</v>
      </c>
      <c r="N10">
        <f ca="1">M10-L10</f>
        <v>0</v>
      </c>
      <c r="P10" cm="1">
        <f t="array" aca="1" ref="P10" ca="1">IFERROR(INDEX(OFFSET(iWeights!$G$18,0,0,$C$2,1),$D10),0)</f>
        <v>1</v>
      </c>
      <c r="R10" cm="1">
        <f t="array" aca="1" ref="R10" ca="1">IFERROR(INDEX(auto_DataFlat_DataValue,MATCH(CONCATENATE(R$6,"_",$E10),auto_DataFlat_UID,0),$C$7),"n/a")</f>
        <v>0</v>
      </c>
      <c r="S10" cm="1">
        <f t="array" aca="1" ref="S10" ca="1">IFERROR(INDEX(auto_DataFlat_DataValue,MATCH(CONCATENATE(S$6,"_",$E10),auto_DataFlat_UID,0),$C$7),"n/a")</f>
        <v>0</v>
      </c>
      <c r="T10" cm="1">
        <f t="array" aca="1" ref="T10" ca="1">IFERROR(INDEX(auto_DataFlat_DataValue,MATCH(CONCATENATE(T$6,"_",$E10),auto_DataFlat_UID,0),$C$7),"n/a")</f>
        <v>0</v>
      </c>
      <c r="U10" cm="1">
        <f t="array" aca="1" ref="U10" ca="1">IFERROR(INDEX(auto_DataFlat_DataValue,MATCH(CONCATENATE(U$6,"_",$E10),auto_DataFlat_UID,0),$C$7),"n/a")</f>
        <v>0</v>
      </c>
      <c r="V10" cm="1">
        <f t="array" aca="1" ref="V10" ca="1">IFERROR(INDEX(auto_DataFlat_DataValue,MATCH(CONCATENATE(V$6,"_",$E10),auto_DataFlat_UID,0),$C$7),"n/a")</f>
        <v>0</v>
      </c>
      <c r="W10" cm="1">
        <f t="array" aca="1" ref="W10" ca="1">IFERROR(INDEX(auto_DataFlat_DataValue,MATCH(CONCATENATE(W$6,"_",$E10),auto_DataFlat_UID,0),$C$7),"n/a")</f>
        <v>0</v>
      </c>
      <c r="X10" cm="1">
        <f t="array" aca="1" ref="X10" ca="1">IFERROR(INDEX(auto_DataFlat_DataValue,MATCH(CONCATENATE(X$6,"_",$E10),auto_DataFlat_UID,0),$C$7),"n/a")</f>
        <v>0</v>
      </c>
      <c r="Y10" cm="1">
        <f t="array" aca="1" ref="Y10" ca="1">IFERROR(INDEX(auto_DataFlat_DataValue,MATCH(CONCATENATE(Y$6,"_",$E10),auto_DataFlat_UID,0),$C$7),"n/a")</f>
        <v>0</v>
      </c>
      <c r="Z10" cm="1">
        <f t="array" aca="1" ref="Z10" ca="1">IFERROR(INDEX(auto_DataFlat_DataValue,MATCH(CONCATENATE(Z$6,"_",$E10),auto_DataFlat_UID,0),$C$7),"n/a")</f>
        <v>0</v>
      </c>
      <c r="AA10" cm="1">
        <f t="array" aca="1" ref="AA10" ca="1">IFERROR(INDEX(auto_DataFlat_DataValue,MATCH(CONCATENATE(AA$6,"_",$E10),auto_DataFlat_UID,0),$C$7),"n/a")</f>
        <v>0</v>
      </c>
      <c r="AB10" cm="1">
        <f t="array" aca="1" ref="AB10" ca="1">IFERROR(INDEX(auto_DataFlat_DataValue,MATCH(CONCATENATE(AB$6,"_",$E10),auto_DataFlat_UID,0),$C$7),"n/a")</f>
        <v>0</v>
      </c>
      <c r="AC10" cm="1">
        <f t="array" aca="1" ref="AC10" ca="1">IFERROR(INDEX(auto_DataFlat_DataValue,MATCH(CONCATENATE(AC$6,"_",$E10),auto_DataFlat_UID,0),$C$7),"n/a")</f>
        <v>0</v>
      </c>
      <c r="AD10" cm="1">
        <f t="array" aca="1" ref="AD10" ca="1">IFERROR(INDEX(auto_DataFlat_DataValue,MATCH(CONCATENATE(AD$6,"_",$E10),auto_DataFlat_UID,0),$C$7),"n/a")</f>
        <v>0</v>
      </c>
      <c r="AE10" cm="1">
        <f t="array" aca="1" ref="AE10" ca="1">IFERROR(INDEX(auto_DataFlat_DataValue,MATCH(CONCATENATE(AE$6,"_",$E10),auto_DataFlat_UID,0),$C$7),"n/a")</f>
        <v>0</v>
      </c>
      <c r="AF10" cm="1">
        <f t="array" aca="1" ref="AF10" ca="1">IFERROR(INDEX(auto_DataFlat_DataValue,MATCH(CONCATENATE(AF$6,"_",$E10),auto_DataFlat_UID,0),$C$7),"n/a")</f>
        <v>0</v>
      </c>
      <c r="AG10" cm="1">
        <f t="array" aca="1" ref="AG10" ca="1">IFERROR(INDEX(auto_DataFlat_DataValue,MATCH(CONCATENATE(AG$6,"_",$E10),auto_DataFlat_UID,0),$C$7),"n/a")</f>
        <v>0</v>
      </c>
      <c r="AH10" cm="1">
        <f t="array" aca="1" ref="AH10" ca="1">IFERROR(INDEX(auto_DataFlat_DataValue,MATCH(CONCATENATE(AH$6,"_",$E10),auto_DataFlat_UID,0),$C$7),"n/a")</f>
        <v>0</v>
      </c>
      <c r="AI10" cm="1">
        <f t="array" aca="1" ref="AI10" ca="1">IFERROR(INDEX(auto_DataFlat_DataValue,MATCH(CONCATENATE(AI$6,"_",$E10),auto_DataFlat_UID,0),$C$7),"n/a")</f>
        <v>0</v>
      </c>
      <c r="AJ10" cm="1">
        <f t="array" aca="1" ref="AJ10" ca="1">IFERROR(INDEX(auto_DataFlat_DataValue,MATCH(CONCATENATE(AJ$6,"_",$E10),auto_DataFlat_UID,0),$C$7),"n/a")</f>
        <v>0</v>
      </c>
      <c r="AK10" cm="1">
        <f t="array" aca="1" ref="AK10" ca="1">IFERROR(INDEX(auto_DataFlat_DataValue,MATCH(CONCATENATE(AK$6,"_",$E10),auto_DataFlat_UID,0),$C$7),"n/a")</f>
        <v>0</v>
      </c>
      <c r="AL10" cm="1">
        <f t="array" aca="1" ref="AL10" ca="1">IFERROR(INDEX(auto_DataFlat_DataValue,MATCH(CONCATENATE(AL$6,"_",$E10),auto_DataFlat_UID,0),$C$7),"n/a")</f>
        <v>0</v>
      </c>
      <c r="AM10" cm="1">
        <f t="array" aca="1" ref="AM10" ca="1">IFERROR(INDEX(auto_DataFlat_DataValue,MATCH(CONCATENATE(AM$6,"_",$E10),auto_DataFlat_UID,0),$C$7),"n/a")</f>
        <v>0</v>
      </c>
      <c r="AN10" cm="1">
        <f t="array" aca="1" ref="AN10" ca="1">IFERROR(INDEX(auto_DataFlat_DataValue,MATCH(CONCATENATE(AN$6,"_",$E10),auto_DataFlat_UID,0),$C$7),"n/a")</f>
        <v>0</v>
      </c>
      <c r="AO10" cm="1">
        <f t="array" aca="1" ref="AO10" ca="1">IFERROR(INDEX(auto_DataFlat_DataValue,MATCH(CONCATENATE(AO$6,"_",$E10),auto_DataFlat_UID,0),$C$7),"n/a")</f>
        <v>0</v>
      </c>
      <c r="AP10" cm="1">
        <f t="array" aca="1" ref="AP10" ca="1">IFERROR(INDEX(auto_DataFlat_DataValue,MATCH(CONCATENATE(AP$6,"_",$E10),auto_DataFlat_UID,0),$C$7),"n/a")</f>
        <v>0</v>
      </c>
      <c r="AQ10" cm="1">
        <f t="array" aca="1" ref="AQ10" ca="1">IFERROR(INDEX(auto_DataFlat_DataValue,MATCH(CONCATENATE(AQ$6,"_",$E10),auto_DataFlat_UID,0),$C$7),"n/a")</f>
        <v>0</v>
      </c>
      <c r="AR10" cm="1">
        <f t="array" aca="1" ref="AR10" ca="1">IFERROR(INDEX(auto_DataFlat_DataValue,MATCH(CONCATENATE(AR$6,"_",$E10),auto_DataFlat_UID,0),$C$7),"n/a")</f>
        <v>0</v>
      </c>
      <c r="AS10" cm="1">
        <f t="array" aca="1" ref="AS10" ca="1">IFERROR(INDEX(auto_DataFlat_DataValue,MATCH(CONCATENATE(AS$6,"_",$E10),auto_DataFlat_UID,0),$C$7),"n/a")</f>
        <v>0</v>
      </c>
      <c r="AT10" cm="1">
        <f t="array" aca="1" ref="AT10" ca="1">IFERROR(INDEX(auto_DataFlat_DataValue,MATCH(CONCATENATE(AT$6,"_",$E10),auto_DataFlat_UID,0),$C$7),"n/a")</f>
        <v>0</v>
      </c>
      <c r="AU10" cm="1">
        <f t="array" aca="1" ref="AU10" ca="1">IFERROR(INDEX(auto_DataFlat_DataValue,MATCH(CONCATENATE(AU$6,"_",$E10),auto_DataFlat_UID,0),$C$7),"n/a")</f>
        <v>0</v>
      </c>
      <c r="AV10" cm="1">
        <f t="array" aca="1" ref="AV10" ca="1">IFERROR(INDEX(auto_DataFlat_DataValue,MATCH(CONCATENATE(AV$6,"_",$E10),auto_DataFlat_UID,0),$C$7),"n/a")</f>
        <v>0</v>
      </c>
      <c r="AW10" cm="1">
        <f t="array" aca="1" ref="AW10" ca="1">IFERROR(INDEX(auto_DataFlat_DataValue,MATCH(CONCATENATE(AW$6,"_",$E10),auto_DataFlat_UID,0),$C$7),"n/a")</f>
        <v>0</v>
      </c>
      <c r="AX10" cm="1">
        <f t="array" aca="1" ref="AX10" ca="1">IFERROR(INDEX(auto_DataFlat_DataValue,MATCH(CONCATENATE(AX$6,"_",$E10),auto_DataFlat_UID,0),$C$7),"n/a")</f>
        <v>0</v>
      </c>
      <c r="AY10" cm="1">
        <f t="array" aca="1" ref="AY10" ca="1">IFERROR(INDEX(auto_DataFlat_DataValue,MATCH(CONCATENATE(AY$6,"_",$E10),auto_DataFlat_UID,0),$C$7),"n/a")</f>
        <v>0</v>
      </c>
      <c r="AZ10" cm="1">
        <f t="array" aca="1" ref="AZ10" ca="1">IFERROR(INDEX(auto_DataFlat_DataValue,MATCH(CONCATENATE(AZ$6,"_",$E10),auto_DataFlat_UID,0),$C$7),"n/a")</f>
        <v>0</v>
      </c>
      <c r="BA10" cm="1">
        <f t="array" aca="1" ref="BA10" ca="1">IFERROR(INDEX(auto_DataFlat_DataValue,MATCH(CONCATENATE(BA$6,"_",$E10),auto_DataFlat_UID,0),$C$7),"n/a")</f>
        <v>0</v>
      </c>
      <c r="BB10" cm="1">
        <f t="array" aca="1" ref="BB10" ca="1">IFERROR(INDEX(auto_DataFlat_DataValue,MATCH(CONCATENATE(BB$6,"_",$E10),auto_DataFlat_UID,0),$C$7),"n/a")</f>
        <v>0</v>
      </c>
      <c r="BC10" cm="1">
        <f t="array" aca="1" ref="BC10" ca="1">IFERROR(INDEX(auto_DataFlat_DataValue,MATCH(CONCATENATE(BC$6,"_",$E10),auto_DataFlat_UID,0),$C$7),"n/a")</f>
        <v>0</v>
      </c>
      <c r="BD10" cm="1">
        <f t="array" aca="1" ref="BD10" ca="1">IFERROR(INDEX(auto_DataFlat_DataValue,MATCH(CONCATENATE(BD$6,"_",$E10),auto_DataFlat_UID,0),$C$7),"n/a")</f>
        <v>0</v>
      </c>
      <c r="BE10" cm="1">
        <f t="array" aca="1" ref="BE10" ca="1">IFERROR(INDEX(auto_DataFlat_DataValue,MATCH(CONCATENATE(BE$6,"_",$E10),auto_DataFlat_UID,0),$C$7),"n/a")</f>
        <v>0</v>
      </c>
      <c r="BF10" cm="1">
        <f t="array" aca="1" ref="BF10" ca="1">IFERROR(INDEX(auto_DataFlat_DataValue,MATCH(CONCATENATE(BF$6,"_",$E10),auto_DataFlat_UID,0),$C$7),"n/a")</f>
        <v>0</v>
      </c>
      <c r="BG10" cm="1">
        <f t="array" aca="1" ref="BG10" ca="1">IFERROR(INDEX(auto_DataFlat_DataValue,MATCH(CONCATENATE(BG$6,"_",$E10),auto_DataFlat_UID,0),$C$7),"n/a")</f>
        <v>0</v>
      </c>
      <c r="BH10" cm="1">
        <f t="array" aca="1" ref="BH10" ca="1">IFERROR(INDEX(auto_DataFlat_DataValue,MATCH(CONCATENATE(BH$6,"_",$E10),auto_DataFlat_UID,0),$C$7),"n/a")</f>
        <v>0</v>
      </c>
      <c r="BI10" cm="1">
        <f t="array" aca="1" ref="BI10" ca="1">IFERROR(INDEX(auto_DataFlat_DataValue,MATCH(CONCATENATE(BI$6,"_",$E10),auto_DataFlat_UID,0),$C$7),"n/a")</f>
        <v>0</v>
      </c>
      <c r="BJ10" cm="1">
        <f t="array" aca="1" ref="BJ10" ca="1">IFERROR(INDEX(auto_DataFlat_DataValue,MATCH(CONCATENATE(BJ$6,"_",$E10),auto_DataFlat_UID,0),$C$7),"n/a")</f>
        <v>0</v>
      </c>
      <c r="BK10" cm="1">
        <f t="array" aca="1" ref="BK10" ca="1">IFERROR(INDEX(auto_DataFlat_DataValue,MATCH(CONCATENATE(BK$6,"_",$E10),auto_DataFlat_UID,0),$C$7),"n/a")</f>
        <v>0</v>
      </c>
      <c r="BL10" cm="1">
        <f t="array" aca="1" ref="BL10" ca="1">IFERROR(INDEX(auto_DataFlat_DataValue,MATCH(CONCATENATE(BL$6,"_",$E10),auto_DataFlat_UID,0),$C$7),"n/a")</f>
        <v>0</v>
      </c>
      <c r="BM10" cm="1">
        <f t="array" aca="1" ref="BM10" ca="1">IFERROR(INDEX(auto_DataFlat_DataValue,MATCH(CONCATENATE(BM$6,"_",$E10),auto_DataFlat_UID,0),$C$7),"n/a")</f>
        <v>0</v>
      </c>
      <c r="BN10" cm="1">
        <f t="array" aca="1" ref="BN10" ca="1">IFERROR(INDEX(auto_DataFlat_DataValue,MATCH(CONCATENATE(BN$6,"_",$E10),auto_DataFlat_UID,0),$C$7),"n/a")</f>
        <v>0</v>
      </c>
      <c r="BO10" cm="1">
        <f t="array" aca="1" ref="BO10" ca="1">IFERROR(INDEX(auto_DataFlat_DataValue,MATCH(CONCATENATE(BO$6,"_",$E10),auto_DataFlat_UID,0),$C$7),"n/a")</f>
        <v>0</v>
      </c>
      <c r="BQ10" cm="1">
        <f t="array" aca="1" ref="BQ10" ca="1">IFERROR(ROUND(IF($H10="WEIGHTED_SUM",SUMPRODUCT(--(OFFSET($F10,1,0,$C$2,1)=$E10)*OFFSET(BQ10,1,0,$C$2,1)*OFFSET($P10,1,0,$C$2,1)),$C$3 *IF(NOT(ISNUMBER(R10)),0,IF($H10="FIXED_RANGE",CHOOSE($G10,(MIN(MAX(R10,$L10),$M10)-$L10)/$N10,1-(MIN(MAX(R10,$L10),$M10)-$L10)/$N10),IF($H10="PIVOT",IF(R10&lt;=$I10,MAX(0,R10-$J10)/($I10-$J10),MAX(0,$K10-R10)/($K10-$I10)),"unknown type")))),8),0)</f>
        <v>0</v>
      </c>
      <c r="BR10" cm="1">
        <f t="array" aca="1" ref="BR10" ca="1">IFERROR(ROUND(IF($H10="WEIGHTED_SUM",SUMPRODUCT(--(OFFSET($F10,1,0,$C$2,1)=$E10)*OFFSET(BR10,1,0,$C$2,1)*OFFSET($P10,1,0,$C$2,1)),$C$3 *IF(NOT(ISNUMBER(S10)),0,IF($H10="FIXED_RANGE",CHOOSE($G10,(MIN(MAX(S10,$L10),$M10)-$L10)/$N10,1-(MIN(MAX(S10,$L10),$M10)-$L10)/$N10),IF($H10="PIVOT",IF(S10&lt;=$I10,MAX(0,S10-$J10)/($I10-$J10),MAX(0,$K10-S10)/($K10-$I10)),"unknown type")))),8),0)</f>
        <v>0</v>
      </c>
      <c r="BS10" cm="1">
        <f t="array" aca="1" ref="BS10" ca="1">IFERROR(ROUND(IF($H10="WEIGHTED_SUM",SUMPRODUCT(--(OFFSET($F10,1,0,$C$2,1)=$E10)*OFFSET(BS10,1,0,$C$2,1)*OFFSET($P10,1,0,$C$2,1)),$C$3 *IF(NOT(ISNUMBER(T10)),0,IF($H10="FIXED_RANGE",CHOOSE($G10,(MIN(MAX(T10,$L10),$M10)-$L10)/$N10,1-(MIN(MAX(T10,$L10),$M10)-$L10)/$N10),IF($H10="PIVOT",IF(T10&lt;=$I10,MAX(0,T10-$J10)/($I10-$J10),MAX(0,$K10-T10)/($K10-$I10)),"unknown type")))),8),0)</f>
        <v>0</v>
      </c>
      <c r="BT10" cm="1">
        <f t="array" aca="1" ref="BT10" ca="1">IFERROR(ROUND(IF($H10="WEIGHTED_SUM",SUMPRODUCT(--(OFFSET($F10,1,0,$C$2,1)=$E10)*OFFSET(BT10,1,0,$C$2,1)*OFFSET($P10,1,0,$C$2,1)),$C$3 *IF(NOT(ISNUMBER(U10)),0,IF($H10="FIXED_RANGE",CHOOSE($G10,(MIN(MAX(U10,$L10),$M10)-$L10)/$N10,1-(MIN(MAX(U10,$L10),$M10)-$L10)/$N10),IF($H10="PIVOT",IF(U10&lt;=$I10,MAX(0,U10-$J10)/($I10-$J10),MAX(0,$K10-U10)/($K10-$I10)),"unknown type")))),8),0)</f>
        <v>0</v>
      </c>
      <c r="BU10" cm="1">
        <f t="array" aca="1" ref="BU10" ca="1">IFERROR(ROUND(IF($H10="WEIGHTED_SUM",SUMPRODUCT(--(OFFSET($F10,1,0,$C$2,1)=$E10)*OFFSET(BU10,1,0,$C$2,1)*OFFSET($P10,1,0,$C$2,1)),$C$3 *IF(NOT(ISNUMBER(V10)),0,IF($H10="FIXED_RANGE",CHOOSE($G10,(MIN(MAX(V10,$L10),$M10)-$L10)/$N10,1-(MIN(MAX(V10,$L10),$M10)-$L10)/$N10),IF($H10="PIVOT",IF(V10&lt;=$I10,MAX(0,V10-$J10)/($I10-$J10),MAX(0,$K10-V10)/($K10-$I10)),"unknown type")))),8),0)</f>
        <v>0</v>
      </c>
      <c r="BV10" cm="1">
        <f t="array" aca="1" ref="BV10" ca="1">IFERROR(ROUND(IF($H10="WEIGHTED_SUM",SUMPRODUCT(--(OFFSET($F10,1,0,$C$2,1)=$E10)*OFFSET(BV10,1,0,$C$2,1)*OFFSET($P10,1,0,$C$2,1)),$C$3 *IF(NOT(ISNUMBER(W10)),0,IF($H10="FIXED_RANGE",CHOOSE($G10,(MIN(MAX(W10,$L10),$M10)-$L10)/$N10,1-(MIN(MAX(W10,$L10),$M10)-$L10)/$N10),IF($H10="PIVOT",IF(W10&lt;=$I10,MAX(0,W10-$J10)/($I10-$J10),MAX(0,$K10-W10)/($K10-$I10)),"unknown type")))),8),0)</f>
        <v>0</v>
      </c>
      <c r="BW10" cm="1">
        <f t="array" aca="1" ref="BW10" ca="1">IFERROR(ROUND(IF($H10="WEIGHTED_SUM",SUMPRODUCT(--(OFFSET($F10,1,0,$C$2,1)=$E10)*OFFSET(BW10,1,0,$C$2,1)*OFFSET($P10,1,0,$C$2,1)),$C$3 *IF(NOT(ISNUMBER(X10)),0,IF($H10="FIXED_RANGE",CHOOSE($G10,(MIN(MAX(X10,$L10),$M10)-$L10)/$N10,1-(MIN(MAX(X10,$L10),$M10)-$L10)/$N10),IF($H10="PIVOT",IF(X10&lt;=$I10,MAX(0,X10-$J10)/($I10-$J10),MAX(0,$K10-X10)/($K10-$I10)),"unknown type")))),8),0)</f>
        <v>0</v>
      </c>
      <c r="BX10" cm="1">
        <f t="array" aca="1" ref="BX10" ca="1">IFERROR(ROUND(IF($H10="WEIGHTED_SUM",SUMPRODUCT(--(OFFSET($F10,1,0,$C$2,1)=$E10)*OFFSET(BX10,1,0,$C$2,1)*OFFSET($P10,1,0,$C$2,1)),$C$3 *IF(NOT(ISNUMBER(Y10)),0,IF($H10="FIXED_RANGE",CHOOSE($G10,(MIN(MAX(Y10,$L10),$M10)-$L10)/$N10,1-(MIN(MAX(Y10,$L10),$M10)-$L10)/$N10),IF($H10="PIVOT",IF(Y10&lt;=$I10,MAX(0,Y10-$J10)/($I10-$J10),MAX(0,$K10-Y10)/($K10-$I10)),"unknown type")))),8),0)</f>
        <v>0</v>
      </c>
      <c r="BY10" cm="1">
        <f t="array" aca="1" ref="BY10" ca="1">IFERROR(ROUND(IF($H10="WEIGHTED_SUM",SUMPRODUCT(--(OFFSET($F10,1,0,$C$2,1)=$E10)*OFFSET(BY10,1,0,$C$2,1)*OFFSET($P10,1,0,$C$2,1)),$C$3 *IF(NOT(ISNUMBER(Z10)),0,IF($H10="FIXED_RANGE",CHOOSE($G10,(MIN(MAX(Z10,$L10),$M10)-$L10)/$N10,1-(MIN(MAX(Z10,$L10),$M10)-$L10)/$N10),IF($H10="PIVOT",IF(Z10&lt;=$I10,MAX(0,Z10-$J10)/($I10-$J10),MAX(0,$K10-Z10)/($K10-$I10)),"unknown type")))),8),0)</f>
        <v>0</v>
      </c>
      <c r="BZ10" cm="1">
        <f t="array" aca="1" ref="BZ10" ca="1">IFERROR(ROUND(IF($H10="WEIGHTED_SUM",SUMPRODUCT(--(OFFSET($F10,1,0,$C$2,1)=$E10)*OFFSET(BZ10,1,0,$C$2,1)*OFFSET($P10,1,0,$C$2,1)),$C$3 *IF(NOT(ISNUMBER(AA10)),0,IF($H10="FIXED_RANGE",CHOOSE($G10,(MIN(MAX(AA10,$L10),$M10)-$L10)/$N10,1-(MIN(MAX(AA10,$L10),$M10)-$L10)/$N10),IF($H10="PIVOT",IF(AA10&lt;=$I10,MAX(0,AA10-$J10)/($I10-$J10),MAX(0,$K10-AA10)/($K10-$I10)),"unknown type")))),8),0)</f>
        <v>0</v>
      </c>
      <c r="CA10" cm="1">
        <f t="array" aca="1" ref="CA10" ca="1">IFERROR(ROUND(IF($H10="WEIGHTED_SUM",SUMPRODUCT(--(OFFSET($F10,1,0,$C$2,1)=$E10)*OFFSET(CA10,1,0,$C$2,1)*OFFSET($P10,1,0,$C$2,1)),$C$3 *IF(NOT(ISNUMBER(AB10)),0,IF($H10="FIXED_RANGE",CHOOSE($G10,(MIN(MAX(AB10,$L10),$M10)-$L10)/$N10,1-(MIN(MAX(AB10,$L10),$M10)-$L10)/$N10),IF($H10="PIVOT",IF(AB10&lt;=$I10,MAX(0,AB10-$J10)/($I10-$J10),MAX(0,$K10-AB10)/($K10-$I10)),"unknown type")))),8),0)</f>
        <v>0</v>
      </c>
      <c r="CB10" cm="1">
        <f t="array" aca="1" ref="CB10" ca="1">IFERROR(ROUND(IF($H10="WEIGHTED_SUM",SUMPRODUCT(--(OFFSET($F10,1,0,$C$2,1)=$E10)*OFFSET(CB10,1,0,$C$2,1)*OFFSET($P10,1,0,$C$2,1)),$C$3 *IF(NOT(ISNUMBER(AC10)),0,IF($H10="FIXED_RANGE",CHOOSE($G10,(MIN(MAX(AC10,$L10),$M10)-$L10)/$N10,1-(MIN(MAX(AC10,$L10),$M10)-$L10)/$N10),IF($H10="PIVOT",IF(AC10&lt;=$I10,MAX(0,AC10-$J10)/($I10-$J10),MAX(0,$K10-AC10)/($K10-$I10)),"unknown type")))),8),0)</f>
        <v>0</v>
      </c>
      <c r="CC10" cm="1">
        <f t="array" aca="1" ref="CC10" ca="1">IFERROR(ROUND(IF($H10="WEIGHTED_SUM",SUMPRODUCT(--(OFFSET($F10,1,0,$C$2,1)=$E10)*OFFSET(CC10,1,0,$C$2,1)*OFFSET($P10,1,0,$C$2,1)),$C$3 *IF(NOT(ISNUMBER(AD10)),0,IF($H10="FIXED_RANGE",CHOOSE($G10,(MIN(MAX(AD10,$L10),$M10)-$L10)/$N10,1-(MIN(MAX(AD10,$L10),$M10)-$L10)/$N10),IF($H10="PIVOT",IF(AD10&lt;=$I10,MAX(0,AD10-$J10)/($I10-$J10),MAX(0,$K10-AD10)/($K10-$I10)),"unknown type")))),8),0)</f>
        <v>0</v>
      </c>
      <c r="CD10" cm="1">
        <f t="array" aca="1" ref="CD10" ca="1">IFERROR(ROUND(IF($H10="WEIGHTED_SUM",SUMPRODUCT(--(OFFSET($F10,1,0,$C$2,1)=$E10)*OFFSET(CD10,1,0,$C$2,1)*OFFSET($P10,1,0,$C$2,1)),$C$3 *IF(NOT(ISNUMBER(AE10)),0,IF($H10="FIXED_RANGE",CHOOSE($G10,(MIN(MAX(AE10,$L10),$M10)-$L10)/$N10,1-(MIN(MAX(AE10,$L10),$M10)-$L10)/$N10),IF($H10="PIVOT",IF(AE10&lt;=$I10,MAX(0,AE10-$J10)/($I10-$J10),MAX(0,$K10-AE10)/($K10-$I10)),"unknown type")))),8),0)</f>
        <v>0</v>
      </c>
      <c r="CE10" cm="1">
        <f t="array" aca="1" ref="CE10" ca="1">IFERROR(ROUND(IF($H10="WEIGHTED_SUM",SUMPRODUCT(--(OFFSET($F10,1,0,$C$2,1)=$E10)*OFFSET(CE10,1,0,$C$2,1)*OFFSET($P10,1,0,$C$2,1)),$C$3 *IF(NOT(ISNUMBER(AF10)),0,IF($H10="FIXED_RANGE",CHOOSE($G10,(MIN(MAX(AF10,$L10),$M10)-$L10)/$N10,1-(MIN(MAX(AF10,$L10),$M10)-$L10)/$N10),IF($H10="PIVOT",IF(AF10&lt;=$I10,MAX(0,AF10-$J10)/($I10-$J10),MAX(0,$K10-AF10)/($K10-$I10)),"unknown type")))),8),0)</f>
        <v>0</v>
      </c>
      <c r="CF10" cm="1">
        <f t="array" aca="1" ref="CF10" ca="1">IFERROR(ROUND(IF($H10="WEIGHTED_SUM",SUMPRODUCT(--(OFFSET($F10,1,0,$C$2,1)=$E10)*OFFSET(CF10,1,0,$C$2,1)*OFFSET($P10,1,0,$C$2,1)),$C$3 *IF(NOT(ISNUMBER(AG10)),0,IF($H10="FIXED_RANGE",CHOOSE($G10,(MIN(MAX(AG10,$L10),$M10)-$L10)/$N10,1-(MIN(MAX(AG10,$L10),$M10)-$L10)/$N10),IF($H10="PIVOT",IF(AG10&lt;=$I10,MAX(0,AG10-$J10)/($I10-$J10),MAX(0,$K10-AG10)/($K10-$I10)),"unknown type")))),8),0)</f>
        <v>0</v>
      </c>
      <c r="CG10" cm="1">
        <f t="array" aca="1" ref="CG10" ca="1">IFERROR(ROUND(IF($H10="WEIGHTED_SUM",SUMPRODUCT(--(OFFSET($F10,1,0,$C$2,1)=$E10)*OFFSET(CG10,1,0,$C$2,1)*OFFSET($P10,1,0,$C$2,1)),$C$3 *IF(NOT(ISNUMBER(AH10)),0,IF($H10="FIXED_RANGE",CHOOSE($G10,(MIN(MAX(AH10,$L10),$M10)-$L10)/$N10,1-(MIN(MAX(AH10,$L10),$M10)-$L10)/$N10),IF($H10="PIVOT",IF(AH10&lt;=$I10,MAX(0,AH10-$J10)/($I10-$J10),MAX(0,$K10-AH10)/($K10-$I10)),"unknown type")))),8),0)</f>
        <v>0</v>
      </c>
      <c r="CH10" cm="1">
        <f t="array" aca="1" ref="CH10" ca="1">IFERROR(ROUND(IF($H10="WEIGHTED_SUM",SUMPRODUCT(--(OFFSET($F10,1,0,$C$2,1)=$E10)*OFFSET(CH10,1,0,$C$2,1)*OFFSET($P10,1,0,$C$2,1)),$C$3 *IF(NOT(ISNUMBER(AI10)),0,IF($H10="FIXED_RANGE",CHOOSE($G10,(MIN(MAX(AI10,$L10),$M10)-$L10)/$N10,1-(MIN(MAX(AI10,$L10),$M10)-$L10)/$N10),IF($H10="PIVOT",IF(AI10&lt;=$I10,MAX(0,AI10-$J10)/($I10-$J10),MAX(0,$K10-AI10)/($K10-$I10)),"unknown type")))),8),0)</f>
        <v>0</v>
      </c>
      <c r="CI10" cm="1">
        <f t="array" aca="1" ref="CI10" ca="1">IFERROR(ROUND(IF($H10="WEIGHTED_SUM",SUMPRODUCT(--(OFFSET($F10,1,0,$C$2,1)=$E10)*OFFSET(CI10,1,0,$C$2,1)*OFFSET($P10,1,0,$C$2,1)),$C$3 *IF(NOT(ISNUMBER(AJ10)),0,IF($H10="FIXED_RANGE",CHOOSE($G10,(MIN(MAX(AJ10,$L10),$M10)-$L10)/$N10,1-(MIN(MAX(AJ10,$L10),$M10)-$L10)/$N10),IF($H10="PIVOT",IF(AJ10&lt;=$I10,MAX(0,AJ10-$J10)/($I10-$J10),MAX(0,$K10-AJ10)/($K10-$I10)),"unknown type")))),8),0)</f>
        <v>0</v>
      </c>
      <c r="CJ10" cm="1">
        <f t="array" aca="1" ref="CJ10" ca="1">IFERROR(ROUND(IF($H10="WEIGHTED_SUM",SUMPRODUCT(--(OFFSET($F10,1,0,$C$2,1)=$E10)*OFFSET(CJ10,1,0,$C$2,1)*OFFSET($P10,1,0,$C$2,1)),$C$3 *IF(NOT(ISNUMBER(AK10)),0,IF($H10="FIXED_RANGE",CHOOSE($G10,(MIN(MAX(AK10,$L10),$M10)-$L10)/$N10,1-(MIN(MAX(AK10,$L10),$M10)-$L10)/$N10),IF($H10="PIVOT",IF(AK10&lt;=$I10,MAX(0,AK10-$J10)/($I10-$J10),MAX(0,$K10-AK10)/($K10-$I10)),"unknown type")))),8),0)</f>
        <v>0</v>
      </c>
      <c r="CK10" cm="1">
        <f t="array" aca="1" ref="CK10" ca="1">IFERROR(ROUND(IF($H10="WEIGHTED_SUM",SUMPRODUCT(--(OFFSET($F10,1,0,$C$2,1)=$E10)*OFFSET(CK10,1,0,$C$2,1)*OFFSET($P10,1,0,$C$2,1)),$C$3 *IF(NOT(ISNUMBER(AL10)),0,IF($H10="FIXED_RANGE",CHOOSE($G10,(MIN(MAX(AL10,$L10),$M10)-$L10)/$N10,1-(MIN(MAX(AL10,$L10),$M10)-$L10)/$N10),IF($H10="PIVOT",IF(AL10&lt;=$I10,MAX(0,AL10-$J10)/($I10-$J10),MAX(0,$K10-AL10)/($K10-$I10)),"unknown type")))),8),0)</f>
        <v>0</v>
      </c>
      <c r="CL10" cm="1">
        <f t="array" aca="1" ref="CL10" ca="1">IFERROR(ROUND(IF($H10="WEIGHTED_SUM",SUMPRODUCT(--(OFFSET($F10,1,0,$C$2,1)=$E10)*OFFSET(CL10,1,0,$C$2,1)*OFFSET($P10,1,0,$C$2,1)),$C$3 *IF(NOT(ISNUMBER(AM10)),0,IF($H10="FIXED_RANGE",CHOOSE($G10,(MIN(MAX(AM10,$L10),$M10)-$L10)/$N10,1-(MIN(MAX(AM10,$L10),$M10)-$L10)/$N10),IF($H10="PIVOT",IF(AM10&lt;=$I10,MAX(0,AM10-$J10)/($I10-$J10),MAX(0,$K10-AM10)/($K10-$I10)),"unknown type")))),8),0)</f>
        <v>0</v>
      </c>
      <c r="CM10" cm="1">
        <f t="array" aca="1" ref="CM10" ca="1">IFERROR(ROUND(IF($H10="WEIGHTED_SUM",SUMPRODUCT(--(OFFSET($F10,1,0,$C$2,1)=$E10)*OFFSET(CM10,1,0,$C$2,1)*OFFSET($P10,1,0,$C$2,1)),$C$3 *IF(NOT(ISNUMBER(AN10)),0,IF($H10="FIXED_RANGE",CHOOSE($G10,(MIN(MAX(AN10,$L10),$M10)-$L10)/$N10,1-(MIN(MAX(AN10,$L10),$M10)-$L10)/$N10),IF($H10="PIVOT",IF(AN10&lt;=$I10,MAX(0,AN10-$J10)/($I10-$J10),MAX(0,$K10-AN10)/($K10-$I10)),"unknown type")))),8),0)</f>
        <v>0</v>
      </c>
      <c r="CN10" cm="1">
        <f t="array" aca="1" ref="CN10" ca="1">IFERROR(ROUND(IF($H10="WEIGHTED_SUM",SUMPRODUCT(--(OFFSET($F10,1,0,$C$2,1)=$E10)*OFFSET(CN10,1,0,$C$2,1)*OFFSET($P10,1,0,$C$2,1)),$C$3 *IF(NOT(ISNUMBER(AO10)),0,IF($H10="FIXED_RANGE",CHOOSE($G10,(MIN(MAX(AO10,$L10),$M10)-$L10)/$N10,1-(MIN(MAX(AO10,$L10),$M10)-$L10)/$N10),IF($H10="PIVOT",IF(AO10&lt;=$I10,MAX(0,AO10-$J10)/($I10-$J10),MAX(0,$K10-AO10)/($K10-$I10)),"unknown type")))),8),0)</f>
        <v>0</v>
      </c>
      <c r="CO10" cm="1">
        <f t="array" aca="1" ref="CO10" ca="1">IFERROR(ROUND(IF($H10="WEIGHTED_SUM",SUMPRODUCT(--(OFFSET($F10,1,0,$C$2,1)=$E10)*OFFSET(CO10,1,0,$C$2,1)*OFFSET($P10,1,0,$C$2,1)),$C$3 *IF(NOT(ISNUMBER(AP10)),0,IF($H10="FIXED_RANGE",CHOOSE($G10,(MIN(MAX(AP10,$L10),$M10)-$L10)/$N10,1-(MIN(MAX(AP10,$L10),$M10)-$L10)/$N10),IF($H10="PIVOT",IF(AP10&lt;=$I10,MAX(0,AP10-$J10)/($I10-$J10),MAX(0,$K10-AP10)/($K10-$I10)),"unknown type")))),8),0)</f>
        <v>0</v>
      </c>
      <c r="CP10" cm="1">
        <f t="array" aca="1" ref="CP10" ca="1">IFERROR(ROUND(IF($H10="WEIGHTED_SUM",SUMPRODUCT(--(OFFSET($F10,1,0,$C$2,1)=$E10)*OFFSET(CP10,1,0,$C$2,1)*OFFSET($P10,1,0,$C$2,1)),$C$3 *IF(NOT(ISNUMBER(AQ10)),0,IF($H10="FIXED_RANGE",CHOOSE($G10,(MIN(MAX(AQ10,$L10),$M10)-$L10)/$N10,1-(MIN(MAX(AQ10,$L10),$M10)-$L10)/$N10),IF($H10="PIVOT",IF(AQ10&lt;=$I10,MAX(0,AQ10-$J10)/($I10-$J10),MAX(0,$K10-AQ10)/($K10-$I10)),"unknown type")))),8),0)</f>
        <v>0</v>
      </c>
      <c r="CQ10" cm="1">
        <f t="array" aca="1" ref="CQ10" ca="1">IFERROR(ROUND(IF($H10="WEIGHTED_SUM",SUMPRODUCT(--(OFFSET($F10,1,0,$C$2,1)=$E10)*OFFSET(CQ10,1,0,$C$2,1)*OFFSET($P10,1,0,$C$2,1)),$C$3 *IF(NOT(ISNUMBER(AR10)),0,IF($H10="FIXED_RANGE",CHOOSE($G10,(MIN(MAX(AR10,$L10),$M10)-$L10)/$N10,1-(MIN(MAX(AR10,$L10),$M10)-$L10)/$N10),IF($H10="PIVOT",IF(AR10&lt;=$I10,MAX(0,AR10-$J10)/($I10-$J10),MAX(0,$K10-AR10)/($K10-$I10)),"unknown type")))),8),0)</f>
        <v>0</v>
      </c>
      <c r="CR10" cm="1">
        <f t="array" aca="1" ref="CR10" ca="1">IFERROR(ROUND(IF($H10="WEIGHTED_SUM",SUMPRODUCT(--(OFFSET($F10,1,0,$C$2,1)=$E10)*OFFSET(CR10,1,0,$C$2,1)*OFFSET($P10,1,0,$C$2,1)),$C$3 *IF(NOT(ISNUMBER(AS10)),0,IF($H10="FIXED_RANGE",CHOOSE($G10,(MIN(MAX(AS10,$L10),$M10)-$L10)/$N10,1-(MIN(MAX(AS10,$L10),$M10)-$L10)/$N10),IF($H10="PIVOT",IF(AS10&lt;=$I10,MAX(0,AS10-$J10)/($I10-$J10),MAX(0,$K10-AS10)/($K10-$I10)),"unknown type")))),8),0)</f>
        <v>0</v>
      </c>
      <c r="CS10" cm="1">
        <f t="array" aca="1" ref="CS10" ca="1">IFERROR(ROUND(IF($H10="WEIGHTED_SUM",SUMPRODUCT(--(OFFSET($F10,1,0,$C$2,1)=$E10)*OFFSET(CS10,1,0,$C$2,1)*OFFSET($P10,1,0,$C$2,1)),$C$3 *IF(NOT(ISNUMBER(AT10)),0,IF($H10="FIXED_RANGE",CHOOSE($G10,(MIN(MAX(AT10,$L10),$M10)-$L10)/$N10,1-(MIN(MAX(AT10,$L10),$M10)-$L10)/$N10),IF($H10="PIVOT",IF(AT10&lt;=$I10,MAX(0,AT10-$J10)/($I10-$J10),MAX(0,$K10-AT10)/($K10-$I10)),"unknown type")))),8),0)</f>
        <v>0</v>
      </c>
      <c r="CT10" cm="1">
        <f t="array" aca="1" ref="CT10" ca="1">IFERROR(ROUND(IF($H10="WEIGHTED_SUM",SUMPRODUCT(--(OFFSET($F10,1,0,$C$2,1)=$E10)*OFFSET(CT10,1,0,$C$2,1)*OFFSET($P10,1,0,$C$2,1)),$C$3 *IF(NOT(ISNUMBER(AU10)),0,IF($H10="FIXED_RANGE",CHOOSE($G10,(MIN(MAX(AU10,$L10),$M10)-$L10)/$N10,1-(MIN(MAX(AU10,$L10),$M10)-$L10)/$N10),IF($H10="PIVOT",IF(AU10&lt;=$I10,MAX(0,AU10-$J10)/($I10-$J10),MAX(0,$K10-AU10)/($K10-$I10)),"unknown type")))),8),0)</f>
        <v>0</v>
      </c>
      <c r="CU10" cm="1">
        <f t="array" aca="1" ref="CU10" ca="1">IFERROR(ROUND(IF($H10="WEIGHTED_SUM",SUMPRODUCT(--(OFFSET($F10,1,0,$C$2,1)=$E10)*OFFSET(CU10,1,0,$C$2,1)*OFFSET($P10,1,0,$C$2,1)),$C$3 *IF(NOT(ISNUMBER(AV10)),0,IF($H10="FIXED_RANGE",CHOOSE($G10,(MIN(MAX(AV10,$L10),$M10)-$L10)/$N10,1-(MIN(MAX(AV10,$L10),$M10)-$L10)/$N10),IF($H10="PIVOT",IF(AV10&lt;=$I10,MAX(0,AV10-$J10)/($I10-$J10),MAX(0,$K10-AV10)/($K10-$I10)),"unknown type")))),8),0)</f>
        <v>0</v>
      </c>
      <c r="CV10" cm="1">
        <f t="array" aca="1" ref="CV10" ca="1">IFERROR(ROUND(IF($H10="WEIGHTED_SUM",SUMPRODUCT(--(OFFSET($F10,1,0,$C$2,1)=$E10)*OFFSET(CV10,1,0,$C$2,1)*OFFSET($P10,1,0,$C$2,1)),$C$3 *IF(NOT(ISNUMBER(AW10)),0,IF($H10="FIXED_RANGE",CHOOSE($G10,(MIN(MAX(AW10,$L10),$M10)-$L10)/$N10,1-(MIN(MAX(AW10,$L10),$M10)-$L10)/$N10),IF($H10="PIVOT",IF(AW10&lt;=$I10,MAX(0,AW10-$J10)/($I10-$J10),MAX(0,$K10-AW10)/($K10-$I10)),"unknown type")))),8),0)</f>
        <v>0</v>
      </c>
      <c r="CW10" cm="1">
        <f t="array" aca="1" ref="CW10" ca="1">IFERROR(ROUND(IF($H10="WEIGHTED_SUM",SUMPRODUCT(--(OFFSET($F10,1,0,$C$2,1)=$E10)*OFFSET(CW10,1,0,$C$2,1)*OFFSET($P10,1,0,$C$2,1)),$C$3 *IF(NOT(ISNUMBER(AX10)),0,IF($H10="FIXED_RANGE",CHOOSE($G10,(MIN(MAX(AX10,$L10),$M10)-$L10)/$N10,1-(MIN(MAX(AX10,$L10),$M10)-$L10)/$N10),IF($H10="PIVOT",IF(AX10&lt;=$I10,MAX(0,AX10-$J10)/($I10-$J10),MAX(0,$K10-AX10)/($K10-$I10)),"unknown type")))),8),0)</f>
        <v>0</v>
      </c>
      <c r="CX10" cm="1">
        <f t="array" aca="1" ref="CX10" ca="1">IFERROR(ROUND(IF($H10="WEIGHTED_SUM",SUMPRODUCT(--(OFFSET($F10,1,0,$C$2,1)=$E10)*OFFSET(CX10,1,0,$C$2,1)*OFFSET($P10,1,0,$C$2,1)),$C$3 *IF(NOT(ISNUMBER(AY10)),0,IF($H10="FIXED_RANGE",CHOOSE($G10,(MIN(MAX(AY10,$L10),$M10)-$L10)/$N10,1-(MIN(MAX(AY10,$L10),$M10)-$L10)/$N10),IF($H10="PIVOT",IF(AY10&lt;=$I10,MAX(0,AY10-$J10)/($I10-$J10),MAX(0,$K10-AY10)/($K10-$I10)),"unknown type")))),8),0)</f>
        <v>0</v>
      </c>
      <c r="CY10" cm="1">
        <f t="array" aca="1" ref="CY10" ca="1">IFERROR(ROUND(IF($H10="WEIGHTED_SUM",SUMPRODUCT(--(OFFSET($F10,1,0,$C$2,1)=$E10)*OFFSET(CY10,1,0,$C$2,1)*OFFSET($P10,1,0,$C$2,1)),$C$3 *IF(NOT(ISNUMBER(AZ10)),0,IF($H10="FIXED_RANGE",CHOOSE($G10,(MIN(MAX(AZ10,$L10),$M10)-$L10)/$N10,1-(MIN(MAX(AZ10,$L10),$M10)-$L10)/$N10),IF($H10="PIVOT",IF(AZ10&lt;=$I10,MAX(0,AZ10-$J10)/($I10-$J10),MAX(0,$K10-AZ10)/($K10-$I10)),"unknown type")))),8),0)</f>
        <v>0</v>
      </c>
      <c r="CZ10" cm="1">
        <f t="array" aca="1" ref="CZ10" ca="1">IFERROR(ROUND(IF($H10="WEIGHTED_SUM",SUMPRODUCT(--(OFFSET($F10,1,0,$C$2,1)=$E10)*OFFSET(CZ10,1,0,$C$2,1)*OFFSET($P10,1,0,$C$2,1)),$C$3 *IF(NOT(ISNUMBER(BA10)),0,IF($H10="FIXED_RANGE",CHOOSE($G10,(MIN(MAX(BA10,$L10),$M10)-$L10)/$N10,1-(MIN(MAX(BA10,$L10),$M10)-$L10)/$N10),IF($H10="PIVOT",IF(BA10&lt;=$I10,MAX(0,BA10-$J10)/($I10-$J10),MAX(0,$K10-BA10)/($K10-$I10)),"unknown type")))),8),0)</f>
        <v>0</v>
      </c>
      <c r="DA10" cm="1">
        <f t="array" aca="1" ref="DA10" ca="1">IFERROR(ROUND(IF($H10="WEIGHTED_SUM",SUMPRODUCT(--(OFFSET($F10,1,0,$C$2,1)=$E10)*OFFSET(DA10,1,0,$C$2,1)*OFFSET($P10,1,0,$C$2,1)),$C$3 *IF(NOT(ISNUMBER(BB10)),0,IF($H10="FIXED_RANGE",CHOOSE($G10,(MIN(MAX(BB10,$L10),$M10)-$L10)/$N10,1-(MIN(MAX(BB10,$L10),$M10)-$L10)/$N10),IF($H10="PIVOT",IF(BB10&lt;=$I10,MAX(0,BB10-$J10)/($I10-$J10),MAX(0,$K10-BB10)/($K10-$I10)),"unknown type")))),8),0)</f>
        <v>0</v>
      </c>
      <c r="DB10" cm="1">
        <f t="array" aca="1" ref="DB10" ca="1">IFERROR(ROUND(IF($H10="WEIGHTED_SUM",SUMPRODUCT(--(OFFSET($F10,1,0,$C$2,1)=$E10)*OFFSET(DB10,1,0,$C$2,1)*OFFSET($P10,1,0,$C$2,1)),$C$3 *IF(NOT(ISNUMBER(BC10)),0,IF($H10="FIXED_RANGE",CHOOSE($G10,(MIN(MAX(BC10,$L10),$M10)-$L10)/$N10,1-(MIN(MAX(BC10,$L10),$M10)-$L10)/$N10),IF($H10="PIVOT",IF(BC10&lt;=$I10,MAX(0,BC10-$J10)/($I10-$J10),MAX(0,$K10-BC10)/($K10-$I10)),"unknown type")))),8),0)</f>
        <v>0</v>
      </c>
      <c r="DC10" cm="1">
        <f t="array" aca="1" ref="DC10" ca="1">IFERROR(ROUND(IF($H10="WEIGHTED_SUM",SUMPRODUCT(--(OFFSET($F10,1,0,$C$2,1)=$E10)*OFFSET(DC10,1,0,$C$2,1)*OFFSET($P10,1,0,$C$2,1)),$C$3 *IF(NOT(ISNUMBER(BD10)),0,IF($H10="FIXED_RANGE",CHOOSE($G10,(MIN(MAX(BD10,$L10),$M10)-$L10)/$N10,1-(MIN(MAX(BD10,$L10),$M10)-$L10)/$N10),IF($H10="PIVOT",IF(BD10&lt;=$I10,MAX(0,BD10-$J10)/($I10-$J10),MAX(0,$K10-BD10)/($K10-$I10)),"unknown type")))),8),0)</f>
        <v>0</v>
      </c>
      <c r="DD10" cm="1">
        <f t="array" aca="1" ref="DD10" ca="1">IFERROR(ROUND(IF($H10="WEIGHTED_SUM",SUMPRODUCT(--(OFFSET($F10,1,0,$C$2,1)=$E10)*OFFSET(DD10,1,0,$C$2,1)*OFFSET($P10,1,0,$C$2,1)),$C$3 *IF(NOT(ISNUMBER(BE10)),0,IF($H10="FIXED_RANGE",CHOOSE($G10,(MIN(MAX(BE10,$L10),$M10)-$L10)/$N10,1-(MIN(MAX(BE10,$L10),$M10)-$L10)/$N10),IF($H10="PIVOT",IF(BE10&lt;=$I10,MAX(0,BE10-$J10)/($I10-$J10),MAX(0,$K10-BE10)/($K10-$I10)),"unknown type")))),8),0)</f>
        <v>0</v>
      </c>
      <c r="DE10" cm="1">
        <f t="array" aca="1" ref="DE10" ca="1">IFERROR(ROUND(IF($H10="WEIGHTED_SUM",SUMPRODUCT(--(OFFSET($F10,1,0,$C$2,1)=$E10)*OFFSET(DE10,1,0,$C$2,1)*OFFSET($P10,1,0,$C$2,1)),$C$3 *IF(NOT(ISNUMBER(BF10)),0,IF($H10="FIXED_RANGE",CHOOSE($G10,(MIN(MAX(BF10,$L10),$M10)-$L10)/$N10,1-(MIN(MAX(BF10,$L10),$M10)-$L10)/$N10),IF($H10="PIVOT",IF(BF10&lt;=$I10,MAX(0,BF10-$J10)/($I10-$J10),MAX(0,$K10-BF10)/($K10-$I10)),"unknown type")))),8),0)</f>
        <v>0</v>
      </c>
      <c r="DF10" cm="1">
        <f t="array" aca="1" ref="DF10" ca="1">IFERROR(ROUND(IF($H10="WEIGHTED_SUM",SUMPRODUCT(--(OFFSET($F10,1,0,$C$2,1)=$E10)*OFFSET(DF10,1,0,$C$2,1)*OFFSET($P10,1,0,$C$2,1)),$C$3 *IF(NOT(ISNUMBER(BG10)),0,IF($H10="FIXED_RANGE",CHOOSE($G10,(MIN(MAX(BG10,$L10),$M10)-$L10)/$N10,1-(MIN(MAX(BG10,$L10),$M10)-$L10)/$N10),IF($H10="PIVOT",IF(BG10&lt;=$I10,MAX(0,BG10-$J10)/($I10-$J10),MAX(0,$K10-BG10)/($K10-$I10)),"unknown type")))),8),0)</f>
        <v>0</v>
      </c>
      <c r="DG10" cm="1">
        <f t="array" aca="1" ref="DG10" ca="1">IFERROR(ROUND(IF($H10="WEIGHTED_SUM",SUMPRODUCT(--(OFFSET($F10,1,0,$C$2,1)=$E10)*OFFSET(DG10,1,0,$C$2,1)*OFFSET($P10,1,0,$C$2,1)),$C$3 *IF(NOT(ISNUMBER(BH10)),0,IF($H10="FIXED_RANGE",CHOOSE($G10,(MIN(MAX(BH10,$L10),$M10)-$L10)/$N10,1-(MIN(MAX(BH10,$L10),$M10)-$L10)/$N10),IF($H10="PIVOT",IF(BH10&lt;=$I10,MAX(0,BH10-$J10)/($I10-$J10),MAX(0,$K10-BH10)/($K10-$I10)),"unknown type")))),8),0)</f>
        <v>0</v>
      </c>
      <c r="DH10" cm="1">
        <f t="array" aca="1" ref="DH10" ca="1">IFERROR(ROUND(IF($H10="WEIGHTED_SUM",SUMPRODUCT(--(OFFSET($F10,1,0,$C$2,1)=$E10)*OFFSET(DH10,1,0,$C$2,1)*OFFSET($P10,1,0,$C$2,1)),$C$3 *IF(NOT(ISNUMBER(BI10)),0,IF($H10="FIXED_RANGE",CHOOSE($G10,(MIN(MAX(BI10,$L10),$M10)-$L10)/$N10,1-(MIN(MAX(BI10,$L10),$M10)-$L10)/$N10),IF($H10="PIVOT",IF(BI10&lt;=$I10,MAX(0,BI10-$J10)/($I10-$J10),MAX(0,$K10-BI10)/($K10-$I10)),"unknown type")))),8),0)</f>
        <v>0</v>
      </c>
      <c r="DI10" cm="1">
        <f t="array" aca="1" ref="DI10" ca="1">IFERROR(ROUND(IF($H10="WEIGHTED_SUM",SUMPRODUCT(--(OFFSET($F10,1,0,$C$2,1)=$E10)*OFFSET(DI10,1,0,$C$2,1)*OFFSET($P10,1,0,$C$2,1)),$C$3 *IF(NOT(ISNUMBER(BJ10)),0,IF($H10="FIXED_RANGE",CHOOSE($G10,(MIN(MAX(BJ10,$L10),$M10)-$L10)/$N10,1-(MIN(MAX(BJ10,$L10),$M10)-$L10)/$N10),IF($H10="PIVOT",IF(BJ10&lt;=$I10,MAX(0,BJ10-$J10)/($I10-$J10),MAX(0,$K10-BJ10)/($K10-$I10)),"unknown type")))),8),0)</f>
        <v>0</v>
      </c>
      <c r="DJ10" cm="1">
        <f t="array" aca="1" ref="DJ10" ca="1">IFERROR(ROUND(IF($H10="WEIGHTED_SUM",SUMPRODUCT(--(OFFSET($F10,1,0,$C$2,1)=$E10)*OFFSET(DJ10,1,0,$C$2,1)*OFFSET($P10,1,0,$C$2,1)),$C$3 *IF(NOT(ISNUMBER(BK10)),0,IF($H10="FIXED_RANGE",CHOOSE($G10,(MIN(MAX(BK10,$L10),$M10)-$L10)/$N10,1-(MIN(MAX(BK10,$L10),$M10)-$L10)/$N10),IF($H10="PIVOT",IF(BK10&lt;=$I10,MAX(0,BK10-$J10)/($I10-$J10),MAX(0,$K10-BK10)/($K10-$I10)),"unknown type")))),8),0)</f>
        <v>0</v>
      </c>
      <c r="DK10" cm="1">
        <f t="array" aca="1" ref="DK10" ca="1">IFERROR(ROUND(IF($H10="WEIGHTED_SUM",SUMPRODUCT(--(OFFSET($F10,1,0,$C$2,1)=$E10)*OFFSET(DK10,1,0,$C$2,1)*OFFSET($P10,1,0,$C$2,1)),$C$3 *IF(NOT(ISNUMBER(BL10)),0,IF($H10="FIXED_RANGE",CHOOSE($G10,(MIN(MAX(BL10,$L10),$M10)-$L10)/$N10,1-(MIN(MAX(BL10,$L10),$M10)-$L10)/$N10),IF($H10="PIVOT",IF(BL10&lt;=$I10,MAX(0,BL10-$J10)/($I10-$J10),MAX(0,$K10-BL10)/($K10-$I10)),"unknown type")))),8),0)</f>
        <v>0</v>
      </c>
      <c r="DL10" cm="1">
        <f t="array" aca="1" ref="DL10" ca="1">IFERROR(ROUND(IF($H10="WEIGHTED_SUM",SUMPRODUCT(--(OFFSET($F10,1,0,$C$2,1)=$E10)*OFFSET(DL10,1,0,$C$2,1)*OFFSET($P10,1,0,$C$2,1)),$C$3 *IF(NOT(ISNUMBER(BM10)),0,IF($H10="FIXED_RANGE",CHOOSE($G10,(MIN(MAX(BM10,$L10),$M10)-$L10)/$N10,1-(MIN(MAX(BM10,$L10),$M10)-$L10)/$N10),IF($H10="PIVOT",IF(BM10&lt;=$I10,MAX(0,BM10-$J10)/($I10-$J10),MAX(0,$K10-BM10)/($K10-$I10)),"unknown type")))),8),0)</f>
        <v>0</v>
      </c>
      <c r="DM10" cm="1">
        <f t="array" aca="1" ref="DM10" ca="1">IFERROR(ROUND(IF($H10="WEIGHTED_SUM",SUMPRODUCT(--(OFFSET($F10,1,0,$C$2,1)=$E10)*OFFSET(DM10,1,0,$C$2,1)*OFFSET($P10,1,0,$C$2,1)),$C$3 *IF(NOT(ISNUMBER(BN10)),0,IF($H10="FIXED_RANGE",CHOOSE($G10,(MIN(MAX(BN10,$L10),$M10)-$L10)/$N10,1-(MIN(MAX(BN10,$L10),$M10)-$L10)/$N10),IF($H10="PIVOT",IF(BN10&lt;=$I10,MAX(0,BN10-$J10)/($I10-$J10),MAX(0,$K10-BN10)/($K10-$I10)),"unknown type")))),8),0)</f>
        <v>0</v>
      </c>
      <c r="DN10" cm="1">
        <f t="array" aca="1" ref="DN10" ca="1">IFERROR(ROUND(IF($H10="WEIGHTED_SUM",SUMPRODUCT(--(OFFSET($F10,1,0,$C$2,1)=$E10)*OFFSET(DN10,1,0,$C$2,1)*OFFSET($P10,1,0,$C$2,1)),$C$3 *IF(NOT(ISNUMBER(BO10)),0,IF($H10="FIXED_RANGE",CHOOSE($G10,(MIN(MAX(BO10,$L10),$M10)-$L10)/$N10,1-(MIN(MAX(BO10,$L10),$M10)-$L10)/$N10),IF($H10="PIVOT",IF(BO10&lt;=$I10,MAX(0,BO10-$J10)/($I10-$J10),MAX(0,$K10-BO10)/($K10-$I10)),"unknown type")))),8),0)</f>
        <v>0</v>
      </c>
      <c r="DP10">
        <f t="shared" ref="DP10:DY11" ca="1" si="0">IF(DP$9=1,"n/a",BQ10)</f>
        <v>0</v>
      </c>
      <c r="DQ10">
        <f t="shared" ca="1" si="0"/>
        <v>0</v>
      </c>
      <c r="DR10">
        <f t="shared" ca="1" si="0"/>
        <v>0</v>
      </c>
      <c r="DS10">
        <f t="shared" ca="1" si="0"/>
        <v>0</v>
      </c>
      <c r="DT10">
        <f t="shared" ca="1" si="0"/>
        <v>0</v>
      </c>
      <c r="DU10">
        <f t="shared" ca="1" si="0"/>
        <v>0</v>
      </c>
      <c r="DV10">
        <f t="shared" ca="1" si="0"/>
        <v>0</v>
      </c>
      <c r="DW10">
        <f t="shared" ca="1" si="0"/>
        <v>0</v>
      </c>
      <c r="DX10">
        <f t="shared" ca="1" si="0"/>
        <v>0</v>
      </c>
      <c r="DY10">
        <f t="shared" ca="1" si="0"/>
        <v>0</v>
      </c>
      <c r="DZ10">
        <f t="shared" ref="DZ10:EI11" ca="1" si="1">IF(DZ$9=1,"n/a",CA10)</f>
        <v>0</v>
      </c>
      <c r="EA10">
        <f t="shared" ca="1" si="1"/>
        <v>0</v>
      </c>
      <c r="EB10">
        <f t="shared" ca="1" si="1"/>
        <v>0</v>
      </c>
      <c r="EC10">
        <f t="shared" ca="1" si="1"/>
        <v>0</v>
      </c>
      <c r="ED10">
        <f t="shared" ca="1" si="1"/>
        <v>0</v>
      </c>
      <c r="EE10">
        <f t="shared" ca="1" si="1"/>
        <v>0</v>
      </c>
      <c r="EF10">
        <f t="shared" ca="1" si="1"/>
        <v>0</v>
      </c>
      <c r="EG10">
        <f t="shared" ca="1" si="1"/>
        <v>0</v>
      </c>
      <c r="EH10">
        <f t="shared" ca="1" si="1"/>
        <v>0</v>
      </c>
      <c r="EI10">
        <f t="shared" ca="1" si="1"/>
        <v>0</v>
      </c>
      <c r="EJ10">
        <f t="shared" ref="EJ10:ES11" ca="1" si="2">IF(EJ$9=1,"n/a",CK10)</f>
        <v>0</v>
      </c>
      <c r="EK10">
        <f t="shared" ca="1" si="2"/>
        <v>0</v>
      </c>
      <c r="EL10">
        <f t="shared" ca="1" si="2"/>
        <v>0</v>
      </c>
      <c r="EM10">
        <f t="shared" ca="1" si="2"/>
        <v>0</v>
      </c>
      <c r="EN10">
        <f t="shared" ca="1" si="2"/>
        <v>0</v>
      </c>
      <c r="EO10">
        <f t="shared" ca="1" si="2"/>
        <v>0</v>
      </c>
      <c r="EP10">
        <f t="shared" ca="1" si="2"/>
        <v>0</v>
      </c>
      <c r="EQ10">
        <f t="shared" ca="1" si="2"/>
        <v>0</v>
      </c>
      <c r="ER10">
        <f t="shared" ca="1" si="2"/>
        <v>0</v>
      </c>
      <c r="ES10">
        <f t="shared" ca="1" si="2"/>
        <v>0</v>
      </c>
      <c r="ET10">
        <f t="shared" ref="ET10:FC11" ca="1" si="3">IF(ET$9=1,"n/a",CU10)</f>
        <v>0</v>
      </c>
      <c r="EU10">
        <f t="shared" ca="1" si="3"/>
        <v>0</v>
      </c>
      <c r="EV10">
        <f t="shared" ca="1" si="3"/>
        <v>0</v>
      </c>
      <c r="EW10">
        <f t="shared" ca="1" si="3"/>
        <v>0</v>
      </c>
      <c r="EX10">
        <f t="shared" ca="1" si="3"/>
        <v>0</v>
      </c>
      <c r="EY10">
        <f t="shared" ca="1" si="3"/>
        <v>0</v>
      </c>
      <c r="EZ10">
        <f t="shared" ca="1" si="3"/>
        <v>0</v>
      </c>
      <c r="FA10">
        <f t="shared" ca="1" si="3"/>
        <v>0</v>
      </c>
      <c r="FB10">
        <f t="shared" ca="1" si="3"/>
        <v>0</v>
      </c>
      <c r="FC10">
        <f t="shared" ca="1" si="3"/>
        <v>0</v>
      </c>
      <c r="FD10">
        <f t="shared" ref="FD10:FM11" ca="1" si="4">IF(FD$9=1,"n/a",DE10)</f>
        <v>0</v>
      </c>
      <c r="FE10">
        <f t="shared" ca="1" si="4"/>
        <v>0</v>
      </c>
      <c r="FF10">
        <f t="shared" ca="1" si="4"/>
        <v>0</v>
      </c>
      <c r="FG10">
        <f t="shared" ca="1" si="4"/>
        <v>0</v>
      </c>
      <c r="FH10">
        <f t="shared" ca="1" si="4"/>
        <v>0</v>
      </c>
      <c r="FI10">
        <f t="shared" ca="1" si="4"/>
        <v>0</v>
      </c>
      <c r="FJ10">
        <f t="shared" ca="1" si="4"/>
        <v>0</v>
      </c>
      <c r="FK10">
        <f t="shared" ca="1" si="4"/>
        <v>0</v>
      </c>
      <c r="FL10">
        <f t="shared" ca="1" si="4"/>
        <v>0</v>
      </c>
      <c r="FM10">
        <f t="shared" ca="1" si="4"/>
        <v>0</v>
      </c>
      <c r="FO10">
        <f t="shared" ref="FO10:FX11" ca="1" si="5">IFERROR(ROUND(DP10,$C$4),"n/a")</f>
        <v>0</v>
      </c>
      <c r="FP10">
        <f t="shared" ca="1" si="5"/>
        <v>0</v>
      </c>
      <c r="FQ10">
        <f t="shared" ca="1" si="5"/>
        <v>0</v>
      </c>
      <c r="FR10">
        <f t="shared" ca="1" si="5"/>
        <v>0</v>
      </c>
      <c r="FS10">
        <f t="shared" ca="1" si="5"/>
        <v>0</v>
      </c>
      <c r="FT10">
        <f t="shared" ca="1" si="5"/>
        <v>0</v>
      </c>
      <c r="FU10">
        <f t="shared" ca="1" si="5"/>
        <v>0</v>
      </c>
      <c r="FV10">
        <f t="shared" ca="1" si="5"/>
        <v>0</v>
      </c>
      <c r="FW10">
        <f t="shared" ca="1" si="5"/>
        <v>0</v>
      </c>
      <c r="FX10">
        <f t="shared" ca="1" si="5"/>
        <v>0</v>
      </c>
      <c r="FY10">
        <f t="shared" ref="FY10:GH11" ca="1" si="6">IFERROR(ROUND(DZ10,$C$4),"n/a")</f>
        <v>0</v>
      </c>
      <c r="FZ10">
        <f t="shared" ca="1" si="6"/>
        <v>0</v>
      </c>
      <c r="GA10">
        <f t="shared" ca="1" si="6"/>
        <v>0</v>
      </c>
      <c r="GB10">
        <f t="shared" ca="1" si="6"/>
        <v>0</v>
      </c>
      <c r="GC10">
        <f t="shared" ca="1" si="6"/>
        <v>0</v>
      </c>
      <c r="GD10">
        <f t="shared" ca="1" si="6"/>
        <v>0</v>
      </c>
      <c r="GE10">
        <f t="shared" ca="1" si="6"/>
        <v>0</v>
      </c>
      <c r="GF10">
        <f t="shared" ca="1" si="6"/>
        <v>0</v>
      </c>
      <c r="GG10">
        <f t="shared" ca="1" si="6"/>
        <v>0</v>
      </c>
      <c r="GH10">
        <f t="shared" ca="1" si="6"/>
        <v>0</v>
      </c>
      <c r="GI10">
        <f t="shared" ref="GI10:GR11" ca="1" si="7">IFERROR(ROUND(EJ10,$C$4),"n/a")</f>
        <v>0</v>
      </c>
      <c r="GJ10">
        <f t="shared" ca="1" si="7"/>
        <v>0</v>
      </c>
      <c r="GK10">
        <f t="shared" ca="1" si="7"/>
        <v>0</v>
      </c>
      <c r="GL10">
        <f t="shared" ca="1" si="7"/>
        <v>0</v>
      </c>
      <c r="GM10">
        <f t="shared" ca="1" si="7"/>
        <v>0</v>
      </c>
      <c r="GN10">
        <f t="shared" ca="1" si="7"/>
        <v>0</v>
      </c>
      <c r="GO10">
        <f t="shared" ca="1" si="7"/>
        <v>0</v>
      </c>
      <c r="GP10">
        <f t="shared" ca="1" si="7"/>
        <v>0</v>
      </c>
      <c r="GQ10">
        <f t="shared" ca="1" si="7"/>
        <v>0</v>
      </c>
      <c r="GR10">
        <f t="shared" ca="1" si="7"/>
        <v>0</v>
      </c>
      <c r="GS10">
        <f t="shared" ref="GS10:HB11" ca="1" si="8">IFERROR(ROUND(ET10,$C$4),"n/a")</f>
        <v>0</v>
      </c>
      <c r="GT10">
        <f t="shared" ca="1" si="8"/>
        <v>0</v>
      </c>
      <c r="GU10">
        <f t="shared" ca="1" si="8"/>
        <v>0</v>
      </c>
      <c r="GV10">
        <f t="shared" ca="1" si="8"/>
        <v>0</v>
      </c>
      <c r="GW10">
        <f t="shared" ca="1" si="8"/>
        <v>0</v>
      </c>
      <c r="GX10">
        <f t="shared" ca="1" si="8"/>
        <v>0</v>
      </c>
      <c r="GY10">
        <f t="shared" ca="1" si="8"/>
        <v>0</v>
      </c>
      <c r="GZ10">
        <f t="shared" ca="1" si="8"/>
        <v>0</v>
      </c>
      <c r="HA10">
        <f t="shared" ca="1" si="8"/>
        <v>0</v>
      </c>
      <c r="HB10">
        <f t="shared" ca="1" si="8"/>
        <v>0</v>
      </c>
      <c r="HC10">
        <f t="shared" ref="HC10:HL11" ca="1" si="9">IFERROR(ROUND(FD10,$C$4),"n/a")</f>
        <v>0</v>
      </c>
      <c r="HD10">
        <f t="shared" ca="1" si="9"/>
        <v>0</v>
      </c>
      <c r="HE10">
        <f t="shared" ca="1" si="9"/>
        <v>0</v>
      </c>
      <c r="HF10">
        <f t="shared" ca="1" si="9"/>
        <v>0</v>
      </c>
      <c r="HG10">
        <f t="shared" ca="1" si="9"/>
        <v>0</v>
      </c>
      <c r="HH10">
        <f t="shared" ca="1" si="9"/>
        <v>0</v>
      </c>
      <c r="HI10">
        <f t="shared" ca="1" si="9"/>
        <v>0</v>
      </c>
      <c r="HJ10">
        <f t="shared" ca="1" si="9"/>
        <v>0</v>
      </c>
      <c r="HK10">
        <f t="shared" ca="1" si="9"/>
        <v>0</v>
      </c>
      <c r="HL10">
        <f t="shared" ca="1" si="9"/>
        <v>0</v>
      </c>
      <c r="HN10" t="str">
        <f t="shared" ref="HN10:HW11" ca="1" si="10">IFERROR(CONCATENATE(REPT("'E",MIN(COUNTIF(OFFSET($FO10,0,0,1,$C$5),FO10)-1,1)),RANK(FO10,OFFSET($FO10,0,0,1,$C$5))),"n/a")</f>
        <v>'E1</v>
      </c>
      <c r="HO10" t="str">
        <f t="shared" ca="1" si="10"/>
        <v>'E1</v>
      </c>
      <c r="HP10" t="str">
        <f t="shared" ca="1" si="10"/>
        <v>'E1</v>
      </c>
      <c r="HQ10" t="str">
        <f t="shared" ca="1" si="10"/>
        <v>'E1</v>
      </c>
      <c r="HR10" t="str">
        <f t="shared" ca="1" si="10"/>
        <v>'E1</v>
      </c>
      <c r="HS10" t="str">
        <f t="shared" ca="1" si="10"/>
        <v>'E1</v>
      </c>
      <c r="HT10" t="str">
        <f t="shared" ca="1" si="10"/>
        <v>'E1</v>
      </c>
      <c r="HU10" t="str">
        <f t="shared" ca="1" si="10"/>
        <v>'E1</v>
      </c>
      <c r="HV10" t="str">
        <f t="shared" ca="1" si="10"/>
        <v>'E1</v>
      </c>
      <c r="HW10" t="str">
        <f t="shared" ca="1" si="10"/>
        <v>'E1</v>
      </c>
      <c r="HX10" t="str">
        <f t="shared" ref="HX10:IG11" ca="1" si="11">IFERROR(CONCATENATE(REPT("'E",MIN(COUNTIF(OFFSET($FO10,0,0,1,$C$5),FY10)-1,1)),RANK(FY10,OFFSET($FO10,0,0,1,$C$5))),"n/a")</f>
        <v>'E1</v>
      </c>
      <c r="HY10" t="str">
        <f t="shared" ca="1" si="11"/>
        <v>'E1</v>
      </c>
      <c r="HZ10" t="str">
        <f t="shared" ca="1" si="11"/>
        <v>'E1</v>
      </c>
      <c r="IA10" t="str">
        <f t="shared" ca="1" si="11"/>
        <v>'E1</v>
      </c>
      <c r="IB10" t="str">
        <f t="shared" ca="1" si="11"/>
        <v>'E1</v>
      </c>
      <c r="IC10" t="str">
        <f t="shared" ca="1" si="11"/>
        <v>'E1</v>
      </c>
      <c r="ID10" t="str">
        <f t="shared" ca="1" si="11"/>
        <v>'E1</v>
      </c>
      <c r="IE10" t="str">
        <f t="shared" ca="1" si="11"/>
        <v>'E1</v>
      </c>
      <c r="IF10" t="str">
        <f t="shared" ca="1" si="11"/>
        <v>'E1</v>
      </c>
      <c r="IG10" t="str">
        <f t="shared" ca="1" si="11"/>
        <v>'E1</v>
      </c>
      <c r="IH10" t="str">
        <f t="shared" ref="IH10:IQ11" ca="1" si="12">IFERROR(CONCATENATE(REPT("'E",MIN(COUNTIF(OFFSET($FO10,0,0,1,$C$5),GI10)-1,1)),RANK(GI10,OFFSET($FO10,0,0,1,$C$5))),"n/a")</f>
        <v>'E1</v>
      </c>
      <c r="II10" t="str">
        <f t="shared" ca="1" si="12"/>
        <v>'E1</v>
      </c>
      <c r="IJ10" t="str">
        <f t="shared" ca="1" si="12"/>
        <v>'E1</v>
      </c>
      <c r="IK10" t="str">
        <f t="shared" ca="1" si="12"/>
        <v>'E1</v>
      </c>
      <c r="IL10" t="str">
        <f t="shared" ca="1" si="12"/>
        <v>'E1</v>
      </c>
      <c r="IM10" t="str">
        <f t="shared" ca="1" si="12"/>
        <v>'E1</v>
      </c>
      <c r="IN10" t="str">
        <f t="shared" ca="1" si="12"/>
        <v>'E1</v>
      </c>
      <c r="IO10" t="str">
        <f t="shared" ca="1" si="12"/>
        <v>'E1</v>
      </c>
      <c r="IP10" t="str">
        <f t="shared" ca="1" si="12"/>
        <v>'E1</v>
      </c>
      <c r="IQ10" t="str">
        <f t="shared" ca="1" si="12"/>
        <v>'E1</v>
      </c>
      <c r="IR10" t="str">
        <f t="shared" ref="IR10:JA11" ca="1" si="13">IFERROR(CONCATENATE(REPT("'E",MIN(COUNTIF(OFFSET($FO10,0,0,1,$C$5),GS10)-1,1)),RANK(GS10,OFFSET($FO10,0,0,1,$C$5))),"n/a")</f>
        <v>'E1</v>
      </c>
      <c r="IS10" t="str">
        <f t="shared" ca="1" si="13"/>
        <v>'E1</v>
      </c>
      <c r="IT10" t="str">
        <f t="shared" ca="1" si="13"/>
        <v>'E1</v>
      </c>
      <c r="IU10" t="str">
        <f t="shared" ca="1" si="13"/>
        <v>'E1</v>
      </c>
      <c r="IV10" t="str">
        <f t="shared" ca="1" si="13"/>
        <v>'E1</v>
      </c>
      <c r="IW10" t="str">
        <f t="shared" ca="1" si="13"/>
        <v>'E1</v>
      </c>
      <c r="IX10" t="str">
        <f t="shared" ca="1" si="13"/>
        <v>'E1</v>
      </c>
      <c r="IY10" t="str">
        <f t="shared" ca="1" si="13"/>
        <v>'E1</v>
      </c>
      <c r="IZ10" t="str">
        <f t="shared" ca="1" si="13"/>
        <v>'E1</v>
      </c>
      <c r="JA10" t="str">
        <f t="shared" ca="1" si="13"/>
        <v>'E1</v>
      </c>
      <c r="JB10" t="str">
        <f t="shared" ref="JB10:JK11" ca="1" si="14">IFERROR(CONCATENATE(REPT("'E",MIN(COUNTIF(OFFSET($FO10,0,0,1,$C$5),HC10)-1,1)),RANK(HC10,OFFSET($FO10,0,0,1,$C$5))),"n/a")</f>
        <v>'E1</v>
      </c>
      <c r="JC10" t="str">
        <f t="shared" ca="1" si="14"/>
        <v>'E1</v>
      </c>
      <c r="JD10" t="str">
        <f t="shared" ca="1" si="14"/>
        <v>'E1</v>
      </c>
      <c r="JE10" t="str">
        <f t="shared" ca="1" si="14"/>
        <v>'E1</v>
      </c>
      <c r="JF10" t="str">
        <f t="shared" ca="1" si="14"/>
        <v>'E1</v>
      </c>
      <c r="JG10" t="str">
        <f t="shared" ca="1" si="14"/>
        <v>'E1</v>
      </c>
      <c r="JH10" t="str">
        <f t="shared" ca="1" si="14"/>
        <v>'E1</v>
      </c>
      <c r="JI10" t="str">
        <f t="shared" ca="1" si="14"/>
        <v>'E1</v>
      </c>
      <c r="JJ10" t="str">
        <f t="shared" ca="1" si="14"/>
        <v>'E1</v>
      </c>
      <c r="JK10" t="str">
        <f t="shared" ca="1" si="14"/>
        <v>'E1</v>
      </c>
      <c r="JM10">
        <f ca="1">IF(FO10="n/a",0,MATCH(FO10,uxbGlobals!$B$159:$B$166,1))</f>
        <v>1</v>
      </c>
      <c r="JN10">
        <f ca="1">IF(FP10="n/a",0,MATCH(FP10,uxbGlobals!$B$159:$B$166,1))</f>
        <v>1</v>
      </c>
      <c r="JO10">
        <f ca="1">IF(FQ10="n/a",0,MATCH(FQ10,uxbGlobals!$B$159:$B$166,1))</f>
        <v>1</v>
      </c>
      <c r="JP10">
        <f ca="1">IF(FR10="n/a",0,MATCH(FR10,uxbGlobals!$B$159:$B$166,1))</f>
        <v>1</v>
      </c>
      <c r="JQ10">
        <f ca="1">IF(FS10="n/a",0,MATCH(FS10,uxbGlobals!$B$159:$B$166,1))</f>
        <v>1</v>
      </c>
      <c r="JR10">
        <f ca="1">IF(FT10="n/a",0,MATCH(FT10,uxbGlobals!$B$159:$B$166,1))</f>
        <v>1</v>
      </c>
      <c r="JS10">
        <f ca="1">IF(FU10="n/a",0,MATCH(FU10,uxbGlobals!$B$159:$B$166,1))</f>
        <v>1</v>
      </c>
      <c r="JT10">
        <f ca="1">IF(FV10="n/a",0,MATCH(FV10,uxbGlobals!$B$159:$B$166,1))</f>
        <v>1</v>
      </c>
      <c r="JU10">
        <f ca="1">IF(FW10="n/a",0,MATCH(FW10,uxbGlobals!$B$159:$B$166,1))</f>
        <v>1</v>
      </c>
      <c r="JV10">
        <f ca="1">IF(FX10="n/a",0,MATCH(FX10,uxbGlobals!$B$159:$B$166,1))</f>
        <v>1</v>
      </c>
      <c r="JW10">
        <f ca="1">IF(FY10="n/a",0,MATCH(FY10,uxbGlobals!$B$159:$B$166,1))</f>
        <v>1</v>
      </c>
      <c r="JX10">
        <f ca="1">IF(FZ10="n/a",0,MATCH(FZ10,uxbGlobals!$B$159:$B$166,1))</f>
        <v>1</v>
      </c>
      <c r="JY10">
        <f ca="1">IF(GA10="n/a",0,MATCH(GA10,uxbGlobals!$B$159:$B$166,1))</f>
        <v>1</v>
      </c>
      <c r="JZ10">
        <f ca="1">IF(GB10="n/a",0,MATCH(GB10,uxbGlobals!$B$159:$B$166,1))</f>
        <v>1</v>
      </c>
      <c r="KA10">
        <f ca="1">IF(GC10="n/a",0,MATCH(GC10,uxbGlobals!$B$159:$B$166,1))</f>
        <v>1</v>
      </c>
      <c r="KB10">
        <f ca="1">IF(GD10="n/a",0,MATCH(GD10,uxbGlobals!$B$159:$B$166,1))</f>
        <v>1</v>
      </c>
      <c r="KC10">
        <f ca="1">IF(GE10="n/a",0,MATCH(GE10,uxbGlobals!$B$159:$B$166,1))</f>
        <v>1</v>
      </c>
      <c r="KD10">
        <f ca="1">IF(GF10="n/a",0,MATCH(GF10,uxbGlobals!$B$159:$B$166,1))</f>
        <v>1</v>
      </c>
      <c r="KE10">
        <f ca="1">IF(GG10="n/a",0,MATCH(GG10,uxbGlobals!$B$159:$B$166,1))</f>
        <v>1</v>
      </c>
      <c r="KF10">
        <f ca="1">IF(GH10="n/a",0,MATCH(GH10,uxbGlobals!$B$159:$B$166,1))</f>
        <v>1</v>
      </c>
      <c r="KG10">
        <f ca="1">IF(GI10="n/a",0,MATCH(GI10,uxbGlobals!$B$159:$B$166,1))</f>
        <v>1</v>
      </c>
      <c r="KH10">
        <f ca="1">IF(GJ10="n/a",0,MATCH(GJ10,uxbGlobals!$B$159:$B$166,1))</f>
        <v>1</v>
      </c>
      <c r="KI10">
        <f ca="1">IF(GK10="n/a",0,MATCH(GK10,uxbGlobals!$B$159:$B$166,1))</f>
        <v>1</v>
      </c>
      <c r="KJ10">
        <f ca="1">IF(GL10="n/a",0,MATCH(GL10,uxbGlobals!$B$159:$B$166,1))</f>
        <v>1</v>
      </c>
      <c r="KK10">
        <f ca="1">IF(GM10="n/a",0,MATCH(GM10,uxbGlobals!$B$159:$B$166,1))</f>
        <v>1</v>
      </c>
      <c r="KL10">
        <f ca="1">IF(GN10="n/a",0,MATCH(GN10,uxbGlobals!$B$159:$B$166,1))</f>
        <v>1</v>
      </c>
      <c r="KM10">
        <f ca="1">IF(GO10="n/a",0,MATCH(GO10,uxbGlobals!$B$159:$B$166,1))</f>
        <v>1</v>
      </c>
      <c r="KN10">
        <f ca="1">IF(GP10="n/a",0,MATCH(GP10,uxbGlobals!$B$159:$B$166,1))</f>
        <v>1</v>
      </c>
      <c r="KO10">
        <f ca="1">IF(GQ10="n/a",0,MATCH(GQ10,uxbGlobals!$B$159:$B$166,1))</f>
        <v>1</v>
      </c>
      <c r="KP10">
        <f ca="1">IF(GR10="n/a",0,MATCH(GR10,uxbGlobals!$B$159:$B$166,1))</f>
        <v>1</v>
      </c>
      <c r="KQ10">
        <f ca="1">IF(GS10="n/a",0,MATCH(GS10,uxbGlobals!$B$159:$B$166,1))</f>
        <v>1</v>
      </c>
      <c r="KR10">
        <f ca="1">IF(GT10="n/a",0,MATCH(GT10,uxbGlobals!$B$159:$B$166,1))</f>
        <v>1</v>
      </c>
      <c r="KS10">
        <f ca="1">IF(GU10="n/a",0,MATCH(GU10,uxbGlobals!$B$159:$B$166,1))</f>
        <v>1</v>
      </c>
      <c r="KT10">
        <f ca="1">IF(GV10="n/a",0,MATCH(GV10,uxbGlobals!$B$159:$B$166,1))</f>
        <v>1</v>
      </c>
      <c r="KU10">
        <f ca="1">IF(GW10="n/a",0,MATCH(GW10,uxbGlobals!$B$159:$B$166,1))</f>
        <v>1</v>
      </c>
      <c r="KV10">
        <f ca="1">IF(GX10="n/a",0,MATCH(GX10,uxbGlobals!$B$159:$B$166,1))</f>
        <v>1</v>
      </c>
      <c r="KW10">
        <f ca="1">IF(GY10="n/a",0,MATCH(GY10,uxbGlobals!$B$159:$B$166,1))</f>
        <v>1</v>
      </c>
      <c r="KX10">
        <f ca="1">IF(GZ10="n/a",0,MATCH(GZ10,uxbGlobals!$B$159:$B$166,1))</f>
        <v>1</v>
      </c>
      <c r="KY10">
        <f ca="1">IF(HA10="n/a",0,MATCH(HA10,uxbGlobals!$B$159:$B$166,1))</f>
        <v>1</v>
      </c>
      <c r="KZ10">
        <f ca="1">IF(HB10="n/a",0,MATCH(HB10,uxbGlobals!$B$159:$B$166,1))</f>
        <v>1</v>
      </c>
      <c r="LA10">
        <f ca="1">IF(HC10="n/a",0,MATCH(HC10,uxbGlobals!$B$159:$B$166,1))</f>
        <v>1</v>
      </c>
      <c r="LB10">
        <f ca="1">IF(HD10="n/a",0,MATCH(HD10,uxbGlobals!$B$159:$B$166,1))</f>
        <v>1</v>
      </c>
      <c r="LC10">
        <f ca="1">IF(HE10="n/a",0,MATCH(HE10,uxbGlobals!$B$159:$B$166,1))</f>
        <v>1</v>
      </c>
      <c r="LD10">
        <f ca="1">IF(HF10="n/a",0,MATCH(HF10,uxbGlobals!$B$159:$B$166,1))</f>
        <v>1</v>
      </c>
      <c r="LE10">
        <f ca="1">IF(HG10="n/a",0,MATCH(HG10,uxbGlobals!$B$159:$B$166,1))</f>
        <v>1</v>
      </c>
      <c r="LF10">
        <f ca="1">IF(HH10="n/a",0,MATCH(HH10,uxbGlobals!$B$159:$B$166,1))</f>
        <v>1</v>
      </c>
      <c r="LG10">
        <f ca="1">IF(HI10="n/a",0,MATCH(HI10,uxbGlobals!$B$159:$B$166,1))</f>
        <v>1</v>
      </c>
      <c r="LH10">
        <f ca="1">IF(HJ10="n/a",0,MATCH(HJ10,uxbGlobals!$B$159:$B$166,1))</f>
        <v>1</v>
      </c>
      <c r="LI10">
        <f ca="1">IF(HK10="n/a",0,MATCH(HK10,uxbGlobals!$B$159:$B$166,1))</f>
        <v>1</v>
      </c>
      <c r="LJ10">
        <f ca="1">IF(HL10="n/a",0,MATCH(HL10,uxbGlobals!$B$159:$B$166,1))</f>
        <v>1</v>
      </c>
      <c r="LL10" cm="1">
        <f t="array" aca="1" ref="LL10" ca="1">IFERROR(ROUND(MMULT(IFERROR(1*OFFSET($FO10,0,0,1,$C$5),0),OFFSET(tblCountries!$T$3,0,LL$8,$C$5,1))/MMULT(--ISNUMBER(OFFSET($FO10,0,0,1,$C$5)),OFFSET(tblCountries!$T$3,0,LL$8,$C$5,1)),$C$4),".")</f>
        <v>0</v>
      </c>
      <c r="LM10" cm="1">
        <f t="array" aca="1" ref="LM10" ca="1">IFERROR(ROUND(MMULT(IFERROR(1*OFFSET($FO10,0,0,1,$C$5),0),OFFSET(tblCountries!$T$3,0,LM$8,$C$5,1))/MMULT(--ISNUMBER(OFFSET($FO10,0,0,1,$C$5)),OFFSET(tblCountries!$T$3,0,LM$8,$C$5,1)),$C$4),".")</f>
        <v>0</v>
      </c>
      <c r="LN10" cm="1">
        <f t="array" aca="1" ref="LN10" ca="1">IFERROR(ROUND(MMULT(IFERROR(1*OFFSET($FO10,0,0,1,$C$5),0),OFFSET(tblCountries!$T$3,0,LN$8,$C$5,1))/MMULT(--ISNUMBER(OFFSET($FO10,0,0,1,$C$5)),OFFSET(tblCountries!$T$3,0,LN$8,$C$5,1)),$C$4),".")</f>
        <v>0</v>
      </c>
      <c r="LO10" cm="1">
        <f t="array" aca="1" ref="LO10" ca="1">IFERROR(ROUND(MMULT(IFERROR(1*OFFSET($FO10,0,0,1,$C$5),0),OFFSET(tblCountries!$T$3,0,LO$8,$C$5,1))/MMULT(--ISNUMBER(OFFSET($FO10,0,0,1,$C$5)),OFFSET(tblCountries!$T$3,0,LO$8,$C$5,1)),$C$4),".")</f>
        <v>0</v>
      </c>
      <c r="LP10" cm="1">
        <f t="array" aca="1" ref="LP10" ca="1">IFERROR(ROUND(MMULT(IFERROR(1*OFFSET($FO10,0,0,1,$C$5),0),OFFSET(tblCountries!$T$3,0,LP$8,$C$5,1))/MMULT(--ISNUMBER(OFFSET($FO10,0,0,1,$C$5)),OFFSET(tblCountries!$T$3,0,LP$8,$C$5,1)),$C$4),".")</f>
        <v>0</v>
      </c>
      <c r="LQ10" cm="1">
        <f t="array" aca="1" ref="LQ10" ca="1">IFERROR(ROUND(MMULT(IFERROR(1*OFFSET($FO10,0,0,1,$C$5),0),OFFSET(tblCountries!$T$3,0,LQ$8,$C$5,1))/MMULT(--ISNUMBER(OFFSET($FO10,0,0,1,$C$5)),OFFSET(tblCountries!$T$3,0,LQ$8,$C$5,1)),$C$4),".")</f>
        <v>0</v>
      </c>
      <c r="LR10" cm="1">
        <f t="array" aca="1" ref="LR10" ca="1">IFERROR(ROUND(MMULT(IFERROR(1*OFFSET($FO10,0,0,1,$C$5),0),OFFSET(tblCountries!$T$3,0,LR$8,$C$5,1))/MMULT(--ISNUMBER(OFFSET($FO10,0,0,1,$C$5)),OFFSET(tblCountries!$T$3,0,LR$8,$C$5,1)),$C$4),".")</f>
        <v>0</v>
      </c>
      <c r="LS10" cm="1">
        <f t="array" aca="1" ref="LS10" ca="1">IFERROR(ROUND(MMULT(IFERROR(1*OFFSET($FO10,0,0,1,$C$5),0),OFFSET(tblCountries!$T$3,0,LS$8,$C$5,1))/MMULT(--ISNUMBER(OFFSET($FO10,0,0,1,$C$5)),OFFSET(tblCountries!$T$3,0,LS$8,$C$5,1)),$C$4),".")</f>
        <v>0</v>
      </c>
      <c r="LT10" cm="1">
        <f t="array" aca="1" ref="LT10" ca="1">IFERROR(ROUND(MMULT(IFERROR(1*OFFSET($FO10,0,0,1,$C$5),0),OFFSET(tblCountries!$T$3,0,LT$8,$C$5,1))/MMULT(--ISNUMBER(OFFSET($FO10,0,0,1,$C$5)),OFFSET(tblCountries!$T$3,0,LT$8,$C$5,1)),$C$4),".")</f>
        <v>0</v>
      </c>
      <c r="LU10" cm="1">
        <f t="array" aca="1" ref="LU10" ca="1">IFERROR(ROUND(MMULT(IFERROR(1*OFFSET($FO10,0,0,1,$C$5),0),OFFSET(tblCountries!$T$3,0,LU$8,$C$5,1))/MMULT(--ISNUMBER(OFFSET($FO10,0,0,1,$C$5)),OFFSET(tblCountries!$T$3,0,LU$8,$C$5,1)),$C$4),".")</f>
        <v>0</v>
      </c>
      <c r="LW10">
        <f ca="1">IF(LL10="n/a",0,MATCH(LL10,uxbGlobals!$B$159:$B$166,1))</f>
        <v>1</v>
      </c>
      <c r="LX10">
        <f ca="1">IF(LM10="n/a",0,MATCH(LM10,uxbGlobals!$B$159:$B$166,1))</f>
        <v>1</v>
      </c>
      <c r="LY10">
        <f ca="1">IF(LN10="n/a",0,MATCH(LN10,uxbGlobals!$B$159:$B$166,1))</f>
        <v>1</v>
      </c>
      <c r="LZ10">
        <f ca="1">IF(LO10="n/a",0,MATCH(LO10,uxbGlobals!$B$159:$B$166,1))</f>
        <v>1</v>
      </c>
      <c r="MA10">
        <f ca="1">IF(LP10="n/a",0,MATCH(LP10,uxbGlobals!$B$159:$B$166,1))</f>
        <v>1</v>
      </c>
      <c r="MB10">
        <f ca="1">IF(LQ10="n/a",0,MATCH(LQ10,uxbGlobals!$B$159:$B$166,1))</f>
        <v>1</v>
      </c>
      <c r="MC10">
        <f ca="1">IF(LR10="n/a",0,MATCH(LR10,uxbGlobals!$B$159:$B$166,1))</f>
        <v>1</v>
      </c>
      <c r="MD10">
        <f ca="1">IF(LS10="n/a",0,MATCH(LS10,uxbGlobals!$B$159:$B$166,1))</f>
        <v>1</v>
      </c>
      <c r="ME10">
        <f ca="1">IF(LT10="n/a",0,MATCH(LT10,uxbGlobals!$B$159:$B$166,1))</f>
        <v>1</v>
      </c>
      <c r="MF10">
        <f ca="1">IF(LU10="n/a",0,MATCH(LU10,uxbGlobals!$B$159:$B$166,1))</f>
        <v>1</v>
      </c>
      <c r="MH10">
        <f ca="1">IFERROR(STDEV(OFFSET($FO10,0,0,1,$C$5)),"n/a")</f>
        <v>0</v>
      </c>
      <c r="MJ10" t="str">
        <f t="shared" ref="MJ10:MS11" ca="1" si="15">IFERROR(ROUND(STANDARDIZE(FO10,$LL10,$MH10),3),"n/a")</f>
        <v>n/a</v>
      </c>
      <c r="MK10" t="str">
        <f t="shared" ca="1" si="15"/>
        <v>n/a</v>
      </c>
      <c r="ML10" t="str">
        <f t="shared" ca="1" si="15"/>
        <v>n/a</v>
      </c>
      <c r="MM10" t="str">
        <f t="shared" ca="1" si="15"/>
        <v>n/a</v>
      </c>
      <c r="MN10" t="str">
        <f t="shared" ca="1" si="15"/>
        <v>n/a</v>
      </c>
      <c r="MO10" t="str">
        <f t="shared" ca="1" si="15"/>
        <v>n/a</v>
      </c>
      <c r="MP10" t="str">
        <f t="shared" ca="1" si="15"/>
        <v>n/a</v>
      </c>
      <c r="MQ10" t="str">
        <f t="shared" ca="1" si="15"/>
        <v>n/a</v>
      </c>
      <c r="MR10" t="str">
        <f t="shared" ca="1" si="15"/>
        <v>n/a</v>
      </c>
      <c r="MS10" t="str">
        <f t="shared" ca="1" si="15"/>
        <v>n/a</v>
      </c>
      <c r="MT10" t="str">
        <f t="shared" ref="MT10:NC11" ca="1" si="16">IFERROR(ROUND(STANDARDIZE(FY10,$LL10,$MH10),3),"n/a")</f>
        <v>n/a</v>
      </c>
      <c r="MU10" t="str">
        <f t="shared" ca="1" si="16"/>
        <v>n/a</v>
      </c>
      <c r="MV10" t="str">
        <f t="shared" ca="1" si="16"/>
        <v>n/a</v>
      </c>
      <c r="MW10" t="str">
        <f t="shared" ca="1" si="16"/>
        <v>n/a</v>
      </c>
      <c r="MX10" t="str">
        <f t="shared" ca="1" si="16"/>
        <v>n/a</v>
      </c>
      <c r="MY10" t="str">
        <f t="shared" ca="1" si="16"/>
        <v>n/a</v>
      </c>
      <c r="MZ10" t="str">
        <f t="shared" ca="1" si="16"/>
        <v>n/a</v>
      </c>
      <c r="NA10" t="str">
        <f t="shared" ca="1" si="16"/>
        <v>n/a</v>
      </c>
      <c r="NB10" t="str">
        <f t="shared" ca="1" si="16"/>
        <v>n/a</v>
      </c>
      <c r="NC10" t="str">
        <f t="shared" ca="1" si="16"/>
        <v>n/a</v>
      </c>
      <c r="ND10" t="str">
        <f t="shared" ref="ND10:NM11" ca="1" si="17">IFERROR(ROUND(STANDARDIZE(GI10,$LL10,$MH10),3),"n/a")</f>
        <v>n/a</v>
      </c>
      <c r="NE10" t="str">
        <f t="shared" ca="1" si="17"/>
        <v>n/a</v>
      </c>
      <c r="NF10" t="str">
        <f t="shared" ca="1" si="17"/>
        <v>n/a</v>
      </c>
      <c r="NG10" t="str">
        <f t="shared" ca="1" si="17"/>
        <v>n/a</v>
      </c>
      <c r="NH10" t="str">
        <f t="shared" ca="1" si="17"/>
        <v>n/a</v>
      </c>
      <c r="NI10" t="str">
        <f t="shared" ca="1" si="17"/>
        <v>n/a</v>
      </c>
      <c r="NJ10" t="str">
        <f t="shared" ca="1" si="17"/>
        <v>n/a</v>
      </c>
      <c r="NK10" t="str">
        <f t="shared" ca="1" si="17"/>
        <v>n/a</v>
      </c>
      <c r="NL10" t="str">
        <f t="shared" ca="1" si="17"/>
        <v>n/a</v>
      </c>
      <c r="NM10" t="str">
        <f t="shared" ca="1" si="17"/>
        <v>n/a</v>
      </c>
      <c r="NN10" t="str">
        <f t="shared" ref="NN10:NW11" ca="1" si="18">IFERROR(ROUND(STANDARDIZE(GS10,$LL10,$MH10),3),"n/a")</f>
        <v>n/a</v>
      </c>
      <c r="NO10" t="str">
        <f t="shared" ca="1" si="18"/>
        <v>n/a</v>
      </c>
      <c r="NP10" t="str">
        <f t="shared" ca="1" si="18"/>
        <v>n/a</v>
      </c>
      <c r="NQ10" t="str">
        <f t="shared" ca="1" si="18"/>
        <v>n/a</v>
      </c>
      <c r="NR10" t="str">
        <f t="shared" ca="1" si="18"/>
        <v>n/a</v>
      </c>
      <c r="NS10" t="str">
        <f t="shared" ca="1" si="18"/>
        <v>n/a</v>
      </c>
      <c r="NT10" t="str">
        <f t="shared" ca="1" si="18"/>
        <v>n/a</v>
      </c>
      <c r="NU10" t="str">
        <f t="shared" ca="1" si="18"/>
        <v>n/a</v>
      </c>
      <c r="NV10" t="str">
        <f t="shared" ca="1" si="18"/>
        <v>n/a</v>
      </c>
      <c r="NW10" t="str">
        <f t="shared" ca="1" si="18"/>
        <v>n/a</v>
      </c>
      <c r="NX10" t="str">
        <f t="shared" ref="NX10:OG11" ca="1" si="19">IFERROR(ROUND(STANDARDIZE(HC10,$LL10,$MH10),3),"n/a")</f>
        <v>n/a</v>
      </c>
      <c r="NY10" t="str">
        <f t="shared" ca="1" si="19"/>
        <v>n/a</v>
      </c>
      <c r="NZ10" t="str">
        <f t="shared" ca="1" si="19"/>
        <v>n/a</v>
      </c>
      <c r="OA10" t="str">
        <f t="shared" ca="1" si="19"/>
        <v>n/a</v>
      </c>
      <c r="OB10" t="str">
        <f t="shared" ca="1" si="19"/>
        <v>n/a</v>
      </c>
      <c r="OC10" t="str">
        <f t="shared" ca="1" si="19"/>
        <v>n/a</v>
      </c>
      <c r="OD10" t="str">
        <f t="shared" ca="1" si="19"/>
        <v>n/a</v>
      </c>
      <c r="OE10" t="str">
        <f t="shared" ca="1" si="19"/>
        <v>n/a</v>
      </c>
      <c r="OF10" t="str">
        <f t="shared" ca="1" si="19"/>
        <v>n/a</v>
      </c>
      <c r="OG10" t="str">
        <f t="shared" ca="1" si="19"/>
        <v>n/a</v>
      </c>
    </row>
    <row r="11" spans="1:397" x14ac:dyDescent="0.4">
      <c r="A11" t="str">
        <f ca="1">IF(OR(C11=0,ISERROR(C11)),"X","")</f>
        <v/>
      </c>
      <c r="B11">
        <v>2</v>
      </c>
      <c r="C11" cm="1">
        <f t="array" aca="1" ref="C11" ca="1">INDEX(OFFSET(auto_ss_All_Series,0,1,350,1),B11)</f>
        <v>2</v>
      </c>
      <c r="D11">
        <f ca="1">IF(OR(C11=0,ISERROR(C11)),#REF!,C11)</f>
        <v>2</v>
      </c>
      <c r="E11" t="str" cm="1">
        <f t="array" aca="1" ref="E11" ca="1">INDEX(OFFSET(tblSeries!$A$2,0,0,$C$2,100),$D11,E$8)</f>
        <v>DOMAIN_001</v>
      </c>
      <c r="F11" t="str" cm="1">
        <f t="array" aca="1" ref="F11" ca="1">IF(OR(C11=0,ISERROR(C11)),"",INDEX(OFFSET(tblSeries!$A$2,0,0,$C$2,100),$D11,F$8))</f>
        <v>OVERALL</v>
      </c>
      <c r="G11" cm="1">
        <f t="array" aca="1" ref="G11" ca="1">INDEX(OFFSET(tblSeries!$A$2,0,0,$C$2,100),$D11,G$8)</f>
        <v>1</v>
      </c>
      <c r="H11" t="str" cm="1">
        <f t="array" aca="1" ref="H11" ca="1">INDEX(OFFSET(tblSeries!$A$2,0,0,$C$2,100),$D11,H$8)</f>
        <v>WEIGHTED_SUM</v>
      </c>
      <c r="I11" cm="1">
        <f t="array" aca="1" ref="I11" ca="1">INDEX(OFFSET(tblSeries!$A$2,0,0,$C$2,100),$D11,I$8)</f>
        <v>0</v>
      </c>
      <c r="J11" cm="1">
        <f t="array" aca="1" ref="J11" ca="1">INDEX(OFFSET(tblSeries!$A$2,0,0,$C$2,100),$D11,J$8)</f>
        <v>0</v>
      </c>
      <c r="K11" cm="1">
        <f t="array" aca="1" ref="K11" ca="1">INDEX(OFFSET(tblSeries!$A$2,0,0,$C$2,100),$D11,K$8)</f>
        <v>0</v>
      </c>
      <c r="L11">
        <f ca="1">IF($H11="ANNUAL_MIN_MAX",MIN(OFFSET($R11,0,0,1,$C$5)),I11)</f>
        <v>0</v>
      </c>
      <c r="M11">
        <f ca="1">IF($H11="ANNUAL_MIN_MAX",MAX(OFFSET($R11,0,0,1,$C$5)),J11)</f>
        <v>0</v>
      </c>
      <c r="N11">
        <f ca="1">M11-L11</f>
        <v>0</v>
      </c>
      <c r="P11" cm="1">
        <f t="array" aca="1" ref="P11" ca="1">IFERROR(INDEX(OFFSET(iWeights!$G$18,0,0,$C$2,1),$D11),0)</f>
        <v>0.16129032258064516</v>
      </c>
      <c r="R11" cm="1">
        <f t="array" aca="1" ref="R11" ca="1">IFERROR(INDEX(auto_DataFlat_DataValue,MATCH(CONCATENATE(R$6,"_",$E11),auto_DataFlat_UID,0),$C$7),"n/a")</f>
        <v>0</v>
      </c>
      <c r="S11" cm="1">
        <f t="array" aca="1" ref="S11" ca="1">IFERROR(INDEX(auto_DataFlat_DataValue,MATCH(CONCATENATE(S$6,"_",$E11),auto_DataFlat_UID,0),$C$7),"n/a")</f>
        <v>0</v>
      </c>
      <c r="T11" cm="1">
        <f t="array" aca="1" ref="T11" ca="1">IFERROR(INDEX(auto_DataFlat_DataValue,MATCH(CONCATENATE(T$6,"_",$E11),auto_DataFlat_UID,0),$C$7),"n/a")</f>
        <v>0</v>
      </c>
      <c r="U11" cm="1">
        <f t="array" aca="1" ref="U11" ca="1">IFERROR(INDEX(auto_DataFlat_DataValue,MATCH(CONCATENATE(U$6,"_",$E11),auto_DataFlat_UID,0),$C$7),"n/a")</f>
        <v>0</v>
      </c>
      <c r="V11" cm="1">
        <f t="array" aca="1" ref="V11" ca="1">IFERROR(INDEX(auto_DataFlat_DataValue,MATCH(CONCATENATE(V$6,"_",$E11),auto_DataFlat_UID,0),$C$7),"n/a")</f>
        <v>0</v>
      </c>
      <c r="W11" cm="1">
        <f t="array" aca="1" ref="W11" ca="1">IFERROR(INDEX(auto_DataFlat_DataValue,MATCH(CONCATENATE(W$6,"_",$E11),auto_DataFlat_UID,0),$C$7),"n/a")</f>
        <v>0</v>
      </c>
      <c r="X11" cm="1">
        <f t="array" aca="1" ref="X11" ca="1">IFERROR(INDEX(auto_DataFlat_DataValue,MATCH(CONCATENATE(X$6,"_",$E11),auto_DataFlat_UID,0),$C$7),"n/a")</f>
        <v>0</v>
      </c>
      <c r="Y11" cm="1">
        <f t="array" aca="1" ref="Y11" ca="1">IFERROR(INDEX(auto_DataFlat_DataValue,MATCH(CONCATENATE(Y$6,"_",$E11),auto_DataFlat_UID,0),$C$7),"n/a")</f>
        <v>0</v>
      </c>
      <c r="Z11" cm="1">
        <f t="array" aca="1" ref="Z11" ca="1">IFERROR(INDEX(auto_DataFlat_DataValue,MATCH(CONCATENATE(Z$6,"_",$E11),auto_DataFlat_UID,0),$C$7),"n/a")</f>
        <v>0</v>
      </c>
      <c r="AA11" cm="1">
        <f t="array" aca="1" ref="AA11" ca="1">IFERROR(INDEX(auto_DataFlat_DataValue,MATCH(CONCATENATE(AA$6,"_",$E11),auto_DataFlat_UID,0),$C$7),"n/a")</f>
        <v>0</v>
      </c>
      <c r="AB11" cm="1">
        <f t="array" aca="1" ref="AB11" ca="1">IFERROR(INDEX(auto_DataFlat_DataValue,MATCH(CONCATENATE(AB$6,"_",$E11),auto_DataFlat_UID,0),$C$7),"n/a")</f>
        <v>0</v>
      </c>
      <c r="AC11" cm="1">
        <f t="array" aca="1" ref="AC11" ca="1">IFERROR(INDEX(auto_DataFlat_DataValue,MATCH(CONCATENATE(AC$6,"_",$E11),auto_DataFlat_UID,0),$C$7),"n/a")</f>
        <v>0</v>
      </c>
      <c r="AD11" cm="1">
        <f t="array" aca="1" ref="AD11" ca="1">IFERROR(INDEX(auto_DataFlat_DataValue,MATCH(CONCATENATE(AD$6,"_",$E11),auto_DataFlat_UID,0),$C$7),"n/a")</f>
        <v>0</v>
      </c>
      <c r="AE11" cm="1">
        <f t="array" aca="1" ref="AE11" ca="1">IFERROR(INDEX(auto_DataFlat_DataValue,MATCH(CONCATENATE(AE$6,"_",$E11),auto_DataFlat_UID,0),$C$7),"n/a")</f>
        <v>0</v>
      </c>
      <c r="AF11" cm="1">
        <f t="array" aca="1" ref="AF11" ca="1">IFERROR(INDEX(auto_DataFlat_DataValue,MATCH(CONCATENATE(AF$6,"_",$E11),auto_DataFlat_UID,0),$C$7),"n/a")</f>
        <v>0</v>
      </c>
      <c r="AG11" cm="1">
        <f t="array" aca="1" ref="AG11" ca="1">IFERROR(INDEX(auto_DataFlat_DataValue,MATCH(CONCATENATE(AG$6,"_",$E11),auto_DataFlat_UID,0),$C$7),"n/a")</f>
        <v>0</v>
      </c>
      <c r="AH11" cm="1">
        <f t="array" aca="1" ref="AH11" ca="1">IFERROR(INDEX(auto_DataFlat_DataValue,MATCH(CONCATENATE(AH$6,"_",$E11),auto_DataFlat_UID,0),$C$7),"n/a")</f>
        <v>0</v>
      </c>
      <c r="AI11" cm="1">
        <f t="array" aca="1" ref="AI11" ca="1">IFERROR(INDEX(auto_DataFlat_DataValue,MATCH(CONCATENATE(AI$6,"_",$E11),auto_DataFlat_UID,0),$C$7),"n/a")</f>
        <v>0</v>
      </c>
      <c r="AJ11" cm="1">
        <f t="array" aca="1" ref="AJ11" ca="1">IFERROR(INDEX(auto_DataFlat_DataValue,MATCH(CONCATENATE(AJ$6,"_",$E11),auto_DataFlat_UID,0),$C$7),"n/a")</f>
        <v>0</v>
      </c>
      <c r="AK11" cm="1">
        <f t="array" aca="1" ref="AK11" ca="1">IFERROR(INDEX(auto_DataFlat_DataValue,MATCH(CONCATENATE(AK$6,"_",$E11),auto_DataFlat_UID,0),$C$7),"n/a")</f>
        <v>0</v>
      </c>
      <c r="AL11" cm="1">
        <f t="array" aca="1" ref="AL11" ca="1">IFERROR(INDEX(auto_DataFlat_DataValue,MATCH(CONCATENATE(AL$6,"_",$E11),auto_DataFlat_UID,0),$C$7),"n/a")</f>
        <v>0</v>
      </c>
      <c r="AM11" cm="1">
        <f t="array" aca="1" ref="AM11" ca="1">IFERROR(INDEX(auto_DataFlat_DataValue,MATCH(CONCATENATE(AM$6,"_",$E11),auto_DataFlat_UID,0),$C$7),"n/a")</f>
        <v>0</v>
      </c>
      <c r="AN11" cm="1">
        <f t="array" aca="1" ref="AN11" ca="1">IFERROR(INDEX(auto_DataFlat_DataValue,MATCH(CONCATENATE(AN$6,"_",$E11),auto_DataFlat_UID,0),$C$7),"n/a")</f>
        <v>0</v>
      </c>
      <c r="AO11" cm="1">
        <f t="array" aca="1" ref="AO11" ca="1">IFERROR(INDEX(auto_DataFlat_DataValue,MATCH(CONCATENATE(AO$6,"_",$E11),auto_DataFlat_UID,0),$C$7),"n/a")</f>
        <v>0</v>
      </c>
      <c r="AP11" cm="1">
        <f t="array" aca="1" ref="AP11" ca="1">IFERROR(INDEX(auto_DataFlat_DataValue,MATCH(CONCATENATE(AP$6,"_",$E11),auto_DataFlat_UID,0),$C$7),"n/a")</f>
        <v>0</v>
      </c>
      <c r="AQ11" cm="1">
        <f t="array" aca="1" ref="AQ11" ca="1">IFERROR(INDEX(auto_DataFlat_DataValue,MATCH(CONCATENATE(AQ$6,"_",$E11),auto_DataFlat_UID,0),$C$7),"n/a")</f>
        <v>0</v>
      </c>
      <c r="AR11" cm="1">
        <f t="array" aca="1" ref="AR11" ca="1">IFERROR(INDEX(auto_DataFlat_DataValue,MATCH(CONCATENATE(AR$6,"_",$E11),auto_DataFlat_UID,0),$C$7),"n/a")</f>
        <v>0</v>
      </c>
      <c r="AS11" cm="1">
        <f t="array" aca="1" ref="AS11" ca="1">IFERROR(INDEX(auto_DataFlat_DataValue,MATCH(CONCATENATE(AS$6,"_",$E11),auto_DataFlat_UID,0),$C$7),"n/a")</f>
        <v>0</v>
      </c>
      <c r="AT11" cm="1">
        <f t="array" aca="1" ref="AT11" ca="1">IFERROR(INDEX(auto_DataFlat_DataValue,MATCH(CONCATENATE(AT$6,"_",$E11),auto_DataFlat_UID,0),$C$7),"n/a")</f>
        <v>0</v>
      </c>
      <c r="AU11" cm="1">
        <f t="array" aca="1" ref="AU11" ca="1">IFERROR(INDEX(auto_DataFlat_DataValue,MATCH(CONCATENATE(AU$6,"_",$E11),auto_DataFlat_UID,0),$C$7),"n/a")</f>
        <v>0</v>
      </c>
      <c r="AV11" cm="1">
        <f t="array" aca="1" ref="AV11" ca="1">IFERROR(INDEX(auto_DataFlat_DataValue,MATCH(CONCATENATE(AV$6,"_",$E11),auto_DataFlat_UID,0),$C$7),"n/a")</f>
        <v>0</v>
      </c>
      <c r="AW11" cm="1">
        <f t="array" aca="1" ref="AW11" ca="1">IFERROR(INDEX(auto_DataFlat_DataValue,MATCH(CONCATENATE(AW$6,"_",$E11),auto_DataFlat_UID,0),$C$7),"n/a")</f>
        <v>0</v>
      </c>
      <c r="AX11" cm="1">
        <f t="array" aca="1" ref="AX11" ca="1">IFERROR(INDEX(auto_DataFlat_DataValue,MATCH(CONCATENATE(AX$6,"_",$E11),auto_DataFlat_UID,0),$C$7),"n/a")</f>
        <v>0</v>
      </c>
      <c r="AY11" cm="1">
        <f t="array" aca="1" ref="AY11" ca="1">IFERROR(INDEX(auto_DataFlat_DataValue,MATCH(CONCATENATE(AY$6,"_",$E11),auto_DataFlat_UID,0),$C$7),"n/a")</f>
        <v>0</v>
      </c>
      <c r="AZ11" cm="1">
        <f t="array" aca="1" ref="AZ11" ca="1">IFERROR(INDEX(auto_DataFlat_DataValue,MATCH(CONCATENATE(AZ$6,"_",$E11),auto_DataFlat_UID,0),$C$7),"n/a")</f>
        <v>0</v>
      </c>
      <c r="BA11" cm="1">
        <f t="array" aca="1" ref="BA11" ca="1">IFERROR(INDEX(auto_DataFlat_DataValue,MATCH(CONCATENATE(BA$6,"_",$E11),auto_DataFlat_UID,0),$C$7),"n/a")</f>
        <v>0</v>
      </c>
      <c r="BB11" cm="1">
        <f t="array" aca="1" ref="BB11" ca="1">IFERROR(INDEX(auto_DataFlat_DataValue,MATCH(CONCATENATE(BB$6,"_",$E11),auto_DataFlat_UID,0),$C$7),"n/a")</f>
        <v>0</v>
      </c>
      <c r="BC11" cm="1">
        <f t="array" aca="1" ref="BC11" ca="1">IFERROR(INDEX(auto_DataFlat_DataValue,MATCH(CONCATENATE(BC$6,"_",$E11),auto_DataFlat_UID,0),$C$7),"n/a")</f>
        <v>0</v>
      </c>
      <c r="BD11" cm="1">
        <f t="array" aca="1" ref="BD11" ca="1">IFERROR(INDEX(auto_DataFlat_DataValue,MATCH(CONCATENATE(BD$6,"_",$E11),auto_DataFlat_UID,0),$C$7),"n/a")</f>
        <v>0</v>
      </c>
      <c r="BE11" cm="1">
        <f t="array" aca="1" ref="BE11" ca="1">IFERROR(INDEX(auto_DataFlat_DataValue,MATCH(CONCATENATE(BE$6,"_",$E11),auto_DataFlat_UID,0),$C$7),"n/a")</f>
        <v>0</v>
      </c>
      <c r="BF11" cm="1">
        <f t="array" aca="1" ref="BF11" ca="1">IFERROR(INDEX(auto_DataFlat_DataValue,MATCH(CONCATENATE(BF$6,"_",$E11),auto_DataFlat_UID,0),$C$7),"n/a")</f>
        <v>0</v>
      </c>
      <c r="BG11" cm="1">
        <f t="array" aca="1" ref="BG11" ca="1">IFERROR(INDEX(auto_DataFlat_DataValue,MATCH(CONCATENATE(BG$6,"_",$E11),auto_DataFlat_UID,0),$C$7),"n/a")</f>
        <v>0</v>
      </c>
      <c r="BH11" cm="1">
        <f t="array" aca="1" ref="BH11" ca="1">IFERROR(INDEX(auto_DataFlat_DataValue,MATCH(CONCATENATE(BH$6,"_",$E11),auto_DataFlat_UID,0),$C$7),"n/a")</f>
        <v>0</v>
      </c>
      <c r="BI11" cm="1">
        <f t="array" aca="1" ref="BI11" ca="1">IFERROR(INDEX(auto_DataFlat_DataValue,MATCH(CONCATENATE(BI$6,"_",$E11),auto_DataFlat_UID,0),$C$7),"n/a")</f>
        <v>0</v>
      </c>
      <c r="BJ11" cm="1">
        <f t="array" aca="1" ref="BJ11" ca="1">IFERROR(INDEX(auto_DataFlat_DataValue,MATCH(CONCATENATE(BJ$6,"_",$E11),auto_DataFlat_UID,0),$C$7),"n/a")</f>
        <v>0</v>
      </c>
      <c r="BK11" cm="1">
        <f t="array" aca="1" ref="BK11" ca="1">IFERROR(INDEX(auto_DataFlat_DataValue,MATCH(CONCATENATE(BK$6,"_",$E11),auto_DataFlat_UID,0),$C$7),"n/a")</f>
        <v>0</v>
      </c>
      <c r="BL11" cm="1">
        <f t="array" aca="1" ref="BL11" ca="1">IFERROR(INDEX(auto_DataFlat_DataValue,MATCH(CONCATENATE(BL$6,"_",$E11),auto_DataFlat_UID,0),$C$7),"n/a")</f>
        <v>0</v>
      </c>
      <c r="BM11" cm="1">
        <f t="array" aca="1" ref="BM11" ca="1">IFERROR(INDEX(auto_DataFlat_DataValue,MATCH(CONCATENATE(BM$6,"_",$E11),auto_DataFlat_UID,0),$C$7),"n/a")</f>
        <v>0</v>
      </c>
      <c r="BN11" cm="1">
        <f t="array" aca="1" ref="BN11" ca="1">IFERROR(INDEX(auto_DataFlat_DataValue,MATCH(CONCATENATE(BN$6,"_",$E11),auto_DataFlat_UID,0),$C$7),"n/a")</f>
        <v>0</v>
      </c>
      <c r="BO11" cm="1">
        <f t="array" aca="1" ref="BO11" ca="1">IFERROR(INDEX(auto_DataFlat_DataValue,MATCH(CONCATENATE(BO$6,"_",$E11),auto_DataFlat_UID,0),$C$7),"n/a")</f>
        <v>0</v>
      </c>
      <c r="BQ11" cm="1">
        <f t="array" aca="1" ref="BQ11" ca="1">IFERROR(ROUND(IF($H11="WEIGHTED_SUM",SUMPRODUCT(--(OFFSET($F11,1,0,$C$2,1)=$E11)*OFFSET(BQ11,1,0,$C$2,1)*OFFSET($P11,1,0,$C$2,1)),$C$3 *IF(NOT(ISNUMBER(R11)),0,IF($H11="FIXED_RANGE",CHOOSE($G11,(MIN(MAX(R11,$L11),$M11)-$L11)/$N11,1-(MIN(MAX(R11,$L11),$M11)-$L11)/$N11),IF($H11="PIVOT",IF(R11&lt;=$I11,MAX(0,R11-$J11)/($I11-$J11),MAX(0,$K11-R11)/($K11-$I11)),"unknown type")))),8),0)</f>
        <v>0</v>
      </c>
      <c r="BR11" cm="1">
        <f t="array" aca="1" ref="BR11" ca="1">IFERROR(ROUND(IF($H11="WEIGHTED_SUM",SUMPRODUCT(--(OFFSET($F11,1,0,$C$2,1)=$E11)*OFFSET(BR11,1,0,$C$2,1)*OFFSET($P11,1,0,$C$2,1)),$C$3 *IF(NOT(ISNUMBER(S11)),0,IF($H11="FIXED_RANGE",CHOOSE($G11,(MIN(MAX(S11,$L11),$M11)-$L11)/$N11,1-(MIN(MAX(S11,$L11),$M11)-$L11)/$N11),IF($H11="PIVOT",IF(S11&lt;=$I11,MAX(0,S11-$J11)/($I11-$J11),MAX(0,$K11-S11)/($K11-$I11)),"unknown type")))),8),0)</f>
        <v>0</v>
      </c>
      <c r="BS11" cm="1">
        <f t="array" aca="1" ref="BS11" ca="1">IFERROR(ROUND(IF($H11="WEIGHTED_SUM",SUMPRODUCT(--(OFFSET($F11,1,0,$C$2,1)=$E11)*OFFSET(BS11,1,0,$C$2,1)*OFFSET($P11,1,0,$C$2,1)),$C$3 *IF(NOT(ISNUMBER(T11)),0,IF($H11="FIXED_RANGE",CHOOSE($G11,(MIN(MAX(T11,$L11),$M11)-$L11)/$N11,1-(MIN(MAX(T11,$L11),$M11)-$L11)/$N11),IF($H11="PIVOT",IF(T11&lt;=$I11,MAX(0,T11-$J11)/($I11-$J11),MAX(0,$K11-T11)/($K11-$I11)),"unknown type")))),8),0)</f>
        <v>0</v>
      </c>
      <c r="BT11" cm="1">
        <f t="array" aca="1" ref="BT11" ca="1">IFERROR(ROUND(IF($H11="WEIGHTED_SUM",SUMPRODUCT(--(OFFSET($F11,1,0,$C$2,1)=$E11)*OFFSET(BT11,1,0,$C$2,1)*OFFSET($P11,1,0,$C$2,1)),$C$3 *IF(NOT(ISNUMBER(U11)),0,IF($H11="FIXED_RANGE",CHOOSE($G11,(MIN(MAX(U11,$L11),$M11)-$L11)/$N11,1-(MIN(MAX(U11,$L11),$M11)-$L11)/$N11),IF($H11="PIVOT",IF(U11&lt;=$I11,MAX(0,U11-$J11)/($I11-$J11),MAX(0,$K11-U11)/($K11-$I11)),"unknown type")))),8),0)</f>
        <v>0</v>
      </c>
      <c r="BU11" cm="1">
        <f t="array" aca="1" ref="BU11" ca="1">IFERROR(ROUND(IF($H11="WEIGHTED_SUM",SUMPRODUCT(--(OFFSET($F11,1,0,$C$2,1)=$E11)*OFFSET(BU11,1,0,$C$2,1)*OFFSET($P11,1,0,$C$2,1)),$C$3 *IF(NOT(ISNUMBER(V11)),0,IF($H11="FIXED_RANGE",CHOOSE($G11,(MIN(MAX(V11,$L11),$M11)-$L11)/$N11,1-(MIN(MAX(V11,$L11),$M11)-$L11)/$N11),IF($H11="PIVOT",IF(V11&lt;=$I11,MAX(0,V11-$J11)/($I11-$J11),MAX(0,$K11-V11)/($K11-$I11)),"unknown type")))),8),0)</f>
        <v>0</v>
      </c>
      <c r="BV11" cm="1">
        <f t="array" aca="1" ref="BV11" ca="1">IFERROR(ROUND(IF($H11="WEIGHTED_SUM",SUMPRODUCT(--(OFFSET($F11,1,0,$C$2,1)=$E11)*OFFSET(BV11,1,0,$C$2,1)*OFFSET($P11,1,0,$C$2,1)),$C$3 *IF(NOT(ISNUMBER(W11)),0,IF($H11="FIXED_RANGE",CHOOSE($G11,(MIN(MAX(W11,$L11),$M11)-$L11)/$N11,1-(MIN(MAX(W11,$L11),$M11)-$L11)/$N11),IF($H11="PIVOT",IF(W11&lt;=$I11,MAX(0,W11-$J11)/($I11-$J11),MAX(0,$K11-W11)/($K11-$I11)),"unknown type")))),8),0)</f>
        <v>0</v>
      </c>
      <c r="BW11" cm="1">
        <f t="array" aca="1" ref="BW11" ca="1">IFERROR(ROUND(IF($H11="WEIGHTED_SUM",SUMPRODUCT(--(OFFSET($F11,1,0,$C$2,1)=$E11)*OFFSET(BW11,1,0,$C$2,1)*OFFSET($P11,1,0,$C$2,1)),$C$3 *IF(NOT(ISNUMBER(X11)),0,IF($H11="FIXED_RANGE",CHOOSE($G11,(MIN(MAX(X11,$L11),$M11)-$L11)/$N11,1-(MIN(MAX(X11,$L11),$M11)-$L11)/$N11),IF($H11="PIVOT",IF(X11&lt;=$I11,MAX(0,X11-$J11)/($I11-$J11),MAX(0,$K11-X11)/($K11-$I11)),"unknown type")))),8),0)</f>
        <v>0</v>
      </c>
      <c r="BX11" cm="1">
        <f t="array" aca="1" ref="BX11" ca="1">IFERROR(ROUND(IF($H11="WEIGHTED_SUM",SUMPRODUCT(--(OFFSET($F11,1,0,$C$2,1)=$E11)*OFFSET(BX11,1,0,$C$2,1)*OFFSET($P11,1,0,$C$2,1)),$C$3 *IF(NOT(ISNUMBER(Y11)),0,IF($H11="FIXED_RANGE",CHOOSE($G11,(MIN(MAX(Y11,$L11),$M11)-$L11)/$N11,1-(MIN(MAX(Y11,$L11),$M11)-$L11)/$N11),IF($H11="PIVOT",IF(Y11&lt;=$I11,MAX(0,Y11-$J11)/($I11-$J11),MAX(0,$K11-Y11)/($K11-$I11)),"unknown type")))),8),0)</f>
        <v>0</v>
      </c>
      <c r="BY11" cm="1">
        <f t="array" aca="1" ref="BY11" ca="1">IFERROR(ROUND(IF($H11="WEIGHTED_SUM",SUMPRODUCT(--(OFFSET($F11,1,0,$C$2,1)=$E11)*OFFSET(BY11,1,0,$C$2,1)*OFFSET($P11,1,0,$C$2,1)),$C$3 *IF(NOT(ISNUMBER(Z11)),0,IF($H11="FIXED_RANGE",CHOOSE($G11,(MIN(MAX(Z11,$L11),$M11)-$L11)/$N11,1-(MIN(MAX(Z11,$L11),$M11)-$L11)/$N11),IF($H11="PIVOT",IF(Z11&lt;=$I11,MAX(0,Z11-$J11)/($I11-$J11),MAX(0,$K11-Z11)/($K11-$I11)),"unknown type")))),8),0)</f>
        <v>0</v>
      </c>
      <c r="BZ11" cm="1">
        <f t="array" aca="1" ref="BZ11" ca="1">IFERROR(ROUND(IF($H11="WEIGHTED_SUM",SUMPRODUCT(--(OFFSET($F11,1,0,$C$2,1)=$E11)*OFFSET(BZ11,1,0,$C$2,1)*OFFSET($P11,1,0,$C$2,1)),$C$3 *IF(NOT(ISNUMBER(AA11)),0,IF($H11="FIXED_RANGE",CHOOSE($G11,(MIN(MAX(AA11,$L11),$M11)-$L11)/$N11,1-(MIN(MAX(AA11,$L11),$M11)-$L11)/$N11),IF($H11="PIVOT",IF(AA11&lt;=$I11,MAX(0,AA11-$J11)/($I11-$J11),MAX(0,$K11-AA11)/($K11-$I11)),"unknown type")))),8),0)</f>
        <v>0</v>
      </c>
      <c r="CA11" cm="1">
        <f t="array" aca="1" ref="CA11" ca="1">IFERROR(ROUND(IF($H11="WEIGHTED_SUM",SUMPRODUCT(--(OFFSET($F11,1,0,$C$2,1)=$E11)*OFFSET(CA11,1,0,$C$2,1)*OFFSET($P11,1,0,$C$2,1)),$C$3 *IF(NOT(ISNUMBER(AB11)),0,IF($H11="FIXED_RANGE",CHOOSE($G11,(MIN(MAX(AB11,$L11),$M11)-$L11)/$N11,1-(MIN(MAX(AB11,$L11),$M11)-$L11)/$N11),IF($H11="PIVOT",IF(AB11&lt;=$I11,MAX(0,AB11-$J11)/($I11-$J11),MAX(0,$K11-AB11)/($K11-$I11)),"unknown type")))),8),0)</f>
        <v>0</v>
      </c>
      <c r="CB11" cm="1">
        <f t="array" aca="1" ref="CB11" ca="1">IFERROR(ROUND(IF($H11="WEIGHTED_SUM",SUMPRODUCT(--(OFFSET($F11,1,0,$C$2,1)=$E11)*OFFSET(CB11,1,0,$C$2,1)*OFFSET($P11,1,0,$C$2,1)),$C$3 *IF(NOT(ISNUMBER(AC11)),0,IF($H11="FIXED_RANGE",CHOOSE($G11,(MIN(MAX(AC11,$L11),$M11)-$L11)/$N11,1-(MIN(MAX(AC11,$L11),$M11)-$L11)/$N11),IF($H11="PIVOT",IF(AC11&lt;=$I11,MAX(0,AC11-$J11)/($I11-$J11),MAX(0,$K11-AC11)/($K11-$I11)),"unknown type")))),8),0)</f>
        <v>0</v>
      </c>
      <c r="CC11" cm="1">
        <f t="array" aca="1" ref="CC11" ca="1">IFERROR(ROUND(IF($H11="WEIGHTED_SUM",SUMPRODUCT(--(OFFSET($F11,1,0,$C$2,1)=$E11)*OFFSET(CC11,1,0,$C$2,1)*OFFSET($P11,1,0,$C$2,1)),$C$3 *IF(NOT(ISNUMBER(AD11)),0,IF($H11="FIXED_RANGE",CHOOSE($G11,(MIN(MAX(AD11,$L11),$M11)-$L11)/$N11,1-(MIN(MAX(AD11,$L11),$M11)-$L11)/$N11),IF($H11="PIVOT",IF(AD11&lt;=$I11,MAX(0,AD11-$J11)/($I11-$J11),MAX(0,$K11-AD11)/($K11-$I11)),"unknown type")))),8),0)</f>
        <v>0</v>
      </c>
      <c r="CD11" cm="1">
        <f t="array" aca="1" ref="CD11" ca="1">IFERROR(ROUND(IF($H11="WEIGHTED_SUM",SUMPRODUCT(--(OFFSET($F11,1,0,$C$2,1)=$E11)*OFFSET(CD11,1,0,$C$2,1)*OFFSET($P11,1,0,$C$2,1)),$C$3 *IF(NOT(ISNUMBER(AE11)),0,IF($H11="FIXED_RANGE",CHOOSE($G11,(MIN(MAX(AE11,$L11),$M11)-$L11)/$N11,1-(MIN(MAX(AE11,$L11),$M11)-$L11)/$N11),IF($H11="PIVOT",IF(AE11&lt;=$I11,MAX(0,AE11-$J11)/($I11-$J11),MAX(0,$K11-AE11)/($K11-$I11)),"unknown type")))),8),0)</f>
        <v>0</v>
      </c>
      <c r="CE11" cm="1">
        <f t="array" aca="1" ref="CE11" ca="1">IFERROR(ROUND(IF($H11="WEIGHTED_SUM",SUMPRODUCT(--(OFFSET($F11,1,0,$C$2,1)=$E11)*OFFSET(CE11,1,0,$C$2,1)*OFFSET($P11,1,0,$C$2,1)),$C$3 *IF(NOT(ISNUMBER(AF11)),0,IF($H11="FIXED_RANGE",CHOOSE($G11,(MIN(MAX(AF11,$L11),$M11)-$L11)/$N11,1-(MIN(MAX(AF11,$L11),$M11)-$L11)/$N11),IF($H11="PIVOT",IF(AF11&lt;=$I11,MAX(0,AF11-$J11)/($I11-$J11),MAX(0,$K11-AF11)/($K11-$I11)),"unknown type")))),8),0)</f>
        <v>0</v>
      </c>
      <c r="CF11" cm="1">
        <f t="array" aca="1" ref="CF11" ca="1">IFERROR(ROUND(IF($H11="WEIGHTED_SUM",SUMPRODUCT(--(OFFSET($F11,1,0,$C$2,1)=$E11)*OFFSET(CF11,1,0,$C$2,1)*OFFSET($P11,1,0,$C$2,1)),$C$3 *IF(NOT(ISNUMBER(AG11)),0,IF($H11="FIXED_RANGE",CHOOSE($G11,(MIN(MAX(AG11,$L11),$M11)-$L11)/$N11,1-(MIN(MAX(AG11,$L11),$M11)-$L11)/$N11),IF($H11="PIVOT",IF(AG11&lt;=$I11,MAX(0,AG11-$J11)/($I11-$J11),MAX(0,$K11-AG11)/($K11-$I11)),"unknown type")))),8),0)</f>
        <v>0</v>
      </c>
      <c r="CG11" cm="1">
        <f t="array" aca="1" ref="CG11" ca="1">IFERROR(ROUND(IF($H11="WEIGHTED_SUM",SUMPRODUCT(--(OFFSET($F11,1,0,$C$2,1)=$E11)*OFFSET(CG11,1,0,$C$2,1)*OFFSET($P11,1,0,$C$2,1)),$C$3 *IF(NOT(ISNUMBER(AH11)),0,IF($H11="FIXED_RANGE",CHOOSE($G11,(MIN(MAX(AH11,$L11),$M11)-$L11)/$N11,1-(MIN(MAX(AH11,$L11),$M11)-$L11)/$N11),IF($H11="PIVOT",IF(AH11&lt;=$I11,MAX(0,AH11-$J11)/($I11-$J11),MAX(0,$K11-AH11)/($K11-$I11)),"unknown type")))),8),0)</f>
        <v>0</v>
      </c>
      <c r="CH11" cm="1">
        <f t="array" aca="1" ref="CH11" ca="1">IFERROR(ROUND(IF($H11="WEIGHTED_SUM",SUMPRODUCT(--(OFFSET($F11,1,0,$C$2,1)=$E11)*OFFSET(CH11,1,0,$C$2,1)*OFFSET($P11,1,0,$C$2,1)),$C$3 *IF(NOT(ISNUMBER(AI11)),0,IF($H11="FIXED_RANGE",CHOOSE($G11,(MIN(MAX(AI11,$L11),$M11)-$L11)/$N11,1-(MIN(MAX(AI11,$L11),$M11)-$L11)/$N11),IF($H11="PIVOT",IF(AI11&lt;=$I11,MAX(0,AI11-$J11)/($I11-$J11),MAX(0,$K11-AI11)/($K11-$I11)),"unknown type")))),8),0)</f>
        <v>0</v>
      </c>
      <c r="CI11" cm="1">
        <f t="array" aca="1" ref="CI11" ca="1">IFERROR(ROUND(IF($H11="WEIGHTED_SUM",SUMPRODUCT(--(OFFSET($F11,1,0,$C$2,1)=$E11)*OFFSET(CI11,1,0,$C$2,1)*OFFSET($P11,1,0,$C$2,1)),$C$3 *IF(NOT(ISNUMBER(AJ11)),0,IF($H11="FIXED_RANGE",CHOOSE($G11,(MIN(MAX(AJ11,$L11),$M11)-$L11)/$N11,1-(MIN(MAX(AJ11,$L11),$M11)-$L11)/$N11),IF($H11="PIVOT",IF(AJ11&lt;=$I11,MAX(0,AJ11-$J11)/($I11-$J11),MAX(0,$K11-AJ11)/($K11-$I11)),"unknown type")))),8),0)</f>
        <v>0</v>
      </c>
      <c r="CJ11" cm="1">
        <f t="array" aca="1" ref="CJ11" ca="1">IFERROR(ROUND(IF($H11="WEIGHTED_SUM",SUMPRODUCT(--(OFFSET($F11,1,0,$C$2,1)=$E11)*OFFSET(CJ11,1,0,$C$2,1)*OFFSET($P11,1,0,$C$2,1)),$C$3 *IF(NOT(ISNUMBER(AK11)),0,IF($H11="FIXED_RANGE",CHOOSE($G11,(MIN(MAX(AK11,$L11),$M11)-$L11)/$N11,1-(MIN(MAX(AK11,$L11),$M11)-$L11)/$N11),IF($H11="PIVOT",IF(AK11&lt;=$I11,MAX(0,AK11-$J11)/($I11-$J11),MAX(0,$K11-AK11)/($K11-$I11)),"unknown type")))),8),0)</f>
        <v>0</v>
      </c>
      <c r="CK11" cm="1">
        <f t="array" aca="1" ref="CK11" ca="1">IFERROR(ROUND(IF($H11="WEIGHTED_SUM",SUMPRODUCT(--(OFFSET($F11,1,0,$C$2,1)=$E11)*OFFSET(CK11,1,0,$C$2,1)*OFFSET($P11,1,0,$C$2,1)),$C$3 *IF(NOT(ISNUMBER(AL11)),0,IF($H11="FIXED_RANGE",CHOOSE($G11,(MIN(MAX(AL11,$L11),$M11)-$L11)/$N11,1-(MIN(MAX(AL11,$L11),$M11)-$L11)/$N11),IF($H11="PIVOT",IF(AL11&lt;=$I11,MAX(0,AL11-$J11)/($I11-$J11),MAX(0,$K11-AL11)/($K11-$I11)),"unknown type")))),8),0)</f>
        <v>0</v>
      </c>
      <c r="CL11" cm="1">
        <f t="array" aca="1" ref="CL11" ca="1">IFERROR(ROUND(IF($H11="WEIGHTED_SUM",SUMPRODUCT(--(OFFSET($F11,1,0,$C$2,1)=$E11)*OFFSET(CL11,1,0,$C$2,1)*OFFSET($P11,1,0,$C$2,1)),$C$3 *IF(NOT(ISNUMBER(AM11)),0,IF($H11="FIXED_RANGE",CHOOSE($G11,(MIN(MAX(AM11,$L11),$M11)-$L11)/$N11,1-(MIN(MAX(AM11,$L11),$M11)-$L11)/$N11),IF($H11="PIVOT",IF(AM11&lt;=$I11,MAX(0,AM11-$J11)/($I11-$J11),MAX(0,$K11-AM11)/($K11-$I11)),"unknown type")))),8),0)</f>
        <v>0</v>
      </c>
      <c r="CM11" cm="1">
        <f t="array" aca="1" ref="CM11" ca="1">IFERROR(ROUND(IF($H11="WEIGHTED_SUM",SUMPRODUCT(--(OFFSET($F11,1,0,$C$2,1)=$E11)*OFFSET(CM11,1,0,$C$2,1)*OFFSET($P11,1,0,$C$2,1)),$C$3 *IF(NOT(ISNUMBER(AN11)),0,IF($H11="FIXED_RANGE",CHOOSE($G11,(MIN(MAX(AN11,$L11),$M11)-$L11)/$N11,1-(MIN(MAX(AN11,$L11),$M11)-$L11)/$N11),IF($H11="PIVOT",IF(AN11&lt;=$I11,MAX(0,AN11-$J11)/($I11-$J11),MAX(0,$K11-AN11)/($K11-$I11)),"unknown type")))),8),0)</f>
        <v>0</v>
      </c>
      <c r="CN11" cm="1">
        <f t="array" aca="1" ref="CN11" ca="1">IFERROR(ROUND(IF($H11="WEIGHTED_SUM",SUMPRODUCT(--(OFFSET($F11,1,0,$C$2,1)=$E11)*OFFSET(CN11,1,0,$C$2,1)*OFFSET($P11,1,0,$C$2,1)),$C$3 *IF(NOT(ISNUMBER(AO11)),0,IF($H11="FIXED_RANGE",CHOOSE($G11,(MIN(MAX(AO11,$L11),$M11)-$L11)/$N11,1-(MIN(MAX(AO11,$L11),$M11)-$L11)/$N11),IF($H11="PIVOT",IF(AO11&lt;=$I11,MAX(0,AO11-$J11)/($I11-$J11),MAX(0,$K11-AO11)/($K11-$I11)),"unknown type")))),8),0)</f>
        <v>0</v>
      </c>
      <c r="CO11" cm="1">
        <f t="array" aca="1" ref="CO11" ca="1">IFERROR(ROUND(IF($H11="WEIGHTED_SUM",SUMPRODUCT(--(OFFSET($F11,1,0,$C$2,1)=$E11)*OFFSET(CO11,1,0,$C$2,1)*OFFSET($P11,1,0,$C$2,1)),$C$3 *IF(NOT(ISNUMBER(AP11)),0,IF($H11="FIXED_RANGE",CHOOSE($G11,(MIN(MAX(AP11,$L11),$M11)-$L11)/$N11,1-(MIN(MAX(AP11,$L11),$M11)-$L11)/$N11),IF($H11="PIVOT",IF(AP11&lt;=$I11,MAX(0,AP11-$J11)/($I11-$J11),MAX(0,$K11-AP11)/($K11-$I11)),"unknown type")))),8),0)</f>
        <v>0</v>
      </c>
      <c r="CP11" cm="1">
        <f t="array" aca="1" ref="CP11" ca="1">IFERROR(ROUND(IF($H11="WEIGHTED_SUM",SUMPRODUCT(--(OFFSET($F11,1,0,$C$2,1)=$E11)*OFFSET(CP11,1,0,$C$2,1)*OFFSET($P11,1,0,$C$2,1)),$C$3 *IF(NOT(ISNUMBER(AQ11)),0,IF($H11="FIXED_RANGE",CHOOSE($G11,(MIN(MAX(AQ11,$L11),$M11)-$L11)/$N11,1-(MIN(MAX(AQ11,$L11),$M11)-$L11)/$N11),IF($H11="PIVOT",IF(AQ11&lt;=$I11,MAX(0,AQ11-$J11)/($I11-$J11),MAX(0,$K11-AQ11)/($K11-$I11)),"unknown type")))),8),0)</f>
        <v>0</v>
      </c>
      <c r="CQ11" cm="1">
        <f t="array" aca="1" ref="CQ11" ca="1">IFERROR(ROUND(IF($H11="WEIGHTED_SUM",SUMPRODUCT(--(OFFSET($F11,1,0,$C$2,1)=$E11)*OFFSET(CQ11,1,0,$C$2,1)*OFFSET($P11,1,0,$C$2,1)),$C$3 *IF(NOT(ISNUMBER(AR11)),0,IF($H11="FIXED_RANGE",CHOOSE($G11,(MIN(MAX(AR11,$L11),$M11)-$L11)/$N11,1-(MIN(MAX(AR11,$L11),$M11)-$L11)/$N11),IF($H11="PIVOT",IF(AR11&lt;=$I11,MAX(0,AR11-$J11)/($I11-$J11),MAX(0,$K11-AR11)/($K11-$I11)),"unknown type")))),8),0)</f>
        <v>0</v>
      </c>
      <c r="CR11" cm="1">
        <f t="array" aca="1" ref="CR11" ca="1">IFERROR(ROUND(IF($H11="WEIGHTED_SUM",SUMPRODUCT(--(OFFSET($F11,1,0,$C$2,1)=$E11)*OFFSET(CR11,1,0,$C$2,1)*OFFSET($P11,1,0,$C$2,1)),$C$3 *IF(NOT(ISNUMBER(AS11)),0,IF($H11="FIXED_RANGE",CHOOSE($G11,(MIN(MAX(AS11,$L11),$M11)-$L11)/$N11,1-(MIN(MAX(AS11,$L11),$M11)-$L11)/$N11),IF($H11="PIVOT",IF(AS11&lt;=$I11,MAX(0,AS11-$J11)/($I11-$J11),MAX(0,$K11-AS11)/($K11-$I11)),"unknown type")))),8),0)</f>
        <v>0</v>
      </c>
      <c r="CS11" cm="1">
        <f t="array" aca="1" ref="CS11" ca="1">IFERROR(ROUND(IF($H11="WEIGHTED_SUM",SUMPRODUCT(--(OFFSET($F11,1,0,$C$2,1)=$E11)*OFFSET(CS11,1,0,$C$2,1)*OFFSET($P11,1,0,$C$2,1)),$C$3 *IF(NOT(ISNUMBER(AT11)),0,IF($H11="FIXED_RANGE",CHOOSE($G11,(MIN(MAX(AT11,$L11),$M11)-$L11)/$N11,1-(MIN(MAX(AT11,$L11),$M11)-$L11)/$N11),IF($H11="PIVOT",IF(AT11&lt;=$I11,MAX(0,AT11-$J11)/($I11-$J11),MAX(0,$K11-AT11)/($K11-$I11)),"unknown type")))),8),0)</f>
        <v>0</v>
      </c>
      <c r="CT11" cm="1">
        <f t="array" aca="1" ref="CT11" ca="1">IFERROR(ROUND(IF($H11="WEIGHTED_SUM",SUMPRODUCT(--(OFFSET($F11,1,0,$C$2,1)=$E11)*OFFSET(CT11,1,0,$C$2,1)*OFFSET($P11,1,0,$C$2,1)),$C$3 *IF(NOT(ISNUMBER(AU11)),0,IF($H11="FIXED_RANGE",CHOOSE($G11,(MIN(MAX(AU11,$L11),$M11)-$L11)/$N11,1-(MIN(MAX(AU11,$L11),$M11)-$L11)/$N11),IF($H11="PIVOT",IF(AU11&lt;=$I11,MAX(0,AU11-$J11)/($I11-$J11),MAX(0,$K11-AU11)/($K11-$I11)),"unknown type")))),8),0)</f>
        <v>0</v>
      </c>
      <c r="CU11" cm="1">
        <f t="array" aca="1" ref="CU11" ca="1">IFERROR(ROUND(IF($H11="WEIGHTED_SUM",SUMPRODUCT(--(OFFSET($F11,1,0,$C$2,1)=$E11)*OFFSET(CU11,1,0,$C$2,1)*OFFSET($P11,1,0,$C$2,1)),$C$3 *IF(NOT(ISNUMBER(AV11)),0,IF($H11="FIXED_RANGE",CHOOSE($G11,(MIN(MAX(AV11,$L11),$M11)-$L11)/$N11,1-(MIN(MAX(AV11,$L11),$M11)-$L11)/$N11),IF($H11="PIVOT",IF(AV11&lt;=$I11,MAX(0,AV11-$J11)/($I11-$J11),MAX(0,$K11-AV11)/($K11-$I11)),"unknown type")))),8),0)</f>
        <v>0</v>
      </c>
      <c r="CV11" cm="1">
        <f t="array" aca="1" ref="CV11" ca="1">IFERROR(ROUND(IF($H11="WEIGHTED_SUM",SUMPRODUCT(--(OFFSET($F11,1,0,$C$2,1)=$E11)*OFFSET(CV11,1,0,$C$2,1)*OFFSET($P11,1,0,$C$2,1)),$C$3 *IF(NOT(ISNUMBER(AW11)),0,IF($H11="FIXED_RANGE",CHOOSE($G11,(MIN(MAX(AW11,$L11),$M11)-$L11)/$N11,1-(MIN(MAX(AW11,$L11),$M11)-$L11)/$N11),IF($H11="PIVOT",IF(AW11&lt;=$I11,MAX(0,AW11-$J11)/($I11-$J11),MAX(0,$K11-AW11)/($K11-$I11)),"unknown type")))),8),0)</f>
        <v>0</v>
      </c>
      <c r="CW11" cm="1">
        <f t="array" aca="1" ref="CW11" ca="1">IFERROR(ROUND(IF($H11="WEIGHTED_SUM",SUMPRODUCT(--(OFFSET($F11,1,0,$C$2,1)=$E11)*OFFSET(CW11,1,0,$C$2,1)*OFFSET($P11,1,0,$C$2,1)),$C$3 *IF(NOT(ISNUMBER(AX11)),0,IF($H11="FIXED_RANGE",CHOOSE($G11,(MIN(MAX(AX11,$L11),$M11)-$L11)/$N11,1-(MIN(MAX(AX11,$L11),$M11)-$L11)/$N11),IF($H11="PIVOT",IF(AX11&lt;=$I11,MAX(0,AX11-$J11)/($I11-$J11),MAX(0,$K11-AX11)/($K11-$I11)),"unknown type")))),8),0)</f>
        <v>0</v>
      </c>
      <c r="CX11" cm="1">
        <f t="array" aca="1" ref="CX11" ca="1">IFERROR(ROUND(IF($H11="WEIGHTED_SUM",SUMPRODUCT(--(OFFSET($F11,1,0,$C$2,1)=$E11)*OFFSET(CX11,1,0,$C$2,1)*OFFSET($P11,1,0,$C$2,1)),$C$3 *IF(NOT(ISNUMBER(AY11)),0,IF($H11="FIXED_RANGE",CHOOSE($G11,(MIN(MAX(AY11,$L11),$M11)-$L11)/$N11,1-(MIN(MAX(AY11,$L11),$M11)-$L11)/$N11),IF($H11="PIVOT",IF(AY11&lt;=$I11,MAX(0,AY11-$J11)/($I11-$J11),MAX(0,$K11-AY11)/($K11-$I11)),"unknown type")))),8),0)</f>
        <v>0</v>
      </c>
      <c r="CY11" cm="1">
        <f t="array" aca="1" ref="CY11" ca="1">IFERROR(ROUND(IF($H11="WEIGHTED_SUM",SUMPRODUCT(--(OFFSET($F11,1,0,$C$2,1)=$E11)*OFFSET(CY11,1,0,$C$2,1)*OFFSET($P11,1,0,$C$2,1)),$C$3 *IF(NOT(ISNUMBER(AZ11)),0,IF($H11="FIXED_RANGE",CHOOSE($G11,(MIN(MAX(AZ11,$L11),$M11)-$L11)/$N11,1-(MIN(MAX(AZ11,$L11),$M11)-$L11)/$N11),IF($H11="PIVOT",IF(AZ11&lt;=$I11,MAX(0,AZ11-$J11)/($I11-$J11),MAX(0,$K11-AZ11)/($K11-$I11)),"unknown type")))),8),0)</f>
        <v>0</v>
      </c>
      <c r="CZ11" cm="1">
        <f t="array" aca="1" ref="CZ11" ca="1">IFERROR(ROUND(IF($H11="WEIGHTED_SUM",SUMPRODUCT(--(OFFSET($F11,1,0,$C$2,1)=$E11)*OFFSET(CZ11,1,0,$C$2,1)*OFFSET($P11,1,0,$C$2,1)),$C$3 *IF(NOT(ISNUMBER(BA11)),0,IF($H11="FIXED_RANGE",CHOOSE($G11,(MIN(MAX(BA11,$L11),$M11)-$L11)/$N11,1-(MIN(MAX(BA11,$L11),$M11)-$L11)/$N11),IF($H11="PIVOT",IF(BA11&lt;=$I11,MAX(0,BA11-$J11)/($I11-$J11),MAX(0,$K11-BA11)/($K11-$I11)),"unknown type")))),8),0)</f>
        <v>0</v>
      </c>
      <c r="DA11" cm="1">
        <f t="array" aca="1" ref="DA11" ca="1">IFERROR(ROUND(IF($H11="WEIGHTED_SUM",SUMPRODUCT(--(OFFSET($F11,1,0,$C$2,1)=$E11)*OFFSET(DA11,1,0,$C$2,1)*OFFSET($P11,1,0,$C$2,1)),$C$3 *IF(NOT(ISNUMBER(BB11)),0,IF($H11="FIXED_RANGE",CHOOSE($G11,(MIN(MAX(BB11,$L11),$M11)-$L11)/$N11,1-(MIN(MAX(BB11,$L11),$M11)-$L11)/$N11),IF($H11="PIVOT",IF(BB11&lt;=$I11,MAX(0,BB11-$J11)/($I11-$J11),MAX(0,$K11-BB11)/($K11-$I11)),"unknown type")))),8),0)</f>
        <v>0</v>
      </c>
      <c r="DB11" cm="1">
        <f t="array" aca="1" ref="DB11" ca="1">IFERROR(ROUND(IF($H11="WEIGHTED_SUM",SUMPRODUCT(--(OFFSET($F11,1,0,$C$2,1)=$E11)*OFFSET(DB11,1,0,$C$2,1)*OFFSET($P11,1,0,$C$2,1)),$C$3 *IF(NOT(ISNUMBER(BC11)),0,IF($H11="FIXED_RANGE",CHOOSE($G11,(MIN(MAX(BC11,$L11),$M11)-$L11)/$N11,1-(MIN(MAX(BC11,$L11),$M11)-$L11)/$N11),IF($H11="PIVOT",IF(BC11&lt;=$I11,MAX(0,BC11-$J11)/($I11-$J11),MAX(0,$K11-BC11)/($K11-$I11)),"unknown type")))),8),0)</f>
        <v>0</v>
      </c>
      <c r="DC11" cm="1">
        <f t="array" aca="1" ref="DC11" ca="1">IFERROR(ROUND(IF($H11="WEIGHTED_SUM",SUMPRODUCT(--(OFFSET($F11,1,0,$C$2,1)=$E11)*OFFSET(DC11,1,0,$C$2,1)*OFFSET($P11,1,0,$C$2,1)),$C$3 *IF(NOT(ISNUMBER(BD11)),0,IF($H11="FIXED_RANGE",CHOOSE($G11,(MIN(MAX(BD11,$L11),$M11)-$L11)/$N11,1-(MIN(MAX(BD11,$L11),$M11)-$L11)/$N11),IF($H11="PIVOT",IF(BD11&lt;=$I11,MAX(0,BD11-$J11)/($I11-$J11),MAX(0,$K11-BD11)/($K11-$I11)),"unknown type")))),8),0)</f>
        <v>0</v>
      </c>
      <c r="DD11" cm="1">
        <f t="array" aca="1" ref="DD11" ca="1">IFERROR(ROUND(IF($H11="WEIGHTED_SUM",SUMPRODUCT(--(OFFSET($F11,1,0,$C$2,1)=$E11)*OFFSET(DD11,1,0,$C$2,1)*OFFSET($P11,1,0,$C$2,1)),$C$3 *IF(NOT(ISNUMBER(BE11)),0,IF($H11="FIXED_RANGE",CHOOSE($G11,(MIN(MAX(BE11,$L11),$M11)-$L11)/$N11,1-(MIN(MAX(BE11,$L11),$M11)-$L11)/$N11),IF($H11="PIVOT",IF(BE11&lt;=$I11,MAX(0,BE11-$J11)/($I11-$J11),MAX(0,$K11-BE11)/($K11-$I11)),"unknown type")))),8),0)</f>
        <v>0</v>
      </c>
      <c r="DE11" cm="1">
        <f t="array" aca="1" ref="DE11" ca="1">IFERROR(ROUND(IF($H11="WEIGHTED_SUM",SUMPRODUCT(--(OFFSET($F11,1,0,$C$2,1)=$E11)*OFFSET(DE11,1,0,$C$2,1)*OFFSET($P11,1,0,$C$2,1)),$C$3 *IF(NOT(ISNUMBER(BF11)),0,IF($H11="FIXED_RANGE",CHOOSE($G11,(MIN(MAX(BF11,$L11),$M11)-$L11)/$N11,1-(MIN(MAX(BF11,$L11),$M11)-$L11)/$N11),IF($H11="PIVOT",IF(BF11&lt;=$I11,MAX(0,BF11-$J11)/($I11-$J11),MAX(0,$K11-BF11)/($K11-$I11)),"unknown type")))),8),0)</f>
        <v>0</v>
      </c>
      <c r="DF11" cm="1">
        <f t="array" aca="1" ref="DF11" ca="1">IFERROR(ROUND(IF($H11="WEIGHTED_SUM",SUMPRODUCT(--(OFFSET($F11,1,0,$C$2,1)=$E11)*OFFSET(DF11,1,0,$C$2,1)*OFFSET($P11,1,0,$C$2,1)),$C$3 *IF(NOT(ISNUMBER(BG11)),0,IF($H11="FIXED_RANGE",CHOOSE($G11,(MIN(MAX(BG11,$L11),$M11)-$L11)/$N11,1-(MIN(MAX(BG11,$L11),$M11)-$L11)/$N11),IF($H11="PIVOT",IF(BG11&lt;=$I11,MAX(0,BG11-$J11)/($I11-$J11),MAX(0,$K11-BG11)/($K11-$I11)),"unknown type")))),8),0)</f>
        <v>0</v>
      </c>
      <c r="DG11" cm="1">
        <f t="array" aca="1" ref="DG11" ca="1">IFERROR(ROUND(IF($H11="WEIGHTED_SUM",SUMPRODUCT(--(OFFSET($F11,1,0,$C$2,1)=$E11)*OFFSET(DG11,1,0,$C$2,1)*OFFSET($P11,1,0,$C$2,1)),$C$3 *IF(NOT(ISNUMBER(BH11)),0,IF($H11="FIXED_RANGE",CHOOSE($G11,(MIN(MAX(BH11,$L11),$M11)-$L11)/$N11,1-(MIN(MAX(BH11,$L11),$M11)-$L11)/$N11),IF($H11="PIVOT",IF(BH11&lt;=$I11,MAX(0,BH11-$J11)/($I11-$J11),MAX(0,$K11-BH11)/($K11-$I11)),"unknown type")))),8),0)</f>
        <v>0</v>
      </c>
      <c r="DH11" cm="1">
        <f t="array" aca="1" ref="DH11" ca="1">IFERROR(ROUND(IF($H11="WEIGHTED_SUM",SUMPRODUCT(--(OFFSET($F11,1,0,$C$2,1)=$E11)*OFFSET(DH11,1,0,$C$2,1)*OFFSET($P11,1,0,$C$2,1)),$C$3 *IF(NOT(ISNUMBER(BI11)),0,IF($H11="FIXED_RANGE",CHOOSE($G11,(MIN(MAX(BI11,$L11),$M11)-$L11)/$N11,1-(MIN(MAX(BI11,$L11),$M11)-$L11)/$N11),IF($H11="PIVOT",IF(BI11&lt;=$I11,MAX(0,BI11-$J11)/($I11-$J11),MAX(0,$K11-BI11)/($K11-$I11)),"unknown type")))),8),0)</f>
        <v>0</v>
      </c>
      <c r="DI11" cm="1">
        <f t="array" aca="1" ref="DI11" ca="1">IFERROR(ROUND(IF($H11="WEIGHTED_SUM",SUMPRODUCT(--(OFFSET($F11,1,0,$C$2,1)=$E11)*OFFSET(DI11,1,0,$C$2,1)*OFFSET($P11,1,0,$C$2,1)),$C$3 *IF(NOT(ISNUMBER(BJ11)),0,IF($H11="FIXED_RANGE",CHOOSE($G11,(MIN(MAX(BJ11,$L11),$M11)-$L11)/$N11,1-(MIN(MAX(BJ11,$L11),$M11)-$L11)/$N11),IF($H11="PIVOT",IF(BJ11&lt;=$I11,MAX(0,BJ11-$J11)/($I11-$J11),MAX(0,$K11-BJ11)/($K11-$I11)),"unknown type")))),8),0)</f>
        <v>0</v>
      </c>
      <c r="DJ11" cm="1">
        <f t="array" aca="1" ref="DJ11" ca="1">IFERROR(ROUND(IF($H11="WEIGHTED_SUM",SUMPRODUCT(--(OFFSET($F11,1,0,$C$2,1)=$E11)*OFFSET(DJ11,1,0,$C$2,1)*OFFSET($P11,1,0,$C$2,1)),$C$3 *IF(NOT(ISNUMBER(BK11)),0,IF($H11="FIXED_RANGE",CHOOSE($G11,(MIN(MAX(BK11,$L11),$M11)-$L11)/$N11,1-(MIN(MAX(BK11,$L11),$M11)-$L11)/$N11),IF($H11="PIVOT",IF(BK11&lt;=$I11,MAX(0,BK11-$J11)/($I11-$J11),MAX(0,$K11-BK11)/($K11-$I11)),"unknown type")))),8),0)</f>
        <v>0</v>
      </c>
      <c r="DK11" cm="1">
        <f t="array" aca="1" ref="DK11" ca="1">IFERROR(ROUND(IF($H11="WEIGHTED_SUM",SUMPRODUCT(--(OFFSET($F11,1,0,$C$2,1)=$E11)*OFFSET(DK11,1,0,$C$2,1)*OFFSET($P11,1,0,$C$2,1)),$C$3 *IF(NOT(ISNUMBER(BL11)),0,IF($H11="FIXED_RANGE",CHOOSE($G11,(MIN(MAX(BL11,$L11),$M11)-$L11)/$N11,1-(MIN(MAX(BL11,$L11),$M11)-$L11)/$N11),IF($H11="PIVOT",IF(BL11&lt;=$I11,MAX(0,BL11-$J11)/($I11-$J11),MAX(0,$K11-BL11)/($K11-$I11)),"unknown type")))),8),0)</f>
        <v>0</v>
      </c>
      <c r="DL11" cm="1">
        <f t="array" aca="1" ref="DL11" ca="1">IFERROR(ROUND(IF($H11="WEIGHTED_SUM",SUMPRODUCT(--(OFFSET($F11,1,0,$C$2,1)=$E11)*OFFSET(DL11,1,0,$C$2,1)*OFFSET($P11,1,0,$C$2,1)),$C$3 *IF(NOT(ISNUMBER(BM11)),0,IF($H11="FIXED_RANGE",CHOOSE($G11,(MIN(MAX(BM11,$L11),$M11)-$L11)/$N11,1-(MIN(MAX(BM11,$L11),$M11)-$L11)/$N11),IF($H11="PIVOT",IF(BM11&lt;=$I11,MAX(0,BM11-$J11)/($I11-$J11),MAX(0,$K11-BM11)/($K11-$I11)),"unknown type")))),8),0)</f>
        <v>0</v>
      </c>
      <c r="DM11" cm="1">
        <f t="array" aca="1" ref="DM11" ca="1">IFERROR(ROUND(IF($H11="WEIGHTED_SUM",SUMPRODUCT(--(OFFSET($F11,1,0,$C$2,1)=$E11)*OFFSET(DM11,1,0,$C$2,1)*OFFSET($P11,1,0,$C$2,1)),$C$3 *IF(NOT(ISNUMBER(BN11)),0,IF($H11="FIXED_RANGE",CHOOSE($G11,(MIN(MAX(BN11,$L11),$M11)-$L11)/$N11,1-(MIN(MAX(BN11,$L11),$M11)-$L11)/$N11),IF($H11="PIVOT",IF(BN11&lt;=$I11,MAX(0,BN11-$J11)/($I11-$J11),MAX(0,$K11-BN11)/($K11-$I11)),"unknown type")))),8),0)</f>
        <v>0</v>
      </c>
      <c r="DN11" cm="1">
        <f t="array" aca="1" ref="DN11" ca="1">IFERROR(ROUND(IF($H11="WEIGHTED_SUM",SUMPRODUCT(--(OFFSET($F11,1,0,$C$2,1)=$E11)*OFFSET(DN11,1,0,$C$2,1)*OFFSET($P11,1,0,$C$2,1)),$C$3 *IF(NOT(ISNUMBER(BO11)),0,IF($H11="FIXED_RANGE",CHOOSE($G11,(MIN(MAX(BO11,$L11),$M11)-$L11)/$N11,1-(MIN(MAX(BO11,$L11),$M11)-$L11)/$N11),IF($H11="PIVOT",IF(BO11&lt;=$I11,MAX(0,BO11-$J11)/($I11-$J11),MAX(0,$K11-BO11)/($K11-$I11)),"unknown type")))),8),0)</f>
        <v>0</v>
      </c>
      <c r="DP11">
        <f t="shared" ca="1" si="0"/>
        <v>0</v>
      </c>
      <c r="DQ11">
        <f t="shared" ca="1" si="0"/>
        <v>0</v>
      </c>
      <c r="DR11">
        <f t="shared" ca="1" si="0"/>
        <v>0</v>
      </c>
      <c r="DS11">
        <f t="shared" ca="1" si="0"/>
        <v>0</v>
      </c>
      <c r="DT11">
        <f t="shared" ca="1" si="0"/>
        <v>0</v>
      </c>
      <c r="DU11">
        <f t="shared" ca="1" si="0"/>
        <v>0</v>
      </c>
      <c r="DV11">
        <f t="shared" ca="1" si="0"/>
        <v>0</v>
      </c>
      <c r="DW11">
        <f t="shared" ca="1" si="0"/>
        <v>0</v>
      </c>
      <c r="DX11">
        <f t="shared" ca="1" si="0"/>
        <v>0</v>
      </c>
      <c r="DY11">
        <f t="shared" ca="1" si="0"/>
        <v>0</v>
      </c>
      <c r="DZ11">
        <f t="shared" ca="1" si="1"/>
        <v>0</v>
      </c>
      <c r="EA11">
        <f t="shared" ca="1" si="1"/>
        <v>0</v>
      </c>
      <c r="EB11">
        <f t="shared" ca="1" si="1"/>
        <v>0</v>
      </c>
      <c r="EC11">
        <f t="shared" ca="1" si="1"/>
        <v>0</v>
      </c>
      <c r="ED11">
        <f t="shared" ca="1" si="1"/>
        <v>0</v>
      </c>
      <c r="EE11">
        <f t="shared" ca="1" si="1"/>
        <v>0</v>
      </c>
      <c r="EF11">
        <f t="shared" ca="1" si="1"/>
        <v>0</v>
      </c>
      <c r="EG11">
        <f t="shared" ca="1" si="1"/>
        <v>0</v>
      </c>
      <c r="EH11">
        <f t="shared" ca="1" si="1"/>
        <v>0</v>
      </c>
      <c r="EI11">
        <f t="shared" ca="1" si="1"/>
        <v>0</v>
      </c>
      <c r="EJ11">
        <f t="shared" ca="1" si="2"/>
        <v>0</v>
      </c>
      <c r="EK11">
        <f t="shared" ca="1" si="2"/>
        <v>0</v>
      </c>
      <c r="EL11">
        <f t="shared" ca="1" si="2"/>
        <v>0</v>
      </c>
      <c r="EM11">
        <f t="shared" ca="1" si="2"/>
        <v>0</v>
      </c>
      <c r="EN11">
        <f t="shared" ca="1" si="2"/>
        <v>0</v>
      </c>
      <c r="EO11">
        <f t="shared" ca="1" si="2"/>
        <v>0</v>
      </c>
      <c r="EP11">
        <f t="shared" ca="1" si="2"/>
        <v>0</v>
      </c>
      <c r="EQ11">
        <f t="shared" ca="1" si="2"/>
        <v>0</v>
      </c>
      <c r="ER11">
        <f t="shared" ca="1" si="2"/>
        <v>0</v>
      </c>
      <c r="ES11">
        <f t="shared" ca="1" si="2"/>
        <v>0</v>
      </c>
      <c r="ET11">
        <f t="shared" ca="1" si="3"/>
        <v>0</v>
      </c>
      <c r="EU11">
        <f t="shared" ca="1" si="3"/>
        <v>0</v>
      </c>
      <c r="EV11">
        <f t="shared" ca="1" si="3"/>
        <v>0</v>
      </c>
      <c r="EW11">
        <f t="shared" ca="1" si="3"/>
        <v>0</v>
      </c>
      <c r="EX11">
        <f t="shared" ca="1" si="3"/>
        <v>0</v>
      </c>
      <c r="EY11">
        <f t="shared" ca="1" si="3"/>
        <v>0</v>
      </c>
      <c r="EZ11">
        <f t="shared" ca="1" si="3"/>
        <v>0</v>
      </c>
      <c r="FA11">
        <f t="shared" ca="1" si="3"/>
        <v>0</v>
      </c>
      <c r="FB11">
        <f t="shared" ca="1" si="3"/>
        <v>0</v>
      </c>
      <c r="FC11">
        <f t="shared" ca="1" si="3"/>
        <v>0</v>
      </c>
      <c r="FD11">
        <f t="shared" ca="1" si="4"/>
        <v>0</v>
      </c>
      <c r="FE11">
        <f t="shared" ca="1" si="4"/>
        <v>0</v>
      </c>
      <c r="FF11">
        <f t="shared" ca="1" si="4"/>
        <v>0</v>
      </c>
      <c r="FG11">
        <f t="shared" ca="1" si="4"/>
        <v>0</v>
      </c>
      <c r="FH11">
        <f t="shared" ca="1" si="4"/>
        <v>0</v>
      </c>
      <c r="FI11">
        <f t="shared" ca="1" si="4"/>
        <v>0</v>
      </c>
      <c r="FJ11">
        <f t="shared" ca="1" si="4"/>
        <v>0</v>
      </c>
      <c r="FK11">
        <f t="shared" ca="1" si="4"/>
        <v>0</v>
      </c>
      <c r="FL11">
        <f t="shared" ca="1" si="4"/>
        <v>0</v>
      </c>
      <c r="FM11">
        <f t="shared" ca="1" si="4"/>
        <v>0</v>
      </c>
      <c r="FO11">
        <f t="shared" ca="1" si="5"/>
        <v>0</v>
      </c>
      <c r="FP11">
        <f t="shared" ca="1" si="5"/>
        <v>0</v>
      </c>
      <c r="FQ11">
        <f t="shared" ca="1" si="5"/>
        <v>0</v>
      </c>
      <c r="FR11">
        <f t="shared" ca="1" si="5"/>
        <v>0</v>
      </c>
      <c r="FS11">
        <f t="shared" ca="1" si="5"/>
        <v>0</v>
      </c>
      <c r="FT11">
        <f t="shared" ca="1" si="5"/>
        <v>0</v>
      </c>
      <c r="FU11">
        <f t="shared" ca="1" si="5"/>
        <v>0</v>
      </c>
      <c r="FV11">
        <f t="shared" ca="1" si="5"/>
        <v>0</v>
      </c>
      <c r="FW11">
        <f t="shared" ca="1" si="5"/>
        <v>0</v>
      </c>
      <c r="FX11">
        <f t="shared" ca="1" si="5"/>
        <v>0</v>
      </c>
      <c r="FY11">
        <f t="shared" ca="1" si="6"/>
        <v>0</v>
      </c>
      <c r="FZ11">
        <f t="shared" ca="1" si="6"/>
        <v>0</v>
      </c>
      <c r="GA11">
        <f t="shared" ca="1" si="6"/>
        <v>0</v>
      </c>
      <c r="GB11">
        <f t="shared" ca="1" si="6"/>
        <v>0</v>
      </c>
      <c r="GC11">
        <f t="shared" ca="1" si="6"/>
        <v>0</v>
      </c>
      <c r="GD11">
        <f t="shared" ca="1" si="6"/>
        <v>0</v>
      </c>
      <c r="GE11">
        <f t="shared" ca="1" si="6"/>
        <v>0</v>
      </c>
      <c r="GF11">
        <f t="shared" ca="1" si="6"/>
        <v>0</v>
      </c>
      <c r="GG11">
        <f t="shared" ca="1" si="6"/>
        <v>0</v>
      </c>
      <c r="GH11">
        <f t="shared" ca="1" si="6"/>
        <v>0</v>
      </c>
      <c r="GI11">
        <f t="shared" ca="1" si="7"/>
        <v>0</v>
      </c>
      <c r="GJ11">
        <f t="shared" ca="1" si="7"/>
        <v>0</v>
      </c>
      <c r="GK11">
        <f t="shared" ca="1" si="7"/>
        <v>0</v>
      </c>
      <c r="GL11">
        <f t="shared" ca="1" si="7"/>
        <v>0</v>
      </c>
      <c r="GM11">
        <f t="shared" ca="1" si="7"/>
        <v>0</v>
      </c>
      <c r="GN11">
        <f t="shared" ca="1" si="7"/>
        <v>0</v>
      </c>
      <c r="GO11">
        <f t="shared" ca="1" si="7"/>
        <v>0</v>
      </c>
      <c r="GP11">
        <f t="shared" ca="1" si="7"/>
        <v>0</v>
      </c>
      <c r="GQ11">
        <f t="shared" ca="1" si="7"/>
        <v>0</v>
      </c>
      <c r="GR11">
        <f t="shared" ca="1" si="7"/>
        <v>0</v>
      </c>
      <c r="GS11">
        <f t="shared" ca="1" si="8"/>
        <v>0</v>
      </c>
      <c r="GT11">
        <f t="shared" ca="1" si="8"/>
        <v>0</v>
      </c>
      <c r="GU11">
        <f t="shared" ca="1" si="8"/>
        <v>0</v>
      </c>
      <c r="GV11">
        <f t="shared" ca="1" si="8"/>
        <v>0</v>
      </c>
      <c r="GW11">
        <f t="shared" ca="1" si="8"/>
        <v>0</v>
      </c>
      <c r="GX11">
        <f t="shared" ca="1" si="8"/>
        <v>0</v>
      </c>
      <c r="GY11">
        <f t="shared" ca="1" si="8"/>
        <v>0</v>
      </c>
      <c r="GZ11">
        <f t="shared" ca="1" si="8"/>
        <v>0</v>
      </c>
      <c r="HA11">
        <f t="shared" ca="1" si="8"/>
        <v>0</v>
      </c>
      <c r="HB11">
        <f t="shared" ca="1" si="8"/>
        <v>0</v>
      </c>
      <c r="HC11">
        <f t="shared" ca="1" si="9"/>
        <v>0</v>
      </c>
      <c r="HD11">
        <f t="shared" ca="1" si="9"/>
        <v>0</v>
      </c>
      <c r="HE11">
        <f t="shared" ca="1" si="9"/>
        <v>0</v>
      </c>
      <c r="HF11">
        <f t="shared" ca="1" si="9"/>
        <v>0</v>
      </c>
      <c r="HG11">
        <f t="shared" ca="1" si="9"/>
        <v>0</v>
      </c>
      <c r="HH11">
        <f t="shared" ca="1" si="9"/>
        <v>0</v>
      </c>
      <c r="HI11">
        <f t="shared" ca="1" si="9"/>
        <v>0</v>
      </c>
      <c r="HJ11">
        <f t="shared" ca="1" si="9"/>
        <v>0</v>
      </c>
      <c r="HK11">
        <f t="shared" ca="1" si="9"/>
        <v>0</v>
      </c>
      <c r="HL11">
        <f t="shared" ca="1" si="9"/>
        <v>0</v>
      </c>
      <c r="HN11" t="str">
        <f t="shared" ca="1" si="10"/>
        <v>'E1</v>
      </c>
      <c r="HO11" t="str">
        <f t="shared" ca="1" si="10"/>
        <v>'E1</v>
      </c>
      <c r="HP11" t="str">
        <f t="shared" ca="1" si="10"/>
        <v>'E1</v>
      </c>
      <c r="HQ11" t="str">
        <f t="shared" ca="1" si="10"/>
        <v>'E1</v>
      </c>
      <c r="HR11" t="str">
        <f t="shared" ca="1" si="10"/>
        <v>'E1</v>
      </c>
      <c r="HS11" t="str">
        <f t="shared" ca="1" si="10"/>
        <v>'E1</v>
      </c>
      <c r="HT11" t="str">
        <f t="shared" ca="1" si="10"/>
        <v>'E1</v>
      </c>
      <c r="HU11" t="str">
        <f t="shared" ca="1" si="10"/>
        <v>'E1</v>
      </c>
      <c r="HV11" t="str">
        <f t="shared" ca="1" si="10"/>
        <v>'E1</v>
      </c>
      <c r="HW11" t="str">
        <f t="shared" ca="1" si="10"/>
        <v>'E1</v>
      </c>
      <c r="HX11" t="str">
        <f t="shared" ca="1" si="11"/>
        <v>'E1</v>
      </c>
      <c r="HY11" t="str">
        <f t="shared" ca="1" si="11"/>
        <v>'E1</v>
      </c>
      <c r="HZ11" t="str">
        <f t="shared" ca="1" si="11"/>
        <v>'E1</v>
      </c>
      <c r="IA11" t="str">
        <f t="shared" ca="1" si="11"/>
        <v>'E1</v>
      </c>
      <c r="IB11" t="str">
        <f t="shared" ca="1" si="11"/>
        <v>'E1</v>
      </c>
      <c r="IC11" t="str">
        <f t="shared" ca="1" si="11"/>
        <v>'E1</v>
      </c>
      <c r="ID11" t="str">
        <f t="shared" ca="1" si="11"/>
        <v>'E1</v>
      </c>
      <c r="IE11" t="str">
        <f t="shared" ca="1" si="11"/>
        <v>'E1</v>
      </c>
      <c r="IF11" t="str">
        <f t="shared" ca="1" si="11"/>
        <v>'E1</v>
      </c>
      <c r="IG11" t="str">
        <f t="shared" ca="1" si="11"/>
        <v>'E1</v>
      </c>
      <c r="IH11" t="str">
        <f t="shared" ca="1" si="12"/>
        <v>'E1</v>
      </c>
      <c r="II11" t="str">
        <f t="shared" ca="1" si="12"/>
        <v>'E1</v>
      </c>
      <c r="IJ11" t="str">
        <f t="shared" ca="1" si="12"/>
        <v>'E1</v>
      </c>
      <c r="IK11" t="str">
        <f t="shared" ca="1" si="12"/>
        <v>'E1</v>
      </c>
      <c r="IL11" t="str">
        <f t="shared" ca="1" si="12"/>
        <v>'E1</v>
      </c>
      <c r="IM11" t="str">
        <f t="shared" ca="1" si="12"/>
        <v>'E1</v>
      </c>
      <c r="IN11" t="str">
        <f t="shared" ca="1" si="12"/>
        <v>'E1</v>
      </c>
      <c r="IO11" t="str">
        <f t="shared" ca="1" si="12"/>
        <v>'E1</v>
      </c>
      <c r="IP11" t="str">
        <f t="shared" ca="1" si="12"/>
        <v>'E1</v>
      </c>
      <c r="IQ11" t="str">
        <f t="shared" ca="1" si="12"/>
        <v>'E1</v>
      </c>
      <c r="IR11" t="str">
        <f t="shared" ca="1" si="13"/>
        <v>'E1</v>
      </c>
      <c r="IS11" t="str">
        <f t="shared" ca="1" si="13"/>
        <v>'E1</v>
      </c>
      <c r="IT11" t="str">
        <f t="shared" ca="1" si="13"/>
        <v>'E1</v>
      </c>
      <c r="IU11" t="str">
        <f t="shared" ca="1" si="13"/>
        <v>'E1</v>
      </c>
      <c r="IV11" t="str">
        <f t="shared" ca="1" si="13"/>
        <v>'E1</v>
      </c>
      <c r="IW11" t="str">
        <f t="shared" ca="1" si="13"/>
        <v>'E1</v>
      </c>
      <c r="IX11" t="str">
        <f t="shared" ca="1" si="13"/>
        <v>'E1</v>
      </c>
      <c r="IY11" t="str">
        <f t="shared" ca="1" si="13"/>
        <v>'E1</v>
      </c>
      <c r="IZ11" t="str">
        <f t="shared" ca="1" si="13"/>
        <v>'E1</v>
      </c>
      <c r="JA11" t="str">
        <f t="shared" ca="1" si="13"/>
        <v>'E1</v>
      </c>
      <c r="JB11" t="str">
        <f t="shared" ca="1" si="14"/>
        <v>'E1</v>
      </c>
      <c r="JC11" t="str">
        <f t="shared" ca="1" si="14"/>
        <v>'E1</v>
      </c>
      <c r="JD11" t="str">
        <f t="shared" ca="1" si="14"/>
        <v>'E1</v>
      </c>
      <c r="JE11" t="str">
        <f t="shared" ca="1" si="14"/>
        <v>'E1</v>
      </c>
      <c r="JF11" t="str">
        <f t="shared" ca="1" si="14"/>
        <v>'E1</v>
      </c>
      <c r="JG11" t="str">
        <f t="shared" ca="1" si="14"/>
        <v>'E1</v>
      </c>
      <c r="JH11" t="str">
        <f t="shared" ca="1" si="14"/>
        <v>'E1</v>
      </c>
      <c r="JI11" t="str">
        <f t="shared" ca="1" si="14"/>
        <v>'E1</v>
      </c>
      <c r="JJ11" t="str">
        <f t="shared" ca="1" si="14"/>
        <v>'E1</v>
      </c>
      <c r="JK11" t="str">
        <f t="shared" ca="1" si="14"/>
        <v>'E1</v>
      </c>
      <c r="JM11">
        <f ca="1">IF(FO11="n/a",0,MATCH(FO11,uxbGlobals!$B$159:$B$166,1))</f>
        <v>1</v>
      </c>
      <c r="JN11">
        <f ca="1">IF(FP11="n/a",0,MATCH(FP11,uxbGlobals!$B$159:$B$166,1))</f>
        <v>1</v>
      </c>
      <c r="JO11">
        <f ca="1">IF(FQ11="n/a",0,MATCH(FQ11,uxbGlobals!$B$159:$B$166,1))</f>
        <v>1</v>
      </c>
      <c r="JP11">
        <f ca="1">IF(FR11="n/a",0,MATCH(FR11,uxbGlobals!$B$159:$B$166,1))</f>
        <v>1</v>
      </c>
      <c r="JQ11">
        <f ca="1">IF(FS11="n/a",0,MATCH(FS11,uxbGlobals!$B$159:$B$166,1))</f>
        <v>1</v>
      </c>
      <c r="JR11">
        <f ca="1">IF(FT11="n/a",0,MATCH(FT11,uxbGlobals!$B$159:$B$166,1))</f>
        <v>1</v>
      </c>
      <c r="JS11">
        <f ca="1">IF(FU11="n/a",0,MATCH(FU11,uxbGlobals!$B$159:$B$166,1))</f>
        <v>1</v>
      </c>
      <c r="JT11">
        <f ca="1">IF(FV11="n/a",0,MATCH(FV11,uxbGlobals!$B$159:$B$166,1))</f>
        <v>1</v>
      </c>
      <c r="JU11">
        <f ca="1">IF(FW11="n/a",0,MATCH(FW11,uxbGlobals!$B$159:$B$166,1))</f>
        <v>1</v>
      </c>
      <c r="JV11">
        <f ca="1">IF(FX11="n/a",0,MATCH(FX11,uxbGlobals!$B$159:$B$166,1))</f>
        <v>1</v>
      </c>
      <c r="JW11">
        <f ca="1">IF(FY11="n/a",0,MATCH(FY11,uxbGlobals!$B$159:$B$166,1))</f>
        <v>1</v>
      </c>
      <c r="JX11">
        <f ca="1">IF(FZ11="n/a",0,MATCH(FZ11,uxbGlobals!$B$159:$B$166,1))</f>
        <v>1</v>
      </c>
      <c r="JY11">
        <f ca="1">IF(GA11="n/a",0,MATCH(GA11,uxbGlobals!$B$159:$B$166,1))</f>
        <v>1</v>
      </c>
      <c r="JZ11">
        <f ca="1">IF(GB11="n/a",0,MATCH(GB11,uxbGlobals!$B$159:$B$166,1))</f>
        <v>1</v>
      </c>
      <c r="KA11">
        <f ca="1">IF(GC11="n/a",0,MATCH(GC11,uxbGlobals!$B$159:$B$166,1))</f>
        <v>1</v>
      </c>
      <c r="KB11">
        <f ca="1">IF(GD11="n/a",0,MATCH(GD11,uxbGlobals!$B$159:$B$166,1))</f>
        <v>1</v>
      </c>
      <c r="KC11">
        <f ca="1">IF(GE11="n/a",0,MATCH(GE11,uxbGlobals!$B$159:$B$166,1))</f>
        <v>1</v>
      </c>
      <c r="KD11">
        <f ca="1">IF(GF11="n/a",0,MATCH(GF11,uxbGlobals!$B$159:$B$166,1))</f>
        <v>1</v>
      </c>
      <c r="KE11">
        <f ca="1">IF(GG11="n/a",0,MATCH(GG11,uxbGlobals!$B$159:$B$166,1))</f>
        <v>1</v>
      </c>
      <c r="KF11">
        <f ca="1">IF(GH11="n/a",0,MATCH(GH11,uxbGlobals!$B$159:$B$166,1))</f>
        <v>1</v>
      </c>
      <c r="KG11">
        <f ca="1">IF(GI11="n/a",0,MATCH(GI11,uxbGlobals!$B$159:$B$166,1))</f>
        <v>1</v>
      </c>
      <c r="KH11">
        <f ca="1">IF(GJ11="n/a",0,MATCH(GJ11,uxbGlobals!$B$159:$B$166,1))</f>
        <v>1</v>
      </c>
      <c r="KI11">
        <f ca="1">IF(GK11="n/a",0,MATCH(GK11,uxbGlobals!$B$159:$B$166,1))</f>
        <v>1</v>
      </c>
      <c r="KJ11">
        <f ca="1">IF(GL11="n/a",0,MATCH(GL11,uxbGlobals!$B$159:$B$166,1))</f>
        <v>1</v>
      </c>
      <c r="KK11">
        <f ca="1">IF(GM11="n/a",0,MATCH(GM11,uxbGlobals!$B$159:$B$166,1))</f>
        <v>1</v>
      </c>
      <c r="KL11">
        <f ca="1">IF(GN11="n/a",0,MATCH(GN11,uxbGlobals!$B$159:$B$166,1))</f>
        <v>1</v>
      </c>
      <c r="KM11">
        <f ca="1">IF(GO11="n/a",0,MATCH(GO11,uxbGlobals!$B$159:$B$166,1))</f>
        <v>1</v>
      </c>
      <c r="KN11">
        <f ca="1">IF(GP11="n/a",0,MATCH(GP11,uxbGlobals!$B$159:$B$166,1))</f>
        <v>1</v>
      </c>
      <c r="KO11">
        <f ca="1">IF(GQ11="n/a",0,MATCH(GQ11,uxbGlobals!$B$159:$B$166,1))</f>
        <v>1</v>
      </c>
      <c r="KP11">
        <f ca="1">IF(GR11="n/a",0,MATCH(GR11,uxbGlobals!$B$159:$B$166,1))</f>
        <v>1</v>
      </c>
      <c r="KQ11">
        <f ca="1">IF(GS11="n/a",0,MATCH(GS11,uxbGlobals!$B$159:$B$166,1))</f>
        <v>1</v>
      </c>
      <c r="KR11">
        <f ca="1">IF(GT11="n/a",0,MATCH(GT11,uxbGlobals!$B$159:$B$166,1))</f>
        <v>1</v>
      </c>
      <c r="KS11">
        <f ca="1">IF(GU11="n/a",0,MATCH(GU11,uxbGlobals!$B$159:$B$166,1))</f>
        <v>1</v>
      </c>
      <c r="KT11">
        <f ca="1">IF(GV11="n/a",0,MATCH(GV11,uxbGlobals!$B$159:$B$166,1))</f>
        <v>1</v>
      </c>
      <c r="KU11">
        <f ca="1">IF(GW11="n/a",0,MATCH(GW11,uxbGlobals!$B$159:$B$166,1))</f>
        <v>1</v>
      </c>
      <c r="KV11">
        <f ca="1">IF(GX11="n/a",0,MATCH(GX11,uxbGlobals!$B$159:$B$166,1))</f>
        <v>1</v>
      </c>
      <c r="KW11">
        <f ca="1">IF(GY11="n/a",0,MATCH(GY11,uxbGlobals!$B$159:$B$166,1))</f>
        <v>1</v>
      </c>
      <c r="KX11">
        <f ca="1">IF(GZ11="n/a",0,MATCH(GZ11,uxbGlobals!$B$159:$B$166,1))</f>
        <v>1</v>
      </c>
      <c r="KY11">
        <f ca="1">IF(HA11="n/a",0,MATCH(HA11,uxbGlobals!$B$159:$B$166,1))</f>
        <v>1</v>
      </c>
      <c r="KZ11">
        <f ca="1">IF(HB11="n/a",0,MATCH(HB11,uxbGlobals!$B$159:$B$166,1))</f>
        <v>1</v>
      </c>
      <c r="LA11">
        <f ca="1">IF(HC11="n/a",0,MATCH(HC11,uxbGlobals!$B$159:$B$166,1))</f>
        <v>1</v>
      </c>
      <c r="LB11">
        <f ca="1">IF(HD11="n/a",0,MATCH(HD11,uxbGlobals!$B$159:$B$166,1))</f>
        <v>1</v>
      </c>
      <c r="LC11">
        <f ca="1">IF(HE11="n/a",0,MATCH(HE11,uxbGlobals!$B$159:$B$166,1))</f>
        <v>1</v>
      </c>
      <c r="LD11">
        <f ca="1">IF(HF11="n/a",0,MATCH(HF11,uxbGlobals!$B$159:$B$166,1))</f>
        <v>1</v>
      </c>
      <c r="LE11">
        <f ca="1">IF(HG11="n/a",0,MATCH(HG11,uxbGlobals!$B$159:$B$166,1))</f>
        <v>1</v>
      </c>
      <c r="LF11">
        <f ca="1">IF(HH11="n/a",0,MATCH(HH11,uxbGlobals!$B$159:$B$166,1))</f>
        <v>1</v>
      </c>
      <c r="LG11">
        <f ca="1">IF(HI11="n/a",0,MATCH(HI11,uxbGlobals!$B$159:$B$166,1))</f>
        <v>1</v>
      </c>
      <c r="LH11">
        <f ca="1">IF(HJ11="n/a",0,MATCH(HJ11,uxbGlobals!$B$159:$B$166,1))</f>
        <v>1</v>
      </c>
      <c r="LI11">
        <f ca="1">IF(HK11="n/a",0,MATCH(HK11,uxbGlobals!$B$159:$B$166,1))</f>
        <v>1</v>
      </c>
      <c r="LJ11">
        <f ca="1">IF(HL11="n/a",0,MATCH(HL11,uxbGlobals!$B$159:$B$166,1))</f>
        <v>1</v>
      </c>
      <c r="LL11" cm="1">
        <f t="array" aca="1" ref="LL11" ca="1">IFERROR(ROUND(MMULT(IFERROR(1*OFFSET($FO11,0,0,1,$C$5),0),OFFSET(tblCountries!$T$3,0,LL$8,$C$5,1))/MMULT(--ISNUMBER(OFFSET($FO11,0,0,1,$C$5)),OFFSET(tblCountries!$T$3,0,LL$8,$C$5,1)),$C$4),".")</f>
        <v>0</v>
      </c>
      <c r="LM11" cm="1">
        <f t="array" aca="1" ref="LM11" ca="1">IFERROR(ROUND(MMULT(IFERROR(1*OFFSET($FO11,0,0,1,$C$5),0),OFFSET(tblCountries!$T$3,0,LM$8,$C$5,1))/MMULT(--ISNUMBER(OFFSET($FO11,0,0,1,$C$5)),OFFSET(tblCountries!$T$3,0,LM$8,$C$5,1)),$C$4),".")</f>
        <v>0</v>
      </c>
      <c r="LN11" cm="1">
        <f t="array" aca="1" ref="LN11" ca="1">IFERROR(ROUND(MMULT(IFERROR(1*OFFSET($FO11,0,0,1,$C$5),0),OFFSET(tblCountries!$T$3,0,LN$8,$C$5,1))/MMULT(--ISNUMBER(OFFSET($FO11,0,0,1,$C$5)),OFFSET(tblCountries!$T$3,0,LN$8,$C$5,1)),$C$4),".")</f>
        <v>0</v>
      </c>
      <c r="LO11" cm="1">
        <f t="array" aca="1" ref="LO11" ca="1">IFERROR(ROUND(MMULT(IFERROR(1*OFFSET($FO11,0,0,1,$C$5),0),OFFSET(tblCountries!$T$3,0,LO$8,$C$5,1))/MMULT(--ISNUMBER(OFFSET($FO11,0,0,1,$C$5)),OFFSET(tblCountries!$T$3,0,LO$8,$C$5,1)),$C$4),".")</f>
        <v>0</v>
      </c>
      <c r="LP11" cm="1">
        <f t="array" aca="1" ref="LP11" ca="1">IFERROR(ROUND(MMULT(IFERROR(1*OFFSET($FO11,0,0,1,$C$5),0),OFFSET(tblCountries!$T$3,0,LP$8,$C$5,1))/MMULT(--ISNUMBER(OFFSET($FO11,0,0,1,$C$5)),OFFSET(tblCountries!$T$3,0,LP$8,$C$5,1)),$C$4),".")</f>
        <v>0</v>
      </c>
      <c r="LQ11" cm="1">
        <f t="array" aca="1" ref="LQ11" ca="1">IFERROR(ROUND(MMULT(IFERROR(1*OFFSET($FO11,0,0,1,$C$5),0),OFFSET(tblCountries!$T$3,0,LQ$8,$C$5,1))/MMULT(--ISNUMBER(OFFSET($FO11,0,0,1,$C$5)),OFFSET(tblCountries!$T$3,0,LQ$8,$C$5,1)),$C$4),".")</f>
        <v>0</v>
      </c>
      <c r="LR11" cm="1">
        <f t="array" aca="1" ref="LR11" ca="1">IFERROR(ROUND(MMULT(IFERROR(1*OFFSET($FO11,0,0,1,$C$5),0),OFFSET(tblCountries!$T$3,0,LR$8,$C$5,1))/MMULT(--ISNUMBER(OFFSET($FO11,0,0,1,$C$5)),OFFSET(tblCountries!$T$3,0,LR$8,$C$5,1)),$C$4),".")</f>
        <v>0</v>
      </c>
      <c r="LS11" cm="1">
        <f t="array" aca="1" ref="LS11" ca="1">IFERROR(ROUND(MMULT(IFERROR(1*OFFSET($FO11,0,0,1,$C$5),0),OFFSET(tblCountries!$T$3,0,LS$8,$C$5,1))/MMULT(--ISNUMBER(OFFSET($FO11,0,0,1,$C$5)),OFFSET(tblCountries!$T$3,0,LS$8,$C$5,1)),$C$4),".")</f>
        <v>0</v>
      </c>
      <c r="LT11" cm="1">
        <f t="array" aca="1" ref="LT11" ca="1">IFERROR(ROUND(MMULT(IFERROR(1*OFFSET($FO11,0,0,1,$C$5),0),OFFSET(tblCountries!$T$3,0,LT$8,$C$5,1))/MMULT(--ISNUMBER(OFFSET($FO11,0,0,1,$C$5)),OFFSET(tblCountries!$T$3,0,LT$8,$C$5,1)),$C$4),".")</f>
        <v>0</v>
      </c>
      <c r="LU11" cm="1">
        <f t="array" aca="1" ref="LU11" ca="1">IFERROR(ROUND(MMULT(IFERROR(1*OFFSET($FO11,0,0,1,$C$5),0),OFFSET(tblCountries!$T$3,0,LU$8,$C$5,1))/MMULT(--ISNUMBER(OFFSET($FO11,0,0,1,$C$5)),OFFSET(tblCountries!$T$3,0,LU$8,$C$5,1)),$C$4),".")</f>
        <v>0</v>
      </c>
      <c r="LW11">
        <f ca="1">IF(LL11="n/a",0,MATCH(LL11,uxbGlobals!$B$159:$B$166,1))</f>
        <v>1</v>
      </c>
      <c r="LX11">
        <f ca="1">IF(LM11="n/a",0,MATCH(LM11,uxbGlobals!$B$159:$B$166,1))</f>
        <v>1</v>
      </c>
      <c r="LY11">
        <f ca="1">IF(LN11="n/a",0,MATCH(LN11,uxbGlobals!$B$159:$B$166,1))</f>
        <v>1</v>
      </c>
      <c r="LZ11">
        <f ca="1">IF(LO11="n/a",0,MATCH(LO11,uxbGlobals!$B$159:$B$166,1))</f>
        <v>1</v>
      </c>
      <c r="MA11">
        <f ca="1">IF(LP11="n/a",0,MATCH(LP11,uxbGlobals!$B$159:$B$166,1))</f>
        <v>1</v>
      </c>
      <c r="MB11">
        <f ca="1">IF(LQ11="n/a",0,MATCH(LQ11,uxbGlobals!$B$159:$B$166,1))</f>
        <v>1</v>
      </c>
      <c r="MC11">
        <f ca="1">IF(LR11="n/a",0,MATCH(LR11,uxbGlobals!$B$159:$B$166,1))</f>
        <v>1</v>
      </c>
      <c r="MD11">
        <f ca="1">IF(LS11="n/a",0,MATCH(LS11,uxbGlobals!$B$159:$B$166,1))</f>
        <v>1</v>
      </c>
      <c r="ME11">
        <f ca="1">IF(LT11="n/a",0,MATCH(LT11,uxbGlobals!$B$159:$B$166,1))</f>
        <v>1</v>
      </c>
      <c r="MF11">
        <f ca="1">IF(LU11="n/a",0,MATCH(LU11,uxbGlobals!$B$159:$B$166,1))</f>
        <v>1</v>
      </c>
      <c r="MH11">
        <f ca="1">IFERROR(STDEV(OFFSET($FO11,0,0,1,$C$5)),"n/a")</f>
        <v>0</v>
      </c>
      <c r="MJ11" t="str">
        <f t="shared" ca="1" si="15"/>
        <v>n/a</v>
      </c>
      <c r="MK11" t="str">
        <f t="shared" ca="1" si="15"/>
        <v>n/a</v>
      </c>
      <c r="ML11" t="str">
        <f t="shared" ca="1" si="15"/>
        <v>n/a</v>
      </c>
      <c r="MM11" t="str">
        <f t="shared" ca="1" si="15"/>
        <v>n/a</v>
      </c>
      <c r="MN11" t="str">
        <f t="shared" ca="1" si="15"/>
        <v>n/a</v>
      </c>
      <c r="MO11" t="str">
        <f t="shared" ca="1" si="15"/>
        <v>n/a</v>
      </c>
      <c r="MP11" t="str">
        <f t="shared" ca="1" si="15"/>
        <v>n/a</v>
      </c>
      <c r="MQ11" t="str">
        <f t="shared" ca="1" si="15"/>
        <v>n/a</v>
      </c>
      <c r="MR11" t="str">
        <f t="shared" ca="1" si="15"/>
        <v>n/a</v>
      </c>
      <c r="MS11" t="str">
        <f t="shared" ca="1" si="15"/>
        <v>n/a</v>
      </c>
      <c r="MT11" t="str">
        <f t="shared" ca="1" si="16"/>
        <v>n/a</v>
      </c>
      <c r="MU11" t="str">
        <f t="shared" ca="1" si="16"/>
        <v>n/a</v>
      </c>
      <c r="MV11" t="str">
        <f t="shared" ca="1" si="16"/>
        <v>n/a</v>
      </c>
      <c r="MW11" t="str">
        <f t="shared" ca="1" si="16"/>
        <v>n/a</v>
      </c>
      <c r="MX11" t="str">
        <f t="shared" ca="1" si="16"/>
        <v>n/a</v>
      </c>
      <c r="MY11" t="str">
        <f t="shared" ca="1" si="16"/>
        <v>n/a</v>
      </c>
      <c r="MZ11" t="str">
        <f t="shared" ca="1" si="16"/>
        <v>n/a</v>
      </c>
      <c r="NA11" t="str">
        <f t="shared" ca="1" si="16"/>
        <v>n/a</v>
      </c>
      <c r="NB11" t="str">
        <f t="shared" ca="1" si="16"/>
        <v>n/a</v>
      </c>
      <c r="NC11" t="str">
        <f t="shared" ca="1" si="16"/>
        <v>n/a</v>
      </c>
      <c r="ND11" t="str">
        <f t="shared" ca="1" si="17"/>
        <v>n/a</v>
      </c>
      <c r="NE11" t="str">
        <f t="shared" ca="1" si="17"/>
        <v>n/a</v>
      </c>
      <c r="NF11" t="str">
        <f t="shared" ca="1" si="17"/>
        <v>n/a</v>
      </c>
      <c r="NG11" t="str">
        <f t="shared" ca="1" si="17"/>
        <v>n/a</v>
      </c>
      <c r="NH11" t="str">
        <f t="shared" ca="1" si="17"/>
        <v>n/a</v>
      </c>
      <c r="NI11" t="str">
        <f t="shared" ca="1" si="17"/>
        <v>n/a</v>
      </c>
      <c r="NJ11" t="str">
        <f t="shared" ca="1" si="17"/>
        <v>n/a</v>
      </c>
      <c r="NK11" t="str">
        <f t="shared" ca="1" si="17"/>
        <v>n/a</v>
      </c>
      <c r="NL11" t="str">
        <f t="shared" ca="1" si="17"/>
        <v>n/a</v>
      </c>
      <c r="NM11" t="str">
        <f t="shared" ca="1" si="17"/>
        <v>n/a</v>
      </c>
      <c r="NN11" t="str">
        <f t="shared" ca="1" si="18"/>
        <v>n/a</v>
      </c>
      <c r="NO11" t="str">
        <f t="shared" ca="1" si="18"/>
        <v>n/a</v>
      </c>
      <c r="NP11" t="str">
        <f t="shared" ca="1" si="18"/>
        <v>n/a</v>
      </c>
      <c r="NQ11" t="str">
        <f t="shared" ca="1" si="18"/>
        <v>n/a</v>
      </c>
      <c r="NR11" t="str">
        <f t="shared" ca="1" si="18"/>
        <v>n/a</v>
      </c>
      <c r="NS11" t="str">
        <f t="shared" ca="1" si="18"/>
        <v>n/a</v>
      </c>
      <c r="NT11" t="str">
        <f t="shared" ca="1" si="18"/>
        <v>n/a</v>
      </c>
      <c r="NU11" t="str">
        <f t="shared" ca="1" si="18"/>
        <v>n/a</v>
      </c>
      <c r="NV11" t="str">
        <f t="shared" ca="1" si="18"/>
        <v>n/a</v>
      </c>
      <c r="NW11" t="str">
        <f t="shared" ca="1" si="18"/>
        <v>n/a</v>
      </c>
      <c r="NX11" t="str">
        <f t="shared" ca="1" si="19"/>
        <v>n/a</v>
      </c>
      <c r="NY11" t="str">
        <f t="shared" ca="1" si="19"/>
        <v>n/a</v>
      </c>
      <c r="NZ11" t="str">
        <f t="shared" ca="1" si="19"/>
        <v>n/a</v>
      </c>
      <c r="OA11" t="str">
        <f t="shared" ca="1" si="19"/>
        <v>n/a</v>
      </c>
      <c r="OB11" t="str">
        <f t="shared" ca="1" si="19"/>
        <v>n/a</v>
      </c>
      <c r="OC11" t="str">
        <f t="shared" ca="1" si="19"/>
        <v>n/a</v>
      </c>
      <c r="OD11" t="str">
        <f t="shared" ca="1" si="19"/>
        <v>n/a</v>
      </c>
      <c r="OE11" t="str">
        <f t="shared" ca="1" si="19"/>
        <v>n/a</v>
      </c>
      <c r="OF11" t="str">
        <f t="shared" ca="1" si="19"/>
        <v>n/a</v>
      </c>
      <c r="OG11" t="str">
        <f t="shared" ca="1" si="19"/>
        <v>n/a</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12A70-7264-4103-96A6-EFB333EE3471}">
  <sheetPr codeName="Sheet29">
    <tabColor theme="9"/>
  </sheetPr>
  <dimension ref="A1:DH52"/>
  <sheetViews>
    <sheetView topLeftCell="A19" zoomScaleNormal="100" workbookViewId="0">
      <selection activeCell="P2" sqref="P2"/>
    </sheetView>
  </sheetViews>
  <sheetFormatPr defaultColWidth="9.15234375" defaultRowHeight="14.6" x14ac:dyDescent="0.4"/>
  <cols>
    <col min="1" max="1" width="4.15234375" customWidth="1"/>
    <col min="2" max="3" width="3.3828125" customWidth="1"/>
    <col min="4" max="4" width="5.84375" customWidth="1"/>
    <col min="5" max="5" width="3.3828125" customWidth="1"/>
    <col min="6" max="6" width="8.3828125" customWidth="1"/>
    <col min="7" max="7" width="14.69140625" bestFit="1" customWidth="1"/>
    <col min="8" max="8" width="12" customWidth="1"/>
    <col min="9" max="10" width="4.53515625" customWidth="1"/>
    <col min="11" max="11" width="12" customWidth="1"/>
    <col min="12" max="12" width="7" customWidth="1"/>
    <col min="13" max="13" width="5.15234375" customWidth="1"/>
    <col min="14" max="16" width="16.84375" customWidth="1"/>
    <col min="17" max="17" width="11.69140625" bestFit="1" customWidth="1"/>
    <col min="18" max="18" width="3.84375" customWidth="1"/>
    <col min="19" max="19" width="5.15234375" customWidth="1"/>
    <col min="20" max="21" width="3.3828125" customWidth="1"/>
    <col min="22" max="22" width="2.84375" customWidth="1"/>
    <col min="23" max="30" width="2.15234375" customWidth="1"/>
    <col min="31" max="31" width="2" customWidth="1"/>
    <col min="32" max="61" width="2.15234375" customWidth="1"/>
    <col min="62" max="62" width="15.3828125" customWidth="1"/>
    <col min="63" max="63" width="6.53515625" bestFit="1" customWidth="1"/>
    <col min="67" max="67" width="11" customWidth="1"/>
    <col min="68" max="69" width="6" customWidth="1"/>
    <col min="70" max="70" width="11.53515625" customWidth="1"/>
    <col min="71" max="71" width="18" customWidth="1"/>
    <col min="72" max="72" width="4.69140625" customWidth="1"/>
    <col min="73" max="73" width="5.3828125" customWidth="1"/>
    <col min="74" max="92" width="2" customWidth="1"/>
    <col min="93" max="93" width="2.15234375" customWidth="1"/>
    <col min="94" max="112" width="2" customWidth="1"/>
  </cols>
  <sheetData>
    <row r="1" spans="1:112" x14ac:dyDescent="0.4">
      <c r="A1" t="s">
        <v>344</v>
      </c>
      <c r="B1" t="s">
        <v>345</v>
      </c>
      <c r="C1" t="s">
        <v>346</v>
      </c>
      <c r="D1" t="s">
        <v>347</v>
      </c>
      <c r="E1" t="s">
        <v>14</v>
      </c>
      <c r="F1" t="s">
        <v>348</v>
      </c>
      <c r="G1" t="s">
        <v>349</v>
      </c>
      <c r="H1" t="s">
        <v>350</v>
      </c>
      <c r="I1" t="s">
        <v>351</v>
      </c>
      <c r="J1" t="s">
        <v>56</v>
      </c>
      <c r="K1" t="s">
        <v>352</v>
      </c>
      <c r="L1" t="s">
        <v>353</v>
      </c>
      <c r="M1" t="s">
        <v>354</v>
      </c>
      <c r="N1" t="s">
        <v>355</v>
      </c>
      <c r="O1" t="s">
        <v>942</v>
      </c>
      <c r="P1" t="s">
        <v>943</v>
      </c>
      <c r="Q1" t="s">
        <v>356</v>
      </c>
      <c r="R1" t="s">
        <v>357</v>
      </c>
      <c r="S1" t="s">
        <v>358</v>
      </c>
      <c r="T1" t="s">
        <v>249</v>
      </c>
      <c r="U1" t="s">
        <v>64</v>
      </c>
      <c r="V1" t="s">
        <v>6</v>
      </c>
      <c r="W1" t="s">
        <v>7</v>
      </c>
      <c r="X1" t="s">
        <v>8</v>
      </c>
      <c r="Y1" t="s">
        <v>9</v>
      </c>
      <c r="Z1" t="s">
        <v>10</v>
      </c>
      <c r="AA1" t="s">
        <v>11</v>
      </c>
      <c r="AB1" t="s">
        <v>12</v>
      </c>
      <c r="AC1" t="s">
        <v>13</v>
      </c>
      <c r="AD1" t="s">
        <v>359</v>
      </c>
      <c r="AE1" t="s">
        <v>360</v>
      </c>
      <c r="AF1" t="s">
        <v>361</v>
      </c>
      <c r="AG1" t="s">
        <v>362</v>
      </c>
      <c r="AH1" t="s">
        <v>363</v>
      </c>
      <c r="AI1" t="s">
        <v>364</v>
      </c>
      <c r="AJ1" t="s">
        <v>365</v>
      </c>
      <c r="AK1" t="s">
        <v>366</v>
      </c>
      <c r="AL1" t="s">
        <v>367</v>
      </c>
      <c r="AM1" t="s">
        <v>368</v>
      </c>
      <c r="AN1" t="s">
        <v>369</v>
      </c>
      <c r="AO1" t="s">
        <v>370</v>
      </c>
      <c r="AP1" t="s">
        <v>371</v>
      </c>
      <c r="AQ1" t="s">
        <v>372</v>
      </c>
      <c r="AR1" t="s">
        <v>373</v>
      </c>
      <c r="AS1" t="s">
        <v>374</v>
      </c>
      <c r="AT1" t="s">
        <v>375</v>
      </c>
      <c r="AU1" t="s">
        <v>376</v>
      </c>
      <c r="AV1" t="s">
        <v>377</v>
      </c>
      <c r="AW1" t="s">
        <v>378</v>
      </c>
      <c r="AX1" t="s">
        <v>379</v>
      </c>
      <c r="AY1" t="s">
        <v>380</v>
      </c>
      <c r="AZ1" t="s">
        <v>381</v>
      </c>
      <c r="BA1" t="s">
        <v>382</v>
      </c>
      <c r="BB1" t="s">
        <v>383</v>
      </c>
      <c r="BC1" t="s">
        <v>384</v>
      </c>
      <c r="BD1" t="s">
        <v>385</v>
      </c>
      <c r="BE1" t="s">
        <v>386</v>
      </c>
      <c r="BF1" t="s">
        <v>387</v>
      </c>
      <c r="BG1" t="s">
        <v>388</v>
      </c>
      <c r="BH1" t="s">
        <v>389</v>
      </c>
      <c r="BI1" t="s">
        <v>390</v>
      </c>
      <c r="BK1" t="s">
        <v>391</v>
      </c>
      <c r="BL1" t="s">
        <v>392</v>
      </c>
      <c r="BM1" t="s">
        <v>393</v>
      </c>
      <c r="BN1" t="s">
        <v>394</v>
      </c>
      <c r="BO1" t="s">
        <v>395</v>
      </c>
      <c r="BP1" t="s">
        <v>396</v>
      </c>
      <c r="BQ1" t="s">
        <v>397</v>
      </c>
      <c r="BR1" t="s">
        <v>398</v>
      </c>
      <c r="BS1" t="s">
        <v>399</v>
      </c>
      <c r="BT1" t="s">
        <v>400</v>
      </c>
      <c r="BU1" t="s">
        <v>401</v>
      </c>
      <c r="BV1" t="s">
        <v>402</v>
      </c>
      <c r="BW1" t="s">
        <v>403</v>
      </c>
      <c r="BX1" t="s">
        <v>404</v>
      </c>
      <c r="BY1" t="s">
        <v>405</v>
      </c>
      <c r="BZ1" t="s">
        <v>406</v>
      </c>
      <c r="CA1" t="s">
        <v>407</v>
      </c>
      <c r="CB1" t="s">
        <v>408</v>
      </c>
      <c r="CC1" t="s">
        <v>409</v>
      </c>
      <c r="CD1" t="s">
        <v>410</v>
      </c>
      <c r="CE1" t="s">
        <v>411</v>
      </c>
      <c r="CF1" t="s">
        <v>412</v>
      </c>
      <c r="CG1" t="s">
        <v>413</v>
      </c>
      <c r="CH1" t="s">
        <v>414</v>
      </c>
      <c r="CI1" t="s">
        <v>415</v>
      </c>
      <c r="CJ1" t="s">
        <v>416</v>
      </c>
      <c r="CK1" t="s">
        <v>417</v>
      </c>
      <c r="CL1" t="s">
        <v>418</v>
      </c>
      <c r="CM1" t="s">
        <v>419</v>
      </c>
      <c r="CN1" t="s">
        <v>420</v>
      </c>
      <c r="CO1" t="s">
        <v>421</v>
      </c>
      <c r="CP1" t="s">
        <v>422</v>
      </c>
      <c r="CQ1" t="s">
        <v>423</v>
      </c>
      <c r="CR1" t="s">
        <v>424</v>
      </c>
      <c r="CS1" t="s">
        <v>425</v>
      </c>
      <c r="CT1" t="s">
        <v>426</v>
      </c>
      <c r="CU1" t="s">
        <v>427</v>
      </c>
      <c r="CV1" t="s">
        <v>428</v>
      </c>
      <c r="CW1" t="s">
        <v>429</v>
      </c>
      <c r="CX1" t="s">
        <v>430</v>
      </c>
      <c r="CY1" t="s">
        <v>431</v>
      </c>
      <c r="CZ1" t="s">
        <v>432</v>
      </c>
      <c r="DA1" t="s">
        <v>433</v>
      </c>
      <c r="DB1" t="s">
        <v>434</v>
      </c>
      <c r="DC1" t="s">
        <v>435</v>
      </c>
      <c r="DD1" t="s">
        <v>436</v>
      </c>
      <c r="DE1" t="s">
        <v>437</v>
      </c>
      <c r="DF1" t="s">
        <v>438</v>
      </c>
      <c r="DG1" t="s">
        <v>439</v>
      </c>
      <c r="DH1" t="s">
        <v>440</v>
      </c>
    </row>
    <row r="2" spans="1:112" x14ac:dyDescent="0.4">
      <c r="A2">
        <v>0</v>
      </c>
      <c r="B2">
        <f>uxbGlobals!$B$276</f>
        <v>1</v>
      </c>
      <c r="C2">
        <f>uxbGlobals!$B$275</f>
        <v>1</v>
      </c>
      <c r="D2">
        <f>uxbGlobals!$B$387</f>
        <v>0</v>
      </c>
      <c r="F2" t="s">
        <v>441</v>
      </c>
      <c r="G2" t="s">
        <v>249</v>
      </c>
      <c r="H2" t="s">
        <v>249</v>
      </c>
      <c r="K2" t="s">
        <v>442</v>
      </c>
      <c r="N2" t="str">
        <f>H2</f>
        <v>&lt;none&gt;</v>
      </c>
      <c r="O2">
        <f>uxbGlobals!$B$278</f>
        <v>1</v>
      </c>
      <c r="Q2">
        <f>uxbGlobals!$B$393</f>
        <v>0</v>
      </c>
      <c r="BJ2" t="s">
        <v>5687</v>
      </c>
      <c r="BK2">
        <v>1</v>
      </c>
      <c r="BL2" t="s">
        <v>20</v>
      </c>
      <c r="BM2" t="str">
        <f>uxbGlobals!$B$129</f>
        <v>All cities</v>
      </c>
      <c r="BO2" t="str">
        <f>uxbGlobals!$B$128</f>
        <v>&lt;none&gt;</v>
      </c>
      <c r="BP2" t="s">
        <v>443</v>
      </c>
      <c r="BQ2" t="s">
        <v>7628</v>
      </c>
      <c r="BR2" t="s">
        <v>2827</v>
      </c>
      <c r="BS2" t="str">
        <f>uxbGlobals!$B$128</f>
        <v>&lt;none&gt;</v>
      </c>
    </row>
    <row r="3" spans="1:112" x14ac:dyDescent="0.4">
      <c r="A3">
        <v>1</v>
      </c>
      <c r="B3" cm="1">
        <f t="array" ref="B3">IF(A3=0,0,INDEX($U3:$BI3,$B$2))</f>
        <v>1</v>
      </c>
      <c r="C3" cm="1">
        <f t="array" ref="C3">IF(A3=0,0,IF(C$2=1,0,IF(B3=0,0,2*INDEX($U3:$BI3,C$2))))</f>
        <v>0</v>
      </c>
      <c r="D3">
        <f>IF(B3=0,0,IF($A3=D$2,3,0))</f>
        <v>0</v>
      </c>
      <c r="E3">
        <f>MAX(B3:D3)</f>
        <v>1</v>
      </c>
      <c r="F3" t="s">
        <v>2729</v>
      </c>
      <c r="G3" t="s">
        <v>2730</v>
      </c>
      <c r="H3" t="s">
        <v>2731</v>
      </c>
      <c r="I3">
        <v>2</v>
      </c>
      <c r="K3" t="s">
        <v>7229</v>
      </c>
      <c r="L3">
        <f t="shared" ref="L3:L52" si="0">IF($F3="",0,IF($C$2=1,1,IF(INDEX($U3:$BI3,$C$2)=1,2,1)))</f>
        <v>1</v>
      </c>
      <c r="M3" cm="1">
        <f t="array" ref="M3">INDEX($BT3:$DH3,$B$2)</f>
        <v>1</v>
      </c>
      <c r="N3" t="str" cm="1">
        <f t="array" ref="N3">IF(M3=0,"",INDEX(auto_ddCountry,M3))</f>
        <v>Addis Ababa</v>
      </c>
      <c r="O3" cm="1">
        <f t="array" ref="O3">INDEX($BT3:$DH3,$O$2)</f>
        <v>1</v>
      </c>
      <c r="P3" t="str" cm="1">
        <f t="array" ref="P3">IF(O3=0,"",INDEX(auto_ddCountry,O3))</f>
        <v>Addis Ababa</v>
      </c>
      <c r="Q3" cm="1">
        <f t="array" ref="Q3">IF($A3=Q$2,3,IF($C$2=1,1,IF(INDEX($U3:$BI3,$C$2)=1,2,1)))</f>
        <v>1</v>
      </c>
      <c r="T3">
        <v>0</v>
      </c>
      <c r="U3">
        <v>1</v>
      </c>
      <c r="V3">
        <v>1</v>
      </c>
      <c r="W3">
        <v>0</v>
      </c>
      <c r="X3">
        <v>0</v>
      </c>
      <c r="Y3">
        <v>0</v>
      </c>
      <c r="Z3">
        <v>0</v>
      </c>
      <c r="AA3">
        <v>0</v>
      </c>
      <c r="AB3">
        <v>1</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c r="BI3">
        <v>0</v>
      </c>
      <c r="BJ3" t="str">
        <f>G3</f>
        <v>Addis Ababa</v>
      </c>
      <c r="BK3">
        <v>2</v>
      </c>
      <c r="BL3" t="s">
        <v>251</v>
      </c>
      <c r="BM3" t="s">
        <v>95</v>
      </c>
      <c r="BN3" t="s">
        <v>2822</v>
      </c>
      <c r="BO3" t="s">
        <v>95</v>
      </c>
      <c r="BP3" t="s">
        <v>1709</v>
      </c>
      <c r="BQ3" t="s">
        <v>5743</v>
      </c>
      <c r="BR3" t="s">
        <v>5744</v>
      </c>
      <c r="BS3" t="str">
        <f>uxbGlobals!$B$129</f>
        <v>All cities</v>
      </c>
      <c r="BT3">
        <v>1</v>
      </c>
      <c r="BU3">
        <v>1</v>
      </c>
      <c r="BV3">
        <v>3</v>
      </c>
      <c r="BW3">
        <v>10</v>
      </c>
      <c r="BX3">
        <v>7</v>
      </c>
      <c r="BY3">
        <v>5</v>
      </c>
      <c r="BZ3">
        <v>4</v>
      </c>
      <c r="CA3">
        <v>1</v>
      </c>
      <c r="CB3">
        <v>5</v>
      </c>
      <c r="CC3">
        <v>3</v>
      </c>
      <c r="CD3">
        <v>0</v>
      </c>
      <c r="CE3">
        <v>0</v>
      </c>
      <c r="CF3">
        <v>0</v>
      </c>
      <c r="CG3">
        <v>0</v>
      </c>
      <c r="CH3">
        <v>0</v>
      </c>
      <c r="CI3">
        <v>0</v>
      </c>
      <c r="CJ3">
        <v>0</v>
      </c>
      <c r="CK3">
        <v>0</v>
      </c>
      <c r="CL3">
        <v>0</v>
      </c>
      <c r="CM3">
        <v>0</v>
      </c>
      <c r="CN3">
        <v>0</v>
      </c>
      <c r="CO3">
        <v>0</v>
      </c>
      <c r="CP3">
        <v>0</v>
      </c>
      <c r="CQ3">
        <v>0</v>
      </c>
      <c r="CR3">
        <v>0</v>
      </c>
      <c r="CS3">
        <v>0</v>
      </c>
      <c r="CT3">
        <v>0</v>
      </c>
      <c r="CU3">
        <v>0</v>
      </c>
      <c r="CV3">
        <v>0</v>
      </c>
      <c r="CW3">
        <v>0</v>
      </c>
      <c r="CX3">
        <v>0</v>
      </c>
      <c r="CY3">
        <v>0</v>
      </c>
      <c r="CZ3">
        <v>0</v>
      </c>
      <c r="DA3">
        <v>0</v>
      </c>
      <c r="DB3">
        <v>0</v>
      </c>
      <c r="DC3">
        <v>0</v>
      </c>
      <c r="DD3">
        <v>0</v>
      </c>
      <c r="DE3">
        <v>0</v>
      </c>
      <c r="DF3">
        <v>0</v>
      </c>
      <c r="DG3">
        <v>0</v>
      </c>
      <c r="DH3">
        <v>1</v>
      </c>
    </row>
    <row r="4" spans="1:112" x14ac:dyDescent="0.4">
      <c r="A4">
        <v>2</v>
      </c>
      <c r="B4" cm="1">
        <f t="array" ref="B4">IF(A4=0,0,INDEX($U4:$BI4,$B$2))</f>
        <v>1</v>
      </c>
      <c r="C4" cm="1">
        <f t="array" ref="C4">IF(A4=0,0,IF(C$2=1,0,IF(B4=0,0,2*INDEX($U4:$BI4,C$2))))</f>
        <v>0</v>
      </c>
      <c r="D4">
        <f t="shared" ref="D4:D52" si="1">IF(B4=0,0,IF($A4=D$2,3,0))</f>
        <v>0</v>
      </c>
      <c r="E4">
        <f t="shared" ref="E4:E52" si="2">MAX(B4:D4)</f>
        <v>1</v>
      </c>
      <c r="F4" t="s">
        <v>2723</v>
      </c>
      <c r="G4" t="s">
        <v>2724</v>
      </c>
      <c r="H4" t="s">
        <v>2725</v>
      </c>
      <c r="I4">
        <v>2</v>
      </c>
      <c r="K4" t="s">
        <v>7229</v>
      </c>
      <c r="L4">
        <f t="shared" si="0"/>
        <v>1</v>
      </c>
      <c r="M4" cm="1">
        <f t="array" ref="M4">INDEX($BT4:$DH4,$B$2)</f>
        <v>2</v>
      </c>
      <c r="N4" t="str" cm="1">
        <f t="array" ref="N4">IF(M4=0,"",INDEX(auto_ddCountry,M4))</f>
        <v>Algiers</v>
      </c>
      <c r="O4" cm="1">
        <f t="array" ref="O4">INDEX($BT4:$DH4,$O$2)</f>
        <v>2</v>
      </c>
      <c r="P4" t="str" cm="1">
        <f t="array" ref="P4">IF(O4=0,"",INDEX(auto_ddCountry,O4))</f>
        <v>Algiers</v>
      </c>
      <c r="Q4" cm="1">
        <f t="array" ref="Q4">IF($A4=Q$2,3,IF($C$2=1,1,IF(INDEX($U4:$BI4,$C$2)=1,2,1)))</f>
        <v>1</v>
      </c>
      <c r="T4">
        <v>0</v>
      </c>
      <c r="U4">
        <v>1</v>
      </c>
      <c r="V4">
        <v>1</v>
      </c>
      <c r="W4">
        <v>0</v>
      </c>
      <c r="X4">
        <v>0</v>
      </c>
      <c r="Y4">
        <v>0</v>
      </c>
      <c r="Z4">
        <v>0</v>
      </c>
      <c r="AA4">
        <v>0</v>
      </c>
      <c r="AB4">
        <v>1</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c r="BF4">
        <v>0</v>
      </c>
      <c r="BG4">
        <v>0</v>
      </c>
      <c r="BH4">
        <v>0</v>
      </c>
      <c r="BI4">
        <v>0</v>
      </c>
      <c r="BJ4" t="str">
        <f t="shared" ref="BJ4:BJ52" si="3">G4</f>
        <v>Algiers</v>
      </c>
      <c r="BK4">
        <v>3</v>
      </c>
      <c r="BL4" t="s">
        <v>1578</v>
      </c>
      <c r="BM4" t="s">
        <v>1753</v>
      </c>
      <c r="BN4" t="s">
        <v>2823</v>
      </c>
      <c r="BO4" t="s">
        <v>1753</v>
      </c>
      <c r="BP4" t="s">
        <v>1709</v>
      </c>
      <c r="BQ4" t="s">
        <v>7629</v>
      </c>
      <c r="BR4" t="s">
        <v>5745</v>
      </c>
      <c r="BS4" t="s">
        <v>95</v>
      </c>
      <c r="BT4">
        <v>2</v>
      </c>
      <c r="BU4">
        <v>2</v>
      </c>
      <c r="BV4">
        <v>8</v>
      </c>
      <c r="BW4">
        <v>14</v>
      </c>
      <c r="BX4">
        <v>9</v>
      </c>
      <c r="BY4">
        <v>11</v>
      </c>
      <c r="BZ4">
        <v>6</v>
      </c>
      <c r="CA4">
        <v>2</v>
      </c>
      <c r="CB4">
        <v>6</v>
      </c>
      <c r="CC4">
        <v>4</v>
      </c>
      <c r="CD4">
        <v>0</v>
      </c>
      <c r="CE4">
        <v>0</v>
      </c>
      <c r="CF4">
        <v>0</v>
      </c>
      <c r="CG4">
        <v>0</v>
      </c>
      <c r="CH4">
        <v>0</v>
      </c>
      <c r="CI4">
        <v>0</v>
      </c>
      <c r="CJ4">
        <v>0</v>
      </c>
      <c r="CK4">
        <v>0</v>
      </c>
      <c r="CL4">
        <v>0</v>
      </c>
      <c r="CM4">
        <v>0</v>
      </c>
      <c r="CN4">
        <v>0</v>
      </c>
      <c r="CO4">
        <v>0</v>
      </c>
      <c r="CP4">
        <v>0</v>
      </c>
      <c r="CQ4">
        <v>0</v>
      </c>
      <c r="CR4">
        <v>0</v>
      </c>
      <c r="CS4">
        <v>0</v>
      </c>
      <c r="CT4">
        <v>0</v>
      </c>
      <c r="CU4">
        <v>0</v>
      </c>
      <c r="CV4">
        <v>0</v>
      </c>
      <c r="CW4">
        <v>0</v>
      </c>
      <c r="CX4">
        <v>0</v>
      </c>
      <c r="CY4">
        <v>0</v>
      </c>
      <c r="CZ4">
        <v>0</v>
      </c>
      <c r="DA4">
        <v>0</v>
      </c>
      <c r="DB4">
        <v>0</v>
      </c>
      <c r="DC4">
        <v>0</v>
      </c>
      <c r="DD4">
        <v>0</v>
      </c>
      <c r="DE4">
        <v>0</v>
      </c>
      <c r="DF4">
        <v>0</v>
      </c>
      <c r="DG4">
        <v>0</v>
      </c>
      <c r="DH4">
        <v>2</v>
      </c>
    </row>
    <row r="5" spans="1:112" x14ac:dyDescent="0.4">
      <c r="A5">
        <v>3</v>
      </c>
      <c r="B5" cm="1">
        <f t="array" ref="B5">IF(A5=0,0,INDEX($U5:$BI5,$B$2))</f>
        <v>1</v>
      </c>
      <c r="C5" cm="1">
        <f t="array" ref="C5">IF(A5=0,0,IF(C$2=1,0,IF(B5=0,0,2*INDEX($U5:$BI5,C$2))))</f>
        <v>0</v>
      </c>
      <c r="D5">
        <f t="shared" si="1"/>
        <v>0</v>
      </c>
      <c r="E5">
        <f t="shared" si="2"/>
        <v>1</v>
      </c>
      <c r="F5" t="s">
        <v>2739</v>
      </c>
      <c r="G5" t="s">
        <v>2740</v>
      </c>
      <c r="H5" t="s">
        <v>2741</v>
      </c>
      <c r="I5">
        <v>2</v>
      </c>
      <c r="K5" t="s">
        <v>7244</v>
      </c>
      <c r="L5">
        <f t="shared" si="0"/>
        <v>1</v>
      </c>
      <c r="M5" cm="1">
        <f t="array" ref="M5">INDEX($BT5:$DH5,$B$2)</f>
        <v>3</v>
      </c>
      <c r="N5" t="str" cm="1">
        <f t="array" ref="N5">IF(M5=0,"",INDEX(auto_ddCountry,M5))</f>
        <v>Atlanta</v>
      </c>
      <c r="O5" cm="1">
        <f t="array" ref="O5">INDEX($BT5:$DH5,$O$2)</f>
        <v>3</v>
      </c>
      <c r="P5" t="str" cm="1">
        <f t="array" ref="P5">IF(O5=0,"",INDEX(auto_ddCountry,O5))</f>
        <v>Atlanta</v>
      </c>
      <c r="Q5" cm="1">
        <f t="array" ref="Q5">IF($A5=Q$2,3,IF($C$2=1,1,IF(INDEX($U5:$BI5,$C$2)=1,2,1)))</f>
        <v>1</v>
      </c>
      <c r="T5">
        <v>0</v>
      </c>
      <c r="U5">
        <v>1</v>
      </c>
      <c r="V5">
        <v>0</v>
      </c>
      <c r="W5">
        <v>1</v>
      </c>
      <c r="X5">
        <v>0</v>
      </c>
      <c r="Y5">
        <v>0</v>
      </c>
      <c r="Z5">
        <v>0</v>
      </c>
      <c r="AA5">
        <v>0</v>
      </c>
      <c r="AB5">
        <v>0</v>
      </c>
      <c r="AC5">
        <v>0</v>
      </c>
      <c r="AD5">
        <v>1</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t="str">
        <f t="shared" si="3"/>
        <v>Atlanta</v>
      </c>
      <c r="BK5">
        <v>4</v>
      </c>
      <c r="BL5" t="s">
        <v>1667</v>
      </c>
      <c r="BM5" t="s">
        <v>2715</v>
      </c>
      <c r="BN5" t="s">
        <v>2824</v>
      </c>
      <c r="BO5" t="s">
        <v>2715</v>
      </c>
      <c r="BP5" t="s">
        <v>1709</v>
      </c>
      <c r="BQ5" t="s">
        <v>5746</v>
      </c>
      <c r="BR5" t="s">
        <v>5747</v>
      </c>
      <c r="BS5" t="s">
        <v>1753</v>
      </c>
      <c r="BT5">
        <v>3</v>
      </c>
      <c r="BU5">
        <v>20</v>
      </c>
      <c r="BV5">
        <v>30</v>
      </c>
      <c r="BW5">
        <v>24</v>
      </c>
      <c r="BX5">
        <v>15</v>
      </c>
      <c r="BY5">
        <v>12</v>
      </c>
      <c r="BZ5">
        <v>16</v>
      </c>
      <c r="CA5">
        <v>10</v>
      </c>
      <c r="CB5">
        <v>8</v>
      </c>
      <c r="CC5">
        <v>7</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3</v>
      </c>
    </row>
    <row r="6" spans="1:112" x14ac:dyDescent="0.4">
      <c r="A6">
        <v>4</v>
      </c>
      <c r="B6" cm="1">
        <f t="array" ref="B6">IF(A6=0,0,INDEX($U6:$BI6,$B$2))</f>
        <v>1</v>
      </c>
      <c r="C6" cm="1">
        <f t="array" ref="C6">IF(A6=0,0,IF(C$2=1,0,IF(B6=0,0,2*INDEX($U6:$BI6,C$2))))</f>
        <v>0</v>
      </c>
      <c r="D6">
        <f t="shared" si="1"/>
        <v>0</v>
      </c>
      <c r="E6">
        <f t="shared" si="2"/>
        <v>1</v>
      </c>
      <c r="F6" t="s">
        <v>2813</v>
      </c>
      <c r="G6" t="s">
        <v>2814</v>
      </c>
      <c r="H6" t="s">
        <v>2815</v>
      </c>
      <c r="I6">
        <v>2</v>
      </c>
      <c r="K6" t="s">
        <v>7245</v>
      </c>
      <c r="L6">
        <f t="shared" si="0"/>
        <v>1</v>
      </c>
      <c r="M6" cm="1">
        <f t="array" ref="M6">INDEX($BT6:$DH6,$B$2)</f>
        <v>4</v>
      </c>
      <c r="N6" t="str" cm="1">
        <f t="array" ref="N6">IF(M6=0,"",INDEX(auto_ddCountry,M6))</f>
        <v>Auckland</v>
      </c>
      <c r="O6" cm="1">
        <f t="array" ref="O6">INDEX($BT6:$DH6,$O$2)</f>
        <v>4</v>
      </c>
      <c r="P6" t="str" cm="1">
        <f t="array" ref="P6">IF(O6=0,"",INDEX(auto_ddCountry,O6))</f>
        <v>Auckland</v>
      </c>
      <c r="Q6" cm="1">
        <f t="array" ref="Q6">IF($A6=Q$2,3,IF($C$2=1,1,IF(INDEX($U6:$BI6,$C$2)=1,2,1)))</f>
        <v>1</v>
      </c>
      <c r="T6">
        <v>0</v>
      </c>
      <c r="U6">
        <v>1</v>
      </c>
      <c r="V6">
        <v>0</v>
      </c>
      <c r="W6">
        <v>0</v>
      </c>
      <c r="X6">
        <v>0</v>
      </c>
      <c r="Y6">
        <v>0</v>
      </c>
      <c r="Z6">
        <v>0</v>
      </c>
      <c r="AA6">
        <v>1</v>
      </c>
      <c r="AB6">
        <v>0</v>
      </c>
      <c r="AC6">
        <v>0</v>
      </c>
      <c r="AD6">
        <v>1</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t="str">
        <f t="shared" si="3"/>
        <v>Auckland</v>
      </c>
      <c r="BK6">
        <v>5</v>
      </c>
      <c r="BL6" t="s">
        <v>1668</v>
      </c>
      <c r="BM6" t="s">
        <v>96</v>
      </c>
      <c r="BN6" t="s">
        <v>2825</v>
      </c>
      <c r="BO6" t="s">
        <v>96</v>
      </c>
      <c r="BP6" t="s">
        <v>1709</v>
      </c>
      <c r="BQ6" t="s">
        <v>5748</v>
      </c>
      <c r="BR6" t="s">
        <v>5749</v>
      </c>
      <c r="BS6" t="s">
        <v>2715</v>
      </c>
      <c r="BT6">
        <v>4</v>
      </c>
      <c r="BU6">
        <v>25</v>
      </c>
      <c r="BV6">
        <v>34</v>
      </c>
      <c r="BW6">
        <v>38</v>
      </c>
      <c r="BX6">
        <v>18</v>
      </c>
      <c r="BY6">
        <v>13</v>
      </c>
      <c r="BZ6">
        <v>17</v>
      </c>
      <c r="CA6">
        <v>11</v>
      </c>
      <c r="CB6">
        <v>18</v>
      </c>
      <c r="CC6">
        <v>9</v>
      </c>
      <c r="CD6">
        <v>0</v>
      </c>
      <c r="CE6">
        <v>0</v>
      </c>
      <c r="CF6">
        <v>0</v>
      </c>
      <c r="CG6">
        <v>0</v>
      </c>
      <c r="CH6">
        <v>0</v>
      </c>
      <c r="CI6">
        <v>0</v>
      </c>
      <c r="CJ6">
        <v>0</v>
      </c>
      <c r="CK6">
        <v>0</v>
      </c>
      <c r="CL6">
        <v>0</v>
      </c>
      <c r="CM6">
        <v>0</v>
      </c>
      <c r="CN6">
        <v>0</v>
      </c>
      <c r="CO6">
        <v>0</v>
      </c>
      <c r="CP6">
        <v>0</v>
      </c>
      <c r="CQ6">
        <v>0</v>
      </c>
      <c r="CR6">
        <v>0</v>
      </c>
      <c r="CS6">
        <v>0</v>
      </c>
      <c r="CT6">
        <v>0</v>
      </c>
      <c r="CU6">
        <v>0</v>
      </c>
      <c r="CV6">
        <v>0</v>
      </c>
      <c r="CW6">
        <v>0</v>
      </c>
      <c r="CX6">
        <v>0</v>
      </c>
      <c r="CY6">
        <v>0</v>
      </c>
      <c r="CZ6">
        <v>0</v>
      </c>
      <c r="DA6">
        <v>0</v>
      </c>
      <c r="DB6">
        <v>0</v>
      </c>
      <c r="DC6">
        <v>0</v>
      </c>
      <c r="DD6">
        <v>0</v>
      </c>
      <c r="DE6">
        <v>0</v>
      </c>
      <c r="DF6">
        <v>0</v>
      </c>
      <c r="DG6">
        <v>0</v>
      </c>
      <c r="DH6">
        <v>4</v>
      </c>
    </row>
    <row r="7" spans="1:112" x14ac:dyDescent="0.4">
      <c r="A7">
        <v>5</v>
      </c>
      <c r="B7" cm="1">
        <f t="array" ref="B7">IF(A7=0,0,INDEX($U7:$BI7,$B$2))</f>
        <v>1</v>
      </c>
      <c r="C7" cm="1">
        <f t="array" ref="C7">IF(A7=0,0,IF(C$2=1,0,IF(B7=0,0,2*INDEX($U7:$BI7,C$2))))</f>
        <v>0</v>
      </c>
      <c r="D7">
        <f t="shared" si="1"/>
        <v>0</v>
      </c>
      <c r="E7">
        <f t="shared" si="2"/>
        <v>1</v>
      </c>
      <c r="F7" t="s">
        <v>1733</v>
      </c>
      <c r="G7" t="s">
        <v>1734</v>
      </c>
      <c r="H7" t="s">
        <v>1735</v>
      </c>
      <c r="I7">
        <v>2</v>
      </c>
      <c r="K7" t="s">
        <v>7237</v>
      </c>
      <c r="L7">
        <f t="shared" si="0"/>
        <v>1</v>
      </c>
      <c r="M7" cm="1">
        <f t="array" ref="M7">INDEX($BT7:$DH7,$B$2)</f>
        <v>5</v>
      </c>
      <c r="N7" t="str" cm="1">
        <f t="array" ref="N7">IF(M7=0,"",INDEX(auto_ddCountry,M7))</f>
        <v>Bangkok</v>
      </c>
      <c r="O7" cm="1">
        <f t="array" ref="O7">INDEX($BT7:$DH7,$O$2)</f>
        <v>5</v>
      </c>
      <c r="P7" t="str" cm="1">
        <f t="array" ref="P7">IF(O7=0,"",INDEX(auto_ddCountry,O7))</f>
        <v>Bangkok</v>
      </c>
      <c r="Q7" cm="1">
        <f t="array" ref="Q7">IF($A7=Q$2,3,IF($C$2=1,1,IF(INDEX($U7:$BI7,$C$2)=1,2,1)))</f>
        <v>1</v>
      </c>
      <c r="T7">
        <v>0</v>
      </c>
      <c r="U7">
        <v>1</v>
      </c>
      <c r="V7">
        <v>0</v>
      </c>
      <c r="W7">
        <v>0</v>
      </c>
      <c r="X7">
        <v>0</v>
      </c>
      <c r="Y7">
        <v>0</v>
      </c>
      <c r="Z7">
        <v>1</v>
      </c>
      <c r="AA7">
        <v>0</v>
      </c>
      <c r="AB7">
        <v>0</v>
      </c>
      <c r="AC7">
        <v>1</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t="str">
        <f t="shared" si="3"/>
        <v>Bangkok</v>
      </c>
      <c r="BK7">
        <v>6</v>
      </c>
      <c r="BL7" t="s">
        <v>2528</v>
      </c>
      <c r="BM7" t="s">
        <v>2716</v>
      </c>
      <c r="BN7" t="s">
        <v>6956</v>
      </c>
      <c r="BO7" t="s">
        <v>2716</v>
      </c>
      <c r="BP7" t="s">
        <v>1709</v>
      </c>
      <c r="BQ7" t="s">
        <v>6957</v>
      </c>
      <c r="BR7" t="s">
        <v>6958</v>
      </c>
      <c r="BS7" t="s">
        <v>96</v>
      </c>
      <c r="BT7">
        <v>5</v>
      </c>
      <c r="BU7">
        <v>33</v>
      </c>
      <c r="BV7">
        <v>40</v>
      </c>
      <c r="BW7">
        <v>0</v>
      </c>
      <c r="BX7">
        <v>26</v>
      </c>
      <c r="BY7">
        <v>19</v>
      </c>
      <c r="BZ7">
        <v>28</v>
      </c>
      <c r="CA7">
        <v>12</v>
      </c>
      <c r="CB7">
        <v>19</v>
      </c>
      <c r="CC7">
        <v>14</v>
      </c>
      <c r="CD7">
        <v>0</v>
      </c>
      <c r="CE7">
        <v>0</v>
      </c>
      <c r="CF7">
        <v>0</v>
      </c>
      <c r="CG7">
        <v>0</v>
      </c>
      <c r="CH7">
        <v>0</v>
      </c>
      <c r="CI7">
        <v>0</v>
      </c>
      <c r="CJ7">
        <v>0</v>
      </c>
      <c r="CK7">
        <v>0</v>
      </c>
      <c r="CL7">
        <v>0</v>
      </c>
      <c r="CM7">
        <v>0</v>
      </c>
      <c r="CN7">
        <v>0</v>
      </c>
      <c r="CO7">
        <v>0</v>
      </c>
      <c r="CP7">
        <v>0</v>
      </c>
      <c r="CQ7">
        <v>0</v>
      </c>
      <c r="CR7">
        <v>0</v>
      </c>
      <c r="CS7">
        <v>0</v>
      </c>
      <c r="CT7">
        <v>0</v>
      </c>
      <c r="CU7">
        <v>0</v>
      </c>
      <c r="CV7">
        <v>0</v>
      </c>
      <c r="CW7">
        <v>0</v>
      </c>
      <c r="CX7">
        <v>0</v>
      </c>
      <c r="CY7">
        <v>0</v>
      </c>
      <c r="CZ7">
        <v>0</v>
      </c>
      <c r="DA7">
        <v>0</v>
      </c>
      <c r="DB7">
        <v>0</v>
      </c>
      <c r="DC7">
        <v>0</v>
      </c>
      <c r="DD7">
        <v>0</v>
      </c>
      <c r="DE7">
        <v>0</v>
      </c>
      <c r="DF7">
        <v>0</v>
      </c>
      <c r="DG7">
        <v>0</v>
      </c>
      <c r="DH7">
        <v>5</v>
      </c>
    </row>
    <row r="8" spans="1:112" x14ac:dyDescent="0.4">
      <c r="A8">
        <v>6</v>
      </c>
      <c r="B8" cm="1">
        <f t="array" ref="B8">IF(A8=0,0,INDEX($U8:$BI8,$B$2))</f>
        <v>1</v>
      </c>
      <c r="C8" cm="1">
        <f t="array" ref="C8">IF(A8=0,0,IF(C$2=1,0,IF(B8=0,0,2*INDEX($U8:$BI8,C$2))))</f>
        <v>0</v>
      </c>
      <c r="D8">
        <f t="shared" si="1"/>
        <v>0</v>
      </c>
      <c r="E8">
        <f t="shared" si="2"/>
        <v>1</v>
      </c>
      <c r="F8" t="s">
        <v>2800</v>
      </c>
      <c r="G8" t="s">
        <v>2801</v>
      </c>
      <c r="H8" t="s">
        <v>2802</v>
      </c>
      <c r="I8">
        <v>2</v>
      </c>
      <c r="K8" t="s">
        <v>7238</v>
      </c>
      <c r="L8">
        <f t="shared" si="0"/>
        <v>1</v>
      </c>
      <c r="M8" cm="1">
        <f t="array" ref="M8">INDEX($BT8:$DH8,$B$2)</f>
        <v>6</v>
      </c>
      <c r="N8" t="str" cm="1">
        <f t="array" ref="N8">IF(M8=0,"",INDEX(auto_ddCountry,M8))</f>
        <v>Beijing</v>
      </c>
      <c r="O8" cm="1">
        <f t="array" ref="O8">INDEX($BT8:$DH8,$O$2)</f>
        <v>6</v>
      </c>
      <c r="P8" t="str" cm="1">
        <f t="array" ref="P8">IF(O8=0,"",INDEX(auto_ddCountry,O8))</f>
        <v>Beijing</v>
      </c>
      <c r="Q8" cm="1">
        <f t="array" ref="Q8">IF($A8=Q$2,3,IF($C$2=1,1,IF(INDEX($U8:$BI8,$C$2)=1,2,1)))</f>
        <v>1</v>
      </c>
      <c r="T8">
        <v>0</v>
      </c>
      <c r="U8">
        <v>1</v>
      </c>
      <c r="V8">
        <v>0</v>
      </c>
      <c r="W8">
        <v>0</v>
      </c>
      <c r="X8">
        <v>0</v>
      </c>
      <c r="Y8">
        <v>0</v>
      </c>
      <c r="Z8">
        <v>0</v>
      </c>
      <c r="AA8">
        <v>1</v>
      </c>
      <c r="AB8">
        <v>0</v>
      </c>
      <c r="AC8">
        <v>1</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t="str">
        <f t="shared" si="3"/>
        <v>Beijing</v>
      </c>
      <c r="BK8">
        <v>7</v>
      </c>
      <c r="BL8" t="s">
        <v>2529</v>
      </c>
      <c r="BM8" t="s">
        <v>2717</v>
      </c>
      <c r="BN8" t="s">
        <v>2826</v>
      </c>
      <c r="BO8" t="s">
        <v>2717</v>
      </c>
      <c r="BP8" t="s">
        <v>1709</v>
      </c>
      <c r="BQ8" t="s">
        <v>5750</v>
      </c>
      <c r="BR8" t="s">
        <v>5751</v>
      </c>
      <c r="BS8" t="s">
        <v>2716</v>
      </c>
      <c r="BT8">
        <v>6</v>
      </c>
      <c r="BU8">
        <v>0</v>
      </c>
      <c r="BV8">
        <v>41</v>
      </c>
      <c r="BW8">
        <v>0</v>
      </c>
      <c r="BX8">
        <v>27</v>
      </c>
      <c r="BY8">
        <v>21</v>
      </c>
      <c r="BZ8">
        <v>29</v>
      </c>
      <c r="CA8">
        <v>13</v>
      </c>
      <c r="CB8">
        <v>20</v>
      </c>
      <c r="CC8">
        <v>15</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v>0</v>
      </c>
      <c r="DC8">
        <v>0</v>
      </c>
      <c r="DD8">
        <v>0</v>
      </c>
      <c r="DE8">
        <v>0</v>
      </c>
      <c r="DF8">
        <v>0</v>
      </c>
      <c r="DG8">
        <v>0</v>
      </c>
      <c r="DH8">
        <v>6</v>
      </c>
    </row>
    <row r="9" spans="1:112" x14ac:dyDescent="0.4">
      <c r="A9">
        <v>7</v>
      </c>
      <c r="B9" cm="1">
        <f t="array" ref="B9">IF(A9=0,0,INDEX($U9:$BI9,$B$2))</f>
        <v>1</v>
      </c>
      <c r="C9" cm="1">
        <f t="array" ref="C9">IF(A9=0,0,IF(C$2=1,0,IF(B9=0,0,2*INDEX($U9:$BI9,C$2))))</f>
        <v>0</v>
      </c>
      <c r="D9">
        <f t="shared" si="1"/>
        <v>0</v>
      </c>
      <c r="E9">
        <f t="shared" si="2"/>
        <v>1</v>
      </c>
      <c r="F9" t="s">
        <v>2749</v>
      </c>
      <c r="G9" t="s">
        <v>2750</v>
      </c>
      <c r="H9" t="s">
        <v>2751</v>
      </c>
      <c r="I9">
        <v>2</v>
      </c>
      <c r="K9" t="s">
        <v>7246</v>
      </c>
      <c r="L9">
        <f t="shared" si="0"/>
        <v>1</v>
      </c>
      <c r="M9" cm="1">
        <f t="array" ref="M9">INDEX($BT9:$DH9,$B$2)</f>
        <v>7</v>
      </c>
      <c r="N9" t="str" cm="1">
        <f t="array" ref="N9">IF(M9=0,"",INDEX(auto_ddCountry,M9))</f>
        <v>Berlin</v>
      </c>
      <c r="O9" cm="1">
        <f t="array" ref="O9">INDEX($BT9:$DH9,$O$2)</f>
        <v>7</v>
      </c>
      <c r="P9" t="str" cm="1">
        <f t="array" ref="P9">IF(O9=0,"",INDEX(auto_ddCountry,O9))</f>
        <v>Berlin</v>
      </c>
      <c r="Q9" cm="1">
        <f t="array" ref="Q9">IF($A9=Q$2,3,IF($C$2=1,1,IF(INDEX($U9:$BI9,$C$2)=1,2,1)))</f>
        <v>1</v>
      </c>
      <c r="T9">
        <v>0</v>
      </c>
      <c r="U9">
        <v>1</v>
      </c>
      <c r="V9">
        <v>0</v>
      </c>
      <c r="W9">
        <v>0</v>
      </c>
      <c r="X9">
        <v>0</v>
      </c>
      <c r="Y9">
        <v>1</v>
      </c>
      <c r="Z9">
        <v>0</v>
      </c>
      <c r="AA9">
        <v>0</v>
      </c>
      <c r="AB9">
        <v>0</v>
      </c>
      <c r="AC9">
        <v>0</v>
      </c>
      <c r="AD9">
        <v>1</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t="str">
        <f t="shared" si="3"/>
        <v>Berlin</v>
      </c>
      <c r="BK9">
        <v>8</v>
      </c>
      <c r="BL9" t="s">
        <v>7233</v>
      </c>
      <c r="BM9" t="s">
        <v>7234</v>
      </c>
      <c r="BN9" t="s">
        <v>7235</v>
      </c>
      <c r="BO9" t="s">
        <v>7234</v>
      </c>
      <c r="BP9" t="s">
        <v>7236</v>
      </c>
      <c r="BQ9" t="s">
        <v>7250</v>
      </c>
      <c r="BR9" t="s">
        <v>7251</v>
      </c>
      <c r="BS9" t="s">
        <v>2717</v>
      </c>
      <c r="BT9">
        <v>7</v>
      </c>
      <c r="BU9">
        <v>0</v>
      </c>
      <c r="BV9">
        <v>47</v>
      </c>
      <c r="BW9">
        <v>0</v>
      </c>
      <c r="BX9">
        <v>31</v>
      </c>
      <c r="BY9">
        <v>22</v>
      </c>
      <c r="BZ9">
        <v>35</v>
      </c>
      <c r="CA9">
        <v>16</v>
      </c>
      <c r="CB9">
        <v>30</v>
      </c>
      <c r="CC9">
        <v>17</v>
      </c>
      <c r="CD9">
        <v>0</v>
      </c>
      <c r="CE9">
        <v>0</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0</v>
      </c>
      <c r="DH9">
        <v>7</v>
      </c>
    </row>
    <row r="10" spans="1:112" x14ac:dyDescent="0.4">
      <c r="A10">
        <v>8</v>
      </c>
      <c r="B10" cm="1">
        <f t="array" ref="B10">IF(A10=0,0,INDEX($U10:$BI10,$B$2))</f>
        <v>1</v>
      </c>
      <c r="C10" cm="1">
        <f t="array" ref="C10">IF(A10=0,0,IF(C$2=1,0,IF(B10=0,0,2*INDEX($U10:$BI10,C$2))))</f>
        <v>0</v>
      </c>
      <c r="D10">
        <f t="shared" si="1"/>
        <v>0</v>
      </c>
      <c r="E10">
        <f t="shared" si="2"/>
        <v>1</v>
      </c>
      <c r="F10" t="s">
        <v>2735</v>
      </c>
      <c r="G10" t="s">
        <v>5690</v>
      </c>
      <c r="H10" t="s">
        <v>5691</v>
      </c>
      <c r="I10">
        <v>2</v>
      </c>
      <c r="K10" t="s">
        <v>7239</v>
      </c>
      <c r="L10">
        <f t="shared" si="0"/>
        <v>1</v>
      </c>
      <c r="M10" cm="1">
        <f t="array" ref="M10">INDEX($BT10:$DH10,$B$2)</f>
        <v>8</v>
      </c>
      <c r="N10" t="str" cm="1">
        <f t="array" ref="N10">IF(M10=0,"",INDEX(auto_ddCountry,M10))</f>
        <v>Bogotá</v>
      </c>
      <c r="O10" cm="1">
        <f t="array" ref="O10">INDEX($BT10:$DH10,$O$2)</f>
        <v>8</v>
      </c>
      <c r="P10" t="str" cm="1">
        <f t="array" ref="P10">IF(O10=0,"",INDEX(auto_ddCountry,O10))</f>
        <v>Bogotá</v>
      </c>
      <c r="Q10" cm="1">
        <f t="array" ref="Q10">IF($A10=Q$2,3,IF($C$2=1,1,IF(INDEX($U10:$BI10,$C$2)=1,2,1)))</f>
        <v>1</v>
      </c>
      <c r="T10">
        <v>0</v>
      </c>
      <c r="U10">
        <v>1</v>
      </c>
      <c r="V10">
        <v>0</v>
      </c>
      <c r="W10">
        <v>1</v>
      </c>
      <c r="X10">
        <v>0</v>
      </c>
      <c r="Y10">
        <v>0</v>
      </c>
      <c r="Z10">
        <v>0</v>
      </c>
      <c r="AA10">
        <v>0</v>
      </c>
      <c r="AB10">
        <v>0</v>
      </c>
      <c r="AC10">
        <v>1</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t="str">
        <f t="shared" si="3"/>
        <v>Bogotá</v>
      </c>
      <c r="BK10">
        <v>9</v>
      </c>
      <c r="BL10" t="s">
        <v>7242</v>
      </c>
      <c r="BM10" t="s">
        <v>239</v>
      </c>
      <c r="BN10" t="s">
        <v>7243</v>
      </c>
      <c r="BO10" t="s">
        <v>239</v>
      </c>
      <c r="BP10" t="s">
        <v>7236</v>
      </c>
      <c r="BQ10" t="s">
        <v>7252</v>
      </c>
      <c r="BR10" t="s">
        <v>7253</v>
      </c>
      <c r="BS10" t="s">
        <v>7234</v>
      </c>
      <c r="BT10">
        <v>8</v>
      </c>
      <c r="BU10">
        <v>0</v>
      </c>
      <c r="BV10">
        <v>0</v>
      </c>
      <c r="BW10">
        <v>0</v>
      </c>
      <c r="BX10">
        <v>36</v>
      </c>
      <c r="BY10">
        <v>23</v>
      </c>
      <c r="BZ10">
        <v>37</v>
      </c>
      <c r="CA10">
        <v>21</v>
      </c>
      <c r="CB10">
        <v>31</v>
      </c>
      <c r="CC10">
        <v>24</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0</v>
      </c>
      <c r="DD10">
        <v>0</v>
      </c>
      <c r="DE10">
        <v>0</v>
      </c>
      <c r="DF10">
        <v>0</v>
      </c>
      <c r="DG10">
        <v>0</v>
      </c>
      <c r="DH10">
        <v>8</v>
      </c>
    </row>
    <row r="11" spans="1:112" x14ac:dyDescent="0.4">
      <c r="A11">
        <v>9</v>
      </c>
      <c r="B11" cm="1">
        <f t="array" ref="B11">IF(A11=0,0,INDEX($U11:$BI11,$B$2))</f>
        <v>1</v>
      </c>
      <c r="C11" cm="1">
        <f t="array" ref="C11">IF(A11=0,0,IF(C$2=1,0,IF(B11=0,0,2*INDEX($U11:$BI11,C$2))))</f>
        <v>0</v>
      </c>
      <c r="D11">
        <f t="shared" si="1"/>
        <v>0</v>
      </c>
      <c r="E11">
        <f t="shared" si="2"/>
        <v>1</v>
      </c>
      <c r="F11" t="s">
        <v>2766</v>
      </c>
      <c r="G11" t="s">
        <v>2767</v>
      </c>
      <c r="H11" t="s">
        <v>2768</v>
      </c>
      <c r="I11">
        <v>2</v>
      </c>
      <c r="K11" t="s">
        <v>7246</v>
      </c>
      <c r="L11">
        <f t="shared" si="0"/>
        <v>1</v>
      </c>
      <c r="M11" cm="1">
        <f t="array" ref="M11">INDEX($BT11:$DH11,$B$2)</f>
        <v>9</v>
      </c>
      <c r="N11" t="str" cm="1">
        <f t="array" ref="N11">IF(M11=0,"",INDEX(auto_ddCountry,M11))</f>
        <v>Budapest</v>
      </c>
      <c r="O11" cm="1">
        <f t="array" ref="O11">INDEX($BT11:$DH11,$O$2)</f>
        <v>9</v>
      </c>
      <c r="P11" t="str" cm="1">
        <f t="array" ref="P11">IF(O11=0,"",INDEX(auto_ddCountry,O11))</f>
        <v>Budapest</v>
      </c>
      <c r="Q11" cm="1">
        <f t="array" ref="Q11">IF($A11=Q$2,3,IF($C$2=1,1,IF(INDEX($U11:$BI11,$C$2)=1,2,1)))</f>
        <v>1</v>
      </c>
      <c r="T11">
        <v>0</v>
      </c>
      <c r="U11">
        <v>1</v>
      </c>
      <c r="V11">
        <v>0</v>
      </c>
      <c r="W11">
        <v>0</v>
      </c>
      <c r="X11">
        <v>0</v>
      </c>
      <c r="Y11">
        <v>1</v>
      </c>
      <c r="Z11">
        <v>0</v>
      </c>
      <c r="AA11">
        <v>0</v>
      </c>
      <c r="AB11">
        <v>0</v>
      </c>
      <c r="AC11">
        <v>0</v>
      </c>
      <c r="AD11">
        <v>1</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t="str">
        <f t="shared" si="3"/>
        <v>Budapest</v>
      </c>
      <c r="BK11">
        <v>10</v>
      </c>
      <c r="BL11" t="s">
        <v>7248</v>
      </c>
      <c r="BM11" t="s">
        <v>238</v>
      </c>
      <c r="BN11" t="s">
        <v>7249</v>
      </c>
      <c r="BO11" t="s">
        <v>238</v>
      </c>
      <c r="BP11" t="s">
        <v>7236</v>
      </c>
      <c r="BQ11" t="s">
        <v>7630</v>
      </c>
      <c r="BR11" t="s">
        <v>7254</v>
      </c>
      <c r="BS11" t="s">
        <v>239</v>
      </c>
      <c r="BT11">
        <v>9</v>
      </c>
      <c r="BU11">
        <v>0</v>
      </c>
      <c r="BV11">
        <v>0</v>
      </c>
      <c r="BW11">
        <v>0</v>
      </c>
      <c r="BX11">
        <v>39</v>
      </c>
      <c r="BY11">
        <v>32</v>
      </c>
      <c r="BZ11">
        <v>42</v>
      </c>
      <c r="CA11">
        <v>22</v>
      </c>
      <c r="CB11">
        <v>41</v>
      </c>
      <c r="CC11">
        <v>26</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v>0</v>
      </c>
      <c r="DC11">
        <v>0</v>
      </c>
      <c r="DD11">
        <v>0</v>
      </c>
      <c r="DE11">
        <v>0</v>
      </c>
      <c r="DF11">
        <v>0</v>
      </c>
      <c r="DG11">
        <v>0</v>
      </c>
      <c r="DH11">
        <v>9</v>
      </c>
    </row>
    <row r="12" spans="1:112" x14ac:dyDescent="0.4">
      <c r="A12">
        <v>10</v>
      </c>
      <c r="B12" cm="1">
        <f t="array" ref="B12">IF(A12=0,0,INDEX($U12:$BI12,$B$2))</f>
        <v>1</v>
      </c>
      <c r="C12" cm="1">
        <f t="array" ref="C12">IF(A12=0,0,IF(C$2=1,0,IF(B12=0,0,2*INDEX($U12:$BI12,C$2))))</f>
        <v>0</v>
      </c>
      <c r="D12">
        <f t="shared" si="1"/>
        <v>0</v>
      </c>
      <c r="E12">
        <f t="shared" si="2"/>
        <v>1</v>
      </c>
      <c r="F12" t="s">
        <v>2745</v>
      </c>
      <c r="G12" t="s">
        <v>1763</v>
      </c>
      <c r="H12" t="s">
        <v>1764</v>
      </c>
      <c r="I12">
        <v>2</v>
      </c>
      <c r="K12" t="s">
        <v>7230</v>
      </c>
      <c r="L12">
        <f t="shared" si="0"/>
        <v>1</v>
      </c>
      <c r="M12" cm="1">
        <f t="array" ref="M12">INDEX($BT12:$DH12,$B$2)</f>
        <v>10</v>
      </c>
      <c r="N12" t="str" cm="1">
        <f t="array" ref="N12">IF(M12=0,"",INDEX(auto_ddCountry,M12))</f>
        <v>Cairo</v>
      </c>
      <c r="O12" cm="1">
        <f t="array" ref="O12">INDEX($BT12:$DH12,$O$2)</f>
        <v>10</v>
      </c>
      <c r="P12" t="str" cm="1">
        <f t="array" ref="P12">IF(O12=0,"",INDEX(auto_ddCountry,O12))</f>
        <v>Cairo</v>
      </c>
      <c r="Q12" cm="1">
        <f t="array" ref="Q12">IF($A12=Q$2,3,IF($C$2=1,1,IF(INDEX($U12:$BI12,$C$2)=1,2,1)))</f>
        <v>1</v>
      </c>
      <c r="T12">
        <v>0</v>
      </c>
      <c r="U12">
        <v>1</v>
      </c>
      <c r="V12">
        <v>0</v>
      </c>
      <c r="W12">
        <v>0</v>
      </c>
      <c r="X12">
        <v>1</v>
      </c>
      <c r="Y12">
        <v>0</v>
      </c>
      <c r="Z12">
        <v>0</v>
      </c>
      <c r="AA12">
        <v>0</v>
      </c>
      <c r="AB12">
        <v>1</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t="str">
        <f t="shared" si="3"/>
        <v>Cairo</v>
      </c>
      <c r="BK12">
        <v>11</v>
      </c>
      <c r="BR12">
        <v>25</v>
      </c>
      <c r="BS12" t="s">
        <v>238</v>
      </c>
      <c r="BT12">
        <v>10</v>
      </c>
      <c r="BU12">
        <v>0</v>
      </c>
      <c r="BV12">
        <v>0</v>
      </c>
      <c r="BW12">
        <v>0</v>
      </c>
      <c r="BX12">
        <v>48</v>
      </c>
      <c r="BY12">
        <v>50</v>
      </c>
      <c r="BZ12">
        <v>43</v>
      </c>
      <c r="CA12">
        <v>23</v>
      </c>
      <c r="CB12">
        <v>43</v>
      </c>
      <c r="CC12">
        <v>27</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10</v>
      </c>
    </row>
    <row r="13" spans="1:112" x14ac:dyDescent="0.4">
      <c r="A13">
        <v>11</v>
      </c>
      <c r="B13" cm="1">
        <f t="array" ref="B13">IF(A13=0,0,INDEX($U13:$BI13,$B$2))</f>
        <v>1</v>
      </c>
      <c r="C13" cm="1">
        <f t="array" ref="C13">IF(A13=0,0,IF(C$2=1,0,IF(B13=0,0,2*INDEX($U13:$BI13,C$2))))</f>
        <v>0</v>
      </c>
      <c r="D13">
        <f t="shared" si="1"/>
        <v>0</v>
      </c>
      <c r="E13">
        <f t="shared" si="2"/>
        <v>1</v>
      </c>
      <c r="F13" t="s">
        <v>5947</v>
      </c>
      <c r="G13" t="s">
        <v>2787</v>
      </c>
      <c r="H13" t="s">
        <v>2788</v>
      </c>
      <c r="I13">
        <v>2</v>
      </c>
      <c r="K13" t="s">
        <v>7231</v>
      </c>
      <c r="L13">
        <f t="shared" si="0"/>
        <v>1</v>
      </c>
      <c r="M13" cm="1">
        <f t="array" ref="M13">INDEX($BT13:$DH13,$B$2)</f>
        <v>11</v>
      </c>
      <c r="N13" t="str" cm="1">
        <f t="array" ref="N13">IF(M13=0,"",INDEX(auto_ddCountry,M13))</f>
        <v>Colombo</v>
      </c>
      <c r="O13" cm="1">
        <f t="array" ref="O13">INDEX($BT13:$DH13,$O$2)</f>
        <v>11</v>
      </c>
      <c r="P13" t="str" cm="1">
        <f t="array" ref="P13">IF(O13=0,"",INDEX(auto_ddCountry,O13))</f>
        <v>Colombo</v>
      </c>
      <c r="Q13" cm="1">
        <f t="array" ref="Q13">IF($A13=Q$2,3,IF($C$2=1,1,IF(INDEX($U13:$BI13,$C$2)=1,2,1)))</f>
        <v>1</v>
      </c>
      <c r="T13">
        <v>0</v>
      </c>
      <c r="U13">
        <v>1</v>
      </c>
      <c r="V13">
        <v>0</v>
      </c>
      <c r="W13">
        <v>0</v>
      </c>
      <c r="X13">
        <v>0</v>
      </c>
      <c r="Y13">
        <v>0</v>
      </c>
      <c r="Z13">
        <v>1</v>
      </c>
      <c r="AA13">
        <v>0</v>
      </c>
      <c r="AB13">
        <v>1</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t="str">
        <f t="shared" si="3"/>
        <v>Colombo</v>
      </c>
      <c r="BK13">
        <v>12</v>
      </c>
      <c r="BR13">
        <v>25</v>
      </c>
      <c r="BT13">
        <v>11</v>
      </c>
      <c r="BU13">
        <v>0</v>
      </c>
      <c r="BV13">
        <v>0</v>
      </c>
      <c r="BW13">
        <v>0</v>
      </c>
      <c r="BX13">
        <v>0</v>
      </c>
      <c r="BY13">
        <v>0</v>
      </c>
      <c r="BZ13">
        <v>44</v>
      </c>
      <c r="CA13">
        <v>25</v>
      </c>
      <c r="CB13">
        <v>49</v>
      </c>
      <c r="CC13">
        <v>29</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12</v>
      </c>
    </row>
    <row r="14" spans="1:112" x14ac:dyDescent="0.4">
      <c r="A14">
        <v>12</v>
      </c>
      <c r="B14" cm="1">
        <f t="array" ref="B14">IF(A14=0,0,INDEX($U14:$BI14,$B$2))</f>
        <v>1</v>
      </c>
      <c r="C14" cm="1">
        <f t="array" ref="C14">IF(A14=0,0,IF(C$2=1,0,IF(B14=0,0,2*INDEX($U14:$BI14,C$2))))</f>
        <v>0</v>
      </c>
      <c r="D14">
        <f t="shared" si="1"/>
        <v>0</v>
      </c>
      <c r="E14">
        <f t="shared" si="2"/>
        <v>1</v>
      </c>
      <c r="F14" t="s">
        <v>2784</v>
      </c>
      <c r="G14" t="s">
        <v>2785</v>
      </c>
      <c r="H14" t="s">
        <v>2786</v>
      </c>
      <c r="I14">
        <v>2</v>
      </c>
      <c r="K14" t="s">
        <v>7231</v>
      </c>
      <c r="L14">
        <f t="shared" si="0"/>
        <v>1</v>
      </c>
      <c r="M14" cm="1">
        <f t="array" ref="M14">INDEX($BT14:$DH14,$B$2)</f>
        <v>12</v>
      </c>
      <c r="N14" t="str" cm="1">
        <f t="array" ref="N14">IF(M14=0,"",INDEX(auto_ddCountry,M14))</f>
        <v>Delhi</v>
      </c>
      <c r="O14" cm="1">
        <f t="array" ref="O14">INDEX($BT14:$DH14,$O$2)</f>
        <v>12</v>
      </c>
      <c r="P14" t="str" cm="1">
        <f t="array" ref="P14">IF(O14=0,"",INDEX(auto_ddCountry,O14))</f>
        <v>Delhi</v>
      </c>
      <c r="Q14" cm="1">
        <f t="array" ref="Q14">IF($A14=Q$2,3,IF($C$2=1,1,IF(INDEX($U14:$BI14,$C$2)=1,2,1)))</f>
        <v>1</v>
      </c>
      <c r="T14">
        <v>0</v>
      </c>
      <c r="U14">
        <v>1</v>
      </c>
      <c r="V14">
        <v>0</v>
      </c>
      <c r="W14">
        <v>0</v>
      </c>
      <c r="X14">
        <v>0</v>
      </c>
      <c r="Y14">
        <v>0</v>
      </c>
      <c r="Z14">
        <v>1</v>
      </c>
      <c r="AA14">
        <v>0</v>
      </c>
      <c r="AB14">
        <v>1</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t="str">
        <f t="shared" si="3"/>
        <v>Delhi</v>
      </c>
      <c r="BK14">
        <v>13</v>
      </c>
      <c r="BR14">
        <v>25</v>
      </c>
      <c r="BT14">
        <v>12</v>
      </c>
      <c r="BU14">
        <v>0</v>
      </c>
      <c r="BV14">
        <v>0</v>
      </c>
      <c r="BW14">
        <v>0</v>
      </c>
      <c r="BX14">
        <v>0</v>
      </c>
      <c r="BY14">
        <v>0</v>
      </c>
      <c r="BZ14">
        <v>45</v>
      </c>
      <c r="CA14">
        <v>28</v>
      </c>
      <c r="CB14">
        <v>0</v>
      </c>
      <c r="CC14">
        <v>34</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13</v>
      </c>
    </row>
    <row r="15" spans="1:112" x14ac:dyDescent="0.4">
      <c r="A15">
        <v>13</v>
      </c>
      <c r="B15" cm="1">
        <f t="array" ref="B15">IF(A15=0,0,INDEX($U15:$BI15,$B$2))</f>
        <v>1</v>
      </c>
      <c r="C15" cm="1">
        <f t="array" ref="C15">IF(A15=0,0,IF(C$2=1,0,IF(B15=0,0,2*INDEX($U15:$BI15,C$2))))</f>
        <v>0</v>
      </c>
      <c r="D15">
        <f t="shared" si="1"/>
        <v>0</v>
      </c>
      <c r="E15">
        <f t="shared" si="2"/>
        <v>1</v>
      </c>
      <c r="F15" t="s">
        <v>1736</v>
      </c>
      <c r="G15" t="s">
        <v>1737</v>
      </c>
      <c r="H15" t="s">
        <v>1738</v>
      </c>
      <c r="I15">
        <v>2</v>
      </c>
      <c r="K15" t="s">
        <v>7231</v>
      </c>
      <c r="L15">
        <f t="shared" si="0"/>
        <v>1</v>
      </c>
      <c r="M15" cm="1">
        <f t="array" ref="M15">INDEX($BT15:$DH15,$B$2)</f>
        <v>13</v>
      </c>
      <c r="N15" t="str" cm="1">
        <f t="array" ref="N15">IF(M15=0,"",INDEX(auto_ddCountry,M15))</f>
        <v>Dhaka</v>
      </c>
      <c r="O15" cm="1">
        <f t="array" ref="O15">INDEX($BT15:$DH15,$O$2)</f>
        <v>13</v>
      </c>
      <c r="P15" t="str" cm="1">
        <f t="array" ref="P15">IF(O15=0,"",INDEX(auto_ddCountry,O15))</f>
        <v>Dhaka</v>
      </c>
      <c r="Q15" cm="1">
        <f t="array" ref="Q15">IF($A15=Q$2,3,IF($C$2=1,1,IF(INDEX($U15:$BI15,$C$2)=1,2,1)))</f>
        <v>1</v>
      </c>
      <c r="T15">
        <v>0</v>
      </c>
      <c r="U15">
        <v>1</v>
      </c>
      <c r="V15">
        <v>0</v>
      </c>
      <c r="W15">
        <v>0</v>
      </c>
      <c r="X15">
        <v>0</v>
      </c>
      <c r="Y15">
        <v>0</v>
      </c>
      <c r="Z15">
        <v>1</v>
      </c>
      <c r="AA15">
        <v>0</v>
      </c>
      <c r="AB15">
        <v>1</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t="str">
        <f t="shared" si="3"/>
        <v>Dhaka</v>
      </c>
      <c r="BK15">
        <v>14</v>
      </c>
      <c r="BR15" t="s">
        <v>1390</v>
      </c>
      <c r="BT15">
        <v>13</v>
      </c>
      <c r="BU15">
        <v>0</v>
      </c>
      <c r="BV15">
        <v>0</v>
      </c>
      <c r="BW15">
        <v>0</v>
      </c>
      <c r="BX15">
        <v>0</v>
      </c>
      <c r="BY15">
        <v>0</v>
      </c>
      <c r="BZ15">
        <v>46</v>
      </c>
      <c r="CA15">
        <v>32</v>
      </c>
      <c r="CB15">
        <v>0</v>
      </c>
      <c r="CC15">
        <v>35</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14</v>
      </c>
    </row>
    <row r="16" spans="1:112" x14ac:dyDescent="0.4">
      <c r="A16">
        <v>14</v>
      </c>
      <c r="B16" cm="1">
        <f t="array" ref="B16">IF(A16=0,0,INDEX($U16:$BI16,$B$2))</f>
        <v>1</v>
      </c>
      <c r="C16" cm="1">
        <f t="array" ref="C16">IF(A16=0,0,IF(C$2=1,0,IF(B16=0,0,2*INDEX($U16:$BI16,C$2))))</f>
        <v>0</v>
      </c>
      <c r="D16">
        <f t="shared" si="1"/>
        <v>0</v>
      </c>
      <c r="E16">
        <f t="shared" si="2"/>
        <v>1</v>
      </c>
      <c r="F16" t="s">
        <v>1765</v>
      </c>
      <c r="G16" t="s">
        <v>1766</v>
      </c>
      <c r="H16" t="s">
        <v>7228</v>
      </c>
      <c r="I16">
        <v>2</v>
      </c>
      <c r="K16" t="s">
        <v>7247</v>
      </c>
      <c r="L16">
        <f t="shared" si="0"/>
        <v>1</v>
      </c>
      <c r="M16" cm="1">
        <f t="array" ref="M16">INDEX($BT16:$DH16,$B$2)</f>
        <v>14</v>
      </c>
      <c r="N16" t="str" cm="1">
        <f t="array" ref="N16">IF(M16=0,"",INDEX(auto_ddCountry,M16))</f>
        <v>Dubai</v>
      </c>
      <c r="O16" cm="1">
        <f t="array" ref="O16">INDEX($BT16:$DH16,$O$2)</f>
        <v>14</v>
      </c>
      <c r="P16" t="str" cm="1">
        <f t="array" ref="P16">IF(O16=0,"",INDEX(auto_ddCountry,O16))</f>
        <v>Dubai</v>
      </c>
      <c r="Q16" cm="1">
        <f t="array" ref="Q16">IF($A16=Q$2,3,IF($C$2=1,1,IF(INDEX($U16:$BI16,$C$2)=1,2,1)))</f>
        <v>1</v>
      </c>
      <c r="T16">
        <v>0</v>
      </c>
      <c r="U16">
        <v>1</v>
      </c>
      <c r="V16">
        <v>0</v>
      </c>
      <c r="W16">
        <v>0</v>
      </c>
      <c r="X16">
        <v>1</v>
      </c>
      <c r="Y16">
        <v>0</v>
      </c>
      <c r="Z16">
        <v>0</v>
      </c>
      <c r="AA16">
        <v>0</v>
      </c>
      <c r="AB16">
        <v>0</v>
      </c>
      <c r="AC16">
        <v>0</v>
      </c>
      <c r="AD16">
        <v>1</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t="str">
        <f t="shared" si="3"/>
        <v>Dubai</v>
      </c>
      <c r="BK16">
        <v>15</v>
      </c>
      <c r="BR16" t="s">
        <v>1391</v>
      </c>
      <c r="BT16">
        <v>14</v>
      </c>
      <c r="BU16">
        <v>0</v>
      </c>
      <c r="BV16">
        <v>0</v>
      </c>
      <c r="BW16">
        <v>0</v>
      </c>
      <c r="BX16">
        <v>0</v>
      </c>
      <c r="BY16">
        <v>0</v>
      </c>
      <c r="BZ16">
        <v>49</v>
      </c>
      <c r="CA16">
        <v>33</v>
      </c>
      <c r="CB16">
        <v>0</v>
      </c>
      <c r="CC16">
        <v>36</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16</v>
      </c>
    </row>
    <row r="17" spans="1:112" x14ac:dyDescent="0.4">
      <c r="A17">
        <v>15</v>
      </c>
      <c r="B17" cm="1">
        <f t="array" ref="B17">IF(A17=0,0,INDEX($U17:$BI17,$B$2))</f>
        <v>1</v>
      </c>
      <c r="C17" cm="1">
        <f t="array" ref="C17">IF(A17=0,0,IF(C$2=1,0,IF(B17=0,0,2*INDEX($U17:$BI17,C$2))))</f>
        <v>0</v>
      </c>
      <c r="D17">
        <f t="shared" si="1"/>
        <v>0</v>
      </c>
      <c r="E17">
        <f t="shared" si="2"/>
        <v>1</v>
      </c>
      <c r="F17" t="s">
        <v>2763</v>
      </c>
      <c r="G17" t="s">
        <v>2764</v>
      </c>
      <c r="H17" t="s">
        <v>2765</v>
      </c>
      <c r="I17">
        <v>2</v>
      </c>
      <c r="K17" t="s">
        <v>7246</v>
      </c>
      <c r="L17">
        <f t="shared" si="0"/>
        <v>1</v>
      </c>
      <c r="M17" cm="1">
        <f t="array" ref="M17">INDEX($BT17:$DH17,$B$2)</f>
        <v>15</v>
      </c>
      <c r="N17" t="str" cm="1">
        <f t="array" ref="N17">IF(M17=0,"",INDEX(auto_ddCountry,M17))</f>
        <v>Helsinki</v>
      </c>
      <c r="O17" cm="1">
        <f t="array" ref="O17">INDEX($BT17:$DH17,$O$2)</f>
        <v>15</v>
      </c>
      <c r="P17" t="str" cm="1">
        <f t="array" ref="P17">IF(O17=0,"",INDEX(auto_ddCountry,O17))</f>
        <v>Helsinki</v>
      </c>
      <c r="Q17" cm="1">
        <f t="array" ref="Q17">IF($A17=Q$2,3,IF($C$2=1,1,IF(INDEX($U17:$BI17,$C$2)=1,2,1)))</f>
        <v>1</v>
      </c>
      <c r="T17">
        <v>0</v>
      </c>
      <c r="U17">
        <v>1</v>
      </c>
      <c r="V17">
        <v>0</v>
      </c>
      <c r="W17">
        <v>0</v>
      </c>
      <c r="X17">
        <v>0</v>
      </c>
      <c r="Y17">
        <v>1</v>
      </c>
      <c r="Z17">
        <v>0</v>
      </c>
      <c r="AA17">
        <v>0</v>
      </c>
      <c r="AB17">
        <v>0</v>
      </c>
      <c r="AC17">
        <v>0</v>
      </c>
      <c r="AD17">
        <v>1</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t="str">
        <f t="shared" si="3"/>
        <v>Helsinki</v>
      </c>
      <c r="BK17">
        <v>16</v>
      </c>
      <c r="BR17" t="s">
        <v>1392</v>
      </c>
      <c r="BT17">
        <v>15</v>
      </c>
      <c r="BU17">
        <v>0</v>
      </c>
      <c r="BV17">
        <v>0</v>
      </c>
      <c r="BW17">
        <v>0</v>
      </c>
      <c r="BX17">
        <v>0</v>
      </c>
      <c r="BY17">
        <v>0</v>
      </c>
      <c r="BZ17">
        <v>0</v>
      </c>
      <c r="CA17">
        <v>37</v>
      </c>
      <c r="CB17">
        <v>0</v>
      </c>
      <c r="CC17">
        <v>38</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17</v>
      </c>
    </row>
    <row r="18" spans="1:112" x14ac:dyDescent="0.4">
      <c r="A18">
        <v>16</v>
      </c>
      <c r="B18" cm="1">
        <f t="array" ref="B18">IF(A18=0,0,INDEX($U18:$BI18,$B$2))</f>
        <v>1</v>
      </c>
      <c r="C18" cm="1">
        <f t="array" ref="C18">IF(A18=0,0,IF(C$2=1,0,IF(B18=0,0,2*INDEX($U18:$BI18,C$2))))</f>
        <v>0</v>
      </c>
      <c r="D18">
        <f t="shared" si="1"/>
        <v>0</v>
      </c>
      <c r="E18">
        <f t="shared" si="2"/>
        <v>1</v>
      </c>
      <c r="F18" t="s">
        <v>2810</v>
      </c>
      <c r="G18" t="s">
        <v>2811</v>
      </c>
      <c r="H18" t="s">
        <v>2812</v>
      </c>
      <c r="I18">
        <v>2</v>
      </c>
      <c r="K18" t="s">
        <v>7232</v>
      </c>
      <c r="L18">
        <f t="shared" si="0"/>
        <v>1</v>
      </c>
      <c r="M18" cm="1">
        <f t="array" ref="M18">INDEX($BT18:$DH18,$B$2)</f>
        <v>16</v>
      </c>
      <c r="N18" t="str" cm="1">
        <f t="array" ref="N18">IF(M18=0,"",INDEX(auto_ddCountry,M18))</f>
        <v>Ho Chi Minh City</v>
      </c>
      <c r="O18" cm="1">
        <f t="array" ref="O18">INDEX($BT18:$DH18,$O$2)</f>
        <v>16</v>
      </c>
      <c r="P18" t="str" cm="1">
        <f t="array" ref="P18">IF(O18=0,"",INDEX(auto_ddCountry,O18))</f>
        <v>Ho Chi Minh City</v>
      </c>
      <c r="Q18" cm="1">
        <f t="array" ref="Q18">IF($A18=Q$2,3,IF($C$2=1,1,IF(INDEX($U18:$BI18,$C$2)=1,2,1)))</f>
        <v>1</v>
      </c>
      <c r="T18">
        <v>0</v>
      </c>
      <c r="U18">
        <v>1</v>
      </c>
      <c r="V18">
        <v>0</v>
      </c>
      <c r="W18">
        <v>0</v>
      </c>
      <c r="X18">
        <v>0</v>
      </c>
      <c r="Y18">
        <v>0</v>
      </c>
      <c r="Z18">
        <v>0</v>
      </c>
      <c r="AA18">
        <v>1</v>
      </c>
      <c r="AB18">
        <v>1</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t="str">
        <f t="shared" si="3"/>
        <v>Ho Chi Minh City</v>
      </c>
      <c r="BK18">
        <v>17</v>
      </c>
      <c r="BT18">
        <v>16</v>
      </c>
      <c r="BU18">
        <v>0</v>
      </c>
      <c r="BV18">
        <v>0</v>
      </c>
      <c r="BW18">
        <v>0</v>
      </c>
      <c r="BX18">
        <v>0</v>
      </c>
      <c r="BY18">
        <v>0</v>
      </c>
      <c r="BZ18">
        <v>0</v>
      </c>
      <c r="CA18">
        <v>50</v>
      </c>
      <c r="CB18">
        <v>0</v>
      </c>
      <c r="CC18">
        <v>39</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19</v>
      </c>
    </row>
    <row r="19" spans="1:112" x14ac:dyDescent="0.4">
      <c r="A19">
        <v>17</v>
      </c>
      <c r="B19" cm="1">
        <f t="array" ref="B19">IF(A19=0,0,INDEX($U19:$BI19,$B$2))</f>
        <v>1</v>
      </c>
      <c r="C19" cm="1">
        <f t="array" ref="C19">IF(A19=0,0,IF(C$2=1,0,IF(B19=0,0,2*INDEX($U19:$BI19,C$2))))</f>
        <v>0</v>
      </c>
      <c r="D19">
        <f t="shared" si="1"/>
        <v>0</v>
      </c>
      <c r="E19">
        <f t="shared" si="2"/>
        <v>1</v>
      </c>
      <c r="F19" t="s">
        <v>1739</v>
      </c>
      <c r="G19" t="s">
        <v>1740</v>
      </c>
      <c r="H19" t="s">
        <v>2806</v>
      </c>
      <c r="I19">
        <v>2</v>
      </c>
      <c r="K19" t="s">
        <v>7245</v>
      </c>
      <c r="L19">
        <f t="shared" si="0"/>
        <v>1</v>
      </c>
      <c r="M19" cm="1">
        <f t="array" ref="M19">INDEX($BT19:$DH19,$B$2)</f>
        <v>17</v>
      </c>
      <c r="N19" t="str" cm="1">
        <f t="array" ref="N19">IF(M19=0,"",INDEX(auto_ddCountry,M19))</f>
        <v>Hong Kong</v>
      </c>
      <c r="O19" cm="1">
        <f t="array" ref="O19">INDEX($BT19:$DH19,$O$2)</f>
        <v>17</v>
      </c>
      <c r="P19" t="str" cm="1">
        <f t="array" ref="P19">IF(O19=0,"",INDEX(auto_ddCountry,O19))</f>
        <v>Hong Kong</v>
      </c>
      <c r="Q19" cm="1">
        <f t="array" ref="Q19">IF($A19=Q$2,3,IF($C$2=1,1,IF(INDEX($U19:$BI19,$C$2)=1,2,1)))</f>
        <v>1</v>
      </c>
      <c r="T19">
        <v>0</v>
      </c>
      <c r="U19">
        <v>1</v>
      </c>
      <c r="V19">
        <v>0</v>
      </c>
      <c r="W19">
        <v>0</v>
      </c>
      <c r="X19">
        <v>0</v>
      </c>
      <c r="Y19">
        <v>0</v>
      </c>
      <c r="Z19">
        <v>0</v>
      </c>
      <c r="AA19">
        <v>1</v>
      </c>
      <c r="AB19">
        <v>0</v>
      </c>
      <c r="AC19">
        <v>0</v>
      </c>
      <c r="AD19">
        <v>1</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t="str">
        <f t="shared" si="3"/>
        <v>Hong Kong</v>
      </c>
      <c r="BK19">
        <v>18</v>
      </c>
      <c r="BT19">
        <v>17</v>
      </c>
      <c r="BU19">
        <v>0</v>
      </c>
      <c r="BV19">
        <v>0</v>
      </c>
      <c r="BW19">
        <v>0</v>
      </c>
      <c r="BX19">
        <v>0</v>
      </c>
      <c r="BY19">
        <v>0</v>
      </c>
      <c r="BZ19">
        <v>0</v>
      </c>
      <c r="CA19">
        <v>0</v>
      </c>
      <c r="CB19">
        <v>0</v>
      </c>
      <c r="CC19">
        <v>40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20</v>
      </c>
    </row>
    <row r="20" spans="1:112" x14ac:dyDescent="0.4">
      <c r="A20">
        <v>18</v>
      </c>
      <c r="B20" cm="1">
        <f t="array" ref="B20">IF(A20=0,0,INDEX($U20:$BI20,$B$2))</f>
        <v>1</v>
      </c>
      <c r="C20" cm="1">
        <f t="array" ref="C20">IF(A20=0,0,IF(C$2=1,0,IF(B20=0,0,2*INDEX($U20:$BI20,C$2))))</f>
        <v>0</v>
      </c>
      <c r="D20">
        <f t="shared" si="1"/>
        <v>0</v>
      </c>
      <c r="E20">
        <f t="shared" si="2"/>
        <v>1</v>
      </c>
      <c r="F20" t="s">
        <v>1759</v>
      </c>
      <c r="G20" t="s">
        <v>1760</v>
      </c>
      <c r="H20" t="s">
        <v>1761</v>
      </c>
      <c r="I20">
        <v>2</v>
      </c>
      <c r="K20" t="s">
        <v>7240</v>
      </c>
      <c r="L20">
        <f t="shared" si="0"/>
        <v>1</v>
      </c>
      <c r="M20" cm="1">
        <f t="array" ref="M20">INDEX($BT20:$DH20,$B$2)</f>
        <v>18</v>
      </c>
      <c r="N20" t="str" cm="1">
        <f t="array" ref="N20">IF(M20=0,"",INDEX(auto_ddCountry,M20))</f>
        <v>Istanbul</v>
      </c>
      <c r="O20" cm="1">
        <f t="array" ref="O20">INDEX($BT20:$DH20,$O$2)</f>
        <v>18</v>
      </c>
      <c r="P20" t="str" cm="1">
        <f t="array" ref="P20">IF(O20=0,"",INDEX(auto_ddCountry,O20))</f>
        <v>Istanbul</v>
      </c>
      <c r="Q20" cm="1">
        <f t="array" ref="Q20">IF($A20=Q$2,3,IF($C$2=1,1,IF(INDEX($U20:$BI20,$C$2)=1,2,1)))</f>
        <v>1</v>
      </c>
      <c r="T20">
        <v>0</v>
      </c>
      <c r="U20">
        <v>1</v>
      </c>
      <c r="V20">
        <v>0</v>
      </c>
      <c r="W20">
        <v>0</v>
      </c>
      <c r="X20">
        <v>0</v>
      </c>
      <c r="Y20">
        <v>1</v>
      </c>
      <c r="Z20">
        <v>0</v>
      </c>
      <c r="AA20">
        <v>0</v>
      </c>
      <c r="AB20">
        <v>0</v>
      </c>
      <c r="AC20">
        <v>1</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t="str">
        <f t="shared" si="3"/>
        <v>Istanbul</v>
      </c>
      <c r="BK20">
        <v>19</v>
      </c>
      <c r="BT20">
        <v>18</v>
      </c>
      <c r="BU20">
        <v>0</v>
      </c>
      <c r="BV20">
        <v>0</v>
      </c>
      <c r="BW20">
        <v>0</v>
      </c>
      <c r="BX20">
        <v>0</v>
      </c>
      <c r="BY20">
        <v>0</v>
      </c>
      <c r="BZ20">
        <v>0</v>
      </c>
      <c r="CA20">
        <v>0</v>
      </c>
      <c r="CB20">
        <v>0</v>
      </c>
      <c r="CC20">
        <v>42</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22</v>
      </c>
    </row>
    <row r="21" spans="1:112" x14ac:dyDescent="0.4">
      <c r="A21">
        <v>19</v>
      </c>
      <c r="B21" cm="1">
        <f t="array" ref="B21">IF(A21=0,0,INDEX($U21:$BI21,$B$2))</f>
        <v>1</v>
      </c>
      <c r="C21" cm="1">
        <f t="array" ref="C21">IF(A21=0,0,IF(C$2=1,0,IF(B21=0,0,2*INDEX($U21:$BI21,C$2))))</f>
        <v>0</v>
      </c>
      <c r="D21">
        <f t="shared" si="1"/>
        <v>0</v>
      </c>
      <c r="E21">
        <f t="shared" si="2"/>
        <v>1</v>
      </c>
      <c r="F21" t="s">
        <v>1741</v>
      </c>
      <c r="G21" t="s">
        <v>1742</v>
      </c>
      <c r="H21" t="s">
        <v>2772</v>
      </c>
      <c r="I21">
        <v>2</v>
      </c>
      <c r="K21" t="s">
        <v>7237</v>
      </c>
      <c r="L21">
        <f t="shared" si="0"/>
        <v>1</v>
      </c>
      <c r="M21" cm="1">
        <f t="array" ref="M21">INDEX($BT21:$DH21,$B$2)</f>
        <v>19</v>
      </c>
      <c r="N21" t="str" cm="1">
        <f t="array" ref="N21">IF(M21=0,"",INDEX(auto_ddCountry,M21))</f>
        <v>Jakarta</v>
      </c>
      <c r="O21" cm="1">
        <f t="array" ref="O21">INDEX($BT21:$DH21,$O$2)</f>
        <v>19</v>
      </c>
      <c r="P21" t="str" cm="1">
        <f t="array" ref="P21">IF(O21=0,"",INDEX(auto_ddCountry,O21))</f>
        <v>Jakarta</v>
      </c>
      <c r="Q21" cm="1">
        <f t="array" ref="Q21">IF($A21=Q$2,3,IF($C$2=1,1,IF(INDEX($U21:$BI21,$C$2)=1,2,1)))</f>
        <v>1</v>
      </c>
      <c r="T21">
        <v>0</v>
      </c>
      <c r="U21">
        <v>1</v>
      </c>
      <c r="V21">
        <v>0</v>
      </c>
      <c r="W21">
        <v>0</v>
      </c>
      <c r="X21">
        <v>0</v>
      </c>
      <c r="Y21">
        <v>0</v>
      </c>
      <c r="Z21">
        <v>1</v>
      </c>
      <c r="AA21">
        <v>0</v>
      </c>
      <c r="AB21">
        <v>0</v>
      </c>
      <c r="AC21">
        <v>1</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t="str">
        <f t="shared" si="3"/>
        <v>Jakarta</v>
      </c>
      <c r="BK21">
        <v>20</v>
      </c>
      <c r="BT21">
        <v>19</v>
      </c>
      <c r="BU21">
        <v>0</v>
      </c>
      <c r="BV21">
        <v>0</v>
      </c>
      <c r="BW21">
        <v>0</v>
      </c>
      <c r="BX21">
        <v>0</v>
      </c>
      <c r="BY21">
        <v>0</v>
      </c>
      <c r="BZ21">
        <v>0</v>
      </c>
      <c r="CA21">
        <v>0</v>
      </c>
      <c r="CB21">
        <v>0</v>
      </c>
      <c r="CC21">
        <v>44</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24</v>
      </c>
    </row>
    <row r="22" spans="1:112" x14ac:dyDescent="0.4">
      <c r="A22">
        <v>20</v>
      </c>
      <c r="B22" cm="1">
        <f t="array" ref="B22">IF(A22=0,0,INDEX($U22:$BI22,$B$2))</f>
        <v>1</v>
      </c>
      <c r="C22" cm="1">
        <f t="array" ref="C22">IF(A22=0,0,IF(C$2=1,0,IF(B22=0,0,2*INDEX($U22:$BI22,C$2))))</f>
        <v>0</v>
      </c>
      <c r="D22">
        <f t="shared" si="1"/>
        <v>0</v>
      </c>
      <c r="E22">
        <f t="shared" si="2"/>
        <v>1</v>
      </c>
      <c r="F22" t="s">
        <v>2720</v>
      </c>
      <c r="G22" t="s">
        <v>2721</v>
      </c>
      <c r="H22" t="s">
        <v>2722</v>
      </c>
      <c r="I22">
        <v>2</v>
      </c>
      <c r="K22" t="s">
        <v>7241</v>
      </c>
      <c r="L22">
        <f t="shared" si="0"/>
        <v>1</v>
      </c>
      <c r="M22" cm="1">
        <f t="array" ref="M22">INDEX($BT22:$DH22,$B$2)</f>
        <v>20</v>
      </c>
      <c r="N22" t="str" cm="1">
        <f t="array" ref="N22">IF(M22=0,"",INDEX(auto_ddCountry,M22))</f>
        <v>Johannesburg</v>
      </c>
      <c r="O22" cm="1">
        <f t="array" ref="O22">INDEX($BT22:$DH22,$O$2)</f>
        <v>20</v>
      </c>
      <c r="P22" t="str" cm="1">
        <f t="array" ref="P22">IF(O22=0,"",INDEX(auto_ddCountry,O22))</f>
        <v>Johannesburg</v>
      </c>
      <c r="Q22" cm="1">
        <f t="array" ref="Q22">IF($A22=Q$2,3,IF($C$2=1,1,IF(INDEX($U22:$BI22,$C$2)=1,2,1)))</f>
        <v>1</v>
      </c>
      <c r="T22">
        <v>0</v>
      </c>
      <c r="U22">
        <v>1</v>
      </c>
      <c r="V22">
        <v>1</v>
      </c>
      <c r="W22">
        <v>0</v>
      </c>
      <c r="X22">
        <v>0</v>
      </c>
      <c r="Y22">
        <v>0</v>
      </c>
      <c r="Z22">
        <v>0</v>
      </c>
      <c r="AA22">
        <v>0</v>
      </c>
      <c r="AB22">
        <v>0</v>
      </c>
      <c r="AC22">
        <v>1</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t="str">
        <f t="shared" si="3"/>
        <v>Johannesburg</v>
      </c>
      <c r="BK22">
        <v>21</v>
      </c>
      <c r="BT22">
        <v>20</v>
      </c>
      <c r="BU22">
        <v>0</v>
      </c>
      <c r="BV22">
        <v>0</v>
      </c>
      <c r="BW22">
        <v>0</v>
      </c>
      <c r="BX22">
        <v>0</v>
      </c>
      <c r="BY22">
        <v>0</v>
      </c>
      <c r="BZ22">
        <v>0</v>
      </c>
      <c r="CA22">
        <v>0</v>
      </c>
      <c r="CB22">
        <v>0</v>
      </c>
      <c r="CC22">
        <v>45</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25</v>
      </c>
    </row>
    <row r="23" spans="1:112" x14ac:dyDescent="0.4">
      <c r="A23">
        <v>21</v>
      </c>
      <c r="B23" cm="1">
        <f t="array" ref="B23">IF(A23=0,0,INDEX($U23:$BI23,$B$2))</f>
        <v>1</v>
      </c>
      <c r="C23" cm="1">
        <f t="array" ref="C23">IF(A23=0,0,IF(C$2=1,0,IF(B23=0,0,2*INDEX($U23:$BI23,C$2))))</f>
        <v>0</v>
      </c>
      <c r="D23">
        <f t="shared" si="1"/>
        <v>0</v>
      </c>
      <c r="E23">
        <f t="shared" si="2"/>
        <v>1</v>
      </c>
      <c r="F23" t="s">
        <v>2775</v>
      </c>
      <c r="G23" t="s">
        <v>2776</v>
      </c>
      <c r="H23" t="s">
        <v>2777</v>
      </c>
      <c r="I23">
        <v>2</v>
      </c>
      <c r="K23" t="s">
        <v>7231</v>
      </c>
      <c r="L23">
        <f t="shared" si="0"/>
        <v>1</v>
      </c>
      <c r="M23" cm="1">
        <f t="array" ref="M23">INDEX($BT23:$DH23,$B$2)</f>
        <v>21</v>
      </c>
      <c r="N23" t="str" cm="1">
        <f t="array" ref="N23">IF(M23=0,"",INDEX(auto_ddCountry,M23))</f>
        <v>Karachi</v>
      </c>
      <c r="O23" cm="1">
        <f t="array" ref="O23">INDEX($BT23:$DH23,$O$2)</f>
        <v>21</v>
      </c>
      <c r="P23" t="str" cm="1">
        <f t="array" ref="P23">IF(O23=0,"",INDEX(auto_ddCountry,O23))</f>
        <v>Karachi</v>
      </c>
      <c r="Q23" cm="1">
        <f t="array" ref="Q23">IF($A23=Q$2,3,IF($C$2=1,1,IF(INDEX($U23:$BI23,$C$2)=1,2,1)))</f>
        <v>1</v>
      </c>
      <c r="T23">
        <v>0</v>
      </c>
      <c r="U23">
        <v>1</v>
      </c>
      <c r="V23">
        <v>0</v>
      </c>
      <c r="W23">
        <v>0</v>
      </c>
      <c r="X23">
        <v>0</v>
      </c>
      <c r="Y23">
        <v>0</v>
      </c>
      <c r="Z23">
        <v>1</v>
      </c>
      <c r="AA23">
        <v>0</v>
      </c>
      <c r="AB23">
        <v>1</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t="str">
        <f t="shared" si="3"/>
        <v>Karachi</v>
      </c>
      <c r="BK23">
        <v>22</v>
      </c>
      <c r="BT23">
        <v>21</v>
      </c>
      <c r="BU23">
        <v>0</v>
      </c>
      <c r="BV23">
        <v>0</v>
      </c>
      <c r="BW23">
        <v>0</v>
      </c>
      <c r="BX23">
        <v>0</v>
      </c>
      <c r="BY23">
        <v>0</v>
      </c>
      <c r="BZ23">
        <v>0</v>
      </c>
      <c r="CA23">
        <v>0</v>
      </c>
      <c r="CB23">
        <v>0</v>
      </c>
      <c r="CC23">
        <v>46</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26</v>
      </c>
    </row>
    <row r="24" spans="1:112" x14ac:dyDescent="0.4">
      <c r="A24">
        <v>22</v>
      </c>
      <c r="B24" cm="1">
        <f t="array" ref="B24">IF(A24=0,0,INDEX($U24:$BI24,$B$2))</f>
        <v>1</v>
      </c>
      <c r="C24" cm="1">
        <f t="array" ref="C24">IF(A24=0,0,IF(C$2=1,0,IF(B24=0,0,2*INDEX($U24:$BI24,C$2))))</f>
        <v>0</v>
      </c>
      <c r="D24">
        <f t="shared" si="1"/>
        <v>0</v>
      </c>
      <c r="E24">
        <f t="shared" si="2"/>
        <v>1</v>
      </c>
      <c r="F24" t="s">
        <v>2789</v>
      </c>
      <c r="G24" t="s">
        <v>2790</v>
      </c>
      <c r="H24" t="s">
        <v>2791</v>
      </c>
      <c r="I24">
        <v>2</v>
      </c>
      <c r="K24" t="s">
        <v>7231</v>
      </c>
      <c r="L24">
        <f t="shared" si="0"/>
        <v>1</v>
      </c>
      <c r="M24" cm="1">
        <f t="array" ref="M24">INDEX($BT24:$DH24,$B$2)</f>
        <v>22</v>
      </c>
      <c r="N24" t="str" cm="1">
        <f t="array" ref="N24">IF(M24=0,"",INDEX(auto_ddCountry,M24))</f>
        <v>Kathmandu</v>
      </c>
      <c r="O24" cm="1">
        <f t="array" ref="O24">INDEX($BT24:$DH24,$O$2)</f>
        <v>22</v>
      </c>
      <c r="P24" t="str" cm="1">
        <f t="array" ref="P24">IF(O24=0,"",INDEX(auto_ddCountry,O24))</f>
        <v>Kathmandu</v>
      </c>
      <c r="Q24" cm="1">
        <f t="array" ref="Q24">IF($A24=Q$2,3,IF($C$2=1,1,IF(INDEX($U24:$BI24,$C$2)=1,2,1)))</f>
        <v>1</v>
      </c>
      <c r="T24">
        <v>0</v>
      </c>
      <c r="U24">
        <v>1</v>
      </c>
      <c r="V24">
        <v>0</v>
      </c>
      <c r="W24">
        <v>0</v>
      </c>
      <c r="X24">
        <v>0</v>
      </c>
      <c r="Y24">
        <v>0</v>
      </c>
      <c r="Z24">
        <v>1</v>
      </c>
      <c r="AA24">
        <v>0</v>
      </c>
      <c r="AB24">
        <v>1</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t="str">
        <f t="shared" si="3"/>
        <v>Kathmandu</v>
      </c>
      <c r="BK24">
        <v>23</v>
      </c>
      <c r="BT24">
        <v>22</v>
      </c>
      <c r="BU24">
        <v>0</v>
      </c>
      <c r="BV24">
        <v>0</v>
      </c>
      <c r="BW24">
        <v>0</v>
      </c>
      <c r="BX24">
        <v>0</v>
      </c>
      <c r="BY24">
        <v>0</v>
      </c>
      <c r="BZ24">
        <v>0</v>
      </c>
      <c r="CA24">
        <v>0</v>
      </c>
      <c r="CB24">
        <v>0</v>
      </c>
      <c r="CC24">
        <v>47</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27</v>
      </c>
    </row>
    <row r="25" spans="1:112" x14ac:dyDescent="0.4">
      <c r="A25">
        <v>23</v>
      </c>
      <c r="B25" cm="1">
        <f t="array" ref="B25">IF(A25=0,0,INDEX($U25:$BI25,$B$2))</f>
        <v>1</v>
      </c>
      <c r="C25" cm="1">
        <f t="array" ref="C25">IF(A25=0,0,IF(C$2=1,0,IF(B25=0,0,2*INDEX($U25:$BI25,C$2))))</f>
        <v>0</v>
      </c>
      <c r="D25">
        <f t="shared" si="1"/>
        <v>0</v>
      </c>
      <c r="E25">
        <f t="shared" si="2"/>
        <v>1</v>
      </c>
      <c r="F25" t="s">
        <v>2781</v>
      </c>
      <c r="G25" t="s">
        <v>2782</v>
      </c>
      <c r="H25" t="s">
        <v>2783</v>
      </c>
      <c r="I25">
        <v>2</v>
      </c>
      <c r="K25" t="s">
        <v>7231</v>
      </c>
      <c r="L25">
        <f t="shared" si="0"/>
        <v>1</v>
      </c>
      <c r="M25" cm="1">
        <f t="array" ref="M25">INDEX($BT25:$DH25,$B$2)</f>
        <v>23</v>
      </c>
      <c r="N25" t="str" cm="1">
        <f t="array" ref="N25">IF(M25=0,"",INDEX(auto_ddCountry,M25))</f>
        <v>Kolkata</v>
      </c>
      <c r="O25" cm="1">
        <f t="array" ref="O25">INDEX($BT25:$DH25,$O$2)</f>
        <v>23</v>
      </c>
      <c r="P25" t="str" cm="1">
        <f t="array" ref="P25">IF(O25=0,"",INDEX(auto_ddCountry,O25))</f>
        <v>Kolkata</v>
      </c>
      <c r="Q25" cm="1">
        <f t="array" ref="Q25">IF($A25=Q$2,3,IF($C$2=1,1,IF(INDEX($U25:$BI25,$C$2)=1,2,1)))</f>
        <v>1</v>
      </c>
      <c r="T25">
        <v>0</v>
      </c>
      <c r="U25">
        <v>1</v>
      </c>
      <c r="V25">
        <v>0</v>
      </c>
      <c r="W25">
        <v>0</v>
      </c>
      <c r="X25">
        <v>0</v>
      </c>
      <c r="Y25">
        <v>0</v>
      </c>
      <c r="Z25">
        <v>1</v>
      </c>
      <c r="AA25">
        <v>0</v>
      </c>
      <c r="AB25">
        <v>1</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t="str">
        <f t="shared" si="3"/>
        <v>Kolkata</v>
      </c>
      <c r="BK25">
        <v>24</v>
      </c>
      <c r="BT25">
        <v>23</v>
      </c>
      <c r="BU25">
        <v>0</v>
      </c>
      <c r="BV25">
        <v>0</v>
      </c>
      <c r="BW25">
        <v>0</v>
      </c>
      <c r="BX25">
        <v>0</v>
      </c>
      <c r="BY25">
        <v>0</v>
      </c>
      <c r="BZ25">
        <v>0</v>
      </c>
      <c r="CA25">
        <v>0</v>
      </c>
      <c r="CB25">
        <v>0</v>
      </c>
      <c r="CC25">
        <v>48</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29</v>
      </c>
    </row>
    <row r="26" spans="1:112" x14ac:dyDescent="0.4">
      <c r="A26">
        <v>24</v>
      </c>
      <c r="B26" cm="1">
        <f t="array" ref="B26">IF(A26=0,0,INDEX($U26:$BI26,$B$2))</f>
        <v>1</v>
      </c>
      <c r="C26" cm="1">
        <f t="array" ref="C26">IF(A26=0,0,IF(C$2=1,0,IF(B26=0,0,2*INDEX($U26:$BI26,C$2))))</f>
        <v>0</v>
      </c>
      <c r="D26">
        <f t="shared" si="1"/>
        <v>0</v>
      </c>
      <c r="E26">
        <f t="shared" si="2"/>
        <v>1</v>
      </c>
      <c r="F26" t="s">
        <v>2746</v>
      </c>
      <c r="G26" t="s">
        <v>2747</v>
      </c>
      <c r="H26" t="s">
        <v>2748</v>
      </c>
      <c r="I26">
        <v>2</v>
      </c>
      <c r="K26" t="s">
        <v>7247</v>
      </c>
      <c r="L26">
        <f t="shared" si="0"/>
        <v>1</v>
      </c>
      <c r="M26" cm="1">
        <f t="array" ref="M26">INDEX($BT26:$DH26,$B$2)</f>
        <v>24</v>
      </c>
      <c r="N26" t="str" cm="1">
        <f t="array" ref="N26">IF(M26=0,"",INDEX(auto_ddCountry,M26))</f>
        <v>Kuwait City</v>
      </c>
      <c r="O26" cm="1">
        <f t="array" ref="O26">INDEX($BT26:$DH26,$O$2)</f>
        <v>24</v>
      </c>
      <c r="P26" t="str" cm="1">
        <f t="array" ref="P26">IF(O26=0,"",INDEX(auto_ddCountry,O26))</f>
        <v>Kuwait City</v>
      </c>
      <c r="Q26" cm="1">
        <f t="array" ref="Q26">IF($A26=Q$2,3,IF($C$2=1,1,IF(INDEX($U26:$BI26,$C$2)=1,2,1)))</f>
        <v>1</v>
      </c>
      <c r="T26">
        <v>0</v>
      </c>
      <c r="U26">
        <v>1</v>
      </c>
      <c r="V26">
        <v>0</v>
      </c>
      <c r="W26">
        <v>0</v>
      </c>
      <c r="X26">
        <v>1</v>
      </c>
      <c r="Y26">
        <v>0</v>
      </c>
      <c r="Z26">
        <v>0</v>
      </c>
      <c r="AA26">
        <v>0</v>
      </c>
      <c r="AB26">
        <v>0</v>
      </c>
      <c r="AC26">
        <v>0</v>
      </c>
      <c r="AD26">
        <v>1</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t="str">
        <f t="shared" si="3"/>
        <v>Kuwait City</v>
      </c>
      <c r="BK26">
        <v>25</v>
      </c>
      <c r="BT26">
        <v>24</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31</v>
      </c>
    </row>
    <row r="27" spans="1:112" x14ac:dyDescent="0.4">
      <c r="A27">
        <v>25</v>
      </c>
      <c r="B27" cm="1">
        <f t="array" ref="B27">IF(A27=0,0,INDEX($U27:$BI27,$B$2))</f>
        <v>1</v>
      </c>
      <c r="C27" cm="1">
        <f t="array" ref="C27">IF(A27=0,0,IF(C$2=1,0,IF(B27=0,0,2*INDEX($U27:$BI27,C$2))))</f>
        <v>0</v>
      </c>
      <c r="D27">
        <f t="shared" si="1"/>
        <v>0</v>
      </c>
      <c r="E27">
        <f t="shared" si="2"/>
        <v>1</v>
      </c>
      <c r="F27" t="s">
        <v>2719</v>
      </c>
      <c r="G27" t="s">
        <v>1767</v>
      </c>
      <c r="H27" t="s">
        <v>1768</v>
      </c>
      <c r="I27">
        <v>2</v>
      </c>
      <c r="K27" t="s">
        <v>7229</v>
      </c>
      <c r="L27">
        <f t="shared" si="0"/>
        <v>1</v>
      </c>
      <c r="M27" cm="1">
        <f t="array" ref="M27">INDEX($BT27:$DH27,$B$2)</f>
        <v>25</v>
      </c>
      <c r="N27" t="str" cm="1">
        <f t="array" ref="N27">IF(M27=0,"",INDEX(auto_ddCountry,M27))</f>
        <v>Lagos</v>
      </c>
      <c r="O27" cm="1">
        <f t="array" ref="O27">INDEX($BT27:$DH27,$O$2)</f>
        <v>25</v>
      </c>
      <c r="P27" t="str" cm="1">
        <f t="array" ref="P27">IF(O27=0,"",INDEX(auto_ddCountry,O27))</f>
        <v>Lagos</v>
      </c>
      <c r="Q27" cm="1">
        <f t="array" ref="Q27">IF($A27=Q$2,3,IF($C$2=1,1,IF(INDEX($U27:$BI27,$C$2)=1,2,1)))</f>
        <v>1</v>
      </c>
      <c r="T27">
        <v>0</v>
      </c>
      <c r="U27">
        <v>1</v>
      </c>
      <c r="V27">
        <v>1</v>
      </c>
      <c r="W27">
        <v>0</v>
      </c>
      <c r="X27">
        <v>0</v>
      </c>
      <c r="Y27">
        <v>0</v>
      </c>
      <c r="Z27">
        <v>0</v>
      </c>
      <c r="AA27">
        <v>0</v>
      </c>
      <c r="AB27">
        <v>1</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t="str">
        <f t="shared" si="3"/>
        <v>Lagos</v>
      </c>
      <c r="BK27">
        <v>26</v>
      </c>
      <c r="BT27">
        <v>25</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32</v>
      </c>
    </row>
    <row r="28" spans="1:112" x14ac:dyDescent="0.4">
      <c r="A28">
        <v>26</v>
      </c>
      <c r="B28" cm="1">
        <f t="array" ref="B28">IF(A28=0,0,INDEX($U28:$BI28,$B$2))</f>
        <v>1</v>
      </c>
      <c r="C28" cm="1">
        <f t="array" ref="C28">IF(A28=0,0,IF(C$2=1,0,IF(B28=0,0,2*INDEX($U28:$BI28,C$2))))</f>
        <v>0</v>
      </c>
      <c r="D28">
        <f t="shared" si="1"/>
        <v>0</v>
      </c>
      <c r="E28">
        <f t="shared" si="2"/>
        <v>1</v>
      </c>
      <c r="F28" t="s">
        <v>2755</v>
      </c>
      <c r="G28" t="s">
        <v>1762</v>
      </c>
      <c r="H28" t="s">
        <v>2756</v>
      </c>
      <c r="I28">
        <v>2</v>
      </c>
      <c r="K28" t="s">
        <v>7246</v>
      </c>
      <c r="L28">
        <f t="shared" si="0"/>
        <v>1</v>
      </c>
      <c r="M28" cm="1">
        <f t="array" ref="M28">INDEX($BT28:$DH28,$B$2)</f>
        <v>26</v>
      </c>
      <c r="N28" t="str" cm="1">
        <f t="array" ref="N28">IF(M28=0,"",INDEX(auto_ddCountry,M28))</f>
        <v>London</v>
      </c>
      <c r="O28" cm="1">
        <f t="array" ref="O28">INDEX($BT28:$DH28,$O$2)</f>
        <v>26</v>
      </c>
      <c r="P28" t="str" cm="1">
        <f t="array" ref="P28">IF(O28=0,"",INDEX(auto_ddCountry,O28))</f>
        <v>London</v>
      </c>
      <c r="Q28" cm="1">
        <f t="array" ref="Q28">IF($A28=Q$2,3,IF($C$2=1,1,IF(INDEX($U28:$BI28,$C$2)=1,2,1)))</f>
        <v>1</v>
      </c>
      <c r="T28">
        <v>0</v>
      </c>
      <c r="U28">
        <v>1</v>
      </c>
      <c r="V28">
        <v>0</v>
      </c>
      <c r="W28">
        <v>0</v>
      </c>
      <c r="X28">
        <v>0</v>
      </c>
      <c r="Y28">
        <v>1</v>
      </c>
      <c r="Z28">
        <v>0</v>
      </c>
      <c r="AA28">
        <v>0</v>
      </c>
      <c r="AB28">
        <v>0</v>
      </c>
      <c r="AC28">
        <v>0</v>
      </c>
      <c r="AD28">
        <v>1</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t="str">
        <f t="shared" si="3"/>
        <v>London</v>
      </c>
      <c r="BK28">
        <v>27</v>
      </c>
      <c r="BT28">
        <v>26</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33</v>
      </c>
    </row>
    <row r="29" spans="1:112" x14ac:dyDescent="0.4">
      <c r="A29">
        <v>27</v>
      </c>
      <c r="B29" cm="1">
        <f t="array" ref="B29">IF(A29=0,0,INDEX($U29:$BI29,$B$2))</f>
        <v>1</v>
      </c>
      <c r="C29" cm="1">
        <f t="array" ref="C29">IF(A29=0,0,IF(C$2=1,0,IF(B29=0,0,2*INDEX($U29:$BI29,C$2))))</f>
        <v>0</v>
      </c>
      <c r="D29">
        <f t="shared" si="1"/>
        <v>0</v>
      </c>
      <c r="E29">
        <f t="shared" si="2"/>
        <v>1</v>
      </c>
      <c r="F29" t="s">
        <v>2757</v>
      </c>
      <c r="G29" t="s">
        <v>2758</v>
      </c>
      <c r="H29" t="s">
        <v>2759</v>
      </c>
      <c r="I29">
        <v>2</v>
      </c>
      <c r="K29" t="s">
        <v>7246</v>
      </c>
      <c r="L29">
        <f t="shared" si="0"/>
        <v>1</v>
      </c>
      <c r="M29" cm="1">
        <f t="array" ref="M29">INDEX($BT29:$DH29,$B$2)</f>
        <v>27</v>
      </c>
      <c r="N29" t="str" cm="1">
        <f t="array" ref="N29">IF(M29=0,"",INDEX(auto_ddCountry,M29))</f>
        <v>Madrid</v>
      </c>
      <c r="O29" cm="1">
        <f t="array" ref="O29">INDEX($BT29:$DH29,$O$2)</f>
        <v>27</v>
      </c>
      <c r="P29" t="str" cm="1">
        <f t="array" ref="P29">IF(O29=0,"",INDEX(auto_ddCountry,O29))</f>
        <v>Madrid</v>
      </c>
      <c r="Q29" cm="1">
        <f t="array" ref="Q29">IF($A29=Q$2,3,IF($C$2=1,1,IF(INDEX($U29:$BI29,$C$2)=1,2,1)))</f>
        <v>1</v>
      </c>
      <c r="T29">
        <v>0</v>
      </c>
      <c r="U29">
        <v>1</v>
      </c>
      <c r="V29">
        <v>0</v>
      </c>
      <c r="W29">
        <v>0</v>
      </c>
      <c r="X29">
        <v>0</v>
      </c>
      <c r="Y29">
        <v>1</v>
      </c>
      <c r="Z29">
        <v>0</v>
      </c>
      <c r="AA29">
        <v>0</v>
      </c>
      <c r="AB29">
        <v>0</v>
      </c>
      <c r="AC29">
        <v>0</v>
      </c>
      <c r="AD29">
        <v>1</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t="str">
        <f t="shared" si="3"/>
        <v>Madrid</v>
      </c>
      <c r="BK29">
        <v>28</v>
      </c>
      <c r="BT29">
        <v>27</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35</v>
      </c>
    </row>
    <row r="30" spans="1:112" x14ac:dyDescent="0.4">
      <c r="A30">
        <v>28</v>
      </c>
      <c r="B30" cm="1">
        <f t="array" ref="B30">IF(A30=0,0,INDEX($U30:$BI30,$B$2))</f>
        <v>1</v>
      </c>
      <c r="C30" cm="1">
        <f t="array" ref="C30">IF(A30=0,0,IF(C$2=1,0,IF(B30=0,0,2*INDEX($U30:$BI30,C$2))))</f>
        <v>0</v>
      </c>
      <c r="D30">
        <f t="shared" si="1"/>
        <v>0</v>
      </c>
      <c r="E30">
        <f t="shared" si="2"/>
        <v>1</v>
      </c>
      <c r="F30" t="s">
        <v>2816</v>
      </c>
      <c r="G30" t="s">
        <v>2817</v>
      </c>
      <c r="H30" t="s">
        <v>2818</v>
      </c>
      <c r="I30">
        <v>2</v>
      </c>
      <c r="K30" t="s">
        <v>7232</v>
      </c>
      <c r="L30">
        <f t="shared" si="0"/>
        <v>1</v>
      </c>
      <c r="M30" cm="1">
        <f t="array" ref="M30">INDEX($BT30:$DH30,$B$2)</f>
        <v>28</v>
      </c>
      <c r="N30" t="str" cm="1">
        <f t="array" ref="N30">IF(M30=0,"",INDEX(auto_ddCountry,M30))</f>
        <v>Manila</v>
      </c>
      <c r="O30" cm="1">
        <f t="array" ref="O30">INDEX($BT30:$DH30,$O$2)</f>
        <v>28</v>
      </c>
      <c r="P30" t="str" cm="1">
        <f t="array" ref="P30">IF(O30=0,"",INDEX(auto_ddCountry,O30))</f>
        <v>Manila</v>
      </c>
      <c r="Q30" cm="1">
        <f t="array" ref="Q30">IF($A30=Q$2,3,IF($C$2=1,1,IF(INDEX($U30:$BI30,$C$2)=1,2,1)))</f>
        <v>1</v>
      </c>
      <c r="T30">
        <v>0</v>
      </c>
      <c r="U30">
        <v>1</v>
      </c>
      <c r="V30">
        <v>0</v>
      </c>
      <c r="W30">
        <v>0</v>
      </c>
      <c r="X30">
        <v>0</v>
      </c>
      <c r="Y30">
        <v>0</v>
      </c>
      <c r="Z30">
        <v>0</v>
      </c>
      <c r="AA30">
        <v>1</v>
      </c>
      <c r="AB30">
        <v>1</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t="str">
        <f t="shared" si="3"/>
        <v>Manila</v>
      </c>
      <c r="BK30">
        <v>29</v>
      </c>
      <c r="BT30">
        <v>28</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36</v>
      </c>
    </row>
    <row r="31" spans="1:112" x14ac:dyDescent="0.4">
      <c r="A31">
        <v>29</v>
      </c>
      <c r="B31" cm="1">
        <f t="array" ref="B31">IF(A31=0,0,INDEX($U31:$BI31,$B$2))</f>
        <v>1</v>
      </c>
      <c r="C31" cm="1">
        <f t="array" ref="C31">IF(A31=0,0,IF(C$2=1,0,IF(B31=0,0,2*INDEX($U31:$BI31,C$2))))</f>
        <v>0</v>
      </c>
      <c r="D31">
        <f t="shared" si="1"/>
        <v>0</v>
      </c>
      <c r="E31">
        <f t="shared" si="2"/>
        <v>1</v>
      </c>
      <c r="F31" t="s">
        <v>1743</v>
      </c>
      <c r="G31" t="s">
        <v>1744</v>
      </c>
      <c r="H31" t="s">
        <v>1745</v>
      </c>
      <c r="I31">
        <v>2</v>
      </c>
      <c r="K31" t="s">
        <v>7245</v>
      </c>
      <c r="L31">
        <f t="shared" si="0"/>
        <v>1</v>
      </c>
      <c r="M31" cm="1">
        <f t="array" ref="M31">INDEX($BT31:$DH31,$B$2)</f>
        <v>29</v>
      </c>
      <c r="N31" t="str" cm="1">
        <f t="array" ref="N31">IF(M31=0,"",INDEX(auto_ddCountry,M31))</f>
        <v>Melbourne</v>
      </c>
      <c r="O31" cm="1">
        <f t="array" ref="O31">INDEX($BT31:$DH31,$O$2)</f>
        <v>29</v>
      </c>
      <c r="P31" t="str" cm="1">
        <f t="array" ref="P31">IF(O31=0,"",INDEX(auto_ddCountry,O31))</f>
        <v>Melbourne</v>
      </c>
      <c r="Q31" cm="1">
        <f t="array" ref="Q31">IF($A31=Q$2,3,IF($C$2=1,1,IF(INDEX($U31:$BI31,$C$2)=1,2,1)))</f>
        <v>1</v>
      </c>
      <c r="T31">
        <v>0</v>
      </c>
      <c r="U31">
        <v>1</v>
      </c>
      <c r="V31">
        <v>0</v>
      </c>
      <c r="W31">
        <v>0</v>
      </c>
      <c r="X31">
        <v>0</v>
      </c>
      <c r="Y31">
        <v>0</v>
      </c>
      <c r="Z31">
        <v>0</v>
      </c>
      <c r="AA31">
        <v>1</v>
      </c>
      <c r="AB31">
        <v>0</v>
      </c>
      <c r="AC31">
        <v>0</v>
      </c>
      <c r="AD31">
        <v>1</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t="str">
        <f t="shared" si="3"/>
        <v>Melbourne</v>
      </c>
      <c r="BK31">
        <v>30</v>
      </c>
      <c r="BT31">
        <v>29</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37</v>
      </c>
    </row>
    <row r="32" spans="1:112" x14ac:dyDescent="0.4">
      <c r="A32">
        <v>30</v>
      </c>
      <c r="B32" cm="1">
        <f t="array" ref="B32">IF(A32=0,0,INDEX($U32:$BI32,$B$2))</f>
        <v>1</v>
      </c>
      <c r="C32" cm="1">
        <f t="array" ref="C32">IF(A32=0,0,IF(C$2=1,0,IF(B32=0,0,2*INDEX($U32:$BI32,C$2))))</f>
        <v>0</v>
      </c>
      <c r="D32">
        <f t="shared" si="1"/>
        <v>0</v>
      </c>
      <c r="E32">
        <f t="shared" si="2"/>
        <v>1</v>
      </c>
      <c r="F32" t="s">
        <v>1755</v>
      </c>
      <c r="G32" t="s">
        <v>1756</v>
      </c>
      <c r="H32" t="s">
        <v>1757</v>
      </c>
      <c r="I32">
        <v>2</v>
      </c>
      <c r="K32" t="s">
        <v>7239</v>
      </c>
      <c r="L32">
        <f t="shared" si="0"/>
        <v>1</v>
      </c>
      <c r="M32" cm="1">
        <f t="array" ref="M32">INDEX($BT32:$DH32,$B$2)</f>
        <v>30</v>
      </c>
      <c r="N32" t="str" cm="1">
        <f t="array" ref="N32">IF(M32=0,"",INDEX(auto_ddCountry,M32))</f>
        <v>Mexico City</v>
      </c>
      <c r="O32" cm="1">
        <f t="array" ref="O32">INDEX($BT32:$DH32,$O$2)</f>
        <v>30</v>
      </c>
      <c r="P32" t="str" cm="1">
        <f t="array" ref="P32">IF(O32=0,"",INDEX(auto_ddCountry,O32))</f>
        <v>Mexico City</v>
      </c>
      <c r="Q32" cm="1">
        <f t="array" ref="Q32">IF($A32=Q$2,3,IF($C$2=1,1,IF(INDEX($U32:$BI32,$C$2)=1,2,1)))</f>
        <v>1</v>
      </c>
      <c r="T32">
        <v>0</v>
      </c>
      <c r="U32">
        <v>1</v>
      </c>
      <c r="V32">
        <v>0</v>
      </c>
      <c r="W32">
        <v>1</v>
      </c>
      <c r="X32">
        <v>0</v>
      </c>
      <c r="Y32">
        <v>0</v>
      </c>
      <c r="Z32">
        <v>0</v>
      </c>
      <c r="AA32">
        <v>0</v>
      </c>
      <c r="AB32">
        <v>0</v>
      </c>
      <c r="AC32">
        <v>1</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t="str">
        <f t="shared" si="3"/>
        <v>Mexico City</v>
      </c>
      <c r="BK32">
        <v>31</v>
      </c>
      <c r="BT32">
        <v>30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38</v>
      </c>
    </row>
    <row r="33" spans="1:112" x14ac:dyDescent="0.4">
      <c r="A33">
        <v>31</v>
      </c>
      <c r="B33" cm="1">
        <f t="array" ref="B33">IF(A33=0,0,INDEX($U33:$BI33,$B$2))</f>
        <v>1</v>
      </c>
      <c r="C33" cm="1">
        <f t="array" ref="C33">IF(A33=0,0,IF(C$2=1,0,IF(B33=0,0,2*INDEX($U33:$BI33,C$2))))</f>
        <v>0</v>
      </c>
      <c r="D33">
        <f t="shared" si="1"/>
        <v>0</v>
      </c>
      <c r="E33">
        <f t="shared" si="2"/>
        <v>1</v>
      </c>
      <c r="F33" t="s">
        <v>2760</v>
      </c>
      <c r="G33" t="s">
        <v>2761</v>
      </c>
      <c r="H33" t="s">
        <v>2762</v>
      </c>
      <c r="I33">
        <v>2</v>
      </c>
      <c r="K33" t="s">
        <v>7240</v>
      </c>
      <c r="L33">
        <f t="shared" si="0"/>
        <v>1</v>
      </c>
      <c r="M33" cm="1">
        <f t="array" ref="M33">INDEX($BT33:$DH33,$B$2)</f>
        <v>31</v>
      </c>
      <c r="N33" t="str" cm="1">
        <f t="array" ref="N33">IF(M33=0,"",INDEX(auto_ddCountry,M33))</f>
        <v>Moscow</v>
      </c>
      <c r="O33" cm="1">
        <f t="array" ref="O33">INDEX($BT33:$DH33,$O$2)</f>
        <v>31</v>
      </c>
      <c r="P33" t="str" cm="1">
        <f t="array" ref="P33">IF(O33=0,"",INDEX(auto_ddCountry,O33))</f>
        <v>Moscow</v>
      </c>
      <c r="Q33" cm="1">
        <f t="array" ref="Q33">IF($A33=Q$2,3,IF($C$2=1,1,IF(INDEX($U33:$BI33,$C$2)=1,2,1)))</f>
        <v>1</v>
      </c>
      <c r="T33">
        <v>0</v>
      </c>
      <c r="U33">
        <v>1</v>
      </c>
      <c r="V33">
        <v>0</v>
      </c>
      <c r="W33">
        <v>0</v>
      </c>
      <c r="X33">
        <v>0</v>
      </c>
      <c r="Y33">
        <v>1</v>
      </c>
      <c r="Z33">
        <v>0</v>
      </c>
      <c r="AA33">
        <v>0</v>
      </c>
      <c r="AB33">
        <v>0</v>
      </c>
      <c r="AC33">
        <v>1</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t="str">
        <f t="shared" si="3"/>
        <v>Moscow</v>
      </c>
      <c r="BK33">
        <v>32</v>
      </c>
      <c r="BT33">
        <v>31</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39</v>
      </c>
    </row>
    <row r="34" spans="1:112" x14ac:dyDescent="0.4">
      <c r="A34">
        <v>32</v>
      </c>
      <c r="B34" cm="1">
        <f t="array" ref="B34">IF(A34=0,0,INDEX($U34:$BI34,$B$2))</f>
        <v>1</v>
      </c>
      <c r="C34" cm="1">
        <f t="array" ref="C34">IF(A34=0,0,IF(C$2=1,0,IF(B34=0,0,2*INDEX($U34:$BI34,C$2))))</f>
        <v>0</v>
      </c>
      <c r="D34">
        <f t="shared" si="1"/>
        <v>0</v>
      </c>
      <c r="E34">
        <f t="shared" si="2"/>
        <v>1</v>
      </c>
      <c r="F34" t="s">
        <v>2778</v>
      </c>
      <c r="G34" t="s">
        <v>2779</v>
      </c>
      <c r="H34" t="s">
        <v>2780</v>
      </c>
      <c r="I34">
        <v>2</v>
      </c>
      <c r="K34" t="s">
        <v>7231</v>
      </c>
      <c r="L34">
        <f t="shared" si="0"/>
        <v>1</v>
      </c>
      <c r="M34" cm="1">
        <f t="array" ref="M34">INDEX($BT34:$DH34,$B$2)</f>
        <v>32</v>
      </c>
      <c r="N34" t="str" cm="1">
        <f t="array" ref="N34">IF(M34=0,"",INDEX(auto_ddCountry,M34))</f>
        <v>Mumbai</v>
      </c>
      <c r="O34" cm="1">
        <f t="array" ref="O34">INDEX($BT34:$DH34,$O$2)</f>
        <v>32</v>
      </c>
      <c r="P34" t="str" cm="1">
        <f t="array" ref="P34">IF(O34=0,"",INDEX(auto_ddCountry,O34))</f>
        <v>Mumbai</v>
      </c>
      <c r="Q34" cm="1">
        <f t="array" ref="Q34">IF($A34=Q$2,3,IF($C$2=1,1,IF(INDEX($U34:$BI34,$C$2)=1,2,1)))</f>
        <v>1</v>
      </c>
      <c r="T34">
        <v>0</v>
      </c>
      <c r="U34">
        <v>1</v>
      </c>
      <c r="V34">
        <v>0</v>
      </c>
      <c r="W34">
        <v>0</v>
      </c>
      <c r="X34">
        <v>0</v>
      </c>
      <c r="Y34">
        <v>0</v>
      </c>
      <c r="Z34">
        <v>1</v>
      </c>
      <c r="AA34">
        <v>0</v>
      </c>
      <c r="AB34">
        <v>1</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t="str">
        <f t="shared" si="3"/>
        <v>Mumbai</v>
      </c>
      <c r="BK34">
        <v>33</v>
      </c>
      <c r="BT34">
        <v>32</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40</v>
      </c>
    </row>
    <row r="35" spans="1:112" x14ac:dyDescent="0.4">
      <c r="A35">
        <v>33</v>
      </c>
      <c r="B35" cm="1">
        <f t="array" ref="B35">IF(A35=0,0,INDEX($U35:$BI35,$B$2))</f>
        <v>1</v>
      </c>
      <c r="C35" cm="1">
        <f t="array" ref="C35">IF(A35=0,0,IF(C$2=1,0,IF(B35=0,0,2*INDEX($U35:$BI35,C$2))))</f>
        <v>0</v>
      </c>
      <c r="D35">
        <f t="shared" si="1"/>
        <v>0</v>
      </c>
      <c r="E35">
        <f t="shared" si="2"/>
        <v>1</v>
      </c>
      <c r="F35" t="s">
        <v>2726</v>
      </c>
      <c r="G35" t="s">
        <v>2727</v>
      </c>
      <c r="H35" t="s">
        <v>2728</v>
      </c>
      <c r="I35">
        <v>2</v>
      </c>
      <c r="K35" t="s">
        <v>7229</v>
      </c>
      <c r="L35">
        <f t="shared" si="0"/>
        <v>1</v>
      </c>
      <c r="M35" cm="1">
        <f t="array" ref="M35">INDEX($BT35:$DH35,$B$2)</f>
        <v>33</v>
      </c>
      <c r="N35" t="str" cm="1">
        <f t="array" ref="N35">IF(M35=0,"",INDEX(auto_ddCountry,M35))</f>
        <v>Nairobi</v>
      </c>
      <c r="O35" cm="1">
        <f t="array" ref="O35">INDEX($BT35:$DH35,$O$2)</f>
        <v>33</v>
      </c>
      <c r="P35" t="str" cm="1">
        <f t="array" ref="P35">IF(O35=0,"",INDEX(auto_ddCountry,O35))</f>
        <v>Nairobi</v>
      </c>
      <c r="Q35" cm="1">
        <f t="array" ref="Q35">IF($A35=Q$2,3,IF($C$2=1,1,IF(INDEX($U35:$BI35,$C$2)=1,2,1)))</f>
        <v>1</v>
      </c>
      <c r="T35">
        <v>0</v>
      </c>
      <c r="U35">
        <v>1</v>
      </c>
      <c r="V35">
        <v>1</v>
      </c>
      <c r="W35">
        <v>0</v>
      </c>
      <c r="X35">
        <v>0</v>
      </c>
      <c r="Y35">
        <v>0</v>
      </c>
      <c r="Z35">
        <v>0</v>
      </c>
      <c r="AA35">
        <v>0</v>
      </c>
      <c r="AB35">
        <v>1</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t="str">
        <f t="shared" si="3"/>
        <v>Nairobi</v>
      </c>
      <c r="BK35">
        <v>34</v>
      </c>
      <c r="BT35">
        <v>33</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41</v>
      </c>
    </row>
    <row r="36" spans="1:112" x14ac:dyDescent="0.4">
      <c r="A36">
        <v>34</v>
      </c>
      <c r="B36" cm="1">
        <f t="array" ref="B36">IF(A36=0,0,INDEX($U36:$BI36,$B$2))</f>
        <v>1</v>
      </c>
      <c r="C36" cm="1">
        <f t="array" ref="C36">IF(A36=0,0,IF(C$2=1,0,IF(B36=0,0,2*INDEX($U36:$BI36,C$2))))</f>
        <v>0</v>
      </c>
      <c r="D36">
        <f t="shared" si="1"/>
        <v>0</v>
      </c>
      <c r="E36">
        <f t="shared" si="2"/>
        <v>1</v>
      </c>
      <c r="F36" t="s">
        <v>1754</v>
      </c>
      <c r="G36" t="s">
        <v>7626</v>
      </c>
      <c r="H36" t="s">
        <v>7627</v>
      </c>
      <c r="I36">
        <v>2</v>
      </c>
      <c r="K36" t="s">
        <v>7244</v>
      </c>
      <c r="L36">
        <f t="shared" si="0"/>
        <v>1</v>
      </c>
      <c r="M36" cm="1">
        <f t="array" ref="M36">INDEX($BT36:$DH36,$B$2)</f>
        <v>34</v>
      </c>
      <c r="N36" t="str" cm="1">
        <f t="array" ref="N36">IF(M36=0,"",INDEX(auto_ddCountry,M36))</f>
        <v>New York City</v>
      </c>
      <c r="O36" cm="1">
        <f t="array" ref="O36">INDEX($BT36:$DH36,$O$2)</f>
        <v>34</v>
      </c>
      <c r="P36" t="str" cm="1">
        <f t="array" ref="P36">IF(O36=0,"",INDEX(auto_ddCountry,O36))</f>
        <v>New York City</v>
      </c>
      <c r="Q36" cm="1">
        <f t="array" ref="Q36">IF($A36=Q$2,3,IF($C$2=1,1,IF(INDEX($U36:$BI36,$C$2)=1,2,1)))</f>
        <v>1</v>
      </c>
      <c r="T36">
        <v>0</v>
      </c>
      <c r="U36">
        <v>1</v>
      </c>
      <c r="V36">
        <v>0</v>
      </c>
      <c r="W36">
        <v>1</v>
      </c>
      <c r="X36">
        <v>0</v>
      </c>
      <c r="Y36">
        <v>0</v>
      </c>
      <c r="Z36">
        <v>0</v>
      </c>
      <c r="AA36">
        <v>0</v>
      </c>
      <c r="AB36">
        <v>0</v>
      </c>
      <c r="AC36">
        <v>0</v>
      </c>
      <c r="AD36">
        <v>1</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t="str">
        <f t="shared" si="3"/>
        <v>New York City</v>
      </c>
      <c r="BK36">
        <v>35</v>
      </c>
      <c r="BT36">
        <v>34</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42</v>
      </c>
    </row>
    <row r="37" spans="1:112" x14ac:dyDescent="0.4">
      <c r="A37">
        <v>35</v>
      </c>
      <c r="B37" cm="1">
        <f t="array" ref="B37">IF(A37=0,0,INDEX($U37:$BI37,$B$2))</f>
        <v>1</v>
      </c>
      <c r="C37" cm="1">
        <f t="array" ref="C37">IF(A37=0,0,IF(C$2=1,0,IF(B37=0,0,2*INDEX($U37:$BI37,C$2))))</f>
        <v>0</v>
      </c>
      <c r="D37">
        <f t="shared" si="1"/>
        <v>0</v>
      </c>
      <c r="E37">
        <f t="shared" si="2"/>
        <v>1</v>
      </c>
      <c r="F37" t="s">
        <v>2794</v>
      </c>
      <c r="G37" t="s">
        <v>2795</v>
      </c>
      <c r="H37" t="s">
        <v>2796</v>
      </c>
      <c r="I37">
        <v>2</v>
      </c>
      <c r="K37" t="s">
        <v>7245</v>
      </c>
      <c r="L37">
        <f t="shared" si="0"/>
        <v>1</v>
      </c>
      <c r="M37" cm="1">
        <f t="array" ref="M37">INDEX($BT37:$DH37,$B$2)</f>
        <v>35</v>
      </c>
      <c r="N37" t="str" cm="1">
        <f t="array" ref="N37">IF(M37=0,"",INDEX(auto_ddCountry,M37))</f>
        <v>Osaka</v>
      </c>
      <c r="O37" cm="1">
        <f t="array" ref="O37">INDEX($BT37:$DH37,$O$2)</f>
        <v>35</v>
      </c>
      <c r="P37" t="str" cm="1">
        <f t="array" ref="P37">IF(O37=0,"",INDEX(auto_ddCountry,O37))</f>
        <v>Osaka</v>
      </c>
      <c r="Q37" cm="1">
        <f t="array" ref="Q37">IF($A37=Q$2,3,IF($C$2=1,1,IF(INDEX($U37:$BI37,$C$2)=1,2,1)))</f>
        <v>1</v>
      </c>
      <c r="T37">
        <v>0</v>
      </c>
      <c r="U37">
        <v>1</v>
      </c>
      <c r="V37">
        <v>0</v>
      </c>
      <c r="W37">
        <v>0</v>
      </c>
      <c r="X37">
        <v>0</v>
      </c>
      <c r="Y37">
        <v>0</v>
      </c>
      <c r="Z37">
        <v>0</v>
      </c>
      <c r="AA37">
        <v>1</v>
      </c>
      <c r="AB37">
        <v>0</v>
      </c>
      <c r="AC37">
        <v>0</v>
      </c>
      <c r="AD37">
        <v>1</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t="str">
        <f t="shared" si="3"/>
        <v>Osaka</v>
      </c>
      <c r="BK37">
        <v>36</v>
      </c>
      <c r="BT37">
        <v>35</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43</v>
      </c>
    </row>
    <row r="38" spans="1:112" x14ac:dyDescent="0.4">
      <c r="A38">
        <v>36</v>
      </c>
      <c r="B38" cm="1">
        <f t="array" ref="B38">IF(A38=0,0,INDEX($U38:$BI38,$B$2))</f>
        <v>1</v>
      </c>
      <c r="C38" cm="1">
        <f t="array" ref="C38">IF(A38=0,0,IF(C$2=1,0,IF(B38=0,0,2*INDEX($U38:$BI38,C$2))))</f>
        <v>0</v>
      </c>
      <c r="D38">
        <f t="shared" si="1"/>
        <v>0</v>
      </c>
      <c r="E38">
        <f t="shared" si="2"/>
        <v>1</v>
      </c>
      <c r="F38" t="s">
        <v>5742</v>
      </c>
      <c r="G38" t="s">
        <v>2506</v>
      </c>
      <c r="H38" t="s">
        <v>2507</v>
      </c>
      <c r="I38">
        <v>2</v>
      </c>
      <c r="K38" t="s">
        <v>7246</v>
      </c>
      <c r="L38">
        <f t="shared" si="0"/>
        <v>1</v>
      </c>
      <c r="M38" cm="1">
        <f t="array" ref="M38">INDEX($BT38:$DH38,$B$2)</f>
        <v>36</v>
      </c>
      <c r="N38" t="str" cm="1">
        <f t="array" ref="N38">IF(M38=0,"",INDEX(auto_ddCountry,M38))</f>
        <v>Paris</v>
      </c>
      <c r="O38" cm="1">
        <f t="array" ref="O38">INDEX($BT38:$DH38,$O$2)</f>
        <v>36</v>
      </c>
      <c r="P38" t="str" cm="1">
        <f t="array" ref="P38">IF(O38=0,"",INDEX(auto_ddCountry,O38))</f>
        <v>Paris</v>
      </c>
      <c r="Q38" cm="1">
        <f t="array" ref="Q38">IF($A38=Q$2,3,IF($C$2=1,1,IF(INDEX($U38:$BI38,$C$2)=1,2,1)))</f>
        <v>1</v>
      </c>
      <c r="T38">
        <v>0</v>
      </c>
      <c r="U38">
        <v>1</v>
      </c>
      <c r="V38">
        <v>0</v>
      </c>
      <c r="W38">
        <v>0</v>
      </c>
      <c r="X38">
        <v>0</v>
      </c>
      <c r="Y38">
        <v>1</v>
      </c>
      <c r="Z38">
        <v>0</v>
      </c>
      <c r="AA38">
        <v>0</v>
      </c>
      <c r="AB38">
        <v>0</v>
      </c>
      <c r="AC38">
        <v>0</v>
      </c>
      <c r="AD38">
        <v>1</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t="str">
        <f t="shared" si="3"/>
        <v>Paris</v>
      </c>
      <c r="BK38">
        <v>37</v>
      </c>
      <c r="BT38">
        <v>36</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47</v>
      </c>
    </row>
    <row r="39" spans="1:112" x14ac:dyDescent="0.4">
      <c r="A39">
        <v>37</v>
      </c>
      <c r="B39" cm="1">
        <f t="array" ref="B39">IF(A39=0,0,INDEX($U39:$BI39,$B$2))</f>
        <v>1</v>
      </c>
      <c r="C39" cm="1">
        <f t="array" ref="C39">IF(A39=0,0,IF(C$2=1,0,IF(B39=0,0,2*INDEX($U39:$BI39,C$2))))</f>
        <v>0</v>
      </c>
      <c r="D39">
        <f t="shared" si="1"/>
        <v>0</v>
      </c>
      <c r="E39">
        <f t="shared" si="2"/>
        <v>1</v>
      </c>
      <c r="F39" t="s">
        <v>2819</v>
      </c>
      <c r="G39" t="s">
        <v>2820</v>
      </c>
      <c r="H39" t="s">
        <v>2821</v>
      </c>
      <c r="I39">
        <v>2</v>
      </c>
      <c r="K39" t="s">
        <v>7232</v>
      </c>
      <c r="L39">
        <f t="shared" si="0"/>
        <v>1</v>
      </c>
      <c r="M39" cm="1">
        <f t="array" ref="M39">INDEX($BT39:$DH39,$B$2)</f>
        <v>37</v>
      </c>
      <c r="N39" t="str" cm="1">
        <f t="array" ref="N39">IF(M39=0,"",INDEX(auto_ddCountry,M39))</f>
        <v>Phnom Penh</v>
      </c>
      <c r="O39" cm="1">
        <f t="array" ref="O39">INDEX($BT39:$DH39,$O$2)</f>
        <v>37</v>
      </c>
      <c r="P39" t="str" cm="1">
        <f t="array" ref="P39">IF(O39=0,"",INDEX(auto_ddCountry,O39))</f>
        <v>Phnom Penh</v>
      </c>
      <c r="Q39" cm="1">
        <f t="array" ref="Q39">IF($A39=Q$2,3,IF($C$2=1,1,IF(INDEX($U39:$BI39,$C$2)=1,2,1)))</f>
        <v>1</v>
      </c>
      <c r="T39">
        <v>0</v>
      </c>
      <c r="U39">
        <v>1</v>
      </c>
      <c r="V39">
        <v>0</v>
      </c>
      <c r="W39">
        <v>0</v>
      </c>
      <c r="X39">
        <v>0</v>
      </c>
      <c r="Y39">
        <v>0</v>
      </c>
      <c r="Z39">
        <v>0</v>
      </c>
      <c r="AA39">
        <v>1</v>
      </c>
      <c r="AB39">
        <v>1</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t="str">
        <f t="shared" si="3"/>
        <v>Phnom Penh</v>
      </c>
      <c r="BK39">
        <v>38</v>
      </c>
      <c r="BT39">
        <v>37</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0</v>
      </c>
      <c r="DH39">
        <v>500</v>
      </c>
    </row>
    <row r="40" spans="1:112" x14ac:dyDescent="0.4">
      <c r="A40">
        <v>38</v>
      </c>
      <c r="B40" cm="1">
        <f t="array" ref="B40">IF(A40=0,0,INDEX($U40:$BI40,$B$2))</f>
        <v>1</v>
      </c>
      <c r="C40" cm="1">
        <f t="array" ref="C40">IF(A40=0,0,IF(C$2=1,0,IF(B40=0,0,2*INDEX($U40:$BI40,C$2))))</f>
        <v>0</v>
      </c>
      <c r="D40">
        <f t="shared" si="1"/>
        <v>0</v>
      </c>
      <c r="E40">
        <f t="shared" si="2"/>
        <v>1</v>
      </c>
      <c r="F40" t="s">
        <v>2742</v>
      </c>
      <c r="G40" t="s">
        <v>2743</v>
      </c>
      <c r="H40" t="s">
        <v>2744</v>
      </c>
      <c r="I40">
        <v>2</v>
      </c>
      <c r="K40" t="s">
        <v>7247</v>
      </c>
      <c r="L40">
        <f t="shared" si="0"/>
        <v>1</v>
      </c>
      <c r="M40" cm="1">
        <f t="array" ref="M40">INDEX($BT40:$DH40,$B$2)</f>
        <v>38</v>
      </c>
      <c r="N40" t="str" cm="1">
        <f t="array" ref="N40">IF(M40=0,"",INDEX(auto_ddCountry,M40))</f>
        <v>Riyadh</v>
      </c>
      <c r="O40" cm="1">
        <f t="array" ref="O40">INDEX($BT40:$DH40,$O$2)</f>
        <v>38</v>
      </c>
      <c r="P40" t="str" cm="1">
        <f t="array" ref="P40">IF(O40=0,"",INDEX(auto_ddCountry,O40))</f>
        <v>Riyadh</v>
      </c>
      <c r="Q40" cm="1">
        <f t="array" ref="Q40">IF($A40=Q$2,3,IF($C$2=1,1,IF(INDEX($U40:$BI40,$C$2)=1,2,1)))</f>
        <v>1</v>
      </c>
      <c r="T40">
        <v>0</v>
      </c>
      <c r="U40">
        <v>1</v>
      </c>
      <c r="V40">
        <v>0</v>
      </c>
      <c r="W40">
        <v>0</v>
      </c>
      <c r="X40">
        <v>1</v>
      </c>
      <c r="Y40">
        <v>0</v>
      </c>
      <c r="Z40">
        <v>0</v>
      </c>
      <c r="AA40">
        <v>0</v>
      </c>
      <c r="AB40">
        <v>0</v>
      </c>
      <c r="AC40">
        <v>0</v>
      </c>
      <c r="AD40">
        <v>1</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t="str">
        <f t="shared" si="3"/>
        <v>Riyadh</v>
      </c>
      <c r="BK40">
        <v>39</v>
      </c>
      <c r="BT40">
        <v>38</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c r="CP40">
        <v>0</v>
      </c>
      <c r="CQ40">
        <v>0</v>
      </c>
      <c r="CR40">
        <v>0</v>
      </c>
      <c r="CS40">
        <v>0</v>
      </c>
      <c r="CT40">
        <v>0</v>
      </c>
      <c r="CU40">
        <v>0</v>
      </c>
      <c r="CV40">
        <v>0</v>
      </c>
      <c r="CW40">
        <v>0</v>
      </c>
      <c r="CX40">
        <v>0</v>
      </c>
      <c r="CY40">
        <v>0</v>
      </c>
      <c r="CZ40">
        <v>0</v>
      </c>
      <c r="DA40">
        <v>0</v>
      </c>
      <c r="DB40">
        <v>0</v>
      </c>
      <c r="DC40">
        <v>0</v>
      </c>
      <c r="DD40">
        <v>0</v>
      </c>
      <c r="DE40">
        <v>0</v>
      </c>
      <c r="DF40">
        <v>0</v>
      </c>
      <c r="DG40">
        <v>0</v>
      </c>
      <c r="DH40">
        <v>500</v>
      </c>
    </row>
    <row r="41" spans="1:112" x14ac:dyDescent="0.4">
      <c r="A41">
        <v>39</v>
      </c>
      <c r="B41" cm="1">
        <f t="array" ref="B41">IF(A41=0,0,INDEX($U41:$BI41,$B$2))</f>
        <v>1</v>
      </c>
      <c r="C41" cm="1">
        <f t="array" ref="C41">IF(A41=0,0,IF(C$2=1,0,IF(B41=0,0,2*INDEX($U41:$BI41,C$2))))</f>
        <v>0</v>
      </c>
      <c r="D41">
        <f t="shared" si="1"/>
        <v>0</v>
      </c>
      <c r="E41">
        <f t="shared" si="2"/>
        <v>1</v>
      </c>
      <c r="F41" t="s">
        <v>2752</v>
      </c>
      <c r="G41" t="s">
        <v>2753</v>
      </c>
      <c r="H41" t="s">
        <v>2754</v>
      </c>
      <c r="I41">
        <v>2</v>
      </c>
      <c r="K41" t="s">
        <v>7246</v>
      </c>
      <c r="L41">
        <f t="shared" si="0"/>
        <v>1</v>
      </c>
      <c r="M41" cm="1">
        <f t="array" ref="M41">INDEX($BT41:$DH41,$B$2)</f>
        <v>39</v>
      </c>
      <c r="N41" t="str" cm="1">
        <f t="array" ref="N41">IF(M41=0,"",INDEX(auto_ddCountry,M41))</f>
        <v>Rome</v>
      </c>
      <c r="O41" cm="1">
        <f t="array" ref="O41">INDEX($BT41:$DH41,$O$2)</f>
        <v>39</v>
      </c>
      <c r="P41" t="str" cm="1">
        <f t="array" ref="P41">IF(O41=0,"",INDEX(auto_ddCountry,O41))</f>
        <v>Rome</v>
      </c>
      <c r="Q41" cm="1">
        <f t="array" ref="Q41">IF($A41=Q$2,3,IF($C$2=1,1,IF(INDEX($U41:$BI41,$C$2)=1,2,1)))</f>
        <v>1</v>
      </c>
      <c r="T41">
        <v>0</v>
      </c>
      <c r="U41">
        <v>1</v>
      </c>
      <c r="V41">
        <v>0</v>
      </c>
      <c r="W41">
        <v>0</v>
      </c>
      <c r="X41">
        <v>0</v>
      </c>
      <c r="Y41">
        <v>1</v>
      </c>
      <c r="Z41">
        <v>0</v>
      </c>
      <c r="AA41">
        <v>0</v>
      </c>
      <c r="AB41">
        <v>0</v>
      </c>
      <c r="AC41">
        <v>0</v>
      </c>
      <c r="AD41">
        <v>1</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t="str">
        <f t="shared" si="3"/>
        <v>Rome</v>
      </c>
      <c r="BK41">
        <v>40</v>
      </c>
      <c r="BT41">
        <v>39</v>
      </c>
      <c r="BU41">
        <v>0</v>
      </c>
      <c r="BV41">
        <v>0</v>
      </c>
      <c r="BW41">
        <v>0</v>
      </c>
      <c r="BX41">
        <v>0</v>
      </c>
      <c r="BY41">
        <v>0</v>
      </c>
      <c r="BZ41">
        <v>0</v>
      </c>
      <c r="CA41">
        <v>0</v>
      </c>
      <c r="CB41">
        <v>0</v>
      </c>
      <c r="CC41">
        <v>0</v>
      </c>
      <c r="CD41">
        <v>0</v>
      </c>
      <c r="CE41">
        <v>0</v>
      </c>
      <c r="CF41">
        <v>0</v>
      </c>
      <c r="CG41">
        <v>0</v>
      </c>
      <c r="CH41">
        <v>0</v>
      </c>
      <c r="CI41">
        <v>0</v>
      </c>
      <c r="CJ41">
        <v>0</v>
      </c>
      <c r="CK41">
        <v>0</v>
      </c>
      <c r="CL41">
        <v>0</v>
      </c>
      <c r="CM41">
        <v>0</v>
      </c>
      <c r="CN41">
        <v>0</v>
      </c>
      <c r="CO41">
        <v>0</v>
      </c>
      <c r="CP41">
        <v>0</v>
      </c>
      <c r="CQ41">
        <v>0</v>
      </c>
      <c r="CR41">
        <v>0</v>
      </c>
      <c r="CS41">
        <v>0</v>
      </c>
      <c r="CT41">
        <v>0</v>
      </c>
      <c r="CU41">
        <v>0</v>
      </c>
      <c r="CV41">
        <v>0</v>
      </c>
      <c r="CW41">
        <v>0</v>
      </c>
      <c r="CX41">
        <v>0</v>
      </c>
      <c r="CY41">
        <v>0</v>
      </c>
      <c r="CZ41">
        <v>0</v>
      </c>
      <c r="DA41">
        <v>0</v>
      </c>
      <c r="DB41">
        <v>0</v>
      </c>
      <c r="DC41">
        <v>0</v>
      </c>
      <c r="DD41">
        <v>0</v>
      </c>
      <c r="DE41">
        <v>0</v>
      </c>
      <c r="DF41">
        <v>0</v>
      </c>
      <c r="DG41">
        <v>0</v>
      </c>
      <c r="DH41">
        <v>500</v>
      </c>
    </row>
    <row r="42" spans="1:112" x14ac:dyDescent="0.4">
      <c r="A42">
        <v>40</v>
      </c>
      <c r="B42" cm="1">
        <f t="array" ref="B42">IF(A42=0,0,INDEX($U42:$BI42,$B$2))</f>
        <v>1</v>
      </c>
      <c r="C42" cm="1">
        <f t="array" ref="C42">IF(A42=0,0,IF(C$2=1,0,IF(B42=0,0,2*INDEX($U42:$BI42,C$2))))</f>
        <v>0</v>
      </c>
      <c r="D42">
        <f t="shared" si="1"/>
        <v>0</v>
      </c>
      <c r="E42">
        <f t="shared" si="2"/>
        <v>1</v>
      </c>
      <c r="F42" t="s">
        <v>2736</v>
      </c>
      <c r="G42" t="s">
        <v>2737</v>
      </c>
      <c r="H42" t="s">
        <v>2738</v>
      </c>
      <c r="I42">
        <v>2</v>
      </c>
      <c r="K42" t="s">
        <v>7244</v>
      </c>
      <c r="L42">
        <f t="shared" si="0"/>
        <v>1</v>
      </c>
      <c r="M42" cm="1">
        <f t="array" ref="M42">INDEX($BT42:$DH42,$B$2)</f>
        <v>40</v>
      </c>
      <c r="N42" t="str" cm="1">
        <f t="array" ref="N42">IF(M42=0,"",INDEX(auto_ddCountry,M42))</f>
        <v>San Francisco</v>
      </c>
      <c r="O42" cm="1">
        <f t="array" ref="O42">INDEX($BT42:$DH42,$O$2)</f>
        <v>40</v>
      </c>
      <c r="P42" t="str" cm="1">
        <f t="array" ref="P42">IF(O42=0,"",INDEX(auto_ddCountry,O42))</f>
        <v>San Francisco</v>
      </c>
      <c r="Q42" cm="1">
        <f t="array" ref="Q42">IF($A42=Q$2,3,IF($C$2=1,1,IF(INDEX($U42:$BI42,$C$2)=1,2,1)))</f>
        <v>1</v>
      </c>
      <c r="T42">
        <v>0</v>
      </c>
      <c r="U42">
        <v>1</v>
      </c>
      <c r="V42">
        <v>0</v>
      </c>
      <c r="W42">
        <v>1</v>
      </c>
      <c r="X42">
        <v>0</v>
      </c>
      <c r="Y42">
        <v>0</v>
      </c>
      <c r="Z42">
        <v>0</v>
      </c>
      <c r="AA42">
        <v>0</v>
      </c>
      <c r="AB42">
        <v>0</v>
      </c>
      <c r="AC42">
        <v>0</v>
      </c>
      <c r="AD42">
        <v>1</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t="str">
        <f t="shared" si="3"/>
        <v>San Francisco</v>
      </c>
      <c r="BK42">
        <v>41</v>
      </c>
      <c r="BT42">
        <v>40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v>0</v>
      </c>
      <c r="CR42">
        <v>0</v>
      </c>
      <c r="CS42">
        <v>0</v>
      </c>
      <c r="CT42">
        <v>0</v>
      </c>
      <c r="CU42">
        <v>0</v>
      </c>
      <c r="CV42">
        <v>0</v>
      </c>
      <c r="CW42">
        <v>0</v>
      </c>
      <c r="CX42">
        <v>0</v>
      </c>
      <c r="CY42">
        <v>0</v>
      </c>
      <c r="CZ42">
        <v>0</v>
      </c>
      <c r="DA42">
        <v>0</v>
      </c>
      <c r="DB42">
        <v>0</v>
      </c>
      <c r="DC42">
        <v>0</v>
      </c>
      <c r="DD42">
        <v>0</v>
      </c>
      <c r="DE42">
        <v>0</v>
      </c>
      <c r="DF42">
        <v>0</v>
      </c>
      <c r="DG42">
        <v>0</v>
      </c>
      <c r="DH42">
        <v>500</v>
      </c>
    </row>
    <row r="43" spans="1:112" x14ac:dyDescent="0.4">
      <c r="A43">
        <v>41</v>
      </c>
      <c r="B43" cm="1">
        <f t="array" ref="B43">IF(A43=0,0,INDEX($U43:$BI43,$B$2))</f>
        <v>1</v>
      </c>
      <c r="C43" cm="1">
        <f t="array" ref="C43">IF(A43=0,0,IF(C$2=1,0,IF(B43=0,0,2*INDEX($U43:$BI43,C$2))))</f>
        <v>0</v>
      </c>
      <c r="D43">
        <f t="shared" si="1"/>
        <v>0</v>
      </c>
      <c r="E43">
        <f t="shared" si="2"/>
        <v>1</v>
      </c>
      <c r="F43" t="s">
        <v>1758</v>
      </c>
      <c r="G43" t="s">
        <v>2473</v>
      </c>
      <c r="H43" t="s">
        <v>5689</v>
      </c>
      <c r="I43">
        <v>2</v>
      </c>
      <c r="K43" t="s">
        <v>7239</v>
      </c>
      <c r="L43">
        <f t="shared" si="0"/>
        <v>1</v>
      </c>
      <c r="M43" cm="1">
        <f t="array" ref="M43">INDEX($BT43:$DH43,$B$2)</f>
        <v>41</v>
      </c>
      <c r="N43" t="str" cm="1">
        <f t="array" ref="N43">IF(M43=0,"",INDEX(auto_ddCountry,M43))</f>
        <v>São Paulo</v>
      </c>
      <c r="O43" cm="1">
        <f t="array" ref="O43">INDEX($BT43:$DH43,$O$2)</f>
        <v>41</v>
      </c>
      <c r="P43" t="str" cm="1">
        <f t="array" ref="P43">IF(O43=0,"",INDEX(auto_ddCountry,O43))</f>
        <v>São Paulo</v>
      </c>
      <c r="Q43" cm="1">
        <f t="array" ref="Q43">IF($A43=Q$2,3,IF($C$2=1,1,IF(INDEX($U43:$BI43,$C$2)=1,2,1)))</f>
        <v>1</v>
      </c>
      <c r="T43">
        <v>0</v>
      </c>
      <c r="U43">
        <v>1</v>
      </c>
      <c r="V43">
        <v>0</v>
      </c>
      <c r="W43">
        <v>1</v>
      </c>
      <c r="X43">
        <v>0</v>
      </c>
      <c r="Y43">
        <v>0</v>
      </c>
      <c r="Z43">
        <v>0</v>
      </c>
      <c r="AA43">
        <v>0</v>
      </c>
      <c r="AB43">
        <v>0</v>
      </c>
      <c r="AC43">
        <v>1</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t="str">
        <f t="shared" si="3"/>
        <v>São Paulo</v>
      </c>
      <c r="BT43">
        <v>41</v>
      </c>
      <c r="BU43">
        <v>0</v>
      </c>
      <c r="BV43">
        <v>0</v>
      </c>
      <c r="BW43">
        <v>0</v>
      </c>
      <c r="BX43">
        <v>0</v>
      </c>
      <c r="BY43">
        <v>0</v>
      </c>
      <c r="BZ43">
        <v>0</v>
      </c>
      <c r="CA43">
        <v>0</v>
      </c>
      <c r="CB43">
        <v>0</v>
      </c>
      <c r="CC43">
        <v>0</v>
      </c>
      <c r="CD43">
        <v>0</v>
      </c>
      <c r="CE43">
        <v>0</v>
      </c>
      <c r="CF43">
        <v>0</v>
      </c>
      <c r="CG43">
        <v>0</v>
      </c>
      <c r="CH43">
        <v>0</v>
      </c>
      <c r="CI43">
        <v>0</v>
      </c>
      <c r="CJ43">
        <v>0</v>
      </c>
      <c r="CK43">
        <v>0</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v>
      </c>
      <c r="DF43">
        <v>0</v>
      </c>
      <c r="DG43">
        <v>0</v>
      </c>
      <c r="DH43">
        <v>500</v>
      </c>
    </row>
    <row r="44" spans="1:112" x14ac:dyDescent="0.4">
      <c r="A44">
        <v>42</v>
      </c>
      <c r="B44" cm="1">
        <f t="array" ref="B44">IF(A44=0,0,INDEX($U44:$BI44,$B$2))</f>
        <v>1</v>
      </c>
      <c r="C44" cm="1">
        <f t="array" ref="C44">IF(A44=0,0,IF(C$2=1,0,IF(B44=0,0,2*INDEX($U44:$BI44,C$2))))</f>
        <v>0</v>
      </c>
      <c r="D44">
        <f t="shared" si="1"/>
        <v>0</v>
      </c>
      <c r="E44">
        <f t="shared" si="2"/>
        <v>1</v>
      </c>
      <c r="F44" t="s">
        <v>2797</v>
      </c>
      <c r="G44" t="s">
        <v>2798</v>
      </c>
      <c r="H44" t="s">
        <v>2799</v>
      </c>
      <c r="I44">
        <v>2</v>
      </c>
      <c r="K44" t="s">
        <v>7245</v>
      </c>
      <c r="L44">
        <f t="shared" si="0"/>
        <v>1</v>
      </c>
      <c r="M44" cm="1">
        <f t="array" ref="M44">INDEX($BT44:$DH44,$B$2)</f>
        <v>42</v>
      </c>
      <c r="N44" t="str" cm="1">
        <f t="array" ref="N44">IF(M44=0,"",INDEX(auto_ddCountry,M44))</f>
        <v>Seoul</v>
      </c>
      <c r="O44" cm="1">
        <f t="array" ref="O44">INDEX($BT44:$DH44,$O$2)</f>
        <v>42</v>
      </c>
      <c r="P44" t="str" cm="1">
        <f t="array" ref="P44">IF(O44=0,"",INDEX(auto_ddCountry,O44))</f>
        <v>Seoul</v>
      </c>
      <c r="Q44" cm="1">
        <f t="array" ref="Q44">IF($A44=Q$2,3,IF($C$2=1,1,IF(INDEX($U44:$BI44,$C$2)=1,2,1)))</f>
        <v>1</v>
      </c>
      <c r="T44">
        <v>0</v>
      </c>
      <c r="U44">
        <v>1</v>
      </c>
      <c r="V44">
        <v>0</v>
      </c>
      <c r="W44">
        <v>0</v>
      </c>
      <c r="X44">
        <v>0</v>
      </c>
      <c r="Y44">
        <v>0</v>
      </c>
      <c r="Z44">
        <v>0</v>
      </c>
      <c r="AA44">
        <v>1</v>
      </c>
      <c r="AB44">
        <v>0</v>
      </c>
      <c r="AC44">
        <v>0</v>
      </c>
      <c r="AD44">
        <v>1</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t="str">
        <f t="shared" si="3"/>
        <v>Seoul</v>
      </c>
      <c r="BT44">
        <v>42</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500</v>
      </c>
    </row>
    <row r="45" spans="1:112" x14ac:dyDescent="0.4">
      <c r="A45">
        <v>43</v>
      </c>
      <c r="B45" cm="1">
        <f t="array" ref="B45">IF(A45=0,0,INDEX($U45:$BI45,$B$2))</f>
        <v>1</v>
      </c>
      <c r="C45" cm="1">
        <f t="array" ref="C45">IF(A45=0,0,IF(C$2=1,0,IF(B45=0,0,2*INDEX($U45:$BI45,C$2))))</f>
        <v>0</v>
      </c>
      <c r="D45">
        <f t="shared" si="1"/>
        <v>0</v>
      </c>
      <c r="E45">
        <f t="shared" si="2"/>
        <v>1</v>
      </c>
      <c r="F45" t="s">
        <v>1746</v>
      </c>
      <c r="G45" t="s">
        <v>1747</v>
      </c>
      <c r="H45" t="s">
        <v>1748</v>
      </c>
      <c r="I45">
        <v>2</v>
      </c>
      <c r="K45" t="s">
        <v>7238</v>
      </c>
      <c r="L45">
        <f t="shared" si="0"/>
        <v>1</v>
      </c>
      <c r="M45" cm="1">
        <f t="array" ref="M45">INDEX($BT45:$DH45,$B$2)</f>
        <v>43</v>
      </c>
      <c r="N45" t="str" cm="1">
        <f t="array" ref="N45">IF(M45=0,"",INDEX(auto_ddCountry,M45))</f>
        <v>Shanghai</v>
      </c>
      <c r="O45" cm="1">
        <f t="array" ref="O45">INDEX($BT45:$DH45,$O$2)</f>
        <v>43</v>
      </c>
      <c r="P45" t="str" cm="1">
        <f t="array" ref="P45">IF(O45=0,"",INDEX(auto_ddCountry,O45))</f>
        <v>Shanghai</v>
      </c>
      <c r="Q45" cm="1">
        <f t="array" ref="Q45">IF($A45=Q$2,3,IF($C$2=1,1,IF(INDEX($U45:$BI45,$C$2)=1,2,1)))</f>
        <v>1</v>
      </c>
      <c r="T45">
        <v>0</v>
      </c>
      <c r="U45">
        <v>1</v>
      </c>
      <c r="V45">
        <v>0</v>
      </c>
      <c r="W45">
        <v>0</v>
      </c>
      <c r="X45">
        <v>0</v>
      </c>
      <c r="Y45">
        <v>0</v>
      </c>
      <c r="Z45">
        <v>0</v>
      </c>
      <c r="AA45">
        <v>1</v>
      </c>
      <c r="AB45">
        <v>0</v>
      </c>
      <c r="AC45">
        <v>1</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v>0</v>
      </c>
      <c r="BH45">
        <v>0</v>
      </c>
      <c r="BI45">
        <v>0</v>
      </c>
      <c r="BJ45" t="str">
        <f t="shared" si="3"/>
        <v>Shanghai</v>
      </c>
      <c r="BT45">
        <v>43</v>
      </c>
      <c r="BU45">
        <v>0</v>
      </c>
      <c r="BV45">
        <v>0</v>
      </c>
      <c r="BW45">
        <v>0</v>
      </c>
      <c r="BX45">
        <v>0</v>
      </c>
      <c r="BY45">
        <v>0</v>
      </c>
      <c r="BZ45">
        <v>0</v>
      </c>
      <c r="CA45">
        <v>0</v>
      </c>
      <c r="CB45">
        <v>0</v>
      </c>
      <c r="CC45">
        <v>0</v>
      </c>
      <c r="CD45">
        <v>0</v>
      </c>
      <c r="CE45">
        <v>0</v>
      </c>
      <c r="CF45">
        <v>0</v>
      </c>
      <c r="CG45">
        <v>0</v>
      </c>
      <c r="CH45">
        <v>0</v>
      </c>
      <c r="CI45">
        <v>0</v>
      </c>
      <c r="CJ45">
        <v>0</v>
      </c>
      <c r="CK45">
        <v>0</v>
      </c>
      <c r="CL45">
        <v>0</v>
      </c>
      <c r="CM45">
        <v>0</v>
      </c>
      <c r="CN45">
        <v>0</v>
      </c>
      <c r="CO45">
        <v>0</v>
      </c>
      <c r="CP45">
        <v>0</v>
      </c>
      <c r="CQ45">
        <v>0</v>
      </c>
      <c r="CR45">
        <v>0</v>
      </c>
      <c r="CS45">
        <v>0</v>
      </c>
      <c r="CT45">
        <v>0</v>
      </c>
      <c r="CU45">
        <v>0</v>
      </c>
      <c r="CV45">
        <v>0</v>
      </c>
      <c r="CW45">
        <v>0</v>
      </c>
      <c r="CX45">
        <v>0</v>
      </c>
      <c r="CY45">
        <v>0</v>
      </c>
      <c r="CZ45">
        <v>0</v>
      </c>
      <c r="DA45">
        <v>0</v>
      </c>
      <c r="DB45">
        <v>0</v>
      </c>
      <c r="DC45">
        <v>0</v>
      </c>
      <c r="DD45">
        <v>0</v>
      </c>
      <c r="DE45">
        <v>0</v>
      </c>
      <c r="DF45">
        <v>0</v>
      </c>
      <c r="DG45">
        <v>0</v>
      </c>
      <c r="DH45">
        <v>500</v>
      </c>
    </row>
    <row r="46" spans="1:112" x14ac:dyDescent="0.4">
      <c r="A46">
        <v>44</v>
      </c>
      <c r="B46" cm="1">
        <f t="array" ref="B46">IF(A46=0,0,INDEX($U46:$BI46,$B$2))</f>
        <v>1</v>
      </c>
      <c r="C46" cm="1">
        <f t="array" ref="C46">IF(A46=0,0,IF(C$2=1,0,IF(B46=0,0,2*INDEX($U46:$BI46,C$2))))</f>
        <v>0</v>
      </c>
      <c r="D46">
        <f t="shared" si="1"/>
        <v>0</v>
      </c>
      <c r="E46">
        <f t="shared" si="2"/>
        <v>1</v>
      </c>
      <c r="F46" t="s">
        <v>1749</v>
      </c>
      <c r="G46" t="s">
        <v>1750</v>
      </c>
      <c r="H46" t="s">
        <v>2792</v>
      </c>
      <c r="I46">
        <v>2</v>
      </c>
      <c r="K46" t="s">
        <v>7245</v>
      </c>
      <c r="L46">
        <f t="shared" si="0"/>
        <v>1</v>
      </c>
      <c r="M46" cm="1">
        <f t="array" ref="M46">INDEX($BT46:$DH46,$B$2)</f>
        <v>44</v>
      </c>
      <c r="N46" t="str" cm="1">
        <f t="array" ref="N46">IF(M46=0,"",INDEX(auto_ddCountry,M46))</f>
        <v>Singapore</v>
      </c>
      <c r="O46" cm="1">
        <f t="array" ref="O46">INDEX($BT46:$DH46,$O$2)</f>
        <v>44</v>
      </c>
      <c r="P46" t="str" cm="1">
        <f t="array" ref="P46">IF(O46=0,"",INDEX(auto_ddCountry,O46))</f>
        <v>Singapore</v>
      </c>
      <c r="Q46" cm="1">
        <f t="array" ref="Q46">IF($A46=Q$2,3,IF($C$2=1,1,IF(INDEX($U46:$BI46,$C$2)=1,2,1)))</f>
        <v>1</v>
      </c>
      <c r="T46">
        <v>0</v>
      </c>
      <c r="U46">
        <v>1</v>
      </c>
      <c r="V46">
        <v>0</v>
      </c>
      <c r="W46">
        <v>0</v>
      </c>
      <c r="X46">
        <v>0</v>
      </c>
      <c r="Y46">
        <v>0</v>
      </c>
      <c r="Z46">
        <v>0</v>
      </c>
      <c r="AA46">
        <v>1</v>
      </c>
      <c r="AB46">
        <v>0</v>
      </c>
      <c r="AC46">
        <v>0</v>
      </c>
      <c r="AD46">
        <v>1</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t="str">
        <f t="shared" si="3"/>
        <v>Singapore</v>
      </c>
      <c r="BT46">
        <v>44</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500</v>
      </c>
    </row>
    <row r="47" spans="1:112" x14ac:dyDescent="0.4">
      <c r="A47">
        <v>45</v>
      </c>
      <c r="B47" cm="1">
        <f t="array" ref="B47">IF(A47=0,0,INDEX($U47:$BI47,$B$2))</f>
        <v>1</v>
      </c>
      <c r="C47" cm="1">
        <f t="array" ref="C47">IF(A47=0,0,IF(C$2=1,0,IF(B47=0,0,2*INDEX($U47:$BI47,C$2))))</f>
        <v>0</v>
      </c>
      <c r="D47">
        <f t="shared" si="1"/>
        <v>0</v>
      </c>
      <c r="E47">
        <f t="shared" si="2"/>
        <v>1</v>
      </c>
      <c r="F47" t="s">
        <v>2807</v>
      </c>
      <c r="G47" t="s">
        <v>2808</v>
      </c>
      <c r="H47" t="s">
        <v>2809</v>
      </c>
      <c r="I47">
        <v>2</v>
      </c>
      <c r="K47" t="s">
        <v>7245</v>
      </c>
      <c r="L47">
        <f t="shared" si="0"/>
        <v>1</v>
      </c>
      <c r="M47" cm="1">
        <f t="array" ref="M47">INDEX($BT47:$DH47,$B$2)</f>
        <v>45</v>
      </c>
      <c r="N47" t="str" cm="1">
        <f t="array" ref="N47">IF(M47=0,"",INDEX(auto_ddCountry,M47))</f>
        <v>Sydney</v>
      </c>
      <c r="O47" cm="1">
        <f t="array" ref="O47">INDEX($BT47:$DH47,$O$2)</f>
        <v>45</v>
      </c>
      <c r="P47" t="str" cm="1">
        <f t="array" ref="P47">IF(O47=0,"",INDEX(auto_ddCountry,O47))</f>
        <v>Sydney</v>
      </c>
      <c r="Q47" cm="1">
        <f t="array" ref="Q47">IF($A47=Q$2,3,IF($C$2=1,1,IF(INDEX($U47:$BI47,$C$2)=1,2,1)))</f>
        <v>1</v>
      </c>
      <c r="T47">
        <v>0</v>
      </c>
      <c r="U47">
        <v>1</v>
      </c>
      <c r="V47">
        <v>0</v>
      </c>
      <c r="W47">
        <v>0</v>
      </c>
      <c r="X47">
        <v>0</v>
      </c>
      <c r="Y47">
        <v>0</v>
      </c>
      <c r="Z47">
        <v>0</v>
      </c>
      <c r="AA47">
        <v>1</v>
      </c>
      <c r="AB47">
        <v>0</v>
      </c>
      <c r="AC47">
        <v>0</v>
      </c>
      <c r="AD47">
        <v>1</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t="str">
        <f t="shared" si="3"/>
        <v>Sydney</v>
      </c>
      <c r="BT47">
        <v>45</v>
      </c>
      <c r="BU47">
        <v>0</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0</v>
      </c>
      <c r="DD47">
        <v>0</v>
      </c>
      <c r="DE47">
        <v>0</v>
      </c>
      <c r="DF47">
        <v>0</v>
      </c>
      <c r="DG47">
        <v>0</v>
      </c>
      <c r="DH47">
        <v>500</v>
      </c>
    </row>
    <row r="48" spans="1:112" x14ac:dyDescent="0.4">
      <c r="A48">
        <v>46</v>
      </c>
      <c r="B48" cm="1">
        <f t="array" ref="B48">IF(A48=0,0,INDEX($U48:$BI48,$B$2))</f>
        <v>1</v>
      </c>
      <c r="C48" cm="1">
        <f t="array" ref="C48">IF(A48=0,0,IF(C$2=1,0,IF(B48=0,0,2*INDEX($U48:$BI48,C$2))))</f>
        <v>0</v>
      </c>
      <c r="D48">
        <f t="shared" si="1"/>
        <v>0</v>
      </c>
      <c r="E48">
        <f t="shared" si="2"/>
        <v>1</v>
      </c>
      <c r="F48" t="s">
        <v>1751</v>
      </c>
      <c r="G48" t="s">
        <v>1752</v>
      </c>
      <c r="H48" t="s">
        <v>2793</v>
      </c>
      <c r="I48">
        <v>2</v>
      </c>
      <c r="K48" t="s">
        <v>7245</v>
      </c>
      <c r="L48">
        <f t="shared" si="0"/>
        <v>1</v>
      </c>
      <c r="M48" cm="1">
        <f t="array" ref="M48">INDEX($BT48:$DH48,$B$2)</f>
        <v>46</v>
      </c>
      <c r="N48" t="str" cm="1">
        <f t="array" ref="N48">IF(M48=0,"",INDEX(auto_ddCountry,M48))</f>
        <v>Tokyo</v>
      </c>
      <c r="O48" cm="1">
        <f t="array" ref="O48">INDEX($BT48:$DH48,$O$2)</f>
        <v>46</v>
      </c>
      <c r="P48" t="str" cm="1">
        <f t="array" ref="P48">IF(O48=0,"",INDEX(auto_ddCountry,O48))</f>
        <v>Tokyo</v>
      </c>
      <c r="Q48" cm="1">
        <f t="array" ref="Q48">IF($A48=Q$2,3,IF($C$2=1,1,IF(INDEX($U48:$BI48,$C$2)=1,2,1)))</f>
        <v>1</v>
      </c>
      <c r="T48">
        <v>0</v>
      </c>
      <c r="U48">
        <v>1</v>
      </c>
      <c r="V48">
        <v>0</v>
      </c>
      <c r="W48">
        <v>0</v>
      </c>
      <c r="X48">
        <v>0</v>
      </c>
      <c r="Y48">
        <v>0</v>
      </c>
      <c r="Z48">
        <v>0</v>
      </c>
      <c r="AA48">
        <v>1</v>
      </c>
      <c r="AB48">
        <v>0</v>
      </c>
      <c r="AC48">
        <v>0</v>
      </c>
      <c r="AD48">
        <v>1</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t="str">
        <f t="shared" si="3"/>
        <v>Tokyo</v>
      </c>
      <c r="BT48">
        <v>46</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v>500</v>
      </c>
    </row>
    <row r="49" spans="1:112" x14ac:dyDescent="0.4">
      <c r="A49">
        <v>47</v>
      </c>
      <c r="B49" cm="1">
        <f t="array" ref="B49">IF(A49=0,0,INDEX($U49:$BI49,$B$2))</f>
        <v>1</v>
      </c>
      <c r="C49" cm="1">
        <f t="array" ref="C49">IF(A49=0,0,IF(C$2=1,0,IF(B49=0,0,2*INDEX($U49:$BI49,C$2))))</f>
        <v>0</v>
      </c>
      <c r="D49">
        <f t="shared" si="1"/>
        <v>0</v>
      </c>
      <c r="E49">
        <f t="shared" si="2"/>
        <v>1</v>
      </c>
      <c r="F49" t="s">
        <v>2732</v>
      </c>
      <c r="G49" t="s">
        <v>2733</v>
      </c>
      <c r="H49" t="s">
        <v>2734</v>
      </c>
      <c r="I49">
        <v>2</v>
      </c>
      <c r="K49" t="s">
        <v>7244</v>
      </c>
      <c r="L49">
        <f t="shared" si="0"/>
        <v>1</v>
      </c>
      <c r="M49" cm="1">
        <f t="array" ref="M49">INDEX($BT49:$DH49,$B$2)</f>
        <v>47</v>
      </c>
      <c r="N49" t="str" cm="1">
        <f t="array" ref="N49">IF(M49=0,"",INDEX(auto_ddCountry,M49))</f>
        <v>Toronto</v>
      </c>
      <c r="O49" cm="1">
        <f t="array" ref="O49">INDEX($BT49:$DH49,$O$2)</f>
        <v>47</v>
      </c>
      <c r="P49" t="str" cm="1">
        <f t="array" ref="P49">IF(O49=0,"",INDEX(auto_ddCountry,O49))</f>
        <v>Toronto</v>
      </c>
      <c r="Q49" cm="1">
        <f t="array" ref="Q49">IF($A49=Q$2,3,IF($C$2=1,1,IF(INDEX($U49:$BI49,$C$2)=1,2,1)))</f>
        <v>1</v>
      </c>
      <c r="T49">
        <v>0</v>
      </c>
      <c r="U49">
        <v>1</v>
      </c>
      <c r="V49">
        <v>0</v>
      </c>
      <c r="W49">
        <v>1</v>
      </c>
      <c r="X49">
        <v>0</v>
      </c>
      <c r="Y49">
        <v>0</v>
      </c>
      <c r="Z49">
        <v>0</v>
      </c>
      <c r="AA49">
        <v>0</v>
      </c>
      <c r="AB49">
        <v>0</v>
      </c>
      <c r="AC49">
        <v>0</v>
      </c>
      <c r="AD49">
        <v>1</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t="str">
        <f t="shared" si="3"/>
        <v>Toronto</v>
      </c>
      <c r="BT49">
        <v>47</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v>0</v>
      </c>
      <c r="DC49">
        <v>0</v>
      </c>
      <c r="DD49">
        <v>0</v>
      </c>
      <c r="DE49">
        <v>0</v>
      </c>
      <c r="DF49">
        <v>0</v>
      </c>
      <c r="DG49">
        <v>0</v>
      </c>
      <c r="DH49">
        <v>500</v>
      </c>
    </row>
    <row r="50" spans="1:112" x14ac:dyDescent="0.4">
      <c r="A50">
        <v>48</v>
      </c>
      <c r="B50" cm="1">
        <f t="array" ref="B50">IF(A50=0,0,INDEX($U50:$BI50,$B$2))</f>
        <v>1</v>
      </c>
      <c r="C50" cm="1">
        <f t="array" ref="C50">IF(A50=0,0,IF(C$2=1,0,IF(B50=0,0,2*INDEX($U50:$BI50,C$2))))</f>
        <v>0</v>
      </c>
      <c r="D50">
        <f t="shared" si="1"/>
        <v>0</v>
      </c>
      <c r="E50">
        <f t="shared" si="2"/>
        <v>1</v>
      </c>
      <c r="F50" t="s">
        <v>2769</v>
      </c>
      <c r="G50" t="s">
        <v>2770</v>
      </c>
      <c r="H50" t="s">
        <v>2771</v>
      </c>
      <c r="I50">
        <v>2</v>
      </c>
      <c r="K50" t="s">
        <v>7246</v>
      </c>
      <c r="L50">
        <f t="shared" si="0"/>
        <v>1</v>
      </c>
      <c r="M50" cm="1">
        <f t="array" ref="M50">INDEX($BT50:$DH50,$B$2)</f>
        <v>48</v>
      </c>
      <c r="N50" t="str" cm="1">
        <f t="array" ref="N50">IF(M50=0,"",INDEX(auto_ddCountry,M50))</f>
        <v>Vienna</v>
      </c>
      <c r="O50" cm="1">
        <f t="array" ref="O50">INDEX($BT50:$DH50,$O$2)</f>
        <v>48</v>
      </c>
      <c r="P50" t="str" cm="1">
        <f t="array" ref="P50">IF(O50=0,"",INDEX(auto_ddCountry,O50))</f>
        <v>Vienna</v>
      </c>
      <c r="Q50" cm="1">
        <f t="array" ref="Q50">IF($A50=Q$2,3,IF($C$2=1,1,IF(INDEX($U50:$BI50,$C$2)=1,2,1)))</f>
        <v>1</v>
      </c>
      <c r="T50">
        <v>0</v>
      </c>
      <c r="U50">
        <v>1</v>
      </c>
      <c r="V50">
        <v>0</v>
      </c>
      <c r="W50">
        <v>0</v>
      </c>
      <c r="X50">
        <v>0</v>
      </c>
      <c r="Y50">
        <v>1</v>
      </c>
      <c r="Z50">
        <v>0</v>
      </c>
      <c r="AA50">
        <v>0</v>
      </c>
      <c r="AB50">
        <v>0</v>
      </c>
      <c r="AC50">
        <v>0</v>
      </c>
      <c r="AD50">
        <v>1</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t="str">
        <f t="shared" si="3"/>
        <v>Vienna</v>
      </c>
      <c r="BT50">
        <v>48</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500</v>
      </c>
    </row>
    <row r="51" spans="1:112" x14ac:dyDescent="0.4">
      <c r="A51">
        <v>49</v>
      </c>
      <c r="B51" cm="1">
        <f t="array" ref="B51">IF(A51=0,0,INDEX($U51:$BI51,$B$2))</f>
        <v>1</v>
      </c>
      <c r="C51" cm="1">
        <f t="array" ref="C51">IF(A51=0,0,IF(C$2=1,0,IF(B51=0,0,2*INDEX($U51:$BI51,C$2))))</f>
        <v>0</v>
      </c>
      <c r="D51">
        <f t="shared" si="1"/>
        <v>0</v>
      </c>
      <c r="E51">
        <f t="shared" si="2"/>
        <v>1</v>
      </c>
      <c r="F51" t="s">
        <v>2803</v>
      </c>
      <c r="G51" t="s">
        <v>2804</v>
      </c>
      <c r="H51" t="s">
        <v>2805</v>
      </c>
      <c r="I51">
        <v>2</v>
      </c>
      <c r="K51" t="s">
        <v>7238</v>
      </c>
      <c r="L51">
        <f t="shared" si="0"/>
        <v>1</v>
      </c>
      <c r="M51" cm="1">
        <f t="array" ref="M51">INDEX($BT51:$DH51,$B$2)</f>
        <v>49</v>
      </c>
      <c r="N51" t="str" cm="1">
        <f t="array" ref="N51">IF(M51=0,"",INDEX(auto_ddCountry,M51))</f>
        <v>Wuhan</v>
      </c>
      <c r="O51" cm="1">
        <f t="array" ref="O51">INDEX($BT51:$DH51,$O$2)</f>
        <v>49</v>
      </c>
      <c r="P51" t="str" cm="1">
        <f t="array" ref="P51">IF(O51=0,"",INDEX(auto_ddCountry,O51))</f>
        <v>Wuhan</v>
      </c>
      <c r="Q51" cm="1">
        <f t="array" ref="Q51">IF($A51=Q$2,3,IF($C$2=1,1,IF(INDEX($U51:$BI51,$C$2)=1,2,1)))</f>
        <v>1</v>
      </c>
      <c r="T51">
        <v>0</v>
      </c>
      <c r="U51">
        <v>1</v>
      </c>
      <c r="V51">
        <v>0</v>
      </c>
      <c r="W51">
        <v>0</v>
      </c>
      <c r="X51">
        <v>0</v>
      </c>
      <c r="Y51">
        <v>0</v>
      </c>
      <c r="Z51">
        <v>0</v>
      </c>
      <c r="AA51">
        <v>1</v>
      </c>
      <c r="AB51">
        <v>0</v>
      </c>
      <c r="AC51">
        <v>1</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t="str">
        <f t="shared" si="3"/>
        <v>Wuhan</v>
      </c>
      <c r="BT51">
        <v>49</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500</v>
      </c>
    </row>
    <row r="52" spans="1:112" x14ac:dyDescent="0.4">
      <c r="A52">
        <v>50</v>
      </c>
      <c r="B52" cm="1">
        <f t="array" ref="B52">IF(A52=0,0,INDEX($U52:$BI52,$B$2))</f>
        <v>1</v>
      </c>
      <c r="C52" cm="1">
        <f t="array" ref="C52">IF(A52=0,0,IF(C$2=1,0,IF(B52=0,0,2*INDEX($U52:$BI52,C$2))))</f>
        <v>0</v>
      </c>
      <c r="D52">
        <f t="shared" si="1"/>
        <v>0</v>
      </c>
      <c r="E52">
        <f t="shared" si="2"/>
        <v>1</v>
      </c>
      <c r="F52" t="s">
        <v>2773</v>
      </c>
      <c r="G52" t="s">
        <v>6609</v>
      </c>
      <c r="H52" t="s">
        <v>2774</v>
      </c>
      <c r="I52">
        <v>2</v>
      </c>
      <c r="K52" t="s">
        <v>7231</v>
      </c>
      <c r="L52">
        <f t="shared" si="0"/>
        <v>1</v>
      </c>
      <c r="M52" cm="1">
        <f t="array" ref="M52">INDEX($BT52:$DH52,$B$2)</f>
        <v>50</v>
      </c>
      <c r="N52" t="str" cm="1">
        <f t="array" ref="N52">IF(M52=0,"",INDEX(auto_ddCountry,M52))</f>
        <v>Yangon</v>
      </c>
      <c r="O52" cm="1">
        <f t="array" ref="O52">INDEX($BT52:$DH52,$O$2)</f>
        <v>50</v>
      </c>
      <c r="P52" t="str" cm="1">
        <f t="array" ref="P52">IF(O52=0,"",INDEX(auto_ddCountry,O52))</f>
        <v>Yangon</v>
      </c>
      <c r="Q52" cm="1">
        <f t="array" ref="Q52">IF($A52=Q$2,3,IF($C$2=1,1,IF(INDEX($U52:$BI52,$C$2)=1,2,1)))</f>
        <v>1</v>
      </c>
      <c r="T52">
        <v>0</v>
      </c>
      <c r="U52">
        <v>1</v>
      </c>
      <c r="V52">
        <v>0</v>
      </c>
      <c r="W52">
        <v>0</v>
      </c>
      <c r="X52">
        <v>0</v>
      </c>
      <c r="Y52">
        <v>0</v>
      </c>
      <c r="Z52">
        <v>1</v>
      </c>
      <c r="AA52">
        <v>0</v>
      </c>
      <c r="AB52">
        <v>1</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t="str">
        <f t="shared" si="3"/>
        <v>Yangon</v>
      </c>
      <c r="BT52">
        <v>50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500</v>
      </c>
    </row>
  </sheetData>
  <sortState xmlns:xlrd2="http://schemas.microsoft.com/office/spreadsheetml/2017/richdata2" ref="CC3:CC52">
    <sortCondition ref="CC3"/>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487A3-5D37-4A8A-A9ED-298298F0B75A}">
  <sheetPr codeName="Sheet25">
    <tabColor theme="6"/>
  </sheetPr>
  <dimension ref="A2:W72"/>
  <sheetViews>
    <sheetView zoomScaleNormal="100" workbookViewId="0">
      <selection activeCell="C17" sqref="C17"/>
    </sheetView>
  </sheetViews>
  <sheetFormatPr defaultRowHeight="14.6" x14ac:dyDescent="0.4"/>
  <cols>
    <col min="1" max="1" width="19.3046875" customWidth="1"/>
    <col min="2" max="2" width="18.3828125" customWidth="1"/>
    <col min="3" max="3" width="29" customWidth="1"/>
    <col min="4" max="4" width="16.84375" customWidth="1"/>
    <col min="5" max="5" width="11.53515625" customWidth="1"/>
    <col min="6" max="6" width="13.69140625" bestFit="1" customWidth="1"/>
    <col min="7" max="7" width="24.84375" customWidth="1"/>
    <col min="10" max="10" width="8.3046875" customWidth="1"/>
    <col min="12" max="12" width="13.84375" customWidth="1"/>
  </cols>
  <sheetData>
    <row r="2" spans="1:23" ht="21" customHeight="1" x14ac:dyDescent="0.4"/>
    <row r="4" spans="1:23" x14ac:dyDescent="0.4">
      <c r="A4" t="s">
        <v>260</v>
      </c>
      <c r="B4" t="s">
        <v>261</v>
      </c>
      <c r="C4" t="s">
        <v>262</v>
      </c>
      <c r="D4" t="s">
        <v>263</v>
      </c>
      <c r="E4" t="s">
        <v>264</v>
      </c>
      <c r="F4" t="s">
        <v>265</v>
      </c>
      <c r="G4" t="s">
        <v>266</v>
      </c>
      <c r="H4" t="s">
        <v>267</v>
      </c>
      <c r="I4" t="s">
        <v>268</v>
      </c>
      <c r="J4" t="s">
        <v>269</v>
      </c>
      <c r="K4" t="s">
        <v>270</v>
      </c>
      <c r="L4" t="s">
        <v>271</v>
      </c>
      <c r="M4" t="s">
        <v>272</v>
      </c>
      <c r="N4" t="s">
        <v>273</v>
      </c>
      <c r="O4" t="s">
        <v>274</v>
      </c>
      <c r="P4" t="s">
        <v>275</v>
      </c>
      <c r="Q4" t="s">
        <v>276</v>
      </c>
      <c r="R4" t="s">
        <v>277</v>
      </c>
      <c r="S4" t="s">
        <v>278</v>
      </c>
      <c r="T4" t="s">
        <v>279</v>
      </c>
      <c r="U4" t="s">
        <v>280</v>
      </c>
    </row>
    <row r="5" spans="1:23" x14ac:dyDescent="0.4">
      <c r="A5" t="s">
        <v>281</v>
      </c>
      <c r="B5" t="s">
        <v>282</v>
      </c>
      <c r="C5" t="s">
        <v>258</v>
      </c>
      <c r="D5" t="s">
        <v>258</v>
      </c>
      <c r="F5" t="s">
        <v>291</v>
      </c>
    </row>
    <row r="6" spans="1:23" x14ac:dyDescent="0.4">
      <c r="A6" t="s">
        <v>281</v>
      </c>
      <c r="B6" t="s">
        <v>284</v>
      </c>
      <c r="C6" t="s">
        <v>59</v>
      </c>
      <c r="D6" t="s">
        <v>59</v>
      </c>
      <c r="F6" t="s">
        <v>283</v>
      </c>
    </row>
    <row r="7" spans="1:23" x14ac:dyDescent="0.4">
      <c r="A7" t="s">
        <v>281</v>
      </c>
      <c r="B7" t="s">
        <v>285</v>
      </c>
      <c r="C7" t="s">
        <v>286</v>
      </c>
      <c r="D7" t="s">
        <v>286</v>
      </c>
      <c r="F7" t="s">
        <v>283</v>
      </c>
    </row>
    <row r="8" spans="1:23" x14ac:dyDescent="0.4">
      <c r="A8" t="s">
        <v>287</v>
      </c>
      <c r="B8" t="s">
        <v>1119</v>
      </c>
      <c r="C8" t="str">
        <f>UPPER(uxbGlobals!$B$67)</f>
        <v>CITY HEARTBEAT</v>
      </c>
      <c r="G8" t="s">
        <v>289</v>
      </c>
    </row>
    <row r="9" spans="1:23" ht="10.5" customHeight="1" x14ac:dyDescent="0.4">
      <c r="A9" t="s">
        <v>290</v>
      </c>
      <c r="B9" t="s">
        <v>1323</v>
      </c>
      <c r="C9" t="s">
        <v>1248</v>
      </c>
      <c r="D9" t="s">
        <v>1248</v>
      </c>
      <c r="E9" t="s">
        <v>1532</v>
      </c>
      <c r="F9" t="s">
        <v>291</v>
      </c>
      <c r="G9" t="s">
        <v>2496</v>
      </c>
      <c r="H9">
        <v>1</v>
      </c>
      <c r="L9" t="s">
        <v>1600</v>
      </c>
      <c r="M9" t="s">
        <v>305</v>
      </c>
      <c r="N9" t="s">
        <v>307</v>
      </c>
    </row>
    <row r="10" spans="1:23" ht="10.5" customHeight="1" x14ac:dyDescent="0.4">
      <c r="A10" t="s">
        <v>290</v>
      </c>
      <c r="B10" t="s">
        <v>292</v>
      </c>
      <c r="C10" t="s">
        <v>1069</v>
      </c>
      <c r="D10" t="s">
        <v>1069</v>
      </c>
      <c r="E10" t="s">
        <v>1532</v>
      </c>
      <c r="F10" t="s">
        <v>291</v>
      </c>
      <c r="G10" t="s">
        <v>2668</v>
      </c>
      <c r="H10">
        <v>1</v>
      </c>
      <c r="L10" t="s">
        <v>306</v>
      </c>
      <c r="M10" t="s">
        <v>293</v>
      </c>
      <c r="N10" t="s">
        <v>305</v>
      </c>
      <c r="O10" t="s">
        <v>307</v>
      </c>
      <c r="V10" t="s">
        <v>296</v>
      </c>
    </row>
    <row r="11" spans="1:23" ht="10.5" customHeight="1" x14ac:dyDescent="0.4">
      <c r="A11" t="s">
        <v>290</v>
      </c>
      <c r="B11" t="s">
        <v>298</v>
      </c>
      <c r="C11" t="s">
        <v>2522</v>
      </c>
      <c r="D11" t="s">
        <v>1663</v>
      </c>
      <c r="E11" t="s">
        <v>1532</v>
      </c>
      <c r="F11" t="s">
        <v>291</v>
      </c>
      <c r="G11" t="s">
        <v>6954</v>
      </c>
      <c r="H11">
        <v>1</v>
      </c>
      <c r="L11" t="s">
        <v>1540</v>
      </c>
    </row>
    <row r="12" spans="1:23" ht="10.5" customHeight="1" x14ac:dyDescent="0.4">
      <c r="A12" t="s">
        <v>290</v>
      </c>
      <c r="B12" t="s">
        <v>1234</v>
      </c>
      <c r="C12" t="s">
        <v>2489</v>
      </c>
      <c r="D12" t="s">
        <v>2490</v>
      </c>
      <c r="E12" t="s">
        <v>1532</v>
      </c>
      <c r="F12" t="s">
        <v>291</v>
      </c>
      <c r="G12" t="s">
        <v>2497</v>
      </c>
      <c r="H12">
        <v>1</v>
      </c>
      <c r="L12" t="s">
        <v>297</v>
      </c>
      <c r="V12" t="s">
        <v>296</v>
      </c>
      <c r="W12" t="s">
        <v>1465</v>
      </c>
    </row>
    <row r="13" spans="1:23" ht="10.5" customHeight="1" x14ac:dyDescent="0.4">
      <c r="A13" t="s">
        <v>290</v>
      </c>
      <c r="B13" t="s">
        <v>7200</v>
      </c>
      <c r="C13" t="s">
        <v>7201</v>
      </c>
      <c r="D13" t="s">
        <v>7202</v>
      </c>
      <c r="E13" t="s">
        <v>1532</v>
      </c>
      <c r="F13" t="s">
        <v>291</v>
      </c>
      <c r="G13" t="s">
        <v>7203</v>
      </c>
      <c r="H13">
        <v>1</v>
      </c>
      <c r="L13" t="s">
        <v>297</v>
      </c>
      <c r="M13" t="s">
        <v>1657</v>
      </c>
      <c r="V13" t="s">
        <v>296</v>
      </c>
      <c r="W13" t="s">
        <v>1465</v>
      </c>
    </row>
    <row r="14" spans="1:23" ht="10.5" customHeight="1" x14ac:dyDescent="0.4">
      <c r="A14" t="s">
        <v>290</v>
      </c>
      <c r="B14" t="s">
        <v>1499</v>
      </c>
      <c r="C14" t="s">
        <v>2500</v>
      </c>
      <c r="D14" t="s">
        <v>2515</v>
      </c>
      <c r="E14" t="s">
        <v>1532</v>
      </c>
      <c r="F14" t="s">
        <v>291</v>
      </c>
      <c r="G14" t="s">
        <v>2499</v>
      </c>
      <c r="H14">
        <v>1</v>
      </c>
      <c r="L14" t="s">
        <v>299</v>
      </c>
      <c r="M14" t="s">
        <v>1503</v>
      </c>
      <c r="N14" t="s">
        <v>1522</v>
      </c>
    </row>
    <row r="15" spans="1:23" ht="10.5" customHeight="1" x14ac:dyDescent="0.4">
      <c r="A15" t="s">
        <v>290</v>
      </c>
      <c r="B15" t="s">
        <v>1519</v>
      </c>
      <c r="C15" t="s">
        <v>1517</v>
      </c>
      <c r="D15" t="s">
        <v>1520</v>
      </c>
      <c r="E15" t="s">
        <v>1532</v>
      </c>
      <c r="F15" t="s">
        <v>291</v>
      </c>
      <c r="G15" t="s">
        <v>2669</v>
      </c>
      <c r="H15">
        <v>1</v>
      </c>
      <c r="L15" t="s">
        <v>148</v>
      </c>
      <c r="M15" t="s">
        <v>305</v>
      </c>
      <c r="N15" t="s">
        <v>307</v>
      </c>
      <c r="V15" t="s">
        <v>296</v>
      </c>
    </row>
    <row r="16" spans="1:23" ht="10.5" customHeight="1" x14ac:dyDescent="0.4">
      <c r="A16" t="s">
        <v>290</v>
      </c>
      <c r="B16" t="s">
        <v>1160</v>
      </c>
      <c r="C16" t="s">
        <v>1021</v>
      </c>
      <c r="D16" t="s">
        <v>1533</v>
      </c>
      <c r="E16" t="s">
        <v>1532</v>
      </c>
      <c r="F16" t="s">
        <v>291</v>
      </c>
      <c r="G16" t="s">
        <v>1235</v>
      </c>
      <c r="H16">
        <v>1</v>
      </c>
      <c r="L16" t="s">
        <v>294</v>
      </c>
      <c r="M16" t="s">
        <v>295</v>
      </c>
      <c r="N16" t="s">
        <v>1158</v>
      </c>
      <c r="O16" t="s">
        <v>305</v>
      </c>
      <c r="P16" t="s">
        <v>307</v>
      </c>
      <c r="V16" t="s">
        <v>296</v>
      </c>
    </row>
    <row r="17" spans="1:22" ht="10.5" customHeight="1" x14ac:dyDescent="0.4">
      <c r="A17" t="s">
        <v>290</v>
      </c>
      <c r="B17" t="s">
        <v>304</v>
      </c>
      <c r="C17" t="s">
        <v>303</v>
      </c>
      <c r="D17" t="s">
        <v>303</v>
      </c>
      <c r="E17" t="s">
        <v>1532</v>
      </c>
      <c r="F17" t="s">
        <v>291</v>
      </c>
      <c r="G17" t="s">
        <v>1552</v>
      </c>
      <c r="H17">
        <v>1</v>
      </c>
      <c r="L17" t="s">
        <v>72</v>
      </c>
      <c r="M17" t="s">
        <v>1109</v>
      </c>
    </row>
    <row r="18" spans="1:22" ht="10.5" customHeight="1" x14ac:dyDescent="0.4">
      <c r="A18" t="s">
        <v>290</v>
      </c>
      <c r="B18" t="s">
        <v>1162</v>
      </c>
      <c r="C18" t="s">
        <v>253</v>
      </c>
      <c r="D18" t="s">
        <v>256</v>
      </c>
      <c r="E18" t="s">
        <v>1532</v>
      </c>
      <c r="F18" t="s">
        <v>291</v>
      </c>
      <c r="G18" t="s">
        <v>2498</v>
      </c>
      <c r="H18">
        <v>1</v>
      </c>
      <c r="L18" t="s">
        <v>1130</v>
      </c>
      <c r="V18" t="s">
        <v>296</v>
      </c>
    </row>
    <row r="19" spans="1:22" ht="10.5" customHeight="1" x14ac:dyDescent="0.4">
      <c r="A19" t="s">
        <v>290</v>
      </c>
      <c r="B19" t="s">
        <v>1161</v>
      </c>
      <c r="C19" t="s">
        <v>1524</v>
      </c>
      <c r="D19" t="s">
        <v>257</v>
      </c>
      <c r="E19" t="s">
        <v>1532</v>
      </c>
      <c r="F19" t="s">
        <v>291</v>
      </c>
      <c r="G19" t="s">
        <v>2513</v>
      </c>
      <c r="H19">
        <v>1</v>
      </c>
      <c r="L19" t="s">
        <v>1110</v>
      </c>
      <c r="V19" t="s">
        <v>296</v>
      </c>
    </row>
    <row r="20" spans="1:22" ht="10.5" customHeight="1" x14ac:dyDescent="0.4">
      <c r="A20" t="s">
        <v>287</v>
      </c>
      <c r="B20" t="s">
        <v>309</v>
      </c>
      <c r="C20" t="s">
        <v>309</v>
      </c>
    </row>
    <row r="21" spans="1:22" ht="10.5" customHeight="1" x14ac:dyDescent="0.4">
      <c r="A21" t="s">
        <v>290</v>
      </c>
      <c r="B21" t="s">
        <v>310</v>
      </c>
      <c r="C21" t="s">
        <v>311</v>
      </c>
      <c r="D21" t="s">
        <v>259</v>
      </c>
      <c r="F21" t="s">
        <v>291</v>
      </c>
      <c r="G21" t="s">
        <v>312</v>
      </c>
      <c r="H21">
        <v>1</v>
      </c>
    </row>
    <row r="22" spans="1:22" ht="10.5" customHeight="1" x14ac:dyDescent="0.4">
      <c r="A22" t="s">
        <v>290</v>
      </c>
      <c r="B22" t="s">
        <v>2510</v>
      </c>
      <c r="C22" t="s">
        <v>2511</v>
      </c>
      <c r="D22" t="s">
        <v>2514</v>
      </c>
      <c r="E22" t="s">
        <v>1532</v>
      </c>
      <c r="F22" t="s">
        <v>291</v>
      </c>
      <c r="G22" t="s">
        <v>2512</v>
      </c>
      <c r="H22">
        <v>1</v>
      </c>
      <c r="L22" t="s">
        <v>1130</v>
      </c>
      <c r="M22" t="s">
        <v>1075</v>
      </c>
      <c r="V22" t="s">
        <v>296</v>
      </c>
    </row>
    <row r="24" spans="1:22" ht="10.5" customHeight="1" x14ac:dyDescent="0.4">
      <c r="A24" t="s">
        <v>290</v>
      </c>
      <c r="B24" t="s">
        <v>1547</v>
      </c>
      <c r="C24" t="s">
        <v>1548</v>
      </c>
      <c r="D24" t="s">
        <v>1548</v>
      </c>
      <c r="E24" t="s">
        <v>1532</v>
      </c>
      <c r="F24" t="s">
        <v>291</v>
      </c>
      <c r="G24" t="s">
        <v>1551</v>
      </c>
      <c r="H24">
        <v>1</v>
      </c>
      <c r="L24" t="s">
        <v>1549</v>
      </c>
      <c r="M24" t="s">
        <v>305</v>
      </c>
      <c r="N24" t="s">
        <v>307</v>
      </c>
      <c r="V24" t="s">
        <v>296</v>
      </c>
    </row>
    <row r="25" spans="1:22" ht="10.5" customHeight="1" x14ac:dyDescent="0.4">
      <c r="A25" t="s">
        <v>290</v>
      </c>
      <c r="B25" t="s">
        <v>931</v>
      </c>
      <c r="C25" t="s">
        <v>288</v>
      </c>
      <c r="D25" t="s">
        <v>288</v>
      </c>
      <c r="F25" t="s">
        <v>291</v>
      </c>
      <c r="G25" t="s">
        <v>1307</v>
      </c>
      <c r="H25">
        <v>1</v>
      </c>
    </row>
    <row r="26" spans="1:22" ht="10.5" customHeight="1" x14ac:dyDescent="0.4">
      <c r="A26" t="s">
        <v>290</v>
      </c>
      <c r="B26" t="s">
        <v>1231</v>
      </c>
      <c r="C26" t="s">
        <v>1260</v>
      </c>
      <c r="D26" t="s">
        <v>1296</v>
      </c>
      <c r="F26" t="s">
        <v>291</v>
      </c>
      <c r="G26" t="s">
        <v>1332</v>
      </c>
      <c r="H26">
        <v>1</v>
      </c>
      <c r="L26" t="s">
        <v>306</v>
      </c>
      <c r="M26" t="s">
        <v>296</v>
      </c>
      <c r="N26" t="s">
        <v>307</v>
      </c>
    </row>
    <row r="27" spans="1:22" ht="10.5" customHeight="1" x14ac:dyDescent="0.4">
      <c r="A27" t="s">
        <v>290</v>
      </c>
      <c r="B27" t="s">
        <v>1231</v>
      </c>
      <c r="C27" t="s">
        <v>1260</v>
      </c>
      <c r="D27" t="s">
        <v>1296</v>
      </c>
      <c r="F27" t="s">
        <v>291</v>
      </c>
      <c r="G27" t="s">
        <v>1332</v>
      </c>
      <c r="H27">
        <v>1</v>
      </c>
      <c r="L27" t="s">
        <v>296</v>
      </c>
      <c r="M27" t="s">
        <v>307</v>
      </c>
    </row>
    <row r="28" spans="1:22" ht="10.5" customHeight="1" x14ac:dyDescent="0.4">
      <c r="A28" t="s">
        <v>290</v>
      </c>
      <c r="B28" t="s">
        <v>1567</v>
      </c>
      <c r="C28" t="s">
        <v>288</v>
      </c>
      <c r="D28" t="s">
        <v>288</v>
      </c>
      <c r="E28" t="s">
        <v>1532</v>
      </c>
      <c r="F28" t="s">
        <v>291</v>
      </c>
      <c r="G28" t="s">
        <v>1568</v>
      </c>
      <c r="H28">
        <v>1</v>
      </c>
    </row>
    <row r="29" spans="1:22" ht="10.5" customHeight="1" x14ac:dyDescent="0.4"/>
    <row r="30" spans="1:22" ht="10.5" customHeight="1" x14ac:dyDescent="0.4"/>
    <row r="31" spans="1:22" ht="10.5" customHeight="1" x14ac:dyDescent="0.4"/>
    <row r="32" spans="1:22" x14ac:dyDescent="0.4">
      <c r="A32" t="s">
        <v>315</v>
      </c>
    </row>
    <row r="33" spans="1:7" x14ac:dyDescent="0.4">
      <c r="A33" t="s">
        <v>316</v>
      </c>
      <c r="B33" t="s">
        <v>317</v>
      </c>
      <c r="C33" t="s">
        <v>318</v>
      </c>
      <c r="D33" t="s">
        <v>319</v>
      </c>
      <c r="E33" t="s">
        <v>320</v>
      </c>
      <c r="F33" t="s">
        <v>321</v>
      </c>
      <c r="G33" t="s">
        <v>322</v>
      </c>
    </row>
    <row r="34" spans="1:7" ht="20.25" customHeight="1" x14ac:dyDescent="0.4">
      <c r="A34" t="s">
        <v>323</v>
      </c>
      <c r="B34" t="s">
        <v>324</v>
      </c>
      <c r="C34" t="s">
        <v>1017</v>
      </c>
      <c r="D34">
        <v>3</v>
      </c>
      <c r="E34" t="b">
        <v>1</v>
      </c>
      <c r="F34">
        <v>50.25</v>
      </c>
      <c r="G34">
        <v>10</v>
      </c>
    </row>
    <row r="35" spans="1:7" ht="20.25" customHeight="1" x14ac:dyDescent="0.4">
      <c r="A35" t="s">
        <v>325</v>
      </c>
      <c r="B35" t="s">
        <v>1227</v>
      </c>
      <c r="C35" t="s">
        <v>1019</v>
      </c>
      <c r="D35">
        <v>1</v>
      </c>
      <c r="E35" t="b">
        <v>0</v>
      </c>
      <c r="F35">
        <v>114</v>
      </c>
      <c r="G35">
        <v>25</v>
      </c>
    </row>
    <row r="36" spans="1:7" ht="20.25" customHeight="1" x14ac:dyDescent="0.4">
      <c r="A36" t="s">
        <v>72</v>
      </c>
      <c r="B36" t="s">
        <v>326</v>
      </c>
      <c r="C36" t="s">
        <v>327</v>
      </c>
      <c r="D36">
        <v>1</v>
      </c>
      <c r="E36" t="b">
        <v>1</v>
      </c>
      <c r="F36">
        <v>200.25</v>
      </c>
      <c r="G36">
        <v>25</v>
      </c>
    </row>
    <row r="37" spans="1:7" ht="20.25" customHeight="1" x14ac:dyDescent="0.4">
      <c r="A37" t="s">
        <v>328</v>
      </c>
      <c r="B37" t="s">
        <v>329</v>
      </c>
      <c r="C37" t="s">
        <v>1077</v>
      </c>
      <c r="D37">
        <v>1</v>
      </c>
      <c r="E37" t="b">
        <v>0</v>
      </c>
      <c r="F37">
        <v>92.25</v>
      </c>
      <c r="G37">
        <v>5</v>
      </c>
    </row>
    <row r="38" spans="1:7" ht="20.25" customHeight="1" x14ac:dyDescent="0.4">
      <c r="A38" t="s">
        <v>1109</v>
      </c>
      <c r="B38" t="s">
        <v>1084</v>
      </c>
      <c r="C38" t="s">
        <v>1108</v>
      </c>
      <c r="D38">
        <v>2</v>
      </c>
      <c r="E38" t="b">
        <v>0</v>
      </c>
      <c r="F38">
        <v>162.75</v>
      </c>
      <c r="G38">
        <v>20</v>
      </c>
    </row>
    <row r="39" spans="1:7" ht="20.25" customHeight="1" x14ac:dyDescent="0.4">
      <c r="A39" t="s">
        <v>1110</v>
      </c>
      <c r="B39" t="s">
        <v>1084</v>
      </c>
      <c r="C39" t="s">
        <v>1018</v>
      </c>
      <c r="D39">
        <v>3</v>
      </c>
      <c r="E39" t="b">
        <v>1</v>
      </c>
      <c r="F39">
        <v>92.25</v>
      </c>
      <c r="G39">
        <v>20</v>
      </c>
    </row>
    <row r="40" spans="1:7" ht="20.25" customHeight="1" x14ac:dyDescent="0.4">
      <c r="A40" t="s">
        <v>1130</v>
      </c>
      <c r="B40" t="s">
        <v>1084</v>
      </c>
      <c r="C40" t="s">
        <v>1127</v>
      </c>
      <c r="D40">
        <v>1</v>
      </c>
      <c r="E40" t="b">
        <v>1</v>
      </c>
      <c r="F40">
        <v>123.75</v>
      </c>
      <c r="G40">
        <v>40</v>
      </c>
    </row>
    <row r="41" spans="1:7" ht="20.25" customHeight="1" x14ac:dyDescent="0.4">
      <c r="A41" t="s">
        <v>330</v>
      </c>
      <c r="B41" t="s">
        <v>331</v>
      </c>
      <c r="C41" t="s">
        <v>332</v>
      </c>
      <c r="D41">
        <v>1</v>
      </c>
      <c r="E41" t="b">
        <v>1</v>
      </c>
      <c r="F41">
        <v>87.75</v>
      </c>
      <c r="G41">
        <v>40</v>
      </c>
    </row>
    <row r="42" spans="1:7" ht="20.25" customHeight="1" x14ac:dyDescent="0.4">
      <c r="A42" t="s">
        <v>333</v>
      </c>
      <c r="B42" t="s">
        <v>334</v>
      </c>
      <c r="C42" t="s">
        <v>335</v>
      </c>
      <c r="D42">
        <v>1</v>
      </c>
      <c r="E42" t="b">
        <v>1</v>
      </c>
      <c r="F42">
        <v>87.75</v>
      </c>
      <c r="G42">
        <v>40</v>
      </c>
    </row>
    <row r="43" spans="1:7" ht="20.25" customHeight="1" x14ac:dyDescent="0.4">
      <c r="A43" t="s">
        <v>336</v>
      </c>
      <c r="B43" t="s">
        <v>331</v>
      </c>
      <c r="C43" t="s">
        <v>332</v>
      </c>
      <c r="D43">
        <v>1</v>
      </c>
      <c r="E43" t="b">
        <v>1</v>
      </c>
      <c r="F43">
        <v>87.75</v>
      </c>
      <c r="G43">
        <v>40</v>
      </c>
    </row>
    <row r="44" spans="1:7" ht="20.25" customHeight="1" x14ac:dyDescent="0.4">
      <c r="A44" t="s">
        <v>305</v>
      </c>
      <c r="B44" t="s">
        <v>1134</v>
      </c>
      <c r="C44" t="s">
        <v>337</v>
      </c>
      <c r="D44">
        <v>1</v>
      </c>
      <c r="E44" t="b">
        <v>0</v>
      </c>
      <c r="F44">
        <v>106.5</v>
      </c>
      <c r="G44">
        <v>25</v>
      </c>
    </row>
    <row r="45" spans="1:7" ht="20.25" customHeight="1" x14ac:dyDescent="0.4">
      <c r="A45" t="s">
        <v>296</v>
      </c>
      <c r="B45" t="s">
        <v>1292</v>
      </c>
      <c r="C45" t="s">
        <v>338</v>
      </c>
      <c r="D45">
        <v>1</v>
      </c>
      <c r="E45" t="b">
        <v>0</v>
      </c>
      <c r="F45">
        <v>106.5</v>
      </c>
      <c r="G45">
        <v>25</v>
      </c>
    </row>
    <row r="46" spans="1:7" ht="20.25" customHeight="1" x14ac:dyDescent="0.4">
      <c r="A46" t="s">
        <v>297</v>
      </c>
      <c r="B46" t="str">
        <f>CONCATENATE("SELECT ",UPPER(uxbGlobals!$B$123))</f>
        <v>SELECT CITY</v>
      </c>
      <c r="C46" t="s">
        <v>339</v>
      </c>
      <c r="D46">
        <v>1</v>
      </c>
      <c r="E46" t="b">
        <v>1</v>
      </c>
      <c r="F46">
        <v>87</v>
      </c>
      <c r="G46">
        <v>40</v>
      </c>
    </row>
    <row r="47" spans="1:7" ht="20.25" customHeight="1" x14ac:dyDescent="0.4">
      <c r="A47" t="s">
        <v>938</v>
      </c>
      <c r="B47" t="s">
        <v>1112</v>
      </c>
      <c r="C47" t="s">
        <v>338</v>
      </c>
      <c r="D47">
        <v>1</v>
      </c>
      <c r="E47" t="b">
        <v>1</v>
      </c>
      <c r="F47">
        <v>106.5</v>
      </c>
      <c r="G47">
        <v>25</v>
      </c>
    </row>
    <row r="48" spans="1:7" ht="20.25" customHeight="1" x14ac:dyDescent="0.4">
      <c r="A48" t="s">
        <v>939</v>
      </c>
      <c r="B48" t="s">
        <v>962</v>
      </c>
      <c r="C48" t="s">
        <v>940</v>
      </c>
      <c r="D48">
        <v>1</v>
      </c>
      <c r="E48" t="b">
        <v>1</v>
      </c>
      <c r="F48">
        <v>87</v>
      </c>
      <c r="G48">
        <v>40</v>
      </c>
    </row>
    <row r="49" spans="1:7" ht="20.25" customHeight="1" x14ac:dyDescent="0.4">
      <c r="A49" t="s">
        <v>307</v>
      </c>
      <c r="B49" t="str">
        <f>CONCATENATE(UPPER(uxbGlobals!$B$123)," HIGHLIGHT")</f>
        <v>CITY HIGHLIGHT</v>
      </c>
      <c r="C49" t="s">
        <v>340</v>
      </c>
      <c r="D49">
        <v>1</v>
      </c>
      <c r="E49" t="b">
        <v>0</v>
      </c>
      <c r="F49">
        <v>99</v>
      </c>
      <c r="G49">
        <v>40</v>
      </c>
    </row>
    <row r="50" spans="1:7" ht="20.25" customHeight="1" x14ac:dyDescent="0.4">
      <c r="A50" t="s">
        <v>308</v>
      </c>
      <c r="B50" t="str">
        <f>CONCATENATE(UPPER(uxbGlobals!$B$123)," HIGHLIGHT")</f>
        <v>CITY HIGHLIGHT</v>
      </c>
      <c r="C50" t="s">
        <v>341</v>
      </c>
      <c r="D50">
        <v>1</v>
      </c>
      <c r="E50" t="b">
        <v>0</v>
      </c>
      <c r="F50">
        <v>87</v>
      </c>
      <c r="G50">
        <v>40</v>
      </c>
    </row>
    <row r="51" spans="1:7" ht="19.5" customHeight="1" x14ac:dyDescent="0.4">
      <c r="A51" t="s">
        <v>299</v>
      </c>
      <c r="B51" t="str">
        <f>CONCATENATE("SELECT ",UPPER(uxbGlobals!$B$123))</f>
        <v>SELECT CITY</v>
      </c>
      <c r="C51" t="s">
        <v>342</v>
      </c>
      <c r="D51">
        <v>1</v>
      </c>
      <c r="E51" t="b">
        <v>1</v>
      </c>
      <c r="F51">
        <v>87</v>
      </c>
      <c r="G51">
        <v>40</v>
      </c>
    </row>
    <row r="52" spans="1:7" ht="20.25" customHeight="1" x14ac:dyDescent="0.4">
      <c r="A52" t="s">
        <v>300</v>
      </c>
      <c r="B52" t="str">
        <f>CONCATENATE("SELECT ",UPPER(uxbGlobals!$B$123))</f>
        <v>SELECT CITY</v>
      </c>
      <c r="C52" t="s">
        <v>342</v>
      </c>
      <c r="D52">
        <v>2</v>
      </c>
      <c r="E52" t="b">
        <v>1</v>
      </c>
      <c r="F52">
        <v>87</v>
      </c>
      <c r="G52">
        <v>40</v>
      </c>
    </row>
    <row r="53" spans="1:7" ht="19.5" customHeight="1" x14ac:dyDescent="0.4">
      <c r="A53" t="s">
        <v>313</v>
      </c>
      <c r="B53" t="str">
        <f>CONCATENATE("SELECT ",UPPER(uxbGlobals!$B$123))</f>
        <v>SELECT CITY</v>
      </c>
      <c r="C53" t="s">
        <v>341</v>
      </c>
      <c r="D53">
        <v>1</v>
      </c>
      <c r="E53" t="b">
        <v>1</v>
      </c>
      <c r="F53">
        <v>87</v>
      </c>
      <c r="G53">
        <v>40</v>
      </c>
    </row>
    <row r="54" spans="1:7" ht="20.25" customHeight="1" x14ac:dyDescent="0.4">
      <c r="A54" t="s">
        <v>314</v>
      </c>
      <c r="B54" t="str">
        <f>CONCATENATE("SELECT ",UPPER(uxbGlobals!$B$123))</f>
        <v>SELECT CITY</v>
      </c>
      <c r="C54" t="s">
        <v>341</v>
      </c>
      <c r="D54">
        <v>1</v>
      </c>
      <c r="E54" t="b">
        <v>1</v>
      </c>
      <c r="F54">
        <v>87</v>
      </c>
      <c r="G54">
        <v>40</v>
      </c>
    </row>
    <row r="55" spans="1:7" ht="19.5" customHeight="1" x14ac:dyDescent="0.4">
      <c r="A55" t="s">
        <v>1075</v>
      </c>
      <c r="B55" t="s">
        <v>1078</v>
      </c>
      <c r="C55" t="s">
        <v>1151</v>
      </c>
      <c r="D55">
        <v>1</v>
      </c>
      <c r="E55" t="b">
        <v>1</v>
      </c>
      <c r="F55">
        <v>189.75</v>
      </c>
      <c r="G55">
        <v>40</v>
      </c>
    </row>
    <row r="56" spans="1:7" ht="19.5" customHeight="1" x14ac:dyDescent="0.4">
      <c r="A56" t="s">
        <v>306</v>
      </c>
      <c r="B56" t="s">
        <v>1285</v>
      </c>
      <c r="C56" t="s">
        <v>1133</v>
      </c>
      <c r="D56">
        <v>1</v>
      </c>
      <c r="E56" t="b">
        <v>1</v>
      </c>
      <c r="F56">
        <v>201.75</v>
      </c>
      <c r="G56">
        <v>40</v>
      </c>
    </row>
    <row r="57" spans="1:7" ht="20.25" customHeight="1" x14ac:dyDescent="0.4">
      <c r="A57" t="s">
        <v>148</v>
      </c>
      <c r="B57" t="s">
        <v>935</v>
      </c>
      <c r="C57" t="s">
        <v>2524</v>
      </c>
      <c r="D57">
        <v>1</v>
      </c>
      <c r="E57" t="b">
        <v>1</v>
      </c>
      <c r="F57">
        <v>219.75</v>
      </c>
      <c r="G57">
        <v>40</v>
      </c>
    </row>
    <row r="58" spans="1:7" ht="20.25" customHeight="1" x14ac:dyDescent="0.4">
      <c r="A58" t="s">
        <v>1054</v>
      </c>
      <c r="B58" t="s">
        <v>935</v>
      </c>
      <c r="C58" t="s">
        <v>1144</v>
      </c>
      <c r="D58">
        <v>1</v>
      </c>
      <c r="E58" t="b">
        <v>1</v>
      </c>
      <c r="F58">
        <v>219.75</v>
      </c>
      <c r="G58">
        <v>40</v>
      </c>
    </row>
    <row r="59" spans="1:7" ht="20.25" customHeight="1" x14ac:dyDescent="0.4">
      <c r="A59" t="s">
        <v>1600</v>
      </c>
      <c r="B59" t="s">
        <v>935</v>
      </c>
      <c r="C59" t="s">
        <v>1599</v>
      </c>
      <c r="D59">
        <v>1</v>
      </c>
      <c r="E59" t="b">
        <v>1</v>
      </c>
      <c r="F59">
        <v>219.75</v>
      </c>
      <c r="G59">
        <v>40</v>
      </c>
    </row>
    <row r="60" spans="1:7" ht="20.25" customHeight="1" x14ac:dyDescent="0.4">
      <c r="A60" t="s">
        <v>294</v>
      </c>
      <c r="B60" t="s">
        <v>1318</v>
      </c>
      <c r="C60" t="s">
        <v>1026</v>
      </c>
      <c r="D60">
        <v>1</v>
      </c>
      <c r="E60" t="b">
        <v>1</v>
      </c>
      <c r="F60">
        <v>219.75</v>
      </c>
      <c r="G60">
        <v>38</v>
      </c>
    </row>
    <row r="61" spans="1:7" ht="20.25" customHeight="1" x14ac:dyDescent="0.4">
      <c r="A61" t="s">
        <v>295</v>
      </c>
      <c r="B61" t="s">
        <v>1319</v>
      </c>
      <c r="C61" t="s">
        <v>1027</v>
      </c>
      <c r="D61">
        <v>2</v>
      </c>
      <c r="E61" t="b">
        <v>1</v>
      </c>
      <c r="F61">
        <v>219.75</v>
      </c>
      <c r="G61">
        <v>38</v>
      </c>
    </row>
    <row r="62" spans="1:7" ht="20.25" customHeight="1" x14ac:dyDescent="0.4">
      <c r="A62" t="s">
        <v>293</v>
      </c>
      <c r="B62" t="s">
        <v>343</v>
      </c>
      <c r="C62" t="s">
        <v>1071</v>
      </c>
      <c r="D62">
        <v>1</v>
      </c>
      <c r="E62" t="b">
        <v>0</v>
      </c>
      <c r="F62">
        <v>141.75</v>
      </c>
      <c r="G62">
        <v>40</v>
      </c>
    </row>
    <row r="63" spans="1:7" ht="20.25" customHeight="1" x14ac:dyDescent="0.4">
      <c r="A63" t="s">
        <v>1155</v>
      </c>
      <c r="B63" t="s">
        <v>324</v>
      </c>
      <c r="C63" t="s">
        <v>1154</v>
      </c>
      <c r="D63">
        <v>1</v>
      </c>
      <c r="E63" t="b">
        <v>1</v>
      </c>
      <c r="F63">
        <v>80.25</v>
      </c>
      <c r="G63">
        <v>40</v>
      </c>
    </row>
    <row r="64" spans="1:7" ht="20.25" customHeight="1" x14ac:dyDescent="0.4">
      <c r="A64" t="s">
        <v>1158</v>
      </c>
      <c r="B64" t="s">
        <v>1229</v>
      </c>
      <c r="C64" t="s">
        <v>1157</v>
      </c>
      <c r="D64">
        <v>1</v>
      </c>
      <c r="E64" t="b">
        <v>1</v>
      </c>
      <c r="F64">
        <v>123</v>
      </c>
      <c r="G64">
        <v>38</v>
      </c>
    </row>
    <row r="65" spans="1:7" ht="20.25" customHeight="1" x14ac:dyDescent="0.4">
      <c r="A65" t="s">
        <v>1375</v>
      </c>
      <c r="B65" t="s">
        <v>1376</v>
      </c>
      <c r="C65" t="s">
        <v>1373</v>
      </c>
      <c r="D65">
        <v>1</v>
      </c>
      <c r="E65" t="b">
        <v>1</v>
      </c>
      <c r="F65">
        <v>123</v>
      </c>
      <c r="G65">
        <v>40</v>
      </c>
    </row>
    <row r="66" spans="1:7" ht="20.25" customHeight="1" x14ac:dyDescent="0.4">
      <c r="A66" t="s">
        <v>1465</v>
      </c>
      <c r="B66" t="s">
        <v>1468</v>
      </c>
      <c r="C66" t="s">
        <v>1462</v>
      </c>
      <c r="D66">
        <v>2</v>
      </c>
      <c r="E66" t="b">
        <v>1</v>
      </c>
      <c r="F66">
        <v>123</v>
      </c>
      <c r="G66">
        <v>40</v>
      </c>
    </row>
    <row r="67" spans="1:7" ht="20.25" customHeight="1" x14ac:dyDescent="0.4">
      <c r="A67" t="s">
        <v>1471</v>
      </c>
      <c r="B67" t="s">
        <v>1498</v>
      </c>
      <c r="C67" t="s">
        <v>1469</v>
      </c>
      <c r="D67">
        <v>1</v>
      </c>
      <c r="E67" t="b">
        <v>1</v>
      </c>
      <c r="F67">
        <v>219.75</v>
      </c>
      <c r="G67">
        <v>40</v>
      </c>
    </row>
    <row r="68" spans="1:7" ht="20.25" customHeight="1" x14ac:dyDescent="0.4">
      <c r="A68" t="s">
        <v>1503</v>
      </c>
      <c r="B68" t="s">
        <v>6608</v>
      </c>
      <c r="C68" t="s">
        <v>1508</v>
      </c>
      <c r="D68">
        <v>1</v>
      </c>
      <c r="E68" t="b">
        <v>1</v>
      </c>
      <c r="F68">
        <v>87</v>
      </c>
      <c r="G68">
        <v>40</v>
      </c>
    </row>
    <row r="69" spans="1:7" ht="20.25" customHeight="1" x14ac:dyDescent="0.4">
      <c r="A69" t="s">
        <v>1540</v>
      </c>
      <c r="B69" t="s">
        <v>6608</v>
      </c>
      <c r="C69" t="s">
        <v>1508</v>
      </c>
      <c r="D69">
        <v>1</v>
      </c>
      <c r="E69" t="b">
        <v>1</v>
      </c>
      <c r="F69">
        <v>87</v>
      </c>
      <c r="G69">
        <v>40</v>
      </c>
    </row>
    <row r="70" spans="1:7" ht="20.25" customHeight="1" x14ac:dyDescent="0.4">
      <c r="A70" t="s">
        <v>1522</v>
      </c>
      <c r="B70" t="s">
        <v>1084</v>
      </c>
      <c r="C70" t="s">
        <v>1521</v>
      </c>
      <c r="D70">
        <v>1</v>
      </c>
      <c r="E70" t="b">
        <v>1</v>
      </c>
      <c r="F70">
        <v>123</v>
      </c>
      <c r="G70">
        <v>40</v>
      </c>
    </row>
    <row r="71" spans="1:7" ht="20.25" customHeight="1" x14ac:dyDescent="0.4">
      <c r="A71" t="s">
        <v>1657</v>
      </c>
      <c r="B71" t="s">
        <v>1658</v>
      </c>
      <c r="C71" t="s">
        <v>1654</v>
      </c>
      <c r="D71">
        <v>1</v>
      </c>
      <c r="E71" t="b">
        <v>1</v>
      </c>
      <c r="F71">
        <v>111.75</v>
      </c>
      <c r="G71">
        <v>40</v>
      </c>
    </row>
    <row r="72" spans="1:7" ht="20.25" customHeight="1" x14ac:dyDescent="0.4">
      <c r="A72" t="s">
        <v>1712</v>
      </c>
      <c r="B72" t="s">
        <v>7207</v>
      </c>
      <c r="C72" t="s">
        <v>1710</v>
      </c>
      <c r="D72">
        <v>1</v>
      </c>
      <c r="E72" t="b">
        <v>1</v>
      </c>
      <c r="F72">
        <v>111.75</v>
      </c>
      <c r="G72">
        <v>40</v>
      </c>
    </row>
  </sheetData>
  <phoneticPr fontId="8" type="noConversion"/>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536322" r:id="rId4" name="bld_SetControlWidth">
              <controlPr defaultSize="0" print="0" autoFill="0" autoPict="0" macro="[0]!Set_Control_Widths_And_Dropdown_Lines">
                <anchor moveWithCells="1" sizeWithCells="1">
                  <from>
                    <xdr:col>5</xdr:col>
                    <xdr:colOff>0</xdr:colOff>
                    <xdr:row>31</xdr:row>
                    <xdr:rowOff>0</xdr:rowOff>
                  </from>
                  <to>
                    <xdr:col>6</xdr:col>
                    <xdr:colOff>0</xdr:colOff>
                    <xdr:row>32</xdr:row>
                    <xdr:rowOff>0</xdr:rowOff>
                  </to>
                </anchor>
              </controlPr>
            </control>
          </mc:Choice>
        </mc:AlternateContent>
        <mc:AlternateContent xmlns:mc="http://schemas.openxmlformats.org/markup-compatibility/2006">
          <mc:Choice Requires="x14">
            <control shapeId="4536323" r:id="rId5" name="bld_GenVBA">
              <controlPr defaultSize="0" print="0" autoFill="0" autoPict="0" macro="[0]!Build_Generate_VBA_Constants">
                <anchor moveWithCells="1" sizeWithCells="1">
                  <from>
                    <xdr:col>10</xdr:col>
                    <xdr:colOff>27214</xdr:colOff>
                    <xdr:row>0</xdr:row>
                    <xdr:rowOff>114300</xdr:rowOff>
                  </from>
                  <to>
                    <xdr:col>11</xdr:col>
                    <xdr:colOff>201386</xdr:colOff>
                    <xdr:row>1</xdr:row>
                    <xdr:rowOff>190500</xdr:rowOff>
                  </to>
                </anchor>
              </controlPr>
            </control>
          </mc:Choice>
        </mc:AlternateContent>
        <mc:AlternateContent xmlns:mc="http://schemas.openxmlformats.org/markup-compatibility/2006">
          <mc:Choice Requires="x14">
            <control shapeId="4536324" r:id="rId6" name="cnt_GroupFilter">
              <controlPr defaultSize="0" autoFill="0" autoPict="0">
                <anchor moveWithCells="1">
                  <from>
                    <xdr:col>9</xdr:col>
                    <xdr:colOff>0</xdr:colOff>
                    <xdr:row>44</xdr:row>
                    <xdr:rowOff>27214</xdr:rowOff>
                  </from>
                  <to>
                    <xdr:col>11</xdr:col>
                    <xdr:colOff>103414</xdr:colOff>
                    <xdr:row>44</xdr:row>
                    <xdr:rowOff>239486</xdr:rowOff>
                  </to>
                </anchor>
              </controlPr>
            </control>
          </mc:Choice>
        </mc:AlternateContent>
        <mc:AlternateContent xmlns:mc="http://schemas.openxmlformats.org/markup-compatibility/2006">
          <mc:Choice Requires="x14">
            <control shapeId="4536325" r:id="rId7" name="cnt_CountryFlt">
              <controlPr defaultSize="0" autoFill="0" autoPict="0">
                <anchor moveWithCells="1">
                  <from>
                    <xdr:col>9</xdr:col>
                    <xdr:colOff>0</xdr:colOff>
                    <xdr:row>45</xdr:row>
                    <xdr:rowOff>27214</xdr:rowOff>
                  </from>
                  <to>
                    <xdr:col>10</xdr:col>
                    <xdr:colOff>517071</xdr:colOff>
                    <xdr:row>45</xdr:row>
                    <xdr:rowOff>239486</xdr:rowOff>
                  </to>
                </anchor>
              </controlPr>
            </control>
          </mc:Choice>
        </mc:AlternateContent>
        <mc:AlternateContent xmlns:mc="http://schemas.openxmlformats.org/markup-compatibility/2006">
          <mc:Choice Requires="x14">
            <control shapeId="4536327" r:id="rId8" name="cnt_GlobalZoom">
              <controlPr defaultSize="0" autoFill="0" autoPict="0">
                <anchor moveWithCells="1">
                  <from>
                    <xdr:col>9</xdr:col>
                    <xdr:colOff>0</xdr:colOff>
                    <xdr:row>33</xdr:row>
                    <xdr:rowOff>27214</xdr:rowOff>
                  </from>
                  <to>
                    <xdr:col>10</xdr:col>
                    <xdr:colOff>48986</xdr:colOff>
                    <xdr:row>33</xdr:row>
                    <xdr:rowOff>239486</xdr:rowOff>
                  </to>
                </anchor>
              </controlPr>
            </control>
          </mc:Choice>
        </mc:AlternateContent>
        <mc:AlternateContent xmlns:mc="http://schemas.openxmlformats.org/markup-compatibility/2006">
          <mc:Choice Requires="x14">
            <control shapeId="4536328" r:id="rId9" name="bld_PrintSetup">
              <controlPr defaultSize="0" print="0" autoFill="0" autoPict="0" macro="[0]!Print_Setup">
                <anchor moveWithCells="1" sizeWithCells="1">
                  <from>
                    <xdr:col>3</xdr:col>
                    <xdr:colOff>277586</xdr:colOff>
                    <xdr:row>1</xdr:row>
                    <xdr:rowOff>10886</xdr:rowOff>
                  </from>
                  <to>
                    <xdr:col>4</xdr:col>
                    <xdr:colOff>381000</xdr:colOff>
                    <xdr:row>2</xdr:row>
                    <xdr:rowOff>10886</xdr:rowOff>
                  </to>
                </anchor>
              </controlPr>
            </control>
          </mc:Choice>
        </mc:AlternateContent>
        <mc:AlternateContent xmlns:mc="http://schemas.openxmlformats.org/markup-compatibility/2006">
          <mc:Choice Requires="x14">
            <control shapeId="4536329" r:id="rId10" name="cnt_Country_2">
              <controlPr defaultSize="0" autoFill="0" autoPict="0">
                <anchor moveWithCells="1">
                  <from>
                    <xdr:col>9</xdr:col>
                    <xdr:colOff>0</xdr:colOff>
                    <xdr:row>51</xdr:row>
                    <xdr:rowOff>27214</xdr:rowOff>
                  </from>
                  <to>
                    <xdr:col>10</xdr:col>
                    <xdr:colOff>517071</xdr:colOff>
                    <xdr:row>51</xdr:row>
                    <xdr:rowOff>239486</xdr:rowOff>
                  </to>
                </anchor>
              </controlPr>
            </control>
          </mc:Choice>
        </mc:AlternateContent>
        <mc:AlternateContent xmlns:mc="http://schemas.openxmlformats.org/markup-compatibility/2006">
          <mc:Choice Requires="x14">
            <control shapeId="4536330" r:id="rId11" name="cnt_Country_1">
              <controlPr defaultSize="0" autoFill="0" autoPict="0">
                <anchor moveWithCells="1">
                  <from>
                    <xdr:col>9</xdr:col>
                    <xdr:colOff>0</xdr:colOff>
                    <xdr:row>50</xdr:row>
                    <xdr:rowOff>27214</xdr:rowOff>
                  </from>
                  <to>
                    <xdr:col>10</xdr:col>
                    <xdr:colOff>517071</xdr:colOff>
                    <xdr:row>50</xdr:row>
                    <xdr:rowOff>239486</xdr:rowOff>
                  </to>
                </anchor>
              </controlPr>
            </control>
          </mc:Choice>
        </mc:AlternateContent>
        <mc:AlternateContent xmlns:mc="http://schemas.openxmlformats.org/markup-compatibility/2006">
          <mc:Choice Requires="x14">
            <control shapeId="4536331" r:id="rId12" name="cnt_CountryHighlight">
              <controlPr defaultSize="0" autoFill="0" autoPict="0">
                <anchor moveWithCells="1">
                  <from>
                    <xdr:col>9</xdr:col>
                    <xdr:colOff>0</xdr:colOff>
                    <xdr:row>49</xdr:row>
                    <xdr:rowOff>27214</xdr:rowOff>
                  </from>
                  <to>
                    <xdr:col>10</xdr:col>
                    <xdr:colOff>517071</xdr:colOff>
                    <xdr:row>49</xdr:row>
                    <xdr:rowOff>239486</xdr:rowOff>
                  </to>
                </anchor>
              </controlPr>
            </control>
          </mc:Choice>
        </mc:AlternateContent>
        <mc:AlternateContent xmlns:mc="http://schemas.openxmlformats.org/markup-compatibility/2006">
          <mc:Choice Requires="x14">
            <control shapeId="4536332" r:id="rId13" name="cnt_PalettePicker">
              <controlPr defaultSize="0" autoFill="0" autoPict="0">
                <anchor moveWithCells="1">
                  <from>
                    <xdr:col>9</xdr:col>
                    <xdr:colOff>0</xdr:colOff>
                    <xdr:row>34</xdr:row>
                    <xdr:rowOff>27214</xdr:rowOff>
                  </from>
                  <to>
                    <xdr:col>11</xdr:col>
                    <xdr:colOff>206829</xdr:colOff>
                    <xdr:row>34</xdr:row>
                    <xdr:rowOff>239486</xdr:rowOff>
                  </to>
                </anchor>
              </controlPr>
            </control>
          </mc:Choice>
        </mc:AlternateContent>
        <mc:AlternateContent xmlns:mc="http://schemas.openxmlformats.org/markup-compatibility/2006">
          <mc:Choice Requires="x14">
            <control shapeId="4536333" r:id="rId14" name="bld_Build">
              <controlPr defaultSize="0" print="0" autoFill="0" autoPict="0" macro="[0]!Build">
                <anchor moveWithCells="1" sizeWithCells="1">
                  <from>
                    <xdr:col>1</xdr:col>
                    <xdr:colOff>391886</xdr:colOff>
                    <xdr:row>0</xdr:row>
                    <xdr:rowOff>174171</xdr:rowOff>
                  </from>
                  <to>
                    <xdr:col>2</xdr:col>
                    <xdr:colOff>1017814</xdr:colOff>
                    <xdr:row>1</xdr:row>
                    <xdr:rowOff>250371</xdr:rowOff>
                  </to>
                </anchor>
              </controlPr>
            </control>
          </mc:Choice>
        </mc:AlternateContent>
        <mc:AlternateContent xmlns:mc="http://schemas.openxmlformats.org/markup-compatibility/2006">
          <mc:Choice Requires="x14">
            <control shapeId="4536334" r:id="rId15" name="bld_ImportMDF">
              <controlPr defaultSize="0" print="0" autoFill="0" autoPict="0" macro="[0]!upd_Import_MDF_With_Dialog">
                <anchor moveWithCells="1" sizeWithCells="1">
                  <from>
                    <xdr:col>0</xdr:col>
                    <xdr:colOff>87086</xdr:colOff>
                    <xdr:row>0</xdr:row>
                    <xdr:rowOff>152400</xdr:rowOff>
                  </from>
                  <to>
                    <xdr:col>1</xdr:col>
                    <xdr:colOff>38100</xdr:colOff>
                    <xdr:row>1</xdr:row>
                    <xdr:rowOff>228600</xdr:rowOff>
                  </to>
                </anchor>
              </controlPr>
            </control>
          </mc:Choice>
        </mc:AlternateContent>
        <mc:AlternateContent xmlns:mc="http://schemas.openxmlformats.org/markup-compatibility/2006">
          <mc:Choice Requires="x14">
            <control shapeId="4536335" r:id="rId16" name="bld_OrganiseWorksheets">
              <controlPr defaultSize="0" print="0" autoFill="0" autoPict="0" macro="[0]!Build_Put_Worksheets_In_Order">
                <anchor moveWithCells="1" sizeWithCells="1">
                  <from>
                    <xdr:col>5</xdr:col>
                    <xdr:colOff>103414</xdr:colOff>
                    <xdr:row>0</xdr:row>
                    <xdr:rowOff>163286</xdr:rowOff>
                  </from>
                  <to>
                    <xdr:col>7</xdr:col>
                    <xdr:colOff>440871</xdr:colOff>
                    <xdr:row>1</xdr:row>
                    <xdr:rowOff>239486</xdr:rowOff>
                  </to>
                </anchor>
              </controlPr>
            </control>
          </mc:Choice>
        </mc:AlternateContent>
        <mc:AlternateContent xmlns:mc="http://schemas.openxmlformats.org/markup-compatibility/2006">
          <mc:Choice Requires="x14">
            <control shapeId="4536336" r:id="rId17" name="cnt_TimesliceDataTable">
              <controlPr defaultSize="0" autoFill="0" autoPict="0">
                <anchor moveWithCells="1">
                  <from>
                    <xdr:col>9</xdr:col>
                    <xdr:colOff>0</xdr:colOff>
                    <xdr:row>42</xdr:row>
                    <xdr:rowOff>27214</xdr:rowOff>
                  </from>
                  <to>
                    <xdr:col>10</xdr:col>
                    <xdr:colOff>527957</xdr:colOff>
                    <xdr:row>42</xdr:row>
                    <xdr:rowOff>239486</xdr:rowOff>
                  </to>
                </anchor>
              </controlPr>
            </control>
          </mc:Choice>
        </mc:AlternateContent>
        <mc:AlternateContent xmlns:mc="http://schemas.openxmlformats.org/markup-compatibility/2006">
          <mc:Choice Requires="x14">
            <control shapeId="4536337" r:id="rId18" name="cnt_WeightProfile">
              <controlPr defaultSize="0" autoFill="0" autoPict="0">
                <anchor moveWithCells="1">
                  <from>
                    <xdr:col>9</xdr:col>
                    <xdr:colOff>0</xdr:colOff>
                    <xdr:row>35</xdr:row>
                    <xdr:rowOff>27214</xdr:rowOff>
                  </from>
                  <to>
                    <xdr:col>12</xdr:col>
                    <xdr:colOff>321129</xdr:colOff>
                    <xdr:row>35</xdr:row>
                    <xdr:rowOff>239486</xdr:rowOff>
                  </to>
                </anchor>
              </controlPr>
            </control>
          </mc:Choice>
        </mc:AlternateContent>
        <mc:AlternateContent xmlns:mc="http://schemas.openxmlformats.org/markup-compatibility/2006">
          <mc:Choice Requires="x14">
            <control shapeId="4536338" r:id="rId19" name="cnt_Timeslice">
              <controlPr defaultSize="0" autoFill="0" autoPict="0">
                <anchor moveWithCells="1">
                  <from>
                    <xdr:col>9</xdr:col>
                    <xdr:colOff>0</xdr:colOff>
                    <xdr:row>40</xdr:row>
                    <xdr:rowOff>27214</xdr:rowOff>
                  </from>
                  <to>
                    <xdr:col>10</xdr:col>
                    <xdr:colOff>527957</xdr:colOff>
                    <xdr:row>40</xdr:row>
                    <xdr:rowOff>239486</xdr:rowOff>
                  </to>
                </anchor>
              </controlPr>
            </control>
          </mc:Choice>
        </mc:AlternateContent>
        <mc:AlternateContent xmlns:mc="http://schemas.openxmlformats.org/markup-compatibility/2006">
          <mc:Choice Requires="x14">
            <control shapeId="4536339" r:id="rId20" name="cnt_WeightMode">
              <controlPr defaultSize="0" autoFill="0" autoPict="0">
                <anchor moveWithCells="1">
                  <from>
                    <xdr:col>9</xdr:col>
                    <xdr:colOff>0</xdr:colOff>
                    <xdr:row>36</xdr:row>
                    <xdr:rowOff>27214</xdr:rowOff>
                  </from>
                  <to>
                    <xdr:col>10</xdr:col>
                    <xdr:colOff>582386</xdr:colOff>
                    <xdr:row>36</xdr:row>
                    <xdr:rowOff>239486</xdr:rowOff>
                  </to>
                </anchor>
              </controlPr>
            </control>
          </mc:Choice>
        </mc:AlternateContent>
        <mc:AlternateContent xmlns:mc="http://schemas.openxmlformats.org/markup-compatibility/2006">
          <mc:Choice Requires="x14">
            <control shapeId="4536340" r:id="rId21" name="cnt_TimesliceComparison">
              <controlPr defaultSize="0" autoFill="0" autoPict="0">
                <anchor moveWithCells="1">
                  <from>
                    <xdr:col>9</xdr:col>
                    <xdr:colOff>0</xdr:colOff>
                    <xdr:row>41</xdr:row>
                    <xdr:rowOff>27214</xdr:rowOff>
                  </from>
                  <to>
                    <xdr:col>10</xdr:col>
                    <xdr:colOff>527957</xdr:colOff>
                    <xdr:row>41</xdr:row>
                    <xdr:rowOff>239486</xdr:rowOff>
                  </to>
                </anchor>
              </controlPr>
            </control>
          </mc:Choice>
        </mc:AlternateContent>
        <mc:AlternateContent xmlns:mc="http://schemas.openxmlformats.org/markup-compatibility/2006">
          <mc:Choice Requires="x14">
            <control shapeId="4536341" r:id="rId22" name="cnt_CountryFltHighlight">
              <controlPr defaultSize="0" autoFill="0" autoPict="0">
                <anchor moveWithCells="1">
                  <from>
                    <xdr:col>9</xdr:col>
                    <xdr:colOff>0</xdr:colOff>
                    <xdr:row>48</xdr:row>
                    <xdr:rowOff>27214</xdr:rowOff>
                  </from>
                  <to>
                    <xdr:col>11</xdr:col>
                    <xdr:colOff>16329</xdr:colOff>
                    <xdr:row>48</xdr:row>
                    <xdr:rowOff>239486</xdr:rowOff>
                  </to>
                </anchor>
              </controlPr>
            </control>
          </mc:Choice>
        </mc:AlternateContent>
        <mc:AlternateContent xmlns:mc="http://schemas.openxmlformats.org/markup-compatibility/2006">
          <mc:Choice Requires="x14">
            <control shapeId="4536342" r:id="rId23" name="cnt_GroupHighlight">
              <controlPr defaultSize="0" autoFill="0" autoPict="0">
                <anchor moveWithCells="1">
                  <from>
                    <xdr:col>9</xdr:col>
                    <xdr:colOff>0</xdr:colOff>
                    <xdr:row>43</xdr:row>
                    <xdr:rowOff>27214</xdr:rowOff>
                  </from>
                  <to>
                    <xdr:col>11</xdr:col>
                    <xdr:colOff>103414</xdr:colOff>
                    <xdr:row>43</xdr:row>
                    <xdr:rowOff>239486</xdr:rowOff>
                  </to>
                </anchor>
              </controlPr>
            </control>
          </mc:Choice>
        </mc:AlternateContent>
        <mc:AlternateContent xmlns:mc="http://schemas.openxmlformats.org/markup-compatibility/2006">
          <mc:Choice Requires="x14">
            <control shapeId="4536343" r:id="rId24" name="cnt_Country_4">
              <controlPr defaultSize="0" autoFill="0" autoPict="0">
                <anchor moveWithCells="1">
                  <from>
                    <xdr:col>9</xdr:col>
                    <xdr:colOff>0</xdr:colOff>
                    <xdr:row>53</xdr:row>
                    <xdr:rowOff>27214</xdr:rowOff>
                  </from>
                  <to>
                    <xdr:col>10</xdr:col>
                    <xdr:colOff>517071</xdr:colOff>
                    <xdr:row>53</xdr:row>
                    <xdr:rowOff>239486</xdr:rowOff>
                  </to>
                </anchor>
              </controlPr>
            </control>
          </mc:Choice>
        </mc:AlternateContent>
        <mc:AlternateContent xmlns:mc="http://schemas.openxmlformats.org/markup-compatibility/2006">
          <mc:Choice Requires="x14">
            <control shapeId="4536344" r:id="rId25" name="cnt_Country_3">
              <controlPr defaultSize="0" autoFill="0" autoPict="0">
                <anchor moveWithCells="1">
                  <from>
                    <xdr:col>9</xdr:col>
                    <xdr:colOff>0</xdr:colOff>
                    <xdr:row>52</xdr:row>
                    <xdr:rowOff>27214</xdr:rowOff>
                  </from>
                  <to>
                    <xdr:col>10</xdr:col>
                    <xdr:colOff>517071</xdr:colOff>
                    <xdr:row>52</xdr:row>
                    <xdr:rowOff>239486</xdr:rowOff>
                  </to>
                </anchor>
              </controlPr>
            </control>
          </mc:Choice>
        </mc:AlternateContent>
        <mc:AlternateContent xmlns:mc="http://schemas.openxmlformats.org/markup-compatibility/2006">
          <mc:Choice Requires="x14">
            <control shapeId="4536345" r:id="rId26" name="cnt_Sort_Order_1">
              <controlPr defaultSize="0" autoFill="0" autoPict="0">
                <anchor moveWithCells="1">
                  <from>
                    <xdr:col>9</xdr:col>
                    <xdr:colOff>0</xdr:colOff>
                    <xdr:row>61</xdr:row>
                    <xdr:rowOff>27214</xdr:rowOff>
                  </from>
                  <to>
                    <xdr:col>11</xdr:col>
                    <xdr:colOff>560614</xdr:colOff>
                    <xdr:row>61</xdr:row>
                    <xdr:rowOff>239486</xdr:rowOff>
                  </to>
                </anchor>
              </controlPr>
            </control>
          </mc:Choice>
        </mc:AlternateContent>
        <mc:AlternateContent xmlns:mc="http://schemas.openxmlformats.org/markup-compatibility/2006">
          <mc:Choice Requires="x14">
            <control shapeId="4536346" r:id="rId27" name="cnt_SeriesAll">
              <controlPr defaultSize="0" autoFill="0" autoPict="0">
                <anchor moveWithCells="1">
                  <from>
                    <xdr:col>9</xdr:col>
                    <xdr:colOff>0</xdr:colOff>
                    <xdr:row>56</xdr:row>
                    <xdr:rowOff>27214</xdr:rowOff>
                  </from>
                  <to>
                    <xdr:col>12</xdr:col>
                    <xdr:colOff>571500</xdr:colOff>
                    <xdr:row>56</xdr:row>
                    <xdr:rowOff>239486</xdr:rowOff>
                  </to>
                </anchor>
              </controlPr>
            </control>
          </mc:Choice>
        </mc:AlternateContent>
        <mc:AlternateContent xmlns:mc="http://schemas.openxmlformats.org/markup-compatibility/2006">
          <mc:Choice Requires="x14">
            <control shapeId="4536347" r:id="rId28" name="cnt_CatMultiples">
              <controlPr defaultSize="0" autoFill="0" autoPict="0">
                <anchor moveWithCells="1">
                  <from>
                    <xdr:col>9</xdr:col>
                    <xdr:colOff>0</xdr:colOff>
                    <xdr:row>55</xdr:row>
                    <xdr:rowOff>27214</xdr:rowOff>
                  </from>
                  <to>
                    <xdr:col>12</xdr:col>
                    <xdr:colOff>342900</xdr:colOff>
                    <xdr:row>55</xdr:row>
                    <xdr:rowOff>239486</xdr:rowOff>
                  </to>
                </anchor>
              </controlPr>
            </control>
          </mc:Choice>
        </mc:AlternateContent>
        <mc:AlternateContent xmlns:mc="http://schemas.openxmlformats.org/markup-compatibility/2006">
          <mc:Choice Requires="x14">
            <control shapeId="4536348" r:id="rId29" name="cnt_SeriesScatterX">
              <controlPr defaultSize="0" autoFill="0" autoPict="0">
                <anchor moveWithCells="1">
                  <from>
                    <xdr:col>9</xdr:col>
                    <xdr:colOff>0</xdr:colOff>
                    <xdr:row>59</xdr:row>
                    <xdr:rowOff>27214</xdr:rowOff>
                  </from>
                  <to>
                    <xdr:col>12</xdr:col>
                    <xdr:colOff>571500</xdr:colOff>
                    <xdr:row>59</xdr:row>
                    <xdr:rowOff>239486</xdr:rowOff>
                  </to>
                </anchor>
              </controlPr>
            </control>
          </mc:Choice>
        </mc:AlternateContent>
        <mc:AlternateContent xmlns:mc="http://schemas.openxmlformats.org/markup-compatibility/2006">
          <mc:Choice Requires="x14">
            <control shapeId="4536349" r:id="rId30" name="cnt_SeriesScatterY">
              <controlPr defaultSize="0" autoFill="0" autoPict="0">
                <anchor moveWithCells="1">
                  <from>
                    <xdr:col>9</xdr:col>
                    <xdr:colOff>0</xdr:colOff>
                    <xdr:row>60</xdr:row>
                    <xdr:rowOff>27214</xdr:rowOff>
                  </from>
                  <to>
                    <xdr:col>12</xdr:col>
                    <xdr:colOff>571500</xdr:colOff>
                    <xdr:row>60</xdr:row>
                    <xdr:rowOff>239486</xdr:rowOff>
                  </to>
                </anchor>
              </controlPr>
            </control>
          </mc:Choice>
        </mc:AlternateContent>
        <mc:AlternateContent xmlns:mc="http://schemas.openxmlformats.org/markup-compatibility/2006">
          <mc:Choice Requires="x14">
            <control shapeId="4536352" r:id="rId31" name="cnt_GroupFilter_2">
              <controlPr defaultSize="0" autoFill="0" autoPict="0">
                <anchor moveWithCells="1">
                  <from>
                    <xdr:col>9</xdr:col>
                    <xdr:colOff>0</xdr:colOff>
                    <xdr:row>46</xdr:row>
                    <xdr:rowOff>27214</xdr:rowOff>
                  </from>
                  <to>
                    <xdr:col>11</xdr:col>
                    <xdr:colOff>103414</xdr:colOff>
                    <xdr:row>46</xdr:row>
                    <xdr:rowOff>239486</xdr:rowOff>
                  </to>
                </anchor>
              </controlPr>
            </control>
          </mc:Choice>
        </mc:AlternateContent>
        <mc:AlternateContent xmlns:mc="http://schemas.openxmlformats.org/markup-compatibility/2006">
          <mc:Choice Requires="x14">
            <control shapeId="4536353" r:id="rId32" name="cnt_CountryFlt_2">
              <controlPr defaultSize="0" autoFill="0" autoPict="0">
                <anchor moveWithCells="1">
                  <from>
                    <xdr:col>9</xdr:col>
                    <xdr:colOff>0</xdr:colOff>
                    <xdr:row>47</xdr:row>
                    <xdr:rowOff>27214</xdr:rowOff>
                  </from>
                  <to>
                    <xdr:col>10</xdr:col>
                    <xdr:colOff>517071</xdr:colOff>
                    <xdr:row>47</xdr:row>
                    <xdr:rowOff>239486</xdr:rowOff>
                  </to>
                </anchor>
              </controlPr>
            </control>
          </mc:Choice>
        </mc:AlternateContent>
        <mc:AlternateContent xmlns:mc="http://schemas.openxmlformats.org/markup-compatibility/2006">
          <mc:Choice Requires="x14">
            <control shapeId="4536357" r:id="rId33" name="cnt_ModelDepthDescription">
              <controlPr defaultSize="0" autoFill="0" autoPict="0">
                <anchor moveWithCells="1">
                  <from>
                    <xdr:col>9</xdr:col>
                    <xdr:colOff>0</xdr:colOff>
                    <xdr:row>38</xdr:row>
                    <xdr:rowOff>27214</xdr:rowOff>
                  </from>
                  <to>
                    <xdr:col>10</xdr:col>
                    <xdr:colOff>582386</xdr:colOff>
                    <xdr:row>38</xdr:row>
                    <xdr:rowOff>239486</xdr:rowOff>
                  </to>
                </anchor>
              </controlPr>
            </control>
          </mc:Choice>
        </mc:AlternateContent>
        <mc:AlternateContent xmlns:mc="http://schemas.openxmlformats.org/markup-compatibility/2006">
          <mc:Choice Requires="x14">
            <control shapeId="4536359" r:id="rId34" name="cnt_SeriesHighLevel">
              <controlPr defaultSize="0" autoFill="0" autoPict="0">
                <anchor moveWithCells="1">
                  <from>
                    <xdr:col>9</xdr:col>
                    <xdr:colOff>0</xdr:colOff>
                    <xdr:row>57</xdr:row>
                    <xdr:rowOff>27214</xdr:rowOff>
                  </from>
                  <to>
                    <xdr:col>12</xdr:col>
                    <xdr:colOff>571500</xdr:colOff>
                    <xdr:row>57</xdr:row>
                    <xdr:rowOff>239486</xdr:rowOff>
                  </to>
                </anchor>
              </controlPr>
            </control>
          </mc:Choice>
        </mc:AlternateContent>
        <mc:AlternateContent xmlns:mc="http://schemas.openxmlformats.org/markup-compatibility/2006">
          <mc:Choice Requires="x14">
            <control shapeId="4536360" r:id="rId35" name="cnt_CatFilter">
              <controlPr defaultSize="0" autoFill="0" autoPict="0">
                <anchor moveWithCells="1">
                  <from>
                    <xdr:col>9</xdr:col>
                    <xdr:colOff>0</xdr:colOff>
                    <xdr:row>54</xdr:row>
                    <xdr:rowOff>27214</xdr:rowOff>
                  </from>
                  <to>
                    <xdr:col>12</xdr:col>
                    <xdr:colOff>190500</xdr:colOff>
                    <xdr:row>54</xdr:row>
                    <xdr:rowOff>239486</xdr:rowOff>
                  </to>
                </anchor>
              </controlPr>
            </control>
          </mc:Choice>
        </mc:AlternateContent>
        <mc:AlternateContent xmlns:mc="http://schemas.openxmlformats.org/markup-compatibility/2006">
          <mc:Choice Requires="x14">
            <control shapeId="4536361" r:id="rId36" name="Button 41">
              <controlPr defaultSize="0" print="0" autoFill="0" autoPict="0" macro="[0]!upd_Import_MDF_and_Data">
                <anchor moveWithCells="1" sizeWithCells="1">
                  <from>
                    <xdr:col>12</xdr:col>
                    <xdr:colOff>391886</xdr:colOff>
                    <xdr:row>1</xdr:row>
                    <xdr:rowOff>59871</xdr:rowOff>
                  </from>
                  <to>
                    <xdr:col>15</xdr:col>
                    <xdr:colOff>468086</xdr:colOff>
                    <xdr:row>2</xdr:row>
                    <xdr:rowOff>174171</xdr:rowOff>
                  </to>
                </anchor>
              </controlPr>
            </control>
          </mc:Choice>
        </mc:AlternateContent>
        <mc:AlternateContent xmlns:mc="http://schemas.openxmlformats.org/markup-compatibility/2006">
          <mc:Choice Requires="x14">
            <control shapeId="4536362" r:id="rId37" name="cnt_WeightsDepth">
              <controlPr defaultSize="0" autoFill="0" autoPict="0">
                <anchor moveWithCells="1">
                  <from>
                    <xdr:col>9</xdr:col>
                    <xdr:colOff>0</xdr:colOff>
                    <xdr:row>37</xdr:row>
                    <xdr:rowOff>27214</xdr:rowOff>
                  </from>
                  <to>
                    <xdr:col>11</xdr:col>
                    <xdr:colOff>827314</xdr:colOff>
                    <xdr:row>37</xdr:row>
                    <xdr:rowOff>239486</xdr:rowOff>
                  </to>
                </anchor>
              </controlPr>
            </control>
          </mc:Choice>
        </mc:AlternateContent>
        <mc:AlternateContent xmlns:mc="http://schemas.openxmlformats.org/markup-compatibility/2006">
          <mc:Choice Requires="x14">
            <control shapeId="4536364" r:id="rId38" name="cnt_DataTableFilter">
              <controlPr defaultSize="0" autoFill="0" autoPict="0">
                <anchor moveWithCells="1">
                  <from>
                    <xdr:col>9</xdr:col>
                    <xdr:colOff>0</xdr:colOff>
                    <xdr:row>39</xdr:row>
                    <xdr:rowOff>27214</xdr:rowOff>
                  </from>
                  <to>
                    <xdr:col>11</xdr:col>
                    <xdr:colOff>332014</xdr:colOff>
                    <xdr:row>39</xdr:row>
                    <xdr:rowOff>239486</xdr:rowOff>
                  </to>
                </anchor>
              </controlPr>
            </control>
          </mc:Choice>
        </mc:AlternateContent>
        <mc:AlternateContent xmlns:mc="http://schemas.openxmlformats.org/markup-compatibility/2006">
          <mc:Choice Requires="x14">
            <control shapeId="4536365" r:id="rId39" name="cnt_Indicator_View">
              <controlPr defaultSize="0" autoFill="0" autoPict="0">
                <anchor moveWithCells="1">
                  <from>
                    <xdr:col>9</xdr:col>
                    <xdr:colOff>0</xdr:colOff>
                    <xdr:row>62</xdr:row>
                    <xdr:rowOff>27214</xdr:rowOff>
                  </from>
                  <to>
                    <xdr:col>10</xdr:col>
                    <xdr:colOff>429986</xdr:colOff>
                    <xdr:row>62</xdr:row>
                    <xdr:rowOff>239486</xdr:rowOff>
                  </to>
                </anchor>
              </controlPr>
            </control>
          </mc:Choice>
        </mc:AlternateContent>
        <mc:AlternateContent xmlns:mc="http://schemas.openxmlformats.org/markup-compatibility/2006">
          <mc:Choice Requires="x14">
            <control shapeId="4536367" r:id="rId40" name="cnt_Scatter_Data_Option">
              <controlPr defaultSize="0" autoFill="0" autoPict="0">
                <anchor moveWithCells="1">
                  <from>
                    <xdr:col>9</xdr:col>
                    <xdr:colOff>0</xdr:colOff>
                    <xdr:row>63</xdr:row>
                    <xdr:rowOff>27214</xdr:rowOff>
                  </from>
                  <to>
                    <xdr:col>11</xdr:col>
                    <xdr:colOff>321129</xdr:colOff>
                    <xdr:row>63</xdr:row>
                    <xdr:rowOff>239486</xdr:rowOff>
                  </to>
                </anchor>
              </controlPr>
            </control>
          </mc:Choice>
        </mc:AlternateContent>
        <mc:AlternateContent xmlns:mc="http://schemas.openxmlformats.org/markup-compatibility/2006">
          <mc:Choice Requires="x14">
            <control shapeId="4536368" r:id="rId41" name="cnt_View_Dots">
              <controlPr defaultSize="0" autoFill="0" autoPict="0">
                <anchor moveWithCells="1">
                  <from>
                    <xdr:col>9</xdr:col>
                    <xdr:colOff>0</xdr:colOff>
                    <xdr:row>64</xdr:row>
                    <xdr:rowOff>27214</xdr:rowOff>
                  </from>
                  <to>
                    <xdr:col>11</xdr:col>
                    <xdr:colOff>321129</xdr:colOff>
                    <xdr:row>64</xdr:row>
                    <xdr:rowOff>239486</xdr:rowOff>
                  </to>
                </anchor>
              </controlPr>
            </control>
          </mc:Choice>
        </mc:AlternateContent>
        <mc:AlternateContent xmlns:mc="http://schemas.openxmlformats.org/markup-compatibility/2006">
          <mc:Choice Requires="x14">
            <control shapeId="4536369" r:id="rId42" name="cnt_Chart_Selector_1">
              <controlPr defaultSize="0" autoFill="0" autoPict="0">
                <anchor moveWithCells="1">
                  <from>
                    <xdr:col>9</xdr:col>
                    <xdr:colOff>0</xdr:colOff>
                    <xdr:row>65</xdr:row>
                    <xdr:rowOff>27214</xdr:rowOff>
                  </from>
                  <to>
                    <xdr:col>11</xdr:col>
                    <xdr:colOff>321129</xdr:colOff>
                    <xdr:row>65</xdr:row>
                    <xdr:rowOff>239486</xdr:rowOff>
                  </to>
                </anchor>
              </controlPr>
            </control>
          </mc:Choice>
        </mc:AlternateContent>
        <mc:AlternateContent xmlns:mc="http://schemas.openxmlformats.org/markup-compatibility/2006">
          <mc:Choice Requires="x14">
            <control shapeId="4536370" r:id="rId43" name="cnt_IFG_Measure">
              <controlPr defaultSize="0" autoFill="0" autoPict="0">
                <anchor moveWithCells="1">
                  <from>
                    <xdr:col>9</xdr:col>
                    <xdr:colOff>0</xdr:colOff>
                    <xdr:row>66</xdr:row>
                    <xdr:rowOff>27214</xdr:rowOff>
                  </from>
                  <to>
                    <xdr:col>12</xdr:col>
                    <xdr:colOff>571500</xdr:colOff>
                    <xdr:row>66</xdr:row>
                    <xdr:rowOff>239486</xdr:rowOff>
                  </to>
                </anchor>
              </controlPr>
            </control>
          </mc:Choice>
        </mc:AlternateContent>
        <mc:AlternateContent xmlns:mc="http://schemas.openxmlformats.org/markup-compatibility/2006">
          <mc:Choice Requires="x14">
            <control shapeId="4536371" r:id="rId44" name="cnt_Country_Or_Average">
              <controlPr defaultSize="0" autoFill="0" autoPict="0">
                <anchor moveWithCells="1">
                  <from>
                    <xdr:col>9</xdr:col>
                    <xdr:colOff>0</xdr:colOff>
                    <xdr:row>67</xdr:row>
                    <xdr:rowOff>27214</xdr:rowOff>
                  </from>
                  <to>
                    <xdr:col>10</xdr:col>
                    <xdr:colOff>517071</xdr:colOff>
                    <xdr:row>67</xdr:row>
                    <xdr:rowOff>239486</xdr:rowOff>
                  </to>
                </anchor>
              </controlPr>
            </control>
          </mc:Choice>
        </mc:AlternateContent>
        <mc:AlternateContent xmlns:mc="http://schemas.openxmlformats.org/markup-compatibility/2006">
          <mc:Choice Requires="x14">
            <control shapeId="4536372" r:id="rId45" name="cnt_Compare_Detail">
              <controlPr defaultSize="0" autoFill="0" autoPict="0">
                <anchor moveWithCells="1">
                  <from>
                    <xdr:col>9</xdr:col>
                    <xdr:colOff>0</xdr:colOff>
                    <xdr:row>69</xdr:row>
                    <xdr:rowOff>27214</xdr:rowOff>
                  </from>
                  <to>
                    <xdr:col>11</xdr:col>
                    <xdr:colOff>321129</xdr:colOff>
                    <xdr:row>69</xdr:row>
                    <xdr:rowOff>239486</xdr:rowOff>
                  </to>
                </anchor>
              </controlPr>
            </control>
          </mc:Choice>
        </mc:AlternateContent>
        <mc:AlternateContent xmlns:mc="http://schemas.openxmlformats.org/markup-compatibility/2006">
          <mc:Choice Requires="x14">
            <control shapeId="4536373" r:id="rId46" name="cnt_Country_Or_Average_2">
              <controlPr defaultSize="0" autoFill="0" autoPict="0">
                <anchor moveWithCells="1">
                  <from>
                    <xdr:col>9</xdr:col>
                    <xdr:colOff>0</xdr:colOff>
                    <xdr:row>68</xdr:row>
                    <xdr:rowOff>27214</xdr:rowOff>
                  </from>
                  <to>
                    <xdr:col>10</xdr:col>
                    <xdr:colOff>517071</xdr:colOff>
                    <xdr:row>68</xdr:row>
                    <xdr:rowOff>239486</xdr:rowOff>
                  </to>
                </anchor>
              </controlPr>
            </control>
          </mc:Choice>
        </mc:AlternateContent>
        <mc:AlternateContent xmlns:mc="http://schemas.openxmlformats.org/markup-compatibility/2006">
          <mc:Choice Requires="x14">
            <control shapeId="4536376" r:id="rId47" name="cnt_SeriesOverview">
              <controlPr defaultSize="0" autoFill="0" autoPict="0">
                <anchor moveWithCells="1">
                  <from>
                    <xdr:col>9</xdr:col>
                    <xdr:colOff>0</xdr:colOff>
                    <xdr:row>58</xdr:row>
                    <xdr:rowOff>27214</xdr:rowOff>
                  </from>
                  <to>
                    <xdr:col>12</xdr:col>
                    <xdr:colOff>571500</xdr:colOff>
                    <xdr:row>58</xdr:row>
                    <xdr:rowOff>239486</xdr:rowOff>
                  </to>
                </anchor>
              </controlPr>
            </control>
          </mc:Choice>
        </mc:AlternateContent>
        <mc:AlternateContent xmlns:mc="http://schemas.openxmlformats.org/markup-compatibility/2006">
          <mc:Choice Requires="x14">
            <control shapeId="4536379" r:id="rId48" name="cnt_ShowReferences">
              <controlPr defaultSize="0" autoFill="0" autoPict="0">
                <anchor moveWithCells="1">
                  <from>
                    <xdr:col>9</xdr:col>
                    <xdr:colOff>0</xdr:colOff>
                    <xdr:row>70</xdr:row>
                    <xdr:rowOff>27214</xdr:rowOff>
                  </from>
                  <to>
                    <xdr:col>11</xdr:col>
                    <xdr:colOff>179614</xdr:colOff>
                    <xdr:row>70</xdr:row>
                    <xdr:rowOff>239486</xdr:rowOff>
                  </to>
                </anchor>
              </controlPr>
            </control>
          </mc:Choice>
        </mc:AlternateContent>
        <mc:AlternateContent xmlns:mc="http://schemas.openxmlformats.org/markup-compatibility/2006">
          <mc:Choice Requires="x14">
            <control shapeId="4536380" r:id="rId49" name="cnt_ClassificationScheme">
              <controlPr defaultSize="0" autoFill="0" autoPict="0">
                <anchor moveWithCells="1">
                  <from>
                    <xdr:col>9</xdr:col>
                    <xdr:colOff>0</xdr:colOff>
                    <xdr:row>71</xdr:row>
                    <xdr:rowOff>27214</xdr:rowOff>
                  </from>
                  <to>
                    <xdr:col>11</xdr:col>
                    <xdr:colOff>179614</xdr:colOff>
                    <xdr:row>71</xdr:row>
                    <xdr:rowOff>239486</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7A189-D12D-4711-B551-BDDB5E93877D}">
  <sheetPr codeName="Sheet82">
    <tabColor theme="6"/>
  </sheetPr>
  <dimension ref="A1:K669"/>
  <sheetViews>
    <sheetView topLeftCell="A43" zoomScaleNormal="100" workbookViewId="0">
      <selection activeCell="A73" sqref="A73:XFD73"/>
    </sheetView>
  </sheetViews>
  <sheetFormatPr defaultColWidth="26.84375" defaultRowHeight="14.6" x14ac:dyDescent="0.4"/>
  <cols>
    <col min="1" max="1" width="34.15234375" customWidth="1"/>
    <col min="2" max="2" width="43.69140625" customWidth="1"/>
    <col min="3" max="3" width="17.3046875" customWidth="1"/>
    <col min="4" max="4" width="12.69140625" customWidth="1"/>
    <col min="5" max="5" width="13.3828125" customWidth="1"/>
    <col min="6" max="6" width="26.84375" customWidth="1"/>
    <col min="7" max="11" width="7.3046875" customWidth="1"/>
  </cols>
  <sheetData>
    <row r="1" spans="1:2" x14ac:dyDescent="0.4">
      <c r="A1" t="s">
        <v>497</v>
      </c>
    </row>
    <row r="2" spans="1:2" x14ac:dyDescent="0.4">
      <c r="A2" t="s">
        <v>498</v>
      </c>
    </row>
    <row r="3" spans="1:2" x14ac:dyDescent="0.4">
      <c r="A3" t="s">
        <v>499</v>
      </c>
      <c r="B3">
        <v>250</v>
      </c>
    </row>
    <row r="4" spans="1:2" x14ac:dyDescent="0.4">
      <c r="A4" t="s">
        <v>500</v>
      </c>
    </row>
    <row r="5" spans="1:2" x14ac:dyDescent="0.4">
      <c r="A5" t="s">
        <v>501</v>
      </c>
      <c r="B5">
        <v>154</v>
      </c>
    </row>
    <row r="6" spans="1:2" x14ac:dyDescent="0.4">
      <c r="A6" t="s">
        <v>502</v>
      </c>
      <c r="B6">
        <v>40</v>
      </c>
    </row>
    <row r="7" spans="1:2" x14ac:dyDescent="0.4">
      <c r="A7" t="s">
        <v>503</v>
      </c>
      <c r="B7">
        <v>5</v>
      </c>
    </row>
    <row r="8" spans="1:2" x14ac:dyDescent="0.4">
      <c r="A8" t="s">
        <v>504</v>
      </c>
      <c r="B8">
        <v>62</v>
      </c>
    </row>
    <row r="9" spans="1:2" x14ac:dyDescent="0.4">
      <c r="A9" t="s">
        <v>505</v>
      </c>
    </row>
    <row r="10" spans="1:2" x14ac:dyDescent="0.4">
      <c r="A10" t="s">
        <v>506</v>
      </c>
      <c r="B10" t="s">
        <v>249</v>
      </c>
    </row>
    <row r="11" spans="1:2" x14ac:dyDescent="0.4">
      <c r="A11" t="s">
        <v>507</v>
      </c>
      <c r="B11" t="s">
        <v>508</v>
      </c>
    </row>
    <row r="12" spans="1:2" x14ac:dyDescent="0.4">
      <c r="A12" t="s">
        <v>509</v>
      </c>
      <c r="B12" t="s">
        <v>510</v>
      </c>
    </row>
    <row r="13" spans="1:2" x14ac:dyDescent="0.4">
      <c r="A13" t="s">
        <v>511</v>
      </c>
      <c r="B13" t="s">
        <v>4</v>
      </c>
    </row>
    <row r="14" spans="1:2" x14ac:dyDescent="0.4">
      <c r="A14" t="s">
        <v>512</v>
      </c>
      <c r="B14" t="s">
        <v>513</v>
      </c>
    </row>
    <row r="15" spans="1:2" x14ac:dyDescent="0.4">
      <c r="A15" t="s">
        <v>514</v>
      </c>
      <c r="B15" t="s">
        <v>444</v>
      </c>
    </row>
    <row r="16" spans="1:2" x14ac:dyDescent="0.4">
      <c r="A16" t="s">
        <v>515</v>
      </c>
      <c r="B16" t="s">
        <v>516</v>
      </c>
    </row>
    <row r="17" spans="1:3" x14ac:dyDescent="0.4">
      <c r="A17" t="s">
        <v>517</v>
      </c>
      <c r="B17" t="s">
        <v>518</v>
      </c>
    </row>
    <row r="18" spans="1:3" x14ac:dyDescent="0.4">
      <c r="A18" t="s">
        <v>519</v>
      </c>
      <c r="B18" t="s">
        <v>520</v>
      </c>
    </row>
    <row r="19" spans="1:3" x14ac:dyDescent="0.4">
      <c r="A19" t="s">
        <v>521</v>
      </c>
      <c r="B19" t="s">
        <v>76</v>
      </c>
    </row>
    <row r="20" spans="1:3" x14ac:dyDescent="0.4">
      <c r="A20" t="s">
        <v>522</v>
      </c>
      <c r="B20" t="s">
        <v>523</v>
      </c>
    </row>
    <row r="21" spans="1:3" x14ac:dyDescent="0.4">
      <c r="A21" t="s">
        <v>524</v>
      </c>
      <c r="B21" t="s">
        <v>525</v>
      </c>
    </row>
    <row r="22" spans="1:3" x14ac:dyDescent="0.4">
      <c r="A22" t="s">
        <v>526</v>
      </c>
      <c r="B22" t="s">
        <v>527</v>
      </c>
    </row>
    <row r="23" spans="1:3" x14ac:dyDescent="0.4">
      <c r="A23" t="s">
        <v>528</v>
      </c>
      <c r="B23" t="s">
        <v>529</v>
      </c>
    </row>
    <row r="25" spans="1:3" x14ac:dyDescent="0.4">
      <c r="A25" t="s">
        <v>530</v>
      </c>
      <c r="B25" t="s">
        <v>531</v>
      </c>
      <c r="C25" t="s">
        <v>532</v>
      </c>
    </row>
    <row r="26" spans="1:3" x14ac:dyDescent="0.4">
      <c r="A26" t="s">
        <v>533</v>
      </c>
      <c r="B26" t="s">
        <v>534</v>
      </c>
      <c r="C26" t="s">
        <v>535</v>
      </c>
    </row>
    <row r="27" spans="1:3" x14ac:dyDescent="0.4">
      <c r="A27" t="s">
        <v>536</v>
      </c>
      <c r="B27" t="s">
        <v>537</v>
      </c>
      <c r="C27" t="s">
        <v>538</v>
      </c>
    </row>
    <row r="28" spans="1:3" x14ac:dyDescent="0.4">
      <c r="A28" t="s">
        <v>539</v>
      </c>
      <c r="B28" t="s">
        <v>540</v>
      </c>
      <c r="C28" t="s">
        <v>541</v>
      </c>
    </row>
    <row r="32" spans="1:3" x14ac:dyDescent="0.4">
      <c r="A32" t="s">
        <v>542</v>
      </c>
      <c r="B32" t="s">
        <v>543</v>
      </c>
    </row>
    <row r="33" spans="1:11" x14ac:dyDescent="0.4">
      <c r="A33" t="s">
        <v>544</v>
      </c>
      <c r="B33" t="s">
        <v>545</v>
      </c>
    </row>
    <row r="35" spans="1:11" x14ac:dyDescent="0.4">
      <c r="A35" t="s">
        <v>546</v>
      </c>
    </row>
    <row r="36" spans="1:11" x14ac:dyDescent="0.4">
      <c r="A36" t="s">
        <v>547</v>
      </c>
      <c r="B36" t="s">
        <v>548</v>
      </c>
      <c r="C36" t="s">
        <v>548</v>
      </c>
      <c r="D36" t="s">
        <v>548</v>
      </c>
      <c r="E36" t="s">
        <v>549</v>
      </c>
    </row>
    <row r="37" spans="1:11" x14ac:dyDescent="0.4">
      <c r="A37" t="s">
        <v>550</v>
      </c>
      <c r="B37" t="s">
        <v>1141</v>
      </c>
      <c r="C37" t="s">
        <v>1140</v>
      </c>
      <c r="D37" t="s">
        <v>1142</v>
      </c>
      <c r="E37" t="s">
        <v>551</v>
      </c>
      <c r="F37" t="s">
        <v>552</v>
      </c>
      <c r="G37" t="s">
        <v>553</v>
      </c>
      <c r="I37" t="s">
        <v>554</v>
      </c>
      <c r="J37" t="s">
        <v>555</v>
      </c>
      <c r="K37">
        <v>0</v>
      </c>
    </row>
    <row r="38" spans="1:11" x14ac:dyDescent="0.4">
      <c r="A38" t="s">
        <v>556</v>
      </c>
      <c r="B38" t="s">
        <v>1117</v>
      </c>
      <c r="C38" t="s">
        <v>558</v>
      </c>
      <c r="D38" t="s">
        <v>558</v>
      </c>
      <c r="E38" t="s">
        <v>557</v>
      </c>
      <c r="F38" t="s">
        <v>552</v>
      </c>
      <c r="G38" t="s">
        <v>558</v>
      </c>
      <c r="I38" t="s">
        <v>559</v>
      </c>
      <c r="J38" t="s">
        <v>560</v>
      </c>
      <c r="K38">
        <v>20</v>
      </c>
    </row>
    <row r="39" spans="1:11" x14ac:dyDescent="0.4">
      <c r="A39" t="s">
        <v>561</v>
      </c>
      <c r="B39" t="s">
        <v>1118</v>
      </c>
      <c r="C39" t="s">
        <v>1138</v>
      </c>
      <c r="D39" t="s">
        <v>1138</v>
      </c>
      <c r="E39" t="s">
        <v>562</v>
      </c>
      <c r="F39" t="s">
        <v>552</v>
      </c>
      <c r="G39" t="s">
        <v>563</v>
      </c>
      <c r="I39" t="s">
        <v>564</v>
      </c>
      <c r="J39" t="s">
        <v>565</v>
      </c>
      <c r="K39">
        <v>40</v>
      </c>
    </row>
    <row r="40" spans="1:11" x14ac:dyDescent="0.4">
      <c r="A40" t="s">
        <v>566</v>
      </c>
      <c r="B40" t="s">
        <v>1115</v>
      </c>
      <c r="C40" t="s">
        <v>1139</v>
      </c>
      <c r="D40" t="s">
        <v>1143</v>
      </c>
      <c r="E40" t="s">
        <v>567</v>
      </c>
      <c r="F40" t="s">
        <v>552</v>
      </c>
      <c r="G40" t="s">
        <v>568</v>
      </c>
      <c r="I40" t="s">
        <v>569</v>
      </c>
      <c r="J40" t="s">
        <v>570</v>
      </c>
      <c r="K40">
        <v>60</v>
      </c>
    </row>
    <row r="41" spans="1:11" x14ac:dyDescent="0.4">
      <c r="A41" t="s">
        <v>571</v>
      </c>
      <c r="B41" t="s">
        <v>1116</v>
      </c>
      <c r="F41" t="s">
        <v>572</v>
      </c>
      <c r="G41" t="s">
        <v>573</v>
      </c>
      <c r="I41" t="s">
        <v>574</v>
      </c>
      <c r="J41" t="s">
        <v>573</v>
      </c>
      <c r="K41">
        <v>80</v>
      </c>
    </row>
    <row r="42" spans="1:11" x14ac:dyDescent="0.4">
      <c r="A42" t="s">
        <v>575</v>
      </c>
    </row>
    <row r="43" spans="1:11" x14ac:dyDescent="0.4">
      <c r="A43" t="s">
        <v>576</v>
      </c>
      <c r="B43" t="s">
        <v>59</v>
      </c>
      <c r="C43" t="s">
        <v>577</v>
      </c>
    </row>
    <row r="44" spans="1:11" x14ac:dyDescent="0.4">
      <c r="A44" t="s">
        <v>578</v>
      </c>
      <c r="B44">
        <v>1248</v>
      </c>
    </row>
    <row r="45" spans="1:11" x14ac:dyDescent="0.4">
      <c r="A45" t="s">
        <v>579</v>
      </c>
      <c r="B45">
        <v>936</v>
      </c>
    </row>
    <row r="46" spans="1:11" x14ac:dyDescent="0.4">
      <c r="A46" t="s">
        <v>580</v>
      </c>
      <c r="B46" t="s">
        <v>7206</v>
      </c>
    </row>
    <row r="47" spans="1:11" x14ac:dyDescent="0.4">
      <c r="A47" t="s">
        <v>581</v>
      </c>
      <c r="B47">
        <v>2</v>
      </c>
    </row>
    <row r="48" spans="1:11" x14ac:dyDescent="0.4">
      <c r="A48" t="s">
        <v>582</v>
      </c>
      <c r="B48" t="s">
        <v>59</v>
      </c>
    </row>
    <row r="49" spans="1:2" x14ac:dyDescent="0.4">
      <c r="A49" t="s">
        <v>583</v>
      </c>
      <c r="B49" t="s">
        <v>59</v>
      </c>
    </row>
    <row r="50" spans="1:2" x14ac:dyDescent="0.4">
      <c r="A50" t="s">
        <v>584</v>
      </c>
      <c r="B50" t="s">
        <v>286</v>
      </c>
    </row>
    <row r="51" spans="1:2" x14ac:dyDescent="0.4">
      <c r="A51" t="s">
        <v>585</v>
      </c>
      <c r="B51" t="s">
        <v>2509</v>
      </c>
    </row>
    <row r="52" spans="1:2" x14ac:dyDescent="0.4">
      <c r="A52" t="s">
        <v>586</v>
      </c>
      <c r="B52" t="s">
        <v>7204</v>
      </c>
    </row>
    <row r="53" spans="1:2" x14ac:dyDescent="0.4">
      <c r="A53" t="s">
        <v>587</v>
      </c>
      <c r="B53" t="s">
        <v>6955</v>
      </c>
    </row>
    <row r="54" spans="1:2" x14ac:dyDescent="0.4">
      <c r="A54" t="s">
        <v>588</v>
      </c>
    </row>
    <row r="55" spans="1:2" x14ac:dyDescent="0.4">
      <c r="A55" t="s">
        <v>589</v>
      </c>
    </row>
    <row r="56" spans="1:2" x14ac:dyDescent="0.4">
      <c r="A56" t="s">
        <v>590</v>
      </c>
    </row>
    <row r="57" spans="1:2" x14ac:dyDescent="0.4">
      <c r="A57" t="s">
        <v>591</v>
      </c>
    </row>
    <row r="58" spans="1:2" x14ac:dyDescent="0.4">
      <c r="A58" t="s">
        <v>592</v>
      </c>
    </row>
    <row r="59" spans="1:2" x14ac:dyDescent="0.4">
      <c r="A59" t="s">
        <v>593</v>
      </c>
    </row>
    <row r="60" spans="1:2" x14ac:dyDescent="0.4">
      <c r="A60" t="s">
        <v>594</v>
      </c>
    </row>
    <row r="61" spans="1:2" x14ac:dyDescent="0.4">
      <c r="A61" t="s">
        <v>595</v>
      </c>
    </row>
    <row r="62" spans="1:2" x14ac:dyDescent="0.4">
      <c r="A62" t="s">
        <v>596</v>
      </c>
    </row>
    <row r="63" spans="1:2" x14ac:dyDescent="0.4">
      <c r="A63" t="s">
        <v>597</v>
      </c>
    </row>
    <row r="64" spans="1:2" x14ac:dyDescent="0.4">
      <c r="A64" t="s">
        <v>598</v>
      </c>
      <c r="B64" t="s">
        <v>2707</v>
      </c>
    </row>
    <row r="65" spans="1:2" x14ac:dyDescent="0.4">
      <c r="A65" t="s">
        <v>1328</v>
      </c>
      <c r="B65" t="s">
        <v>9787</v>
      </c>
    </row>
    <row r="66" spans="1:2" x14ac:dyDescent="0.4">
      <c r="A66" t="s">
        <v>1329</v>
      </c>
      <c r="B66" t="s">
        <v>9788</v>
      </c>
    </row>
    <row r="67" spans="1:2" x14ac:dyDescent="0.4">
      <c r="A67" t="s">
        <v>599</v>
      </c>
      <c r="B67" t="s">
        <v>6619</v>
      </c>
    </row>
    <row r="68" spans="1:2" x14ac:dyDescent="0.4">
      <c r="A68" t="s">
        <v>600</v>
      </c>
      <c r="B68" t="s">
        <v>2708</v>
      </c>
    </row>
    <row r="69" spans="1:2" x14ac:dyDescent="0.4">
      <c r="A69" t="s">
        <v>601</v>
      </c>
      <c r="B69" t="s">
        <v>6620</v>
      </c>
    </row>
    <row r="70" spans="1:2" x14ac:dyDescent="0.4">
      <c r="A70" t="s">
        <v>611</v>
      </c>
      <c r="B70">
        <v>45444</v>
      </c>
    </row>
    <row r="71" spans="1:2" x14ac:dyDescent="0.4">
      <c r="A71" t="s">
        <v>612</v>
      </c>
      <c r="B71" t="str">
        <f>SUBSTITUTE(CONCATENATE(B67," (v",B65,")"),"vv","v")</f>
        <v>City Heartbeat (v1.0)</v>
      </c>
    </row>
    <row r="72" spans="1:2" x14ac:dyDescent="0.4">
      <c r="A72" t="s">
        <v>602</v>
      </c>
      <c r="B72" t="s">
        <v>7622</v>
      </c>
    </row>
    <row r="73" spans="1:2" x14ac:dyDescent="0.4">
      <c r="A73" t="s">
        <v>603</v>
      </c>
      <c r="B73" t="s">
        <v>2520</v>
      </c>
    </row>
    <row r="74" spans="1:2" x14ac:dyDescent="0.4">
      <c r="A74" t="s">
        <v>604</v>
      </c>
      <c r="B74" t="s">
        <v>7623</v>
      </c>
    </row>
    <row r="75" spans="1:2" x14ac:dyDescent="0.4">
      <c r="A75" t="s">
        <v>605</v>
      </c>
      <c r="B75" t="s">
        <v>7624</v>
      </c>
    </row>
    <row r="76" spans="1:2" x14ac:dyDescent="0.4">
      <c r="A76" t="s">
        <v>606</v>
      </c>
      <c r="B76" t="s">
        <v>2520</v>
      </c>
    </row>
    <row r="77" spans="1:2" x14ac:dyDescent="0.4">
      <c r="A77" t="s">
        <v>607</v>
      </c>
      <c r="B77" t="s">
        <v>7625</v>
      </c>
    </row>
    <row r="78" spans="1:2" x14ac:dyDescent="0.4">
      <c r="A78" t="s">
        <v>608</v>
      </c>
      <c r="B78" t="s">
        <v>2709</v>
      </c>
    </row>
    <row r="79" spans="1:2" x14ac:dyDescent="0.4">
      <c r="A79" t="s">
        <v>609</v>
      </c>
      <c r="B79" t="s">
        <v>2710</v>
      </c>
    </row>
    <row r="80" spans="1:2" x14ac:dyDescent="0.4">
      <c r="A80" t="s">
        <v>610</v>
      </c>
      <c r="B80" t="s">
        <v>2711</v>
      </c>
    </row>
    <row r="81" spans="1:3" x14ac:dyDescent="0.4">
      <c r="A81" t="s">
        <v>1013</v>
      </c>
    </row>
    <row r="82" spans="1:3" x14ac:dyDescent="0.4">
      <c r="A82" t="s">
        <v>1014</v>
      </c>
    </row>
    <row r="83" spans="1:3" x14ac:dyDescent="0.4">
      <c r="A83" t="s">
        <v>1015</v>
      </c>
    </row>
    <row r="84" spans="1:3" x14ac:dyDescent="0.4">
      <c r="A84" t="s">
        <v>1381</v>
      </c>
    </row>
    <row r="85" spans="1:3" x14ac:dyDescent="0.4">
      <c r="A85" t="s">
        <v>1382</v>
      </c>
    </row>
    <row r="86" spans="1:3" x14ac:dyDescent="0.4">
      <c r="A86" t="s">
        <v>1383</v>
      </c>
    </row>
    <row r="87" spans="1:3" x14ac:dyDescent="0.4">
      <c r="A87" t="s">
        <v>1384</v>
      </c>
    </row>
    <row r="88" spans="1:3" x14ac:dyDescent="0.4">
      <c r="A88" t="s">
        <v>1385</v>
      </c>
    </row>
    <row r="89" spans="1:3" x14ac:dyDescent="0.4">
      <c r="A89" t="s">
        <v>1386</v>
      </c>
    </row>
    <row r="91" spans="1:3" x14ac:dyDescent="0.4">
      <c r="A91" t="s">
        <v>1232</v>
      </c>
      <c r="B91" t="str">
        <f>_xlfn.TEXTJOIN(";", TRUE, B74,B77,B80,B83,B86,B89)</f>
        <v>AliciaWhite@economist.com;AmandaStucke@economist.com;MirandaBaxa@economist.com</v>
      </c>
    </row>
    <row r="92" spans="1:3" x14ac:dyDescent="0.4">
      <c r="A92" t="s">
        <v>613</v>
      </c>
      <c r="B92" t="str">
        <f ca="1">TEXT(NOW(),"dd mmmm yyyy")</f>
        <v>28 June 2024</v>
      </c>
    </row>
    <row r="93" spans="1:3" x14ac:dyDescent="0.4">
      <c r="A93" t="s">
        <v>614</v>
      </c>
      <c r="B93" t="str">
        <f>CONCATENATE(SUBSTITUTE($C$93,"{PROJECT_NAME_AND_VERSION}",$B$71))</f>
        <v>Exported from City Heartbeat (v1.0)</v>
      </c>
      <c r="C93" t="s">
        <v>615</v>
      </c>
    </row>
    <row r="94" spans="1:3" x14ac:dyDescent="0.4">
      <c r="A94" t="s">
        <v>616</v>
      </c>
      <c r="B94" t="str">
        <f ca="1">SUBSTITUTE(SUBSTITUTE(SUBSTITUTE(C94,"{X}",$B$65),"{DATE}",$B$92),"vv","v")</f>
        <v>v1.0 created 28 June 2024</v>
      </c>
      <c r="C94" t="s">
        <v>617</v>
      </c>
    </row>
    <row r="95" spans="1:3" x14ac:dyDescent="0.4">
      <c r="A95" t="s">
        <v>618</v>
      </c>
      <c r="B95" t="str">
        <f ca="1">CONCATENATE("DEVELOPMENT DRAFT - INTERNAL DISTRIBUTION ONLY (",B94,")")</f>
        <v>DEVELOPMENT DRAFT - INTERNAL DISTRIBUTION ONLY (v1.0 created 28 June 2024)</v>
      </c>
    </row>
    <row r="96" spans="1:3" x14ac:dyDescent="0.4">
      <c r="A96" t="s">
        <v>619</v>
      </c>
      <c r="B96" t="str">
        <f>CONCATENATE("Publication scheduled for ",$B70)</f>
        <v>Publication scheduled for 45444</v>
      </c>
    </row>
    <row r="97" spans="1:3" x14ac:dyDescent="0.4">
      <c r="A97" t="s">
        <v>620</v>
      </c>
      <c r="B97" t="str">
        <f>SUBSTITUTE(CONCATENATE("v",B65,""),"vv","v")</f>
        <v>v1.0</v>
      </c>
    </row>
    <row r="98" spans="1:3" x14ac:dyDescent="0.4">
      <c r="A98" t="s">
        <v>621</v>
      </c>
    </row>
    <row r="99" spans="1:3" x14ac:dyDescent="0.4">
      <c r="A99" t="s">
        <v>622</v>
      </c>
      <c r="B99" t="str">
        <f>SUBSTITUTE(CONCATENATE(B67," ", B68," (v",B65,")"),"vv","v")</f>
        <v>City Heartbeat 2024, 50 city index (v1.0)</v>
      </c>
    </row>
    <row r="100" spans="1:3" x14ac:dyDescent="0.4">
      <c r="A100" t="s">
        <v>624</v>
      </c>
      <c r="C100" t="e">
        <f>CONCATENATE($B$73,"s: ",$B$72," [",$B$74,"]",", ",$B$75," [",#REF!,"]",", ",$B$77," [",#REF!,"]")</f>
        <v>#REF!</v>
      </c>
    </row>
    <row r="101" spans="1:3" x14ac:dyDescent="0.4">
      <c r="A101" t="s">
        <v>623</v>
      </c>
      <c r="B101" t="str">
        <f>CONCATENATE($B$72,", [",$B$74,"]")</f>
        <v>Alicia White, [AliciaWhite@economist.com]</v>
      </c>
    </row>
    <row r="102" spans="1:3" x14ac:dyDescent="0.4">
      <c r="A102" t="s">
        <v>981</v>
      </c>
      <c r="B102" t="str">
        <f>CONCATENATE($B$75,", [", $B$77,"]")</f>
        <v>Amanda Stucke, [AmandaStucke@economist.com]</v>
      </c>
    </row>
    <row r="103" spans="1:3" x14ac:dyDescent="0.4">
      <c r="A103" t="s">
        <v>1086</v>
      </c>
      <c r="B103" t="str">
        <f>IF($B$78="","",CONCATENATE($B$78,", [",$B$80,"]"))</f>
        <v>Miranda Baxa, [MirandaBaxa@economist.com]</v>
      </c>
    </row>
    <row r="104" spans="1:3" x14ac:dyDescent="0.4">
      <c r="A104" t="s">
        <v>1087</v>
      </c>
      <c r="B104" t="str">
        <f>IF($B$83="","",CONCATENATE($B$81," [",$B$83,"]"))</f>
        <v/>
      </c>
    </row>
    <row r="105" spans="1:3" x14ac:dyDescent="0.4">
      <c r="A105" t="s">
        <v>1387</v>
      </c>
      <c r="B105" t="str">
        <f>IF($B$86="","",CONCATENATE($B$84," [",$B$86,"]"))</f>
        <v/>
      </c>
    </row>
    <row r="106" spans="1:3" x14ac:dyDescent="0.4">
      <c r="A106" t="s">
        <v>1388</v>
      </c>
      <c r="B106" t="str">
        <f>IF($B$89="","",CONCATENATE($B$87," [",$B$89,"]"))</f>
        <v/>
      </c>
    </row>
    <row r="108" spans="1:3" x14ac:dyDescent="0.4">
      <c r="A108" t="s">
        <v>1016</v>
      </c>
      <c r="B108">
        <v>3</v>
      </c>
    </row>
    <row r="109" spans="1:3" x14ac:dyDescent="0.4">
      <c r="A109" t="s">
        <v>1145</v>
      </c>
      <c r="B109">
        <v>2</v>
      </c>
    </row>
    <row r="110" spans="1:3" x14ac:dyDescent="0.4">
      <c r="A110" t="s">
        <v>1598</v>
      </c>
      <c r="B110">
        <v>2</v>
      </c>
    </row>
    <row r="111" spans="1:3" x14ac:dyDescent="0.4">
      <c r="A111" t="s">
        <v>625</v>
      </c>
      <c r="B111" t="s">
        <v>626</v>
      </c>
    </row>
    <row r="112" spans="1:3" x14ac:dyDescent="0.4">
      <c r="A112" t="s">
        <v>627</v>
      </c>
      <c r="B112" t="s">
        <v>7605</v>
      </c>
    </row>
    <row r="113" spans="1:3" x14ac:dyDescent="0.4">
      <c r="A113" t="s">
        <v>628</v>
      </c>
      <c r="B113" t="s">
        <v>22</v>
      </c>
    </row>
    <row r="114" spans="1:3" x14ac:dyDescent="0.4">
      <c r="A114" t="s">
        <v>629</v>
      </c>
      <c r="B114" t="s">
        <v>1404</v>
      </c>
    </row>
    <row r="115" spans="1:3" x14ac:dyDescent="0.4">
      <c r="A115" t="s">
        <v>630</v>
      </c>
    </row>
    <row r="116" spans="1:3" x14ac:dyDescent="0.4">
      <c r="A116" t="s">
        <v>980</v>
      </c>
    </row>
    <row r="118" spans="1:3" x14ac:dyDescent="0.4">
      <c r="A118" t="s">
        <v>631</v>
      </c>
      <c r="B118">
        <v>2024</v>
      </c>
    </row>
    <row r="119" spans="1:3" x14ac:dyDescent="0.4">
      <c r="A119" t="s">
        <v>632</v>
      </c>
      <c r="B119">
        <v>2024</v>
      </c>
    </row>
    <row r="120" spans="1:3" x14ac:dyDescent="0.4">
      <c r="A120" t="s">
        <v>633</v>
      </c>
      <c r="B120">
        <v>1</v>
      </c>
    </row>
    <row r="121" spans="1:3" x14ac:dyDescent="0.4">
      <c r="A121" t="s">
        <v>634</v>
      </c>
      <c r="B121">
        <v>1</v>
      </c>
    </row>
    <row r="123" spans="1:3" x14ac:dyDescent="0.4">
      <c r="A123" t="s">
        <v>1576</v>
      </c>
      <c r="B123" t="s">
        <v>1731</v>
      </c>
    </row>
    <row r="124" spans="1:3" x14ac:dyDescent="0.4">
      <c r="A124" t="s">
        <v>1577</v>
      </c>
      <c r="B124" t="s">
        <v>1732</v>
      </c>
    </row>
    <row r="125" spans="1:3" x14ac:dyDescent="0.4">
      <c r="A125" t="s">
        <v>1632</v>
      </c>
      <c r="B125" t="s">
        <v>1633</v>
      </c>
    </row>
    <row r="126" spans="1:3" x14ac:dyDescent="0.4">
      <c r="A126" t="s">
        <v>1120</v>
      </c>
      <c r="B126" t="str">
        <f>CONCATENATE($B$224," ",B124)</f>
        <v>50 cities</v>
      </c>
    </row>
    <row r="128" spans="1:3" x14ac:dyDescent="0.4">
      <c r="A128" t="s">
        <v>973</v>
      </c>
      <c r="B128" t="s">
        <v>249</v>
      </c>
      <c r="C128" t="s">
        <v>974</v>
      </c>
    </row>
    <row r="129" spans="1:3" x14ac:dyDescent="0.4">
      <c r="A129" t="s">
        <v>635</v>
      </c>
      <c r="B129" t="str">
        <f>CONCATENATE("All ",$B$124)</f>
        <v>All cities</v>
      </c>
      <c r="C129" t="s">
        <v>963</v>
      </c>
    </row>
    <row r="131" spans="1:3" x14ac:dyDescent="0.4">
      <c r="A131" t="s">
        <v>964</v>
      </c>
      <c r="B131">
        <v>5</v>
      </c>
    </row>
    <row r="132" spans="1:3" x14ac:dyDescent="0.4">
      <c r="A132" t="s">
        <v>965</v>
      </c>
      <c r="B132" t="s">
        <v>928</v>
      </c>
      <c r="C132" t="s">
        <v>970</v>
      </c>
    </row>
    <row r="133" spans="1:3" x14ac:dyDescent="0.4">
      <c r="A133" t="s">
        <v>966</v>
      </c>
      <c r="B133" t="s">
        <v>928</v>
      </c>
    </row>
    <row r="134" spans="1:3" x14ac:dyDescent="0.4">
      <c r="A134" t="s">
        <v>967</v>
      </c>
      <c r="B134" t="s">
        <v>928</v>
      </c>
    </row>
    <row r="135" spans="1:3" x14ac:dyDescent="0.4">
      <c r="A135" t="s">
        <v>968</v>
      </c>
      <c r="B135" t="s">
        <v>928</v>
      </c>
    </row>
    <row r="136" spans="1:3" x14ac:dyDescent="0.4">
      <c r="A136" t="s">
        <v>969</v>
      </c>
      <c r="B136" t="s">
        <v>928</v>
      </c>
    </row>
    <row r="137" spans="1:3" x14ac:dyDescent="0.4">
      <c r="A137" t="s">
        <v>1205</v>
      </c>
      <c r="B137" t="s">
        <v>928</v>
      </c>
      <c r="C137" t="s">
        <v>971</v>
      </c>
    </row>
    <row r="138" spans="1:3" x14ac:dyDescent="0.4">
      <c r="A138" t="s">
        <v>1630</v>
      </c>
      <c r="B138" t="s">
        <v>928</v>
      </c>
    </row>
    <row r="139" spans="1:3" x14ac:dyDescent="0.4">
      <c r="A139" t="s">
        <v>1631</v>
      </c>
      <c r="B139" t="s">
        <v>164</v>
      </c>
    </row>
    <row r="141" spans="1:3" x14ac:dyDescent="0.4">
      <c r="A141" t="s">
        <v>1713</v>
      </c>
      <c r="B141">
        <v>0</v>
      </c>
    </row>
    <row r="142" spans="1:3" x14ac:dyDescent="0.4">
      <c r="A142" t="s">
        <v>1714</v>
      </c>
      <c r="B142">
        <v>60</v>
      </c>
    </row>
    <row r="143" spans="1:3" x14ac:dyDescent="0.4">
      <c r="A143" t="s">
        <v>1715</v>
      </c>
      <c r="B143">
        <v>70</v>
      </c>
    </row>
    <row r="144" spans="1:3" x14ac:dyDescent="0.4">
      <c r="A144" t="s">
        <v>1716</v>
      </c>
      <c r="B144">
        <v>80</v>
      </c>
    </row>
    <row r="145" spans="1:3" x14ac:dyDescent="0.4">
      <c r="A145" t="s">
        <v>1717</v>
      </c>
      <c r="B145">
        <v>90</v>
      </c>
    </row>
    <row r="146" spans="1:3" x14ac:dyDescent="0.4">
      <c r="A146" t="s">
        <v>1718</v>
      </c>
      <c r="B146">
        <v>100.1</v>
      </c>
    </row>
    <row r="147" spans="1:3" x14ac:dyDescent="0.4">
      <c r="A147" t="s">
        <v>1719</v>
      </c>
    </row>
    <row r="148" spans="1:3" x14ac:dyDescent="0.4">
      <c r="A148" t="s">
        <v>1720</v>
      </c>
    </row>
    <row r="150" spans="1:3" x14ac:dyDescent="0.4">
      <c r="A150" t="s">
        <v>1206</v>
      </c>
      <c r="B150">
        <v>0</v>
      </c>
    </row>
    <row r="151" spans="1:3" x14ac:dyDescent="0.4">
      <c r="A151" t="s">
        <v>1207</v>
      </c>
      <c r="B151">
        <f>C160*($B$177/$B$131)+IF(C160=$B$131,0.1,0)</f>
        <v>20</v>
      </c>
    </row>
    <row r="152" spans="1:3" x14ac:dyDescent="0.4">
      <c r="A152" t="s">
        <v>1208</v>
      </c>
      <c r="B152">
        <f t="shared" ref="B152:B157" si="0">C161*($B$177/$B$131)+IF(C161=$B$131,0.1,0)</f>
        <v>40</v>
      </c>
    </row>
    <row r="153" spans="1:3" x14ac:dyDescent="0.4">
      <c r="A153" t="s">
        <v>1209</v>
      </c>
      <c r="B153">
        <f t="shared" si="0"/>
        <v>60</v>
      </c>
    </row>
    <row r="154" spans="1:3" x14ac:dyDescent="0.4">
      <c r="A154" t="s">
        <v>1210</v>
      </c>
      <c r="B154">
        <f t="shared" si="0"/>
        <v>80</v>
      </c>
    </row>
    <row r="155" spans="1:3" x14ac:dyDescent="0.4">
      <c r="A155" t="s">
        <v>1211</v>
      </c>
      <c r="B155">
        <f t="shared" si="0"/>
        <v>100.1</v>
      </c>
    </row>
    <row r="156" spans="1:3" x14ac:dyDescent="0.4">
      <c r="A156" t="s">
        <v>1626</v>
      </c>
      <c r="B156">
        <f t="shared" si="0"/>
        <v>120</v>
      </c>
    </row>
    <row r="157" spans="1:3" x14ac:dyDescent="0.4">
      <c r="A157" t="s">
        <v>1627</v>
      </c>
      <c r="B157">
        <f t="shared" si="0"/>
        <v>140</v>
      </c>
    </row>
    <row r="159" spans="1:3" x14ac:dyDescent="0.4">
      <c r="A159" t="s">
        <v>1721</v>
      </c>
      <c r="B159">
        <f>IF($B$304=1,B150,B141)</f>
        <v>0</v>
      </c>
    </row>
    <row r="160" spans="1:3" x14ac:dyDescent="0.4">
      <c r="A160" t="s">
        <v>1722</v>
      </c>
      <c r="B160">
        <f t="shared" ref="B160:B166" si="1">IF($B$304=1,B151,B142)</f>
        <v>20</v>
      </c>
      <c r="C160">
        <v>1</v>
      </c>
    </row>
    <row r="161" spans="1:4" x14ac:dyDescent="0.4">
      <c r="A161" t="s">
        <v>1723</v>
      </c>
      <c r="B161">
        <f t="shared" si="1"/>
        <v>40</v>
      </c>
      <c r="C161">
        <v>2</v>
      </c>
    </row>
    <row r="162" spans="1:4" x14ac:dyDescent="0.4">
      <c r="A162" t="s">
        <v>1724</v>
      </c>
      <c r="B162">
        <f t="shared" si="1"/>
        <v>60</v>
      </c>
      <c r="C162">
        <v>3</v>
      </c>
    </row>
    <row r="163" spans="1:4" x14ac:dyDescent="0.4">
      <c r="A163" t="s">
        <v>1725</v>
      </c>
      <c r="B163">
        <f t="shared" si="1"/>
        <v>80</v>
      </c>
      <c r="C163">
        <v>4</v>
      </c>
    </row>
    <row r="164" spans="1:4" x14ac:dyDescent="0.4">
      <c r="A164" t="s">
        <v>1726</v>
      </c>
      <c r="B164">
        <f t="shared" si="1"/>
        <v>100.1</v>
      </c>
      <c r="C164">
        <v>5</v>
      </c>
    </row>
    <row r="165" spans="1:4" x14ac:dyDescent="0.4">
      <c r="A165" t="s">
        <v>1727</v>
      </c>
      <c r="B165">
        <f t="shared" si="1"/>
        <v>120</v>
      </c>
      <c r="C165">
        <v>6</v>
      </c>
    </row>
    <row r="166" spans="1:4" x14ac:dyDescent="0.4">
      <c r="A166" t="s">
        <v>1728</v>
      </c>
      <c r="B166">
        <f t="shared" si="1"/>
        <v>140</v>
      </c>
      <c r="C166">
        <v>7</v>
      </c>
    </row>
    <row r="168" spans="1:4" x14ac:dyDescent="0.4">
      <c r="A168" t="s">
        <v>1217</v>
      </c>
      <c r="B168" t="s">
        <v>1251</v>
      </c>
      <c r="C168" t="s">
        <v>1223</v>
      </c>
    </row>
    <row r="169" spans="1:4" x14ac:dyDescent="0.4">
      <c r="A169" t="s">
        <v>1218</v>
      </c>
      <c r="B169" t="str">
        <f>CONCATENATE("Score 0-",TEXT(B160-0.1,"#,#.0"))</f>
        <v>Score 0-19.9</v>
      </c>
      <c r="C169" t="str">
        <f>CONCATENATE(IF(B133&lt;&gt;"",CONCATENATE(B133,CHAR(10)),""),B169)</f>
        <v xml:space="preserve"> 
Score 0-19.9</v>
      </c>
      <c r="D169" t="str">
        <f>CONCATENATE("0-",B160-0.1)</f>
        <v>0-19.9</v>
      </c>
    </row>
    <row r="170" spans="1:4" x14ac:dyDescent="0.4">
      <c r="A170" t="s">
        <v>1219</v>
      </c>
      <c r="B170" t="str">
        <f>CONCATENATE("Score ",TEXT(B160,"#,#.0"),"-",TEXT(B161-0.1,"#,#.0"))</f>
        <v>Score 20.0-39.9</v>
      </c>
      <c r="C170" t="str">
        <f t="shared" ref="C170:C175" si="2">CONCATENATE(IF(B134&lt;&gt;"",CONCATENATE(B134,CHAR(10)),""),B170)</f>
        <v xml:space="preserve"> 
Score 20.0-39.9</v>
      </c>
      <c r="D170" t="str">
        <f t="shared" ref="D170:D175" si="3">CONCATENATE(B160,"-",B161-0.1)</f>
        <v>20-39.9</v>
      </c>
    </row>
    <row r="171" spans="1:4" x14ac:dyDescent="0.4">
      <c r="A171" t="s">
        <v>1220</v>
      </c>
      <c r="B171" t="str">
        <f t="shared" ref="B171:B175" si="4">CONCATENATE("Score ",TEXT(B161,"#,#.0"),"-",TEXT(B162-0.1,"#,#.0"))</f>
        <v>Score 40.0-59.9</v>
      </c>
      <c r="C171" t="str">
        <f t="shared" si="2"/>
        <v xml:space="preserve"> 
Score 40.0-59.9</v>
      </c>
      <c r="D171" t="str">
        <f t="shared" si="3"/>
        <v>40-59.9</v>
      </c>
    </row>
    <row r="172" spans="1:4" x14ac:dyDescent="0.4">
      <c r="A172" t="s">
        <v>1221</v>
      </c>
      <c r="B172" t="str">
        <f t="shared" si="4"/>
        <v>Score 60.0-79.9</v>
      </c>
      <c r="C172" t="str">
        <f t="shared" si="2"/>
        <v xml:space="preserve"> 
Score 60.0-79.9</v>
      </c>
      <c r="D172" t="str">
        <f t="shared" si="3"/>
        <v>60-79.9</v>
      </c>
    </row>
    <row r="173" spans="1:4" x14ac:dyDescent="0.4">
      <c r="A173" t="s">
        <v>1222</v>
      </c>
      <c r="B173" t="str">
        <f t="shared" si="4"/>
        <v>Score 80.0-100.0</v>
      </c>
      <c r="C173" t="str">
        <f>CONCATENATE(IF(B137&lt;&gt;"",CONCATENATE(B137,CHAR(10)),""),B173)</f>
        <v xml:space="preserve"> 
Score 80.0-100.0</v>
      </c>
      <c r="D173" t="str">
        <f t="shared" si="3"/>
        <v>80-100</v>
      </c>
    </row>
    <row r="174" spans="1:4" x14ac:dyDescent="0.4">
      <c r="A174" t="s">
        <v>1628</v>
      </c>
      <c r="B174" t="str">
        <f t="shared" si="4"/>
        <v>Score 100.1-119.9</v>
      </c>
      <c r="C174" t="str">
        <f>CONCATENATE(IF(B138&lt;&gt;"",CONCATENATE(B138,CHAR(10)),""),B174)</f>
        <v xml:space="preserve"> 
Score 100.1-119.9</v>
      </c>
      <c r="D174" t="str">
        <f t="shared" si="3"/>
        <v>100.1-119.9</v>
      </c>
    </row>
    <row r="175" spans="1:4" x14ac:dyDescent="0.4">
      <c r="A175" t="s">
        <v>1629</v>
      </c>
      <c r="B175" t="str">
        <f t="shared" si="4"/>
        <v>Score 120.0-139.9</v>
      </c>
      <c r="C175" t="str">
        <f t="shared" si="2"/>
        <v>X
Score 120.0-139.9</v>
      </c>
      <c r="D175" t="str">
        <f t="shared" si="3"/>
        <v>120-139.9</v>
      </c>
    </row>
    <row r="176" spans="1:4" x14ac:dyDescent="0.4">
      <c r="A176" t="s">
        <v>636</v>
      </c>
    </row>
    <row r="177" spans="1:2" x14ac:dyDescent="0.4">
      <c r="A177" t="s">
        <v>637</v>
      </c>
      <c r="B177">
        <v>100</v>
      </c>
    </row>
    <row r="178" spans="1:2" x14ac:dyDescent="0.4">
      <c r="A178" t="s">
        <v>638</v>
      </c>
      <c r="B178">
        <v>1</v>
      </c>
    </row>
    <row r="179" spans="1:2" x14ac:dyDescent="0.4">
      <c r="A179" t="s">
        <v>639</v>
      </c>
      <c r="B179" t="s">
        <v>2712</v>
      </c>
    </row>
    <row r="180" spans="1:2" x14ac:dyDescent="0.4">
      <c r="A180" t="s">
        <v>1171</v>
      </c>
      <c r="B180" t="s">
        <v>2713</v>
      </c>
    </row>
    <row r="181" spans="1:2" x14ac:dyDescent="0.4">
      <c r="A181" t="s">
        <v>1196</v>
      </c>
      <c r="B181" t="s">
        <v>2714</v>
      </c>
    </row>
    <row r="182" spans="1:2" x14ac:dyDescent="0.4">
      <c r="A182" t="s">
        <v>1197</v>
      </c>
      <c r="B182" t="str">
        <f>CONCATENATE("above average ",B181)</f>
        <v>above average healthy environment</v>
      </c>
    </row>
    <row r="183" spans="1:2" x14ac:dyDescent="0.4">
      <c r="A183" t="s">
        <v>1198</v>
      </c>
      <c r="B183" t="str">
        <f>CONCATENATE("below average ",B181)</f>
        <v>below average healthy environment</v>
      </c>
    </row>
    <row r="184" spans="1:2" x14ac:dyDescent="0.4">
      <c r="A184" t="s">
        <v>1331</v>
      </c>
    </row>
    <row r="185" spans="1:2" x14ac:dyDescent="0.4">
      <c r="A185" t="s">
        <v>1333</v>
      </c>
      <c r="B185">
        <v>1</v>
      </c>
    </row>
    <row r="186" spans="1:2" x14ac:dyDescent="0.4">
      <c r="A186" t="s">
        <v>1334</v>
      </c>
      <c r="B186">
        <v>1</v>
      </c>
    </row>
    <row r="187" spans="1:2" x14ac:dyDescent="0.4">
      <c r="A187" t="s">
        <v>1335</v>
      </c>
      <c r="B187">
        <v>1</v>
      </c>
    </row>
    <row r="188" spans="1:2" x14ac:dyDescent="0.4">
      <c r="A188" t="s">
        <v>1348</v>
      </c>
    </row>
    <row r="189" spans="1:2" x14ac:dyDescent="0.4">
      <c r="A189" t="s">
        <v>1349</v>
      </c>
      <c r="B189">
        <v>17</v>
      </c>
    </row>
    <row r="190" spans="1:2" x14ac:dyDescent="0.4">
      <c r="A190" t="s">
        <v>1350</v>
      </c>
      <c r="B190">
        <v>12.14</v>
      </c>
    </row>
    <row r="195" spans="1:2" x14ac:dyDescent="0.4">
      <c r="A195" t="s">
        <v>640</v>
      </c>
    </row>
    <row r="196" spans="1:2" x14ac:dyDescent="0.4">
      <c r="A196" t="s">
        <v>641</v>
      </c>
      <c r="B196" t="s">
        <v>252</v>
      </c>
    </row>
    <row r="197" spans="1:2" x14ac:dyDescent="0.4">
      <c r="A197" t="s">
        <v>642</v>
      </c>
      <c r="B197" t="s">
        <v>17</v>
      </c>
    </row>
    <row r="198" spans="1:2" x14ac:dyDescent="0.4">
      <c r="A198" t="s">
        <v>643</v>
      </c>
      <c r="B198" t="s">
        <v>253</v>
      </c>
    </row>
    <row r="199" spans="1:2" x14ac:dyDescent="0.4">
      <c r="A199" t="s">
        <v>644</v>
      </c>
      <c r="B199" t="str">
        <f>CONCATENATE("Average (",$B$126,")")</f>
        <v>Average (50 cities)</v>
      </c>
    </row>
    <row r="200" spans="1:2" x14ac:dyDescent="0.4">
      <c r="A200" t="s">
        <v>645</v>
      </c>
      <c r="B200" t="str">
        <f>CONCATENATE("Average score for all ",$B$126," included in the index")</f>
        <v>Average score for all 50 cities included in the index</v>
      </c>
    </row>
    <row r="201" spans="1:2" x14ac:dyDescent="0.4">
      <c r="A201" t="s">
        <v>646</v>
      </c>
      <c r="B201" t="str">
        <f>CONCATENATE("'Average' represents average score across all ",$B$126, " included in the index.")</f>
        <v>'Average' represents average score across all 50 cities included in the index.</v>
      </c>
    </row>
    <row r="202" spans="1:2" x14ac:dyDescent="0.4">
      <c r="A202" t="s">
        <v>647</v>
      </c>
      <c r="B202" t="str">
        <f>CONCATENATE("Score 0-",$B$177, " where 100=",$B$179,"")</f>
        <v>Score 0-100 where 100=most healthy environment</v>
      </c>
    </row>
    <row r="203" spans="1:2" x14ac:dyDescent="0.4">
      <c r="A203" t="s">
        <v>648</v>
      </c>
      <c r="B203" t="str">
        <f>CONCATENATE("Score / ",$B$177)</f>
        <v>Score / 100</v>
      </c>
    </row>
    <row r="204" spans="1:2" x14ac:dyDescent="0.4">
      <c r="A204" t="s">
        <v>649</v>
      </c>
      <c r="B204" t="str">
        <f>CONCATENATE("Score",CHAR(10),"/ ",$B$177)</f>
        <v>Score
/ 100</v>
      </c>
    </row>
    <row r="205" spans="1:2" x14ac:dyDescent="0.4">
      <c r="A205" t="s">
        <v>650</v>
      </c>
      <c r="B205" t="s">
        <v>651</v>
      </c>
    </row>
    <row r="206" spans="1:2" x14ac:dyDescent="0.4">
      <c r="A206" t="s">
        <v>652</v>
      </c>
      <c r="B206" t="str">
        <f>CONCATENATE("Rank out of ",$B$126, " where 1=best. '=' denotes tie in rank.")</f>
        <v>Rank out of 50 cities where 1=best. '=' denotes tie in rank.</v>
      </c>
    </row>
    <row r="207" spans="1:2" x14ac:dyDescent="0.4">
      <c r="A207" t="s">
        <v>653</v>
      </c>
      <c r="B207" t="str">
        <f>CONCATENATE("Rank out of ",$B$126)</f>
        <v>Rank out of 50 cities</v>
      </c>
    </row>
    <row r="208" spans="1:2" x14ac:dyDescent="0.4">
      <c r="A208" t="s">
        <v>654</v>
      </c>
      <c r="B208" t="str">
        <f>CONCATENATE("Rank / ",$B$224)</f>
        <v>Rank / 50</v>
      </c>
    </row>
    <row r="209" spans="1:2" x14ac:dyDescent="0.4">
      <c r="A209" t="s">
        <v>655</v>
      </c>
      <c r="B209" t="str">
        <f>CONCATENATE("Rank",CHAR(10),"/ ",$B$224)</f>
        <v>Rank
/ 50</v>
      </c>
    </row>
    <row r="210" spans="1:2" x14ac:dyDescent="0.4">
      <c r="A210" t="s">
        <v>656</v>
      </c>
      <c r="B210" t="str">
        <f>CONCATENATE("Δ = change in score/rank, current edition compared with ",LOWER($B$327))</f>
        <v>Δ = change in score/rank, current edition compared with first edition</v>
      </c>
    </row>
    <row r="211" spans="1:2" x14ac:dyDescent="0.4">
      <c r="A211" t="s">
        <v>657</v>
      </c>
      <c r="B211" t="str">
        <f>CONCATENATE("Δ = change in score, current edition compared with ",LOWER($B$327))</f>
        <v>Δ = change in score, current edition compared with first edition</v>
      </c>
    </row>
    <row r="212" spans="1:2" x14ac:dyDescent="0.4">
      <c r="A212" t="s">
        <v>658</v>
      </c>
      <c r="B212" t="str">
        <f>CONCATENATE("Δ = change, current edition compared with ",LOWER($B$327))</f>
        <v>Δ = change, current edition compared with first edition</v>
      </c>
    </row>
    <row r="213" spans="1:2" x14ac:dyDescent="0.4">
      <c r="A213" t="s">
        <v>659</v>
      </c>
      <c r="B213" t="str">
        <f>CONCATENATE("Δ (",$B$322," vs ",$B$326,")")</f>
        <v>Δ (E1 vs E1)</v>
      </c>
    </row>
    <row r="214" spans="1:2" x14ac:dyDescent="0.4">
      <c r="A214" t="s">
        <v>1121</v>
      </c>
      <c r="B214" t="str">
        <f>CONCATENATE("Grey dots represent each of the other ",$B$224-1," ",$B$124)</f>
        <v>Grey dots represent each of the other 49 cities</v>
      </c>
    </row>
    <row r="215" spans="1:2" x14ac:dyDescent="0.4">
      <c r="A215" t="s">
        <v>1122</v>
      </c>
      <c r="B215" t="str">
        <f>CONCATENATE($B$224," ",$B$123," average score")</f>
        <v>50 city average score</v>
      </c>
    </row>
    <row r="216" spans="1:2" x14ac:dyDescent="0.4">
      <c r="A216" t="s">
        <v>660</v>
      </c>
    </row>
    <row r="217" spans="1:2" x14ac:dyDescent="0.4">
      <c r="A217" t="s">
        <v>661</v>
      </c>
      <c r="B217" t="s">
        <v>662</v>
      </c>
    </row>
    <row r="218" spans="1:2" x14ac:dyDescent="0.4">
      <c r="A218" t="s">
        <v>663</v>
      </c>
    </row>
    <row r="219" spans="1:2" x14ac:dyDescent="0.4">
      <c r="A219" t="s">
        <v>681</v>
      </c>
    </row>
    <row r="220" spans="1:2" x14ac:dyDescent="0.4">
      <c r="A220" t="s">
        <v>682</v>
      </c>
      <c r="B220">
        <v>0.15</v>
      </c>
    </row>
    <row r="221" spans="1:2" x14ac:dyDescent="0.4">
      <c r="A221" t="s">
        <v>683</v>
      </c>
      <c r="B221">
        <v>45471.505729166667</v>
      </c>
    </row>
    <row r="222" spans="1:2" x14ac:dyDescent="0.4">
      <c r="A222" t="s">
        <v>684</v>
      </c>
      <c r="B222" t="s">
        <v>8980</v>
      </c>
    </row>
    <row r="223" spans="1:2" x14ac:dyDescent="0.4">
      <c r="A223" t="s">
        <v>664</v>
      </c>
    </row>
    <row r="224" spans="1:2" x14ac:dyDescent="0.4">
      <c r="A224" t="s">
        <v>665</v>
      </c>
      <c r="B224">
        <v>50</v>
      </c>
    </row>
    <row r="225" spans="1:3" x14ac:dyDescent="0.4">
      <c r="A225" t="s">
        <v>666</v>
      </c>
      <c r="B225">
        <v>10</v>
      </c>
    </row>
    <row r="226" spans="1:3" x14ac:dyDescent="0.4">
      <c r="A226" t="s">
        <v>667</v>
      </c>
      <c r="B226">
        <v>78</v>
      </c>
      <c r="C226" t="s">
        <v>668</v>
      </c>
    </row>
    <row r="227" spans="1:3" x14ac:dyDescent="0.4">
      <c r="A227" t="s">
        <v>669</v>
      </c>
      <c r="B227">
        <v>63</v>
      </c>
      <c r="C227" t="s">
        <v>670</v>
      </c>
    </row>
    <row r="228" spans="1:3" x14ac:dyDescent="0.4">
      <c r="A228" t="s">
        <v>671</v>
      </c>
      <c r="B228">
        <v>58</v>
      </c>
      <c r="C228" t="s">
        <v>672</v>
      </c>
    </row>
    <row r="229" spans="1:3" x14ac:dyDescent="0.4">
      <c r="A229" t="s">
        <v>673</v>
      </c>
      <c r="B229">
        <v>15</v>
      </c>
      <c r="C229" t="s">
        <v>674</v>
      </c>
    </row>
    <row r="230" spans="1:3" x14ac:dyDescent="0.4">
      <c r="A230" t="s">
        <v>675</v>
      </c>
      <c r="B230">
        <v>14</v>
      </c>
      <c r="C230" t="s">
        <v>676</v>
      </c>
    </row>
    <row r="231" spans="1:3" x14ac:dyDescent="0.4">
      <c r="A231" t="s">
        <v>1398</v>
      </c>
      <c r="B231">
        <v>1</v>
      </c>
      <c r="C231" t="s">
        <v>1399</v>
      </c>
    </row>
    <row r="232" spans="1:3" x14ac:dyDescent="0.4">
      <c r="A232" t="s">
        <v>677</v>
      </c>
      <c r="B232">
        <v>5</v>
      </c>
      <c r="C232" t="s">
        <v>1400</v>
      </c>
    </row>
    <row r="233" spans="1:3" x14ac:dyDescent="0.4">
      <c r="A233" t="s">
        <v>678</v>
      </c>
      <c r="B233">
        <v>31</v>
      </c>
    </row>
    <row r="234" spans="1:3" x14ac:dyDescent="0.4">
      <c r="A234" t="s">
        <v>679</v>
      </c>
      <c r="B234">
        <v>26</v>
      </c>
    </row>
    <row r="235" spans="1:3" x14ac:dyDescent="0.4">
      <c r="A235" t="s">
        <v>1010</v>
      </c>
    </row>
    <row r="236" spans="1:3" x14ac:dyDescent="0.4">
      <c r="A236" t="s">
        <v>1011</v>
      </c>
    </row>
    <row r="237" spans="1:3" x14ac:dyDescent="0.4">
      <c r="A237" t="s">
        <v>680</v>
      </c>
      <c r="B237">
        <v>2901</v>
      </c>
    </row>
    <row r="238" spans="1:3" x14ac:dyDescent="0.4">
      <c r="A238" t="s">
        <v>685</v>
      </c>
    </row>
    <row r="239" spans="1:3" x14ac:dyDescent="0.4">
      <c r="A239" t="s">
        <v>686</v>
      </c>
      <c r="B239">
        <v>0</v>
      </c>
    </row>
    <row r="240" spans="1:3" x14ac:dyDescent="0.4">
      <c r="A240" t="s">
        <v>687</v>
      </c>
    </row>
    <row r="241" spans="1:2" x14ac:dyDescent="0.4">
      <c r="A241" t="s">
        <v>688</v>
      </c>
    </row>
    <row r="242" spans="1:2" x14ac:dyDescent="0.4">
      <c r="A242" t="s">
        <v>689</v>
      </c>
      <c r="B242">
        <v>0</v>
      </c>
    </row>
    <row r="243" spans="1:2" x14ac:dyDescent="0.4">
      <c r="A243" t="s">
        <v>690</v>
      </c>
      <c r="B243">
        <v>1</v>
      </c>
    </row>
    <row r="244" spans="1:2" x14ac:dyDescent="0.4">
      <c r="A244" t="s">
        <v>691</v>
      </c>
      <c r="B244">
        <v>1</v>
      </c>
    </row>
    <row r="245" spans="1:2" x14ac:dyDescent="0.4">
      <c r="A245" t="s">
        <v>692</v>
      </c>
    </row>
    <row r="246" spans="1:2" x14ac:dyDescent="0.4">
      <c r="A246" t="s">
        <v>693</v>
      </c>
      <c r="B246">
        <v>4</v>
      </c>
    </row>
    <row r="247" spans="1:2" x14ac:dyDescent="0.4">
      <c r="A247" t="s">
        <v>694</v>
      </c>
      <c r="B247">
        <v>1</v>
      </c>
    </row>
    <row r="248" spans="1:2" x14ac:dyDescent="0.4">
      <c r="A248" t="s">
        <v>695</v>
      </c>
      <c r="B248" t="b">
        <v>0</v>
      </c>
    </row>
    <row r="249" spans="1:2" x14ac:dyDescent="0.4">
      <c r="A249" t="s">
        <v>696</v>
      </c>
      <c r="B249">
        <v>2</v>
      </c>
    </row>
    <row r="250" spans="1:2" x14ac:dyDescent="0.4">
      <c r="A250" t="s">
        <v>697</v>
      </c>
    </row>
    <row r="251" spans="1:2" x14ac:dyDescent="0.4">
      <c r="A251" t="s">
        <v>698</v>
      </c>
    </row>
    <row r="252" spans="1:2" x14ac:dyDescent="0.4">
      <c r="A252" t="s">
        <v>699</v>
      </c>
      <c r="B252">
        <v>4</v>
      </c>
    </row>
    <row r="253" spans="1:2" x14ac:dyDescent="0.4">
      <c r="A253" t="s">
        <v>700</v>
      </c>
      <c r="B253">
        <v>0</v>
      </c>
    </row>
    <row r="254" spans="1:2" x14ac:dyDescent="0.4">
      <c r="A254" t="s">
        <v>701</v>
      </c>
      <c r="B254">
        <v>0</v>
      </c>
    </row>
    <row r="255" spans="1:2" x14ac:dyDescent="0.4">
      <c r="A255" t="s">
        <v>702</v>
      </c>
      <c r="B255">
        <v>0</v>
      </c>
    </row>
    <row r="256" spans="1:2" x14ac:dyDescent="0.4">
      <c r="A256" t="s">
        <v>703</v>
      </c>
      <c r="B256">
        <v>0</v>
      </c>
    </row>
    <row r="257" spans="1:2" x14ac:dyDescent="0.4">
      <c r="A257" t="s">
        <v>704</v>
      </c>
      <c r="B257">
        <v>0</v>
      </c>
    </row>
    <row r="258" spans="1:2" x14ac:dyDescent="0.4">
      <c r="A258" t="s">
        <v>705</v>
      </c>
      <c r="B258">
        <v>0</v>
      </c>
    </row>
    <row r="259" spans="1:2" x14ac:dyDescent="0.4">
      <c r="A259" t="s">
        <v>706</v>
      </c>
      <c r="B259">
        <v>0</v>
      </c>
    </row>
    <row r="260" spans="1:2" x14ac:dyDescent="0.4">
      <c r="A260" t="s">
        <v>707</v>
      </c>
      <c r="B260">
        <v>0</v>
      </c>
    </row>
    <row r="261" spans="1:2" x14ac:dyDescent="0.4">
      <c r="A261" t="s">
        <v>708</v>
      </c>
      <c r="B261">
        <v>0</v>
      </c>
    </row>
    <row r="262" spans="1:2" x14ac:dyDescent="0.4">
      <c r="A262" t="s">
        <v>709</v>
      </c>
    </row>
    <row r="263" spans="1:2" x14ac:dyDescent="0.4">
      <c r="A263" t="s">
        <v>710</v>
      </c>
      <c r="B263">
        <v>0</v>
      </c>
    </row>
    <row r="264" spans="1:2" x14ac:dyDescent="0.4">
      <c r="A264" t="s">
        <v>711</v>
      </c>
    </row>
    <row r="265" spans="1:2" x14ac:dyDescent="0.4">
      <c r="A265" t="s">
        <v>323</v>
      </c>
      <c r="B265">
        <v>3</v>
      </c>
    </row>
    <row r="266" spans="1:2" x14ac:dyDescent="0.4">
      <c r="A266" t="s">
        <v>325</v>
      </c>
      <c r="B266">
        <v>1</v>
      </c>
    </row>
    <row r="267" spans="1:2" x14ac:dyDescent="0.4">
      <c r="A267" t="s">
        <v>72</v>
      </c>
      <c r="B267">
        <v>1</v>
      </c>
    </row>
    <row r="268" spans="1:2" x14ac:dyDescent="0.4">
      <c r="A268" t="s">
        <v>328</v>
      </c>
      <c r="B268">
        <v>1</v>
      </c>
    </row>
    <row r="269" spans="1:2" x14ac:dyDescent="0.4">
      <c r="A269" t="s">
        <v>1109</v>
      </c>
      <c r="B269">
        <v>2</v>
      </c>
    </row>
    <row r="270" spans="1:2" x14ac:dyDescent="0.4">
      <c r="A270" t="s">
        <v>1110</v>
      </c>
      <c r="B270">
        <v>3</v>
      </c>
    </row>
    <row r="271" spans="1:2" x14ac:dyDescent="0.4">
      <c r="A271" t="s">
        <v>1130</v>
      </c>
      <c r="B271">
        <v>1</v>
      </c>
    </row>
    <row r="272" spans="1:2" x14ac:dyDescent="0.4">
      <c r="A272" t="s">
        <v>330</v>
      </c>
      <c r="B272">
        <v>1</v>
      </c>
    </row>
    <row r="273" spans="1:5" x14ac:dyDescent="0.4">
      <c r="A273" t="s">
        <v>333</v>
      </c>
      <c r="B273">
        <v>1</v>
      </c>
    </row>
    <row r="274" spans="1:5" x14ac:dyDescent="0.4">
      <c r="A274" t="s">
        <v>336</v>
      </c>
      <c r="B274">
        <v>1</v>
      </c>
    </row>
    <row r="275" spans="1:5" x14ac:dyDescent="0.4">
      <c r="A275" t="s">
        <v>305</v>
      </c>
      <c r="B275">
        <v>1</v>
      </c>
      <c r="C275" t="str" cm="1">
        <f t="array" ref="C275">INDEX(auto_ddGroup_Highlight,B275)</f>
        <v>&lt;none&gt;</v>
      </c>
      <c r="E275" t="str">
        <f>IF(B275=1,"&lt;select group to highlight&gt;",C275)</f>
        <v>&lt;select group to highlight&gt;</v>
      </c>
    </row>
    <row r="276" spans="1:5" x14ac:dyDescent="0.4">
      <c r="A276" t="s">
        <v>296</v>
      </c>
      <c r="B276">
        <v>1</v>
      </c>
      <c r="C276" t="str" cm="1">
        <f t="array" ref="C276">INDEX(auto_ddGroup_Filter,B276)</f>
        <v>All cities</v>
      </c>
      <c r="D276" t="str">
        <f>CONCATENATE(C276, " (Average)")</f>
        <v>All cities (Average)</v>
      </c>
    </row>
    <row r="277" spans="1:5" x14ac:dyDescent="0.4">
      <c r="A277" t="s">
        <v>297</v>
      </c>
      <c r="B277">
        <v>1</v>
      </c>
      <c r="C277" t="str" cm="1">
        <f t="array" ref="C277">INDEX(auto_ddFiltered_Country,B277)</f>
        <v>Addis Ababa</v>
      </c>
    </row>
    <row r="278" spans="1:5" ht="10.5" customHeight="1" x14ac:dyDescent="0.4">
      <c r="A278" t="s">
        <v>938</v>
      </c>
      <c r="B278">
        <v>1</v>
      </c>
      <c r="C278" t="str" cm="1">
        <f t="array" ref="C278">INDEX(auto_ddGroup_Filter,B278)</f>
        <v>All cities</v>
      </c>
      <c r="D278" t="str">
        <f>CONCATENATE(C278, " (Average)")</f>
        <v>All cities (Average)</v>
      </c>
    </row>
    <row r="279" spans="1:5" x14ac:dyDescent="0.4">
      <c r="A279" t="s">
        <v>939</v>
      </c>
      <c r="B279">
        <v>1</v>
      </c>
      <c r="C279" t="str" cm="1">
        <f t="array" ref="C279">INDEX(auto_ddFiltered_Country,B279)</f>
        <v>Addis Ababa</v>
      </c>
    </row>
    <row r="280" spans="1:5" x14ac:dyDescent="0.4">
      <c r="A280" t="s">
        <v>307</v>
      </c>
      <c r="B280">
        <v>1</v>
      </c>
      <c r="C280" t="str" cm="1">
        <f t="array" ref="C280">IF(B280=1,"&lt;none&gt;",INDEX(auto_ddFiltered_Country,B280-1))</f>
        <v>&lt;none&gt;</v>
      </c>
    </row>
    <row r="281" spans="1:5" x14ac:dyDescent="0.4">
      <c r="A281" t="s">
        <v>308</v>
      </c>
      <c r="B281">
        <v>1</v>
      </c>
      <c r="C281" t="str" cm="1">
        <f t="array" ref="C281">INDEX(auto_ddCountry_Or_None, B281)</f>
        <v>&lt;none&gt;</v>
      </c>
    </row>
    <row r="282" spans="1:5" x14ac:dyDescent="0.4">
      <c r="A282" t="s">
        <v>299</v>
      </c>
      <c r="B282">
        <v>1</v>
      </c>
    </row>
    <row r="283" spans="1:5" x14ac:dyDescent="0.4">
      <c r="A283" t="s">
        <v>300</v>
      </c>
      <c r="B283">
        <v>2</v>
      </c>
    </row>
    <row r="284" spans="1:5" x14ac:dyDescent="0.4">
      <c r="A284" t="s">
        <v>313</v>
      </c>
      <c r="B284">
        <v>1</v>
      </c>
    </row>
    <row r="285" spans="1:5" x14ac:dyDescent="0.4">
      <c r="A285" t="s">
        <v>314</v>
      </c>
      <c r="B285">
        <v>1</v>
      </c>
    </row>
    <row r="286" spans="1:5" x14ac:dyDescent="0.4">
      <c r="A286" t="s">
        <v>1075</v>
      </c>
      <c r="B286">
        <v>1</v>
      </c>
    </row>
    <row r="287" spans="1:5" x14ac:dyDescent="0.4">
      <c r="A287" t="s">
        <v>306</v>
      </c>
      <c r="B287">
        <v>1</v>
      </c>
      <c r="C287" t="str" cm="1">
        <f t="array" ref="C287">INDEX(auto_enum_CatMultiples,B287)</f>
        <v>Overall score and domains</v>
      </c>
    </row>
    <row r="288" spans="1:5" x14ac:dyDescent="0.4">
      <c r="A288" t="s">
        <v>148</v>
      </c>
      <c r="B288">
        <v>1</v>
      </c>
    </row>
    <row r="289" spans="1:2" x14ac:dyDescent="0.4">
      <c r="A289" t="s">
        <v>1054</v>
      </c>
      <c r="B289">
        <v>1</v>
      </c>
    </row>
    <row r="290" spans="1:2" x14ac:dyDescent="0.4">
      <c r="A290" t="s">
        <v>1600</v>
      </c>
      <c r="B290">
        <v>1</v>
      </c>
    </row>
    <row r="291" spans="1:2" x14ac:dyDescent="0.4">
      <c r="A291" t="s">
        <v>294</v>
      </c>
      <c r="B291">
        <v>1</v>
      </c>
    </row>
    <row r="292" spans="1:2" x14ac:dyDescent="0.4">
      <c r="A292" t="s">
        <v>295</v>
      </c>
      <c r="B292">
        <v>2</v>
      </c>
    </row>
    <row r="293" spans="1:2" x14ac:dyDescent="0.4">
      <c r="A293" t="s">
        <v>293</v>
      </c>
      <c r="B293">
        <v>1</v>
      </c>
    </row>
    <row r="294" spans="1:2" x14ac:dyDescent="0.4">
      <c r="A294" t="s">
        <v>972</v>
      </c>
      <c r="B294">
        <v>0</v>
      </c>
    </row>
    <row r="295" spans="1:2" x14ac:dyDescent="0.4">
      <c r="A295" t="s">
        <v>1155</v>
      </c>
      <c r="B295">
        <v>1</v>
      </c>
    </row>
    <row r="296" spans="1:2" x14ac:dyDescent="0.4">
      <c r="A296" t="s">
        <v>1158</v>
      </c>
      <c r="B296">
        <v>1</v>
      </c>
    </row>
    <row r="297" spans="1:2" x14ac:dyDescent="0.4">
      <c r="A297" t="s">
        <v>1375</v>
      </c>
      <c r="B297">
        <v>1</v>
      </c>
    </row>
    <row r="298" spans="1:2" x14ac:dyDescent="0.4">
      <c r="A298" t="s">
        <v>1465</v>
      </c>
      <c r="B298">
        <v>2</v>
      </c>
    </row>
    <row r="299" spans="1:2" x14ac:dyDescent="0.4">
      <c r="A299" t="s">
        <v>1471</v>
      </c>
      <c r="B299">
        <v>1</v>
      </c>
    </row>
    <row r="300" spans="1:2" x14ac:dyDescent="0.4">
      <c r="A300" t="s">
        <v>1503</v>
      </c>
      <c r="B300">
        <v>1</v>
      </c>
    </row>
    <row r="301" spans="1:2" x14ac:dyDescent="0.4">
      <c r="A301" t="s">
        <v>1540</v>
      </c>
      <c r="B301">
        <v>1</v>
      </c>
    </row>
    <row r="302" spans="1:2" x14ac:dyDescent="0.4">
      <c r="A302" t="s">
        <v>1522</v>
      </c>
      <c r="B302">
        <v>1</v>
      </c>
    </row>
    <row r="303" spans="1:2" x14ac:dyDescent="0.4">
      <c r="A303" t="s">
        <v>1657</v>
      </c>
      <c r="B303">
        <v>2</v>
      </c>
    </row>
    <row r="304" spans="1:2" x14ac:dyDescent="0.4">
      <c r="A304" t="s">
        <v>1712</v>
      </c>
      <c r="B304">
        <v>1</v>
      </c>
    </row>
    <row r="306" spans="1:3" x14ac:dyDescent="0.4">
      <c r="A306" t="s">
        <v>713</v>
      </c>
      <c r="B306" t="str">
        <f>IF($B$267&lt;&gt;1, $B$217,"")</f>
        <v/>
      </c>
      <c r="C306" t="s">
        <v>714</v>
      </c>
    </row>
    <row r="308" spans="1:3" x14ac:dyDescent="0.4">
      <c r="A308" t="s">
        <v>715</v>
      </c>
      <c r="B308" cm="1">
        <f t="array" ref="B308">INDEX(static_enum_GlobalZoom,$B$265)*100</f>
        <v>100</v>
      </c>
    </row>
    <row r="309" spans="1:3" x14ac:dyDescent="0.4">
      <c r="A309" t="s">
        <v>716</v>
      </c>
      <c r="B309">
        <v>0</v>
      </c>
    </row>
    <row r="310" spans="1:3" x14ac:dyDescent="0.4">
      <c r="A310" t="s">
        <v>712</v>
      </c>
    </row>
    <row r="311" spans="1:3" x14ac:dyDescent="0.4">
      <c r="A311" t="s">
        <v>717</v>
      </c>
    </row>
    <row r="312" spans="1:3" x14ac:dyDescent="0.4">
      <c r="A312" t="s">
        <v>463</v>
      </c>
      <c r="B312">
        <f>$B$267</f>
        <v>1</v>
      </c>
    </row>
    <row r="313" spans="1:3" x14ac:dyDescent="0.4">
      <c r="A313" t="s">
        <v>718</v>
      </c>
      <c r="B313" t="str" cm="1">
        <f t="array" ref="B313">INDEX(man_weight_profile_names,B312)</f>
        <v>Economist Impact (default)</v>
      </c>
    </row>
    <row r="314" spans="1:3" x14ac:dyDescent="0.4">
      <c r="A314" t="s">
        <v>719</v>
      </c>
      <c r="B314" t="str">
        <f ca="1">IF(C314=0,"&lt;no description&gt;",C314)</f>
        <v>All sub-indicators contribute equally to their parent indicator.  All indicators contribute equally to their parent domain.  All domains contribute to the overall score in proportion to the number of indicators they contain.</v>
      </c>
      <c r="C314" t="str" cm="1">
        <f t="array" aca="1" ref="C314" ca="1">INDEX(OFFSET(man_weight_profile_names,0,1),B312)</f>
        <v>All sub-indicators contribute equally to their parent indicator.  All indicators contribute equally to their parent domain.  All domains contribute to the overall score in proportion to the number of indicators they contain.</v>
      </c>
    </row>
    <row r="315" spans="1:3" x14ac:dyDescent="0.4">
      <c r="A315" t="s">
        <v>70</v>
      </c>
      <c r="B315" t="str">
        <f ca="1">IF(C315=0,"No",C315)</f>
        <v>No</v>
      </c>
      <c r="C315" t="str" cm="1">
        <f t="array" aca="1" ref="C315" ca="1">INDEX(OFFSET(man_weight_profile_names,0,-1),B312)</f>
        <v>No</v>
      </c>
    </row>
    <row r="316" spans="1:3" x14ac:dyDescent="0.4">
      <c r="A316" t="s">
        <v>71</v>
      </c>
      <c r="B316">
        <f>$B$268</f>
        <v>1</v>
      </c>
    </row>
    <row r="317" spans="1:3" x14ac:dyDescent="0.4">
      <c r="A317" t="s">
        <v>720</v>
      </c>
      <c r="B317">
        <f>IF(B312&lt;&gt;1,1,0)</f>
        <v>0</v>
      </c>
    </row>
    <row r="318" spans="1:3" x14ac:dyDescent="0.4">
      <c r="A318" t="s">
        <v>721</v>
      </c>
    </row>
    <row r="319" spans="1:3" x14ac:dyDescent="0.4">
      <c r="A319" t="s">
        <v>722</v>
      </c>
      <c r="B319" t="str">
        <f>CONCATENATE(B326," = ",B327,", ",B322," = ",B323)</f>
        <v>E1 = First edition, E1 = First edition</v>
      </c>
    </row>
    <row r="320" spans="1:3" x14ac:dyDescent="0.4">
      <c r="A320" t="s">
        <v>723</v>
      </c>
    </row>
    <row r="321" spans="1:2" x14ac:dyDescent="0.4">
      <c r="A321" t="s">
        <v>207</v>
      </c>
      <c r="B321">
        <f>$B$272</f>
        <v>1</v>
      </c>
    </row>
    <row r="322" spans="1:2" x14ac:dyDescent="0.4">
      <c r="A322" t="s">
        <v>724</v>
      </c>
      <c r="B322" t="str" cm="1">
        <f t="array" ref="B322">INDEX(auto_TimeSliceCode,B321)</f>
        <v>E1</v>
      </c>
    </row>
    <row r="323" spans="1:2" x14ac:dyDescent="0.4">
      <c r="A323" t="s">
        <v>722</v>
      </c>
      <c r="B323" t="str" cm="1">
        <f t="array" ref="B323">INDEX(auto_TimeSliceDescription,B321)</f>
        <v>First edition</v>
      </c>
    </row>
    <row r="324" spans="1:2" x14ac:dyDescent="0.4">
      <c r="A324" t="s">
        <v>725</v>
      </c>
    </row>
    <row r="325" spans="1:2" x14ac:dyDescent="0.4">
      <c r="A325" t="s">
        <v>208</v>
      </c>
      <c r="B325">
        <f>$B$273</f>
        <v>1</v>
      </c>
    </row>
    <row r="326" spans="1:2" x14ac:dyDescent="0.4">
      <c r="A326" t="s">
        <v>726</v>
      </c>
      <c r="B326" t="str" cm="1">
        <f t="array" ref="B326">INDEX(auto_TimeSliceCode,B325)</f>
        <v>E1</v>
      </c>
    </row>
    <row r="327" spans="1:2" x14ac:dyDescent="0.4">
      <c r="A327" t="s">
        <v>727</v>
      </c>
      <c r="B327" t="str" cm="1">
        <f t="array" ref="B327">INDEX(auto_TimeSliceDescription,B325)</f>
        <v>First edition</v>
      </c>
    </row>
    <row r="328" spans="1:2" x14ac:dyDescent="0.4">
      <c r="A328" t="s">
        <v>728</v>
      </c>
    </row>
    <row r="329" spans="1:2" x14ac:dyDescent="0.4">
      <c r="A329" t="s">
        <v>729</v>
      </c>
      <c r="B329">
        <f>$B$274</f>
        <v>1</v>
      </c>
    </row>
    <row r="330" spans="1:2" x14ac:dyDescent="0.4">
      <c r="A330" t="s">
        <v>730</v>
      </c>
      <c r="B330" t="str" cm="1">
        <f t="array" ref="B330">INDEX(auto_TimeSliceCode,B329)</f>
        <v>E1</v>
      </c>
    </row>
    <row r="331" spans="1:2" x14ac:dyDescent="0.4">
      <c r="A331" t="s">
        <v>731</v>
      </c>
      <c r="B331" t="str" cm="1">
        <f t="array" ref="B331">INDEX(auto_TimeSliceDescription,B329)</f>
        <v>First edition</v>
      </c>
    </row>
    <row r="332" spans="1:2" x14ac:dyDescent="0.4">
      <c r="A332" t="s">
        <v>2501</v>
      </c>
    </row>
    <row r="333" spans="1:2" x14ac:dyDescent="0.4">
      <c r="A333" t="s">
        <v>2503</v>
      </c>
      <c r="B333">
        <f>$B$287</f>
        <v>1</v>
      </c>
    </row>
    <row r="334" spans="1:2" x14ac:dyDescent="0.4">
      <c r="A334" t="s">
        <v>2502</v>
      </c>
      <c r="B334" t="str" cm="1">
        <f t="array" ref="B334">INDEX(auto_enum_CatMultiples,B333)</f>
        <v>Overall score and domains</v>
      </c>
    </row>
    <row r="335" spans="1:2" x14ac:dyDescent="0.4">
      <c r="A335" t="s">
        <v>1078</v>
      </c>
    </row>
    <row r="336" spans="1:2" x14ac:dyDescent="0.4">
      <c r="A336" t="s">
        <v>884</v>
      </c>
      <c r="B336">
        <f>$B$286</f>
        <v>1</v>
      </c>
    </row>
    <row r="337" spans="1:4" x14ac:dyDescent="0.4">
      <c r="A337" t="s">
        <v>885</v>
      </c>
      <c r="B337" t="str">
        <f>IF(B336&lt;&gt;1,"A category filter is selected.  Page shows measures for selected category only.","")</f>
        <v/>
      </c>
    </row>
    <row r="338" spans="1:4" x14ac:dyDescent="0.4">
      <c r="A338" t="s">
        <v>732</v>
      </c>
    </row>
    <row r="339" spans="1:4" x14ac:dyDescent="0.4">
      <c r="A339" t="s">
        <v>733</v>
      </c>
    </row>
    <row r="340" spans="1:4" x14ac:dyDescent="0.4">
      <c r="A340" t="s">
        <v>222</v>
      </c>
      <c r="B340">
        <f>$B$293</f>
        <v>1</v>
      </c>
    </row>
    <row r="341" spans="1:4" x14ac:dyDescent="0.4">
      <c r="A341" t="s">
        <v>734</v>
      </c>
      <c r="B341" t="e" cm="1">
        <f t="array" ref="B341">INDEX(auto_enum_Sort_Order_1,B340)</f>
        <v>#NAME?</v>
      </c>
    </row>
    <row r="342" spans="1:4" x14ac:dyDescent="0.4">
      <c r="A342" t="s">
        <v>735</v>
      </c>
      <c r="B342" t="e">
        <f>CONCATENATE("Table sorted ",IF(B340&lt;=2,CONCATENATE(LOWER(B341)),CONCATENATE(LOWER(B341),", current edition compared with ",LOWER($B$327))))</f>
        <v>#NAME?</v>
      </c>
    </row>
    <row r="343" spans="1:4" x14ac:dyDescent="0.4">
      <c r="A343" t="s">
        <v>932</v>
      </c>
      <c r="B343" t="e">
        <f>CONCATENATE("Table sorted ",IF(B340&lt;=2,CONCATENATE(LOWER(B341)),CONCATENATE(LOWER(B341),", current edition compared with ",LOWER($B$327))))</f>
        <v>#NAME?</v>
      </c>
    </row>
    <row r="344" spans="1:4" x14ac:dyDescent="0.4">
      <c r="A344" t="s">
        <v>736</v>
      </c>
    </row>
    <row r="345" spans="1:4" x14ac:dyDescent="0.4">
      <c r="A345" t="s">
        <v>737</v>
      </c>
    </row>
    <row r="346" spans="1:4" x14ac:dyDescent="0.4">
      <c r="A346" t="s">
        <v>738</v>
      </c>
      <c r="B346">
        <f>$B$275</f>
        <v>1</v>
      </c>
    </row>
    <row r="347" spans="1:4" x14ac:dyDescent="0.4">
      <c r="A347" t="s">
        <v>739</v>
      </c>
      <c r="B347">
        <f>B346-1</f>
        <v>0</v>
      </c>
    </row>
    <row r="348" spans="1:4" x14ac:dyDescent="0.4">
      <c r="A348" t="s">
        <v>740</v>
      </c>
      <c r="B348" t="str" cm="1">
        <f t="array" ref="B348">IF(B347=0,"&lt;none&gt;",INDEX(auto_ddGroup_Highlight,B347+1))</f>
        <v>&lt;none&gt;</v>
      </c>
    </row>
    <row r="349" spans="1:4" x14ac:dyDescent="0.4">
      <c r="A349" t="s">
        <v>741</v>
      </c>
    </row>
    <row r="350" spans="1:4" x14ac:dyDescent="0.4">
      <c r="A350" t="s">
        <v>742</v>
      </c>
      <c r="B350" t="str" cm="1">
        <f t="array" ref="B350">INDEX(auto_ddGroup_Filter,B276)</f>
        <v>All cities</v>
      </c>
    </row>
    <row r="351" spans="1:4" x14ac:dyDescent="0.4">
      <c r="A351" t="s">
        <v>743</v>
      </c>
      <c r="B351" t="str">
        <f>CONCATENATE(B350, " (average)")</f>
        <v>All cities (average)</v>
      </c>
    </row>
    <row r="352" spans="1:4" x14ac:dyDescent="0.4">
      <c r="A352" t="s">
        <v>744</v>
      </c>
      <c r="B352">
        <f>COUNTIF(auto_ddFiltered_Country_ID,"&gt;0")</f>
        <v>50</v>
      </c>
      <c r="D352" t="s">
        <v>745</v>
      </c>
    </row>
    <row r="353" spans="1:4" x14ac:dyDescent="0.4">
      <c r="A353" t="s">
        <v>746</v>
      </c>
      <c r="B353" t="str">
        <f>IF($B$276=1,"",SUBSTITUTE(SUBSTITUTE(C353,"{GROUP_NAME}",UPPER($C$276)),"{X}",$B$352))</f>
        <v/>
      </c>
      <c r="C353" t="str">
        <f>CONCATENATE("A group filter is applied.  This page shows data for the {GROUP_NAME} subset of {X} ",$B$124," only.  (",$B$224," ",$B$124," are included in the index)")</f>
        <v>A group filter is applied.  This page shows data for the {GROUP_NAME} subset of {X} cities only.  (50 cities are included in the index)</v>
      </c>
    </row>
    <row r="354" spans="1:4" x14ac:dyDescent="0.4">
      <c r="A354" t="s">
        <v>941</v>
      </c>
    </row>
    <row r="355" spans="1:4" x14ac:dyDescent="0.4">
      <c r="A355" t="s">
        <v>742</v>
      </c>
      <c r="B355" t="str" cm="1">
        <f t="array" ref="B355">INDEX(auto_ddGroup_Filter,B278)</f>
        <v>All cities</v>
      </c>
    </row>
    <row r="356" spans="1:4" x14ac:dyDescent="0.4">
      <c r="A356" t="s">
        <v>743</v>
      </c>
      <c r="B356" t="str">
        <f>CONCATENATE(B355, " (average)")</f>
        <v>All cities (average)</v>
      </c>
    </row>
    <row r="357" spans="1:4" x14ac:dyDescent="0.4">
      <c r="A357" t="s">
        <v>744</v>
      </c>
      <c r="B357">
        <f>COUNTIF(auto_ddFiltered_Country_ID_2,"&gt;0")</f>
        <v>50</v>
      </c>
      <c r="D357" t="s">
        <v>745</v>
      </c>
    </row>
    <row r="358" spans="1:4" x14ac:dyDescent="0.4">
      <c r="A358" t="s">
        <v>746</v>
      </c>
      <c r="B358" t="str">
        <f>IF($B$278=1,"",SUBSTITUTE(SUBSTITUTE(C358,"{GROUP_NAME}",UPPER($C$278)),"{X}",$B$357))</f>
        <v/>
      </c>
      <c r="C358" t="str">
        <f>CONCATENATE("A group filter is applied.  This page shows data for the {GROUP_NAME} subset of {X} ",$B$124," only.  (",$B$224," ",$B$124," are included in the index.)")</f>
        <v>A group filter is applied.  This page shows data for the {GROUP_NAME} subset of {X} cities only.  (50 cities are included in the index.)</v>
      </c>
    </row>
    <row r="359" spans="1:4" x14ac:dyDescent="0.4">
      <c r="A359" t="s">
        <v>747</v>
      </c>
    </row>
    <row r="360" spans="1:4" x14ac:dyDescent="0.4">
      <c r="A360" t="s">
        <v>748</v>
      </c>
    </row>
    <row r="361" spans="1:4" x14ac:dyDescent="0.4">
      <c r="A361" t="s">
        <v>749</v>
      </c>
      <c r="B361" cm="1">
        <f t="array" ref="B361">INDEX(auto_ddFiltered_Country_ID,$B$277)</f>
        <v>1</v>
      </c>
    </row>
    <row r="362" spans="1:4" x14ac:dyDescent="0.4">
      <c r="A362" t="s">
        <v>750</v>
      </c>
      <c r="B362" t="str" cm="1">
        <f t="array" ref="B362">IFERROR(INDEX(auto_Country_ISO,$B361),"XXX")</f>
        <v>ADD</v>
      </c>
    </row>
    <row r="363" spans="1:4" x14ac:dyDescent="0.4">
      <c r="A363" t="s">
        <v>751</v>
      </c>
      <c r="B363" t="str" cm="1">
        <f t="array" ref="B363">IFERROR(INDEX(tblCountries!$H$3:$H$52,$B361),"XXX")</f>
        <v>Addis Ababa, Ethiopia</v>
      </c>
    </row>
    <row r="364" spans="1:4" x14ac:dyDescent="0.4">
      <c r="A364" t="s">
        <v>752</v>
      </c>
      <c r="B364" t="str" cm="1">
        <f t="array" ref="B364">INDEX(auto_ddCountry,B361)</f>
        <v>Addis Ababa</v>
      </c>
    </row>
    <row r="365" spans="1:4" x14ac:dyDescent="0.4">
      <c r="A365" t="s">
        <v>753</v>
      </c>
      <c r="B365" t="s">
        <v>2730</v>
      </c>
    </row>
    <row r="366" spans="1:4" x14ac:dyDescent="0.4">
      <c r="A366" t="s">
        <v>754</v>
      </c>
      <c r="B366" t="str" cm="1">
        <f t="array" ref="B366">INDEX(tblCountries!$K$3:$K$52,B361)</f>
        <v>AfricaAfrica;Low and lower middle income;</v>
      </c>
    </row>
    <row r="367" spans="1:4" x14ac:dyDescent="0.4">
      <c r="A367" t="s">
        <v>755</v>
      </c>
      <c r="B367" t="str">
        <f>B362</f>
        <v>ADD</v>
      </c>
    </row>
    <row r="368" spans="1:4" x14ac:dyDescent="0.4">
      <c r="A368" t="s">
        <v>490</v>
      </c>
      <c r="B368" cm="1">
        <f t="array" ref="B368">INDEX(auto_Country_Level_ID,B361)</f>
        <v>2</v>
      </c>
    </row>
    <row r="369" spans="1:2" x14ac:dyDescent="0.4">
      <c r="A369" t="s">
        <v>492</v>
      </c>
      <c r="B369" t="str">
        <f>CHOOSE(B368,"G01","GBR","G02")</f>
        <v>GBR</v>
      </c>
    </row>
    <row r="370" spans="1:2" x14ac:dyDescent="0.4">
      <c r="A370" t="s">
        <v>491</v>
      </c>
      <c r="B370" t="str" cm="1">
        <f t="array" ref="B370">INDEX(auto_ddGroup_Highlight,B368+1)</f>
        <v>Americas</v>
      </c>
    </row>
    <row r="371" spans="1:2" x14ac:dyDescent="0.4">
      <c r="A371" t="s">
        <v>756</v>
      </c>
      <c r="B371" t="str">
        <f>CHOOSE(B368,"average score across 9 countries included in this index","UK national score","average score across all 41 UK sub-regions")</f>
        <v>UK national score</v>
      </c>
    </row>
    <row r="372" spans="1:2" x14ac:dyDescent="0.4">
      <c r="A372" t="s">
        <v>937</v>
      </c>
      <c r="B372" t="str">
        <f>CHOOSE(B368,"9 country average","UK national score","UK NUTS 2 average")</f>
        <v>UK national score</v>
      </c>
    </row>
    <row r="373" spans="1:2" x14ac:dyDescent="0.4">
      <c r="A373" t="s">
        <v>944</v>
      </c>
    </row>
    <row r="374" spans="1:2" x14ac:dyDescent="0.4">
      <c r="A374" t="s">
        <v>945</v>
      </c>
      <c r="B374" cm="1">
        <f t="array" ref="B374">INDEX(auto_ddFiltered_Country_ID_2,$B$279)</f>
        <v>1</v>
      </c>
    </row>
    <row r="375" spans="1:2" x14ac:dyDescent="0.4">
      <c r="A375" t="s">
        <v>946</v>
      </c>
      <c r="B375" t="str" cm="1">
        <f t="array" ref="B375">IFERROR(INDEX(auto_Country_ISO,$B374),"XXX")</f>
        <v>ADD</v>
      </c>
    </row>
    <row r="376" spans="1:2" x14ac:dyDescent="0.4">
      <c r="A376" t="s">
        <v>947</v>
      </c>
      <c r="B376" t="str" cm="1">
        <f t="array" ref="B376">IFERROR(INDEX(tblCountries!$H$3:$H$52,$B374),"XXX")</f>
        <v>Addis Ababa, Ethiopia</v>
      </c>
    </row>
    <row r="377" spans="1:2" x14ac:dyDescent="0.4">
      <c r="A377" t="s">
        <v>948</v>
      </c>
      <c r="B377" t="str" cm="1">
        <f t="array" ref="B377">INDEX(auto_ddCountry,B374)</f>
        <v>Addis Ababa</v>
      </c>
    </row>
    <row r="378" spans="1:2" x14ac:dyDescent="0.4">
      <c r="A378" t="s">
        <v>949</v>
      </c>
    </row>
    <row r="379" spans="1:2" x14ac:dyDescent="0.4">
      <c r="A379" t="s">
        <v>950</v>
      </c>
      <c r="B379" t="str" cm="1">
        <f t="array" ref="B379">INDEX(tblCountries!$K$3:$K$52,B374)</f>
        <v>AfricaAfrica;Low and lower middle income;</v>
      </c>
    </row>
    <row r="380" spans="1:2" x14ac:dyDescent="0.4">
      <c r="A380" t="s">
        <v>951</v>
      </c>
      <c r="B380" t="str">
        <f>B375</f>
        <v>ADD</v>
      </c>
    </row>
    <row r="381" spans="1:2" x14ac:dyDescent="0.4">
      <c r="A381" t="s">
        <v>952</v>
      </c>
      <c r="B381" cm="1">
        <f t="array" ref="B381">INDEX(auto_Country_Level_ID,B374)</f>
        <v>2</v>
      </c>
    </row>
    <row r="382" spans="1:2" x14ac:dyDescent="0.4">
      <c r="A382" t="s">
        <v>953</v>
      </c>
      <c r="B382" t="str">
        <f>CHOOSE(B381,"G01","GBR","G02")</f>
        <v>GBR</v>
      </c>
    </row>
    <row r="383" spans="1:2" x14ac:dyDescent="0.4">
      <c r="A383" t="s">
        <v>954</v>
      </c>
      <c r="B383" t="str" cm="1">
        <f t="array" ref="B383">INDEX(auto_ddGroup_Highlight,B381+1)</f>
        <v>Americas</v>
      </c>
    </row>
    <row r="384" spans="1:2" x14ac:dyDescent="0.4">
      <c r="A384" t="s">
        <v>955</v>
      </c>
      <c r="B384" t="str">
        <f>CHOOSE(B381,"average score across 9 countries included in this index","UK national score","average score across all 41 UK NUTS 2 regions")</f>
        <v>UK national score</v>
      </c>
    </row>
    <row r="385" spans="1:3" x14ac:dyDescent="0.4">
      <c r="A385" t="s">
        <v>956</v>
      </c>
      <c r="B385" t="str">
        <f>CHOOSE(B381,"9 country average","UK national score","UK NUTS 2 average")</f>
        <v>UK national score</v>
      </c>
    </row>
    <row r="386" spans="1:3" x14ac:dyDescent="0.4">
      <c r="A386" t="s">
        <v>757</v>
      </c>
    </row>
    <row r="387" spans="1:3" x14ac:dyDescent="0.4">
      <c r="A387" t="s">
        <v>758</v>
      </c>
      <c r="B387" cm="1">
        <f t="array" ref="B387">IF($B$280=1,0,INDEX(auto_ddFiltered_Country_ID,$B$280-1))</f>
        <v>0</v>
      </c>
      <c r="C387" t="str" cm="1">
        <f t="array" ref="C387">IF(B387=0,"",INDEX(auto_ddCountry,B387))</f>
        <v/>
      </c>
    </row>
    <row r="388" spans="1:3" x14ac:dyDescent="0.4">
      <c r="A388" t="s">
        <v>759</v>
      </c>
      <c r="B388" t="str" cm="1">
        <f t="array" ref="B388">IF(B387=0,"&lt;none&gt;",INDEX(auto_ddCountry,B387))</f>
        <v>&lt;none&gt;</v>
      </c>
    </row>
    <row r="389" spans="1:3" x14ac:dyDescent="0.4">
      <c r="A389" t="s">
        <v>760</v>
      </c>
      <c r="B389" t="str" cm="1">
        <f t="array" ref="B389">IF(B387=0,"XXX",IFERROR(INDEX(auto_Country_ISO,$B387),"XXX"))</f>
        <v>XXX</v>
      </c>
    </row>
    <row r="390" spans="1:3" x14ac:dyDescent="0.4">
      <c r="A390" t="s">
        <v>761</v>
      </c>
      <c r="B390" t="s">
        <v>249</v>
      </c>
    </row>
    <row r="391" spans="1:3" x14ac:dyDescent="0.4">
      <c r="A391" t="s">
        <v>762</v>
      </c>
      <c r="B391" cm="1">
        <f t="array" ref="B391">IF(B387=0,0,INDEX(auto_Country_Level_ID,B387))</f>
        <v>0</v>
      </c>
    </row>
    <row r="392" spans="1:3" x14ac:dyDescent="0.4">
      <c r="A392" t="s">
        <v>763</v>
      </c>
    </row>
    <row r="393" spans="1:3" x14ac:dyDescent="0.4">
      <c r="A393" t="s">
        <v>447</v>
      </c>
      <c r="B393">
        <f>$B$281-1</f>
        <v>0</v>
      </c>
    </row>
    <row r="394" spans="1:3" x14ac:dyDescent="0.4">
      <c r="A394" t="s">
        <v>764</v>
      </c>
      <c r="B394" t="str" cm="1">
        <f t="array" ref="B394">INDEX(auto_ddCountry_Or_None,B393+1)</f>
        <v>&lt;none&gt;</v>
      </c>
    </row>
    <row r="395" spans="1:3" x14ac:dyDescent="0.4">
      <c r="A395" t="s">
        <v>765</v>
      </c>
    </row>
    <row r="396" spans="1:3" x14ac:dyDescent="0.4">
      <c r="A396" t="s">
        <v>1509</v>
      </c>
      <c r="B396">
        <f>$B$300</f>
        <v>1</v>
      </c>
    </row>
    <row r="397" spans="1:3" x14ac:dyDescent="0.4">
      <c r="A397" t="s">
        <v>1507</v>
      </c>
      <c r="B397" t="b">
        <f>IF(B396=1,TRUE,FALSE)</f>
        <v>1</v>
      </c>
    </row>
    <row r="398" spans="1:3" x14ac:dyDescent="0.4">
      <c r="A398" t="s">
        <v>1504</v>
      </c>
      <c r="B398">
        <f>IF(B397,$B$224+1,B396-1)</f>
        <v>51</v>
      </c>
      <c r="C398" t="s">
        <v>1510</v>
      </c>
    </row>
    <row r="399" spans="1:3" x14ac:dyDescent="0.4">
      <c r="A399" t="s">
        <v>1505</v>
      </c>
      <c r="B399" t="str" cm="1">
        <f t="array" ref="B399">IF(B397,"AVG",IFERROR(INDEX(auto_Country_ISO,B398),"XXX"))</f>
        <v>AVG</v>
      </c>
    </row>
    <row r="400" spans="1:3" x14ac:dyDescent="0.4">
      <c r="A400" t="s">
        <v>1506</v>
      </c>
      <c r="B400" t="str" cm="1">
        <f t="array" ref="B400">IF(B397,"50 city average",INDEX(auto_ddCountry,B398))</f>
        <v>50 city average</v>
      </c>
    </row>
    <row r="401" spans="1:3" x14ac:dyDescent="0.4">
      <c r="A401" t="s">
        <v>1539</v>
      </c>
      <c r="B401" t="str" cm="1">
        <f t="array" ref="B401">IF(B397,INDEX(auto_Group_Code,1),INDEX(auto_Country_ISO,B398))</f>
        <v>G00</v>
      </c>
    </row>
    <row r="403" spans="1:3" x14ac:dyDescent="0.4">
      <c r="A403" t="s">
        <v>1541</v>
      </c>
      <c r="B403">
        <f>$B$301</f>
        <v>1</v>
      </c>
    </row>
    <row r="404" spans="1:3" x14ac:dyDescent="0.4">
      <c r="A404" t="s">
        <v>1542</v>
      </c>
      <c r="B404" t="b">
        <f>IF(B403=1,TRUE,FALSE)</f>
        <v>1</v>
      </c>
    </row>
    <row r="405" spans="1:3" x14ac:dyDescent="0.4">
      <c r="A405" t="s">
        <v>1543</v>
      </c>
      <c r="B405">
        <f>IF(B404,$B$224+1,B403-1)</f>
        <v>51</v>
      </c>
      <c r="C405" t="s">
        <v>1510</v>
      </c>
    </row>
    <row r="406" spans="1:3" x14ac:dyDescent="0.4">
      <c r="A406" t="s">
        <v>1544</v>
      </c>
      <c r="B406" t="str" cm="1">
        <f t="array" ref="B406">IF(B404,"AVG",IFERROR(INDEX(auto_Country_ISO,B405),"XXX"))</f>
        <v>AVG</v>
      </c>
    </row>
    <row r="407" spans="1:3" x14ac:dyDescent="0.4">
      <c r="A407" t="s">
        <v>1545</v>
      </c>
      <c r="B407" t="str" cm="1">
        <f t="array" ref="B407">IF(B404,"50 city average",INDEX(auto_ddCountry,B405))</f>
        <v>50 city average</v>
      </c>
    </row>
    <row r="408" spans="1:3" x14ac:dyDescent="0.4">
      <c r="A408" t="s">
        <v>1546</v>
      </c>
      <c r="B408" t="str" cm="1">
        <f t="array" ref="B408">IF(B404,INDEX(auto_Group_Code,1),INDEX(auto_Country_ISO,B405))</f>
        <v>G00</v>
      </c>
    </row>
    <row r="410" spans="1:3" x14ac:dyDescent="0.4">
      <c r="A410" t="s">
        <v>16</v>
      </c>
      <c r="B410">
        <f>$B$282</f>
        <v>1</v>
      </c>
    </row>
    <row r="411" spans="1:3" x14ac:dyDescent="0.4">
      <c r="A411" t="s">
        <v>766</v>
      </c>
      <c r="B411" t="str" cm="1">
        <f t="array" ref="B411">IFERROR(INDEX(auto_Country_ISO,$B410),"XXX")</f>
        <v>ADD</v>
      </c>
    </row>
    <row r="412" spans="1:3" x14ac:dyDescent="0.4">
      <c r="A412" t="s">
        <v>767</v>
      </c>
      <c r="B412" t="str" cm="1">
        <f t="array" ref="B412">IFERROR(INDEX(tblCountries!$H$3:$H$52,$B410),"XXX")</f>
        <v>Addis Ababa, Ethiopia</v>
      </c>
    </row>
    <row r="413" spans="1:3" x14ac:dyDescent="0.4">
      <c r="A413" t="s">
        <v>445</v>
      </c>
      <c r="B413" t="str" cm="1">
        <f t="array" ref="B413">INDEX(auto_ddCountry,B410)</f>
        <v>Addis Ababa</v>
      </c>
    </row>
    <row r="414" spans="1:3" x14ac:dyDescent="0.4">
      <c r="A414" t="s">
        <v>768</v>
      </c>
      <c r="B414" t="str">
        <f>B411</f>
        <v>ADD</v>
      </c>
    </row>
    <row r="416" spans="1:3" x14ac:dyDescent="0.4">
      <c r="A416" t="s">
        <v>769</v>
      </c>
      <c r="B416">
        <f>$B$283</f>
        <v>2</v>
      </c>
    </row>
    <row r="417" spans="1:2" x14ac:dyDescent="0.4">
      <c r="A417" t="s">
        <v>770</v>
      </c>
      <c r="B417" t="str" cm="1">
        <f t="array" ref="B417">IFERROR(INDEX(auto_Country_ISO,$B416),"XXX")</f>
        <v>UAY</v>
      </c>
    </row>
    <row r="418" spans="1:2" x14ac:dyDescent="0.4">
      <c r="A418" t="s">
        <v>771</v>
      </c>
      <c r="B418" t="str" cm="1">
        <f t="array" ref="B418">IFERROR(INDEX(tblCountries!$H$3:$H$52,$B416),"XXX")</f>
        <v>Algiers, Algeria</v>
      </c>
    </row>
    <row r="419" spans="1:2" x14ac:dyDescent="0.4">
      <c r="A419" t="s">
        <v>772</v>
      </c>
      <c r="B419" t="str" cm="1">
        <f t="array" ref="B419">INDEX(auto_ddCountry,B416)</f>
        <v>Algiers</v>
      </c>
    </row>
    <row r="420" spans="1:2" x14ac:dyDescent="0.4">
      <c r="A420" t="s">
        <v>773</v>
      </c>
      <c r="B420" t="str">
        <f>B417</f>
        <v>UAY</v>
      </c>
    </row>
    <row r="421" spans="1:2" x14ac:dyDescent="0.4">
      <c r="A421" t="s">
        <v>774</v>
      </c>
    </row>
    <row r="422" spans="1:2" x14ac:dyDescent="0.4">
      <c r="A422" t="s">
        <v>775</v>
      </c>
      <c r="B422">
        <f>$B$284</f>
        <v>1</v>
      </c>
    </row>
    <row r="423" spans="1:2" x14ac:dyDescent="0.4">
      <c r="A423" t="s">
        <v>776</v>
      </c>
      <c r="B423">
        <f>B422-1</f>
        <v>0</v>
      </c>
    </row>
    <row r="424" spans="1:2" x14ac:dyDescent="0.4">
      <c r="A424" t="s">
        <v>777</v>
      </c>
      <c r="B424" t="str" cm="1">
        <f t="array" ref="B424">IF(B423=0,"ZZZ",IFERROR(INDEX(auto_Country_ISO,$B423),"XXX"))</f>
        <v>ZZZ</v>
      </c>
    </row>
    <row r="425" spans="1:2" x14ac:dyDescent="0.4">
      <c r="A425" t="s">
        <v>778</v>
      </c>
      <c r="B425" t="str" cm="1">
        <f t="array" ref="B425">IF(B423=0,"ZZZ",IFERROR(INDEX(auto_ddCountry,$B423),"XXX"))</f>
        <v>ZZZ</v>
      </c>
    </row>
    <row r="426" spans="1:2" x14ac:dyDescent="0.4">
      <c r="A426" t="s">
        <v>774</v>
      </c>
    </row>
    <row r="427" spans="1:2" x14ac:dyDescent="0.4">
      <c r="A427" t="s">
        <v>779</v>
      </c>
      <c r="B427">
        <f>$B$285</f>
        <v>1</v>
      </c>
    </row>
    <row r="428" spans="1:2" x14ac:dyDescent="0.4">
      <c r="A428" t="s">
        <v>780</v>
      </c>
      <c r="B428">
        <f>B427-1</f>
        <v>0</v>
      </c>
    </row>
    <row r="429" spans="1:2" x14ac:dyDescent="0.4">
      <c r="A429" t="s">
        <v>781</v>
      </c>
      <c r="B429" t="str" cm="1">
        <f t="array" ref="B429">IF(B428=0,"ZZZ",IFERROR(INDEX(auto_Country_ISO,$B428),"XXX"))</f>
        <v>ZZZ</v>
      </c>
    </row>
    <row r="430" spans="1:2" x14ac:dyDescent="0.4">
      <c r="A430" t="s">
        <v>782</v>
      </c>
      <c r="B430" t="str" cm="1">
        <f t="array" ref="B430">IF(B428=0,"ZZZ",IFERROR(INDEX(auto_ddCountry,$B428),"XXX"))</f>
        <v>ZZZ</v>
      </c>
    </row>
    <row r="431" spans="1:2" x14ac:dyDescent="0.4">
      <c r="A431" t="s">
        <v>783</v>
      </c>
    </row>
    <row r="432" spans="1:2" x14ac:dyDescent="0.4">
      <c r="A432" t="s">
        <v>784</v>
      </c>
      <c r="B432">
        <f>B410</f>
        <v>1</v>
      </c>
    </row>
    <row r="433" spans="1:2" x14ac:dyDescent="0.4">
      <c r="A433" t="s">
        <v>785</v>
      </c>
      <c r="B433">
        <f>B416</f>
        <v>2</v>
      </c>
    </row>
    <row r="434" spans="1:2" x14ac:dyDescent="0.4">
      <c r="A434" t="s">
        <v>786</v>
      </c>
      <c r="B434">
        <f>B423</f>
        <v>0</v>
      </c>
    </row>
    <row r="435" spans="1:2" x14ac:dyDescent="0.4">
      <c r="A435" t="s">
        <v>787</v>
      </c>
      <c r="B435">
        <f>B428</f>
        <v>0</v>
      </c>
    </row>
    <row r="436" spans="1:2" x14ac:dyDescent="0.4">
      <c r="A436" t="s">
        <v>788</v>
      </c>
      <c r="B436" t="str" cm="1">
        <f t="array" ref="B436">IF($B432=0,"ZZZ",IFERROR(INDEX(auto_Country_ISO,$B432),"XXX"))</f>
        <v>ADD</v>
      </c>
    </row>
    <row r="437" spans="1:2" x14ac:dyDescent="0.4">
      <c r="A437" t="s">
        <v>789</v>
      </c>
      <c r="B437" t="str" cm="1">
        <f t="array" ref="B437">IF($B433=0,"ZZZ",IFERROR(INDEX(auto_Country_ISO,$B433),"XXX"))</f>
        <v>UAY</v>
      </c>
    </row>
    <row r="438" spans="1:2" x14ac:dyDescent="0.4">
      <c r="A438" t="s">
        <v>790</v>
      </c>
      <c r="B438" t="str" cm="1">
        <f t="array" ref="B438">IF($B434=0,"ZZZ",IFERROR(INDEX(auto_Country_ISO,$B434),"XXX"))</f>
        <v>ZZZ</v>
      </c>
    </row>
    <row r="439" spans="1:2" x14ac:dyDescent="0.4">
      <c r="A439" t="s">
        <v>791</v>
      </c>
      <c r="B439" t="str" cm="1">
        <f t="array" ref="B439">IF($B435=0,"ZZZ",IFERROR(INDEX(auto_Country_ISO,$B435),"XXX"))</f>
        <v>ZZZ</v>
      </c>
    </row>
    <row r="440" spans="1:2" x14ac:dyDescent="0.4">
      <c r="A440" t="s">
        <v>792</v>
      </c>
      <c r="B440" t="str" cm="1">
        <f t="array" ref="B440">IF(B432=0,"&lt;none&gt;",INDEX(auto_ddCountry,B432))</f>
        <v>Addis Ababa</v>
      </c>
    </row>
    <row r="441" spans="1:2" x14ac:dyDescent="0.4">
      <c r="A441" t="s">
        <v>793</v>
      </c>
      <c r="B441" t="str" cm="1">
        <f t="array" ref="B441">IF(B433=0,"&lt;none&gt;",INDEX(auto_ddCountry,B433))</f>
        <v>Algiers</v>
      </c>
    </row>
    <row r="442" spans="1:2" x14ac:dyDescent="0.4">
      <c r="A442" t="s">
        <v>794</v>
      </c>
      <c r="B442" t="str" cm="1">
        <f t="array" ref="B442">IF(B434=0,"&lt;none&gt;",INDEX(auto_ddCountry,B434))</f>
        <v>&lt;none&gt;</v>
      </c>
    </row>
    <row r="443" spans="1:2" x14ac:dyDescent="0.4">
      <c r="A443" t="s">
        <v>795</v>
      </c>
      <c r="B443" t="str" cm="1">
        <f t="array" ref="B443">IF(B435=0,"&lt;none&gt;",INDEX(auto_ddCountry,B435))</f>
        <v>&lt;none&gt;</v>
      </c>
    </row>
    <row r="444" spans="1:2" x14ac:dyDescent="0.4">
      <c r="A444" t="s">
        <v>796</v>
      </c>
    </row>
    <row r="445" spans="1:2" x14ac:dyDescent="0.4">
      <c r="A445" t="s">
        <v>797</v>
      </c>
    </row>
    <row r="446" spans="1:2" x14ac:dyDescent="0.4">
      <c r="A446" t="s">
        <v>798</v>
      </c>
      <c r="B446" t="s">
        <v>799</v>
      </c>
    </row>
    <row r="447" spans="1:2" x14ac:dyDescent="0.4">
      <c r="A447" t="s">
        <v>800</v>
      </c>
      <c r="B447">
        <f>$B$287</f>
        <v>1</v>
      </c>
    </row>
    <row r="448" spans="1:2" x14ac:dyDescent="0.4">
      <c r="A448" t="s">
        <v>801</v>
      </c>
      <c r="B448" t="str" cm="1">
        <f t="array" ref="B448">INDEX(auto_enum_CatMultiples,B447)</f>
        <v>Overall score and domains</v>
      </c>
    </row>
    <row r="449" spans="1:4" x14ac:dyDescent="0.4">
      <c r="A449" t="s">
        <v>802</v>
      </c>
    </row>
    <row r="450" spans="1:4" x14ac:dyDescent="0.4">
      <c r="A450" t="s">
        <v>803</v>
      </c>
    </row>
    <row r="451" spans="1:4" x14ac:dyDescent="0.4">
      <c r="A451" t="s">
        <v>804</v>
      </c>
      <c r="B451">
        <f>$B$288</f>
        <v>1</v>
      </c>
    </row>
    <row r="452" spans="1:4" x14ac:dyDescent="0.4">
      <c r="A452" t="s">
        <v>66</v>
      </c>
      <c r="B452" cm="1">
        <f t="array" aca="1" ref="B452" ca="1">INDEX(OFFSET(auto_ss_All_Series,0,1,500,1),B451)</f>
        <v>1</v>
      </c>
    </row>
    <row r="453" spans="1:4" x14ac:dyDescent="0.4">
      <c r="A453" t="s">
        <v>975</v>
      </c>
      <c r="B453" t="str" cm="1">
        <f t="array" aca="1" ref="B453" ca="1">INDEX(auto_Series_Code,B452)</f>
        <v>OVERALL</v>
      </c>
    </row>
    <row r="454" spans="1:4" x14ac:dyDescent="0.4">
      <c r="A454" t="s">
        <v>67</v>
      </c>
      <c r="B454" cm="1">
        <f t="array" aca="1" ref="B454" ca="1">INDEX(auto_tblSeries,B452,D454)</f>
        <v>0</v>
      </c>
      <c r="C454" t="s">
        <v>35</v>
      </c>
      <c r="D454">
        <f t="shared" ref="D454" si="5">MATCH(C454,auto_tblSeries_Header,0)</f>
        <v>5</v>
      </c>
    </row>
    <row r="455" spans="1:4" x14ac:dyDescent="0.4">
      <c r="A455" t="s">
        <v>483</v>
      </c>
      <c r="B455" cm="1">
        <f t="array" aca="1" ref="B455" ca="1">INDEX(auto_tblSeries,B452,D455)</f>
        <v>0</v>
      </c>
      <c r="C455" t="s">
        <v>153</v>
      </c>
      <c r="D455">
        <f t="shared" ref="D455" si="6">MATCH(C455,auto_tblSeries_Header,0)</f>
        <v>7</v>
      </c>
    </row>
    <row r="456" spans="1:4" x14ac:dyDescent="0.4">
      <c r="A456" t="s">
        <v>805</v>
      </c>
      <c r="B456" cm="1">
        <f t="array" aca="1" ref="B456" ca="1">INDEX(auto_tblSeries,B452,D456)</f>
        <v>0</v>
      </c>
      <c r="C456" t="s">
        <v>29</v>
      </c>
      <c r="D456">
        <f t="shared" ref="D456" si="7">MATCH(C456,auto_tblSeries_Header,0)</f>
        <v>4</v>
      </c>
    </row>
    <row r="457" spans="1:4" x14ac:dyDescent="0.4">
      <c r="A457" t="s">
        <v>806</v>
      </c>
      <c r="B457" t="str" cm="1">
        <f t="array" aca="1" ref="B457" ca="1">INDEX(auto_tblSeries,B452,D457)</f>
        <v>HIGH=GOOD</v>
      </c>
      <c r="C457" t="s">
        <v>40</v>
      </c>
      <c r="D457">
        <f t="shared" ref="D457" si="8">MATCH(C457,auto_tblSeries_Header,0)</f>
        <v>26</v>
      </c>
    </row>
    <row r="458" spans="1:4" x14ac:dyDescent="0.4">
      <c r="A458" t="s">
        <v>227</v>
      </c>
      <c r="B458" cm="1">
        <f t="array" aca="1" ref="B458" ca="1">INDEX(auto_tblSeries,B452,D458)</f>
        <v>0</v>
      </c>
      <c r="C458" t="s">
        <v>151</v>
      </c>
      <c r="D458">
        <f t="shared" ref="D458" si="9">MATCH(C458,auto_tblSeries_Header,0)</f>
        <v>25</v>
      </c>
    </row>
    <row r="459" spans="1:4" x14ac:dyDescent="0.4">
      <c r="A459" t="s">
        <v>807</v>
      </c>
      <c r="B459" t="str" cm="1">
        <f t="array" aca="1" ref="B459" ca="1">IF(INDEX(auto_tblSeries,B452,D459)=0,"",INDEX(auto_tblSeries,B452,D459))</f>
        <v/>
      </c>
      <c r="C459" t="s">
        <v>473</v>
      </c>
      <c r="D459">
        <f t="shared" ref="D459" si="10">MATCH(C459,auto_tblSeries_Header,0)</f>
        <v>54</v>
      </c>
    </row>
    <row r="460" spans="1:4" x14ac:dyDescent="0.4">
      <c r="A460" t="s">
        <v>808</v>
      </c>
      <c r="B460" cm="1">
        <f t="array" aca="1" ref="B460" ca="1">INDEX(auto_tblSeries,B452,D460)</f>
        <v>0</v>
      </c>
      <c r="C460" t="s">
        <v>69</v>
      </c>
      <c r="D460">
        <f t="shared" ref="D460" si="11">MATCH(C460,auto_tblSeries_Header,0)</f>
        <v>34</v>
      </c>
    </row>
    <row r="461" spans="1:4" x14ac:dyDescent="0.4">
      <c r="A461" t="s">
        <v>809</v>
      </c>
      <c r="B461" t="str" cm="1">
        <f t="array" aca="1" ref="B461" ca="1">INDEX(auto_tblSeries,B452,D461)</f>
        <v>OVERALL</v>
      </c>
      <c r="C461" t="s">
        <v>37</v>
      </c>
      <c r="D461">
        <f t="shared" ref="D461" si="12">MATCH(C461,auto_tblSeries_Header,0)</f>
        <v>11</v>
      </c>
    </row>
    <row r="462" spans="1:4" x14ac:dyDescent="0.4">
      <c r="A462" t="s">
        <v>810</v>
      </c>
      <c r="B462" t="str" cm="1">
        <f t="array" aca="1" ref="B462" ca="1">INDEX(auto_tblSeries,B452,D462)</f>
        <v>OVERALL</v>
      </c>
      <c r="C462" t="s">
        <v>811</v>
      </c>
      <c r="D462">
        <f t="shared" ref="D462" si="13">MATCH(C462,auto_tblSeries_Header,0)</f>
        <v>50</v>
      </c>
    </row>
    <row r="463" spans="1:4" x14ac:dyDescent="0.4">
      <c r="A463" t="s">
        <v>812</v>
      </c>
      <c r="B463" t="str" cm="1">
        <f t="array" aca="1" ref="B463" ca="1">INDEX(auto_tblSeries,B452,D463)</f>
        <v>SCORE CALCULATION{NL}Weighted average of the following domain scores:{NL}{NL}1) SOCIAL DETERMINANTS{NL}2) PHYSICAL ENVIRONMENT{NL}3) HEALTH RISKS{NL}4) HEALTH SERVICES{NL}5) GOVERNANCE{NL}{NL}</v>
      </c>
      <c r="C463" t="s">
        <v>90</v>
      </c>
      <c r="D463">
        <f t="shared" ref="D463:D465" si="14">MATCH(C463,auto_tblSeries_Header,0)</f>
        <v>59</v>
      </c>
    </row>
    <row r="464" spans="1:4" x14ac:dyDescent="0.4">
      <c r="A464" t="s">
        <v>976</v>
      </c>
      <c r="B464" t="str" cm="1">
        <f t="array" aca="1" ref="B464" ca="1">INDEX(auto_tblSeries,B452,D464)</f>
        <v>Weighted average of the following domain scores:{NL}{NL}1) SOCIAL DETERMINANTS{NL}2) PHYSICAL ENVIRONMENT{NL}3) HEALTH RISKS{NL}4) HEALTH SERVICES{NL}5) GOVERNANCE</v>
      </c>
      <c r="C464" t="s">
        <v>89</v>
      </c>
      <c r="D464">
        <f t="shared" si="14"/>
        <v>58</v>
      </c>
    </row>
    <row r="465" spans="1:4" x14ac:dyDescent="0.4">
      <c r="A465" t="s">
        <v>977</v>
      </c>
      <c r="B465" cm="1">
        <f t="array" aca="1" ref="B465" ca="1">INDEX(auto_tblSeries,B452,D465)</f>
        <v>0</v>
      </c>
      <c r="C465" t="s">
        <v>88</v>
      </c>
      <c r="D465">
        <f t="shared" si="14"/>
        <v>15</v>
      </c>
    </row>
    <row r="466" spans="1:4" x14ac:dyDescent="0.4">
      <c r="A466" t="s">
        <v>813</v>
      </c>
      <c r="B466" t="str" cm="1">
        <f t="array" aca="1" ref="B466" ca="1">INDEX(auto_tblSeries,B452,D466)</f>
        <v>Score 0-100 where 100=most healthy environment</v>
      </c>
      <c r="C466" t="s">
        <v>21</v>
      </c>
      <c r="D466">
        <f t="shared" ref="D466" si="15">MATCH(C466,auto_tblSeries_Header,0)</f>
        <v>12</v>
      </c>
    </row>
    <row r="467" spans="1:4" x14ac:dyDescent="0.4">
      <c r="A467" t="s">
        <v>814</v>
      </c>
      <c r="B467" t="str" cm="1">
        <f t="array" aca="1" ref="B467" ca="1">INDEX(auto_tblSeries,B452,D467)</f>
        <v>#,0.0</v>
      </c>
      <c r="C467" t="s">
        <v>54</v>
      </c>
      <c r="D467">
        <f t="shared" ref="D467" si="16">MATCH(C467,auto_tblSeries_Header,0)</f>
        <v>51</v>
      </c>
    </row>
    <row r="468" spans="1:4" x14ac:dyDescent="0.4">
      <c r="A468" t="s">
        <v>815</v>
      </c>
      <c r="B468" cm="1">
        <f t="array" aca="1" ref="B468" ca="1">INDEX(auto_tblSeries,B452,D468)</f>
        <v>0</v>
      </c>
      <c r="C468" t="s">
        <v>85</v>
      </c>
      <c r="D468">
        <f t="shared" ref="D468" si="17">MATCH(C468,auto_tblSeries_Header,0)</f>
        <v>6</v>
      </c>
    </row>
    <row r="469" spans="1:4" x14ac:dyDescent="0.4">
      <c r="A469" t="s">
        <v>816</v>
      </c>
      <c r="B469" cm="1">
        <f t="array" aca="1" ref="B469" ca="1">INDEX(auto_tblSeries,B452,D469)</f>
        <v>0</v>
      </c>
      <c r="C469" t="s">
        <v>43</v>
      </c>
      <c r="D469">
        <f>MATCH(C469,auto_tblSeries_Header,0)</f>
        <v>29</v>
      </c>
    </row>
    <row r="470" spans="1:4" x14ac:dyDescent="0.4">
      <c r="A470" t="s">
        <v>817</v>
      </c>
      <c r="B470" cm="1">
        <f t="array" aca="1" ref="B470" ca="1">INDEX(auto_tblSeries,B452,D470)</f>
        <v>1</v>
      </c>
      <c r="C470" t="s">
        <v>83</v>
      </c>
      <c r="D470">
        <f t="shared" ref="D470" si="18">MATCH(C470,auto_tblSeries_Header,0)</f>
        <v>48</v>
      </c>
    </row>
    <row r="471" spans="1:4" x14ac:dyDescent="0.4">
      <c r="A471" t="s">
        <v>226</v>
      </c>
      <c r="B471">
        <f ca="1">IF(B470=1,1,-1)</f>
        <v>1</v>
      </c>
    </row>
    <row r="472" spans="1:4" x14ac:dyDescent="0.4">
      <c r="A472" t="s">
        <v>230</v>
      </c>
      <c r="B472" cm="1">
        <f t="array" aca="1" ref="B472" ca="1">INDEX(auto_tblSeries,B452,D472)</f>
        <v>1</v>
      </c>
      <c r="C472" t="s">
        <v>81</v>
      </c>
      <c r="D472">
        <f t="shared" ref="D472" si="19">MATCH(C472,auto_tblSeries_Header,0)</f>
        <v>22</v>
      </c>
    </row>
    <row r="473" spans="1:4" x14ac:dyDescent="0.4">
      <c r="A473" t="s">
        <v>1258</v>
      </c>
      <c r="B473" cm="1">
        <f t="array" aca="1" ref="B473" ca="1">INDEX(auto_tblSeries,B452,D473)</f>
        <v>0</v>
      </c>
      <c r="C473" t="s">
        <v>87</v>
      </c>
      <c r="D473">
        <f t="shared" ref="D473:D475" si="20">MATCH(C473,auto_tblSeries_Header,0)</f>
        <v>24</v>
      </c>
    </row>
    <row r="474" spans="1:4" x14ac:dyDescent="0.4">
      <c r="A474" t="s">
        <v>1233</v>
      </c>
      <c r="B474" cm="1">
        <f t="array" aca="1" ref="B474" ca="1">INDEX(auto_tblSeries,B452,D474)</f>
        <v>0</v>
      </c>
      <c r="C474" t="s">
        <v>91</v>
      </c>
      <c r="D474">
        <f t="shared" si="20"/>
        <v>8</v>
      </c>
    </row>
    <row r="475" spans="1:4" x14ac:dyDescent="0.4">
      <c r="A475" t="s">
        <v>1344</v>
      </c>
      <c r="B475" cm="1">
        <f t="array" aca="1" ref="B475" ca="1">INDEX(auto_tblSeries,B452,D475)</f>
        <v>0</v>
      </c>
      <c r="C475" t="s">
        <v>69</v>
      </c>
      <c r="D475">
        <f t="shared" si="20"/>
        <v>34</v>
      </c>
    </row>
    <row r="476" spans="1:4" x14ac:dyDescent="0.4">
      <c r="A476" t="s">
        <v>1344</v>
      </c>
      <c r="B476" t="str" cm="1">
        <f t="array" aca="1" ref="B476" ca="1">INDEX(auto_tblSeries,B452,D476)</f>
        <v>Economist Impact calculation</v>
      </c>
      <c r="C476" t="s">
        <v>4</v>
      </c>
      <c r="D476">
        <f t="shared" ref="D476" si="21">MATCH(C476,auto_tblSeries_Header,0)</f>
        <v>13</v>
      </c>
    </row>
    <row r="477" spans="1:4" x14ac:dyDescent="0.4">
      <c r="A477" t="s">
        <v>1336</v>
      </c>
    </row>
    <row r="478" spans="1:4" x14ac:dyDescent="0.4">
      <c r="A478" t="s">
        <v>1337</v>
      </c>
      <c r="B478" cm="1">
        <f t="array" ref="B478">IF($B387=0,-1,INDEX(sys_DataFlat_LU_Grid,$B$452,$B$387))</f>
        <v>-1</v>
      </c>
    </row>
    <row r="479" spans="1:4" x14ac:dyDescent="0.4">
      <c r="A479" t="s">
        <v>1342</v>
      </c>
      <c r="B479" t="e" cm="1">
        <f t="array" ref="B479">INDEX(auto_DataFlat_DataValue,B478)</f>
        <v>#VALUE!</v>
      </c>
    </row>
    <row r="480" spans="1:4" x14ac:dyDescent="0.4">
      <c r="A480" t="s">
        <v>1343</v>
      </c>
      <c r="B480" t="str">
        <f ca="1">IF(B468=1,B475,"")</f>
        <v/>
      </c>
      <c r="C480" t="str">
        <f ca="1">IF(OR(B480=0,B480="n/a",B480=""),"",CONCATENATE(B480,"{NL}{NL}"))</f>
        <v/>
      </c>
    </row>
    <row r="481" spans="1:4" x14ac:dyDescent="0.4">
      <c r="A481" t="s">
        <v>1341</v>
      </c>
      <c r="B481" t="str" cm="1">
        <f t="array" aca="1" ref="B481" ca="1">IF($B$468=0,"",IFERROR(INDEX(auto_Series_MultipleChoiceOptions,$B$452,B479+1),"n/a"))</f>
        <v/>
      </c>
      <c r="C481" t="str">
        <f ca="1">IF($B$468=0,"",IF(OR(B481=0,B481="n/a",B481=""),"n/a{NL}{NL}",CONCATENATE(B481,"{NL}{NL}")))</f>
        <v/>
      </c>
    </row>
    <row r="482" spans="1:4" x14ac:dyDescent="0.4">
      <c r="A482" t="s">
        <v>1338</v>
      </c>
      <c r="B482" t="e" cm="1">
        <f t="array" ref="B482">IF(INDEX(auto_DataFlat_Justification,B478)=0,"",INDEX(auto_DataFlat_Justification,B478))</f>
        <v>#VALUE!</v>
      </c>
      <c r="C482" t="e">
        <f>IF(OR(B482=0,B482="n/a",B482=""),"",CONCATENATE(B482,"{NL}{NL}"))</f>
        <v>#VALUE!</v>
      </c>
    </row>
    <row r="483" spans="1:4" x14ac:dyDescent="0.4">
      <c r="A483" t="s">
        <v>1340</v>
      </c>
      <c r="B483" t="e" cm="1">
        <f t="array" ref="B483">IF(INDEX(auto_DataFlat_References,B478)=0,"",INDEX(auto_DataFlat_References,B478))</f>
        <v>#VALUE!</v>
      </c>
      <c r="C483" t="e">
        <f>B483</f>
        <v>#VALUE!</v>
      </c>
    </row>
    <row r="484" spans="1:4" x14ac:dyDescent="0.4">
      <c r="A484" t="s">
        <v>1339</v>
      </c>
      <c r="B484" t="e">
        <f ca="1">CONCATENATE(C480,C481,C482,C483)</f>
        <v>#VALUE!</v>
      </c>
    </row>
    <row r="485" spans="1:4" x14ac:dyDescent="0.4">
      <c r="A485" t="s">
        <v>1367</v>
      </c>
      <c r="B485" t="e" cm="1">
        <f t="array" ref="B485">IF(INDEX(auto_DataFlat_Summaries,B478)=0,"",INDEX(auto_DataFlat_Summaries,B478))</f>
        <v>#VALUE!</v>
      </c>
    </row>
    <row r="487" spans="1:4" x14ac:dyDescent="0.4">
      <c r="A487" t="s">
        <v>1370</v>
      </c>
      <c r="B487" t="e">
        <f>CONCATENATE(B485,CHAR(10),CHAR(10),B483)</f>
        <v>#VALUE!</v>
      </c>
    </row>
    <row r="488" spans="1:4" x14ac:dyDescent="0.4">
      <c r="A488" t="s">
        <v>1602</v>
      </c>
    </row>
    <row r="489" spans="1:4" x14ac:dyDescent="0.4">
      <c r="A489" t="s">
        <v>1032</v>
      </c>
      <c r="B489">
        <f>$B$289</f>
        <v>1</v>
      </c>
    </row>
    <row r="490" spans="1:4" x14ac:dyDescent="0.4">
      <c r="A490" t="s">
        <v>1033</v>
      </c>
      <c r="B490" cm="1">
        <f t="array" aca="1" ref="B490" ca="1">INDEX(OFFSET(auto_ss_HighLevel,0,1,500,1),B489)</f>
        <v>1</v>
      </c>
    </row>
    <row r="491" spans="1:4" x14ac:dyDescent="0.4">
      <c r="A491" t="s">
        <v>1034</v>
      </c>
      <c r="B491" t="str" cm="1">
        <f t="array" aca="1" ref="B491" ca="1">INDEX(auto_Series_Code,B490)</f>
        <v>OVERALL</v>
      </c>
    </row>
    <row r="492" spans="1:4" x14ac:dyDescent="0.4">
      <c r="A492" t="s">
        <v>1035</v>
      </c>
      <c r="B492" cm="1">
        <f t="array" aca="1" ref="B492" ca="1">INDEX(auto_tblSeries,B490,D492)</f>
        <v>0</v>
      </c>
      <c r="C492" t="s">
        <v>35</v>
      </c>
      <c r="D492">
        <f t="shared" ref="D492:D506" si="22">MATCH(C492,auto_tblSeries_Header,0)</f>
        <v>5</v>
      </c>
    </row>
    <row r="493" spans="1:4" x14ac:dyDescent="0.4">
      <c r="A493" t="s">
        <v>1036</v>
      </c>
      <c r="B493" cm="1">
        <f t="array" aca="1" ref="B493" ca="1">INDEX(auto_tblSeries,B490,D493)</f>
        <v>0</v>
      </c>
      <c r="C493" t="s">
        <v>153</v>
      </c>
      <c r="D493">
        <f t="shared" si="22"/>
        <v>7</v>
      </c>
    </row>
    <row r="494" spans="1:4" x14ac:dyDescent="0.4">
      <c r="A494" t="s">
        <v>1037</v>
      </c>
      <c r="B494" cm="1">
        <f t="array" aca="1" ref="B494" ca="1">INDEX(auto_tblSeries,B490,D494)</f>
        <v>0</v>
      </c>
      <c r="C494" t="s">
        <v>29</v>
      </c>
      <c r="D494">
        <f t="shared" si="22"/>
        <v>4</v>
      </c>
    </row>
    <row r="495" spans="1:4" x14ac:dyDescent="0.4">
      <c r="A495" t="s">
        <v>1038</v>
      </c>
      <c r="B495" t="str" cm="1">
        <f t="array" aca="1" ref="B495" ca="1">INDEX(auto_tblSeries,B490,D495)</f>
        <v>HIGH=GOOD</v>
      </c>
      <c r="C495" t="s">
        <v>40</v>
      </c>
      <c r="D495">
        <f t="shared" si="22"/>
        <v>26</v>
      </c>
    </row>
    <row r="496" spans="1:4" x14ac:dyDescent="0.4">
      <c r="A496" t="s">
        <v>1039</v>
      </c>
      <c r="B496" cm="1">
        <f t="array" aca="1" ref="B496" ca="1">INDEX(auto_tblSeries,B490,D496)</f>
        <v>0</v>
      </c>
      <c r="C496" t="s">
        <v>151</v>
      </c>
      <c r="D496">
        <f t="shared" si="22"/>
        <v>25</v>
      </c>
    </row>
    <row r="497" spans="1:4" x14ac:dyDescent="0.4">
      <c r="A497" t="s">
        <v>1040</v>
      </c>
      <c r="B497" t="str" cm="1">
        <f t="array" aca="1" ref="B497" ca="1">IF(INDEX(auto_tblSeries,B490,D497)=0,"",INDEX(auto_tblSeries,B490,D497))</f>
        <v/>
      </c>
      <c r="C497" t="s">
        <v>473</v>
      </c>
      <c r="D497">
        <f t="shared" si="22"/>
        <v>54</v>
      </c>
    </row>
    <row r="498" spans="1:4" x14ac:dyDescent="0.4">
      <c r="A498" t="s">
        <v>1041</v>
      </c>
      <c r="B498" cm="1">
        <f t="array" aca="1" ref="B498" ca="1">INDEX(auto_tblSeries,B490,D498)</f>
        <v>0</v>
      </c>
      <c r="C498" t="s">
        <v>69</v>
      </c>
      <c r="D498">
        <f t="shared" si="22"/>
        <v>34</v>
      </c>
    </row>
    <row r="499" spans="1:4" x14ac:dyDescent="0.4">
      <c r="A499" t="s">
        <v>1042</v>
      </c>
      <c r="B499" t="str" cm="1">
        <f t="array" aca="1" ref="B499" ca="1">INDEX(auto_tblSeries,B490,D499)</f>
        <v>OVERALL</v>
      </c>
      <c r="C499" t="s">
        <v>37</v>
      </c>
      <c r="D499">
        <f t="shared" si="22"/>
        <v>11</v>
      </c>
    </row>
    <row r="500" spans="1:4" x14ac:dyDescent="0.4">
      <c r="A500" t="s">
        <v>1043</v>
      </c>
      <c r="B500" t="str" cm="1">
        <f t="array" aca="1" ref="B500" ca="1">INDEX(auto_tblSeries,B490,D500)</f>
        <v>OVERALL</v>
      </c>
      <c r="C500" t="s">
        <v>811</v>
      </c>
      <c r="D500">
        <f t="shared" si="22"/>
        <v>50</v>
      </c>
    </row>
    <row r="501" spans="1:4" x14ac:dyDescent="0.4">
      <c r="A501" t="s">
        <v>1044</v>
      </c>
      <c r="B501" t="str" cm="1">
        <f t="array" aca="1" ref="B501" ca="1">INDEX(auto_tblSeries,B490,D501)</f>
        <v>SCORE CALCULATION{NL}Weighted average of the following domain scores:{NL}{NL}1) SOCIAL DETERMINANTS{NL}2) PHYSICAL ENVIRONMENT{NL}3) HEALTH RISKS{NL}4) HEALTH SERVICES{NL}5) GOVERNANCE{NL}{NL}</v>
      </c>
      <c r="C501" t="s">
        <v>90</v>
      </c>
      <c r="D501">
        <f t="shared" si="22"/>
        <v>59</v>
      </c>
    </row>
    <row r="502" spans="1:4" x14ac:dyDescent="0.4">
      <c r="A502" t="s">
        <v>1045</v>
      </c>
      <c r="B502" t="str" cm="1">
        <f t="array" aca="1" ref="B502" ca="1">INDEX(auto_tblSeries,B490,D502)</f>
        <v>Weighted average of the following domain scores:{NL}{NL}1) SOCIAL DETERMINANTS{NL}2) PHYSICAL ENVIRONMENT{NL}3) HEALTH RISKS{NL}4) HEALTH SERVICES{NL}5) GOVERNANCE</v>
      </c>
      <c r="C502" t="s">
        <v>89</v>
      </c>
      <c r="D502">
        <f t="shared" si="22"/>
        <v>58</v>
      </c>
    </row>
    <row r="503" spans="1:4" x14ac:dyDescent="0.4">
      <c r="A503" t="s">
        <v>1046</v>
      </c>
      <c r="B503" cm="1">
        <f t="array" aca="1" ref="B503" ca="1">INDEX(auto_tblSeries,B490,D503)</f>
        <v>0</v>
      </c>
      <c r="C503" t="s">
        <v>88</v>
      </c>
      <c r="D503">
        <f t="shared" si="22"/>
        <v>15</v>
      </c>
    </row>
    <row r="504" spans="1:4" x14ac:dyDescent="0.4">
      <c r="A504" t="s">
        <v>1047</v>
      </c>
      <c r="B504" t="str" cm="1">
        <f t="array" aca="1" ref="B504" ca="1">INDEX(auto_tblSeries,B490,D504)</f>
        <v>Score 0-100 where 100=most healthy environment</v>
      </c>
      <c r="C504" t="s">
        <v>21</v>
      </c>
      <c r="D504">
        <f t="shared" si="22"/>
        <v>12</v>
      </c>
    </row>
    <row r="505" spans="1:4" x14ac:dyDescent="0.4">
      <c r="A505" t="s">
        <v>1048</v>
      </c>
      <c r="B505" t="str" cm="1">
        <f t="array" aca="1" ref="B505" ca="1">INDEX(auto_tblSeries,B490,D505)</f>
        <v>#,0.0</v>
      </c>
      <c r="C505" t="s">
        <v>54</v>
      </c>
      <c r="D505">
        <f t="shared" si="22"/>
        <v>51</v>
      </c>
    </row>
    <row r="506" spans="1:4" x14ac:dyDescent="0.4">
      <c r="A506" t="s">
        <v>1049</v>
      </c>
      <c r="B506" cm="1">
        <f t="array" aca="1" ref="B506" ca="1">INDEX(auto_tblSeries,B490,D506)</f>
        <v>0</v>
      </c>
      <c r="C506" t="s">
        <v>85</v>
      </c>
      <c r="D506">
        <f t="shared" si="22"/>
        <v>6</v>
      </c>
    </row>
    <row r="507" spans="1:4" x14ac:dyDescent="0.4">
      <c r="A507" t="s">
        <v>1050</v>
      </c>
      <c r="B507" cm="1">
        <f t="array" aca="1" ref="B507" ca="1">INDEX(auto_tblSeries,B490,D507)</f>
        <v>0</v>
      </c>
      <c r="C507" t="s">
        <v>43</v>
      </c>
      <c r="D507">
        <f>MATCH(C507,auto_tblSeries_Header,0)</f>
        <v>29</v>
      </c>
    </row>
    <row r="508" spans="1:4" x14ac:dyDescent="0.4">
      <c r="A508" t="s">
        <v>1051</v>
      </c>
      <c r="B508" cm="1">
        <f t="array" aca="1" ref="B508" ca="1">INDEX(auto_tblSeries,B490,D508)</f>
        <v>1</v>
      </c>
      <c r="C508" t="s">
        <v>83</v>
      </c>
      <c r="D508">
        <f t="shared" ref="D508" si="23">MATCH(C508,auto_tblSeries_Header,0)</f>
        <v>48</v>
      </c>
    </row>
    <row r="509" spans="1:4" x14ac:dyDescent="0.4">
      <c r="A509" t="s">
        <v>1052</v>
      </c>
      <c r="B509">
        <f ca="1">IF(B508=1,1,-1)</f>
        <v>1</v>
      </c>
    </row>
    <row r="510" spans="1:4" x14ac:dyDescent="0.4">
      <c r="A510" t="s">
        <v>1053</v>
      </c>
      <c r="B510" cm="1">
        <f t="array" aca="1" ref="B510" ca="1">INDEX(auto_tblSeries,B490,D510)</f>
        <v>1</v>
      </c>
      <c r="C510" t="s">
        <v>81</v>
      </c>
      <c r="D510">
        <f t="shared" ref="D510:D511" si="24">MATCH(C510,auto_tblSeries_Header,0)</f>
        <v>22</v>
      </c>
    </row>
    <row r="511" spans="1:4" x14ac:dyDescent="0.4">
      <c r="A511" t="s">
        <v>1281</v>
      </c>
      <c r="B511" cm="1">
        <f t="array" aca="1" ref="B511" ca="1">INDEX(auto_tblSeries,B490,D511)</f>
        <v>0</v>
      </c>
      <c r="C511" t="s">
        <v>87</v>
      </c>
      <c r="D511">
        <f t="shared" si="24"/>
        <v>24</v>
      </c>
    </row>
    <row r="512" spans="1:4" x14ac:dyDescent="0.4">
      <c r="A512" t="s">
        <v>1603</v>
      </c>
    </row>
    <row r="513" spans="1:4" x14ac:dyDescent="0.4">
      <c r="A513" t="s">
        <v>1604</v>
      </c>
      <c r="B513">
        <f>B290</f>
        <v>1</v>
      </c>
    </row>
    <row r="514" spans="1:4" x14ac:dyDescent="0.4">
      <c r="A514" t="s">
        <v>1601</v>
      </c>
      <c r="B514" cm="1">
        <f t="array" aca="1" ref="B514" ca="1">INDEX(OFFSET(auto_ss_HighLevel,0,1,500,1),B513)</f>
        <v>1</v>
      </c>
    </row>
    <row r="515" spans="1:4" x14ac:dyDescent="0.4">
      <c r="A515" t="s">
        <v>1605</v>
      </c>
      <c r="B515" t="str" cm="1">
        <f t="array" aca="1" ref="B515" ca="1">INDEX(auto_Series_Code,B514)</f>
        <v>OVERALL</v>
      </c>
    </row>
    <row r="516" spans="1:4" x14ac:dyDescent="0.4">
      <c r="A516" t="s">
        <v>1606</v>
      </c>
      <c r="B516" cm="1">
        <f t="array" aca="1" ref="B516" ca="1">INDEX(auto_tblSeries,B514,D516)</f>
        <v>0</v>
      </c>
      <c r="C516" t="s">
        <v>35</v>
      </c>
      <c r="D516">
        <f t="shared" ref="D516:D530" si="25">MATCH(C516,auto_tblSeries_Header,0)</f>
        <v>5</v>
      </c>
    </row>
    <row r="517" spans="1:4" x14ac:dyDescent="0.4">
      <c r="A517" t="s">
        <v>1607</v>
      </c>
      <c r="B517" cm="1">
        <f t="array" aca="1" ref="B517" ca="1">INDEX(auto_tblSeries,B514,D517)</f>
        <v>0</v>
      </c>
      <c r="C517" t="s">
        <v>153</v>
      </c>
      <c r="D517">
        <f t="shared" si="25"/>
        <v>7</v>
      </c>
    </row>
    <row r="518" spans="1:4" x14ac:dyDescent="0.4">
      <c r="A518" t="s">
        <v>1608</v>
      </c>
      <c r="B518" cm="1">
        <f t="array" aca="1" ref="B518" ca="1">INDEX(auto_tblSeries,B514,D518)</f>
        <v>0</v>
      </c>
      <c r="C518" t="s">
        <v>29</v>
      </c>
      <c r="D518">
        <f t="shared" si="25"/>
        <v>4</v>
      </c>
    </row>
    <row r="519" spans="1:4" x14ac:dyDescent="0.4">
      <c r="A519" t="s">
        <v>1609</v>
      </c>
      <c r="B519" t="str" cm="1">
        <f t="array" aca="1" ref="B519" ca="1">INDEX(auto_tblSeries,B514,D519)</f>
        <v>HIGH=GOOD</v>
      </c>
      <c r="C519" t="s">
        <v>40</v>
      </c>
      <c r="D519">
        <f t="shared" si="25"/>
        <v>26</v>
      </c>
    </row>
    <row r="520" spans="1:4" x14ac:dyDescent="0.4">
      <c r="A520" t="s">
        <v>1610</v>
      </c>
      <c r="B520" cm="1">
        <f t="array" aca="1" ref="B520" ca="1">INDEX(auto_tblSeries,B514,D520)</f>
        <v>0</v>
      </c>
      <c r="C520" t="s">
        <v>151</v>
      </c>
      <c r="D520">
        <f t="shared" si="25"/>
        <v>25</v>
      </c>
    </row>
    <row r="521" spans="1:4" x14ac:dyDescent="0.4">
      <c r="A521" t="s">
        <v>1611</v>
      </c>
      <c r="B521" t="str" cm="1">
        <f t="array" aca="1" ref="B521" ca="1">IF(INDEX(auto_tblSeries,B514,D521)=0,"",INDEX(auto_tblSeries,B514,D521))</f>
        <v/>
      </c>
      <c r="C521" t="s">
        <v>473</v>
      </c>
      <c r="D521">
        <f t="shared" si="25"/>
        <v>54</v>
      </c>
    </row>
    <row r="522" spans="1:4" x14ac:dyDescent="0.4">
      <c r="A522" t="s">
        <v>1612</v>
      </c>
      <c r="B522" cm="1">
        <f t="array" aca="1" ref="B522" ca="1">INDEX(auto_tblSeries,B514,D522)</f>
        <v>0</v>
      </c>
      <c r="C522" t="s">
        <v>69</v>
      </c>
      <c r="D522">
        <f t="shared" si="25"/>
        <v>34</v>
      </c>
    </row>
    <row r="523" spans="1:4" x14ac:dyDescent="0.4">
      <c r="A523" t="s">
        <v>1613</v>
      </c>
      <c r="B523" t="str" cm="1">
        <f t="array" aca="1" ref="B523" ca="1">INDEX(auto_tblSeries,B514,D523)</f>
        <v>OVERALL</v>
      </c>
      <c r="C523" t="s">
        <v>37</v>
      </c>
      <c r="D523">
        <f t="shared" si="25"/>
        <v>11</v>
      </c>
    </row>
    <row r="524" spans="1:4" x14ac:dyDescent="0.4">
      <c r="A524" t="s">
        <v>1614</v>
      </c>
      <c r="B524" t="str" cm="1">
        <f t="array" aca="1" ref="B524" ca="1">INDEX(auto_tblSeries,B514,D524)</f>
        <v>OVERALL</v>
      </c>
      <c r="C524" t="s">
        <v>811</v>
      </c>
      <c r="D524">
        <f t="shared" si="25"/>
        <v>50</v>
      </c>
    </row>
    <row r="525" spans="1:4" x14ac:dyDescent="0.4">
      <c r="A525" t="s">
        <v>1615</v>
      </c>
      <c r="B525" t="str" cm="1">
        <f t="array" aca="1" ref="B525" ca="1">INDEX(auto_tblSeries,B514,D525)</f>
        <v>SCORE CALCULATION{NL}Weighted average of the following domain scores:{NL}{NL}1) SOCIAL DETERMINANTS{NL}2) PHYSICAL ENVIRONMENT{NL}3) HEALTH RISKS{NL}4) HEALTH SERVICES{NL}5) GOVERNANCE{NL}{NL}</v>
      </c>
      <c r="C525" t="s">
        <v>90</v>
      </c>
      <c r="D525">
        <f t="shared" si="25"/>
        <v>59</v>
      </c>
    </row>
    <row r="526" spans="1:4" x14ac:dyDescent="0.4">
      <c r="A526" t="s">
        <v>1616</v>
      </c>
      <c r="B526" t="str" cm="1">
        <f t="array" aca="1" ref="B526" ca="1">INDEX(auto_tblSeries,B514,D526)</f>
        <v>Weighted average of the following domain scores:{NL}{NL}1) SOCIAL DETERMINANTS{NL}2) PHYSICAL ENVIRONMENT{NL}3) HEALTH RISKS{NL}4) HEALTH SERVICES{NL}5) GOVERNANCE</v>
      </c>
      <c r="C526" t="s">
        <v>89</v>
      </c>
      <c r="D526">
        <f t="shared" si="25"/>
        <v>58</v>
      </c>
    </row>
    <row r="527" spans="1:4" x14ac:dyDescent="0.4">
      <c r="A527" t="s">
        <v>1617</v>
      </c>
      <c r="B527" cm="1">
        <f t="array" aca="1" ref="B527" ca="1">INDEX(auto_tblSeries,B514,D527)</f>
        <v>0</v>
      </c>
      <c r="C527" t="s">
        <v>88</v>
      </c>
      <c r="D527">
        <f t="shared" si="25"/>
        <v>15</v>
      </c>
    </row>
    <row r="528" spans="1:4" x14ac:dyDescent="0.4">
      <c r="A528" t="s">
        <v>1618</v>
      </c>
      <c r="B528" t="str" cm="1">
        <f t="array" aca="1" ref="B528" ca="1">INDEX(auto_tblSeries,B514,D528)</f>
        <v>Score 0-100 where 100=most healthy environment</v>
      </c>
      <c r="C528" t="s">
        <v>21</v>
      </c>
      <c r="D528">
        <f t="shared" si="25"/>
        <v>12</v>
      </c>
    </row>
    <row r="529" spans="1:4" x14ac:dyDescent="0.4">
      <c r="A529" t="s">
        <v>1619</v>
      </c>
      <c r="B529" t="str" cm="1">
        <f t="array" aca="1" ref="B529" ca="1">INDEX(auto_tblSeries,B514,D529)</f>
        <v>#,0.0</v>
      </c>
      <c r="C529" t="s">
        <v>54</v>
      </c>
      <c r="D529">
        <f t="shared" si="25"/>
        <v>51</v>
      </c>
    </row>
    <row r="530" spans="1:4" x14ac:dyDescent="0.4">
      <c r="A530" t="s">
        <v>1620</v>
      </c>
      <c r="B530" cm="1">
        <f t="array" aca="1" ref="B530" ca="1">INDEX(auto_tblSeries,B514,D530)</f>
        <v>0</v>
      </c>
      <c r="C530" t="s">
        <v>85</v>
      </c>
      <c r="D530">
        <f t="shared" si="25"/>
        <v>6</v>
      </c>
    </row>
    <row r="531" spans="1:4" x14ac:dyDescent="0.4">
      <c r="A531" t="s">
        <v>1621</v>
      </c>
      <c r="B531" cm="1">
        <f t="array" aca="1" ref="B531" ca="1">INDEX(auto_tblSeries,B514,D531)</f>
        <v>0</v>
      </c>
      <c r="C531" t="s">
        <v>43</v>
      </c>
      <c r="D531">
        <f>MATCH(C531,auto_tblSeries_Header,0)</f>
        <v>29</v>
      </c>
    </row>
    <row r="532" spans="1:4" x14ac:dyDescent="0.4">
      <c r="A532" t="s">
        <v>1622</v>
      </c>
      <c r="B532" cm="1">
        <f t="array" aca="1" ref="B532" ca="1">INDEX(auto_tblSeries,B514,D532)</f>
        <v>1</v>
      </c>
      <c r="C532" t="s">
        <v>83</v>
      </c>
      <c r="D532">
        <f t="shared" ref="D532" si="26">MATCH(C532,auto_tblSeries_Header,0)</f>
        <v>48</v>
      </c>
    </row>
    <row r="533" spans="1:4" x14ac:dyDescent="0.4">
      <c r="A533" t="s">
        <v>1623</v>
      </c>
      <c r="B533">
        <f ca="1">IF(B532=1,1,-1)</f>
        <v>1</v>
      </c>
    </row>
    <row r="534" spans="1:4" x14ac:dyDescent="0.4">
      <c r="A534" t="s">
        <v>1624</v>
      </c>
      <c r="B534" cm="1">
        <f t="array" aca="1" ref="B534" ca="1">INDEX(auto_tblSeries,B514,D534)</f>
        <v>1</v>
      </c>
      <c r="C534" t="s">
        <v>81</v>
      </c>
      <c r="D534">
        <f t="shared" ref="D534:D535" si="27">MATCH(C534,auto_tblSeries_Header,0)</f>
        <v>22</v>
      </c>
    </row>
    <row r="535" spans="1:4" x14ac:dyDescent="0.4">
      <c r="A535" t="s">
        <v>1625</v>
      </c>
      <c r="B535" cm="1">
        <f t="array" aca="1" ref="B535" ca="1">INDEX(auto_tblSeries,B514,D535)</f>
        <v>0</v>
      </c>
      <c r="C535" t="s">
        <v>87</v>
      </c>
      <c r="D535">
        <f t="shared" si="27"/>
        <v>24</v>
      </c>
    </row>
    <row r="536" spans="1:4" x14ac:dyDescent="0.4">
      <c r="A536" t="s">
        <v>1472</v>
      </c>
    </row>
    <row r="537" spans="1:4" x14ac:dyDescent="0.4">
      <c r="A537" t="s">
        <v>1473</v>
      </c>
      <c r="B537">
        <f>$B$299</f>
        <v>1</v>
      </c>
    </row>
    <row r="538" spans="1:4" x14ac:dyDescent="0.4">
      <c r="A538" t="s">
        <v>1474</v>
      </c>
      <c r="B538" cm="1">
        <f t="array" aca="1" ref="B538" ca="1">INDEX(OFFSET(auto_ss_depth_3_or_below,0,1,500,1),B537)</f>
        <v>1</v>
      </c>
    </row>
    <row r="539" spans="1:4" x14ac:dyDescent="0.4">
      <c r="A539" t="s">
        <v>1475</v>
      </c>
      <c r="B539" t="str" cm="1">
        <f t="array" aca="1" ref="B539" ca="1">INDEX(auto_Series_Code,B538)</f>
        <v>OVERALL</v>
      </c>
    </row>
    <row r="540" spans="1:4" x14ac:dyDescent="0.4">
      <c r="A540" t="s">
        <v>1476</v>
      </c>
      <c r="B540" cm="1">
        <f t="array" aca="1" ref="B540" ca="1">INDEX(auto_tblSeries,B538,D540)</f>
        <v>0</v>
      </c>
      <c r="C540" t="s">
        <v>35</v>
      </c>
      <c r="D540">
        <f t="shared" ref="D540:D554" si="28">MATCH(C540,auto_tblSeries_Header,0)</f>
        <v>5</v>
      </c>
    </row>
    <row r="541" spans="1:4" x14ac:dyDescent="0.4">
      <c r="A541" t="s">
        <v>1477</v>
      </c>
      <c r="B541" cm="1">
        <f t="array" aca="1" ref="B541" ca="1">INDEX(auto_tblSeries,B538,D541)</f>
        <v>0</v>
      </c>
      <c r="C541" t="s">
        <v>153</v>
      </c>
      <c r="D541">
        <f t="shared" si="28"/>
        <v>7</v>
      </c>
    </row>
    <row r="542" spans="1:4" x14ac:dyDescent="0.4">
      <c r="A542" t="s">
        <v>1478</v>
      </c>
      <c r="B542" cm="1">
        <f t="array" aca="1" ref="B542" ca="1">INDEX(auto_tblSeries,B538,D542)</f>
        <v>0</v>
      </c>
      <c r="C542" t="s">
        <v>29</v>
      </c>
      <c r="D542">
        <f t="shared" si="28"/>
        <v>4</v>
      </c>
    </row>
    <row r="543" spans="1:4" x14ac:dyDescent="0.4">
      <c r="A543" t="s">
        <v>1479</v>
      </c>
      <c r="B543" t="str" cm="1">
        <f t="array" aca="1" ref="B543" ca="1">INDEX(auto_tblSeries,B538,D543)</f>
        <v>HIGH=GOOD</v>
      </c>
      <c r="C543" t="s">
        <v>40</v>
      </c>
      <c r="D543">
        <f t="shared" si="28"/>
        <v>26</v>
      </c>
    </row>
    <row r="544" spans="1:4" x14ac:dyDescent="0.4">
      <c r="A544" t="s">
        <v>1480</v>
      </c>
      <c r="B544" cm="1">
        <f t="array" aca="1" ref="B544" ca="1">INDEX(auto_tblSeries,B538,D544)</f>
        <v>0</v>
      </c>
      <c r="C544" t="s">
        <v>151</v>
      </c>
      <c r="D544">
        <f t="shared" si="28"/>
        <v>25</v>
      </c>
    </row>
    <row r="545" spans="1:4" x14ac:dyDescent="0.4">
      <c r="A545" t="s">
        <v>1481</v>
      </c>
      <c r="B545" t="str" cm="1">
        <f t="array" aca="1" ref="B545" ca="1">IF(INDEX(auto_tblSeries,B538,D545)=0,"",INDEX(auto_tblSeries,B538,D545))</f>
        <v/>
      </c>
      <c r="C545" t="s">
        <v>473</v>
      </c>
      <c r="D545">
        <f t="shared" si="28"/>
        <v>54</v>
      </c>
    </row>
    <row r="546" spans="1:4" x14ac:dyDescent="0.4">
      <c r="A546" t="s">
        <v>1482</v>
      </c>
      <c r="B546" cm="1">
        <f t="array" aca="1" ref="B546" ca="1">INDEX(auto_tblSeries,B538,D546)</f>
        <v>0</v>
      </c>
      <c r="C546" t="s">
        <v>69</v>
      </c>
      <c r="D546">
        <f t="shared" si="28"/>
        <v>34</v>
      </c>
    </row>
    <row r="547" spans="1:4" x14ac:dyDescent="0.4">
      <c r="A547" t="s">
        <v>1483</v>
      </c>
      <c r="B547" t="str" cm="1">
        <f t="array" aca="1" ref="B547" ca="1">INDEX(auto_tblSeries,B538,D547)</f>
        <v>OVERALL</v>
      </c>
      <c r="C547" t="s">
        <v>37</v>
      </c>
      <c r="D547">
        <f t="shared" si="28"/>
        <v>11</v>
      </c>
    </row>
    <row r="548" spans="1:4" x14ac:dyDescent="0.4">
      <c r="A548" t="s">
        <v>1484</v>
      </c>
      <c r="B548" t="str" cm="1">
        <f t="array" aca="1" ref="B548" ca="1">INDEX(auto_tblSeries,B538,D548)</f>
        <v>OVERALL</v>
      </c>
      <c r="C548" t="s">
        <v>811</v>
      </c>
      <c r="D548">
        <f t="shared" si="28"/>
        <v>50</v>
      </c>
    </row>
    <row r="549" spans="1:4" x14ac:dyDescent="0.4">
      <c r="A549" t="s">
        <v>1485</v>
      </c>
      <c r="B549" t="str" cm="1">
        <f t="array" aca="1" ref="B549" ca="1">INDEX(auto_tblSeries,B538,D549)</f>
        <v>SCORE CALCULATION{NL}Weighted average of the following domain scores:{NL}{NL}1) SOCIAL DETERMINANTS{NL}2) PHYSICAL ENVIRONMENT{NL}3) HEALTH RISKS{NL}4) HEALTH SERVICES{NL}5) GOVERNANCE{NL}{NL}</v>
      </c>
      <c r="C549" t="s">
        <v>90</v>
      </c>
      <c r="D549">
        <f t="shared" si="28"/>
        <v>59</v>
      </c>
    </row>
    <row r="550" spans="1:4" x14ac:dyDescent="0.4">
      <c r="A550" t="s">
        <v>1486</v>
      </c>
      <c r="B550" t="str" cm="1">
        <f t="array" aca="1" ref="B550" ca="1">INDEX(auto_tblSeries,B538,D550)</f>
        <v>Weighted average of the following domain scores:{NL}{NL}1) SOCIAL DETERMINANTS{NL}2) PHYSICAL ENVIRONMENT{NL}3) HEALTH RISKS{NL}4) HEALTH SERVICES{NL}5) GOVERNANCE</v>
      </c>
      <c r="C550" t="s">
        <v>89</v>
      </c>
      <c r="D550">
        <f t="shared" si="28"/>
        <v>58</v>
      </c>
    </row>
    <row r="551" spans="1:4" x14ac:dyDescent="0.4">
      <c r="A551" t="s">
        <v>1487</v>
      </c>
      <c r="B551" cm="1">
        <f t="array" aca="1" ref="B551" ca="1">INDEX(auto_tblSeries,B538,D551)</f>
        <v>0</v>
      </c>
      <c r="C551" t="s">
        <v>88</v>
      </c>
      <c r="D551">
        <f t="shared" si="28"/>
        <v>15</v>
      </c>
    </row>
    <row r="552" spans="1:4" x14ac:dyDescent="0.4">
      <c r="A552" t="s">
        <v>1488</v>
      </c>
      <c r="B552" t="str" cm="1">
        <f t="array" aca="1" ref="B552" ca="1">INDEX(auto_tblSeries,B538,D552)</f>
        <v>Score 0-100 where 100=most healthy environment</v>
      </c>
      <c r="C552" t="s">
        <v>21</v>
      </c>
      <c r="D552">
        <f t="shared" si="28"/>
        <v>12</v>
      </c>
    </row>
    <row r="553" spans="1:4" x14ac:dyDescent="0.4">
      <c r="A553" t="s">
        <v>1489</v>
      </c>
      <c r="B553" t="str" cm="1">
        <f t="array" aca="1" ref="B553" ca="1">INDEX(auto_tblSeries,B538,D553)</f>
        <v>#,0.0</v>
      </c>
      <c r="C553" t="s">
        <v>54</v>
      </c>
      <c r="D553">
        <f t="shared" si="28"/>
        <v>51</v>
      </c>
    </row>
    <row r="554" spans="1:4" x14ac:dyDescent="0.4">
      <c r="A554" t="s">
        <v>1490</v>
      </c>
      <c r="B554" cm="1">
        <f t="array" aca="1" ref="B554" ca="1">INDEX(auto_tblSeries,B538,D554)</f>
        <v>0</v>
      </c>
      <c r="C554" t="s">
        <v>85</v>
      </c>
      <c r="D554">
        <f t="shared" si="28"/>
        <v>6</v>
      </c>
    </row>
    <row r="555" spans="1:4" x14ac:dyDescent="0.4">
      <c r="A555" t="s">
        <v>1491</v>
      </c>
      <c r="B555" cm="1">
        <f t="array" aca="1" ref="B555" ca="1">INDEX(auto_tblSeries,B538,D555)</f>
        <v>0</v>
      </c>
      <c r="C555" t="s">
        <v>43</v>
      </c>
      <c r="D555">
        <f>MATCH(C555,auto_tblSeries_Header,0)</f>
        <v>29</v>
      </c>
    </row>
    <row r="556" spans="1:4" x14ac:dyDescent="0.4">
      <c r="A556" t="s">
        <v>1492</v>
      </c>
      <c r="B556" cm="1">
        <f t="array" aca="1" ref="B556" ca="1">INDEX(auto_tblSeries,B538,D556)</f>
        <v>1</v>
      </c>
      <c r="C556" t="s">
        <v>83</v>
      </c>
      <c r="D556">
        <f t="shared" ref="D556" si="29">MATCH(C556,auto_tblSeries_Header,0)</f>
        <v>48</v>
      </c>
    </row>
    <row r="557" spans="1:4" x14ac:dyDescent="0.4">
      <c r="A557" t="s">
        <v>1493</v>
      </c>
      <c r="B557">
        <f ca="1">IF(B556=1,1,-1)</f>
        <v>1</v>
      </c>
    </row>
    <row r="558" spans="1:4" x14ac:dyDescent="0.4">
      <c r="A558" t="s">
        <v>1494</v>
      </c>
      <c r="B558" cm="1">
        <f t="array" aca="1" ref="B558" ca="1">INDEX(auto_tblSeries,B538,D558)</f>
        <v>1</v>
      </c>
      <c r="C558" t="s">
        <v>81</v>
      </c>
      <c r="D558">
        <f t="shared" ref="D558:D561" si="30">MATCH(C558,auto_tblSeries_Header,0)</f>
        <v>22</v>
      </c>
    </row>
    <row r="559" spans="1:4" x14ac:dyDescent="0.4">
      <c r="A559" t="s">
        <v>1495</v>
      </c>
      <c r="B559" cm="1">
        <f t="array" aca="1" ref="B559" ca="1">INDEX(auto_tblSeries,B538,D559)</f>
        <v>0</v>
      </c>
      <c r="C559" t="s">
        <v>87</v>
      </c>
      <c r="D559">
        <f t="shared" si="30"/>
        <v>24</v>
      </c>
    </row>
    <row r="560" spans="1:4" x14ac:dyDescent="0.4">
      <c r="A560" t="s">
        <v>1496</v>
      </c>
      <c r="B560" cm="1">
        <f t="array" aca="1" ref="B560" ca="1">INDEX(auto_tblSeries,B538,D560)</f>
        <v>0</v>
      </c>
      <c r="C560" t="s">
        <v>91</v>
      </c>
      <c r="D560">
        <f t="shared" si="30"/>
        <v>8</v>
      </c>
    </row>
    <row r="561" spans="1:4" x14ac:dyDescent="0.4">
      <c r="A561" t="s">
        <v>1497</v>
      </c>
      <c r="B561" cm="1">
        <f t="array" aca="1" ref="B561" ca="1">INDEX(auto_tblSeries,B538,D561)</f>
        <v>0</v>
      </c>
      <c r="C561" t="s">
        <v>69</v>
      </c>
      <c r="D561">
        <f t="shared" si="30"/>
        <v>34</v>
      </c>
    </row>
    <row r="562" spans="1:4" x14ac:dyDescent="0.4">
      <c r="A562" t="s">
        <v>819</v>
      </c>
    </row>
    <row r="563" spans="1:4" x14ac:dyDescent="0.4">
      <c r="A563" t="s">
        <v>820</v>
      </c>
    </row>
    <row r="564" spans="1:4" x14ac:dyDescent="0.4">
      <c r="A564" t="s">
        <v>1163</v>
      </c>
      <c r="B564">
        <f>$B$296</f>
        <v>1</v>
      </c>
      <c r="C564" t="s">
        <v>1164</v>
      </c>
    </row>
    <row r="565" spans="1:4" x14ac:dyDescent="0.4">
      <c r="A565" t="s">
        <v>821</v>
      </c>
      <c r="B565" t="b">
        <v>0</v>
      </c>
    </row>
    <row r="566" spans="1:4" x14ac:dyDescent="0.4">
      <c r="A566" t="s">
        <v>822</v>
      </c>
      <c r="B566" t="b">
        <v>0</v>
      </c>
    </row>
    <row r="567" spans="1:4" x14ac:dyDescent="0.4">
      <c r="A567" t="s">
        <v>1192</v>
      </c>
      <c r="B567" t="str">
        <f>iScatter!$B$43</f>
        <v>SCORE</v>
      </c>
    </row>
    <row r="568" spans="1:4" x14ac:dyDescent="0.4">
      <c r="A568" t="s">
        <v>1193</v>
      </c>
      <c r="B568" t="str">
        <f>iScatter!$B$44</f>
        <v>SCORE</v>
      </c>
    </row>
    <row r="570" spans="1:4" x14ac:dyDescent="0.4">
      <c r="A570" t="s">
        <v>823</v>
      </c>
    </row>
    <row r="571" spans="1:4" x14ac:dyDescent="0.4">
      <c r="A571" t="s">
        <v>824</v>
      </c>
    </row>
    <row r="572" spans="1:4" x14ac:dyDescent="0.4">
      <c r="A572" t="s">
        <v>825</v>
      </c>
    </row>
    <row r="573" spans="1:4" x14ac:dyDescent="0.4">
      <c r="A573" t="s">
        <v>826</v>
      </c>
    </row>
    <row r="574" spans="1:4" x14ac:dyDescent="0.4">
      <c r="A574" t="s">
        <v>827</v>
      </c>
    </row>
    <row r="575" spans="1:4" x14ac:dyDescent="0.4">
      <c r="A575" t="s">
        <v>828</v>
      </c>
    </row>
    <row r="576" spans="1:4" x14ac:dyDescent="0.4">
      <c r="A576" t="s">
        <v>829</v>
      </c>
      <c r="B576">
        <f>$B$291</f>
        <v>1</v>
      </c>
    </row>
    <row r="577" spans="1:4" x14ac:dyDescent="0.4">
      <c r="A577" t="s">
        <v>830</v>
      </c>
      <c r="B577" cm="1">
        <f t="array" aca="1" ref="B577" ca="1">INDEX(OFFSET(auto_ss_Scatter_X,0,1,500,1),B576)</f>
        <v>1</v>
      </c>
    </row>
    <row r="578" spans="1:4" x14ac:dyDescent="0.4">
      <c r="A578" t="s">
        <v>831</v>
      </c>
      <c r="B578" cm="1">
        <f t="array" aca="1" ref="B578" ca="1">INDEX(auto_tblSeries,B577,D578)</f>
        <v>0</v>
      </c>
      <c r="C578" t="s">
        <v>35</v>
      </c>
      <c r="D578">
        <f t="shared" ref="D578" si="31">MATCH(C578,auto_tblSeries_Header,0)</f>
        <v>5</v>
      </c>
    </row>
    <row r="579" spans="1:4" x14ac:dyDescent="0.4">
      <c r="A579" t="s">
        <v>832</v>
      </c>
      <c r="B579" cm="1">
        <f t="array" aca="1" ref="B579" ca="1">INDEX(auto_tblSeries,B577,D579)</f>
        <v>0</v>
      </c>
      <c r="C579" t="s">
        <v>153</v>
      </c>
      <c r="D579">
        <f t="shared" ref="D579" si="32">MATCH(C579,auto_tblSeries_Header,0)</f>
        <v>7</v>
      </c>
    </row>
    <row r="580" spans="1:4" x14ac:dyDescent="0.4">
      <c r="A580" t="s">
        <v>833</v>
      </c>
      <c r="B580" cm="1">
        <f t="array" aca="1" ref="B580" ca="1">INDEX(auto_tblSeries,B577,D580)</f>
        <v>0</v>
      </c>
      <c r="C580" t="s">
        <v>29</v>
      </c>
      <c r="D580">
        <f t="shared" ref="D580" si="33">MATCH(C580,auto_tblSeries_Header,0)</f>
        <v>4</v>
      </c>
    </row>
    <row r="581" spans="1:4" x14ac:dyDescent="0.4">
      <c r="A581" t="s">
        <v>834</v>
      </c>
      <c r="B581" t="str" cm="1">
        <f t="array" aca="1" ref="B581" ca="1">INDEX(auto_tblSeries,B577,D581)</f>
        <v>HIGH=GOOD</v>
      </c>
      <c r="C581" t="s">
        <v>40</v>
      </c>
      <c r="D581">
        <f t="shared" ref="D581" si="34">MATCH(C581,auto_tblSeries_Header,0)</f>
        <v>26</v>
      </c>
    </row>
    <row r="582" spans="1:4" x14ac:dyDescent="0.4">
      <c r="A582" t="s">
        <v>835</v>
      </c>
      <c r="B582" cm="1">
        <f t="array" aca="1" ref="B582" ca="1">INDEX(auto_tblSeries,B577,D582)</f>
        <v>0</v>
      </c>
      <c r="C582" t="s">
        <v>151</v>
      </c>
      <c r="D582">
        <f t="shared" ref="D582" si="35">MATCH(C582,auto_tblSeries_Header,0)</f>
        <v>25</v>
      </c>
    </row>
    <row r="583" spans="1:4" x14ac:dyDescent="0.4">
      <c r="A583" t="s">
        <v>836</v>
      </c>
      <c r="B583" t="str" cm="1">
        <f t="array" aca="1" ref="B583" ca="1">IF(INDEX(auto_tblSeries,B577,D583)=0,"",INDEX(auto_tblSeries,B577,D583))</f>
        <v/>
      </c>
      <c r="C583" t="s">
        <v>473</v>
      </c>
      <c r="D583">
        <f t="shared" ref="D583" si="36">MATCH(C583,auto_tblSeries_Header,0)</f>
        <v>54</v>
      </c>
    </row>
    <row r="584" spans="1:4" x14ac:dyDescent="0.4">
      <c r="A584" t="s">
        <v>837</v>
      </c>
      <c r="B584" cm="1">
        <f t="array" aca="1" ref="B584" ca="1">INDEX(auto_tblSeries,B577,D584)</f>
        <v>0</v>
      </c>
      <c r="C584" t="s">
        <v>69</v>
      </c>
      <c r="D584">
        <f t="shared" ref="D584" si="37">MATCH(C584,auto_tblSeries_Header,0)</f>
        <v>34</v>
      </c>
    </row>
    <row r="585" spans="1:4" x14ac:dyDescent="0.4">
      <c r="A585" t="s">
        <v>838</v>
      </c>
      <c r="B585" t="str" cm="1">
        <f t="array" aca="1" ref="B585" ca="1">INDEX(auto_tblSeries,B577,D585)</f>
        <v>OVERALL</v>
      </c>
      <c r="C585" t="s">
        <v>37</v>
      </c>
      <c r="D585">
        <f t="shared" ref="D585" si="38">MATCH(C585,auto_tblSeries_Header,0)</f>
        <v>11</v>
      </c>
    </row>
    <row r="586" spans="1:4" x14ac:dyDescent="0.4">
      <c r="A586" t="s">
        <v>839</v>
      </c>
      <c r="B586" t="str" cm="1">
        <f t="array" aca="1" ref="B586" ca="1">INDEX(auto_tblSeries,B577,D586)</f>
        <v>OVERALL</v>
      </c>
      <c r="C586" t="s">
        <v>811</v>
      </c>
      <c r="D586">
        <f t="shared" ref="D586" si="39">MATCH(C586,auto_tblSeries_Header,0)</f>
        <v>50</v>
      </c>
    </row>
    <row r="587" spans="1:4" x14ac:dyDescent="0.4">
      <c r="A587" t="s">
        <v>840</v>
      </c>
      <c r="B587" t="str" cm="1">
        <f t="array" aca="1" ref="B587" ca="1">INDEX(auto_tblSeries,B577,D587)</f>
        <v>SCORE CALCULATION{NL}Weighted average of the following domain scores:{NL}{NL}1) SOCIAL DETERMINANTS{NL}2) PHYSICAL ENVIRONMENT{NL}3) HEALTH RISKS{NL}4) HEALTH SERVICES{NL}5) GOVERNANCE{NL}{NL}</v>
      </c>
      <c r="C587" t="s">
        <v>90</v>
      </c>
      <c r="D587">
        <f t="shared" ref="D587" si="40">MATCH(C587,auto_tblSeries_Header,0)</f>
        <v>59</v>
      </c>
    </row>
    <row r="588" spans="1:4" x14ac:dyDescent="0.4">
      <c r="A588" t="s">
        <v>841</v>
      </c>
      <c r="B588" t="str" cm="1">
        <f t="array" aca="1" ref="B588" ca="1">INDEX(auto_tblSeries,B577,D588)</f>
        <v>Score 0-100 where 100=most healthy environment</v>
      </c>
      <c r="C588" t="s">
        <v>21</v>
      </c>
      <c r="D588">
        <f t="shared" ref="D588" si="41">MATCH(C588,auto_tblSeries_Header,0)</f>
        <v>12</v>
      </c>
    </row>
    <row r="589" spans="1:4" x14ac:dyDescent="0.4">
      <c r="A589" t="s">
        <v>842</v>
      </c>
      <c r="B589" t="str" cm="1">
        <f t="array" aca="1" ref="B589" ca="1">INDEX(auto_tblSeries,B577,D589)</f>
        <v>#,0.0</v>
      </c>
      <c r="C589" t="s">
        <v>54</v>
      </c>
      <c r="D589">
        <f t="shared" ref="D589" si="42">MATCH(C589,auto_tblSeries_Header,0)</f>
        <v>51</v>
      </c>
    </row>
    <row r="590" spans="1:4" x14ac:dyDescent="0.4">
      <c r="A590" t="s">
        <v>843</v>
      </c>
      <c r="B590" cm="1">
        <f t="array" aca="1" ref="B590" ca="1">INDEX(auto_tblSeries,B577,D590)</f>
        <v>0</v>
      </c>
      <c r="C590" t="s">
        <v>85</v>
      </c>
      <c r="D590">
        <f t="shared" ref="D590" si="43">MATCH(C590,auto_tblSeries_Header,0)</f>
        <v>6</v>
      </c>
    </row>
    <row r="591" spans="1:4" x14ac:dyDescent="0.4">
      <c r="A591" t="s">
        <v>844</v>
      </c>
      <c r="B591" cm="1">
        <f t="array" aca="1" ref="B591" ca="1">INDEX(auto_tblSeries,B577,D591)</f>
        <v>0</v>
      </c>
      <c r="C591" t="s">
        <v>43</v>
      </c>
      <c r="D591">
        <f>MATCH(C591,auto_tblSeries_Header,0)</f>
        <v>29</v>
      </c>
    </row>
    <row r="592" spans="1:4" x14ac:dyDescent="0.4">
      <c r="A592" t="s">
        <v>845</v>
      </c>
      <c r="B592" cm="1">
        <f t="array" aca="1" ref="B592" ca="1">INDEX(auto_tblSeries,B577,D592)</f>
        <v>1</v>
      </c>
      <c r="C592" t="s">
        <v>83</v>
      </c>
      <c r="D592">
        <f t="shared" ref="D592" si="44">MATCH(C592,auto_tblSeries_Header,0)</f>
        <v>48</v>
      </c>
    </row>
    <row r="593" spans="1:4" x14ac:dyDescent="0.4">
      <c r="A593" t="s">
        <v>846</v>
      </c>
      <c r="B593">
        <f ca="1">IF(B592=1,1,-1)</f>
        <v>1</v>
      </c>
    </row>
    <row r="594" spans="1:4" x14ac:dyDescent="0.4">
      <c r="A594" t="s">
        <v>847</v>
      </c>
      <c r="B594" cm="1">
        <f t="array" aca="1" ref="B594" ca="1">INDEX(auto_tblSeries,B577,D594)</f>
        <v>1</v>
      </c>
      <c r="C594" t="s">
        <v>81</v>
      </c>
      <c r="D594">
        <f t="shared" ref="D594" si="45">MATCH(C594,auto_tblSeries_Header,0)</f>
        <v>22</v>
      </c>
    </row>
    <row r="595" spans="1:4" x14ac:dyDescent="0.4">
      <c r="A595" t="s">
        <v>848</v>
      </c>
      <c r="B595" t="str" cm="1">
        <f t="array" aca="1" ref="B595" ca="1">IF(INDEX(auto_tblSeries,B577,D595)="","n/a",INDEX(auto_tblSeries,B577,D595))</f>
        <v>n/a</v>
      </c>
      <c r="C595" t="s">
        <v>86</v>
      </c>
      <c r="D595">
        <f t="shared" ref="D595" si="46">MATCH(C595,auto_tblSeries_Header,0)</f>
        <v>23</v>
      </c>
    </row>
    <row r="596" spans="1:4" x14ac:dyDescent="0.4">
      <c r="A596" t="s">
        <v>818</v>
      </c>
      <c r="B596" t="str" cm="1">
        <f t="array" aca="1" ref="B596" ca="1">IF(INDEX(auto_tblSeries,B577,D596)="","n/a",INDEX(auto_tblSeries,B577,D596))</f>
        <v>n/a</v>
      </c>
      <c r="C596" t="s">
        <v>87</v>
      </c>
      <c r="D596">
        <f t="shared" ref="D596:D599" si="47">MATCH(C596,auto_tblSeries_Header,0)</f>
        <v>24</v>
      </c>
    </row>
    <row r="597" spans="1:4" x14ac:dyDescent="0.4">
      <c r="A597" t="s">
        <v>842</v>
      </c>
      <c r="B597" t="str" cm="1">
        <f t="array" aca="1" ref="B597" ca="1">INDEX(auto_tblSeries,B577,D597)</f>
        <v>#,0.0</v>
      </c>
      <c r="C597" t="s">
        <v>54</v>
      </c>
      <c r="D597">
        <f t="shared" si="47"/>
        <v>51</v>
      </c>
    </row>
    <row r="598" spans="1:4" x14ac:dyDescent="0.4">
      <c r="A598" t="s">
        <v>1562</v>
      </c>
      <c r="B598" cm="1">
        <f t="array" aca="1" ref="B598" ca="1">INDEX(auto_tblSeries,B577,D598)</f>
        <v>0</v>
      </c>
      <c r="C598" t="s">
        <v>91</v>
      </c>
      <c r="D598">
        <f t="shared" si="47"/>
        <v>8</v>
      </c>
    </row>
    <row r="599" spans="1:4" x14ac:dyDescent="0.4">
      <c r="A599" t="s">
        <v>832</v>
      </c>
      <c r="B599" cm="1">
        <f t="array" aca="1" ref="B599" ca="1">INDEX(auto_tblSeries,B577,D599)</f>
        <v>0</v>
      </c>
      <c r="C599" t="s">
        <v>153</v>
      </c>
      <c r="D599">
        <f t="shared" si="47"/>
        <v>7</v>
      </c>
    </row>
    <row r="600" spans="1:4" x14ac:dyDescent="0.4">
      <c r="A600" t="s">
        <v>849</v>
      </c>
    </row>
    <row r="601" spans="1:4" x14ac:dyDescent="0.4">
      <c r="A601" t="s">
        <v>850</v>
      </c>
      <c r="B601">
        <f>$B$292</f>
        <v>2</v>
      </c>
    </row>
    <row r="602" spans="1:4" x14ac:dyDescent="0.4">
      <c r="A602" t="s">
        <v>851</v>
      </c>
      <c r="B602" cm="1">
        <f t="array" aca="1" ref="B602" ca="1">INDEX(OFFSET(auto_ss_Scatter_Y,0,1,500,1),B601)</f>
        <v>2</v>
      </c>
    </row>
    <row r="603" spans="1:4" x14ac:dyDescent="0.4">
      <c r="A603" t="s">
        <v>852</v>
      </c>
      <c r="B603" cm="1">
        <f t="array" aca="1" ref="B603" ca="1">INDEX(auto_tblSeries,B602,D603)</f>
        <v>0</v>
      </c>
      <c r="C603" t="s">
        <v>35</v>
      </c>
      <c r="D603">
        <f t="shared" ref="D603" si="48">MATCH(C603,auto_tblSeries_Header,0)</f>
        <v>5</v>
      </c>
    </row>
    <row r="604" spans="1:4" x14ac:dyDescent="0.4">
      <c r="A604" t="s">
        <v>853</v>
      </c>
      <c r="B604" cm="1">
        <f t="array" aca="1" ref="B604" ca="1">INDEX(auto_tblSeries,B602,D604)</f>
        <v>0</v>
      </c>
      <c r="C604" t="s">
        <v>153</v>
      </c>
      <c r="D604">
        <f t="shared" ref="D604" si="49">MATCH(C604,auto_tblSeries_Header,0)</f>
        <v>7</v>
      </c>
    </row>
    <row r="605" spans="1:4" x14ac:dyDescent="0.4">
      <c r="A605" t="s">
        <v>854</v>
      </c>
      <c r="B605" cm="1">
        <f t="array" aca="1" ref="B605" ca="1">INDEX(auto_tblSeries,B602,D605)</f>
        <v>1</v>
      </c>
      <c r="C605" t="s">
        <v>29</v>
      </c>
      <c r="D605">
        <f t="shared" ref="D605" si="50">MATCH(C605,auto_tblSeries_Header,0)</f>
        <v>4</v>
      </c>
    </row>
    <row r="606" spans="1:4" x14ac:dyDescent="0.4">
      <c r="A606" t="s">
        <v>855</v>
      </c>
      <c r="B606" t="str" cm="1">
        <f t="array" aca="1" ref="B606" ca="1">INDEX(auto_tblSeries,B602,D606)</f>
        <v>HIGH=GOOD</v>
      </c>
      <c r="C606" t="s">
        <v>40</v>
      </c>
      <c r="D606">
        <f t="shared" ref="D606" si="51">MATCH(C606,auto_tblSeries_Header,0)</f>
        <v>26</v>
      </c>
    </row>
    <row r="607" spans="1:4" x14ac:dyDescent="0.4">
      <c r="A607" t="s">
        <v>856</v>
      </c>
      <c r="B607" cm="1">
        <f t="array" aca="1" ref="B607" ca="1">INDEX(auto_tblSeries,B602,D607)</f>
        <v>0</v>
      </c>
      <c r="C607" t="s">
        <v>151</v>
      </c>
      <c r="D607">
        <f t="shared" ref="D607" si="52">MATCH(C607,auto_tblSeries_Header,0)</f>
        <v>25</v>
      </c>
    </row>
    <row r="608" spans="1:4" x14ac:dyDescent="0.4">
      <c r="A608" t="s">
        <v>857</v>
      </c>
      <c r="B608" t="str" cm="1">
        <f t="array" aca="1" ref="B608" ca="1">IF(INDEX(auto_tblSeries,B602,D608)=0,"",INDEX(auto_tblSeries,B602,D608))</f>
        <v/>
      </c>
      <c r="C608" t="s">
        <v>473</v>
      </c>
      <c r="D608">
        <f t="shared" ref="D608" si="53">MATCH(C608,auto_tblSeries_Header,0)</f>
        <v>54</v>
      </c>
    </row>
    <row r="609" spans="1:4" x14ac:dyDescent="0.4">
      <c r="A609" t="s">
        <v>858</v>
      </c>
      <c r="B609" cm="1">
        <f t="array" aca="1" ref="B609" ca="1">INDEX(auto_tblSeries,B602,D609)</f>
        <v>0</v>
      </c>
      <c r="C609" t="s">
        <v>69</v>
      </c>
      <c r="D609">
        <f t="shared" ref="D609" si="54">MATCH(C609,auto_tblSeries_Header,0)</f>
        <v>34</v>
      </c>
    </row>
    <row r="610" spans="1:4" x14ac:dyDescent="0.4">
      <c r="A610" t="s">
        <v>859</v>
      </c>
      <c r="B610" t="str" cm="1">
        <f t="array" aca="1" ref="B610" ca="1">INDEX(auto_tblSeries,B602,D610)</f>
        <v>SOCIAL DETERMINANTS</v>
      </c>
      <c r="C610" t="s">
        <v>37</v>
      </c>
      <c r="D610">
        <f t="shared" ref="D610" si="55">MATCH(C610,auto_tblSeries_Header,0)</f>
        <v>11</v>
      </c>
    </row>
    <row r="611" spans="1:4" x14ac:dyDescent="0.4">
      <c r="A611" t="s">
        <v>860</v>
      </c>
      <c r="B611" t="str" cm="1">
        <f t="array" aca="1" ref="B611" ca="1">INDEX(auto_tblSeries,B602,D611)</f>
        <v>1) SOCIAL DETERMINANTS</v>
      </c>
      <c r="C611" t="s">
        <v>811</v>
      </c>
      <c r="D611">
        <f t="shared" ref="D611" si="56">MATCH(C611,auto_tblSeries_Header,0)</f>
        <v>50</v>
      </c>
    </row>
    <row r="612" spans="1:4" x14ac:dyDescent="0.4">
      <c r="A612" t="s">
        <v>861</v>
      </c>
      <c r="B612" t="str" cm="1">
        <f t="array" aca="1" ref="B612" ca="1">INDEX(auto_tblSeries,B602,D612)</f>
        <v>SCORE CALCULATION{NL}Weighted average of the following indicator scores:{NL}{NL}1.1) Poverty and inequality{NL}1.2) Education{NL}1.3) Employment{NL}1.4) Access to healthcare{NL}1.5) Household health expenditure{NL}{NL}</v>
      </c>
      <c r="C612" t="s">
        <v>90</v>
      </c>
      <c r="D612">
        <f t="shared" ref="D612" si="57">MATCH(C612,auto_tblSeries_Header,0)</f>
        <v>59</v>
      </c>
    </row>
    <row r="613" spans="1:4" x14ac:dyDescent="0.4">
      <c r="A613" t="s">
        <v>862</v>
      </c>
      <c r="B613" t="str" cm="1">
        <f t="array" aca="1" ref="B613" ca="1">INDEX(auto_tblSeries,B602,D613)</f>
        <v>Score 0-100 where 100=most healthy environment</v>
      </c>
      <c r="C613" t="s">
        <v>21</v>
      </c>
      <c r="D613">
        <f t="shared" ref="D613" si="58">MATCH(C613,auto_tblSeries_Header,0)</f>
        <v>12</v>
      </c>
    </row>
    <row r="614" spans="1:4" x14ac:dyDescent="0.4">
      <c r="A614" t="s">
        <v>863</v>
      </c>
      <c r="B614" t="str" cm="1">
        <f t="array" aca="1" ref="B614" ca="1">INDEX(auto_tblSeries,B602,D614)</f>
        <v>#,0.0</v>
      </c>
      <c r="C614" t="s">
        <v>54</v>
      </c>
      <c r="D614">
        <f t="shared" ref="D614" si="59">MATCH(C614,auto_tblSeries_Header,0)</f>
        <v>51</v>
      </c>
    </row>
    <row r="615" spans="1:4" x14ac:dyDescent="0.4">
      <c r="A615" t="s">
        <v>864</v>
      </c>
      <c r="B615" cm="1">
        <f t="array" aca="1" ref="B615" ca="1">INDEX(auto_tblSeries,B602,D615)</f>
        <v>0</v>
      </c>
      <c r="C615" t="s">
        <v>85</v>
      </c>
      <c r="D615">
        <f t="shared" ref="D615" si="60">MATCH(C615,auto_tblSeries_Header,0)</f>
        <v>6</v>
      </c>
    </row>
    <row r="616" spans="1:4" x14ac:dyDescent="0.4">
      <c r="A616" t="s">
        <v>865</v>
      </c>
      <c r="B616" cm="1">
        <f t="array" aca="1" ref="B616" ca="1">INDEX(auto_tblSeries,B602,D616)</f>
        <v>0</v>
      </c>
      <c r="C616" t="s">
        <v>43</v>
      </c>
      <c r="D616">
        <f>MATCH(C616,auto_tblSeries_Header,0)</f>
        <v>29</v>
      </c>
    </row>
    <row r="617" spans="1:4" x14ac:dyDescent="0.4">
      <c r="A617" t="s">
        <v>866</v>
      </c>
      <c r="B617" cm="1">
        <f t="array" aca="1" ref="B617" ca="1">INDEX(auto_tblSeries,B602,D617)</f>
        <v>1</v>
      </c>
      <c r="C617" t="s">
        <v>83</v>
      </c>
      <c r="D617">
        <f t="shared" ref="D617" si="61">MATCH(C617,auto_tblSeries_Header,0)</f>
        <v>48</v>
      </c>
    </row>
    <row r="618" spans="1:4" x14ac:dyDescent="0.4">
      <c r="A618" t="s">
        <v>867</v>
      </c>
      <c r="B618">
        <f ca="1">IF(B617=1,1,-1)</f>
        <v>1</v>
      </c>
    </row>
    <row r="619" spans="1:4" x14ac:dyDescent="0.4">
      <c r="A619" t="s">
        <v>868</v>
      </c>
      <c r="B619" cm="1">
        <f t="array" aca="1" ref="B619" ca="1">INDEX(auto_tblSeries,B602,D619)</f>
        <v>1</v>
      </c>
      <c r="C619" t="s">
        <v>81</v>
      </c>
      <c r="D619">
        <f t="shared" ref="D619" si="62">MATCH(C619,auto_tblSeries_Header,0)</f>
        <v>22</v>
      </c>
    </row>
    <row r="620" spans="1:4" x14ac:dyDescent="0.4">
      <c r="A620" t="s">
        <v>869</v>
      </c>
      <c r="B620" t="str" cm="1">
        <f t="array" aca="1" ref="B620" ca="1">IF(INDEX(auto_tblSeries,B602,D620)="","n/a",INDEX(auto_tblSeries,B602,D620))</f>
        <v>n/a</v>
      </c>
      <c r="C620" t="s">
        <v>86</v>
      </c>
      <c r="D620">
        <f t="shared" ref="D620" si="63">MATCH(C620,auto_tblSeries_Header,0)</f>
        <v>23</v>
      </c>
    </row>
    <row r="621" spans="1:4" x14ac:dyDescent="0.4">
      <c r="A621" t="s">
        <v>870</v>
      </c>
      <c r="B621" t="str" cm="1">
        <f t="array" aca="1" ref="B621" ca="1">IF(INDEX(auto_tblSeries,B602,D621)="","n/a",INDEX(auto_tblSeries,B602,D621))</f>
        <v>n/a</v>
      </c>
      <c r="C621" t="s">
        <v>87</v>
      </c>
      <c r="D621">
        <f t="shared" ref="D621:D624" si="64">MATCH(C621,auto_tblSeries_Header,0)</f>
        <v>24</v>
      </c>
    </row>
    <row r="622" spans="1:4" x14ac:dyDescent="0.4">
      <c r="A622" t="s">
        <v>863</v>
      </c>
      <c r="B622" t="str" cm="1">
        <f t="array" aca="1" ref="B622" ca="1">INDEX(auto_tblSeries,B602,D622)</f>
        <v>#,0.0</v>
      </c>
      <c r="C622" t="s">
        <v>54</v>
      </c>
      <c r="D622">
        <f t="shared" si="64"/>
        <v>51</v>
      </c>
    </row>
    <row r="623" spans="1:4" x14ac:dyDescent="0.4">
      <c r="A623" t="s">
        <v>1563</v>
      </c>
      <c r="B623" cm="1">
        <f t="array" aca="1" ref="B623" ca="1">INDEX(auto_tblSeries,B602,D623)</f>
        <v>0</v>
      </c>
      <c r="C623" t="s">
        <v>91</v>
      </c>
      <c r="D623">
        <f t="shared" si="64"/>
        <v>8</v>
      </c>
    </row>
    <row r="624" spans="1:4" x14ac:dyDescent="0.4">
      <c r="A624" t="s">
        <v>853</v>
      </c>
      <c r="B624" cm="1">
        <f t="array" aca="1" ref="B624" ca="1">INDEX(auto_tblSeries,B602,D624)</f>
        <v>0</v>
      </c>
      <c r="C624" t="s">
        <v>153</v>
      </c>
      <c r="D624">
        <f t="shared" si="64"/>
        <v>7</v>
      </c>
    </row>
    <row r="625" spans="1:3" x14ac:dyDescent="0.4">
      <c r="A625" t="s">
        <v>871</v>
      </c>
    </row>
    <row r="626" spans="1:3" x14ac:dyDescent="0.4">
      <c r="A626" t="s">
        <v>872</v>
      </c>
      <c r="B626" t="e">
        <f>#REF!</f>
        <v>#REF!</v>
      </c>
    </row>
    <row r="627" spans="1:3" x14ac:dyDescent="0.4">
      <c r="A627" t="s">
        <v>873</v>
      </c>
      <c r="B627" t="e">
        <f ca="1">IF($B$473=0,B628,$B$473)</f>
        <v>#REF!</v>
      </c>
      <c r="C627" t="s">
        <v>874</v>
      </c>
    </row>
    <row r="628" spans="1:3" x14ac:dyDescent="0.4">
      <c r="A628" t="s">
        <v>875</v>
      </c>
      <c r="B628" t="e">
        <f>#REF!</f>
        <v>#REF!</v>
      </c>
    </row>
    <row r="629" spans="1:3" x14ac:dyDescent="0.4">
      <c r="A629" t="s">
        <v>876</v>
      </c>
      <c r="B629">
        <f ca="1">$B$454</f>
        <v>0</v>
      </c>
    </row>
    <row r="630" spans="1:3" x14ac:dyDescent="0.4">
      <c r="A630" t="s">
        <v>877</v>
      </c>
      <c r="B630">
        <f ca="1">$B$470</f>
        <v>1</v>
      </c>
    </row>
    <row r="631" spans="1:3" x14ac:dyDescent="0.4">
      <c r="A631" t="s">
        <v>878</v>
      </c>
      <c r="B631">
        <f ca="1">$B$455</f>
        <v>0</v>
      </c>
    </row>
    <row r="632" spans="1:3" x14ac:dyDescent="0.4">
      <c r="A632" t="s">
        <v>879</v>
      </c>
      <c r="B632" t="str">
        <f ca="1">IF(B631=1,"",IF(B630=1,"← LESS INCLUSIVE","← MORE INCLUSIVE"))</f>
        <v>← LESS INCLUSIVE</v>
      </c>
    </row>
    <row r="633" spans="1:3" x14ac:dyDescent="0.4">
      <c r="A633" t="s">
        <v>880</v>
      </c>
      <c r="B633" t="str">
        <f ca="1">IF(B631=1,"",IF(B630=2,"LESS INCLUSIVE →","MORE INCLUSIVE →"))</f>
        <v>MORE INCLUSIVE →</v>
      </c>
    </row>
    <row r="635" spans="1:3" x14ac:dyDescent="0.4">
      <c r="A635" t="s">
        <v>881</v>
      </c>
      <c r="B635">
        <f ca="1">IF(B629=0,0,IF(B626&gt;0,0,B626))</f>
        <v>0</v>
      </c>
    </row>
    <row r="636" spans="1:3" x14ac:dyDescent="0.4">
      <c r="A636" t="s">
        <v>882</v>
      </c>
      <c r="B636">
        <f ca="1">IF(B629=0,100,B627)</f>
        <v>100</v>
      </c>
    </row>
    <row r="638" spans="1:3" x14ac:dyDescent="0.4">
      <c r="A638" t="s">
        <v>883</v>
      </c>
    </row>
    <row r="639" spans="1:3" x14ac:dyDescent="0.4">
      <c r="A639" t="s">
        <v>884</v>
      </c>
    </row>
    <row r="640" spans="1:3" x14ac:dyDescent="0.4">
      <c r="A640" t="s">
        <v>885</v>
      </c>
      <c r="C640" t="s">
        <v>886</v>
      </c>
    </row>
    <row r="641" spans="1:3" x14ac:dyDescent="0.4">
      <c r="A641" t="s">
        <v>887</v>
      </c>
    </row>
    <row r="642" spans="1:3" x14ac:dyDescent="0.4">
      <c r="A642" t="s">
        <v>888</v>
      </c>
      <c r="C642" t="s">
        <v>886</v>
      </c>
    </row>
    <row r="644" spans="1:3" x14ac:dyDescent="0.4">
      <c r="A644" t="s">
        <v>889</v>
      </c>
    </row>
    <row r="645" spans="1:3" x14ac:dyDescent="0.4">
      <c r="A645" t="s">
        <v>890</v>
      </c>
      <c r="B645" t="str" cm="1">
        <f t="array" ref="B645">IF($B$387=0,"",IF($B$468=1,INDEX(auto_a_Data_Current_Year,$B$452,$B$387),INDEX(auto_a_Score_Current_Year,$B$452,$B$387)))</f>
        <v/>
      </c>
    </row>
    <row r="646" spans="1:3" x14ac:dyDescent="0.4">
      <c r="A646" t="s">
        <v>891</v>
      </c>
      <c r="B646">
        <f ca="1">IF($B$468=1,$B$469,100)</f>
        <v>100</v>
      </c>
    </row>
    <row r="647" spans="1:3" x14ac:dyDescent="0.4">
      <c r="A647" t="s">
        <v>892</v>
      </c>
      <c r="B647" t="str">
        <f>IF(NOT(ISNUMBER(B645)),"no data",CONCATENATE(B645," / ",B646))</f>
        <v>no data</v>
      </c>
    </row>
    <row r="649" spans="1:3" x14ac:dyDescent="0.4">
      <c r="A649" t="s">
        <v>893</v>
      </c>
      <c r="B649" t="str" cm="1">
        <f t="array" ref="B649">IF($B$387=0,"",IF($B$468=1,INDEX(auto_a_Data_Comparison_Year,$B$452,$B$387),INDEX(auto_a_Score_Comparison_Year,$B$452,$B$387)))</f>
        <v/>
      </c>
    </row>
    <row r="650" spans="1:3" x14ac:dyDescent="0.4">
      <c r="A650" t="s">
        <v>894</v>
      </c>
      <c r="B650" t="str">
        <f>IFERROR(ROUND(B645-B649,$B$178),"error or no country selected for callout")</f>
        <v>error or no country selected for callout</v>
      </c>
    </row>
    <row r="651" spans="1:3" x14ac:dyDescent="0.4">
      <c r="A651" t="s">
        <v>895</v>
      </c>
      <c r="B651" t="str">
        <f>IFERROR(IF(B650=0,"no change",IF(B650&gt;0,CONCATENATE("+",B650),IF(B650&lt;0,CONCATENATE("-",ABS(B650)),"???"))),"n/a")</f>
        <v>+error or no country selected for callout</v>
      </c>
    </row>
    <row r="653" spans="1:3" x14ac:dyDescent="0.4">
      <c r="A653" t="s">
        <v>896</v>
      </c>
      <c r="B653" t="str" cm="1">
        <f t="array" ref="B653">IF($B$387=0,"",INDEX(auto_a_Rank_Current_Year,$B$452,$B$387))</f>
        <v/>
      </c>
    </row>
    <row r="654" spans="1:3" x14ac:dyDescent="0.4">
      <c r="B654" t="str">
        <f>IFERROR(VALUE(SUBSTITUTE(B653,"=","")),"no country selected for callout")</f>
        <v>no country selected for callout</v>
      </c>
    </row>
    <row r="655" spans="1:3" x14ac:dyDescent="0.4">
      <c r="A655" t="s">
        <v>897</v>
      </c>
      <c r="B655" t="str">
        <f>IF(NOT(ISNUMBER(B654)),"n/a",CONCATENATE(B653," / ",$B$224))</f>
        <v>n/a</v>
      </c>
    </row>
    <row r="659" spans="1:2" x14ac:dyDescent="0.4">
      <c r="A659" t="s">
        <v>898</v>
      </c>
    </row>
    <row r="660" spans="1:2" x14ac:dyDescent="0.4">
      <c r="A660" t="s">
        <v>899</v>
      </c>
      <c r="B660" t="s">
        <v>900</v>
      </c>
    </row>
    <row r="661" spans="1:2" x14ac:dyDescent="0.4">
      <c r="A661" t="s">
        <v>901</v>
      </c>
      <c r="B661" t="s">
        <v>902</v>
      </c>
    </row>
    <row r="662" spans="1:2" x14ac:dyDescent="0.4">
      <c r="A662" t="s">
        <v>903</v>
      </c>
      <c r="B662" t="s">
        <v>904</v>
      </c>
    </row>
    <row r="663" spans="1:2" x14ac:dyDescent="0.4">
      <c r="A663" t="s">
        <v>905</v>
      </c>
      <c r="B663" t="s">
        <v>906</v>
      </c>
    </row>
    <row r="664" spans="1:2" x14ac:dyDescent="0.4">
      <c r="A664" t="s">
        <v>907</v>
      </c>
      <c r="B664" t="s">
        <v>908</v>
      </c>
    </row>
    <row r="665" spans="1:2" x14ac:dyDescent="0.4">
      <c r="A665" t="s">
        <v>909</v>
      </c>
      <c r="B665" t="s">
        <v>910</v>
      </c>
    </row>
    <row r="666" spans="1:2" x14ac:dyDescent="0.4">
      <c r="A666" t="s">
        <v>911</v>
      </c>
      <c r="B666" t="s">
        <v>912</v>
      </c>
    </row>
    <row r="667" spans="1:2" x14ac:dyDescent="0.4">
      <c r="A667" t="s">
        <v>913</v>
      </c>
      <c r="B667" t="s">
        <v>914</v>
      </c>
    </row>
    <row r="668" spans="1:2" x14ac:dyDescent="0.4">
      <c r="A668" t="s">
        <v>915</v>
      </c>
      <c r="B668" t="s">
        <v>916</v>
      </c>
    </row>
    <row r="669" spans="1:2" x14ac:dyDescent="0.4">
      <c r="A669" t="s">
        <v>917</v>
      </c>
      <c r="B669" t="s">
        <v>918</v>
      </c>
    </row>
  </sheetData>
  <phoneticPr fontId="8" type="noConversion"/>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3615A-A065-4BB4-8EA7-C8CDF16BA3A4}">
  <sheetPr codeName="Sheet83">
    <tabColor rgb="FF7030A0"/>
  </sheetPr>
  <dimension ref="A1:CA292"/>
  <sheetViews>
    <sheetView topLeftCell="K1" workbookViewId="0">
      <selection activeCell="T29" sqref="T29"/>
    </sheetView>
  </sheetViews>
  <sheetFormatPr defaultColWidth="9.15234375" defaultRowHeight="14.6" x14ac:dyDescent="0.4"/>
  <cols>
    <col min="3" max="3" width="13.3828125" bestFit="1" customWidth="1"/>
    <col min="4" max="4" width="8.69140625" customWidth="1"/>
    <col min="5" max="8" width="5.3828125" customWidth="1"/>
    <col min="9" max="9" width="10" bestFit="1" customWidth="1"/>
    <col min="11" max="11" width="10.53515625" customWidth="1"/>
    <col min="12" max="12" width="15.53515625" customWidth="1"/>
    <col min="13" max="19" width="5" customWidth="1"/>
    <col min="20" max="30" width="4.84375" customWidth="1"/>
    <col min="32" max="48" width="4.3046875" customWidth="1"/>
    <col min="49" max="49" width="5.53515625" customWidth="1"/>
    <col min="50" max="50" width="4.53515625" customWidth="1"/>
    <col min="51" max="63" width="2.3828125" customWidth="1"/>
    <col min="65" max="79" width="4.3046875" customWidth="1"/>
  </cols>
  <sheetData>
    <row r="1" spans="1:79" x14ac:dyDescent="0.4">
      <c r="A1" t="s">
        <v>163</v>
      </c>
      <c r="C1" t="s">
        <v>957</v>
      </c>
      <c r="D1" t="s">
        <v>958</v>
      </c>
    </row>
    <row r="2" spans="1:79" x14ac:dyDescent="0.4">
      <c r="B2" t="s">
        <v>488</v>
      </c>
      <c r="C2">
        <f>uxbGlobals!$B$405</f>
        <v>51</v>
      </c>
      <c r="D2">
        <f>uxbGlobals!$B$374</f>
        <v>1</v>
      </c>
    </row>
    <row r="3" spans="1:79" x14ac:dyDescent="0.4">
      <c r="B3" t="s">
        <v>489</v>
      </c>
      <c r="C3" t="str">
        <f>uxbGlobals!$B$408</f>
        <v>G00</v>
      </c>
      <c r="D3" t="str">
        <f>uxbGlobals!$B$375</f>
        <v>ADD</v>
      </c>
    </row>
    <row r="4" spans="1:79" x14ac:dyDescent="0.4">
      <c r="B4" t="s">
        <v>445</v>
      </c>
      <c r="C4" t="str">
        <f>uxbGlobals!$B$407</f>
        <v>50 city average</v>
      </c>
      <c r="D4" t="str">
        <f>uxbGlobals!$B$377</f>
        <v>Addis Ababa</v>
      </c>
    </row>
    <row r="7" spans="1:79" x14ac:dyDescent="0.4">
      <c r="V7" t="s">
        <v>108</v>
      </c>
      <c r="W7">
        <v>2</v>
      </c>
      <c r="AF7" t="s">
        <v>108</v>
      </c>
      <c r="AG7">
        <v>3</v>
      </c>
      <c r="BM7" t="s">
        <v>108</v>
      </c>
      <c r="BN7">
        <v>4</v>
      </c>
    </row>
    <row r="9" spans="1:79" x14ac:dyDescent="0.4">
      <c r="I9" t="s">
        <v>493</v>
      </c>
      <c r="K9" t="s">
        <v>252</v>
      </c>
      <c r="L9" t="s">
        <v>17</v>
      </c>
      <c r="M9" t="s">
        <v>253</v>
      </c>
      <c r="N9" t="s">
        <v>486</v>
      </c>
      <c r="O9" t="s">
        <v>254</v>
      </c>
      <c r="P9" t="s">
        <v>255</v>
      </c>
      <c r="S9" t="s">
        <v>494</v>
      </c>
      <c r="U9" t="s">
        <v>495</v>
      </c>
      <c r="AV9" t="s">
        <v>959</v>
      </c>
      <c r="BA9" t="s">
        <v>961</v>
      </c>
    </row>
    <row r="10" spans="1:79" x14ac:dyDescent="0.4">
      <c r="D10" t="s">
        <v>29</v>
      </c>
      <c r="E10" t="s">
        <v>153</v>
      </c>
      <c r="F10" t="s">
        <v>35</v>
      </c>
      <c r="G10" t="s">
        <v>151</v>
      </c>
      <c r="H10" t="s">
        <v>81</v>
      </c>
      <c r="I10" t="s">
        <v>960</v>
      </c>
      <c r="K10">
        <v>1</v>
      </c>
      <c r="L10">
        <v>1</v>
      </c>
      <c r="M10">
        <v>1</v>
      </c>
      <c r="N10">
        <v>1</v>
      </c>
      <c r="O10">
        <v>1</v>
      </c>
      <c r="P10">
        <v>1</v>
      </c>
      <c r="S10">
        <v>1</v>
      </c>
      <c r="X10">
        <v>1</v>
      </c>
      <c r="Y10">
        <v>2</v>
      </c>
      <c r="Z10">
        <v>3</v>
      </c>
      <c r="AB10">
        <v>1</v>
      </c>
      <c r="AC10">
        <v>2</v>
      </c>
      <c r="AD10">
        <v>3</v>
      </c>
      <c r="AG10">
        <v>1</v>
      </c>
      <c r="AH10">
        <v>2</v>
      </c>
      <c r="AI10">
        <v>3</v>
      </c>
      <c r="AJ10">
        <v>4</v>
      </c>
      <c r="AK10">
        <v>5</v>
      </c>
      <c r="AL10">
        <v>6</v>
      </c>
      <c r="AM10">
        <v>7</v>
      </c>
      <c r="AN10">
        <v>1</v>
      </c>
      <c r="AO10">
        <v>2</v>
      </c>
      <c r="AP10">
        <v>3</v>
      </c>
      <c r="AQ10">
        <v>4</v>
      </c>
      <c r="AR10">
        <v>5</v>
      </c>
      <c r="AS10">
        <v>6</v>
      </c>
      <c r="AT10">
        <v>7</v>
      </c>
      <c r="AV10" t="s">
        <v>960</v>
      </c>
      <c r="AW10" t="s">
        <v>252</v>
      </c>
      <c r="AX10" t="s">
        <v>253</v>
      </c>
      <c r="BD10">
        <v>1</v>
      </c>
      <c r="BE10">
        <v>2</v>
      </c>
      <c r="BF10">
        <v>3</v>
      </c>
      <c r="BH10">
        <v>1</v>
      </c>
      <c r="BI10">
        <v>2</v>
      </c>
      <c r="BJ10">
        <v>3</v>
      </c>
      <c r="BN10">
        <v>1</v>
      </c>
      <c r="BO10">
        <v>2</v>
      </c>
      <c r="BP10">
        <v>3</v>
      </c>
      <c r="BQ10">
        <v>4</v>
      </c>
      <c r="BR10">
        <v>5</v>
      </c>
      <c r="BS10">
        <v>6</v>
      </c>
      <c r="BT10">
        <v>7</v>
      </c>
      <c r="BU10">
        <v>1</v>
      </c>
      <c r="BV10">
        <v>2</v>
      </c>
      <c r="BW10">
        <v>3</v>
      </c>
      <c r="BX10">
        <v>4</v>
      </c>
      <c r="BY10">
        <v>5</v>
      </c>
      <c r="BZ10">
        <v>6</v>
      </c>
      <c r="CA10">
        <v>7</v>
      </c>
    </row>
    <row r="11" spans="1:79" x14ac:dyDescent="0.4">
      <c r="D11">
        <f>MATCH(D10,auto_tblSeries_Header,0)</f>
        <v>4</v>
      </c>
      <c r="E11">
        <f>MATCH(E10,auto_tblSeries_Header,0)</f>
        <v>7</v>
      </c>
      <c r="F11">
        <f>MATCH(F10,auto_tblSeries_Header,0)</f>
        <v>5</v>
      </c>
      <c r="G11">
        <f>MATCH(G10,auto_tblSeries_Header,0)</f>
        <v>25</v>
      </c>
      <c r="H11">
        <f>MATCH(H10,auto_tblSeries_Header,0)</f>
        <v>22</v>
      </c>
      <c r="K11" t="str">
        <f>O11</f>
        <v>E1</v>
      </c>
      <c r="L11" t="str" cm="1">
        <f t="array" ref="L11">INDEX(auto_TimeSliceCode,L10)</f>
        <v>E1</v>
      </c>
      <c r="M11" t="str" cm="1">
        <f t="array" ref="M11">INDEX(auto_TimeSliceCode,M10)</f>
        <v>E1</v>
      </c>
      <c r="O11" t="str" cm="1">
        <f t="array" ref="O11">INDEX(auto_TimeSliceCode,O10)</f>
        <v>E1</v>
      </c>
      <c r="P11" t="str" cm="1">
        <f t="array" ref="P11">INDEX(auto_TimeSliceCode,P10)</f>
        <v>E1</v>
      </c>
      <c r="R11" t="s">
        <v>20</v>
      </c>
      <c r="S11" t="str" cm="1">
        <f t="array" ref="S11">INDEX(auto_TimeSliceCode,S10)</f>
        <v>E1</v>
      </c>
      <c r="U11" t="s">
        <v>214</v>
      </c>
      <c r="V11" t="s">
        <v>215</v>
      </c>
      <c r="W11" t="s">
        <v>213</v>
      </c>
      <c r="X11">
        <v>0</v>
      </c>
      <c r="Y11">
        <v>0</v>
      </c>
      <c r="Z11">
        <v>0</v>
      </c>
      <c r="AF11" t="s">
        <v>496</v>
      </c>
      <c r="AG11">
        <v>0</v>
      </c>
      <c r="AH11">
        <v>0</v>
      </c>
      <c r="AI11">
        <v>0</v>
      </c>
      <c r="AJ11">
        <v>0</v>
      </c>
      <c r="AK11">
        <v>0</v>
      </c>
      <c r="AL11">
        <v>0</v>
      </c>
      <c r="AM11">
        <v>0</v>
      </c>
      <c r="BA11" t="s">
        <v>214</v>
      </c>
      <c r="BB11" t="s">
        <v>215</v>
      </c>
      <c r="BC11" t="s">
        <v>213</v>
      </c>
      <c r="BD11">
        <v>0</v>
      </c>
      <c r="BE11">
        <v>0</v>
      </c>
      <c r="BF11">
        <v>0</v>
      </c>
      <c r="BM11" t="s">
        <v>496</v>
      </c>
      <c r="BN11">
        <v>0</v>
      </c>
      <c r="BO11">
        <v>0</v>
      </c>
      <c r="BP11">
        <v>0</v>
      </c>
      <c r="BQ11">
        <v>0</v>
      </c>
      <c r="BR11">
        <v>0</v>
      </c>
      <c r="BS11">
        <v>0</v>
      </c>
      <c r="BT11">
        <v>0</v>
      </c>
    </row>
    <row r="12" spans="1:79" x14ac:dyDescent="0.4">
      <c r="B12">
        <v>1</v>
      </c>
      <c r="C12" t="str" cm="1">
        <f t="array" ref="C12">INDEX(auto_Series_Code,B12)</f>
        <v>OVERALL</v>
      </c>
      <c r="D12" cm="1">
        <f t="array" ref="D12">INDEX(auto_tblSeries,$B12,D$11)</f>
        <v>0</v>
      </c>
      <c r="E12" cm="1">
        <f t="array" ref="E12">INDEX(auto_tblSeries,$B12,E$11)</f>
        <v>0</v>
      </c>
      <c r="F12" cm="1">
        <f t="array" ref="F12">INDEX(auto_tblSeries,$B12,F$11)</f>
        <v>0</v>
      </c>
      <c r="G12" cm="1">
        <f t="array" ref="G12">INDEX(auto_tblSeries,$B12,G$11)</f>
        <v>0</v>
      </c>
      <c r="H12" cm="1">
        <f t="array" ref="H12">INDEX(auto_tblSeries,$B12,H$11)</f>
        <v>1</v>
      </c>
      <c r="I12">
        <f t="shared" ref="I12:I75" si="0">MATCH(CONCATENATE($C$3,"_",$C12),auto_DataFlat_UID,0)</f>
        <v>51</v>
      </c>
      <c r="K12" cm="1">
        <f t="array" ref="K12">INDEX(auto_DataFlat_Score,$I12,K$10)</f>
        <v>62.4</v>
      </c>
      <c r="L12" t="str" cm="1">
        <f t="array" ref="L12">INDEX(auto_DataFlat_Rank,$I12,L$10)</f>
        <v>n/a</v>
      </c>
      <c r="M12" cm="1">
        <f t="array" ref="M12">INDEX(auto_DataFlat_DataValue,$I12,M$10)</f>
        <v>0</v>
      </c>
      <c r="N12" cm="1">
        <f t="array" ref="N12">INDEX(auto_DataFlat_Classification,$I12,M$10)</f>
        <v>4</v>
      </c>
      <c r="O12" cm="1">
        <f t="array" ref="O12">INDEX(auto_DataFlat_IsEstimate,$I12,O$10)</f>
        <v>0</v>
      </c>
      <c r="P12" t="str" cm="1">
        <f t="array" ref="P12">IF(INDEX(auto_DataFlat_DataYear,$I12,P$10)=0,"n/a",INDEX(auto_DataFlat_DataYear,$I12,P$10))</f>
        <v>n/a</v>
      </c>
      <c r="R12">
        <f t="shared" ref="R12:R75" si="1">MATCH(CONCATENATE(R$11,"_",$C12),auto_DataFlat_UID,0)</f>
        <v>51</v>
      </c>
      <c r="S12" cm="1">
        <f t="array" ref="S12">INDEX(auto_DataFlat_Score,$R12,S$10)</f>
        <v>62.4</v>
      </c>
      <c r="U12">
        <f>IFERROR(K12-S12,"n/a")</f>
        <v>0</v>
      </c>
      <c r="V12">
        <f>IFERROR(IF(U12&gt;0,1,IF(U12=0,2,IF(U12&lt;0,3,"???"))),"n/a")</f>
        <v>2</v>
      </c>
      <c r="W12">
        <f>IF(OR($D12&lt;&gt;$W$7,$E12=1),-1,V12)</f>
        <v>-1</v>
      </c>
      <c r="X12" t="e">
        <f ca="1">X11+MATCH(X$10,OFFSET($W$12,X11,0,300,1),0)</f>
        <v>#N/A</v>
      </c>
      <c r="Y12">
        <f t="shared" ref="Y12:Z27" ca="1" si="2">Y11+MATCH(Y$10,OFFSET($W$12,Y11,0,300,1),0)</f>
        <v>3</v>
      </c>
      <c r="Z12" t="e">
        <f t="shared" ca="1" si="2"/>
        <v>#N/A</v>
      </c>
      <c r="AB12">
        <f ca="1">IFERROR(X12,0)</f>
        <v>0</v>
      </c>
      <c r="AC12">
        <f t="shared" ref="AC12:AD27" ca="1" si="3">IFERROR(Y12,0)</f>
        <v>3</v>
      </c>
      <c r="AD12">
        <f t="shared" ca="1" si="3"/>
        <v>0</v>
      </c>
      <c r="AF12">
        <f>IF(OR($D12&lt;&gt;$AG$7,$E12=1),-1,N12)</f>
        <v>-1</v>
      </c>
      <c r="AG12">
        <f ca="1">IFERROR(AG11+MATCH(AG$10,OFFSET($AF$12,AG11,0,300-AG11,1),0),NA())</f>
        <v>31</v>
      </c>
      <c r="AH12">
        <f t="shared" ref="AH12:AM27" ca="1" si="4">IFERROR(AH11+MATCH(AH$10,OFFSET($AF$12,AH11,0,300-AH11,1),0),NA())</f>
        <v>46</v>
      </c>
      <c r="AI12">
        <f t="shared" ca="1" si="4"/>
        <v>7</v>
      </c>
      <c r="AJ12">
        <f t="shared" ca="1" si="4"/>
        <v>4</v>
      </c>
      <c r="AK12">
        <f t="shared" ca="1" si="4"/>
        <v>10</v>
      </c>
      <c r="AL12" t="e">
        <f t="shared" ca="1" si="4"/>
        <v>#N/A</v>
      </c>
      <c r="AM12" t="e">
        <f t="shared" ca="1" si="4"/>
        <v>#N/A</v>
      </c>
      <c r="AN12">
        <f ca="1">IFERROR(AG12,0)</f>
        <v>31</v>
      </c>
      <c r="AO12">
        <f ca="1">IFERROR(AH12,0)</f>
        <v>46</v>
      </c>
      <c r="AP12">
        <f ca="1">IFERROR(AI12,0)</f>
        <v>7</v>
      </c>
      <c r="AQ12">
        <f ca="1">IFERROR(AJ12,0)</f>
        <v>4</v>
      </c>
      <c r="AR12">
        <f ca="1">IFERROR(AK12,0)</f>
        <v>10</v>
      </c>
      <c r="AS12">
        <f t="shared" ref="AS12:AT12" ca="1" si="5">IFERROR(AL12,0)</f>
        <v>0</v>
      </c>
      <c r="AT12">
        <f t="shared" ca="1" si="5"/>
        <v>0</v>
      </c>
      <c r="AV12">
        <f t="shared" ref="AV12:AV262" si="6">MATCH(CONCATENATE($D$3,"_",$C12),auto_DataFlat_UID,0)</f>
        <v>1</v>
      </c>
      <c r="AW12" cm="1">
        <f t="array" ref="AW12">INDEX(auto_DataFlat_Score,$AV12,1)</f>
        <v>49.6</v>
      </c>
      <c r="AX12" cm="1">
        <f t="array" ref="AX12">INDEX(auto_DataFlat_DataValue,$AV12,1)</f>
        <v>0</v>
      </c>
      <c r="BA12">
        <f>IFERROR(K12-AW12,"n/a")</f>
        <v>12.799999999999997</v>
      </c>
      <c r="BB12">
        <f>IFERROR(IF(BA12&gt;0,1,IF(BA12=0,2,IF(BA12&lt;0,3,"???"))),"n/a")</f>
        <v>1</v>
      </c>
      <c r="BC12">
        <f>IF(OR($D12&lt;&gt;3,$E12=1),-1,BB12)</f>
        <v>-1</v>
      </c>
      <c r="BD12">
        <f t="shared" ref="BD12:BF27" ca="1" si="7">BD11+MATCH(BD$10,OFFSET($BC$12,BD11,0,200,1),0)</f>
        <v>7</v>
      </c>
      <c r="BE12" t="e">
        <f t="shared" ca="1" si="7"/>
        <v>#N/A</v>
      </c>
      <c r="BF12">
        <f t="shared" ca="1" si="7"/>
        <v>4</v>
      </c>
      <c r="BH12">
        <f ca="1">IFERROR(BD12,0)</f>
        <v>7</v>
      </c>
      <c r="BI12">
        <f t="shared" ref="BI12:BJ27" ca="1" si="8">IFERROR(BE12,0)</f>
        <v>0</v>
      </c>
      <c r="BJ12">
        <f t="shared" ca="1" si="8"/>
        <v>4</v>
      </c>
      <c r="BM12">
        <f>IF(OR($D12&lt;&gt;$BN$7,$E12=1),-1,N12)</f>
        <v>-1</v>
      </c>
      <c r="BN12" t="e">
        <f ca="1">IFERROR(BN11+MATCH(BN$10,OFFSET($BM$12,BN11,0,300-BN11,1),0),NA())</f>
        <v>#N/A</v>
      </c>
      <c r="BO12" t="e">
        <f t="shared" ref="BO12:BT12" ca="1" si="9">IFERROR(BO11+MATCH(BO$10,OFFSET($BM$12,BO11,0,300-BO11,1),0),NA())</f>
        <v>#N/A</v>
      </c>
      <c r="BP12" t="e">
        <f t="shared" ca="1" si="9"/>
        <v>#N/A</v>
      </c>
      <c r="BQ12" t="e">
        <f t="shared" ca="1" si="9"/>
        <v>#N/A</v>
      </c>
      <c r="BR12" t="e">
        <f t="shared" ca="1" si="9"/>
        <v>#N/A</v>
      </c>
      <c r="BS12" t="e">
        <f t="shared" ca="1" si="9"/>
        <v>#N/A</v>
      </c>
      <c r="BT12" t="e">
        <f t="shared" ca="1" si="9"/>
        <v>#N/A</v>
      </c>
      <c r="BU12">
        <f ca="1">IFERROR(BN12,0)</f>
        <v>0</v>
      </c>
      <c r="BV12">
        <f ca="1">IFERROR(BO12,0)</f>
        <v>0</v>
      </c>
      <c r="BW12">
        <f ca="1">IFERROR(BP12,0)</f>
        <v>0</v>
      </c>
      <c r="BX12">
        <f ca="1">IFERROR(BQ12,0)</f>
        <v>0</v>
      </c>
      <c r="BY12">
        <f ca="1">IFERROR(BR12,0)</f>
        <v>0</v>
      </c>
      <c r="BZ12">
        <f t="shared" ref="BZ12:BZ75" ca="1" si="10">IFERROR(BS12,0)</f>
        <v>0</v>
      </c>
      <c r="CA12">
        <f t="shared" ref="CA12:CA75" ca="1" si="11">IFERROR(BT12,0)</f>
        <v>0</v>
      </c>
    </row>
    <row r="13" spans="1:79" x14ac:dyDescent="0.4">
      <c r="B13">
        <v>2</v>
      </c>
      <c r="C13" t="str" cm="1">
        <f t="array" ref="C13">INDEX(auto_Series_Code,B13)</f>
        <v>DOMAIN_001</v>
      </c>
      <c r="D13" cm="1">
        <f t="array" ref="D13">INDEX(auto_tblSeries,$B13,D$11)</f>
        <v>1</v>
      </c>
      <c r="E13" cm="1">
        <f t="array" ref="E13">INDEX(auto_tblSeries,$B13,E$11)</f>
        <v>0</v>
      </c>
      <c r="F13" cm="1">
        <f t="array" ref="F13">INDEX(auto_tblSeries,$B13,F$11)</f>
        <v>0</v>
      </c>
      <c r="G13" cm="1">
        <f t="array" ref="G13">INDEX(auto_tblSeries,$B13,G$11)</f>
        <v>0</v>
      </c>
      <c r="H13" cm="1">
        <f t="array" ref="H13">INDEX(auto_tblSeries,$B13,H$11)</f>
        <v>1</v>
      </c>
      <c r="I13">
        <f t="shared" si="0"/>
        <v>111</v>
      </c>
      <c r="K13" cm="1">
        <f t="array" ref="K13">INDEX(auto_DataFlat_Score,$I13,K$10)</f>
        <v>70</v>
      </c>
      <c r="L13" t="str" cm="1">
        <f t="array" ref="L13">INDEX(auto_DataFlat_Rank,$I13,L$10)</f>
        <v>n/a</v>
      </c>
      <c r="M13" cm="1">
        <f t="array" ref="M13">INDEX(auto_DataFlat_DataValue,$I13,M$10)</f>
        <v>0</v>
      </c>
      <c r="N13" cm="1">
        <f t="array" ref="N13">INDEX(auto_DataFlat_Classification,$I13,M$10)</f>
        <v>4</v>
      </c>
      <c r="O13" cm="1">
        <f t="array" ref="O13">INDEX(auto_DataFlat_IsEstimate,$I13,O$10)</f>
        <v>0</v>
      </c>
      <c r="P13" t="str" cm="1">
        <f t="array" ref="P13">IF(INDEX(auto_DataFlat_DataYear,$I13,P$10)=0,"n/a",INDEX(auto_DataFlat_DataYear,$I13,P$10))</f>
        <v>n/a</v>
      </c>
      <c r="R13">
        <f t="shared" si="1"/>
        <v>111</v>
      </c>
      <c r="S13" cm="1">
        <f t="array" ref="S13">INDEX(auto_DataFlat_Score,$R13,S$10)</f>
        <v>70</v>
      </c>
      <c r="U13">
        <f t="shared" ref="U13:U76" si="12">IFERROR(K13-S13,"n/a")</f>
        <v>0</v>
      </c>
      <c r="V13">
        <f t="shared" ref="V13:V76" si="13">IFERROR(IF(U13&gt;0,1,IF(U13=0,2,IF(U13&lt;0,3,"???"))),"n/a")</f>
        <v>2</v>
      </c>
      <c r="W13">
        <f t="shared" ref="W13:W76" si="14">IF(OR($D13&lt;&gt;$W$7,$E13=1),-1,V13)</f>
        <v>-1</v>
      </c>
      <c r="X13" t="e">
        <f t="shared" ref="X13:Z28" ca="1" si="15">X12+MATCH(X$10,OFFSET($W$12,X12,0,300,1),0)</f>
        <v>#N/A</v>
      </c>
      <c r="Y13">
        <f t="shared" ca="1" si="2"/>
        <v>6</v>
      </c>
      <c r="Z13" t="e">
        <f t="shared" ca="1" si="2"/>
        <v>#N/A</v>
      </c>
      <c r="AB13">
        <f t="shared" ref="AB13:AD56" ca="1" si="16">IFERROR(X13,0)</f>
        <v>0</v>
      </c>
      <c r="AC13">
        <f t="shared" ca="1" si="3"/>
        <v>6</v>
      </c>
      <c r="AD13">
        <f t="shared" ca="1" si="3"/>
        <v>0</v>
      </c>
      <c r="AF13">
        <f t="shared" ref="AF13:AF76" si="17">IF(OR($D13&lt;&gt;$AG$7,$E13=1),-1,N13)</f>
        <v>-1</v>
      </c>
      <c r="AG13" t="e">
        <f t="shared" ref="AG13:AM28" ca="1" si="18">IFERROR(AG12+MATCH(AG$10,OFFSET($AF$12,AG12,0,300-AG12,1),0),NA())</f>
        <v>#N/A</v>
      </c>
      <c r="AH13" t="e">
        <f t="shared" ca="1" si="4"/>
        <v>#N/A</v>
      </c>
      <c r="AI13">
        <f t="shared" ca="1" si="4"/>
        <v>20</v>
      </c>
      <c r="AJ13">
        <f t="shared" ca="1" si="4"/>
        <v>5</v>
      </c>
      <c r="AK13">
        <f t="shared" ca="1" si="4"/>
        <v>19</v>
      </c>
      <c r="AL13" t="e">
        <f t="shared" ref="AL13:AM13" ca="1" si="19">IFERROR(AL12+MATCH(AL$10,OFFSET($AF$12,AL12,0,300-AL12,1),0),NA())</f>
        <v>#N/A</v>
      </c>
      <c r="AM13" t="e">
        <f t="shared" ca="1" si="19"/>
        <v>#N/A</v>
      </c>
      <c r="AN13">
        <f t="shared" ref="AN13:AN76" ca="1" si="20">IFERROR(AG13,0)</f>
        <v>0</v>
      </c>
      <c r="AO13">
        <f t="shared" ref="AO13:AO76" ca="1" si="21">IFERROR(AH13,0)</f>
        <v>0</v>
      </c>
      <c r="AP13">
        <f t="shared" ref="AP13:AP76" ca="1" si="22">IFERROR(AI13,0)</f>
        <v>20</v>
      </c>
      <c r="AQ13">
        <f t="shared" ref="AQ13:AQ76" ca="1" si="23">IFERROR(AJ13,0)</f>
        <v>5</v>
      </c>
      <c r="AR13">
        <f t="shared" ref="AR13:AR76" ca="1" si="24">IFERROR(AK13,0)</f>
        <v>19</v>
      </c>
      <c r="AS13">
        <f t="shared" ref="AS13:AS76" ca="1" si="25">IFERROR(AL13,0)</f>
        <v>0</v>
      </c>
      <c r="AT13">
        <f t="shared" ref="AT13:AT76" ca="1" si="26">IFERROR(AM13,0)</f>
        <v>0</v>
      </c>
      <c r="AV13">
        <f t="shared" si="6"/>
        <v>61</v>
      </c>
      <c r="AW13" cm="1">
        <f t="array" ref="AW13">INDEX(auto_DataFlat_Score,$AV13,1)</f>
        <v>65.900000000000006</v>
      </c>
      <c r="AX13" cm="1">
        <f t="array" ref="AX13">INDEX(auto_DataFlat_DataValue,$AV13,1)</f>
        <v>0</v>
      </c>
      <c r="BA13">
        <f t="shared" ref="BA13:BA76" si="27">IFERROR(K13-AW13,"n/a")</f>
        <v>4.0999999999999943</v>
      </c>
      <c r="BB13">
        <f t="shared" ref="BB13:BB76" si="28">IFERROR(IF(BA13&gt;0,1,IF(BA13=0,2,IF(BA13&lt;0,3,"???"))),"n/a")</f>
        <v>1</v>
      </c>
      <c r="BC13">
        <f t="shared" ref="BC13:BC76" si="29">IF(OR($D13&lt;&gt;3,$E13=1),-1,BB13)</f>
        <v>-1</v>
      </c>
      <c r="BD13">
        <f t="shared" ca="1" si="7"/>
        <v>8</v>
      </c>
      <c r="BE13" t="e">
        <f t="shared" ca="1" si="7"/>
        <v>#N/A</v>
      </c>
      <c r="BF13">
        <f t="shared" ca="1" si="7"/>
        <v>5</v>
      </c>
      <c r="BH13">
        <f t="shared" ref="BH13:BJ56" ca="1" si="30">IFERROR(BD13,0)</f>
        <v>8</v>
      </c>
      <c r="BI13">
        <f t="shared" ca="1" si="8"/>
        <v>0</v>
      </c>
      <c r="BJ13">
        <f t="shared" ca="1" si="8"/>
        <v>5</v>
      </c>
      <c r="BM13">
        <f t="shared" ref="BM13:BM76" si="31">IF(OR($D13&lt;&gt;$BN$7,$E13=1),-1,N13)</f>
        <v>-1</v>
      </c>
      <c r="BN13" t="e">
        <f t="shared" ref="BN13:BN76" ca="1" si="32">IFERROR(BN12+MATCH(BN$10,OFFSET($BM$12,BN12,0,300-BN12,1),0),NA())</f>
        <v>#N/A</v>
      </c>
      <c r="BO13" t="e">
        <f t="shared" ref="BO13:BO76" ca="1" si="33">IFERROR(BO12+MATCH(BO$10,OFFSET($BM$12,BO12,0,300-BO12,1),0),NA())</f>
        <v>#N/A</v>
      </c>
      <c r="BP13" t="e">
        <f t="shared" ref="BP13:BP76" ca="1" si="34">IFERROR(BP12+MATCH(BP$10,OFFSET($BM$12,BP12,0,300-BP12,1),0),NA())</f>
        <v>#N/A</v>
      </c>
      <c r="BQ13" t="e">
        <f t="shared" ref="BQ13:BQ76" ca="1" si="35">IFERROR(BQ12+MATCH(BQ$10,OFFSET($BM$12,BQ12,0,300-BQ12,1),0),NA())</f>
        <v>#N/A</v>
      </c>
      <c r="BR13" t="e">
        <f t="shared" ref="BR13:BR76" ca="1" si="36">IFERROR(BR12+MATCH(BR$10,OFFSET($BM$12,BR12,0,300-BR12,1),0),NA())</f>
        <v>#N/A</v>
      </c>
      <c r="BS13" t="e">
        <f t="shared" ref="BS13:BS76" ca="1" si="37">IFERROR(BS12+MATCH(BS$10,OFFSET($BM$12,BS12,0,300-BS12,1),0),NA())</f>
        <v>#N/A</v>
      </c>
      <c r="BT13" t="e">
        <f t="shared" ref="BT13:BT76" ca="1" si="38">IFERROR(BT12+MATCH(BT$10,OFFSET($BM$12,BT12,0,300-BT12,1),0),NA())</f>
        <v>#N/A</v>
      </c>
      <c r="BU13">
        <f t="shared" ref="BU13:BU76" ca="1" si="39">IFERROR(BN13,0)</f>
        <v>0</v>
      </c>
      <c r="BV13">
        <f t="shared" ref="BV13:BV76" ca="1" si="40">IFERROR(BO13,0)</f>
        <v>0</v>
      </c>
      <c r="BW13">
        <f t="shared" ref="BW13:BW76" ca="1" si="41">IFERROR(BP13,0)</f>
        <v>0</v>
      </c>
      <c r="BX13">
        <f t="shared" ref="BX13:BX76" ca="1" si="42">IFERROR(BQ13,0)</f>
        <v>0</v>
      </c>
      <c r="BY13">
        <f t="shared" ref="BY13:BY76" ca="1" si="43">IFERROR(BR13,0)</f>
        <v>0</v>
      </c>
      <c r="BZ13">
        <f t="shared" ca="1" si="10"/>
        <v>0</v>
      </c>
      <c r="CA13">
        <f t="shared" ca="1" si="11"/>
        <v>0</v>
      </c>
    </row>
    <row r="14" spans="1:79" x14ac:dyDescent="0.4">
      <c r="B14">
        <v>3</v>
      </c>
      <c r="C14" t="str" cm="1">
        <f t="array" ref="C14">INDEX(auto_Series_Code,B14)</f>
        <v>INDI_001</v>
      </c>
      <c r="D14" cm="1">
        <f t="array" ref="D14">INDEX(auto_tblSeries,$B14,D$11)</f>
        <v>2</v>
      </c>
      <c r="E14" cm="1">
        <f t="array" ref="E14">INDEX(auto_tblSeries,$B14,E$11)</f>
        <v>0</v>
      </c>
      <c r="F14" cm="1">
        <f t="array" ref="F14">INDEX(auto_tblSeries,$B14,F$11)</f>
        <v>0</v>
      </c>
      <c r="G14" cm="1">
        <f t="array" ref="G14">INDEX(auto_tblSeries,$B14,G$11)</f>
        <v>0</v>
      </c>
      <c r="H14" cm="1">
        <f t="array" ref="H14">INDEX(auto_tblSeries,$B14,H$11)</f>
        <v>1</v>
      </c>
      <c r="I14">
        <f t="shared" si="0"/>
        <v>171</v>
      </c>
      <c r="K14" cm="1">
        <f t="array" ref="K14">INDEX(auto_DataFlat_Score,$I14,K$10)</f>
        <v>67.2</v>
      </c>
      <c r="L14" t="str" cm="1">
        <f t="array" ref="L14">INDEX(auto_DataFlat_Rank,$I14,L$10)</f>
        <v>n/a</v>
      </c>
      <c r="M14" cm="1">
        <f t="array" ref="M14">INDEX(auto_DataFlat_DataValue,$I14,M$10)</f>
        <v>0</v>
      </c>
      <c r="N14" cm="1">
        <f t="array" ref="N14">INDEX(auto_DataFlat_Classification,$I14,M$10)</f>
        <v>4</v>
      </c>
      <c r="O14" cm="1">
        <f t="array" ref="O14">INDEX(auto_DataFlat_IsEstimate,$I14,O$10)</f>
        <v>0</v>
      </c>
      <c r="P14" t="str" cm="1">
        <f t="array" ref="P14">IF(INDEX(auto_DataFlat_DataYear,$I14,P$10)=0,"n/a",INDEX(auto_DataFlat_DataYear,$I14,P$10))</f>
        <v>n/a</v>
      </c>
      <c r="R14">
        <f t="shared" si="1"/>
        <v>171</v>
      </c>
      <c r="S14" cm="1">
        <f t="array" ref="S14">INDEX(auto_DataFlat_Score,$R14,S$10)</f>
        <v>67.2</v>
      </c>
      <c r="U14">
        <f t="shared" si="12"/>
        <v>0</v>
      </c>
      <c r="V14">
        <f t="shared" si="13"/>
        <v>2</v>
      </c>
      <c r="W14">
        <f t="shared" si="14"/>
        <v>2</v>
      </c>
      <c r="X14" t="e">
        <f t="shared" ca="1" si="15"/>
        <v>#N/A</v>
      </c>
      <c r="Y14">
        <f t="shared" ca="1" si="2"/>
        <v>9</v>
      </c>
      <c r="Z14" t="e">
        <f t="shared" ca="1" si="2"/>
        <v>#N/A</v>
      </c>
      <c r="AB14">
        <f t="shared" ca="1" si="16"/>
        <v>0</v>
      </c>
      <c r="AC14">
        <f t="shared" ca="1" si="3"/>
        <v>9</v>
      </c>
      <c r="AD14">
        <f t="shared" ca="1" si="3"/>
        <v>0</v>
      </c>
      <c r="AF14">
        <f t="shared" si="17"/>
        <v>-1</v>
      </c>
      <c r="AG14" t="e">
        <f t="shared" ca="1" si="18"/>
        <v>#N/A</v>
      </c>
      <c r="AH14" t="e">
        <f t="shared" ca="1" si="4"/>
        <v>#N/A</v>
      </c>
      <c r="AI14">
        <f t="shared" ca="1" si="4"/>
        <v>25</v>
      </c>
      <c r="AJ14">
        <f t="shared" ca="1" si="4"/>
        <v>8</v>
      </c>
      <c r="AK14">
        <f t="shared" ca="1" si="4"/>
        <v>30</v>
      </c>
      <c r="AL14" t="e">
        <f t="shared" ref="AL14:AM14" ca="1" si="44">IFERROR(AL13+MATCH(AL$10,OFFSET($AF$12,AL13,0,300-AL13,1),0),NA())</f>
        <v>#N/A</v>
      </c>
      <c r="AM14" t="e">
        <f t="shared" ca="1" si="44"/>
        <v>#N/A</v>
      </c>
      <c r="AN14">
        <f t="shared" ca="1" si="20"/>
        <v>0</v>
      </c>
      <c r="AO14">
        <f t="shared" ca="1" si="21"/>
        <v>0</v>
      </c>
      <c r="AP14">
        <f t="shared" ca="1" si="22"/>
        <v>25</v>
      </c>
      <c r="AQ14">
        <f t="shared" ca="1" si="23"/>
        <v>8</v>
      </c>
      <c r="AR14">
        <f t="shared" ca="1" si="24"/>
        <v>30</v>
      </c>
      <c r="AS14">
        <f t="shared" ca="1" si="25"/>
        <v>0</v>
      </c>
      <c r="AT14">
        <f t="shared" ca="1" si="26"/>
        <v>0</v>
      </c>
      <c r="AV14">
        <f t="shared" si="6"/>
        <v>121</v>
      </c>
      <c r="AW14" cm="1">
        <f t="array" ref="AW14">INDEX(auto_DataFlat_Score,$AV14,1)</f>
        <v>82.5</v>
      </c>
      <c r="AX14" cm="1">
        <f t="array" ref="AX14">INDEX(auto_DataFlat_DataValue,$AV14,1)</f>
        <v>0</v>
      </c>
      <c r="BA14">
        <f t="shared" si="27"/>
        <v>-15.299999999999997</v>
      </c>
      <c r="BB14">
        <f t="shared" si="28"/>
        <v>3</v>
      </c>
      <c r="BC14">
        <f t="shared" si="29"/>
        <v>-1</v>
      </c>
      <c r="BD14">
        <f t="shared" ca="1" si="7"/>
        <v>19</v>
      </c>
      <c r="BE14" t="e">
        <f t="shared" ca="1" si="7"/>
        <v>#N/A</v>
      </c>
      <c r="BF14">
        <f t="shared" ca="1" si="7"/>
        <v>10</v>
      </c>
      <c r="BH14">
        <f t="shared" ca="1" si="30"/>
        <v>19</v>
      </c>
      <c r="BI14">
        <f t="shared" ca="1" si="8"/>
        <v>0</v>
      </c>
      <c r="BJ14">
        <f t="shared" ca="1" si="8"/>
        <v>10</v>
      </c>
      <c r="BM14">
        <f t="shared" si="31"/>
        <v>-1</v>
      </c>
      <c r="BN14" t="e">
        <f t="shared" ca="1" si="32"/>
        <v>#N/A</v>
      </c>
      <c r="BO14" t="e">
        <f t="shared" ca="1" si="33"/>
        <v>#N/A</v>
      </c>
      <c r="BP14" t="e">
        <f t="shared" ca="1" si="34"/>
        <v>#N/A</v>
      </c>
      <c r="BQ14" t="e">
        <f t="shared" ca="1" si="35"/>
        <v>#N/A</v>
      </c>
      <c r="BR14" t="e">
        <f t="shared" ca="1" si="36"/>
        <v>#N/A</v>
      </c>
      <c r="BS14" t="e">
        <f t="shared" ca="1" si="37"/>
        <v>#N/A</v>
      </c>
      <c r="BT14" t="e">
        <f t="shared" ca="1" si="38"/>
        <v>#N/A</v>
      </c>
      <c r="BU14">
        <f t="shared" ca="1" si="39"/>
        <v>0</v>
      </c>
      <c r="BV14">
        <f t="shared" ca="1" si="40"/>
        <v>0</v>
      </c>
      <c r="BW14">
        <f t="shared" ca="1" si="41"/>
        <v>0</v>
      </c>
      <c r="BX14">
        <f t="shared" ca="1" si="42"/>
        <v>0</v>
      </c>
      <c r="BY14">
        <f t="shared" ca="1" si="43"/>
        <v>0</v>
      </c>
      <c r="BZ14">
        <f t="shared" ca="1" si="10"/>
        <v>0</v>
      </c>
      <c r="CA14">
        <f t="shared" ca="1" si="11"/>
        <v>0</v>
      </c>
    </row>
    <row r="15" spans="1:79" x14ac:dyDescent="0.4">
      <c r="B15">
        <v>4</v>
      </c>
      <c r="C15" t="str" cm="1">
        <f t="array" ref="C15">INDEX(auto_Series_Code,B15)</f>
        <v>SUBINDI_001</v>
      </c>
      <c r="D15" cm="1">
        <f t="array" ref="D15">INDEX(auto_tblSeries,$B15,D$11)</f>
        <v>3</v>
      </c>
      <c r="E15" cm="1">
        <f t="array" ref="E15">INDEX(auto_tblSeries,$B15,E$11)</f>
        <v>0</v>
      </c>
      <c r="F15" cm="1">
        <f t="array" ref="F15">INDEX(auto_tblSeries,$B15,F$11)</f>
        <v>1</v>
      </c>
      <c r="G15" cm="1">
        <f t="array" ref="G15">INDEX(auto_tblSeries,$B15,G$11)</f>
        <v>0</v>
      </c>
      <c r="H15" cm="1">
        <f t="array" ref="H15">INDEX(auto_tblSeries,$B15,H$11)</f>
        <v>1</v>
      </c>
      <c r="I15">
        <f t="shared" si="0"/>
        <v>231</v>
      </c>
      <c r="K15" cm="1">
        <f t="array" ref="K15">INDEX(auto_DataFlat_Score,$I15,K$10)</f>
        <v>64.400000000000006</v>
      </c>
      <c r="L15" t="str" cm="1">
        <f t="array" ref="L15">INDEX(auto_DataFlat_Rank,$I15,L$10)</f>
        <v>n/a</v>
      </c>
      <c r="M15" cm="1">
        <f t="array" ref="M15">INDEX(auto_DataFlat_DataValue,$I15,M$10)</f>
        <v>0</v>
      </c>
      <c r="N15" cm="1">
        <f t="array" ref="N15">INDEX(auto_DataFlat_Classification,$I15,M$10)</f>
        <v>4</v>
      </c>
      <c r="O15" cm="1">
        <f t="array" ref="O15">INDEX(auto_DataFlat_IsEstimate,$I15,O$10)</f>
        <v>0</v>
      </c>
      <c r="P15" t="str" cm="1">
        <f t="array" ref="P15">IF(INDEX(auto_DataFlat_DataYear,$I15,P$10)=0,"n/a",INDEX(auto_DataFlat_DataYear,$I15,P$10))</f>
        <v>n/a</v>
      </c>
      <c r="R15">
        <f t="shared" si="1"/>
        <v>231</v>
      </c>
      <c r="S15" cm="1">
        <f t="array" ref="S15">INDEX(auto_DataFlat_Score,$R15,S$10)</f>
        <v>64.400000000000006</v>
      </c>
      <c r="U15">
        <f t="shared" si="12"/>
        <v>0</v>
      </c>
      <c r="V15">
        <f t="shared" si="13"/>
        <v>2</v>
      </c>
      <c r="W15">
        <f t="shared" si="14"/>
        <v>-1</v>
      </c>
      <c r="X15" t="e">
        <f t="shared" ca="1" si="15"/>
        <v>#N/A</v>
      </c>
      <c r="Y15">
        <f t="shared" ca="1" si="2"/>
        <v>12</v>
      </c>
      <c r="Z15" t="e">
        <f t="shared" ca="1" si="2"/>
        <v>#N/A</v>
      </c>
      <c r="AB15">
        <f t="shared" ca="1" si="16"/>
        <v>0</v>
      </c>
      <c r="AC15">
        <f t="shared" ca="1" si="3"/>
        <v>12</v>
      </c>
      <c r="AD15">
        <f t="shared" ca="1" si="3"/>
        <v>0</v>
      </c>
      <c r="AF15">
        <f t="shared" si="17"/>
        <v>4</v>
      </c>
      <c r="AG15" t="e">
        <f t="shared" ca="1" si="18"/>
        <v>#N/A</v>
      </c>
      <c r="AH15" t="e">
        <f t="shared" ca="1" si="4"/>
        <v>#N/A</v>
      </c>
      <c r="AI15">
        <f t="shared" ca="1" si="4"/>
        <v>27</v>
      </c>
      <c r="AJ15">
        <f t="shared" ca="1" si="4"/>
        <v>11</v>
      </c>
      <c r="AK15">
        <f t="shared" ca="1" si="4"/>
        <v>39</v>
      </c>
      <c r="AL15" t="e">
        <f t="shared" ref="AL15:AM15" ca="1" si="45">IFERROR(AL14+MATCH(AL$10,OFFSET($AF$12,AL14,0,300-AL14,1),0),NA())</f>
        <v>#N/A</v>
      </c>
      <c r="AM15" t="e">
        <f t="shared" ca="1" si="45"/>
        <v>#N/A</v>
      </c>
      <c r="AN15">
        <f t="shared" ca="1" si="20"/>
        <v>0</v>
      </c>
      <c r="AO15">
        <f t="shared" ca="1" si="21"/>
        <v>0</v>
      </c>
      <c r="AP15">
        <f t="shared" ca="1" si="22"/>
        <v>27</v>
      </c>
      <c r="AQ15">
        <f t="shared" ca="1" si="23"/>
        <v>11</v>
      </c>
      <c r="AR15">
        <f t="shared" ca="1" si="24"/>
        <v>39</v>
      </c>
      <c r="AS15">
        <f t="shared" ca="1" si="25"/>
        <v>0</v>
      </c>
      <c r="AT15">
        <f t="shared" ca="1" si="26"/>
        <v>0</v>
      </c>
      <c r="AV15">
        <f t="shared" si="6"/>
        <v>181</v>
      </c>
      <c r="AW15" cm="1">
        <f t="array" ref="AW15">INDEX(auto_DataFlat_Score,$AV15,1)</f>
        <v>65</v>
      </c>
      <c r="AX15" cm="1">
        <f t="array" ref="AX15">INDEX(auto_DataFlat_DataValue,$AV15,1)</f>
        <v>35</v>
      </c>
      <c r="BA15">
        <f t="shared" si="27"/>
        <v>-0.59999999999999432</v>
      </c>
      <c r="BB15">
        <f t="shared" si="28"/>
        <v>3</v>
      </c>
      <c r="BC15">
        <f t="shared" si="29"/>
        <v>3</v>
      </c>
      <c r="BD15">
        <f t="shared" ca="1" si="7"/>
        <v>25</v>
      </c>
      <c r="BE15" t="e">
        <f t="shared" ca="1" si="7"/>
        <v>#N/A</v>
      </c>
      <c r="BF15">
        <f t="shared" ca="1" si="7"/>
        <v>11</v>
      </c>
      <c r="BH15">
        <f t="shared" ca="1" si="30"/>
        <v>25</v>
      </c>
      <c r="BI15">
        <f t="shared" ca="1" si="8"/>
        <v>0</v>
      </c>
      <c r="BJ15">
        <f t="shared" ca="1" si="8"/>
        <v>11</v>
      </c>
      <c r="BM15">
        <f t="shared" si="31"/>
        <v>-1</v>
      </c>
      <c r="BN15" t="e">
        <f t="shared" ca="1" si="32"/>
        <v>#N/A</v>
      </c>
      <c r="BO15" t="e">
        <f t="shared" ca="1" si="33"/>
        <v>#N/A</v>
      </c>
      <c r="BP15" t="e">
        <f t="shared" ca="1" si="34"/>
        <v>#N/A</v>
      </c>
      <c r="BQ15" t="e">
        <f t="shared" ca="1" si="35"/>
        <v>#N/A</v>
      </c>
      <c r="BR15" t="e">
        <f t="shared" ca="1" si="36"/>
        <v>#N/A</v>
      </c>
      <c r="BS15" t="e">
        <f t="shared" ca="1" si="37"/>
        <v>#N/A</v>
      </c>
      <c r="BT15" t="e">
        <f t="shared" ca="1" si="38"/>
        <v>#N/A</v>
      </c>
      <c r="BU15">
        <f t="shared" ca="1" si="39"/>
        <v>0</v>
      </c>
      <c r="BV15">
        <f t="shared" ca="1" si="40"/>
        <v>0</v>
      </c>
      <c r="BW15">
        <f t="shared" ca="1" si="41"/>
        <v>0</v>
      </c>
      <c r="BX15">
        <f t="shared" ca="1" si="42"/>
        <v>0</v>
      </c>
      <c r="BY15">
        <f t="shared" ca="1" si="43"/>
        <v>0</v>
      </c>
      <c r="BZ15">
        <f t="shared" ca="1" si="10"/>
        <v>0</v>
      </c>
      <c r="CA15">
        <f t="shared" ca="1" si="11"/>
        <v>0</v>
      </c>
    </row>
    <row r="16" spans="1:79" x14ac:dyDescent="0.4">
      <c r="B16">
        <v>5</v>
      </c>
      <c r="C16" t="str" cm="1">
        <f t="array" ref="C16">INDEX(auto_Series_Code,B16)</f>
        <v>SUBINDI_002</v>
      </c>
      <c r="D16" cm="1">
        <f t="array" ref="D16">INDEX(auto_tblSeries,$B16,D$11)</f>
        <v>3</v>
      </c>
      <c r="E16" cm="1">
        <f t="array" ref="E16">INDEX(auto_tblSeries,$B16,E$11)</f>
        <v>0</v>
      </c>
      <c r="F16" cm="1">
        <f t="array" ref="F16">INDEX(auto_tblSeries,$B16,F$11)</f>
        <v>1</v>
      </c>
      <c r="G16" cm="1">
        <f t="array" ref="G16">INDEX(auto_tblSeries,$B16,G$11)</f>
        <v>0</v>
      </c>
      <c r="H16" cm="1">
        <f t="array" ref="H16">INDEX(auto_tblSeries,$B16,H$11)</f>
        <v>0</v>
      </c>
      <c r="I16">
        <f t="shared" si="0"/>
        <v>291</v>
      </c>
      <c r="K16" cm="1">
        <f t="array" ref="K16">INDEX(auto_DataFlat_Score,$I16,K$10)</f>
        <v>70</v>
      </c>
      <c r="L16" t="str" cm="1">
        <f t="array" ref="L16">INDEX(auto_DataFlat_Rank,$I16,L$10)</f>
        <v>n/a</v>
      </c>
      <c r="M16" cm="1">
        <f t="array" ref="M16">INDEX(auto_DataFlat_DataValue,$I16,M$10)</f>
        <v>0</v>
      </c>
      <c r="N16" cm="1">
        <f t="array" ref="N16">INDEX(auto_DataFlat_Classification,$I16,M$10)</f>
        <v>4</v>
      </c>
      <c r="O16" cm="1">
        <f t="array" ref="O16">INDEX(auto_DataFlat_IsEstimate,$I16,O$10)</f>
        <v>0</v>
      </c>
      <c r="P16" t="str" cm="1">
        <f t="array" ref="P16">IF(INDEX(auto_DataFlat_DataYear,$I16,P$10)=0,"n/a",INDEX(auto_DataFlat_DataYear,$I16,P$10))</f>
        <v>n/a</v>
      </c>
      <c r="R16">
        <f t="shared" si="1"/>
        <v>291</v>
      </c>
      <c r="S16" cm="1">
        <f t="array" ref="S16">INDEX(auto_DataFlat_Score,$R16,S$10)</f>
        <v>70</v>
      </c>
      <c r="U16">
        <f t="shared" si="12"/>
        <v>0</v>
      </c>
      <c r="V16">
        <f t="shared" si="13"/>
        <v>2</v>
      </c>
      <c r="W16">
        <f t="shared" si="14"/>
        <v>-1</v>
      </c>
      <c r="X16" t="e">
        <f t="shared" ca="1" si="15"/>
        <v>#N/A</v>
      </c>
      <c r="Y16">
        <f t="shared" ca="1" si="2"/>
        <v>13</v>
      </c>
      <c r="Z16" t="e">
        <f t="shared" ca="1" si="2"/>
        <v>#N/A</v>
      </c>
      <c r="AB16">
        <f t="shared" ca="1" si="16"/>
        <v>0</v>
      </c>
      <c r="AC16">
        <f t="shared" ca="1" si="3"/>
        <v>13</v>
      </c>
      <c r="AD16">
        <f t="shared" ca="1" si="3"/>
        <v>0</v>
      </c>
      <c r="AF16">
        <f t="shared" si="17"/>
        <v>4</v>
      </c>
      <c r="AG16" t="e">
        <f t="shared" ca="1" si="18"/>
        <v>#N/A</v>
      </c>
      <c r="AH16" t="e">
        <f t="shared" ca="1" si="4"/>
        <v>#N/A</v>
      </c>
      <c r="AI16">
        <f t="shared" ca="1" si="4"/>
        <v>28</v>
      </c>
      <c r="AJ16">
        <f t="shared" ca="1" si="4"/>
        <v>24</v>
      </c>
      <c r="AK16" t="e">
        <f t="shared" ca="1" si="4"/>
        <v>#N/A</v>
      </c>
      <c r="AL16" t="e">
        <f t="shared" ref="AL16:AM16" ca="1" si="46">IFERROR(AL15+MATCH(AL$10,OFFSET($AF$12,AL15,0,300-AL15,1),0),NA())</f>
        <v>#N/A</v>
      </c>
      <c r="AM16" t="e">
        <f t="shared" ca="1" si="46"/>
        <v>#N/A</v>
      </c>
      <c r="AN16">
        <f t="shared" ca="1" si="20"/>
        <v>0</v>
      </c>
      <c r="AO16">
        <f t="shared" ca="1" si="21"/>
        <v>0</v>
      </c>
      <c r="AP16">
        <f t="shared" ca="1" si="22"/>
        <v>28</v>
      </c>
      <c r="AQ16">
        <f t="shared" ca="1" si="23"/>
        <v>24</v>
      </c>
      <c r="AR16">
        <f t="shared" ca="1" si="24"/>
        <v>0</v>
      </c>
      <c r="AS16">
        <f t="shared" ca="1" si="25"/>
        <v>0</v>
      </c>
      <c r="AT16">
        <f t="shared" ca="1" si="26"/>
        <v>0</v>
      </c>
      <c r="AV16">
        <f t="shared" si="6"/>
        <v>241</v>
      </c>
      <c r="AW16" cm="1">
        <f t="array" ref="AW16">INDEX(auto_DataFlat_Score,$AV16,1)</f>
        <v>100</v>
      </c>
      <c r="AX16" cm="1">
        <f t="array" ref="AX16">INDEX(auto_DataFlat_DataValue,$AV16,1)</f>
        <v>1</v>
      </c>
      <c r="BA16">
        <f t="shared" si="27"/>
        <v>-30</v>
      </c>
      <c r="BB16">
        <f t="shared" si="28"/>
        <v>3</v>
      </c>
      <c r="BC16">
        <f t="shared" si="29"/>
        <v>3</v>
      </c>
      <c r="BD16">
        <f t="shared" ca="1" si="7"/>
        <v>27</v>
      </c>
      <c r="BE16" t="e">
        <f t="shared" ca="1" si="7"/>
        <v>#N/A</v>
      </c>
      <c r="BF16">
        <f t="shared" ca="1" si="7"/>
        <v>20</v>
      </c>
      <c r="BH16">
        <f t="shared" ca="1" si="30"/>
        <v>27</v>
      </c>
      <c r="BI16">
        <f t="shared" ca="1" si="8"/>
        <v>0</v>
      </c>
      <c r="BJ16">
        <f t="shared" ca="1" si="8"/>
        <v>20</v>
      </c>
      <c r="BM16">
        <f t="shared" si="31"/>
        <v>-1</v>
      </c>
      <c r="BN16" t="e">
        <f t="shared" ca="1" si="32"/>
        <v>#N/A</v>
      </c>
      <c r="BO16" t="e">
        <f t="shared" ca="1" si="33"/>
        <v>#N/A</v>
      </c>
      <c r="BP16" t="e">
        <f t="shared" ca="1" si="34"/>
        <v>#N/A</v>
      </c>
      <c r="BQ16" t="e">
        <f t="shared" ca="1" si="35"/>
        <v>#N/A</v>
      </c>
      <c r="BR16" t="e">
        <f t="shared" ca="1" si="36"/>
        <v>#N/A</v>
      </c>
      <c r="BS16" t="e">
        <f t="shared" ca="1" si="37"/>
        <v>#N/A</v>
      </c>
      <c r="BT16" t="e">
        <f t="shared" ca="1" si="38"/>
        <v>#N/A</v>
      </c>
      <c r="BU16">
        <f t="shared" ca="1" si="39"/>
        <v>0</v>
      </c>
      <c r="BV16">
        <f t="shared" ca="1" si="40"/>
        <v>0</v>
      </c>
      <c r="BW16">
        <f t="shared" ca="1" si="41"/>
        <v>0</v>
      </c>
      <c r="BX16">
        <f t="shared" ca="1" si="42"/>
        <v>0</v>
      </c>
      <c r="BY16">
        <f t="shared" ca="1" si="43"/>
        <v>0</v>
      </c>
      <c r="BZ16">
        <f t="shared" ca="1" si="10"/>
        <v>0</v>
      </c>
      <c r="CA16">
        <f t="shared" ca="1" si="11"/>
        <v>0</v>
      </c>
    </row>
    <row r="17" spans="2:79" x14ac:dyDescent="0.4">
      <c r="B17">
        <v>6</v>
      </c>
      <c r="C17" t="str" cm="1">
        <f t="array" ref="C17">INDEX(auto_Series_Code,B17)</f>
        <v>INDI_002</v>
      </c>
      <c r="D17" cm="1">
        <f t="array" ref="D17">INDEX(auto_tblSeries,$B17,D$11)</f>
        <v>2</v>
      </c>
      <c r="E17" cm="1">
        <f t="array" ref="E17">INDEX(auto_tblSeries,$B17,E$11)</f>
        <v>0</v>
      </c>
      <c r="F17" cm="1">
        <f t="array" ref="F17">INDEX(auto_tblSeries,$B17,F$11)</f>
        <v>0</v>
      </c>
      <c r="G17" cm="1">
        <f t="array" ref="G17">INDEX(auto_tblSeries,$B17,G$11)</f>
        <v>0</v>
      </c>
      <c r="H17" cm="1">
        <f t="array" ref="H17">INDEX(auto_tblSeries,$B17,H$11)</f>
        <v>1</v>
      </c>
      <c r="I17">
        <f t="shared" si="0"/>
        <v>351</v>
      </c>
      <c r="K17" cm="1">
        <f t="array" ref="K17">INDEX(auto_DataFlat_Score,$I17,K$10)</f>
        <v>59.4</v>
      </c>
      <c r="L17" t="str" cm="1">
        <f t="array" ref="L17">INDEX(auto_DataFlat_Rank,$I17,L$10)</f>
        <v>n/a</v>
      </c>
      <c r="M17" cm="1">
        <f t="array" ref="M17">INDEX(auto_DataFlat_DataValue,$I17,M$10)</f>
        <v>0</v>
      </c>
      <c r="N17" cm="1">
        <f t="array" ref="N17">INDEX(auto_DataFlat_Classification,$I17,M$10)</f>
        <v>3</v>
      </c>
      <c r="O17" cm="1">
        <f t="array" ref="O17">INDEX(auto_DataFlat_IsEstimate,$I17,O$10)</f>
        <v>0</v>
      </c>
      <c r="P17" t="str" cm="1">
        <f t="array" ref="P17">IF(INDEX(auto_DataFlat_DataYear,$I17,P$10)=0,"n/a",INDEX(auto_DataFlat_DataYear,$I17,P$10))</f>
        <v>n/a</v>
      </c>
      <c r="R17">
        <f t="shared" si="1"/>
        <v>351</v>
      </c>
      <c r="S17" cm="1">
        <f t="array" ref="S17">INDEX(auto_DataFlat_Score,$R17,S$10)</f>
        <v>59.4</v>
      </c>
      <c r="U17">
        <f t="shared" si="12"/>
        <v>0</v>
      </c>
      <c r="V17">
        <f t="shared" si="13"/>
        <v>2</v>
      </c>
      <c r="W17">
        <f t="shared" si="14"/>
        <v>2</v>
      </c>
      <c r="X17" t="e">
        <f t="shared" ca="1" si="15"/>
        <v>#N/A</v>
      </c>
      <c r="Y17">
        <f t="shared" ca="1" si="2"/>
        <v>15</v>
      </c>
      <c r="Z17" t="e">
        <f t="shared" ca="1" si="2"/>
        <v>#N/A</v>
      </c>
      <c r="AB17">
        <f t="shared" ca="1" si="16"/>
        <v>0</v>
      </c>
      <c r="AC17">
        <f t="shared" ca="1" si="3"/>
        <v>15</v>
      </c>
      <c r="AD17">
        <f t="shared" ca="1" si="3"/>
        <v>0</v>
      </c>
      <c r="AF17">
        <f t="shared" si="17"/>
        <v>-1</v>
      </c>
      <c r="AG17" t="e">
        <f t="shared" ca="1" si="18"/>
        <v>#N/A</v>
      </c>
      <c r="AH17" t="e">
        <f t="shared" ca="1" si="4"/>
        <v>#N/A</v>
      </c>
      <c r="AI17">
        <f t="shared" ca="1" si="4"/>
        <v>34</v>
      </c>
      <c r="AJ17">
        <f t="shared" ca="1" si="4"/>
        <v>33</v>
      </c>
      <c r="AK17" t="e">
        <f t="shared" ca="1" si="4"/>
        <v>#N/A</v>
      </c>
      <c r="AL17" t="e">
        <f t="shared" ref="AL17:AM17" ca="1" si="47">IFERROR(AL16+MATCH(AL$10,OFFSET($AF$12,AL16,0,300-AL16,1),0),NA())</f>
        <v>#N/A</v>
      </c>
      <c r="AM17" t="e">
        <f t="shared" ca="1" si="47"/>
        <v>#N/A</v>
      </c>
      <c r="AN17">
        <f t="shared" ca="1" si="20"/>
        <v>0</v>
      </c>
      <c r="AO17">
        <f t="shared" ca="1" si="21"/>
        <v>0</v>
      </c>
      <c r="AP17">
        <f t="shared" ca="1" si="22"/>
        <v>34</v>
      </c>
      <c r="AQ17">
        <f t="shared" ca="1" si="23"/>
        <v>33</v>
      </c>
      <c r="AR17">
        <f t="shared" ca="1" si="24"/>
        <v>0</v>
      </c>
      <c r="AS17">
        <f t="shared" ca="1" si="25"/>
        <v>0</v>
      </c>
      <c r="AT17">
        <f t="shared" ca="1" si="26"/>
        <v>0</v>
      </c>
      <c r="AV17">
        <f t="shared" si="6"/>
        <v>301</v>
      </c>
      <c r="AW17" cm="1">
        <f t="array" ref="AW17">INDEX(auto_DataFlat_Score,$AV17,1)</f>
        <v>2.2999999999999998</v>
      </c>
      <c r="AX17" cm="1">
        <f t="array" ref="AX17">INDEX(auto_DataFlat_DataValue,$AV17,1)</f>
        <v>0</v>
      </c>
      <c r="BA17">
        <f t="shared" si="27"/>
        <v>57.1</v>
      </c>
      <c r="BB17">
        <f t="shared" si="28"/>
        <v>1</v>
      </c>
      <c r="BC17">
        <f t="shared" si="29"/>
        <v>-1</v>
      </c>
      <c r="BD17">
        <f t="shared" ca="1" si="7"/>
        <v>28</v>
      </c>
      <c r="BE17" t="e">
        <f t="shared" ca="1" si="7"/>
        <v>#N/A</v>
      </c>
      <c r="BF17">
        <f t="shared" ca="1" si="7"/>
        <v>24</v>
      </c>
      <c r="BH17">
        <f t="shared" ca="1" si="30"/>
        <v>28</v>
      </c>
      <c r="BI17">
        <f t="shared" ca="1" si="8"/>
        <v>0</v>
      </c>
      <c r="BJ17">
        <f t="shared" ca="1" si="8"/>
        <v>24</v>
      </c>
      <c r="BM17">
        <f t="shared" si="31"/>
        <v>-1</v>
      </c>
      <c r="BN17" t="e">
        <f t="shared" ca="1" si="32"/>
        <v>#N/A</v>
      </c>
      <c r="BO17" t="e">
        <f t="shared" ca="1" si="33"/>
        <v>#N/A</v>
      </c>
      <c r="BP17" t="e">
        <f t="shared" ca="1" si="34"/>
        <v>#N/A</v>
      </c>
      <c r="BQ17" t="e">
        <f t="shared" ca="1" si="35"/>
        <v>#N/A</v>
      </c>
      <c r="BR17" t="e">
        <f t="shared" ca="1" si="36"/>
        <v>#N/A</v>
      </c>
      <c r="BS17" t="e">
        <f t="shared" ca="1" si="37"/>
        <v>#N/A</v>
      </c>
      <c r="BT17" t="e">
        <f t="shared" ca="1" si="38"/>
        <v>#N/A</v>
      </c>
      <c r="BU17">
        <f t="shared" ca="1" si="39"/>
        <v>0</v>
      </c>
      <c r="BV17">
        <f t="shared" ca="1" si="40"/>
        <v>0</v>
      </c>
      <c r="BW17">
        <f t="shared" ca="1" si="41"/>
        <v>0</v>
      </c>
      <c r="BX17">
        <f t="shared" ca="1" si="42"/>
        <v>0</v>
      </c>
      <c r="BY17">
        <f t="shared" ca="1" si="43"/>
        <v>0</v>
      </c>
      <c r="BZ17">
        <f t="shared" ca="1" si="10"/>
        <v>0</v>
      </c>
      <c r="CA17">
        <f t="shared" ca="1" si="11"/>
        <v>0</v>
      </c>
    </row>
    <row r="18" spans="2:79" x14ac:dyDescent="0.4">
      <c r="B18">
        <v>7</v>
      </c>
      <c r="C18" t="str" cm="1">
        <f t="array" ref="C18">INDEX(auto_Series_Code,B18)</f>
        <v>SUBINDI_003</v>
      </c>
      <c r="D18" cm="1">
        <f t="array" ref="D18">INDEX(auto_tblSeries,$B18,D$11)</f>
        <v>3</v>
      </c>
      <c r="E18" cm="1">
        <f t="array" ref="E18">INDEX(auto_tblSeries,$B18,E$11)</f>
        <v>0</v>
      </c>
      <c r="F18" cm="1">
        <f t="array" ref="F18">INDEX(auto_tblSeries,$B18,F$11)</f>
        <v>1</v>
      </c>
      <c r="G18" cm="1">
        <f t="array" ref="G18">INDEX(auto_tblSeries,$B18,G$11)</f>
        <v>0</v>
      </c>
      <c r="H18" cm="1">
        <f t="array" ref="H18">INDEX(auto_tblSeries,$B18,H$11)</f>
        <v>1</v>
      </c>
      <c r="I18">
        <f t="shared" si="0"/>
        <v>411</v>
      </c>
      <c r="K18" cm="1">
        <f t="array" ref="K18">INDEX(auto_DataFlat_Score,$I18,K$10)</f>
        <v>54.8</v>
      </c>
      <c r="L18" t="str" cm="1">
        <f t="array" ref="L18">INDEX(auto_DataFlat_Rank,$I18,L$10)</f>
        <v>n/a</v>
      </c>
      <c r="M18" cm="1">
        <f t="array" ref="M18">INDEX(auto_DataFlat_DataValue,$I18,M$10)</f>
        <v>0</v>
      </c>
      <c r="N18" cm="1">
        <f t="array" ref="N18">INDEX(auto_DataFlat_Classification,$I18,M$10)</f>
        <v>3</v>
      </c>
      <c r="O18" cm="1">
        <f t="array" ref="O18">INDEX(auto_DataFlat_IsEstimate,$I18,O$10)</f>
        <v>0</v>
      </c>
      <c r="P18" t="str" cm="1">
        <f t="array" ref="P18">IF(INDEX(auto_DataFlat_DataYear,$I18,P$10)=0,"n/a",INDEX(auto_DataFlat_DataYear,$I18,P$10))</f>
        <v>n/a</v>
      </c>
      <c r="R18">
        <f t="shared" si="1"/>
        <v>411</v>
      </c>
      <c r="S18" cm="1">
        <f t="array" ref="S18">INDEX(auto_DataFlat_Score,$R18,S$10)</f>
        <v>54.8</v>
      </c>
      <c r="U18">
        <f t="shared" si="12"/>
        <v>0</v>
      </c>
      <c r="V18">
        <f t="shared" si="13"/>
        <v>2</v>
      </c>
      <c r="W18">
        <f t="shared" si="14"/>
        <v>-1</v>
      </c>
      <c r="X18" t="e">
        <f t="shared" ca="1" si="15"/>
        <v>#N/A</v>
      </c>
      <c r="Y18">
        <f t="shared" ca="1" si="2"/>
        <v>16</v>
      </c>
      <c r="Z18" t="e">
        <f t="shared" ca="1" si="2"/>
        <v>#N/A</v>
      </c>
      <c r="AB18">
        <f t="shared" ca="1" si="16"/>
        <v>0</v>
      </c>
      <c r="AC18">
        <f t="shared" ca="1" si="3"/>
        <v>16</v>
      </c>
      <c r="AD18">
        <f t="shared" ca="1" si="3"/>
        <v>0</v>
      </c>
      <c r="AF18">
        <f t="shared" si="17"/>
        <v>3</v>
      </c>
      <c r="AG18" t="e">
        <f t="shared" ca="1" si="18"/>
        <v>#N/A</v>
      </c>
      <c r="AH18" t="e">
        <f t="shared" ca="1" si="4"/>
        <v>#N/A</v>
      </c>
      <c r="AI18">
        <f t="shared" ca="1" si="4"/>
        <v>37</v>
      </c>
      <c r="AJ18">
        <f t="shared" ca="1" si="4"/>
        <v>36</v>
      </c>
      <c r="AK18" t="e">
        <f t="shared" ca="1" si="4"/>
        <v>#N/A</v>
      </c>
      <c r="AL18" t="e">
        <f t="shared" ref="AL18:AM18" ca="1" si="48">IFERROR(AL17+MATCH(AL$10,OFFSET($AF$12,AL17,0,300-AL17,1),0),NA())</f>
        <v>#N/A</v>
      </c>
      <c r="AM18" t="e">
        <f t="shared" ca="1" si="48"/>
        <v>#N/A</v>
      </c>
      <c r="AN18">
        <f t="shared" ca="1" si="20"/>
        <v>0</v>
      </c>
      <c r="AO18">
        <f t="shared" ca="1" si="21"/>
        <v>0</v>
      </c>
      <c r="AP18">
        <f t="shared" ca="1" si="22"/>
        <v>37</v>
      </c>
      <c r="AQ18">
        <f t="shared" ca="1" si="23"/>
        <v>36</v>
      </c>
      <c r="AR18">
        <f t="shared" ca="1" si="24"/>
        <v>0</v>
      </c>
      <c r="AS18">
        <f t="shared" ca="1" si="25"/>
        <v>0</v>
      </c>
      <c r="AT18">
        <f t="shared" ca="1" si="26"/>
        <v>0</v>
      </c>
      <c r="AV18">
        <f t="shared" si="6"/>
        <v>361</v>
      </c>
      <c r="AW18" cm="1">
        <f t="array" ref="AW18">INDEX(auto_DataFlat_Score,$AV18,1)</f>
        <v>4.5</v>
      </c>
      <c r="AX18" cm="1">
        <f t="array" ref="AX18">INDEX(auto_DataFlat_DataValue,$AV18,1)</f>
        <v>4.5</v>
      </c>
      <c r="BA18">
        <f t="shared" si="27"/>
        <v>50.3</v>
      </c>
      <c r="BB18">
        <f t="shared" si="28"/>
        <v>1</v>
      </c>
      <c r="BC18">
        <f t="shared" si="29"/>
        <v>1</v>
      </c>
      <c r="BD18">
        <f t="shared" ca="1" si="7"/>
        <v>31</v>
      </c>
      <c r="BE18" t="e">
        <f t="shared" ca="1" si="7"/>
        <v>#N/A</v>
      </c>
      <c r="BF18">
        <f t="shared" ca="1" si="7"/>
        <v>30</v>
      </c>
      <c r="BH18">
        <f t="shared" ca="1" si="30"/>
        <v>31</v>
      </c>
      <c r="BI18">
        <f t="shared" ca="1" si="8"/>
        <v>0</v>
      </c>
      <c r="BJ18">
        <f t="shared" ca="1" si="8"/>
        <v>30</v>
      </c>
      <c r="BM18">
        <f t="shared" si="31"/>
        <v>-1</v>
      </c>
      <c r="BN18" t="e">
        <f t="shared" ca="1" si="32"/>
        <v>#N/A</v>
      </c>
      <c r="BO18" t="e">
        <f t="shared" ca="1" si="33"/>
        <v>#N/A</v>
      </c>
      <c r="BP18" t="e">
        <f t="shared" ca="1" si="34"/>
        <v>#N/A</v>
      </c>
      <c r="BQ18" t="e">
        <f t="shared" ca="1" si="35"/>
        <v>#N/A</v>
      </c>
      <c r="BR18" t="e">
        <f t="shared" ca="1" si="36"/>
        <v>#N/A</v>
      </c>
      <c r="BS18" t="e">
        <f t="shared" ca="1" si="37"/>
        <v>#N/A</v>
      </c>
      <c r="BT18" t="e">
        <f t="shared" ca="1" si="38"/>
        <v>#N/A</v>
      </c>
      <c r="BU18">
        <f t="shared" ca="1" si="39"/>
        <v>0</v>
      </c>
      <c r="BV18">
        <f t="shared" ca="1" si="40"/>
        <v>0</v>
      </c>
      <c r="BW18">
        <f t="shared" ca="1" si="41"/>
        <v>0</v>
      </c>
      <c r="BX18">
        <f t="shared" ca="1" si="42"/>
        <v>0</v>
      </c>
      <c r="BY18">
        <f t="shared" ca="1" si="43"/>
        <v>0</v>
      </c>
      <c r="BZ18">
        <f t="shared" ca="1" si="10"/>
        <v>0</v>
      </c>
      <c r="CA18">
        <f t="shared" ca="1" si="11"/>
        <v>0</v>
      </c>
    </row>
    <row r="19" spans="2:79" x14ac:dyDescent="0.4">
      <c r="B19">
        <v>8</v>
      </c>
      <c r="C19" t="str" cm="1">
        <f t="array" ref="C19">INDEX(auto_Series_Code,B19)</f>
        <v>SUBINDI_004</v>
      </c>
      <c r="D19" cm="1">
        <f t="array" ref="D19">INDEX(auto_tblSeries,$B19,D$11)</f>
        <v>3</v>
      </c>
      <c r="E19" cm="1">
        <f t="array" ref="E19">INDEX(auto_tblSeries,$B19,E$11)</f>
        <v>0</v>
      </c>
      <c r="F19" cm="1">
        <f t="array" ref="F19">INDEX(auto_tblSeries,$B19,F$11)</f>
        <v>1</v>
      </c>
      <c r="G19" cm="1">
        <f t="array" ref="G19">INDEX(auto_tblSeries,$B19,G$11)</f>
        <v>0</v>
      </c>
      <c r="H19" cm="1">
        <f t="array" ref="H19">INDEX(auto_tblSeries,$B19,H$11)</f>
        <v>0</v>
      </c>
      <c r="I19">
        <f t="shared" si="0"/>
        <v>471</v>
      </c>
      <c r="K19" cm="1">
        <f t="array" ref="K19">INDEX(auto_DataFlat_Score,$I19,K$10)</f>
        <v>64</v>
      </c>
      <c r="L19" t="str" cm="1">
        <f t="array" ref="L19">INDEX(auto_DataFlat_Rank,$I19,L$10)</f>
        <v>n/a</v>
      </c>
      <c r="M19" cm="1">
        <f t="array" ref="M19">INDEX(auto_DataFlat_DataValue,$I19,M$10)</f>
        <v>0</v>
      </c>
      <c r="N19" cm="1">
        <f t="array" ref="N19">INDEX(auto_DataFlat_Classification,$I19,M$10)</f>
        <v>4</v>
      </c>
      <c r="O19" cm="1">
        <f t="array" ref="O19">INDEX(auto_DataFlat_IsEstimate,$I19,O$10)</f>
        <v>0</v>
      </c>
      <c r="P19" t="str" cm="1">
        <f t="array" ref="P19">IF(INDEX(auto_DataFlat_DataYear,$I19,P$10)=0,"n/a",INDEX(auto_DataFlat_DataYear,$I19,P$10))</f>
        <v>n/a</v>
      </c>
      <c r="R19">
        <f t="shared" si="1"/>
        <v>471</v>
      </c>
      <c r="S19" cm="1">
        <f t="array" ref="S19">INDEX(auto_DataFlat_Score,$R19,S$10)</f>
        <v>64</v>
      </c>
      <c r="U19">
        <f t="shared" si="12"/>
        <v>0</v>
      </c>
      <c r="V19">
        <f t="shared" si="13"/>
        <v>2</v>
      </c>
      <c r="W19">
        <f t="shared" si="14"/>
        <v>-1</v>
      </c>
      <c r="X19" t="e">
        <f t="shared" ca="1" si="15"/>
        <v>#N/A</v>
      </c>
      <c r="Y19">
        <f t="shared" ca="1" si="2"/>
        <v>17</v>
      </c>
      <c r="Z19" t="e">
        <f t="shared" ca="1" si="2"/>
        <v>#N/A</v>
      </c>
      <c r="AB19">
        <f t="shared" ca="1" si="16"/>
        <v>0</v>
      </c>
      <c r="AC19">
        <f t="shared" ca="1" si="3"/>
        <v>17</v>
      </c>
      <c r="AD19">
        <f t="shared" ca="1" si="3"/>
        <v>0</v>
      </c>
      <c r="AF19">
        <f t="shared" si="17"/>
        <v>4</v>
      </c>
      <c r="AG19" t="e">
        <f t="shared" ca="1" si="18"/>
        <v>#N/A</v>
      </c>
      <c r="AH19" t="e">
        <f t="shared" ca="1" si="4"/>
        <v>#N/A</v>
      </c>
      <c r="AI19">
        <f t="shared" ca="1" si="4"/>
        <v>42</v>
      </c>
      <c r="AJ19">
        <f t="shared" ca="1" si="4"/>
        <v>40</v>
      </c>
      <c r="AK19" t="e">
        <f t="shared" ca="1" si="4"/>
        <v>#N/A</v>
      </c>
      <c r="AL19" t="e">
        <f t="shared" ref="AL19:AM19" ca="1" si="49">IFERROR(AL18+MATCH(AL$10,OFFSET($AF$12,AL18,0,300-AL18,1),0),NA())</f>
        <v>#N/A</v>
      </c>
      <c r="AM19" t="e">
        <f t="shared" ca="1" si="49"/>
        <v>#N/A</v>
      </c>
      <c r="AN19">
        <f t="shared" ca="1" si="20"/>
        <v>0</v>
      </c>
      <c r="AO19">
        <f t="shared" ca="1" si="21"/>
        <v>0</v>
      </c>
      <c r="AP19">
        <f t="shared" ca="1" si="22"/>
        <v>42</v>
      </c>
      <c r="AQ19">
        <f t="shared" ca="1" si="23"/>
        <v>40</v>
      </c>
      <c r="AR19">
        <f t="shared" ca="1" si="24"/>
        <v>0</v>
      </c>
      <c r="AS19">
        <f t="shared" ca="1" si="25"/>
        <v>0</v>
      </c>
      <c r="AT19">
        <f t="shared" ca="1" si="26"/>
        <v>0</v>
      </c>
      <c r="AV19">
        <f t="shared" si="6"/>
        <v>421</v>
      </c>
      <c r="AW19" cm="1">
        <f t="array" ref="AW19">INDEX(auto_DataFlat_Score,$AV19,1)</f>
        <v>0</v>
      </c>
      <c r="AX19" cm="1">
        <f t="array" ref="AX19">INDEX(auto_DataFlat_DataValue,$AV19,1)</f>
        <v>0</v>
      </c>
      <c r="BA19">
        <f t="shared" si="27"/>
        <v>64</v>
      </c>
      <c r="BB19">
        <f t="shared" si="28"/>
        <v>1</v>
      </c>
      <c r="BC19">
        <f t="shared" si="29"/>
        <v>1</v>
      </c>
      <c r="BD19">
        <f t="shared" ca="1" si="7"/>
        <v>34</v>
      </c>
      <c r="BE19" t="e">
        <f t="shared" ca="1" si="7"/>
        <v>#N/A</v>
      </c>
      <c r="BF19">
        <f t="shared" ca="1" si="7"/>
        <v>33</v>
      </c>
      <c r="BH19">
        <f t="shared" ca="1" si="30"/>
        <v>34</v>
      </c>
      <c r="BI19">
        <f t="shared" ca="1" si="8"/>
        <v>0</v>
      </c>
      <c r="BJ19">
        <f t="shared" ca="1" si="8"/>
        <v>33</v>
      </c>
      <c r="BM19">
        <f t="shared" si="31"/>
        <v>-1</v>
      </c>
      <c r="BN19" t="e">
        <f t="shared" ca="1" si="32"/>
        <v>#N/A</v>
      </c>
      <c r="BO19" t="e">
        <f t="shared" ca="1" si="33"/>
        <v>#N/A</v>
      </c>
      <c r="BP19" t="e">
        <f t="shared" ca="1" si="34"/>
        <v>#N/A</v>
      </c>
      <c r="BQ19" t="e">
        <f t="shared" ca="1" si="35"/>
        <v>#N/A</v>
      </c>
      <c r="BR19" t="e">
        <f t="shared" ca="1" si="36"/>
        <v>#N/A</v>
      </c>
      <c r="BS19" t="e">
        <f t="shared" ca="1" si="37"/>
        <v>#N/A</v>
      </c>
      <c r="BT19" t="e">
        <f t="shared" ca="1" si="38"/>
        <v>#N/A</v>
      </c>
      <c r="BU19">
        <f t="shared" ca="1" si="39"/>
        <v>0</v>
      </c>
      <c r="BV19">
        <f t="shared" ca="1" si="40"/>
        <v>0</v>
      </c>
      <c r="BW19">
        <f t="shared" ca="1" si="41"/>
        <v>0</v>
      </c>
      <c r="BX19">
        <f t="shared" ca="1" si="42"/>
        <v>0</v>
      </c>
      <c r="BY19">
        <f t="shared" ca="1" si="43"/>
        <v>0</v>
      </c>
      <c r="BZ19">
        <f t="shared" ca="1" si="10"/>
        <v>0</v>
      </c>
      <c r="CA19">
        <f t="shared" ca="1" si="11"/>
        <v>0</v>
      </c>
    </row>
    <row r="20" spans="2:79" x14ac:dyDescent="0.4">
      <c r="B20">
        <v>9</v>
      </c>
      <c r="C20" t="str" cm="1">
        <f t="array" ref="C20">INDEX(auto_Series_Code,B20)</f>
        <v>INDI_003</v>
      </c>
      <c r="D20" cm="1">
        <f t="array" ref="D20">INDEX(auto_tblSeries,$B20,D$11)</f>
        <v>2</v>
      </c>
      <c r="E20" cm="1">
        <f t="array" ref="E20">INDEX(auto_tblSeries,$B20,E$11)</f>
        <v>0</v>
      </c>
      <c r="F20" cm="1">
        <f t="array" ref="F20">INDEX(auto_tblSeries,$B20,F$11)</f>
        <v>0</v>
      </c>
      <c r="G20" cm="1">
        <f t="array" ref="G20">INDEX(auto_tblSeries,$B20,G$11)</f>
        <v>0</v>
      </c>
      <c r="H20" cm="1">
        <f t="array" ref="H20">INDEX(auto_tblSeries,$B20,H$11)</f>
        <v>1</v>
      </c>
      <c r="I20">
        <f t="shared" si="0"/>
        <v>531</v>
      </c>
      <c r="K20" cm="1">
        <f t="array" ref="K20">INDEX(auto_DataFlat_Score,$I20,K$10)</f>
        <v>85.2</v>
      </c>
      <c r="L20" t="str" cm="1">
        <f t="array" ref="L20">INDEX(auto_DataFlat_Rank,$I20,L$10)</f>
        <v>n/a</v>
      </c>
      <c r="M20" cm="1">
        <f t="array" ref="M20">INDEX(auto_DataFlat_DataValue,$I20,M$10)</f>
        <v>0</v>
      </c>
      <c r="N20" cm="1">
        <f t="array" ref="N20">INDEX(auto_DataFlat_Classification,$I20,M$10)</f>
        <v>5</v>
      </c>
      <c r="O20" cm="1">
        <f t="array" ref="O20">INDEX(auto_DataFlat_IsEstimate,$I20,O$10)</f>
        <v>0</v>
      </c>
      <c r="P20" t="str" cm="1">
        <f t="array" ref="P20">IF(INDEX(auto_DataFlat_DataYear,$I20,P$10)=0,"n/a",INDEX(auto_DataFlat_DataYear,$I20,P$10))</f>
        <v>n/a</v>
      </c>
      <c r="R20">
        <f t="shared" si="1"/>
        <v>531</v>
      </c>
      <c r="S20" cm="1">
        <f t="array" ref="S20">INDEX(auto_DataFlat_Score,$R20,S$10)</f>
        <v>85.2</v>
      </c>
      <c r="U20">
        <f t="shared" si="12"/>
        <v>0</v>
      </c>
      <c r="V20">
        <f t="shared" si="13"/>
        <v>2</v>
      </c>
      <c r="W20">
        <f t="shared" si="14"/>
        <v>2</v>
      </c>
      <c r="X20" t="e">
        <f t="shared" ca="1" si="15"/>
        <v>#N/A</v>
      </c>
      <c r="Y20">
        <f t="shared" ca="1" si="2"/>
        <v>18</v>
      </c>
      <c r="Z20" t="e">
        <f t="shared" ca="1" si="2"/>
        <v>#N/A</v>
      </c>
      <c r="AB20">
        <f t="shared" ca="1" si="16"/>
        <v>0</v>
      </c>
      <c r="AC20">
        <f t="shared" ca="1" si="3"/>
        <v>18</v>
      </c>
      <c r="AD20">
        <f t="shared" ca="1" si="3"/>
        <v>0</v>
      </c>
      <c r="AF20">
        <f t="shared" si="17"/>
        <v>-1</v>
      </c>
      <c r="AG20" t="e">
        <f t="shared" ca="1" si="18"/>
        <v>#N/A</v>
      </c>
      <c r="AH20" t="e">
        <f t="shared" ca="1" si="4"/>
        <v>#N/A</v>
      </c>
      <c r="AI20">
        <f t="shared" ca="1" si="4"/>
        <v>45</v>
      </c>
      <c r="AJ20">
        <f t="shared" ca="1" si="4"/>
        <v>43</v>
      </c>
      <c r="AK20" t="e">
        <f t="shared" ca="1" si="4"/>
        <v>#N/A</v>
      </c>
      <c r="AL20" t="e">
        <f t="shared" ref="AL20:AM20" ca="1" si="50">IFERROR(AL19+MATCH(AL$10,OFFSET($AF$12,AL19,0,300-AL19,1),0),NA())</f>
        <v>#N/A</v>
      </c>
      <c r="AM20" t="e">
        <f t="shared" ca="1" si="50"/>
        <v>#N/A</v>
      </c>
      <c r="AN20">
        <f t="shared" ca="1" si="20"/>
        <v>0</v>
      </c>
      <c r="AO20">
        <f t="shared" ca="1" si="21"/>
        <v>0</v>
      </c>
      <c r="AP20">
        <f t="shared" ca="1" si="22"/>
        <v>45</v>
      </c>
      <c r="AQ20">
        <f t="shared" ca="1" si="23"/>
        <v>43</v>
      </c>
      <c r="AR20">
        <f t="shared" ca="1" si="24"/>
        <v>0</v>
      </c>
      <c r="AS20">
        <f t="shared" ca="1" si="25"/>
        <v>0</v>
      </c>
      <c r="AT20">
        <f t="shared" ca="1" si="26"/>
        <v>0</v>
      </c>
      <c r="AV20">
        <f t="shared" si="6"/>
        <v>481</v>
      </c>
      <c r="AW20" cm="1">
        <f t="array" ref="AW20">INDEX(auto_DataFlat_Score,$AV20,1)</f>
        <v>98</v>
      </c>
      <c r="AX20" cm="1">
        <f t="array" ref="AX20">INDEX(auto_DataFlat_DataValue,$AV20,1)</f>
        <v>0</v>
      </c>
      <c r="BA20">
        <f t="shared" si="27"/>
        <v>-12.799999999999997</v>
      </c>
      <c r="BB20">
        <f t="shared" si="28"/>
        <v>3</v>
      </c>
      <c r="BC20">
        <f t="shared" si="29"/>
        <v>-1</v>
      </c>
      <c r="BD20">
        <f t="shared" ca="1" si="7"/>
        <v>37</v>
      </c>
      <c r="BE20" t="e">
        <f t="shared" ca="1" si="7"/>
        <v>#N/A</v>
      </c>
      <c r="BF20">
        <f t="shared" ca="1" si="7"/>
        <v>36</v>
      </c>
      <c r="BH20">
        <f t="shared" ca="1" si="30"/>
        <v>37</v>
      </c>
      <c r="BI20">
        <f t="shared" ca="1" si="8"/>
        <v>0</v>
      </c>
      <c r="BJ20">
        <f t="shared" ca="1" si="8"/>
        <v>36</v>
      </c>
      <c r="BM20">
        <f t="shared" si="31"/>
        <v>-1</v>
      </c>
      <c r="BN20" t="e">
        <f t="shared" ca="1" si="32"/>
        <v>#N/A</v>
      </c>
      <c r="BO20" t="e">
        <f t="shared" ca="1" si="33"/>
        <v>#N/A</v>
      </c>
      <c r="BP20" t="e">
        <f t="shared" ca="1" si="34"/>
        <v>#N/A</v>
      </c>
      <c r="BQ20" t="e">
        <f t="shared" ca="1" si="35"/>
        <v>#N/A</v>
      </c>
      <c r="BR20" t="e">
        <f t="shared" ca="1" si="36"/>
        <v>#N/A</v>
      </c>
      <c r="BS20" t="e">
        <f t="shared" ca="1" si="37"/>
        <v>#N/A</v>
      </c>
      <c r="BT20" t="e">
        <f t="shared" ca="1" si="38"/>
        <v>#N/A</v>
      </c>
      <c r="BU20">
        <f t="shared" ca="1" si="39"/>
        <v>0</v>
      </c>
      <c r="BV20">
        <f t="shared" ca="1" si="40"/>
        <v>0</v>
      </c>
      <c r="BW20">
        <f t="shared" ca="1" si="41"/>
        <v>0</v>
      </c>
      <c r="BX20">
        <f t="shared" ca="1" si="42"/>
        <v>0</v>
      </c>
      <c r="BY20">
        <f t="shared" ca="1" si="43"/>
        <v>0</v>
      </c>
      <c r="BZ20">
        <f t="shared" ca="1" si="10"/>
        <v>0</v>
      </c>
      <c r="CA20">
        <f t="shared" ca="1" si="11"/>
        <v>0</v>
      </c>
    </row>
    <row r="21" spans="2:79" x14ac:dyDescent="0.4">
      <c r="B21">
        <v>10</v>
      </c>
      <c r="C21" t="str" cm="1">
        <f t="array" ref="C21">INDEX(auto_Series_Code,B21)</f>
        <v>SUBINDI_005</v>
      </c>
      <c r="D21" cm="1">
        <f t="array" ref="D21">INDEX(auto_tblSeries,$B21,D$11)</f>
        <v>3</v>
      </c>
      <c r="E21" cm="1">
        <f t="array" ref="E21">INDEX(auto_tblSeries,$B21,E$11)</f>
        <v>0</v>
      </c>
      <c r="F21" cm="1">
        <f t="array" ref="F21">INDEX(auto_tblSeries,$B21,F$11)</f>
        <v>1</v>
      </c>
      <c r="G21" cm="1">
        <f t="array" ref="G21">INDEX(auto_tblSeries,$B21,G$11)</f>
        <v>0</v>
      </c>
      <c r="H21" cm="1">
        <f t="array" ref="H21">INDEX(auto_tblSeries,$B21,H$11)</f>
        <v>2</v>
      </c>
      <c r="I21">
        <f t="shared" si="0"/>
        <v>591</v>
      </c>
      <c r="K21" cm="1">
        <f t="array" ref="K21">INDEX(auto_DataFlat_Score,$I21,K$10)</f>
        <v>94.4</v>
      </c>
      <c r="L21" t="str" cm="1">
        <f t="array" ref="L21">INDEX(auto_DataFlat_Rank,$I21,L$10)</f>
        <v>n/a</v>
      </c>
      <c r="M21" cm="1">
        <f t="array" ref="M21">INDEX(auto_DataFlat_DataValue,$I21,M$10)</f>
        <v>0</v>
      </c>
      <c r="N21" cm="1">
        <f t="array" ref="N21">INDEX(auto_DataFlat_Classification,$I21,M$10)</f>
        <v>5</v>
      </c>
      <c r="O21" cm="1">
        <f t="array" ref="O21">INDEX(auto_DataFlat_IsEstimate,$I21,O$10)</f>
        <v>0</v>
      </c>
      <c r="P21" t="str" cm="1">
        <f t="array" ref="P21">IF(INDEX(auto_DataFlat_DataYear,$I21,P$10)=0,"n/a",INDEX(auto_DataFlat_DataYear,$I21,P$10))</f>
        <v>n/a</v>
      </c>
      <c r="R21">
        <f t="shared" si="1"/>
        <v>591</v>
      </c>
      <c r="S21" cm="1">
        <f t="array" ref="S21">INDEX(auto_DataFlat_Score,$R21,S$10)</f>
        <v>94.4</v>
      </c>
      <c r="U21">
        <f t="shared" si="12"/>
        <v>0</v>
      </c>
      <c r="V21">
        <f t="shared" si="13"/>
        <v>2</v>
      </c>
      <c r="W21">
        <f t="shared" si="14"/>
        <v>-1</v>
      </c>
      <c r="X21" t="e">
        <f t="shared" ca="1" si="15"/>
        <v>#N/A</v>
      </c>
      <c r="Y21">
        <f t="shared" ca="1" si="2"/>
        <v>21</v>
      </c>
      <c r="Z21" t="e">
        <f t="shared" ca="1" si="2"/>
        <v>#N/A</v>
      </c>
      <c r="AB21">
        <f t="shared" ca="1" si="16"/>
        <v>0</v>
      </c>
      <c r="AC21">
        <f t="shared" ca="1" si="3"/>
        <v>21</v>
      </c>
      <c r="AD21">
        <f t="shared" ca="1" si="3"/>
        <v>0</v>
      </c>
      <c r="AF21">
        <f t="shared" si="17"/>
        <v>5</v>
      </c>
      <c r="AG21" t="e">
        <f t="shared" ca="1" si="18"/>
        <v>#N/A</v>
      </c>
      <c r="AH21" t="e">
        <f t="shared" ca="1" si="4"/>
        <v>#N/A</v>
      </c>
      <c r="AI21">
        <f t="shared" ca="1" si="4"/>
        <v>56</v>
      </c>
      <c r="AJ21">
        <f t="shared" ca="1" si="4"/>
        <v>57</v>
      </c>
      <c r="AK21" t="e">
        <f t="shared" ca="1" si="4"/>
        <v>#N/A</v>
      </c>
      <c r="AL21" t="e">
        <f t="shared" ref="AL21:AM21" ca="1" si="51">IFERROR(AL20+MATCH(AL$10,OFFSET($AF$12,AL20,0,300-AL20,1),0),NA())</f>
        <v>#N/A</v>
      </c>
      <c r="AM21" t="e">
        <f t="shared" ca="1" si="51"/>
        <v>#N/A</v>
      </c>
      <c r="AN21">
        <f t="shared" ca="1" si="20"/>
        <v>0</v>
      </c>
      <c r="AO21">
        <f t="shared" ca="1" si="21"/>
        <v>0</v>
      </c>
      <c r="AP21">
        <f t="shared" ca="1" si="22"/>
        <v>56</v>
      </c>
      <c r="AQ21">
        <f t="shared" ca="1" si="23"/>
        <v>57</v>
      </c>
      <c r="AR21">
        <f t="shared" ca="1" si="24"/>
        <v>0</v>
      </c>
      <c r="AS21">
        <f t="shared" ca="1" si="25"/>
        <v>0</v>
      </c>
      <c r="AT21">
        <f t="shared" ca="1" si="26"/>
        <v>0</v>
      </c>
      <c r="AV21">
        <f t="shared" si="6"/>
        <v>541</v>
      </c>
      <c r="AW21" cm="1">
        <f t="array" ref="AW21">INDEX(auto_DataFlat_Score,$AV21,1)</f>
        <v>96</v>
      </c>
      <c r="AX21" cm="1">
        <f t="array" ref="AX21">INDEX(auto_DataFlat_DataValue,$AV21,1)</f>
        <v>4.0199999999999996</v>
      </c>
      <c r="BA21">
        <f t="shared" si="27"/>
        <v>-1.5999999999999943</v>
      </c>
      <c r="BB21">
        <f t="shared" si="28"/>
        <v>3</v>
      </c>
      <c r="BC21">
        <f t="shared" si="29"/>
        <v>3</v>
      </c>
      <c r="BD21">
        <f t="shared" ca="1" si="7"/>
        <v>39</v>
      </c>
      <c r="BE21" t="e">
        <f t="shared" ca="1" si="7"/>
        <v>#N/A</v>
      </c>
      <c r="BF21">
        <f t="shared" ca="1" si="7"/>
        <v>42</v>
      </c>
      <c r="BH21">
        <f t="shared" ca="1" si="30"/>
        <v>39</v>
      </c>
      <c r="BI21">
        <f t="shared" ca="1" si="8"/>
        <v>0</v>
      </c>
      <c r="BJ21">
        <f t="shared" ca="1" si="8"/>
        <v>42</v>
      </c>
      <c r="BM21">
        <f t="shared" si="31"/>
        <v>-1</v>
      </c>
      <c r="BN21" t="e">
        <f t="shared" ca="1" si="32"/>
        <v>#N/A</v>
      </c>
      <c r="BO21" t="e">
        <f t="shared" ca="1" si="33"/>
        <v>#N/A</v>
      </c>
      <c r="BP21" t="e">
        <f t="shared" ca="1" si="34"/>
        <v>#N/A</v>
      </c>
      <c r="BQ21" t="e">
        <f t="shared" ca="1" si="35"/>
        <v>#N/A</v>
      </c>
      <c r="BR21" t="e">
        <f t="shared" ca="1" si="36"/>
        <v>#N/A</v>
      </c>
      <c r="BS21" t="e">
        <f t="shared" ca="1" si="37"/>
        <v>#N/A</v>
      </c>
      <c r="BT21" t="e">
        <f t="shared" ca="1" si="38"/>
        <v>#N/A</v>
      </c>
      <c r="BU21">
        <f t="shared" ca="1" si="39"/>
        <v>0</v>
      </c>
      <c r="BV21">
        <f t="shared" ca="1" si="40"/>
        <v>0</v>
      </c>
      <c r="BW21">
        <f t="shared" ca="1" si="41"/>
        <v>0</v>
      </c>
      <c r="BX21">
        <f t="shared" ca="1" si="42"/>
        <v>0</v>
      </c>
      <c r="BY21">
        <f t="shared" ca="1" si="43"/>
        <v>0</v>
      </c>
      <c r="BZ21">
        <f t="shared" ca="1" si="10"/>
        <v>0</v>
      </c>
      <c r="CA21">
        <f t="shared" ca="1" si="11"/>
        <v>0</v>
      </c>
    </row>
    <row r="22" spans="2:79" x14ac:dyDescent="0.4">
      <c r="B22">
        <v>11</v>
      </c>
      <c r="C22" t="str" cm="1">
        <f t="array" ref="C22">INDEX(auto_Series_Code,B22)</f>
        <v>SUBINDI_006</v>
      </c>
      <c r="D22" cm="1">
        <f t="array" ref="D22">INDEX(auto_tblSeries,$B22,D$11)</f>
        <v>3</v>
      </c>
      <c r="E22" cm="1">
        <f t="array" ref="E22">INDEX(auto_tblSeries,$B22,E$11)</f>
        <v>0</v>
      </c>
      <c r="F22" cm="1">
        <f t="array" ref="F22">INDEX(auto_tblSeries,$B22,F$11)</f>
        <v>1</v>
      </c>
      <c r="G22" cm="1">
        <f t="array" ref="G22">INDEX(auto_tblSeries,$B22,G$11)</f>
        <v>0</v>
      </c>
      <c r="H22" cm="1">
        <f t="array" ref="H22">INDEX(auto_tblSeries,$B22,H$11)</f>
        <v>0</v>
      </c>
      <c r="I22">
        <f t="shared" si="0"/>
        <v>651</v>
      </c>
      <c r="K22" cm="1">
        <f t="array" ref="K22">INDEX(auto_DataFlat_Score,$I22,K$10)</f>
        <v>76</v>
      </c>
      <c r="L22" t="str" cm="1">
        <f t="array" ref="L22">INDEX(auto_DataFlat_Rank,$I22,L$10)</f>
        <v>n/a</v>
      </c>
      <c r="M22" cm="1">
        <f t="array" ref="M22">INDEX(auto_DataFlat_DataValue,$I22,M$10)</f>
        <v>0</v>
      </c>
      <c r="N22" cm="1">
        <f t="array" ref="N22">INDEX(auto_DataFlat_Classification,$I22,M$10)</f>
        <v>4</v>
      </c>
      <c r="O22" cm="1">
        <f t="array" ref="O22">INDEX(auto_DataFlat_IsEstimate,$I22,O$10)</f>
        <v>0</v>
      </c>
      <c r="P22" t="str" cm="1">
        <f t="array" ref="P22">IF(INDEX(auto_DataFlat_DataYear,$I22,P$10)=0,"n/a",INDEX(auto_DataFlat_DataYear,$I22,P$10))</f>
        <v>n/a</v>
      </c>
      <c r="R22">
        <f t="shared" si="1"/>
        <v>651</v>
      </c>
      <c r="S22" cm="1">
        <f t="array" ref="S22">INDEX(auto_DataFlat_Score,$R22,S$10)</f>
        <v>76</v>
      </c>
      <c r="U22">
        <f t="shared" si="12"/>
        <v>0</v>
      </c>
      <c r="V22">
        <f t="shared" si="13"/>
        <v>2</v>
      </c>
      <c r="W22">
        <f t="shared" si="14"/>
        <v>-1</v>
      </c>
      <c r="X22" t="e">
        <f t="shared" ca="1" si="15"/>
        <v>#N/A</v>
      </c>
      <c r="Y22">
        <f t="shared" ca="1" si="2"/>
        <v>23</v>
      </c>
      <c r="Z22" t="e">
        <f t="shared" ca="1" si="2"/>
        <v>#N/A</v>
      </c>
      <c r="AB22">
        <f t="shared" ca="1" si="16"/>
        <v>0</v>
      </c>
      <c r="AC22">
        <f t="shared" ca="1" si="3"/>
        <v>23</v>
      </c>
      <c r="AD22">
        <f t="shared" ca="1" si="3"/>
        <v>0</v>
      </c>
      <c r="AF22">
        <f t="shared" si="17"/>
        <v>4</v>
      </c>
      <c r="AG22" t="e">
        <f t="shared" ca="1" si="18"/>
        <v>#N/A</v>
      </c>
      <c r="AH22" t="e">
        <f t="shared" ca="1" si="4"/>
        <v>#N/A</v>
      </c>
      <c r="AI22" t="e">
        <f t="shared" ca="1" si="4"/>
        <v>#N/A</v>
      </c>
      <c r="AJ22" t="e">
        <f t="shared" ca="1" si="4"/>
        <v>#N/A</v>
      </c>
      <c r="AK22" t="e">
        <f t="shared" ca="1" si="4"/>
        <v>#N/A</v>
      </c>
      <c r="AL22" t="e">
        <f t="shared" ref="AL22:AM22" ca="1" si="52">IFERROR(AL21+MATCH(AL$10,OFFSET($AF$12,AL21,0,300-AL21,1),0),NA())</f>
        <v>#N/A</v>
      </c>
      <c r="AM22" t="e">
        <f t="shared" ca="1" si="52"/>
        <v>#N/A</v>
      </c>
      <c r="AN22">
        <f t="shared" ca="1" si="20"/>
        <v>0</v>
      </c>
      <c r="AO22">
        <f t="shared" ca="1" si="21"/>
        <v>0</v>
      </c>
      <c r="AP22">
        <f t="shared" ca="1" si="22"/>
        <v>0</v>
      </c>
      <c r="AQ22">
        <f t="shared" ca="1" si="23"/>
        <v>0</v>
      </c>
      <c r="AR22">
        <f t="shared" ca="1" si="24"/>
        <v>0</v>
      </c>
      <c r="AS22">
        <f t="shared" ca="1" si="25"/>
        <v>0</v>
      </c>
      <c r="AT22">
        <f t="shared" ca="1" si="26"/>
        <v>0</v>
      </c>
      <c r="AV22">
        <f t="shared" si="6"/>
        <v>601</v>
      </c>
      <c r="AW22" cm="1">
        <f t="array" ref="AW22">INDEX(auto_DataFlat_Score,$AV22,1)</f>
        <v>100</v>
      </c>
      <c r="AX22" cm="1">
        <f t="array" ref="AX22">INDEX(auto_DataFlat_DataValue,$AV22,1)</f>
        <v>1</v>
      </c>
      <c r="BA22">
        <f t="shared" si="27"/>
        <v>-24</v>
      </c>
      <c r="BB22">
        <f t="shared" si="28"/>
        <v>3</v>
      </c>
      <c r="BC22">
        <f t="shared" si="29"/>
        <v>3</v>
      </c>
      <c r="BD22">
        <f t="shared" ca="1" si="7"/>
        <v>40</v>
      </c>
      <c r="BE22" t="e">
        <f t="shared" ca="1" si="7"/>
        <v>#N/A</v>
      </c>
      <c r="BF22">
        <f t="shared" ca="1" si="7"/>
        <v>43</v>
      </c>
      <c r="BH22">
        <f t="shared" ca="1" si="30"/>
        <v>40</v>
      </c>
      <c r="BI22">
        <f t="shared" ca="1" si="8"/>
        <v>0</v>
      </c>
      <c r="BJ22">
        <f t="shared" ca="1" si="8"/>
        <v>43</v>
      </c>
      <c r="BM22">
        <f t="shared" si="31"/>
        <v>-1</v>
      </c>
      <c r="BN22" t="e">
        <f t="shared" ca="1" si="32"/>
        <v>#N/A</v>
      </c>
      <c r="BO22" t="e">
        <f t="shared" ca="1" si="33"/>
        <v>#N/A</v>
      </c>
      <c r="BP22" t="e">
        <f t="shared" ca="1" si="34"/>
        <v>#N/A</v>
      </c>
      <c r="BQ22" t="e">
        <f t="shared" ca="1" si="35"/>
        <v>#N/A</v>
      </c>
      <c r="BR22" t="e">
        <f t="shared" ca="1" si="36"/>
        <v>#N/A</v>
      </c>
      <c r="BS22" t="e">
        <f t="shared" ca="1" si="37"/>
        <v>#N/A</v>
      </c>
      <c r="BT22" t="e">
        <f t="shared" ca="1" si="38"/>
        <v>#N/A</v>
      </c>
      <c r="BU22">
        <f t="shared" ca="1" si="39"/>
        <v>0</v>
      </c>
      <c r="BV22">
        <f t="shared" ca="1" si="40"/>
        <v>0</v>
      </c>
      <c r="BW22">
        <f t="shared" ca="1" si="41"/>
        <v>0</v>
      </c>
      <c r="BX22">
        <f t="shared" ca="1" si="42"/>
        <v>0</v>
      </c>
      <c r="BY22">
        <f t="shared" ca="1" si="43"/>
        <v>0</v>
      </c>
      <c r="BZ22">
        <f t="shared" ca="1" si="10"/>
        <v>0</v>
      </c>
      <c r="CA22">
        <f t="shared" ca="1" si="11"/>
        <v>0</v>
      </c>
    </row>
    <row r="23" spans="2:79" x14ac:dyDescent="0.4">
      <c r="B23">
        <v>12</v>
      </c>
      <c r="C23" t="str" cm="1">
        <f t="array" ref="C23">INDEX(auto_Series_Code,B23)</f>
        <v>INDI_004</v>
      </c>
      <c r="D23" cm="1">
        <f t="array" ref="D23">INDEX(auto_tblSeries,$B23,D$11)</f>
        <v>2</v>
      </c>
      <c r="E23" cm="1">
        <f t="array" ref="E23">INDEX(auto_tblSeries,$B23,E$11)</f>
        <v>0</v>
      </c>
      <c r="F23" cm="1">
        <f t="array" ref="F23">INDEX(auto_tblSeries,$B23,F$11)</f>
        <v>1</v>
      </c>
      <c r="G23" cm="1">
        <f t="array" ref="G23">INDEX(auto_tblSeries,$B23,G$11)</f>
        <v>0</v>
      </c>
      <c r="H23" cm="1">
        <f t="array" ref="H23">INDEX(auto_tblSeries,$B23,H$11)</f>
        <v>2</v>
      </c>
      <c r="I23">
        <f t="shared" si="0"/>
        <v>711</v>
      </c>
      <c r="K23" cm="1">
        <f t="array" ref="K23">INDEX(auto_DataFlat_Score,$I23,K$10)</f>
        <v>63.3</v>
      </c>
      <c r="L23" t="str" cm="1">
        <f t="array" ref="L23">INDEX(auto_DataFlat_Rank,$I23,L$10)</f>
        <v>n/a</v>
      </c>
      <c r="M23" cm="1">
        <f t="array" ref="M23">INDEX(auto_DataFlat_DataValue,$I23,M$10)</f>
        <v>0</v>
      </c>
      <c r="N23" cm="1">
        <f t="array" ref="N23">INDEX(auto_DataFlat_Classification,$I23,M$10)</f>
        <v>4</v>
      </c>
      <c r="O23" cm="1">
        <f t="array" ref="O23">INDEX(auto_DataFlat_IsEstimate,$I23,O$10)</f>
        <v>0</v>
      </c>
      <c r="P23" t="str" cm="1">
        <f t="array" ref="P23">IF(INDEX(auto_DataFlat_DataYear,$I23,P$10)=0,"n/a",INDEX(auto_DataFlat_DataYear,$I23,P$10))</f>
        <v>n/a</v>
      </c>
      <c r="R23">
        <f t="shared" si="1"/>
        <v>711</v>
      </c>
      <c r="S23" cm="1">
        <f t="array" ref="S23">INDEX(auto_DataFlat_Score,$R23,S$10)</f>
        <v>63.3</v>
      </c>
      <c r="U23">
        <f t="shared" si="12"/>
        <v>0</v>
      </c>
      <c r="V23">
        <f t="shared" si="13"/>
        <v>2</v>
      </c>
      <c r="W23">
        <f t="shared" si="14"/>
        <v>2</v>
      </c>
      <c r="X23" t="e">
        <f t="shared" ca="1" si="15"/>
        <v>#N/A</v>
      </c>
      <c r="Y23">
        <f t="shared" ca="1" si="2"/>
        <v>26</v>
      </c>
      <c r="Z23" t="e">
        <f t="shared" ca="1" si="2"/>
        <v>#N/A</v>
      </c>
      <c r="AB23">
        <f t="shared" ca="1" si="16"/>
        <v>0</v>
      </c>
      <c r="AC23">
        <f t="shared" ca="1" si="3"/>
        <v>26</v>
      </c>
      <c r="AD23">
        <f t="shared" ca="1" si="3"/>
        <v>0</v>
      </c>
      <c r="AF23">
        <f t="shared" si="17"/>
        <v>-1</v>
      </c>
      <c r="AG23" t="e">
        <f t="shared" ca="1" si="18"/>
        <v>#N/A</v>
      </c>
      <c r="AH23" t="e">
        <f t="shared" ca="1" si="4"/>
        <v>#N/A</v>
      </c>
      <c r="AI23" t="e">
        <f t="shared" ca="1" si="4"/>
        <v>#N/A</v>
      </c>
      <c r="AJ23" t="e">
        <f t="shared" ca="1" si="4"/>
        <v>#N/A</v>
      </c>
      <c r="AK23" t="e">
        <f t="shared" ca="1" si="4"/>
        <v>#N/A</v>
      </c>
      <c r="AL23" t="e">
        <f t="shared" ref="AL23:AM23" ca="1" si="53">IFERROR(AL22+MATCH(AL$10,OFFSET($AF$12,AL22,0,300-AL22,1),0),NA())</f>
        <v>#N/A</v>
      </c>
      <c r="AM23" t="e">
        <f t="shared" ca="1" si="53"/>
        <v>#N/A</v>
      </c>
      <c r="AN23">
        <f t="shared" ca="1" si="20"/>
        <v>0</v>
      </c>
      <c r="AO23">
        <f t="shared" ca="1" si="21"/>
        <v>0</v>
      </c>
      <c r="AP23">
        <f t="shared" ca="1" si="22"/>
        <v>0</v>
      </c>
      <c r="AQ23">
        <f t="shared" ca="1" si="23"/>
        <v>0</v>
      </c>
      <c r="AR23">
        <f t="shared" ca="1" si="24"/>
        <v>0</v>
      </c>
      <c r="AS23">
        <f t="shared" ca="1" si="25"/>
        <v>0</v>
      </c>
      <c r="AT23">
        <f t="shared" ca="1" si="26"/>
        <v>0</v>
      </c>
      <c r="AV23">
        <f t="shared" si="6"/>
        <v>661</v>
      </c>
      <c r="AW23" cm="1">
        <f t="array" ref="AW23">INDEX(auto_DataFlat_Score,$AV23,1)</f>
        <v>52.5</v>
      </c>
      <c r="AX23" cm="1">
        <f t="array" ref="AX23">INDEX(auto_DataFlat_DataValue,$AV23,1)</f>
        <v>52.49</v>
      </c>
      <c r="BA23">
        <f t="shared" si="27"/>
        <v>10.799999999999997</v>
      </c>
      <c r="BB23">
        <f t="shared" si="28"/>
        <v>1</v>
      </c>
      <c r="BC23">
        <f t="shared" si="29"/>
        <v>-1</v>
      </c>
      <c r="BD23">
        <f t="shared" ca="1" si="7"/>
        <v>46</v>
      </c>
      <c r="BE23" t="e">
        <f t="shared" ca="1" si="7"/>
        <v>#N/A</v>
      </c>
      <c r="BF23">
        <f t="shared" ca="1" si="7"/>
        <v>45</v>
      </c>
      <c r="BH23">
        <f t="shared" ca="1" si="30"/>
        <v>46</v>
      </c>
      <c r="BI23">
        <f t="shared" ca="1" si="8"/>
        <v>0</v>
      </c>
      <c r="BJ23">
        <f t="shared" ca="1" si="8"/>
        <v>45</v>
      </c>
      <c r="BM23">
        <f t="shared" si="31"/>
        <v>-1</v>
      </c>
      <c r="BN23" t="e">
        <f t="shared" ca="1" si="32"/>
        <v>#N/A</v>
      </c>
      <c r="BO23" t="e">
        <f t="shared" ca="1" si="33"/>
        <v>#N/A</v>
      </c>
      <c r="BP23" t="e">
        <f t="shared" ca="1" si="34"/>
        <v>#N/A</v>
      </c>
      <c r="BQ23" t="e">
        <f t="shared" ca="1" si="35"/>
        <v>#N/A</v>
      </c>
      <c r="BR23" t="e">
        <f t="shared" ca="1" si="36"/>
        <v>#N/A</v>
      </c>
      <c r="BS23" t="e">
        <f t="shared" ca="1" si="37"/>
        <v>#N/A</v>
      </c>
      <c r="BT23" t="e">
        <f t="shared" ca="1" si="38"/>
        <v>#N/A</v>
      </c>
      <c r="BU23">
        <f t="shared" ca="1" si="39"/>
        <v>0</v>
      </c>
      <c r="BV23">
        <f t="shared" ca="1" si="40"/>
        <v>0</v>
      </c>
      <c r="BW23">
        <f t="shared" ca="1" si="41"/>
        <v>0</v>
      </c>
      <c r="BX23">
        <f t="shared" ca="1" si="42"/>
        <v>0</v>
      </c>
      <c r="BY23">
        <f t="shared" ca="1" si="43"/>
        <v>0</v>
      </c>
      <c r="BZ23">
        <f t="shared" ca="1" si="10"/>
        <v>0</v>
      </c>
      <c r="CA23">
        <f t="shared" ca="1" si="11"/>
        <v>0</v>
      </c>
    </row>
    <row r="24" spans="2:79" x14ac:dyDescent="0.4">
      <c r="B24">
        <v>13</v>
      </c>
      <c r="C24" t="str" cm="1">
        <f t="array" ref="C24">INDEX(auto_Series_Code,B24)</f>
        <v>INDI_005</v>
      </c>
      <c r="D24" cm="1">
        <f t="array" ref="D24">INDEX(auto_tblSeries,$B24,D$11)</f>
        <v>2</v>
      </c>
      <c r="E24" cm="1">
        <f t="array" ref="E24">INDEX(auto_tblSeries,$B24,E$11)</f>
        <v>0</v>
      </c>
      <c r="F24" cm="1">
        <f t="array" ref="F24">INDEX(auto_tblSeries,$B24,F$11)</f>
        <v>1</v>
      </c>
      <c r="G24" cm="1">
        <f t="array" ref="G24">INDEX(auto_tblSeries,$B24,G$11)</f>
        <v>0</v>
      </c>
      <c r="H24" cm="1">
        <f t="array" ref="H24">INDEX(auto_tblSeries,$B24,H$11)</f>
        <v>2</v>
      </c>
      <c r="I24">
        <f t="shared" si="0"/>
        <v>771</v>
      </c>
      <c r="K24" cm="1">
        <f t="array" ref="K24">INDEX(auto_DataFlat_Score,$I24,K$10)</f>
        <v>74.599999999999994</v>
      </c>
      <c r="L24" t="str" cm="1">
        <f t="array" ref="L24">INDEX(auto_DataFlat_Rank,$I24,L$10)</f>
        <v>n/a</v>
      </c>
      <c r="M24" cm="1">
        <f t="array" ref="M24">INDEX(auto_DataFlat_DataValue,$I24,M$10)</f>
        <v>0</v>
      </c>
      <c r="N24" cm="1">
        <f t="array" ref="N24">INDEX(auto_DataFlat_Classification,$I24,M$10)</f>
        <v>4</v>
      </c>
      <c r="O24" cm="1">
        <f t="array" ref="O24">INDEX(auto_DataFlat_IsEstimate,$I24,O$10)</f>
        <v>0</v>
      </c>
      <c r="P24" t="str" cm="1">
        <f t="array" ref="P24">IF(INDEX(auto_DataFlat_DataYear,$I24,P$10)=0,"n/a",INDEX(auto_DataFlat_DataYear,$I24,P$10))</f>
        <v>n/a</v>
      </c>
      <c r="R24">
        <f t="shared" si="1"/>
        <v>771</v>
      </c>
      <c r="S24" cm="1">
        <f t="array" ref="S24">INDEX(auto_DataFlat_Score,$R24,S$10)</f>
        <v>74.599999999999994</v>
      </c>
      <c r="U24">
        <f t="shared" si="12"/>
        <v>0</v>
      </c>
      <c r="V24">
        <f t="shared" si="13"/>
        <v>2</v>
      </c>
      <c r="W24">
        <f t="shared" si="14"/>
        <v>2</v>
      </c>
      <c r="X24" t="e">
        <f t="shared" ca="1" si="15"/>
        <v>#N/A</v>
      </c>
      <c r="Y24">
        <f t="shared" ca="1" si="2"/>
        <v>29</v>
      </c>
      <c r="Z24" t="e">
        <f t="shared" ca="1" si="2"/>
        <v>#N/A</v>
      </c>
      <c r="AB24">
        <f t="shared" ca="1" si="16"/>
        <v>0</v>
      </c>
      <c r="AC24">
        <f t="shared" ca="1" si="3"/>
        <v>29</v>
      </c>
      <c r="AD24">
        <f t="shared" ca="1" si="3"/>
        <v>0</v>
      </c>
      <c r="AF24">
        <f t="shared" si="17"/>
        <v>-1</v>
      </c>
      <c r="AG24" t="e">
        <f t="shared" ca="1" si="18"/>
        <v>#N/A</v>
      </c>
      <c r="AH24" t="e">
        <f t="shared" ca="1" si="4"/>
        <v>#N/A</v>
      </c>
      <c r="AI24" t="e">
        <f t="shared" ca="1" si="4"/>
        <v>#N/A</v>
      </c>
      <c r="AJ24" t="e">
        <f t="shared" ca="1" si="4"/>
        <v>#N/A</v>
      </c>
      <c r="AK24" t="e">
        <f t="shared" ca="1" si="4"/>
        <v>#N/A</v>
      </c>
      <c r="AL24" t="e">
        <f t="shared" ref="AL24:AM24" ca="1" si="54">IFERROR(AL23+MATCH(AL$10,OFFSET($AF$12,AL23,0,300-AL23,1),0),NA())</f>
        <v>#N/A</v>
      </c>
      <c r="AM24" t="e">
        <f t="shared" ca="1" si="54"/>
        <v>#N/A</v>
      </c>
      <c r="AN24">
        <f t="shared" ca="1" si="20"/>
        <v>0</v>
      </c>
      <c r="AO24">
        <f t="shared" ca="1" si="21"/>
        <v>0</v>
      </c>
      <c r="AP24">
        <f t="shared" ca="1" si="22"/>
        <v>0</v>
      </c>
      <c r="AQ24">
        <f t="shared" ca="1" si="23"/>
        <v>0</v>
      </c>
      <c r="AR24">
        <f t="shared" ca="1" si="24"/>
        <v>0</v>
      </c>
      <c r="AS24">
        <f t="shared" ca="1" si="25"/>
        <v>0</v>
      </c>
      <c r="AT24">
        <f t="shared" ca="1" si="26"/>
        <v>0</v>
      </c>
      <c r="AV24">
        <f t="shared" si="6"/>
        <v>721</v>
      </c>
      <c r="AW24" cm="1">
        <f t="array" ref="AW24">INDEX(auto_DataFlat_Score,$AV24,1)</f>
        <v>94.4</v>
      </c>
      <c r="AX24" cm="1">
        <f t="array" ref="AX24">INDEX(auto_DataFlat_DataValue,$AV24,1)</f>
        <v>0.56999999999999995</v>
      </c>
      <c r="BA24">
        <f t="shared" si="27"/>
        <v>-19.800000000000011</v>
      </c>
      <c r="BB24">
        <f t="shared" si="28"/>
        <v>3</v>
      </c>
      <c r="BC24">
        <f t="shared" si="29"/>
        <v>-1</v>
      </c>
      <c r="BD24">
        <f t="shared" ca="1" si="7"/>
        <v>56</v>
      </c>
      <c r="BE24" t="e">
        <f t="shared" ca="1" si="7"/>
        <v>#N/A</v>
      </c>
      <c r="BF24">
        <f t="shared" ca="1" si="7"/>
        <v>57</v>
      </c>
      <c r="BH24">
        <f t="shared" ca="1" si="30"/>
        <v>56</v>
      </c>
      <c r="BI24">
        <f t="shared" ca="1" si="8"/>
        <v>0</v>
      </c>
      <c r="BJ24">
        <f t="shared" ca="1" si="8"/>
        <v>57</v>
      </c>
      <c r="BM24">
        <f t="shared" si="31"/>
        <v>-1</v>
      </c>
      <c r="BN24" t="e">
        <f t="shared" ca="1" si="32"/>
        <v>#N/A</v>
      </c>
      <c r="BO24" t="e">
        <f t="shared" ca="1" si="33"/>
        <v>#N/A</v>
      </c>
      <c r="BP24" t="e">
        <f t="shared" ca="1" si="34"/>
        <v>#N/A</v>
      </c>
      <c r="BQ24" t="e">
        <f t="shared" ca="1" si="35"/>
        <v>#N/A</v>
      </c>
      <c r="BR24" t="e">
        <f t="shared" ca="1" si="36"/>
        <v>#N/A</v>
      </c>
      <c r="BS24" t="e">
        <f t="shared" ca="1" si="37"/>
        <v>#N/A</v>
      </c>
      <c r="BT24" t="e">
        <f t="shared" ca="1" si="38"/>
        <v>#N/A</v>
      </c>
      <c r="BU24">
        <f t="shared" ca="1" si="39"/>
        <v>0</v>
      </c>
      <c r="BV24">
        <f t="shared" ca="1" si="40"/>
        <v>0</v>
      </c>
      <c r="BW24">
        <f t="shared" ca="1" si="41"/>
        <v>0</v>
      </c>
      <c r="BX24">
        <f t="shared" ca="1" si="42"/>
        <v>0</v>
      </c>
      <c r="BY24">
        <f t="shared" ca="1" si="43"/>
        <v>0</v>
      </c>
      <c r="BZ24">
        <f t="shared" ca="1" si="10"/>
        <v>0</v>
      </c>
      <c r="CA24">
        <f t="shared" ca="1" si="11"/>
        <v>0</v>
      </c>
    </row>
    <row r="25" spans="2:79" x14ac:dyDescent="0.4">
      <c r="B25">
        <v>14</v>
      </c>
      <c r="C25" t="str" cm="1">
        <f t="array" ref="C25">INDEX(auto_Series_Code,B25)</f>
        <v>DOMAIN_002</v>
      </c>
      <c r="D25" cm="1">
        <f t="array" ref="D25">INDEX(auto_tblSeries,$B25,D$11)</f>
        <v>1</v>
      </c>
      <c r="E25" cm="1">
        <f t="array" ref="E25">INDEX(auto_tblSeries,$B25,E$11)</f>
        <v>0</v>
      </c>
      <c r="F25" cm="1">
        <f t="array" ref="F25">INDEX(auto_tblSeries,$B25,F$11)</f>
        <v>0</v>
      </c>
      <c r="G25" cm="1">
        <f t="array" ref="G25">INDEX(auto_tblSeries,$B25,G$11)</f>
        <v>0</v>
      </c>
      <c r="H25" cm="1">
        <f t="array" ref="H25">INDEX(auto_tblSeries,$B25,H$11)</f>
        <v>1</v>
      </c>
      <c r="I25">
        <f t="shared" si="0"/>
        <v>831</v>
      </c>
      <c r="K25" cm="1">
        <f t="array" ref="K25">INDEX(auto_DataFlat_Score,$I25,K$10)</f>
        <v>48.8</v>
      </c>
      <c r="L25" t="str" cm="1">
        <f t="array" ref="L25">INDEX(auto_DataFlat_Rank,$I25,L$10)</f>
        <v>n/a</v>
      </c>
      <c r="M25" cm="1">
        <f t="array" ref="M25">INDEX(auto_DataFlat_DataValue,$I25,M$10)</f>
        <v>0</v>
      </c>
      <c r="N25" cm="1">
        <f t="array" ref="N25">INDEX(auto_DataFlat_Classification,$I25,M$10)</f>
        <v>3</v>
      </c>
      <c r="O25" cm="1">
        <f t="array" ref="O25">INDEX(auto_DataFlat_IsEstimate,$I25,O$10)</f>
        <v>0</v>
      </c>
      <c r="P25" t="str" cm="1">
        <f t="array" ref="P25">IF(INDEX(auto_DataFlat_DataYear,$I25,P$10)=0,"n/a",INDEX(auto_DataFlat_DataYear,$I25,P$10))</f>
        <v>n/a</v>
      </c>
      <c r="R25">
        <f t="shared" si="1"/>
        <v>831</v>
      </c>
      <c r="S25" cm="1">
        <f t="array" ref="S25">INDEX(auto_DataFlat_Score,$R25,S$10)</f>
        <v>48.8</v>
      </c>
      <c r="U25">
        <f t="shared" si="12"/>
        <v>0</v>
      </c>
      <c r="V25">
        <f t="shared" si="13"/>
        <v>2</v>
      </c>
      <c r="W25">
        <f t="shared" si="14"/>
        <v>-1</v>
      </c>
      <c r="X25" t="e">
        <f t="shared" ca="1" si="15"/>
        <v>#N/A</v>
      </c>
      <c r="Y25">
        <f t="shared" ca="1" si="2"/>
        <v>32</v>
      </c>
      <c r="Z25" t="e">
        <f t="shared" ca="1" si="2"/>
        <v>#N/A</v>
      </c>
      <c r="AB25">
        <f t="shared" ca="1" si="16"/>
        <v>0</v>
      </c>
      <c r="AC25">
        <f t="shared" ca="1" si="3"/>
        <v>32</v>
      </c>
      <c r="AD25">
        <f t="shared" ca="1" si="3"/>
        <v>0</v>
      </c>
      <c r="AF25">
        <f t="shared" si="17"/>
        <v>-1</v>
      </c>
      <c r="AG25" t="e">
        <f t="shared" ca="1" si="18"/>
        <v>#N/A</v>
      </c>
      <c r="AH25" t="e">
        <f t="shared" ca="1" si="4"/>
        <v>#N/A</v>
      </c>
      <c r="AI25" t="e">
        <f t="shared" ca="1" si="4"/>
        <v>#N/A</v>
      </c>
      <c r="AJ25" t="e">
        <f t="shared" ca="1" si="4"/>
        <v>#N/A</v>
      </c>
      <c r="AK25" t="e">
        <f t="shared" ca="1" si="4"/>
        <v>#N/A</v>
      </c>
      <c r="AL25" t="e">
        <f t="shared" ref="AL25:AM25" ca="1" si="55">IFERROR(AL24+MATCH(AL$10,OFFSET($AF$12,AL24,0,300-AL24,1),0),NA())</f>
        <v>#N/A</v>
      </c>
      <c r="AM25" t="e">
        <f t="shared" ca="1" si="55"/>
        <v>#N/A</v>
      </c>
      <c r="AN25">
        <f t="shared" ca="1" si="20"/>
        <v>0</v>
      </c>
      <c r="AO25">
        <f t="shared" ca="1" si="21"/>
        <v>0</v>
      </c>
      <c r="AP25">
        <f t="shared" ca="1" si="22"/>
        <v>0</v>
      </c>
      <c r="AQ25">
        <f t="shared" ca="1" si="23"/>
        <v>0</v>
      </c>
      <c r="AR25">
        <f t="shared" ca="1" si="24"/>
        <v>0</v>
      </c>
      <c r="AS25">
        <f t="shared" ca="1" si="25"/>
        <v>0</v>
      </c>
      <c r="AT25">
        <f t="shared" ca="1" si="26"/>
        <v>0</v>
      </c>
      <c r="AV25">
        <f t="shared" si="6"/>
        <v>781</v>
      </c>
      <c r="AW25" cm="1">
        <f t="array" ref="AW25">INDEX(auto_DataFlat_Score,$AV25,1)</f>
        <v>29</v>
      </c>
      <c r="AX25" cm="1">
        <f t="array" ref="AX25">INDEX(auto_DataFlat_DataValue,$AV25,1)</f>
        <v>0</v>
      </c>
      <c r="BA25">
        <f t="shared" si="27"/>
        <v>19.799999999999997</v>
      </c>
      <c r="BB25">
        <f t="shared" si="28"/>
        <v>1</v>
      </c>
      <c r="BC25">
        <f t="shared" si="29"/>
        <v>-1</v>
      </c>
      <c r="BD25" t="e">
        <f t="shared" ca="1" si="7"/>
        <v>#N/A</v>
      </c>
      <c r="BE25" t="e">
        <f t="shared" ca="1" si="7"/>
        <v>#N/A</v>
      </c>
      <c r="BF25" t="e">
        <f t="shared" ca="1" si="7"/>
        <v>#N/A</v>
      </c>
      <c r="BH25">
        <f t="shared" ca="1" si="30"/>
        <v>0</v>
      </c>
      <c r="BI25">
        <f t="shared" ca="1" si="8"/>
        <v>0</v>
      </c>
      <c r="BJ25">
        <f t="shared" ca="1" si="8"/>
        <v>0</v>
      </c>
      <c r="BM25">
        <f t="shared" si="31"/>
        <v>-1</v>
      </c>
      <c r="BN25" t="e">
        <f t="shared" ca="1" si="32"/>
        <v>#N/A</v>
      </c>
      <c r="BO25" t="e">
        <f t="shared" ca="1" si="33"/>
        <v>#N/A</v>
      </c>
      <c r="BP25" t="e">
        <f t="shared" ca="1" si="34"/>
        <v>#N/A</v>
      </c>
      <c r="BQ25" t="e">
        <f t="shared" ca="1" si="35"/>
        <v>#N/A</v>
      </c>
      <c r="BR25" t="e">
        <f t="shared" ca="1" si="36"/>
        <v>#N/A</v>
      </c>
      <c r="BS25" t="e">
        <f t="shared" ca="1" si="37"/>
        <v>#N/A</v>
      </c>
      <c r="BT25" t="e">
        <f t="shared" ca="1" si="38"/>
        <v>#N/A</v>
      </c>
      <c r="BU25">
        <f t="shared" ca="1" si="39"/>
        <v>0</v>
      </c>
      <c r="BV25">
        <f t="shared" ca="1" si="40"/>
        <v>0</v>
      </c>
      <c r="BW25">
        <f t="shared" ca="1" si="41"/>
        <v>0</v>
      </c>
      <c r="BX25">
        <f t="shared" ca="1" si="42"/>
        <v>0</v>
      </c>
      <c r="BY25">
        <f t="shared" ca="1" si="43"/>
        <v>0</v>
      </c>
      <c r="BZ25">
        <f t="shared" ca="1" si="10"/>
        <v>0</v>
      </c>
      <c r="CA25">
        <f t="shared" ca="1" si="11"/>
        <v>0</v>
      </c>
    </row>
    <row r="26" spans="2:79" x14ac:dyDescent="0.4">
      <c r="B26">
        <v>15</v>
      </c>
      <c r="C26" t="str" cm="1">
        <f t="array" ref="C26">INDEX(auto_Series_Code,B26)</f>
        <v>INDI_006</v>
      </c>
      <c r="D26" cm="1">
        <f t="array" ref="D26">INDEX(auto_tblSeries,$B26,D$11)</f>
        <v>2</v>
      </c>
      <c r="E26" cm="1">
        <f t="array" ref="E26">INDEX(auto_tblSeries,$B26,E$11)</f>
        <v>0</v>
      </c>
      <c r="F26" cm="1">
        <f t="array" ref="F26">INDEX(auto_tblSeries,$B26,F$11)</f>
        <v>1</v>
      </c>
      <c r="G26" cm="1">
        <f t="array" ref="G26">INDEX(auto_tblSeries,$B26,G$11)</f>
        <v>0</v>
      </c>
      <c r="H26" cm="1">
        <f t="array" ref="H26">INDEX(auto_tblSeries,$B26,H$11)</f>
        <v>1</v>
      </c>
      <c r="I26">
        <f t="shared" si="0"/>
        <v>891</v>
      </c>
      <c r="K26" cm="1">
        <f t="array" ref="K26">INDEX(auto_DataFlat_Score,$I26,K$10)</f>
        <v>0</v>
      </c>
      <c r="L26" t="str" cm="1">
        <f t="array" ref="L26">INDEX(auto_DataFlat_Rank,$I26,L$10)</f>
        <v>n/a</v>
      </c>
      <c r="M26" cm="1">
        <f t="array" ref="M26">INDEX(auto_DataFlat_DataValue,$I26,M$10)</f>
        <v>0</v>
      </c>
      <c r="N26" cm="1">
        <f t="array" ref="N26">INDEX(auto_DataFlat_Classification,$I26,M$10)</f>
        <v>1</v>
      </c>
      <c r="O26" cm="1">
        <f t="array" ref="O26">INDEX(auto_DataFlat_IsEstimate,$I26,O$10)</f>
        <v>0</v>
      </c>
      <c r="P26" t="str" cm="1">
        <f t="array" ref="P26">IF(INDEX(auto_DataFlat_DataYear,$I26,P$10)=0,"n/a",INDEX(auto_DataFlat_DataYear,$I26,P$10))</f>
        <v>n/a</v>
      </c>
      <c r="R26">
        <f t="shared" si="1"/>
        <v>891</v>
      </c>
      <c r="S26" cm="1">
        <f t="array" ref="S26">INDEX(auto_DataFlat_Score,$R26,S$10)</f>
        <v>0</v>
      </c>
      <c r="U26">
        <f t="shared" si="12"/>
        <v>0</v>
      </c>
      <c r="V26">
        <f t="shared" si="13"/>
        <v>2</v>
      </c>
      <c r="W26">
        <f t="shared" si="14"/>
        <v>2</v>
      </c>
      <c r="X26" t="e">
        <f t="shared" ca="1" si="15"/>
        <v>#N/A</v>
      </c>
      <c r="Y26">
        <f t="shared" ca="1" si="2"/>
        <v>35</v>
      </c>
      <c r="Z26" t="e">
        <f t="shared" ca="1" si="2"/>
        <v>#N/A</v>
      </c>
      <c r="AB26">
        <f t="shared" ca="1" si="16"/>
        <v>0</v>
      </c>
      <c r="AC26">
        <f t="shared" ca="1" si="3"/>
        <v>35</v>
      </c>
      <c r="AD26">
        <f t="shared" ca="1" si="3"/>
        <v>0</v>
      </c>
      <c r="AF26">
        <f t="shared" si="17"/>
        <v>-1</v>
      </c>
      <c r="AG26" t="e">
        <f t="shared" ca="1" si="18"/>
        <v>#N/A</v>
      </c>
      <c r="AH26" t="e">
        <f t="shared" ca="1" si="4"/>
        <v>#N/A</v>
      </c>
      <c r="AI26" t="e">
        <f t="shared" ca="1" si="4"/>
        <v>#N/A</v>
      </c>
      <c r="AJ26" t="e">
        <f t="shared" ca="1" si="4"/>
        <v>#N/A</v>
      </c>
      <c r="AK26" t="e">
        <f t="shared" ca="1" si="4"/>
        <v>#N/A</v>
      </c>
      <c r="AL26" t="e">
        <f t="shared" ref="AL26:AM26" ca="1" si="56">IFERROR(AL25+MATCH(AL$10,OFFSET($AF$12,AL25,0,300-AL25,1),0),NA())</f>
        <v>#N/A</v>
      </c>
      <c r="AM26" t="e">
        <f t="shared" ca="1" si="56"/>
        <v>#N/A</v>
      </c>
      <c r="AN26">
        <f t="shared" ca="1" si="20"/>
        <v>0</v>
      </c>
      <c r="AO26">
        <f t="shared" ca="1" si="21"/>
        <v>0</v>
      </c>
      <c r="AP26">
        <f t="shared" ca="1" si="22"/>
        <v>0</v>
      </c>
      <c r="AQ26">
        <f t="shared" ca="1" si="23"/>
        <v>0</v>
      </c>
      <c r="AR26">
        <f t="shared" ca="1" si="24"/>
        <v>0</v>
      </c>
      <c r="AS26">
        <f t="shared" ca="1" si="25"/>
        <v>0</v>
      </c>
      <c r="AT26">
        <f t="shared" ca="1" si="26"/>
        <v>0</v>
      </c>
      <c r="AV26">
        <f t="shared" si="6"/>
        <v>841</v>
      </c>
      <c r="AW26" cm="1">
        <f t="array" ref="AW26">INDEX(auto_DataFlat_Score,$AV26,1)</f>
        <v>0</v>
      </c>
      <c r="AX26" cm="1">
        <f t="array" ref="AX26">INDEX(auto_DataFlat_DataValue,$AV26,1)</f>
        <v>22.9</v>
      </c>
      <c r="BA26">
        <f t="shared" si="27"/>
        <v>0</v>
      </c>
      <c r="BB26">
        <f t="shared" si="28"/>
        <v>2</v>
      </c>
      <c r="BC26">
        <f t="shared" si="29"/>
        <v>-1</v>
      </c>
      <c r="BD26" t="e">
        <f t="shared" ca="1" si="7"/>
        <v>#N/A</v>
      </c>
      <c r="BE26" t="e">
        <f t="shared" ca="1" si="7"/>
        <v>#N/A</v>
      </c>
      <c r="BF26" t="e">
        <f t="shared" ca="1" si="7"/>
        <v>#N/A</v>
      </c>
      <c r="BH26">
        <f t="shared" ca="1" si="30"/>
        <v>0</v>
      </c>
      <c r="BI26">
        <f t="shared" ca="1" si="8"/>
        <v>0</v>
      </c>
      <c r="BJ26">
        <f t="shared" ca="1" si="8"/>
        <v>0</v>
      </c>
      <c r="BM26">
        <f t="shared" si="31"/>
        <v>-1</v>
      </c>
      <c r="BN26" t="e">
        <f t="shared" ca="1" si="32"/>
        <v>#N/A</v>
      </c>
      <c r="BO26" t="e">
        <f t="shared" ca="1" si="33"/>
        <v>#N/A</v>
      </c>
      <c r="BP26" t="e">
        <f t="shared" ca="1" si="34"/>
        <v>#N/A</v>
      </c>
      <c r="BQ26" t="e">
        <f t="shared" ca="1" si="35"/>
        <v>#N/A</v>
      </c>
      <c r="BR26" t="e">
        <f t="shared" ca="1" si="36"/>
        <v>#N/A</v>
      </c>
      <c r="BS26" t="e">
        <f t="shared" ca="1" si="37"/>
        <v>#N/A</v>
      </c>
      <c r="BT26" t="e">
        <f t="shared" ca="1" si="38"/>
        <v>#N/A</v>
      </c>
      <c r="BU26">
        <f t="shared" ca="1" si="39"/>
        <v>0</v>
      </c>
      <c r="BV26">
        <f t="shared" ca="1" si="40"/>
        <v>0</v>
      </c>
      <c r="BW26">
        <f t="shared" ca="1" si="41"/>
        <v>0</v>
      </c>
      <c r="BX26">
        <f t="shared" ca="1" si="42"/>
        <v>0</v>
      </c>
      <c r="BY26">
        <f t="shared" ca="1" si="43"/>
        <v>0</v>
      </c>
      <c r="BZ26">
        <f t="shared" ca="1" si="10"/>
        <v>0</v>
      </c>
      <c r="CA26">
        <f t="shared" ca="1" si="11"/>
        <v>0</v>
      </c>
    </row>
    <row r="27" spans="2:79" x14ac:dyDescent="0.4">
      <c r="B27">
        <v>16</v>
      </c>
      <c r="C27" t="str" cm="1">
        <f t="array" ref="C27">INDEX(auto_Series_Code,B27)</f>
        <v>INDI_007</v>
      </c>
      <c r="D27" cm="1">
        <f t="array" ref="D27">INDEX(auto_tblSeries,$B27,D$11)</f>
        <v>2</v>
      </c>
      <c r="E27" cm="1">
        <f t="array" ref="E27">INDEX(auto_tblSeries,$B27,E$11)</f>
        <v>0</v>
      </c>
      <c r="F27" cm="1">
        <f t="array" ref="F27">INDEX(auto_tblSeries,$B27,F$11)</f>
        <v>1</v>
      </c>
      <c r="G27" cm="1">
        <f t="array" ref="G27">INDEX(auto_tblSeries,$B27,G$11)</f>
        <v>0</v>
      </c>
      <c r="H27" cm="1">
        <f t="array" ref="H27">INDEX(auto_tblSeries,$B27,H$11)</f>
        <v>1</v>
      </c>
      <c r="I27">
        <f t="shared" si="0"/>
        <v>951</v>
      </c>
      <c r="K27" cm="1">
        <f t="array" ref="K27">INDEX(auto_DataFlat_Score,$I27,K$10)</f>
        <v>47.8</v>
      </c>
      <c r="L27" t="str" cm="1">
        <f t="array" ref="L27">INDEX(auto_DataFlat_Rank,$I27,L$10)</f>
        <v>n/a</v>
      </c>
      <c r="M27" cm="1">
        <f t="array" ref="M27">INDEX(auto_DataFlat_DataValue,$I27,M$10)</f>
        <v>0</v>
      </c>
      <c r="N27" cm="1">
        <f t="array" ref="N27">INDEX(auto_DataFlat_Classification,$I27,M$10)</f>
        <v>3</v>
      </c>
      <c r="O27" cm="1">
        <f t="array" ref="O27">INDEX(auto_DataFlat_IsEstimate,$I27,O$10)</f>
        <v>0</v>
      </c>
      <c r="P27" t="str" cm="1">
        <f t="array" ref="P27">IF(INDEX(auto_DataFlat_DataYear,$I27,P$10)=0,"n/a",INDEX(auto_DataFlat_DataYear,$I27,P$10))</f>
        <v>n/a</v>
      </c>
      <c r="R27">
        <f t="shared" si="1"/>
        <v>951</v>
      </c>
      <c r="S27" cm="1">
        <f t="array" ref="S27">INDEX(auto_DataFlat_Score,$R27,S$10)</f>
        <v>47.8</v>
      </c>
      <c r="U27">
        <f t="shared" si="12"/>
        <v>0</v>
      </c>
      <c r="V27">
        <f t="shared" si="13"/>
        <v>2</v>
      </c>
      <c r="W27">
        <f t="shared" si="14"/>
        <v>2</v>
      </c>
      <c r="X27" t="e">
        <f t="shared" ca="1" si="15"/>
        <v>#N/A</v>
      </c>
      <c r="Y27">
        <f t="shared" ca="1" si="2"/>
        <v>38</v>
      </c>
      <c r="Z27" t="e">
        <f t="shared" ca="1" si="2"/>
        <v>#N/A</v>
      </c>
      <c r="AB27">
        <f t="shared" ca="1" si="16"/>
        <v>0</v>
      </c>
      <c r="AC27">
        <f t="shared" ca="1" si="3"/>
        <v>38</v>
      </c>
      <c r="AD27">
        <f t="shared" ca="1" si="3"/>
        <v>0</v>
      </c>
      <c r="AF27">
        <f t="shared" si="17"/>
        <v>-1</v>
      </c>
      <c r="AG27" t="e">
        <f t="shared" ca="1" si="18"/>
        <v>#N/A</v>
      </c>
      <c r="AH27" t="e">
        <f t="shared" ca="1" si="4"/>
        <v>#N/A</v>
      </c>
      <c r="AI27" t="e">
        <f t="shared" ca="1" si="4"/>
        <v>#N/A</v>
      </c>
      <c r="AJ27" t="e">
        <f t="shared" ca="1" si="4"/>
        <v>#N/A</v>
      </c>
      <c r="AK27" t="e">
        <f t="shared" ca="1" si="4"/>
        <v>#N/A</v>
      </c>
      <c r="AL27" t="e">
        <f t="shared" ref="AL27:AM27" ca="1" si="57">IFERROR(AL26+MATCH(AL$10,OFFSET($AF$12,AL26,0,300-AL26,1),0),NA())</f>
        <v>#N/A</v>
      </c>
      <c r="AM27" t="e">
        <f t="shared" ca="1" si="57"/>
        <v>#N/A</v>
      </c>
      <c r="AN27">
        <f t="shared" ca="1" si="20"/>
        <v>0</v>
      </c>
      <c r="AO27">
        <f t="shared" ca="1" si="21"/>
        <v>0</v>
      </c>
      <c r="AP27">
        <f t="shared" ca="1" si="22"/>
        <v>0</v>
      </c>
      <c r="AQ27">
        <f t="shared" ca="1" si="23"/>
        <v>0</v>
      </c>
      <c r="AR27">
        <f t="shared" ca="1" si="24"/>
        <v>0</v>
      </c>
      <c r="AS27">
        <f t="shared" ca="1" si="25"/>
        <v>0</v>
      </c>
      <c r="AT27">
        <f t="shared" ca="1" si="26"/>
        <v>0</v>
      </c>
      <c r="AV27">
        <f t="shared" si="6"/>
        <v>901</v>
      </c>
      <c r="AW27" cm="1">
        <f t="array" ref="AW27">INDEX(auto_DataFlat_Score,$AV27,1)</f>
        <v>42.5</v>
      </c>
      <c r="AX27" cm="1">
        <f t="array" ref="AX27">INDEX(auto_DataFlat_DataValue,$AV27,1)</f>
        <v>41.8</v>
      </c>
      <c r="BA27">
        <f t="shared" si="27"/>
        <v>5.2999999999999972</v>
      </c>
      <c r="BB27">
        <f t="shared" si="28"/>
        <v>1</v>
      </c>
      <c r="BC27">
        <f t="shared" si="29"/>
        <v>-1</v>
      </c>
      <c r="BD27" t="e">
        <f t="shared" ca="1" si="7"/>
        <v>#N/A</v>
      </c>
      <c r="BE27" t="e">
        <f t="shared" ca="1" si="7"/>
        <v>#N/A</v>
      </c>
      <c r="BF27" t="e">
        <f t="shared" ca="1" si="7"/>
        <v>#N/A</v>
      </c>
      <c r="BH27">
        <f t="shared" ca="1" si="30"/>
        <v>0</v>
      </c>
      <c r="BI27">
        <f t="shared" ca="1" si="8"/>
        <v>0</v>
      </c>
      <c r="BJ27">
        <f t="shared" ca="1" si="8"/>
        <v>0</v>
      </c>
      <c r="BM27">
        <f t="shared" si="31"/>
        <v>-1</v>
      </c>
      <c r="BN27" t="e">
        <f t="shared" ca="1" si="32"/>
        <v>#N/A</v>
      </c>
      <c r="BO27" t="e">
        <f t="shared" ca="1" si="33"/>
        <v>#N/A</v>
      </c>
      <c r="BP27" t="e">
        <f t="shared" ca="1" si="34"/>
        <v>#N/A</v>
      </c>
      <c r="BQ27" t="e">
        <f t="shared" ca="1" si="35"/>
        <v>#N/A</v>
      </c>
      <c r="BR27" t="e">
        <f t="shared" ca="1" si="36"/>
        <v>#N/A</v>
      </c>
      <c r="BS27" t="e">
        <f t="shared" ca="1" si="37"/>
        <v>#N/A</v>
      </c>
      <c r="BT27" t="e">
        <f t="shared" ca="1" si="38"/>
        <v>#N/A</v>
      </c>
      <c r="BU27">
        <f t="shared" ca="1" si="39"/>
        <v>0</v>
      </c>
      <c r="BV27">
        <f t="shared" ca="1" si="40"/>
        <v>0</v>
      </c>
      <c r="BW27">
        <f t="shared" ca="1" si="41"/>
        <v>0</v>
      </c>
      <c r="BX27">
        <f t="shared" ca="1" si="42"/>
        <v>0</v>
      </c>
      <c r="BY27">
        <f t="shared" ca="1" si="43"/>
        <v>0</v>
      </c>
      <c r="BZ27">
        <f t="shared" ca="1" si="10"/>
        <v>0</v>
      </c>
      <c r="CA27">
        <f t="shared" ca="1" si="11"/>
        <v>0</v>
      </c>
    </row>
    <row r="28" spans="2:79" x14ac:dyDescent="0.4">
      <c r="B28">
        <v>17</v>
      </c>
      <c r="C28" t="str" cm="1">
        <f t="array" ref="C28">INDEX(auto_Series_Code,B28)</f>
        <v>INDI_008</v>
      </c>
      <c r="D28" cm="1">
        <f t="array" ref="D28">INDEX(auto_tblSeries,$B28,D$11)</f>
        <v>2</v>
      </c>
      <c r="E28" cm="1">
        <f t="array" ref="E28">INDEX(auto_tblSeries,$B28,E$11)</f>
        <v>0</v>
      </c>
      <c r="F28" cm="1">
        <f t="array" ref="F28">INDEX(auto_tblSeries,$B28,F$11)</f>
        <v>1</v>
      </c>
      <c r="G28" cm="1">
        <f t="array" ref="G28">INDEX(auto_tblSeries,$B28,G$11)</f>
        <v>0</v>
      </c>
      <c r="H28" cm="1">
        <f t="array" ref="H28">INDEX(auto_tblSeries,$B28,H$11)</f>
        <v>0</v>
      </c>
      <c r="I28">
        <f t="shared" si="0"/>
        <v>1011</v>
      </c>
      <c r="K28" cm="1">
        <f t="array" ref="K28">INDEX(auto_DataFlat_Score,$I28,K$10)</f>
        <v>70</v>
      </c>
      <c r="L28" t="str" cm="1">
        <f t="array" ref="L28">INDEX(auto_DataFlat_Rank,$I28,L$10)</f>
        <v>n/a</v>
      </c>
      <c r="M28" cm="1">
        <f t="array" ref="M28">INDEX(auto_DataFlat_DataValue,$I28,M$10)</f>
        <v>0</v>
      </c>
      <c r="N28" cm="1">
        <f t="array" ref="N28">INDEX(auto_DataFlat_Classification,$I28,M$10)</f>
        <v>4</v>
      </c>
      <c r="O28" cm="1">
        <f t="array" ref="O28">INDEX(auto_DataFlat_IsEstimate,$I28,O$10)</f>
        <v>0</v>
      </c>
      <c r="P28" t="str" cm="1">
        <f t="array" ref="P28">IF(INDEX(auto_DataFlat_DataYear,$I28,P$10)=0,"n/a",INDEX(auto_DataFlat_DataYear,$I28,P$10))</f>
        <v>n/a</v>
      </c>
      <c r="R28">
        <f t="shared" si="1"/>
        <v>1011</v>
      </c>
      <c r="S28" cm="1">
        <f t="array" ref="S28">INDEX(auto_DataFlat_Score,$R28,S$10)</f>
        <v>70</v>
      </c>
      <c r="U28">
        <f t="shared" si="12"/>
        <v>0</v>
      </c>
      <c r="V28">
        <f t="shared" si="13"/>
        <v>2</v>
      </c>
      <c r="W28">
        <f t="shared" si="14"/>
        <v>2</v>
      </c>
      <c r="X28" t="e">
        <f t="shared" ca="1" si="15"/>
        <v>#N/A</v>
      </c>
      <c r="Y28">
        <f t="shared" ca="1" si="15"/>
        <v>41</v>
      </c>
      <c r="Z28" t="e">
        <f t="shared" ca="1" si="15"/>
        <v>#N/A</v>
      </c>
      <c r="AB28">
        <f t="shared" ca="1" si="16"/>
        <v>0</v>
      </c>
      <c r="AC28">
        <f t="shared" ca="1" si="16"/>
        <v>41</v>
      </c>
      <c r="AD28">
        <f t="shared" ca="1" si="16"/>
        <v>0</v>
      </c>
      <c r="AF28">
        <f t="shared" si="17"/>
        <v>-1</v>
      </c>
      <c r="AG28" t="e">
        <f t="shared" ca="1" si="18"/>
        <v>#N/A</v>
      </c>
      <c r="AH28" t="e">
        <f t="shared" ca="1" si="18"/>
        <v>#N/A</v>
      </c>
      <c r="AI28" t="e">
        <f t="shared" ca="1" si="18"/>
        <v>#N/A</v>
      </c>
      <c r="AJ28" t="e">
        <f t="shared" ca="1" si="18"/>
        <v>#N/A</v>
      </c>
      <c r="AK28" t="e">
        <f t="shared" ca="1" si="18"/>
        <v>#N/A</v>
      </c>
      <c r="AL28" t="e">
        <f t="shared" ca="1" si="18"/>
        <v>#N/A</v>
      </c>
      <c r="AM28" t="e">
        <f t="shared" ca="1" si="18"/>
        <v>#N/A</v>
      </c>
      <c r="AN28">
        <f t="shared" ca="1" si="20"/>
        <v>0</v>
      </c>
      <c r="AO28">
        <f t="shared" ca="1" si="21"/>
        <v>0</v>
      </c>
      <c r="AP28">
        <f t="shared" ca="1" si="22"/>
        <v>0</v>
      </c>
      <c r="AQ28">
        <f t="shared" ca="1" si="23"/>
        <v>0</v>
      </c>
      <c r="AR28">
        <f t="shared" ca="1" si="24"/>
        <v>0</v>
      </c>
      <c r="AS28">
        <f t="shared" ca="1" si="25"/>
        <v>0</v>
      </c>
      <c r="AT28">
        <f t="shared" ca="1" si="26"/>
        <v>0</v>
      </c>
      <c r="AV28">
        <f t="shared" si="6"/>
        <v>961</v>
      </c>
      <c r="AW28" cm="1">
        <f t="array" ref="AW28">INDEX(auto_DataFlat_Score,$AV28,1)</f>
        <v>0</v>
      </c>
      <c r="AX28" cm="1">
        <f t="array" ref="AX28">INDEX(auto_DataFlat_DataValue,$AV28,1)</f>
        <v>0</v>
      </c>
      <c r="BA28">
        <f t="shared" si="27"/>
        <v>70</v>
      </c>
      <c r="BB28">
        <f t="shared" si="28"/>
        <v>1</v>
      </c>
      <c r="BC28">
        <f t="shared" si="29"/>
        <v>-1</v>
      </c>
      <c r="BD28" t="e">
        <f t="shared" ref="BD28:BF43" ca="1" si="58">BD27+MATCH(BD$10,OFFSET($BC$12,BD27,0,200,1),0)</f>
        <v>#N/A</v>
      </c>
      <c r="BE28" t="e">
        <f t="shared" ca="1" si="58"/>
        <v>#N/A</v>
      </c>
      <c r="BF28" t="e">
        <f t="shared" ca="1" si="58"/>
        <v>#N/A</v>
      </c>
      <c r="BH28">
        <f t="shared" ca="1" si="30"/>
        <v>0</v>
      </c>
      <c r="BI28">
        <f t="shared" ca="1" si="30"/>
        <v>0</v>
      </c>
      <c r="BJ28">
        <f t="shared" ca="1" si="30"/>
        <v>0</v>
      </c>
      <c r="BM28">
        <f t="shared" si="31"/>
        <v>-1</v>
      </c>
      <c r="BN28" t="e">
        <f t="shared" ca="1" si="32"/>
        <v>#N/A</v>
      </c>
      <c r="BO28" t="e">
        <f t="shared" ca="1" si="33"/>
        <v>#N/A</v>
      </c>
      <c r="BP28" t="e">
        <f t="shared" ca="1" si="34"/>
        <v>#N/A</v>
      </c>
      <c r="BQ28" t="e">
        <f t="shared" ca="1" si="35"/>
        <v>#N/A</v>
      </c>
      <c r="BR28" t="e">
        <f t="shared" ca="1" si="36"/>
        <v>#N/A</v>
      </c>
      <c r="BS28" t="e">
        <f t="shared" ca="1" si="37"/>
        <v>#N/A</v>
      </c>
      <c r="BT28" t="e">
        <f t="shared" ca="1" si="38"/>
        <v>#N/A</v>
      </c>
      <c r="BU28">
        <f t="shared" ca="1" si="39"/>
        <v>0</v>
      </c>
      <c r="BV28">
        <f t="shared" ca="1" si="40"/>
        <v>0</v>
      </c>
      <c r="BW28">
        <f t="shared" ca="1" si="41"/>
        <v>0</v>
      </c>
      <c r="BX28">
        <f t="shared" ca="1" si="42"/>
        <v>0</v>
      </c>
      <c r="BY28">
        <f t="shared" ca="1" si="43"/>
        <v>0</v>
      </c>
      <c r="BZ28">
        <f t="shared" ca="1" si="10"/>
        <v>0</v>
      </c>
      <c r="CA28">
        <f t="shared" ca="1" si="11"/>
        <v>0</v>
      </c>
    </row>
    <row r="29" spans="2:79" x14ac:dyDescent="0.4">
      <c r="B29">
        <v>18</v>
      </c>
      <c r="C29" t="str" cm="1">
        <f t="array" ref="C29">INDEX(auto_Series_Code,B29)</f>
        <v>INDI_009</v>
      </c>
      <c r="D29" cm="1">
        <f t="array" ref="D29">INDEX(auto_tblSeries,$B29,D$11)</f>
        <v>2</v>
      </c>
      <c r="E29" cm="1">
        <f t="array" ref="E29">INDEX(auto_tblSeries,$B29,E$11)</f>
        <v>0</v>
      </c>
      <c r="F29" cm="1">
        <f t="array" ref="F29">INDEX(auto_tblSeries,$B29,F$11)</f>
        <v>0</v>
      </c>
      <c r="G29" cm="1">
        <f t="array" ref="G29">INDEX(auto_tblSeries,$B29,G$11)</f>
        <v>0</v>
      </c>
      <c r="H29" cm="1">
        <f t="array" ref="H29">INDEX(auto_tblSeries,$B29,H$11)</f>
        <v>1</v>
      </c>
      <c r="I29">
        <f t="shared" si="0"/>
        <v>1071</v>
      </c>
      <c r="K29" cm="1">
        <f t="array" ref="K29">INDEX(auto_DataFlat_Score,$I29,K$10)</f>
        <v>61.6</v>
      </c>
      <c r="L29" t="str" cm="1">
        <f t="array" ref="L29">INDEX(auto_DataFlat_Rank,$I29,L$10)</f>
        <v>n/a</v>
      </c>
      <c r="M29" cm="1">
        <f t="array" ref="M29">INDEX(auto_DataFlat_DataValue,$I29,M$10)</f>
        <v>0</v>
      </c>
      <c r="N29" cm="1">
        <f t="array" ref="N29">INDEX(auto_DataFlat_Classification,$I29,M$10)</f>
        <v>4</v>
      </c>
      <c r="O29" cm="1">
        <f t="array" ref="O29">INDEX(auto_DataFlat_IsEstimate,$I29,O$10)</f>
        <v>0</v>
      </c>
      <c r="P29" t="str" cm="1">
        <f t="array" ref="P29">IF(INDEX(auto_DataFlat_DataYear,$I29,P$10)=0,"n/a",INDEX(auto_DataFlat_DataYear,$I29,P$10))</f>
        <v>n/a</v>
      </c>
      <c r="R29">
        <f t="shared" si="1"/>
        <v>1071</v>
      </c>
      <c r="S29" cm="1">
        <f t="array" ref="S29">INDEX(auto_DataFlat_Score,$R29,S$10)</f>
        <v>61.6</v>
      </c>
      <c r="U29">
        <f t="shared" si="12"/>
        <v>0</v>
      </c>
      <c r="V29">
        <f t="shared" si="13"/>
        <v>2</v>
      </c>
      <c r="W29">
        <f t="shared" si="14"/>
        <v>2</v>
      </c>
      <c r="X29" t="e">
        <f t="shared" ref="X29:Z44" ca="1" si="59">X28+MATCH(X$10,OFFSET($W$12,X28,0,300,1),0)</f>
        <v>#N/A</v>
      </c>
      <c r="Y29">
        <f t="shared" ca="1" si="59"/>
        <v>44</v>
      </c>
      <c r="Z29" t="e">
        <f t="shared" ca="1" si="59"/>
        <v>#N/A</v>
      </c>
      <c r="AB29">
        <f t="shared" ca="1" si="16"/>
        <v>0</v>
      </c>
      <c r="AC29">
        <f t="shared" ca="1" si="16"/>
        <v>44</v>
      </c>
      <c r="AD29">
        <f t="shared" ca="1" si="16"/>
        <v>0</v>
      </c>
      <c r="AF29">
        <f t="shared" si="17"/>
        <v>-1</v>
      </c>
      <c r="AG29" t="e">
        <f t="shared" ref="AG29:AM44" ca="1" si="60">IFERROR(AG28+MATCH(AG$10,OFFSET($AF$12,AG28,0,300-AG28,1),0),NA())</f>
        <v>#N/A</v>
      </c>
      <c r="AH29" t="e">
        <f t="shared" ca="1" si="60"/>
        <v>#N/A</v>
      </c>
      <c r="AI29" t="e">
        <f t="shared" ca="1" si="60"/>
        <v>#N/A</v>
      </c>
      <c r="AJ29" t="e">
        <f t="shared" ca="1" si="60"/>
        <v>#N/A</v>
      </c>
      <c r="AK29" t="e">
        <f t="shared" ca="1" si="60"/>
        <v>#N/A</v>
      </c>
      <c r="AL29" t="e">
        <f t="shared" ca="1" si="60"/>
        <v>#N/A</v>
      </c>
      <c r="AM29" t="e">
        <f t="shared" ca="1" si="60"/>
        <v>#N/A</v>
      </c>
      <c r="AN29">
        <f t="shared" ca="1" si="20"/>
        <v>0</v>
      </c>
      <c r="AO29">
        <f t="shared" ca="1" si="21"/>
        <v>0</v>
      </c>
      <c r="AP29">
        <f t="shared" ca="1" si="22"/>
        <v>0</v>
      </c>
      <c r="AQ29">
        <f t="shared" ca="1" si="23"/>
        <v>0</v>
      </c>
      <c r="AR29">
        <f t="shared" ca="1" si="24"/>
        <v>0</v>
      </c>
      <c r="AS29">
        <f t="shared" ca="1" si="25"/>
        <v>0</v>
      </c>
      <c r="AT29">
        <f t="shared" ca="1" si="26"/>
        <v>0</v>
      </c>
      <c r="AV29">
        <f t="shared" si="6"/>
        <v>1021</v>
      </c>
      <c r="AW29" cm="1">
        <f t="array" ref="AW29">INDEX(auto_DataFlat_Score,$AV29,1)</f>
        <v>71</v>
      </c>
      <c r="AX29" cm="1">
        <f t="array" ref="AX29">INDEX(auto_DataFlat_DataValue,$AV29,1)</f>
        <v>0</v>
      </c>
      <c r="BA29">
        <f t="shared" si="27"/>
        <v>-9.3999999999999986</v>
      </c>
      <c r="BB29">
        <f t="shared" si="28"/>
        <v>3</v>
      </c>
      <c r="BC29">
        <f t="shared" si="29"/>
        <v>-1</v>
      </c>
      <c r="BD29" t="e">
        <f t="shared" ca="1" si="58"/>
        <v>#N/A</v>
      </c>
      <c r="BE29" t="e">
        <f t="shared" ca="1" si="58"/>
        <v>#N/A</v>
      </c>
      <c r="BF29" t="e">
        <f t="shared" ca="1" si="58"/>
        <v>#N/A</v>
      </c>
      <c r="BH29">
        <f t="shared" ca="1" si="30"/>
        <v>0</v>
      </c>
      <c r="BI29">
        <f t="shared" ca="1" si="30"/>
        <v>0</v>
      </c>
      <c r="BJ29">
        <f t="shared" ca="1" si="30"/>
        <v>0</v>
      </c>
      <c r="BM29">
        <f t="shared" si="31"/>
        <v>-1</v>
      </c>
      <c r="BN29" t="e">
        <f t="shared" ca="1" si="32"/>
        <v>#N/A</v>
      </c>
      <c r="BO29" t="e">
        <f t="shared" ca="1" si="33"/>
        <v>#N/A</v>
      </c>
      <c r="BP29" t="e">
        <f t="shared" ca="1" si="34"/>
        <v>#N/A</v>
      </c>
      <c r="BQ29" t="e">
        <f t="shared" ca="1" si="35"/>
        <v>#N/A</v>
      </c>
      <c r="BR29" t="e">
        <f t="shared" ca="1" si="36"/>
        <v>#N/A</v>
      </c>
      <c r="BS29" t="e">
        <f t="shared" ca="1" si="37"/>
        <v>#N/A</v>
      </c>
      <c r="BT29" t="e">
        <f t="shared" ca="1" si="38"/>
        <v>#N/A</v>
      </c>
      <c r="BU29">
        <f t="shared" ca="1" si="39"/>
        <v>0</v>
      </c>
      <c r="BV29">
        <f t="shared" ca="1" si="40"/>
        <v>0</v>
      </c>
      <c r="BW29">
        <f t="shared" ca="1" si="41"/>
        <v>0</v>
      </c>
      <c r="BX29">
        <f t="shared" ca="1" si="42"/>
        <v>0</v>
      </c>
      <c r="BY29">
        <f t="shared" ca="1" si="43"/>
        <v>0</v>
      </c>
      <c r="BZ29">
        <f t="shared" ca="1" si="10"/>
        <v>0</v>
      </c>
      <c r="CA29">
        <f t="shared" ca="1" si="11"/>
        <v>0</v>
      </c>
    </row>
    <row r="30" spans="2:79" x14ac:dyDescent="0.4">
      <c r="B30">
        <v>19</v>
      </c>
      <c r="C30" t="str" cm="1">
        <f t="array" ref="C30">INDEX(auto_Series_Code,B30)</f>
        <v>SUBINDI_007</v>
      </c>
      <c r="D30" cm="1">
        <f t="array" ref="D30">INDEX(auto_tblSeries,$B30,D$11)</f>
        <v>3</v>
      </c>
      <c r="E30" cm="1">
        <f t="array" ref="E30">INDEX(auto_tblSeries,$B30,E$11)</f>
        <v>0</v>
      </c>
      <c r="F30" cm="1">
        <f t="array" ref="F30">INDEX(auto_tblSeries,$B30,F$11)</f>
        <v>1</v>
      </c>
      <c r="G30" cm="1">
        <f t="array" ref="G30">INDEX(auto_tblSeries,$B30,G$11)</f>
        <v>0</v>
      </c>
      <c r="H30" cm="1">
        <f t="array" ref="H30">INDEX(auto_tblSeries,$B30,H$11)</f>
        <v>1</v>
      </c>
      <c r="I30">
        <f t="shared" si="0"/>
        <v>1131</v>
      </c>
      <c r="K30" cm="1">
        <f t="array" ref="K30">INDEX(auto_DataFlat_Score,$I30,K$10)</f>
        <v>81.099999999999994</v>
      </c>
      <c r="L30" t="str" cm="1">
        <f t="array" ref="L30">INDEX(auto_DataFlat_Rank,$I30,L$10)</f>
        <v>n/a</v>
      </c>
      <c r="M30" cm="1">
        <f t="array" ref="M30">INDEX(auto_DataFlat_DataValue,$I30,M$10)</f>
        <v>0</v>
      </c>
      <c r="N30" cm="1">
        <f t="array" ref="N30">INDEX(auto_DataFlat_Classification,$I30,M$10)</f>
        <v>5</v>
      </c>
      <c r="O30" cm="1">
        <f t="array" ref="O30">INDEX(auto_DataFlat_IsEstimate,$I30,O$10)</f>
        <v>0</v>
      </c>
      <c r="P30" t="str" cm="1">
        <f t="array" ref="P30">IF(INDEX(auto_DataFlat_DataYear,$I30,P$10)=0,"n/a",INDEX(auto_DataFlat_DataYear,$I30,P$10))</f>
        <v>n/a</v>
      </c>
      <c r="R30">
        <f t="shared" si="1"/>
        <v>1131</v>
      </c>
      <c r="S30" cm="1">
        <f t="array" ref="S30">INDEX(auto_DataFlat_Score,$R30,S$10)</f>
        <v>81.099999999999994</v>
      </c>
      <c r="U30">
        <f t="shared" si="12"/>
        <v>0</v>
      </c>
      <c r="V30">
        <f t="shared" si="13"/>
        <v>2</v>
      </c>
      <c r="W30">
        <f t="shared" si="14"/>
        <v>-1</v>
      </c>
      <c r="X30" t="e">
        <f t="shared" ca="1" si="59"/>
        <v>#N/A</v>
      </c>
      <c r="Y30">
        <f t="shared" ca="1" si="59"/>
        <v>48</v>
      </c>
      <c r="Z30" t="e">
        <f t="shared" ca="1" si="59"/>
        <v>#N/A</v>
      </c>
      <c r="AB30">
        <f t="shared" ca="1" si="16"/>
        <v>0</v>
      </c>
      <c r="AC30">
        <f t="shared" ca="1" si="16"/>
        <v>48</v>
      </c>
      <c r="AD30">
        <f t="shared" ca="1" si="16"/>
        <v>0</v>
      </c>
      <c r="AF30">
        <f t="shared" si="17"/>
        <v>5</v>
      </c>
      <c r="AG30" t="e">
        <f t="shared" ca="1" si="60"/>
        <v>#N/A</v>
      </c>
      <c r="AH30" t="e">
        <f t="shared" ca="1" si="60"/>
        <v>#N/A</v>
      </c>
      <c r="AI30" t="e">
        <f t="shared" ca="1" si="60"/>
        <v>#N/A</v>
      </c>
      <c r="AJ30" t="e">
        <f t="shared" ca="1" si="60"/>
        <v>#N/A</v>
      </c>
      <c r="AK30" t="e">
        <f t="shared" ca="1" si="60"/>
        <v>#N/A</v>
      </c>
      <c r="AL30" t="e">
        <f t="shared" ca="1" si="60"/>
        <v>#N/A</v>
      </c>
      <c r="AM30" t="e">
        <f t="shared" ca="1" si="60"/>
        <v>#N/A</v>
      </c>
      <c r="AN30">
        <f t="shared" ca="1" si="20"/>
        <v>0</v>
      </c>
      <c r="AO30">
        <f t="shared" ca="1" si="21"/>
        <v>0</v>
      </c>
      <c r="AP30">
        <f t="shared" ca="1" si="22"/>
        <v>0</v>
      </c>
      <c r="AQ30">
        <f t="shared" ca="1" si="23"/>
        <v>0</v>
      </c>
      <c r="AR30">
        <f t="shared" ca="1" si="24"/>
        <v>0</v>
      </c>
      <c r="AS30">
        <f t="shared" ca="1" si="25"/>
        <v>0</v>
      </c>
      <c r="AT30">
        <f t="shared" ca="1" si="26"/>
        <v>0</v>
      </c>
      <c r="AV30">
        <f t="shared" si="6"/>
        <v>1081</v>
      </c>
      <c r="AW30" cm="1">
        <f t="array" ref="AW30">INDEX(auto_DataFlat_Score,$AV30,1)</f>
        <v>41.9</v>
      </c>
      <c r="AX30" cm="1">
        <f t="array" ref="AX30">INDEX(auto_DataFlat_DataValue,$AV30,1)</f>
        <v>58.1</v>
      </c>
      <c r="BA30">
        <f t="shared" si="27"/>
        <v>39.199999999999996</v>
      </c>
      <c r="BB30">
        <f t="shared" si="28"/>
        <v>1</v>
      </c>
      <c r="BC30">
        <f t="shared" si="29"/>
        <v>1</v>
      </c>
      <c r="BD30" t="e">
        <f t="shared" ca="1" si="58"/>
        <v>#N/A</v>
      </c>
      <c r="BE30" t="e">
        <f t="shared" ca="1" si="58"/>
        <v>#N/A</v>
      </c>
      <c r="BF30" t="e">
        <f t="shared" ca="1" si="58"/>
        <v>#N/A</v>
      </c>
      <c r="BH30">
        <f t="shared" ca="1" si="30"/>
        <v>0</v>
      </c>
      <c r="BI30">
        <f t="shared" ca="1" si="30"/>
        <v>0</v>
      </c>
      <c r="BJ30">
        <f t="shared" ca="1" si="30"/>
        <v>0</v>
      </c>
      <c r="BM30">
        <f t="shared" si="31"/>
        <v>-1</v>
      </c>
      <c r="BN30" t="e">
        <f t="shared" ca="1" si="32"/>
        <v>#N/A</v>
      </c>
      <c r="BO30" t="e">
        <f t="shared" ca="1" si="33"/>
        <v>#N/A</v>
      </c>
      <c r="BP30" t="e">
        <f t="shared" ca="1" si="34"/>
        <v>#N/A</v>
      </c>
      <c r="BQ30" t="e">
        <f t="shared" ca="1" si="35"/>
        <v>#N/A</v>
      </c>
      <c r="BR30" t="e">
        <f t="shared" ca="1" si="36"/>
        <v>#N/A</v>
      </c>
      <c r="BS30" t="e">
        <f t="shared" ca="1" si="37"/>
        <v>#N/A</v>
      </c>
      <c r="BT30" t="e">
        <f t="shared" ca="1" si="38"/>
        <v>#N/A</v>
      </c>
      <c r="BU30">
        <f t="shared" ca="1" si="39"/>
        <v>0</v>
      </c>
      <c r="BV30">
        <f t="shared" ca="1" si="40"/>
        <v>0</v>
      </c>
      <c r="BW30">
        <f t="shared" ca="1" si="41"/>
        <v>0</v>
      </c>
      <c r="BX30">
        <f t="shared" ca="1" si="42"/>
        <v>0</v>
      </c>
      <c r="BY30">
        <f t="shared" ca="1" si="43"/>
        <v>0</v>
      </c>
      <c r="BZ30">
        <f t="shared" ca="1" si="10"/>
        <v>0</v>
      </c>
      <c r="CA30">
        <f t="shared" ca="1" si="11"/>
        <v>0</v>
      </c>
    </row>
    <row r="31" spans="2:79" x14ac:dyDescent="0.4">
      <c r="B31">
        <v>20</v>
      </c>
      <c r="C31" t="str" cm="1">
        <f t="array" ref="C31">INDEX(auto_Series_Code,B31)</f>
        <v>SUBINDI_008</v>
      </c>
      <c r="D31" cm="1">
        <f t="array" ref="D31">INDEX(auto_tblSeries,$B31,D$11)</f>
        <v>3</v>
      </c>
      <c r="E31" cm="1">
        <f t="array" ref="E31">INDEX(auto_tblSeries,$B31,E$11)</f>
        <v>0</v>
      </c>
      <c r="F31" cm="1">
        <f t="array" ref="F31">INDEX(auto_tblSeries,$B31,F$11)</f>
        <v>1</v>
      </c>
      <c r="G31" cm="1">
        <f t="array" ref="G31">INDEX(auto_tblSeries,$B31,G$11)</f>
        <v>0</v>
      </c>
      <c r="H31" cm="1">
        <f t="array" ref="H31">INDEX(auto_tblSeries,$B31,H$11)</f>
        <v>0</v>
      </c>
      <c r="I31">
        <f t="shared" si="0"/>
        <v>1191</v>
      </c>
      <c r="K31" cm="1">
        <f t="array" ref="K31">INDEX(auto_DataFlat_Score,$I31,K$10)</f>
        <v>42</v>
      </c>
      <c r="L31" t="str" cm="1">
        <f t="array" ref="L31">INDEX(auto_DataFlat_Rank,$I31,L$10)</f>
        <v>n/a</v>
      </c>
      <c r="M31" cm="1">
        <f t="array" ref="M31">INDEX(auto_DataFlat_DataValue,$I31,M$10)</f>
        <v>0</v>
      </c>
      <c r="N31" cm="1">
        <f t="array" ref="N31">INDEX(auto_DataFlat_Classification,$I31,M$10)</f>
        <v>3</v>
      </c>
      <c r="O31" cm="1">
        <f t="array" ref="O31">INDEX(auto_DataFlat_IsEstimate,$I31,O$10)</f>
        <v>0</v>
      </c>
      <c r="P31" t="str" cm="1">
        <f t="array" ref="P31">IF(INDEX(auto_DataFlat_DataYear,$I31,P$10)=0,"n/a",INDEX(auto_DataFlat_DataYear,$I31,P$10))</f>
        <v>n/a</v>
      </c>
      <c r="R31">
        <f t="shared" si="1"/>
        <v>1191</v>
      </c>
      <c r="S31" cm="1">
        <f t="array" ref="S31">INDEX(auto_DataFlat_Score,$R31,S$10)</f>
        <v>42</v>
      </c>
      <c r="U31">
        <f t="shared" si="12"/>
        <v>0</v>
      </c>
      <c r="V31">
        <f t="shared" si="13"/>
        <v>2</v>
      </c>
      <c r="W31">
        <f t="shared" si="14"/>
        <v>-1</v>
      </c>
      <c r="X31" t="e">
        <f t="shared" ca="1" si="59"/>
        <v>#N/A</v>
      </c>
      <c r="Y31">
        <f t="shared" ca="1" si="59"/>
        <v>49</v>
      </c>
      <c r="Z31" t="e">
        <f t="shared" ca="1" si="59"/>
        <v>#N/A</v>
      </c>
      <c r="AB31">
        <f t="shared" ca="1" si="16"/>
        <v>0</v>
      </c>
      <c r="AC31">
        <f t="shared" ca="1" si="16"/>
        <v>49</v>
      </c>
      <c r="AD31">
        <f t="shared" ca="1" si="16"/>
        <v>0</v>
      </c>
      <c r="AF31">
        <f t="shared" si="17"/>
        <v>3</v>
      </c>
      <c r="AG31" t="e">
        <f t="shared" ca="1" si="60"/>
        <v>#N/A</v>
      </c>
      <c r="AH31" t="e">
        <f t="shared" ca="1" si="60"/>
        <v>#N/A</v>
      </c>
      <c r="AI31" t="e">
        <f t="shared" ca="1" si="60"/>
        <v>#N/A</v>
      </c>
      <c r="AJ31" t="e">
        <f t="shared" ca="1" si="60"/>
        <v>#N/A</v>
      </c>
      <c r="AK31" t="e">
        <f t="shared" ca="1" si="60"/>
        <v>#N/A</v>
      </c>
      <c r="AL31" t="e">
        <f t="shared" ca="1" si="60"/>
        <v>#N/A</v>
      </c>
      <c r="AM31" t="e">
        <f t="shared" ca="1" si="60"/>
        <v>#N/A</v>
      </c>
      <c r="AN31">
        <f t="shared" ca="1" si="20"/>
        <v>0</v>
      </c>
      <c r="AO31">
        <f t="shared" ca="1" si="21"/>
        <v>0</v>
      </c>
      <c r="AP31">
        <f t="shared" ca="1" si="22"/>
        <v>0</v>
      </c>
      <c r="AQ31">
        <f t="shared" ca="1" si="23"/>
        <v>0</v>
      </c>
      <c r="AR31">
        <f t="shared" ca="1" si="24"/>
        <v>0</v>
      </c>
      <c r="AS31">
        <f t="shared" ca="1" si="25"/>
        <v>0</v>
      </c>
      <c r="AT31">
        <f t="shared" ca="1" si="26"/>
        <v>0</v>
      </c>
      <c r="AV31">
        <f t="shared" si="6"/>
        <v>1141</v>
      </c>
      <c r="AW31" cm="1">
        <f t="array" ref="AW31">INDEX(auto_DataFlat_Score,$AV31,1)</f>
        <v>100</v>
      </c>
      <c r="AX31" cm="1">
        <f t="array" ref="AX31">INDEX(auto_DataFlat_DataValue,$AV31,1)</f>
        <v>1</v>
      </c>
      <c r="BA31">
        <f t="shared" si="27"/>
        <v>-58</v>
      </c>
      <c r="BB31">
        <f t="shared" si="28"/>
        <v>3</v>
      </c>
      <c r="BC31">
        <f t="shared" si="29"/>
        <v>3</v>
      </c>
      <c r="BD31" t="e">
        <f t="shared" ca="1" si="58"/>
        <v>#N/A</v>
      </c>
      <c r="BE31" t="e">
        <f t="shared" ca="1" si="58"/>
        <v>#N/A</v>
      </c>
      <c r="BF31" t="e">
        <f t="shared" ca="1" si="58"/>
        <v>#N/A</v>
      </c>
      <c r="BH31">
        <f t="shared" ca="1" si="30"/>
        <v>0</v>
      </c>
      <c r="BI31">
        <f t="shared" ca="1" si="30"/>
        <v>0</v>
      </c>
      <c r="BJ31">
        <f t="shared" ca="1" si="30"/>
        <v>0</v>
      </c>
      <c r="BM31">
        <f t="shared" si="31"/>
        <v>-1</v>
      </c>
      <c r="BN31" t="e">
        <f t="shared" ca="1" si="32"/>
        <v>#N/A</v>
      </c>
      <c r="BO31" t="e">
        <f t="shared" ca="1" si="33"/>
        <v>#N/A</v>
      </c>
      <c r="BP31" t="e">
        <f t="shared" ca="1" si="34"/>
        <v>#N/A</v>
      </c>
      <c r="BQ31" t="e">
        <f t="shared" ca="1" si="35"/>
        <v>#N/A</v>
      </c>
      <c r="BR31" t="e">
        <f t="shared" ca="1" si="36"/>
        <v>#N/A</v>
      </c>
      <c r="BS31" t="e">
        <f t="shared" ca="1" si="37"/>
        <v>#N/A</v>
      </c>
      <c r="BT31" t="e">
        <f t="shared" ca="1" si="38"/>
        <v>#N/A</v>
      </c>
      <c r="BU31">
        <f t="shared" ca="1" si="39"/>
        <v>0</v>
      </c>
      <c r="BV31">
        <f t="shared" ca="1" si="40"/>
        <v>0</v>
      </c>
      <c r="BW31">
        <f t="shared" ca="1" si="41"/>
        <v>0</v>
      </c>
      <c r="BX31">
        <f t="shared" ca="1" si="42"/>
        <v>0</v>
      </c>
      <c r="BY31">
        <f t="shared" ca="1" si="43"/>
        <v>0</v>
      </c>
      <c r="BZ31">
        <f t="shared" ca="1" si="10"/>
        <v>0</v>
      </c>
      <c r="CA31">
        <f t="shared" ca="1" si="11"/>
        <v>0</v>
      </c>
    </row>
    <row r="32" spans="2:79" x14ac:dyDescent="0.4">
      <c r="B32">
        <v>21</v>
      </c>
      <c r="C32" t="str" cm="1">
        <f t="array" ref="C32">INDEX(auto_Series_Code,B32)</f>
        <v>INDI_010</v>
      </c>
      <c r="D32" cm="1">
        <f t="array" ref="D32">INDEX(auto_tblSeries,$B32,D$11)</f>
        <v>2</v>
      </c>
      <c r="E32" cm="1">
        <f t="array" ref="E32">INDEX(auto_tblSeries,$B32,E$11)</f>
        <v>0</v>
      </c>
      <c r="F32" cm="1">
        <f t="array" ref="F32">INDEX(auto_tblSeries,$B32,F$11)</f>
        <v>1</v>
      </c>
      <c r="G32" cm="1">
        <f t="array" ref="G32">INDEX(auto_tblSeries,$B32,G$11)</f>
        <v>0</v>
      </c>
      <c r="H32" cm="1">
        <f t="array" ref="H32">INDEX(auto_tblSeries,$B32,H$11)</f>
        <v>1</v>
      </c>
      <c r="I32">
        <f t="shared" si="0"/>
        <v>1251</v>
      </c>
      <c r="K32" cm="1">
        <f t="array" ref="K32">INDEX(auto_DataFlat_Score,$I32,K$10)</f>
        <v>64.900000000000006</v>
      </c>
      <c r="L32" t="str" cm="1">
        <f t="array" ref="L32">INDEX(auto_DataFlat_Rank,$I32,L$10)</f>
        <v>n/a</v>
      </c>
      <c r="M32" cm="1">
        <f t="array" ref="M32">INDEX(auto_DataFlat_DataValue,$I32,M$10)</f>
        <v>0</v>
      </c>
      <c r="N32" cm="1">
        <f t="array" ref="N32">INDEX(auto_DataFlat_Classification,$I32,M$10)</f>
        <v>4</v>
      </c>
      <c r="O32" cm="1">
        <f t="array" ref="O32">INDEX(auto_DataFlat_IsEstimate,$I32,O$10)</f>
        <v>0</v>
      </c>
      <c r="P32" t="str" cm="1">
        <f t="array" ref="P32">IF(INDEX(auto_DataFlat_DataYear,$I32,P$10)=0,"n/a",INDEX(auto_DataFlat_DataYear,$I32,P$10))</f>
        <v>n/a</v>
      </c>
      <c r="R32">
        <f t="shared" si="1"/>
        <v>1251</v>
      </c>
      <c r="S32" cm="1">
        <f t="array" ref="S32">INDEX(auto_DataFlat_Score,$R32,S$10)</f>
        <v>64.900000000000006</v>
      </c>
      <c r="U32">
        <f t="shared" si="12"/>
        <v>0</v>
      </c>
      <c r="V32">
        <f t="shared" si="13"/>
        <v>2</v>
      </c>
      <c r="W32">
        <f t="shared" si="14"/>
        <v>2</v>
      </c>
      <c r="X32" t="e">
        <f t="shared" ca="1" si="59"/>
        <v>#N/A</v>
      </c>
      <c r="Y32">
        <f t="shared" ca="1" si="59"/>
        <v>50</v>
      </c>
      <c r="Z32" t="e">
        <f t="shared" ca="1" si="59"/>
        <v>#N/A</v>
      </c>
      <c r="AB32">
        <f t="shared" ca="1" si="16"/>
        <v>0</v>
      </c>
      <c r="AC32">
        <f t="shared" ca="1" si="16"/>
        <v>50</v>
      </c>
      <c r="AD32">
        <f t="shared" ca="1" si="16"/>
        <v>0</v>
      </c>
      <c r="AF32">
        <f t="shared" si="17"/>
        <v>-1</v>
      </c>
      <c r="AG32" t="e">
        <f t="shared" ca="1" si="60"/>
        <v>#N/A</v>
      </c>
      <c r="AH32" t="e">
        <f t="shared" ca="1" si="60"/>
        <v>#N/A</v>
      </c>
      <c r="AI32" t="e">
        <f t="shared" ca="1" si="60"/>
        <v>#N/A</v>
      </c>
      <c r="AJ32" t="e">
        <f t="shared" ca="1" si="60"/>
        <v>#N/A</v>
      </c>
      <c r="AK32" t="e">
        <f t="shared" ca="1" si="60"/>
        <v>#N/A</v>
      </c>
      <c r="AL32" t="e">
        <f t="shared" ca="1" si="60"/>
        <v>#N/A</v>
      </c>
      <c r="AM32" t="e">
        <f t="shared" ca="1" si="60"/>
        <v>#N/A</v>
      </c>
      <c r="AN32">
        <f t="shared" ca="1" si="20"/>
        <v>0</v>
      </c>
      <c r="AO32">
        <f t="shared" ca="1" si="21"/>
        <v>0</v>
      </c>
      <c r="AP32">
        <f t="shared" ca="1" si="22"/>
        <v>0</v>
      </c>
      <c r="AQ32">
        <f t="shared" ca="1" si="23"/>
        <v>0</v>
      </c>
      <c r="AR32">
        <f t="shared" ca="1" si="24"/>
        <v>0</v>
      </c>
      <c r="AS32">
        <f t="shared" ca="1" si="25"/>
        <v>0</v>
      </c>
      <c r="AT32">
        <f t="shared" ca="1" si="26"/>
        <v>0</v>
      </c>
      <c r="AV32">
        <f t="shared" si="6"/>
        <v>1201</v>
      </c>
      <c r="AW32" cm="1">
        <f t="array" ref="AW32">INDEX(auto_DataFlat_Score,$AV32,1)</f>
        <v>31.5</v>
      </c>
      <c r="AX32" cm="1">
        <f t="array" ref="AX32">INDEX(auto_DataFlat_DataValue,$AV32,1)</f>
        <v>31.5</v>
      </c>
      <c r="BA32">
        <f t="shared" si="27"/>
        <v>33.400000000000006</v>
      </c>
      <c r="BB32">
        <f t="shared" si="28"/>
        <v>1</v>
      </c>
      <c r="BC32">
        <f t="shared" si="29"/>
        <v>-1</v>
      </c>
      <c r="BD32" t="e">
        <f t="shared" ca="1" si="58"/>
        <v>#N/A</v>
      </c>
      <c r="BE32" t="e">
        <f t="shared" ca="1" si="58"/>
        <v>#N/A</v>
      </c>
      <c r="BF32" t="e">
        <f t="shared" ca="1" si="58"/>
        <v>#N/A</v>
      </c>
      <c r="BH32">
        <f t="shared" ca="1" si="30"/>
        <v>0</v>
      </c>
      <c r="BI32">
        <f t="shared" ca="1" si="30"/>
        <v>0</v>
      </c>
      <c r="BJ32">
        <f t="shared" ca="1" si="30"/>
        <v>0</v>
      </c>
      <c r="BM32">
        <f t="shared" si="31"/>
        <v>-1</v>
      </c>
      <c r="BN32" t="e">
        <f t="shared" ca="1" si="32"/>
        <v>#N/A</v>
      </c>
      <c r="BO32" t="e">
        <f t="shared" ca="1" si="33"/>
        <v>#N/A</v>
      </c>
      <c r="BP32" t="e">
        <f t="shared" ca="1" si="34"/>
        <v>#N/A</v>
      </c>
      <c r="BQ32" t="e">
        <f t="shared" ca="1" si="35"/>
        <v>#N/A</v>
      </c>
      <c r="BR32" t="e">
        <f t="shared" ca="1" si="36"/>
        <v>#N/A</v>
      </c>
      <c r="BS32" t="e">
        <f t="shared" ca="1" si="37"/>
        <v>#N/A</v>
      </c>
      <c r="BT32" t="e">
        <f t="shared" ca="1" si="38"/>
        <v>#N/A</v>
      </c>
      <c r="BU32">
        <f t="shared" ca="1" si="39"/>
        <v>0</v>
      </c>
      <c r="BV32">
        <f t="shared" ca="1" si="40"/>
        <v>0</v>
      </c>
      <c r="BW32">
        <f t="shared" ca="1" si="41"/>
        <v>0</v>
      </c>
      <c r="BX32">
        <f t="shared" ca="1" si="42"/>
        <v>0</v>
      </c>
      <c r="BY32">
        <f t="shared" ca="1" si="43"/>
        <v>0</v>
      </c>
      <c r="BZ32">
        <f t="shared" ca="1" si="10"/>
        <v>0</v>
      </c>
      <c r="CA32">
        <f t="shared" ca="1" si="11"/>
        <v>0</v>
      </c>
    </row>
    <row r="33" spans="1:79" x14ac:dyDescent="0.4">
      <c r="B33">
        <v>22</v>
      </c>
      <c r="C33" t="str" cm="1">
        <f t="array" ref="C33">INDEX(auto_Series_Code,B33)</f>
        <v>DOMAIN_003</v>
      </c>
      <c r="D33" cm="1">
        <f t="array" ref="D33">INDEX(auto_tblSeries,$B33,D$11)</f>
        <v>1</v>
      </c>
      <c r="E33" cm="1">
        <f t="array" ref="E33">INDEX(auto_tblSeries,$B33,E$11)</f>
        <v>0</v>
      </c>
      <c r="F33" cm="1">
        <f t="array" ref="F33">INDEX(auto_tblSeries,$B33,F$11)</f>
        <v>0</v>
      </c>
      <c r="G33" cm="1">
        <f t="array" ref="G33">INDEX(auto_tblSeries,$B33,G$11)</f>
        <v>0</v>
      </c>
      <c r="H33" cm="1">
        <f t="array" ref="H33">INDEX(auto_tblSeries,$B33,H$11)</f>
        <v>1</v>
      </c>
      <c r="I33">
        <f t="shared" si="0"/>
        <v>1311</v>
      </c>
      <c r="K33" cm="1">
        <f t="array" ref="K33">INDEX(auto_DataFlat_Score,$I33,K$10)</f>
        <v>57.9</v>
      </c>
      <c r="L33" t="str" cm="1">
        <f t="array" ref="L33">INDEX(auto_DataFlat_Rank,$I33,L$10)</f>
        <v>n/a</v>
      </c>
      <c r="M33" cm="1">
        <f t="array" ref="M33">INDEX(auto_DataFlat_DataValue,$I33,M$10)</f>
        <v>0</v>
      </c>
      <c r="N33" cm="1">
        <f t="array" ref="N33">INDEX(auto_DataFlat_Classification,$I33,M$10)</f>
        <v>3</v>
      </c>
      <c r="O33" cm="1">
        <f t="array" ref="O33">INDEX(auto_DataFlat_IsEstimate,$I33,O$10)</f>
        <v>0</v>
      </c>
      <c r="P33" t="str" cm="1">
        <f t="array" ref="P33">IF(INDEX(auto_DataFlat_DataYear,$I33,P$10)=0,"n/a",INDEX(auto_DataFlat_DataYear,$I33,P$10))</f>
        <v>n/a</v>
      </c>
      <c r="R33">
        <f t="shared" si="1"/>
        <v>1311</v>
      </c>
      <c r="S33" cm="1">
        <f t="array" ref="S33">INDEX(auto_DataFlat_Score,$R33,S$10)</f>
        <v>57.9</v>
      </c>
      <c r="U33">
        <f t="shared" si="12"/>
        <v>0</v>
      </c>
      <c r="V33">
        <f t="shared" si="13"/>
        <v>2</v>
      </c>
      <c r="W33">
        <f t="shared" si="14"/>
        <v>-1</v>
      </c>
      <c r="X33" t="e">
        <f t="shared" ca="1" si="59"/>
        <v>#N/A</v>
      </c>
      <c r="Y33">
        <f t="shared" ca="1" si="59"/>
        <v>51</v>
      </c>
      <c r="Z33" t="e">
        <f t="shared" ca="1" si="59"/>
        <v>#N/A</v>
      </c>
      <c r="AB33">
        <f t="shared" ca="1" si="16"/>
        <v>0</v>
      </c>
      <c r="AC33">
        <f t="shared" ca="1" si="16"/>
        <v>51</v>
      </c>
      <c r="AD33">
        <f t="shared" ca="1" si="16"/>
        <v>0</v>
      </c>
      <c r="AF33">
        <f t="shared" si="17"/>
        <v>-1</v>
      </c>
      <c r="AG33" t="e">
        <f t="shared" ca="1" si="60"/>
        <v>#N/A</v>
      </c>
      <c r="AH33" t="e">
        <f t="shared" ca="1" si="60"/>
        <v>#N/A</v>
      </c>
      <c r="AI33" t="e">
        <f t="shared" ca="1" si="60"/>
        <v>#N/A</v>
      </c>
      <c r="AJ33" t="e">
        <f t="shared" ca="1" si="60"/>
        <v>#N/A</v>
      </c>
      <c r="AK33" t="e">
        <f t="shared" ca="1" si="60"/>
        <v>#N/A</v>
      </c>
      <c r="AL33" t="e">
        <f t="shared" ca="1" si="60"/>
        <v>#N/A</v>
      </c>
      <c r="AM33" t="e">
        <f t="shared" ca="1" si="60"/>
        <v>#N/A</v>
      </c>
      <c r="AN33">
        <f t="shared" ca="1" si="20"/>
        <v>0</v>
      </c>
      <c r="AO33">
        <f t="shared" ca="1" si="21"/>
        <v>0</v>
      </c>
      <c r="AP33">
        <f t="shared" ca="1" si="22"/>
        <v>0</v>
      </c>
      <c r="AQ33">
        <f t="shared" ca="1" si="23"/>
        <v>0</v>
      </c>
      <c r="AR33">
        <f t="shared" ca="1" si="24"/>
        <v>0</v>
      </c>
      <c r="AS33">
        <f t="shared" ca="1" si="25"/>
        <v>0</v>
      </c>
      <c r="AT33">
        <f t="shared" ca="1" si="26"/>
        <v>0</v>
      </c>
      <c r="AV33">
        <f t="shared" si="6"/>
        <v>1261</v>
      </c>
      <c r="AW33" cm="1">
        <f t="array" ref="AW33">INDEX(auto_DataFlat_Score,$AV33,1)</f>
        <v>47.2</v>
      </c>
      <c r="AX33" cm="1">
        <f t="array" ref="AX33">INDEX(auto_DataFlat_DataValue,$AV33,1)</f>
        <v>0</v>
      </c>
      <c r="BA33">
        <f t="shared" si="27"/>
        <v>10.699999999999996</v>
      </c>
      <c r="BB33">
        <f t="shared" si="28"/>
        <v>1</v>
      </c>
      <c r="BC33">
        <f t="shared" si="29"/>
        <v>-1</v>
      </c>
      <c r="BD33" t="e">
        <f t="shared" ca="1" si="58"/>
        <v>#N/A</v>
      </c>
      <c r="BE33" t="e">
        <f t="shared" ca="1" si="58"/>
        <v>#N/A</v>
      </c>
      <c r="BF33" t="e">
        <f t="shared" ca="1" si="58"/>
        <v>#N/A</v>
      </c>
      <c r="BH33">
        <f t="shared" ca="1" si="30"/>
        <v>0</v>
      </c>
      <c r="BI33">
        <f t="shared" ca="1" si="30"/>
        <v>0</v>
      </c>
      <c r="BJ33">
        <f t="shared" ca="1" si="30"/>
        <v>0</v>
      </c>
      <c r="BM33">
        <f t="shared" si="31"/>
        <v>-1</v>
      </c>
      <c r="BN33" t="e">
        <f t="shared" ca="1" si="32"/>
        <v>#N/A</v>
      </c>
      <c r="BO33" t="e">
        <f t="shared" ca="1" si="33"/>
        <v>#N/A</v>
      </c>
      <c r="BP33" t="e">
        <f t="shared" ca="1" si="34"/>
        <v>#N/A</v>
      </c>
      <c r="BQ33" t="e">
        <f t="shared" ca="1" si="35"/>
        <v>#N/A</v>
      </c>
      <c r="BR33" t="e">
        <f t="shared" ca="1" si="36"/>
        <v>#N/A</v>
      </c>
      <c r="BS33" t="e">
        <f t="shared" ca="1" si="37"/>
        <v>#N/A</v>
      </c>
      <c r="BT33" t="e">
        <f t="shared" ca="1" si="38"/>
        <v>#N/A</v>
      </c>
      <c r="BU33">
        <f t="shared" ca="1" si="39"/>
        <v>0</v>
      </c>
      <c r="BV33">
        <f t="shared" ca="1" si="40"/>
        <v>0</v>
      </c>
      <c r="BW33">
        <f t="shared" ca="1" si="41"/>
        <v>0</v>
      </c>
      <c r="BX33">
        <f t="shared" ca="1" si="42"/>
        <v>0</v>
      </c>
      <c r="BY33">
        <f t="shared" ca="1" si="43"/>
        <v>0</v>
      </c>
      <c r="BZ33">
        <f t="shared" ca="1" si="10"/>
        <v>0</v>
      </c>
      <c r="CA33">
        <f t="shared" ca="1" si="11"/>
        <v>0</v>
      </c>
    </row>
    <row r="34" spans="1:79" x14ac:dyDescent="0.4">
      <c r="B34">
        <v>23</v>
      </c>
      <c r="C34" t="str" cm="1">
        <f t="array" ref="C34">INDEX(auto_Series_Code,B34)</f>
        <v>INDI_011</v>
      </c>
      <c r="D34" cm="1">
        <f t="array" ref="D34">INDEX(auto_tblSeries,$B34,D$11)</f>
        <v>2</v>
      </c>
      <c r="E34" cm="1">
        <f t="array" ref="E34">INDEX(auto_tblSeries,$B34,E$11)</f>
        <v>0</v>
      </c>
      <c r="F34" cm="1">
        <f t="array" ref="F34">INDEX(auto_tblSeries,$B34,F$11)</f>
        <v>0</v>
      </c>
      <c r="G34" cm="1">
        <f t="array" ref="G34">INDEX(auto_tblSeries,$B34,G$11)</f>
        <v>0</v>
      </c>
      <c r="H34" cm="1">
        <f t="array" ref="H34">INDEX(auto_tblSeries,$B34,H$11)</f>
        <v>1</v>
      </c>
      <c r="I34">
        <f t="shared" si="0"/>
        <v>1371</v>
      </c>
      <c r="K34" cm="1">
        <f t="array" ref="K34">INDEX(auto_DataFlat_Score,$I34,K$10)</f>
        <v>66.5</v>
      </c>
      <c r="L34" t="str" cm="1">
        <f t="array" ref="L34">INDEX(auto_DataFlat_Rank,$I34,L$10)</f>
        <v>n/a</v>
      </c>
      <c r="M34" cm="1">
        <f t="array" ref="M34">INDEX(auto_DataFlat_DataValue,$I34,M$10)</f>
        <v>0</v>
      </c>
      <c r="N34" cm="1">
        <f t="array" ref="N34">INDEX(auto_DataFlat_Classification,$I34,M$10)</f>
        <v>4</v>
      </c>
      <c r="O34" cm="1">
        <f t="array" ref="O34">INDEX(auto_DataFlat_IsEstimate,$I34,O$10)</f>
        <v>0</v>
      </c>
      <c r="P34" t="str" cm="1">
        <f t="array" ref="P34">IF(INDEX(auto_DataFlat_DataYear,$I34,P$10)=0,"n/a",INDEX(auto_DataFlat_DataYear,$I34,P$10))</f>
        <v>n/a</v>
      </c>
      <c r="R34">
        <f t="shared" si="1"/>
        <v>1371</v>
      </c>
      <c r="S34" cm="1">
        <f t="array" ref="S34">INDEX(auto_DataFlat_Score,$R34,S$10)</f>
        <v>66.5</v>
      </c>
      <c r="U34">
        <f t="shared" si="12"/>
        <v>0</v>
      </c>
      <c r="V34">
        <f t="shared" si="13"/>
        <v>2</v>
      </c>
      <c r="W34">
        <f t="shared" si="14"/>
        <v>2</v>
      </c>
      <c r="X34" t="e">
        <f t="shared" ca="1" si="59"/>
        <v>#N/A</v>
      </c>
      <c r="Y34">
        <f t="shared" ca="1" si="59"/>
        <v>53</v>
      </c>
      <c r="Z34" t="e">
        <f t="shared" ca="1" si="59"/>
        <v>#N/A</v>
      </c>
      <c r="AB34">
        <f t="shared" ca="1" si="16"/>
        <v>0</v>
      </c>
      <c r="AC34">
        <f t="shared" ca="1" si="16"/>
        <v>53</v>
      </c>
      <c r="AD34">
        <f t="shared" ca="1" si="16"/>
        <v>0</v>
      </c>
      <c r="AF34">
        <f t="shared" si="17"/>
        <v>-1</v>
      </c>
      <c r="AG34" t="e">
        <f t="shared" ca="1" si="60"/>
        <v>#N/A</v>
      </c>
      <c r="AH34" t="e">
        <f t="shared" ca="1" si="60"/>
        <v>#N/A</v>
      </c>
      <c r="AI34" t="e">
        <f t="shared" ca="1" si="60"/>
        <v>#N/A</v>
      </c>
      <c r="AJ34" t="e">
        <f t="shared" ca="1" si="60"/>
        <v>#N/A</v>
      </c>
      <c r="AK34" t="e">
        <f t="shared" ca="1" si="60"/>
        <v>#N/A</v>
      </c>
      <c r="AL34" t="e">
        <f t="shared" ca="1" si="60"/>
        <v>#N/A</v>
      </c>
      <c r="AM34" t="e">
        <f t="shared" ca="1" si="60"/>
        <v>#N/A</v>
      </c>
      <c r="AN34">
        <f t="shared" ca="1" si="20"/>
        <v>0</v>
      </c>
      <c r="AO34">
        <f t="shared" ca="1" si="21"/>
        <v>0</v>
      </c>
      <c r="AP34">
        <f t="shared" ca="1" si="22"/>
        <v>0</v>
      </c>
      <c r="AQ34">
        <f t="shared" ca="1" si="23"/>
        <v>0</v>
      </c>
      <c r="AR34">
        <f t="shared" ca="1" si="24"/>
        <v>0</v>
      </c>
      <c r="AS34">
        <f t="shared" ca="1" si="25"/>
        <v>0</v>
      </c>
      <c r="AT34">
        <f t="shared" ca="1" si="26"/>
        <v>0</v>
      </c>
      <c r="AV34">
        <f t="shared" si="6"/>
        <v>1321</v>
      </c>
      <c r="AW34" cm="1">
        <f t="array" ref="AW34">INDEX(auto_DataFlat_Score,$AV34,1)</f>
        <v>47.4</v>
      </c>
      <c r="AX34" cm="1">
        <f t="array" ref="AX34">INDEX(auto_DataFlat_DataValue,$AV34,1)</f>
        <v>0</v>
      </c>
      <c r="BA34">
        <f t="shared" si="27"/>
        <v>19.100000000000001</v>
      </c>
      <c r="BB34">
        <f t="shared" si="28"/>
        <v>1</v>
      </c>
      <c r="BC34">
        <f t="shared" si="29"/>
        <v>-1</v>
      </c>
      <c r="BD34" t="e">
        <f t="shared" ca="1" si="58"/>
        <v>#N/A</v>
      </c>
      <c r="BE34" t="e">
        <f t="shared" ca="1" si="58"/>
        <v>#N/A</v>
      </c>
      <c r="BF34" t="e">
        <f t="shared" ca="1" si="58"/>
        <v>#N/A</v>
      </c>
      <c r="BH34">
        <f t="shared" ca="1" si="30"/>
        <v>0</v>
      </c>
      <c r="BI34">
        <f t="shared" ca="1" si="30"/>
        <v>0</v>
      </c>
      <c r="BJ34">
        <f t="shared" ca="1" si="30"/>
        <v>0</v>
      </c>
      <c r="BM34">
        <f t="shared" si="31"/>
        <v>-1</v>
      </c>
      <c r="BN34" t="e">
        <f t="shared" ca="1" si="32"/>
        <v>#N/A</v>
      </c>
      <c r="BO34" t="e">
        <f t="shared" ca="1" si="33"/>
        <v>#N/A</v>
      </c>
      <c r="BP34" t="e">
        <f t="shared" ca="1" si="34"/>
        <v>#N/A</v>
      </c>
      <c r="BQ34" t="e">
        <f t="shared" ca="1" si="35"/>
        <v>#N/A</v>
      </c>
      <c r="BR34" t="e">
        <f t="shared" ca="1" si="36"/>
        <v>#N/A</v>
      </c>
      <c r="BS34" t="e">
        <f t="shared" ca="1" si="37"/>
        <v>#N/A</v>
      </c>
      <c r="BT34" t="e">
        <f t="shared" ca="1" si="38"/>
        <v>#N/A</v>
      </c>
      <c r="BU34">
        <f t="shared" ca="1" si="39"/>
        <v>0</v>
      </c>
      <c r="BV34">
        <f t="shared" ca="1" si="40"/>
        <v>0</v>
      </c>
      <c r="BW34">
        <f t="shared" ca="1" si="41"/>
        <v>0</v>
      </c>
      <c r="BX34">
        <f t="shared" ca="1" si="42"/>
        <v>0</v>
      </c>
      <c r="BY34">
        <f t="shared" ca="1" si="43"/>
        <v>0</v>
      </c>
      <c r="BZ34">
        <f t="shared" ca="1" si="10"/>
        <v>0</v>
      </c>
      <c r="CA34">
        <f t="shared" ca="1" si="11"/>
        <v>0</v>
      </c>
    </row>
    <row r="35" spans="1:79" x14ac:dyDescent="0.4">
      <c r="B35">
        <v>24</v>
      </c>
      <c r="C35" t="str" cm="1">
        <f t="array" ref="C35">INDEX(auto_Series_Code,B35)</f>
        <v>SUBINDI_009</v>
      </c>
      <c r="D35" cm="1">
        <f t="array" ref="D35">INDEX(auto_tblSeries,$B35,D$11)</f>
        <v>3</v>
      </c>
      <c r="E35" cm="1">
        <f t="array" ref="E35">INDEX(auto_tblSeries,$B35,E$11)</f>
        <v>0</v>
      </c>
      <c r="F35" cm="1">
        <f t="array" ref="F35">INDEX(auto_tblSeries,$B35,F$11)</f>
        <v>1</v>
      </c>
      <c r="G35" cm="1">
        <f t="array" ref="G35">INDEX(auto_tblSeries,$B35,G$11)</f>
        <v>0</v>
      </c>
      <c r="H35" cm="1">
        <f t="array" ref="H35">INDEX(auto_tblSeries,$B35,H$11)</f>
        <v>1</v>
      </c>
      <c r="I35">
        <f t="shared" si="0"/>
        <v>1431</v>
      </c>
      <c r="K35" cm="1">
        <f t="array" ref="K35">INDEX(auto_DataFlat_Score,$I35,K$10)</f>
        <v>79</v>
      </c>
      <c r="L35" t="str" cm="1">
        <f t="array" ref="L35">INDEX(auto_DataFlat_Rank,$I35,L$10)</f>
        <v>n/a</v>
      </c>
      <c r="M35" cm="1">
        <f t="array" ref="M35">INDEX(auto_DataFlat_DataValue,$I35,M$10)</f>
        <v>0</v>
      </c>
      <c r="N35" cm="1">
        <f t="array" ref="N35">INDEX(auto_DataFlat_Classification,$I35,M$10)</f>
        <v>4</v>
      </c>
      <c r="O35" cm="1">
        <f t="array" ref="O35">INDEX(auto_DataFlat_IsEstimate,$I35,O$10)</f>
        <v>0</v>
      </c>
      <c r="P35" t="str" cm="1">
        <f t="array" ref="P35">IF(INDEX(auto_DataFlat_DataYear,$I35,P$10)=0,"n/a",INDEX(auto_DataFlat_DataYear,$I35,P$10))</f>
        <v>n/a</v>
      </c>
      <c r="R35">
        <f t="shared" si="1"/>
        <v>1431</v>
      </c>
      <c r="S35" cm="1">
        <f t="array" ref="S35">INDEX(auto_DataFlat_Score,$R35,S$10)</f>
        <v>79</v>
      </c>
      <c r="U35">
        <f t="shared" si="12"/>
        <v>0</v>
      </c>
      <c r="V35">
        <f t="shared" si="13"/>
        <v>2</v>
      </c>
      <c r="W35">
        <f t="shared" si="14"/>
        <v>-1</v>
      </c>
      <c r="X35" t="e">
        <f t="shared" ca="1" si="59"/>
        <v>#N/A</v>
      </c>
      <c r="Y35">
        <f t="shared" ca="1" si="59"/>
        <v>54</v>
      </c>
      <c r="Z35" t="e">
        <f t="shared" ca="1" si="59"/>
        <v>#N/A</v>
      </c>
      <c r="AB35">
        <f t="shared" ca="1" si="16"/>
        <v>0</v>
      </c>
      <c r="AC35">
        <f t="shared" ca="1" si="16"/>
        <v>54</v>
      </c>
      <c r="AD35">
        <f t="shared" ca="1" si="16"/>
        <v>0</v>
      </c>
      <c r="AF35">
        <f t="shared" si="17"/>
        <v>4</v>
      </c>
      <c r="AG35" t="e">
        <f t="shared" ca="1" si="60"/>
        <v>#N/A</v>
      </c>
      <c r="AH35" t="e">
        <f t="shared" ca="1" si="60"/>
        <v>#N/A</v>
      </c>
      <c r="AI35" t="e">
        <f t="shared" ca="1" si="60"/>
        <v>#N/A</v>
      </c>
      <c r="AJ35" t="e">
        <f t="shared" ca="1" si="60"/>
        <v>#N/A</v>
      </c>
      <c r="AK35" t="e">
        <f t="shared" ca="1" si="60"/>
        <v>#N/A</v>
      </c>
      <c r="AL35" t="e">
        <f t="shared" ca="1" si="60"/>
        <v>#N/A</v>
      </c>
      <c r="AM35" t="e">
        <f t="shared" ca="1" si="60"/>
        <v>#N/A</v>
      </c>
      <c r="AN35">
        <f t="shared" ca="1" si="20"/>
        <v>0</v>
      </c>
      <c r="AO35">
        <f t="shared" ca="1" si="21"/>
        <v>0</v>
      </c>
      <c r="AP35">
        <f t="shared" ca="1" si="22"/>
        <v>0</v>
      </c>
      <c r="AQ35">
        <f t="shared" ca="1" si="23"/>
        <v>0</v>
      </c>
      <c r="AR35">
        <f t="shared" ca="1" si="24"/>
        <v>0</v>
      </c>
      <c r="AS35">
        <f t="shared" ca="1" si="25"/>
        <v>0</v>
      </c>
      <c r="AT35">
        <f t="shared" ca="1" si="26"/>
        <v>0</v>
      </c>
      <c r="AV35">
        <f t="shared" si="6"/>
        <v>1381</v>
      </c>
      <c r="AW35" cm="1">
        <f t="array" ref="AW35">INDEX(auto_DataFlat_Score,$AV35,1)</f>
        <v>94.8</v>
      </c>
      <c r="AX35" cm="1">
        <f t="array" ref="AX35">INDEX(auto_DataFlat_DataValue,$AV35,1)</f>
        <v>5.2</v>
      </c>
      <c r="BA35">
        <f t="shared" si="27"/>
        <v>-15.799999999999997</v>
      </c>
      <c r="BB35">
        <f t="shared" si="28"/>
        <v>3</v>
      </c>
      <c r="BC35">
        <f t="shared" si="29"/>
        <v>3</v>
      </c>
      <c r="BD35" t="e">
        <f t="shared" ca="1" si="58"/>
        <v>#N/A</v>
      </c>
      <c r="BE35" t="e">
        <f t="shared" ca="1" si="58"/>
        <v>#N/A</v>
      </c>
      <c r="BF35" t="e">
        <f t="shared" ca="1" si="58"/>
        <v>#N/A</v>
      </c>
      <c r="BH35">
        <f t="shared" ca="1" si="30"/>
        <v>0</v>
      </c>
      <c r="BI35">
        <f t="shared" ca="1" si="30"/>
        <v>0</v>
      </c>
      <c r="BJ35">
        <f t="shared" ca="1" si="30"/>
        <v>0</v>
      </c>
      <c r="BM35">
        <f t="shared" si="31"/>
        <v>-1</v>
      </c>
      <c r="BN35" t="e">
        <f t="shared" ca="1" si="32"/>
        <v>#N/A</v>
      </c>
      <c r="BO35" t="e">
        <f t="shared" ca="1" si="33"/>
        <v>#N/A</v>
      </c>
      <c r="BP35" t="e">
        <f t="shared" ca="1" si="34"/>
        <v>#N/A</v>
      </c>
      <c r="BQ35" t="e">
        <f t="shared" ca="1" si="35"/>
        <v>#N/A</v>
      </c>
      <c r="BR35" t="e">
        <f t="shared" ca="1" si="36"/>
        <v>#N/A</v>
      </c>
      <c r="BS35" t="e">
        <f t="shared" ca="1" si="37"/>
        <v>#N/A</v>
      </c>
      <c r="BT35" t="e">
        <f t="shared" ca="1" si="38"/>
        <v>#N/A</v>
      </c>
      <c r="BU35">
        <f t="shared" ca="1" si="39"/>
        <v>0</v>
      </c>
      <c r="BV35">
        <f t="shared" ca="1" si="40"/>
        <v>0</v>
      </c>
      <c r="BW35">
        <f t="shared" ca="1" si="41"/>
        <v>0</v>
      </c>
      <c r="BX35">
        <f t="shared" ca="1" si="42"/>
        <v>0</v>
      </c>
      <c r="BY35">
        <f t="shared" ca="1" si="43"/>
        <v>0</v>
      </c>
      <c r="BZ35">
        <f t="shared" ca="1" si="10"/>
        <v>0</v>
      </c>
      <c r="CA35">
        <f t="shared" ca="1" si="11"/>
        <v>0</v>
      </c>
    </row>
    <row r="36" spans="1:79" x14ac:dyDescent="0.4">
      <c r="B36">
        <v>25</v>
      </c>
      <c r="C36" t="str" cm="1">
        <f t="array" ref="C36">INDEX(auto_Series_Code,B36)</f>
        <v>SUBINDI_010</v>
      </c>
      <c r="D36" cm="1">
        <f t="array" ref="D36">INDEX(auto_tblSeries,$B36,D$11)</f>
        <v>3</v>
      </c>
      <c r="E36" cm="1">
        <f t="array" ref="E36">INDEX(auto_tblSeries,$B36,E$11)</f>
        <v>0</v>
      </c>
      <c r="F36" cm="1">
        <f t="array" ref="F36">INDEX(auto_tblSeries,$B36,F$11)</f>
        <v>1</v>
      </c>
      <c r="G36" cm="1">
        <f t="array" ref="G36">INDEX(auto_tblSeries,$B36,G$11)</f>
        <v>0</v>
      </c>
      <c r="H36" cm="1">
        <f t="array" ref="H36">INDEX(auto_tblSeries,$B36,H$11)</f>
        <v>0</v>
      </c>
      <c r="I36">
        <f t="shared" si="0"/>
        <v>1491</v>
      </c>
      <c r="K36" cm="1">
        <f t="array" ref="K36">INDEX(auto_DataFlat_Score,$I36,K$10)</f>
        <v>54</v>
      </c>
      <c r="L36" t="str" cm="1">
        <f t="array" ref="L36">INDEX(auto_DataFlat_Rank,$I36,L$10)</f>
        <v>n/a</v>
      </c>
      <c r="M36" cm="1">
        <f t="array" ref="M36">INDEX(auto_DataFlat_DataValue,$I36,M$10)</f>
        <v>0</v>
      </c>
      <c r="N36" cm="1">
        <f t="array" ref="N36">INDEX(auto_DataFlat_Classification,$I36,M$10)</f>
        <v>3</v>
      </c>
      <c r="O36" cm="1">
        <f t="array" ref="O36">INDEX(auto_DataFlat_IsEstimate,$I36,O$10)</f>
        <v>0</v>
      </c>
      <c r="P36" t="str" cm="1">
        <f t="array" ref="P36">IF(INDEX(auto_DataFlat_DataYear,$I36,P$10)=0,"n/a",INDEX(auto_DataFlat_DataYear,$I36,P$10))</f>
        <v>n/a</v>
      </c>
      <c r="R36">
        <f t="shared" si="1"/>
        <v>1491</v>
      </c>
      <c r="S36" cm="1">
        <f t="array" ref="S36">INDEX(auto_DataFlat_Score,$R36,S$10)</f>
        <v>54</v>
      </c>
      <c r="U36">
        <f t="shared" si="12"/>
        <v>0</v>
      </c>
      <c r="V36">
        <f t="shared" si="13"/>
        <v>2</v>
      </c>
      <c r="W36">
        <f t="shared" si="14"/>
        <v>-1</v>
      </c>
      <c r="X36" t="e">
        <f t="shared" ca="1" si="59"/>
        <v>#N/A</v>
      </c>
      <c r="Y36">
        <f t="shared" ca="1" si="59"/>
        <v>55</v>
      </c>
      <c r="Z36" t="e">
        <f t="shared" ca="1" si="59"/>
        <v>#N/A</v>
      </c>
      <c r="AB36">
        <f t="shared" ca="1" si="16"/>
        <v>0</v>
      </c>
      <c r="AC36">
        <f t="shared" ca="1" si="16"/>
        <v>55</v>
      </c>
      <c r="AD36">
        <f t="shared" ca="1" si="16"/>
        <v>0</v>
      </c>
      <c r="AF36">
        <f t="shared" si="17"/>
        <v>3</v>
      </c>
      <c r="AG36" t="e">
        <f t="shared" ca="1" si="60"/>
        <v>#N/A</v>
      </c>
      <c r="AH36" t="e">
        <f t="shared" ca="1" si="60"/>
        <v>#N/A</v>
      </c>
      <c r="AI36" t="e">
        <f t="shared" ca="1" si="60"/>
        <v>#N/A</v>
      </c>
      <c r="AJ36" t="e">
        <f t="shared" ca="1" si="60"/>
        <v>#N/A</v>
      </c>
      <c r="AK36" t="e">
        <f t="shared" ca="1" si="60"/>
        <v>#N/A</v>
      </c>
      <c r="AL36" t="e">
        <f t="shared" ca="1" si="60"/>
        <v>#N/A</v>
      </c>
      <c r="AM36" t="e">
        <f t="shared" ca="1" si="60"/>
        <v>#N/A</v>
      </c>
      <c r="AN36">
        <f t="shared" ca="1" si="20"/>
        <v>0</v>
      </c>
      <c r="AO36">
        <f t="shared" ca="1" si="21"/>
        <v>0</v>
      </c>
      <c r="AP36">
        <f t="shared" ca="1" si="22"/>
        <v>0</v>
      </c>
      <c r="AQ36">
        <f t="shared" ca="1" si="23"/>
        <v>0</v>
      </c>
      <c r="AR36">
        <f t="shared" ca="1" si="24"/>
        <v>0</v>
      </c>
      <c r="AS36">
        <f t="shared" ca="1" si="25"/>
        <v>0</v>
      </c>
      <c r="AT36">
        <f t="shared" ca="1" si="26"/>
        <v>0</v>
      </c>
      <c r="AV36">
        <f t="shared" si="6"/>
        <v>1441</v>
      </c>
      <c r="AW36" cm="1">
        <f t="array" ref="AW36">INDEX(auto_DataFlat_Score,$AV36,1)</f>
        <v>0</v>
      </c>
      <c r="AX36" cm="1">
        <f t="array" ref="AX36">INDEX(auto_DataFlat_DataValue,$AV36,1)</f>
        <v>0</v>
      </c>
      <c r="BA36">
        <f t="shared" si="27"/>
        <v>54</v>
      </c>
      <c r="BB36">
        <f t="shared" si="28"/>
        <v>1</v>
      </c>
      <c r="BC36">
        <f t="shared" si="29"/>
        <v>1</v>
      </c>
      <c r="BD36" t="e">
        <f t="shared" ca="1" si="58"/>
        <v>#N/A</v>
      </c>
      <c r="BE36" t="e">
        <f t="shared" ca="1" si="58"/>
        <v>#N/A</v>
      </c>
      <c r="BF36" t="e">
        <f t="shared" ca="1" si="58"/>
        <v>#N/A</v>
      </c>
      <c r="BH36">
        <f t="shared" ca="1" si="30"/>
        <v>0</v>
      </c>
      <c r="BI36">
        <f t="shared" ca="1" si="30"/>
        <v>0</v>
      </c>
      <c r="BJ36">
        <f t="shared" ca="1" si="30"/>
        <v>0</v>
      </c>
      <c r="BM36">
        <f t="shared" si="31"/>
        <v>-1</v>
      </c>
      <c r="BN36" t="e">
        <f t="shared" ca="1" si="32"/>
        <v>#N/A</v>
      </c>
      <c r="BO36" t="e">
        <f t="shared" ca="1" si="33"/>
        <v>#N/A</v>
      </c>
      <c r="BP36" t="e">
        <f t="shared" ca="1" si="34"/>
        <v>#N/A</v>
      </c>
      <c r="BQ36" t="e">
        <f t="shared" ca="1" si="35"/>
        <v>#N/A</v>
      </c>
      <c r="BR36" t="e">
        <f t="shared" ca="1" si="36"/>
        <v>#N/A</v>
      </c>
      <c r="BS36" t="e">
        <f t="shared" ca="1" si="37"/>
        <v>#N/A</v>
      </c>
      <c r="BT36" t="e">
        <f t="shared" ca="1" si="38"/>
        <v>#N/A</v>
      </c>
      <c r="BU36">
        <f t="shared" ca="1" si="39"/>
        <v>0</v>
      </c>
      <c r="BV36">
        <f t="shared" ca="1" si="40"/>
        <v>0</v>
      </c>
      <c r="BW36">
        <f t="shared" ca="1" si="41"/>
        <v>0</v>
      </c>
      <c r="BX36">
        <f t="shared" ca="1" si="42"/>
        <v>0</v>
      </c>
      <c r="BY36">
        <f t="shared" ca="1" si="43"/>
        <v>0</v>
      </c>
      <c r="BZ36">
        <f t="shared" ca="1" si="10"/>
        <v>0</v>
      </c>
      <c r="CA36">
        <f t="shared" ca="1" si="11"/>
        <v>0</v>
      </c>
    </row>
    <row r="37" spans="1:79" x14ac:dyDescent="0.4">
      <c r="B37">
        <v>26</v>
      </c>
      <c r="C37" t="str" cm="1">
        <f t="array" ref="C37">INDEX(auto_Series_Code,B37)</f>
        <v>INDI_012</v>
      </c>
      <c r="D37" cm="1">
        <f t="array" ref="D37">INDEX(auto_tblSeries,$B37,D$11)</f>
        <v>2</v>
      </c>
      <c r="E37" cm="1">
        <f t="array" ref="E37">INDEX(auto_tblSeries,$B37,E$11)</f>
        <v>0</v>
      </c>
      <c r="F37" cm="1">
        <f t="array" ref="F37">INDEX(auto_tblSeries,$B37,F$11)</f>
        <v>0</v>
      </c>
      <c r="G37" cm="1">
        <f t="array" ref="G37">INDEX(auto_tblSeries,$B37,G$11)</f>
        <v>0</v>
      </c>
      <c r="H37" cm="1">
        <f t="array" ref="H37">INDEX(auto_tblSeries,$B37,H$11)</f>
        <v>1</v>
      </c>
      <c r="I37">
        <f t="shared" si="0"/>
        <v>1551</v>
      </c>
      <c r="K37" cm="1">
        <f t="array" ref="K37">INDEX(auto_DataFlat_Score,$I37,K$10)</f>
        <v>45.8</v>
      </c>
      <c r="L37" t="str" cm="1">
        <f t="array" ref="L37">INDEX(auto_DataFlat_Rank,$I37,L$10)</f>
        <v>n/a</v>
      </c>
      <c r="M37" cm="1">
        <f t="array" ref="M37">INDEX(auto_DataFlat_DataValue,$I37,M$10)</f>
        <v>0</v>
      </c>
      <c r="N37" cm="1">
        <f t="array" ref="N37">INDEX(auto_DataFlat_Classification,$I37,M$10)</f>
        <v>3</v>
      </c>
      <c r="O37" cm="1">
        <f t="array" ref="O37">INDEX(auto_DataFlat_IsEstimate,$I37,O$10)</f>
        <v>0</v>
      </c>
      <c r="P37" t="str" cm="1">
        <f t="array" ref="P37">IF(INDEX(auto_DataFlat_DataYear,$I37,P$10)=0,"n/a",INDEX(auto_DataFlat_DataYear,$I37,P$10))</f>
        <v>n/a</v>
      </c>
      <c r="R37">
        <f t="shared" si="1"/>
        <v>1551</v>
      </c>
      <c r="S37" cm="1">
        <f t="array" ref="S37">INDEX(auto_DataFlat_Score,$R37,S$10)</f>
        <v>45.8</v>
      </c>
      <c r="U37">
        <f t="shared" si="12"/>
        <v>0</v>
      </c>
      <c r="V37">
        <f t="shared" si="13"/>
        <v>2</v>
      </c>
      <c r="W37">
        <f t="shared" si="14"/>
        <v>2</v>
      </c>
      <c r="X37" t="e">
        <f t="shared" ca="1" si="59"/>
        <v>#N/A</v>
      </c>
      <c r="Y37">
        <f t="shared" ca="1" si="59"/>
        <v>58</v>
      </c>
      <c r="Z37" t="e">
        <f t="shared" ca="1" si="59"/>
        <v>#N/A</v>
      </c>
      <c r="AB37">
        <f t="shared" ca="1" si="16"/>
        <v>0</v>
      </c>
      <c r="AC37">
        <f t="shared" ca="1" si="16"/>
        <v>58</v>
      </c>
      <c r="AD37">
        <f t="shared" ca="1" si="16"/>
        <v>0</v>
      </c>
      <c r="AF37">
        <f t="shared" si="17"/>
        <v>-1</v>
      </c>
      <c r="AG37" t="e">
        <f t="shared" ca="1" si="60"/>
        <v>#N/A</v>
      </c>
      <c r="AH37" t="e">
        <f t="shared" ca="1" si="60"/>
        <v>#N/A</v>
      </c>
      <c r="AI37" t="e">
        <f t="shared" ca="1" si="60"/>
        <v>#N/A</v>
      </c>
      <c r="AJ37" t="e">
        <f t="shared" ca="1" si="60"/>
        <v>#N/A</v>
      </c>
      <c r="AK37" t="e">
        <f t="shared" ca="1" si="60"/>
        <v>#N/A</v>
      </c>
      <c r="AL37" t="e">
        <f t="shared" ca="1" si="60"/>
        <v>#N/A</v>
      </c>
      <c r="AM37" t="e">
        <f t="shared" ca="1" si="60"/>
        <v>#N/A</v>
      </c>
      <c r="AN37">
        <f t="shared" ca="1" si="20"/>
        <v>0</v>
      </c>
      <c r="AO37">
        <f t="shared" ca="1" si="21"/>
        <v>0</v>
      </c>
      <c r="AP37">
        <f t="shared" ca="1" si="22"/>
        <v>0</v>
      </c>
      <c r="AQ37">
        <f t="shared" ca="1" si="23"/>
        <v>0</v>
      </c>
      <c r="AR37">
        <f t="shared" ca="1" si="24"/>
        <v>0</v>
      </c>
      <c r="AS37">
        <f t="shared" ca="1" si="25"/>
        <v>0</v>
      </c>
      <c r="AT37">
        <f t="shared" ca="1" si="26"/>
        <v>0</v>
      </c>
      <c r="AV37">
        <f t="shared" si="6"/>
        <v>1501</v>
      </c>
      <c r="AW37" cm="1">
        <f t="array" ref="AW37">INDEX(auto_DataFlat_Score,$AV37,1)</f>
        <v>4.7</v>
      </c>
      <c r="AX37" cm="1">
        <f t="array" ref="AX37">INDEX(auto_DataFlat_DataValue,$AV37,1)</f>
        <v>0</v>
      </c>
      <c r="BA37">
        <f t="shared" si="27"/>
        <v>41.099999999999994</v>
      </c>
      <c r="BB37">
        <f t="shared" si="28"/>
        <v>1</v>
      </c>
      <c r="BC37">
        <f t="shared" si="29"/>
        <v>-1</v>
      </c>
      <c r="BD37" t="e">
        <f t="shared" ca="1" si="58"/>
        <v>#N/A</v>
      </c>
      <c r="BE37" t="e">
        <f t="shared" ca="1" si="58"/>
        <v>#N/A</v>
      </c>
      <c r="BF37" t="e">
        <f t="shared" ca="1" si="58"/>
        <v>#N/A</v>
      </c>
      <c r="BH37">
        <f t="shared" ca="1" si="30"/>
        <v>0</v>
      </c>
      <c r="BI37">
        <f t="shared" ca="1" si="30"/>
        <v>0</v>
      </c>
      <c r="BJ37">
        <f t="shared" ca="1" si="30"/>
        <v>0</v>
      </c>
      <c r="BM37">
        <f t="shared" si="31"/>
        <v>-1</v>
      </c>
      <c r="BN37" t="e">
        <f t="shared" ca="1" si="32"/>
        <v>#N/A</v>
      </c>
      <c r="BO37" t="e">
        <f t="shared" ca="1" si="33"/>
        <v>#N/A</v>
      </c>
      <c r="BP37" t="e">
        <f t="shared" ca="1" si="34"/>
        <v>#N/A</v>
      </c>
      <c r="BQ37" t="e">
        <f t="shared" ca="1" si="35"/>
        <v>#N/A</v>
      </c>
      <c r="BR37" t="e">
        <f t="shared" ca="1" si="36"/>
        <v>#N/A</v>
      </c>
      <c r="BS37" t="e">
        <f t="shared" ca="1" si="37"/>
        <v>#N/A</v>
      </c>
      <c r="BT37" t="e">
        <f t="shared" ca="1" si="38"/>
        <v>#N/A</v>
      </c>
      <c r="BU37">
        <f t="shared" ca="1" si="39"/>
        <v>0</v>
      </c>
      <c r="BV37">
        <f t="shared" ca="1" si="40"/>
        <v>0</v>
      </c>
      <c r="BW37">
        <f t="shared" ca="1" si="41"/>
        <v>0</v>
      </c>
      <c r="BX37">
        <f t="shared" ca="1" si="42"/>
        <v>0</v>
      </c>
      <c r="BY37">
        <f t="shared" ca="1" si="43"/>
        <v>0</v>
      </c>
      <c r="BZ37">
        <f t="shared" ca="1" si="10"/>
        <v>0</v>
      </c>
      <c r="CA37">
        <f t="shared" ca="1" si="11"/>
        <v>0</v>
      </c>
    </row>
    <row r="38" spans="1:79" x14ac:dyDescent="0.4">
      <c r="B38">
        <v>27</v>
      </c>
      <c r="C38" t="str" cm="1">
        <f t="array" ref="C38">INDEX(auto_Series_Code,B38)</f>
        <v>SUBINDI_011</v>
      </c>
      <c r="D38" cm="1">
        <f t="array" ref="D38">INDEX(auto_tblSeries,$B38,D$11)</f>
        <v>3</v>
      </c>
      <c r="E38" cm="1">
        <f t="array" ref="E38">INDEX(auto_tblSeries,$B38,E$11)</f>
        <v>0</v>
      </c>
      <c r="F38" cm="1">
        <f t="array" ref="F38">INDEX(auto_tblSeries,$B38,F$11)</f>
        <v>1</v>
      </c>
      <c r="G38" cm="1">
        <f t="array" ref="G38">INDEX(auto_tblSeries,$B38,G$11)</f>
        <v>0</v>
      </c>
      <c r="H38" cm="1">
        <f t="array" ref="H38">INDEX(auto_tblSeries,$B38,H$11)</f>
        <v>2</v>
      </c>
      <c r="I38">
        <f t="shared" si="0"/>
        <v>1611</v>
      </c>
      <c r="K38" cm="1">
        <f t="array" ref="K38">INDEX(auto_DataFlat_Score,$I38,K$10)</f>
        <v>45.6</v>
      </c>
      <c r="L38" t="str" cm="1">
        <f t="array" ref="L38">INDEX(auto_DataFlat_Rank,$I38,L$10)</f>
        <v>n/a</v>
      </c>
      <c r="M38" cm="1">
        <f t="array" ref="M38">INDEX(auto_DataFlat_DataValue,$I38,M$10)</f>
        <v>0</v>
      </c>
      <c r="N38" cm="1">
        <f t="array" ref="N38">INDEX(auto_DataFlat_Classification,$I38,M$10)</f>
        <v>3</v>
      </c>
      <c r="O38" cm="1">
        <f t="array" ref="O38">INDEX(auto_DataFlat_IsEstimate,$I38,O$10)</f>
        <v>0</v>
      </c>
      <c r="P38" t="str" cm="1">
        <f t="array" ref="P38">IF(INDEX(auto_DataFlat_DataYear,$I38,P$10)=0,"n/a",INDEX(auto_DataFlat_DataYear,$I38,P$10))</f>
        <v>n/a</v>
      </c>
      <c r="R38">
        <f t="shared" si="1"/>
        <v>1611</v>
      </c>
      <c r="S38" cm="1">
        <f t="array" ref="S38">INDEX(auto_DataFlat_Score,$R38,S$10)</f>
        <v>45.6</v>
      </c>
      <c r="U38">
        <f t="shared" si="12"/>
        <v>0</v>
      </c>
      <c r="V38">
        <f t="shared" si="13"/>
        <v>2</v>
      </c>
      <c r="W38">
        <f t="shared" si="14"/>
        <v>-1</v>
      </c>
      <c r="X38" t="e">
        <f t="shared" ca="1" si="59"/>
        <v>#N/A</v>
      </c>
      <c r="Y38">
        <f t="shared" ca="1" si="59"/>
        <v>59</v>
      </c>
      <c r="Z38" t="e">
        <f t="shared" ca="1" si="59"/>
        <v>#N/A</v>
      </c>
      <c r="AB38">
        <f t="shared" ca="1" si="16"/>
        <v>0</v>
      </c>
      <c r="AC38">
        <f t="shared" ca="1" si="16"/>
        <v>59</v>
      </c>
      <c r="AD38">
        <f t="shared" ca="1" si="16"/>
        <v>0</v>
      </c>
      <c r="AF38">
        <f t="shared" si="17"/>
        <v>3</v>
      </c>
      <c r="AG38" t="e">
        <f t="shared" ca="1" si="60"/>
        <v>#N/A</v>
      </c>
      <c r="AH38" t="e">
        <f t="shared" ca="1" si="60"/>
        <v>#N/A</v>
      </c>
      <c r="AI38" t="e">
        <f t="shared" ca="1" si="60"/>
        <v>#N/A</v>
      </c>
      <c r="AJ38" t="e">
        <f t="shared" ca="1" si="60"/>
        <v>#N/A</v>
      </c>
      <c r="AK38" t="e">
        <f t="shared" ca="1" si="60"/>
        <v>#N/A</v>
      </c>
      <c r="AL38" t="e">
        <f t="shared" ca="1" si="60"/>
        <v>#N/A</v>
      </c>
      <c r="AM38" t="e">
        <f t="shared" ca="1" si="60"/>
        <v>#N/A</v>
      </c>
      <c r="AN38">
        <f t="shared" ca="1" si="20"/>
        <v>0</v>
      </c>
      <c r="AO38">
        <f t="shared" ca="1" si="21"/>
        <v>0</v>
      </c>
      <c r="AP38">
        <f t="shared" ca="1" si="22"/>
        <v>0</v>
      </c>
      <c r="AQ38">
        <f t="shared" ca="1" si="23"/>
        <v>0</v>
      </c>
      <c r="AR38">
        <f t="shared" ca="1" si="24"/>
        <v>0</v>
      </c>
      <c r="AS38">
        <f t="shared" ca="1" si="25"/>
        <v>0</v>
      </c>
      <c r="AT38">
        <f t="shared" ca="1" si="26"/>
        <v>0</v>
      </c>
      <c r="AV38">
        <f t="shared" si="6"/>
        <v>1561</v>
      </c>
      <c r="AW38" cm="1">
        <f t="array" ref="AW38">INDEX(auto_DataFlat_Score,$AV38,1)</f>
        <v>9.5</v>
      </c>
      <c r="AX38" cm="1">
        <f t="array" ref="AX38">INDEX(auto_DataFlat_DataValue,$AV38,1)</f>
        <v>37.799999999999997</v>
      </c>
      <c r="BA38">
        <f t="shared" si="27"/>
        <v>36.1</v>
      </c>
      <c r="BB38">
        <f t="shared" si="28"/>
        <v>1</v>
      </c>
      <c r="BC38">
        <f t="shared" si="29"/>
        <v>1</v>
      </c>
      <c r="BD38" t="e">
        <f t="shared" ca="1" si="58"/>
        <v>#N/A</v>
      </c>
      <c r="BE38" t="e">
        <f t="shared" ca="1" si="58"/>
        <v>#N/A</v>
      </c>
      <c r="BF38" t="e">
        <f t="shared" ca="1" si="58"/>
        <v>#N/A</v>
      </c>
      <c r="BH38">
        <f t="shared" ca="1" si="30"/>
        <v>0</v>
      </c>
      <c r="BI38">
        <f t="shared" ca="1" si="30"/>
        <v>0</v>
      </c>
      <c r="BJ38">
        <f t="shared" ca="1" si="30"/>
        <v>0</v>
      </c>
      <c r="BM38">
        <f t="shared" si="31"/>
        <v>-1</v>
      </c>
      <c r="BN38" t="e">
        <f t="shared" ca="1" si="32"/>
        <v>#N/A</v>
      </c>
      <c r="BO38" t="e">
        <f t="shared" ca="1" si="33"/>
        <v>#N/A</v>
      </c>
      <c r="BP38" t="e">
        <f t="shared" ca="1" si="34"/>
        <v>#N/A</v>
      </c>
      <c r="BQ38" t="e">
        <f t="shared" ca="1" si="35"/>
        <v>#N/A</v>
      </c>
      <c r="BR38" t="e">
        <f t="shared" ca="1" si="36"/>
        <v>#N/A</v>
      </c>
      <c r="BS38" t="e">
        <f t="shared" ca="1" si="37"/>
        <v>#N/A</v>
      </c>
      <c r="BT38" t="e">
        <f t="shared" ca="1" si="38"/>
        <v>#N/A</v>
      </c>
      <c r="BU38">
        <f t="shared" ca="1" si="39"/>
        <v>0</v>
      </c>
      <c r="BV38">
        <f t="shared" ca="1" si="40"/>
        <v>0</v>
      </c>
      <c r="BW38">
        <f t="shared" ca="1" si="41"/>
        <v>0</v>
      </c>
      <c r="BX38">
        <f t="shared" ca="1" si="42"/>
        <v>0</v>
      </c>
      <c r="BY38">
        <f t="shared" ca="1" si="43"/>
        <v>0</v>
      </c>
      <c r="BZ38">
        <f t="shared" ca="1" si="10"/>
        <v>0</v>
      </c>
      <c r="CA38">
        <f t="shared" ca="1" si="11"/>
        <v>0</v>
      </c>
    </row>
    <row r="39" spans="1:79" x14ac:dyDescent="0.4">
      <c r="B39">
        <v>28</v>
      </c>
      <c r="C39" t="str" cm="1">
        <f t="array" ref="C39">INDEX(auto_Series_Code,B39)</f>
        <v>SUBINDI_012</v>
      </c>
      <c r="D39" cm="1">
        <f t="array" ref="D39">INDEX(auto_tblSeries,$B39,D$11)</f>
        <v>3</v>
      </c>
      <c r="E39" cm="1">
        <f t="array" ref="E39">INDEX(auto_tblSeries,$B39,E$11)</f>
        <v>0</v>
      </c>
      <c r="F39" cm="1">
        <f t="array" ref="F39">INDEX(auto_tblSeries,$B39,F$11)</f>
        <v>1</v>
      </c>
      <c r="G39" cm="1">
        <f t="array" ref="G39">INDEX(auto_tblSeries,$B39,G$11)</f>
        <v>0</v>
      </c>
      <c r="H39" cm="1">
        <f t="array" ref="H39">INDEX(auto_tblSeries,$B39,H$11)</f>
        <v>0</v>
      </c>
      <c r="I39">
        <f t="shared" si="0"/>
        <v>1671</v>
      </c>
      <c r="K39" cm="1">
        <f t="array" ref="K39">INDEX(auto_DataFlat_Score,$I39,K$10)</f>
        <v>46</v>
      </c>
      <c r="L39" t="str" cm="1">
        <f t="array" ref="L39">INDEX(auto_DataFlat_Rank,$I39,L$10)</f>
        <v>n/a</v>
      </c>
      <c r="M39" cm="1">
        <f t="array" ref="M39">INDEX(auto_DataFlat_DataValue,$I39,M$10)</f>
        <v>0</v>
      </c>
      <c r="N39" cm="1">
        <f t="array" ref="N39">INDEX(auto_DataFlat_Classification,$I39,M$10)</f>
        <v>3</v>
      </c>
      <c r="O39" cm="1">
        <f t="array" ref="O39">INDEX(auto_DataFlat_IsEstimate,$I39,O$10)</f>
        <v>0</v>
      </c>
      <c r="P39" t="str" cm="1">
        <f t="array" ref="P39">IF(INDEX(auto_DataFlat_DataYear,$I39,P$10)=0,"n/a",INDEX(auto_DataFlat_DataYear,$I39,P$10))</f>
        <v>n/a</v>
      </c>
      <c r="R39">
        <f t="shared" si="1"/>
        <v>1671</v>
      </c>
      <c r="S39" cm="1">
        <f t="array" ref="S39">INDEX(auto_DataFlat_Score,$R39,S$10)</f>
        <v>46</v>
      </c>
      <c r="U39">
        <f t="shared" si="12"/>
        <v>0</v>
      </c>
      <c r="V39">
        <f t="shared" si="13"/>
        <v>2</v>
      </c>
      <c r="W39">
        <f t="shared" si="14"/>
        <v>-1</v>
      </c>
      <c r="X39" t="e">
        <f t="shared" ca="1" si="59"/>
        <v>#N/A</v>
      </c>
      <c r="Y39">
        <f t="shared" ca="1" si="59"/>
        <v>60</v>
      </c>
      <c r="Z39" t="e">
        <f t="shared" ca="1" si="59"/>
        <v>#N/A</v>
      </c>
      <c r="AB39">
        <f t="shared" ca="1" si="16"/>
        <v>0</v>
      </c>
      <c r="AC39">
        <f t="shared" ca="1" si="16"/>
        <v>60</v>
      </c>
      <c r="AD39">
        <f t="shared" ca="1" si="16"/>
        <v>0</v>
      </c>
      <c r="AF39">
        <f t="shared" si="17"/>
        <v>3</v>
      </c>
      <c r="AG39" t="e">
        <f t="shared" ca="1" si="60"/>
        <v>#N/A</v>
      </c>
      <c r="AH39" t="e">
        <f t="shared" ca="1" si="60"/>
        <v>#N/A</v>
      </c>
      <c r="AI39" t="e">
        <f t="shared" ca="1" si="60"/>
        <v>#N/A</v>
      </c>
      <c r="AJ39" t="e">
        <f t="shared" ca="1" si="60"/>
        <v>#N/A</v>
      </c>
      <c r="AK39" t="e">
        <f t="shared" ca="1" si="60"/>
        <v>#N/A</v>
      </c>
      <c r="AL39" t="e">
        <f t="shared" ca="1" si="60"/>
        <v>#N/A</v>
      </c>
      <c r="AM39" t="e">
        <f t="shared" ca="1" si="60"/>
        <v>#N/A</v>
      </c>
      <c r="AN39">
        <f t="shared" ca="1" si="20"/>
        <v>0</v>
      </c>
      <c r="AO39">
        <f t="shared" ca="1" si="21"/>
        <v>0</v>
      </c>
      <c r="AP39">
        <f t="shared" ca="1" si="22"/>
        <v>0</v>
      </c>
      <c r="AQ39">
        <f t="shared" ca="1" si="23"/>
        <v>0</v>
      </c>
      <c r="AR39">
        <f t="shared" ca="1" si="24"/>
        <v>0</v>
      </c>
      <c r="AS39">
        <f t="shared" ca="1" si="25"/>
        <v>0</v>
      </c>
      <c r="AT39">
        <f t="shared" ca="1" si="26"/>
        <v>0</v>
      </c>
      <c r="AV39">
        <f t="shared" si="6"/>
        <v>1621</v>
      </c>
      <c r="AW39" cm="1">
        <f t="array" ref="AW39">INDEX(auto_DataFlat_Score,$AV39,1)</f>
        <v>0</v>
      </c>
      <c r="AX39" cm="1">
        <f t="array" ref="AX39">INDEX(auto_DataFlat_DataValue,$AV39,1)</f>
        <v>0</v>
      </c>
      <c r="BA39">
        <f t="shared" si="27"/>
        <v>46</v>
      </c>
      <c r="BB39">
        <f t="shared" si="28"/>
        <v>1</v>
      </c>
      <c r="BC39">
        <f t="shared" si="29"/>
        <v>1</v>
      </c>
      <c r="BD39" t="e">
        <f t="shared" ca="1" si="58"/>
        <v>#N/A</v>
      </c>
      <c r="BE39" t="e">
        <f t="shared" ca="1" si="58"/>
        <v>#N/A</v>
      </c>
      <c r="BF39" t="e">
        <f t="shared" ca="1" si="58"/>
        <v>#N/A</v>
      </c>
      <c r="BH39">
        <f t="shared" ca="1" si="30"/>
        <v>0</v>
      </c>
      <c r="BI39">
        <f t="shared" ca="1" si="30"/>
        <v>0</v>
      </c>
      <c r="BJ39">
        <f t="shared" ca="1" si="30"/>
        <v>0</v>
      </c>
      <c r="BM39">
        <f t="shared" si="31"/>
        <v>-1</v>
      </c>
      <c r="BN39" t="e">
        <f t="shared" ca="1" si="32"/>
        <v>#N/A</v>
      </c>
      <c r="BO39" t="e">
        <f t="shared" ca="1" si="33"/>
        <v>#N/A</v>
      </c>
      <c r="BP39" t="e">
        <f t="shared" ca="1" si="34"/>
        <v>#N/A</v>
      </c>
      <c r="BQ39" t="e">
        <f t="shared" ca="1" si="35"/>
        <v>#N/A</v>
      </c>
      <c r="BR39" t="e">
        <f t="shared" ca="1" si="36"/>
        <v>#N/A</v>
      </c>
      <c r="BS39" t="e">
        <f t="shared" ca="1" si="37"/>
        <v>#N/A</v>
      </c>
      <c r="BT39" t="e">
        <f t="shared" ca="1" si="38"/>
        <v>#N/A</v>
      </c>
      <c r="BU39">
        <f t="shared" ca="1" si="39"/>
        <v>0</v>
      </c>
      <c r="BV39">
        <f t="shared" ca="1" si="40"/>
        <v>0</v>
      </c>
      <c r="BW39">
        <f t="shared" ca="1" si="41"/>
        <v>0</v>
      </c>
      <c r="BX39">
        <f t="shared" ca="1" si="42"/>
        <v>0</v>
      </c>
      <c r="BY39">
        <f t="shared" ca="1" si="43"/>
        <v>0</v>
      </c>
      <c r="BZ39">
        <f t="shared" ca="1" si="10"/>
        <v>0</v>
      </c>
      <c r="CA39">
        <f t="shared" ca="1" si="11"/>
        <v>0</v>
      </c>
    </row>
    <row r="40" spans="1:79" x14ac:dyDescent="0.4">
      <c r="B40">
        <v>29</v>
      </c>
      <c r="C40" t="str" cm="1">
        <f t="array" ref="C40">INDEX(auto_Series_Code,B40)</f>
        <v>INDI_013</v>
      </c>
      <c r="D40" cm="1">
        <f t="array" ref="D40">INDEX(auto_tblSeries,$B40,D$11)</f>
        <v>2</v>
      </c>
      <c r="E40" cm="1">
        <f t="array" ref="E40">INDEX(auto_tblSeries,$B40,E$11)</f>
        <v>0</v>
      </c>
      <c r="F40" cm="1">
        <f t="array" ref="F40">INDEX(auto_tblSeries,$B40,F$11)</f>
        <v>0</v>
      </c>
      <c r="G40" cm="1">
        <f t="array" ref="G40">INDEX(auto_tblSeries,$B40,G$11)</f>
        <v>0</v>
      </c>
      <c r="H40" cm="1">
        <f t="array" ref="H40">INDEX(auto_tblSeries,$B40,H$11)</f>
        <v>1</v>
      </c>
      <c r="I40">
        <f t="shared" si="0"/>
        <v>1731</v>
      </c>
      <c r="K40" cm="1">
        <f t="array" ref="K40">INDEX(auto_DataFlat_Score,$I40,K$10)</f>
        <v>53.9</v>
      </c>
      <c r="L40" t="str" cm="1">
        <f t="array" ref="L40">INDEX(auto_DataFlat_Rank,$I40,L$10)</f>
        <v>n/a</v>
      </c>
      <c r="M40" cm="1">
        <f t="array" ref="M40">INDEX(auto_DataFlat_DataValue,$I40,M$10)</f>
        <v>0</v>
      </c>
      <c r="N40" cm="1">
        <f t="array" ref="N40">INDEX(auto_DataFlat_Classification,$I40,M$10)</f>
        <v>3</v>
      </c>
      <c r="O40" cm="1">
        <f t="array" ref="O40">INDEX(auto_DataFlat_IsEstimate,$I40,O$10)</f>
        <v>0</v>
      </c>
      <c r="P40" t="str" cm="1">
        <f t="array" ref="P40">IF(INDEX(auto_DataFlat_DataYear,$I40,P$10)=0,"n/a",INDEX(auto_DataFlat_DataYear,$I40,P$10))</f>
        <v>n/a</v>
      </c>
      <c r="R40">
        <f t="shared" si="1"/>
        <v>1731</v>
      </c>
      <c r="S40" cm="1">
        <f t="array" ref="S40">INDEX(auto_DataFlat_Score,$R40,S$10)</f>
        <v>53.9</v>
      </c>
      <c r="U40">
        <f t="shared" si="12"/>
        <v>0</v>
      </c>
      <c r="V40">
        <f t="shared" si="13"/>
        <v>2</v>
      </c>
      <c r="W40">
        <f t="shared" si="14"/>
        <v>2</v>
      </c>
      <c r="X40" t="e">
        <f t="shared" ca="1" si="59"/>
        <v>#N/A</v>
      </c>
      <c r="Y40">
        <f t="shared" ca="1" si="59"/>
        <v>61</v>
      </c>
      <c r="Z40" t="e">
        <f t="shared" ca="1" si="59"/>
        <v>#N/A</v>
      </c>
      <c r="AB40">
        <f t="shared" ca="1" si="16"/>
        <v>0</v>
      </c>
      <c r="AC40">
        <f t="shared" ca="1" si="16"/>
        <v>61</v>
      </c>
      <c r="AD40">
        <f t="shared" ca="1" si="16"/>
        <v>0</v>
      </c>
      <c r="AF40">
        <f t="shared" si="17"/>
        <v>-1</v>
      </c>
      <c r="AG40" t="e">
        <f t="shared" ca="1" si="60"/>
        <v>#N/A</v>
      </c>
      <c r="AH40" t="e">
        <f t="shared" ca="1" si="60"/>
        <v>#N/A</v>
      </c>
      <c r="AI40" t="e">
        <f t="shared" ca="1" si="60"/>
        <v>#N/A</v>
      </c>
      <c r="AJ40" t="e">
        <f t="shared" ca="1" si="60"/>
        <v>#N/A</v>
      </c>
      <c r="AK40" t="e">
        <f t="shared" ca="1" si="60"/>
        <v>#N/A</v>
      </c>
      <c r="AL40" t="e">
        <f t="shared" ca="1" si="60"/>
        <v>#N/A</v>
      </c>
      <c r="AM40" t="e">
        <f t="shared" ca="1" si="60"/>
        <v>#N/A</v>
      </c>
      <c r="AN40">
        <f t="shared" ca="1" si="20"/>
        <v>0</v>
      </c>
      <c r="AO40">
        <f t="shared" ca="1" si="21"/>
        <v>0</v>
      </c>
      <c r="AP40">
        <f t="shared" ca="1" si="22"/>
        <v>0</v>
      </c>
      <c r="AQ40">
        <f t="shared" ca="1" si="23"/>
        <v>0</v>
      </c>
      <c r="AR40">
        <f t="shared" ca="1" si="24"/>
        <v>0</v>
      </c>
      <c r="AS40">
        <f t="shared" ca="1" si="25"/>
        <v>0</v>
      </c>
      <c r="AT40">
        <f t="shared" ca="1" si="26"/>
        <v>0</v>
      </c>
      <c r="AV40">
        <f t="shared" si="6"/>
        <v>1681</v>
      </c>
      <c r="AW40" cm="1">
        <f t="array" ref="AW40">INDEX(auto_DataFlat_Score,$AV40,1)</f>
        <v>50</v>
      </c>
      <c r="AX40" cm="1">
        <f t="array" ref="AX40">INDEX(auto_DataFlat_DataValue,$AV40,1)</f>
        <v>0</v>
      </c>
      <c r="BA40">
        <f t="shared" si="27"/>
        <v>3.8999999999999986</v>
      </c>
      <c r="BB40">
        <f t="shared" si="28"/>
        <v>1</v>
      </c>
      <c r="BC40">
        <f t="shared" si="29"/>
        <v>-1</v>
      </c>
      <c r="BD40" t="e">
        <f t="shared" ca="1" si="58"/>
        <v>#N/A</v>
      </c>
      <c r="BE40" t="e">
        <f t="shared" ca="1" si="58"/>
        <v>#N/A</v>
      </c>
      <c r="BF40" t="e">
        <f t="shared" ca="1" si="58"/>
        <v>#N/A</v>
      </c>
      <c r="BH40">
        <f t="shared" ca="1" si="30"/>
        <v>0</v>
      </c>
      <c r="BI40">
        <f t="shared" ca="1" si="30"/>
        <v>0</v>
      </c>
      <c r="BJ40">
        <f t="shared" ca="1" si="30"/>
        <v>0</v>
      </c>
      <c r="BM40">
        <f t="shared" si="31"/>
        <v>-1</v>
      </c>
      <c r="BN40" t="e">
        <f t="shared" ca="1" si="32"/>
        <v>#N/A</v>
      </c>
      <c r="BO40" t="e">
        <f t="shared" ca="1" si="33"/>
        <v>#N/A</v>
      </c>
      <c r="BP40" t="e">
        <f t="shared" ca="1" si="34"/>
        <v>#N/A</v>
      </c>
      <c r="BQ40" t="e">
        <f t="shared" ca="1" si="35"/>
        <v>#N/A</v>
      </c>
      <c r="BR40" t="e">
        <f t="shared" ca="1" si="36"/>
        <v>#N/A</v>
      </c>
      <c r="BS40" t="e">
        <f t="shared" ca="1" si="37"/>
        <v>#N/A</v>
      </c>
      <c r="BT40" t="e">
        <f t="shared" ca="1" si="38"/>
        <v>#N/A</v>
      </c>
      <c r="BU40">
        <f t="shared" ca="1" si="39"/>
        <v>0</v>
      </c>
      <c r="BV40">
        <f t="shared" ca="1" si="40"/>
        <v>0</v>
      </c>
      <c r="BW40">
        <f t="shared" ca="1" si="41"/>
        <v>0</v>
      </c>
      <c r="BX40">
        <f t="shared" ca="1" si="42"/>
        <v>0</v>
      </c>
      <c r="BY40">
        <f t="shared" ca="1" si="43"/>
        <v>0</v>
      </c>
      <c r="BZ40">
        <f t="shared" ca="1" si="10"/>
        <v>0</v>
      </c>
      <c r="CA40">
        <f t="shared" ca="1" si="11"/>
        <v>0</v>
      </c>
    </row>
    <row r="41" spans="1:79" x14ac:dyDescent="0.4">
      <c r="A41" t="str">
        <f>IF(ISERROR(C41),"X","")</f>
        <v/>
      </c>
      <c r="B41">
        <v>30</v>
      </c>
      <c r="C41" t="str" cm="1">
        <f t="array" ref="C41">INDEX(auto_Series_Code,B41)</f>
        <v>SUBINDI_013</v>
      </c>
      <c r="D41" cm="1">
        <f t="array" ref="D41">INDEX(auto_tblSeries,$B41,D$11)</f>
        <v>3</v>
      </c>
      <c r="E41" cm="1">
        <f t="array" ref="E41">INDEX(auto_tblSeries,$B41,E$11)</f>
        <v>0</v>
      </c>
      <c r="F41" cm="1">
        <f t="array" ref="F41">INDEX(auto_tblSeries,$B41,F$11)</f>
        <v>1</v>
      </c>
      <c r="G41" cm="1">
        <f t="array" ref="G41">INDEX(auto_tblSeries,$B41,G$11)</f>
        <v>0</v>
      </c>
      <c r="H41" cm="1">
        <f t="array" ref="H41">INDEX(auto_tblSeries,$B41,H$11)</f>
        <v>1</v>
      </c>
      <c r="I41">
        <f t="shared" si="0"/>
        <v>1791</v>
      </c>
      <c r="K41" cm="1">
        <f t="array" ref="K41">INDEX(auto_DataFlat_Score,$I41,K$10)</f>
        <v>93.8</v>
      </c>
      <c r="L41" t="str" cm="1">
        <f t="array" ref="L41">INDEX(auto_DataFlat_Rank,$I41,L$10)</f>
        <v>n/a</v>
      </c>
      <c r="M41" cm="1">
        <f t="array" ref="M41">INDEX(auto_DataFlat_DataValue,$I41,M$10)</f>
        <v>0</v>
      </c>
      <c r="N41" cm="1">
        <f t="array" ref="N41">INDEX(auto_DataFlat_Classification,$I41,M$10)</f>
        <v>5</v>
      </c>
      <c r="O41" cm="1">
        <f t="array" ref="O41">INDEX(auto_DataFlat_IsEstimate,$I41,O$10)</f>
        <v>0</v>
      </c>
      <c r="P41" t="str" cm="1">
        <f t="array" ref="P41">IF(INDEX(auto_DataFlat_DataYear,$I41,P$10)=0,"n/a",INDEX(auto_DataFlat_DataYear,$I41,P$10))</f>
        <v>n/a</v>
      </c>
      <c r="R41">
        <f t="shared" si="1"/>
        <v>1791</v>
      </c>
      <c r="S41" cm="1">
        <f t="array" ref="S41">INDEX(auto_DataFlat_Score,$R41,S$10)</f>
        <v>93.8</v>
      </c>
      <c r="U41">
        <f t="shared" si="12"/>
        <v>0</v>
      </c>
      <c r="V41">
        <f t="shared" si="13"/>
        <v>2</v>
      </c>
      <c r="W41">
        <f t="shared" si="14"/>
        <v>-1</v>
      </c>
      <c r="X41" t="e">
        <f t="shared" ca="1" si="59"/>
        <v>#N/A</v>
      </c>
      <c r="Y41">
        <f t="shared" ca="1" si="59"/>
        <v>62</v>
      </c>
      <c r="Z41" t="e">
        <f t="shared" ca="1" si="59"/>
        <v>#N/A</v>
      </c>
      <c r="AB41">
        <f t="shared" ca="1" si="16"/>
        <v>0</v>
      </c>
      <c r="AC41">
        <f t="shared" ca="1" si="16"/>
        <v>62</v>
      </c>
      <c r="AD41">
        <f t="shared" ca="1" si="16"/>
        <v>0</v>
      </c>
      <c r="AF41">
        <f t="shared" si="17"/>
        <v>5</v>
      </c>
      <c r="AG41" t="e">
        <f t="shared" ca="1" si="60"/>
        <v>#N/A</v>
      </c>
      <c r="AH41" t="e">
        <f t="shared" ca="1" si="60"/>
        <v>#N/A</v>
      </c>
      <c r="AI41" t="e">
        <f t="shared" ca="1" si="60"/>
        <v>#N/A</v>
      </c>
      <c r="AJ41" t="e">
        <f t="shared" ca="1" si="60"/>
        <v>#N/A</v>
      </c>
      <c r="AK41" t="e">
        <f t="shared" ca="1" si="60"/>
        <v>#N/A</v>
      </c>
      <c r="AL41" t="e">
        <f t="shared" ca="1" si="60"/>
        <v>#N/A</v>
      </c>
      <c r="AM41" t="e">
        <f t="shared" ca="1" si="60"/>
        <v>#N/A</v>
      </c>
      <c r="AN41">
        <f t="shared" ca="1" si="20"/>
        <v>0</v>
      </c>
      <c r="AO41">
        <f t="shared" ca="1" si="21"/>
        <v>0</v>
      </c>
      <c r="AP41">
        <f t="shared" ca="1" si="22"/>
        <v>0</v>
      </c>
      <c r="AQ41">
        <f t="shared" ca="1" si="23"/>
        <v>0</v>
      </c>
      <c r="AR41">
        <f t="shared" ca="1" si="24"/>
        <v>0</v>
      </c>
      <c r="AS41">
        <f t="shared" ca="1" si="25"/>
        <v>0</v>
      </c>
      <c r="AT41">
        <f t="shared" ca="1" si="26"/>
        <v>0</v>
      </c>
      <c r="AV41">
        <f t="shared" si="6"/>
        <v>1741</v>
      </c>
      <c r="AW41" cm="1">
        <f t="array" ref="AW41">INDEX(auto_DataFlat_Score,$AV41,1)</f>
        <v>100</v>
      </c>
      <c r="AX41" cm="1">
        <f t="array" ref="AX41">INDEX(auto_DataFlat_DataValue,$AV41,1)</f>
        <v>0.3</v>
      </c>
      <c r="BA41">
        <f t="shared" si="27"/>
        <v>-6.2000000000000028</v>
      </c>
      <c r="BB41">
        <f t="shared" si="28"/>
        <v>3</v>
      </c>
      <c r="BC41">
        <f t="shared" si="29"/>
        <v>3</v>
      </c>
      <c r="BD41" t="e">
        <f t="shared" ca="1" si="58"/>
        <v>#N/A</v>
      </c>
      <c r="BE41" t="e">
        <f t="shared" ca="1" si="58"/>
        <v>#N/A</v>
      </c>
      <c r="BF41" t="e">
        <f t="shared" ca="1" si="58"/>
        <v>#N/A</v>
      </c>
      <c r="BH41">
        <f t="shared" ca="1" si="30"/>
        <v>0</v>
      </c>
      <c r="BI41">
        <f t="shared" ca="1" si="30"/>
        <v>0</v>
      </c>
      <c r="BJ41">
        <f t="shared" ca="1" si="30"/>
        <v>0</v>
      </c>
      <c r="BM41">
        <f t="shared" si="31"/>
        <v>-1</v>
      </c>
      <c r="BN41" t="e">
        <f t="shared" ca="1" si="32"/>
        <v>#N/A</v>
      </c>
      <c r="BO41" t="e">
        <f t="shared" ca="1" si="33"/>
        <v>#N/A</v>
      </c>
      <c r="BP41" t="e">
        <f t="shared" ca="1" si="34"/>
        <v>#N/A</v>
      </c>
      <c r="BQ41" t="e">
        <f t="shared" ca="1" si="35"/>
        <v>#N/A</v>
      </c>
      <c r="BR41" t="e">
        <f t="shared" ca="1" si="36"/>
        <v>#N/A</v>
      </c>
      <c r="BS41" t="e">
        <f t="shared" ca="1" si="37"/>
        <v>#N/A</v>
      </c>
      <c r="BT41" t="e">
        <f t="shared" ca="1" si="38"/>
        <v>#N/A</v>
      </c>
      <c r="BU41">
        <f t="shared" ca="1" si="39"/>
        <v>0</v>
      </c>
      <c r="BV41">
        <f t="shared" ca="1" si="40"/>
        <v>0</v>
      </c>
      <c r="BW41">
        <f t="shared" ca="1" si="41"/>
        <v>0</v>
      </c>
      <c r="BX41">
        <f t="shared" ca="1" si="42"/>
        <v>0</v>
      </c>
      <c r="BY41">
        <f t="shared" ca="1" si="43"/>
        <v>0</v>
      </c>
      <c r="BZ41">
        <f t="shared" ca="1" si="10"/>
        <v>0</v>
      </c>
      <c r="CA41">
        <f t="shared" ca="1" si="11"/>
        <v>0</v>
      </c>
    </row>
    <row r="42" spans="1:79" x14ac:dyDescent="0.4">
      <c r="A42" t="str">
        <f t="shared" ref="A42:A105" si="61">IF(ISERROR(C42),"X","")</f>
        <v/>
      </c>
      <c r="B42">
        <v>31</v>
      </c>
      <c r="C42" t="str" cm="1">
        <f t="array" ref="C42">INDEX(auto_Series_Code,B42)</f>
        <v>SUBINDI_014</v>
      </c>
      <c r="D42" cm="1">
        <f t="array" ref="D42">INDEX(auto_tblSeries,$B42,D$11)</f>
        <v>3</v>
      </c>
      <c r="E42" cm="1">
        <f t="array" ref="E42">INDEX(auto_tblSeries,$B42,E$11)</f>
        <v>0</v>
      </c>
      <c r="F42" cm="1">
        <f t="array" ref="F42">INDEX(auto_tblSeries,$B42,F$11)</f>
        <v>1</v>
      </c>
      <c r="G42" cm="1">
        <f t="array" ref="G42">INDEX(auto_tblSeries,$B42,G$11)</f>
        <v>0</v>
      </c>
      <c r="H42" cm="1">
        <f t="array" ref="H42">INDEX(auto_tblSeries,$B42,H$11)</f>
        <v>0</v>
      </c>
      <c r="I42">
        <f t="shared" si="0"/>
        <v>1851</v>
      </c>
      <c r="K42" cm="1">
        <f t="array" ref="K42">INDEX(auto_DataFlat_Score,$I42,K$10)</f>
        <v>14</v>
      </c>
      <c r="L42" t="str" cm="1">
        <f t="array" ref="L42">INDEX(auto_DataFlat_Rank,$I42,L$10)</f>
        <v>n/a</v>
      </c>
      <c r="M42" cm="1">
        <f t="array" ref="M42">INDEX(auto_DataFlat_DataValue,$I42,M$10)</f>
        <v>0</v>
      </c>
      <c r="N42" cm="1">
        <f t="array" ref="N42">INDEX(auto_DataFlat_Classification,$I42,M$10)</f>
        <v>1</v>
      </c>
      <c r="O42" cm="1">
        <f t="array" ref="O42">INDEX(auto_DataFlat_IsEstimate,$I42,O$10)</f>
        <v>0</v>
      </c>
      <c r="P42" t="str" cm="1">
        <f t="array" ref="P42">IF(INDEX(auto_DataFlat_DataYear,$I42,P$10)=0,"n/a",INDEX(auto_DataFlat_DataYear,$I42,P$10))</f>
        <v>n/a</v>
      </c>
      <c r="R42">
        <f t="shared" si="1"/>
        <v>1851</v>
      </c>
      <c r="S42" cm="1">
        <f t="array" ref="S42">INDEX(auto_DataFlat_Score,$R42,S$10)</f>
        <v>14</v>
      </c>
      <c r="U42">
        <f t="shared" si="12"/>
        <v>0</v>
      </c>
      <c r="V42">
        <f t="shared" si="13"/>
        <v>2</v>
      </c>
      <c r="W42">
        <f t="shared" si="14"/>
        <v>-1</v>
      </c>
      <c r="X42" t="e">
        <f t="shared" ca="1" si="59"/>
        <v>#N/A</v>
      </c>
      <c r="Y42">
        <f t="shared" ca="1" si="59"/>
        <v>63</v>
      </c>
      <c r="Z42" t="e">
        <f t="shared" ca="1" si="59"/>
        <v>#N/A</v>
      </c>
      <c r="AB42">
        <f t="shared" ca="1" si="16"/>
        <v>0</v>
      </c>
      <c r="AC42">
        <f t="shared" ca="1" si="16"/>
        <v>63</v>
      </c>
      <c r="AD42">
        <f t="shared" ca="1" si="16"/>
        <v>0</v>
      </c>
      <c r="AF42">
        <f t="shared" si="17"/>
        <v>1</v>
      </c>
      <c r="AG42" t="e">
        <f t="shared" ca="1" si="60"/>
        <v>#N/A</v>
      </c>
      <c r="AH42" t="e">
        <f t="shared" ca="1" si="60"/>
        <v>#N/A</v>
      </c>
      <c r="AI42" t="e">
        <f t="shared" ca="1" si="60"/>
        <v>#N/A</v>
      </c>
      <c r="AJ42" t="e">
        <f t="shared" ca="1" si="60"/>
        <v>#N/A</v>
      </c>
      <c r="AK42" t="e">
        <f t="shared" ca="1" si="60"/>
        <v>#N/A</v>
      </c>
      <c r="AL42" t="e">
        <f t="shared" ca="1" si="60"/>
        <v>#N/A</v>
      </c>
      <c r="AM42" t="e">
        <f t="shared" ca="1" si="60"/>
        <v>#N/A</v>
      </c>
      <c r="AN42">
        <f t="shared" ca="1" si="20"/>
        <v>0</v>
      </c>
      <c r="AO42">
        <f t="shared" ca="1" si="21"/>
        <v>0</v>
      </c>
      <c r="AP42">
        <f t="shared" ca="1" si="22"/>
        <v>0</v>
      </c>
      <c r="AQ42">
        <f t="shared" ca="1" si="23"/>
        <v>0</v>
      </c>
      <c r="AR42">
        <f t="shared" ca="1" si="24"/>
        <v>0</v>
      </c>
      <c r="AS42">
        <f t="shared" ca="1" si="25"/>
        <v>0</v>
      </c>
      <c r="AT42">
        <f t="shared" ca="1" si="26"/>
        <v>0</v>
      </c>
      <c r="AV42">
        <f t="shared" si="6"/>
        <v>1801</v>
      </c>
      <c r="AW42" cm="1">
        <f t="array" ref="AW42">INDEX(auto_DataFlat_Score,$AV42,1)</f>
        <v>0</v>
      </c>
      <c r="AX42" cm="1">
        <f t="array" ref="AX42">INDEX(auto_DataFlat_DataValue,$AV42,1)</f>
        <v>0</v>
      </c>
      <c r="BA42">
        <f t="shared" si="27"/>
        <v>14</v>
      </c>
      <c r="BB42">
        <f t="shared" si="28"/>
        <v>1</v>
      </c>
      <c r="BC42">
        <f t="shared" si="29"/>
        <v>1</v>
      </c>
      <c r="BD42" t="e">
        <f t="shared" ca="1" si="58"/>
        <v>#N/A</v>
      </c>
      <c r="BE42" t="e">
        <f t="shared" ca="1" si="58"/>
        <v>#N/A</v>
      </c>
      <c r="BF42" t="e">
        <f t="shared" ca="1" si="58"/>
        <v>#N/A</v>
      </c>
      <c r="BH42">
        <f t="shared" ca="1" si="30"/>
        <v>0</v>
      </c>
      <c r="BI42">
        <f t="shared" ca="1" si="30"/>
        <v>0</v>
      </c>
      <c r="BJ42">
        <f t="shared" ca="1" si="30"/>
        <v>0</v>
      </c>
      <c r="BM42">
        <f t="shared" si="31"/>
        <v>-1</v>
      </c>
      <c r="BN42" t="e">
        <f t="shared" ca="1" si="32"/>
        <v>#N/A</v>
      </c>
      <c r="BO42" t="e">
        <f t="shared" ca="1" si="33"/>
        <v>#N/A</v>
      </c>
      <c r="BP42" t="e">
        <f t="shared" ca="1" si="34"/>
        <v>#N/A</v>
      </c>
      <c r="BQ42" t="e">
        <f t="shared" ca="1" si="35"/>
        <v>#N/A</v>
      </c>
      <c r="BR42" t="e">
        <f t="shared" ca="1" si="36"/>
        <v>#N/A</v>
      </c>
      <c r="BS42" t="e">
        <f t="shared" ca="1" si="37"/>
        <v>#N/A</v>
      </c>
      <c r="BT42" t="e">
        <f t="shared" ca="1" si="38"/>
        <v>#N/A</v>
      </c>
      <c r="BU42">
        <f t="shared" ca="1" si="39"/>
        <v>0</v>
      </c>
      <c r="BV42">
        <f t="shared" ca="1" si="40"/>
        <v>0</v>
      </c>
      <c r="BW42">
        <f t="shared" ca="1" si="41"/>
        <v>0</v>
      </c>
      <c r="BX42">
        <f t="shared" ca="1" si="42"/>
        <v>0</v>
      </c>
      <c r="BY42">
        <f t="shared" ca="1" si="43"/>
        <v>0</v>
      </c>
      <c r="BZ42">
        <f t="shared" ca="1" si="10"/>
        <v>0</v>
      </c>
      <c r="CA42">
        <f t="shared" ca="1" si="11"/>
        <v>0</v>
      </c>
    </row>
    <row r="43" spans="1:79" x14ac:dyDescent="0.4">
      <c r="A43" t="str">
        <f t="shared" si="61"/>
        <v/>
      </c>
      <c r="B43">
        <v>32</v>
      </c>
      <c r="C43" t="str" cm="1">
        <f t="array" ref="C43">INDEX(auto_Series_Code,B43)</f>
        <v>INDI_014</v>
      </c>
      <c r="D43" cm="1">
        <f t="array" ref="D43">INDEX(auto_tblSeries,$B43,D$11)</f>
        <v>2</v>
      </c>
      <c r="E43" cm="1">
        <f t="array" ref="E43">INDEX(auto_tblSeries,$B43,E$11)</f>
        <v>0</v>
      </c>
      <c r="F43" cm="1">
        <f t="array" ref="F43">INDEX(auto_tblSeries,$B43,F$11)</f>
        <v>0</v>
      </c>
      <c r="G43" cm="1">
        <f t="array" ref="G43">INDEX(auto_tblSeries,$B43,G$11)</f>
        <v>0</v>
      </c>
      <c r="H43" cm="1">
        <f t="array" ref="H43">INDEX(auto_tblSeries,$B43,H$11)</f>
        <v>1</v>
      </c>
      <c r="I43">
        <f t="shared" si="0"/>
        <v>1911</v>
      </c>
      <c r="K43" cm="1">
        <f t="array" ref="K43">INDEX(auto_DataFlat_Score,$I43,K$10)</f>
        <v>60.4</v>
      </c>
      <c r="L43" t="str" cm="1">
        <f t="array" ref="L43">INDEX(auto_DataFlat_Rank,$I43,L$10)</f>
        <v>n/a</v>
      </c>
      <c r="M43" cm="1">
        <f t="array" ref="M43">INDEX(auto_DataFlat_DataValue,$I43,M$10)</f>
        <v>0</v>
      </c>
      <c r="N43" cm="1">
        <f t="array" ref="N43">INDEX(auto_DataFlat_Classification,$I43,M$10)</f>
        <v>4</v>
      </c>
      <c r="O43" cm="1">
        <f t="array" ref="O43">INDEX(auto_DataFlat_IsEstimate,$I43,O$10)</f>
        <v>0</v>
      </c>
      <c r="P43" t="str" cm="1">
        <f t="array" ref="P43">IF(INDEX(auto_DataFlat_DataYear,$I43,P$10)=0,"n/a",INDEX(auto_DataFlat_DataYear,$I43,P$10))</f>
        <v>n/a</v>
      </c>
      <c r="R43">
        <f t="shared" si="1"/>
        <v>1911</v>
      </c>
      <c r="S43" cm="1">
        <f t="array" ref="S43">INDEX(auto_DataFlat_Score,$R43,S$10)</f>
        <v>60.4</v>
      </c>
      <c r="U43">
        <f t="shared" si="12"/>
        <v>0</v>
      </c>
      <c r="V43">
        <f t="shared" si="13"/>
        <v>2</v>
      </c>
      <c r="W43">
        <f t="shared" si="14"/>
        <v>2</v>
      </c>
      <c r="X43" t="e">
        <f t="shared" ca="1" si="59"/>
        <v>#N/A</v>
      </c>
      <c r="Y43" t="e">
        <f t="shared" ca="1" si="59"/>
        <v>#N/A</v>
      </c>
      <c r="Z43" t="e">
        <f t="shared" ca="1" si="59"/>
        <v>#N/A</v>
      </c>
      <c r="AB43">
        <f t="shared" ca="1" si="16"/>
        <v>0</v>
      </c>
      <c r="AC43">
        <f t="shared" ca="1" si="16"/>
        <v>0</v>
      </c>
      <c r="AD43">
        <f t="shared" ca="1" si="16"/>
        <v>0</v>
      </c>
      <c r="AF43">
        <f t="shared" si="17"/>
        <v>-1</v>
      </c>
      <c r="AG43" t="e">
        <f t="shared" ca="1" si="60"/>
        <v>#N/A</v>
      </c>
      <c r="AH43" t="e">
        <f t="shared" ca="1" si="60"/>
        <v>#N/A</v>
      </c>
      <c r="AI43" t="e">
        <f t="shared" ca="1" si="60"/>
        <v>#N/A</v>
      </c>
      <c r="AJ43" t="e">
        <f t="shared" ca="1" si="60"/>
        <v>#N/A</v>
      </c>
      <c r="AK43" t="e">
        <f t="shared" ca="1" si="60"/>
        <v>#N/A</v>
      </c>
      <c r="AL43" t="e">
        <f t="shared" ca="1" si="60"/>
        <v>#N/A</v>
      </c>
      <c r="AM43" t="e">
        <f t="shared" ca="1" si="60"/>
        <v>#N/A</v>
      </c>
      <c r="AN43">
        <f t="shared" ca="1" si="20"/>
        <v>0</v>
      </c>
      <c r="AO43">
        <f t="shared" ca="1" si="21"/>
        <v>0</v>
      </c>
      <c r="AP43">
        <f t="shared" ca="1" si="22"/>
        <v>0</v>
      </c>
      <c r="AQ43">
        <f t="shared" ca="1" si="23"/>
        <v>0</v>
      </c>
      <c r="AR43">
        <f t="shared" ca="1" si="24"/>
        <v>0</v>
      </c>
      <c r="AS43">
        <f t="shared" ca="1" si="25"/>
        <v>0</v>
      </c>
      <c r="AT43">
        <f t="shared" ca="1" si="26"/>
        <v>0</v>
      </c>
      <c r="AV43">
        <f t="shared" si="6"/>
        <v>1861</v>
      </c>
      <c r="AW43" cm="1">
        <f t="array" ref="AW43">INDEX(auto_DataFlat_Score,$AV43,1)</f>
        <v>42.6</v>
      </c>
      <c r="AX43" cm="1">
        <f t="array" ref="AX43">INDEX(auto_DataFlat_DataValue,$AV43,1)</f>
        <v>0</v>
      </c>
      <c r="BA43">
        <f t="shared" si="27"/>
        <v>17.799999999999997</v>
      </c>
      <c r="BB43">
        <f t="shared" si="28"/>
        <v>1</v>
      </c>
      <c r="BC43">
        <f t="shared" si="29"/>
        <v>-1</v>
      </c>
      <c r="BD43" t="e">
        <f t="shared" ca="1" si="58"/>
        <v>#N/A</v>
      </c>
      <c r="BE43" t="e">
        <f t="shared" ca="1" si="58"/>
        <v>#N/A</v>
      </c>
      <c r="BF43" t="e">
        <f t="shared" ca="1" si="58"/>
        <v>#N/A</v>
      </c>
      <c r="BH43">
        <f t="shared" ca="1" si="30"/>
        <v>0</v>
      </c>
      <c r="BI43">
        <f t="shared" ca="1" si="30"/>
        <v>0</v>
      </c>
      <c r="BJ43">
        <f t="shared" ca="1" si="30"/>
        <v>0</v>
      </c>
      <c r="BM43">
        <f t="shared" si="31"/>
        <v>-1</v>
      </c>
      <c r="BN43" t="e">
        <f t="shared" ca="1" si="32"/>
        <v>#N/A</v>
      </c>
      <c r="BO43" t="e">
        <f t="shared" ca="1" si="33"/>
        <v>#N/A</v>
      </c>
      <c r="BP43" t="e">
        <f t="shared" ca="1" si="34"/>
        <v>#N/A</v>
      </c>
      <c r="BQ43" t="e">
        <f t="shared" ca="1" si="35"/>
        <v>#N/A</v>
      </c>
      <c r="BR43" t="e">
        <f t="shared" ca="1" si="36"/>
        <v>#N/A</v>
      </c>
      <c r="BS43" t="e">
        <f t="shared" ca="1" si="37"/>
        <v>#N/A</v>
      </c>
      <c r="BT43" t="e">
        <f t="shared" ca="1" si="38"/>
        <v>#N/A</v>
      </c>
      <c r="BU43">
        <f t="shared" ca="1" si="39"/>
        <v>0</v>
      </c>
      <c r="BV43">
        <f t="shared" ca="1" si="40"/>
        <v>0</v>
      </c>
      <c r="BW43">
        <f t="shared" ca="1" si="41"/>
        <v>0</v>
      </c>
      <c r="BX43">
        <f t="shared" ca="1" si="42"/>
        <v>0</v>
      </c>
      <c r="BY43">
        <f t="shared" ca="1" si="43"/>
        <v>0</v>
      </c>
      <c r="BZ43">
        <f t="shared" ca="1" si="10"/>
        <v>0</v>
      </c>
      <c r="CA43">
        <f t="shared" ca="1" si="11"/>
        <v>0</v>
      </c>
    </row>
    <row r="44" spans="1:79" x14ac:dyDescent="0.4">
      <c r="A44" t="str">
        <f t="shared" si="61"/>
        <v/>
      </c>
      <c r="B44">
        <v>33</v>
      </c>
      <c r="C44" t="str" cm="1">
        <f t="array" ref="C44">INDEX(auto_Series_Code,B44)</f>
        <v>SUBINDI_015</v>
      </c>
      <c r="D44" cm="1">
        <f t="array" ref="D44">INDEX(auto_tblSeries,$B44,D$11)</f>
        <v>3</v>
      </c>
      <c r="E44" cm="1">
        <f t="array" ref="E44">INDEX(auto_tblSeries,$B44,E$11)</f>
        <v>0</v>
      </c>
      <c r="F44" cm="1">
        <f t="array" ref="F44">INDEX(auto_tblSeries,$B44,F$11)</f>
        <v>1</v>
      </c>
      <c r="G44" cm="1">
        <f t="array" ref="G44">INDEX(auto_tblSeries,$B44,G$11)</f>
        <v>0</v>
      </c>
      <c r="H44" cm="1">
        <f t="array" ref="H44">INDEX(auto_tblSeries,$B44,H$11)</f>
        <v>2</v>
      </c>
      <c r="I44">
        <f t="shared" si="0"/>
        <v>1971</v>
      </c>
      <c r="K44" cm="1">
        <f t="array" ref="K44">INDEX(auto_DataFlat_Score,$I44,K$10)</f>
        <v>68.7</v>
      </c>
      <c r="L44" t="str" cm="1">
        <f t="array" ref="L44">INDEX(auto_DataFlat_Rank,$I44,L$10)</f>
        <v>n/a</v>
      </c>
      <c r="M44" cm="1">
        <f t="array" ref="M44">INDEX(auto_DataFlat_DataValue,$I44,M$10)</f>
        <v>0</v>
      </c>
      <c r="N44" cm="1">
        <f t="array" ref="N44">INDEX(auto_DataFlat_Classification,$I44,M$10)</f>
        <v>4</v>
      </c>
      <c r="O44" cm="1">
        <f t="array" ref="O44">INDEX(auto_DataFlat_IsEstimate,$I44,O$10)</f>
        <v>0</v>
      </c>
      <c r="P44" t="str" cm="1">
        <f t="array" ref="P44">IF(INDEX(auto_DataFlat_DataYear,$I44,P$10)=0,"n/a",INDEX(auto_DataFlat_DataYear,$I44,P$10))</f>
        <v>n/a</v>
      </c>
      <c r="R44">
        <f t="shared" si="1"/>
        <v>1971</v>
      </c>
      <c r="S44" cm="1">
        <f t="array" ref="S44">INDEX(auto_DataFlat_Score,$R44,S$10)</f>
        <v>68.7</v>
      </c>
      <c r="U44">
        <f t="shared" si="12"/>
        <v>0</v>
      </c>
      <c r="V44">
        <f t="shared" si="13"/>
        <v>2</v>
      </c>
      <c r="W44">
        <f t="shared" si="14"/>
        <v>-1</v>
      </c>
      <c r="X44" t="e">
        <f t="shared" ca="1" si="59"/>
        <v>#N/A</v>
      </c>
      <c r="Y44" t="e">
        <f t="shared" ca="1" si="59"/>
        <v>#N/A</v>
      </c>
      <c r="Z44" t="e">
        <f t="shared" ca="1" si="59"/>
        <v>#N/A</v>
      </c>
      <c r="AB44">
        <f t="shared" ca="1" si="16"/>
        <v>0</v>
      </c>
      <c r="AC44">
        <f t="shared" ca="1" si="16"/>
        <v>0</v>
      </c>
      <c r="AD44">
        <f t="shared" ca="1" si="16"/>
        <v>0</v>
      </c>
      <c r="AF44">
        <f t="shared" si="17"/>
        <v>4</v>
      </c>
      <c r="AG44" t="e">
        <f t="shared" ca="1" si="60"/>
        <v>#N/A</v>
      </c>
      <c r="AH44" t="e">
        <f t="shared" ca="1" si="60"/>
        <v>#N/A</v>
      </c>
      <c r="AI44" t="e">
        <f t="shared" ca="1" si="60"/>
        <v>#N/A</v>
      </c>
      <c r="AJ44" t="e">
        <f t="shared" ca="1" si="60"/>
        <v>#N/A</v>
      </c>
      <c r="AK44" t="e">
        <f t="shared" ca="1" si="60"/>
        <v>#N/A</v>
      </c>
      <c r="AL44" t="e">
        <f t="shared" ca="1" si="60"/>
        <v>#N/A</v>
      </c>
      <c r="AM44" t="e">
        <f t="shared" ca="1" si="60"/>
        <v>#N/A</v>
      </c>
      <c r="AN44">
        <f t="shared" ca="1" si="20"/>
        <v>0</v>
      </c>
      <c r="AO44">
        <f t="shared" ca="1" si="21"/>
        <v>0</v>
      </c>
      <c r="AP44">
        <f t="shared" ca="1" si="22"/>
        <v>0</v>
      </c>
      <c r="AQ44">
        <f t="shared" ca="1" si="23"/>
        <v>0</v>
      </c>
      <c r="AR44">
        <f t="shared" ca="1" si="24"/>
        <v>0</v>
      </c>
      <c r="AS44">
        <f t="shared" ca="1" si="25"/>
        <v>0</v>
      </c>
      <c r="AT44">
        <f t="shared" ca="1" si="26"/>
        <v>0</v>
      </c>
      <c r="AV44">
        <f t="shared" si="6"/>
        <v>1921</v>
      </c>
      <c r="AW44" cm="1">
        <f t="array" ref="AW44">INDEX(auto_DataFlat_Score,$AV44,1)</f>
        <v>85.1</v>
      </c>
      <c r="AX44" cm="1">
        <f t="array" ref="AX44">INDEX(auto_DataFlat_DataValue,$AV44,1)</f>
        <v>14.86</v>
      </c>
      <c r="BA44">
        <f t="shared" si="27"/>
        <v>-16.399999999999991</v>
      </c>
      <c r="BB44">
        <f t="shared" si="28"/>
        <v>3</v>
      </c>
      <c r="BC44">
        <f t="shared" si="29"/>
        <v>3</v>
      </c>
      <c r="BD44" t="e">
        <f t="shared" ref="BD44:BF59" ca="1" si="62">BD43+MATCH(BD$10,OFFSET($BC$12,BD43,0,200,1),0)</f>
        <v>#N/A</v>
      </c>
      <c r="BE44" t="e">
        <f t="shared" ca="1" si="62"/>
        <v>#N/A</v>
      </c>
      <c r="BF44" t="e">
        <f t="shared" ca="1" si="62"/>
        <v>#N/A</v>
      </c>
      <c r="BH44">
        <f t="shared" ca="1" si="30"/>
        <v>0</v>
      </c>
      <c r="BI44">
        <f t="shared" ca="1" si="30"/>
        <v>0</v>
      </c>
      <c r="BJ44">
        <f t="shared" ca="1" si="30"/>
        <v>0</v>
      </c>
      <c r="BM44">
        <f t="shared" si="31"/>
        <v>-1</v>
      </c>
      <c r="BN44" t="e">
        <f t="shared" ca="1" si="32"/>
        <v>#N/A</v>
      </c>
      <c r="BO44" t="e">
        <f t="shared" ca="1" si="33"/>
        <v>#N/A</v>
      </c>
      <c r="BP44" t="e">
        <f t="shared" ca="1" si="34"/>
        <v>#N/A</v>
      </c>
      <c r="BQ44" t="e">
        <f t="shared" ca="1" si="35"/>
        <v>#N/A</v>
      </c>
      <c r="BR44" t="e">
        <f t="shared" ca="1" si="36"/>
        <v>#N/A</v>
      </c>
      <c r="BS44" t="e">
        <f t="shared" ca="1" si="37"/>
        <v>#N/A</v>
      </c>
      <c r="BT44" t="e">
        <f t="shared" ca="1" si="38"/>
        <v>#N/A</v>
      </c>
      <c r="BU44">
        <f t="shared" ca="1" si="39"/>
        <v>0</v>
      </c>
      <c r="BV44">
        <f t="shared" ca="1" si="40"/>
        <v>0</v>
      </c>
      <c r="BW44">
        <f t="shared" ca="1" si="41"/>
        <v>0</v>
      </c>
      <c r="BX44">
        <f t="shared" ca="1" si="42"/>
        <v>0</v>
      </c>
      <c r="BY44">
        <f t="shared" ca="1" si="43"/>
        <v>0</v>
      </c>
      <c r="BZ44">
        <f t="shared" ca="1" si="10"/>
        <v>0</v>
      </c>
      <c r="CA44">
        <f t="shared" ca="1" si="11"/>
        <v>0</v>
      </c>
    </row>
    <row r="45" spans="1:79" x14ac:dyDescent="0.4">
      <c r="A45" t="str">
        <f t="shared" si="61"/>
        <v/>
      </c>
      <c r="B45">
        <v>34</v>
      </c>
      <c r="C45" t="str" cm="1">
        <f t="array" ref="C45">INDEX(auto_Series_Code,B45)</f>
        <v>SUBINDI_016</v>
      </c>
      <c r="D45" cm="1">
        <f t="array" ref="D45">INDEX(auto_tblSeries,$B45,D$11)</f>
        <v>3</v>
      </c>
      <c r="E45" cm="1">
        <f t="array" ref="E45">INDEX(auto_tblSeries,$B45,E$11)</f>
        <v>0</v>
      </c>
      <c r="F45" cm="1">
        <f t="array" ref="F45">INDEX(auto_tblSeries,$B45,F$11)</f>
        <v>1</v>
      </c>
      <c r="G45" cm="1">
        <f t="array" ref="G45">INDEX(auto_tblSeries,$B45,G$11)</f>
        <v>0</v>
      </c>
      <c r="H45" cm="1">
        <f t="array" ref="H45">INDEX(auto_tblSeries,$B45,H$11)</f>
        <v>0</v>
      </c>
      <c r="I45">
        <f t="shared" si="0"/>
        <v>2031</v>
      </c>
      <c r="K45" cm="1">
        <f t="array" ref="K45">INDEX(auto_DataFlat_Score,$I45,K$10)</f>
        <v>52</v>
      </c>
      <c r="L45" t="str" cm="1">
        <f t="array" ref="L45">INDEX(auto_DataFlat_Rank,$I45,L$10)</f>
        <v>n/a</v>
      </c>
      <c r="M45" cm="1">
        <f t="array" ref="M45">INDEX(auto_DataFlat_DataValue,$I45,M$10)</f>
        <v>0</v>
      </c>
      <c r="N45" cm="1">
        <f t="array" ref="N45">INDEX(auto_DataFlat_Classification,$I45,M$10)</f>
        <v>3</v>
      </c>
      <c r="O45" cm="1">
        <f t="array" ref="O45">INDEX(auto_DataFlat_IsEstimate,$I45,O$10)</f>
        <v>0</v>
      </c>
      <c r="P45" t="str" cm="1">
        <f t="array" ref="P45">IF(INDEX(auto_DataFlat_DataYear,$I45,P$10)=0,"n/a",INDEX(auto_DataFlat_DataYear,$I45,P$10))</f>
        <v>n/a</v>
      </c>
      <c r="R45">
        <f t="shared" si="1"/>
        <v>2031</v>
      </c>
      <c r="S45" cm="1">
        <f t="array" ref="S45">INDEX(auto_DataFlat_Score,$R45,S$10)</f>
        <v>52</v>
      </c>
      <c r="U45">
        <f t="shared" si="12"/>
        <v>0</v>
      </c>
      <c r="V45">
        <f t="shared" si="13"/>
        <v>2</v>
      </c>
      <c r="W45">
        <f t="shared" si="14"/>
        <v>-1</v>
      </c>
      <c r="X45" t="e">
        <f t="shared" ref="X45:Z60" ca="1" si="63">X44+MATCH(X$10,OFFSET($W$12,X44,0,300,1),0)</f>
        <v>#N/A</v>
      </c>
      <c r="Y45" t="e">
        <f t="shared" ca="1" si="63"/>
        <v>#N/A</v>
      </c>
      <c r="Z45" t="e">
        <f t="shared" ca="1" si="63"/>
        <v>#N/A</v>
      </c>
      <c r="AB45">
        <f t="shared" ca="1" si="16"/>
        <v>0</v>
      </c>
      <c r="AC45">
        <f t="shared" ca="1" si="16"/>
        <v>0</v>
      </c>
      <c r="AD45">
        <f t="shared" ca="1" si="16"/>
        <v>0</v>
      </c>
      <c r="AF45">
        <f t="shared" si="17"/>
        <v>3</v>
      </c>
      <c r="AG45" t="e">
        <f t="shared" ref="AG45:AM60" ca="1" si="64">IFERROR(AG44+MATCH(AG$10,OFFSET($AF$12,AG44,0,300-AG44,1),0),NA())</f>
        <v>#N/A</v>
      </c>
      <c r="AH45" t="e">
        <f t="shared" ca="1" si="64"/>
        <v>#N/A</v>
      </c>
      <c r="AI45" t="e">
        <f t="shared" ca="1" si="64"/>
        <v>#N/A</v>
      </c>
      <c r="AJ45" t="e">
        <f t="shared" ca="1" si="64"/>
        <v>#N/A</v>
      </c>
      <c r="AK45" t="e">
        <f t="shared" ca="1" si="64"/>
        <v>#N/A</v>
      </c>
      <c r="AL45" t="e">
        <f t="shared" ca="1" si="64"/>
        <v>#N/A</v>
      </c>
      <c r="AM45" t="e">
        <f t="shared" ca="1" si="64"/>
        <v>#N/A</v>
      </c>
      <c r="AN45">
        <f t="shared" ca="1" si="20"/>
        <v>0</v>
      </c>
      <c r="AO45">
        <f t="shared" ca="1" si="21"/>
        <v>0</v>
      </c>
      <c r="AP45">
        <f t="shared" ca="1" si="22"/>
        <v>0</v>
      </c>
      <c r="AQ45">
        <f t="shared" ca="1" si="23"/>
        <v>0</v>
      </c>
      <c r="AR45">
        <f t="shared" ca="1" si="24"/>
        <v>0</v>
      </c>
      <c r="AS45">
        <f t="shared" ca="1" si="25"/>
        <v>0</v>
      </c>
      <c r="AT45">
        <f t="shared" ca="1" si="26"/>
        <v>0</v>
      </c>
      <c r="AV45">
        <f t="shared" si="6"/>
        <v>1981</v>
      </c>
      <c r="AW45" cm="1">
        <f t="array" ref="AW45">INDEX(auto_DataFlat_Score,$AV45,1)</f>
        <v>0</v>
      </c>
      <c r="AX45" cm="1">
        <f t="array" ref="AX45">INDEX(auto_DataFlat_DataValue,$AV45,1)</f>
        <v>0</v>
      </c>
      <c r="BA45">
        <f t="shared" si="27"/>
        <v>52</v>
      </c>
      <c r="BB45">
        <f t="shared" si="28"/>
        <v>1</v>
      </c>
      <c r="BC45">
        <f t="shared" si="29"/>
        <v>1</v>
      </c>
      <c r="BD45" t="e">
        <f t="shared" ca="1" si="62"/>
        <v>#N/A</v>
      </c>
      <c r="BE45" t="e">
        <f t="shared" ca="1" si="62"/>
        <v>#N/A</v>
      </c>
      <c r="BF45" t="e">
        <f t="shared" ca="1" si="62"/>
        <v>#N/A</v>
      </c>
      <c r="BH45">
        <f t="shared" ca="1" si="30"/>
        <v>0</v>
      </c>
      <c r="BI45">
        <f t="shared" ca="1" si="30"/>
        <v>0</v>
      </c>
      <c r="BJ45">
        <f t="shared" ca="1" si="30"/>
        <v>0</v>
      </c>
      <c r="BM45">
        <f t="shared" si="31"/>
        <v>-1</v>
      </c>
      <c r="BN45" t="e">
        <f t="shared" ca="1" si="32"/>
        <v>#N/A</v>
      </c>
      <c r="BO45" t="e">
        <f t="shared" ca="1" si="33"/>
        <v>#N/A</v>
      </c>
      <c r="BP45" t="e">
        <f t="shared" ca="1" si="34"/>
        <v>#N/A</v>
      </c>
      <c r="BQ45" t="e">
        <f t="shared" ca="1" si="35"/>
        <v>#N/A</v>
      </c>
      <c r="BR45" t="e">
        <f t="shared" ca="1" si="36"/>
        <v>#N/A</v>
      </c>
      <c r="BS45" t="e">
        <f t="shared" ca="1" si="37"/>
        <v>#N/A</v>
      </c>
      <c r="BT45" t="e">
        <f t="shared" ca="1" si="38"/>
        <v>#N/A</v>
      </c>
      <c r="BU45">
        <f t="shared" ca="1" si="39"/>
        <v>0</v>
      </c>
      <c r="BV45">
        <f t="shared" ca="1" si="40"/>
        <v>0</v>
      </c>
      <c r="BW45">
        <f t="shared" ca="1" si="41"/>
        <v>0</v>
      </c>
      <c r="BX45">
        <f t="shared" ca="1" si="42"/>
        <v>0</v>
      </c>
      <c r="BY45">
        <f t="shared" ca="1" si="43"/>
        <v>0</v>
      </c>
      <c r="BZ45">
        <f t="shared" ca="1" si="10"/>
        <v>0</v>
      </c>
      <c r="CA45">
        <f t="shared" ca="1" si="11"/>
        <v>0</v>
      </c>
    </row>
    <row r="46" spans="1:79" x14ac:dyDescent="0.4">
      <c r="A46" t="str">
        <f t="shared" si="61"/>
        <v/>
      </c>
      <c r="B46">
        <v>35</v>
      </c>
      <c r="C46" t="str" cm="1">
        <f t="array" ref="C46">INDEX(auto_Series_Code,B46)</f>
        <v>INDI_015</v>
      </c>
      <c r="D46" cm="1">
        <f t="array" ref="D46">INDEX(auto_tblSeries,$B46,D$11)</f>
        <v>2</v>
      </c>
      <c r="E46" cm="1">
        <f t="array" ref="E46">INDEX(auto_tblSeries,$B46,E$11)</f>
        <v>0</v>
      </c>
      <c r="F46" cm="1">
        <f t="array" ref="F46">INDEX(auto_tblSeries,$B46,F$11)</f>
        <v>0</v>
      </c>
      <c r="G46" cm="1">
        <f t="array" ref="G46">INDEX(auto_tblSeries,$B46,G$11)</f>
        <v>0</v>
      </c>
      <c r="H46" cm="1">
        <f t="array" ref="H46">INDEX(auto_tblSeries,$B46,H$11)</f>
        <v>1</v>
      </c>
      <c r="I46">
        <f t="shared" si="0"/>
        <v>2091</v>
      </c>
      <c r="K46" cm="1">
        <f t="array" ref="K46">INDEX(auto_DataFlat_Score,$I46,K$10)</f>
        <v>63</v>
      </c>
      <c r="L46" t="str" cm="1">
        <f t="array" ref="L46">INDEX(auto_DataFlat_Rank,$I46,L$10)</f>
        <v>n/a</v>
      </c>
      <c r="M46" cm="1">
        <f t="array" ref="M46">INDEX(auto_DataFlat_DataValue,$I46,M$10)</f>
        <v>0</v>
      </c>
      <c r="N46" cm="1">
        <f t="array" ref="N46">INDEX(auto_DataFlat_Classification,$I46,M$10)</f>
        <v>4</v>
      </c>
      <c r="O46" cm="1">
        <f t="array" ref="O46">INDEX(auto_DataFlat_IsEstimate,$I46,O$10)</f>
        <v>0</v>
      </c>
      <c r="P46" t="str" cm="1">
        <f t="array" ref="P46">IF(INDEX(auto_DataFlat_DataYear,$I46,P$10)=0,"n/a",INDEX(auto_DataFlat_DataYear,$I46,P$10))</f>
        <v>n/a</v>
      </c>
      <c r="R46">
        <f t="shared" si="1"/>
        <v>2091</v>
      </c>
      <c r="S46" cm="1">
        <f t="array" ref="S46">INDEX(auto_DataFlat_Score,$R46,S$10)</f>
        <v>63</v>
      </c>
      <c r="U46">
        <f t="shared" si="12"/>
        <v>0</v>
      </c>
      <c r="V46">
        <f t="shared" si="13"/>
        <v>2</v>
      </c>
      <c r="W46">
        <f t="shared" si="14"/>
        <v>2</v>
      </c>
      <c r="X46" t="e">
        <f t="shared" ca="1" si="63"/>
        <v>#N/A</v>
      </c>
      <c r="Y46" t="e">
        <f t="shared" ca="1" si="63"/>
        <v>#N/A</v>
      </c>
      <c r="Z46" t="e">
        <f t="shared" ca="1" si="63"/>
        <v>#N/A</v>
      </c>
      <c r="AB46">
        <f t="shared" ca="1" si="16"/>
        <v>0</v>
      </c>
      <c r="AC46">
        <f t="shared" ca="1" si="16"/>
        <v>0</v>
      </c>
      <c r="AD46">
        <f t="shared" ca="1" si="16"/>
        <v>0</v>
      </c>
      <c r="AF46">
        <f t="shared" si="17"/>
        <v>-1</v>
      </c>
      <c r="AG46" t="e">
        <f t="shared" ca="1" si="64"/>
        <v>#N/A</v>
      </c>
      <c r="AH46" t="e">
        <f t="shared" ca="1" si="64"/>
        <v>#N/A</v>
      </c>
      <c r="AI46" t="e">
        <f t="shared" ca="1" si="64"/>
        <v>#N/A</v>
      </c>
      <c r="AJ46" t="e">
        <f t="shared" ca="1" si="64"/>
        <v>#N/A</v>
      </c>
      <c r="AK46" t="e">
        <f t="shared" ca="1" si="64"/>
        <v>#N/A</v>
      </c>
      <c r="AL46" t="e">
        <f t="shared" ca="1" si="64"/>
        <v>#N/A</v>
      </c>
      <c r="AM46" t="e">
        <f t="shared" ca="1" si="64"/>
        <v>#N/A</v>
      </c>
      <c r="AN46">
        <f t="shared" ca="1" si="20"/>
        <v>0</v>
      </c>
      <c r="AO46">
        <f t="shared" ca="1" si="21"/>
        <v>0</v>
      </c>
      <c r="AP46">
        <f t="shared" ca="1" si="22"/>
        <v>0</v>
      </c>
      <c r="AQ46">
        <f t="shared" ca="1" si="23"/>
        <v>0</v>
      </c>
      <c r="AR46">
        <f t="shared" ca="1" si="24"/>
        <v>0</v>
      </c>
      <c r="AS46">
        <f t="shared" ca="1" si="25"/>
        <v>0</v>
      </c>
      <c r="AT46">
        <f t="shared" ca="1" si="26"/>
        <v>0</v>
      </c>
      <c r="AV46">
        <f t="shared" si="6"/>
        <v>2041</v>
      </c>
      <c r="AW46" cm="1">
        <f t="array" ref="AW46">INDEX(auto_DataFlat_Score,$AV46,1)</f>
        <v>61.3</v>
      </c>
      <c r="AX46" cm="1">
        <f t="array" ref="AX46">INDEX(auto_DataFlat_DataValue,$AV46,1)</f>
        <v>0</v>
      </c>
      <c r="BA46">
        <f t="shared" si="27"/>
        <v>1.7000000000000028</v>
      </c>
      <c r="BB46">
        <f t="shared" si="28"/>
        <v>1</v>
      </c>
      <c r="BC46">
        <f t="shared" si="29"/>
        <v>-1</v>
      </c>
      <c r="BD46" t="e">
        <f t="shared" ca="1" si="62"/>
        <v>#N/A</v>
      </c>
      <c r="BE46" t="e">
        <f t="shared" ca="1" si="62"/>
        <v>#N/A</v>
      </c>
      <c r="BF46" t="e">
        <f t="shared" ca="1" si="62"/>
        <v>#N/A</v>
      </c>
      <c r="BH46">
        <f t="shared" ca="1" si="30"/>
        <v>0</v>
      </c>
      <c r="BI46">
        <f t="shared" ca="1" si="30"/>
        <v>0</v>
      </c>
      <c r="BJ46">
        <f t="shared" ca="1" si="30"/>
        <v>0</v>
      </c>
      <c r="BM46">
        <f t="shared" si="31"/>
        <v>-1</v>
      </c>
      <c r="BN46" t="e">
        <f t="shared" ca="1" si="32"/>
        <v>#N/A</v>
      </c>
      <c r="BO46" t="e">
        <f t="shared" ca="1" si="33"/>
        <v>#N/A</v>
      </c>
      <c r="BP46" t="e">
        <f t="shared" ca="1" si="34"/>
        <v>#N/A</v>
      </c>
      <c r="BQ46" t="e">
        <f t="shared" ca="1" si="35"/>
        <v>#N/A</v>
      </c>
      <c r="BR46" t="e">
        <f t="shared" ca="1" si="36"/>
        <v>#N/A</v>
      </c>
      <c r="BS46" t="e">
        <f t="shared" ca="1" si="37"/>
        <v>#N/A</v>
      </c>
      <c r="BT46" t="e">
        <f t="shared" ca="1" si="38"/>
        <v>#N/A</v>
      </c>
      <c r="BU46">
        <f t="shared" ca="1" si="39"/>
        <v>0</v>
      </c>
      <c r="BV46">
        <f t="shared" ca="1" si="40"/>
        <v>0</v>
      </c>
      <c r="BW46">
        <f t="shared" ca="1" si="41"/>
        <v>0</v>
      </c>
      <c r="BX46">
        <f t="shared" ca="1" si="42"/>
        <v>0</v>
      </c>
      <c r="BY46">
        <f t="shared" ca="1" si="43"/>
        <v>0</v>
      </c>
      <c r="BZ46">
        <f t="shared" ca="1" si="10"/>
        <v>0</v>
      </c>
      <c r="CA46">
        <f t="shared" ca="1" si="11"/>
        <v>0</v>
      </c>
    </row>
    <row r="47" spans="1:79" x14ac:dyDescent="0.4">
      <c r="A47" t="str">
        <f t="shared" si="61"/>
        <v/>
      </c>
      <c r="B47">
        <v>36</v>
      </c>
      <c r="C47" t="str" cm="1">
        <f t="array" ref="C47">INDEX(auto_Series_Code,B47)</f>
        <v>SUBINDI_017</v>
      </c>
      <c r="D47" cm="1">
        <f t="array" ref="D47">INDEX(auto_tblSeries,$B47,D$11)</f>
        <v>3</v>
      </c>
      <c r="E47" cm="1">
        <f t="array" ref="E47">INDEX(auto_tblSeries,$B47,E$11)</f>
        <v>0</v>
      </c>
      <c r="F47" cm="1">
        <f t="array" ref="F47">INDEX(auto_tblSeries,$B47,F$11)</f>
        <v>1</v>
      </c>
      <c r="G47" cm="1">
        <f t="array" ref="G47">INDEX(auto_tblSeries,$B47,G$11)</f>
        <v>0</v>
      </c>
      <c r="H47" cm="1">
        <f t="array" ref="H47">INDEX(auto_tblSeries,$B47,H$11)</f>
        <v>1</v>
      </c>
      <c r="I47">
        <f t="shared" si="0"/>
        <v>2151</v>
      </c>
      <c r="K47" cm="1">
        <f t="array" ref="K47">INDEX(auto_DataFlat_Score,$I47,K$10)</f>
        <v>66.900000000000006</v>
      </c>
      <c r="L47" t="str" cm="1">
        <f t="array" ref="L47">INDEX(auto_DataFlat_Rank,$I47,L$10)</f>
        <v>n/a</v>
      </c>
      <c r="M47" cm="1">
        <f t="array" ref="M47">INDEX(auto_DataFlat_DataValue,$I47,M$10)</f>
        <v>0</v>
      </c>
      <c r="N47" cm="1">
        <f t="array" ref="N47">INDEX(auto_DataFlat_Classification,$I47,M$10)</f>
        <v>4</v>
      </c>
      <c r="O47" cm="1">
        <f t="array" ref="O47">INDEX(auto_DataFlat_IsEstimate,$I47,O$10)</f>
        <v>0</v>
      </c>
      <c r="P47" t="str" cm="1">
        <f t="array" ref="P47">IF(INDEX(auto_DataFlat_DataYear,$I47,P$10)=0,"n/a",INDEX(auto_DataFlat_DataYear,$I47,P$10))</f>
        <v>n/a</v>
      </c>
      <c r="R47">
        <f t="shared" si="1"/>
        <v>2151</v>
      </c>
      <c r="S47" cm="1">
        <f t="array" ref="S47">INDEX(auto_DataFlat_Score,$R47,S$10)</f>
        <v>66.900000000000006</v>
      </c>
      <c r="U47">
        <f t="shared" si="12"/>
        <v>0</v>
      </c>
      <c r="V47">
        <f t="shared" si="13"/>
        <v>2</v>
      </c>
      <c r="W47">
        <f t="shared" si="14"/>
        <v>-1</v>
      </c>
      <c r="X47" t="e">
        <f t="shared" ca="1" si="63"/>
        <v>#N/A</v>
      </c>
      <c r="Y47" t="e">
        <f t="shared" ca="1" si="63"/>
        <v>#N/A</v>
      </c>
      <c r="Z47" t="e">
        <f t="shared" ca="1" si="63"/>
        <v>#N/A</v>
      </c>
      <c r="AB47">
        <f t="shared" ca="1" si="16"/>
        <v>0</v>
      </c>
      <c r="AC47">
        <f t="shared" ca="1" si="16"/>
        <v>0</v>
      </c>
      <c r="AD47">
        <f t="shared" ca="1" si="16"/>
        <v>0</v>
      </c>
      <c r="AF47">
        <f t="shared" si="17"/>
        <v>4</v>
      </c>
      <c r="AG47" t="e">
        <f t="shared" ca="1" si="64"/>
        <v>#N/A</v>
      </c>
      <c r="AH47" t="e">
        <f t="shared" ca="1" si="64"/>
        <v>#N/A</v>
      </c>
      <c r="AI47" t="e">
        <f t="shared" ca="1" si="64"/>
        <v>#N/A</v>
      </c>
      <c r="AJ47" t="e">
        <f t="shared" ca="1" si="64"/>
        <v>#N/A</v>
      </c>
      <c r="AK47" t="e">
        <f t="shared" ca="1" si="64"/>
        <v>#N/A</v>
      </c>
      <c r="AL47" t="e">
        <f t="shared" ca="1" si="64"/>
        <v>#N/A</v>
      </c>
      <c r="AM47" t="e">
        <f t="shared" ca="1" si="64"/>
        <v>#N/A</v>
      </c>
      <c r="AN47">
        <f t="shared" ca="1" si="20"/>
        <v>0</v>
      </c>
      <c r="AO47">
        <f t="shared" ca="1" si="21"/>
        <v>0</v>
      </c>
      <c r="AP47">
        <f t="shared" ca="1" si="22"/>
        <v>0</v>
      </c>
      <c r="AQ47">
        <f t="shared" ca="1" si="23"/>
        <v>0</v>
      </c>
      <c r="AR47">
        <f t="shared" ca="1" si="24"/>
        <v>0</v>
      </c>
      <c r="AS47">
        <f t="shared" ca="1" si="25"/>
        <v>0</v>
      </c>
      <c r="AT47">
        <f t="shared" ca="1" si="26"/>
        <v>0</v>
      </c>
      <c r="AV47">
        <f t="shared" si="6"/>
        <v>2101</v>
      </c>
      <c r="AW47" cm="1">
        <f t="array" ref="AW47">INDEX(auto_DataFlat_Score,$AV47,1)</f>
        <v>72.599999999999994</v>
      </c>
      <c r="AX47" cm="1">
        <f t="array" ref="AX47">INDEX(auto_DataFlat_DataValue,$AV47,1)</f>
        <v>27.4</v>
      </c>
      <c r="BA47">
        <f t="shared" si="27"/>
        <v>-5.6999999999999886</v>
      </c>
      <c r="BB47">
        <f t="shared" si="28"/>
        <v>3</v>
      </c>
      <c r="BC47">
        <f t="shared" si="29"/>
        <v>3</v>
      </c>
      <c r="BD47" t="e">
        <f t="shared" ca="1" si="62"/>
        <v>#N/A</v>
      </c>
      <c r="BE47" t="e">
        <f t="shared" ca="1" si="62"/>
        <v>#N/A</v>
      </c>
      <c r="BF47" t="e">
        <f t="shared" ca="1" si="62"/>
        <v>#N/A</v>
      </c>
      <c r="BH47">
        <f t="shared" ca="1" si="30"/>
        <v>0</v>
      </c>
      <c r="BI47">
        <f t="shared" ca="1" si="30"/>
        <v>0</v>
      </c>
      <c r="BJ47">
        <f t="shared" ca="1" si="30"/>
        <v>0</v>
      </c>
      <c r="BM47">
        <f t="shared" si="31"/>
        <v>-1</v>
      </c>
      <c r="BN47" t="e">
        <f t="shared" ca="1" si="32"/>
        <v>#N/A</v>
      </c>
      <c r="BO47" t="e">
        <f t="shared" ca="1" si="33"/>
        <v>#N/A</v>
      </c>
      <c r="BP47" t="e">
        <f t="shared" ca="1" si="34"/>
        <v>#N/A</v>
      </c>
      <c r="BQ47" t="e">
        <f t="shared" ca="1" si="35"/>
        <v>#N/A</v>
      </c>
      <c r="BR47" t="e">
        <f t="shared" ca="1" si="36"/>
        <v>#N/A</v>
      </c>
      <c r="BS47" t="e">
        <f t="shared" ca="1" si="37"/>
        <v>#N/A</v>
      </c>
      <c r="BT47" t="e">
        <f t="shared" ca="1" si="38"/>
        <v>#N/A</v>
      </c>
      <c r="BU47">
        <f t="shared" ca="1" si="39"/>
        <v>0</v>
      </c>
      <c r="BV47">
        <f t="shared" ca="1" si="40"/>
        <v>0</v>
      </c>
      <c r="BW47">
        <f t="shared" ca="1" si="41"/>
        <v>0</v>
      </c>
      <c r="BX47">
        <f t="shared" ca="1" si="42"/>
        <v>0</v>
      </c>
      <c r="BY47">
        <f t="shared" ca="1" si="43"/>
        <v>0</v>
      </c>
      <c r="BZ47">
        <f t="shared" ca="1" si="10"/>
        <v>0</v>
      </c>
      <c r="CA47">
        <f t="shared" ca="1" si="11"/>
        <v>0</v>
      </c>
    </row>
    <row r="48" spans="1:79" x14ac:dyDescent="0.4">
      <c r="A48" t="str">
        <f t="shared" si="61"/>
        <v/>
      </c>
      <c r="B48">
        <v>37</v>
      </c>
      <c r="C48" t="str" cm="1">
        <f t="array" ref="C48">INDEX(auto_Series_Code,B48)</f>
        <v>SUBINDI_018</v>
      </c>
      <c r="D48" cm="1">
        <f t="array" ref="D48">INDEX(auto_tblSeries,$B48,D$11)</f>
        <v>3</v>
      </c>
      <c r="E48" cm="1">
        <f t="array" ref="E48">INDEX(auto_tblSeries,$B48,E$11)</f>
        <v>0</v>
      </c>
      <c r="F48" cm="1">
        <f t="array" ref="F48">INDEX(auto_tblSeries,$B48,F$11)</f>
        <v>1</v>
      </c>
      <c r="G48" cm="1">
        <f t="array" ref="G48">INDEX(auto_tblSeries,$B48,G$11)</f>
        <v>0</v>
      </c>
      <c r="H48" cm="1">
        <f t="array" ref="H48">INDEX(auto_tblSeries,$B48,H$11)</f>
        <v>0</v>
      </c>
      <c r="I48">
        <f t="shared" si="0"/>
        <v>2211</v>
      </c>
      <c r="K48" cm="1">
        <f t="array" ref="K48">INDEX(auto_DataFlat_Score,$I48,K$10)</f>
        <v>59</v>
      </c>
      <c r="L48" t="str" cm="1">
        <f t="array" ref="L48">INDEX(auto_DataFlat_Rank,$I48,L$10)</f>
        <v>n/a</v>
      </c>
      <c r="M48" cm="1">
        <f t="array" ref="M48">INDEX(auto_DataFlat_DataValue,$I48,M$10)</f>
        <v>0</v>
      </c>
      <c r="N48" cm="1">
        <f t="array" ref="N48">INDEX(auto_DataFlat_Classification,$I48,M$10)</f>
        <v>3</v>
      </c>
      <c r="O48" cm="1">
        <f t="array" ref="O48">INDEX(auto_DataFlat_IsEstimate,$I48,O$10)</f>
        <v>0</v>
      </c>
      <c r="P48" t="str" cm="1">
        <f t="array" ref="P48">IF(INDEX(auto_DataFlat_DataYear,$I48,P$10)=0,"n/a",INDEX(auto_DataFlat_DataYear,$I48,P$10))</f>
        <v>n/a</v>
      </c>
      <c r="R48">
        <f t="shared" si="1"/>
        <v>2211</v>
      </c>
      <c r="S48" cm="1">
        <f t="array" ref="S48">INDEX(auto_DataFlat_Score,$R48,S$10)</f>
        <v>59</v>
      </c>
      <c r="U48">
        <f t="shared" si="12"/>
        <v>0</v>
      </c>
      <c r="V48">
        <f t="shared" si="13"/>
        <v>2</v>
      </c>
      <c r="W48">
        <f t="shared" si="14"/>
        <v>-1</v>
      </c>
      <c r="X48" t="e">
        <f t="shared" ca="1" si="63"/>
        <v>#N/A</v>
      </c>
      <c r="Y48" t="e">
        <f t="shared" ca="1" si="63"/>
        <v>#N/A</v>
      </c>
      <c r="Z48" t="e">
        <f t="shared" ca="1" si="63"/>
        <v>#N/A</v>
      </c>
      <c r="AB48">
        <f t="shared" ca="1" si="16"/>
        <v>0</v>
      </c>
      <c r="AC48">
        <f t="shared" ca="1" si="16"/>
        <v>0</v>
      </c>
      <c r="AD48">
        <f t="shared" ca="1" si="16"/>
        <v>0</v>
      </c>
      <c r="AF48">
        <f t="shared" si="17"/>
        <v>3</v>
      </c>
      <c r="AG48" t="e">
        <f t="shared" ca="1" si="64"/>
        <v>#N/A</v>
      </c>
      <c r="AH48" t="e">
        <f t="shared" ca="1" si="64"/>
        <v>#N/A</v>
      </c>
      <c r="AI48" t="e">
        <f t="shared" ca="1" si="64"/>
        <v>#N/A</v>
      </c>
      <c r="AJ48" t="e">
        <f t="shared" ca="1" si="64"/>
        <v>#N/A</v>
      </c>
      <c r="AK48" t="e">
        <f t="shared" ca="1" si="64"/>
        <v>#N/A</v>
      </c>
      <c r="AL48" t="e">
        <f t="shared" ca="1" si="64"/>
        <v>#N/A</v>
      </c>
      <c r="AM48" t="e">
        <f t="shared" ca="1" si="64"/>
        <v>#N/A</v>
      </c>
      <c r="AN48">
        <f t="shared" ca="1" si="20"/>
        <v>0</v>
      </c>
      <c r="AO48">
        <f t="shared" ca="1" si="21"/>
        <v>0</v>
      </c>
      <c r="AP48">
        <f t="shared" ca="1" si="22"/>
        <v>0</v>
      </c>
      <c r="AQ48">
        <f t="shared" ca="1" si="23"/>
        <v>0</v>
      </c>
      <c r="AR48">
        <f t="shared" ca="1" si="24"/>
        <v>0</v>
      </c>
      <c r="AS48">
        <f t="shared" ca="1" si="25"/>
        <v>0</v>
      </c>
      <c r="AT48">
        <f t="shared" ca="1" si="26"/>
        <v>0</v>
      </c>
      <c r="AV48">
        <f t="shared" si="6"/>
        <v>2161</v>
      </c>
      <c r="AW48" cm="1">
        <f t="array" ref="AW48">INDEX(auto_DataFlat_Score,$AV48,1)</f>
        <v>50</v>
      </c>
      <c r="AX48" cm="1">
        <f t="array" ref="AX48">INDEX(auto_DataFlat_DataValue,$AV48,1)</f>
        <v>1</v>
      </c>
      <c r="BA48">
        <f t="shared" si="27"/>
        <v>9</v>
      </c>
      <c r="BB48">
        <f t="shared" si="28"/>
        <v>1</v>
      </c>
      <c r="BC48">
        <f t="shared" si="29"/>
        <v>1</v>
      </c>
      <c r="BD48" t="e">
        <f t="shared" ca="1" si="62"/>
        <v>#N/A</v>
      </c>
      <c r="BE48" t="e">
        <f t="shared" ca="1" si="62"/>
        <v>#N/A</v>
      </c>
      <c r="BF48" t="e">
        <f t="shared" ca="1" si="62"/>
        <v>#N/A</v>
      </c>
      <c r="BH48">
        <f t="shared" ca="1" si="30"/>
        <v>0</v>
      </c>
      <c r="BI48">
        <f t="shared" ca="1" si="30"/>
        <v>0</v>
      </c>
      <c r="BJ48">
        <f t="shared" ca="1" si="30"/>
        <v>0</v>
      </c>
      <c r="BM48">
        <f t="shared" si="31"/>
        <v>-1</v>
      </c>
      <c r="BN48" t="e">
        <f t="shared" ca="1" si="32"/>
        <v>#N/A</v>
      </c>
      <c r="BO48" t="e">
        <f t="shared" ca="1" si="33"/>
        <v>#N/A</v>
      </c>
      <c r="BP48" t="e">
        <f t="shared" ca="1" si="34"/>
        <v>#N/A</v>
      </c>
      <c r="BQ48" t="e">
        <f t="shared" ca="1" si="35"/>
        <v>#N/A</v>
      </c>
      <c r="BR48" t="e">
        <f t="shared" ca="1" si="36"/>
        <v>#N/A</v>
      </c>
      <c r="BS48" t="e">
        <f t="shared" ca="1" si="37"/>
        <v>#N/A</v>
      </c>
      <c r="BT48" t="e">
        <f t="shared" ca="1" si="38"/>
        <v>#N/A</v>
      </c>
      <c r="BU48">
        <f t="shared" ca="1" si="39"/>
        <v>0</v>
      </c>
      <c r="BV48">
        <f t="shared" ca="1" si="40"/>
        <v>0</v>
      </c>
      <c r="BW48">
        <f t="shared" ca="1" si="41"/>
        <v>0</v>
      </c>
      <c r="BX48">
        <f t="shared" ca="1" si="42"/>
        <v>0</v>
      </c>
      <c r="BY48">
        <f t="shared" ca="1" si="43"/>
        <v>0</v>
      </c>
      <c r="BZ48">
        <f t="shared" ca="1" si="10"/>
        <v>0</v>
      </c>
      <c r="CA48">
        <f t="shared" ca="1" si="11"/>
        <v>0</v>
      </c>
    </row>
    <row r="49" spans="1:79" x14ac:dyDescent="0.4">
      <c r="A49" t="str">
        <f t="shared" si="61"/>
        <v/>
      </c>
      <c r="B49">
        <v>38</v>
      </c>
      <c r="C49" t="str" cm="1">
        <f t="array" ref="C49">INDEX(auto_Series_Code,B49)</f>
        <v>INDI_016</v>
      </c>
      <c r="D49" cm="1">
        <f t="array" ref="D49">INDEX(auto_tblSeries,$B49,D$11)</f>
        <v>2</v>
      </c>
      <c r="E49" cm="1">
        <f t="array" ref="E49">INDEX(auto_tblSeries,$B49,E$11)</f>
        <v>0</v>
      </c>
      <c r="F49" cm="1">
        <f t="array" ref="F49">INDEX(auto_tblSeries,$B49,F$11)</f>
        <v>0</v>
      </c>
      <c r="G49" cm="1">
        <f t="array" ref="G49">INDEX(auto_tblSeries,$B49,G$11)</f>
        <v>0</v>
      </c>
      <c r="H49" cm="1">
        <f t="array" ref="H49">INDEX(auto_tblSeries,$B49,H$11)</f>
        <v>1</v>
      </c>
      <c r="I49">
        <f t="shared" si="0"/>
        <v>2271</v>
      </c>
      <c r="K49" cm="1">
        <f t="array" ref="K49">INDEX(auto_DataFlat_Score,$I49,K$10)</f>
        <v>78.900000000000006</v>
      </c>
      <c r="L49" t="str" cm="1">
        <f t="array" ref="L49">INDEX(auto_DataFlat_Rank,$I49,L$10)</f>
        <v>n/a</v>
      </c>
      <c r="M49" cm="1">
        <f t="array" ref="M49">INDEX(auto_DataFlat_DataValue,$I49,M$10)</f>
        <v>0</v>
      </c>
      <c r="N49" cm="1">
        <f t="array" ref="N49">INDEX(auto_DataFlat_Classification,$I49,M$10)</f>
        <v>4</v>
      </c>
      <c r="O49" cm="1">
        <f t="array" ref="O49">INDEX(auto_DataFlat_IsEstimate,$I49,O$10)</f>
        <v>0</v>
      </c>
      <c r="P49" t="str" cm="1">
        <f t="array" ref="P49">IF(INDEX(auto_DataFlat_DataYear,$I49,P$10)=0,"n/a",INDEX(auto_DataFlat_DataYear,$I49,P$10))</f>
        <v>n/a</v>
      </c>
      <c r="R49">
        <f t="shared" si="1"/>
        <v>2271</v>
      </c>
      <c r="S49" cm="1">
        <f t="array" ref="S49">INDEX(auto_DataFlat_Score,$R49,S$10)</f>
        <v>78.900000000000006</v>
      </c>
      <c r="U49">
        <f t="shared" si="12"/>
        <v>0</v>
      </c>
      <c r="V49">
        <f t="shared" si="13"/>
        <v>2</v>
      </c>
      <c r="W49">
        <f t="shared" si="14"/>
        <v>2</v>
      </c>
      <c r="X49" t="e">
        <f t="shared" ca="1" si="63"/>
        <v>#N/A</v>
      </c>
      <c r="Y49" t="e">
        <f t="shared" ca="1" si="63"/>
        <v>#N/A</v>
      </c>
      <c r="Z49" t="e">
        <f t="shared" ca="1" si="63"/>
        <v>#N/A</v>
      </c>
      <c r="AB49">
        <f t="shared" ca="1" si="16"/>
        <v>0</v>
      </c>
      <c r="AC49">
        <f t="shared" ca="1" si="16"/>
        <v>0</v>
      </c>
      <c r="AD49">
        <f t="shared" ca="1" si="16"/>
        <v>0</v>
      </c>
      <c r="AF49">
        <f t="shared" si="17"/>
        <v>-1</v>
      </c>
      <c r="AG49" t="e">
        <f t="shared" ca="1" si="64"/>
        <v>#N/A</v>
      </c>
      <c r="AH49" t="e">
        <f t="shared" ca="1" si="64"/>
        <v>#N/A</v>
      </c>
      <c r="AI49" t="e">
        <f t="shared" ca="1" si="64"/>
        <v>#N/A</v>
      </c>
      <c r="AJ49" t="e">
        <f t="shared" ca="1" si="64"/>
        <v>#N/A</v>
      </c>
      <c r="AK49" t="e">
        <f t="shared" ca="1" si="64"/>
        <v>#N/A</v>
      </c>
      <c r="AL49" t="e">
        <f t="shared" ca="1" si="64"/>
        <v>#N/A</v>
      </c>
      <c r="AM49" t="e">
        <f t="shared" ca="1" si="64"/>
        <v>#N/A</v>
      </c>
      <c r="AN49">
        <f t="shared" ca="1" si="20"/>
        <v>0</v>
      </c>
      <c r="AO49">
        <f t="shared" ca="1" si="21"/>
        <v>0</v>
      </c>
      <c r="AP49">
        <f t="shared" ca="1" si="22"/>
        <v>0</v>
      </c>
      <c r="AQ49">
        <f t="shared" ca="1" si="23"/>
        <v>0</v>
      </c>
      <c r="AR49">
        <f t="shared" ca="1" si="24"/>
        <v>0</v>
      </c>
      <c r="AS49">
        <f t="shared" ca="1" si="25"/>
        <v>0</v>
      </c>
      <c r="AT49">
        <f t="shared" ca="1" si="26"/>
        <v>0</v>
      </c>
      <c r="AV49">
        <f t="shared" si="6"/>
        <v>2221</v>
      </c>
      <c r="AW49" cm="1">
        <f t="array" ref="AW49">INDEX(auto_DataFlat_Score,$AV49,1)</f>
        <v>46.7</v>
      </c>
      <c r="AX49" cm="1">
        <f t="array" ref="AX49">INDEX(auto_DataFlat_DataValue,$AV49,1)</f>
        <v>0</v>
      </c>
      <c r="BA49">
        <f t="shared" si="27"/>
        <v>32.200000000000003</v>
      </c>
      <c r="BB49">
        <f t="shared" si="28"/>
        <v>1</v>
      </c>
      <c r="BC49">
        <f t="shared" si="29"/>
        <v>-1</v>
      </c>
      <c r="BD49" t="e">
        <f t="shared" ca="1" si="62"/>
        <v>#N/A</v>
      </c>
      <c r="BE49" t="e">
        <f t="shared" ca="1" si="62"/>
        <v>#N/A</v>
      </c>
      <c r="BF49" t="e">
        <f t="shared" ca="1" si="62"/>
        <v>#N/A</v>
      </c>
      <c r="BH49">
        <f t="shared" ca="1" si="30"/>
        <v>0</v>
      </c>
      <c r="BI49">
        <f t="shared" ca="1" si="30"/>
        <v>0</v>
      </c>
      <c r="BJ49">
        <f t="shared" ca="1" si="30"/>
        <v>0</v>
      </c>
      <c r="BM49">
        <f t="shared" si="31"/>
        <v>-1</v>
      </c>
      <c r="BN49" t="e">
        <f t="shared" ca="1" si="32"/>
        <v>#N/A</v>
      </c>
      <c r="BO49" t="e">
        <f t="shared" ca="1" si="33"/>
        <v>#N/A</v>
      </c>
      <c r="BP49" t="e">
        <f t="shared" ca="1" si="34"/>
        <v>#N/A</v>
      </c>
      <c r="BQ49" t="e">
        <f t="shared" ca="1" si="35"/>
        <v>#N/A</v>
      </c>
      <c r="BR49" t="e">
        <f t="shared" ca="1" si="36"/>
        <v>#N/A</v>
      </c>
      <c r="BS49" t="e">
        <f t="shared" ca="1" si="37"/>
        <v>#N/A</v>
      </c>
      <c r="BT49" t="e">
        <f t="shared" ca="1" si="38"/>
        <v>#N/A</v>
      </c>
      <c r="BU49">
        <f t="shared" ca="1" si="39"/>
        <v>0</v>
      </c>
      <c r="BV49">
        <f t="shared" ca="1" si="40"/>
        <v>0</v>
      </c>
      <c r="BW49">
        <f t="shared" ca="1" si="41"/>
        <v>0</v>
      </c>
      <c r="BX49">
        <f t="shared" ca="1" si="42"/>
        <v>0</v>
      </c>
      <c r="BY49">
        <f t="shared" ca="1" si="43"/>
        <v>0</v>
      </c>
      <c r="BZ49">
        <f t="shared" ca="1" si="10"/>
        <v>0</v>
      </c>
      <c r="CA49">
        <f t="shared" ca="1" si="11"/>
        <v>0</v>
      </c>
    </row>
    <row r="50" spans="1:79" x14ac:dyDescent="0.4">
      <c r="A50" t="str">
        <f t="shared" si="61"/>
        <v/>
      </c>
      <c r="B50">
        <v>39</v>
      </c>
      <c r="C50" t="str" cm="1">
        <f t="array" ref="C50">INDEX(auto_Series_Code,B50)</f>
        <v>SUBINDI_019</v>
      </c>
      <c r="D50" cm="1">
        <f t="array" ref="D50">INDEX(auto_tblSeries,$B50,D$11)</f>
        <v>3</v>
      </c>
      <c r="E50" cm="1">
        <f t="array" ref="E50">INDEX(auto_tblSeries,$B50,E$11)</f>
        <v>0</v>
      </c>
      <c r="F50" cm="1">
        <f t="array" ref="F50">INDEX(auto_tblSeries,$B50,F$11)</f>
        <v>1</v>
      </c>
      <c r="G50" cm="1">
        <f t="array" ref="G50">INDEX(auto_tblSeries,$B50,G$11)</f>
        <v>0</v>
      </c>
      <c r="H50" cm="1">
        <f t="array" ref="H50">INDEX(auto_tblSeries,$B50,H$11)</f>
        <v>1</v>
      </c>
      <c r="I50">
        <f t="shared" si="0"/>
        <v>2331</v>
      </c>
      <c r="K50" cm="1">
        <f t="array" ref="K50">INDEX(auto_DataFlat_Score,$I50,K$10)</f>
        <v>93.8</v>
      </c>
      <c r="L50" t="str" cm="1">
        <f t="array" ref="L50">INDEX(auto_DataFlat_Rank,$I50,L$10)</f>
        <v>n/a</v>
      </c>
      <c r="M50" cm="1">
        <f t="array" ref="M50">INDEX(auto_DataFlat_DataValue,$I50,M$10)</f>
        <v>0</v>
      </c>
      <c r="N50" cm="1">
        <f t="array" ref="N50">INDEX(auto_DataFlat_Classification,$I50,M$10)</f>
        <v>5</v>
      </c>
      <c r="O50" cm="1">
        <f t="array" ref="O50">INDEX(auto_DataFlat_IsEstimate,$I50,O$10)</f>
        <v>0</v>
      </c>
      <c r="P50" t="str" cm="1">
        <f t="array" ref="P50">IF(INDEX(auto_DataFlat_DataYear,$I50,P$10)=0,"n/a",INDEX(auto_DataFlat_DataYear,$I50,P$10))</f>
        <v>n/a</v>
      </c>
      <c r="R50">
        <f t="shared" si="1"/>
        <v>2331</v>
      </c>
      <c r="S50" cm="1">
        <f t="array" ref="S50">INDEX(auto_DataFlat_Score,$R50,S$10)</f>
        <v>93.8</v>
      </c>
      <c r="U50">
        <f t="shared" si="12"/>
        <v>0</v>
      </c>
      <c r="V50">
        <f t="shared" si="13"/>
        <v>2</v>
      </c>
      <c r="W50">
        <f t="shared" si="14"/>
        <v>-1</v>
      </c>
      <c r="X50" t="e">
        <f t="shared" ca="1" si="63"/>
        <v>#N/A</v>
      </c>
      <c r="Y50" t="e">
        <f t="shared" ca="1" si="63"/>
        <v>#N/A</v>
      </c>
      <c r="Z50" t="e">
        <f t="shared" ca="1" si="63"/>
        <v>#N/A</v>
      </c>
      <c r="AB50">
        <f t="shared" ca="1" si="16"/>
        <v>0</v>
      </c>
      <c r="AC50">
        <f t="shared" ca="1" si="16"/>
        <v>0</v>
      </c>
      <c r="AD50">
        <f t="shared" ca="1" si="16"/>
        <v>0</v>
      </c>
      <c r="AF50">
        <f t="shared" si="17"/>
        <v>5</v>
      </c>
      <c r="AG50" t="e">
        <f t="shared" ca="1" si="64"/>
        <v>#N/A</v>
      </c>
      <c r="AH50" t="e">
        <f t="shared" ca="1" si="64"/>
        <v>#N/A</v>
      </c>
      <c r="AI50" t="e">
        <f t="shared" ca="1" si="64"/>
        <v>#N/A</v>
      </c>
      <c r="AJ50" t="e">
        <f t="shared" ca="1" si="64"/>
        <v>#N/A</v>
      </c>
      <c r="AK50" t="e">
        <f t="shared" ca="1" si="64"/>
        <v>#N/A</v>
      </c>
      <c r="AL50" t="e">
        <f t="shared" ca="1" si="64"/>
        <v>#N/A</v>
      </c>
      <c r="AM50" t="e">
        <f t="shared" ca="1" si="64"/>
        <v>#N/A</v>
      </c>
      <c r="AN50">
        <f t="shared" ca="1" si="20"/>
        <v>0</v>
      </c>
      <c r="AO50">
        <f t="shared" ca="1" si="21"/>
        <v>0</v>
      </c>
      <c r="AP50">
        <f t="shared" ca="1" si="22"/>
        <v>0</v>
      </c>
      <c r="AQ50">
        <f t="shared" ca="1" si="23"/>
        <v>0</v>
      </c>
      <c r="AR50">
        <f t="shared" ca="1" si="24"/>
        <v>0</v>
      </c>
      <c r="AS50">
        <f t="shared" ca="1" si="25"/>
        <v>0</v>
      </c>
      <c r="AT50">
        <f t="shared" ca="1" si="26"/>
        <v>0</v>
      </c>
      <c r="AV50">
        <f t="shared" si="6"/>
        <v>2281</v>
      </c>
      <c r="AW50" cm="1">
        <f t="array" ref="AW50">INDEX(auto_DataFlat_Score,$AV50,1)</f>
        <v>93.3</v>
      </c>
      <c r="AX50" cm="1">
        <f t="array" ref="AX50">INDEX(auto_DataFlat_DataValue,$AV50,1)</f>
        <v>6.7</v>
      </c>
      <c r="BA50">
        <f t="shared" si="27"/>
        <v>0.5</v>
      </c>
      <c r="BB50">
        <f t="shared" si="28"/>
        <v>1</v>
      </c>
      <c r="BC50">
        <f t="shared" si="29"/>
        <v>1</v>
      </c>
      <c r="BD50" t="e">
        <f t="shared" ca="1" si="62"/>
        <v>#N/A</v>
      </c>
      <c r="BE50" t="e">
        <f t="shared" ca="1" si="62"/>
        <v>#N/A</v>
      </c>
      <c r="BF50" t="e">
        <f t="shared" ca="1" si="62"/>
        <v>#N/A</v>
      </c>
      <c r="BH50">
        <f t="shared" ca="1" si="30"/>
        <v>0</v>
      </c>
      <c r="BI50">
        <f t="shared" ca="1" si="30"/>
        <v>0</v>
      </c>
      <c r="BJ50">
        <f t="shared" ca="1" si="30"/>
        <v>0</v>
      </c>
      <c r="BM50">
        <f t="shared" si="31"/>
        <v>-1</v>
      </c>
      <c r="BN50" t="e">
        <f t="shared" ca="1" si="32"/>
        <v>#N/A</v>
      </c>
      <c r="BO50" t="e">
        <f t="shared" ca="1" si="33"/>
        <v>#N/A</v>
      </c>
      <c r="BP50" t="e">
        <f t="shared" ca="1" si="34"/>
        <v>#N/A</v>
      </c>
      <c r="BQ50" t="e">
        <f t="shared" ca="1" si="35"/>
        <v>#N/A</v>
      </c>
      <c r="BR50" t="e">
        <f t="shared" ca="1" si="36"/>
        <v>#N/A</v>
      </c>
      <c r="BS50" t="e">
        <f t="shared" ca="1" si="37"/>
        <v>#N/A</v>
      </c>
      <c r="BT50" t="e">
        <f t="shared" ca="1" si="38"/>
        <v>#N/A</v>
      </c>
      <c r="BU50">
        <f t="shared" ca="1" si="39"/>
        <v>0</v>
      </c>
      <c r="BV50">
        <f t="shared" ca="1" si="40"/>
        <v>0</v>
      </c>
      <c r="BW50">
        <f t="shared" ca="1" si="41"/>
        <v>0</v>
      </c>
      <c r="BX50">
        <f t="shared" ca="1" si="42"/>
        <v>0</v>
      </c>
      <c r="BY50">
        <f t="shared" ca="1" si="43"/>
        <v>0</v>
      </c>
      <c r="BZ50">
        <f t="shared" ca="1" si="10"/>
        <v>0</v>
      </c>
      <c r="CA50">
        <f t="shared" ca="1" si="11"/>
        <v>0</v>
      </c>
    </row>
    <row r="51" spans="1:79" x14ac:dyDescent="0.4">
      <c r="A51" t="str">
        <f t="shared" si="61"/>
        <v/>
      </c>
      <c r="B51">
        <v>40</v>
      </c>
      <c r="C51" t="str" cm="1">
        <f t="array" ref="C51">INDEX(auto_Series_Code,B51)</f>
        <v>SUBINDI_020</v>
      </c>
      <c r="D51" cm="1">
        <f t="array" ref="D51">INDEX(auto_tblSeries,$B51,D$11)</f>
        <v>3</v>
      </c>
      <c r="E51" cm="1">
        <f t="array" ref="E51">INDEX(auto_tblSeries,$B51,E$11)</f>
        <v>0</v>
      </c>
      <c r="F51" cm="1">
        <f t="array" ref="F51">INDEX(auto_tblSeries,$B51,F$11)</f>
        <v>1</v>
      </c>
      <c r="G51" cm="1">
        <f t="array" ref="G51">INDEX(auto_tblSeries,$B51,G$11)</f>
        <v>0</v>
      </c>
      <c r="H51" cm="1">
        <f t="array" ref="H51">INDEX(auto_tblSeries,$B51,H$11)</f>
        <v>0</v>
      </c>
      <c r="I51">
        <f t="shared" si="0"/>
        <v>2391</v>
      </c>
      <c r="K51" cm="1">
        <f t="array" ref="K51">INDEX(auto_DataFlat_Score,$I51,K$10)</f>
        <v>64</v>
      </c>
      <c r="L51" t="str" cm="1">
        <f t="array" ref="L51">INDEX(auto_DataFlat_Rank,$I51,L$10)</f>
        <v>n/a</v>
      </c>
      <c r="M51" cm="1">
        <f t="array" ref="M51">INDEX(auto_DataFlat_DataValue,$I51,M$10)</f>
        <v>0</v>
      </c>
      <c r="N51" cm="1">
        <f t="array" ref="N51">INDEX(auto_DataFlat_Classification,$I51,M$10)</f>
        <v>4</v>
      </c>
      <c r="O51" cm="1">
        <f t="array" ref="O51">INDEX(auto_DataFlat_IsEstimate,$I51,O$10)</f>
        <v>0</v>
      </c>
      <c r="P51" t="str" cm="1">
        <f t="array" ref="P51">IF(INDEX(auto_DataFlat_DataYear,$I51,P$10)=0,"n/a",INDEX(auto_DataFlat_DataYear,$I51,P$10))</f>
        <v>n/a</v>
      </c>
      <c r="R51">
        <f t="shared" si="1"/>
        <v>2391</v>
      </c>
      <c r="S51" cm="1">
        <f t="array" ref="S51">INDEX(auto_DataFlat_Score,$R51,S$10)</f>
        <v>64</v>
      </c>
      <c r="U51">
        <f t="shared" si="12"/>
        <v>0</v>
      </c>
      <c r="V51">
        <f t="shared" si="13"/>
        <v>2</v>
      </c>
      <c r="W51">
        <f t="shared" si="14"/>
        <v>-1</v>
      </c>
      <c r="X51" t="e">
        <f t="shared" ca="1" si="63"/>
        <v>#N/A</v>
      </c>
      <c r="Y51" t="e">
        <f t="shared" ca="1" si="63"/>
        <v>#N/A</v>
      </c>
      <c r="Z51" t="e">
        <f t="shared" ca="1" si="63"/>
        <v>#N/A</v>
      </c>
      <c r="AB51">
        <f t="shared" ca="1" si="16"/>
        <v>0</v>
      </c>
      <c r="AC51">
        <f t="shared" ca="1" si="16"/>
        <v>0</v>
      </c>
      <c r="AD51">
        <f t="shared" ca="1" si="16"/>
        <v>0</v>
      </c>
      <c r="AF51">
        <f t="shared" si="17"/>
        <v>4</v>
      </c>
      <c r="AG51" t="e">
        <f t="shared" ca="1" si="64"/>
        <v>#N/A</v>
      </c>
      <c r="AH51" t="e">
        <f t="shared" ca="1" si="64"/>
        <v>#N/A</v>
      </c>
      <c r="AI51" t="e">
        <f t="shared" ca="1" si="64"/>
        <v>#N/A</v>
      </c>
      <c r="AJ51" t="e">
        <f t="shared" ca="1" si="64"/>
        <v>#N/A</v>
      </c>
      <c r="AK51" t="e">
        <f t="shared" ca="1" si="64"/>
        <v>#N/A</v>
      </c>
      <c r="AL51" t="e">
        <f t="shared" ca="1" si="64"/>
        <v>#N/A</v>
      </c>
      <c r="AM51" t="e">
        <f t="shared" ca="1" si="64"/>
        <v>#N/A</v>
      </c>
      <c r="AN51">
        <f t="shared" ca="1" si="20"/>
        <v>0</v>
      </c>
      <c r="AO51">
        <f t="shared" ca="1" si="21"/>
        <v>0</v>
      </c>
      <c r="AP51">
        <f t="shared" ca="1" si="22"/>
        <v>0</v>
      </c>
      <c r="AQ51">
        <f t="shared" ca="1" si="23"/>
        <v>0</v>
      </c>
      <c r="AR51">
        <f t="shared" ca="1" si="24"/>
        <v>0</v>
      </c>
      <c r="AS51">
        <f t="shared" ca="1" si="25"/>
        <v>0</v>
      </c>
      <c r="AT51">
        <f t="shared" ca="1" si="26"/>
        <v>0</v>
      </c>
      <c r="AV51">
        <f t="shared" si="6"/>
        <v>2341</v>
      </c>
      <c r="AW51" cm="1">
        <f t="array" ref="AW51">INDEX(auto_DataFlat_Score,$AV51,1)</f>
        <v>0</v>
      </c>
      <c r="AX51" cm="1">
        <f t="array" ref="AX51">INDEX(auto_DataFlat_DataValue,$AV51,1)</f>
        <v>0</v>
      </c>
      <c r="BA51">
        <f t="shared" si="27"/>
        <v>64</v>
      </c>
      <c r="BB51">
        <f t="shared" si="28"/>
        <v>1</v>
      </c>
      <c r="BC51">
        <f t="shared" si="29"/>
        <v>1</v>
      </c>
      <c r="BD51" t="e">
        <f t="shared" ca="1" si="62"/>
        <v>#N/A</v>
      </c>
      <c r="BE51" t="e">
        <f t="shared" ca="1" si="62"/>
        <v>#N/A</v>
      </c>
      <c r="BF51" t="e">
        <f t="shared" ca="1" si="62"/>
        <v>#N/A</v>
      </c>
      <c r="BH51">
        <f t="shared" ca="1" si="30"/>
        <v>0</v>
      </c>
      <c r="BI51">
        <f t="shared" ca="1" si="30"/>
        <v>0</v>
      </c>
      <c r="BJ51">
        <f t="shared" ca="1" si="30"/>
        <v>0</v>
      </c>
      <c r="BM51">
        <f t="shared" si="31"/>
        <v>-1</v>
      </c>
      <c r="BN51" t="e">
        <f t="shared" ca="1" si="32"/>
        <v>#N/A</v>
      </c>
      <c r="BO51" t="e">
        <f t="shared" ca="1" si="33"/>
        <v>#N/A</v>
      </c>
      <c r="BP51" t="e">
        <f t="shared" ca="1" si="34"/>
        <v>#N/A</v>
      </c>
      <c r="BQ51" t="e">
        <f t="shared" ca="1" si="35"/>
        <v>#N/A</v>
      </c>
      <c r="BR51" t="e">
        <f t="shared" ca="1" si="36"/>
        <v>#N/A</v>
      </c>
      <c r="BS51" t="e">
        <f t="shared" ca="1" si="37"/>
        <v>#N/A</v>
      </c>
      <c r="BT51" t="e">
        <f t="shared" ca="1" si="38"/>
        <v>#N/A</v>
      </c>
      <c r="BU51">
        <f t="shared" ca="1" si="39"/>
        <v>0</v>
      </c>
      <c r="BV51">
        <f t="shared" ca="1" si="40"/>
        <v>0</v>
      </c>
      <c r="BW51">
        <f t="shared" ca="1" si="41"/>
        <v>0</v>
      </c>
      <c r="BX51">
        <f t="shared" ca="1" si="42"/>
        <v>0</v>
      </c>
      <c r="BY51">
        <f t="shared" ca="1" si="43"/>
        <v>0</v>
      </c>
      <c r="BZ51">
        <f t="shared" ca="1" si="10"/>
        <v>0</v>
      </c>
      <c r="CA51">
        <f t="shared" ca="1" si="11"/>
        <v>0</v>
      </c>
    </row>
    <row r="52" spans="1:79" x14ac:dyDescent="0.4">
      <c r="A52" t="str">
        <f t="shared" si="61"/>
        <v/>
      </c>
      <c r="B52">
        <v>41</v>
      </c>
      <c r="C52" t="str" cm="1">
        <f t="array" ref="C52">INDEX(auto_Series_Code,B52)</f>
        <v>INDI_017</v>
      </c>
      <c r="D52" cm="1">
        <f t="array" ref="D52">INDEX(auto_tblSeries,$B52,D$11)</f>
        <v>2</v>
      </c>
      <c r="E52" cm="1">
        <f t="array" ref="E52">INDEX(auto_tblSeries,$B52,E$11)</f>
        <v>0</v>
      </c>
      <c r="F52" cm="1">
        <f t="array" ref="F52">INDEX(auto_tblSeries,$B52,F$11)</f>
        <v>0</v>
      </c>
      <c r="G52" cm="1">
        <f t="array" ref="G52">INDEX(auto_tblSeries,$B52,G$11)</f>
        <v>0</v>
      </c>
      <c r="H52" cm="1">
        <f t="array" ref="H52">INDEX(auto_tblSeries,$B52,H$11)</f>
        <v>1</v>
      </c>
      <c r="I52">
        <f t="shared" si="0"/>
        <v>2451</v>
      </c>
      <c r="K52" cm="1">
        <f t="array" ref="K52">INDEX(auto_DataFlat_Score,$I52,K$10)</f>
        <v>62.9</v>
      </c>
      <c r="L52" t="str" cm="1">
        <f t="array" ref="L52">INDEX(auto_DataFlat_Rank,$I52,L$10)</f>
        <v>n/a</v>
      </c>
      <c r="M52" cm="1">
        <f t="array" ref="M52">INDEX(auto_DataFlat_DataValue,$I52,M$10)</f>
        <v>0</v>
      </c>
      <c r="N52" cm="1">
        <f t="array" ref="N52">INDEX(auto_DataFlat_Classification,$I52,M$10)</f>
        <v>4</v>
      </c>
      <c r="O52" cm="1">
        <f t="array" ref="O52">INDEX(auto_DataFlat_IsEstimate,$I52,O$10)</f>
        <v>0</v>
      </c>
      <c r="P52" t="str" cm="1">
        <f t="array" ref="P52">IF(INDEX(auto_DataFlat_DataYear,$I52,P$10)=0,"n/a",INDEX(auto_DataFlat_DataYear,$I52,P$10))</f>
        <v>n/a</v>
      </c>
      <c r="R52">
        <f t="shared" si="1"/>
        <v>2451</v>
      </c>
      <c r="S52" cm="1">
        <f t="array" ref="S52">INDEX(auto_DataFlat_Score,$R52,S$10)</f>
        <v>62.9</v>
      </c>
      <c r="U52">
        <f t="shared" si="12"/>
        <v>0</v>
      </c>
      <c r="V52">
        <f t="shared" si="13"/>
        <v>2</v>
      </c>
      <c r="W52">
        <f t="shared" si="14"/>
        <v>2</v>
      </c>
      <c r="X52" t="e">
        <f t="shared" ca="1" si="63"/>
        <v>#N/A</v>
      </c>
      <c r="Y52" t="e">
        <f t="shared" ca="1" si="63"/>
        <v>#N/A</v>
      </c>
      <c r="Z52" t="e">
        <f t="shared" ca="1" si="63"/>
        <v>#N/A</v>
      </c>
      <c r="AB52">
        <f t="shared" ca="1" si="16"/>
        <v>0</v>
      </c>
      <c r="AC52">
        <f t="shared" ca="1" si="16"/>
        <v>0</v>
      </c>
      <c r="AD52">
        <f t="shared" ca="1" si="16"/>
        <v>0</v>
      </c>
      <c r="AF52">
        <f t="shared" si="17"/>
        <v>-1</v>
      </c>
      <c r="AG52" t="e">
        <f t="shared" ca="1" si="64"/>
        <v>#N/A</v>
      </c>
      <c r="AH52" t="e">
        <f t="shared" ca="1" si="64"/>
        <v>#N/A</v>
      </c>
      <c r="AI52" t="e">
        <f t="shared" ca="1" si="64"/>
        <v>#N/A</v>
      </c>
      <c r="AJ52" t="e">
        <f t="shared" ca="1" si="64"/>
        <v>#N/A</v>
      </c>
      <c r="AK52" t="e">
        <f t="shared" ca="1" si="64"/>
        <v>#N/A</v>
      </c>
      <c r="AL52" t="e">
        <f t="shared" ca="1" si="64"/>
        <v>#N/A</v>
      </c>
      <c r="AM52" t="e">
        <f t="shared" ca="1" si="64"/>
        <v>#N/A</v>
      </c>
      <c r="AN52">
        <f t="shared" ca="1" si="20"/>
        <v>0</v>
      </c>
      <c r="AO52">
        <f t="shared" ca="1" si="21"/>
        <v>0</v>
      </c>
      <c r="AP52">
        <f t="shared" ca="1" si="22"/>
        <v>0</v>
      </c>
      <c r="AQ52">
        <f t="shared" ca="1" si="23"/>
        <v>0</v>
      </c>
      <c r="AR52">
        <f t="shared" ca="1" si="24"/>
        <v>0</v>
      </c>
      <c r="AS52">
        <f t="shared" ca="1" si="25"/>
        <v>0</v>
      </c>
      <c r="AT52">
        <f t="shared" ca="1" si="26"/>
        <v>0</v>
      </c>
      <c r="AV52">
        <f t="shared" si="6"/>
        <v>2401</v>
      </c>
      <c r="AW52" cm="1">
        <f t="array" ref="AW52">INDEX(auto_DataFlat_Score,$AV52,1)</f>
        <v>94.6</v>
      </c>
      <c r="AX52" cm="1">
        <f t="array" ref="AX52">INDEX(auto_DataFlat_DataValue,$AV52,1)</f>
        <v>0</v>
      </c>
      <c r="BA52">
        <f t="shared" si="27"/>
        <v>-31.699999999999996</v>
      </c>
      <c r="BB52">
        <f t="shared" si="28"/>
        <v>3</v>
      </c>
      <c r="BC52">
        <f t="shared" si="29"/>
        <v>-1</v>
      </c>
      <c r="BD52" t="e">
        <f t="shared" ca="1" si="62"/>
        <v>#N/A</v>
      </c>
      <c r="BE52" t="e">
        <f t="shared" ca="1" si="62"/>
        <v>#N/A</v>
      </c>
      <c r="BF52" t="e">
        <f t="shared" ca="1" si="62"/>
        <v>#N/A</v>
      </c>
      <c r="BH52">
        <f t="shared" ca="1" si="30"/>
        <v>0</v>
      </c>
      <c r="BI52">
        <f t="shared" ca="1" si="30"/>
        <v>0</v>
      </c>
      <c r="BJ52">
        <f t="shared" ca="1" si="30"/>
        <v>0</v>
      </c>
      <c r="BM52">
        <f t="shared" si="31"/>
        <v>-1</v>
      </c>
      <c r="BN52" t="e">
        <f t="shared" ca="1" si="32"/>
        <v>#N/A</v>
      </c>
      <c r="BO52" t="e">
        <f t="shared" ca="1" si="33"/>
        <v>#N/A</v>
      </c>
      <c r="BP52" t="e">
        <f t="shared" ca="1" si="34"/>
        <v>#N/A</v>
      </c>
      <c r="BQ52" t="e">
        <f t="shared" ca="1" si="35"/>
        <v>#N/A</v>
      </c>
      <c r="BR52" t="e">
        <f t="shared" ca="1" si="36"/>
        <v>#N/A</v>
      </c>
      <c r="BS52" t="e">
        <f t="shared" ca="1" si="37"/>
        <v>#N/A</v>
      </c>
      <c r="BT52" t="e">
        <f t="shared" ca="1" si="38"/>
        <v>#N/A</v>
      </c>
      <c r="BU52">
        <f t="shared" ca="1" si="39"/>
        <v>0</v>
      </c>
      <c r="BV52">
        <f t="shared" ca="1" si="40"/>
        <v>0</v>
      </c>
      <c r="BW52">
        <f t="shared" ca="1" si="41"/>
        <v>0</v>
      </c>
      <c r="BX52">
        <f t="shared" ca="1" si="42"/>
        <v>0</v>
      </c>
      <c r="BY52">
        <f t="shared" ca="1" si="43"/>
        <v>0</v>
      </c>
      <c r="BZ52">
        <f t="shared" ca="1" si="10"/>
        <v>0</v>
      </c>
      <c r="CA52">
        <f t="shared" ca="1" si="11"/>
        <v>0</v>
      </c>
    </row>
    <row r="53" spans="1:79" x14ac:dyDescent="0.4">
      <c r="A53" t="str">
        <f t="shared" si="61"/>
        <v/>
      </c>
      <c r="B53">
        <v>42</v>
      </c>
      <c r="C53" t="str" cm="1">
        <f t="array" ref="C53">INDEX(auto_Series_Code,B53)</f>
        <v>SUBINDI_021</v>
      </c>
      <c r="D53" cm="1">
        <f t="array" ref="D53">INDEX(auto_tblSeries,$B53,D$11)</f>
        <v>3</v>
      </c>
      <c r="E53" cm="1">
        <f t="array" ref="E53">INDEX(auto_tblSeries,$B53,E$11)</f>
        <v>0</v>
      </c>
      <c r="F53" cm="1">
        <f t="array" ref="F53">INDEX(auto_tblSeries,$B53,F$11)</f>
        <v>1</v>
      </c>
      <c r="G53" cm="1">
        <f t="array" ref="G53">INDEX(auto_tblSeries,$B53,G$11)</f>
        <v>0</v>
      </c>
      <c r="H53" cm="1">
        <f t="array" ref="H53">INDEX(auto_tblSeries,$B53,H$11)</f>
        <v>2</v>
      </c>
      <c r="I53">
        <f t="shared" si="0"/>
        <v>2511</v>
      </c>
      <c r="K53" cm="1">
        <f t="array" ref="K53">INDEX(auto_DataFlat_Score,$I53,K$10)</f>
        <v>51.7</v>
      </c>
      <c r="L53" t="str" cm="1">
        <f t="array" ref="L53">INDEX(auto_DataFlat_Rank,$I53,L$10)</f>
        <v>n/a</v>
      </c>
      <c r="M53" cm="1">
        <f t="array" ref="M53">INDEX(auto_DataFlat_DataValue,$I53,M$10)</f>
        <v>0</v>
      </c>
      <c r="N53" cm="1">
        <f t="array" ref="N53">INDEX(auto_DataFlat_Classification,$I53,M$10)</f>
        <v>3</v>
      </c>
      <c r="O53" cm="1">
        <f t="array" ref="O53">INDEX(auto_DataFlat_IsEstimate,$I53,O$10)</f>
        <v>0</v>
      </c>
      <c r="P53" t="str" cm="1">
        <f t="array" ref="P53">IF(INDEX(auto_DataFlat_DataYear,$I53,P$10)=0,"n/a",INDEX(auto_DataFlat_DataYear,$I53,P$10))</f>
        <v>n/a</v>
      </c>
      <c r="R53">
        <f t="shared" si="1"/>
        <v>2511</v>
      </c>
      <c r="S53" cm="1">
        <f t="array" ref="S53">INDEX(auto_DataFlat_Score,$R53,S$10)</f>
        <v>51.7</v>
      </c>
      <c r="U53">
        <f t="shared" si="12"/>
        <v>0</v>
      </c>
      <c r="V53">
        <f t="shared" si="13"/>
        <v>2</v>
      </c>
      <c r="W53">
        <f t="shared" si="14"/>
        <v>-1</v>
      </c>
      <c r="X53" t="e">
        <f t="shared" ca="1" si="63"/>
        <v>#N/A</v>
      </c>
      <c r="Y53" t="e">
        <f t="shared" ca="1" si="63"/>
        <v>#N/A</v>
      </c>
      <c r="Z53" t="e">
        <f t="shared" ca="1" si="63"/>
        <v>#N/A</v>
      </c>
      <c r="AB53">
        <f t="shared" ca="1" si="16"/>
        <v>0</v>
      </c>
      <c r="AC53">
        <f t="shared" ca="1" si="16"/>
        <v>0</v>
      </c>
      <c r="AD53">
        <f t="shared" ca="1" si="16"/>
        <v>0</v>
      </c>
      <c r="AF53">
        <f t="shared" si="17"/>
        <v>3</v>
      </c>
      <c r="AG53" t="e">
        <f t="shared" ca="1" si="64"/>
        <v>#N/A</v>
      </c>
      <c r="AH53" t="e">
        <f t="shared" ca="1" si="64"/>
        <v>#N/A</v>
      </c>
      <c r="AI53" t="e">
        <f t="shared" ca="1" si="64"/>
        <v>#N/A</v>
      </c>
      <c r="AJ53" t="e">
        <f t="shared" ca="1" si="64"/>
        <v>#N/A</v>
      </c>
      <c r="AK53" t="e">
        <f t="shared" ca="1" si="64"/>
        <v>#N/A</v>
      </c>
      <c r="AL53" t="e">
        <f t="shared" ca="1" si="64"/>
        <v>#N/A</v>
      </c>
      <c r="AM53" t="e">
        <f t="shared" ca="1" si="64"/>
        <v>#N/A</v>
      </c>
      <c r="AN53">
        <f t="shared" ca="1" si="20"/>
        <v>0</v>
      </c>
      <c r="AO53">
        <f t="shared" ca="1" si="21"/>
        <v>0</v>
      </c>
      <c r="AP53">
        <f t="shared" ca="1" si="22"/>
        <v>0</v>
      </c>
      <c r="AQ53">
        <f t="shared" ca="1" si="23"/>
        <v>0</v>
      </c>
      <c r="AR53">
        <f t="shared" ca="1" si="24"/>
        <v>0</v>
      </c>
      <c r="AS53">
        <f t="shared" ca="1" si="25"/>
        <v>0</v>
      </c>
      <c r="AT53">
        <f t="shared" ca="1" si="26"/>
        <v>0</v>
      </c>
      <c r="AV53">
        <f t="shared" si="6"/>
        <v>2461</v>
      </c>
      <c r="AW53" cm="1">
        <f t="array" ref="AW53">INDEX(auto_DataFlat_Score,$AV53,1)</f>
        <v>89.1</v>
      </c>
      <c r="AX53" cm="1">
        <f t="array" ref="AX53">INDEX(auto_DataFlat_DataValue,$AV53,1)</f>
        <v>10.87</v>
      </c>
      <c r="BA53">
        <f t="shared" si="27"/>
        <v>-37.399999999999991</v>
      </c>
      <c r="BB53">
        <f t="shared" si="28"/>
        <v>3</v>
      </c>
      <c r="BC53">
        <f t="shared" si="29"/>
        <v>3</v>
      </c>
      <c r="BD53" t="e">
        <f t="shared" ca="1" si="62"/>
        <v>#N/A</v>
      </c>
      <c r="BE53" t="e">
        <f t="shared" ca="1" si="62"/>
        <v>#N/A</v>
      </c>
      <c r="BF53" t="e">
        <f t="shared" ca="1" si="62"/>
        <v>#N/A</v>
      </c>
      <c r="BH53">
        <f t="shared" ca="1" si="30"/>
        <v>0</v>
      </c>
      <c r="BI53">
        <f t="shared" ca="1" si="30"/>
        <v>0</v>
      </c>
      <c r="BJ53">
        <f t="shared" ca="1" si="30"/>
        <v>0</v>
      </c>
      <c r="BM53">
        <f t="shared" si="31"/>
        <v>-1</v>
      </c>
      <c r="BN53" t="e">
        <f t="shared" ca="1" si="32"/>
        <v>#N/A</v>
      </c>
      <c r="BO53" t="e">
        <f t="shared" ca="1" si="33"/>
        <v>#N/A</v>
      </c>
      <c r="BP53" t="e">
        <f t="shared" ca="1" si="34"/>
        <v>#N/A</v>
      </c>
      <c r="BQ53" t="e">
        <f t="shared" ca="1" si="35"/>
        <v>#N/A</v>
      </c>
      <c r="BR53" t="e">
        <f t="shared" ca="1" si="36"/>
        <v>#N/A</v>
      </c>
      <c r="BS53" t="e">
        <f t="shared" ca="1" si="37"/>
        <v>#N/A</v>
      </c>
      <c r="BT53" t="e">
        <f t="shared" ca="1" si="38"/>
        <v>#N/A</v>
      </c>
      <c r="BU53">
        <f t="shared" ca="1" si="39"/>
        <v>0</v>
      </c>
      <c r="BV53">
        <f t="shared" ca="1" si="40"/>
        <v>0</v>
      </c>
      <c r="BW53">
        <f t="shared" ca="1" si="41"/>
        <v>0</v>
      </c>
      <c r="BX53">
        <f t="shared" ca="1" si="42"/>
        <v>0</v>
      </c>
      <c r="BY53">
        <f t="shared" ca="1" si="43"/>
        <v>0</v>
      </c>
      <c r="BZ53">
        <f t="shared" ca="1" si="10"/>
        <v>0</v>
      </c>
      <c r="CA53">
        <f t="shared" ca="1" si="11"/>
        <v>0</v>
      </c>
    </row>
    <row r="54" spans="1:79" x14ac:dyDescent="0.4">
      <c r="A54" t="str">
        <f t="shared" si="61"/>
        <v/>
      </c>
      <c r="B54">
        <v>43</v>
      </c>
      <c r="C54" t="str" cm="1">
        <f t="array" ref="C54">INDEX(auto_Series_Code,B54)</f>
        <v>SUBINDI_022</v>
      </c>
      <c r="D54" cm="1">
        <f t="array" ref="D54">INDEX(auto_tblSeries,$B54,D$11)</f>
        <v>3</v>
      </c>
      <c r="E54" cm="1">
        <f t="array" ref="E54">INDEX(auto_tblSeries,$B54,E$11)</f>
        <v>0</v>
      </c>
      <c r="F54" cm="1">
        <f t="array" ref="F54">INDEX(auto_tblSeries,$B54,F$11)</f>
        <v>1</v>
      </c>
      <c r="G54" cm="1">
        <f t="array" ref="G54">INDEX(auto_tblSeries,$B54,G$11)</f>
        <v>0</v>
      </c>
      <c r="H54" cm="1">
        <f t="array" ref="H54">INDEX(auto_tblSeries,$B54,H$11)</f>
        <v>0</v>
      </c>
      <c r="I54">
        <f t="shared" si="0"/>
        <v>2571</v>
      </c>
      <c r="K54" cm="1">
        <f t="array" ref="K54">INDEX(auto_DataFlat_Score,$I54,K$10)</f>
        <v>74</v>
      </c>
      <c r="L54" t="str" cm="1">
        <f t="array" ref="L54">INDEX(auto_DataFlat_Rank,$I54,L$10)</f>
        <v>n/a</v>
      </c>
      <c r="M54" cm="1">
        <f t="array" ref="M54">INDEX(auto_DataFlat_DataValue,$I54,M$10)</f>
        <v>0</v>
      </c>
      <c r="N54" cm="1">
        <f t="array" ref="N54">INDEX(auto_DataFlat_Classification,$I54,M$10)</f>
        <v>4</v>
      </c>
      <c r="O54" cm="1">
        <f t="array" ref="O54">INDEX(auto_DataFlat_IsEstimate,$I54,O$10)</f>
        <v>0</v>
      </c>
      <c r="P54" t="str" cm="1">
        <f t="array" ref="P54">IF(INDEX(auto_DataFlat_DataYear,$I54,P$10)=0,"n/a",INDEX(auto_DataFlat_DataYear,$I54,P$10))</f>
        <v>n/a</v>
      </c>
      <c r="R54">
        <f t="shared" si="1"/>
        <v>2571</v>
      </c>
      <c r="S54" cm="1">
        <f t="array" ref="S54">INDEX(auto_DataFlat_Score,$R54,S$10)</f>
        <v>74</v>
      </c>
      <c r="U54">
        <f t="shared" si="12"/>
        <v>0</v>
      </c>
      <c r="V54">
        <f t="shared" si="13"/>
        <v>2</v>
      </c>
      <c r="W54">
        <f t="shared" si="14"/>
        <v>-1</v>
      </c>
      <c r="X54" t="e">
        <f t="shared" ca="1" si="63"/>
        <v>#N/A</v>
      </c>
      <c r="Y54" t="e">
        <f t="shared" ca="1" si="63"/>
        <v>#N/A</v>
      </c>
      <c r="Z54" t="e">
        <f t="shared" ca="1" si="63"/>
        <v>#N/A</v>
      </c>
      <c r="AB54">
        <f t="shared" ca="1" si="16"/>
        <v>0</v>
      </c>
      <c r="AC54">
        <f t="shared" ca="1" si="16"/>
        <v>0</v>
      </c>
      <c r="AD54">
        <f t="shared" ca="1" si="16"/>
        <v>0</v>
      </c>
      <c r="AF54">
        <f t="shared" si="17"/>
        <v>4</v>
      </c>
      <c r="AG54" t="e">
        <f t="shared" ca="1" si="64"/>
        <v>#N/A</v>
      </c>
      <c r="AH54" t="e">
        <f t="shared" ca="1" si="64"/>
        <v>#N/A</v>
      </c>
      <c r="AI54" t="e">
        <f t="shared" ca="1" si="64"/>
        <v>#N/A</v>
      </c>
      <c r="AJ54" t="e">
        <f t="shared" ca="1" si="64"/>
        <v>#N/A</v>
      </c>
      <c r="AK54" t="e">
        <f t="shared" ca="1" si="64"/>
        <v>#N/A</v>
      </c>
      <c r="AL54" t="e">
        <f t="shared" ca="1" si="64"/>
        <v>#N/A</v>
      </c>
      <c r="AM54" t="e">
        <f t="shared" ca="1" si="64"/>
        <v>#N/A</v>
      </c>
      <c r="AN54">
        <f t="shared" ca="1" si="20"/>
        <v>0</v>
      </c>
      <c r="AO54">
        <f t="shared" ca="1" si="21"/>
        <v>0</v>
      </c>
      <c r="AP54">
        <f t="shared" ca="1" si="22"/>
        <v>0</v>
      </c>
      <c r="AQ54">
        <f t="shared" ca="1" si="23"/>
        <v>0</v>
      </c>
      <c r="AR54">
        <f t="shared" ca="1" si="24"/>
        <v>0</v>
      </c>
      <c r="AS54">
        <f t="shared" ca="1" si="25"/>
        <v>0</v>
      </c>
      <c r="AT54">
        <f t="shared" ca="1" si="26"/>
        <v>0</v>
      </c>
      <c r="AV54">
        <f t="shared" si="6"/>
        <v>2521</v>
      </c>
      <c r="AW54" cm="1">
        <f t="array" ref="AW54">INDEX(auto_DataFlat_Score,$AV54,1)</f>
        <v>100</v>
      </c>
      <c r="AX54" cm="1">
        <f t="array" ref="AX54">INDEX(auto_DataFlat_DataValue,$AV54,1)</f>
        <v>1</v>
      </c>
      <c r="BA54">
        <f t="shared" si="27"/>
        <v>-26</v>
      </c>
      <c r="BB54">
        <f t="shared" si="28"/>
        <v>3</v>
      </c>
      <c r="BC54">
        <f t="shared" si="29"/>
        <v>3</v>
      </c>
      <c r="BD54" t="e">
        <f t="shared" ca="1" si="62"/>
        <v>#N/A</v>
      </c>
      <c r="BE54" t="e">
        <f t="shared" ca="1" si="62"/>
        <v>#N/A</v>
      </c>
      <c r="BF54" t="e">
        <f t="shared" ca="1" si="62"/>
        <v>#N/A</v>
      </c>
      <c r="BH54">
        <f t="shared" ca="1" si="30"/>
        <v>0</v>
      </c>
      <c r="BI54">
        <f t="shared" ca="1" si="30"/>
        <v>0</v>
      </c>
      <c r="BJ54">
        <f t="shared" ca="1" si="30"/>
        <v>0</v>
      </c>
      <c r="BM54">
        <f t="shared" si="31"/>
        <v>-1</v>
      </c>
      <c r="BN54" t="e">
        <f t="shared" ca="1" si="32"/>
        <v>#N/A</v>
      </c>
      <c r="BO54" t="e">
        <f t="shared" ca="1" si="33"/>
        <v>#N/A</v>
      </c>
      <c r="BP54" t="e">
        <f t="shared" ca="1" si="34"/>
        <v>#N/A</v>
      </c>
      <c r="BQ54" t="e">
        <f t="shared" ca="1" si="35"/>
        <v>#N/A</v>
      </c>
      <c r="BR54" t="e">
        <f t="shared" ca="1" si="36"/>
        <v>#N/A</v>
      </c>
      <c r="BS54" t="e">
        <f t="shared" ca="1" si="37"/>
        <v>#N/A</v>
      </c>
      <c r="BT54" t="e">
        <f t="shared" ca="1" si="38"/>
        <v>#N/A</v>
      </c>
      <c r="BU54">
        <f t="shared" ca="1" si="39"/>
        <v>0</v>
      </c>
      <c r="BV54">
        <f t="shared" ca="1" si="40"/>
        <v>0</v>
      </c>
      <c r="BW54">
        <f t="shared" ca="1" si="41"/>
        <v>0</v>
      </c>
      <c r="BX54">
        <f t="shared" ca="1" si="42"/>
        <v>0</v>
      </c>
      <c r="BY54">
        <f t="shared" ca="1" si="43"/>
        <v>0</v>
      </c>
      <c r="BZ54">
        <f t="shared" ca="1" si="10"/>
        <v>0</v>
      </c>
      <c r="CA54">
        <f t="shared" ca="1" si="11"/>
        <v>0</v>
      </c>
    </row>
    <row r="55" spans="1:79" x14ac:dyDescent="0.4">
      <c r="A55" t="str">
        <f t="shared" si="61"/>
        <v/>
      </c>
      <c r="B55">
        <v>44</v>
      </c>
      <c r="C55" t="str" cm="1">
        <f t="array" ref="C55">INDEX(auto_Series_Code,B55)</f>
        <v>INDI_018</v>
      </c>
      <c r="D55" cm="1">
        <f t="array" ref="D55">INDEX(auto_tblSeries,$B55,D$11)</f>
        <v>2</v>
      </c>
      <c r="E55" cm="1">
        <f t="array" ref="E55">INDEX(auto_tblSeries,$B55,E$11)</f>
        <v>0</v>
      </c>
      <c r="F55" cm="1">
        <f t="array" ref="F55">INDEX(auto_tblSeries,$B55,F$11)</f>
        <v>0</v>
      </c>
      <c r="G55" cm="1">
        <f t="array" ref="G55">INDEX(auto_tblSeries,$B55,G$11)</f>
        <v>0</v>
      </c>
      <c r="H55" cm="1">
        <f t="array" ref="H55">INDEX(auto_tblSeries,$B55,H$11)</f>
        <v>1</v>
      </c>
      <c r="I55">
        <f t="shared" si="0"/>
        <v>2631</v>
      </c>
      <c r="K55" cm="1">
        <f t="array" ref="K55">INDEX(auto_DataFlat_Score,$I55,K$10)</f>
        <v>31.8</v>
      </c>
      <c r="L55" t="str" cm="1">
        <f t="array" ref="L55">INDEX(auto_DataFlat_Rank,$I55,L$10)</f>
        <v>n/a</v>
      </c>
      <c r="M55" cm="1">
        <f t="array" ref="M55">INDEX(auto_DataFlat_DataValue,$I55,M$10)</f>
        <v>0</v>
      </c>
      <c r="N55" cm="1">
        <f t="array" ref="N55">INDEX(auto_DataFlat_Classification,$I55,M$10)</f>
        <v>2</v>
      </c>
      <c r="O55" cm="1">
        <f t="array" ref="O55">INDEX(auto_DataFlat_IsEstimate,$I55,O$10)</f>
        <v>0</v>
      </c>
      <c r="P55" t="str" cm="1">
        <f t="array" ref="P55">IF(INDEX(auto_DataFlat_DataYear,$I55,P$10)=0,"n/a",INDEX(auto_DataFlat_DataYear,$I55,P$10))</f>
        <v>n/a</v>
      </c>
      <c r="R55">
        <f t="shared" si="1"/>
        <v>2631</v>
      </c>
      <c r="S55" cm="1">
        <f t="array" ref="S55">INDEX(auto_DataFlat_Score,$R55,S$10)</f>
        <v>31.8</v>
      </c>
      <c r="U55">
        <f t="shared" si="12"/>
        <v>0</v>
      </c>
      <c r="V55">
        <f t="shared" si="13"/>
        <v>2</v>
      </c>
      <c r="W55">
        <f t="shared" si="14"/>
        <v>2</v>
      </c>
      <c r="X55" t="e">
        <f t="shared" ca="1" si="63"/>
        <v>#N/A</v>
      </c>
      <c r="Y55" t="e">
        <f t="shared" ca="1" si="63"/>
        <v>#N/A</v>
      </c>
      <c r="Z55" t="e">
        <f t="shared" ca="1" si="63"/>
        <v>#N/A</v>
      </c>
      <c r="AB55">
        <f t="shared" ca="1" si="16"/>
        <v>0</v>
      </c>
      <c r="AC55">
        <f t="shared" ca="1" si="16"/>
        <v>0</v>
      </c>
      <c r="AD55">
        <f t="shared" ca="1" si="16"/>
        <v>0</v>
      </c>
      <c r="AF55">
        <f t="shared" si="17"/>
        <v>-1</v>
      </c>
      <c r="AG55" t="e">
        <f t="shared" ca="1" si="64"/>
        <v>#N/A</v>
      </c>
      <c r="AH55" t="e">
        <f t="shared" ca="1" si="64"/>
        <v>#N/A</v>
      </c>
      <c r="AI55" t="e">
        <f t="shared" ca="1" si="64"/>
        <v>#N/A</v>
      </c>
      <c r="AJ55" t="e">
        <f t="shared" ca="1" si="64"/>
        <v>#N/A</v>
      </c>
      <c r="AK55" t="e">
        <f t="shared" ca="1" si="64"/>
        <v>#N/A</v>
      </c>
      <c r="AL55" t="e">
        <f t="shared" ca="1" si="64"/>
        <v>#N/A</v>
      </c>
      <c r="AM55" t="e">
        <f t="shared" ca="1" si="64"/>
        <v>#N/A</v>
      </c>
      <c r="AN55">
        <f t="shared" ca="1" si="20"/>
        <v>0</v>
      </c>
      <c r="AO55">
        <f t="shared" ca="1" si="21"/>
        <v>0</v>
      </c>
      <c r="AP55">
        <f t="shared" ca="1" si="22"/>
        <v>0</v>
      </c>
      <c r="AQ55">
        <f t="shared" ca="1" si="23"/>
        <v>0</v>
      </c>
      <c r="AR55">
        <f t="shared" ca="1" si="24"/>
        <v>0</v>
      </c>
      <c r="AS55">
        <f t="shared" ca="1" si="25"/>
        <v>0</v>
      </c>
      <c r="AT55">
        <f t="shared" ca="1" si="26"/>
        <v>0</v>
      </c>
      <c r="AV55">
        <f t="shared" si="6"/>
        <v>2581</v>
      </c>
      <c r="AW55" cm="1">
        <f t="array" ref="AW55">INDEX(auto_DataFlat_Score,$AV55,1)</f>
        <v>30.5</v>
      </c>
      <c r="AX55" cm="1">
        <f t="array" ref="AX55">INDEX(auto_DataFlat_DataValue,$AV55,1)</f>
        <v>0</v>
      </c>
      <c r="BA55">
        <f t="shared" si="27"/>
        <v>1.3000000000000007</v>
      </c>
      <c r="BB55">
        <f t="shared" si="28"/>
        <v>1</v>
      </c>
      <c r="BC55">
        <f t="shared" si="29"/>
        <v>-1</v>
      </c>
      <c r="BD55" t="e">
        <f t="shared" ca="1" si="62"/>
        <v>#N/A</v>
      </c>
      <c r="BE55" t="e">
        <f t="shared" ca="1" si="62"/>
        <v>#N/A</v>
      </c>
      <c r="BF55" t="e">
        <f t="shared" ca="1" si="62"/>
        <v>#N/A</v>
      </c>
      <c r="BH55">
        <f t="shared" ca="1" si="30"/>
        <v>0</v>
      </c>
      <c r="BI55">
        <f t="shared" ca="1" si="30"/>
        <v>0</v>
      </c>
      <c r="BJ55">
        <f t="shared" ca="1" si="30"/>
        <v>0</v>
      </c>
      <c r="BM55">
        <f t="shared" si="31"/>
        <v>-1</v>
      </c>
      <c r="BN55" t="e">
        <f t="shared" ca="1" si="32"/>
        <v>#N/A</v>
      </c>
      <c r="BO55" t="e">
        <f t="shared" ca="1" si="33"/>
        <v>#N/A</v>
      </c>
      <c r="BP55" t="e">
        <f t="shared" ca="1" si="34"/>
        <v>#N/A</v>
      </c>
      <c r="BQ55" t="e">
        <f t="shared" ca="1" si="35"/>
        <v>#N/A</v>
      </c>
      <c r="BR55" t="e">
        <f t="shared" ca="1" si="36"/>
        <v>#N/A</v>
      </c>
      <c r="BS55" t="e">
        <f t="shared" ca="1" si="37"/>
        <v>#N/A</v>
      </c>
      <c r="BT55" t="e">
        <f t="shared" ca="1" si="38"/>
        <v>#N/A</v>
      </c>
      <c r="BU55">
        <f t="shared" ca="1" si="39"/>
        <v>0</v>
      </c>
      <c r="BV55">
        <f t="shared" ca="1" si="40"/>
        <v>0</v>
      </c>
      <c r="BW55">
        <f t="shared" ca="1" si="41"/>
        <v>0</v>
      </c>
      <c r="BX55">
        <f t="shared" ca="1" si="42"/>
        <v>0</v>
      </c>
      <c r="BY55">
        <f t="shared" ca="1" si="43"/>
        <v>0</v>
      </c>
      <c r="BZ55">
        <f t="shared" ca="1" si="10"/>
        <v>0</v>
      </c>
      <c r="CA55">
        <f t="shared" ca="1" si="11"/>
        <v>0</v>
      </c>
    </row>
    <row r="56" spans="1:79" x14ac:dyDescent="0.4">
      <c r="A56" t="str">
        <f t="shared" si="61"/>
        <v/>
      </c>
      <c r="B56">
        <v>45</v>
      </c>
      <c r="C56" t="str" cm="1">
        <f t="array" ref="C56">INDEX(auto_Series_Code,B56)</f>
        <v>SUBINDI_023</v>
      </c>
      <c r="D56" cm="1">
        <f t="array" ref="D56">INDEX(auto_tblSeries,$B56,D$11)</f>
        <v>3</v>
      </c>
      <c r="E56" cm="1">
        <f t="array" ref="E56">INDEX(auto_tblSeries,$B56,E$11)</f>
        <v>0</v>
      </c>
      <c r="F56" cm="1">
        <f t="array" ref="F56">INDEX(auto_tblSeries,$B56,F$11)</f>
        <v>1</v>
      </c>
      <c r="G56" cm="1">
        <f t="array" ref="G56">INDEX(auto_tblSeries,$B56,G$11)</f>
        <v>0</v>
      </c>
      <c r="H56" cm="1">
        <f t="array" ref="H56">INDEX(auto_tblSeries,$B56,H$11)</f>
        <v>2</v>
      </c>
      <c r="I56">
        <f t="shared" si="0"/>
        <v>2691</v>
      </c>
      <c r="K56" cm="1">
        <f t="array" ref="K56">INDEX(auto_DataFlat_Score,$I56,K$10)</f>
        <v>41.5</v>
      </c>
      <c r="L56" t="str" cm="1">
        <f t="array" ref="L56">INDEX(auto_DataFlat_Rank,$I56,L$10)</f>
        <v>n/a</v>
      </c>
      <c r="M56" cm="1">
        <f t="array" ref="M56">INDEX(auto_DataFlat_DataValue,$I56,M$10)</f>
        <v>0</v>
      </c>
      <c r="N56" cm="1">
        <f t="array" ref="N56">INDEX(auto_DataFlat_Classification,$I56,M$10)</f>
        <v>3</v>
      </c>
      <c r="O56" cm="1">
        <f t="array" ref="O56">INDEX(auto_DataFlat_IsEstimate,$I56,O$10)</f>
        <v>0</v>
      </c>
      <c r="P56" t="str" cm="1">
        <f t="array" ref="P56">IF(INDEX(auto_DataFlat_DataYear,$I56,P$10)=0,"n/a",INDEX(auto_DataFlat_DataYear,$I56,P$10))</f>
        <v>n/a</v>
      </c>
      <c r="R56">
        <f t="shared" si="1"/>
        <v>2691</v>
      </c>
      <c r="S56" cm="1">
        <f t="array" ref="S56">INDEX(auto_DataFlat_Score,$R56,S$10)</f>
        <v>41.5</v>
      </c>
      <c r="U56">
        <f t="shared" si="12"/>
        <v>0</v>
      </c>
      <c r="V56">
        <f t="shared" si="13"/>
        <v>2</v>
      </c>
      <c r="W56">
        <f t="shared" si="14"/>
        <v>-1</v>
      </c>
      <c r="X56" t="e">
        <f t="shared" ca="1" si="63"/>
        <v>#N/A</v>
      </c>
      <c r="Y56" t="e">
        <f t="shared" ca="1" si="63"/>
        <v>#N/A</v>
      </c>
      <c r="Z56" t="e">
        <f t="shared" ca="1" si="63"/>
        <v>#N/A</v>
      </c>
      <c r="AB56">
        <f t="shared" ca="1" si="16"/>
        <v>0</v>
      </c>
      <c r="AC56">
        <f t="shared" ca="1" si="16"/>
        <v>0</v>
      </c>
      <c r="AD56">
        <f t="shared" ca="1" si="16"/>
        <v>0</v>
      </c>
      <c r="AF56">
        <f t="shared" si="17"/>
        <v>3</v>
      </c>
      <c r="AG56" t="e">
        <f t="shared" ca="1" si="64"/>
        <v>#N/A</v>
      </c>
      <c r="AH56" t="e">
        <f t="shared" ca="1" si="64"/>
        <v>#N/A</v>
      </c>
      <c r="AI56" t="e">
        <f t="shared" ca="1" si="64"/>
        <v>#N/A</v>
      </c>
      <c r="AJ56" t="e">
        <f t="shared" ca="1" si="64"/>
        <v>#N/A</v>
      </c>
      <c r="AK56" t="e">
        <f t="shared" ca="1" si="64"/>
        <v>#N/A</v>
      </c>
      <c r="AL56" t="e">
        <f t="shared" ca="1" si="64"/>
        <v>#N/A</v>
      </c>
      <c r="AM56" t="e">
        <f t="shared" ca="1" si="64"/>
        <v>#N/A</v>
      </c>
      <c r="AN56">
        <f t="shared" ca="1" si="20"/>
        <v>0</v>
      </c>
      <c r="AO56">
        <f t="shared" ca="1" si="21"/>
        <v>0</v>
      </c>
      <c r="AP56">
        <f t="shared" ca="1" si="22"/>
        <v>0</v>
      </c>
      <c r="AQ56">
        <f t="shared" ca="1" si="23"/>
        <v>0</v>
      </c>
      <c r="AR56">
        <f t="shared" ca="1" si="24"/>
        <v>0</v>
      </c>
      <c r="AS56">
        <f t="shared" ca="1" si="25"/>
        <v>0</v>
      </c>
      <c r="AT56">
        <f t="shared" ca="1" si="26"/>
        <v>0</v>
      </c>
      <c r="AV56">
        <f t="shared" si="6"/>
        <v>2641</v>
      </c>
      <c r="AW56" cm="1">
        <f t="array" ref="AW56">INDEX(auto_DataFlat_Score,$AV56,1)</f>
        <v>61</v>
      </c>
      <c r="AX56" cm="1">
        <f t="array" ref="AX56">INDEX(auto_DataFlat_DataValue,$AV56,1)</f>
        <v>2.0299999999999998</v>
      </c>
      <c r="BA56">
        <f t="shared" si="27"/>
        <v>-19.5</v>
      </c>
      <c r="BB56">
        <f t="shared" si="28"/>
        <v>3</v>
      </c>
      <c r="BC56">
        <f t="shared" si="29"/>
        <v>3</v>
      </c>
      <c r="BD56" t="e">
        <f t="shared" ca="1" si="62"/>
        <v>#N/A</v>
      </c>
      <c r="BE56" t="e">
        <f t="shared" ca="1" si="62"/>
        <v>#N/A</v>
      </c>
      <c r="BF56" t="e">
        <f t="shared" ca="1" si="62"/>
        <v>#N/A</v>
      </c>
      <c r="BH56">
        <f t="shared" ca="1" si="30"/>
        <v>0</v>
      </c>
      <c r="BI56">
        <f t="shared" ca="1" si="30"/>
        <v>0</v>
      </c>
      <c r="BJ56">
        <f t="shared" ca="1" si="30"/>
        <v>0</v>
      </c>
      <c r="BM56">
        <f t="shared" si="31"/>
        <v>-1</v>
      </c>
      <c r="BN56" t="e">
        <f t="shared" ca="1" si="32"/>
        <v>#N/A</v>
      </c>
      <c r="BO56" t="e">
        <f t="shared" ca="1" si="33"/>
        <v>#N/A</v>
      </c>
      <c r="BP56" t="e">
        <f t="shared" ca="1" si="34"/>
        <v>#N/A</v>
      </c>
      <c r="BQ56" t="e">
        <f t="shared" ca="1" si="35"/>
        <v>#N/A</v>
      </c>
      <c r="BR56" t="e">
        <f t="shared" ca="1" si="36"/>
        <v>#N/A</v>
      </c>
      <c r="BS56" t="e">
        <f t="shared" ca="1" si="37"/>
        <v>#N/A</v>
      </c>
      <c r="BT56" t="e">
        <f t="shared" ca="1" si="38"/>
        <v>#N/A</v>
      </c>
      <c r="BU56">
        <f t="shared" ca="1" si="39"/>
        <v>0</v>
      </c>
      <c r="BV56">
        <f t="shared" ca="1" si="40"/>
        <v>0</v>
      </c>
      <c r="BW56">
        <f t="shared" ca="1" si="41"/>
        <v>0</v>
      </c>
      <c r="BX56">
        <f t="shared" ca="1" si="42"/>
        <v>0</v>
      </c>
      <c r="BY56">
        <f t="shared" ca="1" si="43"/>
        <v>0</v>
      </c>
      <c r="BZ56">
        <f t="shared" ca="1" si="10"/>
        <v>0</v>
      </c>
      <c r="CA56">
        <f t="shared" ca="1" si="11"/>
        <v>0</v>
      </c>
    </row>
    <row r="57" spans="1:79" x14ac:dyDescent="0.4">
      <c r="A57" t="str">
        <f t="shared" si="61"/>
        <v/>
      </c>
      <c r="B57">
        <v>46</v>
      </c>
      <c r="C57" t="str" cm="1">
        <f t="array" ref="C57">INDEX(auto_Series_Code,B57)</f>
        <v>SUBINDI_024</v>
      </c>
      <c r="D57" cm="1">
        <f t="array" ref="D57">INDEX(auto_tblSeries,$B57,D$11)</f>
        <v>3</v>
      </c>
      <c r="E57" cm="1">
        <f t="array" ref="E57">INDEX(auto_tblSeries,$B57,E$11)</f>
        <v>0</v>
      </c>
      <c r="F57" cm="1">
        <f t="array" ref="F57">INDEX(auto_tblSeries,$B57,F$11)</f>
        <v>1</v>
      </c>
      <c r="G57" cm="1">
        <f t="array" ref="G57">INDEX(auto_tblSeries,$B57,G$11)</f>
        <v>0</v>
      </c>
      <c r="H57" cm="1">
        <f t="array" ref="H57">INDEX(auto_tblSeries,$B57,H$11)</f>
        <v>0</v>
      </c>
      <c r="I57">
        <f t="shared" si="0"/>
        <v>2751</v>
      </c>
      <c r="K57" cm="1">
        <f t="array" ref="K57">INDEX(auto_DataFlat_Score,$I57,K$10)</f>
        <v>22</v>
      </c>
      <c r="L57" t="str" cm="1">
        <f t="array" ref="L57">INDEX(auto_DataFlat_Rank,$I57,L$10)</f>
        <v>n/a</v>
      </c>
      <c r="M57" cm="1">
        <f t="array" ref="M57">INDEX(auto_DataFlat_DataValue,$I57,M$10)</f>
        <v>0</v>
      </c>
      <c r="N57" cm="1">
        <f t="array" ref="N57">INDEX(auto_DataFlat_Classification,$I57,M$10)</f>
        <v>2</v>
      </c>
      <c r="O57" cm="1">
        <f t="array" ref="O57">INDEX(auto_DataFlat_IsEstimate,$I57,O$10)</f>
        <v>0</v>
      </c>
      <c r="P57" t="str" cm="1">
        <f t="array" ref="P57">IF(INDEX(auto_DataFlat_DataYear,$I57,P$10)=0,"n/a",INDEX(auto_DataFlat_DataYear,$I57,P$10))</f>
        <v>n/a</v>
      </c>
      <c r="R57">
        <f t="shared" si="1"/>
        <v>2751</v>
      </c>
      <c r="S57" cm="1">
        <f t="array" ref="S57">INDEX(auto_DataFlat_Score,$R57,S$10)</f>
        <v>22</v>
      </c>
      <c r="U57">
        <f t="shared" si="12"/>
        <v>0</v>
      </c>
      <c r="V57">
        <f t="shared" si="13"/>
        <v>2</v>
      </c>
      <c r="W57">
        <f t="shared" si="14"/>
        <v>-1</v>
      </c>
      <c r="X57" t="e">
        <f t="shared" ca="1" si="63"/>
        <v>#N/A</v>
      </c>
      <c r="Y57" t="e">
        <f t="shared" ca="1" si="63"/>
        <v>#N/A</v>
      </c>
      <c r="Z57" t="e">
        <f t="shared" ca="1" si="63"/>
        <v>#N/A</v>
      </c>
      <c r="AB57">
        <f t="shared" ref="AB57:AD120" ca="1" si="65">IFERROR(X57,0)</f>
        <v>0</v>
      </c>
      <c r="AC57">
        <f t="shared" ca="1" si="65"/>
        <v>0</v>
      </c>
      <c r="AD57">
        <f t="shared" ca="1" si="65"/>
        <v>0</v>
      </c>
      <c r="AF57">
        <f t="shared" si="17"/>
        <v>2</v>
      </c>
      <c r="AG57" t="e">
        <f t="shared" ca="1" si="64"/>
        <v>#N/A</v>
      </c>
      <c r="AH57" t="e">
        <f t="shared" ca="1" si="64"/>
        <v>#N/A</v>
      </c>
      <c r="AI57" t="e">
        <f t="shared" ca="1" si="64"/>
        <v>#N/A</v>
      </c>
      <c r="AJ57" t="e">
        <f t="shared" ca="1" si="64"/>
        <v>#N/A</v>
      </c>
      <c r="AK57" t="e">
        <f t="shared" ca="1" si="64"/>
        <v>#N/A</v>
      </c>
      <c r="AL57" t="e">
        <f t="shared" ca="1" si="64"/>
        <v>#N/A</v>
      </c>
      <c r="AM57" t="e">
        <f t="shared" ca="1" si="64"/>
        <v>#N/A</v>
      </c>
      <c r="AN57">
        <f t="shared" ca="1" si="20"/>
        <v>0</v>
      </c>
      <c r="AO57">
        <f t="shared" ca="1" si="21"/>
        <v>0</v>
      </c>
      <c r="AP57">
        <f t="shared" ca="1" si="22"/>
        <v>0</v>
      </c>
      <c r="AQ57">
        <f t="shared" ca="1" si="23"/>
        <v>0</v>
      </c>
      <c r="AR57">
        <f t="shared" ca="1" si="24"/>
        <v>0</v>
      </c>
      <c r="AS57">
        <f t="shared" ca="1" si="25"/>
        <v>0</v>
      </c>
      <c r="AT57">
        <f t="shared" ca="1" si="26"/>
        <v>0</v>
      </c>
      <c r="AV57">
        <f t="shared" si="6"/>
        <v>2701</v>
      </c>
      <c r="AW57" cm="1">
        <f t="array" ref="AW57">INDEX(auto_DataFlat_Score,$AV57,1)</f>
        <v>0</v>
      </c>
      <c r="AX57" cm="1">
        <f t="array" ref="AX57">INDEX(auto_DataFlat_DataValue,$AV57,1)</f>
        <v>0</v>
      </c>
      <c r="BA57">
        <f t="shared" si="27"/>
        <v>22</v>
      </c>
      <c r="BB57">
        <f t="shared" si="28"/>
        <v>1</v>
      </c>
      <c r="BC57">
        <f t="shared" si="29"/>
        <v>1</v>
      </c>
      <c r="BD57" t="e">
        <f t="shared" ca="1" si="62"/>
        <v>#N/A</v>
      </c>
      <c r="BE57" t="e">
        <f t="shared" ca="1" si="62"/>
        <v>#N/A</v>
      </c>
      <c r="BF57" t="e">
        <f t="shared" ca="1" si="62"/>
        <v>#N/A</v>
      </c>
      <c r="BH57">
        <f t="shared" ref="BH57:BJ120" ca="1" si="66">IFERROR(BD57,0)</f>
        <v>0</v>
      </c>
      <c r="BI57">
        <f t="shared" ca="1" si="66"/>
        <v>0</v>
      </c>
      <c r="BJ57">
        <f t="shared" ca="1" si="66"/>
        <v>0</v>
      </c>
      <c r="BM57">
        <f t="shared" si="31"/>
        <v>-1</v>
      </c>
      <c r="BN57" t="e">
        <f t="shared" ca="1" si="32"/>
        <v>#N/A</v>
      </c>
      <c r="BO57" t="e">
        <f t="shared" ca="1" si="33"/>
        <v>#N/A</v>
      </c>
      <c r="BP57" t="e">
        <f t="shared" ca="1" si="34"/>
        <v>#N/A</v>
      </c>
      <c r="BQ57" t="e">
        <f t="shared" ca="1" si="35"/>
        <v>#N/A</v>
      </c>
      <c r="BR57" t="e">
        <f t="shared" ca="1" si="36"/>
        <v>#N/A</v>
      </c>
      <c r="BS57" t="e">
        <f t="shared" ca="1" si="37"/>
        <v>#N/A</v>
      </c>
      <c r="BT57" t="e">
        <f t="shared" ca="1" si="38"/>
        <v>#N/A</v>
      </c>
      <c r="BU57">
        <f t="shared" ca="1" si="39"/>
        <v>0</v>
      </c>
      <c r="BV57">
        <f t="shared" ca="1" si="40"/>
        <v>0</v>
      </c>
      <c r="BW57">
        <f t="shared" ca="1" si="41"/>
        <v>0</v>
      </c>
      <c r="BX57">
        <f t="shared" ca="1" si="42"/>
        <v>0</v>
      </c>
      <c r="BY57">
        <f t="shared" ca="1" si="43"/>
        <v>0</v>
      </c>
      <c r="BZ57">
        <f t="shared" ca="1" si="10"/>
        <v>0</v>
      </c>
      <c r="CA57">
        <f t="shared" ca="1" si="11"/>
        <v>0</v>
      </c>
    </row>
    <row r="58" spans="1:79" x14ac:dyDescent="0.4">
      <c r="A58" t="str">
        <f t="shared" si="61"/>
        <v/>
      </c>
      <c r="B58">
        <v>47</v>
      </c>
      <c r="C58" t="str" cm="1">
        <f t="array" ref="C58">INDEX(auto_Series_Code,B58)</f>
        <v>DOMAIN_004</v>
      </c>
      <c r="D58" cm="1">
        <f t="array" ref="D58">INDEX(auto_tblSeries,$B58,D$11)</f>
        <v>1</v>
      </c>
      <c r="E58" cm="1">
        <f t="array" ref="E58">INDEX(auto_tblSeries,$B58,E$11)</f>
        <v>0</v>
      </c>
      <c r="F58" cm="1">
        <f t="array" ref="F58">INDEX(auto_tblSeries,$B58,F$11)</f>
        <v>0</v>
      </c>
      <c r="G58" cm="1">
        <f t="array" ref="G58">INDEX(auto_tblSeries,$B58,G$11)</f>
        <v>0</v>
      </c>
      <c r="H58" cm="1">
        <f t="array" ref="H58">INDEX(auto_tblSeries,$B58,H$11)</f>
        <v>1</v>
      </c>
      <c r="I58">
        <f t="shared" si="0"/>
        <v>2811</v>
      </c>
      <c r="K58" cm="1">
        <f t="array" ref="K58">INDEX(auto_DataFlat_Score,$I58,K$10)</f>
        <v>64.3</v>
      </c>
      <c r="L58" t="str" cm="1">
        <f t="array" ref="L58">INDEX(auto_DataFlat_Rank,$I58,L$10)</f>
        <v>n/a</v>
      </c>
      <c r="M58" cm="1">
        <f t="array" ref="M58">INDEX(auto_DataFlat_DataValue,$I58,M$10)</f>
        <v>0</v>
      </c>
      <c r="N58" cm="1">
        <f t="array" ref="N58">INDEX(auto_DataFlat_Classification,$I58,M$10)</f>
        <v>4</v>
      </c>
      <c r="O58" cm="1">
        <f t="array" ref="O58">INDEX(auto_DataFlat_IsEstimate,$I58,O$10)</f>
        <v>0</v>
      </c>
      <c r="P58" t="str" cm="1">
        <f t="array" ref="P58">IF(INDEX(auto_DataFlat_DataYear,$I58,P$10)=0,"n/a",INDEX(auto_DataFlat_DataYear,$I58,P$10))</f>
        <v>n/a</v>
      </c>
      <c r="R58">
        <f t="shared" si="1"/>
        <v>2811</v>
      </c>
      <c r="S58" cm="1">
        <f t="array" ref="S58">INDEX(auto_DataFlat_Score,$R58,S$10)</f>
        <v>64.3</v>
      </c>
      <c r="U58">
        <f t="shared" si="12"/>
        <v>0</v>
      </c>
      <c r="V58">
        <f t="shared" si="13"/>
        <v>2</v>
      </c>
      <c r="W58">
        <f t="shared" si="14"/>
        <v>-1</v>
      </c>
      <c r="X58" t="e">
        <f t="shared" ca="1" si="63"/>
        <v>#N/A</v>
      </c>
      <c r="Y58" t="e">
        <f t="shared" ca="1" si="63"/>
        <v>#N/A</v>
      </c>
      <c r="Z58" t="e">
        <f t="shared" ca="1" si="63"/>
        <v>#N/A</v>
      </c>
      <c r="AB58">
        <f t="shared" ca="1" si="65"/>
        <v>0</v>
      </c>
      <c r="AC58">
        <f t="shared" ca="1" si="65"/>
        <v>0</v>
      </c>
      <c r="AD58">
        <f t="shared" ca="1" si="65"/>
        <v>0</v>
      </c>
      <c r="AF58">
        <f t="shared" si="17"/>
        <v>-1</v>
      </c>
      <c r="AG58" t="e">
        <f t="shared" ca="1" si="64"/>
        <v>#N/A</v>
      </c>
      <c r="AH58" t="e">
        <f t="shared" ca="1" si="64"/>
        <v>#N/A</v>
      </c>
      <c r="AI58" t="e">
        <f t="shared" ca="1" si="64"/>
        <v>#N/A</v>
      </c>
      <c r="AJ58" t="e">
        <f t="shared" ca="1" si="64"/>
        <v>#N/A</v>
      </c>
      <c r="AK58" t="e">
        <f t="shared" ca="1" si="64"/>
        <v>#N/A</v>
      </c>
      <c r="AL58" t="e">
        <f t="shared" ca="1" si="64"/>
        <v>#N/A</v>
      </c>
      <c r="AM58" t="e">
        <f t="shared" ca="1" si="64"/>
        <v>#N/A</v>
      </c>
      <c r="AN58">
        <f t="shared" ca="1" si="20"/>
        <v>0</v>
      </c>
      <c r="AO58">
        <f t="shared" ca="1" si="21"/>
        <v>0</v>
      </c>
      <c r="AP58">
        <f t="shared" ca="1" si="22"/>
        <v>0</v>
      </c>
      <c r="AQ58">
        <f t="shared" ca="1" si="23"/>
        <v>0</v>
      </c>
      <c r="AR58">
        <f t="shared" ca="1" si="24"/>
        <v>0</v>
      </c>
      <c r="AS58">
        <f t="shared" ca="1" si="25"/>
        <v>0</v>
      </c>
      <c r="AT58">
        <f t="shared" ca="1" si="26"/>
        <v>0</v>
      </c>
      <c r="AV58">
        <f t="shared" si="6"/>
        <v>2761</v>
      </c>
      <c r="AW58" cm="1">
        <f t="array" ref="AW58">INDEX(auto_DataFlat_Score,$AV58,1)</f>
        <v>19.100000000000001</v>
      </c>
      <c r="AX58" cm="1">
        <f t="array" ref="AX58">INDEX(auto_DataFlat_DataValue,$AV58,1)</f>
        <v>0</v>
      </c>
      <c r="BA58">
        <f t="shared" si="27"/>
        <v>45.199999999999996</v>
      </c>
      <c r="BB58">
        <f t="shared" si="28"/>
        <v>1</v>
      </c>
      <c r="BC58">
        <f t="shared" si="29"/>
        <v>-1</v>
      </c>
      <c r="BD58" t="e">
        <f t="shared" ca="1" si="62"/>
        <v>#N/A</v>
      </c>
      <c r="BE58" t="e">
        <f t="shared" ca="1" si="62"/>
        <v>#N/A</v>
      </c>
      <c r="BF58" t="e">
        <f t="shared" ca="1" si="62"/>
        <v>#N/A</v>
      </c>
      <c r="BH58">
        <f t="shared" ca="1" si="66"/>
        <v>0</v>
      </c>
      <c r="BI58">
        <f t="shared" ca="1" si="66"/>
        <v>0</v>
      </c>
      <c r="BJ58">
        <f t="shared" ca="1" si="66"/>
        <v>0</v>
      </c>
      <c r="BM58">
        <f t="shared" si="31"/>
        <v>-1</v>
      </c>
      <c r="BN58" t="e">
        <f t="shared" ca="1" si="32"/>
        <v>#N/A</v>
      </c>
      <c r="BO58" t="e">
        <f t="shared" ca="1" si="33"/>
        <v>#N/A</v>
      </c>
      <c r="BP58" t="e">
        <f t="shared" ca="1" si="34"/>
        <v>#N/A</v>
      </c>
      <c r="BQ58" t="e">
        <f t="shared" ca="1" si="35"/>
        <v>#N/A</v>
      </c>
      <c r="BR58" t="e">
        <f t="shared" ca="1" si="36"/>
        <v>#N/A</v>
      </c>
      <c r="BS58" t="e">
        <f t="shared" ca="1" si="37"/>
        <v>#N/A</v>
      </c>
      <c r="BT58" t="e">
        <f t="shared" ca="1" si="38"/>
        <v>#N/A</v>
      </c>
      <c r="BU58">
        <f t="shared" ca="1" si="39"/>
        <v>0</v>
      </c>
      <c r="BV58">
        <f t="shared" ca="1" si="40"/>
        <v>0</v>
      </c>
      <c r="BW58">
        <f t="shared" ca="1" si="41"/>
        <v>0</v>
      </c>
      <c r="BX58">
        <f t="shared" ca="1" si="42"/>
        <v>0</v>
      </c>
      <c r="BY58">
        <f t="shared" ca="1" si="43"/>
        <v>0</v>
      </c>
      <c r="BZ58">
        <f t="shared" ca="1" si="10"/>
        <v>0</v>
      </c>
      <c r="CA58">
        <f t="shared" ca="1" si="11"/>
        <v>0</v>
      </c>
    </row>
    <row r="59" spans="1:79" x14ac:dyDescent="0.4">
      <c r="A59" t="str">
        <f t="shared" si="61"/>
        <v/>
      </c>
      <c r="B59">
        <v>48</v>
      </c>
      <c r="C59" t="str" cm="1">
        <f t="array" ref="C59">INDEX(auto_Series_Code,B59)</f>
        <v>INDI_019</v>
      </c>
      <c r="D59" cm="1">
        <f t="array" ref="D59">INDEX(auto_tblSeries,$B59,D$11)</f>
        <v>2</v>
      </c>
      <c r="E59" cm="1">
        <f t="array" ref="E59">INDEX(auto_tblSeries,$B59,E$11)</f>
        <v>0</v>
      </c>
      <c r="F59" cm="1">
        <f t="array" ref="F59">INDEX(auto_tblSeries,$B59,F$11)</f>
        <v>1</v>
      </c>
      <c r="G59" cm="1">
        <f t="array" ref="G59">INDEX(auto_tblSeries,$B59,G$11)</f>
        <v>0</v>
      </c>
      <c r="H59" cm="1">
        <f t="array" ref="H59">INDEX(auto_tblSeries,$B59,H$11)</f>
        <v>0</v>
      </c>
      <c r="I59">
        <f t="shared" si="0"/>
        <v>2871</v>
      </c>
      <c r="K59" cm="1">
        <f t="array" ref="K59">INDEX(auto_DataFlat_Score,$I59,K$10)</f>
        <v>89</v>
      </c>
      <c r="L59" t="str" cm="1">
        <f t="array" ref="L59">INDEX(auto_DataFlat_Rank,$I59,L$10)</f>
        <v>n/a</v>
      </c>
      <c r="M59" cm="1">
        <f t="array" ref="M59">INDEX(auto_DataFlat_DataValue,$I59,M$10)</f>
        <v>0</v>
      </c>
      <c r="N59" cm="1">
        <f t="array" ref="N59">INDEX(auto_DataFlat_Classification,$I59,M$10)</f>
        <v>5</v>
      </c>
      <c r="O59" cm="1">
        <f t="array" ref="O59">INDEX(auto_DataFlat_IsEstimate,$I59,O$10)</f>
        <v>0</v>
      </c>
      <c r="P59" t="str" cm="1">
        <f t="array" ref="P59">IF(INDEX(auto_DataFlat_DataYear,$I59,P$10)=0,"n/a",INDEX(auto_DataFlat_DataYear,$I59,P$10))</f>
        <v>n/a</v>
      </c>
      <c r="R59">
        <f t="shared" si="1"/>
        <v>2871</v>
      </c>
      <c r="S59" cm="1">
        <f t="array" ref="S59">INDEX(auto_DataFlat_Score,$R59,S$10)</f>
        <v>89</v>
      </c>
      <c r="U59">
        <f t="shared" si="12"/>
        <v>0</v>
      </c>
      <c r="V59">
        <f t="shared" si="13"/>
        <v>2</v>
      </c>
      <c r="W59">
        <f t="shared" si="14"/>
        <v>2</v>
      </c>
      <c r="X59" t="e">
        <f t="shared" ca="1" si="63"/>
        <v>#N/A</v>
      </c>
      <c r="Y59" t="e">
        <f t="shared" ca="1" si="63"/>
        <v>#N/A</v>
      </c>
      <c r="Z59" t="e">
        <f t="shared" ca="1" si="63"/>
        <v>#N/A</v>
      </c>
      <c r="AB59">
        <f t="shared" ca="1" si="65"/>
        <v>0</v>
      </c>
      <c r="AC59">
        <f t="shared" ca="1" si="65"/>
        <v>0</v>
      </c>
      <c r="AD59">
        <f t="shared" ca="1" si="65"/>
        <v>0</v>
      </c>
      <c r="AF59">
        <f t="shared" si="17"/>
        <v>-1</v>
      </c>
      <c r="AG59" t="e">
        <f t="shared" ca="1" si="64"/>
        <v>#N/A</v>
      </c>
      <c r="AH59" t="e">
        <f t="shared" ca="1" si="64"/>
        <v>#N/A</v>
      </c>
      <c r="AI59" t="e">
        <f t="shared" ca="1" si="64"/>
        <v>#N/A</v>
      </c>
      <c r="AJ59" t="e">
        <f t="shared" ca="1" si="64"/>
        <v>#N/A</v>
      </c>
      <c r="AK59" t="e">
        <f t="shared" ca="1" si="64"/>
        <v>#N/A</v>
      </c>
      <c r="AL59" t="e">
        <f t="shared" ca="1" si="64"/>
        <v>#N/A</v>
      </c>
      <c r="AM59" t="e">
        <f t="shared" ca="1" si="64"/>
        <v>#N/A</v>
      </c>
      <c r="AN59">
        <f t="shared" ca="1" si="20"/>
        <v>0</v>
      </c>
      <c r="AO59">
        <f t="shared" ca="1" si="21"/>
        <v>0</v>
      </c>
      <c r="AP59">
        <f t="shared" ca="1" si="22"/>
        <v>0</v>
      </c>
      <c r="AQ59">
        <f t="shared" ca="1" si="23"/>
        <v>0</v>
      </c>
      <c r="AR59">
        <f t="shared" ca="1" si="24"/>
        <v>0</v>
      </c>
      <c r="AS59">
        <f t="shared" ca="1" si="25"/>
        <v>0</v>
      </c>
      <c r="AT59">
        <f t="shared" ca="1" si="26"/>
        <v>0</v>
      </c>
      <c r="AV59">
        <f t="shared" si="6"/>
        <v>2821</v>
      </c>
      <c r="AW59" cm="1">
        <f t="array" ref="AW59">INDEX(auto_DataFlat_Score,$AV59,1)</f>
        <v>0</v>
      </c>
      <c r="AX59" cm="1">
        <f t="array" ref="AX59">INDEX(auto_DataFlat_DataValue,$AV59,1)</f>
        <v>0</v>
      </c>
      <c r="BA59">
        <f t="shared" si="27"/>
        <v>89</v>
      </c>
      <c r="BB59">
        <f t="shared" si="28"/>
        <v>1</v>
      </c>
      <c r="BC59">
        <f t="shared" si="29"/>
        <v>-1</v>
      </c>
      <c r="BD59" t="e">
        <f t="shared" ca="1" si="62"/>
        <v>#N/A</v>
      </c>
      <c r="BE59" t="e">
        <f t="shared" ca="1" si="62"/>
        <v>#N/A</v>
      </c>
      <c r="BF59" t="e">
        <f t="shared" ca="1" si="62"/>
        <v>#N/A</v>
      </c>
      <c r="BH59">
        <f t="shared" ca="1" si="66"/>
        <v>0</v>
      </c>
      <c r="BI59">
        <f t="shared" ca="1" si="66"/>
        <v>0</v>
      </c>
      <c r="BJ59">
        <f t="shared" ca="1" si="66"/>
        <v>0</v>
      </c>
      <c r="BM59">
        <f t="shared" si="31"/>
        <v>-1</v>
      </c>
      <c r="BN59" t="e">
        <f t="shared" ca="1" si="32"/>
        <v>#N/A</v>
      </c>
      <c r="BO59" t="e">
        <f t="shared" ca="1" si="33"/>
        <v>#N/A</v>
      </c>
      <c r="BP59" t="e">
        <f t="shared" ca="1" si="34"/>
        <v>#N/A</v>
      </c>
      <c r="BQ59" t="e">
        <f t="shared" ca="1" si="35"/>
        <v>#N/A</v>
      </c>
      <c r="BR59" t="e">
        <f t="shared" ca="1" si="36"/>
        <v>#N/A</v>
      </c>
      <c r="BS59" t="e">
        <f t="shared" ca="1" si="37"/>
        <v>#N/A</v>
      </c>
      <c r="BT59" t="e">
        <f t="shared" ca="1" si="38"/>
        <v>#N/A</v>
      </c>
      <c r="BU59">
        <f t="shared" ca="1" si="39"/>
        <v>0</v>
      </c>
      <c r="BV59">
        <f t="shared" ca="1" si="40"/>
        <v>0</v>
      </c>
      <c r="BW59">
        <f t="shared" ca="1" si="41"/>
        <v>0</v>
      </c>
      <c r="BX59">
        <f t="shared" ca="1" si="42"/>
        <v>0</v>
      </c>
      <c r="BY59">
        <f t="shared" ca="1" si="43"/>
        <v>0</v>
      </c>
      <c r="BZ59">
        <f t="shared" ca="1" si="10"/>
        <v>0</v>
      </c>
      <c r="CA59">
        <f t="shared" ca="1" si="11"/>
        <v>0</v>
      </c>
    </row>
    <row r="60" spans="1:79" x14ac:dyDescent="0.4">
      <c r="A60" t="str">
        <f t="shared" si="61"/>
        <v/>
      </c>
      <c r="B60">
        <v>49</v>
      </c>
      <c r="C60" t="str" cm="1">
        <f t="array" ref="C60">INDEX(auto_Series_Code,B60)</f>
        <v>INDI_020</v>
      </c>
      <c r="D60" cm="1">
        <f t="array" ref="D60">INDEX(auto_tblSeries,$B60,D$11)</f>
        <v>2</v>
      </c>
      <c r="E60" cm="1">
        <f t="array" ref="E60">INDEX(auto_tblSeries,$B60,E$11)</f>
        <v>0</v>
      </c>
      <c r="F60" cm="1">
        <f t="array" ref="F60">INDEX(auto_tblSeries,$B60,F$11)</f>
        <v>1</v>
      </c>
      <c r="G60" cm="1">
        <f t="array" ref="G60">INDEX(auto_tblSeries,$B60,G$11)</f>
        <v>0</v>
      </c>
      <c r="H60" cm="1">
        <f t="array" ref="H60">INDEX(auto_tblSeries,$B60,H$11)</f>
        <v>0</v>
      </c>
      <c r="I60">
        <f t="shared" si="0"/>
        <v>2931</v>
      </c>
      <c r="K60" cm="1">
        <f t="array" ref="K60">INDEX(auto_DataFlat_Score,$I60,K$10)</f>
        <v>56.9</v>
      </c>
      <c r="L60" t="str" cm="1">
        <f t="array" ref="L60">INDEX(auto_DataFlat_Rank,$I60,L$10)</f>
        <v>n/a</v>
      </c>
      <c r="M60" cm="1">
        <f t="array" ref="M60">INDEX(auto_DataFlat_DataValue,$I60,M$10)</f>
        <v>0</v>
      </c>
      <c r="N60" cm="1">
        <f t="array" ref="N60">INDEX(auto_DataFlat_Classification,$I60,M$10)</f>
        <v>3</v>
      </c>
      <c r="O60" cm="1">
        <f t="array" ref="O60">INDEX(auto_DataFlat_IsEstimate,$I60,O$10)</f>
        <v>0</v>
      </c>
      <c r="P60" t="str" cm="1">
        <f t="array" ref="P60">IF(INDEX(auto_DataFlat_DataYear,$I60,P$10)=0,"n/a",INDEX(auto_DataFlat_DataYear,$I60,P$10))</f>
        <v>n/a</v>
      </c>
      <c r="R60">
        <f t="shared" si="1"/>
        <v>2931</v>
      </c>
      <c r="S60" cm="1">
        <f t="array" ref="S60">INDEX(auto_DataFlat_Score,$R60,S$10)</f>
        <v>56.9</v>
      </c>
      <c r="U60">
        <f t="shared" si="12"/>
        <v>0</v>
      </c>
      <c r="V60">
        <f t="shared" si="13"/>
        <v>2</v>
      </c>
      <c r="W60">
        <f t="shared" si="14"/>
        <v>2</v>
      </c>
      <c r="X60" t="e">
        <f t="shared" ca="1" si="63"/>
        <v>#N/A</v>
      </c>
      <c r="Y60" t="e">
        <f t="shared" ca="1" si="63"/>
        <v>#N/A</v>
      </c>
      <c r="Z60" t="e">
        <f t="shared" ca="1" si="63"/>
        <v>#N/A</v>
      </c>
      <c r="AB60">
        <f t="shared" ca="1" si="65"/>
        <v>0</v>
      </c>
      <c r="AC60">
        <f t="shared" ca="1" si="65"/>
        <v>0</v>
      </c>
      <c r="AD60">
        <f t="shared" ca="1" si="65"/>
        <v>0</v>
      </c>
      <c r="AF60">
        <f t="shared" si="17"/>
        <v>-1</v>
      </c>
      <c r="AG60" t="e">
        <f t="shared" ca="1" si="64"/>
        <v>#N/A</v>
      </c>
      <c r="AH60" t="e">
        <f t="shared" ca="1" si="64"/>
        <v>#N/A</v>
      </c>
      <c r="AI60" t="e">
        <f t="shared" ca="1" si="64"/>
        <v>#N/A</v>
      </c>
      <c r="AJ60" t="e">
        <f t="shared" ca="1" si="64"/>
        <v>#N/A</v>
      </c>
      <c r="AK60" t="e">
        <f t="shared" ca="1" si="64"/>
        <v>#N/A</v>
      </c>
      <c r="AL60" t="e">
        <f t="shared" ca="1" si="64"/>
        <v>#N/A</v>
      </c>
      <c r="AM60" t="e">
        <f t="shared" ca="1" si="64"/>
        <v>#N/A</v>
      </c>
      <c r="AN60">
        <f t="shared" ca="1" si="20"/>
        <v>0</v>
      </c>
      <c r="AO60">
        <f t="shared" ca="1" si="21"/>
        <v>0</v>
      </c>
      <c r="AP60">
        <f t="shared" ca="1" si="22"/>
        <v>0</v>
      </c>
      <c r="AQ60">
        <f t="shared" ca="1" si="23"/>
        <v>0</v>
      </c>
      <c r="AR60">
        <f t="shared" ca="1" si="24"/>
        <v>0</v>
      </c>
      <c r="AS60">
        <f t="shared" ca="1" si="25"/>
        <v>0</v>
      </c>
      <c r="AT60">
        <f t="shared" ca="1" si="26"/>
        <v>0</v>
      </c>
      <c r="AV60">
        <f t="shared" si="6"/>
        <v>2881</v>
      </c>
      <c r="AW60" cm="1">
        <f t="array" ref="AW60">INDEX(auto_DataFlat_Score,$AV60,1)</f>
        <v>34</v>
      </c>
      <c r="AX60" cm="1">
        <f t="array" ref="AX60">INDEX(auto_DataFlat_DataValue,$AV60,1)</f>
        <v>34</v>
      </c>
      <c r="BA60">
        <f t="shared" si="27"/>
        <v>22.9</v>
      </c>
      <c r="BB60">
        <f t="shared" si="28"/>
        <v>1</v>
      </c>
      <c r="BC60">
        <f t="shared" si="29"/>
        <v>-1</v>
      </c>
      <c r="BD60" t="e">
        <f t="shared" ref="BD60:BF75" ca="1" si="67">BD59+MATCH(BD$10,OFFSET($BC$12,BD59,0,200,1),0)</f>
        <v>#N/A</v>
      </c>
      <c r="BE60" t="e">
        <f t="shared" ca="1" si="67"/>
        <v>#N/A</v>
      </c>
      <c r="BF60" t="e">
        <f t="shared" ca="1" si="67"/>
        <v>#N/A</v>
      </c>
      <c r="BH60">
        <f t="shared" ca="1" si="66"/>
        <v>0</v>
      </c>
      <c r="BI60">
        <f t="shared" ca="1" si="66"/>
        <v>0</v>
      </c>
      <c r="BJ60">
        <f t="shared" ca="1" si="66"/>
        <v>0</v>
      </c>
      <c r="BM60">
        <f t="shared" si="31"/>
        <v>-1</v>
      </c>
      <c r="BN60" t="e">
        <f t="shared" ca="1" si="32"/>
        <v>#N/A</v>
      </c>
      <c r="BO60" t="e">
        <f t="shared" ca="1" si="33"/>
        <v>#N/A</v>
      </c>
      <c r="BP60" t="e">
        <f t="shared" ca="1" si="34"/>
        <v>#N/A</v>
      </c>
      <c r="BQ60" t="e">
        <f t="shared" ca="1" si="35"/>
        <v>#N/A</v>
      </c>
      <c r="BR60" t="e">
        <f t="shared" ca="1" si="36"/>
        <v>#N/A</v>
      </c>
      <c r="BS60" t="e">
        <f t="shared" ca="1" si="37"/>
        <v>#N/A</v>
      </c>
      <c r="BT60" t="e">
        <f t="shared" ca="1" si="38"/>
        <v>#N/A</v>
      </c>
      <c r="BU60">
        <f t="shared" ca="1" si="39"/>
        <v>0</v>
      </c>
      <c r="BV60">
        <f t="shared" ca="1" si="40"/>
        <v>0</v>
      </c>
      <c r="BW60">
        <f t="shared" ca="1" si="41"/>
        <v>0</v>
      </c>
      <c r="BX60">
        <f t="shared" ca="1" si="42"/>
        <v>0</v>
      </c>
      <c r="BY60">
        <f t="shared" ca="1" si="43"/>
        <v>0</v>
      </c>
      <c r="BZ60">
        <f t="shared" ca="1" si="10"/>
        <v>0</v>
      </c>
      <c r="CA60">
        <f t="shared" ca="1" si="11"/>
        <v>0</v>
      </c>
    </row>
    <row r="61" spans="1:79" x14ac:dyDescent="0.4">
      <c r="A61" t="str">
        <f t="shared" si="61"/>
        <v/>
      </c>
      <c r="B61">
        <v>50</v>
      </c>
      <c r="C61" t="str" cm="1">
        <f t="array" ref="C61">INDEX(auto_Series_Code,B61)</f>
        <v>INDI_021</v>
      </c>
      <c r="D61" cm="1">
        <f t="array" ref="D61">INDEX(auto_tblSeries,$B61,D$11)</f>
        <v>2</v>
      </c>
      <c r="E61" cm="1">
        <f t="array" ref="E61">INDEX(auto_tblSeries,$B61,E$11)</f>
        <v>0</v>
      </c>
      <c r="F61" cm="1">
        <f t="array" ref="F61">INDEX(auto_tblSeries,$B61,F$11)</f>
        <v>1</v>
      </c>
      <c r="G61" cm="1">
        <f t="array" ref="G61">INDEX(auto_tblSeries,$B61,G$11)</f>
        <v>0</v>
      </c>
      <c r="H61" cm="1">
        <f t="array" ref="H61">INDEX(auto_tblSeries,$B61,H$11)</f>
        <v>1</v>
      </c>
      <c r="I61">
        <f t="shared" si="0"/>
        <v>2991</v>
      </c>
      <c r="K61" cm="1">
        <f t="array" ref="K61">INDEX(auto_DataFlat_Score,$I61,K$10)</f>
        <v>59</v>
      </c>
      <c r="L61" t="str" cm="1">
        <f t="array" ref="L61">INDEX(auto_DataFlat_Rank,$I61,L$10)</f>
        <v>n/a</v>
      </c>
      <c r="M61" cm="1">
        <f t="array" ref="M61">INDEX(auto_DataFlat_DataValue,$I61,M$10)</f>
        <v>0</v>
      </c>
      <c r="N61" cm="1">
        <f t="array" ref="N61">INDEX(auto_DataFlat_Classification,$I61,M$10)</f>
        <v>3</v>
      </c>
      <c r="O61" cm="1">
        <f t="array" ref="O61">INDEX(auto_DataFlat_IsEstimate,$I61,O$10)</f>
        <v>0</v>
      </c>
      <c r="P61" t="str" cm="1">
        <f t="array" ref="P61">IF(INDEX(auto_DataFlat_DataYear,$I61,P$10)=0,"n/a",INDEX(auto_DataFlat_DataYear,$I61,P$10))</f>
        <v>n/a</v>
      </c>
      <c r="R61">
        <f t="shared" si="1"/>
        <v>2991</v>
      </c>
      <c r="S61" cm="1">
        <f t="array" ref="S61">INDEX(auto_DataFlat_Score,$R61,S$10)</f>
        <v>59</v>
      </c>
      <c r="U61">
        <f t="shared" si="12"/>
        <v>0</v>
      </c>
      <c r="V61">
        <f t="shared" si="13"/>
        <v>2</v>
      </c>
      <c r="W61">
        <f t="shared" si="14"/>
        <v>2</v>
      </c>
      <c r="X61" t="e">
        <f t="shared" ref="X61:Z76" ca="1" si="68">X60+MATCH(X$10,OFFSET($W$12,X60,0,300,1),0)</f>
        <v>#N/A</v>
      </c>
      <c r="Y61" t="e">
        <f t="shared" ca="1" si="68"/>
        <v>#N/A</v>
      </c>
      <c r="Z61" t="e">
        <f t="shared" ca="1" si="68"/>
        <v>#N/A</v>
      </c>
      <c r="AB61">
        <f t="shared" ca="1" si="65"/>
        <v>0</v>
      </c>
      <c r="AC61">
        <f t="shared" ca="1" si="65"/>
        <v>0</v>
      </c>
      <c r="AD61">
        <f t="shared" ca="1" si="65"/>
        <v>0</v>
      </c>
      <c r="AF61">
        <f t="shared" si="17"/>
        <v>-1</v>
      </c>
      <c r="AG61" t="e">
        <f t="shared" ref="AG61:AM76" ca="1" si="69">IFERROR(AG60+MATCH(AG$10,OFFSET($AF$12,AG60,0,300-AG60,1),0),NA())</f>
        <v>#N/A</v>
      </c>
      <c r="AH61" t="e">
        <f t="shared" ca="1" si="69"/>
        <v>#N/A</v>
      </c>
      <c r="AI61" t="e">
        <f t="shared" ca="1" si="69"/>
        <v>#N/A</v>
      </c>
      <c r="AJ61" t="e">
        <f t="shared" ca="1" si="69"/>
        <v>#N/A</v>
      </c>
      <c r="AK61" t="e">
        <f t="shared" ca="1" si="69"/>
        <v>#N/A</v>
      </c>
      <c r="AL61" t="e">
        <f t="shared" ca="1" si="69"/>
        <v>#N/A</v>
      </c>
      <c r="AM61" t="e">
        <f t="shared" ca="1" si="69"/>
        <v>#N/A</v>
      </c>
      <c r="AN61">
        <f t="shared" ca="1" si="20"/>
        <v>0</v>
      </c>
      <c r="AO61">
        <f t="shared" ca="1" si="21"/>
        <v>0</v>
      </c>
      <c r="AP61">
        <f t="shared" ca="1" si="22"/>
        <v>0</v>
      </c>
      <c r="AQ61">
        <f t="shared" ca="1" si="23"/>
        <v>0</v>
      </c>
      <c r="AR61">
        <f t="shared" ca="1" si="24"/>
        <v>0</v>
      </c>
      <c r="AS61">
        <f t="shared" ca="1" si="25"/>
        <v>0</v>
      </c>
      <c r="AT61">
        <f t="shared" ca="1" si="26"/>
        <v>0</v>
      </c>
      <c r="AV61">
        <f t="shared" si="6"/>
        <v>2941</v>
      </c>
      <c r="AW61" cm="1">
        <f t="array" ref="AW61">INDEX(auto_DataFlat_Score,$AV61,1)</f>
        <v>42.4</v>
      </c>
      <c r="AX61" cm="1">
        <f t="array" ref="AX61">INDEX(auto_DataFlat_DataValue,$AV61,1)</f>
        <v>57.6</v>
      </c>
      <c r="BA61">
        <f t="shared" si="27"/>
        <v>16.600000000000001</v>
      </c>
      <c r="BB61">
        <f t="shared" si="28"/>
        <v>1</v>
      </c>
      <c r="BC61">
        <f t="shared" si="29"/>
        <v>-1</v>
      </c>
      <c r="BD61" t="e">
        <f t="shared" ca="1" si="67"/>
        <v>#N/A</v>
      </c>
      <c r="BE61" t="e">
        <f t="shared" ca="1" si="67"/>
        <v>#N/A</v>
      </c>
      <c r="BF61" t="e">
        <f t="shared" ca="1" si="67"/>
        <v>#N/A</v>
      </c>
      <c r="BH61">
        <f t="shared" ca="1" si="66"/>
        <v>0</v>
      </c>
      <c r="BI61">
        <f t="shared" ca="1" si="66"/>
        <v>0</v>
      </c>
      <c r="BJ61">
        <f t="shared" ca="1" si="66"/>
        <v>0</v>
      </c>
      <c r="BM61">
        <f t="shared" si="31"/>
        <v>-1</v>
      </c>
      <c r="BN61" t="e">
        <f t="shared" ca="1" si="32"/>
        <v>#N/A</v>
      </c>
      <c r="BO61" t="e">
        <f t="shared" ca="1" si="33"/>
        <v>#N/A</v>
      </c>
      <c r="BP61" t="e">
        <f t="shared" ca="1" si="34"/>
        <v>#N/A</v>
      </c>
      <c r="BQ61" t="e">
        <f t="shared" ca="1" si="35"/>
        <v>#N/A</v>
      </c>
      <c r="BR61" t="e">
        <f t="shared" ca="1" si="36"/>
        <v>#N/A</v>
      </c>
      <c r="BS61" t="e">
        <f t="shared" ca="1" si="37"/>
        <v>#N/A</v>
      </c>
      <c r="BT61" t="e">
        <f t="shared" ca="1" si="38"/>
        <v>#N/A</v>
      </c>
      <c r="BU61">
        <f t="shared" ca="1" si="39"/>
        <v>0</v>
      </c>
      <c r="BV61">
        <f t="shared" ca="1" si="40"/>
        <v>0</v>
      </c>
      <c r="BW61">
        <f t="shared" ca="1" si="41"/>
        <v>0</v>
      </c>
      <c r="BX61">
        <f t="shared" ca="1" si="42"/>
        <v>0</v>
      </c>
      <c r="BY61">
        <f t="shared" ca="1" si="43"/>
        <v>0</v>
      </c>
      <c r="BZ61">
        <f t="shared" ca="1" si="10"/>
        <v>0</v>
      </c>
      <c r="CA61">
        <f t="shared" ca="1" si="11"/>
        <v>0</v>
      </c>
    </row>
    <row r="62" spans="1:79" x14ac:dyDescent="0.4">
      <c r="A62" t="str">
        <f t="shared" si="61"/>
        <v/>
      </c>
      <c r="B62">
        <v>51</v>
      </c>
      <c r="C62" t="str" cm="1">
        <f t="array" ref="C62">INDEX(auto_Series_Code,B62)</f>
        <v>INDI_022</v>
      </c>
      <c r="D62" cm="1">
        <f t="array" ref="D62">INDEX(auto_tblSeries,$B62,D$11)</f>
        <v>2</v>
      </c>
      <c r="E62" cm="1">
        <f t="array" ref="E62">INDEX(auto_tblSeries,$B62,E$11)</f>
        <v>0</v>
      </c>
      <c r="F62" cm="1">
        <f t="array" ref="F62">INDEX(auto_tblSeries,$B62,F$11)</f>
        <v>1</v>
      </c>
      <c r="G62" cm="1">
        <f t="array" ref="G62">INDEX(auto_tblSeries,$B62,G$11)</f>
        <v>0</v>
      </c>
      <c r="H62" cm="1">
        <f t="array" ref="H62">INDEX(auto_tblSeries,$B62,H$11)</f>
        <v>0</v>
      </c>
      <c r="I62">
        <f t="shared" si="0"/>
        <v>3051</v>
      </c>
      <c r="K62" cm="1">
        <f t="array" ref="K62">INDEX(auto_DataFlat_Score,$I62,K$10)</f>
        <v>52</v>
      </c>
      <c r="L62" t="str" cm="1">
        <f t="array" ref="L62">INDEX(auto_DataFlat_Rank,$I62,L$10)</f>
        <v>n/a</v>
      </c>
      <c r="M62" cm="1">
        <f t="array" ref="M62">INDEX(auto_DataFlat_DataValue,$I62,M$10)</f>
        <v>0</v>
      </c>
      <c r="N62" cm="1">
        <f t="array" ref="N62">INDEX(auto_DataFlat_Classification,$I62,M$10)</f>
        <v>3</v>
      </c>
      <c r="O62" cm="1">
        <f t="array" ref="O62">INDEX(auto_DataFlat_IsEstimate,$I62,O$10)</f>
        <v>0</v>
      </c>
      <c r="P62" t="str" cm="1">
        <f t="array" ref="P62">IF(INDEX(auto_DataFlat_DataYear,$I62,P$10)=0,"n/a",INDEX(auto_DataFlat_DataYear,$I62,P$10))</f>
        <v>n/a</v>
      </c>
      <c r="R62">
        <f t="shared" si="1"/>
        <v>3051</v>
      </c>
      <c r="S62" cm="1">
        <f t="array" ref="S62">INDEX(auto_DataFlat_Score,$R62,S$10)</f>
        <v>52</v>
      </c>
      <c r="U62">
        <f t="shared" si="12"/>
        <v>0</v>
      </c>
      <c r="V62">
        <f t="shared" si="13"/>
        <v>2</v>
      </c>
      <c r="W62">
        <f t="shared" si="14"/>
        <v>2</v>
      </c>
      <c r="X62" t="e">
        <f t="shared" ca="1" si="68"/>
        <v>#N/A</v>
      </c>
      <c r="Y62" t="e">
        <f t="shared" ca="1" si="68"/>
        <v>#N/A</v>
      </c>
      <c r="Z62" t="e">
        <f t="shared" ca="1" si="68"/>
        <v>#N/A</v>
      </c>
      <c r="AB62">
        <f t="shared" ca="1" si="65"/>
        <v>0</v>
      </c>
      <c r="AC62">
        <f t="shared" ca="1" si="65"/>
        <v>0</v>
      </c>
      <c r="AD62">
        <f t="shared" ca="1" si="65"/>
        <v>0</v>
      </c>
      <c r="AF62">
        <f t="shared" si="17"/>
        <v>-1</v>
      </c>
      <c r="AG62" t="e">
        <f t="shared" ca="1" si="69"/>
        <v>#N/A</v>
      </c>
      <c r="AH62" t="e">
        <f t="shared" ca="1" si="69"/>
        <v>#N/A</v>
      </c>
      <c r="AI62" t="e">
        <f t="shared" ca="1" si="69"/>
        <v>#N/A</v>
      </c>
      <c r="AJ62" t="e">
        <f t="shared" ca="1" si="69"/>
        <v>#N/A</v>
      </c>
      <c r="AK62" t="e">
        <f t="shared" ca="1" si="69"/>
        <v>#N/A</v>
      </c>
      <c r="AL62" t="e">
        <f t="shared" ca="1" si="69"/>
        <v>#N/A</v>
      </c>
      <c r="AM62" t="e">
        <f t="shared" ca="1" si="69"/>
        <v>#N/A</v>
      </c>
      <c r="AN62">
        <f t="shared" ca="1" si="20"/>
        <v>0</v>
      </c>
      <c r="AO62">
        <f t="shared" ca="1" si="21"/>
        <v>0</v>
      </c>
      <c r="AP62">
        <f t="shared" ca="1" si="22"/>
        <v>0</v>
      </c>
      <c r="AQ62">
        <f t="shared" ca="1" si="23"/>
        <v>0</v>
      </c>
      <c r="AR62">
        <f t="shared" ca="1" si="24"/>
        <v>0</v>
      </c>
      <c r="AS62">
        <f t="shared" ca="1" si="25"/>
        <v>0</v>
      </c>
      <c r="AT62">
        <f t="shared" ca="1" si="26"/>
        <v>0</v>
      </c>
      <c r="AV62">
        <f t="shared" si="6"/>
        <v>3001</v>
      </c>
      <c r="AW62" cm="1">
        <f t="array" ref="AW62">INDEX(auto_DataFlat_Score,$AV62,1)</f>
        <v>0</v>
      </c>
      <c r="AX62" cm="1">
        <f t="array" ref="AX62">INDEX(auto_DataFlat_DataValue,$AV62,1)</f>
        <v>0</v>
      </c>
      <c r="BA62">
        <f t="shared" si="27"/>
        <v>52</v>
      </c>
      <c r="BB62">
        <f t="shared" si="28"/>
        <v>1</v>
      </c>
      <c r="BC62">
        <f t="shared" si="29"/>
        <v>-1</v>
      </c>
      <c r="BD62" t="e">
        <f t="shared" ca="1" si="67"/>
        <v>#N/A</v>
      </c>
      <c r="BE62" t="e">
        <f t="shared" ca="1" si="67"/>
        <v>#N/A</v>
      </c>
      <c r="BF62" t="e">
        <f t="shared" ca="1" si="67"/>
        <v>#N/A</v>
      </c>
      <c r="BH62">
        <f t="shared" ca="1" si="66"/>
        <v>0</v>
      </c>
      <c r="BI62">
        <f t="shared" ca="1" si="66"/>
        <v>0</v>
      </c>
      <c r="BJ62">
        <f t="shared" ca="1" si="66"/>
        <v>0</v>
      </c>
      <c r="BM62">
        <f t="shared" si="31"/>
        <v>-1</v>
      </c>
      <c r="BN62" t="e">
        <f t="shared" ca="1" si="32"/>
        <v>#N/A</v>
      </c>
      <c r="BO62" t="e">
        <f t="shared" ca="1" si="33"/>
        <v>#N/A</v>
      </c>
      <c r="BP62" t="e">
        <f t="shared" ca="1" si="34"/>
        <v>#N/A</v>
      </c>
      <c r="BQ62" t="e">
        <f t="shared" ca="1" si="35"/>
        <v>#N/A</v>
      </c>
      <c r="BR62" t="e">
        <f t="shared" ca="1" si="36"/>
        <v>#N/A</v>
      </c>
      <c r="BS62" t="e">
        <f t="shared" ca="1" si="37"/>
        <v>#N/A</v>
      </c>
      <c r="BT62" t="e">
        <f t="shared" ca="1" si="38"/>
        <v>#N/A</v>
      </c>
      <c r="BU62">
        <f t="shared" ca="1" si="39"/>
        <v>0</v>
      </c>
      <c r="BV62">
        <f t="shared" ca="1" si="40"/>
        <v>0</v>
      </c>
      <c r="BW62">
        <f t="shared" ca="1" si="41"/>
        <v>0</v>
      </c>
      <c r="BX62">
        <f t="shared" ca="1" si="42"/>
        <v>0</v>
      </c>
      <c r="BY62">
        <f t="shared" ca="1" si="43"/>
        <v>0</v>
      </c>
      <c r="BZ62">
        <f t="shared" ca="1" si="10"/>
        <v>0</v>
      </c>
      <c r="CA62">
        <f t="shared" ca="1" si="11"/>
        <v>0</v>
      </c>
    </row>
    <row r="63" spans="1:79" x14ac:dyDescent="0.4">
      <c r="A63" t="str">
        <f t="shared" si="61"/>
        <v/>
      </c>
      <c r="B63">
        <v>52</v>
      </c>
      <c r="C63" t="str" cm="1">
        <f t="array" ref="C63">INDEX(auto_Series_Code,B63)</f>
        <v>DOMAIN_005</v>
      </c>
      <c r="D63" cm="1">
        <f t="array" ref="D63">INDEX(auto_tblSeries,$B63,D$11)</f>
        <v>1</v>
      </c>
      <c r="E63" cm="1">
        <f t="array" ref="E63">INDEX(auto_tblSeries,$B63,E$11)</f>
        <v>0</v>
      </c>
      <c r="F63" cm="1">
        <f t="array" ref="F63">INDEX(auto_tblSeries,$B63,F$11)</f>
        <v>0</v>
      </c>
      <c r="G63" cm="1">
        <f t="array" ref="G63">INDEX(auto_tblSeries,$B63,G$11)</f>
        <v>0</v>
      </c>
      <c r="H63" cm="1">
        <f t="array" ref="H63">INDEX(auto_tblSeries,$B63,H$11)</f>
        <v>1</v>
      </c>
      <c r="I63">
        <f t="shared" si="0"/>
        <v>3111</v>
      </c>
      <c r="K63" cm="1">
        <f t="array" ref="K63">INDEX(auto_DataFlat_Score,$I63,K$10)</f>
        <v>68.900000000000006</v>
      </c>
      <c r="L63" t="str" cm="1">
        <f t="array" ref="L63">INDEX(auto_DataFlat_Rank,$I63,L$10)</f>
        <v>n/a</v>
      </c>
      <c r="M63" cm="1">
        <f t="array" ref="M63">INDEX(auto_DataFlat_DataValue,$I63,M$10)</f>
        <v>0</v>
      </c>
      <c r="N63" cm="1">
        <f t="array" ref="N63">INDEX(auto_DataFlat_Classification,$I63,M$10)</f>
        <v>4</v>
      </c>
      <c r="O63" cm="1">
        <f t="array" ref="O63">INDEX(auto_DataFlat_IsEstimate,$I63,O$10)</f>
        <v>0</v>
      </c>
      <c r="P63" t="str" cm="1">
        <f t="array" ref="P63">IF(INDEX(auto_DataFlat_DataYear,$I63,P$10)=0,"n/a",INDEX(auto_DataFlat_DataYear,$I63,P$10))</f>
        <v>n/a</v>
      </c>
      <c r="R63">
        <f t="shared" si="1"/>
        <v>3111</v>
      </c>
      <c r="S63" cm="1">
        <f t="array" ref="S63">INDEX(auto_DataFlat_Score,$R63,S$10)</f>
        <v>68.900000000000006</v>
      </c>
      <c r="U63">
        <f t="shared" si="12"/>
        <v>0</v>
      </c>
      <c r="V63">
        <f t="shared" si="13"/>
        <v>2</v>
      </c>
      <c r="W63">
        <f t="shared" si="14"/>
        <v>-1</v>
      </c>
      <c r="X63" t="e">
        <f t="shared" ca="1" si="68"/>
        <v>#N/A</v>
      </c>
      <c r="Y63" t="e">
        <f t="shared" ca="1" si="68"/>
        <v>#N/A</v>
      </c>
      <c r="Z63" t="e">
        <f t="shared" ca="1" si="68"/>
        <v>#N/A</v>
      </c>
      <c r="AB63">
        <f t="shared" ca="1" si="65"/>
        <v>0</v>
      </c>
      <c r="AC63">
        <f t="shared" ca="1" si="65"/>
        <v>0</v>
      </c>
      <c r="AD63">
        <f t="shared" ca="1" si="65"/>
        <v>0</v>
      </c>
      <c r="AF63">
        <f t="shared" si="17"/>
        <v>-1</v>
      </c>
      <c r="AG63" t="e">
        <f t="shared" ca="1" si="69"/>
        <v>#N/A</v>
      </c>
      <c r="AH63" t="e">
        <f t="shared" ca="1" si="69"/>
        <v>#N/A</v>
      </c>
      <c r="AI63" t="e">
        <f t="shared" ca="1" si="69"/>
        <v>#N/A</v>
      </c>
      <c r="AJ63" t="e">
        <f t="shared" ca="1" si="69"/>
        <v>#N/A</v>
      </c>
      <c r="AK63" t="e">
        <f t="shared" ca="1" si="69"/>
        <v>#N/A</v>
      </c>
      <c r="AL63" t="e">
        <f t="shared" ca="1" si="69"/>
        <v>#N/A</v>
      </c>
      <c r="AM63" t="e">
        <f t="shared" ca="1" si="69"/>
        <v>#N/A</v>
      </c>
      <c r="AN63">
        <f t="shared" ca="1" si="20"/>
        <v>0</v>
      </c>
      <c r="AO63">
        <f t="shared" ca="1" si="21"/>
        <v>0</v>
      </c>
      <c r="AP63">
        <f t="shared" ca="1" si="22"/>
        <v>0</v>
      </c>
      <c r="AQ63">
        <f t="shared" ca="1" si="23"/>
        <v>0</v>
      </c>
      <c r="AR63">
        <f t="shared" ca="1" si="24"/>
        <v>0</v>
      </c>
      <c r="AS63">
        <f t="shared" ca="1" si="25"/>
        <v>0</v>
      </c>
      <c r="AT63">
        <f t="shared" ca="1" si="26"/>
        <v>0</v>
      </c>
      <c r="AV63">
        <f t="shared" si="6"/>
        <v>3061</v>
      </c>
      <c r="AW63" cm="1">
        <f t="array" ref="AW63">INDEX(auto_DataFlat_Score,$AV63,1)</f>
        <v>67.599999999999994</v>
      </c>
      <c r="AX63" cm="1">
        <f t="array" ref="AX63">INDEX(auto_DataFlat_DataValue,$AV63,1)</f>
        <v>0</v>
      </c>
      <c r="BA63">
        <f t="shared" si="27"/>
        <v>1.3000000000000114</v>
      </c>
      <c r="BB63">
        <f t="shared" si="28"/>
        <v>1</v>
      </c>
      <c r="BC63">
        <f t="shared" si="29"/>
        <v>-1</v>
      </c>
      <c r="BD63" t="e">
        <f t="shared" ca="1" si="67"/>
        <v>#N/A</v>
      </c>
      <c r="BE63" t="e">
        <f t="shared" ca="1" si="67"/>
        <v>#N/A</v>
      </c>
      <c r="BF63" t="e">
        <f t="shared" ca="1" si="67"/>
        <v>#N/A</v>
      </c>
      <c r="BH63">
        <f t="shared" ca="1" si="66"/>
        <v>0</v>
      </c>
      <c r="BI63">
        <f t="shared" ca="1" si="66"/>
        <v>0</v>
      </c>
      <c r="BJ63">
        <f t="shared" ca="1" si="66"/>
        <v>0</v>
      </c>
      <c r="BM63">
        <f t="shared" si="31"/>
        <v>-1</v>
      </c>
      <c r="BN63" t="e">
        <f t="shared" ca="1" si="32"/>
        <v>#N/A</v>
      </c>
      <c r="BO63" t="e">
        <f t="shared" ca="1" si="33"/>
        <v>#N/A</v>
      </c>
      <c r="BP63" t="e">
        <f t="shared" ca="1" si="34"/>
        <v>#N/A</v>
      </c>
      <c r="BQ63" t="e">
        <f t="shared" ca="1" si="35"/>
        <v>#N/A</v>
      </c>
      <c r="BR63" t="e">
        <f t="shared" ca="1" si="36"/>
        <v>#N/A</v>
      </c>
      <c r="BS63" t="e">
        <f t="shared" ca="1" si="37"/>
        <v>#N/A</v>
      </c>
      <c r="BT63" t="e">
        <f t="shared" ca="1" si="38"/>
        <v>#N/A</v>
      </c>
      <c r="BU63">
        <f t="shared" ca="1" si="39"/>
        <v>0</v>
      </c>
      <c r="BV63">
        <f t="shared" ca="1" si="40"/>
        <v>0</v>
      </c>
      <c r="BW63">
        <f t="shared" ca="1" si="41"/>
        <v>0</v>
      </c>
      <c r="BX63">
        <f t="shared" ca="1" si="42"/>
        <v>0</v>
      </c>
      <c r="BY63">
        <f t="shared" ca="1" si="43"/>
        <v>0</v>
      </c>
      <c r="BZ63">
        <f t="shared" ca="1" si="10"/>
        <v>0</v>
      </c>
      <c r="CA63">
        <f t="shared" ca="1" si="11"/>
        <v>0</v>
      </c>
    </row>
    <row r="64" spans="1:79" x14ac:dyDescent="0.4">
      <c r="A64" t="str">
        <f t="shared" si="61"/>
        <v/>
      </c>
      <c r="B64">
        <v>53</v>
      </c>
      <c r="C64" t="str" cm="1">
        <f t="array" ref="C64">INDEX(auto_Series_Code,B64)</f>
        <v>INDI_024</v>
      </c>
      <c r="D64" cm="1">
        <f t="array" ref="D64">INDEX(auto_tblSeries,$B64,D$11)</f>
        <v>2</v>
      </c>
      <c r="E64" cm="1">
        <f t="array" ref="E64">INDEX(auto_tblSeries,$B64,E$11)</f>
        <v>0</v>
      </c>
      <c r="F64" cm="1">
        <f t="array" ref="F64">INDEX(auto_tblSeries,$B64,F$11)</f>
        <v>1</v>
      </c>
      <c r="G64" cm="1">
        <f t="array" ref="G64">INDEX(auto_tblSeries,$B64,G$11)</f>
        <v>0</v>
      </c>
      <c r="H64" cm="1">
        <f t="array" ref="H64">INDEX(auto_tblSeries,$B64,H$11)</f>
        <v>0</v>
      </c>
      <c r="I64">
        <f t="shared" si="0"/>
        <v>3171</v>
      </c>
      <c r="K64" cm="1">
        <f t="array" ref="K64">INDEX(auto_DataFlat_Score,$I64,K$10)</f>
        <v>52</v>
      </c>
      <c r="L64" t="str" cm="1">
        <f t="array" ref="L64">INDEX(auto_DataFlat_Rank,$I64,L$10)</f>
        <v>n/a</v>
      </c>
      <c r="M64" cm="1">
        <f t="array" ref="M64">INDEX(auto_DataFlat_DataValue,$I64,M$10)</f>
        <v>0</v>
      </c>
      <c r="N64" cm="1">
        <f t="array" ref="N64">INDEX(auto_DataFlat_Classification,$I64,M$10)</f>
        <v>3</v>
      </c>
      <c r="O64" cm="1">
        <f t="array" ref="O64">INDEX(auto_DataFlat_IsEstimate,$I64,O$10)</f>
        <v>0</v>
      </c>
      <c r="P64" t="str" cm="1">
        <f t="array" ref="P64">IF(INDEX(auto_DataFlat_DataYear,$I64,P$10)=0,"n/a",INDEX(auto_DataFlat_DataYear,$I64,P$10))</f>
        <v>n/a</v>
      </c>
      <c r="R64">
        <f t="shared" si="1"/>
        <v>3171</v>
      </c>
      <c r="S64" cm="1">
        <f t="array" ref="S64">INDEX(auto_DataFlat_Score,$R64,S$10)</f>
        <v>52</v>
      </c>
      <c r="U64">
        <f t="shared" si="12"/>
        <v>0</v>
      </c>
      <c r="V64">
        <f t="shared" si="13"/>
        <v>2</v>
      </c>
      <c r="W64">
        <f t="shared" si="14"/>
        <v>2</v>
      </c>
      <c r="X64" t="e">
        <f t="shared" ca="1" si="68"/>
        <v>#N/A</v>
      </c>
      <c r="Y64" t="e">
        <f t="shared" ca="1" si="68"/>
        <v>#N/A</v>
      </c>
      <c r="Z64" t="e">
        <f t="shared" ca="1" si="68"/>
        <v>#N/A</v>
      </c>
      <c r="AB64">
        <f t="shared" ca="1" si="65"/>
        <v>0</v>
      </c>
      <c r="AC64">
        <f t="shared" ca="1" si="65"/>
        <v>0</v>
      </c>
      <c r="AD64">
        <f t="shared" ca="1" si="65"/>
        <v>0</v>
      </c>
      <c r="AF64">
        <f t="shared" si="17"/>
        <v>-1</v>
      </c>
      <c r="AG64" t="e">
        <f t="shared" ca="1" si="69"/>
        <v>#N/A</v>
      </c>
      <c r="AH64" t="e">
        <f t="shared" ca="1" si="69"/>
        <v>#N/A</v>
      </c>
      <c r="AI64" t="e">
        <f t="shared" ca="1" si="69"/>
        <v>#N/A</v>
      </c>
      <c r="AJ64" t="e">
        <f t="shared" ca="1" si="69"/>
        <v>#N/A</v>
      </c>
      <c r="AK64" t="e">
        <f t="shared" ca="1" si="69"/>
        <v>#N/A</v>
      </c>
      <c r="AL64" t="e">
        <f t="shared" ca="1" si="69"/>
        <v>#N/A</v>
      </c>
      <c r="AM64" t="e">
        <f t="shared" ca="1" si="69"/>
        <v>#N/A</v>
      </c>
      <c r="AN64">
        <f t="shared" ca="1" si="20"/>
        <v>0</v>
      </c>
      <c r="AO64">
        <f t="shared" ca="1" si="21"/>
        <v>0</v>
      </c>
      <c r="AP64">
        <f t="shared" ca="1" si="22"/>
        <v>0</v>
      </c>
      <c r="AQ64">
        <f t="shared" ca="1" si="23"/>
        <v>0</v>
      </c>
      <c r="AR64">
        <f t="shared" ca="1" si="24"/>
        <v>0</v>
      </c>
      <c r="AS64">
        <f t="shared" ca="1" si="25"/>
        <v>0</v>
      </c>
      <c r="AT64">
        <f t="shared" ca="1" si="26"/>
        <v>0</v>
      </c>
      <c r="AV64">
        <f t="shared" si="6"/>
        <v>3121</v>
      </c>
      <c r="AW64" cm="1">
        <f t="array" ref="AW64">INDEX(auto_DataFlat_Score,$AV64,1)</f>
        <v>100</v>
      </c>
      <c r="AX64" cm="1">
        <f t="array" ref="AX64">INDEX(auto_DataFlat_DataValue,$AV64,1)</f>
        <v>1</v>
      </c>
      <c r="BA64">
        <f t="shared" si="27"/>
        <v>-48</v>
      </c>
      <c r="BB64">
        <f t="shared" si="28"/>
        <v>3</v>
      </c>
      <c r="BC64">
        <f t="shared" si="29"/>
        <v>-1</v>
      </c>
      <c r="BD64" t="e">
        <f t="shared" ca="1" si="67"/>
        <v>#N/A</v>
      </c>
      <c r="BE64" t="e">
        <f t="shared" ca="1" si="67"/>
        <v>#N/A</v>
      </c>
      <c r="BF64" t="e">
        <f t="shared" ca="1" si="67"/>
        <v>#N/A</v>
      </c>
      <c r="BH64">
        <f t="shared" ca="1" si="66"/>
        <v>0</v>
      </c>
      <c r="BI64">
        <f t="shared" ca="1" si="66"/>
        <v>0</v>
      </c>
      <c r="BJ64">
        <f t="shared" ca="1" si="66"/>
        <v>0</v>
      </c>
      <c r="BM64">
        <f t="shared" si="31"/>
        <v>-1</v>
      </c>
      <c r="BN64" t="e">
        <f t="shared" ca="1" si="32"/>
        <v>#N/A</v>
      </c>
      <c r="BO64" t="e">
        <f t="shared" ca="1" si="33"/>
        <v>#N/A</v>
      </c>
      <c r="BP64" t="e">
        <f t="shared" ca="1" si="34"/>
        <v>#N/A</v>
      </c>
      <c r="BQ64" t="e">
        <f t="shared" ca="1" si="35"/>
        <v>#N/A</v>
      </c>
      <c r="BR64" t="e">
        <f t="shared" ca="1" si="36"/>
        <v>#N/A</v>
      </c>
      <c r="BS64" t="e">
        <f t="shared" ca="1" si="37"/>
        <v>#N/A</v>
      </c>
      <c r="BT64" t="e">
        <f t="shared" ca="1" si="38"/>
        <v>#N/A</v>
      </c>
      <c r="BU64">
        <f t="shared" ca="1" si="39"/>
        <v>0</v>
      </c>
      <c r="BV64">
        <f t="shared" ca="1" si="40"/>
        <v>0</v>
      </c>
      <c r="BW64">
        <f t="shared" ca="1" si="41"/>
        <v>0</v>
      </c>
      <c r="BX64">
        <f t="shared" ca="1" si="42"/>
        <v>0</v>
      </c>
      <c r="BY64">
        <f t="shared" ca="1" si="43"/>
        <v>0</v>
      </c>
      <c r="BZ64">
        <f t="shared" ca="1" si="10"/>
        <v>0</v>
      </c>
      <c r="CA64">
        <f t="shared" ca="1" si="11"/>
        <v>0</v>
      </c>
    </row>
    <row r="65" spans="1:79" x14ac:dyDescent="0.4">
      <c r="A65" t="str">
        <f t="shared" si="61"/>
        <v/>
      </c>
      <c r="B65">
        <v>54</v>
      </c>
      <c r="C65" t="str" cm="1">
        <f t="array" ref="C65">INDEX(auto_Series_Code,B65)</f>
        <v>INDI_025</v>
      </c>
      <c r="D65" cm="1">
        <f t="array" ref="D65">INDEX(auto_tblSeries,$B65,D$11)</f>
        <v>2</v>
      </c>
      <c r="E65" cm="1">
        <f t="array" ref="E65">INDEX(auto_tblSeries,$B65,E$11)</f>
        <v>0</v>
      </c>
      <c r="F65" cm="1">
        <f t="array" ref="F65">INDEX(auto_tblSeries,$B65,F$11)</f>
        <v>1</v>
      </c>
      <c r="G65" cm="1">
        <f t="array" ref="G65">INDEX(auto_tblSeries,$B65,G$11)</f>
        <v>0</v>
      </c>
      <c r="H65" cm="1">
        <f t="array" ref="H65">INDEX(auto_tblSeries,$B65,H$11)</f>
        <v>0</v>
      </c>
      <c r="I65">
        <f t="shared" si="0"/>
        <v>3231</v>
      </c>
      <c r="K65" cm="1">
        <f t="array" ref="K65">INDEX(auto_DataFlat_Score,$I65,K$10)</f>
        <v>88.7</v>
      </c>
      <c r="L65" t="str" cm="1">
        <f t="array" ref="L65">INDEX(auto_DataFlat_Rank,$I65,L$10)</f>
        <v>n/a</v>
      </c>
      <c r="M65" cm="1">
        <f t="array" ref="M65">INDEX(auto_DataFlat_DataValue,$I65,M$10)</f>
        <v>0</v>
      </c>
      <c r="N65" cm="1">
        <f t="array" ref="N65">INDEX(auto_DataFlat_Classification,$I65,M$10)</f>
        <v>5</v>
      </c>
      <c r="O65" cm="1">
        <f t="array" ref="O65">INDEX(auto_DataFlat_IsEstimate,$I65,O$10)</f>
        <v>0</v>
      </c>
      <c r="P65" t="str" cm="1">
        <f t="array" ref="P65">IF(INDEX(auto_DataFlat_DataYear,$I65,P$10)=0,"n/a",INDEX(auto_DataFlat_DataYear,$I65,P$10))</f>
        <v>n/a</v>
      </c>
      <c r="R65">
        <f t="shared" si="1"/>
        <v>3231</v>
      </c>
      <c r="S65" cm="1">
        <f t="array" ref="S65">INDEX(auto_DataFlat_Score,$R65,S$10)</f>
        <v>88.7</v>
      </c>
      <c r="U65">
        <f t="shared" si="12"/>
        <v>0</v>
      </c>
      <c r="V65">
        <f t="shared" si="13"/>
        <v>2</v>
      </c>
      <c r="W65">
        <f t="shared" si="14"/>
        <v>2</v>
      </c>
      <c r="X65" t="e">
        <f t="shared" ca="1" si="68"/>
        <v>#N/A</v>
      </c>
      <c r="Y65" t="e">
        <f t="shared" ca="1" si="68"/>
        <v>#N/A</v>
      </c>
      <c r="Z65" t="e">
        <f t="shared" ca="1" si="68"/>
        <v>#N/A</v>
      </c>
      <c r="AB65">
        <f t="shared" ca="1" si="65"/>
        <v>0</v>
      </c>
      <c r="AC65">
        <f t="shared" ca="1" si="65"/>
        <v>0</v>
      </c>
      <c r="AD65">
        <f t="shared" ca="1" si="65"/>
        <v>0</v>
      </c>
      <c r="AF65">
        <f t="shared" si="17"/>
        <v>-1</v>
      </c>
      <c r="AG65" t="e">
        <f t="shared" ca="1" si="69"/>
        <v>#N/A</v>
      </c>
      <c r="AH65" t="e">
        <f t="shared" ca="1" si="69"/>
        <v>#N/A</v>
      </c>
      <c r="AI65" t="e">
        <f t="shared" ca="1" si="69"/>
        <v>#N/A</v>
      </c>
      <c r="AJ65" t="e">
        <f t="shared" ca="1" si="69"/>
        <v>#N/A</v>
      </c>
      <c r="AK65" t="e">
        <f t="shared" ca="1" si="69"/>
        <v>#N/A</v>
      </c>
      <c r="AL65" t="e">
        <f t="shared" ca="1" si="69"/>
        <v>#N/A</v>
      </c>
      <c r="AM65" t="e">
        <f t="shared" ca="1" si="69"/>
        <v>#N/A</v>
      </c>
      <c r="AN65">
        <f t="shared" ca="1" si="20"/>
        <v>0</v>
      </c>
      <c r="AO65">
        <f t="shared" ca="1" si="21"/>
        <v>0</v>
      </c>
      <c r="AP65">
        <f t="shared" ca="1" si="22"/>
        <v>0</v>
      </c>
      <c r="AQ65">
        <f t="shared" ca="1" si="23"/>
        <v>0</v>
      </c>
      <c r="AR65">
        <f t="shared" ca="1" si="24"/>
        <v>0</v>
      </c>
      <c r="AS65">
        <f t="shared" ca="1" si="25"/>
        <v>0</v>
      </c>
      <c r="AT65">
        <f t="shared" ca="1" si="26"/>
        <v>0</v>
      </c>
      <c r="AV65">
        <f t="shared" si="6"/>
        <v>3181</v>
      </c>
      <c r="AW65" cm="1">
        <f t="array" ref="AW65">INDEX(auto_DataFlat_Score,$AV65,1)</f>
        <v>100</v>
      </c>
      <c r="AX65" cm="1">
        <f t="array" ref="AX65">INDEX(auto_DataFlat_DataValue,$AV65,1)</f>
        <v>3</v>
      </c>
      <c r="BA65">
        <f t="shared" si="27"/>
        <v>-11.299999999999997</v>
      </c>
      <c r="BB65">
        <f t="shared" si="28"/>
        <v>3</v>
      </c>
      <c r="BC65">
        <f t="shared" si="29"/>
        <v>-1</v>
      </c>
      <c r="BD65" t="e">
        <f t="shared" ca="1" si="67"/>
        <v>#N/A</v>
      </c>
      <c r="BE65" t="e">
        <f t="shared" ca="1" si="67"/>
        <v>#N/A</v>
      </c>
      <c r="BF65" t="e">
        <f t="shared" ca="1" si="67"/>
        <v>#N/A</v>
      </c>
      <c r="BH65">
        <f t="shared" ca="1" si="66"/>
        <v>0</v>
      </c>
      <c r="BI65">
        <f t="shared" ca="1" si="66"/>
        <v>0</v>
      </c>
      <c r="BJ65">
        <f t="shared" ca="1" si="66"/>
        <v>0</v>
      </c>
      <c r="BM65">
        <f t="shared" si="31"/>
        <v>-1</v>
      </c>
      <c r="BN65" t="e">
        <f t="shared" ca="1" si="32"/>
        <v>#N/A</v>
      </c>
      <c r="BO65" t="e">
        <f t="shared" ca="1" si="33"/>
        <v>#N/A</v>
      </c>
      <c r="BP65" t="e">
        <f t="shared" ca="1" si="34"/>
        <v>#N/A</v>
      </c>
      <c r="BQ65" t="e">
        <f t="shared" ca="1" si="35"/>
        <v>#N/A</v>
      </c>
      <c r="BR65" t="e">
        <f t="shared" ca="1" si="36"/>
        <v>#N/A</v>
      </c>
      <c r="BS65" t="e">
        <f t="shared" ca="1" si="37"/>
        <v>#N/A</v>
      </c>
      <c r="BT65" t="e">
        <f t="shared" ca="1" si="38"/>
        <v>#N/A</v>
      </c>
      <c r="BU65">
        <f t="shared" ca="1" si="39"/>
        <v>0</v>
      </c>
      <c r="BV65">
        <f t="shared" ca="1" si="40"/>
        <v>0</v>
      </c>
      <c r="BW65">
        <f t="shared" ca="1" si="41"/>
        <v>0</v>
      </c>
      <c r="BX65">
        <f t="shared" ca="1" si="42"/>
        <v>0</v>
      </c>
      <c r="BY65">
        <f t="shared" ca="1" si="43"/>
        <v>0</v>
      </c>
      <c r="BZ65">
        <f t="shared" ca="1" si="10"/>
        <v>0</v>
      </c>
      <c r="CA65">
        <f t="shared" ca="1" si="11"/>
        <v>0</v>
      </c>
    </row>
    <row r="66" spans="1:79" x14ac:dyDescent="0.4">
      <c r="A66" t="str">
        <f t="shared" si="61"/>
        <v/>
      </c>
      <c r="B66">
        <v>55</v>
      </c>
      <c r="C66" t="str" cm="1">
        <f t="array" ref="C66">INDEX(auto_Series_Code,B66)</f>
        <v>INDI_026</v>
      </c>
      <c r="D66" cm="1">
        <f t="array" ref="D66">INDEX(auto_tblSeries,$B66,D$11)</f>
        <v>2</v>
      </c>
      <c r="E66" cm="1">
        <f t="array" ref="E66">INDEX(auto_tblSeries,$B66,E$11)</f>
        <v>0</v>
      </c>
      <c r="F66" cm="1">
        <f t="array" ref="F66">INDEX(auto_tblSeries,$B66,F$11)</f>
        <v>0</v>
      </c>
      <c r="G66" cm="1">
        <f t="array" ref="G66">INDEX(auto_tblSeries,$B66,G$11)</f>
        <v>0</v>
      </c>
      <c r="H66" cm="1">
        <f t="array" ref="H66">INDEX(auto_tblSeries,$B66,H$11)</f>
        <v>1</v>
      </c>
      <c r="I66">
        <f t="shared" si="0"/>
        <v>3291</v>
      </c>
      <c r="K66" cm="1">
        <f t="array" ref="K66">INDEX(auto_DataFlat_Score,$I66,K$10)</f>
        <v>60.7</v>
      </c>
      <c r="L66" t="str" cm="1">
        <f t="array" ref="L66">INDEX(auto_DataFlat_Rank,$I66,L$10)</f>
        <v>n/a</v>
      </c>
      <c r="M66" cm="1">
        <f t="array" ref="M66">INDEX(auto_DataFlat_DataValue,$I66,M$10)</f>
        <v>0</v>
      </c>
      <c r="N66" cm="1">
        <f t="array" ref="N66">INDEX(auto_DataFlat_Classification,$I66,M$10)</f>
        <v>4</v>
      </c>
      <c r="O66" cm="1">
        <f t="array" ref="O66">INDEX(auto_DataFlat_IsEstimate,$I66,O$10)</f>
        <v>0</v>
      </c>
      <c r="P66" t="str" cm="1">
        <f t="array" ref="P66">IF(INDEX(auto_DataFlat_DataYear,$I66,P$10)=0,"n/a",INDEX(auto_DataFlat_DataYear,$I66,P$10))</f>
        <v>n/a</v>
      </c>
      <c r="R66">
        <f t="shared" si="1"/>
        <v>3291</v>
      </c>
      <c r="S66" cm="1">
        <f t="array" ref="S66">INDEX(auto_DataFlat_Score,$R66,S$10)</f>
        <v>60.7</v>
      </c>
      <c r="U66">
        <f t="shared" si="12"/>
        <v>0</v>
      </c>
      <c r="V66">
        <f t="shared" si="13"/>
        <v>2</v>
      </c>
      <c r="W66">
        <f t="shared" si="14"/>
        <v>2</v>
      </c>
      <c r="X66" t="e">
        <f t="shared" ca="1" si="68"/>
        <v>#N/A</v>
      </c>
      <c r="Y66" t="e">
        <f t="shared" ca="1" si="68"/>
        <v>#N/A</v>
      </c>
      <c r="Z66" t="e">
        <f t="shared" ca="1" si="68"/>
        <v>#N/A</v>
      </c>
      <c r="AB66">
        <f t="shared" ca="1" si="65"/>
        <v>0</v>
      </c>
      <c r="AC66">
        <f t="shared" ca="1" si="65"/>
        <v>0</v>
      </c>
      <c r="AD66">
        <f t="shared" ca="1" si="65"/>
        <v>0</v>
      </c>
      <c r="AF66">
        <f t="shared" si="17"/>
        <v>-1</v>
      </c>
      <c r="AG66" t="e">
        <f t="shared" ca="1" si="69"/>
        <v>#N/A</v>
      </c>
      <c r="AH66" t="e">
        <f t="shared" ca="1" si="69"/>
        <v>#N/A</v>
      </c>
      <c r="AI66" t="e">
        <f t="shared" ca="1" si="69"/>
        <v>#N/A</v>
      </c>
      <c r="AJ66" t="e">
        <f t="shared" ca="1" si="69"/>
        <v>#N/A</v>
      </c>
      <c r="AK66" t="e">
        <f t="shared" ca="1" si="69"/>
        <v>#N/A</v>
      </c>
      <c r="AL66" t="e">
        <f t="shared" ca="1" si="69"/>
        <v>#N/A</v>
      </c>
      <c r="AM66" t="e">
        <f t="shared" ca="1" si="69"/>
        <v>#N/A</v>
      </c>
      <c r="AN66">
        <f t="shared" ca="1" si="20"/>
        <v>0</v>
      </c>
      <c r="AO66">
        <f t="shared" ca="1" si="21"/>
        <v>0</v>
      </c>
      <c r="AP66">
        <f t="shared" ca="1" si="22"/>
        <v>0</v>
      </c>
      <c r="AQ66">
        <f t="shared" ca="1" si="23"/>
        <v>0</v>
      </c>
      <c r="AR66">
        <f t="shared" ca="1" si="24"/>
        <v>0</v>
      </c>
      <c r="AS66">
        <f t="shared" ca="1" si="25"/>
        <v>0</v>
      </c>
      <c r="AT66">
        <f t="shared" ca="1" si="26"/>
        <v>0</v>
      </c>
      <c r="AV66">
        <f t="shared" si="6"/>
        <v>3241</v>
      </c>
      <c r="AW66" cm="1">
        <f t="array" ref="AW66">INDEX(auto_DataFlat_Score,$AV66,1)</f>
        <v>66.7</v>
      </c>
      <c r="AX66" cm="1">
        <f t="array" ref="AX66">INDEX(auto_DataFlat_DataValue,$AV66,1)</f>
        <v>0</v>
      </c>
      <c r="BA66">
        <f t="shared" si="27"/>
        <v>-6</v>
      </c>
      <c r="BB66">
        <f t="shared" si="28"/>
        <v>3</v>
      </c>
      <c r="BC66">
        <f t="shared" si="29"/>
        <v>-1</v>
      </c>
      <c r="BD66" t="e">
        <f t="shared" ca="1" si="67"/>
        <v>#N/A</v>
      </c>
      <c r="BE66" t="e">
        <f t="shared" ca="1" si="67"/>
        <v>#N/A</v>
      </c>
      <c r="BF66" t="e">
        <f t="shared" ca="1" si="67"/>
        <v>#N/A</v>
      </c>
      <c r="BH66">
        <f t="shared" ca="1" si="66"/>
        <v>0</v>
      </c>
      <c r="BI66">
        <f t="shared" ca="1" si="66"/>
        <v>0</v>
      </c>
      <c r="BJ66">
        <f t="shared" ca="1" si="66"/>
        <v>0</v>
      </c>
      <c r="BM66">
        <f t="shared" si="31"/>
        <v>-1</v>
      </c>
      <c r="BN66" t="e">
        <f t="shared" ca="1" si="32"/>
        <v>#N/A</v>
      </c>
      <c r="BO66" t="e">
        <f t="shared" ca="1" si="33"/>
        <v>#N/A</v>
      </c>
      <c r="BP66" t="e">
        <f t="shared" ca="1" si="34"/>
        <v>#N/A</v>
      </c>
      <c r="BQ66" t="e">
        <f t="shared" ca="1" si="35"/>
        <v>#N/A</v>
      </c>
      <c r="BR66" t="e">
        <f t="shared" ca="1" si="36"/>
        <v>#N/A</v>
      </c>
      <c r="BS66" t="e">
        <f t="shared" ca="1" si="37"/>
        <v>#N/A</v>
      </c>
      <c r="BT66" t="e">
        <f t="shared" ca="1" si="38"/>
        <v>#N/A</v>
      </c>
      <c r="BU66">
        <f t="shared" ca="1" si="39"/>
        <v>0</v>
      </c>
      <c r="BV66">
        <f t="shared" ca="1" si="40"/>
        <v>0</v>
      </c>
      <c r="BW66">
        <f t="shared" ca="1" si="41"/>
        <v>0</v>
      </c>
      <c r="BX66">
        <f t="shared" ca="1" si="42"/>
        <v>0</v>
      </c>
      <c r="BY66">
        <f t="shared" ca="1" si="43"/>
        <v>0</v>
      </c>
      <c r="BZ66">
        <f t="shared" ca="1" si="10"/>
        <v>0</v>
      </c>
      <c r="CA66">
        <f t="shared" ca="1" si="11"/>
        <v>0</v>
      </c>
    </row>
    <row r="67" spans="1:79" x14ac:dyDescent="0.4">
      <c r="A67" t="str">
        <f t="shared" si="61"/>
        <v/>
      </c>
      <c r="B67">
        <v>56</v>
      </c>
      <c r="C67" t="str" cm="1">
        <f t="array" ref="C67">INDEX(auto_Series_Code,B67)</f>
        <v>SUBINDI_025</v>
      </c>
      <c r="D67" cm="1">
        <f t="array" ref="D67">INDEX(auto_tblSeries,$B67,D$11)</f>
        <v>3</v>
      </c>
      <c r="E67" cm="1">
        <f t="array" ref="E67">INDEX(auto_tblSeries,$B67,E$11)</f>
        <v>0</v>
      </c>
      <c r="F67" cm="1">
        <f t="array" ref="F67">INDEX(auto_tblSeries,$B67,F$11)</f>
        <v>1</v>
      </c>
      <c r="G67" cm="1">
        <f t="array" ref="G67">INDEX(auto_tblSeries,$B67,G$11)</f>
        <v>0</v>
      </c>
      <c r="H67" cm="1">
        <f t="array" ref="H67">INDEX(auto_tblSeries,$B67,H$11)</f>
        <v>0</v>
      </c>
      <c r="I67">
        <f t="shared" si="0"/>
        <v>3351</v>
      </c>
      <c r="K67" cm="1">
        <f t="array" ref="K67">INDEX(auto_DataFlat_Score,$I67,K$10)</f>
        <v>55.3</v>
      </c>
      <c r="L67" t="str" cm="1">
        <f t="array" ref="L67">INDEX(auto_DataFlat_Rank,$I67,L$10)</f>
        <v>n/a</v>
      </c>
      <c r="M67" cm="1">
        <f t="array" ref="M67">INDEX(auto_DataFlat_DataValue,$I67,M$10)</f>
        <v>0</v>
      </c>
      <c r="N67" cm="1">
        <f t="array" ref="N67">INDEX(auto_DataFlat_Classification,$I67,M$10)</f>
        <v>3</v>
      </c>
      <c r="O67" cm="1">
        <f t="array" ref="O67">INDEX(auto_DataFlat_IsEstimate,$I67,O$10)</f>
        <v>0</v>
      </c>
      <c r="P67" t="str" cm="1">
        <f t="array" ref="P67">IF(INDEX(auto_DataFlat_DataYear,$I67,P$10)=0,"n/a",INDEX(auto_DataFlat_DataYear,$I67,P$10))</f>
        <v>n/a</v>
      </c>
      <c r="R67">
        <f t="shared" si="1"/>
        <v>3351</v>
      </c>
      <c r="S67" cm="1">
        <f t="array" ref="S67">INDEX(auto_DataFlat_Score,$R67,S$10)</f>
        <v>55.3</v>
      </c>
      <c r="U67">
        <f t="shared" si="12"/>
        <v>0</v>
      </c>
      <c r="V67">
        <f t="shared" si="13"/>
        <v>2</v>
      </c>
      <c r="W67">
        <f t="shared" si="14"/>
        <v>-1</v>
      </c>
      <c r="X67" t="e">
        <f t="shared" ca="1" si="68"/>
        <v>#N/A</v>
      </c>
      <c r="Y67" t="e">
        <f t="shared" ca="1" si="68"/>
        <v>#N/A</v>
      </c>
      <c r="Z67" t="e">
        <f t="shared" ca="1" si="68"/>
        <v>#N/A</v>
      </c>
      <c r="AB67">
        <f t="shared" ca="1" si="65"/>
        <v>0</v>
      </c>
      <c r="AC67">
        <f t="shared" ca="1" si="65"/>
        <v>0</v>
      </c>
      <c r="AD67">
        <f t="shared" ca="1" si="65"/>
        <v>0</v>
      </c>
      <c r="AF67">
        <f t="shared" si="17"/>
        <v>3</v>
      </c>
      <c r="AG67" t="e">
        <f t="shared" ca="1" si="69"/>
        <v>#N/A</v>
      </c>
      <c r="AH67" t="e">
        <f t="shared" ca="1" si="69"/>
        <v>#N/A</v>
      </c>
      <c r="AI67" t="e">
        <f t="shared" ca="1" si="69"/>
        <v>#N/A</v>
      </c>
      <c r="AJ67" t="e">
        <f t="shared" ca="1" si="69"/>
        <v>#N/A</v>
      </c>
      <c r="AK67" t="e">
        <f t="shared" ca="1" si="69"/>
        <v>#N/A</v>
      </c>
      <c r="AL67" t="e">
        <f t="shared" ca="1" si="69"/>
        <v>#N/A</v>
      </c>
      <c r="AM67" t="e">
        <f t="shared" ca="1" si="69"/>
        <v>#N/A</v>
      </c>
      <c r="AN67">
        <f t="shared" ca="1" si="20"/>
        <v>0</v>
      </c>
      <c r="AO67">
        <f t="shared" ca="1" si="21"/>
        <v>0</v>
      </c>
      <c r="AP67">
        <f t="shared" ca="1" si="22"/>
        <v>0</v>
      </c>
      <c r="AQ67">
        <f t="shared" ca="1" si="23"/>
        <v>0</v>
      </c>
      <c r="AR67">
        <f t="shared" ca="1" si="24"/>
        <v>0</v>
      </c>
      <c r="AS67">
        <f t="shared" ca="1" si="25"/>
        <v>0</v>
      </c>
      <c r="AT67">
        <f t="shared" ca="1" si="26"/>
        <v>0</v>
      </c>
      <c r="AV67">
        <f t="shared" si="6"/>
        <v>3301</v>
      </c>
      <c r="AW67" cm="1">
        <f t="array" ref="AW67">INDEX(auto_DataFlat_Score,$AV67,1)</f>
        <v>33.299999999999997</v>
      </c>
      <c r="AX67" cm="1">
        <f t="array" ref="AX67">INDEX(auto_DataFlat_DataValue,$AV67,1)</f>
        <v>1</v>
      </c>
      <c r="BA67">
        <f t="shared" si="27"/>
        <v>22</v>
      </c>
      <c r="BB67">
        <f t="shared" si="28"/>
        <v>1</v>
      </c>
      <c r="BC67">
        <f t="shared" si="29"/>
        <v>1</v>
      </c>
      <c r="BD67" t="e">
        <f t="shared" ca="1" si="67"/>
        <v>#N/A</v>
      </c>
      <c r="BE67" t="e">
        <f t="shared" ca="1" si="67"/>
        <v>#N/A</v>
      </c>
      <c r="BF67" t="e">
        <f t="shared" ca="1" si="67"/>
        <v>#N/A</v>
      </c>
      <c r="BH67">
        <f t="shared" ca="1" si="66"/>
        <v>0</v>
      </c>
      <c r="BI67">
        <f t="shared" ca="1" si="66"/>
        <v>0</v>
      </c>
      <c r="BJ67">
        <f t="shared" ca="1" si="66"/>
        <v>0</v>
      </c>
      <c r="BM67">
        <f t="shared" si="31"/>
        <v>-1</v>
      </c>
      <c r="BN67" t="e">
        <f t="shared" ca="1" si="32"/>
        <v>#N/A</v>
      </c>
      <c r="BO67" t="e">
        <f t="shared" ca="1" si="33"/>
        <v>#N/A</v>
      </c>
      <c r="BP67" t="e">
        <f t="shared" ca="1" si="34"/>
        <v>#N/A</v>
      </c>
      <c r="BQ67" t="e">
        <f t="shared" ca="1" si="35"/>
        <v>#N/A</v>
      </c>
      <c r="BR67" t="e">
        <f t="shared" ca="1" si="36"/>
        <v>#N/A</v>
      </c>
      <c r="BS67" t="e">
        <f t="shared" ca="1" si="37"/>
        <v>#N/A</v>
      </c>
      <c r="BT67" t="e">
        <f t="shared" ca="1" si="38"/>
        <v>#N/A</v>
      </c>
      <c r="BU67">
        <f t="shared" ca="1" si="39"/>
        <v>0</v>
      </c>
      <c r="BV67">
        <f t="shared" ca="1" si="40"/>
        <v>0</v>
      </c>
      <c r="BW67">
        <f t="shared" ca="1" si="41"/>
        <v>0</v>
      </c>
      <c r="BX67">
        <f t="shared" ca="1" si="42"/>
        <v>0</v>
      </c>
      <c r="BY67">
        <f t="shared" ca="1" si="43"/>
        <v>0</v>
      </c>
      <c r="BZ67">
        <f t="shared" ca="1" si="10"/>
        <v>0</v>
      </c>
      <c r="CA67">
        <f t="shared" ca="1" si="11"/>
        <v>0</v>
      </c>
    </row>
    <row r="68" spans="1:79" x14ac:dyDescent="0.4">
      <c r="A68" t="str">
        <f t="shared" si="61"/>
        <v/>
      </c>
      <c r="B68">
        <v>57</v>
      </c>
      <c r="C68" t="str" cm="1">
        <f t="array" ref="C68">INDEX(auto_Series_Code,B68)</f>
        <v>SUBINDI_026</v>
      </c>
      <c r="D68" cm="1">
        <f t="array" ref="D68">INDEX(auto_tblSeries,$B68,D$11)</f>
        <v>3</v>
      </c>
      <c r="E68" cm="1">
        <f t="array" ref="E68">INDEX(auto_tblSeries,$B68,E$11)</f>
        <v>0</v>
      </c>
      <c r="F68" cm="1">
        <f t="array" ref="F68">INDEX(auto_tblSeries,$B68,F$11)</f>
        <v>1</v>
      </c>
      <c r="G68" cm="1">
        <f t="array" ref="G68">INDEX(auto_tblSeries,$B68,G$11)</f>
        <v>0</v>
      </c>
      <c r="H68" cm="1">
        <f t="array" ref="H68">INDEX(auto_tblSeries,$B68,H$11)</f>
        <v>0</v>
      </c>
      <c r="I68">
        <f t="shared" si="0"/>
        <v>3411</v>
      </c>
      <c r="K68" cm="1">
        <f t="array" ref="K68">INDEX(auto_DataFlat_Score,$I68,K$10)</f>
        <v>66</v>
      </c>
      <c r="L68" t="str" cm="1">
        <f t="array" ref="L68">INDEX(auto_DataFlat_Rank,$I68,L$10)</f>
        <v>n/a</v>
      </c>
      <c r="M68" cm="1">
        <f t="array" ref="M68">INDEX(auto_DataFlat_DataValue,$I68,M$10)</f>
        <v>0</v>
      </c>
      <c r="N68" cm="1">
        <f t="array" ref="N68">INDEX(auto_DataFlat_Classification,$I68,M$10)</f>
        <v>4</v>
      </c>
      <c r="O68" cm="1">
        <f t="array" ref="O68">INDEX(auto_DataFlat_IsEstimate,$I68,O$10)</f>
        <v>0</v>
      </c>
      <c r="P68" t="str" cm="1">
        <f t="array" ref="P68">IF(INDEX(auto_DataFlat_DataYear,$I68,P$10)=0,"n/a",INDEX(auto_DataFlat_DataYear,$I68,P$10))</f>
        <v>n/a</v>
      </c>
      <c r="R68">
        <f t="shared" si="1"/>
        <v>3411</v>
      </c>
      <c r="S68" cm="1">
        <f t="array" ref="S68">INDEX(auto_DataFlat_Score,$R68,S$10)</f>
        <v>66</v>
      </c>
      <c r="U68">
        <f t="shared" si="12"/>
        <v>0</v>
      </c>
      <c r="V68">
        <f t="shared" si="13"/>
        <v>2</v>
      </c>
      <c r="W68">
        <f t="shared" si="14"/>
        <v>-1</v>
      </c>
      <c r="X68" t="e">
        <f t="shared" ca="1" si="68"/>
        <v>#N/A</v>
      </c>
      <c r="Y68" t="e">
        <f t="shared" ca="1" si="68"/>
        <v>#N/A</v>
      </c>
      <c r="Z68" t="e">
        <f t="shared" ca="1" si="68"/>
        <v>#N/A</v>
      </c>
      <c r="AB68">
        <f t="shared" ca="1" si="65"/>
        <v>0</v>
      </c>
      <c r="AC68">
        <f t="shared" ca="1" si="65"/>
        <v>0</v>
      </c>
      <c r="AD68">
        <f t="shared" ca="1" si="65"/>
        <v>0</v>
      </c>
      <c r="AF68">
        <f t="shared" si="17"/>
        <v>4</v>
      </c>
      <c r="AG68" t="e">
        <f t="shared" ca="1" si="69"/>
        <v>#N/A</v>
      </c>
      <c r="AH68" t="e">
        <f t="shared" ca="1" si="69"/>
        <v>#N/A</v>
      </c>
      <c r="AI68" t="e">
        <f t="shared" ca="1" si="69"/>
        <v>#N/A</v>
      </c>
      <c r="AJ68" t="e">
        <f t="shared" ca="1" si="69"/>
        <v>#N/A</v>
      </c>
      <c r="AK68" t="e">
        <f t="shared" ca="1" si="69"/>
        <v>#N/A</v>
      </c>
      <c r="AL68" t="e">
        <f t="shared" ca="1" si="69"/>
        <v>#N/A</v>
      </c>
      <c r="AM68" t="e">
        <f t="shared" ca="1" si="69"/>
        <v>#N/A</v>
      </c>
      <c r="AN68">
        <f t="shared" ca="1" si="20"/>
        <v>0</v>
      </c>
      <c r="AO68">
        <f t="shared" ca="1" si="21"/>
        <v>0</v>
      </c>
      <c r="AP68">
        <f t="shared" ca="1" si="22"/>
        <v>0</v>
      </c>
      <c r="AQ68">
        <f t="shared" ca="1" si="23"/>
        <v>0</v>
      </c>
      <c r="AR68">
        <f t="shared" ca="1" si="24"/>
        <v>0</v>
      </c>
      <c r="AS68">
        <f t="shared" ca="1" si="25"/>
        <v>0</v>
      </c>
      <c r="AT68">
        <f t="shared" ca="1" si="26"/>
        <v>0</v>
      </c>
      <c r="AV68">
        <f t="shared" si="6"/>
        <v>3361</v>
      </c>
      <c r="AW68" cm="1">
        <f t="array" ref="AW68">INDEX(auto_DataFlat_Score,$AV68,1)</f>
        <v>100</v>
      </c>
      <c r="AX68" cm="1">
        <f t="array" ref="AX68">INDEX(auto_DataFlat_DataValue,$AV68,1)</f>
        <v>1</v>
      </c>
      <c r="BA68">
        <f t="shared" si="27"/>
        <v>-34</v>
      </c>
      <c r="BB68">
        <f t="shared" si="28"/>
        <v>3</v>
      </c>
      <c r="BC68">
        <f t="shared" si="29"/>
        <v>3</v>
      </c>
      <c r="BD68" t="e">
        <f t="shared" ca="1" si="67"/>
        <v>#N/A</v>
      </c>
      <c r="BE68" t="e">
        <f t="shared" ca="1" si="67"/>
        <v>#N/A</v>
      </c>
      <c r="BF68" t="e">
        <f t="shared" ca="1" si="67"/>
        <v>#N/A</v>
      </c>
      <c r="BH68">
        <f t="shared" ca="1" si="66"/>
        <v>0</v>
      </c>
      <c r="BI68">
        <f t="shared" ca="1" si="66"/>
        <v>0</v>
      </c>
      <c r="BJ68">
        <f t="shared" ca="1" si="66"/>
        <v>0</v>
      </c>
      <c r="BM68">
        <f t="shared" si="31"/>
        <v>-1</v>
      </c>
      <c r="BN68" t="e">
        <f t="shared" ca="1" si="32"/>
        <v>#N/A</v>
      </c>
      <c r="BO68" t="e">
        <f t="shared" ca="1" si="33"/>
        <v>#N/A</v>
      </c>
      <c r="BP68" t="e">
        <f t="shared" ca="1" si="34"/>
        <v>#N/A</v>
      </c>
      <c r="BQ68" t="e">
        <f t="shared" ca="1" si="35"/>
        <v>#N/A</v>
      </c>
      <c r="BR68" t="e">
        <f t="shared" ca="1" si="36"/>
        <v>#N/A</v>
      </c>
      <c r="BS68" t="e">
        <f t="shared" ca="1" si="37"/>
        <v>#N/A</v>
      </c>
      <c r="BT68" t="e">
        <f t="shared" ca="1" si="38"/>
        <v>#N/A</v>
      </c>
      <c r="BU68">
        <f t="shared" ca="1" si="39"/>
        <v>0</v>
      </c>
      <c r="BV68">
        <f t="shared" ca="1" si="40"/>
        <v>0</v>
      </c>
      <c r="BW68">
        <f t="shared" ca="1" si="41"/>
        <v>0</v>
      </c>
      <c r="BX68">
        <f t="shared" ca="1" si="42"/>
        <v>0</v>
      </c>
      <c r="BY68">
        <f t="shared" ca="1" si="43"/>
        <v>0</v>
      </c>
      <c r="BZ68">
        <f t="shared" ca="1" si="10"/>
        <v>0</v>
      </c>
      <c r="CA68">
        <f t="shared" ca="1" si="11"/>
        <v>0</v>
      </c>
    </row>
    <row r="69" spans="1:79" x14ac:dyDescent="0.4">
      <c r="A69" t="str">
        <f t="shared" si="61"/>
        <v/>
      </c>
      <c r="B69">
        <v>58</v>
      </c>
      <c r="C69" t="str" cm="1">
        <f t="array" ref="C69">INDEX(auto_Series_Code,B69)</f>
        <v>INDI_027</v>
      </c>
      <c r="D69" cm="1">
        <f t="array" ref="D69">INDEX(auto_tblSeries,$B69,D$11)</f>
        <v>2</v>
      </c>
      <c r="E69" cm="1">
        <f t="array" ref="E69">INDEX(auto_tblSeries,$B69,E$11)</f>
        <v>0</v>
      </c>
      <c r="F69" cm="1">
        <f t="array" ref="F69">INDEX(auto_tblSeries,$B69,F$11)</f>
        <v>1</v>
      </c>
      <c r="G69" cm="1">
        <f t="array" ref="G69">INDEX(auto_tblSeries,$B69,G$11)</f>
        <v>0</v>
      </c>
      <c r="H69" cm="1">
        <f t="array" ref="H69">INDEX(auto_tblSeries,$B69,H$11)</f>
        <v>0</v>
      </c>
      <c r="I69">
        <f t="shared" si="0"/>
        <v>3471</v>
      </c>
      <c r="K69" cm="1">
        <f t="array" ref="K69">INDEX(auto_DataFlat_Score,$I69,K$10)</f>
        <v>55</v>
      </c>
      <c r="L69" t="str" cm="1">
        <f t="array" ref="L69">INDEX(auto_DataFlat_Rank,$I69,L$10)</f>
        <v>n/a</v>
      </c>
      <c r="M69" cm="1">
        <f t="array" ref="M69">INDEX(auto_DataFlat_DataValue,$I69,M$10)</f>
        <v>0</v>
      </c>
      <c r="N69" cm="1">
        <f t="array" ref="N69">INDEX(auto_DataFlat_Classification,$I69,M$10)</f>
        <v>3</v>
      </c>
      <c r="O69" cm="1">
        <f t="array" ref="O69">INDEX(auto_DataFlat_IsEstimate,$I69,O$10)</f>
        <v>0</v>
      </c>
      <c r="P69" t="str" cm="1">
        <f t="array" ref="P69">IF(INDEX(auto_DataFlat_DataYear,$I69,P$10)=0,"n/a",INDEX(auto_DataFlat_DataYear,$I69,P$10))</f>
        <v>n/a</v>
      </c>
      <c r="R69">
        <f t="shared" si="1"/>
        <v>3471</v>
      </c>
      <c r="S69" cm="1">
        <f t="array" ref="S69">INDEX(auto_DataFlat_Score,$R69,S$10)</f>
        <v>55</v>
      </c>
      <c r="U69">
        <f t="shared" si="12"/>
        <v>0</v>
      </c>
      <c r="V69">
        <f t="shared" si="13"/>
        <v>2</v>
      </c>
      <c r="W69">
        <f t="shared" si="14"/>
        <v>2</v>
      </c>
      <c r="X69" t="e">
        <f t="shared" ca="1" si="68"/>
        <v>#N/A</v>
      </c>
      <c r="Y69" t="e">
        <f t="shared" ca="1" si="68"/>
        <v>#N/A</v>
      </c>
      <c r="Z69" t="e">
        <f t="shared" ca="1" si="68"/>
        <v>#N/A</v>
      </c>
      <c r="AB69">
        <f t="shared" ca="1" si="65"/>
        <v>0</v>
      </c>
      <c r="AC69">
        <f t="shared" ca="1" si="65"/>
        <v>0</v>
      </c>
      <c r="AD69">
        <f t="shared" ca="1" si="65"/>
        <v>0</v>
      </c>
      <c r="AF69">
        <f t="shared" si="17"/>
        <v>-1</v>
      </c>
      <c r="AG69" t="e">
        <f t="shared" ca="1" si="69"/>
        <v>#N/A</v>
      </c>
      <c r="AH69" t="e">
        <f t="shared" ca="1" si="69"/>
        <v>#N/A</v>
      </c>
      <c r="AI69" t="e">
        <f t="shared" ca="1" si="69"/>
        <v>#N/A</v>
      </c>
      <c r="AJ69" t="e">
        <f t="shared" ca="1" si="69"/>
        <v>#N/A</v>
      </c>
      <c r="AK69" t="e">
        <f t="shared" ca="1" si="69"/>
        <v>#N/A</v>
      </c>
      <c r="AL69" t="e">
        <f t="shared" ca="1" si="69"/>
        <v>#N/A</v>
      </c>
      <c r="AM69" t="e">
        <f t="shared" ca="1" si="69"/>
        <v>#N/A</v>
      </c>
      <c r="AN69">
        <f t="shared" ca="1" si="20"/>
        <v>0</v>
      </c>
      <c r="AO69">
        <f t="shared" ca="1" si="21"/>
        <v>0</v>
      </c>
      <c r="AP69">
        <f t="shared" ca="1" si="22"/>
        <v>0</v>
      </c>
      <c r="AQ69">
        <f t="shared" ca="1" si="23"/>
        <v>0</v>
      </c>
      <c r="AR69">
        <f t="shared" ca="1" si="24"/>
        <v>0</v>
      </c>
      <c r="AS69">
        <f t="shared" ca="1" si="25"/>
        <v>0</v>
      </c>
      <c r="AT69">
        <f t="shared" ca="1" si="26"/>
        <v>0</v>
      </c>
      <c r="AV69">
        <f t="shared" si="6"/>
        <v>3421</v>
      </c>
      <c r="AW69" cm="1">
        <f t="array" ref="AW69">INDEX(auto_DataFlat_Score,$AV69,1)</f>
        <v>0</v>
      </c>
      <c r="AX69" cm="1">
        <f t="array" ref="AX69">INDEX(auto_DataFlat_DataValue,$AV69,1)</f>
        <v>0</v>
      </c>
      <c r="BA69">
        <f t="shared" si="27"/>
        <v>55</v>
      </c>
      <c r="BB69">
        <f t="shared" si="28"/>
        <v>1</v>
      </c>
      <c r="BC69">
        <f t="shared" si="29"/>
        <v>-1</v>
      </c>
      <c r="BD69" t="e">
        <f t="shared" ca="1" si="67"/>
        <v>#N/A</v>
      </c>
      <c r="BE69" t="e">
        <f t="shared" ca="1" si="67"/>
        <v>#N/A</v>
      </c>
      <c r="BF69" t="e">
        <f t="shared" ca="1" si="67"/>
        <v>#N/A</v>
      </c>
      <c r="BH69">
        <f t="shared" ca="1" si="66"/>
        <v>0</v>
      </c>
      <c r="BI69">
        <f t="shared" ca="1" si="66"/>
        <v>0</v>
      </c>
      <c r="BJ69">
        <f t="shared" ca="1" si="66"/>
        <v>0</v>
      </c>
      <c r="BM69">
        <f t="shared" si="31"/>
        <v>-1</v>
      </c>
      <c r="BN69" t="e">
        <f t="shared" ca="1" si="32"/>
        <v>#N/A</v>
      </c>
      <c r="BO69" t="e">
        <f t="shared" ca="1" si="33"/>
        <v>#N/A</v>
      </c>
      <c r="BP69" t="e">
        <f t="shared" ca="1" si="34"/>
        <v>#N/A</v>
      </c>
      <c r="BQ69" t="e">
        <f t="shared" ca="1" si="35"/>
        <v>#N/A</v>
      </c>
      <c r="BR69" t="e">
        <f t="shared" ca="1" si="36"/>
        <v>#N/A</v>
      </c>
      <c r="BS69" t="e">
        <f t="shared" ca="1" si="37"/>
        <v>#N/A</v>
      </c>
      <c r="BT69" t="e">
        <f t="shared" ca="1" si="38"/>
        <v>#N/A</v>
      </c>
      <c r="BU69">
        <f t="shared" ca="1" si="39"/>
        <v>0</v>
      </c>
      <c r="BV69">
        <f t="shared" ca="1" si="40"/>
        <v>0</v>
      </c>
      <c r="BW69">
        <f t="shared" ca="1" si="41"/>
        <v>0</v>
      </c>
      <c r="BX69">
        <f t="shared" ca="1" si="42"/>
        <v>0</v>
      </c>
      <c r="BY69">
        <f t="shared" ca="1" si="43"/>
        <v>0</v>
      </c>
      <c r="BZ69">
        <f t="shared" ca="1" si="10"/>
        <v>0</v>
      </c>
      <c r="CA69">
        <f t="shared" ca="1" si="11"/>
        <v>0</v>
      </c>
    </row>
    <row r="70" spans="1:79" x14ac:dyDescent="0.4">
      <c r="A70" t="str">
        <f t="shared" si="61"/>
        <v/>
      </c>
      <c r="B70">
        <v>59</v>
      </c>
      <c r="C70" t="str" cm="1">
        <f t="array" ref="C70">INDEX(auto_Series_Code,B70)</f>
        <v>INDI_028</v>
      </c>
      <c r="D70" cm="1">
        <f t="array" ref="D70">INDEX(auto_tblSeries,$B70,D$11)</f>
        <v>2</v>
      </c>
      <c r="E70" cm="1">
        <f t="array" ref="E70">INDEX(auto_tblSeries,$B70,E$11)</f>
        <v>0</v>
      </c>
      <c r="F70" cm="1">
        <f t="array" ref="F70">INDEX(auto_tblSeries,$B70,F$11)</f>
        <v>1</v>
      </c>
      <c r="G70" cm="1">
        <f t="array" ref="G70">INDEX(auto_tblSeries,$B70,G$11)</f>
        <v>0</v>
      </c>
      <c r="H70" cm="1">
        <f t="array" ref="H70">INDEX(auto_tblSeries,$B70,H$11)</f>
        <v>0</v>
      </c>
      <c r="I70">
        <f t="shared" si="0"/>
        <v>3531</v>
      </c>
      <c r="K70" cm="1">
        <f t="array" ref="K70">INDEX(auto_DataFlat_Score,$I70,K$10)</f>
        <v>78</v>
      </c>
      <c r="L70" t="str" cm="1">
        <f t="array" ref="L70">INDEX(auto_DataFlat_Rank,$I70,L$10)</f>
        <v>n/a</v>
      </c>
      <c r="M70" cm="1">
        <f t="array" ref="M70">INDEX(auto_DataFlat_DataValue,$I70,M$10)</f>
        <v>0</v>
      </c>
      <c r="N70" cm="1">
        <f t="array" ref="N70">INDEX(auto_DataFlat_Classification,$I70,M$10)</f>
        <v>4</v>
      </c>
      <c r="O70" cm="1">
        <f t="array" ref="O70">INDEX(auto_DataFlat_IsEstimate,$I70,O$10)</f>
        <v>0</v>
      </c>
      <c r="P70" t="str" cm="1">
        <f t="array" ref="P70">IF(INDEX(auto_DataFlat_DataYear,$I70,P$10)=0,"n/a",INDEX(auto_DataFlat_DataYear,$I70,P$10))</f>
        <v>n/a</v>
      </c>
      <c r="R70">
        <f t="shared" si="1"/>
        <v>3531</v>
      </c>
      <c r="S70" cm="1">
        <f t="array" ref="S70">INDEX(auto_DataFlat_Score,$R70,S$10)</f>
        <v>78</v>
      </c>
      <c r="U70">
        <f t="shared" si="12"/>
        <v>0</v>
      </c>
      <c r="V70">
        <f t="shared" si="13"/>
        <v>2</v>
      </c>
      <c r="W70">
        <f t="shared" si="14"/>
        <v>2</v>
      </c>
      <c r="X70" t="e">
        <f t="shared" ca="1" si="68"/>
        <v>#N/A</v>
      </c>
      <c r="Y70" t="e">
        <f t="shared" ca="1" si="68"/>
        <v>#N/A</v>
      </c>
      <c r="Z70" t="e">
        <f t="shared" ca="1" si="68"/>
        <v>#N/A</v>
      </c>
      <c r="AB70">
        <f t="shared" ca="1" si="65"/>
        <v>0</v>
      </c>
      <c r="AC70">
        <f t="shared" ca="1" si="65"/>
        <v>0</v>
      </c>
      <c r="AD70">
        <f t="shared" ca="1" si="65"/>
        <v>0</v>
      </c>
      <c r="AF70">
        <f t="shared" si="17"/>
        <v>-1</v>
      </c>
      <c r="AG70" t="e">
        <f t="shared" ca="1" si="69"/>
        <v>#N/A</v>
      </c>
      <c r="AH70" t="e">
        <f t="shared" ca="1" si="69"/>
        <v>#N/A</v>
      </c>
      <c r="AI70" t="e">
        <f t="shared" ca="1" si="69"/>
        <v>#N/A</v>
      </c>
      <c r="AJ70" t="e">
        <f t="shared" ca="1" si="69"/>
        <v>#N/A</v>
      </c>
      <c r="AK70" t="e">
        <f t="shared" ca="1" si="69"/>
        <v>#N/A</v>
      </c>
      <c r="AL70" t="e">
        <f t="shared" ca="1" si="69"/>
        <v>#N/A</v>
      </c>
      <c r="AM70" t="e">
        <f t="shared" ca="1" si="69"/>
        <v>#N/A</v>
      </c>
      <c r="AN70">
        <f t="shared" ca="1" si="20"/>
        <v>0</v>
      </c>
      <c r="AO70">
        <f t="shared" ca="1" si="21"/>
        <v>0</v>
      </c>
      <c r="AP70">
        <f t="shared" ca="1" si="22"/>
        <v>0</v>
      </c>
      <c r="AQ70">
        <f t="shared" ca="1" si="23"/>
        <v>0</v>
      </c>
      <c r="AR70">
        <f t="shared" ca="1" si="24"/>
        <v>0</v>
      </c>
      <c r="AS70">
        <f t="shared" ca="1" si="25"/>
        <v>0</v>
      </c>
      <c r="AT70">
        <f t="shared" ca="1" si="26"/>
        <v>0</v>
      </c>
      <c r="AV70">
        <f t="shared" si="6"/>
        <v>3481</v>
      </c>
      <c r="AW70" cm="1">
        <f t="array" ref="AW70">INDEX(auto_DataFlat_Score,$AV70,1)</f>
        <v>100</v>
      </c>
      <c r="AX70" cm="1">
        <f t="array" ref="AX70">INDEX(auto_DataFlat_DataValue,$AV70,1)</f>
        <v>1</v>
      </c>
      <c r="BA70">
        <f t="shared" si="27"/>
        <v>-22</v>
      </c>
      <c r="BB70">
        <f t="shared" si="28"/>
        <v>3</v>
      </c>
      <c r="BC70">
        <f t="shared" si="29"/>
        <v>-1</v>
      </c>
      <c r="BD70" t="e">
        <f t="shared" ca="1" si="67"/>
        <v>#N/A</v>
      </c>
      <c r="BE70" t="e">
        <f t="shared" ca="1" si="67"/>
        <v>#N/A</v>
      </c>
      <c r="BF70" t="e">
        <f t="shared" ca="1" si="67"/>
        <v>#N/A</v>
      </c>
      <c r="BH70">
        <f t="shared" ca="1" si="66"/>
        <v>0</v>
      </c>
      <c r="BI70">
        <f t="shared" ca="1" si="66"/>
        <v>0</v>
      </c>
      <c r="BJ70">
        <f t="shared" ca="1" si="66"/>
        <v>0</v>
      </c>
      <c r="BM70">
        <f t="shared" si="31"/>
        <v>-1</v>
      </c>
      <c r="BN70" t="e">
        <f t="shared" ca="1" si="32"/>
        <v>#N/A</v>
      </c>
      <c r="BO70" t="e">
        <f t="shared" ca="1" si="33"/>
        <v>#N/A</v>
      </c>
      <c r="BP70" t="e">
        <f t="shared" ca="1" si="34"/>
        <v>#N/A</v>
      </c>
      <c r="BQ70" t="e">
        <f t="shared" ca="1" si="35"/>
        <v>#N/A</v>
      </c>
      <c r="BR70" t="e">
        <f t="shared" ca="1" si="36"/>
        <v>#N/A</v>
      </c>
      <c r="BS70" t="e">
        <f t="shared" ca="1" si="37"/>
        <v>#N/A</v>
      </c>
      <c r="BT70" t="e">
        <f t="shared" ca="1" si="38"/>
        <v>#N/A</v>
      </c>
      <c r="BU70">
        <f t="shared" ca="1" si="39"/>
        <v>0</v>
      </c>
      <c r="BV70">
        <f t="shared" ca="1" si="40"/>
        <v>0</v>
      </c>
      <c r="BW70">
        <f t="shared" ca="1" si="41"/>
        <v>0</v>
      </c>
      <c r="BX70">
        <f t="shared" ca="1" si="42"/>
        <v>0</v>
      </c>
      <c r="BY70">
        <f t="shared" ca="1" si="43"/>
        <v>0</v>
      </c>
      <c r="BZ70">
        <f t="shared" ca="1" si="10"/>
        <v>0</v>
      </c>
      <c r="CA70">
        <f t="shared" ca="1" si="11"/>
        <v>0</v>
      </c>
    </row>
    <row r="71" spans="1:79" x14ac:dyDescent="0.4">
      <c r="A71" t="str">
        <f t="shared" si="61"/>
        <v/>
      </c>
      <c r="B71">
        <v>60</v>
      </c>
      <c r="C71" t="str" cm="1">
        <f t="array" ref="C71">INDEX(auto_Series_Code,B71)</f>
        <v>INDI_029</v>
      </c>
      <c r="D71" cm="1">
        <f t="array" ref="D71">INDEX(auto_tblSeries,$B71,D$11)</f>
        <v>2</v>
      </c>
      <c r="E71" cm="1">
        <f t="array" ref="E71">INDEX(auto_tblSeries,$B71,E$11)</f>
        <v>0</v>
      </c>
      <c r="F71" cm="1">
        <f t="array" ref="F71">INDEX(auto_tblSeries,$B71,F$11)</f>
        <v>1</v>
      </c>
      <c r="G71" cm="1">
        <f t="array" ref="G71">INDEX(auto_tblSeries,$B71,G$11)</f>
        <v>0</v>
      </c>
      <c r="H71" cm="1">
        <f t="array" ref="H71">INDEX(auto_tblSeries,$B71,H$11)</f>
        <v>0</v>
      </c>
      <c r="I71">
        <f t="shared" si="0"/>
        <v>3591</v>
      </c>
      <c r="K71" cm="1">
        <f t="array" ref="K71">INDEX(auto_DataFlat_Score,$I71,K$10)</f>
        <v>95</v>
      </c>
      <c r="L71" t="str" cm="1">
        <f t="array" ref="L71">INDEX(auto_DataFlat_Rank,$I71,L$10)</f>
        <v>n/a</v>
      </c>
      <c r="M71" cm="1">
        <f t="array" ref="M71">INDEX(auto_DataFlat_DataValue,$I71,M$10)</f>
        <v>0</v>
      </c>
      <c r="N71" cm="1">
        <f t="array" ref="N71">INDEX(auto_DataFlat_Classification,$I71,M$10)</f>
        <v>5</v>
      </c>
      <c r="O71" cm="1">
        <f t="array" ref="O71">INDEX(auto_DataFlat_IsEstimate,$I71,O$10)</f>
        <v>0</v>
      </c>
      <c r="P71" t="str" cm="1">
        <f t="array" ref="P71">IF(INDEX(auto_DataFlat_DataYear,$I71,P$10)=0,"n/a",INDEX(auto_DataFlat_DataYear,$I71,P$10))</f>
        <v>n/a</v>
      </c>
      <c r="R71">
        <f t="shared" si="1"/>
        <v>3591</v>
      </c>
      <c r="S71" cm="1">
        <f t="array" ref="S71">INDEX(auto_DataFlat_Score,$R71,S$10)</f>
        <v>95</v>
      </c>
      <c r="U71">
        <f t="shared" si="12"/>
        <v>0</v>
      </c>
      <c r="V71">
        <f t="shared" si="13"/>
        <v>2</v>
      </c>
      <c r="W71">
        <f t="shared" si="14"/>
        <v>2</v>
      </c>
      <c r="X71" t="e">
        <f t="shared" ca="1" si="68"/>
        <v>#N/A</v>
      </c>
      <c r="Y71" t="e">
        <f t="shared" ca="1" si="68"/>
        <v>#N/A</v>
      </c>
      <c r="Z71" t="e">
        <f t="shared" ca="1" si="68"/>
        <v>#N/A</v>
      </c>
      <c r="AB71">
        <f t="shared" ca="1" si="65"/>
        <v>0</v>
      </c>
      <c r="AC71">
        <f t="shared" ca="1" si="65"/>
        <v>0</v>
      </c>
      <c r="AD71">
        <f t="shared" ca="1" si="65"/>
        <v>0</v>
      </c>
      <c r="AF71">
        <f t="shared" si="17"/>
        <v>-1</v>
      </c>
      <c r="AG71" t="e">
        <f t="shared" ca="1" si="69"/>
        <v>#N/A</v>
      </c>
      <c r="AH71" t="e">
        <f t="shared" ca="1" si="69"/>
        <v>#N/A</v>
      </c>
      <c r="AI71" t="e">
        <f t="shared" ca="1" si="69"/>
        <v>#N/A</v>
      </c>
      <c r="AJ71" t="e">
        <f t="shared" ca="1" si="69"/>
        <v>#N/A</v>
      </c>
      <c r="AK71" t="e">
        <f t="shared" ca="1" si="69"/>
        <v>#N/A</v>
      </c>
      <c r="AL71" t="e">
        <f t="shared" ca="1" si="69"/>
        <v>#N/A</v>
      </c>
      <c r="AM71" t="e">
        <f t="shared" ca="1" si="69"/>
        <v>#N/A</v>
      </c>
      <c r="AN71">
        <f t="shared" ca="1" si="20"/>
        <v>0</v>
      </c>
      <c r="AO71">
        <f t="shared" ca="1" si="21"/>
        <v>0</v>
      </c>
      <c r="AP71">
        <f t="shared" ca="1" si="22"/>
        <v>0</v>
      </c>
      <c r="AQ71">
        <f t="shared" ca="1" si="23"/>
        <v>0</v>
      </c>
      <c r="AR71">
        <f t="shared" ca="1" si="24"/>
        <v>0</v>
      </c>
      <c r="AS71">
        <f t="shared" ca="1" si="25"/>
        <v>0</v>
      </c>
      <c r="AT71">
        <f t="shared" ca="1" si="26"/>
        <v>0</v>
      </c>
      <c r="AV71">
        <f t="shared" si="6"/>
        <v>3541</v>
      </c>
      <c r="AW71" cm="1">
        <f t="array" ref="AW71">INDEX(auto_DataFlat_Score,$AV71,1)</f>
        <v>100</v>
      </c>
      <c r="AX71" cm="1">
        <f t="array" ref="AX71">INDEX(auto_DataFlat_DataValue,$AV71,1)</f>
        <v>2</v>
      </c>
      <c r="BA71">
        <f t="shared" si="27"/>
        <v>-5</v>
      </c>
      <c r="BB71">
        <f t="shared" si="28"/>
        <v>3</v>
      </c>
      <c r="BC71">
        <f t="shared" si="29"/>
        <v>-1</v>
      </c>
      <c r="BD71" t="e">
        <f t="shared" ca="1" si="67"/>
        <v>#N/A</v>
      </c>
      <c r="BE71" t="e">
        <f t="shared" ca="1" si="67"/>
        <v>#N/A</v>
      </c>
      <c r="BF71" t="e">
        <f t="shared" ca="1" si="67"/>
        <v>#N/A</v>
      </c>
      <c r="BH71">
        <f t="shared" ca="1" si="66"/>
        <v>0</v>
      </c>
      <c r="BI71">
        <f t="shared" ca="1" si="66"/>
        <v>0</v>
      </c>
      <c r="BJ71">
        <f t="shared" ca="1" si="66"/>
        <v>0</v>
      </c>
      <c r="BM71">
        <f t="shared" si="31"/>
        <v>-1</v>
      </c>
      <c r="BN71" t="e">
        <f t="shared" ca="1" si="32"/>
        <v>#N/A</v>
      </c>
      <c r="BO71" t="e">
        <f t="shared" ca="1" si="33"/>
        <v>#N/A</v>
      </c>
      <c r="BP71" t="e">
        <f t="shared" ca="1" si="34"/>
        <v>#N/A</v>
      </c>
      <c r="BQ71" t="e">
        <f t="shared" ca="1" si="35"/>
        <v>#N/A</v>
      </c>
      <c r="BR71" t="e">
        <f t="shared" ca="1" si="36"/>
        <v>#N/A</v>
      </c>
      <c r="BS71" t="e">
        <f t="shared" ca="1" si="37"/>
        <v>#N/A</v>
      </c>
      <c r="BT71" t="e">
        <f t="shared" ca="1" si="38"/>
        <v>#N/A</v>
      </c>
      <c r="BU71">
        <f t="shared" ca="1" si="39"/>
        <v>0</v>
      </c>
      <c r="BV71">
        <f t="shared" ca="1" si="40"/>
        <v>0</v>
      </c>
      <c r="BW71">
        <f t="shared" ca="1" si="41"/>
        <v>0</v>
      </c>
      <c r="BX71">
        <f t="shared" ca="1" si="42"/>
        <v>0</v>
      </c>
      <c r="BY71">
        <f t="shared" ca="1" si="43"/>
        <v>0</v>
      </c>
      <c r="BZ71">
        <f t="shared" ca="1" si="10"/>
        <v>0</v>
      </c>
      <c r="CA71">
        <f t="shared" ca="1" si="11"/>
        <v>0</v>
      </c>
    </row>
    <row r="72" spans="1:79" x14ac:dyDescent="0.4">
      <c r="A72" t="str">
        <f t="shared" si="61"/>
        <v/>
      </c>
      <c r="B72">
        <v>61</v>
      </c>
      <c r="C72" t="str" cm="1">
        <f t="array" ref="C72">INDEX(auto_Series_Code,B72)</f>
        <v>INDI_030</v>
      </c>
      <c r="D72" cm="1">
        <f t="array" ref="D72">INDEX(auto_tblSeries,$B72,D$11)</f>
        <v>2</v>
      </c>
      <c r="E72" cm="1">
        <f t="array" ref="E72">INDEX(auto_tblSeries,$B72,E$11)</f>
        <v>0</v>
      </c>
      <c r="F72" cm="1">
        <f t="array" ref="F72">INDEX(auto_tblSeries,$B72,F$11)</f>
        <v>1</v>
      </c>
      <c r="G72" cm="1">
        <f t="array" ref="G72">INDEX(auto_tblSeries,$B72,G$11)</f>
        <v>0</v>
      </c>
      <c r="H72" cm="1">
        <f t="array" ref="H72">INDEX(auto_tblSeries,$B72,H$11)</f>
        <v>0</v>
      </c>
      <c r="I72">
        <f t="shared" si="0"/>
        <v>3651</v>
      </c>
      <c r="K72" cm="1">
        <f t="array" ref="K72">INDEX(auto_DataFlat_Score,$I72,K$10)</f>
        <v>67</v>
      </c>
      <c r="L72" t="str" cm="1">
        <f t="array" ref="L72">INDEX(auto_DataFlat_Rank,$I72,L$10)</f>
        <v>n/a</v>
      </c>
      <c r="M72" cm="1">
        <f t="array" ref="M72">INDEX(auto_DataFlat_DataValue,$I72,M$10)</f>
        <v>0</v>
      </c>
      <c r="N72" cm="1">
        <f t="array" ref="N72">INDEX(auto_DataFlat_Classification,$I72,M$10)</f>
        <v>4</v>
      </c>
      <c r="O72" cm="1">
        <f t="array" ref="O72">INDEX(auto_DataFlat_IsEstimate,$I72,O$10)</f>
        <v>0</v>
      </c>
      <c r="P72" t="str" cm="1">
        <f t="array" ref="P72">IF(INDEX(auto_DataFlat_DataYear,$I72,P$10)=0,"n/a",INDEX(auto_DataFlat_DataYear,$I72,P$10))</f>
        <v>n/a</v>
      </c>
      <c r="R72">
        <f t="shared" si="1"/>
        <v>3651</v>
      </c>
      <c r="S72" cm="1">
        <f t="array" ref="S72">INDEX(auto_DataFlat_Score,$R72,S$10)</f>
        <v>67</v>
      </c>
      <c r="U72">
        <f t="shared" si="12"/>
        <v>0</v>
      </c>
      <c r="V72">
        <f t="shared" si="13"/>
        <v>2</v>
      </c>
      <c r="W72">
        <f t="shared" si="14"/>
        <v>2</v>
      </c>
      <c r="X72" t="e">
        <f t="shared" ca="1" si="68"/>
        <v>#N/A</v>
      </c>
      <c r="Y72" t="e">
        <f t="shared" ca="1" si="68"/>
        <v>#N/A</v>
      </c>
      <c r="Z72" t="e">
        <f t="shared" ca="1" si="68"/>
        <v>#N/A</v>
      </c>
      <c r="AB72">
        <f t="shared" ca="1" si="65"/>
        <v>0</v>
      </c>
      <c r="AC72">
        <f t="shared" ca="1" si="65"/>
        <v>0</v>
      </c>
      <c r="AD72">
        <f t="shared" ca="1" si="65"/>
        <v>0</v>
      </c>
      <c r="AF72">
        <f t="shared" si="17"/>
        <v>-1</v>
      </c>
      <c r="AG72" t="e">
        <f t="shared" ca="1" si="69"/>
        <v>#N/A</v>
      </c>
      <c r="AH72" t="e">
        <f t="shared" ca="1" si="69"/>
        <v>#N/A</v>
      </c>
      <c r="AI72" t="e">
        <f t="shared" ca="1" si="69"/>
        <v>#N/A</v>
      </c>
      <c r="AJ72" t="e">
        <f t="shared" ca="1" si="69"/>
        <v>#N/A</v>
      </c>
      <c r="AK72" t="e">
        <f t="shared" ca="1" si="69"/>
        <v>#N/A</v>
      </c>
      <c r="AL72" t="e">
        <f t="shared" ca="1" si="69"/>
        <v>#N/A</v>
      </c>
      <c r="AM72" t="e">
        <f t="shared" ca="1" si="69"/>
        <v>#N/A</v>
      </c>
      <c r="AN72">
        <f t="shared" ca="1" si="20"/>
        <v>0</v>
      </c>
      <c r="AO72">
        <f t="shared" ca="1" si="21"/>
        <v>0</v>
      </c>
      <c r="AP72">
        <f t="shared" ca="1" si="22"/>
        <v>0</v>
      </c>
      <c r="AQ72">
        <f t="shared" ca="1" si="23"/>
        <v>0</v>
      </c>
      <c r="AR72">
        <f t="shared" ca="1" si="24"/>
        <v>0</v>
      </c>
      <c r="AS72">
        <f t="shared" ca="1" si="25"/>
        <v>0</v>
      </c>
      <c r="AT72">
        <f t="shared" ca="1" si="26"/>
        <v>0</v>
      </c>
      <c r="AV72">
        <f t="shared" si="6"/>
        <v>3601</v>
      </c>
      <c r="AW72" cm="1">
        <f t="array" ref="AW72">INDEX(auto_DataFlat_Score,$AV72,1)</f>
        <v>75</v>
      </c>
      <c r="AX72" cm="1">
        <f t="array" ref="AX72">INDEX(auto_DataFlat_DataValue,$AV72,1)</f>
        <v>3</v>
      </c>
      <c r="BA72">
        <f t="shared" si="27"/>
        <v>-8</v>
      </c>
      <c r="BB72">
        <f t="shared" si="28"/>
        <v>3</v>
      </c>
      <c r="BC72">
        <f t="shared" si="29"/>
        <v>-1</v>
      </c>
      <c r="BD72" t="e">
        <f t="shared" ca="1" si="67"/>
        <v>#N/A</v>
      </c>
      <c r="BE72" t="e">
        <f t="shared" ca="1" si="67"/>
        <v>#N/A</v>
      </c>
      <c r="BF72" t="e">
        <f t="shared" ca="1" si="67"/>
        <v>#N/A</v>
      </c>
      <c r="BH72">
        <f t="shared" ca="1" si="66"/>
        <v>0</v>
      </c>
      <c r="BI72">
        <f t="shared" ca="1" si="66"/>
        <v>0</v>
      </c>
      <c r="BJ72">
        <f t="shared" ca="1" si="66"/>
        <v>0</v>
      </c>
      <c r="BM72">
        <f t="shared" si="31"/>
        <v>-1</v>
      </c>
      <c r="BN72" t="e">
        <f t="shared" ca="1" si="32"/>
        <v>#N/A</v>
      </c>
      <c r="BO72" t="e">
        <f t="shared" ca="1" si="33"/>
        <v>#N/A</v>
      </c>
      <c r="BP72" t="e">
        <f t="shared" ca="1" si="34"/>
        <v>#N/A</v>
      </c>
      <c r="BQ72" t="e">
        <f t="shared" ca="1" si="35"/>
        <v>#N/A</v>
      </c>
      <c r="BR72" t="e">
        <f t="shared" ca="1" si="36"/>
        <v>#N/A</v>
      </c>
      <c r="BS72" t="e">
        <f t="shared" ca="1" si="37"/>
        <v>#N/A</v>
      </c>
      <c r="BT72" t="e">
        <f t="shared" ca="1" si="38"/>
        <v>#N/A</v>
      </c>
      <c r="BU72">
        <f t="shared" ca="1" si="39"/>
        <v>0</v>
      </c>
      <c r="BV72">
        <f t="shared" ca="1" si="40"/>
        <v>0</v>
      </c>
      <c r="BW72">
        <f t="shared" ca="1" si="41"/>
        <v>0</v>
      </c>
      <c r="BX72">
        <f t="shared" ca="1" si="42"/>
        <v>0</v>
      </c>
      <c r="BY72">
        <f t="shared" ca="1" si="43"/>
        <v>0</v>
      </c>
      <c r="BZ72">
        <f t="shared" ca="1" si="10"/>
        <v>0</v>
      </c>
      <c r="CA72">
        <f t="shared" ca="1" si="11"/>
        <v>0</v>
      </c>
    </row>
    <row r="73" spans="1:79" x14ac:dyDescent="0.4">
      <c r="A73" t="str">
        <f t="shared" si="61"/>
        <v/>
      </c>
      <c r="B73">
        <v>62</v>
      </c>
      <c r="C73" t="str" cm="1">
        <f t="array" ref="C73">INDEX(auto_Series_Code,B73)</f>
        <v>INDI_031</v>
      </c>
      <c r="D73" cm="1">
        <f t="array" ref="D73">INDEX(auto_tblSeries,$B73,D$11)</f>
        <v>2</v>
      </c>
      <c r="E73" cm="1">
        <f t="array" ref="E73">INDEX(auto_tblSeries,$B73,E$11)</f>
        <v>0</v>
      </c>
      <c r="F73" cm="1">
        <f t="array" ref="F73">INDEX(auto_tblSeries,$B73,F$11)</f>
        <v>1</v>
      </c>
      <c r="G73" cm="1">
        <f t="array" ref="G73">INDEX(auto_tblSeries,$B73,G$11)</f>
        <v>0</v>
      </c>
      <c r="H73" cm="1">
        <f t="array" ref="H73">INDEX(auto_tblSeries,$B73,H$11)</f>
        <v>0</v>
      </c>
      <c r="I73">
        <f t="shared" si="0"/>
        <v>3711</v>
      </c>
      <c r="K73" cm="1">
        <f t="array" ref="K73">INDEX(auto_DataFlat_Score,$I73,K$10)</f>
        <v>82.7</v>
      </c>
      <c r="L73" t="str" cm="1">
        <f t="array" ref="L73">INDEX(auto_DataFlat_Rank,$I73,L$10)</f>
        <v>n/a</v>
      </c>
      <c r="M73" cm="1">
        <f t="array" ref="M73">INDEX(auto_DataFlat_DataValue,$I73,M$10)</f>
        <v>0</v>
      </c>
      <c r="N73" cm="1">
        <f t="array" ref="N73">INDEX(auto_DataFlat_Classification,$I73,M$10)</f>
        <v>5</v>
      </c>
      <c r="O73" cm="1">
        <f t="array" ref="O73">INDEX(auto_DataFlat_IsEstimate,$I73,O$10)</f>
        <v>0</v>
      </c>
      <c r="P73" t="str" cm="1">
        <f t="array" ref="P73">IF(INDEX(auto_DataFlat_DataYear,$I73,P$10)=0,"n/a",INDEX(auto_DataFlat_DataYear,$I73,P$10))</f>
        <v>n/a</v>
      </c>
      <c r="R73">
        <f t="shared" si="1"/>
        <v>3711</v>
      </c>
      <c r="S73" cm="1">
        <f t="array" ref="S73">INDEX(auto_DataFlat_Score,$R73,S$10)</f>
        <v>82.7</v>
      </c>
      <c r="U73">
        <f t="shared" si="12"/>
        <v>0</v>
      </c>
      <c r="V73">
        <f t="shared" si="13"/>
        <v>2</v>
      </c>
      <c r="W73">
        <f t="shared" si="14"/>
        <v>2</v>
      </c>
      <c r="X73" t="e">
        <f t="shared" ca="1" si="68"/>
        <v>#N/A</v>
      </c>
      <c r="Y73" t="e">
        <f t="shared" ca="1" si="68"/>
        <v>#N/A</v>
      </c>
      <c r="Z73" t="e">
        <f t="shared" ca="1" si="68"/>
        <v>#N/A</v>
      </c>
      <c r="AB73">
        <f t="shared" ca="1" si="65"/>
        <v>0</v>
      </c>
      <c r="AC73">
        <f t="shared" ca="1" si="65"/>
        <v>0</v>
      </c>
      <c r="AD73">
        <f t="shared" ca="1" si="65"/>
        <v>0</v>
      </c>
      <c r="AF73">
        <f t="shared" si="17"/>
        <v>-1</v>
      </c>
      <c r="AG73" t="e">
        <f t="shared" ca="1" si="69"/>
        <v>#N/A</v>
      </c>
      <c r="AH73" t="e">
        <f t="shared" ca="1" si="69"/>
        <v>#N/A</v>
      </c>
      <c r="AI73" t="e">
        <f t="shared" ca="1" si="69"/>
        <v>#N/A</v>
      </c>
      <c r="AJ73" t="e">
        <f t="shared" ca="1" si="69"/>
        <v>#N/A</v>
      </c>
      <c r="AK73" t="e">
        <f t="shared" ca="1" si="69"/>
        <v>#N/A</v>
      </c>
      <c r="AL73" t="e">
        <f t="shared" ca="1" si="69"/>
        <v>#N/A</v>
      </c>
      <c r="AM73" t="e">
        <f t="shared" ca="1" si="69"/>
        <v>#N/A</v>
      </c>
      <c r="AN73">
        <f t="shared" ca="1" si="20"/>
        <v>0</v>
      </c>
      <c r="AO73">
        <f t="shared" ca="1" si="21"/>
        <v>0</v>
      </c>
      <c r="AP73">
        <f t="shared" ca="1" si="22"/>
        <v>0</v>
      </c>
      <c r="AQ73">
        <f t="shared" ca="1" si="23"/>
        <v>0</v>
      </c>
      <c r="AR73">
        <f t="shared" ca="1" si="24"/>
        <v>0</v>
      </c>
      <c r="AS73">
        <f t="shared" ca="1" si="25"/>
        <v>0</v>
      </c>
      <c r="AT73">
        <f t="shared" ca="1" si="26"/>
        <v>0</v>
      </c>
      <c r="AV73">
        <f t="shared" si="6"/>
        <v>3661</v>
      </c>
      <c r="AW73" cm="1">
        <f t="array" ref="AW73">INDEX(auto_DataFlat_Score,$AV73,1)</f>
        <v>66.7</v>
      </c>
      <c r="AX73" cm="1">
        <f t="array" ref="AX73">INDEX(auto_DataFlat_DataValue,$AV73,1)</f>
        <v>2</v>
      </c>
      <c r="BA73">
        <f t="shared" si="27"/>
        <v>16</v>
      </c>
      <c r="BB73">
        <f t="shared" si="28"/>
        <v>1</v>
      </c>
      <c r="BC73">
        <f t="shared" si="29"/>
        <v>-1</v>
      </c>
      <c r="BD73" t="e">
        <f t="shared" ca="1" si="67"/>
        <v>#N/A</v>
      </c>
      <c r="BE73" t="e">
        <f t="shared" ca="1" si="67"/>
        <v>#N/A</v>
      </c>
      <c r="BF73" t="e">
        <f t="shared" ca="1" si="67"/>
        <v>#N/A</v>
      </c>
      <c r="BH73">
        <f t="shared" ca="1" si="66"/>
        <v>0</v>
      </c>
      <c r="BI73">
        <f t="shared" ca="1" si="66"/>
        <v>0</v>
      </c>
      <c r="BJ73">
        <f t="shared" ca="1" si="66"/>
        <v>0</v>
      </c>
      <c r="BM73">
        <f t="shared" si="31"/>
        <v>-1</v>
      </c>
      <c r="BN73" t="e">
        <f t="shared" ca="1" si="32"/>
        <v>#N/A</v>
      </c>
      <c r="BO73" t="e">
        <f t="shared" ca="1" si="33"/>
        <v>#N/A</v>
      </c>
      <c r="BP73" t="e">
        <f t="shared" ca="1" si="34"/>
        <v>#N/A</v>
      </c>
      <c r="BQ73" t="e">
        <f t="shared" ca="1" si="35"/>
        <v>#N/A</v>
      </c>
      <c r="BR73" t="e">
        <f t="shared" ca="1" si="36"/>
        <v>#N/A</v>
      </c>
      <c r="BS73" t="e">
        <f t="shared" ca="1" si="37"/>
        <v>#N/A</v>
      </c>
      <c r="BT73" t="e">
        <f t="shared" ca="1" si="38"/>
        <v>#N/A</v>
      </c>
      <c r="BU73">
        <f t="shared" ca="1" si="39"/>
        <v>0</v>
      </c>
      <c r="BV73">
        <f t="shared" ca="1" si="40"/>
        <v>0</v>
      </c>
      <c r="BW73">
        <f t="shared" ca="1" si="41"/>
        <v>0</v>
      </c>
      <c r="BX73">
        <f t="shared" ca="1" si="42"/>
        <v>0</v>
      </c>
      <c r="BY73">
        <f t="shared" ca="1" si="43"/>
        <v>0</v>
      </c>
      <c r="BZ73">
        <f t="shared" ca="1" si="10"/>
        <v>0</v>
      </c>
      <c r="CA73">
        <f t="shared" ca="1" si="11"/>
        <v>0</v>
      </c>
    </row>
    <row r="74" spans="1:79" x14ac:dyDescent="0.4">
      <c r="A74" t="str">
        <f t="shared" si="61"/>
        <v/>
      </c>
      <c r="B74">
        <v>63</v>
      </c>
      <c r="C74" t="str" cm="1">
        <f t="array" ref="C74">INDEX(auto_Series_Code,B74)</f>
        <v>INDI_032</v>
      </c>
      <c r="D74" cm="1">
        <f t="array" ref="D74">INDEX(auto_tblSeries,$B74,D$11)</f>
        <v>2</v>
      </c>
      <c r="E74" cm="1">
        <f t="array" ref="E74">INDEX(auto_tblSeries,$B74,E$11)</f>
        <v>0</v>
      </c>
      <c r="F74" cm="1">
        <f t="array" ref="F74">INDEX(auto_tblSeries,$B74,F$11)</f>
        <v>1</v>
      </c>
      <c r="G74" cm="1">
        <f t="array" ref="G74">INDEX(auto_tblSeries,$B74,G$11)</f>
        <v>0</v>
      </c>
      <c r="H74" cm="1">
        <f t="array" ref="H74">INDEX(auto_tblSeries,$B74,H$11)</f>
        <v>0</v>
      </c>
      <c r="I74">
        <f t="shared" si="0"/>
        <v>3771</v>
      </c>
      <c r="K74" cm="1">
        <f t="array" ref="K74">INDEX(auto_DataFlat_Score,$I74,K$10)</f>
        <v>41</v>
      </c>
      <c r="L74" t="str" cm="1">
        <f t="array" ref="L74">INDEX(auto_DataFlat_Rank,$I74,L$10)</f>
        <v>n/a</v>
      </c>
      <c r="M74" cm="1">
        <f t="array" ref="M74">INDEX(auto_DataFlat_DataValue,$I74,M$10)</f>
        <v>0</v>
      </c>
      <c r="N74" cm="1">
        <f t="array" ref="N74">INDEX(auto_DataFlat_Classification,$I74,M$10)</f>
        <v>3</v>
      </c>
      <c r="O74" cm="1">
        <f t="array" ref="O74">INDEX(auto_DataFlat_IsEstimate,$I74,O$10)</f>
        <v>0</v>
      </c>
      <c r="P74" t="str" cm="1">
        <f t="array" ref="P74">IF(INDEX(auto_DataFlat_DataYear,$I74,P$10)=0,"n/a",INDEX(auto_DataFlat_DataYear,$I74,P$10))</f>
        <v>n/a</v>
      </c>
      <c r="R74">
        <f t="shared" si="1"/>
        <v>3771</v>
      </c>
      <c r="S74" cm="1">
        <f t="array" ref="S74">INDEX(auto_DataFlat_Score,$R74,S$10)</f>
        <v>41</v>
      </c>
      <c r="U74">
        <f t="shared" si="12"/>
        <v>0</v>
      </c>
      <c r="V74">
        <f t="shared" si="13"/>
        <v>2</v>
      </c>
      <c r="W74">
        <f t="shared" si="14"/>
        <v>2</v>
      </c>
      <c r="X74" t="e">
        <f t="shared" ca="1" si="68"/>
        <v>#N/A</v>
      </c>
      <c r="Y74" t="e">
        <f t="shared" ca="1" si="68"/>
        <v>#N/A</v>
      </c>
      <c r="Z74" t="e">
        <f t="shared" ca="1" si="68"/>
        <v>#N/A</v>
      </c>
      <c r="AB74">
        <f t="shared" ca="1" si="65"/>
        <v>0</v>
      </c>
      <c r="AC74">
        <f t="shared" ca="1" si="65"/>
        <v>0</v>
      </c>
      <c r="AD74">
        <f t="shared" ca="1" si="65"/>
        <v>0</v>
      </c>
      <c r="AF74">
        <f t="shared" si="17"/>
        <v>-1</v>
      </c>
      <c r="AG74" t="e">
        <f t="shared" ca="1" si="69"/>
        <v>#N/A</v>
      </c>
      <c r="AH74" t="e">
        <f t="shared" ca="1" si="69"/>
        <v>#N/A</v>
      </c>
      <c r="AI74" t="e">
        <f t="shared" ca="1" si="69"/>
        <v>#N/A</v>
      </c>
      <c r="AJ74" t="e">
        <f t="shared" ca="1" si="69"/>
        <v>#N/A</v>
      </c>
      <c r="AK74" t="e">
        <f t="shared" ca="1" si="69"/>
        <v>#N/A</v>
      </c>
      <c r="AL74" t="e">
        <f t="shared" ca="1" si="69"/>
        <v>#N/A</v>
      </c>
      <c r="AM74" t="e">
        <f t="shared" ca="1" si="69"/>
        <v>#N/A</v>
      </c>
      <c r="AN74">
        <f t="shared" ca="1" si="20"/>
        <v>0</v>
      </c>
      <c r="AO74">
        <f t="shared" ca="1" si="21"/>
        <v>0</v>
      </c>
      <c r="AP74">
        <f t="shared" ca="1" si="22"/>
        <v>0</v>
      </c>
      <c r="AQ74">
        <f t="shared" ca="1" si="23"/>
        <v>0</v>
      </c>
      <c r="AR74">
        <f t="shared" ca="1" si="24"/>
        <v>0</v>
      </c>
      <c r="AS74">
        <f t="shared" ca="1" si="25"/>
        <v>0</v>
      </c>
      <c r="AT74">
        <f t="shared" ca="1" si="26"/>
        <v>0</v>
      </c>
      <c r="AV74">
        <f t="shared" si="6"/>
        <v>3721</v>
      </c>
      <c r="AW74" cm="1">
        <f t="array" ref="AW74">INDEX(auto_DataFlat_Score,$AV74,1)</f>
        <v>0</v>
      </c>
      <c r="AX74" cm="1">
        <f t="array" ref="AX74">INDEX(auto_DataFlat_DataValue,$AV74,1)</f>
        <v>0</v>
      </c>
      <c r="BA74">
        <f t="shared" si="27"/>
        <v>41</v>
      </c>
      <c r="BB74">
        <f t="shared" si="28"/>
        <v>1</v>
      </c>
      <c r="BC74">
        <f t="shared" si="29"/>
        <v>-1</v>
      </c>
      <c r="BD74" t="e">
        <f t="shared" ca="1" si="67"/>
        <v>#N/A</v>
      </c>
      <c r="BE74" t="e">
        <f t="shared" ca="1" si="67"/>
        <v>#N/A</v>
      </c>
      <c r="BF74" t="e">
        <f t="shared" ca="1" si="67"/>
        <v>#N/A</v>
      </c>
      <c r="BH74">
        <f t="shared" ca="1" si="66"/>
        <v>0</v>
      </c>
      <c r="BI74">
        <f t="shared" ca="1" si="66"/>
        <v>0</v>
      </c>
      <c r="BJ74">
        <f t="shared" ca="1" si="66"/>
        <v>0</v>
      </c>
      <c r="BM74">
        <f t="shared" si="31"/>
        <v>-1</v>
      </c>
      <c r="BN74" t="e">
        <f t="shared" ca="1" si="32"/>
        <v>#N/A</v>
      </c>
      <c r="BO74" t="e">
        <f t="shared" ca="1" si="33"/>
        <v>#N/A</v>
      </c>
      <c r="BP74" t="e">
        <f t="shared" ca="1" si="34"/>
        <v>#N/A</v>
      </c>
      <c r="BQ74" t="e">
        <f t="shared" ca="1" si="35"/>
        <v>#N/A</v>
      </c>
      <c r="BR74" t="e">
        <f t="shared" ca="1" si="36"/>
        <v>#N/A</v>
      </c>
      <c r="BS74" t="e">
        <f t="shared" ca="1" si="37"/>
        <v>#N/A</v>
      </c>
      <c r="BT74" t="e">
        <f t="shared" ca="1" si="38"/>
        <v>#N/A</v>
      </c>
      <c r="BU74">
        <f t="shared" ca="1" si="39"/>
        <v>0</v>
      </c>
      <c r="BV74">
        <f t="shared" ca="1" si="40"/>
        <v>0</v>
      </c>
      <c r="BW74">
        <f t="shared" ca="1" si="41"/>
        <v>0</v>
      </c>
      <c r="BX74">
        <f t="shared" ca="1" si="42"/>
        <v>0</v>
      </c>
      <c r="BY74">
        <f t="shared" ca="1" si="43"/>
        <v>0</v>
      </c>
      <c r="BZ74">
        <f t="shared" ca="1" si="10"/>
        <v>0</v>
      </c>
      <c r="CA74">
        <f t="shared" ca="1" si="11"/>
        <v>0</v>
      </c>
    </row>
    <row r="75" spans="1:79" x14ac:dyDescent="0.4">
      <c r="A75" t="str">
        <f t="shared" si="61"/>
        <v/>
      </c>
      <c r="B75">
        <v>64</v>
      </c>
      <c r="C75" t="str" cm="1">
        <f t="array" ref="C75">INDEX(auto_Series_Code,B75)</f>
        <v>BG</v>
      </c>
      <c r="D75" cm="1">
        <f t="array" ref="D75">INDEX(auto_tblSeries,$B75,D$11)</f>
        <v>0</v>
      </c>
      <c r="E75" cm="1">
        <f t="array" ref="E75">INDEX(auto_tblSeries,$B75,E$11)</f>
        <v>1</v>
      </c>
      <c r="F75" cm="1">
        <f t="array" ref="F75">INDEX(auto_tblSeries,$B75,F$11)</f>
        <v>0</v>
      </c>
      <c r="G75" cm="1">
        <f t="array" ref="G75">INDEX(auto_tblSeries,$B75,G$11)</f>
        <v>0</v>
      </c>
      <c r="H75" cm="1">
        <f t="array" ref="H75">INDEX(auto_tblSeries,$B75,H$11)</f>
        <v>1</v>
      </c>
      <c r="I75">
        <f t="shared" si="0"/>
        <v>3831</v>
      </c>
      <c r="K75" cm="1">
        <f t="array" ref="K75">INDEX(auto_DataFlat_Score,$I75,K$10)</f>
        <v>0</v>
      </c>
      <c r="L75" t="str" cm="1">
        <f t="array" ref="L75">INDEX(auto_DataFlat_Rank,$I75,L$10)</f>
        <v>n/a</v>
      </c>
      <c r="M75" cm="1">
        <f t="array" ref="M75">INDEX(auto_DataFlat_DataValue,$I75,M$10)</f>
        <v>0</v>
      </c>
      <c r="N75" cm="1">
        <f t="array" ref="N75">INDEX(auto_DataFlat_Classification,$I75,M$10)</f>
        <v>1</v>
      </c>
      <c r="O75" cm="1">
        <f t="array" ref="O75">INDEX(auto_DataFlat_IsEstimate,$I75,O$10)</f>
        <v>0</v>
      </c>
      <c r="P75" t="str" cm="1">
        <f t="array" ref="P75">IF(INDEX(auto_DataFlat_DataYear,$I75,P$10)=0,"n/a",INDEX(auto_DataFlat_DataYear,$I75,P$10))</f>
        <v>n/a</v>
      </c>
      <c r="R75">
        <f t="shared" si="1"/>
        <v>3831</v>
      </c>
      <c r="S75" cm="1">
        <f t="array" ref="S75">INDEX(auto_DataFlat_Score,$R75,S$10)</f>
        <v>0</v>
      </c>
      <c r="U75">
        <f t="shared" si="12"/>
        <v>0</v>
      </c>
      <c r="V75">
        <f t="shared" si="13"/>
        <v>2</v>
      </c>
      <c r="W75">
        <f t="shared" si="14"/>
        <v>-1</v>
      </c>
      <c r="X75" t="e">
        <f t="shared" ca="1" si="68"/>
        <v>#N/A</v>
      </c>
      <c r="Y75" t="e">
        <f t="shared" ca="1" si="68"/>
        <v>#N/A</v>
      </c>
      <c r="Z75" t="e">
        <f t="shared" ca="1" si="68"/>
        <v>#N/A</v>
      </c>
      <c r="AB75">
        <f t="shared" ca="1" si="65"/>
        <v>0</v>
      </c>
      <c r="AC75">
        <f t="shared" ca="1" si="65"/>
        <v>0</v>
      </c>
      <c r="AD75">
        <f t="shared" ca="1" si="65"/>
        <v>0</v>
      </c>
      <c r="AF75">
        <f t="shared" si="17"/>
        <v>-1</v>
      </c>
      <c r="AG75" t="e">
        <f t="shared" ca="1" si="69"/>
        <v>#N/A</v>
      </c>
      <c r="AH75" t="e">
        <f t="shared" ca="1" si="69"/>
        <v>#N/A</v>
      </c>
      <c r="AI75" t="e">
        <f t="shared" ca="1" si="69"/>
        <v>#N/A</v>
      </c>
      <c r="AJ75" t="e">
        <f t="shared" ca="1" si="69"/>
        <v>#N/A</v>
      </c>
      <c r="AK75" t="e">
        <f t="shared" ca="1" si="69"/>
        <v>#N/A</v>
      </c>
      <c r="AL75" t="e">
        <f t="shared" ca="1" si="69"/>
        <v>#N/A</v>
      </c>
      <c r="AM75" t="e">
        <f t="shared" ca="1" si="69"/>
        <v>#N/A</v>
      </c>
      <c r="AN75">
        <f t="shared" ca="1" si="20"/>
        <v>0</v>
      </c>
      <c r="AO75">
        <f t="shared" ca="1" si="21"/>
        <v>0</v>
      </c>
      <c r="AP75">
        <f t="shared" ca="1" si="22"/>
        <v>0</v>
      </c>
      <c r="AQ75">
        <f t="shared" ca="1" si="23"/>
        <v>0</v>
      </c>
      <c r="AR75">
        <f t="shared" ca="1" si="24"/>
        <v>0</v>
      </c>
      <c r="AS75">
        <f t="shared" ca="1" si="25"/>
        <v>0</v>
      </c>
      <c r="AT75">
        <f t="shared" ca="1" si="26"/>
        <v>0</v>
      </c>
      <c r="AV75">
        <f t="shared" si="6"/>
        <v>3781</v>
      </c>
      <c r="AW75" cm="1">
        <f t="array" ref="AW75">INDEX(auto_DataFlat_Score,$AV75,1)</f>
        <v>0</v>
      </c>
      <c r="AX75" cm="1">
        <f t="array" ref="AX75">INDEX(auto_DataFlat_DataValue,$AV75,1)</f>
        <v>0</v>
      </c>
      <c r="BA75">
        <f t="shared" si="27"/>
        <v>0</v>
      </c>
      <c r="BB75">
        <f t="shared" si="28"/>
        <v>2</v>
      </c>
      <c r="BC75">
        <f t="shared" si="29"/>
        <v>-1</v>
      </c>
      <c r="BD75" t="e">
        <f t="shared" ca="1" si="67"/>
        <v>#N/A</v>
      </c>
      <c r="BE75" t="e">
        <f t="shared" ca="1" si="67"/>
        <v>#N/A</v>
      </c>
      <c r="BF75" t="e">
        <f t="shared" ca="1" si="67"/>
        <v>#N/A</v>
      </c>
      <c r="BH75">
        <f t="shared" ca="1" si="66"/>
        <v>0</v>
      </c>
      <c r="BI75">
        <f t="shared" ca="1" si="66"/>
        <v>0</v>
      </c>
      <c r="BJ75">
        <f t="shared" ca="1" si="66"/>
        <v>0</v>
      </c>
      <c r="BM75">
        <f t="shared" si="31"/>
        <v>-1</v>
      </c>
      <c r="BN75" t="e">
        <f t="shared" ca="1" si="32"/>
        <v>#N/A</v>
      </c>
      <c r="BO75" t="e">
        <f t="shared" ca="1" si="33"/>
        <v>#N/A</v>
      </c>
      <c r="BP75" t="e">
        <f t="shared" ca="1" si="34"/>
        <v>#N/A</v>
      </c>
      <c r="BQ75" t="e">
        <f t="shared" ca="1" si="35"/>
        <v>#N/A</v>
      </c>
      <c r="BR75" t="e">
        <f t="shared" ca="1" si="36"/>
        <v>#N/A</v>
      </c>
      <c r="BS75" t="e">
        <f t="shared" ca="1" si="37"/>
        <v>#N/A</v>
      </c>
      <c r="BT75" t="e">
        <f t="shared" ca="1" si="38"/>
        <v>#N/A</v>
      </c>
      <c r="BU75">
        <f t="shared" ca="1" si="39"/>
        <v>0</v>
      </c>
      <c r="BV75">
        <f t="shared" ca="1" si="40"/>
        <v>0</v>
      </c>
      <c r="BW75">
        <f t="shared" ca="1" si="41"/>
        <v>0</v>
      </c>
      <c r="BX75">
        <f t="shared" ca="1" si="42"/>
        <v>0</v>
      </c>
      <c r="BY75">
        <f t="shared" ca="1" si="43"/>
        <v>0</v>
      </c>
      <c r="BZ75">
        <f t="shared" ca="1" si="10"/>
        <v>0</v>
      </c>
      <c r="CA75">
        <f t="shared" ca="1" si="11"/>
        <v>0</v>
      </c>
    </row>
    <row r="76" spans="1:79" x14ac:dyDescent="0.4">
      <c r="A76" t="str">
        <f t="shared" si="61"/>
        <v/>
      </c>
      <c r="B76">
        <v>65</v>
      </c>
      <c r="C76" t="str" cm="1">
        <f t="array" ref="C76">INDEX(auto_Series_Code,B76)</f>
        <v>BG03</v>
      </c>
      <c r="D76" cm="1">
        <f t="array" ref="D76">INDEX(auto_tblSeries,$B76,D$11)</f>
        <v>1</v>
      </c>
      <c r="E76" cm="1">
        <f t="array" ref="E76">INDEX(auto_tblSeries,$B76,E$11)</f>
        <v>1</v>
      </c>
      <c r="F76" cm="1">
        <f t="array" ref="F76">INDEX(auto_tblSeries,$B76,F$11)</f>
        <v>1</v>
      </c>
      <c r="G76" cm="1">
        <f t="array" ref="G76">INDEX(auto_tblSeries,$B76,G$11)</f>
        <v>0</v>
      </c>
      <c r="H76" cm="1">
        <f t="array" ref="H76">INDEX(auto_tblSeries,$B76,H$11)</f>
        <v>1</v>
      </c>
      <c r="I76">
        <f t="shared" ref="I76:I292" si="70">MATCH(CONCATENATE($C$3,"_",$C76),auto_DataFlat_UID,0)</f>
        <v>3891</v>
      </c>
      <c r="K76" cm="1">
        <f t="array" ref="K76">INDEX(auto_DataFlat_Score,$I76,K$10)</f>
        <v>39.700000000000003</v>
      </c>
      <c r="L76" t="str" cm="1">
        <f t="array" ref="L76">INDEX(auto_DataFlat_Rank,$I76,L$10)</f>
        <v>n/a</v>
      </c>
      <c r="M76" cm="1">
        <f t="array" ref="M76">INDEX(auto_DataFlat_DataValue,$I76,M$10)</f>
        <v>0</v>
      </c>
      <c r="N76" cm="1">
        <f t="array" ref="N76">INDEX(auto_DataFlat_Classification,$I76,M$10)</f>
        <v>2</v>
      </c>
      <c r="O76" cm="1">
        <f t="array" ref="O76">INDEX(auto_DataFlat_IsEstimate,$I76,O$10)</f>
        <v>0</v>
      </c>
      <c r="P76" t="str" cm="1">
        <f t="array" ref="P76">IF(INDEX(auto_DataFlat_DataYear,$I76,P$10)=0,"n/a",INDEX(auto_DataFlat_DataYear,$I76,P$10))</f>
        <v>n/a</v>
      </c>
      <c r="R76">
        <f t="shared" ref="R76:R139" si="71">MATCH(CONCATENATE(R$11,"_",$C76),auto_DataFlat_UID,0)</f>
        <v>3891</v>
      </c>
      <c r="S76" cm="1">
        <f t="array" ref="S76">INDEX(auto_DataFlat_Score,$R76,S$10)</f>
        <v>39.700000000000003</v>
      </c>
      <c r="U76">
        <f t="shared" si="12"/>
        <v>0</v>
      </c>
      <c r="V76">
        <f t="shared" si="13"/>
        <v>2</v>
      </c>
      <c r="W76">
        <f t="shared" si="14"/>
        <v>-1</v>
      </c>
      <c r="X76" t="e">
        <f t="shared" ca="1" si="68"/>
        <v>#N/A</v>
      </c>
      <c r="Y76" t="e">
        <f t="shared" ca="1" si="68"/>
        <v>#N/A</v>
      </c>
      <c r="Z76" t="e">
        <f t="shared" ca="1" si="68"/>
        <v>#N/A</v>
      </c>
      <c r="AB76">
        <f t="shared" ca="1" si="65"/>
        <v>0</v>
      </c>
      <c r="AC76">
        <f t="shared" ca="1" si="65"/>
        <v>0</v>
      </c>
      <c r="AD76">
        <f t="shared" ca="1" si="65"/>
        <v>0</v>
      </c>
      <c r="AF76">
        <f t="shared" si="17"/>
        <v>-1</v>
      </c>
      <c r="AG76" t="e">
        <f t="shared" ca="1" si="69"/>
        <v>#N/A</v>
      </c>
      <c r="AH76" t="e">
        <f t="shared" ca="1" si="69"/>
        <v>#N/A</v>
      </c>
      <c r="AI76" t="e">
        <f t="shared" ca="1" si="69"/>
        <v>#N/A</v>
      </c>
      <c r="AJ76" t="e">
        <f t="shared" ca="1" si="69"/>
        <v>#N/A</v>
      </c>
      <c r="AK76" t="e">
        <f t="shared" ca="1" si="69"/>
        <v>#N/A</v>
      </c>
      <c r="AL76" t="e">
        <f t="shared" ca="1" si="69"/>
        <v>#N/A</v>
      </c>
      <c r="AM76" t="e">
        <f t="shared" ca="1" si="69"/>
        <v>#N/A</v>
      </c>
      <c r="AN76">
        <f t="shared" ca="1" si="20"/>
        <v>0</v>
      </c>
      <c r="AO76">
        <f t="shared" ca="1" si="21"/>
        <v>0</v>
      </c>
      <c r="AP76">
        <f t="shared" ca="1" si="22"/>
        <v>0</v>
      </c>
      <c r="AQ76">
        <f t="shared" ca="1" si="23"/>
        <v>0</v>
      </c>
      <c r="AR76">
        <f t="shared" ca="1" si="24"/>
        <v>0</v>
      </c>
      <c r="AS76">
        <f t="shared" ca="1" si="25"/>
        <v>0</v>
      </c>
      <c r="AT76">
        <f t="shared" ca="1" si="26"/>
        <v>0</v>
      </c>
      <c r="AV76">
        <f t="shared" si="6"/>
        <v>3841</v>
      </c>
      <c r="AW76" cm="1">
        <f t="array" ref="AW76">INDEX(auto_DataFlat_Score,$AV76,1)</f>
        <v>0</v>
      </c>
      <c r="AX76" t="str" cm="1">
        <f t="array" ref="AX76">INDEX(auto_DataFlat_DataValue,$AV76,1)</f>
        <v>n/a</v>
      </c>
      <c r="BA76">
        <f t="shared" si="27"/>
        <v>39.700000000000003</v>
      </c>
      <c r="BB76">
        <f t="shared" si="28"/>
        <v>1</v>
      </c>
      <c r="BC76">
        <f t="shared" si="29"/>
        <v>-1</v>
      </c>
      <c r="BD76" t="e">
        <f t="shared" ref="BD76:BF91" ca="1" si="72">BD75+MATCH(BD$10,OFFSET($BC$12,BD75,0,200,1),0)</f>
        <v>#N/A</v>
      </c>
      <c r="BE76" t="e">
        <f t="shared" ca="1" si="72"/>
        <v>#N/A</v>
      </c>
      <c r="BF76" t="e">
        <f t="shared" ca="1" si="72"/>
        <v>#N/A</v>
      </c>
      <c r="BH76">
        <f t="shared" ca="1" si="66"/>
        <v>0</v>
      </c>
      <c r="BI76">
        <f t="shared" ca="1" si="66"/>
        <v>0</v>
      </c>
      <c r="BJ76">
        <f t="shared" ca="1" si="66"/>
        <v>0</v>
      </c>
      <c r="BM76">
        <f t="shared" si="31"/>
        <v>-1</v>
      </c>
      <c r="BN76" t="e">
        <f t="shared" ca="1" si="32"/>
        <v>#N/A</v>
      </c>
      <c r="BO76" t="e">
        <f t="shared" ca="1" si="33"/>
        <v>#N/A</v>
      </c>
      <c r="BP76" t="e">
        <f t="shared" ca="1" si="34"/>
        <v>#N/A</v>
      </c>
      <c r="BQ76" t="e">
        <f t="shared" ca="1" si="35"/>
        <v>#N/A</v>
      </c>
      <c r="BR76" t="e">
        <f t="shared" ca="1" si="36"/>
        <v>#N/A</v>
      </c>
      <c r="BS76" t="e">
        <f t="shared" ca="1" si="37"/>
        <v>#N/A</v>
      </c>
      <c r="BT76" t="e">
        <f t="shared" ca="1" si="38"/>
        <v>#N/A</v>
      </c>
      <c r="BU76">
        <f t="shared" ca="1" si="39"/>
        <v>0</v>
      </c>
      <c r="BV76">
        <f t="shared" ca="1" si="40"/>
        <v>0</v>
      </c>
      <c r="BW76">
        <f t="shared" ca="1" si="41"/>
        <v>0</v>
      </c>
      <c r="BX76">
        <f t="shared" ca="1" si="42"/>
        <v>0</v>
      </c>
      <c r="BY76">
        <f t="shared" ca="1" si="43"/>
        <v>0</v>
      </c>
      <c r="BZ76">
        <f t="shared" ref="BZ76:BZ139" ca="1" si="73">IFERROR(BS76,0)</f>
        <v>0</v>
      </c>
      <c r="CA76">
        <f t="shared" ref="CA76:CA139" ca="1" si="74">IFERROR(BT76,0)</f>
        <v>0</v>
      </c>
    </row>
    <row r="77" spans="1:79" x14ac:dyDescent="0.4">
      <c r="A77" t="str">
        <f t="shared" si="61"/>
        <v/>
      </c>
      <c r="B77">
        <v>66</v>
      </c>
      <c r="C77" t="str" cm="1">
        <f t="array" ref="C77">INDEX(auto_Series_Code,B77)</f>
        <v>BG04</v>
      </c>
      <c r="D77" cm="1">
        <f t="array" ref="D77">INDEX(auto_tblSeries,$B77,D$11)</f>
        <v>1</v>
      </c>
      <c r="E77" cm="1">
        <f t="array" ref="E77">INDEX(auto_tblSeries,$B77,E$11)</f>
        <v>1</v>
      </c>
      <c r="F77" cm="1">
        <f t="array" ref="F77">INDEX(auto_tblSeries,$B77,F$11)</f>
        <v>1</v>
      </c>
      <c r="G77" cm="1">
        <f t="array" ref="G77">INDEX(auto_tblSeries,$B77,G$11)</f>
        <v>0</v>
      </c>
      <c r="H77" cm="1">
        <f t="array" ref="H77">INDEX(auto_tblSeries,$B77,H$11)</f>
        <v>1</v>
      </c>
      <c r="I77">
        <f t="shared" si="70"/>
        <v>3951</v>
      </c>
      <c r="K77" cm="1">
        <f t="array" ref="K77">INDEX(auto_DataFlat_Score,$I77,K$10)</f>
        <v>59</v>
      </c>
      <c r="L77" t="str" cm="1">
        <f t="array" ref="L77">INDEX(auto_DataFlat_Rank,$I77,L$10)</f>
        <v>n/a</v>
      </c>
      <c r="M77" cm="1">
        <f t="array" ref="M77">INDEX(auto_DataFlat_DataValue,$I77,M$10)</f>
        <v>0</v>
      </c>
      <c r="N77" cm="1">
        <f t="array" ref="N77">INDEX(auto_DataFlat_Classification,$I77,M$10)</f>
        <v>3</v>
      </c>
      <c r="O77" cm="1">
        <f t="array" ref="O77">INDEX(auto_DataFlat_IsEstimate,$I77,O$10)</f>
        <v>0</v>
      </c>
      <c r="P77" t="str" cm="1">
        <f t="array" ref="P77">IF(INDEX(auto_DataFlat_DataYear,$I77,P$10)=0,"n/a",INDEX(auto_DataFlat_DataYear,$I77,P$10))</f>
        <v>n/a</v>
      </c>
      <c r="R77">
        <f t="shared" si="71"/>
        <v>3951</v>
      </c>
      <c r="S77" cm="1">
        <f t="array" ref="S77">INDEX(auto_DataFlat_Score,$R77,S$10)</f>
        <v>59</v>
      </c>
      <c r="U77">
        <f t="shared" ref="U77:U140" si="75">IFERROR(K77-S77,"n/a")</f>
        <v>0</v>
      </c>
      <c r="V77">
        <f t="shared" ref="V77:V140" si="76">IFERROR(IF(U77&gt;0,1,IF(U77=0,2,IF(U77&lt;0,3,"???"))),"n/a")</f>
        <v>2</v>
      </c>
      <c r="W77">
        <f t="shared" ref="W77:W140" si="77">IF(OR($D77&lt;&gt;$W$7,$E77=1),-1,V77)</f>
        <v>-1</v>
      </c>
      <c r="X77" t="e">
        <f t="shared" ref="X77:Z92" ca="1" si="78">X76+MATCH(X$10,OFFSET($W$12,X76,0,300,1),0)</f>
        <v>#N/A</v>
      </c>
      <c r="Y77" t="e">
        <f t="shared" ca="1" si="78"/>
        <v>#N/A</v>
      </c>
      <c r="Z77" t="e">
        <f t="shared" ca="1" si="78"/>
        <v>#N/A</v>
      </c>
      <c r="AB77">
        <f t="shared" ca="1" si="65"/>
        <v>0</v>
      </c>
      <c r="AC77">
        <f t="shared" ca="1" si="65"/>
        <v>0</v>
      </c>
      <c r="AD77">
        <f t="shared" ca="1" si="65"/>
        <v>0</v>
      </c>
      <c r="AF77">
        <f t="shared" ref="AF77:AF140" si="79">IF(OR($D77&lt;&gt;$AG$7,$E77=1),-1,N77)</f>
        <v>-1</v>
      </c>
      <c r="AG77" t="e">
        <f t="shared" ref="AG77:AM92" ca="1" si="80">IFERROR(AG76+MATCH(AG$10,OFFSET($AF$12,AG76,0,300-AG76,1),0),NA())</f>
        <v>#N/A</v>
      </c>
      <c r="AH77" t="e">
        <f t="shared" ca="1" si="80"/>
        <v>#N/A</v>
      </c>
      <c r="AI77" t="e">
        <f t="shared" ca="1" si="80"/>
        <v>#N/A</v>
      </c>
      <c r="AJ77" t="e">
        <f t="shared" ca="1" si="80"/>
        <v>#N/A</v>
      </c>
      <c r="AK77" t="e">
        <f t="shared" ca="1" si="80"/>
        <v>#N/A</v>
      </c>
      <c r="AL77" t="e">
        <f t="shared" ca="1" si="80"/>
        <v>#N/A</v>
      </c>
      <c r="AM77" t="e">
        <f t="shared" ca="1" si="80"/>
        <v>#N/A</v>
      </c>
      <c r="AN77">
        <f t="shared" ref="AN77:AN140" ca="1" si="81">IFERROR(AG77,0)</f>
        <v>0</v>
      </c>
      <c r="AO77">
        <f t="shared" ref="AO77:AO140" ca="1" si="82">IFERROR(AH77,0)</f>
        <v>0</v>
      </c>
      <c r="AP77">
        <f t="shared" ref="AP77:AP140" ca="1" si="83">IFERROR(AI77,0)</f>
        <v>0</v>
      </c>
      <c r="AQ77">
        <f t="shared" ref="AQ77:AQ140" ca="1" si="84">IFERROR(AJ77,0)</f>
        <v>0</v>
      </c>
      <c r="AR77">
        <f t="shared" ref="AR77:AR140" ca="1" si="85">IFERROR(AK77,0)</f>
        <v>0</v>
      </c>
      <c r="AS77">
        <f t="shared" ref="AS77:AS140" ca="1" si="86">IFERROR(AL77,0)</f>
        <v>0</v>
      </c>
      <c r="AT77">
        <f t="shared" ref="AT77:AT140" ca="1" si="87">IFERROR(AM77,0)</f>
        <v>0</v>
      </c>
      <c r="AV77">
        <f t="shared" si="6"/>
        <v>3901</v>
      </c>
      <c r="AW77" cm="1">
        <f t="array" ref="AW77">INDEX(auto_DataFlat_Score,$AV77,1)</f>
        <v>100</v>
      </c>
      <c r="AX77" cm="1">
        <f t="array" ref="AX77">INDEX(auto_DataFlat_DataValue,$AV77,1)</f>
        <v>63.8</v>
      </c>
      <c r="BA77">
        <f t="shared" ref="BA77:BA140" si="88">IFERROR(K77-AW77,"n/a")</f>
        <v>-41</v>
      </c>
      <c r="BB77">
        <f t="shared" ref="BB77:BB140" si="89">IFERROR(IF(BA77&gt;0,1,IF(BA77=0,2,IF(BA77&lt;0,3,"???"))),"n/a")</f>
        <v>3</v>
      </c>
      <c r="BC77">
        <f t="shared" ref="BC77:BC140" si="90">IF(OR($D77&lt;&gt;3,$E77=1),-1,BB77)</f>
        <v>-1</v>
      </c>
      <c r="BD77" t="e">
        <f t="shared" ca="1" si="72"/>
        <v>#N/A</v>
      </c>
      <c r="BE77" t="e">
        <f t="shared" ca="1" si="72"/>
        <v>#N/A</v>
      </c>
      <c r="BF77" t="e">
        <f t="shared" ca="1" si="72"/>
        <v>#N/A</v>
      </c>
      <c r="BH77">
        <f t="shared" ca="1" si="66"/>
        <v>0</v>
      </c>
      <c r="BI77">
        <f t="shared" ca="1" si="66"/>
        <v>0</v>
      </c>
      <c r="BJ77">
        <f t="shared" ca="1" si="66"/>
        <v>0</v>
      </c>
      <c r="BM77">
        <f t="shared" ref="BM77:BM140" si="91">IF(OR($D77&lt;&gt;$BN$7,$E77=1),-1,N77)</f>
        <v>-1</v>
      </c>
      <c r="BN77" t="e">
        <f t="shared" ref="BN77:BN140" ca="1" si="92">IFERROR(BN76+MATCH(BN$10,OFFSET($BM$12,BN76,0,300-BN76,1),0),NA())</f>
        <v>#N/A</v>
      </c>
      <c r="BO77" t="e">
        <f t="shared" ref="BO77:BO140" ca="1" si="93">IFERROR(BO76+MATCH(BO$10,OFFSET($BM$12,BO76,0,300-BO76,1),0),NA())</f>
        <v>#N/A</v>
      </c>
      <c r="BP77" t="e">
        <f t="shared" ref="BP77:BP140" ca="1" si="94">IFERROR(BP76+MATCH(BP$10,OFFSET($BM$12,BP76,0,300-BP76,1),0),NA())</f>
        <v>#N/A</v>
      </c>
      <c r="BQ77" t="e">
        <f t="shared" ref="BQ77:BQ140" ca="1" si="95">IFERROR(BQ76+MATCH(BQ$10,OFFSET($BM$12,BQ76,0,300-BQ76,1),0),NA())</f>
        <v>#N/A</v>
      </c>
      <c r="BR77" t="e">
        <f t="shared" ref="BR77:BR140" ca="1" si="96">IFERROR(BR76+MATCH(BR$10,OFFSET($BM$12,BR76,0,300-BR76,1),0),NA())</f>
        <v>#N/A</v>
      </c>
      <c r="BS77" t="e">
        <f t="shared" ref="BS77:BS140" ca="1" si="97">IFERROR(BS76+MATCH(BS$10,OFFSET($BM$12,BS76,0,300-BS76,1),0),NA())</f>
        <v>#N/A</v>
      </c>
      <c r="BT77" t="e">
        <f t="shared" ref="BT77:BT140" ca="1" si="98">IFERROR(BT76+MATCH(BT$10,OFFSET($BM$12,BT76,0,300-BT76,1),0),NA())</f>
        <v>#N/A</v>
      </c>
      <c r="BU77">
        <f t="shared" ref="BU77:BU140" ca="1" si="99">IFERROR(BN77,0)</f>
        <v>0</v>
      </c>
      <c r="BV77">
        <f t="shared" ref="BV77:BV140" ca="1" si="100">IFERROR(BO77,0)</f>
        <v>0</v>
      </c>
      <c r="BW77">
        <f t="shared" ref="BW77:BW140" ca="1" si="101">IFERROR(BP77,0)</f>
        <v>0</v>
      </c>
      <c r="BX77">
        <f t="shared" ref="BX77:BX140" ca="1" si="102">IFERROR(BQ77,0)</f>
        <v>0</v>
      </c>
      <c r="BY77">
        <f t="shared" ref="BY77:BY140" ca="1" si="103">IFERROR(BR77,0)</f>
        <v>0</v>
      </c>
      <c r="BZ77">
        <f t="shared" ca="1" si="73"/>
        <v>0</v>
      </c>
      <c r="CA77">
        <f t="shared" ca="1" si="74"/>
        <v>0</v>
      </c>
    </row>
    <row r="78" spans="1:79" x14ac:dyDescent="0.4">
      <c r="A78" t="str">
        <f t="shared" si="61"/>
        <v/>
      </c>
      <c r="B78">
        <v>67</v>
      </c>
      <c r="C78" t="str" cm="1">
        <f t="array" ref="C78">INDEX(auto_Series_Code,B78)</f>
        <v>BG05</v>
      </c>
      <c r="D78" cm="1">
        <f t="array" ref="D78">INDEX(auto_tblSeries,$B78,D$11)</f>
        <v>1</v>
      </c>
      <c r="E78" cm="1">
        <f t="array" ref="E78">INDEX(auto_tblSeries,$B78,E$11)</f>
        <v>1</v>
      </c>
      <c r="F78" cm="1">
        <f t="array" ref="F78">INDEX(auto_tblSeries,$B78,F$11)</f>
        <v>1</v>
      </c>
      <c r="G78" cm="1">
        <f t="array" ref="G78">INDEX(auto_tblSeries,$B78,G$11)</f>
        <v>0</v>
      </c>
      <c r="H78" cm="1">
        <f t="array" ref="H78">INDEX(auto_tblSeries,$B78,H$11)</f>
        <v>1</v>
      </c>
      <c r="I78">
        <f t="shared" si="70"/>
        <v>4011</v>
      </c>
      <c r="K78" cm="1">
        <f t="array" ref="K78">INDEX(auto_DataFlat_Score,$I78,K$10)</f>
        <v>59.2</v>
      </c>
      <c r="L78" t="str" cm="1">
        <f t="array" ref="L78">INDEX(auto_DataFlat_Rank,$I78,L$10)</f>
        <v>n/a</v>
      </c>
      <c r="M78" cm="1">
        <f t="array" ref="M78">INDEX(auto_DataFlat_DataValue,$I78,M$10)</f>
        <v>0</v>
      </c>
      <c r="N78" cm="1">
        <f t="array" ref="N78">INDEX(auto_DataFlat_Classification,$I78,M$10)</f>
        <v>3</v>
      </c>
      <c r="O78" cm="1">
        <f t="array" ref="O78">INDEX(auto_DataFlat_IsEstimate,$I78,O$10)</f>
        <v>0</v>
      </c>
      <c r="P78" t="str" cm="1">
        <f t="array" ref="P78">IF(INDEX(auto_DataFlat_DataYear,$I78,P$10)=0,"n/a",INDEX(auto_DataFlat_DataYear,$I78,P$10))</f>
        <v>n/a</v>
      </c>
      <c r="R78">
        <f t="shared" si="71"/>
        <v>4011</v>
      </c>
      <c r="S78" cm="1">
        <f t="array" ref="S78">INDEX(auto_DataFlat_Score,$R78,S$10)</f>
        <v>59.2</v>
      </c>
      <c r="U78">
        <f t="shared" si="75"/>
        <v>0</v>
      </c>
      <c r="V78">
        <f t="shared" si="76"/>
        <v>2</v>
      </c>
      <c r="W78">
        <f t="shared" si="77"/>
        <v>-1</v>
      </c>
      <c r="X78" t="e">
        <f t="shared" ca="1" si="78"/>
        <v>#N/A</v>
      </c>
      <c r="Y78" t="e">
        <f t="shared" ca="1" si="78"/>
        <v>#N/A</v>
      </c>
      <c r="Z78" t="e">
        <f t="shared" ca="1" si="78"/>
        <v>#N/A</v>
      </c>
      <c r="AB78">
        <f t="shared" ca="1" si="65"/>
        <v>0</v>
      </c>
      <c r="AC78">
        <f t="shared" ca="1" si="65"/>
        <v>0</v>
      </c>
      <c r="AD78">
        <f t="shared" ca="1" si="65"/>
        <v>0</v>
      </c>
      <c r="AF78">
        <f t="shared" si="79"/>
        <v>-1</v>
      </c>
      <c r="AG78" t="e">
        <f t="shared" ca="1" si="80"/>
        <v>#N/A</v>
      </c>
      <c r="AH78" t="e">
        <f t="shared" ca="1" si="80"/>
        <v>#N/A</v>
      </c>
      <c r="AI78" t="e">
        <f t="shared" ca="1" si="80"/>
        <v>#N/A</v>
      </c>
      <c r="AJ78" t="e">
        <f t="shared" ca="1" si="80"/>
        <v>#N/A</v>
      </c>
      <c r="AK78" t="e">
        <f t="shared" ca="1" si="80"/>
        <v>#N/A</v>
      </c>
      <c r="AL78" t="e">
        <f t="shared" ca="1" si="80"/>
        <v>#N/A</v>
      </c>
      <c r="AM78" t="e">
        <f t="shared" ca="1" si="80"/>
        <v>#N/A</v>
      </c>
      <c r="AN78">
        <f t="shared" ca="1" si="81"/>
        <v>0</v>
      </c>
      <c r="AO78">
        <f t="shared" ca="1" si="82"/>
        <v>0</v>
      </c>
      <c r="AP78">
        <f t="shared" ca="1" si="83"/>
        <v>0</v>
      </c>
      <c r="AQ78">
        <f t="shared" ca="1" si="84"/>
        <v>0</v>
      </c>
      <c r="AR78">
        <f t="shared" ca="1" si="85"/>
        <v>0</v>
      </c>
      <c r="AS78">
        <f t="shared" ca="1" si="86"/>
        <v>0</v>
      </c>
      <c r="AT78">
        <f t="shared" ca="1" si="87"/>
        <v>0</v>
      </c>
      <c r="AV78">
        <f t="shared" si="6"/>
        <v>3961</v>
      </c>
      <c r="AW78" cm="1">
        <f t="array" ref="AW78">INDEX(auto_DataFlat_Score,$AV78,1)</f>
        <v>55.7</v>
      </c>
      <c r="AX78" cm="1">
        <f t="array" ref="AX78">INDEX(auto_DataFlat_DataValue,$AV78,1)</f>
        <v>17.100000000000001</v>
      </c>
      <c r="BA78">
        <f t="shared" si="88"/>
        <v>3.5</v>
      </c>
      <c r="BB78">
        <f t="shared" si="89"/>
        <v>1</v>
      </c>
      <c r="BC78">
        <f t="shared" si="90"/>
        <v>-1</v>
      </c>
      <c r="BD78" t="e">
        <f t="shared" ca="1" si="72"/>
        <v>#N/A</v>
      </c>
      <c r="BE78" t="e">
        <f t="shared" ca="1" si="72"/>
        <v>#N/A</v>
      </c>
      <c r="BF78" t="e">
        <f t="shared" ca="1" si="72"/>
        <v>#N/A</v>
      </c>
      <c r="BH78">
        <f t="shared" ca="1" si="66"/>
        <v>0</v>
      </c>
      <c r="BI78">
        <f t="shared" ca="1" si="66"/>
        <v>0</v>
      </c>
      <c r="BJ78">
        <f t="shared" ca="1" si="66"/>
        <v>0</v>
      </c>
      <c r="BM78">
        <f t="shared" si="91"/>
        <v>-1</v>
      </c>
      <c r="BN78" t="e">
        <f t="shared" ca="1" si="92"/>
        <v>#N/A</v>
      </c>
      <c r="BO78" t="e">
        <f t="shared" ca="1" si="93"/>
        <v>#N/A</v>
      </c>
      <c r="BP78" t="e">
        <f t="shared" ca="1" si="94"/>
        <v>#N/A</v>
      </c>
      <c r="BQ78" t="e">
        <f t="shared" ca="1" si="95"/>
        <v>#N/A</v>
      </c>
      <c r="BR78" t="e">
        <f t="shared" ca="1" si="96"/>
        <v>#N/A</v>
      </c>
      <c r="BS78" t="e">
        <f t="shared" ca="1" si="97"/>
        <v>#N/A</v>
      </c>
      <c r="BT78" t="e">
        <f t="shared" ca="1" si="98"/>
        <v>#N/A</v>
      </c>
      <c r="BU78">
        <f t="shared" ca="1" si="99"/>
        <v>0</v>
      </c>
      <c r="BV78">
        <f t="shared" ca="1" si="100"/>
        <v>0</v>
      </c>
      <c r="BW78">
        <f t="shared" ca="1" si="101"/>
        <v>0</v>
      </c>
      <c r="BX78">
        <f t="shared" ca="1" si="102"/>
        <v>0</v>
      </c>
      <c r="BY78">
        <f t="shared" ca="1" si="103"/>
        <v>0</v>
      </c>
      <c r="BZ78">
        <f t="shared" ca="1" si="73"/>
        <v>0</v>
      </c>
      <c r="CA78">
        <f t="shared" ca="1" si="74"/>
        <v>0</v>
      </c>
    </row>
    <row r="79" spans="1:79" x14ac:dyDescent="0.4">
      <c r="A79" t="str">
        <f t="shared" si="61"/>
        <v/>
      </c>
      <c r="B79">
        <v>68</v>
      </c>
      <c r="C79" t="str" cm="1">
        <f t="array" ref="C79">INDEX(auto_Series_Code,B79)</f>
        <v>BG08</v>
      </c>
      <c r="D79" cm="1">
        <f t="array" ref="D79">INDEX(auto_tblSeries,$B79,D$11)</f>
        <v>1</v>
      </c>
      <c r="E79" cm="1">
        <f t="array" ref="E79">INDEX(auto_tblSeries,$B79,E$11)</f>
        <v>1</v>
      </c>
      <c r="F79" cm="1">
        <f t="array" ref="F79">INDEX(auto_tblSeries,$B79,F$11)</f>
        <v>1</v>
      </c>
      <c r="G79" cm="1">
        <f t="array" ref="G79">INDEX(auto_tblSeries,$B79,G$11)</f>
        <v>0</v>
      </c>
      <c r="H79" cm="1">
        <f t="array" ref="H79">INDEX(auto_tblSeries,$B79,H$11)</f>
        <v>1</v>
      </c>
      <c r="I79">
        <f t="shared" si="70"/>
        <v>4071</v>
      </c>
      <c r="K79" cm="1">
        <f t="array" ref="K79">INDEX(auto_DataFlat_Score,$I79,K$10)</f>
        <v>60.1</v>
      </c>
      <c r="L79" t="str" cm="1">
        <f t="array" ref="L79">INDEX(auto_DataFlat_Rank,$I79,L$10)</f>
        <v>n/a</v>
      </c>
      <c r="M79" cm="1">
        <f t="array" ref="M79">INDEX(auto_DataFlat_DataValue,$I79,M$10)</f>
        <v>0</v>
      </c>
      <c r="N79" cm="1">
        <f t="array" ref="N79">INDEX(auto_DataFlat_Classification,$I79,M$10)</f>
        <v>4</v>
      </c>
      <c r="O79" cm="1">
        <f t="array" ref="O79">INDEX(auto_DataFlat_IsEstimate,$I79,O$10)</f>
        <v>0</v>
      </c>
      <c r="P79" t="str" cm="1">
        <f t="array" ref="P79">IF(INDEX(auto_DataFlat_DataYear,$I79,P$10)=0,"n/a",INDEX(auto_DataFlat_DataYear,$I79,P$10))</f>
        <v>n/a</v>
      </c>
      <c r="R79">
        <f t="shared" si="71"/>
        <v>4071</v>
      </c>
      <c r="S79" cm="1">
        <f t="array" ref="S79">INDEX(auto_DataFlat_Score,$R79,S$10)</f>
        <v>60.1</v>
      </c>
      <c r="U79">
        <f t="shared" si="75"/>
        <v>0</v>
      </c>
      <c r="V79">
        <f t="shared" si="76"/>
        <v>2</v>
      </c>
      <c r="W79">
        <f t="shared" si="77"/>
        <v>-1</v>
      </c>
      <c r="X79" t="e">
        <f t="shared" ca="1" si="78"/>
        <v>#N/A</v>
      </c>
      <c r="Y79" t="e">
        <f t="shared" ca="1" si="78"/>
        <v>#N/A</v>
      </c>
      <c r="Z79" t="e">
        <f t="shared" ca="1" si="78"/>
        <v>#N/A</v>
      </c>
      <c r="AB79">
        <f t="shared" ca="1" si="65"/>
        <v>0</v>
      </c>
      <c r="AC79">
        <f t="shared" ca="1" si="65"/>
        <v>0</v>
      </c>
      <c r="AD79">
        <f t="shared" ca="1" si="65"/>
        <v>0</v>
      </c>
      <c r="AF79">
        <f t="shared" si="79"/>
        <v>-1</v>
      </c>
      <c r="AG79" t="e">
        <f t="shared" ca="1" si="80"/>
        <v>#N/A</v>
      </c>
      <c r="AH79" t="e">
        <f t="shared" ca="1" si="80"/>
        <v>#N/A</v>
      </c>
      <c r="AI79" t="e">
        <f t="shared" ca="1" si="80"/>
        <v>#N/A</v>
      </c>
      <c r="AJ79" t="e">
        <f t="shared" ca="1" si="80"/>
        <v>#N/A</v>
      </c>
      <c r="AK79" t="e">
        <f t="shared" ca="1" si="80"/>
        <v>#N/A</v>
      </c>
      <c r="AL79" t="e">
        <f t="shared" ca="1" si="80"/>
        <v>#N/A</v>
      </c>
      <c r="AM79" t="e">
        <f t="shared" ca="1" si="80"/>
        <v>#N/A</v>
      </c>
      <c r="AN79">
        <f t="shared" ca="1" si="81"/>
        <v>0</v>
      </c>
      <c r="AO79">
        <f t="shared" ca="1" si="82"/>
        <v>0</v>
      </c>
      <c r="AP79">
        <f t="shared" ca="1" si="83"/>
        <v>0</v>
      </c>
      <c r="AQ79">
        <f t="shared" ca="1" si="84"/>
        <v>0</v>
      </c>
      <c r="AR79">
        <f t="shared" ca="1" si="85"/>
        <v>0</v>
      </c>
      <c r="AS79">
        <f t="shared" ca="1" si="86"/>
        <v>0</v>
      </c>
      <c r="AT79">
        <f t="shared" ca="1" si="87"/>
        <v>0</v>
      </c>
      <c r="AV79">
        <f t="shared" si="6"/>
        <v>4021</v>
      </c>
      <c r="AW79" cm="1">
        <f t="array" ref="AW79">INDEX(auto_DataFlat_Score,$AV79,1)</f>
        <v>100</v>
      </c>
      <c r="AX79" cm="1">
        <f t="array" ref="AX79">INDEX(auto_DataFlat_DataValue,$AV79,1)</f>
        <v>363.2</v>
      </c>
      <c r="BA79">
        <f t="shared" si="88"/>
        <v>-39.9</v>
      </c>
      <c r="BB79">
        <f t="shared" si="89"/>
        <v>3</v>
      </c>
      <c r="BC79">
        <f t="shared" si="90"/>
        <v>-1</v>
      </c>
      <c r="BD79" t="e">
        <f t="shared" ca="1" si="72"/>
        <v>#N/A</v>
      </c>
      <c r="BE79" t="e">
        <f t="shared" ca="1" si="72"/>
        <v>#N/A</v>
      </c>
      <c r="BF79" t="e">
        <f t="shared" ca="1" si="72"/>
        <v>#N/A</v>
      </c>
      <c r="BH79">
        <f t="shared" ca="1" si="66"/>
        <v>0</v>
      </c>
      <c r="BI79">
        <f t="shared" ca="1" si="66"/>
        <v>0</v>
      </c>
      <c r="BJ79">
        <f t="shared" ca="1" si="66"/>
        <v>0</v>
      </c>
      <c r="BM79">
        <f t="shared" si="91"/>
        <v>-1</v>
      </c>
      <c r="BN79" t="e">
        <f t="shared" ca="1" si="92"/>
        <v>#N/A</v>
      </c>
      <c r="BO79" t="e">
        <f t="shared" ca="1" si="93"/>
        <v>#N/A</v>
      </c>
      <c r="BP79" t="e">
        <f t="shared" ca="1" si="94"/>
        <v>#N/A</v>
      </c>
      <c r="BQ79" t="e">
        <f t="shared" ca="1" si="95"/>
        <v>#N/A</v>
      </c>
      <c r="BR79" t="e">
        <f t="shared" ca="1" si="96"/>
        <v>#N/A</v>
      </c>
      <c r="BS79" t="e">
        <f t="shared" ca="1" si="97"/>
        <v>#N/A</v>
      </c>
      <c r="BT79" t="e">
        <f t="shared" ca="1" si="98"/>
        <v>#N/A</v>
      </c>
      <c r="BU79">
        <f t="shared" ca="1" si="99"/>
        <v>0</v>
      </c>
      <c r="BV79">
        <f t="shared" ca="1" si="100"/>
        <v>0</v>
      </c>
      <c r="BW79">
        <f t="shared" ca="1" si="101"/>
        <v>0</v>
      </c>
      <c r="BX79">
        <f t="shared" ca="1" si="102"/>
        <v>0</v>
      </c>
      <c r="BY79">
        <f t="shared" ca="1" si="103"/>
        <v>0</v>
      </c>
      <c r="BZ79">
        <f t="shared" ca="1" si="73"/>
        <v>0</v>
      </c>
      <c r="CA79">
        <f t="shared" ca="1" si="74"/>
        <v>0</v>
      </c>
    </row>
    <row r="80" spans="1:79" x14ac:dyDescent="0.4">
      <c r="A80" t="str">
        <f t="shared" si="61"/>
        <v/>
      </c>
      <c r="B80">
        <v>69</v>
      </c>
      <c r="C80" t="str" cm="1">
        <f t="array" ref="C80">INDEX(auto_Series_Code,B80)</f>
        <v>BG09</v>
      </c>
      <c r="D80" cm="1">
        <f t="array" ref="D80">INDEX(auto_tblSeries,$B80,D$11)</f>
        <v>1</v>
      </c>
      <c r="E80" cm="1">
        <f t="array" ref="E80">INDEX(auto_tblSeries,$B80,E$11)</f>
        <v>1</v>
      </c>
      <c r="F80" cm="1">
        <f t="array" ref="F80">INDEX(auto_tblSeries,$B80,F$11)</f>
        <v>1</v>
      </c>
      <c r="G80" cm="1">
        <f t="array" ref="G80">INDEX(auto_tblSeries,$B80,G$11)</f>
        <v>0</v>
      </c>
      <c r="H80" cm="1">
        <f t="array" ref="H80">INDEX(auto_tblSeries,$B80,H$11)</f>
        <v>1</v>
      </c>
      <c r="I80">
        <f t="shared" si="70"/>
        <v>4131</v>
      </c>
      <c r="K80" cm="1">
        <f t="array" ref="K80">INDEX(auto_DataFlat_Score,$I80,K$10)</f>
        <v>60.9</v>
      </c>
      <c r="L80" t="str" cm="1">
        <f t="array" ref="L80">INDEX(auto_DataFlat_Rank,$I80,L$10)</f>
        <v>n/a</v>
      </c>
      <c r="M80" cm="1">
        <f t="array" ref="M80">INDEX(auto_DataFlat_DataValue,$I80,M$10)</f>
        <v>0</v>
      </c>
      <c r="N80" cm="1">
        <f t="array" ref="N80">INDEX(auto_DataFlat_Classification,$I80,M$10)</f>
        <v>4</v>
      </c>
      <c r="O80" cm="1">
        <f t="array" ref="O80">INDEX(auto_DataFlat_IsEstimate,$I80,O$10)</f>
        <v>0</v>
      </c>
      <c r="P80" t="str" cm="1">
        <f t="array" ref="P80">IF(INDEX(auto_DataFlat_DataYear,$I80,P$10)=0,"n/a",INDEX(auto_DataFlat_DataYear,$I80,P$10))</f>
        <v>n/a</v>
      </c>
      <c r="R80">
        <f t="shared" si="71"/>
        <v>4131</v>
      </c>
      <c r="S80" cm="1">
        <f t="array" ref="S80">INDEX(auto_DataFlat_Score,$R80,S$10)</f>
        <v>60.9</v>
      </c>
      <c r="U80">
        <f t="shared" si="75"/>
        <v>0</v>
      </c>
      <c r="V80">
        <f t="shared" si="76"/>
        <v>2</v>
      </c>
      <c r="W80">
        <f t="shared" si="77"/>
        <v>-1</v>
      </c>
      <c r="X80" t="e">
        <f t="shared" ca="1" si="78"/>
        <v>#N/A</v>
      </c>
      <c r="Y80" t="e">
        <f t="shared" ca="1" si="78"/>
        <v>#N/A</v>
      </c>
      <c r="Z80" t="e">
        <f t="shared" ca="1" si="78"/>
        <v>#N/A</v>
      </c>
      <c r="AB80">
        <f t="shared" ca="1" si="65"/>
        <v>0</v>
      </c>
      <c r="AC80">
        <f t="shared" ca="1" si="65"/>
        <v>0</v>
      </c>
      <c r="AD80">
        <f t="shared" ca="1" si="65"/>
        <v>0</v>
      </c>
      <c r="AF80">
        <f t="shared" si="79"/>
        <v>-1</v>
      </c>
      <c r="AG80" t="e">
        <f t="shared" ca="1" si="80"/>
        <v>#N/A</v>
      </c>
      <c r="AH80" t="e">
        <f t="shared" ca="1" si="80"/>
        <v>#N/A</v>
      </c>
      <c r="AI80" t="e">
        <f t="shared" ca="1" si="80"/>
        <v>#N/A</v>
      </c>
      <c r="AJ80" t="e">
        <f t="shared" ca="1" si="80"/>
        <v>#N/A</v>
      </c>
      <c r="AK80" t="e">
        <f t="shared" ca="1" si="80"/>
        <v>#N/A</v>
      </c>
      <c r="AL80" t="e">
        <f t="shared" ca="1" si="80"/>
        <v>#N/A</v>
      </c>
      <c r="AM80" t="e">
        <f t="shared" ca="1" si="80"/>
        <v>#N/A</v>
      </c>
      <c r="AN80">
        <f t="shared" ca="1" si="81"/>
        <v>0</v>
      </c>
      <c r="AO80">
        <f t="shared" ca="1" si="82"/>
        <v>0</v>
      </c>
      <c r="AP80">
        <f t="shared" ca="1" si="83"/>
        <v>0</v>
      </c>
      <c r="AQ80">
        <f t="shared" ca="1" si="84"/>
        <v>0</v>
      </c>
      <c r="AR80">
        <f t="shared" ca="1" si="85"/>
        <v>0</v>
      </c>
      <c r="AS80">
        <f t="shared" ca="1" si="86"/>
        <v>0</v>
      </c>
      <c r="AT80">
        <f t="shared" ca="1" si="87"/>
        <v>0</v>
      </c>
      <c r="AV80">
        <f t="shared" si="6"/>
        <v>4081</v>
      </c>
      <c r="AW80" cm="1">
        <f t="array" ref="AW80">INDEX(auto_DataFlat_Score,$AV80,1)</f>
        <v>100</v>
      </c>
      <c r="AX80" cm="1">
        <f t="array" ref="AX80">INDEX(auto_DataFlat_DataValue,$AV80,1)</f>
        <v>3809.4</v>
      </c>
      <c r="BA80">
        <f t="shared" si="88"/>
        <v>-39.1</v>
      </c>
      <c r="BB80">
        <f t="shared" si="89"/>
        <v>3</v>
      </c>
      <c r="BC80">
        <f t="shared" si="90"/>
        <v>-1</v>
      </c>
      <c r="BD80" t="e">
        <f t="shared" ca="1" si="72"/>
        <v>#N/A</v>
      </c>
      <c r="BE80" t="e">
        <f t="shared" ca="1" si="72"/>
        <v>#N/A</v>
      </c>
      <c r="BF80" t="e">
        <f t="shared" ca="1" si="72"/>
        <v>#N/A</v>
      </c>
      <c r="BH80">
        <f t="shared" ca="1" si="66"/>
        <v>0</v>
      </c>
      <c r="BI80">
        <f t="shared" ca="1" si="66"/>
        <v>0</v>
      </c>
      <c r="BJ80">
        <f t="shared" ca="1" si="66"/>
        <v>0</v>
      </c>
      <c r="BM80">
        <f t="shared" si="91"/>
        <v>-1</v>
      </c>
      <c r="BN80" t="e">
        <f t="shared" ca="1" si="92"/>
        <v>#N/A</v>
      </c>
      <c r="BO80" t="e">
        <f t="shared" ca="1" si="93"/>
        <v>#N/A</v>
      </c>
      <c r="BP80" t="e">
        <f t="shared" ca="1" si="94"/>
        <v>#N/A</v>
      </c>
      <c r="BQ80" t="e">
        <f t="shared" ca="1" si="95"/>
        <v>#N/A</v>
      </c>
      <c r="BR80" t="e">
        <f t="shared" ca="1" si="96"/>
        <v>#N/A</v>
      </c>
      <c r="BS80" t="e">
        <f t="shared" ca="1" si="97"/>
        <v>#N/A</v>
      </c>
      <c r="BT80" t="e">
        <f t="shared" ca="1" si="98"/>
        <v>#N/A</v>
      </c>
      <c r="BU80">
        <f t="shared" ca="1" si="99"/>
        <v>0</v>
      </c>
      <c r="BV80">
        <f t="shared" ca="1" si="100"/>
        <v>0</v>
      </c>
      <c r="BW80">
        <f t="shared" ca="1" si="101"/>
        <v>0</v>
      </c>
      <c r="BX80">
        <f t="shared" ca="1" si="102"/>
        <v>0</v>
      </c>
      <c r="BY80">
        <f t="shared" ca="1" si="103"/>
        <v>0</v>
      </c>
      <c r="BZ80">
        <f t="shared" ca="1" si="73"/>
        <v>0</v>
      </c>
      <c r="CA80">
        <f t="shared" ca="1" si="74"/>
        <v>0</v>
      </c>
    </row>
    <row r="81" spans="1:79" x14ac:dyDescent="0.4">
      <c r="A81" t="str">
        <f t="shared" si="61"/>
        <v/>
      </c>
      <c r="B81">
        <v>70</v>
      </c>
      <c r="C81" t="str" cm="1">
        <f t="array" ref="C81">INDEX(auto_Series_Code,B81)</f>
        <v>BG18</v>
      </c>
      <c r="D81" cm="1">
        <f t="array" ref="D81">INDEX(auto_tblSeries,$B81,D$11)</f>
        <v>1</v>
      </c>
      <c r="E81" cm="1">
        <f t="array" ref="E81">INDEX(auto_tblSeries,$B81,E$11)</f>
        <v>1</v>
      </c>
      <c r="F81" cm="1">
        <f t="array" ref="F81">INDEX(auto_tblSeries,$B81,F$11)</f>
        <v>1</v>
      </c>
      <c r="G81" cm="1">
        <f t="array" ref="G81">INDEX(auto_tblSeries,$B81,G$11)</f>
        <v>0</v>
      </c>
      <c r="H81" cm="1">
        <f t="array" ref="H81">INDEX(auto_tblSeries,$B81,H$11)</f>
        <v>1</v>
      </c>
      <c r="I81">
        <f t="shared" si="70"/>
        <v>4191</v>
      </c>
      <c r="K81" cm="1">
        <f t="array" ref="K81">INDEX(auto_DataFlat_Score,$I81,K$10)</f>
        <v>32.9</v>
      </c>
      <c r="L81" t="str" cm="1">
        <f t="array" ref="L81">INDEX(auto_DataFlat_Rank,$I81,L$10)</f>
        <v>n/a</v>
      </c>
      <c r="M81" cm="1">
        <f t="array" ref="M81">INDEX(auto_DataFlat_DataValue,$I81,M$10)</f>
        <v>0</v>
      </c>
      <c r="N81" cm="1">
        <f t="array" ref="N81">INDEX(auto_DataFlat_Classification,$I81,M$10)</f>
        <v>2</v>
      </c>
      <c r="O81" cm="1">
        <f t="array" ref="O81">INDEX(auto_DataFlat_IsEstimate,$I81,O$10)</f>
        <v>0</v>
      </c>
      <c r="P81" t="str" cm="1">
        <f t="array" ref="P81">IF(INDEX(auto_DataFlat_DataYear,$I81,P$10)=0,"n/a",INDEX(auto_DataFlat_DataYear,$I81,P$10))</f>
        <v>n/a</v>
      </c>
      <c r="R81">
        <f t="shared" si="71"/>
        <v>4191</v>
      </c>
      <c r="S81" cm="1">
        <f t="array" ref="S81">INDEX(auto_DataFlat_Score,$R81,S$10)</f>
        <v>32.9</v>
      </c>
      <c r="U81">
        <f t="shared" si="75"/>
        <v>0</v>
      </c>
      <c r="V81">
        <f t="shared" si="76"/>
        <v>2</v>
      </c>
      <c r="W81">
        <f t="shared" si="77"/>
        <v>-1</v>
      </c>
      <c r="X81" t="e">
        <f t="shared" ca="1" si="78"/>
        <v>#N/A</v>
      </c>
      <c r="Y81" t="e">
        <f t="shared" ca="1" si="78"/>
        <v>#N/A</v>
      </c>
      <c r="Z81" t="e">
        <f t="shared" ca="1" si="78"/>
        <v>#N/A</v>
      </c>
      <c r="AB81">
        <f t="shared" ca="1" si="65"/>
        <v>0</v>
      </c>
      <c r="AC81">
        <f t="shared" ca="1" si="65"/>
        <v>0</v>
      </c>
      <c r="AD81">
        <f t="shared" ca="1" si="65"/>
        <v>0</v>
      </c>
      <c r="AF81">
        <f t="shared" si="79"/>
        <v>-1</v>
      </c>
      <c r="AG81" t="e">
        <f t="shared" ca="1" si="80"/>
        <v>#N/A</v>
      </c>
      <c r="AH81" t="e">
        <f t="shared" ca="1" si="80"/>
        <v>#N/A</v>
      </c>
      <c r="AI81" t="e">
        <f t="shared" ca="1" si="80"/>
        <v>#N/A</v>
      </c>
      <c r="AJ81" t="e">
        <f t="shared" ca="1" si="80"/>
        <v>#N/A</v>
      </c>
      <c r="AK81" t="e">
        <f t="shared" ca="1" si="80"/>
        <v>#N/A</v>
      </c>
      <c r="AL81" t="e">
        <f t="shared" ca="1" si="80"/>
        <v>#N/A</v>
      </c>
      <c r="AM81" t="e">
        <f t="shared" ca="1" si="80"/>
        <v>#N/A</v>
      </c>
      <c r="AN81">
        <f t="shared" ca="1" si="81"/>
        <v>0</v>
      </c>
      <c r="AO81">
        <f t="shared" ca="1" si="82"/>
        <v>0</v>
      </c>
      <c r="AP81">
        <f t="shared" ca="1" si="83"/>
        <v>0</v>
      </c>
      <c r="AQ81">
        <f t="shared" ca="1" si="84"/>
        <v>0</v>
      </c>
      <c r="AR81">
        <f t="shared" ca="1" si="85"/>
        <v>0</v>
      </c>
      <c r="AS81">
        <f t="shared" ca="1" si="86"/>
        <v>0</v>
      </c>
      <c r="AT81">
        <f t="shared" ca="1" si="87"/>
        <v>0</v>
      </c>
      <c r="AV81">
        <f t="shared" si="6"/>
        <v>4141</v>
      </c>
      <c r="AW81" cm="1">
        <f t="array" ref="AW81">INDEX(auto_DataFlat_Score,$AV81,1)</f>
        <v>0.2</v>
      </c>
      <c r="AX81" cm="1">
        <f t="array" ref="AX81">INDEX(auto_DataFlat_DataValue,$AV81,1)</f>
        <v>214.5</v>
      </c>
      <c r="BA81">
        <f t="shared" si="88"/>
        <v>32.699999999999996</v>
      </c>
      <c r="BB81">
        <f t="shared" si="89"/>
        <v>1</v>
      </c>
      <c r="BC81">
        <f t="shared" si="90"/>
        <v>-1</v>
      </c>
      <c r="BD81" t="e">
        <f t="shared" ca="1" si="72"/>
        <v>#N/A</v>
      </c>
      <c r="BE81" t="e">
        <f t="shared" ca="1" si="72"/>
        <v>#N/A</v>
      </c>
      <c r="BF81" t="e">
        <f t="shared" ca="1" si="72"/>
        <v>#N/A</v>
      </c>
      <c r="BH81">
        <f t="shared" ca="1" si="66"/>
        <v>0</v>
      </c>
      <c r="BI81">
        <f t="shared" ca="1" si="66"/>
        <v>0</v>
      </c>
      <c r="BJ81">
        <f t="shared" ca="1" si="66"/>
        <v>0</v>
      </c>
      <c r="BM81">
        <f t="shared" si="91"/>
        <v>-1</v>
      </c>
      <c r="BN81" t="e">
        <f t="shared" ca="1" si="92"/>
        <v>#N/A</v>
      </c>
      <c r="BO81" t="e">
        <f t="shared" ca="1" si="93"/>
        <v>#N/A</v>
      </c>
      <c r="BP81" t="e">
        <f t="shared" ca="1" si="94"/>
        <v>#N/A</v>
      </c>
      <c r="BQ81" t="e">
        <f t="shared" ca="1" si="95"/>
        <v>#N/A</v>
      </c>
      <c r="BR81" t="e">
        <f t="shared" ca="1" si="96"/>
        <v>#N/A</v>
      </c>
      <c r="BS81" t="e">
        <f t="shared" ca="1" si="97"/>
        <v>#N/A</v>
      </c>
      <c r="BT81" t="e">
        <f t="shared" ca="1" si="98"/>
        <v>#N/A</v>
      </c>
      <c r="BU81">
        <f t="shared" ca="1" si="99"/>
        <v>0</v>
      </c>
      <c r="BV81">
        <f t="shared" ca="1" si="100"/>
        <v>0</v>
      </c>
      <c r="BW81">
        <f t="shared" ca="1" si="101"/>
        <v>0</v>
      </c>
      <c r="BX81">
        <f t="shared" ca="1" si="102"/>
        <v>0</v>
      </c>
      <c r="BY81">
        <f t="shared" ca="1" si="103"/>
        <v>0</v>
      </c>
      <c r="BZ81">
        <f t="shared" ca="1" si="73"/>
        <v>0</v>
      </c>
      <c r="CA81">
        <f t="shared" ca="1" si="74"/>
        <v>0</v>
      </c>
    </row>
    <row r="82" spans="1:79" x14ac:dyDescent="0.4">
      <c r="A82" t="str">
        <f t="shared" si="61"/>
        <v/>
      </c>
      <c r="B82">
        <v>71</v>
      </c>
      <c r="C82" t="str" cm="1">
        <f t="array" ref="C82">INDEX(auto_Series_Code,B82)</f>
        <v>BG19</v>
      </c>
      <c r="D82" cm="1">
        <f t="array" ref="D82">INDEX(auto_tblSeries,$B82,D$11)</f>
        <v>1</v>
      </c>
      <c r="E82" cm="1">
        <f t="array" ref="E82">INDEX(auto_tblSeries,$B82,E$11)</f>
        <v>1</v>
      </c>
      <c r="F82" cm="1">
        <f t="array" ref="F82">INDEX(auto_tblSeries,$B82,F$11)</f>
        <v>1</v>
      </c>
      <c r="G82" cm="1">
        <f t="array" ref="G82">INDEX(auto_tblSeries,$B82,G$11)</f>
        <v>0</v>
      </c>
      <c r="H82" cm="1">
        <f t="array" ref="H82">INDEX(auto_tblSeries,$B82,H$11)</f>
        <v>1</v>
      </c>
      <c r="I82">
        <f t="shared" si="70"/>
        <v>4251</v>
      </c>
      <c r="K82" cm="1">
        <f t="array" ref="K82">INDEX(auto_DataFlat_Score,$I82,K$10)</f>
        <v>41.3</v>
      </c>
      <c r="L82" t="str" cm="1">
        <f t="array" ref="L82">INDEX(auto_DataFlat_Rank,$I82,L$10)</f>
        <v>n/a</v>
      </c>
      <c r="M82" cm="1">
        <f t="array" ref="M82">INDEX(auto_DataFlat_DataValue,$I82,M$10)</f>
        <v>0</v>
      </c>
      <c r="N82" cm="1">
        <f t="array" ref="N82">INDEX(auto_DataFlat_Classification,$I82,M$10)</f>
        <v>3</v>
      </c>
      <c r="O82" cm="1">
        <f t="array" ref="O82">INDEX(auto_DataFlat_IsEstimate,$I82,O$10)</f>
        <v>0</v>
      </c>
      <c r="P82" t="str" cm="1">
        <f t="array" ref="P82">IF(INDEX(auto_DataFlat_DataYear,$I82,P$10)=0,"n/a",INDEX(auto_DataFlat_DataYear,$I82,P$10))</f>
        <v>n/a</v>
      </c>
      <c r="R82">
        <f t="shared" si="71"/>
        <v>4251</v>
      </c>
      <c r="S82" cm="1">
        <f t="array" ref="S82">INDEX(auto_DataFlat_Score,$R82,S$10)</f>
        <v>41.3</v>
      </c>
      <c r="U82">
        <f t="shared" si="75"/>
        <v>0</v>
      </c>
      <c r="V82">
        <f t="shared" si="76"/>
        <v>2</v>
      </c>
      <c r="W82">
        <f t="shared" si="77"/>
        <v>-1</v>
      </c>
      <c r="X82" t="e">
        <f t="shared" ca="1" si="78"/>
        <v>#N/A</v>
      </c>
      <c r="Y82" t="e">
        <f t="shared" ca="1" si="78"/>
        <v>#N/A</v>
      </c>
      <c r="Z82" t="e">
        <f t="shared" ca="1" si="78"/>
        <v>#N/A</v>
      </c>
      <c r="AB82">
        <f t="shared" ca="1" si="65"/>
        <v>0</v>
      </c>
      <c r="AC82">
        <f t="shared" ca="1" si="65"/>
        <v>0</v>
      </c>
      <c r="AD82">
        <f t="shared" ca="1" si="65"/>
        <v>0</v>
      </c>
      <c r="AF82">
        <f t="shared" si="79"/>
        <v>-1</v>
      </c>
      <c r="AG82" t="e">
        <f t="shared" ca="1" si="80"/>
        <v>#N/A</v>
      </c>
      <c r="AH82" t="e">
        <f t="shared" ca="1" si="80"/>
        <v>#N/A</v>
      </c>
      <c r="AI82" t="e">
        <f t="shared" ca="1" si="80"/>
        <v>#N/A</v>
      </c>
      <c r="AJ82" t="e">
        <f t="shared" ca="1" si="80"/>
        <v>#N/A</v>
      </c>
      <c r="AK82" t="e">
        <f t="shared" ca="1" si="80"/>
        <v>#N/A</v>
      </c>
      <c r="AL82" t="e">
        <f t="shared" ca="1" si="80"/>
        <v>#N/A</v>
      </c>
      <c r="AM82" t="e">
        <f t="shared" ca="1" si="80"/>
        <v>#N/A</v>
      </c>
      <c r="AN82">
        <f t="shared" ca="1" si="81"/>
        <v>0</v>
      </c>
      <c r="AO82">
        <f t="shared" ca="1" si="82"/>
        <v>0</v>
      </c>
      <c r="AP82">
        <f t="shared" ca="1" si="83"/>
        <v>0</v>
      </c>
      <c r="AQ82">
        <f t="shared" ca="1" si="84"/>
        <v>0</v>
      </c>
      <c r="AR82">
        <f t="shared" ca="1" si="85"/>
        <v>0</v>
      </c>
      <c r="AS82">
        <f t="shared" ca="1" si="86"/>
        <v>0</v>
      </c>
      <c r="AT82">
        <f t="shared" ca="1" si="87"/>
        <v>0</v>
      </c>
      <c r="AV82">
        <f t="shared" si="6"/>
        <v>4201</v>
      </c>
      <c r="AW82" cm="1">
        <f t="array" ref="AW82">INDEX(auto_DataFlat_Score,$AV82,1)</f>
        <v>0</v>
      </c>
      <c r="AX82" cm="1">
        <f t="array" ref="AX82">INDEX(auto_DataFlat_DataValue,$AV82,1)</f>
        <v>1605.7</v>
      </c>
      <c r="BA82">
        <f t="shared" si="88"/>
        <v>41.3</v>
      </c>
      <c r="BB82">
        <f t="shared" si="89"/>
        <v>1</v>
      </c>
      <c r="BC82">
        <f t="shared" si="90"/>
        <v>-1</v>
      </c>
      <c r="BD82" t="e">
        <f t="shared" ca="1" si="72"/>
        <v>#N/A</v>
      </c>
      <c r="BE82" t="e">
        <f t="shared" ca="1" si="72"/>
        <v>#N/A</v>
      </c>
      <c r="BF82" t="e">
        <f t="shared" ca="1" si="72"/>
        <v>#N/A</v>
      </c>
      <c r="BH82">
        <f t="shared" ca="1" si="66"/>
        <v>0</v>
      </c>
      <c r="BI82">
        <f t="shared" ca="1" si="66"/>
        <v>0</v>
      </c>
      <c r="BJ82">
        <f t="shared" ca="1" si="66"/>
        <v>0</v>
      </c>
      <c r="BM82">
        <f t="shared" si="91"/>
        <v>-1</v>
      </c>
      <c r="BN82" t="e">
        <f t="shared" ca="1" si="92"/>
        <v>#N/A</v>
      </c>
      <c r="BO82" t="e">
        <f t="shared" ca="1" si="93"/>
        <v>#N/A</v>
      </c>
      <c r="BP82" t="e">
        <f t="shared" ca="1" si="94"/>
        <v>#N/A</v>
      </c>
      <c r="BQ82" t="e">
        <f t="shared" ca="1" si="95"/>
        <v>#N/A</v>
      </c>
      <c r="BR82" t="e">
        <f t="shared" ca="1" si="96"/>
        <v>#N/A</v>
      </c>
      <c r="BS82" t="e">
        <f t="shared" ca="1" si="97"/>
        <v>#N/A</v>
      </c>
      <c r="BT82" t="e">
        <f t="shared" ca="1" si="98"/>
        <v>#N/A</v>
      </c>
      <c r="BU82">
        <f t="shared" ca="1" si="99"/>
        <v>0</v>
      </c>
      <c r="BV82">
        <f t="shared" ca="1" si="100"/>
        <v>0</v>
      </c>
      <c r="BW82">
        <f t="shared" ca="1" si="101"/>
        <v>0</v>
      </c>
      <c r="BX82">
        <f t="shared" ca="1" si="102"/>
        <v>0</v>
      </c>
      <c r="BY82">
        <f t="shared" ca="1" si="103"/>
        <v>0</v>
      </c>
      <c r="BZ82">
        <f t="shared" ca="1" si="73"/>
        <v>0</v>
      </c>
      <c r="CA82">
        <f t="shared" ca="1" si="74"/>
        <v>0</v>
      </c>
    </row>
    <row r="83" spans="1:79" x14ac:dyDescent="0.4">
      <c r="A83" t="str">
        <f t="shared" si="61"/>
        <v/>
      </c>
      <c r="B83">
        <v>72</v>
      </c>
      <c r="C83" t="str" cm="1">
        <f t="array" ref="C83">INDEX(auto_Series_Code,B83)</f>
        <v>BG11</v>
      </c>
      <c r="D83" cm="1">
        <f t="array" ref="D83">INDEX(auto_tblSeries,$B83,D$11)</f>
        <v>1</v>
      </c>
      <c r="E83" cm="1">
        <f t="array" ref="E83">INDEX(auto_tblSeries,$B83,E$11)</f>
        <v>1</v>
      </c>
      <c r="F83" cm="1">
        <f t="array" ref="F83">INDEX(auto_tblSeries,$B83,F$11)</f>
        <v>1</v>
      </c>
      <c r="G83" cm="1">
        <f t="array" ref="G83">INDEX(auto_tblSeries,$B83,G$11)</f>
        <v>0</v>
      </c>
      <c r="H83" cm="1">
        <f t="array" ref="H83">INDEX(auto_tblSeries,$B83,H$11)</f>
        <v>1</v>
      </c>
      <c r="I83">
        <f t="shared" si="70"/>
        <v>4311</v>
      </c>
      <c r="K83" cm="1">
        <f t="array" ref="K83">INDEX(auto_DataFlat_Score,$I83,K$10)</f>
        <v>62.3</v>
      </c>
      <c r="L83" t="str" cm="1">
        <f t="array" ref="L83">INDEX(auto_DataFlat_Rank,$I83,L$10)</f>
        <v>n/a</v>
      </c>
      <c r="M83" cm="1">
        <f t="array" ref="M83">INDEX(auto_DataFlat_DataValue,$I83,M$10)</f>
        <v>0</v>
      </c>
      <c r="N83" cm="1">
        <f t="array" ref="N83">INDEX(auto_DataFlat_Classification,$I83,M$10)</f>
        <v>4</v>
      </c>
      <c r="O83" cm="1">
        <f t="array" ref="O83">INDEX(auto_DataFlat_IsEstimate,$I83,O$10)</f>
        <v>0</v>
      </c>
      <c r="P83" t="str" cm="1">
        <f t="array" ref="P83">IF(INDEX(auto_DataFlat_DataYear,$I83,P$10)=0,"n/a",INDEX(auto_DataFlat_DataYear,$I83,P$10))</f>
        <v>n/a</v>
      </c>
      <c r="R83">
        <f t="shared" si="71"/>
        <v>4311</v>
      </c>
      <c r="S83" cm="1">
        <f t="array" ref="S83">INDEX(auto_DataFlat_Score,$R83,S$10)</f>
        <v>62.3</v>
      </c>
      <c r="U83">
        <f t="shared" si="75"/>
        <v>0</v>
      </c>
      <c r="V83">
        <f t="shared" si="76"/>
        <v>2</v>
      </c>
      <c r="W83">
        <f t="shared" si="77"/>
        <v>-1</v>
      </c>
      <c r="X83" t="e">
        <f t="shared" ca="1" si="78"/>
        <v>#N/A</v>
      </c>
      <c r="Y83" t="e">
        <f t="shared" ca="1" si="78"/>
        <v>#N/A</v>
      </c>
      <c r="Z83" t="e">
        <f t="shared" ca="1" si="78"/>
        <v>#N/A</v>
      </c>
      <c r="AB83">
        <f t="shared" ca="1" si="65"/>
        <v>0</v>
      </c>
      <c r="AC83">
        <f t="shared" ca="1" si="65"/>
        <v>0</v>
      </c>
      <c r="AD83">
        <f t="shared" ca="1" si="65"/>
        <v>0</v>
      </c>
      <c r="AF83">
        <f t="shared" si="79"/>
        <v>-1</v>
      </c>
      <c r="AG83" t="e">
        <f t="shared" ca="1" si="80"/>
        <v>#N/A</v>
      </c>
      <c r="AH83" t="e">
        <f t="shared" ca="1" si="80"/>
        <v>#N/A</v>
      </c>
      <c r="AI83" t="e">
        <f t="shared" ca="1" si="80"/>
        <v>#N/A</v>
      </c>
      <c r="AJ83" t="e">
        <f t="shared" ca="1" si="80"/>
        <v>#N/A</v>
      </c>
      <c r="AK83" t="e">
        <f t="shared" ca="1" si="80"/>
        <v>#N/A</v>
      </c>
      <c r="AL83" t="e">
        <f t="shared" ca="1" si="80"/>
        <v>#N/A</v>
      </c>
      <c r="AM83" t="e">
        <f t="shared" ca="1" si="80"/>
        <v>#N/A</v>
      </c>
      <c r="AN83">
        <f t="shared" ca="1" si="81"/>
        <v>0</v>
      </c>
      <c r="AO83">
        <f t="shared" ca="1" si="82"/>
        <v>0</v>
      </c>
      <c r="AP83">
        <f t="shared" ca="1" si="83"/>
        <v>0</v>
      </c>
      <c r="AQ83">
        <f t="shared" ca="1" si="84"/>
        <v>0</v>
      </c>
      <c r="AR83">
        <f t="shared" ca="1" si="85"/>
        <v>0</v>
      </c>
      <c r="AS83">
        <f t="shared" ca="1" si="86"/>
        <v>0</v>
      </c>
      <c r="AT83">
        <f t="shared" ca="1" si="87"/>
        <v>0</v>
      </c>
      <c r="AV83">
        <f t="shared" si="6"/>
        <v>4261</v>
      </c>
      <c r="AW83" cm="1">
        <f t="array" ref="AW83">INDEX(auto_DataFlat_Score,$AV83,1)</f>
        <v>28.1</v>
      </c>
      <c r="AX83" cm="1">
        <f t="array" ref="AX83">INDEX(auto_DataFlat_DataValue,$AV83,1)</f>
        <v>68.7</v>
      </c>
      <c r="BA83">
        <f t="shared" si="88"/>
        <v>34.199999999999996</v>
      </c>
      <c r="BB83">
        <f t="shared" si="89"/>
        <v>1</v>
      </c>
      <c r="BC83">
        <f t="shared" si="90"/>
        <v>-1</v>
      </c>
      <c r="BD83" t="e">
        <f t="shared" ca="1" si="72"/>
        <v>#N/A</v>
      </c>
      <c r="BE83" t="e">
        <f t="shared" ca="1" si="72"/>
        <v>#N/A</v>
      </c>
      <c r="BF83" t="e">
        <f t="shared" ca="1" si="72"/>
        <v>#N/A</v>
      </c>
      <c r="BH83">
        <f t="shared" ca="1" si="66"/>
        <v>0</v>
      </c>
      <c r="BI83">
        <f t="shared" ca="1" si="66"/>
        <v>0</v>
      </c>
      <c r="BJ83">
        <f t="shared" ca="1" si="66"/>
        <v>0</v>
      </c>
      <c r="BM83">
        <f t="shared" si="91"/>
        <v>-1</v>
      </c>
      <c r="BN83" t="e">
        <f t="shared" ca="1" si="92"/>
        <v>#N/A</v>
      </c>
      <c r="BO83" t="e">
        <f t="shared" ca="1" si="93"/>
        <v>#N/A</v>
      </c>
      <c r="BP83" t="e">
        <f t="shared" ca="1" si="94"/>
        <v>#N/A</v>
      </c>
      <c r="BQ83" t="e">
        <f t="shared" ca="1" si="95"/>
        <v>#N/A</v>
      </c>
      <c r="BR83" t="e">
        <f t="shared" ca="1" si="96"/>
        <v>#N/A</v>
      </c>
      <c r="BS83" t="e">
        <f t="shared" ca="1" si="97"/>
        <v>#N/A</v>
      </c>
      <c r="BT83" t="e">
        <f t="shared" ca="1" si="98"/>
        <v>#N/A</v>
      </c>
      <c r="BU83">
        <f t="shared" ca="1" si="99"/>
        <v>0</v>
      </c>
      <c r="BV83">
        <f t="shared" ca="1" si="100"/>
        <v>0</v>
      </c>
      <c r="BW83">
        <f t="shared" ca="1" si="101"/>
        <v>0</v>
      </c>
      <c r="BX83">
        <f t="shared" ca="1" si="102"/>
        <v>0</v>
      </c>
      <c r="BY83">
        <f t="shared" ca="1" si="103"/>
        <v>0</v>
      </c>
      <c r="BZ83">
        <f t="shared" ca="1" si="73"/>
        <v>0</v>
      </c>
      <c r="CA83">
        <f t="shared" ca="1" si="74"/>
        <v>0</v>
      </c>
    </row>
    <row r="84" spans="1:79" x14ac:dyDescent="0.4">
      <c r="A84" t="str">
        <f t="shared" si="61"/>
        <v/>
      </c>
      <c r="B84">
        <v>73</v>
      </c>
      <c r="C84" t="str" cm="1">
        <f t="array" ref="C84">INDEX(auto_Series_Code,B84)</f>
        <v>BG12</v>
      </c>
      <c r="D84" cm="1">
        <f t="array" ref="D84">INDEX(auto_tblSeries,$B84,D$11)</f>
        <v>1</v>
      </c>
      <c r="E84" cm="1">
        <f t="array" ref="E84">INDEX(auto_tblSeries,$B84,E$11)</f>
        <v>1</v>
      </c>
      <c r="F84" cm="1">
        <f t="array" ref="F84">INDEX(auto_tblSeries,$B84,F$11)</f>
        <v>1</v>
      </c>
      <c r="G84" cm="1">
        <f t="array" ref="G84">INDEX(auto_tblSeries,$B84,G$11)</f>
        <v>0</v>
      </c>
      <c r="H84" cm="1">
        <f t="array" ref="H84">INDEX(auto_tblSeries,$B84,H$11)</f>
        <v>1</v>
      </c>
      <c r="I84">
        <f t="shared" si="70"/>
        <v>4371</v>
      </c>
      <c r="K84" cm="1">
        <f t="array" ref="K84">INDEX(auto_DataFlat_Score,$I84,K$10)</f>
        <v>59.3</v>
      </c>
      <c r="L84" t="str" cm="1">
        <f t="array" ref="L84">INDEX(auto_DataFlat_Rank,$I84,L$10)</f>
        <v>n/a</v>
      </c>
      <c r="M84" cm="1">
        <f t="array" ref="M84">INDEX(auto_DataFlat_DataValue,$I84,M$10)</f>
        <v>0</v>
      </c>
      <c r="N84" cm="1">
        <f t="array" ref="N84">INDEX(auto_DataFlat_Classification,$I84,M$10)</f>
        <v>3</v>
      </c>
      <c r="O84" cm="1">
        <f t="array" ref="O84">INDEX(auto_DataFlat_IsEstimate,$I84,O$10)</f>
        <v>0</v>
      </c>
      <c r="P84" t="str" cm="1">
        <f t="array" ref="P84">IF(INDEX(auto_DataFlat_DataYear,$I84,P$10)=0,"n/a",INDEX(auto_DataFlat_DataYear,$I84,P$10))</f>
        <v>n/a</v>
      </c>
      <c r="R84">
        <f t="shared" si="71"/>
        <v>4371</v>
      </c>
      <c r="S84" cm="1">
        <f t="array" ref="S84">INDEX(auto_DataFlat_Score,$R84,S$10)</f>
        <v>59.3</v>
      </c>
      <c r="U84">
        <f t="shared" si="75"/>
        <v>0</v>
      </c>
      <c r="V84">
        <f t="shared" si="76"/>
        <v>2</v>
      </c>
      <c r="W84">
        <f t="shared" si="77"/>
        <v>-1</v>
      </c>
      <c r="X84" t="e">
        <f t="shared" ca="1" si="78"/>
        <v>#N/A</v>
      </c>
      <c r="Y84" t="e">
        <f t="shared" ca="1" si="78"/>
        <v>#N/A</v>
      </c>
      <c r="Z84" t="e">
        <f t="shared" ca="1" si="78"/>
        <v>#N/A</v>
      </c>
      <c r="AB84">
        <f t="shared" ca="1" si="65"/>
        <v>0</v>
      </c>
      <c r="AC84">
        <f t="shared" ca="1" si="65"/>
        <v>0</v>
      </c>
      <c r="AD84">
        <f t="shared" ca="1" si="65"/>
        <v>0</v>
      </c>
      <c r="AF84">
        <f t="shared" si="79"/>
        <v>-1</v>
      </c>
      <c r="AG84" t="e">
        <f t="shared" ca="1" si="80"/>
        <v>#N/A</v>
      </c>
      <c r="AH84" t="e">
        <f t="shared" ca="1" si="80"/>
        <v>#N/A</v>
      </c>
      <c r="AI84" t="e">
        <f t="shared" ca="1" si="80"/>
        <v>#N/A</v>
      </c>
      <c r="AJ84" t="e">
        <f t="shared" ca="1" si="80"/>
        <v>#N/A</v>
      </c>
      <c r="AK84" t="e">
        <f t="shared" ca="1" si="80"/>
        <v>#N/A</v>
      </c>
      <c r="AL84" t="e">
        <f t="shared" ca="1" si="80"/>
        <v>#N/A</v>
      </c>
      <c r="AM84" t="e">
        <f t="shared" ca="1" si="80"/>
        <v>#N/A</v>
      </c>
      <c r="AN84">
        <f t="shared" ca="1" si="81"/>
        <v>0</v>
      </c>
      <c r="AO84">
        <f t="shared" ca="1" si="82"/>
        <v>0</v>
      </c>
      <c r="AP84">
        <f t="shared" ca="1" si="83"/>
        <v>0</v>
      </c>
      <c r="AQ84">
        <f t="shared" ca="1" si="84"/>
        <v>0</v>
      </c>
      <c r="AR84">
        <f t="shared" ca="1" si="85"/>
        <v>0</v>
      </c>
      <c r="AS84">
        <f t="shared" ca="1" si="86"/>
        <v>0</v>
      </c>
      <c r="AT84">
        <f t="shared" ca="1" si="87"/>
        <v>0</v>
      </c>
      <c r="AV84">
        <f t="shared" si="6"/>
        <v>4321</v>
      </c>
      <c r="AW84" cm="1">
        <f t="array" ref="AW84">INDEX(auto_DataFlat_Score,$AV84,1)</f>
        <v>27.9</v>
      </c>
      <c r="AX84" cm="1">
        <f t="array" ref="AX84">INDEX(auto_DataFlat_DataValue,$AV84,1)</f>
        <v>59.9</v>
      </c>
      <c r="BA84">
        <f t="shared" si="88"/>
        <v>31.4</v>
      </c>
      <c r="BB84">
        <f t="shared" si="89"/>
        <v>1</v>
      </c>
      <c r="BC84">
        <f t="shared" si="90"/>
        <v>-1</v>
      </c>
      <c r="BD84" t="e">
        <f t="shared" ca="1" si="72"/>
        <v>#N/A</v>
      </c>
      <c r="BE84" t="e">
        <f t="shared" ca="1" si="72"/>
        <v>#N/A</v>
      </c>
      <c r="BF84" t="e">
        <f t="shared" ca="1" si="72"/>
        <v>#N/A</v>
      </c>
      <c r="BH84">
        <f t="shared" ca="1" si="66"/>
        <v>0</v>
      </c>
      <c r="BI84">
        <f t="shared" ca="1" si="66"/>
        <v>0</v>
      </c>
      <c r="BJ84">
        <f t="shared" ca="1" si="66"/>
        <v>0</v>
      </c>
      <c r="BM84">
        <f t="shared" si="91"/>
        <v>-1</v>
      </c>
      <c r="BN84" t="e">
        <f t="shared" ca="1" si="92"/>
        <v>#N/A</v>
      </c>
      <c r="BO84" t="e">
        <f t="shared" ca="1" si="93"/>
        <v>#N/A</v>
      </c>
      <c r="BP84" t="e">
        <f t="shared" ca="1" si="94"/>
        <v>#N/A</v>
      </c>
      <c r="BQ84" t="e">
        <f t="shared" ca="1" si="95"/>
        <v>#N/A</v>
      </c>
      <c r="BR84" t="e">
        <f t="shared" ca="1" si="96"/>
        <v>#N/A</v>
      </c>
      <c r="BS84" t="e">
        <f t="shared" ca="1" si="97"/>
        <v>#N/A</v>
      </c>
      <c r="BT84" t="e">
        <f t="shared" ca="1" si="98"/>
        <v>#N/A</v>
      </c>
      <c r="BU84">
        <f t="shared" ca="1" si="99"/>
        <v>0</v>
      </c>
      <c r="BV84">
        <f t="shared" ca="1" si="100"/>
        <v>0</v>
      </c>
      <c r="BW84">
        <f t="shared" ca="1" si="101"/>
        <v>0</v>
      </c>
      <c r="BX84">
        <f t="shared" ca="1" si="102"/>
        <v>0</v>
      </c>
      <c r="BY84">
        <f t="shared" ca="1" si="103"/>
        <v>0</v>
      </c>
      <c r="BZ84">
        <f t="shared" ca="1" si="73"/>
        <v>0</v>
      </c>
      <c r="CA84">
        <f t="shared" ca="1" si="74"/>
        <v>0</v>
      </c>
    </row>
    <row r="85" spans="1:79" x14ac:dyDescent="0.4">
      <c r="A85" t="str">
        <f t="shared" si="61"/>
        <v/>
      </c>
      <c r="B85">
        <v>74</v>
      </c>
      <c r="C85" t="str" cm="1">
        <f t="array" ref="C85">INDEX(auto_Series_Code,B85)</f>
        <v>BG20</v>
      </c>
      <c r="D85" cm="1">
        <f t="array" ref="D85">INDEX(auto_tblSeries,$B85,D$11)</f>
        <v>1</v>
      </c>
      <c r="E85" cm="1">
        <f t="array" ref="E85">INDEX(auto_tblSeries,$B85,E$11)</f>
        <v>1</v>
      </c>
      <c r="F85" cm="1">
        <f t="array" ref="F85">INDEX(auto_tblSeries,$B85,F$11)</f>
        <v>1</v>
      </c>
      <c r="G85" cm="1">
        <f t="array" ref="G85">INDEX(auto_tblSeries,$B85,G$11)</f>
        <v>0</v>
      </c>
      <c r="H85" cm="1">
        <f t="array" ref="H85">INDEX(auto_tblSeries,$B85,H$11)</f>
        <v>1</v>
      </c>
      <c r="I85">
        <f t="shared" si="70"/>
        <v>4431</v>
      </c>
      <c r="K85" cm="1">
        <f t="array" ref="K85">INDEX(auto_DataFlat_Score,$I85,K$10)</f>
        <v>47.8</v>
      </c>
      <c r="L85" t="str" cm="1">
        <f t="array" ref="L85">INDEX(auto_DataFlat_Rank,$I85,L$10)</f>
        <v>n/a</v>
      </c>
      <c r="M85" cm="1">
        <f t="array" ref="M85">INDEX(auto_DataFlat_DataValue,$I85,M$10)</f>
        <v>0</v>
      </c>
      <c r="N85" cm="1">
        <f t="array" ref="N85">INDEX(auto_DataFlat_Classification,$I85,M$10)</f>
        <v>3</v>
      </c>
      <c r="O85" cm="1">
        <f t="array" ref="O85">INDEX(auto_DataFlat_IsEstimate,$I85,O$10)</f>
        <v>0</v>
      </c>
      <c r="P85" t="str" cm="1">
        <f t="array" ref="P85">IF(INDEX(auto_DataFlat_DataYear,$I85,P$10)=0,"n/a",INDEX(auto_DataFlat_DataYear,$I85,P$10))</f>
        <v>n/a</v>
      </c>
      <c r="R85">
        <f t="shared" si="71"/>
        <v>4431</v>
      </c>
      <c r="S85" cm="1">
        <f t="array" ref="S85">INDEX(auto_DataFlat_Score,$R85,S$10)</f>
        <v>47.8</v>
      </c>
      <c r="U85">
        <f t="shared" si="75"/>
        <v>0</v>
      </c>
      <c r="V85">
        <f t="shared" si="76"/>
        <v>2</v>
      </c>
      <c r="W85">
        <f t="shared" si="77"/>
        <v>-1</v>
      </c>
      <c r="X85" t="e">
        <f t="shared" ca="1" si="78"/>
        <v>#N/A</v>
      </c>
      <c r="Y85" t="e">
        <f t="shared" ca="1" si="78"/>
        <v>#N/A</v>
      </c>
      <c r="Z85" t="e">
        <f t="shared" ca="1" si="78"/>
        <v>#N/A</v>
      </c>
      <c r="AB85">
        <f t="shared" ca="1" si="65"/>
        <v>0</v>
      </c>
      <c r="AC85">
        <f t="shared" ca="1" si="65"/>
        <v>0</v>
      </c>
      <c r="AD85">
        <f t="shared" ca="1" si="65"/>
        <v>0</v>
      </c>
      <c r="AF85">
        <f t="shared" si="79"/>
        <v>-1</v>
      </c>
      <c r="AG85" t="e">
        <f t="shared" ca="1" si="80"/>
        <v>#N/A</v>
      </c>
      <c r="AH85" t="e">
        <f t="shared" ca="1" si="80"/>
        <v>#N/A</v>
      </c>
      <c r="AI85" t="e">
        <f t="shared" ca="1" si="80"/>
        <v>#N/A</v>
      </c>
      <c r="AJ85" t="e">
        <f t="shared" ca="1" si="80"/>
        <v>#N/A</v>
      </c>
      <c r="AK85" t="e">
        <f t="shared" ca="1" si="80"/>
        <v>#N/A</v>
      </c>
      <c r="AL85" t="e">
        <f t="shared" ca="1" si="80"/>
        <v>#N/A</v>
      </c>
      <c r="AM85" t="e">
        <f t="shared" ca="1" si="80"/>
        <v>#N/A</v>
      </c>
      <c r="AN85">
        <f t="shared" ca="1" si="81"/>
        <v>0</v>
      </c>
      <c r="AO85">
        <f t="shared" ca="1" si="82"/>
        <v>0</v>
      </c>
      <c r="AP85">
        <f t="shared" ca="1" si="83"/>
        <v>0</v>
      </c>
      <c r="AQ85">
        <f t="shared" ca="1" si="84"/>
        <v>0</v>
      </c>
      <c r="AR85">
        <f t="shared" ca="1" si="85"/>
        <v>0</v>
      </c>
      <c r="AS85">
        <f t="shared" ca="1" si="86"/>
        <v>0</v>
      </c>
      <c r="AT85">
        <f t="shared" ca="1" si="87"/>
        <v>0</v>
      </c>
      <c r="AV85">
        <f t="shared" si="6"/>
        <v>4381</v>
      </c>
      <c r="AW85" cm="1">
        <f t="array" ref="AW85">INDEX(auto_DataFlat_Score,$AV85,1)</f>
        <v>13.2</v>
      </c>
      <c r="AX85" cm="1">
        <f t="array" ref="AX85">INDEX(auto_DataFlat_DataValue,$AV85,1)</f>
        <v>18.5</v>
      </c>
      <c r="BA85">
        <f t="shared" si="88"/>
        <v>34.599999999999994</v>
      </c>
      <c r="BB85">
        <f t="shared" si="89"/>
        <v>1</v>
      </c>
      <c r="BC85">
        <f t="shared" si="90"/>
        <v>-1</v>
      </c>
      <c r="BD85" t="e">
        <f t="shared" ca="1" si="72"/>
        <v>#N/A</v>
      </c>
      <c r="BE85" t="e">
        <f t="shared" ca="1" si="72"/>
        <v>#N/A</v>
      </c>
      <c r="BF85" t="e">
        <f t="shared" ca="1" si="72"/>
        <v>#N/A</v>
      </c>
      <c r="BH85">
        <f t="shared" ca="1" si="66"/>
        <v>0</v>
      </c>
      <c r="BI85">
        <f t="shared" ca="1" si="66"/>
        <v>0</v>
      </c>
      <c r="BJ85">
        <f t="shared" ca="1" si="66"/>
        <v>0</v>
      </c>
      <c r="BM85">
        <f t="shared" si="91"/>
        <v>-1</v>
      </c>
      <c r="BN85" t="e">
        <f t="shared" ca="1" si="92"/>
        <v>#N/A</v>
      </c>
      <c r="BO85" t="e">
        <f t="shared" ca="1" si="93"/>
        <v>#N/A</v>
      </c>
      <c r="BP85" t="e">
        <f t="shared" ca="1" si="94"/>
        <v>#N/A</v>
      </c>
      <c r="BQ85" t="e">
        <f t="shared" ca="1" si="95"/>
        <v>#N/A</v>
      </c>
      <c r="BR85" t="e">
        <f t="shared" ca="1" si="96"/>
        <v>#N/A</v>
      </c>
      <c r="BS85" t="e">
        <f t="shared" ca="1" si="97"/>
        <v>#N/A</v>
      </c>
      <c r="BT85" t="e">
        <f t="shared" ca="1" si="98"/>
        <v>#N/A</v>
      </c>
      <c r="BU85">
        <f t="shared" ca="1" si="99"/>
        <v>0</v>
      </c>
      <c r="BV85">
        <f t="shared" ca="1" si="100"/>
        <v>0</v>
      </c>
      <c r="BW85">
        <f t="shared" ca="1" si="101"/>
        <v>0</v>
      </c>
      <c r="BX85">
        <f t="shared" ca="1" si="102"/>
        <v>0</v>
      </c>
      <c r="BY85">
        <f t="shared" ca="1" si="103"/>
        <v>0</v>
      </c>
      <c r="BZ85">
        <f t="shared" ca="1" si="73"/>
        <v>0</v>
      </c>
      <c r="CA85">
        <f t="shared" ca="1" si="74"/>
        <v>0</v>
      </c>
    </row>
    <row r="86" spans="1:79" x14ac:dyDescent="0.4">
      <c r="A86" t="str">
        <f t="shared" si="61"/>
        <v/>
      </c>
      <c r="B86">
        <v>75</v>
      </c>
      <c r="C86" t="str" cm="1">
        <f t="array" ref="C86">INDEX(auto_Series_Code,B86)</f>
        <v>BG21</v>
      </c>
      <c r="D86" cm="1">
        <f t="array" ref="D86">INDEX(auto_tblSeries,$B86,D$11)</f>
        <v>1</v>
      </c>
      <c r="E86" cm="1">
        <f t="array" ref="E86">INDEX(auto_tblSeries,$B86,E$11)</f>
        <v>1</v>
      </c>
      <c r="F86" cm="1">
        <f t="array" ref="F86">INDEX(auto_tblSeries,$B86,F$11)</f>
        <v>1</v>
      </c>
      <c r="G86" cm="1">
        <f t="array" ref="G86">INDEX(auto_tblSeries,$B86,G$11)</f>
        <v>0</v>
      </c>
      <c r="H86" cm="1">
        <f t="array" ref="H86">INDEX(auto_tblSeries,$B86,H$11)</f>
        <v>1</v>
      </c>
      <c r="I86">
        <f t="shared" si="70"/>
        <v>4491</v>
      </c>
      <c r="K86" cm="1">
        <f t="array" ref="K86">INDEX(auto_DataFlat_Score,$I86,K$10)</f>
        <v>45.5</v>
      </c>
      <c r="L86" t="str" cm="1">
        <f t="array" ref="L86">INDEX(auto_DataFlat_Rank,$I86,L$10)</f>
        <v>n/a</v>
      </c>
      <c r="M86" cm="1">
        <f t="array" ref="M86">INDEX(auto_DataFlat_DataValue,$I86,M$10)</f>
        <v>0</v>
      </c>
      <c r="N86" cm="1">
        <f t="array" ref="N86">INDEX(auto_DataFlat_Classification,$I86,M$10)</f>
        <v>3</v>
      </c>
      <c r="O86" cm="1">
        <f t="array" ref="O86">INDEX(auto_DataFlat_IsEstimate,$I86,O$10)</f>
        <v>0</v>
      </c>
      <c r="P86" t="str" cm="1">
        <f t="array" ref="P86">IF(INDEX(auto_DataFlat_DataYear,$I86,P$10)=0,"n/a",INDEX(auto_DataFlat_DataYear,$I86,P$10))</f>
        <v>n/a</v>
      </c>
      <c r="R86">
        <f t="shared" si="71"/>
        <v>4491</v>
      </c>
      <c r="S86" cm="1">
        <f t="array" ref="S86">INDEX(auto_DataFlat_Score,$R86,S$10)</f>
        <v>45.5</v>
      </c>
      <c r="U86">
        <f t="shared" si="75"/>
        <v>0</v>
      </c>
      <c r="V86">
        <f t="shared" si="76"/>
        <v>2</v>
      </c>
      <c r="W86">
        <f t="shared" si="77"/>
        <v>-1</v>
      </c>
      <c r="X86" t="e">
        <f t="shared" ca="1" si="78"/>
        <v>#N/A</v>
      </c>
      <c r="Y86" t="e">
        <f t="shared" ca="1" si="78"/>
        <v>#N/A</v>
      </c>
      <c r="Z86" t="e">
        <f t="shared" ca="1" si="78"/>
        <v>#N/A</v>
      </c>
      <c r="AB86">
        <f t="shared" ca="1" si="65"/>
        <v>0</v>
      </c>
      <c r="AC86">
        <f t="shared" ca="1" si="65"/>
        <v>0</v>
      </c>
      <c r="AD86">
        <f t="shared" ca="1" si="65"/>
        <v>0</v>
      </c>
      <c r="AF86">
        <f t="shared" si="79"/>
        <v>-1</v>
      </c>
      <c r="AG86" t="e">
        <f t="shared" ca="1" si="80"/>
        <v>#N/A</v>
      </c>
      <c r="AH86" t="e">
        <f t="shared" ca="1" si="80"/>
        <v>#N/A</v>
      </c>
      <c r="AI86" t="e">
        <f t="shared" ca="1" si="80"/>
        <v>#N/A</v>
      </c>
      <c r="AJ86" t="e">
        <f t="shared" ca="1" si="80"/>
        <v>#N/A</v>
      </c>
      <c r="AK86" t="e">
        <f t="shared" ca="1" si="80"/>
        <v>#N/A</v>
      </c>
      <c r="AL86" t="e">
        <f t="shared" ca="1" si="80"/>
        <v>#N/A</v>
      </c>
      <c r="AM86" t="e">
        <f t="shared" ca="1" si="80"/>
        <v>#N/A</v>
      </c>
      <c r="AN86">
        <f t="shared" ca="1" si="81"/>
        <v>0</v>
      </c>
      <c r="AO86">
        <f t="shared" ca="1" si="82"/>
        <v>0</v>
      </c>
      <c r="AP86">
        <f t="shared" ca="1" si="83"/>
        <v>0</v>
      </c>
      <c r="AQ86">
        <f t="shared" ca="1" si="84"/>
        <v>0</v>
      </c>
      <c r="AR86">
        <f t="shared" ca="1" si="85"/>
        <v>0</v>
      </c>
      <c r="AS86">
        <f t="shared" ca="1" si="86"/>
        <v>0</v>
      </c>
      <c r="AT86">
        <f t="shared" ca="1" si="87"/>
        <v>0</v>
      </c>
      <c r="AV86">
        <f t="shared" si="6"/>
        <v>4441</v>
      </c>
      <c r="AW86" cm="1">
        <f t="array" ref="AW86">INDEX(auto_DataFlat_Score,$AV86,1)</f>
        <v>16.7</v>
      </c>
      <c r="AX86" cm="1">
        <f t="array" ref="AX86">INDEX(auto_DataFlat_DataValue,$AV86,1)</f>
        <v>13.9</v>
      </c>
      <c r="BA86">
        <f t="shared" si="88"/>
        <v>28.8</v>
      </c>
      <c r="BB86">
        <f t="shared" si="89"/>
        <v>1</v>
      </c>
      <c r="BC86">
        <f t="shared" si="90"/>
        <v>-1</v>
      </c>
      <c r="BD86" t="e">
        <f t="shared" ca="1" si="72"/>
        <v>#N/A</v>
      </c>
      <c r="BE86" t="e">
        <f t="shared" ca="1" si="72"/>
        <v>#N/A</v>
      </c>
      <c r="BF86" t="e">
        <f t="shared" ca="1" si="72"/>
        <v>#N/A</v>
      </c>
      <c r="BH86">
        <f t="shared" ca="1" si="66"/>
        <v>0</v>
      </c>
      <c r="BI86">
        <f t="shared" ca="1" si="66"/>
        <v>0</v>
      </c>
      <c r="BJ86">
        <f t="shared" ca="1" si="66"/>
        <v>0</v>
      </c>
      <c r="BM86">
        <f t="shared" si="91"/>
        <v>-1</v>
      </c>
      <c r="BN86" t="e">
        <f t="shared" ca="1" si="92"/>
        <v>#N/A</v>
      </c>
      <c r="BO86" t="e">
        <f t="shared" ca="1" si="93"/>
        <v>#N/A</v>
      </c>
      <c r="BP86" t="e">
        <f t="shared" ca="1" si="94"/>
        <v>#N/A</v>
      </c>
      <c r="BQ86" t="e">
        <f t="shared" ca="1" si="95"/>
        <v>#N/A</v>
      </c>
      <c r="BR86" t="e">
        <f t="shared" ca="1" si="96"/>
        <v>#N/A</v>
      </c>
      <c r="BS86" t="e">
        <f t="shared" ca="1" si="97"/>
        <v>#N/A</v>
      </c>
      <c r="BT86" t="e">
        <f t="shared" ca="1" si="98"/>
        <v>#N/A</v>
      </c>
      <c r="BU86">
        <f t="shared" ca="1" si="99"/>
        <v>0</v>
      </c>
      <c r="BV86">
        <f t="shared" ca="1" si="100"/>
        <v>0</v>
      </c>
      <c r="BW86">
        <f t="shared" ca="1" si="101"/>
        <v>0</v>
      </c>
      <c r="BX86">
        <f t="shared" ca="1" si="102"/>
        <v>0</v>
      </c>
      <c r="BY86">
        <f t="shared" ca="1" si="103"/>
        <v>0</v>
      </c>
      <c r="BZ86">
        <f t="shared" ca="1" si="73"/>
        <v>0</v>
      </c>
      <c r="CA86">
        <f t="shared" ca="1" si="74"/>
        <v>0</v>
      </c>
    </row>
    <row r="87" spans="1:79" x14ac:dyDescent="0.4">
      <c r="A87" t="str">
        <f t="shared" si="61"/>
        <v/>
      </c>
      <c r="B87">
        <v>76</v>
      </c>
      <c r="C87" t="str" cm="1">
        <f t="array" ref="C87">INDEX(auto_Series_Code,B87)</f>
        <v>BG14</v>
      </c>
      <c r="D87" cm="1">
        <f t="array" ref="D87">INDEX(auto_tblSeries,$B87,D$11)</f>
        <v>1</v>
      </c>
      <c r="E87" cm="1">
        <f t="array" ref="E87">INDEX(auto_tblSeries,$B87,E$11)</f>
        <v>1</v>
      </c>
      <c r="F87" cm="1">
        <f t="array" ref="F87">INDEX(auto_tblSeries,$B87,F$11)</f>
        <v>1</v>
      </c>
      <c r="G87" cm="1">
        <f t="array" ref="G87">INDEX(auto_tblSeries,$B87,G$11)</f>
        <v>0</v>
      </c>
      <c r="H87" cm="1">
        <f t="array" ref="H87">INDEX(auto_tblSeries,$B87,H$11)</f>
        <v>1</v>
      </c>
      <c r="I87">
        <f t="shared" si="70"/>
        <v>4551</v>
      </c>
      <c r="K87" cm="1">
        <f t="array" ref="K87">INDEX(auto_DataFlat_Score,$I87,K$10)</f>
        <v>30.9</v>
      </c>
      <c r="L87" t="str" cm="1">
        <f t="array" ref="L87">INDEX(auto_DataFlat_Rank,$I87,L$10)</f>
        <v>n/a</v>
      </c>
      <c r="M87" cm="1">
        <f t="array" ref="M87">INDEX(auto_DataFlat_DataValue,$I87,M$10)</f>
        <v>0</v>
      </c>
      <c r="N87" cm="1">
        <f t="array" ref="N87">INDEX(auto_DataFlat_Classification,$I87,M$10)</f>
        <v>2</v>
      </c>
      <c r="O87" cm="1">
        <f t="array" ref="O87">INDEX(auto_DataFlat_IsEstimate,$I87,O$10)</f>
        <v>0</v>
      </c>
      <c r="P87" t="str" cm="1">
        <f t="array" ref="P87">IF(INDEX(auto_DataFlat_DataYear,$I87,P$10)=0,"n/a",INDEX(auto_DataFlat_DataYear,$I87,P$10))</f>
        <v>n/a</v>
      </c>
      <c r="R87">
        <f t="shared" si="71"/>
        <v>4551</v>
      </c>
      <c r="S87" cm="1">
        <f t="array" ref="S87">INDEX(auto_DataFlat_Score,$R87,S$10)</f>
        <v>30.9</v>
      </c>
      <c r="U87">
        <f t="shared" si="75"/>
        <v>0</v>
      </c>
      <c r="V87">
        <f t="shared" si="76"/>
        <v>2</v>
      </c>
      <c r="W87">
        <f t="shared" si="77"/>
        <v>-1</v>
      </c>
      <c r="X87" t="e">
        <f t="shared" ca="1" si="78"/>
        <v>#N/A</v>
      </c>
      <c r="Y87" t="e">
        <f t="shared" ca="1" si="78"/>
        <v>#N/A</v>
      </c>
      <c r="Z87" t="e">
        <f t="shared" ca="1" si="78"/>
        <v>#N/A</v>
      </c>
      <c r="AB87">
        <f t="shared" ca="1" si="65"/>
        <v>0</v>
      </c>
      <c r="AC87">
        <f t="shared" ca="1" si="65"/>
        <v>0</v>
      </c>
      <c r="AD87">
        <f t="shared" ca="1" si="65"/>
        <v>0</v>
      </c>
      <c r="AF87">
        <f t="shared" si="79"/>
        <v>-1</v>
      </c>
      <c r="AG87" t="e">
        <f t="shared" ca="1" si="80"/>
        <v>#N/A</v>
      </c>
      <c r="AH87" t="e">
        <f t="shared" ca="1" si="80"/>
        <v>#N/A</v>
      </c>
      <c r="AI87" t="e">
        <f t="shared" ca="1" si="80"/>
        <v>#N/A</v>
      </c>
      <c r="AJ87" t="e">
        <f t="shared" ca="1" si="80"/>
        <v>#N/A</v>
      </c>
      <c r="AK87" t="e">
        <f t="shared" ca="1" si="80"/>
        <v>#N/A</v>
      </c>
      <c r="AL87" t="e">
        <f t="shared" ca="1" si="80"/>
        <v>#N/A</v>
      </c>
      <c r="AM87" t="e">
        <f t="shared" ca="1" si="80"/>
        <v>#N/A</v>
      </c>
      <c r="AN87">
        <f t="shared" ca="1" si="81"/>
        <v>0</v>
      </c>
      <c r="AO87">
        <f t="shared" ca="1" si="82"/>
        <v>0</v>
      </c>
      <c r="AP87">
        <f t="shared" ca="1" si="83"/>
        <v>0</v>
      </c>
      <c r="AQ87">
        <f t="shared" ca="1" si="84"/>
        <v>0</v>
      </c>
      <c r="AR87">
        <f t="shared" ca="1" si="85"/>
        <v>0</v>
      </c>
      <c r="AS87">
        <f t="shared" ca="1" si="86"/>
        <v>0</v>
      </c>
      <c r="AT87">
        <f t="shared" ca="1" si="87"/>
        <v>0</v>
      </c>
      <c r="AV87">
        <f t="shared" si="6"/>
        <v>4501</v>
      </c>
      <c r="AW87" cm="1">
        <f t="array" ref="AW87">INDEX(auto_DataFlat_Score,$AV87,1)</f>
        <v>5.6</v>
      </c>
      <c r="AX87" cm="1">
        <f t="array" ref="AX87">INDEX(auto_DataFlat_DataValue,$AV87,1)</f>
        <v>3.5</v>
      </c>
      <c r="BA87">
        <f t="shared" si="88"/>
        <v>25.299999999999997</v>
      </c>
      <c r="BB87">
        <f t="shared" si="89"/>
        <v>1</v>
      </c>
      <c r="BC87">
        <f t="shared" si="90"/>
        <v>-1</v>
      </c>
      <c r="BD87" t="e">
        <f t="shared" ca="1" si="72"/>
        <v>#N/A</v>
      </c>
      <c r="BE87" t="e">
        <f t="shared" ca="1" si="72"/>
        <v>#N/A</v>
      </c>
      <c r="BF87" t="e">
        <f t="shared" ca="1" si="72"/>
        <v>#N/A</v>
      </c>
      <c r="BH87">
        <f t="shared" ca="1" si="66"/>
        <v>0</v>
      </c>
      <c r="BI87">
        <f t="shared" ca="1" si="66"/>
        <v>0</v>
      </c>
      <c r="BJ87">
        <f t="shared" ca="1" si="66"/>
        <v>0</v>
      </c>
      <c r="BM87">
        <f t="shared" si="91"/>
        <v>-1</v>
      </c>
      <c r="BN87" t="e">
        <f t="shared" ca="1" si="92"/>
        <v>#N/A</v>
      </c>
      <c r="BO87" t="e">
        <f t="shared" ca="1" si="93"/>
        <v>#N/A</v>
      </c>
      <c r="BP87" t="e">
        <f t="shared" ca="1" si="94"/>
        <v>#N/A</v>
      </c>
      <c r="BQ87" t="e">
        <f t="shared" ca="1" si="95"/>
        <v>#N/A</v>
      </c>
      <c r="BR87" t="e">
        <f t="shared" ca="1" si="96"/>
        <v>#N/A</v>
      </c>
      <c r="BS87" t="e">
        <f t="shared" ca="1" si="97"/>
        <v>#N/A</v>
      </c>
      <c r="BT87" t="e">
        <f t="shared" ca="1" si="98"/>
        <v>#N/A</v>
      </c>
      <c r="BU87">
        <f t="shared" ca="1" si="99"/>
        <v>0</v>
      </c>
      <c r="BV87">
        <f t="shared" ca="1" si="100"/>
        <v>0</v>
      </c>
      <c r="BW87">
        <f t="shared" ca="1" si="101"/>
        <v>0</v>
      </c>
      <c r="BX87">
        <f t="shared" ca="1" si="102"/>
        <v>0</v>
      </c>
      <c r="BY87">
        <f t="shared" ca="1" si="103"/>
        <v>0</v>
      </c>
      <c r="BZ87">
        <f t="shared" ca="1" si="73"/>
        <v>0</v>
      </c>
      <c r="CA87">
        <f t="shared" ca="1" si="74"/>
        <v>0</v>
      </c>
    </row>
    <row r="88" spans="1:79" x14ac:dyDescent="0.4">
      <c r="A88" t="str">
        <f t="shared" si="61"/>
        <v/>
      </c>
      <c r="B88">
        <v>77</v>
      </c>
      <c r="C88" t="str" cm="1">
        <f t="array" ref="C88">INDEX(auto_Series_Code,B88)</f>
        <v>BG01</v>
      </c>
      <c r="D88" cm="1">
        <f t="array" ref="D88">INDEX(auto_tblSeries,$B88,D$11)</f>
        <v>1</v>
      </c>
      <c r="E88" cm="1">
        <f t="array" ref="E88">INDEX(auto_tblSeries,$B88,E$11)</f>
        <v>1</v>
      </c>
      <c r="F88" cm="1">
        <f t="array" ref="F88">INDEX(auto_tblSeries,$B88,F$11)</f>
        <v>1</v>
      </c>
      <c r="G88" cm="1">
        <f t="array" ref="G88">INDEX(auto_tblSeries,$B88,G$11)</f>
        <v>0</v>
      </c>
      <c r="H88" cm="1">
        <f t="array" ref="H88">INDEX(auto_tblSeries,$B88,H$11)</f>
        <v>0</v>
      </c>
      <c r="I88">
        <f t="shared" si="70"/>
        <v>4611</v>
      </c>
      <c r="K88" cm="1">
        <f t="array" ref="K88">INDEX(auto_DataFlat_Score,$I88,K$10)</f>
        <v>31.1</v>
      </c>
      <c r="L88" t="str" cm="1">
        <f t="array" ref="L88">INDEX(auto_DataFlat_Rank,$I88,L$10)</f>
        <v>n/a</v>
      </c>
      <c r="M88" cm="1">
        <f t="array" ref="M88">INDEX(auto_DataFlat_DataValue,$I88,M$10)</f>
        <v>0</v>
      </c>
      <c r="N88" cm="1">
        <f t="array" ref="N88">INDEX(auto_DataFlat_Classification,$I88,M$10)</f>
        <v>2</v>
      </c>
      <c r="O88" cm="1">
        <f t="array" ref="O88">INDEX(auto_DataFlat_IsEstimate,$I88,O$10)</f>
        <v>0</v>
      </c>
      <c r="P88" t="str" cm="1">
        <f t="array" ref="P88">IF(INDEX(auto_DataFlat_DataYear,$I88,P$10)=0,"n/a",INDEX(auto_DataFlat_DataYear,$I88,P$10))</f>
        <v>n/a</v>
      </c>
      <c r="R88">
        <f t="shared" si="71"/>
        <v>4611</v>
      </c>
      <c r="S88" cm="1">
        <f t="array" ref="S88">INDEX(auto_DataFlat_Score,$R88,S$10)</f>
        <v>31.1</v>
      </c>
      <c r="U88">
        <f t="shared" si="75"/>
        <v>0</v>
      </c>
      <c r="V88">
        <f t="shared" si="76"/>
        <v>2</v>
      </c>
      <c r="W88">
        <f t="shared" si="77"/>
        <v>-1</v>
      </c>
      <c r="X88" t="e">
        <f t="shared" ca="1" si="78"/>
        <v>#N/A</v>
      </c>
      <c r="Y88" t="e">
        <f t="shared" ca="1" si="78"/>
        <v>#N/A</v>
      </c>
      <c r="Z88" t="e">
        <f t="shared" ca="1" si="78"/>
        <v>#N/A</v>
      </c>
      <c r="AB88">
        <f t="shared" ca="1" si="65"/>
        <v>0</v>
      </c>
      <c r="AC88">
        <f t="shared" ca="1" si="65"/>
        <v>0</v>
      </c>
      <c r="AD88">
        <f t="shared" ca="1" si="65"/>
        <v>0</v>
      </c>
      <c r="AF88">
        <f t="shared" si="79"/>
        <v>-1</v>
      </c>
      <c r="AG88" t="e">
        <f t="shared" ca="1" si="80"/>
        <v>#N/A</v>
      </c>
      <c r="AH88" t="e">
        <f t="shared" ca="1" si="80"/>
        <v>#N/A</v>
      </c>
      <c r="AI88" t="e">
        <f t="shared" ca="1" si="80"/>
        <v>#N/A</v>
      </c>
      <c r="AJ88" t="e">
        <f t="shared" ca="1" si="80"/>
        <v>#N/A</v>
      </c>
      <c r="AK88" t="e">
        <f t="shared" ca="1" si="80"/>
        <v>#N/A</v>
      </c>
      <c r="AL88" t="e">
        <f t="shared" ca="1" si="80"/>
        <v>#N/A</v>
      </c>
      <c r="AM88" t="e">
        <f t="shared" ca="1" si="80"/>
        <v>#N/A</v>
      </c>
      <c r="AN88">
        <f t="shared" ca="1" si="81"/>
        <v>0</v>
      </c>
      <c r="AO88">
        <f t="shared" ca="1" si="82"/>
        <v>0</v>
      </c>
      <c r="AP88">
        <f t="shared" ca="1" si="83"/>
        <v>0</v>
      </c>
      <c r="AQ88">
        <f t="shared" ca="1" si="84"/>
        <v>0</v>
      </c>
      <c r="AR88">
        <f t="shared" ca="1" si="85"/>
        <v>0</v>
      </c>
      <c r="AS88">
        <f t="shared" ca="1" si="86"/>
        <v>0</v>
      </c>
      <c r="AT88">
        <f t="shared" ca="1" si="87"/>
        <v>0</v>
      </c>
      <c r="AV88">
        <f t="shared" si="6"/>
        <v>4561</v>
      </c>
      <c r="AW88" cm="1">
        <f t="array" ref="AW88">INDEX(auto_DataFlat_Score,$AV88,1)</f>
        <v>15.9</v>
      </c>
      <c r="AX88" cm="1">
        <f t="array" ref="AX88">INDEX(auto_DataFlat_DataValue,$AV88,1)</f>
        <v>5703628</v>
      </c>
      <c r="BA88">
        <f t="shared" si="88"/>
        <v>15.200000000000001</v>
      </c>
      <c r="BB88">
        <f t="shared" si="89"/>
        <v>1</v>
      </c>
      <c r="BC88">
        <f t="shared" si="90"/>
        <v>-1</v>
      </c>
      <c r="BD88" t="e">
        <f t="shared" ca="1" si="72"/>
        <v>#N/A</v>
      </c>
      <c r="BE88" t="e">
        <f t="shared" ca="1" si="72"/>
        <v>#N/A</v>
      </c>
      <c r="BF88" t="e">
        <f t="shared" ca="1" si="72"/>
        <v>#N/A</v>
      </c>
      <c r="BH88">
        <f t="shared" ca="1" si="66"/>
        <v>0</v>
      </c>
      <c r="BI88">
        <f t="shared" ca="1" si="66"/>
        <v>0</v>
      </c>
      <c r="BJ88">
        <f t="shared" ca="1" si="66"/>
        <v>0</v>
      </c>
      <c r="BM88">
        <f t="shared" si="91"/>
        <v>-1</v>
      </c>
      <c r="BN88" t="e">
        <f t="shared" ca="1" si="92"/>
        <v>#N/A</v>
      </c>
      <c r="BO88" t="e">
        <f t="shared" ca="1" si="93"/>
        <v>#N/A</v>
      </c>
      <c r="BP88" t="e">
        <f t="shared" ca="1" si="94"/>
        <v>#N/A</v>
      </c>
      <c r="BQ88" t="e">
        <f t="shared" ca="1" si="95"/>
        <v>#N/A</v>
      </c>
      <c r="BR88" t="e">
        <f t="shared" ca="1" si="96"/>
        <v>#N/A</v>
      </c>
      <c r="BS88" t="e">
        <f t="shared" ca="1" si="97"/>
        <v>#N/A</v>
      </c>
      <c r="BT88" t="e">
        <f t="shared" ca="1" si="98"/>
        <v>#N/A</v>
      </c>
      <c r="BU88">
        <f t="shared" ca="1" si="99"/>
        <v>0</v>
      </c>
      <c r="BV88">
        <f t="shared" ca="1" si="100"/>
        <v>0</v>
      </c>
      <c r="BW88">
        <f t="shared" ca="1" si="101"/>
        <v>0</v>
      </c>
      <c r="BX88">
        <f t="shared" ca="1" si="102"/>
        <v>0</v>
      </c>
      <c r="BY88">
        <f t="shared" ca="1" si="103"/>
        <v>0</v>
      </c>
      <c r="BZ88">
        <f t="shared" ca="1" si="73"/>
        <v>0</v>
      </c>
      <c r="CA88">
        <f t="shared" ca="1" si="74"/>
        <v>0</v>
      </c>
    </row>
    <row r="89" spans="1:79" x14ac:dyDescent="0.4">
      <c r="A89" t="str">
        <f t="shared" si="61"/>
        <v/>
      </c>
      <c r="B89">
        <v>78</v>
      </c>
      <c r="C89" t="str" cm="1">
        <f t="array" ref="C89">INDEX(auto_Series_Code,B89)</f>
        <v>BG13</v>
      </c>
      <c r="D89" cm="1">
        <f t="array" ref="D89">INDEX(auto_tblSeries,$B89,D$11)</f>
        <v>1</v>
      </c>
      <c r="E89" cm="1">
        <f t="array" ref="E89">INDEX(auto_tblSeries,$B89,E$11)</f>
        <v>1</v>
      </c>
      <c r="F89" cm="1">
        <f t="array" ref="F89">INDEX(auto_tblSeries,$B89,F$11)</f>
        <v>1</v>
      </c>
      <c r="G89" cm="1">
        <f t="array" ref="G89">INDEX(auto_tblSeries,$B89,G$11)</f>
        <v>0</v>
      </c>
      <c r="H89" cm="1">
        <f t="array" ref="H89">INDEX(auto_tblSeries,$B89,H$11)</f>
        <v>1</v>
      </c>
      <c r="I89">
        <f t="shared" si="70"/>
        <v>4671</v>
      </c>
      <c r="K89" cm="1">
        <f t="array" ref="K89">INDEX(auto_DataFlat_Score,$I89,K$10)</f>
        <v>30.3</v>
      </c>
      <c r="L89" t="str" cm="1">
        <f t="array" ref="L89">INDEX(auto_DataFlat_Rank,$I89,L$10)</f>
        <v>n/a</v>
      </c>
      <c r="M89" cm="1">
        <f t="array" ref="M89">INDEX(auto_DataFlat_DataValue,$I89,M$10)</f>
        <v>0</v>
      </c>
      <c r="N89" cm="1">
        <f t="array" ref="N89">INDEX(auto_DataFlat_Classification,$I89,M$10)</f>
        <v>2</v>
      </c>
      <c r="O89" cm="1">
        <f t="array" ref="O89">INDEX(auto_DataFlat_IsEstimate,$I89,O$10)</f>
        <v>0</v>
      </c>
      <c r="P89" t="str" cm="1">
        <f t="array" ref="P89">IF(INDEX(auto_DataFlat_DataYear,$I89,P$10)=0,"n/a",INDEX(auto_DataFlat_DataYear,$I89,P$10))</f>
        <v>n/a</v>
      </c>
      <c r="R89">
        <f t="shared" si="71"/>
        <v>4671</v>
      </c>
      <c r="S89" cm="1">
        <f t="array" ref="S89">INDEX(auto_DataFlat_Score,$R89,S$10)</f>
        <v>30.3</v>
      </c>
      <c r="U89">
        <f t="shared" si="75"/>
        <v>0</v>
      </c>
      <c r="V89">
        <f t="shared" si="76"/>
        <v>2</v>
      </c>
      <c r="W89">
        <f t="shared" si="77"/>
        <v>-1</v>
      </c>
      <c r="X89" t="e">
        <f t="shared" ca="1" si="78"/>
        <v>#N/A</v>
      </c>
      <c r="Y89" t="e">
        <f t="shared" ca="1" si="78"/>
        <v>#N/A</v>
      </c>
      <c r="Z89" t="e">
        <f t="shared" ca="1" si="78"/>
        <v>#N/A</v>
      </c>
      <c r="AB89">
        <f t="shared" ca="1" si="65"/>
        <v>0</v>
      </c>
      <c r="AC89">
        <f t="shared" ca="1" si="65"/>
        <v>0</v>
      </c>
      <c r="AD89">
        <f t="shared" ca="1" si="65"/>
        <v>0</v>
      </c>
      <c r="AF89">
        <f t="shared" si="79"/>
        <v>-1</v>
      </c>
      <c r="AG89" t="e">
        <f t="shared" ca="1" si="80"/>
        <v>#N/A</v>
      </c>
      <c r="AH89" t="e">
        <f t="shared" ca="1" si="80"/>
        <v>#N/A</v>
      </c>
      <c r="AI89" t="e">
        <f t="shared" ca="1" si="80"/>
        <v>#N/A</v>
      </c>
      <c r="AJ89" t="e">
        <f t="shared" ca="1" si="80"/>
        <v>#N/A</v>
      </c>
      <c r="AK89" t="e">
        <f t="shared" ca="1" si="80"/>
        <v>#N/A</v>
      </c>
      <c r="AL89" t="e">
        <f t="shared" ca="1" si="80"/>
        <v>#N/A</v>
      </c>
      <c r="AM89" t="e">
        <f t="shared" ca="1" si="80"/>
        <v>#N/A</v>
      </c>
      <c r="AN89">
        <f t="shared" ca="1" si="81"/>
        <v>0</v>
      </c>
      <c r="AO89">
        <f t="shared" ca="1" si="82"/>
        <v>0</v>
      </c>
      <c r="AP89">
        <f t="shared" ca="1" si="83"/>
        <v>0</v>
      </c>
      <c r="AQ89">
        <f t="shared" ca="1" si="84"/>
        <v>0</v>
      </c>
      <c r="AR89">
        <f t="shared" ca="1" si="85"/>
        <v>0</v>
      </c>
      <c r="AS89">
        <f t="shared" ca="1" si="86"/>
        <v>0</v>
      </c>
      <c r="AT89">
        <f t="shared" ca="1" si="87"/>
        <v>0</v>
      </c>
      <c r="AV89">
        <f t="shared" si="6"/>
        <v>4621</v>
      </c>
      <c r="AW89" cm="1">
        <f t="array" ref="AW89">INDEX(auto_DataFlat_Score,$AV89,1)</f>
        <v>0</v>
      </c>
      <c r="AX89" cm="1">
        <f t="array" ref="AX89">INDEX(auto_DataFlat_DataValue,$AV89,1)</f>
        <v>1027.5999999999999</v>
      </c>
      <c r="BA89">
        <f t="shared" si="88"/>
        <v>30.3</v>
      </c>
      <c r="BB89">
        <f t="shared" si="89"/>
        <v>1</v>
      </c>
      <c r="BC89">
        <f t="shared" si="90"/>
        <v>-1</v>
      </c>
      <c r="BD89" t="e">
        <f t="shared" ca="1" si="72"/>
        <v>#N/A</v>
      </c>
      <c r="BE89" t="e">
        <f t="shared" ca="1" si="72"/>
        <v>#N/A</v>
      </c>
      <c r="BF89" t="e">
        <f t="shared" ca="1" si="72"/>
        <v>#N/A</v>
      </c>
      <c r="BH89">
        <f t="shared" ca="1" si="66"/>
        <v>0</v>
      </c>
      <c r="BI89">
        <f t="shared" ca="1" si="66"/>
        <v>0</v>
      </c>
      <c r="BJ89">
        <f t="shared" ca="1" si="66"/>
        <v>0</v>
      </c>
      <c r="BM89">
        <f t="shared" si="91"/>
        <v>-1</v>
      </c>
      <c r="BN89" t="e">
        <f t="shared" ca="1" si="92"/>
        <v>#N/A</v>
      </c>
      <c r="BO89" t="e">
        <f t="shared" ca="1" si="93"/>
        <v>#N/A</v>
      </c>
      <c r="BP89" t="e">
        <f t="shared" ca="1" si="94"/>
        <v>#N/A</v>
      </c>
      <c r="BQ89" t="e">
        <f t="shared" ca="1" si="95"/>
        <v>#N/A</v>
      </c>
      <c r="BR89" t="e">
        <f t="shared" ca="1" si="96"/>
        <v>#N/A</v>
      </c>
      <c r="BS89" t="e">
        <f t="shared" ca="1" si="97"/>
        <v>#N/A</v>
      </c>
      <c r="BT89" t="e">
        <f t="shared" ca="1" si="98"/>
        <v>#N/A</v>
      </c>
      <c r="BU89">
        <f t="shared" ca="1" si="99"/>
        <v>0</v>
      </c>
      <c r="BV89">
        <f t="shared" ca="1" si="100"/>
        <v>0</v>
      </c>
      <c r="BW89">
        <f t="shared" ca="1" si="101"/>
        <v>0</v>
      </c>
      <c r="BX89">
        <f t="shared" ca="1" si="102"/>
        <v>0</v>
      </c>
      <c r="BY89">
        <f t="shared" ca="1" si="103"/>
        <v>0</v>
      </c>
      <c r="BZ89">
        <f t="shared" ca="1" si="73"/>
        <v>0</v>
      </c>
      <c r="CA89">
        <f t="shared" ca="1" si="74"/>
        <v>0</v>
      </c>
    </row>
    <row r="90" spans="1:79" x14ac:dyDescent="0.4">
      <c r="A90" t="str">
        <f t="shared" si="61"/>
        <v>X</v>
      </c>
      <c r="B90">
        <v>79</v>
      </c>
      <c r="C90" t="e" cm="1">
        <f t="array" ref="C90">INDEX(auto_Series_Code,B90)</f>
        <v>#REF!</v>
      </c>
      <c r="D90" t="e" cm="1">
        <f t="array" ref="D90">INDEX(auto_tblSeries,$B90,D$11)</f>
        <v>#REF!</v>
      </c>
      <c r="E90" t="e" cm="1">
        <f t="array" ref="E90">INDEX(auto_tblSeries,$B90,E$11)</f>
        <v>#REF!</v>
      </c>
      <c r="F90" t="e" cm="1">
        <f t="array" ref="F90">INDEX(auto_tblSeries,$B90,F$11)</f>
        <v>#REF!</v>
      </c>
      <c r="G90" t="e" cm="1">
        <f t="array" ref="G90">INDEX(auto_tblSeries,$B90,G$11)</f>
        <v>#REF!</v>
      </c>
      <c r="H90" t="e" cm="1">
        <f t="array" ref="H90">INDEX(auto_tblSeries,$B90,H$11)</f>
        <v>#REF!</v>
      </c>
      <c r="I90" t="e">
        <f t="shared" si="70"/>
        <v>#REF!</v>
      </c>
      <c r="K90" t="e" cm="1">
        <f t="array" ref="K90">INDEX(auto_DataFlat_Score,$I90,K$10)</f>
        <v>#REF!</v>
      </c>
      <c r="L90" t="e" cm="1">
        <f t="array" ref="L90">INDEX(auto_DataFlat_Rank,$I90,L$10)</f>
        <v>#REF!</v>
      </c>
      <c r="M90" t="e" cm="1">
        <f t="array" ref="M90">INDEX(auto_DataFlat_DataValue,$I90,M$10)</f>
        <v>#REF!</v>
      </c>
      <c r="N90" t="e" cm="1">
        <f t="array" ref="N90">INDEX(auto_DataFlat_Classification,$I90,M$10)</f>
        <v>#REF!</v>
      </c>
      <c r="O90" t="e" cm="1">
        <f t="array" ref="O90">INDEX(auto_DataFlat_IsEstimate,$I90,O$10)</f>
        <v>#REF!</v>
      </c>
      <c r="P90" t="e" cm="1">
        <f t="array" ref="P90">IF(INDEX(auto_DataFlat_DataYear,$I90,P$10)=0,"n/a",INDEX(auto_DataFlat_DataYear,$I90,P$10))</f>
        <v>#REF!</v>
      </c>
      <c r="R90" t="e">
        <f t="shared" si="71"/>
        <v>#REF!</v>
      </c>
      <c r="S90" t="e" cm="1">
        <f t="array" ref="S90">INDEX(auto_DataFlat_Score,$R90,S$10)</f>
        <v>#REF!</v>
      </c>
      <c r="U90" t="str">
        <f t="shared" si="75"/>
        <v>n/a</v>
      </c>
      <c r="V90">
        <f t="shared" si="76"/>
        <v>1</v>
      </c>
      <c r="W90" t="e">
        <f t="shared" si="77"/>
        <v>#REF!</v>
      </c>
      <c r="X90" t="e">
        <f t="shared" ca="1" si="78"/>
        <v>#N/A</v>
      </c>
      <c r="Y90" t="e">
        <f t="shared" ca="1" si="78"/>
        <v>#N/A</v>
      </c>
      <c r="Z90" t="e">
        <f t="shared" ca="1" si="78"/>
        <v>#N/A</v>
      </c>
      <c r="AB90">
        <f t="shared" ca="1" si="65"/>
        <v>0</v>
      </c>
      <c r="AC90">
        <f t="shared" ca="1" si="65"/>
        <v>0</v>
      </c>
      <c r="AD90">
        <f t="shared" ca="1" si="65"/>
        <v>0</v>
      </c>
      <c r="AF90" t="e">
        <f t="shared" si="79"/>
        <v>#REF!</v>
      </c>
      <c r="AG90" t="e">
        <f t="shared" ca="1" si="80"/>
        <v>#N/A</v>
      </c>
      <c r="AH90" t="e">
        <f t="shared" ca="1" si="80"/>
        <v>#N/A</v>
      </c>
      <c r="AI90" t="e">
        <f t="shared" ca="1" si="80"/>
        <v>#N/A</v>
      </c>
      <c r="AJ90" t="e">
        <f t="shared" ca="1" si="80"/>
        <v>#N/A</v>
      </c>
      <c r="AK90" t="e">
        <f t="shared" ca="1" si="80"/>
        <v>#N/A</v>
      </c>
      <c r="AL90" t="e">
        <f t="shared" ca="1" si="80"/>
        <v>#N/A</v>
      </c>
      <c r="AM90" t="e">
        <f t="shared" ca="1" si="80"/>
        <v>#N/A</v>
      </c>
      <c r="AN90">
        <f t="shared" ca="1" si="81"/>
        <v>0</v>
      </c>
      <c r="AO90">
        <f t="shared" ca="1" si="82"/>
        <v>0</v>
      </c>
      <c r="AP90">
        <f t="shared" ca="1" si="83"/>
        <v>0</v>
      </c>
      <c r="AQ90">
        <f t="shared" ca="1" si="84"/>
        <v>0</v>
      </c>
      <c r="AR90">
        <f t="shared" ca="1" si="85"/>
        <v>0</v>
      </c>
      <c r="AS90">
        <f t="shared" ca="1" si="86"/>
        <v>0</v>
      </c>
      <c r="AT90">
        <f t="shared" ca="1" si="87"/>
        <v>0</v>
      </c>
      <c r="AV90" t="e">
        <f t="shared" si="6"/>
        <v>#REF!</v>
      </c>
      <c r="AW90" t="e" cm="1">
        <f t="array" ref="AW90">INDEX(auto_DataFlat_Score,$AV90,1)</f>
        <v>#REF!</v>
      </c>
      <c r="AX90" t="e" cm="1">
        <f t="array" ref="AX90">INDEX(auto_DataFlat_DataValue,$AV90,1)</f>
        <v>#REF!</v>
      </c>
      <c r="BA90" t="str">
        <f t="shared" si="88"/>
        <v>n/a</v>
      </c>
      <c r="BB90">
        <f t="shared" si="89"/>
        <v>1</v>
      </c>
      <c r="BC90" t="e">
        <f t="shared" si="90"/>
        <v>#REF!</v>
      </c>
      <c r="BD90" t="e">
        <f t="shared" ca="1" si="72"/>
        <v>#N/A</v>
      </c>
      <c r="BE90" t="e">
        <f t="shared" ca="1" si="72"/>
        <v>#N/A</v>
      </c>
      <c r="BF90" t="e">
        <f t="shared" ca="1" si="72"/>
        <v>#N/A</v>
      </c>
      <c r="BH90">
        <f t="shared" ca="1" si="66"/>
        <v>0</v>
      </c>
      <c r="BI90">
        <f t="shared" ca="1" si="66"/>
        <v>0</v>
      </c>
      <c r="BJ90">
        <f t="shared" ca="1" si="66"/>
        <v>0</v>
      </c>
      <c r="BM90" t="e">
        <f t="shared" si="91"/>
        <v>#REF!</v>
      </c>
      <c r="BN90" t="e">
        <f t="shared" ca="1" si="92"/>
        <v>#N/A</v>
      </c>
      <c r="BO90" t="e">
        <f t="shared" ca="1" si="93"/>
        <v>#N/A</v>
      </c>
      <c r="BP90" t="e">
        <f t="shared" ca="1" si="94"/>
        <v>#N/A</v>
      </c>
      <c r="BQ90" t="e">
        <f t="shared" ca="1" si="95"/>
        <v>#N/A</v>
      </c>
      <c r="BR90" t="e">
        <f t="shared" ca="1" si="96"/>
        <v>#N/A</v>
      </c>
      <c r="BS90" t="e">
        <f t="shared" ca="1" si="97"/>
        <v>#N/A</v>
      </c>
      <c r="BT90" t="e">
        <f t="shared" ca="1" si="98"/>
        <v>#N/A</v>
      </c>
      <c r="BU90">
        <f t="shared" ca="1" si="99"/>
        <v>0</v>
      </c>
      <c r="BV90">
        <f t="shared" ca="1" si="100"/>
        <v>0</v>
      </c>
      <c r="BW90">
        <f t="shared" ca="1" si="101"/>
        <v>0</v>
      </c>
      <c r="BX90">
        <f t="shared" ca="1" si="102"/>
        <v>0</v>
      </c>
      <c r="BY90">
        <f t="shared" ca="1" si="103"/>
        <v>0</v>
      </c>
      <c r="BZ90">
        <f t="shared" ca="1" si="73"/>
        <v>0</v>
      </c>
      <c r="CA90">
        <f t="shared" ca="1" si="74"/>
        <v>0</v>
      </c>
    </row>
    <row r="91" spans="1:79" x14ac:dyDescent="0.4">
      <c r="A91" t="str">
        <f t="shared" si="61"/>
        <v>X</v>
      </c>
      <c r="B91">
        <v>80</v>
      </c>
      <c r="C91" t="e" cm="1">
        <f t="array" ref="C91">INDEX(auto_Series_Code,B91)</f>
        <v>#REF!</v>
      </c>
      <c r="D91" t="e" cm="1">
        <f t="array" ref="D91">INDEX(auto_tblSeries,$B91,D$11)</f>
        <v>#REF!</v>
      </c>
      <c r="E91" t="e" cm="1">
        <f t="array" ref="E91">INDEX(auto_tblSeries,$B91,E$11)</f>
        <v>#REF!</v>
      </c>
      <c r="F91" t="e" cm="1">
        <f t="array" ref="F91">INDEX(auto_tblSeries,$B91,F$11)</f>
        <v>#REF!</v>
      </c>
      <c r="G91" t="e" cm="1">
        <f t="array" ref="G91">INDEX(auto_tblSeries,$B91,G$11)</f>
        <v>#REF!</v>
      </c>
      <c r="H91" t="e" cm="1">
        <f t="array" ref="H91">INDEX(auto_tblSeries,$B91,H$11)</f>
        <v>#REF!</v>
      </c>
      <c r="I91" t="e">
        <f t="shared" si="70"/>
        <v>#REF!</v>
      </c>
      <c r="K91" t="e" cm="1">
        <f t="array" ref="K91">INDEX(auto_DataFlat_Score,$I91,K$10)</f>
        <v>#REF!</v>
      </c>
      <c r="L91" t="e" cm="1">
        <f t="array" ref="L91">INDEX(auto_DataFlat_Rank,$I91,L$10)</f>
        <v>#REF!</v>
      </c>
      <c r="M91" t="e" cm="1">
        <f t="array" ref="M91">INDEX(auto_DataFlat_DataValue,$I91,M$10)</f>
        <v>#REF!</v>
      </c>
      <c r="N91" t="e" cm="1">
        <f t="array" ref="N91">INDEX(auto_DataFlat_Classification,$I91,M$10)</f>
        <v>#REF!</v>
      </c>
      <c r="O91" t="e" cm="1">
        <f t="array" ref="O91">INDEX(auto_DataFlat_IsEstimate,$I91,O$10)</f>
        <v>#REF!</v>
      </c>
      <c r="P91" t="e" cm="1">
        <f t="array" ref="P91">IF(INDEX(auto_DataFlat_DataYear,$I91,P$10)=0,"n/a",INDEX(auto_DataFlat_DataYear,$I91,P$10))</f>
        <v>#REF!</v>
      </c>
      <c r="R91" t="e">
        <f t="shared" si="71"/>
        <v>#REF!</v>
      </c>
      <c r="S91" t="e" cm="1">
        <f t="array" ref="S91">INDEX(auto_DataFlat_Score,$R91,S$10)</f>
        <v>#REF!</v>
      </c>
      <c r="U91" t="str">
        <f t="shared" si="75"/>
        <v>n/a</v>
      </c>
      <c r="V91">
        <f t="shared" si="76"/>
        <v>1</v>
      </c>
      <c r="W91" t="e">
        <f t="shared" si="77"/>
        <v>#REF!</v>
      </c>
      <c r="X91" t="e">
        <f t="shared" ca="1" si="78"/>
        <v>#N/A</v>
      </c>
      <c r="Y91" t="e">
        <f t="shared" ca="1" si="78"/>
        <v>#N/A</v>
      </c>
      <c r="Z91" t="e">
        <f t="shared" ca="1" si="78"/>
        <v>#N/A</v>
      </c>
      <c r="AB91">
        <f t="shared" ca="1" si="65"/>
        <v>0</v>
      </c>
      <c r="AC91">
        <f t="shared" ca="1" si="65"/>
        <v>0</v>
      </c>
      <c r="AD91">
        <f t="shared" ca="1" si="65"/>
        <v>0</v>
      </c>
      <c r="AF91" t="e">
        <f t="shared" si="79"/>
        <v>#REF!</v>
      </c>
      <c r="AG91" t="e">
        <f t="shared" ca="1" si="80"/>
        <v>#N/A</v>
      </c>
      <c r="AH91" t="e">
        <f t="shared" ca="1" si="80"/>
        <v>#N/A</v>
      </c>
      <c r="AI91" t="e">
        <f t="shared" ca="1" si="80"/>
        <v>#N/A</v>
      </c>
      <c r="AJ91" t="e">
        <f t="shared" ca="1" si="80"/>
        <v>#N/A</v>
      </c>
      <c r="AK91" t="e">
        <f t="shared" ca="1" si="80"/>
        <v>#N/A</v>
      </c>
      <c r="AL91" t="e">
        <f t="shared" ca="1" si="80"/>
        <v>#N/A</v>
      </c>
      <c r="AM91" t="e">
        <f t="shared" ca="1" si="80"/>
        <v>#N/A</v>
      </c>
      <c r="AN91">
        <f t="shared" ca="1" si="81"/>
        <v>0</v>
      </c>
      <c r="AO91">
        <f t="shared" ca="1" si="82"/>
        <v>0</v>
      </c>
      <c r="AP91">
        <f t="shared" ca="1" si="83"/>
        <v>0</v>
      </c>
      <c r="AQ91">
        <f t="shared" ca="1" si="84"/>
        <v>0</v>
      </c>
      <c r="AR91">
        <f t="shared" ca="1" si="85"/>
        <v>0</v>
      </c>
      <c r="AS91">
        <f t="shared" ca="1" si="86"/>
        <v>0</v>
      </c>
      <c r="AT91">
        <f t="shared" ca="1" si="87"/>
        <v>0</v>
      </c>
      <c r="AV91" t="e">
        <f t="shared" si="6"/>
        <v>#REF!</v>
      </c>
      <c r="AW91" t="e" cm="1">
        <f t="array" ref="AW91">INDEX(auto_DataFlat_Score,$AV91,1)</f>
        <v>#REF!</v>
      </c>
      <c r="AX91" t="e" cm="1">
        <f t="array" ref="AX91">INDEX(auto_DataFlat_DataValue,$AV91,1)</f>
        <v>#REF!</v>
      </c>
      <c r="BA91" t="str">
        <f t="shared" si="88"/>
        <v>n/a</v>
      </c>
      <c r="BB91">
        <f t="shared" si="89"/>
        <v>1</v>
      </c>
      <c r="BC91" t="e">
        <f t="shared" si="90"/>
        <v>#REF!</v>
      </c>
      <c r="BD91" t="e">
        <f t="shared" ca="1" si="72"/>
        <v>#N/A</v>
      </c>
      <c r="BE91" t="e">
        <f t="shared" ca="1" si="72"/>
        <v>#N/A</v>
      </c>
      <c r="BF91" t="e">
        <f t="shared" ca="1" si="72"/>
        <v>#N/A</v>
      </c>
      <c r="BH91">
        <f t="shared" ca="1" si="66"/>
        <v>0</v>
      </c>
      <c r="BI91">
        <f t="shared" ca="1" si="66"/>
        <v>0</v>
      </c>
      <c r="BJ91">
        <f t="shared" ca="1" si="66"/>
        <v>0</v>
      </c>
      <c r="BM91" t="e">
        <f t="shared" si="91"/>
        <v>#REF!</v>
      </c>
      <c r="BN91" t="e">
        <f t="shared" ca="1" si="92"/>
        <v>#N/A</v>
      </c>
      <c r="BO91" t="e">
        <f t="shared" ca="1" si="93"/>
        <v>#N/A</v>
      </c>
      <c r="BP91" t="e">
        <f t="shared" ca="1" si="94"/>
        <v>#N/A</v>
      </c>
      <c r="BQ91" t="e">
        <f t="shared" ca="1" si="95"/>
        <v>#N/A</v>
      </c>
      <c r="BR91" t="e">
        <f t="shared" ca="1" si="96"/>
        <v>#N/A</v>
      </c>
      <c r="BS91" t="e">
        <f t="shared" ca="1" si="97"/>
        <v>#N/A</v>
      </c>
      <c r="BT91" t="e">
        <f t="shared" ca="1" si="98"/>
        <v>#N/A</v>
      </c>
      <c r="BU91">
        <f t="shared" ca="1" si="99"/>
        <v>0</v>
      </c>
      <c r="BV91">
        <f t="shared" ca="1" si="100"/>
        <v>0</v>
      </c>
      <c r="BW91">
        <f t="shared" ca="1" si="101"/>
        <v>0</v>
      </c>
      <c r="BX91">
        <f t="shared" ca="1" si="102"/>
        <v>0</v>
      </c>
      <c r="BY91">
        <f t="shared" ca="1" si="103"/>
        <v>0</v>
      </c>
      <c r="BZ91">
        <f t="shared" ca="1" si="73"/>
        <v>0</v>
      </c>
      <c r="CA91">
        <f t="shared" ca="1" si="74"/>
        <v>0</v>
      </c>
    </row>
    <row r="92" spans="1:79" x14ac:dyDescent="0.4">
      <c r="A92" t="str">
        <f t="shared" si="61"/>
        <v>X</v>
      </c>
      <c r="B92">
        <v>81</v>
      </c>
      <c r="C92" t="e" cm="1">
        <f t="array" ref="C92">INDEX(auto_Series_Code,B92)</f>
        <v>#REF!</v>
      </c>
      <c r="D92" t="e" cm="1">
        <f t="array" ref="D92">INDEX(auto_tblSeries,$B92,D$11)</f>
        <v>#REF!</v>
      </c>
      <c r="E92" t="e" cm="1">
        <f t="array" ref="E92">INDEX(auto_tblSeries,$B92,E$11)</f>
        <v>#REF!</v>
      </c>
      <c r="F92" t="e" cm="1">
        <f t="array" ref="F92">INDEX(auto_tblSeries,$B92,F$11)</f>
        <v>#REF!</v>
      </c>
      <c r="G92" t="e" cm="1">
        <f t="array" ref="G92">INDEX(auto_tblSeries,$B92,G$11)</f>
        <v>#REF!</v>
      </c>
      <c r="H92" t="e" cm="1">
        <f t="array" ref="H92">INDEX(auto_tblSeries,$B92,H$11)</f>
        <v>#REF!</v>
      </c>
      <c r="I92" t="e">
        <f t="shared" si="70"/>
        <v>#REF!</v>
      </c>
      <c r="K92" t="e" cm="1">
        <f t="array" ref="K92">INDEX(auto_DataFlat_Score,$I92,K$10)</f>
        <v>#REF!</v>
      </c>
      <c r="L92" t="e" cm="1">
        <f t="array" ref="L92">INDEX(auto_DataFlat_Rank,$I92,L$10)</f>
        <v>#REF!</v>
      </c>
      <c r="M92" t="e" cm="1">
        <f t="array" ref="M92">INDEX(auto_DataFlat_DataValue,$I92,M$10)</f>
        <v>#REF!</v>
      </c>
      <c r="N92" t="e" cm="1">
        <f t="array" ref="N92">INDEX(auto_DataFlat_Classification,$I92,M$10)</f>
        <v>#REF!</v>
      </c>
      <c r="O92" t="e" cm="1">
        <f t="array" ref="O92">INDEX(auto_DataFlat_IsEstimate,$I92,O$10)</f>
        <v>#REF!</v>
      </c>
      <c r="P92" t="e" cm="1">
        <f t="array" ref="P92">IF(INDEX(auto_DataFlat_DataYear,$I92,P$10)=0,"n/a",INDEX(auto_DataFlat_DataYear,$I92,P$10))</f>
        <v>#REF!</v>
      </c>
      <c r="R92" t="e">
        <f t="shared" si="71"/>
        <v>#REF!</v>
      </c>
      <c r="S92" t="e" cm="1">
        <f t="array" ref="S92">INDEX(auto_DataFlat_Score,$R92,S$10)</f>
        <v>#REF!</v>
      </c>
      <c r="U92" t="str">
        <f t="shared" si="75"/>
        <v>n/a</v>
      </c>
      <c r="V92">
        <f t="shared" si="76"/>
        <v>1</v>
      </c>
      <c r="W92" t="e">
        <f t="shared" si="77"/>
        <v>#REF!</v>
      </c>
      <c r="X92" t="e">
        <f t="shared" ca="1" si="78"/>
        <v>#N/A</v>
      </c>
      <c r="Y92" t="e">
        <f t="shared" ca="1" si="78"/>
        <v>#N/A</v>
      </c>
      <c r="Z92" t="e">
        <f t="shared" ca="1" si="78"/>
        <v>#N/A</v>
      </c>
      <c r="AB92">
        <f t="shared" ca="1" si="65"/>
        <v>0</v>
      </c>
      <c r="AC92">
        <f t="shared" ca="1" si="65"/>
        <v>0</v>
      </c>
      <c r="AD92">
        <f t="shared" ca="1" si="65"/>
        <v>0</v>
      </c>
      <c r="AF92" t="e">
        <f t="shared" si="79"/>
        <v>#REF!</v>
      </c>
      <c r="AG92" t="e">
        <f t="shared" ca="1" si="80"/>
        <v>#N/A</v>
      </c>
      <c r="AH92" t="e">
        <f t="shared" ca="1" si="80"/>
        <v>#N/A</v>
      </c>
      <c r="AI92" t="e">
        <f t="shared" ca="1" si="80"/>
        <v>#N/A</v>
      </c>
      <c r="AJ92" t="e">
        <f t="shared" ca="1" si="80"/>
        <v>#N/A</v>
      </c>
      <c r="AK92" t="e">
        <f t="shared" ca="1" si="80"/>
        <v>#N/A</v>
      </c>
      <c r="AL92" t="e">
        <f t="shared" ca="1" si="80"/>
        <v>#N/A</v>
      </c>
      <c r="AM92" t="e">
        <f t="shared" ca="1" si="80"/>
        <v>#N/A</v>
      </c>
      <c r="AN92">
        <f t="shared" ca="1" si="81"/>
        <v>0</v>
      </c>
      <c r="AO92">
        <f t="shared" ca="1" si="82"/>
        <v>0</v>
      </c>
      <c r="AP92">
        <f t="shared" ca="1" si="83"/>
        <v>0</v>
      </c>
      <c r="AQ92">
        <f t="shared" ca="1" si="84"/>
        <v>0</v>
      </c>
      <c r="AR92">
        <f t="shared" ca="1" si="85"/>
        <v>0</v>
      </c>
      <c r="AS92">
        <f t="shared" ca="1" si="86"/>
        <v>0</v>
      </c>
      <c r="AT92">
        <f t="shared" ca="1" si="87"/>
        <v>0</v>
      </c>
      <c r="AV92" t="e">
        <f t="shared" si="6"/>
        <v>#REF!</v>
      </c>
      <c r="AW92" t="e" cm="1">
        <f t="array" ref="AW92">INDEX(auto_DataFlat_Score,$AV92,1)</f>
        <v>#REF!</v>
      </c>
      <c r="AX92" t="e" cm="1">
        <f t="array" ref="AX92">INDEX(auto_DataFlat_DataValue,$AV92,1)</f>
        <v>#REF!</v>
      </c>
      <c r="BA92" t="str">
        <f t="shared" si="88"/>
        <v>n/a</v>
      </c>
      <c r="BB92">
        <f t="shared" si="89"/>
        <v>1</v>
      </c>
      <c r="BC92" t="e">
        <f t="shared" si="90"/>
        <v>#REF!</v>
      </c>
      <c r="BD92" t="e">
        <f t="shared" ref="BD92:BF107" ca="1" si="104">BD91+MATCH(BD$10,OFFSET($BC$12,BD91,0,200,1),0)</f>
        <v>#N/A</v>
      </c>
      <c r="BE92" t="e">
        <f t="shared" ca="1" si="104"/>
        <v>#N/A</v>
      </c>
      <c r="BF92" t="e">
        <f t="shared" ca="1" si="104"/>
        <v>#N/A</v>
      </c>
      <c r="BH92">
        <f t="shared" ca="1" si="66"/>
        <v>0</v>
      </c>
      <c r="BI92">
        <f t="shared" ca="1" si="66"/>
        <v>0</v>
      </c>
      <c r="BJ92">
        <f t="shared" ca="1" si="66"/>
        <v>0</v>
      </c>
      <c r="BM92" t="e">
        <f t="shared" si="91"/>
        <v>#REF!</v>
      </c>
      <c r="BN92" t="e">
        <f t="shared" ca="1" si="92"/>
        <v>#N/A</v>
      </c>
      <c r="BO92" t="e">
        <f t="shared" ca="1" si="93"/>
        <v>#N/A</v>
      </c>
      <c r="BP92" t="e">
        <f t="shared" ca="1" si="94"/>
        <v>#N/A</v>
      </c>
      <c r="BQ92" t="e">
        <f t="shared" ca="1" si="95"/>
        <v>#N/A</v>
      </c>
      <c r="BR92" t="e">
        <f t="shared" ca="1" si="96"/>
        <v>#N/A</v>
      </c>
      <c r="BS92" t="e">
        <f t="shared" ca="1" si="97"/>
        <v>#N/A</v>
      </c>
      <c r="BT92" t="e">
        <f t="shared" ca="1" si="98"/>
        <v>#N/A</v>
      </c>
      <c r="BU92">
        <f t="shared" ca="1" si="99"/>
        <v>0</v>
      </c>
      <c r="BV92">
        <f t="shared" ca="1" si="100"/>
        <v>0</v>
      </c>
      <c r="BW92">
        <f t="shared" ca="1" si="101"/>
        <v>0</v>
      </c>
      <c r="BX92">
        <f t="shared" ca="1" si="102"/>
        <v>0</v>
      </c>
      <c r="BY92">
        <f t="shared" ca="1" si="103"/>
        <v>0</v>
      </c>
      <c r="BZ92">
        <f t="shared" ca="1" si="73"/>
        <v>0</v>
      </c>
      <c r="CA92">
        <f t="shared" ca="1" si="74"/>
        <v>0</v>
      </c>
    </row>
    <row r="93" spans="1:79" x14ac:dyDescent="0.4">
      <c r="A93" t="str">
        <f t="shared" si="61"/>
        <v>X</v>
      </c>
      <c r="B93">
        <v>82</v>
      </c>
      <c r="C93" t="e" cm="1">
        <f t="array" ref="C93">INDEX(auto_Series_Code,B93)</f>
        <v>#REF!</v>
      </c>
      <c r="D93" t="e" cm="1">
        <f t="array" ref="D93">INDEX(auto_tblSeries,$B93,D$11)</f>
        <v>#REF!</v>
      </c>
      <c r="E93" t="e" cm="1">
        <f t="array" ref="E93">INDEX(auto_tblSeries,$B93,E$11)</f>
        <v>#REF!</v>
      </c>
      <c r="F93" t="e" cm="1">
        <f t="array" ref="F93">INDEX(auto_tblSeries,$B93,F$11)</f>
        <v>#REF!</v>
      </c>
      <c r="G93" t="e" cm="1">
        <f t="array" ref="G93">INDEX(auto_tblSeries,$B93,G$11)</f>
        <v>#REF!</v>
      </c>
      <c r="H93" t="e" cm="1">
        <f t="array" ref="H93">INDEX(auto_tblSeries,$B93,H$11)</f>
        <v>#REF!</v>
      </c>
      <c r="I93" t="e">
        <f t="shared" si="70"/>
        <v>#REF!</v>
      </c>
      <c r="K93" t="e" cm="1">
        <f t="array" ref="K93">INDEX(auto_DataFlat_Score,$I93,K$10)</f>
        <v>#REF!</v>
      </c>
      <c r="L93" t="e" cm="1">
        <f t="array" ref="L93">INDEX(auto_DataFlat_Rank,$I93,L$10)</f>
        <v>#REF!</v>
      </c>
      <c r="M93" t="e" cm="1">
        <f t="array" ref="M93">INDEX(auto_DataFlat_DataValue,$I93,M$10)</f>
        <v>#REF!</v>
      </c>
      <c r="N93" t="e" cm="1">
        <f t="array" ref="N93">INDEX(auto_DataFlat_Classification,$I93,M$10)</f>
        <v>#REF!</v>
      </c>
      <c r="O93" t="e" cm="1">
        <f t="array" ref="O93">INDEX(auto_DataFlat_IsEstimate,$I93,O$10)</f>
        <v>#REF!</v>
      </c>
      <c r="P93" t="e" cm="1">
        <f t="array" ref="P93">IF(INDEX(auto_DataFlat_DataYear,$I93,P$10)=0,"n/a",INDEX(auto_DataFlat_DataYear,$I93,P$10))</f>
        <v>#REF!</v>
      </c>
      <c r="R93" t="e">
        <f t="shared" si="71"/>
        <v>#REF!</v>
      </c>
      <c r="S93" t="e" cm="1">
        <f t="array" ref="S93">INDEX(auto_DataFlat_Score,$R93,S$10)</f>
        <v>#REF!</v>
      </c>
      <c r="U93" t="str">
        <f t="shared" si="75"/>
        <v>n/a</v>
      </c>
      <c r="V93">
        <f t="shared" si="76"/>
        <v>1</v>
      </c>
      <c r="W93" t="e">
        <f t="shared" si="77"/>
        <v>#REF!</v>
      </c>
      <c r="X93" t="e">
        <f t="shared" ref="X93:Z108" ca="1" si="105">X92+MATCH(X$10,OFFSET($W$12,X92,0,300,1),0)</f>
        <v>#N/A</v>
      </c>
      <c r="Y93" t="e">
        <f t="shared" ca="1" si="105"/>
        <v>#N/A</v>
      </c>
      <c r="Z93" t="e">
        <f t="shared" ca="1" si="105"/>
        <v>#N/A</v>
      </c>
      <c r="AB93">
        <f t="shared" ca="1" si="65"/>
        <v>0</v>
      </c>
      <c r="AC93">
        <f t="shared" ca="1" si="65"/>
        <v>0</v>
      </c>
      <c r="AD93">
        <f t="shared" ca="1" si="65"/>
        <v>0</v>
      </c>
      <c r="AF93" t="e">
        <f t="shared" si="79"/>
        <v>#REF!</v>
      </c>
      <c r="AG93" t="e">
        <f t="shared" ref="AG93:AM108" ca="1" si="106">IFERROR(AG92+MATCH(AG$10,OFFSET($AF$12,AG92,0,300-AG92,1),0),NA())</f>
        <v>#N/A</v>
      </c>
      <c r="AH93" t="e">
        <f t="shared" ca="1" si="106"/>
        <v>#N/A</v>
      </c>
      <c r="AI93" t="e">
        <f t="shared" ca="1" si="106"/>
        <v>#N/A</v>
      </c>
      <c r="AJ93" t="e">
        <f t="shared" ca="1" si="106"/>
        <v>#N/A</v>
      </c>
      <c r="AK93" t="e">
        <f t="shared" ca="1" si="106"/>
        <v>#N/A</v>
      </c>
      <c r="AL93" t="e">
        <f t="shared" ca="1" si="106"/>
        <v>#N/A</v>
      </c>
      <c r="AM93" t="e">
        <f t="shared" ca="1" si="106"/>
        <v>#N/A</v>
      </c>
      <c r="AN93">
        <f t="shared" ca="1" si="81"/>
        <v>0</v>
      </c>
      <c r="AO93">
        <f t="shared" ca="1" si="82"/>
        <v>0</v>
      </c>
      <c r="AP93">
        <f t="shared" ca="1" si="83"/>
        <v>0</v>
      </c>
      <c r="AQ93">
        <f t="shared" ca="1" si="84"/>
        <v>0</v>
      </c>
      <c r="AR93">
        <f t="shared" ca="1" si="85"/>
        <v>0</v>
      </c>
      <c r="AS93">
        <f t="shared" ca="1" si="86"/>
        <v>0</v>
      </c>
      <c r="AT93">
        <f t="shared" ca="1" si="87"/>
        <v>0</v>
      </c>
      <c r="AV93" t="e">
        <f t="shared" si="6"/>
        <v>#REF!</v>
      </c>
      <c r="AW93" t="e" cm="1">
        <f t="array" ref="AW93">INDEX(auto_DataFlat_Score,$AV93,1)</f>
        <v>#REF!</v>
      </c>
      <c r="AX93" t="e" cm="1">
        <f t="array" ref="AX93">INDEX(auto_DataFlat_DataValue,$AV93,1)</f>
        <v>#REF!</v>
      </c>
      <c r="BA93" t="str">
        <f t="shared" si="88"/>
        <v>n/a</v>
      </c>
      <c r="BB93">
        <f t="shared" si="89"/>
        <v>1</v>
      </c>
      <c r="BC93" t="e">
        <f t="shared" si="90"/>
        <v>#REF!</v>
      </c>
      <c r="BD93" t="e">
        <f t="shared" ca="1" si="104"/>
        <v>#N/A</v>
      </c>
      <c r="BE93" t="e">
        <f t="shared" ca="1" si="104"/>
        <v>#N/A</v>
      </c>
      <c r="BF93" t="e">
        <f t="shared" ca="1" si="104"/>
        <v>#N/A</v>
      </c>
      <c r="BH93">
        <f t="shared" ca="1" si="66"/>
        <v>0</v>
      </c>
      <c r="BI93">
        <f t="shared" ca="1" si="66"/>
        <v>0</v>
      </c>
      <c r="BJ93">
        <f t="shared" ca="1" si="66"/>
        <v>0</v>
      </c>
      <c r="BM93" t="e">
        <f t="shared" si="91"/>
        <v>#REF!</v>
      </c>
      <c r="BN93" t="e">
        <f t="shared" ca="1" si="92"/>
        <v>#N/A</v>
      </c>
      <c r="BO93" t="e">
        <f t="shared" ca="1" si="93"/>
        <v>#N/A</v>
      </c>
      <c r="BP93" t="e">
        <f t="shared" ca="1" si="94"/>
        <v>#N/A</v>
      </c>
      <c r="BQ93" t="e">
        <f t="shared" ca="1" si="95"/>
        <v>#N/A</v>
      </c>
      <c r="BR93" t="e">
        <f t="shared" ca="1" si="96"/>
        <v>#N/A</v>
      </c>
      <c r="BS93" t="e">
        <f t="shared" ca="1" si="97"/>
        <v>#N/A</v>
      </c>
      <c r="BT93" t="e">
        <f t="shared" ca="1" si="98"/>
        <v>#N/A</v>
      </c>
      <c r="BU93">
        <f t="shared" ca="1" si="99"/>
        <v>0</v>
      </c>
      <c r="BV93">
        <f t="shared" ca="1" si="100"/>
        <v>0</v>
      </c>
      <c r="BW93">
        <f t="shared" ca="1" si="101"/>
        <v>0</v>
      </c>
      <c r="BX93">
        <f t="shared" ca="1" si="102"/>
        <v>0</v>
      </c>
      <c r="BY93">
        <f t="shared" ca="1" si="103"/>
        <v>0</v>
      </c>
      <c r="BZ93">
        <f t="shared" ca="1" si="73"/>
        <v>0</v>
      </c>
      <c r="CA93">
        <f t="shared" ca="1" si="74"/>
        <v>0</v>
      </c>
    </row>
    <row r="94" spans="1:79" x14ac:dyDescent="0.4">
      <c r="A94" t="str">
        <f t="shared" si="61"/>
        <v>X</v>
      </c>
      <c r="B94">
        <v>83</v>
      </c>
      <c r="C94" t="e" cm="1">
        <f t="array" ref="C94">INDEX(auto_Series_Code,B94)</f>
        <v>#REF!</v>
      </c>
      <c r="D94" t="e" cm="1">
        <f t="array" ref="D94">INDEX(auto_tblSeries,$B94,D$11)</f>
        <v>#REF!</v>
      </c>
      <c r="E94" t="e" cm="1">
        <f t="array" ref="E94">INDEX(auto_tblSeries,$B94,E$11)</f>
        <v>#REF!</v>
      </c>
      <c r="F94" t="e" cm="1">
        <f t="array" ref="F94">INDEX(auto_tblSeries,$B94,F$11)</f>
        <v>#REF!</v>
      </c>
      <c r="G94" t="e" cm="1">
        <f t="array" ref="G94">INDEX(auto_tblSeries,$B94,G$11)</f>
        <v>#REF!</v>
      </c>
      <c r="H94" t="e" cm="1">
        <f t="array" ref="H94">INDEX(auto_tblSeries,$B94,H$11)</f>
        <v>#REF!</v>
      </c>
      <c r="I94" t="e">
        <f t="shared" si="70"/>
        <v>#REF!</v>
      </c>
      <c r="K94" t="e" cm="1">
        <f t="array" ref="K94">INDEX(auto_DataFlat_Score,$I94,K$10)</f>
        <v>#REF!</v>
      </c>
      <c r="L94" t="e" cm="1">
        <f t="array" ref="L94">INDEX(auto_DataFlat_Rank,$I94,L$10)</f>
        <v>#REF!</v>
      </c>
      <c r="M94" t="e" cm="1">
        <f t="array" ref="M94">INDEX(auto_DataFlat_DataValue,$I94,M$10)</f>
        <v>#REF!</v>
      </c>
      <c r="N94" t="e" cm="1">
        <f t="array" ref="N94">INDEX(auto_DataFlat_Classification,$I94,M$10)</f>
        <v>#REF!</v>
      </c>
      <c r="O94" t="e" cm="1">
        <f t="array" ref="O94">INDEX(auto_DataFlat_IsEstimate,$I94,O$10)</f>
        <v>#REF!</v>
      </c>
      <c r="P94" t="e" cm="1">
        <f t="array" ref="P94">IF(INDEX(auto_DataFlat_DataYear,$I94,P$10)=0,"n/a",INDEX(auto_DataFlat_DataYear,$I94,P$10))</f>
        <v>#REF!</v>
      </c>
      <c r="R94" t="e">
        <f t="shared" si="71"/>
        <v>#REF!</v>
      </c>
      <c r="S94" t="e" cm="1">
        <f t="array" ref="S94">INDEX(auto_DataFlat_Score,$R94,S$10)</f>
        <v>#REF!</v>
      </c>
      <c r="U94" t="str">
        <f t="shared" si="75"/>
        <v>n/a</v>
      </c>
      <c r="V94">
        <f t="shared" si="76"/>
        <v>1</v>
      </c>
      <c r="W94" t="e">
        <f t="shared" si="77"/>
        <v>#REF!</v>
      </c>
      <c r="X94" t="e">
        <f t="shared" ca="1" si="105"/>
        <v>#N/A</v>
      </c>
      <c r="Y94" t="e">
        <f t="shared" ca="1" si="105"/>
        <v>#N/A</v>
      </c>
      <c r="Z94" t="e">
        <f t="shared" ca="1" si="105"/>
        <v>#N/A</v>
      </c>
      <c r="AB94">
        <f t="shared" ca="1" si="65"/>
        <v>0</v>
      </c>
      <c r="AC94">
        <f t="shared" ca="1" si="65"/>
        <v>0</v>
      </c>
      <c r="AD94">
        <f t="shared" ca="1" si="65"/>
        <v>0</v>
      </c>
      <c r="AF94" t="e">
        <f t="shared" si="79"/>
        <v>#REF!</v>
      </c>
      <c r="AG94" t="e">
        <f t="shared" ca="1" si="106"/>
        <v>#N/A</v>
      </c>
      <c r="AH94" t="e">
        <f t="shared" ca="1" si="106"/>
        <v>#N/A</v>
      </c>
      <c r="AI94" t="e">
        <f t="shared" ca="1" si="106"/>
        <v>#N/A</v>
      </c>
      <c r="AJ94" t="e">
        <f t="shared" ca="1" si="106"/>
        <v>#N/A</v>
      </c>
      <c r="AK94" t="e">
        <f t="shared" ca="1" si="106"/>
        <v>#N/A</v>
      </c>
      <c r="AL94" t="e">
        <f t="shared" ca="1" si="106"/>
        <v>#N/A</v>
      </c>
      <c r="AM94" t="e">
        <f t="shared" ca="1" si="106"/>
        <v>#N/A</v>
      </c>
      <c r="AN94">
        <f t="shared" ca="1" si="81"/>
        <v>0</v>
      </c>
      <c r="AO94">
        <f t="shared" ca="1" si="82"/>
        <v>0</v>
      </c>
      <c r="AP94">
        <f t="shared" ca="1" si="83"/>
        <v>0</v>
      </c>
      <c r="AQ94">
        <f t="shared" ca="1" si="84"/>
        <v>0</v>
      </c>
      <c r="AR94">
        <f t="shared" ca="1" si="85"/>
        <v>0</v>
      </c>
      <c r="AS94">
        <f t="shared" ca="1" si="86"/>
        <v>0</v>
      </c>
      <c r="AT94">
        <f t="shared" ca="1" si="87"/>
        <v>0</v>
      </c>
      <c r="AV94" t="e">
        <f t="shared" si="6"/>
        <v>#REF!</v>
      </c>
      <c r="AW94" t="e" cm="1">
        <f t="array" ref="AW94">INDEX(auto_DataFlat_Score,$AV94,1)</f>
        <v>#REF!</v>
      </c>
      <c r="AX94" t="e" cm="1">
        <f t="array" ref="AX94">INDEX(auto_DataFlat_DataValue,$AV94,1)</f>
        <v>#REF!</v>
      </c>
      <c r="BA94" t="str">
        <f t="shared" si="88"/>
        <v>n/a</v>
      </c>
      <c r="BB94">
        <f t="shared" si="89"/>
        <v>1</v>
      </c>
      <c r="BC94" t="e">
        <f t="shared" si="90"/>
        <v>#REF!</v>
      </c>
      <c r="BD94" t="e">
        <f t="shared" ca="1" si="104"/>
        <v>#N/A</v>
      </c>
      <c r="BE94" t="e">
        <f t="shared" ca="1" si="104"/>
        <v>#N/A</v>
      </c>
      <c r="BF94" t="e">
        <f t="shared" ca="1" si="104"/>
        <v>#N/A</v>
      </c>
      <c r="BH94">
        <f t="shared" ca="1" si="66"/>
        <v>0</v>
      </c>
      <c r="BI94">
        <f t="shared" ca="1" si="66"/>
        <v>0</v>
      </c>
      <c r="BJ94">
        <f t="shared" ca="1" si="66"/>
        <v>0</v>
      </c>
      <c r="BM94" t="e">
        <f t="shared" si="91"/>
        <v>#REF!</v>
      </c>
      <c r="BN94" t="e">
        <f t="shared" ca="1" si="92"/>
        <v>#N/A</v>
      </c>
      <c r="BO94" t="e">
        <f t="shared" ca="1" si="93"/>
        <v>#N/A</v>
      </c>
      <c r="BP94" t="e">
        <f t="shared" ca="1" si="94"/>
        <v>#N/A</v>
      </c>
      <c r="BQ94" t="e">
        <f t="shared" ca="1" si="95"/>
        <v>#N/A</v>
      </c>
      <c r="BR94" t="e">
        <f t="shared" ca="1" si="96"/>
        <v>#N/A</v>
      </c>
      <c r="BS94" t="e">
        <f t="shared" ca="1" si="97"/>
        <v>#N/A</v>
      </c>
      <c r="BT94" t="e">
        <f t="shared" ca="1" si="98"/>
        <v>#N/A</v>
      </c>
      <c r="BU94">
        <f t="shared" ca="1" si="99"/>
        <v>0</v>
      </c>
      <c r="BV94">
        <f t="shared" ca="1" si="100"/>
        <v>0</v>
      </c>
      <c r="BW94">
        <f t="shared" ca="1" si="101"/>
        <v>0</v>
      </c>
      <c r="BX94">
        <f t="shared" ca="1" si="102"/>
        <v>0</v>
      </c>
      <c r="BY94">
        <f t="shared" ca="1" si="103"/>
        <v>0</v>
      </c>
      <c r="BZ94">
        <f t="shared" ca="1" si="73"/>
        <v>0</v>
      </c>
      <c r="CA94">
        <f t="shared" ca="1" si="74"/>
        <v>0</v>
      </c>
    </row>
    <row r="95" spans="1:79" x14ac:dyDescent="0.4">
      <c r="A95" t="str">
        <f t="shared" si="61"/>
        <v>X</v>
      </c>
      <c r="B95">
        <v>84</v>
      </c>
      <c r="C95" t="e" cm="1">
        <f t="array" ref="C95">INDEX(auto_Series_Code,B95)</f>
        <v>#REF!</v>
      </c>
      <c r="D95" t="e" cm="1">
        <f t="array" ref="D95">INDEX(auto_tblSeries,$B95,D$11)</f>
        <v>#REF!</v>
      </c>
      <c r="E95" t="e" cm="1">
        <f t="array" ref="E95">INDEX(auto_tblSeries,$B95,E$11)</f>
        <v>#REF!</v>
      </c>
      <c r="F95" t="e" cm="1">
        <f t="array" ref="F95">INDEX(auto_tblSeries,$B95,F$11)</f>
        <v>#REF!</v>
      </c>
      <c r="G95" t="e" cm="1">
        <f t="array" ref="G95">INDEX(auto_tblSeries,$B95,G$11)</f>
        <v>#REF!</v>
      </c>
      <c r="H95" t="e" cm="1">
        <f t="array" ref="H95">INDEX(auto_tblSeries,$B95,H$11)</f>
        <v>#REF!</v>
      </c>
      <c r="I95" t="e">
        <f t="shared" si="70"/>
        <v>#REF!</v>
      </c>
      <c r="K95" t="e" cm="1">
        <f t="array" ref="K95">INDEX(auto_DataFlat_Score,$I95,K$10)</f>
        <v>#REF!</v>
      </c>
      <c r="L95" t="e" cm="1">
        <f t="array" ref="L95">INDEX(auto_DataFlat_Rank,$I95,L$10)</f>
        <v>#REF!</v>
      </c>
      <c r="M95" t="e" cm="1">
        <f t="array" ref="M95">INDEX(auto_DataFlat_DataValue,$I95,M$10)</f>
        <v>#REF!</v>
      </c>
      <c r="N95" t="e" cm="1">
        <f t="array" ref="N95">INDEX(auto_DataFlat_Classification,$I95,M$10)</f>
        <v>#REF!</v>
      </c>
      <c r="O95" t="e" cm="1">
        <f t="array" ref="O95">INDEX(auto_DataFlat_IsEstimate,$I95,O$10)</f>
        <v>#REF!</v>
      </c>
      <c r="P95" t="e" cm="1">
        <f t="array" ref="P95">IF(INDEX(auto_DataFlat_DataYear,$I95,P$10)=0,"n/a",INDEX(auto_DataFlat_DataYear,$I95,P$10))</f>
        <v>#REF!</v>
      </c>
      <c r="R95" t="e">
        <f t="shared" si="71"/>
        <v>#REF!</v>
      </c>
      <c r="S95" t="e" cm="1">
        <f t="array" ref="S95">INDEX(auto_DataFlat_Score,$R95,S$10)</f>
        <v>#REF!</v>
      </c>
      <c r="U95" t="str">
        <f t="shared" si="75"/>
        <v>n/a</v>
      </c>
      <c r="V95">
        <f t="shared" si="76"/>
        <v>1</v>
      </c>
      <c r="W95" t="e">
        <f t="shared" si="77"/>
        <v>#REF!</v>
      </c>
      <c r="X95" t="e">
        <f t="shared" ca="1" si="105"/>
        <v>#N/A</v>
      </c>
      <c r="Y95" t="e">
        <f t="shared" ca="1" si="105"/>
        <v>#N/A</v>
      </c>
      <c r="Z95" t="e">
        <f t="shared" ca="1" si="105"/>
        <v>#N/A</v>
      </c>
      <c r="AB95">
        <f t="shared" ca="1" si="65"/>
        <v>0</v>
      </c>
      <c r="AC95">
        <f t="shared" ca="1" si="65"/>
        <v>0</v>
      </c>
      <c r="AD95">
        <f t="shared" ca="1" si="65"/>
        <v>0</v>
      </c>
      <c r="AF95" t="e">
        <f t="shared" si="79"/>
        <v>#REF!</v>
      </c>
      <c r="AG95" t="e">
        <f t="shared" ca="1" si="106"/>
        <v>#N/A</v>
      </c>
      <c r="AH95" t="e">
        <f t="shared" ca="1" si="106"/>
        <v>#N/A</v>
      </c>
      <c r="AI95" t="e">
        <f t="shared" ca="1" si="106"/>
        <v>#N/A</v>
      </c>
      <c r="AJ95" t="e">
        <f t="shared" ca="1" si="106"/>
        <v>#N/A</v>
      </c>
      <c r="AK95" t="e">
        <f t="shared" ca="1" si="106"/>
        <v>#N/A</v>
      </c>
      <c r="AL95" t="e">
        <f t="shared" ca="1" si="106"/>
        <v>#N/A</v>
      </c>
      <c r="AM95" t="e">
        <f t="shared" ca="1" si="106"/>
        <v>#N/A</v>
      </c>
      <c r="AN95">
        <f t="shared" ca="1" si="81"/>
        <v>0</v>
      </c>
      <c r="AO95">
        <f t="shared" ca="1" si="82"/>
        <v>0</v>
      </c>
      <c r="AP95">
        <f t="shared" ca="1" si="83"/>
        <v>0</v>
      </c>
      <c r="AQ95">
        <f t="shared" ca="1" si="84"/>
        <v>0</v>
      </c>
      <c r="AR95">
        <f t="shared" ca="1" si="85"/>
        <v>0</v>
      </c>
      <c r="AS95">
        <f t="shared" ca="1" si="86"/>
        <v>0</v>
      </c>
      <c r="AT95">
        <f t="shared" ca="1" si="87"/>
        <v>0</v>
      </c>
      <c r="AV95" t="e">
        <f t="shared" si="6"/>
        <v>#REF!</v>
      </c>
      <c r="AW95" t="e" cm="1">
        <f t="array" ref="AW95">INDEX(auto_DataFlat_Score,$AV95,1)</f>
        <v>#REF!</v>
      </c>
      <c r="AX95" t="e" cm="1">
        <f t="array" ref="AX95">INDEX(auto_DataFlat_DataValue,$AV95,1)</f>
        <v>#REF!</v>
      </c>
      <c r="BA95" t="str">
        <f t="shared" si="88"/>
        <v>n/a</v>
      </c>
      <c r="BB95">
        <f t="shared" si="89"/>
        <v>1</v>
      </c>
      <c r="BC95" t="e">
        <f t="shared" si="90"/>
        <v>#REF!</v>
      </c>
      <c r="BD95" t="e">
        <f t="shared" ca="1" si="104"/>
        <v>#N/A</v>
      </c>
      <c r="BE95" t="e">
        <f t="shared" ca="1" si="104"/>
        <v>#N/A</v>
      </c>
      <c r="BF95" t="e">
        <f t="shared" ca="1" si="104"/>
        <v>#N/A</v>
      </c>
      <c r="BH95">
        <f t="shared" ca="1" si="66"/>
        <v>0</v>
      </c>
      <c r="BI95">
        <f t="shared" ca="1" si="66"/>
        <v>0</v>
      </c>
      <c r="BJ95">
        <f t="shared" ca="1" si="66"/>
        <v>0</v>
      </c>
      <c r="BM95" t="e">
        <f t="shared" si="91"/>
        <v>#REF!</v>
      </c>
      <c r="BN95" t="e">
        <f t="shared" ca="1" si="92"/>
        <v>#N/A</v>
      </c>
      <c r="BO95" t="e">
        <f t="shared" ca="1" si="93"/>
        <v>#N/A</v>
      </c>
      <c r="BP95" t="e">
        <f t="shared" ca="1" si="94"/>
        <v>#N/A</v>
      </c>
      <c r="BQ95" t="e">
        <f t="shared" ca="1" si="95"/>
        <v>#N/A</v>
      </c>
      <c r="BR95" t="e">
        <f t="shared" ca="1" si="96"/>
        <v>#N/A</v>
      </c>
      <c r="BS95" t="e">
        <f t="shared" ca="1" si="97"/>
        <v>#N/A</v>
      </c>
      <c r="BT95" t="e">
        <f t="shared" ca="1" si="98"/>
        <v>#N/A</v>
      </c>
      <c r="BU95">
        <f t="shared" ca="1" si="99"/>
        <v>0</v>
      </c>
      <c r="BV95">
        <f t="shared" ca="1" si="100"/>
        <v>0</v>
      </c>
      <c r="BW95">
        <f t="shared" ca="1" si="101"/>
        <v>0</v>
      </c>
      <c r="BX95">
        <f t="shared" ca="1" si="102"/>
        <v>0</v>
      </c>
      <c r="BY95">
        <f t="shared" ca="1" si="103"/>
        <v>0</v>
      </c>
      <c r="BZ95">
        <f t="shared" ca="1" si="73"/>
        <v>0</v>
      </c>
      <c r="CA95">
        <f t="shared" ca="1" si="74"/>
        <v>0</v>
      </c>
    </row>
    <row r="96" spans="1:79" x14ac:dyDescent="0.4">
      <c r="A96" t="str">
        <f t="shared" si="61"/>
        <v>X</v>
      </c>
      <c r="B96">
        <v>85</v>
      </c>
      <c r="C96" t="e" cm="1">
        <f t="array" ref="C96">INDEX(auto_Series_Code,B96)</f>
        <v>#REF!</v>
      </c>
      <c r="D96" t="e" cm="1">
        <f t="array" ref="D96">INDEX(auto_tblSeries,$B96,D$11)</f>
        <v>#REF!</v>
      </c>
      <c r="E96" t="e" cm="1">
        <f t="array" ref="E96">INDEX(auto_tblSeries,$B96,E$11)</f>
        <v>#REF!</v>
      </c>
      <c r="F96" t="e" cm="1">
        <f t="array" ref="F96">INDEX(auto_tblSeries,$B96,F$11)</f>
        <v>#REF!</v>
      </c>
      <c r="G96" t="e" cm="1">
        <f t="array" ref="G96">INDEX(auto_tblSeries,$B96,G$11)</f>
        <v>#REF!</v>
      </c>
      <c r="H96" t="e" cm="1">
        <f t="array" ref="H96">INDEX(auto_tblSeries,$B96,H$11)</f>
        <v>#REF!</v>
      </c>
      <c r="I96" t="e">
        <f t="shared" si="70"/>
        <v>#REF!</v>
      </c>
      <c r="K96" t="e" cm="1">
        <f t="array" ref="K96">INDEX(auto_DataFlat_Score,$I96,K$10)</f>
        <v>#REF!</v>
      </c>
      <c r="L96" t="e" cm="1">
        <f t="array" ref="L96">INDEX(auto_DataFlat_Rank,$I96,L$10)</f>
        <v>#REF!</v>
      </c>
      <c r="M96" t="e" cm="1">
        <f t="array" ref="M96">INDEX(auto_DataFlat_DataValue,$I96,M$10)</f>
        <v>#REF!</v>
      </c>
      <c r="N96" t="e" cm="1">
        <f t="array" ref="N96">INDEX(auto_DataFlat_Classification,$I96,M$10)</f>
        <v>#REF!</v>
      </c>
      <c r="O96" t="e" cm="1">
        <f t="array" ref="O96">INDEX(auto_DataFlat_IsEstimate,$I96,O$10)</f>
        <v>#REF!</v>
      </c>
      <c r="P96" t="e" cm="1">
        <f t="array" ref="P96">IF(INDEX(auto_DataFlat_DataYear,$I96,P$10)=0,"n/a",INDEX(auto_DataFlat_DataYear,$I96,P$10))</f>
        <v>#REF!</v>
      </c>
      <c r="R96" t="e">
        <f t="shared" si="71"/>
        <v>#REF!</v>
      </c>
      <c r="S96" t="e" cm="1">
        <f t="array" ref="S96">INDEX(auto_DataFlat_Score,$R96,S$10)</f>
        <v>#REF!</v>
      </c>
      <c r="U96" t="str">
        <f t="shared" si="75"/>
        <v>n/a</v>
      </c>
      <c r="V96">
        <f t="shared" si="76"/>
        <v>1</v>
      </c>
      <c r="W96" t="e">
        <f t="shared" si="77"/>
        <v>#REF!</v>
      </c>
      <c r="X96" t="e">
        <f t="shared" ca="1" si="105"/>
        <v>#N/A</v>
      </c>
      <c r="Y96" t="e">
        <f t="shared" ca="1" si="105"/>
        <v>#N/A</v>
      </c>
      <c r="Z96" t="e">
        <f t="shared" ca="1" si="105"/>
        <v>#N/A</v>
      </c>
      <c r="AB96">
        <f t="shared" ca="1" si="65"/>
        <v>0</v>
      </c>
      <c r="AC96">
        <f t="shared" ca="1" si="65"/>
        <v>0</v>
      </c>
      <c r="AD96">
        <f t="shared" ca="1" si="65"/>
        <v>0</v>
      </c>
      <c r="AF96" t="e">
        <f t="shared" si="79"/>
        <v>#REF!</v>
      </c>
      <c r="AG96" t="e">
        <f t="shared" ca="1" si="106"/>
        <v>#N/A</v>
      </c>
      <c r="AH96" t="e">
        <f t="shared" ca="1" si="106"/>
        <v>#N/A</v>
      </c>
      <c r="AI96" t="e">
        <f t="shared" ca="1" si="106"/>
        <v>#N/A</v>
      </c>
      <c r="AJ96" t="e">
        <f t="shared" ca="1" si="106"/>
        <v>#N/A</v>
      </c>
      <c r="AK96" t="e">
        <f t="shared" ca="1" si="106"/>
        <v>#N/A</v>
      </c>
      <c r="AL96" t="e">
        <f t="shared" ca="1" si="106"/>
        <v>#N/A</v>
      </c>
      <c r="AM96" t="e">
        <f t="shared" ca="1" si="106"/>
        <v>#N/A</v>
      </c>
      <c r="AN96">
        <f t="shared" ca="1" si="81"/>
        <v>0</v>
      </c>
      <c r="AO96">
        <f t="shared" ca="1" si="82"/>
        <v>0</v>
      </c>
      <c r="AP96">
        <f t="shared" ca="1" si="83"/>
        <v>0</v>
      </c>
      <c r="AQ96">
        <f t="shared" ca="1" si="84"/>
        <v>0</v>
      </c>
      <c r="AR96">
        <f t="shared" ca="1" si="85"/>
        <v>0</v>
      </c>
      <c r="AS96">
        <f t="shared" ca="1" si="86"/>
        <v>0</v>
      </c>
      <c r="AT96">
        <f t="shared" ca="1" si="87"/>
        <v>0</v>
      </c>
      <c r="AV96" t="e">
        <f t="shared" si="6"/>
        <v>#REF!</v>
      </c>
      <c r="AW96" t="e" cm="1">
        <f t="array" ref="AW96">INDEX(auto_DataFlat_Score,$AV96,1)</f>
        <v>#REF!</v>
      </c>
      <c r="AX96" t="e" cm="1">
        <f t="array" ref="AX96">INDEX(auto_DataFlat_DataValue,$AV96,1)</f>
        <v>#REF!</v>
      </c>
      <c r="BA96" t="str">
        <f t="shared" si="88"/>
        <v>n/a</v>
      </c>
      <c r="BB96">
        <f t="shared" si="89"/>
        <v>1</v>
      </c>
      <c r="BC96" t="e">
        <f t="shared" si="90"/>
        <v>#REF!</v>
      </c>
      <c r="BD96" t="e">
        <f t="shared" ca="1" si="104"/>
        <v>#N/A</v>
      </c>
      <c r="BE96" t="e">
        <f t="shared" ca="1" si="104"/>
        <v>#N/A</v>
      </c>
      <c r="BF96" t="e">
        <f t="shared" ca="1" si="104"/>
        <v>#N/A</v>
      </c>
      <c r="BH96">
        <f t="shared" ca="1" si="66"/>
        <v>0</v>
      </c>
      <c r="BI96">
        <f t="shared" ca="1" si="66"/>
        <v>0</v>
      </c>
      <c r="BJ96">
        <f t="shared" ca="1" si="66"/>
        <v>0</v>
      </c>
      <c r="BM96" t="e">
        <f t="shared" si="91"/>
        <v>#REF!</v>
      </c>
      <c r="BN96" t="e">
        <f t="shared" ca="1" si="92"/>
        <v>#N/A</v>
      </c>
      <c r="BO96" t="e">
        <f t="shared" ca="1" si="93"/>
        <v>#N/A</v>
      </c>
      <c r="BP96" t="e">
        <f t="shared" ca="1" si="94"/>
        <v>#N/A</v>
      </c>
      <c r="BQ96" t="e">
        <f t="shared" ca="1" si="95"/>
        <v>#N/A</v>
      </c>
      <c r="BR96" t="e">
        <f t="shared" ca="1" si="96"/>
        <v>#N/A</v>
      </c>
      <c r="BS96" t="e">
        <f t="shared" ca="1" si="97"/>
        <v>#N/A</v>
      </c>
      <c r="BT96" t="e">
        <f t="shared" ca="1" si="98"/>
        <v>#N/A</v>
      </c>
      <c r="BU96">
        <f t="shared" ca="1" si="99"/>
        <v>0</v>
      </c>
      <c r="BV96">
        <f t="shared" ca="1" si="100"/>
        <v>0</v>
      </c>
      <c r="BW96">
        <f t="shared" ca="1" si="101"/>
        <v>0</v>
      </c>
      <c r="BX96">
        <f t="shared" ca="1" si="102"/>
        <v>0</v>
      </c>
      <c r="BY96">
        <f t="shared" ca="1" si="103"/>
        <v>0</v>
      </c>
      <c r="BZ96">
        <f t="shared" ca="1" si="73"/>
        <v>0</v>
      </c>
      <c r="CA96">
        <f t="shared" ca="1" si="74"/>
        <v>0</v>
      </c>
    </row>
    <row r="97" spans="1:79" x14ac:dyDescent="0.4">
      <c r="A97" t="str">
        <f t="shared" si="61"/>
        <v>X</v>
      </c>
      <c r="B97">
        <v>86</v>
      </c>
      <c r="C97" t="e" cm="1">
        <f t="array" ref="C97">INDEX(auto_Series_Code,B97)</f>
        <v>#REF!</v>
      </c>
      <c r="D97" t="e" cm="1">
        <f t="array" ref="D97">INDEX(auto_tblSeries,$B97,D$11)</f>
        <v>#REF!</v>
      </c>
      <c r="E97" t="e" cm="1">
        <f t="array" ref="E97">INDEX(auto_tblSeries,$B97,E$11)</f>
        <v>#REF!</v>
      </c>
      <c r="F97" t="e" cm="1">
        <f t="array" ref="F97">INDEX(auto_tblSeries,$B97,F$11)</f>
        <v>#REF!</v>
      </c>
      <c r="G97" t="e" cm="1">
        <f t="array" ref="G97">INDEX(auto_tblSeries,$B97,G$11)</f>
        <v>#REF!</v>
      </c>
      <c r="H97" t="e" cm="1">
        <f t="array" ref="H97">INDEX(auto_tblSeries,$B97,H$11)</f>
        <v>#REF!</v>
      </c>
      <c r="I97" t="e">
        <f t="shared" si="70"/>
        <v>#REF!</v>
      </c>
      <c r="K97" t="e" cm="1">
        <f t="array" ref="K97">INDEX(auto_DataFlat_Score,$I97,K$10)</f>
        <v>#REF!</v>
      </c>
      <c r="L97" t="e" cm="1">
        <f t="array" ref="L97">INDEX(auto_DataFlat_Rank,$I97,L$10)</f>
        <v>#REF!</v>
      </c>
      <c r="M97" t="e" cm="1">
        <f t="array" ref="M97">INDEX(auto_DataFlat_DataValue,$I97,M$10)</f>
        <v>#REF!</v>
      </c>
      <c r="N97" t="e" cm="1">
        <f t="array" ref="N97">INDEX(auto_DataFlat_Classification,$I97,M$10)</f>
        <v>#REF!</v>
      </c>
      <c r="O97" t="e" cm="1">
        <f t="array" ref="O97">INDEX(auto_DataFlat_IsEstimate,$I97,O$10)</f>
        <v>#REF!</v>
      </c>
      <c r="P97" t="e" cm="1">
        <f t="array" ref="P97">IF(INDEX(auto_DataFlat_DataYear,$I97,P$10)=0,"n/a",INDEX(auto_DataFlat_DataYear,$I97,P$10))</f>
        <v>#REF!</v>
      </c>
      <c r="R97" t="e">
        <f t="shared" si="71"/>
        <v>#REF!</v>
      </c>
      <c r="S97" t="e" cm="1">
        <f t="array" ref="S97">INDEX(auto_DataFlat_Score,$R97,S$10)</f>
        <v>#REF!</v>
      </c>
      <c r="U97" t="str">
        <f t="shared" si="75"/>
        <v>n/a</v>
      </c>
      <c r="V97">
        <f t="shared" si="76"/>
        <v>1</v>
      </c>
      <c r="W97" t="e">
        <f t="shared" si="77"/>
        <v>#REF!</v>
      </c>
      <c r="X97" t="e">
        <f t="shared" ca="1" si="105"/>
        <v>#N/A</v>
      </c>
      <c r="Y97" t="e">
        <f t="shared" ca="1" si="105"/>
        <v>#N/A</v>
      </c>
      <c r="Z97" t="e">
        <f t="shared" ca="1" si="105"/>
        <v>#N/A</v>
      </c>
      <c r="AB97">
        <f t="shared" ca="1" si="65"/>
        <v>0</v>
      </c>
      <c r="AC97">
        <f t="shared" ca="1" si="65"/>
        <v>0</v>
      </c>
      <c r="AD97">
        <f t="shared" ca="1" si="65"/>
        <v>0</v>
      </c>
      <c r="AF97" t="e">
        <f t="shared" si="79"/>
        <v>#REF!</v>
      </c>
      <c r="AG97" t="e">
        <f t="shared" ca="1" si="106"/>
        <v>#N/A</v>
      </c>
      <c r="AH97" t="e">
        <f t="shared" ca="1" si="106"/>
        <v>#N/A</v>
      </c>
      <c r="AI97" t="e">
        <f t="shared" ca="1" si="106"/>
        <v>#N/A</v>
      </c>
      <c r="AJ97" t="e">
        <f t="shared" ca="1" si="106"/>
        <v>#N/A</v>
      </c>
      <c r="AK97" t="e">
        <f t="shared" ca="1" si="106"/>
        <v>#N/A</v>
      </c>
      <c r="AL97" t="e">
        <f t="shared" ca="1" si="106"/>
        <v>#N/A</v>
      </c>
      <c r="AM97" t="e">
        <f t="shared" ca="1" si="106"/>
        <v>#N/A</v>
      </c>
      <c r="AN97">
        <f t="shared" ca="1" si="81"/>
        <v>0</v>
      </c>
      <c r="AO97">
        <f t="shared" ca="1" si="82"/>
        <v>0</v>
      </c>
      <c r="AP97">
        <f t="shared" ca="1" si="83"/>
        <v>0</v>
      </c>
      <c r="AQ97">
        <f t="shared" ca="1" si="84"/>
        <v>0</v>
      </c>
      <c r="AR97">
        <f t="shared" ca="1" si="85"/>
        <v>0</v>
      </c>
      <c r="AS97">
        <f t="shared" ca="1" si="86"/>
        <v>0</v>
      </c>
      <c r="AT97">
        <f t="shared" ca="1" si="87"/>
        <v>0</v>
      </c>
      <c r="AV97" t="e">
        <f t="shared" si="6"/>
        <v>#REF!</v>
      </c>
      <c r="AW97" t="e" cm="1">
        <f t="array" ref="AW97">INDEX(auto_DataFlat_Score,$AV97,1)</f>
        <v>#REF!</v>
      </c>
      <c r="AX97" t="e" cm="1">
        <f t="array" ref="AX97">INDEX(auto_DataFlat_DataValue,$AV97,1)</f>
        <v>#REF!</v>
      </c>
      <c r="BA97" t="str">
        <f t="shared" si="88"/>
        <v>n/a</v>
      </c>
      <c r="BB97">
        <f t="shared" si="89"/>
        <v>1</v>
      </c>
      <c r="BC97" t="e">
        <f t="shared" si="90"/>
        <v>#REF!</v>
      </c>
      <c r="BD97" t="e">
        <f t="shared" ca="1" si="104"/>
        <v>#N/A</v>
      </c>
      <c r="BE97" t="e">
        <f t="shared" ca="1" si="104"/>
        <v>#N/A</v>
      </c>
      <c r="BF97" t="e">
        <f t="shared" ca="1" si="104"/>
        <v>#N/A</v>
      </c>
      <c r="BH97">
        <f t="shared" ca="1" si="66"/>
        <v>0</v>
      </c>
      <c r="BI97">
        <f t="shared" ca="1" si="66"/>
        <v>0</v>
      </c>
      <c r="BJ97">
        <f t="shared" ca="1" si="66"/>
        <v>0</v>
      </c>
      <c r="BM97" t="e">
        <f t="shared" si="91"/>
        <v>#REF!</v>
      </c>
      <c r="BN97" t="e">
        <f t="shared" ca="1" si="92"/>
        <v>#N/A</v>
      </c>
      <c r="BO97" t="e">
        <f t="shared" ca="1" si="93"/>
        <v>#N/A</v>
      </c>
      <c r="BP97" t="e">
        <f t="shared" ca="1" si="94"/>
        <v>#N/A</v>
      </c>
      <c r="BQ97" t="e">
        <f t="shared" ca="1" si="95"/>
        <v>#N/A</v>
      </c>
      <c r="BR97" t="e">
        <f t="shared" ca="1" si="96"/>
        <v>#N/A</v>
      </c>
      <c r="BS97" t="e">
        <f t="shared" ca="1" si="97"/>
        <v>#N/A</v>
      </c>
      <c r="BT97" t="e">
        <f t="shared" ca="1" si="98"/>
        <v>#N/A</v>
      </c>
      <c r="BU97">
        <f t="shared" ca="1" si="99"/>
        <v>0</v>
      </c>
      <c r="BV97">
        <f t="shared" ca="1" si="100"/>
        <v>0</v>
      </c>
      <c r="BW97">
        <f t="shared" ca="1" si="101"/>
        <v>0</v>
      </c>
      <c r="BX97">
        <f t="shared" ca="1" si="102"/>
        <v>0</v>
      </c>
      <c r="BY97">
        <f t="shared" ca="1" si="103"/>
        <v>0</v>
      </c>
      <c r="BZ97">
        <f t="shared" ca="1" si="73"/>
        <v>0</v>
      </c>
      <c r="CA97">
        <f t="shared" ca="1" si="74"/>
        <v>0</v>
      </c>
    </row>
    <row r="98" spans="1:79" x14ac:dyDescent="0.4">
      <c r="A98" t="str">
        <f t="shared" si="61"/>
        <v>X</v>
      </c>
      <c r="B98">
        <v>87</v>
      </c>
      <c r="C98" t="e" cm="1">
        <f t="array" ref="C98">INDEX(auto_Series_Code,B98)</f>
        <v>#REF!</v>
      </c>
      <c r="D98" t="e" cm="1">
        <f t="array" ref="D98">INDEX(auto_tblSeries,$B98,D$11)</f>
        <v>#REF!</v>
      </c>
      <c r="E98" t="e" cm="1">
        <f t="array" ref="E98">INDEX(auto_tblSeries,$B98,E$11)</f>
        <v>#REF!</v>
      </c>
      <c r="F98" t="e" cm="1">
        <f t="array" ref="F98">INDEX(auto_tblSeries,$B98,F$11)</f>
        <v>#REF!</v>
      </c>
      <c r="G98" t="e" cm="1">
        <f t="array" ref="G98">INDEX(auto_tblSeries,$B98,G$11)</f>
        <v>#REF!</v>
      </c>
      <c r="H98" t="e" cm="1">
        <f t="array" ref="H98">INDEX(auto_tblSeries,$B98,H$11)</f>
        <v>#REF!</v>
      </c>
      <c r="I98" t="e">
        <f t="shared" si="70"/>
        <v>#REF!</v>
      </c>
      <c r="K98" t="e" cm="1">
        <f t="array" ref="K98">INDEX(auto_DataFlat_Score,$I98,K$10)</f>
        <v>#REF!</v>
      </c>
      <c r="L98" t="e" cm="1">
        <f t="array" ref="L98">INDEX(auto_DataFlat_Rank,$I98,L$10)</f>
        <v>#REF!</v>
      </c>
      <c r="M98" t="e" cm="1">
        <f t="array" ref="M98">INDEX(auto_DataFlat_DataValue,$I98,M$10)</f>
        <v>#REF!</v>
      </c>
      <c r="N98" t="e" cm="1">
        <f t="array" ref="N98">INDEX(auto_DataFlat_Classification,$I98,M$10)</f>
        <v>#REF!</v>
      </c>
      <c r="O98" t="e" cm="1">
        <f t="array" ref="O98">INDEX(auto_DataFlat_IsEstimate,$I98,O$10)</f>
        <v>#REF!</v>
      </c>
      <c r="P98" t="e" cm="1">
        <f t="array" ref="P98">IF(INDEX(auto_DataFlat_DataYear,$I98,P$10)=0,"n/a",INDEX(auto_DataFlat_DataYear,$I98,P$10))</f>
        <v>#REF!</v>
      </c>
      <c r="R98" t="e">
        <f t="shared" si="71"/>
        <v>#REF!</v>
      </c>
      <c r="S98" t="e" cm="1">
        <f t="array" ref="S98">INDEX(auto_DataFlat_Score,$R98,S$10)</f>
        <v>#REF!</v>
      </c>
      <c r="U98" t="str">
        <f t="shared" si="75"/>
        <v>n/a</v>
      </c>
      <c r="V98">
        <f t="shared" si="76"/>
        <v>1</v>
      </c>
      <c r="W98" t="e">
        <f t="shared" si="77"/>
        <v>#REF!</v>
      </c>
      <c r="X98" t="e">
        <f t="shared" ca="1" si="105"/>
        <v>#N/A</v>
      </c>
      <c r="Y98" t="e">
        <f t="shared" ca="1" si="105"/>
        <v>#N/A</v>
      </c>
      <c r="Z98" t="e">
        <f t="shared" ca="1" si="105"/>
        <v>#N/A</v>
      </c>
      <c r="AB98">
        <f t="shared" ca="1" si="65"/>
        <v>0</v>
      </c>
      <c r="AC98">
        <f t="shared" ca="1" si="65"/>
        <v>0</v>
      </c>
      <c r="AD98">
        <f t="shared" ca="1" si="65"/>
        <v>0</v>
      </c>
      <c r="AF98" t="e">
        <f t="shared" si="79"/>
        <v>#REF!</v>
      </c>
      <c r="AG98" t="e">
        <f t="shared" ca="1" si="106"/>
        <v>#N/A</v>
      </c>
      <c r="AH98" t="e">
        <f t="shared" ca="1" si="106"/>
        <v>#N/A</v>
      </c>
      <c r="AI98" t="e">
        <f t="shared" ca="1" si="106"/>
        <v>#N/A</v>
      </c>
      <c r="AJ98" t="e">
        <f t="shared" ca="1" si="106"/>
        <v>#N/A</v>
      </c>
      <c r="AK98" t="e">
        <f t="shared" ca="1" si="106"/>
        <v>#N/A</v>
      </c>
      <c r="AL98" t="e">
        <f t="shared" ca="1" si="106"/>
        <v>#N/A</v>
      </c>
      <c r="AM98" t="e">
        <f t="shared" ca="1" si="106"/>
        <v>#N/A</v>
      </c>
      <c r="AN98">
        <f t="shared" ca="1" si="81"/>
        <v>0</v>
      </c>
      <c r="AO98">
        <f t="shared" ca="1" si="82"/>
        <v>0</v>
      </c>
      <c r="AP98">
        <f t="shared" ca="1" si="83"/>
        <v>0</v>
      </c>
      <c r="AQ98">
        <f t="shared" ca="1" si="84"/>
        <v>0</v>
      </c>
      <c r="AR98">
        <f t="shared" ca="1" si="85"/>
        <v>0</v>
      </c>
      <c r="AS98">
        <f t="shared" ca="1" si="86"/>
        <v>0</v>
      </c>
      <c r="AT98">
        <f t="shared" ca="1" si="87"/>
        <v>0</v>
      </c>
      <c r="AV98" t="e">
        <f t="shared" si="6"/>
        <v>#REF!</v>
      </c>
      <c r="AW98" t="e" cm="1">
        <f t="array" ref="AW98">INDEX(auto_DataFlat_Score,$AV98,1)</f>
        <v>#REF!</v>
      </c>
      <c r="AX98" t="e" cm="1">
        <f t="array" ref="AX98">INDEX(auto_DataFlat_DataValue,$AV98,1)</f>
        <v>#REF!</v>
      </c>
      <c r="BA98" t="str">
        <f t="shared" si="88"/>
        <v>n/a</v>
      </c>
      <c r="BB98">
        <f t="shared" si="89"/>
        <v>1</v>
      </c>
      <c r="BC98" t="e">
        <f t="shared" si="90"/>
        <v>#REF!</v>
      </c>
      <c r="BD98" t="e">
        <f t="shared" ca="1" si="104"/>
        <v>#N/A</v>
      </c>
      <c r="BE98" t="e">
        <f t="shared" ca="1" si="104"/>
        <v>#N/A</v>
      </c>
      <c r="BF98" t="e">
        <f t="shared" ca="1" si="104"/>
        <v>#N/A</v>
      </c>
      <c r="BH98">
        <f t="shared" ca="1" si="66"/>
        <v>0</v>
      </c>
      <c r="BI98">
        <f t="shared" ca="1" si="66"/>
        <v>0</v>
      </c>
      <c r="BJ98">
        <f t="shared" ca="1" si="66"/>
        <v>0</v>
      </c>
      <c r="BM98" t="e">
        <f t="shared" si="91"/>
        <v>#REF!</v>
      </c>
      <c r="BN98" t="e">
        <f t="shared" ca="1" si="92"/>
        <v>#N/A</v>
      </c>
      <c r="BO98" t="e">
        <f t="shared" ca="1" si="93"/>
        <v>#N/A</v>
      </c>
      <c r="BP98" t="e">
        <f t="shared" ca="1" si="94"/>
        <v>#N/A</v>
      </c>
      <c r="BQ98" t="e">
        <f t="shared" ca="1" si="95"/>
        <v>#N/A</v>
      </c>
      <c r="BR98" t="e">
        <f t="shared" ca="1" si="96"/>
        <v>#N/A</v>
      </c>
      <c r="BS98" t="e">
        <f t="shared" ca="1" si="97"/>
        <v>#N/A</v>
      </c>
      <c r="BT98" t="e">
        <f t="shared" ca="1" si="98"/>
        <v>#N/A</v>
      </c>
      <c r="BU98">
        <f t="shared" ca="1" si="99"/>
        <v>0</v>
      </c>
      <c r="BV98">
        <f t="shared" ca="1" si="100"/>
        <v>0</v>
      </c>
      <c r="BW98">
        <f t="shared" ca="1" si="101"/>
        <v>0</v>
      </c>
      <c r="BX98">
        <f t="shared" ca="1" si="102"/>
        <v>0</v>
      </c>
      <c r="BY98">
        <f t="shared" ca="1" si="103"/>
        <v>0</v>
      </c>
      <c r="BZ98">
        <f t="shared" ca="1" si="73"/>
        <v>0</v>
      </c>
      <c r="CA98">
        <f t="shared" ca="1" si="74"/>
        <v>0</v>
      </c>
    </row>
    <row r="99" spans="1:79" x14ac:dyDescent="0.4">
      <c r="A99" t="str">
        <f t="shared" si="61"/>
        <v>X</v>
      </c>
      <c r="B99">
        <v>88</v>
      </c>
      <c r="C99" t="e" cm="1">
        <f t="array" ref="C99">INDEX(auto_Series_Code,B99)</f>
        <v>#REF!</v>
      </c>
      <c r="D99" t="e" cm="1">
        <f t="array" ref="D99">INDEX(auto_tblSeries,$B99,D$11)</f>
        <v>#REF!</v>
      </c>
      <c r="E99" t="e" cm="1">
        <f t="array" ref="E99">INDEX(auto_tblSeries,$B99,E$11)</f>
        <v>#REF!</v>
      </c>
      <c r="F99" t="e" cm="1">
        <f t="array" ref="F99">INDEX(auto_tblSeries,$B99,F$11)</f>
        <v>#REF!</v>
      </c>
      <c r="G99" t="e" cm="1">
        <f t="array" ref="G99">INDEX(auto_tblSeries,$B99,G$11)</f>
        <v>#REF!</v>
      </c>
      <c r="H99" t="e" cm="1">
        <f t="array" ref="H99">INDEX(auto_tblSeries,$B99,H$11)</f>
        <v>#REF!</v>
      </c>
      <c r="I99" t="e">
        <f t="shared" si="70"/>
        <v>#REF!</v>
      </c>
      <c r="K99" t="e" cm="1">
        <f t="array" ref="K99">INDEX(auto_DataFlat_Score,$I99,K$10)</f>
        <v>#REF!</v>
      </c>
      <c r="L99" t="e" cm="1">
        <f t="array" ref="L99">INDEX(auto_DataFlat_Rank,$I99,L$10)</f>
        <v>#REF!</v>
      </c>
      <c r="M99" t="e" cm="1">
        <f t="array" ref="M99">INDEX(auto_DataFlat_DataValue,$I99,M$10)</f>
        <v>#REF!</v>
      </c>
      <c r="N99" t="e" cm="1">
        <f t="array" ref="N99">INDEX(auto_DataFlat_Classification,$I99,M$10)</f>
        <v>#REF!</v>
      </c>
      <c r="O99" t="e" cm="1">
        <f t="array" ref="O99">INDEX(auto_DataFlat_IsEstimate,$I99,O$10)</f>
        <v>#REF!</v>
      </c>
      <c r="P99" t="e" cm="1">
        <f t="array" ref="P99">IF(INDEX(auto_DataFlat_DataYear,$I99,P$10)=0,"n/a",INDEX(auto_DataFlat_DataYear,$I99,P$10))</f>
        <v>#REF!</v>
      </c>
      <c r="R99" t="e">
        <f t="shared" si="71"/>
        <v>#REF!</v>
      </c>
      <c r="S99" t="e" cm="1">
        <f t="array" ref="S99">INDEX(auto_DataFlat_Score,$R99,S$10)</f>
        <v>#REF!</v>
      </c>
      <c r="U99" t="str">
        <f t="shared" si="75"/>
        <v>n/a</v>
      </c>
      <c r="V99">
        <f t="shared" si="76"/>
        <v>1</v>
      </c>
      <c r="W99" t="e">
        <f t="shared" si="77"/>
        <v>#REF!</v>
      </c>
      <c r="X99" t="e">
        <f t="shared" ca="1" si="105"/>
        <v>#N/A</v>
      </c>
      <c r="Y99" t="e">
        <f t="shared" ca="1" si="105"/>
        <v>#N/A</v>
      </c>
      <c r="Z99" t="e">
        <f t="shared" ca="1" si="105"/>
        <v>#N/A</v>
      </c>
      <c r="AB99">
        <f t="shared" ca="1" si="65"/>
        <v>0</v>
      </c>
      <c r="AC99">
        <f t="shared" ca="1" si="65"/>
        <v>0</v>
      </c>
      <c r="AD99">
        <f t="shared" ca="1" si="65"/>
        <v>0</v>
      </c>
      <c r="AF99" t="e">
        <f t="shared" si="79"/>
        <v>#REF!</v>
      </c>
      <c r="AG99" t="e">
        <f t="shared" ca="1" si="106"/>
        <v>#N/A</v>
      </c>
      <c r="AH99" t="e">
        <f t="shared" ca="1" si="106"/>
        <v>#N/A</v>
      </c>
      <c r="AI99" t="e">
        <f t="shared" ca="1" si="106"/>
        <v>#N/A</v>
      </c>
      <c r="AJ99" t="e">
        <f t="shared" ca="1" si="106"/>
        <v>#N/A</v>
      </c>
      <c r="AK99" t="e">
        <f t="shared" ca="1" si="106"/>
        <v>#N/A</v>
      </c>
      <c r="AL99" t="e">
        <f t="shared" ca="1" si="106"/>
        <v>#N/A</v>
      </c>
      <c r="AM99" t="e">
        <f t="shared" ca="1" si="106"/>
        <v>#N/A</v>
      </c>
      <c r="AN99">
        <f t="shared" ca="1" si="81"/>
        <v>0</v>
      </c>
      <c r="AO99">
        <f t="shared" ca="1" si="82"/>
        <v>0</v>
      </c>
      <c r="AP99">
        <f t="shared" ca="1" si="83"/>
        <v>0</v>
      </c>
      <c r="AQ99">
        <f t="shared" ca="1" si="84"/>
        <v>0</v>
      </c>
      <c r="AR99">
        <f t="shared" ca="1" si="85"/>
        <v>0</v>
      </c>
      <c r="AS99">
        <f t="shared" ca="1" si="86"/>
        <v>0</v>
      </c>
      <c r="AT99">
        <f t="shared" ca="1" si="87"/>
        <v>0</v>
      </c>
      <c r="AV99" t="e">
        <f t="shared" si="6"/>
        <v>#REF!</v>
      </c>
      <c r="AW99" t="e" cm="1">
        <f t="array" ref="AW99">INDEX(auto_DataFlat_Score,$AV99,1)</f>
        <v>#REF!</v>
      </c>
      <c r="AX99" t="e" cm="1">
        <f t="array" ref="AX99">INDEX(auto_DataFlat_DataValue,$AV99,1)</f>
        <v>#REF!</v>
      </c>
      <c r="BA99" t="str">
        <f t="shared" si="88"/>
        <v>n/a</v>
      </c>
      <c r="BB99">
        <f t="shared" si="89"/>
        <v>1</v>
      </c>
      <c r="BC99" t="e">
        <f t="shared" si="90"/>
        <v>#REF!</v>
      </c>
      <c r="BD99" t="e">
        <f t="shared" ca="1" si="104"/>
        <v>#N/A</v>
      </c>
      <c r="BE99" t="e">
        <f t="shared" ca="1" si="104"/>
        <v>#N/A</v>
      </c>
      <c r="BF99" t="e">
        <f t="shared" ca="1" si="104"/>
        <v>#N/A</v>
      </c>
      <c r="BH99">
        <f t="shared" ca="1" si="66"/>
        <v>0</v>
      </c>
      <c r="BI99">
        <f t="shared" ca="1" si="66"/>
        <v>0</v>
      </c>
      <c r="BJ99">
        <f t="shared" ca="1" si="66"/>
        <v>0</v>
      </c>
      <c r="BM99" t="e">
        <f t="shared" si="91"/>
        <v>#REF!</v>
      </c>
      <c r="BN99" t="e">
        <f t="shared" ca="1" si="92"/>
        <v>#N/A</v>
      </c>
      <c r="BO99" t="e">
        <f t="shared" ca="1" si="93"/>
        <v>#N/A</v>
      </c>
      <c r="BP99" t="e">
        <f t="shared" ca="1" si="94"/>
        <v>#N/A</v>
      </c>
      <c r="BQ99" t="e">
        <f t="shared" ca="1" si="95"/>
        <v>#N/A</v>
      </c>
      <c r="BR99" t="e">
        <f t="shared" ca="1" si="96"/>
        <v>#N/A</v>
      </c>
      <c r="BS99" t="e">
        <f t="shared" ca="1" si="97"/>
        <v>#N/A</v>
      </c>
      <c r="BT99" t="e">
        <f t="shared" ca="1" si="98"/>
        <v>#N/A</v>
      </c>
      <c r="BU99">
        <f t="shared" ca="1" si="99"/>
        <v>0</v>
      </c>
      <c r="BV99">
        <f t="shared" ca="1" si="100"/>
        <v>0</v>
      </c>
      <c r="BW99">
        <f t="shared" ca="1" si="101"/>
        <v>0</v>
      </c>
      <c r="BX99">
        <f t="shared" ca="1" si="102"/>
        <v>0</v>
      </c>
      <c r="BY99">
        <f t="shared" ca="1" si="103"/>
        <v>0</v>
      </c>
      <c r="BZ99">
        <f t="shared" ca="1" si="73"/>
        <v>0</v>
      </c>
      <c r="CA99">
        <f t="shared" ca="1" si="74"/>
        <v>0</v>
      </c>
    </row>
    <row r="100" spans="1:79" x14ac:dyDescent="0.4">
      <c r="A100" t="str">
        <f t="shared" si="61"/>
        <v>X</v>
      </c>
      <c r="B100">
        <v>89</v>
      </c>
      <c r="C100" t="e" cm="1">
        <f t="array" ref="C100">INDEX(auto_Series_Code,B100)</f>
        <v>#REF!</v>
      </c>
      <c r="D100" t="e" cm="1">
        <f t="array" ref="D100">INDEX(auto_tblSeries,$B100,D$11)</f>
        <v>#REF!</v>
      </c>
      <c r="E100" t="e" cm="1">
        <f t="array" ref="E100">INDEX(auto_tblSeries,$B100,E$11)</f>
        <v>#REF!</v>
      </c>
      <c r="F100" t="e" cm="1">
        <f t="array" ref="F100">INDEX(auto_tblSeries,$B100,F$11)</f>
        <v>#REF!</v>
      </c>
      <c r="G100" t="e" cm="1">
        <f t="array" ref="G100">INDEX(auto_tblSeries,$B100,G$11)</f>
        <v>#REF!</v>
      </c>
      <c r="H100" t="e" cm="1">
        <f t="array" ref="H100">INDEX(auto_tblSeries,$B100,H$11)</f>
        <v>#REF!</v>
      </c>
      <c r="I100" t="e">
        <f t="shared" si="70"/>
        <v>#REF!</v>
      </c>
      <c r="K100" t="e" cm="1">
        <f t="array" ref="K100">INDEX(auto_DataFlat_Score,$I100,K$10)</f>
        <v>#REF!</v>
      </c>
      <c r="L100" t="e" cm="1">
        <f t="array" ref="L100">INDEX(auto_DataFlat_Rank,$I100,L$10)</f>
        <v>#REF!</v>
      </c>
      <c r="M100" t="e" cm="1">
        <f t="array" ref="M100">INDEX(auto_DataFlat_DataValue,$I100,M$10)</f>
        <v>#REF!</v>
      </c>
      <c r="N100" t="e" cm="1">
        <f t="array" ref="N100">INDEX(auto_DataFlat_Classification,$I100,M$10)</f>
        <v>#REF!</v>
      </c>
      <c r="O100" t="e" cm="1">
        <f t="array" ref="O100">INDEX(auto_DataFlat_IsEstimate,$I100,O$10)</f>
        <v>#REF!</v>
      </c>
      <c r="P100" t="e" cm="1">
        <f t="array" ref="P100">IF(INDEX(auto_DataFlat_DataYear,$I100,P$10)=0,"n/a",INDEX(auto_DataFlat_DataYear,$I100,P$10))</f>
        <v>#REF!</v>
      </c>
      <c r="R100" t="e">
        <f t="shared" si="71"/>
        <v>#REF!</v>
      </c>
      <c r="S100" t="e" cm="1">
        <f t="array" ref="S100">INDEX(auto_DataFlat_Score,$R100,S$10)</f>
        <v>#REF!</v>
      </c>
      <c r="U100" t="str">
        <f t="shared" si="75"/>
        <v>n/a</v>
      </c>
      <c r="V100">
        <f t="shared" si="76"/>
        <v>1</v>
      </c>
      <c r="W100" t="e">
        <f t="shared" si="77"/>
        <v>#REF!</v>
      </c>
      <c r="X100" t="e">
        <f t="shared" ca="1" si="105"/>
        <v>#N/A</v>
      </c>
      <c r="Y100" t="e">
        <f t="shared" ca="1" si="105"/>
        <v>#N/A</v>
      </c>
      <c r="Z100" t="e">
        <f t="shared" ca="1" si="105"/>
        <v>#N/A</v>
      </c>
      <c r="AB100">
        <f t="shared" ca="1" si="65"/>
        <v>0</v>
      </c>
      <c r="AC100">
        <f t="shared" ca="1" si="65"/>
        <v>0</v>
      </c>
      <c r="AD100">
        <f t="shared" ca="1" si="65"/>
        <v>0</v>
      </c>
      <c r="AF100" t="e">
        <f t="shared" si="79"/>
        <v>#REF!</v>
      </c>
      <c r="AG100" t="e">
        <f t="shared" ca="1" si="106"/>
        <v>#N/A</v>
      </c>
      <c r="AH100" t="e">
        <f t="shared" ca="1" si="106"/>
        <v>#N/A</v>
      </c>
      <c r="AI100" t="e">
        <f t="shared" ca="1" si="106"/>
        <v>#N/A</v>
      </c>
      <c r="AJ100" t="e">
        <f t="shared" ca="1" si="106"/>
        <v>#N/A</v>
      </c>
      <c r="AK100" t="e">
        <f t="shared" ca="1" si="106"/>
        <v>#N/A</v>
      </c>
      <c r="AL100" t="e">
        <f t="shared" ca="1" si="106"/>
        <v>#N/A</v>
      </c>
      <c r="AM100" t="e">
        <f t="shared" ca="1" si="106"/>
        <v>#N/A</v>
      </c>
      <c r="AN100">
        <f t="shared" ca="1" si="81"/>
        <v>0</v>
      </c>
      <c r="AO100">
        <f t="shared" ca="1" si="82"/>
        <v>0</v>
      </c>
      <c r="AP100">
        <f t="shared" ca="1" si="83"/>
        <v>0</v>
      </c>
      <c r="AQ100">
        <f t="shared" ca="1" si="84"/>
        <v>0</v>
      </c>
      <c r="AR100">
        <f t="shared" ca="1" si="85"/>
        <v>0</v>
      </c>
      <c r="AS100">
        <f t="shared" ca="1" si="86"/>
        <v>0</v>
      </c>
      <c r="AT100">
        <f t="shared" ca="1" si="87"/>
        <v>0</v>
      </c>
      <c r="AV100" t="e">
        <f t="shared" si="6"/>
        <v>#REF!</v>
      </c>
      <c r="AW100" t="e" cm="1">
        <f t="array" ref="AW100">INDEX(auto_DataFlat_Score,$AV100,1)</f>
        <v>#REF!</v>
      </c>
      <c r="AX100" t="e" cm="1">
        <f t="array" ref="AX100">INDEX(auto_DataFlat_DataValue,$AV100,1)</f>
        <v>#REF!</v>
      </c>
      <c r="BA100" t="str">
        <f t="shared" si="88"/>
        <v>n/a</v>
      </c>
      <c r="BB100">
        <f t="shared" si="89"/>
        <v>1</v>
      </c>
      <c r="BC100" t="e">
        <f t="shared" si="90"/>
        <v>#REF!</v>
      </c>
      <c r="BD100" t="e">
        <f t="shared" ca="1" si="104"/>
        <v>#N/A</v>
      </c>
      <c r="BE100" t="e">
        <f t="shared" ca="1" si="104"/>
        <v>#N/A</v>
      </c>
      <c r="BF100" t="e">
        <f t="shared" ca="1" si="104"/>
        <v>#N/A</v>
      </c>
      <c r="BH100">
        <f t="shared" ca="1" si="66"/>
        <v>0</v>
      </c>
      <c r="BI100">
        <f t="shared" ca="1" si="66"/>
        <v>0</v>
      </c>
      <c r="BJ100">
        <f t="shared" ca="1" si="66"/>
        <v>0</v>
      </c>
      <c r="BM100" t="e">
        <f t="shared" si="91"/>
        <v>#REF!</v>
      </c>
      <c r="BN100" t="e">
        <f t="shared" ca="1" si="92"/>
        <v>#N/A</v>
      </c>
      <c r="BO100" t="e">
        <f t="shared" ca="1" si="93"/>
        <v>#N/A</v>
      </c>
      <c r="BP100" t="e">
        <f t="shared" ca="1" si="94"/>
        <v>#N/A</v>
      </c>
      <c r="BQ100" t="e">
        <f t="shared" ca="1" si="95"/>
        <v>#N/A</v>
      </c>
      <c r="BR100" t="e">
        <f t="shared" ca="1" si="96"/>
        <v>#N/A</v>
      </c>
      <c r="BS100" t="e">
        <f t="shared" ca="1" si="97"/>
        <v>#N/A</v>
      </c>
      <c r="BT100" t="e">
        <f t="shared" ca="1" si="98"/>
        <v>#N/A</v>
      </c>
      <c r="BU100">
        <f t="shared" ca="1" si="99"/>
        <v>0</v>
      </c>
      <c r="BV100">
        <f t="shared" ca="1" si="100"/>
        <v>0</v>
      </c>
      <c r="BW100">
        <f t="shared" ca="1" si="101"/>
        <v>0</v>
      </c>
      <c r="BX100">
        <f t="shared" ca="1" si="102"/>
        <v>0</v>
      </c>
      <c r="BY100">
        <f t="shared" ca="1" si="103"/>
        <v>0</v>
      </c>
      <c r="BZ100">
        <f t="shared" ca="1" si="73"/>
        <v>0</v>
      </c>
      <c r="CA100">
        <f t="shared" ca="1" si="74"/>
        <v>0</v>
      </c>
    </row>
    <row r="101" spans="1:79" x14ac:dyDescent="0.4">
      <c r="A101" t="str">
        <f t="shared" si="61"/>
        <v>X</v>
      </c>
      <c r="B101">
        <v>90</v>
      </c>
      <c r="C101" t="e" cm="1">
        <f t="array" ref="C101">INDEX(auto_Series_Code,B101)</f>
        <v>#REF!</v>
      </c>
      <c r="D101" t="e" cm="1">
        <f t="array" ref="D101">INDEX(auto_tblSeries,$B101,D$11)</f>
        <v>#REF!</v>
      </c>
      <c r="E101" t="e" cm="1">
        <f t="array" ref="E101">INDEX(auto_tblSeries,$B101,E$11)</f>
        <v>#REF!</v>
      </c>
      <c r="F101" t="e" cm="1">
        <f t="array" ref="F101">INDEX(auto_tblSeries,$B101,F$11)</f>
        <v>#REF!</v>
      </c>
      <c r="G101" t="e" cm="1">
        <f t="array" ref="G101">INDEX(auto_tblSeries,$B101,G$11)</f>
        <v>#REF!</v>
      </c>
      <c r="H101" t="e" cm="1">
        <f t="array" ref="H101">INDEX(auto_tblSeries,$B101,H$11)</f>
        <v>#REF!</v>
      </c>
      <c r="I101" t="e">
        <f t="shared" si="70"/>
        <v>#REF!</v>
      </c>
      <c r="K101" t="e" cm="1">
        <f t="array" ref="K101">INDEX(auto_DataFlat_Score,$I101,K$10)</f>
        <v>#REF!</v>
      </c>
      <c r="L101" t="e" cm="1">
        <f t="array" ref="L101">INDEX(auto_DataFlat_Rank,$I101,L$10)</f>
        <v>#REF!</v>
      </c>
      <c r="M101" t="e" cm="1">
        <f t="array" ref="M101">INDEX(auto_DataFlat_DataValue,$I101,M$10)</f>
        <v>#REF!</v>
      </c>
      <c r="N101" t="e" cm="1">
        <f t="array" ref="N101">INDEX(auto_DataFlat_Classification,$I101,M$10)</f>
        <v>#REF!</v>
      </c>
      <c r="O101" t="e" cm="1">
        <f t="array" ref="O101">INDEX(auto_DataFlat_IsEstimate,$I101,O$10)</f>
        <v>#REF!</v>
      </c>
      <c r="P101" t="e" cm="1">
        <f t="array" ref="P101">IF(INDEX(auto_DataFlat_DataYear,$I101,P$10)=0,"n/a",INDEX(auto_DataFlat_DataYear,$I101,P$10))</f>
        <v>#REF!</v>
      </c>
      <c r="R101" t="e">
        <f t="shared" si="71"/>
        <v>#REF!</v>
      </c>
      <c r="S101" t="e" cm="1">
        <f t="array" ref="S101">INDEX(auto_DataFlat_Score,$R101,S$10)</f>
        <v>#REF!</v>
      </c>
      <c r="U101" t="str">
        <f t="shared" si="75"/>
        <v>n/a</v>
      </c>
      <c r="V101">
        <f t="shared" si="76"/>
        <v>1</v>
      </c>
      <c r="W101" t="e">
        <f t="shared" si="77"/>
        <v>#REF!</v>
      </c>
      <c r="X101" t="e">
        <f t="shared" ca="1" si="105"/>
        <v>#N/A</v>
      </c>
      <c r="Y101" t="e">
        <f t="shared" ca="1" si="105"/>
        <v>#N/A</v>
      </c>
      <c r="Z101" t="e">
        <f t="shared" ca="1" si="105"/>
        <v>#N/A</v>
      </c>
      <c r="AB101">
        <f t="shared" ca="1" si="65"/>
        <v>0</v>
      </c>
      <c r="AC101">
        <f t="shared" ca="1" si="65"/>
        <v>0</v>
      </c>
      <c r="AD101">
        <f t="shared" ca="1" si="65"/>
        <v>0</v>
      </c>
      <c r="AF101" t="e">
        <f t="shared" si="79"/>
        <v>#REF!</v>
      </c>
      <c r="AG101" t="e">
        <f t="shared" ca="1" si="106"/>
        <v>#N/A</v>
      </c>
      <c r="AH101" t="e">
        <f t="shared" ca="1" si="106"/>
        <v>#N/A</v>
      </c>
      <c r="AI101" t="e">
        <f t="shared" ca="1" si="106"/>
        <v>#N/A</v>
      </c>
      <c r="AJ101" t="e">
        <f t="shared" ca="1" si="106"/>
        <v>#N/A</v>
      </c>
      <c r="AK101" t="e">
        <f t="shared" ca="1" si="106"/>
        <v>#N/A</v>
      </c>
      <c r="AL101" t="e">
        <f t="shared" ca="1" si="106"/>
        <v>#N/A</v>
      </c>
      <c r="AM101" t="e">
        <f t="shared" ca="1" si="106"/>
        <v>#N/A</v>
      </c>
      <c r="AN101">
        <f t="shared" ca="1" si="81"/>
        <v>0</v>
      </c>
      <c r="AO101">
        <f t="shared" ca="1" si="82"/>
        <v>0</v>
      </c>
      <c r="AP101">
        <f t="shared" ca="1" si="83"/>
        <v>0</v>
      </c>
      <c r="AQ101">
        <f t="shared" ca="1" si="84"/>
        <v>0</v>
      </c>
      <c r="AR101">
        <f t="shared" ca="1" si="85"/>
        <v>0</v>
      </c>
      <c r="AS101">
        <f t="shared" ca="1" si="86"/>
        <v>0</v>
      </c>
      <c r="AT101">
        <f t="shared" ca="1" si="87"/>
        <v>0</v>
      </c>
      <c r="AV101" t="e">
        <f t="shared" si="6"/>
        <v>#REF!</v>
      </c>
      <c r="AW101" t="e" cm="1">
        <f t="array" ref="AW101">INDEX(auto_DataFlat_Score,$AV101,1)</f>
        <v>#REF!</v>
      </c>
      <c r="AX101" t="e" cm="1">
        <f t="array" ref="AX101">INDEX(auto_DataFlat_DataValue,$AV101,1)</f>
        <v>#REF!</v>
      </c>
      <c r="BA101" t="str">
        <f t="shared" si="88"/>
        <v>n/a</v>
      </c>
      <c r="BB101">
        <f t="shared" si="89"/>
        <v>1</v>
      </c>
      <c r="BC101" t="e">
        <f t="shared" si="90"/>
        <v>#REF!</v>
      </c>
      <c r="BD101" t="e">
        <f t="shared" ca="1" si="104"/>
        <v>#N/A</v>
      </c>
      <c r="BE101" t="e">
        <f t="shared" ca="1" si="104"/>
        <v>#N/A</v>
      </c>
      <c r="BF101" t="e">
        <f t="shared" ca="1" si="104"/>
        <v>#N/A</v>
      </c>
      <c r="BH101">
        <f t="shared" ca="1" si="66"/>
        <v>0</v>
      </c>
      <c r="BI101">
        <f t="shared" ca="1" si="66"/>
        <v>0</v>
      </c>
      <c r="BJ101">
        <f t="shared" ca="1" si="66"/>
        <v>0</v>
      </c>
      <c r="BM101" t="e">
        <f t="shared" si="91"/>
        <v>#REF!</v>
      </c>
      <c r="BN101" t="e">
        <f t="shared" ca="1" si="92"/>
        <v>#N/A</v>
      </c>
      <c r="BO101" t="e">
        <f t="shared" ca="1" si="93"/>
        <v>#N/A</v>
      </c>
      <c r="BP101" t="e">
        <f t="shared" ca="1" si="94"/>
        <v>#N/A</v>
      </c>
      <c r="BQ101" t="e">
        <f t="shared" ca="1" si="95"/>
        <v>#N/A</v>
      </c>
      <c r="BR101" t="e">
        <f t="shared" ca="1" si="96"/>
        <v>#N/A</v>
      </c>
      <c r="BS101" t="e">
        <f t="shared" ca="1" si="97"/>
        <v>#N/A</v>
      </c>
      <c r="BT101" t="e">
        <f t="shared" ca="1" si="98"/>
        <v>#N/A</v>
      </c>
      <c r="BU101">
        <f t="shared" ca="1" si="99"/>
        <v>0</v>
      </c>
      <c r="BV101">
        <f t="shared" ca="1" si="100"/>
        <v>0</v>
      </c>
      <c r="BW101">
        <f t="shared" ca="1" si="101"/>
        <v>0</v>
      </c>
      <c r="BX101">
        <f t="shared" ca="1" si="102"/>
        <v>0</v>
      </c>
      <c r="BY101">
        <f t="shared" ca="1" si="103"/>
        <v>0</v>
      </c>
      <c r="BZ101">
        <f t="shared" ca="1" si="73"/>
        <v>0</v>
      </c>
      <c r="CA101">
        <f t="shared" ca="1" si="74"/>
        <v>0</v>
      </c>
    </row>
    <row r="102" spans="1:79" x14ac:dyDescent="0.4">
      <c r="A102" t="str">
        <f t="shared" si="61"/>
        <v>X</v>
      </c>
      <c r="B102">
        <v>91</v>
      </c>
      <c r="C102" t="e" cm="1">
        <f t="array" ref="C102">INDEX(auto_Series_Code,B102)</f>
        <v>#REF!</v>
      </c>
      <c r="D102" t="e" cm="1">
        <f t="array" ref="D102">INDEX(auto_tblSeries,$B102,D$11)</f>
        <v>#REF!</v>
      </c>
      <c r="E102" t="e" cm="1">
        <f t="array" ref="E102">INDEX(auto_tblSeries,$B102,E$11)</f>
        <v>#REF!</v>
      </c>
      <c r="F102" t="e" cm="1">
        <f t="array" ref="F102">INDEX(auto_tblSeries,$B102,F$11)</f>
        <v>#REF!</v>
      </c>
      <c r="G102" t="e" cm="1">
        <f t="array" ref="G102">INDEX(auto_tblSeries,$B102,G$11)</f>
        <v>#REF!</v>
      </c>
      <c r="H102" t="e" cm="1">
        <f t="array" ref="H102">INDEX(auto_tblSeries,$B102,H$11)</f>
        <v>#REF!</v>
      </c>
      <c r="I102" t="e">
        <f t="shared" si="70"/>
        <v>#REF!</v>
      </c>
      <c r="K102" t="e" cm="1">
        <f t="array" ref="K102">INDEX(auto_DataFlat_Score,$I102,K$10)</f>
        <v>#REF!</v>
      </c>
      <c r="L102" t="e" cm="1">
        <f t="array" ref="L102">INDEX(auto_DataFlat_Rank,$I102,L$10)</f>
        <v>#REF!</v>
      </c>
      <c r="M102" t="e" cm="1">
        <f t="array" ref="M102">INDEX(auto_DataFlat_DataValue,$I102,M$10)</f>
        <v>#REF!</v>
      </c>
      <c r="N102" t="e" cm="1">
        <f t="array" ref="N102">INDEX(auto_DataFlat_Classification,$I102,M$10)</f>
        <v>#REF!</v>
      </c>
      <c r="O102" t="e" cm="1">
        <f t="array" ref="O102">INDEX(auto_DataFlat_IsEstimate,$I102,O$10)</f>
        <v>#REF!</v>
      </c>
      <c r="P102" t="e" cm="1">
        <f t="array" ref="P102">IF(INDEX(auto_DataFlat_DataYear,$I102,P$10)=0,"n/a",INDEX(auto_DataFlat_DataYear,$I102,P$10))</f>
        <v>#REF!</v>
      </c>
      <c r="R102" t="e">
        <f t="shared" si="71"/>
        <v>#REF!</v>
      </c>
      <c r="S102" t="e" cm="1">
        <f t="array" ref="S102">INDEX(auto_DataFlat_Score,$R102,S$10)</f>
        <v>#REF!</v>
      </c>
      <c r="U102" t="str">
        <f t="shared" si="75"/>
        <v>n/a</v>
      </c>
      <c r="V102">
        <f t="shared" si="76"/>
        <v>1</v>
      </c>
      <c r="W102" t="e">
        <f t="shared" si="77"/>
        <v>#REF!</v>
      </c>
      <c r="X102" t="e">
        <f t="shared" ca="1" si="105"/>
        <v>#N/A</v>
      </c>
      <c r="Y102" t="e">
        <f t="shared" ca="1" si="105"/>
        <v>#N/A</v>
      </c>
      <c r="Z102" t="e">
        <f t="shared" ca="1" si="105"/>
        <v>#N/A</v>
      </c>
      <c r="AB102">
        <f t="shared" ca="1" si="65"/>
        <v>0</v>
      </c>
      <c r="AC102">
        <f t="shared" ca="1" si="65"/>
        <v>0</v>
      </c>
      <c r="AD102">
        <f t="shared" ca="1" si="65"/>
        <v>0</v>
      </c>
      <c r="AF102" t="e">
        <f t="shared" si="79"/>
        <v>#REF!</v>
      </c>
      <c r="AG102" t="e">
        <f t="shared" ca="1" si="106"/>
        <v>#N/A</v>
      </c>
      <c r="AH102" t="e">
        <f t="shared" ca="1" si="106"/>
        <v>#N/A</v>
      </c>
      <c r="AI102" t="e">
        <f t="shared" ca="1" si="106"/>
        <v>#N/A</v>
      </c>
      <c r="AJ102" t="e">
        <f t="shared" ca="1" si="106"/>
        <v>#N/A</v>
      </c>
      <c r="AK102" t="e">
        <f t="shared" ca="1" si="106"/>
        <v>#N/A</v>
      </c>
      <c r="AL102" t="e">
        <f t="shared" ca="1" si="106"/>
        <v>#N/A</v>
      </c>
      <c r="AM102" t="e">
        <f t="shared" ca="1" si="106"/>
        <v>#N/A</v>
      </c>
      <c r="AN102">
        <f t="shared" ca="1" si="81"/>
        <v>0</v>
      </c>
      <c r="AO102">
        <f t="shared" ca="1" si="82"/>
        <v>0</v>
      </c>
      <c r="AP102">
        <f t="shared" ca="1" si="83"/>
        <v>0</v>
      </c>
      <c r="AQ102">
        <f t="shared" ca="1" si="84"/>
        <v>0</v>
      </c>
      <c r="AR102">
        <f t="shared" ca="1" si="85"/>
        <v>0</v>
      </c>
      <c r="AS102">
        <f t="shared" ca="1" si="86"/>
        <v>0</v>
      </c>
      <c r="AT102">
        <f t="shared" ca="1" si="87"/>
        <v>0</v>
      </c>
      <c r="AV102" t="e">
        <f t="shared" si="6"/>
        <v>#REF!</v>
      </c>
      <c r="AW102" t="e" cm="1">
        <f t="array" ref="AW102">INDEX(auto_DataFlat_Score,$AV102,1)</f>
        <v>#REF!</v>
      </c>
      <c r="AX102" t="e" cm="1">
        <f t="array" ref="AX102">INDEX(auto_DataFlat_DataValue,$AV102,1)</f>
        <v>#REF!</v>
      </c>
      <c r="BA102" t="str">
        <f t="shared" si="88"/>
        <v>n/a</v>
      </c>
      <c r="BB102">
        <f t="shared" si="89"/>
        <v>1</v>
      </c>
      <c r="BC102" t="e">
        <f t="shared" si="90"/>
        <v>#REF!</v>
      </c>
      <c r="BD102" t="e">
        <f t="shared" ca="1" si="104"/>
        <v>#N/A</v>
      </c>
      <c r="BE102" t="e">
        <f t="shared" ca="1" si="104"/>
        <v>#N/A</v>
      </c>
      <c r="BF102" t="e">
        <f t="shared" ca="1" si="104"/>
        <v>#N/A</v>
      </c>
      <c r="BH102">
        <f t="shared" ca="1" si="66"/>
        <v>0</v>
      </c>
      <c r="BI102">
        <f t="shared" ca="1" si="66"/>
        <v>0</v>
      </c>
      <c r="BJ102">
        <f t="shared" ca="1" si="66"/>
        <v>0</v>
      </c>
      <c r="BM102" t="e">
        <f t="shared" si="91"/>
        <v>#REF!</v>
      </c>
      <c r="BN102" t="e">
        <f t="shared" ca="1" si="92"/>
        <v>#N/A</v>
      </c>
      <c r="BO102" t="e">
        <f t="shared" ca="1" si="93"/>
        <v>#N/A</v>
      </c>
      <c r="BP102" t="e">
        <f t="shared" ca="1" si="94"/>
        <v>#N/A</v>
      </c>
      <c r="BQ102" t="e">
        <f t="shared" ca="1" si="95"/>
        <v>#N/A</v>
      </c>
      <c r="BR102" t="e">
        <f t="shared" ca="1" si="96"/>
        <v>#N/A</v>
      </c>
      <c r="BS102" t="e">
        <f t="shared" ca="1" si="97"/>
        <v>#N/A</v>
      </c>
      <c r="BT102" t="e">
        <f t="shared" ca="1" si="98"/>
        <v>#N/A</v>
      </c>
      <c r="BU102">
        <f t="shared" ca="1" si="99"/>
        <v>0</v>
      </c>
      <c r="BV102">
        <f t="shared" ca="1" si="100"/>
        <v>0</v>
      </c>
      <c r="BW102">
        <f t="shared" ca="1" si="101"/>
        <v>0</v>
      </c>
      <c r="BX102">
        <f t="shared" ca="1" si="102"/>
        <v>0</v>
      </c>
      <c r="BY102">
        <f t="shared" ca="1" si="103"/>
        <v>0</v>
      </c>
      <c r="BZ102">
        <f t="shared" ca="1" si="73"/>
        <v>0</v>
      </c>
      <c r="CA102">
        <f t="shared" ca="1" si="74"/>
        <v>0</v>
      </c>
    </row>
    <row r="103" spans="1:79" x14ac:dyDescent="0.4">
      <c r="A103" t="str">
        <f t="shared" si="61"/>
        <v>X</v>
      </c>
      <c r="B103">
        <v>92</v>
      </c>
      <c r="C103" t="e" cm="1">
        <f t="array" ref="C103">INDEX(auto_Series_Code,B103)</f>
        <v>#REF!</v>
      </c>
      <c r="D103" t="e" cm="1">
        <f t="array" ref="D103">INDEX(auto_tblSeries,$B103,D$11)</f>
        <v>#REF!</v>
      </c>
      <c r="E103" t="e" cm="1">
        <f t="array" ref="E103">INDEX(auto_tblSeries,$B103,E$11)</f>
        <v>#REF!</v>
      </c>
      <c r="F103" t="e" cm="1">
        <f t="array" ref="F103">INDEX(auto_tblSeries,$B103,F$11)</f>
        <v>#REF!</v>
      </c>
      <c r="G103" t="e" cm="1">
        <f t="array" ref="G103">INDEX(auto_tblSeries,$B103,G$11)</f>
        <v>#REF!</v>
      </c>
      <c r="H103" t="e" cm="1">
        <f t="array" ref="H103">INDEX(auto_tblSeries,$B103,H$11)</f>
        <v>#REF!</v>
      </c>
      <c r="I103" t="e">
        <f t="shared" si="70"/>
        <v>#REF!</v>
      </c>
      <c r="K103" t="e" cm="1">
        <f t="array" ref="K103">INDEX(auto_DataFlat_Score,$I103,K$10)</f>
        <v>#REF!</v>
      </c>
      <c r="L103" t="e" cm="1">
        <f t="array" ref="L103">INDEX(auto_DataFlat_Rank,$I103,L$10)</f>
        <v>#REF!</v>
      </c>
      <c r="M103" t="e" cm="1">
        <f t="array" ref="M103">INDEX(auto_DataFlat_DataValue,$I103,M$10)</f>
        <v>#REF!</v>
      </c>
      <c r="N103" t="e" cm="1">
        <f t="array" ref="N103">INDEX(auto_DataFlat_Classification,$I103,M$10)</f>
        <v>#REF!</v>
      </c>
      <c r="O103" t="e" cm="1">
        <f t="array" ref="O103">INDEX(auto_DataFlat_IsEstimate,$I103,O$10)</f>
        <v>#REF!</v>
      </c>
      <c r="P103" t="e" cm="1">
        <f t="array" ref="P103">IF(INDEX(auto_DataFlat_DataYear,$I103,P$10)=0,"n/a",INDEX(auto_DataFlat_DataYear,$I103,P$10))</f>
        <v>#REF!</v>
      </c>
      <c r="R103" t="e">
        <f t="shared" si="71"/>
        <v>#REF!</v>
      </c>
      <c r="S103" t="e" cm="1">
        <f t="array" ref="S103">INDEX(auto_DataFlat_Score,$R103,S$10)</f>
        <v>#REF!</v>
      </c>
      <c r="U103" t="str">
        <f t="shared" si="75"/>
        <v>n/a</v>
      </c>
      <c r="V103">
        <f t="shared" si="76"/>
        <v>1</v>
      </c>
      <c r="W103" t="e">
        <f t="shared" si="77"/>
        <v>#REF!</v>
      </c>
      <c r="X103" t="e">
        <f t="shared" ca="1" si="105"/>
        <v>#N/A</v>
      </c>
      <c r="Y103" t="e">
        <f t="shared" ca="1" si="105"/>
        <v>#N/A</v>
      </c>
      <c r="Z103" t="e">
        <f t="shared" ca="1" si="105"/>
        <v>#N/A</v>
      </c>
      <c r="AB103">
        <f t="shared" ca="1" si="65"/>
        <v>0</v>
      </c>
      <c r="AC103">
        <f t="shared" ca="1" si="65"/>
        <v>0</v>
      </c>
      <c r="AD103">
        <f t="shared" ca="1" si="65"/>
        <v>0</v>
      </c>
      <c r="AF103" t="e">
        <f t="shared" si="79"/>
        <v>#REF!</v>
      </c>
      <c r="AG103" t="e">
        <f t="shared" ca="1" si="106"/>
        <v>#N/A</v>
      </c>
      <c r="AH103" t="e">
        <f t="shared" ca="1" si="106"/>
        <v>#N/A</v>
      </c>
      <c r="AI103" t="e">
        <f t="shared" ca="1" si="106"/>
        <v>#N/A</v>
      </c>
      <c r="AJ103" t="e">
        <f t="shared" ca="1" si="106"/>
        <v>#N/A</v>
      </c>
      <c r="AK103" t="e">
        <f t="shared" ca="1" si="106"/>
        <v>#N/A</v>
      </c>
      <c r="AL103" t="e">
        <f t="shared" ca="1" si="106"/>
        <v>#N/A</v>
      </c>
      <c r="AM103" t="e">
        <f t="shared" ca="1" si="106"/>
        <v>#N/A</v>
      </c>
      <c r="AN103">
        <f t="shared" ca="1" si="81"/>
        <v>0</v>
      </c>
      <c r="AO103">
        <f t="shared" ca="1" si="82"/>
        <v>0</v>
      </c>
      <c r="AP103">
        <f t="shared" ca="1" si="83"/>
        <v>0</v>
      </c>
      <c r="AQ103">
        <f t="shared" ca="1" si="84"/>
        <v>0</v>
      </c>
      <c r="AR103">
        <f t="shared" ca="1" si="85"/>
        <v>0</v>
      </c>
      <c r="AS103">
        <f t="shared" ca="1" si="86"/>
        <v>0</v>
      </c>
      <c r="AT103">
        <f t="shared" ca="1" si="87"/>
        <v>0</v>
      </c>
      <c r="AV103" t="e">
        <f t="shared" si="6"/>
        <v>#REF!</v>
      </c>
      <c r="AW103" t="e" cm="1">
        <f t="array" ref="AW103">INDEX(auto_DataFlat_Score,$AV103,1)</f>
        <v>#REF!</v>
      </c>
      <c r="AX103" t="e" cm="1">
        <f t="array" ref="AX103">INDEX(auto_DataFlat_DataValue,$AV103,1)</f>
        <v>#REF!</v>
      </c>
      <c r="BA103" t="str">
        <f t="shared" si="88"/>
        <v>n/a</v>
      </c>
      <c r="BB103">
        <f t="shared" si="89"/>
        <v>1</v>
      </c>
      <c r="BC103" t="e">
        <f t="shared" si="90"/>
        <v>#REF!</v>
      </c>
      <c r="BD103" t="e">
        <f t="shared" ca="1" si="104"/>
        <v>#N/A</v>
      </c>
      <c r="BE103" t="e">
        <f t="shared" ca="1" si="104"/>
        <v>#N/A</v>
      </c>
      <c r="BF103" t="e">
        <f t="shared" ca="1" si="104"/>
        <v>#N/A</v>
      </c>
      <c r="BH103">
        <f t="shared" ca="1" si="66"/>
        <v>0</v>
      </c>
      <c r="BI103">
        <f t="shared" ca="1" si="66"/>
        <v>0</v>
      </c>
      <c r="BJ103">
        <f t="shared" ca="1" si="66"/>
        <v>0</v>
      </c>
      <c r="BM103" t="e">
        <f t="shared" si="91"/>
        <v>#REF!</v>
      </c>
      <c r="BN103" t="e">
        <f t="shared" ca="1" si="92"/>
        <v>#N/A</v>
      </c>
      <c r="BO103" t="e">
        <f t="shared" ca="1" si="93"/>
        <v>#N/A</v>
      </c>
      <c r="BP103" t="e">
        <f t="shared" ca="1" si="94"/>
        <v>#N/A</v>
      </c>
      <c r="BQ103" t="e">
        <f t="shared" ca="1" si="95"/>
        <v>#N/A</v>
      </c>
      <c r="BR103" t="e">
        <f t="shared" ca="1" si="96"/>
        <v>#N/A</v>
      </c>
      <c r="BS103" t="e">
        <f t="shared" ca="1" si="97"/>
        <v>#N/A</v>
      </c>
      <c r="BT103" t="e">
        <f t="shared" ca="1" si="98"/>
        <v>#N/A</v>
      </c>
      <c r="BU103">
        <f t="shared" ca="1" si="99"/>
        <v>0</v>
      </c>
      <c r="BV103">
        <f t="shared" ca="1" si="100"/>
        <v>0</v>
      </c>
      <c r="BW103">
        <f t="shared" ca="1" si="101"/>
        <v>0</v>
      </c>
      <c r="BX103">
        <f t="shared" ca="1" si="102"/>
        <v>0</v>
      </c>
      <c r="BY103">
        <f t="shared" ca="1" si="103"/>
        <v>0</v>
      </c>
      <c r="BZ103">
        <f t="shared" ca="1" si="73"/>
        <v>0</v>
      </c>
      <c r="CA103">
        <f t="shared" ca="1" si="74"/>
        <v>0</v>
      </c>
    </row>
    <row r="104" spans="1:79" x14ac:dyDescent="0.4">
      <c r="A104" t="str">
        <f t="shared" si="61"/>
        <v>X</v>
      </c>
      <c r="B104">
        <v>93</v>
      </c>
      <c r="C104" t="e" cm="1">
        <f t="array" ref="C104">INDEX(auto_Series_Code,B104)</f>
        <v>#REF!</v>
      </c>
      <c r="D104" t="e" cm="1">
        <f t="array" ref="D104">INDEX(auto_tblSeries,$B104,D$11)</f>
        <v>#REF!</v>
      </c>
      <c r="E104" t="e" cm="1">
        <f t="array" ref="E104">INDEX(auto_tblSeries,$B104,E$11)</f>
        <v>#REF!</v>
      </c>
      <c r="F104" t="e" cm="1">
        <f t="array" ref="F104">INDEX(auto_tblSeries,$B104,F$11)</f>
        <v>#REF!</v>
      </c>
      <c r="G104" t="e" cm="1">
        <f t="array" ref="G104">INDEX(auto_tblSeries,$B104,G$11)</f>
        <v>#REF!</v>
      </c>
      <c r="H104" t="e" cm="1">
        <f t="array" ref="H104">INDEX(auto_tblSeries,$B104,H$11)</f>
        <v>#REF!</v>
      </c>
      <c r="I104" t="e">
        <f t="shared" si="70"/>
        <v>#REF!</v>
      </c>
      <c r="K104" t="e" cm="1">
        <f t="array" ref="K104">INDEX(auto_DataFlat_Score,$I104,K$10)</f>
        <v>#REF!</v>
      </c>
      <c r="L104" t="e" cm="1">
        <f t="array" ref="L104">INDEX(auto_DataFlat_Rank,$I104,L$10)</f>
        <v>#REF!</v>
      </c>
      <c r="M104" t="e" cm="1">
        <f t="array" ref="M104">INDEX(auto_DataFlat_DataValue,$I104,M$10)</f>
        <v>#REF!</v>
      </c>
      <c r="N104" t="e" cm="1">
        <f t="array" ref="N104">INDEX(auto_DataFlat_Classification,$I104,M$10)</f>
        <v>#REF!</v>
      </c>
      <c r="O104" t="e" cm="1">
        <f t="array" ref="O104">INDEX(auto_DataFlat_IsEstimate,$I104,O$10)</f>
        <v>#REF!</v>
      </c>
      <c r="P104" t="e" cm="1">
        <f t="array" ref="P104">IF(INDEX(auto_DataFlat_DataYear,$I104,P$10)=0,"n/a",INDEX(auto_DataFlat_DataYear,$I104,P$10))</f>
        <v>#REF!</v>
      </c>
      <c r="R104" t="e">
        <f t="shared" si="71"/>
        <v>#REF!</v>
      </c>
      <c r="S104" t="e" cm="1">
        <f t="array" ref="S104">INDEX(auto_DataFlat_Score,$R104,S$10)</f>
        <v>#REF!</v>
      </c>
      <c r="U104" t="str">
        <f t="shared" si="75"/>
        <v>n/a</v>
      </c>
      <c r="V104">
        <f t="shared" si="76"/>
        <v>1</v>
      </c>
      <c r="W104" t="e">
        <f t="shared" si="77"/>
        <v>#REF!</v>
      </c>
      <c r="X104" t="e">
        <f t="shared" ca="1" si="105"/>
        <v>#N/A</v>
      </c>
      <c r="Y104" t="e">
        <f t="shared" ca="1" si="105"/>
        <v>#N/A</v>
      </c>
      <c r="Z104" t="e">
        <f t="shared" ca="1" si="105"/>
        <v>#N/A</v>
      </c>
      <c r="AB104">
        <f t="shared" ca="1" si="65"/>
        <v>0</v>
      </c>
      <c r="AC104">
        <f t="shared" ca="1" si="65"/>
        <v>0</v>
      </c>
      <c r="AD104">
        <f t="shared" ca="1" si="65"/>
        <v>0</v>
      </c>
      <c r="AF104" t="e">
        <f t="shared" si="79"/>
        <v>#REF!</v>
      </c>
      <c r="AG104" t="e">
        <f t="shared" ca="1" si="106"/>
        <v>#N/A</v>
      </c>
      <c r="AH104" t="e">
        <f t="shared" ca="1" si="106"/>
        <v>#N/A</v>
      </c>
      <c r="AI104" t="e">
        <f t="shared" ca="1" si="106"/>
        <v>#N/A</v>
      </c>
      <c r="AJ104" t="e">
        <f t="shared" ca="1" si="106"/>
        <v>#N/A</v>
      </c>
      <c r="AK104" t="e">
        <f t="shared" ca="1" si="106"/>
        <v>#N/A</v>
      </c>
      <c r="AL104" t="e">
        <f t="shared" ca="1" si="106"/>
        <v>#N/A</v>
      </c>
      <c r="AM104" t="e">
        <f t="shared" ca="1" si="106"/>
        <v>#N/A</v>
      </c>
      <c r="AN104">
        <f t="shared" ca="1" si="81"/>
        <v>0</v>
      </c>
      <c r="AO104">
        <f t="shared" ca="1" si="82"/>
        <v>0</v>
      </c>
      <c r="AP104">
        <f t="shared" ca="1" si="83"/>
        <v>0</v>
      </c>
      <c r="AQ104">
        <f t="shared" ca="1" si="84"/>
        <v>0</v>
      </c>
      <c r="AR104">
        <f t="shared" ca="1" si="85"/>
        <v>0</v>
      </c>
      <c r="AS104">
        <f t="shared" ca="1" si="86"/>
        <v>0</v>
      </c>
      <c r="AT104">
        <f t="shared" ca="1" si="87"/>
        <v>0</v>
      </c>
      <c r="AV104" t="e">
        <f t="shared" si="6"/>
        <v>#REF!</v>
      </c>
      <c r="AW104" t="e" cm="1">
        <f t="array" ref="AW104">INDEX(auto_DataFlat_Score,$AV104,1)</f>
        <v>#REF!</v>
      </c>
      <c r="AX104" t="e" cm="1">
        <f t="array" ref="AX104">INDEX(auto_DataFlat_DataValue,$AV104,1)</f>
        <v>#REF!</v>
      </c>
      <c r="BA104" t="str">
        <f t="shared" si="88"/>
        <v>n/a</v>
      </c>
      <c r="BB104">
        <f t="shared" si="89"/>
        <v>1</v>
      </c>
      <c r="BC104" t="e">
        <f t="shared" si="90"/>
        <v>#REF!</v>
      </c>
      <c r="BD104" t="e">
        <f t="shared" ca="1" si="104"/>
        <v>#N/A</v>
      </c>
      <c r="BE104" t="e">
        <f t="shared" ca="1" si="104"/>
        <v>#N/A</v>
      </c>
      <c r="BF104" t="e">
        <f t="shared" ca="1" si="104"/>
        <v>#N/A</v>
      </c>
      <c r="BH104">
        <f t="shared" ca="1" si="66"/>
        <v>0</v>
      </c>
      <c r="BI104">
        <f t="shared" ca="1" si="66"/>
        <v>0</v>
      </c>
      <c r="BJ104">
        <f t="shared" ca="1" si="66"/>
        <v>0</v>
      </c>
      <c r="BM104" t="e">
        <f t="shared" si="91"/>
        <v>#REF!</v>
      </c>
      <c r="BN104" t="e">
        <f t="shared" ca="1" si="92"/>
        <v>#N/A</v>
      </c>
      <c r="BO104" t="e">
        <f t="shared" ca="1" si="93"/>
        <v>#N/A</v>
      </c>
      <c r="BP104" t="e">
        <f t="shared" ca="1" si="94"/>
        <v>#N/A</v>
      </c>
      <c r="BQ104" t="e">
        <f t="shared" ca="1" si="95"/>
        <v>#N/A</v>
      </c>
      <c r="BR104" t="e">
        <f t="shared" ca="1" si="96"/>
        <v>#N/A</v>
      </c>
      <c r="BS104" t="e">
        <f t="shared" ca="1" si="97"/>
        <v>#N/A</v>
      </c>
      <c r="BT104" t="e">
        <f t="shared" ca="1" si="98"/>
        <v>#N/A</v>
      </c>
      <c r="BU104">
        <f t="shared" ca="1" si="99"/>
        <v>0</v>
      </c>
      <c r="BV104">
        <f t="shared" ca="1" si="100"/>
        <v>0</v>
      </c>
      <c r="BW104">
        <f t="shared" ca="1" si="101"/>
        <v>0</v>
      </c>
      <c r="BX104">
        <f t="shared" ca="1" si="102"/>
        <v>0</v>
      </c>
      <c r="BY104">
        <f t="shared" ca="1" si="103"/>
        <v>0</v>
      </c>
      <c r="BZ104">
        <f t="shared" ca="1" si="73"/>
        <v>0</v>
      </c>
      <c r="CA104">
        <f t="shared" ca="1" si="74"/>
        <v>0</v>
      </c>
    </row>
    <row r="105" spans="1:79" x14ac:dyDescent="0.4">
      <c r="A105" t="str">
        <f t="shared" si="61"/>
        <v>X</v>
      </c>
      <c r="B105">
        <v>94</v>
      </c>
      <c r="C105" t="e" cm="1">
        <f t="array" ref="C105">INDEX(auto_Series_Code,B105)</f>
        <v>#REF!</v>
      </c>
      <c r="D105" t="e" cm="1">
        <f t="array" ref="D105">INDEX(auto_tblSeries,$B105,D$11)</f>
        <v>#REF!</v>
      </c>
      <c r="E105" t="e" cm="1">
        <f t="array" ref="E105">INDEX(auto_tblSeries,$B105,E$11)</f>
        <v>#REF!</v>
      </c>
      <c r="F105" t="e" cm="1">
        <f t="array" ref="F105">INDEX(auto_tblSeries,$B105,F$11)</f>
        <v>#REF!</v>
      </c>
      <c r="G105" t="e" cm="1">
        <f t="array" ref="G105">INDEX(auto_tblSeries,$B105,G$11)</f>
        <v>#REF!</v>
      </c>
      <c r="H105" t="e" cm="1">
        <f t="array" ref="H105">INDEX(auto_tblSeries,$B105,H$11)</f>
        <v>#REF!</v>
      </c>
      <c r="I105" t="e">
        <f t="shared" si="70"/>
        <v>#REF!</v>
      </c>
      <c r="K105" t="e" cm="1">
        <f t="array" ref="K105">INDEX(auto_DataFlat_Score,$I105,K$10)</f>
        <v>#REF!</v>
      </c>
      <c r="L105" t="e" cm="1">
        <f t="array" ref="L105">INDEX(auto_DataFlat_Rank,$I105,L$10)</f>
        <v>#REF!</v>
      </c>
      <c r="M105" t="e" cm="1">
        <f t="array" ref="M105">INDEX(auto_DataFlat_DataValue,$I105,M$10)</f>
        <v>#REF!</v>
      </c>
      <c r="N105" t="e" cm="1">
        <f t="array" ref="N105">INDEX(auto_DataFlat_Classification,$I105,M$10)</f>
        <v>#REF!</v>
      </c>
      <c r="O105" t="e" cm="1">
        <f t="array" ref="O105">INDEX(auto_DataFlat_IsEstimate,$I105,O$10)</f>
        <v>#REF!</v>
      </c>
      <c r="P105" t="e" cm="1">
        <f t="array" ref="P105">IF(INDEX(auto_DataFlat_DataYear,$I105,P$10)=0,"n/a",INDEX(auto_DataFlat_DataYear,$I105,P$10))</f>
        <v>#REF!</v>
      </c>
      <c r="R105" t="e">
        <f t="shared" si="71"/>
        <v>#REF!</v>
      </c>
      <c r="S105" t="e" cm="1">
        <f t="array" ref="S105">INDEX(auto_DataFlat_Score,$R105,S$10)</f>
        <v>#REF!</v>
      </c>
      <c r="U105" t="str">
        <f t="shared" si="75"/>
        <v>n/a</v>
      </c>
      <c r="V105">
        <f t="shared" si="76"/>
        <v>1</v>
      </c>
      <c r="W105" t="e">
        <f t="shared" si="77"/>
        <v>#REF!</v>
      </c>
      <c r="X105" t="e">
        <f t="shared" ca="1" si="105"/>
        <v>#N/A</v>
      </c>
      <c r="Y105" t="e">
        <f t="shared" ca="1" si="105"/>
        <v>#N/A</v>
      </c>
      <c r="Z105" t="e">
        <f t="shared" ca="1" si="105"/>
        <v>#N/A</v>
      </c>
      <c r="AB105">
        <f t="shared" ca="1" si="65"/>
        <v>0</v>
      </c>
      <c r="AC105">
        <f t="shared" ca="1" si="65"/>
        <v>0</v>
      </c>
      <c r="AD105">
        <f t="shared" ca="1" si="65"/>
        <v>0</v>
      </c>
      <c r="AF105" t="e">
        <f t="shared" si="79"/>
        <v>#REF!</v>
      </c>
      <c r="AG105" t="e">
        <f t="shared" ca="1" si="106"/>
        <v>#N/A</v>
      </c>
      <c r="AH105" t="e">
        <f t="shared" ca="1" si="106"/>
        <v>#N/A</v>
      </c>
      <c r="AI105" t="e">
        <f t="shared" ca="1" si="106"/>
        <v>#N/A</v>
      </c>
      <c r="AJ105" t="e">
        <f t="shared" ca="1" si="106"/>
        <v>#N/A</v>
      </c>
      <c r="AK105" t="e">
        <f t="shared" ca="1" si="106"/>
        <v>#N/A</v>
      </c>
      <c r="AL105" t="e">
        <f t="shared" ca="1" si="106"/>
        <v>#N/A</v>
      </c>
      <c r="AM105" t="e">
        <f t="shared" ca="1" si="106"/>
        <v>#N/A</v>
      </c>
      <c r="AN105">
        <f t="shared" ca="1" si="81"/>
        <v>0</v>
      </c>
      <c r="AO105">
        <f t="shared" ca="1" si="82"/>
        <v>0</v>
      </c>
      <c r="AP105">
        <f t="shared" ca="1" si="83"/>
        <v>0</v>
      </c>
      <c r="AQ105">
        <f t="shared" ca="1" si="84"/>
        <v>0</v>
      </c>
      <c r="AR105">
        <f t="shared" ca="1" si="85"/>
        <v>0</v>
      </c>
      <c r="AS105">
        <f t="shared" ca="1" si="86"/>
        <v>0</v>
      </c>
      <c r="AT105">
        <f t="shared" ca="1" si="87"/>
        <v>0</v>
      </c>
      <c r="AV105" t="e">
        <f t="shared" si="6"/>
        <v>#REF!</v>
      </c>
      <c r="AW105" t="e" cm="1">
        <f t="array" ref="AW105">INDEX(auto_DataFlat_Score,$AV105,1)</f>
        <v>#REF!</v>
      </c>
      <c r="AX105" t="e" cm="1">
        <f t="array" ref="AX105">INDEX(auto_DataFlat_DataValue,$AV105,1)</f>
        <v>#REF!</v>
      </c>
      <c r="BA105" t="str">
        <f t="shared" si="88"/>
        <v>n/a</v>
      </c>
      <c r="BB105">
        <f t="shared" si="89"/>
        <v>1</v>
      </c>
      <c r="BC105" t="e">
        <f t="shared" si="90"/>
        <v>#REF!</v>
      </c>
      <c r="BD105" t="e">
        <f t="shared" ca="1" si="104"/>
        <v>#N/A</v>
      </c>
      <c r="BE105" t="e">
        <f t="shared" ca="1" si="104"/>
        <v>#N/A</v>
      </c>
      <c r="BF105" t="e">
        <f t="shared" ca="1" si="104"/>
        <v>#N/A</v>
      </c>
      <c r="BH105">
        <f t="shared" ca="1" si="66"/>
        <v>0</v>
      </c>
      <c r="BI105">
        <f t="shared" ca="1" si="66"/>
        <v>0</v>
      </c>
      <c r="BJ105">
        <f t="shared" ca="1" si="66"/>
        <v>0</v>
      </c>
      <c r="BM105" t="e">
        <f t="shared" si="91"/>
        <v>#REF!</v>
      </c>
      <c r="BN105" t="e">
        <f t="shared" ca="1" si="92"/>
        <v>#N/A</v>
      </c>
      <c r="BO105" t="e">
        <f t="shared" ca="1" si="93"/>
        <v>#N/A</v>
      </c>
      <c r="BP105" t="e">
        <f t="shared" ca="1" si="94"/>
        <v>#N/A</v>
      </c>
      <c r="BQ105" t="e">
        <f t="shared" ca="1" si="95"/>
        <v>#N/A</v>
      </c>
      <c r="BR105" t="e">
        <f t="shared" ca="1" si="96"/>
        <v>#N/A</v>
      </c>
      <c r="BS105" t="e">
        <f t="shared" ca="1" si="97"/>
        <v>#N/A</v>
      </c>
      <c r="BT105" t="e">
        <f t="shared" ca="1" si="98"/>
        <v>#N/A</v>
      </c>
      <c r="BU105">
        <f t="shared" ca="1" si="99"/>
        <v>0</v>
      </c>
      <c r="BV105">
        <f t="shared" ca="1" si="100"/>
        <v>0</v>
      </c>
      <c r="BW105">
        <f t="shared" ca="1" si="101"/>
        <v>0</v>
      </c>
      <c r="BX105">
        <f t="shared" ca="1" si="102"/>
        <v>0</v>
      </c>
      <c r="BY105">
        <f t="shared" ca="1" si="103"/>
        <v>0</v>
      </c>
      <c r="BZ105">
        <f t="shared" ca="1" si="73"/>
        <v>0</v>
      </c>
      <c r="CA105">
        <f t="shared" ca="1" si="74"/>
        <v>0</v>
      </c>
    </row>
    <row r="106" spans="1:79" x14ac:dyDescent="0.4">
      <c r="A106" t="str">
        <f t="shared" ref="A106:A169" si="107">IF(ISERROR(C106),"X","")</f>
        <v>X</v>
      </c>
      <c r="B106">
        <v>95</v>
      </c>
      <c r="C106" t="e" cm="1">
        <f t="array" ref="C106">INDEX(auto_Series_Code,B106)</f>
        <v>#REF!</v>
      </c>
      <c r="D106" t="e" cm="1">
        <f t="array" ref="D106">INDEX(auto_tblSeries,$B106,D$11)</f>
        <v>#REF!</v>
      </c>
      <c r="E106" t="e" cm="1">
        <f t="array" ref="E106">INDEX(auto_tblSeries,$B106,E$11)</f>
        <v>#REF!</v>
      </c>
      <c r="F106" t="e" cm="1">
        <f t="array" ref="F106">INDEX(auto_tblSeries,$B106,F$11)</f>
        <v>#REF!</v>
      </c>
      <c r="G106" t="e" cm="1">
        <f t="array" ref="G106">INDEX(auto_tblSeries,$B106,G$11)</f>
        <v>#REF!</v>
      </c>
      <c r="H106" t="e" cm="1">
        <f t="array" ref="H106">INDEX(auto_tblSeries,$B106,H$11)</f>
        <v>#REF!</v>
      </c>
      <c r="I106" t="e">
        <f t="shared" si="70"/>
        <v>#REF!</v>
      </c>
      <c r="K106" t="e" cm="1">
        <f t="array" ref="K106">INDEX(auto_DataFlat_Score,$I106,K$10)</f>
        <v>#REF!</v>
      </c>
      <c r="L106" t="e" cm="1">
        <f t="array" ref="L106">INDEX(auto_DataFlat_Rank,$I106,L$10)</f>
        <v>#REF!</v>
      </c>
      <c r="M106" t="e" cm="1">
        <f t="array" ref="M106">INDEX(auto_DataFlat_DataValue,$I106,M$10)</f>
        <v>#REF!</v>
      </c>
      <c r="N106" t="e" cm="1">
        <f t="array" ref="N106">INDEX(auto_DataFlat_Classification,$I106,M$10)</f>
        <v>#REF!</v>
      </c>
      <c r="O106" t="e" cm="1">
        <f t="array" ref="O106">INDEX(auto_DataFlat_IsEstimate,$I106,O$10)</f>
        <v>#REF!</v>
      </c>
      <c r="P106" t="e" cm="1">
        <f t="array" ref="P106">IF(INDEX(auto_DataFlat_DataYear,$I106,P$10)=0,"n/a",INDEX(auto_DataFlat_DataYear,$I106,P$10))</f>
        <v>#REF!</v>
      </c>
      <c r="R106" t="e">
        <f t="shared" si="71"/>
        <v>#REF!</v>
      </c>
      <c r="S106" t="e" cm="1">
        <f t="array" ref="S106">INDEX(auto_DataFlat_Score,$R106,S$10)</f>
        <v>#REF!</v>
      </c>
      <c r="U106" t="str">
        <f t="shared" si="75"/>
        <v>n/a</v>
      </c>
      <c r="V106">
        <f t="shared" si="76"/>
        <v>1</v>
      </c>
      <c r="W106" t="e">
        <f t="shared" si="77"/>
        <v>#REF!</v>
      </c>
      <c r="X106" t="e">
        <f t="shared" ca="1" si="105"/>
        <v>#N/A</v>
      </c>
      <c r="Y106" t="e">
        <f t="shared" ca="1" si="105"/>
        <v>#N/A</v>
      </c>
      <c r="Z106" t="e">
        <f t="shared" ca="1" si="105"/>
        <v>#N/A</v>
      </c>
      <c r="AB106">
        <f t="shared" ca="1" si="65"/>
        <v>0</v>
      </c>
      <c r="AC106">
        <f t="shared" ca="1" si="65"/>
        <v>0</v>
      </c>
      <c r="AD106">
        <f t="shared" ca="1" si="65"/>
        <v>0</v>
      </c>
      <c r="AF106" t="e">
        <f t="shared" si="79"/>
        <v>#REF!</v>
      </c>
      <c r="AG106" t="e">
        <f t="shared" ca="1" si="106"/>
        <v>#N/A</v>
      </c>
      <c r="AH106" t="e">
        <f t="shared" ca="1" si="106"/>
        <v>#N/A</v>
      </c>
      <c r="AI106" t="e">
        <f t="shared" ca="1" si="106"/>
        <v>#N/A</v>
      </c>
      <c r="AJ106" t="e">
        <f t="shared" ca="1" si="106"/>
        <v>#N/A</v>
      </c>
      <c r="AK106" t="e">
        <f t="shared" ca="1" si="106"/>
        <v>#N/A</v>
      </c>
      <c r="AL106" t="e">
        <f t="shared" ca="1" si="106"/>
        <v>#N/A</v>
      </c>
      <c r="AM106" t="e">
        <f t="shared" ca="1" si="106"/>
        <v>#N/A</v>
      </c>
      <c r="AN106">
        <f t="shared" ca="1" si="81"/>
        <v>0</v>
      </c>
      <c r="AO106">
        <f t="shared" ca="1" si="82"/>
        <v>0</v>
      </c>
      <c r="AP106">
        <f t="shared" ca="1" si="83"/>
        <v>0</v>
      </c>
      <c r="AQ106">
        <f t="shared" ca="1" si="84"/>
        <v>0</v>
      </c>
      <c r="AR106">
        <f t="shared" ca="1" si="85"/>
        <v>0</v>
      </c>
      <c r="AS106">
        <f t="shared" ca="1" si="86"/>
        <v>0</v>
      </c>
      <c r="AT106">
        <f t="shared" ca="1" si="87"/>
        <v>0</v>
      </c>
      <c r="AV106" t="e">
        <f t="shared" si="6"/>
        <v>#REF!</v>
      </c>
      <c r="AW106" t="e" cm="1">
        <f t="array" ref="AW106">INDEX(auto_DataFlat_Score,$AV106,1)</f>
        <v>#REF!</v>
      </c>
      <c r="AX106" t="e" cm="1">
        <f t="array" ref="AX106">INDEX(auto_DataFlat_DataValue,$AV106,1)</f>
        <v>#REF!</v>
      </c>
      <c r="BA106" t="str">
        <f t="shared" si="88"/>
        <v>n/a</v>
      </c>
      <c r="BB106">
        <f t="shared" si="89"/>
        <v>1</v>
      </c>
      <c r="BC106" t="e">
        <f t="shared" si="90"/>
        <v>#REF!</v>
      </c>
      <c r="BD106" t="e">
        <f t="shared" ca="1" si="104"/>
        <v>#N/A</v>
      </c>
      <c r="BE106" t="e">
        <f t="shared" ca="1" si="104"/>
        <v>#N/A</v>
      </c>
      <c r="BF106" t="e">
        <f t="shared" ca="1" si="104"/>
        <v>#N/A</v>
      </c>
      <c r="BH106">
        <f t="shared" ca="1" si="66"/>
        <v>0</v>
      </c>
      <c r="BI106">
        <f t="shared" ca="1" si="66"/>
        <v>0</v>
      </c>
      <c r="BJ106">
        <f t="shared" ca="1" si="66"/>
        <v>0</v>
      </c>
      <c r="BM106" t="e">
        <f t="shared" si="91"/>
        <v>#REF!</v>
      </c>
      <c r="BN106" t="e">
        <f t="shared" ca="1" si="92"/>
        <v>#N/A</v>
      </c>
      <c r="BO106" t="e">
        <f t="shared" ca="1" si="93"/>
        <v>#N/A</v>
      </c>
      <c r="BP106" t="e">
        <f t="shared" ca="1" si="94"/>
        <v>#N/A</v>
      </c>
      <c r="BQ106" t="e">
        <f t="shared" ca="1" si="95"/>
        <v>#N/A</v>
      </c>
      <c r="BR106" t="e">
        <f t="shared" ca="1" si="96"/>
        <v>#N/A</v>
      </c>
      <c r="BS106" t="e">
        <f t="shared" ca="1" si="97"/>
        <v>#N/A</v>
      </c>
      <c r="BT106" t="e">
        <f t="shared" ca="1" si="98"/>
        <v>#N/A</v>
      </c>
      <c r="BU106">
        <f t="shared" ca="1" si="99"/>
        <v>0</v>
      </c>
      <c r="BV106">
        <f t="shared" ca="1" si="100"/>
        <v>0</v>
      </c>
      <c r="BW106">
        <f t="shared" ca="1" si="101"/>
        <v>0</v>
      </c>
      <c r="BX106">
        <f t="shared" ca="1" si="102"/>
        <v>0</v>
      </c>
      <c r="BY106">
        <f t="shared" ca="1" si="103"/>
        <v>0</v>
      </c>
      <c r="BZ106">
        <f t="shared" ca="1" si="73"/>
        <v>0</v>
      </c>
      <c r="CA106">
        <f t="shared" ca="1" si="74"/>
        <v>0</v>
      </c>
    </row>
    <row r="107" spans="1:79" x14ac:dyDescent="0.4">
      <c r="A107" t="str">
        <f t="shared" si="107"/>
        <v>X</v>
      </c>
      <c r="B107">
        <v>96</v>
      </c>
      <c r="C107" t="e" cm="1">
        <f t="array" ref="C107">INDEX(auto_Series_Code,B107)</f>
        <v>#REF!</v>
      </c>
      <c r="D107" t="e" cm="1">
        <f t="array" ref="D107">INDEX(auto_tblSeries,$B107,D$11)</f>
        <v>#REF!</v>
      </c>
      <c r="E107" t="e" cm="1">
        <f t="array" ref="E107">INDEX(auto_tblSeries,$B107,E$11)</f>
        <v>#REF!</v>
      </c>
      <c r="F107" t="e" cm="1">
        <f t="array" ref="F107">INDEX(auto_tblSeries,$B107,F$11)</f>
        <v>#REF!</v>
      </c>
      <c r="G107" t="e" cm="1">
        <f t="array" ref="G107">INDEX(auto_tblSeries,$B107,G$11)</f>
        <v>#REF!</v>
      </c>
      <c r="H107" t="e" cm="1">
        <f t="array" ref="H107">INDEX(auto_tblSeries,$B107,H$11)</f>
        <v>#REF!</v>
      </c>
      <c r="I107" t="e">
        <f t="shared" si="70"/>
        <v>#REF!</v>
      </c>
      <c r="K107" t="e" cm="1">
        <f t="array" ref="K107">INDEX(auto_DataFlat_Score,$I107,K$10)</f>
        <v>#REF!</v>
      </c>
      <c r="L107" t="e" cm="1">
        <f t="array" ref="L107">INDEX(auto_DataFlat_Rank,$I107,L$10)</f>
        <v>#REF!</v>
      </c>
      <c r="M107" t="e" cm="1">
        <f t="array" ref="M107">INDEX(auto_DataFlat_DataValue,$I107,M$10)</f>
        <v>#REF!</v>
      </c>
      <c r="N107" t="e" cm="1">
        <f t="array" ref="N107">INDEX(auto_DataFlat_Classification,$I107,M$10)</f>
        <v>#REF!</v>
      </c>
      <c r="O107" t="e" cm="1">
        <f t="array" ref="O107">INDEX(auto_DataFlat_IsEstimate,$I107,O$10)</f>
        <v>#REF!</v>
      </c>
      <c r="P107" t="e" cm="1">
        <f t="array" ref="P107">IF(INDEX(auto_DataFlat_DataYear,$I107,P$10)=0,"n/a",INDEX(auto_DataFlat_DataYear,$I107,P$10))</f>
        <v>#REF!</v>
      </c>
      <c r="R107" t="e">
        <f t="shared" si="71"/>
        <v>#REF!</v>
      </c>
      <c r="S107" t="e" cm="1">
        <f t="array" ref="S107">INDEX(auto_DataFlat_Score,$R107,S$10)</f>
        <v>#REF!</v>
      </c>
      <c r="U107" t="str">
        <f t="shared" si="75"/>
        <v>n/a</v>
      </c>
      <c r="V107">
        <f t="shared" si="76"/>
        <v>1</v>
      </c>
      <c r="W107" t="e">
        <f t="shared" si="77"/>
        <v>#REF!</v>
      </c>
      <c r="X107" t="e">
        <f t="shared" ca="1" si="105"/>
        <v>#N/A</v>
      </c>
      <c r="Y107" t="e">
        <f t="shared" ca="1" si="105"/>
        <v>#N/A</v>
      </c>
      <c r="Z107" t="e">
        <f t="shared" ca="1" si="105"/>
        <v>#N/A</v>
      </c>
      <c r="AB107">
        <f t="shared" ca="1" si="65"/>
        <v>0</v>
      </c>
      <c r="AC107">
        <f t="shared" ca="1" si="65"/>
        <v>0</v>
      </c>
      <c r="AD107">
        <f t="shared" ca="1" si="65"/>
        <v>0</v>
      </c>
      <c r="AF107" t="e">
        <f t="shared" si="79"/>
        <v>#REF!</v>
      </c>
      <c r="AG107" t="e">
        <f t="shared" ca="1" si="106"/>
        <v>#N/A</v>
      </c>
      <c r="AH107" t="e">
        <f t="shared" ca="1" si="106"/>
        <v>#N/A</v>
      </c>
      <c r="AI107" t="e">
        <f t="shared" ca="1" si="106"/>
        <v>#N/A</v>
      </c>
      <c r="AJ107" t="e">
        <f t="shared" ca="1" si="106"/>
        <v>#N/A</v>
      </c>
      <c r="AK107" t="e">
        <f t="shared" ca="1" si="106"/>
        <v>#N/A</v>
      </c>
      <c r="AL107" t="e">
        <f t="shared" ca="1" si="106"/>
        <v>#N/A</v>
      </c>
      <c r="AM107" t="e">
        <f t="shared" ca="1" si="106"/>
        <v>#N/A</v>
      </c>
      <c r="AN107">
        <f t="shared" ca="1" si="81"/>
        <v>0</v>
      </c>
      <c r="AO107">
        <f t="shared" ca="1" si="82"/>
        <v>0</v>
      </c>
      <c r="AP107">
        <f t="shared" ca="1" si="83"/>
        <v>0</v>
      </c>
      <c r="AQ107">
        <f t="shared" ca="1" si="84"/>
        <v>0</v>
      </c>
      <c r="AR107">
        <f t="shared" ca="1" si="85"/>
        <v>0</v>
      </c>
      <c r="AS107">
        <f t="shared" ca="1" si="86"/>
        <v>0</v>
      </c>
      <c r="AT107">
        <f t="shared" ca="1" si="87"/>
        <v>0</v>
      </c>
      <c r="AV107" t="e">
        <f t="shared" si="6"/>
        <v>#REF!</v>
      </c>
      <c r="AW107" t="e" cm="1">
        <f t="array" ref="AW107">INDEX(auto_DataFlat_Score,$AV107,1)</f>
        <v>#REF!</v>
      </c>
      <c r="AX107" t="e" cm="1">
        <f t="array" ref="AX107">INDEX(auto_DataFlat_DataValue,$AV107,1)</f>
        <v>#REF!</v>
      </c>
      <c r="BA107" t="str">
        <f t="shared" si="88"/>
        <v>n/a</v>
      </c>
      <c r="BB107">
        <f t="shared" si="89"/>
        <v>1</v>
      </c>
      <c r="BC107" t="e">
        <f t="shared" si="90"/>
        <v>#REF!</v>
      </c>
      <c r="BD107" t="e">
        <f t="shared" ca="1" si="104"/>
        <v>#N/A</v>
      </c>
      <c r="BE107" t="e">
        <f t="shared" ca="1" si="104"/>
        <v>#N/A</v>
      </c>
      <c r="BF107" t="e">
        <f t="shared" ca="1" si="104"/>
        <v>#N/A</v>
      </c>
      <c r="BH107">
        <f t="shared" ca="1" si="66"/>
        <v>0</v>
      </c>
      <c r="BI107">
        <f t="shared" ca="1" si="66"/>
        <v>0</v>
      </c>
      <c r="BJ107">
        <f t="shared" ca="1" si="66"/>
        <v>0</v>
      </c>
      <c r="BM107" t="e">
        <f t="shared" si="91"/>
        <v>#REF!</v>
      </c>
      <c r="BN107" t="e">
        <f t="shared" ca="1" si="92"/>
        <v>#N/A</v>
      </c>
      <c r="BO107" t="e">
        <f t="shared" ca="1" si="93"/>
        <v>#N/A</v>
      </c>
      <c r="BP107" t="e">
        <f t="shared" ca="1" si="94"/>
        <v>#N/A</v>
      </c>
      <c r="BQ107" t="e">
        <f t="shared" ca="1" si="95"/>
        <v>#N/A</v>
      </c>
      <c r="BR107" t="e">
        <f t="shared" ca="1" si="96"/>
        <v>#N/A</v>
      </c>
      <c r="BS107" t="e">
        <f t="shared" ca="1" si="97"/>
        <v>#N/A</v>
      </c>
      <c r="BT107" t="e">
        <f t="shared" ca="1" si="98"/>
        <v>#N/A</v>
      </c>
      <c r="BU107">
        <f t="shared" ca="1" si="99"/>
        <v>0</v>
      </c>
      <c r="BV107">
        <f t="shared" ca="1" si="100"/>
        <v>0</v>
      </c>
      <c r="BW107">
        <f t="shared" ca="1" si="101"/>
        <v>0</v>
      </c>
      <c r="BX107">
        <f t="shared" ca="1" si="102"/>
        <v>0</v>
      </c>
      <c r="BY107">
        <f t="shared" ca="1" si="103"/>
        <v>0</v>
      </c>
      <c r="BZ107">
        <f t="shared" ca="1" si="73"/>
        <v>0</v>
      </c>
      <c r="CA107">
        <f t="shared" ca="1" si="74"/>
        <v>0</v>
      </c>
    </row>
    <row r="108" spans="1:79" x14ac:dyDescent="0.4">
      <c r="A108" t="str">
        <f t="shared" si="107"/>
        <v>X</v>
      </c>
      <c r="B108">
        <v>97</v>
      </c>
      <c r="C108" t="e" cm="1">
        <f t="array" ref="C108">INDEX(auto_Series_Code,B108)</f>
        <v>#REF!</v>
      </c>
      <c r="D108" t="e" cm="1">
        <f t="array" ref="D108">INDEX(auto_tblSeries,$B108,D$11)</f>
        <v>#REF!</v>
      </c>
      <c r="E108" t="e" cm="1">
        <f t="array" ref="E108">INDEX(auto_tblSeries,$B108,E$11)</f>
        <v>#REF!</v>
      </c>
      <c r="F108" t="e" cm="1">
        <f t="array" ref="F108">INDEX(auto_tblSeries,$B108,F$11)</f>
        <v>#REF!</v>
      </c>
      <c r="G108" t="e" cm="1">
        <f t="array" ref="G108">INDEX(auto_tblSeries,$B108,G$11)</f>
        <v>#REF!</v>
      </c>
      <c r="H108" t="e" cm="1">
        <f t="array" ref="H108">INDEX(auto_tblSeries,$B108,H$11)</f>
        <v>#REF!</v>
      </c>
      <c r="I108" t="e">
        <f t="shared" si="70"/>
        <v>#REF!</v>
      </c>
      <c r="K108" t="e" cm="1">
        <f t="array" ref="K108">INDEX(auto_DataFlat_Score,$I108,K$10)</f>
        <v>#REF!</v>
      </c>
      <c r="L108" t="e" cm="1">
        <f t="array" ref="L108">INDEX(auto_DataFlat_Rank,$I108,L$10)</f>
        <v>#REF!</v>
      </c>
      <c r="M108" t="e" cm="1">
        <f t="array" ref="M108">INDEX(auto_DataFlat_DataValue,$I108,M$10)</f>
        <v>#REF!</v>
      </c>
      <c r="N108" t="e" cm="1">
        <f t="array" ref="N108">INDEX(auto_DataFlat_Classification,$I108,M$10)</f>
        <v>#REF!</v>
      </c>
      <c r="O108" t="e" cm="1">
        <f t="array" ref="O108">INDEX(auto_DataFlat_IsEstimate,$I108,O$10)</f>
        <v>#REF!</v>
      </c>
      <c r="P108" t="e" cm="1">
        <f t="array" ref="P108">IF(INDEX(auto_DataFlat_DataYear,$I108,P$10)=0,"n/a",INDEX(auto_DataFlat_DataYear,$I108,P$10))</f>
        <v>#REF!</v>
      </c>
      <c r="R108" t="e">
        <f t="shared" si="71"/>
        <v>#REF!</v>
      </c>
      <c r="S108" t="e" cm="1">
        <f t="array" ref="S108">INDEX(auto_DataFlat_Score,$R108,S$10)</f>
        <v>#REF!</v>
      </c>
      <c r="U108" t="str">
        <f t="shared" si="75"/>
        <v>n/a</v>
      </c>
      <c r="V108">
        <f t="shared" si="76"/>
        <v>1</v>
      </c>
      <c r="W108" t="e">
        <f t="shared" si="77"/>
        <v>#REF!</v>
      </c>
      <c r="X108" t="e">
        <f t="shared" ca="1" si="105"/>
        <v>#N/A</v>
      </c>
      <c r="Y108" t="e">
        <f t="shared" ca="1" si="105"/>
        <v>#N/A</v>
      </c>
      <c r="Z108" t="e">
        <f t="shared" ca="1" si="105"/>
        <v>#N/A</v>
      </c>
      <c r="AB108">
        <f t="shared" ca="1" si="65"/>
        <v>0</v>
      </c>
      <c r="AC108">
        <f t="shared" ca="1" si="65"/>
        <v>0</v>
      </c>
      <c r="AD108">
        <f t="shared" ca="1" si="65"/>
        <v>0</v>
      </c>
      <c r="AF108" t="e">
        <f t="shared" si="79"/>
        <v>#REF!</v>
      </c>
      <c r="AG108" t="e">
        <f t="shared" ca="1" si="106"/>
        <v>#N/A</v>
      </c>
      <c r="AH108" t="e">
        <f t="shared" ca="1" si="106"/>
        <v>#N/A</v>
      </c>
      <c r="AI108" t="e">
        <f t="shared" ca="1" si="106"/>
        <v>#N/A</v>
      </c>
      <c r="AJ108" t="e">
        <f t="shared" ca="1" si="106"/>
        <v>#N/A</v>
      </c>
      <c r="AK108" t="e">
        <f t="shared" ca="1" si="106"/>
        <v>#N/A</v>
      </c>
      <c r="AL108" t="e">
        <f t="shared" ca="1" si="106"/>
        <v>#N/A</v>
      </c>
      <c r="AM108" t="e">
        <f t="shared" ca="1" si="106"/>
        <v>#N/A</v>
      </c>
      <c r="AN108">
        <f t="shared" ca="1" si="81"/>
        <v>0</v>
      </c>
      <c r="AO108">
        <f t="shared" ca="1" si="82"/>
        <v>0</v>
      </c>
      <c r="AP108">
        <f t="shared" ca="1" si="83"/>
        <v>0</v>
      </c>
      <c r="AQ108">
        <f t="shared" ca="1" si="84"/>
        <v>0</v>
      </c>
      <c r="AR108">
        <f t="shared" ca="1" si="85"/>
        <v>0</v>
      </c>
      <c r="AS108">
        <f t="shared" ca="1" si="86"/>
        <v>0</v>
      </c>
      <c r="AT108">
        <f t="shared" ca="1" si="87"/>
        <v>0</v>
      </c>
      <c r="AV108" t="e">
        <f t="shared" si="6"/>
        <v>#REF!</v>
      </c>
      <c r="AW108" t="e" cm="1">
        <f t="array" ref="AW108">INDEX(auto_DataFlat_Score,$AV108,1)</f>
        <v>#REF!</v>
      </c>
      <c r="AX108" t="e" cm="1">
        <f t="array" ref="AX108">INDEX(auto_DataFlat_DataValue,$AV108,1)</f>
        <v>#REF!</v>
      </c>
      <c r="BA108" t="str">
        <f t="shared" si="88"/>
        <v>n/a</v>
      </c>
      <c r="BB108">
        <f t="shared" si="89"/>
        <v>1</v>
      </c>
      <c r="BC108" t="e">
        <f t="shared" si="90"/>
        <v>#REF!</v>
      </c>
      <c r="BD108" t="e">
        <f t="shared" ref="BD108:BF123" ca="1" si="108">BD107+MATCH(BD$10,OFFSET($BC$12,BD107,0,200,1),0)</f>
        <v>#N/A</v>
      </c>
      <c r="BE108" t="e">
        <f t="shared" ca="1" si="108"/>
        <v>#N/A</v>
      </c>
      <c r="BF108" t="e">
        <f t="shared" ca="1" si="108"/>
        <v>#N/A</v>
      </c>
      <c r="BH108">
        <f t="shared" ca="1" si="66"/>
        <v>0</v>
      </c>
      <c r="BI108">
        <f t="shared" ca="1" si="66"/>
        <v>0</v>
      </c>
      <c r="BJ108">
        <f t="shared" ca="1" si="66"/>
        <v>0</v>
      </c>
      <c r="BM108" t="e">
        <f t="shared" si="91"/>
        <v>#REF!</v>
      </c>
      <c r="BN108" t="e">
        <f t="shared" ca="1" si="92"/>
        <v>#N/A</v>
      </c>
      <c r="BO108" t="e">
        <f t="shared" ca="1" si="93"/>
        <v>#N/A</v>
      </c>
      <c r="BP108" t="e">
        <f t="shared" ca="1" si="94"/>
        <v>#N/A</v>
      </c>
      <c r="BQ108" t="e">
        <f t="shared" ca="1" si="95"/>
        <v>#N/A</v>
      </c>
      <c r="BR108" t="e">
        <f t="shared" ca="1" si="96"/>
        <v>#N/A</v>
      </c>
      <c r="BS108" t="e">
        <f t="shared" ca="1" si="97"/>
        <v>#N/A</v>
      </c>
      <c r="BT108" t="e">
        <f t="shared" ca="1" si="98"/>
        <v>#N/A</v>
      </c>
      <c r="BU108">
        <f t="shared" ca="1" si="99"/>
        <v>0</v>
      </c>
      <c r="BV108">
        <f t="shared" ca="1" si="100"/>
        <v>0</v>
      </c>
      <c r="BW108">
        <f t="shared" ca="1" si="101"/>
        <v>0</v>
      </c>
      <c r="BX108">
        <f t="shared" ca="1" si="102"/>
        <v>0</v>
      </c>
      <c r="BY108">
        <f t="shared" ca="1" si="103"/>
        <v>0</v>
      </c>
      <c r="BZ108">
        <f t="shared" ca="1" si="73"/>
        <v>0</v>
      </c>
      <c r="CA108">
        <f t="shared" ca="1" si="74"/>
        <v>0</v>
      </c>
    </row>
    <row r="109" spans="1:79" x14ac:dyDescent="0.4">
      <c r="A109" t="str">
        <f t="shared" si="107"/>
        <v>X</v>
      </c>
      <c r="B109">
        <v>98</v>
      </c>
      <c r="C109" t="e" cm="1">
        <f t="array" ref="C109">INDEX(auto_Series_Code,B109)</f>
        <v>#REF!</v>
      </c>
      <c r="D109" t="e" cm="1">
        <f t="array" ref="D109">INDEX(auto_tblSeries,$B109,D$11)</f>
        <v>#REF!</v>
      </c>
      <c r="E109" t="e" cm="1">
        <f t="array" ref="E109">INDEX(auto_tblSeries,$B109,E$11)</f>
        <v>#REF!</v>
      </c>
      <c r="F109" t="e" cm="1">
        <f t="array" ref="F109">INDEX(auto_tblSeries,$B109,F$11)</f>
        <v>#REF!</v>
      </c>
      <c r="G109" t="e" cm="1">
        <f t="array" ref="G109">INDEX(auto_tblSeries,$B109,G$11)</f>
        <v>#REF!</v>
      </c>
      <c r="H109" t="e" cm="1">
        <f t="array" ref="H109">INDEX(auto_tblSeries,$B109,H$11)</f>
        <v>#REF!</v>
      </c>
      <c r="I109" t="e">
        <f t="shared" si="70"/>
        <v>#REF!</v>
      </c>
      <c r="K109" t="e" cm="1">
        <f t="array" ref="K109">INDEX(auto_DataFlat_Score,$I109,K$10)</f>
        <v>#REF!</v>
      </c>
      <c r="L109" t="e" cm="1">
        <f t="array" ref="L109">INDEX(auto_DataFlat_Rank,$I109,L$10)</f>
        <v>#REF!</v>
      </c>
      <c r="M109" t="e" cm="1">
        <f t="array" ref="M109">INDEX(auto_DataFlat_DataValue,$I109,M$10)</f>
        <v>#REF!</v>
      </c>
      <c r="N109" t="e" cm="1">
        <f t="array" ref="N109">INDEX(auto_DataFlat_Classification,$I109,M$10)</f>
        <v>#REF!</v>
      </c>
      <c r="O109" t="e" cm="1">
        <f t="array" ref="O109">INDEX(auto_DataFlat_IsEstimate,$I109,O$10)</f>
        <v>#REF!</v>
      </c>
      <c r="P109" t="e" cm="1">
        <f t="array" ref="P109">IF(INDEX(auto_DataFlat_DataYear,$I109,P$10)=0,"n/a",INDEX(auto_DataFlat_DataYear,$I109,P$10))</f>
        <v>#REF!</v>
      </c>
      <c r="R109" t="e">
        <f t="shared" si="71"/>
        <v>#REF!</v>
      </c>
      <c r="S109" t="e" cm="1">
        <f t="array" ref="S109">INDEX(auto_DataFlat_Score,$R109,S$10)</f>
        <v>#REF!</v>
      </c>
      <c r="U109" t="str">
        <f t="shared" si="75"/>
        <v>n/a</v>
      </c>
      <c r="V109">
        <f t="shared" si="76"/>
        <v>1</v>
      </c>
      <c r="W109" t="e">
        <f t="shared" si="77"/>
        <v>#REF!</v>
      </c>
      <c r="X109" t="e">
        <f t="shared" ref="X109:Z124" ca="1" si="109">X108+MATCH(X$10,OFFSET($W$12,X108,0,300,1),0)</f>
        <v>#N/A</v>
      </c>
      <c r="Y109" t="e">
        <f t="shared" ca="1" si="109"/>
        <v>#N/A</v>
      </c>
      <c r="Z109" t="e">
        <f t="shared" ca="1" si="109"/>
        <v>#N/A</v>
      </c>
      <c r="AB109">
        <f t="shared" ca="1" si="65"/>
        <v>0</v>
      </c>
      <c r="AC109">
        <f t="shared" ca="1" si="65"/>
        <v>0</v>
      </c>
      <c r="AD109">
        <f t="shared" ca="1" si="65"/>
        <v>0</v>
      </c>
      <c r="AF109" t="e">
        <f t="shared" si="79"/>
        <v>#REF!</v>
      </c>
      <c r="AG109" t="e">
        <f t="shared" ref="AG109:AM124" ca="1" si="110">IFERROR(AG108+MATCH(AG$10,OFFSET($AF$12,AG108,0,300-AG108,1),0),NA())</f>
        <v>#N/A</v>
      </c>
      <c r="AH109" t="e">
        <f t="shared" ca="1" si="110"/>
        <v>#N/A</v>
      </c>
      <c r="AI109" t="e">
        <f t="shared" ca="1" si="110"/>
        <v>#N/A</v>
      </c>
      <c r="AJ109" t="e">
        <f t="shared" ca="1" si="110"/>
        <v>#N/A</v>
      </c>
      <c r="AK109" t="e">
        <f t="shared" ca="1" si="110"/>
        <v>#N/A</v>
      </c>
      <c r="AL109" t="e">
        <f t="shared" ca="1" si="110"/>
        <v>#N/A</v>
      </c>
      <c r="AM109" t="e">
        <f t="shared" ca="1" si="110"/>
        <v>#N/A</v>
      </c>
      <c r="AN109">
        <f t="shared" ca="1" si="81"/>
        <v>0</v>
      </c>
      <c r="AO109">
        <f t="shared" ca="1" si="82"/>
        <v>0</v>
      </c>
      <c r="AP109">
        <f t="shared" ca="1" si="83"/>
        <v>0</v>
      </c>
      <c r="AQ109">
        <f t="shared" ca="1" si="84"/>
        <v>0</v>
      </c>
      <c r="AR109">
        <f t="shared" ca="1" si="85"/>
        <v>0</v>
      </c>
      <c r="AS109">
        <f t="shared" ca="1" si="86"/>
        <v>0</v>
      </c>
      <c r="AT109">
        <f t="shared" ca="1" si="87"/>
        <v>0</v>
      </c>
      <c r="AV109" t="e">
        <f t="shared" si="6"/>
        <v>#REF!</v>
      </c>
      <c r="AW109" t="e" cm="1">
        <f t="array" ref="AW109">INDEX(auto_DataFlat_Score,$AV109,1)</f>
        <v>#REF!</v>
      </c>
      <c r="AX109" t="e" cm="1">
        <f t="array" ref="AX109">INDEX(auto_DataFlat_DataValue,$AV109,1)</f>
        <v>#REF!</v>
      </c>
      <c r="BA109" t="str">
        <f t="shared" si="88"/>
        <v>n/a</v>
      </c>
      <c r="BB109">
        <f t="shared" si="89"/>
        <v>1</v>
      </c>
      <c r="BC109" t="e">
        <f t="shared" si="90"/>
        <v>#REF!</v>
      </c>
      <c r="BD109" t="e">
        <f t="shared" ca="1" si="108"/>
        <v>#N/A</v>
      </c>
      <c r="BE109" t="e">
        <f t="shared" ca="1" si="108"/>
        <v>#N/A</v>
      </c>
      <c r="BF109" t="e">
        <f t="shared" ca="1" si="108"/>
        <v>#N/A</v>
      </c>
      <c r="BH109">
        <f t="shared" ca="1" si="66"/>
        <v>0</v>
      </c>
      <c r="BI109">
        <f t="shared" ca="1" si="66"/>
        <v>0</v>
      </c>
      <c r="BJ109">
        <f t="shared" ca="1" si="66"/>
        <v>0</v>
      </c>
      <c r="BM109" t="e">
        <f t="shared" si="91"/>
        <v>#REF!</v>
      </c>
      <c r="BN109" t="e">
        <f t="shared" ca="1" si="92"/>
        <v>#N/A</v>
      </c>
      <c r="BO109" t="e">
        <f t="shared" ca="1" si="93"/>
        <v>#N/A</v>
      </c>
      <c r="BP109" t="e">
        <f t="shared" ca="1" si="94"/>
        <v>#N/A</v>
      </c>
      <c r="BQ109" t="e">
        <f t="shared" ca="1" si="95"/>
        <v>#N/A</v>
      </c>
      <c r="BR109" t="e">
        <f t="shared" ca="1" si="96"/>
        <v>#N/A</v>
      </c>
      <c r="BS109" t="e">
        <f t="shared" ca="1" si="97"/>
        <v>#N/A</v>
      </c>
      <c r="BT109" t="e">
        <f t="shared" ca="1" si="98"/>
        <v>#N/A</v>
      </c>
      <c r="BU109">
        <f t="shared" ca="1" si="99"/>
        <v>0</v>
      </c>
      <c r="BV109">
        <f t="shared" ca="1" si="100"/>
        <v>0</v>
      </c>
      <c r="BW109">
        <f t="shared" ca="1" si="101"/>
        <v>0</v>
      </c>
      <c r="BX109">
        <f t="shared" ca="1" si="102"/>
        <v>0</v>
      </c>
      <c r="BY109">
        <f t="shared" ca="1" si="103"/>
        <v>0</v>
      </c>
      <c r="BZ109">
        <f t="shared" ca="1" si="73"/>
        <v>0</v>
      </c>
      <c r="CA109">
        <f t="shared" ca="1" si="74"/>
        <v>0</v>
      </c>
    </row>
    <row r="110" spans="1:79" x14ac:dyDescent="0.4">
      <c r="A110" t="str">
        <f t="shared" si="107"/>
        <v>X</v>
      </c>
      <c r="B110">
        <v>99</v>
      </c>
      <c r="C110" t="e" cm="1">
        <f t="array" ref="C110">INDEX(auto_Series_Code,B110)</f>
        <v>#REF!</v>
      </c>
      <c r="D110" t="e" cm="1">
        <f t="array" ref="D110">INDEX(auto_tblSeries,$B110,D$11)</f>
        <v>#REF!</v>
      </c>
      <c r="E110" t="e" cm="1">
        <f t="array" ref="E110">INDEX(auto_tblSeries,$B110,E$11)</f>
        <v>#REF!</v>
      </c>
      <c r="F110" t="e" cm="1">
        <f t="array" ref="F110">INDEX(auto_tblSeries,$B110,F$11)</f>
        <v>#REF!</v>
      </c>
      <c r="G110" t="e" cm="1">
        <f t="array" ref="G110">INDEX(auto_tblSeries,$B110,G$11)</f>
        <v>#REF!</v>
      </c>
      <c r="H110" t="e" cm="1">
        <f t="array" ref="H110">INDEX(auto_tblSeries,$B110,H$11)</f>
        <v>#REF!</v>
      </c>
      <c r="I110" t="e">
        <f t="shared" si="70"/>
        <v>#REF!</v>
      </c>
      <c r="K110" t="e" cm="1">
        <f t="array" ref="K110">INDEX(auto_DataFlat_Score,$I110,K$10)</f>
        <v>#REF!</v>
      </c>
      <c r="L110" t="e" cm="1">
        <f t="array" ref="L110">INDEX(auto_DataFlat_Rank,$I110,L$10)</f>
        <v>#REF!</v>
      </c>
      <c r="M110" t="e" cm="1">
        <f t="array" ref="M110">INDEX(auto_DataFlat_DataValue,$I110,M$10)</f>
        <v>#REF!</v>
      </c>
      <c r="N110" t="e" cm="1">
        <f t="array" ref="N110">INDEX(auto_DataFlat_Classification,$I110,M$10)</f>
        <v>#REF!</v>
      </c>
      <c r="O110" t="e" cm="1">
        <f t="array" ref="O110">INDEX(auto_DataFlat_IsEstimate,$I110,O$10)</f>
        <v>#REF!</v>
      </c>
      <c r="P110" t="e" cm="1">
        <f t="array" ref="P110">IF(INDEX(auto_DataFlat_DataYear,$I110,P$10)=0,"n/a",INDEX(auto_DataFlat_DataYear,$I110,P$10))</f>
        <v>#REF!</v>
      </c>
      <c r="R110" t="e">
        <f t="shared" si="71"/>
        <v>#REF!</v>
      </c>
      <c r="S110" t="e" cm="1">
        <f t="array" ref="S110">INDEX(auto_DataFlat_Score,$R110,S$10)</f>
        <v>#REF!</v>
      </c>
      <c r="U110" t="str">
        <f t="shared" si="75"/>
        <v>n/a</v>
      </c>
      <c r="V110">
        <f t="shared" si="76"/>
        <v>1</v>
      </c>
      <c r="W110" t="e">
        <f t="shared" si="77"/>
        <v>#REF!</v>
      </c>
      <c r="X110" t="e">
        <f t="shared" ca="1" si="109"/>
        <v>#N/A</v>
      </c>
      <c r="Y110" t="e">
        <f t="shared" ca="1" si="109"/>
        <v>#N/A</v>
      </c>
      <c r="Z110" t="e">
        <f t="shared" ca="1" si="109"/>
        <v>#N/A</v>
      </c>
      <c r="AB110">
        <f t="shared" ca="1" si="65"/>
        <v>0</v>
      </c>
      <c r="AC110">
        <f t="shared" ca="1" si="65"/>
        <v>0</v>
      </c>
      <c r="AD110">
        <f t="shared" ca="1" si="65"/>
        <v>0</v>
      </c>
      <c r="AF110" t="e">
        <f t="shared" si="79"/>
        <v>#REF!</v>
      </c>
      <c r="AG110" t="e">
        <f t="shared" ca="1" si="110"/>
        <v>#N/A</v>
      </c>
      <c r="AH110" t="e">
        <f t="shared" ca="1" si="110"/>
        <v>#N/A</v>
      </c>
      <c r="AI110" t="e">
        <f t="shared" ca="1" si="110"/>
        <v>#N/A</v>
      </c>
      <c r="AJ110" t="e">
        <f t="shared" ca="1" si="110"/>
        <v>#N/A</v>
      </c>
      <c r="AK110" t="e">
        <f t="shared" ca="1" si="110"/>
        <v>#N/A</v>
      </c>
      <c r="AL110" t="e">
        <f t="shared" ca="1" si="110"/>
        <v>#N/A</v>
      </c>
      <c r="AM110" t="e">
        <f t="shared" ca="1" si="110"/>
        <v>#N/A</v>
      </c>
      <c r="AN110">
        <f t="shared" ca="1" si="81"/>
        <v>0</v>
      </c>
      <c r="AO110">
        <f t="shared" ca="1" si="82"/>
        <v>0</v>
      </c>
      <c r="AP110">
        <f t="shared" ca="1" si="83"/>
        <v>0</v>
      </c>
      <c r="AQ110">
        <f t="shared" ca="1" si="84"/>
        <v>0</v>
      </c>
      <c r="AR110">
        <f t="shared" ca="1" si="85"/>
        <v>0</v>
      </c>
      <c r="AS110">
        <f t="shared" ca="1" si="86"/>
        <v>0</v>
      </c>
      <c r="AT110">
        <f t="shared" ca="1" si="87"/>
        <v>0</v>
      </c>
      <c r="AV110" t="e">
        <f t="shared" si="6"/>
        <v>#REF!</v>
      </c>
      <c r="AW110" t="e" cm="1">
        <f t="array" ref="AW110">INDEX(auto_DataFlat_Score,$AV110,1)</f>
        <v>#REF!</v>
      </c>
      <c r="AX110" t="e" cm="1">
        <f t="array" ref="AX110">INDEX(auto_DataFlat_DataValue,$AV110,1)</f>
        <v>#REF!</v>
      </c>
      <c r="BA110" t="str">
        <f t="shared" si="88"/>
        <v>n/a</v>
      </c>
      <c r="BB110">
        <f t="shared" si="89"/>
        <v>1</v>
      </c>
      <c r="BC110" t="e">
        <f t="shared" si="90"/>
        <v>#REF!</v>
      </c>
      <c r="BD110" t="e">
        <f t="shared" ca="1" si="108"/>
        <v>#N/A</v>
      </c>
      <c r="BE110" t="e">
        <f t="shared" ca="1" si="108"/>
        <v>#N/A</v>
      </c>
      <c r="BF110" t="e">
        <f t="shared" ca="1" si="108"/>
        <v>#N/A</v>
      </c>
      <c r="BH110">
        <f t="shared" ca="1" si="66"/>
        <v>0</v>
      </c>
      <c r="BI110">
        <f t="shared" ca="1" si="66"/>
        <v>0</v>
      </c>
      <c r="BJ110">
        <f t="shared" ca="1" si="66"/>
        <v>0</v>
      </c>
      <c r="BM110" t="e">
        <f t="shared" si="91"/>
        <v>#REF!</v>
      </c>
      <c r="BN110" t="e">
        <f t="shared" ca="1" si="92"/>
        <v>#N/A</v>
      </c>
      <c r="BO110" t="e">
        <f t="shared" ca="1" si="93"/>
        <v>#N/A</v>
      </c>
      <c r="BP110" t="e">
        <f t="shared" ca="1" si="94"/>
        <v>#N/A</v>
      </c>
      <c r="BQ110" t="e">
        <f t="shared" ca="1" si="95"/>
        <v>#N/A</v>
      </c>
      <c r="BR110" t="e">
        <f t="shared" ca="1" si="96"/>
        <v>#N/A</v>
      </c>
      <c r="BS110" t="e">
        <f t="shared" ca="1" si="97"/>
        <v>#N/A</v>
      </c>
      <c r="BT110" t="e">
        <f t="shared" ca="1" si="98"/>
        <v>#N/A</v>
      </c>
      <c r="BU110">
        <f t="shared" ca="1" si="99"/>
        <v>0</v>
      </c>
      <c r="BV110">
        <f t="shared" ca="1" si="100"/>
        <v>0</v>
      </c>
      <c r="BW110">
        <f t="shared" ca="1" si="101"/>
        <v>0</v>
      </c>
      <c r="BX110">
        <f t="shared" ca="1" si="102"/>
        <v>0</v>
      </c>
      <c r="BY110">
        <f t="shared" ca="1" si="103"/>
        <v>0</v>
      </c>
      <c r="BZ110">
        <f t="shared" ca="1" si="73"/>
        <v>0</v>
      </c>
      <c r="CA110">
        <f t="shared" ca="1" si="74"/>
        <v>0</v>
      </c>
    </row>
    <row r="111" spans="1:79" x14ac:dyDescent="0.4">
      <c r="A111" t="str">
        <f t="shared" si="107"/>
        <v>X</v>
      </c>
      <c r="B111">
        <v>100</v>
      </c>
      <c r="C111" t="e" cm="1">
        <f t="array" ref="C111">INDEX(auto_Series_Code,B111)</f>
        <v>#REF!</v>
      </c>
      <c r="D111" t="e" cm="1">
        <f t="array" ref="D111">INDEX(auto_tblSeries,$B111,D$11)</f>
        <v>#REF!</v>
      </c>
      <c r="E111" t="e" cm="1">
        <f t="array" ref="E111">INDEX(auto_tblSeries,$B111,E$11)</f>
        <v>#REF!</v>
      </c>
      <c r="F111" t="e" cm="1">
        <f t="array" ref="F111">INDEX(auto_tblSeries,$B111,F$11)</f>
        <v>#REF!</v>
      </c>
      <c r="G111" t="e" cm="1">
        <f t="array" ref="G111">INDEX(auto_tblSeries,$B111,G$11)</f>
        <v>#REF!</v>
      </c>
      <c r="H111" t="e" cm="1">
        <f t="array" ref="H111">INDEX(auto_tblSeries,$B111,H$11)</f>
        <v>#REF!</v>
      </c>
      <c r="I111" t="e">
        <f t="shared" si="70"/>
        <v>#REF!</v>
      </c>
      <c r="K111" t="e" cm="1">
        <f t="array" ref="K111">INDEX(auto_DataFlat_Score,$I111,K$10)</f>
        <v>#REF!</v>
      </c>
      <c r="L111" t="e" cm="1">
        <f t="array" ref="L111">INDEX(auto_DataFlat_Rank,$I111,L$10)</f>
        <v>#REF!</v>
      </c>
      <c r="M111" t="e" cm="1">
        <f t="array" ref="M111">INDEX(auto_DataFlat_DataValue,$I111,M$10)</f>
        <v>#REF!</v>
      </c>
      <c r="N111" t="e" cm="1">
        <f t="array" ref="N111">INDEX(auto_DataFlat_Classification,$I111,M$10)</f>
        <v>#REF!</v>
      </c>
      <c r="O111" t="e" cm="1">
        <f t="array" ref="O111">INDEX(auto_DataFlat_IsEstimate,$I111,O$10)</f>
        <v>#REF!</v>
      </c>
      <c r="P111" t="e" cm="1">
        <f t="array" ref="P111">IF(INDEX(auto_DataFlat_DataYear,$I111,P$10)=0,"n/a",INDEX(auto_DataFlat_DataYear,$I111,P$10))</f>
        <v>#REF!</v>
      </c>
      <c r="R111" t="e">
        <f t="shared" si="71"/>
        <v>#REF!</v>
      </c>
      <c r="S111" t="e" cm="1">
        <f t="array" ref="S111">INDEX(auto_DataFlat_Score,$R111,S$10)</f>
        <v>#REF!</v>
      </c>
      <c r="U111" t="str">
        <f t="shared" si="75"/>
        <v>n/a</v>
      </c>
      <c r="V111">
        <f t="shared" si="76"/>
        <v>1</v>
      </c>
      <c r="W111" t="e">
        <f t="shared" si="77"/>
        <v>#REF!</v>
      </c>
      <c r="X111" t="e">
        <f t="shared" ca="1" si="109"/>
        <v>#N/A</v>
      </c>
      <c r="Y111" t="e">
        <f t="shared" ca="1" si="109"/>
        <v>#N/A</v>
      </c>
      <c r="Z111" t="e">
        <f t="shared" ca="1" si="109"/>
        <v>#N/A</v>
      </c>
      <c r="AB111">
        <f t="shared" ca="1" si="65"/>
        <v>0</v>
      </c>
      <c r="AC111">
        <f t="shared" ca="1" si="65"/>
        <v>0</v>
      </c>
      <c r="AD111">
        <f t="shared" ca="1" si="65"/>
        <v>0</v>
      </c>
      <c r="AF111" t="e">
        <f t="shared" si="79"/>
        <v>#REF!</v>
      </c>
      <c r="AG111" t="e">
        <f t="shared" ca="1" si="110"/>
        <v>#N/A</v>
      </c>
      <c r="AH111" t="e">
        <f t="shared" ca="1" si="110"/>
        <v>#N/A</v>
      </c>
      <c r="AI111" t="e">
        <f t="shared" ca="1" si="110"/>
        <v>#N/A</v>
      </c>
      <c r="AJ111" t="e">
        <f t="shared" ca="1" si="110"/>
        <v>#N/A</v>
      </c>
      <c r="AK111" t="e">
        <f t="shared" ca="1" si="110"/>
        <v>#N/A</v>
      </c>
      <c r="AL111" t="e">
        <f t="shared" ca="1" si="110"/>
        <v>#N/A</v>
      </c>
      <c r="AM111" t="e">
        <f t="shared" ca="1" si="110"/>
        <v>#N/A</v>
      </c>
      <c r="AN111">
        <f t="shared" ca="1" si="81"/>
        <v>0</v>
      </c>
      <c r="AO111">
        <f t="shared" ca="1" si="82"/>
        <v>0</v>
      </c>
      <c r="AP111">
        <f t="shared" ca="1" si="83"/>
        <v>0</v>
      </c>
      <c r="AQ111">
        <f t="shared" ca="1" si="84"/>
        <v>0</v>
      </c>
      <c r="AR111">
        <f t="shared" ca="1" si="85"/>
        <v>0</v>
      </c>
      <c r="AS111">
        <f t="shared" ca="1" si="86"/>
        <v>0</v>
      </c>
      <c r="AT111">
        <f t="shared" ca="1" si="87"/>
        <v>0</v>
      </c>
      <c r="AV111" t="e">
        <f t="shared" si="6"/>
        <v>#REF!</v>
      </c>
      <c r="AW111" t="e" cm="1">
        <f t="array" ref="AW111">INDEX(auto_DataFlat_Score,$AV111,1)</f>
        <v>#REF!</v>
      </c>
      <c r="AX111" t="e" cm="1">
        <f t="array" ref="AX111">INDEX(auto_DataFlat_DataValue,$AV111,1)</f>
        <v>#REF!</v>
      </c>
      <c r="BA111" t="str">
        <f t="shared" si="88"/>
        <v>n/a</v>
      </c>
      <c r="BB111">
        <f t="shared" si="89"/>
        <v>1</v>
      </c>
      <c r="BC111" t="e">
        <f t="shared" si="90"/>
        <v>#REF!</v>
      </c>
      <c r="BD111" t="e">
        <f t="shared" ca="1" si="108"/>
        <v>#N/A</v>
      </c>
      <c r="BE111" t="e">
        <f t="shared" ca="1" si="108"/>
        <v>#N/A</v>
      </c>
      <c r="BF111" t="e">
        <f t="shared" ca="1" si="108"/>
        <v>#N/A</v>
      </c>
      <c r="BH111">
        <f t="shared" ca="1" si="66"/>
        <v>0</v>
      </c>
      <c r="BI111">
        <f t="shared" ca="1" si="66"/>
        <v>0</v>
      </c>
      <c r="BJ111">
        <f t="shared" ca="1" si="66"/>
        <v>0</v>
      </c>
      <c r="BM111" t="e">
        <f t="shared" si="91"/>
        <v>#REF!</v>
      </c>
      <c r="BN111" t="e">
        <f t="shared" ca="1" si="92"/>
        <v>#N/A</v>
      </c>
      <c r="BO111" t="e">
        <f t="shared" ca="1" si="93"/>
        <v>#N/A</v>
      </c>
      <c r="BP111" t="e">
        <f t="shared" ca="1" si="94"/>
        <v>#N/A</v>
      </c>
      <c r="BQ111" t="e">
        <f t="shared" ca="1" si="95"/>
        <v>#N/A</v>
      </c>
      <c r="BR111" t="e">
        <f t="shared" ca="1" si="96"/>
        <v>#N/A</v>
      </c>
      <c r="BS111" t="e">
        <f t="shared" ca="1" si="97"/>
        <v>#N/A</v>
      </c>
      <c r="BT111" t="e">
        <f t="shared" ca="1" si="98"/>
        <v>#N/A</v>
      </c>
      <c r="BU111">
        <f t="shared" ca="1" si="99"/>
        <v>0</v>
      </c>
      <c r="BV111">
        <f t="shared" ca="1" si="100"/>
        <v>0</v>
      </c>
      <c r="BW111">
        <f t="shared" ca="1" si="101"/>
        <v>0</v>
      </c>
      <c r="BX111">
        <f t="shared" ca="1" si="102"/>
        <v>0</v>
      </c>
      <c r="BY111">
        <f t="shared" ca="1" si="103"/>
        <v>0</v>
      </c>
      <c r="BZ111">
        <f t="shared" ca="1" si="73"/>
        <v>0</v>
      </c>
      <c r="CA111">
        <f t="shared" ca="1" si="74"/>
        <v>0</v>
      </c>
    </row>
    <row r="112" spans="1:79" x14ac:dyDescent="0.4">
      <c r="A112" t="str">
        <f t="shared" si="107"/>
        <v>X</v>
      </c>
      <c r="B112">
        <v>101</v>
      </c>
      <c r="C112" t="e" cm="1">
        <f t="array" ref="C112">INDEX(auto_Series_Code,B112)</f>
        <v>#REF!</v>
      </c>
      <c r="D112" t="e" cm="1">
        <f t="array" ref="D112">INDEX(auto_tblSeries,$B112,D$11)</f>
        <v>#REF!</v>
      </c>
      <c r="E112" t="e" cm="1">
        <f t="array" ref="E112">INDEX(auto_tblSeries,$B112,E$11)</f>
        <v>#REF!</v>
      </c>
      <c r="F112" t="e" cm="1">
        <f t="array" ref="F112">INDEX(auto_tblSeries,$B112,F$11)</f>
        <v>#REF!</v>
      </c>
      <c r="G112" t="e" cm="1">
        <f t="array" ref="G112">INDEX(auto_tblSeries,$B112,G$11)</f>
        <v>#REF!</v>
      </c>
      <c r="H112" t="e" cm="1">
        <f t="array" ref="H112">INDEX(auto_tblSeries,$B112,H$11)</f>
        <v>#REF!</v>
      </c>
      <c r="I112" t="e">
        <f t="shared" si="70"/>
        <v>#REF!</v>
      </c>
      <c r="K112" t="e" cm="1">
        <f t="array" ref="K112">INDEX(auto_DataFlat_Score,$I112,K$10)</f>
        <v>#REF!</v>
      </c>
      <c r="L112" t="e" cm="1">
        <f t="array" ref="L112">INDEX(auto_DataFlat_Rank,$I112,L$10)</f>
        <v>#REF!</v>
      </c>
      <c r="M112" t="e" cm="1">
        <f t="array" ref="M112">INDEX(auto_DataFlat_DataValue,$I112,M$10)</f>
        <v>#REF!</v>
      </c>
      <c r="N112" t="e" cm="1">
        <f t="array" ref="N112">INDEX(auto_DataFlat_Classification,$I112,M$10)</f>
        <v>#REF!</v>
      </c>
      <c r="O112" t="e" cm="1">
        <f t="array" ref="O112">INDEX(auto_DataFlat_IsEstimate,$I112,O$10)</f>
        <v>#REF!</v>
      </c>
      <c r="P112" t="e" cm="1">
        <f t="array" ref="P112">IF(INDEX(auto_DataFlat_DataYear,$I112,P$10)=0,"n/a",INDEX(auto_DataFlat_DataYear,$I112,P$10))</f>
        <v>#REF!</v>
      </c>
      <c r="R112" t="e">
        <f t="shared" si="71"/>
        <v>#REF!</v>
      </c>
      <c r="S112" t="e" cm="1">
        <f t="array" ref="S112">INDEX(auto_DataFlat_Score,$R112,S$10)</f>
        <v>#REF!</v>
      </c>
      <c r="U112" t="str">
        <f t="shared" si="75"/>
        <v>n/a</v>
      </c>
      <c r="V112">
        <f t="shared" si="76"/>
        <v>1</v>
      </c>
      <c r="W112" t="e">
        <f t="shared" si="77"/>
        <v>#REF!</v>
      </c>
      <c r="X112" t="e">
        <f t="shared" ca="1" si="109"/>
        <v>#N/A</v>
      </c>
      <c r="Y112" t="e">
        <f t="shared" ca="1" si="109"/>
        <v>#N/A</v>
      </c>
      <c r="Z112" t="e">
        <f t="shared" ca="1" si="109"/>
        <v>#N/A</v>
      </c>
      <c r="AB112">
        <f t="shared" ca="1" si="65"/>
        <v>0</v>
      </c>
      <c r="AC112">
        <f t="shared" ca="1" si="65"/>
        <v>0</v>
      </c>
      <c r="AD112">
        <f t="shared" ca="1" si="65"/>
        <v>0</v>
      </c>
      <c r="AF112" t="e">
        <f t="shared" si="79"/>
        <v>#REF!</v>
      </c>
      <c r="AG112" t="e">
        <f t="shared" ca="1" si="110"/>
        <v>#N/A</v>
      </c>
      <c r="AH112" t="e">
        <f t="shared" ca="1" si="110"/>
        <v>#N/A</v>
      </c>
      <c r="AI112" t="e">
        <f t="shared" ca="1" si="110"/>
        <v>#N/A</v>
      </c>
      <c r="AJ112" t="e">
        <f t="shared" ca="1" si="110"/>
        <v>#N/A</v>
      </c>
      <c r="AK112" t="e">
        <f t="shared" ca="1" si="110"/>
        <v>#N/A</v>
      </c>
      <c r="AL112" t="e">
        <f t="shared" ca="1" si="110"/>
        <v>#N/A</v>
      </c>
      <c r="AM112" t="e">
        <f t="shared" ca="1" si="110"/>
        <v>#N/A</v>
      </c>
      <c r="AN112">
        <f t="shared" ca="1" si="81"/>
        <v>0</v>
      </c>
      <c r="AO112">
        <f t="shared" ca="1" si="82"/>
        <v>0</v>
      </c>
      <c r="AP112">
        <f t="shared" ca="1" si="83"/>
        <v>0</v>
      </c>
      <c r="AQ112">
        <f t="shared" ca="1" si="84"/>
        <v>0</v>
      </c>
      <c r="AR112">
        <f t="shared" ca="1" si="85"/>
        <v>0</v>
      </c>
      <c r="AS112">
        <f t="shared" ca="1" si="86"/>
        <v>0</v>
      </c>
      <c r="AT112">
        <f t="shared" ca="1" si="87"/>
        <v>0</v>
      </c>
      <c r="AV112" t="e">
        <f t="shared" si="6"/>
        <v>#REF!</v>
      </c>
      <c r="AW112" t="e" cm="1">
        <f t="array" ref="AW112">INDEX(auto_DataFlat_Score,$AV112,1)</f>
        <v>#REF!</v>
      </c>
      <c r="AX112" t="e" cm="1">
        <f t="array" ref="AX112">INDEX(auto_DataFlat_DataValue,$AV112,1)</f>
        <v>#REF!</v>
      </c>
      <c r="BA112" t="str">
        <f t="shared" si="88"/>
        <v>n/a</v>
      </c>
      <c r="BB112">
        <f t="shared" si="89"/>
        <v>1</v>
      </c>
      <c r="BC112" t="e">
        <f t="shared" si="90"/>
        <v>#REF!</v>
      </c>
      <c r="BD112" t="e">
        <f t="shared" ca="1" si="108"/>
        <v>#N/A</v>
      </c>
      <c r="BE112" t="e">
        <f t="shared" ca="1" si="108"/>
        <v>#N/A</v>
      </c>
      <c r="BF112" t="e">
        <f t="shared" ca="1" si="108"/>
        <v>#N/A</v>
      </c>
      <c r="BH112">
        <f t="shared" ca="1" si="66"/>
        <v>0</v>
      </c>
      <c r="BI112">
        <f t="shared" ca="1" si="66"/>
        <v>0</v>
      </c>
      <c r="BJ112">
        <f t="shared" ca="1" si="66"/>
        <v>0</v>
      </c>
      <c r="BM112" t="e">
        <f t="shared" si="91"/>
        <v>#REF!</v>
      </c>
      <c r="BN112" t="e">
        <f t="shared" ca="1" si="92"/>
        <v>#N/A</v>
      </c>
      <c r="BO112" t="e">
        <f t="shared" ca="1" si="93"/>
        <v>#N/A</v>
      </c>
      <c r="BP112" t="e">
        <f t="shared" ca="1" si="94"/>
        <v>#N/A</v>
      </c>
      <c r="BQ112" t="e">
        <f t="shared" ca="1" si="95"/>
        <v>#N/A</v>
      </c>
      <c r="BR112" t="e">
        <f t="shared" ca="1" si="96"/>
        <v>#N/A</v>
      </c>
      <c r="BS112" t="e">
        <f t="shared" ca="1" si="97"/>
        <v>#N/A</v>
      </c>
      <c r="BT112" t="e">
        <f t="shared" ca="1" si="98"/>
        <v>#N/A</v>
      </c>
      <c r="BU112">
        <f t="shared" ca="1" si="99"/>
        <v>0</v>
      </c>
      <c r="BV112">
        <f t="shared" ca="1" si="100"/>
        <v>0</v>
      </c>
      <c r="BW112">
        <f t="shared" ca="1" si="101"/>
        <v>0</v>
      </c>
      <c r="BX112">
        <f t="shared" ca="1" si="102"/>
        <v>0</v>
      </c>
      <c r="BY112">
        <f t="shared" ca="1" si="103"/>
        <v>0</v>
      </c>
      <c r="BZ112">
        <f t="shared" ca="1" si="73"/>
        <v>0</v>
      </c>
      <c r="CA112">
        <f t="shared" ca="1" si="74"/>
        <v>0</v>
      </c>
    </row>
    <row r="113" spans="1:79" x14ac:dyDescent="0.4">
      <c r="A113" t="str">
        <f t="shared" si="107"/>
        <v>X</v>
      </c>
      <c r="B113">
        <v>102</v>
      </c>
      <c r="C113" t="e" cm="1">
        <f t="array" ref="C113">INDEX(auto_Series_Code,B113)</f>
        <v>#REF!</v>
      </c>
      <c r="D113" t="e" cm="1">
        <f t="array" ref="D113">INDEX(auto_tblSeries,$B113,D$11)</f>
        <v>#REF!</v>
      </c>
      <c r="E113" t="e" cm="1">
        <f t="array" ref="E113">INDEX(auto_tblSeries,$B113,E$11)</f>
        <v>#REF!</v>
      </c>
      <c r="F113" t="e" cm="1">
        <f t="array" ref="F113">INDEX(auto_tblSeries,$B113,F$11)</f>
        <v>#REF!</v>
      </c>
      <c r="G113" t="e" cm="1">
        <f t="array" ref="G113">INDEX(auto_tblSeries,$B113,G$11)</f>
        <v>#REF!</v>
      </c>
      <c r="H113" t="e" cm="1">
        <f t="array" ref="H113">INDEX(auto_tblSeries,$B113,H$11)</f>
        <v>#REF!</v>
      </c>
      <c r="I113" t="e">
        <f t="shared" si="70"/>
        <v>#REF!</v>
      </c>
      <c r="K113" t="e" cm="1">
        <f t="array" ref="K113">INDEX(auto_DataFlat_Score,$I113,K$10)</f>
        <v>#REF!</v>
      </c>
      <c r="L113" t="e" cm="1">
        <f t="array" ref="L113">INDEX(auto_DataFlat_Rank,$I113,L$10)</f>
        <v>#REF!</v>
      </c>
      <c r="M113" t="e" cm="1">
        <f t="array" ref="M113">INDEX(auto_DataFlat_DataValue,$I113,M$10)</f>
        <v>#REF!</v>
      </c>
      <c r="N113" t="e" cm="1">
        <f t="array" ref="N113">INDEX(auto_DataFlat_Classification,$I113,M$10)</f>
        <v>#REF!</v>
      </c>
      <c r="O113" t="e" cm="1">
        <f t="array" ref="O113">INDEX(auto_DataFlat_IsEstimate,$I113,O$10)</f>
        <v>#REF!</v>
      </c>
      <c r="P113" t="e" cm="1">
        <f t="array" ref="P113">IF(INDEX(auto_DataFlat_DataYear,$I113,P$10)=0,"n/a",INDEX(auto_DataFlat_DataYear,$I113,P$10))</f>
        <v>#REF!</v>
      </c>
      <c r="R113" t="e">
        <f t="shared" si="71"/>
        <v>#REF!</v>
      </c>
      <c r="S113" t="e" cm="1">
        <f t="array" ref="S113">INDEX(auto_DataFlat_Score,$R113,S$10)</f>
        <v>#REF!</v>
      </c>
      <c r="U113" t="str">
        <f t="shared" si="75"/>
        <v>n/a</v>
      </c>
      <c r="V113">
        <f t="shared" si="76"/>
        <v>1</v>
      </c>
      <c r="W113" t="e">
        <f t="shared" si="77"/>
        <v>#REF!</v>
      </c>
      <c r="X113" t="e">
        <f t="shared" ca="1" si="109"/>
        <v>#N/A</v>
      </c>
      <c r="Y113" t="e">
        <f t="shared" ca="1" si="109"/>
        <v>#N/A</v>
      </c>
      <c r="Z113" t="e">
        <f t="shared" ca="1" si="109"/>
        <v>#N/A</v>
      </c>
      <c r="AB113">
        <f t="shared" ca="1" si="65"/>
        <v>0</v>
      </c>
      <c r="AC113">
        <f t="shared" ca="1" si="65"/>
        <v>0</v>
      </c>
      <c r="AD113">
        <f t="shared" ca="1" si="65"/>
        <v>0</v>
      </c>
      <c r="AF113" t="e">
        <f t="shared" si="79"/>
        <v>#REF!</v>
      </c>
      <c r="AG113" t="e">
        <f t="shared" ca="1" si="110"/>
        <v>#N/A</v>
      </c>
      <c r="AH113" t="e">
        <f t="shared" ca="1" si="110"/>
        <v>#N/A</v>
      </c>
      <c r="AI113" t="e">
        <f t="shared" ca="1" si="110"/>
        <v>#N/A</v>
      </c>
      <c r="AJ113" t="e">
        <f t="shared" ca="1" si="110"/>
        <v>#N/A</v>
      </c>
      <c r="AK113" t="e">
        <f t="shared" ca="1" si="110"/>
        <v>#N/A</v>
      </c>
      <c r="AL113" t="e">
        <f t="shared" ca="1" si="110"/>
        <v>#N/A</v>
      </c>
      <c r="AM113" t="e">
        <f t="shared" ca="1" si="110"/>
        <v>#N/A</v>
      </c>
      <c r="AN113">
        <f t="shared" ca="1" si="81"/>
        <v>0</v>
      </c>
      <c r="AO113">
        <f t="shared" ca="1" si="82"/>
        <v>0</v>
      </c>
      <c r="AP113">
        <f t="shared" ca="1" si="83"/>
        <v>0</v>
      </c>
      <c r="AQ113">
        <f t="shared" ca="1" si="84"/>
        <v>0</v>
      </c>
      <c r="AR113">
        <f t="shared" ca="1" si="85"/>
        <v>0</v>
      </c>
      <c r="AS113">
        <f t="shared" ca="1" si="86"/>
        <v>0</v>
      </c>
      <c r="AT113">
        <f t="shared" ca="1" si="87"/>
        <v>0</v>
      </c>
      <c r="AV113" t="e">
        <f t="shared" si="6"/>
        <v>#REF!</v>
      </c>
      <c r="AW113" t="e" cm="1">
        <f t="array" ref="AW113">INDEX(auto_DataFlat_Score,$AV113,1)</f>
        <v>#REF!</v>
      </c>
      <c r="AX113" t="e" cm="1">
        <f t="array" ref="AX113">INDEX(auto_DataFlat_DataValue,$AV113,1)</f>
        <v>#REF!</v>
      </c>
      <c r="BA113" t="str">
        <f t="shared" si="88"/>
        <v>n/a</v>
      </c>
      <c r="BB113">
        <f t="shared" si="89"/>
        <v>1</v>
      </c>
      <c r="BC113" t="e">
        <f t="shared" si="90"/>
        <v>#REF!</v>
      </c>
      <c r="BD113" t="e">
        <f t="shared" ca="1" si="108"/>
        <v>#N/A</v>
      </c>
      <c r="BE113" t="e">
        <f t="shared" ca="1" si="108"/>
        <v>#N/A</v>
      </c>
      <c r="BF113" t="e">
        <f t="shared" ca="1" si="108"/>
        <v>#N/A</v>
      </c>
      <c r="BH113">
        <f t="shared" ca="1" si="66"/>
        <v>0</v>
      </c>
      <c r="BI113">
        <f t="shared" ca="1" si="66"/>
        <v>0</v>
      </c>
      <c r="BJ113">
        <f t="shared" ca="1" si="66"/>
        <v>0</v>
      </c>
      <c r="BM113" t="e">
        <f t="shared" si="91"/>
        <v>#REF!</v>
      </c>
      <c r="BN113" t="e">
        <f t="shared" ca="1" si="92"/>
        <v>#N/A</v>
      </c>
      <c r="BO113" t="e">
        <f t="shared" ca="1" si="93"/>
        <v>#N/A</v>
      </c>
      <c r="BP113" t="e">
        <f t="shared" ca="1" si="94"/>
        <v>#N/A</v>
      </c>
      <c r="BQ113" t="e">
        <f t="shared" ca="1" si="95"/>
        <v>#N/A</v>
      </c>
      <c r="BR113" t="e">
        <f t="shared" ca="1" si="96"/>
        <v>#N/A</v>
      </c>
      <c r="BS113" t="e">
        <f t="shared" ca="1" si="97"/>
        <v>#N/A</v>
      </c>
      <c r="BT113" t="e">
        <f t="shared" ca="1" si="98"/>
        <v>#N/A</v>
      </c>
      <c r="BU113">
        <f t="shared" ca="1" si="99"/>
        <v>0</v>
      </c>
      <c r="BV113">
        <f t="shared" ca="1" si="100"/>
        <v>0</v>
      </c>
      <c r="BW113">
        <f t="shared" ca="1" si="101"/>
        <v>0</v>
      </c>
      <c r="BX113">
        <f t="shared" ca="1" si="102"/>
        <v>0</v>
      </c>
      <c r="BY113">
        <f t="shared" ca="1" si="103"/>
        <v>0</v>
      </c>
      <c r="BZ113">
        <f t="shared" ca="1" si="73"/>
        <v>0</v>
      </c>
      <c r="CA113">
        <f t="shared" ca="1" si="74"/>
        <v>0</v>
      </c>
    </row>
    <row r="114" spans="1:79" x14ac:dyDescent="0.4">
      <c r="A114" t="str">
        <f t="shared" si="107"/>
        <v>X</v>
      </c>
      <c r="B114">
        <v>103</v>
      </c>
      <c r="C114" t="e" cm="1">
        <f t="array" ref="C114">INDEX(auto_Series_Code,B114)</f>
        <v>#REF!</v>
      </c>
      <c r="D114" t="e" cm="1">
        <f t="array" ref="D114">INDEX(auto_tblSeries,$B114,D$11)</f>
        <v>#REF!</v>
      </c>
      <c r="E114" t="e" cm="1">
        <f t="array" ref="E114">INDEX(auto_tblSeries,$B114,E$11)</f>
        <v>#REF!</v>
      </c>
      <c r="F114" t="e" cm="1">
        <f t="array" ref="F114">INDEX(auto_tblSeries,$B114,F$11)</f>
        <v>#REF!</v>
      </c>
      <c r="G114" t="e" cm="1">
        <f t="array" ref="G114">INDEX(auto_tblSeries,$B114,G$11)</f>
        <v>#REF!</v>
      </c>
      <c r="H114" t="e" cm="1">
        <f t="array" ref="H114">INDEX(auto_tblSeries,$B114,H$11)</f>
        <v>#REF!</v>
      </c>
      <c r="I114" t="e">
        <f t="shared" si="70"/>
        <v>#REF!</v>
      </c>
      <c r="K114" t="e" cm="1">
        <f t="array" ref="K114">INDEX(auto_DataFlat_Score,$I114,K$10)</f>
        <v>#REF!</v>
      </c>
      <c r="L114" t="e" cm="1">
        <f t="array" ref="L114">INDEX(auto_DataFlat_Rank,$I114,L$10)</f>
        <v>#REF!</v>
      </c>
      <c r="M114" t="e" cm="1">
        <f t="array" ref="M114">INDEX(auto_DataFlat_DataValue,$I114,M$10)</f>
        <v>#REF!</v>
      </c>
      <c r="N114" t="e" cm="1">
        <f t="array" ref="N114">INDEX(auto_DataFlat_Classification,$I114,M$10)</f>
        <v>#REF!</v>
      </c>
      <c r="O114" t="e" cm="1">
        <f t="array" ref="O114">INDEX(auto_DataFlat_IsEstimate,$I114,O$10)</f>
        <v>#REF!</v>
      </c>
      <c r="P114" t="e" cm="1">
        <f t="array" ref="P114">IF(INDEX(auto_DataFlat_DataYear,$I114,P$10)=0,"n/a",INDEX(auto_DataFlat_DataYear,$I114,P$10))</f>
        <v>#REF!</v>
      </c>
      <c r="R114" t="e">
        <f t="shared" si="71"/>
        <v>#REF!</v>
      </c>
      <c r="S114" t="e" cm="1">
        <f t="array" ref="S114">INDEX(auto_DataFlat_Score,$R114,S$10)</f>
        <v>#REF!</v>
      </c>
      <c r="U114" t="str">
        <f t="shared" si="75"/>
        <v>n/a</v>
      </c>
      <c r="V114">
        <f t="shared" si="76"/>
        <v>1</v>
      </c>
      <c r="W114" t="e">
        <f t="shared" si="77"/>
        <v>#REF!</v>
      </c>
      <c r="X114" t="e">
        <f t="shared" ca="1" si="109"/>
        <v>#N/A</v>
      </c>
      <c r="Y114" t="e">
        <f t="shared" ca="1" si="109"/>
        <v>#N/A</v>
      </c>
      <c r="Z114" t="e">
        <f t="shared" ca="1" si="109"/>
        <v>#N/A</v>
      </c>
      <c r="AB114">
        <f t="shared" ca="1" si="65"/>
        <v>0</v>
      </c>
      <c r="AC114">
        <f t="shared" ca="1" si="65"/>
        <v>0</v>
      </c>
      <c r="AD114">
        <f t="shared" ca="1" si="65"/>
        <v>0</v>
      </c>
      <c r="AF114" t="e">
        <f t="shared" si="79"/>
        <v>#REF!</v>
      </c>
      <c r="AG114" t="e">
        <f t="shared" ca="1" si="110"/>
        <v>#N/A</v>
      </c>
      <c r="AH114" t="e">
        <f t="shared" ca="1" si="110"/>
        <v>#N/A</v>
      </c>
      <c r="AI114" t="e">
        <f t="shared" ca="1" si="110"/>
        <v>#N/A</v>
      </c>
      <c r="AJ114" t="e">
        <f t="shared" ca="1" si="110"/>
        <v>#N/A</v>
      </c>
      <c r="AK114" t="e">
        <f t="shared" ca="1" si="110"/>
        <v>#N/A</v>
      </c>
      <c r="AL114" t="e">
        <f t="shared" ca="1" si="110"/>
        <v>#N/A</v>
      </c>
      <c r="AM114" t="e">
        <f t="shared" ca="1" si="110"/>
        <v>#N/A</v>
      </c>
      <c r="AN114">
        <f t="shared" ca="1" si="81"/>
        <v>0</v>
      </c>
      <c r="AO114">
        <f t="shared" ca="1" si="82"/>
        <v>0</v>
      </c>
      <c r="AP114">
        <f t="shared" ca="1" si="83"/>
        <v>0</v>
      </c>
      <c r="AQ114">
        <f t="shared" ca="1" si="84"/>
        <v>0</v>
      </c>
      <c r="AR114">
        <f t="shared" ca="1" si="85"/>
        <v>0</v>
      </c>
      <c r="AS114">
        <f t="shared" ca="1" si="86"/>
        <v>0</v>
      </c>
      <c r="AT114">
        <f t="shared" ca="1" si="87"/>
        <v>0</v>
      </c>
      <c r="AV114" t="e">
        <f t="shared" si="6"/>
        <v>#REF!</v>
      </c>
      <c r="AW114" t="e" cm="1">
        <f t="array" ref="AW114">INDEX(auto_DataFlat_Score,$AV114,1)</f>
        <v>#REF!</v>
      </c>
      <c r="AX114" t="e" cm="1">
        <f t="array" ref="AX114">INDEX(auto_DataFlat_DataValue,$AV114,1)</f>
        <v>#REF!</v>
      </c>
      <c r="BA114" t="str">
        <f t="shared" si="88"/>
        <v>n/a</v>
      </c>
      <c r="BB114">
        <f t="shared" si="89"/>
        <v>1</v>
      </c>
      <c r="BC114" t="e">
        <f t="shared" si="90"/>
        <v>#REF!</v>
      </c>
      <c r="BD114" t="e">
        <f t="shared" ca="1" si="108"/>
        <v>#N/A</v>
      </c>
      <c r="BE114" t="e">
        <f t="shared" ca="1" si="108"/>
        <v>#N/A</v>
      </c>
      <c r="BF114" t="e">
        <f t="shared" ca="1" si="108"/>
        <v>#N/A</v>
      </c>
      <c r="BH114">
        <f t="shared" ca="1" si="66"/>
        <v>0</v>
      </c>
      <c r="BI114">
        <f t="shared" ca="1" si="66"/>
        <v>0</v>
      </c>
      <c r="BJ114">
        <f t="shared" ca="1" si="66"/>
        <v>0</v>
      </c>
      <c r="BM114" t="e">
        <f t="shared" si="91"/>
        <v>#REF!</v>
      </c>
      <c r="BN114" t="e">
        <f t="shared" ca="1" si="92"/>
        <v>#N/A</v>
      </c>
      <c r="BO114" t="e">
        <f t="shared" ca="1" si="93"/>
        <v>#N/A</v>
      </c>
      <c r="BP114" t="e">
        <f t="shared" ca="1" si="94"/>
        <v>#N/A</v>
      </c>
      <c r="BQ114" t="e">
        <f t="shared" ca="1" si="95"/>
        <v>#N/A</v>
      </c>
      <c r="BR114" t="e">
        <f t="shared" ca="1" si="96"/>
        <v>#N/A</v>
      </c>
      <c r="BS114" t="e">
        <f t="shared" ca="1" si="97"/>
        <v>#N/A</v>
      </c>
      <c r="BT114" t="e">
        <f t="shared" ca="1" si="98"/>
        <v>#N/A</v>
      </c>
      <c r="BU114">
        <f t="shared" ca="1" si="99"/>
        <v>0</v>
      </c>
      <c r="BV114">
        <f t="shared" ca="1" si="100"/>
        <v>0</v>
      </c>
      <c r="BW114">
        <f t="shared" ca="1" si="101"/>
        <v>0</v>
      </c>
      <c r="BX114">
        <f t="shared" ca="1" si="102"/>
        <v>0</v>
      </c>
      <c r="BY114">
        <f t="shared" ca="1" si="103"/>
        <v>0</v>
      </c>
      <c r="BZ114">
        <f t="shared" ca="1" si="73"/>
        <v>0</v>
      </c>
      <c r="CA114">
        <f t="shared" ca="1" si="74"/>
        <v>0</v>
      </c>
    </row>
    <row r="115" spans="1:79" x14ac:dyDescent="0.4">
      <c r="A115" t="str">
        <f t="shared" si="107"/>
        <v>X</v>
      </c>
      <c r="B115">
        <v>104</v>
      </c>
      <c r="C115" t="e" cm="1">
        <f t="array" ref="C115">INDEX(auto_Series_Code,B115)</f>
        <v>#REF!</v>
      </c>
      <c r="D115" t="e" cm="1">
        <f t="array" ref="D115">INDEX(auto_tblSeries,$B115,D$11)</f>
        <v>#REF!</v>
      </c>
      <c r="E115" t="e" cm="1">
        <f t="array" ref="E115">INDEX(auto_tblSeries,$B115,E$11)</f>
        <v>#REF!</v>
      </c>
      <c r="F115" t="e" cm="1">
        <f t="array" ref="F115">INDEX(auto_tblSeries,$B115,F$11)</f>
        <v>#REF!</v>
      </c>
      <c r="G115" t="e" cm="1">
        <f t="array" ref="G115">INDEX(auto_tblSeries,$B115,G$11)</f>
        <v>#REF!</v>
      </c>
      <c r="H115" t="e" cm="1">
        <f t="array" ref="H115">INDEX(auto_tblSeries,$B115,H$11)</f>
        <v>#REF!</v>
      </c>
      <c r="I115" t="e">
        <f t="shared" si="70"/>
        <v>#REF!</v>
      </c>
      <c r="K115" t="e" cm="1">
        <f t="array" ref="K115">INDEX(auto_DataFlat_Score,$I115,K$10)</f>
        <v>#REF!</v>
      </c>
      <c r="L115" t="e" cm="1">
        <f t="array" ref="L115">INDEX(auto_DataFlat_Rank,$I115,L$10)</f>
        <v>#REF!</v>
      </c>
      <c r="M115" t="e" cm="1">
        <f t="array" ref="M115">INDEX(auto_DataFlat_DataValue,$I115,M$10)</f>
        <v>#REF!</v>
      </c>
      <c r="N115" t="e" cm="1">
        <f t="array" ref="N115">INDEX(auto_DataFlat_Classification,$I115,M$10)</f>
        <v>#REF!</v>
      </c>
      <c r="O115" t="e" cm="1">
        <f t="array" ref="O115">INDEX(auto_DataFlat_IsEstimate,$I115,O$10)</f>
        <v>#REF!</v>
      </c>
      <c r="P115" t="e" cm="1">
        <f t="array" ref="P115">IF(INDEX(auto_DataFlat_DataYear,$I115,P$10)=0,"n/a",INDEX(auto_DataFlat_DataYear,$I115,P$10))</f>
        <v>#REF!</v>
      </c>
      <c r="R115" t="e">
        <f t="shared" si="71"/>
        <v>#REF!</v>
      </c>
      <c r="S115" t="e" cm="1">
        <f t="array" ref="S115">INDEX(auto_DataFlat_Score,$R115,S$10)</f>
        <v>#REF!</v>
      </c>
      <c r="U115" t="str">
        <f t="shared" si="75"/>
        <v>n/a</v>
      </c>
      <c r="V115">
        <f t="shared" si="76"/>
        <v>1</v>
      </c>
      <c r="W115" t="e">
        <f t="shared" si="77"/>
        <v>#REF!</v>
      </c>
      <c r="X115" t="e">
        <f t="shared" ca="1" si="109"/>
        <v>#N/A</v>
      </c>
      <c r="Y115" t="e">
        <f t="shared" ca="1" si="109"/>
        <v>#N/A</v>
      </c>
      <c r="Z115" t="e">
        <f t="shared" ca="1" si="109"/>
        <v>#N/A</v>
      </c>
      <c r="AB115">
        <f t="shared" ca="1" si="65"/>
        <v>0</v>
      </c>
      <c r="AC115">
        <f t="shared" ca="1" si="65"/>
        <v>0</v>
      </c>
      <c r="AD115">
        <f t="shared" ca="1" si="65"/>
        <v>0</v>
      </c>
      <c r="AF115" t="e">
        <f t="shared" si="79"/>
        <v>#REF!</v>
      </c>
      <c r="AG115" t="e">
        <f t="shared" ca="1" si="110"/>
        <v>#N/A</v>
      </c>
      <c r="AH115" t="e">
        <f t="shared" ca="1" si="110"/>
        <v>#N/A</v>
      </c>
      <c r="AI115" t="e">
        <f t="shared" ca="1" si="110"/>
        <v>#N/A</v>
      </c>
      <c r="AJ115" t="e">
        <f t="shared" ca="1" si="110"/>
        <v>#N/A</v>
      </c>
      <c r="AK115" t="e">
        <f t="shared" ca="1" si="110"/>
        <v>#N/A</v>
      </c>
      <c r="AL115" t="e">
        <f t="shared" ca="1" si="110"/>
        <v>#N/A</v>
      </c>
      <c r="AM115" t="e">
        <f t="shared" ca="1" si="110"/>
        <v>#N/A</v>
      </c>
      <c r="AN115">
        <f t="shared" ca="1" si="81"/>
        <v>0</v>
      </c>
      <c r="AO115">
        <f t="shared" ca="1" si="82"/>
        <v>0</v>
      </c>
      <c r="AP115">
        <f t="shared" ca="1" si="83"/>
        <v>0</v>
      </c>
      <c r="AQ115">
        <f t="shared" ca="1" si="84"/>
        <v>0</v>
      </c>
      <c r="AR115">
        <f t="shared" ca="1" si="85"/>
        <v>0</v>
      </c>
      <c r="AS115">
        <f t="shared" ca="1" si="86"/>
        <v>0</v>
      </c>
      <c r="AT115">
        <f t="shared" ca="1" si="87"/>
        <v>0</v>
      </c>
      <c r="AV115" t="e">
        <f t="shared" si="6"/>
        <v>#REF!</v>
      </c>
      <c r="AW115" t="e" cm="1">
        <f t="array" ref="AW115">INDEX(auto_DataFlat_Score,$AV115,1)</f>
        <v>#REF!</v>
      </c>
      <c r="AX115" t="e" cm="1">
        <f t="array" ref="AX115">INDEX(auto_DataFlat_DataValue,$AV115,1)</f>
        <v>#REF!</v>
      </c>
      <c r="BA115" t="str">
        <f t="shared" si="88"/>
        <v>n/a</v>
      </c>
      <c r="BB115">
        <f t="shared" si="89"/>
        <v>1</v>
      </c>
      <c r="BC115" t="e">
        <f t="shared" si="90"/>
        <v>#REF!</v>
      </c>
      <c r="BD115" t="e">
        <f t="shared" ca="1" si="108"/>
        <v>#N/A</v>
      </c>
      <c r="BE115" t="e">
        <f t="shared" ca="1" si="108"/>
        <v>#N/A</v>
      </c>
      <c r="BF115" t="e">
        <f t="shared" ca="1" si="108"/>
        <v>#N/A</v>
      </c>
      <c r="BH115">
        <f t="shared" ca="1" si="66"/>
        <v>0</v>
      </c>
      <c r="BI115">
        <f t="shared" ca="1" si="66"/>
        <v>0</v>
      </c>
      <c r="BJ115">
        <f t="shared" ca="1" si="66"/>
        <v>0</v>
      </c>
      <c r="BM115" t="e">
        <f t="shared" si="91"/>
        <v>#REF!</v>
      </c>
      <c r="BN115" t="e">
        <f t="shared" ca="1" si="92"/>
        <v>#N/A</v>
      </c>
      <c r="BO115" t="e">
        <f t="shared" ca="1" si="93"/>
        <v>#N/A</v>
      </c>
      <c r="BP115" t="e">
        <f t="shared" ca="1" si="94"/>
        <v>#N/A</v>
      </c>
      <c r="BQ115" t="e">
        <f t="shared" ca="1" si="95"/>
        <v>#N/A</v>
      </c>
      <c r="BR115" t="e">
        <f t="shared" ca="1" si="96"/>
        <v>#N/A</v>
      </c>
      <c r="BS115" t="e">
        <f t="shared" ca="1" si="97"/>
        <v>#N/A</v>
      </c>
      <c r="BT115" t="e">
        <f t="shared" ca="1" si="98"/>
        <v>#N/A</v>
      </c>
      <c r="BU115">
        <f t="shared" ca="1" si="99"/>
        <v>0</v>
      </c>
      <c r="BV115">
        <f t="shared" ca="1" si="100"/>
        <v>0</v>
      </c>
      <c r="BW115">
        <f t="shared" ca="1" si="101"/>
        <v>0</v>
      </c>
      <c r="BX115">
        <f t="shared" ca="1" si="102"/>
        <v>0</v>
      </c>
      <c r="BY115">
        <f t="shared" ca="1" si="103"/>
        <v>0</v>
      </c>
      <c r="BZ115">
        <f t="shared" ca="1" si="73"/>
        <v>0</v>
      </c>
      <c r="CA115">
        <f t="shared" ca="1" si="74"/>
        <v>0</v>
      </c>
    </row>
    <row r="116" spans="1:79" x14ac:dyDescent="0.4">
      <c r="A116" t="str">
        <f t="shared" si="107"/>
        <v>X</v>
      </c>
      <c r="B116">
        <v>105</v>
      </c>
      <c r="C116" t="e" cm="1">
        <f t="array" ref="C116">INDEX(auto_Series_Code,B116)</f>
        <v>#REF!</v>
      </c>
      <c r="D116" t="e" cm="1">
        <f t="array" ref="D116">INDEX(auto_tblSeries,$B116,D$11)</f>
        <v>#REF!</v>
      </c>
      <c r="E116" t="e" cm="1">
        <f t="array" ref="E116">INDEX(auto_tblSeries,$B116,E$11)</f>
        <v>#REF!</v>
      </c>
      <c r="F116" t="e" cm="1">
        <f t="array" ref="F116">INDEX(auto_tblSeries,$B116,F$11)</f>
        <v>#REF!</v>
      </c>
      <c r="G116" t="e" cm="1">
        <f t="array" ref="G116">INDEX(auto_tblSeries,$B116,G$11)</f>
        <v>#REF!</v>
      </c>
      <c r="H116" t="e" cm="1">
        <f t="array" ref="H116">INDEX(auto_tblSeries,$B116,H$11)</f>
        <v>#REF!</v>
      </c>
      <c r="I116" t="e">
        <f t="shared" si="70"/>
        <v>#REF!</v>
      </c>
      <c r="K116" t="e" cm="1">
        <f t="array" ref="K116">INDEX(auto_DataFlat_Score,$I116,K$10)</f>
        <v>#REF!</v>
      </c>
      <c r="L116" t="e" cm="1">
        <f t="array" ref="L116">INDEX(auto_DataFlat_Rank,$I116,L$10)</f>
        <v>#REF!</v>
      </c>
      <c r="M116" t="e" cm="1">
        <f t="array" ref="M116">INDEX(auto_DataFlat_DataValue,$I116,M$10)</f>
        <v>#REF!</v>
      </c>
      <c r="N116" t="e" cm="1">
        <f t="array" ref="N116">INDEX(auto_DataFlat_Classification,$I116,M$10)</f>
        <v>#REF!</v>
      </c>
      <c r="O116" t="e" cm="1">
        <f t="array" ref="O116">INDEX(auto_DataFlat_IsEstimate,$I116,O$10)</f>
        <v>#REF!</v>
      </c>
      <c r="P116" t="e" cm="1">
        <f t="array" ref="P116">IF(INDEX(auto_DataFlat_DataYear,$I116,P$10)=0,"n/a",INDEX(auto_DataFlat_DataYear,$I116,P$10))</f>
        <v>#REF!</v>
      </c>
      <c r="R116" t="e">
        <f t="shared" si="71"/>
        <v>#REF!</v>
      </c>
      <c r="S116" t="e" cm="1">
        <f t="array" ref="S116">INDEX(auto_DataFlat_Score,$R116,S$10)</f>
        <v>#REF!</v>
      </c>
      <c r="U116" t="str">
        <f t="shared" si="75"/>
        <v>n/a</v>
      </c>
      <c r="V116">
        <f t="shared" si="76"/>
        <v>1</v>
      </c>
      <c r="W116" t="e">
        <f t="shared" si="77"/>
        <v>#REF!</v>
      </c>
      <c r="X116" t="e">
        <f t="shared" ca="1" si="109"/>
        <v>#N/A</v>
      </c>
      <c r="Y116" t="e">
        <f t="shared" ca="1" si="109"/>
        <v>#N/A</v>
      </c>
      <c r="Z116" t="e">
        <f t="shared" ca="1" si="109"/>
        <v>#N/A</v>
      </c>
      <c r="AB116">
        <f t="shared" ca="1" si="65"/>
        <v>0</v>
      </c>
      <c r="AC116">
        <f t="shared" ca="1" si="65"/>
        <v>0</v>
      </c>
      <c r="AD116">
        <f t="shared" ca="1" si="65"/>
        <v>0</v>
      </c>
      <c r="AF116" t="e">
        <f t="shared" si="79"/>
        <v>#REF!</v>
      </c>
      <c r="AG116" t="e">
        <f t="shared" ca="1" si="110"/>
        <v>#N/A</v>
      </c>
      <c r="AH116" t="e">
        <f t="shared" ca="1" si="110"/>
        <v>#N/A</v>
      </c>
      <c r="AI116" t="e">
        <f t="shared" ca="1" si="110"/>
        <v>#N/A</v>
      </c>
      <c r="AJ116" t="e">
        <f t="shared" ca="1" si="110"/>
        <v>#N/A</v>
      </c>
      <c r="AK116" t="e">
        <f t="shared" ca="1" si="110"/>
        <v>#N/A</v>
      </c>
      <c r="AL116" t="e">
        <f t="shared" ca="1" si="110"/>
        <v>#N/A</v>
      </c>
      <c r="AM116" t="e">
        <f t="shared" ca="1" si="110"/>
        <v>#N/A</v>
      </c>
      <c r="AN116">
        <f t="shared" ca="1" si="81"/>
        <v>0</v>
      </c>
      <c r="AO116">
        <f t="shared" ca="1" si="82"/>
        <v>0</v>
      </c>
      <c r="AP116">
        <f t="shared" ca="1" si="83"/>
        <v>0</v>
      </c>
      <c r="AQ116">
        <f t="shared" ca="1" si="84"/>
        <v>0</v>
      </c>
      <c r="AR116">
        <f t="shared" ca="1" si="85"/>
        <v>0</v>
      </c>
      <c r="AS116">
        <f t="shared" ca="1" si="86"/>
        <v>0</v>
      </c>
      <c r="AT116">
        <f t="shared" ca="1" si="87"/>
        <v>0</v>
      </c>
      <c r="AV116" t="e">
        <f t="shared" si="6"/>
        <v>#REF!</v>
      </c>
      <c r="AW116" t="e" cm="1">
        <f t="array" ref="AW116">INDEX(auto_DataFlat_Score,$AV116,1)</f>
        <v>#REF!</v>
      </c>
      <c r="AX116" t="e" cm="1">
        <f t="array" ref="AX116">INDEX(auto_DataFlat_DataValue,$AV116,1)</f>
        <v>#REF!</v>
      </c>
      <c r="BA116" t="str">
        <f t="shared" si="88"/>
        <v>n/a</v>
      </c>
      <c r="BB116">
        <f t="shared" si="89"/>
        <v>1</v>
      </c>
      <c r="BC116" t="e">
        <f t="shared" si="90"/>
        <v>#REF!</v>
      </c>
      <c r="BD116" t="e">
        <f t="shared" ca="1" si="108"/>
        <v>#N/A</v>
      </c>
      <c r="BE116" t="e">
        <f t="shared" ca="1" si="108"/>
        <v>#N/A</v>
      </c>
      <c r="BF116" t="e">
        <f t="shared" ca="1" si="108"/>
        <v>#N/A</v>
      </c>
      <c r="BH116">
        <f t="shared" ca="1" si="66"/>
        <v>0</v>
      </c>
      <c r="BI116">
        <f t="shared" ca="1" si="66"/>
        <v>0</v>
      </c>
      <c r="BJ116">
        <f t="shared" ca="1" si="66"/>
        <v>0</v>
      </c>
      <c r="BM116" t="e">
        <f t="shared" si="91"/>
        <v>#REF!</v>
      </c>
      <c r="BN116" t="e">
        <f t="shared" ca="1" si="92"/>
        <v>#N/A</v>
      </c>
      <c r="BO116" t="e">
        <f t="shared" ca="1" si="93"/>
        <v>#N/A</v>
      </c>
      <c r="BP116" t="e">
        <f t="shared" ca="1" si="94"/>
        <v>#N/A</v>
      </c>
      <c r="BQ116" t="e">
        <f t="shared" ca="1" si="95"/>
        <v>#N/A</v>
      </c>
      <c r="BR116" t="e">
        <f t="shared" ca="1" si="96"/>
        <v>#N/A</v>
      </c>
      <c r="BS116" t="e">
        <f t="shared" ca="1" si="97"/>
        <v>#N/A</v>
      </c>
      <c r="BT116" t="e">
        <f t="shared" ca="1" si="98"/>
        <v>#N/A</v>
      </c>
      <c r="BU116">
        <f t="shared" ca="1" si="99"/>
        <v>0</v>
      </c>
      <c r="BV116">
        <f t="shared" ca="1" si="100"/>
        <v>0</v>
      </c>
      <c r="BW116">
        <f t="shared" ca="1" si="101"/>
        <v>0</v>
      </c>
      <c r="BX116">
        <f t="shared" ca="1" si="102"/>
        <v>0</v>
      </c>
      <c r="BY116">
        <f t="shared" ca="1" si="103"/>
        <v>0</v>
      </c>
      <c r="BZ116">
        <f t="shared" ca="1" si="73"/>
        <v>0</v>
      </c>
      <c r="CA116">
        <f t="shared" ca="1" si="74"/>
        <v>0</v>
      </c>
    </row>
    <row r="117" spans="1:79" x14ac:dyDescent="0.4">
      <c r="A117" t="str">
        <f t="shared" si="107"/>
        <v>X</v>
      </c>
      <c r="B117">
        <v>106</v>
      </c>
      <c r="C117" t="e" cm="1">
        <f t="array" ref="C117">INDEX(auto_Series_Code,B117)</f>
        <v>#REF!</v>
      </c>
      <c r="D117" t="e" cm="1">
        <f t="array" ref="D117">INDEX(auto_tblSeries,$B117,D$11)</f>
        <v>#REF!</v>
      </c>
      <c r="E117" t="e" cm="1">
        <f t="array" ref="E117">INDEX(auto_tblSeries,$B117,E$11)</f>
        <v>#REF!</v>
      </c>
      <c r="F117" t="e" cm="1">
        <f t="array" ref="F117">INDEX(auto_tblSeries,$B117,F$11)</f>
        <v>#REF!</v>
      </c>
      <c r="G117" t="e" cm="1">
        <f t="array" ref="G117">INDEX(auto_tblSeries,$B117,G$11)</f>
        <v>#REF!</v>
      </c>
      <c r="H117" t="e" cm="1">
        <f t="array" ref="H117">INDEX(auto_tblSeries,$B117,H$11)</f>
        <v>#REF!</v>
      </c>
      <c r="I117" t="e">
        <f t="shared" si="70"/>
        <v>#REF!</v>
      </c>
      <c r="K117" t="e" cm="1">
        <f t="array" ref="K117">INDEX(auto_DataFlat_Score,$I117,K$10)</f>
        <v>#REF!</v>
      </c>
      <c r="L117" t="e" cm="1">
        <f t="array" ref="L117">INDEX(auto_DataFlat_Rank,$I117,L$10)</f>
        <v>#REF!</v>
      </c>
      <c r="M117" t="e" cm="1">
        <f t="array" ref="M117">INDEX(auto_DataFlat_DataValue,$I117,M$10)</f>
        <v>#REF!</v>
      </c>
      <c r="N117" t="e" cm="1">
        <f t="array" ref="N117">INDEX(auto_DataFlat_Classification,$I117,M$10)</f>
        <v>#REF!</v>
      </c>
      <c r="O117" t="e" cm="1">
        <f t="array" ref="O117">INDEX(auto_DataFlat_IsEstimate,$I117,O$10)</f>
        <v>#REF!</v>
      </c>
      <c r="P117" t="e" cm="1">
        <f t="array" ref="P117">IF(INDEX(auto_DataFlat_DataYear,$I117,P$10)=0,"n/a",INDEX(auto_DataFlat_DataYear,$I117,P$10))</f>
        <v>#REF!</v>
      </c>
      <c r="R117" t="e">
        <f t="shared" si="71"/>
        <v>#REF!</v>
      </c>
      <c r="S117" t="e" cm="1">
        <f t="array" ref="S117">INDEX(auto_DataFlat_Score,$R117,S$10)</f>
        <v>#REF!</v>
      </c>
      <c r="U117" t="str">
        <f t="shared" si="75"/>
        <v>n/a</v>
      </c>
      <c r="V117">
        <f t="shared" si="76"/>
        <v>1</v>
      </c>
      <c r="W117" t="e">
        <f t="shared" si="77"/>
        <v>#REF!</v>
      </c>
      <c r="X117" t="e">
        <f t="shared" ca="1" si="109"/>
        <v>#N/A</v>
      </c>
      <c r="Y117" t="e">
        <f t="shared" ca="1" si="109"/>
        <v>#N/A</v>
      </c>
      <c r="Z117" t="e">
        <f t="shared" ca="1" si="109"/>
        <v>#N/A</v>
      </c>
      <c r="AB117">
        <f t="shared" ca="1" si="65"/>
        <v>0</v>
      </c>
      <c r="AC117">
        <f t="shared" ca="1" si="65"/>
        <v>0</v>
      </c>
      <c r="AD117">
        <f t="shared" ca="1" si="65"/>
        <v>0</v>
      </c>
      <c r="AF117" t="e">
        <f t="shared" si="79"/>
        <v>#REF!</v>
      </c>
      <c r="AG117" t="e">
        <f t="shared" ca="1" si="110"/>
        <v>#N/A</v>
      </c>
      <c r="AH117" t="e">
        <f t="shared" ca="1" si="110"/>
        <v>#N/A</v>
      </c>
      <c r="AI117" t="e">
        <f t="shared" ca="1" si="110"/>
        <v>#N/A</v>
      </c>
      <c r="AJ117" t="e">
        <f t="shared" ca="1" si="110"/>
        <v>#N/A</v>
      </c>
      <c r="AK117" t="e">
        <f t="shared" ca="1" si="110"/>
        <v>#N/A</v>
      </c>
      <c r="AL117" t="e">
        <f t="shared" ca="1" si="110"/>
        <v>#N/A</v>
      </c>
      <c r="AM117" t="e">
        <f t="shared" ca="1" si="110"/>
        <v>#N/A</v>
      </c>
      <c r="AN117">
        <f t="shared" ca="1" si="81"/>
        <v>0</v>
      </c>
      <c r="AO117">
        <f t="shared" ca="1" si="82"/>
        <v>0</v>
      </c>
      <c r="AP117">
        <f t="shared" ca="1" si="83"/>
        <v>0</v>
      </c>
      <c r="AQ117">
        <f t="shared" ca="1" si="84"/>
        <v>0</v>
      </c>
      <c r="AR117">
        <f t="shared" ca="1" si="85"/>
        <v>0</v>
      </c>
      <c r="AS117">
        <f t="shared" ca="1" si="86"/>
        <v>0</v>
      </c>
      <c r="AT117">
        <f t="shared" ca="1" si="87"/>
        <v>0</v>
      </c>
      <c r="AV117" t="e">
        <f t="shared" si="6"/>
        <v>#REF!</v>
      </c>
      <c r="AW117" t="e" cm="1">
        <f t="array" ref="AW117">INDEX(auto_DataFlat_Score,$AV117,1)</f>
        <v>#REF!</v>
      </c>
      <c r="AX117" t="e" cm="1">
        <f t="array" ref="AX117">INDEX(auto_DataFlat_DataValue,$AV117,1)</f>
        <v>#REF!</v>
      </c>
      <c r="BA117" t="str">
        <f t="shared" si="88"/>
        <v>n/a</v>
      </c>
      <c r="BB117">
        <f t="shared" si="89"/>
        <v>1</v>
      </c>
      <c r="BC117" t="e">
        <f t="shared" si="90"/>
        <v>#REF!</v>
      </c>
      <c r="BD117" t="e">
        <f t="shared" ca="1" si="108"/>
        <v>#N/A</v>
      </c>
      <c r="BE117" t="e">
        <f t="shared" ca="1" si="108"/>
        <v>#N/A</v>
      </c>
      <c r="BF117" t="e">
        <f t="shared" ca="1" si="108"/>
        <v>#N/A</v>
      </c>
      <c r="BH117">
        <f t="shared" ca="1" si="66"/>
        <v>0</v>
      </c>
      <c r="BI117">
        <f t="shared" ca="1" si="66"/>
        <v>0</v>
      </c>
      <c r="BJ117">
        <f t="shared" ca="1" si="66"/>
        <v>0</v>
      </c>
      <c r="BM117" t="e">
        <f t="shared" si="91"/>
        <v>#REF!</v>
      </c>
      <c r="BN117" t="e">
        <f t="shared" ca="1" si="92"/>
        <v>#N/A</v>
      </c>
      <c r="BO117" t="e">
        <f t="shared" ca="1" si="93"/>
        <v>#N/A</v>
      </c>
      <c r="BP117" t="e">
        <f t="shared" ca="1" si="94"/>
        <v>#N/A</v>
      </c>
      <c r="BQ117" t="e">
        <f t="shared" ca="1" si="95"/>
        <v>#N/A</v>
      </c>
      <c r="BR117" t="e">
        <f t="shared" ca="1" si="96"/>
        <v>#N/A</v>
      </c>
      <c r="BS117" t="e">
        <f t="shared" ca="1" si="97"/>
        <v>#N/A</v>
      </c>
      <c r="BT117" t="e">
        <f t="shared" ca="1" si="98"/>
        <v>#N/A</v>
      </c>
      <c r="BU117">
        <f t="shared" ca="1" si="99"/>
        <v>0</v>
      </c>
      <c r="BV117">
        <f t="shared" ca="1" si="100"/>
        <v>0</v>
      </c>
      <c r="BW117">
        <f t="shared" ca="1" si="101"/>
        <v>0</v>
      </c>
      <c r="BX117">
        <f t="shared" ca="1" si="102"/>
        <v>0</v>
      </c>
      <c r="BY117">
        <f t="shared" ca="1" si="103"/>
        <v>0</v>
      </c>
      <c r="BZ117">
        <f t="shared" ca="1" si="73"/>
        <v>0</v>
      </c>
      <c r="CA117">
        <f t="shared" ca="1" si="74"/>
        <v>0</v>
      </c>
    </row>
    <row r="118" spans="1:79" x14ac:dyDescent="0.4">
      <c r="A118" t="str">
        <f t="shared" si="107"/>
        <v>X</v>
      </c>
      <c r="B118">
        <v>107</v>
      </c>
      <c r="C118" t="e" cm="1">
        <f t="array" ref="C118">INDEX(auto_Series_Code,B118)</f>
        <v>#REF!</v>
      </c>
      <c r="D118" t="e" cm="1">
        <f t="array" ref="D118">INDEX(auto_tblSeries,$B118,D$11)</f>
        <v>#REF!</v>
      </c>
      <c r="E118" t="e" cm="1">
        <f t="array" ref="E118">INDEX(auto_tblSeries,$B118,E$11)</f>
        <v>#REF!</v>
      </c>
      <c r="F118" t="e" cm="1">
        <f t="array" ref="F118">INDEX(auto_tblSeries,$B118,F$11)</f>
        <v>#REF!</v>
      </c>
      <c r="G118" t="e" cm="1">
        <f t="array" ref="G118">INDEX(auto_tblSeries,$B118,G$11)</f>
        <v>#REF!</v>
      </c>
      <c r="H118" t="e" cm="1">
        <f t="array" ref="H118">INDEX(auto_tblSeries,$B118,H$11)</f>
        <v>#REF!</v>
      </c>
      <c r="I118" t="e">
        <f t="shared" si="70"/>
        <v>#REF!</v>
      </c>
      <c r="K118" t="e" cm="1">
        <f t="array" ref="K118">INDEX(auto_DataFlat_Score,$I118,K$10)</f>
        <v>#REF!</v>
      </c>
      <c r="L118" t="e" cm="1">
        <f t="array" ref="L118">INDEX(auto_DataFlat_Rank,$I118,L$10)</f>
        <v>#REF!</v>
      </c>
      <c r="M118" t="e" cm="1">
        <f t="array" ref="M118">INDEX(auto_DataFlat_DataValue,$I118,M$10)</f>
        <v>#REF!</v>
      </c>
      <c r="N118" t="e" cm="1">
        <f t="array" ref="N118">INDEX(auto_DataFlat_Classification,$I118,M$10)</f>
        <v>#REF!</v>
      </c>
      <c r="O118" t="e" cm="1">
        <f t="array" ref="O118">INDEX(auto_DataFlat_IsEstimate,$I118,O$10)</f>
        <v>#REF!</v>
      </c>
      <c r="P118" t="e" cm="1">
        <f t="array" ref="P118">IF(INDEX(auto_DataFlat_DataYear,$I118,P$10)=0,"n/a",INDEX(auto_DataFlat_DataYear,$I118,P$10))</f>
        <v>#REF!</v>
      </c>
      <c r="R118" t="e">
        <f t="shared" si="71"/>
        <v>#REF!</v>
      </c>
      <c r="S118" t="e" cm="1">
        <f t="array" ref="S118">INDEX(auto_DataFlat_Score,$R118,S$10)</f>
        <v>#REF!</v>
      </c>
      <c r="U118" t="str">
        <f t="shared" si="75"/>
        <v>n/a</v>
      </c>
      <c r="V118">
        <f t="shared" si="76"/>
        <v>1</v>
      </c>
      <c r="W118" t="e">
        <f t="shared" si="77"/>
        <v>#REF!</v>
      </c>
      <c r="X118" t="e">
        <f t="shared" ca="1" si="109"/>
        <v>#N/A</v>
      </c>
      <c r="Y118" t="e">
        <f t="shared" ca="1" si="109"/>
        <v>#N/A</v>
      </c>
      <c r="Z118" t="e">
        <f t="shared" ca="1" si="109"/>
        <v>#N/A</v>
      </c>
      <c r="AB118">
        <f t="shared" ca="1" si="65"/>
        <v>0</v>
      </c>
      <c r="AC118">
        <f t="shared" ca="1" si="65"/>
        <v>0</v>
      </c>
      <c r="AD118">
        <f t="shared" ca="1" si="65"/>
        <v>0</v>
      </c>
      <c r="AF118" t="e">
        <f t="shared" si="79"/>
        <v>#REF!</v>
      </c>
      <c r="AG118" t="e">
        <f t="shared" ca="1" si="110"/>
        <v>#N/A</v>
      </c>
      <c r="AH118" t="e">
        <f t="shared" ca="1" si="110"/>
        <v>#N/A</v>
      </c>
      <c r="AI118" t="e">
        <f t="shared" ca="1" si="110"/>
        <v>#N/A</v>
      </c>
      <c r="AJ118" t="e">
        <f t="shared" ca="1" si="110"/>
        <v>#N/A</v>
      </c>
      <c r="AK118" t="e">
        <f t="shared" ca="1" si="110"/>
        <v>#N/A</v>
      </c>
      <c r="AL118" t="e">
        <f t="shared" ca="1" si="110"/>
        <v>#N/A</v>
      </c>
      <c r="AM118" t="e">
        <f t="shared" ca="1" si="110"/>
        <v>#N/A</v>
      </c>
      <c r="AN118">
        <f t="shared" ca="1" si="81"/>
        <v>0</v>
      </c>
      <c r="AO118">
        <f t="shared" ca="1" si="82"/>
        <v>0</v>
      </c>
      <c r="AP118">
        <f t="shared" ca="1" si="83"/>
        <v>0</v>
      </c>
      <c r="AQ118">
        <f t="shared" ca="1" si="84"/>
        <v>0</v>
      </c>
      <c r="AR118">
        <f t="shared" ca="1" si="85"/>
        <v>0</v>
      </c>
      <c r="AS118">
        <f t="shared" ca="1" si="86"/>
        <v>0</v>
      </c>
      <c r="AT118">
        <f t="shared" ca="1" si="87"/>
        <v>0</v>
      </c>
      <c r="AV118" t="e">
        <f t="shared" si="6"/>
        <v>#REF!</v>
      </c>
      <c r="AW118" t="e" cm="1">
        <f t="array" ref="AW118">INDEX(auto_DataFlat_Score,$AV118,1)</f>
        <v>#REF!</v>
      </c>
      <c r="AX118" t="e" cm="1">
        <f t="array" ref="AX118">INDEX(auto_DataFlat_DataValue,$AV118,1)</f>
        <v>#REF!</v>
      </c>
      <c r="BA118" t="str">
        <f t="shared" si="88"/>
        <v>n/a</v>
      </c>
      <c r="BB118">
        <f t="shared" si="89"/>
        <v>1</v>
      </c>
      <c r="BC118" t="e">
        <f t="shared" si="90"/>
        <v>#REF!</v>
      </c>
      <c r="BD118" t="e">
        <f t="shared" ca="1" si="108"/>
        <v>#N/A</v>
      </c>
      <c r="BE118" t="e">
        <f t="shared" ca="1" si="108"/>
        <v>#N/A</v>
      </c>
      <c r="BF118" t="e">
        <f t="shared" ca="1" si="108"/>
        <v>#N/A</v>
      </c>
      <c r="BH118">
        <f t="shared" ca="1" si="66"/>
        <v>0</v>
      </c>
      <c r="BI118">
        <f t="shared" ca="1" si="66"/>
        <v>0</v>
      </c>
      <c r="BJ118">
        <f t="shared" ca="1" si="66"/>
        <v>0</v>
      </c>
      <c r="BM118" t="e">
        <f t="shared" si="91"/>
        <v>#REF!</v>
      </c>
      <c r="BN118" t="e">
        <f t="shared" ca="1" si="92"/>
        <v>#N/A</v>
      </c>
      <c r="BO118" t="e">
        <f t="shared" ca="1" si="93"/>
        <v>#N/A</v>
      </c>
      <c r="BP118" t="e">
        <f t="shared" ca="1" si="94"/>
        <v>#N/A</v>
      </c>
      <c r="BQ118" t="e">
        <f t="shared" ca="1" si="95"/>
        <v>#N/A</v>
      </c>
      <c r="BR118" t="e">
        <f t="shared" ca="1" si="96"/>
        <v>#N/A</v>
      </c>
      <c r="BS118" t="e">
        <f t="shared" ca="1" si="97"/>
        <v>#N/A</v>
      </c>
      <c r="BT118" t="e">
        <f t="shared" ca="1" si="98"/>
        <v>#N/A</v>
      </c>
      <c r="BU118">
        <f t="shared" ca="1" si="99"/>
        <v>0</v>
      </c>
      <c r="BV118">
        <f t="shared" ca="1" si="100"/>
        <v>0</v>
      </c>
      <c r="BW118">
        <f t="shared" ca="1" si="101"/>
        <v>0</v>
      </c>
      <c r="BX118">
        <f t="shared" ca="1" si="102"/>
        <v>0</v>
      </c>
      <c r="BY118">
        <f t="shared" ca="1" si="103"/>
        <v>0</v>
      </c>
      <c r="BZ118">
        <f t="shared" ca="1" si="73"/>
        <v>0</v>
      </c>
      <c r="CA118">
        <f t="shared" ca="1" si="74"/>
        <v>0</v>
      </c>
    </row>
    <row r="119" spans="1:79" x14ac:dyDescent="0.4">
      <c r="A119" t="str">
        <f t="shared" si="107"/>
        <v>X</v>
      </c>
      <c r="B119">
        <v>108</v>
      </c>
      <c r="C119" t="e" cm="1">
        <f t="array" ref="C119">INDEX(auto_Series_Code,B119)</f>
        <v>#REF!</v>
      </c>
      <c r="D119" t="e" cm="1">
        <f t="array" ref="D119">INDEX(auto_tblSeries,$B119,D$11)</f>
        <v>#REF!</v>
      </c>
      <c r="E119" t="e" cm="1">
        <f t="array" ref="E119">INDEX(auto_tblSeries,$B119,E$11)</f>
        <v>#REF!</v>
      </c>
      <c r="F119" t="e" cm="1">
        <f t="array" ref="F119">INDEX(auto_tblSeries,$B119,F$11)</f>
        <v>#REF!</v>
      </c>
      <c r="G119" t="e" cm="1">
        <f t="array" ref="G119">INDEX(auto_tblSeries,$B119,G$11)</f>
        <v>#REF!</v>
      </c>
      <c r="H119" t="e" cm="1">
        <f t="array" ref="H119">INDEX(auto_tblSeries,$B119,H$11)</f>
        <v>#REF!</v>
      </c>
      <c r="I119" t="e">
        <f t="shared" si="70"/>
        <v>#REF!</v>
      </c>
      <c r="K119" t="e" cm="1">
        <f t="array" ref="K119">INDEX(auto_DataFlat_Score,$I119,K$10)</f>
        <v>#REF!</v>
      </c>
      <c r="L119" t="e" cm="1">
        <f t="array" ref="L119">INDEX(auto_DataFlat_Rank,$I119,L$10)</f>
        <v>#REF!</v>
      </c>
      <c r="M119" t="e" cm="1">
        <f t="array" ref="M119">INDEX(auto_DataFlat_DataValue,$I119,M$10)</f>
        <v>#REF!</v>
      </c>
      <c r="N119" t="e" cm="1">
        <f t="array" ref="N119">INDEX(auto_DataFlat_Classification,$I119,M$10)</f>
        <v>#REF!</v>
      </c>
      <c r="O119" t="e" cm="1">
        <f t="array" ref="O119">INDEX(auto_DataFlat_IsEstimate,$I119,O$10)</f>
        <v>#REF!</v>
      </c>
      <c r="P119" t="e" cm="1">
        <f t="array" ref="P119">IF(INDEX(auto_DataFlat_DataYear,$I119,P$10)=0,"n/a",INDEX(auto_DataFlat_DataYear,$I119,P$10))</f>
        <v>#REF!</v>
      </c>
      <c r="R119" t="e">
        <f t="shared" si="71"/>
        <v>#REF!</v>
      </c>
      <c r="S119" t="e" cm="1">
        <f t="array" ref="S119">INDEX(auto_DataFlat_Score,$R119,S$10)</f>
        <v>#REF!</v>
      </c>
      <c r="U119" t="str">
        <f t="shared" si="75"/>
        <v>n/a</v>
      </c>
      <c r="V119">
        <f t="shared" si="76"/>
        <v>1</v>
      </c>
      <c r="W119" t="e">
        <f t="shared" si="77"/>
        <v>#REF!</v>
      </c>
      <c r="X119" t="e">
        <f t="shared" ca="1" si="109"/>
        <v>#N/A</v>
      </c>
      <c r="Y119" t="e">
        <f t="shared" ca="1" si="109"/>
        <v>#N/A</v>
      </c>
      <c r="Z119" t="e">
        <f t="shared" ca="1" si="109"/>
        <v>#N/A</v>
      </c>
      <c r="AB119">
        <f t="shared" ca="1" si="65"/>
        <v>0</v>
      </c>
      <c r="AC119">
        <f t="shared" ca="1" si="65"/>
        <v>0</v>
      </c>
      <c r="AD119">
        <f t="shared" ca="1" si="65"/>
        <v>0</v>
      </c>
      <c r="AF119" t="e">
        <f t="shared" si="79"/>
        <v>#REF!</v>
      </c>
      <c r="AG119" t="e">
        <f t="shared" ca="1" si="110"/>
        <v>#N/A</v>
      </c>
      <c r="AH119" t="e">
        <f t="shared" ca="1" si="110"/>
        <v>#N/A</v>
      </c>
      <c r="AI119" t="e">
        <f t="shared" ca="1" si="110"/>
        <v>#N/A</v>
      </c>
      <c r="AJ119" t="e">
        <f t="shared" ca="1" si="110"/>
        <v>#N/A</v>
      </c>
      <c r="AK119" t="e">
        <f t="shared" ca="1" si="110"/>
        <v>#N/A</v>
      </c>
      <c r="AL119" t="e">
        <f t="shared" ca="1" si="110"/>
        <v>#N/A</v>
      </c>
      <c r="AM119" t="e">
        <f t="shared" ca="1" si="110"/>
        <v>#N/A</v>
      </c>
      <c r="AN119">
        <f t="shared" ca="1" si="81"/>
        <v>0</v>
      </c>
      <c r="AO119">
        <f t="shared" ca="1" si="82"/>
        <v>0</v>
      </c>
      <c r="AP119">
        <f t="shared" ca="1" si="83"/>
        <v>0</v>
      </c>
      <c r="AQ119">
        <f t="shared" ca="1" si="84"/>
        <v>0</v>
      </c>
      <c r="AR119">
        <f t="shared" ca="1" si="85"/>
        <v>0</v>
      </c>
      <c r="AS119">
        <f t="shared" ca="1" si="86"/>
        <v>0</v>
      </c>
      <c r="AT119">
        <f t="shared" ca="1" si="87"/>
        <v>0</v>
      </c>
      <c r="AV119" t="e">
        <f t="shared" si="6"/>
        <v>#REF!</v>
      </c>
      <c r="AW119" t="e" cm="1">
        <f t="array" ref="AW119">INDEX(auto_DataFlat_Score,$AV119,1)</f>
        <v>#REF!</v>
      </c>
      <c r="AX119" t="e" cm="1">
        <f t="array" ref="AX119">INDEX(auto_DataFlat_DataValue,$AV119,1)</f>
        <v>#REF!</v>
      </c>
      <c r="BA119" t="str">
        <f t="shared" si="88"/>
        <v>n/a</v>
      </c>
      <c r="BB119">
        <f t="shared" si="89"/>
        <v>1</v>
      </c>
      <c r="BC119" t="e">
        <f t="shared" si="90"/>
        <v>#REF!</v>
      </c>
      <c r="BD119" t="e">
        <f t="shared" ca="1" si="108"/>
        <v>#N/A</v>
      </c>
      <c r="BE119" t="e">
        <f t="shared" ca="1" si="108"/>
        <v>#N/A</v>
      </c>
      <c r="BF119" t="e">
        <f t="shared" ca="1" si="108"/>
        <v>#N/A</v>
      </c>
      <c r="BH119">
        <f t="shared" ca="1" si="66"/>
        <v>0</v>
      </c>
      <c r="BI119">
        <f t="shared" ca="1" si="66"/>
        <v>0</v>
      </c>
      <c r="BJ119">
        <f t="shared" ca="1" si="66"/>
        <v>0</v>
      </c>
      <c r="BM119" t="e">
        <f t="shared" si="91"/>
        <v>#REF!</v>
      </c>
      <c r="BN119" t="e">
        <f t="shared" ca="1" si="92"/>
        <v>#N/A</v>
      </c>
      <c r="BO119" t="e">
        <f t="shared" ca="1" si="93"/>
        <v>#N/A</v>
      </c>
      <c r="BP119" t="e">
        <f t="shared" ca="1" si="94"/>
        <v>#N/A</v>
      </c>
      <c r="BQ119" t="e">
        <f t="shared" ca="1" si="95"/>
        <v>#N/A</v>
      </c>
      <c r="BR119" t="e">
        <f t="shared" ca="1" si="96"/>
        <v>#N/A</v>
      </c>
      <c r="BS119" t="e">
        <f t="shared" ca="1" si="97"/>
        <v>#N/A</v>
      </c>
      <c r="BT119" t="e">
        <f t="shared" ca="1" si="98"/>
        <v>#N/A</v>
      </c>
      <c r="BU119">
        <f t="shared" ca="1" si="99"/>
        <v>0</v>
      </c>
      <c r="BV119">
        <f t="shared" ca="1" si="100"/>
        <v>0</v>
      </c>
      <c r="BW119">
        <f t="shared" ca="1" si="101"/>
        <v>0</v>
      </c>
      <c r="BX119">
        <f t="shared" ca="1" si="102"/>
        <v>0</v>
      </c>
      <c r="BY119">
        <f t="shared" ca="1" si="103"/>
        <v>0</v>
      </c>
      <c r="BZ119">
        <f t="shared" ca="1" si="73"/>
        <v>0</v>
      </c>
      <c r="CA119">
        <f t="shared" ca="1" si="74"/>
        <v>0</v>
      </c>
    </row>
    <row r="120" spans="1:79" x14ac:dyDescent="0.4">
      <c r="A120" t="str">
        <f t="shared" si="107"/>
        <v>X</v>
      </c>
      <c r="B120">
        <v>109</v>
      </c>
      <c r="C120" t="e" cm="1">
        <f t="array" ref="C120">INDEX(auto_Series_Code,B120)</f>
        <v>#REF!</v>
      </c>
      <c r="D120" t="e" cm="1">
        <f t="array" ref="D120">INDEX(auto_tblSeries,$B120,D$11)</f>
        <v>#REF!</v>
      </c>
      <c r="E120" t="e" cm="1">
        <f t="array" ref="E120">INDEX(auto_tblSeries,$B120,E$11)</f>
        <v>#REF!</v>
      </c>
      <c r="F120" t="e" cm="1">
        <f t="array" ref="F120">INDEX(auto_tblSeries,$B120,F$11)</f>
        <v>#REF!</v>
      </c>
      <c r="G120" t="e" cm="1">
        <f t="array" ref="G120">INDEX(auto_tblSeries,$B120,G$11)</f>
        <v>#REF!</v>
      </c>
      <c r="H120" t="e" cm="1">
        <f t="array" ref="H120">INDEX(auto_tblSeries,$B120,H$11)</f>
        <v>#REF!</v>
      </c>
      <c r="I120" t="e">
        <f t="shared" si="70"/>
        <v>#REF!</v>
      </c>
      <c r="K120" t="e" cm="1">
        <f t="array" ref="K120">INDEX(auto_DataFlat_Score,$I120,K$10)</f>
        <v>#REF!</v>
      </c>
      <c r="L120" t="e" cm="1">
        <f t="array" ref="L120">INDEX(auto_DataFlat_Rank,$I120,L$10)</f>
        <v>#REF!</v>
      </c>
      <c r="M120" t="e" cm="1">
        <f t="array" ref="M120">INDEX(auto_DataFlat_DataValue,$I120,M$10)</f>
        <v>#REF!</v>
      </c>
      <c r="N120" t="e" cm="1">
        <f t="array" ref="N120">INDEX(auto_DataFlat_Classification,$I120,M$10)</f>
        <v>#REF!</v>
      </c>
      <c r="O120" t="e" cm="1">
        <f t="array" ref="O120">INDEX(auto_DataFlat_IsEstimate,$I120,O$10)</f>
        <v>#REF!</v>
      </c>
      <c r="P120" t="e" cm="1">
        <f t="array" ref="P120">IF(INDEX(auto_DataFlat_DataYear,$I120,P$10)=0,"n/a",INDEX(auto_DataFlat_DataYear,$I120,P$10))</f>
        <v>#REF!</v>
      </c>
      <c r="R120" t="e">
        <f t="shared" si="71"/>
        <v>#REF!</v>
      </c>
      <c r="S120" t="e" cm="1">
        <f t="array" ref="S120">INDEX(auto_DataFlat_Score,$R120,S$10)</f>
        <v>#REF!</v>
      </c>
      <c r="U120" t="str">
        <f t="shared" si="75"/>
        <v>n/a</v>
      </c>
      <c r="V120">
        <f t="shared" si="76"/>
        <v>1</v>
      </c>
      <c r="W120" t="e">
        <f t="shared" si="77"/>
        <v>#REF!</v>
      </c>
      <c r="X120" t="e">
        <f t="shared" ca="1" si="109"/>
        <v>#N/A</v>
      </c>
      <c r="Y120" t="e">
        <f t="shared" ca="1" si="109"/>
        <v>#N/A</v>
      </c>
      <c r="Z120" t="e">
        <f t="shared" ca="1" si="109"/>
        <v>#N/A</v>
      </c>
      <c r="AB120">
        <f t="shared" ca="1" si="65"/>
        <v>0</v>
      </c>
      <c r="AC120">
        <f t="shared" ca="1" si="65"/>
        <v>0</v>
      </c>
      <c r="AD120">
        <f t="shared" ca="1" si="65"/>
        <v>0</v>
      </c>
      <c r="AF120" t="e">
        <f t="shared" si="79"/>
        <v>#REF!</v>
      </c>
      <c r="AG120" t="e">
        <f t="shared" ca="1" si="110"/>
        <v>#N/A</v>
      </c>
      <c r="AH120" t="e">
        <f t="shared" ca="1" si="110"/>
        <v>#N/A</v>
      </c>
      <c r="AI120" t="e">
        <f t="shared" ca="1" si="110"/>
        <v>#N/A</v>
      </c>
      <c r="AJ120" t="e">
        <f t="shared" ca="1" si="110"/>
        <v>#N/A</v>
      </c>
      <c r="AK120" t="e">
        <f t="shared" ca="1" si="110"/>
        <v>#N/A</v>
      </c>
      <c r="AL120" t="e">
        <f t="shared" ca="1" si="110"/>
        <v>#N/A</v>
      </c>
      <c r="AM120" t="e">
        <f t="shared" ca="1" si="110"/>
        <v>#N/A</v>
      </c>
      <c r="AN120">
        <f t="shared" ca="1" si="81"/>
        <v>0</v>
      </c>
      <c r="AO120">
        <f t="shared" ca="1" si="82"/>
        <v>0</v>
      </c>
      <c r="AP120">
        <f t="shared" ca="1" si="83"/>
        <v>0</v>
      </c>
      <c r="AQ120">
        <f t="shared" ca="1" si="84"/>
        <v>0</v>
      </c>
      <c r="AR120">
        <f t="shared" ca="1" si="85"/>
        <v>0</v>
      </c>
      <c r="AS120">
        <f t="shared" ca="1" si="86"/>
        <v>0</v>
      </c>
      <c r="AT120">
        <f t="shared" ca="1" si="87"/>
        <v>0</v>
      </c>
      <c r="AV120" t="e">
        <f t="shared" si="6"/>
        <v>#REF!</v>
      </c>
      <c r="AW120" t="e" cm="1">
        <f t="array" ref="AW120">INDEX(auto_DataFlat_Score,$AV120,1)</f>
        <v>#REF!</v>
      </c>
      <c r="AX120" t="e" cm="1">
        <f t="array" ref="AX120">INDEX(auto_DataFlat_DataValue,$AV120,1)</f>
        <v>#REF!</v>
      </c>
      <c r="BA120" t="str">
        <f t="shared" si="88"/>
        <v>n/a</v>
      </c>
      <c r="BB120">
        <f t="shared" si="89"/>
        <v>1</v>
      </c>
      <c r="BC120" t="e">
        <f t="shared" si="90"/>
        <v>#REF!</v>
      </c>
      <c r="BD120" t="e">
        <f t="shared" ca="1" si="108"/>
        <v>#N/A</v>
      </c>
      <c r="BE120" t="e">
        <f t="shared" ca="1" si="108"/>
        <v>#N/A</v>
      </c>
      <c r="BF120" t="e">
        <f t="shared" ca="1" si="108"/>
        <v>#N/A</v>
      </c>
      <c r="BH120">
        <f t="shared" ca="1" si="66"/>
        <v>0</v>
      </c>
      <c r="BI120">
        <f t="shared" ca="1" si="66"/>
        <v>0</v>
      </c>
      <c r="BJ120">
        <f t="shared" ca="1" si="66"/>
        <v>0</v>
      </c>
      <c r="BM120" t="e">
        <f t="shared" si="91"/>
        <v>#REF!</v>
      </c>
      <c r="BN120" t="e">
        <f t="shared" ca="1" si="92"/>
        <v>#N/A</v>
      </c>
      <c r="BO120" t="e">
        <f t="shared" ca="1" si="93"/>
        <v>#N/A</v>
      </c>
      <c r="BP120" t="e">
        <f t="shared" ca="1" si="94"/>
        <v>#N/A</v>
      </c>
      <c r="BQ120" t="e">
        <f t="shared" ca="1" si="95"/>
        <v>#N/A</v>
      </c>
      <c r="BR120" t="e">
        <f t="shared" ca="1" si="96"/>
        <v>#N/A</v>
      </c>
      <c r="BS120" t="e">
        <f t="shared" ca="1" si="97"/>
        <v>#N/A</v>
      </c>
      <c r="BT120" t="e">
        <f t="shared" ca="1" si="98"/>
        <v>#N/A</v>
      </c>
      <c r="BU120">
        <f t="shared" ca="1" si="99"/>
        <v>0</v>
      </c>
      <c r="BV120">
        <f t="shared" ca="1" si="100"/>
        <v>0</v>
      </c>
      <c r="BW120">
        <f t="shared" ca="1" si="101"/>
        <v>0</v>
      </c>
      <c r="BX120">
        <f t="shared" ca="1" si="102"/>
        <v>0</v>
      </c>
      <c r="BY120">
        <f t="shared" ca="1" si="103"/>
        <v>0</v>
      </c>
      <c r="BZ120">
        <f t="shared" ca="1" si="73"/>
        <v>0</v>
      </c>
      <c r="CA120">
        <f t="shared" ca="1" si="74"/>
        <v>0</v>
      </c>
    </row>
    <row r="121" spans="1:79" x14ac:dyDescent="0.4">
      <c r="A121" t="str">
        <f t="shared" si="107"/>
        <v>X</v>
      </c>
      <c r="B121">
        <v>110</v>
      </c>
      <c r="C121" t="e" cm="1">
        <f t="array" ref="C121">INDEX(auto_Series_Code,B121)</f>
        <v>#REF!</v>
      </c>
      <c r="D121" t="e" cm="1">
        <f t="array" ref="D121">INDEX(auto_tblSeries,$B121,D$11)</f>
        <v>#REF!</v>
      </c>
      <c r="E121" t="e" cm="1">
        <f t="array" ref="E121">INDEX(auto_tblSeries,$B121,E$11)</f>
        <v>#REF!</v>
      </c>
      <c r="F121" t="e" cm="1">
        <f t="array" ref="F121">INDEX(auto_tblSeries,$B121,F$11)</f>
        <v>#REF!</v>
      </c>
      <c r="G121" t="e" cm="1">
        <f t="array" ref="G121">INDEX(auto_tblSeries,$B121,G$11)</f>
        <v>#REF!</v>
      </c>
      <c r="H121" t="e" cm="1">
        <f t="array" ref="H121">INDEX(auto_tblSeries,$B121,H$11)</f>
        <v>#REF!</v>
      </c>
      <c r="I121" t="e">
        <f t="shared" si="70"/>
        <v>#REF!</v>
      </c>
      <c r="K121" t="e" cm="1">
        <f t="array" ref="K121">INDEX(auto_DataFlat_Score,$I121,K$10)</f>
        <v>#REF!</v>
      </c>
      <c r="L121" t="e" cm="1">
        <f t="array" ref="L121">INDEX(auto_DataFlat_Rank,$I121,L$10)</f>
        <v>#REF!</v>
      </c>
      <c r="M121" t="e" cm="1">
        <f t="array" ref="M121">INDEX(auto_DataFlat_DataValue,$I121,M$10)</f>
        <v>#REF!</v>
      </c>
      <c r="N121" t="e" cm="1">
        <f t="array" ref="N121">INDEX(auto_DataFlat_Classification,$I121,M$10)</f>
        <v>#REF!</v>
      </c>
      <c r="O121" t="e" cm="1">
        <f t="array" ref="O121">INDEX(auto_DataFlat_IsEstimate,$I121,O$10)</f>
        <v>#REF!</v>
      </c>
      <c r="P121" t="e" cm="1">
        <f t="array" ref="P121">IF(INDEX(auto_DataFlat_DataYear,$I121,P$10)=0,"n/a",INDEX(auto_DataFlat_DataYear,$I121,P$10))</f>
        <v>#REF!</v>
      </c>
      <c r="R121" t="e">
        <f t="shared" si="71"/>
        <v>#REF!</v>
      </c>
      <c r="S121" t="e" cm="1">
        <f t="array" ref="S121">INDEX(auto_DataFlat_Score,$R121,S$10)</f>
        <v>#REF!</v>
      </c>
      <c r="U121" t="str">
        <f t="shared" si="75"/>
        <v>n/a</v>
      </c>
      <c r="V121">
        <f t="shared" si="76"/>
        <v>1</v>
      </c>
      <c r="W121" t="e">
        <f t="shared" si="77"/>
        <v>#REF!</v>
      </c>
      <c r="X121" t="e">
        <f t="shared" ca="1" si="109"/>
        <v>#N/A</v>
      </c>
      <c r="Y121" t="e">
        <f t="shared" ca="1" si="109"/>
        <v>#N/A</v>
      </c>
      <c r="Z121" t="e">
        <f t="shared" ca="1" si="109"/>
        <v>#N/A</v>
      </c>
      <c r="AB121">
        <f t="shared" ref="AB121:AD184" ca="1" si="111">IFERROR(X121,0)</f>
        <v>0</v>
      </c>
      <c r="AC121">
        <f t="shared" ca="1" si="111"/>
        <v>0</v>
      </c>
      <c r="AD121">
        <f t="shared" ca="1" si="111"/>
        <v>0</v>
      </c>
      <c r="AF121" t="e">
        <f t="shared" si="79"/>
        <v>#REF!</v>
      </c>
      <c r="AG121" t="e">
        <f t="shared" ca="1" si="110"/>
        <v>#N/A</v>
      </c>
      <c r="AH121" t="e">
        <f t="shared" ca="1" si="110"/>
        <v>#N/A</v>
      </c>
      <c r="AI121" t="e">
        <f t="shared" ca="1" si="110"/>
        <v>#N/A</v>
      </c>
      <c r="AJ121" t="e">
        <f t="shared" ca="1" si="110"/>
        <v>#N/A</v>
      </c>
      <c r="AK121" t="e">
        <f t="shared" ca="1" si="110"/>
        <v>#N/A</v>
      </c>
      <c r="AL121" t="e">
        <f t="shared" ca="1" si="110"/>
        <v>#N/A</v>
      </c>
      <c r="AM121" t="e">
        <f t="shared" ca="1" si="110"/>
        <v>#N/A</v>
      </c>
      <c r="AN121">
        <f t="shared" ca="1" si="81"/>
        <v>0</v>
      </c>
      <c r="AO121">
        <f t="shared" ca="1" si="82"/>
        <v>0</v>
      </c>
      <c r="AP121">
        <f t="shared" ca="1" si="83"/>
        <v>0</v>
      </c>
      <c r="AQ121">
        <f t="shared" ca="1" si="84"/>
        <v>0</v>
      </c>
      <c r="AR121">
        <f t="shared" ca="1" si="85"/>
        <v>0</v>
      </c>
      <c r="AS121">
        <f t="shared" ca="1" si="86"/>
        <v>0</v>
      </c>
      <c r="AT121">
        <f t="shared" ca="1" si="87"/>
        <v>0</v>
      </c>
      <c r="AV121" t="e">
        <f t="shared" si="6"/>
        <v>#REF!</v>
      </c>
      <c r="AW121" t="e" cm="1">
        <f t="array" ref="AW121">INDEX(auto_DataFlat_Score,$AV121,1)</f>
        <v>#REF!</v>
      </c>
      <c r="AX121" t="e" cm="1">
        <f t="array" ref="AX121">INDEX(auto_DataFlat_DataValue,$AV121,1)</f>
        <v>#REF!</v>
      </c>
      <c r="BA121" t="str">
        <f t="shared" si="88"/>
        <v>n/a</v>
      </c>
      <c r="BB121">
        <f t="shared" si="89"/>
        <v>1</v>
      </c>
      <c r="BC121" t="e">
        <f t="shared" si="90"/>
        <v>#REF!</v>
      </c>
      <c r="BD121" t="e">
        <f t="shared" ca="1" si="108"/>
        <v>#N/A</v>
      </c>
      <c r="BE121" t="e">
        <f t="shared" ca="1" si="108"/>
        <v>#N/A</v>
      </c>
      <c r="BF121" t="e">
        <f t="shared" ca="1" si="108"/>
        <v>#N/A</v>
      </c>
      <c r="BH121">
        <f t="shared" ref="BH121:BJ184" ca="1" si="112">IFERROR(BD121,0)</f>
        <v>0</v>
      </c>
      <c r="BI121">
        <f t="shared" ca="1" si="112"/>
        <v>0</v>
      </c>
      <c r="BJ121">
        <f t="shared" ca="1" si="112"/>
        <v>0</v>
      </c>
      <c r="BM121" t="e">
        <f t="shared" si="91"/>
        <v>#REF!</v>
      </c>
      <c r="BN121" t="e">
        <f t="shared" ca="1" si="92"/>
        <v>#N/A</v>
      </c>
      <c r="BO121" t="e">
        <f t="shared" ca="1" si="93"/>
        <v>#N/A</v>
      </c>
      <c r="BP121" t="e">
        <f t="shared" ca="1" si="94"/>
        <v>#N/A</v>
      </c>
      <c r="BQ121" t="e">
        <f t="shared" ca="1" si="95"/>
        <v>#N/A</v>
      </c>
      <c r="BR121" t="e">
        <f t="shared" ca="1" si="96"/>
        <v>#N/A</v>
      </c>
      <c r="BS121" t="e">
        <f t="shared" ca="1" si="97"/>
        <v>#N/A</v>
      </c>
      <c r="BT121" t="e">
        <f t="shared" ca="1" si="98"/>
        <v>#N/A</v>
      </c>
      <c r="BU121">
        <f t="shared" ca="1" si="99"/>
        <v>0</v>
      </c>
      <c r="BV121">
        <f t="shared" ca="1" si="100"/>
        <v>0</v>
      </c>
      <c r="BW121">
        <f t="shared" ca="1" si="101"/>
        <v>0</v>
      </c>
      <c r="BX121">
        <f t="shared" ca="1" si="102"/>
        <v>0</v>
      </c>
      <c r="BY121">
        <f t="shared" ca="1" si="103"/>
        <v>0</v>
      </c>
      <c r="BZ121">
        <f t="shared" ca="1" si="73"/>
        <v>0</v>
      </c>
      <c r="CA121">
        <f t="shared" ca="1" si="74"/>
        <v>0</v>
      </c>
    </row>
    <row r="122" spans="1:79" x14ac:dyDescent="0.4">
      <c r="A122" t="str">
        <f t="shared" si="107"/>
        <v>X</v>
      </c>
      <c r="B122">
        <v>111</v>
      </c>
      <c r="C122" t="e" cm="1">
        <f t="array" ref="C122">INDEX(auto_Series_Code,B122)</f>
        <v>#REF!</v>
      </c>
      <c r="D122" t="e" cm="1">
        <f t="array" ref="D122">INDEX(auto_tblSeries,$B122,D$11)</f>
        <v>#REF!</v>
      </c>
      <c r="E122" t="e" cm="1">
        <f t="array" ref="E122">INDEX(auto_tblSeries,$B122,E$11)</f>
        <v>#REF!</v>
      </c>
      <c r="F122" t="e" cm="1">
        <f t="array" ref="F122">INDEX(auto_tblSeries,$B122,F$11)</f>
        <v>#REF!</v>
      </c>
      <c r="G122" t="e" cm="1">
        <f t="array" ref="G122">INDEX(auto_tblSeries,$B122,G$11)</f>
        <v>#REF!</v>
      </c>
      <c r="H122" t="e" cm="1">
        <f t="array" ref="H122">INDEX(auto_tblSeries,$B122,H$11)</f>
        <v>#REF!</v>
      </c>
      <c r="I122" t="e">
        <f t="shared" si="70"/>
        <v>#REF!</v>
      </c>
      <c r="K122" t="e" cm="1">
        <f t="array" ref="K122">INDEX(auto_DataFlat_Score,$I122,K$10)</f>
        <v>#REF!</v>
      </c>
      <c r="L122" t="e" cm="1">
        <f t="array" ref="L122">INDEX(auto_DataFlat_Rank,$I122,L$10)</f>
        <v>#REF!</v>
      </c>
      <c r="M122" t="e" cm="1">
        <f t="array" ref="M122">INDEX(auto_DataFlat_DataValue,$I122,M$10)</f>
        <v>#REF!</v>
      </c>
      <c r="N122" t="e" cm="1">
        <f t="array" ref="N122">INDEX(auto_DataFlat_Classification,$I122,M$10)</f>
        <v>#REF!</v>
      </c>
      <c r="O122" t="e" cm="1">
        <f t="array" ref="O122">INDEX(auto_DataFlat_IsEstimate,$I122,O$10)</f>
        <v>#REF!</v>
      </c>
      <c r="P122" t="e" cm="1">
        <f t="array" ref="P122">IF(INDEX(auto_DataFlat_DataYear,$I122,P$10)=0,"n/a",INDEX(auto_DataFlat_DataYear,$I122,P$10))</f>
        <v>#REF!</v>
      </c>
      <c r="R122" t="e">
        <f t="shared" si="71"/>
        <v>#REF!</v>
      </c>
      <c r="S122" t="e" cm="1">
        <f t="array" ref="S122">INDEX(auto_DataFlat_Score,$R122,S$10)</f>
        <v>#REF!</v>
      </c>
      <c r="U122" t="str">
        <f t="shared" si="75"/>
        <v>n/a</v>
      </c>
      <c r="V122">
        <f t="shared" si="76"/>
        <v>1</v>
      </c>
      <c r="W122" t="e">
        <f t="shared" si="77"/>
        <v>#REF!</v>
      </c>
      <c r="X122" t="e">
        <f t="shared" ca="1" si="109"/>
        <v>#N/A</v>
      </c>
      <c r="Y122" t="e">
        <f t="shared" ca="1" si="109"/>
        <v>#N/A</v>
      </c>
      <c r="Z122" t="e">
        <f t="shared" ca="1" si="109"/>
        <v>#N/A</v>
      </c>
      <c r="AB122">
        <f t="shared" ca="1" si="111"/>
        <v>0</v>
      </c>
      <c r="AC122">
        <f t="shared" ca="1" si="111"/>
        <v>0</v>
      </c>
      <c r="AD122">
        <f t="shared" ca="1" si="111"/>
        <v>0</v>
      </c>
      <c r="AF122" t="e">
        <f t="shared" si="79"/>
        <v>#REF!</v>
      </c>
      <c r="AG122" t="e">
        <f t="shared" ca="1" si="110"/>
        <v>#N/A</v>
      </c>
      <c r="AH122" t="e">
        <f t="shared" ca="1" si="110"/>
        <v>#N/A</v>
      </c>
      <c r="AI122" t="e">
        <f t="shared" ca="1" si="110"/>
        <v>#N/A</v>
      </c>
      <c r="AJ122" t="e">
        <f t="shared" ca="1" si="110"/>
        <v>#N/A</v>
      </c>
      <c r="AK122" t="e">
        <f t="shared" ca="1" si="110"/>
        <v>#N/A</v>
      </c>
      <c r="AL122" t="e">
        <f t="shared" ca="1" si="110"/>
        <v>#N/A</v>
      </c>
      <c r="AM122" t="e">
        <f t="shared" ca="1" si="110"/>
        <v>#N/A</v>
      </c>
      <c r="AN122">
        <f t="shared" ca="1" si="81"/>
        <v>0</v>
      </c>
      <c r="AO122">
        <f t="shared" ca="1" si="82"/>
        <v>0</v>
      </c>
      <c r="AP122">
        <f t="shared" ca="1" si="83"/>
        <v>0</v>
      </c>
      <c r="AQ122">
        <f t="shared" ca="1" si="84"/>
        <v>0</v>
      </c>
      <c r="AR122">
        <f t="shared" ca="1" si="85"/>
        <v>0</v>
      </c>
      <c r="AS122">
        <f t="shared" ca="1" si="86"/>
        <v>0</v>
      </c>
      <c r="AT122">
        <f t="shared" ca="1" si="87"/>
        <v>0</v>
      </c>
      <c r="AV122" t="e">
        <f t="shared" si="6"/>
        <v>#REF!</v>
      </c>
      <c r="AW122" t="e" cm="1">
        <f t="array" ref="AW122">INDEX(auto_DataFlat_Score,$AV122,1)</f>
        <v>#REF!</v>
      </c>
      <c r="AX122" t="e" cm="1">
        <f t="array" ref="AX122">INDEX(auto_DataFlat_DataValue,$AV122,1)</f>
        <v>#REF!</v>
      </c>
      <c r="BA122" t="str">
        <f t="shared" si="88"/>
        <v>n/a</v>
      </c>
      <c r="BB122">
        <f t="shared" si="89"/>
        <v>1</v>
      </c>
      <c r="BC122" t="e">
        <f t="shared" si="90"/>
        <v>#REF!</v>
      </c>
      <c r="BD122" t="e">
        <f t="shared" ca="1" si="108"/>
        <v>#N/A</v>
      </c>
      <c r="BE122" t="e">
        <f t="shared" ca="1" si="108"/>
        <v>#N/A</v>
      </c>
      <c r="BF122" t="e">
        <f t="shared" ca="1" si="108"/>
        <v>#N/A</v>
      </c>
      <c r="BH122">
        <f t="shared" ca="1" si="112"/>
        <v>0</v>
      </c>
      <c r="BI122">
        <f t="shared" ca="1" si="112"/>
        <v>0</v>
      </c>
      <c r="BJ122">
        <f t="shared" ca="1" si="112"/>
        <v>0</v>
      </c>
      <c r="BM122" t="e">
        <f t="shared" si="91"/>
        <v>#REF!</v>
      </c>
      <c r="BN122" t="e">
        <f t="shared" ca="1" si="92"/>
        <v>#N/A</v>
      </c>
      <c r="BO122" t="e">
        <f t="shared" ca="1" si="93"/>
        <v>#N/A</v>
      </c>
      <c r="BP122" t="e">
        <f t="shared" ca="1" si="94"/>
        <v>#N/A</v>
      </c>
      <c r="BQ122" t="e">
        <f t="shared" ca="1" si="95"/>
        <v>#N/A</v>
      </c>
      <c r="BR122" t="e">
        <f t="shared" ca="1" si="96"/>
        <v>#N/A</v>
      </c>
      <c r="BS122" t="e">
        <f t="shared" ca="1" si="97"/>
        <v>#N/A</v>
      </c>
      <c r="BT122" t="e">
        <f t="shared" ca="1" si="98"/>
        <v>#N/A</v>
      </c>
      <c r="BU122">
        <f t="shared" ca="1" si="99"/>
        <v>0</v>
      </c>
      <c r="BV122">
        <f t="shared" ca="1" si="100"/>
        <v>0</v>
      </c>
      <c r="BW122">
        <f t="shared" ca="1" si="101"/>
        <v>0</v>
      </c>
      <c r="BX122">
        <f t="shared" ca="1" si="102"/>
        <v>0</v>
      </c>
      <c r="BY122">
        <f t="shared" ca="1" si="103"/>
        <v>0</v>
      </c>
      <c r="BZ122">
        <f t="shared" ca="1" si="73"/>
        <v>0</v>
      </c>
      <c r="CA122">
        <f t="shared" ca="1" si="74"/>
        <v>0</v>
      </c>
    </row>
    <row r="123" spans="1:79" x14ac:dyDescent="0.4">
      <c r="A123" t="str">
        <f t="shared" si="107"/>
        <v>X</v>
      </c>
      <c r="B123">
        <v>112</v>
      </c>
      <c r="C123" t="e" cm="1">
        <f t="array" ref="C123">INDEX(auto_Series_Code,B123)</f>
        <v>#REF!</v>
      </c>
      <c r="D123" t="e" cm="1">
        <f t="array" ref="D123">INDEX(auto_tblSeries,$B123,D$11)</f>
        <v>#REF!</v>
      </c>
      <c r="E123" t="e" cm="1">
        <f t="array" ref="E123">INDEX(auto_tblSeries,$B123,E$11)</f>
        <v>#REF!</v>
      </c>
      <c r="F123" t="e" cm="1">
        <f t="array" ref="F123">INDEX(auto_tblSeries,$B123,F$11)</f>
        <v>#REF!</v>
      </c>
      <c r="G123" t="e" cm="1">
        <f t="array" ref="G123">INDEX(auto_tblSeries,$B123,G$11)</f>
        <v>#REF!</v>
      </c>
      <c r="H123" t="e" cm="1">
        <f t="array" ref="H123">INDEX(auto_tblSeries,$B123,H$11)</f>
        <v>#REF!</v>
      </c>
      <c r="I123" t="e">
        <f t="shared" si="70"/>
        <v>#REF!</v>
      </c>
      <c r="K123" t="e" cm="1">
        <f t="array" ref="K123">INDEX(auto_DataFlat_Score,$I123,K$10)</f>
        <v>#REF!</v>
      </c>
      <c r="L123" t="e" cm="1">
        <f t="array" ref="L123">INDEX(auto_DataFlat_Rank,$I123,L$10)</f>
        <v>#REF!</v>
      </c>
      <c r="M123" t="e" cm="1">
        <f t="array" ref="M123">INDEX(auto_DataFlat_DataValue,$I123,M$10)</f>
        <v>#REF!</v>
      </c>
      <c r="N123" t="e" cm="1">
        <f t="array" ref="N123">INDEX(auto_DataFlat_Classification,$I123,M$10)</f>
        <v>#REF!</v>
      </c>
      <c r="O123" t="e" cm="1">
        <f t="array" ref="O123">INDEX(auto_DataFlat_IsEstimate,$I123,O$10)</f>
        <v>#REF!</v>
      </c>
      <c r="P123" t="e" cm="1">
        <f t="array" ref="P123">IF(INDEX(auto_DataFlat_DataYear,$I123,P$10)=0,"n/a",INDEX(auto_DataFlat_DataYear,$I123,P$10))</f>
        <v>#REF!</v>
      </c>
      <c r="R123" t="e">
        <f t="shared" si="71"/>
        <v>#REF!</v>
      </c>
      <c r="S123" t="e" cm="1">
        <f t="array" ref="S123">INDEX(auto_DataFlat_Score,$R123,S$10)</f>
        <v>#REF!</v>
      </c>
      <c r="U123" t="str">
        <f t="shared" si="75"/>
        <v>n/a</v>
      </c>
      <c r="V123">
        <f t="shared" si="76"/>
        <v>1</v>
      </c>
      <c r="W123" t="e">
        <f t="shared" si="77"/>
        <v>#REF!</v>
      </c>
      <c r="X123" t="e">
        <f t="shared" ca="1" si="109"/>
        <v>#N/A</v>
      </c>
      <c r="Y123" t="e">
        <f t="shared" ca="1" si="109"/>
        <v>#N/A</v>
      </c>
      <c r="Z123" t="e">
        <f t="shared" ca="1" si="109"/>
        <v>#N/A</v>
      </c>
      <c r="AB123">
        <f t="shared" ca="1" si="111"/>
        <v>0</v>
      </c>
      <c r="AC123">
        <f t="shared" ca="1" si="111"/>
        <v>0</v>
      </c>
      <c r="AD123">
        <f t="shared" ca="1" si="111"/>
        <v>0</v>
      </c>
      <c r="AF123" t="e">
        <f t="shared" si="79"/>
        <v>#REF!</v>
      </c>
      <c r="AG123" t="e">
        <f t="shared" ca="1" si="110"/>
        <v>#N/A</v>
      </c>
      <c r="AH123" t="e">
        <f t="shared" ca="1" si="110"/>
        <v>#N/A</v>
      </c>
      <c r="AI123" t="e">
        <f t="shared" ca="1" si="110"/>
        <v>#N/A</v>
      </c>
      <c r="AJ123" t="e">
        <f t="shared" ca="1" si="110"/>
        <v>#N/A</v>
      </c>
      <c r="AK123" t="e">
        <f t="shared" ca="1" si="110"/>
        <v>#N/A</v>
      </c>
      <c r="AL123" t="e">
        <f t="shared" ca="1" si="110"/>
        <v>#N/A</v>
      </c>
      <c r="AM123" t="e">
        <f t="shared" ca="1" si="110"/>
        <v>#N/A</v>
      </c>
      <c r="AN123">
        <f t="shared" ca="1" si="81"/>
        <v>0</v>
      </c>
      <c r="AO123">
        <f t="shared" ca="1" si="82"/>
        <v>0</v>
      </c>
      <c r="AP123">
        <f t="shared" ca="1" si="83"/>
        <v>0</v>
      </c>
      <c r="AQ123">
        <f t="shared" ca="1" si="84"/>
        <v>0</v>
      </c>
      <c r="AR123">
        <f t="shared" ca="1" si="85"/>
        <v>0</v>
      </c>
      <c r="AS123">
        <f t="shared" ca="1" si="86"/>
        <v>0</v>
      </c>
      <c r="AT123">
        <f t="shared" ca="1" si="87"/>
        <v>0</v>
      </c>
      <c r="AV123" t="e">
        <f t="shared" si="6"/>
        <v>#REF!</v>
      </c>
      <c r="AW123" t="e" cm="1">
        <f t="array" ref="AW123">INDEX(auto_DataFlat_Score,$AV123,1)</f>
        <v>#REF!</v>
      </c>
      <c r="AX123" t="e" cm="1">
        <f t="array" ref="AX123">INDEX(auto_DataFlat_DataValue,$AV123,1)</f>
        <v>#REF!</v>
      </c>
      <c r="BA123" t="str">
        <f t="shared" si="88"/>
        <v>n/a</v>
      </c>
      <c r="BB123">
        <f t="shared" si="89"/>
        <v>1</v>
      </c>
      <c r="BC123" t="e">
        <f t="shared" si="90"/>
        <v>#REF!</v>
      </c>
      <c r="BD123" t="e">
        <f t="shared" ca="1" si="108"/>
        <v>#N/A</v>
      </c>
      <c r="BE123" t="e">
        <f t="shared" ca="1" si="108"/>
        <v>#N/A</v>
      </c>
      <c r="BF123" t="e">
        <f t="shared" ca="1" si="108"/>
        <v>#N/A</v>
      </c>
      <c r="BH123">
        <f t="shared" ca="1" si="112"/>
        <v>0</v>
      </c>
      <c r="BI123">
        <f t="shared" ca="1" si="112"/>
        <v>0</v>
      </c>
      <c r="BJ123">
        <f t="shared" ca="1" si="112"/>
        <v>0</v>
      </c>
      <c r="BM123" t="e">
        <f t="shared" si="91"/>
        <v>#REF!</v>
      </c>
      <c r="BN123" t="e">
        <f t="shared" ca="1" si="92"/>
        <v>#N/A</v>
      </c>
      <c r="BO123" t="e">
        <f t="shared" ca="1" si="93"/>
        <v>#N/A</v>
      </c>
      <c r="BP123" t="e">
        <f t="shared" ca="1" si="94"/>
        <v>#N/A</v>
      </c>
      <c r="BQ123" t="e">
        <f t="shared" ca="1" si="95"/>
        <v>#N/A</v>
      </c>
      <c r="BR123" t="e">
        <f t="shared" ca="1" si="96"/>
        <v>#N/A</v>
      </c>
      <c r="BS123" t="e">
        <f t="shared" ca="1" si="97"/>
        <v>#N/A</v>
      </c>
      <c r="BT123" t="e">
        <f t="shared" ca="1" si="98"/>
        <v>#N/A</v>
      </c>
      <c r="BU123">
        <f t="shared" ca="1" si="99"/>
        <v>0</v>
      </c>
      <c r="BV123">
        <f t="shared" ca="1" si="100"/>
        <v>0</v>
      </c>
      <c r="BW123">
        <f t="shared" ca="1" si="101"/>
        <v>0</v>
      </c>
      <c r="BX123">
        <f t="shared" ca="1" si="102"/>
        <v>0</v>
      </c>
      <c r="BY123">
        <f t="shared" ca="1" si="103"/>
        <v>0</v>
      </c>
      <c r="BZ123">
        <f t="shared" ca="1" si="73"/>
        <v>0</v>
      </c>
      <c r="CA123">
        <f t="shared" ca="1" si="74"/>
        <v>0</v>
      </c>
    </row>
    <row r="124" spans="1:79" x14ac:dyDescent="0.4">
      <c r="A124" t="str">
        <f t="shared" si="107"/>
        <v>X</v>
      </c>
      <c r="B124">
        <v>113</v>
      </c>
      <c r="C124" t="e" cm="1">
        <f t="array" ref="C124">INDEX(auto_Series_Code,B124)</f>
        <v>#REF!</v>
      </c>
      <c r="D124" t="e" cm="1">
        <f t="array" ref="D124">INDEX(auto_tblSeries,$B124,D$11)</f>
        <v>#REF!</v>
      </c>
      <c r="E124" t="e" cm="1">
        <f t="array" ref="E124">INDEX(auto_tblSeries,$B124,E$11)</f>
        <v>#REF!</v>
      </c>
      <c r="F124" t="e" cm="1">
        <f t="array" ref="F124">INDEX(auto_tblSeries,$B124,F$11)</f>
        <v>#REF!</v>
      </c>
      <c r="G124" t="e" cm="1">
        <f t="array" ref="G124">INDEX(auto_tblSeries,$B124,G$11)</f>
        <v>#REF!</v>
      </c>
      <c r="H124" t="e" cm="1">
        <f t="array" ref="H124">INDEX(auto_tblSeries,$B124,H$11)</f>
        <v>#REF!</v>
      </c>
      <c r="I124" t="e">
        <f t="shared" si="70"/>
        <v>#REF!</v>
      </c>
      <c r="K124" t="e" cm="1">
        <f t="array" ref="K124">INDEX(auto_DataFlat_Score,$I124,K$10)</f>
        <v>#REF!</v>
      </c>
      <c r="L124" t="e" cm="1">
        <f t="array" ref="L124">INDEX(auto_DataFlat_Rank,$I124,L$10)</f>
        <v>#REF!</v>
      </c>
      <c r="M124" t="e" cm="1">
        <f t="array" ref="M124">INDEX(auto_DataFlat_DataValue,$I124,M$10)</f>
        <v>#REF!</v>
      </c>
      <c r="N124" t="e" cm="1">
        <f t="array" ref="N124">INDEX(auto_DataFlat_Classification,$I124,M$10)</f>
        <v>#REF!</v>
      </c>
      <c r="O124" t="e" cm="1">
        <f t="array" ref="O124">INDEX(auto_DataFlat_IsEstimate,$I124,O$10)</f>
        <v>#REF!</v>
      </c>
      <c r="P124" t="e" cm="1">
        <f t="array" ref="P124">IF(INDEX(auto_DataFlat_DataYear,$I124,P$10)=0,"n/a",INDEX(auto_DataFlat_DataYear,$I124,P$10))</f>
        <v>#REF!</v>
      </c>
      <c r="R124" t="e">
        <f t="shared" si="71"/>
        <v>#REF!</v>
      </c>
      <c r="S124" t="e" cm="1">
        <f t="array" ref="S124">INDEX(auto_DataFlat_Score,$R124,S$10)</f>
        <v>#REF!</v>
      </c>
      <c r="U124" t="str">
        <f t="shared" si="75"/>
        <v>n/a</v>
      </c>
      <c r="V124">
        <f t="shared" si="76"/>
        <v>1</v>
      </c>
      <c r="W124" t="e">
        <f t="shared" si="77"/>
        <v>#REF!</v>
      </c>
      <c r="X124" t="e">
        <f t="shared" ca="1" si="109"/>
        <v>#N/A</v>
      </c>
      <c r="Y124" t="e">
        <f t="shared" ca="1" si="109"/>
        <v>#N/A</v>
      </c>
      <c r="Z124" t="e">
        <f t="shared" ca="1" si="109"/>
        <v>#N/A</v>
      </c>
      <c r="AB124">
        <f t="shared" ca="1" si="111"/>
        <v>0</v>
      </c>
      <c r="AC124">
        <f t="shared" ca="1" si="111"/>
        <v>0</v>
      </c>
      <c r="AD124">
        <f t="shared" ca="1" si="111"/>
        <v>0</v>
      </c>
      <c r="AF124" t="e">
        <f t="shared" si="79"/>
        <v>#REF!</v>
      </c>
      <c r="AG124" t="e">
        <f t="shared" ca="1" si="110"/>
        <v>#N/A</v>
      </c>
      <c r="AH124" t="e">
        <f t="shared" ca="1" si="110"/>
        <v>#N/A</v>
      </c>
      <c r="AI124" t="e">
        <f t="shared" ca="1" si="110"/>
        <v>#N/A</v>
      </c>
      <c r="AJ124" t="e">
        <f t="shared" ca="1" si="110"/>
        <v>#N/A</v>
      </c>
      <c r="AK124" t="e">
        <f t="shared" ca="1" si="110"/>
        <v>#N/A</v>
      </c>
      <c r="AL124" t="e">
        <f t="shared" ca="1" si="110"/>
        <v>#N/A</v>
      </c>
      <c r="AM124" t="e">
        <f t="shared" ca="1" si="110"/>
        <v>#N/A</v>
      </c>
      <c r="AN124">
        <f t="shared" ca="1" si="81"/>
        <v>0</v>
      </c>
      <c r="AO124">
        <f t="shared" ca="1" si="82"/>
        <v>0</v>
      </c>
      <c r="AP124">
        <f t="shared" ca="1" si="83"/>
        <v>0</v>
      </c>
      <c r="AQ124">
        <f t="shared" ca="1" si="84"/>
        <v>0</v>
      </c>
      <c r="AR124">
        <f t="shared" ca="1" si="85"/>
        <v>0</v>
      </c>
      <c r="AS124">
        <f t="shared" ca="1" si="86"/>
        <v>0</v>
      </c>
      <c r="AT124">
        <f t="shared" ca="1" si="87"/>
        <v>0</v>
      </c>
      <c r="AV124" t="e">
        <f t="shared" si="6"/>
        <v>#REF!</v>
      </c>
      <c r="AW124" t="e" cm="1">
        <f t="array" ref="AW124">INDEX(auto_DataFlat_Score,$AV124,1)</f>
        <v>#REF!</v>
      </c>
      <c r="AX124" t="e" cm="1">
        <f t="array" ref="AX124">INDEX(auto_DataFlat_DataValue,$AV124,1)</f>
        <v>#REF!</v>
      </c>
      <c r="BA124" t="str">
        <f t="shared" si="88"/>
        <v>n/a</v>
      </c>
      <c r="BB124">
        <f t="shared" si="89"/>
        <v>1</v>
      </c>
      <c r="BC124" t="e">
        <f t="shared" si="90"/>
        <v>#REF!</v>
      </c>
      <c r="BD124" t="e">
        <f t="shared" ref="BD124:BF139" ca="1" si="113">BD123+MATCH(BD$10,OFFSET($BC$12,BD123,0,200,1),0)</f>
        <v>#N/A</v>
      </c>
      <c r="BE124" t="e">
        <f t="shared" ca="1" si="113"/>
        <v>#N/A</v>
      </c>
      <c r="BF124" t="e">
        <f t="shared" ca="1" si="113"/>
        <v>#N/A</v>
      </c>
      <c r="BH124">
        <f t="shared" ca="1" si="112"/>
        <v>0</v>
      </c>
      <c r="BI124">
        <f t="shared" ca="1" si="112"/>
        <v>0</v>
      </c>
      <c r="BJ124">
        <f t="shared" ca="1" si="112"/>
        <v>0</v>
      </c>
      <c r="BM124" t="e">
        <f t="shared" si="91"/>
        <v>#REF!</v>
      </c>
      <c r="BN124" t="e">
        <f t="shared" ca="1" si="92"/>
        <v>#N/A</v>
      </c>
      <c r="BO124" t="e">
        <f t="shared" ca="1" si="93"/>
        <v>#N/A</v>
      </c>
      <c r="BP124" t="e">
        <f t="shared" ca="1" si="94"/>
        <v>#N/A</v>
      </c>
      <c r="BQ124" t="e">
        <f t="shared" ca="1" si="95"/>
        <v>#N/A</v>
      </c>
      <c r="BR124" t="e">
        <f t="shared" ca="1" si="96"/>
        <v>#N/A</v>
      </c>
      <c r="BS124" t="e">
        <f t="shared" ca="1" si="97"/>
        <v>#N/A</v>
      </c>
      <c r="BT124" t="e">
        <f t="shared" ca="1" si="98"/>
        <v>#N/A</v>
      </c>
      <c r="BU124">
        <f t="shared" ca="1" si="99"/>
        <v>0</v>
      </c>
      <c r="BV124">
        <f t="shared" ca="1" si="100"/>
        <v>0</v>
      </c>
      <c r="BW124">
        <f t="shared" ca="1" si="101"/>
        <v>0</v>
      </c>
      <c r="BX124">
        <f t="shared" ca="1" si="102"/>
        <v>0</v>
      </c>
      <c r="BY124">
        <f t="shared" ca="1" si="103"/>
        <v>0</v>
      </c>
      <c r="BZ124">
        <f t="shared" ca="1" si="73"/>
        <v>0</v>
      </c>
      <c r="CA124">
        <f t="shared" ca="1" si="74"/>
        <v>0</v>
      </c>
    </row>
    <row r="125" spans="1:79" x14ac:dyDescent="0.4">
      <c r="A125" t="str">
        <f t="shared" si="107"/>
        <v>X</v>
      </c>
      <c r="B125">
        <v>114</v>
      </c>
      <c r="C125" t="e" cm="1">
        <f t="array" ref="C125">INDEX(auto_Series_Code,B125)</f>
        <v>#REF!</v>
      </c>
      <c r="D125" t="e" cm="1">
        <f t="array" ref="D125">INDEX(auto_tblSeries,$B125,D$11)</f>
        <v>#REF!</v>
      </c>
      <c r="E125" t="e" cm="1">
        <f t="array" ref="E125">INDEX(auto_tblSeries,$B125,E$11)</f>
        <v>#REF!</v>
      </c>
      <c r="F125" t="e" cm="1">
        <f t="array" ref="F125">INDEX(auto_tblSeries,$B125,F$11)</f>
        <v>#REF!</v>
      </c>
      <c r="G125" t="e" cm="1">
        <f t="array" ref="G125">INDEX(auto_tblSeries,$B125,G$11)</f>
        <v>#REF!</v>
      </c>
      <c r="H125" t="e" cm="1">
        <f t="array" ref="H125">INDEX(auto_tblSeries,$B125,H$11)</f>
        <v>#REF!</v>
      </c>
      <c r="I125" t="e">
        <f t="shared" si="70"/>
        <v>#REF!</v>
      </c>
      <c r="K125" t="e" cm="1">
        <f t="array" ref="K125">INDEX(auto_DataFlat_Score,$I125,K$10)</f>
        <v>#REF!</v>
      </c>
      <c r="L125" t="e" cm="1">
        <f t="array" ref="L125">INDEX(auto_DataFlat_Rank,$I125,L$10)</f>
        <v>#REF!</v>
      </c>
      <c r="M125" t="e" cm="1">
        <f t="array" ref="M125">INDEX(auto_DataFlat_DataValue,$I125,M$10)</f>
        <v>#REF!</v>
      </c>
      <c r="N125" t="e" cm="1">
        <f t="array" ref="N125">INDEX(auto_DataFlat_Classification,$I125,M$10)</f>
        <v>#REF!</v>
      </c>
      <c r="O125" t="e" cm="1">
        <f t="array" ref="O125">INDEX(auto_DataFlat_IsEstimate,$I125,O$10)</f>
        <v>#REF!</v>
      </c>
      <c r="P125" t="e" cm="1">
        <f t="array" ref="P125">IF(INDEX(auto_DataFlat_DataYear,$I125,P$10)=0,"n/a",INDEX(auto_DataFlat_DataYear,$I125,P$10))</f>
        <v>#REF!</v>
      </c>
      <c r="R125" t="e">
        <f t="shared" si="71"/>
        <v>#REF!</v>
      </c>
      <c r="S125" t="e" cm="1">
        <f t="array" ref="S125">INDEX(auto_DataFlat_Score,$R125,S$10)</f>
        <v>#REF!</v>
      </c>
      <c r="U125" t="str">
        <f t="shared" si="75"/>
        <v>n/a</v>
      </c>
      <c r="V125">
        <f t="shared" si="76"/>
        <v>1</v>
      </c>
      <c r="W125" t="e">
        <f t="shared" si="77"/>
        <v>#REF!</v>
      </c>
      <c r="X125" t="e">
        <f t="shared" ref="X125:Z140" ca="1" si="114">X124+MATCH(X$10,OFFSET($W$12,X124,0,300,1),0)</f>
        <v>#N/A</v>
      </c>
      <c r="Y125" t="e">
        <f t="shared" ca="1" si="114"/>
        <v>#N/A</v>
      </c>
      <c r="Z125" t="e">
        <f t="shared" ca="1" si="114"/>
        <v>#N/A</v>
      </c>
      <c r="AB125">
        <f t="shared" ca="1" si="111"/>
        <v>0</v>
      </c>
      <c r="AC125">
        <f t="shared" ca="1" si="111"/>
        <v>0</v>
      </c>
      <c r="AD125">
        <f t="shared" ca="1" si="111"/>
        <v>0</v>
      </c>
      <c r="AF125" t="e">
        <f t="shared" si="79"/>
        <v>#REF!</v>
      </c>
      <c r="AG125" t="e">
        <f t="shared" ref="AG125:AM140" ca="1" si="115">IFERROR(AG124+MATCH(AG$10,OFFSET($AF$12,AG124,0,300-AG124,1),0),NA())</f>
        <v>#N/A</v>
      </c>
      <c r="AH125" t="e">
        <f t="shared" ca="1" si="115"/>
        <v>#N/A</v>
      </c>
      <c r="AI125" t="e">
        <f t="shared" ca="1" si="115"/>
        <v>#N/A</v>
      </c>
      <c r="AJ125" t="e">
        <f t="shared" ca="1" si="115"/>
        <v>#N/A</v>
      </c>
      <c r="AK125" t="e">
        <f t="shared" ca="1" si="115"/>
        <v>#N/A</v>
      </c>
      <c r="AL125" t="e">
        <f t="shared" ca="1" si="115"/>
        <v>#N/A</v>
      </c>
      <c r="AM125" t="e">
        <f t="shared" ca="1" si="115"/>
        <v>#N/A</v>
      </c>
      <c r="AN125">
        <f t="shared" ca="1" si="81"/>
        <v>0</v>
      </c>
      <c r="AO125">
        <f t="shared" ca="1" si="82"/>
        <v>0</v>
      </c>
      <c r="AP125">
        <f t="shared" ca="1" si="83"/>
        <v>0</v>
      </c>
      <c r="AQ125">
        <f t="shared" ca="1" si="84"/>
        <v>0</v>
      </c>
      <c r="AR125">
        <f t="shared" ca="1" si="85"/>
        <v>0</v>
      </c>
      <c r="AS125">
        <f t="shared" ca="1" si="86"/>
        <v>0</v>
      </c>
      <c r="AT125">
        <f t="shared" ca="1" si="87"/>
        <v>0</v>
      </c>
      <c r="AV125" t="e">
        <f t="shared" si="6"/>
        <v>#REF!</v>
      </c>
      <c r="AW125" t="e" cm="1">
        <f t="array" ref="AW125">INDEX(auto_DataFlat_Score,$AV125,1)</f>
        <v>#REF!</v>
      </c>
      <c r="AX125" t="e" cm="1">
        <f t="array" ref="AX125">INDEX(auto_DataFlat_DataValue,$AV125,1)</f>
        <v>#REF!</v>
      </c>
      <c r="BA125" t="str">
        <f t="shared" si="88"/>
        <v>n/a</v>
      </c>
      <c r="BB125">
        <f t="shared" si="89"/>
        <v>1</v>
      </c>
      <c r="BC125" t="e">
        <f t="shared" si="90"/>
        <v>#REF!</v>
      </c>
      <c r="BD125" t="e">
        <f t="shared" ca="1" si="113"/>
        <v>#N/A</v>
      </c>
      <c r="BE125" t="e">
        <f t="shared" ca="1" si="113"/>
        <v>#N/A</v>
      </c>
      <c r="BF125" t="e">
        <f t="shared" ca="1" si="113"/>
        <v>#N/A</v>
      </c>
      <c r="BH125">
        <f t="shared" ca="1" si="112"/>
        <v>0</v>
      </c>
      <c r="BI125">
        <f t="shared" ca="1" si="112"/>
        <v>0</v>
      </c>
      <c r="BJ125">
        <f t="shared" ca="1" si="112"/>
        <v>0</v>
      </c>
      <c r="BM125" t="e">
        <f t="shared" si="91"/>
        <v>#REF!</v>
      </c>
      <c r="BN125" t="e">
        <f t="shared" ca="1" si="92"/>
        <v>#N/A</v>
      </c>
      <c r="BO125" t="e">
        <f t="shared" ca="1" si="93"/>
        <v>#N/A</v>
      </c>
      <c r="BP125" t="e">
        <f t="shared" ca="1" si="94"/>
        <v>#N/A</v>
      </c>
      <c r="BQ125" t="e">
        <f t="shared" ca="1" si="95"/>
        <v>#N/A</v>
      </c>
      <c r="BR125" t="e">
        <f t="shared" ca="1" si="96"/>
        <v>#N/A</v>
      </c>
      <c r="BS125" t="e">
        <f t="shared" ca="1" si="97"/>
        <v>#N/A</v>
      </c>
      <c r="BT125" t="e">
        <f t="shared" ca="1" si="98"/>
        <v>#N/A</v>
      </c>
      <c r="BU125">
        <f t="shared" ca="1" si="99"/>
        <v>0</v>
      </c>
      <c r="BV125">
        <f t="shared" ca="1" si="100"/>
        <v>0</v>
      </c>
      <c r="BW125">
        <f t="shared" ca="1" si="101"/>
        <v>0</v>
      </c>
      <c r="BX125">
        <f t="shared" ca="1" si="102"/>
        <v>0</v>
      </c>
      <c r="BY125">
        <f t="shared" ca="1" si="103"/>
        <v>0</v>
      </c>
      <c r="BZ125">
        <f t="shared" ca="1" si="73"/>
        <v>0</v>
      </c>
      <c r="CA125">
        <f t="shared" ca="1" si="74"/>
        <v>0</v>
      </c>
    </row>
    <row r="126" spans="1:79" x14ac:dyDescent="0.4">
      <c r="A126" t="str">
        <f t="shared" si="107"/>
        <v>X</v>
      </c>
      <c r="B126">
        <v>115</v>
      </c>
      <c r="C126" t="e" cm="1">
        <f t="array" ref="C126">INDEX(auto_Series_Code,B126)</f>
        <v>#REF!</v>
      </c>
      <c r="D126" t="e" cm="1">
        <f t="array" ref="D126">INDEX(auto_tblSeries,$B126,D$11)</f>
        <v>#REF!</v>
      </c>
      <c r="E126" t="e" cm="1">
        <f t="array" ref="E126">INDEX(auto_tblSeries,$B126,E$11)</f>
        <v>#REF!</v>
      </c>
      <c r="F126" t="e" cm="1">
        <f t="array" ref="F126">INDEX(auto_tblSeries,$B126,F$11)</f>
        <v>#REF!</v>
      </c>
      <c r="G126" t="e" cm="1">
        <f t="array" ref="G126">INDEX(auto_tblSeries,$B126,G$11)</f>
        <v>#REF!</v>
      </c>
      <c r="H126" t="e" cm="1">
        <f t="array" ref="H126">INDEX(auto_tblSeries,$B126,H$11)</f>
        <v>#REF!</v>
      </c>
      <c r="I126" t="e">
        <f t="shared" si="70"/>
        <v>#REF!</v>
      </c>
      <c r="K126" t="e" cm="1">
        <f t="array" ref="K126">INDEX(auto_DataFlat_Score,$I126,K$10)</f>
        <v>#REF!</v>
      </c>
      <c r="L126" t="e" cm="1">
        <f t="array" ref="L126">INDEX(auto_DataFlat_Rank,$I126,L$10)</f>
        <v>#REF!</v>
      </c>
      <c r="M126" t="e" cm="1">
        <f t="array" ref="M126">INDEX(auto_DataFlat_DataValue,$I126,M$10)</f>
        <v>#REF!</v>
      </c>
      <c r="N126" t="e" cm="1">
        <f t="array" ref="N126">INDEX(auto_DataFlat_Classification,$I126,M$10)</f>
        <v>#REF!</v>
      </c>
      <c r="O126" t="e" cm="1">
        <f t="array" ref="O126">INDEX(auto_DataFlat_IsEstimate,$I126,O$10)</f>
        <v>#REF!</v>
      </c>
      <c r="P126" t="e" cm="1">
        <f t="array" ref="P126">IF(INDEX(auto_DataFlat_DataYear,$I126,P$10)=0,"n/a",INDEX(auto_DataFlat_DataYear,$I126,P$10))</f>
        <v>#REF!</v>
      </c>
      <c r="R126" t="e">
        <f t="shared" si="71"/>
        <v>#REF!</v>
      </c>
      <c r="S126" t="e" cm="1">
        <f t="array" ref="S126">INDEX(auto_DataFlat_Score,$R126,S$10)</f>
        <v>#REF!</v>
      </c>
      <c r="U126" t="str">
        <f t="shared" si="75"/>
        <v>n/a</v>
      </c>
      <c r="V126">
        <f t="shared" si="76"/>
        <v>1</v>
      </c>
      <c r="W126" t="e">
        <f t="shared" si="77"/>
        <v>#REF!</v>
      </c>
      <c r="X126" t="e">
        <f t="shared" ca="1" si="114"/>
        <v>#N/A</v>
      </c>
      <c r="Y126" t="e">
        <f t="shared" ca="1" si="114"/>
        <v>#N/A</v>
      </c>
      <c r="Z126" t="e">
        <f t="shared" ca="1" si="114"/>
        <v>#N/A</v>
      </c>
      <c r="AB126">
        <f t="shared" ca="1" si="111"/>
        <v>0</v>
      </c>
      <c r="AC126">
        <f t="shared" ca="1" si="111"/>
        <v>0</v>
      </c>
      <c r="AD126">
        <f t="shared" ca="1" si="111"/>
        <v>0</v>
      </c>
      <c r="AF126" t="e">
        <f t="shared" si="79"/>
        <v>#REF!</v>
      </c>
      <c r="AG126" t="e">
        <f t="shared" ca="1" si="115"/>
        <v>#N/A</v>
      </c>
      <c r="AH126" t="e">
        <f t="shared" ca="1" si="115"/>
        <v>#N/A</v>
      </c>
      <c r="AI126" t="e">
        <f t="shared" ca="1" si="115"/>
        <v>#N/A</v>
      </c>
      <c r="AJ126" t="e">
        <f t="shared" ca="1" si="115"/>
        <v>#N/A</v>
      </c>
      <c r="AK126" t="e">
        <f t="shared" ca="1" si="115"/>
        <v>#N/A</v>
      </c>
      <c r="AL126" t="e">
        <f t="shared" ca="1" si="115"/>
        <v>#N/A</v>
      </c>
      <c r="AM126" t="e">
        <f t="shared" ca="1" si="115"/>
        <v>#N/A</v>
      </c>
      <c r="AN126">
        <f t="shared" ca="1" si="81"/>
        <v>0</v>
      </c>
      <c r="AO126">
        <f t="shared" ca="1" si="82"/>
        <v>0</v>
      </c>
      <c r="AP126">
        <f t="shared" ca="1" si="83"/>
        <v>0</v>
      </c>
      <c r="AQ126">
        <f t="shared" ca="1" si="84"/>
        <v>0</v>
      </c>
      <c r="AR126">
        <f t="shared" ca="1" si="85"/>
        <v>0</v>
      </c>
      <c r="AS126">
        <f t="shared" ca="1" si="86"/>
        <v>0</v>
      </c>
      <c r="AT126">
        <f t="shared" ca="1" si="87"/>
        <v>0</v>
      </c>
      <c r="AV126" t="e">
        <f t="shared" si="6"/>
        <v>#REF!</v>
      </c>
      <c r="AW126" t="e" cm="1">
        <f t="array" ref="AW126">INDEX(auto_DataFlat_Score,$AV126,1)</f>
        <v>#REF!</v>
      </c>
      <c r="AX126" t="e" cm="1">
        <f t="array" ref="AX126">INDEX(auto_DataFlat_DataValue,$AV126,1)</f>
        <v>#REF!</v>
      </c>
      <c r="BA126" t="str">
        <f t="shared" si="88"/>
        <v>n/a</v>
      </c>
      <c r="BB126">
        <f t="shared" si="89"/>
        <v>1</v>
      </c>
      <c r="BC126" t="e">
        <f t="shared" si="90"/>
        <v>#REF!</v>
      </c>
      <c r="BD126" t="e">
        <f t="shared" ca="1" si="113"/>
        <v>#N/A</v>
      </c>
      <c r="BE126" t="e">
        <f t="shared" ca="1" si="113"/>
        <v>#N/A</v>
      </c>
      <c r="BF126" t="e">
        <f t="shared" ca="1" si="113"/>
        <v>#N/A</v>
      </c>
      <c r="BH126">
        <f t="shared" ca="1" si="112"/>
        <v>0</v>
      </c>
      <c r="BI126">
        <f t="shared" ca="1" si="112"/>
        <v>0</v>
      </c>
      <c r="BJ126">
        <f t="shared" ca="1" si="112"/>
        <v>0</v>
      </c>
      <c r="BM126" t="e">
        <f t="shared" si="91"/>
        <v>#REF!</v>
      </c>
      <c r="BN126" t="e">
        <f t="shared" ca="1" si="92"/>
        <v>#N/A</v>
      </c>
      <c r="BO126" t="e">
        <f t="shared" ca="1" si="93"/>
        <v>#N/A</v>
      </c>
      <c r="BP126" t="e">
        <f t="shared" ca="1" si="94"/>
        <v>#N/A</v>
      </c>
      <c r="BQ126" t="e">
        <f t="shared" ca="1" si="95"/>
        <v>#N/A</v>
      </c>
      <c r="BR126" t="e">
        <f t="shared" ca="1" si="96"/>
        <v>#N/A</v>
      </c>
      <c r="BS126" t="e">
        <f t="shared" ca="1" si="97"/>
        <v>#N/A</v>
      </c>
      <c r="BT126" t="e">
        <f t="shared" ca="1" si="98"/>
        <v>#N/A</v>
      </c>
      <c r="BU126">
        <f t="shared" ca="1" si="99"/>
        <v>0</v>
      </c>
      <c r="BV126">
        <f t="shared" ca="1" si="100"/>
        <v>0</v>
      </c>
      <c r="BW126">
        <f t="shared" ca="1" si="101"/>
        <v>0</v>
      </c>
      <c r="BX126">
        <f t="shared" ca="1" si="102"/>
        <v>0</v>
      </c>
      <c r="BY126">
        <f t="shared" ca="1" si="103"/>
        <v>0</v>
      </c>
      <c r="BZ126">
        <f t="shared" ca="1" si="73"/>
        <v>0</v>
      </c>
      <c r="CA126">
        <f t="shared" ca="1" si="74"/>
        <v>0</v>
      </c>
    </row>
    <row r="127" spans="1:79" x14ac:dyDescent="0.4">
      <c r="A127" t="str">
        <f t="shared" si="107"/>
        <v>X</v>
      </c>
      <c r="B127">
        <v>116</v>
      </c>
      <c r="C127" t="e" cm="1">
        <f t="array" ref="C127">INDEX(auto_Series_Code,B127)</f>
        <v>#REF!</v>
      </c>
      <c r="D127" t="e" cm="1">
        <f t="array" ref="D127">INDEX(auto_tblSeries,$B127,D$11)</f>
        <v>#REF!</v>
      </c>
      <c r="E127" t="e" cm="1">
        <f t="array" ref="E127">INDEX(auto_tblSeries,$B127,E$11)</f>
        <v>#REF!</v>
      </c>
      <c r="F127" t="e" cm="1">
        <f t="array" ref="F127">INDEX(auto_tblSeries,$B127,F$11)</f>
        <v>#REF!</v>
      </c>
      <c r="G127" t="e" cm="1">
        <f t="array" ref="G127">INDEX(auto_tblSeries,$B127,G$11)</f>
        <v>#REF!</v>
      </c>
      <c r="H127" t="e" cm="1">
        <f t="array" ref="H127">INDEX(auto_tblSeries,$B127,H$11)</f>
        <v>#REF!</v>
      </c>
      <c r="I127" t="e">
        <f t="shared" si="70"/>
        <v>#REF!</v>
      </c>
      <c r="K127" t="e" cm="1">
        <f t="array" ref="K127">INDEX(auto_DataFlat_Score,$I127,K$10)</f>
        <v>#REF!</v>
      </c>
      <c r="L127" t="e" cm="1">
        <f t="array" ref="L127">INDEX(auto_DataFlat_Rank,$I127,L$10)</f>
        <v>#REF!</v>
      </c>
      <c r="M127" t="e" cm="1">
        <f t="array" ref="M127">INDEX(auto_DataFlat_DataValue,$I127,M$10)</f>
        <v>#REF!</v>
      </c>
      <c r="N127" t="e" cm="1">
        <f t="array" ref="N127">INDEX(auto_DataFlat_Classification,$I127,M$10)</f>
        <v>#REF!</v>
      </c>
      <c r="O127" t="e" cm="1">
        <f t="array" ref="O127">INDEX(auto_DataFlat_IsEstimate,$I127,O$10)</f>
        <v>#REF!</v>
      </c>
      <c r="P127" t="e" cm="1">
        <f t="array" ref="P127">IF(INDEX(auto_DataFlat_DataYear,$I127,P$10)=0,"n/a",INDEX(auto_DataFlat_DataYear,$I127,P$10))</f>
        <v>#REF!</v>
      </c>
      <c r="R127" t="e">
        <f t="shared" si="71"/>
        <v>#REF!</v>
      </c>
      <c r="S127" t="e" cm="1">
        <f t="array" ref="S127">INDEX(auto_DataFlat_Score,$R127,S$10)</f>
        <v>#REF!</v>
      </c>
      <c r="U127" t="str">
        <f t="shared" si="75"/>
        <v>n/a</v>
      </c>
      <c r="V127">
        <f t="shared" si="76"/>
        <v>1</v>
      </c>
      <c r="W127" t="e">
        <f t="shared" si="77"/>
        <v>#REF!</v>
      </c>
      <c r="X127" t="e">
        <f t="shared" ca="1" si="114"/>
        <v>#N/A</v>
      </c>
      <c r="Y127" t="e">
        <f t="shared" ca="1" si="114"/>
        <v>#N/A</v>
      </c>
      <c r="Z127" t="e">
        <f t="shared" ca="1" si="114"/>
        <v>#N/A</v>
      </c>
      <c r="AB127">
        <f t="shared" ca="1" si="111"/>
        <v>0</v>
      </c>
      <c r="AC127">
        <f t="shared" ca="1" si="111"/>
        <v>0</v>
      </c>
      <c r="AD127">
        <f t="shared" ca="1" si="111"/>
        <v>0</v>
      </c>
      <c r="AF127" t="e">
        <f t="shared" si="79"/>
        <v>#REF!</v>
      </c>
      <c r="AG127" t="e">
        <f t="shared" ca="1" si="115"/>
        <v>#N/A</v>
      </c>
      <c r="AH127" t="e">
        <f t="shared" ca="1" si="115"/>
        <v>#N/A</v>
      </c>
      <c r="AI127" t="e">
        <f t="shared" ca="1" si="115"/>
        <v>#N/A</v>
      </c>
      <c r="AJ127" t="e">
        <f t="shared" ca="1" si="115"/>
        <v>#N/A</v>
      </c>
      <c r="AK127" t="e">
        <f t="shared" ca="1" si="115"/>
        <v>#N/A</v>
      </c>
      <c r="AL127" t="e">
        <f t="shared" ca="1" si="115"/>
        <v>#N/A</v>
      </c>
      <c r="AM127" t="e">
        <f t="shared" ca="1" si="115"/>
        <v>#N/A</v>
      </c>
      <c r="AN127">
        <f t="shared" ca="1" si="81"/>
        <v>0</v>
      </c>
      <c r="AO127">
        <f t="shared" ca="1" si="82"/>
        <v>0</v>
      </c>
      <c r="AP127">
        <f t="shared" ca="1" si="83"/>
        <v>0</v>
      </c>
      <c r="AQ127">
        <f t="shared" ca="1" si="84"/>
        <v>0</v>
      </c>
      <c r="AR127">
        <f t="shared" ca="1" si="85"/>
        <v>0</v>
      </c>
      <c r="AS127">
        <f t="shared" ca="1" si="86"/>
        <v>0</v>
      </c>
      <c r="AT127">
        <f t="shared" ca="1" si="87"/>
        <v>0</v>
      </c>
      <c r="AV127" t="e">
        <f t="shared" si="6"/>
        <v>#REF!</v>
      </c>
      <c r="AW127" t="e" cm="1">
        <f t="array" ref="AW127">INDEX(auto_DataFlat_Score,$AV127,1)</f>
        <v>#REF!</v>
      </c>
      <c r="AX127" t="e" cm="1">
        <f t="array" ref="AX127">INDEX(auto_DataFlat_DataValue,$AV127,1)</f>
        <v>#REF!</v>
      </c>
      <c r="BA127" t="str">
        <f t="shared" si="88"/>
        <v>n/a</v>
      </c>
      <c r="BB127">
        <f t="shared" si="89"/>
        <v>1</v>
      </c>
      <c r="BC127" t="e">
        <f t="shared" si="90"/>
        <v>#REF!</v>
      </c>
      <c r="BD127" t="e">
        <f t="shared" ca="1" si="113"/>
        <v>#N/A</v>
      </c>
      <c r="BE127" t="e">
        <f t="shared" ca="1" si="113"/>
        <v>#N/A</v>
      </c>
      <c r="BF127" t="e">
        <f t="shared" ca="1" si="113"/>
        <v>#N/A</v>
      </c>
      <c r="BH127">
        <f t="shared" ca="1" si="112"/>
        <v>0</v>
      </c>
      <c r="BI127">
        <f t="shared" ca="1" si="112"/>
        <v>0</v>
      </c>
      <c r="BJ127">
        <f t="shared" ca="1" si="112"/>
        <v>0</v>
      </c>
      <c r="BM127" t="e">
        <f t="shared" si="91"/>
        <v>#REF!</v>
      </c>
      <c r="BN127" t="e">
        <f t="shared" ca="1" si="92"/>
        <v>#N/A</v>
      </c>
      <c r="BO127" t="e">
        <f t="shared" ca="1" si="93"/>
        <v>#N/A</v>
      </c>
      <c r="BP127" t="e">
        <f t="shared" ca="1" si="94"/>
        <v>#N/A</v>
      </c>
      <c r="BQ127" t="e">
        <f t="shared" ca="1" si="95"/>
        <v>#N/A</v>
      </c>
      <c r="BR127" t="e">
        <f t="shared" ca="1" si="96"/>
        <v>#N/A</v>
      </c>
      <c r="BS127" t="e">
        <f t="shared" ca="1" si="97"/>
        <v>#N/A</v>
      </c>
      <c r="BT127" t="e">
        <f t="shared" ca="1" si="98"/>
        <v>#N/A</v>
      </c>
      <c r="BU127">
        <f t="shared" ca="1" si="99"/>
        <v>0</v>
      </c>
      <c r="BV127">
        <f t="shared" ca="1" si="100"/>
        <v>0</v>
      </c>
      <c r="BW127">
        <f t="shared" ca="1" si="101"/>
        <v>0</v>
      </c>
      <c r="BX127">
        <f t="shared" ca="1" si="102"/>
        <v>0</v>
      </c>
      <c r="BY127">
        <f t="shared" ca="1" si="103"/>
        <v>0</v>
      </c>
      <c r="BZ127">
        <f t="shared" ca="1" si="73"/>
        <v>0</v>
      </c>
      <c r="CA127">
        <f t="shared" ca="1" si="74"/>
        <v>0</v>
      </c>
    </row>
    <row r="128" spans="1:79" x14ac:dyDescent="0.4">
      <c r="A128" t="str">
        <f t="shared" si="107"/>
        <v>X</v>
      </c>
      <c r="B128">
        <v>117</v>
      </c>
      <c r="C128" t="e" cm="1">
        <f t="array" ref="C128">INDEX(auto_Series_Code,B128)</f>
        <v>#REF!</v>
      </c>
      <c r="D128" t="e" cm="1">
        <f t="array" ref="D128">INDEX(auto_tblSeries,$B128,D$11)</f>
        <v>#REF!</v>
      </c>
      <c r="E128" t="e" cm="1">
        <f t="array" ref="E128">INDEX(auto_tblSeries,$B128,E$11)</f>
        <v>#REF!</v>
      </c>
      <c r="F128" t="e" cm="1">
        <f t="array" ref="F128">INDEX(auto_tblSeries,$B128,F$11)</f>
        <v>#REF!</v>
      </c>
      <c r="G128" t="e" cm="1">
        <f t="array" ref="G128">INDEX(auto_tblSeries,$B128,G$11)</f>
        <v>#REF!</v>
      </c>
      <c r="H128" t="e" cm="1">
        <f t="array" ref="H128">INDEX(auto_tblSeries,$B128,H$11)</f>
        <v>#REF!</v>
      </c>
      <c r="I128" t="e">
        <f t="shared" si="70"/>
        <v>#REF!</v>
      </c>
      <c r="K128" t="e" cm="1">
        <f t="array" ref="K128">INDEX(auto_DataFlat_Score,$I128,K$10)</f>
        <v>#REF!</v>
      </c>
      <c r="L128" t="e" cm="1">
        <f t="array" ref="L128">INDEX(auto_DataFlat_Rank,$I128,L$10)</f>
        <v>#REF!</v>
      </c>
      <c r="M128" t="e" cm="1">
        <f t="array" ref="M128">INDEX(auto_DataFlat_DataValue,$I128,M$10)</f>
        <v>#REF!</v>
      </c>
      <c r="N128" t="e" cm="1">
        <f t="array" ref="N128">INDEX(auto_DataFlat_Classification,$I128,M$10)</f>
        <v>#REF!</v>
      </c>
      <c r="O128" t="e" cm="1">
        <f t="array" ref="O128">INDEX(auto_DataFlat_IsEstimate,$I128,O$10)</f>
        <v>#REF!</v>
      </c>
      <c r="P128" t="e" cm="1">
        <f t="array" ref="P128">IF(INDEX(auto_DataFlat_DataYear,$I128,P$10)=0,"n/a",INDEX(auto_DataFlat_DataYear,$I128,P$10))</f>
        <v>#REF!</v>
      </c>
      <c r="R128" t="e">
        <f t="shared" si="71"/>
        <v>#REF!</v>
      </c>
      <c r="S128" t="e" cm="1">
        <f t="array" ref="S128">INDEX(auto_DataFlat_Score,$R128,S$10)</f>
        <v>#REF!</v>
      </c>
      <c r="U128" t="str">
        <f t="shared" si="75"/>
        <v>n/a</v>
      </c>
      <c r="V128">
        <f t="shared" si="76"/>
        <v>1</v>
      </c>
      <c r="W128" t="e">
        <f t="shared" si="77"/>
        <v>#REF!</v>
      </c>
      <c r="X128" t="e">
        <f t="shared" ca="1" si="114"/>
        <v>#N/A</v>
      </c>
      <c r="Y128" t="e">
        <f t="shared" ca="1" si="114"/>
        <v>#N/A</v>
      </c>
      <c r="Z128" t="e">
        <f t="shared" ca="1" si="114"/>
        <v>#N/A</v>
      </c>
      <c r="AB128">
        <f t="shared" ca="1" si="111"/>
        <v>0</v>
      </c>
      <c r="AC128">
        <f t="shared" ca="1" si="111"/>
        <v>0</v>
      </c>
      <c r="AD128">
        <f t="shared" ca="1" si="111"/>
        <v>0</v>
      </c>
      <c r="AF128" t="e">
        <f t="shared" si="79"/>
        <v>#REF!</v>
      </c>
      <c r="AG128" t="e">
        <f t="shared" ca="1" si="115"/>
        <v>#N/A</v>
      </c>
      <c r="AH128" t="e">
        <f t="shared" ca="1" si="115"/>
        <v>#N/A</v>
      </c>
      <c r="AI128" t="e">
        <f t="shared" ca="1" si="115"/>
        <v>#N/A</v>
      </c>
      <c r="AJ128" t="e">
        <f t="shared" ca="1" si="115"/>
        <v>#N/A</v>
      </c>
      <c r="AK128" t="e">
        <f t="shared" ca="1" si="115"/>
        <v>#N/A</v>
      </c>
      <c r="AL128" t="e">
        <f t="shared" ca="1" si="115"/>
        <v>#N/A</v>
      </c>
      <c r="AM128" t="e">
        <f t="shared" ca="1" si="115"/>
        <v>#N/A</v>
      </c>
      <c r="AN128">
        <f t="shared" ca="1" si="81"/>
        <v>0</v>
      </c>
      <c r="AO128">
        <f t="shared" ca="1" si="82"/>
        <v>0</v>
      </c>
      <c r="AP128">
        <f t="shared" ca="1" si="83"/>
        <v>0</v>
      </c>
      <c r="AQ128">
        <f t="shared" ca="1" si="84"/>
        <v>0</v>
      </c>
      <c r="AR128">
        <f t="shared" ca="1" si="85"/>
        <v>0</v>
      </c>
      <c r="AS128">
        <f t="shared" ca="1" si="86"/>
        <v>0</v>
      </c>
      <c r="AT128">
        <f t="shared" ca="1" si="87"/>
        <v>0</v>
      </c>
      <c r="AV128" t="e">
        <f t="shared" si="6"/>
        <v>#REF!</v>
      </c>
      <c r="AW128" t="e" cm="1">
        <f t="array" ref="AW128">INDEX(auto_DataFlat_Score,$AV128,1)</f>
        <v>#REF!</v>
      </c>
      <c r="AX128" t="e" cm="1">
        <f t="array" ref="AX128">INDEX(auto_DataFlat_DataValue,$AV128,1)</f>
        <v>#REF!</v>
      </c>
      <c r="BA128" t="str">
        <f t="shared" si="88"/>
        <v>n/a</v>
      </c>
      <c r="BB128">
        <f t="shared" si="89"/>
        <v>1</v>
      </c>
      <c r="BC128" t="e">
        <f t="shared" si="90"/>
        <v>#REF!</v>
      </c>
      <c r="BD128" t="e">
        <f t="shared" ca="1" si="113"/>
        <v>#N/A</v>
      </c>
      <c r="BE128" t="e">
        <f t="shared" ca="1" si="113"/>
        <v>#N/A</v>
      </c>
      <c r="BF128" t="e">
        <f t="shared" ca="1" si="113"/>
        <v>#N/A</v>
      </c>
      <c r="BH128">
        <f t="shared" ca="1" si="112"/>
        <v>0</v>
      </c>
      <c r="BI128">
        <f t="shared" ca="1" si="112"/>
        <v>0</v>
      </c>
      <c r="BJ128">
        <f t="shared" ca="1" si="112"/>
        <v>0</v>
      </c>
      <c r="BM128" t="e">
        <f t="shared" si="91"/>
        <v>#REF!</v>
      </c>
      <c r="BN128" t="e">
        <f t="shared" ca="1" si="92"/>
        <v>#N/A</v>
      </c>
      <c r="BO128" t="e">
        <f t="shared" ca="1" si="93"/>
        <v>#N/A</v>
      </c>
      <c r="BP128" t="e">
        <f t="shared" ca="1" si="94"/>
        <v>#N/A</v>
      </c>
      <c r="BQ128" t="e">
        <f t="shared" ca="1" si="95"/>
        <v>#N/A</v>
      </c>
      <c r="BR128" t="e">
        <f t="shared" ca="1" si="96"/>
        <v>#N/A</v>
      </c>
      <c r="BS128" t="e">
        <f t="shared" ca="1" si="97"/>
        <v>#N/A</v>
      </c>
      <c r="BT128" t="e">
        <f t="shared" ca="1" si="98"/>
        <v>#N/A</v>
      </c>
      <c r="BU128">
        <f t="shared" ca="1" si="99"/>
        <v>0</v>
      </c>
      <c r="BV128">
        <f t="shared" ca="1" si="100"/>
        <v>0</v>
      </c>
      <c r="BW128">
        <f t="shared" ca="1" si="101"/>
        <v>0</v>
      </c>
      <c r="BX128">
        <f t="shared" ca="1" si="102"/>
        <v>0</v>
      </c>
      <c r="BY128">
        <f t="shared" ca="1" si="103"/>
        <v>0</v>
      </c>
      <c r="BZ128">
        <f t="shared" ca="1" si="73"/>
        <v>0</v>
      </c>
      <c r="CA128">
        <f t="shared" ca="1" si="74"/>
        <v>0</v>
      </c>
    </row>
    <row r="129" spans="1:79" x14ac:dyDescent="0.4">
      <c r="A129" t="str">
        <f t="shared" si="107"/>
        <v>X</v>
      </c>
      <c r="B129">
        <v>118</v>
      </c>
      <c r="C129" t="e" cm="1">
        <f t="array" ref="C129">INDEX(auto_Series_Code,B129)</f>
        <v>#REF!</v>
      </c>
      <c r="D129" t="e" cm="1">
        <f t="array" ref="D129">INDEX(auto_tblSeries,$B129,D$11)</f>
        <v>#REF!</v>
      </c>
      <c r="E129" t="e" cm="1">
        <f t="array" ref="E129">INDEX(auto_tblSeries,$B129,E$11)</f>
        <v>#REF!</v>
      </c>
      <c r="F129" t="e" cm="1">
        <f t="array" ref="F129">INDEX(auto_tblSeries,$B129,F$11)</f>
        <v>#REF!</v>
      </c>
      <c r="G129" t="e" cm="1">
        <f t="array" ref="G129">INDEX(auto_tblSeries,$B129,G$11)</f>
        <v>#REF!</v>
      </c>
      <c r="H129" t="e" cm="1">
        <f t="array" ref="H129">INDEX(auto_tblSeries,$B129,H$11)</f>
        <v>#REF!</v>
      </c>
      <c r="I129" t="e">
        <f t="shared" si="70"/>
        <v>#REF!</v>
      </c>
      <c r="K129" t="e" cm="1">
        <f t="array" ref="K129">INDEX(auto_DataFlat_Score,$I129,K$10)</f>
        <v>#REF!</v>
      </c>
      <c r="L129" t="e" cm="1">
        <f t="array" ref="L129">INDEX(auto_DataFlat_Rank,$I129,L$10)</f>
        <v>#REF!</v>
      </c>
      <c r="M129" t="e" cm="1">
        <f t="array" ref="M129">INDEX(auto_DataFlat_DataValue,$I129,M$10)</f>
        <v>#REF!</v>
      </c>
      <c r="N129" t="e" cm="1">
        <f t="array" ref="N129">INDEX(auto_DataFlat_Classification,$I129,M$10)</f>
        <v>#REF!</v>
      </c>
      <c r="O129" t="e" cm="1">
        <f t="array" ref="O129">INDEX(auto_DataFlat_IsEstimate,$I129,O$10)</f>
        <v>#REF!</v>
      </c>
      <c r="P129" t="e" cm="1">
        <f t="array" ref="P129">IF(INDEX(auto_DataFlat_DataYear,$I129,P$10)=0,"n/a",INDEX(auto_DataFlat_DataYear,$I129,P$10))</f>
        <v>#REF!</v>
      </c>
      <c r="R129" t="e">
        <f t="shared" si="71"/>
        <v>#REF!</v>
      </c>
      <c r="S129" t="e" cm="1">
        <f t="array" ref="S129">INDEX(auto_DataFlat_Score,$R129,S$10)</f>
        <v>#REF!</v>
      </c>
      <c r="U129" t="str">
        <f t="shared" si="75"/>
        <v>n/a</v>
      </c>
      <c r="V129">
        <f t="shared" si="76"/>
        <v>1</v>
      </c>
      <c r="W129" t="e">
        <f t="shared" si="77"/>
        <v>#REF!</v>
      </c>
      <c r="X129" t="e">
        <f t="shared" ca="1" si="114"/>
        <v>#N/A</v>
      </c>
      <c r="Y129" t="e">
        <f t="shared" ca="1" si="114"/>
        <v>#N/A</v>
      </c>
      <c r="Z129" t="e">
        <f t="shared" ca="1" si="114"/>
        <v>#N/A</v>
      </c>
      <c r="AB129">
        <f t="shared" ca="1" si="111"/>
        <v>0</v>
      </c>
      <c r="AC129">
        <f t="shared" ca="1" si="111"/>
        <v>0</v>
      </c>
      <c r="AD129">
        <f t="shared" ca="1" si="111"/>
        <v>0</v>
      </c>
      <c r="AF129" t="e">
        <f t="shared" si="79"/>
        <v>#REF!</v>
      </c>
      <c r="AG129" t="e">
        <f t="shared" ca="1" si="115"/>
        <v>#N/A</v>
      </c>
      <c r="AH129" t="e">
        <f t="shared" ca="1" si="115"/>
        <v>#N/A</v>
      </c>
      <c r="AI129" t="e">
        <f t="shared" ca="1" si="115"/>
        <v>#N/A</v>
      </c>
      <c r="AJ129" t="e">
        <f t="shared" ca="1" si="115"/>
        <v>#N/A</v>
      </c>
      <c r="AK129" t="e">
        <f t="shared" ca="1" si="115"/>
        <v>#N/A</v>
      </c>
      <c r="AL129" t="e">
        <f t="shared" ca="1" si="115"/>
        <v>#N/A</v>
      </c>
      <c r="AM129" t="e">
        <f t="shared" ca="1" si="115"/>
        <v>#N/A</v>
      </c>
      <c r="AN129">
        <f t="shared" ca="1" si="81"/>
        <v>0</v>
      </c>
      <c r="AO129">
        <f t="shared" ca="1" si="82"/>
        <v>0</v>
      </c>
      <c r="AP129">
        <f t="shared" ca="1" si="83"/>
        <v>0</v>
      </c>
      <c r="AQ129">
        <f t="shared" ca="1" si="84"/>
        <v>0</v>
      </c>
      <c r="AR129">
        <f t="shared" ca="1" si="85"/>
        <v>0</v>
      </c>
      <c r="AS129">
        <f t="shared" ca="1" si="86"/>
        <v>0</v>
      </c>
      <c r="AT129">
        <f t="shared" ca="1" si="87"/>
        <v>0</v>
      </c>
      <c r="AV129" t="e">
        <f t="shared" si="6"/>
        <v>#REF!</v>
      </c>
      <c r="AW129" t="e" cm="1">
        <f t="array" ref="AW129">INDEX(auto_DataFlat_Score,$AV129,1)</f>
        <v>#REF!</v>
      </c>
      <c r="AX129" t="e" cm="1">
        <f t="array" ref="AX129">INDEX(auto_DataFlat_DataValue,$AV129,1)</f>
        <v>#REF!</v>
      </c>
      <c r="BA129" t="str">
        <f t="shared" si="88"/>
        <v>n/a</v>
      </c>
      <c r="BB129">
        <f t="shared" si="89"/>
        <v>1</v>
      </c>
      <c r="BC129" t="e">
        <f t="shared" si="90"/>
        <v>#REF!</v>
      </c>
      <c r="BD129" t="e">
        <f t="shared" ca="1" si="113"/>
        <v>#N/A</v>
      </c>
      <c r="BE129" t="e">
        <f t="shared" ca="1" si="113"/>
        <v>#N/A</v>
      </c>
      <c r="BF129" t="e">
        <f t="shared" ca="1" si="113"/>
        <v>#N/A</v>
      </c>
      <c r="BH129">
        <f t="shared" ca="1" si="112"/>
        <v>0</v>
      </c>
      <c r="BI129">
        <f t="shared" ca="1" si="112"/>
        <v>0</v>
      </c>
      <c r="BJ129">
        <f t="shared" ca="1" si="112"/>
        <v>0</v>
      </c>
      <c r="BM129" t="e">
        <f t="shared" si="91"/>
        <v>#REF!</v>
      </c>
      <c r="BN129" t="e">
        <f t="shared" ca="1" si="92"/>
        <v>#N/A</v>
      </c>
      <c r="BO129" t="e">
        <f t="shared" ca="1" si="93"/>
        <v>#N/A</v>
      </c>
      <c r="BP129" t="e">
        <f t="shared" ca="1" si="94"/>
        <v>#N/A</v>
      </c>
      <c r="BQ129" t="e">
        <f t="shared" ca="1" si="95"/>
        <v>#N/A</v>
      </c>
      <c r="BR129" t="e">
        <f t="shared" ca="1" si="96"/>
        <v>#N/A</v>
      </c>
      <c r="BS129" t="e">
        <f t="shared" ca="1" si="97"/>
        <v>#N/A</v>
      </c>
      <c r="BT129" t="e">
        <f t="shared" ca="1" si="98"/>
        <v>#N/A</v>
      </c>
      <c r="BU129">
        <f t="shared" ca="1" si="99"/>
        <v>0</v>
      </c>
      <c r="BV129">
        <f t="shared" ca="1" si="100"/>
        <v>0</v>
      </c>
      <c r="BW129">
        <f t="shared" ca="1" si="101"/>
        <v>0</v>
      </c>
      <c r="BX129">
        <f t="shared" ca="1" si="102"/>
        <v>0</v>
      </c>
      <c r="BY129">
        <f t="shared" ca="1" si="103"/>
        <v>0</v>
      </c>
      <c r="BZ129">
        <f t="shared" ca="1" si="73"/>
        <v>0</v>
      </c>
      <c r="CA129">
        <f t="shared" ca="1" si="74"/>
        <v>0</v>
      </c>
    </row>
    <row r="130" spans="1:79" x14ac:dyDescent="0.4">
      <c r="A130" t="str">
        <f t="shared" si="107"/>
        <v>X</v>
      </c>
      <c r="B130">
        <v>119</v>
      </c>
      <c r="C130" t="e" cm="1">
        <f t="array" ref="C130">INDEX(auto_Series_Code,B130)</f>
        <v>#REF!</v>
      </c>
      <c r="D130" t="e" cm="1">
        <f t="array" ref="D130">INDEX(auto_tblSeries,$B130,D$11)</f>
        <v>#REF!</v>
      </c>
      <c r="E130" t="e" cm="1">
        <f t="array" ref="E130">INDEX(auto_tblSeries,$B130,E$11)</f>
        <v>#REF!</v>
      </c>
      <c r="F130" t="e" cm="1">
        <f t="array" ref="F130">INDEX(auto_tblSeries,$B130,F$11)</f>
        <v>#REF!</v>
      </c>
      <c r="G130" t="e" cm="1">
        <f t="array" ref="G130">INDEX(auto_tblSeries,$B130,G$11)</f>
        <v>#REF!</v>
      </c>
      <c r="H130" t="e" cm="1">
        <f t="array" ref="H130">INDEX(auto_tblSeries,$B130,H$11)</f>
        <v>#REF!</v>
      </c>
      <c r="I130" t="e">
        <f t="shared" si="70"/>
        <v>#REF!</v>
      </c>
      <c r="K130" t="e" cm="1">
        <f t="array" ref="K130">INDEX(auto_DataFlat_Score,$I130,K$10)</f>
        <v>#REF!</v>
      </c>
      <c r="L130" t="e" cm="1">
        <f t="array" ref="L130">INDEX(auto_DataFlat_Rank,$I130,L$10)</f>
        <v>#REF!</v>
      </c>
      <c r="M130" t="e" cm="1">
        <f t="array" ref="M130">INDEX(auto_DataFlat_DataValue,$I130,M$10)</f>
        <v>#REF!</v>
      </c>
      <c r="N130" t="e" cm="1">
        <f t="array" ref="N130">INDEX(auto_DataFlat_Classification,$I130,M$10)</f>
        <v>#REF!</v>
      </c>
      <c r="O130" t="e" cm="1">
        <f t="array" ref="O130">INDEX(auto_DataFlat_IsEstimate,$I130,O$10)</f>
        <v>#REF!</v>
      </c>
      <c r="P130" t="e" cm="1">
        <f t="array" ref="P130">IF(INDEX(auto_DataFlat_DataYear,$I130,P$10)=0,"n/a",INDEX(auto_DataFlat_DataYear,$I130,P$10))</f>
        <v>#REF!</v>
      </c>
      <c r="R130" t="e">
        <f t="shared" si="71"/>
        <v>#REF!</v>
      </c>
      <c r="S130" t="e" cm="1">
        <f t="array" ref="S130">INDEX(auto_DataFlat_Score,$R130,S$10)</f>
        <v>#REF!</v>
      </c>
      <c r="U130" t="str">
        <f t="shared" si="75"/>
        <v>n/a</v>
      </c>
      <c r="V130">
        <f t="shared" si="76"/>
        <v>1</v>
      </c>
      <c r="W130" t="e">
        <f t="shared" si="77"/>
        <v>#REF!</v>
      </c>
      <c r="X130" t="e">
        <f t="shared" ca="1" si="114"/>
        <v>#N/A</v>
      </c>
      <c r="Y130" t="e">
        <f t="shared" ca="1" si="114"/>
        <v>#N/A</v>
      </c>
      <c r="Z130" t="e">
        <f t="shared" ca="1" si="114"/>
        <v>#N/A</v>
      </c>
      <c r="AB130">
        <f t="shared" ca="1" si="111"/>
        <v>0</v>
      </c>
      <c r="AC130">
        <f t="shared" ca="1" si="111"/>
        <v>0</v>
      </c>
      <c r="AD130">
        <f t="shared" ca="1" si="111"/>
        <v>0</v>
      </c>
      <c r="AF130" t="e">
        <f t="shared" si="79"/>
        <v>#REF!</v>
      </c>
      <c r="AG130" t="e">
        <f t="shared" ca="1" si="115"/>
        <v>#N/A</v>
      </c>
      <c r="AH130" t="e">
        <f t="shared" ca="1" si="115"/>
        <v>#N/A</v>
      </c>
      <c r="AI130" t="e">
        <f t="shared" ca="1" si="115"/>
        <v>#N/A</v>
      </c>
      <c r="AJ130" t="e">
        <f t="shared" ca="1" si="115"/>
        <v>#N/A</v>
      </c>
      <c r="AK130" t="e">
        <f t="shared" ca="1" si="115"/>
        <v>#N/A</v>
      </c>
      <c r="AL130" t="e">
        <f t="shared" ca="1" si="115"/>
        <v>#N/A</v>
      </c>
      <c r="AM130" t="e">
        <f t="shared" ca="1" si="115"/>
        <v>#N/A</v>
      </c>
      <c r="AN130">
        <f t="shared" ca="1" si="81"/>
        <v>0</v>
      </c>
      <c r="AO130">
        <f t="shared" ca="1" si="82"/>
        <v>0</v>
      </c>
      <c r="AP130">
        <f t="shared" ca="1" si="83"/>
        <v>0</v>
      </c>
      <c r="AQ130">
        <f t="shared" ca="1" si="84"/>
        <v>0</v>
      </c>
      <c r="AR130">
        <f t="shared" ca="1" si="85"/>
        <v>0</v>
      </c>
      <c r="AS130">
        <f t="shared" ca="1" si="86"/>
        <v>0</v>
      </c>
      <c r="AT130">
        <f t="shared" ca="1" si="87"/>
        <v>0</v>
      </c>
      <c r="AV130" t="e">
        <f t="shared" si="6"/>
        <v>#REF!</v>
      </c>
      <c r="AW130" t="e" cm="1">
        <f t="array" ref="AW130">INDEX(auto_DataFlat_Score,$AV130,1)</f>
        <v>#REF!</v>
      </c>
      <c r="AX130" t="e" cm="1">
        <f t="array" ref="AX130">INDEX(auto_DataFlat_DataValue,$AV130,1)</f>
        <v>#REF!</v>
      </c>
      <c r="BA130" t="str">
        <f t="shared" si="88"/>
        <v>n/a</v>
      </c>
      <c r="BB130">
        <f t="shared" si="89"/>
        <v>1</v>
      </c>
      <c r="BC130" t="e">
        <f t="shared" si="90"/>
        <v>#REF!</v>
      </c>
      <c r="BD130" t="e">
        <f t="shared" ca="1" si="113"/>
        <v>#N/A</v>
      </c>
      <c r="BE130" t="e">
        <f t="shared" ca="1" si="113"/>
        <v>#N/A</v>
      </c>
      <c r="BF130" t="e">
        <f t="shared" ca="1" si="113"/>
        <v>#N/A</v>
      </c>
      <c r="BH130">
        <f t="shared" ca="1" si="112"/>
        <v>0</v>
      </c>
      <c r="BI130">
        <f t="shared" ca="1" si="112"/>
        <v>0</v>
      </c>
      <c r="BJ130">
        <f t="shared" ca="1" si="112"/>
        <v>0</v>
      </c>
      <c r="BM130" t="e">
        <f t="shared" si="91"/>
        <v>#REF!</v>
      </c>
      <c r="BN130" t="e">
        <f t="shared" ca="1" si="92"/>
        <v>#N/A</v>
      </c>
      <c r="BO130" t="e">
        <f t="shared" ca="1" si="93"/>
        <v>#N/A</v>
      </c>
      <c r="BP130" t="e">
        <f t="shared" ca="1" si="94"/>
        <v>#N/A</v>
      </c>
      <c r="BQ130" t="e">
        <f t="shared" ca="1" si="95"/>
        <v>#N/A</v>
      </c>
      <c r="BR130" t="e">
        <f t="shared" ca="1" si="96"/>
        <v>#N/A</v>
      </c>
      <c r="BS130" t="e">
        <f t="shared" ca="1" si="97"/>
        <v>#N/A</v>
      </c>
      <c r="BT130" t="e">
        <f t="shared" ca="1" si="98"/>
        <v>#N/A</v>
      </c>
      <c r="BU130">
        <f t="shared" ca="1" si="99"/>
        <v>0</v>
      </c>
      <c r="BV130">
        <f t="shared" ca="1" si="100"/>
        <v>0</v>
      </c>
      <c r="BW130">
        <f t="shared" ca="1" si="101"/>
        <v>0</v>
      </c>
      <c r="BX130">
        <f t="shared" ca="1" si="102"/>
        <v>0</v>
      </c>
      <c r="BY130">
        <f t="shared" ca="1" si="103"/>
        <v>0</v>
      </c>
      <c r="BZ130">
        <f t="shared" ca="1" si="73"/>
        <v>0</v>
      </c>
      <c r="CA130">
        <f t="shared" ca="1" si="74"/>
        <v>0</v>
      </c>
    </row>
    <row r="131" spans="1:79" x14ac:dyDescent="0.4">
      <c r="A131" t="str">
        <f t="shared" si="107"/>
        <v>X</v>
      </c>
      <c r="B131">
        <v>120</v>
      </c>
      <c r="C131" t="e" cm="1">
        <f t="array" ref="C131">INDEX(auto_Series_Code,B131)</f>
        <v>#REF!</v>
      </c>
      <c r="D131" t="e" cm="1">
        <f t="array" ref="D131">INDEX(auto_tblSeries,$B131,D$11)</f>
        <v>#REF!</v>
      </c>
      <c r="E131" t="e" cm="1">
        <f t="array" ref="E131">INDEX(auto_tblSeries,$B131,E$11)</f>
        <v>#REF!</v>
      </c>
      <c r="F131" t="e" cm="1">
        <f t="array" ref="F131">INDEX(auto_tblSeries,$B131,F$11)</f>
        <v>#REF!</v>
      </c>
      <c r="G131" t="e" cm="1">
        <f t="array" ref="G131">INDEX(auto_tblSeries,$B131,G$11)</f>
        <v>#REF!</v>
      </c>
      <c r="H131" t="e" cm="1">
        <f t="array" ref="H131">INDEX(auto_tblSeries,$B131,H$11)</f>
        <v>#REF!</v>
      </c>
      <c r="I131" t="e">
        <f t="shared" si="70"/>
        <v>#REF!</v>
      </c>
      <c r="K131" t="e" cm="1">
        <f t="array" ref="K131">INDEX(auto_DataFlat_Score,$I131,K$10)</f>
        <v>#REF!</v>
      </c>
      <c r="L131" t="e" cm="1">
        <f t="array" ref="L131">INDEX(auto_DataFlat_Rank,$I131,L$10)</f>
        <v>#REF!</v>
      </c>
      <c r="M131" t="e" cm="1">
        <f t="array" ref="M131">INDEX(auto_DataFlat_DataValue,$I131,M$10)</f>
        <v>#REF!</v>
      </c>
      <c r="N131" t="e" cm="1">
        <f t="array" ref="N131">INDEX(auto_DataFlat_Classification,$I131,M$10)</f>
        <v>#REF!</v>
      </c>
      <c r="O131" t="e" cm="1">
        <f t="array" ref="O131">INDEX(auto_DataFlat_IsEstimate,$I131,O$10)</f>
        <v>#REF!</v>
      </c>
      <c r="P131" t="e" cm="1">
        <f t="array" ref="P131">IF(INDEX(auto_DataFlat_DataYear,$I131,P$10)=0,"n/a",INDEX(auto_DataFlat_DataYear,$I131,P$10))</f>
        <v>#REF!</v>
      </c>
      <c r="R131" t="e">
        <f t="shared" si="71"/>
        <v>#REF!</v>
      </c>
      <c r="S131" t="e" cm="1">
        <f t="array" ref="S131">INDEX(auto_DataFlat_Score,$R131,S$10)</f>
        <v>#REF!</v>
      </c>
      <c r="U131" t="str">
        <f t="shared" si="75"/>
        <v>n/a</v>
      </c>
      <c r="V131">
        <f t="shared" si="76"/>
        <v>1</v>
      </c>
      <c r="W131" t="e">
        <f t="shared" si="77"/>
        <v>#REF!</v>
      </c>
      <c r="X131" t="e">
        <f t="shared" ca="1" si="114"/>
        <v>#N/A</v>
      </c>
      <c r="Y131" t="e">
        <f t="shared" ca="1" si="114"/>
        <v>#N/A</v>
      </c>
      <c r="Z131" t="e">
        <f t="shared" ca="1" si="114"/>
        <v>#N/A</v>
      </c>
      <c r="AB131">
        <f t="shared" ca="1" si="111"/>
        <v>0</v>
      </c>
      <c r="AC131">
        <f t="shared" ca="1" si="111"/>
        <v>0</v>
      </c>
      <c r="AD131">
        <f t="shared" ca="1" si="111"/>
        <v>0</v>
      </c>
      <c r="AF131" t="e">
        <f t="shared" si="79"/>
        <v>#REF!</v>
      </c>
      <c r="AG131" t="e">
        <f t="shared" ca="1" si="115"/>
        <v>#N/A</v>
      </c>
      <c r="AH131" t="e">
        <f t="shared" ca="1" si="115"/>
        <v>#N/A</v>
      </c>
      <c r="AI131" t="e">
        <f t="shared" ca="1" si="115"/>
        <v>#N/A</v>
      </c>
      <c r="AJ131" t="e">
        <f t="shared" ca="1" si="115"/>
        <v>#N/A</v>
      </c>
      <c r="AK131" t="e">
        <f t="shared" ca="1" si="115"/>
        <v>#N/A</v>
      </c>
      <c r="AL131" t="e">
        <f t="shared" ca="1" si="115"/>
        <v>#N/A</v>
      </c>
      <c r="AM131" t="e">
        <f t="shared" ca="1" si="115"/>
        <v>#N/A</v>
      </c>
      <c r="AN131">
        <f t="shared" ca="1" si="81"/>
        <v>0</v>
      </c>
      <c r="AO131">
        <f t="shared" ca="1" si="82"/>
        <v>0</v>
      </c>
      <c r="AP131">
        <f t="shared" ca="1" si="83"/>
        <v>0</v>
      </c>
      <c r="AQ131">
        <f t="shared" ca="1" si="84"/>
        <v>0</v>
      </c>
      <c r="AR131">
        <f t="shared" ca="1" si="85"/>
        <v>0</v>
      </c>
      <c r="AS131">
        <f t="shared" ca="1" si="86"/>
        <v>0</v>
      </c>
      <c r="AT131">
        <f t="shared" ca="1" si="87"/>
        <v>0</v>
      </c>
      <c r="AV131" t="e">
        <f t="shared" si="6"/>
        <v>#REF!</v>
      </c>
      <c r="AW131" t="e" cm="1">
        <f t="array" ref="AW131">INDEX(auto_DataFlat_Score,$AV131,1)</f>
        <v>#REF!</v>
      </c>
      <c r="AX131" t="e" cm="1">
        <f t="array" ref="AX131">INDEX(auto_DataFlat_DataValue,$AV131,1)</f>
        <v>#REF!</v>
      </c>
      <c r="BA131" t="str">
        <f t="shared" si="88"/>
        <v>n/a</v>
      </c>
      <c r="BB131">
        <f t="shared" si="89"/>
        <v>1</v>
      </c>
      <c r="BC131" t="e">
        <f t="shared" si="90"/>
        <v>#REF!</v>
      </c>
      <c r="BD131" t="e">
        <f t="shared" ca="1" si="113"/>
        <v>#N/A</v>
      </c>
      <c r="BE131" t="e">
        <f t="shared" ca="1" si="113"/>
        <v>#N/A</v>
      </c>
      <c r="BF131" t="e">
        <f t="shared" ca="1" si="113"/>
        <v>#N/A</v>
      </c>
      <c r="BH131">
        <f t="shared" ca="1" si="112"/>
        <v>0</v>
      </c>
      <c r="BI131">
        <f t="shared" ca="1" si="112"/>
        <v>0</v>
      </c>
      <c r="BJ131">
        <f t="shared" ca="1" si="112"/>
        <v>0</v>
      </c>
      <c r="BM131" t="e">
        <f t="shared" si="91"/>
        <v>#REF!</v>
      </c>
      <c r="BN131" t="e">
        <f t="shared" ca="1" si="92"/>
        <v>#N/A</v>
      </c>
      <c r="BO131" t="e">
        <f t="shared" ca="1" si="93"/>
        <v>#N/A</v>
      </c>
      <c r="BP131" t="e">
        <f t="shared" ca="1" si="94"/>
        <v>#N/A</v>
      </c>
      <c r="BQ131" t="e">
        <f t="shared" ca="1" si="95"/>
        <v>#N/A</v>
      </c>
      <c r="BR131" t="e">
        <f t="shared" ca="1" si="96"/>
        <v>#N/A</v>
      </c>
      <c r="BS131" t="e">
        <f t="shared" ca="1" si="97"/>
        <v>#N/A</v>
      </c>
      <c r="BT131" t="e">
        <f t="shared" ca="1" si="98"/>
        <v>#N/A</v>
      </c>
      <c r="BU131">
        <f t="shared" ca="1" si="99"/>
        <v>0</v>
      </c>
      <c r="BV131">
        <f t="shared" ca="1" si="100"/>
        <v>0</v>
      </c>
      <c r="BW131">
        <f t="shared" ca="1" si="101"/>
        <v>0</v>
      </c>
      <c r="BX131">
        <f t="shared" ca="1" si="102"/>
        <v>0</v>
      </c>
      <c r="BY131">
        <f t="shared" ca="1" si="103"/>
        <v>0</v>
      </c>
      <c r="BZ131">
        <f t="shared" ca="1" si="73"/>
        <v>0</v>
      </c>
      <c r="CA131">
        <f t="shared" ca="1" si="74"/>
        <v>0</v>
      </c>
    </row>
    <row r="132" spans="1:79" x14ac:dyDescent="0.4">
      <c r="A132" t="str">
        <f t="shared" si="107"/>
        <v>X</v>
      </c>
      <c r="B132">
        <v>121</v>
      </c>
      <c r="C132" t="e" cm="1">
        <f t="array" ref="C132">INDEX(auto_Series_Code,B132)</f>
        <v>#REF!</v>
      </c>
      <c r="D132" t="e" cm="1">
        <f t="array" ref="D132">INDEX(auto_tblSeries,$B132,D$11)</f>
        <v>#REF!</v>
      </c>
      <c r="E132" t="e" cm="1">
        <f t="array" ref="E132">INDEX(auto_tblSeries,$B132,E$11)</f>
        <v>#REF!</v>
      </c>
      <c r="F132" t="e" cm="1">
        <f t="array" ref="F132">INDEX(auto_tblSeries,$B132,F$11)</f>
        <v>#REF!</v>
      </c>
      <c r="G132" t="e" cm="1">
        <f t="array" ref="G132">INDEX(auto_tblSeries,$B132,G$11)</f>
        <v>#REF!</v>
      </c>
      <c r="H132" t="e" cm="1">
        <f t="array" ref="H132">INDEX(auto_tblSeries,$B132,H$11)</f>
        <v>#REF!</v>
      </c>
      <c r="I132" t="e">
        <f t="shared" si="70"/>
        <v>#REF!</v>
      </c>
      <c r="K132" t="e" cm="1">
        <f t="array" ref="K132">INDEX(auto_DataFlat_Score,$I132,K$10)</f>
        <v>#REF!</v>
      </c>
      <c r="L132" t="e" cm="1">
        <f t="array" ref="L132">INDEX(auto_DataFlat_Rank,$I132,L$10)</f>
        <v>#REF!</v>
      </c>
      <c r="M132" t="e" cm="1">
        <f t="array" ref="M132">INDEX(auto_DataFlat_DataValue,$I132,M$10)</f>
        <v>#REF!</v>
      </c>
      <c r="N132" t="e" cm="1">
        <f t="array" ref="N132">INDEX(auto_DataFlat_Classification,$I132,M$10)</f>
        <v>#REF!</v>
      </c>
      <c r="O132" t="e" cm="1">
        <f t="array" ref="O132">INDEX(auto_DataFlat_IsEstimate,$I132,O$10)</f>
        <v>#REF!</v>
      </c>
      <c r="P132" t="e" cm="1">
        <f t="array" ref="P132">IF(INDEX(auto_DataFlat_DataYear,$I132,P$10)=0,"n/a",INDEX(auto_DataFlat_DataYear,$I132,P$10))</f>
        <v>#REF!</v>
      </c>
      <c r="R132" t="e">
        <f t="shared" si="71"/>
        <v>#REF!</v>
      </c>
      <c r="S132" t="e" cm="1">
        <f t="array" ref="S132">INDEX(auto_DataFlat_Score,$R132,S$10)</f>
        <v>#REF!</v>
      </c>
      <c r="U132" t="str">
        <f t="shared" si="75"/>
        <v>n/a</v>
      </c>
      <c r="V132">
        <f t="shared" si="76"/>
        <v>1</v>
      </c>
      <c r="W132" t="e">
        <f t="shared" si="77"/>
        <v>#REF!</v>
      </c>
      <c r="X132" t="e">
        <f t="shared" ca="1" si="114"/>
        <v>#N/A</v>
      </c>
      <c r="Y132" t="e">
        <f t="shared" ca="1" si="114"/>
        <v>#N/A</v>
      </c>
      <c r="Z132" t="e">
        <f t="shared" ca="1" si="114"/>
        <v>#N/A</v>
      </c>
      <c r="AB132">
        <f t="shared" ca="1" si="111"/>
        <v>0</v>
      </c>
      <c r="AC132">
        <f t="shared" ca="1" si="111"/>
        <v>0</v>
      </c>
      <c r="AD132">
        <f t="shared" ca="1" si="111"/>
        <v>0</v>
      </c>
      <c r="AF132" t="e">
        <f t="shared" si="79"/>
        <v>#REF!</v>
      </c>
      <c r="AG132" t="e">
        <f t="shared" ca="1" si="115"/>
        <v>#N/A</v>
      </c>
      <c r="AH132" t="e">
        <f t="shared" ca="1" si="115"/>
        <v>#N/A</v>
      </c>
      <c r="AI132" t="e">
        <f t="shared" ca="1" si="115"/>
        <v>#N/A</v>
      </c>
      <c r="AJ132" t="e">
        <f t="shared" ca="1" si="115"/>
        <v>#N/A</v>
      </c>
      <c r="AK132" t="e">
        <f t="shared" ca="1" si="115"/>
        <v>#N/A</v>
      </c>
      <c r="AL132" t="e">
        <f t="shared" ca="1" si="115"/>
        <v>#N/A</v>
      </c>
      <c r="AM132" t="e">
        <f t="shared" ca="1" si="115"/>
        <v>#N/A</v>
      </c>
      <c r="AN132">
        <f t="shared" ca="1" si="81"/>
        <v>0</v>
      </c>
      <c r="AO132">
        <f t="shared" ca="1" si="82"/>
        <v>0</v>
      </c>
      <c r="AP132">
        <f t="shared" ca="1" si="83"/>
        <v>0</v>
      </c>
      <c r="AQ132">
        <f t="shared" ca="1" si="84"/>
        <v>0</v>
      </c>
      <c r="AR132">
        <f t="shared" ca="1" si="85"/>
        <v>0</v>
      </c>
      <c r="AS132">
        <f t="shared" ca="1" si="86"/>
        <v>0</v>
      </c>
      <c r="AT132">
        <f t="shared" ca="1" si="87"/>
        <v>0</v>
      </c>
      <c r="AV132" t="e">
        <f t="shared" si="6"/>
        <v>#REF!</v>
      </c>
      <c r="AW132" t="e" cm="1">
        <f t="array" ref="AW132">INDEX(auto_DataFlat_Score,$AV132,1)</f>
        <v>#REF!</v>
      </c>
      <c r="AX132" t="e" cm="1">
        <f t="array" ref="AX132">INDEX(auto_DataFlat_DataValue,$AV132,1)</f>
        <v>#REF!</v>
      </c>
      <c r="BA132" t="str">
        <f t="shared" si="88"/>
        <v>n/a</v>
      </c>
      <c r="BB132">
        <f t="shared" si="89"/>
        <v>1</v>
      </c>
      <c r="BC132" t="e">
        <f t="shared" si="90"/>
        <v>#REF!</v>
      </c>
      <c r="BD132" t="e">
        <f t="shared" ca="1" si="113"/>
        <v>#N/A</v>
      </c>
      <c r="BE132" t="e">
        <f t="shared" ca="1" si="113"/>
        <v>#N/A</v>
      </c>
      <c r="BF132" t="e">
        <f t="shared" ca="1" si="113"/>
        <v>#N/A</v>
      </c>
      <c r="BH132">
        <f t="shared" ca="1" si="112"/>
        <v>0</v>
      </c>
      <c r="BI132">
        <f t="shared" ca="1" si="112"/>
        <v>0</v>
      </c>
      <c r="BJ132">
        <f t="shared" ca="1" si="112"/>
        <v>0</v>
      </c>
      <c r="BM132" t="e">
        <f t="shared" si="91"/>
        <v>#REF!</v>
      </c>
      <c r="BN132" t="e">
        <f t="shared" ca="1" si="92"/>
        <v>#N/A</v>
      </c>
      <c r="BO132" t="e">
        <f t="shared" ca="1" si="93"/>
        <v>#N/A</v>
      </c>
      <c r="BP132" t="e">
        <f t="shared" ca="1" si="94"/>
        <v>#N/A</v>
      </c>
      <c r="BQ132" t="e">
        <f t="shared" ca="1" si="95"/>
        <v>#N/A</v>
      </c>
      <c r="BR132" t="e">
        <f t="shared" ca="1" si="96"/>
        <v>#N/A</v>
      </c>
      <c r="BS132" t="e">
        <f t="shared" ca="1" si="97"/>
        <v>#N/A</v>
      </c>
      <c r="BT132" t="e">
        <f t="shared" ca="1" si="98"/>
        <v>#N/A</v>
      </c>
      <c r="BU132">
        <f t="shared" ca="1" si="99"/>
        <v>0</v>
      </c>
      <c r="BV132">
        <f t="shared" ca="1" si="100"/>
        <v>0</v>
      </c>
      <c r="BW132">
        <f t="shared" ca="1" si="101"/>
        <v>0</v>
      </c>
      <c r="BX132">
        <f t="shared" ca="1" si="102"/>
        <v>0</v>
      </c>
      <c r="BY132">
        <f t="shared" ca="1" si="103"/>
        <v>0</v>
      </c>
      <c r="BZ132">
        <f t="shared" ca="1" si="73"/>
        <v>0</v>
      </c>
      <c r="CA132">
        <f t="shared" ca="1" si="74"/>
        <v>0</v>
      </c>
    </row>
    <row r="133" spans="1:79" x14ac:dyDescent="0.4">
      <c r="A133" t="str">
        <f t="shared" si="107"/>
        <v>X</v>
      </c>
      <c r="B133">
        <v>122</v>
      </c>
      <c r="C133" t="e" cm="1">
        <f t="array" ref="C133">INDEX(auto_Series_Code,B133)</f>
        <v>#REF!</v>
      </c>
      <c r="D133" t="e" cm="1">
        <f t="array" ref="D133">INDEX(auto_tblSeries,$B133,D$11)</f>
        <v>#REF!</v>
      </c>
      <c r="E133" t="e" cm="1">
        <f t="array" ref="E133">INDEX(auto_tblSeries,$B133,E$11)</f>
        <v>#REF!</v>
      </c>
      <c r="F133" t="e" cm="1">
        <f t="array" ref="F133">INDEX(auto_tblSeries,$B133,F$11)</f>
        <v>#REF!</v>
      </c>
      <c r="G133" t="e" cm="1">
        <f t="array" ref="G133">INDEX(auto_tblSeries,$B133,G$11)</f>
        <v>#REF!</v>
      </c>
      <c r="H133" t="e" cm="1">
        <f t="array" ref="H133">INDEX(auto_tblSeries,$B133,H$11)</f>
        <v>#REF!</v>
      </c>
      <c r="I133" t="e">
        <f t="shared" si="70"/>
        <v>#REF!</v>
      </c>
      <c r="K133" t="e" cm="1">
        <f t="array" ref="K133">INDEX(auto_DataFlat_Score,$I133,K$10)</f>
        <v>#REF!</v>
      </c>
      <c r="L133" t="e" cm="1">
        <f t="array" ref="L133">INDEX(auto_DataFlat_Rank,$I133,L$10)</f>
        <v>#REF!</v>
      </c>
      <c r="M133" t="e" cm="1">
        <f t="array" ref="M133">INDEX(auto_DataFlat_DataValue,$I133,M$10)</f>
        <v>#REF!</v>
      </c>
      <c r="N133" t="e" cm="1">
        <f t="array" ref="N133">INDEX(auto_DataFlat_Classification,$I133,M$10)</f>
        <v>#REF!</v>
      </c>
      <c r="O133" t="e" cm="1">
        <f t="array" ref="O133">INDEX(auto_DataFlat_IsEstimate,$I133,O$10)</f>
        <v>#REF!</v>
      </c>
      <c r="P133" t="e" cm="1">
        <f t="array" ref="P133">IF(INDEX(auto_DataFlat_DataYear,$I133,P$10)=0,"n/a",INDEX(auto_DataFlat_DataYear,$I133,P$10))</f>
        <v>#REF!</v>
      </c>
      <c r="R133" t="e">
        <f t="shared" si="71"/>
        <v>#REF!</v>
      </c>
      <c r="S133" t="e" cm="1">
        <f t="array" ref="S133">INDEX(auto_DataFlat_Score,$R133,S$10)</f>
        <v>#REF!</v>
      </c>
      <c r="U133" t="str">
        <f t="shared" si="75"/>
        <v>n/a</v>
      </c>
      <c r="V133">
        <f t="shared" si="76"/>
        <v>1</v>
      </c>
      <c r="W133" t="e">
        <f t="shared" si="77"/>
        <v>#REF!</v>
      </c>
      <c r="X133" t="e">
        <f t="shared" ca="1" si="114"/>
        <v>#N/A</v>
      </c>
      <c r="Y133" t="e">
        <f t="shared" ca="1" si="114"/>
        <v>#N/A</v>
      </c>
      <c r="Z133" t="e">
        <f t="shared" ca="1" si="114"/>
        <v>#N/A</v>
      </c>
      <c r="AB133">
        <f t="shared" ca="1" si="111"/>
        <v>0</v>
      </c>
      <c r="AC133">
        <f t="shared" ca="1" si="111"/>
        <v>0</v>
      </c>
      <c r="AD133">
        <f t="shared" ca="1" si="111"/>
        <v>0</v>
      </c>
      <c r="AF133" t="e">
        <f t="shared" si="79"/>
        <v>#REF!</v>
      </c>
      <c r="AG133" t="e">
        <f t="shared" ca="1" si="115"/>
        <v>#N/A</v>
      </c>
      <c r="AH133" t="e">
        <f t="shared" ca="1" si="115"/>
        <v>#N/A</v>
      </c>
      <c r="AI133" t="e">
        <f t="shared" ca="1" si="115"/>
        <v>#N/A</v>
      </c>
      <c r="AJ133" t="e">
        <f t="shared" ca="1" si="115"/>
        <v>#N/A</v>
      </c>
      <c r="AK133" t="e">
        <f t="shared" ca="1" si="115"/>
        <v>#N/A</v>
      </c>
      <c r="AL133" t="e">
        <f t="shared" ca="1" si="115"/>
        <v>#N/A</v>
      </c>
      <c r="AM133" t="e">
        <f t="shared" ca="1" si="115"/>
        <v>#N/A</v>
      </c>
      <c r="AN133">
        <f t="shared" ca="1" si="81"/>
        <v>0</v>
      </c>
      <c r="AO133">
        <f t="shared" ca="1" si="82"/>
        <v>0</v>
      </c>
      <c r="AP133">
        <f t="shared" ca="1" si="83"/>
        <v>0</v>
      </c>
      <c r="AQ133">
        <f t="shared" ca="1" si="84"/>
        <v>0</v>
      </c>
      <c r="AR133">
        <f t="shared" ca="1" si="85"/>
        <v>0</v>
      </c>
      <c r="AS133">
        <f t="shared" ca="1" si="86"/>
        <v>0</v>
      </c>
      <c r="AT133">
        <f t="shared" ca="1" si="87"/>
        <v>0</v>
      </c>
      <c r="AV133" t="e">
        <f t="shared" si="6"/>
        <v>#REF!</v>
      </c>
      <c r="AW133" t="e" cm="1">
        <f t="array" ref="AW133">INDEX(auto_DataFlat_Score,$AV133,1)</f>
        <v>#REF!</v>
      </c>
      <c r="AX133" t="e" cm="1">
        <f t="array" ref="AX133">INDEX(auto_DataFlat_DataValue,$AV133,1)</f>
        <v>#REF!</v>
      </c>
      <c r="BA133" t="str">
        <f t="shared" si="88"/>
        <v>n/a</v>
      </c>
      <c r="BB133">
        <f t="shared" si="89"/>
        <v>1</v>
      </c>
      <c r="BC133" t="e">
        <f t="shared" si="90"/>
        <v>#REF!</v>
      </c>
      <c r="BD133" t="e">
        <f t="shared" ca="1" si="113"/>
        <v>#N/A</v>
      </c>
      <c r="BE133" t="e">
        <f t="shared" ca="1" si="113"/>
        <v>#N/A</v>
      </c>
      <c r="BF133" t="e">
        <f t="shared" ca="1" si="113"/>
        <v>#N/A</v>
      </c>
      <c r="BH133">
        <f t="shared" ca="1" si="112"/>
        <v>0</v>
      </c>
      <c r="BI133">
        <f t="shared" ca="1" si="112"/>
        <v>0</v>
      </c>
      <c r="BJ133">
        <f t="shared" ca="1" si="112"/>
        <v>0</v>
      </c>
      <c r="BM133" t="e">
        <f t="shared" si="91"/>
        <v>#REF!</v>
      </c>
      <c r="BN133" t="e">
        <f t="shared" ca="1" si="92"/>
        <v>#N/A</v>
      </c>
      <c r="BO133" t="e">
        <f t="shared" ca="1" si="93"/>
        <v>#N/A</v>
      </c>
      <c r="BP133" t="e">
        <f t="shared" ca="1" si="94"/>
        <v>#N/A</v>
      </c>
      <c r="BQ133" t="e">
        <f t="shared" ca="1" si="95"/>
        <v>#N/A</v>
      </c>
      <c r="BR133" t="e">
        <f t="shared" ca="1" si="96"/>
        <v>#N/A</v>
      </c>
      <c r="BS133" t="e">
        <f t="shared" ca="1" si="97"/>
        <v>#N/A</v>
      </c>
      <c r="BT133" t="e">
        <f t="shared" ca="1" si="98"/>
        <v>#N/A</v>
      </c>
      <c r="BU133">
        <f t="shared" ca="1" si="99"/>
        <v>0</v>
      </c>
      <c r="BV133">
        <f t="shared" ca="1" si="100"/>
        <v>0</v>
      </c>
      <c r="BW133">
        <f t="shared" ca="1" si="101"/>
        <v>0</v>
      </c>
      <c r="BX133">
        <f t="shared" ca="1" si="102"/>
        <v>0</v>
      </c>
      <c r="BY133">
        <f t="shared" ca="1" si="103"/>
        <v>0</v>
      </c>
      <c r="BZ133">
        <f t="shared" ca="1" si="73"/>
        <v>0</v>
      </c>
      <c r="CA133">
        <f t="shared" ca="1" si="74"/>
        <v>0</v>
      </c>
    </row>
    <row r="134" spans="1:79" x14ac:dyDescent="0.4">
      <c r="A134" t="str">
        <f t="shared" si="107"/>
        <v>X</v>
      </c>
      <c r="B134">
        <v>123</v>
      </c>
      <c r="C134" t="e" cm="1">
        <f t="array" ref="C134">INDEX(auto_Series_Code,B134)</f>
        <v>#REF!</v>
      </c>
      <c r="D134" t="e" cm="1">
        <f t="array" ref="D134">INDEX(auto_tblSeries,$B134,D$11)</f>
        <v>#REF!</v>
      </c>
      <c r="E134" t="e" cm="1">
        <f t="array" ref="E134">INDEX(auto_tblSeries,$B134,E$11)</f>
        <v>#REF!</v>
      </c>
      <c r="F134" t="e" cm="1">
        <f t="array" ref="F134">INDEX(auto_tblSeries,$B134,F$11)</f>
        <v>#REF!</v>
      </c>
      <c r="G134" t="e" cm="1">
        <f t="array" ref="G134">INDEX(auto_tblSeries,$B134,G$11)</f>
        <v>#REF!</v>
      </c>
      <c r="H134" t="e" cm="1">
        <f t="array" ref="H134">INDEX(auto_tblSeries,$B134,H$11)</f>
        <v>#REF!</v>
      </c>
      <c r="I134" t="e">
        <f t="shared" si="70"/>
        <v>#REF!</v>
      </c>
      <c r="K134" t="e" cm="1">
        <f t="array" ref="K134">INDEX(auto_DataFlat_Score,$I134,K$10)</f>
        <v>#REF!</v>
      </c>
      <c r="L134" t="e" cm="1">
        <f t="array" ref="L134">INDEX(auto_DataFlat_Rank,$I134,L$10)</f>
        <v>#REF!</v>
      </c>
      <c r="M134" t="e" cm="1">
        <f t="array" ref="M134">INDEX(auto_DataFlat_DataValue,$I134,M$10)</f>
        <v>#REF!</v>
      </c>
      <c r="N134" t="e" cm="1">
        <f t="array" ref="N134">INDEX(auto_DataFlat_Classification,$I134,M$10)</f>
        <v>#REF!</v>
      </c>
      <c r="O134" t="e" cm="1">
        <f t="array" ref="O134">INDEX(auto_DataFlat_IsEstimate,$I134,O$10)</f>
        <v>#REF!</v>
      </c>
      <c r="P134" t="e" cm="1">
        <f t="array" ref="P134">IF(INDEX(auto_DataFlat_DataYear,$I134,P$10)=0,"n/a",INDEX(auto_DataFlat_DataYear,$I134,P$10))</f>
        <v>#REF!</v>
      </c>
      <c r="R134" t="e">
        <f t="shared" si="71"/>
        <v>#REF!</v>
      </c>
      <c r="S134" t="e" cm="1">
        <f t="array" ref="S134">INDEX(auto_DataFlat_Score,$R134,S$10)</f>
        <v>#REF!</v>
      </c>
      <c r="U134" t="str">
        <f t="shared" si="75"/>
        <v>n/a</v>
      </c>
      <c r="V134">
        <f t="shared" si="76"/>
        <v>1</v>
      </c>
      <c r="W134" t="e">
        <f t="shared" si="77"/>
        <v>#REF!</v>
      </c>
      <c r="X134" t="e">
        <f t="shared" ca="1" si="114"/>
        <v>#N/A</v>
      </c>
      <c r="Y134" t="e">
        <f t="shared" ca="1" si="114"/>
        <v>#N/A</v>
      </c>
      <c r="Z134" t="e">
        <f t="shared" ca="1" si="114"/>
        <v>#N/A</v>
      </c>
      <c r="AB134">
        <f t="shared" ca="1" si="111"/>
        <v>0</v>
      </c>
      <c r="AC134">
        <f t="shared" ca="1" si="111"/>
        <v>0</v>
      </c>
      <c r="AD134">
        <f t="shared" ca="1" si="111"/>
        <v>0</v>
      </c>
      <c r="AF134" t="e">
        <f t="shared" si="79"/>
        <v>#REF!</v>
      </c>
      <c r="AG134" t="e">
        <f t="shared" ca="1" si="115"/>
        <v>#N/A</v>
      </c>
      <c r="AH134" t="e">
        <f t="shared" ca="1" si="115"/>
        <v>#N/A</v>
      </c>
      <c r="AI134" t="e">
        <f t="shared" ca="1" si="115"/>
        <v>#N/A</v>
      </c>
      <c r="AJ134" t="e">
        <f t="shared" ca="1" si="115"/>
        <v>#N/A</v>
      </c>
      <c r="AK134" t="e">
        <f t="shared" ca="1" si="115"/>
        <v>#N/A</v>
      </c>
      <c r="AL134" t="e">
        <f t="shared" ca="1" si="115"/>
        <v>#N/A</v>
      </c>
      <c r="AM134" t="e">
        <f t="shared" ca="1" si="115"/>
        <v>#N/A</v>
      </c>
      <c r="AN134">
        <f t="shared" ca="1" si="81"/>
        <v>0</v>
      </c>
      <c r="AO134">
        <f t="shared" ca="1" si="82"/>
        <v>0</v>
      </c>
      <c r="AP134">
        <f t="shared" ca="1" si="83"/>
        <v>0</v>
      </c>
      <c r="AQ134">
        <f t="shared" ca="1" si="84"/>
        <v>0</v>
      </c>
      <c r="AR134">
        <f t="shared" ca="1" si="85"/>
        <v>0</v>
      </c>
      <c r="AS134">
        <f t="shared" ca="1" si="86"/>
        <v>0</v>
      </c>
      <c r="AT134">
        <f t="shared" ca="1" si="87"/>
        <v>0</v>
      </c>
      <c r="AV134" t="e">
        <f t="shared" si="6"/>
        <v>#REF!</v>
      </c>
      <c r="AW134" t="e" cm="1">
        <f t="array" ref="AW134">INDEX(auto_DataFlat_Score,$AV134,1)</f>
        <v>#REF!</v>
      </c>
      <c r="AX134" t="e" cm="1">
        <f t="array" ref="AX134">INDEX(auto_DataFlat_DataValue,$AV134,1)</f>
        <v>#REF!</v>
      </c>
      <c r="BA134" t="str">
        <f t="shared" si="88"/>
        <v>n/a</v>
      </c>
      <c r="BB134">
        <f t="shared" si="89"/>
        <v>1</v>
      </c>
      <c r="BC134" t="e">
        <f t="shared" si="90"/>
        <v>#REF!</v>
      </c>
      <c r="BD134" t="e">
        <f t="shared" ca="1" si="113"/>
        <v>#N/A</v>
      </c>
      <c r="BE134" t="e">
        <f t="shared" ca="1" si="113"/>
        <v>#N/A</v>
      </c>
      <c r="BF134" t="e">
        <f t="shared" ca="1" si="113"/>
        <v>#N/A</v>
      </c>
      <c r="BH134">
        <f t="shared" ca="1" si="112"/>
        <v>0</v>
      </c>
      <c r="BI134">
        <f t="shared" ca="1" si="112"/>
        <v>0</v>
      </c>
      <c r="BJ134">
        <f t="shared" ca="1" si="112"/>
        <v>0</v>
      </c>
      <c r="BM134" t="e">
        <f t="shared" si="91"/>
        <v>#REF!</v>
      </c>
      <c r="BN134" t="e">
        <f t="shared" ca="1" si="92"/>
        <v>#N/A</v>
      </c>
      <c r="BO134" t="e">
        <f t="shared" ca="1" si="93"/>
        <v>#N/A</v>
      </c>
      <c r="BP134" t="e">
        <f t="shared" ca="1" si="94"/>
        <v>#N/A</v>
      </c>
      <c r="BQ134" t="e">
        <f t="shared" ca="1" si="95"/>
        <v>#N/A</v>
      </c>
      <c r="BR134" t="e">
        <f t="shared" ca="1" si="96"/>
        <v>#N/A</v>
      </c>
      <c r="BS134" t="e">
        <f t="shared" ca="1" si="97"/>
        <v>#N/A</v>
      </c>
      <c r="BT134" t="e">
        <f t="shared" ca="1" si="98"/>
        <v>#N/A</v>
      </c>
      <c r="BU134">
        <f t="shared" ca="1" si="99"/>
        <v>0</v>
      </c>
      <c r="BV134">
        <f t="shared" ca="1" si="100"/>
        <v>0</v>
      </c>
      <c r="BW134">
        <f t="shared" ca="1" si="101"/>
        <v>0</v>
      </c>
      <c r="BX134">
        <f t="shared" ca="1" si="102"/>
        <v>0</v>
      </c>
      <c r="BY134">
        <f t="shared" ca="1" si="103"/>
        <v>0</v>
      </c>
      <c r="BZ134">
        <f t="shared" ca="1" si="73"/>
        <v>0</v>
      </c>
      <c r="CA134">
        <f t="shared" ca="1" si="74"/>
        <v>0</v>
      </c>
    </row>
    <row r="135" spans="1:79" x14ac:dyDescent="0.4">
      <c r="A135" t="str">
        <f t="shared" si="107"/>
        <v>X</v>
      </c>
      <c r="B135">
        <v>124</v>
      </c>
      <c r="C135" t="e" cm="1">
        <f t="array" ref="C135">INDEX(auto_Series_Code,B135)</f>
        <v>#REF!</v>
      </c>
      <c r="D135" t="e" cm="1">
        <f t="array" ref="D135">INDEX(auto_tblSeries,$B135,D$11)</f>
        <v>#REF!</v>
      </c>
      <c r="E135" t="e" cm="1">
        <f t="array" ref="E135">INDEX(auto_tblSeries,$B135,E$11)</f>
        <v>#REF!</v>
      </c>
      <c r="F135" t="e" cm="1">
        <f t="array" ref="F135">INDEX(auto_tblSeries,$B135,F$11)</f>
        <v>#REF!</v>
      </c>
      <c r="G135" t="e" cm="1">
        <f t="array" ref="G135">INDEX(auto_tblSeries,$B135,G$11)</f>
        <v>#REF!</v>
      </c>
      <c r="H135" t="e" cm="1">
        <f t="array" ref="H135">INDEX(auto_tblSeries,$B135,H$11)</f>
        <v>#REF!</v>
      </c>
      <c r="I135" t="e">
        <f t="shared" si="70"/>
        <v>#REF!</v>
      </c>
      <c r="K135" t="e" cm="1">
        <f t="array" ref="K135">INDEX(auto_DataFlat_Score,$I135,K$10)</f>
        <v>#REF!</v>
      </c>
      <c r="L135" t="e" cm="1">
        <f t="array" ref="L135">INDEX(auto_DataFlat_Rank,$I135,L$10)</f>
        <v>#REF!</v>
      </c>
      <c r="M135" t="e" cm="1">
        <f t="array" ref="M135">INDEX(auto_DataFlat_DataValue,$I135,M$10)</f>
        <v>#REF!</v>
      </c>
      <c r="N135" t="e" cm="1">
        <f t="array" ref="N135">INDEX(auto_DataFlat_Classification,$I135,M$10)</f>
        <v>#REF!</v>
      </c>
      <c r="O135" t="e" cm="1">
        <f t="array" ref="O135">INDEX(auto_DataFlat_IsEstimate,$I135,O$10)</f>
        <v>#REF!</v>
      </c>
      <c r="P135" t="e" cm="1">
        <f t="array" ref="P135">IF(INDEX(auto_DataFlat_DataYear,$I135,P$10)=0,"n/a",INDEX(auto_DataFlat_DataYear,$I135,P$10))</f>
        <v>#REF!</v>
      </c>
      <c r="R135" t="e">
        <f t="shared" si="71"/>
        <v>#REF!</v>
      </c>
      <c r="S135" t="e" cm="1">
        <f t="array" ref="S135">INDEX(auto_DataFlat_Score,$R135,S$10)</f>
        <v>#REF!</v>
      </c>
      <c r="U135" t="str">
        <f t="shared" si="75"/>
        <v>n/a</v>
      </c>
      <c r="V135">
        <f t="shared" si="76"/>
        <v>1</v>
      </c>
      <c r="W135" t="e">
        <f t="shared" si="77"/>
        <v>#REF!</v>
      </c>
      <c r="X135" t="e">
        <f t="shared" ca="1" si="114"/>
        <v>#N/A</v>
      </c>
      <c r="Y135" t="e">
        <f t="shared" ca="1" si="114"/>
        <v>#N/A</v>
      </c>
      <c r="Z135" t="e">
        <f t="shared" ca="1" si="114"/>
        <v>#N/A</v>
      </c>
      <c r="AB135">
        <f t="shared" ca="1" si="111"/>
        <v>0</v>
      </c>
      <c r="AC135">
        <f t="shared" ca="1" si="111"/>
        <v>0</v>
      </c>
      <c r="AD135">
        <f t="shared" ca="1" si="111"/>
        <v>0</v>
      </c>
      <c r="AF135" t="e">
        <f t="shared" si="79"/>
        <v>#REF!</v>
      </c>
      <c r="AG135" t="e">
        <f t="shared" ca="1" si="115"/>
        <v>#N/A</v>
      </c>
      <c r="AH135" t="e">
        <f t="shared" ca="1" si="115"/>
        <v>#N/A</v>
      </c>
      <c r="AI135" t="e">
        <f t="shared" ca="1" si="115"/>
        <v>#N/A</v>
      </c>
      <c r="AJ135" t="e">
        <f t="shared" ca="1" si="115"/>
        <v>#N/A</v>
      </c>
      <c r="AK135" t="e">
        <f t="shared" ca="1" si="115"/>
        <v>#N/A</v>
      </c>
      <c r="AL135" t="e">
        <f t="shared" ca="1" si="115"/>
        <v>#N/A</v>
      </c>
      <c r="AM135" t="e">
        <f t="shared" ca="1" si="115"/>
        <v>#N/A</v>
      </c>
      <c r="AN135">
        <f t="shared" ca="1" si="81"/>
        <v>0</v>
      </c>
      <c r="AO135">
        <f t="shared" ca="1" si="82"/>
        <v>0</v>
      </c>
      <c r="AP135">
        <f t="shared" ca="1" si="83"/>
        <v>0</v>
      </c>
      <c r="AQ135">
        <f t="shared" ca="1" si="84"/>
        <v>0</v>
      </c>
      <c r="AR135">
        <f t="shared" ca="1" si="85"/>
        <v>0</v>
      </c>
      <c r="AS135">
        <f t="shared" ca="1" si="86"/>
        <v>0</v>
      </c>
      <c r="AT135">
        <f t="shared" ca="1" si="87"/>
        <v>0</v>
      </c>
      <c r="AV135" t="e">
        <f t="shared" si="6"/>
        <v>#REF!</v>
      </c>
      <c r="AW135" t="e" cm="1">
        <f t="array" ref="AW135">INDEX(auto_DataFlat_Score,$AV135,1)</f>
        <v>#REF!</v>
      </c>
      <c r="AX135" t="e" cm="1">
        <f t="array" ref="AX135">INDEX(auto_DataFlat_DataValue,$AV135,1)</f>
        <v>#REF!</v>
      </c>
      <c r="BA135" t="str">
        <f t="shared" si="88"/>
        <v>n/a</v>
      </c>
      <c r="BB135">
        <f t="shared" si="89"/>
        <v>1</v>
      </c>
      <c r="BC135" t="e">
        <f t="shared" si="90"/>
        <v>#REF!</v>
      </c>
      <c r="BD135" t="e">
        <f t="shared" ca="1" si="113"/>
        <v>#N/A</v>
      </c>
      <c r="BE135" t="e">
        <f t="shared" ca="1" si="113"/>
        <v>#N/A</v>
      </c>
      <c r="BF135" t="e">
        <f t="shared" ca="1" si="113"/>
        <v>#N/A</v>
      </c>
      <c r="BH135">
        <f t="shared" ca="1" si="112"/>
        <v>0</v>
      </c>
      <c r="BI135">
        <f t="shared" ca="1" si="112"/>
        <v>0</v>
      </c>
      <c r="BJ135">
        <f t="shared" ca="1" si="112"/>
        <v>0</v>
      </c>
      <c r="BM135" t="e">
        <f t="shared" si="91"/>
        <v>#REF!</v>
      </c>
      <c r="BN135" t="e">
        <f t="shared" ca="1" si="92"/>
        <v>#N/A</v>
      </c>
      <c r="BO135" t="e">
        <f t="shared" ca="1" si="93"/>
        <v>#N/A</v>
      </c>
      <c r="BP135" t="e">
        <f t="shared" ca="1" si="94"/>
        <v>#N/A</v>
      </c>
      <c r="BQ135" t="e">
        <f t="shared" ca="1" si="95"/>
        <v>#N/A</v>
      </c>
      <c r="BR135" t="e">
        <f t="shared" ca="1" si="96"/>
        <v>#N/A</v>
      </c>
      <c r="BS135" t="e">
        <f t="shared" ca="1" si="97"/>
        <v>#N/A</v>
      </c>
      <c r="BT135" t="e">
        <f t="shared" ca="1" si="98"/>
        <v>#N/A</v>
      </c>
      <c r="BU135">
        <f t="shared" ca="1" si="99"/>
        <v>0</v>
      </c>
      <c r="BV135">
        <f t="shared" ca="1" si="100"/>
        <v>0</v>
      </c>
      <c r="BW135">
        <f t="shared" ca="1" si="101"/>
        <v>0</v>
      </c>
      <c r="BX135">
        <f t="shared" ca="1" si="102"/>
        <v>0</v>
      </c>
      <c r="BY135">
        <f t="shared" ca="1" si="103"/>
        <v>0</v>
      </c>
      <c r="BZ135">
        <f t="shared" ca="1" si="73"/>
        <v>0</v>
      </c>
      <c r="CA135">
        <f t="shared" ca="1" si="74"/>
        <v>0</v>
      </c>
    </row>
    <row r="136" spans="1:79" x14ac:dyDescent="0.4">
      <c r="A136" t="str">
        <f t="shared" si="107"/>
        <v>X</v>
      </c>
      <c r="B136">
        <v>125</v>
      </c>
      <c r="C136" t="e" cm="1">
        <f t="array" ref="C136">INDEX(auto_Series_Code,B136)</f>
        <v>#REF!</v>
      </c>
      <c r="D136" t="e" cm="1">
        <f t="array" ref="D136">INDEX(auto_tblSeries,$B136,D$11)</f>
        <v>#REF!</v>
      </c>
      <c r="E136" t="e" cm="1">
        <f t="array" ref="E136">INDEX(auto_tblSeries,$B136,E$11)</f>
        <v>#REF!</v>
      </c>
      <c r="F136" t="e" cm="1">
        <f t="array" ref="F136">INDEX(auto_tblSeries,$B136,F$11)</f>
        <v>#REF!</v>
      </c>
      <c r="G136" t="e" cm="1">
        <f t="array" ref="G136">INDEX(auto_tblSeries,$B136,G$11)</f>
        <v>#REF!</v>
      </c>
      <c r="H136" t="e" cm="1">
        <f t="array" ref="H136">INDEX(auto_tblSeries,$B136,H$11)</f>
        <v>#REF!</v>
      </c>
      <c r="I136" t="e">
        <f t="shared" si="70"/>
        <v>#REF!</v>
      </c>
      <c r="K136" t="e" cm="1">
        <f t="array" ref="K136">INDEX(auto_DataFlat_Score,$I136,K$10)</f>
        <v>#REF!</v>
      </c>
      <c r="L136" t="e" cm="1">
        <f t="array" ref="L136">INDEX(auto_DataFlat_Rank,$I136,L$10)</f>
        <v>#REF!</v>
      </c>
      <c r="M136" t="e" cm="1">
        <f t="array" ref="M136">INDEX(auto_DataFlat_DataValue,$I136,M$10)</f>
        <v>#REF!</v>
      </c>
      <c r="N136" t="e" cm="1">
        <f t="array" ref="N136">INDEX(auto_DataFlat_Classification,$I136,M$10)</f>
        <v>#REF!</v>
      </c>
      <c r="O136" t="e" cm="1">
        <f t="array" ref="O136">INDEX(auto_DataFlat_IsEstimate,$I136,O$10)</f>
        <v>#REF!</v>
      </c>
      <c r="P136" t="e" cm="1">
        <f t="array" ref="P136">IF(INDEX(auto_DataFlat_DataYear,$I136,P$10)=0,"n/a",INDEX(auto_DataFlat_DataYear,$I136,P$10))</f>
        <v>#REF!</v>
      </c>
      <c r="R136" t="e">
        <f t="shared" si="71"/>
        <v>#REF!</v>
      </c>
      <c r="S136" t="e" cm="1">
        <f t="array" ref="S136">INDEX(auto_DataFlat_Score,$R136,S$10)</f>
        <v>#REF!</v>
      </c>
      <c r="U136" t="str">
        <f t="shared" si="75"/>
        <v>n/a</v>
      </c>
      <c r="V136">
        <f t="shared" si="76"/>
        <v>1</v>
      </c>
      <c r="W136" t="e">
        <f t="shared" si="77"/>
        <v>#REF!</v>
      </c>
      <c r="X136" t="e">
        <f t="shared" ca="1" si="114"/>
        <v>#N/A</v>
      </c>
      <c r="Y136" t="e">
        <f t="shared" ca="1" si="114"/>
        <v>#N/A</v>
      </c>
      <c r="Z136" t="e">
        <f t="shared" ca="1" si="114"/>
        <v>#N/A</v>
      </c>
      <c r="AB136">
        <f t="shared" ca="1" si="111"/>
        <v>0</v>
      </c>
      <c r="AC136">
        <f t="shared" ca="1" si="111"/>
        <v>0</v>
      </c>
      <c r="AD136">
        <f t="shared" ca="1" si="111"/>
        <v>0</v>
      </c>
      <c r="AF136" t="e">
        <f t="shared" si="79"/>
        <v>#REF!</v>
      </c>
      <c r="AG136" t="e">
        <f t="shared" ca="1" si="115"/>
        <v>#N/A</v>
      </c>
      <c r="AH136" t="e">
        <f t="shared" ca="1" si="115"/>
        <v>#N/A</v>
      </c>
      <c r="AI136" t="e">
        <f t="shared" ca="1" si="115"/>
        <v>#N/A</v>
      </c>
      <c r="AJ136" t="e">
        <f t="shared" ca="1" si="115"/>
        <v>#N/A</v>
      </c>
      <c r="AK136" t="e">
        <f t="shared" ca="1" si="115"/>
        <v>#N/A</v>
      </c>
      <c r="AL136" t="e">
        <f t="shared" ca="1" si="115"/>
        <v>#N/A</v>
      </c>
      <c r="AM136" t="e">
        <f t="shared" ca="1" si="115"/>
        <v>#N/A</v>
      </c>
      <c r="AN136">
        <f t="shared" ca="1" si="81"/>
        <v>0</v>
      </c>
      <c r="AO136">
        <f t="shared" ca="1" si="82"/>
        <v>0</v>
      </c>
      <c r="AP136">
        <f t="shared" ca="1" si="83"/>
        <v>0</v>
      </c>
      <c r="AQ136">
        <f t="shared" ca="1" si="84"/>
        <v>0</v>
      </c>
      <c r="AR136">
        <f t="shared" ca="1" si="85"/>
        <v>0</v>
      </c>
      <c r="AS136">
        <f t="shared" ca="1" si="86"/>
        <v>0</v>
      </c>
      <c r="AT136">
        <f t="shared" ca="1" si="87"/>
        <v>0</v>
      </c>
      <c r="AV136" t="e">
        <f t="shared" si="6"/>
        <v>#REF!</v>
      </c>
      <c r="AW136" t="e" cm="1">
        <f t="array" ref="AW136">INDEX(auto_DataFlat_Score,$AV136,1)</f>
        <v>#REF!</v>
      </c>
      <c r="AX136" t="e" cm="1">
        <f t="array" ref="AX136">INDEX(auto_DataFlat_DataValue,$AV136,1)</f>
        <v>#REF!</v>
      </c>
      <c r="BA136" t="str">
        <f t="shared" si="88"/>
        <v>n/a</v>
      </c>
      <c r="BB136">
        <f t="shared" si="89"/>
        <v>1</v>
      </c>
      <c r="BC136" t="e">
        <f t="shared" si="90"/>
        <v>#REF!</v>
      </c>
      <c r="BD136" t="e">
        <f t="shared" ca="1" si="113"/>
        <v>#N/A</v>
      </c>
      <c r="BE136" t="e">
        <f t="shared" ca="1" si="113"/>
        <v>#N/A</v>
      </c>
      <c r="BF136" t="e">
        <f t="shared" ca="1" si="113"/>
        <v>#N/A</v>
      </c>
      <c r="BH136">
        <f t="shared" ca="1" si="112"/>
        <v>0</v>
      </c>
      <c r="BI136">
        <f t="shared" ca="1" si="112"/>
        <v>0</v>
      </c>
      <c r="BJ136">
        <f t="shared" ca="1" si="112"/>
        <v>0</v>
      </c>
      <c r="BM136" t="e">
        <f t="shared" si="91"/>
        <v>#REF!</v>
      </c>
      <c r="BN136" t="e">
        <f t="shared" ca="1" si="92"/>
        <v>#N/A</v>
      </c>
      <c r="BO136" t="e">
        <f t="shared" ca="1" si="93"/>
        <v>#N/A</v>
      </c>
      <c r="BP136" t="e">
        <f t="shared" ca="1" si="94"/>
        <v>#N/A</v>
      </c>
      <c r="BQ136" t="e">
        <f t="shared" ca="1" si="95"/>
        <v>#N/A</v>
      </c>
      <c r="BR136" t="e">
        <f t="shared" ca="1" si="96"/>
        <v>#N/A</v>
      </c>
      <c r="BS136" t="e">
        <f t="shared" ca="1" si="97"/>
        <v>#N/A</v>
      </c>
      <c r="BT136" t="e">
        <f t="shared" ca="1" si="98"/>
        <v>#N/A</v>
      </c>
      <c r="BU136">
        <f t="shared" ca="1" si="99"/>
        <v>0</v>
      </c>
      <c r="BV136">
        <f t="shared" ca="1" si="100"/>
        <v>0</v>
      </c>
      <c r="BW136">
        <f t="shared" ca="1" si="101"/>
        <v>0</v>
      </c>
      <c r="BX136">
        <f t="shared" ca="1" si="102"/>
        <v>0</v>
      </c>
      <c r="BY136">
        <f t="shared" ca="1" si="103"/>
        <v>0</v>
      </c>
      <c r="BZ136">
        <f t="shared" ca="1" si="73"/>
        <v>0</v>
      </c>
      <c r="CA136">
        <f t="shared" ca="1" si="74"/>
        <v>0</v>
      </c>
    </row>
    <row r="137" spans="1:79" x14ac:dyDescent="0.4">
      <c r="A137" t="str">
        <f t="shared" si="107"/>
        <v>X</v>
      </c>
      <c r="B137">
        <v>126</v>
      </c>
      <c r="C137" t="e" cm="1">
        <f t="array" ref="C137">INDEX(auto_Series_Code,B137)</f>
        <v>#REF!</v>
      </c>
      <c r="D137" t="e" cm="1">
        <f t="array" ref="D137">INDEX(auto_tblSeries,$B137,D$11)</f>
        <v>#REF!</v>
      </c>
      <c r="E137" t="e" cm="1">
        <f t="array" ref="E137">INDEX(auto_tblSeries,$B137,E$11)</f>
        <v>#REF!</v>
      </c>
      <c r="F137" t="e" cm="1">
        <f t="array" ref="F137">INDEX(auto_tblSeries,$B137,F$11)</f>
        <v>#REF!</v>
      </c>
      <c r="G137" t="e" cm="1">
        <f t="array" ref="G137">INDEX(auto_tblSeries,$B137,G$11)</f>
        <v>#REF!</v>
      </c>
      <c r="H137" t="e" cm="1">
        <f t="array" ref="H137">INDEX(auto_tblSeries,$B137,H$11)</f>
        <v>#REF!</v>
      </c>
      <c r="I137" t="e">
        <f t="shared" si="70"/>
        <v>#REF!</v>
      </c>
      <c r="K137" t="e" cm="1">
        <f t="array" ref="K137">INDEX(auto_DataFlat_Score,$I137,K$10)</f>
        <v>#REF!</v>
      </c>
      <c r="L137" t="e" cm="1">
        <f t="array" ref="L137">INDEX(auto_DataFlat_Rank,$I137,L$10)</f>
        <v>#REF!</v>
      </c>
      <c r="M137" t="e" cm="1">
        <f t="array" ref="M137">INDEX(auto_DataFlat_DataValue,$I137,M$10)</f>
        <v>#REF!</v>
      </c>
      <c r="N137" t="e" cm="1">
        <f t="array" ref="N137">INDEX(auto_DataFlat_Classification,$I137,M$10)</f>
        <v>#REF!</v>
      </c>
      <c r="O137" t="e" cm="1">
        <f t="array" ref="O137">INDEX(auto_DataFlat_IsEstimate,$I137,O$10)</f>
        <v>#REF!</v>
      </c>
      <c r="P137" t="e" cm="1">
        <f t="array" ref="P137">IF(INDEX(auto_DataFlat_DataYear,$I137,P$10)=0,"n/a",INDEX(auto_DataFlat_DataYear,$I137,P$10))</f>
        <v>#REF!</v>
      </c>
      <c r="R137" t="e">
        <f t="shared" si="71"/>
        <v>#REF!</v>
      </c>
      <c r="S137" t="e" cm="1">
        <f t="array" ref="S137">INDEX(auto_DataFlat_Score,$R137,S$10)</f>
        <v>#REF!</v>
      </c>
      <c r="U137" t="str">
        <f t="shared" si="75"/>
        <v>n/a</v>
      </c>
      <c r="V137">
        <f t="shared" si="76"/>
        <v>1</v>
      </c>
      <c r="W137" t="e">
        <f t="shared" si="77"/>
        <v>#REF!</v>
      </c>
      <c r="X137" t="e">
        <f t="shared" ca="1" si="114"/>
        <v>#N/A</v>
      </c>
      <c r="Y137" t="e">
        <f t="shared" ca="1" si="114"/>
        <v>#N/A</v>
      </c>
      <c r="Z137" t="e">
        <f t="shared" ca="1" si="114"/>
        <v>#N/A</v>
      </c>
      <c r="AB137">
        <f t="shared" ca="1" si="111"/>
        <v>0</v>
      </c>
      <c r="AC137">
        <f t="shared" ca="1" si="111"/>
        <v>0</v>
      </c>
      <c r="AD137">
        <f t="shared" ca="1" si="111"/>
        <v>0</v>
      </c>
      <c r="AF137" t="e">
        <f t="shared" si="79"/>
        <v>#REF!</v>
      </c>
      <c r="AG137" t="e">
        <f t="shared" ca="1" si="115"/>
        <v>#N/A</v>
      </c>
      <c r="AH137" t="e">
        <f t="shared" ca="1" si="115"/>
        <v>#N/A</v>
      </c>
      <c r="AI137" t="e">
        <f t="shared" ca="1" si="115"/>
        <v>#N/A</v>
      </c>
      <c r="AJ137" t="e">
        <f t="shared" ca="1" si="115"/>
        <v>#N/A</v>
      </c>
      <c r="AK137" t="e">
        <f t="shared" ca="1" si="115"/>
        <v>#N/A</v>
      </c>
      <c r="AL137" t="e">
        <f t="shared" ca="1" si="115"/>
        <v>#N/A</v>
      </c>
      <c r="AM137" t="e">
        <f t="shared" ca="1" si="115"/>
        <v>#N/A</v>
      </c>
      <c r="AN137">
        <f t="shared" ca="1" si="81"/>
        <v>0</v>
      </c>
      <c r="AO137">
        <f t="shared" ca="1" si="82"/>
        <v>0</v>
      </c>
      <c r="AP137">
        <f t="shared" ca="1" si="83"/>
        <v>0</v>
      </c>
      <c r="AQ137">
        <f t="shared" ca="1" si="84"/>
        <v>0</v>
      </c>
      <c r="AR137">
        <f t="shared" ca="1" si="85"/>
        <v>0</v>
      </c>
      <c r="AS137">
        <f t="shared" ca="1" si="86"/>
        <v>0</v>
      </c>
      <c r="AT137">
        <f t="shared" ca="1" si="87"/>
        <v>0</v>
      </c>
      <c r="AV137" t="e">
        <f t="shared" si="6"/>
        <v>#REF!</v>
      </c>
      <c r="AW137" t="e" cm="1">
        <f t="array" ref="AW137">INDEX(auto_DataFlat_Score,$AV137,1)</f>
        <v>#REF!</v>
      </c>
      <c r="AX137" t="e" cm="1">
        <f t="array" ref="AX137">INDEX(auto_DataFlat_DataValue,$AV137,1)</f>
        <v>#REF!</v>
      </c>
      <c r="BA137" t="str">
        <f t="shared" si="88"/>
        <v>n/a</v>
      </c>
      <c r="BB137">
        <f t="shared" si="89"/>
        <v>1</v>
      </c>
      <c r="BC137" t="e">
        <f t="shared" si="90"/>
        <v>#REF!</v>
      </c>
      <c r="BD137" t="e">
        <f t="shared" ca="1" si="113"/>
        <v>#N/A</v>
      </c>
      <c r="BE137" t="e">
        <f t="shared" ca="1" si="113"/>
        <v>#N/A</v>
      </c>
      <c r="BF137" t="e">
        <f t="shared" ca="1" si="113"/>
        <v>#N/A</v>
      </c>
      <c r="BH137">
        <f t="shared" ca="1" si="112"/>
        <v>0</v>
      </c>
      <c r="BI137">
        <f t="shared" ca="1" si="112"/>
        <v>0</v>
      </c>
      <c r="BJ137">
        <f t="shared" ca="1" si="112"/>
        <v>0</v>
      </c>
      <c r="BM137" t="e">
        <f t="shared" si="91"/>
        <v>#REF!</v>
      </c>
      <c r="BN137" t="e">
        <f t="shared" ca="1" si="92"/>
        <v>#N/A</v>
      </c>
      <c r="BO137" t="e">
        <f t="shared" ca="1" si="93"/>
        <v>#N/A</v>
      </c>
      <c r="BP137" t="e">
        <f t="shared" ca="1" si="94"/>
        <v>#N/A</v>
      </c>
      <c r="BQ137" t="e">
        <f t="shared" ca="1" si="95"/>
        <v>#N/A</v>
      </c>
      <c r="BR137" t="e">
        <f t="shared" ca="1" si="96"/>
        <v>#N/A</v>
      </c>
      <c r="BS137" t="e">
        <f t="shared" ca="1" si="97"/>
        <v>#N/A</v>
      </c>
      <c r="BT137" t="e">
        <f t="shared" ca="1" si="98"/>
        <v>#N/A</v>
      </c>
      <c r="BU137">
        <f t="shared" ca="1" si="99"/>
        <v>0</v>
      </c>
      <c r="BV137">
        <f t="shared" ca="1" si="100"/>
        <v>0</v>
      </c>
      <c r="BW137">
        <f t="shared" ca="1" si="101"/>
        <v>0</v>
      </c>
      <c r="BX137">
        <f t="shared" ca="1" si="102"/>
        <v>0</v>
      </c>
      <c r="BY137">
        <f t="shared" ca="1" si="103"/>
        <v>0</v>
      </c>
      <c r="BZ137">
        <f t="shared" ca="1" si="73"/>
        <v>0</v>
      </c>
      <c r="CA137">
        <f t="shared" ca="1" si="74"/>
        <v>0</v>
      </c>
    </row>
    <row r="138" spans="1:79" x14ac:dyDescent="0.4">
      <c r="A138" t="str">
        <f t="shared" si="107"/>
        <v>X</v>
      </c>
      <c r="B138">
        <v>127</v>
      </c>
      <c r="C138" t="e" cm="1">
        <f t="array" ref="C138">INDEX(auto_Series_Code,B138)</f>
        <v>#REF!</v>
      </c>
      <c r="D138" t="e" cm="1">
        <f t="array" ref="D138">INDEX(auto_tblSeries,$B138,D$11)</f>
        <v>#REF!</v>
      </c>
      <c r="E138" t="e" cm="1">
        <f t="array" ref="E138">INDEX(auto_tblSeries,$B138,E$11)</f>
        <v>#REF!</v>
      </c>
      <c r="F138" t="e" cm="1">
        <f t="array" ref="F138">INDEX(auto_tblSeries,$B138,F$11)</f>
        <v>#REF!</v>
      </c>
      <c r="G138" t="e" cm="1">
        <f t="array" ref="G138">INDEX(auto_tblSeries,$B138,G$11)</f>
        <v>#REF!</v>
      </c>
      <c r="H138" t="e" cm="1">
        <f t="array" ref="H138">INDEX(auto_tblSeries,$B138,H$11)</f>
        <v>#REF!</v>
      </c>
      <c r="I138" t="e">
        <f t="shared" si="70"/>
        <v>#REF!</v>
      </c>
      <c r="K138" t="e" cm="1">
        <f t="array" ref="K138">INDEX(auto_DataFlat_Score,$I138,K$10)</f>
        <v>#REF!</v>
      </c>
      <c r="L138" t="e" cm="1">
        <f t="array" ref="L138">INDEX(auto_DataFlat_Rank,$I138,L$10)</f>
        <v>#REF!</v>
      </c>
      <c r="M138" t="e" cm="1">
        <f t="array" ref="M138">INDEX(auto_DataFlat_DataValue,$I138,M$10)</f>
        <v>#REF!</v>
      </c>
      <c r="N138" t="e" cm="1">
        <f t="array" ref="N138">INDEX(auto_DataFlat_Classification,$I138,M$10)</f>
        <v>#REF!</v>
      </c>
      <c r="O138" t="e" cm="1">
        <f t="array" ref="O138">INDEX(auto_DataFlat_IsEstimate,$I138,O$10)</f>
        <v>#REF!</v>
      </c>
      <c r="P138" t="e" cm="1">
        <f t="array" ref="P138">IF(INDEX(auto_DataFlat_DataYear,$I138,P$10)=0,"n/a",INDEX(auto_DataFlat_DataYear,$I138,P$10))</f>
        <v>#REF!</v>
      </c>
      <c r="R138" t="e">
        <f t="shared" si="71"/>
        <v>#REF!</v>
      </c>
      <c r="S138" t="e" cm="1">
        <f t="array" ref="S138">INDEX(auto_DataFlat_Score,$R138,S$10)</f>
        <v>#REF!</v>
      </c>
      <c r="U138" t="str">
        <f t="shared" si="75"/>
        <v>n/a</v>
      </c>
      <c r="V138">
        <f t="shared" si="76"/>
        <v>1</v>
      </c>
      <c r="W138" t="e">
        <f t="shared" si="77"/>
        <v>#REF!</v>
      </c>
      <c r="X138" t="e">
        <f t="shared" ca="1" si="114"/>
        <v>#N/A</v>
      </c>
      <c r="Y138" t="e">
        <f t="shared" ca="1" si="114"/>
        <v>#N/A</v>
      </c>
      <c r="Z138" t="e">
        <f t="shared" ca="1" si="114"/>
        <v>#N/A</v>
      </c>
      <c r="AB138">
        <f t="shared" ca="1" si="111"/>
        <v>0</v>
      </c>
      <c r="AC138">
        <f t="shared" ca="1" si="111"/>
        <v>0</v>
      </c>
      <c r="AD138">
        <f t="shared" ca="1" si="111"/>
        <v>0</v>
      </c>
      <c r="AF138" t="e">
        <f t="shared" si="79"/>
        <v>#REF!</v>
      </c>
      <c r="AG138" t="e">
        <f t="shared" ca="1" si="115"/>
        <v>#N/A</v>
      </c>
      <c r="AH138" t="e">
        <f t="shared" ca="1" si="115"/>
        <v>#N/A</v>
      </c>
      <c r="AI138" t="e">
        <f t="shared" ca="1" si="115"/>
        <v>#N/A</v>
      </c>
      <c r="AJ138" t="e">
        <f t="shared" ca="1" si="115"/>
        <v>#N/A</v>
      </c>
      <c r="AK138" t="e">
        <f t="shared" ca="1" si="115"/>
        <v>#N/A</v>
      </c>
      <c r="AL138" t="e">
        <f t="shared" ca="1" si="115"/>
        <v>#N/A</v>
      </c>
      <c r="AM138" t="e">
        <f t="shared" ca="1" si="115"/>
        <v>#N/A</v>
      </c>
      <c r="AN138">
        <f t="shared" ca="1" si="81"/>
        <v>0</v>
      </c>
      <c r="AO138">
        <f t="shared" ca="1" si="82"/>
        <v>0</v>
      </c>
      <c r="AP138">
        <f t="shared" ca="1" si="83"/>
        <v>0</v>
      </c>
      <c r="AQ138">
        <f t="shared" ca="1" si="84"/>
        <v>0</v>
      </c>
      <c r="AR138">
        <f t="shared" ca="1" si="85"/>
        <v>0</v>
      </c>
      <c r="AS138">
        <f t="shared" ca="1" si="86"/>
        <v>0</v>
      </c>
      <c r="AT138">
        <f t="shared" ca="1" si="87"/>
        <v>0</v>
      </c>
      <c r="AV138" t="e">
        <f t="shared" si="6"/>
        <v>#REF!</v>
      </c>
      <c r="AW138" t="e" cm="1">
        <f t="array" ref="AW138">INDEX(auto_DataFlat_Score,$AV138,1)</f>
        <v>#REF!</v>
      </c>
      <c r="AX138" t="e" cm="1">
        <f t="array" ref="AX138">INDEX(auto_DataFlat_DataValue,$AV138,1)</f>
        <v>#REF!</v>
      </c>
      <c r="BA138" t="str">
        <f t="shared" si="88"/>
        <v>n/a</v>
      </c>
      <c r="BB138">
        <f t="shared" si="89"/>
        <v>1</v>
      </c>
      <c r="BC138" t="e">
        <f t="shared" si="90"/>
        <v>#REF!</v>
      </c>
      <c r="BD138" t="e">
        <f t="shared" ca="1" si="113"/>
        <v>#N/A</v>
      </c>
      <c r="BE138" t="e">
        <f t="shared" ca="1" si="113"/>
        <v>#N/A</v>
      </c>
      <c r="BF138" t="e">
        <f t="shared" ca="1" si="113"/>
        <v>#N/A</v>
      </c>
      <c r="BH138">
        <f t="shared" ca="1" si="112"/>
        <v>0</v>
      </c>
      <c r="BI138">
        <f t="shared" ca="1" si="112"/>
        <v>0</v>
      </c>
      <c r="BJ138">
        <f t="shared" ca="1" si="112"/>
        <v>0</v>
      </c>
      <c r="BM138" t="e">
        <f t="shared" si="91"/>
        <v>#REF!</v>
      </c>
      <c r="BN138" t="e">
        <f t="shared" ca="1" si="92"/>
        <v>#N/A</v>
      </c>
      <c r="BO138" t="e">
        <f t="shared" ca="1" si="93"/>
        <v>#N/A</v>
      </c>
      <c r="BP138" t="e">
        <f t="shared" ca="1" si="94"/>
        <v>#N/A</v>
      </c>
      <c r="BQ138" t="e">
        <f t="shared" ca="1" si="95"/>
        <v>#N/A</v>
      </c>
      <c r="BR138" t="e">
        <f t="shared" ca="1" si="96"/>
        <v>#N/A</v>
      </c>
      <c r="BS138" t="e">
        <f t="shared" ca="1" si="97"/>
        <v>#N/A</v>
      </c>
      <c r="BT138" t="e">
        <f t="shared" ca="1" si="98"/>
        <v>#N/A</v>
      </c>
      <c r="BU138">
        <f t="shared" ca="1" si="99"/>
        <v>0</v>
      </c>
      <c r="BV138">
        <f t="shared" ca="1" si="100"/>
        <v>0</v>
      </c>
      <c r="BW138">
        <f t="shared" ca="1" si="101"/>
        <v>0</v>
      </c>
      <c r="BX138">
        <f t="shared" ca="1" si="102"/>
        <v>0</v>
      </c>
      <c r="BY138">
        <f t="shared" ca="1" si="103"/>
        <v>0</v>
      </c>
      <c r="BZ138">
        <f t="shared" ca="1" si="73"/>
        <v>0</v>
      </c>
      <c r="CA138">
        <f t="shared" ca="1" si="74"/>
        <v>0</v>
      </c>
    </row>
    <row r="139" spans="1:79" x14ac:dyDescent="0.4">
      <c r="A139" t="str">
        <f t="shared" si="107"/>
        <v>X</v>
      </c>
      <c r="B139">
        <v>128</v>
      </c>
      <c r="C139" t="e" cm="1">
        <f t="array" ref="C139">INDEX(auto_Series_Code,B139)</f>
        <v>#REF!</v>
      </c>
      <c r="D139" t="e" cm="1">
        <f t="array" ref="D139">INDEX(auto_tblSeries,$B139,D$11)</f>
        <v>#REF!</v>
      </c>
      <c r="E139" t="e" cm="1">
        <f t="array" ref="E139">INDEX(auto_tblSeries,$B139,E$11)</f>
        <v>#REF!</v>
      </c>
      <c r="F139" t="e" cm="1">
        <f t="array" ref="F139">INDEX(auto_tblSeries,$B139,F$11)</f>
        <v>#REF!</v>
      </c>
      <c r="G139" t="e" cm="1">
        <f t="array" ref="G139">INDEX(auto_tblSeries,$B139,G$11)</f>
        <v>#REF!</v>
      </c>
      <c r="H139" t="e" cm="1">
        <f t="array" ref="H139">INDEX(auto_tblSeries,$B139,H$11)</f>
        <v>#REF!</v>
      </c>
      <c r="I139" t="e">
        <f t="shared" si="70"/>
        <v>#REF!</v>
      </c>
      <c r="K139" t="e" cm="1">
        <f t="array" ref="K139">INDEX(auto_DataFlat_Score,$I139,K$10)</f>
        <v>#REF!</v>
      </c>
      <c r="L139" t="e" cm="1">
        <f t="array" ref="L139">INDEX(auto_DataFlat_Rank,$I139,L$10)</f>
        <v>#REF!</v>
      </c>
      <c r="M139" t="e" cm="1">
        <f t="array" ref="M139">INDEX(auto_DataFlat_DataValue,$I139,M$10)</f>
        <v>#REF!</v>
      </c>
      <c r="N139" t="e" cm="1">
        <f t="array" ref="N139">INDEX(auto_DataFlat_Classification,$I139,M$10)</f>
        <v>#REF!</v>
      </c>
      <c r="O139" t="e" cm="1">
        <f t="array" ref="O139">INDEX(auto_DataFlat_IsEstimate,$I139,O$10)</f>
        <v>#REF!</v>
      </c>
      <c r="P139" t="e" cm="1">
        <f t="array" ref="P139">IF(INDEX(auto_DataFlat_DataYear,$I139,P$10)=0,"n/a",INDEX(auto_DataFlat_DataYear,$I139,P$10))</f>
        <v>#REF!</v>
      </c>
      <c r="R139" t="e">
        <f t="shared" si="71"/>
        <v>#REF!</v>
      </c>
      <c r="S139" t="e" cm="1">
        <f t="array" ref="S139">INDEX(auto_DataFlat_Score,$R139,S$10)</f>
        <v>#REF!</v>
      </c>
      <c r="U139" t="str">
        <f t="shared" si="75"/>
        <v>n/a</v>
      </c>
      <c r="V139">
        <f t="shared" si="76"/>
        <v>1</v>
      </c>
      <c r="W139" t="e">
        <f t="shared" si="77"/>
        <v>#REF!</v>
      </c>
      <c r="X139" t="e">
        <f t="shared" ca="1" si="114"/>
        <v>#N/A</v>
      </c>
      <c r="Y139" t="e">
        <f t="shared" ca="1" si="114"/>
        <v>#N/A</v>
      </c>
      <c r="Z139" t="e">
        <f t="shared" ca="1" si="114"/>
        <v>#N/A</v>
      </c>
      <c r="AB139">
        <f t="shared" ca="1" si="111"/>
        <v>0</v>
      </c>
      <c r="AC139">
        <f t="shared" ca="1" si="111"/>
        <v>0</v>
      </c>
      <c r="AD139">
        <f t="shared" ca="1" si="111"/>
        <v>0</v>
      </c>
      <c r="AF139" t="e">
        <f t="shared" si="79"/>
        <v>#REF!</v>
      </c>
      <c r="AG139" t="e">
        <f t="shared" ca="1" si="115"/>
        <v>#N/A</v>
      </c>
      <c r="AH139" t="e">
        <f t="shared" ca="1" si="115"/>
        <v>#N/A</v>
      </c>
      <c r="AI139" t="e">
        <f t="shared" ca="1" si="115"/>
        <v>#N/A</v>
      </c>
      <c r="AJ139" t="e">
        <f t="shared" ca="1" si="115"/>
        <v>#N/A</v>
      </c>
      <c r="AK139" t="e">
        <f t="shared" ca="1" si="115"/>
        <v>#N/A</v>
      </c>
      <c r="AL139" t="e">
        <f t="shared" ca="1" si="115"/>
        <v>#N/A</v>
      </c>
      <c r="AM139" t="e">
        <f t="shared" ca="1" si="115"/>
        <v>#N/A</v>
      </c>
      <c r="AN139">
        <f t="shared" ca="1" si="81"/>
        <v>0</v>
      </c>
      <c r="AO139">
        <f t="shared" ca="1" si="82"/>
        <v>0</v>
      </c>
      <c r="AP139">
        <f t="shared" ca="1" si="83"/>
        <v>0</v>
      </c>
      <c r="AQ139">
        <f t="shared" ca="1" si="84"/>
        <v>0</v>
      </c>
      <c r="AR139">
        <f t="shared" ca="1" si="85"/>
        <v>0</v>
      </c>
      <c r="AS139">
        <f t="shared" ca="1" si="86"/>
        <v>0</v>
      </c>
      <c r="AT139">
        <f t="shared" ca="1" si="87"/>
        <v>0</v>
      </c>
      <c r="AV139" t="e">
        <f t="shared" si="6"/>
        <v>#REF!</v>
      </c>
      <c r="AW139" t="e" cm="1">
        <f t="array" ref="AW139">INDEX(auto_DataFlat_Score,$AV139,1)</f>
        <v>#REF!</v>
      </c>
      <c r="AX139" t="e" cm="1">
        <f t="array" ref="AX139">INDEX(auto_DataFlat_DataValue,$AV139,1)</f>
        <v>#REF!</v>
      </c>
      <c r="BA139" t="str">
        <f t="shared" si="88"/>
        <v>n/a</v>
      </c>
      <c r="BB139">
        <f t="shared" si="89"/>
        <v>1</v>
      </c>
      <c r="BC139" t="e">
        <f t="shared" si="90"/>
        <v>#REF!</v>
      </c>
      <c r="BD139" t="e">
        <f t="shared" ca="1" si="113"/>
        <v>#N/A</v>
      </c>
      <c r="BE139" t="e">
        <f t="shared" ca="1" si="113"/>
        <v>#N/A</v>
      </c>
      <c r="BF139" t="e">
        <f t="shared" ca="1" si="113"/>
        <v>#N/A</v>
      </c>
      <c r="BH139">
        <f t="shared" ca="1" si="112"/>
        <v>0</v>
      </c>
      <c r="BI139">
        <f t="shared" ca="1" si="112"/>
        <v>0</v>
      </c>
      <c r="BJ139">
        <f t="shared" ca="1" si="112"/>
        <v>0</v>
      </c>
      <c r="BM139" t="e">
        <f t="shared" si="91"/>
        <v>#REF!</v>
      </c>
      <c r="BN139" t="e">
        <f t="shared" ca="1" si="92"/>
        <v>#N/A</v>
      </c>
      <c r="BO139" t="e">
        <f t="shared" ca="1" si="93"/>
        <v>#N/A</v>
      </c>
      <c r="BP139" t="e">
        <f t="shared" ca="1" si="94"/>
        <v>#N/A</v>
      </c>
      <c r="BQ139" t="e">
        <f t="shared" ca="1" si="95"/>
        <v>#N/A</v>
      </c>
      <c r="BR139" t="e">
        <f t="shared" ca="1" si="96"/>
        <v>#N/A</v>
      </c>
      <c r="BS139" t="e">
        <f t="shared" ca="1" si="97"/>
        <v>#N/A</v>
      </c>
      <c r="BT139" t="e">
        <f t="shared" ca="1" si="98"/>
        <v>#N/A</v>
      </c>
      <c r="BU139">
        <f t="shared" ca="1" si="99"/>
        <v>0</v>
      </c>
      <c r="BV139">
        <f t="shared" ca="1" si="100"/>
        <v>0</v>
      </c>
      <c r="BW139">
        <f t="shared" ca="1" si="101"/>
        <v>0</v>
      </c>
      <c r="BX139">
        <f t="shared" ca="1" si="102"/>
        <v>0</v>
      </c>
      <c r="BY139">
        <f t="shared" ca="1" si="103"/>
        <v>0</v>
      </c>
      <c r="BZ139">
        <f t="shared" ca="1" si="73"/>
        <v>0</v>
      </c>
      <c r="CA139">
        <f t="shared" ca="1" si="74"/>
        <v>0</v>
      </c>
    </row>
    <row r="140" spans="1:79" x14ac:dyDescent="0.4">
      <c r="A140" t="str">
        <f t="shared" si="107"/>
        <v>X</v>
      </c>
      <c r="B140">
        <v>129</v>
      </c>
      <c r="C140" t="e" cm="1">
        <f t="array" ref="C140">INDEX(auto_Series_Code,B140)</f>
        <v>#REF!</v>
      </c>
      <c r="D140" t="e" cm="1">
        <f t="array" ref="D140">INDEX(auto_tblSeries,$B140,D$11)</f>
        <v>#REF!</v>
      </c>
      <c r="E140" t="e" cm="1">
        <f t="array" ref="E140">INDEX(auto_tblSeries,$B140,E$11)</f>
        <v>#REF!</v>
      </c>
      <c r="F140" t="e" cm="1">
        <f t="array" ref="F140">INDEX(auto_tblSeries,$B140,F$11)</f>
        <v>#REF!</v>
      </c>
      <c r="G140" t="e" cm="1">
        <f t="array" ref="G140">INDEX(auto_tblSeries,$B140,G$11)</f>
        <v>#REF!</v>
      </c>
      <c r="H140" t="e" cm="1">
        <f t="array" ref="H140">INDEX(auto_tblSeries,$B140,H$11)</f>
        <v>#REF!</v>
      </c>
      <c r="I140" t="e">
        <f t="shared" si="70"/>
        <v>#REF!</v>
      </c>
      <c r="K140" t="e" cm="1">
        <f t="array" ref="K140">INDEX(auto_DataFlat_Score,$I140,K$10)</f>
        <v>#REF!</v>
      </c>
      <c r="L140" t="e" cm="1">
        <f t="array" ref="L140">INDEX(auto_DataFlat_Rank,$I140,L$10)</f>
        <v>#REF!</v>
      </c>
      <c r="M140" t="e" cm="1">
        <f t="array" ref="M140">INDEX(auto_DataFlat_DataValue,$I140,M$10)</f>
        <v>#REF!</v>
      </c>
      <c r="N140" t="e" cm="1">
        <f t="array" ref="N140">INDEX(auto_DataFlat_Classification,$I140,M$10)</f>
        <v>#REF!</v>
      </c>
      <c r="O140" t="e" cm="1">
        <f t="array" ref="O140">INDEX(auto_DataFlat_IsEstimate,$I140,O$10)</f>
        <v>#REF!</v>
      </c>
      <c r="P140" t="e" cm="1">
        <f t="array" ref="P140">IF(INDEX(auto_DataFlat_DataYear,$I140,P$10)=0,"n/a",INDEX(auto_DataFlat_DataYear,$I140,P$10))</f>
        <v>#REF!</v>
      </c>
      <c r="R140" t="e">
        <f t="shared" ref="R140:R203" si="116">MATCH(CONCATENATE(R$11,"_",$C140),auto_DataFlat_UID,0)</f>
        <v>#REF!</v>
      </c>
      <c r="S140" t="e" cm="1">
        <f t="array" ref="S140">INDEX(auto_DataFlat_Score,$R140,S$10)</f>
        <v>#REF!</v>
      </c>
      <c r="U140" t="str">
        <f t="shared" si="75"/>
        <v>n/a</v>
      </c>
      <c r="V140">
        <f t="shared" si="76"/>
        <v>1</v>
      </c>
      <c r="W140" t="e">
        <f t="shared" si="77"/>
        <v>#REF!</v>
      </c>
      <c r="X140" t="e">
        <f t="shared" ca="1" si="114"/>
        <v>#N/A</v>
      </c>
      <c r="Y140" t="e">
        <f t="shared" ca="1" si="114"/>
        <v>#N/A</v>
      </c>
      <c r="Z140" t="e">
        <f t="shared" ca="1" si="114"/>
        <v>#N/A</v>
      </c>
      <c r="AB140">
        <f t="shared" ca="1" si="111"/>
        <v>0</v>
      </c>
      <c r="AC140">
        <f t="shared" ca="1" si="111"/>
        <v>0</v>
      </c>
      <c r="AD140">
        <f t="shared" ca="1" si="111"/>
        <v>0</v>
      </c>
      <c r="AF140" t="e">
        <f t="shared" si="79"/>
        <v>#REF!</v>
      </c>
      <c r="AG140" t="e">
        <f t="shared" ca="1" si="115"/>
        <v>#N/A</v>
      </c>
      <c r="AH140" t="e">
        <f t="shared" ca="1" si="115"/>
        <v>#N/A</v>
      </c>
      <c r="AI140" t="e">
        <f t="shared" ca="1" si="115"/>
        <v>#N/A</v>
      </c>
      <c r="AJ140" t="e">
        <f t="shared" ca="1" si="115"/>
        <v>#N/A</v>
      </c>
      <c r="AK140" t="e">
        <f t="shared" ca="1" si="115"/>
        <v>#N/A</v>
      </c>
      <c r="AL140" t="e">
        <f t="shared" ca="1" si="115"/>
        <v>#N/A</v>
      </c>
      <c r="AM140" t="e">
        <f t="shared" ca="1" si="115"/>
        <v>#N/A</v>
      </c>
      <c r="AN140">
        <f t="shared" ca="1" si="81"/>
        <v>0</v>
      </c>
      <c r="AO140">
        <f t="shared" ca="1" si="82"/>
        <v>0</v>
      </c>
      <c r="AP140">
        <f t="shared" ca="1" si="83"/>
        <v>0</v>
      </c>
      <c r="AQ140">
        <f t="shared" ca="1" si="84"/>
        <v>0</v>
      </c>
      <c r="AR140">
        <f t="shared" ca="1" si="85"/>
        <v>0</v>
      </c>
      <c r="AS140">
        <f t="shared" ca="1" si="86"/>
        <v>0</v>
      </c>
      <c r="AT140">
        <f t="shared" ca="1" si="87"/>
        <v>0</v>
      </c>
      <c r="AV140" t="e">
        <f t="shared" si="6"/>
        <v>#REF!</v>
      </c>
      <c r="AW140" t="e" cm="1">
        <f t="array" ref="AW140">INDEX(auto_DataFlat_Score,$AV140,1)</f>
        <v>#REF!</v>
      </c>
      <c r="AX140" t="e" cm="1">
        <f t="array" ref="AX140">INDEX(auto_DataFlat_DataValue,$AV140,1)</f>
        <v>#REF!</v>
      </c>
      <c r="BA140" t="str">
        <f t="shared" si="88"/>
        <v>n/a</v>
      </c>
      <c r="BB140">
        <f t="shared" si="89"/>
        <v>1</v>
      </c>
      <c r="BC140" t="e">
        <f t="shared" si="90"/>
        <v>#REF!</v>
      </c>
      <c r="BD140" t="e">
        <f t="shared" ref="BD140:BF155" ca="1" si="117">BD139+MATCH(BD$10,OFFSET($BC$12,BD139,0,200,1),0)</f>
        <v>#N/A</v>
      </c>
      <c r="BE140" t="e">
        <f t="shared" ca="1" si="117"/>
        <v>#N/A</v>
      </c>
      <c r="BF140" t="e">
        <f t="shared" ca="1" si="117"/>
        <v>#N/A</v>
      </c>
      <c r="BH140">
        <f t="shared" ca="1" si="112"/>
        <v>0</v>
      </c>
      <c r="BI140">
        <f t="shared" ca="1" si="112"/>
        <v>0</v>
      </c>
      <c r="BJ140">
        <f t="shared" ca="1" si="112"/>
        <v>0</v>
      </c>
      <c r="BM140" t="e">
        <f t="shared" si="91"/>
        <v>#REF!</v>
      </c>
      <c r="BN140" t="e">
        <f t="shared" ca="1" si="92"/>
        <v>#N/A</v>
      </c>
      <c r="BO140" t="e">
        <f t="shared" ca="1" si="93"/>
        <v>#N/A</v>
      </c>
      <c r="BP140" t="e">
        <f t="shared" ca="1" si="94"/>
        <v>#N/A</v>
      </c>
      <c r="BQ140" t="e">
        <f t="shared" ca="1" si="95"/>
        <v>#N/A</v>
      </c>
      <c r="BR140" t="e">
        <f t="shared" ca="1" si="96"/>
        <v>#N/A</v>
      </c>
      <c r="BS140" t="e">
        <f t="shared" ca="1" si="97"/>
        <v>#N/A</v>
      </c>
      <c r="BT140" t="e">
        <f t="shared" ca="1" si="98"/>
        <v>#N/A</v>
      </c>
      <c r="BU140">
        <f t="shared" ca="1" si="99"/>
        <v>0</v>
      </c>
      <c r="BV140">
        <f t="shared" ca="1" si="100"/>
        <v>0</v>
      </c>
      <c r="BW140">
        <f t="shared" ca="1" si="101"/>
        <v>0</v>
      </c>
      <c r="BX140">
        <f t="shared" ca="1" si="102"/>
        <v>0</v>
      </c>
      <c r="BY140">
        <f t="shared" ca="1" si="103"/>
        <v>0</v>
      </c>
      <c r="BZ140">
        <f t="shared" ref="BZ140:BZ203" ca="1" si="118">IFERROR(BS140,0)</f>
        <v>0</v>
      </c>
      <c r="CA140">
        <f t="shared" ref="CA140:CA203" ca="1" si="119">IFERROR(BT140,0)</f>
        <v>0</v>
      </c>
    </row>
    <row r="141" spans="1:79" x14ac:dyDescent="0.4">
      <c r="A141" t="str">
        <f t="shared" si="107"/>
        <v>X</v>
      </c>
      <c r="B141">
        <v>130</v>
      </c>
      <c r="C141" t="e" cm="1">
        <f t="array" ref="C141">INDEX(auto_Series_Code,B141)</f>
        <v>#REF!</v>
      </c>
      <c r="D141" t="e" cm="1">
        <f t="array" ref="D141">INDEX(auto_tblSeries,$B141,D$11)</f>
        <v>#REF!</v>
      </c>
      <c r="E141" t="e" cm="1">
        <f t="array" ref="E141">INDEX(auto_tblSeries,$B141,E$11)</f>
        <v>#REF!</v>
      </c>
      <c r="F141" t="e" cm="1">
        <f t="array" ref="F141">INDEX(auto_tblSeries,$B141,F$11)</f>
        <v>#REF!</v>
      </c>
      <c r="G141" t="e" cm="1">
        <f t="array" ref="G141">INDEX(auto_tblSeries,$B141,G$11)</f>
        <v>#REF!</v>
      </c>
      <c r="H141" t="e" cm="1">
        <f t="array" ref="H141">INDEX(auto_tblSeries,$B141,H$11)</f>
        <v>#REF!</v>
      </c>
      <c r="I141" t="e">
        <f t="shared" si="70"/>
        <v>#REF!</v>
      </c>
      <c r="K141" t="e" cm="1">
        <f t="array" ref="K141">INDEX(auto_DataFlat_Score,$I141,K$10)</f>
        <v>#REF!</v>
      </c>
      <c r="L141" t="e" cm="1">
        <f t="array" ref="L141">INDEX(auto_DataFlat_Rank,$I141,L$10)</f>
        <v>#REF!</v>
      </c>
      <c r="M141" t="e" cm="1">
        <f t="array" ref="M141">INDEX(auto_DataFlat_DataValue,$I141,M$10)</f>
        <v>#REF!</v>
      </c>
      <c r="N141" t="e" cm="1">
        <f t="array" ref="N141">INDEX(auto_DataFlat_Classification,$I141,M$10)</f>
        <v>#REF!</v>
      </c>
      <c r="O141" t="e" cm="1">
        <f t="array" ref="O141">INDEX(auto_DataFlat_IsEstimate,$I141,O$10)</f>
        <v>#REF!</v>
      </c>
      <c r="P141" t="e" cm="1">
        <f t="array" ref="P141">IF(INDEX(auto_DataFlat_DataYear,$I141,P$10)=0,"n/a",INDEX(auto_DataFlat_DataYear,$I141,P$10))</f>
        <v>#REF!</v>
      </c>
      <c r="R141" t="e">
        <f t="shared" si="116"/>
        <v>#REF!</v>
      </c>
      <c r="S141" t="e" cm="1">
        <f t="array" ref="S141">INDEX(auto_DataFlat_Score,$R141,S$10)</f>
        <v>#REF!</v>
      </c>
      <c r="U141" t="str">
        <f t="shared" ref="U141:U204" si="120">IFERROR(K141-S141,"n/a")</f>
        <v>n/a</v>
      </c>
      <c r="V141">
        <f t="shared" ref="V141:V204" si="121">IFERROR(IF(U141&gt;0,1,IF(U141=0,2,IF(U141&lt;0,3,"???"))),"n/a")</f>
        <v>1</v>
      </c>
      <c r="W141" t="e">
        <f t="shared" ref="W141:W204" si="122">IF(OR($D141&lt;&gt;$W$7,$E141=1),-1,V141)</f>
        <v>#REF!</v>
      </c>
      <c r="X141" t="e">
        <f t="shared" ref="X141:Z156" ca="1" si="123">X140+MATCH(X$10,OFFSET($W$12,X140,0,300,1),0)</f>
        <v>#N/A</v>
      </c>
      <c r="Y141" t="e">
        <f t="shared" ca="1" si="123"/>
        <v>#N/A</v>
      </c>
      <c r="Z141" t="e">
        <f t="shared" ca="1" si="123"/>
        <v>#N/A</v>
      </c>
      <c r="AB141">
        <f t="shared" ca="1" si="111"/>
        <v>0</v>
      </c>
      <c r="AC141">
        <f t="shared" ca="1" si="111"/>
        <v>0</v>
      </c>
      <c r="AD141">
        <f t="shared" ca="1" si="111"/>
        <v>0</v>
      </c>
      <c r="AF141" t="e">
        <f t="shared" ref="AF141:AF204" si="124">IF(OR($D141&lt;&gt;$AG$7,$E141=1),-1,N141)</f>
        <v>#REF!</v>
      </c>
      <c r="AG141" t="e">
        <f t="shared" ref="AG141:AM156" ca="1" si="125">IFERROR(AG140+MATCH(AG$10,OFFSET($AF$12,AG140,0,300-AG140,1),0),NA())</f>
        <v>#N/A</v>
      </c>
      <c r="AH141" t="e">
        <f t="shared" ca="1" si="125"/>
        <v>#N/A</v>
      </c>
      <c r="AI141" t="e">
        <f t="shared" ca="1" si="125"/>
        <v>#N/A</v>
      </c>
      <c r="AJ141" t="e">
        <f t="shared" ca="1" si="125"/>
        <v>#N/A</v>
      </c>
      <c r="AK141" t="e">
        <f t="shared" ca="1" si="125"/>
        <v>#N/A</v>
      </c>
      <c r="AL141" t="e">
        <f t="shared" ca="1" si="125"/>
        <v>#N/A</v>
      </c>
      <c r="AM141" t="e">
        <f t="shared" ca="1" si="125"/>
        <v>#N/A</v>
      </c>
      <c r="AN141">
        <f t="shared" ref="AN141:AN204" ca="1" si="126">IFERROR(AG141,0)</f>
        <v>0</v>
      </c>
      <c r="AO141">
        <f t="shared" ref="AO141:AO204" ca="1" si="127">IFERROR(AH141,0)</f>
        <v>0</v>
      </c>
      <c r="AP141">
        <f t="shared" ref="AP141:AP204" ca="1" si="128">IFERROR(AI141,0)</f>
        <v>0</v>
      </c>
      <c r="AQ141">
        <f t="shared" ref="AQ141:AQ204" ca="1" si="129">IFERROR(AJ141,0)</f>
        <v>0</v>
      </c>
      <c r="AR141">
        <f t="shared" ref="AR141:AR204" ca="1" si="130">IFERROR(AK141,0)</f>
        <v>0</v>
      </c>
      <c r="AS141">
        <f t="shared" ref="AS141:AS204" ca="1" si="131">IFERROR(AL141,0)</f>
        <v>0</v>
      </c>
      <c r="AT141">
        <f t="shared" ref="AT141:AT204" ca="1" si="132">IFERROR(AM141,0)</f>
        <v>0</v>
      </c>
      <c r="AV141" t="e">
        <f t="shared" si="6"/>
        <v>#REF!</v>
      </c>
      <c r="AW141" t="e" cm="1">
        <f t="array" ref="AW141">INDEX(auto_DataFlat_Score,$AV141,1)</f>
        <v>#REF!</v>
      </c>
      <c r="AX141" t="e" cm="1">
        <f t="array" ref="AX141">INDEX(auto_DataFlat_DataValue,$AV141,1)</f>
        <v>#REF!</v>
      </c>
      <c r="BA141" t="str">
        <f t="shared" ref="BA141:BA204" si="133">IFERROR(K141-AW141,"n/a")</f>
        <v>n/a</v>
      </c>
      <c r="BB141">
        <f t="shared" ref="BB141:BB204" si="134">IFERROR(IF(BA141&gt;0,1,IF(BA141=0,2,IF(BA141&lt;0,3,"???"))),"n/a")</f>
        <v>1</v>
      </c>
      <c r="BC141" t="e">
        <f t="shared" ref="BC141:BC204" si="135">IF(OR($D141&lt;&gt;3,$E141=1),-1,BB141)</f>
        <v>#REF!</v>
      </c>
      <c r="BD141" t="e">
        <f t="shared" ca="1" si="117"/>
        <v>#N/A</v>
      </c>
      <c r="BE141" t="e">
        <f t="shared" ca="1" si="117"/>
        <v>#N/A</v>
      </c>
      <c r="BF141" t="e">
        <f t="shared" ca="1" si="117"/>
        <v>#N/A</v>
      </c>
      <c r="BH141">
        <f t="shared" ca="1" si="112"/>
        <v>0</v>
      </c>
      <c r="BI141">
        <f t="shared" ca="1" si="112"/>
        <v>0</v>
      </c>
      <c r="BJ141">
        <f t="shared" ca="1" si="112"/>
        <v>0</v>
      </c>
      <c r="BM141" t="e">
        <f t="shared" ref="BM141:BM204" si="136">IF(OR($D141&lt;&gt;$BN$7,$E141=1),-1,N141)</f>
        <v>#REF!</v>
      </c>
      <c r="BN141" t="e">
        <f t="shared" ref="BN141:BN204" ca="1" si="137">IFERROR(BN140+MATCH(BN$10,OFFSET($BM$12,BN140,0,300-BN140,1),0),NA())</f>
        <v>#N/A</v>
      </c>
      <c r="BO141" t="e">
        <f t="shared" ref="BO141:BO204" ca="1" si="138">IFERROR(BO140+MATCH(BO$10,OFFSET($BM$12,BO140,0,300-BO140,1),0),NA())</f>
        <v>#N/A</v>
      </c>
      <c r="BP141" t="e">
        <f t="shared" ref="BP141:BP204" ca="1" si="139">IFERROR(BP140+MATCH(BP$10,OFFSET($BM$12,BP140,0,300-BP140,1),0),NA())</f>
        <v>#N/A</v>
      </c>
      <c r="BQ141" t="e">
        <f t="shared" ref="BQ141:BQ204" ca="1" si="140">IFERROR(BQ140+MATCH(BQ$10,OFFSET($BM$12,BQ140,0,300-BQ140,1),0),NA())</f>
        <v>#N/A</v>
      </c>
      <c r="BR141" t="e">
        <f t="shared" ref="BR141:BR204" ca="1" si="141">IFERROR(BR140+MATCH(BR$10,OFFSET($BM$12,BR140,0,300-BR140,1),0),NA())</f>
        <v>#N/A</v>
      </c>
      <c r="BS141" t="e">
        <f t="shared" ref="BS141:BS204" ca="1" si="142">IFERROR(BS140+MATCH(BS$10,OFFSET($BM$12,BS140,0,300-BS140,1),0),NA())</f>
        <v>#N/A</v>
      </c>
      <c r="BT141" t="e">
        <f t="shared" ref="BT141:BT204" ca="1" si="143">IFERROR(BT140+MATCH(BT$10,OFFSET($BM$12,BT140,0,300-BT140,1),0),NA())</f>
        <v>#N/A</v>
      </c>
      <c r="BU141">
        <f t="shared" ref="BU141:BU204" ca="1" si="144">IFERROR(BN141,0)</f>
        <v>0</v>
      </c>
      <c r="BV141">
        <f t="shared" ref="BV141:BV204" ca="1" si="145">IFERROR(BO141,0)</f>
        <v>0</v>
      </c>
      <c r="BW141">
        <f t="shared" ref="BW141:BW204" ca="1" si="146">IFERROR(BP141,0)</f>
        <v>0</v>
      </c>
      <c r="BX141">
        <f t="shared" ref="BX141:BX204" ca="1" si="147">IFERROR(BQ141,0)</f>
        <v>0</v>
      </c>
      <c r="BY141">
        <f t="shared" ref="BY141:BY204" ca="1" si="148">IFERROR(BR141,0)</f>
        <v>0</v>
      </c>
      <c r="BZ141">
        <f t="shared" ca="1" si="118"/>
        <v>0</v>
      </c>
      <c r="CA141">
        <f t="shared" ca="1" si="119"/>
        <v>0</v>
      </c>
    </row>
    <row r="142" spans="1:79" x14ac:dyDescent="0.4">
      <c r="A142" t="str">
        <f t="shared" si="107"/>
        <v>X</v>
      </c>
      <c r="B142">
        <v>131</v>
      </c>
      <c r="C142" t="e" cm="1">
        <f t="array" ref="C142">INDEX(auto_Series_Code,B142)</f>
        <v>#REF!</v>
      </c>
      <c r="D142" t="e" cm="1">
        <f t="array" ref="D142">INDEX(auto_tblSeries,$B142,D$11)</f>
        <v>#REF!</v>
      </c>
      <c r="E142" t="e" cm="1">
        <f t="array" ref="E142">INDEX(auto_tblSeries,$B142,E$11)</f>
        <v>#REF!</v>
      </c>
      <c r="F142" t="e" cm="1">
        <f t="array" ref="F142">INDEX(auto_tblSeries,$B142,F$11)</f>
        <v>#REF!</v>
      </c>
      <c r="G142" t="e" cm="1">
        <f t="array" ref="G142">INDEX(auto_tblSeries,$B142,G$11)</f>
        <v>#REF!</v>
      </c>
      <c r="H142" t="e" cm="1">
        <f t="array" ref="H142">INDEX(auto_tblSeries,$B142,H$11)</f>
        <v>#REF!</v>
      </c>
      <c r="I142" t="e">
        <f t="shared" si="70"/>
        <v>#REF!</v>
      </c>
      <c r="K142" t="e" cm="1">
        <f t="array" ref="K142">INDEX(auto_DataFlat_Score,$I142,K$10)</f>
        <v>#REF!</v>
      </c>
      <c r="L142" t="e" cm="1">
        <f t="array" ref="L142">INDEX(auto_DataFlat_Rank,$I142,L$10)</f>
        <v>#REF!</v>
      </c>
      <c r="M142" t="e" cm="1">
        <f t="array" ref="M142">INDEX(auto_DataFlat_DataValue,$I142,M$10)</f>
        <v>#REF!</v>
      </c>
      <c r="N142" t="e" cm="1">
        <f t="array" ref="N142">INDEX(auto_DataFlat_Classification,$I142,M$10)</f>
        <v>#REF!</v>
      </c>
      <c r="O142" t="e" cm="1">
        <f t="array" ref="O142">INDEX(auto_DataFlat_IsEstimate,$I142,O$10)</f>
        <v>#REF!</v>
      </c>
      <c r="P142" t="e" cm="1">
        <f t="array" ref="P142">IF(INDEX(auto_DataFlat_DataYear,$I142,P$10)=0,"n/a",INDEX(auto_DataFlat_DataYear,$I142,P$10))</f>
        <v>#REF!</v>
      </c>
      <c r="R142" t="e">
        <f t="shared" si="116"/>
        <v>#REF!</v>
      </c>
      <c r="S142" t="e" cm="1">
        <f t="array" ref="S142">INDEX(auto_DataFlat_Score,$R142,S$10)</f>
        <v>#REF!</v>
      </c>
      <c r="U142" t="str">
        <f t="shared" si="120"/>
        <v>n/a</v>
      </c>
      <c r="V142">
        <f t="shared" si="121"/>
        <v>1</v>
      </c>
      <c r="W142" t="e">
        <f t="shared" si="122"/>
        <v>#REF!</v>
      </c>
      <c r="X142" t="e">
        <f t="shared" ca="1" si="123"/>
        <v>#N/A</v>
      </c>
      <c r="Y142" t="e">
        <f t="shared" ca="1" si="123"/>
        <v>#N/A</v>
      </c>
      <c r="Z142" t="e">
        <f t="shared" ca="1" si="123"/>
        <v>#N/A</v>
      </c>
      <c r="AB142">
        <f t="shared" ca="1" si="111"/>
        <v>0</v>
      </c>
      <c r="AC142">
        <f t="shared" ca="1" si="111"/>
        <v>0</v>
      </c>
      <c r="AD142">
        <f t="shared" ca="1" si="111"/>
        <v>0</v>
      </c>
      <c r="AF142" t="e">
        <f t="shared" si="124"/>
        <v>#REF!</v>
      </c>
      <c r="AG142" t="e">
        <f t="shared" ca="1" si="125"/>
        <v>#N/A</v>
      </c>
      <c r="AH142" t="e">
        <f t="shared" ca="1" si="125"/>
        <v>#N/A</v>
      </c>
      <c r="AI142" t="e">
        <f t="shared" ca="1" si="125"/>
        <v>#N/A</v>
      </c>
      <c r="AJ142" t="e">
        <f t="shared" ca="1" si="125"/>
        <v>#N/A</v>
      </c>
      <c r="AK142" t="e">
        <f t="shared" ca="1" si="125"/>
        <v>#N/A</v>
      </c>
      <c r="AL142" t="e">
        <f t="shared" ca="1" si="125"/>
        <v>#N/A</v>
      </c>
      <c r="AM142" t="e">
        <f t="shared" ca="1" si="125"/>
        <v>#N/A</v>
      </c>
      <c r="AN142">
        <f t="shared" ca="1" si="126"/>
        <v>0</v>
      </c>
      <c r="AO142">
        <f t="shared" ca="1" si="127"/>
        <v>0</v>
      </c>
      <c r="AP142">
        <f t="shared" ca="1" si="128"/>
        <v>0</v>
      </c>
      <c r="AQ142">
        <f t="shared" ca="1" si="129"/>
        <v>0</v>
      </c>
      <c r="AR142">
        <f t="shared" ca="1" si="130"/>
        <v>0</v>
      </c>
      <c r="AS142">
        <f t="shared" ca="1" si="131"/>
        <v>0</v>
      </c>
      <c r="AT142">
        <f t="shared" ca="1" si="132"/>
        <v>0</v>
      </c>
      <c r="AV142" t="e">
        <f t="shared" si="6"/>
        <v>#REF!</v>
      </c>
      <c r="AW142" t="e" cm="1">
        <f t="array" ref="AW142">INDEX(auto_DataFlat_Score,$AV142,1)</f>
        <v>#REF!</v>
      </c>
      <c r="AX142" t="e" cm="1">
        <f t="array" ref="AX142">INDEX(auto_DataFlat_DataValue,$AV142,1)</f>
        <v>#REF!</v>
      </c>
      <c r="BA142" t="str">
        <f t="shared" si="133"/>
        <v>n/a</v>
      </c>
      <c r="BB142">
        <f t="shared" si="134"/>
        <v>1</v>
      </c>
      <c r="BC142" t="e">
        <f t="shared" si="135"/>
        <v>#REF!</v>
      </c>
      <c r="BD142" t="e">
        <f t="shared" ca="1" si="117"/>
        <v>#N/A</v>
      </c>
      <c r="BE142" t="e">
        <f t="shared" ca="1" si="117"/>
        <v>#N/A</v>
      </c>
      <c r="BF142" t="e">
        <f t="shared" ca="1" si="117"/>
        <v>#N/A</v>
      </c>
      <c r="BH142">
        <f t="shared" ca="1" si="112"/>
        <v>0</v>
      </c>
      <c r="BI142">
        <f t="shared" ca="1" si="112"/>
        <v>0</v>
      </c>
      <c r="BJ142">
        <f t="shared" ca="1" si="112"/>
        <v>0</v>
      </c>
      <c r="BM142" t="e">
        <f t="shared" si="136"/>
        <v>#REF!</v>
      </c>
      <c r="BN142" t="e">
        <f t="shared" ca="1" si="137"/>
        <v>#N/A</v>
      </c>
      <c r="BO142" t="e">
        <f t="shared" ca="1" si="138"/>
        <v>#N/A</v>
      </c>
      <c r="BP142" t="e">
        <f t="shared" ca="1" si="139"/>
        <v>#N/A</v>
      </c>
      <c r="BQ142" t="e">
        <f t="shared" ca="1" si="140"/>
        <v>#N/A</v>
      </c>
      <c r="BR142" t="e">
        <f t="shared" ca="1" si="141"/>
        <v>#N/A</v>
      </c>
      <c r="BS142" t="e">
        <f t="shared" ca="1" si="142"/>
        <v>#N/A</v>
      </c>
      <c r="BT142" t="e">
        <f t="shared" ca="1" si="143"/>
        <v>#N/A</v>
      </c>
      <c r="BU142">
        <f t="shared" ca="1" si="144"/>
        <v>0</v>
      </c>
      <c r="BV142">
        <f t="shared" ca="1" si="145"/>
        <v>0</v>
      </c>
      <c r="BW142">
        <f t="shared" ca="1" si="146"/>
        <v>0</v>
      </c>
      <c r="BX142">
        <f t="shared" ca="1" si="147"/>
        <v>0</v>
      </c>
      <c r="BY142">
        <f t="shared" ca="1" si="148"/>
        <v>0</v>
      </c>
      <c r="BZ142">
        <f t="shared" ca="1" si="118"/>
        <v>0</v>
      </c>
      <c r="CA142">
        <f t="shared" ca="1" si="119"/>
        <v>0</v>
      </c>
    </row>
    <row r="143" spans="1:79" x14ac:dyDescent="0.4">
      <c r="A143" t="str">
        <f t="shared" si="107"/>
        <v>X</v>
      </c>
      <c r="B143">
        <v>132</v>
      </c>
      <c r="C143" t="e" cm="1">
        <f t="array" ref="C143">INDEX(auto_Series_Code,B143)</f>
        <v>#REF!</v>
      </c>
      <c r="D143" t="e" cm="1">
        <f t="array" ref="D143">INDEX(auto_tblSeries,$B143,D$11)</f>
        <v>#REF!</v>
      </c>
      <c r="E143" t="e" cm="1">
        <f t="array" ref="E143">INDEX(auto_tblSeries,$B143,E$11)</f>
        <v>#REF!</v>
      </c>
      <c r="F143" t="e" cm="1">
        <f t="array" ref="F143">INDEX(auto_tblSeries,$B143,F$11)</f>
        <v>#REF!</v>
      </c>
      <c r="G143" t="e" cm="1">
        <f t="array" ref="G143">INDEX(auto_tblSeries,$B143,G$11)</f>
        <v>#REF!</v>
      </c>
      <c r="H143" t="e" cm="1">
        <f t="array" ref="H143">INDEX(auto_tblSeries,$B143,H$11)</f>
        <v>#REF!</v>
      </c>
      <c r="I143" t="e">
        <f t="shared" si="70"/>
        <v>#REF!</v>
      </c>
      <c r="K143" t="e" cm="1">
        <f t="array" ref="K143">INDEX(auto_DataFlat_Score,$I143,K$10)</f>
        <v>#REF!</v>
      </c>
      <c r="L143" t="e" cm="1">
        <f t="array" ref="L143">INDEX(auto_DataFlat_Rank,$I143,L$10)</f>
        <v>#REF!</v>
      </c>
      <c r="M143" t="e" cm="1">
        <f t="array" ref="M143">INDEX(auto_DataFlat_DataValue,$I143,M$10)</f>
        <v>#REF!</v>
      </c>
      <c r="N143" t="e" cm="1">
        <f t="array" ref="N143">INDEX(auto_DataFlat_Classification,$I143,M$10)</f>
        <v>#REF!</v>
      </c>
      <c r="O143" t="e" cm="1">
        <f t="array" ref="O143">INDEX(auto_DataFlat_IsEstimate,$I143,O$10)</f>
        <v>#REF!</v>
      </c>
      <c r="P143" t="e" cm="1">
        <f t="array" ref="P143">IF(INDEX(auto_DataFlat_DataYear,$I143,P$10)=0,"n/a",INDEX(auto_DataFlat_DataYear,$I143,P$10))</f>
        <v>#REF!</v>
      </c>
      <c r="R143" t="e">
        <f t="shared" si="116"/>
        <v>#REF!</v>
      </c>
      <c r="S143" t="e" cm="1">
        <f t="array" ref="S143">INDEX(auto_DataFlat_Score,$R143,S$10)</f>
        <v>#REF!</v>
      </c>
      <c r="U143" t="str">
        <f t="shared" si="120"/>
        <v>n/a</v>
      </c>
      <c r="V143">
        <f t="shared" si="121"/>
        <v>1</v>
      </c>
      <c r="W143" t="e">
        <f t="shared" si="122"/>
        <v>#REF!</v>
      </c>
      <c r="X143" t="e">
        <f t="shared" ca="1" si="123"/>
        <v>#N/A</v>
      </c>
      <c r="Y143" t="e">
        <f t="shared" ca="1" si="123"/>
        <v>#N/A</v>
      </c>
      <c r="Z143" t="e">
        <f t="shared" ca="1" si="123"/>
        <v>#N/A</v>
      </c>
      <c r="AB143">
        <f t="shared" ca="1" si="111"/>
        <v>0</v>
      </c>
      <c r="AC143">
        <f t="shared" ca="1" si="111"/>
        <v>0</v>
      </c>
      <c r="AD143">
        <f t="shared" ca="1" si="111"/>
        <v>0</v>
      </c>
      <c r="AF143" t="e">
        <f t="shared" si="124"/>
        <v>#REF!</v>
      </c>
      <c r="AG143" t="e">
        <f t="shared" ca="1" si="125"/>
        <v>#N/A</v>
      </c>
      <c r="AH143" t="e">
        <f t="shared" ca="1" si="125"/>
        <v>#N/A</v>
      </c>
      <c r="AI143" t="e">
        <f t="shared" ca="1" si="125"/>
        <v>#N/A</v>
      </c>
      <c r="AJ143" t="e">
        <f t="shared" ca="1" si="125"/>
        <v>#N/A</v>
      </c>
      <c r="AK143" t="e">
        <f t="shared" ca="1" si="125"/>
        <v>#N/A</v>
      </c>
      <c r="AL143" t="e">
        <f t="shared" ca="1" si="125"/>
        <v>#N/A</v>
      </c>
      <c r="AM143" t="e">
        <f t="shared" ca="1" si="125"/>
        <v>#N/A</v>
      </c>
      <c r="AN143">
        <f t="shared" ca="1" si="126"/>
        <v>0</v>
      </c>
      <c r="AO143">
        <f t="shared" ca="1" si="127"/>
        <v>0</v>
      </c>
      <c r="AP143">
        <f t="shared" ca="1" si="128"/>
        <v>0</v>
      </c>
      <c r="AQ143">
        <f t="shared" ca="1" si="129"/>
        <v>0</v>
      </c>
      <c r="AR143">
        <f t="shared" ca="1" si="130"/>
        <v>0</v>
      </c>
      <c r="AS143">
        <f t="shared" ca="1" si="131"/>
        <v>0</v>
      </c>
      <c r="AT143">
        <f t="shared" ca="1" si="132"/>
        <v>0</v>
      </c>
      <c r="AV143" t="e">
        <f t="shared" si="6"/>
        <v>#REF!</v>
      </c>
      <c r="AW143" t="e" cm="1">
        <f t="array" ref="AW143">INDEX(auto_DataFlat_Score,$AV143,1)</f>
        <v>#REF!</v>
      </c>
      <c r="AX143" t="e" cm="1">
        <f t="array" ref="AX143">INDEX(auto_DataFlat_DataValue,$AV143,1)</f>
        <v>#REF!</v>
      </c>
      <c r="BA143" t="str">
        <f t="shared" si="133"/>
        <v>n/a</v>
      </c>
      <c r="BB143">
        <f t="shared" si="134"/>
        <v>1</v>
      </c>
      <c r="BC143" t="e">
        <f t="shared" si="135"/>
        <v>#REF!</v>
      </c>
      <c r="BD143" t="e">
        <f t="shared" ca="1" si="117"/>
        <v>#N/A</v>
      </c>
      <c r="BE143" t="e">
        <f t="shared" ca="1" si="117"/>
        <v>#N/A</v>
      </c>
      <c r="BF143" t="e">
        <f t="shared" ca="1" si="117"/>
        <v>#N/A</v>
      </c>
      <c r="BH143">
        <f t="shared" ca="1" si="112"/>
        <v>0</v>
      </c>
      <c r="BI143">
        <f t="shared" ca="1" si="112"/>
        <v>0</v>
      </c>
      <c r="BJ143">
        <f t="shared" ca="1" si="112"/>
        <v>0</v>
      </c>
      <c r="BM143" t="e">
        <f t="shared" si="136"/>
        <v>#REF!</v>
      </c>
      <c r="BN143" t="e">
        <f t="shared" ca="1" si="137"/>
        <v>#N/A</v>
      </c>
      <c r="BO143" t="e">
        <f t="shared" ca="1" si="138"/>
        <v>#N/A</v>
      </c>
      <c r="BP143" t="e">
        <f t="shared" ca="1" si="139"/>
        <v>#N/A</v>
      </c>
      <c r="BQ143" t="e">
        <f t="shared" ca="1" si="140"/>
        <v>#N/A</v>
      </c>
      <c r="BR143" t="e">
        <f t="shared" ca="1" si="141"/>
        <v>#N/A</v>
      </c>
      <c r="BS143" t="e">
        <f t="shared" ca="1" si="142"/>
        <v>#N/A</v>
      </c>
      <c r="BT143" t="e">
        <f t="shared" ca="1" si="143"/>
        <v>#N/A</v>
      </c>
      <c r="BU143">
        <f t="shared" ca="1" si="144"/>
        <v>0</v>
      </c>
      <c r="BV143">
        <f t="shared" ca="1" si="145"/>
        <v>0</v>
      </c>
      <c r="BW143">
        <f t="shared" ca="1" si="146"/>
        <v>0</v>
      </c>
      <c r="BX143">
        <f t="shared" ca="1" si="147"/>
        <v>0</v>
      </c>
      <c r="BY143">
        <f t="shared" ca="1" si="148"/>
        <v>0</v>
      </c>
      <c r="BZ143">
        <f t="shared" ca="1" si="118"/>
        <v>0</v>
      </c>
      <c r="CA143">
        <f t="shared" ca="1" si="119"/>
        <v>0</v>
      </c>
    </row>
    <row r="144" spans="1:79" x14ac:dyDescent="0.4">
      <c r="A144" t="str">
        <f t="shared" si="107"/>
        <v>X</v>
      </c>
      <c r="B144">
        <v>133</v>
      </c>
      <c r="C144" t="e" cm="1">
        <f t="array" ref="C144">INDEX(auto_Series_Code,B144)</f>
        <v>#REF!</v>
      </c>
      <c r="D144" t="e" cm="1">
        <f t="array" ref="D144">INDEX(auto_tblSeries,$B144,D$11)</f>
        <v>#REF!</v>
      </c>
      <c r="E144" t="e" cm="1">
        <f t="array" ref="E144">INDEX(auto_tblSeries,$B144,E$11)</f>
        <v>#REF!</v>
      </c>
      <c r="F144" t="e" cm="1">
        <f t="array" ref="F144">INDEX(auto_tblSeries,$B144,F$11)</f>
        <v>#REF!</v>
      </c>
      <c r="G144" t="e" cm="1">
        <f t="array" ref="G144">INDEX(auto_tblSeries,$B144,G$11)</f>
        <v>#REF!</v>
      </c>
      <c r="H144" t="e" cm="1">
        <f t="array" ref="H144">INDEX(auto_tblSeries,$B144,H$11)</f>
        <v>#REF!</v>
      </c>
      <c r="I144" t="e">
        <f t="shared" si="70"/>
        <v>#REF!</v>
      </c>
      <c r="K144" t="e" cm="1">
        <f t="array" ref="K144">INDEX(auto_DataFlat_Score,$I144,K$10)</f>
        <v>#REF!</v>
      </c>
      <c r="L144" t="e" cm="1">
        <f t="array" ref="L144">INDEX(auto_DataFlat_Rank,$I144,L$10)</f>
        <v>#REF!</v>
      </c>
      <c r="M144" t="e" cm="1">
        <f t="array" ref="M144">INDEX(auto_DataFlat_DataValue,$I144,M$10)</f>
        <v>#REF!</v>
      </c>
      <c r="N144" t="e" cm="1">
        <f t="array" ref="N144">INDEX(auto_DataFlat_Classification,$I144,M$10)</f>
        <v>#REF!</v>
      </c>
      <c r="O144" t="e" cm="1">
        <f t="array" ref="O144">INDEX(auto_DataFlat_IsEstimate,$I144,O$10)</f>
        <v>#REF!</v>
      </c>
      <c r="P144" t="e" cm="1">
        <f t="array" ref="P144">IF(INDEX(auto_DataFlat_DataYear,$I144,P$10)=0,"n/a",INDEX(auto_DataFlat_DataYear,$I144,P$10))</f>
        <v>#REF!</v>
      </c>
      <c r="R144" t="e">
        <f t="shared" si="116"/>
        <v>#REF!</v>
      </c>
      <c r="S144" t="e" cm="1">
        <f t="array" ref="S144">INDEX(auto_DataFlat_Score,$R144,S$10)</f>
        <v>#REF!</v>
      </c>
      <c r="U144" t="str">
        <f t="shared" si="120"/>
        <v>n/a</v>
      </c>
      <c r="V144">
        <f t="shared" si="121"/>
        <v>1</v>
      </c>
      <c r="W144" t="e">
        <f t="shared" si="122"/>
        <v>#REF!</v>
      </c>
      <c r="X144" t="e">
        <f t="shared" ca="1" si="123"/>
        <v>#N/A</v>
      </c>
      <c r="Y144" t="e">
        <f t="shared" ca="1" si="123"/>
        <v>#N/A</v>
      </c>
      <c r="Z144" t="e">
        <f t="shared" ca="1" si="123"/>
        <v>#N/A</v>
      </c>
      <c r="AB144">
        <f t="shared" ca="1" si="111"/>
        <v>0</v>
      </c>
      <c r="AC144">
        <f t="shared" ca="1" si="111"/>
        <v>0</v>
      </c>
      <c r="AD144">
        <f t="shared" ca="1" si="111"/>
        <v>0</v>
      </c>
      <c r="AF144" t="e">
        <f t="shared" si="124"/>
        <v>#REF!</v>
      </c>
      <c r="AG144" t="e">
        <f t="shared" ca="1" si="125"/>
        <v>#N/A</v>
      </c>
      <c r="AH144" t="e">
        <f t="shared" ca="1" si="125"/>
        <v>#N/A</v>
      </c>
      <c r="AI144" t="e">
        <f t="shared" ca="1" si="125"/>
        <v>#N/A</v>
      </c>
      <c r="AJ144" t="e">
        <f t="shared" ca="1" si="125"/>
        <v>#N/A</v>
      </c>
      <c r="AK144" t="e">
        <f t="shared" ca="1" si="125"/>
        <v>#N/A</v>
      </c>
      <c r="AL144" t="e">
        <f t="shared" ca="1" si="125"/>
        <v>#N/A</v>
      </c>
      <c r="AM144" t="e">
        <f t="shared" ca="1" si="125"/>
        <v>#N/A</v>
      </c>
      <c r="AN144">
        <f t="shared" ca="1" si="126"/>
        <v>0</v>
      </c>
      <c r="AO144">
        <f t="shared" ca="1" si="127"/>
        <v>0</v>
      </c>
      <c r="AP144">
        <f t="shared" ca="1" si="128"/>
        <v>0</v>
      </c>
      <c r="AQ144">
        <f t="shared" ca="1" si="129"/>
        <v>0</v>
      </c>
      <c r="AR144">
        <f t="shared" ca="1" si="130"/>
        <v>0</v>
      </c>
      <c r="AS144">
        <f t="shared" ca="1" si="131"/>
        <v>0</v>
      </c>
      <c r="AT144">
        <f t="shared" ca="1" si="132"/>
        <v>0</v>
      </c>
      <c r="AV144" t="e">
        <f t="shared" si="6"/>
        <v>#REF!</v>
      </c>
      <c r="AW144" t="e" cm="1">
        <f t="array" ref="AW144">INDEX(auto_DataFlat_Score,$AV144,1)</f>
        <v>#REF!</v>
      </c>
      <c r="AX144" t="e" cm="1">
        <f t="array" ref="AX144">INDEX(auto_DataFlat_DataValue,$AV144,1)</f>
        <v>#REF!</v>
      </c>
      <c r="BA144" t="str">
        <f t="shared" si="133"/>
        <v>n/a</v>
      </c>
      <c r="BB144">
        <f t="shared" si="134"/>
        <v>1</v>
      </c>
      <c r="BC144" t="e">
        <f t="shared" si="135"/>
        <v>#REF!</v>
      </c>
      <c r="BD144" t="e">
        <f t="shared" ca="1" si="117"/>
        <v>#N/A</v>
      </c>
      <c r="BE144" t="e">
        <f t="shared" ca="1" si="117"/>
        <v>#N/A</v>
      </c>
      <c r="BF144" t="e">
        <f t="shared" ca="1" si="117"/>
        <v>#N/A</v>
      </c>
      <c r="BH144">
        <f t="shared" ca="1" si="112"/>
        <v>0</v>
      </c>
      <c r="BI144">
        <f t="shared" ca="1" si="112"/>
        <v>0</v>
      </c>
      <c r="BJ144">
        <f t="shared" ca="1" si="112"/>
        <v>0</v>
      </c>
      <c r="BM144" t="e">
        <f t="shared" si="136"/>
        <v>#REF!</v>
      </c>
      <c r="BN144" t="e">
        <f t="shared" ca="1" si="137"/>
        <v>#N/A</v>
      </c>
      <c r="BO144" t="e">
        <f t="shared" ca="1" si="138"/>
        <v>#N/A</v>
      </c>
      <c r="BP144" t="e">
        <f t="shared" ca="1" si="139"/>
        <v>#N/A</v>
      </c>
      <c r="BQ144" t="e">
        <f t="shared" ca="1" si="140"/>
        <v>#N/A</v>
      </c>
      <c r="BR144" t="e">
        <f t="shared" ca="1" si="141"/>
        <v>#N/A</v>
      </c>
      <c r="BS144" t="e">
        <f t="shared" ca="1" si="142"/>
        <v>#N/A</v>
      </c>
      <c r="BT144" t="e">
        <f t="shared" ca="1" si="143"/>
        <v>#N/A</v>
      </c>
      <c r="BU144">
        <f t="shared" ca="1" si="144"/>
        <v>0</v>
      </c>
      <c r="BV144">
        <f t="shared" ca="1" si="145"/>
        <v>0</v>
      </c>
      <c r="BW144">
        <f t="shared" ca="1" si="146"/>
        <v>0</v>
      </c>
      <c r="BX144">
        <f t="shared" ca="1" si="147"/>
        <v>0</v>
      </c>
      <c r="BY144">
        <f t="shared" ca="1" si="148"/>
        <v>0</v>
      </c>
      <c r="BZ144">
        <f t="shared" ca="1" si="118"/>
        <v>0</v>
      </c>
      <c r="CA144">
        <f t="shared" ca="1" si="119"/>
        <v>0</v>
      </c>
    </row>
    <row r="145" spans="1:79" x14ac:dyDescent="0.4">
      <c r="A145" t="str">
        <f t="shared" si="107"/>
        <v>X</v>
      </c>
      <c r="B145">
        <v>134</v>
      </c>
      <c r="C145" t="e" cm="1">
        <f t="array" ref="C145">INDEX(auto_Series_Code,B145)</f>
        <v>#REF!</v>
      </c>
      <c r="D145" t="e" cm="1">
        <f t="array" ref="D145">INDEX(auto_tblSeries,$B145,D$11)</f>
        <v>#REF!</v>
      </c>
      <c r="E145" t="e" cm="1">
        <f t="array" ref="E145">INDEX(auto_tblSeries,$B145,E$11)</f>
        <v>#REF!</v>
      </c>
      <c r="F145" t="e" cm="1">
        <f t="array" ref="F145">INDEX(auto_tblSeries,$B145,F$11)</f>
        <v>#REF!</v>
      </c>
      <c r="G145" t="e" cm="1">
        <f t="array" ref="G145">INDEX(auto_tblSeries,$B145,G$11)</f>
        <v>#REF!</v>
      </c>
      <c r="H145" t="e" cm="1">
        <f t="array" ref="H145">INDEX(auto_tblSeries,$B145,H$11)</f>
        <v>#REF!</v>
      </c>
      <c r="I145" t="e">
        <f t="shared" si="70"/>
        <v>#REF!</v>
      </c>
      <c r="K145" t="e" cm="1">
        <f t="array" ref="K145">INDEX(auto_DataFlat_Score,$I145,K$10)</f>
        <v>#REF!</v>
      </c>
      <c r="L145" t="e" cm="1">
        <f t="array" ref="L145">INDEX(auto_DataFlat_Rank,$I145,L$10)</f>
        <v>#REF!</v>
      </c>
      <c r="M145" t="e" cm="1">
        <f t="array" ref="M145">INDEX(auto_DataFlat_DataValue,$I145,M$10)</f>
        <v>#REF!</v>
      </c>
      <c r="N145" t="e" cm="1">
        <f t="array" ref="N145">INDEX(auto_DataFlat_Classification,$I145,M$10)</f>
        <v>#REF!</v>
      </c>
      <c r="O145" t="e" cm="1">
        <f t="array" ref="O145">INDEX(auto_DataFlat_IsEstimate,$I145,O$10)</f>
        <v>#REF!</v>
      </c>
      <c r="P145" t="e" cm="1">
        <f t="array" ref="P145">IF(INDEX(auto_DataFlat_DataYear,$I145,P$10)=0,"n/a",INDEX(auto_DataFlat_DataYear,$I145,P$10))</f>
        <v>#REF!</v>
      </c>
      <c r="R145" t="e">
        <f t="shared" si="116"/>
        <v>#REF!</v>
      </c>
      <c r="S145" t="e" cm="1">
        <f t="array" ref="S145">INDEX(auto_DataFlat_Score,$R145,S$10)</f>
        <v>#REF!</v>
      </c>
      <c r="U145" t="str">
        <f t="shared" si="120"/>
        <v>n/a</v>
      </c>
      <c r="V145">
        <f t="shared" si="121"/>
        <v>1</v>
      </c>
      <c r="W145" t="e">
        <f t="shared" si="122"/>
        <v>#REF!</v>
      </c>
      <c r="X145" t="e">
        <f t="shared" ca="1" si="123"/>
        <v>#N/A</v>
      </c>
      <c r="Y145" t="e">
        <f t="shared" ca="1" si="123"/>
        <v>#N/A</v>
      </c>
      <c r="Z145" t="e">
        <f t="shared" ca="1" si="123"/>
        <v>#N/A</v>
      </c>
      <c r="AB145">
        <f t="shared" ca="1" si="111"/>
        <v>0</v>
      </c>
      <c r="AC145">
        <f t="shared" ca="1" si="111"/>
        <v>0</v>
      </c>
      <c r="AD145">
        <f t="shared" ca="1" si="111"/>
        <v>0</v>
      </c>
      <c r="AF145" t="e">
        <f t="shared" si="124"/>
        <v>#REF!</v>
      </c>
      <c r="AG145" t="e">
        <f t="shared" ca="1" si="125"/>
        <v>#N/A</v>
      </c>
      <c r="AH145" t="e">
        <f t="shared" ca="1" si="125"/>
        <v>#N/A</v>
      </c>
      <c r="AI145" t="e">
        <f t="shared" ca="1" si="125"/>
        <v>#N/A</v>
      </c>
      <c r="AJ145" t="e">
        <f t="shared" ca="1" si="125"/>
        <v>#N/A</v>
      </c>
      <c r="AK145" t="e">
        <f t="shared" ca="1" si="125"/>
        <v>#N/A</v>
      </c>
      <c r="AL145" t="e">
        <f t="shared" ca="1" si="125"/>
        <v>#N/A</v>
      </c>
      <c r="AM145" t="e">
        <f t="shared" ca="1" si="125"/>
        <v>#N/A</v>
      </c>
      <c r="AN145">
        <f t="shared" ca="1" si="126"/>
        <v>0</v>
      </c>
      <c r="AO145">
        <f t="shared" ca="1" si="127"/>
        <v>0</v>
      </c>
      <c r="AP145">
        <f t="shared" ca="1" si="128"/>
        <v>0</v>
      </c>
      <c r="AQ145">
        <f t="shared" ca="1" si="129"/>
        <v>0</v>
      </c>
      <c r="AR145">
        <f t="shared" ca="1" si="130"/>
        <v>0</v>
      </c>
      <c r="AS145">
        <f t="shared" ca="1" si="131"/>
        <v>0</v>
      </c>
      <c r="AT145">
        <f t="shared" ca="1" si="132"/>
        <v>0</v>
      </c>
      <c r="AV145" t="e">
        <f t="shared" si="6"/>
        <v>#REF!</v>
      </c>
      <c r="AW145" t="e" cm="1">
        <f t="array" ref="AW145">INDEX(auto_DataFlat_Score,$AV145,1)</f>
        <v>#REF!</v>
      </c>
      <c r="AX145" t="e" cm="1">
        <f t="array" ref="AX145">INDEX(auto_DataFlat_DataValue,$AV145,1)</f>
        <v>#REF!</v>
      </c>
      <c r="BA145" t="str">
        <f t="shared" si="133"/>
        <v>n/a</v>
      </c>
      <c r="BB145">
        <f t="shared" si="134"/>
        <v>1</v>
      </c>
      <c r="BC145" t="e">
        <f t="shared" si="135"/>
        <v>#REF!</v>
      </c>
      <c r="BD145" t="e">
        <f t="shared" ca="1" si="117"/>
        <v>#N/A</v>
      </c>
      <c r="BE145" t="e">
        <f t="shared" ca="1" si="117"/>
        <v>#N/A</v>
      </c>
      <c r="BF145" t="e">
        <f t="shared" ca="1" si="117"/>
        <v>#N/A</v>
      </c>
      <c r="BH145">
        <f t="shared" ca="1" si="112"/>
        <v>0</v>
      </c>
      <c r="BI145">
        <f t="shared" ca="1" si="112"/>
        <v>0</v>
      </c>
      <c r="BJ145">
        <f t="shared" ca="1" si="112"/>
        <v>0</v>
      </c>
      <c r="BM145" t="e">
        <f t="shared" si="136"/>
        <v>#REF!</v>
      </c>
      <c r="BN145" t="e">
        <f t="shared" ca="1" si="137"/>
        <v>#N/A</v>
      </c>
      <c r="BO145" t="e">
        <f t="shared" ca="1" si="138"/>
        <v>#N/A</v>
      </c>
      <c r="BP145" t="e">
        <f t="shared" ca="1" si="139"/>
        <v>#N/A</v>
      </c>
      <c r="BQ145" t="e">
        <f t="shared" ca="1" si="140"/>
        <v>#N/A</v>
      </c>
      <c r="BR145" t="e">
        <f t="shared" ca="1" si="141"/>
        <v>#N/A</v>
      </c>
      <c r="BS145" t="e">
        <f t="shared" ca="1" si="142"/>
        <v>#N/A</v>
      </c>
      <c r="BT145" t="e">
        <f t="shared" ca="1" si="143"/>
        <v>#N/A</v>
      </c>
      <c r="BU145">
        <f t="shared" ca="1" si="144"/>
        <v>0</v>
      </c>
      <c r="BV145">
        <f t="shared" ca="1" si="145"/>
        <v>0</v>
      </c>
      <c r="BW145">
        <f t="shared" ca="1" si="146"/>
        <v>0</v>
      </c>
      <c r="BX145">
        <f t="shared" ca="1" si="147"/>
        <v>0</v>
      </c>
      <c r="BY145">
        <f t="shared" ca="1" si="148"/>
        <v>0</v>
      </c>
      <c r="BZ145">
        <f t="shared" ca="1" si="118"/>
        <v>0</v>
      </c>
      <c r="CA145">
        <f t="shared" ca="1" si="119"/>
        <v>0</v>
      </c>
    </row>
    <row r="146" spans="1:79" x14ac:dyDescent="0.4">
      <c r="A146" t="str">
        <f t="shared" si="107"/>
        <v>X</v>
      </c>
      <c r="B146">
        <v>135</v>
      </c>
      <c r="C146" t="e" cm="1">
        <f t="array" ref="C146">INDEX(auto_Series_Code,B146)</f>
        <v>#REF!</v>
      </c>
      <c r="D146" t="e" cm="1">
        <f t="array" ref="D146">INDEX(auto_tblSeries,$B146,D$11)</f>
        <v>#REF!</v>
      </c>
      <c r="E146" t="e" cm="1">
        <f t="array" ref="E146">INDEX(auto_tblSeries,$B146,E$11)</f>
        <v>#REF!</v>
      </c>
      <c r="F146" t="e" cm="1">
        <f t="array" ref="F146">INDEX(auto_tblSeries,$B146,F$11)</f>
        <v>#REF!</v>
      </c>
      <c r="G146" t="e" cm="1">
        <f t="array" ref="G146">INDEX(auto_tblSeries,$B146,G$11)</f>
        <v>#REF!</v>
      </c>
      <c r="H146" t="e" cm="1">
        <f t="array" ref="H146">INDEX(auto_tblSeries,$B146,H$11)</f>
        <v>#REF!</v>
      </c>
      <c r="I146" t="e">
        <f t="shared" si="70"/>
        <v>#REF!</v>
      </c>
      <c r="K146" t="e" cm="1">
        <f t="array" ref="K146">INDEX(auto_DataFlat_Score,$I146,K$10)</f>
        <v>#REF!</v>
      </c>
      <c r="L146" t="e" cm="1">
        <f t="array" ref="L146">INDEX(auto_DataFlat_Rank,$I146,L$10)</f>
        <v>#REF!</v>
      </c>
      <c r="M146" t="e" cm="1">
        <f t="array" ref="M146">INDEX(auto_DataFlat_DataValue,$I146,M$10)</f>
        <v>#REF!</v>
      </c>
      <c r="N146" t="e" cm="1">
        <f t="array" ref="N146">INDEX(auto_DataFlat_Classification,$I146,M$10)</f>
        <v>#REF!</v>
      </c>
      <c r="O146" t="e" cm="1">
        <f t="array" ref="O146">INDEX(auto_DataFlat_IsEstimate,$I146,O$10)</f>
        <v>#REF!</v>
      </c>
      <c r="P146" t="e" cm="1">
        <f t="array" ref="P146">IF(INDEX(auto_DataFlat_DataYear,$I146,P$10)=0,"n/a",INDEX(auto_DataFlat_DataYear,$I146,P$10))</f>
        <v>#REF!</v>
      </c>
      <c r="R146" t="e">
        <f t="shared" si="116"/>
        <v>#REF!</v>
      </c>
      <c r="S146" t="e" cm="1">
        <f t="array" ref="S146">INDEX(auto_DataFlat_Score,$R146,S$10)</f>
        <v>#REF!</v>
      </c>
      <c r="U146" t="str">
        <f t="shared" si="120"/>
        <v>n/a</v>
      </c>
      <c r="V146">
        <f t="shared" si="121"/>
        <v>1</v>
      </c>
      <c r="W146" t="e">
        <f t="shared" si="122"/>
        <v>#REF!</v>
      </c>
      <c r="X146" t="e">
        <f t="shared" ca="1" si="123"/>
        <v>#N/A</v>
      </c>
      <c r="Y146" t="e">
        <f t="shared" ca="1" si="123"/>
        <v>#N/A</v>
      </c>
      <c r="Z146" t="e">
        <f t="shared" ca="1" si="123"/>
        <v>#N/A</v>
      </c>
      <c r="AB146">
        <f t="shared" ca="1" si="111"/>
        <v>0</v>
      </c>
      <c r="AC146">
        <f t="shared" ca="1" si="111"/>
        <v>0</v>
      </c>
      <c r="AD146">
        <f t="shared" ca="1" si="111"/>
        <v>0</v>
      </c>
      <c r="AF146" t="e">
        <f t="shared" si="124"/>
        <v>#REF!</v>
      </c>
      <c r="AG146" t="e">
        <f t="shared" ca="1" si="125"/>
        <v>#N/A</v>
      </c>
      <c r="AH146" t="e">
        <f t="shared" ca="1" si="125"/>
        <v>#N/A</v>
      </c>
      <c r="AI146" t="e">
        <f t="shared" ca="1" si="125"/>
        <v>#N/A</v>
      </c>
      <c r="AJ146" t="e">
        <f t="shared" ca="1" si="125"/>
        <v>#N/A</v>
      </c>
      <c r="AK146" t="e">
        <f t="shared" ca="1" si="125"/>
        <v>#N/A</v>
      </c>
      <c r="AL146" t="e">
        <f t="shared" ca="1" si="125"/>
        <v>#N/A</v>
      </c>
      <c r="AM146" t="e">
        <f t="shared" ca="1" si="125"/>
        <v>#N/A</v>
      </c>
      <c r="AN146">
        <f t="shared" ca="1" si="126"/>
        <v>0</v>
      </c>
      <c r="AO146">
        <f t="shared" ca="1" si="127"/>
        <v>0</v>
      </c>
      <c r="AP146">
        <f t="shared" ca="1" si="128"/>
        <v>0</v>
      </c>
      <c r="AQ146">
        <f t="shared" ca="1" si="129"/>
        <v>0</v>
      </c>
      <c r="AR146">
        <f t="shared" ca="1" si="130"/>
        <v>0</v>
      </c>
      <c r="AS146">
        <f t="shared" ca="1" si="131"/>
        <v>0</v>
      </c>
      <c r="AT146">
        <f t="shared" ca="1" si="132"/>
        <v>0</v>
      </c>
      <c r="AV146" t="e">
        <f t="shared" si="6"/>
        <v>#REF!</v>
      </c>
      <c r="AW146" t="e" cm="1">
        <f t="array" ref="AW146">INDEX(auto_DataFlat_Score,$AV146,1)</f>
        <v>#REF!</v>
      </c>
      <c r="AX146" t="e" cm="1">
        <f t="array" ref="AX146">INDEX(auto_DataFlat_DataValue,$AV146,1)</f>
        <v>#REF!</v>
      </c>
      <c r="BA146" t="str">
        <f t="shared" si="133"/>
        <v>n/a</v>
      </c>
      <c r="BB146">
        <f t="shared" si="134"/>
        <v>1</v>
      </c>
      <c r="BC146" t="e">
        <f t="shared" si="135"/>
        <v>#REF!</v>
      </c>
      <c r="BD146" t="e">
        <f t="shared" ca="1" si="117"/>
        <v>#N/A</v>
      </c>
      <c r="BE146" t="e">
        <f t="shared" ca="1" si="117"/>
        <v>#N/A</v>
      </c>
      <c r="BF146" t="e">
        <f t="shared" ca="1" si="117"/>
        <v>#N/A</v>
      </c>
      <c r="BH146">
        <f t="shared" ca="1" si="112"/>
        <v>0</v>
      </c>
      <c r="BI146">
        <f t="shared" ca="1" si="112"/>
        <v>0</v>
      </c>
      <c r="BJ146">
        <f t="shared" ca="1" si="112"/>
        <v>0</v>
      </c>
      <c r="BM146" t="e">
        <f t="shared" si="136"/>
        <v>#REF!</v>
      </c>
      <c r="BN146" t="e">
        <f t="shared" ca="1" si="137"/>
        <v>#N/A</v>
      </c>
      <c r="BO146" t="e">
        <f t="shared" ca="1" si="138"/>
        <v>#N/A</v>
      </c>
      <c r="BP146" t="e">
        <f t="shared" ca="1" si="139"/>
        <v>#N/A</v>
      </c>
      <c r="BQ146" t="e">
        <f t="shared" ca="1" si="140"/>
        <v>#N/A</v>
      </c>
      <c r="BR146" t="e">
        <f t="shared" ca="1" si="141"/>
        <v>#N/A</v>
      </c>
      <c r="BS146" t="e">
        <f t="shared" ca="1" si="142"/>
        <v>#N/A</v>
      </c>
      <c r="BT146" t="e">
        <f t="shared" ca="1" si="143"/>
        <v>#N/A</v>
      </c>
      <c r="BU146">
        <f t="shared" ca="1" si="144"/>
        <v>0</v>
      </c>
      <c r="BV146">
        <f t="shared" ca="1" si="145"/>
        <v>0</v>
      </c>
      <c r="BW146">
        <f t="shared" ca="1" si="146"/>
        <v>0</v>
      </c>
      <c r="BX146">
        <f t="shared" ca="1" si="147"/>
        <v>0</v>
      </c>
      <c r="BY146">
        <f t="shared" ca="1" si="148"/>
        <v>0</v>
      </c>
      <c r="BZ146">
        <f t="shared" ca="1" si="118"/>
        <v>0</v>
      </c>
      <c r="CA146">
        <f t="shared" ca="1" si="119"/>
        <v>0</v>
      </c>
    </row>
    <row r="147" spans="1:79" x14ac:dyDescent="0.4">
      <c r="A147" t="str">
        <f t="shared" si="107"/>
        <v>X</v>
      </c>
      <c r="B147">
        <v>136</v>
      </c>
      <c r="C147" t="e" cm="1">
        <f t="array" ref="C147">INDEX(auto_Series_Code,B147)</f>
        <v>#REF!</v>
      </c>
      <c r="D147" t="e" cm="1">
        <f t="array" ref="D147">INDEX(auto_tblSeries,$B147,D$11)</f>
        <v>#REF!</v>
      </c>
      <c r="E147" t="e" cm="1">
        <f t="array" ref="E147">INDEX(auto_tblSeries,$B147,E$11)</f>
        <v>#REF!</v>
      </c>
      <c r="F147" t="e" cm="1">
        <f t="array" ref="F147">INDEX(auto_tblSeries,$B147,F$11)</f>
        <v>#REF!</v>
      </c>
      <c r="G147" t="e" cm="1">
        <f t="array" ref="G147">INDEX(auto_tblSeries,$B147,G$11)</f>
        <v>#REF!</v>
      </c>
      <c r="H147" t="e" cm="1">
        <f t="array" ref="H147">INDEX(auto_tblSeries,$B147,H$11)</f>
        <v>#REF!</v>
      </c>
      <c r="I147" t="e">
        <f t="shared" si="70"/>
        <v>#REF!</v>
      </c>
      <c r="K147" t="e" cm="1">
        <f t="array" ref="K147">INDEX(auto_DataFlat_Score,$I147,K$10)</f>
        <v>#REF!</v>
      </c>
      <c r="L147" t="e" cm="1">
        <f t="array" ref="L147">INDEX(auto_DataFlat_Rank,$I147,L$10)</f>
        <v>#REF!</v>
      </c>
      <c r="M147" t="e" cm="1">
        <f t="array" ref="M147">INDEX(auto_DataFlat_DataValue,$I147,M$10)</f>
        <v>#REF!</v>
      </c>
      <c r="N147" t="e" cm="1">
        <f t="array" ref="N147">INDEX(auto_DataFlat_Classification,$I147,M$10)</f>
        <v>#REF!</v>
      </c>
      <c r="O147" t="e" cm="1">
        <f t="array" ref="O147">INDEX(auto_DataFlat_IsEstimate,$I147,O$10)</f>
        <v>#REF!</v>
      </c>
      <c r="P147" t="e" cm="1">
        <f t="array" ref="P147">IF(INDEX(auto_DataFlat_DataYear,$I147,P$10)=0,"n/a",INDEX(auto_DataFlat_DataYear,$I147,P$10))</f>
        <v>#REF!</v>
      </c>
      <c r="R147" t="e">
        <f t="shared" si="116"/>
        <v>#REF!</v>
      </c>
      <c r="S147" t="e" cm="1">
        <f t="array" ref="S147">INDEX(auto_DataFlat_Score,$R147,S$10)</f>
        <v>#REF!</v>
      </c>
      <c r="U147" t="str">
        <f t="shared" si="120"/>
        <v>n/a</v>
      </c>
      <c r="V147">
        <f t="shared" si="121"/>
        <v>1</v>
      </c>
      <c r="W147" t="e">
        <f t="shared" si="122"/>
        <v>#REF!</v>
      </c>
      <c r="X147" t="e">
        <f t="shared" ca="1" si="123"/>
        <v>#N/A</v>
      </c>
      <c r="Y147" t="e">
        <f t="shared" ca="1" si="123"/>
        <v>#N/A</v>
      </c>
      <c r="Z147" t="e">
        <f t="shared" ca="1" si="123"/>
        <v>#N/A</v>
      </c>
      <c r="AB147">
        <f t="shared" ca="1" si="111"/>
        <v>0</v>
      </c>
      <c r="AC147">
        <f t="shared" ca="1" si="111"/>
        <v>0</v>
      </c>
      <c r="AD147">
        <f t="shared" ca="1" si="111"/>
        <v>0</v>
      </c>
      <c r="AF147" t="e">
        <f t="shared" si="124"/>
        <v>#REF!</v>
      </c>
      <c r="AG147" t="e">
        <f t="shared" ca="1" si="125"/>
        <v>#N/A</v>
      </c>
      <c r="AH147" t="e">
        <f t="shared" ca="1" si="125"/>
        <v>#N/A</v>
      </c>
      <c r="AI147" t="e">
        <f t="shared" ca="1" si="125"/>
        <v>#N/A</v>
      </c>
      <c r="AJ147" t="e">
        <f t="shared" ca="1" si="125"/>
        <v>#N/A</v>
      </c>
      <c r="AK147" t="e">
        <f t="shared" ca="1" si="125"/>
        <v>#N/A</v>
      </c>
      <c r="AL147" t="e">
        <f t="shared" ca="1" si="125"/>
        <v>#N/A</v>
      </c>
      <c r="AM147" t="e">
        <f t="shared" ca="1" si="125"/>
        <v>#N/A</v>
      </c>
      <c r="AN147">
        <f t="shared" ca="1" si="126"/>
        <v>0</v>
      </c>
      <c r="AO147">
        <f t="shared" ca="1" si="127"/>
        <v>0</v>
      </c>
      <c r="AP147">
        <f t="shared" ca="1" si="128"/>
        <v>0</v>
      </c>
      <c r="AQ147">
        <f t="shared" ca="1" si="129"/>
        <v>0</v>
      </c>
      <c r="AR147">
        <f t="shared" ca="1" si="130"/>
        <v>0</v>
      </c>
      <c r="AS147">
        <f t="shared" ca="1" si="131"/>
        <v>0</v>
      </c>
      <c r="AT147">
        <f t="shared" ca="1" si="132"/>
        <v>0</v>
      </c>
      <c r="AV147" t="e">
        <f t="shared" si="6"/>
        <v>#REF!</v>
      </c>
      <c r="AW147" t="e" cm="1">
        <f t="array" ref="AW147">INDEX(auto_DataFlat_Score,$AV147,1)</f>
        <v>#REF!</v>
      </c>
      <c r="AX147" t="e" cm="1">
        <f t="array" ref="AX147">INDEX(auto_DataFlat_DataValue,$AV147,1)</f>
        <v>#REF!</v>
      </c>
      <c r="BA147" t="str">
        <f t="shared" si="133"/>
        <v>n/a</v>
      </c>
      <c r="BB147">
        <f t="shared" si="134"/>
        <v>1</v>
      </c>
      <c r="BC147" t="e">
        <f t="shared" si="135"/>
        <v>#REF!</v>
      </c>
      <c r="BD147" t="e">
        <f t="shared" ca="1" si="117"/>
        <v>#N/A</v>
      </c>
      <c r="BE147" t="e">
        <f t="shared" ca="1" si="117"/>
        <v>#N/A</v>
      </c>
      <c r="BF147" t="e">
        <f t="shared" ca="1" si="117"/>
        <v>#N/A</v>
      </c>
      <c r="BH147">
        <f t="shared" ca="1" si="112"/>
        <v>0</v>
      </c>
      <c r="BI147">
        <f t="shared" ca="1" si="112"/>
        <v>0</v>
      </c>
      <c r="BJ147">
        <f t="shared" ca="1" si="112"/>
        <v>0</v>
      </c>
      <c r="BM147" t="e">
        <f t="shared" si="136"/>
        <v>#REF!</v>
      </c>
      <c r="BN147" t="e">
        <f t="shared" ca="1" si="137"/>
        <v>#N/A</v>
      </c>
      <c r="BO147" t="e">
        <f t="shared" ca="1" si="138"/>
        <v>#N/A</v>
      </c>
      <c r="BP147" t="e">
        <f t="shared" ca="1" si="139"/>
        <v>#N/A</v>
      </c>
      <c r="BQ147" t="e">
        <f t="shared" ca="1" si="140"/>
        <v>#N/A</v>
      </c>
      <c r="BR147" t="e">
        <f t="shared" ca="1" si="141"/>
        <v>#N/A</v>
      </c>
      <c r="BS147" t="e">
        <f t="shared" ca="1" si="142"/>
        <v>#N/A</v>
      </c>
      <c r="BT147" t="e">
        <f t="shared" ca="1" si="143"/>
        <v>#N/A</v>
      </c>
      <c r="BU147">
        <f t="shared" ca="1" si="144"/>
        <v>0</v>
      </c>
      <c r="BV147">
        <f t="shared" ca="1" si="145"/>
        <v>0</v>
      </c>
      <c r="BW147">
        <f t="shared" ca="1" si="146"/>
        <v>0</v>
      </c>
      <c r="BX147">
        <f t="shared" ca="1" si="147"/>
        <v>0</v>
      </c>
      <c r="BY147">
        <f t="shared" ca="1" si="148"/>
        <v>0</v>
      </c>
      <c r="BZ147">
        <f t="shared" ca="1" si="118"/>
        <v>0</v>
      </c>
      <c r="CA147">
        <f t="shared" ca="1" si="119"/>
        <v>0</v>
      </c>
    </row>
    <row r="148" spans="1:79" x14ac:dyDescent="0.4">
      <c r="A148" t="str">
        <f t="shared" si="107"/>
        <v>X</v>
      </c>
      <c r="B148">
        <v>137</v>
      </c>
      <c r="C148" t="e" cm="1">
        <f t="array" ref="C148">INDEX(auto_Series_Code,B148)</f>
        <v>#REF!</v>
      </c>
      <c r="D148" t="e" cm="1">
        <f t="array" ref="D148">INDEX(auto_tblSeries,$B148,D$11)</f>
        <v>#REF!</v>
      </c>
      <c r="E148" t="e" cm="1">
        <f t="array" ref="E148">INDEX(auto_tblSeries,$B148,E$11)</f>
        <v>#REF!</v>
      </c>
      <c r="F148" t="e" cm="1">
        <f t="array" ref="F148">INDEX(auto_tblSeries,$B148,F$11)</f>
        <v>#REF!</v>
      </c>
      <c r="G148" t="e" cm="1">
        <f t="array" ref="G148">INDEX(auto_tblSeries,$B148,G$11)</f>
        <v>#REF!</v>
      </c>
      <c r="H148" t="e" cm="1">
        <f t="array" ref="H148">INDEX(auto_tblSeries,$B148,H$11)</f>
        <v>#REF!</v>
      </c>
      <c r="I148" t="e">
        <f t="shared" si="70"/>
        <v>#REF!</v>
      </c>
      <c r="K148" t="e" cm="1">
        <f t="array" ref="K148">INDEX(auto_DataFlat_Score,$I148,K$10)</f>
        <v>#REF!</v>
      </c>
      <c r="L148" t="e" cm="1">
        <f t="array" ref="L148">INDEX(auto_DataFlat_Rank,$I148,L$10)</f>
        <v>#REF!</v>
      </c>
      <c r="M148" t="e" cm="1">
        <f t="array" ref="M148">INDEX(auto_DataFlat_DataValue,$I148,M$10)</f>
        <v>#REF!</v>
      </c>
      <c r="N148" t="e" cm="1">
        <f t="array" ref="N148">INDEX(auto_DataFlat_Classification,$I148,M$10)</f>
        <v>#REF!</v>
      </c>
      <c r="O148" t="e" cm="1">
        <f t="array" ref="O148">INDEX(auto_DataFlat_IsEstimate,$I148,O$10)</f>
        <v>#REF!</v>
      </c>
      <c r="P148" t="e" cm="1">
        <f t="array" ref="P148">IF(INDEX(auto_DataFlat_DataYear,$I148,P$10)=0,"n/a",INDEX(auto_DataFlat_DataYear,$I148,P$10))</f>
        <v>#REF!</v>
      </c>
      <c r="R148" t="e">
        <f t="shared" si="116"/>
        <v>#REF!</v>
      </c>
      <c r="S148" t="e" cm="1">
        <f t="array" ref="S148">INDEX(auto_DataFlat_Score,$R148,S$10)</f>
        <v>#REF!</v>
      </c>
      <c r="U148" t="str">
        <f t="shared" si="120"/>
        <v>n/a</v>
      </c>
      <c r="V148">
        <f t="shared" si="121"/>
        <v>1</v>
      </c>
      <c r="W148" t="e">
        <f t="shared" si="122"/>
        <v>#REF!</v>
      </c>
      <c r="X148" t="e">
        <f t="shared" ca="1" si="123"/>
        <v>#N/A</v>
      </c>
      <c r="Y148" t="e">
        <f t="shared" ca="1" si="123"/>
        <v>#N/A</v>
      </c>
      <c r="Z148" t="e">
        <f t="shared" ca="1" si="123"/>
        <v>#N/A</v>
      </c>
      <c r="AB148">
        <f t="shared" ca="1" si="111"/>
        <v>0</v>
      </c>
      <c r="AC148">
        <f t="shared" ca="1" si="111"/>
        <v>0</v>
      </c>
      <c r="AD148">
        <f t="shared" ca="1" si="111"/>
        <v>0</v>
      </c>
      <c r="AF148" t="e">
        <f t="shared" si="124"/>
        <v>#REF!</v>
      </c>
      <c r="AG148" t="e">
        <f t="shared" ca="1" si="125"/>
        <v>#N/A</v>
      </c>
      <c r="AH148" t="e">
        <f t="shared" ca="1" si="125"/>
        <v>#N/A</v>
      </c>
      <c r="AI148" t="e">
        <f t="shared" ca="1" si="125"/>
        <v>#N/A</v>
      </c>
      <c r="AJ148" t="e">
        <f t="shared" ca="1" si="125"/>
        <v>#N/A</v>
      </c>
      <c r="AK148" t="e">
        <f t="shared" ca="1" si="125"/>
        <v>#N/A</v>
      </c>
      <c r="AL148" t="e">
        <f t="shared" ca="1" si="125"/>
        <v>#N/A</v>
      </c>
      <c r="AM148" t="e">
        <f t="shared" ca="1" si="125"/>
        <v>#N/A</v>
      </c>
      <c r="AN148">
        <f t="shared" ca="1" si="126"/>
        <v>0</v>
      </c>
      <c r="AO148">
        <f t="shared" ca="1" si="127"/>
        <v>0</v>
      </c>
      <c r="AP148">
        <f t="shared" ca="1" si="128"/>
        <v>0</v>
      </c>
      <c r="AQ148">
        <f t="shared" ca="1" si="129"/>
        <v>0</v>
      </c>
      <c r="AR148">
        <f t="shared" ca="1" si="130"/>
        <v>0</v>
      </c>
      <c r="AS148">
        <f t="shared" ca="1" si="131"/>
        <v>0</v>
      </c>
      <c r="AT148">
        <f t="shared" ca="1" si="132"/>
        <v>0</v>
      </c>
      <c r="AV148" t="e">
        <f t="shared" si="6"/>
        <v>#REF!</v>
      </c>
      <c r="AW148" t="e" cm="1">
        <f t="array" ref="AW148">INDEX(auto_DataFlat_Score,$AV148,1)</f>
        <v>#REF!</v>
      </c>
      <c r="AX148" t="e" cm="1">
        <f t="array" ref="AX148">INDEX(auto_DataFlat_DataValue,$AV148,1)</f>
        <v>#REF!</v>
      </c>
      <c r="BA148" t="str">
        <f t="shared" si="133"/>
        <v>n/a</v>
      </c>
      <c r="BB148">
        <f t="shared" si="134"/>
        <v>1</v>
      </c>
      <c r="BC148" t="e">
        <f t="shared" si="135"/>
        <v>#REF!</v>
      </c>
      <c r="BD148" t="e">
        <f t="shared" ca="1" si="117"/>
        <v>#N/A</v>
      </c>
      <c r="BE148" t="e">
        <f t="shared" ca="1" si="117"/>
        <v>#N/A</v>
      </c>
      <c r="BF148" t="e">
        <f t="shared" ca="1" si="117"/>
        <v>#N/A</v>
      </c>
      <c r="BH148">
        <f t="shared" ca="1" si="112"/>
        <v>0</v>
      </c>
      <c r="BI148">
        <f t="shared" ca="1" si="112"/>
        <v>0</v>
      </c>
      <c r="BJ148">
        <f t="shared" ca="1" si="112"/>
        <v>0</v>
      </c>
      <c r="BM148" t="e">
        <f t="shared" si="136"/>
        <v>#REF!</v>
      </c>
      <c r="BN148" t="e">
        <f t="shared" ca="1" si="137"/>
        <v>#N/A</v>
      </c>
      <c r="BO148" t="e">
        <f t="shared" ca="1" si="138"/>
        <v>#N/A</v>
      </c>
      <c r="BP148" t="e">
        <f t="shared" ca="1" si="139"/>
        <v>#N/A</v>
      </c>
      <c r="BQ148" t="e">
        <f t="shared" ca="1" si="140"/>
        <v>#N/A</v>
      </c>
      <c r="BR148" t="e">
        <f t="shared" ca="1" si="141"/>
        <v>#N/A</v>
      </c>
      <c r="BS148" t="e">
        <f t="shared" ca="1" si="142"/>
        <v>#N/A</v>
      </c>
      <c r="BT148" t="e">
        <f t="shared" ca="1" si="143"/>
        <v>#N/A</v>
      </c>
      <c r="BU148">
        <f t="shared" ca="1" si="144"/>
        <v>0</v>
      </c>
      <c r="BV148">
        <f t="shared" ca="1" si="145"/>
        <v>0</v>
      </c>
      <c r="BW148">
        <f t="shared" ca="1" si="146"/>
        <v>0</v>
      </c>
      <c r="BX148">
        <f t="shared" ca="1" si="147"/>
        <v>0</v>
      </c>
      <c r="BY148">
        <f t="shared" ca="1" si="148"/>
        <v>0</v>
      </c>
      <c r="BZ148">
        <f t="shared" ca="1" si="118"/>
        <v>0</v>
      </c>
      <c r="CA148">
        <f t="shared" ca="1" si="119"/>
        <v>0</v>
      </c>
    </row>
    <row r="149" spans="1:79" x14ac:dyDescent="0.4">
      <c r="A149" t="str">
        <f t="shared" si="107"/>
        <v>X</v>
      </c>
      <c r="B149">
        <v>138</v>
      </c>
      <c r="C149" t="e" cm="1">
        <f t="array" ref="C149">INDEX(auto_Series_Code,B149)</f>
        <v>#REF!</v>
      </c>
      <c r="D149" t="e" cm="1">
        <f t="array" ref="D149">INDEX(auto_tblSeries,$B149,D$11)</f>
        <v>#REF!</v>
      </c>
      <c r="E149" t="e" cm="1">
        <f t="array" ref="E149">INDEX(auto_tblSeries,$B149,E$11)</f>
        <v>#REF!</v>
      </c>
      <c r="F149" t="e" cm="1">
        <f t="array" ref="F149">INDEX(auto_tblSeries,$B149,F$11)</f>
        <v>#REF!</v>
      </c>
      <c r="G149" t="e" cm="1">
        <f t="array" ref="G149">INDEX(auto_tblSeries,$B149,G$11)</f>
        <v>#REF!</v>
      </c>
      <c r="H149" t="e" cm="1">
        <f t="array" ref="H149">INDEX(auto_tblSeries,$B149,H$11)</f>
        <v>#REF!</v>
      </c>
      <c r="I149" t="e">
        <f t="shared" si="70"/>
        <v>#REF!</v>
      </c>
      <c r="K149" t="e" cm="1">
        <f t="array" ref="K149">INDEX(auto_DataFlat_Score,$I149,K$10)</f>
        <v>#REF!</v>
      </c>
      <c r="L149" t="e" cm="1">
        <f t="array" ref="L149">INDEX(auto_DataFlat_Rank,$I149,L$10)</f>
        <v>#REF!</v>
      </c>
      <c r="M149" t="e" cm="1">
        <f t="array" ref="M149">INDEX(auto_DataFlat_DataValue,$I149,M$10)</f>
        <v>#REF!</v>
      </c>
      <c r="N149" t="e" cm="1">
        <f t="array" ref="N149">INDEX(auto_DataFlat_Classification,$I149,M$10)</f>
        <v>#REF!</v>
      </c>
      <c r="O149" t="e" cm="1">
        <f t="array" ref="O149">INDEX(auto_DataFlat_IsEstimate,$I149,O$10)</f>
        <v>#REF!</v>
      </c>
      <c r="P149" t="e" cm="1">
        <f t="array" ref="P149">IF(INDEX(auto_DataFlat_DataYear,$I149,P$10)=0,"n/a",INDEX(auto_DataFlat_DataYear,$I149,P$10))</f>
        <v>#REF!</v>
      </c>
      <c r="R149" t="e">
        <f t="shared" si="116"/>
        <v>#REF!</v>
      </c>
      <c r="S149" t="e" cm="1">
        <f t="array" ref="S149">INDEX(auto_DataFlat_Score,$R149,S$10)</f>
        <v>#REF!</v>
      </c>
      <c r="U149" t="str">
        <f t="shared" si="120"/>
        <v>n/a</v>
      </c>
      <c r="V149">
        <f t="shared" si="121"/>
        <v>1</v>
      </c>
      <c r="W149" t="e">
        <f t="shared" si="122"/>
        <v>#REF!</v>
      </c>
      <c r="X149" t="e">
        <f t="shared" ca="1" si="123"/>
        <v>#N/A</v>
      </c>
      <c r="Y149" t="e">
        <f t="shared" ca="1" si="123"/>
        <v>#N/A</v>
      </c>
      <c r="Z149" t="e">
        <f t="shared" ca="1" si="123"/>
        <v>#N/A</v>
      </c>
      <c r="AB149">
        <f t="shared" ca="1" si="111"/>
        <v>0</v>
      </c>
      <c r="AC149">
        <f t="shared" ca="1" si="111"/>
        <v>0</v>
      </c>
      <c r="AD149">
        <f t="shared" ca="1" si="111"/>
        <v>0</v>
      </c>
      <c r="AF149" t="e">
        <f t="shared" si="124"/>
        <v>#REF!</v>
      </c>
      <c r="AG149" t="e">
        <f t="shared" ca="1" si="125"/>
        <v>#N/A</v>
      </c>
      <c r="AH149" t="e">
        <f t="shared" ca="1" si="125"/>
        <v>#N/A</v>
      </c>
      <c r="AI149" t="e">
        <f t="shared" ca="1" si="125"/>
        <v>#N/A</v>
      </c>
      <c r="AJ149" t="e">
        <f t="shared" ca="1" si="125"/>
        <v>#N/A</v>
      </c>
      <c r="AK149" t="e">
        <f t="shared" ca="1" si="125"/>
        <v>#N/A</v>
      </c>
      <c r="AL149" t="e">
        <f t="shared" ca="1" si="125"/>
        <v>#N/A</v>
      </c>
      <c r="AM149" t="e">
        <f t="shared" ca="1" si="125"/>
        <v>#N/A</v>
      </c>
      <c r="AN149">
        <f t="shared" ca="1" si="126"/>
        <v>0</v>
      </c>
      <c r="AO149">
        <f t="shared" ca="1" si="127"/>
        <v>0</v>
      </c>
      <c r="AP149">
        <f t="shared" ca="1" si="128"/>
        <v>0</v>
      </c>
      <c r="AQ149">
        <f t="shared" ca="1" si="129"/>
        <v>0</v>
      </c>
      <c r="AR149">
        <f t="shared" ca="1" si="130"/>
        <v>0</v>
      </c>
      <c r="AS149">
        <f t="shared" ca="1" si="131"/>
        <v>0</v>
      </c>
      <c r="AT149">
        <f t="shared" ca="1" si="132"/>
        <v>0</v>
      </c>
      <c r="AV149" t="e">
        <f t="shared" si="6"/>
        <v>#REF!</v>
      </c>
      <c r="AW149" t="e" cm="1">
        <f t="array" ref="AW149">INDEX(auto_DataFlat_Score,$AV149,1)</f>
        <v>#REF!</v>
      </c>
      <c r="AX149" t="e" cm="1">
        <f t="array" ref="AX149">INDEX(auto_DataFlat_DataValue,$AV149,1)</f>
        <v>#REF!</v>
      </c>
      <c r="BA149" t="str">
        <f t="shared" si="133"/>
        <v>n/a</v>
      </c>
      <c r="BB149">
        <f t="shared" si="134"/>
        <v>1</v>
      </c>
      <c r="BC149" t="e">
        <f t="shared" si="135"/>
        <v>#REF!</v>
      </c>
      <c r="BD149" t="e">
        <f t="shared" ca="1" si="117"/>
        <v>#N/A</v>
      </c>
      <c r="BE149" t="e">
        <f t="shared" ca="1" si="117"/>
        <v>#N/A</v>
      </c>
      <c r="BF149" t="e">
        <f t="shared" ca="1" si="117"/>
        <v>#N/A</v>
      </c>
      <c r="BH149">
        <f t="shared" ca="1" si="112"/>
        <v>0</v>
      </c>
      <c r="BI149">
        <f t="shared" ca="1" si="112"/>
        <v>0</v>
      </c>
      <c r="BJ149">
        <f t="shared" ca="1" si="112"/>
        <v>0</v>
      </c>
      <c r="BM149" t="e">
        <f t="shared" si="136"/>
        <v>#REF!</v>
      </c>
      <c r="BN149" t="e">
        <f t="shared" ca="1" si="137"/>
        <v>#N/A</v>
      </c>
      <c r="BO149" t="e">
        <f t="shared" ca="1" si="138"/>
        <v>#N/A</v>
      </c>
      <c r="BP149" t="e">
        <f t="shared" ca="1" si="139"/>
        <v>#N/A</v>
      </c>
      <c r="BQ149" t="e">
        <f t="shared" ca="1" si="140"/>
        <v>#N/A</v>
      </c>
      <c r="BR149" t="e">
        <f t="shared" ca="1" si="141"/>
        <v>#N/A</v>
      </c>
      <c r="BS149" t="e">
        <f t="shared" ca="1" si="142"/>
        <v>#N/A</v>
      </c>
      <c r="BT149" t="e">
        <f t="shared" ca="1" si="143"/>
        <v>#N/A</v>
      </c>
      <c r="BU149">
        <f t="shared" ca="1" si="144"/>
        <v>0</v>
      </c>
      <c r="BV149">
        <f t="shared" ca="1" si="145"/>
        <v>0</v>
      </c>
      <c r="BW149">
        <f t="shared" ca="1" si="146"/>
        <v>0</v>
      </c>
      <c r="BX149">
        <f t="shared" ca="1" si="147"/>
        <v>0</v>
      </c>
      <c r="BY149">
        <f t="shared" ca="1" si="148"/>
        <v>0</v>
      </c>
      <c r="BZ149">
        <f t="shared" ca="1" si="118"/>
        <v>0</v>
      </c>
      <c r="CA149">
        <f t="shared" ca="1" si="119"/>
        <v>0</v>
      </c>
    </row>
    <row r="150" spans="1:79" x14ac:dyDescent="0.4">
      <c r="A150" t="str">
        <f t="shared" si="107"/>
        <v>X</v>
      </c>
      <c r="B150">
        <v>139</v>
      </c>
      <c r="C150" t="e" cm="1">
        <f t="array" ref="C150">INDEX(auto_Series_Code,B150)</f>
        <v>#REF!</v>
      </c>
      <c r="D150" t="e" cm="1">
        <f t="array" ref="D150">INDEX(auto_tblSeries,$B150,D$11)</f>
        <v>#REF!</v>
      </c>
      <c r="E150" t="e" cm="1">
        <f t="array" ref="E150">INDEX(auto_tblSeries,$B150,E$11)</f>
        <v>#REF!</v>
      </c>
      <c r="F150" t="e" cm="1">
        <f t="array" ref="F150">INDEX(auto_tblSeries,$B150,F$11)</f>
        <v>#REF!</v>
      </c>
      <c r="G150" t="e" cm="1">
        <f t="array" ref="G150">INDEX(auto_tblSeries,$B150,G$11)</f>
        <v>#REF!</v>
      </c>
      <c r="H150" t="e" cm="1">
        <f t="array" ref="H150">INDEX(auto_tblSeries,$B150,H$11)</f>
        <v>#REF!</v>
      </c>
      <c r="I150" t="e">
        <f t="shared" si="70"/>
        <v>#REF!</v>
      </c>
      <c r="K150" t="e" cm="1">
        <f t="array" ref="K150">INDEX(auto_DataFlat_Score,$I150,K$10)</f>
        <v>#REF!</v>
      </c>
      <c r="L150" t="e" cm="1">
        <f t="array" ref="L150">INDEX(auto_DataFlat_Rank,$I150,L$10)</f>
        <v>#REF!</v>
      </c>
      <c r="M150" t="e" cm="1">
        <f t="array" ref="M150">INDEX(auto_DataFlat_DataValue,$I150,M$10)</f>
        <v>#REF!</v>
      </c>
      <c r="N150" t="e" cm="1">
        <f t="array" ref="N150">INDEX(auto_DataFlat_Classification,$I150,M$10)</f>
        <v>#REF!</v>
      </c>
      <c r="O150" t="e" cm="1">
        <f t="array" ref="O150">INDEX(auto_DataFlat_IsEstimate,$I150,O$10)</f>
        <v>#REF!</v>
      </c>
      <c r="P150" t="e" cm="1">
        <f t="array" ref="P150">IF(INDEX(auto_DataFlat_DataYear,$I150,P$10)=0,"n/a",INDEX(auto_DataFlat_DataYear,$I150,P$10))</f>
        <v>#REF!</v>
      </c>
      <c r="R150" t="e">
        <f t="shared" si="116"/>
        <v>#REF!</v>
      </c>
      <c r="S150" t="e" cm="1">
        <f t="array" ref="S150">INDEX(auto_DataFlat_Score,$R150,S$10)</f>
        <v>#REF!</v>
      </c>
      <c r="U150" t="str">
        <f t="shared" si="120"/>
        <v>n/a</v>
      </c>
      <c r="V150">
        <f t="shared" si="121"/>
        <v>1</v>
      </c>
      <c r="W150" t="e">
        <f t="shared" si="122"/>
        <v>#REF!</v>
      </c>
      <c r="X150" t="e">
        <f t="shared" ca="1" si="123"/>
        <v>#N/A</v>
      </c>
      <c r="Y150" t="e">
        <f t="shared" ca="1" si="123"/>
        <v>#N/A</v>
      </c>
      <c r="Z150" t="e">
        <f t="shared" ca="1" si="123"/>
        <v>#N/A</v>
      </c>
      <c r="AB150">
        <f t="shared" ca="1" si="111"/>
        <v>0</v>
      </c>
      <c r="AC150">
        <f t="shared" ca="1" si="111"/>
        <v>0</v>
      </c>
      <c r="AD150">
        <f t="shared" ca="1" si="111"/>
        <v>0</v>
      </c>
      <c r="AF150" t="e">
        <f t="shared" si="124"/>
        <v>#REF!</v>
      </c>
      <c r="AG150" t="e">
        <f t="shared" ca="1" si="125"/>
        <v>#N/A</v>
      </c>
      <c r="AH150" t="e">
        <f t="shared" ca="1" si="125"/>
        <v>#N/A</v>
      </c>
      <c r="AI150" t="e">
        <f t="shared" ca="1" si="125"/>
        <v>#N/A</v>
      </c>
      <c r="AJ150" t="e">
        <f t="shared" ca="1" si="125"/>
        <v>#N/A</v>
      </c>
      <c r="AK150" t="e">
        <f t="shared" ca="1" si="125"/>
        <v>#N/A</v>
      </c>
      <c r="AL150" t="e">
        <f t="shared" ca="1" si="125"/>
        <v>#N/A</v>
      </c>
      <c r="AM150" t="e">
        <f t="shared" ca="1" si="125"/>
        <v>#N/A</v>
      </c>
      <c r="AN150">
        <f t="shared" ca="1" si="126"/>
        <v>0</v>
      </c>
      <c r="AO150">
        <f t="shared" ca="1" si="127"/>
        <v>0</v>
      </c>
      <c r="AP150">
        <f t="shared" ca="1" si="128"/>
        <v>0</v>
      </c>
      <c r="AQ150">
        <f t="shared" ca="1" si="129"/>
        <v>0</v>
      </c>
      <c r="AR150">
        <f t="shared" ca="1" si="130"/>
        <v>0</v>
      </c>
      <c r="AS150">
        <f t="shared" ca="1" si="131"/>
        <v>0</v>
      </c>
      <c r="AT150">
        <f t="shared" ca="1" si="132"/>
        <v>0</v>
      </c>
      <c r="AV150" t="e">
        <f t="shared" si="6"/>
        <v>#REF!</v>
      </c>
      <c r="AW150" t="e" cm="1">
        <f t="array" ref="AW150">INDEX(auto_DataFlat_Score,$AV150,1)</f>
        <v>#REF!</v>
      </c>
      <c r="AX150" t="e" cm="1">
        <f t="array" ref="AX150">INDEX(auto_DataFlat_DataValue,$AV150,1)</f>
        <v>#REF!</v>
      </c>
      <c r="BA150" t="str">
        <f t="shared" si="133"/>
        <v>n/a</v>
      </c>
      <c r="BB150">
        <f t="shared" si="134"/>
        <v>1</v>
      </c>
      <c r="BC150" t="e">
        <f t="shared" si="135"/>
        <v>#REF!</v>
      </c>
      <c r="BD150" t="e">
        <f t="shared" ca="1" si="117"/>
        <v>#N/A</v>
      </c>
      <c r="BE150" t="e">
        <f t="shared" ca="1" si="117"/>
        <v>#N/A</v>
      </c>
      <c r="BF150" t="e">
        <f t="shared" ca="1" si="117"/>
        <v>#N/A</v>
      </c>
      <c r="BH150">
        <f t="shared" ca="1" si="112"/>
        <v>0</v>
      </c>
      <c r="BI150">
        <f t="shared" ca="1" si="112"/>
        <v>0</v>
      </c>
      <c r="BJ150">
        <f t="shared" ca="1" si="112"/>
        <v>0</v>
      </c>
      <c r="BM150" t="e">
        <f t="shared" si="136"/>
        <v>#REF!</v>
      </c>
      <c r="BN150" t="e">
        <f t="shared" ca="1" si="137"/>
        <v>#N/A</v>
      </c>
      <c r="BO150" t="e">
        <f t="shared" ca="1" si="138"/>
        <v>#N/A</v>
      </c>
      <c r="BP150" t="e">
        <f t="shared" ca="1" si="139"/>
        <v>#N/A</v>
      </c>
      <c r="BQ150" t="e">
        <f t="shared" ca="1" si="140"/>
        <v>#N/A</v>
      </c>
      <c r="BR150" t="e">
        <f t="shared" ca="1" si="141"/>
        <v>#N/A</v>
      </c>
      <c r="BS150" t="e">
        <f t="shared" ca="1" si="142"/>
        <v>#N/A</v>
      </c>
      <c r="BT150" t="e">
        <f t="shared" ca="1" si="143"/>
        <v>#N/A</v>
      </c>
      <c r="BU150">
        <f t="shared" ca="1" si="144"/>
        <v>0</v>
      </c>
      <c r="BV150">
        <f t="shared" ca="1" si="145"/>
        <v>0</v>
      </c>
      <c r="BW150">
        <f t="shared" ca="1" si="146"/>
        <v>0</v>
      </c>
      <c r="BX150">
        <f t="shared" ca="1" si="147"/>
        <v>0</v>
      </c>
      <c r="BY150">
        <f t="shared" ca="1" si="148"/>
        <v>0</v>
      </c>
      <c r="BZ150">
        <f t="shared" ca="1" si="118"/>
        <v>0</v>
      </c>
      <c r="CA150">
        <f t="shared" ca="1" si="119"/>
        <v>0</v>
      </c>
    </row>
    <row r="151" spans="1:79" x14ac:dyDescent="0.4">
      <c r="A151" t="str">
        <f t="shared" si="107"/>
        <v>X</v>
      </c>
      <c r="B151">
        <v>140</v>
      </c>
      <c r="C151" t="e" cm="1">
        <f t="array" ref="C151">INDEX(auto_Series_Code,B151)</f>
        <v>#REF!</v>
      </c>
      <c r="D151" t="e" cm="1">
        <f t="array" ref="D151">INDEX(auto_tblSeries,$B151,D$11)</f>
        <v>#REF!</v>
      </c>
      <c r="E151" t="e" cm="1">
        <f t="array" ref="E151">INDEX(auto_tblSeries,$B151,E$11)</f>
        <v>#REF!</v>
      </c>
      <c r="F151" t="e" cm="1">
        <f t="array" ref="F151">INDEX(auto_tblSeries,$B151,F$11)</f>
        <v>#REF!</v>
      </c>
      <c r="G151" t="e" cm="1">
        <f t="array" ref="G151">INDEX(auto_tblSeries,$B151,G$11)</f>
        <v>#REF!</v>
      </c>
      <c r="H151" t="e" cm="1">
        <f t="array" ref="H151">INDEX(auto_tblSeries,$B151,H$11)</f>
        <v>#REF!</v>
      </c>
      <c r="I151" t="e">
        <f t="shared" si="70"/>
        <v>#REF!</v>
      </c>
      <c r="K151" t="e" cm="1">
        <f t="array" ref="K151">INDEX(auto_DataFlat_Score,$I151,K$10)</f>
        <v>#REF!</v>
      </c>
      <c r="L151" t="e" cm="1">
        <f t="array" ref="L151">INDEX(auto_DataFlat_Rank,$I151,L$10)</f>
        <v>#REF!</v>
      </c>
      <c r="M151" t="e" cm="1">
        <f t="array" ref="M151">INDEX(auto_DataFlat_DataValue,$I151,M$10)</f>
        <v>#REF!</v>
      </c>
      <c r="N151" t="e" cm="1">
        <f t="array" ref="N151">INDEX(auto_DataFlat_Classification,$I151,M$10)</f>
        <v>#REF!</v>
      </c>
      <c r="O151" t="e" cm="1">
        <f t="array" ref="O151">INDEX(auto_DataFlat_IsEstimate,$I151,O$10)</f>
        <v>#REF!</v>
      </c>
      <c r="P151" t="e" cm="1">
        <f t="array" ref="P151">IF(INDEX(auto_DataFlat_DataYear,$I151,P$10)=0,"n/a",INDEX(auto_DataFlat_DataYear,$I151,P$10))</f>
        <v>#REF!</v>
      </c>
      <c r="R151" t="e">
        <f t="shared" si="116"/>
        <v>#REF!</v>
      </c>
      <c r="S151" t="e" cm="1">
        <f t="array" ref="S151">INDEX(auto_DataFlat_Score,$R151,S$10)</f>
        <v>#REF!</v>
      </c>
      <c r="U151" t="str">
        <f t="shared" si="120"/>
        <v>n/a</v>
      </c>
      <c r="V151">
        <f t="shared" si="121"/>
        <v>1</v>
      </c>
      <c r="W151" t="e">
        <f t="shared" si="122"/>
        <v>#REF!</v>
      </c>
      <c r="X151" t="e">
        <f t="shared" ca="1" si="123"/>
        <v>#N/A</v>
      </c>
      <c r="Y151" t="e">
        <f t="shared" ca="1" si="123"/>
        <v>#N/A</v>
      </c>
      <c r="Z151" t="e">
        <f t="shared" ca="1" si="123"/>
        <v>#N/A</v>
      </c>
      <c r="AB151">
        <f t="shared" ca="1" si="111"/>
        <v>0</v>
      </c>
      <c r="AC151">
        <f t="shared" ca="1" si="111"/>
        <v>0</v>
      </c>
      <c r="AD151">
        <f t="shared" ca="1" si="111"/>
        <v>0</v>
      </c>
      <c r="AF151" t="e">
        <f t="shared" si="124"/>
        <v>#REF!</v>
      </c>
      <c r="AG151" t="e">
        <f t="shared" ca="1" si="125"/>
        <v>#N/A</v>
      </c>
      <c r="AH151" t="e">
        <f t="shared" ca="1" si="125"/>
        <v>#N/A</v>
      </c>
      <c r="AI151" t="e">
        <f t="shared" ca="1" si="125"/>
        <v>#N/A</v>
      </c>
      <c r="AJ151" t="e">
        <f t="shared" ca="1" si="125"/>
        <v>#N/A</v>
      </c>
      <c r="AK151" t="e">
        <f t="shared" ca="1" si="125"/>
        <v>#N/A</v>
      </c>
      <c r="AL151" t="e">
        <f t="shared" ca="1" si="125"/>
        <v>#N/A</v>
      </c>
      <c r="AM151" t="e">
        <f t="shared" ca="1" si="125"/>
        <v>#N/A</v>
      </c>
      <c r="AN151">
        <f t="shared" ca="1" si="126"/>
        <v>0</v>
      </c>
      <c r="AO151">
        <f t="shared" ca="1" si="127"/>
        <v>0</v>
      </c>
      <c r="AP151">
        <f t="shared" ca="1" si="128"/>
        <v>0</v>
      </c>
      <c r="AQ151">
        <f t="shared" ca="1" si="129"/>
        <v>0</v>
      </c>
      <c r="AR151">
        <f t="shared" ca="1" si="130"/>
        <v>0</v>
      </c>
      <c r="AS151">
        <f t="shared" ca="1" si="131"/>
        <v>0</v>
      </c>
      <c r="AT151">
        <f t="shared" ca="1" si="132"/>
        <v>0</v>
      </c>
      <c r="AV151" t="e">
        <f t="shared" si="6"/>
        <v>#REF!</v>
      </c>
      <c r="AW151" t="e" cm="1">
        <f t="array" ref="AW151">INDEX(auto_DataFlat_Score,$AV151,1)</f>
        <v>#REF!</v>
      </c>
      <c r="AX151" t="e" cm="1">
        <f t="array" ref="AX151">INDEX(auto_DataFlat_DataValue,$AV151,1)</f>
        <v>#REF!</v>
      </c>
      <c r="BA151" t="str">
        <f t="shared" si="133"/>
        <v>n/a</v>
      </c>
      <c r="BB151">
        <f t="shared" si="134"/>
        <v>1</v>
      </c>
      <c r="BC151" t="e">
        <f t="shared" si="135"/>
        <v>#REF!</v>
      </c>
      <c r="BD151" t="e">
        <f t="shared" ca="1" si="117"/>
        <v>#N/A</v>
      </c>
      <c r="BE151" t="e">
        <f t="shared" ca="1" si="117"/>
        <v>#N/A</v>
      </c>
      <c r="BF151" t="e">
        <f t="shared" ca="1" si="117"/>
        <v>#N/A</v>
      </c>
      <c r="BH151">
        <f t="shared" ca="1" si="112"/>
        <v>0</v>
      </c>
      <c r="BI151">
        <f t="shared" ca="1" si="112"/>
        <v>0</v>
      </c>
      <c r="BJ151">
        <f t="shared" ca="1" si="112"/>
        <v>0</v>
      </c>
      <c r="BM151" t="e">
        <f t="shared" si="136"/>
        <v>#REF!</v>
      </c>
      <c r="BN151" t="e">
        <f t="shared" ca="1" si="137"/>
        <v>#N/A</v>
      </c>
      <c r="BO151" t="e">
        <f t="shared" ca="1" si="138"/>
        <v>#N/A</v>
      </c>
      <c r="BP151" t="e">
        <f t="shared" ca="1" si="139"/>
        <v>#N/A</v>
      </c>
      <c r="BQ151" t="e">
        <f t="shared" ca="1" si="140"/>
        <v>#N/A</v>
      </c>
      <c r="BR151" t="e">
        <f t="shared" ca="1" si="141"/>
        <v>#N/A</v>
      </c>
      <c r="BS151" t="e">
        <f t="shared" ca="1" si="142"/>
        <v>#N/A</v>
      </c>
      <c r="BT151" t="e">
        <f t="shared" ca="1" si="143"/>
        <v>#N/A</v>
      </c>
      <c r="BU151">
        <f t="shared" ca="1" si="144"/>
        <v>0</v>
      </c>
      <c r="BV151">
        <f t="shared" ca="1" si="145"/>
        <v>0</v>
      </c>
      <c r="BW151">
        <f t="shared" ca="1" si="146"/>
        <v>0</v>
      </c>
      <c r="BX151">
        <f t="shared" ca="1" si="147"/>
        <v>0</v>
      </c>
      <c r="BY151">
        <f t="shared" ca="1" si="148"/>
        <v>0</v>
      </c>
      <c r="BZ151">
        <f t="shared" ca="1" si="118"/>
        <v>0</v>
      </c>
      <c r="CA151">
        <f t="shared" ca="1" si="119"/>
        <v>0</v>
      </c>
    </row>
    <row r="152" spans="1:79" x14ac:dyDescent="0.4">
      <c r="A152" t="str">
        <f t="shared" si="107"/>
        <v>X</v>
      </c>
      <c r="B152">
        <v>141</v>
      </c>
      <c r="C152" t="e" cm="1">
        <f t="array" ref="C152">INDEX(auto_Series_Code,B152)</f>
        <v>#REF!</v>
      </c>
      <c r="D152" t="e" cm="1">
        <f t="array" ref="D152">INDEX(auto_tblSeries,$B152,D$11)</f>
        <v>#REF!</v>
      </c>
      <c r="E152" t="e" cm="1">
        <f t="array" ref="E152">INDEX(auto_tblSeries,$B152,E$11)</f>
        <v>#REF!</v>
      </c>
      <c r="F152" t="e" cm="1">
        <f t="array" ref="F152">INDEX(auto_tblSeries,$B152,F$11)</f>
        <v>#REF!</v>
      </c>
      <c r="G152" t="e" cm="1">
        <f t="array" ref="G152">INDEX(auto_tblSeries,$B152,G$11)</f>
        <v>#REF!</v>
      </c>
      <c r="H152" t="e" cm="1">
        <f t="array" ref="H152">INDEX(auto_tblSeries,$B152,H$11)</f>
        <v>#REF!</v>
      </c>
      <c r="I152" t="e">
        <f t="shared" si="70"/>
        <v>#REF!</v>
      </c>
      <c r="K152" t="e" cm="1">
        <f t="array" ref="K152">INDEX(auto_DataFlat_Score,$I152,K$10)</f>
        <v>#REF!</v>
      </c>
      <c r="L152" t="e" cm="1">
        <f t="array" ref="L152">INDEX(auto_DataFlat_Rank,$I152,L$10)</f>
        <v>#REF!</v>
      </c>
      <c r="M152" t="e" cm="1">
        <f t="array" ref="M152">INDEX(auto_DataFlat_DataValue,$I152,M$10)</f>
        <v>#REF!</v>
      </c>
      <c r="N152" t="e" cm="1">
        <f t="array" ref="N152">INDEX(auto_DataFlat_Classification,$I152,M$10)</f>
        <v>#REF!</v>
      </c>
      <c r="O152" t="e" cm="1">
        <f t="array" ref="O152">INDEX(auto_DataFlat_IsEstimate,$I152,O$10)</f>
        <v>#REF!</v>
      </c>
      <c r="P152" t="e" cm="1">
        <f t="array" ref="P152">IF(INDEX(auto_DataFlat_DataYear,$I152,P$10)=0,"n/a",INDEX(auto_DataFlat_DataYear,$I152,P$10))</f>
        <v>#REF!</v>
      </c>
      <c r="R152" t="e">
        <f t="shared" si="116"/>
        <v>#REF!</v>
      </c>
      <c r="S152" t="e" cm="1">
        <f t="array" ref="S152">INDEX(auto_DataFlat_Score,$R152,S$10)</f>
        <v>#REF!</v>
      </c>
      <c r="U152" t="str">
        <f t="shared" si="120"/>
        <v>n/a</v>
      </c>
      <c r="V152">
        <f t="shared" si="121"/>
        <v>1</v>
      </c>
      <c r="W152" t="e">
        <f t="shared" si="122"/>
        <v>#REF!</v>
      </c>
      <c r="X152" t="e">
        <f t="shared" ca="1" si="123"/>
        <v>#N/A</v>
      </c>
      <c r="Y152" t="e">
        <f t="shared" ca="1" si="123"/>
        <v>#N/A</v>
      </c>
      <c r="Z152" t="e">
        <f t="shared" ca="1" si="123"/>
        <v>#N/A</v>
      </c>
      <c r="AB152">
        <f t="shared" ca="1" si="111"/>
        <v>0</v>
      </c>
      <c r="AC152">
        <f t="shared" ca="1" si="111"/>
        <v>0</v>
      </c>
      <c r="AD152">
        <f t="shared" ca="1" si="111"/>
        <v>0</v>
      </c>
      <c r="AF152" t="e">
        <f t="shared" si="124"/>
        <v>#REF!</v>
      </c>
      <c r="AG152" t="e">
        <f t="shared" ca="1" si="125"/>
        <v>#N/A</v>
      </c>
      <c r="AH152" t="e">
        <f t="shared" ca="1" si="125"/>
        <v>#N/A</v>
      </c>
      <c r="AI152" t="e">
        <f t="shared" ca="1" si="125"/>
        <v>#N/A</v>
      </c>
      <c r="AJ152" t="e">
        <f t="shared" ca="1" si="125"/>
        <v>#N/A</v>
      </c>
      <c r="AK152" t="e">
        <f t="shared" ca="1" si="125"/>
        <v>#N/A</v>
      </c>
      <c r="AL152" t="e">
        <f t="shared" ca="1" si="125"/>
        <v>#N/A</v>
      </c>
      <c r="AM152" t="e">
        <f t="shared" ca="1" si="125"/>
        <v>#N/A</v>
      </c>
      <c r="AN152">
        <f t="shared" ca="1" si="126"/>
        <v>0</v>
      </c>
      <c r="AO152">
        <f t="shared" ca="1" si="127"/>
        <v>0</v>
      </c>
      <c r="AP152">
        <f t="shared" ca="1" si="128"/>
        <v>0</v>
      </c>
      <c r="AQ152">
        <f t="shared" ca="1" si="129"/>
        <v>0</v>
      </c>
      <c r="AR152">
        <f t="shared" ca="1" si="130"/>
        <v>0</v>
      </c>
      <c r="AS152">
        <f t="shared" ca="1" si="131"/>
        <v>0</v>
      </c>
      <c r="AT152">
        <f t="shared" ca="1" si="132"/>
        <v>0</v>
      </c>
      <c r="AV152" t="e">
        <f t="shared" si="6"/>
        <v>#REF!</v>
      </c>
      <c r="AW152" t="e" cm="1">
        <f t="array" ref="AW152">INDEX(auto_DataFlat_Score,$AV152,1)</f>
        <v>#REF!</v>
      </c>
      <c r="AX152" t="e" cm="1">
        <f t="array" ref="AX152">INDEX(auto_DataFlat_DataValue,$AV152,1)</f>
        <v>#REF!</v>
      </c>
      <c r="BA152" t="str">
        <f t="shared" si="133"/>
        <v>n/a</v>
      </c>
      <c r="BB152">
        <f t="shared" si="134"/>
        <v>1</v>
      </c>
      <c r="BC152" t="e">
        <f t="shared" si="135"/>
        <v>#REF!</v>
      </c>
      <c r="BD152" t="e">
        <f t="shared" ca="1" si="117"/>
        <v>#N/A</v>
      </c>
      <c r="BE152" t="e">
        <f t="shared" ca="1" si="117"/>
        <v>#N/A</v>
      </c>
      <c r="BF152" t="e">
        <f t="shared" ca="1" si="117"/>
        <v>#N/A</v>
      </c>
      <c r="BH152">
        <f t="shared" ca="1" si="112"/>
        <v>0</v>
      </c>
      <c r="BI152">
        <f t="shared" ca="1" si="112"/>
        <v>0</v>
      </c>
      <c r="BJ152">
        <f t="shared" ca="1" si="112"/>
        <v>0</v>
      </c>
      <c r="BM152" t="e">
        <f t="shared" si="136"/>
        <v>#REF!</v>
      </c>
      <c r="BN152" t="e">
        <f t="shared" ca="1" si="137"/>
        <v>#N/A</v>
      </c>
      <c r="BO152" t="e">
        <f t="shared" ca="1" si="138"/>
        <v>#N/A</v>
      </c>
      <c r="BP152" t="e">
        <f t="shared" ca="1" si="139"/>
        <v>#N/A</v>
      </c>
      <c r="BQ152" t="e">
        <f t="shared" ca="1" si="140"/>
        <v>#N/A</v>
      </c>
      <c r="BR152" t="e">
        <f t="shared" ca="1" si="141"/>
        <v>#N/A</v>
      </c>
      <c r="BS152" t="e">
        <f t="shared" ca="1" si="142"/>
        <v>#N/A</v>
      </c>
      <c r="BT152" t="e">
        <f t="shared" ca="1" si="143"/>
        <v>#N/A</v>
      </c>
      <c r="BU152">
        <f t="shared" ca="1" si="144"/>
        <v>0</v>
      </c>
      <c r="BV152">
        <f t="shared" ca="1" si="145"/>
        <v>0</v>
      </c>
      <c r="BW152">
        <f t="shared" ca="1" si="146"/>
        <v>0</v>
      </c>
      <c r="BX152">
        <f t="shared" ca="1" si="147"/>
        <v>0</v>
      </c>
      <c r="BY152">
        <f t="shared" ca="1" si="148"/>
        <v>0</v>
      </c>
      <c r="BZ152">
        <f t="shared" ca="1" si="118"/>
        <v>0</v>
      </c>
      <c r="CA152">
        <f t="shared" ca="1" si="119"/>
        <v>0</v>
      </c>
    </row>
    <row r="153" spans="1:79" x14ac:dyDescent="0.4">
      <c r="A153" t="str">
        <f t="shared" si="107"/>
        <v>X</v>
      </c>
      <c r="B153">
        <v>142</v>
      </c>
      <c r="C153" t="e" cm="1">
        <f t="array" ref="C153">INDEX(auto_Series_Code,B153)</f>
        <v>#REF!</v>
      </c>
      <c r="D153" t="e" cm="1">
        <f t="array" ref="D153">INDEX(auto_tblSeries,$B153,D$11)</f>
        <v>#REF!</v>
      </c>
      <c r="E153" t="e" cm="1">
        <f t="array" ref="E153">INDEX(auto_tblSeries,$B153,E$11)</f>
        <v>#REF!</v>
      </c>
      <c r="F153" t="e" cm="1">
        <f t="array" ref="F153">INDEX(auto_tblSeries,$B153,F$11)</f>
        <v>#REF!</v>
      </c>
      <c r="G153" t="e" cm="1">
        <f t="array" ref="G153">INDEX(auto_tblSeries,$B153,G$11)</f>
        <v>#REF!</v>
      </c>
      <c r="H153" t="e" cm="1">
        <f t="array" ref="H153">INDEX(auto_tblSeries,$B153,H$11)</f>
        <v>#REF!</v>
      </c>
      <c r="I153" t="e">
        <f t="shared" si="70"/>
        <v>#REF!</v>
      </c>
      <c r="K153" t="e" cm="1">
        <f t="array" ref="K153">INDEX(auto_DataFlat_Score,$I153,K$10)</f>
        <v>#REF!</v>
      </c>
      <c r="L153" t="e" cm="1">
        <f t="array" ref="L153">INDEX(auto_DataFlat_Rank,$I153,L$10)</f>
        <v>#REF!</v>
      </c>
      <c r="M153" t="e" cm="1">
        <f t="array" ref="M153">INDEX(auto_DataFlat_DataValue,$I153,M$10)</f>
        <v>#REF!</v>
      </c>
      <c r="N153" t="e" cm="1">
        <f t="array" ref="N153">INDEX(auto_DataFlat_Classification,$I153,M$10)</f>
        <v>#REF!</v>
      </c>
      <c r="O153" t="e" cm="1">
        <f t="array" ref="O153">INDEX(auto_DataFlat_IsEstimate,$I153,O$10)</f>
        <v>#REF!</v>
      </c>
      <c r="P153" t="e" cm="1">
        <f t="array" ref="P153">IF(INDEX(auto_DataFlat_DataYear,$I153,P$10)=0,"n/a",INDEX(auto_DataFlat_DataYear,$I153,P$10))</f>
        <v>#REF!</v>
      </c>
      <c r="R153" t="e">
        <f t="shared" si="116"/>
        <v>#REF!</v>
      </c>
      <c r="S153" t="e" cm="1">
        <f t="array" ref="S153">INDEX(auto_DataFlat_Score,$R153,S$10)</f>
        <v>#REF!</v>
      </c>
      <c r="U153" t="str">
        <f t="shared" si="120"/>
        <v>n/a</v>
      </c>
      <c r="V153">
        <f t="shared" si="121"/>
        <v>1</v>
      </c>
      <c r="W153" t="e">
        <f t="shared" si="122"/>
        <v>#REF!</v>
      </c>
      <c r="X153" t="e">
        <f t="shared" ca="1" si="123"/>
        <v>#N/A</v>
      </c>
      <c r="Y153" t="e">
        <f t="shared" ca="1" si="123"/>
        <v>#N/A</v>
      </c>
      <c r="Z153" t="e">
        <f t="shared" ca="1" si="123"/>
        <v>#N/A</v>
      </c>
      <c r="AB153">
        <f t="shared" ca="1" si="111"/>
        <v>0</v>
      </c>
      <c r="AC153">
        <f t="shared" ca="1" si="111"/>
        <v>0</v>
      </c>
      <c r="AD153">
        <f t="shared" ca="1" si="111"/>
        <v>0</v>
      </c>
      <c r="AF153" t="e">
        <f t="shared" si="124"/>
        <v>#REF!</v>
      </c>
      <c r="AG153" t="e">
        <f t="shared" ca="1" si="125"/>
        <v>#N/A</v>
      </c>
      <c r="AH153" t="e">
        <f t="shared" ca="1" si="125"/>
        <v>#N/A</v>
      </c>
      <c r="AI153" t="e">
        <f t="shared" ca="1" si="125"/>
        <v>#N/A</v>
      </c>
      <c r="AJ153" t="e">
        <f t="shared" ca="1" si="125"/>
        <v>#N/A</v>
      </c>
      <c r="AK153" t="e">
        <f t="shared" ca="1" si="125"/>
        <v>#N/A</v>
      </c>
      <c r="AL153" t="e">
        <f t="shared" ca="1" si="125"/>
        <v>#N/A</v>
      </c>
      <c r="AM153" t="e">
        <f t="shared" ca="1" si="125"/>
        <v>#N/A</v>
      </c>
      <c r="AN153">
        <f t="shared" ca="1" si="126"/>
        <v>0</v>
      </c>
      <c r="AO153">
        <f t="shared" ca="1" si="127"/>
        <v>0</v>
      </c>
      <c r="AP153">
        <f t="shared" ca="1" si="128"/>
        <v>0</v>
      </c>
      <c r="AQ153">
        <f t="shared" ca="1" si="129"/>
        <v>0</v>
      </c>
      <c r="AR153">
        <f t="shared" ca="1" si="130"/>
        <v>0</v>
      </c>
      <c r="AS153">
        <f t="shared" ca="1" si="131"/>
        <v>0</v>
      </c>
      <c r="AT153">
        <f t="shared" ca="1" si="132"/>
        <v>0</v>
      </c>
      <c r="AV153" t="e">
        <f t="shared" si="6"/>
        <v>#REF!</v>
      </c>
      <c r="AW153" t="e" cm="1">
        <f t="array" ref="AW153">INDEX(auto_DataFlat_Score,$AV153,1)</f>
        <v>#REF!</v>
      </c>
      <c r="AX153" t="e" cm="1">
        <f t="array" ref="AX153">INDEX(auto_DataFlat_DataValue,$AV153,1)</f>
        <v>#REF!</v>
      </c>
      <c r="BA153" t="str">
        <f t="shared" si="133"/>
        <v>n/a</v>
      </c>
      <c r="BB153">
        <f t="shared" si="134"/>
        <v>1</v>
      </c>
      <c r="BC153" t="e">
        <f t="shared" si="135"/>
        <v>#REF!</v>
      </c>
      <c r="BD153" t="e">
        <f t="shared" ca="1" si="117"/>
        <v>#N/A</v>
      </c>
      <c r="BE153" t="e">
        <f t="shared" ca="1" si="117"/>
        <v>#N/A</v>
      </c>
      <c r="BF153" t="e">
        <f t="shared" ca="1" si="117"/>
        <v>#N/A</v>
      </c>
      <c r="BH153">
        <f t="shared" ca="1" si="112"/>
        <v>0</v>
      </c>
      <c r="BI153">
        <f t="shared" ca="1" si="112"/>
        <v>0</v>
      </c>
      <c r="BJ153">
        <f t="shared" ca="1" si="112"/>
        <v>0</v>
      </c>
      <c r="BM153" t="e">
        <f t="shared" si="136"/>
        <v>#REF!</v>
      </c>
      <c r="BN153" t="e">
        <f t="shared" ca="1" si="137"/>
        <v>#N/A</v>
      </c>
      <c r="BO153" t="e">
        <f t="shared" ca="1" si="138"/>
        <v>#N/A</v>
      </c>
      <c r="BP153" t="e">
        <f t="shared" ca="1" si="139"/>
        <v>#N/A</v>
      </c>
      <c r="BQ153" t="e">
        <f t="shared" ca="1" si="140"/>
        <v>#N/A</v>
      </c>
      <c r="BR153" t="e">
        <f t="shared" ca="1" si="141"/>
        <v>#N/A</v>
      </c>
      <c r="BS153" t="e">
        <f t="shared" ca="1" si="142"/>
        <v>#N/A</v>
      </c>
      <c r="BT153" t="e">
        <f t="shared" ca="1" si="143"/>
        <v>#N/A</v>
      </c>
      <c r="BU153">
        <f t="shared" ca="1" si="144"/>
        <v>0</v>
      </c>
      <c r="BV153">
        <f t="shared" ca="1" si="145"/>
        <v>0</v>
      </c>
      <c r="BW153">
        <f t="shared" ca="1" si="146"/>
        <v>0</v>
      </c>
      <c r="BX153">
        <f t="shared" ca="1" si="147"/>
        <v>0</v>
      </c>
      <c r="BY153">
        <f t="shared" ca="1" si="148"/>
        <v>0</v>
      </c>
      <c r="BZ153">
        <f t="shared" ca="1" si="118"/>
        <v>0</v>
      </c>
      <c r="CA153">
        <f t="shared" ca="1" si="119"/>
        <v>0</v>
      </c>
    </row>
    <row r="154" spans="1:79" x14ac:dyDescent="0.4">
      <c r="A154" t="str">
        <f t="shared" si="107"/>
        <v>X</v>
      </c>
      <c r="B154">
        <v>143</v>
      </c>
      <c r="C154" t="e" cm="1">
        <f t="array" ref="C154">INDEX(auto_Series_Code,B154)</f>
        <v>#REF!</v>
      </c>
      <c r="D154" t="e" cm="1">
        <f t="array" ref="D154">INDEX(auto_tblSeries,$B154,D$11)</f>
        <v>#REF!</v>
      </c>
      <c r="E154" t="e" cm="1">
        <f t="array" ref="E154">INDEX(auto_tblSeries,$B154,E$11)</f>
        <v>#REF!</v>
      </c>
      <c r="F154" t="e" cm="1">
        <f t="array" ref="F154">INDEX(auto_tblSeries,$B154,F$11)</f>
        <v>#REF!</v>
      </c>
      <c r="G154" t="e" cm="1">
        <f t="array" ref="G154">INDEX(auto_tblSeries,$B154,G$11)</f>
        <v>#REF!</v>
      </c>
      <c r="H154" t="e" cm="1">
        <f t="array" ref="H154">INDEX(auto_tblSeries,$B154,H$11)</f>
        <v>#REF!</v>
      </c>
      <c r="I154" t="e">
        <f t="shared" si="70"/>
        <v>#REF!</v>
      </c>
      <c r="K154" t="e" cm="1">
        <f t="array" ref="K154">INDEX(auto_DataFlat_Score,$I154,K$10)</f>
        <v>#REF!</v>
      </c>
      <c r="L154" t="e" cm="1">
        <f t="array" ref="L154">INDEX(auto_DataFlat_Rank,$I154,L$10)</f>
        <v>#REF!</v>
      </c>
      <c r="M154" t="e" cm="1">
        <f t="array" ref="M154">INDEX(auto_DataFlat_DataValue,$I154,M$10)</f>
        <v>#REF!</v>
      </c>
      <c r="N154" t="e" cm="1">
        <f t="array" ref="N154">INDEX(auto_DataFlat_Classification,$I154,M$10)</f>
        <v>#REF!</v>
      </c>
      <c r="O154" t="e" cm="1">
        <f t="array" ref="O154">INDEX(auto_DataFlat_IsEstimate,$I154,O$10)</f>
        <v>#REF!</v>
      </c>
      <c r="P154" t="e" cm="1">
        <f t="array" ref="P154">IF(INDEX(auto_DataFlat_DataYear,$I154,P$10)=0,"n/a",INDEX(auto_DataFlat_DataYear,$I154,P$10))</f>
        <v>#REF!</v>
      </c>
      <c r="R154" t="e">
        <f t="shared" si="116"/>
        <v>#REF!</v>
      </c>
      <c r="S154" t="e" cm="1">
        <f t="array" ref="S154">INDEX(auto_DataFlat_Score,$R154,S$10)</f>
        <v>#REF!</v>
      </c>
      <c r="U154" t="str">
        <f t="shared" si="120"/>
        <v>n/a</v>
      </c>
      <c r="V154">
        <f t="shared" si="121"/>
        <v>1</v>
      </c>
      <c r="W154" t="e">
        <f t="shared" si="122"/>
        <v>#REF!</v>
      </c>
      <c r="X154" t="e">
        <f t="shared" ca="1" si="123"/>
        <v>#N/A</v>
      </c>
      <c r="Y154" t="e">
        <f t="shared" ca="1" si="123"/>
        <v>#N/A</v>
      </c>
      <c r="Z154" t="e">
        <f t="shared" ca="1" si="123"/>
        <v>#N/A</v>
      </c>
      <c r="AB154">
        <f t="shared" ca="1" si="111"/>
        <v>0</v>
      </c>
      <c r="AC154">
        <f t="shared" ca="1" si="111"/>
        <v>0</v>
      </c>
      <c r="AD154">
        <f t="shared" ca="1" si="111"/>
        <v>0</v>
      </c>
      <c r="AF154" t="e">
        <f t="shared" si="124"/>
        <v>#REF!</v>
      </c>
      <c r="AG154" t="e">
        <f t="shared" ca="1" si="125"/>
        <v>#N/A</v>
      </c>
      <c r="AH154" t="e">
        <f t="shared" ca="1" si="125"/>
        <v>#N/A</v>
      </c>
      <c r="AI154" t="e">
        <f t="shared" ca="1" si="125"/>
        <v>#N/A</v>
      </c>
      <c r="AJ154" t="e">
        <f t="shared" ca="1" si="125"/>
        <v>#N/A</v>
      </c>
      <c r="AK154" t="e">
        <f t="shared" ca="1" si="125"/>
        <v>#N/A</v>
      </c>
      <c r="AL154" t="e">
        <f t="shared" ca="1" si="125"/>
        <v>#N/A</v>
      </c>
      <c r="AM154" t="e">
        <f t="shared" ca="1" si="125"/>
        <v>#N/A</v>
      </c>
      <c r="AN154">
        <f t="shared" ca="1" si="126"/>
        <v>0</v>
      </c>
      <c r="AO154">
        <f t="shared" ca="1" si="127"/>
        <v>0</v>
      </c>
      <c r="AP154">
        <f t="shared" ca="1" si="128"/>
        <v>0</v>
      </c>
      <c r="AQ154">
        <f t="shared" ca="1" si="129"/>
        <v>0</v>
      </c>
      <c r="AR154">
        <f t="shared" ca="1" si="130"/>
        <v>0</v>
      </c>
      <c r="AS154">
        <f t="shared" ca="1" si="131"/>
        <v>0</v>
      </c>
      <c r="AT154">
        <f t="shared" ca="1" si="132"/>
        <v>0</v>
      </c>
      <c r="AV154" t="e">
        <f t="shared" si="6"/>
        <v>#REF!</v>
      </c>
      <c r="AW154" t="e" cm="1">
        <f t="array" ref="AW154">INDEX(auto_DataFlat_Score,$AV154,1)</f>
        <v>#REF!</v>
      </c>
      <c r="AX154" t="e" cm="1">
        <f t="array" ref="AX154">INDEX(auto_DataFlat_DataValue,$AV154,1)</f>
        <v>#REF!</v>
      </c>
      <c r="BA154" t="str">
        <f t="shared" si="133"/>
        <v>n/a</v>
      </c>
      <c r="BB154">
        <f t="shared" si="134"/>
        <v>1</v>
      </c>
      <c r="BC154" t="e">
        <f t="shared" si="135"/>
        <v>#REF!</v>
      </c>
      <c r="BD154" t="e">
        <f t="shared" ca="1" si="117"/>
        <v>#N/A</v>
      </c>
      <c r="BE154" t="e">
        <f t="shared" ca="1" si="117"/>
        <v>#N/A</v>
      </c>
      <c r="BF154" t="e">
        <f t="shared" ca="1" si="117"/>
        <v>#N/A</v>
      </c>
      <c r="BH154">
        <f t="shared" ca="1" si="112"/>
        <v>0</v>
      </c>
      <c r="BI154">
        <f t="shared" ca="1" si="112"/>
        <v>0</v>
      </c>
      <c r="BJ154">
        <f t="shared" ca="1" si="112"/>
        <v>0</v>
      </c>
      <c r="BM154" t="e">
        <f t="shared" si="136"/>
        <v>#REF!</v>
      </c>
      <c r="BN154" t="e">
        <f t="shared" ca="1" si="137"/>
        <v>#N/A</v>
      </c>
      <c r="BO154" t="e">
        <f t="shared" ca="1" si="138"/>
        <v>#N/A</v>
      </c>
      <c r="BP154" t="e">
        <f t="shared" ca="1" si="139"/>
        <v>#N/A</v>
      </c>
      <c r="BQ154" t="e">
        <f t="shared" ca="1" si="140"/>
        <v>#N/A</v>
      </c>
      <c r="BR154" t="e">
        <f t="shared" ca="1" si="141"/>
        <v>#N/A</v>
      </c>
      <c r="BS154" t="e">
        <f t="shared" ca="1" si="142"/>
        <v>#N/A</v>
      </c>
      <c r="BT154" t="e">
        <f t="shared" ca="1" si="143"/>
        <v>#N/A</v>
      </c>
      <c r="BU154">
        <f t="shared" ca="1" si="144"/>
        <v>0</v>
      </c>
      <c r="BV154">
        <f t="shared" ca="1" si="145"/>
        <v>0</v>
      </c>
      <c r="BW154">
        <f t="shared" ca="1" si="146"/>
        <v>0</v>
      </c>
      <c r="BX154">
        <f t="shared" ca="1" si="147"/>
        <v>0</v>
      </c>
      <c r="BY154">
        <f t="shared" ca="1" si="148"/>
        <v>0</v>
      </c>
      <c r="BZ154">
        <f t="shared" ca="1" si="118"/>
        <v>0</v>
      </c>
      <c r="CA154">
        <f t="shared" ca="1" si="119"/>
        <v>0</v>
      </c>
    </row>
    <row r="155" spans="1:79" x14ac:dyDescent="0.4">
      <c r="A155" t="str">
        <f t="shared" si="107"/>
        <v>X</v>
      </c>
      <c r="B155">
        <v>144</v>
      </c>
      <c r="C155" t="e" cm="1">
        <f t="array" ref="C155">INDEX(auto_Series_Code,B155)</f>
        <v>#REF!</v>
      </c>
      <c r="D155" t="e" cm="1">
        <f t="array" ref="D155">INDEX(auto_tblSeries,$B155,D$11)</f>
        <v>#REF!</v>
      </c>
      <c r="E155" t="e" cm="1">
        <f t="array" ref="E155">INDEX(auto_tblSeries,$B155,E$11)</f>
        <v>#REF!</v>
      </c>
      <c r="F155" t="e" cm="1">
        <f t="array" ref="F155">INDEX(auto_tblSeries,$B155,F$11)</f>
        <v>#REF!</v>
      </c>
      <c r="G155" t="e" cm="1">
        <f t="array" ref="G155">INDEX(auto_tblSeries,$B155,G$11)</f>
        <v>#REF!</v>
      </c>
      <c r="H155" t="e" cm="1">
        <f t="array" ref="H155">INDEX(auto_tblSeries,$B155,H$11)</f>
        <v>#REF!</v>
      </c>
      <c r="I155" t="e">
        <f t="shared" si="70"/>
        <v>#REF!</v>
      </c>
      <c r="K155" t="e" cm="1">
        <f t="array" ref="K155">INDEX(auto_DataFlat_Score,$I155,K$10)</f>
        <v>#REF!</v>
      </c>
      <c r="L155" t="e" cm="1">
        <f t="array" ref="L155">INDEX(auto_DataFlat_Rank,$I155,L$10)</f>
        <v>#REF!</v>
      </c>
      <c r="M155" t="e" cm="1">
        <f t="array" ref="M155">INDEX(auto_DataFlat_DataValue,$I155,M$10)</f>
        <v>#REF!</v>
      </c>
      <c r="N155" t="e" cm="1">
        <f t="array" ref="N155">INDEX(auto_DataFlat_Classification,$I155,M$10)</f>
        <v>#REF!</v>
      </c>
      <c r="O155" t="e" cm="1">
        <f t="array" ref="O155">INDEX(auto_DataFlat_IsEstimate,$I155,O$10)</f>
        <v>#REF!</v>
      </c>
      <c r="P155" t="e" cm="1">
        <f t="array" ref="P155">IF(INDEX(auto_DataFlat_DataYear,$I155,P$10)=0,"n/a",INDEX(auto_DataFlat_DataYear,$I155,P$10))</f>
        <v>#REF!</v>
      </c>
      <c r="R155" t="e">
        <f t="shared" si="116"/>
        <v>#REF!</v>
      </c>
      <c r="S155" t="e" cm="1">
        <f t="array" ref="S155">INDEX(auto_DataFlat_Score,$R155,S$10)</f>
        <v>#REF!</v>
      </c>
      <c r="U155" t="str">
        <f t="shared" si="120"/>
        <v>n/a</v>
      </c>
      <c r="V155">
        <f t="shared" si="121"/>
        <v>1</v>
      </c>
      <c r="W155" t="e">
        <f t="shared" si="122"/>
        <v>#REF!</v>
      </c>
      <c r="X155" t="e">
        <f t="shared" ca="1" si="123"/>
        <v>#N/A</v>
      </c>
      <c r="Y155" t="e">
        <f t="shared" ca="1" si="123"/>
        <v>#N/A</v>
      </c>
      <c r="Z155" t="e">
        <f t="shared" ca="1" si="123"/>
        <v>#N/A</v>
      </c>
      <c r="AB155">
        <f t="shared" ca="1" si="111"/>
        <v>0</v>
      </c>
      <c r="AC155">
        <f t="shared" ca="1" si="111"/>
        <v>0</v>
      </c>
      <c r="AD155">
        <f t="shared" ca="1" si="111"/>
        <v>0</v>
      </c>
      <c r="AF155" t="e">
        <f t="shared" si="124"/>
        <v>#REF!</v>
      </c>
      <c r="AG155" t="e">
        <f t="shared" ca="1" si="125"/>
        <v>#N/A</v>
      </c>
      <c r="AH155" t="e">
        <f t="shared" ca="1" si="125"/>
        <v>#N/A</v>
      </c>
      <c r="AI155" t="e">
        <f t="shared" ca="1" si="125"/>
        <v>#N/A</v>
      </c>
      <c r="AJ155" t="e">
        <f t="shared" ca="1" si="125"/>
        <v>#N/A</v>
      </c>
      <c r="AK155" t="e">
        <f t="shared" ca="1" si="125"/>
        <v>#N/A</v>
      </c>
      <c r="AL155" t="e">
        <f t="shared" ca="1" si="125"/>
        <v>#N/A</v>
      </c>
      <c r="AM155" t="e">
        <f t="shared" ca="1" si="125"/>
        <v>#N/A</v>
      </c>
      <c r="AN155">
        <f t="shared" ca="1" si="126"/>
        <v>0</v>
      </c>
      <c r="AO155">
        <f t="shared" ca="1" si="127"/>
        <v>0</v>
      </c>
      <c r="AP155">
        <f t="shared" ca="1" si="128"/>
        <v>0</v>
      </c>
      <c r="AQ155">
        <f t="shared" ca="1" si="129"/>
        <v>0</v>
      </c>
      <c r="AR155">
        <f t="shared" ca="1" si="130"/>
        <v>0</v>
      </c>
      <c r="AS155">
        <f t="shared" ca="1" si="131"/>
        <v>0</v>
      </c>
      <c r="AT155">
        <f t="shared" ca="1" si="132"/>
        <v>0</v>
      </c>
      <c r="AV155" t="e">
        <f t="shared" si="6"/>
        <v>#REF!</v>
      </c>
      <c r="AW155" t="e" cm="1">
        <f t="array" ref="AW155">INDEX(auto_DataFlat_Score,$AV155,1)</f>
        <v>#REF!</v>
      </c>
      <c r="AX155" t="e" cm="1">
        <f t="array" ref="AX155">INDEX(auto_DataFlat_DataValue,$AV155,1)</f>
        <v>#REF!</v>
      </c>
      <c r="BA155" t="str">
        <f t="shared" si="133"/>
        <v>n/a</v>
      </c>
      <c r="BB155">
        <f t="shared" si="134"/>
        <v>1</v>
      </c>
      <c r="BC155" t="e">
        <f t="shared" si="135"/>
        <v>#REF!</v>
      </c>
      <c r="BD155" t="e">
        <f t="shared" ca="1" si="117"/>
        <v>#N/A</v>
      </c>
      <c r="BE155" t="e">
        <f t="shared" ca="1" si="117"/>
        <v>#N/A</v>
      </c>
      <c r="BF155" t="e">
        <f t="shared" ca="1" si="117"/>
        <v>#N/A</v>
      </c>
      <c r="BH155">
        <f t="shared" ca="1" si="112"/>
        <v>0</v>
      </c>
      <c r="BI155">
        <f t="shared" ca="1" si="112"/>
        <v>0</v>
      </c>
      <c r="BJ155">
        <f t="shared" ca="1" si="112"/>
        <v>0</v>
      </c>
      <c r="BM155" t="e">
        <f t="shared" si="136"/>
        <v>#REF!</v>
      </c>
      <c r="BN155" t="e">
        <f t="shared" ca="1" si="137"/>
        <v>#N/A</v>
      </c>
      <c r="BO155" t="e">
        <f t="shared" ca="1" si="138"/>
        <v>#N/A</v>
      </c>
      <c r="BP155" t="e">
        <f t="shared" ca="1" si="139"/>
        <v>#N/A</v>
      </c>
      <c r="BQ155" t="e">
        <f t="shared" ca="1" si="140"/>
        <v>#N/A</v>
      </c>
      <c r="BR155" t="e">
        <f t="shared" ca="1" si="141"/>
        <v>#N/A</v>
      </c>
      <c r="BS155" t="e">
        <f t="shared" ca="1" si="142"/>
        <v>#N/A</v>
      </c>
      <c r="BT155" t="e">
        <f t="shared" ca="1" si="143"/>
        <v>#N/A</v>
      </c>
      <c r="BU155">
        <f t="shared" ca="1" si="144"/>
        <v>0</v>
      </c>
      <c r="BV155">
        <f t="shared" ca="1" si="145"/>
        <v>0</v>
      </c>
      <c r="BW155">
        <f t="shared" ca="1" si="146"/>
        <v>0</v>
      </c>
      <c r="BX155">
        <f t="shared" ca="1" si="147"/>
        <v>0</v>
      </c>
      <c r="BY155">
        <f t="shared" ca="1" si="148"/>
        <v>0</v>
      </c>
      <c r="BZ155">
        <f t="shared" ca="1" si="118"/>
        <v>0</v>
      </c>
      <c r="CA155">
        <f t="shared" ca="1" si="119"/>
        <v>0</v>
      </c>
    </row>
    <row r="156" spans="1:79" x14ac:dyDescent="0.4">
      <c r="A156" t="str">
        <f t="shared" si="107"/>
        <v>X</v>
      </c>
      <c r="B156">
        <v>145</v>
      </c>
      <c r="C156" t="e" cm="1">
        <f t="array" ref="C156">INDEX(auto_Series_Code,B156)</f>
        <v>#REF!</v>
      </c>
      <c r="D156" t="e" cm="1">
        <f t="array" ref="D156">INDEX(auto_tblSeries,$B156,D$11)</f>
        <v>#REF!</v>
      </c>
      <c r="E156" t="e" cm="1">
        <f t="array" ref="E156">INDEX(auto_tblSeries,$B156,E$11)</f>
        <v>#REF!</v>
      </c>
      <c r="F156" t="e" cm="1">
        <f t="array" ref="F156">INDEX(auto_tblSeries,$B156,F$11)</f>
        <v>#REF!</v>
      </c>
      <c r="G156" t="e" cm="1">
        <f t="array" ref="G156">INDEX(auto_tblSeries,$B156,G$11)</f>
        <v>#REF!</v>
      </c>
      <c r="H156" t="e" cm="1">
        <f t="array" ref="H156">INDEX(auto_tblSeries,$B156,H$11)</f>
        <v>#REF!</v>
      </c>
      <c r="I156" t="e">
        <f t="shared" si="70"/>
        <v>#REF!</v>
      </c>
      <c r="K156" t="e" cm="1">
        <f t="array" ref="K156">INDEX(auto_DataFlat_Score,$I156,K$10)</f>
        <v>#REF!</v>
      </c>
      <c r="L156" t="e" cm="1">
        <f t="array" ref="L156">INDEX(auto_DataFlat_Rank,$I156,L$10)</f>
        <v>#REF!</v>
      </c>
      <c r="M156" t="e" cm="1">
        <f t="array" ref="M156">INDEX(auto_DataFlat_DataValue,$I156,M$10)</f>
        <v>#REF!</v>
      </c>
      <c r="N156" t="e" cm="1">
        <f t="array" ref="N156">INDEX(auto_DataFlat_Classification,$I156,M$10)</f>
        <v>#REF!</v>
      </c>
      <c r="O156" t="e" cm="1">
        <f t="array" ref="O156">INDEX(auto_DataFlat_IsEstimate,$I156,O$10)</f>
        <v>#REF!</v>
      </c>
      <c r="P156" t="e" cm="1">
        <f t="array" ref="P156">IF(INDEX(auto_DataFlat_DataYear,$I156,P$10)=0,"n/a",INDEX(auto_DataFlat_DataYear,$I156,P$10))</f>
        <v>#REF!</v>
      </c>
      <c r="R156" t="e">
        <f t="shared" si="116"/>
        <v>#REF!</v>
      </c>
      <c r="S156" t="e" cm="1">
        <f t="array" ref="S156">INDEX(auto_DataFlat_Score,$R156,S$10)</f>
        <v>#REF!</v>
      </c>
      <c r="U156" t="str">
        <f t="shared" si="120"/>
        <v>n/a</v>
      </c>
      <c r="V156">
        <f t="shared" si="121"/>
        <v>1</v>
      </c>
      <c r="W156" t="e">
        <f t="shared" si="122"/>
        <v>#REF!</v>
      </c>
      <c r="X156" t="e">
        <f t="shared" ca="1" si="123"/>
        <v>#N/A</v>
      </c>
      <c r="Y156" t="e">
        <f t="shared" ca="1" si="123"/>
        <v>#N/A</v>
      </c>
      <c r="Z156" t="e">
        <f t="shared" ca="1" si="123"/>
        <v>#N/A</v>
      </c>
      <c r="AB156">
        <f t="shared" ca="1" si="111"/>
        <v>0</v>
      </c>
      <c r="AC156">
        <f t="shared" ca="1" si="111"/>
        <v>0</v>
      </c>
      <c r="AD156">
        <f t="shared" ca="1" si="111"/>
        <v>0</v>
      </c>
      <c r="AF156" t="e">
        <f t="shared" si="124"/>
        <v>#REF!</v>
      </c>
      <c r="AG156" t="e">
        <f t="shared" ca="1" si="125"/>
        <v>#N/A</v>
      </c>
      <c r="AH156" t="e">
        <f t="shared" ca="1" si="125"/>
        <v>#N/A</v>
      </c>
      <c r="AI156" t="e">
        <f t="shared" ca="1" si="125"/>
        <v>#N/A</v>
      </c>
      <c r="AJ156" t="e">
        <f t="shared" ca="1" si="125"/>
        <v>#N/A</v>
      </c>
      <c r="AK156" t="e">
        <f t="shared" ca="1" si="125"/>
        <v>#N/A</v>
      </c>
      <c r="AL156" t="e">
        <f t="shared" ca="1" si="125"/>
        <v>#N/A</v>
      </c>
      <c r="AM156" t="e">
        <f t="shared" ca="1" si="125"/>
        <v>#N/A</v>
      </c>
      <c r="AN156">
        <f t="shared" ca="1" si="126"/>
        <v>0</v>
      </c>
      <c r="AO156">
        <f t="shared" ca="1" si="127"/>
        <v>0</v>
      </c>
      <c r="AP156">
        <f t="shared" ca="1" si="128"/>
        <v>0</v>
      </c>
      <c r="AQ156">
        <f t="shared" ca="1" si="129"/>
        <v>0</v>
      </c>
      <c r="AR156">
        <f t="shared" ca="1" si="130"/>
        <v>0</v>
      </c>
      <c r="AS156">
        <f t="shared" ca="1" si="131"/>
        <v>0</v>
      </c>
      <c r="AT156">
        <f t="shared" ca="1" si="132"/>
        <v>0</v>
      </c>
      <c r="AV156" t="e">
        <f t="shared" si="6"/>
        <v>#REF!</v>
      </c>
      <c r="AW156" t="e" cm="1">
        <f t="array" ref="AW156">INDEX(auto_DataFlat_Score,$AV156,1)</f>
        <v>#REF!</v>
      </c>
      <c r="AX156" t="e" cm="1">
        <f t="array" ref="AX156">INDEX(auto_DataFlat_DataValue,$AV156,1)</f>
        <v>#REF!</v>
      </c>
      <c r="BA156" t="str">
        <f t="shared" si="133"/>
        <v>n/a</v>
      </c>
      <c r="BB156">
        <f t="shared" si="134"/>
        <v>1</v>
      </c>
      <c r="BC156" t="e">
        <f t="shared" si="135"/>
        <v>#REF!</v>
      </c>
      <c r="BD156" t="e">
        <f t="shared" ref="BD156:BF171" ca="1" si="149">BD155+MATCH(BD$10,OFFSET($BC$12,BD155,0,200,1),0)</f>
        <v>#N/A</v>
      </c>
      <c r="BE156" t="e">
        <f t="shared" ca="1" si="149"/>
        <v>#N/A</v>
      </c>
      <c r="BF156" t="e">
        <f t="shared" ca="1" si="149"/>
        <v>#N/A</v>
      </c>
      <c r="BH156">
        <f t="shared" ca="1" si="112"/>
        <v>0</v>
      </c>
      <c r="BI156">
        <f t="shared" ca="1" si="112"/>
        <v>0</v>
      </c>
      <c r="BJ156">
        <f t="shared" ca="1" si="112"/>
        <v>0</v>
      </c>
      <c r="BM156" t="e">
        <f t="shared" si="136"/>
        <v>#REF!</v>
      </c>
      <c r="BN156" t="e">
        <f t="shared" ca="1" si="137"/>
        <v>#N/A</v>
      </c>
      <c r="BO156" t="e">
        <f t="shared" ca="1" si="138"/>
        <v>#N/A</v>
      </c>
      <c r="BP156" t="e">
        <f t="shared" ca="1" si="139"/>
        <v>#N/A</v>
      </c>
      <c r="BQ156" t="e">
        <f t="shared" ca="1" si="140"/>
        <v>#N/A</v>
      </c>
      <c r="BR156" t="e">
        <f t="shared" ca="1" si="141"/>
        <v>#N/A</v>
      </c>
      <c r="BS156" t="e">
        <f t="shared" ca="1" si="142"/>
        <v>#N/A</v>
      </c>
      <c r="BT156" t="e">
        <f t="shared" ca="1" si="143"/>
        <v>#N/A</v>
      </c>
      <c r="BU156">
        <f t="shared" ca="1" si="144"/>
        <v>0</v>
      </c>
      <c r="BV156">
        <f t="shared" ca="1" si="145"/>
        <v>0</v>
      </c>
      <c r="BW156">
        <f t="shared" ca="1" si="146"/>
        <v>0</v>
      </c>
      <c r="BX156">
        <f t="shared" ca="1" si="147"/>
        <v>0</v>
      </c>
      <c r="BY156">
        <f t="shared" ca="1" si="148"/>
        <v>0</v>
      </c>
      <c r="BZ156">
        <f t="shared" ca="1" si="118"/>
        <v>0</v>
      </c>
      <c r="CA156">
        <f t="shared" ca="1" si="119"/>
        <v>0</v>
      </c>
    </row>
    <row r="157" spans="1:79" x14ac:dyDescent="0.4">
      <c r="A157" t="str">
        <f t="shared" si="107"/>
        <v>X</v>
      </c>
      <c r="B157">
        <v>146</v>
      </c>
      <c r="C157" t="e" cm="1">
        <f t="array" ref="C157">INDEX(auto_Series_Code,B157)</f>
        <v>#REF!</v>
      </c>
      <c r="D157" t="e" cm="1">
        <f t="array" ref="D157">INDEX(auto_tblSeries,$B157,D$11)</f>
        <v>#REF!</v>
      </c>
      <c r="E157" t="e" cm="1">
        <f t="array" ref="E157">INDEX(auto_tblSeries,$B157,E$11)</f>
        <v>#REF!</v>
      </c>
      <c r="F157" t="e" cm="1">
        <f t="array" ref="F157">INDEX(auto_tblSeries,$B157,F$11)</f>
        <v>#REF!</v>
      </c>
      <c r="G157" t="e" cm="1">
        <f t="array" ref="G157">INDEX(auto_tblSeries,$B157,G$11)</f>
        <v>#REF!</v>
      </c>
      <c r="H157" t="e" cm="1">
        <f t="array" ref="H157">INDEX(auto_tblSeries,$B157,H$11)</f>
        <v>#REF!</v>
      </c>
      <c r="I157" t="e">
        <f t="shared" si="70"/>
        <v>#REF!</v>
      </c>
      <c r="K157" t="e" cm="1">
        <f t="array" ref="K157">INDEX(auto_DataFlat_Score,$I157,K$10)</f>
        <v>#REF!</v>
      </c>
      <c r="L157" t="e" cm="1">
        <f t="array" ref="L157">INDEX(auto_DataFlat_Rank,$I157,L$10)</f>
        <v>#REF!</v>
      </c>
      <c r="M157" t="e" cm="1">
        <f t="array" ref="M157">INDEX(auto_DataFlat_DataValue,$I157,M$10)</f>
        <v>#REF!</v>
      </c>
      <c r="N157" t="e" cm="1">
        <f t="array" ref="N157">INDEX(auto_DataFlat_Classification,$I157,M$10)</f>
        <v>#REF!</v>
      </c>
      <c r="O157" t="e" cm="1">
        <f t="array" ref="O157">INDEX(auto_DataFlat_IsEstimate,$I157,O$10)</f>
        <v>#REF!</v>
      </c>
      <c r="P157" t="e" cm="1">
        <f t="array" ref="P157">IF(INDEX(auto_DataFlat_DataYear,$I157,P$10)=0,"n/a",INDEX(auto_DataFlat_DataYear,$I157,P$10))</f>
        <v>#REF!</v>
      </c>
      <c r="R157" t="e">
        <f t="shared" si="116"/>
        <v>#REF!</v>
      </c>
      <c r="S157" t="e" cm="1">
        <f t="array" ref="S157">INDEX(auto_DataFlat_Score,$R157,S$10)</f>
        <v>#REF!</v>
      </c>
      <c r="U157" t="str">
        <f t="shared" si="120"/>
        <v>n/a</v>
      </c>
      <c r="V157">
        <f t="shared" si="121"/>
        <v>1</v>
      </c>
      <c r="W157" t="e">
        <f t="shared" si="122"/>
        <v>#REF!</v>
      </c>
      <c r="X157" t="e">
        <f t="shared" ref="X157:Z172" ca="1" si="150">X156+MATCH(X$10,OFFSET($W$12,X156,0,300,1),0)</f>
        <v>#N/A</v>
      </c>
      <c r="Y157" t="e">
        <f t="shared" ca="1" si="150"/>
        <v>#N/A</v>
      </c>
      <c r="Z157" t="e">
        <f t="shared" ca="1" si="150"/>
        <v>#N/A</v>
      </c>
      <c r="AB157">
        <f t="shared" ca="1" si="111"/>
        <v>0</v>
      </c>
      <c r="AC157">
        <f t="shared" ca="1" si="111"/>
        <v>0</v>
      </c>
      <c r="AD157">
        <f t="shared" ca="1" si="111"/>
        <v>0</v>
      </c>
      <c r="AF157" t="e">
        <f t="shared" si="124"/>
        <v>#REF!</v>
      </c>
      <c r="AG157" t="e">
        <f t="shared" ref="AG157:AM172" ca="1" si="151">IFERROR(AG156+MATCH(AG$10,OFFSET($AF$12,AG156,0,300-AG156,1),0),NA())</f>
        <v>#N/A</v>
      </c>
      <c r="AH157" t="e">
        <f t="shared" ca="1" si="151"/>
        <v>#N/A</v>
      </c>
      <c r="AI157" t="e">
        <f t="shared" ca="1" si="151"/>
        <v>#N/A</v>
      </c>
      <c r="AJ157" t="e">
        <f t="shared" ca="1" si="151"/>
        <v>#N/A</v>
      </c>
      <c r="AK157" t="e">
        <f t="shared" ca="1" si="151"/>
        <v>#N/A</v>
      </c>
      <c r="AL157" t="e">
        <f t="shared" ca="1" si="151"/>
        <v>#N/A</v>
      </c>
      <c r="AM157" t="e">
        <f t="shared" ca="1" si="151"/>
        <v>#N/A</v>
      </c>
      <c r="AN157">
        <f t="shared" ca="1" si="126"/>
        <v>0</v>
      </c>
      <c r="AO157">
        <f t="shared" ca="1" si="127"/>
        <v>0</v>
      </c>
      <c r="AP157">
        <f t="shared" ca="1" si="128"/>
        <v>0</v>
      </c>
      <c r="AQ157">
        <f t="shared" ca="1" si="129"/>
        <v>0</v>
      </c>
      <c r="AR157">
        <f t="shared" ca="1" si="130"/>
        <v>0</v>
      </c>
      <c r="AS157">
        <f t="shared" ca="1" si="131"/>
        <v>0</v>
      </c>
      <c r="AT157">
        <f t="shared" ca="1" si="132"/>
        <v>0</v>
      </c>
      <c r="AV157" t="e">
        <f t="shared" si="6"/>
        <v>#REF!</v>
      </c>
      <c r="AW157" t="e" cm="1">
        <f t="array" ref="AW157">INDEX(auto_DataFlat_Score,$AV157,1)</f>
        <v>#REF!</v>
      </c>
      <c r="AX157" t="e" cm="1">
        <f t="array" ref="AX157">INDEX(auto_DataFlat_DataValue,$AV157,1)</f>
        <v>#REF!</v>
      </c>
      <c r="BA157" t="str">
        <f t="shared" si="133"/>
        <v>n/a</v>
      </c>
      <c r="BB157">
        <f t="shared" si="134"/>
        <v>1</v>
      </c>
      <c r="BC157" t="e">
        <f t="shared" si="135"/>
        <v>#REF!</v>
      </c>
      <c r="BD157" t="e">
        <f t="shared" ca="1" si="149"/>
        <v>#N/A</v>
      </c>
      <c r="BE157" t="e">
        <f t="shared" ca="1" si="149"/>
        <v>#N/A</v>
      </c>
      <c r="BF157" t="e">
        <f t="shared" ca="1" si="149"/>
        <v>#N/A</v>
      </c>
      <c r="BH157">
        <f t="shared" ca="1" si="112"/>
        <v>0</v>
      </c>
      <c r="BI157">
        <f t="shared" ca="1" si="112"/>
        <v>0</v>
      </c>
      <c r="BJ157">
        <f t="shared" ca="1" si="112"/>
        <v>0</v>
      </c>
      <c r="BM157" t="e">
        <f t="shared" si="136"/>
        <v>#REF!</v>
      </c>
      <c r="BN157" t="e">
        <f t="shared" ca="1" si="137"/>
        <v>#N/A</v>
      </c>
      <c r="BO157" t="e">
        <f t="shared" ca="1" si="138"/>
        <v>#N/A</v>
      </c>
      <c r="BP157" t="e">
        <f t="shared" ca="1" si="139"/>
        <v>#N/A</v>
      </c>
      <c r="BQ157" t="e">
        <f t="shared" ca="1" si="140"/>
        <v>#N/A</v>
      </c>
      <c r="BR157" t="e">
        <f t="shared" ca="1" si="141"/>
        <v>#N/A</v>
      </c>
      <c r="BS157" t="e">
        <f t="shared" ca="1" si="142"/>
        <v>#N/A</v>
      </c>
      <c r="BT157" t="e">
        <f t="shared" ca="1" si="143"/>
        <v>#N/A</v>
      </c>
      <c r="BU157">
        <f t="shared" ca="1" si="144"/>
        <v>0</v>
      </c>
      <c r="BV157">
        <f t="shared" ca="1" si="145"/>
        <v>0</v>
      </c>
      <c r="BW157">
        <f t="shared" ca="1" si="146"/>
        <v>0</v>
      </c>
      <c r="BX157">
        <f t="shared" ca="1" si="147"/>
        <v>0</v>
      </c>
      <c r="BY157">
        <f t="shared" ca="1" si="148"/>
        <v>0</v>
      </c>
      <c r="BZ157">
        <f t="shared" ca="1" si="118"/>
        <v>0</v>
      </c>
      <c r="CA157">
        <f t="shared" ca="1" si="119"/>
        <v>0</v>
      </c>
    </row>
    <row r="158" spans="1:79" x14ac:dyDescent="0.4">
      <c r="A158" t="str">
        <f t="shared" si="107"/>
        <v>X</v>
      </c>
      <c r="B158">
        <v>147</v>
      </c>
      <c r="C158" t="e" cm="1">
        <f t="array" ref="C158">INDEX(auto_Series_Code,B158)</f>
        <v>#REF!</v>
      </c>
      <c r="D158" t="e" cm="1">
        <f t="array" ref="D158">INDEX(auto_tblSeries,$B158,D$11)</f>
        <v>#REF!</v>
      </c>
      <c r="E158" t="e" cm="1">
        <f t="array" ref="E158">INDEX(auto_tblSeries,$B158,E$11)</f>
        <v>#REF!</v>
      </c>
      <c r="F158" t="e" cm="1">
        <f t="array" ref="F158">INDEX(auto_tblSeries,$B158,F$11)</f>
        <v>#REF!</v>
      </c>
      <c r="G158" t="e" cm="1">
        <f t="array" ref="G158">INDEX(auto_tblSeries,$B158,G$11)</f>
        <v>#REF!</v>
      </c>
      <c r="H158" t="e" cm="1">
        <f t="array" ref="H158">INDEX(auto_tblSeries,$B158,H$11)</f>
        <v>#REF!</v>
      </c>
      <c r="I158" t="e">
        <f t="shared" si="70"/>
        <v>#REF!</v>
      </c>
      <c r="K158" t="e" cm="1">
        <f t="array" ref="K158">INDEX(auto_DataFlat_Score,$I158,K$10)</f>
        <v>#REF!</v>
      </c>
      <c r="L158" t="e" cm="1">
        <f t="array" ref="L158">INDEX(auto_DataFlat_Rank,$I158,L$10)</f>
        <v>#REF!</v>
      </c>
      <c r="M158" t="e" cm="1">
        <f t="array" ref="M158">INDEX(auto_DataFlat_DataValue,$I158,M$10)</f>
        <v>#REF!</v>
      </c>
      <c r="N158" t="e" cm="1">
        <f t="array" ref="N158">INDEX(auto_DataFlat_Classification,$I158,M$10)</f>
        <v>#REF!</v>
      </c>
      <c r="O158" t="e" cm="1">
        <f t="array" ref="O158">INDEX(auto_DataFlat_IsEstimate,$I158,O$10)</f>
        <v>#REF!</v>
      </c>
      <c r="P158" t="e" cm="1">
        <f t="array" ref="P158">IF(INDEX(auto_DataFlat_DataYear,$I158,P$10)=0,"n/a",INDEX(auto_DataFlat_DataYear,$I158,P$10))</f>
        <v>#REF!</v>
      </c>
      <c r="R158" t="e">
        <f t="shared" si="116"/>
        <v>#REF!</v>
      </c>
      <c r="S158" t="e" cm="1">
        <f t="array" ref="S158">INDEX(auto_DataFlat_Score,$R158,S$10)</f>
        <v>#REF!</v>
      </c>
      <c r="U158" t="str">
        <f t="shared" si="120"/>
        <v>n/a</v>
      </c>
      <c r="V158">
        <f t="shared" si="121"/>
        <v>1</v>
      </c>
      <c r="W158" t="e">
        <f t="shared" si="122"/>
        <v>#REF!</v>
      </c>
      <c r="X158" t="e">
        <f t="shared" ca="1" si="150"/>
        <v>#N/A</v>
      </c>
      <c r="Y158" t="e">
        <f t="shared" ca="1" si="150"/>
        <v>#N/A</v>
      </c>
      <c r="Z158" t="e">
        <f t="shared" ca="1" si="150"/>
        <v>#N/A</v>
      </c>
      <c r="AB158">
        <f t="shared" ca="1" si="111"/>
        <v>0</v>
      </c>
      <c r="AC158">
        <f t="shared" ca="1" si="111"/>
        <v>0</v>
      </c>
      <c r="AD158">
        <f t="shared" ca="1" si="111"/>
        <v>0</v>
      </c>
      <c r="AF158" t="e">
        <f t="shared" si="124"/>
        <v>#REF!</v>
      </c>
      <c r="AG158" t="e">
        <f t="shared" ca="1" si="151"/>
        <v>#N/A</v>
      </c>
      <c r="AH158" t="e">
        <f t="shared" ca="1" si="151"/>
        <v>#N/A</v>
      </c>
      <c r="AI158" t="e">
        <f t="shared" ca="1" si="151"/>
        <v>#N/A</v>
      </c>
      <c r="AJ158" t="e">
        <f t="shared" ca="1" si="151"/>
        <v>#N/A</v>
      </c>
      <c r="AK158" t="e">
        <f t="shared" ca="1" si="151"/>
        <v>#N/A</v>
      </c>
      <c r="AL158" t="e">
        <f t="shared" ca="1" si="151"/>
        <v>#N/A</v>
      </c>
      <c r="AM158" t="e">
        <f t="shared" ca="1" si="151"/>
        <v>#N/A</v>
      </c>
      <c r="AN158">
        <f t="shared" ca="1" si="126"/>
        <v>0</v>
      </c>
      <c r="AO158">
        <f t="shared" ca="1" si="127"/>
        <v>0</v>
      </c>
      <c r="AP158">
        <f t="shared" ca="1" si="128"/>
        <v>0</v>
      </c>
      <c r="AQ158">
        <f t="shared" ca="1" si="129"/>
        <v>0</v>
      </c>
      <c r="AR158">
        <f t="shared" ca="1" si="130"/>
        <v>0</v>
      </c>
      <c r="AS158">
        <f t="shared" ca="1" si="131"/>
        <v>0</v>
      </c>
      <c r="AT158">
        <f t="shared" ca="1" si="132"/>
        <v>0</v>
      </c>
      <c r="AV158" t="e">
        <f t="shared" si="6"/>
        <v>#REF!</v>
      </c>
      <c r="AW158" t="e" cm="1">
        <f t="array" ref="AW158">INDEX(auto_DataFlat_Score,$AV158,1)</f>
        <v>#REF!</v>
      </c>
      <c r="AX158" t="e" cm="1">
        <f t="array" ref="AX158">INDEX(auto_DataFlat_DataValue,$AV158,1)</f>
        <v>#REF!</v>
      </c>
      <c r="BA158" t="str">
        <f t="shared" si="133"/>
        <v>n/a</v>
      </c>
      <c r="BB158">
        <f t="shared" si="134"/>
        <v>1</v>
      </c>
      <c r="BC158" t="e">
        <f t="shared" si="135"/>
        <v>#REF!</v>
      </c>
      <c r="BD158" t="e">
        <f t="shared" ca="1" si="149"/>
        <v>#N/A</v>
      </c>
      <c r="BE158" t="e">
        <f t="shared" ca="1" si="149"/>
        <v>#N/A</v>
      </c>
      <c r="BF158" t="e">
        <f t="shared" ca="1" si="149"/>
        <v>#N/A</v>
      </c>
      <c r="BH158">
        <f t="shared" ca="1" si="112"/>
        <v>0</v>
      </c>
      <c r="BI158">
        <f t="shared" ca="1" si="112"/>
        <v>0</v>
      </c>
      <c r="BJ158">
        <f t="shared" ca="1" si="112"/>
        <v>0</v>
      </c>
      <c r="BM158" t="e">
        <f t="shared" si="136"/>
        <v>#REF!</v>
      </c>
      <c r="BN158" t="e">
        <f t="shared" ca="1" si="137"/>
        <v>#N/A</v>
      </c>
      <c r="BO158" t="e">
        <f t="shared" ca="1" si="138"/>
        <v>#N/A</v>
      </c>
      <c r="BP158" t="e">
        <f t="shared" ca="1" si="139"/>
        <v>#N/A</v>
      </c>
      <c r="BQ158" t="e">
        <f t="shared" ca="1" si="140"/>
        <v>#N/A</v>
      </c>
      <c r="BR158" t="e">
        <f t="shared" ca="1" si="141"/>
        <v>#N/A</v>
      </c>
      <c r="BS158" t="e">
        <f t="shared" ca="1" si="142"/>
        <v>#N/A</v>
      </c>
      <c r="BT158" t="e">
        <f t="shared" ca="1" si="143"/>
        <v>#N/A</v>
      </c>
      <c r="BU158">
        <f t="shared" ca="1" si="144"/>
        <v>0</v>
      </c>
      <c r="BV158">
        <f t="shared" ca="1" si="145"/>
        <v>0</v>
      </c>
      <c r="BW158">
        <f t="shared" ca="1" si="146"/>
        <v>0</v>
      </c>
      <c r="BX158">
        <f t="shared" ca="1" si="147"/>
        <v>0</v>
      </c>
      <c r="BY158">
        <f t="shared" ca="1" si="148"/>
        <v>0</v>
      </c>
      <c r="BZ158">
        <f t="shared" ca="1" si="118"/>
        <v>0</v>
      </c>
      <c r="CA158">
        <f t="shared" ca="1" si="119"/>
        <v>0</v>
      </c>
    </row>
    <row r="159" spans="1:79" x14ac:dyDescent="0.4">
      <c r="A159" t="str">
        <f t="shared" si="107"/>
        <v>X</v>
      </c>
      <c r="B159">
        <v>148</v>
      </c>
      <c r="C159" t="e" cm="1">
        <f t="array" ref="C159">INDEX(auto_Series_Code,B159)</f>
        <v>#REF!</v>
      </c>
      <c r="D159" t="e" cm="1">
        <f t="array" ref="D159">INDEX(auto_tblSeries,$B159,D$11)</f>
        <v>#REF!</v>
      </c>
      <c r="E159" t="e" cm="1">
        <f t="array" ref="E159">INDEX(auto_tblSeries,$B159,E$11)</f>
        <v>#REF!</v>
      </c>
      <c r="F159" t="e" cm="1">
        <f t="array" ref="F159">INDEX(auto_tblSeries,$B159,F$11)</f>
        <v>#REF!</v>
      </c>
      <c r="G159" t="e" cm="1">
        <f t="array" ref="G159">INDEX(auto_tblSeries,$B159,G$11)</f>
        <v>#REF!</v>
      </c>
      <c r="H159" t="e" cm="1">
        <f t="array" ref="H159">INDEX(auto_tblSeries,$B159,H$11)</f>
        <v>#REF!</v>
      </c>
      <c r="I159" t="e">
        <f t="shared" si="70"/>
        <v>#REF!</v>
      </c>
      <c r="K159" t="e" cm="1">
        <f t="array" ref="K159">INDEX(auto_DataFlat_Score,$I159,K$10)</f>
        <v>#REF!</v>
      </c>
      <c r="L159" t="e" cm="1">
        <f t="array" ref="L159">INDEX(auto_DataFlat_Rank,$I159,L$10)</f>
        <v>#REF!</v>
      </c>
      <c r="M159" t="e" cm="1">
        <f t="array" ref="M159">INDEX(auto_DataFlat_DataValue,$I159,M$10)</f>
        <v>#REF!</v>
      </c>
      <c r="N159" t="e" cm="1">
        <f t="array" ref="N159">INDEX(auto_DataFlat_Classification,$I159,M$10)</f>
        <v>#REF!</v>
      </c>
      <c r="O159" t="e" cm="1">
        <f t="array" ref="O159">INDEX(auto_DataFlat_IsEstimate,$I159,O$10)</f>
        <v>#REF!</v>
      </c>
      <c r="P159" t="e" cm="1">
        <f t="array" ref="P159">IF(INDEX(auto_DataFlat_DataYear,$I159,P$10)=0,"n/a",INDEX(auto_DataFlat_DataYear,$I159,P$10))</f>
        <v>#REF!</v>
      </c>
      <c r="R159" t="e">
        <f t="shared" si="116"/>
        <v>#REF!</v>
      </c>
      <c r="S159" t="e" cm="1">
        <f t="array" ref="S159">INDEX(auto_DataFlat_Score,$R159,S$10)</f>
        <v>#REF!</v>
      </c>
      <c r="U159" t="str">
        <f t="shared" si="120"/>
        <v>n/a</v>
      </c>
      <c r="V159">
        <f t="shared" si="121"/>
        <v>1</v>
      </c>
      <c r="W159" t="e">
        <f t="shared" si="122"/>
        <v>#REF!</v>
      </c>
      <c r="X159" t="e">
        <f t="shared" ca="1" si="150"/>
        <v>#N/A</v>
      </c>
      <c r="Y159" t="e">
        <f t="shared" ca="1" si="150"/>
        <v>#N/A</v>
      </c>
      <c r="Z159" t="e">
        <f t="shared" ca="1" si="150"/>
        <v>#N/A</v>
      </c>
      <c r="AB159">
        <f t="shared" ca="1" si="111"/>
        <v>0</v>
      </c>
      <c r="AC159">
        <f t="shared" ca="1" si="111"/>
        <v>0</v>
      </c>
      <c r="AD159">
        <f t="shared" ca="1" si="111"/>
        <v>0</v>
      </c>
      <c r="AF159" t="e">
        <f t="shared" si="124"/>
        <v>#REF!</v>
      </c>
      <c r="AG159" t="e">
        <f t="shared" ca="1" si="151"/>
        <v>#N/A</v>
      </c>
      <c r="AH159" t="e">
        <f t="shared" ca="1" si="151"/>
        <v>#N/A</v>
      </c>
      <c r="AI159" t="e">
        <f t="shared" ca="1" si="151"/>
        <v>#N/A</v>
      </c>
      <c r="AJ159" t="e">
        <f t="shared" ca="1" si="151"/>
        <v>#N/A</v>
      </c>
      <c r="AK159" t="e">
        <f t="shared" ca="1" si="151"/>
        <v>#N/A</v>
      </c>
      <c r="AL159" t="e">
        <f t="shared" ca="1" si="151"/>
        <v>#N/A</v>
      </c>
      <c r="AM159" t="e">
        <f t="shared" ca="1" si="151"/>
        <v>#N/A</v>
      </c>
      <c r="AN159">
        <f t="shared" ca="1" si="126"/>
        <v>0</v>
      </c>
      <c r="AO159">
        <f t="shared" ca="1" si="127"/>
        <v>0</v>
      </c>
      <c r="AP159">
        <f t="shared" ca="1" si="128"/>
        <v>0</v>
      </c>
      <c r="AQ159">
        <f t="shared" ca="1" si="129"/>
        <v>0</v>
      </c>
      <c r="AR159">
        <f t="shared" ca="1" si="130"/>
        <v>0</v>
      </c>
      <c r="AS159">
        <f t="shared" ca="1" si="131"/>
        <v>0</v>
      </c>
      <c r="AT159">
        <f t="shared" ca="1" si="132"/>
        <v>0</v>
      </c>
      <c r="AV159" t="e">
        <f t="shared" si="6"/>
        <v>#REF!</v>
      </c>
      <c r="AW159" t="e" cm="1">
        <f t="array" ref="AW159">INDEX(auto_DataFlat_Score,$AV159,1)</f>
        <v>#REF!</v>
      </c>
      <c r="AX159" t="e" cm="1">
        <f t="array" ref="AX159">INDEX(auto_DataFlat_DataValue,$AV159,1)</f>
        <v>#REF!</v>
      </c>
      <c r="BA159" t="str">
        <f t="shared" si="133"/>
        <v>n/a</v>
      </c>
      <c r="BB159">
        <f t="shared" si="134"/>
        <v>1</v>
      </c>
      <c r="BC159" t="e">
        <f t="shared" si="135"/>
        <v>#REF!</v>
      </c>
      <c r="BD159" t="e">
        <f t="shared" ca="1" si="149"/>
        <v>#N/A</v>
      </c>
      <c r="BE159" t="e">
        <f t="shared" ca="1" si="149"/>
        <v>#N/A</v>
      </c>
      <c r="BF159" t="e">
        <f t="shared" ca="1" si="149"/>
        <v>#N/A</v>
      </c>
      <c r="BH159">
        <f t="shared" ca="1" si="112"/>
        <v>0</v>
      </c>
      <c r="BI159">
        <f t="shared" ca="1" si="112"/>
        <v>0</v>
      </c>
      <c r="BJ159">
        <f t="shared" ca="1" si="112"/>
        <v>0</v>
      </c>
      <c r="BM159" t="e">
        <f t="shared" si="136"/>
        <v>#REF!</v>
      </c>
      <c r="BN159" t="e">
        <f t="shared" ca="1" si="137"/>
        <v>#N/A</v>
      </c>
      <c r="BO159" t="e">
        <f t="shared" ca="1" si="138"/>
        <v>#N/A</v>
      </c>
      <c r="BP159" t="e">
        <f t="shared" ca="1" si="139"/>
        <v>#N/A</v>
      </c>
      <c r="BQ159" t="e">
        <f t="shared" ca="1" si="140"/>
        <v>#N/A</v>
      </c>
      <c r="BR159" t="e">
        <f t="shared" ca="1" si="141"/>
        <v>#N/A</v>
      </c>
      <c r="BS159" t="e">
        <f t="shared" ca="1" si="142"/>
        <v>#N/A</v>
      </c>
      <c r="BT159" t="e">
        <f t="shared" ca="1" si="143"/>
        <v>#N/A</v>
      </c>
      <c r="BU159">
        <f t="shared" ca="1" si="144"/>
        <v>0</v>
      </c>
      <c r="BV159">
        <f t="shared" ca="1" si="145"/>
        <v>0</v>
      </c>
      <c r="BW159">
        <f t="shared" ca="1" si="146"/>
        <v>0</v>
      </c>
      <c r="BX159">
        <f t="shared" ca="1" si="147"/>
        <v>0</v>
      </c>
      <c r="BY159">
        <f t="shared" ca="1" si="148"/>
        <v>0</v>
      </c>
      <c r="BZ159">
        <f t="shared" ca="1" si="118"/>
        <v>0</v>
      </c>
      <c r="CA159">
        <f t="shared" ca="1" si="119"/>
        <v>0</v>
      </c>
    </row>
    <row r="160" spans="1:79" x14ac:dyDescent="0.4">
      <c r="A160" t="str">
        <f t="shared" si="107"/>
        <v>X</v>
      </c>
      <c r="B160">
        <v>149</v>
      </c>
      <c r="C160" t="e" cm="1">
        <f t="array" ref="C160">INDEX(auto_Series_Code,B160)</f>
        <v>#REF!</v>
      </c>
      <c r="D160" t="e" cm="1">
        <f t="array" ref="D160">INDEX(auto_tblSeries,$B160,D$11)</f>
        <v>#REF!</v>
      </c>
      <c r="E160" t="e" cm="1">
        <f t="array" ref="E160">INDEX(auto_tblSeries,$B160,E$11)</f>
        <v>#REF!</v>
      </c>
      <c r="F160" t="e" cm="1">
        <f t="array" ref="F160">INDEX(auto_tblSeries,$B160,F$11)</f>
        <v>#REF!</v>
      </c>
      <c r="G160" t="e" cm="1">
        <f t="array" ref="G160">INDEX(auto_tblSeries,$B160,G$11)</f>
        <v>#REF!</v>
      </c>
      <c r="H160" t="e" cm="1">
        <f t="array" ref="H160">INDEX(auto_tblSeries,$B160,H$11)</f>
        <v>#REF!</v>
      </c>
      <c r="I160" t="e">
        <f t="shared" si="70"/>
        <v>#REF!</v>
      </c>
      <c r="K160" t="e" cm="1">
        <f t="array" ref="K160">INDEX(auto_DataFlat_Score,$I160,K$10)</f>
        <v>#REF!</v>
      </c>
      <c r="L160" t="e" cm="1">
        <f t="array" ref="L160">INDEX(auto_DataFlat_Rank,$I160,L$10)</f>
        <v>#REF!</v>
      </c>
      <c r="M160" t="e" cm="1">
        <f t="array" ref="M160">INDEX(auto_DataFlat_DataValue,$I160,M$10)</f>
        <v>#REF!</v>
      </c>
      <c r="N160" t="e" cm="1">
        <f t="array" ref="N160">INDEX(auto_DataFlat_Classification,$I160,M$10)</f>
        <v>#REF!</v>
      </c>
      <c r="O160" t="e" cm="1">
        <f t="array" ref="O160">INDEX(auto_DataFlat_IsEstimate,$I160,O$10)</f>
        <v>#REF!</v>
      </c>
      <c r="P160" t="e" cm="1">
        <f t="array" ref="P160">IF(INDEX(auto_DataFlat_DataYear,$I160,P$10)=0,"n/a",INDEX(auto_DataFlat_DataYear,$I160,P$10))</f>
        <v>#REF!</v>
      </c>
      <c r="R160" t="e">
        <f t="shared" si="116"/>
        <v>#REF!</v>
      </c>
      <c r="S160" t="e" cm="1">
        <f t="array" ref="S160">INDEX(auto_DataFlat_Score,$R160,S$10)</f>
        <v>#REF!</v>
      </c>
      <c r="U160" t="str">
        <f t="shared" si="120"/>
        <v>n/a</v>
      </c>
      <c r="V160">
        <f t="shared" si="121"/>
        <v>1</v>
      </c>
      <c r="W160" t="e">
        <f t="shared" si="122"/>
        <v>#REF!</v>
      </c>
      <c r="X160" t="e">
        <f t="shared" ca="1" si="150"/>
        <v>#N/A</v>
      </c>
      <c r="Y160" t="e">
        <f t="shared" ca="1" si="150"/>
        <v>#N/A</v>
      </c>
      <c r="Z160" t="e">
        <f t="shared" ca="1" si="150"/>
        <v>#N/A</v>
      </c>
      <c r="AB160">
        <f t="shared" ca="1" si="111"/>
        <v>0</v>
      </c>
      <c r="AC160">
        <f t="shared" ca="1" si="111"/>
        <v>0</v>
      </c>
      <c r="AD160">
        <f t="shared" ca="1" si="111"/>
        <v>0</v>
      </c>
      <c r="AF160" t="e">
        <f t="shared" si="124"/>
        <v>#REF!</v>
      </c>
      <c r="AG160" t="e">
        <f t="shared" ca="1" si="151"/>
        <v>#N/A</v>
      </c>
      <c r="AH160" t="e">
        <f t="shared" ca="1" si="151"/>
        <v>#N/A</v>
      </c>
      <c r="AI160" t="e">
        <f t="shared" ca="1" si="151"/>
        <v>#N/A</v>
      </c>
      <c r="AJ160" t="e">
        <f t="shared" ca="1" si="151"/>
        <v>#N/A</v>
      </c>
      <c r="AK160" t="e">
        <f t="shared" ca="1" si="151"/>
        <v>#N/A</v>
      </c>
      <c r="AL160" t="e">
        <f t="shared" ca="1" si="151"/>
        <v>#N/A</v>
      </c>
      <c r="AM160" t="e">
        <f t="shared" ca="1" si="151"/>
        <v>#N/A</v>
      </c>
      <c r="AN160">
        <f t="shared" ca="1" si="126"/>
        <v>0</v>
      </c>
      <c r="AO160">
        <f t="shared" ca="1" si="127"/>
        <v>0</v>
      </c>
      <c r="AP160">
        <f t="shared" ca="1" si="128"/>
        <v>0</v>
      </c>
      <c r="AQ160">
        <f t="shared" ca="1" si="129"/>
        <v>0</v>
      </c>
      <c r="AR160">
        <f t="shared" ca="1" si="130"/>
        <v>0</v>
      </c>
      <c r="AS160">
        <f t="shared" ca="1" si="131"/>
        <v>0</v>
      </c>
      <c r="AT160">
        <f t="shared" ca="1" si="132"/>
        <v>0</v>
      </c>
      <c r="AV160" t="e">
        <f t="shared" si="6"/>
        <v>#REF!</v>
      </c>
      <c r="AW160" t="e" cm="1">
        <f t="array" ref="AW160">INDEX(auto_DataFlat_Score,$AV160,1)</f>
        <v>#REF!</v>
      </c>
      <c r="AX160" t="e" cm="1">
        <f t="array" ref="AX160">INDEX(auto_DataFlat_DataValue,$AV160,1)</f>
        <v>#REF!</v>
      </c>
      <c r="BA160" t="str">
        <f t="shared" si="133"/>
        <v>n/a</v>
      </c>
      <c r="BB160">
        <f t="shared" si="134"/>
        <v>1</v>
      </c>
      <c r="BC160" t="e">
        <f t="shared" si="135"/>
        <v>#REF!</v>
      </c>
      <c r="BD160" t="e">
        <f t="shared" ca="1" si="149"/>
        <v>#N/A</v>
      </c>
      <c r="BE160" t="e">
        <f t="shared" ca="1" si="149"/>
        <v>#N/A</v>
      </c>
      <c r="BF160" t="e">
        <f t="shared" ca="1" si="149"/>
        <v>#N/A</v>
      </c>
      <c r="BH160">
        <f t="shared" ca="1" si="112"/>
        <v>0</v>
      </c>
      <c r="BI160">
        <f t="shared" ca="1" si="112"/>
        <v>0</v>
      </c>
      <c r="BJ160">
        <f t="shared" ca="1" si="112"/>
        <v>0</v>
      </c>
      <c r="BM160" t="e">
        <f t="shared" si="136"/>
        <v>#REF!</v>
      </c>
      <c r="BN160" t="e">
        <f t="shared" ca="1" si="137"/>
        <v>#N/A</v>
      </c>
      <c r="BO160" t="e">
        <f t="shared" ca="1" si="138"/>
        <v>#N/A</v>
      </c>
      <c r="BP160" t="e">
        <f t="shared" ca="1" si="139"/>
        <v>#N/A</v>
      </c>
      <c r="BQ160" t="e">
        <f t="shared" ca="1" si="140"/>
        <v>#N/A</v>
      </c>
      <c r="BR160" t="e">
        <f t="shared" ca="1" si="141"/>
        <v>#N/A</v>
      </c>
      <c r="BS160" t="e">
        <f t="shared" ca="1" si="142"/>
        <v>#N/A</v>
      </c>
      <c r="BT160" t="e">
        <f t="shared" ca="1" si="143"/>
        <v>#N/A</v>
      </c>
      <c r="BU160">
        <f t="shared" ca="1" si="144"/>
        <v>0</v>
      </c>
      <c r="BV160">
        <f t="shared" ca="1" si="145"/>
        <v>0</v>
      </c>
      <c r="BW160">
        <f t="shared" ca="1" si="146"/>
        <v>0</v>
      </c>
      <c r="BX160">
        <f t="shared" ca="1" si="147"/>
        <v>0</v>
      </c>
      <c r="BY160">
        <f t="shared" ca="1" si="148"/>
        <v>0</v>
      </c>
      <c r="BZ160">
        <f t="shared" ca="1" si="118"/>
        <v>0</v>
      </c>
      <c r="CA160">
        <f t="shared" ca="1" si="119"/>
        <v>0</v>
      </c>
    </row>
    <row r="161" spans="1:79" x14ac:dyDescent="0.4">
      <c r="A161" t="str">
        <f t="shared" si="107"/>
        <v>X</v>
      </c>
      <c r="B161">
        <v>150</v>
      </c>
      <c r="C161" t="e" cm="1">
        <f t="array" ref="C161">INDEX(auto_Series_Code,B161)</f>
        <v>#REF!</v>
      </c>
      <c r="D161" t="e" cm="1">
        <f t="array" ref="D161">INDEX(auto_tblSeries,$B161,D$11)</f>
        <v>#REF!</v>
      </c>
      <c r="E161" t="e" cm="1">
        <f t="array" ref="E161">INDEX(auto_tblSeries,$B161,E$11)</f>
        <v>#REF!</v>
      </c>
      <c r="F161" t="e" cm="1">
        <f t="array" ref="F161">INDEX(auto_tblSeries,$B161,F$11)</f>
        <v>#REF!</v>
      </c>
      <c r="G161" t="e" cm="1">
        <f t="array" ref="G161">INDEX(auto_tblSeries,$B161,G$11)</f>
        <v>#REF!</v>
      </c>
      <c r="H161" t="e" cm="1">
        <f t="array" ref="H161">INDEX(auto_tblSeries,$B161,H$11)</f>
        <v>#REF!</v>
      </c>
      <c r="I161" t="e">
        <f t="shared" si="70"/>
        <v>#REF!</v>
      </c>
      <c r="K161" t="e" cm="1">
        <f t="array" ref="K161">INDEX(auto_DataFlat_Score,$I161,K$10)</f>
        <v>#REF!</v>
      </c>
      <c r="L161" t="e" cm="1">
        <f t="array" ref="L161">INDEX(auto_DataFlat_Rank,$I161,L$10)</f>
        <v>#REF!</v>
      </c>
      <c r="M161" t="e" cm="1">
        <f t="array" ref="M161">INDEX(auto_DataFlat_DataValue,$I161,M$10)</f>
        <v>#REF!</v>
      </c>
      <c r="N161" t="e" cm="1">
        <f t="array" ref="N161">INDEX(auto_DataFlat_Classification,$I161,M$10)</f>
        <v>#REF!</v>
      </c>
      <c r="O161" t="e" cm="1">
        <f t="array" ref="O161">INDEX(auto_DataFlat_IsEstimate,$I161,O$10)</f>
        <v>#REF!</v>
      </c>
      <c r="P161" t="e" cm="1">
        <f t="array" ref="P161">IF(INDEX(auto_DataFlat_DataYear,$I161,P$10)=0,"n/a",INDEX(auto_DataFlat_DataYear,$I161,P$10))</f>
        <v>#REF!</v>
      </c>
      <c r="R161" t="e">
        <f t="shared" si="116"/>
        <v>#REF!</v>
      </c>
      <c r="S161" t="e" cm="1">
        <f t="array" ref="S161">INDEX(auto_DataFlat_Score,$R161,S$10)</f>
        <v>#REF!</v>
      </c>
      <c r="U161" t="str">
        <f t="shared" si="120"/>
        <v>n/a</v>
      </c>
      <c r="V161">
        <f t="shared" si="121"/>
        <v>1</v>
      </c>
      <c r="W161" t="e">
        <f t="shared" si="122"/>
        <v>#REF!</v>
      </c>
      <c r="X161" t="e">
        <f t="shared" ca="1" si="150"/>
        <v>#N/A</v>
      </c>
      <c r="Y161" t="e">
        <f t="shared" ca="1" si="150"/>
        <v>#N/A</v>
      </c>
      <c r="Z161" t="e">
        <f t="shared" ca="1" si="150"/>
        <v>#N/A</v>
      </c>
      <c r="AB161">
        <f t="shared" ca="1" si="111"/>
        <v>0</v>
      </c>
      <c r="AC161">
        <f t="shared" ca="1" si="111"/>
        <v>0</v>
      </c>
      <c r="AD161">
        <f t="shared" ca="1" si="111"/>
        <v>0</v>
      </c>
      <c r="AF161" t="e">
        <f t="shared" si="124"/>
        <v>#REF!</v>
      </c>
      <c r="AG161" t="e">
        <f t="shared" ca="1" si="151"/>
        <v>#N/A</v>
      </c>
      <c r="AH161" t="e">
        <f t="shared" ca="1" si="151"/>
        <v>#N/A</v>
      </c>
      <c r="AI161" t="e">
        <f t="shared" ca="1" si="151"/>
        <v>#N/A</v>
      </c>
      <c r="AJ161" t="e">
        <f t="shared" ca="1" si="151"/>
        <v>#N/A</v>
      </c>
      <c r="AK161" t="e">
        <f t="shared" ca="1" si="151"/>
        <v>#N/A</v>
      </c>
      <c r="AL161" t="e">
        <f t="shared" ca="1" si="151"/>
        <v>#N/A</v>
      </c>
      <c r="AM161" t="e">
        <f t="shared" ca="1" si="151"/>
        <v>#N/A</v>
      </c>
      <c r="AN161">
        <f t="shared" ca="1" si="126"/>
        <v>0</v>
      </c>
      <c r="AO161">
        <f t="shared" ca="1" si="127"/>
        <v>0</v>
      </c>
      <c r="AP161">
        <f t="shared" ca="1" si="128"/>
        <v>0</v>
      </c>
      <c r="AQ161">
        <f t="shared" ca="1" si="129"/>
        <v>0</v>
      </c>
      <c r="AR161">
        <f t="shared" ca="1" si="130"/>
        <v>0</v>
      </c>
      <c r="AS161">
        <f t="shared" ca="1" si="131"/>
        <v>0</v>
      </c>
      <c r="AT161">
        <f t="shared" ca="1" si="132"/>
        <v>0</v>
      </c>
      <c r="AV161" t="e">
        <f t="shared" si="6"/>
        <v>#REF!</v>
      </c>
      <c r="AW161" t="e" cm="1">
        <f t="array" ref="AW161">INDEX(auto_DataFlat_Score,$AV161,1)</f>
        <v>#REF!</v>
      </c>
      <c r="AX161" t="e" cm="1">
        <f t="array" ref="AX161">INDEX(auto_DataFlat_DataValue,$AV161,1)</f>
        <v>#REF!</v>
      </c>
      <c r="BA161" t="str">
        <f t="shared" si="133"/>
        <v>n/a</v>
      </c>
      <c r="BB161">
        <f t="shared" si="134"/>
        <v>1</v>
      </c>
      <c r="BC161" t="e">
        <f t="shared" si="135"/>
        <v>#REF!</v>
      </c>
      <c r="BD161" t="e">
        <f t="shared" ca="1" si="149"/>
        <v>#N/A</v>
      </c>
      <c r="BE161" t="e">
        <f t="shared" ca="1" si="149"/>
        <v>#N/A</v>
      </c>
      <c r="BF161" t="e">
        <f t="shared" ca="1" si="149"/>
        <v>#N/A</v>
      </c>
      <c r="BH161">
        <f t="shared" ca="1" si="112"/>
        <v>0</v>
      </c>
      <c r="BI161">
        <f t="shared" ca="1" si="112"/>
        <v>0</v>
      </c>
      <c r="BJ161">
        <f t="shared" ca="1" si="112"/>
        <v>0</v>
      </c>
      <c r="BM161" t="e">
        <f t="shared" si="136"/>
        <v>#REF!</v>
      </c>
      <c r="BN161" t="e">
        <f t="shared" ca="1" si="137"/>
        <v>#N/A</v>
      </c>
      <c r="BO161" t="e">
        <f t="shared" ca="1" si="138"/>
        <v>#N/A</v>
      </c>
      <c r="BP161" t="e">
        <f t="shared" ca="1" si="139"/>
        <v>#N/A</v>
      </c>
      <c r="BQ161" t="e">
        <f t="shared" ca="1" si="140"/>
        <v>#N/A</v>
      </c>
      <c r="BR161" t="e">
        <f t="shared" ca="1" si="141"/>
        <v>#N/A</v>
      </c>
      <c r="BS161" t="e">
        <f t="shared" ca="1" si="142"/>
        <v>#N/A</v>
      </c>
      <c r="BT161" t="e">
        <f t="shared" ca="1" si="143"/>
        <v>#N/A</v>
      </c>
      <c r="BU161">
        <f t="shared" ca="1" si="144"/>
        <v>0</v>
      </c>
      <c r="BV161">
        <f t="shared" ca="1" si="145"/>
        <v>0</v>
      </c>
      <c r="BW161">
        <f t="shared" ca="1" si="146"/>
        <v>0</v>
      </c>
      <c r="BX161">
        <f t="shared" ca="1" si="147"/>
        <v>0</v>
      </c>
      <c r="BY161">
        <f t="shared" ca="1" si="148"/>
        <v>0</v>
      </c>
      <c r="BZ161">
        <f t="shared" ca="1" si="118"/>
        <v>0</v>
      </c>
      <c r="CA161">
        <f t="shared" ca="1" si="119"/>
        <v>0</v>
      </c>
    </row>
    <row r="162" spans="1:79" x14ac:dyDescent="0.4">
      <c r="A162" t="str">
        <f t="shared" si="107"/>
        <v>X</v>
      </c>
      <c r="B162">
        <v>151</v>
      </c>
      <c r="C162" t="e" cm="1">
        <f t="array" ref="C162">INDEX(auto_Series_Code,B162)</f>
        <v>#REF!</v>
      </c>
      <c r="D162" t="e" cm="1">
        <f t="array" ref="D162">INDEX(auto_tblSeries,$B162,D$11)</f>
        <v>#REF!</v>
      </c>
      <c r="E162" t="e" cm="1">
        <f t="array" ref="E162">INDEX(auto_tblSeries,$B162,E$11)</f>
        <v>#REF!</v>
      </c>
      <c r="F162" t="e" cm="1">
        <f t="array" ref="F162">INDEX(auto_tblSeries,$B162,F$11)</f>
        <v>#REF!</v>
      </c>
      <c r="G162" t="e" cm="1">
        <f t="array" ref="G162">INDEX(auto_tblSeries,$B162,G$11)</f>
        <v>#REF!</v>
      </c>
      <c r="H162" t="e" cm="1">
        <f t="array" ref="H162">INDEX(auto_tblSeries,$B162,H$11)</f>
        <v>#REF!</v>
      </c>
      <c r="I162" t="e">
        <f t="shared" si="70"/>
        <v>#REF!</v>
      </c>
      <c r="K162" t="e" cm="1">
        <f t="array" ref="K162">INDEX(auto_DataFlat_Score,$I162,K$10)</f>
        <v>#REF!</v>
      </c>
      <c r="L162" t="e" cm="1">
        <f t="array" ref="L162">INDEX(auto_DataFlat_Rank,$I162,L$10)</f>
        <v>#REF!</v>
      </c>
      <c r="M162" t="e" cm="1">
        <f t="array" ref="M162">INDEX(auto_DataFlat_DataValue,$I162,M$10)</f>
        <v>#REF!</v>
      </c>
      <c r="N162" t="e" cm="1">
        <f t="array" ref="N162">INDEX(auto_DataFlat_Classification,$I162,M$10)</f>
        <v>#REF!</v>
      </c>
      <c r="O162" t="e" cm="1">
        <f t="array" ref="O162">INDEX(auto_DataFlat_IsEstimate,$I162,O$10)</f>
        <v>#REF!</v>
      </c>
      <c r="P162" t="e" cm="1">
        <f t="array" ref="P162">IF(INDEX(auto_DataFlat_DataYear,$I162,P$10)=0,"n/a",INDEX(auto_DataFlat_DataYear,$I162,P$10))</f>
        <v>#REF!</v>
      </c>
      <c r="R162" t="e">
        <f t="shared" si="116"/>
        <v>#REF!</v>
      </c>
      <c r="S162" t="e" cm="1">
        <f t="array" ref="S162">INDEX(auto_DataFlat_Score,$R162,S$10)</f>
        <v>#REF!</v>
      </c>
      <c r="U162" t="str">
        <f t="shared" si="120"/>
        <v>n/a</v>
      </c>
      <c r="V162">
        <f t="shared" si="121"/>
        <v>1</v>
      </c>
      <c r="W162" t="e">
        <f t="shared" si="122"/>
        <v>#REF!</v>
      </c>
      <c r="X162" t="e">
        <f t="shared" ca="1" si="150"/>
        <v>#N/A</v>
      </c>
      <c r="Y162" t="e">
        <f t="shared" ca="1" si="150"/>
        <v>#N/A</v>
      </c>
      <c r="Z162" t="e">
        <f t="shared" ca="1" si="150"/>
        <v>#N/A</v>
      </c>
      <c r="AB162">
        <f t="shared" ca="1" si="111"/>
        <v>0</v>
      </c>
      <c r="AC162">
        <f t="shared" ca="1" si="111"/>
        <v>0</v>
      </c>
      <c r="AD162">
        <f t="shared" ca="1" si="111"/>
        <v>0</v>
      </c>
      <c r="AF162" t="e">
        <f t="shared" si="124"/>
        <v>#REF!</v>
      </c>
      <c r="AG162" t="e">
        <f t="shared" ca="1" si="151"/>
        <v>#N/A</v>
      </c>
      <c r="AH162" t="e">
        <f t="shared" ca="1" si="151"/>
        <v>#N/A</v>
      </c>
      <c r="AI162" t="e">
        <f t="shared" ca="1" si="151"/>
        <v>#N/A</v>
      </c>
      <c r="AJ162" t="e">
        <f t="shared" ca="1" si="151"/>
        <v>#N/A</v>
      </c>
      <c r="AK162" t="e">
        <f t="shared" ca="1" si="151"/>
        <v>#N/A</v>
      </c>
      <c r="AL162" t="e">
        <f t="shared" ca="1" si="151"/>
        <v>#N/A</v>
      </c>
      <c r="AM162" t="e">
        <f t="shared" ca="1" si="151"/>
        <v>#N/A</v>
      </c>
      <c r="AN162">
        <f t="shared" ca="1" si="126"/>
        <v>0</v>
      </c>
      <c r="AO162">
        <f t="shared" ca="1" si="127"/>
        <v>0</v>
      </c>
      <c r="AP162">
        <f t="shared" ca="1" si="128"/>
        <v>0</v>
      </c>
      <c r="AQ162">
        <f t="shared" ca="1" si="129"/>
        <v>0</v>
      </c>
      <c r="AR162">
        <f t="shared" ca="1" si="130"/>
        <v>0</v>
      </c>
      <c r="AS162">
        <f t="shared" ca="1" si="131"/>
        <v>0</v>
      </c>
      <c r="AT162">
        <f t="shared" ca="1" si="132"/>
        <v>0</v>
      </c>
      <c r="AV162" t="e">
        <f t="shared" si="6"/>
        <v>#REF!</v>
      </c>
      <c r="AW162" t="e" cm="1">
        <f t="array" ref="AW162">INDEX(auto_DataFlat_Score,$AV162,1)</f>
        <v>#REF!</v>
      </c>
      <c r="AX162" t="e" cm="1">
        <f t="array" ref="AX162">INDEX(auto_DataFlat_DataValue,$AV162,1)</f>
        <v>#REF!</v>
      </c>
      <c r="BA162" t="str">
        <f t="shared" si="133"/>
        <v>n/a</v>
      </c>
      <c r="BB162">
        <f t="shared" si="134"/>
        <v>1</v>
      </c>
      <c r="BC162" t="e">
        <f t="shared" si="135"/>
        <v>#REF!</v>
      </c>
      <c r="BD162" t="e">
        <f t="shared" ca="1" si="149"/>
        <v>#N/A</v>
      </c>
      <c r="BE162" t="e">
        <f t="shared" ca="1" si="149"/>
        <v>#N/A</v>
      </c>
      <c r="BF162" t="e">
        <f t="shared" ca="1" si="149"/>
        <v>#N/A</v>
      </c>
      <c r="BH162">
        <f t="shared" ca="1" si="112"/>
        <v>0</v>
      </c>
      <c r="BI162">
        <f t="shared" ca="1" si="112"/>
        <v>0</v>
      </c>
      <c r="BJ162">
        <f t="shared" ca="1" si="112"/>
        <v>0</v>
      </c>
      <c r="BM162" t="e">
        <f t="shared" si="136"/>
        <v>#REF!</v>
      </c>
      <c r="BN162" t="e">
        <f t="shared" ca="1" si="137"/>
        <v>#N/A</v>
      </c>
      <c r="BO162" t="e">
        <f t="shared" ca="1" si="138"/>
        <v>#N/A</v>
      </c>
      <c r="BP162" t="e">
        <f t="shared" ca="1" si="139"/>
        <v>#N/A</v>
      </c>
      <c r="BQ162" t="e">
        <f t="shared" ca="1" si="140"/>
        <v>#N/A</v>
      </c>
      <c r="BR162" t="e">
        <f t="shared" ca="1" si="141"/>
        <v>#N/A</v>
      </c>
      <c r="BS162" t="e">
        <f t="shared" ca="1" si="142"/>
        <v>#N/A</v>
      </c>
      <c r="BT162" t="e">
        <f t="shared" ca="1" si="143"/>
        <v>#N/A</v>
      </c>
      <c r="BU162">
        <f t="shared" ca="1" si="144"/>
        <v>0</v>
      </c>
      <c r="BV162">
        <f t="shared" ca="1" si="145"/>
        <v>0</v>
      </c>
      <c r="BW162">
        <f t="shared" ca="1" si="146"/>
        <v>0</v>
      </c>
      <c r="BX162">
        <f t="shared" ca="1" si="147"/>
        <v>0</v>
      </c>
      <c r="BY162">
        <f t="shared" ca="1" si="148"/>
        <v>0</v>
      </c>
      <c r="BZ162">
        <f t="shared" ca="1" si="118"/>
        <v>0</v>
      </c>
      <c r="CA162">
        <f t="shared" ca="1" si="119"/>
        <v>0</v>
      </c>
    </row>
    <row r="163" spans="1:79" x14ac:dyDescent="0.4">
      <c r="A163" t="str">
        <f t="shared" si="107"/>
        <v>X</v>
      </c>
      <c r="B163">
        <v>152</v>
      </c>
      <c r="C163" t="e" cm="1">
        <f t="array" ref="C163">INDEX(auto_Series_Code,B163)</f>
        <v>#REF!</v>
      </c>
      <c r="D163" t="e" cm="1">
        <f t="array" ref="D163">INDEX(auto_tblSeries,$B163,D$11)</f>
        <v>#REF!</v>
      </c>
      <c r="E163" t="e" cm="1">
        <f t="array" ref="E163">INDEX(auto_tblSeries,$B163,E$11)</f>
        <v>#REF!</v>
      </c>
      <c r="F163" t="e" cm="1">
        <f t="array" ref="F163">INDEX(auto_tblSeries,$B163,F$11)</f>
        <v>#REF!</v>
      </c>
      <c r="G163" t="e" cm="1">
        <f t="array" ref="G163">INDEX(auto_tblSeries,$B163,G$11)</f>
        <v>#REF!</v>
      </c>
      <c r="H163" t="e" cm="1">
        <f t="array" ref="H163">INDEX(auto_tblSeries,$B163,H$11)</f>
        <v>#REF!</v>
      </c>
      <c r="I163" t="e">
        <f t="shared" si="70"/>
        <v>#REF!</v>
      </c>
      <c r="K163" t="e" cm="1">
        <f t="array" ref="K163">INDEX(auto_DataFlat_Score,$I163,K$10)</f>
        <v>#REF!</v>
      </c>
      <c r="L163" t="e" cm="1">
        <f t="array" ref="L163">INDEX(auto_DataFlat_Rank,$I163,L$10)</f>
        <v>#REF!</v>
      </c>
      <c r="M163" t="e" cm="1">
        <f t="array" ref="M163">INDEX(auto_DataFlat_DataValue,$I163,M$10)</f>
        <v>#REF!</v>
      </c>
      <c r="N163" t="e" cm="1">
        <f t="array" ref="N163">INDEX(auto_DataFlat_Classification,$I163,M$10)</f>
        <v>#REF!</v>
      </c>
      <c r="O163" t="e" cm="1">
        <f t="array" ref="O163">INDEX(auto_DataFlat_IsEstimate,$I163,O$10)</f>
        <v>#REF!</v>
      </c>
      <c r="P163" t="e" cm="1">
        <f t="array" ref="P163">IF(INDEX(auto_DataFlat_DataYear,$I163,P$10)=0,"n/a",INDEX(auto_DataFlat_DataYear,$I163,P$10))</f>
        <v>#REF!</v>
      </c>
      <c r="R163" t="e">
        <f t="shared" si="116"/>
        <v>#REF!</v>
      </c>
      <c r="S163" t="e" cm="1">
        <f t="array" ref="S163">INDEX(auto_DataFlat_Score,$R163,S$10)</f>
        <v>#REF!</v>
      </c>
      <c r="U163" t="str">
        <f t="shared" si="120"/>
        <v>n/a</v>
      </c>
      <c r="V163">
        <f t="shared" si="121"/>
        <v>1</v>
      </c>
      <c r="W163" t="e">
        <f t="shared" si="122"/>
        <v>#REF!</v>
      </c>
      <c r="X163" t="e">
        <f t="shared" ca="1" si="150"/>
        <v>#N/A</v>
      </c>
      <c r="Y163" t="e">
        <f t="shared" ca="1" si="150"/>
        <v>#N/A</v>
      </c>
      <c r="Z163" t="e">
        <f t="shared" ca="1" si="150"/>
        <v>#N/A</v>
      </c>
      <c r="AB163">
        <f t="shared" ca="1" si="111"/>
        <v>0</v>
      </c>
      <c r="AC163">
        <f t="shared" ca="1" si="111"/>
        <v>0</v>
      </c>
      <c r="AD163">
        <f t="shared" ca="1" si="111"/>
        <v>0</v>
      </c>
      <c r="AF163" t="e">
        <f t="shared" si="124"/>
        <v>#REF!</v>
      </c>
      <c r="AG163" t="e">
        <f t="shared" ca="1" si="151"/>
        <v>#N/A</v>
      </c>
      <c r="AH163" t="e">
        <f t="shared" ca="1" si="151"/>
        <v>#N/A</v>
      </c>
      <c r="AI163" t="e">
        <f t="shared" ca="1" si="151"/>
        <v>#N/A</v>
      </c>
      <c r="AJ163" t="e">
        <f t="shared" ca="1" si="151"/>
        <v>#N/A</v>
      </c>
      <c r="AK163" t="e">
        <f t="shared" ca="1" si="151"/>
        <v>#N/A</v>
      </c>
      <c r="AL163" t="e">
        <f t="shared" ca="1" si="151"/>
        <v>#N/A</v>
      </c>
      <c r="AM163" t="e">
        <f t="shared" ca="1" si="151"/>
        <v>#N/A</v>
      </c>
      <c r="AN163">
        <f t="shared" ca="1" si="126"/>
        <v>0</v>
      </c>
      <c r="AO163">
        <f t="shared" ca="1" si="127"/>
        <v>0</v>
      </c>
      <c r="AP163">
        <f t="shared" ca="1" si="128"/>
        <v>0</v>
      </c>
      <c r="AQ163">
        <f t="shared" ca="1" si="129"/>
        <v>0</v>
      </c>
      <c r="AR163">
        <f t="shared" ca="1" si="130"/>
        <v>0</v>
      </c>
      <c r="AS163">
        <f t="shared" ca="1" si="131"/>
        <v>0</v>
      </c>
      <c r="AT163">
        <f t="shared" ca="1" si="132"/>
        <v>0</v>
      </c>
      <c r="AV163" t="e">
        <f t="shared" si="6"/>
        <v>#REF!</v>
      </c>
      <c r="AW163" t="e" cm="1">
        <f t="array" ref="AW163">INDEX(auto_DataFlat_Score,$AV163,1)</f>
        <v>#REF!</v>
      </c>
      <c r="AX163" t="e" cm="1">
        <f t="array" ref="AX163">INDEX(auto_DataFlat_DataValue,$AV163,1)</f>
        <v>#REF!</v>
      </c>
      <c r="BA163" t="str">
        <f t="shared" si="133"/>
        <v>n/a</v>
      </c>
      <c r="BB163">
        <f t="shared" si="134"/>
        <v>1</v>
      </c>
      <c r="BC163" t="e">
        <f t="shared" si="135"/>
        <v>#REF!</v>
      </c>
      <c r="BD163" t="e">
        <f t="shared" ca="1" si="149"/>
        <v>#N/A</v>
      </c>
      <c r="BE163" t="e">
        <f t="shared" ca="1" si="149"/>
        <v>#N/A</v>
      </c>
      <c r="BF163" t="e">
        <f t="shared" ca="1" si="149"/>
        <v>#N/A</v>
      </c>
      <c r="BH163">
        <f t="shared" ca="1" si="112"/>
        <v>0</v>
      </c>
      <c r="BI163">
        <f t="shared" ca="1" si="112"/>
        <v>0</v>
      </c>
      <c r="BJ163">
        <f t="shared" ca="1" si="112"/>
        <v>0</v>
      </c>
      <c r="BM163" t="e">
        <f t="shared" si="136"/>
        <v>#REF!</v>
      </c>
      <c r="BN163" t="e">
        <f t="shared" ca="1" si="137"/>
        <v>#N/A</v>
      </c>
      <c r="BO163" t="e">
        <f t="shared" ca="1" si="138"/>
        <v>#N/A</v>
      </c>
      <c r="BP163" t="e">
        <f t="shared" ca="1" si="139"/>
        <v>#N/A</v>
      </c>
      <c r="BQ163" t="e">
        <f t="shared" ca="1" si="140"/>
        <v>#N/A</v>
      </c>
      <c r="BR163" t="e">
        <f t="shared" ca="1" si="141"/>
        <v>#N/A</v>
      </c>
      <c r="BS163" t="e">
        <f t="shared" ca="1" si="142"/>
        <v>#N/A</v>
      </c>
      <c r="BT163" t="e">
        <f t="shared" ca="1" si="143"/>
        <v>#N/A</v>
      </c>
      <c r="BU163">
        <f t="shared" ca="1" si="144"/>
        <v>0</v>
      </c>
      <c r="BV163">
        <f t="shared" ca="1" si="145"/>
        <v>0</v>
      </c>
      <c r="BW163">
        <f t="shared" ca="1" si="146"/>
        <v>0</v>
      </c>
      <c r="BX163">
        <f t="shared" ca="1" si="147"/>
        <v>0</v>
      </c>
      <c r="BY163">
        <f t="shared" ca="1" si="148"/>
        <v>0</v>
      </c>
      <c r="BZ163">
        <f t="shared" ca="1" si="118"/>
        <v>0</v>
      </c>
      <c r="CA163">
        <f t="shared" ca="1" si="119"/>
        <v>0</v>
      </c>
    </row>
    <row r="164" spans="1:79" x14ac:dyDescent="0.4">
      <c r="A164" t="str">
        <f t="shared" si="107"/>
        <v>X</v>
      </c>
      <c r="B164">
        <v>153</v>
      </c>
      <c r="C164" t="e" cm="1">
        <f t="array" ref="C164">INDEX(auto_Series_Code,B164)</f>
        <v>#REF!</v>
      </c>
      <c r="D164" t="e" cm="1">
        <f t="array" ref="D164">INDEX(auto_tblSeries,$B164,D$11)</f>
        <v>#REF!</v>
      </c>
      <c r="E164" t="e" cm="1">
        <f t="array" ref="E164">INDEX(auto_tblSeries,$B164,E$11)</f>
        <v>#REF!</v>
      </c>
      <c r="F164" t="e" cm="1">
        <f t="array" ref="F164">INDEX(auto_tblSeries,$B164,F$11)</f>
        <v>#REF!</v>
      </c>
      <c r="G164" t="e" cm="1">
        <f t="array" ref="G164">INDEX(auto_tblSeries,$B164,G$11)</f>
        <v>#REF!</v>
      </c>
      <c r="H164" t="e" cm="1">
        <f t="array" ref="H164">INDEX(auto_tblSeries,$B164,H$11)</f>
        <v>#REF!</v>
      </c>
      <c r="I164" t="e">
        <f t="shared" si="70"/>
        <v>#REF!</v>
      </c>
      <c r="K164" t="e" cm="1">
        <f t="array" ref="K164">INDEX(auto_DataFlat_Score,$I164,K$10)</f>
        <v>#REF!</v>
      </c>
      <c r="L164" t="e" cm="1">
        <f t="array" ref="L164">INDEX(auto_DataFlat_Rank,$I164,L$10)</f>
        <v>#REF!</v>
      </c>
      <c r="M164" t="e" cm="1">
        <f t="array" ref="M164">INDEX(auto_DataFlat_DataValue,$I164,M$10)</f>
        <v>#REF!</v>
      </c>
      <c r="N164" t="e" cm="1">
        <f t="array" ref="N164">INDEX(auto_DataFlat_Classification,$I164,M$10)</f>
        <v>#REF!</v>
      </c>
      <c r="O164" t="e" cm="1">
        <f t="array" ref="O164">INDEX(auto_DataFlat_IsEstimate,$I164,O$10)</f>
        <v>#REF!</v>
      </c>
      <c r="P164" t="e" cm="1">
        <f t="array" ref="P164">IF(INDEX(auto_DataFlat_DataYear,$I164,P$10)=0,"n/a",INDEX(auto_DataFlat_DataYear,$I164,P$10))</f>
        <v>#REF!</v>
      </c>
      <c r="R164" t="e">
        <f t="shared" si="116"/>
        <v>#REF!</v>
      </c>
      <c r="S164" t="e" cm="1">
        <f t="array" ref="S164">INDEX(auto_DataFlat_Score,$R164,S$10)</f>
        <v>#REF!</v>
      </c>
      <c r="U164" t="str">
        <f t="shared" si="120"/>
        <v>n/a</v>
      </c>
      <c r="V164">
        <f t="shared" si="121"/>
        <v>1</v>
      </c>
      <c r="W164" t="e">
        <f t="shared" si="122"/>
        <v>#REF!</v>
      </c>
      <c r="X164" t="e">
        <f t="shared" ca="1" si="150"/>
        <v>#N/A</v>
      </c>
      <c r="Y164" t="e">
        <f t="shared" ca="1" si="150"/>
        <v>#N/A</v>
      </c>
      <c r="Z164" t="e">
        <f t="shared" ca="1" si="150"/>
        <v>#N/A</v>
      </c>
      <c r="AB164">
        <f t="shared" ca="1" si="111"/>
        <v>0</v>
      </c>
      <c r="AC164">
        <f t="shared" ca="1" si="111"/>
        <v>0</v>
      </c>
      <c r="AD164">
        <f t="shared" ca="1" si="111"/>
        <v>0</v>
      </c>
      <c r="AF164" t="e">
        <f t="shared" si="124"/>
        <v>#REF!</v>
      </c>
      <c r="AG164" t="e">
        <f t="shared" ca="1" si="151"/>
        <v>#N/A</v>
      </c>
      <c r="AH164" t="e">
        <f t="shared" ca="1" si="151"/>
        <v>#N/A</v>
      </c>
      <c r="AI164" t="e">
        <f t="shared" ca="1" si="151"/>
        <v>#N/A</v>
      </c>
      <c r="AJ164" t="e">
        <f t="shared" ca="1" si="151"/>
        <v>#N/A</v>
      </c>
      <c r="AK164" t="e">
        <f t="shared" ca="1" si="151"/>
        <v>#N/A</v>
      </c>
      <c r="AL164" t="e">
        <f t="shared" ca="1" si="151"/>
        <v>#N/A</v>
      </c>
      <c r="AM164" t="e">
        <f t="shared" ca="1" si="151"/>
        <v>#N/A</v>
      </c>
      <c r="AN164">
        <f t="shared" ca="1" si="126"/>
        <v>0</v>
      </c>
      <c r="AO164">
        <f t="shared" ca="1" si="127"/>
        <v>0</v>
      </c>
      <c r="AP164">
        <f t="shared" ca="1" si="128"/>
        <v>0</v>
      </c>
      <c r="AQ164">
        <f t="shared" ca="1" si="129"/>
        <v>0</v>
      </c>
      <c r="AR164">
        <f t="shared" ca="1" si="130"/>
        <v>0</v>
      </c>
      <c r="AS164">
        <f t="shared" ca="1" si="131"/>
        <v>0</v>
      </c>
      <c r="AT164">
        <f t="shared" ca="1" si="132"/>
        <v>0</v>
      </c>
      <c r="AV164" t="e">
        <f t="shared" si="6"/>
        <v>#REF!</v>
      </c>
      <c r="AW164" t="e" cm="1">
        <f t="array" ref="AW164">INDEX(auto_DataFlat_Score,$AV164,1)</f>
        <v>#REF!</v>
      </c>
      <c r="AX164" t="e" cm="1">
        <f t="array" ref="AX164">INDEX(auto_DataFlat_DataValue,$AV164,1)</f>
        <v>#REF!</v>
      </c>
      <c r="BA164" t="str">
        <f t="shared" si="133"/>
        <v>n/a</v>
      </c>
      <c r="BB164">
        <f t="shared" si="134"/>
        <v>1</v>
      </c>
      <c r="BC164" t="e">
        <f t="shared" si="135"/>
        <v>#REF!</v>
      </c>
      <c r="BD164" t="e">
        <f t="shared" ca="1" si="149"/>
        <v>#N/A</v>
      </c>
      <c r="BE164" t="e">
        <f t="shared" ca="1" si="149"/>
        <v>#N/A</v>
      </c>
      <c r="BF164" t="e">
        <f t="shared" ca="1" si="149"/>
        <v>#N/A</v>
      </c>
      <c r="BH164">
        <f t="shared" ca="1" si="112"/>
        <v>0</v>
      </c>
      <c r="BI164">
        <f t="shared" ca="1" si="112"/>
        <v>0</v>
      </c>
      <c r="BJ164">
        <f t="shared" ca="1" si="112"/>
        <v>0</v>
      </c>
      <c r="BM164" t="e">
        <f t="shared" si="136"/>
        <v>#REF!</v>
      </c>
      <c r="BN164" t="e">
        <f t="shared" ca="1" si="137"/>
        <v>#N/A</v>
      </c>
      <c r="BO164" t="e">
        <f t="shared" ca="1" si="138"/>
        <v>#N/A</v>
      </c>
      <c r="BP164" t="e">
        <f t="shared" ca="1" si="139"/>
        <v>#N/A</v>
      </c>
      <c r="BQ164" t="e">
        <f t="shared" ca="1" si="140"/>
        <v>#N/A</v>
      </c>
      <c r="BR164" t="e">
        <f t="shared" ca="1" si="141"/>
        <v>#N/A</v>
      </c>
      <c r="BS164" t="e">
        <f t="shared" ca="1" si="142"/>
        <v>#N/A</v>
      </c>
      <c r="BT164" t="e">
        <f t="shared" ca="1" si="143"/>
        <v>#N/A</v>
      </c>
      <c r="BU164">
        <f t="shared" ca="1" si="144"/>
        <v>0</v>
      </c>
      <c r="BV164">
        <f t="shared" ca="1" si="145"/>
        <v>0</v>
      </c>
      <c r="BW164">
        <f t="shared" ca="1" si="146"/>
        <v>0</v>
      </c>
      <c r="BX164">
        <f t="shared" ca="1" si="147"/>
        <v>0</v>
      </c>
      <c r="BY164">
        <f t="shared" ca="1" si="148"/>
        <v>0</v>
      </c>
      <c r="BZ164">
        <f t="shared" ca="1" si="118"/>
        <v>0</v>
      </c>
      <c r="CA164">
        <f t="shared" ca="1" si="119"/>
        <v>0</v>
      </c>
    </row>
    <row r="165" spans="1:79" x14ac:dyDescent="0.4">
      <c r="A165" t="str">
        <f t="shared" si="107"/>
        <v>X</v>
      </c>
      <c r="B165">
        <v>154</v>
      </c>
      <c r="C165" t="e" cm="1">
        <f t="array" ref="C165">INDEX(auto_Series_Code,B165)</f>
        <v>#REF!</v>
      </c>
      <c r="D165" t="e" cm="1">
        <f t="array" ref="D165">INDEX(auto_tblSeries,$B165,D$11)</f>
        <v>#REF!</v>
      </c>
      <c r="E165" t="e" cm="1">
        <f t="array" ref="E165">INDEX(auto_tblSeries,$B165,E$11)</f>
        <v>#REF!</v>
      </c>
      <c r="F165" t="e" cm="1">
        <f t="array" ref="F165">INDEX(auto_tblSeries,$B165,F$11)</f>
        <v>#REF!</v>
      </c>
      <c r="G165" t="e" cm="1">
        <f t="array" ref="G165">INDEX(auto_tblSeries,$B165,G$11)</f>
        <v>#REF!</v>
      </c>
      <c r="H165" t="e" cm="1">
        <f t="array" ref="H165">INDEX(auto_tblSeries,$B165,H$11)</f>
        <v>#REF!</v>
      </c>
      <c r="I165" t="e">
        <f t="shared" si="70"/>
        <v>#REF!</v>
      </c>
      <c r="K165" t="e" cm="1">
        <f t="array" ref="K165">INDEX(auto_DataFlat_Score,$I165,K$10)</f>
        <v>#REF!</v>
      </c>
      <c r="L165" t="e" cm="1">
        <f t="array" ref="L165">INDEX(auto_DataFlat_Rank,$I165,L$10)</f>
        <v>#REF!</v>
      </c>
      <c r="M165" t="e" cm="1">
        <f t="array" ref="M165">INDEX(auto_DataFlat_DataValue,$I165,M$10)</f>
        <v>#REF!</v>
      </c>
      <c r="N165" t="e" cm="1">
        <f t="array" ref="N165">INDEX(auto_DataFlat_Classification,$I165,M$10)</f>
        <v>#REF!</v>
      </c>
      <c r="O165" t="e" cm="1">
        <f t="array" ref="O165">INDEX(auto_DataFlat_IsEstimate,$I165,O$10)</f>
        <v>#REF!</v>
      </c>
      <c r="P165" t="e" cm="1">
        <f t="array" ref="P165">IF(INDEX(auto_DataFlat_DataYear,$I165,P$10)=0,"n/a",INDEX(auto_DataFlat_DataYear,$I165,P$10))</f>
        <v>#REF!</v>
      </c>
      <c r="R165" t="e">
        <f t="shared" si="116"/>
        <v>#REF!</v>
      </c>
      <c r="S165" t="e" cm="1">
        <f t="array" ref="S165">INDEX(auto_DataFlat_Score,$R165,S$10)</f>
        <v>#REF!</v>
      </c>
      <c r="U165" t="str">
        <f t="shared" si="120"/>
        <v>n/a</v>
      </c>
      <c r="V165">
        <f t="shared" si="121"/>
        <v>1</v>
      </c>
      <c r="W165" t="e">
        <f t="shared" si="122"/>
        <v>#REF!</v>
      </c>
      <c r="X165" t="e">
        <f t="shared" ca="1" si="150"/>
        <v>#N/A</v>
      </c>
      <c r="Y165" t="e">
        <f t="shared" ca="1" si="150"/>
        <v>#N/A</v>
      </c>
      <c r="Z165" t="e">
        <f t="shared" ca="1" si="150"/>
        <v>#N/A</v>
      </c>
      <c r="AB165">
        <f t="shared" ca="1" si="111"/>
        <v>0</v>
      </c>
      <c r="AC165">
        <f t="shared" ca="1" si="111"/>
        <v>0</v>
      </c>
      <c r="AD165">
        <f t="shared" ca="1" si="111"/>
        <v>0</v>
      </c>
      <c r="AF165" t="e">
        <f t="shared" si="124"/>
        <v>#REF!</v>
      </c>
      <c r="AG165" t="e">
        <f t="shared" ca="1" si="151"/>
        <v>#N/A</v>
      </c>
      <c r="AH165" t="e">
        <f t="shared" ca="1" si="151"/>
        <v>#N/A</v>
      </c>
      <c r="AI165" t="e">
        <f t="shared" ca="1" si="151"/>
        <v>#N/A</v>
      </c>
      <c r="AJ165" t="e">
        <f t="shared" ca="1" si="151"/>
        <v>#N/A</v>
      </c>
      <c r="AK165" t="e">
        <f t="shared" ca="1" si="151"/>
        <v>#N/A</v>
      </c>
      <c r="AL165" t="e">
        <f t="shared" ca="1" si="151"/>
        <v>#N/A</v>
      </c>
      <c r="AM165" t="e">
        <f t="shared" ca="1" si="151"/>
        <v>#N/A</v>
      </c>
      <c r="AN165">
        <f t="shared" ca="1" si="126"/>
        <v>0</v>
      </c>
      <c r="AO165">
        <f t="shared" ca="1" si="127"/>
        <v>0</v>
      </c>
      <c r="AP165">
        <f t="shared" ca="1" si="128"/>
        <v>0</v>
      </c>
      <c r="AQ165">
        <f t="shared" ca="1" si="129"/>
        <v>0</v>
      </c>
      <c r="AR165">
        <f t="shared" ca="1" si="130"/>
        <v>0</v>
      </c>
      <c r="AS165">
        <f t="shared" ca="1" si="131"/>
        <v>0</v>
      </c>
      <c r="AT165">
        <f t="shared" ca="1" si="132"/>
        <v>0</v>
      </c>
      <c r="AV165" t="e">
        <f t="shared" si="6"/>
        <v>#REF!</v>
      </c>
      <c r="AW165" t="e" cm="1">
        <f t="array" ref="AW165">INDEX(auto_DataFlat_Score,$AV165,1)</f>
        <v>#REF!</v>
      </c>
      <c r="AX165" t="e" cm="1">
        <f t="array" ref="AX165">INDEX(auto_DataFlat_DataValue,$AV165,1)</f>
        <v>#REF!</v>
      </c>
      <c r="BA165" t="str">
        <f t="shared" si="133"/>
        <v>n/a</v>
      </c>
      <c r="BB165">
        <f t="shared" si="134"/>
        <v>1</v>
      </c>
      <c r="BC165" t="e">
        <f t="shared" si="135"/>
        <v>#REF!</v>
      </c>
      <c r="BD165" t="e">
        <f t="shared" ca="1" si="149"/>
        <v>#N/A</v>
      </c>
      <c r="BE165" t="e">
        <f t="shared" ca="1" si="149"/>
        <v>#N/A</v>
      </c>
      <c r="BF165" t="e">
        <f t="shared" ca="1" si="149"/>
        <v>#N/A</v>
      </c>
      <c r="BH165">
        <f t="shared" ca="1" si="112"/>
        <v>0</v>
      </c>
      <c r="BI165">
        <f t="shared" ca="1" si="112"/>
        <v>0</v>
      </c>
      <c r="BJ165">
        <f t="shared" ca="1" si="112"/>
        <v>0</v>
      </c>
      <c r="BM165" t="e">
        <f t="shared" si="136"/>
        <v>#REF!</v>
      </c>
      <c r="BN165" t="e">
        <f t="shared" ca="1" si="137"/>
        <v>#N/A</v>
      </c>
      <c r="BO165" t="e">
        <f t="shared" ca="1" si="138"/>
        <v>#N/A</v>
      </c>
      <c r="BP165" t="e">
        <f t="shared" ca="1" si="139"/>
        <v>#N/A</v>
      </c>
      <c r="BQ165" t="e">
        <f t="shared" ca="1" si="140"/>
        <v>#N/A</v>
      </c>
      <c r="BR165" t="e">
        <f t="shared" ca="1" si="141"/>
        <v>#N/A</v>
      </c>
      <c r="BS165" t="e">
        <f t="shared" ca="1" si="142"/>
        <v>#N/A</v>
      </c>
      <c r="BT165" t="e">
        <f t="shared" ca="1" si="143"/>
        <v>#N/A</v>
      </c>
      <c r="BU165">
        <f t="shared" ca="1" si="144"/>
        <v>0</v>
      </c>
      <c r="BV165">
        <f t="shared" ca="1" si="145"/>
        <v>0</v>
      </c>
      <c r="BW165">
        <f t="shared" ca="1" si="146"/>
        <v>0</v>
      </c>
      <c r="BX165">
        <f t="shared" ca="1" si="147"/>
        <v>0</v>
      </c>
      <c r="BY165">
        <f t="shared" ca="1" si="148"/>
        <v>0</v>
      </c>
      <c r="BZ165">
        <f t="shared" ca="1" si="118"/>
        <v>0</v>
      </c>
      <c r="CA165">
        <f t="shared" ca="1" si="119"/>
        <v>0</v>
      </c>
    </row>
    <row r="166" spans="1:79" x14ac:dyDescent="0.4">
      <c r="A166" t="str">
        <f t="shared" si="107"/>
        <v>X</v>
      </c>
      <c r="B166">
        <v>155</v>
      </c>
      <c r="C166" t="e" cm="1">
        <f t="array" ref="C166">INDEX(auto_Series_Code,B166)</f>
        <v>#REF!</v>
      </c>
      <c r="D166" t="e" cm="1">
        <f t="array" ref="D166">INDEX(auto_tblSeries,$B166,D$11)</f>
        <v>#REF!</v>
      </c>
      <c r="E166" t="e" cm="1">
        <f t="array" ref="E166">INDEX(auto_tblSeries,$B166,E$11)</f>
        <v>#REF!</v>
      </c>
      <c r="F166" t="e" cm="1">
        <f t="array" ref="F166">INDEX(auto_tblSeries,$B166,F$11)</f>
        <v>#REF!</v>
      </c>
      <c r="G166" t="e" cm="1">
        <f t="array" ref="G166">INDEX(auto_tblSeries,$B166,G$11)</f>
        <v>#REF!</v>
      </c>
      <c r="H166" t="e" cm="1">
        <f t="array" ref="H166">INDEX(auto_tblSeries,$B166,H$11)</f>
        <v>#REF!</v>
      </c>
      <c r="I166" t="e">
        <f t="shared" si="70"/>
        <v>#REF!</v>
      </c>
      <c r="K166" t="e" cm="1">
        <f t="array" ref="K166">INDEX(auto_DataFlat_Score,$I166,K$10)</f>
        <v>#REF!</v>
      </c>
      <c r="L166" t="e" cm="1">
        <f t="array" ref="L166">INDEX(auto_DataFlat_Rank,$I166,L$10)</f>
        <v>#REF!</v>
      </c>
      <c r="M166" t="e" cm="1">
        <f t="array" ref="M166">INDEX(auto_DataFlat_DataValue,$I166,M$10)</f>
        <v>#REF!</v>
      </c>
      <c r="N166" t="e" cm="1">
        <f t="array" ref="N166">INDEX(auto_DataFlat_Classification,$I166,M$10)</f>
        <v>#REF!</v>
      </c>
      <c r="O166" t="e" cm="1">
        <f t="array" ref="O166">INDEX(auto_DataFlat_IsEstimate,$I166,O$10)</f>
        <v>#REF!</v>
      </c>
      <c r="P166" t="e" cm="1">
        <f t="array" ref="P166">IF(INDEX(auto_DataFlat_DataYear,$I166,P$10)=0,"n/a",INDEX(auto_DataFlat_DataYear,$I166,P$10))</f>
        <v>#REF!</v>
      </c>
      <c r="R166" t="e">
        <f t="shared" si="116"/>
        <v>#REF!</v>
      </c>
      <c r="S166" t="e" cm="1">
        <f t="array" ref="S166">INDEX(auto_DataFlat_Score,$R166,S$10)</f>
        <v>#REF!</v>
      </c>
      <c r="U166" t="str">
        <f t="shared" si="120"/>
        <v>n/a</v>
      </c>
      <c r="V166">
        <f t="shared" si="121"/>
        <v>1</v>
      </c>
      <c r="W166" t="e">
        <f t="shared" si="122"/>
        <v>#REF!</v>
      </c>
      <c r="X166" t="e">
        <f t="shared" ca="1" si="150"/>
        <v>#N/A</v>
      </c>
      <c r="Y166" t="e">
        <f t="shared" ca="1" si="150"/>
        <v>#N/A</v>
      </c>
      <c r="Z166" t="e">
        <f t="shared" ca="1" si="150"/>
        <v>#N/A</v>
      </c>
      <c r="AB166">
        <f t="shared" ca="1" si="111"/>
        <v>0</v>
      </c>
      <c r="AC166">
        <f t="shared" ca="1" si="111"/>
        <v>0</v>
      </c>
      <c r="AD166">
        <f t="shared" ca="1" si="111"/>
        <v>0</v>
      </c>
      <c r="AF166" t="e">
        <f t="shared" si="124"/>
        <v>#REF!</v>
      </c>
      <c r="AG166" t="e">
        <f t="shared" ca="1" si="151"/>
        <v>#N/A</v>
      </c>
      <c r="AH166" t="e">
        <f t="shared" ca="1" si="151"/>
        <v>#N/A</v>
      </c>
      <c r="AI166" t="e">
        <f t="shared" ca="1" si="151"/>
        <v>#N/A</v>
      </c>
      <c r="AJ166" t="e">
        <f t="shared" ca="1" si="151"/>
        <v>#N/A</v>
      </c>
      <c r="AK166" t="e">
        <f t="shared" ca="1" si="151"/>
        <v>#N/A</v>
      </c>
      <c r="AL166" t="e">
        <f t="shared" ca="1" si="151"/>
        <v>#N/A</v>
      </c>
      <c r="AM166" t="e">
        <f t="shared" ca="1" si="151"/>
        <v>#N/A</v>
      </c>
      <c r="AN166">
        <f t="shared" ca="1" si="126"/>
        <v>0</v>
      </c>
      <c r="AO166">
        <f t="shared" ca="1" si="127"/>
        <v>0</v>
      </c>
      <c r="AP166">
        <f t="shared" ca="1" si="128"/>
        <v>0</v>
      </c>
      <c r="AQ166">
        <f t="shared" ca="1" si="129"/>
        <v>0</v>
      </c>
      <c r="AR166">
        <f t="shared" ca="1" si="130"/>
        <v>0</v>
      </c>
      <c r="AS166">
        <f t="shared" ca="1" si="131"/>
        <v>0</v>
      </c>
      <c r="AT166">
        <f t="shared" ca="1" si="132"/>
        <v>0</v>
      </c>
      <c r="AV166" t="e">
        <f t="shared" si="6"/>
        <v>#REF!</v>
      </c>
      <c r="AW166" t="e" cm="1">
        <f t="array" ref="AW166">INDEX(auto_DataFlat_Score,$AV166,1)</f>
        <v>#REF!</v>
      </c>
      <c r="AX166" t="e" cm="1">
        <f t="array" ref="AX166">INDEX(auto_DataFlat_DataValue,$AV166,1)</f>
        <v>#REF!</v>
      </c>
      <c r="BA166" t="str">
        <f t="shared" si="133"/>
        <v>n/a</v>
      </c>
      <c r="BB166">
        <f t="shared" si="134"/>
        <v>1</v>
      </c>
      <c r="BC166" t="e">
        <f t="shared" si="135"/>
        <v>#REF!</v>
      </c>
      <c r="BD166" t="e">
        <f t="shared" ca="1" si="149"/>
        <v>#N/A</v>
      </c>
      <c r="BE166" t="e">
        <f t="shared" ca="1" si="149"/>
        <v>#N/A</v>
      </c>
      <c r="BF166" t="e">
        <f t="shared" ca="1" si="149"/>
        <v>#N/A</v>
      </c>
      <c r="BH166">
        <f t="shared" ca="1" si="112"/>
        <v>0</v>
      </c>
      <c r="BI166">
        <f t="shared" ca="1" si="112"/>
        <v>0</v>
      </c>
      <c r="BJ166">
        <f t="shared" ca="1" si="112"/>
        <v>0</v>
      </c>
      <c r="BM166" t="e">
        <f t="shared" si="136"/>
        <v>#REF!</v>
      </c>
      <c r="BN166" t="e">
        <f t="shared" ca="1" si="137"/>
        <v>#N/A</v>
      </c>
      <c r="BO166" t="e">
        <f t="shared" ca="1" si="138"/>
        <v>#N/A</v>
      </c>
      <c r="BP166" t="e">
        <f t="shared" ca="1" si="139"/>
        <v>#N/A</v>
      </c>
      <c r="BQ166" t="e">
        <f t="shared" ca="1" si="140"/>
        <v>#N/A</v>
      </c>
      <c r="BR166" t="e">
        <f t="shared" ca="1" si="141"/>
        <v>#N/A</v>
      </c>
      <c r="BS166" t="e">
        <f t="shared" ca="1" si="142"/>
        <v>#N/A</v>
      </c>
      <c r="BT166" t="e">
        <f t="shared" ca="1" si="143"/>
        <v>#N/A</v>
      </c>
      <c r="BU166">
        <f t="shared" ca="1" si="144"/>
        <v>0</v>
      </c>
      <c r="BV166">
        <f t="shared" ca="1" si="145"/>
        <v>0</v>
      </c>
      <c r="BW166">
        <f t="shared" ca="1" si="146"/>
        <v>0</v>
      </c>
      <c r="BX166">
        <f t="shared" ca="1" si="147"/>
        <v>0</v>
      </c>
      <c r="BY166">
        <f t="shared" ca="1" si="148"/>
        <v>0</v>
      </c>
      <c r="BZ166">
        <f t="shared" ca="1" si="118"/>
        <v>0</v>
      </c>
      <c r="CA166">
        <f t="shared" ca="1" si="119"/>
        <v>0</v>
      </c>
    </row>
    <row r="167" spans="1:79" x14ac:dyDescent="0.4">
      <c r="A167" t="str">
        <f t="shared" si="107"/>
        <v>X</v>
      </c>
      <c r="B167">
        <v>156</v>
      </c>
      <c r="C167" t="e" cm="1">
        <f t="array" ref="C167">INDEX(auto_Series_Code,B167)</f>
        <v>#REF!</v>
      </c>
      <c r="D167" t="e" cm="1">
        <f t="array" ref="D167">INDEX(auto_tblSeries,$B167,D$11)</f>
        <v>#REF!</v>
      </c>
      <c r="E167" t="e" cm="1">
        <f t="array" ref="E167">INDEX(auto_tblSeries,$B167,E$11)</f>
        <v>#REF!</v>
      </c>
      <c r="F167" t="e" cm="1">
        <f t="array" ref="F167">INDEX(auto_tblSeries,$B167,F$11)</f>
        <v>#REF!</v>
      </c>
      <c r="G167" t="e" cm="1">
        <f t="array" ref="G167">INDEX(auto_tblSeries,$B167,G$11)</f>
        <v>#REF!</v>
      </c>
      <c r="H167" t="e" cm="1">
        <f t="array" ref="H167">INDEX(auto_tblSeries,$B167,H$11)</f>
        <v>#REF!</v>
      </c>
      <c r="I167" t="e">
        <f t="shared" si="70"/>
        <v>#REF!</v>
      </c>
      <c r="K167" t="e" cm="1">
        <f t="array" ref="K167">INDEX(auto_DataFlat_Score,$I167,K$10)</f>
        <v>#REF!</v>
      </c>
      <c r="L167" t="e" cm="1">
        <f t="array" ref="L167">INDEX(auto_DataFlat_Rank,$I167,L$10)</f>
        <v>#REF!</v>
      </c>
      <c r="M167" t="e" cm="1">
        <f t="array" ref="M167">INDEX(auto_DataFlat_DataValue,$I167,M$10)</f>
        <v>#REF!</v>
      </c>
      <c r="N167" t="e" cm="1">
        <f t="array" ref="N167">INDEX(auto_DataFlat_Classification,$I167,M$10)</f>
        <v>#REF!</v>
      </c>
      <c r="O167" t="e" cm="1">
        <f t="array" ref="O167">INDEX(auto_DataFlat_IsEstimate,$I167,O$10)</f>
        <v>#REF!</v>
      </c>
      <c r="P167" t="e" cm="1">
        <f t="array" ref="P167">IF(INDEX(auto_DataFlat_DataYear,$I167,P$10)=0,"n/a",INDEX(auto_DataFlat_DataYear,$I167,P$10))</f>
        <v>#REF!</v>
      </c>
      <c r="R167" t="e">
        <f t="shared" si="116"/>
        <v>#REF!</v>
      </c>
      <c r="S167" t="e" cm="1">
        <f t="array" ref="S167">INDEX(auto_DataFlat_Score,$R167,S$10)</f>
        <v>#REF!</v>
      </c>
      <c r="U167" t="str">
        <f t="shared" si="120"/>
        <v>n/a</v>
      </c>
      <c r="V167">
        <f t="shared" si="121"/>
        <v>1</v>
      </c>
      <c r="W167" t="e">
        <f t="shared" si="122"/>
        <v>#REF!</v>
      </c>
      <c r="X167" t="e">
        <f t="shared" ca="1" si="150"/>
        <v>#N/A</v>
      </c>
      <c r="Y167" t="e">
        <f t="shared" ca="1" si="150"/>
        <v>#N/A</v>
      </c>
      <c r="Z167" t="e">
        <f t="shared" ca="1" si="150"/>
        <v>#N/A</v>
      </c>
      <c r="AB167">
        <f t="shared" ca="1" si="111"/>
        <v>0</v>
      </c>
      <c r="AC167">
        <f t="shared" ca="1" si="111"/>
        <v>0</v>
      </c>
      <c r="AD167">
        <f t="shared" ca="1" si="111"/>
        <v>0</v>
      </c>
      <c r="AF167" t="e">
        <f t="shared" si="124"/>
        <v>#REF!</v>
      </c>
      <c r="AG167" t="e">
        <f t="shared" ca="1" si="151"/>
        <v>#N/A</v>
      </c>
      <c r="AH167" t="e">
        <f t="shared" ca="1" si="151"/>
        <v>#N/A</v>
      </c>
      <c r="AI167" t="e">
        <f t="shared" ca="1" si="151"/>
        <v>#N/A</v>
      </c>
      <c r="AJ167" t="e">
        <f t="shared" ca="1" si="151"/>
        <v>#N/A</v>
      </c>
      <c r="AK167" t="e">
        <f t="shared" ca="1" si="151"/>
        <v>#N/A</v>
      </c>
      <c r="AL167" t="e">
        <f t="shared" ca="1" si="151"/>
        <v>#N/A</v>
      </c>
      <c r="AM167" t="e">
        <f t="shared" ca="1" si="151"/>
        <v>#N/A</v>
      </c>
      <c r="AN167">
        <f t="shared" ca="1" si="126"/>
        <v>0</v>
      </c>
      <c r="AO167">
        <f t="shared" ca="1" si="127"/>
        <v>0</v>
      </c>
      <c r="AP167">
        <f t="shared" ca="1" si="128"/>
        <v>0</v>
      </c>
      <c r="AQ167">
        <f t="shared" ca="1" si="129"/>
        <v>0</v>
      </c>
      <c r="AR167">
        <f t="shared" ca="1" si="130"/>
        <v>0</v>
      </c>
      <c r="AS167">
        <f t="shared" ca="1" si="131"/>
        <v>0</v>
      </c>
      <c r="AT167">
        <f t="shared" ca="1" si="132"/>
        <v>0</v>
      </c>
      <c r="AV167" t="e">
        <f t="shared" si="6"/>
        <v>#REF!</v>
      </c>
      <c r="AW167" t="e" cm="1">
        <f t="array" ref="AW167">INDEX(auto_DataFlat_Score,$AV167,1)</f>
        <v>#REF!</v>
      </c>
      <c r="AX167" t="e" cm="1">
        <f t="array" ref="AX167">INDEX(auto_DataFlat_DataValue,$AV167,1)</f>
        <v>#REF!</v>
      </c>
      <c r="BA167" t="str">
        <f t="shared" si="133"/>
        <v>n/a</v>
      </c>
      <c r="BB167">
        <f t="shared" si="134"/>
        <v>1</v>
      </c>
      <c r="BC167" t="e">
        <f t="shared" si="135"/>
        <v>#REF!</v>
      </c>
      <c r="BD167" t="e">
        <f t="shared" ca="1" si="149"/>
        <v>#N/A</v>
      </c>
      <c r="BE167" t="e">
        <f t="shared" ca="1" si="149"/>
        <v>#N/A</v>
      </c>
      <c r="BF167" t="e">
        <f t="shared" ca="1" si="149"/>
        <v>#N/A</v>
      </c>
      <c r="BH167">
        <f t="shared" ca="1" si="112"/>
        <v>0</v>
      </c>
      <c r="BI167">
        <f t="shared" ca="1" si="112"/>
        <v>0</v>
      </c>
      <c r="BJ167">
        <f t="shared" ca="1" si="112"/>
        <v>0</v>
      </c>
      <c r="BM167" t="e">
        <f t="shared" si="136"/>
        <v>#REF!</v>
      </c>
      <c r="BN167" t="e">
        <f t="shared" ca="1" si="137"/>
        <v>#N/A</v>
      </c>
      <c r="BO167" t="e">
        <f t="shared" ca="1" si="138"/>
        <v>#N/A</v>
      </c>
      <c r="BP167" t="e">
        <f t="shared" ca="1" si="139"/>
        <v>#N/A</v>
      </c>
      <c r="BQ167" t="e">
        <f t="shared" ca="1" si="140"/>
        <v>#N/A</v>
      </c>
      <c r="BR167" t="e">
        <f t="shared" ca="1" si="141"/>
        <v>#N/A</v>
      </c>
      <c r="BS167" t="e">
        <f t="shared" ca="1" si="142"/>
        <v>#N/A</v>
      </c>
      <c r="BT167" t="e">
        <f t="shared" ca="1" si="143"/>
        <v>#N/A</v>
      </c>
      <c r="BU167">
        <f t="shared" ca="1" si="144"/>
        <v>0</v>
      </c>
      <c r="BV167">
        <f t="shared" ca="1" si="145"/>
        <v>0</v>
      </c>
      <c r="BW167">
        <f t="shared" ca="1" si="146"/>
        <v>0</v>
      </c>
      <c r="BX167">
        <f t="shared" ca="1" si="147"/>
        <v>0</v>
      </c>
      <c r="BY167">
        <f t="shared" ca="1" si="148"/>
        <v>0</v>
      </c>
      <c r="BZ167">
        <f t="shared" ca="1" si="118"/>
        <v>0</v>
      </c>
      <c r="CA167">
        <f t="shared" ca="1" si="119"/>
        <v>0</v>
      </c>
    </row>
    <row r="168" spans="1:79" x14ac:dyDescent="0.4">
      <c r="A168" t="str">
        <f t="shared" si="107"/>
        <v>X</v>
      </c>
      <c r="B168">
        <v>157</v>
      </c>
      <c r="C168" t="e" cm="1">
        <f t="array" ref="C168">INDEX(auto_Series_Code,B168)</f>
        <v>#REF!</v>
      </c>
      <c r="D168" t="e" cm="1">
        <f t="array" ref="D168">INDEX(auto_tblSeries,$B168,D$11)</f>
        <v>#REF!</v>
      </c>
      <c r="E168" t="e" cm="1">
        <f t="array" ref="E168">INDEX(auto_tblSeries,$B168,E$11)</f>
        <v>#REF!</v>
      </c>
      <c r="F168" t="e" cm="1">
        <f t="array" ref="F168">INDEX(auto_tblSeries,$B168,F$11)</f>
        <v>#REF!</v>
      </c>
      <c r="G168" t="e" cm="1">
        <f t="array" ref="G168">INDEX(auto_tblSeries,$B168,G$11)</f>
        <v>#REF!</v>
      </c>
      <c r="H168" t="e" cm="1">
        <f t="array" ref="H168">INDEX(auto_tblSeries,$B168,H$11)</f>
        <v>#REF!</v>
      </c>
      <c r="I168" t="e">
        <f t="shared" si="70"/>
        <v>#REF!</v>
      </c>
      <c r="K168" t="e" cm="1">
        <f t="array" ref="K168">INDEX(auto_DataFlat_Score,$I168,K$10)</f>
        <v>#REF!</v>
      </c>
      <c r="L168" t="e" cm="1">
        <f t="array" ref="L168">INDEX(auto_DataFlat_Rank,$I168,L$10)</f>
        <v>#REF!</v>
      </c>
      <c r="M168" t="e" cm="1">
        <f t="array" ref="M168">INDEX(auto_DataFlat_DataValue,$I168,M$10)</f>
        <v>#REF!</v>
      </c>
      <c r="N168" t="e" cm="1">
        <f t="array" ref="N168">INDEX(auto_DataFlat_Classification,$I168,M$10)</f>
        <v>#REF!</v>
      </c>
      <c r="O168" t="e" cm="1">
        <f t="array" ref="O168">INDEX(auto_DataFlat_IsEstimate,$I168,O$10)</f>
        <v>#REF!</v>
      </c>
      <c r="P168" t="e" cm="1">
        <f t="array" ref="P168">IF(INDEX(auto_DataFlat_DataYear,$I168,P$10)=0,"n/a",INDEX(auto_DataFlat_DataYear,$I168,P$10))</f>
        <v>#REF!</v>
      </c>
      <c r="R168" t="e">
        <f t="shared" si="116"/>
        <v>#REF!</v>
      </c>
      <c r="S168" t="e" cm="1">
        <f t="array" ref="S168">INDEX(auto_DataFlat_Score,$R168,S$10)</f>
        <v>#REF!</v>
      </c>
      <c r="U168" t="str">
        <f t="shared" si="120"/>
        <v>n/a</v>
      </c>
      <c r="V168">
        <f t="shared" si="121"/>
        <v>1</v>
      </c>
      <c r="W168" t="e">
        <f t="shared" si="122"/>
        <v>#REF!</v>
      </c>
      <c r="X168" t="e">
        <f t="shared" ca="1" si="150"/>
        <v>#N/A</v>
      </c>
      <c r="Y168" t="e">
        <f t="shared" ca="1" si="150"/>
        <v>#N/A</v>
      </c>
      <c r="Z168" t="e">
        <f t="shared" ca="1" si="150"/>
        <v>#N/A</v>
      </c>
      <c r="AB168">
        <f t="shared" ca="1" si="111"/>
        <v>0</v>
      </c>
      <c r="AC168">
        <f t="shared" ca="1" si="111"/>
        <v>0</v>
      </c>
      <c r="AD168">
        <f t="shared" ca="1" si="111"/>
        <v>0</v>
      </c>
      <c r="AF168" t="e">
        <f t="shared" si="124"/>
        <v>#REF!</v>
      </c>
      <c r="AG168" t="e">
        <f t="shared" ca="1" si="151"/>
        <v>#N/A</v>
      </c>
      <c r="AH168" t="e">
        <f t="shared" ca="1" si="151"/>
        <v>#N/A</v>
      </c>
      <c r="AI168" t="e">
        <f t="shared" ca="1" si="151"/>
        <v>#N/A</v>
      </c>
      <c r="AJ168" t="e">
        <f t="shared" ca="1" si="151"/>
        <v>#N/A</v>
      </c>
      <c r="AK168" t="e">
        <f t="shared" ca="1" si="151"/>
        <v>#N/A</v>
      </c>
      <c r="AL168" t="e">
        <f t="shared" ca="1" si="151"/>
        <v>#N/A</v>
      </c>
      <c r="AM168" t="e">
        <f t="shared" ca="1" si="151"/>
        <v>#N/A</v>
      </c>
      <c r="AN168">
        <f t="shared" ca="1" si="126"/>
        <v>0</v>
      </c>
      <c r="AO168">
        <f t="shared" ca="1" si="127"/>
        <v>0</v>
      </c>
      <c r="AP168">
        <f t="shared" ca="1" si="128"/>
        <v>0</v>
      </c>
      <c r="AQ168">
        <f t="shared" ca="1" si="129"/>
        <v>0</v>
      </c>
      <c r="AR168">
        <f t="shared" ca="1" si="130"/>
        <v>0</v>
      </c>
      <c r="AS168">
        <f t="shared" ca="1" si="131"/>
        <v>0</v>
      </c>
      <c r="AT168">
        <f t="shared" ca="1" si="132"/>
        <v>0</v>
      </c>
      <c r="AV168" t="e">
        <f t="shared" si="6"/>
        <v>#REF!</v>
      </c>
      <c r="AW168" t="e" cm="1">
        <f t="array" ref="AW168">INDEX(auto_DataFlat_Score,$AV168,1)</f>
        <v>#REF!</v>
      </c>
      <c r="AX168" t="e" cm="1">
        <f t="array" ref="AX168">INDEX(auto_DataFlat_DataValue,$AV168,1)</f>
        <v>#REF!</v>
      </c>
      <c r="BA168" t="str">
        <f t="shared" si="133"/>
        <v>n/a</v>
      </c>
      <c r="BB168">
        <f t="shared" si="134"/>
        <v>1</v>
      </c>
      <c r="BC168" t="e">
        <f t="shared" si="135"/>
        <v>#REF!</v>
      </c>
      <c r="BD168" t="e">
        <f t="shared" ca="1" si="149"/>
        <v>#N/A</v>
      </c>
      <c r="BE168" t="e">
        <f t="shared" ca="1" si="149"/>
        <v>#N/A</v>
      </c>
      <c r="BF168" t="e">
        <f t="shared" ca="1" si="149"/>
        <v>#N/A</v>
      </c>
      <c r="BH168">
        <f t="shared" ca="1" si="112"/>
        <v>0</v>
      </c>
      <c r="BI168">
        <f t="shared" ca="1" si="112"/>
        <v>0</v>
      </c>
      <c r="BJ168">
        <f t="shared" ca="1" si="112"/>
        <v>0</v>
      </c>
      <c r="BM168" t="e">
        <f t="shared" si="136"/>
        <v>#REF!</v>
      </c>
      <c r="BN168" t="e">
        <f t="shared" ca="1" si="137"/>
        <v>#N/A</v>
      </c>
      <c r="BO168" t="e">
        <f t="shared" ca="1" si="138"/>
        <v>#N/A</v>
      </c>
      <c r="BP168" t="e">
        <f t="shared" ca="1" si="139"/>
        <v>#N/A</v>
      </c>
      <c r="BQ168" t="e">
        <f t="shared" ca="1" si="140"/>
        <v>#N/A</v>
      </c>
      <c r="BR168" t="e">
        <f t="shared" ca="1" si="141"/>
        <v>#N/A</v>
      </c>
      <c r="BS168" t="e">
        <f t="shared" ca="1" si="142"/>
        <v>#N/A</v>
      </c>
      <c r="BT168" t="e">
        <f t="shared" ca="1" si="143"/>
        <v>#N/A</v>
      </c>
      <c r="BU168">
        <f t="shared" ca="1" si="144"/>
        <v>0</v>
      </c>
      <c r="BV168">
        <f t="shared" ca="1" si="145"/>
        <v>0</v>
      </c>
      <c r="BW168">
        <f t="shared" ca="1" si="146"/>
        <v>0</v>
      </c>
      <c r="BX168">
        <f t="shared" ca="1" si="147"/>
        <v>0</v>
      </c>
      <c r="BY168">
        <f t="shared" ca="1" si="148"/>
        <v>0</v>
      </c>
      <c r="BZ168">
        <f t="shared" ca="1" si="118"/>
        <v>0</v>
      </c>
      <c r="CA168">
        <f t="shared" ca="1" si="119"/>
        <v>0</v>
      </c>
    </row>
    <row r="169" spans="1:79" x14ac:dyDescent="0.4">
      <c r="A169" t="str">
        <f t="shared" si="107"/>
        <v>X</v>
      </c>
      <c r="B169">
        <v>158</v>
      </c>
      <c r="C169" t="e" cm="1">
        <f t="array" ref="C169">INDEX(auto_Series_Code,B169)</f>
        <v>#REF!</v>
      </c>
      <c r="D169" t="e" cm="1">
        <f t="array" ref="D169">INDEX(auto_tblSeries,$B169,D$11)</f>
        <v>#REF!</v>
      </c>
      <c r="E169" t="e" cm="1">
        <f t="array" ref="E169">INDEX(auto_tblSeries,$B169,E$11)</f>
        <v>#REF!</v>
      </c>
      <c r="F169" t="e" cm="1">
        <f t="array" ref="F169">INDEX(auto_tblSeries,$B169,F$11)</f>
        <v>#REF!</v>
      </c>
      <c r="G169" t="e" cm="1">
        <f t="array" ref="G169">INDEX(auto_tblSeries,$B169,G$11)</f>
        <v>#REF!</v>
      </c>
      <c r="H169" t="e" cm="1">
        <f t="array" ref="H169">INDEX(auto_tblSeries,$B169,H$11)</f>
        <v>#REF!</v>
      </c>
      <c r="I169" t="e">
        <f t="shared" si="70"/>
        <v>#REF!</v>
      </c>
      <c r="K169" t="e" cm="1">
        <f t="array" ref="K169">INDEX(auto_DataFlat_Score,$I169,K$10)</f>
        <v>#REF!</v>
      </c>
      <c r="L169" t="e" cm="1">
        <f t="array" ref="L169">INDEX(auto_DataFlat_Rank,$I169,L$10)</f>
        <v>#REF!</v>
      </c>
      <c r="M169" t="e" cm="1">
        <f t="array" ref="M169">INDEX(auto_DataFlat_DataValue,$I169,M$10)</f>
        <v>#REF!</v>
      </c>
      <c r="N169" t="e" cm="1">
        <f t="array" ref="N169">INDEX(auto_DataFlat_Classification,$I169,M$10)</f>
        <v>#REF!</v>
      </c>
      <c r="O169" t="e" cm="1">
        <f t="array" ref="O169">INDEX(auto_DataFlat_IsEstimate,$I169,O$10)</f>
        <v>#REF!</v>
      </c>
      <c r="P169" t="e" cm="1">
        <f t="array" ref="P169">IF(INDEX(auto_DataFlat_DataYear,$I169,P$10)=0,"n/a",INDEX(auto_DataFlat_DataYear,$I169,P$10))</f>
        <v>#REF!</v>
      </c>
      <c r="R169" t="e">
        <f t="shared" si="116"/>
        <v>#REF!</v>
      </c>
      <c r="S169" t="e" cm="1">
        <f t="array" ref="S169">INDEX(auto_DataFlat_Score,$R169,S$10)</f>
        <v>#REF!</v>
      </c>
      <c r="U169" t="str">
        <f t="shared" si="120"/>
        <v>n/a</v>
      </c>
      <c r="V169">
        <f t="shared" si="121"/>
        <v>1</v>
      </c>
      <c r="W169" t="e">
        <f t="shared" si="122"/>
        <v>#REF!</v>
      </c>
      <c r="X169" t="e">
        <f t="shared" ca="1" si="150"/>
        <v>#N/A</v>
      </c>
      <c r="Y169" t="e">
        <f t="shared" ca="1" si="150"/>
        <v>#N/A</v>
      </c>
      <c r="Z169" t="e">
        <f t="shared" ca="1" si="150"/>
        <v>#N/A</v>
      </c>
      <c r="AB169">
        <f t="shared" ca="1" si="111"/>
        <v>0</v>
      </c>
      <c r="AC169">
        <f t="shared" ca="1" si="111"/>
        <v>0</v>
      </c>
      <c r="AD169">
        <f t="shared" ca="1" si="111"/>
        <v>0</v>
      </c>
      <c r="AF169" t="e">
        <f t="shared" si="124"/>
        <v>#REF!</v>
      </c>
      <c r="AG169" t="e">
        <f t="shared" ca="1" si="151"/>
        <v>#N/A</v>
      </c>
      <c r="AH169" t="e">
        <f t="shared" ca="1" si="151"/>
        <v>#N/A</v>
      </c>
      <c r="AI169" t="e">
        <f t="shared" ca="1" si="151"/>
        <v>#N/A</v>
      </c>
      <c r="AJ169" t="e">
        <f t="shared" ca="1" si="151"/>
        <v>#N/A</v>
      </c>
      <c r="AK169" t="e">
        <f t="shared" ca="1" si="151"/>
        <v>#N/A</v>
      </c>
      <c r="AL169" t="e">
        <f t="shared" ca="1" si="151"/>
        <v>#N/A</v>
      </c>
      <c r="AM169" t="e">
        <f t="shared" ca="1" si="151"/>
        <v>#N/A</v>
      </c>
      <c r="AN169">
        <f t="shared" ca="1" si="126"/>
        <v>0</v>
      </c>
      <c r="AO169">
        <f t="shared" ca="1" si="127"/>
        <v>0</v>
      </c>
      <c r="AP169">
        <f t="shared" ca="1" si="128"/>
        <v>0</v>
      </c>
      <c r="AQ169">
        <f t="shared" ca="1" si="129"/>
        <v>0</v>
      </c>
      <c r="AR169">
        <f t="shared" ca="1" si="130"/>
        <v>0</v>
      </c>
      <c r="AS169">
        <f t="shared" ca="1" si="131"/>
        <v>0</v>
      </c>
      <c r="AT169">
        <f t="shared" ca="1" si="132"/>
        <v>0</v>
      </c>
      <c r="AV169" t="e">
        <f t="shared" si="6"/>
        <v>#REF!</v>
      </c>
      <c r="AW169" t="e" cm="1">
        <f t="array" ref="AW169">INDEX(auto_DataFlat_Score,$AV169,1)</f>
        <v>#REF!</v>
      </c>
      <c r="AX169" t="e" cm="1">
        <f t="array" ref="AX169">INDEX(auto_DataFlat_DataValue,$AV169,1)</f>
        <v>#REF!</v>
      </c>
      <c r="BA169" t="str">
        <f t="shared" si="133"/>
        <v>n/a</v>
      </c>
      <c r="BB169">
        <f t="shared" si="134"/>
        <v>1</v>
      </c>
      <c r="BC169" t="e">
        <f t="shared" si="135"/>
        <v>#REF!</v>
      </c>
      <c r="BD169" t="e">
        <f t="shared" ca="1" si="149"/>
        <v>#N/A</v>
      </c>
      <c r="BE169" t="e">
        <f t="shared" ca="1" si="149"/>
        <v>#N/A</v>
      </c>
      <c r="BF169" t="e">
        <f t="shared" ca="1" si="149"/>
        <v>#N/A</v>
      </c>
      <c r="BH169">
        <f t="shared" ca="1" si="112"/>
        <v>0</v>
      </c>
      <c r="BI169">
        <f t="shared" ca="1" si="112"/>
        <v>0</v>
      </c>
      <c r="BJ169">
        <f t="shared" ca="1" si="112"/>
        <v>0</v>
      </c>
      <c r="BM169" t="e">
        <f t="shared" si="136"/>
        <v>#REF!</v>
      </c>
      <c r="BN169" t="e">
        <f t="shared" ca="1" si="137"/>
        <v>#N/A</v>
      </c>
      <c r="BO169" t="e">
        <f t="shared" ca="1" si="138"/>
        <v>#N/A</v>
      </c>
      <c r="BP169" t="e">
        <f t="shared" ca="1" si="139"/>
        <v>#N/A</v>
      </c>
      <c r="BQ169" t="e">
        <f t="shared" ca="1" si="140"/>
        <v>#N/A</v>
      </c>
      <c r="BR169" t="e">
        <f t="shared" ca="1" si="141"/>
        <v>#N/A</v>
      </c>
      <c r="BS169" t="e">
        <f t="shared" ca="1" si="142"/>
        <v>#N/A</v>
      </c>
      <c r="BT169" t="e">
        <f t="shared" ca="1" si="143"/>
        <v>#N/A</v>
      </c>
      <c r="BU169">
        <f t="shared" ca="1" si="144"/>
        <v>0</v>
      </c>
      <c r="BV169">
        <f t="shared" ca="1" si="145"/>
        <v>0</v>
      </c>
      <c r="BW169">
        <f t="shared" ca="1" si="146"/>
        <v>0</v>
      </c>
      <c r="BX169">
        <f t="shared" ca="1" si="147"/>
        <v>0</v>
      </c>
      <c r="BY169">
        <f t="shared" ca="1" si="148"/>
        <v>0</v>
      </c>
      <c r="BZ169">
        <f t="shared" ca="1" si="118"/>
        <v>0</v>
      </c>
      <c r="CA169">
        <f t="shared" ca="1" si="119"/>
        <v>0</v>
      </c>
    </row>
    <row r="170" spans="1:79" x14ac:dyDescent="0.4">
      <c r="A170" t="str">
        <f t="shared" ref="A170:A233" si="152">IF(ISERROR(C170),"X","")</f>
        <v>X</v>
      </c>
      <c r="B170">
        <v>159</v>
      </c>
      <c r="C170" t="e" cm="1">
        <f t="array" ref="C170">INDEX(auto_Series_Code,B170)</f>
        <v>#REF!</v>
      </c>
      <c r="D170" t="e" cm="1">
        <f t="array" ref="D170">INDEX(auto_tblSeries,$B170,D$11)</f>
        <v>#REF!</v>
      </c>
      <c r="E170" t="e" cm="1">
        <f t="array" ref="E170">INDEX(auto_tblSeries,$B170,E$11)</f>
        <v>#REF!</v>
      </c>
      <c r="F170" t="e" cm="1">
        <f t="array" ref="F170">INDEX(auto_tblSeries,$B170,F$11)</f>
        <v>#REF!</v>
      </c>
      <c r="G170" t="e" cm="1">
        <f t="array" ref="G170">INDEX(auto_tblSeries,$B170,G$11)</f>
        <v>#REF!</v>
      </c>
      <c r="H170" t="e" cm="1">
        <f t="array" ref="H170">INDEX(auto_tblSeries,$B170,H$11)</f>
        <v>#REF!</v>
      </c>
      <c r="I170" t="e">
        <f t="shared" si="70"/>
        <v>#REF!</v>
      </c>
      <c r="K170" t="e" cm="1">
        <f t="array" ref="K170">INDEX(auto_DataFlat_Score,$I170,K$10)</f>
        <v>#REF!</v>
      </c>
      <c r="L170" t="e" cm="1">
        <f t="array" ref="L170">INDEX(auto_DataFlat_Rank,$I170,L$10)</f>
        <v>#REF!</v>
      </c>
      <c r="M170" t="e" cm="1">
        <f t="array" ref="M170">INDEX(auto_DataFlat_DataValue,$I170,M$10)</f>
        <v>#REF!</v>
      </c>
      <c r="N170" t="e" cm="1">
        <f t="array" ref="N170">INDEX(auto_DataFlat_Classification,$I170,M$10)</f>
        <v>#REF!</v>
      </c>
      <c r="O170" t="e" cm="1">
        <f t="array" ref="O170">INDEX(auto_DataFlat_IsEstimate,$I170,O$10)</f>
        <v>#REF!</v>
      </c>
      <c r="P170" t="e" cm="1">
        <f t="array" ref="P170">IF(INDEX(auto_DataFlat_DataYear,$I170,P$10)=0,"n/a",INDEX(auto_DataFlat_DataYear,$I170,P$10))</f>
        <v>#REF!</v>
      </c>
      <c r="R170" t="e">
        <f t="shared" si="116"/>
        <v>#REF!</v>
      </c>
      <c r="S170" t="e" cm="1">
        <f t="array" ref="S170">INDEX(auto_DataFlat_Score,$R170,S$10)</f>
        <v>#REF!</v>
      </c>
      <c r="U170" t="str">
        <f t="shared" si="120"/>
        <v>n/a</v>
      </c>
      <c r="V170">
        <f t="shared" si="121"/>
        <v>1</v>
      </c>
      <c r="W170" t="e">
        <f t="shared" si="122"/>
        <v>#REF!</v>
      </c>
      <c r="X170" t="e">
        <f t="shared" ca="1" si="150"/>
        <v>#N/A</v>
      </c>
      <c r="Y170" t="e">
        <f t="shared" ca="1" si="150"/>
        <v>#N/A</v>
      </c>
      <c r="Z170" t="e">
        <f t="shared" ca="1" si="150"/>
        <v>#N/A</v>
      </c>
      <c r="AB170">
        <f t="shared" ca="1" si="111"/>
        <v>0</v>
      </c>
      <c r="AC170">
        <f t="shared" ca="1" si="111"/>
        <v>0</v>
      </c>
      <c r="AD170">
        <f t="shared" ca="1" si="111"/>
        <v>0</v>
      </c>
      <c r="AF170" t="e">
        <f t="shared" si="124"/>
        <v>#REF!</v>
      </c>
      <c r="AG170" t="e">
        <f t="shared" ca="1" si="151"/>
        <v>#N/A</v>
      </c>
      <c r="AH170" t="e">
        <f t="shared" ca="1" si="151"/>
        <v>#N/A</v>
      </c>
      <c r="AI170" t="e">
        <f t="shared" ca="1" si="151"/>
        <v>#N/A</v>
      </c>
      <c r="AJ170" t="e">
        <f t="shared" ca="1" si="151"/>
        <v>#N/A</v>
      </c>
      <c r="AK170" t="e">
        <f t="shared" ca="1" si="151"/>
        <v>#N/A</v>
      </c>
      <c r="AL170" t="e">
        <f t="shared" ca="1" si="151"/>
        <v>#N/A</v>
      </c>
      <c r="AM170" t="e">
        <f t="shared" ca="1" si="151"/>
        <v>#N/A</v>
      </c>
      <c r="AN170">
        <f t="shared" ca="1" si="126"/>
        <v>0</v>
      </c>
      <c r="AO170">
        <f t="shared" ca="1" si="127"/>
        <v>0</v>
      </c>
      <c r="AP170">
        <f t="shared" ca="1" si="128"/>
        <v>0</v>
      </c>
      <c r="AQ170">
        <f t="shared" ca="1" si="129"/>
        <v>0</v>
      </c>
      <c r="AR170">
        <f t="shared" ca="1" si="130"/>
        <v>0</v>
      </c>
      <c r="AS170">
        <f t="shared" ca="1" si="131"/>
        <v>0</v>
      </c>
      <c r="AT170">
        <f t="shared" ca="1" si="132"/>
        <v>0</v>
      </c>
      <c r="AV170" t="e">
        <f t="shared" si="6"/>
        <v>#REF!</v>
      </c>
      <c r="AW170" t="e" cm="1">
        <f t="array" ref="AW170">INDEX(auto_DataFlat_Score,$AV170,1)</f>
        <v>#REF!</v>
      </c>
      <c r="AX170" t="e" cm="1">
        <f t="array" ref="AX170">INDEX(auto_DataFlat_DataValue,$AV170,1)</f>
        <v>#REF!</v>
      </c>
      <c r="BA170" t="str">
        <f t="shared" si="133"/>
        <v>n/a</v>
      </c>
      <c r="BB170">
        <f t="shared" si="134"/>
        <v>1</v>
      </c>
      <c r="BC170" t="e">
        <f t="shared" si="135"/>
        <v>#REF!</v>
      </c>
      <c r="BD170" t="e">
        <f t="shared" ca="1" si="149"/>
        <v>#N/A</v>
      </c>
      <c r="BE170" t="e">
        <f t="shared" ca="1" si="149"/>
        <v>#N/A</v>
      </c>
      <c r="BF170" t="e">
        <f t="shared" ca="1" si="149"/>
        <v>#N/A</v>
      </c>
      <c r="BH170">
        <f t="shared" ca="1" si="112"/>
        <v>0</v>
      </c>
      <c r="BI170">
        <f t="shared" ca="1" si="112"/>
        <v>0</v>
      </c>
      <c r="BJ170">
        <f t="shared" ca="1" si="112"/>
        <v>0</v>
      </c>
      <c r="BM170" t="e">
        <f t="shared" si="136"/>
        <v>#REF!</v>
      </c>
      <c r="BN170" t="e">
        <f t="shared" ca="1" si="137"/>
        <v>#N/A</v>
      </c>
      <c r="BO170" t="e">
        <f t="shared" ca="1" si="138"/>
        <v>#N/A</v>
      </c>
      <c r="BP170" t="e">
        <f t="shared" ca="1" si="139"/>
        <v>#N/A</v>
      </c>
      <c r="BQ170" t="e">
        <f t="shared" ca="1" si="140"/>
        <v>#N/A</v>
      </c>
      <c r="BR170" t="e">
        <f t="shared" ca="1" si="141"/>
        <v>#N/A</v>
      </c>
      <c r="BS170" t="e">
        <f t="shared" ca="1" si="142"/>
        <v>#N/A</v>
      </c>
      <c r="BT170" t="e">
        <f t="shared" ca="1" si="143"/>
        <v>#N/A</v>
      </c>
      <c r="BU170">
        <f t="shared" ca="1" si="144"/>
        <v>0</v>
      </c>
      <c r="BV170">
        <f t="shared" ca="1" si="145"/>
        <v>0</v>
      </c>
      <c r="BW170">
        <f t="shared" ca="1" si="146"/>
        <v>0</v>
      </c>
      <c r="BX170">
        <f t="shared" ca="1" si="147"/>
        <v>0</v>
      </c>
      <c r="BY170">
        <f t="shared" ca="1" si="148"/>
        <v>0</v>
      </c>
      <c r="BZ170">
        <f t="shared" ca="1" si="118"/>
        <v>0</v>
      </c>
      <c r="CA170">
        <f t="shared" ca="1" si="119"/>
        <v>0</v>
      </c>
    </row>
    <row r="171" spans="1:79" x14ac:dyDescent="0.4">
      <c r="A171" t="str">
        <f t="shared" si="152"/>
        <v>X</v>
      </c>
      <c r="B171">
        <v>160</v>
      </c>
      <c r="C171" t="e" cm="1">
        <f t="array" ref="C171">INDEX(auto_Series_Code,B171)</f>
        <v>#REF!</v>
      </c>
      <c r="D171" t="e" cm="1">
        <f t="array" ref="D171">INDEX(auto_tblSeries,$B171,D$11)</f>
        <v>#REF!</v>
      </c>
      <c r="E171" t="e" cm="1">
        <f t="array" ref="E171">INDEX(auto_tblSeries,$B171,E$11)</f>
        <v>#REF!</v>
      </c>
      <c r="F171" t="e" cm="1">
        <f t="array" ref="F171">INDEX(auto_tblSeries,$B171,F$11)</f>
        <v>#REF!</v>
      </c>
      <c r="G171" t="e" cm="1">
        <f t="array" ref="G171">INDEX(auto_tblSeries,$B171,G$11)</f>
        <v>#REF!</v>
      </c>
      <c r="H171" t="e" cm="1">
        <f t="array" ref="H171">INDEX(auto_tblSeries,$B171,H$11)</f>
        <v>#REF!</v>
      </c>
      <c r="I171" t="e">
        <f t="shared" si="70"/>
        <v>#REF!</v>
      </c>
      <c r="K171" t="e" cm="1">
        <f t="array" ref="K171">INDEX(auto_DataFlat_Score,$I171,K$10)</f>
        <v>#REF!</v>
      </c>
      <c r="L171" t="e" cm="1">
        <f t="array" ref="L171">INDEX(auto_DataFlat_Rank,$I171,L$10)</f>
        <v>#REF!</v>
      </c>
      <c r="M171" t="e" cm="1">
        <f t="array" ref="M171">INDEX(auto_DataFlat_DataValue,$I171,M$10)</f>
        <v>#REF!</v>
      </c>
      <c r="N171" t="e" cm="1">
        <f t="array" ref="N171">INDEX(auto_DataFlat_Classification,$I171,M$10)</f>
        <v>#REF!</v>
      </c>
      <c r="O171" t="e" cm="1">
        <f t="array" ref="O171">INDEX(auto_DataFlat_IsEstimate,$I171,O$10)</f>
        <v>#REF!</v>
      </c>
      <c r="P171" t="e" cm="1">
        <f t="array" ref="P171">IF(INDEX(auto_DataFlat_DataYear,$I171,P$10)=0,"n/a",INDEX(auto_DataFlat_DataYear,$I171,P$10))</f>
        <v>#REF!</v>
      </c>
      <c r="R171" t="e">
        <f t="shared" si="116"/>
        <v>#REF!</v>
      </c>
      <c r="S171" t="e" cm="1">
        <f t="array" ref="S171">INDEX(auto_DataFlat_Score,$R171,S$10)</f>
        <v>#REF!</v>
      </c>
      <c r="U171" t="str">
        <f t="shared" si="120"/>
        <v>n/a</v>
      </c>
      <c r="V171">
        <f t="shared" si="121"/>
        <v>1</v>
      </c>
      <c r="W171" t="e">
        <f t="shared" si="122"/>
        <v>#REF!</v>
      </c>
      <c r="X171" t="e">
        <f t="shared" ca="1" si="150"/>
        <v>#N/A</v>
      </c>
      <c r="Y171" t="e">
        <f t="shared" ca="1" si="150"/>
        <v>#N/A</v>
      </c>
      <c r="Z171" t="e">
        <f t="shared" ca="1" si="150"/>
        <v>#N/A</v>
      </c>
      <c r="AB171">
        <f t="shared" ca="1" si="111"/>
        <v>0</v>
      </c>
      <c r="AC171">
        <f t="shared" ca="1" si="111"/>
        <v>0</v>
      </c>
      <c r="AD171">
        <f t="shared" ca="1" si="111"/>
        <v>0</v>
      </c>
      <c r="AF171" t="e">
        <f t="shared" si="124"/>
        <v>#REF!</v>
      </c>
      <c r="AG171" t="e">
        <f t="shared" ca="1" si="151"/>
        <v>#N/A</v>
      </c>
      <c r="AH171" t="e">
        <f t="shared" ca="1" si="151"/>
        <v>#N/A</v>
      </c>
      <c r="AI171" t="e">
        <f t="shared" ca="1" si="151"/>
        <v>#N/A</v>
      </c>
      <c r="AJ171" t="e">
        <f t="shared" ca="1" si="151"/>
        <v>#N/A</v>
      </c>
      <c r="AK171" t="e">
        <f t="shared" ca="1" si="151"/>
        <v>#N/A</v>
      </c>
      <c r="AL171" t="e">
        <f t="shared" ca="1" si="151"/>
        <v>#N/A</v>
      </c>
      <c r="AM171" t="e">
        <f t="shared" ca="1" si="151"/>
        <v>#N/A</v>
      </c>
      <c r="AN171">
        <f t="shared" ca="1" si="126"/>
        <v>0</v>
      </c>
      <c r="AO171">
        <f t="shared" ca="1" si="127"/>
        <v>0</v>
      </c>
      <c r="AP171">
        <f t="shared" ca="1" si="128"/>
        <v>0</v>
      </c>
      <c r="AQ171">
        <f t="shared" ca="1" si="129"/>
        <v>0</v>
      </c>
      <c r="AR171">
        <f t="shared" ca="1" si="130"/>
        <v>0</v>
      </c>
      <c r="AS171">
        <f t="shared" ca="1" si="131"/>
        <v>0</v>
      </c>
      <c r="AT171">
        <f t="shared" ca="1" si="132"/>
        <v>0</v>
      </c>
      <c r="AV171" t="e">
        <f t="shared" si="6"/>
        <v>#REF!</v>
      </c>
      <c r="AW171" t="e" cm="1">
        <f t="array" ref="AW171">INDEX(auto_DataFlat_Score,$AV171,1)</f>
        <v>#REF!</v>
      </c>
      <c r="AX171" t="e" cm="1">
        <f t="array" ref="AX171">INDEX(auto_DataFlat_DataValue,$AV171,1)</f>
        <v>#REF!</v>
      </c>
      <c r="BA171" t="str">
        <f t="shared" si="133"/>
        <v>n/a</v>
      </c>
      <c r="BB171">
        <f t="shared" si="134"/>
        <v>1</v>
      </c>
      <c r="BC171" t="e">
        <f t="shared" si="135"/>
        <v>#REF!</v>
      </c>
      <c r="BD171" t="e">
        <f t="shared" ca="1" si="149"/>
        <v>#N/A</v>
      </c>
      <c r="BE171" t="e">
        <f t="shared" ca="1" si="149"/>
        <v>#N/A</v>
      </c>
      <c r="BF171" t="e">
        <f t="shared" ca="1" si="149"/>
        <v>#N/A</v>
      </c>
      <c r="BH171">
        <f t="shared" ca="1" si="112"/>
        <v>0</v>
      </c>
      <c r="BI171">
        <f t="shared" ca="1" si="112"/>
        <v>0</v>
      </c>
      <c r="BJ171">
        <f t="shared" ca="1" si="112"/>
        <v>0</v>
      </c>
      <c r="BM171" t="e">
        <f t="shared" si="136"/>
        <v>#REF!</v>
      </c>
      <c r="BN171" t="e">
        <f t="shared" ca="1" si="137"/>
        <v>#N/A</v>
      </c>
      <c r="BO171" t="e">
        <f t="shared" ca="1" si="138"/>
        <v>#N/A</v>
      </c>
      <c r="BP171" t="e">
        <f t="shared" ca="1" si="139"/>
        <v>#N/A</v>
      </c>
      <c r="BQ171" t="e">
        <f t="shared" ca="1" si="140"/>
        <v>#N/A</v>
      </c>
      <c r="BR171" t="e">
        <f t="shared" ca="1" si="141"/>
        <v>#N/A</v>
      </c>
      <c r="BS171" t="e">
        <f t="shared" ca="1" si="142"/>
        <v>#N/A</v>
      </c>
      <c r="BT171" t="e">
        <f t="shared" ca="1" si="143"/>
        <v>#N/A</v>
      </c>
      <c r="BU171">
        <f t="shared" ca="1" si="144"/>
        <v>0</v>
      </c>
      <c r="BV171">
        <f t="shared" ca="1" si="145"/>
        <v>0</v>
      </c>
      <c r="BW171">
        <f t="shared" ca="1" si="146"/>
        <v>0</v>
      </c>
      <c r="BX171">
        <f t="shared" ca="1" si="147"/>
        <v>0</v>
      </c>
      <c r="BY171">
        <f t="shared" ca="1" si="148"/>
        <v>0</v>
      </c>
      <c r="BZ171">
        <f t="shared" ca="1" si="118"/>
        <v>0</v>
      </c>
      <c r="CA171">
        <f t="shared" ca="1" si="119"/>
        <v>0</v>
      </c>
    </row>
    <row r="172" spans="1:79" x14ac:dyDescent="0.4">
      <c r="A172" t="str">
        <f t="shared" si="152"/>
        <v>X</v>
      </c>
      <c r="B172">
        <v>161</v>
      </c>
      <c r="C172" t="e" cm="1">
        <f t="array" ref="C172">INDEX(auto_Series_Code,B172)</f>
        <v>#REF!</v>
      </c>
      <c r="D172" t="e" cm="1">
        <f t="array" ref="D172">INDEX(auto_tblSeries,$B172,D$11)</f>
        <v>#REF!</v>
      </c>
      <c r="E172" t="e" cm="1">
        <f t="array" ref="E172">INDEX(auto_tblSeries,$B172,E$11)</f>
        <v>#REF!</v>
      </c>
      <c r="F172" t="e" cm="1">
        <f t="array" ref="F172">INDEX(auto_tblSeries,$B172,F$11)</f>
        <v>#REF!</v>
      </c>
      <c r="G172" t="e" cm="1">
        <f t="array" ref="G172">INDEX(auto_tblSeries,$B172,G$11)</f>
        <v>#REF!</v>
      </c>
      <c r="H172" t="e" cm="1">
        <f t="array" ref="H172">INDEX(auto_tblSeries,$B172,H$11)</f>
        <v>#REF!</v>
      </c>
      <c r="I172" t="e">
        <f t="shared" si="70"/>
        <v>#REF!</v>
      </c>
      <c r="K172" t="e" cm="1">
        <f t="array" ref="K172">INDEX(auto_DataFlat_Score,$I172,K$10)</f>
        <v>#REF!</v>
      </c>
      <c r="L172" t="e" cm="1">
        <f t="array" ref="L172">INDEX(auto_DataFlat_Rank,$I172,L$10)</f>
        <v>#REF!</v>
      </c>
      <c r="M172" t="e" cm="1">
        <f t="array" ref="M172">INDEX(auto_DataFlat_DataValue,$I172,M$10)</f>
        <v>#REF!</v>
      </c>
      <c r="N172" t="e" cm="1">
        <f t="array" ref="N172">INDEX(auto_DataFlat_Classification,$I172,M$10)</f>
        <v>#REF!</v>
      </c>
      <c r="O172" t="e" cm="1">
        <f t="array" ref="O172">INDEX(auto_DataFlat_IsEstimate,$I172,O$10)</f>
        <v>#REF!</v>
      </c>
      <c r="P172" t="e" cm="1">
        <f t="array" ref="P172">IF(INDEX(auto_DataFlat_DataYear,$I172,P$10)=0,"n/a",INDEX(auto_DataFlat_DataYear,$I172,P$10))</f>
        <v>#REF!</v>
      </c>
      <c r="R172" t="e">
        <f t="shared" si="116"/>
        <v>#REF!</v>
      </c>
      <c r="S172" t="e" cm="1">
        <f t="array" ref="S172">INDEX(auto_DataFlat_Score,$R172,S$10)</f>
        <v>#REF!</v>
      </c>
      <c r="U172" t="str">
        <f t="shared" si="120"/>
        <v>n/a</v>
      </c>
      <c r="V172">
        <f t="shared" si="121"/>
        <v>1</v>
      </c>
      <c r="W172" t="e">
        <f t="shared" si="122"/>
        <v>#REF!</v>
      </c>
      <c r="X172" t="e">
        <f t="shared" ca="1" si="150"/>
        <v>#N/A</v>
      </c>
      <c r="Y172" t="e">
        <f t="shared" ca="1" si="150"/>
        <v>#N/A</v>
      </c>
      <c r="Z172" t="e">
        <f t="shared" ca="1" si="150"/>
        <v>#N/A</v>
      </c>
      <c r="AB172">
        <f t="shared" ca="1" si="111"/>
        <v>0</v>
      </c>
      <c r="AC172">
        <f t="shared" ca="1" si="111"/>
        <v>0</v>
      </c>
      <c r="AD172">
        <f t="shared" ca="1" si="111"/>
        <v>0</v>
      </c>
      <c r="AF172" t="e">
        <f t="shared" si="124"/>
        <v>#REF!</v>
      </c>
      <c r="AG172" t="e">
        <f t="shared" ca="1" si="151"/>
        <v>#N/A</v>
      </c>
      <c r="AH172" t="e">
        <f t="shared" ca="1" si="151"/>
        <v>#N/A</v>
      </c>
      <c r="AI172" t="e">
        <f t="shared" ca="1" si="151"/>
        <v>#N/A</v>
      </c>
      <c r="AJ172" t="e">
        <f t="shared" ca="1" si="151"/>
        <v>#N/A</v>
      </c>
      <c r="AK172" t="e">
        <f t="shared" ca="1" si="151"/>
        <v>#N/A</v>
      </c>
      <c r="AL172" t="e">
        <f t="shared" ca="1" si="151"/>
        <v>#N/A</v>
      </c>
      <c r="AM172" t="e">
        <f t="shared" ca="1" si="151"/>
        <v>#N/A</v>
      </c>
      <c r="AN172">
        <f t="shared" ca="1" si="126"/>
        <v>0</v>
      </c>
      <c r="AO172">
        <f t="shared" ca="1" si="127"/>
        <v>0</v>
      </c>
      <c r="AP172">
        <f t="shared" ca="1" si="128"/>
        <v>0</v>
      </c>
      <c r="AQ172">
        <f t="shared" ca="1" si="129"/>
        <v>0</v>
      </c>
      <c r="AR172">
        <f t="shared" ca="1" si="130"/>
        <v>0</v>
      </c>
      <c r="AS172">
        <f t="shared" ca="1" si="131"/>
        <v>0</v>
      </c>
      <c r="AT172">
        <f t="shared" ca="1" si="132"/>
        <v>0</v>
      </c>
      <c r="AV172" t="e">
        <f t="shared" si="6"/>
        <v>#REF!</v>
      </c>
      <c r="AW172" t="e" cm="1">
        <f t="array" ref="AW172">INDEX(auto_DataFlat_Score,$AV172,1)</f>
        <v>#REF!</v>
      </c>
      <c r="AX172" t="e" cm="1">
        <f t="array" ref="AX172">INDEX(auto_DataFlat_DataValue,$AV172,1)</f>
        <v>#REF!</v>
      </c>
      <c r="BA172" t="str">
        <f t="shared" si="133"/>
        <v>n/a</v>
      </c>
      <c r="BB172">
        <f t="shared" si="134"/>
        <v>1</v>
      </c>
      <c r="BC172" t="e">
        <f t="shared" si="135"/>
        <v>#REF!</v>
      </c>
      <c r="BD172" t="e">
        <f t="shared" ref="BD172:BF187" ca="1" si="153">BD171+MATCH(BD$10,OFFSET($BC$12,BD171,0,200,1),0)</f>
        <v>#N/A</v>
      </c>
      <c r="BE172" t="e">
        <f t="shared" ca="1" si="153"/>
        <v>#N/A</v>
      </c>
      <c r="BF172" t="e">
        <f t="shared" ca="1" si="153"/>
        <v>#N/A</v>
      </c>
      <c r="BH172">
        <f t="shared" ca="1" si="112"/>
        <v>0</v>
      </c>
      <c r="BI172">
        <f t="shared" ca="1" si="112"/>
        <v>0</v>
      </c>
      <c r="BJ172">
        <f t="shared" ca="1" si="112"/>
        <v>0</v>
      </c>
      <c r="BM172" t="e">
        <f t="shared" si="136"/>
        <v>#REF!</v>
      </c>
      <c r="BN172" t="e">
        <f t="shared" ca="1" si="137"/>
        <v>#N/A</v>
      </c>
      <c r="BO172" t="e">
        <f t="shared" ca="1" si="138"/>
        <v>#N/A</v>
      </c>
      <c r="BP172" t="e">
        <f t="shared" ca="1" si="139"/>
        <v>#N/A</v>
      </c>
      <c r="BQ172" t="e">
        <f t="shared" ca="1" si="140"/>
        <v>#N/A</v>
      </c>
      <c r="BR172" t="e">
        <f t="shared" ca="1" si="141"/>
        <v>#N/A</v>
      </c>
      <c r="BS172" t="e">
        <f t="shared" ca="1" si="142"/>
        <v>#N/A</v>
      </c>
      <c r="BT172" t="e">
        <f t="shared" ca="1" si="143"/>
        <v>#N/A</v>
      </c>
      <c r="BU172">
        <f t="shared" ca="1" si="144"/>
        <v>0</v>
      </c>
      <c r="BV172">
        <f t="shared" ca="1" si="145"/>
        <v>0</v>
      </c>
      <c r="BW172">
        <f t="shared" ca="1" si="146"/>
        <v>0</v>
      </c>
      <c r="BX172">
        <f t="shared" ca="1" si="147"/>
        <v>0</v>
      </c>
      <c r="BY172">
        <f t="shared" ca="1" si="148"/>
        <v>0</v>
      </c>
      <c r="BZ172">
        <f t="shared" ca="1" si="118"/>
        <v>0</v>
      </c>
      <c r="CA172">
        <f t="shared" ca="1" si="119"/>
        <v>0</v>
      </c>
    </row>
    <row r="173" spans="1:79" x14ac:dyDescent="0.4">
      <c r="A173" t="str">
        <f t="shared" si="152"/>
        <v>X</v>
      </c>
      <c r="B173">
        <v>162</v>
      </c>
      <c r="C173" t="e" cm="1">
        <f t="array" ref="C173">INDEX(auto_Series_Code,B173)</f>
        <v>#REF!</v>
      </c>
      <c r="D173" t="e" cm="1">
        <f t="array" ref="D173">INDEX(auto_tblSeries,$B173,D$11)</f>
        <v>#REF!</v>
      </c>
      <c r="E173" t="e" cm="1">
        <f t="array" ref="E173">INDEX(auto_tblSeries,$B173,E$11)</f>
        <v>#REF!</v>
      </c>
      <c r="F173" t="e" cm="1">
        <f t="array" ref="F173">INDEX(auto_tblSeries,$B173,F$11)</f>
        <v>#REF!</v>
      </c>
      <c r="G173" t="e" cm="1">
        <f t="array" ref="G173">INDEX(auto_tblSeries,$B173,G$11)</f>
        <v>#REF!</v>
      </c>
      <c r="H173" t="e" cm="1">
        <f t="array" ref="H173">INDEX(auto_tblSeries,$B173,H$11)</f>
        <v>#REF!</v>
      </c>
      <c r="I173" t="e">
        <f t="shared" si="70"/>
        <v>#REF!</v>
      </c>
      <c r="K173" t="e" cm="1">
        <f t="array" ref="K173">INDEX(auto_DataFlat_Score,$I173,K$10)</f>
        <v>#REF!</v>
      </c>
      <c r="L173" t="e" cm="1">
        <f t="array" ref="L173">INDEX(auto_DataFlat_Rank,$I173,L$10)</f>
        <v>#REF!</v>
      </c>
      <c r="M173" t="e" cm="1">
        <f t="array" ref="M173">INDEX(auto_DataFlat_DataValue,$I173,M$10)</f>
        <v>#REF!</v>
      </c>
      <c r="N173" t="e" cm="1">
        <f t="array" ref="N173">INDEX(auto_DataFlat_Classification,$I173,M$10)</f>
        <v>#REF!</v>
      </c>
      <c r="O173" t="e" cm="1">
        <f t="array" ref="O173">INDEX(auto_DataFlat_IsEstimate,$I173,O$10)</f>
        <v>#REF!</v>
      </c>
      <c r="P173" t="e" cm="1">
        <f t="array" ref="P173">IF(INDEX(auto_DataFlat_DataYear,$I173,P$10)=0,"n/a",INDEX(auto_DataFlat_DataYear,$I173,P$10))</f>
        <v>#REF!</v>
      </c>
      <c r="R173" t="e">
        <f t="shared" si="116"/>
        <v>#REF!</v>
      </c>
      <c r="S173" t="e" cm="1">
        <f t="array" ref="S173">INDEX(auto_DataFlat_Score,$R173,S$10)</f>
        <v>#REF!</v>
      </c>
      <c r="U173" t="str">
        <f t="shared" si="120"/>
        <v>n/a</v>
      </c>
      <c r="V173">
        <f t="shared" si="121"/>
        <v>1</v>
      </c>
      <c r="W173" t="e">
        <f t="shared" si="122"/>
        <v>#REF!</v>
      </c>
      <c r="X173" t="e">
        <f t="shared" ref="X173:Z188" ca="1" si="154">X172+MATCH(X$10,OFFSET($W$12,X172,0,300,1),0)</f>
        <v>#N/A</v>
      </c>
      <c r="Y173" t="e">
        <f t="shared" ca="1" si="154"/>
        <v>#N/A</v>
      </c>
      <c r="Z173" t="e">
        <f t="shared" ca="1" si="154"/>
        <v>#N/A</v>
      </c>
      <c r="AB173">
        <f t="shared" ca="1" si="111"/>
        <v>0</v>
      </c>
      <c r="AC173">
        <f t="shared" ca="1" si="111"/>
        <v>0</v>
      </c>
      <c r="AD173">
        <f t="shared" ca="1" si="111"/>
        <v>0</v>
      </c>
      <c r="AF173" t="e">
        <f t="shared" si="124"/>
        <v>#REF!</v>
      </c>
      <c r="AG173" t="e">
        <f t="shared" ref="AG173:AM188" ca="1" si="155">IFERROR(AG172+MATCH(AG$10,OFFSET($AF$12,AG172,0,300-AG172,1),0),NA())</f>
        <v>#N/A</v>
      </c>
      <c r="AH173" t="e">
        <f t="shared" ca="1" si="155"/>
        <v>#N/A</v>
      </c>
      <c r="AI173" t="e">
        <f t="shared" ca="1" si="155"/>
        <v>#N/A</v>
      </c>
      <c r="AJ173" t="e">
        <f t="shared" ca="1" si="155"/>
        <v>#N/A</v>
      </c>
      <c r="AK173" t="e">
        <f t="shared" ca="1" si="155"/>
        <v>#N/A</v>
      </c>
      <c r="AL173" t="e">
        <f t="shared" ca="1" si="155"/>
        <v>#N/A</v>
      </c>
      <c r="AM173" t="e">
        <f t="shared" ca="1" si="155"/>
        <v>#N/A</v>
      </c>
      <c r="AN173">
        <f t="shared" ca="1" si="126"/>
        <v>0</v>
      </c>
      <c r="AO173">
        <f t="shared" ca="1" si="127"/>
        <v>0</v>
      </c>
      <c r="AP173">
        <f t="shared" ca="1" si="128"/>
        <v>0</v>
      </c>
      <c r="AQ173">
        <f t="shared" ca="1" si="129"/>
        <v>0</v>
      </c>
      <c r="AR173">
        <f t="shared" ca="1" si="130"/>
        <v>0</v>
      </c>
      <c r="AS173">
        <f t="shared" ca="1" si="131"/>
        <v>0</v>
      </c>
      <c r="AT173">
        <f t="shared" ca="1" si="132"/>
        <v>0</v>
      </c>
      <c r="AV173" t="e">
        <f t="shared" si="6"/>
        <v>#REF!</v>
      </c>
      <c r="AW173" t="e" cm="1">
        <f t="array" ref="AW173">INDEX(auto_DataFlat_Score,$AV173,1)</f>
        <v>#REF!</v>
      </c>
      <c r="AX173" t="e" cm="1">
        <f t="array" ref="AX173">INDEX(auto_DataFlat_DataValue,$AV173,1)</f>
        <v>#REF!</v>
      </c>
      <c r="BA173" t="str">
        <f t="shared" si="133"/>
        <v>n/a</v>
      </c>
      <c r="BB173">
        <f t="shared" si="134"/>
        <v>1</v>
      </c>
      <c r="BC173" t="e">
        <f t="shared" si="135"/>
        <v>#REF!</v>
      </c>
      <c r="BD173" t="e">
        <f t="shared" ca="1" si="153"/>
        <v>#N/A</v>
      </c>
      <c r="BE173" t="e">
        <f t="shared" ca="1" si="153"/>
        <v>#N/A</v>
      </c>
      <c r="BF173" t="e">
        <f t="shared" ca="1" si="153"/>
        <v>#N/A</v>
      </c>
      <c r="BH173">
        <f t="shared" ca="1" si="112"/>
        <v>0</v>
      </c>
      <c r="BI173">
        <f t="shared" ca="1" si="112"/>
        <v>0</v>
      </c>
      <c r="BJ173">
        <f t="shared" ca="1" si="112"/>
        <v>0</v>
      </c>
      <c r="BM173" t="e">
        <f t="shared" si="136"/>
        <v>#REF!</v>
      </c>
      <c r="BN173" t="e">
        <f t="shared" ca="1" si="137"/>
        <v>#N/A</v>
      </c>
      <c r="BO173" t="e">
        <f t="shared" ca="1" si="138"/>
        <v>#N/A</v>
      </c>
      <c r="BP173" t="e">
        <f t="shared" ca="1" si="139"/>
        <v>#N/A</v>
      </c>
      <c r="BQ173" t="e">
        <f t="shared" ca="1" si="140"/>
        <v>#N/A</v>
      </c>
      <c r="BR173" t="e">
        <f t="shared" ca="1" si="141"/>
        <v>#N/A</v>
      </c>
      <c r="BS173" t="e">
        <f t="shared" ca="1" si="142"/>
        <v>#N/A</v>
      </c>
      <c r="BT173" t="e">
        <f t="shared" ca="1" si="143"/>
        <v>#N/A</v>
      </c>
      <c r="BU173">
        <f t="shared" ca="1" si="144"/>
        <v>0</v>
      </c>
      <c r="BV173">
        <f t="shared" ca="1" si="145"/>
        <v>0</v>
      </c>
      <c r="BW173">
        <f t="shared" ca="1" si="146"/>
        <v>0</v>
      </c>
      <c r="BX173">
        <f t="shared" ca="1" si="147"/>
        <v>0</v>
      </c>
      <c r="BY173">
        <f t="shared" ca="1" si="148"/>
        <v>0</v>
      </c>
      <c r="BZ173">
        <f t="shared" ca="1" si="118"/>
        <v>0</v>
      </c>
      <c r="CA173">
        <f t="shared" ca="1" si="119"/>
        <v>0</v>
      </c>
    </row>
    <row r="174" spans="1:79" x14ac:dyDescent="0.4">
      <c r="A174" t="str">
        <f t="shared" si="152"/>
        <v>X</v>
      </c>
      <c r="B174">
        <v>163</v>
      </c>
      <c r="C174" t="e" cm="1">
        <f t="array" ref="C174">INDEX(auto_Series_Code,B174)</f>
        <v>#REF!</v>
      </c>
      <c r="D174" t="e" cm="1">
        <f t="array" ref="D174">INDEX(auto_tblSeries,$B174,D$11)</f>
        <v>#REF!</v>
      </c>
      <c r="E174" t="e" cm="1">
        <f t="array" ref="E174">INDEX(auto_tblSeries,$B174,E$11)</f>
        <v>#REF!</v>
      </c>
      <c r="F174" t="e" cm="1">
        <f t="array" ref="F174">INDEX(auto_tblSeries,$B174,F$11)</f>
        <v>#REF!</v>
      </c>
      <c r="G174" t="e" cm="1">
        <f t="array" ref="G174">INDEX(auto_tblSeries,$B174,G$11)</f>
        <v>#REF!</v>
      </c>
      <c r="H174" t="e" cm="1">
        <f t="array" ref="H174">INDEX(auto_tblSeries,$B174,H$11)</f>
        <v>#REF!</v>
      </c>
      <c r="I174" t="e">
        <f t="shared" si="70"/>
        <v>#REF!</v>
      </c>
      <c r="K174" t="e" cm="1">
        <f t="array" ref="K174">INDEX(auto_DataFlat_Score,$I174,K$10)</f>
        <v>#REF!</v>
      </c>
      <c r="L174" t="e" cm="1">
        <f t="array" ref="L174">INDEX(auto_DataFlat_Rank,$I174,L$10)</f>
        <v>#REF!</v>
      </c>
      <c r="M174" t="e" cm="1">
        <f t="array" ref="M174">INDEX(auto_DataFlat_DataValue,$I174,M$10)</f>
        <v>#REF!</v>
      </c>
      <c r="N174" t="e" cm="1">
        <f t="array" ref="N174">INDEX(auto_DataFlat_Classification,$I174,M$10)</f>
        <v>#REF!</v>
      </c>
      <c r="O174" t="e" cm="1">
        <f t="array" ref="O174">INDEX(auto_DataFlat_IsEstimate,$I174,O$10)</f>
        <v>#REF!</v>
      </c>
      <c r="P174" t="e" cm="1">
        <f t="array" ref="P174">IF(INDEX(auto_DataFlat_DataYear,$I174,P$10)=0,"n/a",INDEX(auto_DataFlat_DataYear,$I174,P$10))</f>
        <v>#REF!</v>
      </c>
      <c r="R174" t="e">
        <f t="shared" si="116"/>
        <v>#REF!</v>
      </c>
      <c r="S174" t="e" cm="1">
        <f t="array" ref="S174">INDEX(auto_DataFlat_Score,$R174,S$10)</f>
        <v>#REF!</v>
      </c>
      <c r="U174" t="str">
        <f t="shared" si="120"/>
        <v>n/a</v>
      </c>
      <c r="V174">
        <f t="shared" si="121"/>
        <v>1</v>
      </c>
      <c r="W174" t="e">
        <f t="shared" si="122"/>
        <v>#REF!</v>
      </c>
      <c r="X174" t="e">
        <f t="shared" ca="1" si="154"/>
        <v>#N/A</v>
      </c>
      <c r="Y174" t="e">
        <f t="shared" ca="1" si="154"/>
        <v>#N/A</v>
      </c>
      <c r="Z174" t="e">
        <f t="shared" ca="1" si="154"/>
        <v>#N/A</v>
      </c>
      <c r="AB174">
        <f t="shared" ca="1" si="111"/>
        <v>0</v>
      </c>
      <c r="AC174">
        <f t="shared" ca="1" si="111"/>
        <v>0</v>
      </c>
      <c r="AD174">
        <f t="shared" ca="1" si="111"/>
        <v>0</v>
      </c>
      <c r="AF174" t="e">
        <f t="shared" si="124"/>
        <v>#REF!</v>
      </c>
      <c r="AG174" t="e">
        <f t="shared" ca="1" si="155"/>
        <v>#N/A</v>
      </c>
      <c r="AH174" t="e">
        <f t="shared" ca="1" si="155"/>
        <v>#N/A</v>
      </c>
      <c r="AI174" t="e">
        <f t="shared" ca="1" si="155"/>
        <v>#N/A</v>
      </c>
      <c r="AJ174" t="e">
        <f t="shared" ca="1" si="155"/>
        <v>#N/A</v>
      </c>
      <c r="AK174" t="e">
        <f t="shared" ca="1" si="155"/>
        <v>#N/A</v>
      </c>
      <c r="AL174" t="e">
        <f t="shared" ca="1" si="155"/>
        <v>#N/A</v>
      </c>
      <c r="AM174" t="e">
        <f t="shared" ca="1" si="155"/>
        <v>#N/A</v>
      </c>
      <c r="AN174">
        <f t="shared" ca="1" si="126"/>
        <v>0</v>
      </c>
      <c r="AO174">
        <f t="shared" ca="1" si="127"/>
        <v>0</v>
      </c>
      <c r="AP174">
        <f t="shared" ca="1" si="128"/>
        <v>0</v>
      </c>
      <c r="AQ174">
        <f t="shared" ca="1" si="129"/>
        <v>0</v>
      </c>
      <c r="AR174">
        <f t="shared" ca="1" si="130"/>
        <v>0</v>
      </c>
      <c r="AS174">
        <f t="shared" ca="1" si="131"/>
        <v>0</v>
      </c>
      <c r="AT174">
        <f t="shared" ca="1" si="132"/>
        <v>0</v>
      </c>
      <c r="AV174" t="e">
        <f t="shared" si="6"/>
        <v>#REF!</v>
      </c>
      <c r="AW174" t="e" cm="1">
        <f t="array" ref="AW174">INDEX(auto_DataFlat_Score,$AV174,1)</f>
        <v>#REF!</v>
      </c>
      <c r="AX174" t="e" cm="1">
        <f t="array" ref="AX174">INDEX(auto_DataFlat_DataValue,$AV174,1)</f>
        <v>#REF!</v>
      </c>
      <c r="BA174" t="str">
        <f t="shared" si="133"/>
        <v>n/a</v>
      </c>
      <c r="BB174">
        <f t="shared" si="134"/>
        <v>1</v>
      </c>
      <c r="BC174" t="e">
        <f t="shared" si="135"/>
        <v>#REF!</v>
      </c>
      <c r="BD174" t="e">
        <f t="shared" ca="1" si="153"/>
        <v>#N/A</v>
      </c>
      <c r="BE174" t="e">
        <f t="shared" ca="1" si="153"/>
        <v>#N/A</v>
      </c>
      <c r="BF174" t="e">
        <f t="shared" ca="1" si="153"/>
        <v>#N/A</v>
      </c>
      <c r="BH174">
        <f t="shared" ca="1" si="112"/>
        <v>0</v>
      </c>
      <c r="BI174">
        <f t="shared" ca="1" si="112"/>
        <v>0</v>
      </c>
      <c r="BJ174">
        <f t="shared" ca="1" si="112"/>
        <v>0</v>
      </c>
      <c r="BM174" t="e">
        <f t="shared" si="136"/>
        <v>#REF!</v>
      </c>
      <c r="BN174" t="e">
        <f t="shared" ca="1" si="137"/>
        <v>#N/A</v>
      </c>
      <c r="BO174" t="e">
        <f t="shared" ca="1" si="138"/>
        <v>#N/A</v>
      </c>
      <c r="BP174" t="e">
        <f t="shared" ca="1" si="139"/>
        <v>#N/A</v>
      </c>
      <c r="BQ174" t="e">
        <f t="shared" ca="1" si="140"/>
        <v>#N/A</v>
      </c>
      <c r="BR174" t="e">
        <f t="shared" ca="1" si="141"/>
        <v>#N/A</v>
      </c>
      <c r="BS174" t="e">
        <f t="shared" ca="1" si="142"/>
        <v>#N/A</v>
      </c>
      <c r="BT174" t="e">
        <f t="shared" ca="1" si="143"/>
        <v>#N/A</v>
      </c>
      <c r="BU174">
        <f t="shared" ca="1" si="144"/>
        <v>0</v>
      </c>
      <c r="BV174">
        <f t="shared" ca="1" si="145"/>
        <v>0</v>
      </c>
      <c r="BW174">
        <f t="shared" ca="1" si="146"/>
        <v>0</v>
      </c>
      <c r="BX174">
        <f t="shared" ca="1" si="147"/>
        <v>0</v>
      </c>
      <c r="BY174">
        <f t="shared" ca="1" si="148"/>
        <v>0</v>
      </c>
      <c r="BZ174">
        <f t="shared" ca="1" si="118"/>
        <v>0</v>
      </c>
      <c r="CA174">
        <f t="shared" ca="1" si="119"/>
        <v>0</v>
      </c>
    </row>
    <row r="175" spans="1:79" x14ac:dyDescent="0.4">
      <c r="A175" t="str">
        <f t="shared" si="152"/>
        <v>X</v>
      </c>
      <c r="B175">
        <v>164</v>
      </c>
      <c r="C175" t="e" cm="1">
        <f t="array" ref="C175">INDEX(auto_Series_Code,B175)</f>
        <v>#REF!</v>
      </c>
      <c r="D175" t="e" cm="1">
        <f t="array" ref="D175">INDEX(auto_tblSeries,$B175,D$11)</f>
        <v>#REF!</v>
      </c>
      <c r="E175" t="e" cm="1">
        <f t="array" ref="E175">INDEX(auto_tblSeries,$B175,E$11)</f>
        <v>#REF!</v>
      </c>
      <c r="F175" t="e" cm="1">
        <f t="array" ref="F175">INDEX(auto_tblSeries,$B175,F$11)</f>
        <v>#REF!</v>
      </c>
      <c r="G175" t="e" cm="1">
        <f t="array" ref="G175">INDEX(auto_tblSeries,$B175,G$11)</f>
        <v>#REF!</v>
      </c>
      <c r="H175" t="e" cm="1">
        <f t="array" ref="H175">INDEX(auto_tblSeries,$B175,H$11)</f>
        <v>#REF!</v>
      </c>
      <c r="I175" t="e">
        <f t="shared" si="70"/>
        <v>#REF!</v>
      </c>
      <c r="K175" t="e" cm="1">
        <f t="array" ref="K175">INDEX(auto_DataFlat_Score,$I175,K$10)</f>
        <v>#REF!</v>
      </c>
      <c r="L175" t="e" cm="1">
        <f t="array" ref="L175">INDEX(auto_DataFlat_Rank,$I175,L$10)</f>
        <v>#REF!</v>
      </c>
      <c r="M175" t="e" cm="1">
        <f t="array" ref="M175">INDEX(auto_DataFlat_DataValue,$I175,M$10)</f>
        <v>#REF!</v>
      </c>
      <c r="N175" t="e" cm="1">
        <f t="array" ref="N175">INDEX(auto_DataFlat_Classification,$I175,M$10)</f>
        <v>#REF!</v>
      </c>
      <c r="O175" t="e" cm="1">
        <f t="array" ref="O175">INDEX(auto_DataFlat_IsEstimate,$I175,O$10)</f>
        <v>#REF!</v>
      </c>
      <c r="P175" t="e" cm="1">
        <f t="array" ref="P175">IF(INDEX(auto_DataFlat_DataYear,$I175,P$10)=0,"n/a",INDEX(auto_DataFlat_DataYear,$I175,P$10))</f>
        <v>#REF!</v>
      </c>
      <c r="R175" t="e">
        <f t="shared" si="116"/>
        <v>#REF!</v>
      </c>
      <c r="S175" t="e" cm="1">
        <f t="array" ref="S175">INDEX(auto_DataFlat_Score,$R175,S$10)</f>
        <v>#REF!</v>
      </c>
      <c r="U175" t="str">
        <f t="shared" si="120"/>
        <v>n/a</v>
      </c>
      <c r="V175">
        <f t="shared" si="121"/>
        <v>1</v>
      </c>
      <c r="W175" t="e">
        <f t="shared" si="122"/>
        <v>#REF!</v>
      </c>
      <c r="X175" t="e">
        <f t="shared" ca="1" si="154"/>
        <v>#N/A</v>
      </c>
      <c r="Y175" t="e">
        <f t="shared" ca="1" si="154"/>
        <v>#N/A</v>
      </c>
      <c r="Z175" t="e">
        <f t="shared" ca="1" si="154"/>
        <v>#N/A</v>
      </c>
      <c r="AB175">
        <f t="shared" ca="1" si="111"/>
        <v>0</v>
      </c>
      <c r="AC175">
        <f t="shared" ca="1" si="111"/>
        <v>0</v>
      </c>
      <c r="AD175">
        <f t="shared" ca="1" si="111"/>
        <v>0</v>
      </c>
      <c r="AF175" t="e">
        <f t="shared" si="124"/>
        <v>#REF!</v>
      </c>
      <c r="AG175" t="e">
        <f t="shared" ca="1" si="155"/>
        <v>#N/A</v>
      </c>
      <c r="AH175" t="e">
        <f t="shared" ca="1" si="155"/>
        <v>#N/A</v>
      </c>
      <c r="AI175" t="e">
        <f t="shared" ca="1" si="155"/>
        <v>#N/A</v>
      </c>
      <c r="AJ175" t="e">
        <f t="shared" ca="1" si="155"/>
        <v>#N/A</v>
      </c>
      <c r="AK175" t="e">
        <f t="shared" ca="1" si="155"/>
        <v>#N/A</v>
      </c>
      <c r="AL175" t="e">
        <f t="shared" ca="1" si="155"/>
        <v>#N/A</v>
      </c>
      <c r="AM175" t="e">
        <f t="shared" ca="1" si="155"/>
        <v>#N/A</v>
      </c>
      <c r="AN175">
        <f t="shared" ca="1" si="126"/>
        <v>0</v>
      </c>
      <c r="AO175">
        <f t="shared" ca="1" si="127"/>
        <v>0</v>
      </c>
      <c r="AP175">
        <f t="shared" ca="1" si="128"/>
        <v>0</v>
      </c>
      <c r="AQ175">
        <f t="shared" ca="1" si="129"/>
        <v>0</v>
      </c>
      <c r="AR175">
        <f t="shared" ca="1" si="130"/>
        <v>0</v>
      </c>
      <c r="AS175">
        <f t="shared" ca="1" si="131"/>
        <v>0</v>
      </c>
      <c r="AT175">
        <f t="shared" ca="1" si="132"/>
        <v>0</v>
      </c>
      <c r="AV175" t="e">
        <f t="shared" si="6"/>
        <v>#REF!</v>
      </c>
      <c r="AW175" t="e" cm="1">
        <f t="array" ref="AW175">INDEX(auto_DataFlat_Score,$AV175,1)</f>
        <v>#REF!</v>
      </c>
      <c r="AX175" t="e" cm="1">
        <f t="array" ref="AX175">INDEX(auto_DataFlat_DataValue,$AV175,1)</f>
        <v>#REF!</v>
      </c>
      <c r="BA175" t="str">
        <f t="shared" si="133"/>
        <v>n/a</v>
      </c>
      <c r="BB175">
        <f t="shared" si="134"/>
        <v>1</v>
      </c>
      <c r="BC175" t="e">
        <f t="shared" si="135"/>
        <v>#REF!</v>
      </c>
      <c r="BD175" t="e">
        <f t="shared" ca="1" si="153"/>
        <v>#N/A</v>
      </c>
      <c r="BE175" t="e">
        <f t="shared" ca="1" si="153"/>
        <v>#N/A</v>
      </c>
      <c r="BF175" t="e">
        <f t="shared" ca="1" si="153"/>
        <v>#N/A</v>
      </c>
      <c r="BH175">
        <f t="shared" ca="1" si="112"/>
        <v>0</v>
      </c>
      <c r="BI175">
        <f t="shared" ca="1" si="112"/>
        <v>0</v>
      </c>
      <c r="BJ175">
        <f t="shared" ca="1" si="112"/>
        <v>0</v>
      </c>
      <c r="BM175" t="e">
        <f t="shared" si="136"/>
        <v>#REF!</v>
      </c>
      <c r="BN175" t="e">
        <f t="shared" ca="1" si="137"/>
        <v>#N/A</v>
      </c>
      <c r="BO175" t="e">
        <f t="shared" ca="1" si="138"/>
        <v>#N/A</v>
      </c>
      <c r="BP175" t="e">
        <f t="shared" ca="1" si="139"/>
        <v>#N/A</v>
      </c>
      <c r="BQ175" t="e">
        <f t="shared" ca="1" si="140"/>
        <v>#N/A</v>
      </c>
      <c r="BR175" t="e">
        <f t="shared" ca="1" si="141"/>
        <v>#N/A</v>
      </c>
      <c r="BS175" t="e">
        <f t="shared" ca="1" si="142"/>
        <v>#N/A</v>
      </c>
      <c r="BT175" t="e">
        <f t="shared" ca="1" si="143"/>
        <v>#N/A</v>
      </c>
      <c r="BU175">
        <f t="shared" ca="1" si="144"/>
        <v>0</v>
      </c>
      <c r="BV175">
        <f t="shared" ca="1" si="145"/>
        <v>0</v>
      </c>
      <c r="BW175">
        <f t="shared" ca="1" si="146"/>
        <v>0</v>
      </c>
      <c r="BX175">
        <f t="shared" ca="1" si="147"/>
        <v>0</v>
      </c>
      <c r="BY175">
        <f t="shared" ca="1" si="148"/>
        <v>0</v>
      </c>
      <c r="BZ175">
        <f t="shared" ca="1" si="118"/>
        <v>0</v>
      </c>
      <c r="CA175">
        <f t="shared" ca="1" si="119"/>
        <v>0</v>
      </c>
    </row>
    <row r="176" spans="1:79" x14ac:dyDescent="0.4">
      <c r="A176" t="str">
        <f t="shared" si="152"/>
        <v>X</v>
      </c>
      <c r="B176">
        <v>165</v>
      </c>
      <c r="C176" t="e" cm="1">
        <f t="array" ref="C176">INDEX(auto_Series_Code,B176)</f>
        <v>#REF!</v>
      </c>
      <c r="D176" t="e" cm="1">
        <f t="array" ref="D176">INDEX(auto_tblSeries,$B176,D$11)</f>
        <v>#REF!</v>
      </c>
      <c r="E176" t="e" cm="1">
        <f t="array" ref="E176">INDEX(auto_tblSeries,$B176,E$11)</f>
        <v>#REF!</v>
      </c>
      <c r="F176" t="e" cm="1">
        <f t="array" ref="F176">INDEX(auto_tblSeries,$B176,F$11)</f>
        <v>#REF!</v>
      </c>
      <c r="G176" t="e" cm="1">
        <f t="array" ref="G176">INDEX(auto_tblSeries,$B176,G$11)</f>
        <v>#REF!</v>
      </c>
      <c r="H176" t="e" cm="1">
        <f t="array" ref="H176">INDEX(auto_tblSeries,$B176,H$11)</f>
        <v>#REF!</v>
      </c>
      <c r="I176" t="e">
        <f t="shared" si="70"/>
        <v>#REF!</v>
      </c>
      <c r="K176" t="e" cm="1">
        <f t="array" ref="K176">INDEX(auto_DataFlat_Score,$I176,K$10)</f>
        <v>#REF!</v>
      </c>
      <c r="L176" t="e" cm="1">
        <f t="array" ref="L176">INDEX(auto_DataFlat_Rank,$I176,L$10)</f>
        <v>#REF!</v>
      </c>
      <c r="M176" t="e" cm="1">
        <f t="array" ref="M176">INDEX(auto_DataFlat_DataValue,$I176,M$10)</f>
        <v>#REF!</v>
      </c>
      <c r="N176" t="e" cm="1">
        <f t="array" ref="N176">INDEX(auto_DataFlat_Classification,$I176,M$10)</f>
        <v>#REF!</v>
      </c>
      <c r="O176" t="e" cm="1">
        <f t="array" ref="O176">INDEX(auto_DataFlat_IsEstimate,$I176,O$10)</f>
        <v>#REF!</v>
      </c>
      <c r="P176" t="e" cm="1">
        <f t="array" ref="P176">IF(INDEX(auto_DataFlat_DataYear,$I176,P$10)=0,"n/a",INDEX(auto_DataFlat_DataYear,$I176,P$10))</f>
        <v>#REF!</v>
      </c>
      <c r="R176" t="e">
        <f t="shared" si="116"/>
        <v>#REF!</v>
      </c>
      <c r="S176" t="e" cm="1">
        <f t="array" ref="S176">INDEX(auto_DataFlat_Score,$R176,S$10)</f>
        <v>#REF!</v>
      </c>
      <c r="U176" t="str">
        <f t="shared" si="120"/>
        <v>n/a</v>
      </c>
      <c r="V176">
        <f t="shared" si="121"/>
        <v>1</v>
      </c>
      <c r="W176" t="e">
        <f t="shared" si="122"/>
        <v>#REF!</v>
      </c>
      <c r="X176" t="e">
        <f t="shared" ca="1" si="154"/>
        <v>#N/A</v>
      </c>
      <c r="Y176" t="e">
        <f t="shared" ca="1" si="154"/>
        <v>#N/A</v>
      </c>
      <c r="Z176" t="e">
        <f t="shared" ca="1" si="154"/>
        <v>#N/A</v>
      </c>
      <c r="AB176">
        <f t="shared" ca="1" si="111"/>
        <v>0</v>
      </c>
      <c r="AC176">
        <f t="shared" ca="1" si="111"/>
        <v>0</v>
      </c>
      <c r="AD176">
        <f t="shared" ca="1" si="111"/>
        <v>0</v>
      </c>
      <c r="AF176" t="e">
        <f t="shared" si="124"/>
        <v>#REF!</v>
      </c>
      <c r="AG176" t="e">
        <f t="shared" ca="1" si="155"/>
        <v>#N/A</v>
      </c>
      <c r="AH176" t="e">
        <f t="shared" ca="1" si="155"/>
        <v>#N/A</v>
      </c>
      <c r="AI176" t="e">
        <f t="shared" ca="1" si="155"/>
        <v>#N/A</v>
      </c>
      <c r="AJ176" t="e">
        <f t="shared" ca="1" si="155"/>
        <v>#N/A</v>
      </c>
      <c r="AK176" t="e">
        <f t="shared" ca="1" si="155"/>
        <v>#N/A</v>
      </c>
      <c r="AL176" t="e">
        <f t="shared" ca="1" si="155"/>
        <v>#N/A</v>
      </c>
      <c r="AM176" t="e">
        <f t="shared" ca="1" si="155"/>
        <v>#N/A</v>
      </c>
      <c r="AN176">
        <f t="shared" ca="1" si="126"/>
        <v>0</v>
      </c>
      <c r="AO176">
        <f t="shared" ca="1" si="127"/>
        <v>0</v>
      </c>
      <c r="AP176">
        <f t="shared" ca="1" si="128"/>
        <v>0</v>
      </c>
      <c r="AQ176">
        <f t="shared" ca="1" si="129"/>
        <v>0</v>
      </c>
      <c r="AR176">
        <f t="shared" ca="1" si="130"/>
        <v>0</v>
      </c>
      <c r="AS176">
        <f t="shared" ca="1" si="131"/>
        <v>0</v>
      </c>
      <c r="AT176">
        <f t="shared" ca="1" si="132"/>
        <v>0</v>
      </c>
      <c r="AV176" t="e">
        <f t="shared" si="6"/>
        <v>#REF!</v>
      </c>
      <c r="AW176" t="e" cm="1">
        <f t="array" ref="AW176">INDEX(auto_DataFlat_Score,$AV176,1)</f>
        <v>#REF!</v>
      </c>
      <c r="AX176" t="e" cm="1">
        <f t="array" ref="AX176">INDEX(auto_DataFlat_DataValue,$AV176,1)</f>
        <v>#REF!</v>
      </c>
      <c r="BA176" t="str">
        <f t="shared" si="133"/>
        <v>n/a</v>
      </c>
      <c r="BB176">
        <f t="shared" si="134"/>
        <v>1</v>
      </c>
      <c r="BC176" t="e">
        <f t="shared" si="135"/>
        <v>#REF!</v>
      </c>
      <c r="BD176" t="e">
        <f t="shared" ca="1" si="153"/>
        <v>#N/A</v>
      </c>
      <c r="BE176" t="e">
        <f t="shared" ca="1" si="153"/>
        <v>#N/A</v>
      </c>
      <c r="BF176" t="e">
        <f t="shared" ca="1" si="153"/>
        <v>#N/A</v>
      </c>
      <c r="BH176">
        <f t="shared" ca="1" si="112"/>
        <v>0</v>
      </c>
      <c r="BI176">
        <f t="shared" ca="1" si="112"/>
        <v>0</v>
      </c>
      <c r="BJ176">
        <f t="shared" ca="1" si="112"/>
        <v>0</v>
      </c>
      <c r="BM176" t="e">
        <f t="shared" si="136"/>
        <v>#REF!</v>
      </c>
      <c r="BN176" t="e">
        <f t="shared" ca="1" si="137"/>
        <v>#N/A</v>
      </c>
      <c r="BO176" t="e">
        <f t="shared" ca="1" si="138"/>
        <v>#N/A</v>
      </c>
      <c r="BP176" t="e">
        <f t="shared" ca="1" si="139"/>
        <v>#N/A</v>
      </c>
      <c r="BQ176" t="e">
        <f t="shared" ca="1" si="140"/>
        <v>#N/A</v>
      </c>
      <c r="BR176" t="e">
        <f t="shared" ca="1" si="141"/>
        <v>#N/A</v>
      </c>
      <c r="BS176" t="e">
        <f t="shared" ca="1" si="142"/>
        <v>#N/A</v>
      </c>
      <c r="BT176" t="e">
        <f t="shared" ca="1" si="143"/>
        <v>#N/A</v>
      </c>
      <c r="BU176">
        <f t="shared" ca="1" si="144"/>
        <v>0</v>
      </c>
      <c r="BV176">
        <f t="shared" ca="1" si="145"/>
        <v>0</v>
      </c>
      <c r="BW176">
        <f t="shared" ca="1" si="146"/>
        <v>0</v>
      </c>
      <c r="BX176">
        <f t="shared" ca="1" si="147"/>
        <v>0</v>
      </c>
      <c r="BY176">
        <f t="shared" ca="1" si="148"/>
        <v>0</v>
      </c>
      <c r="BZ176">
        <f t="shared" ca="1" si="118"/>
        <v>0</v>
      </c>
      <c r="CA176">
        <f t="shared" ca="1" si="119"/>
        <v>0</v>
      </c>
    </row>
    <row r="177" spans="1:79" x14ac:dyDescent="0.4">
      <c r="A177" t="str">
        <f t="shared" si="152"/>
        <v>X</v>
      </c>
      <c r="B177">
        <v>166</v>
      </c>
      <c r="C177" t="e" cm="1">
        <f t="array" ref="C177">INDEX(auto_Series_Code,B177)</f>
        <v>#REF!</v>
      </c>
      <c r="D177" t="e" cm="1">
        <f t="array" ref="D177">INDEX(auto_tblSeries,$B177,D$11)</f>
        <v>#REF!</v>
      </c>
      <c r="E177" t="e" cm="1">
        <f t="array" ref="E177">INDEX(auto_tblSeries,$B177,E$11)</f>
        <v>#REF!</v>
      </c>
      <c r="F177" t="e" cm="1">
        <f t="array" ref="F177">INDEX(auto_tblSeries,$B177,F$11)</f>
        <v>#REF!</v>
      </c>
      <c r="G177" t="e" cm="1">
        <f t="array" ref="G177">INDEX(auto_tblSeries,$B177,G$11)</f>
        <v>#REF!</v>
      </c>
      <c r="H177" t="e" cm="1">
        <f t="array" ref="H177">INDEX(auto_tblSeries,$B177,H$11)</f>
        <v>#REF!</v>
      </c>
      <c r="I177" t="e">
        <f t="shared" si="70"/>
        <v>#REF!</v>
      </c>
      <c r="K177" t="e" cm="1">
        <f t="array" ref="K177">INDEX(auto_DataFlat_Score,$I177,K$10)</f>
        <v>#REF!</v>
      </c>
      <c r="L177" t="e" cm="1">
        <f t="array" ref="L177">INDEX(auto_DataFlat_Rank,$I177,L$10)</f>
        <v>#REF!</v>
      </c>
      <c r="M177" t="e" cm="1">
        <f t="array" ref="M177">INDEX(auto_DataFlat_DataValue,$I177,M$10)</f>
        <v>#REF!</v>
      </c>
      <c r="N177" t="e" cm="1">
        <f t="array" ref="N177">INDEX(auto_DataFlat_Classification,$I177,M$10)</f>
        <v>#REF!</v>
      </c>
      <c r="O177" t="e" cm="1">
        <f t="array" ref="O177">INDEX(auto_DataFlat_IsEstimate,$I177,O$10)</f>
        <v>#REF!</v>
      </c>
      <c r="P177" t="e" cm="1">
        <f t="array" ref="P177">IF(INDEX(auto_DataFlat_DataYear,$I177,P$10)=0,"n/a",INDEX(auto_DataFlat_DataYear,$I177,P$10))</f>
        <v>#REF!</v>
      </c>
      <c r="R177" t="e">
        <f t="shared" si="116"/>
        <v>#REF!</v>
      </c>
      <c r="S177" t="e" cm="1">
        <f t="array" ref="S177">INDEX(auto_DataFlat_Score,$R177,S$10)</f>
        <v>#REF!</v>
      </c>
      <c r="U177" t="str">
        <f t="shared" si="120"/>
        <v>n/a</v>
      </c>
      <c r="V177">
        <f t="shared" si="121"/>
        <v>1</v>
      </c>
      <c r="W177" t="e">
        <f t="shared" si="122"/>
        <v>#REF!</v>
      </c>
      <c r="X177" t="e">
        <f t="shared" ca="1" si="154"/>
        <v>#N/A</v>
      </c>
      <c r="Y177" t="e">
        <f t="shared" ca="1" si="154"/>
        <v>#N/A</v>
      </c>
      <c r="Z177" t="e">
        <f t="shared" ca="1" si="154"/>
        <v>#N/A</v>
      </c>
      <c r="AB177">
        <f t="shared" ca="1" si="111"/>
        <v>0</v>
      </c>
      <c r="AC177">
        <f t="shared" ca="1" si="111"/>
        <v>0</v>
      </c>
      <c r="AD177">
        <f t="shared" ca="1" si="111"/>
        <v>0</v>
      </c>
      <c r="AF177" t="e">
        <f t="shared" si="124"/>
        <v>#REF!</v>
      </c>
      <c r="AG177" t="e">
        <f t="shared" ca="1" si="155"/>
        <v>#N/A</v>
      </c>
      <c r="AH177" t="e">
        <f t="shared" ca="1" si="155"/>
        <v>#N/A</v>
      </c>
      <c r="AI177" t="e">
        <f t="shared" ca="1" si="155"/>
        <v>#N/A</v>
      </c>
      <c r="AJ177" t="e">
        <f t="shared" ca="1" si="155"/>
        <v>#N/A</v>
      </c>
      <c r="AK177" t="e">
        <f t="shared" ca="1" si="155"/>
        <v>#N/A</v>
      </c>
      <c r="AL177" t="e">
        <f t="shared" ca="1" si="155"/>
        <v>#N/A</v>
      </c>
      <c r="AM177" t="e">
        <f t="shared" ca="1" si="155"/>
        <v>#N/A</v>
      </c>
      <c r="AN177">
        <f t="shared" ca="1" si="126"/>
        <v>0</v>
      </c>
      <c r="AO177">
        <f t="shared" ca="1" si="127"/>
        <v>0</v>
      </c>
      <c r="AP177">
        <f t="shared" ca="1" si="128"/>
        <v>0</v>
      </c>
      <c r="AQ177">
        <f t="shared" ca="1" si="129"/>
        <v>0</v>
      </c>
      <c r="AR177">
        <f t="shared" ca="1" si="130"/>
        <v>0</v>
      </c>
      <c r="AS177">
        <f t="shared" ca="1" si="131"/>
        <v>0</v>
      </c>
      <c r="AT177">
        <f t="shared" ca="1" si="132"/>
        <v>0</v>
      </c>
      <c r="AV177" t="e">
        <f t="shared" si="6"/>
        <v>#REF!</v>
      </c>
      <c r="AW177" t="e" cm="1">
        <f t="array" ref="AW177">INDEX(auto_DataFlat_Score,$AV177,1)</f>
        <v>#REF!</v>
      </c>
      <c r="AX177" t="e" cm="1">
        <f t="array" ref="AX177">INDEX(auto_DataFlat_DataValue,$AV177,1)</f>
        <v>#REF!</v>
      </c>
      <c r="BA177" t="str">
        <f t="shared" si="133"/>
        <v>n/a</v>
      </c>
      <c r="BB177">
        <f t="shared" si="134"/>
        <v>1</v>
      </c>
      <c r="BC177" t="e">
        <f t="shared" si="135"/>
        <v>#REF!</v>
      </c>
      <c r="BD177" t="e">
        <f t="shared" ca="1" si="153"/>
        <v>#N/A</v>
      </c>
      <c r="BE177" t="e">
        <f t="shared" ca="1" si="153"/>
        <v>#N/A</v>
      </c>
      <c r="BF177" t="e">
        <f t="shared" ca="1" si="153"/>
        <v>#N/A</v>
      </c>
      <c r="BH177">
        <f t="shared" ca="1" si="112"/>
        <v>0</v>
      </c>
      <c r="BI177">
        <f t="shared" ca="1" si="112"/>
        <v>0</v>
      </c>
      <c r="BJ177">
        <f t="shared" ca="1" si="112"/>
        <v>0</v>
      </c>
      <c r="BM177" t="e">
        <f t="shared" si="136"/>
        <v>#REF!</v>
      </c>
      <c r="BN177" t="e">
        <f t="shared" ca="1" si="137"/>
        <v>#N/A</v>
      </c>
      <c r="BO177" t="e">
        <f t="shared" ca="1" si="138"/>
        <v>#N/A</v>
      </c>
      <c r="BP177" t="e">
        <f t="shared" ca="1" si="139"/>
        <v>#N/A</v>
      </c>
      <c r="BQ177" t="e">
        <f t="shared" ca="1" si="140"/>
        <v>#N/A</v>
      </c>
      <c r="BR177" t="e">
        <f t="shared" ca="1" si="141"/>
        <v>#N/A</v>
      </c>
      <c r="BS177" t="e">
        <f t="shared" ca="1" si="142"/>
        <v>#N/A</v>
      </c>
      <c r="BT177" t="e">
        <f t="shared" ca="1" si="143"/>
        <v>#N/A</v>
      </c>
      <c r="BU177">
        <f t="shared" ca="1" si="144"/>
        <v>0</v>
      </c>
      <c r="BV177">
        <f t="shared" ca="1" si="145"/>
        <v>0</v>
      </c>
      <c r="BW177">
        <f t="shared" ca="1" si="146"/>
        <v>0</v>
      </c>
      <c r="BX177">
        <f t="shared" ca="1" si="147"/>
        <v>0</v>
      </c>
      <c r="BY177">
        <f t="shared" ca="1" si="148"/>
        <v>0</v>
      </c>
      <c r="BZ177">
        <f t="shared" ca="1" si="118"/>
        <v>0</v>
      </c>
      <c r="CA177">
        <f t="shared" ca="1" si="119"/>
        <v>0</v>
      </c>
    </row>
    <row r="178" spans="1:79" x14ac:dyDescent="0.4">
      <c r="A178" t="str">
        <f t="shared" si="152"/>
        <v>X</v>
      </c>
      <c r="B178">
        <v>167</v>
      </c>
      <c r="C178" t="e" cm="1">
        <f t="array" ref="C178">INDEX(auto_Series_Code,B178)</f>
        <v>#REF!</v>
      </c>
      <c r="D178" t="e" cm="1">
        <f t="array" ref="D178">INDEX(auto_tblSeries,$B178,D$11)</f>
        <v>#REF!</v>
      </c>
      <c r="E178" t="e" cm="1">
        <f t="array" ref="E178">INDEX(auto_tblSeries,$B178,E$11)</f>
        <v>#REF!</v>
      </c>
      <c r="F178" t="e" cm="1">
        <f t="array" ref="F178">INDEX(auto_tblSeries,$B178,F$11)</f>
        <v>#REF!</v>
      </c>
      <c r="G178" t="e" cm="1">
        <f t="array" ref="G178">INDEX(auto_tblSeries,$B178,G$11)</f>
        <v>#REF!</v>
      </c>
      <c r="H178" t="e" cm="1">
        <f t="array" ref="H178">INDEX(auto_tblSeries,$B178,H$11)</f>
        <v>#REF!</v>
      </c>
      <c r="I178" t="e">
        <f t="shared" si="70"/>
        <v>#REF!</v>
      </c>
      <c r="K178" t="e" cm="1">
        <f t="array" ref="K178">INDEX(auto_DataFlat_Score,$I178,K$10)</f>
        <v>#REF!</v>
      </c>
      <c r="L178" t="e" cm="1">
        <f t="array" ref="L178">INDEX(auto_DataFlat_Rank,$I178,L$10)</f>
        <v>#REF!</v>
      </c>
      <c r="M178" t="e" cm="1">
        <f t="array" ref="M178">INDEX(auto_DataFlat_DataValue,$I178,M$10)</f>
        <v>#REF!</v>
      </c>
      <c r="N178" t="e" cm="1">
        <f t="array" ref="N178">INDEX(auto_DataFlat_Classification,$I178,M$10)</f>
        <v>#REF!</v>
      </c>
      <c r="O178" t="e" cm="1">
        <f t="array" ref="O178">INDEX(auto_DataFlat_IsEstimate,$I178,O$10)</f>
        <v>#REF!</v>
      </c>
      <c r="P178" t="e" cm="1">
        <f t="array" ref="P178">IF(INDEX(auto_DataFlat_DataYear,$I178,P$10)=0,"n/a",INDEX(auto_DataFlat_DataYear,$I178,P$10))</f>
        <v>#REF!</v>
      </c>
      <c r="R178" t="e">
        <f t="shared" si="116"/>
        <v>#REF!</v>
      </c>
      <c r="S178" t="e" cm="1">
        <f t="array" ref="S178">INDEX(auto_DataFlat_Score,$R178,S$10)</f>
        <v>#REF!</v>
      </c>
      <c r="U178" t="str">
        <f t="shared" si="120"/>
        <v>n/a</v>
      </c>
      <c r="V178">
        <f t="shared" si="121"/>
        <v>1</v>
      </c>
      <c r="W178" t="e">
        <f t="shared" si="122"/>
        <v>#REF!</v>
      </c>
      <c r="X178" t="e">
        <f t="shared" ca="1" si="154"/>
        <v>#N/A</v>
      </c>
      <c r="Y178" t="e">
        <f t="shared" ca="1" si="154"/>
        <v>#N/A</v>
      </c>
      <c r="Z178" t="e">
        <f t="shared" ca="1" si="154"/>
        <v>#N/A</v>
      </c>
      <c r="AB178">
        <f t="shared" ca="1" si="111"/>
        <v>0</v>
      </c>
      <c r="AC178">
        <f t="shared" ca="1" si="111"/>
        <v>0</v>
      </c>
      <c r="AD178">
        <f t="shared" ca="1" si="111"/>
        <v>0</v>
      </c>
      <c r="AF178" t="e">
        <f t="shared" si="124"/>
        <v>#REF!</v>
      </c>
      <c r="AG178" t="e">
        <f t="shared" ca="1" si="155"/>
        <v>#N/A</v>
      </c>
      <c r="AH178" t="e">
        <f t="shared" ca="1" si="155"/>
        <v>#N/A</v>
      </c>
      <c r="AI178" t="e">
        <f t="shared" ca="1" si="155"/>
        <v>#N/A</v>
      </c>
      <c r="AJ178" t="e">
        <f t="shared" ca="1" si="155"/>
        <v>#N/A</v>
      </c>
      <c r="AK178" t="e">
        <f t="shared" ca="1" si="155"/>
        <v>#N/A</v>
      </c>
      <c r="AL178" t="e">
        <f t="shared" ca="1" si="155"/>
        <v>#N/A</v>
      </c>
      <c r="AM178" t="e">
        <f t="shared" ca="1" si="155"/>
        <v>#N/A</v>
      </c>
      <c r="AN178">
        <f t="shared" ca="1" si="126"/>
        <v>0</v>
      </c>
      <c r="AO178">
        <f t="shared" ca="1" si="127"/>
        <v>0</v>
      </c>
      <c r="AP178">
        <f t="shared" ca="1" si="128"/>
        <v>0</v>
      </c>
      <c r="AQ178">
        <f t="shared" ca="1" si="129"/>
        <v>0</v>
      </c>
      <c r="AR178">
        <f t="shared" ca="1" si="130"/>
        <v>0</v>
      </c>
      <c r="AS178">
        <f t="shared" ca="1" si="131"/>
        <v>0</v>
      </c>
      <c r="AT178">
        <f t="shared" ca="1" si="132"/>
        <v>0</v>
      </c>
      <c r="AV178" t="e">
        <f t="shared" si="6"/>
        <v>#REF!</v>
      </c>
      <c r="AW178" t="e" cm="1">
        <f t="array" ref="AW178">INDEX(auto_DataFlat_Score,$AV178,1)</f>
        <v>#REF!</v>
      </c>
      <c r="AX178" t="e" cm="1">
        <f t="array" ref="AX178">INDEX(auto_DataFlat_DataValue,$AV178,1)</f>
        <v>#REF!</v>
      </c>
      <c r="BA178" t="str">
        <f t="shared" si="133"/>
        <v>n/a</v>
      </c>
      <c r="BB178">
        <f t="shared" si="134"/>
        <v>1</v>
      </c>
      <c r="BC178" t="e">
        <f t="shared" si="135"/>
        <v>#REF!</v>
      </c>
      <c r="BD178" t="e">
        <f t="shared" ca="1" si="153"/>
        <v>#N/A</v>
      </c>
      <c r="BE178" t="e">
        <f t="shared" ca="1" si="153"/>
        <v>#N/A</v>
      </c>
      <c r="BF178" t="e">
        <f t="shared" ca="1" si="153"/>
        <v>#N/A</v>
      </c>
      <c r="BH178">
        <f t="shared" ca="1" si="112"/>
        <v>0</v>
      </c>
      <c r="BI178">
        <f t="shared" ca="1" si="112"/>
        <v>0</v>
      </c>
      <c r="BJ178">
        <f t="shared" ca="1" si="112"/>
        <v>0</v>
      </c>
      <c r="BM178" t="e">
        <f t="shared" si="136"/>
        <v>#REF!</v>
      </c>
      <c r="BN178" t="e">
        <f t="shared" ca="1" si="137"/>
        <v>#N/A</v>
      </c>
      <c r="BO178" t="e">
        <f t="shared" ca="1" si="138"/>
        <v>#N/A</v>
      </c>
      <c r="BP178" t="e">
        <f t="shared" ca="1" si="139"/>
        <v>#N/A</v>
      </c>
      <c r="BQ178" t="e">
        <f t="shared" ca="1" si="140"/>
        <v>#N/A</v>
      </c>
      <c r="BR178" t="e">
        <f t="shared" ca="1" si="141"/>
        <v>#N/A</v>
      </c>
      <c r="BS178" t="e">
        <f t="shared" ca="1" si="142"/>
        <v>#N/A</v>
      </c>
      <c r="BT178" t="e">
        <f t="shared" ca="1" si="143"/>
        <v>#N/A</v>
      </c>
      <c r="BU178">
        <f t="shared" ca="1" si="144"/>
        <v>0</v>
      </c>
      <c r="BV178">
        <f t="shared" ca="1" si="145"/>
        <v>0</v>
      </c>
      <c r="BW178">
        <f t="shared" ca="1" si="146"/>
        <v>0</v>
      </c>
      <c r="BX178">
        <f t="shared" ca="1" si="147"/>
        <v>0</v>
      </c>
      <c r="BY178">
        <f t="shared" ca="1" si="148"/>
        <v>0</v>
      </c>
      <c r="BZ178">
        <f t="shared" ca="1" si="118"/>
        <v>0</v>
      </c>
      <c r="CA178">
        <f t="shared" ca="1" si="119"/>
        <v>0</v>
      </c>
    </row>
    <row r="179" spans="1:79" x14ac:dyDescent="0.4">
      <c r="A179" t="str">
        <f t="shared" si="152"/>
        <v>X</v>
      </c>
      <c r="B179">
        <v>168</v>
      </c>
      <c r="C179" t="e" cm="1">
        <f t="array" ref="C179">INDEX(auto_Series_Code,B179)</f>
        <v>#REF!</v>
      </c>
      <c r="D179" t="e" cm="1">
        <f t="array" ref="D179">INDEX(auto_tblSeries,$B179,D$11)</f>
        <v>#REF!</v>
      </c>
      <c r="E179" t="e" cm="1">
        <f t="array" ref="E179">INDEX(auto_tblSeries,$B179,E$11)</f>
        <v>#REF!</v>
      </c>
      <c r="F179" t="e" cm="1">
        <f t="array" ref="F179">INDEX(auto_tblSeries,$B179,F$11)</f>
        <v>#REF!</v>
      </c>
      <c r="G179" t="e" cm="1">
        <f t="array" ref="G179">INDEX(auto_tblSeries,$B179,G$11)</f>
        <v>#REF!</v>
      </c>
      <c r="H179" t="e" cm="1">
        <f t="array" ref="H179">INDEX(auto_tblSeries,$B179,H$11)</f>
        <v>#REF!</v>
      </c>
      <c r="I179" t="e">
        <f t="shared" si="70"/>
        <v>#REF!</v>
      </c>
      <c r="K179" t="e" cm="1">
        <f t="array" ref="K179">INDEX(auto_DataFlat_Score,$I179,K$10)</f>
        <v>#REF!</v>
      </c>
      <c r="L179" t="e" cm="1">
        <f t="array" ref="L179">INDEX(auto_DataFlat_Rank,$I179,L$10)</f>
        <v>#REF!</v>
      </c>
      <c r="M179" t="e" cm="1">
        <f t="array" ref="M179">INDEX(auto_DataFlat_DataValue,$I179,M$10)</f>
        <v>#REF!</v>
      </c>
      <c r="N179" t="e" cm="1">
        <f t="array" ref="N179">INDEX(auto_DataFlat_Classification,$I179,M$10)</f>
        <v>#REF!</v>
      </c>
      <c r="O179" t="e" cm="1">
        <f t="array" ref="O179">INDEX(auto_DataFlat_IsEstimate,$I179,O$10)</f>
        <v>#REF!</v>
      </c>
      <c r="P179" t="e" cm="1">
        <f t="array" ref="P179">IF(INDEX(auto_DataFlat_DataYear,$I179,P$10)=0,"n/a",INDEX(auto_DataFlat_DataYear,$I179,P$10))</f>
        <v>#REF!</v>
      </c>
      <c r="R179" t="e">
        <f t="shared" si="116"/>
        <v>#REF!</v>
      </c>
      <c r="S179" t="e" cm="1">
        <f t="array" ref="S179">INDEX(auto_DataFlat_Score,$R179,S$10)</f>
        <v>#REF!</v>
      </c>
      <c r="U179" t="str">
        <f t="shared" si="120"/>
        <v>n/a</v>
      </c>
      <c r="V179">
        <f t="shared" si="121"/>
        <v>1</v>
      </c>
      <c r="W179" t="e">
        <f t="shared" si="122"/>
        <v>#REF!</v>
      </c>
      <c r="X179" t="e">
        <f t="shared" ca="1" si="154"/>
        <v>#N/A</v>
      </c>
      <c r="Y179" t="e">
        <f t="shared" ca="1" si="154"/>
        <v>#N/A</v>
      </c>
      <c r="Z179" t="e">
        <f t="shared" ca="1" si="154"/>
        <v>#N/A</v>
      </c>
      <c r="AB179">
        <f t="shared" ca="1" si="111"/>
        <v>0</v>
      </c>
      <c r="AC179">
        <f t="shared" ca="1" si="111"/>
        <v>0</v>
      </c>
      <c r="AD179">
        <f t="shared" ca="1" si="111"/>
        <v>0</v>
      </c>
      <c r="AF179" t="e">
        <f t="shared" si="124"/>
        <v>#REF!</v>
      </c>
      <c r="AG179" t="e">
        <f t="shared" ca="1" si="155"/>
        <v>#N/A</v>
      </c>
      <c r="AH179" t="e">
        <f t="shared" ca="1" si="155"/>
        <v>#N/A</v>
      </c>
      <c r="AI179" t="e">
        <f t="shared" ca="1" si="155"/>
        <v>#N/A</v>
      </c>
      <c r="AJ179" t="e">
        <f t="shared" ca="1" si="155"/>
        <v>#N/A</v>
      </c>
      <c r="AK179" t="e">
        <f t="shared" ca="1" si="155"/>
        <v>#N/A</v>
      </c>
      <c r="AL179" t="e">
        <f t="shared" ca="1" si="155"/>
        <v>#N/A</v>
      </c>
      <c r="AM179" t="e">
        <f t="shared" ca="1" si="155"/>
        <v>#N/A</v>
      </c>
      <c r="AN179">
        <f t="shared" ca="1" si="126"/>
        <v>0</v>
      </c>
      <c r="AO179">
        <f t="shared" ca="1" si="127"/>
        <v>0</v>
      </c>
      <c r="AP179">
        <f t="shared" ca="1" si="128"/>
        <v>0</v>
      </c>
      <c r="AQ179">
        <f t="shared" ca="1" si="129"/>
        <v>0</v>
      </c>
      <c r="AR179">
        <f t="shared" ca="1" si="130"/>
        <v>0</v>
      </c>
      <c r="AS179">
        <f t="shared" ca="1" si="131"/>
        <v>0</v>
      </c>
      <c r="AT179">
        <f t="shared" ca="1" si="132"/>
        <v>0</v>
      </c>
      <c r="AV179" t="e">
        <f t="shared" si="6"/>
        <v>#REF!</v>
      </c>
      <c r="AW179" t="e" cm="1">
        <f t="array" ref="AW179">INDEX(auto_DataFlat_Score,$AV179,1)</f>
        <v>#REF!</v>
      </c>
      <c r="AX179" t="e" cm="1">
        <f t="array" ref="AX179">INDEX(auto_DataFlat_DataValue,$AV179,1)</f>
        <v>#REF!</v>
      </c>
      <c r="BA179" t="str">
        <f t="shared" si="133"/>
        <v>n/a</v>
      </c>
      <c r="BB179">
        <f t="shared" si="134"/>
        <v>1</v>
      </c>
      <c r="BC179" t="e">
        <f t="shared" si="135"/>
        <v>#REF!</v>
      </c>
      <c r="BD179" t="e">
        <f t="shared" ca="1" si="153"/>
        <v>#N/A</v>
      </c>
      <c r="BE179" t="e">
        <f t="shared" ca="1" si="153"/>
        <v>#N/A</v>
      </c>
      <c r="BF179" t="e">
        <f t="shared" ca="1" si="153"/>
        <v>#N/A</v>
      </c>
      <c r="BH179">
        <f t="shared" ca="1" si="112"/>
        <v>0</v>
      </c>
      <c r="BI179">
        <f t="shared" ca="1" si="112"/>
        <v>0</v>
      </c>
      <c r="BJ179">
        <f t="shared" ca="1" si="112"/>
        <v>0</v>
      </c>
      <c r="BM179" t="e">
        <f t="shared" si="136"/>
        <v>#REF!</v>
      </c>
      <c r="BN179" t="e">
        <f t="shared" ca="1" si="137"/>
        <v>#N/A</v>
      </c>
      <c r="BO179" t="e">
        <f t="shared" ca="1" si="138"/>
        <v>#N/A</v>
      </c>
      <c r="BP179" t="e">
        <f t="shared" ca="1" si="139"/>
        <v>#N/A</v>
      </c>
      <c r="BQ179" t="e">
        <f t="shared" ca="1" si="140"/>
        <v>#N/A</v>
      </c>
      <c r="BR179" t="e">
        <f t="shared" ca="1" si="141"/>
        <v>#N/A</v>
      </c>
      <c r="BS179" t="e">
        <f t="shared" ca="1" si="142"/>
        <v>#N/A</v>
      </c>
      <c r="BT179" t="e">
        <f t="shared" ca="1" si="143"/>
        <v>#N/A</v>
      </c>
      <c r="BU179">
        <f t="shared" ca="1" si="144"/>
        <v>0</v>
      </c>
      <c r="BV179">
        <f t="shared" ca="1" si="145"/>
        <v>0</v>
      </c>
      <c r="BW179">
        <f t="shared" ca="1" si="146"/>
        <v>0</v>
      </c>
      <c r="BX179">
        <f t="shared" ca="1" si="147"/>
        <v>0</v>
      </c>
      <c r="BY179">
        <f t="shared" ca="1" si="148"/>
        <v>0</v>
      </c>
      <c r="BZ179">
        <f t="shared" ca="1" si="118"/>
        <v>0</v>
      </c>
      <c r="CA179">
        <f t="shared" ca="1" si="119"/>
        <v>0</v>
      </c>
    </row>
    <row r="180" spans="1:79" x14ac:dyDescent="0.4">
      <c r="A180" t="str">
        <f t="shared" si="152"/>
        <v>X</v>
      </c>
      <c r="B180">
        <v>169</v>
      </c>
      <c r="C180" t="e" cm="1">
        <f t="array" ref="C180">INDEX(auto_Series_Code,B180)</f>
        <v>#REF!</v>
      </c>
      <c r="D180" t="e" cm="1">
        <f t="array" ref="D180">INDEX(auto_tblSeries,$B180,D$11)</f>
        <v>#REF!</v>
      </c>
      <c r="E180" t="e" cm="1">
        <f t="array" ref="E180">INDEX(auto_tblSeries,$B180,E$11)</f>
        <v>#REF!</v>
      </c>
      <c r="F180" t="e" cm="1">
        <f t="array" ref="F180">INDEX(auto_tblSeries,$B180,F$11)</f>
        <v>#REF!</v>
      </c>
      <c r="G180" t="e" cm="1">
        <f t="array" ref="G180">INDEX(auto_tblSeries,$B180,G$11)</f>
        <v>#REF!</v>
      </c>
      <c r="H180" t="e" cm="1">
        <f t="array" ref="H180">INDEX(auto_tblSeries,$B180,H$11)</f>
        <v>#REF!</v>
      </c>
      <c r="I180" t="e">
        <f t="shared" si="70"/>
        <v>#REF!</v>
      </c>
      <c r="K180" t="e" cm="1">
        <f t="array" ref="K180">INDEX(auto_DataFlat_Score,$I180,K$10)</f>
        <v>#REF!</v>
      </c>
      <c r="L180" t="e" cm="1">
        <f t="array" ref="L180">INDEX(auto_DataFlat_Rank,$I180,L$10)</f>
        <v>#REF!</v>
      </c>
      <c r="M180" t="e" cm="1">
        <f t="array" ref="M180">INDEX(auto_DataFlat_DataValue,$I180,M$10)</f>
        <v>#REF!</v>
      </c>
      <c r="N180" t="e" cm="1">
        <f t="array" ref="N180">INDEX(auto_DataFlat_Classification,$I180,M$10)</f>
        <v>#REF!</v>
      </c>
      <c r="O180" t="e" cm="1">
        <f t="array" ref="O180">INDEX(auto_DataFlat_IsEstimate,$I180,O$10)</f>
        <v>#REF!</v>
      </c>
      <c r="P180" t="e" cm="1">
        <f t="array" ref="P180">IF(INDEX(auto_DataFlat_DataYear,$I180,P$10)=0,"n/a",INDEX(auto_DataFlat_DataYear,$I180,P$10))</f>
        <v>#REF!</v>
      </c>
      <c r="R180" t="e">
        <f t="shared" si="116"/>
        <v>#REF!</v>
      </c>
      <c r="S180" t="e" cm="1">
        <f t="array" ref="S180">INDEX(auto_DataFlat_Score,$R180,S$10)</f>
        <v>#REF!</v>
      </c>
      <c r="U180" t="str">
        <f t="shared" si="120"/>
        <v>n/a</v>
      </c>
      <c r="V180">
        <f t="shared" si="121"/>
        <v>1</v>
      </c>
      <c r="W180" t="e">
        <f t="shared" si="122"/>
        <v>#REF!</v>
      </c>
      <c r="X180" t="e">
        <f t="shared" ca="1" si="154"/>
        <v>#N/A</v>
      </c>
      <c r="Y180" t="e">
        <f t="shared" ca="1" si="154"/>
        <v>#N/A</v>
      </c>
      <c r="Z180" t="e">
        <f t="shared" ca="1" si="154"/>
        <v>#N/A</v>
      </c>
      <c r="AB180">
        <f t="shared" ca="1" si="111"/>
        <v>0</v>
      </c>
      <c r="AC180">
        <f t="shared" ca="1" si="111"/>
        <v>0</v>
      </c>
      <c r="AD180">
        <f t="shared" ca="1" si="111"/>
        <v>0</v>
      </c>
      <c r="AF180" t="e">
        <f t="shared" si="124"/>
        <v>#REF!</v>
      </c>
      <c r="AG180" t="e">
        <f t="shared" ca="1" si="155"/>
        <v>#N/A</v>
      </c>
      <c r="AH180" t="e">
        <f t="shared" ca="1" si="155"/>
        <v>#N/A</v>
      </c>
      <c r="AI180" t="e">
        <f t="shared" ca="1" si="155"/>
        <v>#N/A</v>
      </c>
      <c r="AJ180" t="e">
        <f t="shared" ca="1" si="155"/>
        <v>#N/A</v>
      </c>
      <c r="AK180" t="e">
        <f t="shared" ca="1" si="155"/>
        <v>#N/A</v>
      </c>
      <c r="AL180" t="e">
        <f t="shared" ca="1" si="155"/>
        <v>#N/A</v>
      </c>
      <c r="AM180" t="e">
        <f t="shared" ca="1" si="155"/>
        <v>#N/A</v>
      </c>
      <c r="AN180">
        <f t="shared" ca="1" si="126"/>
        <v>0</v>
      </c>
      <c r="AO180">
        <f t="shared" ca="1" si="127"/>
        <v>0</v>
      </c>
      <c r="AP180">
        <f t="shared" ca="1" si="128"/>
        <v>0</v>
      </c>
      <c r="AQ180">
        <f t="shared" ca="1" si="129"/>
        <v>0</v>
      </c>
      <c r="AR180">
        <f t="shared" ca="1" si="130"/>
        <v>0</v>
      </c>
      <c r="AS180">
        <f t="shared" ca="1" si="131"/>
        <v>0</v>
      </c>
      <c r="AT180">
        <f t="shared" ca="1" si="132"/>
        <v>0</v>
      </c>
      <c r="AV180" t="e">
        <f t="shared" si="6"/>
        <v>#REF!</v>
      </c>
      <c r="AW180" t="e" cm="1">
        <f t="array" ref="AW180">INDEX(auto_DataFlat_Score,$AV180,1)</f>
        <v>#REF!</v>
      </c>
      <c r="AX180" t="e" cm="1">
        <f t="array" ref="AX180">INDEX(auto_DataFlat_DataValue,$AV180,1)</f>
        <v>#REF!</v>
      </c>
      <c r="BA180" t="str">
        <f t="shared" si="133"/>
        <v>n/a</v>
      </c>
      <c r="BB180">
        <f t="shared" si="134"/>
        <v>1</v>
      </c>
      <c r="BC180" t="e">
        <f t="shared" si="135"/>
        <v>#REF!</v>
      </c>
      <c r="BD180" t="e">
        <f t="shared" ca="1" si="153"/>
        <v>#N/A</v>
      </c>
      <c r="BE180" t="e">
        <f t="shared" ca="1" si="153"/>
        <v>#N/A</v>
      </c>
      <c r="BF180" t="e">
        <f t="shared" ca="1" si="153"/>
        <v>#N/A</v>
      </c>
      <c r="BH180">
        <f t="shared" ca="1" si="112"/>
        <v>0</v>
      </c>
      <c r="BI180">
        <f t="shared" ca="1" si="112"/>
        <v>0</v>
      </c>
      <c r="BJ180">
        <f t="shared" ca="1" si="112"/>
        <v>0</v>
      </c>
      <c r="BM180" t="e">
        <f t="shared" si="136"/>
        <v>#REF!</v>
      </c>
      <c r="BN180" t="e">
        <f t="shared" ca="1" si="137"/>
        <v>#N/A</v>
      </c>
      <c r="BO180" t="e">
        <f t="shared" ca="1" si="138"/>
        <v>#N/A</v>
      </c>
      <c r="BP180" t="e">
        <f t="shared" ca="1" si="139"/>
        <v>#N/A</v>
      </c>
      <c r="BQ180" t="e">
        <f t="shared" ca="1" si="140"/>
        <v>#N/A</v>
      </c>
      <c r="BR180" t="e">
        <f t="shared" ca="1" si="141"/>
        <v>#N/A</v>
      </c>
      <c r="BS180" t="e">
        <f t="shared" ca="1" si="142"/>
        <v>#N/A</v>
      </c>
      <c r="BT180" t="e">
        <f t="shared" ca="1" si="143"/>
        <v>#N/A</v>
      </c>
      <c r="BU180">
        <f t="shared" ca="1" si="144"/>
        <v>0</v>
      </c>
      <c r="BV180">
        <f t="shared" ca="1" si="145"/>
        <v>0</v>
      </c>
      <c r="BW180">
        <f t="shared" ca="1" si="146"/>
        <v>0</v>
      </c>
      <c r="BX180">
        <f t="shared" ca="1" si="147"/>
        <v>0</v>
      </c>
      <c r="BY180">
        <f t="shared" ca="1" si="148"/>
        <v>0</v>
      </c>
      <c r="BZ180">
        <f t="shared" ca="1" si="118"/>
        <v>0</v>
      </c>
      <c r="CA180">
        <f t="shared" ca="1" si="119"/>
        <v>0</v>
      </c>
    </row>
    <row r="181" spans="1:79" x14ac:dyDescent="0.4">
      <c r="A181" t="str">
        <f t="shared" si="152"/>
        <v>X</v>
      </c>
      <c r="B181">
        <v>170</v>
      </c>
      <c r="C181" t="e" cm="1">
        <f t="array" ref="C181">INDEX(auto_Series_Code,B181)</f>
        <v>#REF!</v>
      </c>
      <c r="D181" t="e" cm="1">
        <f t="array" ref="D181">INDEX(auto_tblSeries,$B181,D$11)</f>
        <v>#REF!</v>
      </c>
      <c r="E181" t="e" cm="1">
        <f t="array" ref="E181">INDEX(auto_tblSeries,$B181,E$11)</f>
        <v>#REF!</v>
      </c>
      <c r="F181" t="e" cm="1">
        <f t="array" ref="F181">INDEX(auto_tblSeries,$B181,F$11)</f>
        <v>#REF!</v>
      </c>
      <c r="G181" t="e" cm="1">
        <f t="array" ref="G181">INDEX(auto_tblSeries,$B181,G$11)</f>
        <v>#REF!</v>
      </c>
      <c r="H181" t="e" cm="1">
        <f t="array" ref="H181">INDEX(auto_tblSeries,$B181,H$11)</f>
        <v>#REF!</v>
      </c>
      <c r="I181" t="e">
        <f t="shared" si="70"/>
        <v>#REF!</v>
      </c>
      <c r="K181" t="e" cm="1">
        <f t="array" ref="K181">INDEX(auto_DataFlat_Score,$I181,K$10)</f>
        <v>#REF!</v>
      </c>
      <c r="L181" t="e" cm="1">
        <f t="array" ref="L181">INDEX(auto_DataFlat_Rank,$I181,L$10)</f>
        <v>#REF!</v>
      </c>
      <c r="M181" t="e" cm="1">
        <f t="array" ref="M181">INDEX(auto_DataFlat_DataValue,$I181,M$10)</f>
        <v>#REF!</v>
      </c>
      <c r="N181" t="e" cm="1">
        <f t="array" ref="N181">INDEX(auto_DataFlat_Classification,$I181,M$10)</f>
        <v>#REF!</v>
      </c>
      <c r="O181" t="e" cm="1">
        <f t="array" ref="O181">INDEX(auto_DataFlat_IsEstimate,$I181,O$10)</f>
        <v>#REF!</v>
      </c>
      <c r="P181" t="e" cm="1">
        <f t="array" ref="P181">IF(INDEX(auto_DataFlat_DataYear,$I181,P$10)=0,"n/a",INDEX(auto_DataFlat_DataYear,$I181,P$10))</f>
        <v>#REF!</v>
      </c>
      <c r="R181" t="e">
        <f t="shared" si="116"/>
        <v>#REF!</v>
      </c>
      <c r="S181" t="e" cm="1">
        <f t="array" ref="S181">INDEX(auto_DataFlat_Score,$R181,S$10)</f>
        <v>#REF!</v>
      </c>
      <c r="U181" t="str">
        <f t="shared" si="120"/>
        <v>n/a</v>
      </c>
      <c r="V181">
        <f t="shared" si="121"/>
        <v>1</v>
      </c>
      <c r="W181" t="e">
        <f t="shared" si="122"/>
        <v>#REF!</v>
      </c>
      <c r="X181" t="e">
        <f t="shared" ca="1" si="154"/>
        <v>#N/A</v>
      </c>
      <c r="Y181" t="e">
        <f t="shared" ca="1" si="154"/>
        <v>#N/A</v>
      </c>
      <c r="Z181" t="e">
        <f t="shared" ca="1" si="154"/>
        <v>#N/A</v>
      </c>
      <c r="AB181">
        <f t="shared" ca="1" si="111"/>
        <v>0</v>
      </c>
      <c r="AC181">
        <f t="shared" ca="1" si="111"/>
        <v>0</v>
      </c>
      <c r="AD181">
        <f t="shared" ca="1" si="111"/>
        <v>0</v>
      </c>
      <c r="AF181" t="e">
        <f t="shared" si="124"/>
        <v>#REF!</v>
      </c>
      <c r="AG181" t="e">
        <f t="shared" ca="1" si="155"/>
        <v>#N/A</v>
      </c>
      <c r="AH181" t="e">
        <f t="shared" ca="1" si="155"/>
        <v>#N/A</v>
      </c>
      <c r="AI181" t="e">
        <f t="shared" ca="1" si="155"/>
        <v>#N/A</v>
      </c>
      <c r="AJ181" t="e">
        <f t="shared" ca="1" si="155"/>
        <v>#N/A</v>
      </c>
      <c r="AK181" t="e">
        <f t="shared" ca="1" si="155"/>
        <v>#N/A</v>
      </c>
      <c r="AL181" t="e">
        <f t="shared" ca="1" si="155"/>
        <v>#N/A</v>
      </c>
      <c r="AM181" t="e">
        <f t="shared" ca="1" si="155"/>
        <v>#N/A</v>
      </c>
      <c r="AN181">
        <f t="shared" ca="1" si="126"/>
        <v>0</v>
      </c>
      <c r="AO181">
        <f t="shared" ca="1" si="127"/>
        <v>0</v>
      </c>
      <c r="AP181">
        <f t="shared" ca="1" si="128"/>
        <v>0</v>
      </c>
      <c r="AQ181">
        <f t="shared" ca="1" si="129"/>
        <v>0</v>
      </c>
      <c r="AR181">
        <f t="shared" ca="1" si="130"/>
        <v>0</v>
      </c>
      <c r="AS181">
        <f t="shared" ca="1" si="131"/>
        <v>0</v>
      </c>
      <c r="AT181">
        <f t="shared" ca="1" si="132"/>
        <v>0</v>
      </c>
      <c r="AV181" t="e">
        <f t="shared" si="6"/>
        <v>#REF!</v>
      </c>
      <c r="AW181" t="e" cm="1">
        <f t="array" ref="AW181">INDEX(auto_DataFlat_Score,$AV181,1)</f>
        <v>#REF!</v>
      </c>
      <c r="AX181" t="e" cm="1">
        <f t="array" ref="AX181">INDEX(auto_DataFlat_DataValue,$AV181,1)</f>
        <v>#REF!</v>
      </c>
      <c r="BA181" t="str">
        <f t="shared" si="133"/>
        <v>n/a</v>
      </c>
      <c r="BB181">
        <f t="shared" si="134"/>
        <v>1</v>
      </c>
      <c r="BC181" t="e">
        <f t="shared" si="135"/>
        <v>#REF!</v>
      </c>
      <c r="BD181" t="e">
        <f t="shared" ca="1" si="153"/>
        <v>#N/A</v>
      </c>
      <c r="BE181" t="e">
        <f t="shared" ca="1" si="153"/>
        <v>#N/A</v>
      </c>
      <c r="BF181" t="e">
        <f t="shared" ca="1" si="153"/>
        <v>#N/A</v>
      </c>
      <c r="BH181">
        <f t="shared" ca="1" si="112"/>
        <v>0</v>
      </c>
      <c r="BI181">
        <f t="shared" ca="1" si="112"/>
        <v>0</v>
      </c>
      <c r="BJ181">
        <f t="shared" ca="1" si="112"/>
        <v>0</v>
      </c>
      <c r="BM181" t="e">
        <f t="shared" si="136"/>
        <v>#REF!</v>
      </c>
      <c r="BN181" t="e">
        <f t="shared" ca="1" si="137"/>
        <v>#N/A</v>
      </c>
      <c r="BO181" t="e">
        <f t="shared" ca="1" si="138"/>
        <v>#N/A</v>
      </c>
      <c r="BP181" t="e">
        <f t="shared" ca="1" si="139"/>
        <v>#N/A</v>
      </c>
      <c r="BQ181" t="e">
        <f t="shared" ca="1" si="140"/>
        <v>#N/A</v>
      </c>
      <c r="BR181" t="e">
        <f t="shared" ca="1" si="141"/>
        <v>#N/A</v>
      </c>
      <c r="BS181" t="e">
        <f t="shared" ca="1" si="142"/>
        <v>#N/A</v>
      </c>
      <c r="BT181" t="e">
        <f t="shared" ca="1" si="143"/>
        <v>#N/A</v>
      </c>
      <c r="BU181">
        <f t="shared" ca="1" si="144"/>
        <v>0</v>
      </c>
      <c r="BV181">
        <f t="shared" ca="1" si="145"/>
        <v>0</v>
      </c>
      <c r="BW181">
        <f t="shared" ca="1" si="146"/>
        <v>0</v>
      </c>
      <c r="BX181">
        <f t="shared" ca="1" si="147"/>
        <v>0</v>
      </c>
      <c r="BY181">
        <f t="shared" ca="1" si="148"/>
        <v>0</v>
      </c>
      <c r="BZ181">
        <f t="shared" ca="1" si="118"/>
        <v>0</v>
      </c>
      <c r="CA181">
        <f t="shared" ca="1" si="119"/>
        <v>0</v>
      </c>
    </row>
    <row r="182" spans="1:79" x14ac:dyDescent="0.4">
      <c r="A182" t="str">
        <f t="shared" si="152"/>
        <v>X</v>
      </c>
      <c r="B182">
        <v>171</v>
      </c>
      <c r="C182" t="e" cm="1">
        <f t="array" ref="C182">INDEX(auto_Series_Code,B182)</f>
        <v>#REF!</v>
      </c>
      <c r="D182" t="e" cm="1">
        <f t="array" ref="D182">INDEX(auto_tblSeries,$B182,D$11)</f>
        <v>#REF!</v>
      </c>
      <c r="E182" t="e" cm="1">
        <f t="array" ref="E182">INDEX(auto_tblSeries,$B182,E$11)</f>
        <v>#REF!</v>
      </c>
      <c r="F182" t="e" cm="1">
        <f t="array" ref="F182">INDEX(auto_tblSeries,$B182,F$11)</f>
        <v>#REF!</v>
      </c>
      <c r="G182" t="e" cm="1">
        <f t="array" ref="G182">INDEX(auto_tblSeries,$B182,G$11)</f>
        <v>#REF!</v>
      </c>
      <c r="H182" t="e" cm="1">
        <f t="array" ref="H182">INDEX(auto_tblSeries,$B182,H$11)</f>
        <v>#REF!</v>
      </c>
      <c r="I182" t="e">
        <f t="shared" si="70"/>
        <v>#REF!</v>
      </c>
      <c r="K182" t="e" cm="1">
        <f t="array" ref="K182">INDEX(auto_DataFlat_Score,$I182,K$10)</f>
        <v>#REF!</v>
      </c>
      <c r="L182" t="e" cm="1">
        <f t="array" ref="L182">INDEX(auto_DataFlat_Rank,$I182,L$10)</f>
        <v>#REF!</v>
      </c>
      <c r="M182" t="e" cm="1">
        <f t="array" ref="M182">INDEX(auto_DataFlat_DataValue,$I182,M$10)</f>
        <v>#REF!</v>
      </c>
      <c r="N182" t="e" cm="1">
        <f t="array" ref="N182">INDEX(auto_DataFlat_Classification,$I182,M$10)</f>
        <v>#REF!</v>
      </c>
      <c r="O182" t="e" cm="1">
        <f t="array" ref="O182">INDEX(auto_DataFlat_IsEstimate,$I182,O$10)</f>
        <v>#REF!</v>
      </c>
      <c r="P182" t="e" cm="1">
        <f t="array" ref="P182">IF(INDEX(auto_DataFlat_DataYear,$I182,P$10)=0,"n/a",INDEX(auto_DataFlat_DataYear,$I182,P$10))</f>
        <v>#REF!</v>
      </c>
      <c r="R182" t="e">
        <f t="shared" si="116"/>
        <v>#REF!</v>
      </c>
      <c r="S182" t="e" cm="1">
        <f t="array" ref="S182">INDEX(auto_DataFlat_Score,$R182,S$10)</f>
        <v>#REF!</v>
      </c>
      <c r="U182" t="str">
        <f t="shared" si="120"/>
        <v>n/a</v>
      </c>
      <c r="V182">
        <f t="shared" si="121"/>
        <v>1</v>
      </c>
      <c r="W182" t="e">
        <f t="shared" si="122"/>
        <v>#REF!</v>
      </c>
      <c r="X182" t="e">
        <f t="shared" ca="1" si="154"/>
        <v>#N/A</v>
      </c>
      <c r="Y182" t="e">
        <f t="shared" ca="1" si="154"/>
        <v>#N/A</v>
      </c>
      <c r="Z182" t="e">
        <f t="shared" ca="1" si="154"/>
        <v>#N/A</v>
      </c>
      <c r="AB182">
        <f t="shared" ca="1" si="111"/>
        <v>0</v>
      </c>
      <c r="AC182">
        <f t="shared" ca="1" si="111"/>
        <v>0</v>
      </c>
      <c r="AD182">
        <f t="shared" ca="1" si="111"/>
        <v>0</v>
      </c>
      <c r="AF182" t="e">
        <f t="shared" si="124"/>
        <v>#REF!</v>
      </c>
      <c r="AG182" t="e">
        <f t="shared" ca="1" si="155"/>
        <v>#N/A</v>
      </c>
      <c r="AH182" t="e">
        <f t="shared" ca="1" si="155"/>
        <v>#N/A</v>
      </c>
      <c r="AI182" t="e">
        <f t="shared" ca="1" si="155"/>
        <v>#N/A</v>
      </c>
      <c r="AJ182" t="e">
        <f t="shared" ca="1" si="155"/>
        <v>#N/A</v>
      </c>
      <c r="AK182" t="e">
        <f t="shared" ca="1" si="155"/>
        <v>#N/A</v>
      </c>
      <c r="AL182" t="e">
        <f t="shared" ca="1" si="155"/>
        <v>#N/A</v>
      </c>
      <c r="AM182" t="e">
        <f t="shared" ca="1" si="155"/>
        <v>#N/A</v>
      </c>
      <c r="AN182">
        <f t="shared" ca="1" si="126"/>
        <v>0</v>
      </c>
      <c r="AO182">
        <f t="shared" ca="1" si="127"/>
        <v>0</v>
      </c>
      <c r="AP182">
        <f t="shared" ca="1" si="128"/>
        <v>0</v>
      </c>
      <c r="AQ182">
        <f t="shared" ca="1" si="129"/>
        <v>0</v>
      </c>
      <c r="AR182">
        <f t="shared" ca="1" si="130"/>
        <v>0</v>
      </c>
      <c r="AS182">
        <f t="shared" ca="1" si="131"/>
        <v>0</v>
      </c>
      <c r="AT182">
        <f t="shared" ca="1" si="132"/>
        <v>0</v>
      </c>
      <c r="AV182" t="e">
        <f t="shared" si="6"/>
        <v>#REF!</v>
      </c>
      <c r="AW182" t="e" cm="1">
        <f t="array" ref="AW182">INDEX(auto_DataFlat_Score,$AV182,1)</f>
        <v>#REF!</v>
      </c>
      <c r="AX182" t="e" cm="1">
        <f t="array" ref="AX182">INDEX(auto_DataFlat_DataValue,$AV182,1)</f>
        <v>#REF!</v>
      </c>
      <c r="BA182" t="str">
        <f t="shared" si="133"/>
        <v>n/a</v>
      </c>
      <c r="BB182">
        <f t="shared" si="134"/>
        <v>1</v>
      </c>
      <c r="BC182" t="e">
        <f t="shared" si="135"/>
        <v>#REF!</v>
      </c>
      <c r="BD182" t="e">
        <f t="shared" ca="1" si="153"/>
        <v>#N/A</v>
      </c>
      <c r="BE182" t="e">
        <f t="shared" ca="1" si="153"/>
        <v>#N/A</v>
      </c>
      <c r="BF182" t="e">
        <f t="shared" ca="1" si="153"/>
        <v>#N/A</v>
      </c>
      <c r="BH182">
        <f t="shared" ca="1" si="112"/>
        <v>0</v>
      </c>
      <c r="BI182">
        <f t="shared" ca="1" si="112"/>
        <v>0</v>
      </c>
      <c r="BJ182">
        <f t="shared" ca="1" si="112"/>
        <v>0</v>
      </c>
      <c r="BM182" t="e">
        <f t="shared" si="136"/>
        <v>#REF!</v>
      </c>
      <c r="BN182" t="e">
        <f t="shared" ca="1" si="137"/>
        <v>#N/A</v>
      </c>
      <c r="BO182" t="e">
        <f t="shared" ca="1" si="138"/>
        <v>#N/A</v>
      </c>
      <c r="BP182" t="e">
        <f t="shared" ca="1" si="139"/>
        <v>#N/A</v>
      </c>
      <c r="BQ182" t="e">
        <f t="shared" ca="1" si="140"/>
        <v>#N/A</v>
      </c>
      <c r="BR182" t="e">
        <f t="shared" ca="1" si="141"/>
        <v>#N/A</v>
      </c>
      <c r="BS182" t="e">
        <f t="shared" ca="1" si="142"/>
        <v>#N/A</v>
      </c>
      <c r="BT182" t="e">
        <f t="shared" ca="1" si="143"/>
        <v>#N/A</v>
      </c>
      <c r="BU182">
        <f t="shared" ca="1" si="144"/>
        <v>0</v>
      </c>
      <c r="BV182">
        <f t="shared" ca="1" si="145"/>
        <v>0</v>
      </c>
      <c r="BW182">
        <f t="shared" ca="1" si="146"/>
        <v>0</v>
      </c>
      <c r="BX182">
        <f t="shared" ca="1" si="147"/>
        <v>0</v>
      </c>
      <c r="BY182">
        <f t="shared" ca="1" si="148"/>
        <v>0</v>
      </c>
      <c r="BZ182">
        <f t="shared" ca="1" si="118"/>
        <v>0</v>
      </c>
      <c r="CA182">
        <f t="shared" ca="1" si="119"/>
        <v>0</v>
      </c>
    </row>
    <row r="183" spans="1:79" x14ac:dyDescent="0.4">
      <c r="A183" t="str">
        <f t="shared" si="152"/>
        <v>X</v>
      </c>
      <c r="B183">
        <v>172</v>
      </c>
      <c r="C183" t="e" cm="1">
        <f t="array" ref="C183">INDEX(auto_Series_Code,B183)</f>
        <v>#REF!</v>
      </c>
      <c r="D183" t="e" cm="1">
        <f t="array" ref="D183">INDEX(auto_tblSeries,$B183,D$11)</f>
        <v>#REF!</v>
      </c>
      <c r="E183" t="e" cm="1">
        <f t="array" ref="E183">INDEX(auto_tblSeries,$B183,E$11)</f>
        <v>#REF!</v>
      </c>
      <c r="F183" t="e" cm="1">
        <f t="array" ref="F183">INDEX(auto_tblSeries,$B183,F$11)</f>
        <v>#REF!</v>
      </c>
      <c r="G183" t="e" cm="1">
        <f t="array" ref="G183">INDEX(auto_tblSeries,$B183,G$11)</f>
        <v>#REF!</v>
      </c>
      <c r="H183" t="e" cm="1">
        <f t="array" ref="H183">INDEX(auto_tblSeries,$B183,H$11)</f>
        <v>#REF!</v>
      </c>
      <c r="I183" t="e">
        <f t="shared" si="70"/>
        <v>#REF!</v>
      </c>
      <c r="K183" t="e" cm="1">
        <f t="array" ref="K183">INDEX(auto_DataFlat_Score,$I183,K$10)</f>
        <v>#REF!</v>
      </c>
      <c r="L183" t="e" cm="1">
        <f t="array" ref="L183">INDEX(auto_DataFlat_Rank,$I183,L$10)</f>
        <v>#REF!</v>
      </c>
      <c r="M183" t="e" cm="1">
        <f t="array" ref="M183">INDEX(auto_DataFlat_DataValue,$I183,M$10)</f>
        <v>#REF!</v>
      </c>
      <c r="N183" t="e" cm="1">
        <f t="array" ref="N183">INDEX(auto_DataFlat_Classification,$I183,M$10)</f>
        <v>#REF!</v>
      </c>
      <c r="O183" t="e" cm="1">
        <f t="array" ref="O183">INDEX(auto_DataFlat_IsEstimate,$I183,O$10)</f>
        <v>#REF!</v>
      </c>
      <c r="P183" t="e" cm="1">
        <f t="array" ref="P183">IF(INDEX(auto_DataFlat_DataYear,$I183,P$10)=0,"n/a",INDEX(auto_DataFlat_DataYear,$I183,P$10))</f>
        <v>#REF!</v>
      </c>
      <c r="R183" t="e">
        <f t="shared" si="116"/>
        <v>#REF!</v>
      </c>
      <c r="S183" t="e" cm="1">
        <f t="array" ref="S183">INDEX(auto_DataFlat_Score,$R183,S$10)</f>
        <v>#REF!</v>
      </c>
      <c r="U183" t="str">
        <f t="shared" si="120"/>
        <v>n/a</v>
      </c>
      <c r="V183">
        <f t="shared" si="121"/>
        <v>1</v>
      </c>
      <c r="W183" t="e">
        <f t="shared" si="122"/>
        <v>#REF!</v>
      </c>
      <c r="X183" t="e">
        <f t="shared" ca="1" si="154"/>
        <v>#N/A</v>
      </c>
      <c r="Y183" t="e">
        <f t="shared" ca="1" si="154"/>
        <v>#N/A</v>
      </c>
      <c r="Z183" t="e">
        <f t="shared" ca="1" si="154"/>
        <v>#N/A</v>
      </c>
      <c r="AB183">
        <f t="shared" ca="1" si="111"/>
        <v>0</v>
      </c>
      <c r="AC183">
        <f t="shared" ca="1" si="111"/>
        <v>0</v>
      </c>
      <c r="AD183">
        <f t="shared" ca="1" si="111"/>
        <v>0</v>
      </c>
      <c r="AF183" t="e">
        <f t="shared" si="124"/>
        <v>#REF!</v>
      </c>
      <c r="AG183" t="e">
        <f t="shared" ca="1" si="155"/>
        <v>#N/A</v>
      </c>
      <c r="AH183" t="e">
        <f t="shared" ca="1" si="155"/>
        <v>#N/A</v>
      </c>
      <c r="AI183" t="e">
        <f t="shared" ca="1" si="155"/>
        <v>#N/A</v>
      </c>
      <c r="AJ183" t="e">
        <f t="shared" ca="1" si="155"/>
        <v>#N/A</v>
      </c>
      <c r="AK183" t="e">
        <f t="shared" ca="1" si="155"/>
        <v>#N/A</v>
      </c>
      <c r="AL183" t="e">
        <f t="shared" ca="1" si="155"/>
        <v>#N/A</v>
      </c>
      <c r="AM183" t="e">
        <f t="shared" ca="1" si="155"/>
        <v>#N/A</v>
      </c>
      <c r="AN183">
        <f t="shared" ca="1" si="126"/>
        <v>0</v>
      </c>
      <c r="AO183">
        <f t="shared" ca="1" si="127"/>
        <v>0</v>
      </c>
      <c r="AP183">
        <f t="shared" ca="1" si="128"/>
        <v>0</v>
      </c>
      <c r="AQ183">
        <f t="shared" ca="1" si="129"/>
        <v>0</v>
      </c>
      <c r="AR183">
        <f t="shared" ca="1" si="130"/>
        <v>0</v>
      </c>
      <c r="AS183">
        <f t="shared" ca="1" si="131"/>
        <v>0</v>
      </c>
      <c r="AT183">
        <f t="shared" ca="1" si="132"/>
        <v>0</v>
      </c>
      <c r="AV183" t="e">
        <f t="shared" si="6"/>
        <v>#REF!</v>
      </c>
      <c r="AW183" t="e" cm="1">
        <f t="array" ref="AW183">INDEX(auto_DataFlat_Score,$AV183,1)</f>
        <v>#REF!</v>
      </c>
      <c r="AX183" t="e" cm="1">
        <f t="array" ref="AX183">INDEX(auto_DataFlat_DataValue,$AV183,1)</f>
        <v>#REF!</v>
      </c>
      <c r="BA183" t="str">
        <f t="shared" si="133"/>
        <v>n/a</v>
      </c>
      <c r="BB183">
        <f t="shared" si="134"/>
        <v>1</v>
      </c>
      <c r="BC183" t="e">
        <f t="shared" si="135"/>
        <v>#REF!</v>
      </c>
      <c r="BD183" t="e">
        <f t="shared" ca="1" si="153"/>
        <v>#N/A</v>
      </c>
      <c r="BE183" t="e">
        <f t="shared" ca="1" si="153"/>
        <v>#N/A</v>
      </c>
      <c r="BF183" t="e">
        <f t="shared" ca="1" si="153"/>
        <v>#N/A</v>
      </c>
      <c r="BH183">
        <f t="shared" ca="1" si="112"/>
        <v>0</v>
      </c>
      <c r="BI183">
        <f t="shared" ca="1" si="112"/>
        <v>0</v>
      </c>
      <c r="BJ183">
        <f t="shared" ca="1" si="112"/>
        <v>0</v>
      </c>
      <c r="BM183" t="e">
        <f t="shared" si="136"/>
        <v>#REF!</v>
      </c>
      <c r="BN183" t="e">
        <f t="shared" ca="1" si="137"/>
        <v>#N/A</v>
      </c>
      <c r="BO183" t="e">
        <f t="shared" ca="1" si="138"/>
        <v>#N/A</v>
      </c>
      <c r="BP183" t="e">
        <f t="shared" ca="1" si="139"/>
        <v>#N/A</v>
      </c>
      <c r="BQ183" t="e">
        <f t="shared" ca="1" si="140"/>
        <v>#N/A</v>
      </c>
      <c r="BR183" t="e">
        <f t="shared" ca="1" si="141"/>
        <v>#N/A</v>
      </c>
      <c r="BS183" t="e">
        <f t="shared" ca="1" si="142"/>
        <v>#N/A</v>
      </c>
      <c r="BT183" t="e">
        <f t="shared" ca="1" si="143"/>
        <v>#N/A</v>
      </c>
      <c r="BU183">
        <f t="shared" ca="1" si="144"/>
        <v>0</v>
      </c>
      <c r="BV183">
        <f t="shared" ca="1" si="145"/>
        <v>0</v>
      </c>
      <c r="BW183">
        <f t="shared" ca="1" si="146"/>
        <v>0</v>
      </c>
      <c r="BX183">
        <f t="shared" ca="1" si="147"/>
        <v>0</v>
      </c>
      <c r="BY183">
        <f t="shared" ca="1" si="148"/>
        <v>0</v>
      </c>
      <c r="BZ183">
        <f t="shared" ca="1" si="118"/>
        <v>0</v>
      </c>
      <c r="CA183">
        <f t="shared" ca="1" si="119"/>
        <v>0</v>
      </c>
    </row>
    <row r="184" spans="1:79" x14ac:dyDescent="0.4">
      <c r="A184" t="str">
        <f t="shared" si="152"/>
        <v>X</v>
      </c>
      <c r="B184">
        <v>173</v>
      </c>
      <c r="C184" t="e" cm="1">
        <f t="array" ref="C184">INDEX(auto_Series_Code,B184)</f>
        <v>#REF!</v>
      </c>
      <c r="D184" t="e" cm="1">
        <f t="array" ref="D184">INDEX(auto_tblSeries,$B184,D$11)</f>
        <v>#REF!</v>
      </c>
      <c r="E184" t="e" cm="1">
        <f t="array" ref="E184">INDEX(auto_tblSeries,$B184,E$11)</f>
        <v>#REF!</v>
      </c>
      <c r="F184" t="e" cm="1">
        <f t="array" ref="F184">INDEX(auto_tblSeries,$B184,F$11)</f>
        <v>#REF!</v>
      </c>
      <c r="G184" t="e" cm="1">
        <f t="array" ref="G184">INDEX(auto_tblSeries,$B184,G$11)</f>
        <v>#REF!</v>
      </c>
      <c r="H184" t="e" cm="1">
        <f t="array" ref="H184">INDEX(auto_tblSeries,$B184,H$11)</f>
        <v>#REF!</v>
      </c>
      <c r="I184" t="e">
        <f t="shared" si="70"/>
        <v>#REF!</v>
      </c>
      <c r="K184" t="e" cm="1">
        <f t="array" ref="K184">INDEX(auto_DataFlat_Score,$I184,K$10)</f>
        <v>#REF!</v>
      </c>
      <c r="L184" t="e" cm="1">
        <f t="array" ref="L184">INDEX(auto_DataFlat_Rank,$I184,L$10)</f>
        <v>#REF!</v>
      </c>
      <c r="M184" t="e" cm="1">
        <f t="array" ref="M184">INDEX(auto_DataFlat_DataValue,$I184,M$10)</f>
        <v>#REF!</v>
      </c>
      <c r="N184" t="e" cm="1">
        <f t="array" ref="N184">INDEX(auto_DataFlat_Classification,$I184,M$10)</f>
        <v>#REF!</v>
      </c>
      <c r="O184" t="e" cm="1">
        <f t="array" ref="O184">INDEX(auto_DataFlat_IsEstimate,$I184,O$10)</f>
        <v>#REF!</v>
      </c>
      <c r="P184" t="e" cm="1">
        <f t="array" ref="P184">IF(INDEX(auto_DataFlat_DataYear,$I184,P$10)=0,"n/a",INDEX(auto_DataFlat_DataYear,$I184,P$10))</f>
        <v>#REF!</v>
      </c>
      <c r="R184" t="e">
        <f t="shared" si="116"/>
        <v>#REF!</v>
      </c>
      <c r="S184" t="e" cm="1">
        <f t="array" ref="S184">INDEX(auto_DataFlat_Score,$R184,S$10)</f>
        <v>#REF!</v>
      </c>
      <c r="U184" t="str">
        <f t="shared" si="120"/>
        <v>n/a</v>
      </c>
      <c r="V184">
        <f t="shared" si="121"/>
        <v>1</v>
      </c>
      <c r="W184" t="e">
        <f t="shared" si="122"/>
        <v>#REF!</v>
      </c>
      <c r="X184" t="e">
        <f t="shared" ca="1" si="154"/>
        <v>#N/A</v>
      </c>
      <c r="Y184" t="e">
        <f t="shared" ca="1" si="154"/>
        <v>#N/A</v>
      </c>
      <c r="Z184" t="e">
        <f t="shared" ca="1" si="154"/>
        <v>#N/A</v>
      </c>
      <c r="AB184">
        <f t="shared" ca="1" si="111"/>
        <v>0</v>
      </c>
      <c r="AC184">
        <f t="shared" ca="1" si="111"/>
        <v>0</v>
      </c>
      <c r="AD184">
        <f t="shared" ca="1" si="111"/>
        <v>0</v>
      </c>
      <c r="AF184" t="e">
        <f t="shared" si="124"/>
        <v>#REF!</v>
      </c>
      <c r="AG184" t="e">
        <f t="shared" ca="1" si="155"/>
        <v>#N/A</v>
      </c>
      <c r="AH184" t="e">
        <f t="shared" ca="1" si="155"/>
        <v>#N/A</v>
      </c>
      <c r="AI184" t="e">
        <f t="shared" ca="1" si="155"/>
        <v>#N/A</v>
      </c>
      <c r="AJ184" t="e">
        <f t="shared" ca="1" si="155"/>
        <v>#N/A</v>
      </c>
      <c r="AK184" t="e">
        <f t="shared" ca="1" si="155"/>
        <v>#N/A</v>
      </c>
      <c r="AL184" t="e">
        <f t="shared" ca="1" si="155"/>
        <v>#N/A</v>
      </c>
      <c r="AM184" t="e">
        <f t="shared" ca="1" si="155"/>
        <v>#N/A</v>
      </c>
      <c r="AN184">
        <f t="shared" ca="1" si="126"/>
        <v>0</v>
      </c>
      <c r="AO184">
        <f t="shared" ca="1" si="127"/>
        <v>0</v>
      </c>
      <c r="AP184">
        <f t="shared" ca="1" si="128"/>
        <v>0</v>
      </c>
      <c r="AQ184">
        <f t="shared" ca="1" si="129"/>
        <v>0</v>
      </c>
      <c r="AR184">
        <f t="shared" ca="1" si="130"/>
        <v>0</v>
      </c>
      <c r="AS184">
        <f t="shared" ca="1" si="131"/>
        <v>0</v>
      </c>
      <c r="AT184">
        <f t="shared" ca="1" si="132"/>
        <v>0</v>
      </c>
      <c r="AV184" t="e">
        <f t="shared" si="6"/>
        <v>#REF!</v>
      </c>
      <c r="AW184" t="e" cm="1">
        <f t="array" ref="AW184">INDEX(auto_DataFlat_Score,$AV184,1)</f>
        <v>#REF!</v>
      </c>
      <c r="AX184" t="e" cm="1">
        <f t="array" ref="AX184">INDEX(auto_DataFlat_DataValue,$AV184,1)</f>
        <v>#REF!</v>
      </c>
      <c r="BA184" t="str">
        <f t="shared" si="133"/>
        <v>n/a</v>
      </c>
      <c r="BB184">
        <f t="shared" si="134"/>
        <v>1</v>
      </c>
      <c r="BC184" t="e">
        <f t="shared" si="135"/>
        <v>#REF!</v>
      </c>
      <c r="BD184" t="e">
        <f t="shared" ca="1" si="153"/>
        <v>#N/A</v>
      </c>
      <c r="BE184" t="e">
        <f t="shared" ca="1" si="153"/>
        <v>#N/A</v>
      </c>
      <c r="BF184" t="e">
        <f t="shared" ca="1" si="153"/>
        <v>#N/A</v>
      </c>
      <c r="BH184">
        <f t="shared" ca="1" si="112"/>
        <v>0</v>
      </c>
      <c r="BI184">
        <f t="shared" ca="1" si="112"/>
        <v>0</v>
      </c>
      <c r="BJ184">
        <f t="shared" ca="1" si="112"/>
        <v>0</v>
      </c>
      <c r="BM184" t="e">
        <f t="shared" si="136"/>
        <v>#REF!</v>
      </c>
      <c r="BN184" t="e">
        <f t="shared" ca="1" si="137"/>
        <v>#N/A</v>
      </c>
      <c r="BO184" t="e">
        <f t="shared" ca="1" si="138"/>
        <v>#N/A</v>
      </c>
      <c r="BP184" t="e">
        <f t="shared" ca="1" si="139"/>
        <v>#N/A</v>
      </c>
      <c r="BQ184" t="e">
        <f t="shared" ca="1" si="140"/>
        <v>#N/A</v>
      </c>
      <c r="BR184" t="e">
        <f t="shared" ca="1" si="141"/>
        <v>#N/A</v>
      </c>
      <c r="BS184" t="e">
        <f t="shared" ca="1" si="142"/>
        <v>#N/A</v>
      </c>
      <c r="BT184" t="e">
        <f t="shared" ca="1" si="143"/>
        <v>#N/A</v>
      </c>
      <c r="BU184">
        <f t="shared" ca="1" si="144"/>
        <v>0</v>
      </c>
      <c r="BV184">
        <f t="shared" ca="1" si="145"/>
        <v>0</v>
      </c>
      <c r="BW184">
        <f t="shared" ca="1" si="146"/>
        <v>0</v>
      </c>
      <c r="BX184">
        <f t="shared" ca="1" si="147"/>
        <v>0</v>
      </c>
      <c r="BY184">
        <f t="shared" ca="1" si="148"/>
        <v>0</v>
      </c>
      <c r="BZ184">
        <f t="shared" ca="1" si="118"/>
        <v>0</v>
      </c>
      <c r="CA184">
        <f t="shared" ca="1" si="119"/>
        <v>0</v>
      </c>
    </row>
    <row r="185" spans="1:79" x14ac:dyDescent="0.4">
      <c r="A185" t="str">
        <f t="shared" si="152"/>
        <v>X</v>
      </c>
      <c r="B185">
        <v>174</v>
      </c>
      <c r="C185" t="e" cm="1">
        <f t="array" ref="C185">INDEX(auto_Series_Code,B185)</f>
        <v>#REF!</v>
      </c>
      <c r="D185" t="e" cm="1">
        <f t="array" ref="D185">INDEX(auto_tblSeries,$B185,D$11)</f>
        <v>#REF!</v>
      </c>
      <c r="E185" t="e" cm="1">
        <f t="array" ref="E185">INDEX(auto_tblSeries,$B185,E$11)</f>
        <v>#REF!</v>
      </c>
      <c r="F185" t="e" cm="1">
        <f t="array" ref="F185">INDEX(auto_tblSeries,$B185,F$11)</f>
        <v>#REF!</v>
      </c>
      <c r="G185" t="e" cm="1">
        <f t="array" ref="G185">INDEX(auto_tblSeries,$B185,G$11)</f>
        <v>#REF!</v>
      </c>
      <c r="H185" t="e" cm="1">
        <f t="array" ref="H185">INDEX(auto_tblSeries,$B185,H$11)</f>
        <v>#REF!</v>
      </c>
      <c r="I185" t="e">
        <f t="shared" si="70"/>
        <v>#REF!</v>
      </c>
      <c r="K185" t="e" cm="1">
        <f t="array" ref="K185">INDEX(auto_DataFlat_Score,$I185,K$10)</f>
        <v>#REF!</v>
      </c>
      <c r="L185" t="e" cm="1">
        <f t="array" ref="L185">INDEX(auto_DataFlat_Rank,$I185,L$10)</f>
        <v>#REF!</v>
      </c>
      <c r="M185" t="e" cm="1">
        <f t="array" ref="M185">INDEX(auto_DataFlat_DataValue,$I185,M$10)</f>
        <v>#REF!</v>
      </c>
      <c r="N185" t="e" cm="1">
        <f t="array" ref="N185">INDEX(auto_DataFlat_Classification,$I185,M$10)</f>
        <v>#REF!</v>
      </c>
      <c r="O185" t="e" cm="1">
        <f t="array" ref="O185">INDEX(auto_DataFlat_IsEstimate,$I185,O$10)</f>
        <v>#REF!</v>
      </c>
      <c r="P185" t="e" cm="1">
        <f t="array" ref="P185">IF(INDEX(auto_DataFlat_DataYear,$I185,P$10)=0,"n/a",INDEX(auto_DataFlat_DataYear,$I185,P$10))</f>
        <v>#REF!</v>
      </c>
      <c r="R185" t="e">
        <f t="shared" si="116"/>
        <v>#REF!</v>
      </c>
      <c r="S185" t="e" cm="1">
        <f t="array" ref="S185">INDEX(auto_DataFlat_Score,$R185,S$10)</f>
        <v>#REF!</v>
      </c>
      <c r="U185" t="str">
        <f t="shared" si="120"/>
        <v>n/a</v>
      </c>
      <c r="V185">
        <f t="shared" si="121"/>
        <v>1</v>
      </c>
      <c r="W185" t="e">
        <f t="shared" si="122"/>
        <v>#REF!</v>
      </c>
      <c r="X185" t="e">
        <f t="shared" ca="1" si="154"/>
        <v>#N/A</v>
      </c>
      <c r="Y185" t="e">
        <f t="shared" ca="1" si="154"/>
        <v>#N/A</v>
      </c>
      <c r="Z185" t="e">
        <f t="shared" ca="1" si="154"/>
        <v>#N/A</v>
      </c>
      <c r="AB185">
        <f t="shared" ref="AB185:AD248" ca="1" si="156">IFERROR(X185,0)</f>
        <v>0</v>
      </c>
      <c r="AC185">
        <f t="shared" ca="1" si="156"/>
        <v>0</v>
      </c>
      <c r="AD185">
        <f t="shared" ca="1" si="156"/>
        <v>0</v>
      </c>
      <c r="AF185" t="e">
        <f t="shared" si="124"/>
        <v>#REF!</v>
      </c>
      <c r="AG185" t="e">
        <f t="shared" ca="1" si="155"/>
        <v>#N/A</v>
      </c>
      <c r="AH185" t="e">
        <f t="shared" ca="1" si="155"/>
        <v>#N/A</v>
      </c>
      <c r="AI185" t="e">
        <f t="shared" ca="1" si="155"/>
        <v>#N/A</v>
      </c>
      <c r="AJ185" t="e">
        <f t="shared" ca="1" si="155"/>
        <v>#N/A</v>
      </c>
      <c r="AK185" t="e">
        <f t="shared" ca="1" si="155"/>
        <v>#N/A</v>
      </c>
      <c r="AL185" t="e">
        <f t="shared" ca="1" si="155"/>
        <v>#N/A</v>
      </c>
      <c r="AM185" t="e">
        <f t="shared" ca="1" si="155"/>
        <v>#N/A</v>
      </c>
      <c r="AN185">
        <f t="shared" ca="1" si="126"/>
        <v>0</v>
      </c>
      <c r="AO185">
        <f t="shared" ca="1" si="127"/>
        <v>0</v>
      </c>
      <c r="AP185">
        <f t="shared" ca="1" si="128"/>
        <v>0</v>
      </c>
      <c r="AQ185">
        <f t="shared" ca="1" si="129"/>
        <v>0</v>
      </c>
      <c r="AR185">
        <f t="shared" ca="1" si="130"/>
        <v>0</v>
      </c>
      <c r="AS185">
        <f t="shared" ca="1" si="131"/>
        <v>0</v>
      </c>
      <c r="AT185">
        <f t="shared" ca="1" si="132"/>
        <v>0</v>
      </c>
      <c r="AV185" t="e">
        <f t="shared" si="6"/>
        <v>#REF!</v>
      </c>
      <c r="AW185" t="e" cm="1">
        <f t="array" ref="AW185">INDEX(auto_DataFlat_Score,$AV185,1)</f>
        <v>#REF!</v>
      </c>
      <c r="AX185" t="e" cm="1">
        <f t="array" ref="AX185">INDEX(auto_DataFlat_DataValue,$AV185,1)</f>
        <v>#REF!</v>
      </c>
      <c r="BA185" t="str">
        <f t="shared" si="133"/>
        <v>n/a</v>
      </c>
      <c r="BB185">
        <f t="shared" si="134"/>
        <v>1</v>
      </c>
      <c r="BC185" t="e">
        <f t="shared" si="135"/>
        <v>#REF!</v>
      </c>
      <c r="BD185" t="e">
        <f t="shared" ca="1" si="153"/>
        <v>#N/A</v>
      </c>
      <c r="BE185" t="e">
        <f t="shared" ca="1" si="153"/>
        <v>#N/A</v>
      </c>
      <c r="BF185" t="e">
        <f t="shared" ca="1" si="153"/>
        <v>#N/A</v>
      </c>
      <c r="BH185">
        <f t="shared" ref="BH185:BJ248" ca="1" si="157">IFERROR(BD185,0)</f>
        <v>0</v>
      </c>
      <c r="BI185">
        <f t="shared" ca="1" si="157"/>
        <v>0</v>
      </c>
      <c r="BJ185">
        <f t="shared" ca="1" si="157"/>
        <v>0</v>
      </c>
      <c r="BM185" t="e">
        <f t="shared" si="136"/>
        <v>#REF!</v>
      </c>
      <c r="BN185" t="e">
        <f t="shared" ca="1" si="137"/>
        <v>#N/A</v>
      </c>
      <c r="BO185" t="e">
        <f t="shared" ca="1" si="138"/>
        <v>#N/A</v>
      </c>
      <c r="BP185" t="e">
        <f t="shared" ca="1" si="139"/>
        <v>#N/A</v>
      </c>
      <c r="BQ185" t="e">
        <f t="shared" ca="1" si="140"/>
        <v>#N/A</v>
      </c>
      <c r="BR185" t="e">
        <f t="shared" ca="1" si="141"/>
        <v>#N/A</v>
      </c>
      <c r="BS185" t="e">
        <f t="shared" ca="1" si="142"/>
        <v>#N/A</v>
      </c>
      <c r="BT185" t="e">
        <f t="shared" ca="1" si="143"/>
        <v>#N/A</v>
      </c>
      <c r="BU185">
        <f t="shared" ca="1" si="144"/>
        <v>0</v>
      </c>
      <c r="BV185">
        <f t="shared" ca="1" si="145"/>
        <v>0</v>
      </c>
      <c r="BW185">
        <f t="shared" ca="1" si="146"/>
        <v>0</v>
      </c>
      <c r="BX185">
        <f t="shared" ca="1" si="147"/>
        <v>0</v>
      </c>
      <c r="BY185">
        <f t="shared" ca="1" si="148"/>
        <v>0</v>
      </c>
      <c r="BZ185">
        <f t="shared" ca="1" si="118"/>
        <v>0</v>
      </c>
      <c r="CA185">
        <f t="shared" ca="1" si="119"/>
        <v>0</v>
      </c>
    </row>
    <row r="186" spans="1:79" x14ac:dyDescent="0.4">
      <c r="A186" t="str">
        <f t="shared" si="152"/>
        <v>X</v>
      </c>
      <c r="B186">
        <v>175</v>
      </c>
      <c r="C186" t="e" cm="1">
        <f t="array" ref="C186">INDEX(auto_Series_Code,B186)</f>
        <v>#REF!</v>
      </c>
      <c r="D186" t="e" cm="1">
        <f t="array" ref="D186">INDEX(auto_tblSeries,$B186,D$11)</f>
        <v>#REF!</v>
      </c>
      <c r="E186" t="e" cm="1">
        <f t="array" ref="E186">INDEX(auto_tblSeries,$B186,E$11)</f>
        <v>#REF!</v>
      </c>
      <c r="F186" t="e" cm="1">
        <f t="array" ref="F186">INDEX(auto_tblSeries,$B186,F$11)</f>
        <v>#REF!</v>
      </c>
      <c r="G186" t="e" cm="1">
        <f t="array" ref="G186">INDEX(auto_tblSeries,$B186,G$11)</f>
        <v>#REF!</v>
      </c>
      <c r="H186" t="e" cm="1">
        <f t="array" ref="H186">INDEX(auto_tblSeries,$B186,H$11)</f>
        <v>#REF!</v>
      </c>
      <c r="I186" t="e">
        <f t="shared" si="70"/>
        <v>#REF!</v>
      </c>
      <c r="K186" t="e" cm="1">
        <f t="array" ref="K186">INDEX(auto_DataFlat_Score,$I186,K$10)</f>
        <v>#REF!</v>
      </c>
      <c r="L186" t="e" cm="1">
        <f t="array" ref="L186">INDEX(auto_DataFlat_Rank,$I186,L$10)</f>
        <v>#REF!</v>
      </c>
      <c r="M186" t="e" cm="1">
        <f t="array" ref="M186">INDEX(auto_DataFlat_DataValue,$I186,M$10)</f>
        <v>#REF!</v>
      </c>
      <c r="N186" t="e" cm="1">
        <f t="array" ref="N186">INDEX(auto_DataFlat_Classification,$I186,M$10)</f>
        <v>#REF!</v>
      </c>
      <c r="O186" t="e" cm="1">
        <f t="array" ref="O186">INDEX(auto_DataFlat_IsEstimate,$I186,O$10)</f>
        <v>#REF!</v>
      </c>
      <c r="P186" t="e" cm="1">
        <f t="array" ref="P186">IF(INDEX(auto_DataFlat_DataYear,$I186,P$10)=0,"n/a",INDEX(auto_DataFlat_DataYear,$I186,P$10))</f>
        <v>#REF!</v>
      </c>
      <c r="R186" t="e">
        <f t="shared" si="116"/>
        <v>#REF!</v>
      </c>
      <c r="S186" t="e" cm="1">
        <f t="array" ref="S186">INDEX(auto_DataFlat_Score,$R186,S$10)</f>
        <v>#REF!</v>
      </c>
      <c r="U186" t="str">
        <f t="shared" si="120"/>
        <v>n/a</v>
      </c>
      <c r="V186">
        <f t="shared" si="121"/>
        <v>1</v>
      </c>
      <c r="W186" t="e">
        <f t="shared" si="122"/>
        <v>#REF!</v>
      </c>
      <c r="X186" t="e">
        <f t="shared" ca="1" si="154"/>
        <v>#N/A</v>
      </c>
      <c r="Y186" t="e">
        <f t="shared" ca="1" si="154"/>
        <v>#N/A</v>
      </c>
      <c r="Z186" t="e">
        <f t="shared" ca="1" si="154"/>
        <v>#N/A</v>
      </c>
      <c r="AB186">
        <f t="shared" ca="1" si="156"/>
        <v>0</v>
      </c>
      <c r="AC186">
        <f t="shared" ca="1" si="156"/>
        <v>0</v>
      </c>
      <c r="AD186">
        <f t="shared" ca="1" si="156"/>
        <v>0</v>
      </c>
      <c r="AF186" t="e">
        <f t="shared" si="124"/>
        <v>#REF!</v>
      </c>
      <c r="AG186" t="e">
        <f t="shared" ca="1" si="155"/>
        <v>#N/A</v>
      </c>
      <c r="AH186" t="e">
        <f t="shared" ca="1" si="155"/>
        <v>#N/A</v>
      </c>
      <c r="AI186" t="e">
        <f t="shared" ca="1" si="155"/>
        <v>#N/A</v>
      </c>
      <c r="AJ186" t="e">
        <f t="shared" ca="1" si="155"/>
        <v>#N/A</v>
      </c>
      <c r="AK186" t="e">
        <f t="shared" ca="1" si="155"/>
        <v>#N/A</v>
      </c>
      <c r="AL186" t="e">
        <f t="shared" ca="1" si="155"/>
        <v>#N/A</v>
      </c>
      <c r="AM186" t="e">
        <f t="shared" ca="1" si="155"/>
        <v>#N/A</v>
      </c>
      <c r="AN186">
        <f t="shared" ca="1" si="126"/>
        <v>0</v>
      </c>
      <c r="AO186">
        <f t="shared" ca="1" si="127"/>
        <v>0</v>
      </c>
      <c r="AP186">
        <f t="shared" ca="1" si="128"/>
        <v>0</v>
      </c>
      <c r="AQ186">
        <f t="shared" ca="1" si="129"/>
        <v>0</v>
      </c>
      <c r="AR186">
        <f t="shared" ca="1" si="130"/>
        <v>0</v>
      </c>
      <c r="AS186">
        <f t="shared" ca="1" si="131"/>
        <v>0</v>
      </c>
      <c r="AT186">
        <f t="shared" ca="1" si="132"/>
        <v>0</v>
      </c>
      <c r="AV186" t="e">
        <f t="shared" si="6"/>
        <v>#REF!</v>
      </c>
      <c r="AW186" t="e" cm="1">
        <f t="array" ref="AW186">INDEX(auto_DataFlat_Score,$AV186,1)</f>
        <v>#REF!</v>
      </c>
      <c r="AX186" t="e" cm="1">
        <f t="array" ref="AX186">INDEX(auto_DataFlat_DataValue,$AV186,1)</f>
        <v>#REF!</v>
      </c>
      <c r="BA186" t="str">
        <f t="shared" si="133"/>
        <v>n/a</v>
      </c>
      <c r="BB186">
        <f t="shared" si="134"/>
        <v>1</v>
      </c>
      <c r="BC186" t="e">
        <f t="shared" si="135"/>
        <v>#REF!</v>
      </c>
      <c r="BD186" t="e">
        <f t="shared" ca="1" si="153"/>
        <v>#N/A</v>
      </c>
      <c r="BE186" t="e">
        <f t="shared" ca="1" si="153"/>
        <v>#N/A</v>
      </c>
      <c r="BF186" t="e">
        <f t="shared" ca="1" si="153"/>
        <v>#N/A</v>
      </c>
      <c r="BH186">
        <f t="shared" ca="1" si="157"/>
        <v>0</v>
      </c>
      <c r="BI186">
        <f t="shared" ca="1" si="157"/>
        <v>0</v>
      </c>
      <c r="BJ186">
        <f t="shared" ca="1" si="157"/>
        <v>0</v>
      </c>
      <c r="BM186" t="e">
        <f t="shared" si="136"/>
        <v>#REF!</v>
      </c>
      <c r="BN186" t="e">
        <f t="shared" ca="1" si="137"/>
        <v>#N/A</v>
      </c>
      <c r="BO186" t="e">
        <f t="shared" ca="1" si="138"/>
        <v>#N/A</v>
      </c>
      <c r="BP186" t="e">
        <f t="shared" ca="1" si="139"/>
        <v>#N/A</v>
      </c>
      <c r="BQ186" t="e">
        <f t="shared" ca="1" si="140"/>
        <v>#N/A</v>
      </c>
      <c r="BR186" t="e">
        <f t="shared" ca="1" si="141"/>
        <v>#N/A</v>
      </c>
      <c r="BS186" t="e">
        <f t="shared" ca="1" si="142"/>
        <v>#N/A</v>
      </c>
      <c r="BT186" t="e">
        <f t="shared" ca="1" si="143"/>
        <v>#N/A</v>
      </c>
      <c r="BU186">
        <f t="shared" ca="1" si="144"/>
        <v>0</v>
      </c>
      <c r="BV186">
        <f t="shared" ca="1" si="145"/>
        <v>0</v>
      </c>
      <c r="BW186">
        <f t="shared" ca="1" si="146"/>
        <v>0</v>
      </c>
      <c r="BX186">
        <f t="shared" ca="1" si="147"/>
        <v>0</v>
      </c>
      <c r="BY186">
        <f t="shared" ca="1" si="148"/>
        <v>0</v>
      </c>
      <c r="BZ186">
        <f t="shared" ca="1" si="118"/>
        <v>0</v>
      </c>
      <c r="CA186">
        <f t="shared" ca="1" si="119"/>
        <v>0</v>
      </c>
    </row>
    <row r="187" spans="1:79" x14ac:dyDescent="0.4">
      <c r="A187" t="str">
        <f t="shared" si="152"/>
        <v>X</v>
      </c>
      <c r="B187">
        <v>176</v>
      </c>
      <c r="C187" t="e" cm="1">
        <f t="array" ref="C187">INDEX(auto_Series_Code,B187)</f>
        <v>#REF!</v>
      </c>
      <c r="D187" t="e" cm="1">
        <f t="array" ref="D187">INDEX(auto_tblSeries,$B187,D$11)</f>
        <v>#REF!</v>
      </c>
      <c r="E187" t="e" cm="1">
        <f t="array" ref="E187">INDEX(auto_tblSeries,$B187,E$11)</f>
        <v>#REF!</v>
      </c>
      <c r="F187" t="e" cm="1">
        <f t="array" ref="F187">INDEX(auto_tblSeries,$B187,F$11)</f>
        <v>#REF!</v>
      </c>
      <c r="G187" t="e" cm="1">
        <f t="array" ref="G187">INDEX(auto_tblSeries,$B187,G$11)</f>
        <v>#REF!</v>
      </c>
      <c r="H187" t="e" cm="1">
        <f t="array" ref="H187">INDEX(auto_tblSeries,$B187,H$11)</f>
        <v>#REF!</v>
      </c>
      <c r="I187" t="e">
        <f t="shared" si="70"/>
        <v>#REF!</v>
      </c>
      <c r="K187" t="e" cm="1">
        <f t="array" ref="K187">INDEX(auto_DataFlat_Score,$I187,K$10)</f>
        <v>#REF!</v>
      </c>
      <c r="L187" t="e" cm="1">
        <f t="array" ref="L187">INDEX(auto_DataFlat_Rank,$I187,L$10)</f>
        <v>#REF!</v>
      </c>
      <c r="M187" t="e" cm="1">
        <f t="array" ref="M187">INDEX(auto_DataFlat_DataValue,$I187,M$10)</f>
        <v>#REF!</v>
      </c>
      <c r="N187" t="e" cm="1">
        <f t="array" ref="N187">INDEX(auto_DataFlat_Classification,$I187,M$10)</f>
        <v>#REF!</v>
      </c>
      <c r="O187" t="e" cm="1">
        <f t="array" ref="O187">INDEX(auto_DataFlat_IsEstimate,$I187,O$10)</f>
        <v>#REF!</v>
      </c>
      <c r="P187" t="e" cm="1">
        <f t="array" ref="P187">IF(INDEX(auto_DataFlat_DataYear,$I187,P$10)=0,"n/a",INDEX(auto_DataFlat_DataYear,$I187,P$10))</f>
        <v>#REF!</v>
      </c>
      <c r="R187" t="e">
        <f t="shared" si="116"/>
        <v>#REF!</v>
      </c>
      <c r="S187" t="e" cm="1">
        <f t="array" ref="S187">INDEX(auto_DataFlat_Score,$R187,S$10)</f>
        <v>#REF!</v>
      </c>
      <c r="U187" t="str">
        <f t="shared" si="120"/>
        <v>n/a</v>
      </c>
      <c r="V187">
        <f t="shared" si="121"/>
        <v>1</v>
      </c>
      <c r="W187" t="e">
        <f t="shared" si="122"/>
        <v>#REF!</v>
      </c>
      <c r="X187" t="e">
        <f t="shared" ca="1" si="154"/>
        <v>#N/A</v>
      </c>
      <c r="Y187" t="e">
        <f t="shared" ca="1" si="154"/>
        <v>#N/A</v>
      </c>
      <c r="Z187" t="e">
        <f t="shared" ca="1" si="154"/>
        <v>#N/A</v>
      </c>
      <c r="AB187">
        <f t="shared" ca="1" si="156"/>
        <v>0</v>
      </c>
      <c r="AC187">
        <f t="shared" ca="1" si="156"/>
        <v>0</v>
      </c>
      <c r="AD187">
        <f t="shared" ca="1" si="156"/>
        <v>0</v>
      </c>
      <c r="AF187" t="e">
        <f t="shared" si="124"/>
        <v>#REF!</v>
      </c>
      <c r="AG187" t="e">
        <f t="shared" ca="1" si="155"/>
        <v>#N/A</v>
      </c>
      <c r="AH187" t="e">
        <f t="shared" ca="1" si="155"/>
        <v>#N/A</v>
      </c>
      <c r="AI187" t="e">
        <f t="shared" ca="1" si="155"/>
        <v>#N/A</v>
      </c>
      <c r="AJ187" t="e">
        <f t="shared" ca="1" si="155"/>
        <v>#N/A</v>
      </c>
      <c r="AK187" t="e">
        <f t="shared" ca="1" si="155"/>
        <v>#N/A</v>
      </c>
      <c r="AL187" t="e">
        <f t="shared" ca="1" si="155"/>
        <v>#N/A</v>
      </c>
      <c r="AM187" t="e">
        <f t="shared" ca="1" si="155"/>
        <v>#N/A</v>
      </c>
      <c r="AN187">
        <f t="shared" ca="1" si="126"/>
        <v>0</v>
      </c>
      <c r="AO187">
        <f t="shared" ca="1" si="127"/>
        <v>0</v>
      </c>
      <c r="AP187">
        <f t="shared" ca="1" si="128"/>
        <v>0</v>
      </c>
      <c r="AQ187">
        <f t="shared" ca="1" si="129"/>
        <v>0</v>
      </c>
      <c r="AR187">
        <f t="shared" ca="1" si="130"/>
        <v>0</v>
      </c>
      <c r="AS187">
        <f t="shared" ca="1" si="131"/>
        <v>0</v>
      </c>
      <c r="AT187">
        <f t="shared" ca="1" si="132"/>
        <v>0</v>
      </c>
      <c r="AV187" t="e">
        <f t="shared" si="6"/>
        <v>#REF!</v>
      </c>
      <c r="AW187" t="e" cm="1">
        <f t="array" ref="AW187">INDEX(auto_DataFlat_Score,$AV187,1)</f>
        <v>#REF!</v>
      </c>
      <c r="AX187" t="e" cm="1">
        <f t="array" ref="AX187">INDEX(auto_DataFlat_DataValue,$AV187,1)</f>
        <v>#REF!</v>
      </c>
      <c r="BA187" t="str">
        <f t="shared" si="133"/>
        <v>n/a</v>
      </c>
      <c r="BB187">
        <f t="shared" si="134"/>
        <v>1</v>
      </c>
      <c r="BC187" t="e">
        <f t="shared" si="135"/>
        <v>#REF!</v>
      </c>
      <c r="BD187" t="e">
        <f t="shared" ca="1" si="153"/>
        <v>#N/A</v>
      </c>
      <c r="BE187" t="e">
        <f t="shared" ca="1" si="153"/>
        <v>#N/A</v>
      </c>
      <c r="BF187" t="e">
        <f t="shared" ca="1" si="153"/>
        <v>#N/A</v>
      </c>
      <c r="BH187">
        <f t="shared" ca="1" si="157"/>
        <v>0</v>
      </c>
      <c r="BI187">
        <f t="shared" ca="1" si="157"/>
        <v>0</v>
      </c>
      <c r="BJ187">
        <f t="shared" ca="1" si="157"/>
        <v>0</v>
      </c>
      <c r="BM187" t="e">
        <f t="shared" si="136"/>
        <v>#REF!</v>
      </c>
      <c r="BN187" t="e">
        <f t="shared" ca="1" si="137"/>
        <v>#N/A</v>
      </c>
      <c r="BO187" t="e">
        <f t="shared" ca="1" si="138"/>
        <v>#N/A</v>
      </c>
      <c r="BP187" t="e">
        <f t="shared" ca="1" si="139"/>
        <v>#N/A</v>
      </c>
      <c r="BQ187" t="e">
        <f t="shared" ca="1" si="140"/>
        <v>#N/A</v>
      </c>
      <c r="BR187" t="e">
        <f t="shared" ca="1" si="141"/>
        <v>#N/A</v>
      </c>
      <c r="BS187" t="e">
        <f t="shared" ca="1" si="142"/>
        <v>#N/A</v>
      </c>
      <c r="BT187" t="e">
        <f t="shared" ca="1" si="143"/>
        <v>#N/A</v>
      </c>
      <c r="BU187">
        <f t="shared" ca="1" si="144"/>
        <v>0</v>
      </c>
      <c r="BV187">
        <f t="shared" ca="1" si="145"/>
        <v>0</v>
      </c>
      <c r="BW187">
        <f t="shared" ca="1" si="146"/>
        <v>0</v>
      </c>
      <c r="BX187">
        <f t="shared" ca="1" si="147"/>
        <v>0</v>
      </c>
      <c r="BY187">
        <f t="shared" ca="1" si="148"/>
        <v>0</v>
      </c>
      <c r="BZ187">
        <f t="shared" ca="1" si="118"/>
        <v>0</v>
      </c>
      <c r="CA187">
        <f t="shared" ca="1" si="119"/>
        <v>0</v>
      </c>
    </row>
    <row r="188" spans="1:79" x14ac:dyDescent="0.4">
      <c r="A188" t="str">
        <f t="shared" si="152"/>
        <v>X</v>
      </c>
      <c r="B188">
        <v>177</v>
      </c>
      <c r="C188" t="e" cm="1">
        <f t="array" ref="C188">INDEX(auto_Series_Code,B188)</f>
        <v>#REF!</v>
      </c>
      <c r="D188" t="e" cm="1">
        <f t="array" ref="D188">INDEX(auto_tblSeries,$B188,D$11)</f>
        <v>#REF!</v>
      </c>
      <c r="E188" t="e" cm="1">
        <f t="array" ref="E188">INDEX(auto_tblSeries,$B188,E$11)</f>
        <v>#REF!</v>
      </c>
      <c r="F188" t="e" cm="1">
        <f t="array" ref="F188">INDEX(auto_tblSeries,$B188,F$11)</f>
        <v>#REF!</v>
      </c>
      <c r="G188" t="e" cm="1">
        <f t="array" ref="G188">INDEX(auto_tblSeries,$B188,G$11)</f>
        <v>#REF!</v>
      </c>
      <c r="H188" t="e" cm="1">
        <f t="array" ref="H188">INDEX(auto_tblSeries,$B188,H$11)</f>
        <v>#REF!</v>
      </c>
      <c r="I188" t="e">
        <f t="shared" si="70"/>
        <v>#REF!</v>
      </c>
      <c r="K188" t="e" cm="1">
        <f t="array" ref="K188">INDEX(auto_DataFlat_Score,$I188,K$10)</f>
        <v>#REF!</v>
      </c>
      <c r="L188" t="e" cm="1">
        <f t="array" ref="L188">INDEX(auto_DataFlat_Rank,$I188,L$10)</f>
        <v>#REF!</v>
      </c>
      <c r="M188" t="e" cm="1">
        <f t="array" ref="M188">INDEX(auto_DataFlat_DataValue,$I188,M$10)</f>
        <v>#REF!</v>
      </c>
      <c r="N188" t="e" cm="1">
        <f t="array" ref="N188">INDEX(auto_DataFlat_Classification,$I188,M$10)</f>
        <v>#REF!</v>
      </c>
      <c r="O188" t="e" cm="1">
        <f t="array" ref="O188">INDEX(auto_DataFlat_IsEstimate,$I188,O$10)</f>
        <v>#REF!</v>
      </c>
      <c r="P188" t="e" cm="1">
        <f t="array" ref="P188">IF(INDEX(auto_DataFlat_DataYear,$I188,P$10)=0,"n/a",INDEX(auto_DataFlat_DataYear,$I188,P$10))</f>
        <v>#REF!</v>
      </c>
      <c r="R188" t="e">
        <f t="shared" si="116"/>
        <v>#REF!</v>
      </c>
      <c r="S188" t="e" cm="1">
        <f t="array" ref="S188">INDEX(auto_DataFlat_Score,$R188,S$10)</f>
        <v>#REF!</v>
      </c>
      <c r="U188" t="str">
        <f t="shared" si="120"/>
        <v>n/a</v>
      </c>
      <c r="V188">
        <f t="shared" si="121"/>
        <v>1</v>
      </c>
      <c r="W188" t="e">
        <f t="shared" si="122"/>
        <v>#REF!</v>
      </c>
      <c r="X188" t="e">
        <f t="shared" ca="1" si="154"/>
        <v>#N/A</v>
      </c>
      <c r="Y188" t="e">
        <f t="shared" ca="1" si="154"/>
        <v>#N/A</v>
      </c>
      <c r="Z188" t="e">
        <f t="shared" ca="1" si="154"/>
        <v>#N/A</v>
      </c>
      <c r="AB188">
        <f t="shared" ca="1" si="156"/>
        <v>0</v>
      </c>
      <c r="AC188">
        <f t="shared" ca="1" si="156"/>
        <v>0</v>
      </c>
      <c r="AD188">
        <f t="shared" ca="1" si="156"/>
        <v>0</v>
      </c>
      <c r="AF188" t="e">
        <f t="shared" si="124"/>
        <v>#REF!</v>
      </c>
      <c r="AG188" t="e">
        <f t="shared" ca="1" si="155"/>
        <v>#N/A</v>
      </c>
      <c r="AH188" t="e">
        <f t="shared" ca="1" si="155"/>
        <v>#N/A</v>
      </c>
      <c r="AI188" t="e">
        <f t="shared" ca="1" si="155"/>
        <v>#N/A</v>
      </c>
      <c r="AJ188" t="e">
        <f t="shared" ca="1" si="155"/>
        <v>#N/A</v>
      </c>
      <c r="AK188" t="e">
        <f t="shared" ca="1" si="155"/>
        <v>#N/A</v>
      </c>
      <c r="AL188" t="e">
        <f t="shared" ca="1" si="155"/>
        <v>#N/A</v>
      </c>
      <c r="AM188" t="e">
        <f t="shared" ca="1" si="155"/>
        <v>#N/A</v>
      </c>
      <c r="AN188">
        <f t="shared" ca="1" si="126"/>
        <v>0</v>
      </c>
      <c r="AO188">
        <f t="shared" ca="1" si="127"/>
        <v>0</v>
      </c>
      <c r="AP188">
        <f t="shared" ca="1" si="128"/>
        <v>0</v>
      </c>
      <c r="AQ188">
        <f t="shared" ca="1" si="129"/>
        <v>0</v>
      </c>
      <c r="AR188">
        <f t="shared" ca="1" si="130"/>
        <v>0</v>
      </c>
      <c r="AS188">
        <f t="shared" ca="1" si="131"/>
        <v>0</v>
      </c>
      <c r="AT188">
        <f t="shared" ca="1" si="132"/>
        <v>0</v>
      </c>
      <c r="AV188" t="e">
        <f t="shared" si="6"/>
        <v>#REF!</v>
      </c>
      <c r="AW188" t="e" cm="1">
        <f t="array" ref="AW188">INDEX(auto_DataFlat_Score,$AV188,1)</f>
        <v>#REF!</v>
      </c>
      <c r="AX188" t="e" cm="1">
        <f t="array" ref="AX188">INDEX(auto_DataFlat_DataValue,$AV188,1)</f>
        <v>#REF!</v>
      </c>
      <c r="BA188" t="str">
        <f t="shared" si="133"/>
        <v>n/a</v>
      </c>
      <c r="BB188">
        <f t="shared" si="134"/>
        <v>1</v>
      </c>
      <c r="BC188" t="e">
        <f t="shared" si="135"/>
        <v>#REF!</v>
      </c>
      <c r="BD188" t="e">
        <f t="shared" ref="BD188:BF203" ca="1" si="158">BD187+MATCH(BD$10,OFFSET($BC$12,BD187,0,200,1),0)</f>
        <v>#N/A</v>
      </c>
      <c r="BE188" t="e">
        <f t="shared" ca="1" si="158"/>
        <v>#N/A</v>
      </c>
      <c r="BF188" t="e">
        <f t="shared" ca="1" si="158"/>
        <v>#N/A</v>
      </c>
      <c r="BH188">
        <f t="shared" ca="1" si="157"/>
        <v>0</v>
      </c>
      <c r="BI188">
        <f t="shared" ca="1" si="157"/>
        <v>0</v>
      </c>
      <c r="BJ188">
        <f t="shared" ca="1" si="157"/>
        <v>0</v>
      </c>
      <c r="BM188" t="e">
        <f t="shared" si="136"/>
        <v>#REF!</v>
      </c>
      <c r="BN188" t="e">
        <f t="shared" ca="1" si="137"/>
        <v>#N/A</v>
      </c>
      <c r="BO188" t="e">
        <f t="shared" ca="1" si="138"/>
        <v>#N/A</v>
      </c>
      <c r="BP188" t="e">
        <f t="shared" ca="1" si="139"/>
        <v>#N/A</v>
      </c>
      <c r="BQ188" t="e">
        <f t="shared" ca="1" si="140"/>
        <v>#N/A</v>
      </c>
      <c r="BR188" t="e">
        <f t="shared" ca="1" si="141"/>
        <v>#N/A</v>
      </c>
      <c r="BS188" t="e">
        <f t="shared" ca="1" si="142"/>
        <v>#N/A</v>
      </c>
      <c r="BT188" t="e">
        <f t="shared" ca="1" si="143"/>
        <v>#N/A</v>
      </c>
      <c r="BU188">
        <f t="shared" ca="1" si="144"/>
        <v>0</v>
      </c>
      <c r="BV188">
        <f t="shared" ca="1" si="145"/>
        <v>0</v>
      </c>
      <c r="BW188">
        <f t="shared" ca="1" si="146"/>
        <v>0</v>
      </c>
      <c r="BX188">
        <f t="shared" ca="1" si="147"/>
        <v>0</v>
      </c>
      <c r="BY188">
        <f t="shared" ca="1" si="148"/>
        <v>0</v>
      </c>
      <c r="BZ188">
        <f t="shared" ca="1" si="118"/>
        <v>0</v>
      </c>
      <c r="CA188">
        <f t="shared" ca="1" si="119"/>
        <v>0</v>
      </c>
    </row>
    <row r="189" spans="1:79" x14ac:dyDescent="0.4">
      <c r="A189" t="str">
        <f t="shared" si="152"/>
        <v>X</v>
      </c>
      <c r="B189">
        <v>178</v>
      </c>
      <c r="C189" t="e" cm="1">
        <f t="array" ref="C189">INDEX(auto_Series_Code,B189)</f>
        <v>#REF!</v>
      </c>
      <c r="D189" t="e" cm="1">
        <f t="array" ref="D189">INDEX(auto_tblSeries,$B189,D$11)</f>
        <v>#REF!</v>
      </c>
      <c r="E189" t="e" cm="1">
        <f t="array" ref="E189">INDEX(auto_tblSeries,$B189,E$11)</f>
        <v>#REF!</v>
      </c>
      <c r="F189" t="e" cm="1">
        <f t="array" ref="F189">INDEX(auto_tblSeries,$B189,F$11)</f>
        <v>#REF!</v>
      </c>
      <c r="G189" t="e" cm="1">
        <f t="array" ref="G189">INDEX(auto_tblSeries,$B189,G$11)</f>
        <v>#REF!</v>
      </c>
      <c r="H189" t="e" cm="1">
        <f t="array" ref="H189">INDEX(auto_tblSeries,$B189,H$11)</f>
        <v>#REF!</v>
      </c>
      <c r="I189" t="e">
        <f t="shared" si="70"/>
        <v>#REF!</v>
      </c>
      <c r="K189" t="e" cm="1">
        <f t="array" ref="K189">INDEX(auto_DataFlat_Score,$I189,K$10)</f>
        <v>#REF!</v>
      </c>
      <c r="L189" t="e" cm="1">
        <f t="array" ref="L189">INDEX(auto_DataFlat_Rank,$I189,L$10)</f>
        <v>#REF!</v>
      </c>
      <c r="M189" t="e" cm="1">
        <f t="array" ref="M189">INDEX(auto_DataFlat_DataValue,$I189,M$10)</f>
        <v>#REF!</v>
      </c>
      <c r="N189" t="e" cm="1">
        <f t="array" ref="N189">INDEX(auto_DataFlat_Classification,$I189,M$10)</f>
        <v>#REF!</v>
      </c>
      <c r="O189" t="e" cm="1">
        <f t="array" ref="O189">INDEX(auto_DataFlat_IsEstimate,$I189,O$10)</f>
        <v>#REF!</v>
      </c>
      <c r="P189" t="e" cm="1">
        <f t="array" ref="P189">IF(INDEX(auto_DataFlat_DataYear,$I189,P$10)=0,"n/a",INDEX(auto_DataFlat_DataYear,$I189,P$10))</f>
        <v>#REF!</v>
      </c>
      <c r="R189" t="e">
        <f t="shared" si="116"/>
        <v>#REF!</v>
      </c>
      <c r="S189" t="e" cm="1">
        <f t="array" ref="S189">INDEX(auto_DataFlat_Score,$R189,S$10)</f>
        <v>#REF!</v>
      </c>
      <c r="U189" t="str">
        <f t="shared" si="120"/>
        <v>n/a</v>
      </c>
      <c r="V189">
        <f t="shared" si="121"/>
        <v>1</v>
      </c>
      <c r="W189" t="e">
        <f t="shared" si="122"/>
        <v>#REF!</v>
      </c>
      <c r="X189" t="e">
        <f t="shared" ref="X189:Z204" ca="1" si="159">X188+MATCH(X$10,OFFSET($W$12,X188,0,300,1),0)</f>
        <v>#N/A</v>
      </c>
      <c r="Y189" t="e">
        <f t="shared" ca="1" si="159"/>
        <v>#N/A</v>
      </c>
      <c r="Z189" t="e">
        <f t="shared" ca="1" si="159"/>
        <v>#N/A</v>
      </c>
      <c r="AB189">
        <f t="shared" ca="1" si="156"/>
        <v>0</v>
      </c>
      <c r="AC189">
        <f t="shared" ca="1" si="156"/>
        <v>0</v>
      </c>
      <c r="AD189">
        <f t="shared" ca="1" si="156"/>
        <v>0</v>
      </c>
      <c r="AF189" t="e">
        <f t="shared" si="124"/>
        <v>#REF!</v>
      </c>
      <c r="AG189" t="e">
        <f t="shared" ref="AG189:AM204" ca="1" si="160">IFERROR(AG188+MATCH(AG$10,OFFSET($AF$12,AG188,0,300-AG188,1),0),NA())</f>
        <v>#N/A</v>
      </c>
      <c r="AH189" t="e">
        <f t="shared" ca="1" si="160"/>
        <v>#N/A</v>
      </c>
      <c r="AI189" t="e">
        <f t="shared" ca="1" si="160"/>
        <v>#N/A</v>
      </c>
      <c r="AJ189" t="e">
        <f t="shared" ca="1" si="160"/>
        <v>#N/A</v>
      </c>
      <c r="AK189" t="e">
        <f t="shared" ca="1" si="160"/>
        <v>#N/A</v>
      </c>
      <c r="AL189" t="e">
        <f t="shared" ca="1" si="160"/>
        <v>#N/A</v>
      </c>
      <c r="AM189" t="e">
        <f t="shared" ca="1" si="160"/>
        <v>#N/A</v>
      </c>
      <c r="AN189">
        <f t="shared" ca="1" si="126"/>
        <v>0</v>
      </c>
      <c r="AO189">
        <f t="shared" ca="1" si="127"/>
        <v>0</v>
      </c>
      <c r="AP189">
        <f t="shared" ca="1" si="128"/>
        <v>0</v>
      </c>
      <c r="AQ189">
        <f t="shared" ca="1" si="129"/>
        <v>0</v>
      </c>
      <c r="AR189">
        <f t="shared" ca="1" si="130"/>
        <v>0</v>
      </c>
      <c r="AS189">
        <f t="shared" ca="1" si="131"/>
        <v>0</v>
      </c>
      <c r="AT189">
        <f t="shared" ca="1" si="132"/>
        <v>0</v>
      </c>
      <c r="AV189" t="e">
        <f t="shared" si="6"/>
        <v>#REF!</v>
      </c>
      <c r="AW189" t="e" cm="1">
        <f t="array" ref="AW189">INDEX(auto_DataFlat_Score,$AV189,1)</f>
        <v>#REF!</v>
      </c>
      <c r="AX189" t="e" cm="1">
        <f t="array" ref="AX189">INDEX(auto_DataFlat_DataValue,$AV189,1)</f>
        <v>#REF!</v>
      </c>
      <c r="BA189" t="str">
        <f t="shared" si="133"/>
        <v>n/a</v>
      </c>
      <c r="BB189">
        <f t="shared" si="134"/>
        <v>1</v>
      </c>
      <c r="BC189" t="e">
        <f t="shared" si="135"/>
        <v>#REF!</v>
      </c>
      <c r="BD189" t="e">
        <f t="shared" ca="1" si="158"/>
        <v>#N/A</v>
      </c>
      <c r="BE189" t="e">
        <f t="shared" ca="1" si="158"/>
        <v>#N/A</v>
      </c>
      <c r="BF189" t="e">
        <f t="shared" ca="1" si="158"/>
        <v>#N/A</v>
      </c>
      <c r="BH189">
        <f t="shared" ca="1" si="157"/>
        <v>0</v>
      </c>
      <c r="BI189">
        <f t="shared" ca="1" si="157"/>
        <v>0</v>
      </c>
      <c r="BJ189">
        <f t="shared" ca="1" si="157"/>
        <v>0</v>
      </c>
      <c r="BM189" t="e">
        <f t="shared" si="136"/>
        <v>#REF!</v>
      </c>
      <c r="BN189" t="e">
        <f t="shared" ca="1" si="137"/>
        <v>#N/A</v>
      </c>
      <c r="BO189" t="e">
        <f t="shared" ca="1" si="138"/>
        <v>#N/A</v>
      </c>
      <c r="BP189" t="e">
        <f t="shared" ca="1" si="139"/>
        <v>#N/A</v>
      </c>
      <c r="BQ189" t="e">
        <f t="shared" ca="1" si="140"/>
        <v>#N/A</v>
      </c>
      <c r="BR189" t="e">
        <f t="shared" ca="1" si="141"/>
        <v>#N/A</v>
      </c>
      <c r="BS189" t="e">
        <f t="shared" ca="1" si="142"/>
        <v>#N/A</v>
      </c>
      <c r="BT189" t="e">
        <f t="shared" ca="1" si="143"/>
        <v>#N/A</v>
      </c>
      <c r="BU189">
        <f t="shared" ca="1" si="144"/>
        <v>0</v>
      </c>
      <c r="BV189">
        <f t="shared" ca="1" si="145"/>
        <v>0</v>
      </c>
      <c r="BW189">
        <f t="shared" ca="1" si="146"/>
        <v>0</v>
      </c>
      <c r="BX189">
        <f t="shared" ca="1" si="147"/>
        <v>0</v>
      </c>
      <c r="BY189">
        <f t="shared" ca="1" si="148"/>
        <v>0</v>
      </c>
      <c r="BZ189">
        <f t="shared" ca="1" si="118"/>
        <v>0</v>
      </c>
      <c r="CA189">
        <f t="shared" ca="1" si="119"/>
        <v>0</v>
      </c>
    </row>
    <row r="190" spans="1:79" x14ac:dyDescent="0.4">
      <c r="A190" t="str">
        <f t="shared" si="152"/>
        <v>X</v>
      </c>
      <c r="B190">
        <v>179</v>
      </c>
      <c r="C190" t="e" cm="1">
        <f t="array" ref="C190">INDEX(auto_Series_Code,B190)</f>
        <v>#REF!</v>
      </c>
      <c r="D190" t="e" cm="1">
        <f t="array" ref="D190">INDEX(auto_tblSeries,$B190,D$11)</f>
        <v>#REF!</v>
      </c>
      <c r="E190" t="e" cm="1">
        <f t="array" ref="E190">INDEX(auto_tblSeries,$B190,E$11)</f>
        <v>#REF!</v>
      </c>
      <c r="F190" t="e" cm="1">
        <f t="array" ref="F190">INDEX(auto_tblSeries,$B190,F$11)</f>
        <v>#REF!</v>
      </c>
      <c r="G190" t="e" cm="1">
        <f t="array" ref="G190">INDEX(auto_tblSeries,$B190,G$11)</f>
        <v>#REF!</v>
      </c>
      <c r="H190" t="e" cm="1">
        <f t="array" ref="H190">INDEX(auto_tblSeries,$B190,H$11)</f>
        <v>#REF!</v>
      </c>
      <c r="I190" t="e">
        <f t="shared" si="70"/>
        <v>#REF!</v>
      </c>
      <c r="K190" t="e" cm="1">
        <f t="array" ref="K190">INDEX(auto_DataFlat_Score,$I190,K$10)</f>
        <v>#REF!</v>
      </c>
      <c r="L190" t="e" cm="1">
        <f t="array" ref="L190">INDEX(auto_DataFlat_Rank,$I190,L$10)</f>
        <v>#REF!</v>
      </c>
      <c r="M190" t="e" cm="1">
        <f t="array" ref="M190">INDEX(auto_DataFlat_DataValue,$I190,M$10)</f>
        <v>#REF!</v>
      </c>
      <c r="N190" t="e" cm="1">
        <f t="array" ref="N190">INDEX(auto_DataFlat_Classification,$I190,M$10)</f>
        <v>#REF!</v>
      </c>
      <c r="O190" t="e" cm="1">
        <f t="array" ref="O190">INDEX(auto_DataFlat_IsEstimate,$I190,O$10)</f>
        <v>#REF!</v>
      </c>
      <c r="P190" t="e" cm="1">
        <f t="array" ref="P190">IF(INDEX(auto_DataFlat_DataYear,$I190,P$10)=0,"n/a",INDEX(auto_DataFlat_DataYear,$I190,P$10))</f>
        <v>#REF!</v>
      </c>
      <c r="R190" t="e">
        <f t="shared" si="116"/>
        <v>#REF!</v>
      </c>
      <c r="S190" t="e" cm="1">
        <f t="array" ref="S190">INDEX(auto_DataFlat_Score,$R190,S$10)</f>
        <v>#REF!</v>
      </c>
      <c r="U190" t="str">
        <f t="shared" si="120"/>
        <v>n/a</v>
      </c>
      <c r="V190">
        <f t="shared" si="121"/>
        <v>1</v>
      </c>
      <c r="W190" t="e">
        <f t="shared" si="122"/>
        <v>#REF!</v>
      </c>
      <c r="X190" t="e">
        <f t="shared" ca="1" si="159"/>
        <v>#N/A</v>
      </c>
      <c r="Y190" t="e">
        <f t="shared" ca="1" si="159"/>
        <v>#N/A</v>
      </c>
      <c r="Z190" t="e">
        <f t="shared" ca="1" si="159"/>
        <v>#N/A</v>
      </c>
      <c r="AB190">
        <f t="shared" ca="1" si="156"/>
        <v>0</v>
      </c>
      <c r="AC190">
        <f t="shared" ca="1" si="156"/>
        <v>0</v>
      </c>
      <c r="AD190">
        <f t="shared" ca="1" si="156"/>
        <v>0</v>
      </c>
      <c r="AF190" t="e">
        <f t="shared" si="124"/>
        <v>#REF!</v>
      </c>
      <c r="AG190" t="e">
        <f t="shared" ca="1" si="160"/>
        <v>#N/A</v>
      </c>
      <c r="AH190" t="e">
        <f t="shared" ca="1" si="160"/>
        <v>#N/A</v>
      </c>
      <c r="AI190" t="e">
        <f t="shared" ca="1" si="160"/>
        <v>#N/A</v>
      </c>
      <c r="AJ190" t="e">
        <f t="shared" ca="1" si="160"/>
        <v>#N/A</v>
      </c>
      <c r="AK190" t="e">
        <f t="shared" ca="1" si="160"/>
        <v>#N/A</v>
      </c>
      <c r="AL190" t="e">
        <f t="shared" ca="1" si="160"/>
        <v>#N/A</v>
      </c>
      <c r="AM190" t="e">
        <f t="shared" ca="1" si="160"/>
        <v>#N/A</v>
      </c>
      <c r="AN190">
        <f t="shared" ca="1" si="126"/>
        <v>0</v>
      </c>
      <c r="AO190">
        <f t="shared" ca="1" si="127"/>
        <v>0</v>
      </c>
      <c r="AP190">
        <f t="shared" ca="1" si="128"/>
        <v>0</v>
      </c>
      <c r="AQ190">
        <f t="shared" ca="1" si="129"/>
        <v>0</v>
      </c>
      <c r="AR190">
        <f t="shared" ca="1" si="130"/>
        <v>0</v>
      </c>
      <c r="AS190">
        <f t="shared" ca="1" si="131"/>
        <v>0</v>
      </c>
      <c r="AT190">
        <f t="shared" ca="1" si="132"/>
        <v>0</v>
      </c>
      <c r="AV190" t="e">
        <f t="shared" si="6"/>
        <v>#REF!</v>
      </c>
      <c r="AW190" t="e" cm="1">
        <f t="array" ref="AW190">INDEX(auto_DataFlat_Score,$AV190,1)</f>
        <v>#REF!</v>
      </c>
      <c r="AX190" t="e" cm="1">
        <f t="array" ref="AX190">INDEX(auto_DataFlat_DataValue,$AV190,1)</f>
        <v>#REF!</v>
      </c>
      <c r="BA190" t="str">
        <f t="shared" si="133"/>
        <v>n/a</v>
      </c>
      <c r="BB190">
        <f t="shared" si="134"/>
        <v>1</v>
      </c>
      <c r="BC190" t="e">
        <f t="shared" si="135"/>
        <v>#REF!</v>
      </c>
      <c r="BD190" t="e">
        <f t="shared" ca="1" si="158"/>
        <v>#N/A</v>
      </c>
      <c r="BE190" t="e">
        <f t="shared" ca="1" si="158"/>
        <v>#N/A</v>
      </c>
      <c r="BF190" t="e">
        <f t="shared" ca="1" si="158"/>
        <v>#N/A</v>
      </c>
      <c r="BH190">
        <f t="shared" ca="1" si="157"/>
        <v>0</v>
      </c>
      <c r="BI190">
        <f t="shared" ca="1" si="157"/>
        <v>0</v>
      </c>
      <c r="BJ190">
        <f t="shared" ca="1" si="157"/>
        <v>0</v>
      </c>
      <c r="BM190" t="e">
        <f t="shared" si="136"/>
        <v>#REF!</v>
      </c>
      <c r="BN190" t="e">
        <f t="shared" ca="1" si="137"/>
        <v>#N/A</v>
      </c>
      <c r="BO190" t="e">
        <f t="shared" ca="1" si="138"/>
        <v>#N/A</v>
      </c>
      <c r="BP190" t="e">
        <f t="shared" ca="1" si="139"/>
        <v>#N/A</v>
      </c>
      <c r="BQ190" t="e">
        <f t="shared" ca="1" si="140"/>
        <v>#N/A</v>
      </c>
      <c r="BR190" t="e">
        <f t="shared" ca="1" si="141"/>
        <v>#N/A</v>
      </c>
      <c r="BS190" t="e">
        <f t="shared" ca="1" si="142"/>
        <v>#N/A</v>
      </c>
      <c r="BT190" t="e">
        <f t="shared" ca="1" si="143"/>
        <v>#N/A</v>
      </c>
      <c r="BU190">
        <f t="shared" ca="1" si="144"/>
        <v>0</v>
      </c>
      <c r="BV190">
        <f t="shared" ca="1" si="145"/>
        <v>0</v>
      </c>
      <c r="BW190">
        <f t="shared" ca="1" si="146"/>
        <v>0</v>
      </c>
      <c r="BX190">
        <f t="shared" ca="1" si="147"/>
        <v>0</v>
      </c>
      <c r="BY190">
        <f t="shared" ca="1" si="148"/>
        <v>0</v>
      </c>
      <c r="BZ190">
        <f t="shared" ca="1" si="118"/>
        <v>0</v>
      </c>
      <c r="CA190">
        <f t="shared" ca="1" si="119"/>
        <v>0</v>
      </c>
    </row>
    <row r="191" spans="1:79" x14ac:dyDescent="0.4">
      <c r="A191" t="str">
        <f t="shared" si="152"/>
        <v>X</v>
      </c>
      <c r="B191">
        <v>180</v>
      </c>
      <c r="C191" t="e" cm="1">
        <f t="array" ref="C191">INDEX(auto_Series_Code,B191)</f>
        <v>#REF!</v>
      </c>
      <c r="D191" t="e" cm="1">
        <f t="array" ref="D191">INDEX(auto_tblSeries,$B191,D$11)</f>
        <v>#REF!</v>
      </c>
      <c r="E191" t="e" cm="1">
        <f t="array" ref="E191">INDEX(auto_tblSeries,$B191,E$11)</f>
        <v>#REF!</v>
      </c>
      <c r="F191" t="e" cm="1">
        <f t="array" ref="F191">INDEX(auto_tblSeries,$B191,F$11)</f>
        <v>#REF!</v>
      </c>
      <c r="G191" t="e" cm="1">
        <f t="array" ref="G191">INDEX(auto_tblSeries,$B191,G$11)</f>
        <v>#REF!</v>
      </c>
      <c r="H191" t="e" cm="1">
        <f t="array" ref="H191">INDEX(auto_tblSeries,$B191,H$11)</f>
        <v>#REF!</v>
      </c>
      <c r="I191" t="e">
        <f t="shared" si="70"/>
        <v>#REF!</v>
      </c>
      <c r="K191" t="e" cm="1">
        <f t="array" ref="K191">INDEX(auto_DataFlat_Score,$I191,K$10)</f>
        <v>#REF!</v>
      </c>
      <c r="L191" t="e" cm="1">
        <f t="array" ref="L191">INDEX(auto_DataFlat_Rank,$I191,L$10)</f>
        <v>#REF!</v>
      </c>
      <c r="M191" t="e" cm="1">
        <f t="array" ref="M191">INDEX(auto_DataFlat_DataValue,$I191,M$10)</f>
        <v>#REF!</v>
      </c>
      <c r="N191" t="e" cm="1">
        <f t="array" ref="N191">INDEX(auto_DataFlat_Classification,$I191,M$10)</f>
        <v>#REF!</v>
      </c>
      <c r="O191" t="e" cm="1">
        <f t="array" ref="O191">INDEX(auto_DataFlat_IsEstimate,$I191,O$10)</f>
        <v>#REF!</v>
      </c>
      <c r="P191" t="e" cm="1">
        <f t="array" ref="P191">IF(INDEX(auto_DataFlat_DataYear,$I191,P$10)=0,"n/a",INDEX(auto_DataFlat_DataYear,$I191,P$10))</f>
        <v>#REF!</v>
      </c>
      <c r="R191" t="e">
        <f t="shared" si="116"/>
        <v>#REF!</v>
      </c>
      <c r="S191" t="e" cm="1">
        <f t="array" ref="S191">INDEX(auto_DataFlat_Score,$R191,S$10)</f>
        <v>#REF!</v>
      </c>
      <c r="U191" t="str">
        <f t="shared" si="120"/>
        <v>n/a</v>
      </c>
      <c r="V191">
        <f t="shared" si="121"/>
        <v>1</v>
      </c>
      <c r="W191" t="e">
        <f t="shared" si="122"/>
        <v>#REF!</v>
      </c>
      <c r="X191" t="e">
        <f t="shared" ca="1" si="159"/>
        <v>#N/A</v>
      </c>
      <c r="Y191" t="e">
        <f t="shared" ca="1" si="159"/>
        <v>#N/A</v>
      </c>
      <c r="Z191" t="e">
        <f t="shared" ca="1" si="159"/>
        <v>#N/A</v>
      </c>
      <c r="AB191">
        <f t="shared" ca="1" si="156"/>
        <v>0</v>
      </c>
      <c r="AC191">
        <f t="shared" ca="1" si="156"/>
        <v>0</v>
      </c>
      <c r="AD191">
        <f t="shared" ca="1" si="156"/>
        <v>0</v>
      </c>
      <c r="AF191" t="e">
        <f t="shared" si="124"/>
        <v>#REF!</v>
      </c>
      <c r="AG191" t="e">
        <f t="shared" ca="1" si="160"/>
        <v>#N/A</v>
      </c>
      <c r="AH191" t="e">
        <f t="shared" ca="1" si="160"/>
        <v>#N/A</v>
      </c>
      <c r="AI191" t="e">
        <f t="shared" ca="1" si="160"/>
        <v>#N/A</v>
      </c>
      <c r="AJ191" t="e">
        <f t="shared" ca="1" si="160"/>
        <v>#N/A</v>
      </c>
      <c r="AK191" t="e">
        <f t="shared" ca="1" si="160"/>
        <v>#N/A</v>
      </c>
      <c r="AL191" t="e">
        <f t="shared" ca="1" si="160"/>
        <v>#N/A</v>
      </c>
      <c r="AM191" t="e">
        <f t="shared" ca="1" si="160"/>
        <v>#N/A</v>
      </c>
      <c r="AN191">
        <f t="shared" ca="1" si="126"/>
        <v>0</v>
      </c>
      <c r="AO191">
        <f t="shared" ca="1" si="127"/>
        <v>0</v>
      </c>
      <c r="AP191">
        <f t="shared" ca="1" si="128"/>
        <v>0</v>
      </c>
      <c r="AQ191">
        <f t="shared" ca="1" si="129"/>
        <v>0</v>
      </c>
      <c r="AR191">
        <f t="shared" ca="1" si="130"/>
        <v>0</v>
      </c>
      <c r="AS191">
        <f t="shared" ca="1" si="131"/>
        <v>0</v>
      </c>
      <c r="AT191">
        <f t="shared" ca="1" si="132"/>
        <v>0</v>
      </c>
      <c r="AV191" t="e">
        <f t="shared" si="6"/>
        <v>#REF!</v>
      </c>
      <c r="AW191" t="e" cm="1">
        <f t="array" ref="AW191">INDEX(auto_DataFlat_Score,$AV191,1)</f>
        <v>#REF!</v>
      </c>
      <c r="AX191" t="e" cm="1">
        <f t="array" ref="AX191">INDEX(auto_DataFlat_DataValue,$AV191,1)</f>
        <v>#REF!</v>
      </c>
      <c r="BA191" t="str">
        <f t="shared" si="133"/>
        <v>n/a</v>
      </c>
      <c r="BB191">
        <f t="shared" si="134"/>
        <v>1</v>
      </c>
      <c r="BC191" t="e">
        <f t="shared" si="135"/>
        <v>#REF!</v>
      </c>
      <c r="BD191" t="e">
        <f t="shared" ca="1" si="158"/>
        <v>#N/A</v>
      </c>
      <c r="BE191" t="e">
        <f t="shared" ca="1" si="158"/>
        <v>#N/A</v>
      </c>
      <c r="BF191" t="e">
        <f t="shared" ca="1" si="158"/>
        <v>#N/A</v>
      </c>
      <c r="BH191">
        <f t="shared" ca="1" si="157"/>
        <v>0</v>
      </c>
      <c r="BI191">
        <f t="shared" ca="1" si="157"/>
        <v>0</v>
      </c>
      <c r="BJ191">
        <f t="shared" ca="1" si="157"/>
        <v>0</v>
      </c>
      <c r="BM191" t="e">
        <f t="shared" si="136"/>
        <v>#REF!</v>
      </c>
      <c r="BN191" t="e">
        <f t="shared" ca="1" si="137"/>
        <v>#N/A</v>
      </c>
      <c r="BO191" t="e">
        <f t="shared" ca="1" si="138"/>
        <v>#N/A</v>
      </c>
      <c r="BP191" t="e">
        <f t="shared" ca="1" si="139"/>
        <v>#N/A</v>
      </c>
      <c r="BQ191" t="e">
        <f t="shared" ca="1" si="140"/>
        <v>#N/A</v>
      </c>
      <c r="BR191" t="e">
        <f t="shared" ca="1" si="141"/>
        <v>#N/A</v>
      </c>
      <c r="BS191" t="e">
        <f t="shared" ca="1" si="142"/>
        <v>#N/A</v>
      </c>
      <c r="BT191" t="e">
        <f t="shared" ca="1" si="143"/>
        <v>#N/A</v>
      </c>
      <c r="BU191">
        <f t="shared" ca="1" si="144"/>
        <v>0</v>
      </c>
      <c r="BV191">
        <f t="shared" ca="1" si="145"/>
        <v>0</v>
      </c>
      <c r="BW191">
        <f t="shared" ca="1" si="146"/>
        <v>0</v>
      </c>
      <c r="BX191">
        <f t="shared" ca="1" si="147"/>
        <v>0</v>
      </c>
      <c r="BY191">
        <f t="shared" ca="1" si="148"/>
        <v>0</v>
      </c>
      <c r="BZ191">
        <f t="shared" ca="1" si="118"/>
        <v>0</v>
      </c>
      <c r="CA191">
        <f t="shared" ca="1" si="119"/>
        <v>0</v>
      </c>
    </row>
    <row r="192" spans="1:79" x14ac:dyDescent="0.4">
      <c r="A192" t="str">
        <f t="shared" si="152"/>
        <v>X</v>
      </c>
      <c r="B192">
        <v>181</v>
      </c>
      <c r="C192" t="e" cm="1">
        <f t="array" ref="C192">INDEX(auto_Series_Code,B192)</f>
        <v>#REF!</v>
      </c>
      <c r="D192" t="e" cm="1">
        <f t="array" ref="D192">INDEX(auto_tblSeries,$B192,D$11)</f>
        <v>#REF!</v>
      </c>
      <c r="E192" t="e" cm="1">
        <f t="array" ref="E192">INDEX(auto_tblSeries,$B192,E$11)</f>
        <v>#REF!</v>
      </c>
      <c r="F192" t="e" cm="1">
        <f t="array" ref="F192">INDEX(auto_tblSeries,$B192,F$11)</f>
        <v>#REF!</v>
      </c>
      <c r="G192" t="e" cm="1">
        <f t="array" ref="G192">INDEX(auto_tblSeries,$B192,G$11)</f>
        <v>#REF!</v>
      </c>
      <c r="H192" t="e" cm="1">
        <f t="array" ref="H192">INDEX(auto_tblSeries,$B192,H$11)</f>
        <v>#REF!</v>
      </c>
      <c r="I192" t="e">
        <f t="shared" si="70"/>
        <v>#REF!</v>
      </c>
      <c r="K192" t="e" cm="1">
        <f t="array" ref="K192">INDEX(auto_DataFlat_Score,$I192,K$10)</f>
        <v>#REF!</v>
      </c>
      <c r="L192" t="e" cm="1">
        <f t="array" ref="L192">INDEX(auto_DataFlat_Rank,$I192,L$10)</f>
        <v>#REF!</v>
      </c>
      <c r="M192" t="e" cm="1">
        <f t="array" ref="M192">INDEX(auto_DataFlat_DataValue,$I192,M$10)</f>
        <v>#REF!</v>
      </c>
      <c r="N192" t="e" cm="1">
        <f t="array" ref="N192">INDEX(auto_DataFlat_Classification,$I192,M$10)</f>
        <v>#REF!</v>
      </c>
      <c r="O192" t="e" cm="1">
        <f t="array" ref="O192">INDEX(auto_DataFlat_IsEstimate,$I192,O$10)</f>
        <v>#REF!</v>
      </c>
      <c r="P192" t="e" cm="1">
        <f t="array" ref="P192">IF(INDEX(auto_DataFlat_DataYear,$I192,P$10)=0,"n/a",INDEX(auto_DataFlat_DataYear,$I192,P$10))</f>
        <v>#REF!</v>
      </c>
      <c r="R192" t="e">
        <f t="shared" si="116"/>
        <v>#REF!</v>
      </c>
      <c r="S192" t="e" cm="1">
        <f t="array" ref="S192">INDEX(auto_DataFlat_Score,$R192,S$10)</f>
        <v>#REF!</v>
      </c>
      <c r="U192" t="str">
        <f t="shared" si="120"/>
        <v>n/a</v>
      </c>
      <c r="V192">
        <f t="shared" si="121"/>
        <v>1</v>
      </c>
      <c r="W192" t="e">
        <f t="shared" si="122"/>
        <v>#REF!</v>
      </c>
      <c r="X192" t="e">
        <f t="shared" ca="1" si="159"/>
        <v>#N/A</v>
      </c>
      <c r="Y192" t="e">
        <f t="shared" ca="1" si="159"/>
        <v>#N/A</v>
      </c>
      <c r="Z192" t="e">
        <f t="shared" ca="1" si="159"/>
        <v>#N/A</v>
      </c>
      <c r="AB192">
        <f t="shared" ca="1" si="156"/>
        <v>0</v>
      </c>
      <c r="AC192">
        <f t="shared" ca="1" si="156"/>
        <v>0</v>
      </c>
      <c r="AD192">
        <f t="shared" ca="1" si="156"/>
        <v>0</v>
      </c>
      <c r="AF192" t="e">
        <f t="shared" si="124"/>
        <v>#REF!</v>
      </c>
      <c r="AG192" t="e">
        <f t="shared" ca="1" si="160"/>
        <v>#N/A</v>
      </c>
      <c r="AH192" t="e">
        <f t="shared" ca="1" si="160"/>
        <v>#N/A</v>
      </c>
      <c r="AI192" t="e">
        <f t="shared" ca="1" si="160"/>
        <v>#N/A</v>
      </c>
      <c r="AJ192" t="e">
        <f t="shared" ca="1" si="160"/>
        <v>#N/A</v>
      </c>
      <c r="AK192" t="e">
        <f t="shared" ca="1" si="160"/>
        <v>#N/A</v>
      </c>
      <c r="AL192" t="e">
        <f t="shared" ca="1" si="160"/>
        <v>#N/A</v>
      </c>
      <c r="AM192" t="e">
        <f t="shared" ca="1" si="160"/>
        <v>#N/A</v>
      </c>
      <c r="AN192">
        <f t="shared" ca="1" si="126"/>
        <v>0</v>
      </c>
      <c r="AO192">
        <f t="shared" ca="1" si="127"/>
        <v>0</v>
      </c>
      <c r="AP192">
        <f t="shared" ca="1" si="128"/>
        <v>0</v>
      </c>
      <c r="AQ192">
        <f t="shared" ca="1" si="129"/>
        <v>0</v>
      </c>
      <c r="AR192">
        <f t="shared" ca="1" si="130"/>
        <v>0</v>
      </c>
      <c r="AS192">
        <f t="shared" ca="1" si="131"/>
        <v>0</v>
      </c>
      <c r="AT192">
        <f t="shared" ca="1" si="132"/>
        <v>0</v>
      </c>
      <c r="AV192" t="e">
        <f t="shared" si="6"/>
        <v>#REF!</v>
      </c>
      <c r="AW192" t="e" cm="1">
        <f t="array" ref="AW192">INDEX(auto_DataFlat_Score,$AV192,1)</f>
        <v>#REF!</v>
      </c>
      <c r="AX192" t="e" cm="1">
        <f t="array" ref="AX192">INDEX(auto_DataFlat_DataValue,$AV192,1)</f>
        <v>#REF!</v>
      </c>
      <c r="BA192" t="str">
        <f t="shared" si="133"/>
        <v>n/a</v>
      </c>
      <c r="BB192">
        <f t="shared" si="134"/>
        <v>1</v>
      </c>
      <c r="BC192" t="e">
        <f t="shared" si="135"/>
        <v>#REF!</v>
      </c>
      <c r="BD192" t="e">
        <f t="shared" ca="1" si="158"/>
        <v>#N/A</v>
      </c>
      <c r="BE192" t="e">
        <f t="shared" ca="1" si="158"/>
        <v>#N/A</v>
      </c>
      <c r="BF192" t="e">
        <f t="shared" ca="1" si="158"/>
        <v>#N/A</v>
      </c>
      <c r="BH192">
        <f t="shared" ca="1" si="157"/>
        <v>0</v>
      </c>
      <c r="BI192">
        <f t="shared" ca="1" si="157"/>
        <v>0</v>
      </c>
      <c r="BJ192">
        <f t="shared" ca="1" si="157"/>
        <v>0</v>
      </c>
      <c r="BM192" t="e">
        <f t="shared" si="136"/>
        <v>#REF!</v>
      </c>
      <c r="BN192" t="e">
        <f t="shared" ca="1" si="137"/>
        <v>#N/A</v>
      </c>
      <c r="BO192" t="e">
        <f t="shared" ca="1" si="138"/>
        <v>#N/A</v>
      </c>
      <c r="BP192" t="e">
        <f t="shared" ca="1" si="139"/>
        <v>#N/A</v>
      </c>
      <c r="BQ192" t="e">
        <f t="shared" ca="1" si="140"/>
        <v>#N/A</v>
      </c>
      <c r="BR192" t="e">
        <f t="shared" ca="1" si="141"/>
        <v>#N/A</v>
      </c>
      <c r="BS192" t="e">
        <f t="shared" ca="1" si="142"/>
        <v>#N/A</v>
      </c>
      <c r="BT192" t="e">
        <f t="shared" ca="1" si="143"/>
        <v>#N/A</v>
      </c>
      <c r="BU192">
        <f t="shared" ca="1" si="144"/>
        <v>0</v>
      </c>
      <c r="BV192">
        <f t="shared" ca="1" si="145"/>
        <v>0</v>
      </c>
      <c r="BW192">
        <f t="shared" ca="1" si="146"/>
        <v>0</v>
      </c>
      <c r="BX192">
        <f t="shared" ca="1" si="147"/>
        <v>0</v>
      </c>
      <c r="BY192">
        <f t="shared" ca="1" si="148"/>
        <v>0</v>
      </c>
      <c r="BZ192">
        <f t="shared" ca="1" si="118"/>
        <v>0</v>
      </c>
      <c r="CA192">
        <f t="shared" ca="1" si="119"/>
        <v>0</v>
      </c>
    </row>
    <row r="193" spans="1:79" x14ac:dyDescent="0.4">
      <c r="A193" t="str">
        <f t="shared" si="152"/>
        <v>X</v>
      </c>
      <c r="B193">
        <v>182</v>
      </c>
      <c r="C193" t="e" cm="1">
        <f t="array" ref="C193">INDEX(auto_Series_Code,B193)</f>
        <v>#REF!</v>
      </c>
      <c r="D193" t="e" cm="1">
        <f t="array" ref="D193">INDEX(auto_tblSeries,$B193,D$11)</f>
        <v>#REF!</v>
      </c>
      <c r="E193" t="e" cm="1">
        <f t="array" ref="E193">INDEX(auto_tblSeries,$B193,E$11)</f>
        <v>#REF!</v>
      </c>
      <c r="F193" t="e" cm="1">
        <f t="array" ref="F193">INDEX(auto_tblSeries,$B193,F$11)</f>
        <v>#REF!</v>
      </c>
      <c r="G193" t="e" cm="1">
        <f t="array" ref="G193">INDEX(auto_tblSeries,$B193,G$11)</f>
        <v>#REF!</v>
      </c>
      <c r="H193" t="e" cm="1">
        <f t="array" ref="H193">INDEX(auto_tblSeries,$B193,H$11)</f>
        <v>#REF!</v>
      </c>
      <c r="I193" t="e">
        <f t="shared" si="70"/>
        <v>#REF!</v>
      </c>
      <c r="K193" t="e" cm="1">
        <f t="array" ref="K193">INDEX(auto_DataFlat_Score,$I193,K$10)</f>
        <v>#REF!</v>
      </c>
      <c r="L193" t="e" cm="1">
        <f t="array" ref="L193">INDEX(auto_DataFlat_Rank,$I193,L$10)</f>
        <v>#REF!</v>
      </c>
      <c r="M193" t="e" cm="1">
        <f t="array" ref="M193">INDEX(auto_DataFlat_DataValue,$I193,M$10)</f>
        <v>#REF!</v>
      </c>
      <c r="N193" t="e" cm="1">
        <f t="array" ref="N193">INDEX(auto_DataFlat_Classification,$I193,M$10)</f>
        <v>#REF!</v>
      </c>
      <c r="O193" t="e" cm="1">
        <f t="array" ref="O193">INDEX(auto_DataFlat_IsEstimate,$I193,O$10)</f>
        <v>#REF!</v>
      </c>
      <c r="P193" t="e" cm="1">
        <f t="array" ref="P193">IF(INDEX(auto_DataFlat_DataYear,$I193,P$10)=0,"n/a",INDEX(auto_DataFlat_DataYear,$I193,P$10))</f>
        <v>#REF!</v>
      </c>
      <c r="R193" t="e">
        <f t="shared" si="116"/>
        <v>#REF!</v>
      </c>
      <c r="S193" t="e" cm="1">
        <f t="array" ref="S193">INDEX(auto_DataFlat_Score,$R193,S$10)</f>
        <v>#REF!</v>
      </c>
      <c r="U193" t="str">
        <f t="shared" si="120"/>
        <v>n/a</v>
      </c>
      <c r="V193">
        <f t="shared" si="121"/>
        <v>1</v>
      </c>
      <c r="W193" t="e">
        <f t="shared" si="122"/>
        <v>#REF!</v>
      </c>
      <c r="X193" t="e">
        <f t="shared" ca="1" si="159"/>
        <v>#N/A</v>
      </c>
      <c r="Y193" t="e">
        <f t="shared" ca="1" si="159"/>
        <v>#N/A</v>
      </c>
      <c r="Z193" t="e">
        <f t="shared" ca="1" si="159"/>
        <v>#N/A</v>
      </c>
      <c r="AB193">
        <f t="shared" ca="1" si="156"/>
        <v>0</v>
      </c>
      <c r="AC193">
        <f t="shared" ca="1" si="156"/>
        <v>0</v>
      </c>
      <c r="AD193">
        <f t="shared" ca="1" si="156"/>
        <v>0</v>
      </c>
      <c r="AF193" t="e">
        <f t="shared" si="124"/>
        <v>#REF!</v>
      </c>
      <c r="AG193" t="e">
        <f t="shared" ca="1" si="160"/>
        <v>#N/A</v>
      </c>
      <c r="AH193" t="e">
        <f t="shared" ca="1" si="160"/>
        <v>#N/A</v>
      </c>
      <c r="AI193" t="e">
        <f t="shared" ca="1" si="160"/>
        <v>#N/A</v>
      </c>
      <c r="AJ193" t="e">
        <f t="shared" ca="1" si="160"/>
        <v>#N/A</v>
      </c>
      <c r="AK193" t="e">
        <f t="shared" ca="1" si="160"/>
        <v>#N/A</v>
      </c>
      <c r="AL193" t="e">
        <f t="shared" ca="1" si="160"/>
        <v>#N/A</v>
      </c>
      <c r="AM193" t="e">
        <f t="shared" ca="1" si="160"/>
        <v>#N/A</v>
      </c>
      <c r="AN193">
        <f t="shared" ca="1" si="126"/>
        <v>0</v>
      </c>
      <c r="AO193">
        <f t="shared" ca="1" si="127"/>
        <v>0</v>
      </c>
      <c r="AP193">
        <f t="shared" ca="1" si="128"/>
        <v>0</v>
      </c>
      <c r="AQ193">
        <f t="shared" ca="1" si="129"/>
        <v>0</v>
      </c>
      <c r="AR193">
        <f t="shared" ca="1" si="130"/>
        <v>0</v>
      </c>
      <c r="AS193">
        <f t="shared" ca="1" si="131"/>
        <v>0</v>
      </c>
      <c r="AT193">
        <f t="shared" ca="1" si="132"/>
        <v>0</v>
      </c>
      <c r="AV193" t="e">
        <f t="shared" si="6"/>
        <v>#REF!</v>
      </c>
      <c r="AW193" t="e" cm="1">
        <f t="array" ref="AW193">INDEX(auto_DataFlat_Score,$AV193,1)</f>
        <v>#REF!</v>
      </c>
      <c r="AX193" t="e" cm="1">
        <f t="array" ref="AX193">INDEX(auto_DataFlat_DataValue,$AV193,1)</f>
        <v>#REF!</v>
      </c>
      <c r="BA193" t="str">
        <f t="shared" si="133"/>
        <v>n/a</v>
      </c>
      <c r="BB193">
        <f t="shared" si="134"/>
        <v>1</v>
      </c>
      <c r="BC193" t="e">
        <f t="shared" si="135"/>
        <v>#REF!</v>
      </c>
      <c r="BD193" t="e">
        <f t="shared" ca="1" si="158"/>
        <v>#N/A</v>
      </c>
      <c r="BE193" t="e">
        <f t="shared" ca="1" si="158"/>
        <v>#N/A</v>
      </c>
      <c r="BF193" t="e">
        <f t="shared" ca="1" si="158"/>
        <v>#N/A</v>
      </c>
      <c r="BH193">
        <f t="shared" ca="1" si="157"/>
        <v>0</v>
      </c>
      <c r="BI193">
        <f t="shared" ca="1" si="157"/>
        <v>0</v>
      </c>
      <c r="BJ193">
        <f t="shared" ca="1" si="157"/>
        <v>0</v>
      </c>
      <c r="BM193" t="e">
        <f t="shared" si="136"/>
        <v>#REF!</v>
      </c>
      <c r="BN193" t="e">
        <f t="shared" ca="1" si="137"/>
        <v>#N/A</v>
      </c>
      <c r="BO193" t="e">
        <f t="shared" ca="1" si="138"/>
        <v>#N/A</v>
      </c>
      <c r="BP193" t="e">
        <f t="shared" ca="1" si="139"/>
        <v>#N/A</v>
      </c>
      <c r="BQ193" t="e">
        <f t="shared" ca="1" si="140"/>
        <v>#N/A</v>
      </c>
      <c r="BR193" t="e">
        <f t="shared" ca="1" si="141"/>
        <v>#N/A</v>
      </c>
      <c r="BS193" t="e">
        <f t="shared" ca="1" si="142"/>
        <v>#N/A</v>
      </c>
      <c r="BT193" t="e">
        <f t="shared" ca="1" si="143"/>
        <v>#N/A</v>
      </c>
      <c r="BU193">
        <f t="shared" ca="1" si="144"/>
        <v>0</v>
      </c>
      <c r="BV193">
        <f t="shared" ca="1" si="145"/>
        <v>0</v>
      </c>
      <c r="BW193">
        <f t="shared" ca="1" si="146"/>
        <v>0</v>
      </c>
      <c r="BX193">
        <f t="shared" ca="1" si="147"/>
        <v>0</v>
      </c>
      <c r="BY193">
        <f t="shared" ca="1" si="148"/>
        <v>0</v>
      </c>
      <c r="BZ193">
        <f t="shared" ca="1" si="118"/>
        <v>0</v>
      </c>
      <c r="CA193">
        <f t="shared" ca="1" si="119"/>
        <v>0</v>
      </c>
    </row>
    <row r="194" spans="1:79" x14ac:dyDescent="0.4">
      <c r="A194" t="str">
        <f t="shared" si="152"/>
        <v>X</v>
      </c>
      <c r="B194">
        <v>183</v>
      </c>
      <c r="C194" t="e" cm="1">
        <f t="array" ref="C194">INDEX(auto_Series_Code,B194)</f>
        <v>#REF!</v>
      </c>
      <c r="D194" t="e" cm="1">
        <f t="array" ref="D194">INDEX(auto_tblSeries,$B194,D$11)</f>
        <v>#REF!</v>
      </c>
      <c r="E194" t="e" cm="1">
        <f t="array" ref="E194">INDEX(auto_tblSeries,$B194,E$11)</f>
        <v>#REF!</v>
      </c>
      <c r="F194" t="e" cm="1">
        <f t="array" ref="F194">INDEX(auto_tblSeries,$B194,F$11)</f>
        <v>#REF!</v>
      </c>
      <c r="G194" t="e" cm="1">
        <f t="array" ref="G194">INDEX(auto_tblSeries,$B194,G$11)</f>
        <v>#REF!</v>
      </c>
      <c r="H194" t="e" cm="1">
        <f t="array" ref="H194">INDEX(auto_tblSeries,$B194,H$11)</f>
        <v>#REF!</v>
      </c>
      <c r="I194" t="e">
        <f t="shared" si="70"/>
        <v>#REF!</v>
      </c>
      <c r="K194" t="e" cm="1">
        <f t="array" ref="K194">INDEX(auto_DataFlat_Score,$I194,K$10)</f>
        <v>#REF!</v>
      </c>
      <c r="L194" t="e" cm="1">
        <f t="array" ref="L194">INDEX(auto_DataFlat_Rank,$I194,L$10)</f>
        <v>#REF!</v>
      </c>
      <c r="M194" t="e" cm="1">
        <f t="array" ref="M194">INDEX(auto_DataFlat_DataValue,$I194,M$10)</f>
        <v>#REF!</v>
      </c>
      <c r="N194" t="e" cm="1">
        <f t="array" ref="N194">INDEX(auto_DataFlat_Classification,$I194,M$10)</f>
        <v>#REF!</v>
      </c>
      <c r="O194" t="e" cm="1">
        <f t="array" ref="O194">INDEX(auto_DataFlat_IsEstimate,$I194,O$10)</f>
        <v>#REF!</v>
      </c>
      <c r="P194" t="e" cm="1">
        <f t="array" ref="P194">IF(INDEX(auto_DataFlat_DataYear,$I194,P$10)=0,"n/a",INDEX(auto_DataFlat_DataYear,$I194,P$10))</f>
        <v>#REF!</v>
      </c>
      <c r="R194" t="e">
        <f t="shared" si="116"/>
        <v>#REF!</v>
      </c>
      <c r="S194" t="e" cm="1">
        <f t="array" ref="S194">INDEX(auto_DataFlat_Score,$R194,S$10)</f>
        <v>#REF!</v>
      </c>
      <c r="U194" t="str">
        <f t="shared" si="120"/>
        <v>n/a</v>
      </c>
      <c r="V194">
        <f t="shared" si="121"/>
        <v>1</v>
      </c>
      <c r="W194" t="e">
        <f t="shared" si="122"/>
        <v>#REF!</v>
      </c>
      <c r="X194" t="e">
        <f t="shared" ca="1" si="159"/>
        <v>#N/A</v>
      </c>
      <c r="Y194" t="e">
        <f t="shared" ca="1" si="159"/>
        <v>#N/A</v>
      </c>
      <c r="Z194" t="e">
        <f t="shared" ca="1" si="159"/>
        <v>#N/A</v>
      </c>
      <c r="AB194">
        <f t="shared" ca="1" si="156"/>
        <v>0</v>
      </c>
      <c r="AC194">
        <f t="shared" ca="1" si="156"/>
        <v>0</v>
      </c>
      <c r="AD194">
        <f t="shared" ca="1" si="156"/>
        <v>0</v>
      </c>
      <c r="AF194" t="e">
        <f t="shared" si="124"/>
        <v>#REF!</v>
      </c>
      <c r="AG194" t="e">
        <f t="shared" ca="1" si="160"/>
        <v>#N/A</v>
      </c>
      <c r="AH194" t="e">
        <f t="shared" ca="1" si="160"/>
        <v>#N/A</v>
      </c>
      <c r="AI194" t="e">
        <f t="shared" ca="1" si="160"/>
        <v>#N/A</v>
      </c>
      <c r="AJ194" t="e">
        <f t="shared" ca="1" si="160"/>
        <v>#N/A</v>
      </c>
      <c r="AK194" t="e">
        <f t="shared" ca="1" si="160"/>
        <v>#N/A</v>
      </c>
      <c r="AL194" t="e">
        <f t="shared" ca="1" si="160"/>
        <v>#N/A</v>
      </c>
      <c r="AM194" t="e">
        <f t="shared" ca="1" si="160"/>
        <v>#N/A</v>
      </c>
      <c r="AN194">
        <f t="shared" ca="1" si="126"/>
        <v>0</v>
      </c>
      <c r="AO194">
        <f t="shared" ca="1" si="127"/>
        <v>0</v>
      </c>
      <c r="AP194">
        <f t="shared" ca="1" si="128"/>
        <v>0</v>
      </c>
      <c r="AQ194">
        <f t="shared" ca="1" si="129"/>
        <v>0</v>
      </c>
      <c r="AR194">
        <f t="shared" ca="1" si="130"/>
        <v>0</v>
      </c>
      <c r="AS194">
        <f t="shared" ca="1" si="131"/>
        <v>0</v>
      </c>
      <c r="AT194">
        <f t="shared" ca="1" si="132"/>
        <v>0</v>
      </c>
      <c r="AV194" t="e">
        <f t="shared" si="6"/>
        <v>#REF!</v>
      </c>
      <c r="AW194" t="e" cm="1">
        <f t="array" ref="AW194">INDEX(auto_DataFlat_Score,$AV194,1)</f>
        <v>#REF!</v>
      </c>
      <c r="AX194" t="e" cm="1">
        <f t="array" ref="AX194">INDEX(auto_DataFlat_DataValue,$AV194,1)</f>
        <v>#REF!</v>
      </c>
      <c r="BA194" t="str">
        <f t="shared" si="133"/>
        <v>n/a</v>
      </c>
      <c r="BB194">
        <f t="shared" si="134"/>
        <v>1</v>
      </c>
      <c r="BC194" t="e">
        <f t="shared" si="135"/>
        <v>#REF!</v>
      </c>
      <c r="BD194" t="e">
        <f t="shared" ca="1" si="158"/>
        <v>#N/A</v>
      </c>
      <c r="BE194" t="e">
        <f t="shared" ca="1" si="158"/>
        <v>#N/A</v>
      </c>
      <c r="BF194" t="e">
        <f t="shared" ca="1" si="158"/>
        <v>#N/A</v>
      </c>
      <c r="BH194">
        <f t="shared" ca="1" si="157"/>
        <v>0</v>
      </c>
      <c r="BI194">
        <f t="shared" ca="1" si="157"/>
        <v>0</v>
      </c>
      <c r="BJ194">
        <f t="shared" ca="1" si="157"/>
        <v>0</v>
      </c>
      <c r="BM194" t="e">
        <f t="shared" si="136"/>
        <v>#REF!</v>
      </c>
      <c r="BN194" t="e">
        <f t="shared" ca="1" si="137"/>
        <v>#N/A</v>
      </c>
      <c r="BO194" t="e">
        <f t="shared" ca="1" si="138"/>
        <v>#N/A</v>
      </c>
      <c r="BP194" t="e">
        <f t="shared" ca="1" si="139"/>
        <v>#N/A</v>
      </c>
      <c r="BQ194" t="e">
        <f t="shared" ca="1" si="140"/>
        <v>#N/A</v>
      </c>
      <c r="BR194" t="e">
        <f t="shared" ca="1" si="141"/>
        <v>#N/A</v>
      </c>
      <c r="BS194" t="e">
        <f t="shared" ca="1" si="142"/>
        <v>#N/A</v>
      </c>
      <c r="BT194" t="e">
        <f t="shared" ca="1" si="143"/>
        <v>#N/A</v>
      </c>
      <c r="BU194">
        <f t="shared" ca="1" si="144"/>
        <v>0</v>
      </c>
      <c r="BV194">
        <f t="shared" ca="1" si="145"/>
        <v>0</v>
      </c>
      <c r="BW194">
        <f t="shared" ca="1" si="146"/>
        <v>0</v>
      </c>
      <c r="BX194">
        <f t="shared" ca="1" si="147"/>
        <v>0</v>
      </c>
      <c r="BY194">
        <f t="shared" ca="1" si="148"/>
        <v>0</v>
      </c>
      <c r="BZ194">
        <f t="shared" ca="1" si="118"/>
        <v>0</v>
      </c>
      <c r="CA194">
        <f t="shared" ca="1" si="119"/>
        <v>0</v>
      </c>
    </row>
    <row r="195" spans="1:79" x14ac:dyDescent="0.4">
      <c r="A195" t="str">
        <f t="shared" si="152"/>
        <v>X</v>
      </c>
      <c r="B195">
        <v>184</v>
      </c>
      <c r="C195" t="e" cm="1">
        <f t="array" ref="C195">INDEX(auto_Series_Code,B195)</f>
        <v>#REF!</v>
      </c>
      <c r="D195" t="e" cm="1">
        <f t="array" ref="D195">INDEX(auto_tblSeries,$B195,D$11)</f>
        <v>#REF!</v>
      </c>
      <c r="E195" t="e" cm="1">
        <f t="array" ref="E195">INDEX(auto_tblSeries,$B195,E$11)</f>
        <v>#REF!</v>
      </c>
      <c r="F195" t="e" cm="1">
        <f t="array" ref="F195">INDEX(auto_tblSeries,$B195,F$11)</f>
        <v>#REF!</v>
      </c>
      <c r="G195" t="e" cm="1">
        <f t="array" ref="G195">INDEX(auto_tblSeries,$B195,G$11)</f>
        <v>#REF!</v>
      </c>
      <c r="H195" t="e" cm="1">
        <f t="array" ref="H195">INDEX(auto_tblSeries,$B195,H$11)</f>
        <v>#REF!</v>
      </c>
      <c r="I195" t="e">
        <f t="shared" si="70"/>
        <v>#REF!</v>
      </c>
      <c r="K195" t="e" cm="1">
        <f t="array" ref="K195">INDEX(auto_DataFlat_Score,$I195,K$10)</f>
        <v>#REF!</v>
      </c>
      <c r="L195" t="e" cm="1">
        <f t="array" ref="L195">INDEX(auto_DataFlat_Rank,$I195,L$10)</f>
        <v>#REF!</v>
      </c>
      <c r="M195" t="e" cm="1">
        <f t="array" ref="M195">INDEX(auto_DataFlat_DataValue,$I195,M$10)</f>
        <v>#REF!</v>
      </c>
      <c r="N195" t="e" cm="1">
        <f t="array" ref="N195">INDEX(auto_DataFlat_Classification,$I195,M$10)</f>
        <v>#REF!</v>
      </c>
      <c r="O195" t="e" cm="1">
        <f t="array" ref="O195">INDEX(auto_DataFlat_IsEstimate,$I195,O$10)</f>
        <v>#REF!</v>
      </c>
      <c r="P195" t="e" cm="1">
        <f t="array" ref="P195">IF(INDEX(auto_DataFlat_DataYear,$I195,P$10)=0,"n/a",INDEX(auto_DataFlat_DataYear,$I195,P$10))</f>
        <v>#REF!</v>
      </c>
      <c r="R195" t="e">
        <f t="shared" si="116"/>
        <v>#REF!</v>
      </c>
      <c r="S195" t="e" cm="1">
        <f t="array" ref="S195">INDEX(auto_DataFlat_Score,$R195,S$10)</f>
        <v>#REF!</v>
      </c>
      <c r="U195" t="str">
        <f t="shared" si="120"/>
        <v>n/a</v>
      </c>
      <c r="V195">
        <f t="shared" si="121"/>
        <v>1</v>
      </c>
      <c r="W195" t="e">
        <f t="shared" si="122"/>
        <v>#REF!</v>
      </c>
      <c r="X195" t="e">
        <f t="shared" ca="1" si="159"/>
        <v>#N/A</v>
      </c>
      <c r="Y195" t="e">
        <f t="shared" ca="1" si="159"/>
        <v>#N/A</v>
      </c>
      <c r="Z195" t="e">
        <f t="shared" ca="1" si="159"/>
        <v>#N/A</v>
      </c>
      <c r="AB195">
        <f t="shared" ca="1" si="156"/>
        <v>0</v>
      </c>
      <c r="AC195">
        <f t="shared" ca="1" si="156"/>
        <v>0</v>
      </c>
      <c r="AD195">
        <f t="shared" ca="1" si="156"/>
        <v>0</v>
      </c>
      <c r="AF195" t="e">
        <f t="shared" si="124"/>
        <v>#REF!</v>
      </c>
      <c r="AG195" t="e">
        <f t="shared" ca="1" si="160"/>
        <v>#N/A</v>
      </c>
      <c r="AH195" t="e">
        <f t="shared" ca="1" si="160"/>
        <v>#N/A</v>
      </c>
      <c r="AI195" t="e">
        <f t="shared" ca="1" si="160"/>
        <v>#N/A</v>
      </c>
      <c r="AJ195" t="e">
        <f t="shared" ca="1" si="160"/>
        <v>#N/A</v>
      </c>
      <c r="AK195" t="e">
        <f t="shared" ca="1" si="160"/>
        <v>#N/A</v>
      </c>
      <c r="AL195" t="e">
        <f t="shared" ca="1" si="160"/>
        <v>#N/A</v>
      </c>
      <c r="AM195" t="e">
        <f t="shared" ca="1" si="160"/>
        <v>#N/A</v>
      </c>
      <c r="AN195">
        <f t="shared" ca="1" si="126"/>
        <v>0</v>
      </c>
      <c r="AO195">
        <f t="shared" ca="1" si="127"/>
        <v>0</v>
      </c>
      <c r="AP195">
        <f t="shared" ca="1" si="128"/>
        <v>0</v>
      </c>
      <c r="AQ195">
        <f t="shared" ca="1" si="129"/>
        <v>0</v>
      </c>
      <c r="AR195">
        <f t="shared" ca="1" si="130"/>
        <v>0</v>
      </c>
      <c r="AS195">
        <f t="shared" ca="1" si="131"/>
        <v>0</v>
      </c>
      <c r="AT195">
        <f t="shared" ca="1" si="132"/>
        <v>0</v>
      </c>
      <c r="AV195" t="e">
        <f t="shared" si="6"/>
        <v>#REF!</v>
      </c>
      <c r="AW195" t="e" cm="1">
        <f t="array" ref="AW195">INDEX(auto_DataFlat_Score,$AV195,1)</f>
        <v>#REF!</v>
      </c>
      <c r="AX195" t="e" cm="1">
        <f t="array" ref="AX195">INDEX(auto_DataFlat_DataValue,$AV195,1)</f>
        <v>#REF!</v>
      </c>
      <c r="BA195" t="str">
        <f t="shared" si="133"/>
        <v>n/a</v>
      </c>
      <c r="BB195">
        <f t="shared" si="134"/>
        <v>1</v>
      </c>
      <c r="BC195" t="e">
        <f t="shared" si="135"/>
        <v>#REF!</v>
      </c>
      <c r="BD195" t="e">
        <f t="shared" ca="1" si="158"/>
        <v>#N/A</v>
      </c>
      <c r="BE195" t="e">
        <f t="shared" ca="1" si="158"/>
        <v>#N/A</v>
      </c>
      <c r="BF195" t="e">
        <f t="shared" ca="1" si="158"/>
        <v>#N/A</v>
      </c>
      <c r="BH195">
        <f t="shared" ca="1" si="157"/>
        <v>0</v>
      </c>
      <c r="BI195">
        <f t="shared" ca="1" si="157"/>
        <v>0</v>
      </c>
      <c r="BJ195">
        <f t="shared" ca="1" si="157"/>
        <v>0</v>
      </c>
      <c r="BM195" t="e">
        <f t="shared" si="136"/>
        <v>#REF!</v>
      </c>
      <c r="BN195" t="e">
        <f t="shared" ca="1" si="137"/>
        <v>#N/A</v>
      </c>
      <c r="BO195" t="e">
        <f t="shared" ca="1" si="138"/>
        <v>#N/A</v>
      </c>
      <c r="BP195" t="e">
        <f t="shared" ca="1" si="139"/>
        <v>#N/A</v>
      </c>
      <c r="BQ195" t="e">
        <f t="shared" ca="1" si="140"/>
        <v>#N/A</v>
      </c>
      <c r="BR195" t="e">
        <f t="shared" ca="1" si="141"/>
        <v>#N/A</v>
      </c>
      <c r="BS195" t="e">
        <f t="shared" ca="1" si="142"/>
        <v>#N/A</v>
      </c>
      <c r="BT195" t="e">
        <f t="shared" ca="1" si="143"/>
        <v>#N/A</v>
      </c>
      <c r="BU195">
        <f t="shared" ca="1" si="144"/>
        <v>0</v>
      </c>
      <c r="BV195">
        <f t="shared" ca="1" si="145"/>
        <v>0</v>
      </c>
      <c r="BW195">
        <f t="shared" ca="1" si="146"/>
        <v>0</v>
      </c>
      <c r="BX195">
        <f t="shared" ca="1" si="147"/>
        <v>0</v>
      </c>
      <c r="BY195">
        <f t="shared" ca="1" si="148"/>
        <v>0</v>
      </c>
      <c r="BZ195">
        <f t="shared" ca="1" si="118"/>
        <v>0</v>
      </c>
      <c r="CA195">
        <f t="shared" ca="1" si="119"/>
        <v>0</v>
      </c>
    </row>
    <row r="196" spans="1:79" x14ac:dyDescent="0.4">
      <c r="A196" t="str">
        <f t="shared" si="152"/>
        <v>X</v>
      </c>
      <c r="B196">
        <v>185</v>
      </c>
      <c r="C196" t="e" cm="1">
        <f t="array" ref="C196">INDEX(auto_Series_Code,B196)</f>
        <v>#REF!</v>
      </c>
      <c r="D196" t="e" cm="1">
        <f t="array" ref="D196">INDEX(auto_tblSeries,$B196,D$11)</f>
        <v>#REF!</v>
      </c>
      <c r="E196" t="e" cm="1">
        <f t="array" ref="E196">INDEX(auto_tblSeries,$B196,E$11)</f>
        <v>#REF!</v>
      </c>
      <c r="F196" t="e" cm="1">
        <f t="array" ref="F196">INDEX(auto_tblSeries,$B196,F$11)</f>
        <v>#REF!</v>
      </c>
      <c r="G196" t="e" cm="1">
        <f t="array" ref="G196">INDEX(auto_tblSeries,$B196,G$11)</f>
        <v>#REF!</v>
      </c>
      <c r="H196" t="e" cm="1">
        <f t="array" ref="H196">INDEX(auto_tblSeries,$B196,H$11)</f>
        <v>#REF!</v>
      </c>
      <c r="I196" t="e">
        <f t="shared" si="70"/>
        <v>#REF!</v>
      </c>
      <c r="K196" t="e" cm="1">
        <f t="array" ref="K196">INDEX(auto_DataFlat_Score,$I196,K$10)</f>
        <v>#REF!</v>
      </c>
      <c r="L196" t="e" cm="1">
        <f t="array" ref="L196">INDEX(auto_DataFlat_Rank,$I196,L$10)</f>
        <v>#REF!</v>
      </c>
      <c r="M196" t="e" cm="1">
        <f t="array" ref="M196">INDEX(auto_DataFlat_DataValue,$I196,M$10)</f>
        <v>#REF!</v>
      </c>
      <c r="N196" t="e" cm="1">
        <f t="array" ref="N196">INDEX(auto_DataFlat_Classification,$I196,M$10)</f>
        <v>#REF!</v>
      </c>
      <c r="O196" t="e" cm="1">
        <f t="array" ref="O196">INDEX(auto_DataFlat_IsEstimate,$I196,O$10)</f>
        <v>#REF!</v>
      </c>
      <c r="P196" t="e" cm="1">
        <f t="array" ref="P196">IF(INDEX(auto_DataFlat_DataYear,$I196,P$10)=0,"n/a",INDEX(auto_DataFlat_DataYear,$I196,P$10))</f>
        <v>#REF!</v>
      </c>
      <c r="R196" t="e">
        <f t="shared" si="116"/>
        <v>#REF!</v>
      </c>
      <c r="S196" t="e" cm="1">
        <f t="array" ref="S196">INDEX(auto_DataFlat_Score,$R196,S$10)</f>
        <v>#REF!</v>
      </c>
      <c r="U196" t="str">
        <f t="shared" si="120"/>
        <v>n/a</v>
      </c>
      <c r="V196">
        <f t="shared" si="121"/>
        <v>1</v>
      </c>
      <c r="W196" t="e">
        <f t="shared" si="122"/>
        <v>#REF!</v>
      </c>
      <c r="X196" t="e">
        <f t="shared" ca="1" si="159"/>
        <v>#N/A</v>
      </c>
      <c r="Y196" t="e">
        <f t="shared" ca="1" si="159"/>
        <v>#N/A</v>
      </c>
      <c r="Z196" t="e">
        <f t="shared" ca="1" si="159"/>
        <v>#N/A</v>
      </c>
      <c r="AB196">
        <f t="shared" ca="1" si="156"/>
        <v>0</v>
      </c>
      <c r="AC196">
        <f t="shared" ca="1" si="156"/>
        <v>0</v>
      </c>
      <c r="AD196">
        <f t="shared" ca="1" si="156"/>
        <v>0</v>
      </c>
      <c r="AF196" t="e">
        <f t="shared" si="124"/>
        <v>#REF!</v>
      </c>
      <c r="AG196" t="e">
        <f t="shared" ca="1" si="160"/>
        <v>#N/A</v>
      </c>
      <c r="AH196" t="e">
        <f t="shared" ca="1" si="160"/>
        <v>#N/A</v>
      </c>
      <c r="AI196" t="e">
        <f t="shared" ca="1" si="160"/>
        <v>#N/A</v>
      </c>
      <c r="AJ196" t="e">
        <f t="shared" ca="1" si="160"/>
        <v>#N/A</v>
      </c>
      <c r="AK196" t="e">
        <f t="shared" ca="1" si="160"/>
        <v>#N/A</v>
      </c>
      <c r="AL196" t="e">
        <f t="shared" ca="1" si="160"/>
        <v>#N/A</v>
      </c>
      <c r="AM196" t="e">
        <f t="shared" ca="1" si="160"/>
        <v>#N/A</v>
      </c>
      <c r="AN196">
        <f t="shared" ca="1" si="126"/>
        <v>0</v>
      </c>
      <c r="AO196">
        <f t="shared" ca="1" si="127"/>
        <v>0</v>
      </c>
      <c r="AP196">
        <f t="shared" ca="1" si="128"/>
        <v>0</v>
      </c>
      <c r="AQ196">
        <f t="shared" ca="1" si="129"/>
        <v>0</v>
      </c>
      <c r="AR196">
        <f t="shared" ca="1" si="130"/>
        <v>0</v>
      </c>
      <c r="AS196">
        <f t="shared" ca="1" si="131"/>
        <v>0</v>
      </c>
      <c r="AT196">
        <f t="shared" ca="1" si="132"/>
        <v>0</v>
      </c>
      <c r="AV196" t="e">
        <f t="shared" si="6"/>
        <v>#REF!</v>
      </c>
      <c r="AW196" t="e" cm="1">
        <f t="array" ref="AW196">INDEX(auto_DataFlat_Score,$AV196,1)</f>
        <v>#REF!</v>
      </c>
      <c r="AX196" t="e" cm="1">
        <f t="array" ref="AX196">INDEX(auto_DataFlat_DataValue,$AV196,1)</f>
        <v>#REF!</v>
      </c>
      <c r="BA196" t="str">
        <f t="shared" si="133"/>
        <v>n/a</v>
      </c>
      <c r="BB196">
        <f t="shared" si="134"/>
        <v>1</v>
      </c>
      <c r="BC196" t="e">
        <f t="shared" si="135"/>
        <v>#REF!</v>
      </c>
      <c r="BD196" t="e">
        <f t="shared" ca="1" si="158"/>
        <v>#N/A</v>
      </c>
      <c r="BE196" t="e">
        <f t="shared" ca="1" si="158"/>
        <v>#N/A</v>
      </c>
      <c r="BF196" t="e">
        <f t="shared" ca="1" si="158"/>
        <v>#N/A</v>
      </c>
      <c r="BH196">
        <f t="shared" ca="1" si="157"/>
        <v>0</v>
      </c>
      <c r="BI196">
        <f t="shared" ca="1" si="157"/>
        <v>0</v>
      </c>
      <c r="BJ196">
        <f t="shared" ca="1" si="157"/>
        <v>0</v>
      </c>
      <c r="BM196" t="e">
        <f t="shared" si="136"/>
        <v>#REF!</v>
      </c>
      <c r="BN196" t="e">
        <f t="shared" ca="1" si="137"/>
        <v>#N/A</v>
      </c>
      <c r="BO196" t="e">
        <f t="shared" ca="1" si="138"/>
        <v>#N/A</v>
      </c>
      <c r="BP196" t="e">
        <f t="shared" ca="1" si="139"/>
        <v>#N/A</v>
      </c>
      <c r="BQ196" t="e">
        <f t="shared" ca="1" si="140"/>
        <v>#N/A</v>
      </c>
      <c r="BR196" t="e">
        <f t="shared" ca="1" si="141"/>
        <v>#N/A</v>
      </c>
      <c r="BS196" t="e">
        <f t="shared" ca="1" si="142"/>
        <v>#N/A</v>
      </c>
      <c r="BT196" t="e">
        <f t="shared" ca="1" si="143"/>
        <v>#N/A</v>
      </c>
      <c r="BU196">
        <f t="shared" ca="1" si="144"/>
        <v>0</v>
      </c>
      <c r="BV196">
        <f t="shared" ca="1" si="145"/>
        <v>0</v>
      </c>
      <c r="BW196">
        <f t="shared" ca="1" si="146"/>
        <v>0</v>
      </c>
      <c r="BX196">
        <f t="shared" ca="1" si="147"/>
        <v>0</v>
      </c>
      <c r="BY196">
        <f t="shared" ca="1" si="148"/>
        <v>0</v>
      </c>
      <c r="BZ196">
        <f t="shared" ca="1" si="118"/>
        <v>0</v>
      </c>
      <c r="CA196">
        <f t="shared" ca="1" si="119"/>
        <v>0</v>
      </c>
    </row>
    <row r="197" spans="1:79" x14ac:dyDescent="0.4">
      <c r="A197" t="str">
        <f t="shared" si="152"/>
        <v>X</v>
      </c>
      <c r="B197">
        <v>186</v>
      </c>
      <c r="C197" t="e" cm="1">
        <f t="array" ref="C197">INDEX(auto_Series_Code,B197)</f>
        <v>#REF!</v>
      </c>
      <c r="D197" t="e" cm="1">
        <f t="array" ref="D197">INDEX(auto_tblSeries,$B197,D$11)</f>
        <v>#REF!</v>
      </c>
      <c r="E197" t="e" cm="1">
        <f t="array" ref="E197">INDEX(auto_tblSeries,$B197,E$11)</f>
        <v>#REF!</v>
      </c>
      <c r="F197" t="e" cm="1">
        <f t="array" ref="F197">INDEX(auto_tblSeries,$B197,F$11)</f>
        <v>#REF!</v>
      </c>
      <c r="G197" t="e" cm="1">
        <f t="array" ref="G197">INDEX(auto_tblSeries,$B197,G$11)</f>
        <v>#REF!</v>
      </c>
      <c r="H197" t="e" cm="1">
        <f t="array" ref="H197">INDEX(auto_tblSeries,$B197,H$11)</f>
        <v>#REF!</v>
      </c>
      <c r="I197" t="e">
        <f t="shared" si="70"/>
        <v>#REF!</v>
      </c>
      <c r="K197" t="e" cm="1">
        <f t="array" ref="K197">INDEX(auto_DataFlat_Score,$I197,K$10)</f>
        <v>#REF!</v>
      </c>
      <c r="L197" t="e" cm="1">
        <f t="array" ref="L197">INDEX(auto_DataFlat_Rank,$I197,L$10)</f>
        <v>#REF!</v>
      </c>
      <c r="M197" t="e" cm="1">
        <f t="array" ref="M197">INDEX(auto_DataFlat_DataValue,$I197,M$10)</f>
        <v>#REF!</v>
      </c>
      <c r="N197" t="e" cm="1">
        <f t="array" ref="N197">INDEX(auto_DataFlat_Classification,$I197,M$10)</f>
        <v>#REF!</v>
      </c>
      <c r="O197" t="e" cm="1">
        <f t="array" ref="O197">INDEX(auto_DataFlat_IsEstimate,$I197,O$10)</f>
        <v>#REF!</v>
      </c>
      <c r="P197" t="e" cm="1">
        <f t="array" ref="P197">IF(INDEX(auto_DataFlat_DataYear,$I197,P$10)=0,"n/a",INDEX(auto_DataFlat_DataYear,$I197,P$10))</f>
        <v>#REF!</v>
      </c>
      <c r="R197" t="e">
        <f t="shared" si="116"/>
        <v>#REF!</v>
      </c>
      <c r="S197" t="e" cm="1">
        <f t="array" ref="S197">INDEX(auto_DataFlat_Score,$R197,S$10)</f>
        <v>#REF!</v>
      </c>
      <c r="U197" t="str">
        <f t="shared" si="120"/>
        <v>n/a</v>
      </c>
      <c r="V197">
        <f t="shared" si="121"/>
        <v>1</v>
      </c>
      <c r="W197" t="e">
        <f t="shared" si="122"/>
        <v>#REF!</v>
      </c>
      <c r="X197" t="e">
        <f t="shared" ca="1" si="159"/>
        <v>#N/A</v>
      </c>
      <c r="Y197" t="e">
        <f t="shared" ca="1" si="159"/>
        <v>#N/A</v>
      </c>
      <c r="Z197" t="e">
        <f t="shared" ca="1" si="159"/>
        <v>#N/A</v>
      </c>
      <c r="AB197">
        <f t="shared" ca="1" si="156"/>
        <v>0</v>
      </c>
      <c r="AC197">
        <f t="shared" ca="1" si="156"/>
        <v>0</v>
      </c>
      <c r="AD197">
        <f t="shared" ca="1" si="156"/>
        <v>0</v>
      </c>
      <c r="AF197" t="e">
        <f t="shared" si="124"/>
        <v>#REF!</v>
      </c>
      <c r="AG197" t="e">
        <f t="shared" ca="1" si="160"/>
        <v>#N/A</v>
      </c>
      <c r="AH197" t="e">
        <f t="shared" ca="1" si="160"/>
        <v>#N/A</v>
      </c>
      <c r="AI197" t="e">
        <f t="shared" ca="1" si="160"/>
        <v>#N/A</v>
      </c>
      <c r="AJ197" t="e">
        <f t="shared" ca="1" si="160"/>
        <v>#N/A</v>
      </c>
      <c r="AK197" t="e">
        <f t="shared" ca="1" si="160"/>
        <v>#N/A</v>
      </c>
      <c r="AL197" t="e">
        <f t="shared" ca="1" si="160"/>
        <v>#N/A</v>
      </c>
      <c r="AM197" t="e">
        <f t="shared" ca="1" si="160"/>
        <v>#N/A</v>
      </c>
      <c r="AN197">
        <f t="shared" ca="1" si="126"/>
        <v>0</v>
      </c>
      <c r="AO197">
        <f t="shared" ca="1" si="127"/>
        <v>0</v>
      </c>
      <c r="AP197">
        <f t="shared" ca="1" si="128"/>
        <v>0</v>
      </c>
      <c r="AQ197">
        <f t="shared" ca="1" si="129"/>
        <v>0</v>
      </c>
      <c r="AR197">
        <f t="shared" ca="1" si="130"/>
        <v>0</v>
      </c>
      <c r="AS197">
        <f t="shared" ca="1" si="131"/>
        <v>0</v>
      </c>
      <c r="AT197">
        <f t="shared" ca="1" si="132"/>
        <v>0</v>
      </c>
      <c r="AV197" t="e">
        <f t="shared" si="6"/>
        <v>#REF!</v>
      </c>
      <c r="AW197" t="e" cm="1">
        <f t="array" ref="AW197">INDEX(auto_DataFlat_Score,$AV197,1)</f>
        <v>#REF!</v>
      </c>
      <c r="AX197" t="e" cm="1">
        <f t="array" ref="AX197">INDEX(auto_DataFlat_DataValue,$AV197,1)</f>
        <v>#REF!</v>
      </c>
      <c r="BA197" t="str">
        <f t="shared" si="133"/>
        <v>n/a</v>
      </c>
      <c r="BB197">
        <f t="shared" si="134"/>
        <v>1</v>
      </c>
      <c r="BC197" t="e">
        <f t="shared" si="135"/>
        <v>#REF!</v>
      </c>
      <c r="BD197" t="e">
        <f t="shared" ca="1" si="158"/>
        <v>#N/A</v>
      </c>
      <c r="BE197" t="e">
        <f t="shared" ca="1" si="158"/>
        <v>#N/A</v>
      </c>
      <c r="BF197" t="e">
        <f t="shared" ca="1" si="158"/>
        <v>#N/A</v>
      </c>
      <c r="BH197">
        <f t="shared" ca="1" si="157"/>
        <v>0</v>
      </c>
      <c r="BI197">
        <f t="shared" ca="1" si="157"/>
        <v>0</v>
      </c>
      <c r="BJ197">
        <f t="shared" ca="1" si="157"/>
        <v>0</v>
      </c>
      <c r="BM197" t="e">
        <f t="shared" si="136"/>
        <v>#REF!</v>
      </c>
      <c r="BN197" t="e">
        <f t="shared" ca="1" si="137"/>
        <v>#N/A</v>
      </c>
      <c r="BO197" t="e">
        <f t="shared" ca="1" si="138"/>
        <v>#N/A</v>
      </c>
      <c r="BP197" t="e">
        <f t="shared" ca="1" si="139"/>
        <v>#N/A</v>
      </c>
      <c r="BQ197" t="e">
        <f t="shared" ca="1" si="140"/>
        <v>#N/A</v>
      </c>
      <c r="BR197" t="e">
        <f t="shared" ca="1" si="141"/>
        <v>#N/A</v>
      </c>
      <c r="BS197" t="e">
        <f t="shared" ca="1" si="142"/>
        <v>#N/A</v>
      </c>
      <c r="BT197" t="e">
        <f t="shared" ca="1" si="143"/>
        <v>#N/A</v>
      </c>
      <c r="BU197">
        <f t="shared" ca="1" si="144"/>
        <v>0</v>
      </c>
      <c r="BV197">
        <f t="shared" ca="1" si="145"/>
        <v>0</v>
      </c>
      <c r="BW197">
        <f t="shared" ca="1" si="146"/>
        <v>0</v>
      </c>
      <c r="BX197">
        <f t="shared" ca="1" si="147"/>
        <v>0</v>
      </c>
      <c r="BY197">
        <f t="shared" ca="1" si="148"/>
        <v>0</v>
      </c>
      <c r="BZ197">
        <f t="shared" ca="1" si="118"/>
        <v>0</v>
      </c>
      <c r="CA197">
        <f t="shared" ca="1" si="119"/>
        <v>0</v>
      </c>
    </row>
    <row r="198" spans="1:79" x14ac:dyDescent="0.4">
      <c r="A198" t="str">
        <f t="shared" si="152"/>
        <v>X</v>
      </c>
      <c r="B198">
        <v>187</v>
      </c>
      <c r="C198" t="e" cm="1">
        <f t="array" ref="C198">INDEX(auto_Series_Code,B198)</f>
        <v>#REF!</v>
      </c>
      <c r="D198" t="e" cm="1">
        <f t="array" ref="D198">INDEX(auto_tblSeries,$B198,D$11)</f>
        <v>#REF!</v>
      </c>
      <c r="E198" t="e" cm="1">
        <f t="array" ref="E198">INDEX(auto_tblSeries,$B198,E$11)</f>
        <v>#REF!</v>
      </c>
      <c r="F198" t="e" cm="1">
        <f t="array" ref="F198">INDEX(auto_tblSeries,$B198,F$11)</f>
        <v>#REF!</v>
      </c>
      <c r="G198" t="e" cm="1">
        <f t="array" ref="G198">INDEX(auto_tblSeries,$B198,G$11)</f>
        <v>#REF!</v>
      </c>
      <c r="H198" t="e" cm="1">
        <f t="array" ref="H198">INDEX(auto_tblSeries,$B198,H$11)</f>
        <v>#REF!</v>
      </c>
      <c r="I198" t="e">
        <f t="shared" si="70"/>
        <v>#REF!</v>
      </c>
      <c r="K198" t="e" cm="1">
        <f t="array" ref="K198">INDEX(auto_DataFlat_Score,$I198,K$10)</f>
        <v>#REF!</v>
      </c>
      <c r="L198" t="e" cm="1">
        <f t="array" ref="L198">INDEX(auto_DataFlat_Rank,$I198,L$10)</f>
        <v>#REF!</v>
      </c>
      <c r="M198" t="e" cm="1">
        <f t="array" ref="M198">INDEX(auto_DataFlat_DataValue,$I198,M$10)</f>
        <v>#REF!</v>
      </c>
      <c r="N198" t="e" cm="1">
        <f t="array" ref="N198">INDEX(auto_DataFlat_Classification,$I198,M$10)</f>
        <v>#REF!</v>
      </c>
      <c r="O198" t="e" cm="1">
        <f t="array" ref="O198">INDEX(auto_DataFlat_IsEstimate,$I198,O$10)</f>
        <v>#REF!</v>
      </c>
      <c r="P198" t="e" cm="1">
        <f t="array" ref="P198">IF(INDEX(auto_DataFlat_DataYear,$I198,P$10)=0,"n/a",INDEX(auto_DataFlat_DataYear,$I198,P$10))</f>
        <v>#REF!</v>
      </c>
      <c r="R198" t="e">
        <f t="shared" si="116"/>
        <v>#REF!</v>
      </c>
      <c r="S198" t="e" cm="1">
        <f t="array" ref="S198">INDEX(auto_DataFlat_Score,$R198,S$10)</f>
        <v>#REF!</v>
      </c>
      <c r="U198" t="str">
        <f t="shared" si="120"/>
        <v>n/a</v>
      </c>
      <c r="V198">
        <f t="shared" si="121"/>
        <v>1</v>
      </c>
      <c r="W198" t="e">
        <f t="shared" si="122"/>
        <v>#REF!</v>
      </c>
      <c r="X198" t="e">
        <f t="shared" ca="1" si="159"/>
        <v>#N/A</v>
      </c>
      <c r="Y198" t="e">
        <f t="shared" ca="1" si="159"/>
        <v>#N/A</v>
      </c>
      <c r="Z198" t="e">
        <f t="shared" ca="1" si="159"/>
        <v>#N/A</v>
      </c>
      <c r="AB198">
        <f t="shared" ca="1" si="156"/>
        <v>0</v>
      </c>
      <c r="AC198">
        <f t="shared" ca="1" si="156"/>
        <v>0</v>
      </c>
      <c r="AD198">
        <f t="shared" ca="1" si="156"/>
        <v>0</v>
      </c>
      <c r="AF198" t="e">
        <f t="shared" si="124"/>
        <v>#REF!</v>
      </c>
      <c r="AG198" t="e">
        <f t="shared" ca="1" si="160"/>
        <v>#N/A</v>
      </c>
      <c r="AH198" t="e">
        <f t="shared" ca="1" si="160"/>
        <v>#N/A</v>
      </c>
      <c r="AI198" t="e">
        <f t="shared" ca="1" si="160"/>
        <v>#N/A</v>
      </c>
      <c r="AJ198" t="e">
        <f t="shared" ca="1" si="160"/>
        <v>#N/A</v>
      </c>
      <c r="AK198" t="e">
        <f t="shared" ca="1" si="160"/>
        <v>#N/A</v>
      </c>
      <c r="AL198" t="e">
        <f t="shared" ca="1" si="160"/>
        <v>#N/A</v>
      </c>
      <c r="AM198" t="e">
        <f t="shared" ca="1" si="160"/>
        <v>#N/A</v>
      </c>
      <c r="AN198">
        <f t="shared" ca="1" si="126"/>
        <v>0</v>
      </c>
      <c r="AO198">
        <f t="shared" ca="1" si="127"/>
        <v>0</v>
      </c>
      <c r="AP198">
        <f t="shared" ca="1" si="128"/>
        <v>0</v>
      </c>
      <c r="AQ198">
        <f t="shared" ca="1" si="129"/>
        <v>0</v>
      </c>
      <c r="AR198">
        <f t="shared" ca="1" si="130"/>
        <v>0</v>
      </c>
      <c r="AS198">
        <f t="shared" ca="1" si="131"/>
        <v>0</v>
      </c>
      <c r="AT198">
        <f t="shared" ca="1" si="132"/>
        <v>0</v>
      </c>
      <c r="AV198" t="e">
        <f t="shared" si="6"/>
        <v>#REF!</v>
      </c>
      <c r="AW198" t="e" cm="1">
        <f t="array" ref="AW198">INDEX(auto_DataFlat_Score,$AV198,1)</f>
        <v>#REF!</v>
      </c>
      <c r="AX198" t="e" cm="1">
        <f t="array" ref="AX198">INDEX(auto_DataFlat_DataValue,$AV198,1)</f>
        <v>#REF!</v>
      </c>
      <c r="BA198" t="str">
        <f t="shared" si="133"/>
        <v>n/a</v>
      </c>
      <c r="BB198">
        <f t="shared" si="134"/>
        <v>1</v>
      </c>
      <c r="BC198" t="e">
        <f t="shared" si="135"/>
        <v>#REF!</v>
      </c>
      <c r="BD198" t="e">
        <f t="shared" ca="1" si="158"/>
        <v>#N/A</v>
      </c>
      <c r="BE198" t="e">
        <f t="shared" ca="1" si="158"/>
        <v>#N/A</v>
      </c>
      <c r="BF198" t="e">
        <f t="shared" ca="1" si="158"/>
        <v>#N/A</v>
      </c>
      <c r="BH198">
        <f t="shared" ca="1" si="157"/>
        <v>0</v>
      </c>
      <c r="BI198">
        <f t="shared" ca="1" si="157"/>
        <v>0</v>
      </c>
      <c r="BJ198">
        <f t="shared" ca="1" si="157"/>
        <v>0</v>
      </c>
      <c r="BM198" t="e">
        <f t="shared" si="136"/>
        <v>#REF!</v>
      </c>
      <c r="BN198" t="e">
        <f t="shared" ca="1" si="137"/>
        <v>#N/A</v>
      </c>
      <c r="BO198" t="e">
        <f t="shared" ca="1" si="138"/>
        <v>#N/A</v>
      </c>
      <c r="BP198" t="e">
        <f t="shared" ca="1" si="139"/>
        <v>#N/A</v>
      </c>
      <c r="BQ198" t="e">
        <f t="shared" ca="1" si="140"/>
        <v>#N/A</v>
      </c>
      <c r="BR198" t="e">
        <f t="shared" ca="1" si="141"/>
        <v>#N/A</v>
      </c>
      <c r="BS198" t="e">
        <f t="shared" ca="1" si="142"/>
        <v>#N/A</v>
      </c>
      <c r="BT198" t="e">
        <f t="shared" ca="1" si="143"/>
        <v>#N/A</v>
      </c>
      <c r="BU198">
        <f t="shared" ca="1" si="144"/>
        <v>0</v>
      </c>
      <c r="BV198">
        <f t="shared" ca="1" si="145"/>
        <v>0</v>
      </c>
      <c r="BW198">
        <f t="shared" ca="1" si="146"/>
        <v>0</v>
      </c>
      <c r="BX198">
        <f t="shared" ca="1" si="147"/>
        <v>0</v>
      </c>
      <c r="BY198">
        <f t="shared" ca="1" si="148"/>
        <v>0</v>
      </c>
      <c r="BZ198">
        <f t="shared" ca="1" si="118"/>
        <v>0</v>
      </c>
      <c r="CA198">
        <f t="shared" ca="1" si="119"/>
        <v>0</v>
      </c>
    </row>
    <row r="199" spans="1:79" x14ac:dyDescent="0.4">
      <c r="A199" t="str">
        <f t="shared" si="152"/>
        <v>X</v>
      </c>
      <c r="B199">
        <v>188</v>
      </c>
      <c r="C199" t="e" cm="1">
        <f t="array" ref="C199">INDEX(auto_Series_Code,B199)</f>
        <v>#REF!</v>
      </c>
      <c r="D199" t="e" cm="1">
        <f t="array" ref="D199">INDEX(auto_tblSeries,$B199,D$11)</f>
        <v>#REF!</v>
      </c>
      <c r="E199" t="e" cm="1">
        <f t="array" ref="E199">INDEX(auto_tblSeries,$B199,E$11)</f>
        <v>#REF!</v>
      </c>
      <c r="F199" t="e" cm="1">
        <f t="array" ref="F199">INDEX(auto_tblSeries,$B199,F$11)</f>
        <v>#REF!</v>
      </c>
      <c r="G199" t="e" cm="1">
        <f t="array" ref="G199">INDEX(auto_tblSeries,$B199,G$11)</f>
        <v>#REF!</v>
      </c>
      <c r="H199" t="e" cm="1">
        <f t="array" ref="H199">INDEX(auto_tblSeries,$B199,H$11)</f>
        <v>#REF!</v>
      </c>
      <c r="I199" t="e">
        <f t="shared" si="70"/>
        <v>#REF!</v>
      </c>
      <c r="K199" t="e" cm="1">
        <f t="array" ref="K199">INDEX(auto_DataFlat_Score,$I199,K$10)</f>
        <v>#REF!</v>
      </c>
      <c r="L199" t="e" cm="1">
        <f t="array" ref="L199">INDEX(auto_DataFlat_Rank,$I199,L$10)</f>
        <v>#REF!</v>
      </c>
      <c r="M199" t="e" cm="1">
        <f t="array" ref="M199">INDEX(auto_DataFlat_DataValue,$I199,M$10)</f>
        <v>#REF!</v>
      </c>
      <c r="N199" t="e" cm="1">
        <f t="array" ref="N199">INDEX(auto_DataFlat_Classification,$I199,M$10)</f>
        <v>#REF!</v>
      </c>
      <c r="O199" t="e" cm="1">
        <f t="array" ref="O199">INDEX(auto_DataFlat_IsEstimate,$I199,O$10)</f>
        <v>#REF!</v>
      </c>
      <c r="P199" t="e" cm="1">
        <f t="array" ref="P199">IF(INDEX(auto_DataFlat_DataYear,$I199,P$10)=0,"n/a",INDEX(auto_DataFlat_DataYear,$I199,P$10))</f>
        <v>#REF!</v>
      </c>
      <c r="R199" t="e">
        <f t="shared" si="116"/>
        <v>#REF!</v>
      </c>
      <c r="S199" t="e" cm="1">
        <f t="array" ref="S199">INDEX(auto_DataFlat_Score,$R199,S$10)</f>
        <v>#REF!</v>
      </c>
      <c r="U199" t="str">
        <f t="shared" si="120"/>
        <v>n/a</v>
      </c>
      <c r="V199">
        <f t="shared" si="121"/>
        <v>1</v>
      </c>
      <c r="W199" t="e">
        <f t="shared" si="122"/>
        <v>#REF!</v>
      </c>
      <c r="X199" t="e">
        <f t="shared" ca="1" si="159"/>
        <v>#N/A</v>
      </c>
      <c r="Y199" t="e">
        <f t="shared" ca="1" si="159"/>
        <v>#N/A</v>
      </c>
      <c r="Z199" t="e">
        <f t="shared" ca="1" si="159"/>
        <v>#N/A</v>
      </c>
      <c r="AB199">
        <f t="shared" ca="1" si="156"/>
        <v>0</v>
      </c>
      <c r="AC199">
        <f t="shared" ca="1" si="156"/>
        <v>0</v>
      </c>
      <c r="AD199">
        <f t="shared" ca="1" si="156"/>
        <v>0</v>
      </c>
      <c r="AF199" t="e">
        <f t="shared" si="124"/>
        <v>#REF!</v>
      </c>
      <c r="AG199" t="e">
        <f t="shared" ca="1" si="160"/>
        <v>#N/A</v>
      </c>
      <c r="AH199" t="e">
        <f t="shared" ca="1" si="160"/>
        <v>#N/A</v>
      </c>
      <c r="AI199" t="e">
        <f t="shared" ca="1" si="160"/>
        <v>#N/A</v>
      </c>
      <c r="AJ199" t="e">
        <f t="shared" ca="1" si="160"/>
        <v>#N/A</v>
      </c>
      <c r="AK199" t="e">
        <f t="shared" ca="1" si="160"/>
        <v>#N/A</v>
      </c>
      <c r="AL199" t="e">
        <f t="shared" ca="1" si="160"/>
        <v>#N/A</v>
      </c>
      <c r="AM199" t="e">
        <f t="shared" ca="1" si="160"/>
        <v>#N/A</v>
      </c>
      <c r="AN199">
        <f t="shared" ca="1" si="126"/>
        <v>0</v>
      </c>
      <c r="AO199">
        <f t="shared" ca="1" si="127"/>
        <v>0</v>
      </c>
      <c r="AP199">
        <f t="shared" ca="1" si="128"/>
        <v>0</v>
      </c>
      <c r="AQ199">
        <f t="shared" ca="1" si="129"/>
        <v>0</v>
      </c>
      <c r="AR199">
        <f t="shared" ca="1" si="130"/>
        <v>0</v>
      </c>
      <c r="AS199">
        <f t="shared" ca="1" si="131"/>
        <v>0</v>
      </c>
      <c r="AT199">
        <f t="shared" ca="1" si="132"/>
        <v>0</v>
      </c>
      <c r="AV199" t="e">
        <f t="shared" si="6"/>
        <v>#REF!</v>
      </c>
      <c r="AW199" t="e" cm="1">
        <f t="array" ref="AW199">INDEX(auto_DataFlat_Score,$AV199,1)</f>
        <v>#REF!</v>
      </c>
      <c r="AX199" t="e" cm="1">
        <f t="array" ref="AX199">INDEX(auto_DataFlat_DataValue,$AV199,1)</f>
        <v>#REF!</v>
      </c>
      <c r="BA199" t="str">
        <f t="shared" si="133"/>
        <v>n/a</v>
      </c>
      <c r="BB199">
        <f t="shared" si="134"/>
        <v>1</v>
      </c>
      <c r="BC199" t="e">
        <f t="shared" si="135"/>
        <v>#REF!</v>
      </c>
      <c r="BD199" t="e">
        <f t="shared" ca="1" si="158"/>
        <v>#N/A</v>
      </c>
      <c r="BE199" t="e">
        <f t="shared" ca="1" si="158"/>
        <v>#N/A</v>
      </c>
      <c r="BF199" t="e">
        <f t="shared" ca="1" si="158"/>
        <v>#N/A</v>
      </c>
      <c r="BH199">
        <f t="shared" ca="1" si="157"/>
        <v>0</v>
      </c>
      <c r="BI199">
        <f t="shared" ca="1" si="157"/>
        <v>0</v>
      </c>
      <c r="BJ199">
        <f t="shared" ca="1" si="157"/>
        <v>0</v>
      </c>
      <c r="BM199" t="e">
        <f t="shared" si="136"/>
        <v>#REF!</v>
      </c>
      <c r="BN199" t="e">
        <f t="shared" ca="1" si="137"/>
        <v>#N/A</v>
      </c>
      <c r="BO199" t="e">
        <f t="shared" ca="1" si="138"/>
        <v>#N/A</v>
      </c>
      <c r="BP199" t="e">
        <f t="shared" ca="1" si="139"/>
        <v>#N/A</v>
      </c>
      <c r="BQ199" t="e">
        <f t="shared" ca="1" si="140"/>
        <v>#N/A</v>
      </c>
      <c r="BR199" t="e">
        <f t="shared" ca="1" si="141"/>
        <v>#N/A</v>
      </c>
      <c r="BS199" t="e">
        <f t="shared" ca="1" si="142"/>
        <v>#N/A</v>
      </c>
      <c r="BT199" t="e">
        <f t="shared" ca="1" si="143"/>
        <v>#N/A</v>
      </c>
      <c r="BU199">
        <f t="shared" ca="1" si="144"/>
        <v>0</v>
      </c>
      <c r="BV199">
        <f t="shared" ca="1" si="145"/>
        <v>0</v>
      </c>
      <c r="BW199">
        <f t="shared" ca="1" si="146"/>
        <v>0</v>
      </c>
      <c r="BX199">
        <f t="shared" ca="1" si="147"/>
        <v>0</v>
      </c>
      <c r="BY199">
        <f t="shared" ca="1" si="148"/>
        <v>0</v>
      </c>
      <c r="BZ199">
        <f t="shared" ca="1" si="118"/>
        <v>0</v>
      </c>
      <c r="CA199">
        <f t="shared" ca="1" si="119"/>
        <v>0</v>
      </c>
    </row>
    <row r="200" spans="1:79" x14ac:dyDescent="0.4">
      <c r="A200" t="str">
        <f t="shared" si="152"/>
        <v>X</v>
      </c>
      <c r="B200">
        <v>189</v>
      </c>
      <c r="C200" t="e" cm="1">
        <f t="array" ref="C200">INDEX(auto_Series_Code,B200)</f>
        <v>#REF!</v>
      </c>
      <c r="D200" t="e" cm="1">
        <f t="array" ref="D200">INDEX(auto_tblSeries,$B200,D$11)</f>
        <v>#REF!</v>
      </c>
      <c r="E200" t="e" cm="1">
        <f t="array" ref="E200">INDEX(auto_tblSeries,$B200,E$11)</f>
        <v>#REF!</v>
      </c>
      <c r="F200" t="e" cm="1">
        <f t="array" ref="F200">INDEX(auto_tblSeries,$B200,F$11)</f>
        <v>#REF!</v>
      </c>
      <c r="G200" t="e" cm="1">
        <f t="array" ref="G200">INDEX(auto_tblSeries,$B200,G$11)</f>
        <v>#REF!</v>
      </c>
      <c r="H200" t="e" cm="1">
        <f t="array" ref="H200">INDEX(auto_tblSeries,$B200,H$11)</f>
        <v>#REF!</v>
      </c>
      <c r="I200" t="e">
        <f t="shared" si="70"/>
        <v>#REF!</v>
      </c>
      <c r="K200" t="e" cm="1">
        <f t="array" ref="K200">INDEX(auto_DataFlat_Score,$I200,K$10)</f>
        <v>#REF!</v>
      </c>
      <c r="L200" t="e" cm="1">
        <f t="array" ref="L200">INDEX(auto_DataFlat_Rank,$I200,L$10)</f>
        <v>#REF!</v>
      </c>
      <c r="M200" t="e" cm="1">
        <f t="array" ref="M200">INDEX(auto_DataFlat_DataValue,$I200,M$10)</f>
        <v>#REF!</v>
      </c>
      <c r="N200" t="e" cm="1">
        <f t="array" ref="N200">INDEX(auto_DataFlat_Classification,$I200,M$10)</f>
        <v>#REF!</v>
      </c>
      <c r="O200" t="e" cm="1">
        <f t="array" ref="O200">INDEX(auto_DataFlat_IsEstimate,$I200,O$10)</f>
        <v>#REF!</v>
      </c>
      <c r="P200" t="e" cm="1">
        <f t="array" ref="P200">IF(INDEX(auto_DataFlat_DataYear,$I200,P$10)=0,"n/a",INDEX(auto_DataFlat_DataYear,$I200,P$10))</f>
        <v>#REF!</v>
      </c>
      <c r="R200" t="e">
        <f t="shared" si="116"/>
        <v>#REF!</v>
      </c>
      <c r="S200" t="e" cm="1">
        <f t="array" ref="S200">INDEX(auto_DataFlat_Score,$R200,S$10)</f>
        <v>#REF!</v>
      </c>
      <c r="U200" t="str">
        <f t="shared" si="120"/>
        <v>n/a</v>
      </c>
      <c r="V200">
        <f t="shared" si="121"/>
        <v>1</v>
      </c>
      <c r="W200" t="e">
        <f t="shared" si="122"/>
        <v>#REF!</v>
      </c>
      <c r="X200" t="e">
        <f t="shared" ca="1" si="159"/>
        <v>#N/A</v>
      </c>
      <c r="Y200" t="e">
        <f t="shared" ca="1" si="159"/>
        <v>#N/A</v>
      </c>
      <c r="Z200" t="e">
        <f t="shared" ca="1" si="159"/>
        <v>#N/A</v>
      </c>
      <c r="AB200">
        <f t="shared" ca="1" si="156"/>
        <v>0</v>
      </c>
      <c r="AC200">
        <f t="shared" ca="1" si="156"/>
        <v>0</v>
      </c>
      <c r="AD200">
        <f t="shared" ca="1" si="156"/>
        <v>0</v>
      </c>
      <c r="AF200" t="e">
        <f t="shared" si="124"/>
        <v>#REF!</v>
      </c>
      <c r="AG200" t="e">
        <f t="shared" ca="1" si="160"/>
        <v>#N/A</v>
      </c>
      <c r="AH200" t="e">
        <f t="shared" ca="1" si="160"/>
        <v>#N/A</v>
      </c>
      <c r="AI200" t="e">
        <f t="shared" ca="1" si="160"/>
        <v>#N/A</v>
      </c>
      <c r="AJ200" t="e">
        <f t="shared" ca="1" si="160"/>
        <v>#N/A</v>
      </c>
      <c r="AK200" t="e">
        <f t="shared" ca="1" si="160"/>
        <v>#N/A</v>
      </c>
      <c r="AL200" t="e">
        <f t="shared" ca="1" si="160"/>
        <v>#N/A</v>
      </c>
      <c r="AM200" t="e">
        <f t="shared" ca="1" si="160"/>
        <v>#N/A</v>
      </c>
      <c r="AN200">
        <f t="shared" ca="1" si="126"/>
        <v>0</v>
      </c>
      <c r="AO200">
        <f t="shared" ca="1" si="127"/>
        <v>0</v>
      </c>
      <c r="AP200">
        <f t="shared" ca="1" si="128"/>
        <v>0</v>
      </c>
      <c r="AQ200">
        <f t="shared" ca="1" si="129"/>
        <v>0</v>
      </c>
      <c r="AR200">
        <f t="shared" ca="1" si="130"/>
        <v>0</v>
      </c>
      <c r="AS200">
        <f t="shared" ca="1" si="131"/>
        <v>0</v>
      </c>
      <c r="AT200">
        <f t="shared" ca="1" si="132"/>
        <v>0</v>
      </c>
      <c r="AV200" t="e">
        <f t="shared" si="6"/>
        <v>#REF!</v>
      </c>
      <c r="AW200" t="e" cm="1">
        <f t="array" ref="AW200">INDEX(auto_DataFlat_Score,$AV200,1)</f>
        <v>#REF!</v>
      </c>
      <c r="AX200" t="e" cm="1">
        <f t="array" ref="AX200">INDEX(auto_DataFlat_DataValue,$AV200,1)</f>
        <v>#REF!</v>
      </c>
      <c r="BA200" t="str">
        <f t="shared" si="133"/>
        <v>n/a</v>
      </c>
      <c r="BB200">
        <f t="shared" si="134"/>
        <v>1</v>
      </c>
      <c r="BC200" t="e">
        <f t="shared" si="135"/>
        <v>#REF!</v>
      </c>
      <c r="BD200" t="e">
        <f t="shared" ca="1" si="158"/>
        <v>#N/A</v>
      </c>
      <c r="BE200" t="e">
        <f t="shared" ca="1" si="158"/>
        <v>#N/A</v>
      </c>
      <c r="BF200" t="e">
        <f t="shared" ca="1" si="158"/>
        <v>#N/A</v>
      </c>
      <c r="BH200">
        <f t="shared" ca="1" si="157"/>
        <v>0</v>
      </c>
      <c r="BI200">
        <f t="shared" ca="1" si="157"/>
        <v>0</v>
      </c>
      <c r="BJ200">
        <f t="shared" ca="1" si="157"/>
        <v>0</v>
      </c>
      <c r="BM200" t="e">
        <f t="shared" si="136"/>
        <v>#REF!</v>
      </c>
      <c r="BN200" t="e">
        <f t="shared" ca="1" si="137"/>
        <v>#N/A</v>
      </c>
      <c r="BO200" t="e">
        <f t="shared" ca="1" si="138"/>
        <v>#N/A</v>
      </c>
      <c r="BP200" t="e">
        <f t="shared" ca="1" si="139"/>
        <v>#N/A</v>
      </c>
      <c r="BQ200" t="e">
        <f t="shared" ca="1" si="140"/>
        <v>#N/A</v>
      </c>
      <c r="BR200" t="e">
        <f t="shared" ca="1" si="141"/>
        <v>#N/A</v>
      </c>
      <c r="BS200" t="e">
        <f t="shared" ca="1" si="142"/>
        <v>#N/A</v>
      </c>
      <c r="BT200" t="e">
        <f t="shared" ca="1" si="143"/>
        <v>#N/A</v>
      </c>
      <c r="BU200">
        <f t="shared" ca="1" si="144"/>
        <v>0</v>
      </c>
      <c r="BV200">
        <f t="shared" ca="1" si="145"/>
        <v>0</v>
      </c>
      <c r="BW200">
        <f t="shared" ca="1" si="146"/>
        <v>0</v>
      </c>
      <c r="BX200">
        <f t="shared" ca="1" si="147"/>
        <v>0</v>
      </c>
      <c r="BY200">
        <f t="shared" ca="1" si="148"/>
        <v>0</v>
      </c>
      <c r="BZ200">
        <f t="shared" ca="1" si="118"/>
        <v>0</v>
      </c>
      <c r="CA200">
        <f t="shared" ca="1" si="119"/>
        <v>0</v>
      </c>
    </row>
    <row r="201" spans="1:79" x14ac:dyDescent="0.4">
      <c r="A201" t="str">
        <f t="shared" si="152"/>
        <v>X</v>
      </c>
      <c r="B201">
        <v>190</v>
      </c>
      <c r="C201" t="e" cm="1">
        <f t="array" ref="C201">INDEX(auto_Series_Code,B201)</f>
        <v>#REF!</v>
      </c>
      <c r="D201" t="e" cm="1">
        <f t="array" ref="D201">INDEX(auto_tblSeries,$B201,D$11)</f>
        <v>#REF!</v>
      </c>
      <c r="E201" t="e" cm="1">
        <f t="array" ref="E201">INDEX(auto_tblSeries,$B201,E$11)</f>
        <v>#REF!</v>
      </c>
      <c r="F201" t="e" cm="1">
        <f t="array" ref="F201">INDEX(auto_tblSeries,$B201,F$11)</f>
        <v>#REF!</v>
      </c>
      <c r="G201" t="e" cm="1">
        <f t="array" ref="G201">INDEX(auto_tblSeries,$B201,G$11)</f>
        <v>#REF!</v>
      </c>
      <c r="H201" t="e" cm="1">
        <f t="array" ref="H201">INDEX(auto_tblSeries,$B201,H$11)</f>
        <v>#REF!</v>
      </c>
      <c r="I201" t="e">
        <f t="shared" si="70"/>
        <v>#REF!</v>
      </c>
      <c r="K201" t="e" cm="1">
        <f t="array" ref="K201">INDEX(auto_DataFlat_Score,$I201,K$10)</f>
        <v>#REF!</v>
      </c>
      <c r="L201" t="e" cm="1">
        <f t="array" ref="L201">INDEX(auto_DataFlat_Rank,$I201,L$10)</f>
        <v>#REF!</v>
      </c>
      <c r="M201" t="e" cm="1">
        <f t="array" ref="M201">INDEX(auto_DataFlat_DataValue,$I201,M$10)</f>
        <v>#REF!</v>
      </c>
      <c r="N201" t="e" cm="1">
        <f t="array" ref="N201">INDEX(auto_DataFlat_Classification,$I201,M$10)</f>
        <v>#REF!</v>
      </c>
      <c r="O201" t="e" cm="1">
        <f t="array" ref="O201">INDEX(auto_DataFlat_IsEstimate,$I201,O$10)</f>
        <v>#REF!</v>
      </c>
      <c r="P201" t="e" cm="1">
        <f t="array" ref="P201">IF(INDEX(auto_DataFlat_DataYear,$I201,P$10)=0,"n/a",INDEX(auto_DataFlat_DataYear,$I201,P$10))</f>
        <v>#REF!</v>
      </c>
      <c r="R201" t="e">
        <f t="shared" si="116"/>
        <v>#REF!</v>
      </c>
      <c r="S201" t="e" cm="1">
        <f t="array" ref="S201">INDEX(auto_DataFlat_Score,$R201,S$10)</f>
        <v>#REF!</v>
      </c>
      <c r="U201" t="str">
        <f t="shared" si="120"/>
        <v>n/a</v>
      </c>
      <c r="V201">
        <f t="shared" si="121"/>
        <v>1</v>
      </c>
      <c r="W201" t="e">
        <f t="shared" si="122"/>
        <v>#REF!</v>
      </c>
      <c r="X201" t="e">
        <f t="shared" ca="1" si="159"/>
        <v>#N/A</v>
      </c>
      <c r="Y201" t="e">
        <f t="shared" ca="1" si="159"/>
        <v>#N/A</v>
      </c>
      <c r="Z201" t="e">
        <f t="shared" ca="1" si="159"/>
        <v>#N/A</v>
      </c>
      <c r="AB201">
        <f t="shared" ca="1" si="156"/>
        <v>0</v>
      </c>
      <c r="AC201">
        <f t="shared" ca="1" si="156"/>
        <v>0</v>
      </c>
      <c r="AD201">
        <f t="shared" ca="1" si="156"/>
        <v>0</v>
      </c>
      <c r="AF201" t="e">
        <f t="shared" si="124"/>
        <v>#REF!</v>
      </c>
      <c r="AG201" t="e">
        <f t="shared" ca="1" si="160"/>
        <v>#N/A</v>
      </c>
      <c r="AH201" t="e">
        <f t="shared" ca="1" si="160"/>
        <v>#N/A</v>
      </c>
      <c r="AI201" t="e">
        <f t="shared" ca="1" si="160"/>
        <v>#N/A</v>
      </c>
      <c r="AJ201" t="e">
        <f t="shared" ca="1" si="160"/>
        <v>#N/A</v>
      </c>
      <c r="AK201" t="e">
        <f t="shared" ca="1" si="160"/>
        <v>#N/A</v>
      </c>
      <c r="AL201" t="e">
        <f t="shared" ca="1" si="160"/>
        <v>#N/A</v>
      </c>
      <c r="AM201" t="e">
        <f t="shared" ca="1" si="160"/>
        <v>#N/A</v>
      </c>
      <c r="AN201">
        <f t="shared" ca="1" si="126"/>
        <v>0</v>
      </c>
      <c r="AO201">
        <f t="shared" ca="1" si="127"/>
        <v>0</v>
      </c>
      <c r="AP201">
        <f t="shared" ca="1" si="128"/>
        <v>0</v>
      </c>
      <c r="AQ201">
        <f t="shared" ca="1" si="129"/>
        <v>0</v>
      </c>
      <c r="AR201">
        <f t="shared" ca="1" si="130"/>
        <v>0</v>
      </c>
      <c r="AS201">
        <f t="shared" ca="1" si="131"/>
        <v>0</v>
      </c>
      <c r="AT201">
        <f t="shared" ca="1" si="132"/>
        <v>0</v>
      </c>
      <c r="AV201" t="e">
        <f t="shared" si="6"/>
        <v>#REF!</v>
      </c>
      <c r="AW201" t="e" cm="1">
        <f t="array" ref="AW201">INDEX(auto_DataFlat_Score,$AV201,1)</f>
        <v>#REF!</v>
      </c>
      <c r="AX201" t="e" cm="1">
        <f t="array" ref="AX201">INDEX(auto_DataFlat_DataValue,$AV201,1)</f>
        <v>#REF!</v>
      </c>
      <c r="BA201" t="str">
        <f t="shared" si="133"/>
        <v>n/a</v>
      </c>
      <c r="BB201">
        <f t="shared" si="134"/>
        <v>1</v>
      </c>
      <c r="BC201" t="e">
        <f t="shared" si="135"/>
        <v>#REF!</v>
      </c>
      <c r="BD201" t="e">
        <f t="shared" ca="1" si="158"/>
        <v>#N/A</v>
      </c>
      <c r="BE201" t="e">
        <f t="shared" ca="1" si="158"/>
        <v>#N/A</v>
      </c>
      <c r="BF201" t="e">
        <f t="shared" ca="1" si="158"/>
        <v>#N/A</v>
      </c>
      <c r="BH201">
        <f t="shared" ca="1" si="157"/>
        <v>0</v>
      </c>
      <c r="BI201">
        <f t="shared" ca="1" si="157"/>
        <v>0</v>
      </c>
      <c r="BJ201">
        <f t="shared" ca="1" si="157"/>
        <v>0</v>
      </c>
      <c r="BM201" t="e">
        <f t="shared" si="136"/>
        <v>#REF!</v>
      </c>
      <c r="BN201" t="e">
        <f t="shared" ca="1" si="137"/>
        <v>#N/A</v>
      </c>
      <c r="BO201" t="e">
        <f t="shared" ca="1" si="138"/>
        <v>#N/A</v>
      </c>
      <c r="BP201" t="e">
        <f t="shared" ca="1" si="139"/>
        <v>#N/A</v>
      </c>
      <c r="BQ201" t="e">
        <f t="shared" ca="1" si="140"/>
        <v>#N/A</v>
      </c>
      <c r="BR201" t="e">
        <f t="shared" ca="1" si="141"/>
        <v>#N/A</v>
      </c>
      <c r="BS201" t="e">
        <f t="shared" ca="1" si="142"/>
        <v>#N/A</v>
      </c>
      <c r="BT201" t="e">
        <f t="shared" ca="1" si="143"/>
        <v>#N/A</v>
      </c>
      <c r="BU201">
        <f t="shared" ca="1" si="144"/>
        <v>0</v>
      </c>
      <c r="BV201">
        <f t="shared" ca="1" si="145"/>
        <v>0</v>
      </c>
      <c r="BW201">
        <f t="shared" ca="1" si="146"/>
        <v>0</v>
      </c>
      <c r="BX201">
        <f t="shared" ca="1" si="147"/>
        <v>0</v>
      </c>
      <c r="BY201">
        <f t="shared" ca="1" si="148"/>
        <v>0</v>
      </c>
      <c r="BZ201">
        <f t="shared" ca="1" si="118"/>
        <v>0</v>
      </c>
      <c r="CA201">
        <f t="shared" ca="1" si="119"/>
        <v>0</v>
      </c>
    </row>
    <row r="202" spans="1:79" x14ac:dyDescent="0.4">
      <c r="A202" t="str">
        <f t="shared" si="152"/>
        <v>X</v>
      </c>
      <c r="B202">
        <v>191</v>
      </c>
      <c r="C202" t="e" cm="1">
        <f t="array" ref="C202">INDEX(auto_Series_Code,B202)</f>
        <v>#REF!</v>
      </c>
      <c r="D202" t="e" cm="1">
        <f t="array" ref="D202">INDEX(auto_tblSeries,$B202,D$11)</f>
        <v>#REF!</v>
      </c>
      <c r="E202" t="e" cm="1">
        <f t="array" ref="E202">INDEX(auto_tblSeries,$B202,E$11)</f>
        <v>#REF!</v>
      </c>
      <c r="F202" t="e" cm="1">
        <f t="array" ref="F202">INDEX(auto_tblSeries,$B202,F$11)</f>
        <v>#REF!</v>
      </c>
      <c r="G202" t="e" cm="1">
        <f t="array" ref="G202">INDEX(auto_tblSeries,$B202,G$11)</f>
        <v>#REF!</v>
      </c>
      <c r="H202" t="e" cm="1">
        <f t="array" ref="H202">INDEX(auto_tblSeries,$B202,H$11)</f>
        <v>#REF!</v>
      </c>
      <c r="I202" t="e">
        <f t="shared" si="70"/>
        <v>#REF!</v>
      </c>
      <c r="K202" t="e" cm="1">
        <f t="array" ref="K202">INDEX(auto_DataFlat_Score,$I202,K$10)</f>
        <v>#REF!</v>
      </c>
      <c r="L202" t="e" cm="1">
        <f t="array" ref="L202">INDEX(auto_DataFlat_Rank,$I202,L$10)</f>
        <v>#REF!</v>
      </c>
      <c r="M202" t="e" cm="1">
        <f t="array" ref="M202">INDEX(auto_DataFlat_DataValue,$I202,M$10)</f>
        <v>#REF!</v>
      </c>
      <c r="N202" t="e" cm="1">
        <f t="array" ref="N202">INDEX(auto_DataFlat_Classification,$I202,M$10)</f>
        <v>#REF!</v>
      </c>
      <c r="O202" t="e" cm="1">
        <f t="array" ref="O202">INDEX(auto_DataFlat_IsEstimate,$I202,O$10)</f>
        <v>#REF!</v>
      </c>
      <c r="P202" t="e" cm="1">
        <f t="array" ref="P202">IF(INDEX(auto_DataFlat_DataYear,$I202,P$10)=0,"n/a",INDEX(auto_DataFlat_DataYear,$I202,P$10))</f>
        <v>#REF!</v>
      </c>
      <c r="R202" t="e">
        <f t="shared" si="116"/>
        <v>#REF!</v>
      </c>
      <c r="S202" t="e" cm="1">
        <f t="array" ref="S202">INDEX(auto_DataFlat_Score,$R202,S$10)</f>
        <v>#REF!</v>
      </c>
      <c r="U202" t="str">
        <f t="shared" si="120"/>
        <v>n/a</v>
      </c>
      <c r="V202">
        <f t="shared" si="121"/>
        <v>1</v>
      </c>
      <c r="W202" t="e">
        <f t="shared" si="122"/>
        <v>#REF!</v>
      </c>
      <c r="X202" t="e">
        <f t="shared" ca="1" si="159"/>
        <v>#N/A</v>
      </c>
      <c r="Y202" t="e">
        <f t="shared" ca="1" si="159"/>
        <v>#N/A</v>
      </c>
      <c r="Z202" t="e">
        <f t="shared" ca="1" si="159"/>
        <v>#N/A</v>
      </c>
      <c r="AB202">
        <f t="shared" ca="1" si="156"/>
        <v>0</v>
      </c>
      <c r="AC202">
        <f t="shared" ca="1" si="156"/>
        <v>0</v>
      </c>
      <c r="AD202">
        <f t="shared" ca="1" si="156"/>
        <v>0</v>
      </c>
      <c r="AF202" t="e">
        <f t="shared" si="124"/>
        <v>#REF!</v>
      </c>
      <c r="AG202" t="e">
        <f t="shared" ca="1" si="160"/>
        <v>#N/A</v>
      </c>
      <c r="AH202" t="e">
        <f t="shared" ca="1" si="160"/>
        <v>#N/A</v>
      </c>
      <c r="AI202" t="e">
        <f t="shared" ca="1" si="160"/>
        <v>#N/A</v>
      </c>
      <c r="AJ202" t="e">
        <f t="shared" ca="1" si="160"/>
        <v>#N/A</v>
      </c>
      <c r="AK202" t="e">
        <f t="shared" ca="1" si="160"/>
        <v>#N/A</v>
      </c>
      <c r="AL202" t="e">
        <f t="shared" ca="1" si="160"/>
        <v>#N/A</v>
      </c>
      <c r="AM202" t="e">
        <f t="shared" ca="1" si="160"/>
        <v>#N/A</v>
      </c>
      <c r="AN202">
        <f t="shared" ca="1" si="126"/>
        <v>0</v>
      </c>
      <c r="AO202">
        <f t="shared" ca="1" si="127"/>
        <v>0</v>
      </c>
      <c r="AP202">
        <f t="shared" ca="1" si="128"/>
        <v>0</v>
      </c>
      <c r="AQ202">
        <f t="shared" ca="1" si="129"/>
        <v>0</v>
      </c>
      <c r="AR202">
        <f t="shared" ca="1" si="130"/>
        <v>0</v>
      </c>
      <c r="AS202">
        <f t="shared" ca="1" si="131"/>
        <v>0</v>
      </c>
      <c r="AT202">
        <f t="shared" ca="1" si="132"/>
        <v>0</v>
      </c>
      <c r="AV202" t="e">
        <f t="shared" si="6"/>
        <v>#REF!</v>
      </c>
      <c r="AW202" t="e" cm="1">
        <f t="array" ref="AW202">INDEX(auto_DataFlat_Score,$AV202,1)</f>
        <v>#REF!</v>
      </c>
      <c r="AX202" t="e" cm="1">
        <f t="array" ref="AX202">INDEX(auto_DataFlat_DataValue,$AV202,1)</f>
        <v>#REF!</v>
      </c>
      <c r="BA202" t="str">
        <f t="shared" si="133"/>
        <v>n/a</v>
      </c>
      <c r="BB202">
        <f t="shared" si="134"/>
        <v>1</v>
      </c>
      <c r="BC202" t="e">
        <f t="shared" si="135"/>
        <v>#REF!</v>
      </c>
      <c r="BD202" t="e">
        <f t="shared" ca="1" si="158"/>
        <v>#N/A</v>
      </c>
      <c r="BE202" t="e">
        <f t="shared" ca="1" si="158"/>
        <v>#N/A</v>
      </c>
      <c r="BF202" t="e">
        <f t="shared" ca="1" si="158"/>
        <v>#N/A</v>
      </c>
      <c r="BH202">
        <f t="shared" ca="1" si="157"/>
        <v>0</v>
      </c>
      <c r="BI202">
        <f t="shared" ca="1" si="157"/>
        <v>0</v>
      </c>
      <c r="BJ202">
        <f t="shared" ca="1" si="157"/>
        <v>0</v>
      </c>
      <c r="BM202" t="e">
        <f t="shared" si="136"/>
        <v>#REF!</v>
      </c>
      <c r="BN202" t="e">
        <f t="shared" ca="1" si="137"/>
        <v>#N/A</v>
      </c>
      <c r="BO202" t="e">
        <f t="shared" ca="1" si="138"/>
        <v>#N/A</v>
      </c>
      <c r="BP202" t="e">
        <f t="shared" ca="1" si="139"/>
        <v>#N/A</v>
      </c>
      <c r="BQ202" t="e">
        <f t="shared" ca="1" si="140"/>
        <v>#N/A</v>
      </c>
      <c r="BR202" t="e">
        <f t="shared" ca="1" si="141"/>
        <v>#N/A</v>
      </c>
      <c r="BS202" t="e">
        <f t="shared" ca="1" si="142"/>
        <v>#N/A</v>
      </c>
      <c r="BT202" t="e">
        <f t="shared" ca="1" si="143"/>
        <v>#N/A</v>
      </c>
      <c r="BU202">
        <f t="shared" ca="1" si="144"/>
        <v>0</v>
      </c>
      <c r="BV202">
        <f t="shared" ca="1" si="145"/>
        <v>0</v>
      </c>
      <c r="BW202">
        <f t="shared" ca="1" si="146"/>
        <v>0</v>
      </c>
      <c r="BX202">
        <f t="shared" ca="1" si="147"/>
        <v>0</v>
      </c>
      <c r="BY202">
        <f t="shared" ca="1" si="148"/>
        <v>0</v>
      </c>
      <c r="BZ202">
        <f t="shared" ca="1" si="118"/>
        <v>0</v>
      </c>
      <c r="CA202">
        <f t="shared" ca="1" si="119"/>
        <v>0</v>
      </c>
    </row>
    <row r="203" spans="1:79" x14ac:dyDescent="0.4">
      <c r="A203" t="str">
        <f t="shared" si="152"/>
        <v>X</v>
      </c>
      <c r="B203">
        <v>192</v>
      </c>
      <c r="C203" t="e" cm="1">
        <f t="array" ref="C203">INDEX(auto_Series_Code,B203)</f>
        <v>#REF!</v>
      </c>
      <c r="D203" t="e" cm="1">
        <f t="array" ref="D203">INDEX(auto_tblSeries,$B203,D$11)</f>
        <v>#REF!</v>
      </c>
      <c r="E203" t="e" cm="1">
        <f t="array" ref="E203">INDEX(auto_tblSeries,$B203,E$11)</f>
        <v>#REF!</v>
      </c>
      <c r="F203" t="e" cm="1">
        <f t="array" ref="F203">INDEX(auto_tblSeries,$B203,F$11)</f>
        <v>#REF!</v>
      </c>
      <c r="G203" t="e" cm="1">
        <f t="array" ref="G203">INDEX(auto_tblSeries,$B203,G$11)</f>
        <v>#REF!</v>
      </c>
      <c r="H203" t="e" cm="1">
        <f t="array" ref="H203">INDEX(auto_tblSeries,$B203,H$11)</f>
        <v>#REF!</v>
      </c>
      <c r="I203" t="e">
        <f t="shared" si="70"/>
        <v>#REF!</v>
      </c>
      <c r="K203" t="e" cm="1">
        <f t="array" ref="K203">INDEX(auto_DataFlat_Score,$I203,K$10)</f>
        <v>#REF!</v>
      </c>
      <c r="L203" t="e" cm="1">
        <f t="array" ref="L203">INDEX(auto_DataFlat_Rank,$I203,L$10)</f>
        <v>#REF!</v>
      </c>
      <c r="M203" t="e" cm="1">
        <f t="array" ref="M203">INDEX(auto_DataFlat_DataValue,$I203,M$10)</f>
        <v>#REF!</v>
      </c>
      <c r="N203" t="e" cm="1">
        <f t="array" ref="N203">INDEX(auto_DataFlat_Classification,$I203,M$10)</f>
        <v>#REF!</v>
      </c>
      <c r="O203" t="e" cm="1">
        <f t="array" ref="O203">INDEX(auto_DataFlat_IsEstimate,$I203,O$10)</f>
        <v>#REF!</v>
      </c>
      <c r="P203" t="e" cm="1">
        <f t="array" ref="P203">IF(INDEX(auto_DataFlat_DataYear,$I203,P$10)=0,"n/a",INDEX(auto_DataFlat_DataYear,$I203,P$10))</f>
        <v>#REF!</v>
      </c>
      <c r="R203" t="e">
        <f t="shared" si="116"/>
        <v>#REF!</v>
      </c>
      <c r="S203" t="e" cm="1">
        <f t="array" ref="S203">INDEX(auto_DataFlat_Score,$R203,S$10)</f>
        <v>#REF!</v>
      </c>
      <c r="U203" t="str">
        <f t="shared" si="120"/>
        <v>n/a</v>
      </c>
      <c r="V203">
        <f t="shared" si="121"/>
        <v>1</v>
      </c>
      <c r="W203" t="e">
        <f t="shared" si="122"/>
        <v>#REF!</v>
      </c>
      <c r="X203" t="e">
        <f t="shared" ca="1" si="159"/>
        <v>#N/A</v>
      </c>
      <c r="Y203" t="e">
        <f t="shared" ca="1" si="159"/>
        <v>#N/A</v>
      </c>
      <c r="Z203" t="e">
        <f t="shared" ca="1" si="159"/>
        <v>#N/A</v>
      </c>
      <c r="AB203">
        <f t="shared" ca="1" si="156"/>
        <v>0</v>
      </c>
      <c r="AC203">
        <f t="shared" ca="1" si="156"/>
        <v>0</v>
      </c>
      <c r="AD203">
        <f t="shared" ca="1" si="156"/>
        <v>0</v>
      </c>
      <c r="AF203" t="e">
        <f t="shared" si="124"/>
        <v>#REF!</v>
      </c>
      <c r="AG203" t="e">
        <f t="shared" ca="1" si="160"/>
        <v>#N/A</v>
      </c>
      <c r="AH203" t="e">
        <f t="shared" ca="1" si="160"/>
        <v>#N/A</v>
      </c>
      <c r="AI203" t="e">
        <f t="shared" ca="1" si="160"/>
        <v>#N/A</v>
      </c>
      <c r="AJ203" t="e">
        <f t="shared" ca="1" si="160"/>
        <v>#N/A</v>
      </c>
      <c r="AK203" t="e">
        <f t="shared" ca="1" si="160"/>
        <v>#N/A</v>
      </c>
      <c r="AL203" t="e">
        <f t="shared" ca="1" si="160"/>
        <v>#N/A</v>
      </c>
      <c r="AM203" t="e">
        <f t="shared" ca="1" si="160"/>
        <v>#N/A</v>
      </c>
      <c r="AN203">
        <f t="shared" ca="1" si="126"/>
        <v>0</v>
      </c>
      <c r="AO203">
        <f t="shared" ca="1" si="127"/>
        <v>0</v>
      </c>
      <c r="AP203">
        <f t="shared" ca="1" si="128"/>
        <v>0</v>
      </c>
      <c r="AQ203">
        <f t="shared" ca="1" si="129"/>
        <v>0</v>
      </c>
      <c r="AR203">
        <f t="shared" ca="1" si="130"/>
        <v>0</v>
      </c>
      <c r="AS203">
        <f t="shared" ca="1" si="131"/>
        <v>0</v>
      </c>
      <c r="AT203">
        <f t="shared" ca="1" si="132"/>
        <v>0</v>
      </c>
      <c r="AV203" t="e">
        <f t="shared" si="6"/>
        <v>#REF!</v>
      </c>
      <c r="AW203" t="e" cm="1">
        <f t="array" ref="AW203">INDEX(auto_DataFlat_Score,$AV203,1)</f>
        <v>#REF!</v>
      </c>
      <c r="AX203" t="e" cm="1">
        <f t="array" ref="AX203">INDEX(auto_DataFlat_DataValue,$AV203,1)</f>
        <v>#REF!</v>
      </c>
      <c r="BA203" t="str">
        <f t="shared" si="133"/>
        <v>n/a</v>
      </c>
      <c r="BB203">
        <f t="shared" si="134"/>
        <v>1</v>
      </c>
      <c r="BC203" t="e">
        <f t="shared" si="135"/>
        <v>#REF!</v>
      </c>
      <c r="BD203" t="e">
        <f t="shared" ca="1" si="158"/>
        <v>#N/A</v>
      </c>
      <c r="BE203" t="e">
        <f t="shared" ca="1" si="158"/>
        <v>#N/A</v>
      </c>
      <c r="BF203" t="e">
        <f t="shared" ca="1" si="158"/>
        <v>#N/A</v>
      </c>
      <c r="BH203">
        <f t="shared" ca="1" si="157"/>
        <v>0</v>
      </c>
      <c r="BI203">
        <f t="shared" ca="1" si="157"/>
        <v>0</v>
      </c>
      <c r="BJ203">
        <f t="shared" ca="1" si="157"/>
        <v>0</v>
      </c>
      <c r="BM203" t="e">
        <f t="shared" si="136"/>
        <v>#REF!</v>
      </c>
      <c r="BN203" t="e">
        <f t="shared" ca="1" si="137"/>
        <v>#N/A</v>
      </c>
      <c r="BO203" t="e">
        <f t="shared" ca="1" si="138"/>
        <v>#N/A</v>
      </c>
      <c r="BP203" t="e">
        <f t="shared" ca="1" si="139"/>
        <v>#N/A</v>
      </c>
      <c r="BQ203" t="e">
        <f t="shared" ca="1" si="140"/>
        <v>#N/A</v>
      </c>
      <c r="BR203" t="e">
        <f t="shared" ca="1" si="141"/>
        <v>#N/A</v>
      </c>
      <c r="BS203" t="e">
        <f t="shared" ca="1" si="142"/>
        <v>#N/A</v>
      </c>
      <c r="BT203" t="e">
        <f t="shared" ca="1" si="143"/>
        <v>#N/A</v>
      </c>
      <c r="BU203">
        <f t="shared" ca="1" si="144"/>
        <v>0</v>
      </c>
      <c r="BV203">
        <f t="shared" ca="1" si="145"/>
        <v>0</v>
      </c>
      <c r="BW203">
        <f t="shared" ca="1" si="146"/>
        <v>0</v>
      </c>
      <c r="BX203">
        <f t="shared" ca="1" si="147"/>
        <v>0</v>
      </c>
      <c r="BY203">
        <f t="shared" ca="1" si="148"/>
        <v>0</v>
      </c>
      <c r="BZ203">
        <f t="shared" ca="1" si="118"/>
        <v>0</v>
      </c>
      <c r="CA203">
        <f t="shared" ca="1" si="119"/>
        <v>0</v>
      </c>
    </row>
    <row r="204" spans="1:79" x14ac:dyDescent="0.4">
      <c r="A204" t="str">
        <f t="shared" si="152"/>
        <v>X</v>
      </c>
      <c r="B204">
        <v>193</v>
      </c>
      <c r="C204" t="e" cm="1">
        <f t="array" ref="C204">INDEX(auto_Series_Code,B204)</f>
        <v>#REF!</v>
      </c>
      <c r="D204" t="e" cm="1">
        <f t="array" ref="D204">INDEX(auto_tblSeries,$B204,D$11)</f>
        <v>#REF!</v>
      </c>
      <c r="E204" t="e" cm="1">
        <f t="array" ref="E204">INDEX(auto_tblSeries,$B204,E$11)</f>
        <v>#REF!</v>
      </c>
      <c r="F204" t="e" cm="1">
        <f t="array" ref="F204">INDEX(auto_tblSeries,$B204,F$11)</f>
        <v>#REF!</v>
      </c>
      <c r="G204" t="e" cm="1">
        <f t="array" ref="G204">INDEX(auto_tblSeries,$B204,G$11)</f>
        <v>#REF!</v>
      </c>
      <c r="H204" t="e" cm="1">
        <f t="array" ref="H204">INDEX(auto_tblSeries,$B204,H$11)</f>
        <v>#REF!</v>
      </c>
      <c r="I204" t="e">
        <f t="shared" si="70"/>
        <v>#REF!</v>
      </c>
      <c r="K204" t="e" cm="1">
        <f t="array" ref="K204">INDEX(auto_DataFlat_Score,$I204,K$10)</f>
        <v>#REF!</v>
      </c>
      <c r="L204" t="e" cm="1">
        <f t="array" ref="L204">INDEX(auto_DataFlat_Rank,$I204,L$10)</f>
        <v>#REF!</v>
      </c>
      <c r="M204" t="e" cm="1">
        <f t="array" ref="M204">INDEX(auto_DataFlat_DataValue,$I204,M$10)</f>
        <v>#REF!</v>
      </c>
      <c r="N204" t="e" cm="1">
        <f t="array" ref="N204">INDEX(auto_DataFlat_Classification,$I204,M$10)</f>
        <v>#REF!</v>
      </c>
      <c r="O204" t="e" cm="1">
        <f t="array" ref="O204">INDEX(auto_DataFlat_IsEstimate,$I204,O$10)</f>
        <v>#REF!</v>
      </c>
      <c r="P204" t="e" cm="1">
        <f t="array" ref="P204">IF(INDEX(auto_DataFlat_DataYear,$I204,P$10)=0,"n/a",INDEX(auto_DataFlat_DataYear,$I204,P$10))</f>
        <v>#REF!</v>
      </c>
      <c r="R204" t="e">
        <f t="shared" ref="R204:R267" si="161">MATCH(CONCATENATE(R$11,"_",$C204),auto_DataFlat_UID,0)</f>
        <v>#REF!</v>
      </c>
      <c r="S204" t="e" cm="1">
        <f t="array" ref="S204">INDEX(auto_DataFlat_Score,$R204,S$10)</f>
        <v>#REF!</v>
      </c>
      <c r="U204" t="str">
        <f t="shared" si="120"/>
        <v>n/a</v>
      </c>
      <c r="V204">
        <f t="shared" si="121"/>
        <v>1</v>
      </c>
      <c r="W204" t="e">
        <f t="shared" si="122"/>
        <v>#REF!</v>
      </c>
      <c r="X204" t="e">
        <f t="shared" ca="1" si="159"/>
        <v>#N/A</v>
      </c>
      <c r="Y204" t="e">
        <f t="shared" ca="1" si="159"/>
        <v>#N/A</v>
      </c>
      <c r="Z204" t="e">
        <f t="shared" ca="1" si="159"/>
        <v>#N/A</v>
      </c>
      <c r="AB204">
        <f t="shared" ca="1" si="156"/>
        <v>0</v>
      </c>
      <c r="AC204">
        <f t="shared" ca="1" si="156"/>
        <v>0</v>
      </c>
      <c r="AD204">
        <f t="shared" ca="1" si="156"/>
        <v>0</v>
      </c>
      <c r="AF204" t="e">
        <f t="shared" si="124"/>
        <v>#REF!</v>
      </c>
      <c r="AG204" t="e">
        <f t="shared" ca="1" si="160"/>
        <v>#N/A</v>
      </c>
      <c r="AH204" t="e">
        <f t="shared" ca="1" si="160"/>
        <v>#N/A</v>
      </c>
      <c r="AI204" t="e">
        <f t="shared" ca="1" si="160"/>
        <v>#N/A</v>
      </c>
      <c r="AJ204" t="e">
        <f t="shared" ca="1" si="160"/>
        <v>#N/A</v>
      </c>
      <c r="AK204" t="e">
        <f t="shared" ca="1" si="160"/>
        <v>#N/A</v>
      </c>
      <c r="AL204" t="e">
        <f t="shared" ca="1" si="160"/>
        <v>#N/A</v>
      </c>
      <c r="AM204" t="e">
        <f t="shared" ca="1" si="160"/>
        <v>#N/A</v>
      </c>
      <c r="AN204">
        <f t="shared" ca="1" si="126"/>
        <v>0</v>
      </c>
      <c r="AO204">
        <f t="shared" ca="1" si="127"/>
        <v>0</v>
      </c>
      <c r="AP204">
        <f t="shared" ca="1" si="128"/>
        <v>0</v>
      </c>
      <c r="AQ204">
        <f t="shared" ca="1" si="129"/>
        <v>0</v>
      </c>
      <c r="AR204">
        <f t="shared" ca="1" si="130"/>
        <v>0</v>
      </c>
      <c r="AS204">
        <f t="shared" ca="1" si="131"/>
        <v>0</v>
      </c>
      <c r="AT204">
        <f t="shared" ca="1" si="132"/>
        <v>0</v>
      </c>
      <c r="AV204" t="e">
        <f t="shared" si="6"/>
        <v>#REF!</v>
      </c>
      <c r="AW204" t="e" cm="1">
        <f t="array" ref="AW204">INDEX(auto_DataFlat_Score,$AV204,1)</f>
        <v>#REF!</v>
      </c>
      <c r="AX204" t="e" cm="1">
        <f t="array" ref="AX204">INDEX(auto_DataFlat_DataValue,$AV204,1)</f>
        <v>#REF!</v>
      </c>
      <c r="BA204" t="str">
        <f t="shared" si="133"/>
        <v>n/a</v>
      </c>
      <c r="BB204">
        <f t="shared" si="134"/>
        <v>1</v>
      </c>
      <c r="BC204" t="e">
        <f t="shared" si="135"/>
        <v>#REF!</v>
      </c>
      <c r="BD204" t="e">
        <f t="shared" ref="BD204:BF219" ca="1" si="162">BD203+MATCH(BD$10,OFFSET($BC$12,BD203,0,200,1),0)</f>
        <v>#N/A</v>
      </c>
      <c r="BE204" t="e">
        <f t="shared" ca="1" si="162"/>
        <v>#N/A</v>
      </c>
      <c r="BF204" t="e">
        <f t="shared" ca="1" si="162"/>
        <v>#N/A</v>
      </c>
      <c r="BH204">
        <f t="shared" ca="1" si="157"/>
        <v>0</v>
      </c>
      <c r="BI204">
        <f t="shared" ca="1" si="157"/>
        <v>0</v>
      </c>
      <c r="BJ204">
        <f t="shared" ca="1" si="157"/>
        <v>0</v>
      </c>
      <c r="BM204" t="e">
        <f t="shared" si="136"/>
        <v>#REF!</v>
      </c>
      <c r="BN204" t="e">
        <f t="shared" ca="1" si="137"/>
        <v>#N/A</v>
      </c>
      <c r="BO204" t="e">
        <f t="shared" ca="1" si="138"/>
        <v>#N/A</v>
      </c>
      <c r="BP204" t="e">
        <f t="shared" ca="1" si="139"/>
        <v>#N/A</v>
      </c>
      <c r="BQ204" t="e">
        <f t="shared" ca="1" si="140"/>
        <v>#N/A</v>
      </c>
      <c r="BR204" t="e">
        <f t="shared" ca="1" si="141"/>
        <v>#N/A</v>
      </c>
      <c r="BS204" t="e">
        <f t="shared" ca="1" si="142"/>
        <v>#N/A</v>
      </c>
      <c r="BT204" t="e">
        <f t="shared" ca="1" si="143"/>
        <v>#N/A</v>
      </c>
      <c r="BU204">
        <f t="shared" ca="1" si="144"/>
        <v>0</v>
      </c>
      <c r="BV204">
        <f t="shared" ca="1" si="145"/>
        <v>0</v>
      </c>
      <c r="BW204">
        <f t="shared" ca="1" si="146"/>
        <v>0</v>
      </c>
      <c r="BX204">
        <f t="shared" ca="1" si="147"/>
        <v>0</v>
      </c>
      <c r="BY204">
        <f t="shared" ca="1" si="148"/>
        <v>0</v>
      </c>
      <c r="BZ204">
        <f t="shared" ref="BZ204:BZ267" ca="1" si="163">IFERROR(BS204,0)</f>
        <v>0</v>
      </c>
      <c r="CA204">
        <f t="shared" ref="CA204:CA267" ca="1" si="164">IFERROR(BT204,0)</f>
        <v>0</v>
      </c>
    </row>
    <row r="205" spans="1:79" x14ac:dyDescent="0.4">
      <c r="A205" t="str">
        <f t="shared" si="152"/>
        <v>X</v>
      </c>
      <c r="B205">
        <v>194</v>
      </c>
      <c r="C205" t="e" cm="1">
        <f t="array" ref="C205">INDEX(auto_Series_Code,B205)</f>
        <v>#REF!</v>
      </c>
      <c r="D205" t="e" cm="1">
        <f t="array" ref="D205">INDEX(auto_tblSeries,$B205,D$11)</f>
        <v>#REF!</v>
      </c>
      <c r="E205" t="e" cm="1">
        <f t="array" ref="E205">INDEX(auto_tblSeries,$B205,E$11)</f>
        <v>#REF!</v>
      </c>
      <c r="F205" t="e" cm="1">
        <f t="array" ref="F205">INDEX(auto_tblSeries,$B205,F$11)</f>
        <v>#REF!</v>
      </c>
      <c r="G205" t="e" cm="1">
        <f t="array" ref="G205">INDEX(auto_tblSeries,$B205,G$11)</f>
        <v>#REF!</v>
      </c>
      <c r="H205" t="e" cm="1">
        <f t="array" ref="H205">INDEX(auto_tblSeries,$B205,H$11)</f>
        <v>#REF!</v>
      </c>
      <c r="I205" t="e">
        <f t="shared" si="70"/>
        <v>#REF!</v>
      </c>
      <c r="K205" t="e" cm="1">
        <f t="array" ref="K205">INDEX(auto_DataFlat_Score,$I205,K$10)</f>
        <v>#REF!</v>
      </c>
      <c r="L205" t="e" cm="1">
        <f t="array" ref="L205">INDEX(auto_DataFlat_Rank,$I205,L$10)</f>
        <v>#REF!</v>
      </c>
      <c r="M205" t="e" cm="1">
        <f t="array" ref="M205">INDEX(auto_DataFlat_DataValue,$I205,M$10)</f>
        <v>#REF!</v>
      </c>
      <c r="N205" t="e" cm="1">
        <f t="array" ref="N205">INDEX(auto_DataFlat_Classification,$I205,M$10)</f>
        <v>#REF!</v>
      </c>
      <c r="O205" t="e" cm="1">
        <f t="array" ref="O205">INDEX(auto_DataFlat_IsEstimate,$I205,O$10)</f>
        <v>#REF!</v>
      </c>
      <c r="P205" t="e" cm="1">
        <f t="array" ref="P205">IF(INDEX(auto_DataFlat_DataYear,$I205,P$10)=0,"n/a",INDEX(auto_DataFlat_DataYear,$I205,P$10))</f>
        <v>#REF!</v>
      </c>
      <c r="R205" t="e">
        <f t="shared" si="161"/>
        <v>#REF!</v>
      </c>
      <c r="S205" t="e" cm="1">
        <f t="array" ref="S205">INDEX(auto_DataFlat_Score,$R205,S$10)</f>
        <v>#REF!</v>
      </c>
      <c r="U205" t="str">
        <f t="shared" ref="U205:U268" si="165">IFERROR(K205-S205,"n/a")</f>
        <v>n/a</v>
      </c>
      <c r="V205">
        <f t="shared" ref="V205:V268" si="166">IFERROR(IF(U205&gt;0,1,IF(U205=0,2,IF(U205&lt;0,3,"???"))),"n/a")</f>
        <v>1</v>
      </c>
      <c r="W205" t="e">
        <f t="shared" ref="W205:W268" si="167">IF(OR($D205&lt;&gt;$W$7,$E205=1),-1,V205)</f>
        <v>#REF!</v>
      </c>
      <c r="X205" t="e">
        <f t="shared" ref="X205:Z220" ca="1" si="168">X204+MATCH(X$10,OFFSET($W$12,X204,0,300,1),0)</f>
        <v>#N/A</v>
      </c>
      <c r="Y205" t="e">
        <f t="shared" ca="1" si="168"/>
        <v>#N/A</v>
      </c>
      <c r="Z205" t="e">
        <f t="shared" ca="1" si="168"/>
        <v>#N/A</v>
      </c>
      <c r="AB205">
        <f t="shared" ca="1" si="156"/>
        <v>0</v>
      </c>
      <c r="AC205">
        <f t="shared" ca="1" si="156"/>
        <v>0</v>
      </c>
      <c r="AD205">
        <f t="shared" ca="1" si="156"/>
        <v>0</v>
      </c>
      <c r="AF205" t="e">
        <f t="shared" ref="AF205:AF268" si="169">IF(OR($D205&lt;&gt;$AG$7,$E205=1),-1,N205)</f>
        <v>#REF!</v>
      </c>
      <c r="AG205" t="e">
        <f t="shared" ref="AG205:AM220" ca="1" si="170">IFERROR(AG204+MATCH(AG$10,OFFSET($AF$12,AG204,0,300-AG204,1),0),NA())</f>
        <v>#N/A</v>
      </c>
      <c r="AH205" t="e">
        <f t="shared" ca="1" si="170"/>
        <v>#N/A</v>
      </c>
      <c r="AI205" t="e">
        <f t="shared" ca="1" si="170"/>
        <v>#N/A</v>
      </c>
      <c r="AJ205" t="e">
        <f t="shared" ca="1" si="170"/>
        <v>#N/A</v>
      </c>
      <c r="AK205" t="e">
        <f t="shared" ca="1" si="170"/>
        <v>#N/A</v>
      </c>
      <c r="AL205" t="e">
        <f t="shared" ca="1" si="170"/>
        <v>#N/A</v>
      </c>
      <c r="AM205" t="e">
        <f t="shared" ca="1" si="170"/>
        <v>#N/A</v>
      </c>
      <c r="AN205">
        <f t="shared" ref="AN205:AN268" ca="1" si="171">IFERROR(AG205,0)</f>
        <v>0</v>
      </c>
      <c r="AO205">
        <f t="shared" ref="AO205:AO268" ca="1" si="172">IFERROR(AH205,0)</f>
        <v>0</v>
      </c>
      <c r="AP205">
        <f t="shared" ref="AP205:AP268" ca="1" si="173">IFERROR(AI205,0)</f>
        <v>0</v>
      </c>
      <c r="AQ205">
        <f t="shared" ref="AQ205:AQ268" ca="1" si="174">IFERROR(AJ205,0)</f>
        <v>0</v>
      </c>
      <c r="AR205">
        <f t="shared" ref="AR205:AR268" ca="1" si="175">IFERROR(AK205,0)</f>
        <v>0</v>
      </c>
      <c r="AS205">
        <f t="shared" ref="AS205:AS268" ca="1" si="176">IFERROR(AL205,0)</f>
        <v>0</v>
      </c>
      <c r="AT205">
        <f t="shared" ref="AT205:AT268" ca="1" si="177">IFERROR(AM205,0)</f>
        <v>0</v>
      </c>
      <c r="AV205" t="e">
        <f t="shared" si="6"/>
        <v>#REF!</v>
      </c>
      <c r="AW205" t="e" cm="1">
        <f t="array" ref="AW205">INDEX(auto_DataFlat_Score,$AV205,1)</f>
        <v>#REF!</v>
      </c>
      <c r="AX205" t="e" cm="1">
        <f t="array" ref="AX205">INDEX(auto_DataFlat_DataValue,$AV205,1)</f>
        <v>#REF!</v>
      </c>
      <c r="BA205" t="str">
        <f t="shared" ref="BA205:BA268" si="178">IFERROR(K205-AW205,"n/a")</f>
        <v>n/a</v>
      </c>
      <c r="BB205">
        <f t="shared" ref="BB205:BB268" si="179">IFERROR(IF(BA205&gt;0,1,IF(BA205=0,2,IF(BA205&lt;0,3,"???"))),"n/a")</f>
        <v>1</v>
      </c>
      <c r="BC205" t="e">
        <f t="shared" ref="BC205:BC268" si="180">IF(OR($D205&lt;&gt;3,$E205=1),-1,BB205)</f>
        <v>#REF!</v>
      </c>
      <c r="BD205" t="e">
        <f t="shared" ca="1" si="162"/>
        <v>#N/A</v>
      </c>
      <c r="BE205" t="e">
        <f t="shared" ca="1" si="162"/>
        <v>#N/A</v>
      </c>
      <c r="BF205" t="e">
        <f t="shared" ca="1" si="162"/>
        <v>#N/A</v>
      </c>
      <c r="BH205">
        <f t="shared" ca="1" si="157"/>
        <v>0</v>
      </c>
      <c r="BI205">
        <f t="shared" ca="1" si="157"/>
        <v>0</v>
      </c>
      <c r="BJ205">
        <f t="shared" ca="1" si="157"/>
        <v>0</v>
      </c>
      <c r="BM205" t="e">
        <f t="shared" ref="BM205:BM268" si="181">IF(OR($D205&lt;&gt;$BN$7,$E205=1),-1,N205)</f>
        <v>#REF!</v>
      </c>
      <c r="BN205" t="e">
        <f t="shared" ref="BN205:BN268" ca="1" si="182">IFERROR(BN204+MATCH(BN$10,OFFSET($BM$12,BN204,0,300-BN204,1),0),NA())</f>
        <v>#N/A</v>
      </c>
      <c r="BO205" t="e">
        <f t="shared" ref="BO205:BO268" ca="1" si="183">IFERROR(BO204+MATCH(BO$10,OFFSET($BM$12,BO204,0,300-BO204,1),0),NA())</f>
        <v>#N/A</v>
      </c>
      <c r="BP205" t="e">
        <f t="shared" ref="BP205:BP268" ca="1" si="184">IFERROR(BP204+MATCH(BP$10,OFFSET($BM$12,BP204,0,300-BP204,1),0),NA())</f>
        <v>#N/A</v>
      </c>
      <c r="BQ205" t="e">
        <f t="shared" ref="BQ205:BQ268" ca="1" si="185">IFERROR(BQ204+MATCH(BQ$10,OFFSET($BM$12,BQ204,0,300-BQ204,1),0),NA())</f>
        <v>#N/A</v>
      </c>
      <c r="BR205" t="e">
        <f t="shared" ref="BR205:BR268" ca="1" si="186">IFERROR(BR204+MATCH(BR$10,OFFSET($BM$12,BR204,0,300-BR204,1),0),NA())</f>
        <v>#N/A</v>
      </c>
      <c r="BS205" t="e">
        <f t="shared" ref="BS205:BS268" ca="1" si="187">IFERROR(BS204+MATCH(BS$10,OFFSET($BM$12,BS204,0,300-BS204,1),0),NA())</f>
        <v>#N/A</v>
      </c>
      <c r="BT205" t="e">
        <f t="shared" ref="BT205:BT268" ca="1" si="188">IFERROR(BT204+MATCH(BT$10,OFFSET($BM$12,BT204,0,300-BT204,1),0),NA())</f>
        <v>#N/A</v>
      </c>
      <c r="BU205">
        <f t="shared" ref="BU205:BU268" ca="1" si="189">IFERROR(BN205,0)</f>
        <v>0</v>
      </c>
      <c r="BV205">
        <f t="shared" ref="BV205:BV268" ca="1" si="190">IFERROR(BO205,0)</f>
        <v>0</v>
      </c>
      <c r="BW205">
        <f t="shared" ref="BW205:BW268" ca="1" si="191">IFERROR(BP205,0)</f>
        <v>0</v>
      </c>
      <c r="BX205">
        <f t="shared" ref="BX205:BX268" ca="1" si="192">IFERROR(BQ205,0)</f>
        <v>0</v>
      </c>
      <c r="BY205">
        <f t="shared" ref="BY205:BY268" ca="1" si="193">IFERROR(BR205,0)</f>
        <v>0</v>
      </c>
      <c r="BZ205">
        <f t="shared" ca="1" si="163"/>
        <v>0</v>
      </c>
      <c r="CA205">
        <f t="shared" ca="1" si="164"/>
        <v>0</v>
      </c>
    </row>
    <row r="206" spans="1:79" x14ac:dyDescent="0.4">
      <c r="A206" t="str">
        <f t="shared" si="152"/>
        <v>X</v>
      </c>
      <c r="B206">
        <v>195</v>
      </c>
      <c r="C206" t="e" cm="1">
        <f t="array" ref="C206">INDEX(auto_Series_Code,B206)</f>
        <v>#REF!</v>
      </c>
      <c r="D206" t="e" cm="1">
        <f t="array" ref="D206">INDEX(auto_tblSeries,$B206,D$11)</f>
        <v>#REF!</v>
      </c>
      <c r="E206" t="e" cm="1">
        <f t="array" ref="E206">INDEX(auto_tblSeries,$B206,E$11)</f>
        <v>#REF!</v>
      </c>
      <c r="F206" t="e" cm="1">
        <f t="array" ref="F206">INDEX(auto_tblSeries,$B206,F$11)</f>
        <v>#REF!</v>
      </c>
      <c r="G206" t="e" cm="1">
        <f t="array" ref="G206">INDEX(auto_tblSeries,$B206,G$11)</f>
        <v>#REF!</v>
      </c>
      <c r="H206" t="e" cm="1">
        <f t="array" ref="H206">INDEX(auto_tblSeries,$B206,H$11)</f>
        <v>#REF!</v>
      </c>
      <c r="I206" t="e">
        <f t="shared" si="70"/>
        <v>#REF!</v>
      </c>
      <c r="K206" t="e" cm="1">
        <f t="array" ref="K206">INDEX(auto_DataFlat_Score,$I206,K$10)</f>
        <v>#REF!</v>
      </c>
      <c r="L206" t="e" cm="1">
        <f t="array" ref="L206">INDEX(auto_DataFlat_Rank,$I206,L$10)</f>
        <v>#REF!</v>
      </c>
      <c r="M206" t="e" cm="1">
        <f t="array" ref="M206">INDEX(auto_DataFlat_DataValue,$I206,M$10)</f>
        <v>#REF!</v>
      </c>
      <c r="N206" t="e" cm="1">
        <f t="array" ref="N206">INDEX(auto_DataFlat_Classification,$I206,M$10)</f>
        <v>#REF!</v>
      </c>
      <c r="O206" t="e" cm="1">
        <f t="array" ref="O206">INDEX(auto_DataFlat_IsEstimate,$I206,O$10)</f>
        <v>#REF!</v>
      </c>
      <c r="P206" t="e" cm="1">
        <f t="array" ref="P206">IF(INDEX(auto_DataFlat_DataYear,$I206,P$10)=0,"n/a",INDEX(auto_DataFlat_DataYear,$I206,P$10))</f>
        <v>#REF!</v>
      </c>
      <c r="R206" t="e">
        <f t="shared" si="161"/>
        <v>#REF!</v>
      </c>
      <c r="S206" t="e" cm="1">
        <f t="array" ref="S206">INDEX(auto_DataFlat_Score,$R206,S$10)</f>
        <v>#REF!</v>
      </c>
      <c r="U206" t="str">
        <f t="shared" si="165"/>
        <v>n/a</v>
      </c>
      <c r="V206">
        <f t="shared" si="166"/>
        <v>1</v>
      </c>
      <c r="W206" t="e">
        <f t="shared" si="167"/>
        <v>#REF!</v>
      </c>
      <c r="X206" t="e">
        <f t="shared" ca="1" si="168"/>
        <v>#N/A</v>
      </c>
      <c r="Y206" t="e">
        <f t="shared" ca="1" si="168"/>
        <v>#N/A</v>
      </c>
      <c r="Z206" t="e">
        <f t="shared" ca="1" si="168"/>
        <v>#N/A</v>
      </c>
      <c r="AB206">
        <f t="shared" ca="1" si="156"/>
        <v>0</v>
      </c>
      <c r="AC206">
        <f t="shared" ca="1" si="156"/>
        <v>0</v>
      </c>
      <c r="AD206">
        <f t="shared" ca="1" si="156"/>
        <v>0</v>
      </c>
      <c r="AF206" t="e">
        <f t="shared" si="169"/>
        <v>#REF!</v>
      </c>
      <c r="AG206" t="e">
        <f t="shared" ca="1" si="170"/>
        <v>#N/A</v>
      </c>
      <c r="AH206" t="e">
        <f t="shared" ca="1" si="170"/>
        <v>#N/A</v>
      </c>
      <c r="AI206" t="e">
        <f t="shared" ca="1" si="170"/>
        <v>#N/A</v>
      </c>
      <c r="AJ206" t="e">
        <f t="shared" ca="1" si="170"/>
        <v>#N/A</v>
      </c>
      <c r="AK206" t="e">
        <f t="shared" ca="1" si="170"/>
        <v>#N/A</v>
      </c>
      <c r="AL206" t="e">
        <f t="shared" ca="1" si="170"/>
        <v>#N/A</v>
      </c>
      <c r="AM206" t="e">
        <f t="shared" ca="1" si="170"/>
        <v>#N/A</v>
      </c>
      <c r="AN206">
        <f t="shared" ca="1" si="171"/>
        <v>0</v>
      </c>
      <c r="AO206">
        <f t="shared" ca="1" si="172"/>
        <v>0</v>
      </c>
      <c r="AP206">
        <f t="shared" ca="1" si="173"/>
        <v>0</v>
      </c>
      <c r="AQ206">
        <f t="shared" ca="1" si="174"/>
        <v>0</v>
      </c>
      <c r="AR206">
        <f t="shared" ca="1" si="175"/>
        <v>0</v>
      </c>
      <c r="AS206">
        <f t="shared" ca="1" si="176"/>
        <v>0</v>
      </c>
      <c r="AT206">
        <f t="shared" ca="1" si="177"/>
        <v>0</v>
      </c>
      <c r="AV206" t="e">
        <f t="shared" si="6"/>
        <v>#REF!</v>
      </c>
      <c r="AW206" t="e" cm="1">
        <f t="array" ref="AW206">INDEX(auto_DataFlat_Score,$AV206,1)</f>
        <v>#REF!</v>
      </c>
      <c r="AX206" t="e" cm="1">
        <f t="array" ref="AX206">INDEX(auto_DataFlat_DataValue,$AV206,1)</f>
        <v>#REF!</v>
      </c>
      <c r="BA206" t="str">
        <f t="shared" si="178"/>
        <v>n/a</v>
      </c>
      <c r="BB206">
        <f t="shared" si="179"/>
        <v>1</v>
      </c>
      <c r="BC206" t="e">
        <f t="shared" si="180"/>
        <v>#REF!</v>
      </c>
      <c r="BD206" t="e">
        <f t="shared" ca="1" si="162"/>
        <v>#N/A</v>
      </c>
      <c r="BE206" t="e">
        <f t="shared" ca="1" si="162"/>
        <v>#N/A</v>
      </c>
      <c r="BF206" t="e">
        <f t="shared" ca="1" si="162"/>
        <v>#N/A</v>
      </c>
      <c r="BH206">
        <f t="shared" ca="1" si="157"/>
        <v>0</v>
      </c>
      <c r="BI206">
        <f t="shared" ca="1" si="157"/>
        <v>0</v>
      </c>
      <c r="BJ206">
        <f t="shared" ca="1" si="157"/>
        <v>0</v>
      </c>
      <c r="BM206" t="e">
        <f t="shared" si="181"/>
        <v>#REF!</v>
      </c>
      <c r="BN206" t="e">
        <f t="shared" ca="1" si="182"/>
        <v>#N/A</v>
      </c>
      <c r="BO206" t="e">
        <f t="shared" ca="1" si="183"/>
        <v>#N/A</v>
      </c>
      <c r="BP206" t="e">
        <f t="shared" ca="1" si="184"/>
        <v>#N/A</v>
      </c>
      <c r="BQ206" t="e">
        <f t="shared" ca="1" si="185"/>
        <v>#N/A</v>
      </c>
      <c r="BR206" t="e">
        <f t="shared" ca="1" si="186"/>
        <v>#N/A</v>
      </c>
      <c r="BS206" t="e">
        <f t="shared" ca="1" si="187"/>
        <v>#N/A</v>
      </c>
      <c r="BT206" t="e">
        <f t="shared" ca="1" si="188"/>
        <v>#N/A</v>
      </c>
      <c r="BU206">
        <f t="shared" ca="1" si="189"/>
        <v>0</v>
      </c>
      <c r="BV206">
        <f t="shared" ca="1" si="190"/>
        <v>0</v>
      </c>
      <c r="BW206">
        <f t="shared" ca="1" si="191"/>
        <v>0</v>
      </c>
      <c r="BX206">
        <f t="shared" ca="1" si="192"/>
        <v>0</v>
      </c>
      <c r="BY206">
        <f t="shared" ca="1" si="193"/>
        <v>0</v>
      </c>
      <c r="BZ206">
        <f t="shared" ca="1" si="163"/>
        <v>0</v>
      </c>
      <c r="CA206">
        <f t="shared" ca="1" si="164"/>
        <v>0</v>
      </c>
    </row>
    <row r="207" spans="1:79" x14ac:dyDescent="0.4">
      <c r="A207" t="str">
        <f t="shared" si="152"/>
        <v>X</v>
      </c>
      <c r="B207">
        <v>196</v>
      </c>
      <c r="C207" t="e" cm="1">
        <f t="array" ref="C207">INDEX(auto_Series_Code,B207)</f>
        <v>#REF!</v>
      </c>
      <c r="D207" t="e" cm="1">
        <f t="array" ref="D207">INDEX(auto_tblSeries,$B207,D$11)</f>
        <v>#REF!</v>
      </c>
      <c r="E207" t="e" cm="1">
        <f t="array" ref="E207">INDEX(auto_tblSeries,$B207,E$11)</f>
        <v>#REF!</v>
      </c>
      <c r="F207" t="e" cm="1">
        <f t="array" ref="F207">INDEX(auto_tblSeries,$B207,F$11)</f>
        <v>#REF!</v>
      </c>
      <c r="G207" t="e" cm="1">
        <f t="array" ref="G207">INDEX(auto_tblSeries,$B207,G$11)</f>
        <v>#REF!</v>
      </c>
      <c r="H207" t="e" cm="1">
        <f t="array" ref="H207">INDEX(auto_tblSeries,$B207,H$11)</f>
        <v>#REF!</v>
      </c>
      <c r="I207" t="e">
        <f t="shared" si="70"/>
        <v>#REF!</v>
      </c>
      <c r="K207" t="e" cm="1">
        <f t="array" ref="K207">INDEX(auto_DataFlat_Score,$I207,K$10)</f>
        <v>#REF!</v>
      </c>
      <c r="L207" t="e" cm="1">
        <f t="array" ref="L207">INDEX(auto_DataFlat_Rank,$I207,L$10)</f>
        <v>#REF!</v>
      </c>
      <c r="M207" t="e" cm="1">
        <f t="array" ref="M207">INDEX(auto_DataFlat_DataValue,$I207,M$10)</f>
        <v>#REF!</v>
      </c>
      <c r="N207" t="e" cm="1">
        <f t="array" ref="N207">INDEX(auto_DataFlat_Classification,$I207,M$10)</f>
        <v>#REF!</v>
      </c>
      <c r="O207" t="e" cm="1">
        <f t="array" ref="O207">INDEX(auto_DataFlat_IsEstimate,$I207,O$10)</f>
        <v>#REF!</v>
      </c>
      <c r="P207" t="e" cm="1">
        <f t="array" ref="P207">IF(INDEX(auto_DataFlat_DataYear,$I207,P$10)=0,"n/a",INDEX(auto_DataFlat_DataYear,$I207,P$10))</f>
        <v>#REF!</v>
      </c>
      <c r="R207" t="e">
        <f t="shared" si="161"/>
        <v>#REF!</v>
      </c>
      <c r="S207" t="e" cm="1">
        <f t="array" ref="S207">INDEX(auto_DataFlat_Score,$R207,S$10)</f>
        <v>#REF!</v>
      </c>
      <c r="U207" t="str">
        <f t="shared" si="165"/>
        <v>n/a</v>
      </c>
      <c r="V207">
        <f t="shared" si="166"/>
        <v>1</v>
      </c>
      <c r="W207" t="e">
        <f t="shared" si="167"/>
        <v>#REF!</v>
      </c>
      <c r="X207" t="e">
        <f t="shared" ca="1" si="168"/>
        <v>#N/A</v>
      </c>
      <c r="Y207" t="e">
        <f t="shared" ca="1" si="168"/>
        <v>#N/A</v>
      </c>
      <c r="Z207" t="e">
        <f t="shared" ca="1" si="168"/>
        <v>#N/A</v>
      </c>
      <c r="AB207">
        <f t="shared" ca="1" si="156"/>
        <v>0</v>
      </c>
      <c r="AC207">
        <f t="shared" ca="1" si="156"/>
        <v>0</v>
      </c>
      <c r="AD207">
        <f t="shared" ca="1" si="156"/>
        <v>0</v>
      </c>
      <c r="AF207" t="e">
        <f t="shared" si="169"/>
        <v>#REF!</v>
      </c>
      <c r="AG207" t="e">
        <f t="shared" ca="1" si="170"/>
        <v>#N/A</v>
      </c>
      <c r="AH207" t="e">
        <f t="shared" ca="1" si="170"/>
        <v>#N/A</v>
      </c>
      <c r="AI207" t="e">
        <f t="shared" ca="1" si="170"/>
        <v>#N/A</v>
      </c>
      <c r="AJ207" t="e">
        <f t="shared" ca="1" si="170"/>
        <v>#N/A</v>
      </c>
      <c r="AK207" t="e">
        <f t="shared" ca="1" si="170"/>
        <v>#N/A</v>
      </c>
      <c r="AL207" t="e">
        <f t="shared" ca="1" si="170"/>
        <v>#N/A</v>
      </c>
      <c r="AM207" t="e">
        <f t="shared" ca="1" si="170"/>
        <v>#N/A</v>
      </c>
      <c r="AN207">
        <f t="shared" ca="1" si="171"/>
        <v>0</v>
      </c>
      <c r="AO207">
        <f t="shared" ca="1" si="172"/>
        <v>0</v>
      </c>
      <c r="AP207">
        <f t="shared" ca="1" si="173"/>
        <v>0</v>
      </c>
      <c r="AQ207">
        <f t="shared" ca="1" si="174"/>
        <v>0</v>
      </c>
      <c r="AR207">
        <f t="shared" ca="1" si="175"/>
        <v>0</v>
      </c>
      <c r="AS207">
        <f t="shared" ca="1" si="176"/>
        <v>0</v>
      </c>
      <c r="AT207">
        <f t="shared" ca="1" si="177"/>
        <v>0</v>
      </c>
      <c r="AV207" t="e">
        <f t="shared" si="6"/>
        <v>#REF!</v>
      </c>
      <c r="AW207" t="e" cm="1">
        <f t="array" ref="AW207">INDEX(auto_DataFlat_Score,$AV207,1)</f>
        <v>#REF!</v>
      </c>
      <c r="AX207" t="e" cm="1">
        <f t="array" ref="AX207">INDEX(auto_DataFlat_DataValue,$AV207,1)</f>
        <v>#REF!</v>
      </c>
      <c r="BA207" t="str">
        <f t="shared" si="178"/>
        <v>n/a</v>
      </c>
      <c r="BB207">
        <f t="shared" si="179"/>
        <v>1</v>
      </c>
      <c r="BC207" t="e">
        <f t="shared" si="180"/>
        <v>#REF!</v>
      </c>
      <c r="BD207" t="e">
        <f t="shared" ca="1" si="162"/>
        <v>#N/A</v>
      </c>
      <c r="BE207" t="e">
        <f t="shared" ca="1" si="162"/>
        <v>#N/A</v>
      </c>
      <c r="BF207" t="e">
        <f t="shared" ca="1" si="162"/>
        <v>#N/A</v>
      </c>
      <c r="BH207">
        <f t="shared" ca="1" si="157"/>
        <v>0</v>
      </c>
      <c r="BI207">
        <f t="shared" ca="1" si="157"/>
        <v>0</v>
      </c>
      <c r="BJ207">
        <f t="shared" ca="1" si="157"/>
        <v>0</v>
      </c>
      <c r="BM207" t="e">
        <f t="shared" si="181"/>
        <v>#REF!</v>
      </c>
      <c r="BN207" t="e">
        <f t="shared" ca="1" si="182"/>
        <v>#N/A</v>
      </c>
      <c r="BO207" t="e">
        <f t="shared" ca="1" si="183"/>
        <v>#N/A</v>
      </c>
      <c r="BP207" t="e">
        <f t="shared" ca="1" si="184"/>
        <v>#N/A</v>
      </c>
      <c r="BQ207" t="e">
        <f t="shared" ca="1" si="185"/>
        <v>#N/A</v>
      </c>
      <c r="BR207" t="e">
        <f t="shared" ca="1" si="186"/>
        <v>#N/A</v>
      </c>
      <c r="BS207" t="e">
        <f t="shared" ca="1" si="187"/>
        <v>#N/A</v>
      </c>
      <c r="BT207" t="e">
        <f t="shared" ca="1" si="188"/>
        <v>#N/A</v>
      </c>
      <c r="BU207">
        <f t="shared" ca="1" si="189"/>
        <v>0</v>
      </c>
      <c r="BV207">
        <f t="shared" ca="1" si="190"/>
        <v>0</v>
      </c>
      <c r="BW207">
        <f t="shared" ca="1" si="191"/>
        <v>0</v>
      </c>
      <c r="BX207">
        <f t="shared" ca="1" si="192"/>
        <v>0</v>
      </c>
      <c r="BY207">
        <f t="shared" ca="1" si="193"/>
        <v>0</v>
      </c>
      <c r="BZ207">
        <f t="shared" ca="1" si="163"/>
        <v>0</v>
      </c>
      <c r="CA207">
        <f t="shared" ca="1" si="164"/>
        <v>0</v>
      </c>
    </row>
    <row r="208" spans="1:79" x14ac:dyDescent="0.4">
      <c r="A208" t="str">
        <f t="shared" si="152"/>
        <v>X</v>
      </c>
      <c r="B208">
        <v>197</v>
      </c>
      <c r="C208" t="e" cm="1">
        <f t="array" ref="C208">INDEX(auto_Series_Code,B208)</f>
        <v>#REF!</v>
      </c>
      <c r="D208" t="e" cm="1">
        <f t="array" ref="D208">INDEX(auto_tblSeries,$B208,D$11)</f>
        <v>#REF!</v>
      </c>
      <c r="E208" t="e" cm="1">
        <f t="array" ref="E208">INDEX(auto_tblSeries,$B208,E$11)</f>
        <v>#REF!</v>
      </c>
      <c r="F208" t="e" cm="1">
        <f t="array" ref="F208">INDEX(auto_tblSeries,$B208,F$11)</f>
        <v>#REF!</v>
      </c>
      <c r="G208" t="e" cm="1">
        <f t="array" ref="G208">INDEX(auto_tblSeries,$B208,G$11)</f>
        <v>#REF!</v>
      </c>
      <c r="H208" t="e" cm="1">
        <f t="array" ref="H208">INDEX(auto_tblSeries,$B208,H$11)</f>
        <v>#REF!</v>
      </c>
      <c r="I208" t="e">
        <f t="shared" si="70"/>
        <v>#REF!</v>
      </c>
      <c r="K208" t="e" cm="1">
        <f t="array" ref="K208">INDEX(auto_DataFlat_Score,$I208,K$10)</f>
        <v>#REF!</v>
      </c>
      <c r="L208" t="e" cm="1">
        <f t="array" ref="L208">INDEX(auto_DataFlat_Rank,$I208,L$10)</f>
        <v>#REF!</v>
      </c>
      <c r="M208" t="e" cm="1">
        <f t="array" ref="M208">INDEX(auto_DataFlat_DataValue,$I208,M$10)</f>
        <v>#REF!</v>
      </c>
      <c r="N208" t="e" cm="1">
        <f t="array" ref="N208">INDEX(auto_DataFlat_Classification,$I208,M$10)</f>
        <v>#REF!</v>
      </c>
      <c r="O208" t="e" cm="1">
        <f t="array" ref="O208">INDEX(auto_DataFlat_IsEstimate,$I208,O$10)</f>
        <v>#REF!</v>
      </c>
      <c r="P208" t="e" cm="1">
        <f t="array" ref="P208">IF(INDEX(auto_DataFlat_DataYear,$I208,P$10)=0,"n/a",INDEX(auto_DataFlat_DataYear,$I208,P$10))</f>
        <v>#REF!</v>
      </c>
      <c r="R208" t="e">
        <f t="shared" si="161"/>
        <v>#REF!</v>
      </c>
      <c r="S208" t="e" cm="1">
        <f t="array" ref="S208">INDEX(auto_DataFlat_Score,$R208,S$10)</f>
        <v>#REF!</v>
      </c>
      <c r="U208" t="str">
        <f t="shared" si="165"/>
        <v>n/a</v>
      </c>
      <c r="V208">
        <f t="shared" si="166"/>
        <v>1</v>
      </c>
      <c r="W208" t="e">
        <f t="shared" si="167"/>
        <v>#REF!</v>
      </c>
      <c r="X208" t="e">
        <f t="shared" ca="1" si="168"/>
        <v>#N/A</v>
      </c>
      <c r="Y208" t="e">
        <f t="shared" ca="1" si="168"/>
        <v>#N/A</v>
      </c>
      <c r="Z208" t="e">
        <f t="shared" ca="1" si="168"/>
        <v>#N/A</v>
      </c>
      <c r="AB208">
        <f t="shared" ca="1" si="156"/>
        <v>0</v>
      </c>
      <c r="AC208">
        <f t="shared" ca="1" si="156"/>
        <v>0</v>
      </c>
      <c r="AD208">
        <f t="shared" ca="1" si="156"/>
        <v>0</v>
      </c>
      <c r="AF208" t="e">
        <f t="shared" si="169"/>
        <v>#REF!</v>
      </c>
      <c r="AG208" t="e">
        <f t="shared" ca="1" si="170"/>
        <v>#N/A</v>
      </c>
      <c r="AH208" t="e">
        <f t="shared" ca="1" si="170"/>
        <v>#N/A</v>
      </c>
      <c r="AI208" t="e">
        <f t="shared" ca="1" si="170"/>
        <v>#N/A</v>
      </c>
      <c r="AJ208" t="e">
        <f t="shared" ca="1" si="170"/>
        <v>#N/A</v>
      </c>
      <c r="AK208" t="e">
        <f t="shared" ca="1" si="170"/>
        <v>#N/A</v>
      </c>
      <c r="AL208" t="e">
        <f t="shared" ca="1" si="170"/>
        <v>#N/A</v>
      </c>
      <c r="AM208" t="e">
        <f t="shared" ca="1" si="170"/>
        <v>#N/A</v>
      </c>
      <c r="AN208">
        <f t="shared" ca="1" si="171"/>
        <v>0</v>
      </c>
      <c r="AO208">
        <f t="shared" ca="1" si="172"/>
        <v>0</v>
      </c>
      <c r="AP208">
        <f t="shared" ca="1" si="173"/>
        <v>0</v>
      </c>
      <c r="AQ208">
        <f t="shared" ca="1" si="174"/>
        <v>0</v>
      </c>
      <c r="AR208">
        <f t="shared" ca="1" si="175"/>
        <v>0</v>
      </c>
      <c r="AS208">
        <f t="shared" ca="1" si="176"/>
        <v>0</v>
      </c>
      <c r="AT208">
        <f t="shared" ca="1" si="177"/>
        <v>0</v>
      </c>
      <c r="AV208" t="e">
        <f t="shared" si="6"/>
        <v>#REF!</v>
      </c>
      <c r="AW208" t="e" cm="1">
        <f t="array" ref="AW208">INDEX(auto_DataFlat_Score,$AV208,1)</f>
        <v>#REF!</v>
      </c>
      <c r="AX208" t="e" cm="1">
        <f t="array" ref="AX208">INDEX(auto_DataFlat_DataValue,$AV208,1)</f>
        <v>#REF!</v>
      </c>
      <c r="BA208" t="str">
        <f t="shared" si="178"/>
        <v>n/a</v>
      </c>
      <c r="BB208">
        <f t="shared" si="179"/>
        <v>1</v>
      </c>
      <c r="BC208" t="e">
        <f t="shared" si="180"/>
        <v>#REF!</v>
      </c>
      <c r="BD208" t="e">
        <f t="shared" ca="1" si="162"/>
        <v>#N/A</v>
      </c>
      <c r="BE208" t="e">
        <f t="shared" ca="1" si="162"/>
        <v>#N/A</v>
      </c>
      <c r="BF208" t="e">
        <f t="shared" ca="1" si="162"/>
        <v>#N/A</v>
      </c>
      <c r="BH208">
        <f t="shared" ca="1" si="157"/>
        <v>0</v>
      </c>
      <c r="BI208">
        <f t="shared" ca="1" si="157"/>
        <v>0</v>
      </c>
      <c r="BJ208">
        <f t="shared" ca="1" si="157"/>
        <v>0</v>
      </c>
      <c r="BM208" t="e">
        <f t="shared" si="181"/>
        <v>#REF!</v>
      </c>
      <c r="BN208" t="e">
        <f t="shared" ca="1" si="182"/>
        <v>#N/A</v>
      </c>
      <c r="BO208" t="e">
        <f t="shared" ca="1" si="183"/>
        <v>#N/A</v>
      </c>
      <c r="BP208" t="e">
        <f t="shared" ca="1" si="184"/>
        <v>#N/A</v>
      </c>
      <c r="BQ208" t="e">
        <f t="shared" ca="1" si="185"/>
        <v>#N/A</v>
      </c>
      <c r="BR208" t="e">
        <f t="shared" ca="1" si="186"/>
        <v>#N/A</v>
      </c>
      <c r="BS208" t="e">
        <f t="shared" ca="1" si="187"/>
        <v>#N/A</v>
      </c>
      <c r="BT208" t="e">
        <f t="shared" ca="1" si="188"/>
        <v>#N/A</v>
      </c>
      <c r="BU208">
        <f t="shared" ca="1" si="189"/>
        <v>0</v>
      </c>
      <c r="BV208">
        <f t="shared" ca="1" si="190"/>
        <v>0</v>
      </c>
      <c r="BW208">
        <f t="shared" ca="1" si="191"/>
        <v>0</v>
      </c>
      <c r="BX208">
        <f t="shared" ca="1" si="192"/>
        <v>0</v>
      </c>
      <c r="BY208">
        <f t="shared" ca="1" si="193"/>
        <v>0</v>
      </c>
      <c r="BZ208">
        <f t="shared" ca="1" si="163"/>
        <v>0</v>
      </c>
      <c r="CA208">
        <f t="shared" ca="1" si="164"/>
        <v>0</v>
      </c>
    </row>
    <row r="209" spans="1:79" x14ac:dyDescent="0.4">
      <c r="A209" t="str">
        <f t="shared" si="152"/>
        <v>X</v>
      </c>
      <c r="B209">
        <v>198</v>
      </c>
      <c r="C209" t="e" cm="1">
        <f t="array" ref="C209">INDEX(auto_Series_Code,B209)</f>
        <v>#REF!</v>
      </c>
      <c r="D209" t="e" cm="1">
        <f t="array" ref="D209">INDEX(auto_tblSeries,$B209,D$11)</f>
        <v>#REF!</v>
      </c>
      <c r="E209" t="e" cm="1">
        <f t="array" ref="E209">INDEX(auto_tblSeries,$B209,E$11)</f>
        <v>#REF!</v>
      </c>
      <c r="F209" t="e" cm="1">
        <f t="array" ref="F209">INDEX(auto_tblSeries,$B209,F$11)</f>
        <v>#REF!</v>
      </c>
      <c r="G209" t="e" cm="1">
        <f t="array" ref="G209">INDEX(auto_tblSeries,$B209,G$11)</f>
        <v>#REF!</v>
      </c>
      <c r="H209" t="e" cm="1">
        <f t="array" ref="H209">INDEX(auto_tblSeries,$B209,H$11)</f>
        <v>#REF!</v>
      </c>
      <c r="I209" t="e">
        <f t="shared" si="70"/>
        <v>#REF!</v>
      </c>
      <c r="K209" t="e" cm="1">
        <f t="array" ref="K209">INDEX(auto_DataFlat_Score,$I209,K$10)</f>
        <v>#REF!</v>
      </c>
      <c r="L209" t="e" cm="1">
        <f t="array" ref="L209">INDEX(auto_DataFlat_Rank,$I209,L$10)</f>
        <v>#REF!</v>
      </c>
      <c r="M209" t="e" cm="1">
        <f t="array" ref="M209">INDEX(auto_DataFlat_DataValue,$I209,M$10)</f>
        <v>#REF!</v>
      </c>
      <c r="N209" t="e" cm="1">
        <f t="array" ref="N209">INDEX(auto_DataFlat_Classification,$I209,M$10)</f>
        <v>#REF!</v>
      </c>
      <c r="O209" t="e" cm="1">
        <f t="array" ref="O209">INDEX(auto_DataFlat_IsEstimate,$I209,O$10)</f>
        <v>#REF!</v>
      </c>
      <c r="P209" t="e" cm="1">
        <f t="array" ref="P209">IF(INDEX(auto_DataFlat_DataYear,$I209,P$10)=0,"n/a",INDEX(auto_DataFlat_DataYear,$I209,P$10))</f>
        <v>#REF!</v>
      </c>
      <c r="R209" t="e">
        <f t="shared" si="161"/>
        <v>#REF!</v>
      </c>
      <c r="S209" t="e" cm="1">
        <f t="array" ref="S209">INDEX(auto_DataFlat_Score,$R209,S$10)</f>
        <v>#REF!</v>
      </c>
      <c r="U209" t="str">
        <f t="shared" si="165"/>
        <v>n/a</v>
      </c>
      <c r="V209">
        <f t="shared" si="166"/>
        <v>1</v>
      </c>
      <c r="W209" t="e">
        <f t="shared" si="167"/>
        <v>#REF!</v>
      </c>
      <c r="X209" t="e">
        <f t="shared" ca="1" si="168"/>
        <v>#N/A</v>
      </c>
      <c r="Y209" t="e">
        <f t="shared" ca="1" si="168"/>
        <v>#N/A</v>
      </c>
      <c r="Z209" t="e">
        <f t="shared" ca="1" si="168"/>
        <v>#N/A</v>
      </c>
      <c r="AB209">
        <f t="shared" ca="1" si="156"/>
        <v>0</v>
      </c>
      <c r="AC209">
        <f t="shared" ca="1" si="156"/>
        <v>0</v>
      </c>
      <c r="AD209">
        <f t="shared" ca="1" si="156"/>
        <v>0</v>
      </c>
      <c r="AF209" t="e">
        <f t="shared" si="169"/>
        <v>#REF!</v>
      </c>
      <c r="AG209" t="e">
        <f t="shared" ca="1" si="170"/>
        <v>#N/A</v>
      </c>
      <c r="AH209" t="e">
        <f t="shared" ca="1" si="170"/>
        <v>#N/A</v>
      </c>
      <c r="AI209" t="e">
        <f t="shared" ca="1" si="170"/>
        <v>#N/A</v>
      </c>
      <c r="AJ209" t="e">
        <f t="shared" ca="1" si="170"/>
        <v>#N/A</v>
      </c>
      <c r="AK209" t="e">
        <f t="shared" ca="1" si="170"/>
        <v>#N/A</v>
      </c>
      <c r="AL209" t="e">
        <f t="shared" ca="1" si="170"/>
        <v>#N/A</v>
      </c>
      <c r="AM209" t="e">
        <f t="shared" ca="1" si="170"/>
        <v>#N/A</v>
      </c>
      <c r="AN209">
        <f t="shared" ca="1" si="171"/>
        <v>0</v>
      </c>
      <c r="AO209">
        <f t="shared" ca="1" si="172"/>
        <v>0</v>
      </c>
      <c r="AP209">
        <f t="shared" ca="1" si="173"/>
        <v>0</v>
      </c>
      <c r="AQ209">
        <f t="shared" ca="1" si="174"/>
        <v>0</v>
      </c>
      <c r="AR209">
        <f t="shared" ca="1" si="175"/>
        <v>0</v>
      </c>
      <c r="AS209">
        <f t="shared" ca="1" si="176"/>
        <v>0</v>
      </c>
      <c r="AT209">
        <f t="shared" ca="1" si="177"/>
        <v>0</v>
      </c>
      <c r="AV209" t="e">
        <f t="shared" si="6"/>
        <v>#REF!</v>
      </c>
      <c r="AW209" t="e" cm="1">
        <f t="array" ref="AW209">INDEX(auto_DataFlat_Score,$AV209,1)</f>
        <v>#REF!</v>
      </c>
      <c r="AX209" t="e" cm="1">
        <f t="array" ref="AX209">INDEX(auto_DataFlat_DataValue,$AV209,1)</f>
        <v>#REF!</v>
      </c>
      <c r="BA209" t="str">
        <f t="shared" si="178"/>
        <v>n/a</v>
      </c>
      <c r="BB209">
        <f t="shared" si="179"/>
        <v>1</v>
      </c>
      <c r="BC209" t="e">
        <f t="shared" si="180"/>
        <v>#REF!</v>
      </c>
      <c r="BD209" t="e">
        <f t="shared" ca="1" si="162"/>
        <v>#N/A</v>
      </c>
      <c r="BE209" t="e">
        <f t="shared" ca="1" si="162"/>
        <v>#N/A</v>
      </c>
      <c r="BF209" t="e">
        <f t="shared" ca="1" si="162"/>
        <v>#N/A</v>
      </c>
      <c r="BH209">
        <f t="shared" ca="1" si="157"/>
        <v>0</v>
      </c>
      <c r="BI209">
        <f t="shared" ca="1" si="157"/>
        <v>0</v>
      </c>
      <c r="BJ209">
        <f t="shared" ca="1" si="157"/>
        <v>0</v>
      </c>
      <c r="BM209" t="e">
        <f t="shared" si="181"/>
        <v>#REF!</v>
      </c>
      <c r="BN209" t="e">
        <f t="shared" ca="1" si="182"/>
        <v>#N/A</v>
      </c>
      <c r="BO209" t="e">
        <f t="shared" ca="1" si="183"/>
        <v>#N/A</v>
      </c>
      <c r="BP209" t="e">
        <f t="shared" ca="1" si="184"/>
        <v>#N/A</v>
      </c>
      <c r="BQ209" t="e">
        <f t="shared" ca="1" si="185"/>
        <v>#N/A</v>
      </c>
      <c r="BR209" t="e">
        <f t="shared" ca="1" si="186"/>
        <v>#N/A</v>
      </c>
      <c r="BS209" t="e">
        <f t="shared" ca="1" si="187"/>
        <v>#N/A</v>
      </c>
      <c r="BT209" t="e">
        <f t="shared" ca="1" si="188"/>
        <v>#N/A</v>
      </c>
      <c r="BU209">
        <f t="shared" ca="1" si="189"/>
        <v>0</v>
      </c>
      <c r="BV209">
        <f t="shared" ca="1" si="190"/>
        <v>0</v>
      </c>
      <c r="BW209">
        <f t="shared" ca="1" si="191"/>
        <v>0</v>
      </c>
      <c r="BX209">
        <f t="shared" ca="1" si="192"/>
        <v>0</v>
      </c>
      <c r="BY209">
        <f t="shared" ca="1" si="193"/>
        <v>0</v>
      </c>
      <c r="BZ209">
        <f t="shared" ca="1" si="163"/>
        <v>0</v>
      </c>
      <c r="CA209">
        <f t="shared" ca="1" si="164"/>
        <v>0</v>
      </c>
    </row>
    <row r="210" spans="1:79" x14ac:dyDescent="0.4">
      <c r="A210" t="str">
        <f t="shared" si="152"/>
        <v>X</v>
      </c>
      <c r="B210">
        <v>199</v>
      </c>
      <c r="C210" t="e" cm="1">
        <f t="array" ref="C210">INDEX(auto_Series_Code,B210)</f>
        <v>#REF!</v>
      </c>
      <c r="D210" t="e" cm="1">
        <f t="array" ref="D210">INDEX(auto_tblSeries,$B210,D$11)</f>
        <v>#REF!</v>
      </c>
      <c r="E210" t="e" cm="1">
        <f t="array" ref="E210">INDEX(auto_tblSeries,$B210,E$11)</f>
        <v>#REF!</v>
      </c>
      <c r="F210" t="e" cm="1">
        <f t="array" ref="F210">INDEX(auto_tblSeries,$B210,F$11)</f>
        <v>#REF!</v>
      </c>
      <c r="G210" t="e" cm="1">
        <f t="array" ref="G210">INDEX(auto_tblSeries,$B210,G$11)</f>
        <v>#REF!</v>
      </c>
      <c r="H210" t="e" cm="1">
        <f t="array" ref="H210">INDEX(auto_tblSeries,$B210,H$11)</f>
        <v>#REF!</v>
      </c>
      <c r="I210" t="e">
        <f t="shared" si="70"/>
        <v>#REF!</v>
      </c>
      <c r="K210" t="e" cm="1">
        <f t="array" ref="K210">INDEX(auto_DataFlat_Score,$I210,K$10)</f>
        <v>#REF!</v>
      </c>
      <c r="L210" t="e" cm="1">
        <f t="array" ref="L210">INDEX(auto_DataFlat_Rank,$I210,L$10)</f>
        <v>#REF!</v>
      </c>
      <c r="M210" t="e" cm="1">
        <f t="array" ref="M210">INDEX(auto_DataFlat_DataValue,$I210,M$10)</f>
        <v>#REF!</v>
      </c>
      <c r="N210" t="e" cm="1">
        <f t="array" ref="N210">INDEX(auto_DataFlat_Classification,$I210,M$10)</f>
        <v>#REF!</v>
      </c>
      <c r="O210" t="e" cm="1">
        <f t="array" ref="O210">INDEX(auto_DataFlat_IsEstimate,$I210,O$10)</f>
        <v>#REF!</v>
      </c>
      <c r="P210" t="e" cm="1">
        <f t="array" ref="P210">IF(INDEX(auto_DataFlat_DataYear,$I210,P$10)=0,"n/a",INDEX(auto_DataFlat_DataYear,$I210,P$10))</f>
        <v>#REF!</v>
      </c>
      <c r="R210" t="e">
        <f t="shared" si="161"/>
        <v>#REF!</v>
      </c>
      <c r="S210" t="e" cm="1">
        <f t="array" ref="S210">INDEX(auto_DataFlat_Score,$R210,S$10)</f>
        <v>#REF!</v>
      </c>
      <c r="U210" t="str">
        <f t="shared" si="165"/>
        <v>n/a</v>
      </c>
      <c r="V210">
        <f t="shared" si="166"/>
        <v>1</v>
      </c>
      <c r="W210" t="e">
        <f t="shared" si="167"/>
        <v>#REF!</v>
      </c>
      <c r="X210" t="e">
        <f t="shared" ca="1" si="168"/>
        <v>#N/A</v>
      </c>
      <c r="Y210" t="e">
        <f t="shared" ca="1" si="168"/>
        <v>#N/A</v>
      </c>
      <c r="Z210" t="e">
        <f t="shared" ca="1" si="168"/>
        <v>#N/A</v>
      </c>
      <c r="AB210">
        <f t="shared" ca="1" si="156"/>
        <v>0</v>
      </c>
      <c r="AC210">
        <f t="shared" ca="1" si="156"/>
        <v>0</v>
      </c>
      <c r="AD210">
        <f t="shared" ca="1" si="156"/>
        <v>0</v>
      </c>
      <c r="AF210" t="e">
        <f t="shared" si="169"/>
        <v>#REF!</v>
      </c>
      <c r="AG210" t="e">
        <f t="shared" ca="1" si="170"/>
        <v>#N/A</v>
      </c>
      <c r="AH210" t="e">
        <f t="shared" ca="1" si="170"/>
        <v>#N/A</v>
      </c>
      <c r="AI210" t="e">
        <f t="shared" ca="1" si="170"/>
        <v>#N/A</v>
      </c>
      <c r="AJ210" t="e">
        <f t="shared" ca="1" si="170"/>
        <v>#N/A</v>
      </c>
      <c r="AK210" t="e">
        <f t="shared" ca="1" si="170"/>
        <v>#N/A</v>
      </c>
      <c r="AL210" t="e">
        <f t="shared" ca="1" si="170"/>
        <v>#N/A</v>
      </c>
      <c r="AM210" t="e">
        <f t="shared" ca="1" si="170"/>
        <v>#N/A</v>
      </c>
      <c r="AN210">
        <f t="shared" ca="1" si="171"/>
        <v>0</v>
      </c>
      <c r="AO210">
        <f t="shared" ca="1" si="172"/>
        <v>0</v>
      </c>
      <c r="AP210">
        <f t="shared" ca="1" si="173"/>
        <v>0</v>
      </c>
      <c r="AQ210">
        <f t="shared" ca="1" si="174"/>
        <v>0</v>
      </c>
      <c r="AR210">
        <f t="shared" ca="1" si="175"/>
        <v>0</v>
      </c>
      <c r="AS210">
        <f t="shared" ca="1" si="176"/>
        <v>0</v>
      </c>
      <c r="AT210">
        <f t="shared" ca="1" si="177"/>
        <v>0</v>
      </c>
      <c r="AV210" t="e">
        <f t="shared" si="6"/>
        <v>#REF!</v>
      </c>
      <c r="AW210" t="e" cm="1">
        <f t="array" ref="AW210">INDEX(auto_DataFlat_Score,$AV210,1)</f>
        <v>#REF!</v>
      </c>
      <c r="AX210" t="e" cm="1">
        <f t="array" ref="AX210">INDEX(auto_DataFlat_DataValue,$AV210,1)</f>
        <v>#REF!</v>
      </c>
      <c r="BA210" t="str">
        <f t="shared" si="178"/>
        <v>n/a</v>
      </c>
      <c r="BB210">
        <f t="shared" si="179"/>
        <v>1</v>
      </c>
      <c r="BC210" t="e">
        <f t="shared" si="180"/>
        <v>#REF!</v>
      </c>
      <c r="BD210" t="e">
        <f t="shared" ca="1" si="162"/>
        <v>#N/A</v>
      </c>
      <c r="BE210" t="e">
        <f t="shared" ca="1" si="162"/>
        <v>#N/A</v>
      </c>
      <c r="BF210" t="e">
        <f t="shared" ca="1" si="162"/>
        <v>#N/A</v>
      </c>
      <c r="BH210">
        <f t="shared" ca="1" si="157"/>
        <v>0</v>
      </c>
      <c r="BI210">
        <f t="shared" ca="1" si="157"/>
        <v>0</v>
      </c>
      <c r="BJ210">
        <f t="shared" ca="1" si="157"/>
        <v>0</v>
      </c>
      <c r="BM210" t="e">
        <f t="shared" si="181"/>
        <v>#REF!</v>
      </c>
      <c r="BN210" t="e">
        <f t="shared" ca="1" si="182"/>
        <v>#N/A</v>
      </c>
      <c r="BO210" t="e">
        <f t="shared" ca="1" si="183"/>
        <v>#N/A</v>
      </c>
      <c r="BP210" t="e">
        <f t="shared" ca="1" si="184"/>
        <v>#N/A</v>
      </c>
      <c r="BQ210" t="e">
        <f t="shared" ca="1" si="185"/>
        <v>#N/A</v>
      </c>
      <c r="BR210" t="e">
        <f t="shared" ca="1" si="186"/>
        <v>#N/A</v>
      </c>
      <c r="BS210" t="e">
        <f t="shared" ca="1" si="187"/>
        <v>#N/A</v>
      </c>
      <c r="BT210" t="e">
        <f t="shared" ca="1" si="188"/>
        <v>#N/A</v>
      </c>
      <c r="BU210">
        <f t="shared" ca="1" si="189"/>
        <v>0</v>
      </c>
      <c r="BV210">
        <f t="shared" ca="1" si="190"/>
        <v>0</v>
      </c>
      <c r="BW210">
        <f t="shared" ca="1" si="191"/>
        <v>0</v>
      </c>
      <c r="BX210">
        <f t="shared" ca="1" si="192"/>
        <v>0</v>
      </c>
      <c r="BY210">
        <f t="shared" ca="1" si="193"/>
        <v>0</v>
      </c>
      <c r="BZ210">
        <f t="shared" ca="1" si="163"/>
        <v>0</v>
      </c>
      <c r="CA210">
        <f t="shared" ca="1" si="164"/>
        <v>0</v>
      </c>
    </row>
    <row r="211" spans="1:79" x14ac:dyDescent="0.4">
      <c r="A211" t="str">
        <f t="shared" si="152"/>
        <v>X</v>
      </c>
      <c r="B211">
        <v>200</v>
      </c>
      <c r="C211" t="e" cm="1">
        <f t="array" ref="C211">INDEX(auto_Series_Code,B211)</f>
        <v>#REF!</v>
      </c>
      <c r="D211" t="e" cm="1">
        <f t="array" ref="D211">INDEX(auto_tblSeries,$B211,D$11)</f>
        <v>#REF!</v>
      </c>
      <c r="E211" t="e" cm="1">
        <f t="array" ref="E211">INDEX(auto_tblSeries,$B211,E$11)</f>
        <v>#REF!</v>
      </c>
      <c r="F211" t="e" cm="1">
        <f t="array" ref="F211">INDEX(auto_tblSeries,$B211,F$11)</f>
        <v>#REF!</v>
      </c>
      <c r="G211" t="e" cm="1">
        <f t="array" ref="G211">INDEX(auto_tblSeries,$B211,G$11)</f>
        <v>#REF!</v>
      </c>
      <c r="H211" t="e" cm="1">
        <f t="array" ref="H211">INDEX(auto_tblSeries,$B211,H$11)</f>
        <v>#REF!</v>
      </c>
      <c r="I211" t="e">
        <f t="shared" si="70"/>
        <v>#REF!</v>
      </c>
      <c r="K211" t="e" cm="1">
        <f t="array" ref="K211">INDEX(auto_DataFlat_Score,$I211,K$10)</f>
        <v>#REF!</v>
      </c>
      <c r="L211" t="e" cm="1">
        <f t="array" ref="L211">INDEX(auto_DataFlat_Rank,$I211,L$10)</f>
        <v>#REF!</v>
      </c>
      <c r="M211" t="e" cm="1">
        <f t="array" ref="M211">INDEX(auto_DataFlat_DataValue,$I211,M$10)</f>
        <v>#REF!</v>
      </c>
      <c r="N211" t="e" cm="1">
        <f t="array" ref="N211">INDEX(auto_DataFlat_Classification,$I211,M$10)</f>
        <v>#REF!</v>
      </c>
      <c r="O211" t="e" cm="1">
        <f t="array" ref="O211">INDEX(auto_DataFlat_IsEstimate,$I211,O$10)</f>
        <v>#REF!</v>
      </c>
      <c r="P211" t="e" cm="1">
        <f t="array" ref="P211">IF(INDEX(auto_DataFlat_DataYear,$I211,P$10)=0,"n/a",INDEX(auto_DataFlat_DataYear,$I211,P$10))</f>
        <v>#REF!</v>
      </c>
      <c r="R211" t="e">
        <f t="shared" si="161"/>
        <v>#REF!</v>
      </c>
      <c r="S211" t="e" cm="1">
        <f t="array" ref="S211">INDEX(auto_DataFlat_Score,$R211,S$10)</f>
        <v>#REF!</v>
      </c>
      <c r="U211" t="str">
        <f t="shared" si="165"/>
        <v>n/a</v>
      </c>
      <c r="V211">
        <f t="shared" si="166"/>
        <v>1</v>
      </c>
      <c r="W211" t="e">
        <f t="shared" si="167"/>
        <v>#REF!</v>
      </c>
      <c r="X211" t="e">
        <f t="shared" ca="1" si="168"/>
        <v>#N/A</v>
      </c>
      <c r="Y211" t="e">
        <f t="shared" ca="1" si="168"/>
        <v>#N/A</v>
      </c>
      <c r="Z211" t="e">
        <f t="shared" ca="1" si="168"/>
        <v>#N/A</v>
      </c>
      <c r="AB211">
        <f t="shared" ca="1" si="156"/>
        <v>0</v>
      </c>
      <c r="AC211">
        <f t="shared" ca="1" si="156"/>
        <v>0</v>
      </c>
      <c r="AD211">
        <f t="shared" ca="1" si="156"/>
        <v>0</v>
      </c>
      <c r="AF211" t="e">
        <f t="shared" si="169"/>
        <v>#REF!</v>
      </c>
      <c r="AG211" t="e">
        <f t="shared" ca="1" si="170"/>
        <v>#N/A</v>
      </c>
      <c r="AH211" t="e">
        <f t="shared" ca="1" si="170"/>
        <v>#N/A</v>
      </c>
      <c r="AI211" t="e">
        <f t="shared" ca="1" si="170"/>
        <v>#N/A</v>
      </c>
      <c r="AJ211" t="e">
        <f t="shared" ca="1" si="170"/>
        <v>#N/A</v>
      </c>
      <c r="AK211" t="e">
        <f t="shared" ca="1" si="170"/>
        <v>#N/A</v>
      </c>
      <c r="AL211" t="e">
        <f t="shared" ca="1" si="170"/>
        <v>#N/A</v>
      </c>
      <c r="AM211" t="e">
        <f t="shared" ca="1" si="170"/>
        <v>#N/A</v>
      </c>
      <c r="AN211">
        <f t="shared" ca="1" si="171"/>
        <v>0</v>
      </c>
      <c r="AO211">
        <f t="shared" ca="1" si="172"/>
        <v>0</v>
      </c>
      <c r="AP211">
        <f t="shared" ca="1" si="173"/>
        <v>0</v>
      </c>
      <c r="AQ211">
        <f t="shared" ca="1" si="174"/>
        <v>0</v>
      </c>
      <c r="AR211">
        <f t="shared" ca="1" si="175"/>
        <v>0</v>
      </c>
      <c r="AS211">
        <f t="shared" ca="1" si="176"/>
        <v>0</v>
      </c>
      <c r="AT211">
        <f t="shared" ca="1" si="177"/>
        <v>0</v>
      </c>
      <c r="AV211" t="e">
        <f t="shared" si="6"/>
        <v>#REF!</v>
      </c>
      <c r="AW211" t="e" cm="1">
        <f t="array" ref="AW211">INDEX(auto_DataFlat_Score,$AV211,1)</f>
        <v>#REF!</v>
      </c>
      <c r="AX211" t="e" cm="1">
        <f t="array" ref="AX211">INDEX(auto_DataFlat_DataValue,$AV211,1)</f>
        <v>#REF!</v>
      </c>
      <c r="BA211" t="str">
        <f t="shared" si="178"/>
        <v>n/a</v>
      </c>
      <c r="BB211">
        <f t="shared" si="179"/>
        <v>1</v>
      </c>
      <c r="BC211" t="e">
        <f t="shared" si="180"/>
        <v>#REF!</v>
      </c>
      <c r="BD211" t="e">
        <f t="shared" ca="1" si="162"/>
        <v>#N/A</v>
      </c>
      <c r="BE211" t="e">
        <f t="shared" ca="1" si="162"/>
        <v>#N/A</v>
      </c>
      <c r="BF211" t="e">
        <f t="shared" ca="1" si="162"/>
        <v>#N/A</v>
      </c>
      <c r="BH211">
        <f t="shared" ca="1" si="157"/>
        <v>0</v>
      </c>
      <c r="BI211">
        <f t="shared" ca="1" si="157"/>
        <v>0</v>
      </c>
      <c r="BJ211">
        <f t="shared" ca="1" si="157"/>
        <v>0</v>
      </c>
      <c r="BM211" t="e">
        <f t="shared" si="181"/>
        <v>#REF!</v>
      </c>
      <c r="BN211" t="e">
        <f t="shared" ca="1" si="182"/>
        <v>#N/A</v>
      </c>
      <c r="BO211" t="e">
        <f t="shared" ca="1" si="183"/>
        <v>#N/A</v>
      </c>
      <c r="BP211" t="e">
        <f t="shared" ca="1" si="184"/>
        <v>#N/A</v>
      </c>
      <c r="BQ211" t="e">
        <f t="shared" ca="1" si="185"/>
        <v>#N/A</v>
      </c>
      <c r="BR211" t="e">
        <f t="shared" ca="1" si="186"/>
        <v>#N/A</v>
      </c>
      <c r="BS211" t="e">
        <f t="shared" ca="1" si="187"/>
        <v>#N/A</v>
      </c>
      <c r="BT211" t="e">
        <f t="shared" ca="1" si="188"/>
        <v>#N/A</v>
      </c>
      <c r="BU211">
        <f t="shared" ca="1" si="189"/>
        <v>0</v>
      </c>
      <c r="BV211">
        <f t="shared" ca="1" si="190"/>
        <v>0</v>
      </c>
      <c r="BW211">
        <f t="shared" ca="1" si="191"/>
        <v>0</v>
      </c>
      <c r="BX211">
        <f t="shared" ca="1" si="192"/>
        <v>0</v>
      </c>
      <c r="BY211">
        <f t="shared" ca="1" si="193"/>
        <v>0</v>
      </c>
      <c r="BZ211">
        <f t="shared" ca="1" si="163"/>
        <v>0</v>
      </c>
      <c r="CA211">
        <f t="shared" ca="1" si="164"/>
        <v>0</v>
      </c>
    </row>
    <row r="212" spans="1:79" x14ac:dyDescent="0.4">
      <c r="A212" t="str">
        <f t="shared" si="152"/>
        <v>X</v>
      </c>
      <c r="B212">
        <v>201</v>
      </c>
      <c r="C212" t="e" cm="1">
        <f t="array" ref="C212">INDEX(auto_Series_Code,B212)</f>
        <v>#REF!</v>
      </c>
      <c r="D212" t="e" cm="1">
        <f t="array" ref="D212">INDEX(auto_tblSeries,$B212,D$11)</f>
        <v>#REF!</v>
      </c>
      <c r="E212" t="e" cm="1">
        <f t="array" ref="E212">INDEX(auto_tblSeries,$B212,E$11)</f>
        <v>#REF!</v>
      </c>
      <c r="F212" t="e" cm="1">
        <f t="array" ref="F212">INDEX(auto_tblSeries,$B212,F$11)</f>
        <v>#REF!</v>
      </c>
      <c r="G212" t="e" cm="1">
        <f t="array" ref="G212">INDEX(auto_tblSeries,$B212,G$11)</f>
        <v>#REF!</v>
      </c>
      <c r="H212" t="e" cm="1">
        <f t="array" ref="H212">INDEX(auto_tblSeries,$B212,H$11)</f>
        <v>#REF!</v>
      </c>
      <c r="I212" t="e">
        <f t="shared" si="70"/>
        <v>#REF!</v>
      </c>
      <c r="K212" t="e" cm="1">
        <f t="array" ref="K212">INDEX(auto_DataFlat_Score,$I212,K$10)</f>
        <v>#REF!</v>
      </c>
      <c r="L212" t="e" cm="1">
        <f t="array" ref="L212">INDEX(auto_DataFlat_Rank,$I212,L$10)</f>
        <v>#REF!</v>
      </c>
      <c r="M212" t="e" cm="1">
        <f t="array" ref="M212">INDEX(auto_DataFlat_DataValue,$I212,M$10)</f>
        <v>#REF!</v>
      </c>
      <c r="N212" t="e" cm="1">
        <f t="array" ref="N212">INDEX(auto_DataFlat_Classification,$I212,M$10)</f>
        <v>#REF!</v>
      </c>
      <c r="O212" t="e" cm="1">
        <f t="array" ref="O212">INDEX(auto_DataFlat_IsEstimate,$I212,O$10)</f>
        <v>#REF!</v>
      </c>
      <c r="P212" t="e" cm="1">
        <f t="array" ref="P212">IF(INDEX(auto_DataFlat_DataYear,$I212,P$10)=0,"n/a",INDEX(auto_DataFlat_DataYear,$I212,P$10))</f>
        <v>#REF!</v>
      </c>
      <c r="R212" t="e">
        <f t="shared" si="161"/>
        <v>#REF!</v>
      </c>
      <c r="S212" t="e" cm="1">
        <f t="array" ref="S212">INDEX(auto_DataFlat_Score,$R212,S$10)</f>
        <v>#REF!</v>
      </c>
      <c r="U212" t="str">
        <f t="shared" si="165"/>
        <v>n/a</v>
      </c>
      <c r="V212">
        <f t="shared" si="166"/>
        <v>1</v>
      </c>
      <c r="W212" t="e">
        <f t="shared" si="167"/>
        <v>#REF!</v>
      </c>
      <c r="X212" t="e">
        <f t="shared" ca="1" si="168"/>
        <v>#N/A</v>
      </c>
      <c r="Y212" t="e">
        <f t="shared" ca="1" si="168"/>
        <v>#N/A</v>
      </c>
      <c r="Z212" t="e">
        <f t="shared" ca="1" si="168"/>
        <v>#N/A</v>
      </c>
      <c r="AB212">
        <f t="shared" ca="1" si="156"/>
        <v>0</v>
      </c>
      <c r="AC212">
        <f t="shared" ca="1" si="156"/>
        <v>0</v>
      </c>
      <c r="AD212">
        <f t="shared" ca="1" si="156"/>
        <v>0</v>
      </c>
      <c r="AF212" t="e">
        <f t="shared" si="169"/>
        <v>#REF!</v>
      </c>
      <c r="AG212" t="e">
        <f t="shared" ca="1" si="170"/>
        <v>#N/A</v>
      </c>
      <c r="AH212" t="e">
        <f t="shared" ca="1" si="170"/>
        <v>#N/A</v>
      </c>
      <c r="AI212" t="e">
        <f t="shared" ca="1" si="170"/>
        <v>#N/A</v>
      </c>
      <c r="AJ212" t="e">
        <f t="shared" ca="1" si="170"/>
        <v>#N/A</v>
      </c>
      <c r="AK212" t="e">
        <f t="shared" ca="1" si="170"/>
        <v>#N/A</v>
      </c>
      <c r="AL212" t="e">
        <f t="shared" ca="1" si="170"/>
        <v>#N/A</v>
      </c>
      <c r="AM212" t="e">
        <f t="shared" ca="1" si="170"/>
        <v>#N/A</v>
      </c>
      <c r="AN212">
        <f t="shared" ca="1" si="171"/>
        <v>0</v>
      </c>
      <c r="AO212">
        <f t="shared" ca="1" si="172"/>
        <v>0</v>
      </c>
      <c r="AP212">
        <f t="shared" ca="1" si="173"/>
        <v>0</v>
      </c>
      <c r="AQ212">
        <f t="shared" ca="1" si="174"/>
        <v>0</v>
      </c>
      <c r="AR212">
        <f t="shared" ca="1" si="175"/>
        <v>0</v>
      </c>
      <c r="AS212">
        <f t="shared" ca="1" si="176"/>
        <v>0</v>
      </c>
      <c r="AT212">
        <f t="shared" ca="1" si="177"/>
        <v>0</v>
      </c>
      <c r="AV212" t="e">
        <f t="shared" si="6"/>
        <v>#REF!</v>
      </c>
      <c r="AW212" t="e" cm="1">
        <f t="array" ref="AW212">INDEX(auto_DataFlat_Score,$AV212,1)</f>
        <v>#REF!</v>
      </c>
      <c r="AX212" t="e" cm="1">
        <f t="array" ref="AX212">INDEX(auto_DataFlat_DataValue,$AV212,1)</f>
        <v>#REF!</v>
      </c>
      <c r="BA212" t="str">
        <f t="shared" si="178"/>
        <v>n/a</v>
      </c>
      <c r="BB212">
        <f t="shared" si="179"/>
        <v>1</v>
      </c>
      <c r="BC212" t="e">
        <f t="shared" si="180"/>
        <v>#REF!</v>
      </c>
      <c r="BD212" t="e">
        <f t="shared" ca="1" si="162"/>
        <v>#N/A</v>
      </c>
      <c r="BE212" t="e">
        <f t="shared" ca="1" si="162"/>
        <v>#N/A</v>
      </c>
      <c r="BF212" t="e">
        <f t="shared" ca="1" si="162"/>
        <v>#N/A</v>
      </c>
      <c r="BH212">
        <f t="shared" ca="1" si="157"/>
        <v>0</v>
      </c>
      <c r="BI212">
        <f t="shared" ca="1" si="157"/>
        <v>0</v>
      </c>
      <c r="BJ212">
        <f t="shared" ca="1" si="157"/>
        <v>0</v>
      </c>
      <c r="BM212" t="e">
        <f t="shared" si="181"/>
        <v>#REF!</v>
      </c>
      <c r="BN212" t="e">
        <f t="shared" ca="1" si="182"/>
        <v>#N/A</v>
      </c>
      <c r="BO212" t="e">
        <f t="shared" ca="1" si="183"/>
        <v>#N/A</v>
      </c>
      <c r="BP212" t="e">
        <f t="shared" ca="1" si="184"/>
        <v>#N/A</v>
      </c>
      <c r="BQ212" t="e">
        <f t="shared" ca="1" si="185"/>
        <v>#N/A</v>
      </c>
      <c r="BR212" t="e">
        <f t="shared" ca="1" si="186"/>
        <v>#N/A</v>
      </c>
      <c r="BS212" t="e">
        <f t="shared" ca="1" si="187"/>
        <v>#N/A</v>
      </c>
      <c r="BT212" t="e">
        <f t="shared" ca="1" si="188"/>
        <v>#N/A</v>
      </c>
      <c r="BU212">
        <f t="shared" ca="1" si="189"/>
        <v>0</v>
      </c>
      <c r="BV212">
        <f t="shared" ca="1" si="190"/>
        <v>0</v>
      </c>
      <c r="BW212">
        <f t="shared" ca="1" si="191"/>
        <v>0</v>
      </c>
      <c r="BX212">
        <f t="shared" ca="1" si="192"/>
        <v>0</v>
      </c>
      <c r="BY212">
        <f t="shared" ca="1" si="193"/>
        <v>0</v>
      </c>
      <c r="BZ212">
        <f t="shared" ca="1" si="163"/>
        <v>0</v>
      </c>
      <c r="CA212">
        <f t="shared" ca="1" si="164"/>
        <v>0</v>
      </c>
    </row>
    <row r="213" spans="1:79" x14ac:dyDescent="0.4">
      <c r="A213" t="str">
        <f t="shared" si="152"/>
        <v>X</v>
      </c>
      <c r="B213">
        <v>202</v>
      </c>
      <c r="C213" t="e" cm="1">
        <f t="array" ref="C213">INDEX(auto_Series_Code,B213)</f>
        <v>#REF!</v>
      </c>
      <c r="D213" t="e" cm="1">
        <f t="array" ref="D213">INDEX(auto_tblSeries,$B213,D$11)</f>
        <v>#REF!</v>
      </c>
      <c r="E213" t="e" cm="1">
        <f t="array" ref="E213">INDEX(auto_tblSeries,$B213,E$11)</f>
        <v>#REF!</v>
      </c>
      <c r="F213" t="e" cm="1">
        <f t="array" ref="F213">INDEX(auto_tblSeries,$B213,F$11)</f>
        <v>#REF!</v>
      </c>
      <c r="G213" t="e" cm="1">
        <f t="array" ref="G213">INDEX(auto_tblSeries,$B213,G$11)</f>
        <v>#REF!</v>
      </c>
      <c r="H213" t="e" cm="1">
        <f t="array" ref="H213">INDEX(auto_tblSeries,$B213,H$11)</f>
        <v>#REF!</v>
      </c>
      <c r="I213" t="e">
        <f t="shared" si="70"/>
        <v>#REF!</v>
      </c>
      <c r="K213" t="e" cm="1">
        <f t="array" ref="K213">INDEX(auto_DataFlat_Score,$I213,K$10)</f>
        <v>#REF!</v>
      </c>
      <c r="L213" t="e" cm="1">
        <f t="array" ref="L213">INDEX(auto_DataFlat_Rank,$I213,L$10)</f>
        <v>#REF!</v>
      </c>
      <c r="M213" t="e" cm="1">
        <f t="array" ref="M213">INDEX(auto_DataFlat_DataValue,$I213,M$10)</f>
        <v>#REF!</v>
      </c>
      <c r="N213" t="e" cm="1">
        <f t="array" ref="N213">INDEX(auto_DataFlat_Classification,$I213,M$10)</f>
        <v>#REF!</v>
      </c>
      <c r="O213" t="e" cm="1">
        <f t="array" ref="O213">INDEX(auto_DataFlat_IsEstimate,$I213,O$10)</f>
        <v>#REF!</v>
      </c>
      <c r="P213" t="e" cm="1">
        <f t="array" ref="P213">IF(INDEX(auto_DataFlat_DataYear,$I213,P$10)=0,"n/a",INDEX(auto_DataFlat_DataYear,$I213,P$10))</f>
        <v>#REF!</v>
      </c>
      <c r="R213" t="e">
        <f t="shared" si="161"/>
        <v>#REF!</v>
      </c>
      <c r="S213" t="e" cm="1">
        <f t="array" ref="S213">INDEX(auto_DataFlat_Score,$R213,S$10)</f>
        <v>#REF!</v>
      </c>
      <c r="U213" t="str">
        <f t="shared" si="165"/>
        <v>n/a</v>
      </c>
      <c r="V213">
        <f t="shared" si="166"/>
        <v>1</v>
      </c>
      <c r="W213" t="e">
        <f t="shared" si="167"/>
        <v>#REF!</v>
      </c>
      <c r="X213" t="e">
        <f t="shared" ca="1" si="168"/>
        <v>#N/A</v>
      </c>
      <c r="Y213" t="e">
        <f t="shared" ca="1" si="168"/>
        <v>#N/A</v>
      </c>
      <c r="Z213" t="e">
        <f t="shared" ca="1" si="168"/>
        <v>#N/A</v>
      </c>
      <c r="AB213">
        <f t="shared" ca="1" si="156"/>
        <v>0</v>
      </c>
      <c r="AC213">
        <f t="shared" ca="1" si="156"/>
        <v>0</v>
      </c>
      <c r="AD213">
        <f t="shared" ca="1" si="156"/>
        <v>0</v>
      </c>
      <c r="AF213" t="e">
        <f t="shared" si="169"/>
        <v>#REF!</v>
      </c>
      <c r="AG213" t="e">
        <f t="shared" ca="1" si="170"/>
        <v>#N/A</v>
      </c>
      <c r="AH213" t="e">
        <f t="shared" ca="1" si="170"/>
        <v>#N/A</v>
      </c>
      <c r="AI213" t="e">
        <f t="shared" ca="1" si="170"/>
        <v>#N/A</v>
      </c>
      <c r="AJ213" t="e">
        <f t="shared" ca="1" si="170"/>
        <v>#N/A</v>
      </c>
      <c r="AK213" t="e">
        <f t="shared" ca="1" si="170"/>
        <v>#N/A</v>
      </c>
      <c r="AL213" t="e">
        <f t="shared" ca="1" si="170"/>
        <v>#N/A</v>
      </c>
      <c r="AM213" t="e">
        <f t="shared" ca="1" si="170"/>
        <v>#N/A</v>
      </c>
      <c r="AN213">
        <f t="shared" ca="1" si="171"/>
        <v>0</v>
      </c>
      <c r="AO213">
        <f t="shared" ca="1" si="172"/>
        <v>0</v>
      </c>
      <c r="AP213">
        <f t="shared" ca="1" si="173"/>
        <v>0</v>
      </c>
      <c r="AQ213">
        <f t="shared" ca="1" si="174"/>
        <v>0</v>
      </c>
      <c r="AR213">
        <f t="shared" ca="1" si="175"/>
        <v>0</v>
      </c>
      <c r="AS213">
        <f t="shared" ca="1" si="176"/>
        <v>0</v>
      </c>
      <c r="AT213">
        <f t="shared" ca="1" si="177"/>
        <v>0</v>
      </c>
      <c r="AV213" t="e">
        <f t="shared" si="6"/>
        <v>#REF!</v>
      </c>
      <c r="AW213" t="e" cm="1">
        <f t="array" ref="AW213">INDEX(auto_DataFlat_Score,$AV213,1)</f>
        <v>#REF!</v>
      </c>
      <c r="AX213" t="e" cm="1">
        <f t="array" ref="AX213">INDEX(auto_DataFlat_DataValue,$AV213,1)</f>
        <v>#REF!</v>
      </c>
      <c r="BA213" t="str">
        <f t="shared" si="178"/>
        <v>n/a</v>
      </c>
      <c r="BB213">
        <f t="shared" si="179"/>
        <v>1</v>
      </c>
      <c r="BC213" t="e">
        <f t="shared" si="180"/>
        <v>#REF!</v>
      </c>
      <c r="BD213" t="e">
        <f t="shared" ca="1" si="162"/>
        <v>#N/A</v>
      </c>
      <c r="BE213" t="e">
        <f t="shared" ca="1" si="162"/>
        <v>#N/A</v>
      </c>
      <c r="BF213" t="e">
        <f t="shared" ca="1" si="162"/>
        <v>#N/A</v>
      </c>
      <c r="BH213">
        <f t="shared" ca="1" si="157"/>
        <v>0</v>
      </c>
      <c r="BI213">
        <f t="shared" ca="1" si="157"/>
        <v>0</v>
      </c>
      <c r="BJ213">
        <f t="shared" ca="1" si="157"/>
        <v>0</v>
      </c>
      <c r="BM213" t="e">
        <f t="shared" si="181"/>
        <v>#REF!</v>
      </c>
      <c r="BN213" t="e">
        <f t="shared" ca="1" si="182"/>
        <v>#N/A</v>
      </c>
      <c r="BO213" t="e">
        <f t="shared" ca="1" si="183"/>
        <v>#N/A</v>
      </c>
      <c r="BP213" t="e">
        <f t="shared" ca="1" si="184"/>
        <v>#N/A</v>
      </c>
      <c r="BQ213" t="e">
        <f t="shared" ca="1" si="185"/>
        <v>#N/A</v>
      </c>
      <c r="BR213" t="e">
        <f t="shared" ca="1" si="186"/>
        <v>#N/A</v>
      </c>
      <c r="BS213" t="e">
        <f t="shared" ca="1" si="187"/>
        <v>#N/A</v>
      </c>
      <c r="BT213" t="e">
        <f t="shared" ca="1" si="188"/>
        <v>#N/A</v>
      </c>
      <c r="BU213">
        <f t="shared" ca="1" si="189"/>
        <v>0</v>
      </c>
      <c r="BV213">
        <f t="shared" ca="1" si="190"/>
        <v>0</v>
      </c>
      <c r="BW213">
        <f t="shared" ca="1" si="191"/>
        <v>0</v>
      </c>
      <c r="BX213">
        <f t="shared" ca="1" si="192"/>
        <v>0</v>
      </c>
      <c r="BY213">
        <f t="shared" ca="1" si="193"/>
        <v>0</v>
      </c>
      <c r="BZ213">
        <f t="shared" ca="1" si="163"/>
        <v>0</v>
      </c>
      <c r="CA213">
        <f t="shared" ca="1" si="164"/>
        <v>0</v>
      </c>
    </row>
    <row r="214" spans="1:79" x14ac:dyDescent="0.4">
      <c r="A214" t="str">
        <f t="shared" si="152"/>
        <v>X</v>
      </c>
      <c r="B214">
        <v>203</v>
      </c>
      <c r="C214" t="e" cm="1">
        <f t="array" ref="C214">INDEX(auto_Series_Code,B214)</f>
        <v>#REF!</v>
      </c>
      <c r="D214" t="e" cm="1">
        <f t="array" ref="D214">INDEX(auto_tblSeries,$B214,D$11)</f>
        <v>#REF!</v>
      </c>
      <c r="E214" t="e" cm="1">
        <f t="array" ref="E214">INDEX(auto_tblSeries,$B214,E$11)</f>
        <v>#REF!</v>
      </c>
      <c r="F214" t="e" cm="1">
        <f t="array" ref="F214">INDEX(auto_tblSeries,$B214,F$11)</f>
        <v>#REF!</v>
      </c>
      <c r="G214" t="e" cm="1">
        <f t="array" ref="G214">INDEX(auto_tblSeries,$B214,G$11)</f>
        <v>#REF!</v>
      </c>
      <c r="H214" t="e" cm="1">
        <f t="array" ref="H214">INDEX(auto_tblSeries,$B214,H$11)</f>
        <v>#REF!</v>
      </c>
      <c r="I214" t="e">
        <f t="shared" si="70"/>
        <v>#REF!</v>
      </c>
      <c r="K214" t="e" cm="1">
        <f t="array" ref="K214">INDEX(auto_DataFlat_Score,$I214,K$10)</f>
        <v>#REF!</v>
      </c>
      <c r="L214" t="e" cm="1">
        <f t="array" ref="L214">INDEX(auto_DataFlat_Rank,$I214,L$10)</f>
        <v>#REF!</v>
      </c>
      <c r="M214" t="e" cm="1">
        <f t="array" ref="M214">INDEX(auto_DataFlat_DataValue,$I214,M$10)</f>
        <v>#REF!</v>
      </c>
      <c r="N214" t="e" cm="1">
        <f t="array" ref="N214">INDEX(auto_DataFlat_Classification,$I214,M$10)</f>
        <v>#REF!</v>
      </c>
      <c r="O214" t="e" cm="1">
        <f t="array" ref="O214">INDEX(auto_DataFlat_IsEstimate,$I214,O$10)</f>
        <v>#REF!</v>
      </c>
      <c r="P214" t="e" cm="1">
        <f t="array" ref="P214">IF(INDEX(auto_DataFlat_DataYear,$I214,P$10)=0,"n/a",INDEX(auto_DataFlat_DataYear,$I214,P$10))</f>
        <v>#REF!</v>
      </c>
      <c r="R214" t="e">
        <f t="shared" si="161"/>
        <v>#REF!</v>
      </c>
      <c r="S214" t="e" cm="1">
        <f t="array" ref="S214">INDEX(auto_DataFlat_Score,$R214,S$10)</f>
        <v>#REF!</v>
      </c>
      <c r="U214" t="str">
        <f t="shared" si="165"/>
        <v>n/a</v>
      </c>
      <c r="V214">
        <f t="shared" si="166"/>
        <v>1</v>
      </c>
      <c r="W214" t="e">
        <f t="shared" si="167"/>
        <v>#REF!</v>
      </c>
      <c r="X214" t="e">
        <f t="shared" ca="1" si="168"/>
        <v>#N/A</v>
      </c>
      <c r="Y214" t="e">
        <f t="shared" ca="1" si="168"/>
        <v>#N/A</v>
      </c>
      <c r="Z214" t="e">
        <f t="shared" ca="1" si="168"/>
        <v>#N/A</v>
      </c>
      <c r="AB214">
        <f t="shared" ca="1" si="156"/>
        <v>0</v>
      </c>
      <c r="AC214">
        <f t="shared" ca="1" si="156"/>
        <v>0</v>
      </c>
      <c r="AD214">
        <f t="shared" ca="1" si="156"/>
        <v>0</v>
      </c>
      <c r="AF214" t="e">
        <f t="shared" si="169"/>
        <v>#REF!</v>
      </c>
      <c r="AG214" t="e">
        <f t="shared" ca="1" si="170"/>
        <v>#N/A</v>
      </c>
      <c r="AH214" t="e">
        <f t="shared" ca="1" si="170"/>
        <v>#N/A</v>
      </c>
      <c r="AI214" t="e">
        <f t="shared" ca="1" si="170"/>
        <v>#N/A</v>
      </c>
      <c r="AJ214" t="e">
        <f t="shared" ca="1" si="170"/>
        <v>#N/A</v>
      </c>
      <c r="AK214" t="e">
        <f t="shared" ca="1" si="170"/>
        <v>#N/A</v>
      </c>
      <c r="AL214" t="e">
        <f t="shared" ca="1" si="170"/>
        <v>#N/A</v>
      </c>
      <c r="AM214" t="e">
        <f t="shared" ca="1" si="170"/>
        <v>#N/A</v>
      </c>
      <c r="AN214">
        <f t="shared" ca="1" si="171"/>
        <v>0</v>
      </c>
      <c r="AO214">
        <f t="shared" ca="1" si="172"/>
        <v>0</v>
      </c>
      <c r="AP214">
        <f t="shared" ca="1" si="173"/>
        <v>0</v>
      </c>
      <c r="AQ214">
        <f t="shared" ca="1" si="174"/>
        <v>0</v>
      </c>
      <c r="AR214">
        <f t="shared" ca="1" si="175"/>
        <v>0</v>
      </c>
      <c r="AS214">
        <f t="shared" ca="1" si="176"/>
        <v>0</v>
      </c>
      <c r="AT214">
        <f t="shared" ca="1" si="177"/>
        <v>0</v>
      </c>
      <c r="AV214" t="e">
        <f t="shared" si="6"/>
        <v>#REF!</v>
      </c>
      <c r="AW214" t="e" cm="1">
        <f t="array" ref="AW214">INDEX(auto_DataFlat_Score,$AV214,1)</f>
        <v>#REF!</v>
      </c>
      <c r="AX214" t="e" cm="1">
        <f t="array" ref="AX214">INDEX(auto_DataFlat_DataValue,$AV214,1)</f>
        <v>#REF!</v>
      </c>
      <c r="BA214" t="str">
        <f t="shared" si="178"/>
        <v>n/a</v>
      </c>
      <c r="BB214">
        <f t="shared" si="179"/>
        <v>1</v>
      </c>
      <c r="BC214" t="e">
        <f t="shared" si="180"/>
        <v>#REF!</v>
      </c>
      <c r="BD214" t="e">
        <f t="shared" ca="1" si="162"/>
        <v>#N/A</v>
      </c>
      <c r="BE214" t="e">
        <f t="shared" ca="1" si="162"/>
        <v>#N/A</v>
      </c>
      <c r="BF214" t="e">
        <f t="shared" ca="1" si="162"/>
        <v>#N/A</v>
      </c>
      <c r="BH214">
        <f t="shared" ca="1" si="157"/>
        <v>0</v>
      </c>
      <c r="BI214">
        <f t="shared" ca="1" si="157"/>
        <v>0</v>
      </c>
      <c r="BJ214">
        <f t="shared" ca="1" si="157"/>
        <v>0</v>
      </c>
      <c r="BM214" t="e">
        <f t="shared" si="181"/>
        <v>#REF!</v>
      </c>
      <c r="BN214" t="e">
        <f t="shared" ca="1" si="182"/>
        <v>#N/A</v>
      </c>
      <c r="BO214" t="e">
        <f t="shared" ca="1" si="183"/>
        <v>#N/A</v>
      </c>
      <c r="BP214" t="e">
        <f t="shared" ca="1" si="184"/>
        <v>#N/A</v>
      </c>
      <c r="BQ214" t="e">
        <f t="shared" ca="1" si="185"/>
        <v>#N/A</v>
      </c>
      <c r="BR214" t="e">
        <f t="shared" ca="1" si="186"/>
        <v>#N/A</v>
      </c>
      <c r="BS214" t="e">
        <f t="shared" ca="1" si="187"/>
        <v>#N/A</v>
      </c>
      <c r="BT214" t="e">
        <f t="shared" ca="1" si="188"/>
        <v>#N/A</v>
      </c>
      <c r="BU214">
        <f t="shared" ca="1" si="189"/>
        <v>0</v>
      </c>
      <c r="BV214">
        <f t="shared" ca="1" si="190"/>
        <v>0</v>
      </c>
      <c r="BW214">
        <f t="shared" ca="1" si="191"/>
        <v>0</v>
      </c>
      <c r="BX214">
        <f t="shared" ca="1" si="192"/>
        <v>0</v>
      </c>
      <c r="BY214">
        <f t="shared" ca="1" si="193"/>
        <v>0</v>
      </c>
      <c r="BZ214">
        <f t="shared" ca="1" si="163"/>
        <v>0</v>
      </c>
      <c r="CA214">
        <f t="shared" ca="1" si="164"/>
        <v>0</v>
      </c>
    </row>
    <row r="215" spans="1:79" x14ac:dyDescent="0.4">
      <c r="A215" t="str">
        <f t="shared" si="152"/>
        <v>X</v>
      </c>
      <c r="B215">
        <v>204</v>
      </c>
      <c r="C215" t="e" cm="1">
        <f t="array" ref="C215">INDEX(auto_Series_Code,B215)</f>
        <v>#REF!</v>
      </c>
      <c r="D215" t="e" cm="1">
        <f t="array" ref="D215">INDEX(auto_tblSeries,$B215,D$11)</f>
        <v>#REF!</v>
      </c>
      <c r="E215" t="e" cm="1">
        <f t="array" ref="E215">INDEX(auto_tblSeries,$B215,E$11)</f>
        <v>#REF!</v>
      </c>
      <c r="F215" t="e" cm="1">
        <f t="array" ref="F215">INDEX(auto_tblSeries,$B215,F$11)</f>
        <v>#REF!</v>
      </c>
      <c r="G215" t="e" cm="1">
        <f t="array" ref="G215">INDEX(auto_tblSeries,$B215,G$11)</f>
        <v>#REF!</v>
      </c>
      <c r="H215" t="e" cm="1">
        <f t="array" ref="H215">INDEX(auto_tblSeries,$B215,H$11)</f>
        <v>#REF!</v>
      </c>
      <c r="I215" t="e">
        <f t="shared" si="70"/>
        <v>#REF!</v>
      </c>
      <c r="K215" t="e" cm="1">
        <f t="array" ref="K215">INDEX(auto_DataFlat_Score,$I215,K$10)</f>
        <v>#REF!</v>
      </c>
      <c r="L215" t="e" cm="1">
        <f t="array" ref="L215">INDEX(auto_DataFlat_Rank,$I215,L$10)</f>
        <v>#REF!</v>
      </c>
      <c r="M215" t="e" cm="1">
        <f t="array" ref="M215">INDEX(auto_DataFlat_DataValue,$I215,M$10)</f>
        <v>#REF!</v>
      </c>
      <c r="N215" t="e" cm="1">
        <f t="array" ref="N215">INDEX(auto_DataFlat_Classification,$I215,M$10)</f>
        <v>#REF!</v>
      </c>
      <c r="O215" t="e" cm="1">
        <f t="array" ref="O215">INDEX(auto_DataFlat_IsEstimate,$I215,O$10)</f>
        <v>#REF!</v>
      </c>
      <c r="P215" t="e" cm="1">
        <f t="array" ref="P215">IF(INDEX(auto_DataFlat_DataYear,$I215,P$10)=0,"n/a",INDEX(auto_DataFlat_DataYear,$I215,P$10))</f>
        <v>#REF!</v>
      </c>
      <c r="R215" t="e">
        <f t="shared" si="161"/>
        <v>#REF!</v>
      </c>
      <c r="S215" t="e" cm="1">
        <f t="array" ref="S215">INDEX(auto_DataFlat_Score,$R215,S$10)</f>
        <v>#REF!</v>
      </c>
      <c r="U215" t="str">
        <f t="shared" si="165"/>
        <v>n/a</v>
      </c>
      <c r="V215">
        <f t="shared" si="166"/>
        <v>1</v>
      </c>
      <c r="W215" t="e">
        <f t="shared" si="167"/>
        <v>#REF!</v>
      </c>
      <c r="X215" t="e">
        <f t="shared" ca="1" si="168"/>
        <v>#N/A</v>
      </c>
      <c r="Y215" t="e">
        <f t="shared" ca="1" si="168"/>
        <v>#N/A</v>
      </c>
      <c r="Z215" t="e">
        <f t="shared" ca="1" si="168"/>
        <v>#N/A</v>
      </c>
      <c r="AB215">
        <f t="shared" ca="1" si="156"/>
        <v>0</v>
      </c>
      <c r="AC215">
        <f t="shared" ca="1" si="156"/>
        <v>0</v>
      </c>
      <c r="AD215">
        <f t="shared" ca="1" si="156"/>
        <v>0</v>
      </c>
      <c r="AF215" t="e">
        <f t="shared" si="169"/>
        <v>#REF!</v>
      </c>
      <c r="AG215" t="e">
        <f t="shared" ca="1" si="170"/>
        <v>#N/A</v>
      </c>
      <c r="AH215" t="e">
        <f t="shared" ca="1" si="170"/>
        <v>#N/A</v>
      </c>
      <c r="AI215" t="e">
        <f t="shared" ca="1" si="170"/>
        <v>#N/A</v>
      </c>
      <c r="AJ215" t="e">
        <f t="shared" ca="1" si="170"/>
        <v>#N/A</v>
      </c>
      <c r="AK215" t="e">
        <f t="shared" ca="1" si="170"/>
        <v>#N/A</v>
      </c>
      <c r="AL215" t="e">
        <f t="shared" ca="1" si="170"/>
        <v>#N/A</v>
      </c>
      <c r="AM215" t="e">
        <f t="shared" ca="1" si="170"/>
        <v>#N/A</v>
      </c>
      <c r="AN215">
        <f t="shared" ca="1" si="171"/>
        <v>0</v>
      </c>
      <c r="AO215">
        <f t="shared" ca="1" si="172"/>
        <v>0</v>
      </c>
      <c r="AP215">
        <f t="shared" ca="1" si="173"/>
        <v>0</v>
      </c>
      <c r="AQ215">
        <f t="shared" ca="1" si="174"/>
        <v>0</v>
      </c>
      <c r="AR215">
        <f t="shared" ca="1" si="175"/>
        <v>0</v>
      </c>
      <c r="AS215">
        <f t="shared" ca="1" si="176"/>
        <v>0</v>
      </c>
      <c r="AT215">
        <f t="shared" ca="1" si="177"/>
        <v>0</v>
      </c>
      <c r="AV215" t="e">
        <f t="shared" si="6"/>
        <v>#REF!</v>
      </c>
      <c r="AW215" t="e" cm="1">
        <f t="array" ref="AW215">INDEX(auto_DataFlat_Score,$AV215,1)</f>
        <v>#REF!</v>
      </c>
      <c r="AX215" t="e" cm="1">
        <f t="array" ref="AX215">INDEX(auto_DataFlat_DataValue,$AV215,1)</f>
        <v>#REF!</v>
      </c>
      <c r="BA215" t="str">
        <f t="shared" si="178"/>
        <v>n/a</v>
      </c>
      <c r="BB215">
        <f t="shared" si="179"/>
        <v>1</v>
      </c>
      <c r="BC215" t="e">
        <f t="shared" si="180"/>
        <v>#REF!</v>
      </c>
      <c r="BD215" t="e">
        <f t="shared" ca="1" si="162"/>
        <v>#N/A</v>
      </c>
      <c r="BE215" t="e">
        <f t="shared" ca="1" si="162"/>
        <v>#N/A</v>
      </c>
      <c r="BF215" t="e">
        <f t="shared" ca="1" si="162"/>
        <v>#N/A</v>
      </c>
      <c r="BH215">
        <f t="shared" ca="1" si="157"/>
        <v>0</v>
      </c>
      <c r="BI215">
        <f t="shared" ca="1" si="157"/>
        <v>0</v>
      </c>
      <c r="BJ215">
        <f t="shared" ca="1" si="157"/>
        <v>0</v>
      </c>
      <c r="BM215" t="e">
        <f t="shared" si="181"/>
        <v>#REF!</v>
      </c>
      <c r="BN215" t="e">
        <f t="shared" ca="1" si="182"/>
        <v>#N/A</v>
      </c>
      <c r="BO215" t="e">
        <f t="shared" ca="1" si="183"/>
        <v>#N/A</v>
      </c>
      <c r="BP215" t="e">
        <f t="shared" ca="1" si="184"/>
        <v>#N/A</v>
      </c>
      <c r="BQ215" t="e">
        <f t="shared" ca="1" si="185"/>
        <v>#N/A</v>
      </c>
      <c r="BR215" t="e">
        <f t="shared" ca="1" si="186"/>
        <v>#N/A</v>
      </c>
      <c r="BS215" t="e">
        <f t="shared" ca="1" si="187"/>
        <v>#N/A</v>
      </c>
      <c r="BT215" t="e">
        <f t="shared" ca="1" si="188"/>
        <v>#N/A</v>
      </c>
      <c r="BU215">
        <f t="shared" ca="1" si="189"/>
        <v>0</v>
      </c>
      <c r="BV215">
        <f t="shared" ca="1" si="190"/>
        <v>0</v>
      </c>
      <c r="BW215">
        <f t="shared" ca="1" si="191"/>
        <v>0</v>
      </c>
      <c r="BX215">
        <f t="shared" ca="1" si="192"/>
        <v>0</v>
      </c>
      <c r="BY215">
        <f t="shared" ca="1" si="193"/>
        <v>0</v>
      </c>
      <c r="BZ215">
        <f t="shared" ca="1" si="163"/>
        <v>0</v>
      </c>
      <c r="CA215">
        <f t="shared" ca="1" si="164"/>
        <v>0</v>
      </c>
    </row>
    <row r="216" spans="1:79" x14ac:dyDescent="0.4">
      <c r="A216" t="str">
        <f t="shared" si="152"/>
        <v>X</v>
      </c>
      <c r="B216">
        <v>205</v>
      </c>
      <c r="C216" t="e" cm="1">
        <f t="array" ref="C216">INDEX(auto_Series_Code,B216)</f>
        <v>#REF!</v>
      </c>
      <c r="D216" t="e" cm="1">
        <f t="array" ref="D216">INDEX(auto_tblSeries,$B216,D$11)</f>
        <v>#REF!</v>
      </c>
      <c r="E216" t="e" cm="1">
        <f t="array" ref="E216">INDEX(auto_tblSeries,$B216,E$11)</f>
        <v>#REF!</v>
      </c>
      <c r="F216" t="e" cm="1">
        <f t="array" ref="F216">INDEX(auto_tblSeries,$B216,F$11)</f>
        <v>#REF!</v>
      </c>
      <c r="G216" t="e" cm="1">
        <f t="array" ref="G216">INDEX(auto_tblSeries,$B216,G$11)</f>
        <v>#REF!</v>
      </c>
      <c r="H216" t="e" cm="1">
        <f t="array" ref="H216">INDEX(auto_tblSeries,$B216,H$11)</f>
        <v>#REF!</v>
      </c>
      <c r="I216" t="e">
        <f t="shared" si="70"/>
        <v>#REF!</v>
      </c>
      <c r="K216" t="e" cm="1">
        <f t="array" ref="K216">INDEX(auto_DataFlat_Score,$I216,K$10)</f>
        <v>#REF!</v>
      </c>
      <c r="L216" t="e" cm="1">
        <f t="array" ref="L216">INDEX(auto_DataFlat_Rank,$I216,L$10)</f>
        <v>#REF!</v>
      </c>
      <c r="M216" t="e" cm="1">
        <f t="array" ref="M216">INDEX(auto_DataFlat_DataValue,$I216,M$10)</f>
        <v>#REF!</v>
      </c>
      <c r="N216" t="e" cm="1">
        <f t="array" ref="N216">INDEX(auto_DataFlat_Classification,$I216,M$10)</f>
        <v>#REF!</v>
      </c>
      <c r="O216" t="e" cm="1">
        <f t="array" ref="O216">INDEX(auto_DataFlat_IsEstimate,$I216,O$10)</f>
        <v>#REF!</v>
      </c>
      <c r="P216" t="e" cm="1">
        <f t="array" ref="P216">IF(INDEX(auto_DataFlat_DataYear,$I216,P$10)=0,"n/a",INDEX(auto_DataFlat_DataYear,$I216,P$10))</f>
        <v>#REF!</v>
      </c>
      <c r="R216" t="e">
        <f t="shared" si="161"/>
        <v>#REF!</v>
      </c>
      <c r="S216" t="e" cm="1">
        <f t="array" ref="S216">INDEX(auto_DataFlat_Score,$R216,S$10)</f>
        <v>#REF!</v>
      </c>
      <c r="U216" t="str">
        <f t="shared" si="165"/>
        <v>n/a</v>
      </c>
      <c r="V216">
        <f t="shared" si="166"/>
        <v>1</v>
      </c>
      <c r="W216" t="e">
        <f t="shared" si="167"/>
        <v>#REF!</v>
      </c>
      <c r="X216" t="e">
        <f t="shared" ca="1" si="168"/>
        <v>#N/A</v>
      </c>
      <c r="Y216" t="e">
        <f t="shared" ca="1" si="168"/>
        <v>#N/A</v>
      </c>
      <c r="Z216" t="e">
        <f t="shared" ca="1" si="168"/>
        <v>#N/A</v>
      </c>
      <c r="AB216">
        <f t="shared" ca="1" si="156"/>
        <v>0</v>
      </c>
      <c r="AC216">
        <f t="shared" ca="1" si="156"/>
        <v>0</v>
      </c>
      <c r="AD216">
        <f t="shared" ca="1" si="156"/>
        <v>0</v>
      </c>
      <c r="AF216" t="e">
        <f t="shared" si="169"/>
        <v>#REF!</v>
      </c>
      <c r="AG216" t="e">
        <f t="shared" ca="1" si="170"/>
        <v>#N/A</v>
      </c>
      <c r="AH216" t="e">
        <f t="shared" ca="1" si="170"/>
        <v>#N/A</v>
      </c>
      <c r="AI216" t="e">
        <f t="shared" ca="1" si="170"/>
        <v>#N/A</v>
      </c>
      <c r="AJ216" t="e">
        <f t="shared" ca="1" si="170"/>
        <v>#N/A</v>
      </c>
      <c r="AK216" t="e">
        <f t="shared" ca="1" si="170"/>
        <v>#N/A</v>
      </c>
      <c r="AL216" t="e">
        <f t="shared" ca="1" si="170"/>
        <v>#N/A</v>
      </c>
      <c r="AM216" t="e">
        <f t="shared" ca="1" si="170"/>
        <v>#N/A</v>
      </c>
      <c r="AN216">
        <f t="shared" ca="1" si="171"/>
        <v>0</v>
      </c>
      <c r="AO216">
        <f t="shared" ca="1" si="172"/>
        <v>0</v>
      </c>
      <c r="AP216">
        <f t="shared" ca="1" si="173"/>
        <v>0</v>
      </c>
      <c r="AQ216">
        <f t="shared" ca="1" si="174"/>
        <v>0</v>
      </c>
      <c r="AR216">
        <f t="shared" ca="1" si="175"/>
        <v>0</v>
      </c>
      <c r="AS216">
        <f t="shared" ca="1" si="176"/>
        <v>0</v>
      </c>
      <c r="AT216">
        <f t="shared" ca="1" si="177"/>
        <v>0</v>
      </c>
      <c r="AV216" t="e">
        <f t="shared" si="6"/>
        <v>#REF!</v>
      </c>
      <c r="AW216" t="e" cm="1">
        <f t="array" ref="AW216">INDEX(auto_DataFlat_Score,$AV216,1)</f>
        <v>#REF!</v>
      </c>
      <c r="AX216" t="e" cm="1">
        <f t="array" ref="AX216">INDEX(auto_DataFlat_DataValue,$AV216,1)</f>
        <v>#REF!</v>
      </c>
      <c r="BA216" t="str">
        <f t="shared" si="178"/>
        <v>n/a</v>
      </c>
      <c r="BB216">
        <f t="shared" si="179"/>
        <v>1</v>
      </c>
      <c r="BC216" t="e">
        <f t="shared" si="180"/>
        <v>#REF!</v>
      </c>
      <c r="BD216" t="e">
        <f t="shared" ca="1" si="162"/>
        <v>#N/A</v>
      </c>
      <c r="BE216" t="e">
        <f t="shared" ca="1" si="162"/>
        <v>#N/A</v>
      </c>
      <c r="BF216" t="e">
        <f t="shared" ca="1" si="162"/>
        <v>#N/A</v>
      </c>
      <c r="BH216">
        <f t="shared" ca="1" si="157"/>
        <v>0</v>
      </c>
      <c r="BI216">
        <f t="shared" ca="1" si="157"/>
        <v>0</v>
      </c>
      <c r="BJ216">
        <f t="shared" ca="1" si="157"/>
        <v>0</v>
      </c>
      <c r="BM216" t="e">
        <f t="shared" si="181"/>
        <v>#REF!</v>
      </c>
      <c r="BN216" t="e">
        <f t="shared" ca="1" si="182"/>
        <v>#N/A</v>
      </c>
      <c r="BO216" t="e">
        <f t="shared" ca="1" si="183"/>
        <v>#N/A</v>
      </c>
      <c r="BP216" t="e">
        <f t="shared" ca="1" si="184"/>
        <v>#N/A</v>
      </c>
      <c r="BQ216" t="e">
        <f t="shared" ca="1" si="185"/>
        <v>#N/A</v>
      </c>
      <c r="BR216" t="e">
        <f t="shared" ca="1" si="186"/>
        <v>#N/A</v>
      </c>
      <c r="BS216" t="e">
        <f t="shared" ca="1" si="187"/>
        <v>#N/A</v>
      </c>
      <c r="BT216" t="e">
        <f t="shared" ca="1" si="188"/>
        <v>#N/A</v>
      </c>
      <c r="BU216">
        <f t="shared" ca="1" si="189"/>
        <v>0</v>
      </c>
      <c r="BV216">
        <f t="shared" ca="1" si="190"/>
        <v>0</v>
      </c>
      <c r="BW216">
        <f t="shared" ca="1" si="191"/>
        <v>0</v>
      </c>
      <c r="BX216">
        <f t="shared" ca="1" si="192"/>
        <v>0</v>
      </c>
      <c r="BY216">
        <f t="shared" ca="1" si="193"/>
        <v>0</v>
      </c>
      <c r="BZ216">
        <f t="shared" ca="1" si="163"/>
        <v>0</v>
      </c>
      <c r="CA216">
        <f t="shared" ca="1" si="164"/>
        <v>0</v>
      </c>
    </row>
    <row r="217" spans="1:79" x14ac:dyDescent="0.4">
      <c r="A217" t="str">
        <f t="shared" si="152"/>
        <v>X</v>
      </c>
      <c r="B217">
        <v>206</v>
      </c>
      <c r="C217" t="e" cm="1">
        <f t="array" ref="C217">INDEX(auto_Series_Code,B217)</f>
        <v>#REF!</v>
      </c>
      <c r="D217" t="e" cm="1">
        <f t="array" ref="D217">INDEX(auto_tblSeries,$B217,D$11)</f>
        <v>#REF!</v>
      </c>
      <c r="E217" t="e" cm="1">
        <f t="array" ref="E217">INDEX(auto_tblSeries,$B217,E$11)</f>
        <v>#REF!</v>
      </c>
      <c r="F217" t="e" cm="1">
        <f t="array" ref="F217">INDEX(auto_tblSeries,$B217,F$11)</f>
        <v>#REF!</v>
      </c>
      <c r="G217" t="e" cm="1">
        <f t="array" ref="G217">INDEX(auto_tblSeries,$B217,G$11)</f>
        <v>#REF!</v>
      </c>
      <c r="H217" t="e" cm="1">
        <f t="array" ref="H217">INDEX(auto_tblSeries,$B217,H$11)</f>
        <v>#REF!</v>
      </c>
      <c r="I217" t="e">
        <f t="shared" si="70"/>
        <v>#REF!</v>
      </c>
      <c r="K217" t="e" cm="1">
        <f t="array" ref="K217">INDEX(auto_DataFlat_Score,$I217,K$10)</f>
        <v>#REF!</v>
      </c>
      <c r="L217" t="e" cm="1">
        <f t="array" ref="L217">INDEX(auto_DataFlat_Rank,$I217,L$10)</f>
        <v>#REF!</v>
      </c>
      <c r="M217" t="e" cm="1">
        <f t="array" ref="M217">INDEX(auto_DataFlat_DataValue,$I217,M$10)</f>
        <v>#REF!</v>
      </c>
      <c r="N217" t="e" cm="1">
        <f t="array" ref="N217">INDEX(auto_DataFlat_Classification,$I217,M$10)</f>
        <v>#REF!</v>
      </c>
      <c r="O217" t="e" cm="1">
        <f t="array" ref="O217">INDEX(auto_DataFlat_IsEstimate,$I217,O$10)</f>
        <v>#REF!</v>
      </c>
      <c r="P217" t="e" cm="1">
        <f t="array" ref="P217">IF(INDEX(auto_DataFlat_DataYear,$I217,P$10)=0,"n/a",INDEX(auto_DataFlat_DataYear,$I217,P$10))</f>
        <v>#REF!</v>
      </c>
      <c r="R217" t="e">
        <f t="shared" si="161"/>
        <v>#REF!</v>
      </c>
      <c r="S217" t="e" cm="1">
        <f t="array" ref="S217">INDEX(auto_DataFlat_Score,$R217,S$10)</f>
        <v>#REF!</v>
      </c>
      <c r="U217" t="str">
        <f t="shared" si="165"/>
        <v>n/a</v>
      </c>
      <c r="V217">
        <f t="shared" si="166"/>
        <v>1</v>
      </c>
      <c r="W217" t="e">
        <f t="shared" si="167"/>
        <v>#REF!</v>
      </c>
      <c r="X217" t="e">
        <f t="shared" ca="1" si="168"/>
        <v>#N/A</v>
      </c>
      <c r="Y217" t="e">
        <f t="shared" ca="1" si="168"/>
        <v>#N/A</v>
      </c>
      <c r="Z217" t="e">
        <f t="shared" ca="1" si="168"/>
        <v>#N/A</v>
      </c>
      <c r="AB217">
        <f t="shared" ca="1" si="156"/>
        <v>0</v>
      </c>
      <c r="AC217">
        <f t="shared" ca="1" si="156"/>
        <v>0</v>
      </c>
      <c r="AD217">
        <f t="shared" ca="1" si="156"/>
        <v>0</v>
      </c>
      <c r="AF217" t="e">
        <f t="shared" si="169"/>
        <v>#REF!</v>
      </c>
      <c r="AG217" t="e">
        <f t="shared" ca="1" si="170"/>
        <v>#N/A</v>
      </c>
      <c r="AH217" t="e">
        <f t="shared" ca="1" si="170"/>
        <v>#N/A</v>
      </c>
      <c r="AI217" t="e">
        <f t="shared" ca="1" si="170"/>
        <v>#N/A</v>
      </c>
      <c r="AJ217" t="e">
        <f t="shared" ca="1" si="170"/>
        <v>#N/A</v>
      </c>
      <c r="AK217" t="e">
        <f t="shared" ca="1" si="170"/>
        <v>#N/A</v>
      </c>
      <c r="AL217" t="e">
        <f t="shared" ca="1" si="170"/>
        <v>#N/A</v>
      </c>
      <c r="AM217" t="e">
        <f t="shared" ca="1" si="170"/>
        <v>#N/A</v>
      </c>
      <c r="AN217">
        <f t="shared" ca="1" si="171"/>
        <v>0</v>
      </c>
      <c r="AO217">
        <f t="shared" ca="1" si="172"/>
        <v>0</v>
      </c>
      <c r="AP217">
        <f t="shared" ca="1" si="173"/>
        <v>0</v>
      </c>
      <c r="AQ217">
        <f t="shared" ca="1" si="174"/>
        <v>0</v>
      </c>
      <c r="AR217">
        <f t="shared" ca="1" si="175"/>
        <v>0</v>
      </c>
      <c r="AS217">
        <f t="shared" ca="1" si="176"/>
        <v>0</v>
      </c>
      <c r="AT217">
        <f t="shared" ca="1" si="177"/>
        <v>0</v>
      </c>
      <c r="AV217" t="e">
        <f t="shared" si="6"/>
        <v>#REF!</v>
      </c>
      <c r="AW217" t="e" cm="1">
        <f t="array" ref="AW217">INDEX(auto_DataFlat_Score,$AV217,1)</f>
        <v>#REF!</v>
      </c>
      <c r="AX217" t="e" cm="1">
        <f t="array" ref="AX217">INDEX(auto_DataFlat_DataValue,$AV217,1)</f>
        <v>#REF!</v>
      </c>
      <c r="BA217" t="str">
        <f t="shared" si="178"/>
        <v>n/a</v>
      </c>
      <c r="BB217">
        <f t="shared" si="179"/>
        <v>1</v>
      </c>
      <c r="BC217" t="e">
        <f t="shared" si="180"/>
        <v>#REF!</v>
      </c>
      <c r="BD217" t="e">
        <f t="shared" ca="1" si="162"/>
        <v>#N/A</v>
      </c>
      <c r="BE217" t="e">
        <f t="shared" ca="1" si="162"/>
        <v>#N/A</v>
      </c>
      <c r="BF217" t="e">
        <f t="shared" ca="1" si="162"/>
        <v>#N/A</v>
      </c>
      <c r="BH217">
        <f t="shared" ca="1" si="157"/>
        <v>0</v>
      </c>
      <c r="BI217">
        <f t="shared" ca="1" si="157"/>
        <v>0</v>
      </c>
      <c r="BJ217">
        <f t="shared" ca="1" si="157"/>
        <v>0</v>
      </c>
      <c r="BM217" t="e">
        <f t="shared" si="181"/>
        <v>#REF!</v>
      </c>
      <c r="BN217" t="e">
        <f t="shared" ca="1" si="182"/>
        <v>#N/A</v>
      </c>
      <c r="BO217" t="e">
        <f t="shared" ca="1" si="183"/>
        <v>#N/A</v>
      </c>
      <c r="BP217" t="e">
        <f t="shared" ca="1" si="184"/>
        <v>#N/A</v>
      </c>
      <c r="BQ217" t="e">
        <f t="shared" ca="1" si="185"/>
        <v>#N/A</v>
      </c>
      <c r="BR217" t="e">
        <f t="shared" ca="1" si="186"/>
        <v>#N/A</v>
      </c>
      <c r="BS217" t="e">
        <f t="shared" ca="1" si="187"/>
        <v>#N/A</v>
      </c>
      <c r="BT217" t="e">
        <f t="shared" ca="1" si="188"/>
        <v>#N/A</v>
      </c>
      <c r="BU217">
        <f t="shared" ca="1" si="189"/>
        <v>0</v>
      </c>
      <c r="BV217">
        <f t="shared" ca="1" si="190"/>
        <v>0</v>
      </c>
      <c r="BW217">
        <f t="shared" ca="1" si="191"/>
        <v>0</v>
      </c>
      <c r="BX217">
        <f t="shared" ca="1" si="192"/>
        <v>0</v>
      </c>
      <c r="BY217">
        <f t="shared" ca="1" si="193"/>
        <v>0</v>
      </c>
      <c r="BZ217">
        <f t="shared" ca="1" si="163"/>
        <v>0</v>
      </c>
      <c r="CA217">
        <f t="shared" ca="1" si="164"/>
        <v>0</v>
      </c>
    </row>
    <row r="218" spans="1:79" x14ac:dyDescent="0.4">
      <c r="A218" t="str">
        <f t="shared" si="152"/>
        <v>X</v>
      </c>
      <c r="B218">
        <v>207</v>
      </c>
      <c r="C218" t="e" cm="1">
        <f t="array" ref="C218">INDEX(auto_Series_Code,B218)</f>
        <v>#REF!</v>
      </c>
      <c r="D218" t="e" cm="1">
        <f t="array" ref="D218">INDEX(auto_tblSeries,$B218,D$11)</f>
        <v>#REF!</v>
      </c>
      <c r="E218" t="e" cm="1">
        <f t="array" ref="E218">INDEX(auto_tblSeries,$B218,E$11)</f>
        <v>#REF!</v>
      </c>
      <c r="F218" t="e" cm="1">
        <f t="array" ref="F218">INDEX(auto_tblSeries,$B218,F$11)</f>
        <v>#REF!</v>
      </c>
      <c r="G218" t="e" cm="1">
        <f t="array" ref="G218">INDEX(auto_tblSeries,$B218,G$11)</f>
        <v>#REF!</v>
      </c>
      <c r="H218" t="e" cm="1">
        <f t="array" ref="H218">INDEX(auto_tblSeries,$B218,H$11)</f>
        <v>#REF!</v>
      </c>
      <c r="I218" t="e">
        <f t="shared" si="70"/>
        <v>#REF!</v>
      </c>
      <c r="K218" t="e" cm="1">
        <f t="array" ref="K218">INDEX(auto_DataFlat_Score,$I218,K$10)</f>
        <v>#REF!</v>
      </c>
      <c r="L218" t="e" cm="1">
        <f t="array" ref="L218">INDEX(auto_DataFlat_Rank,$I218,L$10)</f>
        <v>#REF!</v>
      </c>
      <c r="M218" t="e" cm="1">
        <f t="array" ref="M218">INDEX(auto_DataFlat_DataValue,$I218,M$10)</f>
        <v>#REF!</v>
      </c>
      <c r="N218" t="e" cm="1">
        <f t="array" ref="N218">INDEX(auto_DataFlat_Classification,$I218,M$10)</f>
        <v>#REF!</v>
      </c>
      <c r="O218" t="e" cm="1">
        <f t="array" ref="O218">INDEX(auto_DataFlat_IsEstimate,$I218,O$10)</f>
        <v>#REF!</v>
      </c>
      <c r="P218" t="e" cm="1">
        <f t="array" ref="P218">IF(INDEX(auto_DataFlat_DataYear,$I218,P$10)=0,"n/a",INDEX(auto_DataFlat_DataYear,$I218,P$10))</f>
        <v>#REF!</v>
      </c>
      <c r="R218" t="e">
        <f t="shared" si="161"/>
        <v>#REF!</v>
      </c>
      <c r="S218" t="e" cm="1">
        <f t="array" ref="S218">INDEX(auto_DataFlat_Score,$R218,S$10)</f>
        <v>#REF!</v>
      </c>
      <c r="U218" t="str">
        <f t="shared" si="165"/>
        <v>n/a</v>
      </c>
      <c r="V218">
        <f t="shared" si="166"/>
        <v>1</v>
      </c>
      <c r="W218" t="e">
        <f t="shared" si="167"/>
        <v>#REF!</v>
      </c>
      <c r="X218" t="e">
        <f t="shared" ca="1" si="168"/>
        <v>#N/A</v>
      </c>
      <c r="Y218" t="e">
        <f t="shared" ca="1" si="168"/>
        <v>#N/A</v>
      </c>
      <c r="Z218" t="e">
        <f t="shared" ca="1" si="168"/>
        <v>#N/A</v>
      </c>
      <c r="AB218">
        <f t="shared" ca="1" si="156"/>
        <v>0</v>
      </c>
      <c r="AC218">
        <f t="shared" ca="1" si="156"/>
        <v>0</v>
      </c>
      <c r="AD218">
        <f t="shared" ca="1" si="156"/>
        <v>0</v>
      </c>
      <c r="AF218" t="e">
        <f t="shared" si="169"/>
        <v>#REF!</v>
      </c>
      <c r="AG218" t="e">
        <f t="shared" ca="1" si="170"/>
        <v>#N/A</v>
      </c>
      <c r="AH218" t="e">
        <f t="shared" ca="1" si="170"/>
        <v>#N/A</v>
      </c>
      <c r="AI218" t="e">
        <f t="shared" ca="1" si="170"/>
        <v>#N/A</v>
      </c>
      <c r="AJ218" t="e">
        <f t="shared" ca="1" si="170"/>
        <v>#N/A</v>
      </c>
      <c r="AK218" t="e">
        <f t="shared" ca="1" si="170"/>
        <v>#N/A</v>
      </c>
      <c r="AL218" t="e">
        <f t="shared" ca="1" si="170"/>
        <v>#N/A</v>
      </c>
      <c r="AM218" t="e">
        <f t="shared" ca="1" si="170"/>
        <v>#N/A</v>
      </c>
      <c r="AN218">
        <f t="shared" ca="1" si="171"/>
        <v>0</v>
      </c>
      <c r="AO218">
        <f t="shared" ca="1" si="172"/>
        <v>0</v>
      </c>
      <c r="AP218">
        <f t="shared" ca="1" si="173"/>
        <v>0</v>
      </c>
      <c r="AQ218">
        <f t="shared" ca="1" si="174"/>
        <v>0</v>
      </c>
      <c r="AR218">
        <f t="shared" ca="1" si="175"/>
        <v>0</v>
      </c>
      <c r="AS218">
        <f t="shared" ca="1" si="176"/>
        <v>0</v>
      </c>
      <c r="AT218">
        <f t="shared" ca="1" si="177"/>
        <v>0</v>
      </c>
      <c r="AV218" t="e">
        <f t="shared" si="6"/>
        <v>#REF!</v>
      </c>
      <c r="AW218" t="e" cm="1">
        <f t="array" ref="AW218">INDEX(auto_DataFlat_Score,$AV218,1)</f>
        <v>#REF!</v>
      </c>
      <c r="AX218" t="e" cm="1">
        <f t="array" ref="AX218">INDEX(auto_DataFlat_DataValue,$AV218,1)</f>
        <v>#REF!</v>
      </c>
      <c r="BA218" t="str">
        <f t="shared" si="178"/>
        <v>n/a</v>
      </c>
      <c r="BB218">
        <f t="shared" si="179"/>
        <v>1</v>
      </c>
      <c r="BC218" t="e">
        <f t="shared" si="180"/>
        <v>#REF!</v>
      </c>
      <c r="BD218" t="e">
        <f t="shared" ca="1" si="162"/>
        <v>#N/A</v>
      </c>
      <c r="BE218" t="e">
        <f t="shared" ca="1" si="162"/>
        <v>#N/A</v>
      </c>
      <c r="BF218" t="e">
        <f t="shared" ca="1" si="162"/>
        <v>#N/A</v>
      </c>
      <c r="BH218">
        <f t="shared" ca="1" si="157"/>
        <v>0</v>
      </c>
      <c r="BI218">
        <f t="shared" ca="1" si="157"/>
        <v>0</v>
      </c>
      <c r="BJ218">
        <f t="shared" ca="1" si="157"/>
        <v>0</v>
      </c>
      <c r="BM218" t="e">
        <f t="shared" si="181"/>
        <v>#REF!</v>
      </c>
      <c r="BN218" t="e">
        <f t="shared" ca="1" si="182"/>
        <v>#N/A</v>
      </c>
      <c r="BO218" t="e">
        <f t="shared" ca="1" si="183"/>
        <v>#N/A</v>
      </c>
      <c r="BP218" t="e">
        <f t="shared" ca="1" si="184"/>
        <v>#N/A</v>
      </c>
      <c r="BQ218" t="e">
        <f t="shared" ca="1" si="185"/>
        <v>#N/A</v>
      </c>
      <c r="BR218" t="e">
        <f t="shared" ca="1" si="186"/>
        <v>#N/A</v>
      </c>
      <c r="BS218" t="e">
        <f t="shared" ca="1" si="187"/>
        <v>#N/A</v>
      </c>
      <c r="BT218" t="e">
        <f t="shared" ca="1" si="188"/>
        <v>#N/A</v>
      </c>
      <c r="BU218">
        <f t="shared" ca="1" si="189"/>
        <v>0</v>
      </c>
      <c r="BV218">
        <f t="shared" ca="1" si="190"/>
        <v>0</v>
      </c>
      <c r="BW218">
        <f t="shared" ca="1" si="191"/>
        <v>0</v>
      </c>
      <c r="BX218">
        <f t="shared" ca="1" si="192"/>
        <v>0</v>
      </c>
      <c r="BY218">
        <f t="shared" ca="1" si="193"/>
        <v>0</v>
      </c>
      <c r="BZ218">
        <f t="shared" ca="1" si="163"/>
        <v>0</v>
      </c>
      <c r="CA218">
        <f t="shared" ca="1" si="164"/>
        <v>0</v>
      </c>
    </row>
    <row r="219" spans="1:79" x14ac:dyDescent="0.4">
      <c r="A219" t="str">
        <f t="shared" si="152"/>
        <v>X</v>
      </c>
      <c r="B219">
        <v>208</v>
      </c>
      <c r="C219" t="e" cm="1">
        <f t="array" ref="C219">INDEX(auto_Series_Code,B219)</f>
        <v>#REF!</v>
      </c>
      <c r="D219" t="e" cm="1">
        <f t="array" ref="D219">INDEX(auto_tblSeries,$B219,D$11)</f>
        <v>#REF!</v>
      </c>
      <c r="E219" t="e" cm="1">
        <f t="array" ref="E219">INDEX(auto_tblSeries,$B219,E$11)</f>
        <v>#REF!</v>
      </c>
      <c r="F219" t="e" cm="1">
        <f t="array" ref="F219">INDEX(auto_tblSeries,$B219,F$11)</f>
        <v>#REF!</v>
      </c>
      <c r="G219" t="e" cm="1">
        <f t="array" ref="G219">INDEX(auto_tblSeries,$B219,G$11)</f>
        <v>#REF!</v>
      </c>
      <c r="H219" t="e" cm="1">
        <f t="array" ref="H219">INDEX(auto_tblSeries,$B219,H$11)</f>
        <v>#REF!</v>
      </c>
      <c r="I219" t="e">
        <f t="shared" si="70"/>
        <v>#REF!</v>
      </c>
      <c r="K219" t="e" cm="1">
        <f t="array" ref="K219">INDEX(auto_DataFlat_Score,$I219,K$10)</f>
        <v>#REF!</v>
      </c>
      <c r="L219" t="e" cm="1">
        <f t="array" ref="L219">INDEX(auto_DataFlat_Rank,$I219,L$10)</f>
        <v>#REF!</v>
      </c>
      <c r="M219" t="e" cm="1">
        <f t="array" ref="M219">INDEX(auto_DataFlat_DataValue,$I219,M$10)</f>
        <v>#REF!</v>
      </c>
      <c r="N219" t="e" cm="1">
        <f t="array" ref="N219">INDEX(auto_DataFlat_Classification,$I219,M$10)</f>
        <v>#REF!</v>
      </c>
      <c r="O219" t="e" cm="1">
        <f t="array" ref="O219">INDEX(auto_DataFlat_IsEstimate,$I219,O$10)</f>
        <v>#REF!</v>
      </c>
      <c r="P219" t="e" cm="1">
        <f t="array" ref="P219">IF(INDEX(auto_DataFlat_DataYear,$I219,P$10)=0,"n/a",INDEX(auto_DataFlat_DataYear,$I219,P$10))</f>
        <v>#REF!</v>
      </c>
      <c r="R219" t="e">
        <f t="shared" si="161"/>
        <v>#REF!</v>
      </c>
      <c r="S219" t="e" cm="1">
        <f t="array" ref="S219">INDEX(auto_DataFlat_Score,$R219,S$10)</f>
        <v>#REF!</v>
      </c>
      <c r="U219" t="str">
        <f t="shared" si="165"/>
        <v>n/a</v>
      </c>
      <c r="V219">
        <f t="shared" si="166"/>
        <v>1</v>
      </c>
      <c r="W219" t="e">
        <f t="shared" si="167"/>
        <v>#REF!</v>
      </c>
      <c r="X219" t="e">
        <f t="shared" ca="1" si="168"/>
        <v>#N/A</v>
      </c>
      <c r="Y219" t="e">
        <f t="shared" ca="1" si="168"/>
        <v>#N/A</v>
      </c>
      <c r="Z219" t="e">
        <f t="shared" ca="1" si="168"/>
        <v>#N/A</v>
      </c>
      <c r="AB219">
        <f t="shared" ca="1" si="156"/>
        <v>0</v>
      </c>
      <c r="AC219">
        <f t="shared" ca="1" si="156"/>
        <v>0</v>
      </c>
      <c r="AD219">
        <f t="shared" ca="1" si="156"/>
        <v>0</v>
      </c>
      <c r="AF219" t="e">
        <f t="shared" si="169"/>
        <v>#REF!</v>
      </c>
      <c r="AG219" t="e">
        <f t="shared" ca="1" si="170"/>
        <v>#N/A</v>
      </c>
      <c r="AH219" t="e">
        <f t="shared" ca="1" si="170"/>
        <v>#N/A</v>
      </c>
      <c r="AI219" t="e">
        <f t="shared" ca="1" si="170"/>
        <v>#N/A</v>
      </c>
      <c r="AJ219" t="e">
        <f t="shared" ca="1" si="170"/>
        <v>#N/A</v>
      </c>
      <c r="AK219" t="e">
        <f t="shared" ca="1" si="170"/>
        <v>#N/A</v>
      </c>
      <c r="AL219" t="e">
        <f t="shared" ca="1" si="170"/>
        <v>#N/A</v>
      </c>
      <c r="AM219" t="e">
        <f t="shared" ca="1" si="170"/>
        <v>#N/A</v>
      </c>
      <c r="AN219">
        <f t="shared" ca="1" si="171"/>
        <v>0</v>
      </c>
      <c r="AO219">
        <f t="shared" ca="1" si="172"/>
        <v>0</v>
      </c>
      <c r="AP219">
        <f t="shared" ca="1" si="173"/>
        <v>0</v>
      </c>
      <c r="AQ219">
        <f t="shared" ca="1" si="174"/>
        <v>0</v>
      </c>
      <c r="AR219">
        <f t="shared" ca="1" si="175"/>
        <v>0</v>
      </c>
      <c r="AS219">
        <f t="shared" ca="1" si="176"/>
        <v>0</v>
      </c>
      <c r="AT219">
        <f t="shared" ca="1" si="177"/>
        <v>0</v>
      </c>
      <c r="AV219" t="e">
        <f t="shared" si="6"/>
        <v>#REF!</v>
      </c>
      <c r="AW219" t="e" cm="1">
        <f t="array" ref="AW219">INDEX(auto_DataFlat_Score,$AV219,1)</f>
        <v>#REF!</v>
      </c>
      <c r="AX219" t="e" cm="1">
        <f t="array" ref="AX219">INDEX(auto_DataFlat_DataValue,$AV219,1)</f>
        <v>#REF!</v>
      </c>
      <c r="BA219" t="str">
        <f t="shared" si="178"/>
        <v>n/a</v>
      </c>
      <c r="BB219">
        <f t="shared" si="179"/>
        <v>1</v>
      </c>
      <c r="BC219" t="e">
        <f t="shared" si="180"/>
        <v>#REF!</v>
      </c>
      <c r="BD219" t="e">
        <f t="shared" ca="1" si="162"/>
        <v>#N/A</v>
      </c>
      <c r="BE219" t="e">
        <f t="shared" ca="1" si="162"/>
        <v>#N/A</v>
      </c>
      <c r="BF219" t="e">
        <f t="shared" ca="1" si="162"/>
        <v>#N/A</v>
      </c>
      <c r="BH219">
        <f t="shared" ca="1" si="157"/>
        <v>0</v>
      </c>
      <c r="BI219">
        <f t="shared" ca="1" si="157"/>
        <v>0</v>
      </c>
      <c r="BJ219">
        <f t="shared" ca="1" si="157"/>
        <v>0</v>
      </c>
      <c r="BM219" t="e">
        <f t="shared" si="181"/>
        <v>#REF!</v>
      </c>
      <c r="BN219" t="e">
        <f t="shared" ca="1" si="182"/>
        <v>#N/A</v>
      </c>
      <c r="BO219" t="e">
        <f t="shared" ca="1" si="183"/>
        <v>#N/A</v>
      </c>
      <c r="BP219" t="e">
        <f t="shared" ca="1" si="184"/>
        <v>#N/A</v>
      </c>
      <c r="BQ219" t="e">
        <f t="shared" ca="1" si="185"/>
        <v>#N/A</v>
      </c>
      <c r="BR219" t="e">
        <f t="shared" ca="1" si="186"/>
        <v>#N/A</v>
      </c>
      <c r="BS219" t="e">
        <f t="shared" ca="1" si="187"/>
        <v>#N/A</v>
      </c>
      <c r="BT219" t="e">
        <f t="shared" ca="1" si="188"/>
        <v>#N/A</v>
      </c>
      <c r="BU219">
        <f t="shared" ca="1" si="189"/>
        <v>0</v>
      </c>
      <c r="BV219">
        <f t="shared" ca="1" si="190"/>
        <v>0</v>
      </c>
      <c r="BW219">
        <f t="shared" ca="1" si="191"/>
        <v>0</v>
      </c>
      <c r="BX219">
        <f t="shared" ca="1" si="192"/>
        <v>0</v>
      </c>
      <c r="BY219">
        <f t="shared" ca="1" si="193"/>
        <v>0</v>
      </c>
      <c r="BZ219">
        <f t="shared" ca="1" si="163"/>
        <v>0</v>
      </c>
      <c r="CA219">
        <f t="shared" ca="1" si="164"/>
        <v>0</v>
      </c>
    </row>
    <row r="220" spans="1:79" x14ac:dyDescent="0.4">
      <c r="A220" t="str">
        <f t="shared" si="152"/>
        <v>X</v>
      </c>
      <c r="B220">
        <v>209</v>
      </c>
      <c r="C220" t="e" cm="1">
        <f t="array" ref="C220">INDEX(auto_Series_Code,B220)</f>
        <v>#REF!</v>
      </c>
      <c r="D220" t="e" cm="1">
        <f t="array" ref="D220">INDEX(auto_tblSeries,$B220,D$11)</f>
        <v>#REF!</v>
      </c>
      <c r="E220" t="e" cm="1">
        <f t="array" ref="E220">INDEX(auto_tblSeries,$B220,E$11)</f>
        <v>#REF!</v>
      </c>
      <c r="F220" t="e" cm="1">
        <f t="array" ref="F220">INDEX(auto_tblSeries,$B220,F$11)</f>
        <v>#REF!</v>
      </c>
      <c r="G220" t="e" cm="1">
        <f t="array" ref="G220">INDEX(auto_tblSeries,$B220,G$11)</f>
        <v>#REF!</v>
      </c>
      <c r="H220" t="e" cm="1">
        <f t="array" ref="H220">INDEX(auto_tblSeries,$B220,H$11)</f>
        <v>#REF!</v>
      </c>
      <c r="I220" t="e">
        <f t="shared" si="70"/>
        <v>#REF!</v>
      </c>
      <c r="K220" t="e" cm="1">
        <f t="array" ref="K220">INDEX(auto_DataFlat_Score,$I220,K$10)</f>
        <v>#REF!</v>
      </c>
      <c r="L220" t="e" cm="1">
        <f t="array" ref="L220">INDEX(auto_DataFlat_Rank,$I220,L$10)</f>
        <v>#REF!</v>
      </c>
      <c r="M220" t="e" cm="1">
        <f t="array" ref="M220">INDEX(auto_DataFlat_DataValue,$I220,M$10)</f>
        <v>#REF!</v>
      </c>
      <c r="N220" t="e" cm="1">
        <f t="array" ref="N220">INDEX(auto_DataFlat_Classification,$I220,M$10)</f>
        <v>#REF!</v>
      </c>
      <c r="O220" t="e" cm="1">
        <f t="array" ref="O220">INDEX(auto_DataFlat_IsEstimate,$I220,O$10)</f>
        <v>#REF!</v>
      </c>
      <c r="P220" t="e" cm="1">
        <f t="array" ref="P220">IF(INDEX(auto_DataFlat_DataYear,$I220,P$10)=0,"n/a",INDEX(auto_DataFlat_DataYear,$I220,P$10))</f>
        <v>#REF!</v>
      </c>
      <c r="R220" t="e">
        <f t="shared" si="161"/>
        <v>#REF!</v>
      </c>
      <c r="S220" t="e" cm="1">
        <f t="array" ref="S220">INDEX(auto_DataFlat_Score,$R220,S$10)</f>
        <v>#REF!</v>
      </c>
      <c r="U220" t="str">
        <f t="shared" si="165"/>
        <v>n/a</v>
      </c>
      <c r="V220">
        <f t="shared" si="166"/>
        <v>1</v>
      </c>
      <c r="W220" t="e">
        <f t="shared" si="167"/>
        <v>#REF!</v>
      </c>
      <c r="X220" t="e">
        <f t="shared" ca="1" si="168"/>
        <v>#N/A</v>
      </c>
      <c r="Y220" t="e">
        <f t="shared" ca="1" si="168"/>
        <v>#N/A</v>
      </c>
      <c r="Z220" t="e">
        <f t="shared" ca="1" si="168"/>
        <v>#N/A</v>
      </c>
      <c r="AB220">
        <f t="shared" ca="1" si="156"/>
        <v>0</v>
      </c>
      <c r="AC220">
        <f t="shared" ca="1" si="156"/>
        <v>0</v>
      </c>
      <c r="AD220">
        <f t="shared" ca="1" si="156"/>
        <v>0</v>
      </c>
      <c r="AF220" t="e">
        <f t="shared" si="169"/>
        <v>#REF!</v>
      </c>
      <c r="AG220" t="e">
        <f t="shared" ca="1" si="170"/>
        <v>#N/A</v>
      </c>
      <c r="AH220" t="e">
        <f t="shared" ca="1" si="170"/>
        <v>#N/A</v>
      </c>
      <c r="AI220" t="e">
        <f t="shared" ca="1" si="170"/>
        <v>#N/A</v>
      </c>
      <c r="AJ220" t="e">
        <f t="shared" ca="1" si="170"/>
        <v>#N/A</v>
      </c>
      <c r="AK220" t="e">
        <f t="shared" ca="1" si="170"/>
        <v>#N/A</v>
      </c>
      <c r="AL220" t="e">
        <f t="shared" ca="1" si="170"/>
        <v>#N/A</v>
      </c>
      <c r="AM220" t="e">
        <f t="shared" ca="1" si="170"/>
        <v>#N/A</v>
      </c>
      <c r="AN220">
        <f t="shared" ca="1" si="171"/>
        <v>0</v>
      </c>
      <c r="AO220">
        <f t="shared" ca="1" si="172"/>
        <v>0</v>
      </c>
      <c r="AP220">
        <f t="shared" ca="1" si="173"/>
        <v>0</v>
      </c>
      <c r="AQ220">
        <f t="shared" ca="1" si="174"/>
        <v>0</v>
      </c>
      <c r="AR220">
        <f t="shared" ca="1" si="175"/>
        <v>0</v>
      </c>
      <c r="AS220">
        <f t="shared" ca="1" si="176"/>
        <v>0</v>
      </c>
      <c r="AT220">
        <f t="shared" ca="1" si="177"/>
        <v>0</v>
      </c>
      <c r="AV220" t="e">
        <f t="shared" si="6"/>
        <v>#REF!</v>
      </c>
      <c r="AW220" t="e" cm="1">
        <f t="array" ref="AW220">INDEX(auto_DataFlat_Score,$AV220,1)</f>
        <v>#REF!</v>
      </c>
      <c r="AX220" t="e" cm="1">
        <f t="array" ref="AX220">INDEX(auto_DataFlat_DataValue,$AV220,1)</f>
        <v>#REF!</v>
      </c>
      <c r="BA220" t="str">
        <f t="shared" si="178"/>
        <v>n/a</v>
      </c>
      <c r="BB220">
        <f t="shared" si="179"/>
        <v>1</v>
      </c>
      <c r="BC220" t="e">
        <f t="shared" si="180"/>
        <v>#REF!</v>
      </c>
      <c r="BD220" t="e">
        <f t="shared" ref="BD220:BF235" ca="1" si="194">BD219+MATCH(BD$10,OFFSET($BC$12,BD219,0,200,1),0)</f>
        <v>#N/A</v>
      </c>
      <c r="BE220" t="e">
        <f t="shared" ca="1" si="194"/>
        <v>#N/A</v>
      </c>
      <c r="BF220" t="e">
        <f t="shared" ca="1" si="194"/>
        <v>#N/A</v>
      </c>
      <c r="BH220">
        <f t="shared" ca="1" si="157"/>
        <v>0</v>
      </c>
      <c r="BI220">
        <f t="shared" ca="1" si="157"/>
        <v>0</v>
      </c>
      <c r="BJ220">
        <f t="shared" ca="1" si="157"/>
        <v>0</v>
      </c>
      <c r="BM220" t="e">
        <f t="shared" si="181"/>
        <v>#REF!</v>
      </c>
      <c r="BN220" t="e">
        <f t="shared" ca="1" si="182"/>
        <v>#N/A</v>
      </c>
      <c r="BO220" t="e">
        <f t="shared" ca="1" si="183"/>
        <v>#N/A</v>
      </c>
      <c r="BP220" t="e">
        <f t="shared" ca="1" si="184"/>
        <v>#N/A</v>
      </c>
      <c r="BQ220" t="e">
        <f t="shared" ca="1" si="185"/>
        <v>#N/A</v>
      </c>
      <c r="BR220" t="e">
        <f t="shared" ca="1" si="186"/>
        <v>#N/A</v>
      </c>
      <c r="BS220" t="e">
        <f t="shared" ca="1" si="187"/>
        <v>#N/A</v>
      </c>
      <c r="BT220" t="e">
        <f t="shared" ca="1" si="188"/>
        <v>#N/A</v>
      </c>
      <c r="BU220">
        <f t="shared" ca="1" si="189"/>
        <v>0</v>
      </c>
      <c r="BV220">
        <f t="shared" ca="1" si="190"/>
        <v>0</v>
      </c>
      <c r="BW220">
        <f t="shared" ca="1" si="191"/>
        <v>0</v>
      </c>
      <c r="BX220">
        <f t="shared" ca="1" si="192"/>
        <v>0</v>
      </c>
      <c r="BY220">
        <f t="shared" ca="1" si="193"/>
        <v>0</v>
      </c>
      <c r="BZ220">
        <f t="shared" ca="1" si="163"/>
        <v>0</v>
      </c>
      <c r="CA220">
        <f t="shared" ca="1" si="164"/>
        <v>0</v>
      </c>
    </row>
    <row r="221" spans="1:79" x14ac:dyDescent="0.4">
      <c r="A221" t="str">
        <f t="shared" si="152"/>
        <v>X</v>
      </c>
      <c r="B221">
        <v>210</v>
      </c>
      <c r="C221" t="e" cm="1">
        <f t="array" ref="C221">INDEX(auto_Series_Code,B221)</f>
        <v>#REF!</v>
      </c>
      <c r="D221" t="e" cm="1">
        <f t="array" ref="D221">INDEX(auto_tblSeries,$B221,D$11)</f>
        <v>#REF!</v>
      </c>
      <c r="E221" t="e" cm="1">
        <f t="array" ref="E221">INDEX(auto_tblSeries,$B221,E$11)</f>
        <v>#REF!</v>
      </c>
      <c r="F221" t="e" cm="1">
        <f t="array" ref="F221">INDEX(auto_tblSeries,$B221,F$11)</f>
        <v>#REF!</v>
      </c>
      <c r="G221" t="e" cm="1">
        <f t="array" ref="G221">INDEX(auto_tblSeries,$B221,G$11)</f>
        <v>#REF!</v>
      </c>
      <c r="H221" t="e" cm="1">
        <f t="array" ref="H221">INDEX(auto_tblSeries,$B221,H$11)</f>
        <v>#REF!</v>
      </c>
      <c r="I221" t="e">
        <f t="shared" si="70"/>
        <v>#REF!</v>
      </c>
      <c r="K221" t="e" cm="1">
        <f t="array" ref="K221">INDEX(auto_DataFlat_Score,$I221,K$10)</f>
        <v>#REF!</v>
      </c>
      <c r="L221" t="e" cm="1">
        <f t="array" ref="L221">INDEX(auto_DataFlat_Rank,$I221,L$10)</f>
        <v>#REF!</v>
      </c>
      <c r="M221" t="e" cm="1">
        <f t="array" ref="M221">INDEX(auto_DataFlat_DataValue,$I221,M$10)</f>
        <v>#REF!</v>
      </c>
      <c r="N221" t="e" cm="1">
        <f t="array" ref="N221">INDEX(auto_DataFlat_Classification,$I221,M$10)</f>
        <v>#REF!</v>
      </c>
      <c r="O221" t="e" cm="1">
        <f t="array" ref="O221">INDEX(auto_DataFlat_IsEstimate,$I221,O$10)</f>
        <v>#REF!</v>
      </c>
      <c r="P221" t="e" cm="1">
        <f t="array" ref="P221">IF(INDEX(auto_DataFlat_DataYear,$I221,P$10)=0,"n/a",INDEX(auto_DataFlat_DataYear,$I221,P$10))</f>
        <v>#REF!</v>
      </c>
      <c r="R221" t="e">
        <f t="shared" si="161"/>
        <v>#REF!</v>
      </c>
      <c r="S221" t="e" cm="1">
        <f t="array" ref="S221">INDEX(auto_DataFlat_Score,$R221,S$10)</f>
        <v>#REF!</v>
      </c>
      <c r="U221" t="str">
        <f t="shared" si="165"/>
        <v>n/a</v>
      </c>
      <c r="V221">
        <f t="shared" si="166"/>
        <v>1</v>
      </c>
      <c r="W221" t="e">
        <f t="shared" si="167"/>
        <v>#REF!</v>
      </c>
      <c r="X221" t="e">
        <f t="shared" ref="X221:Z236" ca="1" si="195">X220+MATCH(X$10,OFFSET($W$12,X220,0,300,1),0)</f>
        <v>#N/A</v>
      </c>
      <c r="Y221" t="e">
        <f t="shared" ca="1" si="195"/>
        <v>#N/A</v>
      </c>
      <c r="Z221" t="e">
        <f t="shared" ca="1" si="195"/>
        <v>#N/A</v>
      </c>
      <c r="AB221">
        <f t="shared" ca="1" si="156"/>
        <v>0</v>
      </c>
      <c r="AC221">
        <f t="shared" ca="1" si="156"/>
        <v>0</v>
      </c>
      <c r="AD221">
        <f t="shared" ca="1" si="156"/>
        <v>0</v>
      </c>
      <c r="AF221" t="e">
        <f t="shared" si="169"/>
        <v>#REF!</v>
      </c>
      <c r="AG221" t="e">
        <f t="shared" ref="AG221:AM236" ca="1" si="196">IFERROR(AG220+MATCH(AG$10,OFFSET($AF$12,AG220,0,300-AG220,1),0),NA())</f>
        <v>#N/A</v>
      </c>
      <c r="AH221" t="e">
        <f t="shared" ca="1" si="196"/>
        <v>#N/A</v>
      </c>
      <c r="AI221" t="e">
        <f t="shared" ca="1" si="196"/>
        <v>#N/A</v>
      </c>
      <c r="AJ221" t="e">
        <f t="shared" ca="1" si="196"/>
        <v>#N/A</v>
      </c>
      <c r="AK221" t="e">
        <f t="shared" ca="1" si="196"/>
        <v>#N/A</v>
      </c>
      <c r="AL221" t="e">
        <f t="shared" ca="1" si="196"/>
        <v>#N/A</v>
      </c>
      <c r="AM221" t="e">
        <f t="shared" ca="1" si="196"/>
        <v>#N/A</v>
      </c>
      <c r="AN221">
        <f t="shared" ca="1" si="171"/>
        <v>0</v>
      </c>
      <c r="AO221">
        <f t="shared" ca="1" si="172"/>
        <v>0</v>
      </c>
      <c r="AP221">
        <f t="shared" ca="1" si="173"/>
        <v>0</v>
      </c>
      <c r="AQ221">
        <f t="shared" ca="1" si="174"/>
        <v>0</v>
      </c>
      <c r="AR221">
        <f t="shared" ca="1" si="175"/>
        <v>0</v>
      </c>
      <c r="AS221">
        <f t="shared" ca="1" si="176"/>
        <v>0</v>
      </c>
      <c r="AT221">
        <f t="shared" ca="1" si="177"/>
        <v>0</v>
      </c>
      <c r="AV221" t="e">
        <f t="shared" si="6"/>
        <v>#REF!</v>
      </c>
      <c r="AW221" t="e" cm="1">
        <f t="array" ref="AW221">INDEX(auto_DataFlat_Score,$AV221,1)</f>
        <v>#REF!</v>
      </c>
      <c r="AX221" t="e" cm="1">
        <f t="array" ref="AX221">INDEX(auto_DataFlat_DataValue,$AV221,1)</f>
        <v>#REF!</v>
      </c>
      <c r="BA221" t="str">
        <f t="shared" si="178"/>
        <v>n/a</v>
      </c>
      <c r="BB221">
        <f t="shared" si="179"/>
        <v>1</v>
      </c>
      <c r="BC221" t="e">
        <f t="shared" si="180"/>
        <v>#REF!</v>
      </c>
      <c r="BD221" t="e">
        <f t="shared" ca="1" si="194"/>
        <v>#N/A</v>
      </c>
      <c r="BE221" t="e">
        <f t="shared" ca="1" si="194"/>
        <v>#N/A</v>
      </c>
      <c r="BF221" t="e">
        <f t="shared" ca="1" si="194"/>
        <v>#N/A</v>
      </c>
      <c r="BH221">
        <f t="shared" ca="1" si="157"/>
        <v>0</v>
      </c>
      <c r="BI221">
        <f t="shared" ca="1" si="157"/>
        <v>0</v>
      </c>
      <c r="BJ221">
        <f t="shared" ca="1" si="157"/>
        <v>0</v>
      </c>
      <c r="BM221" t="e">
        <f t="shared" si="181"/>
        <v>#REF!</v>
      </c>
      <c r="BN221" t="e">
        <f t="shared" ca="1" si="182"/>
        <v>#N/A</v>
      </c>
      <c r="BO221" t="e">
        <f t="shared" ca="1" si="183"/>
        <v>#N/A</v>
      </c>
      <c r="BP221" t="e">
        <f t="shared" ca="1" si="184"/>
        <v>#N/A</v>
      </c>
      <c r="BQ221" t="e">
        <f t="shared" ca="1" si="185"/>
        <v>#N/A</v>
      </c>
      <c r="BR221" t="e">
        <f t="shared" ca="1" si="186"/>
        <v>#N/A</v>
      </c>
      <c r="BS221" t="e">
        <f t="shared" ca="1" si="187"/>
        <v>#N/A</v>
      </c>
      <c r="BT221" t="e">
        <f t="shared" ca="1" si="188"/>
        <v>#N/A</v>
      </c>
      <c r="BU221">
        <f t="shared" ca="1" si="189"/>
        <v>0</v>
      </c>
      <c r="BV221">
        <f t="shared" ca="1" si="190"/>
        <v>0</v>
      </c>
      <c r="BW221">
        <f t="shared" ca="1" si="191"/>
        <v>0</v>
      </c>
      <c r="BX221">
        <f t="shared" ca="1" si="192"/>
        <v>0</v>
      </c>
      <c r="BY221">
        <f t="shared" ca="1" si="193"/>
        <v>0</v>
      </c>
      <c r="BZ221">
        <f t="shared" ca="1" si="163"/>
        <v>0</v>
      </c>
      <c r="CA221">
        <f t="shared" ca="1" si="164"/>
        <v>0</v>
      </c>
    </row>
    <row r="222" spans="1:79" x14ac:dyDescent="0.4">
      <c r="A222" t="str">
        <f t="shared" si="152"/>
        <v>X</v>
      </c>
      <c r="B222">
        <v>211</v>
      </c>
      <c r="C222" t="e" cm="1">
        <f t="array" ref="C222">INDEX(auto_Series_Code,B222)</f>
        <v>#REF!</v>
      </c>
      <c r="D222" t="e" cm="1">
        <f t="array" ref="D222">INDEX(auto_tblSeries,$B222,D$11)</f>
        <v>#REF!</v>
      </c>
      <c r="E222" t="e" cm="1">
        <f t="array" ref="E222">INDEX(auto_tblSeries,$B222,E$11)</f>
        <v>#REF!</v>
      </c>
      <c r="F222" t="e" cm="1">
        <f t="array" ref="F222">INDEX(auto_tblSeries,$B222,F$11)</f>
        <v>#REF!</v>
      </c>
      <c r="G222" t="e" cm="1">
        <f t="array" ref="G222">INDEX(auto_tblSeries,$B222,G$11)</f>
        <v>#REF!</v>
      </c>
      <c r="H222" t="e" cm="1">
        <f t="array" ref="H222">INDEX(auto_tblSeries,$B222,H$11)</f>
        <v>#REF!</v>
      </c>
      <c r="I222" t="e">
        <f t="shared" si="70"/>
        <v>#REF!</v>
      </c>
      <c r="K222" t="e" cm="1">
        <f t="array" ref="K222">INDEX(auto_DataFlat_Score,$I222,K$10)</f>
        <v>#REF!</v>
      </c>
      <c r="L222" t="e" cm="1">
        <f t="array" ref="L222">INDEX(auto_DataFlat_Rank,$I222,L$10)</f>
        <v>#REF!</v>
      </c>
      <c r="M222" t="e" cm="1">
        <f t="array" ref="M222">INDEX(auto_DataFlat_DataValue,$I222,M$10)</f>
        <v>#REF!</v>
      </c>
      <c r="N222" t="e" cm="1">
        <f t="array" ref="N222">INDEX(auto_DataFlat_Classification,$I222,M$10)</f>
        <v>#REF!</v>
      </c>
      <c r="O222" t="e" cm="1">
        <f t="array" ref="O222">INDEX(auto_DataFlat_IsEstimate,$I222,O$10)</f>
        <v>#REF!</v>
      </c>
      <c r="P222" t="e" cm="1">
        <f t="array" ref="P222">IF(INDEX(auto_DataFlat_DataYear,$I222,P$10)=0,"n/a",INDEX(auto_DataFlat_DataYear,$I222,P$10))</f>
        <v>#REF!</v>
      </c>
      <c r="R222" t="e">
        <f t="shared" si="161"/>
        <v>#REF!</v>
      </c>
      <c r="S222" t="e" cm="1">
        <f t="array" ref="S222">INDEX(auto_DataFlat_Score,$R222,S$10)</f>
        <v>#REF!</v>
      </c>
      <c r="U222" t="str">
        <f t="shared" si="165"/>
        <v>n/a</v>
      </c>
      <c r="V222">
        <f t="shared" si="166"/>
        <v>1</v>
      </c>
      <c r="W222" t="e">
        <f t="shared" si="167"/>
        <v>#REF!</v>
      </c>
      <c r="X222" t="e">
        <f t="shared" ca="1" si="195"/>
        <v>#N/A</v>
      </c>
      <c r="Y222" t="e">
        <f t="shared" ca="1" si="195"/>
        <v>#N/A</v>
      </c>
      <c r="Z222" t="e">
        <f t="shared" ca="1" si="195"/>
        <v>#N/A</v>
      </c>
      <c r="AB222">
        <f t="shared" ca="1" si="156"/>
        <v>0</v>
      </c>
      <c r="AC222">
        <f t="shared" ca="1" si="156"/>
        <v>0</v>
      </c>
      <c r="AD222">
        <f t="shared" ca="1" si="156"/>
        <v>0</v>
      </c>
      <c r="AF222" t="e">
        <f t="shared" si="169"/>
        <v>#REF!</v>
      </c>
      <c r="AG222" t="e">
        <f t="shared" ca="1" si="196"/>
        <v>#N/A</v>
      </c>
      <c r="AH222" t="e">
        <f t="shared" ca="1" si="196"/>
        <v>#N/A</v>
      </c>
      <c r="AI222" t="e">
        <f t="shared" ca="1" si="196"/>
        <v>#N/A</v>
      </c>
      <c r="AJ222" t="e">
        <f t="shared" ca="1" si="196"/>
        <v>#N/A</v>
      </c>
      <c r="AK222" t="e">
        <f t="shared" ca="1" si="196"/>
        <v>#N/A</v>
      </c>
      <c r="AL222" t="e">
        <f t="shared" ca="1" si="196"/>
        <v>#N/A</v>
      </c>
      <c r="AM222" t="e">
        <f t="shared" ca="1" si="196"/>
        <v>#N/A</v>
      </c>
      <c r="AN222">
        <f t="shared" ca="1" si="171"/>
        <v>0</v>
      </c>
      <c r="AO222">
        <f t="shared" ca="1" si="172"/>
        <v>0</v>
      </c>
      <c r="AP222">
        <f t="shared" ca="1" si="173"/>
        <v>0</v>
      </c>
      <c r="AQ222">
        <f t="shared" ca="1" si="174"/>
        <v>0</v>
      </c>
      <c r="AR222">
        <f t="shared" ca="1" si="175"/>
        <v>0</v>
      </c>
      <c r="AS222">
        <f t="shared" ca="1" si="176"/>
        <v>0</v>
      </c>
      <c r="AT222">
        <f t="shared" ca="1" si="177"/>
        <v>0</v>
      </c>
      <c r="AV222" t="e">
        <f t="shared" si="6"/>
        <v>#REF!</v>
      </c>
      <c r="AW222" t="e" cm="1">
        <f t="array" ref="AW222">INDEX(auto_DataFlat_Score,$AV222,1)</f>
        <v>#REF!</v>
      </c>
      <c r="AX222" t="e" cm="1">
        <f t="array" ref="AX222">INDEX(auto_DataFlat_DataValue,$AV222,1)</f>
        <v>#REF!</v>
      </c>
      <c r="BA222" t="str">
        <f t="shared" si="178"/>
        <v>n/a</v>
      </c>
      <c r="BB222">
        <f t="shared" si="179"/>
        <v>1</v>
      </c>
      <c r="BC222" t="e">
        <f t="shared" si="180"/>
        <v>#REF!</v>
      </c>
      <c r="BD222" t="e">
        <f t="shared" ca="1" si="194"/>
        <v>#N/A</v>
      </c>
      <c r="BE222" t="e">
        <f t="shared" ca="1" si="194"/>
        <v>#N/A</v>
      </c>
      <c r="BF222" t="e">
        <f t="shared" ca="1" si="194"/>
        <v>#N/A</v>
      </c>
      <c r="BH222">
        <f t="shared" ca="1" si="157"/>
        <v>0</v>
      </c>
      <c r="BI222">
        <f t="shared" ca="1" si="157"/>
        <v>0</v>
      </c>
      <c r="BJ222">
        <f t="shared" ca="1" si="157"/>
        <v>0</v>
      </c>
      <c r="BM222" t="e">
        <f t="shared" si="181"/>
        <v>#REF!</v>
      </c>
      <c r="BN222" t="e">
        <f t="shared" ca="1" si="182"/>
        <v>#N/A</v>
      </c>
      <c r="BO222" t="e">
        <f t="shared" ca="1" si="183"/>
        <v>#N/A</v>
      </c>
      <c r="BP222" t="e">
        <f t="shared" ca="1" si="184"/>
        <v>#N/A</v>
      </c>
      <c r="BQ222" t="e">
        <f t="shared" ca="1" si="185"/>
        <v>#N/A</v>
      </c>
      <c r="BR222" t="e">
        <f t="shared" ca="1" si="186"/>
        <v>#N/A</v>
      </c>
      <c r="BS222" t="e">
        <f t="shared" ca="1" si="187"/>
        <v>#N/A</v>
      </c>
      <c r="BT222" t="e">
        <f t="shared" ca="1" si="188"/>
        <v>#N/A</v>
      </c>
      <c r="BU222">
        <f t="shared" ca="1" si="189"/>
        <v>0</v>
      </c>
      <c r="BV222">
        <f t="shared" ca="1" si="190"/>
        <v>0</v>
      </c>
      <c r="BW222">
        <f t="shared" ca="1" si="191"/>
        <v>0</v>
      </c>
      <c r="BX222">
        <f t="shared" ca="1" si="192"/>
        <v>0</v>
      </c>
      <c r="BY222">
        <f t="shared" ca="1" si="193"/>
        <v>0</v>
      </c>
      <c r="BZ222">
        <f t="shared" ca="1" si="163"/>
        <v>0</v>
      </c>
      <c r="CA222">
        <f t="shared" ca="1" si="164"/>
        <v>0</v>
      </c>
    </row>
    <row r="223" spans="1:79" x14ac:dyDescent="0.4">
      <c r="A223" t="str">
        <f t="shared" si="152"/>
        <v>X</v>
      </c>
      <c r="B223">
        <v>212</v>
      </c>
      <c r="C223" t="e" cm="1">
        <f t="array" ref="C223">INDEX(auto_Series_Code,B223)</f>
        <v>#REF!</v>
      </c>
      <c r="D223" t="e" cm="1">
        <f t="array" ref="D223">INDEX(auto_tblSeries,$B223,D$11)</f>
        <v>#REF!</v>
      </c>
      <c r="E223" t="e" cm="1">
        <f t="array" ref="E223">INDEX(auto_tblSeries,$B223,E$11)</f>
        <v>#REF!</v>
      </c>
      <c r="F223" t="e" cm="1">
        <f t="array" ref="F223">INDEX(auto_tblSeries,$B223,F$11)</f>
        <v>#REF!</v>
      </c>
      <c r="G223" t="e" cm="1">
        <f t="array" ref="G223">INDEX(auto_tblSeries,$B223,G$11)</f>
        <v>#REF!</v>
      </c>
      <c r="H223" t="e" cm="1">
        <f t="array" ref="H223">INDEX(auto_tblSeries,$B223,H$11)</f>
        <v>#REF!</v>
      </c>
      <c r="I223" t="e">
        <f t="shared" si="70"/>
        <v>#REF!</v>
      </c>
      <c r="K223" t="e" cm="1">
        <f t="array" ref="K223">INDEX(auto_DataFlat_Score,$I223,K$10)</f>
        <v>#REF!</v>
      </c>
      <c r="L223" t="e" cm="1">
        <f t="array" ref="L223">INDEX(auto_DataFlat_Rank,$I223,L$10)</f>
        <v>#REF!</v>
      </c>
      <c r="M223" t="e" cm="1">
        <f t="array" ref="M223">INDEX(auto_DataFlat_DataValue,$I223,M$10)</f>
        <v>#REF!</v>
      </c>
      <c r="N223" t="e" cm="1">
        <f t="array" ref="N223">INDEX(auto_DataFlat_Classification,$I223,M$10)</f>
        <v>#REF!</v>
      </c>
      <c r="O223" t="e" cm="1">
        <f t="array" ref="O223">INDEX(auto_DataFlat_IsEstimate,$I223,O$10)</f>
        <v>#REF!</v>
      </c>
      <c r="P223" t="e" cm="1">
        <f t="array" ref="P223">IF(INDEX(auto_DataFlat_DataYear,$I223,P$10)=0,"n/a",INDEX(auto_DataFlat_DataYear,$I223,P$10))</f>
        <v>#REF!</v>
      </c>
      <c r="R223" t="e">
        <f t="shared" si="161"/>
        <v>#REF!</v>
      </c>
      <c r="S223" t="e" cm="1">
        <f t="array" ref="S223">INDEX(auto_DataFlat_Score,$R223,S$10)</f>
        <v>#REF!</v>
      </c>
      <c r="U223" t="str">
        <f t="shared" si="165"/>
        <v>n/a</v>
      </c>
      <c r="V223">
        <f t="shared" si="166"/>
        <v>1</v>
      </c>
      <c r="W223" t="e">
        <f t="shared" si="167"/>
        <v>#REF!</v>
      </c>
      <c r="X223" t="e">
        <f t="shared" ca="1" si="195"/>
        <v>#N/A</v>
      </c>
      <c r="Y223" t="e">
        <f t="shared" ca="1" si="195"/>
        <v>#N/A</v>
      </c>
      <c r="Z223" t="e">
        <f t="shared" ca="1" si="195"/>
        <v>#N/A</v>
      </c>
      <c r="AB223">
        <f t="shared" ca="1" si="156"/>
        <v>0</v>
      </c>
      <c r="AC223">
        <f t="shared" ca="1" si="156"/>
        <v>0</v>
      </c>
      <c r="AD223">
        <f t="shared" ca="1" si="156"/>
        <v>0</v>
      </c>
      <c r="AF223" t="e">
        <f t="shared" si="169"/>
        <v>#REF!</v>
      </c>
      <c r="AG223" t="e">
        <f t="shared" ca="1" si="196"/>
        <v>#N/A</v>
      </c>
      <c r="AH223" t="e">
        <f t="shared" ca="1" si="196"/>
        <v>#N/A</v>
      </c>
      <c r="AI223" t="e">
        <f t="shared" ca="1" si="196"/>
        <v>#N/A</v>
      </c>
      <c r="AJ223" t="e">
        <f t="shared" ca="1" si="196"/>
        <v>#N/A</v>
      </c>
      <c r="AK223" t="e">
        <f t="shared" ca="1" si="196"/>
        <v>#N/A</v>
      </c>
      <c r="AL223" t="e">
        <f t="shared" ca="1" si="196"/>
        <v>#N/A</v>
      </c>
      <c r="AM223" t="e">
        <f t="shared" ca="1" si="196"/>
        <v>#N/A</v>
      </c>
      <c r="AN223">
        <f t="shared" ca="1" si="171"/>
        <v>0</v>
      </c>
      <c r="AO223">
        <f t="shared" ca="1" si="172"/>
        <v>0</v>
      </c>
      <c r="AP223">
        <f t="shared" ca="1" si="173"/>
        <v>0</v>
      </c>
      <c r="AQ223">
        <f t="shared" ca="1" si="174"/>
        <v>0</v>
      </c>
      <c r="AR223">
        <f t="shared" ca="1" si="175"/>
        <v>0</v>
      </c>
      <c r="AS223">
        <f t="shared" ca="1" si="176"/>
        <v>0</v>
      </c>
      <c r="AT223">
        <f t="shared" ca="1" si="177"/>
        <v>0</v>
      </c>
      <c r="AV223" t="e">
        <f t="shared" si="6"/>
        <v>#REF!</v>
      </c>
      <c r="AW223" t="e" cm="1">
        <f t="array" ref="AW223">INDEX(auto_DataFlat_Score,$AV223,1)</f>
        <v>#REF!</v>
      </c>
      <c r="AX223" t="e" cm="1">
        <f t="array" ref="AX223">INDEX(auto_DataFlat_DataValue,$AV223,1)</f>
        <v>#REF!</v>
      </c>
      <c r="BA223" t="str">
        <f t="shared" si="178"/>
        <v>n/a</v>
      </c>
      <c r="BB223">
        <f t="shared" si="179"/>
        <v>1</v>
      </c>
      <c r="BC223" t="e">
        <f t="shared" si="180"/>
        <v>#REF!</v>
      </c>
      <c r="BD223" t="e">
        <f t="shared" ca="1" si="194"/>
        <v>#N/A</v>
      </c>
      <c r="BE223" t="e">
        <f t="shared" ca="1" si="194"/>
        <v>#N/A</v>
      </c>
      <c r="BF223" t="e">
        <f t="shared" ca="1" si="194"/>
        <v>#N/A</v>
      </c>
      <c r="BH223">
        <f t="shared" ca="1" si="157"/>
        <v>0</v>
      </c>
      <c r="BI223">
        <f t="shared" ca="1" si="157"/>
        <v>0</v>
      </c>
      <c r="BJ223">
        <f t="shared" ca="1" si="157"/>
        <v>0</v>
      </c>
      <c r="BM223" t="e">
        <f t="shared" si="181"/>
        <v>#REF!</v>
      </c>
      <c r="BN223" t="e">
        <f t="shared" ca="1" si="182"/>
        <v>#N/A</v>
      </c>
      <c r="BO223" t="e">
        <f t="shared" ca="1" si="183"/>
        <v>#N/A</v>
      </c>
      <c r="BP223" t="e">
        <f t="shared" ca="1" si="184"/>
        <v>#N/A</v>
      </c>
      <c r="BQ223" t="e">
        <f t="shared" ca="1" si="185"/>
        <v>#N/A</v>
      </c>
      <c r="BR223" t="e">
        <f t="shared" ca="1" si="186"/>
        <v>#N/A</v>
      </c>
      <c r="BS223" t="e">
        <f t="shared" ca="1" si="187"/>
        <v>#N/A</v>
      </c>
      <c r="BT223" t="e">
        <f t="shared" ca="1" si="188"/>
        <v>#N/A</v>
      </c>
      <c r="BU223">
        <f t="shared" ca="1" si="189"/>
        <v>0</v>
      </c>
      <c r="BV223">
        <f t="shared" ca="1" si="190"/>
        <v>0</v>
      </c>
      <c r="BW223">
        <f t="shared" ca="1" si="191"/>
        <v>0</v>
      </c>
      <c r="BX223">
        <f t="shared" ca="1" si="192"/>
        <v>0</v>
      </c>
      <c r="BY223">
        <f t="shared" ca="1" si="193"/>
        <v>0</v>
      </c>
      <c r="BZ223">
        <f t="shared" ca="1" si="163"/>
        <v>0</v>
      </c>
      <c r="CA223">
        <f t="shared" ca="1" si="164"/>
        <v>0</v>
      </c>
    </row>
    <row r="224" spans="1:79" x14ac:dyDescent="0.4">
      <c r="A224" t="str">
        <f t="shared" si="152"/>
        <v>X</v>
      </c>
      <c r="B224">
        <v>213</v>
      </c>
      <c r="C224" t="e" cm="1">
        <f t="array" ref="C224">INDEX(auto_Series_Code,B224)</f>
        <v>#REF!</v>
      </c>
      <c r="D224" t="e" cm="1">
        <f t="array" ref="D224">INDEX(auto_tblSeries,$B224,D$11)</f>
        <v>#REF!</v>
      </c>
      <c r="E224" t="e" cm="1">
        <f t="array" ref="E224">INDEX(auto_tblSeries,$B224,E$11)</f>
        <v>#REF!</v>
      </c>
      <c r="F224" t="e" cm="1">
        <f t="array" ref="F224">INDEX(auto_tblSeries,$B224,F$11)</f>
        <v>#REF!</v>
      </c>
      <c r="G224" t="e" cm="1">
        <f t="array" ref="G224">INDEX(auto_tblSeries,$B224,G$11)</f>
        <v>#REF!</v>
      </c>
      <c r="H224" t="e" cm="1">
        <f t="array" ref="H224">INDEX(auto_tblSeries,$B224,H$11)</f>
        <v>#REF!</v>
      </c>
      <c r="I224" t="e">
        <f t="shared" si="70"/>
        <v>#REF!</v>
      </c>
      <c r="K224" t="e" cm="1">
        <f t="array" ref="K224">INDEX(auto_DataFlat_Score,$I224,K$10)</f>
        <v>#REF!</v>
      </c>
      <c r="L224" t="e" cm="1">
        <f t="array" ref="L224">INDEX(auto_DataFlat_Rank,$I224,L$10)</f>
        <v>#REF!</v>
      </c>
      <c r="M224" t="e" cm="1">
        <f t="array" ref="M224">INDEX(auto_DataFlat_DataValue,$I224,M$10)</f>
        <v>#REF!</v>
      </c>
      <c r="N224" t="e" cm="1">
        <f t="array" ref="N224">INDEX(auto_DataFlat_Classification,$I224,M$10)</f>
        <v>#REF!</v>
      </c>
      <c r="O224" t="e" cm="1">
        <f t="array" ref="O224">INDEX(auto_DataFlat_IsEstimate,$I224,O$10)</f>
        <v>#REF!</v>
      </c>
      <c r="P224" t="e" cm="1">
        <f t="array" ref="P224">IF(INDEX(auto_DataFlat_DataYear,$I224,P$10)=0,"n/a",INDEX(auto_DataFlat_DataYear,$I224,P$10))</f>
        <v>#REF!</v>
      </c>
      <c r="R224" t="e">
        <f t="shared" si="161"/>
        <v>#REF!</v>
      </c>
      <c r="S224" t="e" cm="1">
        <f t="array" ref="S224">INDEX(auto_DataFlat_Score,$R224,S$10)</f>
        <v>#REF!</v>
      </c>
      <c r="U224" t="str">
        <f t="shared" si="165"/>
        <v>n/a</v>
      </c>
      <c r="V224">
        <f t="shared" si="166"/>
        <v>1</v>
      </c>
      <c r="W224" t="e">
        <f t="shared" si="167"/>
        <v>#REF!</v>
      </c>
      <c r="X224" t="e">
        <f t="shared" ca="1" si="195"/>
        <v>#N/A</v>
      </c>
      <c r="Y224" t="e">
        <f t="shared" ca="1" si="195"/>
        <v>#N/A</v>
      </c>
      <c r="Z224" t="e">
        <f t="shared" ca="1" si="195"/>
        <v>#N/A</v>
      </c>
      <c r="AB224">
        <f t="shared" ca="1" si="156"/>
        <v>0</v>
      </c>
      <c r="AC224">
        <f t="shared" ca="1" si="156"/>
        <v>0</v>
      </c>
      <c r="AD224">
        <f t="shared" ca="1" si="156"/>
        <v>0</v>
      </c>
      <c r="AF224" t="e">
        <f t="shared" si="169"/>
        <v>#REF!</v>
      </c>
      <c r="AG224" t="e">
        <f t="shared" ca="1" si="196"/>
        <v>#N/A</v>
      </c>
      <c r="AH224" t="e">
        <f t="shared" ca="1" si="196"/>
        <v>#N/A</v>
      </c>
      <c r="AI224" t="e">
        <f t="shared" ca="1" si="196"/>
        <v>#N/A</v>
      </c>
      <c r="AJ224" t="e">
        <f t="shared" ca="1" si="196"/>
        <v>#N/A</v>
      </c>
      <c r="AK224" t="e">
        <f t="shared" ca="1" si="196"/>
        <v>#N/A</v>
      </c>
      <c r="AL224" t="e">
        <f t="shared" ca="1" si="196"/>
        <v>#N/A</v>
      </c>
      <c r="AM224" t="e">
        <f t="shared" ca="1" si="196"/>
        <v>#N/A</v>
      </c>
      <c r="AN224">
        <f t="shared" ca="1" si="171"/>
        <v>0</v>
      </c>
      <c r="AO224">
        <f t="shared" ca="1" si="172"/>
        <v>0</v>
      </c>
      <c r="AP224">
        <f t="shared" ca="1" si="173"/>
        <v>0</v>
      </c>
      <c r="AQ224">
        <f t="shared" ca="1" si="174"/>
        <v>0</v>
      </c>
      <c r="AR224">
        <f t="shared" ca="1" si="175"/>
        <v>0</v>
      </c>
      <c r="AS224">
        <f t="shared" ca="1" si="176"/>
        <v>0</v>
      </c>
      <c r="AT224">
        <f t="shared" ca="1" si="177"/>
        <v>0</v>
      </c>
      <c r="AV224" t="e">
        <f t="shared" si="6"/>
        <v>#REF!</v>
      </c>
      <c r="AW224" t="e" cm="1">
        <f t="array" ref="AW224">INDEX(auto_DataFlat_Score,$AV224,1)</f>
        <v>#REF!</v>
      </c>
      <c r="AX224" t="e" cm="1">
        <f t="array" ref="AX224">INDEX(auto_DataFlat_DataValue,$AV224,1)</f>
        <v>#REF!</v>
      </c>
      <c r="BA224" t="str">
        <f t="shared" si="178"/>
        <v>n/a</v>
      </c>
      <c r="BB224">
        <f t="shared" si="179"/>
        <v>1</v>
      </c>
      <c r="BC224" t="e">
        <f t="shared" si="180"/>
        <v>#REF!</v>
      </c>
      <c r="BD224" t="e">
        <f t="shared" ca="1" si="194"/>
        <v>#N/A</v>
      </c>
      <c r="BE224" t="e">
        <f t="shared" ca="1" si="194"/>
        <v>#N/A</v>
      </c>
      <c r="BF224" t="e">
        <f t="shared" ca="1" si="194"/>
        <v>#N/A</v>
      </c>
      <c r="BH224">
        <f t="shared" ca="1" si="157"/>
        <v>0</v>
      </c>
      <c r="BI224">
        <f t="shared" ca="1" si="157"/>
        <v>0</v>
      </c>
      <c r="BJ224">
        <f t="shared" ca="1" si="157"/>
        <v>0</v>
      </c>
      <c r="BM224" t="e">
        <f t="shared" si="181"/>
        <v>#REF!</v>
      </c>
      <c r="BN224" t="e">
        <f t="shared" ca="1" si="182"/>
        <v>#N/A</v>
      </c>
      <c r="BO224" t="e">
        <f t="shared" ca="1" si="183"/>
        <v>#N/A</v>
      </c>
      <c r="BP224" t="e">
        <f t="shared" ca="1" si="184"/>
        <v>#N/A</v>
      </c>
      <c r="BQ224" t="e">
        <f t="shared" ca="1" si="185"/>
        <v>#N/A</v>
      </c>
      <c r="BR224" t="e">
        <f t="shared" ca="1" si="186"/>
        <v>#N/A</v>
      </c>
      <c r="BS224" t="e">
        <f t="shared" ca="1" si="187"/>
        <v>#N/A</v>
      </c>
      <c r="BT224" t="e">
        <f t="shared" ca="1" si="188"/>
        <v>#N/A</v>
      </c>
      <c r="BU224">
        <f t="shared" ca="1" si="189"/>
        <v>0</v>
      </c>
      <c r="BV224">
        <f t="shared" ca="1" si="190"/>
        <v>0</v>
      </c>
      <c r="BW224">
        <f t="shared" ca="1" si="191"/>
        <v>0</v>
      </c>
      <c r="BX224">
        <f t="shared" ca="1" si="192"/>
        <v>0</v>
      </c>
      <c r="BY224">
        <f t="shared" ca="1" si="193"/>
        <v>0</v>
      </c>
      <c r="BZ224">
        <f t="shared" ca="1" si="163"/>
        <v>0</v>
      </c>
      <c r="CA224">
        <f t="shared" ca="1" si="164"/>
        <v>0</v>
      </c>
    </row>
    <row r="225" spans="1:79" x14ac:dyDescent="0.4">
      <c r="A225" t="str">
        <f t="shared" si="152"/>
        <v>X</v>
      </c>
      <c r="B225">
        <v>214</v>
      </c>
      <c r="C225" t="e" cm="1">
        <f t="array" ref="C225">INDEX(auto_Series_Code,B225)</f>
        <v>#REF!</v>
      </c>
      <c r="D225" t="e" cm="1">
        <f t="array" ref="D225">INDEX(auto_tblSeries,$B225,D$11)</f>
        <v>#REF!</v>
      </c>
      <c r="E225" t="e" cm="1">
        <f t="array" ref="E225">INDEX(auto_tblSeries,$B225,E$11)</f>
        <v>#REF!</v>
      </c>
      <c r="F225" t="e" cm="1">
        <f t="array" ref="F225">INDEX(auto_tblSeries,$B225,F$11)</f>
        <v>#REF!</v>
      </c>
      <c r="G225" t="e" cm="1">
        <f t="array" ref="G225">INDEX(auto_tblSeries,$B225,G$11)</f>
        <v>#REF!</v>
      </c>
      <c r="H225" t="e" cm="1">
        <f t="array" ref="H225">INDEX(auto_tblSeries,$B225,H$11)</f>
        <v>#REF!</v>
      </c>
      <c r="I225" t="e">
        <f t="shared" si="70"/>
        <v>#REF!</v>
      </c>
      <c r="K225" t="e" cm="1">
        <f t="array" ref="K225">INDEX(auto_DataFlat_Score,$I225,K$10)</f>
        <v>#REF!</v>
      </c>
      <c r="L225" t="e" cm="1">
        <f t="array" ref="L225">INDEX(auto_DataFlat_Rank,$I225,L$10)</f>
        <v>#REF!</v>
      </c>
      <c r="M225" t="e" cm="1">
        <f t="array" ref="M225">INDEX(auto_DataFlat_DataValue,$I225,M$10)</f>
        <v>#REF!</v>
      </c>
      <c r="N225" t="e" cm="1">
        <f t="array" ref="N225">INDEX(auto_DataFlat_Classification,$I225,M$10)</f>
        <v>#REF!</v>
      </c>
      <c r="O225" t="e" cm="1">
        <f t="array" ref="O225">INDEX(auto_DataFlat_IsEstimate,$I225,O$10)</f>
        <v>#REF!</v>
      </c>
      <c r="P225" t="e" cm="1">
        <f t="array" ref="P225">IF(INDEX(auto_DataFlat_DataYear,$I225,P$10)=0,"n/a",INDEX(auto_DataFlat_DataYear,$I225,P$10))</f>
        <v>#REF!</v>
      </c>
      <c r="R225" t="e">
        <f t="shared" si="161"/>
        <v>#REF!</v>
      </c>
      <c r="S225" t="e" cm="1">
        <f t="array" ref="S225">INDEX(auto_DataFlat_Score,$R225,S$10)</f>
        <v>#REF!</v>
      </c>
      <c r="U225" t="str">
        <f t="shared" si="165"/>
        <v>n/a</v>
      </c>
      <c r="V225">
        <f t="shared" si="166"/>
        <v>1</v>
      </c>
      <c r="W225" t="e">
        <f t="shared" si="167"/>
        <v>#REF!</v>
      </c>
      <c r="X225" t="e">
        <f t="shared" ca="1" si="195"/>
        <v>#N/A</v>
      </c>
      <c r="Y225" t="e">
        <f t="shared" ca="1" si="195"/>
        <v>#N/A</v>
      </c>
      <c r="Z225" t="e">
        <f t="shared" ca="1" si="195"/>
        <v>#N/A</v>
      </c>
      <c r="AB225">
        <f t="shared" ca="1" si="156"/>
        <v>0</v>
      </c>
      <c r="AC225">
        <f t="shared" ca="1" si="156"/>
        <v>0</v>
      </c>
      <c r="AD225">
        <f t="shared" ca="1" si="156"/>
        <v>0</v>
      </c>
      <c r="AF225" t="e">
        <f t="shared" si="169"/>
        <v>#REF!</v>
      </c>
      <c r="AG225" t="e">
        <f t="shared" ca="1" si="196"/>
        <v>#N/A</v>
      </c>
      <c r="AH225" t="e">
        <f t="shared" ca="1" si="196"/>
        <v>#N/A</v>
      </c>
      <c r="AI225" t="e">
        <f t="shared" ca="1" si="196"/>
        <v>#N/A</v>
      </c>
      <c r="AJ225" t="e">
        <f t="shared" ca="1" si="196"/>
        <v>#N/A</v>
      </c>
      <c r="AK225" t="e">
        <f t="shared" ca="1" si="196"/>
        <v>#N/A</v>
      </c>
      <c r="AL225" t="e">
        <f t="shared" ca="1" si="196"/>
        <v>#N/A</v>
      </c>
      <c r="AM225" t="e">
        <f t="shared" ca="1" si="196"/>
        <v>#N/A</v>
      </c>
      <c r="AN225">
        <f t="shared" ca="1" si="171"/>
        <v>0</v>
      </c>
      <c r="AO225">
        <f t="shared" ca="1" si="172"/>
        <v>0</v>
      </c>
      <c r="AP225">
        <f t="shared" ca="1" si="173"/>
        <v>0</v>
      </c>
      <c r="AQ225">
        <f t="shared" ca="1" si="174"/>
        <v>0</v>
      </c>
      <c r="AR225">
        <f t="shared" ca="1" si="175"/>
        <v>0</v>
      </c>
      <c r="AS225">
        <f t="shared" ca="1" si="176"/>
        <v>0</v>
      </c>
      <c r="AT225">
        <f t="shared" ca="1" si="177"/>
        <v>0</v>
      </c>
      <c r="AV225" t="e">
        <f t="shared" si="6"/>
        <v>#REF!</v>
      </c>
      <c r="AW225" t="e" cm="1">
        <f t="array" ref="AW225">INDEX(auto_DataFlat_Score,$AV225,1)</f>
        <v>#REF!</v>
      </c>
      <c r="AX225" t="e" cm="1">
        <f t="array" ref="AX225">INDEX(auto_DataFlat_DataValue,$AV225,1)</f>
        <v>#REF!</v>
      </c>
      <c r="BA225" t="str">
        <f t="shared" si="178"/>
        <v>n/a</v>
      </c>
      <c r="BB225">
        <f t="shared" si="179"/>
        <v>1</v>
      </c>
      <c r="BC225" t="e">
        <f t="shared" si="180"/>
        <v>#REF!</v>
      </c>
      <c r="BD225" t="e">
        <f t="shared" ca="1" si="194"/>
        <v>#N/A</v>
      </c>
      <c r="BE225" t="e">
        <f t="shared" ca="1" si="194"/>
        <v>#N/A</v>
      </c>
      <c r="BF225" t="e">
        <f t="shared" ca="1" si="194"/>
        <v>#N/A</v>
      </c>
      <c r="BH225">
        <f t="shared" ca="1" si="157"/>
        <v>0</v>
      </c>
      <c r="BI225">
        <f t="shared" ca="1" si="157"/>
        <v>0</v>
      </c>
      <c r="BJ225">
        <f t="shared" ca="1" si="157"/>
        <v>0</v>
      </c>
      <c r="BM225" t="e">
        <f t="shared" si="181"/>
        <v>#REF!</v>
      </c>
      <c r="BN225" t="e">
        <f t="shared" ca="1" si="182"/>
        <v>#N/A</v>
      </c>
      <c r="BO225" t="e">
        <f t="shared" ca="1" si="183"/>
        <v>#N/A</v>
      </c>
      <c r="BP225" t="e">
        <f t="shared" ca="1" si="184"/>
        <v>#N/A</v>
      </c>
      <c r="BQ225" t="e">
        <f t="shared" ca="1" si="185"/>
        <v>#N/A</v>
      </c>
      <c r="BR225" t="e">
        <f t="shared" ca="1" si="186"/>
        <v>#N/A</v>
      </c>
      <c r="BS225" t="e">
        <f t="shared" ca="1" si="187"/>
        <v>#N/A</v>
      </c>
      <c r="BT225" t="e">
        <f t="shared" ca="1" si="188"/>
        <v>#N/A</v>
      </c>
      <c r="BU225">
        <f t="shared" ca="1" si="189"/>
        <v>0</v>
      </c>
      <c r="BV225">
        <f t="shared" ca="1" si="190"/>
        <v>0</v>
      </c>
      <c r="BW225">
        <f t="shared" ca="1" si="191"/>
        <v>0</v>
      </c>
      <c r="BX225">
        <f t="shared" ca="1" si="192"/>
        <v>0</v>
      </c>
      <c r="BY225">
        <f t="shared" ca="1" si="193"/>
        <v>0</v>
      </c>
      <c r="BZ225">
        <f t="shared" ca="1" si="163"/>
        <v>0</v>
      </c>
      <c r="CA225">
        <f t="shared" ca="1" si="164"/>
        <v>0</v>
      </c>
    </row>
    <row r="226" spans="1:79" x14ac:dyDescent="0.4">
      <c r="A226" t="str">
        <f t="shared" si="152"/>
        <v>X</v>
      </c>
      <c r="B226">
        <v>215</v>
      </c>
      <c r="C226" t="e" cm="1">
        <f t="array" ref="C226">INDEX(auto_Series_Code,B226)</f>
        <v>#REF!</v>
      </c>
      <c r="D226" t="e" cm="1">
        <f t="array" ref="D226">INDEX(auto_tblSeries,$B226,D$11)</f>
        <v>#REF!</v>
      </c>
      <c r="E226" t="e" cm="1">
        <f t="array" ref="E226">INDEX(auto_tblSeries,$B226,E$11)</f>
        <v>#REF!</v>
      </c>
      <c r="F226" t="e" cm="1">
        <f t="array" ref="F226">INDEX(auto_tblSeries,$B226,F$11)</f>
        <v>#REF!</v>
      </c>
      <c r="G226" t="e" cm="1">
        <f t="array" ref="G226">INDEX(auto_tblSeries,$B226,G$11)</f>
        <v>#REF!</v>
      </c>
      <c r="H226" t="e" cm="1">
        <f t="array" ref="H226">INDEX(auto_tblSeries,$B226,H$11)</f>
        <v>#REF!</v>
      </c>
      <c r="I226" t="e">
        <f t="shared" si="70"/>
        <v>#REF!</v>
      </c>
      <c r="K226" t="e" cm="1">
        <f t="array" ref="K226">INDEX(auto_DataFlat_Score,$I226,K$10)</f>
        <v>#REF!</v>
      </c>
      <c r="L226" t="e" cm="1">
        <f t="array" ref="L226">INDEX(auto_DataFlat_Rank,$I226,L$10)</f>
        <v>#REF!</v>
      </c>
      <c r="M226" t="e" cm="1">
        <f t="array" ref="M226">INDEX(auto_DataFlat_DataValue,$I226,M$10)</f>
        <v>#REF!</v>
      </c>
      <c r="N226" t="e" cm="1">
        <f t="array" ref="N226">INDEX(auto_DataFlat_Classification,$I226,M$10)</f>
        <v>#REF!</v>
      </c>
      <c r="O226" t="e" cm="1">
        <f t="array" ref="O226">INDEX(auto_DataFlat_IsEstimate,$I226,O$10)</f>
        <v>#REF!</v>
      </c>
      <c r="P226" t="e" cm="1">
        <f t="array" ref="P226">IF(INDEX(auto_DataFlat_DataYear,$I226,P$10)=0,"n/a",INDEX(auto_DataFlat_DataYear,$I226,P$10))</f>
        <v>#REF!</v>
      </c>
      <c r="R226" t="e">
        <f t="shared" si="161"/>
        <v>#REF!</v>
      </c>
      <c r="S226" t="e" cm="1">
        <f t="array" ref="S226">INDEX(auto_DataFlat_Score,$R226,S$10)</f>
        <v>#REF!</v>
      </c>
      <c r="U226" t="str">
        <f t="shared" si="165"/>
        <v>n/a</v>
      </c>
      <c r="V226">
        <f t="shared" si="166"/>
        <v>1</v>
      </c>
      <c r="W226" t="e">
        <f t="shared" si="167"/>
        <v>#REF!</v>
      </c>
      <c r="X226" t="e">
        <f t="shared" ca="1" si="195"/>
        <v>#N/A</v>
      </c>
      <c r="Y226" t="e">
        <f t="shared" ca="1" si="195"/>
        <v>#N/A</v>
      </c>
      <c r="Z226" t="e">
        <f t="shared" ca="1" si="195"/>
        <v>#N/A</v>
      </c>
      <c r="AB226">
        <f t="shared" ca="1" si="156"/>
        <v>0</v>
      </c>
      <c r="AC226">
        <f t="shared" ca="1" si="156"/>
        <v>0</v>
      </c>
      <c r="AD226">
        <f t="shared" ca="1" si="156"/>
        <v>0</v>
      </c>
      <c r="AF226" t="e">
        <f t="shared" si="169"/>
        <v>#REF!</v>
      </c>
      <c r="AG226" t="e">
        <f t="shared" ca="1" si="196"/>
        <v>#N/A</v>
      </c>
      <c r="AH226" t="e">
        <f t="shared" ca="1" si="196"/>
        <v>#N/A</v>
      </c>
      <c r="AI226" t="e">
        <f t="shared" ca="1" si="196"/>
        <v>#N/A</v>
      </c>
      <c r="AJ226" t="e">
        <f t="shared" ca="1" si="196"/>
        <v>#N/A</v>
      </c>
      <c r="AK226" t="e">
        <f t="shared" ca="1" si="196"/>
        <v>#N/A</v>
      </c>
      <c r="AL226" t="e">
        <f t="shared" ca="1" si="196"/>
        <v>#N/A</v>
      </c>
      <c r="AM226" t="e">
        <f t="shared" ca="1" si="196"/>
        <v>#N/A</v>
      </c>
      <c r="AN226">
        <f t="shared" ca="1" si="171"/>
        <v>0</v>
      </c>
      <c r="AO226">
        <f t="shared" ca="1" si="172"/>
        <v>0</v>
      </c>
      <c r="AP226">
        <f t="shared" ca="1" si="173"/>
        <v>0</v>
      </c>
      <c r="AQ226">
        <f t="shared" ca="1" si="174"/>
        <v>0</v>
      </c>
      <c r="AR226">
        <f t="shared" ca="1" si="175"/>
        <v>0</v>
      </c>
      <c r="AS226">
        <f t="shared" ca="1" si="176"/>
        <v>0</v>
      </c>
      <c r="AT226">
        <f t="shared" ca="1" si="177"/>
        <v>0</v>
      </c>
      <c r="AV226" t="e">
        <f t="shared" si="6"/>
        <v>#REF!</v>
      </c>
      <c r="AW226" t="e" cm="1">
        <f t="array" ref="AW226">INDEX(auto_DataFlat_Score,$AV226,1)</f>
        <v>#REF!</v>
      </c>
      <c r="AX226" t="e" cm="1">
        <f t="array" ref="AX226">INDEX(auto_DataFlat_DataValue,$AV226,1)</f>
        <v>#REF!</v>
      </c>
      <c r="BA226" t="str">
        <f t="shared" si="178"/>
        <v>n/a</v>
      </c>
      <c r="BB226">
        <f t="shared" si="179"/>
        <v>1</v>
      </c>
      <c r="BC226" t="e">
        <f t="shared" si="180"/>
        <v>#REF!</v>
      </c>
      <c r="BD226" t="e">
        <f t="shared" ca="1" si="194"/>
        <v>#N/A</v>
      </c>
      <c r="BE226" t="e">
        <f t="shared" ca="1" si="194"/>
        <v>#N/A</v>
      </c>
      <c r="BF226" t="e">
        <f t="shared" ca="1" si="194"/>
        <v>#N/A</v>
      </c>
      <c r="BH226">
        <f t="shared" ca="1" si="157"/>
        <v>0</v>
      </c>
      <c r="BI226">
        <f t="shared" ca="1" si="157"/>
        <v>0</v>
      </c>
      <c r="BJ226">
        <f t="shared" ca="1" si="157"/>
        <v>0</v>
      </c>
      <c r="BM226" t="e">
        <f t="shared" si="181"/>
        <v>#REF!</v>
      </c>
      <c r="BN226" t="e">
        <f t="shared" ca="1" si="182"/>
        <v>#N/A</v>
      </c>
      <c r="BO226" t="e">
        <f t="shared" ca="1" si="183"/>
        <v>#N/A</v>
      </c>
      <c r="BP226" t="e">
        <f t="shared" ca="1" si="184"/>
        <v>#N/A</v>
      </c>
      <c r="BQ226" t="e">
        <f t="shared" ca="1" si="185"/>
        <v>#N/A</v>
      </c>
      <c r="BR226" t="e">
        <f t="shared" ca="1" si="186"/>
        <v>#N/A</v>
      </c>
      <c r="BS226" t="e">
        <f t="shared" ca="1" si="187"/>
        <v>#N/A</v>
      </c>
      <c r="BT226" t="e">
        <f t="shared" ca="1" si="188"/>
        <v>#N/A</v>
      </c>
      <c r="BU226">
        <f t="shared" ca="1" si="189"/>
        <v>0</v>
      </c>
      <c r="BV226">
        <f t="shared" ca="1" si="190"/>
        <v>0</v>
      </c>
      <c r="BW226">
        <f t="shared" ca="1" si="191"/>
        <v>0</v>
      </c>
      <c r="BX226">
        <f t="shared" ca="1" si="192"/>
        <v>0</v>
      </c>
      <c r="BY226">
        <f t="shared" ca="1" si="193"/>
        <v>0</v>
      </c>
      <c r="BZ226">
        <f t="shared" ca="1" si="163"/>
        <v>0</v>
      </c>
      <c r="CA226">
        <f t="shared" ca="1" si="164"/>
        <v>0</v>
      </c>
    </row>
    <row r="227" spans="1:79" x14ac:dyDescent="0.4">
      <c r="A227" t="str">
        <f t="shared" si="152"/>
        <v>X</v>
      </c>
      <c r="B227">
        <v>216</v>
      </c>
      <c r="C227" t="e" cm="1">
        <f t="array" ref="C227">INDEX(auto_Series_Code,B227)</f>
        <v>#REF!</v>
      </c>
      <c r="D227" t="e" cm="1">
        <f t="array" ref="D227">INDEX(auto_tblSeries,$B227,D$11)</f>
        <v>#REF!</v>
      </c>
      <c r="E227" t="e" cm="1">
        <f t="array" ref="E227">INDEX(auto_tblSeries,$B227,E$11)</f>
        <v>#REF!</v>
      </c>
      <c r="F227" t="e" cm="1">
        <f t="array" ref="F227">INDEX(auto_tblSeries,$B227,F$11)</f>
        <v>#REF!</v>
      </c>
      <c r="G227" t="e" cm="1">
        <f t="array" ref="G227">INDEX(auto_tblSeries,$B227,G$11)</f>
        <v>#REF!</v>
      </c>
      <c r="H227" t="e" cm="1">
        <f t="array" ref="H227">INDEX(auto_tblSeries,$B227,H$11)</f>
        <v>#REF!</v>
      </c>
      <c r="I227" t="e">
        <f t="shared" si="70"/>
        <v>#REF!</v>
      </c>
      <c r="K227" t="e" cm="1">
        <f t="array" ref="K227">INDEX(auto_DataFlat_Score,$I227,K$10)</f>
        <v>#REF!</v>
      </c>
      <c r="L227" t="e" cm="1">
        <f t="array" ref="L227">INDEX(auto_DataFlat_Rank,$I227,L$10)</f>
        <v>#REF!</v>
      </c>
      <c r="M227" t="e" cm="1">
        <f t="array" ref="M227">INDEX(auto_DataFlat_DataValue,$I227,M$10)</f>
        <v>#REF!</v>
      </c>
      <c r="N227" t="e" cm="1">
        <f t="array" ref="N227">INDEX(auto_DataFlat_Classification,$I227,M$10)</f>
        <v>#REF!</v>
      </c>
      <c r="O227" t="e" cm="1">
        <f t="array" ref="O227">INDEX(auto_DataFlat_IsEstimate,$I227,O$10)</f>
        <v>#REF!</v>
      </c>
      <c r="P227" t="e" cm="1">
        <f t="array" ref="P227">IF(INDEX(auto_DataFlat_DataYear,$I227,P$10)=0,"n/a",INDEX(auto_DataFlat_DataYear,$I227,P$10))</f>
        <v>#REF!</v>
      </c>
      <c r="R227" t="e">
        <f t="shared" si="161"/>
        <v>#REF!</v>
      </c>
      <c r="S227" t="e" cm="1">
        <f t="array" ref="S227">INDEX(auto_DataFlat_Score,$R227,S$10)</f>
        <v>#REF!</v>
      </c>
      <c r="U227" t="str">
        <f t="shared" si="165"/>
        <v>n/a</v>
      </c>
      <c r="V227">
        <f t="shared" si="166"/>
        <v>1</v>
      </c>
      <c r="W227" t="e">
        <f t="shared" si="167"/>
        <v>#REF!</v>
      </c>
      <c r="X227" t="e">
        <f t="shared" ca="1" si="195"/>
        <v>#N/A</v>
      </c>
      <c r="Y227" t="e">
        <f t="shared" ca="1" si="195"/>
        <v>#N/A</v>
      </c>
      <c r="Z227" t="e">
        <f t="shared" ca="1" si="195"/>
        <v>#N/A</v>
      </c>
      <c r="AB227">
        <f t="shared" ca="1" si="156"/>
        <v>0</v>
      </c>
      <c r="AC227">
        <f t="shared" ca="1" si="156"/>
        <v>0</v>
      </c>
      <c r="AD227">
        <f t="shared" ca="1" si="156"/>
        <v>0</v>
      </c>
      <c r="AF227" t="e">
        <f t="shared" si="169"/>
        <v>#REF!</v>
      </c>
      <c r="AG227" t="e">
        <f t="shared" ca="1" si="196"/>
        <v>#N/A</v>
      </c>
      <c r="AH227" t="e">
        <f t="shared" ca="1" si="196"/>
        <v>#N/A</v>
      </c>
      <c r="AI227" t="e">
        <f t="shared" ca="1" si="196"/>
        <v>#N/A</v>
      </c>
      <c r="AJ227" t="e">
        <f t="shared" ca="1" si="196"/>
        <v>#N/A</v>
      </c>
      <c r="AK227" t="e">
        <f t="shared" ca="1" si="196"/>
        <v>#N/A</v>
      </c>
      <c r="AL227" t="e">
        <f t="shared" ca="1" si="196"/>
        <v>#N/A</v>
      </c>
      <c r="AM227" t="e">
        <f t="shared" ca="1" si="196"/>
        <v>#N/A</v>
      </c>
      <c r="AN227">
        <f t="shared" ca="1" si="171"/>
        <v>0</v>
      </c>
      <c r="AO227">
        <f t="shared" ca="1" si="172"/>
        <v>0</v>
      </c>
      <c r="AP227">
        <f t="shared" ca="1" si="173"/>
        <v>0</v>
      </c>
      <c r="AQ227">
        <f t="shared" ca="1" si="174"/>
        <v>0</v>
      </c>
      <c r="AR227">
        <f t="shared" ca="1" si="175"/>
        <v>0</v>
      </c>
      <c r="AS227">
        <f t="shared" ca="1" si="176"/>
        <v>0</v>
      </c>
      <c r="AT227">
        <f t="shared" ca="1" si="177"/>
        <v>0</v>
      </c>
      <c r="AV227" t="e">
        <f t="shared" si="6"/>
        <v>#REF!</v>
      </c>
      <c r="AW227" t="e" cm="1">
        <f t="array" ref="AW227">INDEX(auto_DataFlat_Score,$AV227,1)</f>
        <v>#REF!</v>
      </c>
      <c r="AX227" t="e" cm="1">
        <f t="array" ref="AX227">INDEX(auto_DataFlat_DataValue,$AV227,1)</f>
        <v>#REF!</v>
      </c>
      <c r="BA227" t="str">
        <f t="shared" si="178"/>
        <v>n/a</v>
      </c>
      <c r="BB227">
        <f t="shared" si="179"/>
        <v>1</v>
      </c>
      <c r="BC227" t="e">
        <f t="shared" si="180"/>
        <v>#REF!</v>
      </c>
      <c r="BD227" t="e">
        <f t="shared" ca="1" si="194"/>
        <v>#N/A</v>
      </c>
      <c r="BE227" t="e">
        <f t="shared" ca="1" si="194"/>
        <v>#N/A</v>
      </c>
      <c r="BF227" t="e">
        <f t="shared" ca="1" si="194"/>
        <v>#N/A</v>
      </c>
      <c r="BH227">
        <f t="shared" ca="1" si="157"/>
        <v>0</v>
      </c>
      <c r="BI227">
        <f t="shared" ca="1" si="157"/>
        <v>0</v>
      </c>
      <c r="BJ227">
        <f t="shared" ca="1" si="157"/>
        <v>0</v>
      </c>
      <c r="BM227" t="e">
        <f t="shared" si="181"/>
        <v>#REF!</v>
      </c>
      <c r="BN227" t="e">
        <f t="shared" ca="1" si="182"/>
        <v>#N/A</v>
      </c>
      <c r="BO227" t="e">
        <f t="shared" ca="1" si="183"/>
        <v>#N/A</v>
      </c>
      <c r="BP227" t="e">
        <f t="shared" ca="1" si="184"/>
        <v>#N/A</v>
      </c>
      <c r="BQ227" t="e">
        <f t="shared" ca="1" si="185"/>
        <v>#N/A</v>
      </c>
      <c r="BR227" t="e">
        <f t="shared" ca="1" si="186"/>
        <v>#N/A</v>
      </c>
      <c r="BS227" t="e">
        <f t="shared" ca="1" si="187"/>
        <v>#N/A</v>
      </c>
      <c r="BT227" t="e">
        <f t="shared" ca="1" si="188"/>
        <v>#N/A</v>
      </c>
      <c r="BU227">
        <f t="shared" ca="1" si="189"/>
        <v>0</v>
      </c>
      <c r="BV227">
        <f t="shared" ca="1" si="190"/>
        <v>0</v>
      </c>
      <c r="BW227">
        <f t="shared" ca="1" si="191"/>
        <v>0</v>
      </c>
      <c r="BX227">
        <f t="shared" ca="1" si="192"/>
        <v>0</v>
      </c>
      <c r="BY227">
        <f t="shared" ca="1" si="193"/>
        <v>0</v>
      </c>
      <c r="BZ227">
        <f t="shared" ca="1" si="163"/>
        <v>0</v>
      </c>
      <c r="CA227">
        <f t="shared" ca="1" si="164"/>
        <v>0</v>
      </c>
    </row>
    <row r="228" spans="1:79" x14ac:dyDescent="0.4">
      <c r="A228" t="str">
        <f t="shared" si="152"/>
        <v>X</v>
      </c>
      <c r="B228">
        <v>217</v>
      </c>
      <c r="C228" t="e" cm="1">
        <f t="array" ref="C228">INDEX(auto_Series_Code,B228)</f>
        <v>#REF!</v>
      </c>
      <c r="D228" t="e" cm="1">
        <f t="array" ref="D228">INDEX(auto_tblSeries,$B228,D$11)</f>
        <v>#REF!</v>
      </c>
      <c r="E228" t="e" cm="1">
        <f t="array" ref="E228">INDEX(auto_tblSeries,$B228,E$11)</f>
        <v>#REF!</v>
      </c>
      <c r="F228" t="e" cm="1">
        <f t="array" ref="F228">INDEX(auto_tblSeries,$B228,F$11)</f>
        <v>#REF!</v>
      </c>
      <c r="G228" t="e" cm="1">
        <f t="array" ref="G228">INDEX(auto_tblSeries,$B228,G$11)</f>
        <v>#REF!</v>
      </c>
      <c r="H228" t="e" cm="1">
        <f t="array" ref="H228">INDEX(auto_tblSeries,$B228,H$11)</f>
        <v>#REF!</v>
      </c>
      <c r="I228" t="e">
        <f t="shared" si="70"/>
        <v>#REF!</v>
      </c>
      <c r="K228" t="e" cm="1">
        <f t="array" ref="K228">INDEX(auto_DataFlat_Score,$I228,K$10)</f>
        <v>#REF!</v>
      </c>
      <c r="L228" t="e" cm="1">
        <f t="array" ref="L228">INDEX(auto_DataFlat_Rank,$I228,L$10)</f>
        <v>#REF!</v>
      </c>
      <c r="M228" t="e" cm="1">
        <f t="array" ref="M228">INDEX(auto_DataFlat_DataValue,$I228,M$10)</f>
        <v>#REF!</v>
      </c>
      <c r="N228" t="e" cm="1">
        <f t="array" ref="N228">INDEX(auto_DataFlat_Classification,$I228,M$10)</f>
        <v>#REF!</v>
      </c>
      <c r="O228" t="e" cm="1">
        <f t="array" ref="O228">INDEX(auto_DataFlat_IsEstimate,$I228,O$10)</f>
        <v>#REF!</v>
      </c>
      <c r="P228" t="e" cm="1">
        <f t="array" ref="P228">IF(INDEX(auto_DataFlat_DataYear,$I228,P$10)=0,"n/a",INDEX(auto_DataFlat_DataYear,$I228,P$10))</f>
        <v>#REF!</v>
      </c>
      <c r="R228" t="e">
        <f t="shared" si="161"/>
        <v>#REF!</v>
      </c>
      <c r="S228" t="e" cm="1">
        <f t="array" ref="S228">INDEX(auto_DataFlat_Score,$R228,S$10)</f>
        <v>#REF!</v>
      </c>
      <c r="U228" t="str">
        <f t="shared" si="165"/>
        <v>n/a</v>
      </c>
      <c r="V228">
        <f t="shared" si="166"/>
        <v>1</v>
      </c>
      <c r="W228" t="e">
        <f t="shared" si="167"/>
        <v>#REF!</v>
      </c>
      <c r="X228" t="e">
        <f t="shared" ca="1" si="195"/>
        <v>#N/A</v>
      </c>
      <c r="Y228" t="e">
        <f t="shared" ca="1" si="195"/>
        <v>#N/A</v>
      </c>
      <c r="Z228" t="e">
        <f t="shared" ca="1" si="195"/>
        <v>#N/A</v>
      </c>
      <c r="AB228">
        <f t="shared" ca="1" si="156"/>
        <v>0</v>
      </c>
      <c r="AC228">
        <f t="shared" ca="1" si="156"/>
        <v>0</v>
      </c>
      <c r="AD228">
        <f t="shared" ca="1" si="156"/>
        <v>0</v>
      </c>
      <c r="AF228" t="e">
        <f t="shared" si="169"/>
        <v>#REF!</v>
      </c>
      <c r="AG228" t="e">
        <f t="shared" ca="1" si="196"/>
        <v>#N/A</v>
      </c>
      <c r="AH228" t="e">
        <f t="shared" ca="1" si="196"/>
        <v>#N/A</v>
      </c>
      <c r="AI228" t="e">
        <f t="shared" ca="1" si="196"/>
        <v>#N/A</v>
      </c>
      <c r="AJ228" t="e">
        <f t="shared" ca="1" si="196"/>
        <v>#N/A</v>
      </c>
      <c r="AK228" t="e">
        <f t="shared" ca="1" si="196"/>
        <v>#N/A</v>
      </c>
      <c r="AL228" t="e">
        <f t="shared" ca="1" si="196"/>
        <v>#N/A</v>
      </c>
      <c r="AM228" t="e">
        <f t="shared" ca="1" si="196"/>
        <v>#N/A</v>
      </c>
      <c r="AN228">
        <f t="shared" ca="1" si="171"/>
        <v>0</v>
      </c>
      <c r="AO228">
        <f t="shared" ca="1" si="172"/>
        <v>0</v>
      </c>
      <c r="AP228">
        <f t="shared" ca="1" si="173"/>
        <v>0</v>
      </c>
      <c r="AQ228">
        <f t="shared" ca="1" si="174"/>
        <v>0</v>
      </c>
      <c r="AR228">
        <f t="shared" ca="1" si="175"/>
        <v>0</v>
      </c>
      <c r="AS228">
        <f t="shared" ca="1" si="176"/>
        <v>0</v>
      </c>
      <c r="AT228">
        <f t="shared" ca="1" si="177"/>
        <v>0</v>
      </c>
      <c r="AV228" t="e">
        <f t="shared" si="6"/>
        <v>#REF!</v>
      </c>
      <c r="AW228" t="e" cm="1">
        <f t="array" ref="AW228">INDEX(auto_DataFlat_Score,$AV228,1)</f>
        <v>#REF!</v>
      </c>
      <c r="AX228" t="e" cm="1">
        <f t="array" ref="AX228">INDEX(auto_DataFlat_DataValue,$AV228,1)</f>
        <v>#REF!</v>
      </c>
      <c r="BA228" t="str">
        <f t="shared" si="178"/>
        <v>n/a</v>
      </c>
      <c r="BB228">
        <f t="shared" si="179"/>
        <v>1</v>
      </c>
      <c r="BC228" t="e">
        <f t="shared" si="180"/>
        <v>#REF!</v>
      </c>
      <c r="BD228" t="e">
        <f t="shared" ca="1" si="194"/>
        <v>#N/A</v>
      </c>
      <c r="BE228" t="e">
        <f t="shared" ca="1" si="194"/>
        <v>#N/A</v>
      </c>
      <c r="BF228" t="e">
        <f t="shared" ca="1" si="194"/>
        <v>#N/A</v>
      </c>
      <c r="BH228">
        <f t="shared" ca="1" si="157"/>
        <v>0</v>
      </c>
      <c r="BI228">
        <f t="shared" ca="1" si="157"/>
        <v>0</v>
      </c>
      <c r="BJ228">
        <f t="shared" ca="1" si="157"/>
        <v>0</v>
      </c>
      <c r="BM228" t="e">
        <f t="shared" si="181"/>
        <v>#REF!</v>
      </c>
      <c r="BN228" t="e">
        <f t="shared" ca="1" si="182"/>
        <v>#N/A</v>
      </c>
      <c r="BO228" t="e">
        <f t="shared" ca="1" si="183"/>
        <v>#N/A</v>
      </c>
      <c r="BP228" t="e">
        <f t="shared" ca="1" si="184"/>
        <v>#N/A</v>
      </c>
      <c r="BQ228" t="e">
        <f t="shared" ca="1" si="185"/>
        <v>#N/A</v>
      </c>
      <c r="BR228" t="e">
        <f t="shared" ca="1" si="186"/>
        <v>#N/A</v>
      </c>
      <c r="BS228" t="e">
        <f t="shared" ca="1" si="187"/>
        <v>#N/A</v>
      </c>
      <c r="BT228" t="e">
        <f t="shared" ca="1" si="188"/>
        <v>#N/A</v>
      </c>
      <c r="BU228">
        <f t="shared" ca="1" si="189"/>
        <v>0</v>
      </c>
      <c r="BV228">
        <f t="shared" ca="1" si="190"/>
        <v>0</v>
      </c>
      <c r="BW228">
        <f t="shared" ca="1" si="191"/>
        <v>0</v>
      </c>
      <c r="BX228">
        <f t="shared" ca="1" si="192"/>
        <v>0</v>
      </c>
      <c r="BY228">
        <f t="shared" ca="1" si="193"/>
        <v>0</v>
      </c>
      <c r="BZ228">
        <f t="shared" ca="1" si="163"/>
        <v>0</v>
      </c>
      <c r="CA228">
        <f t="shared" ca="1" si="164"/>
        <v>0</v>
      </c>
    </row>
    <row r="229" spans="1:79" x14ac:dyDescent="0.4">
      <c r="A229" t="str">
        <f t="shared" si="152"/>
        <v>X</v>
      </c>
      <c r="B229">
        <v>218</v>
      </c>
      <c r="C229" t="e" cm="1">
        <f t="array" ref="C229">INDEX(auto_Series_Code,B229)</f>
        <v>#REF!</v>
      </c>
      <c r="D229" t="e" cm="1">
        <f t="array" ref="D229">INDEX(auto_tblSeries,$B229,D$11)</f>
        <v>#REF!</v>
      </c>
      <c r="E229" t="e" cm="1">
        <f t="array" ref="E229">INDEX(auto_tblSeries,$B229,E$11)</f>
        <v>#REF!</v>
      </c>
      <c r="F229" t="e" cm="1">
        <f t="array" ref="F229">INDEX(auto_tblSeries,$B229,F$11)</f>
        <v>#REF!</v>
      </c>
      <c r="G229" t="e" cm="1">
        <f t="array" ref="G229">INDEX(auto_tblSeries,$B229,G$11)</f>
        <v>#REF!</v>
      </c>
      <c r="H229" t="e" cm="1">
        <f t="array" ref="H229">INDEX(auto_tblSeries,$B229,H$11)</f>
        <v>#REF!</v>
      </c>
      <c r="I229" t="e">
        <f t="shared" si="70"/>
        <v>#REF!</v>
      </c>
      <c r="K229" t="e" cm="1">
        <f t="array" ref="K229">INDEX(auto_DataFlat_Score,$I229,K$10)</f>
        <v>#REF!</v>
      </c>
      <c r="L229" t="e" cm="1">
        <f t="array" ref="L229">INDEX(auto_DataFlat_Rank,$I229,L$10)</f>
        <v>#REF!</v>
      </c>
      <c r="M229" t="e" cm="1">
        <f t="array" ref="M229">INDEX(auto_DataFlat_DataValue,$I229,M$10)</f>
        <v>#REF!</v>
      </c>
      <c r="N229" t="e" cm="1">
        <f t="array" ref="N229">INDEX(auto_DataFlat_Classification,$I229,M$10)</f>
        <v>#REF!</v>
      </c>
      <c r="O229" t="e" cm="1">
        <f t="array" ref="O229">INDEX(auto_DataFlat_IsEstimate,$I229,O$10)</f>
        <v>#REF!</v>
      </c>
      <c r="P229" t="e" cm="1">
        <f t="array" ref="P229">IF(INDEX(auto_DataFlat_DataYear,$I229,P$10)=0,"n/a",INDEX(auto_DataFlat_DataYear,$I229,P$10))</f>
        <v>#REF!</v>
      </c>
      <c r="R229" t="e">
        <f t="shared" si="161"/>
        <v>#REF!</v>
      </c>
      <c r="S229" t="e" cm="1">
        <f t="array" ref="S229">INDEX(auto_DataFlat_Score,$R229,S$10)</f>
        <v>#REF!</v>
      </c>
      <c r="U229" t="str">
        <f t="shared" si="165"/>
        <v>n/a</v>
      </c>
      <c r="V229">
        <f t="shared" si="166"/>
        <v>1</v>
      </c>
      <c r="W229" t="e">
        <f t="shared" si="167"/>
        <v>#REF!</v>
      </c>
      <c r="X229" t="e">
        <f t="shared" ca="1" si="195"/>
        <v>#N/A</v>
      </c>
      <c r="Y229" t="e">
        <f t="shared" ca="1" si="195"/>
        <v>#N/A</v>
      </c>
      <c r="Z229" t="e">
        <f t="shared" ca="1" si="195"/>
        <v>#N/A</v>
      </c>
      <c r="AB229">
        <f t="shared" ca="1" si="156"/>
        <v>0</v>
      </c>
      <c r="AC229">
        <f t="shared" ca="1" si="156"/>
        <v>0</v>
      </c>
      <c r="AD229">
        <f t="shared" ca="1" si="156"/>
        <v>0</v>
      </c>
      <c r="AF229" t="e">
        <f t="shared" si="169"/>
        <v>#REF!</v>
      </c>
      <c r="AG229" t="e">
        <f t="shared" ca="1" si="196"/>
        <v>#N/A</v>
      </c>
      <c r="AH229" t="e">
        <f t="shared" ca="1" si="196"/>
        <v>#N/A</v>
      </c>
      <c r="AI229" t="e">
        <f t="shared" ca="1" si="196"/>
        <v>#N/A</v>
      </c>
      <c r="AJ229" t="e">
        <f t="shared" ca="1" si="196"/>
        <v>#N/A</v>
      </c>
      <c r="AK229" t="e">
        <f t="shared" ca="1" si="196"/>
        <v>#N/A</v>
      </c>
      <c r="AL229" t="e">
        <f t="shared" ca="1" si="196"/>
        <v>#N/A</v>
      </c>
      <c r="AM229" t="e">
        <f t="shared" ca="1" si="196"/>
        <v>#N/A</v>
      </c>
      <c r="AN229">
        <f t="shared" ca="1" si="171"/>
        <v>0</v>
      </c>
      <c r="AO229">
        <f t="shared" ca="1" si="172"/>
        <v>0</v>
      </c>
      <c r="AP229">
        <f t="shared" ca="1" si="173"/>
        <v>0</v>
      </c>
      <c r="AQ229">
        <f t="shared" ca="1" si="174"/>
        <v>0</v>
      </c>
      <c r="AR229">
        <f t="shared" ca="1" si="175"/>
        <v>0</v>
      </c>
      <c r="AS229">
        <f t="shared" ca="1" si="176"/>
        <v>0</v>
      </c>
      <c r="AT229">
        <f t="shared" ca="1" si="177"/>
        <v>0</v>
      </c>
      <c r="AV229" t="e">
        <f t="shared" si="6"/>
        <v>#REF!</v>
      </c>
      <c r="AW229" t="e" cm="1">
        <f t="array" ref="AW229">INDEX(auto_DataFlat_Score,$AV229,1)</f>
        <v>#REF!</v>
      </c>
      <c r="AX229" t="e" cm="1">
        <f t="array" ref="AX229">INDEX(auto_DataFlat_DataValue,$AV229,1)</f>
        <v>#REF!</v>
      </c>
      <c r="BA229" t="str">
        <f t="shared" si="178"/>
        <v>n/a</v>
      </c>
      <c r="BB229">
        <f t="shared" si="179"/>
        <v>1</v>
      </c>
      <c r="BC229" t="e">
        <f t="shared" si="180"/>
        <v>#REF!</v>
      </c>
      <c r="BD229" t="e">
        <f t="shared" ca="1" si="194"/>
        <v>#N/A</v>
      </c>
      <c r="BE229" t="e">
        <f t="shared" ca="1" si="194"/>
        <v>#N/A</v>
      </c>
      <c r="BF229" t="e">
        <f t="shared" ca="1" si="194"/>
        <v>#N/A</v>
      </c>
      <c r="BH229">
        <f t="shared" ca="1" si="157"/>
        <v>0</v>
      </c>
      <c r="BI229">
        <f t="shared" ca="1" si="157"/>
        <v>0</v>
      </c>
      <c r="BJ229">
        <f t="shared" ca="1" si="157"/>
        <v>0</v>
      </c>
      <c r="BM229" t="e">
        <f t="shared" si="181"/>
        <v>#REF!</v>
      </c>
      <c r="BN229" t="e">
        <f t="shared" ca="1" si="182"/>
        <v>#N/A</v>
      </c>
      <c r="BO229" t="e">
        <f t="shared" ca="1" si="183"/>
        <v>#N/A</v>
      </c>
      <c r="BP229" t="e">
        <f t="shared" ca="1" si="184"/>
        <v>#N/A</v>
      </c>
      <c r="BQ229" t="e">
        <f t="shared" ca="1" si="185"/>
        <v>#N/A</v>
      </c>
      <c r="BR229" t="e">
        <f t="shared" ca="1" si="186"/>
        <v>#N/A</v>
      </c>
      <c r="BS229" t="e">
        <f t="shared" ca="1" si="187"/>
        <v>#N/A</v>
      </c>
      <c r="BT229" t="e">
        <f t="shared" ca="1" si="188"/>
        <v>#N/A</v>
      </c>
      <c r="BU229">
        <f t="shared" ca="1" si="189"/>
        <v>0</v>
      </c>
      <c r="BV229">
        <f t="shared" ca="1" si="190"/>
        <v>0</v>
      </c>
      <c r="BW229">
        <f t="shared" ca="1" si="191"/>
        <v>0</v>
      </c>
      <c r="BX229">
        <f t="shared" ca="1" si="192"/>
        <v>0</v>
      </c>
      <c r="BY229">
        <f t="shared" ca="1" si="193"/>
        <v>0</v>
      </c>
      <c r="BZ229">
        <f t="shared" ca="1" si="163"/>
        <v>0</v>
      </c>
      <c r="CA229">
        <f t="shared" ca="1" si="164"/>
        <v>0</v>
      </c>
    </row>
    <row r="230" spans="1:79" x14ac:dyDescent="0.4">
      <c r="A230" t="str">
        <f t="shared" si="152"/>
        <v>X</v>
      </c>
      <c r="B230">
        <v>219</v>
      </c>
      <c r="C230" t="e" cm="1">
        <f t="array" ref="C230">INDEX(auto_Series_Code,B230)</f>
        <v>#REF!</v>
      </c>
      <c r="D230" t="e" cm="1">
        <f t="array" ref="D230">INDEX(auto_tblSeries,$B230,D$11)</f>
        <v>#REF!</v>
      </c>
      <c r="E230" t="e" cm="1">
        <f t="array" ref="E230">INDEX(auto_tblSeries,$B230,E$11)</f>
        <v>#REF!</v>
      </c>
      <c r="F230" t="e" cm="1">
        <f t="array" ref="F230">INDEX(auto_tblSeries,$B230,F$11)</f>
        <v>#REF!</v>
      </c>
      <c r="G230" t="e" cm="1">
        <f t="array" ref="G230">INDEX(auto_tblSeries,$B230,G$11)</f>
        <v>#REF!</v>
      </c>
      <c r="H230" t="e" cm="1">
        <f t="array" ref="H230">INDEX(auto_tblSeries,$B230,H$11)</f>
        <v>#REF!</v>
      </c>
      <c r="I230" t="e">
        <f t="shared" si="70"/>
        <v>#REF!</v>
      </c>
      <c r="K230" t="e" cm="1">
        <f t="array" ref="K230">INDEX(auto_DataFlat_Score,$I230,K$10)</f>
        <v>#REF!</v>
      </c>
      <c r="L230" t="e" cm="1">
        <f t="array" ref="L230">INDEX(auto_DataFlat_Rank,$I230,L$10)</f>
        <v>#REF!</v>
      </c>
      <c r="M230" t="e" cm="1">
        <f t="array" ref="M230">INDEX(auto_DataFlat_DataValue,$I230,M$10)</f>
        <v>#REF!</v>
      </c>
      <c r="N230" t="e" cm="1">
        <f t="array" ref="N230">INDEX(auto_DataFlat_Classification,$I230,M$10)</f>
        <v>#REF!</v>
      </c>
      <c r="O230" t="e" cm="1">
        <f t="array" ref="O230">INDEX(auto_DataFlat_IsEstimate,$I230,O$10)</f>
        <v>#REF!</v>
      </c>
      <c r="P230" t="e" cm="1">
        <f t="array" ref="P230">IF(INDEX(auto_DataFlat_DataYear,$I230,P$10)=0,"n/a",INDEX(auto_DataFlat_DataYear,$I230,P$10))</f>
        <v>#REF!</v>
      </c>
      <c r="R230" t="e">
        <f t="shared" si="161"/>
        <v>#REF!</v>
      </c>
      <c r="S230" t="e" cm="1">
        <f t="array" ref="S230">INDEX(auto_DataFlat_Score,$R230,S$10)</f>
        <v>#REF!</v>
      </c>
      <c r="U230" t="str">
        <f t="shared" si="165"/>
        <v>n/a</v>
      </c>
      <c r="V230">
        <f t="shared" si="166"/>
        <v>1</v>
      </c>
      <c r="W230" t="e">
        <f t="shared" si="167"/>
        <v>#REF!</v>
      </c>
      <c r="X230" t="e">
        <f t="shared" ca="1" si="195"/>
        <v>#N/A</v>
      </c>
      <c r="Y230" t="e">
        <f t="shared" ca="1" si="195"/>
        <v>#N/A</v>
      </c>
      <c r="Z230" t="e">
        <f t="shared" ca="1" si="195"/>
        <v>#N/A</v>
      </c>
      <c r="AB230">
        <f t="shared" ca="1" si="156"/>
        <v>0</v>
      </c>
      <c r="AC230">
        <f t="shared" ca="1" si="156"/>
        <v>0</v>
      </c>
      <c r="AD230">
        <f t="shared" ca="1" si="156"/>
        <v>0</v>
      </c>
      <c r="AF230" t="e">
        <f t="shared" si="169"/>
        <v>#REF!</v>
      </c>
      <c r="AG230" t="e">
        <f t="shared" ca="1" si="196"/>
        <v>#N/A</v>
      </c>
      <c r="AH230" t="e">
        <f t="shared" ca="1" si="196"/>
        <v>#N/A</v>
      </c>
      <c r="AI230" t="e">
        <f t="shared" ca="1" si="196"/>
        <v>#N/A</v>
      </c>
      <c r="AJ230" t="e">
        <f t="shared" ca="1" si="196"/>
        <v>#N/A</v>
      </c>
      <c r="AK230" t="e">
        <f t="shared" ca="1" si="196"/>
        <v>#N/A</v>
      </c>
      <c r="AL230" t="e">
        <f t="shared" ca="1" si="196"/>
        <v>#N/A</v>
      </c>
      <c r="AM230" t="e">
        <f t="shared" ca="1" si="196"/>
        <v>#N/A</v>
      </c>
      <c r="AN230">
        <f t="shared" ca="1" si="171"/>
        <v>0</v>
      </c>
      <c r="AO230">
        <f t="shared" ca="1" si="172"/>
        <v>0</v>
      </c>
      <c r="AP230">
        <f t="shared" ca="1" si="173"/>
        <v>0</v>
      </c>
      <c r="AQ230">
        <f t="shared" ca="1" si="174"/>
        <v>0</v>
      </c>
      <c r="AR230">
        <f t="shared" ca="1" si="175"/>
        <v>0</v>
      </c>
      <c r="AS230">
        <f t="shared" ca="1" si="176"/>
        <v>0</v>
      </c>
      <c r="AT230">
        <f t="shared" ca="1" si="177"/>
        <v>0</v>
      </c>
      <c r="AV230" t="e">
        <f t="shared" si="6"/>
        <v>#REF!</v>
      </c>
      <c r="AW230" t="e" cm="1">
        <f t="array" ref="AW230">INDEX(auto_DataFlat_Score,$AV230,1)</f>
        <v>#REF!</v>
      </c>
      <c r="AX230" t="e" cm="1">
        <f t="array" ref="AX230">INDEX(auto_DataFlat_DataValue,$AV230,1)</f>
        <v>#REF!</v>
      </c>
      <c r="BA230" t="str">
        <f t="shared" si="178"/>
        <v>n/a</v>
      </c>
      <c r="BB230">
        <f t="shared" si="179"/>
        <v>1</v>
      </c>
      <c r="BC230" t="e">
        <f t="shared" si="180"/>
        <v>#REF!</v>
      </c>
      <c r="BD230" t="e">
        <f t="shared" ca="1" si="194"/>
        <v>#N/A</v>
      </c>
      <c r="BE230" t="e">
        <f t="shared" ca="1" si="194"/>
        <v>#N/A</v>
      </c>
      <c r="BF230" t="e">
        <f t="shared" ca="1" si="194"/>
        <v>#N/A</v>
      </c>
      <c r="BH230">
        <f t="shared" ca="1" si="157"/>
        <v>0</v>
      </c>
      <c r="BI230">
        <f t="shared" ca="1" si="157"/>
        <v>0</v>
      </c>
      <c r="BJ230">
        <f t="shared" ca="1" si="157"/>
        <v>0</v>
      </c>
      <c r="BM230" t="e">
        <f t="shared" si="181"/>
        <v>#REF!</v>
      </c>
      <c r="BN230" t="e">
        <f t="shared" ca="1" si="182"/>
        <v>#N/A</v>
      </c>
      <c r="BO230" t="e">
        <f t="shared" ca="1" si="183"/>
        <v>#N/A</v>
      </c>
      <c r="BP230" t="e">
        <f t="shared" ca="1" si="184"/>
        <v>#N/A</v>
      </c>
      <c r="BQ230" t="e">
        <f t="shared" ca="1" si="185"/>
        <v>#N/A</v>
      </c>
      <c r="BR230" t="e">
        <f t="shared" ca="1" si="186"/>
        <v>#N/A</v>
      </c>
      <c r="BS230" t="e">
        <f t="shared" ca="1" si="187"/>
        <v>#N/A</v>
      </c>
      <c r="BT230" t="e">
        <f t="shared" ca="1" si="188"/>
        <v>#N/A</v>
      </c>
      <c r="BU230">
        <f t="shared" ca="1" si="189"/>
        <v>0</v>
      </c>
      <c r="BV230">
        <f t="shared" ca="1" si="190"/>
        <v>0</v>
      </c>
      <c r="BW230">
        <f t="shared" ca="1" si="191"/>
        <v>0</v>
      </c>
      <c r="BX230">
        <f t="shared" ca="1" si="192"/>
        <v>0</v>
      </c>
      <c r="BY230">
        <f t="shared" ca="1" si="193"/>
        <v>0</v>
      </c>
      <c r="BZ230">
        <f t="shared" ca="1" si="163"/>
        <v>0</v>
      </c>
      <c r="CA230">
        <f t="shared" ca="1" si="164"/>
        <v>0</v>
      </c>
    </row>
    <row r="231" spans="1:79" x14ac:dyDescent="0.4">
      <c r="A231" t="str">
        <f t="shared" si="152"/>
        <v>X</v>
      </c>
      <c r="B231">
        <v>220</v>
      </c>
      <c r="C231" t="e" cm="1">
        <f t="array" ref="C231">INDEX(auto_Series_Code,B231)</f>
        <v>#REF!</v>
      </c>
      <c r="D231" t="e" cm="1">
        <f t="array" ref="D231">INDEX(auto_tblSeries,$B231,D$11)</f>
        <v>#REF!</v>
      </c>
      <c r="E231" t="e" cm="1">
        <f t="array" ref="E231">INDEX(auto_tblSeries,$B231,E$11)</f>
        <v>#REF!</v>
      </c>
      <c r="F231" t="e" cm="1">
        <f t="array" ref="F231">INDEX(auto_tblSeries,$B231,F$11)</f>
        <v>#REF!</v>
      </c>
      <c r="G231" t="e" cm="1">
        <f t="array" ref="G231">INDEX(auto_tblSeries,$B231,G$11)</f>
        <v>#REF!</v>
      </c>
      <c r="H231" t="e" cm="1">
        <f t="array" ref="H231">INDEX(auto_tblSeries,$B231,H$11)</f>
        <v>#REF!</v>
      </c>
      <c r="I231" t="e">
        <f t="shared" si="70"/>
        <v>#REF!</v>
      </c>
      <c r="K231" t="e" cm="1">
        <f t="array" ref="K231">INDEX(auto_DataFlat_Score,$I231,K$10)</f>
        <v>#REF!</v>
      </c>
      <c r="L231" t="e" cm="1">
        <f t="array" ref="L231">INDEX(auto_DataFlat_Rank,$I231,L$10)</f>
        <v>#REF!</v>
      </c>
      <c r="M231" t="e" cm="1">
        <f t="array" ref="M231">INDEX(auto_DataFlat_DataValue,$I231,M$10)</f>
        <v>#REF!</v>
      </c>
      <c r="N231" t="e" cm="1">
        <f t="array" ref="N231">INDEX(auto_DataFlat_Classification,$I231,M$10)</f>
        <v>#REF!</v>
      </c>
      <c r="O231" t="e" cm="1">
        <f t="array" ref="O231">INDEX(auto_DataFlat_IsEstimate,$I231,O$10)</f>
        <v>#REF!</v>
      </c>
      <c r="P231" t="e" cm="1">
        <f t="array" ref="P231">IF(INDEX(auto_DataFlat_DataYear,$I231,P$10)=0,"n/a",INDEX(auto_DataFlat_DataYear,$I231,P$10))</f>
        <v>#REF!</v>
      </c>
      <c r="R231" t="e">
        <f t="shared" si="161"/>
        <v>#REF!</v>
      </c>
      <c r="S231" t="e" cm="1">
        <f t="array" ref="S231">INDEX(auto_DataFlat_Score,$R231,S$10)</f>
        <v>#REF!</v>
      </c>
      <c r="U231" t="str">
        <f t="shared" si="165"/>
        <v>n/a</v>
      </c>
      <c r="V231">
        <f t="shared" si="166"/>
        <v>1</v>
      </c>
      <c r="W231" t="e">
        <f t="shared" si="167"/>
        <v>#REF!</v>
      </c>
      <c r="X231" t="e">
        <f t="shared" ca="1" si="195"/>
        <v>#N/A</v>
      </c>
      <c r="Y231" t="e">
        <f t="shared" ca="1" si="195"/>
        <v>#N/A</v>
      </c>
      <c r="Z231" t="e">
        <f t="shared" ca="1" si="195"/>
        <v>#N/A</v>
      </c>
      <c r="AB231">
        <f t="shared" ca="1" si="156"/>
        <v>0</v>
      </c>
      <c r="AC231">
        <f t="shared" ca="1" si="156"/>
        <v>0</v>
      </c>
      <c r="AD231">
        <f t="shared" ca="1" si="156"/>
        <v>0</v>
      </c>
      <c r="AF231" t="e">
        <f t="shared" si="169"/>
        <v>#REF!</v>
      </c>
      <c r="AG231" t="e">
        <f t="shared" ca="1" si="196"/>
        <v>#N/A</v>
      </c>
      <c r="AH231" t="e">
        <f t="shared" ca="1" si="196"/>
        <v>#N/A</v>
      </c>
      <c r="AI231" t="e">
        <f t="shared" ca="1" si="196"/>
        <v>#N/A</v>
      </c>
      <c r="AJ231" t="e">
        <f t="shared" ca="1" si="196"/>
        <v>#N/A</v>
      </c>
      <c r="AK231" t="e">
        <f t="shared" ca="1" si="196"/>
        <v>#N/A</v>
      </c>
      <c r="AL231" t="e">
        <f t="shared" ca="1" si="196"/>
        <v>#N/A</v>
      </c>
      <c r="AM231" t="e">
        <f t="shared" ca="1" si="196"/>
        <v>#N/A</v>
      </c>
      <c r="AN231">
        <f t="shared" ca="1" si="171"/>
        <v>0</v>
      </c>
      <c r="AO231">
        <f t="shared" ca="1" si="172"/>
        <v>0</v>
      </c>
      <c r="AP231">
        <f t="shared" ca="1" si="173"/>
        <v>0</v>
      </c>
      <c r="AQ231">
        <f t="shared" ca="1" si="174"/>
        <v>0</v>
      </c>
      <c r="AR231">
        <f t="shared" ca="1" si="175"/>
        <v>0</v>
      </c>
      <c r="AS231">
        <f t="shared" ca="1" si="176"/>
        <v>0</v>
      </c>
      <c r="AT231">
        <f t="shared" ca="1" si="177"/>
        <v>0</v>
      </c>
      <c r="AV231" t="e">
        <f t="shared" si="6"/>
        <v>#REF!</v>
      </c>
      <c r="AW231" t="e" cm="1">
        <f t="array" ref="AW231">INDEX(auto_DataFlat_Score,$AV231,1)</f>
        <v>#REF!</v>
      </c>
      <c r="AX231" t="e" cm="1">
        <f t="array" ref="AX231">INDEX(auto_DataFlat_DataValue,$AV231,1)</f>
        <v>#REF!</v>
      </c>
      <c r="BA231" t="str">
        <f t="shared" si="178"/>
        <v>n/a</v>
      </c>
      <c r="BB231">
        <f t="shared" si="179"/>
        <v>1</v>
      </c>
      <c r="BC231" t="e">
        <f t="shared" si="180"/>
        <v>#REF!</v>
      </c>
      <c r="BD231" t="e">
        <f t="shared" ca="1" si="194"/>
        <v>#N/A</v>
      </c>
      <c r="BE231" t="e">
        <f t="shared" ca="1" si="194"/>
        <v>#N/A</v>
      </c>
      <c r="BF231" t="e">
        <f t="shared" ca="1" si="194"/>
        <v>#N/A</v>
      </c>
      <c r="BH231">
        <f t="shared" ca="1" si="157"/>
        <v>0</v>
      </c>
      <c r="BI231">
        <f t="shared" ca="1" si="157"/>
        <v>0</v>
      </c>
      <c r="BJ231">
        <f t="shared" ca="1" si="157"/>
        <v>0</v>
      </c>
      <c r="BM231" t="e">
        <f t="shared" si="181"/>
        <v>#REF!</v>
      </c>
      <c r="BN231" t="e">
        <f t="shared" ca="1" si="182"/>
        <v>#N/A</v>
      </c>
      <c r="BO231" t="e">
        <f t="shared" ca="1" si="183"/>
        <v>#N/A</v>
      </c>
      <c r="BP231" t="e">
        <f t="shared" ca="1" si="184"/>
        <v>#N/A</v>
      </c>
      <c r="BQ231" t="e">
        <f t="shared" ca="1" si="185"/>
        <v>#N/A</v>
      </c>
      <c r="BR231" t="e">
        <f t="shared" ca="1" si="186"/>
        <v>#N/A</v>
      </c>
      <c r="BS231" t="e">
        <f t="shared" ca="1" si="187"/>
        <v>#N/A</v>
      </c>
      <c r="BT231" t="e">
        <f t="shared" ca="1" si="188"/>
        <v>#N/A</v>
      </c>
      <c r="BU231">
        <f t="shared" ca="1" si="189"/>
        <v>0</v>
      </c>
      <c r="BV231">
        <f t="shared" ca="1" si="190"/>
        <v>0</v>
      </c>
      <c r="BW231">
        <f t="shared" ca="1" si="191"/>
        <v>0</v>
      </c>
      <c r="BX231">
        <f t="shared" ca="1" si="192"/>
        <v>0</v>
      </c>
      <c r="BY231">
        <f t="shared" ca="1" si="193"/>
        <v>0</v>
      </c>
      <c r="BZ231">
        <f t="shared" ca="1" si="163"/>
        <v>0</v>
      </c>
      <c r="CA231">
        <f t="shared" ca="1" si="164"/>
        <v>0</v>
      </c>
    </row>
    <row r="232" spans="1:79" x14ac:dyDescent="0.4">
      <c r="A232" t="str">
        <f t="shared" si="152"/>
        <v>X</v>
      </c>
      <c r="B232">
        <v>221</v>
      </c>
      <c r="C232" t="e" cm="1">
        <f t="array" ref="C232">INDEX(auto_Series_Code,B232)</f>
        <v>#REF!</v>
      </c>
      <c r="D232" t="e" cm="1">
        <f t="array" ref="D232">INDEX(auto_tblSeries,$B232,D$11)</f>
        <v>#REF!</v>
      </c>
      <c r="E232" t="e" cm="1">
        <f t="array" ref="E232">INDEX(auto_tblSeries,$B232,E$11)</f>
        <v>#REF!</v>
      </c>
      <c r="F232" t="e" cm="1">
        <f t="array" ref="F232">INDEX(auto_tblSeries,$B232,F$11)</f>
        <v>#REF!</v>
      </c>
      <c r="G232" t="e" cm="1">
        <f t="array" ref="G232">INDEX(auto_tblSeries,$B232,G$11)</f>
        <v>#REF!</v>
      </c>
      <c r="H232" t="e" cm="1">
        <f t="array" ref="H232">INDEX(auto_tblSeries,$B232,H$11)</f>
        <v>#REF!</v>
      </c>
      <c r="I232" t="e">
        <f t="shared" si="70"/>
        <v>#REF!</v>
      </c>
      <c r="K232" t="e" cm="1">
        <f t="array" ref="K232">INDEX(auto_DataFlat_Score,$I232,K$10)</f>
        <v>#REF!</v>
      </c>
      <c r="L232" t="e" cm="1">
        <f t="array" ref="L232">INDEX(auto_DataFlat_Rank,$I232,L$10)</f>
        <v>#REF!</v>
      </c>
      <c r="M232" t="e" cm="1">
        <f t="array" ref="M232">INDEX(auto_DataFlat_DataValue,$I232,M$10)</f>
        <v>#REF!</v>
      </c>
      <c r="N232" t="e" cm="1">
        <f t="array" ref="N232">INDEX(auto_DataFlat_Classification,$I232,M$10)</f>
        <v>#REF!</v>
      </c>
      <c r="O232" t="e" cm="1">
        <f t="array" ref="O232">INDEX(auto_DataFlat_IsEstimate,$I232,O$10)</f>
        <v>#REF!</v>
      </c>
      <c r="P232" t="e" cm="1">
        <f t="array" ref="P232">IF(INDEX(auto_DataFlat_DataYear,$I232,P$10)=0,"n/a",INDEX(auto_DataFlat_DataYear,$I232,P$10))</f>
        <v>#REF!</v>
      </c>
      <c r="R232" t="e">
        <f t="shared" si="161"/>
        <v>#REF!</v>
      </c>
      <c r="S232" t="e" cm="1">
        <f t="array" ref="S232">INDEX(auto_DataFlat_Score,$R232,S$10)</f>
        <v>#REF!</v>
      </c>
      <c r="U232" t="str">
        <f t="shared" si="165"/>
        <v>n/a</v>
      </c>
      <c r="V232">
        <f t="shared" si="166"/>
        <v>1</v>
      </c>
      <c r="W232" t="e">
        <f t="shared" si="167"/>
        <v>#REF!</v>
      </c>
      <c r="X232" t="e">
        <f t="shared" ca="1" si="195"/>
        <v>#N/A</v>
      </c>
      <c r="Y232" t="e">
        <f t="shared" ca="1" si="195"/>
        <v>#N/A</v>
      </c>
      <c r="Z232" t="e">
        <f t="shared" ca="1" si="195"/>
        <v>#N/A</v>
      </c>
      <c r="AB232">
        <f t="shared" ca="1" si="156"/>
        <v>0</v>
      </c>
      <c r="AC232">
        <f t="shared" ca="1" si="156"/>
        <v>0</v>
      </c>
      <c r="AD232">
        <f t="shared" ca="1" si="156"/>
        <v>0</v>
      </c>
      <c r="AF232" t="e">
        <f t="shared" si="169"/>
        <v>#REF!</v>
      </c>
      <c r="AG232" t="e">
        <f t="shared" ca="1" si="196"/>
        <v>#N/A</v>
      </c>
      <c r="AH232" t="e">
        <f t="shared" ca="1" si="196"/>
        <v>#N/A</v>
      </c>
      <c r="AI232" t="e">
        <f t="shared" ca="1" si="196"/>
        <v>#N/A</v>
      </c>
      <c r="AJ232" t="e">
        <f t="shared" ca="1" si="196"/>
        <v>#N/A</v>
      </c>
      <c r="AK232" t="e">
        <f t="shared" ca="1" si="196"/>
        <v>#N/A</v>
      </c>
      <c r="AL232" t="e">
        <f t="shared" ca="1" si="196"/>
        <v>#N/A</v>
      </c>
      <c r="AM232" t="e">
        <f t="shared" ca="1" si="196"/>
        <v>#N/A</v>
      </c>
      <c r="AN232">
        <f t="shared" ca="1" si="171"/>
        <v>0</v>
      </c>
      <c r="AO232">
        <f t="shared" ca="1" si="172"/>
        <v>0</v>
      </c>
      <c r="AP232">
        <f t="shared" ca="1" si="173"/>
        <v>0</v>
      </c>
      <c r="AQ232">
        <f t="shared" ca="1" si="174"/>
        <v>0</v>
      </c>
      <c r="AR232">
        <f t="shared" ca="1" si="175"/>
        <v>0</v>
      </c>
      <c r="AS232">
        <f t="shared" ca="1" si="176"/>
        <v>0</v>
      </c>
      <c r="AT232">
        <f t="shared" ca="1" si="177"/>
        <v>0</v>
      </c>
      <c r="AV232" t="e">
        <f t="shared" si="6"/>
        <v>#REF!</v>
      </c>
      <c r="AW232" t="e" cm="1">
        <f t="array" ref="AW232">INDEX(auto_DataFlat_Score,$AV232,1)</f>
        <v>#REF!</v>
      </c>
      <c r="AX232" t="e" cm="1">
        <f t="array" ref="AX232">INDEX(auto_DataFlat_DataValue,$AV232,1)</f>
        <v>#REF!</v>
      </c>
      <c r="BA232" t="str">
        <f t="shared" si="178"/>
        <v>n/a</v>
      </c>
      <c r="BB232">
        <f t="shared" si="179"/>
        <v>1</v>
      </c>
      <c r="BC232" t="e">
        <f t="shared" si="180"/>
        <v>#REF!</v>
      </c>
      <c r="BD232" t="e">
        <f t="shared" ca="1" si="194"/>
        <v>#N/A</v>
      </c>
      <c r="BE232" t="e">
        <f t="shared" ca="1" si="194"/>
        <v>#N/A</v>
      </c>
      <c r="BF232" t="e">
        <f t="shared" ca="1" si="194"/>
        <v>#N/A</v>
      </c>
      <c r="BH232">
        <f t="shared" ca="1" si="157"/>
        <v>0</v>
      </c>
      <c r="BI232">
        <f t="shared" ca="1" si="157"/>
        <v>0</v>
      </c>
      <c r="BJ232">
        <f t="shared" ca="1" si="157"/>
        <v>0</v>
      </c>
      <c r="BM232" t="e">
        <f t="shared" si="181"/>
        <v>#REF!</v>
      </c>
      <c r="BN232" t="e">
        <f t="shared" ca="1" si="182"/>
        <v>#N/A</v>
      </c>
      <c r="BO232" t="e">
        <f t="shared" ca="1" si="183"/>
        <v>#N/A</v>
      </c>
      <c r="BP232" t="e">
        <f t="shared" ca="1" si="184"/>
        <v>#N/A</v>
      </c>
      <c r="BQ232" t="e">
        <f t="shared" ca="1" si="185"/>
        <v>#N/A</v>
      </c>
      <c r="BR232" t="e">
        <f t="shared" ca="1" si="186"/>
        <v>#N/A</v>
      </c>
      <c r="BS232" t="e">
        <f t="shared" ca="1" si="187"/>
        <v>#N/A</v>
      </c>
      <c r="BT232" t="e">
        <f t="shared" ca="1" si="188"/>
        <v>#N/A</v>
      </c>
      <c r="BU232">
        <f t="shared" ca="1" si="189"/>
        <v>0</v>
      </c>
      <c r="BV232">
        <f t="shared" ca="1" si="190"/>
        <v>0</v>
      </c>
      <c r="BW232">
        <f t="shared" ca="1" si="191"/>
        <v>0</v>
      </c>
      <c r="BX232">
        <f t="shared" ca="1" si="192"/>
        <v>0</v>
      </c>
      <c r="BY232">
        <f t="shared" ca="1" si="193"/>
        <v>0</v>
      </c>
      <c r="BZ232">
        <f t="shared" ca="1" si="163"/>
        <v>0</v>
      </c>
      <c r="CA232">
        <f t="shared" ca="1" si="164"/>
        <v>0</v>
      </c>
    </row>
    <row r="233" spans="1:79" x14ac:dyDescent="0.4">
      <c r="A233" t="str">
        <f t="shared" si="152"/>
        <v>X</v>
      </c>
      <c r="B233">
        <v>222</v>
      </c>
      <c r="C233" t="e" cm="1">
        <f t="array" ref="C233">INDEX(auto_Series_Code,B233)</f>
        <v>#REF!</v>
      </c>
      <c r="D233" t="e" cm="1">
        <f t="array" ref="D233">INDEX(auto_tblSeries,$B233,D$11)</f>
        <v>#REF!</v>
      </c>
      <c r="E233" t="e" cm="1">
        <f t="array" ref="E233">INDEX(auto_tblSeries,$B233,E$11)</f>
        <v>#REF!</v>
      </c>
      <c r="F233" t="e" cm="1">
        <f t="array" ref="F233">INDEX(auto_tblSeries,$B233,F$11)</f>
        <v>#REF!</v>
      </c>
      <c r="G233" t="e" cm="1">
        <f t="array" ref="G233">INDEX(auto_tblSeries,$B233,G$11)</f>
        <v>#REF!</v>
      </c>
      <c r="H233" t="e" cm="1">
        <f t="array" ref="H233">INDEX(auto_tblSeries,$B233,H$11)</f>
        <v>#REF!</v>
      </c>
      <c r="I233" t="e">
        <f t="shared" si="70"/>
        <v>#REF!</v>
      </c>
      <c r="K233" t="e" cm="1">
        <f t="array" ref="K233">INDEX(auto_DataFlat_Score,$I233,K$10)</f>
        <v>#REF!</v>
      </c>
      <c r="L233" t="e" cm="1">
        <f t="array" ref="L233">INDEX(auto_DataFlat_Rank,$I233,L$10)</f>
        <v>#REF!</v>
      </c>
      <c r="M233" t="e" cm="1">
        <f t="array" ref="M233">INDEX(auto_DataFlat_DataValue,$I233,M$10)</f>
        <v>#REF!</v>
      </c>
      <c r="N233" t="e" cm="1">
        <f t="array" ref="N233">INDEX(auto_DataFlat_Classification,$I233,M$10)</f>
        <v>#REF!</v>
      </c>
      <c r="O233" t="e" cm="1">
        <f t="array" ref="O233">INDEX(auto_DataFlat_IsEstimate,$I233,O$10)</f>
        <v>#REF!</v>
      </c>
      <c r="P233" t="e" cm="1">
        <f t="array" ref="P233">IF(INDEX(auto_DataFlat_DataYear,$I233,P$10)=0,"n/a",INDEX(auto_DataFlat_DataYear,$I233,P$10))</f>
        <v>#REF!</v>
      </c>
      <c r="R233" t="e">
        <f t="shared" si="161"/>
        <v>#REF!</v>
      </c>
      <c r="S233" t="e" cm="1">
        <f t="array" ref="S233">INDEX(auto_DataFlat_Score,$R233,S$10)</f>
        <v>#REF!</v>
      </c>
      <c r="U233" t="str">
        <f t="shared" si="165"/>
        <v>n/a</v>
      </c>
      <c r="V233">
        <f t="shared" si="166"/>
        <v>1</v>
      </c>
      <c r="W233" t="e">
        <f t="shared" si="167"/>
        <v>#REF!</v>
      </c>
      <c r="X233" t="e">
        <f t="shared" ca="1" si="195"/>
        <v>#N/A</v>
      </c>
      <c r="Y233" t="e">
        <f t="shared" ca="1" si="195"/>
        <v>#N/A</v>
      </c>
      <c r="Z233" t="e">
        <f t="shared" ca="1" si="195"/>
        <v>#N/A</v>
      </c>
      <c r="AB233">
        <f t="shared" ca="1" si="156"/>
        <v>0</v>
      </c>
      <c r="AC233">
        <f t="shared" ca="1" si="156"/>
        <v>0</v>
      </c>
      <c r="AD233">
        <f t="shared" ca="1" si="156"/>
        <v>0</v>
      </c>
      <c r="AF233" t="e">
        <f t="shared" si="169"/>
        <v>#REF!</v>
      </c>
      <c r="AG233" t="e">
        <f t="shared" ca="1" si="196"/>
        <v>#N/A</v>
      </c>
      <c r="AH233" t="e">
        <f t="shared" ca="1" si="196"/>
        <v>#N/A</v>
      </c>
      <c r="AI233" t="e">
        <f t="shared" ca="1" si="196"/>
        <v>#N/A</v>
      </c>
      <c r="AJ233" t="e">
        <f t="shared" ca="1" si="196"/>
        <v>#N/A</v>
      </c>
      <c r="AK233" t="e">
        <f t="shared" ca="1" si="196"/>
        <v>#N/A</v>
      </c>
      <c r="AL233" t="e">
        <f t="shared" ca="1" si="196"/>
        <v>#N/A</v>
      </c>
      <c r="AM233" t="e">
        <f t="shared" ca="1" si="196"/>
        <v>#N/A</v>
      </c>
      <c r="AN233">
        <f t="shared" ca="1" si="171"/>
        <v>0</v>
      </c>
      <c r="AO233">
        <f t="shared" ca="1" si="172"/>
        <v>0</v>
      </c>
      <c r="AP233">
        <f t="shared" ca="1" si="173"/>
        <v>0</v>
      </c>
      <c r="AQ233">
        <f t="shared" ca="1" si="174"/>
        <v>0</v>
      </c>
      <c r="AR233">
        <f t="shared" ca="1" si="175"/>
        <v>0</v>
      </c>
      <c r="AS233">
        <f t="shared" ca="1" si="176"/>
        <v>0</v>
      </c>
      <c r="AT233">
        <f t="shared" ca="1" si="177"/>
        <v>0</v>
      </c>
      <c r="AV233" t="e">
        <f t="shared" si="6"/>
        <v>#REF!</v>
      </c>
      <c r="AW233" t="e" cm="1">
        <f t="array" ref="AW233">INDEX(auto_DataFlat_Score,$AV233,1)</f>
        <v>#REF!</v>
      </c>
      <c r="AX233" t="e" cm="1">
        <f t="array" ref="AX233">INDEX(auto_DataFlat_DataValue,$AV233,1)</f>
        <v>#REF!</v>
      </c>
      <c r="BA233" t="str">
        <f t="shared" si="178"/>
        <v>n/a</v>
      </c>
      <c r="BB233">
        <f t="shared" si="179"/>
        <v>1</v>
      </c>
      <c r="BC233" t="e">
        <f t="shared" si="180"/>
        <v>#REF!</v>
      </c>
      <c r="BD233" t="e">
        <f t="shared" ca="1" si="194"/>
        <v>#N/A</v>
      </c>
      <c r="BE233" t="e">
        <f t="shared" ca="1" si="194"/>
        <v>#N/A</v>
      </c>
      <c r="BF233" t="e">
        <f t="shared" ca="1" si="194"/>
        <v>#N/A</v>
      </c>
      <c r="BH233">
        <f t="shared" ca="1" si="157"/>
        <v>0</v>
      </c>
      <c r="BI233">
        <f t="shared" ca="1" si="157"/>
        <v>0</v>
      </c>
      <c r="BJ233">
        <f t="shared" ca="1" si="157"/>
        <v>0</v>
      </c>
      <c r="BM233" t="e">
        <f t="shared" si="181"/>
        <v>#REF!</v>
      </c>
      <c r="BN233" t="e">
        <f t="shared" ca="1" si="182"/>
        <v>#N/A</v>
      </c>
      <c r="BO233" t="e">
        <f t="shared" ca="1" si="183"/>
        <v>#N/A</v>
      </c>
      <c r="BP233" t="e">
        <f t="shared" ca="1" si="184"/>
        <v>#N/A</v>
      </c>
      <c r="BQ233" t="e">
        <f t="shared" ca="1" si="185"/>
        <v>#N/A</v>
      </c>
      <c r="BR233" t="e">
        <f t="shared" ca="1" si="186"/>
        <v>#N/A</v>
      </c>
      <c r="BS233" t="e">
        <f t="shared" ca="1" si="187"/>
        <v>#N/A</v>
      </c>
      <c r="BT233" t="e">
        <f t="shared" ca="1" si="188"/>
        <v>#N/A</v>
      </c>
      <c r="BU233">
        <f t="shared" ca="1" si="189"/>
        <v>0</v>
      </c>
      <c r="BV233">
        <f t="shared" ca="1" si="190"/>
        <v>0</v>
      </c>
      <c r="BW233">
        <f t="shared" ca="1" si="191"/>
        <v>0</v>
      </c>
      <c r="BX233">
        <f t="shared" ca="1" si="192"/>
        <v>0</v>
      </c>
      <c r="BY233">
        <f t="shared" ca="1" si="193"/>
        <v>0</v>
      </c>
      <c r="BZ233">
        <f t="shared" ca="1" si="163"/>
        <v>0</v>
      </c>
      <c r="CA233">
        <f t="shared" ca="1" si="164"/>
        <v>0</v>
      </c>
    </row>
    <row r="234" spans="1:79" x14ac:dyDescent="0.4">
      <c r="A234" t="str">
        <f t="shared" ref="A234:A292" si="197">IF(ISERROR(C234),"X","")</f>
        <v>X</v>
      </c>
      <c r="B234">
        <v>223</v>
      </c>
      <c r="C234" t="e" cm="1">
        <f t="array" ref="C234">INDEX(auto_Series_Code,B234)</f>
        <v>#REF!</v>
      </c>
      <c r="D234" t="e" cm="1">
        <f t="array" ref="D234">INDEX(auto_tblSeries,$B234,D$11)</f>
        <v>#REF!</v>
      </c>
      <c r="E234" t="e" cm="1">
        <f t="array" ref="E234">INDEX(auto_tblSeries,$B234,E$11)</f>
        <v>#REF!</v>
      </c>
      <c r="F234" t="e" cm="1">
        <f t="array" ref="F234">INDEX(auto_tblSeries,$B234,F$11)</f>
        <v>#REF!</v>
      </c>
      <c r="G234" t="e" cm="1">
        <f t="array" ref="G234">INDEX(auto_tblSeries,$B234,G$11)</f>
        <v>#REF!</v>
      </c>
      <c r="H234" t="e" cm="1">
        <f t="array" ref="H234">INDEX(auto_tblSeries,$B234,H$11)</f>
        <v>#REF!</v>
      </c>
      <c r="I234" t="e">
        <f t="shared" si="70"/>
        <v>#REF!</v>
      </c>
      <c r="K234" t="e" cm="1">
        <f t="array" ref="K234">INDEX(auto_DataFlat_Score,$I234,K$10)</f>
        <v>#REF!</v>
      </c>
      <c r="L234" t="e" cm="1">
        <f t="array" ref="L234">INDEX(auto_DataFlat_Rank,$I234,L$10)</f>
        <v>#REF!</v>
      </c>
      <c r="M234" t="e" cm="1">
        <f t="array" ref="M234">INDEX(auto_DataFlat_DataValue,$I234,M$10)</f>
        <v>#REF!</v>
      </c>
      <c r="N234" t="e" cm="1">
        <f t="array" ref="N234">INDEX(auto_DataFlat_Classification,$I234,M$10)</f>
        <v>#REF!</v>
      </c>
      <c r="O234" t="e" cm="1">
        <f t="array" ref="O234">INDEX(auto_DataFlat_IsEstimate,$I234,O$10)</f>
        <v>#REF!</v>
      </c>
      <c r="P234" t="e" cm="1">
        <f t="array" ref="P234">IF(INDEX(auto_DataFlat_DataYear,$I234,P$10)=0,"n/a",INDEX(auto_DataFlat_DataYear,$I234,P$10))</f>
        <v>#REF!</v>
      </c>
      <c r="R234" t="e">
        <f t="shared" si="161"/>
        <v>#REF!</v>
      </c>
      <c r="S234" t="e" cm="1">
        <f t="array" ref="S234">INDEX(auto_DataFlat_Score,$R234,S$10)</f>
        <v>#REF!</v>
      </c>
      <c r="U234" t="str">
        <f t="shared" si="165"/>
        <v>n/a</v>
      </c>
      <c r="V234">
        <f t="shared" si="166"/>
        <v>1</v>
      </c>
      <c r="W234" t="e">
        <f t="shared" si="167"/>
        <v>#REF!</v>
      </c>
      <c r="X234" t="e">
        <f t="shared" ca="1" si="195"/>
        <v>#N/A</v>
      </c>
      <c r="Y234" t="e">
        <f t="shared" ca="1" si="195"/>
        <v>#N/A</v>
      </c>
      <c r="Z234" t="e">
        <f t="shared" ca="1" si="195"/>
        <v>#N/A</v>
      </c>
      <c r="AB234">
        <f t="shared" ca="1" si="156"/>
        <v>0</v>
      </c>
      <c r="AC234">
        <f t="shared" ca="1" si="156"/>
        <v>0</v>
      </c>
      <c r="AD234">
        <f t="shared" ca="1" si="156"/>
        <v>0</v>
      </c>
      <c r="AF234" t="e">
        <f t="shared" si="169"/>
        <v>#REF!</v>
      </c>
      <c r="AG234" t="e">
        <f t="shared" ca="1" si="196"/>
        <v>#N/A</v>
      </c>
      <c r="AH234" t="e">
        <f t="shared" ca="1" si="196"/>
        <v>#N/A</v>
      </c>
      <c r="AI234" t="e">
        <f t="shared" ca="1" si="196"/>
        <v>#N/A</v>
      </c>
      <c r="AJ234" t="e">
        <f t="shared" ca="1" si="196"/>
        <v>#N/A</v>
      </c>
      <c r="AK234" t="e">
        <f t="shared" ca="1" si="196"/>
        <v>#N/A</v>
      </c>
      <c r="AL234" t="e">
        <f t="shared" ca="1" si="196"/>
        <v>#N/A</v>
      </c>
      <c r="AM234" t="e">
        <f t="shared" ca="1" si="196"/>
        <v>#N/A</v>
      </c>
      <c r="AN234">
        <f t="shared" ca="1" si="171"/>
        <v>0</v>
      </c>
      <c r="AO234">
        <f t="shared" ca="1" si="172"/>
        <v>0</v>
      </c>
      <c r="AP234">
        <f t="shared" ca="1" si="173"/>
        <v>0</v>
      </c>
      <c r="AQ234">
        <f t="shared" ca="1" si="174"/>
        <v>0</v>
      </c>
      <c r="AR234">
        <f t="shared" ca="1" si="175"/>
        <v>0</v>
      </c>
      <c r="AS234">
        <f t="shared" ca="1" si="176"/>
        <v>0</v>
      </c>
      <c r="AT234">
        <f t="shared" ca="1" si="177"/>
        <v>0</v>
      </c>
      <c r="AV234" t="e">
        <f t="shared" si="6"/>
        <v>#REF!</v>
      </c>
      <c r="AW234" t="e" cm="1">
        <f t="array" ref="AW234">INDEX(auto_DataFlat_Score,$AV234,1)</f>
        <v>#REF!</v>
      </c>
      <c r="AX234" t="e" cm="1">
        <f t="array" ref="AX234">INDEX(auto_DataFlat_DataValue,$AV234,1)</f>
        <v>#REF!</v>
      </c>
      <c r="BA234" t="str">
        <f t="shared" si="178"/>
        <v>n/a</v>
      </c>
      <c r="BB234">
        <f t="shared" si="179"/>
        <v>1</v>
      </c>
      <c r="BC234" t="e">
        <f t="shared" si="180"/>
        <v>#REF!</v>
      </c>
      <c r="BD234" t="e">
        <f t="shared" ca="1" si="194"/>
        <v>#N/A</v>
      </c>
      <c r="BE234" t="e">
        <f t="shared" ca="1" si="194"/>
        <v>#N/A</v>
      </c>
      <c r="BF234" t="e">
        <f t="shared" ca="1" si="194"/>
        <v>#N/A</v>
      </c>
      <c r="BH234">
        <f t="shared" ca="1" si="157"/>
        <v>0</v>
      </c>
      <c r="BI234">
        <f t="shared" ca="1" si="157"/>
        <v>0</v>
      </c>
      <c r="BJ234">
        <f t="shared" ca="1" si="157"/>
        <v>0</v>
      </c>
      <c r="BM234" t="e">
        <f t="shared" si="181"/>
        <v>#REF!</v>
      </c>
      <c r="BN234" t="e">
        <f t="shared" ca="1" si="182"/>
        <v>#N/A</v>
      </c>
      <c r="BO234" t="e">
        <f t="shared" ca="1" si="183"/>
        <v>#N/A</v>
      </c>
      <c r="BP234" t="e">
        <f t="shared" ca="1" si="184"/>
        <v>#N/A</v>
      </c>
      <c r="BQ234" t="e">
        <f t="shared" ca="1" si="185"/>
        <v>#N/A</v>
      </c>
      <c r="BR234" t="e">
        <f t="shared" ca="1" si="186"/>
        <v>#N/A</v>
      </c>
      <c r="BS234" t="e">
        <f t="shared" ca="1" si="187"/>
        <v>#N/A</v>
      </c>
      <c r="BT234" t="e">
        <f t="shared" ca="1" si="188"/>
        <v>#N/A</v>
      </c>
      <c r="BU234">
        <f t="shared" ca="1" si="189"/>
        <v>0</v>
      </c>
      <c r="BV234">
        <f t="shared" ca="1" si="190"/>
        <v>0</v>
      </c>
      <c r="BW234">
        <f t="shared" ca="1" si="191"/>
        <v>0</v>
      </c>
      <c r="BX234">
        <f t="shared" ca="1" si="192"/>
        <v>0</v>
      </c>
      <c r="BY234">
        <f t="shared" ca="1" si="193"/>
        <v>0</v>
      </c>
      <c r="BZ234">
        <f t="shared" ca="1" si="163"/>
        <v>0</v>
      </c>
      <c r="CA234">
        <f t="shared" ca="1" si="164"/>
        <v>0</v>
      </c>
    </row>
    <row r="235" spans="1:79" x14ac:dyDescent="0.4">
      <c r="A235" t="str">
        <f t="shared" si="197"/>
        <v>X</v>
      </c>
      <c r="B235">
        <v>224</v>
      </c>
      <c r="C235" t="e" cm="1">
        <f t="array" ref="C235">INDEX(auto_Series_Code,B235)</f>
        <v>#REF!</v>
      </c>
      <c r="D235" t="e" cm="1">
        <f t="array" ref="D235">INDEX(auto_tblSeries,$B235,D$11)</f>
        <v>#REF!</v>
      </c>
      <c r="E235" t="e" cm="1">
        <f t="array" ref="E235">INDEX(auto_tblSeries,$B235,E$11)</f>
        <v>#REF!</v>
      </c>
      <c r="F235" t="e" cm="1">
        <f t="array" ref="F235">INDEX(auto_tblSeries,$B235,F$11)</f>
        <v>#REF!</v>
      </c>
      <c r="G235" t="e" cm="1">
        <f t="array" ref="G235">INDEX(auto_tblSeries,$B235,G$11)</f>
        <v>#REF!</v>
      </c>
      <c r="H235" t="e" cm="1">
        <f t="array" ref="H235">INDEX(auto_tblSeries,$B235,H$11)</f>
        <v>#REF!</v>
      </c>
      <c r="I235" t="e">
        <f t="shared" si="70"/>
        <v>#REF!</v>
      </c>
      <c r="K235" t="e" cm="1">
        <f t="array" ref="K235">INDEX(auto_DataFlat_Score,$I235,K$10)</f>
        <v>#REF!</v>
      </c>
      <c r="L235" t="e" cm="1">
        <f t="array" ref="L235">INDEX(auto_DataFlat_Rank,$I235,L$10)</f>
        <v>#REF!</v>
      </c>
      <c r="M235" t="e" cm="1">
        <f t="array" ref="M235">INDEX(auto_DataFlat_DataValue,$I235,M$10)</f>
        <v>#REF!</v>
      </c>
      <c r="N235" t="e" cm="1">
        <f t="array" ref="N235">INDEX(auto_DataFlat_Classification,$I235,M$10)</f>
        <v>#REF!</v>
      </c>
      <c r="O235" t="e" cm="1">
        <f t="array" ref="O235">INDEX(auto_DataFlat_IsEstimate,$I235,O$10)</f>
        <v>#REF!</v>
      </c>
      <c r="P235" t="e" cm="1">
        <f t="array" ref="P235">IF(INDEX(auto_DataFlat_DataYear,$I235,P$10)=0,"n/a",INDEX(auto_DataFlat_DataYear,$I235,P$10))</f>
        <v>#REF!</v>
      </c>
      <c r="R235" t="e">
        <f t="shared" si="161"/>
        <v>#REF!</v>
      </c>
      <c r="S235" t="e" cm="1">
        <f t="array" ref="S235">INDEX(auto_DataFlat_Score,$R235,S$10)</f>
        <v>#REF!</v>
      </c>
      <c r="U235" t="str">
        <f t="shared" si="165"/>
        <v>n/a</v>
      </c>
      <c r="V235">
        <f t="shared" si="166"/>
        <v>1</v>
      </c>
      <c r="W235" t="e">
        <f t="shared" si="167"/>
        <v>#REF!</v>
      </c>
      <c r="X235" t="e">
        <f t="shared" ca="1" si="195"/>
        <v>#N/A</v>
      </c>
      <c r="Y235" t="e">
        <f t="shared" ca="1" si="195"/>
        <v>#N/A</v>
      </c>
      <c r="Z235" t="e">
        <f t="shared" ca="1" si="195"/>
        <v>#N/A</v>
      </c>
      <c r="AB235">
        <f t="shared" ca="1" si="156"/>
        <v>0</v>
      </c>
      <c r="AC235">
        <f t="shared" ca="1" si="156"/>
        <v>0</v>
      </c>
      <c r="AD235">
        <f t="shared" ca="1" si="156"/>
        <v>0</v>
      </c>
      <c r="AF235" t="e">
        <f t="shared" si="169"/>
        <v>#REF!</v>
      </c>
      <c r="AG235" t="e">
        <f t="shared" ca="1" si="196"/>
        <v>#N/A</v>
      </c>
      <c r="AH235" t="e">
        <f t="shared" ca="1" si="196"/>
        <v>#N/A</v>
      </c>
      <c r="AI235" t="e">
        <f t="shared" ca="1" si="196"/>
        <v>#N/A</v>
      </c>
      <c r="AJ235" t="e">
        <f t="shared" ca="1" si="196"/>
        <v>#N/A</v>
      </c>
      <c r="AK235" t="e">
        <f t="shared" ca="1" si="196"/>
        <v>#N/A</v>
      </c>
      <c r="AL235" t="e">
        <f t="shared" ca="1" si="196"/>
        <v>#N/A</v>
      </c>
      <c r="AM235" t="e">
        <f t="shared" ca="1" si="196"/>
        <v>#N/A</v>
      </c>
      <c r="AN235">
        <f t="shared" ca="1" si="171"/>
        <v>0</v>
      </c>
      <c r="AO235">
        <f t="shared" ca="1" si="172"/>
        <v>0</v>
      </c>
      <c r="AP235">
        <f t="shared" ca="1" si="173"/>
        <v>0</v>
      </c>
      <c r="AQ235">
        <f t="shared" ca="1" si="174"/>
        <v>0</v>
      </c>
      <c r="AR235">
        <f t="shared" ca="1" si="175"/>
        <v>0</v>
      </c>
      <c r="AS235">
        <f t="shared" ca="1" si="176"/>
        <v>0</v>
      </c>
      <c r="AT235">
        <f t="shared" ca="1" si="177"/>
        <v>0</v>
      </c>
      <c r="AV235" t="e">
        <f t="shared" si="6"/>
        <v>#REF!</v>
      </c>
      <c r="AW235" t="e" cm="1">
        <f t="array" ref="AW235">INDEX(auto_DataFlat_Score,$AV235,1)</f>
        <v>#REF!</v>
      </c>
      <c r="AX235" t="e" cm="1">
        <f t="array" ref="AX235">INDEX(auto_DataFlat_DataValue,$AV235,1)</f>
        <v>#REF!</v>
      </c>
      <c r="BA235" t="str">
        <f t="shared" si="178"/>
        <v>n/a</v>
      </c>
      <c r="BB235">
        <f t="shared" si="179"/>
        <v>1</v>
      </c>
      <c r="BC235" t="e">
        <f t="shared" si="180"/>
        <v>#REF!</v>
      </c>
      <c r="BD235" t="e">
        <f t="shared" ca="1" si="194"/>
        <v>#N/A</v>
      </c>
      <c r="BE235" t="e">
        <f t="shared" ca="1" si="194"/>
        <v>#N/A</v>
      </c>
      <c r="BF235" t="e">
        <f t="shared" ca="1" si="194"/>
        <v>#N/A</v>
      </c>
      <c r="BH235">
        <f t="shared" ca="1" si="157"/>
        <v>0</v>
      </c>
      <c r="BI235">
        <f t="shared" ca="1" si="157"/>
        <v>0</v>
      </c>
      <c r="BJ235">
        <f t="shared" ca="1" si="157"/>
        <v>0</v>
      </c>
      <c r="BM235" t="e">
        <f t="shared" si="181"/>
        <v>#REF!</v>
      </c>
      <c r="BN235" t="e">
        <f t="shared" ca="1" si="182"/>
        <v>#N/A</v>
      </c>
      <c r="BO235" t="e">
        <f t="shared" ca="1" si="183"/>
        <v>#N/A</v>
      </c>
      <c r="BP235" t="e">
        <f t="shared" ca="1" si="184"/>
        <v>#N/A</v>
      </c>
      <c r="BQ235" t="e">
        <f t="shared" ca="1" si="185"/>
        <v>#N/A</v>
      </c>
      <c r="BR235" t="e">
        <f t="shared" ca="1" si="186"/>
        <v>#N/A</v>
      </c>
      <c r="BS235" t="e">
        <f t="shared" ca="1" si="187"/>
        <v>#N/A</v>
      </c>
      <c r="BT235" t="e">
        <f t="shared" ca="1" si="188"/>
        <v>#N/A</v>
      </c>
      <c r="BU235">
        <f t="shared" ca="1" si="189"/>
        <v>0</v>
      </c>
      <c r="BV235">
        <f t="shared" ca="1" si="190"/>
        <v>0</v>
      </c>
      <c r="BW235">
        <f t="shared" ca="1" si="191"/>
        <v>0</v>
      </c>
      <c r="BX235">
        <f t="shared" ca="1" si="192"/>
        <v>0</v>
      </c>
      <c r="BY235">
        <f t="shared" ca="1" si="193"/>
        <v>0</v>
      </c>
      <c r="BZ235">
        <f t="shared" ca="1" si="163"/>
        <v>0</v>
      </c>
      <c r="CA235">
        <f t="shared" ca="1" si="164"/>
        <v>0</v>
      </c>
    </row>
    <row r="236" spans="1:79" x14ac:dyDescent="0.4">
      <c r="A236" t="str">
        <f t="shared" si="197"/>
        <v>X</v>
      </c>
      <c r="B236">
        <v>225</v>
      </c>
      <c r="C236" t="e" cm="1">
        <f t="array" ref="C236">INDEX(auto_Series_Code,B236)</f>
        <v>#REF!</v>
      </c>
      <c r="D236" t="e" cm="1">
        <f t="array" ref="D236">INDEX(auto_tblSeries,$B236,D$11)</f>
        <v>#REF!</v>
      </c>
      <c r="E236" t="e" cm="1">
        <f t="array" ref="E236">INDEX(auto_tblSeries,$B236,E$11)</f>
        <v>#REF!</v>
      </c>
      <c r="F236" t="e" cm="1">
        <f t="array" ref="F236">INDEX(auto_tblSeries,$B236,F$11)</f>
        <v>#REF!</v>
      </c>
      <c r="G236" t="e" cm="1">
        <f t="array" ref="G236">INDEX(auto_tblSeries,$B236,G$11)</f>
        <v>#REF!</v>
      </c>
      <c r="H236" t="e" cm="1">
        <f t="array" ref="H236">INDEX(auto_tblSeries,$B236,H$11)</f>
        <v>#REF!</v>
      </c>
      <c r="I236" t="e">
        <f t="shared" si="70"/>
        <v>#REF!</v>
      </c>
      <c r="K236" t="e" cm="1">
        <f t="array" ref="K236">INDEX(auto_DataFlat_Score,$I236,K$10)</f>
        <v>#REF!</v>
      </c>
      <c r="L236" t="e" cm="1">
        <f t="array" ref="L236">INDEX(auto_DataFlat_Rank,$I236,L$10)</f>
        <v>#REF!</v>
      </c>
      <c r="M236" t="e" cm="1">
        <f t="array" ref="M236">INDEX(auto_DataFlat_DataValue,$I236,M$10)</f>
        <v>#REF!</v>
      </c>
      <c r="N236" t="e" cm="1">
        <f t="array" ref="N236">INDEX(auto_DataFlat_Classification,$I236,M$10)</f>
        <v>#REF!</v>
      </c>
      <c r="O236" t="e" cm="1">
        <f t="array" ref="O236">INDEX(auto_DataFlat_IsEstimate,$I236,O$10)</f>
        <v>#REF!</v>
      </c>
      <c r="P236" t="e" cm="1">
        <f t="array" ref="P236">IF(INDEX(auto_DataFlat_DataYear,$I236,P$10)=0,"n/a",INDEX(auto_DataFlat_DataYear,$I236,P$10))</f>
        <v>#REF!</v>
      </c>
      <c r="R236" t="e">
        <f t="shared" si="161"/>
        <v>#REF!</v>
      </c>
      <c r="S236" t="e" cm="1">
        <f t="array" ref="S236">INDEX(auto_DataFlat_Score,$R236,S$10)</f>
        <v>#REF!</v>
      </c>
      <c r="U236" t="str">
        <f t="shared" si="165"/>
        <v>n/a</v>
      </c>
      <c r="V236">
        <f t="shared" si="166"/>
        <v>1</v>
      </c>
      <c r="W236" t="e">
        <f t="shared" si="167"/>
        <v>#REF!</v>
      </c>
      <c r="X236" t="e">
        <f t="shared" ca="1" si="195"/>
        <v>#N/A</v>
      </c>
      <c r="Y236" t="e">
        <f t="shared" ca="1" si="195"/>
        <v>#N/A</v>
      </c>
      <c r="Z236" t="e">
        <f t="shared" ca="1" si="195"/>
        <v>#N/A</v>
      </c>
      <c r="AB236">
        <f t="shared" ca="1" si="156"/>
        <v>0</v>
      </c>
      <c r="AC236">
        <f t="shared" ca="1" si="156"/>
        <v>0</v>
      </c>
      <c r="AD236">
        <f t="shared" ca="1" si="156"/>
        <v>0</v>
      </c>
      <c r="AF236" t="e">
        <f t="shared" si="169"/>
        <v>#REF!</v>
      </c>
      <c r="AG236" t="e">
        <f t="shared" ca="1" si="196"/>
        <v>#N/A</v>
      </c>
      <c r="AH236" t="e">
        <f t="shared" ca="1" si="196"/>
        <v>#N/A</v>
      </c>
      <c r="AI236" t="e">
        <f t="shared" ca="1" si="196"/>
        <v>#N/A</v>
      </c>
      <c r="AJ236" t="e">
        <f t="shared" ca="1" si="196"/>
        <v>#N/A</v>
      </c>
      <c r="AK236" t="e">
        <f t="shared" ca="1" si="196"/>
        <v>#N/A</v>
      </c>
      <c r="AL236" t="e">
        <f t="shared" ca="1" si="196"/>
        <v>#N/A</v>
      </c>
      <c r="AM236" t="e">
        <f t="shared" ca="1" si="196"/>
        <v>#N/A</v>
      </c>
      <c r="AN236">
        <f t="shared" ca="1" si="171"/>
        <v>0</v>
      </c>
      <c r="AO236">
        <f t="shared" ca="1" si="172"/>
        <v>0</v>
      </c>
      <c r="AP236">
        <f t="shared" ca="1" si="173"/>
        <v>0</v>
      </c>
      <c r="AQ236">
        <f t="shared" ca="1" si="174"/>
        <v>0</v>
      </c>
      <c r="AR236">
        <f t="shared" ca="1" si="175"/>
        <v>0</v>
      </c>
      <c r="AS236">
        <f t="shared" ca="1" si="176"/>
        <v>0</v>
      </c>
      <c r="AT236">
        <f t="shared" ca="1" si="177"/>
        <v>0</v>
      </c>
      <c r="AV236" t="e">
        <f t="shared" si="6"/>
        <v>#REF!</v>
      </c>
      <c r="AW236" t="e" cm="1">
        <f t="array" ref="AW236">INDEX(auto_DataFlat_Score,$AV236,1)</f>
        <v>#REF!</v>
      </c>
      <c r="AX236" t="e" cm="1">
        <f t="array" ref="AX236">INDEX(auto_DataFlat_DataValue,$AV236,1)</f>
        <v>#REF!</v>
      </c>
      <c r="BA236" t="str">
        <f t="shared" si="178"/>
        <v>n/a</v>
      </c>
      <c r="BB236">
        <f t="shared" si="179"/>
        <v>1</v>
      </c>
      <c r="BC236" t="e">
        <f t="shared" si="180"/>
        <v>#REF!</v>
      </c>
      <c r="BD236" t="e">
        <f t="shared" ref="BD236:BF251" ca="1" si="198">BD235+MATCH(BD$10,OFFSET($BC$12,BD235,0,200,1),0)</f>
        <v>#N/A</v>
      </c>
      <c r="BE236" t="e">
        <f t="shared" ca="1" si="198"/>
        <v>#N/A</v>
      </c>
      <c r="BF236" t="e">
        <f t="shared" ca="1" si="198"/>
        <v>#N/A</v>
      </c>
      <c r="BH236">
        <f t="shared" ca="1" si="157"/>
        <v>0</v>
      </c>
      <c r="BI236">
        <f t="shared" ca="1" si="157"/>
        <v>0</v>
      </c>
      <c r="BJ236">
        <f t="shared" ca="1" si="157"/>
        <v>0</v>
      </c>
      <c r="BM236" t="e">
        <f t="shared" si="181"/>
        <v>#REF!</v>
      </c>
      <c r="BN236" t="e">
        <f t="shared" ca="1" si="182"/>
        <v>#N/A</v>
      </c>
      <c r="BO236" t="e">
        <f t="shared" ca="1" si="183"/>
        <v>#N/A</v>
      </c>
      <c r="BP236" t="e">
        <f t="shared" ca="1" si="184"/>
        <v>#N/A</v>
      </c>
      <c r="BQ236" t="e">
        <f t="shared" ca="1" si="185"/>
        <v>#N/A</v>
      </c>
      <c r="BR236" t="e">
        <f t="shared" ca="1" si="186"/>
        <v>#N/A</v>
      </c>
      <c r="BS236" t="e">
        <f t="shared" ca="1" si="187"/>
        <v>#N/A</v>
      </c>
      <c r="BT236" t="e">
        <f t="shared" ca="1" si="188"/>
        <v>#N/A</v>
      </c>
      <c r="BU236">
        <f t="shared" ca="1" si="189"/>
        <v>0</v>
      </c>
      <c r="BV236">
        <f t="shared" ca="1" si="190"/>
        <v>0</v>
      </c>
      <c r="BW236">
        <f t="shared" ca="1" si="191"/>
        <v>0</v>
      </c>
      <c r="BX236">
        <f t="shared" ca="1" si="192"/>
        <v>0</v>
      </c>
      <c r="BY236">
        <f t="shared" ca="1" si="193"/>
        <v>0</v>
      </c>
      <c r="BZ236">
        <f t="shared" ca="1" si="163"/>
        <v>0</v>
      </c>
      <c r="CA236">
        <f t="shared" ca="1" si="164"/>
        <v>0</v>
      </c>
    </row>
    <row r="237" spans="1:79" x14ac:dyDescent="0.4">
      <c r="A237" t="str">
        <f t="shared" si="197"/>
        <v>X</v>
      </c>
      <c r="B237">
        <v>226</v>
      </c>
      <c r="C237" t="e" cm="1">
        <f t="array" ref="C237">INDEX(auto_Series_Code,B237)</f>
        <v>#REF!</v>
      </c>
      <c r="D237" t="e" cm="1">
        <f t="array" ref="D237">INDEX(auto_tblSeries,$B237,D$11)</f>
        <v>#REF!</v>
      </c>
      <c r="E237" t="e" cm="1">
        <f t="array" ref="E237">INDEX(auto_tblSeries,$B237,E$11)</f>
        <v>#REF!</v>
      </c>
      <c r="F237" t="e" cm="1">
        <f t="array" ref="F237">INDEX(auto_tblSeries,$B237,F$11)</f>
        <v>#REF!</v>
      </c>
      <c r="G237" t="e" cm="1">
        <f t="array" ref="G237">INDEX(auto_tblSeries,$B237,G$11)</f>
        <v>#REF!</v>
      </c>
      <c r="H237" t="e" cm="1">
        <f t="array" ref="H237">INDEX(auto_tblSeries,$B237,H$11)</f>
        <v>#REF!</v>
      </c>
      <c r="I237" t="e">
        <f t="shared" si="70"/>
        <v>#REF!</v>
      </c>
      <c r="K237" t="e" cm="1">
        <f t="array" ref="K237">INDEX(auto_DataFlat_Score,$I237,K$10)</f>
        <v>#REF!</v>
      </c>
      <c r="L237" t="e" cm="1">
        <f t="array" ref="L237">INDEX(auto_DataFlat_Rank,$I237,L$10)</f>
        <v>#REF!</v>
      </c>
      <c r="M237" t="e" cm="1">
        <f t="array" ref="M237">INDEX(auto_DataFlat_DataValue,$I237,M$10)</f>
        <v>#REF!</v>
      </c>
      <c r="N237" t="e" cm="1">
        <f t="array" ref="N237">INDEX(auto_DataFlat_Classification,$I237,M$10)</f>
        <v>#REF!</v>
      </c>
      <c r="O237" t="e" cm="1">
        <f t="array" ref="O237">INDEX(auto_DataFlat_IsEstimate,$I237,O$10)</f>
        <v>#REF!</v>
      </c>
      <c r="P237" t="e" cm="1">
        <f t="array" ref="P237">IF(INDEX(auto_DataFlat_DataYear,$I237,P$10)=0,"n/a",INDEX(auto_DataFlat_DataYear,$I237,P$10))</f>
        <v>#REF!</v>
      </c>
      <c r="R237" t="e">
        <f t="shared" si="161"/>
        <v>#REF!</v>
      </c>
      <c r="S237" t="e" cm="1">
        <f t="array" ref="S237">INDEX(auto_DataFlat_Score,$R237,S$10)</f>
        <v>#REF!</v>
      </c>
      <c r="U237" t="str">
        <f t="shared" si="165"/>
        <v>n/a</v>
      </c>
      <c r="V237">
        <f t="shared" si="166"/>
        <v>1</v>
      </c>
      <c r="W237" t="e">
        <f t="shared" si="167"/>
        <v>#REF!</v>
      </c>
      <c r="X237" t="e">
        <f t="shared" ref="X237:Z252" ca="1" si="199">X236+MATCH(X$10,OFFSET($W$12,X236,0,300,1),0)</f>
        <v>#N/A</v>
      </c>
      <c r="Y237" t="e">
        <f t="shared" ca="1" si="199"/>
        <v>#N/A</v>
      </c>
      <c r="Z237" t="e">
        <f t="shared" ca="1" si="199"/>
        <v>#N/A</v>
      </c>
      <c r="AB237">
        <f t="shared" ca="1" si="156"/>
        <v>0</v>
      </c>
      <c r="AC237">
        <f t="shared" ca="1" si="156"/>
        <v>0</v>
      </c>
      <c r="AD237">
        <f t="shared" ca="1" si="156"/>
        <v>0</v>
      </c>
      <c r="AF237" t="e">
        <f t="shared" si="169"/>
        <v>#REF!</v>
      </c>
      <c r="AG237" t="e">
        <f t="shared" ref="AG237:AM252" ca="1" si="200">IFERROR(AG236+MATCH(AG$10,OFFSET($AF$12,AG236,0,300-AG236,1),0),NA())</f>
        <v>#N/A</v>
      </c>
      <c r="AH237" t="e">
        <f t="shared" ca="1" si="200"/>
        <v>#N/A</v>
      </c>
      <c r="AI237" t="e">
        <f t="shared" ca="1" si="200"/>
        <v>#N/A</v>
      </c>
      <c r="AJ237" t="e">
        <f t="shared" ca="1" si="200"/>
        <v>#N/A</v>
      </c>
      <c r="AK237" t="e">
        <f t="shared" ca="1" si="200"/>
        <v>#N/A</v>
      </c>
      <c r="AL237" t="e">
        <f t="shared" ca="1" si="200"/>
        <v>#N/A</v>
      </c>
      <c r="AM237" t="e">
        <f t="shared" ca="1" si="200"/>
        <v>#N/A</v>
      </c>
      <c r="AN237">
        <f t="shared" ca="1" si="171"/>
        <v>0</v>
      </c>
      <c r="AO237">
        <f t="shared" ca="1" si="172"/>
        <v>0</v>
      </c>
      <c r="AP237">
        <f t="shared" ca="1" si="173"/>
        <v>0</v>
      </c>
      <c r="AQ237">
        <f t="shared" ca="1" si="174"/>
        <v>0</v>
      </c>
      <c r="AR237">
        <f t="shared" ca="1" si="175"/>
        <v>0</v>
      </c>
      <c r="AS237">
        <f t="shared" ca="1" si="176"/>
        <v>0</v>
      </c>
      <c r="AT237">
        <f t="shared" ca="1" si="177"/>
        <v>0</v>
      </c>
      <c r="AV237" t="e">
        <f t="shared" si="6"/>
        <v>#REF!</v>
      </c>
      <c r="AW237" t="e" cm="1">
        <f t="array" ref="AW237">INDEX(auto_DataFlat_Score,$AV237,1)</f>
        <v>#REF!</v>
      </c>
      <c r="AX237" t="e" cm="1">
        <f t="array" ref="AX237">INDEX(auto_DataFlat_DataValue,$AV237,1)</f>
        <v>#REF!</v>
      </c>
      <c r="BA237" t="str">
        <f t="shared" si="178"/>
        <v>n/a</v>
      </c>
      <c r="BB237">
        <f t="shared" si="179"/>
        <v>1</v>
      </c>
      <c r="BC237" t="e">
        <f t="shared" si="180"/>
        <v>#REF!</v>
      </c>
      <c r="BD237" t="e">
        <f t="shared" ca="1" si="198"/>
        <v>#N/A</v>
      </c>
      <c r="BE237" t="e">
        <f t="shared" ca="1" si="198"/>
        <v>#N/A</v>
      </c>
      <c r="BF237" t="e">
        <f t="shared" ca="1" si="198"/>
        <v>#N/A</v>
      </c>
      <c r="BH237">
        <f t="shared" ca="1" si="157"/>
        <v>0</v>
      </c>
      <c r="BI237">
        <f t="shared" ca="1" si="157"/>
        <v>0</v>
      </c>
      <c r="BJ237">
        <f t="shared" ca="1" si="157"/>
        <v>0</v>
      </c>
      <c r="BM237" t="e">
        <f t="shared" si="181"/>
        <v>#REF!</v>
      </c>
      <c r="BN237" t="e">
        <f t="shared" ca="1" si="182"/>
        <v>#N/A</v>
      </c>
      <c r="BO237" t="e">
        <f t="shared" ca="1" si="183"/>
        <v>#N/A</v>
      </c>
      <c r="BP237" t="e">
        <f t="shared" ca="1" si="184"/>
        <v>#N/A</v>
      </c>
      <c r="BQ237" t="e">
        <f t="shared" ca="1" si="185"/>
        <v>#N/A</v>
      </c>
      <c r="BR237" t="e">
        <f t="shared" ca="1" si="186"/>
        <v>#N/A</v>
      </c>
      <c r="BS237" t="e">
        <f t="shared" ca="1" si="187"/>
        <v>#N/A</v>
      </c>
      <c r="BT237" t="e">
        <f t="shared" ca="1" si="188"/>
        <v>#N/A</v>
      </c>
      <c r="BU237">
        <f t="shared" ca="1" si="189"/>
        <v>0</v>
      </c>
      <c r="BV237">
        <f t="shared" ca="1" si="190"/>
        <v>0</v>
      </c>
      <c r="BW237">
        <f t="shared" ca="1" si="191"/>
        <v>0</v>
      </c>
      <c r="BX237">
        <f t="shared" ca="1" si="192"/>
        <v>0</v>
      </c>
      <c r="BY237">
        <f t="shared" ca="1" si="193"/>
        <v>0</v>
      </c>
      <c r="BZ237">
        <f t="shared" ca="1" si="163"/>
        <v>0</v>
      </c>
      <c r="CA237">
        <f t="shared" ca="1" si="164"/>
        <v>0</v>
      </c>
    </row>
    <row r="238" spans="1:79" x14ac:dyDescent="0.4">
      <c r="A238" t="str">
        <f t="shared" si="197"/>
        <v>X</v>
      </c>
      <c r="B238">
        <v>227</v>
      </c>
      <c r="C238" t="e" cm="1">
        <f t="array" ref="C238">INDEX(auto_Series_Code,B238)</f>
        <v>#REF!</v>
      </c>
      <c r="D238" t="e" cm="1">
        <f t="array" ref="D238">INDEX(auto_tblSeries,$B238,D$11)</f>
        <v>#REF!</v>
      </c>
      <c r="E238" t="e" cm="1">
        <f t="array" ref="E238">INDEX(auto_tblSeries,$B238,E$11)</f>
        <v>#REF!</v>
      </c>
      <c r="F238" t="e" cm="1">
        <f t="array" ref="F238">INDEX(auto_tblSeries,$B238,F$11)</f>
        <v>#REF!</v>
      </c>
      <c r="G238" t="e" cm="1">
        <f t="array" ref="G238">INDEX(auto_tblSeries,$B238,G$11)</f>
        <v>#REF!</v>
      </c>
      <c r="H238" t="e" cm="1">
        <f t="array" ref="H238">INDEX(auto_tblSeries,$B238,H$11)</f>
        <v>#REF!</v>
      </c>
      <c r="I238" t="e">
        <f t="shared" si="70"/>
        <v>#REF!</v>
      </c>
      <c r="K238" t="e" cm="1">
        <f t="array" ref="K238">INDEX(auto_DataFlat_Score,$I238,K$10)</f>
        <v>#REF!</v>
      </c>
      <c r="L238" t="e" cm="1">
        <f t="array" ref="L238">INDEX(auto_DataFlat_Rank,$I238,L$10)</f>
        <v>#REF!</v>
      </c>
      <c r="M238" t="e" cm="1">
        <f t="array" ref="M238">INDEX(auto_DataFlat_DataValue,$I238,M$10)</f>
        <v>#REF!</v>
      </c>
      <c r="N238" t="e" cm="1">
        <f t="array" ref="N238">INDEX(auto_DataFlat_Classification,$I238,M$10)</f>
        <v>#REF!</v>
      </c>
      <c r="O238" t="e" cm="1">
        <f t="array" ref="O238">INDEX(auto_DataFlat_IsEstimate,$I238,O$10)</f>
        <v>#REF!</v>
      </c>
      <c r="P238" t="e" cm="1">
        <f t="array" ref="P238">IF(INDEX(auto_DataFlat_DataYear,$I238,P$10)=0,"n/a",INDEX(auto_DataFlat_DataYear,$I238,P$10))</f>
        <v>#REF!</v>
      </c>
      <c r="R238" t="e">
        <f t="shared" si="161"/>
        <v>#REF!</v>
      </c>
      <c r="S238" t="e" cm="1">
        <f t="array" ref="S238">INDEX(auto_DataFlat_Score,$R238,S$10)</f>
        <v>#REF!</v>
      </c>
      <c r="U238" t="str">
        <f t="shared" si="165"/>
        <v>n/a</v>
      </c>
      <c r="V238">
        <f t="shared" si="166"/>
        <v>1</v>
      </c>
      <c r="W238" t="e">
        <f t="shared" si="167"/>
        <v>#REF!</v>
      </c>
      <c r="X238" t="e">
        <f t="shared" ca="1" si="199"/>
        <v>#N/A</v>
      </c>
      <c r="Y238" t="e">
        <f t="shared" ca="1" si="199"/>
        <v>#N/A</v>
      </c>
      <c r="Z238" t="e">
        <f t="shared" ca="1" si="199"/>
        <v>#N/A</v>
      </c>
      <c r="AB238">
        <f t="shared" ca="1" si="156"/>
        <v>0</v>
      </c>
      <c r="AC238">
        <f t="shared" ca="1" si="156"/>
        <v>0</v>
      </c>
      <c r="AD238">
        <f t="shared" ca="1" si="156"/>
        <v>0</v>
      </c>
      <c r="AF238" t="e">
        <f t="shared" si="169"/>
        <v>#REF!</v>
      </c>
      <c r="AG238" t="e">
        <f t="shared" ca="1" si="200"/>
        <v>#N/A</v>
      </c>
      <c r="AH238" t="e">
        <f t="shared" ca="1" si="200"/>
        <v>#N/A</v>
      </c>
      <c r="AI238" t="e">
        <f t="shared" ca="1" si="200"/>
        <v>#N/A</v>
      </c>
      <c r="AJ238" t="e">
        <f t="shared" ca="1" si="200"/>
        <v>#N/A</v>
      </c>
      <c r="AK238" t="e">
        <f t="shared" ca="1" si="200"/>
        <v>#N/A</v>
      </c>
      <c r="AL238" t="e">
        <f t="shared" ca="1" si="200"/>
        <v>#N/A</v>
      </c>
      <c r="AM238" t="e">
        <f t="shared" ca="1" si="200"/>
        <v>#N/A</v>
      </c>
      <c r="AN238">
        <f t="shared" ca="1" si="171"/>
        <v>0</v>
      </c>
      <c r="AO238">
        <f t="shared" ca="1" si="172"/>
        <v>0</v>
      </c>
      <c r="AP238">
        <f t="shared" ca="1" si="173"/>
        <v>0</v>
      </c>
      <c r="AQ238">
        <f t="shared" ca="1" si="174"/>
        <v>0</v>
      </c>
      <c r="AR238">
        <f t="shared" ca="1" si="175"/>
        <v>0</v>
      </c>
      <c r="AS238">
        <f t="shared" ca="1" si="176"/>
        <v>0</v>
      </c>
      <c r="AT238">
        <f t="shared" ca="1" si="177"/>
        <v>0</v>
      </c>
      <c r="AV238" t="e">
        <f t="shared" si="6"/>
        <v>#REF!</v>
      </c>
      <c r="AW238" t="e" cm="1">
        <f t="array" ref="AW238">INDEX(auto_DataFlat_Score,$AV238,1)</f>
        <v>#REF!</v>
      </c>
      <c r="AX238" t="e" cm="1">
        <f t="array" ref="AX238">INDEX(auto_DataFlat_DataValue,$AV238,1)</f>
        <v>#REF!</v>
      </c>
      <c r="BA238" t="str">
        <f t="shared" si="178"/>
        <v>n/a</v>
      </c>
      <c r="BB238">
        <f t="shared" si="179"/>
        <v>1</v>
      </c>
      <c r="BC238" t="e">
        <f t="shared" si="180"/>
        <v>#REF!</v>
      </c>
      <c r="BD238" t="e">
        <f t="shared" ca="1" si="198"/>
        <v>#N/A</v>
      </c>
      <c r="BE238" t="e">
        <f t="shared" ca="1" si="198"/>
        <v>#N/A</v>
      </c>
      <c r="BF238" t="e">
        <f t="shared" ca="1" si="198"/>
        <v>#N/A</v>
      </c>
      <c r="BH238">
        <f t="shared" ca="1" si="157"/>
        <v>0</v>
      </c>
      <c r="BI238">
        <f t="shared" ca="1" si="157"/>
        <v>0</v>
      </c>
      <c r="BJ238">
        <f t="shared" ca="1" si="157"/>
        <v>0</v>
      </c>
      <c r="BM238" t="e">
        <f t="shared" si="181"/>
        <v>#REF!</v>
      </c>
      <c r="BN238" t="e">
        <f t="shared" ca="1" si="182"/>
        <v>#N/A</v>
      </c>
      <c r="BO238" t="e">
        <f t="shared" ca="1" si="183"/>
        <v>#N/A</v>
      </c>
      <c r="BP238" t="e">
        <f t="shared" ca="1" si="184"/>
        <v>#N/A</v>
      </c>
      <c r="BQ238" t="e">
        <f t="shared" ca="1" si="185"/>
        <v>#N/A</v>
      </c>
      <c r="BR238" t="e">
        <f t="shared" ca="1" si="186"/>
        <v>#N/A</v>
      </c>
      <c r="BS238" t="e">
        <f t="shared" ca="1" si="187"/>
        <v>#N/A</v>
      </c>
      <c r="BT238" t="e">
        <f t="shared" ca="1" si="188"/>
        <v>#N/A</v>
      </c>
      <c r="BU238">
        <f t="shared" ca="1" si="189"/>
        <v>0</v>
      </c>
      <c r="BV238">
        <f t="shared" ca="1" si="190"/>
        <v>0</v>
      </c>
      <c r="BW238">
        <f t="shared" ca="1" si="191"/>
        <v>0</v>
      </c>
      <c r="BX238">
        <f t="shared" ca="1" si="192"/>
        <v>0</v>
      </c>
      <c r="BY238">
        <f t="shared" ca="1" si="193"/>
        <v>0</v>
      </c>
      <c r="BZ238">
        <f t="shared" ca="1" si="163"/>
        <v>0</v>
      </c>
      <c r="CA238">
        <f t="shared" ca="1" si="164"/>
        <v>0</v>
      </c>
    </row>
    <row r="239" spans="1:79" x14ac:dyDescent="0.4">
      <c r="A239" t="str">
        <f t="shared" si="197"/>
        <v>X</v>
      </c>
      <c r="B239">
        <v>228</v>
      </c>
      <c r="C239" t="e" cm="1">
        <f t="array" ref="C239">INDEX(auto_Series_Code,B239)</f>
        <v>#REF!</v>
      </c>
      <c r="D239" t="e" cm="1">
        <f t="array" ref="D239">INDEX(auto_tblSeries,$B239,D$11)</f>
        <v>#REF!</v>
      </c>
      <c r="E239" t="e" cm="1">
        <f t="array" ref="E239">INDEX(auto_tblSeries,$B239,E$11)</f>
        <v>#REF!</v>
      </c>
      <c r="F239" t="e" cm="1">
        <f t="array" ref="F239">INDEX(auto_tblSeries,$B239,F$11)</f>
        <v>#REF!</v>
      </c>
      <c r="G239" t="e" cm="1">
        <f t="array" ref="G239">INDEX(auto_tblSeries,$B239,G$11)</f>
        <v>#REF!</v>
      </c>
      <c r="H239" t="e" cm="1">
        <f t="array" ref="H239">INDEX(auto_tblSeries,$B239,H$11)</f>
        <v>#REF!</v>
      </c>
      <c r="I239" t="e">
        <f t="shared" si="70"/>
        <v>#REF!</v>
      </c>
      <c r="K239" t="e" cm="1">
        <f t="array" ref="K239">INDEX(auto_DataFlat_Score,$I239,K$10)</f>
        <v>#REF!</v>
      </c>
      <c r="L239" t="e" cm="1">
        <f t="array" ref="L239">INDEX(auto_DataFlat_Rank,$I239,L$10)</f>
        <v>#REF!</v>
      </c>
      <c r="M239" t="e" cm="1">
        <f t="array" ref="M239">INDEX(auto_DataFlat_DataValue,$I239,M$10)</f>
        <v>#REF!</v>
      </c>
      <c r="N239" t="e" cm="1">
        <f t="array" ref="N239">INDEX(auto_DataFlat_Classification,$I239,M$10)</f>
        <v>#REF!</v>
      </c>
      <c r="O239" t="e" cm="1">
        <f t="array" ref="O239">INDEX(auto_DataFlat_IsEstimate,$I239,O$10)</f>
        <v>#REF!</v>
      </c>
      <c r="P239" t="e" cm="1">
        <f t="array" ref="P239">IF(INDEX(auto_DataFlat_DataYear,$I239,P$10)=0,"n/a",INDEX(auto_DataFlat_DataYear,$I239,P$10))</f>
        <v>#REF!</v>
      </c>
      <c r="R239" t="e">
        <f t="shared" si="161"/>
        <v>#REF!</v>
      </c>
      <c r="S239" t="e" cm="1">
        <f t="array" ref="S239">INDEX(auto_DataFlat_Score,$R239,S$10)</f>
        <v>#REF!</v>
      </c>
      <c r="U239" t="str">
        <f t="shared" si="165"/>
        <v>n/a</v>
      </c>
      <c r="V239">
        <f t="shared" si="166"/>
        <v>1</v>
      </c>
      <c r="W239" t="e">
        <f t="shared" si="167"/>
        <v>#REF!</v>
      </c>
      <c r="X239" t="e">
        <f t="shared" ca="1" si="199"/>
        <v>#N/A</v>
      </c>
      <c r="Y239" t="e">
        <f t="shared" ca="1" si="199"/>
        <v>#N/A</v>
      </c>
      <c r="Z239" t="e">
        <f t="shared" ca="1" si="199"/>
        <v>#N/A</v>
      </c>
      <c r="AB239">
        <f t="shared" ca="1" si="156"/>
        <v>0</v>
      </c>
      <c r="AC239">
        <f t="shared" ca="1" si="156"/>
        <v>0</v>
      </c>
      <c r="AD239">
        <f t="shared" ca="1" si="156"/>
        <v>0</v>
      </c>
      <c r="AF239" t="e">
        <f t="shared" si="169"/>
        <v>#REF!</v>
      </c>
      <c r="AG239" t="e">
        <f t="shared" ca="1" si="200"/>
        <v>#N/A</v>
      </c>
      <c r="AH239" t="e">
        <f t="shared" ca="1" si="200"/>
        <v>#N/A</v>
      </c>
      <c r="AI239" t="e">
        <f t="shared" ca="1" si="200"/>
        <v>#N/A</v>
      </c>
      <c r="AJ239" t="e">
        <f t="shared" ca="1" si="200"/>
        <v>#N/A</v>
      </c>
      <c r="AK239" t="e">
        <f t="shared" ca="1" si="200"/>
        <v>#N/A</v>
      </c>
      <c r="AL239" t="e">
        <f t="shared" ca="1" si="200"/>
        <v>#N/A</v>
      </c>
      <c r="AM239" t="e">
        <f t="shared" ca="1" si="200"/>
        <v>#N/A</v>
      </c>
      <c r="AN239">
        <f t="shared" ca="1" si="171"/>
        <v>0</v>
      </c>
      <c r="AO239">
        <f t="shared" ca="1" si="172"/>
        <v>0</v>
      </c>
      <c r="AP239">
        <f t="shared" ca="1" si="173"/>
        <v>0</v>
      </c>
      <c r="AQ239">
        <f t="shared" ca="1" si="174"/>
        <v>0</v>
      </c>
      <c r="AR239">
        <f t="shared" ca="1" si="175"/>
        <v>0</v>
      </c>
      <c r="AS239">
        <f t="shared" ca="1" si="176"/>
        <v>0</v>
      </c>
      <c r="AT239">
        <f t="shared" ca="1" si="177"/>
        <v>0</v>
      </c>
      <c r="AV239" t="e">
        <f t="shared" si="6"/>
        <v>#REF!</v>
      </c>
      <c r="AW239" t="e" cm="1">
        <f t="array" ref="AW239">INDEX(auto_DataFlat_Score,$AV239,1)</f>
        <v>#REF!</v>
      </c>
      <c r="AX239" t="e" cm="1">
        <f t="array" ref="AX239">INDEX(auto_DataFlat_DataValue,$AV239,1)</f>
        <v>#REF!</v>
      </c>
      <c r="BA239" t="str">
        <f t="shared" si="178"/>
        <v>n/a</v>
      </c>
      <c r="BB239">
        <f t="shared" si="179"/>
        <v>1</v>
      </c>
      <c r="BC239" t="e">
        <f t="shared" si="180"/>
        <v>#REF!</v>
      </c>
      <c r="BD239" t="e">
        <f t="shared" ca="1" si="198"/>
        <v>#N/A</v>
      </c>
      <c r="BE239" t="e">
        <f t="shared" ca="1" si="198"/>
        <v>#N/A</v>
      </c>
      <c r="BF239" t="e">
        <f t="shared" ca="1" si="198"/>
        <v>#N/A</v>
      </c>
      <c r="BH239">
        <f t="shared" ca="1" si="157"/>
        <v>0</v>
      </c>
      <c r="BI239">
        <f t="shared" ca="1" si="157"/>
        <v>0</v>
      </c>
      <c r="BJ239">
        <f t="shared" ca="1" si="157"/>
        <v>0</v>
      </c>
      <c r="BM239" t="e">
        <f t="shared" si="181"/>
        <v>#REF!</v>
      </c>
      <c r="BN239" t="e">
        <f t="shared" ca="1" si="182"/>
        <v>#N/A</v>
      </c>
      <c r="BO239" t="e">
        <f t="shared" ca="1" si="183"/>
        <v>#N/A</v>
      </c>
      <c r="BP239" t="e">
        <f t="shared" ca="1" si="184"/>
        <v>#N/A</v>
      </c>
      <c r="BQ239" t="e">
        <f t="shared" ca="1" si="185"/>
        <v>#N/A</v>
      </c>
      <c r="BR239" t="e">
        <f t="shared" ca="1" si="186"/>
        <v>#N/A</v>
      </c>
      <c r="BS239" t="e">
        <f t="shared" ca="1" si="187"/>
        <v>#N/A</v>
      </c>
      <c r="BT239" t="e">
        <f t="shared" ca="1" si="188"/>
        <v>#N/A</v>
      </c>
      <c r="BU239">
        <f t="shared" ca="1" si="189"/>
        <v>0</v>
      </c>
      <c r="BV239">
        <f t="shared" ca="1" si="190"/>
        <v>0</v>
      </c>
      <c r="BW239">
        <f t="shared" ca="1" si="191"/>
        <v>0</v>
      </c>
      <c r="BX239">
        <f t="shared" ca="1" si="192"/>
        <v>0</v>
      </c>
      <c r="BY239">
        <f t="shared" ca="1" si="193"/>
        <v>0</v>
      </c>
      <c r="BZ239">
        <f t="shared" ca="1" si="163"/>
        <v>0</v>
      </c>
      <c r="CA239">
        <f t="shared" ca="1" si="164"/>
        <v>0</v>
      </c>
    </row>
    <row r="240" spans="1:79" x14ac:dyDescent="0.4">
      <c r="A240" t="str">
        <f t="shared" si="197"/>
        <v>X</v>
      </c>
      <c r="B240">
        <v>229</v>
      </c>
      <c r="C240" t="e" cm="1">
        <f t="array" ref="C240">INDEX(auto_Series_Code,B240)</f>
        <v>#REF!</v>
      </c>
      <c r="D240" t="e" cm="1">
        <f t="array" ref="D240">INDEX(auto_tblSeries,$B240,D$11)</f>
        <v>#REF!</v>
      </c>
      <c r="E240" t="e" cm="1">
        <f t="array" ref="E240">INDEX(auto_tblSeries,$B240,E$11)</f>
        <v>#REF!</v>
      </c>
      <c r="F240" t="e" cm="1">
        <f t="array" ref="F240">INDEX(auto_tblSeries,$B240,F$11)</f>
        <v>#REF!</v>
      </c>
      <c r="G240" t="e" cm="1">
        <f t="array" ref="G240">INDEX(auto_tblSeries,$B240,G$11)</f>
        <v>#REF!</v>
      </c>
      <c r="H240" t="e" cm="1">
        <f t="array" ref="H240">INDEX(auto_tblSeries,$B240,H$11)</f>
        <v>#REF!</v>
      </c>
      <c r="I240" t="e">
        <f t="shared" si="70"/>
        <v>#REF!</v>
      </c>
      <c r="K240" t="e" cm="1">
        <f t="array" ref="K240">INDEX(auto_DataFlat_Score,$I240,K$10)</f>
        <v>#REF!</v>
      </c>
      <c r="L240" t="e" cm="1">
        <f t="array" ref="L240">INDEX(auto_DataFlat_Rank,$I240,L$10)</f>
        <v>#REF!</v>
      </c>
      <c r="M240" t="e" cm="1">
        <f t="array" ref="M240">INDEX(auto_DataFlat_DataValue,$I240,M$10)</f>
        <v>#REF!</v>
      </c>
      <c r="N240" t="e" cm="1">
        <f t="array" ref="N240">INDEX(auto_DataFlat_Classification,$I240,M$10)</f>
        <v>#REF!</v>
      </c>
      <c r="O240" t="e" cm="1">
        <f t="array" ref="O240">INDEX(auto_DataFlat_IsEstimate,$I240,O$10)</f>
        <v>#REF!</v>
      </c>
      <c r="P240" t="e" cm="1">
        <f t="array" ref="P240">IF(INDEX(auto_DataFlat_DataYear,$I240,P$10)=0,"n/a",INDEX(auto_DataFlat_DataYear,$I240,P$10))</f>
        <v>#REF!</v>
      </c>
      <c r="R240" t="e">
        <f t="shared" si="161"/>
        <v>#REF!</v>
      </c>
      <c r="S240" t="e" cm="1">
        <f t="array" ref="S240">INDEX(auto_DataFlat_Score,$R240,S$10)</f>
        <v>#REF!</v>
      </c>
      <c r="U240" t="str">
        <f t="shared" si="165"/>
        <v>n/a</v>
      </c>
      <c r="V240">
        <f t="shared" si="166"/>
        <v>1</v>
      </c>
      <c r="W240" t="e">
        <f t="shared" si="167"/>
        <v>#REF!</v>
      </c>
      <c r="X240" t="e">
        <f t="shared" ca="1" si="199"/>
        <v>#N/A</v>
      </c>
      <c r="Y240" t="e">
        <f t="shared" ca="1" si="199"/>
        <v>#N/A</v>
      </c>
      <c r="Z240" t="e">
        <f t="shared" ca="1" si="199"/>
        <v>#N/A</v>
      </c>
      <c r="AB240">
        <f t="shared" ca="1" si="156"/>
        <v>0</v>
      </c>
      <c r="AC240">
        <f t="shared" ca="1" si="156"/>
        <v>0</v>
      </c>
      <c r="AD240">
        <f t="shared" ca="1" si="156"/>
        <v>0</v>
      </c>
      <c r="AF240" t="e">
        <f t="shared" si="169"/>
        <v>#REF!</v>
      </c>
      <c r="AG240" t="e">
        <f t="shared" ca="1" si="200"/>
        <v>#N/A</v>
      </c>
      <c r="AH240" t="e">
        <f t="shared" ca="1" si="200"/>
        <v>#N/A</v>
      </c>
      <c r="AI240" t="e">
        <f t="shared" ca="1" si="200"/>
        <v>#N/A</v>
      </c>
      <c r="AJ240" t="e">
        <f t="shared" ca="1" si="200"/>
        <v>#N/A</v>
      </c>
      <c r="AK240" t="e">
        <f t="shared" ca="1" si="200"/>
        <v>#N/A</v>
      </c>
      <c r="AL240" t="e">
        <f t="shared" ca="1" si="200"/>
        <v>#N/A</v>
      </c>
      <c r="AM240" t="e">
        <f t="shared" ca="1" si="200"/>
        <v>#N/A</v>
      </c>
      <c r="AN240">
        <f t="shared" ca="1" si="171"/>
        <v>0</v>
      </c>
      <c r="AO240">
        <f t="shared" ca="1" si="172"/>
        <v>0</v>
      </c>
      <c r="AP240">
        <f t="shared" ca="1" si="173"/>
        <v>0</v>
      </c>
      <c r="AQ240">
        <f t="shared" ca="1" si="174"/>
        <v>0</v>
      </c>
      <c r="AR240">
        <f t="shared" ca="1" si="175"/>
        <v>0</v>
      </c>
      <c r="AS240">
        <f t="shared" ca="1" si="176"/>
        <v>0</v>
      </c>
      <c r="AT240">
        <f t="shared" ca="1" si="177"/>
        <v>0</v>
      </c>
      <c r="AV240" t="e">
        <f t="shared" si="6"/>
        <v>#REF!</v>
      </c>
      <c r="AW240" t="e" cm="1">
        <f t="array" ref="AW240">INDEX(auto_DataFlat_Score,$AV240,1)</f>
        <v>#REF!</v>
      </c>
      <c r="AX240" t="e" cm="1">
        <f t="array" ref="AX240">INDEX(auto_DataFlat_DataValue,$AV240,1)</f>
        <v>#REF!</v>
      </c>
      <c r="BA240" t="str">
        <f t="shared" si="178"/>
        <v>n/a</v>
      </c>
      <c r="BB240">
        <f t="shared" si="179"/>
        <v>1</v>
      </c>
      <c r="BC240" t="e">
        <f t="shared" si="180"/>
        <v>#REF!</v>
      </c>
      <c r="BD240" t="e">
        <f t="shared" ca="1" si="198"/>
        <v>#N/A</v>
      </c>
      <c r="BE240" t="e">
        <f t="shared" ca="1" si="198"/>
        <v>#N/A</v>
      </c>
      <c r="BF240" t="e">
        <f t="shared" ca="1" si="198"/>
        <v>#N/A</v>
      </c>
      <c r="BH240">
        <f t="shared" ca="1" si="157"/>
        <v>0</v>
      </c>
      <c r="BI240">
        <f t="shared" ca="1" si="157"/>
        <v>0</v>
      </c>
      <c r="BJ240">
        <f t="shared" ca="1" si="157"/>
        <v>0</v>
      </c>
      <c r="BM240" t="e">
        <f t="shared" si="181"/>
        <v>#REF!</v>
      </c>
      <c r="BN240" t="e">
        <f t="shared" ca="1" si="182"/>
        <v>#N/A</v>
      </c>
      <c r="BO240" t="e">
        <f t="shared" ca="1" si="183"/>
        <v>#N/A</v>
      </c>
      <c r="BP240" t="e">
        <f t="shared" ca="1" si="184"/>
        <v>#N/A</v>
      </c>
      <c r="BQ240" t="e">
        <f t="shared" ca="1" si="185"/>
        <v>#N/A</v>
      </c>
      <c r="BR240" t="e">
        <f t="shared" ca="1" si="186"/>
        <v>#N/A</v>
      </c>
      <c r="BS240" t="e">
        <f t="shared" ca="1" si="187"/>
        <v>#N/A</v>
      </c>
      <c r="BT240" t="e">
        <f t="shared" ca="1" si="188"/>
        <v>#N/A</v>
      </c>
      <c r="BU240">
        <f t="shared" ca="1" si="189"/>
        <v>0</v>
      </c>
      <c r="BV240">
        <f t="shared" ca="1" si="190"/>
        <v>0</v>
      </c>
      <c r="BW240">
        <f t="shared" ca="1" si="191"/>
        <v>0</v>
      </c>
      <c r="BX240">
        <f t="shared" ca="1" si="192"/>
        <v>0</v>
      </c>
      <c r="BY240">
        <f t="shared" ca="1" si="193"/>
        <v>0</v>
      </c>
      <c r="BZ240">
        <f t="shared" ca="1" si="163"/>
        <v>0</v>
      </c>
      <c r="CA240">
        <f t="shared" ca="1" si="164"/>
        <v>0</v>
      </c>
    </row>
    <row r="241" spans="1:79" x14ac:dyDescent="0.4">
      <c r="A241" t="str">
        <f t="shared" si="197"/>
        <v>X</v>
      </c>
      <c r="B241">
        <v>230</v>
      </c>
      <c r="C241" t="e" cm="1">
        <f t="array" ref="C241">INDEX(auto_Series_Code,B241)</f>
        <v>#REF!</v>
      </c>
      <c r="D241" t="e" cm="1">
        <f t="array" ref="D241">INDEX(auto_tblSeries,$B241,D$11)</f>
        <v>#REF!</v>
      </c>
      <c r="E241" t="e" cm="1">
        <f t="array" ref="E241">INDEX(auto_tblSeries,$B241,E$11)</f>
        <v>#REF!</v>
      </c>
      <c r="F241" t="e" cm="1">
        <f t="array" ref="F241">INDEX(auto_tblSeries,$B241,F$11)</f>
        <v>#REF!</v>
      </c>
      <c r="G241" t="e" cm="1">
        <f t="array" ref="G241">INDEX(auto_tblSeries,$B241,G$11)</f>
        <v>#REF!</v>
      </c>
      <c r="H241" t="e" cm="1">
        <f t="array" ref="H241">INDEX(auto_tblSeries,$B241,H$11)</f>
        <v>#REF!</v>
      </c>
      <c r="I241" t="e">
        <f t="shared" si="70"/>
        <v>#REF!</v>
      </c>
      <c r="K241" t="e" cm="1">
        <f t="array" ref="K241">INDEX(auto_DataFlat_Score,$I241,K$10)</f>
        <v>#REF!</v>
      </c>
      <c r="L241" t="e" cm="1">
        <f t="array" ref="L241">INDEX(auto_DataFlat_Rank,$I241,L$10)</f>
        <v>#REF!</v>
      </c>
      <c r="M241" t="e" cm="1">
        <f t="array" ref="M241">INDEX(auto_DataFlat_DataValue,$I241,M$10)</f>
        <v>#REF!</v>
      </c>
      <c r="N241" t="e" cm="1">
        <f t="array" ref="N241">INDEX(auto_DataFlat_Classification,$I241,M$10)</f>
        <v>#REF!</v>
      </c>
      <c r="O241" t="e" cm="1">
        <f t="array" ref="O241">INDEX(auto_DataFlat_IsEstimate,$I241,O$10)</f>
        <v>#REF!</v>
      </c>
      <c r="P241" t="e" cm="1">
        <f t="array" ref="P241">IF(INDEX(auto_DataFlat_DataYear,$I241,P$10)=0,"n/a",INDEX(auto_DataFlat_DataYear,$I241,P$10))</f>
        <v>#REF!</v>
      </c>
      <c r="R241" t="e">
        <f t="shared" si="161"/>
        <v>#REF!</v>
      </c>
      <c r="S241" t="e" cm="1">
        <f t="array" ref="S241">INDEX(auto_DataFlat_Score,$R241,S$10)</f>
        <v>#REF!</v>
      </c>
      <c r="U241" t="str">
        <f t="shared" si="165"/>
        <v>n/a</v>
      </c>
      <c r="V241">
        <f t="shared" si="166"/>
        <v>1</v>
      </c>
      <c r="W241" t="e">
        <f t="shared" si="167"/>
        <v>#REF!</v>
      </c>
      <c r="X241" t="e">
        <f t="shared" ca="1" si="199"/>
        <v>#N/A</v>
      </c>
      <c r="Y241" t="e">
        <f t="shared" ca="1" si="199"/>
        <v>#N/A</v>
      </c>
      <c r="Z241" t="e">
        <f t="shared" ca="1" si="199"/>
        <v>#N/A</v>
      </c>
      <c r="AB241">
        <f t="shared" ca="1" si="156"/>
        <v>0</v>
      </c>
      <c r="AC241">
        <f t="shared" ca="1" si="156"/>
        <v>0</v>
      </c>
      <c r="AD241">
        <f t="shared" ca="1" si="156"/>
        <v>0</v>
      </c>
      <c r="AF241" t="e">
        <f t="shared" si="169"/>
        <v>#REF!</v>
      </c>
      <c r="AG241" t="e">
        <f t="shared" ca="1" si="200"/>
        <v>#N/A</v>
      </c>
      <c r="AH241" t="e">
        <f t="shared" ca="1" si="200"/>
        <v>#N/A</v>
      </c>
      <c r="AI241" t="e">
        <f t="shared" ca="1" si="200"/>
        <v>#N/A</v>
      </c>
      <c r="AJ241" t="e">
        <f t="shared" ca="1" si="200"/>
        <v>#N/A</v>
      </c>
      <c r="AK241" t="e">
        <f t="shared" ca="1" si="200"/>
        <v>#N/A</v>
      </c>
      <c r="AL241" t="e">
        <f t="shared" ca="1" si="200"/>
        <v>#N/A</v>
      </c>
      <c r="AM241" t="e">
        <f t="shared" ca="1" si="200"/>
        <v>#N/A</v>
      </c>
      <c r="AN241">
        <f t="shared" ca="1" si="171"/>
        <v>0</v>
      </c>
      <c r="AO241">
        <f t="shared" ca="1" si="172"/>
        <v>0</v>
      </c>
      <c r="AP241">
        <f t="shared" ca="1" si="173"/>
        <v>0</v>
      </c>
      <c r="AQ241">
        <f t="shared" ca="1" si="174"/>
        <v>0</v>
      </c>
      <c r="AR241">
        <f t="shared" ca="1" si="175"/>
        <v>0</v>
      </c>
      <c r="AS241">
        <f t="shared" ca="1" si="176"/>
        <v>0</v>
      </c>
      <c r="AT241">
        <f t="shared" ca="1" si="177"/>
        <v>0</v>
      </c>
      <c r="AV241" t="e">
        <f t="shared" si="6"/>
        <v>#REF!</v>
      </c>
      <c r="AW241" t="e" cm="1">
        <f t="array" ref="AW241">INDEX(auto_DataFlat_Score,$AV241,1)</f>
        <v>#REF!</v>
      </c>
      <c r="AX241" t="e" cm="1">
        <f t="array" ref="AX241">INDEX(auto_DataFlat_DataValue,$AV241,1)</f>
        <v>#REF!</v>
      </c>
      <c r="BA241" t="str">
        <f t="shared" si="178"/>
        <v>n/a</v>
      </c>
      <c r="BB241">
        <f t="shared" si="179"/>
        <v>1</v>
      </c>
      <c r="BC241" t="e">
        <f t="shared" si="180"/>
        <v>#REF!</v>
      </c>
      <c r="BD241" t="e">
        <f t="shared" ca="1" si="198"/>
        <v>#N/A</v>
      </c>
      <c r="BE241" t="e">
        <f t="shared" ca="1" si="198"/>
        <v>#N/A</v>
      </c>
      <c r="BF241" t="e">
        <f t="shared" ca="1" si="198"/>
        <v>#N/A</v>
      </c>
      <c r="BH241">
        <f t="shared" ca="1" si="157"/>
        <v>0</v>
      </c>
      <c r="BI241">
        <f t="shared" ca="1" si="157"/>
        <v>0</v>
      </c>
      <c r="BJ241">
        <f t="shared" ca="1" si="157"/>
        <v>0</v>
      </c>
      <c r="BM241" t="e">
        <f t="shared" si="181"/>
        <v>#REF!</v>
      </c>
      <c r="BN241" t="e">
        <f t="shared" ca="1" si="182"/>
        <v>#N/A</v>
      </c>
      <c r="BO241" t="e">
        <f t="shared" ca="1" si="183"/>
        <v>#N/A</v>
      </c>
      <c r="BP241" t="e">
        <f t="shared" ca="1" si="184"/>
        <v>#N/A</v>
      </c>
      <c r="BQ241" t="e">
        <f t="shared" ca="1" si="185"/>
        <v>#N/A</v>
      </c>
      <c r="BR241" t="e">
        <f t="shared" ca="1" si="186"/>
        <v>#N/A</v>
      </c>
      <c r="BS241" t="e">
        <f t="shared" ca="1" si="187"/>
        <v>#N/A</v>
      </c>
      <c r="BT241" t="e">
        <f t="shared" ca="1" si="188"/>
        <v>#N/A</v>
      </c>
      <c r="BU241">
        <f t="shared" ca="1" si="189"/>
        <v>0</v>
      </c>
      <c r="BV241">
        <f t="shared" ca="1" si="190"/>
        <v>0</v>
      </c>
      <c r="BW241">
        <f t="shared" ca="1" si="191"/>
        <v>0</v>
      </c>
      <c r="BX241">
        <f t="shared" ca="1" si="192"/>
        <v>0</v>
      </c>
      <c r="BY241">
        <f t="shared" ca="1" si="193"/>
        <v>0</v>
      </c>
      <c r="BZ241">
        <f t="shared" ca="1" si="163"/>
        <v>0</v>
      </c>
      <c r="CA241">
        <f t="shared" ca="1" si="164"/>
        <v>0</v>
      </c>
    </row>
    <row r="242" spans="1:79" x14ac:dyDescent="0.4">
      <c r="A242" t="str">
        <f t="shared" si="197"/>
        <v>X</v>
      </c>
      <c r="B242">
        <v>231</v>
      </c>
      <c r="C242" t="e" cm="1">
        <f t="array" ref="C242">INDEX(auto_Series_Code,B242)</f>
        <v>#REF!</v>
      </c>
      <c r="D242" t="e" cm="1">
        <f t="array" ref="D242">INDEX(auto_tblSeries,$B242,D$11)</f>
        <v>#REF!</v>
      </c>
      <c r="E242" t="e" cm="1">
        <f t="array" ref="E242">INDEX(auto_tblSeries,$B242,E$11)</f>
        <v>#REF!</v>
      </c>
      <c r="F242" t="e" cm="1">
        <f t="array" ref="F242">INDEX(auto_tblSeries,$B242,F$11)</f>
        <v>#REF!</v>
      </c>
      <c r="G242" t="e" cm="1">
        <f t="array" ref="G242">INDEX(auto_tblSeries,$B242,G$11)</f>
        <v>#REF!</v>
      </c>
      <c r="H242" t="e" cm="1">
        <f t="array" ref="H242">INDEX(auto_tblSeries,$B242,H$11)</f>
        <v>#REF!</v>
      </c>
      <c r="I242" t="e">
        <f t="shared" si="70"/>
        <v>#REF!</v>
      </c>
      <c r="K242" t="e" cm="1">
        <f t="array" ref="K242">INDEX(auto_DataFlat_Score,$I242,K$10)</f>
        <v>#REF!</v>
      </c>
      <c r="L242" t="e" cm="1">
        <f t="array" ref="L242">INDEX(auto_DataFlat_Rank,$I242,L$10)</f>
        <v>#REF!</v>
      </c>
      <c r="M242" t="e" cm="1">
        <f t="array" ref="M242">INDEX(auto_DataFlat_DataValue,$I242,M$10)</f>
        <v>#REF!</v>
      </c>
      <c r="N242" t="e" cm="1">
        <f t="array" ref="N242">INDEX(auto_DataFlat_Classification,$I242,M$10)</f>
        <v>#REF!</v>
      </c>
      <c r="O242" t="e" cm="1">
        <f t="array" ref="O242">INDEX(auto_DataFlat_IsEstimate,$I242,O$10)</f>
        <v>#REF!</v>
      </c>
      <c r="P242" t="e" cm="1">
        <f t="array" ref="P242">IF(INDEX(auto_DataFlat_DataYear,$I242,P$10)=0,"n/a",INDEX(auto_DataFlat_DataYear,$I242,P$10))</f>
        <v>#REF!</v>
      </c>
      <c r="R242" t="e">
        <f t="shared" si="161"/>
        <v>#REF!</v>
      </c>
      <c r="S242" t="e" cm="1">
        <f t="array" ref="S242">INDEX(auto_DataFlat_Score,$R242,S$10)</f>
        <v>#REF!</v>
      </c>
      <c r="U242" t="str">
        <f t="shared" si="165"/>
        <v>n/a</v>
      </c>
      <c r="V242">
        <f t="shared" si="166"/>
        <v>1</v>
      </c>
      <c r="W242" t="e">
        <f t="shared" si="167"/>
        <v>#REF!</v>
      </c>
      <c r="X242" t="e">
        <f t="shared" ca="1" si="199"/>
        <v>#N/A</v>
      </c>
      <c r="Y242" t="e">
        <f t="shared" ca="1" si="199"/>
        <v>#N/A</v>
      </c>
      <c r="Z242" t="e">
        <f t="shared" ca="1" si="199"/>
        <v>#N/A</v>
      </c>
      <c r="AB242">
        <f t="shared" ca="1" si="156"/>
        <v>0</v>
      </c>
      <c r="AC242">
        <f t="shared" ca="1" si="156"/>
        <v>0</v>
      </c>
      <c r="AD242">
        <f t="shared" ca="1" si="156"/>
        <v>0</v>
      </c>
      <c r="AF242" t="e">
        <f t="shared" si="169"/>
        <v>#REF!</v>
      </c>
      <c r="AG242" t="e">
        <f t="shared" ca="1" si="200"/>
        <v>#N/A</v>
      </c>
      <c r="AH242" t="e">
        <f t="shared" ca="1" si="200"/>
        <v>#N/A</v>
      </c>
      <c r="AI242" t="e">
        <f t="shared" ca="1" si="200"/>
        <v>#N/A</v>
      </c>
      <c r="AJ242" t="e">
        <f t="shared" ca="1" si="200"/>
        <v>#N/A</v>
      </c>
      <c r="AK242" t="e">
        <f t="shared" ca="1" si="200"/>
        <v>#N/A</v>
      </c>
      <c r="AL242" t="e">
        <f t="shared" ca="1" si="200"/>
        <v>#N/A</v>
      </c>
      <c r="AM242" t="e">
        <f t="shared" ca="1" si="200"/>
        <v>#N/A</v>
      </c>
      <c r="AN242">
        <f t="shared" ca="1" si="171"/>
        <v>0</v>
      </c>
      <c r="AO242">
        <f t="shared" ca="1" si="172"/>
        <v>0</v>
      </c>
      <c r="AP242">
        <f t="shared" ca="1" si="173"/>
        <v>0</v>
      </c>
      <c r="AQ242">
        <f t="shared" ca="1" si="174"/>
        <v>0</v>
      </c>
      <c r="AR242">
        <f t="shared" ca="1" si="175"/>
        <v>0</v>
      </c>
      <c r="AS242">
        <f t="shared" ca="1" si="176"/>
        <v>0</v>
      </c>
      <c r="AT242">
        <f t="shared" ca="1" si="177"/>
        <v>0</v>
      </c>
      <c r="AV242" t="e">
        <f t="shared" si="6"/>
        <v>#REF!</v>
      </c>
      <c r="AW242" t="e" cm="1">
        <f t="array" ref="AW242">INDEX(auto_DataFlat_Score,$AV242,1)</f>
        <v>#REF!</v>
      </c>
      <c r="AX242" t="e" cm="1">
        <f t="array" ref="AX242">INDEX(auto_DataFlat_DataValue,$AV242,1)</f>
        <v>#REF!</v>
      </c>
      <c r="BA242" t="str">
        <f t="shared" si="178"/>
        <v>n/a</v>
      </c>
      <c r="BB242">
        <f t="shared" si="179"/>
        <v>1</v>
      </c>
      <c r="BC242" t="e">
        <f t="shared" si="180"/>
        <v>#REF!</v>
      </c>
      <c r="BD242" t="e">
        <f t="shared" ca="1" si="198"/>
        <v>#N/A</v>
      </c>
      <c r="BE242" t="e">
        <f t="shared" ca="1" si="198"/>
        <v>#N/A</v>
      </c>
      <c r="BF242" t="e">
        <f t="shared" ca="1" si="198"/>
        <v>#N/A</v>
      </c>
      <c r="BH242">
        <f t="shared" ca="1" si="157"/>
        <v>0</v>
      </c>
      <c r="BI242">
        <f t="shared" ca="1" si="157"/>
        <v>0</v>
      </c>
      <c r="BJ242">
        <f t="shared" ca="1" si="157"/>
        <v>0</v>
      </c>
      <c r="BM242" t="e">
        <f t="shared" si="181"/>
        <v>#REF!</v>
      </c>
      <c r="BN242" t="e">
        <f t="shared" ca="1" si="182"/>
        <v>#N/A</v>
      </c>
      <c r="BO242" t="e">
        <f t="shared" ca="1" si="183"/>
        <v>#N/A</v>
      </c>
      <c r="BP242" t="e">
        <f t="shared" ca="1" si="184"/>
        <v>#N/A</v>
      </c>
      <c r="BQ242" t="e">
        <f t="shared" ca="1" si="185"/>
        <v>#N/A</v>
      </c>
      <c r="BR242" t="e">
        <f t="shared" ca="1" si="186"/>
        <v>#N/A</v>
      </c>
      <c r="BS242" t="e">
        <f t="shared" ca="1" si="187"/>
        <v>#N/A</v>
      </c>
      <c r="BT242" t="e">
        <f t="shared" ca="1" si="188"/>
        <v>#N/A</v>
      </c>
      <c r="BU242">
        <f t="shared" ca="1" si="189"/>
        <v>0</v>
      </c>
      <c r="BV242">
        <f t="shared" ca="1" si="190"/>
        <v>0</v>
      </c>
      <c r="BW242">
        <f t="shared" ca="1" si="191"/>
        <v>0</v>
      </c>
      <c r="BX242">
        <f t="shared" ca="1" si="192"/>
        <v>0</v>
      </c>
      <c r="BY242">
        <f t="shared" ca="1" si="193"/>
        <v>0</v>
      </c>
      <c r="BZ242">
        <f t="shared" ca="1" si="163"/>
        <v>0</v>
      </c>
      <c r="CA242">
        <f t="shared" ca="1" si="164"/>
        <v>0</v>
      </c>
    </row>
    <row r="243" spans="1:79" x14ac:dyDescent="0.4">
      <c r="A243" t="str">
        <f t="shared" si="197"/>
        <v>X</v>
      </c>
      <c r="B243">
        <v>232</v>
      </c>
      <c r="C243" t="e" cm="1">
        <f t="array" ref="C243">INDEX(auto_Series_Code,B243)</f>
        <v>#REF!</v>
      </c>
      <c r="D243" t="e" cm="1">
        <f t="array" ref="D243">INDEX(auto_tblSeries,$B243,D$11)</f>
        <v>#REF!</v>
      </c>
      <c r="E243" t="e" cm="1">
        <f t="array" ref="E243">INDEX(auto_tblSeries,$B243,E$11)</f>
        <v>#REF!</v>
      </c>
      <c r="F243" t="e" cm="1">
        <f t="array" ref="F243">INDEX(auto_tblSeries,$B243,F$11)</f>
        <v>#REF!</v>
      </c>
      <c r="G243" t="e" cm="1">
        <f t="array" ref="G243">INDEX(auto_tblSeries,$B243,G$11)</f>
        <v>#REF!</v>
      </c>
      <c r="H243" t="e" cm="1">
        <f t="array" ref="H243">INDEX(auto_tblSeries,$B243,H$11)</f>
        <v>#REF!</v>
      </c>
      <c r="I243" t="e">
        <f t="shared" si="70"/>
        <v>#REF!</v>
      </c>
      <c r="K243" t="e" cm="1">
        <f t="array" ref="K243">INDEX(auto_DataFlat_Score,$I243,K$10)</f>
        <v>#REF!</v>
      </c>
      <c r="L243" t="e" cm="1">
        <f t="array" ref="L243">INDEX(auto_DataFlat_Rank,$I243,L$10)</f>
        <v>#REF!</v>
      </c>
      <c r="M243" t="e" cm="1">
        <f t="array" ref="M243">INDEX(auto_DataFlat_DataValue,$I243,M$10)</f>
        <v>#REF!</v>
      </c>
      <c r="N243" t="e" cm="1">
        <f t="array" ref="N243">INDEX(auto_DataFlat_Classification,$I243,M$10)</f>
        <v>#REF!</v>
      </c>
      <c r="O243" t="e" cm="1">
        <f t="array" ref="O243">INDEX(auto_DataFlat_IsEstimate,$I243,O$10)</f>
        <v>#REF!</v>
      </c>
      <c r="P243" t="e" cm="1">
        <f t="array" ref="P243">IF(INDEX(auto_DataFlat_DataYear,$I243,P$10)=0,"n/a",INDEX(auto_DataFlat_DataYear,$I243,P$10))</f>
        <v>#REF!</v>
      </c>
      <c r="R243" t="e">
        <f t="shared" si="161"/>
        <v>#REF!</v>
      </c>
      <c r="S243" t="e" cm="1">
        <f t="array" ref="S243">INDEX(auto_DataFlat_Score,$R243,S$10)</f>
        <v>#REF!</v>
      </c>
      <c r="U243" t="str">
        <f t="shared" si="165"/>
        <v>n/a</v>
      </c>
      <c r="V243">
        <f t="shared" si="166"/>
        <v>1</v>
      </c>
      <c r="W243" t="e">
        <f t="shared" si="167"/>
        <v>#REF!</v>
      </c>
      <c r="X243" t="e">
        <f t="shared" ca="1" si="199"/>
        <v>#N/A</v>
      </c>
      <c r="Y243" t="e">
        <f t="shared" ca="1" si="199"/>
        <v>#N/A</v>
      </c>
      <c r="Z243" t="e">
        <f t="shared" ca="1" si="199"/>
        <v>#N/A</v>
      </c>
      <c r="AB243">
        <f t="shared" ca="1" si="156"/>
        <v>0</v>
      </c>
      <c r="AC243">
        <f t="shared" ca="1" si="156"/>
        <v>0</v>
      </c>
      <c r="AD243">
        <f t="shared" ca="1" si="156"/>
        <v>0</v>
      </c>
      <c r="AF243" t="e">
        <f t="shared" si="169"/>
        <v>#REF!</v>
      </c>
      <c r="AG243" t="e">
        <f t="shared" ca="1" si="200"/>
        <v>#N/A</v>
      </c>
      <c r="AH243" t="e">
        <f t="shared" ca="1" si="200"/>
        <v>#N/A</v>
      </c>
      <c r="AI243" t="e">
        <f t="shared" ca="1" si="200"/>
        <v>#N/A</v>
      </c>
      <c r="AJ243" t="e">
        <f t="shared" ca="1" si="200"/>
        <v>#N/A</v>
      </c>
      <c r="AK243" t="e">
        <f t="shared" ca="1" si="200"/>
        <v>#N/A</v>
      </c>
      <c r="AL243" t="e">
        <f t="shared" ca="1" si="200"/>
        <v>#N/A</v>
      </c>
      <c r="AM243" t="e">
        <f t="shared" ca="1" si="200"/>
        <v>#N/A</v>
      </c>
      <c r="AN243">
        <f t="shared" ca="1" si="171"/>
        <v>0</v>
      </c>
      <c r="AO243">
        <f t="shared" ca="1" si="172"/>
        <v>0</v>
      </c>
      <c r="AP243">
        <f t="shared" ca="1" si="173"/>
        <v>0</v>
      </c>
      <c r="AQ243">
        <f t="shared" ca="1" si="174"/>
        <v>0</v>
      </c>
      <c r="AR243">
        <f t="shared" ca="1" si="175"/>
        <v>0</v>
      </c>
      <c r="AS243">
        <f t="shared" ca="1" si="176"/>
        <v>0</v>
      </c>
      <c r="AT243">
        <f t="shared" ca="1" si="177"/>
        <v>0</v>
      </c>
      <c r="AV243" t="e">
        <f t="shared" si="6"/>
        <v>#REF!</v>
      </c>
      <c r="AW243" t="e" cm="1">
        <f t="array" ref="AW243">INDEX(auto_DataFlat_Score,$AV243,1)</f>
        <v>#REF!</v>
      </c>
      <c r="AX243" t="e" cm="1">
        <f t="array" ref="AX243">INDEX(auto_DataFlat_DataValue,$AV243,1)</f>
        <v>#REF!</v>
      </c>
      <c r="BA243" t="str">
        <f t="shared" si="178"/>
        <v>n/a</v>
      </c>
      <c r="BB243">
        <f t="shared" si="179"/>
        <v>1</v>
      </c>
      <c r="BC243" t="e">
        <f t="shared" si="180"/>
        <v>#REF!</v>
      </c>
      <c r="BD243" t="e">
        <f t="shared" ca="1" si="198"/>
        <v>#N/A</v>
      </c>
      <c r="BE243" t="e">
        <f t="shared" ca="1" si="198"/>
        <v>#N/A</v>
      </c>
      <c r="BF243" t="e">
        <f t="shared" ca="1" si="198"/>
        <v>#N/A</v>
      </c>
      <c r="BH243">
        <f t="shared" ca="1" si="157"/>
        <v>0</v>
      </c>
      <c r="BI243">
        <f t="shared" ca="1" si="157"/>
        <v>0</v>
      </c>
      <c r="BJ243">
        <f t="shared" ca="1" si="157"/>
        <v>0</v>
      </c>
      <c r="BM243" t="e">
        <f t="shared" si="181"/>
        <v>#REF!</v>
      </c>
      <c r="BN243" t="e">
        <f t="shared" ca="1" si="182"/>
        <v>#N/A</v>
      </c>
      <c r="BO243" t="e">
        <f t="shared" ca="1" si="183"/>
        <v>#N/A</v>
      </c>
      <c r="BP243" t="e">
        <f t="shared" ca="1" si="184"/>
        <v>#N/A</v>
      </c>
      <c r="BQ243" t="e">
        <f t="shared" ca="1" si="185"/>
        <v>#N/A</v>
      </c>
      <c r="BR243" t="e">
        <f t="shared" ca="1" si="186"/>
        <v>#N/A</v>
      </c>
      <c r="BS243" t="e">
        <f t="shared" ca="1" si="187"/>
        <v>#N/A</v>
      </c>
      <c r="BT243" t="e">
        <f t="shared" ca="1" si="188"/>
        <v>#N/A</v>
      </c>
      <c r="BU243">
        <f t="shared" ca="1" si="189"/>
        <v>0</v>
      </c>
      <c r="BV243">
        <f t="shared" ca="1" si="190"/>
        <v>0</v>
      </c>
      <c r="BW243">
        <f t="shared" ca="1" si="191"/>
        <v>0</v>
      </c>
      <c r="BX243">
        <f t="shared" ca="1" si="192"/>
        <v>0</v>
      </c>
      <c r="BY243">
        <f t="shared" ca="1" si="193"/>
        <v>0</v>
      </c>
      <c r="BZ243">
        <f t="shared" ca="1" si="163"/>
        <v>0</v>
      </c>
      <c r="CA243">
        <f t="shared" ca="1" si="164"/>
        <v>0</v>
      </c>
    </row>
    <row r="244" spans="1:79" x14ac:dyDescent="0.4">
      <c r="A244" t="str">
        <f t="shared" si="197"/>
        <v>X</v>
      </c>
      <c r="B244">
        <v>233</v>
      </c>
      <c r="C244" t="e" cm="1">
        <f t="array" ref="C244">INDEX(auto_Series_Code,B244)</f>
        <v>#REF!</v>
      </c>
      <c r="D244" t="e" cm="1">
        <f t="array" ref="D244">INDEX(auto_tblSeries,$B244,D$11)</f>
        <v>#REF!</v>
      </c>
      <c r="E244" t="e" cm="1">
        <f t="array" ref="E244">INDEX(auto_tblSeries,$B244,E$11)</f>
        <v>#REF!</v>
      </c>
      <c r="F244" t="e" cm="1">
        <f t="array" ref="F244">INDEX(auto_tblSeries,$B244,F$11)</f>
        <v>#REF!</v>
      </c>
      <c r="G244" t="e" cm="1">
        <f t="array" ref="G244">INDEX(auto_tblSeries,$B244,G$11)</f>
        <v>#REF!</v>
      </c>
      <c r="H244" t="e" cm="1">
        <f t="array" ref="H244">INDEX(auto_tblSeries,$B244,H$11)</f>
        <v>#REF!</v>
      </c>
      <c r="I244" t="e">
        <f t="shared" si="70"/>
        <v>#REF!</v>
      </c>
      <c r="K244" t="e" cm="1">
        <f t="array" ref="K244">INDEX(auto_DataFlat_Score,$I244,K$10)</f>
        <v>#REF!</v>
      </c>
      <c r="L244" t="e" cm="1">
        <f t="array" ref="L244">INDEX(auto_DataFlat_Rank,$I244,L$10)</f>
        <v>#REF!</v>
      </c>
      <c r="M244" t="e" cm="1">
        <f t="array" ref="M244">INDEX(auto_DataFlat_DataValue,$I244,M$10)</f>
        <v>#REF!</v>
      </c>
      <c r="N244" t="e" cm="1">
        <f t="array" ref="N244">INDEX(auto_DataFlat_Classification,$I244,M$10)</f>
        <v>#REF!</v>
      </c>
      <c r="O244" t="e" cm="1">
        <f t="array" ref="O244">INDEX(auto_DataFlat_IsEstimate,$I244,O$10)</f>
        <v>#REF!</v>
      </c>
      <c r="P244" t="e" cm="1">
        <f t="array" ref="P244">IF(INDEX(auto_DataFlat_DataYear,$I244,P$10)=0,"n/a",INDEX(auto_DataFlat_DataYear,$I244,P$10))</f>
        <v>#REF!</v>
      </c>
      <c r="R244" t="e">
        <f t="shared" si="161"/>
        <v>#REF!</v>
      </c>
      <c r="S244" t="e" cm="1">
        <f t="array" ref="S244">INDEX(auto_DataFlat_Score,$R244,S$10)</f>
        <v>#REF!</v>
      </c>
      <c r="U244" t="str">
        <f t="shared" si="165"/>
        <v>n/a</v>
      </c>
      <c r="V244">
        <f t="shared" si="166"/>
        <v>1</v>
      </c>
      <c r="W244" t="e">
        <f t="shared" si="167"/>
        <v>#REF!</v>
      </c>
      <c r="X244" t="e">
        <f t="shared" ca="1" si="199"/>
        <v>#N/A</v>
      </c>
      <c r="Y244" t="e">
        <f t="shared" ca="1" si="199"/>
        <v>#N/A</v>
      </c>
      <c r="Z244" t="e">
        <f t="shared" ca="1" si="199"/>
        <v>#N/A</v>
      </c>
      <c r="AB244">
        <f t="shared" ca="1" si="156"/>
        <v>0</v>
      </c>
      <c r="AC244">
        <f t="shared" ca="1" si="156"/>
        <v>0</v>
      </c>
      <c r="AD244">
        <f t="shared" ca="1" si="156"/>
        <v>0</v>
      </c>
      <c r="AF244" t="e">
        <f t="shared" si="169"/>
        <v>#REF!</v>
      </c>
      <c r="AG244" t="e">
        <f t="shared" ca="1" si="200"/>
        <v>#N/A</v>
      </c>
      <c r="AH244" t="e">
        <f t="shared" ca="1" si="200"/>
        <v>#N/A</v>
      </c>
      <c r="AI244" t="e">
        <f t="shared" ca="1" si="200"/>
        <v>#N/A</v>
      </c>
      <c r="AJ244" t="e">
        <f t="shared" ca="1" si="200"/>
        <v>#N/A</v>
      </c>
      <c r="AK244" t="e">
        <f t="shared" ca="1" si="200"/>
        <v>#N/A</v>
      </c>
      <c r="AL244" t="e">
        <f t="shared" ca="1" si="200"/>
        <v>#N/A</v>
      </c>
      <c r="AM244" t="e">
        <f t="shared" ca="1" si="200"/>
        <v>#N/A</v>
      </c>
      <c r="AN244">
        <f t="shared" ca="1" si="171"/>
        <v>0</v>
      </c>
      <c r="AO244">
        <f t="shared" ca="1" si="172"/>
        <v>0</v>
      </c>
      <c r="AP244">
        <f t="shared" ca="1" si="173"/>
        <v>0</v>
      </c>
      <c r="AQ244">
        <f t="shared" ca="1" si="174"/>
        <v>0</v>
      </c>
      <c r="AR244">
        <f t="shared" ca="1" si="175"/>
        <v>0</v>
      </c>
      <c r="AS244">
        <f t="shared" ca="1" si="176"/>
        <v>0</v>
      </c>
      <c r="AT244">
        <f t="shared" ca="1" si="177"/>
        <v>0</v>
      </c>
      <c r="AV244" t="e">
        <f t="shared" si="6"/>
        <v>#REF!</v>
      </c>
      <c r="AW244" t="e" cm="1">
        <f t="array" ref="AW244">INDEX(auto_DataFlat_Score,$AV244,1)</f>
        <v>#REF!</v>
      </c>
      <c r="AX244" t="e" cm="1">
        <f t="array" ref="AX244">INDEX(auto_DataFlat_DataValue,$AV244,1)</f>
        <v>#REF!</v>
      </c>
      <c r="BA244" t="str">
        <f t="shared" si="178"/>
        <v>n/a</v>
      </c>
      <c r="BB244">
        <f t="shared" si="179"/>
        <v>1</v>
      </c>
      <c r="BC244" t="e">
        <f t="shared" si="180"/>
        <v>#REF!</v>
      </c>
      <c r="BD244" t="e">
        <f t="shared" ca="1" si="198"/>
        <v>#N/A</v>
      </c>
      <c r="BE244" t="e">
        <f t="shared" ca="1" si="198"/>
        <v>#N/A</v>
      </c>
      <c r="BF244" t="e">
        <f t="shared" ca="1" si="198"/>
        <v>#N/A</v>
      </c>
      <c r="BH244">
        <f t="shared" ca="1" si="157"/>
        <v>0</v>
      </c>
      <c r="BI244">
        <f t="shared" ca="1" si="157"/>
        <v>0</v>
      </c>
      <c r="BJ244">
        <f t="shared" ca="1" si="157"/>
        <v>0</v>
      </c>
      <c r="BM244" t="e">
        <f t="shared" si="181"/>
        <v>#REF!</v>
      </c>
      <c r="BN244" t="e">
        <f t="shared" ca="1" si="182"/>
        <v>#N/A</v>
      </c>
      <c r="BO244" t="e">
        <f t="shared" ca="1" si="183"/>
        <v>#N/A</v>
      </c>
      <c r="BP244" t="e">
        <f t="shared" ca="1" si="184"/>
        <v>#N/A</v>
      </c>
      <c r="BQ244" t="e">
        <f t="shared" ca="1" si="185"/>
        <v>#N/A</v>
      </c>
      <c r="BR244" t="e">
        <f t="shared" ca="1" si="186"/>
        <v>#N/A</v>
      </c>
      <c r="BS244" t="e">
        <f t="shared" ca="1" si="187"/>
        <v>#N/A</v>
      </c>
      <c r="BT244" t="e">
        <f t="shared" ca="1" si="188"/>
        <v>#N/A</v>
      </c>
      <c r="BU244">
        <f t="shared" ca="1" si="189"/>
        <v>0</v>
      </c>
      <c r="BV244">
        <f t="shared" ca="1" si="190"/>
        <v>0</v>
      </c>
      <c r="BW244">
        <f t="shared" ca="1" si="191"/>
        <v>0</v>
      </c>
      <c r="BX244">
        <f t="shared" ca="1" si="192"/>
        <v>0</v>
      </c>
      <c r="BY244">
        <f t="shared" ca="1" si="193"/>
        <v>0</v>
      </c>
      <c r="BZ244">
        <f t="shared" ca="1" si="163"/>
        <v>0</v>
      </c>
      <c r="CA244">
        <f t="shared" ca="1" si="164"/>
        <v>0</v>
      </c>
    </row>
    <row r="245" spans="1:79" x14ac:dyDescent="0.4">
      <c r="A245" t="str">
        <f t="shared" si="197"/>
        <v>X</v>
      </c>
      <c r="B245">
        <v>234</v>
      </c>
      <c r="C245" t="e" cm="1">
        <f t="array" ref="C245">INDEX(auto_Series_Code,B245)</f>
        <v>#REF!</v>
      </c>
      <c r="D245" t="e" cm="1">
        <f t="array" ref="D245">INDEX(auto_tblSeries,$B245,D$11)</f>
        <v>#REF!</v>
      </c>
      <c r="E245" t="e" cm="1">
        <f t="array" ref="E245">INDEX(auto_tblSeries,$B245,E$11)</f>
        <v>#REF!</v>
      </c>
      <c r="F245" t="e" cm="1">
        <f t="array" ref="F245">INDEX(auto_tblSeries,$B245,F$11)</f>
        <v>#REF!</v>
      </c>
      <c r="G245" t="e" cm="1">
        <f t="array" ref="G245">INDEX(auto_tblSeries,$B245,G$11)</f>
        <v>#REF!</v>
      </c>
      <c r="H245" t="e" cm="1">
        <f t="array" ref="H245">INDEX(auto_tblSeries,$B245,H$11)</f>
        <v>#REF!</v>
      </c>
      <c r="I245" t="e">
        <f t="shared" si="70"/>
        <v>#REF!</v>
      </c>
      <c r="K245" t="e" cm="1">
        <f t="array" ref="K245">INDEX(auto_DataFlat_Score,$I245,K$10)</f>
        <v>#REF!</v>
      </c>
      <c r="L245" t="e" cm="1">
        <f t="array" ref="L245">INDEX(auto_DataFlat_Rank,$I245,L$10)</f>
        <v>#REF!</v>
      </c>
      <c r="M245" t="e" cm="1">
        <f t="array" ref="M245">INDEX(auto_DataFlat_DataValue,$I245,M$10)</f>
        <v>#REF!</v>
      </c>
      <c r="N245" t="e" cm="1">
        <f t="array" ref="N245">INDEX(auto_DataFlat_Classification,$I245,M$10)</f>
        <v>#REF!</v>
      </c>
      <c r="O245" t="e" cm="1">
        <f t="array" ref="O245">INDEX(auto_DataFlat_IsEstimate,$I245,O$10)</f>
        <v>#REF!</v>
      </c>
      <c r="P245" t="e" cm="1">
        <f t="array" ref="P245">IF(INDEX(auto_DataFlat_DataYear,$I245,P$10)=0,"n/a",INDEX(auto_DataFlat_DataYear,$I245,P$10))</f>
        <v>#REF!</v>
      </c>
      <c r="R245" t="e">
        <f t="shared" si="161"/>
        <v>#REF!</v>
      </c>
      <c r="S245" t="e" cm="1">
        <f t="array" ref="S245">INDEX(auto_DataFlat_Score,$R245,S$10)</f>
        <v>#REF!</v>
      </c>
      <c r="U245" t="str">
        <f t="shared" si="165"/>
        <v>n/a</v>
      </c>
      <c r="V245">
        <f t="shared" si="166"/>
        <v>1</v>
      </c>
      <c r="W245" t="e">
        <f t="shared" si="167"/>
        <v>#REF!</v>
      </c>
      <c r="X245" t="e">
        <f t="shared" ca="1" si="199"/>
        <v>#N/A</v>
      </c>
      <c r="Y245" t="e">
        <f t="shared" ca="1" si="199"/>
        <v>#N/A</v>
      </c>
      <c r="Z245" t="e">
        <f t="shared" ca="1" si="199"/>
        <v>#N/A</v>
      </c>
      <c r="AB245">
        <f t="shared" ca="1" si="156"/>
        <v>0</v>
      </c>
      <c r="AC245">
        <f t="shared" ca="1" si="156"/>
        <v>0</v>
      </c>
      <c r="AD245">
        <f t="shared" ca="1" si="156"/>
        <v>0</v>
      </c>
      <c r="AF245" t="e">
        <f t="shared" si="169"/>
        <v>#REF!</v>
      </c>
      <c r="AG245" t="e">
        <f t="shared" ca="1" si="200"/>
        <v>#N/A</v>
      </c>
      <c r="AH245" t="e">
        <f t="shared" ca="1" si="200"/>
        <v>#N/A</v>
      </c>
      <c r="AI245" t="e">
        <f t="shared" ca="1" si="200"/>
        <v>#N/A</v>
      </c>
      <c r="AJ245" t="e">
        <f t="shared" ca="1" si="200"/>
        <v>#N/A</v>
      </c>
      <c r="AK245" t="e">
        <f t="shared" ca="1" si="200"/>
        <v>#N/A</v>
      </c>
      <c r="AL245" t="e">
        <f t="shared" ca="1" si="200"/>
        <v>#N/A</v>
      </c>
      <c r="AM245" t="e">
        <f t="shared" ca="1" si="200"/>
        <v>#N/A</v>
      </c>
      <c r="AN245">
        <f t="shared" ca="1" si="171"/>
        <v>0</v>
      </c>
      <c r="AO245">
        <f t="shared" ca="1" si="172"/>
        <v>0</v>
      </c>
      <c r="AP245">
        <f t="shared" ca="1" si="173"/>
        <v>0</v>
      </c>
      <c r="AQ245">
        <f t="shared" ca="1" si="174"/>
        <v>0</v>
      </c>
      <c r="AR245">
        <f t="shared" ca="1" si="175"/>
        <v>0</v>
      </c>
      <c r="AS245">
        <f t="shared" ca="1" si="176"/>
        <v>0</v>
      </c>
      <c r="AT245">
        <f t="shared" ca="1" si="177"/>
        <v>0</v>
      </c>
      <c r="AV245" t="e">
        <f t="shared" si="6"/>
        <v>#REF!</v>
      </c>
      <c r="AW245" t="e" cm="1">
        <f t="array" ref="AW245">INDEX(auto_DataFlat_Score,$AV245,1)</f>
        <v>#REF!</v>
      </c>
      <c r="AX245" t="e" cm="1">
        <f t="array" ref="AX245">INDEX(auto_DataFlat_DataValue,$AV245,1)</f>
        <v>#REF!</v>
      </c>
      <c r="BA245" t="str">
        <f t="shared" si="178"/>
        <v>n/a</v>
      </c>
      <c r="BB245">
        <f t="shared" si="179"/>
        <v>1</v>
      </c>
      <c r="BC245" t="e">
        <f t="shared" si="180"/>
        <v>#REF!</v>
      </c>
      <c r="BD245" t="e">
        <f t="shared" ca="1" si="198"/>
        <v>#N/A</v>
      </c>
      <c r="BE245" t="e">
        <f t="shared" ca="1" si="198"/>
        <v>#N/A</v>
      </c>
      <c r="BF245" t="e">
        <f t="shared" ca="1" si="198"/>
        <v>#N/A</v>
      </c>
      <c r="BH245">
        <f t="shared" ca="1" si="157"/>
        <v>0</v>
      </c>
      <c r="BI245">
        <f t="shared" ca="1" si="157"/>
        <v>0</v>
      </c>
      <c r="BJ245">
        <f t="shared" ca="1" si="157"/>
        <v>0</v>
      </c>
      <c r="BM245" t="e">
        <f t="shared" si="181"/>
        <v>#REF!</v>
      </c>
      <c r="BN245" t="e">
        <f t="shared" ca="1" si="182"/>
        <v>#N/A</v>
      </c>
      <c r="BO245" t="e">
        <f t="shared" ca="1" si="183"/>
        <v>#N/A</v>
      </c>
      <c r="BP245" t="e">
        <f t="shared" ca="1" si="184"/>
        <v>#N/A</v>
      </c>
      <c r="BQ245" t="e">
        <f t="shared" ca="1" si="185"/>
        <v>#N/A</v>
      </c>
      <c r="BR245" t="e">
        <f t="shared" ca="1" si="186"/>
        <v>#N/A</v>
      </c>
      <c r="BS245" t="e">
        <f t="shared" ca="1" si="187"/>
        <v>#N/A</v>
      </c>
      <c r="BT245" t="e">
        <f t="shared" ca="1" si="188"/>
        <v>#N/A</v>
      </c>
      <c r="BU245">
        <f t="shared" ca="1" si="189"/>
        <v>0</v>
      </c>
      <c r="BV245">
        <f t="shared" ca="1" si="190"/>
        <v>0</v>
      </c>
      <c r="BW245">
        <f t="shared" ca="1" si="191"/>
        <v>0</v>
      </c>
      <c r="BX245">
        <f t="shared" ca="1" si="192"/>
        <v>0</v>
      </c>
      <c r="BY245">
        <f t="shared" ca="1" si="193"/>
        <v>0</v>
      </c>
      <c r="BZ245">
        <f t="shared" ca="1" si="163"/>
        <v>0</v>
      </c>
      <c r="CA245">
        <f t="shared" ca="1" si="164"/>
        <v>0</v>
      </c>
    </row>
    <row r="246" spans="1:79" x14ac:dyDescent="0.4">
      <c r="A246" t="str">
        <f t="shared" si="197"/>
        <v>X</v>
      </c>
      <c r="B246">
        <v>235</v>
      </c>
      <c r="C246" t="e" cm="1">
        <f t="array" ref="C246">INDEX(auto_Series_Code,B246)</f>
        <v>#REF!</v>
      </c>
      <c r="D246" t="e" cm="1">
        <f t="array" ref="D246">INDEX(auto_tblSeries,$B246,D$11)</f>
        <v>#REF!</v>
      </c>
      <c r="E246" t="e" cm="1">
        <f t="array" ref="E246">INDEX(auto_tblSeries,$B246,E$11)</f>
        <v>#REF!</v>
      </c>
      <c r="F246" t="e" cm="1">
        <f t="array" ref="F246">INDEX(auto_tblSeries,$B246,F$11)</f>
        <v>#REF!</v>
      </c>
      <c r="G246" t="e" cm="1">
        <f t="array" ref="G246">INDEX(auto_tblSeries,$B246,G$11)</f>
        <v>#REF!</v>
      </c>
      <c r="H246" t="e" cm="1">
        <f t="array" ref="H246">INDEX(auto_tblSeries,$B246,H$11)</f>
        <v>#REF!</v>
      </c>
      <c r="I246" t="e">
        <f t="shared" si="70"/>
        <v>#REF!</v>
      </c>
      <c r="K246" t="e" cm="1">
        <f t="array" ref="K246">INDEX(auto_DataFlat_Score,$I246,K$10)</f>
        <v>#REF!</v>
      </c>
      <c r="L246" t="e" cm="1">
        <f t="array" ref="L246">INDEX(auto_DataFlat_Rank,$I246,L$10)</f>
        <v>#REF!</v>
      </c>
      <c r="M246" t="e" cm="1">
        <f t="array" ref="M246">INDEX(auto_DataFlat_DataValue,$I246,M$10)</f>
        <v>#REF!</v>
      </c>
      <c r="N246" t="e" cm="1">
        <f t="array" ref="N246">INDEX(auto_DataFlat_Classification,$I246,M$10)</f>
        <v>#REF!</v>
      </c>
      <c r="O246" t="e" cm="1">
        <f t="array" ref="O246">INDEX(auto_DataFlat_IsEstimate,$I246,O$10)</f>
        <v>#REF!</v>
      </c>
      <c r="P246" t="e" cm="1">
        <f t="array" ref="P246">IF(INDEX(auto_DataFlat_DataYear,$I246,P$10)=0,"n/a",INDEX(auto_DataFlat_DataYear,$I246,P$10))</f>
        <v>#REF!</v>
      </c>
      <c r="R246" t="e">
        <f t="shared" si="161"/>
        <v>#REF!</v>
      </c>
      <c r="S246" t="e" cm="1">
        <f t="array" ref="S246">INDEX(auto_DataFlat_Score,$R246,S$10)</f>
        <v>#REF!</v>
      </c>
      <c r="U246" t="str">
        <f t="shared" si="165"/>
        <v>n/a</v>
      </c>
      <c r="V246">
        <f t="shared" si="166"/>
        <v>1</v>
      </c>
      <c r="W246" t="e">
        <f t="shared" si="167"/>
        <v>#REF!</v>
      </c>
      <c r="X246" t="e">
        <f t="shared" ca="1" si="199"/>
        <v>#N/A</v>
      </c>
      <c r="Y246" t="e">
        <f t="shared" ca="1" si="199"/>
        <v>#N/A</v>
      </c>
      <c r="Z246" t="e">
        <f t="shared" ca="1" si="199"/>
        <v>#N/A</v>
      </c>
      <c r="AB246">
        <f t="shared" ca="1" si="156"/>
        <v>0</v>
      </c>
      <c r="AC246">
        <f t="shared" ca="1" si="156"/>
        <v>0</v>
      </c>
      <c r="AD246">
        <f t="shared" ca="1" si="156"/>
        <v>0</v>
      </c>
      <c r="AF246" t="e">
        <f t="shared" si="169"/>
        <v>#REF!</v>
      </c>
      <c r="AG246" t="e">
        <f t="shared" ca="1" si="200"/>
        <v>#N/A</v>
      </c>
      <c r="AH246" t="e">
        <f t="shared" ca="1" si="200"/>
        <v>#N/A</v>
      </c>
      <c r="AI246" t="e">
        <f t="shared" ca="1" si="200"/>
        <v>#N/A</v>
      </c>
      <c r="AJ246" t="e">
        <f t="shared" ca="1" si="200"/>
        <v>#N/A</v>
      </c>
      <c r="AK246" t="e">
        <f t="shared" ca="1" si="200"/>
        <v>#N/A</v>
      </c>
      <c r="AL246" t="e">
        <f t="shared" ca="1" si="200"/>
        <v>#N/A</v>
      </c>
      <c r="AM246" t="e">
        <f t="shared" ca="1" si="200"/>
        <v>#N/A</v>
      </c>
      <c r="AN246">
        <f t="shared" ca="1" si="171"/>
        <v>0</v>
      </c>
      <c r="AO246">
        <f t="shared" ca="1" si="172"/>
        <v>0</v>
      </c>
      <c r="AP246">
        <f t="shared" ca="1" si="173"/>
        <v>0</v>
      </c>
      <c r="AQ246">
        <f t="shared" ca="1" si="174"/>
        <v>0</v>
      </c>
      <c r="AR246">
        <f t="shared" ca="1" si="175"/>
        <v>0</v>
      </c>
      <c r="AS246">
        <f t="shared" ca="1" si="176"/>
        <v>0</v>
      </c>
      <c r="AT246">
        <f t="shared" ca="1" si="177"/>
        <v>0</v>
      </c>
      <c r="AV246" t="e">
        <f t="shared" si="6"/>
        <v>#REF!</v>
      </c>
      <c r="AW246" t="e" cm="1">
        <f t="array" ref="AW246">INDEX(auto_DataFlat_Score,$AV246,1)</f>
        <v>#REF!</v>
      </c>
      <c r="AX246" t="e" cm="1">
        <f t="array" ref="AX246">INDEX(auto_DataFlat_DataValue,$AV246,1)</f>
        <v>#REF!</v>
      </c>
      <c r="BA246" t="str">
        <f t="shared" si="178"/>
        <v>n/a</v>
      </c>
      <c r="BB246">
        <f t="shared" si="179"/>
        <v>1</v>
      </c>
      <c r="BC246" t="e">
        <f t="shared" si="180"/>
        <v>#REF!</v>
      </c>
      <c r="BD246" t="e">
        <f t="shared" ca="1" si="198"/>
        <v>#N/A</v>
      </c>
      <c r="BE246" t="e">
        <f t="shared" ca="1" si="198"/>
        <v>#N/A</v>
      </c>
      <c r="BF246" t="e">
        <f t="shared" ca="1" si="198"/>
        <v>#N/A</v>
      </c>
      <c r="BH246">
        <f t="shared" ca="1" si="157"/>
        <v>0</v>
      </c>
      <c r="BI246">
        <f t="shared" ca="1" si="157"/>
        <v>0</v>
      </c>
      <c r="BJ246">
        <f t="shared" ca="1" si="157"/>
        <v>0</v>
      </c>
      <c r="BM246" t="e">
        <f t="shared" si="181"/>
        <v>#REF!</v>
      </c>
      <c r="BN246" t="e">
        <f t="shared" ca="1" si="182"/>
        <v>#N/A</v>
      </c>
      <c r="BO246" t="e">
        <f t="shared" ca="1" si="183"/>
        <v>#N/A</v>
      </c>
      <c r="BP246" t="e">
        <f t="shared" ca="1" si="184"/>
        <v>#N/A</v>
      </c>
      <c r="BQ246" t="e">
        <f t="shared" ca="1" si="185"/>
        <v>#N/A</v>
      </c>
      <c r="BR246" t="e">
        <f t="shared" ca="1" si="186"/>
        <v>#N/A</v>
      </c>
      <c r="BS246" t="e">
        <f t="shared" ca="1" si="187"/>
        <v>#N/A</v>
      </c>
      <c r="BT246" t="e">
        <f t="shared" ca="1" si="188"/>
        <v>#N/A</v>
      </c>
      <c r="BU246">
        <f t="shared" ca="1" si="189"/>
        <v>0</v>
      </c>
      <c r="BV246">
        <f t="shared" ca="1" si="190"/>
        <v>0</v>
      </c>
      <c r="BW246">
        <f t="shared" ca="1" si="191"/>
        <v>0</v>
      </c>
      <c r="BX246">
        <f t="shared" ca="1" si="192"/>
        <v>0</v>
      </c>
      <c r="BY246">
        <f t="shared" ca="1" si="193"/>
        <v>0</v>
      </c>
      <c r="BZ246">
        <f t="shared" ca="1" si="163"/>
        <v>0</v>
      </c>
      <c r="CA246">
        <f t="shared" ca="1" si="164"/>
        <v>0</v>
      </c>
    </row>
    <row r="247" spans="1:79" x14ac:dyDescent="0.4">
      <c r="A247" t="str">
        <f t="shared" si="197"/>
        <v>X</v>
      </c>
      <c r="B247">
        <v>236</v>
      </c>
      <c r="C247" t="e" cm="1">
        <f t="array" ref="C247">INDEX(auto_Series_Code,B247)</f>
        <v>#REF!</v>
      </c>
      <c r="D247" t="e" cm="1">
        <f t="array" ref="D247">INDEX(auto_tblSeries,$B247,D$11)</f>
        <v>#REF!</v>
      </c>
      <c r="E247" t="e" cm="1">
        <f t="array" ref="E247">INDEX(auto_tblSeries,$B247,E$11)</f>
        <v>#REF!</v>
      </c>
      <c r="F247" t="e" cm="1">
        <f t="array" ref="F247">INDEX(auto_tblSeries,$B247,F$11)</f>
        <v>#REF!</v>
      </c>
      <c r="G247" t="e" cm="1">
        <f t="array" ref="G247">INDEX(auto_tblSeries,$B247,G$11)</f>
        <v>#REF!</v>
      </c>
      <c r="H247" t="e" cm="1">
        <f t="array" ref="H247">INDEX(auto_tblSeries,$B247,H$11)</f>
        <v>#REF!</v>
      </c>
      <c r="I247" t="e">
        <f t="shared" si="70"/>
        <v>#REF!</v>
      </c>
      <c r="K247" t="e" cm="1">
        <f t="array" ref="K247">INDEX(auto_DataFlat_Score,$I247,K$10)</f>
        <v>#REF!</v>
      </c>
      <c r="L247" t="e" cm="1">
        <f t="array" ref="L247">INDEX(auto_DataFlat_Rank,$I247,L$10)</f>
        <v>#REF!</v>
      </c>
      <c r="M247" t="e" cm="1">
        <f t="array" ref="M247">INDEX(auto_DataFlat_DataValue,$I247,M$10)</f>
        <v>#REF!</v>
      </c>
      <c r="N247" t="e" cm="1">
        <f t="array" ref="N247">INDEX(auto_DataFlat_Classification,$I247,M$10)</f>
        <v>#REF!</v>
      </c>
      <c r="O247" t="e" cm="1">
        <f t="array" ref="O247">INDEX(auto_DataFlat_IsEstimate,$I247,O$10)</f>
        <v>#REF!</v>
      </c>
      <c r="P247" t="e" cm="1">
        <f t="array" ref="P247">IF(INDEX(auto_DataFlat_DataYear,$I247,P$10)=0,"n/a",INDEX(auto_DataFlat_DataYear,$I247,P$10))</f>
        <v>#REF!</v>
      </c>
      <c r="R247" t="e">
        <f t="shared" si="161"/>
        <v>#REF!</v>
      </c>
      <c r="S247" t="e" cm="1">
        <f t="array" ref="S247">INDEX(auto_DataFlat_Score,$R247,S$10)</f>
        <v>#REF!</v>
      </c>
      <c r="U247" t="str">
        <f t="shared" si="165"/>
        <v>n/a</v>
      </c>
      <c r="V247">
        <f t="shared" si="166"/>
        <v>1</v>
      </c>
      <c r="W247" t="e">
        <f t="shared" si="167"/>
        <v>#REF!</v>
      </c>
      <c r="X247" t="e">
        <f t="shared" ca="1" si="199"/>
        <v>#N/A</v>
      </c>
      <c r="Y247" t="e">
        <f t="shared" ca="1" si="199"/>
        <v>#N/A</v>
      </c>
      <c r="Z247" t="e">
        <f t="shared" ca="1" si="199"/>
        <v>#N/A</v>
      </c>
      <c r="AB247">
        <f t="shared" ca="1" si="156"/>
        <v>0</v>
      </c>
      <c r="AC247">
        <f t="shared" ca="1" si="156"/>
        <v>0</v>
      </c>
      <c r="AD247">
        <f t="shared" ca="1" si="156"/>
        <v>0</v>
      </c>
      <c r="AF247" t="e">
        <f t="shared" si="169"/>
        <v>#REF!</v>
      </c>
      <c r="AG247" t="e">
        <f t="shared" ca="1" si="200"/>
        <v>#N/A</v>
      </c>
      <c r="AH247" t="e">
        <f t="shared" ca="1" si="200"/>
        <v>#N/A</v>
      </c>
      <c r="AI247" t="e">
        <f t="shared" ca="1" si="200"/>
        <v>#N/A</v>
      </c>
      <c r="AJ247" t="e">
        <f t="shared" ca="1" si="200"/>
        <v>#N/A</v>
      </c>
      <c r="AK247" t="e">
        <f t="shared" ca="1" si="200"/>
        <v>#N/A</v>
      </c>
      <c r="AL247" t="e">
        <f t="shared" ca="1" si="200"/>
        <v>#N/A</v>
      </c>
      <c r="AM247" t="e">
        <f t="shared" ca="1" si="200"/>
        <v>#N/A</v>
      </c>
      <c r="AN247">
        <f t="shared" ca="1" si="171"/>
        <v>0</v>
      </c>
      <c r="AO247">
        <f t="shared" ca="1" si="172"/>
        <v>0</v>
      </c>
      <c r="AP247">
        <f t="shared" ca="1" si="173"/>
        <v>0</v>
      </c>
      <c r="AQ247">
        <f t="shared" ca="1" si="174"/>
        <v>0</v>
      </c>
      <c r="AR247">
        <f t="shared" ca="1" si="175"/>
        <v>0</v>
      </c>
      <c r="AS247">
        <f t="shared" ca="1" si="176"/>
        <v>0</v>
      </c>
      <c r="AT247">
        <f t="shared" ca="1" si="177"/>
        <v>0</v>
      </c>
      <c r="AV247" t="e">
        <f t="shared" si="6"/>
        <v>#REF!</v>
      </c>
      <c r="AW247" t="e" cm="1">
        <f t="array" ref="AW247">INDEX(auto_DataFlat_Score,$AV247,1)</f>
        <v>#REF!</v>
      </c>
      <c r="AX247" t="e" cm="1">
        <f t="array" ref="AX247">INDEX(auto_DataFlat_DataValue,$AV247,1)</f>
        <v>#REF!</v>
      </c>
      <c r="BA247" t="str">
        <f t="shared" si="178"/>
        <v>n/a</v>
      </c>
      <c r="BB247">
        <f t="shared" si="179"/>
        <v>1</v>
      </c>
      <c r="BC247" t="e">
        <f t="shared" si="180"/>
        <v>#REF!</v>
      </c>
      <c r="BD247" t="e">
        <f t="shared" ca="1" si="198"/>
        <v>#N/A</v>
      </c>
      <c r="BE247" t="e">
        <f t="shared" ca="1" si="198"/>
        <v>#N/A</v>
      </c>
      <c r="BF247" t="e">
        <f t="shared" ca="1" si="198"/>
        <v>#N/A</v>
      </c>
      <c r="BH247">
        <f t="shared" ca="1" si="157"/>
        <v>0</v>
      </c>
      <c r="BI247">
        <f t="shared" ca="1" si="157"/>
        <v>0</v>
      </c>
      <c r="BJ247">
        <f t="shared" ca="1" si="157"/>
        <v>0</v>
      </c>
      <c r="BM247" t="e">
        <f t="shared" si="181"/>
        <v>#REF!</v>
      </c>
      <c r="BN247" t="e">
        <f t="shared" ca="1" si="182"/>
        <v>#N/A</v>
      </c>
      <c r="BO247" t="e">
        <f t="shared" ca="1" si="183"/>
        <v>#N/A</v>
      </c>
      <c r="BP247" t="e">
        <f t="shared" ca="1" si="184"/>
        <v>#N/A</v>
      </c>
      <c r="BQ247" t="e">
        <f t="shared" ca="1" si="185"/>
        <v>#N/A</v>
      </c>
      <c r="BR247" t="e">
        <f t="shared" ca="1" si="186"/>
        <v>#N/A</v>
      </c>
      <c r="BS247" t="e">
        <f t="shared" ca="1" si="187"/>
        <v>#N/A</v>
      </c>
      <c r="BT247" t="e">
        <f t="shared" ca="1" si="188"/>
        <v>#N/A</v>
      </c>
      <c r="BU247">
        <f t="shared" ca="1" si="189"/>
        <v>0</v>
      </c>
      <c r="BV247">
        <f t="shared" ca="1" si="190"/>
        <v>0</v>
      </c>
      <c r="BW247">
        <f t="shared" ca="1" si="191"/>
        <v>0</v>
      </c>
      <c r="BX247">
        <f t="shared" ca="1" si="192"/>
        <v>0</v>
      </c>
      <c r="BY247">
        <f t="shared" ca="1" si="193"/>
        <v>0</v>
      </c>
      <c r="BZ247">
        <f t="shared" ca="1" si="163"/>
        <v>0</v>
      </c>
      <c r="CA247">
        <f t="shared" ca="1" si="164"/>
        <v>0</v>
      </c>
    </row>
    <row r="248" spans="1:79" x14ac:dyDescent="0.4">
      <c r="A248" t="str">
        <f t="shared" si="197"/>
        <v>X</v>
      </c>
      <c r="B248">
        <v>237</v>
      </c>
      <c r="C248" t="e" cm="1">
        <f t="array" ref="C248">INDEX(auto_Series_Code,B248)</f>
        <v>#REF!</v>
      </c>
      <c r="D248" t="e" cm="1">
        <f t="array" ref="D248">INDEX(auto_tblSeries,$B248,D$11)</f>
        <v>#REF!</v>
      </c>
      <c r="E248" t="e" cm="1">
        <f t="array" ref="E248">INDEX(auto_tblSeries,$B248,E$11)</f>
        <v>#REF!</v>
      </c>
      <c r="F248" t="e" cm="1">
        <f t="array" ref="F248">INDEX(auto_tblSeries,$B248,F$11)</f>
        <v>#REF!</v>
      </c>
      <c r="G248" t="e" cm="1">
        <f t="array" ref="G248">INDEX(auto_tblSeries,$B248,G$11)</f>
        <v>#REF!</v>
      </c>
      <c r="H248" t="e" cm="1">
        <f t="array" ref="H248">INDEX(auto_tblSeries,$B248,H$11)</f>
        <v>#REF!</v>
      </c>
      <c r="I248" t="e">
        <f t="shared" si="70"/>
        <v>#REF!</v>
      </c>
      <c r="K248" t="e" cm="1">
        <f t="array" ref="K248">INDEX(auto_DataFlat_Score,$I248,K$10)</f>
        <v>#REF!</v>
      </c>
      <c r="L248" t="e" cm="1">
        <f t="array" ref="L248">INDEX(auto_DataFlat_Rank,$I248,L$10)</f>
        <v>#REF!</v>
      </c>
      <c r="M248" t="e" cm="1">
        <f t="array" ref="M248">INDEX(auto_DataFlat_DataValue,$I248,M$10)</f>
        <v>#REF!</v>
      </c>
      <c r="N248" t="e" cm="1">
        <f t="array" ref="N248">INDEX(auto_DataFlat_Classification,$I248,M$10)</f>
        <v>#REF!</v>
      </c>
      <c r="O248" t="e" cm="1">
        <f t="array" ref="O248">INDEX(auto_DataFlat_IsEstimate,$I248,O$10)</f>
        <v>#REF!</v>
      </c>
      <c r="P248" t="e" cm="1">
        <f t="array" ref="P248">IF(INDEX(auto_DataFlat_DataYear,$I248,P$10)=0,"n/a",INDEX(auto_DataFlat_DataYear,$I248,P$10))</f>
        <v>#REF!</v>
      </c>
      <c r="R248" t="e">
        <f t="shared" si="161"/>
        <v>#REF!</v>
      </c>
      <c r="S248" t="e" cm="1">
        <f t="array" ref="S248">INDEX(auto_DataFlat_Score,$R248,S$10)</f>
        <v>#REF!</v>
      </c>
      <c r="U248" t="str">
        <f t="shared" si="165"/>
        <v>n/a</v>
      </c>
      <c r="V248">
        <f t="shared" si="166"/>
        <v>1</v>
      </c>
      <c r="W248" t="e">
        <f t="shared" si="167"/>
        <v>#REF!</v>
      </c>
      <c r="X248" t="e">
        <f t="shared" ca="1" si="199"/>
        <v>#N/A</v>
      </c>
      <c r="Y248" t="e">
        <f t="shared" ca="1" si="199"/>
        <v>#N/A</v>
      </c>
      <c r="Z248" t="e">
        <f t="shared" ca="1" si="199"/>
        <v>#N/A</v>
      </c>
      <c r="AB248">
        <f t="shared" ca="1" si="156"/>
        <v>0</v>
      </c>
      <c r="AC248">
        <f t="shared" ca="1" si="156"/>
        <v>0</v>
      </c>
      <c r="AD248">
        <f t="shared" ca="1" si="156"/>
        <v>0</v>
      </c>
      <c r="AF248" t="e">
        <f t="shared" si="169"/>
        <v>#REF!</v>
      </c>
      <c r="AG248" t="e">
        <f t="shared" ca="1" si="200"/>
        <v>#N/A</v>
      </c>
      <c r="AH248" t="e">
        <f t="shared" ca="1" si="200"/>
        <v>#N/A</v>
      </c>
      <c r="AI248" t="e">
        <f t="shared" ca="1" si="200"/>
        <v>#N/A</v>
      </c>
      <c r="AJ248" t="e">
        <f t="shared" ca="1" si="200"/>
        <v>#N/A</v>
      </c>
      <c r="AK248" t="e">
        <f t="shared" ca="1" si="200"/>
        <v>#N/A</v>
      </c>
      <c r="AL248" t="e">
        <f t="shared" ca="1" si="200"/>
        <v>#N/A</v>
      </c>
      <c r="AM248" t="e">
        <f t="shared" ca="1" si="200"/>
        <v>#N/A</v>
      </c>
      <c r="AN248">
        <f t="shared" ca="1" si="171"/>
        <v>0</v>
      </c>
      <c r="AO248">
        <f t="shared" ca="1" si="172"/>
        <v>0</v>
      </c>
      <c r="AP248">
        <f t="shared" ca="1" si="173"/>
        <v>0</v>
      </c>
      <c r="AQ248">
        <f t="shared" ca="1" si="174"/>
        <v>0</v>
      </c>
      <c r="AR248">
        <f t="shared" ca="1" si="175"/>
        <v>0</v>
      </c>
      <c r="AS248">
        <f t="shared" ca="1" si="176"/>
        <v>0</v>
      </c>
      <c r="AT248">
        <f t="shared" ca="1" si="177"/>
        <v>0</v>
      </c>
      <c r="AV248" t="e">
        <f t="shared" si="6"/>
        <v>#REF!</v>
      </c>
      <c r="AW248" t="e" cm="1">
        <f t="array" ref="AW248">INDEX(auto_DataFlat_Score,$AV248,1)</f>
        <v>#REF!</v>
      </c>
      <c r="AX248" t="e" cm="1">
        <f t="array" ref="AX248">INDEX(auto_DataFlat_DataValue,$AV248,1)</f>
        <v>#REF!</v>
      </c>
      <c r="BA248" t="str">
        <f t="shared" si="178"/>
        <v>n/a</v>
      </c>
      <c r="BB248">
        <f t="shared" si="179"/>
        <v>1</v>
      </c>
      <c r="BC248" t="e">
        <f t="shared" si="180"/>
        <v>#REF!</v>
      </c>
      <c r="BD248" t="e">
        <f t="shared" ca="1" si="198"/>
        <v>#N/A</v>
      </c>
      <c r="BE248" t="e">
        <f t="shared" ca="1" si="198"/>
        <v>#N/A</v>
      </c>
      <c r="BF248" t="e">
        <f t="shared" ca="1" si="198"/>
        <v>#N/A</v>
      </c>
      <c r="BH248">
        <f t="shared" ca="1" si="157"/>
        <v>0</v>
      </c>
      <c r="BI248">
        <f t="shared" ca="1" si="157"/>
        <v>0</v>
      </c>
      <c r="BJ248">
        <f t="shared" ca="1" si="157"/>
        <v>0</v>
      </c>
      <c r="BM248" t="e">
        <f t="shared" si="181"/>
        <v>#REF!</v>
      </c>
      <c r="BN248" t="e">
        <f t="shared" ca="1" si="182"/>
        <v>#N/A</v>
      </c>
      <c r="BO248" t="e">
        <f t="shared" ca="1" si="183"/>
        <v>#N/A</v>
      </c>
      <c r="BP248" t="e">
        <f t="shared" ca="1" si="184"/>
        <v>#N/A</v>
      </c>
      <c r="BQ248" t="e">
        <f t="shared" ca="1" si="185"/>
        <v>#N/A</v>
      </c>
      <c r="BR248" t="e">
        <f t="shared" ca="1" si="186"/>
        <v>#N/A</v>
      </c>
      <c r="BS248" t="e">
        <f t="shared" ca="1" si="187"/>
        <v>#N/A</v>
      </c>
      <c r="BT248" t="e">
        <f t="shared" ca="1" si="188"/>
        <v>#N/A</v>
      </c>
      <c r="BU248">
        <f t="shared" ca="1" si="189"/>
        <v>0</v>
      </c>
      <c r="BV248">
        <f t="shared" ca="1" si="190"/>
        <v>0</v>
      </c>
      <c r="BW248">
        <f t="shared" ca="1" si="191"/>
        <v>0</v>
      </c>
      <c r="BX248">
        <f t="shared" ca="1" si="192"/>
        <v>0</v>
      </c>
      <c r="BY248">
        <f t="shared" ca="1" si="193"/>
        <v>0</v>
      </c>
      <c r="BZ248">
        <f t="shared" ca="1" si="163"/>
        <v>0</v>
      </c>
      <c r="CA248">
        <f t="shared" ca="1" si="164"/>
        <v>0</v>
      </c>
    </row>
    <row r="249" spans="1:79" x14ac:dyDescent="0.4">
      <c r="A249" t="str">
        <f t="shared" si="197"/>
        <v>X</v>
      </c>
      <c r="B249">
        <v>238</v>
      </c>
      <c r="C249" t="e" cm="1">
        <f t="array" ref="C249">INDEX(auto_Series_Code,B249)</f>
        <v>#REF!</v>
      </c>
      <c r="D249" t="e" cm="1">
        <f t="array" ref="D249">INDEX(auto_tblSeries,$B249,D$11)</f>
        <v>#REF!</v>
      </c>
      <c r="E249" t="e" cm="1">
        <f t="array" ref="E249">INDEX(auto_tblSeries,$B249,E$11)</f>
        <v>#REF!</v>
      </c>
      <c r="F249" t="e" cm="1">
        <f t="array" ref="F249">INDEX(auto_tblSeries,$B249,F$11)</f>
        <v>#REF!</v>
      </c>
      <c r="G249" t="e" cm="1">
        <f t="array" ref="G249">INDEX(auto_tblSeries,$B249,G$11)</f>
        <v>#REF!</v>
      </c>
      <c r="H249" t="e" cm="1">
        <f t="array" ref="H249">INDEX(auto_tblSeries,$B249,H$11)</f>
        <v>#REF!</v>
      </c>
      <c r="I249" t="e">
        <f t="shared" si="70"/>
        <v>#REF!</v>
      </c>
      <c r="K249" t="e" cm="1">
        <f t="array" ref="K249">INDEX(auto_DataFlat_Score,$I249,K$10)</f>
        <v>#REF!</v>
      </c>
      <c r="L249" t="e" cm="1">
        <f t="array" ref="L249">INDEX(auto_DataFlat_Rank,$I249,L$10)</f>
        <v>#REF!</v>
      </c>
      <c r="M249" t="e" cm="1">
        <f t="array" ref="M249">INDEX(auto_DataFlat_DataValue,$I249,M$10)</f>
        <v>#REF!</v>
      </c>
      <c r="N249" t="e" cm="1">
        <f t="array" ref="N249">INDEX(auto_DataFlat_Classification,$I249,M$10)</f>
        <v>#REF!</v>
      </c>
      <c r="O249" t="e" cm="1">
        <f t="array" ref="O249">INDEX(auto_DataFlat_IsEstimate,$I249,O$10)</f>
        <v>#REF!</v>
      </c>
      <c r="P249" t="e" cm="1">
        <f t="array" ref="P249">IF(INDEX(auto_DataFlat_DataYear,$I249,P$10)=0,"n/a",INDEX(auto_DataFlat_DataYear,$I249,P$10))</f>
        <v>#REF!</v>
      </c>
      <c r="R249" t="e">
        <f t="shared" si="161"/>
        <v>#REF!</v>
      </c>
      <c r="S249" t="e" cm="1">
        <f t="array" ref="S249">INDEX(auto_DataFlat_Score,$R249,S$10)</f>
        <v>#REF!</v>
      </c>
      <c r="U249" t="str">
        <f t="shared" si="165"/>
        <v>n/a</v>
      </c>
      <c r="V249">
        <f t="shared" si="166"/>
        <v>1</v>
      </c>
      <c r="W249" t="e">
        <f t="shared" si="167"/>
        <v>#REF!</v>
      </c>
      <c r="X249" t="e">
        <f t="shared" ca="1" si="199"/>
        <v>#N/A</v>
      </c>
      <c r="Y249" t="e">
        <f t="shared" ca="1" si="199"/>
        <v>#N/A</v>
      </c>
      <c r="Z249" t="e">
        <f t="shared" ca="1" si="199"/>
        <v>#N/A</v>
      </c>
      <c r="AB249">
        <f t="shared" ref="AB249:AD264" ca="1" si="201">IFERROR(X249,0)</f>
        <v>0</v>
      </c>
      <c r="AC249">
        <f t="shared" ca="1" si="201"/>
        <v>0</v>
      </c>
      <c r="AD249">
        <f t="shared" ca="1" si="201"/>
        <v>0</v>
      </c>
      <c r="AF249" t="e">
        <f t="shared" si="169"/>
        <v>#REF!</v>
      </c>
      <c r="AG249" t="e">
        <f t="shared" ca="1" si="200"/>
        <v>#N/A</v>
      </c>
      <c r="AH249" t="e">
        <f t="shared" ca="1" si="200"/>
        <v>#N/A</v>
      </c>
      <c r="AI249" t="e">
        <f t="shared" ca="1" si="200"/>
        <v>#N/A</v>
      </c>
      <c r="AJ249" t="e">
        <f t="shared" ca="1" si="200"/>
        <v>#N/A</v>
      </c>
      <c r="AK249" t="e">
        <f t="shared" ca="1" si="200"/>
        <v>#N/A</v>
      </c>
      <c r="AL249" t="e">
        <f t="shared" ca="1" si="200"/>
        <v>#N/A</v>
      </c>
      <c r="AM249" t="e">
        <f t="shared" ca="1" si="200"/>
        <v>#N/A</v>
      </c>
      <c r="AN249">
        <f t="shared" ca="1" si="171"/>
        <v>0</v>
      </c>
      <c r="AO249">
        <f t="shared" ca="1" si="172"/>
        <v>0</v>
      </c>
      <c r="AP249">
        <f t="shared" ca="1" si="173"/>
        <v>0</v>
      </c>
      <c r="AQ249">
        <f t="shared" ca="1" si="174"/>
        <v>0</v>
      </c>
      <c r="AR249">
        <f t="shared" ca="1" si="175"/>
        <v>0</v>
      </c>
      <c r="AS249">
        <f t="shared" ca="1" si="176"/>
        <v>0</v>
      </c>
      <c r="AT249">
        <f t="shared" ca="1" si="177"/>
        <v>0</v>
      </c>
      <c r="AV249" t="e">
        <f t="shared" si="6"/>
        <v>#REF!</v>
      </c>
      <c r="AW249" t="e" cm="1">
        <f t="array" ref="AW249">INDEX(auto_DataFlat_Score,$AV249,1)</f>
        <v>#REF!</v>
      </c>
      <c r="AX249" t="e" cm="1">
        <f t="array" ref="AX249">INDEX(auto_DataFlat_DataValue,$AV249,1)</f>
        <v>#REF!</v>
      </c>
      <c r="BA249" t="str">
        <f t="shared" si="178"/>
        <v>n/a</v>
      </c>
      <c r="BB249">
        <f t="shared" si="179"/>
        <v>1</v>
      </c>
      <c r="BC249" t="e">
        <f t="shared" si="180"/>
        <v>#REF!</v>
      </c>
      <c r="BD249" t="e">
        <f t="shared" ca="1" si="198"/>
        <v>#N/A</v>
      </c>
      <c r="BE249" t="e">
        <f t="shared" ca="1" si="198"/>
        <v>#N/A</v>
      </c>
      <c r="BF249" t="e">
        <f t="shared" ca="1" si="198"/>
        <v>#N/A</v>
      </c>
      <c r="BH249">
        <f t="shared" ref="BH249:BJ264" ca="1" si="202">IFERROR(BD249,0)</f>
        <v>0</v>
      </c>
      <c r="BI249">
        <f t="shared" ca="1" si="202"/>
        <v>0</v>
      </c>
      <c r="BJ249">
        <f t="shared" ca="1" si="202"/>
        <v>0</v>
      </c>
      <c r="BM249" t="e">
        <f t="shared" si="181"/>
        <v>#REF!</v>
      </c>
      <c r="BN249" t="e">
        <f t="shared" ca="1" si="182"/>
        <v>#N/A</v>
      </c>
      <c r="BO249" t="e">
        <f t="shared" ca="1" si="183"/>
        <v>#N/A</v>
      </c>
      <c r="BP249" t="e">
        <f t="shared" ca="1" si="184"/>
        <v>#N/A</v>
      </c>
      <c r="BQ249" t="e">
        <f t="shared" ca="1" si="185"/>
        <v>#N/A</v>
      </c>
      <c r="BR249" t="e">
        <f t="shared" ca="1" si="186"/>
        <v>#N/A</v>
      </c>
      <c r="BS249" t="e">
        <f t="shared" ca="1" si="187"/>
        <v>#N/A</v>
      </c>
      <c r="BT249" t="e">
        <f t="shared" ca="1" si="188"/>
        <v>#N/A</v>
      </c>
      <c r="BU249">
        <f t="shared" ca="1" si="189"/>
        <v>0</v>
      </c>
      <c r="BV249">
        <f t="shared" ca="1" si="190"/>
        <v>0</v>
      </c>
      <c r="BW249">
        <f t="shared" ca="1" si="191"/>
        <v>0</v>
      </c>
      <c r="BX249">
        <f t="shared" ca="1" si="192"/>
        <v>0</v>
      </c>
      <c r="BY249">
        <f t="shared" ca="1" si="193"/>
        <v>0</v>
      </c>
      <c r="BZ249">
        <f t="shared" ca="1" si="163"/>
        <v>0</v>
      </c>
      <c r="CA249">
        <f t="shared" ca="1" si="164"/>
        <v>0</v>
      </c>
    </row>
    <row r="250" spans="1:79" x14ac:dyDescent="0.4">
      <c r="A250" t="str">
        <f t="shared" si="197"/>
        <v>X</v>
      </c>
      <c r="B250">
        <v>239</v>
      </c>
      <c r="C250" t="e" cm="1">
        <f t="array" ref="C250">INDEX(auto_Series_Code,B250)</f>
        <v>#REF!</v>
      </c>
      <c r="D250" t="e" cm="1">
        <f t="array" ref="D250">INDEX(auto_tblSeries,$B250,D$11)</f>
        <v>#REF!</v>
      </c>
      <c r="E250" t="e" cm="1">
        <f t="array" ref="E250">INDEX(auto_tblSeries,$B250,E$11)</f>
        <v>#REF!</v>
      </c>
      <c r="F250" t="e" cm="1">
        <f t="array" ref="F250">INDEX(auto_tblSeries,$B250,F$11)</f>
        <v>#REF!</v>
      </c>
      <c r="G250" t="e" cm="1">
        <f t="array" ref="G250">INDEX(auto_tblSeries,$B250,G$11)</f>
        <v>#REF!</v>
      </c>
      <c r="H250" t="e" cm="1">
        <f t="array" ref="H250">INDEX(auto_tblSeries,$B250,H$11)</f>
        <v>#REF!</v>
      </c>
      <c r="I250" t="e">
        <f t="shared" si="70"/>
        <v>#REF!</v>
      </c>
      <c r="K250" t="e" cm="1">
        <f t="array" ref="K250">INDEX(auto_DataFlat_Score,$I250,K$10)</f>
        <v>#REF!</v>
      </c>
      <c r="L250" t="e" cm="1">
        <f t="array" ref="L250">INDEX(auto_DataFlat_Rank,$I250,L$10)</f>
        <v>#REF!</v>
      </c>
      <c r="M250" t="e" cm="1">
        <f t="array" ref="M250">INDEX(auto_DataFlat_DataValue,$I250,M$10)</f>
        <v>#REF!</v>
      </c>
      <c r="N250" t="e" cm="1">
        <f t="array" ref="N250">INDEX(auto_DataFlat_Classification,$I250,M$10)</f>
        <v>#REF!</v>
      </c>
      <c r="O250" t="e" cm="1">
        <f t="array" ref="O250">INDEX(auto_DataFlat_IsEstimate,$I250,O$10)</f>
        <v>#REF!</v>
      </c>
      <c r="P250" t="e" cm="1">
        <f t="array" ref="P250">IF(INDEX(auto_DataFlat_DataYear,$I250,P$10)=0,"n/a",INDEX(auto_DataFlat_DataYear,$I250,P$10))</f>
        <v>#REF!</v>
      </c>
      <c r="R250" t="e">
        <f t="shared" si="161"/>
        <v>#REF!</v>
      </c>
      <c r="S250" t="e" cm="1">
        <f t="array" ref="S250">INDEX(auto_DataFlat_Score,$R250,S$10)</f>
        <v>#REF!</v>
      </c>
      <c r="U250" t="str">
        <f t="shared" si="165"/>
        <v>n/a</v>
      </c>
      <c r="V250">
        <f t="shared" si="166"/>
        <v>1</v>
      </c>
      <c r="W250" t="e">
        <f t="shared" si="167"/>
        <v>#REF!</v>
      </c>
      <c r="X250" t="e">
        <f t="shared" ca="1" si="199"/>
        <v>#N/A</v>
      </c>
      <c r="Y250" t="e">
        <f t="shared" ca="1" si="199"/>
        <v>#N/A</v>
      </c>
      <c r="Z250" t="e">
        <f t="shared" ca="1" si="199"/>
        <v>#N/A</v>
      </c>
      <c r="AB250">
        <f t="shared" ca="1" si="201"/>
        <v>0</v>
      </c>
      <c r="AC250">
        <f t="shared" ca="1" si="201"/>
        <v>0</v>
      </c>
      <c r="AD250">
        <f t="shared" ca="1" si="201"/>
        <v>0</v>
      </c>
      <c r="AF250" t="e">
        <f t="shared" si="169"/>
        <v>#REF!</v>
      </c>
      <c r="AG250" t="e">
        <f t="shared" ca="1" si="200"/>
        <v>#N/A</v>
      </c>
      <c r="AH250" t="e">
        <f t="shared" ca="1" si="200"/>
        <v>#N/A</v>
      </c>
      <c r="AI250" t="e">
        <f t="shared" ca="1" si="200"/>
        <v>#N/A</v>
      </c>
      <c r="AJ250" t="e">
        <f t="shared" ca="1" si="200"/>
        <v>#N/A</v>
      </c>
      <c r="AK250" t="e">
        <f t="shared" ca="1" si="200"/>
        <v>#N/A</v>
      </c>
      <c r="AL250" t="e">
        <f t="shared" ca="1" si="200"/>
        <v>#N/A</v>
      </c>
      <c r="AM250" t="e">
        <f t="shared" ca="1" si="200"/>
        <v>#N/A</v>
      </c>
      <c r="AN250">
        <f t="shared" ca="1" si="171"/>
        <v>0</v>
      </c>
      <c r="AO250">
        <f t="shared" ca="1" si="172"/>
        <v>0</v>
      </c>
      <c r="AP250">
        <f t="shared" ca="1" si="173"/>
        <v>0</v>
      </c>
      <c r="AQ250">
        <f t="shared" ca="1" si="174"/>
        <v>0</v>
      </c>
      <c r="AR250">
        <f t="shared" ca="1" si="175"/>
        <v>0</v>
      </c>
      <c r="AS250">
        <f t="shared" ca="1" si="176"/>
        <v>0</v>
      </c>
      <c r="AT250">
        <f t="shared" ca="1" si="177"/>
        <v>0</v>
      </c>
      <c r="AV250" t="e">
        <f t="shared" si="6"/>
        <v>#REF!</v>
      </c>
      <c r="AW250" t="e" cm="1">
        <f t="array" ref="AW250">INDEX(auto_DataFlat_Score,$AV250,1)</f>
        <v>#REF!</v>
      </c>
      <c r="AX250" t="e" cm="1">
        <f t="array" ref="AX250">INDEX(auto_DataFlat_DataValue,$AV250,1)</f>
        <v>#REF!</v>
      </c>
      <c r="BA250" t="str">
        <f t="shared" si="178"/>
        <v>n/a</v>
      </c>
      <c r="BB250">
        <f t="shared" si="179"/>
        <v>1</v>
      </c>
      <c r="BC250" t="e">
        <f t="shared" si="180"/>
        <v>#REF!</v>
      </c>
      <c r="BD250" t="e">
        <f t="shared" ca="1" si="198"/>
        <v>#N/A</v>
      </c>
      <c r="BE250" t="e">
        <f t="shared" ca="1" si="198"/>
        <v>#N/A</v>
      </c>
      <c r="BF250" t="e">
        <f t="shared" ca="1" si="198"/>
        <v>#N/A</v>
      </c>
      <c r="BH250">
        <f t="shared" ca="1" si="202"/>
        <v>0</v>
      </c>
      <c r="BI250">
        <f t="shared" ca="1" si="202"/>
        <v>0</v>
      </c>
      <c r="BJ250">
        <f t="shared" ca="1" si="202"/>
        <v>0</v>
      </c>
      <c r="BM250" t="e">
        <f t="shared" si="181"/>
        <v>#REF!</v>
      </c>
      <c r="BN250" t="e">
        <f t="shared" ca="1" si="182"/>
        <v>#N/A</v>
      </c>
      <c r="BO250" t="e">
        <f t="shared" ca="1" si="183"/>
        <v>#N/A</v>
      </c>
      <c r="BP250" t="e">
        <f t="shared" ca="1" si="184"/>
        <v>#N/A</v>
      </c>
      <c r="BQ250" t="e">
        <f t="shared" ca="1" si="185"/>
        <v>#N/A</v>
      </c>
      <c r="BR250" t="e">
        <f t="shared" ca="1" si="186"/>
        <v>#N/A</v>
      </c>
      <c r="BS250" t="e">
        <f t="shared" ca="1" si="187"/>
        <v>#N/A</v>
      </c>
      <c r="BT250" t="e">
        <f t="shared" ca="1" si="188"/>
        <v>#N/A</v>
      </c>
      <c r="BU250">
        <f t="shared" ca="1" si="189"/>
        <v>0</v>
      </c>
      <c r="BV250">
        <f t="shared" ca="1" si="190"/>
        <v>0</v>
      </c>
      <c r="BW250">
        <f t="shared" ca="1" si="191"/>
        <v>0</v>
      </c>
      <c r="BX250">
        <f t="shared" ca="1" si="192"/>
        <v>0</v>
      </c>
      <c r="BY250">
        <f t="shared" ca="1" si="193"/>
        <v>0</v>
      </c>
      <c r="BZ250">
        <f t="shared" ca="1" si="163"/>
        <v>0</v>
      </c>
      <c r="CA250">
        <f t="shared" ca="1" si="164"/>
        <v>0</v>
      </c>
    </row>
    <row r="251" spans="1:79" x14ac:dyDescent="0.4">
      <c r="A251" t="str">
        <f t="shared" si="197"/>
        <v>X</v>
      </c>
      <c r="B251">
        <v>240</v>
      </c>
      <c r="C251" t="e" cm="1">
        <f t="array" ref="C251">INDEX(auto_Series_Code,B251)</f>
        <v>#REF!</v>
      </c>
      <c r="D251" t="e" cm="1">
        <f t="array" ref="D251">INDEX(auto_tblSeries,$B251,D$11)</f>
        <v>#REF!</v>
      </c>
      <c r="E251" t="e" cm="1">
        <f t="array" ref="E251">INDEX(auto_tblSeries,$B251,E$11)</f>
        <v>#REF!</v>
      </c>
      <c r="F251" t="e" cm="1">
        <f t="array" ref="F251">INDEX(auto_tblSeries,$B251,F$11)</f>
        <v>#REF!</v>
      </c>
      <c r="G251" t="e" cm="1">
        <f t="array" ref="G251">INDEX(auto_tblSeries,$B251,G$11)</f>
        <v>#REF!</v>
      </c>
      <c r="H251" t="e" cm="1">
        <f t="array" ref="H251">INDEX(auto_tblSeries,$B251,H$11)</f>
        <v>#REF!</v>
      </c>
      <c r="I251" t="e">
        <f t="shared" si="70"/>
        <v>#REF!</v>
      </c>
      <c r="K251" t="e" cm="1">
        <f t="array" ref="K251">INDEX(auto_DataFlat_Score,$I251,K$10)</f>
        <v>#REF!</v>
      </c>
      <c r="L251" t="e" cm="1">
        <f t="array" ref="L251">INDEX(auto_DataFlat_Rank,$I251,L$10)</f>
        <v>#REF!</v>
      </c>
      <c r="M251" t="e" cm="1">
        <f t="array" ref="M251">INDEX(auto_DataFlat_DataValue,$I251,M$10)</f>
        <v>#REF!</v>
      </c>
      <c r="N251" t="e" cm="1">
        <f t="array" ref="N251">INDEX(auto_DataFlat_Classification,$I251,M$10)</f>
        <v>#REF!</v>
      </c>
      <c r="O251" t="e" cm="1">
        <f t="array" ref="O251">INDEX(auto_DataFlat_IsEstimate,$I251,O$10)</f>
        <v>#REF!</v>
      </c>
      <c r="P251" t="e" cm="1">
        <f t="array" ref="P251">IF(INDEX(auto_DataFlat_DataYear,$I251,P$10)=0,"n/a",INDEX(auto_DataFlat_DataYear,$I251,P$10))</f>
        <v>#REF!</v>
      </c>
      <c r="R251" t="e">
        <f t="shared" si="161"/>
        <v>#REF!</v>
      </c>
      <c r="S251" t="e" cm="1">
        <f t="array" ref="S251">INDEX(auto_DataFlat_Score,$R251,S$10)</f>
        <v>#REF!</v>
      </c>
      <c r="U251" t="str">
        <f t="shared" si="165"/>
        <v>n/a</v>
      </c>
      <c r="V251">
        <f t="shared" si="166"/>
        <v>1</v>
      </c>
      <c r="W251" t="e">
        <f t="shared" si="167"/>
        <v>#REF!</v>
      </c>
      <c r="X251" t="e">
        <f t="shared" ca="1" si="199"/>
        <v>#N/A</v>
      </c>
      <c r="Y251" t="e">
        <f t="shared" ca="1" si="199"/>
        <v>#N/A</v>
      </c>
      <c r="Z251" t="e">
        <f t="shared" ca="1" si="199"/>
        <v>#N/A</v>
      </c>
      <c r="AB251">
        <f t="shared" ca="1" si="201"/>
        <v>0</v>
      </c>
      <c r="AC251">
        <f t="shared" ca="1" si="201"/>
        <v>0</v>
      </c>
      <c r="AD251">
        <f t="shared" ca="1" si="201"/>
        <v>0</v>
      </c>
      <c r="AF251" t="e">
        <f t="shared" si="169"/>
        <v>#REF!</v>
      </c>
      <c r="AG251" t="e">
        <f t="shared" ca="1" si="200"/>
        <v>#N/A</v>
      </c>
      <c r="AH251" t="e">
        <f t="shared" ca="1" si="200"/>
        <v>#N/A</v>
      </c>
      <c r="AI251" t="e">
        <f t="shared" ca="1" si="200"/>
        <v>#N/A</v>
      </c>
      <c r="AJ251" t="e">
        <f t="shared" ca="1" si="200"/>
        <v>#N/A</v>
      </c>
      <c r="AK251" t="e">
        <f t="shared" ca="1" si="200"/>
        <v>#N/A</v>
      </c>
      <c r="AL251" t="e">
        <f t="shared" ca="1" si="200"/>
        <v>#N/A</v>
      </c>
      <c r="AM251" t="e">
        <f t="shared" ca="1" si="200"/>
        <v>#N/A</v>
      </c>
      <c r="AN251">
        <f t="shared" ca="1" si="171"/>
        <v>0</v>
      </c>
      <c r="AO251">
        <f t="shared" ca="1" si="172"/>
        <v>0</v>
      </c>
      <c r="AP251">
        <f t="shared" ca="1" si="173"/>
        <v>0</v>
      </c>
      <c r="AQ251">
        <f t="shared" ca="1" si="174"/>
        <v>0</v>
      </c>
      <c r="AR251">
        <f t="shared" ca="1" si="175"/>
        <v>0</v>
      </c>
      <c r="AS251">
        <f t="shared" ca="1" si="176"/>
        <v>0</v>
      </c>
      <c r="AT251">
        <f t="shared" ca="1" si="177"/>
        <v>0</v>
      </c>
      <c r="AV251" t="e">
        <f t="shared" si="6"/>
        <v>#REF!</v>
      </c>
      <c r="AW251" t="e" cm="1">
        <f t="array" ref="AW251">INDEX(auto_DataFlat_Score,$AV251,1)</f>
        <v>#REF!</v>
      </c>
      <c r="AX251" t="e" cm="1">
        <f t="array" ref="AX251">INDEX(auto_DataFlat_DataValue,$AV251,1)</f>
        <v>#REF!</v>
      </c>
      <c r="BA251" t="str">
        <f t="shared" si="178"/>
        <v>n/a</v>
      </c>
      <c r="BB251">
        <f t="shared" si="179"/>
        <v>1</v>
      </c>
      <c r="BC251" t="e">
        <f t="shared" si="180"/>
        <v>#REF!</v>
      </c>
      <c r="BD251" t="e">
        <f t="shared" ca="1" si="198"/>
        <v>#N/A</v>
      </c>
      <c r="BE251" t="e">
        <f t="shared" ca="1" si="198"/>
        <v>#N/A</v>
      </c>
      <c r="BF251" t="e">
        <f t="shared" ca="1" si="198"/>
        <v>#N/A</v>
      </c>
      <c r="BH251">
        <f t="shared" ca="1" si="202"/>
        <v>0</v>
      </c>
      <c r="BI251">
        <f t="shared" ca="1" si="202"/>
        <v>0</v>
      </c>
      <c r="BJ251">
        <f t="shared" ca="1" si="202"/>
        <v>0</v>
      </c>
      <c r="BM251" t="e">
        <f t="shared" si="181"/>
        <v>#REF!</v>
      </c>
      <c r="BN251" t="e">
        <f t="shared" ca="1" si="182"/>
        <v>#N/A</v>
      </c>
      <c r="BO251" t="e">
        <f t="shared" ca="1" si="183"/>
        <v>#N/A</v>
      </c>
      <c r="BP251" t="e">
        <f t="shared" ca="1" si="184"/>
        <v>#N/A</v>
      </c>
      <c r="BQ251" t="e">
        <f t="shared" ca="1" si="185"/>
        <v>#N/A</v>
      </c>
      <c r="BR251" t="e">
        <f t="shared" ca="1" si="186"/>
        <v>#N/A</v>
      </c>
      <c r="BS251" t="e">
        <f t="shared" ca="1" si="187"/>
        <v>#N/A</v>
      </c>
      <c r="BT251" t="e">
        <f t="shared" ca="1" si="188"/>
        <v>#N/A</v>
      </c>
      <c r="BU251">
        <f t="shared" ca="1" si="189"/>
        <v>0</v>
      </c>
      <c r="BV251">
        <f t="shared" ca="1" si="190"/>
        <v>0</v>
      </c>
      <c r="BW251">
        <f t="shared" ca="1" si="191"/>
        <v>0</v>
      </c>
      <c r="BX251">
        <f t="shared" ca="1" si="192"/>
        <v>0</v>
      </c>
      <c r="BY251">
        <f t="shared" ca="1" si="193"/>
        <v>0</v>
      </c>
      <c r="BZ251">
        <f t="shared" ca="1" si="163"/>
        <v>0</v>
      </c>
      <c r="CA251">
        <f t="shared" ca="1" si="164"/>
        <v>0</v>
      </c>
    </row>
    <row r="252" spans="1:79" x14ac:dyDescent="0.4">
      <c r="A252" t="str">
        <f t="shared" si="197"/>
        <v>X</v>
      </c>
      <c r="B252">
        <v>241</v>
      </c>
      <c r="C252" t="e" cm="1">
        <f t="array" ref="C252">INDEX(auto_Series_Code,B252)</f>
        <v>#REF!</v>
      </c>
      <c r="D252" t="e" cm="1">
        <f t="array" ref="D252">INDEX(auto_tblSeries,$B252,D$11)</f>
        <v>#REF!</v>
      </c>
      <c r="E252" t="e" cm="1">
        <f t="array" ref="E252">INDEX(auto_tblSeries,$B252,E$11)</f>
        <v>#REF!</v>
      </c>
      <c r="F252" t="e" cm="1">
        <f t="array" ref="F252">INDEX(auto_tblSeries,$B252,F$11)</f>
        <v>#REF!</v>
      </c>
      <c r="G252" t="e" cm="1">
        <f t="array" ref="G252">INDEX(auto_tblSeries,$B252,G$11)</f>
        <v>#REF!</v>
      </c>
      <c r="H252" t="e" cm="1">
        <f t="array" ref="H252">INDEX(auto_tblSeries,$B252,H$11)</f>
        <v>#REF!</v>
      </c>
      <c r="I252" t="e">
        <f t="shared" si="70"/>
        <v>#REF!</v>
      </c>
      <c r="K252" t="e" cm="1">
        <f t="array" ref="K252">INDEX(auto_DataFlat_Score,$I252,K$10)</f>
        <v>#REF!</v>
      </c>
      <c r="L252" t="e" cm="1">
        <f t="array" ref="L252">INDEX(auto_DataFlat_Rank,$I252,L$10)</f>
        <v>#REF!</v>
      </c>
      <c r="M252" t="e" cm="1">
        <f t="array" ref="M252">INDEX(auto_DataFlat_DataValue,$I252,M$10)</f>
        <v>#REF!</v>
      </c>
      <c r="N252" t="e" cm="1">
        <f t="array" ref="N252">INDEX(auto_DataFlat_Classification,$I252,M$10)</f>
        <v>#REF!</v>
      </c>
      <c r="O252" t="e" cm="1">
        <f t="array" ref="O252">INDEX(auto_DataFlat_IsEstimate,$I252,O$10)</f>
        <v>#REF!</v>
      </c>
      <c r="P252" t="e" cm="1">
        <f t="array" ref="P252">IF(INDEX(auto_DataFlat_DataYear,$I252,P$10)=0,"n/a",INDEX(auto_DataFlat_DataYear,$I252,P$10))</f>
        <v>#REF!</v>
      </c>
      <c r="R252" t="e">
        <f t="shared" si="161"/>
        <v>#REF!</v>
      </c>
      <c r="S252" t="e" cm="1">
        <f t="array" ref="S252">INDEX(auto_DataFlat_Score,$R252,S$10)</f>
        <v>#REF!</v>
      </c>
      <c r="U252" t="str">
        <f t="shared" si="165"/>
        <v>n/a</v>
      </c>
      <c r="V252">
        <f t="shared" si="166"/>
        <v>1</v>
      </c>
      <c r="W252" t="e">
        <f t="shared" si="167"/>
        <v>#REF!</v>
      </c>
      <c r="X252" t="e">
        <f t="shared" ca="1" si="199"/>
        <v>#N/A</v>
      </c>
      <c r="Y252" t="e">
        <f t="shared" ca="1" si="199"/>
        <v>#N/A</v>
      </c>
      <c r="Z252" t="e">
        <f t="shared" ca="1" si="199"/>
        <v>#N/A</v>
      </c>
      <c r="AB252">
        <f t="shared" ca="1" si="201"/>
        <v>0</v>
      </c>
      <c r="AC252">
        <f t="shared" ca="1" si="201"/>
        <v>0</v>
      </c>
      <c r="AD252">
        <f t="shared" ca="1" si="201"/>
        <v>0</v>
      </c>
      <c r="AF252" t="e">
        <f t="shared" si="169"/>
        <v>#REF!</v>
      </c>
      <c r="AG252" t="e">
        <f t="shared" ca="1" si="200"/>
        <v>#N/A</v>
      </c>
      <c r="AH252" t="e">
        <f t="shared" ca="1" si="200"/>
        <v>#N/A</v>
      </c>
      <c r="AI252" t="e">
        <f t="shared" ca="1" si="200"/>
        <v>#N/A</v>
      </c>
      <c r="AJ252" t="e">
        <f t="shared" ca="1" si="200"/>
        <v>#N/A</v>
      </c>
      <c r="AK252" t="e">
        <f t="shared" ca="1" si="200"/>
        <v>#N/A</v>
      </c>
      <c r="AL252" t="e">
        <f t="shared" ca="1" si="200"/>
        <v>#N/A</v>
      </c>
      <c r="AM252" t="e">
        <f t="shared" ca="1" si="200"/>
        <v>#N/A</v>
      </c>
      <c r="AN252">
        <f t="shared" ca="1" si="171"/>
        <v>0</v>
      </c>
      <c r="AO252">
        <f t="shared" ca="1" si="172"/>
        <v>0</v>
      </c>
      <c r="AP252">
        <f t="shared" ca="1" si="173"/>
        <v>0</v>
      </c>
      <c r="AQ252">
        <f t="shared" ca="1" si="174"/>
        <v>0</v>
      </c>
      <c r="AR252">
        <f t="shared" ca="1" si="175"/>
        <v>0</v>
      </c>
      <c r="AS252">
        <f t="shared" ca="1" si="176"/>
        <v>0</v>
      </c>
      <c r="AT252">
        <f t="shared" ca="1" si="177"/>
        <v>0</v>
      </c>
      <c r="AV252" t="e">
        <f t="shared" si="6"/>
        <v>#REF!</v>
      </c>
      <c r="AW252" t="e" cm="1">
        <f t="array" ref="AW252">INDEX(auto_DataFlat_Score,$AV252,1)</f>
        <v>#REF!</v>
      </c>
      <c r="AX252" t="e" cm="1">
        <f t="array" ref="AX252">INDEX(auto_DataFlat_DataValue,$AV252,1)</f>
        <v>#REF!</v>
      </c>
      <c r="BA252" t="str">
        <f t="shared" si="178"/>
        <v>n/a</v>
      </c>
      <c r="BB252">
        <f t="shared" si="179"/>
        <v>1</v>
      </c>
      <c r="BC252" t="e">
        <f t="shared" si="180"/>
        <v>#REF!</v>
      </c>
      <c r="BD252" t="e">
        <f t="shared" ref="BD252:BF267" ca="1" si="203">BD251+MATCH(BD$10,OFFSET($BC$12,BD251,0,200,1),0)</f>
        <v>#N/A</v>
      </c>
      <c r="BE252" t="e">
        <f t="shared" ca="1" si="203"/>
        <v>#N/A</v>
      </c>
      <c r="BF252" t="e">
        <f t="shared" ca="1" si="203"/>
        <v>#N/A</v>
      </c>
      <c r="BH252">
        <f t="shared" ca="1" si="202"/>
        <v>0</v>
      </c>
      <c r="BI252">
        <f t="shared" ca="1" si="202"/>
        <v>0</v>
      </c>
      <c r="BJ252">
        <f t="shared" ca="1" si="202"/>
        <v>0</v>
      </c>
      <c r="BM252" t="e">
        <f t="shared" si="181"/>
        <v>#REF!</v>
      </c>
      <c r="BN252" t="e">
        <f t="shared" ca="1" si="182"/>
        <v>#N/A</v>
      </c>
      <c r="BO252" t="e">
        <f t="shared" ca="1" si="183"/>
        <v>#N/A</v>
      </c>
      <c r="BP252" t="e">
        <f t="shared" ca="1" si="184"/>
        <v>#N/A</v>
      </c>
      <c r="BQ252" t="e">
        <f t="shared" ca="1" si="185"/>
        <v>#N/A</v>
      </c>
      <c r="BR252" t="e">
        <f t="shared" ca="1" si="186"/>
        <v>#N/A</v>
      </c>
      <c r="BS252" t="e">
        <f t="shared" ca="1" si="187"/>
        <v>#N/A</v>
      </c>
      <c r="BT252" t="e">
        <f t="shared" ca="1" si="188"/>
        <v>#N/A</v>
      </c>
      <c r="BU252">
        <f t="shared" ca="1" si="189"/>
        <v>0</v>
      </c>
      <c r="BV252">
        <f t="shared" ca="1" si="190"/>
        <v>0</v>
      </c>
      <c r="BW252">
        <f t="shared" ca="1" si="191"/>
        <v>0</v>
      </c>
      <c r="BX252">
        <f t="shared" ca="1" si="192"/>
        <v>0</v>
      </c>
      <c r="BY252">
        <f t="shared" ca="1" si="193"/>
        <v>0</v>
      </c>
      <c r="BZ252">
        <f t="shared" ca="1" si="163"/>
        <v>0</v>
      </c>
      <c r="CA252">
        <f t="shared" ca="1" si="164"/>
        <v>0</v>
      </c>
    </row>
    <row r="253" spans="1:79" x14ac:dyDescent="0.4">
      <c r="A253" t="str">
        <f t="shared" si="197"/>
        <v>X</v>
      </c>
      <c r="B253">
        <v>242</v>
      </c>
      <c r="C253" t="e" cm="1">
        <f t="array" ref="C253">INDEX(auto_Series_Code,B253)</f>
        <v>#REF!</v>
      </c>
      <c r="D253" t="e" cm="1">
        <f t="array" ref="D253">INDEX(auto_tblSeries,$B253,D$11)</f>
        <v>#REF!</v>
      </c>
      <c r="E253" t="e" cm="1">
        <f t="array" ref="E253">INDEX(auto_tblSeries,$B253,E$11)</f>
        <v>#REF!</v>
      </c>
      <c r="F253" t="e" cm="1">
        <f t="array" ref="F253">INDEX(auto_tblSeries,$B253,F$11)</f>
        <v>#REF!</v>
      </c>
      <c r="G253" t="e" cm="1">
        <f t="array" ref="G253">INDEX(auto_tblSeries,$B253,G$11)</f>
        <v>#REF!</v>
      </c>
      <c r="H253" t="e" cm="1">
        <f t="array" ref="H253">INDEX(auto_tblSeries,$B253,H$11)</f>
        <v>#REF!</v>
      </c>
      <c r="I253" t="e">
        <f t="shared" si="70"/>
        <v>#REF!</v>
      </c>
      <c r="K253" t="e" cm="1">
        <f t="array" ref="K253">INDEX(auto_DataFlat_Score,$I253,K$10)</f>
        <v>#REF!</v>
      </c>
      <c r="L253" t="e" cm="1">
        <f t="array" ref="L253">INDEX(auto_DataFlat_Rank,$I253,L$10)</f>
        <v>#REF!</v>
      </c>
      <c r="M253" t="e" cm="1">
        <f t="array" ref="M253">INDEX(auto_DataFlat_DataValue,$I253,M$10)</f>
        <v>#REF!</v>
      </c>
      <c r="N253" t="e" cm="1">
        <f t="array" ref="N253">INDEX(auto_DataFlat_Classification,$I253,M$10)</f>
        <v>#REF!</v>
      </c>
      <c r="O253" t="e" cm="1">
        <f t="array" ref="O253">INDEX(auto_DataFlat_IsEstimate,$I253,O$10)</f>
        <v>#REF!</v>
      </c>
      <c r="P253" t="e" cm="1">
        <f t="array" ref="P253">IF(INDEX(auto_DataFlat_DataYear,$I253,P$10)=0,"n/a",INDEX(auto_DataFlat_DataYear,$I253,P$10))</f>
        <v>#REF!</v>
      </c>
      <c r="R253" t="e">
        <f t="shared" si="161"/>
        <v>#REF!</v>
      </c>
      <c r="S253" t="e" cm="1">
        <f t="array" ref="S253">INDEX(auto_DataFlat_Score,$R253,S$10)</f>
        <v>#REF!</v>
      </c>
      <c r="U253" t="str">
        <f t="shared" si="165"/>
        <v>n/a</v>
      </c>
      <c r="V253">
        <f t="shared" si="166"/>
        <v>1</v>
      </c>
      <c r="W253" t="e">
        <f t="shared" si="167"/>
        <v>#REF!</v>
      </c>
      <c r="X253" t="e">
        <f t="shared" ref="X253:Z268" ca="1" si="204">X252+MATCH(X$10,OFFSET($W$12,X252,0,300,1),0)</f>
        <v>#N/A</v>
      </c>
      <c r="Y253" t="e">
        <f t="shared" ca="1" si="204"/>
        <v>#N/A</v>
      </c>
      <c r="Z253" t="e">
        <f t="shared" ca="1" si="204"/>
        <v>#N/A</v>
      </c>
      <c r="AB253">
        <f t="shared" ca="1" si="201"/>
        <v>0</v>
      </c>
      <c r="AC253">
        <f t="shared" ca="1" si="201"/>
        <v>0</v>
      </c>
      <c r="AD253">
        <f t="shared" ca="1" si="201"/>
        <v>0</v>
      </c>
      <c r="AF253" t="e">
        <f t="shared" si="169"/>
        <v>#REF!</v>
      </c>
      <c r="AG253" t="e">
        <f t="shared" ref="AG253:AM268" ca="1" si="205">IFERROR(AG252+MATCH(AG$10,OFFSET($AF$12,AG252,0,300-AG252,1),0),NA())</f>
        <v>#N/A</v>
      </c>
      <c r="AH253" t="e">
        <f t="shared" ca="1" si="205"/>
        <v>#N/A</v>
      </c>
      <c r="AI253" t="e">
        <f t="shared" ca="1" si="205"/>
        <v>#N/A</v>
      </c>
      <c r="AJ253" t="e">
        <f t="shared" ca="1" si="205"/>
        <v>#N/A</v>
      </c>
      <c r="AK253" t="e">
        <f t="shared" ca="1" si="205"/>
        <v>#N/A</v>
      </c>
      <c r="AL253" t="e">
        <f t="shared" ca="1" si="205"/>
        <v>#N/A</v>
      </c>
      <c r="AM253" t="e">
        <f t="shared" ca="1" si="205"/>
        <v>#N/A</v>
      </c>
      <c r="AN253">
        <f t="shared" ca="1" si="171"/>
        <v>0</v>
      </c>
      <c r="AO253">
        <f t="shared" ca="1" si="172"/>
        <v>0</v>
      </c>
      <c r="AP253">
        <f t="shared" ca="1" si="173"/>
        <v>0</v>
      </c>
      <c r="AQ253">
        <f t="shared" ca="1" si="174"/>
        <v>0</v>
      </c>
      <c r="AR253">
        <f t="shared" ca="1" si="175"/>
        <v>0</v>
      </c>
      <c r="AS253">
        <f t="shared" ca="1" si="176"/>
        <v>0</v>
      </c>
      <c r="AT253">
        <f t="shared" ca="1" si="177"/>
        <v>0</v>
      </c>
      <c r="AV253" t="e">
        <f t="shared" si="6"/>
        <v>#REF!</v>
      </c>
      <c r="AW253" t="e" cm="1">
        <f t="array" ref="AW253">INDEX(auto_DataFlat_Score,$AV253,1)</f>
        <v>#REF!</v>
      </c>
      <c r="AX253" t="e" cm="1">
        <f t="array" ref="AX253">INDEX(auto_DataFlat_DataValue,$AV253,1)</f>
        <v>#REF!</v>
      </c>
      <c r="BA253" t="str">
        <f t="shared" si="178"/>
        <v>n/a</v>
      </c>
      <c r="BB253">
        <f t="shared" si="179"/>
        <v>1</v>
      </c>
      <c r="BC253" t="e">
        <f t="shared" si="180"/>
        <v>#REF!</v>
      </c>
      <c r="BD253" t="e">
        <f t="shared" ca="1" si="203"/>
        <v>#N/A</v>
      </c>
      <c r="BE253" t="e">
        <f t="shared" ca="1" si="203"/>
        <v>#N/A</v>
      </c>
      <c r="BF253" t="e">
        <f t="shared" ca="1" si="203"/>
        <v>#N/A</v>
      </c>
      <c r="BH253">
        <f t="shared" ca="1" si="202"/>
        <v>0</v>
      </c>
      <c r="BI253">
        <f t="shared" ca="1" si="202"/>
        <v>0</v>
      </c>
      <c r="BJ253">
        <f t="shared" ca="1" si="202"/>
        <v>0</v>
      </c>
      <c r="BM253" t="e">
        <f t="shared" si="181"/>
        <v>#REF!</v>
      </c>
      <c r="BN253" t="e">
        <f t="shared" ca="1" si="182"/>
        <v>#N/A</v>
      </c>
      <c r="BO253" t="e">
        <f t="shared" ca="1" si="183"/>
        <v>#N/A</v>
      </c>
      <c r="BP253" t="e">
        <f t="shared" ca="1" si="184"/>
        <v>#N/A</v>
      </c>
      <c r="BQ253" t="e">
        <f t="shared" ca="1" si="185"/>
        <v>#N/A</v>
      </c>
      <c r="BR253" t="e">
        <f t="shared" ca="1" si="186"/>
        <v>#N/A</v>
      </c>
      <c r="BS253" t="e">
        <f t="shared" ca="1" si="187"/>
        <v>#N/A</v>
      </c>
      <c r="BT253" t="e">
        <f t="shared" ca="1" si="188"/>
        <v>#N/A</v>
      </c>
      <c r="BU253">
        <f t="shared" ca="1" si="189"/>
        <v>0</v>
      </c>
      <c r="BV253">
        <f t="shared" ca="1" si="190"/>
        <v>0</v>
      </c>
      <c r="BW253">
        <f t="shared" ca="1" si="191"/>
        <v>0</v>
      </c>
      <c r="BX253">
        <f t="shared" ca="1" si="192"/>
        <v>0</v>
      </c>
      <c r="BY253">
        <f t="shared" ca="1" si="193"/>
        <v>0</v>
      </c>
      <c r="BZ253">
        <f t="shared" ca="1" si="163"/>
        <v>0</v>
      </c>
      <c r="CA253">
        <f t="shared" ca="1" si="164"/>
        <v>0</v>
      </c>
    </row>
    <row r="254" spans="1:79" x14ac:dyDescent="0.4">
      <c r="A254" t="str">
        <f t="shared" si="197"/>
        <v>X</v>
      </c>
      <c r="B254">
        <v>243</v>
      </c>
      <c r="C254" t="e" cm="1">
        <f t="array" ref="C254">INDEX(auto_Series_Code,B254)</f>
        <v>#REF!</v>
      </c>
      <c r="D254" t="e" cm="1">
        <f t="array" ref="D254">INDEX(auto_tblSeries,$B254,D$11)</f>
        <v>#REF!</v>
      </c>
      <c r="E254" t="e" cm="1">
        <f t="array" ref="E254">INDEX(auto_tblSeries,$B254,E$11)</f>
        <v>#REF!</v>
      </c>
      <c r="F254" t="e" cm="1">
        <f t="array" ref="F254">INDEX(auto_tblSeries,$B254,F$11)</f>
        <v>#REF!</v>
      </c>
      <c r="G254" t="e" cm="1">
        <f t="array" ref="G254">INDEX(auto_tblSeries,$B254,G$11)</f>
        <v>#REF!</v>
      </c>
      <c r="H254" t="e" cm="1">
        <f t="array" ref="H254">INDEX(auto_tblSeries,$B254,H$11)</f>
        <v>#REF!</v>
      </c>
      <c r="I254" t="e">
        <f t="shared" si="70"/>
        <v>#REF!</v>
      </c>
      <c r="K254" t="e" cm="1">
        <f t="array" ref="K254">INDEX(auto_DataFlat_Score,$I254,K$10)</f>
        <v>#REF!</v>
      </c>
      <c r="L254" t="e" cm="1">
        <f t="array" ref="L254">INDEX(auto_DataFlat_Rank,$I254,L$10)</f>
        <v>#REF!</v>
      </c>
      <c r="M254" t="e" cm="1">
        <f t="array" ref="M254">INDEX(auto_DataFlat_DataValue,$I254,M$10)</f>
        <v>#REF!</v>
      </c>
      <c r="N254" t="e" cm="1">
        <f t="array" ref="N254">INDEX(auto_DataFlat_Classification,$I254,M$10)</f>
        <v>#REF!</v>
      </c>
      <c r="O254" t="e" cm="1">
        <f t="array" ref="O254">INDEX(auto_DataFlat_IsEstimate,$I254,O$10)</f>
        <v>#REF!</v>
      </c>
      <c r="P254" t="e" cm="1">
        <f t="array" ref="P254">IF(INDEX(auto_DataFlat_DataYear,$I254,P$10)=0,"n/a",INDEX(auto_DataFlat_DataYear,$I254,P$10))</f>
        <v>#REF!</v>
      </c>
      <c r="R254" t="e">
        <f t="shared" si="161"/>
        <v>#REF!</v>
      </c>
      <c r="S254" t="e" cm="1">
        <f t="array" ref="S254">INDEX(auto_DataFlat_Score,$R254,S$10)</f>
        <v>#REF!</v>
      </c>
      <c r="U254" t="str">
        <f t="shared" si="165"/>
        <v>n/a</v>
      </c>
      <c r="V254">
        <f t="shared" si="166"/>
        <v>1</v>
      </c>
      <c r="W254" t="e">
        <f t="shared" si="167"/>
        <v>#REF!</v>
      </c>
      <c r="X254" t="e">
        <f t="shared" ca="1" si="204"/>
        <v>#N/A</v>
      </c>
      <c r="Y254" t="e">
        <f t="shared" ca="1" si="204"/>
        <v>#N/A</v>
      </c>
      <c r="Z254" t="e">
        <f t="shared" ca="1" si="204"/>
        <v>#N/A</v>
      </c>
      <c r="AB254">
        <f t="shared" ca="1" si="201"/>
        <v>0</v>
      </c>
      <c r="AC254">
        <f t="shared" ca="1" si="201"/>
        <v>0</v>
      </c>
      <c r="AD254">
        <f t="shared" ca="1" si="201"/>
        <v>0</v>
      </c>
      <c r="AF254" t="e">
        <f t="shared" si="169"/>
        <v>#REF!</v>
      </c>
      <c r="AG254" t="e">
        <f t="shared" ca="1" si="205"/>
        <v>#N/A</v>
      </c>
      <c r="AH254" t="e">
        <f t="shared" ca="1" si="205"/>
        <v>#N/A</v>
      </c>
      <c r="AI254" t="e">
        <f t="shared" ca="1" si="205"/>
        <v>#N/A</v>
      </c>
      <c r="AJ254" t="e">
        <f t="shared" ca="1" si="205"/>
        <v>#N/A</v>
      </c>
      <c r="AK254" t="e">
        <f t="shared" ca="1" si="205"/>
        <v>#N/A</v>
      </c>
      <c r="AL254" t="e">
        <f t="shared" ca="1" si="205"/>
        <v>#N/A</v>
      </c>
      <c r="AM254" t="e">
        <f t="shared" ca="1" si="205"/>
        <v>#N/A</v>
      </c>
      <c r="AN254">
        <f t="shared" ca="1" si="171"/>
        <v>0</v>
      </c>
      <c r="AO254">
        <f t="shared" ca="1" si="172"/>
        <v>0</v>
      </c>
      <c r="AP254">
        <f t="shared" ca="1" si="173"/>
        <v>0</v>
      </c>
      <c r="AQ254">
        <f t="shared" ca="1" si="174"/>
        <v>0</v>
      </c>
      <c r="AR254">
        <f t="shared" ca="1" si="175"/>
        <v>0</v>
      </c>
      <c r="AS254">
        <f t="shared" ca="1" si="176"/>
        <v>0</v>
      </c>
      <c r="AT254">
        <f t="shared" ca="1" si="177"/>
        <v>0</v>
      </c>
      <c r="AV254" t="e">
        <f t="shared" si="6"/>
        <v>#REF!</v>
      </c>
      <c r="AW254" t="e" cm="1">
        <f t="array" ref="AW254">INDEX(auto_DataFlat_Score,$AV254,1)</f>
        <v>#REF!</v>
      </c>
      <c r="AX254" t="e" cm="1">
        <f t="array" ref="AX254">INDEX(auto_DataFlat_DataValue,$AV254,1)</f>
        <v>#REF!</v>
      </c>
      <c r="BA254" t="str">
        <f t="shared" si="178"/>
        <v>n/a</v>
      </c>
      <c r="BB254">
        <f t="shared" si="179"/>
        <v>1</v>
      </c>
      <c r="BC254" t="e">
        <f t="shared" si="180"/>
        <v>#REF!</v>
      </c>
      <c r="BD254" t="e">
        <f t="shared" ca="1" si="203"/>
        <v>#N/A</v>
      </c>
      <c r="BE254" t="e">
        <f t="shared" ca="1" si="203"/>
        <v>#N/A</v>
      </c>
      <c r="BF254" t="e">
        <f t="shared" ca="1" si="203"/>
        <v>#N/A</v>
      </c>
      <c r="BH254">
        <f t="shared" ca="1" si="202"/>
        <v>0</v>
      </c>
      <c r="BI254">
        <f t="shared" ca="1" si="202"/>
        <v>0</v>
      </c>
      <c r="BJ254">
        <f t="shared" ca="1" si="202"/>
        <v>0</v>
      </c>
      <c r="BM254" t="e">
        <f t="shared" si="181"/>
        <v>#REF!</v>
      </c>
      <c r="BN254" t="e">
        <f t="shared" ca="1" si="182"/>
        <v>#N/A</v>
      </c>
      <c r="BO254" t="e">
        <f t="shared" ca="1" si="183"/>
        <v>#N/A</v>
      </c>
      <c r="BP254" t="e">
        <f t="shared" ca="1" si="184"/>
        <v>#N/A</v>
      </c>
      <c r="BQ254" t="e">
        <f t="shared" ca="1" si="185"/>
        <v>#N/A</v>
      </c>
      <c r="BR254" t="e">
        <f t="shared" ca="1" si="186"/>
        <v>#N/A</v>
      </c>
      <c r="BS254" t="e">
        <f t="shared" ca="1" si="187"/>
        <v>#N/A</v>
      </c>
      <c r="BT254" t="e">
        <f t="shared" ca="1" si="188"/>
        <v>#N/A</v>
      </c>
      <c r="BU254">
        <f t="shared" ca="1" si="189"/>
        <v>0</v>
      </c>
      <c r="BV254">
        <f t="shared" ca="1" si="190"/>
        <v>0</v>
      </c>
      <c r="BW254">
        <f t="shared" ca="1" si="191"/>
        <v>0</v>
      </c>
      <c r="BX254">
        <f t="shared" ca="1" si="192"/>
        <v>0</v>
      </c>
      <c r="BY254">
        <f t="shared" ca="1" si="193"/>
        <v>0</v>
      </c>
      <c r="BZ254">
        <f t="shared" ca="1" si="163"/>
        <v>0</v>
      </c>
      <c r="CA254">
        <f t="shared" ca="1" si="164"/>
        <v>0</v>
      </c>
    </row>
    <row r="255" spans="1:79" x14ac:dyDescent="0.4">
      <c r="A255" t="str">
        <f t="shared" si="197"/>
        <v>X</v>
      </c>
      <c r="B255">
        <v>244</v>
      </c>
      <c r="C255" t="e" cm="1">
        <f t="array" ref="C255">INDEX(auto_Series_Code,B255)</f>
        <v>#REF!</v>
      </c>
      <c r="D255" t="e" cm="1">
        <f t="array" ref="D255">INDEX(auto_tblSeries,$B255,D$11)</f>
        <v>#REF!</v>
      </c>
      <c r="E255" t="e" cm="1">
        <f t="array" ref="E255">INDEX(auto_tblSeries,$B255,E$11)</f>
        <v>#REF!</v>
      </c>
      <c r="F255" t="e" cm="1">
        <f t="array" ref="F255">INDEX(auto_tblSeries,$B255,F$11)</f>
        <v>#REF!</v>
      </c>
      <c r="G255" t="e" cm="1">
        <f t="array" ref="G255">INDEX(auto_tblSeries,$B255,G$11)</f>
        <v>#REF!</v>
      </c>
      <c r="H255" t="e" cm="1">
        <f t="array" ref="H255">INDEX(auto_tblSeries,$B255,H$11)</f>
        <v>#REF!</v>
      </c>
      <c r="I255" t="e">
        <f t="shared" si="70"/>
        <v>#REF!</v>
      </c>
      <c r="K255" t="e" cm="1">
        <f t="array" ref="K255">INDEX(auto_DataFlat_Score,$I255,K$10)</f>
        <v>#REF!</v>
      </c>
      <c r="L255" t="e" cm="1">
        <f t="array" ref="L255">INDEX(auto_DataFlat_Rank,$I255,L$10)</f>
        <v>#REF!</v>
      </c>
      <c r="M255" t="e" cm="1">
        <f t="array" ref="M255">INDEX(auto_DataFlat_DataValue,$I255,M$10)</f>
        <v>#REF!</v>
      </c>
      <c r="N255" t="e" cm="1">
        <f t="array" ref="N255">INDEX(auto_DataFlat_Classification,$I255,M$10)</f>
        <v>#REF!</v>
      </c>
      <c r="O255" t="e" cm="1">
        <f t="array" ref="O255">INDEX(auto_DataFlat_IsEstimate,$I255,O$10)</f>
        <v>#REF!</v>
      </c>
      <c r="P255" t="e" cm="1">
        <f t="array" ref="P255">IF(INDEX(auto_DataFlat_DataYear,$I255,P$10)=0,"n/a",INDEX(auto_DataFlat_DataYear,$I255,P$10))</f>
        <v>#REF!</v>
      </c>
      <c r="R255" t="e">
        <f t="shared" si="161"/>
        <v>#REF!</v>
      </c>
      <c r="S255" t="e" cm="1">
        <f t="array" ref="S255">INDEX(auto_DataFlat_Score,$R255,S$10)</f>
        <v>#REF!</v>
      </c>
      <c r="U255" t="str">
        <f t="shared" si="165"/>
        <v>n/a</v>
      </c>
      <c r="V255">
        <f t="shared" si="166"/>
        <v>1</v>
      </c>
      <c r="W255" t="e">
        <f t="shared" si="167"/>
        <v>#REF!</v>
      </c>
      <c r="X255" t="e">
        <f t="shared" ca="1" si="204"/>
        <v>#N/A</v>
      </c>
      <c r="Y255" t="e">
        <f t="shared" ca="1" si="204"/>
        <v>#N/A</v>
      </c>
      <c r="Z255" t="e">
        <f t="shared" ca="1" si="204"/>
        <v>#N/A</v>
      </c>
      <c r="AB255">
        <f t="shared" ca="1" si="201"/>
        <v>0</v>
      </c>
      <c r="AC255">
        <f t="shared" ca="1" si="201"/>
        <v>0</v>
      </c>
      <c r="AD255">
        <f t="shared" ca="1" si="201"/>
        <v>0</v>
      </c>
      <c r="AF255" t="e">
        <f t="shared" si="169"/>
        <v>#REF!</v>
      </c>
      <c r="AG255" t="e">
        <f t="shared" ca="1" si="205"/>
        <v>#N/A</v>
      </c>
      <c r="AH255" t="e">
        <f t="shared" ca="1" si="205"/>
        <v>#N/A</v>
      </c>
      <c r="AI255" t="e">
        <f t="shared" ca="1" si="205"/>
        <v>#N/A</v>
      </c>
      <c r="AJ255" t="e">
        <f t="shared" ca="1" si="205"/>
        <v>#N/A</v>
      </c>
      <c r="AK255" t="e">
        <f t="shared" ca="1" si="205"/>
        <v>#N/A</v>
      </c>
      <c r="AL255" t="e">
        <f t="shared" ca="1" si="205"/>
        <v>#N/A</v>
      </c>
      <c r="AM255" t="e">
        <f t="shared" ca="1" si="205"/>
        <v>#N/A</v>
      </c>
      <c r="AN255">
        <f t="shared" ca="1" si="171"/>
        <v>0</v>
      </c>
      <c r="AO255">
        <f t="shared" ca="1" si="172"/>
        <v>0</v>
      </c>
      <c r="AP255">
        <f t="shared" ca="1" si="173"/>
        <v>0</v>
      </c>
      <c r="AQ255">
        <f t="shared" ca="1" si="174"/>
        <v>0</v>
      </c>
      <c r="AR255">
        <f t="shared" ca="1" si="175"/>
        <v>0</v>
      </c>
      <c r="AS255">
        <f t="shared" ca="1" si="176"/>
        <v>0</v>
      </c>
      <c r="AT255">
        <f t="shared" ca="1" si="177"/>
        <v>0</v>
      </c>
      <c r="AV255" t="e">
        <f t="shared" si="6"/>
        <v>#REF!</v>
      </c>
      <c r="AW255" t="e" cm="1">
        <f t="array" ref="AW255">INDEX(auto_DataFlat_Score,$AV255,1)</f>
        <v>#REF!</v>
      </c>
      <c r="AX255" t="e" cm="1">
        <f t="array" ref="AX255">INDEX(auto_DataFlat_DataValue,$AV255,1)</f>
        <v>#REF!</v>
      </c>
      <c r="BA255" t="str">
        <f t="shared" si="178"/>
        <v>n/a</v>
      </c>
      <c r="BB255">
        <f t="shared" si="179"/>
        <v>1</v>
      </c>
      <c r="BC255" t="e">
        <f t="shared" si="180"/>
        <v>#REF!</v>
      </c>
      <c r="BD255" t="e">
        <f t="shared" ca="1" si="203"/>
        <v>#N/A</v>
      </c>
      <c r="BE255" t="e">
        <f t="shared" ca="1" si="203"/>
        <v>#N/A</v>
      </c>
      <c r="BF255" t="e">
        <f t="shared" ca="1" si="203"/>
        <v>#N/A</v>
      </c>
      <c r="BH255">
        <f t="shared" ca="1" si="202"/>
        <v>0</v>
      </c>
      <c r="BI255">
        <f t="shared" ca="1" si="202"/>
        <v>0</v>
      </c>
      <c r="BJ255">
        <f t="shared" ca="1" si="202"/>
        <v>0</v>
      </c>
      <c r="BM255" t="e">
        <f t="shared" si="181"/>
        <v>#REF!</v>
      </c>
      <c r="BN255" t="e">
        <f t="shared" ca="1" si="182"/>
        <v>#N/A</v>
      </c>
      <c r="BO255" t="e">
        <f t="shared" ca="1" si="183"/>
        <v>#N/A</v>
      </c>
      <c r="BP255" t="e">
        <f t="shared" ca="1" si="184"/>
        <v>#N/A</v>
      </c>
      <c r="BQ255" t="e">
        <f t="shared" ca="1" si="185"/>
        <v>#N/A</v>
      </c>
      <c r="BR255" t="e">
        <f t="shared" ca="1" si="186"/>
        <v>#N/A</v>
      </c>
      <c r="BS255" t="e">
        <f t="shared" ca="1" si="187"/>
        <v>#N/A</v>
      </c>
      <c r="BT255" t="e">
        <f t="shared" ca="1" si="188"/>
        <v>#N/A</v>
      </c>
      <c r="BU255">
        <f t="shared" ca="1" si="189"/>
        <v>0</v>
      </c>
      <c r="BV255">
        <f t="shared" ca="1" si="190"/>
        <v>0</v>
      </c>
      <c r="BW255">
        <f t="shared" ca="1" si="191"/>
        <v>0</v>
      </c>
      <c r="BX255">
        <f t="shared" ca="1" si="192"/>
        <v>0</v>
      </c>
      <c r="BY255">
        <f t="shared" ca="1" si="193"/>
        <v>0</v>
      </c>
      <c r="BZ255">
        <f t="shared" ca="1" si="163"/>
        <v>0</v>
      </c>
      <c r="CA255">
        <f t="shared" ca="1" si="164"/>
        <v>0</v>
      </c>
    </row>
    <row r="256" spans="1:79" x14ac:dyDescent="0.4">
      <c r="A256" t="str">
        <f t="shared" si="197"/>
        <v>X</v>
      </c>
      <c r="B256">
        <v>245</v>
      </c>
      <c r="C256" t="e" cm="1">
        <f t="array" ref="C256">INDEX(auto_Series_Code,B256)</f>
        <v>#REF!</v>
      </c>
      <c r="D256" t="e" cm="1">
        <f t="array" ref="D256">INDEX(auto_tblSeries,$B256,D$11)</f>
        <v>#REF!</v>
      </c>
      <c r="E256" t="e" cm="1">
        <f t="array" ref="E256">INDEX(auto_tblSeries,$B256,E$11)</f>
        <v>#REF!</v>
      </c>
      <c r="F256" t="e" cm="1">
        <f t="array" ref="F256">INDEX(auto_tblSeries,$B256,F$11)</f>
        <v>#REF!</v>
      </c>
      <c r="G256" t="e" cm="1">
        <f t="array" ref="G256">INDEX(auto_tblSeries,$B256,G$11)</f>
        <v>#REF!</v>
      </c>
      <c r="H256" t="e" cm="1">
        <f t="array" ref="H256">INDEX(auto_tblSeries,$B256,H$11)</f>
        <v>#REF!</v>
      </c>
      <c r="I256" t="e">
        <f t="shared" si="70"/>
        <v>#REF!</v>
      </c>
      <c r="K256" t="e" cm="1">
        <f t="array" ref="K256">INDEX(auto_DataFlat_Score,$I256,K$10)</f>
        <v>#REF!</v>
      </c>
      <c r="L256" t="e" cm="1">
        <f t="array" ref="L256">INDEX(auto_DataFlat_Rank,$I256,L$10)</f>
        <v>#REF!</v>
      </c>
      <c r="M256" t="e" cm="1">
        <f t="array" ref="M256">INDEX(auto_DataFlat_DataValue,$I256,M$10)</f>
        <v>#REF!</v>
      </c>
      <c r="N256" t="e" cm="1">
        <f t="array" ref="N256">INDEX(auto_DataFlat_Classification,$I256,M$10)</f>
        <v>#REF!</v>
      </c>
      <c r="O256" t="e" cm="1">
        <f t="array" ref="O256">INDEX(auto_DataFlat_IsEstimate,$I256,O$10)</f>
        <v>#REF!</v>
      </c>
      <c r="P256" t="e" cm="1">
        <f t="array" ref="P256">IF(INDEX(auto_DataFlat_DataYear,$I256,P$10)=0,"n/a",INDEX(auto_DataFlat_DataYear,$I256,P$10))</f>
        <v>#REF!</v>
      </c>
      <c r="R256" t="e">
        <f t="shared" si="161"/>
        <v>#REF!</v>
      </c>
      <c r="S256" t="e" cm="1">
        <f t="array" ref="S256">INDEX(auto_DataFlat_Score,$R256,S$10)</f>
        <v>#REF!</v>
      </c>
      <c r="U256" t="str">
        <f t="shared" si="165"/>
        <v>n/a</v>
      </c>
      <c r="V256">
        <f t="shared" si="166"/>
        <v>1</v>
      </c>
      <c r="W256" t="e">
        <f t="shared" si="167"/>
        <v>#REF!</v>
      </c>
      <c r="X256" t="e">
        <f t="shared" ca="1" si="204"/>
        <v>#N/A</v>
      </c>
      <c r="Y256" t="e">
        <f t="shared" ca="1" si="204"/>
        <v>#N/A</v>
      </c>
      <c r="Z256" t="e">
        <f t="shared" ca="1" si="204"/>
        <v>#N/A</v>
      </c>
      <c r="AB256">
        <f t="shared" ca="1" si="201"/>
        <v>0</v>
      </c>
      <c r="AC256">
        <f t="shared" ca="1" si="201"/>
        <v>0</v>
      </c>
      <c r="AD256">
        <f t="shared" ca="1" si="201"/>
        <v>0</v>
      </c>
      <c r="AF256" t="e">
        <f t="shared" si="169"/>
        <v>#REF!</v>
      </c>
      <c r="AG256" t="e">
        <f t="shared" ca="1" si="205"/>
        <v>#N/A</v>
      </c>
      <c r="AH256" t="e">
        <f t="shared" ca="1" si="205"/>
        <v>#N/A</v>
      </c>
      <c r="AI256" t="e">
        <f t="shared" ca="1" si="205"/>
        <v>#N/A</v>
      </c>
      <c r="AJ256" t="e">
        <f t="shared" ca="1" si="205"/>
        <v>#N/A</v>
      </c>
      <c r="AK256" t="e">
        <f t="shared" ca="1" si="205"/>
        <v>#N/A</v>
      </c>
      <c r="AL256" t="e">
        <f t="shared" ca="1" si="205"/>
        <v>#N/A</v>
      </c>
      <c r="AM256" t="e">
        <f t="shared" ca="1" si="205"/>
        <v>#N/A</v>
      </c>
      <c r="AN256">
        <f t="shared" ca="1" si="171"/>
        <v>0</v>
      </c>
      <c r="AO256">
        <f t="shared" ca="1" si="172"/>
        <v>0</v>
      </c>
      <c r="AP256">
        <f t="shared" ca="1" si="173"/>
        <v>0</v>
      </c>
      <c r="AQ256">
        <f t="shared" ca="1" si="174"/>
        <v>0</v>
      </c>
      <c r="AR256">
        <f t="shared" ca="1" si="175"/>
        <v>0</v>
      </c>
      <c r="AS256">
        <f t="shared" ca="1" si="176"/>
        <v>0</v>
      </c>
      <c r="AT256">
        <f t="shared" ca="1" si="177"/>
        <v>0</v>
      </c>
      <c r="AV256" t="e">
        <f t="shared" si="6"/>
        <v>#REF!</v>
      </c>
      <c r="AW256" t="e" cm="1">
        <f t="array" ref="AW256">INDEX(auto_DataFlat_Score,$AV256,1)</f>
        <v>#REF!</v>
      </c>
      <c r="AX256" t="e" cm="1">
        <f t="array" ref="AX256">INDEX(auto_DataFlat_DataValue,$AV256,1)</f>
        <v>#REF!</v>
      </c>
      <c r="BA256" t="str">
        <f t="shared" si="178"/>
        <v>n/a</v>
      </c>
      <c r="BB256">
        <f t="shared" si="179"/>
        <v>1</v>
      </c>
      <c r="BC256" t="e">
        <f t="shared" si="180"/>
        <v>#REF!</v>
      </c>
      <c r="BD256" t="e">
        <f t="shared" ca="1" si="203"/>
        <v>#N/A</v>
      </c>
      <c r="BE256" t="e">
        <f t="shared" ca="1" si="203"/>
        <v>#N/A</v>
      </c>
      <c r="BF256" t="e">
        <f t="shared" ca="1" si="203"/>
        <v>#N/A</v>
      </c>
      <c r="BH256">
        <f t="shared" ca="1" si="202"/>
        <v>0</v>
      </c>
      <c r="BI256">
        <f t="shared" ca="1" si="202"/>
        <v>0</v>
      </c>
      <c r="BJ256">
        <f t="shared" ca="1" si="202"/>
        <v>0</v>
      </c>
      <c r="BM256" t="e">
        <f t="shared" si="181"/>
        <v>#REF!</v>
      </c>
      <c r="BN256" t="e">
        <f t="shared" ca="1" si="182"/>
        <v>#N/A</v>
      </c>
      <c r="BO256" t="e">
        <f t="shared" ca="1" si="183"/>
        <v>#N/A</v>
      </c>
      <c r="BP256" t="e">
        <f t="shared" ca="1" si="184"/>
        <v>#N/A</v>
      </c>
      <c r="BQ256" t="e">
        <f t="shared" ca="1" si="185"/>
        <v>#N/A</v>
      </c>
      <c r="BR256" t="e">
        <f t="shared" ca="1" si="186"/>
        <v>#N/A</v>
      </c>
      <c r="BS256" t="e">
        <f t="shared" ca="1" si="187"/>
        <v>#N/A</v>
      </c>
      <c r="BT256" t="e">
        <f t="shared" ca="1" si="188"/>
        <v>#N/A</v>
      </c>
      <c r="BU256">
        <f t="shared" ca="1" si="189"/>
        <v>0</v>
      </c>
      <c r="BV256">
        <f t="shared" ca="1" si="190"/>
        <v>0</v>
      </c>
      <c r="BW256">
        <f t="shared" ca="1" si="191"/>
        <v>0</v>
      </c>
      <c r="BX256">
        <f t="shared" ca="1" si="192"/>
        <v>0</v>
      </c>
      <c r="BY256">
        <f t="shared" ca="1" si="193"/>
        <v>0</v>
      </c>
      <c r="BZ256">
        <f t="shared" ca="1" si="163"/>
        <v>0</v>
      </c>
      <c r="CA256">
        <f t="shared" ca="1" si="164"/>
        <v>0</v>
      </c>
    </row>
    <row r="257" spans="1:79" x14ac:dyDescent="0.4">
      <c r="A257" t="str">
        <f t="shared" si="197"/>
        <v>X</v>
      </c>
      <c r="B257">
        <v>246</v>
      </c>
      <c r="C257" t="e" cm="1">
        <f t="array" ref="C257">INDEX(auto_Series_Code,B257)</f>
        <v>#REF!</v>
      </c>
      <c r="D257" t="e" cm="1">
        <f t="array" ref="D257">INDEX(auto_tblSeries,$B257,D$11)</f>
        <v>#REF!</v>
      </c>
      <c r="E257" t="e" cm="1">
        <f t="array" ref="E257">INDEX(auto_tblSeries,$B257,E$11)</f>
        <v>#REF!</v>
      </c>
      <c r="F257" t="e" cm="1">
        <f t="array" ref="F257">INDEX(auto_tblSeries,$B257,F$11)</f>
        <v>#REF!</v>
      </c>
      <c r="G257" t="e" cm="1">
        <f t="array" ref="G257">INDEX(auto_tblSeries,$B257,G$11)</f>
        <v>#REF!</v>
      </c>
      <c r="H257" t="e" cm="1">
        <f t="array" ref="H257">INDEX(auto_tblSeries,$B257,H$11)</f>
        <v>#REF!</v>
      </c>
      <c r="I257" t="e">
        <f t="shared" si="70"/>
        <v>#REF!</v>
      </c>
      <c r="K257" t="e" cm="1">
        <f t="array" ref="K257">INDEX(auto_DataFlat_Score,$I257,K$10)</f>
        <v>#REF!</v>
      </c>
      <c r="L257" t="e" cm="1">
        <f t="array" ref="L257">INDEX(auto_DataFlat_Rank,$I257,L$10)</f>
        <v>#REF!</v>
      </c>
      <c r="M257" t="e" cm="1">
        <f t="array" ref="M257">INDEX(auto_DataFlat_DataValue,$I257,M$10)</f>
        <v>#REF!</v>
      </c>
      <c r="N257" t="e" cm="1">
        <f t="array" ref="N257">INDEX(auto_DataFlat_Classification,$I257,M$10)</f>
        <v>#REF!</v>
      </c>
      <c r="O257" t="e" cm="1">
        <f t="array" ref="O257">INDEX(auto_DataFlat_IsEstimate,$I257,O$10)</f>
        <v>#REF!</v>
      </c>
      <c r="P257" t="e" cm="1">
        <f t="array" ref="P257">IF(INDEX(auto_DataFlat_DataYear,$I257,P$10)=0,"n/a",INDEX(auto_DataFlat_DataYear,$I257,P$10))</f>
        <v>#REF!</v>
      </c>
      <c r="R257" t="e">
        <f t="shared" si="161"/>
        <v>#REF!</v>
      </c>
      <c r="S257" t="e" cm="1">
        <f t="array" ref="S257">INDEX(auto_DataFlat_Score,$R257,S$10)</f>
        <v>#REF!</v>
      </c>
      <c r="U257" t="str">
        <f t="shared" si="165"/>
        <v>n/a</v>
      </c>
      <c r="V257">
        <f t="shared" si="166"/>
        <v>1</v>
      </c>
      <c r="W257" t="e">
        <f t="shared" si="167"/>
        <v>#REF!</v>
      </c>
      <c r="X257" t="e">
        <f t="shared" ca="1" si="204"/>
        <v>#N/A</v>
      </c>
      <c r="Y257" t="e">
        <f t="shared" ca="1" si="204"/>
        <v>#N/A</v>
      </c>
      <c r="Z257" t="e">
        <f t="shared" ca="1" si="204"/>
        <v>#N/A</v>
      </c>
      <c r="AB257">
        <f t="shared" ca="1" si="201"/>
        <v>0</v>
      </c>
      <c r="AC257">
        <f t="shared" ca="1" si="201"/>
        <v>0</v>
      </c>
      <c r="AD257">
        <f t="shared" ca="1" si="201"/>
        <v>0</v>
      </c>
      <c r="AF257" t="e">
        <f t="shared" si="169"/>
        <v>#REF!</v>
      </c>
      <c r="AG257" t="e">
        <f t="shared" ca="1" si="205"/>
        <v>#N/A</v>
      </c>
      <c r="AH257" t="e">
        <f t="shared" ca="1" si="205"/>
        <v>#N/A</v>
      </c>
      <c r="AI257" t="e">
        <f t="shared" ca="1" si="205"/>
        <v>#N/A</v>
      </c>
      <c r="AJ257" t="e">
        <f t="shared" ca="1" si="205"/>
        <v>#N/A</v>
      </c>
      <c r="AK257" t="e">
        <f t="shared" ca="1" si="205"/>
        <v>#N/A</v>
      </c>
      <c r="AL257" t="e">
        <f t="shared" ca="1" si="205"/>
        <v>#N/A</v>
      </c>
      <c r="AM257" t="e">
        <f t="shared" ca="1" si="205"/>
        <v>#N/A</v>
      </c>
      <c r="AN257">
        <f t="shared" ca="1" si="171"/>
        <v>0</v>
      </c>
      <c r="AO257">
        <f t="shared" ca="1" si="172"/>
        <v>0</v>
      </c>
      <c r="AP257">
        <f t="shared" ca="1" si="173"/>
        <v>0</v>
      </c>
      <c r="AQ257">
        <f t="shared" ca="1" si="174"/>
        <v>0</v>
      </c>
      <c r="AR257">
        <f t="shared" ca="1" si="175"/>
        <v>0</v>
      </c>
      <c r="AS257">
        <f t="shared" ca="1" si="176"/>
        <v>0</v>
      </c>
      <c r="AT257">
        <f t="shared" ca="1" si="177"/>
        <v>0</v>
      </c>
      <c r="AV257" t="e">
        <f t="shared" si="6"/>
        <v>#REF!</v>
      </c>
      <c r="AW257" t="e" cm="1">
        <f t="array" ref="AW257">INDEX(auto_DataFlat_Score,$AV257,1)</f>
        <v>#REF!</v>
      </c>
      <c r="AX257" t="e" cm="1">
        <f t="array" ref="AX257">INDEX(auto_DataFlat_DataValue,$AV257,1)</f>
        <v>#REF!</v>
      </c>
      <c r="BA257" t="str">
        <f t="shared" si="178"/>
        <v>n/a</v>
      </c>
      <c r="BB257">
        <f t="shared" si="179"/>
        <v>1</v>
      </c>
      <c r="BC257" t="e">
        <f t="shared" si="180"/>
        <v>#REF!</v>
      </c>
      <c r="BD257" t="e">
        <f t="shared" ca="1" si="203"/>
        <v>#N/A</v>
      </c>
      <c r="BE257" t="e">
        <f t="shared" ca="1" si="203"/>
        <v>#N/A</v>
      </c>
      <c r="BF257" t="e">
        <f t="shared" ca="1" si="203"/>
        <v>#N/A</v>
      </c>
      <c r="BH257">
        <f t="shared" ca="1" si="202"/>
        <v>0</v>
      </c>
      <c r="BI257">
        <f t="shared" ca="1" si="202"/>
        <v>0</v>
      </c>
      <c r="BJ257">
        <f t="shared" ca="1" si="202"/>
        <v>0</v>
      </c>
      <c r="BM257" t="e">
        <f t="shared" si="181"/>
        <v>#REF!</v>
      </c>
      <c r="BN257" t="e">
        <f t="shared" ca="1" si="182"/>
        <v>#N/A</v>
      </c>
      <c r="BO257" t="e">
        <f t="shared" ca="1" si="183"/>
        <v>#N/A</v>
      </c>
      <c r="BP257" t="e">
        <f t="shared" ca="1" si="184"/>
        <v>#N/A</v>
      </c>
      <c r="BQ257" t="e">
        <f t="shared" ca="1" si="185"/>
        <v>#N/A</v>
      </c>
      <c r="BR257" t="e">
        <f t="shared" ca="1" si="186"/>
        <v>#N/A</v>
      </c>
      <c r="BS257" t="e">
        <f t="shared" ca="1" si="187"/>
        <v>#N/A</v>
      </c>
      <c r="BT257" t="e">
        <f t="shared" ca="1" si="188"/>
        <v>#N/A</v>
      </c>
      <c r="BU257">
        <f t="shared" ca="1" si="189"/>
        <v>0</v>
      </c>
      <c r="BV257">
        <f t="shared" ca="1" si="190"/>
        <v>0</v>
      </c>
      <c r="BW257">
        <f t="shared" ca="1" si="191"/>
        <v>0</v>
      </c>
      <c r="BX257">
        <f t="shared" ca="1" si="192"/>
        <v>0</v>
      </c>
      <c r="BY257">
        <f t="shared" ca="1" si="193"/>
        <v>0</v>
      </c>
      <c r="BZ257">
        <f t="shared" ca="1" si="163"/>
        <v>0</v>
      </c>
      <c r="CA257">
        <f t="shared" ca="1" si="164"/>
        <v>0</v>
      </c>
    </row>
    <row r="258" spans="1:79" x14ac:dyDescent="0.4">
      <c r="A258" t="str">
        <f t="shared" si="197"/>
        <v>X</v>
      </c>
      <c r="B258">
        <v>247</v>
      </c>
      <c r="C258" t="e" cm="1">
        <f t="array" ref="C258">INDEX(auto_Series_Code,B258)</f>
        <v>#REF!</v>
      </c>
      <c r="D258" t="e" cm="1">
        <f t="array" ref="D258">INDEX(auto_tblSeries,$B258,D$11)</f>
        <v>#REF!</v>
      </c>
      <c r="E258" t="e" cm="1">
        <f t="array" ref="E258">INDEX(auto_tblSeries,$B258,E$11)</f>
        <v>#REF!</v>
      </c>
      <c r="F258" t="e" cm="1">
        <f t="array" ref="F258">INDEX(auto_tblSeries,$B258,F$11)</f>
        <v>#REF!</v>
      </c>
      <c r="G258" t="e" cm="1">
        <f t="array" ref="G258">INDEX(auto_tblSeries,$B258,G$11)</f>
        <v>#REF!</v>
      </c>
      <c r="H258" t="e" cm="1">
        <f t="array" ref="H258">INDEX(auto_tblSeries,$B258,H$11)</f>
        <v>#REF!</v>
      </c>
      <c r="I258" t="e">
        <f t="shared" si="70"/>
        <v>#REF!</v>
      </c>
      <c r="K258" t="e" cm="1">
        <f t="array" ref="K258">INDEX(auto_DataFlat_Score,$I258,K$10)</f>
        <v>#REF!</v>
      </c>
      <c r="L258" t="e" cm="1">
        <f t="array" ref="L258">INDEX(auto_DataFlat_Rank,$I258,L$10)</f>
        <v>#REF!</v>
      </c>
      <c r="M258" t="e" cm="1">
        <f t="array" ref="M258">INDEX(auto_DataFlat_DataValue,$I258,M$10)</f>
        <v>#REF!</v>
      </c>
      <c r="N258" t="e" cm="1">
        <f t="array" ref="N258">INDEX(auto_DataFlat_Classification,$I258,M$10)</f>
        <v>#REF!</v>
      </c>
      <c r="O258" t="e" cm="1">
        <f t="array" ref="O258">INDEX(auto_DataFlat_IsEstimate,$I258,O$10)</f>
        <v>#REF!</v>
      </c>
      <c r="P258" t="e" cm="1">
        <f t="array" ref="P258">IF(INDEX(auto_DataFlat_DataYear,$I258,P$10)=0,"n/a",INDEX(auto_DataFlat_DataYear,$I258,P$10))</f>
        <v>#REF!</v>
      </c>
      <c r="R258" t="e">
        <f t="shared" si="161"/>
        <v>#REF!</v>
      </c>
      <c r="S258" t="e" cm="1">
        <f t="array" ref="S258">INDEX(auto_DataFlat_Score,$R258,S$10)</f>
        <v>#REF!</v>
      </c>
      <c r="U258" t="str">
        <f t="shared" si="165"/>
        <v>n/a</v>
      </c>
      <c r="V258">
        <f t="shared" si="166"/>
        <v>1</v>
      </c>
      <c r="W258" t="e">
        <f t="shared" si="167"/>
        <v>#REF!</v>
      </c>
      <c r="X258" t="e">
        <f t="shared" ca="1" si="204"/>
        <v>#N/A</v>
      </c>
      <c r="Y258" t="e">
        <f t="shared" ca="1" si="204"/>
        <v>#N/A</v>
      </c>
      <c r="Z258" t="e">
        <f t="shared" ca="1" si="204"/>
        <v>#N/A</v>
      </c>
      <c r="AB258">
        <f t="shared" ca="1" si="201"/>
        <v>0</v>
      </c>
      <c r="AC258">
        <f t="shared" ca="1" si="201"/>
        <v>0</v>
      </c>
      <c r="AD258">
        <f t="shared" ca="1" si="201"/>
        <v>0</v>
      </c>
      <c r="AF258" t="e">
        <f t="shared" si="169"/>
        <v>#REF!</v>
      </c>
      <c r="AG258" t="e">
        <f t="shared" ca="1" si="205"/>
        <v>#N/A</v>
      </c>
      <c r="AH258" t="e">
        <f t="shared" ca="1" si="205"/>
        <v>#N/A</v>
      </c>
      <c r="AI258" t="e">
        <f t="shared" ca="1" si="205"/>
        <v>#N/A</v>
      </c>
      <c r="AJ258" t="e">
        <f t="shared" ca="1" si="205"/>
        <v>#N/A</v>
      </c>
      <c r="AK258" t="e">
        <f t="shared" ca="1" si="205"/>
        <v>#N/A</v>
      </c>
      <c r="AL258" t="e">
        <f t="shared" ca="1" si="205"/>
        <v>#N/A</v>
      </c>
      <c r="AM258" t="e">
        <f t="shared" ca="1" si="205"/>
        <v>#N/A</v>
      </c>
      <c r="AN258">
        <f t="shared" ca="1" si="171"/>
        <v>0</v>
      </c>
      <c r="AO258">
        <f t="shared" ca="1" si="172"/>
        <v>0</v>
      </c>
      <c r="AP258">
        <f t="shared" ca="1" si="173"/>
        <v>0</v>
      </c>
      <c r="AQ258">
        <f t="shared" ca="1" si="174"/>
        <v>0</v>
      </c>
      <c r="AR258">
        <f t="shared" ca="1" si="175"/>
        <v>0</v>
      </c>
      <c r="AS258">
        <f t="shared" ca="1" si="176"/>
        <v>0</v>
      </c>
      <c r="AT258">
        <f t="shared" ca="1" si="177"/>
        <v>0</v>
      </c>
      <c r="AV258" t="e">
        <f t="shared" si="6"/>
        <v>#REF!</v>
      </c>
      <c r="AW258" t="e" cm="1">
        <f t="array" ref="AW258">INDEX(auto_DataFlat_Score,$AV258,1)</f>
        <v>#REF!</v>
      </c>
      <c r="AX258" t="e" cm="1">
        <f t="array" ref="AX258">INDEX(auto_DataFlat_DataValue,$AV258,1)</f>
        <v>#REF!</v>
      </c>
      <c r="BA258" t="str">
        <f t="shared" si="178"/>
        <v>n/a</v>
      </c>
      <c r="BB258">
        <f t="shared" si="179"/>
        <v>1</v>
      </c>
      <c r="BC258" t="e">
        <f t="shared" si="180"/>
        <v>#REF!</v>
      </c>
      <c r="BD258" t="e">
        <f t="shared" ca="1" si="203"/>
        <v>#N/A</v>
      </c>
      <c r="BE258" t="e">
        <f t="shared" ca="1" si="203"/>
        <v>#N/A</v>
      </c>
      <c r="BF258" t="e">
        <f t="shared" ca="1" si="203"/>
        <v>#N/A</v>
      </c>
      <c r="BH258">
        <f t="shared" ca="1" si="202"/>
        <v>0</v>
      </c>
      <c r="BI258">
        <f t="shared" ca="1" si="202"/>
        <v>0</v>
      </c>
      <c r="BJ258">
        <f t="shared" ca="1" si="202"/>
        <v>0</v>
      </c>
      <c r="BM258" t="e">
        <f t="shared" si="181"/>
        <v>#REF!</v>
      </c>
      <c r="BN258" t="e">
        <f t="shared" ca="1" si="182"/>
        <v>#N/A</v>
      </c>
      <c r="BO258" t="e">
        <f t="shared" ca="1" si="183"/>
        <v>#N/A</v>
      </c>
      <c r="BP258" t="e">
        <f t="shared" ca="1" si="184"/>
        <v>#N/A</v>
      </c>
      <c r="BQ258" t="e">
        <f t="shared" ca="1" si="185"/>
        <v>#N/A</v>
      </c>
      <c r="BR258" t="e">
        <f t="shared" ca="1" si="186"/>
        <v>#N/A</v>
      </c>
      <c r="BS258" t="e">
        <f t="shared" ca="1" si="187"/>
        <v>#N/A</v>
      </c>
      <c r="BT258" t="e">
        <f t="shared" ca="1" si="188"/>
        <v>#N/A</v>
      </c>
      <c r="BU258">
        <f t="shared" ca="1" si="189"/>
        <v>0</v>
      </c>
      <c r="BV258">
        <f t="shared" ca="1" si="190"/>
        <v>0</v>
      </c>
      <c r="BW258">
        <f t="shared" ca="1" si="191"/>
        <v>0</v>
      </c>
      <c r="BX258">
        <f t="shared" ca="1" si="192"/>
        <v>0</v>
      </c>
      <c r="BY258">
        <f t="shared" ca="1" si="193"/>
        <v>0</v>
      </c>
      <c r="BZ258">
        <f t="shared" ca="1" si="163"/>
        <v>0</v>
      </c>
      <c r="CA258">
        <f t="shared" ca="1" si="164"/>
        <v>0</v>
      </c>
    </row>
    <row r="259" spans="1:79" x14ac:dyDescent="0.4">
      <c r="A259" t="str">
        <f t="shared" si="197"/>
        <v>X</v>
      </c>
      <c r="B259">
        <v>248</v>
      </c>
      <c r="C259" t="e" cm="1">
        <f t="array" ref="C259">INDEX(auto_Series_Code,B259)</f>
        <v>#REF!</v>
      </c>
      <c r="D259" t="e" cm="1">
        <f t="array" ref="D259">INDEX(auto_tblSeries,$B259,D$11)</f>
        <v>#REF!</v>
      </c>
      <c r="E259" t="e" cm="1">
        <f t="array" ref="E259">INDEX(auto_tblSeries,$B259,E$11)</f>
        <v>#REF!</v>
      </c>
      <c r="F259" t="e" cm="1">
        <f t="array" ref="F259">INDEX(auto_tblSeries,$B259,F$11)</f>
        <v>#REF!</v>
      </c>
      <c r="G259" t="e" cm="1">
        <f t="array" ref="G259">INDEX(auto_tblSeries,$B259,G$11)</f>
        <v>#REF!</v>
      </c>
      <c r="H259" t="e" cm="1">
        <f t="array" ref="H259">INDEX(auto_tblSeries,$B259,H$11)</f>
        <v>#REF!</v>
      </c>
      <c r="I259" t="e">
        <f t="shared" si="70"/>
        <v>#REF!</v>
      </c>
      <c r="K259" t="e" cm="1">
        <f t="array" ref="K259">INDEX(auto_DataFlat_Score,$I259,K$10)</f>
        <v>#REF!</v>
      </c>
      <c r="L259" t="e" cm="1">
        <f t="array" ref="L259">INDEX(auto_DataFlat_Rank,$I259,L$10)</f>
        <v>#REF!</v>
      </c>
      <c r="M259" t="e" cm="1">
        <f t="array" ref="M259">INDEX(auto_DataFlat_DataValue,$I259,M$10)</f>
        <v>#REF!</v>
      </c>
      <c r="N259" t="e" cm="1">
        <f t="array" ref="N259">INDEX(auto_DataFlat_Classification,$I259,M$10)</f>
        <v>#REF!</v>
      </c>
      <c r="O259" t="e" cm="1">
        <f t="array" ref="O259">INDEX(auto_DataFlat_IsEstimate,$I259,O$10)</f>
        <v>#REF!</v>
      </c>
      <c r="P259" t="e" cm="1">
        <f t="array" ref="P259">IF(INDEX(auto_DataFlat_DataYear,$I259,P$10)=0,"n/a",INDEX(auto_DataFlat_DataYear,$I259,P$10))</f>
        <v>#REF!</v>
      </c>
      <c r="R259" t="e">
        <f t="shared" si="161"/>
        <v>#REF!</v>
      </c>
      <c r="S259" t="e" cm="1">
        <f t="array" ref="S259">INDEX(auto_DataFlat_Score,$R259,S$10)</f>
        <v>#REF!</v>
      </c>
      <c r="U259" t="str">
        <f t="shared" si="165"/>
        <v>n/a</v>
      </c>
      <c r="V259">
        <f t="shared" si="166"/>
        <v>1</v>
      </c>
      <c r="W259" t="e">
        <f t="shared" si="167"/>
        <v>#REF!</v>
      </c>
      <c r="X259" t="e">
        <f t="shared" ca="1" si="204"/>
        <v>#N/A</v>
      </c>
      <c r="Y259" t="e">
        <f t="shared" ca="1" si="204"/>
        <v>#N/A</v>
      </c>
      <c r="Z259" t="e">
        <f t="shared" ca="1" si="204"/>
        <v>#N/A</v>
      </c>
      <c r="AB259">
        <f t="shared" ca="1" si="201"/>
        <v>0</v>
      </c>
      <c r="AC259">
        <f t="shared" ca="1" si="201"/>
        <v>0</v>
      </c>
      <c r="AD259">
        <f t="shared" ca="1" si="201"/>
        <v>0</v>
      </c>
      <c r="AF259" t="e">
        <f t="shared" si="169"/>
        <v>#REF!</v>
      </c>
      <c r="AG259" t="e">
        <f t="shared" ca="1" si="205"/>
        <v>#N/A</v>
      </c>
      <c r="AH259" t="e">
        <f t="shared" ca="1" si="205"/>
        <v>#N/A</v>
      </c>
      <c r="AI259" t="e">
        <f t="shared" ca="1" si="205"/>
        <v>#N/A</v>
      </c>
      <c r="AJ259" t="e">
        <f t="shared" ca="1" si="205"/>
        <v>#N/A</v>
      </c>
      <c r="AK259" t="e">
        <f t="shared" ca="1" si="205"/>
        <v>#N/A</v>
      </c>
      <c r="AL259" t="e">
        <f t="shared" ca="1" si="205"/>
        <v>#N/A</v>
      </c>
      <c r="AM259" t="e">
        <f t="shared" ca="1" si="205"/>
        <v>#N/A</v>
      </c>
      <c r="AN259">
        <f t="shared" ca="1" si="171"/>
        <v>0</v>
      </c>
      <c r="AO259">
        <f t="shared" ca="1" si="172"/>
        <v>0</v>
      </c>
      <c r="AP259">
        <f t="shared" ca="1" si="173"/>
        <v>0</v>
      </c>
      <c r="AQ259">
        <f t="shared" ca="1" si="174"/>
        <v>0</v>
      </c>
      <c r="AR259">
        <f t="shared" ca="1" si="175"/>
        <v>0</v>
      </c>
      <c r="AS259">
        <f t="shared" ca="1" si="176"/>
        <v>0</v>
      </c>
      <c r="AT259">
        <f t="shared" ca="1" si="177"/>
        <v>0</v>
      </c>
      <c r="AV259" t="e">
        <f t="shared" si="6"/>
        <v>#REF!</v>
      </c>
      <c r="AW259" t="e" cm="1">
        <f t="array" ref="AW259">INDEX(auto_DataFlat_Score,$AV259,1)</f>
        <v>#REF!</v>
      </c>
      <c r="AX259" t="e" cm="1">
        <f t="array" ref="AX259">INDEX(auto_DataFlat_DataValue,$AV259,1)</f>
        <v>#REF!</v>
      </c>
      <c r="BA259" t="str">
        <f t="shared" si="178"/>
        <v>n/a</v>
      </c>
      <c r="BB259">
        <f t="shared" si="179"/>
        <v>1</v>
      </c>
      <c r="BC259" t="e">
        <f t="shared" si="180"/>
        <v>#REF!</v>
      </c>
      <c r="BD259" t="e">
        <f t="shared" ca="1" si="203"/>
        <v>#N/A</v>
      </c>
      <c r="BE259" t="e">
        <f t="shared" ca="1" si="203"/>
        <v>#N/A</v>
      </c>
      <c r="BF259" t="e">
        <f t="shared" ca="1" si="203"/>
        <v>#N/A</v>
      </c>
      <c r="BH259">
        <f t="shared" ca="1" si="202"/>
        <v>0</v>
      </c>
      <c r="BI259">
        <f t="shared" ca="1" si="202"/>
        <v>0</v>
      </c>
      <c r="BJ259">
        <f t="shared" ca="1" si="202"/>
        <v>0</v>
      </c>
      <c r="BM259" t="e">
        <f t="shared" si="181"/>
        <v>#REF!</v>
      </c>
      <c r="BN259" t="e">
        <f t="shared" ca="1" si="182"/>
        <v>#N/A</v>
      </c>
      <c r="BO259" t="e">
        <f t="shared" ca="1" si="183"/>
        <v>#N/A</v>
      </c>
      <c r="BP259" t="e">
        <f t="shared" ca="1" si="184"/>
        <v>#N/A</v>
      </c>
      <c r="BQ259" t="e">
        <f t="shared" ca="1" si="185"/>
        <v>#N/A</v>
      </c>
      <c r="BR259" t="e">
        <f t="shared" ca="1" si="186"/>
        <v>#N/A</v>
      </c>
      <c r="BS259" t="e">
        <f t="shared" ca="1" si="187"/>
        <v>#N/A</v>
      </c>
      <c r="BT259" t="e">
        <f t="shared" ca="1" si="188"/>
        <v>#N/A</v>
      </c>
      <c r="BU259">
        <f t="shared" ca="1" si="189"/>
        <v>0</v>
      </c>
      <c r="BV259">
        <f t="shared" ca="1" si="190"/>
        <v>0</v>
      </c>
      <c r="BW259">
        <f t="shared" ca="1" si="191"/>
        <v>0</v>
      </c>
      <c r="BX259">
        <f t="shared" ca="1" si="192"/>
        <v>0</v>
      </c>
      <c r="BY259">
        <f t="shared" ca="1" si="193"/>
        <v>0</v>
      </c>
      <c r="BZ259">
        <f t="shared" ca="1" si="163"/>
        <v>0</v>
      </c>
      <c r="CA259">
        <f t="shared" ca="1" si="164"/>
        <v>0</v>
      </c>
    </row>
    <row r="260" spans="1:79" x14ac:dyDescent="0.4">
      <c r="A260" t="str">
        <f t="shared" si="197"/>
        <v>X</v>
      </c>
      <c r="B260">
        <v>249</v>
      </c>
      <c r="C260" t="e" cm="1">
        <f t="array" ref="C260">INDEX(auto_Series_Code,B260)</f>
        <v>#REF!</v>
      </c>
      <c r="D260" t="e" cm="1">
        <f t="array" ref="D260">INDEX(auto_tblSeries,$B260,D$11)</f>
        <v>#REF!</v>
      </c>
      <c r="E260" t="e" cm="1">
        <f t="array" ref="E260">INDEX(auto_tblSeries,$B260,E$11)</f>
        <v>#REF!</v>
      </c>
      <c r="F260" t="e" cm="1">
        <f t="array" ref="F260">INDEX(auto_tblSeries,$B260,F$11)</f>
        <v>#REF!</v>
      </c>
      <c r="G260" t="e" cm="1">
        <f t="array" ref="G260">INDEX(auto_tblSeries,$B260,G$11)</f>
        <v>#REF!</v>
      </c>
      <c r="H260" t="e" cm="1">
        <f t="array" ref="H260">INDEX(auto_tblSeries,$B260,H$11)</f>
        <v>#REF!</v>
      </c>
      <c r="I260" t="e">
        <f t="shared" si="70"/>
        <v>#REF!</v>
      </c>
      <c r="K260" t="e" cm="1">
        <f t="array" ref="K260">INDEX(auto_DataFlat_Score,$I260,K$10)</f>
        <v>#REF!</v>
      </c>
      <c r="L260" t="e" cm="1">
        <f t="array" ref="L260">INDEX(auto_DataFlat_Rank,$I260,L$10)</f>
        <v>#REF!</v>
      </c>
      <c r="M260" t="e" cm="1">
        <f t="array" ref="M260">INDEX(auto_DataFlat_DataValue,$I260,M$10)</f>
        <v>#REF!</v>
      </c>
      <c r="N260" t="e" cm="1">
        <f t="array" ref="N260">INDEX(auto_DataFlat_Classification,$I260,M$10)</f>
        <v>#REF!</v>
      </c>
      <c r="O260" t="e" cm="1">
        <f t="array" ref="O260">INDEX(auto_DataFlat_IsEstimate,$I260,O$10)</f>
        <v>#REF!</v>
      </c>
      <c r="P260" t="e" cm="1">
        <f t="array" ref="P260">IF(INDEX(auto_DataFlat_DataYear,$I260,P$10)=0,"n/a",INDEX(auto_DataFlat_DataYear,$I260,P$10))</f>
        <v>#REF!</v>
      </c>
      <c r="R260" t="e">
        <f t="shared" si="161"/>
        <v>#REF!</v>
      </c>
      <c r="S260" t="e" cm="1">
        <f t="array" ref="S260">INDEX(auto_DataFlat_Score,$R260,S$10)</f>
        <v>#REF!</v>
      </c>
      <c r="U260" t="str">
        <f t="shared" si="165"/>
        <v>n/a</v>
      </c>
      <c r="V260">
        <f t="shared" si="166"/>
        <v>1</v>
      </c>
      <c r="W260" t="e">
        <f t="shared" si="167"/>
        <v>#REF!</v>
      </c>
      <c r="X260" t="e">
        <f t="shared" ca="1" si="204"/>
        <v>#N/A</v>
      </c>
      <c r="Y260" t="e">
        <f t="shared" ca="1" si="204"/>
        <v>#N/A</v>
      </c>
      <c r="Z260" t="e">
        <f t="shared" ca="1" si="204"/>
        <v>#N/A</v>
      </c>
      <c r="AB260">
        <f t="shared" ca="1" si="201"/>
        <v>0</v>
      </c>
      <c r="AC260">
        <f t="shared" ca="1" si="201"/>
        <v>0</v>
      </c>
      <c r="AD260">
        <f t="shared" ca="1" si="201"/>
        <v>0</v>
      </c>
      <c r="AF260" t="e">
        <f t="shared" si="169"/>
        <v>#REF!</v>
      </c>
      <c r="AG260" t="e">
        <f t="shared" ca="1" si="205"/>
        <v>#N/A</v>
      </c>
      <c r="AH260" t="e">
        <f t="shared" ca="1" si="205"/>
        <v>#N/A</v>
      </c>
      <c r="AI260" t="e">
        <f t="shared" ca="1" si="205"/>
        <v>#N/A</v>
      </c>
      <c r="AJ260" t="e">
        <f t="shared" ca="1" si="205"/>
        <v>#N/A</v>
      </c>
      <c r="AK260" t="e">
        <f t="shared" ca="1" si="205"/>
        <v>#N/A</v>
      </c>
      <c r="AL260" t="e">
        <f t="shared" ca="1" si="205"/>
        <v>#N/A</v>
      </c>
      <c r="AM260" t="e">
        <f t="shared" ca="1" si="205"/>
        <v>#N/A</v>
      </c>
      <c r="AN260">
        <f t="shared" ca="1" si="171"/>
        <v>0</v>
      </c>
      <c r="AO260">
        <f t="shared" ca="1" si="172"/>
        <v>0</v>
      </c>
      <c r="AP260">
        <f t="shared" ca="1" si="173"/>
        <v>0</v>
      </c>
      <c r="AQ260">
        <f t="shared" ca="1" si="174"/>
        <v>0</v>
      </c>
      <c r="AR260">
        <f t="shared" ca="1" si="175"/>
        <v>0</v>
      </c>
      <c r="AS260">
        <f t="shared" ca="1" si="176"/>
        <v>0</v>
      </c>
      <c r="AT260">
        <f t="shared" ca="1" si="177"/>
        <v>0</v>
      </c>
      <c r="AV260" t="e">
        <f t="shared" si="6"/>
        <v>#REF!</v>
      </c>
      <c r="AW260" t="e" cm="1">
        <f t="array" ref="AW260">INDEX(auto_DataFlat_Score,$AV260,1)</f>
        <v>#REF!</v>
      </c>
      <c r="AX260" t="e" cm="1">
        <f t="array" ref="AX260">INDEX(auto_DataFlat_DataValue,$AV260,1)</f>
        <v>#REF!</v>
      </c>
      <c r="BA260" t="str">
        <f t="shared" si="178"/>
        <v>n/a</v>
      </c>
      <c r="BB260">
        <f t="shared" si="179"/>
        <v>1</v>
      </c>
      <c r="BC260" t="e">
        <f t="shared" si="180"/>
        <v>#REF!</v>
      </c>
      <c r="BD260" t="e">
        <f t="shared" ca="1" si="203"/>
        <v>#N/A</v>
      </c>
      <c r="BE260" t="e">
        <f t="shared" ca="1" si="203"/>
        <v>#N/A</v>
      </c>
      <c r="BF260" t="e">
        <f t="shared" ca="1" si="203"/>
        <v>#N/A</v>
      </c>
      <c r="BH260">
        <f t="shared" ca="1" si="202"/>
        <v>0</v>
      </c>
      <c r="BI260">
        <f t="shared" ca="1" si="202"/>
        <v>0</v>
      </c>
      <c r="BJ260">
        <f t="shared" ca="1" si="202"/>
        <v>0</v>
      </c>
      <c r="BM260" t="e">
        <f t="shared" si="181"/>
        <v>#REF!</v>
      </c>
      <c r="BN260" t="e">
        <f t="shared" ca="1" si="182"/>
        <v>#N/A</v>
      </c>
      <c r="BO260" t="e">
        <f t="shared" ca="1" si="183"/>
        <v>#N/A</v>
      </c>
      <c r="BP260" t="e">
        <f t="shared" ca="1" si="184"/>
        <v>#N/A</v>
      </c>
      <c r="BQ260" t="e">
        <f t="shared" ca="1" si="185"/>
        <v>#N/A</v>
      </c>
      <c r="BR260" t="e">
        <f t="shared" ca="1" si="186"/>
        <v>#N/A</v>
      </c>
      <c r="BS260" t="e">
        <f t="shared" ca="1" si="187"/>
        <v>#N/A</v>
      </c>
      <c r="BT260" t="e">
        <f t="shared" ca="1" si="188"/>
        <v>#N/A</v>
      </c>
      <c r="BU260">
        <f t="shared" ca="1" si="189"/>
        <v>0</v>
      </c>
      <c r="BV260">
        <f t="shared" ca="1" si="190"/>
        <v>0</v>
      </c>
      <c r="BW260">
        <f t="shared" ca="1" si="191"/>
        <v>0</v>
      </c>
      <c r="BX260">
        <f t="shared" ca="1" si="192"/>
        <v>0</v>
      </c>
      <c r="BY260">
        <f t="shared" ca="1" si="193"/>
        <v>0</v>
      </c>
      <c r="BZ260">
        <f t="shared" ca="1" si="163"/>
        <v>0</v>
      </c>
      <c r="CA260">
        <f t="shared" ca="1" si="164"/>
        <v>0</v>
      </c>
    </row>
    <row r="261" spans="1:79" x14ac:dyDescent="0.4">
      <c r="A261" t="str">
        <f t="shared" si="197"/>
        <v>X</v>
      </c>
      <c r="B261">
        <v>250</v>
      </c>
      <c r="C261" t="e" cm="1">
        <f t="array" ref="C261">INDEX(auto_Series_Code,B261)</f>
        <v>#REF!</v>
      </c>
      <c r="D261" t="e" cm="1">
        <f t="array" ref="D261">INDEX(auto_tblSeries,$B261,D$11)</f>
        <v>#REF!</v>
      </c>
      <c r="E261" t="e" cm="1">
        <f t="array" ref="E261">INDEX(auto_tblSeries,$B261,E$11)</f>
        <v>#REF!</v>
      </c>
      <c r="F261" t="e" cm="1">
        <f t="array" ref="F261">INDEX(auto_tblSeries,$B261,F$11)</f>
        <v>#REF!</v>
      </c>
      <c r="G261" t="e" cm="1">
        <f t="array" ref="G261">INDEX(auto_tblSeries,$B261,G$11)</f>
        <v>#REF!</v>
      </c>
      <c r="H261" t="e" cm="1">
        <f t="array" ref="H261">INDEX(auto_tblSeries,$B261,H$11)</f>
        <v>#REF!</v>
      </c>
      <c r="I261" t="e">
        <f t="shared" si="70"/>
        <v>#REF!</v>
      </c>
      <c r="K261" t="e" cm="1">
        <f t="array" ref="K261">INDEX(auto_DataFlat_Score,$I261,K$10)</f>
        <v>#REF!</v>
      </c>
      <c r="L261" t="e" cm="1">
        <f t="array" ref="L261">INDEX(auto_DataFlat_Rank,$I261,L$10)</f>
        <v>#REF!</v>
      </c>
      <c r="M261" t="e" cm="1">
        <f t="array" ref="M261">INDEX(auto_DataFlat_DataValue,$I261,M$10)</f>
        <v>#REF!</v>
      </c>
      <c r="N261" t="e" cm="1">
        <f t="array" ref="N261">INDEX(auto_DataFlat_Classification,$I261,M$10)</f>
        <v>#REF!</v>
      </c>
      <c r="O261" t="e" cm="1">
        <f t="array" ref="O261">INDEX(auto_DataFlat_IsEstimate,$I261,O$10)</f>
        <v>#REF!</v>
      </c>
      <c r="P261" t="e" cm="1">
        <f t="array" ref="P261">IF(INDEX(auto_DataFlat_DataYear,$I261,P$10)=0,"n/a",INDEX(auto_DataFlat_DataYear,$I261,P$10))</f>
        <v>#REF!</v>
      </c>
      <c r="R261" t="e">
        <f t="shared" si="161"/>
        <v>#REF!</v>
      </c>
      <c r="S261" t="e" cm="1">
        <f t="array" ref="S261">INDEX(auto_DataFlat_Score,$R261,S$10)</f>
        <v>#REF!</v>
      </c>
      <c r="U261" t="str">
        <f t="shared" si="165"/>
        <v>n/a</v>
      </c>
      <c r="V261">
        <f t="shared" si="166"/>
        <v>1</v>
      </c>
      <c r="W261" t="e">
        <f t="shared" si="167"/>
        <v>#REF!</v>
      </c>
      <c r="X261" t="e">
        <f t="shared" ca="1" si="204"/>
        <v>#N/A</v>
      </c>
      <c r="Y261" t="e">
        <f t="shared" ca="1" si="204"/>
        <v>#N/A</v>
      </c>
      <c r="Z261" t="e">
        <f t="shared" ca="1" si="204"/>
        <v>#N/A</v>
      </c>
      <c r="AB261">
        <f t="shared" ca="1" si="201"/>
        <v>0</v>
      </c>
      <c r="AC261">
        <f t="shared" ca="1" si="201"/>
        <v>0</v>
      </c>
      <c r="AD261">
        <f t="shared" ca="1" si="201"/>
        <v>0</v>
      </c>
      <c r="AF261" t="e">
        <f t="shared" si="169"/>
        <v>#REF!</v>
      </c>
      <c r="AG261" t="e">
        <f t="shared" ca="1" si="205"/>
        <v>#N/A</v>
      </c>
      <c r="AH261" t="e">
        <f t="shared" ca="1" si="205"/>
        <v>#N/A</v>
      </c>
      <c r="AI261" t="e">
        <f t="shared" ca="1" si="205"/>
        <v>#N/A</v>
      </c>
      <c r="AJ261" t="e">
        <f t="shared" ca="1" si="205"/>
        <v>#N/A</v>
      </c>
      <c r="AK261" t="e">
        <f t="shared" ca="1" si="205"/>
        <v>#N/A</v>
      </c>
      <c r="AL261" t="e">
        <f t="shared" ca="1" si="205"/>
        <v>#N/A</v>
      </c>
      <c r="AM261" t="e">
        <f t="shared" ca="1" si="205"/>
        <v>#N/A</v>
      </c>
      <c r="AN261">
        <f t="shared" ca="1" si="171"/>
        <v>0</v>
      </c>
      <c r="AO261">
        <f t="shared" ca="1" si="172"/>
        <v>0</v>
      </c>
      <c r="AP261">
        <f t="shared" ca="1" si="173"/>
        <v>0</v>
      </c>
      <c r="AQ261">
        <f t="shared" ca="1" si="174"/>
        <v>0</v>
      </c>
      <c r="AR261">
        <f t="shared" ca="1" si="175"/>
        <v>0</v>
      </c>
      <c r="AS261">
        <f t="shared" ca="1" si="176"/>
        <v>0</v>
      </c>
      <c r="AT261">
        <f t="shared" ca="1" si="177"/>
        <v>0</v>
      </c>
      <c r="AV261" t="e">
        <f t="shared" si="6"/>
        <v>#REF!</v>
      </c>
      <c r="AW261" t="e" cm="1">
        <f t="array" ref="AW261">INDEX(auto_DataFlat_Score,$AV261,1)</f>
        <v>#REF!</v>
      </c>
      <c r="AX261" t="e" cm="1">
        <f t="array" ref="AX261">INDEX(auto_DataFlat_DataValue,$AV261,1)</f>
        <v>#REF!</v>
      </c>
      <c r="BA261" t="str">
        <f t="shared" si="178"/>
        <v>n/a</v>
      </c>
      <c r="BB261">
        <f t="shared" si="179"/>
        <v>1</v>
      </c>
      <c r="BC261" t="e">
        <f t="shared" si="180"/>
        <v>#REF!</v>
      </c>
      <c r="BD261" t="e">
        <f t="shared" ca="1" si="203"/>
        <v>#N/A</v>
      </c>
      <c r="BE261" t="e">
        <f t="shared" ca="1" si="203"/>
        <v>#N/A</v>
      </c>
      <c r="BF261" t="e">
        <f t="shared" ca="1" si="203"/>
        <v>#N/A</v>
      </c>
      <c r="BH261">
        <f t="shared" ca="1" si="202"/>
        <v>0</v>
      </c>
      <c r="BI261">
        <f t="shared" ca="1" si="202"/>
        <v>0</v>
      </c>
      <c r="BJ261">
        <f t="shared" ca="1" si="202"/>
        <v>0</v>
      </c>
      <c r="BM261" t="e">
        <f t="shared" si="181"/>
        <v>#REF!</v>
      </c>
      <c r="BN261" t="e">
        <f t="shared" ca="1" si="182"/>
        <v>#N/A</v>
      </c>
      <c r="BO261" t="e">
        <f t="shared" ca="1" si="183"/>
        <v>#N/A</v>
      </c>
      <c r="BP261" t="e">
        <f t="shared" ca="1" si="184"/>
        <v>#N/A</v>
      </c>
      <c r="BQ261" t="e">
        <f t="shared" ca="1" si="185"/>
        <v>#N/A</v>
      </c>
      <c r="BR261" t="e">
        <f t="shared" ca="1" si="186"/>
        <v>#N/A</v>
      </c>
      <c r="BS261" t="e">
        <f t="shared" ca="1" si="187"/>
        <v>#N/A</v>
      </c>
      <c r="BT261" t="e">
        <f t="shared" ca="1" si="188"/>
        <v>#N/A</v>
      </c>
      <c r="BU261">
        <f t="shared" ca="1" si="189"/>
        <v>0</v>
      </c>
      <c r="BV261">
        <f t="shared" ca="1" si="190"/>
        <v>0</v>
      </c>
      <c r="BW261">
        <f t="shared" ca="1" si="191"/>
        <v>0</v>
      </c>
      <c r="BX261">
        <f t="shared" ca="1" si="192"/>
        <v>0</v>
      </c>
      <c r="BY261">
        <f t="shared" ca="1" si="193"/>
        <v>0</v>
      </c>
      <c r="BZ261">
        <f t="shared" ca="1" si="163"/>
        <v>0</v>
      </c>
      <c r="CA261">
        <f t="shared" ca="1" si="164"/>
        <v>0</v>
      </c>
    </row>
    <row r="262" spans="1:79" x14ac:dyDescent="0.4">
      <c r="A262" t="str">
        <f t="shared" si="197"/>
        <v>X</v>
      </c>
      <c r="B262">
        <v>251</v>
      </c>
      <c r="C262" t="e" cm="1">
        <f t="array" ref="C262">INDEX(auto_Series_Code,B262)</f>
        <v>#REF!</v>
      </c>
      <c r="D262" t="e" cm="1">
        <f t="array" ref="D262">INDEX(auto_tblSeries,$B262,D$11)</f>
        <v>#REF!</v>
      </c>
      <c r="E262" t="e" cm="1">
        <f t="array" ref="E262">INDEX(auto_tblSeries,$B262,E$11)</f>
        <v>#REF!</v>
      </c>
      <c r="F262" t="e" cm="1">
        <f t="array" ref="F262">INDEX(auto_tblSeries,$B262,F$11)</f>
        <v>#REF!</v>
      </c>
      <c r="G262" t="e" cm="1">
        <f t="array" ref="G262">INDEX(auto_tblSeries,$B262,G$11)</f>
        <v>#REF!</v>
      </c>
      <c r="H262" t="e" cm="1">
        <f t="array" ref="H262">INDEX(auto_tblSeries,$B262,H$11)</f>
        <v>#REF!</v>
      </c>
      <c r="I262" t="e">
        <f t="shared" si="70"/>
        <v>#REF!</v>
      </c>
      <c r="K262" t="e" cm="1">
        <f t="array" ref="K262">INDEX(auto_DataFlat_Score,$I262,K$10)</f>
        <v>#REF!</v>
      </c>
      <c r="L262" t="e" cm="1">
        <f t="array" ref="L262">INDEX(auto_DataFlat_Rank,$I262,L$10)</f>
        <v>#REF!</v>
      </c>
      <c r="M262" t="e" cm="1">
        <f t="array" ref="M262">INDEX(auto_DataFlat_DataValue,$I262,M$10)</f>
        <v>#REF!</v>
      </c>
      <c r="N262" t="e" cm="1">
        <f t="array" ref="N262">INDEX(auto_DataFlat_Classification,$I262,M$10)</f>
        <v>#REF!</v>
      </c>
      <c r="O262" t="e" cm="1">
        <f t="array" ref="O262">INDEX(auto_DataFlat_IsEstimate,$I262,O$10)</f>
        <v>#REF!</v>
      </c>
      <c r="P262" t="e" cm="1">
        <f t="array" ref="P262">IF(INDEX(auto_DataFlat_DataYear,$I262,P$10)=0,"n/a",INDEX(auto_DataFlat_DataYear,$I262,P$10))</f>
        <v>#REF!</v>
      </c>
      <c r="R262" t="e">
        <f t="shared" si="161"/>
        <v>#REF!</v>
      </c>
      <c r="S262" t="e" cm="1">
        <f t="array" ref="S262">INDEX(auto_DataFlat_Score,$R262,S$10)</f>
        <v>#REF!</v>
      </c>
      <c r="U262" t="str">
        <f t="shared" si="165"/>
        <v>n/a</v>
      </c>
      <c r="V262">
        <f t="shared" si="166"/>
        <v>1</v>
      </c>
      <c r="W262" t="e">
        <f t="shared" si="167"/>
        <v>#REF!</v>
      </c>
      <c r="X262" t="e">
        <f t="shared" ca="1" si="204"/>
        <v>#N/A</v>
      </c>
      <c r="Y262" t="e">
        <f t="shared" ca="1" si="204"/>
        <v>#N/A</v>
      </c>
      <c r="Z262" t="e">
        <f t="shared" ca="1" si="204"/>
        <v>#N/A</v>
      </c>
      <c r="AB262">
        <f t="shared" ca="1" si="201"/>
        <v>0</v>
      </c>
      <c r="AC262">
        <f t="shared" ca="1" si="201"/>
        <v>0</v>
      </c>
      <c r="AD262">
        <f t="shared" ca="1" si="201"/>
        <v>0</v>
      </c>
      <c r="AF262" t="e">
        <f t="shared" si="169"/>
        <v>#REF!</v>
      </c>
      <c r="AG262" t="e">
        <f t="shared" ca="1" si="205"/>
        <v>#N/A</v>
      </c>
      <c r="AH262" t="e">
        <f t="shared" ca="1" si="205"/>
        <v>#N/A</v>
      </c>
      <c r="AI262" t="e">
        <f t="shared" ca="1" si="205"/>
        <v>#N/A</v>
      </c>
      <c r="AJ262" t="e">
        <f t="shared" ca="1" si="205"/>
        <v>#N/A</v>
      </c>
      <c r="AK262" t="e">
        <f t="shared" ca="1" si="205"/>
        <v>#N/A</v>
      </c>
      <c r="AL262" t="e">
        <f t="shared" ca="1" si="205"/>
        <v>#N/A</v>
      </c>
      <c r="AM262" t="e">
        <f t="shared" ca="1" si="205"/>
        <v>#N/A</v>
      </c>
      <c r="AN262">
        <f t="shared" ca="1" si="171"/>
        <v>0</v>
      </c>
      <c r="AO262">
        <f t="shared" ca="1" si="172"/>
        <v>0</v>
      </c>
      <c r="AP262">
        <f t="shared" ca="1" si="173"/>
        <v>0</v>
      </c>
      <c r="AQ262">
        <f t="shared" ca="1" si="174"/>
        <v>0</v>
      </c>
      <c r="AR262">
        <f t="shared" ca="1" si="175"/>
        <v>0</v>
      </c>
      <c r="AS262">
        <f t="shared" ca="1" si="176"/>
        <v>0</v>
      </c>
      <c r="AT262">
        <f t="shared" ca="1" si="177"/>
        <v>0</v>
      </c>
      <c r="AV262" t="e">
        <f t="shared" si="6"/>
        <v>#REF!</v>
      </c>
      <c r="AW262" t="e" cm="1">
        <f t="array" ref="AW262">INDEX(auto_DataFlat_Score,$AV262,1)</f>
        <v>#REF!</v>
      </c>
      <c r="AX262" t="e" cm="1">
        <f t="array" ref="AX262">INDEX(auto_DataFlat_DataValue,$AV262,1)</f>
        <v>#REF!</v>
      </c>
      <c r="BA262" t="str">
        <f t="shared" si="178"/>
        <v>n/a</v>
      </c>
      <c r="BB262">
        <f t="shared" si="179"/>
        <v>1</v>
      </c>
      <c r="BC262" t="e">
        <f t="shared" si="180"/>
        <v>#REF!</v>
      </c>
      <c r="BD262" t="e">
        <f t="shared" ca="1" si="203"/>
        <v>#N/A</v>
      </c>
      <c r="BE262" t="e">
        <f t="shared" ca="1" si="203"/>
        <v>#N/A</v>
      </c>
      <c r="BF262" t="e">
        <f t="shared" ca="1" si="203"/>
        <v>#N/A</v>
      </c>
      <c r="BH262">
        <f t="shared" ca="1" si="202"/>
        <v>0</v>
      </c>
      <c r="BI262">
        <f t="shared" ca="1" si="202"/>
        <v>0</v>
      </c>
      <c r="BJ262">
        <f t="shared" ca="1" si="202"/>
        <v>0</v>
      </c>
      <c r="BM262" t="e">
        <f t="shared" si="181"/>
        <v>#REF!</v>
      </c>
      <c r="BN262" t="e">
        <f t="shared" ca="1" si="182"/>
        <v>#N/A</v>
      </c>
      <c r="BO262" t="e">
        <f t="shared" ca="1" si="183"/>
        <v>#N/A</v>
      </c>
      <c r="BP262" t="e">
        <f t="shared" ca="1" si="184"/>
        <v>#N/A</v>
      </c>
      <c r="BQ262" t="e">
        <f t="shared" ca="1" si="185"/>
        <v>#N/A</v>
      </c>
      <c r="BR262" t="e">
        <f t="shared" ca="1" si="186"/>
        <v>#N/A</v>
      </c>
      <c r="BS262" t="e">
        <f t="shared" ca="1" si="187"/>
        <v>#N/A</v>
      </c>
      <c r="BT262" t="e">
        <f t="shared" ca="1" si="188"/>
        <v>#N/A</v>
      </c>
      <c r="BU262">
        <f t="shared" ca="1" si="189"/>
        <v>0</v>
      </c>
      <c r="BV262">
        <f t="shared" ca="1" si="190"/>
        <v>0</v>
      </c>
      <c r="BW262">
        <f t="shared" ca="1" si="191"/>
        <v>0</v>
      </c>
      <c r="BX262">
        <f t="shared" ca="1" si="192"/>
        <v>0</v>
      </c>
      <c r="BY262">
        <f t="shared" ca="1" si="193"/>
        <v>0</v>
      </c>
      <c r="BZ262">
        <f t="shared" ca="1" si="163"/>
        <v>0</v>
      </c>
      <c r="CA262">
        <f t="shared" ca="1" si="164"/>
        <v>0</v>
      </c>
    </row>
    <row r="263" spans="1:79" x14ac:dyDescent="0.4">
      <c r="A263" t="str">
        <f t="shared" si="197"/>
        <v>X</v>
      </c>
      <c r="B263">
        <v>252</v>
      </c>
      <c r="C263" t="e" cm="1">
        <f t="array" ref="C263">INDEX(auto_Series_Code,B263)</f>
        <v>#REF!</v>
      </c>
      <c r="D263" t="e" cm="1">
        <f t="array" ref="D263">INDEX(auto_tblSeries,$B263,D$11)</f>
        <v>#REF!</v>
      </c>
      <c r="E263" t="e" cm="1">
        <f t="array" ref="E263">INDEX(auto_tblSeries,$B263,E$11)</f>
        <v>#REF!</v>
      </c>
      <c r="F263" t="e" cm="1">
        <f t="array" ref="F263">INDEX(auto_tblSeries,$B263,F$11)</f>
        <v>#REF!</v>
      </c>
      <c r="G263" t="e" cm="1">
        <f t="array" ref="G263">INDEX(auto_tblSeries,$B263,G$11)</f>
        <v>#REF!</v>
      </c>
      <c r="H263" t="e" cm="1">
        <f t="array" ref="H263">INDEX(auto_tblSeries,$B263,H$11)</f>
        <v>#REF!</v>
      </c>
      <c r="I263" t="e">
        <f t="shared" si="70"/>
        <v>#REF!</v>
      </c>
      <c r="K263" t="e" cm="1">
        <f t="array" ref="K263">INDEX(auto_DataFlat_Score,$I263,K$10)</f>
        <v>#REF!</v>
      </c>
      <c r="L263" t="e" cm="1">
        <f t="array" ref="L263">INDEX(auto_DataFlat_Rank,$I263,L$10)</f>
        <v>#REF!</v>
      </c>
      <c r="M263" t="e" cm="1">
        <f t="array" ref="M263">INDEX(auto_DataFlat_DataValue,$I263,M$10)</f>
        <v>#REF!</v>
      </c>
      <c r="N263" t="e" cm="1">
        <f t="array" ref="N263">INDEX(auto_DataFlat_Classification,$I263,M$10)</f>
        <v>#REF!</v>
      </c>
      <c r="O263" t="e" cm="1">
        <f t="array" ref="O263">INDEX(auto_DataFlat_IsEstimate,$I263,O$10)</f>
        <v>#REF!</v>
      </c>
      <c r="P263" t="e" cm="1">
        <f t="array" ref="P263">IF(INDEX(auto_DataFlat_DataYear,$I263,P$10)=0,"n/a",INDEX(auto_DataFlat_DataYear,$I263,P$10))</f>
        <v>#REF!</v>
      </c>
      <c r="R263" t="e">
        <f t="shared" si="161"/>
        <v>#REF!</v>
      </c>
      <c r="S263" t="e" cm="1">
        <f t="array" ref="S263">INDEX(auto_DataFlat_Score,$R263,S$10)</f>
        <v>#REF!</v>
      </c>
      <c r="U263" t="str">
        <f t="shared" si="165"/>
        <v>n/a</v>
      </c>
      <c r="V263">
        <f t="shared" si="166"/>
        <v>1</v>
      </c>
      <c r="W263" t="e">
        <f t="shared" si="167"/>
        <v>#REF!</v>
      </c>
      <c r="X263" t="e">
        <f t="shared" ca="1" si="204"/>
        <v>#N/A</v>
      </c>
      <c r="Y263" t="e">
        <f t="shared" ca="1" si="204"/>
        <v>#N/A</v>
      </c>
      <c r="Z263" t="e">
        <f t="shared" ca="1" si="204"/>
        <v>#N/A</v>
      </c>
      <c r="AB263">
        <f t="shared" ca="1" si="201"/>
        <v>0</v>
      </c>
      <c r="AC263">
        <f t="shared" ca="1" si="201"/>
        <v>0</v>
      </c>
      <c r="AD263">
        <f t="shared" ca="1" si="201"/>
        <v>0</v>
      </c>
      <c r="AF263" t="e">
        <f t="shared" si="169"/>
        <v>#REF!</v>
      </c>
      <c r="AG263" t="e">
        <f t="shared" ca="1" si="205"/>
        <v>#N/A</v>
      </c>
      <c r="AH263" t="e">
        <f t="shared" ca="1" si="205"/>
        <v>#N/A</v>
      </c>
      <c r="AI263" t="e">
        <f t="shared" ca="1" si="205"/>
        <v>#N/A</v>
      </c>
      <c r="AJ263" t="e">
        <f t="shared" ca="1" si="205"/>
        <v>#N/A</v>
      </c>
      <c r="AK263" t="e">
        <f t="shared" ca="1" si="205"/>
        <v>#N/A</v>
      </c>
      <c r="AL263" t="e">
        <f t="shared" ca="1" si="205"/>
        <v>#N/A</v>
      </c>
      <c r="AM263" t="e">
        <f t="shared" ca="1" si="205"/>
        <v>#N/A</v>
      </c>
      <c r="AN263">
        <f t="shared" ca="1" si="171"/>
        <v>0</v>
      </c>
      <c r="AO263">
        <f t="shared" ca="1" si="172"/>
        <v>0</v>
      </c>
      <c r="AP263">
        <f t="shared" ca="1" si="173"/>
        <v>0</v>
      </c>
      <c r="AQ263">
        <f t="shared" ca="1" si="174"/>
        <v>0</v>
      </c>
      <c r="AR263">
        <f t="shared" ca="1" si="175"/>
        <v>0</v>
      </c>
      <c r="AS263">
        <f t="shared" ca="1" si="176"/>
        <v>0</v>
      </c>
      <c r="AT263">
        <f t="shared" ca="1" si="177"/>
        <v>0</v>
      </c>
      <c r="AV263" t="e">
        <f t="shared" ref="AV263:AV292" si="206">MATCH(CONCATENATE($D$3,"_",$C263),auto_DataFlat_UID,0)</f>
        <v>#REF!</v>
      </c>
      <c r="AW263" t="e" cm="1">
        <f t="array" ref="AW263">INDEX(auto_DataFlat_Score,$AV263,1)</f>
        <v>#REF!</v>
      </c>
      <c r="AX263" t="e" cm="1">
        <f t="array" ref="AX263">INDEX(auto_DataFlat_DataValue,$AV263,1)</f>
        <v>#REF!</v>
      </c>
      <c r="BA263" t="str">
        <f t="shared" si="178"/>
        <v>n/a</v>
      </c>
      <c r="BB263">
        <f t="shared" si="179"/>
        <v>1</v>
      </c>
      <c r="BC263" t="e">
        <f t="shared" si="180"/>
        <v>#REF!</v>
      </c>
      <c r="BD263" t="e">
        <f t="shared" ca="1" si="203"/>
        <v>#N/A</v>
      </c>
      <c r="BE263" t="e">
        <f t="shared" ca="1" si="203"/>
        <v>#N/A</v>
      </c>
      <c r="BF263" t="e">
        <f t="shared" ca="1" si="203"/>
        <v>#N/A</v>
      </c>
      <c r="BH263">
        <f t="shared" ca="1" si="202"/>
        <v>0</v>
      </c>
      <c r="BI263">
        <f t="shared" ca="1" si="202"/>
        <v>0</v>
      </c>
      <c r="BJ263">
        <f t="shared" ca="1" si="202"/>
        <v>0</v>
      </c>
      <c r="BM263" t="e">
        <f t="shared" si="181"/>
        <v>#REF!</v>
      </c>
      <c r="BN263" t="e">
        <f t="shared" ca="1" si="182"/>
        <v>#N/A</v>
      </c>
      <c r="BO263" t="e">
        <f t="shared" ca="1" si="183"/>
        <v>#N/A</v>
      </c>
      <c r="BP263" t="e">
        <f t="shared" ca="1" si="184"/>
        <v>#N/A</v>
      </c>
      <c r="BQ263" t="e">
        <f t="shared" ca="1" si="185"/>
        <v>#N/A</v>
      </c>
      <c r="BR263" t="e">
        <f t="shared" ca="1" si="186"/>
        <v>#N/A</v>
      </c>
      <c r="BS263" t="e">
        <f t="shared" ca="1" si="187"/>
        <v>#N/A</v>
      </c>
      <c r="BT263" t="e">
        <f t="shared" ca="1" si="188"/>
        <v>#N/A</v>
      </c>
      <c r="BU263">
        <f t="shared" ca="1" si="189"/>
        <v>0</v>
      </c>
      <c r="BV263">
        <f t="shared" ca="1" si="190"/>
        <v>0</v>
      </c>
      <c r="BW263">
        <f t="shared" ca="1" si="191"/>
        <v>0</v>
      </c>
      <c r="BX263">
        <f t="shared" ca="1" si="192"/>
        <v>0</v>
      </c>
      <c r="BY263">
        <f t="shared" ca="1" si="193"/>
        <v>0</v>
      </c>
      <c r="BZ263">
        <f t="shared" ca="1" si="163"/>
        <v>0</v>
      </c>
      <c r="CA263">
        <f t="shared" ca="1" si="164"/>
        <v>0</v>
      </c>
    </row>
    <row r="264" spans="1:79" x14ac:dyDescent="0.4">
      <c r="A264" t="str">
        <f t="shared" si="197"/>
        <v>X</v>
      </c>
      <c r="B264">
        <v>253</v>
      </c>
      <c r="C264" t="e" cm="1">
        <f t="array" ref="C264">INDEX(auto_Series_Code,B264)</f>
        <v>#REF!</v>
      </c>
      <c r="D264" t="e" cm="1">
        <f t="array" ref="D264">INDEX(auto_tblSeries,$B264,D$11)</f>
        <v>#REF!</v>
      </c>
      <c r="E264" t="e" cm="1">
        <f t="array" ref="E264">INDEX(auto_tblSeries,$B264,E$11)</f>
        <v>#REF!</v>
      </c>
      <c r="F264" t="e" cm="1">
        <f t="array" ref="F264">INDEX(auto_tblSeries,$B264,F$11)</f>
        <v>#REF!</v>
      </c>
      <c r="G264" t="e" cm="1">
        <f t="array" ref="G264">INDEX(auto_tblSeries,$B264,G$11)</f>
        <v>#REF!</v>
      </c>
      <c r="H264" t="e" cm="1">
        <f t="array" ref="H264">INDEX(auto_tblSeries,$B264,H$11)</f>
        <v>#REF!</v>
      </c>
      <c r="I264" t="e">
        <f t="shared" si="70"/>
        <v>#REF!</v>
      </c>
      <c r="K264" t="e" cm="1">
        <f t="array" ref="K264">INDEX(auto_DataFlat_Score,$I264,K$10)</f>
        <v>#REF!</v>
      </c>
      <c r="L264" t="e" cm="1">
        <f t="array" ref="L264">INDEX(auto_DataFlat_Rank,$I264,L$10)</f>
        <v>#REF!</v>
      </c>
      <c r="M264" t="e" cm="1">
        <f t="array" ref="M264">INDEX(auto_DataFlat_DataValue,$I264,M$10)</f>
        <v>#REF!</v>
      </c>
      <c r="N264" t="e" cm="1">
        <f t="array" ref="N264">INDEX(auto_DataFlat_Classification,$I264,M$10)</f>
        <v>#REF!</v>
      </c>
      <c r="O264" t="e" cm="1">
        <f t="array" ref="O264">INDEX(auto_DataFlat_IsEstimate,$I264,O$10)</f>
        <v>#REF!</v>
      </c>
      <c r="P264" t="e" cm="1">
        <f t="array" ref="P264">IF(INDEX(auto_DataFlat_DataYear,$I264,P$10)=0,"n/a",INDEX(auto_DataFlat_DataYear,$I264,P$10))</f>
        <v>#REF!</v>
      </c>
      <c r="R264" t="e">
        <f t="shared" si="161"/>
        <v>#REF!</v>
      </c>
      <c r="S264" t="e" cm="1">
        <f t="array" ref="S264">INDEX(auto_DataFlat_Score,$R264,S$10)</f>
        <v>#REF!</v>
      </c>
      <c r="U264" t="str">
        <f t="shared" si="165"/>
        <v>n/a</v>
      </c>
      <c r="V264">
        <f t="shared" si="166"/>
        <v>1</v>
      </c>
      <c r="W264" t="e">
        <f t="shared" si="167"/>
        <v>#REF!</v>
      </c>
      <c r="X264" t="e">
        <f t="shared" ca="1" si="204"/>
        <v>#N/A</v>
      </c>
      <c r="Y264" t="e">
        <f t="shared" ca="1" si="204"/>
        <v>#N/A</v>
      </c>
      <c r="Z264" t="e">
        <f t="shared" ca="1" si="204"/>
        <v>#N/A</v>
      </c>
      <c r="AB264">
        <f t="shared" ca="1" si="201"/>
        <v>0</v>
      </c>
      <c r="AC264">
        <f t="shared" ca="1" si="201"/>
        <v>0</v>
      </c>
      <c r="AD264">
        <f t="shared" ca="1" si="201"/>
        <v>0</v>
      </c>
      <c r="AF264" t="e">
        <f t="shared" si="169"/>
        <v>#REF!</v>
      </c>
      <c r="AG264" t="e">
        <f t="shared" ca="1" si="205"/>
        <v>#N/A</v>
      </c>
      <c r="AH264" t="e">
        <f t="shared" ca="1" si="205"/>
        <v>#N/A</v>
      </c>
      <c r="AI264" t="e">
        <f t="shared" ca="1" si="205"/>
        <v>#N/A</v>
      </c>
      <c r="AJ264" t="e">
        <f t="shared" ca="1" si="205"/>
        <v>#N/A</v>
      </c>
      <c r="AK264" t="e">
        <f t="shared" ca="1" si="205"/>
        <v>#N/A</v>
      </c>
      <c r="AL264" t="e">
        <f t="shared" ca="1" si="205"/>
        <v>#N/A</v>
      </c>
      <c r="AM264" t="e">
        <f t="shared" ca="1" si="205"/>
        <v>#N/A</v>
      </c>
      <c r="AN264">
        <f t="shared" ca="1" si="171"/>
        <v>0</v>
      </c>
      <c r="AO264">
        <f t="shared" ca="1" si="172"/>
        <v>0</v>
      </c>
      <c r="AP264">
        <f t="shared" ca="1" si="173"/>
        <v>0</v>
      </c>
      <c r="AQ264">
        <f t="shared" ca="1" si="174"/>
        <v>0</v>
      </c>
      <c r="AR264">
        <f t="shared" ca="1" si="175"/>
        <v>0</v>
      </c>
      <c r="AS264">
        <f t="shared" ca="1" si="176"/>
        <v>0</v>
      </c>
      <c r="AT264">
        <f t="shared" ca="1" si="177"/>
        <v>0</v>
      </c>
      <c r="AV264" t="e">
        <f t="shared" si="206"/>
        <v>#REF!</v>
      </c>
      <c r="AW264" t="e" cm="1">
        <f t="array" ref="AW264">INDEX(auto_DataFlat_Score,$AV264,1)</f>
        <v>#REF!</v>
      </c>
      <c r="AX264" t="e" cm="1">
        <f t="array" ref="AX264">INDEX(auto_DataFlat_DataValue,$AV264,1)</f>
        <v>#REF!</v>
      </c>
      <c r="BA264" t="str">
        <f t="shared" si="178"/>
        <v>n/a</v>
      </c>
      <c r="BB264">
        <f t="shared" si="179"/>
        <v>1</v>
      </c>
      <c r="BC264" t="e">
        <f t="shared" si="180"/>
        <v>#REF!</v>
      </c>
      <c r="BD264" t="e">
        <f t="shared" ca="1" si="203"/>
        <v>#N/A</v>
      </c>
      <c r="BE264" t="e">
        <f t="shared" ca="1" si="203"/>
        <v>#N/A</v>
      </c>
      <c r="BF264" t="e">
        <f t="shared" ca="1" si="203"/>
        <v>#N/A</v>
      </c>
      <c r="BH264">
        <f t="shared" ca="1" si="202"/>
        <v>0</v>
      </c>
      <c r="BI264">
        <f t="shared" ca="1" si="202"/>
        <v>0</v>
      </c>
      <c r="BJ264">
        <f t="shared" ca="1" si="202"/>
        <v>0</v>
      </c>
      <c r="BM264" t="e">
        <f t="shared" si="181"/>
        <v>#REF!</v>
      </c>
      <c r="BN264" t="e">
        <f t="shared" ca="1" si="182"/>
        <v>#N/A</v>
      </c>
      <c r="BO264" t="e">
        <f t="shared" ca="1" si="183"/>
        <v>#N/A</v>
      </c>
      <c r="BP264" t="e">
        <f t="shared" ca="1" si="184"/>
        <v>#N/A</v>
      </c>
      <c r="BQ264" t="e">
        <f t="shared" ca="1" si="185"/>
        <v>#N/A</v>
      </c>
      <c r="BR264" t="e">
        <f t="shared" ca="1" si="186"/>
        <v>#N/A</v>
      </c>
      <c r="BS264" t="e">
        <f t="shared" ca="1" si="187"/>
        <v>#N/A</v>
      </c>
      <c r="BT264" t="e">
        <f t="shared" ca="1" si="188"/>
        <v>#N/A</v>
      </c>
      <c r="BU264">
        <f t="shared" ca="1" si="189"/>
        <v>0</v>
      </c>
      <c r="BV264">
        <f t="shared" ca="1" si="190"/>
        <v>0</v>
      </c>
      <c r="BW264">
        <f t="shared" ca="1" si="191"/>
        <v>0</v>
      </c>
      <c r="BX264">
        <f t="shared" ca="1" si="192"/>
        <v>0</v>
      </c>
      <c r="BY264">
        <f t="shared" ca="1" si="193"/>
        <v>0</v>
      </c>
      <c r="BZ264">
        <f t="shared" ca="1" si="163"/>
        <v>0</v>
      </c>
      <c r="CA264">
        <f t="shared" ca="1" si="164"/>
        <v>0</v>
      </c>
    </row>
    <row r="265" spans="1:79" x14ac:dyDescent="0.4">
      <c r="A265" t="str">
        <f t="shared" si="197"/>
        <v>X</v>
      </c>
      <c r="B265">
        <v>254</v>
      </c>
      <c r="C265" t="e" cm="1">
        <f t="array" ref="C265">INDEX(auto_Series_Code,B265)</f>
        <v>#REF!</v>
      </c>
      <c r="D265" t="e" cm="1">
        <f t="array" ref="D265">INDEX(auto_tblSeries,$B265,D$11)</f>
        <v>#REF!</v>
      </c>
      <c r="E265" t="e" cm="1">
        <f t="array" ref="E265">INDEX(auto_tblSeries,$B265,E$11)</f>
        <v>#REF!</v>
      </c>
      <c r="F265" t="e" cm="1">
        <f t="array" ref="F265">INDEX(auto_tblSeries,$B265,F$11)</f>
        <v>#REF!</v>
      </c>
      <c r="G265" t="e" cm="1">
        <f t="array" ref="G265">INDEX(auto_tblSeries,$B265,G$11)</f>
        <v>#REF!</v>
      </c>
      <c r="H265" t="e" cm="1">
        <f t="array" ref="H265">INDEX(auto_tblSeries,$B265,H$11)</f>
        <v>#REF!</v>
      </c>
      <c r="I265" t="e">
        <f t="shared" si="70"/>
        <v>#REF!</v>
      </c>
      <c r="K265" t="e" cm="1">
        <f t="array" ref="K265">INDEX(auto_DataFlat_Score,$I265,K$10)</f>
        <v>#REF!</v>
      </c>
      <c r="L265" t="e" cm="1">
        <f t="array" ref="L265">INDEX(auto_DataFlat_Rank,$I265,L$10)</f>
        <v>#REF!</v>
      </c>
      <c r="M265" t="e" cm="1">
        <f t="array" ref="M265">INDEX(auto_DataFlat_DataValue,$I265,M$10)</f>
        <v>#REF!</v>
      </c>
      <c r="N265" t="e" cm="1">
        <f t="array" ref="N265">INDEX(auto_DataFlat_Classification,$I265,M$10)</f>
        <v>#REF!</v>
      </c>
      <c r="O265" t="e" cm="1">
        <f t="array" ref="O265">INDEX(auto_DataFlat_IsEstimate,$I265,O$10)</f>
        <v>#REF!</v>
      </c>
      <c r="P265" t="e" cm="1">
        <f t="array" ref="P265">IF(INDEX(auto_DataFlat_DataYear,$I265,P$10)=0,"n/a",INDEX(auto_DataFlat_DataYear,$I265,P$10))</f>
        <v>#REF!</v>
      </c>
      <c r="R265" t="e">
        <f t="shared" si="161"/>
        <v>#REF!</v>
      </c>
      <c r="S265" t="e" cm="1">
        <f t="array" ref="S265">INDEX(auto_DataFlat_Score,$R265,S$10)</f>
        <v>#REF!</v>
      </c>
      <c r="U265" t="str">
        <f t="shared" si="165"/>
        <v>n/a</v>
      </c>
      <c r="V265">
        <f t="shared" si="166"/>
        <v>1</v>
      </c>
      <c r="W265" t="e">
        <f t="shared" si="167"/>
        <v>#REF!</v>
      </c>
      <c r="X265" t="e">
        <f t="shared" ca="1" si="204"/>
        <v>#N/A</v>
      </c>
      <c r="Y265" t="e">
        <f t="shared" ca="1" si="204"/>
        <v>#N/A</v>
      </c>
      <c r="Z265" t="e">
        <f t="shared" ca="1" si="204"/>
        <v>#N/A</v>
      </c>
      <c r="AB265">
        <f t="shared" ref="AB265:AD292" ca="1" si="207">IFERROR(X265,0)</f>
        <v>0</v>
      </c>
      <c r="AC265">
        <f t="shared" ca="1" si="207"/>
        <v>0</v>
      </c>
      <c r="AD265">
        <f t="shared" ca="1" si="207"/>
        <v>0</v>
      </c>
      <c r="AF265" t="e">
        <f t="shared" si="169"/>
        <v>#REF!</v>
      </c>
      <c r="AG265" t="e">
        <f t="shared" ca="1" si="205"/>
        <v>#N/A</v>
      </c>
      <c r="AH265" t="e">
        <f t="shared" ca="1" si="205"/>
        <v>#N/A</v>
      </c>
      <c r="AI265" t="e">
        <f t="shared" ca="1" si="205"/>
        <v>#N/A</v>
      </c>
      <c r="AJ265" t="e">
        <f t="shared" ca="1" si="205"/>
        <v>#N/A</v>
      </c>
      <c r="AK265" t="e">
        <f t="shared" ca="1" si="205"/>
        <v>#N/A</v>
      </c>
      <c r="AL265" t="e">
        <f t="shared" ca="1" si="205"/>
        <v>#N/A</v>
      </c>
      <c r="AM265" t="e">
        <f t="shared" ca="1" si="205"/>
        <v>#N/A</v>
      </c>
      <c r="AN265">
        <f t="shared" ca="1" si="171"/>
        <v>0</v>
      </c>
      <c r="AO265">
        <f t="shared" ca="1" si="172"/>
        <v>0</v>
      </c>
      <c r="AP265">
        <f t="shared" ca="1" si="173"/>
        <v>0</v>
      </c>
      <c r="AQ265">
        <f t="shared" ca="1" si="174"/>
        <v>0</v>
      </c>
      <c r="AR265">
        <f t="shared" ca="1" si="175"/>
        <v>0</v>
      </c>
      <c r="AS265">
        <f t="shared" ca="1" si="176"/>
        <v>0</v>
      </c>
      <c r="AT265">
        <f t="shared" ca="1" si="177"/>
        <v>0</v>
      </c>
      <c r="AV265" t="e">
        <f t="shared" si="206"/>
        <v>#REF!</v>
      </c>
      <c r="AW265" t="e" cm="1">
        <f t="array" ref="AW265">INDEX(auto_DataFlat_Score,$AV265,1)</f>
        <v>#REF!</v>
      </c>
      <c r="AX265" t="e" cm="1">
        <f t="array" ref="AX265">INDEX(auto_DataFlat_DataValue,$AV265,1)</f>
        <v>#REF!</v>
      </c>
      <c r="BA265" t="str">
        <f t="shared" si="178"/>
        <v>n/a</v>
      </c>
      <c r="BB265">
        <f t="shared" si="179"/>
        <v>1</v>
      </c>
      <c r="BC265" t="e">
        <f t="shared" si="180"/>
        <v>#REF!</v>
      </c>
      <c r="BD265" t="e">
        <f t="shared" ca="1" si="203"/>
        <v>#N/A</v>
      </c>
      <c r="BE265" t="e">
        <f t="shared" ca="1" si="203"/>
        <v>#N/A</v>
      </c>
      <c r="BF265" t="e">
        <f t="shared" ca="1" si="203"/>
        <v>#N/A</v>
      </c>
      <c r="BH265">
        <f t="shared" ref="BH265:BJ292" ca="1" si="208">IFERROR(BD265,0)</f>
        <v>0</v>
      </c>
      <c r="BI265">
        <f t="shared" ca="1" si="208"/>
        <v>0</v>
      </c>
      <c r="BJ265">
        <f t="shared" ca="1" si="208"/>
        <v>0</v>
      </c>
      <c r="BM265" t="e">
        <f t="shared" si="181"/>
        <v>#REF!</v>
      </c>
      <c r="BN265" t="e">
        <f t="shared" ca="1" si="182"/>
        <v>#N/A</v>
      </c>
      <c r="BO265" t="e">
        <f t="shared" ca="1" si="183"/>
        <v>#N/A</v>
      </c>
      <c r="BP265" t="e">
        <f t="shared" ca="1" si="184"/>
        <v>#N/A</v>
      </c>
      <c r="BQ265" t="e">
        <f t="shared" ca="1" si="185"/>
        <v>#N/A</v>
      </c>
      <c r="BR265" t="e">
        <f t="shared" ca="1" si="186"/>
        <v>#N/A</v>
      </c>
      <c r="BS265" t="e">
        <f t="shared" ca="1" si="187"/>
        <v>#N/A</v>
      </c>
      <c r="BT265" t="e">
        <f t="shared" ca="1" si="188"/>
        <v>#N/A</v>
      </c>
      <c r="BU265">
        <f t="shared" ca="1" si="189"/>
        <v>0</v>
      </c>
      <c r="BV265">
        <f t="shared" ca="1" si="190"/>
        <v>0</v>
      </c>
      <c r="BW265">
        <f t="shared" ca="1" si="191"/>
        <v>0</v>
      </c>
      <c r="BX265">
        <f t="shared" ca="1" si="192"/>
        <v>0</v>
      </c>
      <c r="BY265">
        <f t="shared" ca="1" si="193"/>
        <v>0</v>
      </c>
      <c r="BZ265">
        <f t="shared" ca="1" si="163"/>
        <v>0</v>
      </c>
      <c r="CA265">
        <f t="shared" ca="1" si="164"/>
        <v>0</v>
      </c>
    </row>
    <row r="266" spans="1:79" x14ac:dyDescent="0.4">
      <c r="A266" t="str">
        <f t="shared" si="197"/>
        <v>X</v>
      </c>
      <c r="B266">
        <v>255</v>
      </c>
      <c r="C266" t="e" cm="1">
        <f t="array" ref="C266">INDEX(auto_Series_Code,B266)</f>
        <v>#REF!</v>
      </c>
      <c r="D266" t="e" cm="1">
        <f t="array" ref="D266">INDEX(auto_tblSeries,$B266,D$11)</f>
        <v>#REF!</v>
      </c>
      <c r="E266" t="e" cm="1">
        <f t="array" ref="E266">INDEX(auto_tblSeries,$B266,E$11)</f>
        <v>#REF!</v>
      </c>
      <c r="F266" t="e" cm="1">
        <f t="array" ref="F266">INDEX(auto_tblSeries,$B266,F$11)</f>
        <v>#REF!</v>
      </c>
      <c r="G266" t="e" cm="1">
        <f t="array" ref="G266">INDEX(auto_tblSeries,$B266,G$11)</f>
        <v>#REF!</v>
      </c>
      <c r="H266" t="e" cm="1">
        <f t="array" ref="H266">INDEX(auto_tblSeries,$B266,H$11)</f>
        <v>#REF!</v>
      </c>
      <c r="I266" t="e">
        <f t="shared" si="70"/>
        <v>#REF!</v>
      </c>
      <c r="K266" t="e" cm="1">
        <f t="array" ref="K266">INDEX(auto_DataFlat_Score,$I266,K$10)</f>
        <v>#REF!</v>
      </c>
      <c r="L266" t="e" cm="1">
        <f t="array" ref="L266">INDEX(auto_DataFlat_Rank,$I266,L$10)</f>
        <v>#REF!</v>
      </c>
      <c r="M266" t="e" cm="1">
        <f t="array" ref="M266">INDEX(auto_DataFlat_DataValue,$I266,M$10)</f>
        <v>#REF!</v>
      </c>
      <c r="N266" t="e" cm="1">
        <f t="array" ref="N266">INDEX(auto_DataFlat_Classification,$I266,M$10)</f>
        <v>#REF!</v>
      </c>
      <c r="O266" t="e" cm="1">
        <f t="array" ref="O266">INDEX(auto_DataFlat_IsEstimate,$I266,O$10)</f>
        <v>#REF!</v>
      </c>
      <c r="P266" t="e" cm="1">
        <f t="array" ref="P266">IF(INDEX(auto_DataFlat_DataYear,$I266,P$10)=0,"n/a",INDEX(auto_DataFlat_DataYear,$I266,P$10))</f>
        <v>#REF!</v>
      </c>
      <c r="R266" t="e">
        <f t="shared" si="161"/>
        <v>#REF!</v>
      </c>
      <c r="S266" t="e" cm="1">
        <f t="array" ref="S266">INDEX(auto_DataFlat_Score,$R266,S$10)</f>
        <v>#REF!</v>
      </c>
      <c r="U266" t="str">
        <f t="shared" si="165"/>
        <v>n/a</v>
      </c>
      <c r="V266">
        <f t="shared" si="166"/>
        <v>1</v>
      </c>
      <c r="W266" t="e">
        <f t="shared" si="167"/>
        <v>#REF!</v>
      </c>
      <c r="X266" t="e">
        <f t="shared" ca="1" si="204"/>
        <v>#N/A</v>
      </c>
      <c r="Y266" t="e">
        <f t="shared" ca="1" si="204"/>
        <v>#N/A</v>
      </c>
      <c r="Z266" t="e">
        <f t="shared" ca="1" si="204"/>
        <v>#N/A</v>
      </c>
      <c r="AB266">
        <f t="shared" ca="1" si="207"/>
        <v>0</v>
      </c>
      <c r="AC266">
        <f t="shared" ca="1" si="207"/>
        <v>0</v>
      </c>
      <c r="AD266">
        <f t="shared" ca="1" si="207"/>
        <v>0</v>
      </c>
      <c r="AF266" t="e">
        <f t="shared" si="169"/>
        <v>#REF!</v>
      </c>
      <c r="AG266" t="e">
        <f t="shared" ca="1" si="205"/>
        <v>#N/A</v>
      </c>
      <c r="AH266" t="e">
        <f t="shared" ca="1" si="205"/>
        <v>#N/A</v>
      </c>
      <c r="AI266" t="e">
        <f t="shared" ca="1" si="205"/>
        <v>#N/A</v>
      </c>
      <c r="AJ266" t="e">
        <f t="shared" ca="1" si="205"/>
        <v>#N/A</v>
      </c>
      <c r="AK266" t="e">
        <f t="shared" ca="1" si="205"/>
        <v>#N/A</v>
      </c>
      <c r="AL266" t="e">
        <f t="shared" ca="1" si="205"/>
        <v>#N/A</v>
      </c>
      <c r="AM266" t="e">
        <f t="shared" ca="1" si="205"/>
        <v>#N/A</v>
      </c>
      <c r="AN266">
        <f t="shared" ca="1" si="171"/>
        <v>0</v>
      </c>
      <c r="AO266">
        <f t="shared" ca="1" si="172"/>
        <v>0</v>
      </c>
      <c r="AP266">
        <f t="shared" ca="1" si="173"/>
        <v>0</v>
      </c>
      <c r="AQ266">
        <f t="shared" ca="1" si="174"/>
        <v>0</v>
      </c>
      <c r="AR266">
        <f t="shared" ca="1" si="175"/>
        <v>0</v>
      </c>
      <c r="AS266">
        <f t="shared" ca="1" si="176"/>
        <v>0</v>
      </c>
      <c r="AT266">
        <f t="shared" ca="1" si="177"/>
        <v>0</v>
      </c>
      <c r="AV266" t="e">
        <f t="shared" si="206"/>
        <v>#REF!</v>
      </c>
      <c r="AW266" t="e" cm="1">
        <f t="array" ref="AW266">INDEX(auto_DataFlat_Score,$AV266,1)</f>
        <v>#REF!</v>
      </c>
      <c r="AX266" t="e" cm="1">
        <f t="array" ref="AX266">INDEX(auto_DataFlat_DataValue,$AV266,1)</f>
        <v>#REF!</v>
      </c>
      <c r="BA266" t="str">
        <f t="shared" si="178"/>
        <v>n/a</v>
      </c>
      <c r="BB266">
        <f t="shared" si="179"/>
        <v>1</v>
      </c>
      <c r="BC266" t="e">
        <f t="shared" si="180"/>
        <v>#REF!</v>
      </c>
      <c r="BD266" t="e">
        <f t="shared" ca="1" si="203"/>
        <v>#N/A</v>
      </c>
      <c r="BE266" t="e">
        <f t="shared" ca="1" si="203"/>
        <v>#N/A</v>
      </c>
      <c r="BF266" t="e">
        <f t="shared" ca="1" si="203"/>
        <v>#N/A</v>
      </c>
      <c r="BH266">
        <f t="shared" ca="1" si="208"/>
        <v>0</v>
      </c>
      <c r="BI266">
        <f t="shared" ca="1" si="208"/>
        <v>0</v>
      </c>
      <c r="BJ266">
        <f t="shared" ca="1" si="208"/>
        <v>0</v>
      </c>
      <c r="BM266" t="e">
        <f t="shared" si="181"/>
        <v>#REF!</v>
      </c>
      <c r="BN266" t="e">
        <f t="shared" ca="1" si="182"/>
        <v>#N/A</v>
      </c>
      <c r="BO266" t="e">
        <f t="shared" ca="1" si="183"/>
        <v>#N/A</v>
      </c>
      <c r="BP266" t="e">
        <f t="shared" ca="1" si="184"/>
        <v>#N/A</v>
      </c>
      <c r="BQ266" t="e">
        <f t="shared" ca="1" si="185"/>
        <v>#N/A</v>
      </c>
      <c r="BR266" t="e">
        <f t="shared" ca="1" si="186"/>
        <v>#N/A</v>
      </c>
      <c r="BS266" t="e">
        <f t="shared" ca="1" si="187"/>
        <v>#N/A</v>
      </c>
      <c r="BT266" t="e">
        <f t="shared" ca="1" si="188"/>
        <v>#N/A</v>
      </c>
      <c r="BU266">
        <f t="shared" ca="1" si="189"/>
        <v>0</v>
      </c>
      <c r="BV266">
        <f t="shared" ca="1" si="190"/>
        <v>0</v>
      </c>
      <c r="BW266">
        <f t="shared" ca="1" si="191"/>
        <v>0</v>
      </c>
      <c r="BX266">
        <f t="shared" ca="1" si="192"/>
        <v>0</v>
      </c>
      <c r="BY266">
        <f t="shared" ca="1" si="193"/>
        <v>0</v>
      </c>
      <c r="BZ266">
        <f t="shared" ca="1" si="163"/>
        <v>0</v>
      </c>
      <c r="CA266">
        <f t="shared" ca="1" si="164"/>
        <v>0</v>
      </c>
    </row>
    <row r="267" spans="1:79" x14ac:dyDescent="0.4">
      <c r="A267" t="str">
        <f t="shared" si="197"/>
        <v>X</v>
      </c>
      <c r="B267">
        <v>256</v>
      </c>
      <c r="C267" t="e" cm="1">
        <f t="array" ref="C267">INDEX(auto_Series_Code,B267)</f>
        <v>#REF!</v>
      </c>
      <c r="D267" t="e" cm="1">
        <f t="array" ref="D267">INDEX(auto_tblSeries,$B267,D$11)</f>
        <v>#REF!</v>
      </c>
      <c r="E267" t="e" cm="1">
        <f t="array" ref="E267">INDEX(auto_tblSeries,$B267,E$11)</f>
        <v>#REF!</v>
      </c>
      <c r="F267" t="e" cm="1">
        <f t="array" ref="F267">INDEX(auto_tblSeries,$B267,F$11)</f>
        <v>#REF!</v>
      </c>
      <c r="G267" t="e" cm="1">
        <f t="array" ref="G267">INDEX(auto_tblSeries,$B267,G$11)</f>
        <v>#REF!</v>
      </c>
      <c r="H267" t="e" cm="1">
        <f t="array" ref="H267">INDEX(auto_tblSeries,$B267,H$11)</f>
        <v>#REF!</v>
      </c>
      <c r="I267" t="e">
        <f t="shared" si="70"/>
        <v>#REF!</v>
      </c>
      <c r="K267" t="e" cm="1">
        <f t="array" ref="K267">INDEX(auto_DataFlat_Score,$I267,K$10)</f>
        <v>#REF!</v>
      </c>
      <c r="L267" t="e" cm="1">
        <f t="array" ref="L267">INDEX(auto_DataFlat_Rank,$I267,L$10)</f>
        <v>#REF!</v>
      </c>
      <c r="M267" t="e" cm="1">
        <f t="array" ref="M267">INDEX(auto_DataFlat_DataValue,$I267,M$10)</f>
        <v>#REF!</v>
      </c>
      <c r="N267" t="e" cm="1">
        <f t="array" ref="N267">INDEX(auto_DataFlat_Classification,$I267,M$10)</f>
        <v>#REF!</v>
      </c>
      <c r="O267" t="e" cm="1">
        <f t="array" ref="O267">INDEX(auto_DataFlat_IsEstimate,$I267,O$10)</f>
        <v>#REF!</v>
      </c>
      <c r="P267" t="e" cm="1">
        <f t="array" ref="P267">IF(INDEX(auto_DataFlat_DataYear,$I267,P$10)=0,"n/a",INDEX(auto_DataFlat_DataYear,$I267,P$10))</f>
        <v>#REF!</v>
      </c>
      <c r="R267" t="e">
        <f t="shared" si="161"/>
        <v>#REF!</v>
      </c>
      <c r="S267" t="e" cm="1">
        <f t="array" ref="S267">INDEX(auto_DataFlat_Score,$R267,S$10)</f>
        <v>#REF!</v>
      </c>
      <c r="U267" t="str">
        <f t="shared" si="165"/>
        <v>n/a</v>
      </c>
      <c r="V267">
        <f t="shared" si="166"/>
        <v>1</v>
      </c>
      <c r="W267" t="e">
        <f t="shared" si="167"/>
        <v>#REF!</v>
      </c>
      <c r="X267" t="e">
        <f t="shared" ca="1" si="204"/>
        <v>#N/A</v>
      </c>
      <c r="Y267" t="e">
        <f t="shared" ca="1" si="204"/>
        <v>#N/A</v>
      </c>
      <c r="Z267" t="e">
        <f t="shared" ca="1" si="204"/>
        <v>#N/A</v>
      </c>
      <c r="AB267">
        <f t="shared" ca="1" si="207"/>
        <v>0</v>
      </c>
      <c r="AC267">
        <f t="shared" ca="1" si="207"/>
        <v>0</v>
      </c>
      <c r="AD267">
        <f t="shared" ca="1" si="207"/>
        <v>0</v>
      </c>
      <c r="AF267" t="e">
        <f t="shared" si="169"/>
        <v>#REF!</v>
      </c>
      <c r="AG267" t="e">
        <f t="shared" ca="1" si="205"/>
        <v>#N/A</v>
      </c>
      <c r="AH267" t="e">
        <f t="shared" ca="1" si="205"/>
        <v>#N/A</v>
      </c>
      <c r="AI267" t="e">
        <f t="shared" ca="1" si="205"/>
        <v>#N/A</v>
      </c>
      <c r="AJ267" t="e">
        <f t="shared" ca="1" si="205"/>
        <v>#N/A</v>
      </c>
      <c r="AK267" t="e">
        <f t="shared" ca="1" si="205"/>
        <v>#N/A</v>
      </c>
      <c r="AL267" t="e">
        <f t="shared" ca="1" si="205"/>
        <v>#N/A</v>
      </c>
      <c r="AM267" t="e">
        <f t="shared" ca="1" si="205"/>
        <v>#N/A</v>
      </c>
      <c r="AN267">
        <f t="shared" ca="1" si="171"/>
        <v>0</v>
      </c>
      <c r="AO267">
        <f t="shared" ca="1" si="172"/>
        <v>0</v>
      </c>
      <c r="AP267">
        <f t="shared" ca="1" si="173"/>
        <v>0</v>
      </c>
      <c r="AQ267">
        <f t="shared" ca="1" si="174"/>
        <v>0</v>
      </c>
      <c r="AR267">
        <f t="shared" ca="1" si="175"/>
        <v>0</v>
      </c>
      <c r="AS267">
        <f t="shared" ca="1" si="176"/>
        <v>0</v>
      </c>
      <c r="AT267">
        <f t="shared" ca="1" si="177"/>
        <v>0</v>
      </c>
      <c r="AV267" t="e">
        <f t="shared" si="206"/>
        <v>#REF!</v>
      </c>
      <c r="AW267" t="e" cm="1">
        <f t="array" ref="AW267">INDEX(auto_DataFlat_Score,$AV267,1)</f>
        <v>#REF!</v>
      </c>
      <c r="AX267" t="e" cm="1">
        <f t="array" ref="AX267">INDEX(auto_DataFlat_DataValue,$AV267,1)</f>
        <v>#REF!</v>
      </c>
      <c r="BA267" t="str">
        <f t="shared" si="178"/>
        <v>n/a</v>
      </c>
      <c r="BB267">
        <f t="shared" si="179"/>
        <v>1</v>
      </c>
      <c r="BC267" t="e">
        <f t="shared" si="180"/>
        <v>#REF!</v>
      </c>
      <c r="BD267" t="e">
        <f t="shared" ca="1" si="203"/>
        <v>#N/A</v>
      </c>
      <c r="BE267" t="e">
        <f t="shared" ca="1" si="203"/>
        <v>#N/A</v>
      </c>
      <c r="BF267" t="e">
        <f t="shared" ca="1" si="203"/>
        <v>#N/A</v>
      </c>
      <c r="BH267">
        <f t="shared" ca="1" si="208"/>
        <v>0</v>
      </c>
      <c r="BI267">
        <f t="shared" ca="1" si="208"/>
        <v>0</v>
      </c>
      <c r="BJ267">
        <f t="shared" ca="1" si="208"/>
        <v>0</v>
      </c>
      <c r="BM267" t="e">
        <f t="shared" si="181"/>
        <v>#REF!</v>
      </c>
      <c r="BN267" t="e">
        <f t="shared" ca="1" si="182"/>
        <v>#N/A</v>
      </c>
      <c r="BO267" t="e">
        <f t="shared" ca="1" si="183"/>
        <v>#N/A</v>
      </c>
      <c r="BP267" t="e">
        <f t="shared" ca="1" si="184"/>
        <v>#N/A</v>
      </c>
      <c r="BQ267" t="e">
        <f t="shared" ca="1" si="185"/>
        <v>#N/A</v>
      </c>
      <c r="BR267" t="e">
        <f t="shared" ca="1" si="186"/>
        <v>#N/A</v>
      </c>
      <c r="BS267" t="e">
        <f t="shared" ca="1" si="187"/>
        <v>#N/A</v>
      </c>
      <c r="BT267" t="e">
        <f t="shared" ca="1" si="188"/>
        <v>#N/A</v>
      </c>
      <c r="BU267">
        <f t="shared" ca="1" si="189"/>
        <v>0</v>
      </c>
      <c r="BV267">
        <f t="shared" ca="1" si="190"/>
        <v>0</v>
      </c>
      <c r="BW267">
        <f t="shared" ca="1" si="191"/>
        <v>0</v>
      </c>
      <c r="BX267">
        <f t="shared" ca="1" si="192"/>
        <v>0</v>
      </c>
      <c r="BY267">
        <f t="shared" ca="1" si="193"/>
        <v>0</v>
      </c>
      <c r="BZ267">
        <f t="shared" ca="1" si="163"/>
        <v>0</v>
      </c>
      <c r="CA267">
        <f t="shared" ca="1" si="164"/>
        <v>0</v>
      </c>
    </row>
    <row r="268" spans="1:79" x14ac:dyDescent="0.4">
      <c r="A268" t="str">
        <f t="shared" si="197"/>
        <v>X</v>
      </c>
      <c r="B268">
        <v>257</v>
      </c>
      <c r="C268" t="e" cm="1">
        <f t="array" ref="C268">INDEX(auto_Series_Code,B268)</f>
        <v>#REF!</v>
      </c>
      <c r="D268" t="e" cm="1">
        <f t="array" ref="D268">INDEX(auto_tblSeries,$B268,D$11)</f>
        <v>#REF!</v>
      </c>
      <c r="E268" t="e" cm="1">
        <f t="array" ref="E268">INDEX(auto_tblSeries,$B268,E$11)</f>
        <v>#REF!</v>
      </c>
      <c r="F268" t="e" cm="1">
        <f t="array" ref="F268">INDEX(auto_tblSeries,$B268,F$11)</f>
        <v>#REF!</v>
      </c>
      <c r="G268" t="e" cm="1">
        <f t="array" ref="G268">INDEX(auto_tblSeries,$B268,G$11)</f>
        <v>#REF!</v>
      </c>
      <c r="H268" t="e" cm="1">
        <f t="array" ref="H268">INDEX(auto_tblSeries,$B268,H$11)</f>
        <v>#REF!</v>
      </c>
      <c r="I268" t="e">
        <f t="shared" si="70"/>
        <v>#REF!</v>
      </c>
      <c r="K268" t="e" cm="1">
        <f t="array" ref="K268">INDEX(auto_DataFlat_Score,$I268,K$10)</f>
        <v>#REF!</v>
      </c>
      <c r="L268" t="e" cm="1">
        <f t="array" ref="L268">INDEX(auto_DataFlat_Rank,$I268,L$10)</f>
        <v>#REF!</v>
      </c>
      <c r="M268" t="e" cm="1">
        <f t="array" ref="M268">INDEX(auto_DataFlat_DataValue,$I268,M$10)</f>
        <v>#REF!</v>
      </c>
      <c r="N268" t="e" cm="1">
        <f t="array" ref="N268">INDEX(auto_DataFlat_Classification,$I268,M$10)</f>
        <v>#REF!</v>
      </c>
      <c r="O268" t="e" cm="1">
        <f t="array" ref="O268">INDEX(auto_DataFlat_IsEstimate,$I268,O$10)</f>
        <v>#REF!</v>
      </c>
      <c r="P268" t="e" cm="1">
        <f t="array" ref="P268">IF(INDEX(auto_DataFlat_DataYear,$I268,P$10)=0,"n/a",INDEX(auto_DataFlat_DataYear,$I268,P$10))</f>
        <v>#REF!</v>
      </c>
      <c r="R268" t="e">
        <f t="shared" ref="R268:R292" si="209">MATCH(CONCATENATE(R$11,"_",$C268),auto_DataFlat_UID,0)</f>
        <v>#REF!</v>
      </c>
      <c r="S268" t="e" cm="1">
        <f t="array" ref="S268">INDEX(auto_DataFlat_Score,$R268,S$10)</f>
        <v>#REF!</v>
      </c>
      <c r="U268" t="str">
        <f t="shared" si="165"/>
        <v>n/a</v>
      </c>
      <c r="V268">
        <f t="shared" si="166"/>
        <v>1</v>
      </c>
      <c r="W268" t="e">
        <f t="shared" si="167"/>
        <v>#REF!</v>
      </c>
      <c r="X268" t="e">
        <f t="shared" ca="1" si="204"/>
        <v>#N/A</v>
      </c>
      <c r="Y268" t="e">
        <f t="shared" ca="1" si="204"/>
        <v>#N/A</v>
      </c>
      <c r="Z268" t="e">
        <f t="shared" ca="1" si="204"/>
        <v>#N/A</v>
      </c>
      <c r="AB268">
        <f t="shared" ca="1" si="207"/>
        <v>0</v>
      </c>
      <c r="AC268">
        <f t="shared" ca="1" si="207"/>
        <v>0</v>
      </c>
      <c r="AD268">
        <f t="shared" ca="1" si="207"/>
        <v>0</v>
      </c>
      <c r="AF268" t="e">
        <f t="shared" si="169"/>
        <v>#REF!</v>
      </c>
      <c r="AG268" t="e">
        <f t="shared" ca="1" si="205"/>
        <v>#N/A</v>
      </c>
      <c r="AH268" t="e">
        <f t="shared" ca="1" si="205"/>
        <v>#N/A</v>
      </c>
      <c r="AI268" t="e">
        <f t="shared" ca="1" si="205"/>
        <v>#N/A</v>
      </c>
      <c r="AJ268" t="e">
        <f t="shared" ca="1" si="205"/>
        <v>#N/A</v>
      </c>
      <c r="AK268" t="e">
        <f t="shared" ca="1" si="205"/>
        <v>#N/A</v>
      </c>
      <c r="AL268" t="e">
        <f t="shared" ca="1" si="205"/>
        <v>#N/A</v>
      </c>
      <c r="AM268" t="e">
        <f t="shared" ca="1" si="205"/>
        <v>#N/A</v>
      </c>
      <c r="AN268">
        <f t="shared" ca="1" si="171"/>
        <v>0</v>
      </c>
      <c r="AO268">
        <f t="shared" ca="1" si="172"/>
        <v>0</v>
      </c>
      <c r="AP268">
        <f t="shared" ca="1" si="173"/>
        <v>0</v>
      </c>
      <c r="AQ268">
        <f t="shared" ca="1" si="174"/>
        <v>0</v>
      </c>
      <c r="AR268">
        <f t="shared" ca="1" si="175"/>
        <v>0</v>
      </c>
      <c r="AS268">
        <f t="shared" ca="1" si="176"/>
        <v>0</v>
      </c>
      <c r="AT268">
        <f t="shared" ca="1" si="177"/>
        <v>0</v>
      </c>
      <c r="AV268" t="e">
        <f t="shared" si="206"/>
        <v>#REF!</v>
      </c>
      <c r="AW268" t="e" cm="1">
        <f t="array" ref="AW268">INDEX(auto_DataFlat_Score,$AV268,1)</f>
        <v>#REF!</v>
      </c>
      <c r="AX268" t="e" cm="1">
        <f t="array" ref="AX268">INDEX(auto_DataFlat_DataValue,$AV268,1)</f>
        <v>#REF!</v>
      </c>
      <c r="BA268" t="str">
        <f t="shared" si="178"/>
        <v>n/a</v>
      </c>
      <c r="BB268">
        <f t="shared" si="179"/>
        <v>1</v>
      </c>
      <c r="BC268" t="e">
        <f t="shared" si="180"/>
        <v>#REF!</v>
      </c>
      <c r="BD268" t="e">
        <f t="shared" ref="BD268:BF283" ca="1" si="210">BD267+MATCH(BD$10,OFFSET($BC$12,BD267,0,200,1),0)</f>
        <v>#N/A</v>
      </c>
      <c r="BE268" t="e">
        <f t="shared" ca="1" si="210"/>
        <v>#N/A</v>
      </c>
      <c r="BF268" t="e">
        <f t="shared" ca="1" si="210"/>
        <v>#N/A</v>
      </c>
      <c r="BH268">
        <f t="shared" ca="1" si="208"/>
        <v>0</v>
      </c>
      <c r="BI268">
        <f t="shared" ca="1" si="208"/>
        <v>0</v>
      </c>
      <c r="BJ268">
        <f t="shared" ca="1" si="208"/>
        <v>0</v>
      </c>
      <c r="BM268" t="e">
        <f t="shared" si="181"/>
        <v>#REF!</v>
      </c>
      <c r="BN268" t="e">
        <f t="shared" ca="1" si="182"/>
        <v>#N/A</v>
      </c>
      <c r="BO268" t="e">
        <f t="shared" ca="1" si="183"/>
        <v>#N/A</v>
      </c>
      <c r="BP268" t="e">
        <f t="shared" ca="1" si="184"/>
        <v>#N/A</v>
      </c>
      <c r="BQ268" t="e">
        <f t="shared" ca="1" si="185"/>
        <v>#N/A</v>
      </c>
      <c r="BR268" t="e">
        <f t="shared" ca="1" si="186"/>
        <v>#N/A</v>
      </c>
      <c r="BS268" t="e">
        <f t="shared" ca="1" si="187"/>
        <v>#N/A</v>
      </c>
      <c r="BT268" t="e">
        <f t="shared" ca="1" si="188"/>
        <v>#N/A</v>
      </c>
      <c r="BU268">
        <f t="shared" ca="1" si="189"/>
        <v>0</v>
      </c>
      <c r="BV268">
        <f t="shared" ca="1" si="190"/>
        <v>0</v>
      </c>
      <c r="BW268">
        <f t="shared" ca="1" si="191"/>
        <v>0</v>
      </c>
      <c r="BX268">
        <f t="shared" ca="1" si="192"/>
        <v>0</v>
      </c>
      <c r="BY268">
        <f t="shared" ca="1" si="193"/>
        <v>0</v>
      </c>
      <c r="BZ268">
        <f t="shared" ref="BZ268:BZ292" ca="1" si="211">IFERROR(BS268,0)</f>
        <v>0</v>
      </c>
      <c r="CA268">
        <f t="shared" ref="CA268:CA292" ca="1" si="212">IFERROR(BT268,0)</f>
        <v>0</v>
      </c>
    </row>
    <row r="269" spans="1:79" x14ac:dyDescent="0.4">
      <c r="A269" t="str">
        <f t="shared" si="197"/>
        <v>X</v>
      </c>
      <c r="B269">
        <v>258</v>
      </c>
      <c r="C269" t="e" cm="1">
        <f t="array" ref="C269">INDEX(auto_Series_Code,B269)</f>
        <v>#REF!</v>
      </c>
      <c r="D269" t="e" cm="1">
        <f t="array" ref="D269">INDEX(auto_tblSeries,$B269,D$11)</f>
        <v>#REF!</v>
      </c>
      <c r="E269" t="e" cm="1">
        <f t="array" ref="E269">INDEX(auto_tblSeries,$B269,E$11)</f>
        <v>#REF!</v>
      </c>
      <c r="F269" t="e" cm="1">
        <f t="array" ref="F269">INDEX(auto_tblSeries,$B269,F$11)</f>
        <v>#REF!</v>
      </c>
      <c r="G269" t="e" cm="1">
        <f t="array" ref="G269">INDEX(auto_tblSeries,$B269,G$11)</f>
        <v>#REF!</v>
      </c>
      <c r="H269" t="e" cm="1">
        <f t="array" ref="H269">INDEX(auto_tblSeries,$B269,H$11)</f>
        <v>#REF!</v>
      </c>
      <c r="I269" t="e">
        <f t="shared" si="70"/>
        <v>#REF!</v>
      </c>
      <c r="K269" t="e" cm="1">
        <f t="array" ref="K269">INDEX(auto_DataFlat_Score,$I269,K$10)</f>
        <v>#REF!</v>
      </c>
      <c r="L269" t="e" cm="1">
        <f t="array" ref="L269">INDEX(auto_DataFlat_Rank,$I269,L$10)</f>
        <v>#REF!</v>
      </c>
      <c r="M269" t="e" cm="1">
        <f t="array" ref="M269">INDEX(auto_DataFlat_DataValue,$I269,M$10)</f>
        <v>#REF!</v>
      </c>
      <c r="N269" t="e" cm="1">
        <f t="array" ref="N269">INDEX(auto_DataFlat_Classification,$I269,M$10)</f>
        <v>#REF!</v>
      </c>
      <c r="O269" t="e" cm="1">
        <f t="array" ref="O269">INDEX(auto_DataFlat_IsEstimate,$I269,O$10)</f>
        <v>#REF!</v>
      </c>
      <c r="P269" t="e" cm="1">
        <f t="array" ref="P269">IF(INDEX(auto_DataFlat_DataYear,$I269,P$10)=0,"n/a",INDEX(auto_DataFlat_DataYear,$I269,P$10))</f>
        <v>#REF!</v>
      </c>
      <c r="R269" t="e">
        <f t="shared" si="209"/>
        <v>#REF!</v>
      </c>
      <c r="S269" t="e" cm="1">
        <f t="array" ref="S269">INDEX(auto_DataFlat_Score,$R269,S$10)</f>
        <v>#REF!</v>
      </c>
      <c r="U269" t="str">
        <f t="shared" ref="U269:U292" si="213">IFERROR(K269-S269,"n/a")</f>
        <v>n/a</v>
      </c>
      <c r="V269">
        <f t="shared" ref="V269:V292" si="214">IFERROR(IF(U269&gt;0,1,IF(U269=0,2,IF(U269&lt;0,3,"???"))),"n/a")</f>
        <v>1</v>
      </c>
      <c r="W269" t="e">
        <f t="shared" ref="W269:W292" si="215">IF(OR($D269&lt;&gt;$W$7,$E269=1),-1,V269)</f>
        <v>#REF!</v>
      </c>
      <c r="X269" t="e">
        <f t="shared" ref="X269:Z284" ca="1" si="216">X268+MATCH(X$10,OFFSET($W$12,X268,0,300,1),0)</f>
        <v>#N/A</v>
      </c>
      <c r="Y269" t="e">
        <f t="shared" ca="1" si="216"/>
        <v>#N/A</v>
      </c>
      <c r="Z269" t="e">
        <f t="shared" ca="1" si="216"/>
        <v>#N/A</v>
      </c>
      <c r="AB269">
        <f t="shared" ca="1" si="207"/>
        <v>0</v>
      </c>
      <c r="AC269">
        <f t="shared" ca="1" si="207"/>
        <v>0</v>
      </c>
      <c r="AD269">
        <f t="shared" ca="1" si="207"/>
        <v>0</v>
      </c>
      <c r="AF269" t="e">
        <f t="shared" ref="AF269:AF292" si="217">IF(OR($D269&lt;&gt;$AG$7,$E269=1),-1,N269)</f>
        <v>#REF!</v>
      </c>
      <c r="AG269" t="e">
        <f t="shared" ref="AG269:AM284" ca="1" si="218">IFERROR(AG268+MATCH(AG$10,OFFSET($AF$12,AG268,0,300-AG268,1),0),NA())</f>
        <v>#N/A</v>
      </c>
      <c r="AH269" t="e">
        <f t="shared" ca="1" si="218"/>
        <v>#N/A</v>
      </c>
      <c r="AI269" t="e">
        <f t="shared" ca="1" si="218"/>
        <v>#N/A</v>
      </c>
      <c r="AJ269" t="e">
        <f t="shared" ca="1" si="218"/>
        <v>#N/A</v>
      </c>
      <c r="AK269" t="e">
        <f t="shared" ca="1" si="218"/>
        <v>#N/A</v>
      </c>
      <c r="AL269" t="e">
        <f t="shared" ca="1" si="218"/>
        <v>#N/A</v>
      </c>
      <c r="AM269" t="e">
        <f t="shared" ca="1" si="218"/>
        <v>#N/A</v>
      </c>
      <c r="AN269">
        <f t="shared" ref="AN269:AN292" ca="1" si="219">IFERROR(AG269,0)</f>
        <v>0</v>
      </c>
      <c r="AO269">
        <f t="shared" ref="AO269:AO292" ca="1" si="220">IFERROR(AH269,0)</f>
        <v>0</v>
      </c>
      <c r="AP269">
        <f t="shared" ref="AP269:AP292" ca="1" si="221">IFERROR(AI269,0)</f>
        <v>0</v>
      </c>
      <c r="AQ269">
        <f t="shared" ref="AQ269:AQ292" ca="1" si="222">IFERROR(AJ269,0)</f>
        <v>0</v>
      </c>
      <c r="AR269">
        <f t="shared" ref="AR269:AR292" ca="1" si="223">IFERROR(AK269,0)</f>
        <v>0</v>
      </c>
      <c r="AS269">
        <f t="shared" ref="AS269:AS292" ca="1" si="224">IFERROR(AL269,0)</f>
        <v>0</v>
      </c>
      <c r="AT269">
        <f t="shared" ref="AT269:AT292" ca="1" si="225">IFERROR(AM269,0)</f>
        <v>0</v>
      </c>
      <c r="AV269" t="e">
        <f t="shared" si="206"/>
        <v>#REF!</v>
      </c>
      <c r="AW269" t="e" cm="1">
        <f t="array" ref="AW269">INDEX(auto_DataFlat_Score,$AV269,1)</f>
        <v>#REF!</v>
      </c>
      <c r="AX269" t="e" cm="1">
        <f t="array" ref="AX269">INDEX(auto_DataFlat_DataValue,$AV269,1)</f>
        <v>#REF!</v>
      </c>
      <c r="BA269" t="str">
        <f t="shared" ref="BA269:BA292" si="226">IFERROR(K269-AW269,"n/a")</f>
        <v>n/a</v>
      </c>
      <c r="BB269">
        <f t="shared" ref="BB269:BB292" si="227">IFERROR(IF(BA269&gt;0,1,IF(BA269=0,2,IF(BA269&lt;0,3,"???"))),"n/a")</f>
        <v>1</v>
      </c>
      <c r="BC269" t="e">
        <f t="shared" ref="BC269:BC292" si="228">IF(OR($D269&lt;&gt;3,$E269=1),-1,BB269)</f>
        <v>#REF!</v>
      </c>
      <c r="BD269" t="e">
        <f t="shared" ca="1" si="210"/>
        <v>#N/A</v>
      </c>
      <c r="BE269" t="e">
        <f t="shared" ca="1" si="210"/>
        <v>#N/A</v>
      </c>
      <c r="BF269" t="e">
        <f t="shared" ca="1" si="210"/>
        <v>#N/A</v>
      </c>
      <c r="BH269">
        <f t="shared" ca="1" si="208"/>
        <v>0</v>
      </c>
      <c r="BI269">
        <f t="shared" ca="1" si="208"/>
        <v>0</v>
      </c>
      <c r="BJ269">
        <f t="shared" ca="1" si="208"/>
        <v>0</v>
      </c>
      <c r="BM269" t="e">
        <f t="shared" ref="BM269:BM292" si="229">IF(OR($D269&lt;&gt;$BN$7,$E269=1),-1,N269)</f>
        <v>#REF!</v>
      </c>
      <c r="BN269" t="e">
        <f t="shared" ref="BN269:BN292" ca="1" si="230">IFERROR(BN268+MATCH(BN$10,OFFSET($BM$12,BN268,0,300-BN268,1),0),NA())</f>
        <v>#N/A</v>
      </c>
      <c r="BO269" t="e">
        <f t="shared" ref="BO269:BO292" ca="1" si="231">IFERROR(BO268+MATCH(BO$10,OFFSET($BM$12,BO268,0,300-BO268,1),0),NA())</f>
        <v>#N/A</v>
      </c>
      <c r="BP269" t="e">
        <f t="shared" ref="BP269:BP292" ca="1" si="232">IFERROR(BP268+MATCH(BP$10,OFFSET($BM$12,BP268,0,300-BP268,1),0),NA())</f>
        <v>#N/A</v>
      </c>
      <c r="BQ269" t="e">
        <f t="shared" ref="BQ269:BQ292" ca="1" si="233">IFERROR(BQ268+MATCH(BQ$10,OFFSET($BM$12,BQ268,0,300-BQ268,1),0),NA())</f>
        <v>#N/A</v>
      </c>
      <c r="BR269" t="e">
        <f t="shared" ref="BR269:BR292" ca="1" si="234">IFERROR(BR268+MATCH(BR$10,OFFSET($BM$12,BR268,0,300-BR268,1),0),NA())</f>
        <v>#N/A</v>
      </c>
      <c r="BS269" t="e">
        <f t="shared" ref="BS269:BS292" ca="1" si="235">IFERROR(BS268+MATCH(BS$10,OFFSET($BM$12,BS268,0,300-BS268,1),0),NA())</f>
        <v>#N/A</v>
      </c>
      <c r="BT269" t="e">
        <f t="shared" ref="BT269:BT292" ca="1" si="236">IFERROR(BT268+MATCH(BT$10,OFFSET($BM$12,BT268,0,300-BT268,1),0),NA())</f>
        <v>#N/A</v>
      </c>
      <c r="BU269">
        <f t="shared" ref="BU269:BU292" ca="1" si="237">IFERROR(BN269,0)</f>
        <v>0</v>
      </c>
      <c r="BV269">
        <f t="shared" ref="BV269:BV292" ca="1" si="238">IFERROR(BO269,0)</f>
        <v>0</v>
      </c>
      <c r="BW269">
        <f t="shared" ref="BW269:BW292" ca="1" si="239">IFERROR(BP269,0)</f>
        <v>0</v>
      </c>
      <c r="BX269">
        <f t="shared" ref="BX269:BX292" ca="1" si="240">IFERROR(BQ269,0)</f>
        <v>0</v>
      </c>
      <c r="BY269">
        <f t="shared" ref="BY269:BY292" ca="1" si="241">IFERROR(BR269,0)</f>
        <v>0</v>
      </c>
      <c r="BZ269">
        <f t="shared" ca="1" si="211"/>
        <v>0</v>
      </c>
      <c r="CA269">
        <f t="shared" ca="1" si="212"/>
        <v>0</v>
      </c>
    </row>
    <row r="270" spans="1:79" x14ac:dyDescent="0.4">
      <c r="A270" t="str">
        <f t="shared" si="197"/>
        <v>X</v>
      </c>
      <c r="B270">
        <v>259</v>
      </c>
      <c r="C270" t="e" cm="1">
        <f t="array" ref="C270">INDEX(auto_Series_Code,B270)</f>
        <v>#REF!</v>
      </c>
      <c r="D270" t="e" cm="1">
        <f t="array" ref="D270">INDEX(auto_tblSeries,$B270,D$11)</f>
        <v>#REF!</v>
      </c>
      <c r="E270" t="e" cm="1">
        <f t="array" ref="E270">INDEX(auto_tblSeries,$B270,E$11)</f>
        <v>#REF!</v>
      </c>
      <c r="F270" t="e" cm="1">
        <f t="array" ref="F270">INDEX(auto_tblSeries,$B270,F$11)</f>
        <v>#REF!</v>
      </c>
      <c r="G270" t="e" cm="1">
        <f t="array" ref="G270">INDEX(auto_tblSeries,$B270,G$11)</f>
        <v>#REF!</v>
      </c>
      <c r="H270" t="e" cm="1">
        <f t="array" ref="H270">INDEX(auto_tblSeries,$B270,H$11)</f>
        <v>#REF!</v>
      </c>
      <c r="I270" t="e">
        <f t="shared" si="70"/>
        <v>#REF!</v>
      </c>
      <c r="K270" t="e" cm="1">
        <f t="array" ref="K270">INDEX(auto_DataFlat_Score,$I270,K$10)</f>
        <v>#REF!</v>
      </c>
      <c r="L270" t="e" cm="1">
        <f t="array" ref="L270">INDEX(auto_DataFlat_Rank,$I270,L$10)</f>
        <v>#REF!</v>
      </c>
      <c r="M270" t="e" cm="1">
        <f t="array" ref="M270">INDEX(auto_DataFlat_DataValue,$I270,M$10)</f>
        <v>#REF!</v>
      </c>
      <c r="N270" t="e" cm="1">
        <f t="array" ref="N270">INDEX(auto_DataFlat_Classification,$I270,M$10)</f>
        <v>#REF!</v>
      </c>
      <c r="O270" t="e" cm="1">
        <f t="array" ref="O270">INDEX(auto_DataFlat_IsEstimate,$I270,O$10)</f>
        <v>#REF!</v>
      </c>
      <c r="P270" t="e" cm="1">
        <f t="array" ref="P270">IF(INDEX(auto_DataFlat_DataYear,$I270,P$10)=0,"n/a",INDEX(auto_DataFlat_DataYear,$I270,P$10))</f>
        <v>#REF!</v>
      </c>
      <c r="R270" t="e">
        <f t="shared" si="209"/>
        <v>#REF!</v>
      </c>
      <c r="S270" t="e" cm="1">
        <f t="array" ref="S270">INDEX(auto_DataFlat_Score,$R270,S$10)</f>
        <v>#REF!</v>
      </c>
      <c r="U270" t="str">
        <f t="shared" si="213"/>
        <v>n/a</v>
      </c>
      <c r="V270">
        <f t="shared" si="214"/>
        <v>1</v>
      </c>
      <c r="W270" t="e">
        <f t="shared" si="215"/>
        <v>#REF!</v>
      </c>
      <c r="X270" t="e">
        <f t="shared" ca="1" si="216"/>
        <v>#N/A</v>
      </c>
      <c r="Y270" t="e">
        <f t="shared" ca="1" si="216"/>
        <v>#N/A</v>
      </c>
      <c r="Z270" t="e">
        <f t="shared" ca="1" si="216"/>
        <v>#N/A</v>
      </c>
      <c r="AB270">
        <f t="shared" ca="1" si="207"/>
        <v>0</v>
      </c>
      <c r="AC270">
        <f t="shared" ca="1" si="207"/>
        <v>0</v>
      </c>
      <c r="AD270">
        <f t="shared" ca="1" si="207"/>
        <v>0</v>
      </c>
      <c r="AF270" t="e">
        <f t="shared" si="217"/>
        <v>#REF!</v>
      </c>
      <c r="AG270" t="e">
        <f t="shared" ca="1" si="218"/>
        <v>#N/A</v>
      </c>
      <c r="AH270" t="e">
        <f t="shared" ca="1" si="218"/>
        <v>#N/A</v>
      </c>
      <c r="AI270" t="e">
        <f t="shared" ca="1" si="218"/>
        <v>#N/A</v>
      </c>
      <c r="AJ270" t="e">
        <f t="shared" ca="1" si="218"/>
        <v>#N/A</v>
      </c>
      <c r="AK270" t="e">
        <f t="shared" ca="1" si="218"/>
        <v>#N/A</v>
      </c>
      <c r="AL270" t="e">
        <f t="shared" ca="1" si="218"/>
        <v>#N/A</v>
      </c>
      <c r="AM270" t="e">
        <f t="shared" ca="1" si="218"/>
        <v>#N/A</v>
      </c>
      <c r="AN270">
        <f t="shared" ca="1" si="219"/>
        <v>0</v>
      </c>
      <c r="AO270">
        <f t="shared" ca="1" si="220"/>
        <v>0</v>
      </c>
      <c r="AP270">
        <f t="shared" ca="1" si="221"/>
        <v>0</v>
      </c>
      <c r="AQ270">
        <f t="shared" ca="1" si="222"/>
        <v>0</v>
      </c>
      <c r="AR270">
        <f t="shared" ca="1" si="223"/>
        <v>0</v>
      </c>
      <c r="AS270">
        <f t="shared" ca="1" si="224"/>
        <v>0</v>
      </c>
      <c r="AT270">
        <f t="shared" ca="1" si="225"/>
        <v>0</v>
      </c>
      <c r="AV270" t="e">
        <f t="shared" si="206"/>
        <v>#REF!</v>
      </c>
      <c r="AW270" t="e" cm="1">
        <f t="array" ref="AW270">INDEX(auto_DataFlat_Score,$AV270,1)</f>
        <v>#REF!</v>
      </c>
      <c r="AX270" t="e" cm="1">
        <f t="array" ref="AX270">INDEX(auto_DataFlat_DataValue,$AV270,1)</f>
        <v>#REF!</v>
      </c>
      <c r="BA270" t="str">
        <f t="shared" si="226"/>
        <v>n/a</v>
      </c>
      <c r="BB270">
        <f t="shared" si="227"/>
        <v>1</v>
      </c>
      <c r="BC270" t="e">
        <f t="shared" si="228"/>
        <v>#REF!</v>
      </c>
      <c r="BD270" t="e">
        <f t="shared" ca="1" si="210"/>
        <v>#N/A</v>
      </c>
      <c r="BE270" t="e">
        <f t="shared" ca="1" si="210"/>
        <v>#N/A</v>
      </c>
      <c r="BF270" t="e">
        <f t="shared" ca="1" si="210"/>
        <v>#N/A</v>
      </c>
      <c r="BH270">
        <f t="shared" ca="1" si="208"/>
        <v>0</v>
      </c>
      <c r="BI270">
        <f t="shared" ca="1" si="208"/>
        <v>0</v>
      </c>
      <c r="BJ270">
        <f t="shared" ca="1" si="208"/>
        <v>0</v>
      </c>
      <c r="BM270" t="e">
        <f t="shared" si="229"/>
        <v>#REF!</v>
      </c>
      <c r="BN270" t="e">
        <f t="shared" ca="1" si="230"/>
        <v>#N/A</v>
      </c>
      <c r="BO270" t="e">
        <f t="shared" ca="1" si="231"/>
        <v>#N/A</v>
      </c>
      <c r="BP270" t="e">
        <f t="shared" ca="1" si="232"/>
        <v>#N/A</v>
      </c>
      <c r="BQ270" t="e">
        <f t="shared" ca="1" si="233"/>
        <v>#N/A</v>
      </c>
      <c r="BR270" t="e">
        <f t="shared" ca="1" si="234"/>
        <v>#N/A</v>
      </c>
      <c r="BS270" t="e">
        <f t="shared" ca="1" si="235"/>
        <v>#N/A</v>
      </c>
      <c r="BT270" t="e">
        <f t="shared" ca="1" si="236"/>
        <v>#N/A</v>
      </c>
      <c r="BU270">
        <f t="shared" ca="1" si="237"/>
        <v>0</v>
      </c>
      <c r="BV270">
        <f t="shared" ca="1" si="238"/>
        <v>0</v>
      </c>
      <c r="BW270">
        <f t="shared" ca="1" si="239"/>
        <v>0</v>
      </c>
      <c r="BX270">
        <f t="shared" ca="1" si="240"/>
        <v>0</v>
      </c>
      <c r="BY270">
        <f t="shared" ca="1" si="241"/>
        <v>0</v>
      </c>
      <c r="BZ270">
        <f t="shared" ca="1" si="211"/>
        <v>0</v>
      </c>
      <c r="CA270">
        <f t="shared" ca="1" si="212"/>
        <v>0</v>
      </c>
    </row>
    <row r="271" spans="1:79" x14ac:dyDescent="0.4">
      <c r="A271" t="str">
        <f t="shared" si="197"/>
        <v>X</v>
      </c>
      <c r="B271">
        <v>260</v>
      </c>
      <c r="C271" t="e" cm="1">
        <f t="array" ref="C271">INDEX(auto_Series_Code,B271)</f>
        <v>#REF!</v>
      </c>
      <c r="D271" t="e" cm="1">
        <f t="array" ref="D271">INDEX(auto_tblSeries,$B271,D$11)</f>
        <v>#REF!</v>
      </c>
      <c r="E271" t="e" cm="1">
        <f t="array" ref="E271">INDEX(auto_tblSeries,$B271,E$11)</f>
        <v>#REF!</v>
      </c>
      <c r="F271" t="e" cm="1">
        <f t="array" ref="F271">INDEX(auto_tblSeries,$B271,F$11)</f>
        <v>#REF!</v>
      </c>
      <c r="G271" t="e" cm="1">
        <f t="array" ref="G271">INDEX(auto_tblSeries,$B271,G$11)</f>
        <v>#REF!</v>
      </c>
      <c r="H271" t="e" cm="1">
        <f t="array" ref="H271">INDEX(auto_tblSeries,$B271,H$11)</f>
        <v>#REF!</v>
      </c>
      <c r="I271" t="e">
        <f t="shared" si="70"/>
        <v>#REF!</v>
      </c>
      <c r="K271" t="e" cm="1">
        <f t="array" ref="K271">INDEX(auto_DataFlat_Score,$I271,K$10)</f>
        <v>#REF!</v>
      </c>
      <c r="L271" t="e" cm="1">
        <f t="array" ref="L271">INDEX(auto_DataFlat_Rank,$I271,L$10)</f>
        <v>#REF!</v>
      </c>
      <c r="M271" t="e" cm="1">
        <f t="array" ref="M271">INDEX(auto_DataFlat_DataValue,$I271,M$10)</f>
        <v>#REF!</v>
      </c>
      <c r="N271" t="e" cm="1">
        <f t="array" ref="N271">INDEX(auto_DataFlat_Classification,$I271,M$10)</f>
        <v>#REF!</v>
      </c>
      <c r="O271" t="e" cm="1">
        <f t="array" ref="O271">INDEX(auto_DataFlat_IsEstimate,$I271,O$10)</f>
        <v>#REF!</v>
      </c>
      <c r="P271" t="e" cm="1">
        <f t="array" ref="P271">IF(INDEX(auto_DataFlat_DataYear,$I271,P$10)=0,"n/a",INDEX(auto_DataFlat_DataYear,$I271,P$10))</f>
        <v>#REF!</v>
      </c>
      <c r="R271" t="e">
        <f t="shared" si="209"/>
        <v>#REF!</v>
      </c>
      <c r="S271" t="e" cm="1">
        <f t="array" ref="S271">INDEX(auto_DataFlat_Score,$R271,S$10)</f>
        <v>#REF!</v>
      </c>
      <c r="U271" t="str">
        <f t="shared" si="213"/>
        <v>n/a</v>
      </c>
      <c r="V271">
        <f t="shared" si="214"/>
        <v>1</v>
      </c>
      <c r="W271" t="e">
        <f t="shared" si="215"/>
        <v>#REF!</v>
      </c>
      <c r="X271" t="e">
        <f t="shared" ca="1" si="216"/>
        <v>#N/A</v>
      </c>
      <c r="Y271" t="e">
        <f t="shared" ca="1" si="216"/>
        <v>#N/A</v>
      </c>
      <c r="Z271" t="e">
        <f t="shared" ca="1" si="216"/>
        <v>#N/A</v>
      </c>
      <c r="AB271">
        <f t="shared" ca="1" si="207"/>
        <v>0</v>
      </c>
      <c r="AC271">
        <f t="shared" ca="1" si="207"/>
        <v>0</v>
      </c>
      <c r="AD271">
        <f t="shared" ca="1" si="207"/>
        <v>0</v>
      </c>
      <c r="AF271" t="e">
        <f t="shared" si="217"/>
        <v>#REF!</v>
      </c>
      <c r="AG271" t="e">
        <f t="shared" ca="1" si="218"/>
        <v>#N/A</v>
      </c>
      <c r="AH271" t="e">
        <f t="shared" ca="1" si="218"/>
        <v>#N/A</v>
      </c>
      <c r="AI271" t="e">
        <f t="shared" ca="1" si="218"/>
        <v>#N/A</v>
      </c>
      <c r="AJ271" t="e">
        <f t="shared" ca="1" si="218"/>
        <v>#N/A</v>
      </c>
      <c r="AK271" t="e">
        <f t="shared" ca="1" si="218"/>
        <v>#N/A</v>
      </c>
      <c r="AL271" t="e">
        <f t="shared" ca="1" si="218"/>
        <v>#N/A</v>
      </c>
      <c r="AM271" t="e">
        <f t="shared" ca="1" si="218"/>
        <v>#N/A</v>
      </c>
      <c r="AN271">
        <f t="shared" ca="1" si="219"/>
        <v>0</v>
      </c>
      <c r="AO271">
        <f t="shared" ca="1" si="220"/>
        <v>0</v>
      </c>
      <c r="AP271">
        <f t="shared" ca="1" si="221"/>
        <v>0</v>
      </c>
      <c r="AQ271">
        <f t="shared" ca="1" si="222"/>
        <v>0</v>
      </c>
      <c r="AR271">
        <f t="shared" ca="1" si="223"/>
        <v>0</v>
      </c>
      <c r="AS271">
        <f t="shared" ca="1" si="224"/>
        <v>0</v>
      </c>
      <c r="AT271">
        <f t="shared" ca="1" si="225"/>
        <v>0</v>
      </c>
      <c r="AV271" t="e">
        <f t="shared" si="206"/>
        <v>#REF!</v>
      </c>
      <c r="AW271" t="e" cm="1">
        <f t="array" ref="AW271">INDEX(auto_DataFlat_Score,$AV271,1)</f>
        <v>#REF!</v>
      </c>
      <c r="AX271" t="e" cm="1">
        <f t="array" ref="AX271">INDEX(auto_DataFlat_DataValue,$AV271,1)</f>
        <v>#REF!</v>
      </c>
      <c r="BA271" t="str">
        <f t="shared" si="226"/>
        <v>n/a</v>
      </c>
      <c r="BB271">
        <f t="shared" si="227"/>
        <v>1</v>
      </c>
      <c r="BC271" t="e">
        <f t="shared" si="228"/>
        <v>#REF!</v>
      </c>
      <c r="BD271" t="e">
        <f t="shared" ca="1" si="210"/>
        <v>#N/A</v>
      </c>
      <c r="BE271" t="e">
        <f t="shared" ca="1" si="210"/>
        <v>#N/A</v>
      </c>
      <c r="BF271" t="e">
        <f t="shared" ca="1" si="210"/>
        <v>#N/A</v>
      </c>
      <c r="BH271">
        <f t="shared" ca="1" si="208"/>
        <v>0</v>
      </c>
      <c r="BI271">
        <f t="shared" ca="1" si="208"/>
        <v>0</v>
      </c>
      <c r="BJ271">
        <f t="shared" ca="1" si="208"/>
        <v>0</v>
      </c>
      <c r="BM271" t="e">
        <f t="shared" si="229"/>
        <v>#REF!</v>
      </c>
      <c r="BN271" t="e">
        <f t="shared" ca="1" si="230"/>
        <v>#N/A</v>
      </c>
      <c r="BO271" t="e">
        <f t="shared" ca="1" si="231"/>
        <v>#N/A</v>
      </c>
      <c r="BP271" t="e">
        <f t="shared" ca="1" si="232"/>
        <v>#N/A</v>
      </c>
      <c r="BQ271" t="e">
        <f t="shared" ca="1" si="233"/>
        <v>#N/A</v>
      </c>
      <c r="BR271" t="e">
        <f t="shared" ca="1" si="234"/>
        <v>#N/A</v>
      </c>
      <c r="BS271" t="e">
        <f t="shared" ca="1" si="235"/>
        <v>#N/A</v>
      </c>
      <c r="BT271" t="e">
        <f t="shared" ca="1" si="236"/>
        <v>#N/A</v>
      </c>
      <c r="BU271">
        <f t="shared" ca="1" si="237"/>
        <v>0</v>
      </c>
      <c r="BV271">
        <f t="shared" ca="1" si="238"/>
        <v>0</v>
      </c>
      <c r="BW271">
        <f t="shared" ca="1" si="239"/>
        <v>0</v>
      </c>
      <c r="BX271">
        <f t="shared" ca="1" si="240"/>
        <v>0</v>
      </c>
      <c r="BY271">
        <f t="shared" ca="1" si="241"/>
        <v>0</v>
      </c>
      <c r="BZ271">
        <f t="shared" ca="1" si="211"/>
        <v>0</v>
      </c>
      <c r="CA271">
        <f t="shared" ca="1" si="212"/>
        <v>0</v>
      </c>
    </row>
    <row r="272" spans="1:79" x14ac:dyDescent="0.4">
      <c r="A272" t="str">
        <f t="shared" si="197"/>
        <v>X</v>
      </c>
      <c r="B272">
        <v>261</v>
      </c>
      <c r="C272" t="e" cm="1">
        <f t="array" ref="C272">INDEX(auto_Series_Code,B272)</f>
        <v>#REF!</v>
      </c>
      <c r="D272" t="e" cm="1">
        <f t="array" ref="D272">INDEX(auto_tblSeries,$B272,D$11)</f>
        <v>#REF!</v>
      </c>
      <c r="E272" t="e" cm="1">
        <f t="array" ref="E272">INDEX(auto_tblSeries,$B272,E$11)</f>
        <v>#REF!</v>
      </c>
      <c r="F272" t="e" cm="1">
        <f t="array" ref="F272">INDEX(auto_tblSeries,$B272,F$11)</f>
        <v>#REF!</v>
      </c>
      <c r="G272" t="e" cm="1">
        <f t="array" ref="G272">INDEX(auto_tblSeries,$B272,G$11)</f>
        <v>#REF!</v>
      </c>
      <c r="H272" t="e" cm="1">
        <f t="array" ref="H272">INDEX(auto_tblSeries,$B272,H$11)</f>
        <v>#REF!</v>
      </c>
      <c r="I272" t="e">
        <f t="shared" si="70"/>
        <v>#REF!</v>
      </c>
      <c r="K272" t="e" cm="1">
        <f t="array" ref="K272">INDEX(auto_DataFlat_Score,$I272,K$10)</f>
        <v>#REF!</v>
      </c>
      <c r="L272" t="e" cm="1">
        <f t="array" ref="L272">INDEX(auto_DataFlat_Rank,$I272,L$10)</f>
        <v>#REF!</v>
      </c>
      <c r="M272" t="e" cm="1">
        <f t="array" ref="M272">INDEX(auto_DataFlat_DataValue,$I272,M$10)</f>
        <v>#REF!</v>
      </c>
      <c r="N272" t="e" cm="1">
        <f t="array" ref="N272">INDEX(auto_DataFlat_Classification,$I272,M$10)</f>
        <v>#REF!</v>
      </c>
      <c r="O272" t="e" cm="1">
        <f t="array" ref="O272">INDEX(auto_DataFlat_IsEstimate,$I272,O$10)</f>
        <v>#REF!</v>
      </c>
      <c r="P272" t="e" cm="1">
        <f t="array" ref="P272">IF(INDEX(auto_DataFlat_DataYear,$I272,P$10)=0,"n/a",INDEX(auto_DataFlat_DataYear,$I272,P$10))</f>
        <v>#REF!</v>
      </c>
      <c r="R272" t="e">
        <f t="shared" si="209"/>
        <v>#REF!</v>
      </c>
      <c r="S272" t="e" cm="1">
        <f t="array" ref="S272">INDEX(auto_DataFlat_Score,$R272,S$10)</f>
        <v>#REF!</v>
      </c>
      <c r="U272" t="str">
        <f t="shared" si="213"/>
        <v>n/a</v>
      </c>
      <c r="V272">
        <f t="shared" si="214"/>
        <v>1</v>
      </c>
      <c r="W272" t="e">
        <f t="shared" si="215"/>
        <v>#REF!</v>
      </c>
      <c r="X272" t="e">
        <f t="shared" ca="1" si="216"/>
        <v>#N/A</v>
      </c>
      <c r="Y272" t="e">
        <f t="shared" ca="1" si="216"/>
        <v>#N/A</v>
      </c>
      <c r="Z272" t="e">
        <f t="shared" ca="1" si="216"/>
        <v>#N/A</v>
      </c>
      <c r="AB272">
        <f t="shared" ca="1" si="207"/>
        <v>0</v>
      </c>
      <c r="AC272">
        <f t="shared" ca="1" si="207"/>
        <v>0</v>
      </c>
      <c r="AD272">
        <f t="shared" ca="1" si="207"/>
        <v>0</v>
      </c>
      <c r="AF272" t="e">
        <f t="shared" si="217"/>
        <v>#REF!</v>
      </c>
      <c r="AG272" t="e">
        <f t="shared" ca="1" si="218"/>
        <v>#N/A</v>
      </c>
      <c r="AH272" t="e">
        <f t="shared" ca="1" si="218"/>
        <v>#N/A</v>
      </c>
      <c r="AI272" t="e">
        <f t="shared" ca="1" si="218"/>
        <v>#N/A</v>
      </c>
      <c r="AJ272" t="e">
        <f t="shared" ca="1" si="218"/>
        <v>#N/A</v>
      </c>
      <c r="AK272" t="e">
        <f t="shared" ca="1" si="218"/>
        <v>#N/A</v>
      </c>
      <c r="AL272" t="e">
        <f t="shared" ca="1" si="218"/>
        <v>#N/A</v>
      </c>
      <c r="AM272" t="e">
        <f t="shared" ca="1" si="218"/>
        <v>#N/A</v>
      </c>
      <c r="AN272">
        <f t="shared" ca="1" si="219"/>
        <v>0</v>
      </c>
      <c r="AO272">
        <f t="shared" ca="1" si="220"/>
        <v>0</v>
      </c>
      <c r="AP272">
        <f t="shared" ca="1" si="221"/>
        <v>0</v>
      </c>
      <c r="AQ272">
        <f t="shared" ca="1" si="222"/>
        <v>0</v>
      </c>
      <c r="AR272">
        <f t="shared" ca="1" si="223"/>
        <v>0</v>
      </c>
      <c r="AS272">
        <f t="shared" ca="1" si="224"/>
        <v>0</v>
      </c>
      <c r="AT272">
        <f t="shared" ca="1" si="225"/>
        <v>0</v>
      </c>
      <c r="AV272" t="e">
        <f t="shared" si="206"/>
        <v>#REF!</v>
      </c>
      <c r="AW272" t="e" cm="1">
        <f t="array" ref="AW272">INDEX(auto_DataFlat_Score,$AV272,1)</f>
        <v>#REF!</v>
      </c>
      <c r="AX272" t="e" cm="1">
        <f t="array" ref="AX272">INDEX(auto_DataFlat_DataValue,$AV272,1)</f>
        <v>#REF!</v>
      </c>
      <c r="BA272" t="str">
        <f t="shared" si="226"/>
        <v>n/a</v>
      </c>
      <c r="BB272">
        <f t="shared" si="227"/>
        <v>1</v>
      </c>
      <c r="BC272" t="e">
        <f t="shared" si="228"/>
        <v>#REF!</v>
      </c>
      <c r="BD272" t="e">
        <f t="shared" ca="1" si="210"/>
        <v>#N/A</v>
      </c>
      <c r="BE272" t="e">
        <f t="shared" ca="1" si="210"/>
        <v>#N/A</v>
      </c>
      <c r="BF272" t="e">
        <f t="shared" ca="1" si="210"/>
        <v>#N/A</v>
      </c>
      <c r="BH272">
        <f t="shared" ca="1" si="208"/>
        <v>0</v>
      </c>
      <c r="BI272">
        <f t="shared" ca="1" si="208"/>
        <v>0</v>
      </c>
      <c r="BJ272">
        <f t="shared" ca="1" si="208"/>
        <v>0</v>
      </c>
      <c r="BM272" t="e">
        <f t="shared" si="229"/>
        <v>#REF!</v>
      </c>
      <c r="BN272" t="e">
        <f t="shared" ca="1" si="230"/>
        <v>#N/A</v>
      </c>
      <c r="BO272" t="e">
        <f t="shared" ca="1" si="231"/>
        <v>#N/A</v>
      </c>
      <c r="BP272" t="e">
        <f t="shared" ca="1" si="232"/>
        <v>#N/A</v>
      </c>
      <c r="BQ272" t="e">
        <f t="shared" ca="1" si="233"/>
        <v>#N/A</v>
      </c>
      <c r="BR272" t="e">
        <f t="shared" ca="1" si="234"/>
        <v>#N/A</v>
      </c>
      <c r="BS272" t="e">
        <f t="shared" ca="1" si="235"/>
        <v>#N/A</v>
      </c>
      <c r="BT272" t="e">
        <f t="shared" ca="1" si="236"/>
        <v>#N/A</v>
      </c>
      <c r="BU272">
        <f t="shared" ca="1" si="237"/>
        <v>0</v>
      </c>
      <c r="BV272">
        <f t="shared" ca="1" si="238"/>
        <v>0</v>
      </c>
      <c r="BW272">
        <f t="shared" ca="1" si="239"/>
        <v>0</v>
      </c>
      <c r="BX272">
        <f t="shared" ca="1" si="240"/>
        <v>0</v>
      </c>
      <c r="BY272">
        <f t="shared" ca="1" si="241"/>
        <v>0</v>
      </c>
      <c r="BZ272">
        <f t="shared" ca="1" si="211"/>
        <v>0</v>
      </c>
      <c r="CA272">
        <f t="shared" ca="1" si="212"/>
        <v>0</v>
      </c>
    </row>
    <row r="273" spans="1:79" x14ac:dyDescent="0.4">
      <c r="A273" t="str">
        <f t="shared" si="197"/>
        <v>X</v>
      </c>
      <c r="B273">
        <v>262</v>
      </c>
      <c r="C273" t="e" cm="1">
        <f t="array" ref="C273">INDEX(auto_Series_Code,B273)</f>
        <v>#REF!</v>
      </c>
      <c r="D273" t="e" cm="1">
        <f t="array" ref="D273">INDEX(auto_tblSeries,$B273,D$11)</f>
        <v>#REF!</v>
      </c>
      <c r="E273" t="e" cm="1">
        <f t="array" ref="E273">INDEX(auto_tblSeries,$B273,E$11)</f>
        <v>#REF!</v>
      </c>
      <c r="F273" t="e" cm="1">
        <f t="array" ref="F273">INDEX(auto_tblSeries,$B273,F$11)</f>
        <v>#REF!</v>
      </c>
      <c r="G273" t="e" cm="1">
        <f t="array" ref="G273">INDEX(auto_tblSeries,$B273,G$11)</f>
        <v>#REF!</v>
      </c>
      <c r="H273" t="e" cm="1">
        <f t="array" ref="H273">INDEX(auto_tblSeries,$B273,H$11)</f>
        <v>#REF!</v>
      </c>
      <c r="I273" t="e">
        <f t="shared" si="70"/>
        <v>#REF!</v>
      </c>
      <c r="K273" t="e" cm="1">
        <f t="array" ref="K273">INDEX(auto_DataFlat_Score,$I273,K$10)</f>
        <v>#REF!</v>
      </c>
      <c r="L273" t="e" cm="1">
        <f t="array" ref="L273">INDEX(auto_DataFlat_Rank,$I273,L$10)</f>
        <v>#REF!</v>
      </c>
      <c r="M273" t="e" cm="1">
        <f t="array" ref="M273">INDEX(auto_DataFlat_DataValue,$I273,M$10)</f>
        <v>#REF!</v>
      </c>
      <c r="N273" t="e" cm="1">
        <f t="array" ref="N273">INDEX(auto_DataFlat_Classification,$I273,M$10)</f>
        <v>#REF!</v>
      </c>
      <c r="O273" t="e" cm="1">
        <f t="array" ref="O273">INDEX(auto_DataFlat_IsEstimate,$I273,O$10)</f>
        <v>#REF!</v>
      </c>
      <c r="P273" t="e" cm="1">
        <f t="array" ref="P273">IF(INDEX(auto_DataFlat_DataYear,$I273,P$10)=0,"n/a",INDEX(auto_DataFlat_DataYear,$I273,P$10))</f>
        <v>#REF!</v>
      </c>
      <c r="R273" t="e">
        <f t="shared" si="209"/>
        <v>#REF!</v>
      </c>
      <c r="S273" t="e" cm="1">
        <f t="array" ref="S273">INDEX(auto_DataFlat_Score,$R273,S$10)</f>
        <v>#REF!</v>
      </c>
      <c r="U273" t="str">
        <f t="shared" si="213"/>
        <v>n/a</v>
      </c>
      <c r="V273">
        <f t="shared" si="214"/>
        <v>1</v>
      </c>
      <c r="W273" t="e">
        <f t="shared" si="215"/>
        <v>#REF!</v>
      </c>
      <c r="X273" t="e">
        <f t="shared" ca="1" si="216"/>
        <v>#N/A</v>
      </c>
      <c r="Y273" t="e">
        <f t="shared" ca="1" si="216"/>
        <v>#N/A</v>
      </c>
      <c r="Z273" t="e">
        <f t="shared" ca="1" si="216"/>
        <v>#N/A</v>
      </c>
      <c r="AB273">
        <f t="shared" ca="1" si="207"/>
        <v>0</v>
      </c>
      <c r="AC273">
        <f t="shared" ca="1" si="207"/>
        <v>0</v>
      </c>
      <c r="AD273">
        <f t="shared" ca="1" si="207"/>
        <v>0</v>
      </c>
      <c r="AF273" t="e">
        <f t="shared" si="217"/>
        <v>#REF!</v>
      </c>
      <c r="AG273" t="e">
        <f t="shared" ca="1" si="218"/>
        <v>#N/A</v>
      </c>
      <c r="AH273" t="e">
        <f t="shared" ca="1" si="218"/>
        <v>#N/A</v>
      </c>
      <c r="AI273" t="e">
        <f t="shared" ca="1" si="218"/>
        <v>#N/A</v>
      </c>
      <c r="AJ273" t="e">
        <f t="shared" ca="1" si="218"/>
        <v>#N/A</v>
      </c>
      <c r="AK273" t="e">
        <f t="shared" ca="1" si="218"/>
        <v>#N/A</v>
      </c>
      <c r="AL273" t="e">
        <f t="shared" ca="1" si="218"/>
        <v>#N/A</v>
      </c>
      <c r="AM273" t="e">
        <f t="shared" ca="1" si="218"/>
        <v>#N/A</v>
      </c>
      <c r="AN273">
        <f t="shared" ca="1" si="219"/>
        <v>0</v>
      </c>
      <c r="AO273">
        <f t="shared" ca="1" si="220"/>
        <v>0</v>
      </c>
      <c r="AP273">
        <f t="shared" ca="1" si="221"/>
        <v>0</v>
      </c>
      <c r="AQ273">
        <f t="shared" ca="1" si="222"/>
        <v>0</v>
      </c>
      <c r="AR273">
        <f t="shared" ca="1" si="223"/>
        <v>0</v>
      </c>
      <c r="AS273">
        <f t="shared" ca="1" si="224"/>
        <v>0</v>
      </c>
      <c r="AT273">
        <f t="shared" ca="1" si="225"/>
        <v>0</v>
      </c>
      <c r="AV273" t="e">
        <f t="shared" si="206"/>
        <v>#REF!</v>
      </c>
      <c r="AW273" t="e" cm="1">
        <f t="array" ref="AW273">INDEX(auto_DataFlat_Score,$AV273,1)</f>
        <v>#REF!</v>
      </c>
      <c r="AX273" t="e" cm="1">
        <f t="array" ref="AX273">INDEX(auto_DataFlat_DataValue,$AV273,1)</f>
        <v>#REF!</v>
      </c>
      <c r="BA273" t="str">
        <f t="shared" si="226"/>
        <v>n/a</v>
      </c>
      <c r="BB273">
        <f t="shared" si="227"/>
        <v>1</v>
      </c>
      <c r="BC273" t="e">
        <f t="shared" si="228"/>
        <v>#REF!</v>
      </c>
      <c r="BD273" t="e">
        <f t="shared" ca="1" si="210"/>
        <v>#N/A</v>
      </c>
      <c r="BE273" t="e">
        <f t="shared" ca="1" si="210"/>
        <v>#N/A</v>
      </c>
      <c r="BF273" t="e">
        <f t="shared" ca="1" si="210"/>
        <v>#N/A</v>
      </c>
      <c r="BH273">
        <f t="shared" ca="1" si="208"/>
        <v>0</v>
      </c>
      <c r="BI273">
        <f t="shared" ca="1" si="208"/>
        <v>0</v>
      </c>
      <c r="BJ273">
        <f t="shared" ca="1" si="208"/>
        <v>0</v>
      </c>
      <c r="BM273" t="e">
        <f t="shared" si="229"/>
        <v>#REF!</v>
      </c>
      <c r="BN273" t="e">
        <f t="shared" ca="1" si="230"/>
        <v>#N/A</v>
      </c>
      <c r="BO273" t="e">
        <f t="shared" ca="1" si="231"/>
        <v>#N/A</v>
      </c>
      <c r="BP273" t="e">
        <f t="shared" ca="1" si="232"/>
        <v>#N/A</v>
      </c>
      <c r="BQ273" t="e">
        <f t="shared" ca="1" si="233"/>
        <v>#N/A</v>
      </c>
      <c r="BR273" t="e">
        <f t="shared" ca="1" si="234"/>
        <v>#N/A</v>
      </c>
      <c r="BS273" t="e">
        <f t="shared" ca="1" si="235"/>
        <v>#N/A</v>
      </c>
      <c r="BT273" t="e">
        <f t="shared" ca="1" si="236"/>
        <v>#N/A</v>
      </c>
      <c r="BU273">
        <f t="shared" ca="1" si="237"/>
        <v>0</v>
      </c>
      <c r="BV273">
        <f t="shared" ca="1" si="238"/>
        <v>0</v>
      </c>
      <c r="BW273">
        <f t="shared" ca="1" si="239"/>
        <v>0</v>
      </c>
      <c r="BX273">
        <f t="shared" ca="1" si="240"/>
        <v>0</v>
      </c>
      <c r="BY273">
        <f t="shared" ca="1" si="241"/>
        <v>0</v>
      </c>
      <c r="BZ273">
        <f t="shared" ca="1" si="211"/>
        <v>0</v>
      </c>
      <c r="CA273">
        <f t="shared" ca="1" si="212"/>
        <v>0</v>
      </c>
    </row>
    <row r="274" spans="1:79" x14ac:dyDescent="0.4">
      <c r="A274" t="str">
        <f t="shared" si="197"/>
        <v>X</v>
      </c>
      <c r="B274">
        <v>263</v>
      </c>
      <c r="C274" t="e" cm="1">
        <f t="array" ref="C274">INDEX(auto_Series_Code,B274)</f>
        <v>#REF!</v>
      </c>
      <c r="D274" t="e" cm="1">
        <f t="array" ref="D274">INDEX(auto_tblSeries,$B274,D$11)</f>
        <v>#REF!</v>
      </c>
      <c r="E274" t="e" cm="1">
        <f t="array" ref="E274">INDEX(auto_tblSeries,$B274,E$11)</f>
        <v>#REF!</v>
      </c>
      <c r="F274" t="e" cm="1">
        <f t="array" ref="F274">INDEX(auto_tblSeries,$B274,F$11)</f>
        <v>#REF!</v>
      </c>
      <c r="G274" t="e" cm="1">
        <f t="array" ref="G274">INDEX(auto_tblSeries,$B274,G$11)</f>
        <v>#REF!</v>
      </c>
      <c r="H274" t="e" cm="1">
        <f t="array" ref="H274">INDEX(auto_tblSeries,$B274,H$11)</f>
        <v>#REF!</v>
      </c>
      <c r="I274" t="e">
        <f t="shared" si="70"/>
        <v>#REF!</v>
      </c>
      <c r="K274" t="e" cm="1">
        <f t="array" ref="K274">INDEX(auto_DataFlat_Score,$I274,K$10)</f>
        <v>#REF!</v>
      </c>
      <c r="L274" t="e" cm="1">
        <f t="array" ref="L274">INDEX(auto_DataFlat_Rank,$I274,L$10)</f>
        <v>#REF!</v>
      </c>
      <c r="M274" t="e" cm="1">
        <f t="array" ref="M274">INDEX(auto_DataFlat_DataValue,$I274,M$10)</f>
        <v>#REF!</v>
      </c>
      <c r="N274" t="e" cm="1">
        <f t="array" ref="N274">INDEX(auto_DataFlat_Classification,$I274,M$10)</f>
        <v>#REF!</v>
      </c>
      <c r="O274" t="e" cm="1">
        <f t="array" ref="O274">INDEX(auto_DataFlat_IsEstimate,$I274,O$10)</f>
        <v>#REF!</v>
      </c>
      <c r="P274" t="e" cm="1">
        <f t="array" ref="P274">IF(INDEX(auto_DataFlat_DataYear,$I274,P$10)=0,"n/a",INDEX(auto_DataFlat_DataYear,$I274,P$10))</f>
        <v>#REF!</v>
      </c>
      <c r="R274" t="e">
        <f t="shared" si="209"/>
        <v>#REF!</v>
      </c>
      <c r="S274" t="e" cm="1">
        <f t="array" ref="S274">INDEX(auto_DataFlat_Score,$R274,S$10)</f>
        <v>#REF!</v>
      </c>
      <c r="U274" t="str">
        <f t="shared" si="213"/>
        <v>n/a</v>
      </c>
      <c r="V274">
        <f t="shared" si="214"/>
        <v>1</v>
      </c>
      <c r="W274" t="e">
        <f t="shared" si="215"/>
        <v>#REF!</v>
      </c>
      <c r="X274" t="e">
        <f t="shared" ca="1" si="216"/>
        <v>#N/A</v>
      </c>
      <c r="Y274" t="e">
        <f t="shared" ca="1" si="216"/>
        <v>#N/A</v>
      </c>
      <c r="Z274" t="e">
        <f t="shared" ca="1" si="216"/>
        <v>#N/A</v>
      </c>
      <c r="AB274">
        <f t="shared" ca="1" si="207"/>
        <v>0</v>
      </c>
      <c r="AC274">
        <f t="shared" ca="1" si="207"/>
        <v>0</v>
      </c>
      <c r="AD274">
        <f t="shared" ca="1" si="207"/>
        <v>0</v>
      </c>
      <c r="AF274" t="e">
        <f t="shared" si="217"/>
        <v>#REF!</v>
      </c>
      <c r="AG274" t="e">
        <f t="shared" ca="1" si="218"/>
        <v>#N/A</v>
      </c>
      <c r="AH274" t="e">
        <f t="shared" ca="1" si="218"/>
        <v>#N/A</v>
      </c>
      <c r="AI274" t="e">
        <f t="shared" ca="1" si="218"/>
        <v>#N/A</v>
      </c>
      <c r="AJ274" t="e">
        <f t="shared" ca="1" si="218"/>
        <v>#N/A</v>
      </c>
      <c r="AK274" t="e">
        <f t="shared" ca="1" si="218"/>
        <v>#N/A</v>
      </c>
      <c r="AL274" t="e">
        <f t="shared" ca="1" si="218"/>
        <v>#N/A</v>
      </c>
      <c r="AM274" t="e">
        <f t="shared" ca="1" si="218"/>
        <v>#N/A</v>
      </c>
      <c r="AN274">
        <f t="shared" ca="1" si="219"/>
        <v>0</v>
      </c>
      <c r="AO274">
        <f t="shared" ca="1" si="220"/>
        <v>0</v>
      </c>
      <c r="AP274">
        <f t="shared" ca="1" si="221"/>
        <v>0</v>
      </c>
      <c r="AQ274">
        <f t="shared" ca="1" si="222"/>
        <v>0</v>
      </c>
      <c r="AR274">
        <f t="shared" ca="1" si="223"/>
        <v>0</v>
      </c>
      <c r="AS274">
        <f t="shared" ca="1" si="224"/>
        <v>0</v>
      </c>
      <c r="AT274">
        <f t="shared" ca="1" si="225"/>
        <v>0</v>
      </c>
      <c r="AV274" t="e">
        <f t="shared" si="206"/>
        <v>#REF!</v>
      </c>
      <c r="AW274" t="e" cm="1">
        <f t="array" ref="AW274">INDEX(auto_DataFlat_Score,$AV274,1)</f>
        <v>#REF!</v>
      </c>
      <c r="AX274" t="e" cm="1">
        <f t="array" ref="AX274">INDEX(auto_DataFlat_DataValue,$AV274,1)</f>
        <v>#REF!</v>
      </c>
      <c r="BA274" t="str">
        <f t="shared" si="226"/>
        <v>n/a</v>
      </c>
      <c r="BB274">
        <f t="shared" si="227"/>
        <v>1</v>
      </c>
      <c r="BC274" t="e">
        <f t="shared" si="228"/>
        <v>#REF!</v>
      </c>
      <c r="BD274" t="e">
        <f t="shared" ca="1" si="210"/>
        <v>#N/A</v>
      </c>
      <c r="BE274" t="e">
        <f t="shared" ca="1" si="210"/>
        <v>#N/A</v>
      </c>
      <c r="BF274" t="e">
        <f t="shared" ca="1" si="210"/>
        <v>#N/A</v>
      </c>
      <c r="BH274">
        <f t="shared" ca="1" si="208"/>
        <v>0</v>
      </c>
      <c r="BI274">
        <f t="shared" ca="1" si="208"/>
        <v>0</v>
      </c>
      <c r="BJ274">
        <f t="shared" ca="1" si="208"/>
        <v>0</v>
      </c>
      <c r="BM274" t="e">
        <f t="shared" si="229"/>
        <v>#REF!</v>
      </c>
      <c r="BN274" t="e">
        <f t="shared" ca="1" si="230"/>
        <v>#N/A</v>
      </c>
      <c r="BO274" t="e">
        <f t="shared" ca="1" si="231"/>
        <v>#N/A</v>
      </c>
      <c r="BP274" t="e">
        <f t="shared" ca="1" si="232"/>
        <v>#N/A</v>
      </c>
      <c r="BQ274" t="e">
        <f t="shared" ca="1" si="233"/>
        <v>#N/A</v>
      </c>
      <c r="BR274" t="e">
        <f t="shared" ca="1" si="234"/>
        <v>#N/A</v>
      </c>
      <c r="BS274" t="e">
        <f t="shared" ca="1" si="235"/>
        <v>#N/A</v>
      </c>
      <c r="BT274" t="e">
        <f t="shared" ca="1" si="236"/>
        <v>#N/A</v>
      </c>
      <c r="BU274">
        <f t="shared" ca="1" si="237"/>
        <v>0</v>
      </c>
      <c r="BV274">
        <f t="shared" ca="1" si="238"/>
        <v>0</v>
      </c>
      <c r="BW274">
        <f t="shared" ca="1" si="239"/>
        <v>0</v>
      </c>
      <c r="BX274">
        <f t="shared" ca="1" si="240"/>
        <v>0</v>
      </c>
      <c r="BY274">
        <f t="shared" ca="1" si="241"/>
        <v>0</v>
      </c>
      <c r="BZ274">
        <f t="shared" ca="1" si="211"/>
        <v>0</v>
      </c>
      <c r="CA274">
        <f t="shared" ca="1" si="212"/>
        <v>0</v>
      </c>
    </row>
    <row r="275" spans="1:79" x14ac:dyDescent="0.4">
      <c r="A275" t="str">
        <f t="shared" si="197"/>
        <v>X</v>
      </c>
      <c r="B275">
        <v>264</v>
      </c>
      <c r="C275" t="e" cm="1">
        <f t="array" ref="C275">INDEX(auto_Series_Code,B275)</f>
        <v>#REF!</v>
      </c>
      <c r="D275" t="e" cm="1">
        <f t="array" ref="D275">INDEX(auto_tblSeries,$B275,D$11)</f>
        <v>#REF!</v>
      </c>
      <c r="E275" t="e" cm="1">
        <f t="array" ref="E275">INDEX(auto_tblSeries,$B275,E$11)</f>
        <v>#REF!</v>
      </c>
      <c r="F275" t="e" cm="1">
        <f t="array" ref="F275">INDEX(auto_tblSeries,$B275,F$11)</f>
        <v>#REF!</v>
      </c>
      <c r="G275" t="e" cm="1">
        <f t="array" ref="G275">INDEX(auto_tblSeries,$B275,G$11)</f>
        <v>#REF!</v>
      </c>
      <c r="H275" t="e" cm="1">
        <f t="array" ref="H275">INDEX(auto_tblSeries,$B275,H$11)</f>
        <v>#REF!</v>
      </c>
      <c r="I275" t="e">
        <f t="shared" si="70"/>
        <v>#REF!</v>
      </c>
      <c r="K275" t="e" cm="1">
        <f t="array" ref="K275">INDEX(auto_DataFlat_Score,$I275,K$10)</f>
        <v>#REF!</v>
      </c>
      <c r="L275" t="e" cm="1">
        <f t="array" ref="L275">INDEX(auto_DataFlat_Rank,$I275,L$10)</f>
        <v>#REF!</v>
      </c>
      <c r="M275" t="e" cm="1">
        <f t="array" ref="M275">INDEX(auto_DataFlat_DataValue,$I275,M$10)</f>
        <v>#REF!</v>
      </c>
      <c r="N275" t="e" cm="1">
        <f t="array" ref="N275">INDEX(auto_DataFlat_Classification,$I275,M$10)</f>
        <v>#REF!</v>
      </c>
      <c r="O275" t="e" cm="1">
        <f t="array" ref="O275">INDEX(auto_DataFlat_IsEstimate,$I275,O$10)</f>
        <v>#REF!</v>
      </c>
      <c r="P275" t="e" cm="1">
        <f t="array" ref="P275">IF(INDEX(auto_DataFlat_DataYear,$I275,P$10)=0,"n/a",INDEX(auto_DataFlat_DataYear,$I275,P$10))</f>
        <v>#REF!</v>
      </c>
      <c r="R275" t="e">
        <f t="shared" si="209"/>
        <v>#REF!</v>
      </c>
      <c r="S275" t="e" cm="1">
        <f t="array" ref="S275">INDEX(auto_DataFlat_Score,$R275,S$10)</f>
        <v>#REF!</v>
      </c>
      <c r="U275" t="str">
        <f t="shared" si="213"/>
        <v>n/a</v>
      </c>
      <c r="V275">
        <f t="shared" si="214"/>
        <v>1</v>
      </c>
      <c r="W275" t="e">
        <f t="shared" si="215"/>
        <v>#REF!</v>
      </c>
      <c r="X275" t="e">
        <f t="shared" ca="1" si="216"/>
        <v>#N/A</v>
      </c>
      <c r="Y275" t="e">
        <f t="shared" ca="1" si="216"/>
        <v>#N/A</v>
      </c>
      <c r="Z275" t="e">
        <f t="shared" ca="1" si="216"/>
        <v>#N/A</v>
      </c>
      <c r="AB275">
        <f t="shared" ca="1" si="207"/>
        <v>0</v>
      </c>
      <c r="AC275">
        <f t="shared" ca="1" si="207"/>
        <v>0</v>
      </c>
      <c r="AD275">
        <f t="shared" ca="1" si="207"/>
        <v>0</v>
      </c>
      <c r="AF275" t="e">
        <f t="shared" si="217"/>
        <v>#REF!</v>
      </c>
      <c r="AG275" t="e">
        <f t="shared" ca="1" si="218"/>
        <v>#N/A</v>
      </c>
      <c r="AH275" t="e">
        <f t="shared" ca="1" si="218"/>
        <v>#N/A</v>
      </c>
      <c r="AI275" t="e">
        <f t="shared" ca="1" si="218"/>
        <v>#N/A</v>
      </c>
      <c r="AJ275" t="e">
        <f t="shared" ca="1" si="218"/>
        <v>#N/A</v>
      </c>
      <c r="AK275" t="e">
        <f t="shared" ca="1" si="218"/>
        <v>#N/A</v>
      </c>
      <c r="AL275" t="e">
        <f t="shared" ca="1" si="218"/>
        <v>#N/A</v>
      </c>
      <c r="AM275" t="e">
        <f t="shared" ca="1" si="218"/>
        <v>#N/A</v>
      </c>
      <c r="AN275">
        <f t="shared" ca="1" si="219"/>
        <v>0</v>
      </c>
      <c r="AO275">
        <f t="shared" ca="1" si="220"/>
        <v>0</v>
      </c>
      <c r="AP275">
        <f t="shared" ca="1" si="221"/>
        <v>0</v>
      </c>
      <c r="AQ275">
        <f t="shared" ca="1" si="222"/>
        <v>0</v>
      </c>
      <c r="AR275">
        <f t="shared" ca="1" si="223"/>
        <v>0</v>
      </c>
      <c r="AS275">
        <f t="shared" ca="1" si="224"/>
        <v>0</v>
      </c>
      <c r="AT275">
        <f t="shared" ca="1" si="225"/>
        <v>0</v>
      </c>
      <c r="AV275" t="e">
        <f t="shared" si="206"/>
        <v>#REF!</v>
      </c>
      <c r="AW275" t="e" cm="1">
        <f t="array" ref="AW275">INDEX(auto_DataFlat_Score,$AV275,1)</f>
        <v>#REF!</v>
      </c>
      <c r="AX275" t="e" cm="1">
        <f t="array" ref="AX275">INDEX(auto_DataFlat_DataValue,$AV275,1)</f>
        <v>#REF!</v>
      </c>
      <c r="BA275" t="str">
        <f t="shared" si="226"/>
        <v>n/a</v>
      </c>
      <c r="BB275">
        <f t="shared" si="227"/>
        <v>1</v>
      </c>
      <c r="BC275" t="e">
        <f t="shared" si="228"/>
        <v>#REF!</v>
      </c>
      <c r="BD275" t="e">
        <f t="shared" ca="1" si="210"/>
        <v>#N/A</v>
      </c>
      <c r="BE275" t="e">
        <f t="shared" ca="1" si="210"/>
        <v>#N/A</v>
      </c>
      <c r="BF275" t="e">
        <f t="shared" ca="1" si="210"/>
        <v>#N/A</v>
      </c>
      <c r="BH275">
        <f t="shared" ca="1" si="208"/>
        <v>0</v>
      </c>
      <c r="BI275">
        <f t="shared" ca="1" si="208"/>
        <v>0</v>
      </c>
      <c r="BJ275">
        <f t="shared" ca="1" si="208"/>
        <v>0</v>
      </c>
      <c r="BM275" t="e">
        <f t="shared" si="229"/>
        <v>#REF!</v>
      </c>
      <c r="BN275" t="e">
        <f t="shared" ca="1" si="230"/>
        <v>#N/A</v>
      </c>
      <c r="BO275" t="e">
        <f t="shared" ca="1" si="231"/>
        <v>#N/A</v>
      </c>
      <c r="BP275" t="e">
        <f t="shared" ca="1" si="232"/>
        <v>#N/A</v>
      </c>
      <c r="BQ275" t="e">
        <f t="shared" ca="1" si="233"/>
        <v>#N/A</v>
      </c>
      <c r="BR275" t="e">
        <f t="shared" ca="1" si="234"/>
        <v>#N/A</v>
      </c>
      <c r="BS275" t="e">
        <f t="shared" ca="1" si="235"/>
        <v>#N/A</v>
      </c>
      <c r="BT275" t="e">
        <f t="shared" ca="1" si="236"/>
        <v>#N/A</v>
      </c>
      <c r="BU275">
        <f t="shared" ca="1" si="237"/>
        <v>0</v>
      </c>
      <c r="BV275">
        <f t="shared" ca="1" si="238"/>
        <v>0</v>
      </c>
      <c r="BW275">
        <f t="shared" ca="1" si="239"/>
        <v>0</v>
      </c>
      <c r="BX275">
        <f t="shared" ca="1" si="240"/>
        <v>0</v>
      </c>
      <c r="BY275">
        <f t="shared" ca="1" si="241"/>
        <v>0</v>
      </c>
      <c r="BZ275">
        <f t="shared" ca="1" si="211"/>
        <v>0</v>
      </c>
      <c r="CA275">
        <f t="shared" ca="1" si="212"/>
        <v>0</v>
      </c>
    </row>
    <row r="276" spans="1:79" x14ac:dyDescent="0.4">
      <c r="A276" t="str">
        <f t="shared" si="197"/>
        <v>X</v>
      </c>
      <c r="B276">
        <v>265</v>
      </c>
      <c r="C276" t="e" cm="1">
        <f t="array" ref="C276">INDEX(auto_Series_Code,B276)</f>
        <v>#REF!</v>
      </c>
      <c r="D276" t="e" cm="1">
        <f t="array" ref="D276">INDEX(auto_tblSeries,$B276,D$11)</f>
        <v>#REF!</v>
      </c>
      <c r="E276" t="e" cm="1">
        <f t="array" ref="E276">INDEX(auto_tblSeries,$B276,E$11)</f>
        <v>#REF!</v>
      </c>
      <c r="F276" t="e" cm="1">
        <f t="array" ref="F276">INDEX(auto_tblSeries,$B276,F$11)</f>
        <v>#REF!</v>
      </c>
      <c r="G276" t="e" cm="1">
        <f t="array" ref="G276">INDEX(auto_tblSeries,$B276,G$11)</f>
        <v>#REF!</v>
      </c>
      <c r="H276" t="e" cm="1">
        <f t="array" ref="H276">INDEX(auto_tblSeries,$B276,H$11)</f>
        <v>#REF!</v>
      </c>
      <c r="I276" t="e">
        <f t="shared" si="70"/>
        <v>#REF!</v>
      </c>
      <c r="K276" t="e" cm="1">
        <f t="array" ref="K276">INDEX(auto_DataFlat_Score,$I276,K$10)</f>
        <v>#REF!</v>
      </c>
      <c r="L276" t="e" cm="1">
        <f t="array" ref="L276">INDEX(auto_DataFlat_Rank,$I276,L$10)</f>
        <v>#REF!</v>
      </c>
      <c r="M276" t="e" cm="1">
        <f t="array" ref="M276">INDEX(auto_DataFlat_DataValue,$I276,M$10)</f>
        <v>#REF!</v>
      </c>
      <c r="N276" t="e" cm="1">
        <f t="array" ref="N276">INDEX(auto_DataFlat_Classification,$I276,M$10)</f>
        <v>#REF!</v>
      </c>
      <c r="O276" t="e" cm="1">
        <f t="array" ref="O276">INDEX(auto_DataFlat_IsEstimate,$I276,O$10)</f>
        <v>#REF!</v>
      </c>
      <c r="P276" t="e" cm="1">
        <f t="array" ref="P276">IF(INDEX(auto_DataFlat_DataYear,$I276,P$10)=0,"n/a",INDEX(auto_DataFlat_DataYear,$I276,P$10))</f>
        <v>#REF!</v>
      </c>
      <c r="R276" t="e">
        <f t="shared" si="209"/>
        <v>#REF!</v>
      </c>
      <c r="S276" t="e" cm="1">
        <f t="array" ref="S276">INDEX(auto_DataFlat_Score,$R276,S$10)</f>
        <v>#REF!</v>
      </c>
      <c r="U276" t="str">
        <f t="shared" si="213"/>
        <v>n/a</v>
      </c>
      <c r="V276">
        <f t="shared" si="214"/>
        <v>1</v>
      </c>
      <c r="W276" t="e">
        <f t="shared" si="215"/>
        <v>#REF!</v>
      </c>
      <c r="X276" t="e">
        <f t="shared" ca="1" si="216"/>
        <v>#N/A</v>
      </c>
      <c r="Y276" t="e">
        <f t="shared" ca="1" si="216"/>
        <v>#N/A</v>
      </c>
      <c r="Z276" t="e">
        <f t="shared" ca="1" si="216"/>
        <v>#N/A</v>
      </c>
      <c r="AB276">
        <f t="shared" ca="1" si="207"/>
        <v>0</v>
      </c>
      <c r="AC276">
        <f t="shared" ca="1" si="207"/>
        <v>0</v>
      </c>
      <c r="AD276">
        <f t="shared" ca="1" si="207"/>
        <v>0</v>
      </c>
      <c r="AF276" t="e">
        <f t="shared" si="217"/>
        <v>#REF!</v>
      </c>
      <c r="AG276" t="e">
        <f t="shared" ca="1" si="218"/>
        <v>#N/A</v>
      </c>
      <c r="AH276" t="e">
        <f t="shared" ca="1" si="218"/>
        <v>#N/A</v>
      </c>
      <c r="AI276" t="e">
        <f t="shared" ca="1" si="218"/>
        <v>#N/A</v>
      </c>
      <c r="AJ276" t="e">
        <f t="shared" ca="1" si="218"/>
        <v>#N/A</v>
      </c>
      <c r="AK276" t="e">
        <f t="shared" ca="1" si="218"/>
        <v>#N/A</v>
      </c>
      <c r="AL276" t="e">
        <f t="shared" ca="1" si="218"/>
        <v>#N/A</v>
      </c>
      <c r="AM276" t="e">
        <f t="shared" ca="1" si="218"/>
        <v>#N/A</v>
      </c>
      <c r="AN276">
        <f t="shared" ca="1" si="219"/>
        <v>0</v>
      </c>
      <c r="AO276">
        <f t="shared" ca="1" si="220"/>
        <v>0</v>
      </c>
      <c r="AP276">
        <f t="shared" ca="1" si="221"/>
        <v>0</v>
      </c>
      <c r="AQ276">
        <f t="shared" ca="1" si="222"/>
        <v>0</v>
      </c>
      <c r="AR276">
        <f t="shared" ca="1" si="223"/>
        <v>0</v>
      </c>
      <c r="AS276">
        <f t="shared" ca="1" si="224"/>
        <v>0</v>
      </c>
      <c r="AT276">
        <f t="shared" ca="1" si="225"/>
        <v>0</v>
      </c>
      <c r="AV276" t="e">
        <f t="shared" si="206"/>
        <v>#REF!</v>
      </c>
      <c r="AW276" t="e" cm="1">
        <f t="array" ref="AW276">INDEX(auto_DataFlat_Score,$AV276,1)</f>
        <v>#REF!</v>
      </c>
      <c r="AX276" t="e" cm="1">
        <f t="array" ref="AX276">INDEX(auto_DataFlat_DataValue,$AV276,1)</f>
        <v>#REF!</v>
      </c>
      <c r="BA276" t="str">
        <f t="shared" si="226"/>
        <v>n/a</v>
      </c>
      <c r="BB276">
        <f t="shared" si="227"/>
        <v>1</v>
      </c>
      <c r="BC276" t="e">
        <f t="shared" si="228"/>
        <v>#REF!</v>
      </c>
      <c r="BD276" t="e">
        <f t="shared" ca="1" si="210"/>
        <v>#N/A</v>
      </c>
      <c r="BE276" t="e">
        <f t="shared" ca="1" si="210"/>
        <v>#N/A</v>
      </c>
      <c r="BF276" t="e">
        <f t="shared" ca="1" si="210"/>
        <v>#N/A</v>
      </c>
      <c r="BH276">
        <f t="shared" ca="1" si="208"/>
        <v>0</v>
      </c>
      <c r="BI276">
        <f t="shared" ca="1" si="208"/>
        <v>0</v>
      </c>
      <c r="BJ276">
        <f t="shared" ca="1" si="208"/>
        <v>0</v>
      </c>
      <c r="BM276" t="e">
        <f t="shared" si="229"/>
        <v>#REF!</v>
      </c>
      <c r="BN276" t="e">
        <f t="shared" ca="1" si="230"/>
        <v>#N/A</v>
      </c>
      <c r="BO276" t="e">
        <f t="shared" ca="1" si="231"/>
        <v>#N/A</v>
      </c>
      <c r="BP276" t="e">
        <f t="shared" ca="1" si="232"/>
        <v>#N/A</v>
      </c>
      <c r="BQ276" t="e">
        <f t="shared" ca="1" si="233"/>
        <v>#N/A</v>
      </c>
      <c r="BR276" t="e">
        <f t="shared" ca="1" si="234"/>
        <v>#N/A</v>
      </c>
      <c r="BS276" t="e">
        <f t="shared" ca="1" si="235"/>
        <v>#N/A</v>
      </c>
      <c r="BT276" t="e">
        <f t="shared" ca="1" si="236"/>
        <v>#N/A</v>
      </c>
      <c r="BU276">
        <f t="shared" ca="1" si="237"/>
        <v>0</v>
      </c>
      <c r="BV276">
        <f t="shared" ca="1" si="238"/>
        <v>0</v>
      </c>
      <c r="BW276">
        <f t="shared" ca="1" si="239"/>
        <v>0</v>
      </c>
      <c r="BX276">
        <f t="shared" ca="1" si="240"/>
        <v>0</v>
      </c>
      <c r="BY276">
        <f t="shared" ca="1" si="241"/>
        <v>0</v>
      </c>
      <c r="BZ276">
        <f t="shared" ca="1" si="211"/>
        <v>0</v>
      </c>
      <c r="CA276">
        <f t="shared" ca="1" si="212"/>
        <v>0</v>
      </c>
    </row>
    <row r="277" spans="1:79" x14ac:dyDescent="0.4">
      <c r="A277" t="str">
        <f t="shared" si="197"/>
        <v>X</v>
      </c>
      <c r="B277">
        <v>266</v>
      </c>
      <c r="C277" t="e" cm="1">
        <f t="array" ref="C277">INDEX(auto_Series_Code,B277)</f>
        <v>#REF!</v>
      </c>
      <c r="D277" t="e" cm="1">
        <f t="array" ref="D277">INDEX(auto_tblSeries,$B277,D$11)</f>
        <v>#REF!</v>
      </c>
      <c r="E277" t="e" cm="1">
        <f t="array" ref="E277">INDEX(auto_tblSeries,$B277,E$11)</f>
        <v>#REF!</v>
      </c>
      <c r="F277" t="e" cm="1">
        <f t="array" ref="F277">INDEX(auto_tblSeries,$B277,F$11)</f>
        <v>#REF!</v>
      </c>
      <c r="G277" t="e" cm="1">
        <f t="array" ref="G277">INDEX(auto_tblSeries,$B277,G$11)</f>
        <v>#REF!</v>
      </c>
      <c r="H277" t="e" cm="1">
        <f t="array" ref="H277">INDEX(auto_tblSeries,$B277,H$11)</f>
        <v>#REF!</v>
      </c>
      <c r="I277" t="e">
        <f t="shared" si="70"/>
        <v>#REF!</v>
      </c>
      <c r="K277" t="e" cm="1">
        <f t="array" ref="K277">INDEX(auto_DataFlat_Score,$I277,K$10)</f>
        <v>#REF!</v>
      </c>
      <c r="L277" t="e" cm="1">
        <f t="array" ref="L277">INDEX(auto_DataFlat_Rank,$I277,L$10)</f>
        <v>#REF!</v>
      </c>
      <c r="M277" t="e" cm="1">
        <f t="array" ref="M277">INDEX(auto_DataFlat_DataValue,$I277,M$10)</f>
        <v>#REF!</v>
      </c>
      <c r="N277" t="e" cm="1">
        <f t="array" ref="N277">INDEX(auto_DataFlat_Classification,$I277,M$10)</f>
        <v>#REF!</v>
      </c>
      <c r="O277" t="e" cm="1">
        <f t="array" ref="O277">INDEX(auto_DataFlat_IsEstimate,$I277,O$10)</f>
        <v>#REF!</v>
      </c>
      <c r="P277" t="e" cm="1">
        <f t="array" ref="P277">IF(INDEX(auto_DataFlat_DataYear,$I277,P$10)=0,"n/a",INDEX(auto_DataFlat_DataYear,$I277,P$10))</f>
        <v>#REF!</v>
      </c>
      <c r="R277" t="e">
        <f t="shared" si="209"/>
        <v>#REF!</v>
      </c>
      <c r="S277" t="e" cm="1">
        <f t="array" ref="S277">INDEX(auto_DataFlat_Score,$R277,S$10)</f>
        <v>#REF!</v>
      </c>
      <c r="U277" t="str">
        <f t="shared" si="213"/>
        <v>n/a</v>
      </c>
      <c r="V277">
        <f t="shared" si="214"/>
        <v>1</v>
      </c>
      <c r="W277" t="e">
        <f t="shared" si="215"/>
        <v>#REF!</v>
      </c>
      <c r="X277" t="e">
        <f t="shared" ca="1" si="216"/>
        <v>#N/A</v>
      </c>
      <c r="Y277" t="e">
        <f t="shared" ca="1" si="216"/>
        <v>#N/A</v>
      </c>
      <c r="Z277" t="e">
        <f t="shared" ca="1" si="216"/>
        <v>#N/A</v>
      </c>
      <c r="AB277">
        <f t="shared" ca="1" si="207"/>
        <v>0</v>
      </c>
      <c r="AC277">
        <f t="shared" ca="1" si="207"/>
        <v>0</v>
      </c>
      <c r="AD277">
        <f t="shared" ca="1" si="207"/>
        <v>0</v>
      </c>
      <c r="AF277" t="e">
        <f t="shared" si="217"/>
        <v>#REF!</v>
      </c>
      <c r="AG277" t="e">
        <f t="shared" ca="1" si="218"/>
        <v>#N/A</v>
      </c>
      <c r="AH277" t="e">
        <f t="shared" ca="1" si="218"/>
        <v>#N/A</v>
      </c>
      <c r="AI277" t="e">
        <f t="shared" ca="1" si="218"/>
        <v>#N/A</v>
      </c>
      <c r="AJ277" t="e">
        <f t="shared" ca="1" si="218"/>
        <v>#N/A</v>
      </c>
      <c r="AK277" t="e">
        <f t="shared" ca="1" si="218"/>
        <v>#N/A</v>
      </c>
      <c r="AL277" t="e">
        <f t="shared" ca="1" si="218"/>
        <v>#N/A</v>
      </c>
      <c r="AM277" t="e">
        <f t="shared" ca="1" si="218"/>
        <v>#N/A</v>
      </c>
      <c r="AN277">
        <f t="shared" ca="1" si="219"/>
        <v>0</v>
      </c>
      <c r="AO277">
        <f t="shared" ca="1" si="220"/>
        <v>0</v>
      </c>
      <c r="AP277">
        <f t="shared" ca="1" si="221"/>
        <v>0</v>
      </c>
      <c r="AQ277">
        <f t="shared" ca="1" si="222"/>
        <v>0</v>
      </c>
      <c r="AR277">
        <f t="shared" ca="1" si="223"/>
        <v>0</v>
      </c>
      <c r="AS277">
        <f t="shared" ca="1" si="224"/>
        <v>0</v>
      </c>
      <c r="AT277">
        <f t="shared" ca="1" si="225"/>
        <v>0</v>
      </c>
      <c r="AV277" t="e">
        <f t="shared" si="206"/>
        <v>#REF!</v>
      </c>
      <c r="AW277" t="e" cm="1">
        <f t="array" ref="AW277">INDEX(auto_DataFlat_Score,$AV277,1)</f>
        <v>#REF!</v>
      </c>
      <c r="AX277" t="e" cm="1">
        <f t="array" ref="AX277">INDEX(auto_DataFlat_DataValue,$AV277,1)</f>
        <v>#REF!</v>
      </c>
      <c r="BA277" t="str">
        <f t="shared" si="226"/>
        <v>n/a</v>
      </c>
      <c r="BB277">
        <f t="shared" si="227"/>
        <v>1</v>
      </c>
      <c r="BC277" t="e">
        <f t="shared" si="228"/>
        <v>#REF!</v>
      </c>
      <c r="BD277" t="e">
        <f t="shared" ca="1" si="210"/>
        <v>#N/A</v>
      </c>
      <c r="BE277" t="e">
        <f t="shared" ca="1" si="210"/>
        <v>#N/A</v>
      </c>
      <c r="BF277" t="e">
        <f t="shared" ca="1" si="210"/>
        <v>#N/A</v>
      </c>
      <c r="BH277">
        <f t="shared" ca="1" si="208"/>
        <v>0</v>
      </c>
      <c r="BI277">
        <f t="shared" ca="1" si="208"/>
        <v>0</v>
      </c>
      <c r="BJ277">
        <f t="shared" ca="1" si="208"/>
        <v>0</v>
      </c>
      <c r="BM277" t="e">
        <f t="shared" si="229"/>
        <v>#REF!</v>
      </c>
      <c r="BN277" t="e">
        <f t="shared" ca="1" si="230"/>
        <v>#N/A</v>
      </c>
      <c r="BO277" t="e">
        <f t="shared" ca="1" si="231"/>
        <v>#N/A</v>
      </c>
      <c r="BP277" t="e">
        <f t="shared" ca="1" si="232"/>
        <v>#N/A</v>
      </c>
      <c r="BQ277" t="e">
        <f t="shared" ca="1" si="233"/>
        <v>#N/A</v>
      </c>
      <c r="BR277" t="e">
        <f t="shared" ca="1" si="234"/>
        <v>#N/A</v>
      </c>
      <c r="BS277" t="e">
        <f t="shared" ca="1" si="235"/>
        <v>#N/A</v>
      </c>
      <c r="BT277" t="e">
        <f t="shared" ca="1" si="236"/>
        <v>#N/A</v>
      </c>
      <c r="BU277">
        <f t="shared" ca="1" si="237"/>
        <v>0</v>
      </c>
      <c r="BV277">
        <f t="shared" ca="1" si="238"/>
        <v>0</v>
      </c>
      <c r="BW277">
        <f t="shared" ca="1" si="239"/>
        <v>0</v>
      </c>
      <c r="BX277">
        <f t="shared" ca="1" si="240"/>
        <v>0</v>
      </c>
      <c r="BY277">
        <f t="shared" ca="1" si="241"/>
        <v>0</v>
      </c>
      <c r="BZ277">
        <f t="shared" ca="1" si="211"/>
        <v>0</v>
      </c>
      <c r="CA277">
        <f t="shared" ca="1" si="212"/>
        <v>0</v>
      </c>
    </row>
    <row r="278" spans="1:79" x14ac:dyDescent="0.4">
      <c r="A278" t="str">
        <f t="shared" si="197"/>
        <v>X</v>
      </c>
      <c r="B278">
        <v>267</v>
      </c>
      <c r="C278" t="e" cm="1">
        <f t="array" ref="C278">INDEX(auto_Series_Code,B278)</f>
        <v>#REF!</v>
      </c>
      <c r="D278" t="e" cm="1">
        <f t="array" ref="D278">INDEX(auto_tblSeries,$B278,D$11)</f>
        <v>#REF!</v>
      </c>
      <c r="E278" t="e" cm="1">
        <f t="array" ref="E278">INDEX(auto_tblSeries,$B278,E$11)</f>
        <v>#REF!</v>
      </c>
      <c r="F278" t="e" cm="1">
        <f t="array" ref="F278">INDEX(auto_tblSeries,$B278,F$11)</f>
        <v>#REF!</v>
      </c>
      <c r="G278" t="e" cm="1">
        <f t="array" ref="G278">INDEX(auto_tblSeries,$B278,G$11)</f>
        <v>#REF!</v>
      </c>
      <c r="H278" t="e" cm="1">
        <f t="array" ref="H278">INDEX(auto_tblSeries,$B278,H$11)</f>
        <v>#REF!</v>
      </c>
      <c r="I278" t="e">
        <f t="shared" si="70"/>
        <v>#REF!</v>
      </c>
      <c r="K278" t="e" cm="1">
        <f t="array" ref="K278">INDEX(auto_DataFlat_Score,$I278,K$10)</f>
        <v>#REF!</v>
      </c>
      <c r="L278" t="e" cm="1">
        <f t="array" ref="L278">INDEX(auto_DataFlat_Rank,$I278,L$10)</f>
        <v>#REF!</v>
      </c>
      <c r="M278" t="e" cm="1">
        <f t="array" ref="M278">INDEX(auto_DataFlat_DataValue,$I278,M$10)</f>
        <v>#REF!</v>
      </c>
      <c r="N278" t="e" cm="1">
        <f t="array" ref="N278">INDEX(auto_DataFlat_Classification,$I278,M$10)</f>
        <v>#REF!</v>
      </c>
      <c r="O278" t="e" cm="1">
        <f t="array" ref="O278">INDEX(auto_DataFlat_IsEstimate,$I278,O$10)</f>
        <v>#REF!</v>
      </c>
      <c r="P278" t="e" cm="1">
        <f t="array" ref="P278">IF(INDEX(auto_DataFlat_DataYear,$I278,P$10)=0,"n/a",INDEX(auto_DataFlat_DataYear,$I278,P$10))</f>
        <v>#REF!</v>
      </c>
      <c r="R278" t="e">
        <f t="shared" si="209"/>
        <v>#REF!</v>
      </c>
      <c r="S278" t="e" cm="1">
        <f t="array" ref="S278">INDEX(auto_DataFlat_Score,$R278,S$10)</f>
        <v>#REF!</v>
      </c>
      <c r="U278" t="str">
        <f t="shared" si="213"/>
        <v>n/a</v>
      </c>
      <c r="V278">
        <f t="shared" si="214"/>
        <v>1</v>
      </c>
      <c r="W278" t="e">
        <f t="shared" si="215"/>
        <v>#REF!</v>
      </c>
      <c r="X278" t="e">
        <f t="shared" ca="1" si="216"/>
        <v>#N/A</v>
      </c>
      <c r="Y278" t="e">
        <f t="shared" ca="1" si="216"/>
        <v>#N/A</v>
      </c>
      <c r="Z278" t="e">
        <f t="shared" ca="1" si="216"/>
        <v>#N/A</v>
      </c>
      <c r="AB278">
        <f t="shared" ca="1" si="207"/>
        <v>0</v>
      </c>
      <c r="AC278">
        <f t="shared" ca="1" si="207"/>
        <v>0</v>
      </c>
      <c r="AD278">
        <f t="shared" ca="1" si="207"/>
        <v>0</v>
      </c>
      <c r="AF278" t="e">
        <f t="shared" si="217"/>
        <v>#REF!</v>
      </c>
      <c r="AG278" t="e">
        <f t="shared" ca="1" si="218"/>
        <v>#N/A</v>
      </c>
      <c r="AH278" t="e">
        <f t="shared" ca="1" si="218"/>
        <v>#N/A</v>
      </c>
      <c r="AI278" t="e">
        <f t="shared" ca="1" si="218"/>
        <v>#N/A</v>
      </c>
      <c r="AJ278" t="e">
        <f t="shared" ca="1" si="218"/>
        <v>#N/A</v>
      </c>
      <c r="AK278" t="e">
        <f t="shared" ca="1" si="218"/>
        <v>#N/A</v>
      </c>
      <c r="AL278" t="e">
        <f t="shared" ca="1" si="218"/>
        <v>#N/A</v>
      </c>
      <c r="AM278" t="e">
        <f t="shared" ca="1" si="218"/>
        <v>#N/A</v>
      </c>
      <c r="AN278">
        <f t="shared" ca="1" si="219"/>
        <v>0</v>
      </c>
      <c r="AO278">
        <f t="shared" ca="1" si="220"/>
        <v>0</v>
      </c>
      <c r="AP278">
        <f t="shared" ca="1" si="221"/>
        <v>0</v>
      </c>
      <c r="AQ278">
        <f t="shared" ca="1" si="222"/>
        <v>0</v>
      </c>
      <c r="AR278">
        <f t="shared" ca="1" si="223"/>
        <v>0</v>
      </c>
      <c r="AS278">
        <f t="shared" ca="1" si="224"/>
        <v>0</v>
      </c>
      <c r="AT278">
        <f t="shared" ca="1" si="225"/>
        <v>0</v>
      </c>
      <c r="AV278" t="e">
        <f t="shared" si="206"/>
        <v>#REF!</v>
      </c>
      <c r="AW278" t="e" cm="1">
        <f t="array" ref="AW278">INDEX(auto_DataFlat_Score,$AV278,1)</f>
        <v>#REF!</v>
      </c>
      <c r="AX278" t="e" cm="1">
        <f t="array" ref="AX278">INDEX(auto_DataFlat_DataValue,$AV278,1)</f>
        <v>#REF!</v>
      </c>
      <c r="BA278" t="str">
        <f t="shared" si="226"/>
        <v>n/a</v>
      </c>
      <c r="BB278">
        <f t="shared" si="227"/>
        <v>1</v>
      </c>
      <c r="BC278" t="e">
        <f t="shared" si="228"/>
        <v>#REF!</v>
      </c>
      <c r="BD278" t="e">
        <f t="shared" ca="1" si="210"/>
        <v>#N/A</v>
      </c>
      <c r="BE278" t="e">
        <f t="shared" ca="1" si="210"/>
        <v>#N/A</v>
      </c>
      <c r="BF278" t="e">
        <f t="shared" ca="1" si="210"/>
        <v>#N/A</v>
      </c>
      <c r="BH278">
        <f t="shared" ca="1" si="208"/>
        <v>0</v>
      </c>
      <c r="BI278">
        <f t="shared" ca="1" si="208"/>
        <v>0</v>
      </c>
      <c r="BJ278">
        <f t="shared" ca="1" si="208"/>
        <v>0</v>
      </c>
      <c r="BM278" t="e">
        <f t="shared" si="229"/>
        <v>#REF!</v>
      </c>
      <c r="BN278" t="e">
        <f t="shared" ca="1" si="230"/>
        <v>#N/A</v>
      </c>
      <c r="BO278" t="e">
        <f t="shared" ca="1" si="231"/>
        <v>#N/A</v>
      </c>
      <c r="BP278" t="e">
        <f t="shared" ca="1" si="232"/>
        <v>#N/A</v>
      </c>
      <c r="BQ278" t="e">
        <f t="shared" ca="1" si="233"/>
        <v>#N/A</v>
      </c>
      <c r="BR278" t="e">
        <f t="shared" ca="1" si="234"/>
        <v>#N/A</v>
      </c>
      <c r="BS278" t="e">
        <f t="shared" ca="1" si="235"/>
        <v>#N/A</v>
      </c>
      <c r="BT278" t="e">
        <f t="shared" ca="1" si="236"/>
        <v>#N/A</v>
      </c>
      <c r="BU278">
        <f t="shared" ca="1" si="237"/>
        <v>0</v>
      </c>
      <c r="BV278">
        <f t="shared" ca="1" si="238"/>
        <v>0</v>
      </c>
      <c r="BW278">
        <f t="shared" ca="1" si="239"/>
        <v>0</v>
      </c>
      <c r="BX278">
        <f t="shared" ca="1" si="240"/>
        <v>0</v>
      </c>
      <c r="BY278">
        <f t="shared" ca="1" si="241"/>
        <v>0</v>
      </c>
      <c r="BZ278">
        <f t="shared" ca="1" si="211"/>
        <v>0</v>
      </c>
      <c r="CA278">
        <f t="shared" ca="1" si="212"/>
        <v>0</v>
      </c>
    </row>
    <row r="279" spans="1:79" x14ac:dyDescent="0.4">
      <c r="A279" t="str">
        <f t="shared" si="197"/>
        <v>X</v>
      </c>
      <c r="B279">
        <v>268</v>
      </c>
      <c r="C279" t="e" cm="1">
        <f t="array" ref="C279">INDEX(auto_Series_Code,B279)</f>
        <v>#REF!</v>
      </c>
      <c r="D279" t="e" cm="1">
        <f t="array" ref="D279">INDEX(auto_tblSeries,$B279,D$11)</f>
        <v>#REF!</v>
      </c>
      <c r="E279" t="e" cm="1">
        <f t="array" ref="E279">INDEX(auto_tblSeries,$B279,E$11)</f>
        <v>#REF!</v>
      </c>
      <c r="F279" t="e" cm="1">
        <f t="array" ref="F279">INDEX(auto_tblSeries,$B279,F$11)</f>
        <v>#REF!</v>
      </c>
      <c r="G279" t="e" cm="1">
        <f t="array" ref="G279">INDEX(auto_tblSeries,$B279,G$11)</f>
        <v>#REF!</v>
      </c>
      <c r="H279" t="e" cm="1">
        <f t="array" ref="H279">INDEX(auto_tblSeries,$B279,H$11)</f>
        <v>#REF!</v>
      </c>
      <c r="I279" t="e">
        <f t="shared" si="70"/>
        <v>#REF!</v>
      </c>
      <c r="K279" t="e" cm="1">
        <f t="array" ref="K279">INDEX(auto_DataFlat_Score,$I279,K$10)</f>
        <v>#REF!</v>
      </c>
      <c r="L279" t="e" cm="1">
        <f t="array" ref="L279">INDEX(auto_DataFlat_Rank,$I279,L$10)</f>
        <v>#REF!</v>
      </c>
      <c r="M279" t="e" cm="1">
        <f t="array" ref="M279">INDEX(auto_DataFlat_DataValue,$I279,M$10)</f>
        <v>#REF!</v>
      </c>
      <c r="N279" t="e" cm="1">
        <f t="array" ref="N279">INDEX(auto_DataFlat_Classification,$I279,M$10)</f>
        <v>#REF!</v>
      </c>
      <c r="O279" t="e" cm="1">
        <f t="array" ref="O279">INDEX(auto_DataFlat_IsEstimate,$I279,O$10)</f>
        <v>#REF!</v>
      </c>
      <c r="P279" t="e" cm="1">
        <f t="array" ref="P279">IF(INDEX(auto_DataFlat_DataYear,$I279,P$10)=0,"n/a",INDEX(auto_DataFlat_DataYear,$I279,P$10))</f>
        <v>#REF!</v>
      </c>
      <c r="R279" t="e">
        <f t="shared" si="209"/>
        <v>#REF!</v>
      </c>
      <c r="S279" t="e" cm="1">
        <f t="array" ref="S279">INDEX(auto_DataFlat_Score,$R279,S$10)</f>
        <v>#REF!</v>
      </c>
      <c r="U279" t="str">
        <f t="shared" si="213"/>
        <v>n/a</v>
      </c>
      <c r="V279">
        <f t="shared" si="214"/>
        <v>1</v>
      </c>
      <c r="W279" t="e">
        <f t="shared" si="215"/>
        <v>#REF!</v>
      </c>
      <c r="X279" t="e">
        <f t="shared" ca="1" si="216"/>
        <v>#N/A</v>
      </c>
      <c r="Y279" t="e">
        <f t="shared" ca="1" si="216"/>
        <v>#N/A</v>
      </c>
      <c r="Z279" t="e">
        <f t="shared" ca="1" si="216"/>
        <v>#N/A</v>
      </c>
      <c r="AB279">
        <f t="shared" ca="1" si="207"/>
        <v>0</v>
      </c>
      <c r="AC279">
        <f t="shared" ca="1" si="207"/>
        <v>0</v>
      </c>
      <c r="AD279">
        <f t="shared" ca="1" si="207"/>
        <v>0</v>
      </c>
      <c r="AF279" t="e">
        <f t="shared" si="217"/>
        <v>#REF!</v>
      </c>
      <c r="AG279" t="e">
        <f t="shared" ca="1" si="218"/>
        <v>#N/A</v>
      </c>
      <c r="AH279" t="e">
        <f t="shared" ca="1" si="218"/>
        <v>#N/A</v>
      </c>
      <c r="AI279" t="e">
        <f t="shared" ca="1" si="218"/>
        <v>#N/A</v>
      </c>
      <c r="AJ279" t="e">
        <f t="shared" ca="1" si="218"/>
        <v>#N/A</v>
      </c>
      <c r="AK279" t="e">
        <f t="shared" ca="1" si="218"/>
        <v>#N/A</v>
      </c>
      <c r="AL279" t="e">
        <f t="shared" ca="1" si="218"/>
        <v>#N/A</v>
      </c>
      <c r="AM279" t="e">
        <f t="shared" ca="1" si="218"/>
        <v>#N/A</v>
      </c>
      <c r="AN279">
        <f t="shared" ca="1" si="219"/>
        <v>0</v>
      </c>
      <c r="AO279">
        <f t="shared" ca="1" si="220"/>
        <v>0</v>
      </c>
      <c r="AP279">
        <f t="shared" ca="1" si="221"/>
        <v>0</v>
      </c>
      <c r="AQ279">
        <f t="shared" ca="1" si="222"/>
        <v>0</v>
      </c>
      <c r="AR279">
        <f t="shared" ca="1" si="223"/>
        <v>0</v>
      </c>
      <c r="AS279">
        <f t="shared" ca="1" si="224"/>
        <v>0</v>
      </c>
      <c r="AT279">
        <f t="shared" ca="1" si="225"/>
        <v>0</v>
      </c>
      <c r="AV279" t="e">
        <f t="shared" si="206"/>
        <v>#REF!</v>
      </c>
      <c r="AW279" t="e" cm="1">
        <f t="array" ref="AW279">INDEX(auto_DataFlat_Score,$AV279,1)</f>
        <v>#REF!</v>
      </c>
      <c r="AX279" t="e" cm="1">
        <f t="array" ref="AX279">INDEX(auto_DataFlat_DataValue,$AV279,1)</f>
        <v>#REF!</v>
      </c>
      <c r="BA279" t="str">
        <f t="shared" si="226"/>
        <v>n/a</v>
      </c>
      <c r="BB279">
        <f t="shared" si="227"/>
        <v>1</v>
      </c>
      <c r="BC279" t="e">
        <f t="shared" si="228"/>
        <v>#REF!</v>
      </c>
      <c r="BD279" t="e">
        <f t="shared" ca="1" si="210"/>
        <v>#N/A</v>
      </c>
      <c r="BE279" t="e">
        <f t="shared" ca="1" si="210"/>
        <v>#N/A</v>
      </c>
      <c r="BF279" t="e">
        <f t="shared" ca="1" si="210"/>
        <v>#N/A</v>
      </c>
      <c r="BH279">
        <f t="shared" ca="1" si="208"/>
        <v>0</v>
      </c>
      <c r="BI279">
        <f t="shared" ca="1" si="208"/>
        <v>0</v>
      </c>
      <c r="BJ279">
        <f t="shared" ca="1" si="208"/>
        <v>0</v>
      </c>
      <c r="BM279" t="e">
        <f t="shared" si="229"/>
        <v>#REF!</v>
      </c>
      <c r="BN279" t="e">
        <f t="shared" ca="1" si="230"/>
        <v>#N/A</v>
      </c>
      <c r="BO279" t="e">
        <f t="shared" ca="1" si="231"/>
        <v>#N/A</v>
      </c>
      <c r="BP279" t="e">
        <f t="shared" ca="1" si="232"/>
        <v>#N/A</v>
      </c>
      <c r="BQ279" t="e">
        <f t="shared" ca="1" si="233"/>
        <v>#N/A</v>
      </c>
      <c r="BR279" t="e">
        <f t="shared" ca="1" si="234"/>
        <v>#N/A</v>
      </c>
      <c r="BS279" t="e">
        <f t="shared" ca="1" si="235"/>
        <v>#N/A</v>
      </c>
      <c r="BT279" t="e">
        <f t="shared" ca="1" si="236"/>
        <v>#N/A</v>
      </c>
      <c r="BU279">
        <f t="shared" ca="1" si="237"/>
        <v>0</v>
      </c>
      <c r="BV279">
        <f t="shared" ca="1" si="238"/>
        <v>0</v>
      </c>
      <c r="BW279">
        <f t="shared" ca="1" si="239"/>
        <v>0</v>
      </c>
      <c r="BX279">
        <f t="shared" ca="1" si="240"/>
        <v>0</v>
      </c>
      <c r="BY279">
        <f t="shared" ca="1" si="241"/>
        <v>0</v>
      </c>
      <c r="BZ279">
        <f t="shared" ca="1" si="211"/>
        <v>0</v>
      </c>
      <c r="CA279">
        <f t="shared" ca="1" si="212"/>
        <v>0</v>
      </c>
    </row>
    <row r="280" spans="1:79" x14ac:dyDescent="0.4">
      <c r="A280" t="str">
        <f t="shared" si="197"/>
        <v>X</v>
      </c>
      <c r="B280">
        <v>269</v>
      </c>
      <c r="C280" t="e" cm="1">
        <f t="array" ref="C280">INDEX(auto_Series_Code,B280)</f>
        <v>#REF!</v>
      </c>
      <c r="D280" t="e" cm="1">
        <f t="array" ref="D280">INDEX(auto_tblSeries,$B280,D$11)</f>
        <v>#REF!</v>
      </c>
      <c r="E280" t="e" cm="1">
        <f t="array" ref="E280">INDEX(auto_tblSeries,$B280,E$11)</f>
        <v>#REF!</v>
      </c>
      <c r="F280" t="e" cm="1">
        <f t="array" ref="F280">INDEX(auto_tblSeries,$B280,F$11)</f>
        <v>#REF!</v>
      </c>
      <c r="G280" t="e" cm="1">
        <f t="array" ref="G280">INDEX(auto_tblSeries,$B280,G$11)</f>
        <v>#REF!</v>
      </c>
      <c r="H280" t="e" cm="1">
        <f t="array" ref="H280">INDEX(auto_tblSeries,$B280,H$11)</f>
        <v>#REF!</v>
      </c>
      <c r="I280" t="e">
        <f t="shared" si="70"/>
        <v>#REF!</v>
      </c>
      <c r="K280" t="e" cm="1">
        <f t="array" ref="K280">INDEX(auto_DataFlat_Score,$I280,K$10)</f>
        <v>#REF!</v>
      </c>
      <c r="L280" t="e" cm="1">
        <f t="array" ref="L280">INDEX(auto_DataFlat_Rank,$I280,L$10)</f>
        <v>#REF!</v>
      </c>
      <c r="M280" t="e" cm="1">
        <f t="array" ref="M280">INDEX(auto_DataFlat_DataValue,$I280,M$10)</f>
        <v>#REF!</v>
      </c>
      <c r="N280" t="e" cm="1">
        <f t="array" ref="N280">INDEX(auto_DataFlat_Classification,$I280,M$10)</f>
        <v>#REF!</v>
      </c>
      <c r="O280" t="e" cm="1">
        <f t="array" ref="O280">INDEX(auto_DataFlat_IsEstimate,$I280,O$10)</f>
        <v>#REF!</v>
      </c>
      <c r="P280" t="e" cm="1">
        <f t="array" ref="P280">IF(INDEX(auto_DataFlat_DataYear,$I280,P$10)=0,"n/a",INDEX(auto_DataFlat_DataYear,$I280,P$10))</f>
        <v>#REF!</v>
      </c>
      <c r="R280" t="e">
        <f t="shared" si="209"/>
        <v>#REF!</v>
      </c>
      <c r="S280" t="e" cm="1">
        <f t="array" ref="S280">INDEX(auto_DataFlat_Score,$R280,S$10)</f>
        <v>#REF!</v>
      </c>
      <c r="U280" t="str">
        <f t="shared" si="213"/>
        <v>n/a</v>
      </c>
      <c r="V280">
        <f t="shared" si="214"/>
        <v>1</v>
      </c>
      <c r="W280" t="e">
        <f t="shared" si="215"/>
        <v>#REF!</v>
      </c>
      <c r="X280" t="e">
        <f t="shared" ca="1" si="216"/>
        <v>#N/A</v>
      </c>
      <c r="Y280" t="e">
        <f t="shared" ca="1" si="216"/>
        <v>#N/A</v>
      </c>
      <c r="Z280" t="e">
        <f t="shared" ca="1" si="216"/>
        <v>#N/A</v>
      </c>
      <c r="AB280">
        <f t="shared" ca="1" si="207"/>
        <v>0</v>
      </c>
      <c r="AC280">
        <f t="shared" ca="1" si="207"/>
        <v>0</v>
      </c>
      <c r="AD280">
        <f t="shared" ca="1" si="207"/>
        <v>0</v>
      </c>
      <c r="AF280" t="e">
        <f t="shared" si="217"/>
        <v>#REF!</v>
      </c>
      <c r="AG280" t="e">
        <f t="shared" ca="1" si="218"/>
        <v>#N/A</v>
      </c>
      <c r="AH280" t="e">
        <f t="shared" ca="1" si="218"/>
        <v>#N/A</v>
      </c>
      <c r="AI280" t="e">
        <f t="shared" ca="1" si="218"/>
        <v>#N/A</v>
      </c>
      <c r="AJ280" t="e">
        <f t="shared" ca="1" si="218"/>
        <v>#N/A</v>
      </c>
      <c r="AK280" t="e">
        <f t="shared" ca="1" si="218"/>
        <v>#N/A</v>
      </c>
      <c r="AL280" t="e">
        <f t="shared" ca="1" si="218"/>
        <v>#N/A</v>
      </c>
      <c r="AM280" t="e">
        <f t="shared" ca="1" si="218"/>
        <v>#N/A</v>
      </c>
      <c r="AN280">
        <f t="shared" ca="1" si="219"/>
        <v>0</v>
      </c>
      <c r="AO280">
        <f t="shared" ca="1" si="220"/>
        <v>0</v>
      </c>
      <c r="AP280">
        <f t="shared" ca="1" si="221"/>
        <v>0</v>
      </c>
      <c r="AQ280">
        <f t="shared" ca="1" si="222"/>
        <v>0</v>
      </c>
      <c r="AR280">
        <f t="shared" ca="1" si="223"/>
        <v>0</v>
      </c>
      <c r="AS280">
        <f t="shared" ca="1" si="224"/>
        <v>0</v>
      </c>
      <c r="AT280">
        <f t="shared" ca="1" si="225"/>
        <v>0</v>
      </c>
      <c r="AV280" t="e">
        <f t="shared" si="206"/>
        <v>#REF!</v>
      </c>
      <c r="AW280" t="e" cm="1">
        <f t="array" ref="AW280">INDEX(auto_DataFlat_Score,$AV280,1)</f>
        <v>#REF!</v>
      </c>
      <c r="AX280" t="e" cm="1">
        <f t="array" ref="AX280">INDEX(auto_DataFlat_DataValue,$AV280,1)</f>
        <v>#REF!</v>
      </c>
      <c r="BA280" t="str">
        <f t="shared" si="226"/>
        <v>n/a</v>
      </c>
      <c r="BB280">
        <f t="shared" si="227"/>
        <v>1</v>
      </c>
      <c r="BC280" t="e">
        <f t="shared" si="228"/>
        <v>#REF!</v>
      </c>
      <c r="BD280" t="e">
        <f t="shared" ca="1" si="210"/>
        <v>#N/A</v>
      </c>
      <c r="BE280" t="e">
        <f t="shared" ca="1" si="210"/>
        <v>#N/A</v>
      </c>
      <c r="BF280" t="e">
        <f t="shared" ca="1" si="210"/>
        <v>#N/A</v>
      </c>
      <c r="BH280">
        <f t="shared" ca="1" si="208"/>
        <v>0</v>
      </c>
      <c r="BI280">
        <f t="shared" ca="1" si="208"/>
        <v>0</v>
      </c>
      <c r="BJ280">
        <f t="shared" ca="1" si="208"/>
        <v>0</v>
      </c>
      <c r="BM280" t="e">
        <f t="shared" si="229"/>
        <v>#REF!</v>
      </c>
      <c r="BN280" t="e">
        <f t="shared" ca="1" si="230"/>
        <v>#N/A</v>
      </c>
      <c r="BO280" t="e">
        <f t="shared" ca="1" si="231"/>
        <v>#N/A</v>
      </c>
      <c r="BP280" t="e">
        <f t="shared" ca="1" si="232"/>
        <v>#N/A</v>
      </c>
      <c r="BQ280" t="e">
        <f t="shared" ca="1" si="233"/>
        <v>#N/A</v>
      </c>
      <c r="BR280" t="e">
        <f t="shared" ca="1" si="234"/>
        <v>#N/A</v>
      </c>
      <c r="BS280" t="e">
        <f t="shared" ca="1" si="235"/>
        <v>#N/A</v>
      </c>
      <c r="BT280" t="e">
        <f t="shared" ca="1" si="236"/>
        <v>#N/A</v>
      </c>
      <c r="BU280">
        <f t="shared" ca="1" si="237"/>
        <v>0</v>
      </c>
      <c r="BV280">
        <f t="shared" ca="1" si="238"/>
        <v>0</v>
      </c>
      <c r="BW280">
        <f t="shared" ca="1" si="239"/>
        <v>0</v>
      </c>
      <c r="BX280">
        <f t="shared" ca="1" si="240"/>
        <v>0</v>
      </c>
      <c r="BY280">
        <f t="shared" ca="1" si="241"/>
        <v>0</v>
      </c>
      <c r="BZ280">
        <f t="shared" ca="1" si="211"/>
        <v>0</v>
      </c>
      <c r="CA280">
        <f t="shared" ca="1" si="212"/>
        <v>0</v>
      </c>
    </row>
    <row r="281" spans="1:79" x14ac:dyDescent="0.4">
      <c r="A281" t="str">
        <f t="shared" si="197"/>
        <v>X</v>
      </c>
      <c r="B281">
        <v>270</v>
      </c>
      <c r="C281" t="e" cm="1">
        <f t="array" ref="C281">INDEX(auto_Series_Code,B281)</f>
        <v>#REF!</v>
      </c>
      <c r="D281" t="e" cm="1">
        <f t="array" ref="D281">INDEX(auto_tblSeries,$B281,D$11)</f>
        <v>#REF!</v>
      </c>
      <c r="E281" t="e" cm="1">
        <f t="array" ref="E281">INDEX(auto_tblSeries,$B281,E$11)</f>
        <v>#REF!</v>
      </c>
      <c r="F281" t="e" cm="1">
        <f t="array" ref="F281">INDEX(auto_tblSeries,$B281,F$11)</f>
        <v>#REF!</v>
      </c>
      <c r="G281" t="e" cm="1">
        <f t="array" ref="G281">INDEX(auto_tblSeries,$B281,G$11)</f>
        <v>#REF!</v>
      </c>
      <c r="H281" t="e" cm="1">
        <f t="array" ref="H281">INDEX(auto_tblSeries,$B281,H$11)</f>
        <v>#REF!</v>
      </c>
      <c r="I281" t="e">
        <f t="shared" si="70"/>
        <v>#REF!</v>
      </c>
      <c r="K281" t="e" cm="1">
        <f t="array" ref="K281">INDEX(auto_DataFlat_Score,$I281,K$10)</f>
        <v>#REF!</v>
      </c>
      <c r="L281" t="e" cm="1">
        <f t="array" ref="L281">INDEX(auto_DataFlat_Rank,$I281,L$10)</f>
        <v>#REF!</v>
      </c>
      <c r="M281" t="e" cm="1">
        <f t="array" ref="M281">INDEX(auto_DataFlat_DataValue,$I281,M$10)</f>
        <v>#REF!</v>
      </c>
      <c r="N281" t="e" cm="1">
        <f t="array" ref="N281">INDEX(auto_DataFlat_Classification,$I281,M$10)</f>
        <v>#REF!</v>
      </c>
      <c r="O281" t="e" cm="1">
        <f t="array" ref="O281">INDEX(auto_DataFlat_IsEstimate,$I281,O$10)</f>
        <v>#REF!</v>
      </c>
      <c r="P281" t="e" cm="1">
        <f t="array" ref="P281">IF(INDEX(auto_DataFlat_DataYear,$I281,P$10)=0,"n/a",INDEX(auto_DataFlat_DataYear,$I281,P$10))</f>
        <v>#REF!</v>
      </c>
      <c r="R281" t="e">
        <f t="shared" si="209"/>
        <v>#REF!</v>
      </c>
      <c r="S281" t="e" cm="1">
        <f t="array" ref="S281">INDEX(auto_DataFlat_Score,$R281,S$10)</f>
        <v>#REF!</v>
      </c>
      <c r="U281" t="str">
        <f t="shared" si="213"/>
        <v>n/a</v>
      </c>
      <c r="V281">
        <f t="shared" si="214"/>
        <v>1</v>
      </c>
      <c r="W281" t="e">
        <f t="shared" si="215"/>
        <v>#REF!</v>
      </c>
      <c r="X281" t="e">
        <f t="shared" ca="1" si="216"/>
        <v>#N/A</v>
      </c>
      <c r="Y281" t="e">
        <f t="shared" ca="1" si="216"/>
        <v>#N/A</v>
      </c>
      <c r="Z281" t="e">
        <f t="shared" ca="1" si="216"/>
        <v>#N/A</v>
      </c>
      <c r="AB281">
        <f t="shared" ca="1" si="207"/>
        <v>0</v>
      </c>
      <c r="AC281">
        <f t="shared" ca="1" si="207"/>
        <v>0</v>
      </c>
      <c r="AD281">
        <f t="shared" ca="1" si="207"/>
        <v>0</v>
      </c>
      <c r="AF281" t="e">
        <f t="shared" si="217"/>
        <v>#REF!</v>
      </c>
      <c r="AG281" t="e">
        <f t="shared" ca="1" si="218"/>
        <v>#N/A</v>
      </c>
      <c r="AH281" t="e">
        <f t="shared" ca="1" si="218"/>
        <v>#N/A</v>
      </c>
      <c r="AI281" t="e">
        <f t="shared" ca="1" si="218"/>
        <v>#N/A</v>
      </c>
      <c r="AJ281" t="e">
        <f t="shared" ca="1" si="218"/>
        <v>#N/A</v>
      </c>
      <c r="AK281" t="e">
        <f t="shared" ca="1" si="218"/>
        <v>#N/A</v>
      </c>
      <c r="AL281" t="e">
        <f t="shared" ca="1" si="218"/>
        <v>#N/A</v>
      </c>
      <c r="AM281" t="e">
        <f t="shared" ca="1" si="218"/>
        <v>#N/A</v>
      </c>
      <c r="AN281">
        <f t="shared" ca="1" si="219"/>
        <v>0</v>
      </c>
      <c r="AO281">
        <f t="shared" ca="1" si="220"/>
        <v>0</v>
      </c>
      <c r="AP281">
        <f t="shared" ca="1" si="221"/>
        <v>0</v>
      </c>
      <c r="AQ281">
        <f t="shared" ca="1" si="222"/>
        <v>0</v>
      </c>
      <c r="AR281">
        <f t="shared" ca="1" si="223"/>
        <v>0</v>
      </c>
      <c r="AS281">
        <f t="shared" ca="1" si="224"/>
        <v>0</v>
      </c>
      <c r="AT281">
        <f t="shared" ca="1" si="225"/>
        <v>0</v>
      </c>
      <c r="AV281" t="e">
        <f t="shared" si="206"/>
        <v>#REF!</v>
      </c>
      <c r="AW281" t="e" cm="1">
        <f t="array" ref="AW281">INDEX(auto_DataFlat_Score,$AV281,1)</f>
        <v>#REF!</v>
      </c>
      <c r="AX281" t="e" cm="1">
        <f t="array" ref="AX281">INDEX(auto_DataFlat_DataValue,$AV281,1)</f>
        <v>#REF!</v>
      </c>
      <c r="BA281" t="str">
        <f t="shared" si="226"/>
        <v>n/a</v>
      </c>
      <c r="BB281">
        <f t="shared" si="227"/>
        <v>1</v>
      </c>
      <c r="BC281" t="e">
        <f t="shared" si="228"/>
        <v>#REF!</v>
      </c>
      <c r="BD281" t="e">
        <f t="shared" ca="1" si="210"/>
        <v>#N/A</v>
      </c>
      <c r="BE281" t="e">
        <f t="shared" ca="1" si="210"/>
        <v>#N/A</v>
      </c>
      <c r="BF281" t="e">
        <f t="shared" ca="1" si="210"/>
        <v>#N/A</v>
      </c>
      <c r="BH281">
        <f t="shared" ca="1" si="208"/>
        <v>0</v>
      </c>
      <c r="BI281">
        <f t="shared" ca="1" si="208"/>
        <v>0</v>
      </c>
      <c r="BJ281">
        <f t="shared" ca="1" si="208"/>
        <v>0</v>
      </c>
      <c r="BM281" t="e">
        <f t="shared" si="229"/>
        <v>#REF!</v>
      </c>
      <c r="BN281" t="e">
        <f t="shared" ca="1" si="230"/>
        <v>#N/A</v>
      </c>
      <c r="BO281" t="e">
        <f t="shared" ca="1" si="231"/>
        <v>#N/A</v>
      </c>
      <c r="BP281" t="e">
        <f t="shared" ca="1" si="232"/>
        <v>#N/A</v>
      </c>
      <c r="BQ281" t="e">
        <f t="shared" ca="1" si="233"/>
        <v>#N/A</v>
      </c>
      <c r="BR281" t="e">
        <f t="shared" ca="1" si="234"/>
        <v>#N/A</v>
      </c>
      <c r="BS281" t="e">
        <f t="shared" ca="1" si="235"/>
        <v>#N/A</v>
      </c>
      <c r="BT281" t="e">
        <f t="shared" ca="1" si="236"/>
        <v>#N/A</v>
      </c>
      <c r="BU281">
        <f t="shared" ca="1" si="237"/>
        <v>0</v>
      </c>
      <c r="BV281">
        <f t="shared" ca="1" si="238"/>
        <v>0</v>
      </c>
      <c r="BW281">
        <f t="shared" ca="1" si="239"/>
        <v>0</v>
      </c>
      <c r="BX281">
        <f t="shared" ca="1" si="240"/>
        <v>0</v>
      </c>
      <c r="BY281">
        <f t="shared" ca="1" si="241"/>
        <v>0</v>
      </c>
      <c r="BZ281">
        <f t="shared" ca="1" si="211"/>
        <v>0</v>
      </c>
      <c r="CA281">
        <f t="shared" ca="1" si="212"/>
        <v>0</v>
      </c>
    </row>
    <row r="282" spans="1:79" x14ac:dyDescent="0.4">
      <c r="A282" t="str">
        <f t="shared" si="197"/>
        <v>X</v>
      </c>
      <c r="B282">
        <v>271</v>
      </c>
      <c r="C282" t="e" cm="1">
        <f t="array" ref="C282">INDEX(auto_Series_Code,B282)</f>
        <v>#REF!</v>
      </c>
      <c r="D282" t="e" cm="1">
        <f t="array" ref="D282">INDEX(auto_tblSeries,$B282,D$11)</f>
        <v>#REF!</v>
      </c>
      <c r="E282" t="e" cm="1">
        <f t="array" ref="E282">INDEX(auto_tblSeries,$B282,E$11)</f>
        <v>#REF!</v>
      </c>
      <c r="F282" t="e" cm="1">
        <f t="array" ref="F282">INDEX(auto_tblSeries,$B282,F$11)</f>
        <v>#REF!</v>
      </c>
      <c r="G282" t="e" cm="1">
        <f t="array" ref="G282">INDEX(auto_tblSeries,$B282,G$11)</f>
        <v>#REF!</v>
      </c>
      <c r="H282" t="e" cm="1">
        <f t="array" ref="H282">INDEX(auto_tblSeries,$B282,H$11)</f>
        <v>#REF!</v>
      </c>
      <c r="I282" t="e">
        <f t="shared" si="70"/>
        <v>#REF!</v>
      </c>
      <c r="K282" t="e" cm="1">
        <f t="array" ref="K282">INDEX(auto_DataFlat_Score,$I282,K$10)</f>
        <v>#REF!</v>
      </c>
      <c r="L282" t="e" cm="1">
        <f t="array" ref="L282">INDEX(auto_DataFlat_Rank,$I282,L$10)</f>
        <v>#REF!</v>
      </c>
      <c r="M282" t="e" cm="1">
        <f t="array" ref="M282">INDEX(auto_DataFlat_DataValue,$I282,M$10)</f>
        <v>#REF!</v>
      </c>
      <c r="N282" t="e" cm="1">
        <f t="array" ref="N282">INDEX(auto_DataFlat_Classification,$I282,M$10)</f>
        <v>#REF!</v>
      </c>
      <c r="O282" t="e" cm="1">
        <f t="array" ref="O282">INDEX(auto_DataFlat_IsEstimate,$I282,O$10)</f>
        <v>#REF!</v>
      </c>
      <c r="P282" t="e" cm="1">
        <f t="array" ref="P282">IF(INDEX(auto_DataFlat_DataYear,$I282,P$10)=0,"n/a",INDEX(auto_DataFlat_DataYear,$I282,P$10))</f>
        <v>#REF!</v>
      </c>
      <c r="R282" t="e">
        <f t="shared" si="209"/>
        <v>#REF!</v>
      </c>
      <c r="S282" t="e" cm="1">
        <f t="array" ref="S282">INDEX(auto_DataFlat_Score,$R282,S$10)</f>
        <v>#REF!</v>
      </c>
      <c r="U282" t="str">
        <f t="shared" si="213"/>
        <v>n/a</v>
      </c>
      <c r="V282">
        <f t="shared" si="214"/>
        <v>1</v>
      </c>
      <c r="W282" t="e">
        <f t="shared" si="215"/>
        <v>#REF!</v>
      </c>
      <c r="X282" t="e">
        <f t="shared" ca="1" si="216"/>
        <v>#N/A</v>
      </c>
      <c r="Y282" t="e">
        <f t="shared" ca="1" si="216"/>
        <v>#N/A</v>
      </c>
      <c r="Z282" t="e">
        <f t="shared" ca="1" si="216"/>
        <v>#N/A</v>
      </c>
      <c r="AB282">
        <f t="shared" ca="1" si="207"/>
        <v>0</v>
      </c>
      <c r="AC282">
        <f t="shared" ca="1" si="207"/>
        <v>0</v>
      </c>
      <c r="AD282">
        <f t="shared" ca="1" si="207"/>
        <v>0</v>
      </c>
      <c r="AF282" t="e">
        <f t="shared" si="217"/>
        <v>#REF!</v>
      </c>
      <c r="AG282" t="e">
        <f t="shared" ca="1" si="218"/>
        <v>#N/A</v>
      </c>
      <c r="AH282" t="e">
        <f t="shared" ca="1" si="218"/>
        <v>#N/A</v>
      </c>
      <c r="AI282" t="e">
        <f t="shared" ca="1" si="218"/>
        <v>#N/A</v>
      </c>
      <c r="AJ282" t="e">
        <f t="shared" ca="1" si="218"/>
        <v>#N/A</v>
      </c>
      <c r="AK282" t="e">
        <f t="shared" ca="1" si="218"/>
        <v>#N/A</v>
      </c>
      <c r="AL282" t="e">
        <f t="shared" ca="1" si="218"/>
        <v>#N/A</v>
      </c>
      <c r="AM282" t="e">
        <f t="shared" ca="1" si="218"/>
        <v>#N/A</v>
      </c>
      <c r="AN282">
        <f t="shared" ca="1" si="219"/>
        <v>0</v>
      </c>
      <c r="AO282">
        <f t="shared" ca="1" si="220"/>
        <v>0</v>
      </c>
      <c r="AP282">
        <f t="shared" ca="1" si="221"/>
        <v>0</v>
      </c>
      <c r="AQ282">
        <f t="shared" ca="1" si="222"/>
        <v>0</v>
      </c>
      <c r="AR282">
        <f t="shared" ca="1" si="223"/>
        <v>0</v>
      </c>
      <c r="AS282">
        <f t="shared" ca="1" si="224"/>
        <v>0</v>
      </c>
      <c r="AT282">
        <f t="shared" ca="1" si="225"/>
        <v>0</v>
      </c>
      <c r="AV282" t="e">
        <f t="shared" si="206"/>
        <v>#REF!</v>
      </c>
      <c r="AW282" t="e" cm="1">
        <f t="array" ref="AW282">INDEX(auto_DataFlat_Score,$AV282,1)</f>
        <v>#REF!</v>
      </c>
      <c r="AX282" t="e" cm="1">
        <f t="array" ref="AX282">INDEX(auto_DataFlat_DataValue,$AV282,1)</f>
        <v>#REF!</v>
      </c>
      <c r="BA282" t="str">
        <f t="shared" si="226"/>
        <v>n/a</v>
      </c>
      <c r="BB282">
        <f t="shared" si="227"/>
        <v>1</v>
      </c>
      <c r="BC282" t="e">
        <f t="shared" si="228"/>
        <v>#REF!</v>
      </c>
      <c r="BD282" t="e">
        <f t="shared" ca="1" si="210"/>
        <v>#N/A</v>
      </c>
      <c r="BE282" t="e">
        <f t="shared" ca="1" si="210"/>
        <v>#N/A</v>
      </c>
      <c r="BF282" t="e">
        <f t="shared" ca="1" si="210"/>
        <v>#N/A</v>
      </c>
      <c r="BH282">
        <f t="shared" ca="1" si="208"/>
        <v>0</v>
      </c>
      <c r="BI282">
        <f t="shared" ca="1" si="208"/>
        <v>0</v>
      </c>
      <c r="BJ282">
        <f t="shared" ca="1" si="208"/>
        <v>0</v>
      </c>
      <c r="BM282" t="e">
        <f t="shared" si="229"/>
        <v>#REF!</v>
      </c>
      <c r="BN282" t="e">
        <f t="shared" ca="1" si="230"/>
        <v>#N/A</v>
      </c>
      <c r="BO282" t="e">
        <f t="shared" ca="1" si="231"/>
        <v>#N/A</v>
      </c>
      <c r="BP282" t="e">
        <f t="shared" ca="1" si="232"/>
        <v>#N/A</v>
      </c>
      <c r="BQ282" t="e">
        <f t="shared" ca="1" si="233"/>
        <v>#N/A</v>
      </c>
      <c r="BR282" t="e">
        <f t="shared" ca="1" si="234"/>
        <v>#N/A</v>
      </c>
      <c r="BS282" t="e">
        <f t="shared" ca="1" si="235"/>
        <v>#N/A</v>
      </c>
      <c r="BT282" t="e">
        <f t="shared" ca="1" si="236"/>
        <v>#N/A</v>
      </c>
      <c r="BU282">
        <f t="shared" ca="1" si="237"/>
        <v>0</v>
      </c>
      <c r="BV282">
        <f t="shared" ca="1" si="238"/>
        <v>0</v>
      </c>
      <c r="BW282">
        <f t="shared" ca="1" si="239"/>
        <v>0</v>
      </c>
      <c r="BX282">
        <f t="shared" ca="1" si="240"/>
        <v>0</v>
      </c>
      <c r="BY282">
        <f t="shared" ca="1" si="241"/>
        <v>0</v>
      </c>
      <c r="BZ282">
        <f t="shared" ca="1" si="211"/>
        <v>0</v>
      </c>
      <c r="CA282">
        <f t="shared" ca="1" si="212"/>
        <v>0</v>
      </c>
    </row>
    <row r="283" spans="1:79" x14ac:dyDescent="0.4">
      <c r="A283" t="str">
        <f t="shared" si="197"/>
        <v>X</v>
      </c>
      <c r="B283">
        <v>272</v>
      </c>
      <c r="C283" t="e" cm="1">
        <f t="array" ref="C283">INDEX(auto_Series_Code,B283)</f>
        <v>#REF!</v>
      </c>
      <c r="D283" t="e" cm="1">
        <f t="array" ref="D283">INDEX(auto_tblSeries,$B283,D$11)</f>
        <v>#REF!</v>
      </c>
      <c r="E283" t="e" cm="1">
        <f t="array" ref="E283">INDEX(auto_tblSeries,$B283,E$11)</f>
        <v>#REF!</v>
      </c>
      <c r="F283" t="e" cm="1">
        <f t="array" ref="F283">INDEX(auto_tblSeries,$B283,F$11)</f>
        <v>#REF!</v>
      </c>
      <c r="G283" t="e" cm="1">
        <f t="array" ref="G283">INDEX(auto_tblSeries,$B283,G$11)</f>
        <v>#REF!</v>
      </c>
      <c r="H283" t="e" cm="1">
        <f t="array" ref="H283">INDEX(auto_tblSeries,$B283,H$11)</f>
        <v>#REF!</v>
      </c>
      <c r="I283" t="e">
        <f t="shared" si="70"/>
        <v>#REF!</v>
      </c>
      <c r="K283" t="e" cm="1">
        <f t="array" ref="K283">INDEX(auto_DataFlat_Score,$I283,K$10)</f>
        <v>#REF!</v>
      </c>
      <c r="L283" t="e" cm="1">
        <f t="array" ref="L283">INDEX(auto_DataFlat_Rank,$I283,L$10)</f>
        <v>#REF!</v>
      </c>
      <c r="M283" t="e" cm="1">
        <f t="array" ref="M283">INDEX(auto_DataFlat_DataValue,$I283,M$10)</f>
        <v>#REF!</v>
      </c>
      <c r="N283" t="e" cm="1">
        <f t="array" ref="N283">INDEX(auto_DataFlat_Classification,$I283,M$10)</f>
        <v>#REF!</v>
      </c>
      <c r="O283" t="e" cm="1">
        <f t="array" ref="O283">INDEX(auto_DataFlat_IsEstimate,$I283,O$10)</f>
        <v>#REF!</v>
      </c>
      <c r="P283" t="e" cm="1">
        <f t="array" ref="P283">IF(INDEX(auto_DataFlat_DataYear,$I283,P$10)=0,"n/a",INDEX(auto_DataFlat_DataYear,$I283,P$10))</f>
        <v>#REF!</v>
      </c>
      <c r="R283" t="e">
        <f t="shared" si="209"/>
        <v>#REF!</v>
      </c>
      <c r="S283" t="e" cm="1">
        <f t="array" ref="S283">INDEX(auto_DataFlat_Score,$R283,S$10)</f>
        <v>#REF!</v>
      </c>
      <c r="U283" t="str">
        <f t="shared" si="213"/>
        <v>n/a</v>
      </c>
      <c r="V283">
        <f t="shared" si="214"/>
        <v>1</v>
      </c>
      <c r="W283" t="e">
        <f t="shared" si="215"/>
        <v>#REF!</v>
      </c>
      <c r="X283" t="e">
        <f t="shared" ca="1" si="216"/>
        <v>#N/A</v>
      </c>
      <c r="Y283" t="e">
        <f t="shared" ca="1" si="216"/>
        <v>#N/A</v>
      </c>
      <c r="Z283" t="e">
        <f t="shared" ca="1" si="216"/>
        <v>#N/A</v>
      </c>
      <c r="AB283">
        <f t="shared" ca="1" si="207"/>
        <v>0</v>
      </c>
      <c r="AC283">
        <f t="shared" ca="1" si="207"/>
        <v>0</v>
      </c>
      <c r="AD283">
        <f t="shared" ca="1" si="207"/>
        <v>0</v>
      </c>
      <c r="AF283" t="e">
        <f t="shared" si="217"/>
        <v>#REF!</v>
      </c>
      <c r="AG283" t="e">
        <f t="shared" ca="1" si="218"/>
        <v>#N/A</v>
      </c>
      <c r="AH283" t="e">
        <f t="shared" ca="1" si="218"/>
        <v>#N/A</v>
      </c>
      <c r="AI283" t="e">
        <f t="shared" ca="1" si="218"/>
        <v>#N/A</v>
      </c>
      <c r="AJ283" t="e">
        <f t="shared" ca="1" si="218"/>
        <v>#N/A</v>
      </c>
      <c r="AK283" t="e">
        <f t="shared" ca="1" si="218"/>
        <v>#N/A</v>
      </c>
      <c r="AL283" t="e">
        <f t="shared" ca="1" si="218"/>
        <v>#N/A</v>
      </c>
      <c r="AM283" t="e">
        <f t="shared" ca="1" si="218"/>
        <v>#N/A</v>
      </c>
      <c r="AN283">
        <f t="shared" ca="1" si="219"/>
        <v>0</v>
      </c>
      <c r="AO283">
        <f t="shared" ca="1" si="220"/>
        <v>0</v>
      </c>
      <c r="AP283">
        <f t="shared" ca="1" si="221"/>
        <v>0</v>
      </c>
      <c r="AQ283">
        <f t="shared" ca="1" si="222"/>
        <v>0</v>
      </c>
      <c r="AR283">
        <f t="shared" ca="1" si="223"/>
        <v>0</v>
      </c>
      <c r="AS283">
        <f t="shared" ca="1" si="224"/>
        <v>0</v>
      </c>
      <c r="AT283">
        <f t="shared" ca="1" si="225"/>
        <v>0</v>
      </c>
      <c r="AV283" t="e">
        <f t="shared" si="206"/>
        <v>#REF!</v>
      </c>
      <c r="AW283" t="e" cm="1">
        <f t="array" ref="AW283">INDEX(auto_DataFlat_Score,$AV283,1)</f>
        <v>#REF!</v>
      </c>
      <c r="AX283" t="e" cm="1">
        <f t="array" ref="AX283">INDEX(auto_DataFlat_DataValue,$AV283,1)</f>
        <v>#REF!</v>
      </c>
      <c r="BA283" t="str">
        <f t="shared" si="226"/>
        <v>n/a</v>
      </c>
      <c r="BB283">
        <f t="shared" si="227"/>
        <v>1</v>
      </c>
      <c r="BC283" t="e">
        <f t="shared" si="228"/>
        <v>#REF!</v>
      </c>
      <c r="BD283" t="e">
        <f t="shared" ca="1" si="210"/>
        <v>#N/A</v>
      </c>
      <c r="BE283" t="e">
        <f t="shared" ca="1" si="210"/>
        <v>#N/A</v>
      </c>
      <c r="BF283" t="e">
        <f t="shared" ca="1" si="210"/>
        <v>#N/A</v>
      </c>
      <c r="BH283">
        <f t="shared" ca="1" si="208"/>
        <v>0</v>
      </c>
      <c r="BI283">
        <f t="shared" ca="1" si="208"/>
        <v>0</v>
      </c>
      <c r="BJ283">
        <f t="shared" ca="1" si="208"/>
        <v>0</v>
      </c>
      <c r="BM283" t="e">
        <f t="shared" si="229"/>
        <v>#REF!</v>
      </c>
      <c r="BN283" t="e">
        <f t="shared" ca="1" si="230"/>
        <v>#N/A</v>
      </c>
      <c r="BO283" t="e">
        <f t="shared" ca="1" si="231"/>
        <v>#N/A</v>
      </c>
      <c r="BP283" t="e">
        <f t="shared" ca="1" si="232"/>
        <v>#N/A</v>
      </c>
      <c r="BQ283" t="e">
        <f t="shared" ca="1" si="233"/>
        <v>#N/A</v>
      </c>
      <c r="BR283" t="e">
        <f t="shared" ca="1" si="234"/>
        <v>#N/A</v>
      </c>
      <c r="BS283" t="e">
        <f t="shared" ca="1" si="235"/>
        <v>#N/A</v>
      </c>
      <c r="BT283" t="e">
        <f t="shared" ca="1" si="236"/>
        <v>#N/A</v>
      </c>
      <c r="BU283">
        <f t="shared" ca="1" si="237"/>
        <v>0</v>
      </c>
      <c r="BV283">
        <f t="shared" ca="1" si="238"/>
        <v>0</v>
      </c>
      <c r="BW283">
        <f t="shared" ca="1" si="239"/>
        <v>0</v>
      </c>
      <c r="BX283">
        <f t="shared" ca="1" si="240"/>
        <v>0</v>
      </c>
      <c r="BY283">
        <f t="shared" ca="1" si="241"/>
        <v>0</v>
      </c>
      <c r="BZ283">
        <f t="shared" ca="1" si="211"/>
        <v>0</v>
      </c>
      <c r="CA283">
        <f t="shared" ca="1" si="212"/>
        <v>0</v>
      </c>
    </row>
    <row r="284" spans="1:79" x14ac:dyDescent="0.4">
      <c r="A284" t="str">
        <f t="shared" si="197"/>
        <v>X</v>
      </c>
      <c r="B284">
        <v>273</v>
      </c>
      <c r="C284" t="e" cm="1">
        <f t="array" ref="C284">INDEX(auto_Series_Code,B284)</f>
        <v>#REF!</v>
      </c>
      <c r="D284" t="e" cm="1">
        <f t="array" ref="D284">INDEX(auto_tblSeries,$B284,D$11)</f>
        <v>#REF!</v>
      </c>
      <c r="E284" t="e" cm="1">
        <f t="array" ref="E284">INDEX(auto_tblSeries,$B284,E$11)</f>
        <v>#REF!</v>
      </c>
      <c r="F284" t="e" cm="1">
        <f t="array" ref="F284">INDEX(auto_tblSeries,$B284,F$11)</f>
        <v>#REF!</v>
      </c>
      <c r="G284" t="e" cm="1">
        <f t="array" ref="G284">INDEX(auto_tblSeries,$B284,G$11)</f>
        <v>#REF!</v>
      </c>
      <c r="H284" t="e" cm="1">
        <f t="array" ref="H284">INDEX(auto_tblSeries,$B284,H$11)</f>
        <v>#REF!</v>
      </c>
      <c r="I284" t="e">
        <f t="shared" si="70"/>
        <v>#REF!</v>
      </c>
      <c r="K284" t="e" cm="1">
        <f t="array" ref="K284">INDEX(auto_DataFlat_Score,$I284,K$10)</f>
        <v>#REF!</v>
      </c>
      <c r="L284" t="e" cm="1">
        <f t="array" ref="L284">INDEX(auto_DataFlat_Rank,$I284,L$10)</f>
        <v>#REF!</v>
      </c>
      <c r="M284" t="e" cm="1">
        <f t="array" ref="M284">INDEX(auto_DataFlat_DataValue,$I284,M$10)</f>
        <v>#REF!</v>
      </c>
      <c r="N284" t="e" cm="1">
        <f t="array" ref="N284">INDEX(auto_DataFlat_Classification,$I284,M$10)</f>
        <v>#REF!</v>
      </c>
      <c r="O284" t="e" cm="1">
        <f t="array" ref="O284">INDEX(auto_DataFlat_IsEstimate,$I284,O$10)</f>
        <v>#REF!</v>
      </c>
      <c r="P284" t="e" cm="1">
        <f t="array" ref="P284">IF(INDEX(auto_DataFlat_DataYear,$I284,P$10)=0,"n/a",INDEX(auto_DataFlat_DataYear,$I284,P$10))</f>
        <v>#REF!</v>
      </c>
      <c r="R284" t="e">
        <f t="shared" si="209"/>
        <v>#REF!</v>
      </c>
      <c r="S284" t="e" cm="1">
        <f t="array" ref="S284">INDEX(auto_DataFlat_Score,$R284,S$10)</f>
        <v>#REF!</v>
      </c>
      <c r="U284" t="str">
        <f t="shared" si="213"/>
        <v>n/a</v>
      </c>
      <c r="V284">
        <f t="shared" si="214"/>
        <v>1</v>
      </c>
      <c r="W284" t="e">
        <f t="shared" si="215"/>
        <v>#REF!</v>
      </c>
      <c r="X284" t="e">
        <f t="shared" ca="1" si="216"/>
        <v>#N/A</v>
      </c>
      <c r="Y284" t="e">
        <f t="shared" ca="1" si="216"/>
        <v>#N/A</v>
      </c>
      <c r="Z284" t="e">
        <f t="shared" ca="1" si="216"/>
        <v>#N/A</v>
      </c>
      <c r="AB284">
        <f t="shared" ca="1" si="207"/>
        <v>0</v>
      </c>
      <c r="AC284">
        <f t="shared" ca="1" si="207"/>
        <v>0</v>
      </c>
      <c r="AD284">
        <f t="shared" ca="1" si="207"/>
        <v>0</v>
      </c>
      <c r="AF284" t="e">
        <f t="shared" si="217"/>
        <v>#REF!</v>
      </c>
      <c r="AG284" t="e">
        <f t="shared" ca="1" si="218"/>
        <v>#N/A</v>
      </c>
      <c r="AH284" t="e">
        <f t="shared" ca="1" si="218"/>
        <v>#N/A</v>
      </c>
      <c r="AI284" t="e">
        <f t="shared" ca="1" si="218"/>
        <v>#N/A</v>
      </c>
      <c r="AJ284" t="e">
        <f t="shared" ca="1" si="218"/>
        <v>#N/A</v>
      </c>
      <c r="AK284" t="e">
        <f t="shared" ca="1" si="218"/>
        <v>#N/A</v>
      </c>
      <c r="AL284" t="e">
        <f t="shared" ca="1" si="218"/>
        <v>#N/A</v>
      </c>
      <c r="AM284" t="e">
        <f t="shared" ca="1" si="218"/>
        <v>#N/A</v>
      </c>
      <c r="AN284">
        <f t="shared" ca="1" si="219"/>
        <v>0</v>
      </c>
      <c r="AO284">
        <f t="shared" ca="1" si="220"/>
        <v>0</v>
      </c>
      <c r="AP284">
        <f t="shared" ca="1" si="221"/>
        <v>0</v>
      </c>
      <c r="AQ284">
        <f t="shared" ca="1" si="222"/>
        <v>0</v>
      </c>
      <c r="AR284">
        <f t="shared" ca="1" si="223"/>
        <v>0</v>
      </c>
      <c r="AS284">
        <f t="shared" ca="1" si="224"/>
        <v>0</v>
      </c>
      <c r="AT284">
        <f t="shared" ca="1" si="225"/>
        <v>0</v>
      </c>
      <c r="AV284" t="e">
        <f t="shared" si="206"/>
        <v>#REF!</v>
      </c>
      <c r="AW284" t="e" cm="1">
        <f t="array" ref="AW284">INDEX(auto_DataFlat_Score,$AV284,1)</f>
        <v>#REF!</v>
      </c>
      <c r="AX284" t="e" cm="1">
        <f t="array" ref="AX284">INDEX(auto_DataFlat_DataValue,$AV284,1)</f>
        <v>#REF!</v>
      </c>
      <c r="BA284" t="str">
        <f t="shared" si="226"/>
        <v>n/a</v>
      </c>
      <c r="BB284">
        <f t="shared" si="227"/>
        <v>1</v>
      </c>
      <c r="BC284" t="e">
        <f t="shared" si="228"/>
        <v>#REF!</v>
      </c>
      <c r="BD284" t="e">
        <f t="shared" ref="BD284:BF292" ca="1" si="242">BD283+MATCH(BD$10,OFFSET($BC$12,BD283,0,200,1),0)</f>
        <v>#N/A</v>
      </c>
      <c r="BE284" t="e">
        <f t="shared" ca="1" si="242"/>
        <v>#N/A</v>
      </c>
      <c r="BF284" t="e">
        <f t="shared" ca="1" si="242"/>
        <v>#N/A</v>
      </c>
      <c r="BH284">
        <f t="shared" ca="1" si="208"/>
        <v>0</v>
      </c>
      <c r="BI284">
        <f t="shared" ca="1" si="208"/>
        <v>0</v>
      </c>
      <c r="BJ284">
        <f t="shared" ca="1" si="208"/>
        <v>0</v>
      </c>
      <c r="BM284" t="e">
        <f t="shared" si="229"/>
        <v>#REF!</v>
      </c>
      <c r="BN284" t="e">
        <f t="shared" ca="1" si="230"/>
        <v>#N/A</v>
      </c>
      <c r="BO284" t="e">
        <f t="shared" ca="1" si="231"/>
        <v>#N/A</v>
      </c>
      <c r="BP284" t="e">
        <f t="shared" ca="1" si="232"/>
        <v>#N/A</v>
      </c>
      <c r="BQ284" t="e">
        <f t="shared" ca="1" si="233"/>
        <v>#N/A</v>
      </c>
      <c r="BR284" t="e">
        <f t="shared" ca="1" si="234"/>
        <v>#N/A</v>
      </c>
      <c r="BS284" t="e">
        <f t="shared" ca="1" si="235"/>
        <v>#N/A</v>
      </c>
      <c r="BT284" t="e">
        <f t="shared" ca="1" si="236"/>
        <v>#N/A</v>
      </c>
      <c r="BU284">
        <f t="shared" ca="1" si="237"/>
        <v>0</v>
      </c>
      <c r="BV284">
        <f t="shared" ca="1" si="238"/>
        <v>0</v>
      </c>
      <c r="BW284">
        <f t="shared" ca="1" si="239"/>
        <v>0</v>
      </c>
      <c r="BX284">
        <f t="shared" ca="1" si="240"/>
        <v>0</v>
      </c>
      <c r="BY284">
        <f t="shared" ca="1" si="241"/>
        <v>0</v>
      </c>
      <c r="BZ284">
        <f t="shared" ca="1" si="211"/>
        <v>0</v>
      </c>
      <c r="CA284">
        <f t="shared" ca="1" si="212"/>
        <v>0</v>
      </c>
    </row>
    <row r="285" spans="1:79" x14ac:dyDescent="0.4">
      <c r="A285" t="str">
        <f t="shared" si="197"/>
        <v>X</v>
      </c>
      <c r="B285">
        <v>274</v>
      </c>
      <c r="C285" t="e" cm="1">
        <f t="array" ref="C285">INDEX(auto_Series_Code,B285)</f>
        <v>#REF!</v>
      </c>
      <c r="D285" t="e" cm="1">
        <f t="array" ref="D285">INDEX(auto_tblSeries,$B285,D$11)</f>
        <v>#REF!</v>
      </c>
      <c r="E285" t="e" cm="1">
        <f t="array" ref="E285">INDEX(auto_tblSeries,$B285,E$11)</f>
        <v>#REF!</v>
      </c>
      <c r="F285" t="e" cm="1">
        <f t="array" ref="F285">INDEX(auto_tblSeries,$B285,F$11)</f>
        <v>#REF!</v>
      </c>
      <c r="G285" t="e" cm="1">
        <f t="array" ref="G285">INDEX(auto_tblSeries,$B285,G$11)</f>
        <v>#REF!</v>
      </c>
      <c r="H285" t="e" cm="1">
        <f t="array" ref="H285">INDEX(auto_tblSeries,$B285,H$11)</f>
        <v>#REF!</v>
      </c>
      <c r="I285" t="e">
        <f t="shared" si="70"/>
        <v>#REF!</v>
      </c>
      <c r="K285" t="e" cm="1">
        <f t="array" ref="K285">INDEX(auto_DataFlat_Score,$I285,K$10)</f>
        <v>#REF!</v>
      </c>
      <c r="L285" t="e" cm="1">
        <f t="array" ref="L285">INDEX(auto_DataFlat_Rank,$I285,L$10)</f>
        <v>#REF!</v>
      </c>
      <c r="M285" t="e" cm="1">
        <f t="array" ref="M285">INDEX(auto_DataFlat_DataValue,$I285,M$10)</f>
        <v>#REF!</v>
      </c>
      <c r="N285" t="e" cm="1">
        <f t="array" ref="N285">INDEX(auto_DataFlat_Classification,$I285,M$10)</f>
        <v>#REF!</v>
      </c>
      <c r="O285" t="e" cm="1">
        <f t="array" ref="O285">INDEX(auto_DataFlat_IsEstimate,$I285,O$10)</f>
        <v>#REF!</v>
      </c>
      <c r="P285" t="e" cm="1">
        <f t="array" ref="P285">IF(INDEX(auto_DataFlat_DataYear,$I285,P$10)=0,"n/a",INDEX(auto_DataFlat_DataYear,$I285,P$10))</f>
        <v>#REF!</v>
      </c>
      <c r="R285" t="e">
        <f t="shared" si="209"/>
        <v>#REF!</v>
      </c>
      <c r="S285" t="e" cm="1">
        <f t="array" ref="S285">INDEX(auto_DataFlat_Score,$R285,S$10)</f>
        <v>#REF!</v>
      </c>
      <c r="U285" t="str">
        <f t="shared" si="213"/>
        <v>n/a</v>
      </c>
      <c r="V285">
        <f t="shared" si="214"/>
        <v>1</v>
      </c>
      <c r="W285" t="e">
        <f t="shared" si="215"/>
        <v>#REF!</v>
      </c>
      <c r="X285" t="e">
        <f t="shared" ref="X285:Z292" ca="1" si="243">X284+MATCH(X$10,OFFSET($W$12,X284,0,300,1),0)</f>
        <v>#N/A</v>
      </c>
      <c r="Y285" t="e">
        <f t="shared" ca="1" si="243"/>
        <v>#N/A</v>
      </c>
      <c r="Z285" t="e">
        <f t="shared" ca="1" si="243"/>
        <v>#N/A</v>
      </c>
      <c r="AB285">
        <f t="shared" ca="1" si="207"/>
        <v>0</v>
      </c>
      <c r="AC285">
        <f t="shared" ca="1" si="207"/>
        <v>0</v>
      </c>
      <c r="AD285">
        <f t="shared" ca="1" si="207"/>
        <v>0</v>
      </c>
      <c r="AF285" t="e">
        <f t="shared" si="217"/>
        <v>#REF!</v>
      </c>
      <c r="AG285" t="e">
        <f t="shared" ref="AG285:AM292" ca="1" si="244">IFERROR(AG284+MATCH(AG$10,OFFSET($AF$12,AG284,0,300-AG284,1),0),NA())</f>
        <v>#N/A</v>
      </c>
      <c r="AH285" t="e">
        <f t="shared" ca="1" si="244"/>
        <v>#N/A</v>
      </c>
      <c r="AI285" t="e">
        <f t="shared" ca="1" si="244"/>
        <v>#N/A</v>
      </c>
      <c r="AJ285" t="e">
        <f t="shared" ca="1" si="244"/>
        <v>#N/A</v>
      </c>
      <c r="AK285" t="e">
        <f t="shared" ca="1" si="244"/>
        <v>#N/A</v>
      </c>
      <c r="AL285" t="e">
        <f t="shared" ca="1" si="244"/>
        <v>#N/A</v>
      </c>
      <c r="AM285" t="e">
        <f t="shared" ca="1" si="244"/>
        <v>#N/A</v>
      </c>
      <c r="AN285">
        <f t="shared" ca="1" si="219"/>
        <v>0</v>
      </c>
      <c r="AO285">
        <f t="shared" ca="1" si="220"/>
        <v>0</v>
      </c>
      <c r="AP285">
        <f t="shared" ca="1" si="221"/>
        <v>0</v>
      </c>
      <c r="AQ285">
        <f t="shared" ca="1" si="222"/>
        <v>0</v>
      </c>
      <c r="AR285">
        <f t="shared" ca="1" si="223"/>
        <v>0</v>
      </c>
      <c r="AS285">
        <f t="shared" ca="1" si="224"/>
        <v>0</v>
      </c>
      <c r="AT285">
        <f t="shared" ca="1" si="225"/>
        <v>0</v>
      </c>
      <c r="AV285" t="e">
        <f t="shared" si="206"/>
        <v>#REF!</v>
      </c>
      <c r="AW285" t="e" cm="1">
        <f t="array" ref="AW285">INDEX(auto_DataFlat_Score,$AV285,1)</f>
        <v>#REF!</v>
      </c>
      <c r="AX285" t="e" cm="1">
        <f t="array" ref="AX285">INDEX(auto_DataFlat_DataValue,$AV285,1)</f>
        <v>#REF!</v>
      </c>
      <c r="BA285" t="str">
        <f t="shared" si="226"/>
        <v>n/a</v>
      </c>
      <c r="BB285">
        <f t="shared" si="227"/>
        <v>1</v>
      </c>
      <c r="BC285" t="e">
        <f t="shared" si="228"/>
        <v>#REF!</v>
      </c>
      <c r="BD285" t="e">
        <f t="shared" ca="1" si="242"/>
        <v>#N/A</v>
      </c>
      <c r="BE285" t="e">
        <f t="shared" ca="1" si="242"/>
        <v>#N/A</v>
      </c>
      <c r="BF285" t="e">
        <f t="shared" ca="1" si="242"/>
        <v>#N/A</v>
      </c>
      <c r="BH285">
        <f t="shared" ca="1" si="208"/>
        <v>0</v>
      </c>
      <c r="BI285">
        <f t="shared" ca="1" si="208"/>
        <v>0</v>
      </c>
      <c r="BJ285">
        <f t="shared" ca="1" si="208"/>
        <v>0</v>
      </c>
      <c r="BM285" t="e">
        <f t="shared" si="229"/>
        <v>#REF!</v>
      </c>
      <c r="BN285" t="e">
        <f t="shared" ca="1" si="230"/>
        <v>#N/A</v>
      </c>
      <c r="BO285" t="e">
        <f t="shared" ca="1" si="231"/>
        <v>#N/A</v>
      </c>
      <c r="BP285" t="e">
        <f t="shared" ca="1" si="232"/>
        <v>#N/A</v>
      </c>
      <c r="BQ285" t="e">
        <f t="shared" ca="1" si="233"/>
        <v>#N/A</v>
      </c>
      <c r="BR285" t="e">
        <f t="shared" ca="1" si="234"/>
        <v>#N/A</v>
      </c>
      <c r="BS285" t="e">
        <f t="shared" ca="1" si="235"/>
        <v>#N/A</v>
      </c>
      <c r="BT285" t="e">
        <f t="shared" ca="1" si="236"/>
        <v>#N/A</v>
      </c>
      <c r="BU285">
        <f t="shared" ca="1" si="237"/>
        <v>0</v>
      </c>
      <c r="BV285">
        <f t="shared" ca="1" si="238"/>
        <v>0</v>
      </c>
      <c r="BW285">
        <f t="shared" ca="1" si="239"/>
        <v>0</v>
      </c>
      <c r="BX285">
        <f t="shared" ca="1" si="240"/>
        <v>0</v>
      </c>
      <c r="BY285">
        <f t="shared" ca="1" si="241"/>
        <v>0</v>
      </c>
      <c r="BZ285">
        <f t="shared" ca="1" si="211"/>
        <v>0</v>
      </c>
      <c r="CA285">
        <f t="shared" ca="1" si="212"/>
        <v>0</v>
      </c>
    </row>
    <row r="286" spans="1:79" x14ac:dyDescent="0.4">
      <c r="A286" t="str">
        <f t="shared" si="197"/>
        <v>X</v>
      </c>
      <c r="B286">
        <v>275</v>
      </c>
      <c r="C286" t="e" cm="1">
        <f t="array" ref="C286">INDEX(auto_Series_Code,B286)</f>
        <v>#REF!</v>
      </c>
      <c r="D286" t="e" cm="1">
        <f t="array" ref="D286">INDEX(auto_tblSeries,$B286,D$11)</f>
        <v>#REF!</v>
      </c>
      <c r="E286" t="e" cm="1">
        <f t="array" ref="E286">INDEX(auto_tblSeries,$B286,E$11)</f>
        <v>#REF!</v>
      </c>
      <c r="F286" t="e" cm="1">
        <f t="array" ref="F286">INDEX(auto_tblSeries,$B286,F$11)</f>
        <v>#REF!</v>
      </c>
      <c r="G286" t="e" cm="1">
        <f t="array" ref="G286">INDEX(auto_tblSeries,$B286,G$11)</f>
        <v>#REF!</v>
      </c>
      <c r="H286" t="e" cm="1">
        <f t="array" ref="H286">INDEX(auto_tblSeries,$B286,H$11)</f>
        <v>#REF!</v>
      </c>
      <c r="I286" t="e">
        <f t="shared" si="70"/>
        <v>#REF!</v>
      </c>
      <c r="K286" t="e" cm="1">
        <f t="array" ref="K286">INDEX(auto_DataFlat_Score,$I286,K$10)</f>
        <v>#REF!</v>
      </c>
      <c r="L286" t="e" cm="1">
        <f t="array" ref="L286">INDEX(auto_DataFlat_Rank,$I286,L$10)</f>
        <v>#REF!</v>
      </c>
      <c r="M286" t="e" cm="1">
        <f t="array" ref="M286">INDEX(auto_DataFlat_DataValue,$I286,M$10)</f>
        <v>#REF!</v>
      </c>
      <c r="N286" t="e" cm="1">
        <f t="array" ref="N286">INDEX(auto_DataFlat_Classification,$I286,M$10)</f>
        <v>#REF!</v>
      </c>
      <c r="O286" t="e" cm="1">
        <f t="array" ref="O286">INDEX(auto_DataFlat_IsEstimate,$I286,O$10)</f>
        <v>#REF!</v>
      </c>
      <c r="P286" t="e" cm="1">
        <f t="array" ref="P286">IF(INDEX(auto_DataFlat_DataYear,$I286,P$10)=0,"n/a",INDEX(auto_DataFlat_DataYear,$I286,P$10))</f>
        <v>#REF!</v>
      </c>
      <c r="R286" t="e">
        <f t="shared" si="209"/>
        <v>#REF!</v>
      </c>
      <c r="S286" t="e" cm="1">
        <f t="array" ref="S286">INDEX(auto_DataFlat_Score,$R286,S$10)</f>
        <v>#REF!</v>
      </c>
      <c r="U286" t="str">
        <f t="shared" si="213"/>
        <v>n/a</v>
      </c>
      <c r="V286">
        <f t="shared" si="214"/>
        <v>1</v>
      </c>
      <c r="W286" t="e">
        <f t="shared" si="215"/>
        <v>#REF!</v>
      </c>
      <c r="X286" t="e">
        <f t="shared" ca="1" si="243"/>
        <v>#N/A</v>
      </c>
      <c r="Y286" t="e">
        <f t="shared" ca="1" si="243"/>
        <v>#N/A</v>
      </c>
      <c r="Z286" t="e">
        <f t="shared" ca="1" si="243"/>
        <v>#N/A</v>
      </c>
      <c r="AB286">
        <f t="shared" ca="1" si="207"/>
        <v>0</v>
      </c>
      <c r="AC286">
        <f t="shared" ca="1" si="207"/>
        <v>0</v>
      </c>
      <c r="AD286">
        <f t="shared" ca="1" si="207"/>
        <v>0</v>
      </c>
      <c r="AF286" t="e">
        <f t="shared" si="217"/>
        <v>#REF!</v>
      </c>
      <c r="AG286" t="e">
        <f t="shared" ca="1" si="244"/>
        <v>#N/A</v>
      </c>
      <c r="AH286" t="e">
        <f t="shared" ca="1" si="244"/>
        <v>#N/A</v>
      </c>
      <c r="AI286" t="e">
        <f t="shared" ca="1" si="244"/>
        <v>#N/A</v>
      </c>
      <c r="AJ286" t="e">
        <f t="shared" ca="1" si="244"/>
        <v>#N/A</v>
      </c>
      <c r="AK286" t="e">
        <f t="shared" ca="1" si="244"/>
        <v>#N/A</v>
      </c>
      <c r="AL286" t="e">
        <f t="shared" ca="1" si="244"/>
        <v>#N/A</v>
      </c>
      <c r="AM286" t="e">
        <f t="shared" ca="1" si="244"/>
        <v>#N/A</v>
      </c>
      <c r="AN286">
        <f t="shared" ca="1" si="219"/>
        <v>0</v>
      </c>
      <c r="AO286">
        <f t="shared" ca="1" si="220"/>
        <v>0</v>
      </c>
      <c r="AP286">
        <f t="shared" ca="1" si="221"/>
        <v>0</v>
      </c>
      <c r="AQ286">
        <f t="shared" ca="1" si="222"/>
        <v>0</v>
      </c>
      <c r="AR286">
        <f t="shared" ca="1" si="223"/>
        <v>0</v>
      </c>
      <c r="AS286">
        <f t="shared" ca="1" si="224"/>
        <v>0</v>
      </c>
      <c r="AT286">
        <f t="shared" ca="1" si="225"/>
        <v>0</v>
      </c>
      <c r="AV286" t="e">
        <f t="shared" si="206"/>
        <v>#REF!</v>
      </c>
      <c r="AW286" t="e" cm="1">
        <f t="array" ref="AW286">INDEX(auto_DataFlat_Score,$AV286,1)</f>
        <v>#REF!</v>
      </c>
      <c r="AX286" t="e" cm="1">
        <f t="array" ref="AX286">INDEX(auto_DataFlat_DataValue,$AV286,1)</f>
        <v>#REF!</v>
      </c>
      <c r="BA286" t="str">
        <f t="shared" si="226"/>
        <v>n/a</v>
      </c>
      <c r="BB286">
        <f t="shared" si="227"/>
        <v>1</v>
      </c>
      <c r="BC286" t="e">
        <f t="shared" si="228"/>
        <v>#REF!</v>
      </c>
      <c r="BD286" t="e">
        <f t="shared" ca="1" si="242"/>
        <v>#N/A</v>
      </c>
      <c r="BE286" t="e">
        <f t="shared" ca="1" si="242"/>
        <v>#N/A</v>
      </c>
      <c r="BF286" t="e">
        <f t="shared" ca="1" si="242"/>
        <v>#N/A</v>
      </c>
      <c r="BH286">
        <f t="shared" ca="1" si="208"/>
        <v>0</v>
      </c>
      <c r="BI286">
        <f t="shared" ca="1" si="208"/>
        <v>0</v>
      </c>
      <c r="BJ286">
        <f t="shared" ca="1" si="208"/>
        <v>0</v>
      </c>
      <c r="BM286" t="e">
        <f t="shared" si="229"/>
        <v>#REF!</v>
      </c>
      <c r="BN286" t="e">
        <f t="shared" ca="1" si="230"/>
        <v>#N/A</v>
      </c>
      <c r="BO286" t="e">
        <f t="shared" ca="1" si="231"/>
        <v>#N/A</v>
      </c>
      <c r="BP286" t="e">
        <f t="shared" ca="1" si="232"/>
        <v>#N/A</v>
      </c>
      <c r="BQ286" t="e">
        <f t="shared" ca="1" si="233"/>
        <v>#N/A</v>
      </c>
      <c r="BR286" t="e">
        <f t="shared" ca="1" si="234"/>
        <v>#N/A</v>
      </c>
      <c r="BS286" t="e">
        <f t="shared" ca="1" si="235"/>
        <v>#N/A</v>
      </c>
      <c r="BT286" t="e">
        <f t="shared" ca="1" si="236"/>
        <v>#N/A</v>
      </c>
      <c r="BU286">
        <f t="shared" ca="1" si="237"/>
        <v>0</v>
      </c>
      <c r="BV286">
        <f t="shared" ca="1" si="238"/>
        <v>0</v>
      </c>
      <c r="BW286">
        <f t="shared" ca="1" si="239"/>
        <v>0</v>
      </c>
      <c r="BX286">
        <f t="shared" ca="1" si="240"/>
        <v>0</v>
      </c>
      <c r="BY286">
        <f t="shared" ca="1" si="241"/>
        <v>0</v>
      </c>
      <c r="BZ286">
        <f t="shared" ca="1" si="211"/>
        <v>0</v>
      </c>
      <c r="CA286">
        <f t="shared" ca="1" si="212"/>
        <v>0</v>
      </c>
    </row>
    <row r="287" spans="1:79" x14ac:dyDescent="0.4">
      <c r="A287" t="str">
        <f t="shared" si="197"/>
        <v>X</v>
      </c>
      <c r="B287">
        <v>276</v>
      </c>
      <c r="C287" t="e" cm="1">
        <f t="array" ref="C287">INDEX(auto_Series_Code,B287)</f>
        <v>#REF!</v>
      </c>
      <c r="D287" t="e" cm="1">
        <f t="array" ref="D287">INDEX(auto_tblSeries,$B287,D$11)</f>
        <v>#REF!</v>
      </c>
      <c r="E287" t="e" cm="1">
        <f t="array" ref="E287">INDEX(auto_tblSeries,$B287,E$11)</f>
        <v>#REF!</v>
      </c>
      <c r="F287" t="e" cm="1">
        <f t="array" ref="F287">INDEX(auto_tblSeries,$B287,F$11)</f>
        <v>#REF!</v>
      </c>
      <c r="G287" t="e" cm="1">
        <f t="array" ref="G287">INDEX(auto_tblSeries,$B287,G$11)</f>
        <v>#REF!</v>
      </c>
      <c r="H287" t="e" cm="1">
        <f t="array" ref="H287">INDEX(auto_tblSeries,$B287,H$11)</f>
        <v>#REF!</v>
      </c>
      <c r="I287" t="e">
        <f t="shared" si="70"/>
        <v>#REF!</v>
      </c>
      <c r="K287" t="e" cm="1">
        <f t="array" ref="K287">INDEX(auto_DataFlat_Score,$I287,K$10)</f>
        <v>#REF!</v>
      </c>
      <c r="L287" t="e" cm="1">
        <f t="array" ref="L287">INDEX(auto_DataFlat_Rank,$I287,L$10)</f>
        <v>#REF!</v>
      </c>
      <c r="M287" t="e" cm="1">
        <f t="array" ref="M287">INDEX(auto_DataFlat_DataValue,$I287,M$10)</f>
        <v>#REF!</v>
      </c>
      <c r="N287" t="e" cm="1">
        <f t="array" ref="N287">INDEX(auto_DataFlat_Classification,$I287,M$10)</f>
        <v>#REF!</v>
      </c>
      <c r="O287" t="e" cm="1">
        <f t="array" ref="O287">INDEX(auto_DataFlat_IsEstimate,$I287,O$10)</f>
        <v>#REF!</v>
      </c>
      <c r="P287" t="e" cm="1">
        <f t="array" ref="P287">IF(INDEX(auto_DataFlat_DataYear,$I287,P$10)=0,"n/a",INDEX(auto_DataFlat_DataYear,$I287,P$10))</f>
        <v>#REF!</v>
      </c>
      <c r="R287" t="e">
        <f t="shared" si="209"/>
        <v>#REF!</v>
      </c>
      <c r="S287" t="e" cm="1">
        <f t="array" ref="S287">INDEX(auto_DataFlat_Score,$R287,S$10)</f>
        <v>#REF!</v>
      </c>
      <c r="U287" t="str">
        <f t="shared" si="213"/>
        <v>n/a</v>
      </c>
      <c r="V287">
        <f t="shared" si="214"/>
        <v>1</v>
      </c>
      <c r="W287" t="e">
        <f t="shared" si="215"/>
        <v>#REF!</v>
      </c>
      <c r="X287" t="e">
        <f t="shared" ca="1" si="243"/>
        <v>#N/A</v>
      </c>
      <c r="Y287" t="e">
        <f t="shared" ca="1" si="243"/>
        <v>#N/A</v>
      </c>
      <c r="Z287" t="e">
        <f t="shared" ca="1" si="243"/>
        <v>#N/A</v>
      </c>
      <c r="AB287">
        <f t="shared" ca="1" si="207"/>
        <v>0</v>
      </c>
      <c r="AC287">
        <f t="shared" ca="1" si="207"/>
        <v>0</v>
      </c>
      <c r="AD287">
        <f t="shared" ca="1" si="207"/>
        <v>0</v>
      </c>
      <c r="AF287" t="e">
        <f t="shared" si="217"/>
        <v>#REF!</v>
      </c>
      <c r="AG287" t="e">
        <f t="shared" ca="1" si="244"/>
        <v>#N/A</v>
      </c>
      <c r="AH287" t="e">
        <f t="shared" ca="1" si="244"/>
        <v>#N/A</v>
      </c>
      <c r="AI287" t="e">
        <f t="shared" ca="1" si="244"/>
        <v>#N/A</v>
      </c>
      <c r="AJ287" t="e">
        <f t="shared" ca="1" si="244"/>
        <v>#N/A</v>
      </c>
      <c r="AK287" t="e">
        <f t="shared" ca="1" si="244"/>
        <v>#N/A</v>
      </c>
      <c r="AL287" t="e">
        <f t="shared" ca="1" si="244"/>
        <v>#N/A</v>
      </c>
      <c r="AM287" t="e">
        <f t="shared" ca="1" si="244"/>
        <v>#N/A</v>
      </c>
      <c r="AN287">
        <f t="shared" ca="1" si="219"/>
        <v>0</v>
      </c>
      <c r="AO287">
        <f t="shared" ca="1" si="220"/>
        <v>0</v>
      </c>
      <c r="AP287">
        <f t="shared" ca="1" si="221"/>
        <v>0</v>
      </c>
      <c r="AQ287">
        <f t="shared" ca="1" si="222"/>
        <v>0</v>
      </c>
      <c r="AR287">
        <f t="shared" ca="1" si="223"/>
        <v>0</v>
      </c>
      <c r="AS287">
        <f t="shared" ca="1" si="224"/>
        <v>0</v>
      </c>
      <c r="AT287">
        <f t="shared" ca="1" si="225"/>
        <v>0</v>
      </c>
      <c r="AV287" t="e">
        <f t="shared" si="206"/>
        <v>#REF!</v>
      </c>
      <c r="AW287" t="e" cm="1">
        <f t="array" ref="AW287">INDEX(auto_DataFlat_Score,$AV287,1)</f>
        <v>#REF!</v>
      </c>
      <c r="AX287" t="e" cm="1">
        <f t="array" ref="AX287">INDEX(auto_DataFlat_DataValue,$AV287,1)</f>
        <v>#REF!</v>
      </c>
      <c r="BA287" t="str">
        <f t="shared" si="226"/>
        <v>n/a</v>
      </c>
      <c r="BB287">
        <f t="shared" si="227"/>
        <v>1</v>
      </c>
      <c r="BC287" t="e">
        <f t="shared" si="228"/>
        <v>#REF!</v>
      </c>
      <c r="BD287" t="e">
        <f t="shared" ca="1" si="242"/>
        <v>#N/A</v>
      </c>
      <c r="BE287" t="e">
        <f t="shared" ca="1" si="242"/>
        <v>#N/A</v>
      </c>
      <c r="BF287" t="e">
        <f t="shared" ca="1" si="242"/>
        <v>#N/A</v>
      </c>
      <c r="BH287">
        <f t="shared" ca="1" si="208"/>
        <v>0</v>
      </c>
      <c r="BI287">
        <f t="shared" ca="1" si="208"/>
        <v>0</v>
      </c>
      <c r="BJ287">
        <f t="shared" ca="1" si="208"/>
        <v>0</v>
      </c>
      <c r="BM287" t="e">
        <f t="shared" si="229"/>
        <v>#REF!</v>
      </c>
      <c r="BN287" t="e">
        <f t="shared" ca="1" si="230"/>
        <v>#N/A</v>
      </c>
      <c r="BO287" t="e">
        <f t="shared" ca="1" si="231"/>
        <v>#N/A</v>
      </c>
      <c r="BP287" t="e">
        <f t="shared" ca="1" si="232"/>
        <v>#N/A</v>
      </c>
      <c r="BQ287" t="e">
        <f t="shared" ca="1" si="233"/>
        <v>#N/A</v>
      </c>
      <c r="BR287" t="e">
        <f t="shared" ca="1" si="234"/>
        <v>#N/A</v>
      </c>
      <c r="BS287" t="e">
        <f t="shared" ca="1" si="235"/>
        <v>#N/A</v>
      </c>
      <c r="BT287" t="e">
        <f t="shared" ca="1" si="236"/>
        <v>#N/A</v>
      </c>
      <c r="BU287">
        <f t="shared" ca="1" si="237"/>
        <v>0</v>
      </c>
      <c r="BV287">
        <f t="shared" ca="1" si="238"/>
        <v>0</v>
      </c>
      <c r="BW287">
        <f t="shared" ca="1" si="239"/>
        <v>0</v>
      </c>
      <c r="BX287">
        <f t="shared" ca="1" si="240"/>
        <v>0</v>
      </c>
      <c r="BY287">
        <f t="shared" ca="1" si="241"/>
        <v>0</v>
      </c>
      <c r="BZ287">
        <f t="shared" ca="1" si="211"/>
        <v>0</v>
      </c>
      <c r="CA287">
        <f t="shared" ca="1" si="212"/>
        <v>0</v>
      </c>
    </row>
    <row r="288" spans="1:79" x14ac:dyDescent="0.4">
      <c r="A288" t="str">
        <f t="shared" si="197"/>
        <v>X</v>
      </c>
      <c r="B288">
        <v>277</v>
      </c>
      <c r="C288" t="e" cm="1">
        <f t="array" ref="C288">INDEX(auto_Series_Code,B288)</f>
        <v>#REF!</v>
      </c>
      <c r="D288" t="e" cm="1">
        <f t="array" ref="D288">INDEX(auto_tblSeries,$B288,D$11)</f>
        <v>#REF!</v>
      </c>
      <c r="E288" t="e" cm="1">
        <f t="array" ref="E288">INDEX(auto_tblSeries,$B288,E$11)</f>
        <v>#REF!</v>
      </c>
      <c r="F288" t="e" cm="1">
        <f t="array" ref="F288">INDEX(auto_tblSeries,$B288,F$11)</f>
        <v>#REF!</v>
      </c>
      <c r="G288" t="e" cm="1">
        <f t="array" ref="G288">INDEX(auto_tblSeries,$B288,G$11)</f>
        <v>#REF!</v>
      </c>
      <c r="H288" t="e" cm="1">
        <f t="array" ref="H288">INDEX(auto_tblSeries,$B288,H$11)</f>
        <v>#REF!</v>
      </c>
      <c r="I288" t="e">
        <f t="shared" si="70"/>
        <v>#REF!</v>
      </c>
      <c r="K288" t="e" cm="1">
        <f t="array" ref="K288">INDEX(auto_DataFlat_Score,$I288,K$10)</f>
        <v>#REF!</v>
      </c>
      <c r="L288" t="e" cm="1">
        <f t="array" ref="L288">INDEX(auto_DataFlat_Rank,$I288,L$10)</f>
        <v>#REF!</v>
      </c>
      <c r="M288" t="e" cm="1">
        <f t="array" ref="M288">INDEX(auto_DataFlat_DataValue,$I288,M$10)</f>
        <v>#REF!</v>
      </c>
      <c r="N288" t="e" cm="1">
        <f t="array" ref="N288">INDEX(auto_DataFlat_Classification,$I288,M$10)</f>
        <v>#REF!</v>
      </c>
      <c r="O288" t="e" cm="1">
        <f t="array" ref="O288">INDEX(auto_DataFlat_IsEstimate,$I288,O$10)</f>
        <v>#REF!</v>
      </c>
      <c r="P288" t="e" cm="1">
        <f t="array" ref="P288">IF(INDEX(auto_DataFlat_DataYear,$I288,P$10)=0,"n/a",INDEX(auto_DataFlat_DataYear,$I288,P$10))</f>
        <v>#REF!</v>
      </c>
      <c r="R288" t="e">
        <f t="shared" si="209"/>
        <v>#REF!</v>
      </c>
      <c r="S288" t="e" cm="1">
        <f t="array" ref="S288">INDEX(auto_DataFlat_Score,$R288,S$10)</f>
        <v>#REF!</v>
      </c>
      <c r="U288" t="str">
        <f t="shared" si="213"/>
        <v>n/a</v>
      </c>
      <c r="V288">
        <f t="shared" si="214"/>
        <v>1</v>
      </c>
      <c r="W288" t="e">
        <f t="shared" si="215"/>
        <v>#REF!</v>
      </c>
      <c r="X288" t="e">
        <f t="shared" ca="1" si="243"/>
        <v>#N/A</v>
      </c>
      <c r="Y288" t="e">
        <f t="shared" ca="1" si="243"/>
        <v>#N/A</v>
      </c>
      <c r="Z288" t="e">
        <f t="shared" ca="1" si="243"/>
        <v>#N/A</v>
      </c>
      <c r="AB288">
        <f t="shared" ca="1" si="207"/>
        <v>0</v>
      </c>
      <c r="AC288">
        <f t="shared" ca="1" si="207"/>
        <v>0</v>
      </c>
      <c r="AD288">
        <f t="shared" ca="1" si="207"/>
        <v>0</v>
      </c>
      <c r="AF288" t="e">
        <f t="shared" si="217"/>
        <v>#REF!</v>
      </c>
      <c r="AG288" t="e">
        <f t="shared" ca="1" si="244"/>
        <v>#N/A</v>
      </c>
      <c r="AH288" t="e">
        <f t="shared" ca="1" si="244"/>
        <v>#N/A</v>
      </c>
      <c r="AI288" t="e">
        <f t="shared" ca="1" si="244"/>
        <v>#N/A</v>
      </c>
      <c r="AJ288" t="e">
        <f t="shared" ca="1" si="244"/>
        <v>#N/A</v>
      </c>
      <c r="AK288" t="e">
        <f t="shared" ca="1" si="244"/>
        <v>#N/A</v>
      </c>
      <c r="AL288" t="e">
        <f t="shared" ca="1" si="244"/>
        <v>#N/A</v>
      </c>
      <c r="AM288" t="e">
        <f t="shared" ca="1" si="244"/>
        <v>#N/A</v>
      </c>
      <c r="AN288">
        <f t="shared" ca="1" si="219"/>
        <v>0</v>
      </c>
      <c r="AO288">
        <f t="shared" ca="1" si="220"/>
        <v>0</v>
      </c>
      <c r="AP288">
        <f t="shared" ca="1" si="221"/>
        <v>0</v>
      </c>
      <c r="AQ288">
        <f t="shared" ca="1" si="222"/>
        <v>0</v>
      </c>
      <c r="AR288">
        <f t="shared" ca="1" si="223"/>
        <v>0</v>
      </c>
      <c r="AS288">
        <f t="shared" ca="1" si="224"/>
        <v>0</v>
      </c>
      <c r="AT288">
        <f t="shared" ca="1" si="225"/>
        <v>0</v>
      </c>
      <c r="AV288" t="e">
        <f t="shared" si="206"/>
        <v>#REF!</v>
      </c>
      <c r="AW288" t="e" cm="1">
        <f t="array" ref="AW288">INDEX(auto_DataFlat_Score,$AV288,1)</f>
        <v>#REF!</v>
      </c>
      <c r="AX288" t="e" cm="1">
        <f t="array" ref="AX288">INDEX(auto_DataFlat_DataValue,$AV288,1)</f>
        <v>#REF!</v>
      </c>
      <c r="BA288" t="str">
        <f t="shared" si="226"/>
        <v>n/a</v>
      </c>
      <c r="BB288">
        <f t="shared" si="227"/>
        <v>1</v>
      </c>
      <c r="BC288" t="e">
        <f t="shared" si="228"/>
        <v>#REF!</v>
      </c>
      <c r="BD288" t="e">
        <f t="shared" ca="1" si="242"/>
        <v>#N/A</v>
      </c>
      <c r="BE288" t="e">
        <f t="shared" ca="1" si="242"/>
        <v>#N/A</v>
      </c>
      <c r="BF288" t="e">
        <f t="shared" ca="1" si="242"/>
        <v>#N/A</v>
      </c>
      <c r="BH288">
        <f t="shared" ca="1" si="208"/>
        <v>0</v>
      </c>
      <c r="BI288">
        <f t="shared" ca="1" si="208"/>
        <v>0</v>
      </c>
      <c r="BJ288">
        <f t="shared" ca="1" si="208"/>
        <v>0</v>
      </c>
      <c r="BM288" t="e">
        <f t="shared" si="229"/>
        <v>#REF!</v>
      </c>
      <c r="BN288" t="e">
        <f t="shared" ca="1" si="230"/>
        <v>#N/A</v>
      </c>
      <c r="BO288" t="e">
        <f t="shared" ca="1" si="231"/>
        <v>#N/A</v>
      </c>
      <c r="BP288" t="e">
        <f t="shared" ca="1" si="232"/>
        <v>#N/A</v>
      </c>
      <c r="BQ288" t="e">
        <f t="shared" ca="1" si="233"/>
        <v>#N/A</v>
      </c>
      <c r="BR288" t="e">
        <f t="shared" ca="1" si="234"/>
        <v>#N/A</v>
      </c>
      <c r="BS288" t="e">
        <f t="shared" ca="1" si="235"/>
        <v>#N/A</v>
      </c>
      <c r="BT288" t="e">
        <f t="shared" ca="1" si="236"/>
        <v>#N/A</v>
      </c>
      <c r="BU288">
        <f t="shared" ca="1" si="237"/>
        <v>0</v>
      </c>
      <c r="BV288">
        <f t="shared" ca="1" si="238"/>
        <v>0</v>
      </c>
      <c r="BW288">
        <f t="shared" ca="1" si="239"/>
        <v>0</v>
      </c>
      <c r="BX288">
        <f t="shared" ca="1" si="240"/>
        <v>0</v>
      </c>
      <c r="BY288">
        <f t="shared" ca="1" si="241"/>
        <v>0</v>
      </c>
      <c r="BZ288">
        <f t="shared" ca="1" si="211"/>
        <v>0</v>
      </c>
      <c r="CA288">
        <f t="shared" ca="1" si="212"/>
        <v>0</v>
      </c>
    </row>
    <row r="289" spans="1:79" x14ac:dyDescent="0.4">
      <c r="A289" t="str">
        <f t="shared" si="197"/>
        <v>X</v>
      </c>
      <c r="B289">
        <v>278</v>
      </c>
      <c r="C289" t="e" cm="1">
        <f t="array" ref="C289">INDEX(auto_Series_Code,B289)</f>
        <v>#REF!</v>
      </c>
      <c r="D289" t="e" cm="1">
        <f t="array" ref="D289">INDEX(auto_tblSeries,$B289,D$11)</f>
        <v>#REF!</v>
      </c>
      <c r="E289" t="e" cm="1">
        <f t="array" ref="E289">INDEX(auto_tblSeries,$B289,E$11)</f>
        <v>#REF!</v>
      </c>
      <c r="F289" t="e" cm="1">
        <f t="array" ref="F289">INDEX(auto_tblSeries,$B289,F$11)</f>
        <v>#REF!</v>
      </c>
      <c r="G289" t="e" cm="1">
        <f t="array" ref="G289">INDEX(auto_tblSeries,$B289,G$11)</f>
        <v>#REF!</v>
      </c>
      <c r="H289" t="e" cm="1">
        <f t="array" ref="H289">INDEX(auto_tblSeries,$B289,H$11)</f>
        <v>#REF!</v>
      </c>
      <c r="I289" t="e">
        <f t="shared" si="70"/>
        <v>#REF!</v>
      </c>
      <c r="K289" t="e" cm="1">
        <f t="array" ref="K289">INDEX(auto_DataFlat_Score,$I289,K$10)</f>
        <v>#REF!</v>
      </c>
      <c r="L289" t="e" cm="1">
        <f t="array" ref="L289">INDEX(auto_DataFlat_Rank,$I289,L$10)</f>
        <v>#REF!</v>
      </c>
      <c r="M289" t="e" cm="1">
        <f t="array" ref="M289">INDEX(auto_DataFlat_DataValue,$I289,M$10)</f>
        <v>#REF!</v>
      </c>
      <c r="N289" t="e" cm="1">
        <f t="array" ref="N289">INDEX(auto_DataFlat_Classification,$I289,M$10)</f>
        <v>#REF!</v>
      </c>
      <c r="O289" t="e" cm="1">
        <f t="array" ref="O289">INDEX(auto_DataFlat_IsEstimate,$I289,O$10)</f>
        <v>#REF!</v>
      </c>
      <c r="P289" t="e" cm="1">
        <f t="array" ref="P289">IF(INDEX(auto_DataFlat_DataYear,$I289,P$10)=0,"n/a",INDEX(auto_DataFlat_DataYear,$I289,P$10))</f>
        <v>#REF!</v>
      </c>
      <c r="R289" t="e">
        <f t="shared" si="209"/>
        <v>#REF!</v>
      </c>
      <c r="S289" t="e" cm="1">
        <f t="array" ref="S289">INDEX(auto_DataFlat_Score,$R289,S$10)</f>
        <v>#REF!</v>
      </c>
      <c r="U289" t="str">
        <f t="shared" si="213"/>
        <v>n/a</v>
      </c>
      <c r="V289">
        <f t="shared" si="214"/>
        <v>1</v>
      </c>
      <c r="W289" t="e">
        <f t="shared" si="215"/>
        <v>#REF!</v>
      </c>
      <c r="X289" t="e">
        <f t="shared" ca="1" si="243"/>
        <v>#N/A</v>
      </c>
      <c r="Y289" t="e">
        <f t="shared" ca="1" si="243"/>
        <v>#N/A</v>
      </c>
      <c r="Z289" t="e">
        <f t="shared" ca="1" si="243"/>
        <v>#N/A</v>
      </c>
      <c r="AB289">
        <f t="shared" ca="1" si="207"/>
        <v>0</v>
      </c>
      <c r="AC289">
        <f t="shared" ca="1" si="207"/>
        <v>0</v>
      </c>
      <c r="AD289">
        <f t="shared" ca="1" si="207"/>
        <v>0</v>
      </c>
      <c r="AF289" t="e">
        <f t="shared" si="217"/>
        <v>#REF!</v>
      </c>
      <c r="AG289" t="e">
        <f t="shared" ca="1" si="244"/>
        <v>#N/A</v>
      </c>
      <c r="AH289" t="e">
        <f t="shared" ca="1" si="244"/>
        <v>#N/A</v>
      </c>
      <c r="AI289" t="e">
        <f t="shared" ca="1" si="244"/>
        <v>#N/A</v>
      </c>
      <c r="AJ289" t="e">
        <f t="shared" ca="1" si="244"/>
        <v>#N/A</v>
      </c>
      <c r="AK289" t="e">
        <f t="shared" ca="1" si="244"/>
        <v>#N/A</v>
      </c>
      <c r="AL289" t="e">
        <f t="shared" ca="1" si="244"/>
        <v>#N/A</v>
      </c>
      <c r="AM289" t="e">
        <f t="shared" ca="1" si="244"/>
        <v>#N/A</v>
      </c>
      <c r="AN289">
        <f t="shared" ca="1" si="219"/>
        <v>0</v>
      </c>
      <c r="AO289">
        <f t="shared" ca="1" si="220"/>
        <v>0</v>
      </c>
      <c r="AP289">
        <f t="shared" ca="1" si="221"/>
        <v>0</v>
      </c>
      <c r="AQ289">
        <f t="shared" ca="1" si="222"/>
        <v>0</v>
      </c>
      <c r="AR289">
        <f t="shared" ca="1" si="223"/>
        <v>0</v>
      </c>
      <c r="AS289">
        <f t="shared" ca="1" si="224"/>
        <v>0</v>
      </c>
      <c r="AT289">
        <f t="shared" ca="1" si="225"/>
        <v>0</v>
      </c>
      <c r="AV289" t="e">
        <f t="shared" si="206"/>
        <v>#REF!</v>
      </c>
      <c r="AW289" t="e" cm="1">
        <f t="array" ref="AW289">INDEX(auto_DataFlat_Score,$AV289,1)</f>
        <v>#REF!</v>
      </c>
      <c r="AX289" t="e" cm="1">
        <f t="array" ref="AX289">INDEX(auto_DataFlat_DataValue,$AV289,1)</f>
        <v>#REF!</v>
      </c>
      <c r="BA289" t="str">
        <f t="shared" si="226"/>
        <v>n/a</v>
      </c>
      <c r="BB289">
        <f t="shared" si="227"/>
        <v>1</v>
      </c>
      <c r="BC289" t="e">
        <f t="shared" si="228"/>
        <v>#REF!</v>
      </c>
      <c r="BD289" t="e">
        <f t="shared" ca="1" si="242"/>
        <v>#N/A</v>
      </c>
      <c r="BE289" t="e">
        <f t="shared" ca="1" si="242"/>
        <v>#N/A</v>
      </c>
      <c r="BF289" t="e">
        <f t="shared" ca="1" si="242"/>
        <v>#N/A</v>
      </c>
      <c r="BH289">
        <f t="shared" ca="1" si="208"/>
        <v>0</v>
      </c>
      <c r="BI289">
        <f t="shared" ca="1" si="208"/>
        <v>0</v>
      </c>
      <c r="BJ289">
        <f t="shared" ca="1" si="208"/>
        <v>0</v>
      </c>
      <c r="BM289" t="e">
        <f t="shared" si="229"/>
        <v>#REF!</v>
      </c>
      <c r="BN289" t="e">
        <f t="shared" ca="1" si="230"/>
        <v>#N/A</v>
      </c>
      <c r="BO289" t="e">
        <f t="shared" ca="1" si="231"/>
        <v>#N/A</v>
      </c>
      <c r="BP289" t="e">
        <f t="shared" ca="1" si="232"/>
        <v>#N/A</v>
      </c>
      <c r="BQ289" t="e">
        <f t="shared" ca="1" si="233"/>
        <v>#N/A</v>
      </c>
      <c r="BR289" t="e">
        <f t="shared" ca="1" si="234"/>
        <v>#N/A</v>
      </c>
      <c r="BS289" t="e">
        <f t="shared" ca="1" si="235"/>
        <v>#N/A</v>
      </c>
      <c r="BT289" t="e">
        <f t="shared" ca="1" si="236"/>
        <v>#N/A</v>
      </c>
      <c r="BU289">
        <f t="shared" ca="1" si="237"/>
        <v>0</v>
      </c>
      <c r="BV289">
        <f t="shared" ca="1" si="238"/>
        <v>0</v>
      </c>
      <c r="BW289">
        <f t="shared" ca="1" si="239"/>
        <v>0</v>
      </c>
      <c r="BX289">
        <f t="shared" ca="1" si="240"/>
        <v>0</v>
      </c>
      <c r="BY289">
        <f t="shared" ca="1" si="241"/>
        <v>0</v>
      </c>
      <c r="BZ289">
        <f t="shared" ca="1" si="211"/>
        <v>0</v>
      </c>
      <c r="CA289">
        <f t="shared" ca="1" si="212"/>
        <v>0</v>
      </c>
    </row>
    <row r="290" spans="1:79" x14ac:dyDescent="0.4">
      <c r="A290" t="str">
        <f t="shared" si="197"/>
        <v>X</v>
      </c>
      <c r="B290">
        <v>279</v>
      </c>
      <c r="C290" t="e" cm="1">
        <f t="array" ref="C290">INDEX(auto_Series_Code,B290)</f>
        <v>#REF!</v>
      </c>
      <c r="D290" t="e" cm="1">
        <f t="array" ref="D290">INDEX(auto_tblSeries,$B290,D$11)</f>
        <v>#REF!</v>
      </c>
      <c r="E290" t="e" cm="1">
        <f t="array" ref="E290">INDEX(auto_tblSeries,$B290,E$11)</f>
        <v>#REF!</v>
      </c>
      <c r="F290" t="e" cm="1">
        <f t="array" ref="F290">INDEX(auto_tblSeries,$B290,F$11)</f>
        <v>#REF!</v>
      </c>
      <c r="G290" t="e" cm="1">
        <f t="array" ref="G290">INDEX(auto_tblSeries,$B290,G$11)</f>
        <v>#REF!</v>
      </c>
      <c r="H290" t="e" cm="1">
        <f t="array" ref="H290">INDEX(auto_tblSeries,$B290,H$11)</f>
        <v>#REF!</v>
      </c>
      <c r="I290" t="e">
        <f t="shared" si="70"/>
        <v>#REF!</v>
      </c>
      <c r="K290" t="e" cm="1">
        <f t="array" ref="K290">INDEX(auto_DataFlat_Score,$I290,K$10)</f>
        <v>#REF!</v>
      </c>
      <c r="L290" t="e" cm="1">
        <f t="array" ref="L290">INDEX(auto_DataFlat_Rank,$I290,L$10)</f>
        <v>#REF!</v>
      </c>
      <c r="M290" t="e" cm="1">
        <f t="array" ref="M290">INDEX(auto_DataFlat_DataValue,$I290,M$10)</f>
        <v>#REF!</v>
      </c>
      <c r="N290" t="e" cm="1">
        <f t="array" ref="N290">INDEX(auto_DataFlat_Classification,$I290,M$10)</f>
        <v>#REF!</v>
      </c>
      <c r="O290" t="e" cm="1">
        <f t="array" ref="O290">INDEX(auto_DataFlat_IsEstimate,$I290,O$10)</f>
        <v>#REF!</v>
      </c>
      <c r="P290" t="e" cm="1">
        <f t="array" ref="P290">IF(INDEX(auto_DataFlat_DataYear,$I290,P$10)=0,"n/a",INDEX(auto_DataFlat_DataYear,$I290,P$10))</f>
        <v>#REF!</v>
      </c>
      <c r="R290" t="e">
        <f t="shared" si="209"/>
        <v>#REF!</v>
      </c>
      <c r="S290" t="e" cm="1">
        <f t="array" ref="S290">INDEX(auto_DataFlat_Score,$R290,S$10)</f>
        <v>#REF!</v>
      </c>
      <c r="U290" t="str">
        <f t="shared" si="213"/>
        <v>n/a</v>
      </c>
      <c r="V290">
        <f t="shared" si="214"/>
        <v>1</v>
      </c>
      <c r="W290" t="e">
        <f t="shared" si="215"/>
        <v>#REF!</v>
      </c>
      <c r="X290" t="e">
        <f t="shared" ca="1" si="243"/>
        <v>#N/A</v>
      </c>
      <c r="Y290" t="e">
        <f t="shared" ca="1" si="243"/>
        <v>#N/A</v>
      </c>
      <c r="Z290" t="e">
        <f t="shared" ca="1" si="243"/>
        <v>#N/A</v>
      </c>
      <c r="AB290">
        <f t="shared" ca="1" si="207"/>
        <v>0</v>
      </c>
      <c r="AC290">
        <f t="shared" ca="1" si="207"/>
        <v>0</v>
      </c>
      <c r="AD290">
        <f t="shared" ca="1" si="207"/>
        <v>0</v>
      </c>
      <c r="AF290" t="e">
        <f t="shared" si="217"/>
        <v>#REF!</v>
      </c>
      <c r="AG290" t="e">
        <f t="shared" ca="1" si="244"/>
        <v>#N/A</v>
      </c>
      <c r="AH290" t="e">
        <f t="shared" ca="1" si="244"/>
        <v>#N/A</v>
      </c>
      <c r="AI290" t="e">
        <f t="shared" ca="1" si="244"/>
        <v>#N/A</v>
      </c>
      <c r="AJ290" t="e">
        <f t="shared" ca="1" si="244"/>
        <v>#N/A</v>
      </c>
      <c r="AK290" t="e">
        <f t="shared" ca="1" si="244"/>
        <v>#N/A</v>
      </c>
      <c r="AL290" t="e">
        <f t="shared" ca="1" si="244"/>
        <v>#N/A</v>
      </c>
      <c r="AM290" t="e">
        <f t="shared" ca="1" si="244"/>
        <v>#N/A</v>
      </c>
      <c r="AN290">
        <f t="shared" ca="1" si="219"/>
        <v>0</v>
      </c>
      <c r="AO290">
        <f t="shared" ca="1" si="220"/>
        <v>0</v>
      </c>
      <c r="AP290">
        <f t="shared" ca="1" si="221"/>
        <v>0</v>
      </c>
      <c r="AQ290">
        <f t="shared" ca="1" si="222"/>
        <v>0</v>
      </c>
      <c r="AR290">
        <f t="shared" ca="1" si="223"/>
        <v>0</v>
      </c>
      <c r="AS290">
        <f t="shared" ca="1" si="224"/>
        <v>0</v>
      </c>
      <c r="AT290">
        <f t="shared" ca="1" si="225"/>
        <v>0</v>
      </c>
      <c r="AV290" t="e">
        <f t="shared" si="206"/>
        <v>#REF!</v>
      </c>
      <c r="AW290" t="e" cm="1">
        <f t="array" ref="AW290">INDEX(auto_DataFlat_Score,$AV290,1)</f>
        <v>#REF!</v>
      </c>
      <c r="AX290" t="e" cm="1">
        <f t="array" ref="AX290">INDEX(auto_DataFlat_DataValue,$AV290,1)</f>
        <v>#REF!</v>
      </c>
      <c r="BA290" t="str">
        <f t="shared" si="226"/>
        <v>n/a</v>
      </c>
      <c r="BB290">
        <f t="shared" si="227"/>
        <v>1</v>
      </c>
      <c r="BC290" t="e">
        <f t="shared" si="228"/>
        <v>#REF!</v>
      </c>
      <c r="BD290" t="e">
        <f t="shared" ca="1" si="242"/>
        <v>#N/A</v>
      </c>
      <c r="BE290" t="e">
        <f t="shared" ca="1" si="242"/>
        <v>#N/A</v>
      </c>
      <c r="BF290" t="e">
        <f t="shared" ca="1" si="242"/>
        <v>#N/A</v>
      </c>
      <c r="BH290">
        <f t="shared" ca="1" si="208"/>
        <v>0</v>
      </c>
      <c r="BI290">
        <f t="shared" ca="1" si="208"/>
        <v>0</v>
      </c>
      <c r="BJ290">
        <f t="shared" ca="1" si="208"/>
        <v>0</v>
      </c>
      <c r="BM290" t="e">
        <f t="shared" si="229"/>
        <v>#REF!</v>
      </c>
      <c r="BN290" t="e">
        <f t="shared" ca="1" si="230"/>
        <v>#N/A</v>
      </c>
      <c r="BO290" t="e">
        <f t="shared" ca="1" si="231"/>
        <v>#N/A</v>
      </c>
      <c r="BP290" t="e">
        <f t="shared" ca="1" si="232"/>
        <v>#N/A</v>
      </c>
      <c r="BQ290" t="e">
        <f t="shared" ca="1" si="233"/>
        <v>#N/A</v>
      </c>
      <c r="BR290" t="e">
        <f t="shared" ca="1" si="234"/>
        <v>#N/A</v>
      </c>
      <c r="BS290" t="e">
        <f t="shared" ca="1" si="235"/>
        <v>#N/A</v>
      </c>
      <c r="BT290" t="e">
        <f t="shared" ca="1" si="236"/>
        <v>#N/A</v>
      </c>
      <c r="BU290">
        <f t="shared" ca="1" si="237"/>
        <v>0</v>
      </c>
      <c r="BV290">
        <f t="shared" ca="1" si="238"/>
        <v>0</v>
      </c>
      <c r="BW290">
        <f t="shared" ca="1" si="239"/>
        <v>0</v>
      </c>
      <c r="BX290">
        <f t="shared" ca="1" si="240"/>
        <v>0</v>
      </c>
      <c r="BY290">
        <f t="shared" ca="1" si="241"/>
        <v>0</v>
      </c>
      <c r="BZ290">
        <f t="shared" ca="1" si="211"/>
        <v>0</v>
      </c>
      <c r="CA290">
        <f t="shared" ca="1" si="212"/>
        <v>0</v>
      </c>
    </row>
    <row r="291" spans="1:79" x14ac:dyDescent="0.4">
      <c r="A291" t="str">
        <f t="shared" si="197"/>
        <v>X</v>
      </c>
      <c r="B291">
        <v>280</v>
      </c>
      <c r="C291" t="e" cm="1">
        <f t="array" ref="C291">INDEX(auto_Series_Code,B291)</f>
        <v>#REF!</v>
      </c>
      <c r="D291" t="e" cm="1">
        <f t="array" ref="D291">INDEX(auto_tblSeries,$B291,D$11)</f>
        <v>#REF!</v>
      </c>
      <c r="E291" t="e" cm="1">
        <f t="array" ref="E291">INDEX(auto_tblSeries,$B291,E$11)</f>
        <v>#REF!</v>
      </c>
      <c r="F291" t="e" cm="1">
        <f t="array" ref="F291">INDEX(auto_tblSeries,$B291,F$11)</f>
        <v>#REF!</v>
      </c>
      <c r="G291" t="e" cm="1">
        <f t="array" ref="G291">INDEX(auto_tblSeries,$B291,G$11)</f>
        <v>#REF!</v>
      </c>
      <c r="H291" t="e" cm="1">
        <f t="array" ref="H291">INDEX(auto_tblSeries,$B291,H$11)</f>
        <v>#REF!</v>
      </c>
      <c r="I291" t="e">
        <f t="shared" si="70"/>
        <v>#REF!</v>
      </c>
      <c r="K291" t="e" cm="1">
        <f t="array" ref="K291">INDEX(auto_DataFlat_Score,$I291,K$10)</f>
        <v>#REF!</v>
      </c>
      <c r="L291" t="e" cm="1">
        <f t="array" ref="L291">INDEX(auto_DataFlat_Rank,$I291,L$10)</f>
        <v>#REF!</v>
      </c>
      <c r="M291" t="e" cm="1">
        <f t="array" ref="M291">INDEX(auto_DataFlat_DataValue,$I291,M$10)</f>
        <v>#REF!</v>
      </c>
      <c r="N291" t="e" cm="1">
        <f t="array" ref="N291">INDEX(auto_DataFlat_Classification,$I291,M$10)</f>
        <v>#REF!</v>
      </c>
      <c r="O291" t="e" cm="1">
        <f t="array" ref="O291">INDEX(auto_DataFlat_IsEstimate,$I291,O$10)</f>
        <v>#REF!</v>
      </c>
      <c r="P291" t="e" cm="1">
        <f t="array" ref="P291">IF(INDEX(auto_DataFlat_DataYear,$I291,P$10)=0,"n/a",INDEX(auto_DataFlat_DataYear,$I291,P$10))</f>
        <v>#REF!</v>
      </c>
      <c r="R291" t="e">
        <f t="shared" si="209"/>
        <v>#REF!</v>
      </c>
      <c r="S291" t="e" cm="1">
        <f t="array" ref="S291">INDEX(auto_DataFlat_Score,$R291,S$10)</f>
        <v>#REF!</v>
      </c>
      <c r="U291" t="str">
        <f t="shared" si="213"/>
        <v>n/a</v>
      </c>
      <c r="V291">
        <f t="shared" si="214"/>
        <v>1</v>
      </c>
      <c r="W291" t="e">
        <f t="shared" si="215"/>
        <v>#REF!</v>
      </c>
      <c r="X291" t="e">
        <f t="shared" ca="1" si="243"/>
        <v>#N/A</v>
      </c>
      <c r="Y291" t="e">
        <f t="shared" ca="1" si="243"/>
        <v>#N/A</v>
      </c>
      <c r="Z291" t="e">
        <f t="shared" ca="1" si="243"/>
        <v>#N/A</v>
      </c>
      <c r="AB291">
        <f t="shared" ca="1" si="207"/>
        <v>0</v>
      </c>
      <c r="AC291">
        <f t="shared" ca="1" si="207"/>
        <v>0</v>
      </c>
      <c r="AD291">
        <f t="shared" ca="1" si="207"/>
        <v>0</v>
      </c>
      <c r="AF291" t="e">
        <f t="shared" si="217"/>
        <v>#REF!</v>
      </c>
      <c r="AG291" t="e">
        <f t="shared" ca="1" si="244"/>
        <v>#N/A</v>
      </c>
      <c r="AH291" t="e">
        <f t="shared" ca="1" si="244"/>
        <v>#N/A</v>
      </c>
      <c r="AI291" t="e">
        <f t="shared" ca="1" si="244"/>
        <v>#N/A</v>
      </c>
      <c r="AJ291" t="e">
        <f t="shared" ca="1" si="244"/>
        <v>#N/A</v>
      </c>
      <c r="AK291" t="e">
        <f t="shared" ca="1" si="244"/>
        <v>#N/A</v>
      </c>
      <c r="AL291" t="e">
        <f t="shared" ca="1" si="244"/>
        <v>#N/A</v>
      </c>
      <c r="AM291" t="e">
        <f t="shared" ca="1" si="244"/>
        <v>#N/A</v>
      </c>
      <c r="AN291">
        <f t="shared" ca="1" si="219"/>
        <v>0</v>
      </c>
      <c r="AO291">
        <f t="shared" ca="1" si="220"/>
        <v>0</v>
      </c>
      <c r="AP291">
        <f t="shared" ca="1" si="221"/>
        <v>0</v>
      </c>
      <c r="AQ291">
        <f t="shared" ca="1" si="222"/>
        <v>0</v>
      </c>
      <c r="AR291">
        <f t="shared" ca="1" si="223"/>
        <v>0</v>
      </c>
      <c r="AS291">
        <f t="shared" ca="1" si="224"/>
        <v>0</v>
      </c>
      <c r="AT291">
        <f t="shared" ca="1" si="225"/>
        <v>0</v>
      </c>
      <c r="AV291" t="e">
        <f t="shared" si="206"/>
        <v>#REF!</v>
      </c>
      <c r="AW291" t="e" cm="1">
        <f t="array" ref="AW291">INDEX(auto_DataFlat_Score,$AV291,1)</f>
        <v>#REF!</v>
      </c>
      <c r="AX291" t="e" cm="1">
        <f t="array" ref="AX291">INDEX(auto_DataFlat_DataValue,$AV291,1)</f>
        <v>#REF!</v>
      </c>
      <c r="BA291" t="str">
        <f t="shared" si="226"/>
        <v>n/a</v>
      </c>
      <c r="BB291">
        <f t="shared" si="227"/>
        <v>1</v>
      </c>
      <c r="BC291" t="e">
        <f t="shared" si="228"/>
        <v>#REF!</v>
      </c>
      <c r="BD291" t="e">
        <f t="shared" ca="1" si="242"/>
        <v>#N/A</v>
      </c>
      <c r="BE291" t="e">
        <f t="shared" ca="1" si="242"/>
        <v>#N/A</v>
      </c>
      <c r="BF291" t="e">
        <f t="shared" ca="1" si="242"/>
        <v>#N/A</v>
      </c>
      <c r="BH291">
        <f t="shared" ca="1" si="208"/>
        <v>0</v>
      </c>
      <c r="BI291">
        <f t="shared" ca="1" si="208"/>
        <v>0</v>
      </c>
      <c r="BJ291">
        <f t="shared" ca="1" si="208"/>
        <v>0</v>
      </c>
      <c r="BM291" t="e">
        <f t="shared" si="229"/>
        <v>#REF!</v>
      </c>
      <c r="BN291" t="e">
        <f t="shared" ca="1" si="230"/>
        <v>#N/A</v>
      </c>
      <c r="BO291" t="e">
        <f t="shared" ca="1" si="231"/>
        <v>#N/A</v>
      </c>
      <c r="BP291" t="e">
        <f t="shared" ca="1" si="232"/>
        <v>#N/A</v>
      </c>
      <c r="BQ291" t="e">
        <f t="shared" ca="1" si="233"/>
        <v>#N/A</v>
      </c>
      <c r="BR291" t="e">
        <f t="shared" ca="1" si="234"/>
        <v>#N/A</v>
      </c>
      <c r="BS291" t="e">
        <f t="shared" ca="1" si="235"/>
        <v>#N/A</v>
      </c>
      <c r="BT291" t="e">
        <f t="shared" ca="1" si="236"/>
        <v>#N/A</v>
      </c>
      <c r="BU291">
        <f t="shared" ca="1" si="237"/>
        <v>0</v>
      </c>
      <c r="BV291">
        <f t="shared" ca="1" si="238"/>
        <v>0</v>
      </c>
      <c r="BW291">
        <f t="shared" ca="1" si="239"/>
        <v>0</v>
      </c>
      <c r="BX291">
        <f t="shared" ca="1" si="240"/>
        <v>0</v>
      </c>
      <c r="BY291">
        <f t="shared" ca="1" si="241"/>
        <v>0</v>
      </c>
      <c r="BZ291">
        <f t="shared" ca="1" si="211"/>
        <v>0</v>
      </c>
      <c r="CA291">
        <f t="shared" ca="1" si="212"/>
        <v>0</v>
      </c>
    </row>
    <row r="292" spans="1:79" x14ac:dyDescent="0.4">
      <c r="A292" t="str">
        <f t="shared" si="197"/>
        <v>X</v>
      </c>
      <c r="B292">
        <v>281</v>
      </c>
      <c r="C292" t="e" cm="1">
        <f t="array" ref="C292">INDEX(auto_Series_Code,B292)</f>
        <v>#REF!</v>
      </c>
      <c r="D292" t="e" cm="1">
        <f t="array" ref="D292">INDEX(auto_tblSeries,$B292,D$11)</f>
        <v>#REF!</v>
      </c>
      <c r="E292" t="e" cm="1">
        <f t="array" ref="E292">INDEX(auto_tblSeries,$B292,E$11)</f>
        <v>#REF!</v>
      </c>
      <c r="F292" t="e" cm="1">
        <f t="array" ref="F292">INDEX(auto_tblSeries,$B292,F$11)</f>
        <v>#REF!</v>
      </c>
      <c r="G292" t="e" cm="1">
        <f t="array" ref="G292">INDEX(auto_tblSeries,$B292,G$11)</f>
        <v>#REF!</v>
      </c>
      <c r="H292" t="e" cm="1">
        <f t="array" ref="H292">INDEX(auto_tblSeries,$B292,H$11)</f>
        <v>#REF!</v>
      </c>
      <c r="I292" t="e">
        <f t="shared" si="70"/>
        <v>#REF!</v>
      </c>
      <c r="K292" t="e" cm="1">
        <f t="array" ref="K292">INDEX(auto_DataFlat_Score,$I292,K$10)</f>
        <v>#REF!</v>
      </c>
      <c r="L292" t="e" cm="1">
        <f t="array" ref="L292">INDEX(auto_DataFlat_Rank,$I292,L$10)</f>
        <v>#REF!</v>
      </c>
      <c r="M292" t="e" cm="1">
        <f t="array" ref="M292">INDEX(auto_DataFlat_DataValue,$I292,M$10)</f>
        <v>#REF!</v>
      </c>
      <c r="N292" t="e" cm="1">
        <f t="array" ref="N292">INDEX(auto_DataFlat_Classification,$I292,M$10)</f>
        <v>#REF!</v>
      </c>
      <c r="O292" t="e" cm="1">
        <f t="array" ref="O292">INDEX(auto_DataFlat_IsEstimate,$I292,O$10)</f>
        <v>#REF!</v>
      </c>
      <c r="P292" t="e" cm="1">
        <f t="array" ref="P292">IF(INDEX(auto_DataFlat_DataYear,$I292,P$10)=0,"n/a",INDEX(auto_DataFlat_DataYear,$I292,P$10))</f>
        <v>#REF!</v>
      </c>
      <c r="R292" t="e">
        <f t="shared" si="209"/>
        <v>#REF!</v>
      </c>
      <c r="S292" t="e" cm="1">
        <f t="array" ref="S292">INDEX(auto_DataFlat_Score,$R292,S$10)</f>
        <v>#REF!</v>
      </c>
      <c r="U292" t="str">
        <f t="shared" si="213"/>
        <v>n/a</v>
      </c>
      <c r="V292">
        <f t="shared" si="214"/>
        <v>1</v>
      </c>
      <c r="W292" t="e">
        <f t="shared" si="215"/>
        <v>#REF!</v>
      </c>
      <c r="X292" t="e">
        <f t="shared" ca="1" si="243"/>
        <v>#N/A</v>
      </c>
      <c r="Y292" t="e">
        <f t="shared" ca="1" si="243"/>
        <v>#N/A</v>
      </c>
      <c r="Z292" t="e">
        <f t="shared" ca="1" si="243"/>
        <v>#N/A</v>
      </c>
      <c r="AB292">
        <f t="shared" ca="1" si="207"/>
        <v>0</v>
      </c>
      <c r="AC292">
        <f t="shared" ca="1" si="207"/>
        <v>0</v>
      </c>
      <c r="AD292">
        <f t="shared" ca="1" si="207"/>
        <v>0</v>
      </c>
      <c r="AF292" t="e">
        <f t="shared" si="217"/>
        <v>#REF!</v>
      </c>
      <c r="AG292" t="e">
        <f t="shared" ca="1" si="244"/>
        <v>#N/A</v>
      </c>
      <c r="AH292" t="e">
        <f t="shared" ca="1" si="244"/>
        <v>#N/A</v>
      </c>
      <c r="AI292" t="e">
        <f t="shared" ca="1" si="244"/>
        <v>#N/A</v>
      </c>
      <c r="AJ292" t="e">
        <f t="shared" ca="1" si="244"/>
        <v>#N/A</v>
      </c>
      <c r="AK292" t="e">
        <f t="shared" ca="1" si="244"/>
        <v>#N/A</v>
      </c>
      <c r="AL292" t="e">
        <f t="shared" ca="1" si="244"/>
        <v>#N/A</v>
      </c>
      <c r="AM292" t="e">
        <f t="shared" ca="1" si="244"/>
        <v>#N/A</v>
      </c>
      <c r="AN292">
        <f t="shared" ca="1" si="219"/>
        <v>0</v>
      </c>
      <c r="AO292">
        <f t="shared" ca="1" si="220"/>
        <v>0</v>
      </c>
      <c r="AP292">
        <f t="shared" ca="1" si="221"/>
        <v>0</v>
      </c>
      <c r="AQ292">
        <f t="shared" ca="1" si="222"/>
        <v>0</v>
      </c>
      <c r="AR292">
        <f t="shared" ca="1" si="223"/>
        <v>0</v>
      </c>
      <c r="AS292">
        <f t="shared" ca="1" si="224"/>
        <v>0</v>
      </c>
      <c r="AT292">
        <f t="shared" ca="1" si="225"/>
        <v>0</v>
      </c>
      <c r="AV292" t="e">
        <f t="shared" si="206"/>
        <v>#REF!</v>
      </c>
      <c r="AW292" t="e" cm="1">
        <f t="array" ref="AW292">INDEX(auto_DataFlat_Score,$AV292,1)</f>
        <v>#REF!</v>
      </c>
      <c r="AX292" t="e" cm="1">
        <f t="array" ref="AX292">INDEX(auto_DataFlat_DataValue,$AV292,1)</f>
        <v>#REF!</v>
      </c>
      <c r="BA292" t="str">
        <f t="shared" si="226"/>
        <v>n/a</v>
      </c>
      <c r="BB292">
        <f t="shared" si="227"/>
        <v>1</v>
      </c>
      <c r="BC292" t="e">
        <f t="shared" si="228"/>
        <v>#REF!</v>
      </c>
      <c r="BD292" t="e">
        <f t="shared" ca="1" si="242"/>
        <v>#N/A</v>
      </c>
      <c r="BE292" t="e">
        <f t="shared" ca="1" si="242"/>
        <v>#N/A</v>
      </c>
      <c r="BF292" t="e">
        <f t="shared" ca="1" si="242"/>
        <v>#N/A</v>
      </c>
      <c r="BH292">
        <f t="shared" ca="1" si="208"/>
        <v>0</v>
      </c>
      <c r="BI292">
        <f t="shared" ca="1" si="208"/>
        <v>0</v>
      </c>
      <c r="BJ292">
        <f t="shared" ca="1" si="208"/>
        <v>0</v>
      </c>
      <c r="BM292" t="e">
        <f t="shared" si="229"/>
        <v>#REF!</v>
      </c>
      <c r="BN292" t="e">
        <f t="shared" ca="1" si="230"/>
        <v>#N/A</v>
      </c>
      <c r="BO292" t="e">
        <f t="shared" ca="1" si="231"/>
        <v>#N/A</v>
      </c>
      <c r="BP292" t="e">
        <f t="shared" ca="1" si="232"/>
        <v>#N/A</v>
      </c>
      <c r="BQ292" t="e">
        <f t="shared" ca="1" si="233"/>
        <v>#N/A</v>
      </c>
      <c r="BR292" t="e">
        <f t="shared" ca="1" si="234"/>
        <v>#N/A</v>
      </c>
      <c r="BS292" t="e">
        <f t="shared" ca="1" si="235"/>
        <v>#N/A</v>
      </c>
      <c r="BT292" t="e">
        <f t="shared" ca="1" si="236"/>
        <v>#N/A</v>
      </c>
      <c r="BU292">
        <f t="shared" ca="1" si="237"/>
        <v>0</v>
      </c>
      <c r="BV292">
        <f t="shared" ca="1" si="238"/>
        <v>0</v>
      </c>
      <c r="BW292">
        <f t="shared" ca="1" si="239"/>
        <v>0</v>
      </c>
      <c r="BX292">
        <f t="shared" ca="1" si="240"/>
        <v>0</v>
      </c>
      <c r="BY292">
        <f t="shared" ca="1" si="241"/>
        <v>0</v>
      </c>
      <c r="BZ292">
        <f t="shared" ca="1" si="211"/>
        <v>0</v>
      </c>
      <c r="CA292">
        <f t="shared" ca="1" si="212"/>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4A513-06DF-456F-B131-11F99E65E672}">
  <sheetPr codeName="Sheet40">
    <tabColor rgb="FF7030A0"/>
  </sheetPr>
  <dimension ref="A1:AR119"/>
  <sheetViews>
    <sheetView topLeftCell="A55" workbookViewId="0">
      <selection activeCell="T29" sqref="T29"/>
    </sheetView>
  </sheetViews>
  <sheetFormatPr defaultColWidth="9.15234375" defaultRowHeight="14.6" x14ac:dyDescent="0.4"/>
  <cols>
    <col min="1" max="1" width="18.53515625" customWidth="1"/>
    <col min="3" max="3" width="30.84375" customWidth="1"/>
    <col min="6" max="6" width="8.53515625" customWidth="1"/>
    <col min="7" max="7" width="4.3046875" customWidth="1"/>
    <col min="8" max="8" width="2.69140625" customWidth="1"/>
    <col min="9" max="9" width="4.53515625" customWidth="1"/>
    <col min="10" max="11" width="2.69140625" customWidth="1"/>
    <col min="12" max="12" width="3.69140625" customWidth="1"/>
    <col min="13" max="13" width="2.69140625" customWidth="1"/>
    <col min="14" max="14" width="6.3828125" customWidth="1"/>
    <col min="15" max="15" width="4" customWidth="1"/>
    <col min="16" max="16" width="2.69140625" customWidth="1"/>
    <col min="17" max="17" width="6" customWidth="1"/>
    <col min="18" max="18" width="5.84375" customWidth="1"/>
    <col min="19" max="20" width="2.69140625" customWidth="1"/>
    <col min="21" max="21" width="7.69140625" customWidth="1"/>
    <col min="22" max="22" width="5.3046875" customWidth="1"/>
    <col min="23" max="29" width="2.69140625" customWidth="1"/>
    <col min="30" max="30" width="4.3046875" customWidth="1"/>
    <col min="31" max="31" width="4.3828125" customWidth="1"/>
  </cols>
  <sheetData>
    <row r="1" spans="1:8" x14ac:dyDescent="0.4">
      <c r="B1" t="s">
        <v>233</v>
      </c>
      <c r="C1" t="s">
        <v>1</v>
      </c>
      <c r="D1" t="s">
        <v>15</v>
      </c>
      <c r="F1" t="s">
        <v>446</v>
      </c>
      <c r="H1" t="s">
        <v>35</v>
      </c>
    </row>
    <row r="2" spans="1:8" x14ac:dyDescent="0.4">
      <c r="A2" t="s">
        <v>234</v>
      </c>
      <c r="B2" t="e">
        <f>MATCH("PILLAR_001",auto_Series_Code,0)</f>
        <v>#N/A</v>
      </c>
      <c r="C2" t="e" cm="1">
        <f t="array" ref="C2">INDEX(auto_Series_NameNoNumber,B2)</f>
        <v>#N/A</v>
      </c>
      <c r="D2" t="e" cm="1">
        <f t="array" ref="D2">INDEX(auto_Series_Unit,B2)</f>
        <v>#N/A</v>
      </c>
      <c r="F2">
        <v>0</v>
      </c>
      <c r="G2" t="e">
        <f>CONCATENATE(C2,": ",D2)</f>
        <v>#N/A</v>
      </c>
      <c r="H2">
        <v>0</v>
      </c>
    </row>
    <row r="3" spans="1:8" x14ac:dyDescent="0.4">
      <c r="A3" t="s">
        <v>235</v>
      </c>
      <c r="B3" t="e">
        <f>MATCH("PILLAR_002",auto_Series_Code,0)</f>
        <v>#N/A</v>
      </c>
      <c r="C3" t="e" cm="1">
        <f t="array" ref="C3">INDEX(auto_Series_NameNoNumber,B3)</f>
        <v>#N/A</v>
      </c>
      <c r="D3" t="e" cm="1">
        <f t="array" ref="D3">INDEX(auto_Series_Unit,B3)</f>
        <v>#N/A</v>
      </c>
      <c r="F3">
        <v>0</v>
      </c>
      <c r="G3" t="e">
        <f>CONCATENATE(C3,": ",D3)</f>
        <v>#N/A</v>
      </c>
      <c r="H3">
        <v>0</v>
      </c>
    </row>
    <row r="4" spans="1:8" x14ac:dyDescent="0.4">
      <c r="A4" t="s">
        <v>447</v>
      </c>
      <c r="B4">
        <f>uxbGlobals!$B$387</f>
        <v>0</v>
      </c>
    </row>
    <row r="5" spans="1:8" x14ac:dyDescent="0.4">
      <c r="A5" t="s">
        <v>448</v>
      </c>
      <c r="B5" t="b">
        <v>1</v>
      </c>
    </row>
    <row r="6" spans="1:8" x14ac:dyDescent="0.4">
      <c r="A6" t="s">
        <v>449</v>
      </c>
      <c r="B6" t="b">
        <v>0</v>
      </c>
    </row>
    <row r="8" spans="1:8" x14ac:dyDescent="0.4">
      <c r="A8" t="s">
        <v>237</v>
      </c>
      <c r="B8">
        <f>uxbGlobals!$B$321</f>
        <v>1</v>
      </c>
    </row>
    <row r="10" spans="1:8" x14ac:dyDescent="0.4">
      <c r="A10" t="s">
        <v>1666</v>
      </c>
      <c r="B10">
        <f>uxbGlobals!$B$361</f>
        <v>1</v>
      </c>
    </row>
    <row r="11" spans="1:8" x14ac:dyDescent="0.4">
      <c r="A11" t="s">
        <v>262</v>
      </c>
    </row>
    <row r="12" spans="1:8" x14ac:dyDescent="0.4">
      <c r="A12" t="s">
        <v>450</v>
      </c>
      <c r="B12" t="e">
        <f>C2</f>
        <v>#N/A</v>
      </c>
    </row>
    <row r="13" spans="1:8" x14ac:dyDescent="0.4">
      <c r="A13" t="s">
        <v>451</v>
      </c>
      <c r="B13" t="e">
        <f>C3</f>
        <v>#N/A</v>
      </c>
    </row>
    <row r="14" spans="1:8" x14ac:dyDescent="0.4">
      <c r="A14" t="s">
        <v>452</v>
      </c>
      <c r="B14" t="e">
        <f>CONCATENATE(B12,"  ↔ ",B13, " ")</f>
        <v>#N/A</v>
      </c>
    </row>
    <row r="15" spans="1:8" x14ac:dyDescent="0.4">
      <c r="A15" t="s">
        <v>453</v>
      </c>
      <c r="B15" t="e">
        <f>CONCATENATE(C2,", ",D2)</f>
        <v>#N/A</v>
      </c>
    </row>
    <row r="16" spans="1:8" x14ac:dyDescent="0.4">
      <c r="A16" t="s">
        <v>454</v>
      </c>
      <c r="B16" t="e">
        <f>CONCATENATE(C3,", ",D3)</f>
        <v>#N/A</v>
      </c>
    </row>
    <row r="17" spans="1:2" x14ac:dyDescent="0.4">
      <c r="A17" t="s">
        <v>1028</v>
      </c>
      <c r="B17" t="e">
        <f>CONCATENATE(B12,CHAR(10),"&lt;---- BELOW AVERAGE          -          ABOVE AVERAGE ----&gt;")</f>
        <v>#N/A</v>
      </c>
    </row>
    <row r="18" spans="1:2" x14ac:dyDescent="0.4">
      <c r="A18" t="s">
        <v>1152</v>
      </c>
      <c r="B18" t="str">
        <f>IF($H$2=1,"higher value","better environment")</f>
        <v>better environment</v>
      </c>
    </row>
    <row r="19" spans="1:2" x14ac:dyDescent="0.4">
      <c r="A19" t="s">
        <v>1029</v>
      </c>
      <c r="B19" t="e">
        <f>CONCATENATE(B12,CHAR(10),"          ",B18," ---------&gt;")</f>
        <v>#N/A</v>
      </c>
    </row>
    <row r="20" spans="1:2" x14ac:dyDescent="0.4">
      <c r="A20" t="s">
        <v>1030</v>
      </c>
      <c r="B20" t="e">
        <f>CONCATENATE(B13,CHAR(10),"&lt;---- BELOW AVERAGE          -          ABOVE AVERAGE ----&gt;")</f>
        <v>#N/A</v>
      </c>
    </row>
    <row r="21" spans="1:2" x14ac:dyDescent="0.4">
      <c r="A21" t="s">
        <v>1153</v>
      </c>
      <c r="B21" t="str">
        <f>IF($H$3=1,"higher value","better environment")</f>
        <v>better environment</v>
      </c>
    </row>
    <row r="22" spans="1:2" x14ac:dyDescent="0.4">
      <c r="A22" t="s">
        <v>1031</v>
      </c>
      <c r="B22" t="e">
        <f>CONCATENATE(B13,CHAR(10),"          ",B21," ---------&gt;")</f>
        <v>#N/A</v>
      </c>
    </row>
    <row r="26" spans="1:2" x14ac:dyDescent="0.4">
      <c r="A26" t="s">
        <v>665</v>
      </c>
      <c r="B26">
        <f>uxbGlobals!$B$224</f>
        <v>50</v>
      </c>
    </row>
    <row r="27" spans="1:2" x14ac:dyDescent="0.4">
      <c r="A27" t="s">
        <v>1306</v>
      </c>
      <c r="B27">
        <f>uxbGlobals!$B$352</f>
        <v>50</v>
      </c>
    </row>
    <row r="28" spans="1:2" x14ac:dyDescent="0.4">
      <c r="A28" t="s">
        <v>1262</v>
      </c>
      <c r="B28" t="str">
        <f>uxbGlobals!$B$180</f>
        <v>more healthy environment</v>
      </c>
    </row>
    <row r="30" spans="1:2" x14ac:dyDescent="0.4">
      <c r="A30" t="s">
        <v>1287</v>
      </c>
      <c r="B30" t="str">
        <f>CONCATENATE("          ",$B$28," ---------&gt;")</f>
        <v xml:space="preserve">          more healthy environment ---------&gt;</v>
      </c>
    </row>
    <row r="33" spans="1:2" x14ac:dyDescent="0.4">
      <c r="A33" t="s">
        <v>1265</v>
      </c>
      <c r="B33" t="str">
        <f>CONCATENATE("&lt;---- BELOW ",$B$27," COUNTRY AVERAGE          -          ABOVE ",$B$27," COUNTRY AVERAGE ----&gt;")</f>
        <v>&lt;---- BELOW 50 COUNTRY AVERAGE          -          ABOVE 50 COUNTRY AVERAGE ----&gt;</v>
      </c>
    </row>
    <row r="35" spans="1:2" x14ac:dyDescent="0.4">
      <c r="A35" t="s">
        <v>1163</v>
      </c>
      <c r="B35">
        <v>3</v>
      </c>
    </row>
    <row r="37" spans="1:2" x14ac:dyDescent="0.4">
      <c r="A37" t="s">
        <v>1263</v>
      </c>
      <c r="B37" t="e">
        <f>C2</f>
        <v>#N/A</v>
      </c>
    </row>
    <row r="38" spans="1:2" x14ac:dyDescent="0.4">
      <c r="A38" t="s">
        <v>1264</v>
      </c>
      <c r="B38" t="e">
        <f>C3</f>
        <v>#N/A</v>
      </c>
    </row>
    <row r="40" spans="1:2" x14ac:dyDescent="0.4">
      <c r="A40" t="s">
        <v>1166</v>
      </c>
      <c r="B40">
        <f ca="1">uxbGlobals!$B$578</f>
        <v>0</v>
      </c>
    </row>
    <row r="41" spans="1:2" x14ac:dyDescent="0.4">
      <c r="A41" t="s">
        <v>1167</v>
      </c>
      <c r="B41">
        <f ca="1">uxbGlobals!$B$603</f>
        <v>0</v>
      </c>
    </row>
    <row r="43" spans="1:2" x14ac:dyDescent="0.4">
      <c r="A43" t="s">
        <v>1190</v>
      </c>
      <c r="B43" t="str">
        <f>CHOOSE($B$35,"SCORE",IF($B40=1,"DATA","SCORE"),"Z-SCORE")</f>
        <v>Z-SCORE</v>
      </c>
    </row>
    <row r="44" spans="1:2" x14ac:dyDescent="0.4">
      <c r="A44" t="s">
        <v>1191</v>
      </c>
      <c r="B44" t="str">
        <f>CHOOSE($B$35,"SCORE",IF($B41=1,"DATA","SCORE"),"Z-SCORE")</f>
        <v>Z-SCORE</v>
      </c>
    </row>
    <row r="46" spans="1:2" x14ac:dyDescent="0.4">
      <c r="A46" t="s">
        <v>1199</v>
      </c>
      <c r="B46">
        <f ca="1">uxbGlobals!$B$592</f>
        <v>1</v>
      </c>
    </row>
    <row r="47" spans="1:2" x14ac:dyDescent="0.4">
      <c r="A47" t="s">
        <v>1200</v>
      </c>
      <c r="B47">
        <f ca="1">uxbGlobals!$B$617</f>
        <v>1</v>
      </c>
    </row>
    <row r="49" spans="1:2" x14ac:dyDescent="0.4">
      <c r="A49" t="s">
        <v>1267</v>
      </c>
      <c r="B49" t="str">
        <f ca="1">IF($B$46=0,CONCATENATE("&lt;------- ",$B$28,"                    "),CONCATENATE("                    ",$B$28," --------&gt;"))</f>
        <v xml:space="preserve">                    more healthy environment --------&gt;</v>
      </c>
    </row>
    <row r="50" spans="1:2" x14ac:dyDescent="0.4">
      <c r="A50" t="s">
        <v>1268</v>
      </c>
      <c r="B50" t="str">
        <f ca="1">IF($B$47=0,CONCATENATE("&lt;------- ",$B$28,"                    "),CONCATENATE("                    ",$B$28," --------&gt;"))</f>
        <v xml:space="preserve">                    more healthy environment --------&gt;</v>
      </c>
    </row>
    <row r="52" spans="1:2" x14ac:dyDescent="0.4">
      <c r="A52" t="s">
        <v>1566</v>
      </c>
      <c r="B52" t="e" cm="1">
        <f t="array" ref="B52">INDEX(auto_Series_Code,$B$2)</f>
        <v>#N/A</v>
      </c>
    </row>
    <row r="53" spans="1:2" x14ac:dyDescent="0.4">
      <c r="A53" t="s">
        <v>1564</v>
      </c>
      <c r="B53" t="e">
        <f>IF(OR(B52="BG02",B52="BG03",B52="BG10"),1,0)</f>
        <v>#N/A</v>
      </c>
    </row>
    <row r="54" spans="1:2" x14ac:dyDescent="0.4">
      <c r="A54" t="s">
        <v>1194</v>
      </c>
      <c r="B54" t="str">
        <f>IF($B$43="SCORE",IF(B53=1,"Score 0-100 where 100=highest data value",uxbGlobals!$B$202),IF($B$43="DATA",IF(iScatterStateProfile!$B$40=0,uxbGlobals!$B$202,uxbGlobals!$B$588),IF($B$43="Z-SCORE","Z-score calculated on normalised scores")))</f>
        <v>Z-score calculated on normalised scores</v>
      </c>
    </row>
    <row r="55" spans="1:2" x14ac:dyDescent="0.4">
      <c r="A55" t="s">
        <v>1195</v>
      </c>
      <c r="B55" t="e">
        <f>IF(B53=1,"",IF($B$43="SCORE","",IF($B$43="DATA",IF($B$40=0,"",CONCATENATE(IF($B$46=1,"Higher values represent ","LOWER values represent"),uxbGlobals!$B$180)),IF($B$43="Z-SCORE",CONCATENATE("Values above zero represent ",uxbGlobals!$B$182)))))</f>
        <v>#N/A</v>
      </c>
    </row>
    <row r="56" spans="1:2" x14ac:dyDescent="0.4">
      <c r="A56" t="s">
        <v>1261</v>
      </c>
      <c r="B56" t="e">
        <f>CONCATENATE("&lt;-- below average             ",C2,"             above average --&gt;")</f>
        <v>#N/A</v>
      </c>
    </row>
    <row r="57" spans="1:2" x14ac:dyDescent="0.4">
      <c r="A57" t="s">
        <v>1286</v>
      </c>
    </row>
    <row r="59" spans="1:2" x14ac:dyDescent="0.4">
      <c r="A59" t="s">
        <v>1565</v>
      </c>
      <c r="B59" t="e" cm="1">
        <f t="array" ref="B59">INDEX(auto_Series_Code,$B$3)</f>
        <v>#N/A</v>
      </c>
    </row>
    <row r="60" spans="1:2" x14ac:dyDescent="0.4">
      <c r="A60" t="s">
        <v>1564</v>
      </c>
      <c r="B60" t="e">
        <f>IF(OR(B59="BG02",B59="BG03",B59="BG10"),1,0)</f>
        <v>#N/A</v>
      </c>
    </row>
    <row r="61" spans="1:2" x14ac:dyDescent="0.4">
      <c r="A61" t="s">
        <v>1201</v>
      </c>
      <c r="B61" t="str">
        <f>IF($B$44="SCORE",IF(B60=1,"Score 0-100 where 100=highest data value",uxbGlobals!$B$202),IF($B$44="DATA",IF(iScatterStateProfile!$B$41=0,uxbGlobals!$B$202,uxbGlobals!$B$613),IF($B$44="Z-SCORE","Z-score calculated on normalised scores")))</f>
        <v>Z-score calculated on normalised scores</v>
      </c>
    </row>
    <row r="62" spans="1:2" x14ac:dyDescent="0.4">
      <c r="A62" t="s">
        <v>1202</v>
      </c>
      <c r="B62" t="e">
        <f>IF(B60=1,"",IF($B$44="SCORE","",IF($B$44="DATA",IF($B$41=0,"",CONCATENATE(IF($B$46=1,"Higher values represent ","Lower values represent"),uxbGlobals!$B$180)),IF($B$44="Z-SCORE",CONCATENATE("Values above zero represent ",uxbGlobals!$B$182)))))</f>
        <v>#N/A</v>
      </c>
    </row>
    <row r="63" spans="1:2" x14ac:dyDescent="0.4">
      <c r="A63" t="s">
        <v>1266</v>
      </c>
      <c r="B63" t="e">
        <f>CONCATENATE("&lt;-- below average             ",C3,"             above average --&gt;")</f>
        <v>#N/A</v>
      </c>
    </row>
    <row r="64" spans="1:2" x14ac:dyDescent="0.4">
      <c r="A64" t="s">
        <v>1288</v>
      </c>
    </row>
    <row r="67" spans="1:3" x14ac:dyDescent="0.4">
      <c r="A67" t="s">
        <v>1183</v>
      </c>
      <c r="B67">
        <f ca="1">MAX(OFFSET($X$92,0,0,$B$26,1))</f>
        <v>0</v>
      </c>
    </row>
    <row r="68" spans="1:3" x14ac:dyDescent="0.4">
      <c r="A68" t="s">
        <v>1186</v>
      </c>
      <c r="B68" t="e">
        <f ca="1">MAX(OFFSET($U$92,0,0,$B$26,1))</f>
        <v>#N/A</v>
      </c>
    </row>
    <row r="69" spans="1:3" x14ac:dyDescent="0.4">
      <c r="A69" t="s">
        <v>1187</v>
      </c>
      <c r="B69" t="e">
        <f ca="1">MIN(OFFSET($U$92,0,0,$B$26,1))</f>
        <v>#N/A</v>
      </c>
    </row>
    <row r="70" spans="1:3" x14ac:dyDescent="0.4">
      <c r="A70" t="s">
        <v>1188</v>
      </c>
      <c r="B70" t="e">
        <f ca="1">MAX(OFFSET($V$92,0,0,$B$26,1))</f>
        <v>#N/A</v>
      </c>
    </row>
    <row r="71" spans="1:3" x14ac:dyDescent="0.4">
      <c r="A71" t="s">
        <v>1189</v>
      </c>
      <c r="B71" t="e">
        <f ca="1">MIN(OFFSET($V$92,0,0,$B$26,1))</f>
        <v>#N/A</v>
      </c>
    </row>
    <row r="72" spans="1:3" x14ac:dyDescent="0.4">
      <c r="A72" t="s">
        <v>1561</v>
      </c>
      <c r="B72">
        <f ca="1">MAX(OFFSET($X$92,0,0,$B$26,1))</f>
        <v>0</v>
      </c>
    </row>
    <row r="73" spans="1:3" x14ac:dyDescent="0.4">
      <c r="A73" t="s">
        <v>1560</v>
      </c>
      <c r="B73">
        <f ca="1">MAX(OFFSET($Y$92,0,0,$B$26,1))</f>
        <v>0</v>
      </c>
    </row>
    <row r="75" spans="1:3" x14ac:dyDescent="0.4">
      <c r="A75" t="s">
        <v>1184</v>
      </c>
      <c r="B75">
        <f ca="1">IF($B$43="SCORE",0,IF($B$43="DATA",$B$72,-$B$67))</f>
        <v>0</v>
      </c>
      <c r="C75">
        <f ca="1">IF($B$43="SCORE",100,IF($B$43="DATA",-$B$72,$B$67))</f>
        <v>0</v>
      </c>
    </row>
    <row r="76" spans="1:3" x14ac:dyDescent="0.4">
      <c r="A76" t="s">
        <v>1185</v>
      </c>
      <c r="B76">
        <f ca="1">IF($B$44="SCORE",0,IF($B$44="DATA",$B$73,-$B$67))</f>
        <v>0</v>
      </c>
      <c r="C76">
        <f ca="1">IF($B$44="SCORE",100,IF($B$44="DATA",-$B$73,$B$67))</f>
        <v>0</v>
      </c>
    </row>
    <row r="78" spans="1:3" x14ac:dyDescent="0.4">
      <c r="A78" t="s">
        <v>1176</v>
      </c>
      <c r="B78">
        <f>uxbGlobals!$B$387</f>
        <v>0</v>
      </c>
    </row>
    <row r="79" spans="1:3" x14ac:dyDescent="0.4">
      <c r="A79" t="s">
        <v>1177</v>
      </c>
      <c r="B79" t="e" cm="1">
        <f t="array" aca="1" ref="B79" ca="1">IF($B$78=0,NA(),INDEX(OFFSET($U$92,0,0,$B$26,1),$B$78))</f>
        <v>#N/A</v>
      </c>
    </row>
    <row r="80" spans="1:3" x14ac:dyDescent="0.4">
      <c r="A80" t="s">
        <v>1178</v>
      </c>
      <c r="B80" t="e" cm="1">
        <f t="array" aca="1" ref="B80" ca="1">IF($B$78=0,NA(),INDEX(OFFSET($V$92,0,0,$B$26,1),$B$78))</f>
        <v>#N/A</v>
      </c>
    </row>
    <row r="82" spans="1:44" x14ac:dyDescent="0.4">
      <c r="A82" t="s">
        <v>455</v>
      </c>
      <c r="B82" t="e">
        <f ca="1">SLOPE(OFFSET($N$92,0,0,$B$26,1),OFFSET($O$92,0,0,$B$26,1))</f>
        <v>#DIV/0!</v>
      </c>
    </row>
    <row r="83" spans="1:44" x14ac:dyDescent="0.4">
      <c r="A83" t="s">
        <v>456</v>
      </c>
      <c r="B83" t="e">
        <f ca="1">INTERCEPT(OFFSET($N$92,0,0,$B$26,1),OFFSET($O$92,0,0,$B$26,1))</f>
        <v>#DIV/0!</v>
      </c>
    </row>
    <row r="84" spans="1:44" x14ac:dyDescent="0.4">
      <c r="A84" t="s">
        <v>457</v>
      </c>
      <c r="B84" t="e">
        <f ca="1">CORREL(OFFSET($N$92,0,0,$B$26,1),OFFSET($O$92,0,0,$B$26,1))</f>
        <v>#DIV/0!</v>
      </c>
    </row>
    <row r="85" spans="1:44" x14ac:dyDescent="0.4">
      <c r="A85" t="s">
        <v>458</v>
      </c>
      <c r="B85" t="b">
        <f ca="1">IF(ISERROR(B84),FALSE,TRUE)</f>
        <v>0</v>
      </c>
    </row>
    <row r="88" spans="1:44" x14ac:dyDescent="0.4">
      <c r="U88" t="s">
        <v>1180</v>
      </c>
      <c r="AF88" t="s">
        <v>302</v>
      </c>
      <c r="AJ88" t="s">
        <v>1305</v>
      </c>
    </row>
    <row r="89" spans="1:44" x14ac:dyDescent="0.4">
      <c r="E89" t="s">
        <v>1302</v>
      </c>
      <c r="U89" t="s">
        <v>1181</v>
      </c>
      <c r="X89" t="s">
        <v>1182</v>
      </c>
      <c r="AF89" t="s">
        <v>1298</v>
      </c>
    </row>
    <row r="90" spans="1:44" x14ac:dyDescent="0.4">
      <c r="F90" t="s">
        <v>1247</v>
      </c>
      <c r="N90" t="s">
        <v>1170</v>
      </c>
      <c r="Q90" t="s">
        <v>1297</v>
      </c>
      <c r="U90" t="s">
        <v>1246</v>
      </c>
      <c r="AB90" t="s">
        <v>1172</v>
      </c>
      <c r="AF90" t="s">
        <v>1299</v>
      </c>
    </row>
    <row r="91" spans="1:44" x14ac:dyDescent="0.4">
      <c r="A91" t="s">
        <v>1165</v>
      </c>
      <c r="D91" t="s">
        <v>1300</v>
      </c>
      <c r="E91" t="s">
        <v>1300</v>
      </c>
      <c r="F91" t="s">
        <v>1179</v>
      </c>
      <c r="H91" t="s">
        <v>1168</v>
      </c>
      <c r="I91" t="s">
        <v>1169</v>
      </c>
      <c r="K91" t="s">
        <v>164</v>
      </c>
      <c r="L91" t="s">
        <v>459</v>
      </c>
      <c r="N91" t="s">
        <v>164</v>
      </c>
      <c r="O91" t="s">
        <v>459</v>
      </c>
      <c r="Q91" t="s">
        <v>164</v>
      </c>
      <c r="R91" t="s">
        <v>459</v>
      </c>
      <c r="U91" t="s">
        <v>164</v>
      </c>
      <c r="V91" t="s">
        <v>459</v>
      </c>
      <c r="X91" t="s">
        <v>164</v>
      </c>
      <c r="Y91" t="s">
        <v>459</v>
      </c>
      <c r="AB91" t="s">
        <v>460</v>
      </c>
      <c r="AC91" t="s">
        <v>1173</v>
      </c>
      <c r="AF91" t="s">
        <v>1301</v>
      </c>
      <c r="AG91" t="s">
        <v>175</v>
      </c>
      <c r="AH91" t="s">
        <v>1303</v>
      </c>
      <c r="AI91" t="s">
        <v>1304</v>
      </c>
    </row>
    <row r="92" spans="1:44" x14ac:dyDescent="0.4">
      <c r="A92">
        <v>1</v>
      </c>
      <c r="B92" t="str" cm="1">
        <f t="array" ref="B92">SUBSTITUTE(INDEX(auto_Country_ISO,A92),"US-","")</f>
        <v>ADD</v>
      </c>
      <c r="C92" t="str" cm="1">
        <f t="array" ref="C92">INDEX(auto_ddCountry,A92)</f>
        <v>Addis Ababa</v>
      </c>
      <c r="D92" cm="1">
        <f t="array" ref="D92">INDEX(auto_Country_Status,A92)</f>
        <v>1</v>
      </c>
      <c r="E92">
        <f>D92</f>
        <v>1</v>
      </c>
      <c r="F92">
        <f>2</f>
        <v>2</v>
      </c>
      <c r="H92" t="e" cm="1">
        <f t="array" ref="H92">INDEX(sys_DataFlat_LU_Grid,$B$2,$A92)</f>
        <v>#N/A</v>
      </c>
      <c r="I92" t="e" cm="1">
        <f t="array" ref="I92">INDEX(sys_DataFlat_LU_Grid,$B$3,$A92)</f>
        <v>#N/A</v>
      </c>
      <c r="K92" t="e" cm="1">
        <f t="array" ref="K92">INDEX(IF($B$43="SCORE",auto_DataFlat_Score,IF($B$43="DATA",auto_DataFlat_DataValue,IF($B$43="Z-SCORE",auto_DataFlat_ZScore))),H92)</f>
        <v>#N/A</v>
      </c>
      <c r="L92" t="e" cm="1">
        <f t="array" ref="L92">INDEX(IF($B$44="SCORE",auto_DataFlat_Score,IF($B$44="DATA",auto_DataFlat_DataValue,IF($B$44="Z-SCORE",auto_DataFlat_ZScore))),I92)</f>
        <v>#N/A</v>
      </c>
      <c r="N92" t="str">
        <f>IF(AND(ISNUMBER(K92),ISNUMBER(L92)),K92,"")</f>
        <v/>
      </c>
      <c r="O92" t="str">
        <f>IF(AND(ISNUMBER(K92),ISNUMBER(L92)),L92,"")</f>
        <v/>
      </c>
      <c r="Q92" t="str">
        <f>IF($D92=0,"{filtered}",N92)</f>
        <v/>
      </c>
      <c r="R92" t="str">
        <f>IF($D92=0,"{filtered}",O92)</f>
        <v/>
      </c>
      <c r="U92" t="e">
        <f>IF(AND(ISNUMBER(Q92),ISNUMBER(R92)),Q92,NA())</f>
        <v>#N/A</v>
      </c>
      <c r="V92" t="e">
        <f>IF(AND(ISNUMBER(Q92),ISNUMBER(R92)),R92,NA())</f>
        <v>#N/A</v>
      </c>
      <c r="X92" t="str">
        <f>IFERROR(ABS(U92),"n/a")</f>
        <v>n/a</v>
      </c>
      <c r="Y92" t="str">
        <f>IFERROR(ABS(V92),"n/a")</f>
        <v>n/a</v>
      </c>
      <c r="AB92" t="str">
        <f t="shared" ref="AB92:AB119" si="0">B92</f>
        <v>ADD</v>
      </c>
      <c r="AC92">
        <f>IF(E92=3,1,IF(E92=2,2,0))</f>
        <v>0</v>
      </c>
      <c r="AF92">
        <f>IF(E92=0,0,1)</f>
        <v>1</v>
      </c>
      <c r="AG92">
        <f ca="1">RANK(AF92,OFFSET(AF$92,0,0,$B$26,1))+COUNTIF(AF$92:AF92,AF92)-1</f>
        <v>1</v>
      </c>
      <c r="AH92">
        <f ca="1">MATCH(A92,OFFSET(AG$92,0,0,$B$26,1),0)</f>
        <v>1</v>
      </c>
      <c r="AI92">
        <f ca="1">AH92</f>
        <v>1</v>
      </c>
      <c r="AJ92" cm="1">
        <f t="array" aca="1" ref="AJ92" ca="1">INDEX(auto_Country_Status,AI92)</f>
        <v>1</v>
      </c>
      <c r="AK92" t="str" cm="1">
        <f t="array" aca="1" ref="AK92" ca="1">IF($AJ92=0,"",INDEX(auto_Country_ISO,AI92))</f>
        <v>ADD</v>
      </c>
      <c r="AL92" t="str" cm="1">
        <f t="array" aca="1" ref="AL92" ca="1">IF($AJ92=0,"",INDEX(auto_ddCountry,AI92))</f>
        <v>Addis Ababa</v>
      </c>
      <c r="AM92" t="str" cm="1">
        <f t="array" aca="1" ref="AM92" ca="1">IF($AJ92=0,"",INDEX(OFFSET(Q$92,0,0,$B$26,1),AI92))</f>
        <v/>
      </c>
      <c r="AN92" t="str" cm="1">
        <f t="array" aca="1" ref="AN92" ca="1">IF($AJ92=0,"",INDEX(OFFSET(R$92,0,0,$B$26,1),AI92))</f>
        <v/>
      </c>
      <c r="AP92" t="str" cm="1">
        <f t="array" aca="1" ref="AP92" ca="1">INDEX(AL92:AL119,$B$10)</f>
        <v>Addis Ababa</v>
      </c>
      <c r="AQ92" t="str" cm="1">
        <f t="array" aca="1" ref="AQ92" ca="1">INDEX(AM92:AM119,$B$10)</f>
        <v/>
      </c>
      <c r="AR92" t="str" cm="1">
        <f t="array" aca="1" ref="AR92" ca="1">INDEX(AN92:AN119,$B$10)</f>
        <v/>
      </c>
    </row>
    <row r="93" spans="1:44" x14ac:dyDescent="0.4">
      <c r="A93">
        <v>2</v>
      </c>
      <c r="B93" t="str" cm="1">
        <f t="array" ref="B93">SUBSTITUTE(INDEX(auto_Country_ISO,A93),"US-","")</f>
        <v>UAY</v>
      </c>
      <c r="C93" t="str" cm="1">
        <f t="array" ref="C93">INDEX(auto_ddCountry,A93)</f>
        <v>Algiers</v>
      </c>
      <c r="D93" cm="1">
        <f t="array" ref="D93">INDEX(auto_Country_Status,A93)</f>
        <v>1</v>
      </c>
      <c r="E93">
        <f t="shared" ref="E93:E119" si="1">D93</f>
        <v>1</v>
      </c>
      <c r="F93">
        <f>2</f>
        <v>2</v>
      </c>
      <c r="H93" t="e" cm="1">
        <f t="array" ref="H93">INDEX(sys_DataFlat_LU_Grid,$B$2,$A93)</f>
        <v>#N/A</v>
      </c>
      <c r="I93" t="e" cm="1">
        <f t="array" ref="I93">INDEX(sys_DataFlat_LU_Grid,$B$3,$A93)</f>
        <v>#N/A</v>
      </c>
      <c r="K93" t="e" cm="1">
        <f t="array" ref="K93">INDEX(IF($B$43="SCORE",auto_DataFlat_Score,IF($B$43="DATA",auto_DataFlat_DataValue,IF($B$43="Z-SCORE",auto_DataFlat_ZScore))),H93)</f>
        <v>#N/A</v>
      </c>
      <c r="L93" t="e" cm="1">
        <f t="array" ref="L93">INDEX(IF($B$44="SCORE",auto_DataFlat_Score,IF($B$44="DATA",auto_DataFlat_DataValue,IF($B$44="Z-SCORE",auto_DataFlat_ZScore))),I93)</f>
        <v>#N/A</v>
      </c>
      <c r="N93" t="str">
        <f t="shared" ref="N93:N119" si="2">IF(AND(ISNUMBER(K93),ISNUMBER(L93)),K93,"")</f>
        <v/>
      </c>
      <c r="O93" t="str">
        <f t="shared" ref="O93:O119" si="3">IF(AND(ISNUMBER(K93),ISNUMBER(L93)),L93,"")</f>
        <v/>
      </c>
      <c r="Q93" t="str">
        <f t="shared" ref="Q93:R108" si="4">IF($D93=0,"{filtered}",N93)</f>
        <v/>
      </c>
      <c r="R93" t="str">
        <f t="shared" si="4"/>
        <v/>
      </c>
      <c r="U93" t="e">
        <f t="shared" ref="U93:U119" si="5">IF(AND(ISNUMBER(Q93),ISNUMBER(R93)),Q93,NA())</f>
        <v>#N/A</v>
      </c>
      <c r="V93" t="e">
        <f t="shared" ref="V93:V119" si="6">IF(AND(ISNUMBER(Q93),ISNUMBER(R93)),R93,NA())</f>
        <v>#N/A</v>
      </c>
      <c r="X93" t="str">
        <f t="shared" ref="X93:Y108" si="7">IFERROR(ABS(U93),"n/a")</f>
        <v>n/a</v>
      </c>
      <c r="Y93" t="str">
        <f t="shared" si="7"/>
        <v>n/a</v>
      </c>
      <c r="AB93" t="str">
        <f t="shared" si="0"/>
        <v>UAY</v>
      </c>
      <c r="AC93">
        <f t="shared" ref="AC93:AC119" si="8">IF(E93=3,1,IF(E93=2,2,0))</f>
        <v>0</v>
      </c>
      <c r="AF93">
        <f t="shared" ref="AF93:AF119" si="9">IF(E93=0,0,1)</f>
        <v>1</v>
      </c>
      <c r="AG93">
        <f ca="1">RANK(AF93,OFFSET(AF$92,0,0,$B$26,1))+COUNTIF(AF$92:AF93,AF93)-1</f>
        <v>2</v>
      </c>
      <c r="AH93">
        <f t="shared" ref="AH93:AH119" ca="1" si="10">MATCH(A93,OFFSET(AG$92,0,0,$B$26,1),0)</f>
        <v>2</v>
      </c>
      <c r="AI93">
        <f t="shared" ref="AI93:AI119" ca="1" si="11">AH93</f>
        <v>2</v>
      </c>
      <c r="AJ93" cm="1">
        <f t="array" aca="1" ref="AJ93" ca="1">INDEX(auto_Country_Status,AI93)</f>
        <v>1</v>
      </c>
      <c r="AK93" t="str" cm="1">
        <f t="array" aca="1" ref="AK93" ca="1">IF($AJ93=0,"",INDEX(auto_Country_ISO,AI93))</f>
        <v>UAY</v>
      </c>
      <c r="AL93" t="str" cm="1">
        <f t="array" aca="1" ref="AL93" ca="1">IF($AJ93=0,"",INDEX(auto_ddCountry,AI93))</f>
        <v>Algiers</v>
      </c>
      <c r="AM93" t="str" cm="1">
        <f t="array" aca="1" ref="AM93" ca="1">IF($AJ93=0,"",INDEX(OFFSET(Q$92,0,0,$B$26,1),AI93))</f>
        <v/>
      </c>
      <c r="AN93" t="str" cm="1">
        <f t="array" aca="1" ref="AN93" ca="1">IF($AJ93=0,"",INDEX(OFFSET(R$92,0,0,$B$26,1),AI93))</f>
        <v/>
      </c>
    </row>
    <row r="94" spans="1:44" x14ac:dyDescent="0.4">
      <c r="A94">
        <v>3</v>
      </c>
      <c r="B94" t="str" cm="1">
        <f t="array" ref="B94">SUBSTITUTE(INDEX(auto_Country_ISO,A94),"US-","")</f>
        <v>A2N</v>
      </c>
      <c r="C94" t="str" cm="1">
        <f t="array" ref="C94">INDEX(auto_ddCountry,A94)</f>
        <v>Atlanta</v>
      </c>
      <c r="D94" cm="1">
        <f t="array" ref="D94">INDEX(auto_Country_Status,A94)</f>
        <v>1</v>
      </c>
      <c r="E94">
        <f t="shared" si="1"/>
        <v>1</v>
      </c>
      <c r="F94">
        <f>2</f>
        <v>2</v>
      </c>
      <c r="H94" t="e" cm="1">
        <f t="array" ref="H94">INDEX(sys_DataFlat_LU_Grid,$B$2,$A94)</f>
        <v>#N/A</v>
      </c>
      <c r="I94" t="e" cm="1">
        <f t="array" ref="I94">INDEX(sys_DataFlat_LU_Grid,$B$3,$A94)</f>
        <v>#N/A</v>
      </c>
      <c r="K94" t="e" cm="1">
        <f t="array" ref="K94">INDEX(IF($B$43="SCORE",auto_DataFlat_Score,IF($B$43="DATA",auto_DataFlat_DataValue,IF($B$43="Z-SCORE",auto_DataFlat_ZScore))),H94)</f>
        <v>#N/A</v>
      </c>
      <c r="L94" t="e" cm="1">
        <f t="array" ref="L94">INDEX(IF($B$44="SCORE",auto_DataFlat_Score,IF($B$44="DATA",auto_DataFlat_DataValue,IF($B$44="Z-SCORE",auto_DataFlat_ZScore))),I94)</f>
        <v>#N/A</v>
      </c>
      <c r="N94" t="str">
        <f t="shared" si="2"/>
        <v/>
      </c>
      <c r="O94" t="str">
        <f t="shared" si="3"/>
        <v/>
      </c>
      <c r="Q94" t="str">
        <f t="shared" si="4"/>
        <v/>
      </c>
      <c r="R94" t="str">
        <f t="shared" si="4"/>
        <v/>
      </c>
      <c r="U94" t="e">
        <f t="shared" si="5"/>
        <v>#N/A</v>
      </c>
      <c r="V94" t="e">
        <f t="shared" si="6"/>
        <v>#N/A</v>
      </c>
      <c r="X94" t="str">
        <f t="shared" si="7"/>
        <v>n/a</v>
      </c>
      <c r="Y94" t="str">
        <f t="shared" si="7"/>
        <v>n/a</v>
      </c>
      <c r="AB94" t="str">
        <f t="shared" si="0"/>
        <v>A2N</v>
      </c>
      <c r="AC94">
        <f t="shared" si="8"/>
        <v>0</v>
      </c>
      <c r="AF94">
        <f t="shared" si="9"/>
        <v>1</v>
      </c>
      <c r="AG94">
        <f ca="1">RANK(AF94,OFFSET(AF$92,0,0,$B$26,1))+COUNTIF(AF$92:AF94,AF94)-1</f>
        <v>3</v>
      </c>
      <c r="AH94">
        <f t="shared" ca="1" si="10"/>
        <v>3</v>
      </c>
      <c r="AI94">
        <f t="shared" ca="1" si="11"/>
        <v>3</v>
      </c>
      <c r="AJ94" cm="1">
        <f t="array" aca="1" ref="AJ94" ca="1">INDEX(auto_Country_Status,AI94)</f>
        <v>1</v>
      </c>
      <c r="AK94" t="str" cm="1">
        <f t="array" aca="1" ref="AK94" ca="1">IF($AJ94=0,"",INDEX(auto_Country_ISO,AI94))</f>
        <v>A2N</v>
      </c>
      <c r="AL94" t="str" cm="1">
        <f t="array" aca="1" ref="AL94" ca="1">IF($AJ94=0,"",INDEX(auto_ddCountry,AI94))</f>
        <v>Atlanta</v>
      </c>
      <c r="AM94" t="str" cm="1">
        <f t="array" aca="1" ref="AM94" ca="1">IF($AJ94=0,"",INDEX(OFFSET(Q$92,0,0,$B$26,1),AI94))</f>
        <v/>
      </c>
      <c r="AN94" t="str" cm="1">
        <f t="array" aca="1" ref="AN94" ca="1">IF($AJ94=0,"",INDEX(OFFSET(R$92,0,0,$B$26,1),AI94))</f>
        <v/>
      </c>
    </row>
    <row r="95" spans="1:44" x14ac:dyDescent="0.4">
      <c r="A95">
        <v>4</v>
      </c>
      <c r="B95" t="str" cm="1">
        <f t="array" ref="B95">SUBSTITUTE(INDEX(auto_Country_ISO,A95),"US-","")</f>
        <v>AKL</v>
      </c>
      <c r="C95" t="str" cm="1">
        <f t="array" ref="C95">INDEX(auto_ddCountry,A95)</f>
        <v>Auckland</v>
      </c>
      <c r="D95" cm="1">
        <f t="array" ref="D95">INDEX(auto_Country_Status,A95)</f>
        <v>1</v>
      </c>
      <c r="E95">
        <f t="shared" si="1"/>
        <v>1</v>
      </c>
      <c r="F95">
        <f>2</f>
        <v>2</v>
      </c>
      <c r="H95" t="e" cm="1">
        <f t="array" ref="H95">INDEX(sys_DataFlat_LU_Grid,$B$2,$A95)</f>
        <v>#N/A</v>
      </c>
      <c r="I95" t="e" cm="1">
        <f t="array" ref="I95">INDEX(sys_DataFlat_LU_Grid,$B$3,$A95)</f>
        <v>#N/A</v>
      </c>
      <c r="K95" t="e" cm="1">
        <f t="array" ref="K95">INDEX(IF($B$43="SCORE",auto_DataFlat_Score,IF($B$43="DATA",auto_DataFlat_DataValue,IF($B$43="Z-SCORE",auto_DataFlat_ZScore))),H95)</f>
        <v>#N/A</v>
      </c>
      <c r="L95" t="e" cm="1">
        <f t="array" ref="L95">INDEX(IF($B$44="SCORE",auto_DataFlat_Score,IF($B$44="DATA",auto_DataFlat_DataValue,IF($B$44="Z-SCORE",auto_DataFlat_ZScore))),I95)</f>
        <v>#N/A</v>
      </c>
      <c r="N95" t="str">
        <f t="shared" si="2"/>
        <v/>
      </c>
      <c r="O95" t="str">
        <f t="shared" si="3"/>
        <v/>
      </c>
      <c r="Q95" t="str">
        <f t="shared" si="4"/>
        <v/>
      </c>
      <c r="R95" t="str">
        <f t="shared" si="4"/>
        <v/>
      </c>
      <c r="U95" t="e">
        <f t="shared" si="5"/>
        <v>#N/A</v>
      </c>
      <c r="V95" t="e">
        <f t="shared" si="6"/>
        <v>#N/A</v>
      </c>
      <c r="X95" t="str">
        <f t="shared" si="7"/>
        <v>n/a</v>
      </c>
      <c r="Y95" t="str">
        <f t="shared" si="7"/>
        <v>n/a</v>
      </c>
      <c r="AB95" t="str">
        <f t="shared" si="0"/>
        <v>AKL</v>
      </c>
      <c r="AC95">
        <f t="shared" si="8"/>
        <v>0</v>
      </c>
      <c r="AF95">
        <f t="shared" si="9"/>
        <v>1</v>
      </c>
      <c r="AG95">
        <f ca="1">RANK(AF95,OFFSET(AF$92,0,0,$B$26,1))+COUNTIF(AF$92:AF95,AF95)-1</f>
        <v>4</v>
      </c>
      <c r="AH95">
        <f t="shared" ca="1" si="10"/>
        <v>4</v>
      </c>
      <c r="AI95">
        <f t="shared" ca="1" si="11"/>
        <v>4</v>
      </c>
      <c r="AJ95" cm="1">
        <f t="array" aca="1" ref="AJ95" ca="1">INDEX(auto_Country_Status,AI95)</f>
        <v>1</v>
      </c>
      <c r="AK95" t="str" cm="1">
        <f t="array" aca="1" ref="AK95" ca="1">IF($AJ95=0,"",INDEX(auto_Country_ISO,AI95))</f>
        <v>AKL</v>
      </c>
      <c r="AL95" t="str" cm="1">
        <f t="array" aca="1" ref="AL95" ca="1">IF($AJ95=0,"",INDEX(auto_ddCountry,AI95))</f>
        <v>Auckland</v>
      </c>
      <c r="AM95" t="str" cm="1">
        <f t="array" aca="1" ref="AM95" ca="1">IF($AJ95=0,"",INDEX(OFFSET(Q$92,0,0,$B$26,1),AI95))</f>
        <v/>
      </c>
      <c r="AN95" t="str" cm="1">
        <f t="array" aca="1" ref="AN95" ca="1">IF($AJ95=0,"",INDEX(OFFSET(R$92,0,0,$B$26,1),AI95))</f>
        <v/>
      </c>
    </row>
    <row r="96" spans="1:44" x14ac:dyDescent="0.4">
      <c r="A96">
        <v>5</v>
      </c>
      <c r="B96" t="str" cm="1">
        <f t="array" ref="B96">SUBSTITUTE(INDEX(auto_Country_ISO,A96),"US-","")</f>
        <v>BKK</v>
      </c>
      <c r="C96" t="str" cm="1">
        <f t="array" ref="C96">INDEX(auto_ddCountry,A96)</f>
        <v>Bangkok</v>
      </c>
      <c r="D96" cm="1">
        <f t="array" ref="D96">INDEX(auto_Country_Status,A96)</f>
        <v>1</v>
      </c>
      <c r="E96">
        <f t="shared" si="1"/>
        <v>1</v>
      </c>
      <c r="F96">
        <f>2</f>
        <v>2</v>
      </c>
      <c r="H96" t="e" cm="1">
        <f t="array" ref="H96">INDEX(sys_DataFlat_LU_Grid,$B$2,$A96)</f>
        <v>#N/A</v>
      </c>
      <c r="I96" t="e" cm="1">
        <f t="array" ref="I96">INDEX(sys_DataFlat_LU_Grid,$B$3,$A96)</f>
        <v>#N/A</v>
      </c>
      <c r="K96" t="e" cm="1">
        <f t="array" ref="K96">INDEX(IF($B$43="SCORE",auto_DataFlat_Score,IF($B$43="DATA",auto_DataFlat_DataValue,IF($B$43="Z-SCORE",auto_DataFlat_ZScore))),H96)</f>
        <v>#N/A</v>
      </c>
      <c r="L96" t="e" cm="1">
        <f t="array" ref="L96">INDEX(IF($B$44="SCORE",auto_DataFlat_Score,IF($B$44="DATA",auto_DataFlat_DataValue,IF($B$44="Z-SCORE",auto_DataFlat_ZScore))),I96)</f>
        <v>#N/A</v>
      </c>
      <c r="N96" t="str">
        <f t="shared" si="2"/>
        <v/>
      </c>
      <c r="O96" t="str">
        <f t="shared" si="3"/>
        <v/>
      </c>
      <c r="Q96" t="str">
        <f t="shared" si="4"/>
        <v/>
      </c>
      <c r="R96" t="str">
        <f t="shared" si="4"/>
        <v/>
      </c>
      <c r="U96" t="e">
        <f t="shared" si="5"/>
        <v>#N/A</v>
      </c>
      <c r="V96" t="e">
        <f t="shared" si="6"/>
        <v>#N/A</v>
      </c>
      <c r="X96" t="str">
        <f t="shared" si="7"/>
        <v>n/a</v>
      </c>
      <c r="Y96" t="str">
        <f t="shared" si="7"/>
        <v>n/a</v>
      </c>
      <c r="AB96" t="str">
        <f t="shared" si="0"/>
        <v>BKK</v>
      </c>
      <c r="AC96">
        <f t="shared" si="8"/>
        <v>0</v>
      </c>
      <c r="AF96">
        <f t="shared" si="9"/>
        <v>1</v>
      </c>
      <c r="AG96">
        <f ca="1">RANK(AF96,OFFSET(AF$92,0,0,$B$26,1))+COUNTIF(AF$92:AF96,AF96)-1</f>
        <v>5</v>
      </c>
      <c r="AH96">
        <f t="shared" ca="1" si="10"/>
        <v>5</v>
      </c>
      <c r="AI96">
        <f t="shared" ca="1" si="11"/>
        <v>5</v>
      </c>
      <c r="AJ96" cm="1">
        <f t="array" aca="1" ref="AJ96" ca="1">INDEX(auto_Country_Status,AI96)</f>
        <v>1</v>
      </c>
      <c r="AK96" t="str" cm="1">
        <f t="array" aca="1" ref="AK96" ca="1">IF($AJ96=0,"",INDEX(auto_Country_ISO,AI96))</f>
        <v>BKK</v>
      </c>
      <c r="AL96" t="str" cm="1">
        <f t="array" aca="1" ref="AL96" ca="1">IF($AJ96=0,"",INDEX(auto_ddCountry,AI96))</f>
        <v>Bangkok</v>
      </c>
      <c r="AM96" t="str" cm="1">
        <f t="array" aca="1" ref="AM96" ca="1">IF($AJ96=0,"",INDEX(OFFSET(Q$92,0,0,$B$26,1),AI96))</f>
        <v/>
      </c>
      <c r="AN96" t="str" cm="1">
        <f t="array" aca="1" ref="AN96" ca="1">IF($AJ96=0,"",INDEX(OFFSET(R$92,0,0,$B$26,1),AI96))</f>
        <v/>
      </c>
    </row>
    <row r="97" spans="1:40" x14ac:dyDescent="0.4">
      <c r="A97">
        <v>6</v>
      </c>
      <c r="B97" t="str" cm="1">
        <f t="array" ref="B97">SUBSTITUTE(INDEX(auto_Country_ISO,A97),"US-","")</f>
        <v>BJS</v>
      </c>
      <c r="C97" t="str" cm="1">
        <f t="array" ref="C97">INDEX(auto_ddCountry,A97)</f>
        <v>Beijing</v>
      </c>
      <c r="D97" cm="1">
        <f t="array" ref="D97">INDEX(auto_Country_Status,A97)</f>
        <v>1</v>
      </c>
      <c r="E97">
        <f t="shared" si="1"/>
        <v>1</v>
      </c>
      <c r="F97">
        <f>2</f>
        <v>2</v>
      </c>
      <c r="H97" t="e" cm="1">
        <f t="array" ref="H97">INDEX(sys_DataFlat_LU_Grid,$B$2,$A97)</f>
        <v>#N/A</v>
      </c>
      <c r="I97" t="e" cm="1">
        <f t="array" ref="I97">INDEX(sys_DataFlat_LU_Grid,$B$3,$A97)</f>
        <v>#N/A</v>
      </c>
      <c r="K97" t="e" cm="1">
        <f t="array" ref="K97">INDEX(IF($B$43="SCORE",auto_DataFlat_Score,IF($B$43="DATA",auto_DataFlat_DataValue,IF($B$43="Z-SCORE",auto_DataFlat_ZScore))),H97)</f>
        <v>#N/A</v>
      </c>
      <c r="L97" t="e" cm="1">
        <f t="array" ref="L97">INDEX(IF($B$44="SCORE",auto_DataFlat_Score,IF($B$44="DATA",auto_DataFlat_DataValue,IF($B$44="Z-SCORE",auto_DataFlat_ZScore))),I97)</f>
        <v>#N/A</v>
      </c>
      <c r="N97" t="str">
        <f t="shared" si="2"/>
        <v/>
      </c>
      <c r="O97" t="str">
        <f t="shared" si="3"/>
        <v/>
      </c>
      <c r="Q97" t="str">
        <f t="shared" si="4"/>
        <v/>
      </c>
      <c r="R97" t="str">
        <f t="shared" si="4"/>
        <v/>
      </c>
      <c r="U97" t="e">
        <f t="shared" si="5"/>
        <v>#N/A</v>
      </c>
      <c r="V97" t="e">
        <f t="shared" si="6"/>
        <v>#N/A</v>
      </c>
      <c r="X97" t="str">
        <f t="shared" si="7"/>
        <v>n/a</v>
      </c>
      <c r="Y97" t="str">
        <f t="shared" si="7"/>
        <v>n/a</v>
      </c>
      <c r="AB97" t="str">
        <f t="shared" si="0"/>
        <v>BJS</v>
      </c>
      <c r="AC97">
        <f t="shared" si="8"/>
        <v>0</v>
      </c>
      <c r="AF97">
        <f t="shared" si="9"/>
        <v>1</v>
      </c>
      <c r="AG97">
        <f ca="1">RANK(AF97,OFFSET(AF$92,0,0,$B$26,1))+COUNTIF(AF$92:AF97,AF97)-1</f>
        <v>6</v>
      </c>
      <c r="AH97">
        <f t="shared" ca="1" si="10"/>
        <v>6</v>
      </c>
      <c r="AI97">
        <f t="shared" ca="1" si="11"/>
        <v>6</v>
      </c>
      <c r="AJ97" cm="1">
        <f t="array" aca="1" ref="AJ97" ca="1">INDEX(auto_Country_Status,AI97)</f>
        <v>1</v>
      </c>
      <c r="AK97" t="str" cm="1">
        <f t="array" aca="1" ref="AK97" ca="1">IF($AJ97=0,"",INDEX(auto_Country_ISO,AI97))</f>
        <v>BJS</v>
      </c>
      <c r="AL97" t="str" cm="1">
        <f t="array" aca="1" ref="AL97" ca="1">IF($AJ97=0,"",INDEX(auto_ddCountry,AI97))</f>
        <v>Beijing</v>
      </c>
      <c r="AM97" t="str" cm="1">
        <f t="array" aca="1" ref="AM97" ca="1">IF($AJ97=0,"",INDEX(OFFSET(Q$92,0,0,$B$26,1),AI97))</f>
        <v/>
      </c>
      <c r="AN97" t="str" cm="1">
        <f t="array" aca="1" ref="AN97" ca="1">IF($AJ97=0,"",INDEX(OFFSET(R$92,0,0,$B$26,1),AI97))</f>
        <v/>
      </c>
    </row>
    <row r="98" spans="1:40" x14ac:dyDescent="0.4">
      <c r="A98">
        <v>7</v>
      </c>
      <c r="B98" t="str" cm="1">
        <f t="array" ref="B98">SUBSTITUTE(INDEX(auto_Country_ISO,A98),"US-","")</f>
        <v>BER</v>
      </c>
      <c r="C98" t="str" cm="1">
        <f t="array" ref="C98">INDEX(auto_ddCountry,A98)</f>
        <v>Berlin</v>
      </c>
      <c r="D98" cm="1">
        <f t="array" ref="D98">INDEX(auto_Country_Status,A98)</f>
        <v>1</v>
      </c>
      <c r="E98">
        <f t="shared" si="1"/>
        <v>1</v>
      </c>
      <c r="F98">
        <f>2</f>
        <v>2</v>
      </c>
      <c r="H98" t="e" cm="1">
        <f t="array" ref="H98">INDEX(sys_DataFlat_LU_Grid,$B$2,$A98)</f>
        <v>#N/A</v>
      </c>
      <c r="I98" t="e" cm="1">
        <f t="array" ref="I98">INDEX(sys_DataFlat_LU_Grid,$B$3,$A98)</f>
        <v>#N/A</v>
      </c>
      <c r="K98" t="e" cm="1">
        <f t="array" ref="K98">INDEX(IF($B$43="SCORE",auto_DataFlat_Score,IF($B$43="DATA",auto_DataFlat_DataValue,IF($B$43="Z-SCORE",auto_DataFlat_ZScore))),H98)</f>
        <v>#N/A</v>
      </c>
      <c r="L98" t="e" cm="1">
        <f t="array" ref="L98">INDEX(IF($B$44="SCORE",auto_DataFlat_Score,IF($B$44="DATA",auto_DataFlat_DataValue,IF($B$44="Z-SCORE",auto_DataFlat_ZScore))),I98)</f>
        <v>#N/A</v>
      </c>
      <c r="N98" t="str">
        <f t="shared" si="2"/>
        <v/>
      </c>
      <c r="O98" t="str">
        <f t="shared" si="3"/>
        <v/>
      </c>
      <c r="Q98" t="str">
        <f t="shared" si="4"/>
        <v/>
      </c>
      <c r="R98" t="str">
        <f t="shared" si="4"/>
        <v/>
      </c>
      <c r="U98" t="e">
        <f t="shared" si="5"/>
        <v>#N/A</v>
      </c>
      <c r="V98" t="e">
        <f t="shared" si="6"/>
        <v>#N/A</v>
      </c>
      <c r="X98" t="str">
        <f t="shared" si="7"/>
        <v>n/a</v>
      </c>
      <c r="Y98" t="str">
        <f t="shared" si="7"/>
        <v>n/a</v>
      </c>
      <c r="AB98" t="str">
        <f t="shared" si="0"/>
        <v>BER</v>
      </c>
      <c r="AC98">
        <f t="shared" si="8"/>
        <v>0</v>
      </c>
      <c r="AF98">
        <f t="shared" si="9"/>
        <v>1</v>
      </c>
      <c r="AG98">
        <f ca="1">RANK(AF98,OFFSET(AF$92,0,0,$B$26,1))+COUNTIF(AF$92:AF98,AF98)-1</f>
        <v>7</v>
      </c>
      <c r="AH98">
        <f t="shared" ca="1" si="10"/>
        <v>7</v>
      </c>
      <c r="AI98">
        <f t="shared" ca="1" si="11"/>
        <v>7</v>
      </c>
      <c r="AJ98" cm="1">
        <f t="array" aca="1" ref="AJ98" ca="1">INDEX(auto_Country_Status,AI98)</f>
        <v>1</v>
      </c>
      <c r="AK98" t="str" cm="1">
        <f t="array" aca="1" ref="AK98" ca="1">IF($AJ98=0,"",INDEX(auto_Country_ISO,AI98))</f>
        <v>BER</v>
      </c>
      <c r="AL98" t="str" cm="1">
        <f t="array" aca="1" ref="AL98" ca="1">IF($AJ98=0,"",INDEX(auto_ddCountry,AI98))</f>
        <v>Berlin</v>
      </c>
      <c r="AM98" t="str" cm="1">
        <f t="array" aca="1" ref="AM98" ca="1">IF($AJ98=0,"",INDEX(OFFSET(Q$92,0,0,$B$26,1),AI98))</f>
        <v/>
      </c>
      <c r="AN98" t="str" cm="1">
        <f t="array" aca="1" ref="AN98" ca="1">IF($AJ98=0,"",INDEX(OFFSET(R$92,0,0,$B$26,1),AI98))</f>
        <v/>
      </c>
    </row>
    <row r="99" spans="1:40" x14ac:dyDescent="0.4">
      <c r="A99">
        <v>8</v>
      </c>
      <c r="B99" t="str" cm="1">
        <f t="array" ref="B99">SUBSTITUTE(INDEX(auto_Country_ISO,A99),"US-","")</f>
        <v>B6Y</v>
      </c>
      <c r="C99" t="str" cm="1">
        <f t="array" ref="C99">INDEX(auto_ddCountry,A99)</f>
        <v>Bogotá</v>
      </c>
      <c r="D99" cm="1">
        <f t="array" ref="D99">INDEX(auto_Country_Status,A99)</f>
        <v>1</v>
      </c>
      <c r="E99">
        <f t="shared" si="1"/>
        <v>1</v>
      </c>
      <c r="F99">
        <f>2</f>
        <v>2</v>
      </c>
      <c r="H99" t="e" cm="1">
        <f t="array" ref="H99">INDEX(sys_DataFlat_LU_Grid,$B$2,$A99)</f>
        <v>#N/A</v>
      </c>
      <c r="I99" t="e" cm="1">
        <f t="array" ref="I99">INDEX(sys_DataFlat_LU_Grid,$B$3,$A99)</f>
        <v>#N/A</v>
      </c>
      <c r="K99" t="e" cm="1">
        <f t="array" ref="K99">INDEX(IF($B$43="SCORE",auto_DataFlat_Score,IF($B$43="DATA",auto_DataFlat_DataValue,IF($B$43="Z-SCORE",auto_DataFlat_ZScore))),H99)</f>
        <v>#N/A</v>
      </c>
      <c r="L99" t="e" cm="1">
        <f t="array" ref="L99">INDEX(IF($B$44="SCORE",auto_DataFlat_Score,IF($B$44="DATA",auto_DataFlat_DataValue,IF($B$44="Z-SCORE",auto_DataFlat_ZScore))),I99)</f>
        <v>#N/A</v>
      </c>
      <c r="N99" t="str">
        <f t="shared" si="2"/>
        <v/>
      </c>
      <c r="O99" t="str">
        <f t="shared" si="3"/>
        <v/>
      </c>
      <c r="Q99" t="str">
        <f t="shared" si="4"/>
        <v/>
      </c>
      <c r="R99" t="str">
        <f t="shared" si="4"/>
        <v/>
      </c>
      <c r="U99" t="e">
        <f t="shared" si="5"/>
        <v>#N/A</v>
      </c>
      <c r="V99" t="e">
        <f t="shared" si="6"/>
        <v>#N/A</v>
      </c>
      <c r="X99" t="str">
        <f t="shared" si="7"/>
        <v>n/a</v>
      </c>
      <c r="Y99" t="str">
        <f t="shared" si="7"/>
        <v>n/a</v>
      </c>
      <c r="AB99" t="str">
        <f t="shared" si="0"/>
        <v>B6Y</v>
      </c>
      <c r="AC99">
        <f t="shared" si="8"/>
        <v>0</v>
      </c>
      <c r="AF99">
        <f t="shared" si="9"/>
        <v>1</v>
      </c>
      <c r="AG99">
        <f ca="1">RANK(AF99,OFFSET(AF$92,0,0,$B$26,1))+COUNTIF(AF$92:AF99,AF99)-1</f>
        <v>8</v>
      </c>
      <c r="AH99">
        <f t="shared" ca="1" si="10"/>
        <v>8</v>
      </c>
      <c r="AI99">
        <f t="shared" ca="1" si="11"/>
        <v>8</v>
      </c>
      <c r="AJ99" cm="1">
        <f t="array" aca="1" ref="AJ99" ca="1">INDEX(auto_Country_Status,AI99)</f>
        <v>1</v>
      </c>
      <c r="AK99" t="str" cm="1">
        <f t="array" aca="1" ref="AK99" ca="1">IF($AJ99=0,"",INDEX(auto_Country_ISO,AI99))</f>
        <v>B6Y</v>
      </c>
      <c r="AL99" t="str" cm="1">
        <f t="array" aca="1" ref="AL99" ca="1">IF($AJ99=0,"",INDEX(auto_ddCountry,AI99))</f>
        <v>Bogotá</v>
      </c>
      <c r="AM99" t="str" cm="1">
        <f t="array" aca="1" ref="AM99" ca="1">IF($AJ99=0,"",INDEX(OFFSET(Q$92,0,0,$B$26,1),AI99))</f>
        <v/>
      </c>
      <c r="AN99" t="str" cm="1">
        <f t="array" aca="1" ref="AN99" ca="1">IF($AJ99=0,"",INDEX(OFFSET(R$92,0,0,$B$26,1),AI99))</f>
        <v/>
      </c>
    </row>
    <row r="100" spans="1:40" x14ac:dyDescent="0.4">
      <c r="A100">
        <v>9</v>
      </c>
      <c r="B100" t="str" cm="1">
        <f t="array" ref="B100">SUBSTITUTE(INDEX(auto_Country_ISO,A100),"US-","")</f>
        <v>BUD</v>
      </c>
      <c r="C100" t="str" cm="1">
        <f t="array" ref="C100">INDEX(auto_ddCountry,A100)</f>
        <v>Budapest</v>
      </c>
      <c r="D100" cm="1">
        <f t="array" ref="D100">INDEX(auto_Country_Status,A100)</f>
        <v>1</v>
      </c>
      <c r="E100">
        <f t="shared" si="1"/>
        <v>1</v>
      </c>
      <c r="F100">
        <f>2</f>
        <v>2</v>
      </c>
      <c r="H100" t="e" cm="1">
        <f t="array" ref="H100">INDEX(sys_DataFlat_LU_Grid,$B$2,$A100)</f>
        <v>#N/A</v>
      </c>
      <c r="I100" t="e" cm="1">
        <f t="array" ref="I100">INDEX(sys_DataFlat_LU_Grid,$B$3,$A100)</f>
        <v>#N/A</v>
      </c>
      <c r="K100" t="e" cm="1">
        <f t="array" ref="K100">INDEX(IF($B$43="SCORE",auto_DataFlat_Score,IF($B$43="DATA",auto_DataFlat_DataValue,IF($B$43="Z-SCORE",auto_DataFlat_ZScore))),H100)</f>
        <v>#N/A</v>
      </c>
      <c r="L100" t="e" cm="1">
        <f t="array" ref="L100">INDEX(IF($B$44="SCORE",auto_DataFlat_Score,IF($B$44="DATA",auto_DataFlat_DataValue,IF($B$44="Z-SCORE",auto_DataFlat_ZScore))),I100)</f>
        <v>#N/A</v>
      </c>
      <c r="N100" t="str">
        <f t="shared" si="2"/>
        <v/>
      </c>
      <c r="O100" t="str">
        <f t="shared" si="3"/>
        <v/>
      </c>
      <c r="Q100" t="str">
        <f t="shared" si="4"/>
        <v/>
      </c>
      <c r="R100" t="str">
        <f t="shared" si="4"/>
        <v/>
      </c>
      <c r="U100" t="e">
        <f t="shared" si="5"/>
        <v>#N/A</v>
      </c>
      <c r="V100" t="e">
        <f t="shared" si="6"/>
        <v>#N/A</v>
      </c>
      <c r="X100" t="str">
        <f t="shared" si="7"/>
        <v>n/a</v>
      </c>
      <c r="Y100" t="str">
        <f t="shared" si="7"/>
        <v>n/a</v>
      </c>
      <c r="AB100" t="str">
        <f t="shared" si="0"/>
        <v>BUD</v>
      </c>
      <c r="AC100">
        <f t="shared" si="8"/>
        <v>0</v>
      </c>
      <c r="AF100">
        <f t="shared" si="9"/>
        <v>1</v>
      </c>
      <c r="AG100">
        <f ca="1">RANK(AF100,OFFSET(AF$92,0,0,$B$26,1))+COUNTIF(AF$92:AF100,AF100)-1</f>
        <v>9</v>
      </c>
      <c r="AH100">
        <f t="shared" ca="1" si="10"/>
        <v>9</v>
      </c>
      <c r="AI100">
        <f t="shared" ca="1" si="11"/>
        <v>9</v>
      </c>
      <c r="AJ100" cm="1">
        <f t="array" aca="1" ref="AJ100" ca="1">INDEX(auto_Country_Status,AI100)</f>
        <v>1</v>
      </c>
      <c r="AK100" t="str" cm="1">
        <f t="array" aca="1" ref="AK100" ca="1">IF($AJ100=0,"",INDEX(auto_Country_ISO,AI100))</f>
        <v>BUD</v>
      </c>
      <c r="AL100" t="str" cm="1">
        <f t="array" aca="1" ref="AL100" ca="1">IF($AJ100=0,"",INDEX(auto_ddCountry,AI100))</f>
        <v>Budapest</v>
      </c>
      <c r="AM100" t="str" cm="1">
        <f t="array" aca="1" ref="AM100" ca="1">IF($AJ100=0,"",INDEX(OFFSET(Q$92,0,0,$B$26,1),AI100))</f>
        <v/>
      </c>
      <c r="AN100" t="str" cm="1">
        <f t="array" aca="1" ref="AN100" ca="1">IF($AJ100=0,"",INDEX(OFFSET(R$92,0,0,$B$26,1),AI100))</f>
        <v/>
      </c>
    </row>
    <row r="101" spans="1:40" x14ac:dyDescent="0.4">
      <c r="A101">
        <v>10</v>
      </c>
      <c r="B101" t="str" cm="1">
        <f t="array" ref="B101">SUBSTITUTE(INDEX(auto_Country_ISO,A101),"US-","")</f>
        <v>CJR</v>
      </c>
      <c r="C101" t="str" cm="1">
        <f t="array" ref="C101">INDEX(auto_ddCountry,A101)</f>
        <v>Cairo</v>
      </c>
      <c r="D101" cm="1">
        <f t="array" ref="D101">INDEX(auto_Country_Status,A101)</f>
        <v>1</v>
      </c>
      <c r="E101">
        <f t="shared" si="1"/>
        <v>1</v>
      </c>
      <c r="F101">
        <f>2</f>
        <v>2</v>
      </c>
      <c r="H101" t="e" cm="1">
        <f t="array" ref="H101">INDEX(sys_DataFlat_LU_Grid,$B$2,$A101)</f>
        <v>#N/A</v>
      </c>
      <c r="I101" t="e" cm="1">
        <f t="array" ref="I101">INDEX(sys_DataFlat_LU_Grid,$B$3,$A101)</f>
        <v>#N/A</v>
      </c>
      <c r="K101" t="e" cm="1">
        <f t="array" ref="K101">INDEX(IF($B$43="SCORE",auto_DataFlat_Score,IF($B$43="DATA",auto_DataFlat_DataValue,IF($B$43="Z-SCORE",auto_DataFlat_ZScore))),H101)</f>
        <v>#N/A</v>
      </c>
      <c r="L101" t="e" cm="1">
        <f t="array" ref="L101">INDEX(IF($B$44="SCORE",auto_DataFlat_Score,IF($B$44="DATA",auto_DataFlat_DataValue,IF($B$44="Z-SCORE",auto_DataFlat_ZScore))),I101)</f>
        <v>#N/A</v>
      </c>
      <c r="N101" t="str">
        <f t="shared" si="2"/>
        <v/>
      </c>
      <c r="O101" t="str">
        <f t="shared" si="3"/>
        <v/>
      </c>
      <c r="Q101" t="str">
        <f t="shared" si="4"/>
        <v/>
      </c>
      <c r="R101" t="str">
        <f t="shared" si="4"/>
        <v/>
      </c>
      <c r="U101" t="e">
        <f t="shared" si="5"/>
        <v>#N/A</v>
      </c>
      <c r="V101" t="e">
        <f t="shared" si="6"/>
        <v>#N/A</v>
      </c>
      <c r="X101" t="str">
        <f t="shared" si="7"/>
        <v>n/a</v>
      </c>
      <c r="Y101" t="str">
        <f t="shared" si="7"/>
        <v>n/a</v>
      </c>
      <c r="AB101" t="str">
        <f t="shared" si="0"/>
        <v>CJR</v>
      </c>
      <c r="AC101">
        <f t="shared" si="8"/>
        <v>0</v>
      </c>
      <c r="AF101">
        <f t="shared" si="9"/>
        <v>1</v>
      </c>
      <c r="AG101">
        <f ca="1">RANK(AF101,OFFSET(AF$92,0,0,$B$26,1))+COUNTIF(AF$92:AF101,AF101)-1</f>
        <v>10</v>
      </c>
      <c r="AH101">
        <f t="shared" ca="1" si="10"/>
        <v>10</v>
      </c>
      <c r="AI101">
        <f t="shared" ca="1" si="11"/>
        <v>10</v>
      </c>
      <c r="AJ101" cm="1">
        <f t="array" aca="1" ref="AJ101" ca="1">INDEX(auto_Country_Status,AI101)</f>
        <v>1</v>
      </c>
      <c r="AK101" t="str" cm="1">
        <f t="array" aca="1" ref="AK101" ca="1">IF($AJ101=0,"",INDEX(auto_Country_ISO,AI101))</f>
        <v>CJR</v>
      </c>
      <c r="AL101" t="str" cm="1">
        <f t="array" aca="1" ref="AL101" ca="1">IF($AJ101=0,"",INDEX(auto_ddCountry,AI101))</f>
        <v>Cairo</v>
      </c>
      <c r="AM101" t="str" cm="1">
        <f t="array" aca="1" ref="AM101" ca="1">IF($AJ101=0,"",INDEX(OFFSET(Q$92,0,0,$B$26,1),AI101))</f>
        <v/>
      </c>
      <c r="AN101" t="str" cm="1">
        <f t="array" aca="1" ref="AN101" ca="1">IF($AJ101=0,"",INDEX(OFFSET(R$92,0,0,$B$26,1),AI101))</f>
        <v/>
      </c>
    </row>
    <row r="102" spans="1:40" x14ac:dyDescent="0.4">
      <c r="A102">
        <v>11</v>
      </c>
      <c r="B102" t="str" cm="1">
        <f t="array" ref="B102">SUBSTITUTE(INDEX(auto_Country_ISO,A102),"US-","")</f>
        <v>COX</v>
      </c>
      <c r="C102" t="str" cm="1">
        <f t="array" ref="C102">INDEX(auto_ddCountry,A102)</f>
        <v>Colombo</v>
      </c>
      <c r="D102" cm="1">
        <f t="array" ref="D102">INDEX(auto_Country_Status,A102)</f>
        <v>1</v>
      </c>
      <c r="E102">
        <f t="shared" si="1"/>
        <v>1</v>
      </c>
      <c r="F102">
        <f>2</f>
        <v>2</v>
      </c>
      <c r="H102" t="e" cm="1">
        <f t="array" ref="H102">INDEX(sys_DataFlat_LU_Grid,$B$2,$A102)</f>
        <v>#N/A</v>
      </c>
      <c r="I102" t="e" cm="1">
        <f t="array" ref="I102">INDEX(sys_DataFlat_LU_Grid,$B$3,$A102)</f>
        <v>#N/A</v>
      </c>
      <c r="K102" t="e" cm="1">
        <f t="array" ref="K102">INDEX(IF($B$43="SCORE",auto_DataFlat_Score,IF($B$43="DATA",auto_DataFlat_DataValue,IF($B$43="Z-SCORE",auto_DataFlat_ZScore))),H102)</f>
        <v>#N/A</v>
      </c>
      <c r="L102" t="e" cm="1">
        <f t="array" ref="L102">INDEX(IF($B$44="SCORE",auto_DataFlat_Score,IF($B$44="DATA",auto_DataFlat_DataValue,IF($B$44="Z-SCORE",auto_DataFlat_ZScore))),I102)</f>
        <v>#N/A</v>
      </c>
      <c r="N102" t="str">
        <f t="shared" si="2"/>
        <v/>
      </c>
      <c r="O102" t="str">
        <f t="shared" si="3"/>
        <v/>
      </c>
      <c r="Q102" t="str">
        <f t="shared" si="4"/>
        <v/>
      </c>
      <c r="R102" t="str">
        <f t="shared" si="4"/>
        <v/>
      </c>
      <c r="U102" t="e">
        <f t="shared" si="5"/>
        <v>#N/A</v>
      </c>
      <c r="V102" t="e">
        <f t="shared" si="6"/>
        <v>#N/A</v>
      </c>
      <c r="X102" t="str">
        <f t="shared" si="7"/>
        <v>n/a</v>
      </c>
      <c r="Y102" t="str">
        <f t="shared" si="7"/>
        <v>n/a</v>
      </c>
      <c r="AB102" t="str">
        <f t="shared" si="0"/>
        <v>COX</v>
      </c>
      <c r="AC102">
        <f t="shared" si="8"/>
        <v>0</v>
      </c>
      <c r="AF102">
        <f t="shared" si="9"/>
        <v>1</v>
      </c>
      <c r="AG102">
        <f ca="1">RANK(AF102,OFFSET(AF$92,0,0,$B$26,1))+COUNTIF(AF$92:AF102,AF102)-1</f>
        <v>11</v>
      </c>
      <c r="AH102">
        <f t="shared" ca="1" si="10"/>
        <v>11</v>
      </c>
      <c r="AI102">
        <f t="shared" ca="1" si="11"/>
        <v>11</v>
      </c>
      <c r="AJ102" cm="1">
        <f t="array" aca="1" ref="AJ102" ca="1">INDEX(auto_Country_Status,AI102)</f>
        <v>1</v>
      </c>
      <c r="AK102" t="str" cm="1">
        <f t="array" aca="1" ref="AK102" ca="1">IF($AJ102=0,"",INDEX(auto_Country_ISO,AI102))</f>
        <v>COX</v>
      </c>
      <c r="AL102" t="str" cm="1">
        <f t="array" aca="1" ref="AL102" ca="1">IF($AJ102=0,"",INDEX(auto_ddCountry,AI102))</f>
        <v>Colombo</v>
      </c>
      <c r="AM102" t="str" cm="1">
        <f t="array" aca="1" ref="AM102" ca="1">IF($AJ102=0,"",INDEX(OFFSET(Q$92,0,0,$B$26,1),AI102))</f>
        <v/>
      </c>
      <c r="AN102" t="str" cm="1">
        <f t="array" aca="1" ref="AN102" ca="1">IF($AJ102=0,"",INDEX(OFFSET(R$92,0,0,$B$26,1),AI102))</f>
        <v/>
      </c>
    </row>
    <row r="103" spans="1:40" x14ac:dyDescent="0.4">
      <c r="A103">
        <v>12</v>
      </c>
      <c r="B103" t="str" cm="1">
        <f t="array" ref="B103">SUBSTITUTE(INDEX(auto_Country_ISO,A103),"US-","")</f>
        <v>DLI</v>
      </c>
      <c r="C103" t="str" cm="1">
        <f t="array" ref="C103">INDEX(auto_ddCountry,A103)</f>
        <v>Delhi</v>
      </c>
      <c r="D103" cm="1">
        <f t="array" ref="D103">INDEX(auto_Country_Status,A103)</f>
        <v>1</v>
      </c>
      <c r="E103">
        <f t="shared" si="1"/>
        <v>1</v>
      </c>
      <c r="F103">
        <f>2</f>
        <v>2</v>
      </c>
      <c r="H103" t="e" cm="1">
        <f t="array" ref="H103">INDEX(sys_DataFlat_LU_Grid,$B$2,$A103)</f>
        <v>#N/A</v>
      </c>
      <c r="I103" t="e" cm="1">
        <f t="array" ref="I103">INDEX(sys_DataFlat_LU_Grid,$B$3,$A103)</f>
        <v>#N/A</v>
      </c>
      <c r="K103" t="e" cm="1">
        <f t="array" ref="K103">INDEX(IF($B$43="SCORE",auto_DataFlat_Score,IF($B$43="DATA",auto_DataFlat_DataValue,IF($B$43="Z-SCORE",auto_DataFlat_ZScore))),H103)</f>
        <v>#N/A</v>
      </c>
      <c r="L103" t="e" cm="1">
        <f t="array" ref="L103">INDEX(IF($B$44="SCORE",auto_DataFlat_Score,IF($B$44="DATA",auto_DataFlat_DataValue,IF($B$44="Z-SCORE",auto_DataFlat_ZScore))),I103)</f>
        <v>#N/A</v>
      </c>
      <c r="N103" t="str">
        <f t="shared" si="2"/>
        <v/>
      </c>
      <c r="O103" t="str">
        <f t="shared" si="3"/>
        <v/>
      </c>
      <c r="Q103" t="str">
        <f t="shared" si="4"/>
        <v/>
      </c>
      <c r="R103" t="str">
        <f t="shared" si="4"/>
        <v/>
      </c>
      <c r="U103" t="e">
        <f t="shared" si="5"/>
        <v>#N/A</v>
      </c>
      <c r="V103" t="e">
        <f t="shared" si="6"/>
        <v>#N/A</v>
      </c>
      <c r="X103" t="str">
        <f t="shared" si="7"/>
        <v>n/a</v>
      </c>
      <c r="Y103" t="str">
        <f t="shared" si="7"/>
        <v>n/a</v>
      </c>
      <c r="AB103" t="str">
        <f t="shared" si="0"/>
        <v>DLI</v>
      </c>
      <c r="AC103">
        <f t="shared" si="8"/>
        <v>0</v>
      </c>
      <c r="AF103">
        <f t="shared" si="9"/>
        <v>1</v>
      </c>
      <c r="AG103">
        <f ca="1">RANK(AF103,OFFSET(AF$92,0,0,$B$26,1))+COUNTIF(AF$92:AF103,AF103)-1</f>
        <v>12</v>
      </c>
      <c r="AH103">
        <f t="shared" ca="1" si="10"/>
        <v>12</v>
      </c>
      <c r="AI103">
        <f t="shared" ca="1" si="11"/>
        <v>12</v>
      </c>
      <c r="AJ103" cm="1">
        <f t="array" aca="1" ref="AJ103" ca="1">INDEX(auto_Country_Status,AI103)</f>
        <v>1</v>
      </c>
      <c r="AK103" t="str" cm="1">
        <f t="array" aca="1" ref="AK103" ca="1">IF($AJ103=0,"",INDEX(auto_Country_ISO,AI103))</f>
        <v>DLI</v>
      </c>
      <c r="AL103" t="str" cm="1">
        <f t="array" aca="1" ref="AL103" ca="1">IF($AJ103=0,"",INDEX(auto_ddCountry,AI103))</f>
        <v>Delhi</v>
      </c>
      <c r="AM103" t="str" cm="1">
        <f t="array" aca="1" ref="AM103" ca="1">IF($AJ103=0,"",INDEX(OFFSET(Q$92,0,0,$B$26,1),AI103))</f>
        <v/>
      </c>
      <c r="AN103" t="str" cm="1">
        <f t="array" aca="1" ref="AN103" ca="1">IF($AJ103=0,"",INDEX(OFFSET(R$92,0,0,$B$26,1),AI103))</f>
        <v/>
      </c>
    </row>
    <row r="104" spans="1:40" x14ac:dyDescent="0.4">
      <c r="A104">
        <v>13</v>
      </c>
      <c r="B104" t="str" cm="1">
        <f t="array" ref="B104">SUBSTITUTE(INDEX(auto_Country_ISO,A104),"US-","")</f>
        <v>DAC</v>
      </c>
      <c r="C104" t="str" cm="1">
        <f t="array" ref="C104">INDEX(auto_ddCountry,A104)</f>
        <v>Dhaka</v>
      </c>
      <c r="D104" cm="1">
        <f t="array" ref="D104">INDEX(auto_Country_Status,A104)</f>
        <v>1</v>
      </c>
      <c r="E104">
        <f t="shared" si="1"/>
        <v>1</v>
      </c>
      <c r="F104">
        <f>2</f>
        <v>2</v>
      </c>
      <c r="H104" t="e" cm="1">
        <f t="array" ref="H104">INDEX(sys_DataFlat_LU_Grid,$B$2,$A104)</f>
        <v>#N/A</v>
      </c>
      <c r="I104" t="e" cm="1">
        <f t="array" ref="I104">INDEX(sys_DataFlat_LU_Grid,$B$3,$A104)</f>
        <v>#N/A</v>
      </c>
      <c r="K104" t="e" cm="1">
        <f t="array" ref="K104">INDEX(IF($B$43="SCORE",auto_DataFlat_Score,IF($B$43="DATA",auto_DataFlat_DataValue,IF($B$43="Z-SCORE",auto_DataFlat_ZScore))),H104)</f>
        <v>#N/A</v>
      </c>
      <c r="L104" t="e" cm="1">
        <f t="array" ref="L104">INDEX(IF($B$44="SCORE",auto_DataFlat_Score,IF($B$44="DATA",auto_DataFlat_DataValue,IF($B$44="Z-SCORE",auto_DataFlat_ZScore))),I104)</f>
        <v>#N/A</v>
      </c>
      <c r="N104" t="str">
        <f t="shared" si="2"/>
        <v/>
      </c>
      <c r="O104" t="str">
        <f t="shared" si="3"/>
        <v/>
      </c>
      <c r="Q104" t="str">
        <f t="shared" si="4"/>
        <v/>
      </c>
      <c r="R104" t="str">
        <f t="shared" si="4"/>
        <v/>
      </c>
      <c r="U104" t="e">
        <f t="shared" si="5"/>
        <v>#N/A</v>
      </c>
      <c r="V104" t="e">
        <f t="shared" si="6"/>
        <v>#N/A</v>
      </c>
      <c r="X104" t="str">
        <f t="shared" si="7"/>
        <v>n/a</v>
      </c>
      <c r="Y104" t="str">
        <f t="shared" si="7"/>
        <v>n/a</v>
      </c>
      <c r="AB104" t="str">
        <f t="shared" si="0"/>
        <v>DAC</v>
      </c>
      <c r="AC104">
        <f t="shared" si="8"/>
        <v>0</v>
      </c>
      <c r="AF104">
        <f t="shared" si="9"/>
        <v>1</v>
      </c>
      <c r="AG104">
        <f ca="1">RANK(AF104,OFFSET(AF$92,0,0,$B$26,1))+COUNTIF(AF$92:AF104,AF104)-1</f>
        <v>13</v>
      </c>
      <c r="AH104">
        <f t="shared" ca="1" si="10"/>
        <v>13</v>
      </c>
      <c r="AI104">
        <f t="shared" ca="1" si="11"/>
        <v>13</v>
      </c>
      <c r="AJ104" cm="1">
        <f t="array" aca="1" ref="AJ104" ca="1">INDEX(auto_Country_Status,AI104)</f>
        <v>1</v>
      </c>
      <c r="AK104" t="str" cm="1">
        <f t="array" aca="1" ref="AK104" ca="1">IF($AJ104=0,"",INDEX(auto_Country_ISO,AI104))</f>
        <v>DAC</v>
      </c>
      <c r="AL104" t="str" cm="1">
        <f t="array" aca="1" ref="AL104" ca="1">IF($AJ104=0,"",INDEX(auto_ddCountry,AI104))</f>
        <v>Dhaka</v>
      </c>
      <c r="AM104" t="str" cm="1">
        <f t="array" aca="1" ref="AM104" ca="1">IF($AJ104=0,"",INDEX(OFFSET(Q$92,0,0,$B$26,1),AI104))</f>
        <v/>
      </c>
      <c r="AN104" t="str" cm="1">
        <f t="array" aca="1" ref="AN104" ca="1">IF($AJ104=0,"",INDEX(OFFSET(R$92,0,0,$B$26,1),AI104))</f>
        <v/>
      </c>
    </row>
    <row r="105" spans="1:40" x14ac:dyDescent="0.4">
      <c r="A105">
        <v>14</v>
      </c>
      <c r="B105" t="str" cm="1">
        <f t="array" ref="B105">SUBSTITUTE(INDEX(auto_Country_ISO,A105),"US-","")</f>
        <v>DXB</v>
      </c>
      <c r="C105" t="str" cm="1">
        <f t="array" ref="C105">INDEX(auto_ddCountry,A105)</f>
        <v>Dubai</v>
      </c>
      <c r="D105" cm="1">
        <f t="array" ref="D105">INDEX(auto_Country_Status,A105)</f>
        <v>1</v>
      </c>
      <c r="E105">
        <f t="shared" si="1"/>
        <v>1</v>
      </c>
      <c r="F105">
        <f>2</f>
        <v>2</v>
      </c>
      <c r="H105" t="e" cm="1">
        <f t="array" ref="H105">INDEX(sys_DataFlat_LU_Grid,$B$2,$A105)</f>
        <v>#N/A</v>
      </c>
      <c r="I105" t="e" cm="1">
        <f t="array" ref="I105">INDEX(sys_DataFlat_LU_Grid,$B$3,$A105)</f>
        <v>#N/A</v>
      </c>
      <c r="K105" t="e" cm="1">
        <f t="array" ref="K105">INDEX(IF($B$43="SCORE",auto_DataFlat_Score,IF($B$43="DATA",auto_DataFlat_DataValue,IF($B$43="Z-SCORE",auto_DataFlat_ZScore))),H105)</f>
        <v>#N/A</v>
      </c>
      <c r="L105" t="e" cm="1">
        <f t="array" ref="L105">INDEX(IF($B$44="SCORE",auto_DataFlat_Score,IF($B$44="DATA",auto_DataFlat_DataValue,IF($B$44="Z-SCORE",auto_DataFlat_ZScore))),I105)</f>
        <v>#N/A</v>
      </c>
      <c r="N105" t="str">
        <f t="shared" si="2"/>
        <v/>
      </c>
      <c r="O105" t="str">
        <f t="shared" si="3"/>
        <v/>
      </c>
      <c r="Q105" t="str">
        <f t="shared" si="4"/>
        <v/>
      </c>
      <c r="R105" t="str">
        <f t="shared" si="4"/>
        <v/>
      </c>
      <c r="U105" t="e">
        <f t="shared" si="5"/>
        <v>#N/A</v>
      </c>
      <c r="V105" t="e">
        <f t="shared" si="6"/>
        <v>#N/A</v>
      </c>
      <c r="X105" t="str">
        <f t="shared" si="7"/>
        <v>n/a</v>
      </c>
      <c r="Y105" t="str">
        <f t="shared" si="7"/>
        <v>n/a</v>
      </c>
      <c r="AB105" t="str">
        <f t="shared" si="0"/>
        <v>DXB</v>
      </c>
      <c r="AC105">
        <f t="shared" si="8"/>
        <v>0</v>
      </c>
      <c r="AF105">
        <f t="shared" si="9"/>
        <v>1</v>
      </c>
      <c r="AG105">
        <f ca="1">RANK(AF105,OFFSET(AF$92,0,0,$B$26,1))+COUNTIF(AF$92:AF105,AF105)-1</f>
        <v>14</v>
      </c>
      <c r="AH105">
        <f t="shared" ca="1" si="10"/>
        <v>14</v>
      </c>
      <c r="AI105">
        <f t="shared" ca="1" si="11"/>
        <v>14</v>
      </c>
      <c r="AJ105" cm="1">
        <f t="array" aca="1" ref="AJ105" ca="1">INDEX(auto_Country_Status,AI105)</f>
        <v>1</v>
      </c>
      <c r="AK105" t="str" cm="1">
        <f t="array" aca="1" ref="AK105" ca="1">IF($AJ105=0,"",INDEX(auto_Country_ISO,AI105))</f>
        <v>DXB</v>
      </c>
      <c r="AL105" t="str" cm="1">
        <f t="array" aca="1" ref="AL105" ca="1">IF($AJ105=0,"",INDEX(auto_ddCountry,AI105))</f>
        <v>Dubai</v>
      </c>
      <c r="AM105" t="str" cm="1">
        <f t="array" aca="1" ref="AM105" ca="1">IF($AJ105=0,"",INDEX(OFFSET(Q$92,0,0,$B$26,1),AI105))</f>
        <v/>
      </c>
      <c r="AN105" t="str" cm="1">
        <f t="array" aca="1" ref="AN105" ca="1">IF($AJ105=0,"",INDEX(OFFSET(R$92,0,0,$B$26,1),AI105))</f>
        <v/>
      </c>
    </row>
    <row r="106" spans="1:40" x14ac:dyDescent="0.4">
      <c r="A106">
        <v>15</v>
      </c>
      <c r="B106" t="str" cm="1">
        <f t="array" ref="B106">SUBSTITUTE(INDEX(auto_Country_ISO,A106),"US-","")</f>
        <v>HEL</v>
      </c>
      <c r="C106" t="str" cm="1">
        <f t="array" ref="C106">INDEX(auto_ddCountry,A106)</f>
        <v>Helsinki</v>
      </c>
      <c r="D106" cm="1">
        <f t="array" ref="D106">INDEX(auto_Country_Status,A106)</f>
        <v>1</v>
      </c>
      <c r="E106">
        <f t="shared" si="1"/>
        <v>1</v>
      </c>
      <c r="F106">
        <f>2</f>
        <v>2</v>
      </c>
      <c r="H106" t="e" cm="1">
        <f t="array" ref="H106">INDEX(sys_DataFlat_LU_Grid,$B$2,$A106)</f>
        <v>#N/A</v>
      </c>
      <c r="I106" t="e" cm="1">
        <f t="array" ref="I106">INDEX(sys_DataFlat_LU_Grid,$B$3,$A106)</f>
        <v>#N/A</v>
      </c>
      <c r="K106" t="e" cm="1">
        <f t="array" ref="K106">INDEX(IF($B$43="SCORE",auto_DataFlat_Score,IF($B$43="DATA",auto_DataFlat_DataValue,IF($B$43="Z-SCORE",auto_DataFlat_ZScore))),H106)</f>
        <v>#N/A</v>
      </c>
      <c r="L106" t="e" cm="1">
        <f t="array" ref="L106">INDEX(IF($B$44="SCORE",auto_DataFlat_Score,IF($B$44="DATA",auto_DataFlat_DataValue,IF($B$44="Z-SCORE",auto_DataFlat_ZScore))),I106)</f>
        <v>#N/A</v>
      </c>
      <c r="N106" t="str">
        <f t="shared" si="2"/>
        <v/>
      </c>
      <c r="O106" t="str">
        <f t="shared" si="3"/>
        <v/>
      </c>
      <c r="Q106" t="str">
        <f t="shared" si="4"/>
        <v/>
      </c>
      <c r="R106" t="str">
        <f t="shared" si="4"/>
        <v/>
      </c>
      <c r="U106" t="e">
        <f t="shared" si="5"/>
        <v>#N/A</v>
      </c>
      <c r="V106" t="e">
        <f t="shared" si="6"/>
        <v>#N/A</v>
      </c>
      <c r="X106" t="str">
        <f t="shared" si="7"/>
        <v>n/a</v>
      </c>
      <c r="Y106" t="str">
        <f t="shared" si="7"/>
        <v>n/a</v>
      </c>
      <c r="AB106" t="str">
        <f t="shared" si="0"/>
        <v>HEL</v>
      </c>
      <c r="AC106">
        <f t="shared" si="8"/>
        <v>0</v>
      </c>
      <c r="AF106">
        <f t="shared" si="9"/>
        <v>1</v>
      </c>
      <c r="AG106">
        <f ca="1">RANK(AF106,OFFSET(AF$92,0,0,$B$26,1))+COUNTIF(AF$92:AF106,AF106)-1</f>
        <v>15</v>
      </c>
      <c r="AH106">
        <f t="shared" ca="1" si="10"/>
        <v>15</v>
      </c>
      <c r="AI106">
        <f t="shared" ca="1" si="11"/>
        <v>15</v>
      </c>
      <c r="AJ106" cm="1">
        <f t="array" aca="1" ref="AJ106" ca="1">INDEX(auto_Country_Status,AI106)</f>
        <v>1</v>
      </c>
      <c r="AK106" t="str" cm="1">
        <f t="array" aca="1" ref="AK106" ca="1">IF($AJ106=0,"",INDEX(auto_Country_ISO,AI106))</f>
        <v>HEL</v>
      </c>
      <c r="AL106" t="str" cm="1">
        <f t="array" aca="1" ref="AL106" ca="1">IF($AJ106=0,"",INDEX(auto_ddCountry,AI106))</f>
        <v>Helsinki</v>
      </c>
      <c r="AM106" t="str" cm="1">
        <f t="array" aca="1" ref="AM106" ca="1">IF($AJ106=0,"",INDEX(OFFSET(Q$92,0,0,$B$26,1),AI106))</f>
        <v/>
      </c>
      <c r="AN106" t="str" cm="1">
        <f t="array" aca="1" ref="AN106" ca="1">IF($AJ106=0,"",INDEX(OFFSET(R$92,0,0,$B$26,1),AI106))</f>
        <v/>
      </c>
    </row>
    <row r="107" spans="1:40" x14ac:dyDescent="0.4">
      <c r="A107">
        <v>16</v>
      </c>
      <c r="B107" t="str" cm="1">
        <f t="array" ref="B107">SUBSTITUTE(INDEX(auto_Country_ISO,A107),"US-","")</f>
        <v>SGN</v>
      </c>
      <c r="C107" t="str" cm="1">
        <f t="array" ref="C107">INDEX(auto_ddCountry,A107)</f>
        <v>Ho Chi Minh City</v>
      </c>
      <c r="D107" cm="1">
        <f t="array" ref="D107">INDEX(auto_Country_Status,A107)</f>
        <v>1</v>
      </c>
      <c r="E107">
        <f t="shared" si="1"/>
        <v>1</v>
      </c>
      <c r="F107">
        <f>2</f>
        <v>2</v>
      </c>
      <c r="H107" t="e" cm="1">
        <f t="array" ref="H107">INDEX(sys_DataFlat_LU_Grid,$B$2,$A107)</f>
        <v>#N/A</v>
      </c>
      <c r="I107" t="e" cm="1">
        <f t="array" ref="I107">INDEX(sys_DataFlat_LU_Grid,$B$3,$A107)</f>
        <v>#N/A</v>
      </c>
      <c r="K107" t="e" cm="1">
        <f t="array" ref="K107">INDEX(IF($B$43="SCORE",auto_DataFlat_Score,IF($B$43="DATA",auto_DataFlat_DataValue,IF($B$43="Z-SCORE",auto_DataFlat_ZScore))),H107)</f>
        <v>#N/A</v>
      </c>
      <c r="L107" t="e" cm="1">
        <f t="array" ref="L107">INDEX(IF($B$44="SCORE",auto_DataFlat_Score,IF($B$44="DATA",auto_DataFlat_DataValue,IF($B$44="Z-SCORE",auto_DataFlat_ZScore))),I107)</f>
        <v>#N/A</v>
      </c>
      <c r="N107" t="str">
        <f t="shared" si="2"/>
        <v/>
      </c>
      <c r="O107" t="str">
        <f t="shared" si="3"/>
        <v/>
      </c>
      <c r="Q107" t="str">
        <f t="shared" si="4"/>
        <v/>
      </c>
      <c r="R107" t="str">
        <f t="shared" si="4"/>
        <v/>
      </c>
      <c r="U107" t="e">
        <f t="shared" si="5"/>
        <v>#N/A</v>
      </c>
      <c r="V107" t="e">
        <f t="shared" si="6"/>
        <v>#N/A</v>
      </c>
      <c r="X107" t="str">
        <f t="shared" si="7"/>
        <v>n/a</v>
      </c>
      <c r="Y107" t="str">
        <f t="shared" si="7"/>
        <v>n/a</v>
      </c>
      <c r="AB107" t="str">
        <f t="shared" si="0"/>
        <v>SGN</v>
      </c>
      <c r="AC107">
        <f t="shared" si="8"/>
        <v>0</v>
      </c>
      <c r="AF107">
        <f t="shared" si="9"/>
        <v>1</v>
      </c>
      <c r="AG107">
        <f ca="1">RANK(AF107,OFFSET(AF$92,0,0,$B$26,1))+COUNTIF(AF$92:AF107,AF107)-1</f>
        <v>16</v>
      </c>
      <c r="AH107">
        <f t="shared" ca="1" si="10"/>
        <v>16</v>
      </c>
      <c r="AI107">
        <f t="shared" ca="1" si="11"/>
        <v>16</v>
      </c>
      <c r="AJ107" cm="1">
        <f t="array" aca="1" ref="AJ107" ca="1">INDEX(auto_Country_Status,AI107)</f>
        <v>1</v>
      </c>
      <c r="AK107" t="str" cm="1">
        <f t="array" aca="1" ref="AK107" ca="1">IF($AJ107=0,"",INDEX(auto_Country_ISO,AI107))</f>
        <v>SGN</v>
      </c>
      <c r="AL107" t="str" cm="1">
        <f t="array" aca="1" ref="AL107" ca="1">IF($AJ107=0,"",INDEX(auto_ddCountry,AI107))</f>
        <v>Ho Chi Minh City</v>
      </c>
      <c r="AM107" t="str" cm="1">
        <f t="array" aca="1" ref="AM107" ca="1">IF($AJ107=0,"",INDEX(OFFSET(Q$92,0,0,$B$26,1),AI107))</f>
        <v/>
      </c>
      <c r="AN107" t="str" cm="1">
        <f t="array" aca="1" ref="AN107" ca="1">IF($AJ107=0,"",INDEX(OFFSET(R$92,0,0,$B$26,1),AI107))</f>
        <v/>
      </c>
    </row>
    <row r="108" spans="1:40" x14ac:dyDescent="0.4">
      <c r="A108">
        <v>17</v>
      </c>
      <c r="B108" t="str" cm="1">
        <f t="array" ref="B108">SUBSTITUTE(INDEX(auto_Country_ISO,A108),"US-","")</f>
        <v>HKG</v>
      </c>
      <c r="C108" t="str" cm="1">
        <f t="array" ref="C108">INDEX(auto_ddCountry,A108)</f>
        <v>Hong Kong</v>
      </c>
      <c r="D108" cm="1">
        <f t="array" ref="D108">INDEX(auto_Country_Status,A108)</f>
        <v>1</v>
      </c>
      <c r="E108">
        <f t="shared" si="1"/>
        <v>1</v>
      </c>
      <c r="F108">
        <f>2</f>
        <v>2</v>
      </c>
      <c r="H108" t="e" cm="1">
        <f t="array" ref="H108">INDEX(sys_DataFlat_LU_Grid,$B$2,$A108)</f>
        <v>#N/A</v>
      </c>
      <c r="I108" t="e" cm="1">
        <f t="array" ref="I108">INDEX(sys_DataFlat_LU_Grid,$B$3,$A108)</f>
        <v>#N/A</v>
      </c>
      <c r="K108" t="e" cm="1">
        <f t="array" ref="K108">INDEX(IF($B$43="SCORE",auto_DataFlat_Score,IF($B$43="DATA",auto_DataFlat_DataValue,IF($B$43="Z-SCORE",auto_DataFlat_ZScore))),H108)</f>
        <v>#N/A</v>
      </c>
      <c r="L108" t="e" cm="1">
        <f t="array" ref="L108">INDEX(IF($B$44="SCORE",auto_DataFlat_Score,IF($B$44="DATA",auto_DataFlat_DataValue,IF($B$44="Z-SCORE",auto_DataFlat_ZScore))),I108)</f>
        <v>#N/A</v>
      </c>
      <c r="N108" t="str">
        <f t="shared" si="2"/>
        <v/>
      </c>
      <c r="O108" t="str">
        <f t="shared" si="3"/>
        <v/>
      </c>
      <c r="Q108" t="str">
        <f t="shared" si="4"/>
        <v/>
      </c>
      <c r="R108" t="str">
        <f t="shared" si="4"/>
        <v/>
      </c>
      <c r="U108" t="e">
        <f t="shared" si="5"/>
        <v>#N/A</v>
      </c>
      <c r="V108" t="e">
        <f t="shared" si="6"/>
        <v>#N/A</v>
      </c>
      <c r="X108" t="str">
        <f t="shared" si="7"/>
        <v>n/a</v>
      </c>
      <c r="Y108" t="str">
        <f t="shared" si="7"/>
        <v>n/a</v>
      </c>
      <c r="AB108" t="str">
        <f t="shared" si="0"/>
        <v>HKG</v>
      </c>
      <c r="AC108">
        <f t="shared" si="8"/>
        <v>0</v>
      </c>
      <c r="AF108">
        <f t="shared" si="9"/>
        <v>1</v>
      </c>
      <c r="AG108">
        <f ca="1">RANK(AF108,OFFSET(AF$92,0,0,$B$26,1))+COUNTIF(AF$92:AF108,AF108)-1</f>
        <v>17</v>
      </c>
      <c r="AH108">
        <f t="shared" ca="1" si="10"/>
        <v>17</v>
      </c>
      <c r="AI108">
        <f t="shared" ca="1" si="11"/>
        <v>17</v>
      </c>
      <c r="AJ108" cm="1">
        <f t="array" aca="1" ref="AJ108" ca="1">INDEX(auto_Country_Status,AI108)</f>
        <v>1</v>
      </c>
      <c r="AK108" t="str" cm="1">
        <f t="array" aca="1" ref="AK108" ca="1">IF($AJ108=0,"",INDEX(auto_Country_ISO,AI108))</f>
        <v>HKG</v>
      </c>
      <c r="AL108" t="str" cm="1">
        <f t="array" aca="1" ref="AL108" ca="1">IF($AJ108=0,"",INDEX(auto_ddCountry,AI108))</f>
        <v>Hong Kong</v>
      </c>
      <c r="AM108" t="str" cm="1">
        <f t="array" aca="1" ref="AM108" ca="1">IF($AJ108=0,"",INDEX(OFFSET(Q$92,0,0,$B$26,1),AI108))</f>
        <v/>
      </c>
      <c r="AN108" t="str" cm="1">
        <f t="array" aca="1" ref="AN108" ca="1">IF($AJ108=0,"",INDEX(OFFSET(R$92,0,0,$B$26,1),AI108))</f>
        <v/>
      </c>
    </row>
    <row r="109" spans="1:40" x14ac:dyDescent="0.4">
      <c r="A109">
        <v>18</v>
      </c>
      <c r="B109" t="str" cm="1">
        <f t="array" ref="B109">SUBSTITUTE(INDEX(auto_Country_ISO,A109),"US-","")</f>
        <v>IST</v>
      </c>
      <c r="C109" t="str" cm="1">
        <f t="array" ref="C109">INDEX(auto_ddCountry,A109)</f>
        <v>Istanbul</v>
      </c>
      <c r="D109" cm="1">
        <f t="array" ref="D109">INDEX(auto_Country_Status,A109)</f>
        <v>1</v>
      </c>
      <c r="E109">
        <f t="shared" si="1"/>
        <v>1</v>
      </c>
      <c r="F109">
        <f>2</f>
        <v>2</v>
      </c>
      <c r="H109" t="e" cm="1">
        <f t="array" ref="H109">INDEX(sys_DataFlat_LU_Grid,$B$2,$A109)</f>
        <v>#N/A</v>
      </c>
      <c r="I109" t="e" cm="1">
        <f t="array" ref="I109">INDEX(sys_DataFlat_LU_Grid,$B$3,$A109)</f>
        <v>#N/A</v>
      </c>
      <c r="K109" t="e" cm="1">
        <f t="array" ref="K109">INDEX(IF($B$43="SCORE",auto_DataFlat_Score,IF($B$43="DATA",auto_DataFlat_DataValue,IF($B$43="Z-SCORE",auto_DataFlat_ZScore))),H109)</f>
        <v>#N/A</v>
      </c>
      <c r="L109" t="e" cm="1">
        <f t="array" ref="L109">INDEX(IF($B$44="SCORE",auto_DataFlat_Score,IF($B$44="DATA",auto_DataFlat_DataValue,IF($B$44="Z-SCORE",auto_DataFlat_ZScore))),I109)</f>
        <v>#N/A</v>
      </c>
      <c r="N109" t="str">
        <f t="shared" si="2"/>
        <v/>
      </c>
      <c r="O109" t="str">
        <f t="shared" si="3"/>
        <v/>
      </c>
      <c r="Q109" t="str">
        <f t="shared" ref="Q109:R119" si="12">IF($D109=0,"{filtered}",N109)</f>
        <v/>
      </c>
      <c r="R109" t="str">
        <f t="shared" si="12"/>
        <v/>
      </c>
      <c r="U109" t="e">
        <f t="shared" si="5"/>
        <v>#N/A</v>
      </c>
      <c r="V109" t="e">
        <f t="shared" si="6"/>
        <v>#N/A</v>
      </c>
      <c r="X109" t="str">
        <f t="shared" ref="X109:Y119" si="13">IFERROR(ABS(U109),"n/a")</f>
        <v>n/a</v>
      </c>
      <c r="Y109" t="str">
        <f t="shared" si="13"/>
        <v>n/a</v>
      </c>
      <c r="AB109" t="str">
        <f t="shared" si="0"/>
        <v>IST</v>
      </c>
      <c r="AC109">
        <f t="shared" si="8"/>
        <v>0</v>
      </c>
      <c r="AF109">
        <f t="shared" si="9"/>
        <v>1</v>
      </c>
      <c r="AG109">
        <f ca="1">RANK(AF109,OFFSET(AF$92,0,0,$B$26,1))+COUNTIF(AF$92:AF109,AF109)-1</f>
        <v>18</v>
      </c>
      <c r="AH109">
        <f t="shared" ca="1" si="10"/>
        <v>18</v>
      </c>
      <c r="AI109">
        <f t="shared" ca="1" si="11"/>
        <v>18</v>
      </c>
      <c r="AJ109" cm="1">
        <f t="array" aca="1" ref="AJ109" ca="1">INDEX(auto_Country_Status,AI109)</f>
        <v>1</v>
      </c>
      <c r="AK109" t="str" cm="1">
        <f t="array" aca="1" ref="AK109" ca="1">IF($AJ109=0,"",INDEX(auto_Country_ISO,AI109))</f>
        <v>IST</v>
      </c>
      <c r="AL109" t="str" cm="1">
        <f t="array" aca="1" ref="AL109" ca="1">IF($AJ109=0,"",INDEX(auto_ddCountry,AI109))</f>
        <v>Istanbul</v>
      </c>
      <c r="AM109" t="str" cm="1">
        <f t="array" aca="1" ref="AM109" ca="1">IF($AJ109=0,"",INDEX(OFFSET(Q$92,0,0,$B$26,1),AI109))</f>
        <v/>
      </c>
      <c r="AN109" t="str" cm="1">
        <f t="array" aca="1" ref="AN109" ca="1">IF($AJ109=0,"",INDEX(OFFSET(R$92,0,0,$B$26,1),AI109))</f>
        <v/>
      </c>
    </row>
    <row r="110" spans="1:40" x14ac:dyDescent="0.4">
      <c r="A110">
        <v>19</v>
      </c>
      <c r="B110" t="str" cm="1">
        <f t="array" ref="B110">SUBSTITUTE(INDEX(auto_Country_ISO,A110),"US-","")</f>
        <v>JKT</v>
      </c>
      <c r="C110" t="str" cm="1">
        <f t="array" ref="C110">INDEX(auto_ddCountry,A110)</f>
        <v>Jakarta</v>
      </c>
      <c r="D110" cm="1">
        <f t="array" ref="D110">INDEX(auto_Country_Status,A110)</f>
        <v>1</v>
      </c>
      <c r="E110">
        <f t="shared" si="1"/>
        <v>1</v>
      </c>
      <c r="F110">
        <f>2</f>
        <v>2</v>
      </c>
      <c r="H110" t="e" cm="1">
        <f t="array" ref="H110">INDEX(sys_DataFlat_LU_Grid,$B$2,$A110)</f>
        <v>#N/A</v>
      </c>
      <c r="I110" t="e" cm="1">
        <f t="array" ref="I110">INDEX(sys_DataFlat_LU_Grid,$B$3,$A110)</f>
        <v>#N/A</v>
      </c>
      <c r="K110" t="e" cm="1">
        <f t="array" ref="K110">INDEX(IF($B$43="SCORE",auto_DataFlat_Score,IF($B$43="DATA",auto_DataFlat_DataValue,IF($B$43="Z-SCORE",auto_DataFlat_ZScore))),H110)</f>
        <v>#N/A</v>
      </c>
      <c r="L110" t="e" cm="1">
        <f t="array" ref="L110">INDEX(IF($B$44="SCORE",auto_DataFlat_Score,IF($B$44="DATA",auto_DataFlat_DataValue,IF($B$44="Z-SCORE",auto_DataFlat_ZScore))),I110)</f>
        <v>#N/A</v>
      </c>
      <c r="N110" t="str">
        <f t="shared" si="2"/>
        <v/>
      </c>
      <c r="O110" t="str">
        <f t="shared" si="3"/>
        <v/>
      </c>
      <c r="Q110" t="str">
        <f t="shared" si="12"/>
        <v/>
      </c>
      <c r="R110" t="str">
        <f t="shared" si="12"/>
        <v/>
      </c>
      <c r="U110" t="e">
        <f t="shared" si="5"/>
        <v>#N/A</v>
      </c>
      <c r="V110" t="e">
        <f t="shared" si="6"/>
        <v>#N/A</v>
      </c>
      <c r="X110" t="str">
        <f t="shared" si="13"/>
        <v>n/a</v>
      </c>
      <c r="Y110" t="str">
        <f t="shared" si="13"/>
        <v>n/a</v>
      </c>
      <c r="AB110" t="str">
        <f t="shared" si="0"/>
        <v>JKT</v>
      </c>
      <c r="AC110">
        <f t="shared" si="8"/>
        <v>0</v>
      </c>
      <c r="AF110">
        <f t="shared" si="9"/>
        <v>1</v>
      </c>
      <c r="AG110">
        <f ca="1">RANK(AF110,OFFSET(AF$92,0,0,$B$26,1))+COUNTIF(AF$92:AF110,AF110)-1</f>
        <v>19</v>
      </c>
      <c r="AH110">
        <f t="shared" ca="1" si="10"/>
        <v>19</v>
      </c>
      <c r="AI110">
        <f t="shared" ca="1" si="11"/>
        <v>19</v>
      </c>
      <c r="AJ110" cm="1">
        <f t="array" aca="1" ref="AJ110" ca="1">INDEX(auto_Country_Status,AI110)</f>
        <v>1</v>
      </c>
      <c r="AK110" t="str" cm="1">
        <f t="array" aca="1" ref="AK110" ca="1">IF($AJ110=0,"",INDEX(auto_Country_ISO,AI110))</f>
        <v>JKT</v>
      </c>
      <c r="AL110" t="str" cm="1">
        <f t="array" aca="1" ref="AL110" ca="1">IF($AJ110=0,"",INDEX(auto_ddCountry,AI110))</f>
        <v>Jakarta</v>
      </c>
      <c r="AM110" t="str" cm="1">
        <f t="array" aca="1" ref="AM110" ca="1">IF($AJ110=0,"",INDEX(OFFSET(Q$92,0,0,$B$26,1),AI110))</f>
        <v/>
      </c>
      <c r="AN110" t="str" cm="1">
        <f t="array" aca="1" ref="AN110" ca="1">IF($AJ110=0,"",INDEX(OFFSET(R$92,0,0,$B$26,1),AI110))</f>
        <v/>
      </c>
    </row>
    <row r="111" spans="1:40" x14ac:dyDescent="0.4">
      <c r="A111">
        <v>20</v>
      </c>
      <c r="B111" t="str" cm="1">
        <f t="array" ref="B111">SUBSTITUTE(INDEX(auto_Country_ISO,A111),"US-","")</f>
        <v>JNB</v>
      </c>
      <c r="C111" t="str" cm="1">
        <f t="array" ref="C111">INDEX(auto_ddCountry,A111)</f>
        <v>Johannesburg</v>
      </c>
      <c r="D111" cm="1">
        <f t="array" ref="D111">INDEX(auto_Country_Status,A111)</f>
        <v>1</v>
      </c>
      <c r="E111">
        <f t="shared" si="1"/>
        <v>1</v>
      </c>
      <c r="F111">
        <f>2</f>
        <v>2</v>
      </c>
      <c r="H111" t="e" cm="1">
        <f t="array" ref="H111">INDEX(sys_DataFlat_LU_Grid,$B$2,$A111)</f>
        <v>#N/A</v>
      </c>
      <c r="I111" t="e" cm="1">
        <f t="array" ref="I111">INDEX(sys_DataFlat_LU_Grid,$B$3,$A111)</f>
        <v>#N/A</v>
      </c>
      <c r="K111" t="e" cm="1">
        <f t="array" ref="K111">INDEX(IF($B$43="SCORE",auto_DataFlat_Score,IF($B$43="DATA",auto_DataFlat_DataValue,IF($B$43="Z-SCORE",auto_DataFlat_ZScore))),H111)</f>
        <v>#N/A</v>
      </c>
      <c r="L111" t="e" cm="1">
        <f t="array" ref="L111">INDEX(IF($B$44="SCORE",auto_DataFlat_Score,IF($B$44="DATA",auto_DataFlat_DataValue,IF($B$44="Z-SCORE",auto_DataFlat_ZScore))),I111)</f>
        <v>#N/A</v>
      </c>
      <c r="N111" t="str">
        <f t="shared" si="2"/>
        <v/>
      </c>
      <c r="O111" t="str">
        <f t="shared" si="3"/>
        <v/>
      </c>
      <c r="Q111" t="str">
        <f t="shared" si="12"/>
        <v/>
      </c>
      <c r="R111" t="str">
        <f t="shared" si="12"/>
        <v/>
      </c>
      <c r="U111" t="e">
        <f t="shared" si="5"/>
        <v>#N/A</v>
      </c>
      <c r="V111" t="e">
        <f t="shared" si="6"/>
        <v>#N/A</v>
      </c>
      <c r="X111" t="str">
        <f t="shared" si="13"/>
        <v>n/a</v>
      </c>
      <c r="Y111" t="str">
        <f t="shared" si="13"/>
        <v>n/a</v>
      </c>
      <c r="AB111" t="str">
        <f t="shared" si="0"/>
        <v>JNB</v>
      </c>
      <c r="AC111">
        <f t="shared" si="8"/>
        <v>0</v>
      </c>
      <c r="AF111">
        <f t="shared" si="9"/>
        <v>1</v>
      </c>
      <c r="AG111">
        <f ca="1">RANK(AF111,OFFSET(AF$92,0,0,$B$26,1))+COUNTIF(AF$92:AF111,AF111)-1</f>
        <v>20</v>
      </c>
      <c r="AH111">
        <f t="shared" ca="1" si="10"/>
        <v>20</v>
      </c>
      <c r="AI111">
        <f t="shared" ca="1" si="11"/>
        <v>20</v>
      </c>
      <c r="AJ111" cm="1">
        <f t="array" aca="1" ref="AJ111" ca="1">INDEX(auto_Country_Status,AI111)</f>
        <v>1</v>
      </c>
      <c r="AK111" t="str" cm="1">
        <f t="array" aca="1" ref="AK111" ca="1">IF($AJ111=0,"",INDEX(auto_Country_ISO,AI111))</f>
        <v>JNB</v>
      </c>
      <c r="AL111" t="str" cm="1">
        <f t="array" aca="1" ref="AL111" ca="1">IF($AJ111=0,"",INDEX(auto_ddCountry,AI111))</f>
        <v>Johannesburg</v>
      </c>
      <c r="AM111" t="str" cm="1">
        <f t="array" aca="1" ref="AM111" ca="1">IF($AJ111=0,"",INDEX(OFFSET(Q$92,0,0,$B$26,1),AI111))</f>
        <v/>
      </c>
      <c r="AN111" t="str" cm="1">
        <f t="array" aca="1" ref="AN111" ca="1">IF($AJ111=0,"",INDEX(OFFSET(R$92,0,0,$B$26,1),AI111))</f>
        <v/>
      </c>
    </row>
    <row r="112" spans="1:40" x14ac:dyDescent="0.4">
      <c r="A112">
        <v>21</v>
      </c>
      <c r="B112" t="str" cm="1">
        <f t="array" ref="B112">SUBSTITUTE(INDEX(auto_Country_ISO,A112),"US-","")</f>
        <v>KHI</v>
      </c>
      <c r="C112" t="str" cm="1">
        <f t="array" ref="C112">INDEX(auto_ddCountry,A112)</f>
        <v>Karachi</v>
      </c>
      <c r="D112" cm="1">
        <f t="array" ref="D112">INDEX(auto_Country_Status,A112)</f>
        <v>1</v>
      </c>
      <c r="E112">
        <f t="shared" si="1"/>
        <v>1</v>
      </c>
      <c r="F112">
        <f>2</f>
        <v>2</v>
      </c>
      <c r="H112" t="e" cm="1">
        <f t="array" ref="H112">INDEX(sys_DataFlat_LU_Grid,$B$2,$A112)</f>
        <v>#N/A</v>
      </c>
      <c r="I112" t="e" cm="1">
        <f t="array" ref="I112">INDEX(sys_DataFlat_LU_Grid,$B$3,$A112)</f>
        <v>#N/A</v>
      </c>
      <c r="K112" t="e" cm="1">
        <f t="array" ref="K112">INDEX(IF($B$43="SCORE",auto_DataFlat_Score,IF($B$43="DATA",auto_DataFlat_DataValue,IF($B$43="Z-SCORE",auto_DataFlat_ZScore))),H112)</f>
        <v>#N/A</v>
      </c>
      <c r="L112" t="e" cm="1">
        <f t="array" ref="L112">INDEX(IF($B$44="SCORE",auto_DataFlat_Score,IF($B$44="DATA",auto_DataFlat_DataValue,IF($B$44="Z-SCORE",auto_DataFlat_ZScore))),I112)</f>
        <v>#N/A</v>
      </c>
      <c r="N112" t="str">
        <f t="shared" si="2"/>
        <v/>
      </c>
      <c r="O112" t="str">
        <f t="shared" si="3"/>
        <v/>
      </c>
      <c r="Q112" t="str">
        <f t="shared" si="12"/>
        <v/>
      </c>
      <c r="R112" t="str">
        <f t="shared" si="12"/>
        <v/>
      </c>
      <c r="U112" t="e">
        <f t="shared" si="5"/>
        <v>#N/A</v>
      </c>
      <c r="V112" t="e">
        <f t="shared" si="6"/>
        <v>#N/A</v>
      </c>
      <c r="X112" t="str">
        <f t="shared" si="13"/>
        <v>n/a</v>
      </c>
      <c r="Y112" t="str">
        <f t="shared" si="13"/>
        <v>n/a</v>
      </c>
      <c r="AB112" t="str">
        <f t="shared" si="0"/>
        <v>KHI</v>
      </c>
      <c r="AC112">
        <f t="shared" si="8"/>
        <v>0</v>
      </c>
      <c r="AF112">
        <f t="shared" si="9"/>
        <v>1</v>
      </c>
      <c r="AG112">
        <f ca="1">RANK(AF112,OFFSET(AF$92,0,0,$B$26,1))+COUNTIF(AF$92:AF112,AF112)-1</f>
        <v>21</v>
      </c>
      <c r="AH112">
        <f t="shared" ca="1" si="10"/>
        <v>21</v>
      </c>
      <c r="AI112">
        <f t="shared" ca="1" si="11"/>
        <v>21</v>
      </c>
      <c r="AJ112" cm="1">
        <f t="array" aca="1" ref="AJ112" ca="1">INDEX(auto_Country_Status,AI112)</f>
        <v>1</v>
      </c>
      <c r="AK112" t="str" cm="1">
        <f t="array" aca="1" ref="AK112" ca="1">IF($AJ112=0,"",INDEX(auto_Country_ISO,AI112))</f>
        <v>KHI</v>
      </c>
      <c r="AL112" t="str" cm="1">
        <f t="array" aca="1" ref="AL112" ca="1">IF($AJ112=0,"",INDEX(auto_ddCountry,AI112))</f>
        <v>Karachi</v>
      </c>
      <c r="AM112" t="str" cm="1">
        <f t="array" aca="1" ref="AM112" ca="1">IF($AJ112=0,"",INDEX(OFFSET(Q$92,0,0,$B$26,1),AI112))</f>
        <v/>
      </c>
      <c r="AN112" t="str" cm="1">
        <f t="array" aca="1" ref="AN112" ca="1">IF($AJ112=0,"",INDEX(OFFSET(R$92,0,0,$B$26,1),AI112))</f>
        <v/>
      </c>
    </row>
    <row r="113" spans="1:40" x14ac:dyDescent="0.4">
      <c r="A113">
        <v>22</v>
      </c>
      <c r="B113" t="str" cm="1">
        <f t="array" ref="B113">SUBSTITUTE(INDEX(auto_Country_ISO,A113),"US-","")</f>
        <v>KTM</v>
      </c>
      <c r="C113" t="str" cm="1">
        <f t="array" ref="C113">INDEX(auto_ddCountry,A113)</f>
        <v>Kathmandu</v>
      </c>
      <c r="D113" cm="1">
        <f t="array" ref="D113">INDEX(auto_Country_Status,A113)</f>
        <v>1</v>
      </c>
      <c r="E113">
        <f t="shared" si="1"/>
        <v>1</v>
      </c>
      <c r="F113">
        <f>2</f>
        <v>2</v>
      </c>
      <c r="H113" t="e" cm="1">
        <f t="array" ref="H113">INDEX(sys_DataFlat_LU_Grid,$B$2,$A113)</f>
        <v>#N/A</v>
      </c>
      <c r="I113" t="e" cm="1">
        <f t="array" ref="I113">INDEX(sys_DataFlat_LU_Grid,$B$3,$A113)</f>
        <v>#N/A</v>
      </c>
      <c r="K113" t="e" cm="1">
        <f t="array" ref="K113">INDEX(IF($B$43="SCORE",auto_DataFlat_Score,IF($B$43="DATA",auto_DataFlat_DataValue,IF($B$43="Z-SCORE",auto_DataFlat_ZScore))),H113)</f>
        <v>#N/A</v>
      </c>
      <c r="L113" t="e" cm="1">
        <f t="array" ref="L113">INDEX(IF($B$44="SCORE",auto_DataFlat_Score,IF($B$44="DATA",auto_DataFlat_DataValue,IF($B$44="Z-SCORE",auto_DataFlat_ZScore))),I113)</f>
        <v>#N/A</v>
      </c>
      <c r="N113" t="str">
        <f t="shared" si="2"/>
        <v/>
      </c>
      <c r="O113" t="str">
        <f t="shared" si="3"/>
        <v/>
      </c>
      <c r="Q113" t="str">
        <f t="shared" si="12"/>
        <v/>
      </c>
      <c r="R113" t="str">
        <f t="shared" si="12"/>
        <v/>
      </c>
      <c r="U113" t="e">
        <f t="shared" si="5"/>
        <v>#N/A</v>
      </c>
      <c r="V113" t="e">
        <f t="shared" si="6"/>
        <v>#N/A</v>
      </c>
      <c r="X113" t="str">
        <f t="shared" si="13"/>
        <v>n/a</v>
      </c>
      <c r="Y113" t="str">
        <f t="shared" si="13"/>
        <v>n/a</v>
      </c>
      <c r="AB113" t="str">
        <f t="shared" si="0"/>
        <v>KTM</v>
      </c>
      <c r="AC113">
        <f t="shared" si="8"/>
        <v>0</v>
      </c>
      <c r="AF113">
        <f t="shared" si="9"/>
        <v>1</v>
      </c>
      <c r="AG113">
        <f ca="1">RANK(AF113,OFFSET(AF$92,0,0,$B$26,1))+COUNTIF(AF$92:AF113,AF113)-1</f>
        <v>22</v>
      </c>
      <c r="AH113">
        <f t="shared" ca="1" si="10"/>
        <v>22</v>
      </c>
      <c r="AI113">
        <f t="shared" ca="1" si="11"/>
        <v>22</v>
      </c>
      <c r="AJ113" cm="1">
        <f t="array" aca="1" ref="AJ113" ca="1">INDEX(auto_Country_Status,AI113)</f>
        <v>1</v>
      </c>
      <c r="AK113" t="str" cm="1">
        <f t="array" aca="1" ref="AK113" ca="1">IF($AJ113=0,"",INDEX(auto_Country_ISO,AI113))</f>
        <v>KTM</v>
      </c>
      <c r="AL113" t="str" cm="1">
        <f t="array" aca="1" ref="AL113" ca="1">IF($AJ113=0,"",INDEX(auto_ddCountry,AI113))</f>
        <v>Kathmandu</v>
      </c>
      <c r="AM113" t="str" cm="1">
        <f t="array" aca="1" ref="AM113" ca="1">IF($AJ113=0,"",INDEX(OFFSET(Q$92,0,0,$B$26,1),AI113))</f>
        <v/>
      </c>
      <c r="AN113" t="str" cm="1">
        <f t="array" aca="1" ref="AN113" ca="1">IF($AJ113=0,"",INDEX(OFFSET(R$92,0,0,$B$26,1),AI113))</f>
        <v/>
      </c>
    </row>
    <row r="114" spans="1:40" x14ac:dyDescent="0.4">
      <c r="A114">
        <v>23</v>
      </c>
      <c r="B114" t="str" cm="1">
        <f t="array" ref="B114">SUBSTITUTE(INDEX(auto_Country_ISO,A114),"US-","")</f>
        <v>CCU</v>
      </c>
      <c r="C114" t="str" cm="1">
        <f t="array" ref="C114">INDEX(auto_ddCountry,A114)</f>
        <v>Kolkata</v>
      </c>
      <c r="D114" cm="1">
        <f t="array" ref="D114">INDEX(auto_Country_Status,A114)</f>
        <v>1</v>
      </c>
      <c r="E114">
        <f t="shared" si="1"/>
        <v>1</v>
      </c>
      <c r="F114">
        <f>2</f>
        <v>2</v>
      </c>
      <c r="H114" t="e" cm="1">
        <f t="array" ref="H114">INDEX(sys_DataFlat_LU_Grid,$B$2,$A114)</f>
        <v>#N/A</v>
      </c>
      <c r="I114" t="e" cm="1">
        <f t="array" ref="I114">INDEX(sys_DataFlat_LU_Grid,$B$3,$A114)</f>
        <v>#N/A</v>
      </c>
      <c r="K114" t="e" cm="1">
        <f t="array" ref="K114">INDEX(IF($B$43="SCORE",auto_DataFlat_Score,IF($B$43="DATA",auto_DataFlat_DataValue,IF($B$43="Z-SCORE",auto_DataFlat_ZScore))),H114)</f>
        <v>#N/A</v>
      </c>
      <c r="L114" t="e" cm="1">
        <f t="array" ref="L114">INDEX(IF($B$44="SCORE",auto_DataFlat_Score,IF($B$44="DATA",auto_DataFlat_DataValue,IF($B$44="Z-SCORE",auto_DataFlat_ZScore))),I114)</f>
        <v>#N/A</v>
      </c>
      <c r="N114" t="str">
        <f t="shared" si="2"/>
        <v/>
      </c>
      <c r="O114" t="str">
        <f t="shared" si="3"/>
        <v/>
      </c>
      <c r="Q114" t="str">
        <f t="shared" si="12"/>
        <v/>
      </c>
      <c r="R114" t="str">
        <f t="shared" si="12"/>
        <v/>
      </c>
      <c r="U114" t="e">
        <f t="shared" si="5"/>
        <v>#N/A</v>
      </c>
      <c r="V114" t="e">
        <f t="shared" si="6"/>
        <v>#N/A</v>
      </c>
      <c r="X114" t="str">
        <f t="shared" si="13"/>
        <v>n/a</v>
      </c>
      <c r="Y114" t="str">
        <f t="shared" si="13"/>
        <v>n/a</v>
      </c>
      <c r="AB114" t="str">
        <f t="shared" si="0"/>
        <v>CCU</v>
      </c>
      <c r="AC114">
        <f t="shared" si="8"/>
        <v>0</v>
      </c>
      <c r="AF114">
        <f t="shared" si="9"/>
        <v>1</v>
      </c>
      <c r="AG114">
        <f ca="1">RANK(AF114,OFFSET(AF$92,0,0,$B$26,1))+COUNTIF(AF$92:AF114,AF114)-1</f>
        <v>23</v>
      </c>
      <c r="AH114">
        <f t="shared" ca="1" si="10"/>
        <v>23</v>
      </c>
      <c r="AI114">
        <f t="shared" ca="1" si="11"/>
        <v>23</v>
      </c>
      <c r="AJ114" cm="1">
        <f t="array" aca="1" ref="AJ114" ca="1">INDEX(auto_Country_Status,AI114)</f>
        <v>1</v>
      </c>
      <c r="AK114" t="str" cm="1">
        <f t="array" aca="1" ref="AK114" ca="1">IF($AJ114=0,"",INDEX(auto_Country_ISO,AI114))</f>
        <v>CCU</v>
      </c>
      <c r="AL114" t="str" cm="1">
        <f t="array" aca="1" ref="AL114" ca="1">IF($AJ114=0,"",INDEX(auto_ddCountry,AI114))</f>
        <v>Kolkata</v>
      </c>
      <c r="AM114" t="str" cm="1">
        <f t="array" aca="1" ref="AM114" ca="1">IF($AJ114=0,"",INDEX(OFFSET(Q$92,0,0,$B$26,1),AI114))</f>
        <v/>
      </c>
      <c r="AN114" t="str" cm="1">
        <f t="array" aca="1" ref="AN114" ca="1">IF($AJ114=0,"",INDEX(OFFSET(R$92,0,0,$B$26,1),AI114))</f>
        <v/>
      </c>
    </row>
    <row r="115" spans="1:40" x14ac:dyDescent="0.4">
      <c r="A115">
        <v>24</v>
      </c>
      <c r="B115" t="str" cm="1">
        <f t="array" ref="B115">SUBSTITUTE(INDEX(auto_Country_ISO,A115),"US-","")</f>
        <v>KWI</v>
      </c>
      <c r="C115" t="str" cm="1">
        <f t="array" ref="C115">INDEX(auto_ddCountry,A115)</f>
        <v>Kuwait City</v>
      </c>
      <c r="D115" cm="1">
        <f t="array" ref="D115">INDEX(auto_Country_Status,A115)</f>
        <v>1</v>
      </c>
      <c r="E115">
        <f t="shared" si="1"/>
        <v>1</v>
      </c>
      <c r="F115">
        <f>2</f>
        <v>2</v>
      </c>
      <c r="H115" t="e" cm="1">
        <f t="array" ref="H115">INDEX(sys_DataFlat_LU_Grid,$B$2,$A115)</f>
        <v>#N/A</v>
      </c>
      <c r="I115" t="e" cm="1">
        <f t="array" ref="I115">INDEX(sys_DataFlat_LU_Grid,$B$3,$A115)</f>
        <v>#N/A</v>
      </c>
      <c r="K115" t="e" cm="1">
        <f t="array" ref="K115">INDEX(IF($B$43="SCORE",auto_DataFlat_Score,IF($B$43="DATA",auto_DataFlat_DataValue,IF($B$43="Z-SCORE",auto_DataFlat_ZScore))),H115)</f>
        <v>#N/A</v>
      </c>
      <c r="L115" t="e" cm="1">
        <f t="array" ref="L115">INDEX(IF($B$44="SCORE",auto_DataFlat_Score,IF($B$44="DATA",auto_DataFlat_DataValue,IF($B$44="Z-SCORE",auto_DataFlat_ZScore))),I115)</f>
        <v>#N/A</v>
      </c>
      <c r="N115" t="str">
        <f t="shared" si="2"/>
        <v/>
      </c>
      <c r="O115" t="str">
        <f t="shared" si="3"/>
        <v/>
      </c>
      <c r="Q115" t="str">
        <f t="shared" si="12"/>
        <v/>
      </c>
      <c r="R115" t="str">
        <f t="shared" si="12"/>
        <v/>
      </c>
      <c r="U115" t="e">
        <f t="shared" si="5"/>
        <v>#N/A</v>
      </c>
      <c r="V115" t="e">
        <f t="shared" si="6"/>
        <v>#N/A</v>
      </c>
      <c r="X115" t="str">
        <f t="shared" si="13"/>
        <v>n/a</v>
      </c>
      <c r="Y115" t="str">
        <f t="shared" si="13"/>
        <v>n/a</v>
      </c>
      <c r="AB115" t="str">
        <f t="shared" si="0"/>
        <v>KWI</v>
      </c>
      <c r="AC115">
        <f t="shared" si="8"/>
        <v>0</v>
      </c>
      <c r="AF115">
        <f t="shared" si="9"/>
        <v>1</v>
      </c>
      <c r="AG115">
        <f ca="1">RANK(AF115,OFFSET(AF$92,0,0,$B$26,1))+COUNTIF(AF$92:AF115,AF115)-1</f>
        <v>24</v>
      </c>
      <c r="AH115">
        <f t="shared" ca="1" si="10"/>
        <v>24</v>
      </c>
      <c r="AI115">
        <f t="shared" ca="1" si="11"/>
        <v>24</v>
      </c>
      <c r="AJ115" cm="1">
        <f t="array" aca="1" ref="AJ115" ca="1">INDEX(auto_Country_Status,AI115)</f>
        <v>1</v>
      </c>
      <c r="AK115" t="str" cm="1">
        <f t="array" aca="1" ref="AK115" ca="1">IF($AJ115=0,"",INDEX(auto_Country_ISO,AI115))</f>
        <v>KWI</v>
      </c>
      <c r="AL115" t="str" cm="1">
        <f t="array" aca="1" ref="AL115" ca="1">IF($AJ115=0,"",INDEX(auto_ddCountry,AI115))</f>
        <v>Kuwait City</v>
      </c>
      <c r="AM115" t="str" cm="1">
        <f t="array" aca="1" ref="AM115" ca="1">IF($AJ115=0,"",INDEX(OFFSET(Q$92,0,0,$B$26,1),AI115))</f>
        <v/>
      </c>
      <c r="AN115" t="str" cm="1">
        <f t="array" aca="1" ref="AN115" ca="1">IF($AJ115=0,"",INDEX(OFFSET(R$92,0,0,$B$26,1),AI115))</f>
        <v/>
      </c>
    </row>
    <row r="116" spans="1:40" x14ac:dyDescent="0.4">
      <c r="A116">
        <v>25</v>
      </c>
      <c r="B116" t="str" cm="1">
        <f t="array" ref="B116">SUBSTITUTE(INDEX(auto_Country_ISO,A116),"US-","")</f>
        <v>ZGM</v>
      </c>
      <c r="C116" t="str" cm="1">
        <f t="array" ref="C116">INDEX(auto_ddCountry,A116)</f>
        <v>Lagos</v>
      </c>
      <c r="D116" cm="1">
        <f t="array" ref="D116">INDEX(auto_Country_Status,A116)</f>
        <v>1</v>
      </c>
      <c r="E116">
        <f t="shared" si="1"/>
        <v>1</v>
      </c>
      <c r="F116">
        <f>2</f>
        <v>2</v>
      </c>
      <c r="H116" t="e" cm="1">
        <f t="array" ref="H116">INDEX(sys_DataFlat_LU_Grid,$B$2,$A116)</f>
        <v>#N/A</v>
      </c>
      <c r="I116" t="e" cm="1">
        <f t="array" ref="I116">INDEX(sys_DataFlat_LU_Grid,$B$3,$A116)</f>
        <v>#N/A</v>
      </c>
      <c r="K116" t="e" cm="1">
        <f t="array" ref="K116">INDEX(IF($B$43="SCORE",auto_DataFlat_Score,IF($B$43="DATA",auto_DataFlat_DataValue,IF($B$43="Z-SCORE",auto_DataFlat_ZScore))),H116)</f>
        <v>#N/A</v>
      </c>
      <c r="L116" t="e" cm="1">
        <f t="array" ref="L116">INDEX(IF($B$44="SCORE",auto_DataFlat_Score,IF($B$44="DATA",auto_DataFlat_DataValue,IF($B$44="Z-SCORE",auto_DataFlat_ZScore))),I116)</f>
        <v>#N/A</v>
      </c>
      <c r="N116" t="str">
        <f t="shared" si="2"/>
        <v/>
      </c>
      <c r="O116" t="str">
        <f t="shared" si="3"/>
        <v/>
      </c>
      <c r="Q116" t="str">
        <f t="shared" si="12"/>
        <v/>
      </c>
      <c r="R116" t="str">
        <f t="shared" si="12"/>
        <v/>
      </c>
      <c r="U116" t="e">
        <f t="shared" si="5"/>
        <v>#N/A</v>
      </c>
      <c r="V116" t="e">
        <f t="shared" si="6"/>
        <v>#N/A</v>
      </c>
      <c r="X116" t="str">
        <f t="shared" si="13"/>
        <v>n/a</v>
      </c>
      <c r="Y116" t="str">
        <f t="shared" si="13"/>
        <v>n/a</v>
      </c>
      <c r="AB116" t="str">
        <f t="shared" si="0"/>
        <v>ZGM</v>
      </c>
      <c r="AC116">
        <f t="shared" si="8"/>
        <v>0</v>
      </c>
      <c r="AF116">
        <f t="shared" si="9"/>
        <v>1</v>
      </c>
      <c r="AG116">
        <f ca="1">RANK(AF116,OFFSET(AF$92,0,0,$B$26,1))+COUNTIF(AF$92:AF116,AF116)-1</f>
        <v>25</v>
      </c>
      <c r="AH116">
        <f t="shared" ca="1" si="10"/>
        <v>25</v>
      </c>
      <c r="AI116">
        <f t="shared" ca="1" si="11"/>
        <v>25</v>
      </c>
      <c r="AJ116" cm="1">
        <f t="array" aca="1" ref="AJ116" ca="1">INDEX(auto_Country_Status,AI116)</f>
        <v>1</v>
      </c>
      <c r="AK116" t="str" cm="1">
        <f t="array" aca="1" ref="AK116" ca="1">IF($AJ116=0,"",INDEX(auto_Country_ISO,AI116))</f>
        <v>ZGM</v>
      </c>
      <c r="AL116" t="str" cm="1">
        <f t="array" aca="1" ref="AL116" ca="1">IF($AJ116=0,"",INDEX(auto_ddCountry,AI116))</f>
        <v>Lagos</v>
      </c>
      <c r="AM116" t="str" cm="1">
        <f t="array" aca="1" ref="AM116" ca="1">IF($AJ116=0,"",INDEX(OFFSET(Q$92,0,0,$B$26,1),AI116))</f>
        <v/>
      </c>
      <c r="AN116" t="str" cm="1">
        <f t="array" aca="1" ref="AN116" ca="1">IF($AJ116=0,"",INDEX(OFFSET(R$92,0,0,$B$26,1),AI116))</f>
        <v/>
      </c>
    </row>
    <row r="117" spans="1:40" x14ac:dyDescent="0.4">
      <c r="A117">
        <v>26</v>
      </c>
      <c r="B117" t="str" cm="1">
        <f t="array" ref="B117">SUBSTITUTE(INDEX(auto_Country_ISO,A117),"US-","")</f>
        <v>LOD</v>
      </c>
      <c r="C117" t="str" cm="1">
        <f t="array" ref="C117">INDEX(auto_ddCountry,A117)</f>
        <v>London</v>
      </c>
      <c r="D117" cm="1">
        <f t="array" ref="D117">INDEX(auto_Country_Status,A117)</f>
        <v>1</v>
      </c>
      <c r="E117">
        <f t="shared" si="1"/>
        <v>1</v>
      </c>
      <c r="F117">
        <f>2</f>
        <v>2</v>
      </c>
      <c r="H117" t="e" cm="1">
        <f t="array" ref="H117">INDEX(sys_DataFlat_LU_Grid,$B$2,$A117)</f>
        <v>#N/A</v>
      </c>
      <c r="I117" t="e" cm="1">
        <f t="array" ref="I117">INDEX(sys_DataFlat_LU_Grid,$B$3,$A117)</f>
        <v>#N/A</v>
      </c>
      <c r="K117" t="e" cm="1">
        <f t="array" ref="K117">INDEX(IF($B$43="SCORE",auto_DataFlat_Score,IF($B$43="DATA",auto_DataFlat_DataValue,IF($B$43="Z-SCORE",auto_DataFlat_ZScore))),H117)</f>
        <v>#N/A</v>
      </c>
      <c r="L117" t="e" cm="1">
        <f t="array" ref="L117">INDEX(IF($B$44="SCORE",auto_DataFlat_Score,IF($B$44="DATA",auto_DataFlat_DataValue,IF($B$44="Z-SCORE",auto_DataFlat_ZScore))),I117)</f>
        <v>#N/A</v>
      </c>
      <c r="N117" t="str">
        <f t="shared" si="2"/>
        <v/>
      </c>
      <c r="O117" t="str">
        <f t="shared" si="3"/>
        <v/>
      </c>
      <c r="Q117" t="str">
        <f t="shared" si="12"/>
        <v/>
      </c>
      <c r="R117" t="str">
        <f t="shared" si="12"/>
        <v/>
      </c>
      <c r="U117" t="e">
        <f t="shared" si="5"/>
        <v>#N/A</v>
      </c>
      <c r="V117" t="e">
        <f t="shared" si="6"/>
        <v>#N/A</v>
      </c>
      <c r="X117" t="str">
        <f t="shared" si="13"/>
        <v>n/a</v>
      </c>
      <c r="Y117" t="str">
        <f t="shared" si="13"/>
        <v>n/a</v>
      </c>
      <c r="AB117" t="str">
        <f t="shared" si="0"/>
        <v>LOD</v>
      </c>
      <c r="AC117">
        <f t="shared" si="8"/>
        <v>0</v>
      </c>
      <c r="AF117">
        <f t="shared" si="9"/>
        <v>1</v>
      </c>
      <c r="AG117">
        <f ca="1">RANK(AF117,OFFSET(AF$92,0,0,$B$26,1))+COUNTIF(AF$92:AF117,AF117)-1</f>
        <v>26</v>
      </c>
      <c r="AH117">
        <f t="shared" ca="1" si="10"/>
        <v>26</v>
      </c>
      <c r="AI117">
        <f t="shared" ca="1" si="11"/>
        <v>26</v>
      </c>
      <c r="AJ117" cm="1">
        <f t="array" aca="1" ref="AJ117" ca="1">INDEX(auto_Country_Status,AI117)</f>
        <v>1</v>
      </c>
      <c r="AK117" t="str" cm="1">
        <f t="array" aca="1" ref="AK117" ca="1">IF($AJ117=0,"",INDEX(auto_Country_ISO,AI117))</f>
        <v>LOD</v>
      </c>
      <c r="AL117" t="str" cm="1">
        <f t="array" aca="1" ref="AL117" ca="1">IF($AJ117=0,"",INDEX(auto_ddCountry,AI117))</f>
        <v>London</v>
      </c>
      <c r="AM117" t="str" cm="1">
        <f t="array" aca="1" ref="AM117" ca="1">IF($AJ117=0,"",INDEX(OFFSET(Q$92,0,0,$B$26,1),AI117))</f>
        <v/>
      </c>
      <c r="AN117" t="str" cm="1">
        <f t="array" aca="1" ref="AN117" ca="1">IF($AJ117=0,"",INDEX(OFFSET(R$92,0,0,$B$26,1),AI117))</f>
        <v/>
      </c>
    </row>
    <row r="118" spans="1:40" x14ac:dyDescent="0.4">
      <c r="A118">
        <v>27</v>
      </c>
      <c r="B118" t="str" cm="1">
        <f t="array" ref="B118">SUBSTITUTE(INDEX(auto_Country_ISO,A118),"US-","")</f>
        <v>MDD</v>
      </c>
      <c r="C118" t="str" cm="1">
        <f t="array" ref="C118">INDEX(auto_ddCountry,A118)</f>
        <v>Madrid</v>
      </c>
      <c r="D118" cm="1">
        <f t="array" ref="D118">INDEX(auto_Country_Status,A118)</f>
        <v>1</v>
      </c>
      <c r="E118">
        <f t="shared" si="1"/>
        <v>1</v>
      </c>
      <c r="F118">
        <f>2</f>
        <v>2</v>
      </c>
      <c r="H118" t="e" cm="1">
        <f t="array" ref="H118">INDEX(sys_DataFlat_LU_Grid,$B$2,$A118)</f>
        <v>#N/A</v>
      </c>
      <c r="I118" t="e" cm="1">
        <f t="array" ref="I118">INDEX(sys_DataFlat_LU_Grid,$B$3,$A118)</f>
        <v>#N/A</v>
      </c>
      <c r="K118" t="e" cm="1">
        <f t="array" ref="K118">INDEX(IF($B$43="SCORE",auto_DataFlat_Score,IF($B$43="DATA",auto_DataFlat_DataValue,IF($B$43="Z-SCORE",auto_DataFlat_ZScore))),H118)</f>
        <v>#N/A</v>
      </c>
      <c r="L118" t="e" cm="1">
        <f t="array" ref="L118">INDEX(IF($B$44="SCORE",auto_DataFlat_Score,IF($B$44="DATA",auto_DataFlat_DataValue,IF($B$44="Z-SCORE",auto_DataFlat_ZScore))),I118)</f>
        <v>#N/A</v>
      </c>
      <c r="N118" t="str">
        <f t="shared" si="2"/>
        <v/>
      </c>
      <c r="O118" t="str">
        <f t="shared" si="3"/>
        <v/>
      </c>
      <c r="Q118" t="str">
        <f t="shared" si="12"/>
        <v/>
      </c>
      <c r="R118" t="str">
        <f t="shared" si="12"/>
        <v/>
      </c>
      <c r="U118" t="e">
        <f t="shared" si="5"/>
        <v>#N/A</v>
      </c>
      <c r="V118" t="e">
        <f t="shared" si="6"/>
        <v>#N/A</v>
      </c>
      <c r="X118" t="str">
        <f t="shared" si="13"/>
        <v>n/a</v>
      </c>
      <c r="Y118" t="str">
        <f t="shared" si="13"/>
        <v>n/a</v>
      </c>
      <c r="AB118" t="str">
        <f t="shared" si="0"/>
        <v>MDD</v>
      </c>
      <c r="AC118">
        <f t="shared" si="8"/>
        <v>0</v>
      </c>
      <c r="AF118">
        <f t="shared" si="9"/>
        <v>1</v>
      </c>
      <c r="AG118">
        <f ca="1">RANK(AF118,OFFSET(AF$92,0,0,$B$26,1))+COUNTIF(AF$92:AF118,AF118)-1</f>
        <v>27</v>
      </c>
      <c r="AH118">
        <f t="shared" ca="1" si="10"/>
        <v>27</v>
      </c>
      <c r="AI118">
        <f t="shared" ca="1" si="11"/>
        <v>27</v>
      </c>
      <c r="AJ118" cm="1">
        <f t="array" aca="1" ref="AJ118" ca="1">INDEX(auto_Country_Status,AI118)</f>
        <v>1</v>
      </c>
      <c r="AK118" t="str" cm="1">
        <f t="array" aca="1" ref="AK118" ca="1">IF($AJ118=0,"",INDEX(auto_Country_ISO,AI118))</f>
        <v>MDD</v>
      </c>
      <c r="AL118" t="str" cm="1">
        <f t="array" aca="1" ref="AL118" ca="1">IF($AJ118=0,"",INDEX(auto_ddCountry,AI118))</f>
        <v>Madrid</v>
      </c>
      <c r="AM118" t="str" cm="1">
        <f t="array" aca="1" ref="AM118" ca="1">IF($AJ118=0,"",INDEX(OFFSET(Q$92,0,0,$B$26,1),AI118))</f>
        <v/>
      </c>
      <c r="AN118" t="str" cm="1">
        <f t="array" aca="1" ref="AN118" ca="1">IF($AJ118=0,"",INDEX(OFFSET(R$92,0,0,$B$26,1),AI118))</f>
        <v/>
      </c>
    </row>
    <row r="119" spans="1:40" x14ac:dyDescent="0.4">
      <c r="A119">
        <v>28</v>
      </c>
      <c r="B119" t="str" cm="1">
        <f t="array" ref="B119">SUBSTITUTE(INDEX(auto_Country_ISO,A119),"US-","")</f>
        <v>MNL</v>
      </c>
      <c r="C119" t="str" cm="1">
        <f t="array" ref="C119">INDEX(auto_ddCountry,A119)</f>
        <v>Manila</v>
      </c>
      <c r="D119" cm="1">
        <f t="array" ref="D119">INDEX(auto_Country_Status,A119)</f>
        <v>1</v>
      </c>
      <c r="E119">
        <f t="shared" si="1"/>
        <v>1</v>
      </c>
      <c r="F119">
        <f>2</f>
        <v>2</v>
      </c>
      <c r="H119" t="e" cm="1">
        <f t="array" ref="H119">INDEX(sys_DataFlat_LU_Grid,$B$2,$A119)</f>
        <v>#N/A</v>
      </c>
      <c r="I119" t="e" cm="1">
        <f t="array" ref="I119">INDEX(sys_DataFlat_LU_Grid,$B$3,$A119)</f>
        <v>#N/A</v>
      </c>
      <c r="K119" t="e" cm="1">
        <f t="array" ref="K119">INDEX(IF($B$43="SCORE",auto_DataFlat_Score,IF($B$43="DATA",auto_DataFlat_DataValue,IF($B$43="Z-SCORE",auto_DataFlat_ZScore))),H119)</f>
        <v>#N/A</v>
      </c>
      <c r="L119" t="e" cm="1">
        <f t="array" ref="L119">INDEX(IF($B$44="SCORE",auto_DataFlat_Score,IF($B$44="DATA",auto_DataFlat_DataValue,IF($B$44="Z-SCORE",auto_DataFlat_ZScore))),I119)</f>
        <v>#N/A</v>
      </c>
      <c r="N119" t="str">
        <f t="shared" si="2"/>
        <v/>
      </c>
      <c r="O119" t="str">
        <f t="shared" si="3"/>
        <v/>
      </c>
      <c r="Q119" t="str">
        <f t="shared" si="12"/>
        <v/>
      </c>
      <c r="R119" t="str">
        <f t="shared" si="12"/>
        <v/>
      </c>
      <c r="U119" t="e">
        <f t="shared" si="5"/>
        <v>#N/A</v>
      </c>
      <c r="V119" t="e">
        <f t="shared" si="6"/>
        <v>#N/A</v>
      </c>
      <c r="X119" t="str">
        <f t="shared" si="13"/>
        <v>n/a</v>
      </c>
      <c r="Y119" t="str">
        <f t="shared" si="13"/>
        <v>n/a</v>
      </c>
      <c r="AB119" t="str">
        <f t="shared" si="0"/>
        <v>MNL</v>
      </c>
      <c r="AC119">
        <f t="shared" si="8"/>
        <v>0</v>
      </c>
      <c r="AF119">
        <f t="shared" si="9"/>
        <v>1</v>
      </c>
      <c r="AG119">
        <f ca="1">RANK(AF119,OFFSET(AF$92,0,0,$B$26,1))+COUNTIF(AF$92:AF119,AF119)-1</f>
        <v>28</v>
      </c>
      <c r="AH119">
        <f t="shared" ca="1" si="10"/>
        <v>28</v>
      </c>
      <c r="AI119">
        <f t="shared" ca="1" si="11"/>
        <v>28</v>
      </c>
      <c r="AJ119" cm="1">
        <f t="array" aca="1" ref="AJ119" ca="1">INDEX(auto_Country_Status,AI119)</f>
        <v>1</v>
      </c>
      <c r="AK119" t="str" cm="1">
        <f t="array" aca="1" ref="AK119" ca="1">IF($AJ119=0,"",INDEX(auto_Country_ISO,AI119))</f>
        <v>MNL</v>
      </c>
      <c r="AL119" t="str" cm="1">
        <f t="array" aca="1" ref="AL119" ca="1">IF($AJ119=0,"",INDEX(auto_ddCountry,AI119))</f>
        <v>Manila</v>
      </c>
      <c r="AM119" t="str" cm="1">
        <f t="array" aca="1" ref="AM119" ca="1">IF($AJ119=0,"",INDEX(OFFSET(Q$92,0,0,$B$26,1),AI119))</f>
        <v/>
      </c>
      <c r="AN119" t="str" cm="1">
        <f t="array" aca="1" ref="AN119" ca="1">IF($AJ119=0,"",INDEX(OFFSET(R$92,0,0,$B$26,1),AI119))</f>
        <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C5049-6436-47AD-A155-D0A3F1AC2DD4}">
  <sheetPr codeName="Sheet11">
    <tabColor rgb="FF7030A0"/>
  </sheetPr>
  <dimension ref="A3:AJ36"/>
  <sheetViews>
    <sheetView workbookViewId="0">
      <selection activeCell="F39" sqref="F39"/>
    </sheetView>
  </sheetViews>
  <sheetFormatPr defaultColWidth="9.15234375" defaultRowHeight="14.6" x14ac:dyDescent="0.4"/>
  <cols>
    <col min="11" max="16" width="3.84375" customWidth="1"/>
    <col min="22" max="23" width="16" customWidth="1"/>
    <col min="31" max="36" width="3.84375" customWidth="1"/>
  </cols>
  <sheetData>
    <row r="3" spans="1:36" x14ac:dyDescent="0.4">
      <c r="D3" t="s">
        <v>1254</v>
      </c>
      <c r="K3" t="s">
        <v>1651</v>
      </c>
    </row>
    <row r="5" spans="1:36" x14ac:dyDescent="0.4">
      <c r="C5" t="s">
        <v>1061</v>
      </c>
      <c r="D5">
        <f>1/6</f>
        <v>0.16666666666666666</v>
      </c>
      <c r="E5">
        <f t="shared" ref="E5:I5" si="0">1/6</f>
        <v>0.16666666666666666</v>
      </c>
      <c r="F5">
        <f t="shared" si="0"/>
        <v>0.16666666666666666</v>
      </c>
      <c r="G5">
        <f t="shared" si="0"/>
        <v>0.16666666666666666</v>
      </c>
      <c r="H5">
        <f t="shared" si="0"/>
        <v>0.16666666666666666</v>
      </c>
      <c r="I5">
        <f t="shared" si="0"/>
        <v>0.16666666666666666</v>
      </c>
    </row>
    <row r="6" spans="1:36" x14ac:dyDescent="0.4">
      <c r="D6" t="s">
        <v>1420</v>
      </c>
      <c r="E6" t="s">
        <v>1421</v>
      </c>
      <c r="F6" t="s">
        <v>1426</v>
      </c>
      <c r="G6" t="s">
        <v>1405</v>
      </c>
      <c r="H6" t="s">
        <v>1406</v>
      </c>
      <c r="I6" t="s">
        <v>1427</v>
      </c>
      <c r="W6" t="s">
        <v>1707</v>
      </c>
      <c r="X6" t="str">
        <f t="shared" ref="X6:AC6" si="1">D6</f>
        <v>INDI_014</v>
      </c>
      <c r="Y6" t="str">
        <f t="shared" si="1"/>
        <v>INDI_015</v>
      </c>
      <c r="Z6" t="str">
        <f t="shared" si="1"/>
        <v>INDI_030</v>
      </c>
      <c r="AA6" t="str">
        <f t="shared" si="1"/>
        <v>SUB_INDI_039</v>
      </c>
      <c r="AB6" t="str">
        <f t="shared" si="1"/>
        <v>SUB_INDI_040</v>
      </c>
      <c r="AC6" t="str">
        <f t="shared" si="1"/>
        <v>INDI_045</v>
      </c>
    </row>
    <row r="7" spans="1:36" x14ac:dyDescent="0.4">
      <c r="D7">
        <f t="shared" ref="D7:I7" si="2">MATCH(D6,auto_Series_Code,0)</f>
        <v>32</v>
      </c>
      <c r="E7">
        <f t="shared" si="2"/>
        <v>35</v>
      </c>
      <c r="F7">
        <f t="shared" si="2"/>
        <v>61</v>
      </c>
      <c r="G7" t="e">
        <f t="shared" si="2"/>
        <v>#N/A</v>
      </c>
      <c r="H7" t="e">
        <f t="shared" si="2"/>
        <v>#N/A</v>
      </c>
      <c r="I7" t="e">
        <f t="shared" si="2"/>
        <v>#N/A</v>
      </c>
    </row>
    <row r="8" spans="1:36" x14ac:dyDescent="0.4">
      <c r="D8" cm="1">
        <f t="array" ref="D8">INDEX(sys_DataFlat_LU_Grid,D7,1)</f>
        <v>1861</v>
      </c>
      <c r="E8" cm="1">
        <f t="array" ref="E8">INDEX(sys_DataFlat_LU_Grid,E7,1)</f>
        <v>2041</v>
      </c>
      <c r="F8" cm="1">
        <f t="array" ref="F8">INDEX(sys_DataFlat_LU_Grid,F7,1)</f>
        <v>3601</v>
      </c>
      <c r="G8" t="e" cm="1">
        <f t="array" ref="G8">INDEX(sys_DataFlat_LU_Grid,G7,1)</f>
        <v>#N/A</v>
      </c>
      <c r="H8" t="e" cm="1">
        <f t="array" ref="H8">INDEX(sys_DataFlat_LU_Grid,H7,1)</f>
        <v>#N/A</v>
      </c>
      <c r="I8" t="e" cm="1">
        <f t="array" ref="I8">INDEX(sys_DataFlat_LU_Grid,I7,1)</f>
        <v>#N/A</v>
      </c>
      <c r="K8">
        <f>D8</f>
        <v>1861</v>
      </c>
      <c r="L8">
        <f t="shared" ref="L8:P8" si="3">E8</f>
        <v>2041</v>
      </c>
      <c r="M8">
        <f t="shared" si="3"/>
        <v>3601</v>
      </c>
      <c r="N8" t="e">
        <f t="shared" si="3"/>
        <v>#N/A</v>
      </c>
      <c r="O8" t="e">
        <f t="shared" si="3"/>
        <v>#N/A</v>
      </c>
      <c r="P8" t="e">
        <f t="shared" si="3"/>
        <v>#N/A</v>
      </c>
      <c r="R8" t="s">
        <v>1707</v>
      </c>
      <c r="S8" t="s">
        <v>1708</v>
      </c>
      <c r="T8" t="s">
        <v>175</v>
      </c>
    </row>
    <row r="9" spans="1:36" x14ac:dyDescent="0.4">
      <c r="A9">
        <v>1</v>
      </c>
      <c r="B9" t="str" cm="1">
        <f t="array" ref="B9">INDEX(auto_ddCountry,A9)</f>
        <v>Addis Ababa</v>
      </c>
      <c r="D9" cm="1">
        <f t="array" ref="D9">IF(INDEX(auto_DataFlat_DataValue,K$8+$A9-1,1)="n/a","n/a",INDEX(auto_DataFlat_Score,D$8+$A9-1,1))</f>
        <v>42.6</v>
      </c>
      <c r="E9" cm="1">
        <f t="array" ref="E9">IF(INDEX(auto_DataFlat_DataValue,L$8+$A9-1,1)="n/a","n/a",INDEX(auto_DataFlat_Score,E$8+$A9-1,1))</f>
        <v>61.3</v>
      </c>
      <c r="F9" cm="1">
        <f t="array" ref="F9">IF(INDEX(auto_DataFlat_DataValue,M$8+$A9-1,1)="n/a","n/a",INDEX(auto_DataFlat_Score,F$8+$A9-1,1))</f>
        <v>75</v>
      </c>
      <c r="G9" t="e" cm="1">
        <f t="array" ref="G9">IF(INDEX(auto_DataFlat_DataValue,N$8+$A9-1,1)="n/a","n/a",INDEX(auto_DataFlat_Score,G$8+$A9-1,1))</f>
        <v>#N/A</v>
      </c>
      <c r="H9" t="e" cm="1">
        <f t="array" ref="H9">IF(INDEX(auto_DataFlat_DataValue,O$8+$A9-1,1)="n/a","n/a",INDEX(auto_DataFlat_Score,H$8+$A9-1,1))</f>
        <v>#N/A</v>
      </c>
      <c r="I9" t="e" cm="1">
        <f t="array" ref="I9">IF(INDEX(auto_DataFlat_DataValue,P$8+$A9-1,1)="n/a","n/a",INDEX(auto_DataFlat_Score,I$8+$A9-1,1))</f>
        <v>#N/A</v>
      </c>
      <c r="K9" cm="1">
        <f t="array" ref="K9">IF(INDEX(auto_DataFlat_DataValue,K$8+$A9-1,1)="n/a","n/a",INDEX(auto_DataFlat_Classification,K$8+$A9-1,1))</f>
        <v>3</v>
      </c>
      <c r="L9" cm="1">
        <f t="array" ref="L9">IF(INDEX(auto_DataFlat_DataValue,L$8+$A9-1,1)="n/a","n/a",INDEX(auto_DataFlat_Classification,L$8+$A9-1,1))</f>
        <v>4</v>
      </c>
      <c r="M9" cm="1">
        <f t="array" ref="M9">IF(INDEX(auto_DataFlat_DataValue,M$8+$A9-1,1)="n/a","n/a",INDEX(auto_DataFlat_Classification,M$8+$A9-1,1))</f>
        <v>4</v>
      </c>
      <c r="N9" t="e" cm="1">
        <f t="array" ref="N9">IF(INDEX(auto_DataFlat_DataValue,N$8+$A9-1,1)="n/a","n/a",INDEX(auto_DataFlat_Classification,N$8+$A9-1,1))</f>
        <v>#N/A</v>
      </c>
      <c r="O9" t="e" cm="1">
        <f t="array" ref="O9">IF(INDEX(auto_DataFlat_DataValue,O$8+$A9-1,1)="n/a","n/a",INDEX(auto_DataFlat_Classification,O$8+$A9-1,1))</f>
        <v>#N/A</v>
      </c>
      <c r="P9" t="e" cm="1">
        <f t="array" ref="P9">IF(INDEX(auto_DataFlat_DataValue,P$8+$A9-1,1)="n/a","n/a",INDEX(auto_DataFlat_Classification,P$8+$A9-1,1))</f>
        <v>#N/A</v>
      </c>
      <c r="R9" t="e">
        <f>AVERAGE(D9:I9)</f>
        <v>#N/A</v>
      </c>
      <c r="S9" t="e">
        <f>ROUND(R9,3)</f>
        <v>#N/A</v>
      </c>
      <c r="T9" t="e">
        <f>RANK(S9,$S$9:$S$36)+COUNTIF(S$9:S9,S9)-1</f>
        <v>#N/A</v>
      </c>
      <c r="U9" t="e">
        <f>MATCH(A9,$T$9:$T$36,0)</f>
        <v>#N/A</v>
      </c>
      <c r="V9" t="e" cm="1">
        <f t="array" ref="V9">INDEX($B$9:$B$36,U9)</f>
        <v>#N/A</v>
      </c>
      <c r="W9" t="e" cm="1">
        <f t="array" ref="W9">INDEX($S$9:$S$36,$U9)</f>
        <v>#N/A</v>
      </c>
      <c r="X9" t="e" cm="1">
        <f t="array" ref="X9">INDEX(D$9:D$36,$U9)</f>
        <v>#N/A</v>
      </c>
      <c r="Y9" t="e" cm="1">
        <f t="array" ref="Y9">INDEX(E$9:E$36,$U9)</f>
        <v>#N/A</v>
      </c>
      <c r="Z9" t="e" cm="1">
        <f t="array" ref="Z9">INDEX(F$9:F$36,$U9)</f>
        <v>#N/A</v>
      </c>
      <c r="AA9" t="e" cm="1">
        <f t="array" ref="AA9">INDEX(G$9:G$36,$U9)</f>
        <v>#N/A</v>
      </c>
      <c r="AB9" t="e" cm="1">
        <f t="array" ref="AB9">INDEX(H$9:H$36,$U9)</f>
        <v>#N/A</v>
      </c>
      <c r="AC9" t="e" cm="1">
        <f t="array" ref="AC9">INDEX(I$9:I$36,$U9)</f>
        <v>#N/A</v>
      </c>
      <c r="AE9" t="e" cm="1">
        <f t="array" ref="AE9">INDEX(K$9:K$36,$U9)</f>
        <v>#N/A</v>
      </c>
      <c r="AF9" t="e" cm="1">
        <f t="array" ref="AF9">INDEX(L$9:L$36,$U9)</f>
        <v>#N/A</v>
      </c>
      <c r="AG9" t="e" cm="1">
        <f t="array" ref="AG9">INDEX(M$9:M$36,$U9)</f>
        <v>#N/A</v>
      </c>
      <c r="AH9" t="e" cm="1">
        <f t="array" ref="AH9">INDEX(N$9:N$36,$U9)</f>
        <v>#N/A</v>
      </c>
      <c r="AI9" t="e" cm="1">
        <f t="array" ref="AI9">INDEX(O$9:O$36,$U9)</f>
        <v>#N/A</v>
      </c>
      <c r="AJ9" t="e" cm="1">
        <f t="array" ref="AJ9">INDEX(P$9:P$36,$U9)</f>
        <v>#N/A</v>
      </c>
    </row>
    <row r="10" spans="1:36" x14ac:dyDescent="0.4">
      <c r="A10">
        <v>2</v>
      </c>
      <c r="B10" t="str" cm="1">
        <f t="array" ref="B10">INDEX(auto_ddCountry,A10)</f>
        <v>Algiers</v>
      </c>
      <c r="D10" cm="1">
        <f t="array" ref="D10">IF(INDEX(auto_DataFlat_DataValue,K$8+$A10-1,1)="n/a","n/a",INDEX(auto_DataFlat_Score,D$8+$A10-1,1))</f>
        <v>33.200000000000003</v>
      </c>
      <c r="E10" cm="1">
        <f t="array" ref="E10">IF(INDEX(auto_DataFlat_DataValue,L$8+$A10-1,1)="n/a","n/a",INDEX(auto_DataFlat_Score,E$8+$A10-1,1))</f>
        <v>81.900000000000006</v>
      </c>
      <c r="F10" cm="1">
        <f t="array" ref="F10">IF(INDEX(auto_DataFlat_DataValue,M$8+$A10-1,1)="n/a","n/a",INDEX(auto_DataFlat_Score,F$8+$A10-1,1))</f>
        <v>25</v>
      </c>
      <c r="G10" t="e" cm="1">
        <f t="array" ref="G10">IF(INDEX(auto_DataFlat_DataValue,N$8+$A10-1,1)="n/a","n/a",INDEX(auto_DataFlat_Score,G$8+$A10-1,1))</f>
        <v>#N/A</v>
      </c>
      <c r="H10" t="e" cm="1">
        <f t="array" ref="H10">IF(INDEX(auto_DataFlat_DataValue,O$8+$A10-1,1)="n/a","n/a",INDEX(auto_DataFlat_Score,H$8+$A10-1,1))</f>
        <v>#N/A</v>
      </c>
      <c r="I10" t="e" cm="1">
        <f t="array" ref="I10">IF(INDEX(auto_DataFlat_DataValue,P$8+$A10-1,1)="n/a","n/a",INDEX(auto_DataFlat_Score,I$8+$A10-1,1))</f>
        <v>#N/A</v>
      </c>
      <c r="K10" cm="1">
        <f t="array" ref="K10">IF(INDEX(auto_DataFlat_DataValue,K$8+$A10-1,1)="n/a","n/a",INDEX(auto_DataFlat_Classification,K$8+$A10-1,1))</f>
        <v>2</v>
      </c>
      <c r="L10" cm="1">
        <f t="array" ref="L10">IF(INDEX(auto_DataFlat_DataValue,L$8+$A10-1,1)="n/a","n/a",INDEX(auto_DataFlat_Classification,L$8+$A10-1,1))</f>
        <v>5</v>
      </c>
      <c r="M10" cm="1">
        <f t="array" ref="M10">IF(INDEX(auto_DataFlat_DataValue,M$8+$A10-1,1)="n/a","n/a",INDEX(auto_DataFlat_Classification,M$8+$A10-1,1))</f>
        <v>2</v>
      </c>
      <c r="N10" t="e" cm="1">
        <f t="array" ref="N10">IF(INDEX(auto_DataFlat_DataValue,N$8+$A10-1,1)="n/a","n/a",INDEX(auto_DataFlat_Classification,N$8+$A10-1,1))</f>
        <v>#N/A</v>
      </c>
      <c r="O10" t="e" cm="1">
        <f t="array" ref="O10">IF(INDEX(auto_DataFlat_DataValue,O$8+$A10-1,1)="n/a","n/a",INDEX(auto_DataFlat_Classification,O$8+$A10-1,1))</f>
        <v>#N/A</v>
      </c>
      <c r="P10" t="e" cm="1">
        <f t="array" ref="P10">IF(INDEX(auto_DataFlat_DataValue,P$8+$A10-1,1)="n/a","n/a",INDEX(auto_DataFlat_Classification,P$8+$A10-1,1))</f>
        <v>#N/A</v>
      </c>
      <c r="R10" t="e">
        <f t="shared" ref="R10:R36" si="4">AVERAGE(D10:I10)</f>
        <v>#N/A</v>
      </c>
      <c r="S10" t="e">
        <f t="shared" ref="S10:S36" si="5">ROUND(R10,3)</f>
        <v>#N/A</v>
      </c>
      <c r="T10" t="e">
        <f>RANK(S10,$S$9:$S$36)+COUNTIF(S$9:S10,S10)-1</f>
        <v>#N/A</v>
      </c>
      <c r="U10" t="e">
        <f t="shared" ref="U10:U36" si="6">MATCH(A10,$T$9:$T$36,0)</f>
        <v>#N/A</v>
      </c>
      <c r="V10" t="e" cm="1">
        <f t="array" ref="V10">INDEX($B$9:$B$36,U10)</f>
        <v>#N/A</v>
      </c>
      <c r="W10" t="e" cm="1">
        <f t="array" ref="W10">INDEX($S$9:$S$36,$U10)</f>
        <v>#N/A</v>
      </c>
      <c r="X10" t="e" cm="1">
        <f t="array" ref="X10">INDEX(D$9:D$36,$U10)</f>
        <v>#N/A</v>
      </c>
      <c r="Y10" t="e" cm="1">
        <f t="array" ref="Y10">INDEX(E$9:E$36,$U10)</f>
        <v>#N/A</v>
      </c>
      <c r="Z10" t="e" cm="1">
        <f t="array" ref="Z10">INDEX(F$9:F$36,$U10)</f>
        <v>#N/A</v>
      </c>
      <c r="AA10" t="e" cm="1">
        <f t="array" ref="AA10">INDEX(G$9:G$36,$U10)</f>
        <v>#N/A</v>
      </c>
      <c r="AB10" t="e" cm="1">
        <f t="array" ref="AB10">INDEX(H$9:H$36,$U10)</f>
        <v>#N/A</v>
      </c>
      <c r="AC10" t="e" cm="1">
        <f t="array" ref="AC10">INDEX(I$9:I$36,$U10)</f>
        <v>#N/A</v>
      </c>
      <c r="AE10" t="e" cm="1">
        <f t="array" ref="AE10">INDEX(K$9:K$36,$U10)</f>
        <v>#N/A</v>
      </c>
      <c r="AF10" t="e" cm="1">
        <f t="array" ref="AF10">INDEX(L$9:L$36,$U10)</f>
        <v>#N/A</v>
      </c>
      <c r="AG10" t="e" cm="1">
        <f t="array" ref="AG10">INDEX(M$9:M$36,$U10)</f>
        <v>#N/A</v>
      </c>
      <c r="AH10" t="e" cm="1">
        <f t="array" ref="AH10">INDEX(N$9:N$36,$U10)</f>
        <v>#N/A</v>
      </c>
      <c r="AI10" t="e" cm="1">
        <f t="array" ref="AI10">INDEX(O$9:O$36,$U10)</f>
        <v>#N/A</v>
      </c>
      <c r="AJ10" t="e" cm="1">
        <f t="array" ref="AJ10">INDEX(P$9:P$36,$U10)</f>
        <v>#N/A</v>
      </c>
    </row>
    <row r="11" spans="1:36" x14ac:dyDescent="0.4">
      <c r="A11">
        <v>3</v>
      </c>
      <c r="B11" t="str" cm="1">
        <f t="array" ref="B11">INDEX(auto_ddCountry,A11)</f>
        <v>Atlanta</v>
      </c>
      <c r="D11" cm="1">
        <f t="array" ref="D11">IF(INDEX(auto_DataFlat_DataValue,K$8+$A11-1,1)="n/a","n/a",INDEX(auto_DataFlat_Score,D$8+$A11-1,1))</f>
        <v>80</v>
      </c>
      <c r="E11" cm="1">
        <f t="array" ref="E11">IF(INDEX(auto_DataFlat_DataValue,L$8+$A11-1,1)="n/a","n/a",INDEX(auto_DataFlat_Score,E$8+$A11-1,1))</f>
        <v>59.2</v>
      </c>
      <c r="F11" cm="1">
        <f t="array" ref="F11">IF(INDEX(auto_DataFlat_DataValue,M$8+$A11-1,1)="n/a","n/a",INDEX(auto_DataFlat_Score,F$8+$A11-1,1))</f>
        <v>50</v>
      </c>
      <c r="G11" t="e" cm="1">
        <f t="array" ref="G11">IF(INDEX(auto_DataFlat_DataValue,N$8+$A11-1,1)="n/a","n/a",INDEX(auto_DataFlat_Score,G$8+$A11-1,1))</f>
        <v>#N/A</v>
      </c>
      <c r="H11" t="e" cm="1">
        <f t="array" ref="H11">IF(INDEX(auto_DataFlat_DataValue,O$8+$A11-1,1)="n/a","n/a",INDEX(auto_DataFlat_Score,H$8+$A11-1,1))</f>
        <v>#N/A</v>
      </c>
      <c r="I11" t="e" cm="1">
        <f t="array" ref="I11">IF(INDEX(auto_DataFlat_DataValue,P$8+$A11-1,1)="n/a","n/a",INDEX(auto_DataFlat_Score,I$8+$A11-1,1))</f>
        <v>#N/A</v>
      </c>
      <c r="K11" cm="1">
        <f t="array" ref="K11">IF(INDEX(auto_DataFlat_DataValue,K$8+$A11-1,1)="n/a","n/a",INDEX(auto_DataFlat_Classification,K$8+$A11-1,1))</f>
        <v>5</v>
      </c>
      <c r="L11" cm="1">
        <f t="array" ref="L11">IF(INDEX(auto_DataFlat_DataValue,L$8+$A11-1,1)="n/a","n/a",INDEX(auto_DataFlat_Classification,L$8+$A11-1,1))</f>
        <v>3</v>
      </c>
      <c r="M11" cm="1">
        <f t="array" ref="M11">IF(INDEX(auto_DataFlat_DataValue,M$8+$A11-1,1)="n/a","n/a",INDEX(auto_DataFlat_Classification,M$8+$A11-1,1))</f>
        <v>3</v>
      </c>
      <c r="N11" t="e" cm="1">
        <f t="array" ref="N11">IF(INDEX(auto_DataFlat_DataValue,N$8+$A11-1,1)="n/a","n/a",INDEX(auto_DataFlat_Classification,N$8+$A11-1,1))</f>
        <v>#N/A</v>
      </c>
      <c r="O11" t="e" cm="1">
        <f t="array" ref="O11">IF(INDEX(auto_DataFlat_DataValue,O$8+$A11-1,1)="n/a","n/a",INDEX(auto_DataFlat_Classification,O$8+$A11-1,1))</f>
        <v>#N/A</v>
      </c>
      <c r="P11" t="e" cm="1">
        <f t="array" ref="P11">IF(INDEX(auto_DataFlat_DataValue,P$8+$A11-1,1)="n/a","n/a",INDEX(auto_DataFlat_Classification,P$8+$A11-1,1))</f>
        <v>#N/A</v>
      </c>
      <c r="R11" t="e">
        <f t="shared" si="4"/>
        <v>#N/A</v>
      </c>
      <c r="S11" t="e">
        <f t="shared" si="5"/>
        <v>#N/A</v>
      </c>
      <c r="T11" t="e">
        <f>RANK(S11,$S$9:$S$36)+COUNTIF(S$9:S11,S11)-1</f>
        <v>#N/A</v>
      </c>
      <c r="U11" t="e">
        <f t="shared" si="6"/>
        <v>#N/A</v>
      </c>
      <c r="V11" t="e" cm="1">
        <f t="array" ref="V11">INDEX($B$9:$B$36,U11)</f>
        <v>#N/A</v>
      </c>
      <c r="W11" t="e" cm="1">
        <f t="array" ref="W11">INDEX($S$9:$S$36,$U11)</f>
        <v>#N/A</v>
      </c>
      <c r="X11" t="e" cm="1">
        <f t="array" ref="X11">INDEX(D$9:D$36,$U11)</f>
        <v>#N/A</v>
      </c>
      <c r="Y11" t="e" cm="1">
        <f t="array" ref="Y11">INDEX(E$9:E$36,$U11)</f>
        <v>#N/A</v>
      </c>
      <c r="Z11" t="e" cm="1">
        <f t="array" ref="Z11">INDEX(F$9:F$36,$U11)</f>
        <v>#N/A</v>
      </c>
      <c r="AA11" t="e" cm="1">
        <f t="array" ref="AA11">INDEX(G$9:G$36,$U11)</f>
        <v>#N/A</v>
      </c>
      <c r="AB11" t="e" cm="1">
        <f t="array" ref="AB11">INDEX(H$9:H$36,$U11)</f>
        <v>#N/A</v>
      </c>
      <c r="AC11" t="e" cm="1">
        <f t="array" ref="AC11">INDEX(I$9:I$36,$U11)</f>
        <v>#N/A</v>
      </c>
      <c r="AE11" t="e" cm="1">
        <f t="array" ref="AE11">INDEX(K$9:K$36,$U11)</f>
        <v>#N/A</v>
      </c>
      <c r="AF11" t="e" cm="1">
        <f t="array" ref="AF11">INDEX(L$9:L$36,$U11)</f>
        <v>#N/A</v>
      </c>
      <c r="AG11" t="e" cm="1">
        <f t="array" ref="AG11">INDEX(M$9:M$36,$U11)</f>
        <v>#N/A</v>
      </c>
      <c r="AH11" t="e" cm="1">
        <f t="array" ref="AH11">INDEX(N$9:N$36,$U11)</f>
        <v>#N/A</v>
      </c>
      <c r="AI11" t="e" cm="1">
        <f t="array" ref="AI11">INDEX(O$9:O$36,$U11)</f>
        <v>#N/A</v>
      </c>
      <c r="AJ11" t="e" cm="1">
        <f t="array" ref="AJ11">INDEX(P$9:P$36,$U11)</f>
        <v>#N/A</v>
      </c>
    </row>
    <row r="12" spans="1:36" x14ac:dyDescent="0.4">
      <c r="A12">
        <v>4</v>
      </c>
      <c r="B12" t="str" cm="1">
        <f t="array" ref="B12">INDEX(auto_ddCountry,A12)</f>
        <v>Auckland</v>
      </c>
      <c r="D12" cm="1">
        <f t="array" ref="D12">IF(INDEX(auto_DataFlat_DataValue,K$8+$A12-1,1)="n/a","n/a",INDEX(auto_DataFlat_Score,D$8+$A12-1,1))</f>
        <v>78.8</v>
      </c>
      <c r="E12" cm="1">
        <f t="array" ref="E12">IF(INDEX(auto_DataFlat_DataValue,L$8+$A12-1,1)="n/a","n/a",INDEX(auto_DataFlat_Score,E$8+$A12-1,1))</f>
        <v>59.6</v>
      </c>
      <c r="F12" cm="1">
        <f t="array" ref="F12">IF(INDEX(auto_DataFlat_DataValue,M$8+$A12-1,1)="n/a","n/a",INDEX(auto_DataFlat_Score,F$8+$A12-1,1))</f>
        <v>100</v>
      </c>
      <c r="G12" t="e" cm="1">
        <f t="array" ref="G12">IF(INDEX(auto_DataFlat_DataValue,N$8+$A12-1,1)="n/a","n/a",INDEX(auto_DataFlat_Score,G$8+$A12-1,1))</f>
        <v>#N/A</v>
      </c>
      <c r="H12" t="e" cm="1">
        <f t="array" ref="H12">IF(INDEX(auto_DataFlat_DataValue,O$8+$A12-1,1)="n/a","n/a",INDEX(auto_DataFlat_Score,H$8+$A12-1,1))</f>
        <v>#N/A</v>
      </c>
      <c r="I12" t="e" cm="1">
        <f t="array" ref="I12">IF(INDEX(auto_DataFlat_DataValue,P$8+$A12-1,1)="n/a","n/a",INDEX(auto_DataFlat_Score,I$8+$A12-1,1))</f>
        <v>#N/A</v>
      </c>
      <c r="K12" cm="1">
        <f t="array" ref="K12">IF(INDEX(auto_DataFlat_DataValue,K$8+$A12-1,1)="n/a","n/a",INDEX(auto_DataFlat_Classification,K$8+$A12-1,1))</f>
        <v>4</v>
      </c>
      <c r="L12" cm="1">
        <f t="array" ref="L12">IF(INDEX(auto_DataFlat_DataValue,L$8+$A12-1,1)="n/a","n/a",INDEX(auto_DataFlat_Classification,L$8+$A12-1,1))</f>
        <v>3</v>
      </c>
      <c r="M12" cm="1">
        <f t="array" ref="M12">IF(INDEX(auto_DataFlat_DataValue,M$8+$A12-1,1)="n/a","n/a",INDEX(auto_DataFlat_Classification,M$8+$A12-1,1))</f>
        <v>5</v>
      </c>
      <c r="N12" t="e" cm="1">
        <f t="array" ref="N12">IF(INDEX(auto_DataFlat_DataValue,N$8+$A12-1,1)="n/a","n/a",INDEX(auto_DataFlat_Classification,N$8+$A12-1,1))</f>
        <v>#N/A</v>
      </c>
      <c r="O12" t="e" cm="1">
        <f t="array" ref="O12">IF(INDEX(auto_DataFlat_DataValue,O$8+$A12-1,1)="n/a","n/a",INDEX(auto_DataFlat_Classification,O$8+$A12-1,1))</f>
        <v>#N/A</v>
      </c>
      <c r="P12" t="e" cm="1">
        <f t="array" ref="P12">IF(INDEX(auto_DataFlat_DataValue,P$8+$A12-1,1)="n/a","n/a",INDEX(auto_DataFlat_Classification,P$8+$A12-1,1))</f>
        <v>#N/A</v>
      </c>
      <c r="R12" t="e">
        <f t="shared" si="4"/>
        <v>#N/A</v>
      </c>
      <c r="S12" t="e">
        <f t="shared" si="5"/>
        <v>#N/A</v>
      </c>
      <c r="T12" t="e">
        <f>RANK(S12,$S$9:$S$36)+COUNTIF(S$9:S12,S12)-1</f>
        <v>#N/A</v>
      </c>
      <c r="U12" t="e">
        <f t="shared" si="6"/>
        <v>#N/A</v>
      </c>
      <c r="V12" t="e" cm="1">
        <f t="array" ref="V12">INDEX($B$9:$B$36,U12)</f>
        <v>#N/A</v>
      </c>
      <c r="W12" t="e" cm="1">
        <f t="array" ref="W12">INDEX($S$9:$S$36,$U12)</f>
        <v>#N/A</v>
      </c>
      <c r="X12" t="e" cm="1">
        <f t="array" ref="X12">INDEX(D$9:D$36,$U12)</f>
        <v>#N/A</v>
      </c>
      <c r="Y12" t="e" cm="1">
        <f t="array" ref="Y12">INDEX(E$9:E$36,$U12)</f>
        <v>#N/A</v>
      </c>
      <c r="Z12" t="e" cm="1">
        <f t="array" ref="Z12">INDEX(F$9:F$36,$U12)</f>
        <v>#N/A</v>
      </c>
      <c r="AA12" t="e" cm="1">
        <f t="array" ref="AA12">INDEX(G$9:G$36,$U12)</f>
        <v>#N/A</v>
      </c>
      <c r="AB12" t="e" cm="1">
        <f t="array" ref="AB12">INDEX(H$9:H$36,$U12)</f>
        <v>#N/A</v>
      </c>
      <c r="AC12" t="e" cm="1">
        <f t="array" ref="AC12">INDEX(I$9:I$36,$U12)</f>
        <v>#N/A</v>
      </c>
      <c r="AE12" t="e" cm="1">
        <f t="array" ref="AE12">INDEX(K$9:K$36,$U12)</f>
        <v>#N/A</v>
      </c>
      <c r="AF12" t="e" cm="1">
        <f t="array" ref="AF12">INDEX(L$9:L$36,$U12)</f>
        <v>#N/A</v>
      </c>
      <c r="AG12" t="e" cm="1">
        <f t="array" ref="AG12">INDEX(M$9:M$36,$U12)</f>
        <v>#N/A</v>
      </c>
      <c r="AH12" t="e" cm="1">
        <f t="array" ref="AH12">INDEX(N$9:N$36,$U12)</f>
        <v>#N/A</v>
      </c>
      <c r="AI12" t="e" cm="1">
        <f t="array" ref="AI12">INDEX(O$9:O$36,$U12)</f>
        <v>#N/A</v>
      </c>
      <c r="AJ12" t="e" cm="1">
        <f t="array" ref="AJ12">INDEX(P$9:P$36,$U12)</f>
        <v>#N/A</v>
      </c>
    </row>
    <row r="13" spans="1:36" x14ac:dyDescent="0.4">
      <c r="A13">
        <v>5</v>
      </c>
      <c r="B13" t="str" cm="1">
        <f t="array" ref="B13">INDEX(auto_ddCountry,A13)</f>
        <v>Bangkok</v>
      </c>
      <c r="D13" cm="1">
        <f t="array" ref="D13">IF(INDEX(auto_DataFlat_DataValue,K$8+$A13-1,1)="n/a","n/a",INDEX(auto_DataFlat_Score,D$8+$A13-1,1))</f>
        <v>87.7</v>
      </c>
      <c r="E13" cm="1">
        <f t="array" ref="E13">IF(INDEX(auto_DataFlat_DataValue,L$8+$A13-1,1)="n/a","n/a",INDEX(auto_DataFlat_Score,E$8+$A13-1,1))</f>
        <v>60.4</v>
      </c>
      <c r="F13" cm="1">
        <f t="array" ref="F13">IF(INDEX(auto_DataFlat_DataValue,M$8+$A13-1,1)="n/a","n/a",INDEX(auto_DataFlat_Score,F$8+$A13-1,1))</f>
        <v>100</v>
      </c>
      <c r="G13" t="e" cm="1">
        <f t="array" ref="G13">IF(INDEX(auto_DataFlat_DataValue,N$8+$A13-1,1)="n/a","n/a",INDEX(auto_DataFlat_Score,G$8+$A13-1,1))</f>
        <v>#N/A</v>
      </c>
      <c r="H13" t="e" cm="1">
        <f t="array" ref="H13">IF(INDEX(auto_DataFlat_DataValue,O$8+$A13-1,1)="n/a","n/a",INDEX(auto_DataFlat_Score,H$8+$A13-1,1))</f>
        <v>#N/A</v>
      </c>
      <c r="I13" t="e" cm="1">
        <f t="array" ref="I13">IF(INDEX(auto_DataFlat_DataValue,P$8+$A13-1,1)="n/a","n/a",INDEX(auto_DataFlat_Score,I$8+$A13-1,1))</f>
        <v>#N/A</v>
      </c>
      <c r="K13" cm="1">
        <f t="array" ref="K13">IF(INDEX(auto_DataFlat_DataValue,K$8+$A13-1,1)="n/a","n/a",INDEX(auto_DataFlat_Classification,K$8+$A13-1,1))</f>
        <v>5</v>
      </c>
      <c r="L13" cm="1">
        <f t="array" ref="L13">IF(INDEX(auto_DataFlat_DataValue,L$8+$A13-1,1)="n/a","n/a",INDEX(auto_DataFlat_Classification,L$8+$A13-1,1))</f>
        <v>4</v>
      </c>
      <c r="M13" cm="1">
        <f t="array" ref="M13">IF(INDEX(auto_DataFlat_DataValue,M$8+$A13-1,1)="n/a","n/a",INDEX(auto_DataFlat_Classification,M$8+$A13-1,1))</f>
        <v>5</v>
      </c>
      <c r="N13" t="e" cm="1">
        <f t="array" ref="N13">IF(INDEX(auto_DataFlat_DataValue,N$8+$A13-1,1)="n/a","n/a",INDEX(auto_DataFlat_Classification,N$8+$A13-1,1))</f>
        <v>#N/A</v>
      </c>
      <c r="O13" t="e" cm="1">
        <f t="array" ref="O13">IF(INDEX(auto_DataFlat_DataValue,O$8+$A13-1,1)="n/a","n/a",INDEX(auto_DataFlat_Classification,O$8+$A13-1,1))</f>
        <v>#N/A</v>
      </c>
      <c r="P13" t="e" cm="1">
        <f t="array" ref="P13">IF(INDEX(auto_DataFlat_DataValue,P$8+$A13-1,1)="n/a","n/a",INDEX(auto_DataFlat_Classification,P$8+$A13-1,1))</f>
        <v>#N/A</v>
      </c>
      <c r="R13" t="e">
        <f t="shared" si="4"/>
        <v>#N/A</v>
      </c>
      <c r="S13" t="e">
        <f t="shared" si="5"/>
        <v>#N/A</v>
      </c>
      <c r="T13" t="e">
        <f>RANK(S13,$S$9:$S$36)+COUNTIF(S$9:S13,S13)-1</f>
        <v>#N/A</v>
      </c>
      <c r="U13" t="e">
        <f t="shared" si="6"/>
        <v>#N/A</v>
      </c>
      <c r="V13" t="e" cm="1">
        <f t="array" ref="V13">INDEX($B$9:$B$36,U13)</f>
        <v>#N/A</v>
      </c>
      <c r="W13" t="e" cm="1">
        <f t="array" ref="W13">INDEX($S$9:$S$36,$U13)</f>
        <v>#N/A</v>
      </c>
      <c r="X13" t="e" cm="1">
        <f t="array" ref="X13">INDEX(D$9:D$36,$U13)</f>
        <v>#N/A</v>
      </c>
      <c r="Y13" t="e" cm="1">
        <f t="array" ref="Y13">INDEX(E$9:E$36,$U13)</f>
        <v>#N/A</v>
      </c>
      <c r="Z13" t="e" cm="1">
        <f t="array" ref="Z13">INDEX(F$9:F$36,$U13)</f>
        <v>#N/A</v>
      </c>
      <c r="AA13" t="e" cm="1">
        <f t="array" ref="AA13">INDEX(G$9:G$36,$U13)</f>
        <v>#N/A</v>
      </c>
      <c r="AB13" t="e" cm="1">
        <f t="array" ref="AB13">INDEX(H$9:H$36,$U13)</f>
        <v>#N/A</v>
      </c>
      <c r="AC13" t="e" cm="1">
        <f t="array" ref="AC13">INDEX(I$9:I$36,$U13)</f>
        <v>#N/A</v>
      </c>
      <c r="AE13" t="e" cm="1">
        <f t="array" ref="AE13">INDEX(K$9:K$36,$U13)</f>
        <v>#N/A</v>
      </c>
      <c r="AF13" t="e" cm="1">
        <f t="array" ref="AF13">INDEX(L$9:L$36,$U13)</f>
        <v>#N/A</v>
      </c>
      <c r="AG13" t="e" cm="1">
        <f t="array" ref="AG13">INDEX(M$9:M$36,$U13)</f>
        <v>#N/A</v>
      </c>
      <c r="AH13" t="e" cm="1">
        <f t="array" ref="AH13">INDEX(N$9:N$36,$U13)</f>
        <v>#N/A</v>
      </c>
      <c r="AI13" t="e" cm="1">
        <f t="array" ref="AI13">INDEX(O$9:O$36,$U13)</f>
        <v>#N/A</v>
      </c>
      <c r="AJ13" t="e" cm="1">
        <f t="array" ref="AJ13">INDEX(P$9:P$36,$U13)</f>
        <v>#N/A</v>
      </c>
    </row>
    <row r="14" spans="1:36" x14ac:dyDescent="0.4">
      <c r="A14">
        <v>6</v>
      </c>
      <c r="B14" t="str" cm="1">
        <f t="array" ref="B14">INDEX(auto_ddCountry,A14)</f>
        <v>Beijing</v>
      </c>
      <c r="D14" cm="1">
        <f t="array" ref="D14">IF(INDEX(auto_DataFlat_DataValue,K$8+$A14-1,1)="n/a","n/a",INDEX(auto_DataFlat_Score,D$8+$A14-1,1))</f>
        <v>92.9</v>
      </c>
      <c r="E14" cm="1">
        <f t="array" ref="E14">IF(INDEX(auto_DataFlat_DataValue,L$8+$A14-1,1)="n/a","n/a",INDEX(auto_DataFlat_Score,E$8+$A14-1,1))</f>
        <v>61.4</v>
      </c>
      <c r="F14" cm="1">
        <f t="array" ref="F14">IF(INDEX(auto_DataFlat_DataValue,M$8+$A14-1,1)="n/a","n/a",INDEX(auto_DataFlat_Score,F$8+$A14-1,1))</f>
        <v>50</v>
      </c>
      <c r="G14" t="e" cm="1">
        <f t="array" ref="G14">IF(INDEX(auto_DataFlat_DataValue,N$8+$A14-1,1)="n/a","n/a",INDEX(auto_DataFlat_Score,G$8+$A14-1,1))</f>
        <v>#N/A</v>
      </c>
      <c r="H14" t="e" cm="1">
        <f t="array" ref="H14">IF(INDEX(auto_DataFlat_DataValue,O$8+$A14-1,1)="n/a","n/a",INDEX(auto_DataFlat_Score,H$8+$A14-1,1))</f>
        <v>#N/A</v>
      </c>
      <c r="I14" t="e" cm="1">
        <f t="array" ref="I14">IF(INDEX(auto_DataFlat_DataValue,P$8+$A14-1,1)="n/a","n/a",INDEX(auto_DataFlat_Score,I$8+$A14-1,1))</f>
        <v>#N/A</v>
      </c>
      <c r="K14" cm="1">
        <f t="array" ref="K14">IF(INDEX(auto_DataFlat_DataValue,K$8+$A14-1,1)="n/a","n/a",INDEX(auto_DataFlat_Classification,K$8+$A14-1,1))</f>
        <v>5</v>
      </c>
      <c r="L14" cm="1">
        <f t="array" ref="L14">IF(INDEX(auto_DataFlat_DataValue,L$8+$A14-1,1)="n/a","n/a",INDEX(auto_DataFlat_Classification,L$8+$A14-1,1))</f>
        <v>4</v>
      </c>
      <c r="M14" cm="1">
        <f t="array" ref="M14">IF(INDEX(auto_DataFlat_DataValue,M$8+$A14-1,1)="n/a","n/a",INDEX(auto_DataFlat_Classification,M$8+$A14-1,1))</f>
        <v>3</v>
      </c>
      <c r="N14" t="e" cm="1">
        <f t="array" ref="N14">IF(INDEX(auto_DataFlat_DataValue,N$8+$A14-1,1)="n/a","n/a",INDEX(auto_DataFlat_Classification,N$8+$A14-1,1))</f>
        <v>#N/A</v>
      </c>
      <c r="O14" t="e" cm="1">
        <f t="array" ref="O14">IF(INDEX(auto_DataFlat_DataValue,O$8+$A14-1,1)="n/a","n/a",INDEX(auto_DataFlat_Classification,O$8+$A14-1,1))</f>
        <v>#N/A</v>
      </c>
      <c r="P14" t="e" cm="1">
        <f t="array" ref="P14">IF(INDEX(auto_DataFlat_DataValue,P$8+$A14-1,1)="n/a","n/a",INDEX(auto_DataFlat_Classification,P$8+$A14-1,1))</f>
        <v>#N/A</v>
      </c>
      <c r="R14" t="e">
        <f t="shared" si="4"/>
        <v>#N/A</v>
      </c>
      <c r="S14" t="e">
        <f t="shared" si="5"/>
        <v>#N/A</v>
      </c>
      <c r="T14" t="e">
        <f>RANK(S14,$S$9:$S$36)+COUNTIF(S$9:S14,S14)-1</f>
        <v>#N/A</v>
      </c>
      <c r="U14" t="e">
        <f t="shared" si="6"/>
        <v>#N/A</v>
      </c>
      <c r="V14" t="e" cm="1">
        <f t="array" ref="V14">INDEX($B$9:$B$36,U14)</f>
        <v>#N/A</v>
      </c>
      <c r="W14" t="e" cm="1">
        <f t="array" ref="W14">INDEX($S$9:$S$36,$U14)</f>
        <v>#N/A</v>
      </c>
      <c r="X14" t="e" cm="1">
        <f t="array" ref="X14">INDEX(D$9:D$36,$U14)</f>
        <v>#N/A</v>
      </c>
      <c r="Y14" t="e" cm="1">
        <f t="array" ref="Y14">INDEX(E$9:E$36,$U14)</f>
        <v>#N/A</v>
      </c>
      <c r="Z14" t="e" cm="1">
        <f t="array" ref="Z14">INDEX(F$9:F$36,$U14)</f>
        <v>#N/A</v>
      </c>
      <c r="AA14" t="e" cm="1">
        <f t="array" ref="AA14">INDEX(G$9:G$36,$U14)</f>
        <v>#N/A</v>
      </c>
      <c r="AB14" t="e" cm="1">
        <f t="array" ref="AB14">INDEX(H$9:H$36,$U14)</f>
        <v>#N/A</v>
      </c>
      <c r="AC14" t="e" cm="1">
        <f t="array" ref="AC14">INDEX(I$9:I$36,$U14)</f>
        <v>#N/A</v>
      </c>
      <c r="AE14" t="e" cm="1">
        <f t="array" ref="AE14">INDEX(K$9:K$36,$U14)</f>
        <v>#N/A</v>
      </c>
      <c r="AF14" t="e" cm="1">
        <f t="array" ref="AF14">INDEX(L$9:L$36,$U14)</f>
        <v>#N/A</v>
      </c>
      <c r="AG14" t="e" cm="1">
        <f t="array" ref="AG14">INDEX(M$9:M$36,$U14)</f>
        <v>#N/A</v>
      </c>
      <c r="AH14" t="e" cm="1">
        <f t="array" ref="AH14">INDEX(N$9:N$36,$U14)</f>
        <v>#N/A</v>
      </c>
      <c r="AI14" t="e" cm="1">
        <f t="array" ref="AI14">INDEX(O$9:O$36,$U14)</f>
        <v>#N/A</v>
      </c>
      <c r="AJ14" t="e" cm="1">
        <f t="array" ref="AJ14">INDEX(P$9:P$36,$U14)</f>
        <v>#N/A</v>
      </c>
    </row>
    <row r="15" spans="1:36" x14ac:dyDescent="0.4">
      <c r="A15">
        <v>7</v>
      </c>
      <c r="B15" t="str" cm="1">
        <f t="array" ref="B15">INDEX(auto_ddCountry,A15)</f>
        <v>Berlin</v>
      </c>
      <c r="D15" cm="1">
        <f t="array" ref="D15">IF(INDEX(auto_DataFlat_DataValue,K$8+$A15-1,1)="n/a","n/a",INDEX(auto_DataFlat_Score,D$8+$A15-1,1))</f>
        <v>78.900000000000006</v>
      </c>
      <c r="E15" cm="1">
        <f t="array" ref="E15">IF(INDEX(auto_DataFlat_DataValue,L$8+$A15-1,1)="n/a","n/a",INDEX(auto_DataFlat_Score,E$8+$A15-1,1))</f>
        <v>35.200000000000003</v>
      </c>
      <c r="F15" cm="1">
        <f t="array" ref="F15">IF(INDEX(auto_DataFlat_DataValue,M$8+$A15-1,1)="n/a","n/a",INDEX(auto_DataFlat_Score,F$8+$A15-1,1))</f>
        <v>75</v>
      </c>
      <c r="G15" t="e" cm="1">
        <f t="array" ref="G15">IF(INDEX(auto_DataFlat_DataValue,N$8+$A15-1,1)="n/a","n/a",INDEX(auto_DataFlat_Score,G$8+$A15-1,1))</f>
        <v>#N/A</v>
      </c>
      <c r="H15" t="e" cm="1">
        <f t="array" ref="H15">IF(INDEX(auto_DataFlat_DataValue,O$8+$A15-1,1)="n/a","n/a",INDEX(auto_DataFlat_Score,H$8+$A15-1,1))</f>
        <v>#N/A</v>
      </c>
      <c r="I15" t="e" cm="1">
        <f t="array" ref="I15">IF(INDEX(auto_DataFlat_DataValue,P$8+$A15-1,1)="n/a","n/a",INDEX(auto_DataFlat_Score,I$8+$A15-1,1))</f>
        <v>#N/A</v>
      </c>
      <c r="K15" cm="1">
        <f t="array" ref="K15">IF(INDEX(auto_DataFlat_DataValue,K$8+$A15-1,1)="n/a","n/a",INDEX(auto_DataFlat_Classification,K$8+$A15-1,1))</f>
        <v>4</v>
      </c>
      <c r="L15" cm="1">
        <f t="array" ref="L15">IF(INDEX(auto_DataFlat_DataValue,L$8+$A15-1,1)="n/a","n/a",INDEX(auto_DataFlat_Classification,L$8+$A15-1,1))</f>
        <v>2</v>
      </c>
      <c r="M15" cm="1">
        <f t="array" ref="M15">IF(INDEX(auto_DataFlat_DataValue,M$8+$A15-1,1)="n/a","n/a",INDEX(auto_DataFlat_Classification,M$8+$A15-1,1))</f>
        <v>4</v>
      </c>
      <c r="N15" t="e" cm="1">
        <f t="array" ref="N15">IF(INDEX(auto_DataFlat_DataValue,N$8+$A15-1,1)="n/a","n/a",INDEX(auto_DataFlat_Classification,N$8+$A15-1,1))</f>
        <v>#N/A</v>
      </c>
      <c r="O15" t="e" cm="1">
        <f t="array" ref="O15">IF(INDEX(auto_DataFlat_DataValue,O$8+$A15-1,1)="n/a","n/a",INDEX(auto_DataFlat_Classification,O$8+$A15-1,1))</f>
        <v>#N/A</v>
      </c>
      <c r="P15" t="e" cm="1">
        <f t="array" ref="P15">IF(INDEX(auto_DataFlat_DataValue,P$8+$A15-1,1)="n/a","n/a",INDEX(auto_DataFlat_Classification,P$8+$A15-1,1))</f>
        <v>#N/A</v>
      </c>
      <c r="R15" t="e">
        <f t="shared" si="4"/>
        <v>#N/A</v>
      </c>
      <c r="S15" t="e">
        <f t="shared" si="5"/>
        <v>#N/A</v>
      </c>
      <c r="T15" t="e">
        <f>RANK(S15,$S$9:$S$36)+COUNTIF(S$9:S15,S15)-1</f>
        <v>#N/A</v>
      </c>
      <c r="U15" t="e">
        <f t="shared" si="6"/>
        <v>#N/A</v>
      </c>
      <c r="V15" t="e" cm="1">
        <f t="array" ref="V15">INDEX($B$9:$B$36,U15)</f>
        <v>#N/A</v>
      </c>
      <c r="W15" t="e" cm="1">
        <f t="array" ref="W15">INDEX($S$9:$S$36,$U15)</f>
        <v>#N/A</v>
      </c>
      <c r="X15" t="e" cm="1">
        <f t="array" ref="X15">INDEX(D$9:D$36,$U15)</f>
        <v>#N/A</v>
      </c>
      <c r="Y15" t="e" cm="1">
        <f t="array" ref="Y15">INDEX(E$9:E$36,$U15)</f>
        <v>#N/A</v>
      </c>
      <c r="Z15" t="e" cm="1">
        <f t="array" ref="Z15">INDEX(F$9:F$36,$U15)</f>
        <v>#N/A</v>
      </c>
      <c r="AA15" t="e" cm="1">
        <f t="array" ref="AA15">INDEX(G$9:G$36,$U15)</f>
        <v>#N/A</v>
      </c>
      <c r="AB15" t="e" cm="1">
        <f t="array" ref="AB15">INDEX(H$9:H$36,$U15)</f>
        <v>#N/A</v>
      </c>
      <c r="AC15" t="e" cm="1">
        <f t="array" ref="AC15">INDEX(I$9:I$36,$U15)</f>
        <v>#N/A</v>
      </c>
      <c r="AE15" t="e" cm="1">
        <f t="array" ref="AE15">INDEX(K$9:K$36,$U15)</f>
        <v>#N/A</v>
      </c>
      <c r="AF15" t="e" cm="1">
        <f t="array" ref="AF15">INDEX(L$9:L$36,$U15)</f>
        <v>#N/A</v>
      </c>
      <c r="AG15" t="e" cm="1">
        <f t="array" ref="AG15">INDEX(M$9:M$36,$U15)</f>
        <v>#N/A</v>
      </c>
      <c r="AH15" t="e" cm="1">
        <f t="array" ref="AH15">INDEX(N$9:N$36,$U15)</f>
        <v>#N/A</v>
      </c>
      <c r="AI15" t="e" cm="1">
        <f t="array" ref="AI15">INDEX(O$9:O$36,$U15)</f>
        <v>#N/A</v>
      </c>
      <c r="AJ15" t="e" cm="1">
        <f t="array" ref="AJ15">INDEX(P$9:P$36,$U15)</f>
        <v>#N/A</v>
      </c>
    </row>
    <row r="16" spans="1:36" x14ac:dyDescent="0.4">
      <c r="A16">
        <v>8</v>
      </c>
      <c r="B16" t="str" cm="1">
        <f t="array" ref="B16">INDEX(auto_ddCountry,A16)</f>
        <v>Bogotá</v>
      </c>
      <c r="D16" cm="1">
        <f t="array" ref="D16">IF(INDEX(auto_DataFlat_DataValue,K$8+$A16-1,1)="n/a","n/a",INDEX(auto_DataFlat_Score,D$8+$A16-1,1))</f>
        <v>78</v>
      </c>
      <c r="E16" cm="1">
        <f t="array" ref="E16">IF(INDEX(auto_DataFlat_DataValue,L$8+$A16-1,1)="n/a","n/a",INDEX(auto_DataFlat_Score,E$8+$A16-1,1))</f>
        <v>34.5</v>
      </c>
      <c r="F16" cm="1">
        <f t="array" ref="F16">IF(INDEX(auto_DataFlat_DataValue,M$8+$A16-1,1)="n/a","n/a",INDEX(auto_DataFlat_Score,F$8+$A16-1,1))</f>
        <v>75</v>
      </c>
      <c r="G16" t="e" cm="1">
        <f t="array" ref="G16">IF(INDEX(auto_DataFlat_DataValue,N$8+$A16-1,1)="n/a","n/a",INDEX(auto_DataFlat_Score,G$8+$A16-1,1))</f>
        <v>#N/A</v>
      </c>
      <c r="H16" t="e" cm="1">
        <f t="array" ref="H16">IF(INDEX(auto_DataFlat_DataValue,O$8+$A16-1,1)="n/a","n/a",INDEX(auto_DataFlat_Score,H$8+$A16-1,1))</f>
        <v>#N/A</v>
      </c>
      <c r="I16" t="e" cm="1">
        <f t="array" ref="I16">IF(INDEX(auto_DataFlat_DataValue,P$8+$A16-1,1)="n/a","n/a",INDEX(auto_DataFlat_Score,I$8+$A16-1,1))</f>
        <v>#N/A</v>
      </c>
      <c r="K16" cm="1">
        <f t="array" ref="K16">IF(INDEX(auto_DataFlat_DataValue,K$8+$A16-1,1)="n/a","n/a",INDEX(auto_DataFlat_Classification,K$8+$A16-1,1))</f>
        <v>4</v>
      </c>
      <c r="L16" cm="1">
        <f t="array" ref="L16">IF(INDEX(auto_DataFlat_DataValue,L$8+$A16-1,1)="n/a","n/a",INDEX(auto_DataFlat_Classification,L$8+$A16-1,1))</f>
        <v>2</v>
      </c>
      <c r="M16" cm="1">
        <f t="array" ref="M16">IF(INDEX(auto_DataFlat_DataValue,M$8+$A16-1,1)="n/a","n/a",INDEX(auto_DataFlat_Classification,M$8+$A16-1,1))</f>
        <v>4</v>
      </c>
      <c r="N16" t="e" cm="1">
        <f t="array" ref="N16">IF(INDEX(auto_DataFlat_DataValue,N$8+$A16-1,1)="n/a","n/a",INDEX(auto_DataFlat_Classification,N$8+$A16-1,1))</f>
        <v>#N/A</v>
      </c>
      <c r="O16" t="e" cm="1">
        <f t="array" ref="O16">IF(INDEX(auto_DataFlat_DataValue,O$8+$A16-1,1)="n/a","n/a",INDEX(auto_DataFlat_Classification,O$8+$A16-1,1))</f>
        <v>#N/A</v>
      </c>
      <c r="P16" t="e" cm="1">
        <f t="array" ref="P16">IF(INDEX(auto_DataFlat_DataValue,P$8+$A16-1,1)="n/a","n/a",INDEX(auto_DataFlat_Classification,P$8+$A16-1,1))</f>
        <v>#N/A</v>
      </c>
      <c r="R16" t="e">
        <f t="shared" si="4"/>
        <v>#N/A</v>
      </c>
      <c r="S16" t="e">
        <f t="shared" si="5"/>
        <v>#N/A</v>
      </c>
      <c r="T16" t="e">
        <f>RANK(S16,$S$9:$S$36)+COUNTIF(S$9:S16,S16)-1</f>
        <v>#N/A</v>
      </c>
      <c r="U16" t="e">
        <f t="shared" si="6"/>
        <v>#N/A</v>
      </c>
      <c r="V16" t="e" cm="1">
        <f t="array" ref="V16">INDEX($B$9:$B$36,U16)</f>
        <v>#N/A</v>
      </c>
      <c r="W16" t="e" cm="1">
        <f t="array" ref="W16">INDEX($S$9:$S$36,$U16)</f>
        <v>#N/A</v>
      </c>
      <c r="X16" t="e" cm="1">
        <f t="array" ref="X16">INDEX(D$9:D$36,$U16)</f>
        <v>#N/A</v>
      </c>
      <c r="Y16" t="e" cm="1">
        <f t="array" ref="Y16">INDEX(E$9:E$36,$U16)</f>
        <v>#N/A</v>
      </c>
      <c r="Z16" t="e" cm="1">
        <f t="array" ref="Z16">INDEX(F$9:F$36,$U16)</f>
        <v>#N/A</v>
      </c>
      <c r="AA16" t="e" cm="1">
        <f t="array" ref="AA16">INDEX(G$9:G$36,$U16)</f>
        <v>#N/A</v>
      </c>
      <c r="AB16" t="e" cm="1">
        <f t="array" ref="AB16">INDEX(H$9:H$36,$U16)</f>
        <v>#N/A</v>
      </c>
      <c r="AC16" t="e" cm="1">
        <f t="array" ref="AC16">INDEX(I$9:I$36,$U16)</f>
        <v>#N/A</v>
      </c>
      <c r="AE16" t="e" cm="1">
        <f t="array" ref="AE16">INDEX(K$9:K$36,$U16)</f>
        <v>#N/A</v>
      </c>
      <c r="AF16" t="e" cm="1">
        <f t="array" ref="AF16">INDEX(L$9:L$36,$U16)</f>
        <v>#N/A</v>
      </c>
      <c r="AG16" t="e" cm="1">
        <f t="array" ref="AG16">INDEX(M$9:M$36,$U16)</f>
        <v>#N/A</v>
      </c>
      <c r="AH16" t="e" cm="1">
        <f t="array" ref="AH16">INDEX(N$9:N$36,$U16)</f>
        <v>#N/A</v>
      </c>
      <c r="AI16" t="e" cm="1">
        <f t="array" ref="AI16">INDEX(O$9:O$36,$U16)</f>
        <v>#N/A</v>
      </c>
      <c r="AJ16" t="e" cm="1">
        <f t="array" ref="AJ16">INDEX(P$9:P$36,$U16)</f>
        <v>#N/A</v>
      </c>
    </row>
    <row r="17" spans="1:36" x14ac:dyDescent="0.4">
      <c r="A17">
        <v>9</v>
      </c>
      <c r="B17" t="str" cm="1">
        <f t="array" ref="B17">INDEX(auto_ddCountry,A17)</f>
        <v>Budapest</v>
      </c>
      <c r="D17" cm="1">
        <f t="array" ref="D17">IF(INDEX(auto_DataFlat_DataValue,K$8+$A17-1,1)="n/a","n/a",INDEX(auto_DataFlat_Score,D$8+$A17-1,1))</f>
        <v>80.7</v>
      </c>
      <c r="E17" cm="1">
        <f t="array" ref="E17">IF(INDEX(auto_DataFlat_DataValue,L$8+$A17-1,1)="n/a","n/a",INDEX(auto_DataFlat_Score,E$8+$A17-1,1))</f>
        <v>50.9</v>
      </c>
      <c r="F17" cm="1">
        <f t="array" ref="F17">IF(INDEX(auto_DataFlat_DataValue,M$8+$A17-1,1)="n/a","n/a",INDEX(auto_DataFlat_Score,F$8+$A17-1,1))</f>
        <v>100</v>
      </c>
      <c r="G17" t="e" cm="1">
        <f t="array" ref="G17">IF(INDEX(auto_DataFlat_DataValue,N$8+$A17-1,1)="n/a","n/a",INDEX(auto_DataFlat_Score,G$8+$A17-1,1))</f>
        <v>#N/A</v>
      </c>
      <c r="H17" t="e" cm="1">
        <f t="array" ref="H17">IF(INDEX(auto_DataFlat_DataValue,O$8+$A17-1,1)="n/a","n/a",INDEX(auto_DataFlat_Score,H$8+$A17-1,1))</f>
        <v>#N/A</v>
      </c>
      <c r="I17" t="e" cm="1">
        <f t="array" ref="I17">IF(INDEX(auto_DataFlat_DataValue,P$8+$A17-1,1)="n/a","n/a",INDEX(auto_DataFlat_Score,I$8+$A17-1,1))</f>
        <v>#N/A</v>
      </c>
      <c r="K17" cm="1">
        <f t="array" ref="K17">IF(INDEX(auto_DataFlat_DataValue,K$8+$A17-1,1)="n/a","n/a",INDEX(auto_DataFlat_Classification,K$8+$A17-1,1))</f>
        <v>5</v>
      </c>
      <c r="L17" cm="1">
        <f t="array" ref="L17">IF(INDEX(auto_DataFlat_DataValue,L$8+$A17-1,1)="n/a","n/a",INDEX(auto_DataFlat_Classification,L$8+$A17-1,1))</f>
        <v>3</v>
      </c>
      <c r="M17" cm="1">
        <f t="array" ref="M17">IF(INDEX(auto_DataFlat_DataValue,M$8+$A17-1,1)="n/a","n/a",INDEX(auto_DataFlat_Classification,M$8+$A17-1,1))</f>
        <v>5</v>
      </c>
      <c r="N17" t="e" cm="1">
        <f t="array" ref="N17">IF(INDEX(auto_DataFlat_DataValue,N$8+$A17-1,1)="n/a","n/a",INDEX(auto_DataFlat_Classification,N$8+$A17-1,1))</f>
        <v>#N/A</v>
      </c>
      <c r="O17" t="e" cm="1">
        <f t="array" ref="O17">IF(INDEX(auto_DataFlat_DataValue,O$8+$A17-1,1)="n/a","n/a",INDEX(auto_DataFlat_Classification,O$8+$A17-1,1))</f>
        <v>#N/A</v>
      </c>
      <c r="P17" t="e" cm="1">
        <f t="array" ref="P17">IF(INDEX(auto_DataFlat_DataValue,P$8+$A17-1,1)="n/a","n/a",INDEX(auto_DataFlat_Classification,P$8+$A17-1,1))</f>
        <v>#N/A</v>
      </c>
      <c r="R17" t="e">
        <f t="shared" si="4"/>
        <v>#N/A</v>
      </c>
      <c r="S17" t="e">
        <f t="shared" si="5"/>
        <v>#N/A</v>
      </c>
      <c r="T17" t="e">
        <f>RANK(S17,$S$9:$S$36)+COUNTIF(S$9:S17,S17)-1</f>
        <v>#N/A</v>
      </c>
      <c r="U17" t="e">
        <f t="shared" si="6"/>
        <v>#N/A</v>
      </c>
      <c r="V17" t="e" cm="1">
        <f t="array" ref="V17">INDEX($B$9:$B$36,U17)</f>
        <v>#N/A</v>
      </c>
      <c r="W17" t="e" cm="1">
        <f t="array" ref="W17">INDEX($S$9:$S$36,$U17)</f>
        <v>#N/A</v>
      </c>
      <c r="X17" t="e" cm="1">
        <f t="array" ref="X17">INDEX(D$9:D$36,$U17)</f>
        <v>#N/A</v>
      </c>
      <c r="Y17" t="e" cm="1">
        <f t="array" ref="Y17">INDEX(E$9:E$36,$U17)</f>
        <v>#N/A</v>
      </c>
      <c r="Z17" t="e" cm="1">
        <f t="array" ref="Z17">INDEX(F$9:F$36,$U17)</f>
        <v>#N/A</v>
      </c>
      <c r="AA17" t="e" cm="1">
        <f t="array" ref="AA17">INDEX(G$9:G$36,$U17)</f>
        <v>#N/A</v>
      </c>
      <c r="AB17" t="e" cm="1">
        <f t="array" ref="AB17">INDEX(H$9:H$36,$U17)</f>
        <v>#N/A</v>
      </c>
      <c r="AC17" t="e" cm="1">
        <f t="array" ref="AC17">INDEX(I$9:I$36,$U17)</f>
        <v>#N/A</v>
      </c>
      <c r="AE17" t="e" cm="1">
        <f t="array" ref="AE17">INDEX(K$9:K$36,$U17)</f>
        <v>#N/A</v>
      </c>
      <c r="AF17" t="e" cm="1">
        <f t="array" ref="AF17">INDEX(L$9:L$36,$U17)</f>
        <v>#N/A</v>
      </c>
      <c r="AG17" t="e" cm="1">
        <f t="array" ref="AG17">INDEX(M$9:M$36,$U17)</f>
        <v>#N/A</v>
      </c>
      <c r="AH17" t="e" cm="1">
        <f t="array" ref="AH17">INDEX(N$9:N$36,$U17)</f>
        <v>#N/A</v>
      </c>
      <c r="AI17" t="e" cm="1">
        <f t="array" ref="AI17">INDEX(O$9:O$36,$U17)</f>
        <v>#N/A</v>
      </c>
      <c r="AJ17" t="e" cm="1">
        <f t="array" ref="AJ17">INDEX(P$9:P$36,$U17)</f>
        <v>#N/A</v>
      </c>
    </row>
    <row r="18" spans="1:36" x14ac:dyDescent="0.4">
      <c r="A18">
        <v>10</v>
      </c>
      <c r="B18" t="str" cm="1">
        <f t="array" ref="B18">INDEX(auto_ddCountry,A18)</f>
        <v>Cairo</v>
      </c>
      <c r="D18" cm="1">
        <f t="array" ref="D18">IF(INDEX(auto_DataFlat_DataValue,K$8+$A18-1,1)="n/a","n/a",INDEX(auto_DataFlat_Score,D$8+$A18-1,1))</f>
        <v>34.5</v>
      </c>
      <c r="E18" cm="1">
        <f t="array" ref="E18">IF(INDEX(auto_DataFlat_DataValue,L$8+$A18-1,1)="n/a","n/a",INDEX(auto_DataFlat_Score,E$8+$A18-1,1))</f>
        <v>55.9</v>
      </c>
      <c r="F18" cm="1">
        <f t="array" ref="F18">IF(INDEX(auto_DataFlat_DataValue,M$8+$A18-1,1)="n/a","n/a",INDEX(auto_DataFlat_Score,F$8+$A18-1,1))</f>
        <v>50</v>
      </c>
      <c r="G18" t="e" cm="1">
        <f t="array" ref="G18">IF(INDEX(auto_DataFlat_DataValue,N$8+$A18-1,1)="n/a","n/a",INDEX(auto_DataFlat_Score,G$8+$A18-1,1))</f>
        <v>#N/A</v>
      </c>
      <c r="H18" t="e" cm="1">
        <f t="array" ref="H18">IF(INDEX(auto_DataFlat_DataValue,O$8+$A18-1,1)="n/a","n/a",INDEX(auto_DataFlat_Score,H$8+$A18-1,1))</f>
        <v>#N/A</v>
      </c>
      <c r="I18" t="e" cm="1">
        <f t="array" ref="I18">IF(INDEX(auto_DataFlat_DataValue,P$8+$A18-1,1)="n/a","n/a",INDEX(auto_DataFlat_Score,I$8+$A18-1,1))</f>
        <v>#N/A</v>
      </c>
      <c r="K18" cm="1">
        <f t="array" ref="K18">IF(INDEX(auto_DataFlat_DataValue,K$8+$A18-1,1)="n/a","n/a",INDEX(auto_DataFlat_Classification,K$8+$A18-1,1))</f>
        <v>2</v>
      </c>
      <c r="L18" cm="1">
        <f t="array" ref="L18">IF(INDEX(auto_DataFlat_DataValue,L$8+$A18-1,1)="n/a","n/a",INDEX(auto_DataFlat_Classification,L$8+$A18-1,1))</f>
        <v>3</v>
      </c>
      <c r="M18" cm="1">
        <f t="array" ref="M18">IF(INDEX(auto_DataFlat_DataValue,M$8+$A18-1,1)="n/a","n/a",INDEX(auto_DataFlat_Classification,M$8+$A18-1,1))</f>
        <v>3</v>
      </c>
      <c r="N18" t="e" cm="1">
        <f t="array" ref="N18">IF(INDEX(auto_DataFlat_DataValue,N$8+$A18-1,1)="n/a","n/a",INDEX(auto_DataFlat_Classification,N$8+$A18-1,1))</f>
        <v>#N/A</v>
      </c>
      <c r="O18" t="e" cm="1">
        <f t="array" ref="O18">IF(INDEX(auto_DataFlat_DataValue,O$8+$A18-1,1)="n/a","n/a",INDEX(auto_DataFlat_Classification,O$8+$A18-1,1))</f>
        <v>#N/A</v>
      </c>
      <c r="P18" t="e" cm="1">
        <f t="array" ref="P18">IF(INDEX(auto_DataFlat_DataValue,P$8+$A18-1,1)="n/a","n/a",INDEX(auto_DataFlat_Classification,P$8+$A18-1,1))</f>
        <v>#N/A</v>
      </c>
      <c r="R18" t="e">
        <f t="shared" si="4"/>
        <v>#N/A</v>
      </c>
      <c r="S18" t="e">
        <f t="shared" si="5"/>
        <v>#N/A</v>
      </c>
      <c r="T18" t="e">
        <f>RANK(S18,$S$9:$S$36)+COUNTIF(S$9:S18,S18)-1</f>
        <v>#N/A</v>
      </c>
      <c r="U18" t="e">
        <f t="shared" si="6"/>
        <v>#N/A</v>
      </c>
      <c r="V18" t="e" cm="1">
        <f t="array" ref="V18">INDEX($B$9:$B$36,U18)</f>
        <v>#N/A</v>
      </c>
      <c r="W18" t="e" cm="1">
        <f t="array" ref="W18">INDEX($S$9:$S$36,$U18)</f>
        <v>#N/A</v>
      </c>
      <c r="X18" t="e" cm="1">
        <f t="array" ref="X18">INDEX(D$9:D$36,$U18)</f>
        <v>#N/A</v>
      </c>
      <c r="Y18" t="e" cm="1">
        <f t="array" ref="Y18">INDEX(E$9:E$36,$U18)</f>
        <v>#N/A</v>
      </c>
      <c r="Z18" t="e" cm="1">
        <f t="array" ref="Z18">INDEX(F$9:F$36,$U18)</f>
        <v>#N/A</v>
      </c>
      <c r="AA18" t="e" cm="1">
        <f t="array" ref="AA18">INDEX(G$9:G$36,$U18)</f>
        <v>#N/A</v>
      </c>
      <c r="AB18" t="e" cm="1">
        <f t="array" ref="AB18">INDEX(H$9:H$36,$U18)</f>
        <v>#N/A</v>
      </c>
      <c r="AC18" t="e" cm="1">
        <f t="array" ref="AC18">INDEX(I$9:I$36,$U18)</f>
        <v>#N/A</v>
      </c>
      <c r="AE18" t="e" cm="1">
        <f t="array" ref="AE18">INDEX(K$9:K$36,$U18)</f>
        <v>#N/A</v>
      </c>
      <c r="AF18" t="e" cm="1">
        <f t="array" ref="AF18">INDEX(L$9:L$36,$U18)</f>
        <v>#N/A</v>
      </c>
      <c r="AG18" t="e" cm="1">
        <f t="array" ref="AG18">INDEX(M$9:M$36,$U18)</f>
        <v>#N/A</v>
      </c>
      <c r="AH18" t="e" cm="1">
        <f t="array" ref="AH18">INDEX(N$9:N$36,$U18)</f>
        <v>#N/A</v>
      </c>
      <c r="AI18" t="e" cm="1">
        <f t="array" ref="AI18">INDEX(O$9:O$36,$U18)</f>
        <v>#N/A</v>
      </c>
      <c r="AJ18" t="e" cm="1">
        <f t="array" ref="AJ18">INDEX(P$9:P$36,$U18)</f>
        <v>#N/A</v>
      </c>
    </row>
    <row r="19" spans="1:36" x14ac:dyDescent="0.4">
      <c r="A19">
        <v>11</v>
      </c>
      <c r="B19" t="str" cm="1">
        <f t="array" ref="B19">INDEX(auto_ddCountry,A19)</f>
        <v>Colombo</v>
      </c>
      <c r="D19" cm="1">
        <f t="array" ref="D19">IF(INDEX(auto_DataFlat_DataValue,K$8+$A19-1,1)="n/a","n/a",INDEX(auto_DataFlat_Score,D$8+$A19-1,1))</f>
        <v>35.5</v>
      </c>
      <c r="E19" cm="1">
        <f t="array" ref="E19">IF(INDEX(auto_DataFlat_DataValue,L$8+$A19-1,1)="n/a","n/a",INDEX(auto_DataFlat_Score,E$8+$A19-1,1))</f>
        <v>32.200000000000003</v>
      </c>
      <c r="F19" cm="1">
        <f t="array" ref="F19">IF(INDEX(auto_DataFlat_DataValue,M$8+$A19-1,1)="n/a","n/a",INDEX(auto_DataFlat_Score,F$8+$A19-1,1))</f>
        <v>100</v>
      </c>
      <c r="G19" t="e" cm="1">
        <f t="array" ref="G19">IF(INDEX(auto_DataFlat_DataValue,N$8+$A19-1,1)="n/a","n/a",INDEX(auto_DataFlat_Score,G$8+$A19-1,1))</f>
        <v>#N/A</v>
      </c>
      <c r="H19" t="e" cm="1">
        <f t="array" ref="H19">IF(INDEX(auto_DataFlat_DataValue,O$8+$A19-1,1)="n/a","n/a",INDEX(auto_DataFlat_Score,H$8+$A19-1,1))</f>
        <v>#N/A</v>
      </c>
      <c r="I19" t="e" cm="1">
        <f t="array" ref="I19">IF(INDEX(auto_DataFlat_DataValue,P$8+$A19-1,1)="n/a","n/a",INDEX(auto_DataFlat_Score,I$8+$A19-1,1))</f>
        <v>#N/A</v>
      </c>
      <c r="K19" cm="1">
        <f t="array" ref="K19">IF(INDEX(auto_DataFlat_DataValue,K$8+$A19-1,1)="n/a","n/a",INDEX(auto_DataFlat_Classification,K$8+$A19-1,1))</f>
        <v>2</v>
      </c>
      <c r="L19" cm="1">
        <f t="array" ref="L19">IF(INDEX(auto_DataFlat_DataValue,L$8+$A19-1,1)="n/a","n/a",INDEX(auto_DataFlat_Classification,L$8+$A19-1,1))</f>
        <v>2</v>
      </c>
      <c r="M19" cm="1">
        <f t="array" ref="M19">IF(INDEX(auto_DataFlat_DataValue,M$8+$A19-1,1)="n/a","n/a",INDEX(auto_DataFlat_Classification,M$8+$A19-1,1))</f>
        <v>5</v>
      </c>
      <c r="N19" t="e" cm="1">
        <f t="array" ref="N19">IF(INDEX(auto_DataFlat_DataValue,N$8+$A19-1,1)="n/a","n/a",INDEX(auto_DataFlat_Classification,N$8+$A19-1,1))</f>
        <v>#N/A</v>
      </c>
      <c r="O19" t="e" cm="1">
        <f t="array" ref="O19">IF(INDEX(auto_DataFlat_DataValue,O$8+$A19-1,1)="n/a","n/a",INDEX(auto_DataFlat_Classification,O$8+$A19-1,1))</f>
        <v>#N/A</v>
      </c>
      <c r="P19" t="e" cm="1">
        <f t="array" ref="P19">IF(INDEX(auto_DataFlat_DataValue,P$8+$A19-1,1)="n/a","n/a",INDEX(auto_DataFlat_Classification,P$8+$A19-1,1))</f>
        <v>#N/A</v>
      </c>
      <c r="R19" t="e">
        <f t="shared" si="4"/>
        <v>#N/A</v>
      </c>
      <c r="S19" t="e">
        <f t="shared" si="5"/>
        <v>#N/A</v>
      </c>
      <c r="T19" t="e">
        <f>RANK(S19,$S$9:$S$36)+COUNTIF(S$9:S19,S19)-1</f>
        <v>#N/A</v>
      </c>
      <c r="U19" t="e">
        <f t="shared" si="6"/>
        <v>#N/A</v>
      </c>
      <c r="V19" t="e" cm="1">
        <f t="array" ref="V19">INDEX($B$9:$B$36,U19)</f>
        <v>#N/A</v>
      </c>
      <c r="W19" t="e" cm="1">
        <f t="array" ref="W19">INDEX($S$9:$S$36,$U19)</f>
        <v>#N/A</v>
      </c>
      <c r="X19" t="e" cm="1">
        <f t="array" ref="X19">INDEX(D$9:D$36,$U19)</f>
        <v>#N/A</v>
      </c>
      <c r="Y19" t="e" cm="1">
        <f t="array" ref="Y19">INDEX(E$9:E$36,$U19)</f>
        <v>#N/A</v>
      </c>
      <c r="Z19" t="e" cm="1">
        <f t="array" ref="Z19">INDEX(F$9:F$36,$U19)</f>
        <v>#N/A</v>
      </c>
      <c r="AA19" t="e" cm="1">
        <f t="array" ref="AA19">INDEX(G$9:G$36,$U19)</f>
        <v>#N/A</v>
      </c>
      <c r="AB19" t="e" cm="1">
        <f t="array" ref="AB19">INDEX(H$9:H$36,$U19)</f>
        <v>#N/A</v>
      </c>
      <c r="AC19" t="e" cm="1">
        <f t="array" ref="AC19">INDEX(I$9:I$36,$U19)</f>
        <v>#N/A</v>
      </c>
      <c r="AE19" t="e" cm="1">
        <f t="array" ref="AE19">INDEX(K$9:K$36,$U19)</f>
        <v>#N/A</v>
      </c>
      <c r="AF19" t="e" cm="1">
        <f t="array" ref="AF19">INDEX(L$9:L$36,$U19)</f>
        <v>#N/A</v>
      </c>
      <c r="AG19" t="e" cm="1">
        <f t="array" ref="AG19">INDEX(M$9:M$36,$U19)</f>
        <v>#N/A</v>
      </c>
      <c r="AH19" t="e" cm="1">
        <f t="array" ref="AH19">INDEX(N$9:N$36,$U19)</f>
        <v>#N/A</v>
      </c>
      <c r="AI19" t="e" cm="1">
        <f t="array" ref="AI19">INDEX(O$9:O$36,$U19)</f>
        <v>#N/A</v>
      </c>
      <c r="AJ19" t="e" cm="1">
        <f t="array" ref="AJ19">INDEX(P$9:P$36,$U19)</f>
        <v>#N/A</v>
      </c>
    </row>
    <row r="20" spans="1:36" x14ac:dyDescent="0.4">
      <c r="A20">
        <v>12</v>
      </c>
      <c r="B20" t="str" cm="1">
        <f t="array" ref="B20">INDEX(auto_ddCountry,A20)</f>
        <v>Delhi</v>
      </c>
      <c r="D20" cm="1">
        <f t="array" ref="D20">IF(INDEX(auto_DataFlat_DataValue,K$8+$A20-1,1)="n/a","n/a",INDEX(auto_DataFlat_Score,D$8+$A20-1,1))</f>
        <v>33</v>
      </c>
      <c r="E20" cm="1">
        <f t="array" ref="E20">IF(INDEX(auto_DataFlat_DataValue,L$8+$A20-1,1)="n/a","n/a",INDEX(auto_DataFlat_Score,E$8+$A20-1,1))</f>
        <v>59.5</v>
      </c>
      <c r="F20" cm="1">
        <f t="array" ref="F20">IF(INDEX(auto_DataFlat_DataValue,M$8+$A20-1,1)="n/a","n/a",INDEX(auto_DataFlat_Score,F$8+$A20-1,1))</f>
        <v>100</v>
      </c>
      <c r="G20" t="e" cm="1">
        <f t="array" ref="G20">IF(INDEX(auto_DataFlat_DataValue,N$8+$A20-1,1)="n/a","n/a",INDEX(auto_DataFlat_Score,G$8+$A20-1,1))</f>
        <v>#N/A</v>
      </c>
      <c r="H20" t="e" cm="1">
        <f t="array" ref="H20">IF(INDEX(auto_DataFlat_DataValue,O$8+$A20-1,1)="n/a","n/a",INDEX(auto_DataFlat_Score,H$8+$A20-1,1))</f>
        <v>#N/A</v>
      </c>
      <c r="I20" t="e" cm="1">
        <f t="array" ref="I20">IF(INDEX(auto_DataFlat_DataValue,P$8+$A20-1,1)="n/a","n/a",INDEX(auto_DataFlat_Score,I$8+$A20-1,1))</f>
        <v>#N/A</v>
      </c>
      <c r="K20" cm="1">
        <f t="array" ref="K20">IF(INDEX(auto_DataFlat_DataValue,K$8+$A20-1,1)="n/a","n/a",INDEX(auto_DataFlat_Classification,K$8+$A20-1,1))</f>
        <v>2</v>
      </c>
      <c r="L20" cm="1">
        <f t="array" ref="L20">IF(INDEX(auto_DataFlat_DataValue,L$8+$A20-1,1)="n/a","n/a",INDEX(auto_DataFlat_Classification,L$8+$A20-1,1))</f>
        <v>3</v>
      </c>
      <c r="M20" cm="1">
        <f t="array" ref="M20">IF(INDEX(auto_DataFlat_DataValue,M$8+$A20-1,1)="n/a","n/a",INDEX(auto_DataFlat_Classification,M$8+$A20-1,1))</f>
        <v>5</v>
      </c>
      <c r="N20" t="e" cm="1">
        <f t="array" ref="N20">IF(INDEX(auto_DataFlat_DataValue,N$8+$A20-1,1)="n/a","n/a",INDEX(auto_DataFlat_Classification,N$8+$A20-1,1))</f>
        <v>#N/A</v>
      </c>
      <c r="O20" t="e" cm="1">
        <f t="array" ref="O20">IF(INDEX(auto_DataFlat_DataValue,O$8+$A20-1,1)="n/a","n/a",INDEX(auto_DataFlat_Classification,O$8+$A20-1,1))</f>
        <v>#N/A</v>
      </c>
      <c r="P20" t="e" cm="1">
        <f t="array" ref="P20">IF(INDEX(auto_DataFlat_DataValue,P$8+$A20-1,1)="n/a","n/a",INDEX(auto_DataFlat_Classification,P$8+$A20-1,1))</f>
        <v>#N/A</v>
      </c>
      <c r="R20" t="e">
        <f t="shared" si="4"/>
        <v>#N/A</v>
      </c>
      <c r="S20" t="e">
        <f t="shared" si="5"/>
        <v>#N/A</v>
      </c>
      <c r="T20" t="e">
        <f>RANK(S20,$S$9:$S$36)+COUNTIF(S$9:S20,S20)-1</f>
        <v>#N/A</v>
      </c>
      <c r="U20" t="e">
        <f t="shared" si="6"/>
        <v>#N/A</v>
      </c>
      <c r="V20" t="e" cm="1">
        <f t="array" ref="V20">INDEX($B$9:$B$36,U20)</f>
        <v>#N/A</v>
      </c>
      <c r="W20" t="e" cm="1">
        <f t="array" ref="W20">INDEX($S$9:$S$36,$U20)</f>
        <v>#N/A</v>
      </c>
      <c r="X20" t="e" cm="1">
        <f t="array" ref="X20">INDEX(D$9:D$36,$U20)</f>
        <v>#N/A</v>
      </c>
      <c r="Y20" t="e" cm="1">
        <f t="array" ref="Y20">INDEX(E$9:E$36,$U20)</f>
        <v>#N/A</v>
      </c>
      <c r="Z20" t="e" cm="1">
        <f t="array" ref="Z20">INDEX(F$9:F$36,$U20)</f>
        <v>#N/A</v>
      </c>
      <c r="AA20" t="e" cm="1">
        <f t="array" ref="AA20">INDEX(G$9:G$36,$U20)</f>
        <v>#N/A</v>
      </c>
      <c r="AB20" t="e" cm="1">
        <f t="array" ref="AB20">INDEX(H$9:H$36,$U20)</f>
        <v>#N/A</v>
      </c>
      <c r="AC20" t="e" cm="1">
        <f t="array" ref="AC20">INDEX(I$9:I$36,$U20)</f>
        <v>#N/A</v>
      </c>
      <c r="AE20" t="e" cm="1">
        <f t="array" ref="AE20">INDEX(K$9:K$36,$U20)</f>
        <v>#N/A</v>
      </c>
      <c r="AF20" t="e" cm="1">
        <f t="array" ref="AF20">INDEX(L$9:L$36,$U20)</f>
        <v>#N/A</v>
      </c>
      <c r="AG20" t="e" cm="1">
        <f t="array" ref="AG20">INDEX(M$9:M$36,$U20)</f>
        <v>#N/A</v>
      </c>
      <c r="AH20" t="e" cm="1">
        <f t="array" ref="AH20">INDEX(N$9:N$36,$U20)</f>
        <v>#N/A</v>
      </c>
      <c r="AI20" t="e" cm="1">
        <f t="array" ref="AI20">INDEX(O$9:O$36,$U20)</f>
        <v>#N/A</v>
      </c>
      <c r="AJ20" t="e" cm="1">
        <f t="array" ref="AJ20">INDEX(P$9:P$36,$U20)</f>
        <v>#N/A</v>
      </c>
    </row>
    <row r="21" spans="1:36" x14ac:dyDescent="0.4">
      <c r="A21">
        <v>13</v>
      </c>
      <c r="B21" t="str" cm="1">
        <f t="array" ref="B21">INDEX(auto_ddCountry,A21)</f>
        <v>Dhaka</v>
      </c>
      <c r="D21" cm="1">
        <f t="array" ref="D21">IF(INDEX(auto_DataFlat_DataValue,K$8+$A21-1,1)="n/a","n/a",INDEX(auto_DataFlat_Score,D$8+$A21-1,1))</f>
        <v>36.1</v>
      </c>
      <c r="E21" cm="1">
        <f t="array" ref="E21">IF(INDEX(auto_DataFlat_DataValue,L$8+$A21-1,1)="n/a","n/a",INDEX(auto_DataFlat_Score,E$8+$A21-1,1))</f>
        <v>85.6</v>
      </c>
      <c r="F21" cm="1">
        <f t="array" ref="F21">IF(INDEX(auto_DataFlat_DataValue,M$8+$A21-1,1)="n/a","n/a",INDEX(auto_DataFlat_Score,F$8+$A21-1,1))</f>
        <v>50</v>
      </c>
      <c r="G21" t="e" cm="1">
        <f t="array" ref="G21">IF(INDEX(auto_DataFlat_DataValue,N$8+$A21-1,1)="n/a","n/a",INDEX(auto_DataFlat_Score,G$8+$A21-1,1))</f>
        <v>#N/A</v>
      </c>
      <c r="H21" t="e" cm="1">
        <f t="array" ref="H21">IF(INDEX(auto_DataFlat_DataValue,O$8+$A21-1,1)="n/a","n/a",INDEX(auto_DataFlat_Score,H$8+$A21-1,1))</f>
        <v>#N/A</v>
      </c>
      <c r="I21" t="e" cm="1">
        <f t="array" ref="I21">IF(INDEX(auto_DataFlat_DataValue,P$8+$A21-1,1)="n/a","n/a",INDEX(auto_DataFlat_Score,I$8+$A21-1,1))</f>
        <v>#N/A</v>
      </c>
      <c r="K21" cm="1">
        <f t="array" ref="K21">IF(INDEX(auto_DataFlat_DataValue,K$8+$A21-1,1)="n/a","n/a",INDEX(auto_DataFlat_Classification,K$8+$A21-1,1))</f>
        <v>2</v>
      </c>
      <c r="L21" cm="1">
        <f t="array" ref="L21">IF(INDEX(auto_DataFlat_DataValue,L$8+$A21-1,1)="n/a","n/a",INDEX(auto_DataFlat_Classification,L$8+$A21-1,1))</f>
        <v>5</v>
      </c>
      <c r="M21" cm="1">
        <f t="array" ref="M21">IF(INDEX(auto_DataFlat_DataValue,M$8+$A21-1,1)="n/a","n/a",INDEX(auto_DataFlat_Classification,M$8+$A21-1,1))</f>
        <v>3</v>
      </c>
      <c r="N21" t="e" cm="1">
        <f t="array" ref="N21">IF(INDEX(auto_DataFlat_DataValue,N$8+$A21-1,1)="n/a","n/a",INDEX(auto_DataFlat_Classification,N$8+$A21-1,1))</f>
        <v>#N/A</v>
      </c>
      <c r="O21" t="e" cm="1">
        <f t="array" ref="O21">IF(INDEX(auto_DataFlat_DataValue,O$8+$A21-1,1)="n/a","n/a",INDEX(auto_DataFlat_Classification,O$8+$A21-1,1))</f>
        <v>#N/A</v>
      </c>
      <c r="P21" t="e" cm="1">
        <f t="array" ref="P21">IF(INDEX(auto_DataFlat_DataValue,P$8+$A21-1,1)="n/a","n/a",INDEX(auto_DataFlat_Classification,P$8+$A21-1,1))</f>
        <v>#N/A</v>
      </c>
      <c r="R21" t="e">
        <f t="shared" si="4"/>
        <v>#N/A</v>
      </c>
      <c r="S21" t="e">
        <f t="shared" si="5"/>
        <v>#N/A</v>
      </c>
      <c r="T21" t="e">
        <f>RANK(S21,$S$9:$S$36)+COUNTIF(S$9:S21,S21)-1</f>
        <v>#N/A</v>
      </c>
      <c r="U21" t="e">
        <f t="shared" si="6"/>
        <v>#N/A</v>
      </c>
      <c r="V21" t="e" cm="1">
        <f t="array" ref="V21">INDEX($B$9:$B$36,U21)</f>
        <v>#N/A</v>
      </c>
      <c r="W21" t="e" cm="1">
        <f t="array" ref="W21">INDEX($S$9:$S$36,$U21)</f>
        <v>#N/A</v>
      </c>
      <c r="X21" t="e" cm="1">
        <f t="array" ref="X21">INDEX(D$9:D$36,$U21)</f>
        <v>#N/A</v>
      </c>
      <c r="Y21" t="e" cm="1">
        <f t="array" ref="Y21">INDEX(E$9:E$36,$U21)</f>
        <v>#N/A</v>
      </c>
      <c r="Z21" t="e" cm="1">
        <f t="array" ref="Z21">INDEX(F$9:F$36,$U21)</f>
        <v>#N/A</v>
      </c>
      <c r="AA21" t="e" cm="1">
        <f t="array" ref="AA21">INDEX(G$9:G$36,$U21)</f>
        <v>#N/A</v>
      </c>
      <c r="AB21" t="e" cm="1">
        <f t="array" ref="AB21">INDEX(H$9:H$36,$U21)</f>
        <v>#N/A</v>
      </c>
      <c r="AC21" t="e" cm="1">
        <f t="array" ref="AC21">INDEX(I$9:I$36,$U21)</f>
        <v>#N/A</v>
      </c>
      <c r="AE21" t="e" cm="1">
        <f t="array" ref="AE21">INDEX(K$9:K$36,$U21)</f>
        <v>#N/A</v>
      </c>
      <c r="AF21" t="e" cm="1">
        <f t="array" ref="AF21">INDEX(L$9:L$36,$U21)</f>
        <v>#N/A</v>
      </c>
      <c r="AG21" t="e" cm="1">
        <f t="array" ref="AG21">INDEX(M$9:M$36,$U21)</f>
        <v>#N/A</v>
      </c>
      <c r="AH21" t="e" cm="1">
        <f t="array" ref="AH21">INDEX(N$9:N$36,$U21)</f>
        <v>#N/A</v>
      </c>
      <c r="AI21" t="e" cm="1">
        <f t="array" ref="AI21">INDEX(O$9:O$36,$U21)</f>
        <v>#N/A</v>
      </c>
      <c r="AJ21" t="e" cm="1">
        <f t="array" ref="AJ21">INDEX(P$9:P$36,$U21)</f>
        <v>#N/A</v>
      </c>
    </row>
    <row r="22" spans="1:36" x14ac:dyDescent="0.4">
      <c r="A22">
        <v>14</v>
      </c>
      <c r="B22" t="str" cm="1">
        <f t="array" ref="B22">INDEX(auto_ddCountry,A22)</f>
        <v>Dubai</v>
      </c>
      <c r="D22" cm="1">
        <f t="array" ref="D22">IF(INDEX(auto_DataFlat_DataValue,K$8+$A22-1,1)="n/a","n/a",INDEX(auto_DataFlat_Score,D$8+$A22-1,1))</f>
        <v>79.3</v>
      </c>
      <c r="E22" cm="1">
        <f t="array" ref="E22">IF(INDEX(auto_DataFlat_DataValue,L$8+$A22-1,1)="n/a","n/a",INDEX(auto_DataFlat_Score,E$8+$A22-1,1))</f>
        <v>79.3</v>
      </c>
      <c r="F22" cm="1">
        <f t="array" ref="F22">IF(INDEX(auto_DataFlat_DataValue,M$8+$A22-1,1)="n/a","n/a",INDEX(auto_DataFlat_Score,F$8+$A22-1,1))</f>
        <v>50</v>
      </c>
      <c r="G22" t="e" cm="1">
        <f t="array" ref="G22">IF(INDEX(auto_DataFlat_DataValue,N$8+$A22-1,1)="n/a","n/a",INDEX(auto_DataFlat_Score,G$8+$A22-1,1))</f>
        <v>#N/A</v>
      </c>
      <c r="H22" t="e" cm="1">
        <f t="array" ref="H22">IF(INDEX(auto_DataFlat_DataValue,O$8+$A22-1,1)="n/a","n/a",INDEX(auto_DataFlat_Score,H$8+$A22-1,1))</f>
        <v>#N/A</v>
      </c>
      <c r="I22" t="e" cm="1">
        <f t="array" ref="I22">IF(INDEX(auto_DataFlat_DataValue,P$8+$A22-1,1)="n/a","n/a",INDEX(auto_DataFlat_Score,I$8+$A22-1,1))</f>
        <v>#N/A</v>
      </c>
      <c r="K22" cm="1">
        <f t="array" ref="K22">IF(INDEX(auto_DataFlat_DataValue,K$8+$A22-1,1)="n/a","n/a",INDEX(auto_DataFlat_Classification,K$8+$A22-1,1))</f>
        <v>4</v>
      </c>
      <c r="L22" cm="1">
        <f t="array" ref="L22">IF(INDEX(auto_DataFlat_DataValue,L$8+$A22-1,1)="n/a","n/a",INDEX(auto_DataFlat_Classification,L$8+$A22-1,1))</f>
        <v>4</v>
      </c>
      <c r="M22" cm="1">
        <f t="array" ref="M22">IF(INDEX(auto_DataFlat_DataValue,M$8+$A22-1,1)="n/a","n/a",INDEX(auto_DataFlat_Classification,M$8+$A22-1,1))</f>
        <v>3</v>
      </c>
      <c r="N22" t="e" cm="1">
        <f t="array" ref="N22">IF(INDEX(auto_DataFlat_DataValue,N$8+$A22-1,1)="n/a","n/a",INDEX(auto_DataFlat_Classification,N$8+$A22-1,1))</f>
        <v>#N/A</v>
      </c>
      <c r="O22" t="e" cm="1">
        <f t="array" ref="O22">IF(INDEX(auto_DataFlat_DataValue,O$8+$A22-1,1)="n/a","n/a",INDEX(auto_DataFlat_Classification,O$8+$A22-1,1))</f>
        <v>#N/A</v>
      </c>
      <c r="P22" t="e" cm="1">
        <f t="array" ref="P22">IF(INDEX(auto_DataFlat_DataValue,P$8+$A22-1,1)="n/a","n/a",INDEX(auto_DataFlat_Classification,P$8+$A22-1,1))</f>
        <v>#N/A</v>
      </c>
      <c r="R22" t="e">
        <f t="shared" si="4"/>
        <v>#N/A</v>
      </c>
      <c r="S22" t="e">
        <f t="shared" si="5"/>
        <v>#N/A</v>
      </c>
      <c r="T22" t="e">
        <f>RANK(S22,$S$9:$S$36)+COUNTIF(S$9:S22,S22)-1</f>
        <v>#N/A</v>
      </c>
      <c r="U22" t="e">
        <f t="shared" si="6"/>
        <v>#N/A</v>
      </c>
      <c r="V22" t="e" cm="1">
        <f t="array" ref="V22">INDEX($B$9:$B$36,U22)</f>
        <v>#N/A</v>
      </c>
      <c r="W22" t="e" cm="1">
        <f t="array" ref="W22">INDEX($S$9:$S$36,$U22)</f>
        <v>#N/A</v>
      </c>
      <c r="X22" t="e" cm="1">
        <f t="array" ref="X22">INDEX(D$9:D$36,$U22)</f>
        <v>#N/A</v>
      </c>
      <c r="Y22" t="e" cm="1">
        <f t="array" ref="Y22">INDEX(E$9:E$36,$U22)</f>
        <v>#N/A</v>
      </c>
      <c r="Z22" t="e" cm="1">
        <f t="array" ref="Z22">INDEX(F$9:F$36,$U22)</f>
        <v>#N/A</v>
      </c>
      <c r="AA22" t="e" cm="1">
        <f t="array" ref="AA22">INDEX(G$9:G$36,$U22)</f>
        <v>#N/A</v>
      </c>
      <c r="AB22" t="e" cm="1">
        <f t="array" ref="AB22">INDEX(H$9:H$36,$U22)</f>
        <v>#N/A</v>
      </c>
      <c r="AC22" t="e" cm="1">
        <f t="array" ref="AC22">INDEX(I$9:I$36,$U22)</f>
        <v>#N/A</v>
      </c>
      <c r="AE22" t="e" cm="1">
        <f t="array" ref="AE22">INDEX(K$9:K$36,$U22)</f>
        <v>#N/A</v>
      </c>
      <c r="AF22" t="e" cm="1">
        <f t="array" ref="AF22">INDEX(L$9:L$36,$U22)</f>
        <v>#N/A</v>
      </c>
      <c r="AG22" t="e" cm="1">
        <f t="array" ref="AG22">INDEX(M$9:M$36,$U22)</f>
        <v>#N/A</v>
      </c>
      <c r="AH22" t="e" cm="1">
        <f t="array" ref="AH22">INDEX(N$9:N$36,$U22)</f>
        <v>#N/A</v>
      </c>
      <c r="AI22" t="e" cm="1">
        <f t="array" ref="AI22">INDEX(O$9:O$36,$U22)</f>
        <v>#N/A</v>
      </c>
      <c r="AJ22" t="e" cm="1">
        <f t="array" ref="AJ22">INDEX(P$9:P$36,$U22)</f>
        <v>#N/A</v>
      </c>
    </row>
    <row r="23" spans="1:36" x14ac:dyDescent="0.4">
      <c r="A23">
        <v>15</v>
      </c>
      <c r="B23" t="str" cm="1">
        <f t="array" ref="B23">INDEX(auto_ddCountry,A23)</f>
        <v>Helsinki</v>
      </c>
      <c r="D23" cm="1">
        <f t="array" ref="D23">IF(INDEX(auto_DataFlat_DataValue,K$8+$A23-1,1)="n/a","n/a",INDEX(auto_DataFlat_Score,D$8+$A23-1,1))</f>
        <v>91.7</v>
      </c>
      <c r="E23" cm="1">
        <f t="array" ref="E23">IF(INDEX(auto_DataFlat_DataValue,L$8+$A23-1,1)="n/a","n/a",INDEX(auto_DataFlat_Score,E$8+$A23-1,1))</f>
        <v>82.1</v>
      </c>
      <c r="F23" cm="1">
        <f t="array" ref="F23">IF(INDEX(auto_DataFlat_DataValue,M$8+$A23-1,1)="n/a","n/a",INDEX(auto_DataFlat_Score,F$8+$A23-1,1))</f>
        <v>50</v>
      </c>
      <c r="G23" t="e" cm="1">
        <f t="array" ref="G23">IF(INDEX(auto_DataFlat_DataValue,N$8+$A23-1,1)="n/a","n/a",INDEX(auto_DataFlat_Score,G$8+$A23-1,1))</f>
        <v>#N/A</v>
      </c>
      <c r="H23" t="e" cm="1">
        <f t="array" ref="H23">IF(INDEX(auto_DataFlat_DataValue,O$8+$A23-1,1)="n/a","n/a",INDEX(auto_DataFlat_Score,H$8+$A23-1,1))</f>
        <v>#N/A</v>
      </c>
      <c r="I23" t="e" cm="1">
        <f t="array" ref="I23">IF(INDEX(auto_DataFlat_DataValue,P$8+$A23-1,1)="n/a","n/a",INDEX(auto_DataFlat_Score,I$8+$A23-1,1))</f>
        <v>#N/A</v>
      </c>
      <c r="K23" cm="1">
        <f t="array" ref="K23">IF(INDEX(auto_DataFlat_DataValue,K$8+$A23-1,1)="n/a","n/a",INDEX(auto_DataFlat_Classification,K$8+$A23-1,1))</f>
        <v>5</v>
      </c>
      <c r="L23" cm="1">
        <f t="array" ref="L23">IF(INDEX(auto_DataFlat_DataValue,L$8+$A23-1,1)="n/a","n/a",INDEX(auto_DataFlat_Classification,L$8+$A23-1,1))</f>
        <v>5</v>
      </c>
      <c r="M23" cm="1">
        <f t="array" ref="M23">IF(INDEX(auto_DataFlat_DataValue,M$8+$A23-1,1)="n/a","n/a",INDEX(auto_DataFlat_Classification,M$8+$A23-1,1))</f>
        <v>3</v>
      </c>
      <c r="N23" t="e" cm="1">
        <f t="array" ref="N23">IF(INDEX(auto_DataFlat_DataValue,N$8+$A23-1,1)="n/a","n/a",INDEX(auto_DataFlat_Classification,N$8+$A23-1,1))</f>
        <v>#N/A</v>
      </c>
      <c r="O23" t="e" cm="1">
        <f t="array" ref="O23">IF(INDEX(auto_DataFlat_DataValue,O$8+$A23-1,1)="n/a","n/a",INDEX(auto_DataFlat_Classification,O$8+$A23-1,1))</f>
        <v>#N/A</v>
      </c>
      <c r="P23" t="e" cm="1">
        <f t="array" ref="P23">IF(INDEX(auto_DataFlat_DataValue,P$8+$A23-1,1)="n/a","n/a",INDEX(auto_DataFlat_Classification,P$8+$A23-1,1))</f>
        <v>#N/A</v>
      </c>
      <c r="R23" t="e">
        <f t="shared" si="4"/>
        <v>#N/A</v>
      </c>
      <c r="S23" t="e">
        <f t="shared" si="5"/>
        <v>#N/A</v>
      </c>
      <c r="T23" t="e">
        <f>RANK(S23,$S$9:$S$36)+COUNTIF(S$9:S23,S23)-1</f>
        <v>#N/A</v>
      </c>
      <c r="U23" t="e">
        <f t="shared" si="6"/>
        <v>#N/A</v>
      </c>
      <c r="V23" t="e" cm="1">
        <f t="array" ref="V23">INDEX($B$9:$B$36,U23)</f>
        <v>#N/A</v>
      </c>
      <c r="W23" t="e" cm="1">
        <f t="array" ref="W23">INDEX($S$9:$S$36,$U23)</f>
        <v>#N/A</v>
      </c>
      <c r="X23" t="e" cm="1">
        <f t="array" ref="X23">INDEX(D$9:D$36,$U23)</f>
        <v>#N/A</v>
      </c>
      <c r="Y23" t="e" cm="1">
        <f t="array" ref="Y23">INDEX(E$9:E$36,$U23)</f>
        <v>#N/A</v>
      </c>
      <c r="Z23" t="e" cm="1">
        <f t="array" ref="Z23">INDEX(F$9:F$36,$U23)</f>
        <v>#N/A</v>
      </c>
      <c r="AA23" t="e" cm="1">
        <f t="array" ref="AA23">INDEX(G$9:G$36,$U23)</f>
        <v>#N/A</v>
      </c>
      <c r="AB23" t="e" cm="1">
        <f t="array" ref="AB23">INDEX(H$9:H$36,$U23)</f>
        <v>#N/A</v>
      </c>
      <c r="AC23" t="e" cm="1">
        <f t="array" ref="AC23">INDEX(I$9:I$36,$U23)</f>
        <v>#N/A</v>
      </c>
      <c r="AE23" t="e" cm="1">
        <f t="array" ref="AE23">INDEX(K$9:K$36,$U23)</f>
        <v>#N/A</v>
      </c>
      <c r="AF23" t="e" cm="1">
        <f t="array" ref="AF23">INDEX(L$9:L$36,$U23)</f>
        <v>#N/A</v>
      </c>
      <c r="AG23" t="e" cm="1">
        <f t="array" ref="AG23">INDEX(M$9:M$36,$U23)</f>
        <v>#N/A</v>
      </c>
      <c r="AH23" t="e" cm="1">
        <f t="array" ref="AH23">INDEX(N$9:N$36,$U23)</f>
        <v>#N/A</v>
      </c>
      <c r="AI23" t="e" cm="1">
        <f t="array" ref="AI23">INDEX(O$9:O$36,$U23)</f>
        <v>#N/A</v>
      </c>
      <c r="AJ23" t="e" cm="1">
        <f t="array" ref="AJ23">INDEX(P$9:P$36,$U23)</f>
        <v>#N/A</v>
      </c>
    </row>
    <row r="24" spans="1:36" x14ac:dyDescent="0.4">
      <c r="A24">
        <v>16</v>
      </c>
      <c r="B24" t="str" cm="1">
        <f t="array" ref="B24">INDEX(auto_ddCountry,A24)</f>
        <v>Ho Chi Minh City</v>
      </c>
      <c r="D24" cm="1">
        <f t="array" ref="D24">IF(INDEX(auto_DataFlat_DataValue,K$8+$A24-1,1)="n/a","n/a",INDEX(auto_DataFlat_Score,D$8+$A24-1,1))</f>
        <v>87.3</v>
      </c>
      <c r="E24" cm="1">
        <f t="array" ref="E24">IF(INDEX(auto_DataFlat_DataValue,L$8+$A24-1,1)="n/a","n/a",INDEX(auto_DataFlat_Score,E$8+$A24-1,1))</f>
        <v>85.2</v>
      </c>
      <c r="F24" cm="1">
        <f t="array" ref="F24">IF(INDEX(auto_DataFlat_DataValue,M$8+$A24-1,1)="n/a","n/a",INDEX(auto_DataFlat_Score,F$8+$A24-1,1))</f>
        <v>75</v>
      </c>
      <c r="G24" t="e" cm="1">
        <f t="array" ref="G24">IF(INDEX(auto_DataFlat_DataValue,N$8+$A24-1,1)="n/a","n/a",INDEX(auto_DataFlat_Score,G$8+$A24-1,1))</f>
        <v>#N/A</v>
      </c>
      <c r="H24" t="e" cm="1">
        <f t="array" ref="H24">IF(INDEX(auto_DataFlat_DataValue,O$8+$A24-1,1)="n/a","n/a",INDEX(auto_DataFlat_Score,H$8+$A24-1,1))</f>
        <v>#N/A</v>
      </c>
      <c r="I24" t="e" cm="1">
        <f t="array" ref="I24">IF(INDEX(auto_DataFlat_DataValue,P$8+$A24-1,1)="n/a","n/a",INDEX(auto_DataFlat_Score,I$8+$A24-1,1))</f>
        <v>#N/A</v>
      </c>
      <c r="K24" cm="1">
        <f t="array" ref="K24">IF(INDEX(auto_DataFlat_DataValue,K$8+$A24-1,1)="n/a","n/a",INDEX(auto_DataFlat_Classification,K$8+$A24-1,1))</f>
        <v>5</v>
      </c>
      <c r="L24" cm="1">
        <f t="array" ref="L24">IF(INDEX(auto_DataFlat_DataValue,L$8+$A24-1,1)="n/a","n/a",INDEX(auto_DataFlat_Classification,L$8+$A24-1,1))</f>
        <v>5</v>
      </c>
      <c r="M24" cm="1">
        <f t="array" ref="M24">IF(INDEX(auto_DataFlat_DataValue,M$8+$A24-1,1)="n/a","n/a",INDEX(auto_DataFlat_Classification,M$8+$A24-1,1))</f>
        <v>4</v>
      </c>
      <c r="N24" t="e" cm="1">
        <f t="array" ref="N24">IF(INDEX(auto_DataFlat_DataValue,N$8+$A24-1,1)="n/a","n/a",INDEX(auto_DataFlat_Classification,N$8+$A24-1,1))</f>
        <v>#N/A</v>
      </c>
      <c r="O24" t="e" cm="1">
        <f t="array" ref="O24">IF(INDEX(auto_DataFlat_DataValue,O$8+$A24-1,1)="n/a","n/a",INDEX(auto_DataFlat_Classification,O$8+$A24-1,1))</f>
        <v>#N/A</v>
      </c>
      <c r="P24" t="e" cm="1">
        <f t="array" ref="P24">IF(INDEX(auto_DataFlat_DataValue,P$8+$A24-1,1)="n/a","n/a",INDEX(auto_DataFlat_Classification,P$8+$A24-1,1))</f>
        <v>#N/A</v>
      </c>
      <c r="R24" t="e">
        <f t="shared" si="4"/>
        <v>#N/A</v>
      </c>
      <c r="S24" t="e">
        <f t="shared" si="5"/>
        <v>#N/A</v>
      </c>
      <c r="T24" t="e">
        <f>RANK(S24,$S$9:$S$36)+COUNTIF(S$9:S24,S24)-1</f>
        <v>#N/A</v>
      </c>
      <c r="U24" t="e">
        <f t="shared" si="6"/>
        <v>#N/A</v>
      </c>
      <c r="V24" t="e" cm="1">
        <f t="array" ref="V24">INDEX($B$9:$B$36,U24)</f>
        <v>#N/A</v>
      </c>
      <c r="W24" t="e" cm="1">
        <f t="array" ref="W24">INDEX($S$9:$S$36,$U24)</f>
        <v>#N/A</v>
      </c>
      <c r="X24" t="e" cm="1">
        <f t="array" ref="X24">INDEX(D$9:D$36,$U24)</f>
        <v>#N/A</v>
      </c>
      <c r="Y24" t="e" cm="1">
        <f t="array" ref="Y24">INDEX(E$9:E$36,$U24)</f>
        <v>#N/A</v>
      </c>
      <c r="Z24" t="e" cm="1">
        <f t="array" ref="Z24">INDEX(F$9:F$36,$U24)</f>
        <v>#N/A</v>
      </c>
      <c r="AA24" t="e" cm="1">
        <f t="array" ref="AA24">INDEX(G$9:G$36,$U24)</f>
        <v>#N/A</v>
      </c>
      <c r="AB24" t="e" cm="1">
        <f t="array" ref="AB24">INDEX(H$9:H$36,$U24)</f>
        <v>#N/A</v>
      </c>
      <c r="AC24" t="e" cm="1">
        <f t="array" ref="AC24">INDEX(I$9:I$36,$U24)</f>
        <v>#N/A</v>
      </c>
      <c r="AE24" t="e" cm="1">
        <f t="array" ref="AE24">INDEX(K$9:K$36,$U24)</f>
        <v>#N/A</v>
      </c>
      <c r="AF24" t="e" cm="1">
        <f t="array" ref="AF24">INDEX(L$9:L$36,$U24)</f>
        <v>#N/A</v>
      </c>
      <c r="AG24" t="e" cm="1">
        <f t="array" ref="AG24">INDEX(M$9:M$36,$U24)</f>
        <v>#N/A</v>
      </c>
      <c r="AH24" t="e" cm="1">
        <f t="array" ref="AH24">INDEX(N$9:N$36,$U24)</f>
        <v>#N/A</v>
      </c>
      <c r="AI24" t="e" cm="1">
        <f t="array" ref="AI24">INDEX(O$9:O$36,$U24)</f>
        <v>#N/A</v>
      </c>
      <c r="AJ24" t="e" cm="1">
        <f t="array" ref="AJ24">INDEX(P$9:P$36,$U24)</f>
        <v>#N/A</v>
      </c>
    </row>
    <row r="25" spans="1:36" x14ac:dyDescent="0.4">
      <c r="A25">
        <v>17</v>
      </c>
      <c r="B25" t="str" cm="1">
        <f t="array" ref="B25">INDEX(auto_ddCountry,A25)</f>
        <v>Hong Kong</v>
      </c>
      <c r="D25" cm="1">
        <f t="array" ref="D25">IF(INDEX(auto_DataFlat_DataValue,K$8+$A25-1,1)="n/a","n/a",INDEX(auto_DataFlat_Score,D$8+$A25-1,1))</f>
        <v>81.599999999999994</v>
      </c>
      <c r="E25" cm="1">
        <f t="array" ref="E25">IF(INDEX(auto_DataFlat_DataValue,L$8+$A25-1,1)="n/a","n/a",INDEX(auto_DataFlat_Score,E$8+$A25-1,1))</f>
        <v>84</v>
      </c>
      <c r="F25" cm="1">
        <f t="array" ref="F25">IF(INDEX(auto_DataFlat_DataValue,M$8+$A25-1,1)="n/a","n/a",INDEX(auto_DataFlat_Score,F$8+$A25-1,1))</f>
        <v>50</v>
      </c>
      <c r="G25" t="e" cm="1">
        <f t="array" ref="G25">IF(INDEX(auto_DataFlat_DataValue,N$8+$A25-1,1)="n/a","n/a",INDEX(auto_DataFlat_Score,G$8+$A25-1,1))</f>
        <v>#N/A</v>
      </c>
      <c r="H25" t="e" cm="1">
        <f t="array" ref="H25">IF(INDEX(auto_DataFlat_DataValue,O$8+$A25-1,1)="n/a","n/a",INDEX(auto_DataFlat_Score,H$8+$A25-1,1))</f>
        <v>#N/A</v>
      </c>
      <c r="I25" t="e" cm="1">
        <f t="array" ref="I25">IF(INDEX(auto_DataFlat_DataValue,P$8+$A25-1,1)="n/a","n/a",INDEX(auto_DataFlat_Score,I$8+$A25-1,1))</f>
        <v>#N/A</v>
      </c>
      <c r="K25" cm="1">
        <f t="array" ref="K25">IF(INDEX(auto_DataFlat_DataValue,K$8+$A25-1,1)="n/a","n/a",INDEX(auto_DataFlat_Classification,K$8+$A25-1,1))</f>
        <v>5</v>
      </c>
      <c r="L25" cm="1">
        <f t="array" ref="L25">IF(INDEX(auto_DataFlat_DataValue,L$8+$A25-1,1)="n/a","n/a",INDEX(auto_DataFlat_Classification,L$8+$A25-1,1))</f>
        <v>5</v>
      </c>
      <c r="M25" cm="1">
        <f t="array" ref="M25">IF(INDEX(auto_DataFlat_DataValue,M$8+$A25-1,1)="n/a","n/a",INDEX(auto_DataFlat_Classification,M$8+$A25-1,1))</f>
        <v>3</v>
      </c>
      <c r="N25" t="e" cm="1">
        <f t="array" ref="N25">IF(INDEX(auto_DataFlat_DataValue,N$8+$A25-1,1)="n/a","n/a",INDEX(auto_DataFlat_Classification,N$8+$A25-1,1))</f>
        <v>#N/A</v>
      </c>
      <c r="O25" t="e" cm="1">
        <f t="array" ref="O25">IF(INDEX(auto_DataFlat_DataValue,O$8+$A25-1,1)="n/a","n/a",INDEX(auto_DataFlat_Classification,O$8+$A25-1,1))</f>
        <v>#N/A</v>
      </c>
      <c r="P25" t="e" cm="1">
        <f t="array" ref="P25">IF(INDEX(auto_DataFlat_DataValue,P$8+$A25-1,1)="n/a","n/a",INDEX(auto_DataFlat_Classification,P$8+$A25-1,1))</f>
        <v>#N/A</v>
      </c>
      <c r="R25" t="e">
        <f t="shared" si="4"/>
        <v>#N/A</v>
      </c>
      <c r="S25" t="e">
        <f t="shared" si="5"/>
        <v>#N/A</v>
      </c>
      <c r="T25" t="e">
        <f>RANK(S25,$S$9:$S$36)+COUNTIF(S$9:S25,S25)-1</f>
        <v>#N/A</v>
      </c>
      <c r="U25" t="e">
        <f t="shared" si="6"/>
        <v>#N/A</v>
      </c>
      <c r="V25" t="e" cm="1">
        <f t="array" ref="V25">INDEX($B$9:$B$36,U25)</f>
        <v>#N/A</v>
      </c>
      <c r="W25" t="e" cm="1">
        <f t="array" ref="W25">INDEX($S$9:$S$36,$U25)</f>
        <v>#N/A</v>
      </c>
      <c r="X25" t="e" cm="1">
        <f t="array" ref="X25">INDEX(D$9:D$36,$U25)</f>
        <v>#N/A</v>
      </c>
      <c r="Y25" t="e" cm="1">
        <f t="array" ref="Y25">INDEX(E$9:E$36,$U25)</f>
        <v>#N/A</v>
      </c>
      <c r="Z25" t="e" cm="1">
        <f t="array" ref="Z25">INDEX(F$9:F$36,$U25)</f>
        <v>#N/A</v>
      </c>
      <c r="AA25" t="e" cm="1">
        <f t="array" ref="AA25">INDEX(G$9:G$36,$U25)</f>
        <v>#N/A</v>
      </c>
      <c r="AB25" t="e" cm="1">
        <f t="array" ref="AB25">INDEX(H$9:H$36,$U25)</f>
        <v>#N/A</v>
      </c>
      <c r="AC25" t="e" cm="1">
        <f t="array" ref="AC25">INDEX(I$9:I$36,$U25)</f>
        <v>#N/A</v>
      </c>
      <c r="AE25" t="e" cm="1">
        <f t="array" ref="AE25">INDEX(K$9:K$36,$U25)</f>
        <v>#N/A</v>
      </c>
      <c r="AF25" t="e" cm="1">
        <f t="array" ref="AF25">INDEX(L$9:L$36,$U25)</f>
        <v>#N/A</v>
      </c>
      <c r="AG25" t="e" cm="1">
        <f t="array" ref="AG25">INDEX(M$9:M$36,$U25)</f>
        <v>#N/A</v>
      </c>
      <c r="AH25" t="e" cm="1">
        <f t="array" ref="AH25">INDEX(N$9:N$36,$U25)</f>
        <v>#N/A</v>
      </c>
      <c r="AI25" t="e" cm="1">
        <f t="array" ref="AI25">INDEX(O$9:O$36,$U25)</f>
        <v>#N/A</v>
      </c>
      <c r="AJ25" t="e" cm="1">
        <f t="array" ref="AJ25">INDEX(P$9:P$36,$U25)</f>
        <v>#N/A</v>
      </c>
    </row>
    <row r="26" spans="1:36" x14ac:dyDescent="0.4">
      <c r="A26">
        <v>18</v>
      </c>
      <c r="B26" t="str" cm="1">
        <f t="array" ref="B26">INDEX(auto_ddCountry,A26)</f>
        <v>Istanbul</v>
      </c>
      <c r="D26" cm="1">
        <f t="array" ref="D26">IF(INDEX(auto_DataFlat_DataValue,K$8+$A26-1,1)="n/a","n/a",INDEX(auto_DataFlat_Score,D$8+$A26-1,1))</f>
        <v>34.700000000000003</v>
      </c>
      <c r="E26" cm="1">
        <f t="array" ref="E26">IF(INDEX(auto_DataFlat_DataValue,L$8+$A26-1,1)="n/a","n/a",INDEX(auto_DataFlat_Score,E$8+$A26-1,1))</f>
        <v>58.6</v>
      </c>
      <c r="F26" cm="1">
        <f t="array" ref="F26">IF(INDEX(auto_DataFlat_DataValue,M$8+$A26-1,1)="n/a","n/a",INDEX(auto_DataFlat_Score,F$8+$A26-1,1))</f>
        <v>100</v>
      </c>
      <c r="G26" t="e" cm="1">
        <f t="array" ref="G26">IF(INDEX(auto_DataFlat_DataValue,N$8+$A26-1,1)="n/a","n/a",INDEX(auto_DataFlat_Score,G$8+$A26-1,1))</f>
        <v>#N/A</v>
      </c>
      <c r="H26" t="e" cm="1">
        <f t="array" ref="H26">IF(INDEX(auto_DataFlat_DataValue,O$8+$A26-1,1)="n/a","n/a",INDEX(auto_DataFlat_Score,H$8+$A26-1,1))</f>
        <v>#N/A</v>
      </c>
      <c r="I26" t="e" cm="1">
        <f t="array" ref="I26">IF(INDEX(auto_DataFlat_DataValue,P$8+$A26-1,1)="n/a","n/a",INDEX(auto_DataFlat_Score,I$8+$A26-1,1))</f>
        <v>#N/A</v>
      </c>
      <c r="K26" cm="1">
        <f t="array" ref="K26">IF(INDEX(auto_DataFlat_DataValue,K$8+$A26-1,1)="n/a","n/a",INDEX(auto_DataFlat_Classification,K$8+$A26-1,1))</f>
        <v>2</v>
      </c>
      <c r="L26" cm="1">
        <f t="array" ref="L26">IF(INDEX(auto_DataFlat_DataValue,L$8+$A26-1,1)="n/a","n/a",INDEX(auto_DataFlat_Classification,L$8+$A26-1,1))</f>
        <v>3</v>
      </c>
      <c r="M26" cm="1">
        <f t="array" ref="M26">IF(INDEX(auto_DataFlat_DataValue,M$8+$A26-1,1)="n/a","n/a",INDEX(auto_DataFlat_Classification,M$8+$A26-1,1))</f>
        <v>5</v>
      </c>
      <c r="N26" t="e" cm="1">
        <f t="array" ref="N26">IF(INDEX(auto_DataFlat_DataValue,N$8+$A26-1,1)="n/a","n/a",INDEX(auto_DataFlat_Classification,N$8+$A26-1,1))</f>
        <v>#N/A</v>
      </c>
      <c r="O26" t="e" cm="1">
        <f t="array" ref="O26">IF(INDEX(auto_DataFlat_DataValue,O$8+$A26-1,1)="n/a","n/a",INDEX(auto_DataFlat_Classification,O$8+$A26-1,1))</f>
        <v>#N/A</v>
      </c>
      <c r="P26" t="e" cm="1">
        <f t="array" ref="P26">IF(INDEX(auto_DataFlat_DataValue,P$8+$A26-1,1)="n/a","n/a",INDEX(auto_DataFlat_Classification,P$8+$A26-1,1))</f>
        <v>#N/A</v>
      </c>
      <c r="R26" t="e">
        <f t="shared" si="4"/>
        <v>#N/A</v>
      </c>
      <c r="S26" t="e">
        <f t="shared" si="5"/>
        <v>#N/A</v>
      </c>
      <c r="T26" t="e">
        <f>RANK(S26,$S$9:$S$36)+COUNTIF(S$9:S26,S26)-1</f>
        <v>#N/A</v>
      </c>
      <c r="U26" t="e">
        <f t="shared" si="6"/>
        <v>#N/A</v>
      </c>
      <c r="V26" t="e" cm="1">
        <f t="array" ref="V26">INDEX($B$9:$B$36,U26)</f>
        <v>#N/A</v>
      </c>
      <c r="W26" t="e" cm="1">
        <f t="array" ref="W26">INDEX($S$9:$S$36,$U26)</f>
        <v>#N/A</v>
      </c>
      <c r="X26" t="e" cm="1">
        <f t="array" ref="X26">INDEX(D$9:D$36,$U26)</f>
        <v>#N/A</v>
      </c>
      <c r="Y26" t="e" cm="1">
        <f t="array" ref="Y26">INDEX(E$9:E$36,$U26)</f>
        <v>#N/A</v>
      </c>
      <c r="Z26" t="e" cm="1">
        <f t="array" ref="Z26">INDEX(F$9:F$36,$U26)</f>
        <v>#N/A</v>
      </c>
      <c r="AA26" t="e" cm="1">
        <f t="array" ref="AA26">INDEX(G$9:G$36,$U26)</f>
        <v>#N/A</v>
      </c>
      <c r="AB26" t="e" cm="1">
        <f t="array" ref="AB26">INDEX(H$9:H$36,$U26)</f>
        <v>#N/A</v>
      </c>
      <c r="AC26" t="e" cm="1">
        <f t="array" ref="AC26">INDEX(I$9:I$36,$U26)</f>
        <v>#N/A</v>
      </c>
      <c r="AE26" t="e" cm="1">
        <f t="array" ref="AE26">INDEX(K$9:K$36,$U26)</f>
        <v>#N/A</v>
      </c>
      <c r="AF26" t="e" cm="1">
        <f t="array" ref="AF26">INDEX(L$9:L$36,$U26)</f>
        <v>#N/A</v>
      </c>
      <c r="AG26" t="e" cm="1">
        <f t="array" ref="AG26">INDEX(M$9:M$36,$U26)</f>
        <v>#N/A</v>
      </c>
      <c r="AH26" t="e" cm="1">
        <f t="array" ref="AH26">INDEX(N$9:N$36,$U26)</f>
        <v>#N/A</v>
      </c>
      <c r="AI26" t="e" cm="1">
        <f t="array" ref="AI26">INDEX(O$9:O$36,$U26)</f>
        <v>#N/A</v>
      </c>
      <c r="AJ26" t="e" cm="1">
        <f t="array" ref="AJ26">INDEX(P$9:P$36,$U26)</f>
        <v>#N/A</v>
      </c>
    </row>
    <row r="27" spans="1:36" x14ac:dyDescent="0.4">
      <c r="A27">
        <v>19</v>
      </c>
      <c r="B27" t="str" cm="1">
        <f t="array" ref="B27">INDEX(auto_ddCountry,A27)</f>
        <v>Jakarta</v>
      </c>
      <c r="D27" cm="1">
        <f t="array" ref="D27">IF(INDEX(auto_DataFlat_DataValue,K$8+$A27-1,1)="n/a","n/a",INDEX(auto_DataFlat_Score,D$8+$A27-1,1))</f>
        <v>88.7</v>
      </c>
      <c r="E27" cm="1">
        <f t="array" ref="E27">IF(INDEX(auto_DataFlat_DataValue,L$8+$A27-1,1)="n/a","n/a",INDEX(auto_DataFlat_Score,E$8+$A27-1,1))</f>
        <v>79.900000000000006</v>
      </c>
      <c r="F27" cm="1">
        <f t="array" ref="F27">IF(INDEX(auto_DataFlat_DataValue,M$8+$A27-1,1)="n/a","n/a",INDEX(auto_DataFlat_Score,F$8+$A27-1,1))</f>
        <v>50</v>
      </c>
      <c r="G27" t="e" cm="1">
        <f t="array" ref="G27">IF(INDEX(auto_DataFlat_DataValue,N$8+$A27-1,1)="n/a","n/a",INDEX(auto_DataFlat_Score,G$8+$A27-1,1))</f>
        <v>#N/A</v>
      </c>
      <c r="H27" t="e" cm="1">
        <f t="array" ref="H27">IF(INDEX(auto_DataFlat_DataValue,O$8+$A27-1,1)="n/a","n/a",INDEX(auto_DataFlat_Score,H$8+$A27-1,1))</f>
        <v>#N/A</v>
      </c>
      <c r="I27" t="e" cm="1">
        <f t="array" ref="I27">IF(INDEX(auto_DataFlat_DataValue,P$8+$A27-1,1)="n/a","n/a",INDEX(auto_DataFlat_Score,I$8+$A27-1,1))</f>
        <v>#N/A</v>
      </c>
      <c r="K27" cm="1">
        <f t="array" ref="K27">IF(INDEX(auto_DataFlat_DataValue,K$8+$A27-1,1)="n/a","n/a",INDEX(auto_DataFlat_Classification,K$8+$A27-1,1))</f>
        <v>5</v>
      </c>
      <c r="L27" cm="1">
        <f t="array" ref="L27">IF(INDEX(auto_DataFlat_DataValue,L$8+$A27-1,1)="n/a","n/a",INDEX(auto_DataFlat_Classification,L$8+$A27-1,1))</f>
        <v>4</v>
      </c>
      <c r="M27" cm="1">
        <f t="array" ref="M27">IF(INDEX(auto_DataFlat_DataValue,M$8+$A27-1,1)="n/a","n/a",INDEX(auto_DataFlat_Classification,M$8+$A27-1,1))</f>
        <v>3</v>
      </c>
      <c r="N27" t="e" cm="1">
        <f t="array" ref="N27">IF(INDEX(auto_DataFlat_DataValue,N$8+$A27-1,1)="n/a","n/a",INDEX(auto_DataFlat_Classification,N$8+$A27-1,1))</f>
        <v>#N/A</v>
      </c>
      <c r="O27" t="e" cm="1">
        <f t="array" ref="O27">IF(INDEX(auto_DataFlat_DataValue,O$8+$A27-1,1)="n/a","n/a",INDEX(auto_DataFlat_Classification,O$8+$A27-1,1))</f>
        <v>#N/A</v>
      </c>
      <c r="P27" t="e" cm="1">
        <f t="array" ref="P27">IF(INDEX(auto_DataFlat_DataValue,P$8+$A27-1,1)="n/a","n/a",INDEX(auto_DataFlat_Classification,P$8+$A27-1,1))</f>
        <v>#N/A</v>
      </c>
      <c r="R27" t="e">
        <f t="shared" si="4"/>
        <v>#N/A</v>
      </c>
      <c r="S27" t="e">
        <f t="shared" si="5"/>
        <v>#N/A</v>
      </c>
      <c r="T27" t="e">
        <f>RANK(S27,$S$9:$S$36)+COUNTIF(S$9:S27,S27)-1</f>
        <v>#N/A</v>
      </c>
      <c r="U27" t="e">
        <f t="shared" si="6"/>
        <v>#N/A</v>
      </c>
      <c r="V27" t="e" cm="1">
        <f t="array" ref="V27">INDEX($B$9:$B$36,U27)</f>
        <v>#N/A</v>
      </c>
      <c r="W27" t="e" cm="1">
        <f t="array" ref="W27">INDEX($S$9:$S$36,$U27)</f>
        <v>#N/A</v>
      </c>
      <c r="X27" t="e" cm="1">
        <f t="array" ref="X27">INDEX(D$9:D$36,$U27)</f>
        <v>#N/A</v>
      </c>
      <c r="Y27" t="e" cm="1">
        <f t="array" ref="Y27">INDEX(E$9:E$36,$U27)</f>
        <v>#N/A</v>
      </c>
      <c r="Z27" t="e" cm="1">
        <f t="array" ref="Z27">INDEX(F$9:F$36,$U27)</f>
        <v>#N/A</v>
      </c>
      <c r="AA27" t="e" cm="1">
        <f t="array" ref="AA27">INDEX(G$9:G$36,$U27)</f>
        <v>#N/A</v>
      </c>
      <c r="AB27" t="e" cm="1">
        <f t="array" ref="AB27">INDEX(H$9:H$36,$U27)</f>
        <v>#N/A</v>
      </c>
      <c r="AC27" t="e" cm="1">
        <f t="array" ref="AC27">INDEX(I$9:I$36,$U27)</f>
        <v>#N/A</v>
      </c>
      <c r="AE27" t="e" cm="1">
        <f t="array" ref="AE27">INDEX(K$9:K$36,$U27)</f>
        <v>#N/A</v>
      </c>
      <c r="AF27" t="e" cm="1">
        <f t="array" ref="AF27">INDEX(L$9:L$36,$U27)</f>
        <v>#N/A</v>
      </c>
      <c r="AG27" t="e" cm="1">
        <f t="array" ref="AG27">INDEX(M$9:M$36,$U27)</f>
        <v>#N/A</v>
      </c>
      <c r="AH27" t="e" cm="1">
        <f t="array" ref="AH27">INDEX(N$9:N$36,$U27)</f>
        <v>#N/A</v>
      </c>
      <c r="AI27" t="e" cm="1">
        <f t="array" ref="AI27">INDEX(O$9:O$36,$U27)</f>
        <v>#N/A</v>
      </c>
      <c r="AJ27" t="e" cm="1">
        <f t="array" ref="AJ27">INDEX(P$9:P$36,$U27)</f>
        <v>#N/A</v>
      </c>
    </row>
    <row r="28" spans="1:36" x14ac:dyDescent="0.4">
      <c r="A28">
        <v>20</v>
      </c>
      <c r="B28" t="str" cm="1">
        <f t="array" ref="B28">INDEX(auto_ddCountry,A28)</f>
        <v>Johannesburg</v>
      </c>
      <c r="D28" cm="1">
        <f t="array" ref="D28">IF(INDEX(auto_DataFlat_DataValue,K$8+$A28-1,1)="n/a","n/a",INDEX(auto_DataFlat_Score,D$8+$A28-1,1))</f>
        <v>30.9</v>
      </c>
      <c r="E28" cm="1">
        <f t="array" ref="E28">IF(INDEX(auto_DataFlat_DataValue,L$8+$A28-1,1)="n/a","n/a",INDEX(auto_DataFlat_Score,E$8+$A28-1,1))</f>
        <v>53</v>
      </c>
      <c r="F28" cm="1">
        <f t="array" ref="F28">IF(INDEX(auto_DataFlat_DataValue,M$8+$A28-1,1)="n/a","n/a",INDEX(auto_DataFlat_Score,F$8+$A28-1,1))</f>
        <v>50</v>
      </c>
      <c r="G28" t="e" cm="1">
        <f t="array" ref="G28">IF(INDEX(auto_DataFlat_DataValue,N$8+$A28-1,1)="n/a","n/a",INDEX(auto_DataFlat_Score,G$8+$A28-1,1))</f>
        <v>#N/A</v>
      </c>
      <c r="H28" t="e" cm="1">
        <f t="array" ref="H28">IF(INDEX(auto_DataFlat_DataValue,O$8+$A28-1,1)="n/a","n/a",INDEX(auto_DataFlat_Score,H$8+$A28-1,1))</f>
        <v>#N/A</v>
      </c>
      <c r="I28" t="e" cm="1">
        <f t="array" ref="I28">IF(INDEX(auto_DataFlat_DataValue,P$8+$A28-1,1)="n/a","n/a",INDEX(auto_DataFlat_Score,I$8+$A28-1,1))</f>
        <v>#N/A</v>
      </c>
      <c r="K28" cm="1">
        <f t="array" ref="K28">IF(INDEX(auto_DataFlat_DataValue,K$8+$A28-1,1)="n/a","n/a",INDEX(auto_DataFlat_Classification,K$8+$A28-1,1))</f>
        <v>2</v>
      </c>
      <c r="L28" cm="1">
        <f t="array" ref="L28">IF(INDEX(auto_DataFlat_DataValue,L$8+$A28-1,1)="n/a","n/a",INDEX(auto_DataFlat_Classification,L$8+$A28-1,1))</f>
        <v>3</v>
      </c>
      <c r="M28" cm="1">
        <f t="array" ref="M28">IF(INDEX(auto_DataFlat_DataValue,M$8+$A28-1,1)="n/a","n/a",INDEX(auto_DataFlat_Classification,M$8+$A28-1,1))</f>
        <v>3</v>
      </c>
      <c r="N28" t="e" cm="1">
        <f t="array" ref="N28">IF(INDEX(auto_DataFlat_DataValue,N$8+$A28-1,1)="n/a","n/a",INDEX(auto_DataFlat_Classification,N$8+$A28-1,1))</f>
        <v>#N/A</v>
      </c>
      <c r="O28" t="e" cm="1">
        <f t="array" ref="O28">IF(INDEX(auto_DataFlat_DataValue,O$8+$A28-1,1)="n/a","n/a",INDEX(auto_DataFlat_Classification,O$8+$A28-1,1))</f>
        <v>#N/A</v>
      </c>
      <c r="P28" t="e" cm="1">
        <f t="array" ref="P28">IF(INDEX(auto_DataFlat_DataValue,P$8+$A28-1,1)="n/a","n/a",INDEX(auto_DataFlat_Classification,P$8+$A28-1,1))</f>
        <v>#N/A</v>
      </c>
      <c r="R28" t="e">
        <f t="shared" si="4"/>
        <v>#N/A</v>
      </c>
      <c r="S28" t="e">
        <f t="shared" si="5"/>
        <v>#N/A</v>
      </c>
      <c r="T28" t="e">
        <f>RANK(S28,$S$9:$S$36)+COUNTIF(S$9:S28,S28)-1</f>
        <v>#N/A</v>
      </c>
      <c r="U28" t="e">
        <f t="shared" si="6"/>
        <v>#N/A</v>
      </c>
      <c r="V28" t="e" cm="1">
        <f t="array" ref="V28">INDEX($B$9:$B$36,U28)</f>
        <v>#N/A</v>
      </c>
      <c r="W28" t="e" cm="1">
        <f t="array" ref="W28">INDEX($S$9:$S$36,$U28)</f>
        <v>#N/A</v>
      </c>
      <c r="X28" t="e" cm="1">
        <f t="array" ref="X28">INDEX(D$9:D$36,$U28)</f>
        <v>#N/A</v>
      </c>
      <c r="Y28" t="e" cm="1">
        <f t="array" ref="Y28">INDEX(E$9:E$36,$U28)</f>
        <v>#N/A</v>
      </c>
      <c r="Z28" t="e" cm="1">
        <f t="array" ref="Z28">INDEX(F$9:F$36,$U28)</f>
        <v>#N/A</v>
      </c>
      <c r="AA28" t="e" cm="1">
        <f t="array" ref="AA28">INDEX(G$9:G$36,$U28)</f>
        <v>#N/A</v>
      </c>
      <c r="AB28" t="e" cm="1">
        <f t="array" ref="AB28">INDEX(H$9:H$36,$U28)</f>
        <v>#N/A</v>
      </c>
      <c r="AC28" t="e" cm="1">
        <f t="array" ref="AC28">INDEX(I$9:I$36,$U28)</f>
        <v>#N/A</v>
      </c>
      <c r="AE28" t="e" cm="1">
        <f t="array" ref="AE28">INDEX(K$9:K$36,$U28)</f>
        <v>#N/A</v>
      </c>
      <c r="AF28" t="e" cm="1">
        <f t="array" ref="AF28">INDEX(L$9:L$36,$U28)</f>
        <v>#N/A</v>
      </c>
      <c r="AG28" t="e" cm="1">
        <f t="array" ref="AG28">INDEX(M$9:M$36,$U28)</f>
        <v>#N/A</v>
      </c>
      <c r="AH28" t="e" cm="1">
        <f t="array" ref="AH28">INDEX(N$9:N$36,$U28)</f>
        <v>#N/A</v>
      </c>
      <c r="AI28" t="e" cm="1">
        <f t="array" ref="AI28">INDEX(O$9:O$36,$U28)</f>
        <v>#N/A</v>
      </c>
      <c r="AJ28" t="e" cm="1">
        <f t="array" ref="AJ28">INDEX(P$9:P$36,$U28)</f>
        <v>#N/A</v>
      </c>
    </row>
    <row r="29" spans="1:36" x14ac:dyDescent="0.4">
      <c r="A29">
        <v>21</v>
      </c>
      <c r="B29" t="str" cm="1">
        <f t="array" ref="B29">INDEX(auto_ddCountry,A29)</f>
        <v>Karachi</v>
      </c>
      <c r="D29" cm="1">
        <f t="array" ref="D29">IF(INDEX(auto_DataFlat_DataValue,K$8+$A29-1,1)="n/a","n/a",INDEX(auto_DataFlat_Score,D$8+$A29-1,1))</f>
        <v>33.200000000000003</v>
      </c>
      <c r="E29" cm="1">
        <f t="array" ref="E29">IF(INDEX(auto_DataFlat_DataValue,L$8+$A29-1,1)="n/a","n/a",INDEX(auto_DataFlat_Score,E$8+$A29-1,1))</f>
        <v>53.4</v>
      </c>
      <c r="F29" cm="1">
        <f t="array" ref="F29">IF(INDEX(auto_DataFlat_DataValue,M$8+$A29-1,1)="n/a","n/a",INDEX(auto_DataFlat_Score,F$8+$A29-1,1))</f>
        <v>50</v>
      </c>
      <c r="G29" t="e" cm="1">
        <f t="array" ref="G29">IF(INDEX(auto_DataFlat_DataValue,N$8+$A29-1,1)="n/a","n/a",INDEX(auto_DataFlat_Score,G$8+$A29-1,1))</f>
        <v>#N/A</v>
      </c>
      <c r="H29" t="e" cm="1">
        <f t="array" ref="H29">IF(INDEX(auto_DataFlat_DataValue,O$8+$A29-1,1)="n/a","n/a",INDEX(auto_DataFlat_Score,H$8+$A29-1,1))</f>
        <v>#N/A</v>
      </c>
      <c r="I29" t="e" cm="1">
        <f t="array" ref="I29">IF(INDEX(auto_DataFlat_DataValue,P$8+$A29-1,1)="n/a","n/a",INDEX(auto_DataFlat_Score,I$8+$A29-1,1))</f>
        <v>#N/A</v>
      </c>
      <c r="K29" cm="1">
        <f t="array" ref="K29">IF(INDEX(auto_DataFlat_DataValue,K$8+$A29-1,1)="n/a","n/a",INDEX(auto_DataFlat_Classification,K$8+$A29-1,1))</f>
        <v>2</v>
      </c>
      <c r="L29" cm="1">
        <f t="array" ref="L29">IF(INDEX(auto_DataFlat_DataValue,L$8+$A29-1,1)="n/a","n/a",INDEX(auto_DataFlat_Classification,L$8+$A29-1,1))</f>
        <v>3</v>
      </c>
      <c r="M29" cm="1">
        <f t="array" ref="M29">IF(INDEX(auto_DataFlat_DataValue,M$8+$A29-1,1)="n/a","n/a",INDEX(auto_DataFlat_Classification,M$8+$A29-1,1))</f>
        <v>3</v>
      </c>
      <c r="N29" t="e" cm="1">
        <f t="array" ref="N29">IF(INDEX(auto_DataFlat_DataValue,N$8+$A29-1,1)="n/a","n/a",INDEX(auto_DataFlat_Classification,N$8+$A29-1,1))</f>
        <v>#N/A</v>
      </c>
      <c r="O29" t="e" cm="1">
        <f t="array" ref="O29">IF(INDEX(auto_DataFlat_DataValue,O$8+$A29-1,1)="n/a","n/a",INDEX(auto_DataFlat_Classification,O$8+$A29-1,1))</f>
        <v>#N/A</v>
      </c>
      <c r="P29" t="e" cm="1">
        <f t="array" ref="P29">IF(INDEX(auto_DataFlat_DataValue,P$8+$A29-1,1)="n/a","n/a",INDEX(auto_DataFlat_Classification,P$8+$A29-1,1))</f>
        <v>#N/A</v>
      </c>
      <c r="R29" t="e">
        <f t="shared" si="4"/>
        <v>#N/A</v>
      </c>
      <c r="S29" t="e">
        <f t="shared" si="5"/>
        <v>#N/A</v>
      </c>
      <c r="T29" t="e">
        <f>RANK(S29,$S$9:$S$36)+COUNTIF(S$9:S29,S29)-1</f>
        <v>#N/A</v>
      </c>
      <c r="U29" t="e">
        <f t="shared" si="6"/>
        <v>#N/A</v>
      </c>
      <c r="V29" t="e" cm="1">
        <f t="array" ref="V29">INDEX($B$9:$B$36,U29)</f>
        <v>#N/A</v>
      </c>
      <c r="W29" t="e" cm="1">
        <f t="array" ref="W29">INDEX($S$9:$S$36,$U29)</f>
        <v>#N/A</v>
      </c>
      <c r="X29" t="e" cm="1">
        <f t="array" ref="X29">INDEX(D$9:D$36,$U29)</f>
        <v>#N/A</v>
      </c>
      <c r="Y29" t="e" cm="1">
        <f t="array" ref="Y29">INDEX(E$9:E$36,$U29)</f>
        <v>#N/A</v>
      </c>
      <c r="Z29" t="e" cm="1">
        <f t="array" ref="Z29">INDEX(F$9:F$36,$U29)</f>
        <v>#N/A</v>
      </c>
      <c r="AA29" t="e" cm="1">
        <f t="array" ref="AA29">INDEX(G$9:G$36,$U29)</f>
        <v>#N/A</v>
      </c>
      <c r="AB29" t="e" cm="1">
        <f t="array" ref="AB29">INDEX(H$9:H$36,$U29)</f>
        <v>#N/A</v>
      </c>
      <c r="AC29" t="e" cm="1">
        <f t="array" ref="AC29">INDEX(I$9:I$36,$U29)</f>
        <v>#N/A</v>
      </c>
      <c r="AE29" t="e" cm="1">
        <f t="array" ref="AE29">INDEX(K$9:K$36,$U29)</f>
        <v>#N/A</v>
      </c>
      <c r="AF29" t="e" cm="1">
        <f t="array" ref="AF29">INDEX(L$9:L$36,$U29)</f>
        <v>#N/A</v>
      </c>
      <c r="AG29" t="e" cm="1">
        <f t="array" ref="AG29">INDEX(M$9:M$36,$U29)</f>
        <v>#N/A</v>
      </c>
      <c r="AH29" t="e" cm="1">
        <f t="array" ref="AH29">INDEX(N$9:N$36,$U29)</f>
        <v>#N/A</v>
      </c>
      <c r="AI29" t="e" cm="1">
        <f t="array" ref="AI29">INDEX(O$9:O$36,$U29)</f>
        <v>#N/A</v>
      </c>
      <c r="AJ29" t="e" cm="1">
        <f t="array" ref="AJ29">INDEX(P$9:P$36,$U29)</f>
        <v>#N/A</v>
      </c>
    </row>
    <row r="30" spans="1:36" x14ac:dyDescent="0.4">
      <c r="A30">
        <v>22</v>
      </c>
      <c r="B30" t="str" cm="1">
        <f t="array" ref="B30">INDEX(auto_ddCountry,A30)</f>
        <v>Kathmandu</v>
      </c>
      <c r="D30" cm="1">
        <f t="array" ref="D30">IF(INDEX(auto_DataFlat_DataValue,K$8+$A30-1,1)="n/a","n/a",INDEX(auto_DataFlat_Score,D$8+$A30-1,1))</f>
        <v>43.3</v>
      </c>
      <c r="E30" cm="1">
        <f t="array" ref="E30">IF(INDEX(auto_DataFlat_DataValue,L$8+$A30-1,1)="n/a","n/a",INDEX(auto_DataFlat_Score,E$8+$A30-1,1))</f>
        <v>57</v>
      </c>
      <c r="F30" cm="1">
        <f t="array" ref="F30">IF(INDEX(auto_DataFlat_DataValue,M$8+$A30-1,1)="n/a","n/a",INDEX(auto_DataFlat_Score,F$8+$A30-1,1))</f>
        <v>50</v>
      </c>
      <c r="G30" t="e" cm="1">
        <f t="array" ref="G30">IF(INDEX(auto_DataFlat_DataValue,N$8+$A30-1,1)="n/a","n/a",INDEX(auto_DataFlat_Score,G$8+$A30-1,1))</f>
        <v>#N/A</v>
      </c>
      <c r="H30" t="e" cm="1">
        <f t="array" ref="H30">IF(INDEX(auto_DataFlat_DataValue,O$8+$A30-1,1)="n/a","n/a",INDEX(auto_DataFlat_Score,H$8+$A30-1,1))</f>
        <v>#N/A</v>
      </c>
      <c r="I30" t="e" cm="1">
        <f t="array" ref="I30">IF(INDEX(auto_DataFlat_DataValue,P$8+$A30-1,1)="n/a","n/a",INDEX(auto_DataFlat_Score,I$8+$A30-1,1))</f>
        <v>#N/A</v>
      </c>
      <c r="K30" cm="1">
        <f t="array" ref="K30">IF(INDEX(auto_DataFlat_DataValue,K$8+$A30-1,1)="n/a","n/a",INDEX(auto_DataFlat_Classification,K$8+$A30-1,1))</f>
        <v>3</v>
      </c>
      <c r="L30" cm="1">
        <f t="array" ref="L30">IF(INDEX(auto_DataFlat_DataValue,L$8+$A30-1,1)="n/a","n/a",INDEX(auto_DataFlat_Classification,L$8+$A30-1,1))</f>
        <v>3</v>
      </c>
      <c r="M30" cm="1">
        <f t="array" ref="M30">IF(INDEX(auto_DataFlat_DataValue,M$8+$A30-1,1)="n/a","n/a",INDEX(auto_DataFlat_Classification,M$8+$A30-1,1))</f>
        <v>3</v>
      </c>
      <c r="N30" t="e" cm="1">
        <f t="array" ref="N30">IF(INDEX(auto_DataFlat_DataValue,N$8+$A30-1,1)="n/a","n/a",INDEX(auto_DataFlat_Classification,N$8+$A30-1,1))</f>
        <v>#N/A</v>
      </c>
      <c r="O30" t="e" cm="1">
        <f t="array" ref="O30">IF(INDEX(auto_DataFlat_DataValue,O$8+$A30-1,1)="n/a","n/a",INDEX(auto_DataFlat_Classification,O$8+$A30-1,1))</f>
        <v>#N/A</v>
      </c>
      <c r="P30" t="e" cm="1">
        <f t="array" ref="P30">IF(INDEX(auto_DataFlat_DataValue,P$8+$A30-1,1)="n/a","n/a",INDEX(auto_DataFlat_Classification,P$8+$A30-1,1))</f>
        <v>#N/A</v>
      </c>
      <c r="R30" t="e">
        <f t="shared" si="4"/>
        <v>#N/A</v>
      </c>
      <c r="S30" t="e">
        <f t="shared" si="5"/>
        <v>#N/A</v>
      </c>
      <c r="T30" t="e">
        <f>RANK(S30,$S$9:$S$36)+COUNTIF(S$9:S30,S30)-1</f>
        <v>#N/A</v>
      </c>
      <c r="U30" t="e">
        <f t="shared" si="6"/>
        <v>#N/A</v>
      </c>
      <c r="V30" t="e" cm="1">
        <f t="array" ref="V30">INDEX($B$9:$B$36,U30)</f>
        <v>#N/A</v>
      </c>
      <c r="W30" t="e" cm="1">
        <f t="array" ref="W30">INDEX($S$9:$S$36,$U30)</f>
        <v>#N/A</v>
      </c>
      <c r="X30" t="e" cm="1">
        <f t="array" ref="X30">INDEX(D$9:D$36,$U30)</f>
        <v>#N/A</v>
      </c>
      <c r="Y30" t="e" cm="1">
        <f t="array" ref="Y30">INDEX(E$9:E$36,$U30)</f>
        <v>#N/A</v>
      </c>
      <c r="Z30" t="e" cm="1">
        <f t="array" ref="Z30">INDEX(F$9:F$36,$U30)</f>
        <v>#N/A</v>
      </c>
      <c r="AA30" t="e" cm="1">
        <f t="array" ref="AA30">INDEX(G$9:G$36,$U30)</f>
        <v>#N/A</v>
      </c>
      <c r="AB30" t="e" cm="1">
        <f t="array" ref="AB30">INDEX(H$9:H$36,$U30)</f>
        <v>#N/A</v>
      </c>
      <c r="AC30" t="e" cm="1">
        <f t="array" ref="AC30">INDEX(I$9:I$36,$U30)</f>
        <v>#N/A</v>
      </c>
      <c r="AE30" t="e" cm="1">
        <f t="array" ref="AE30">INDEX(K$9:K$36,$U30)</f>
        <v>#N/A</v>
      </c>
      <c r="AF30" t="e" cm="1">
        <f t="array" ref="AF30">INDEX(L$9:L$36,$U30)</f>
        <v>#N/A</v>
      </c>
      <c r="AG30" t="e" cm="1">
        <f t="array" ref="AG30">INDEX(M$9:M$36,$U30)</f>
        <v>#N/A</v>
      </c>
      <c r="AH30" t="e" cm="1">
        <f t="array" ref="AH30">INDEX(N$9:N$36,$U30)</f>
        <v>#N/A</v>
      </c>
      <c r="AI30" t="e" cm="1">
        <f t="array" ref="AI30">INDEX(O$9:O$36,$U30)</f>
        <v>#N/A</v>
      </c>
      <c r="AJ30" t="e" cm="1">
        <f t="array" ref="AJ30">INDEX(P$9:P$36,$U30)</f>
        <v>#N/A</v>
      </c>
    </row>
    <row r="31" spans="1:36" x14ac:dyDescent="0.4">
      <c r="A31">
        <v>23</v>
      </c>
      <c r="B31" t="str" cm="1">
        <f t="array" ref="B31">INDEX(auto_ddCountry,A31)</f>
        <v>Kolkata</v>
      </c>
      <c r="D31" cm="1">
        <f t="array" ref="D31">IF(INDEX(auto_DataFlat_DataValue,K$8+$A31-1,1)="n/a","n/a",INDEX(auto_DataFlat_Score,D$8+$A31-1,1))</f>
        <v>33</v>
      </c>
      <c r="E31" cm="1">
        <f t="array" ref="E31">IF(INDEX(auto_DataFlat_DataValue,L$8+$A31-1,1)="n/a","n/a",INDEX(auto_DataFlat_Score,E$8+$A31-1,1))</f>
        <v>59.5</v>
      </c>
      <c r="F31" cm="1">
        <f t="array" ref="F31">IF(INDEX(auto_DataFlat_DataValue,M$8+$A31-1,1)="n/a","n/a",INDEX(auto_DataFlat_Score,F$8+$A31-1,1))</f>
        <v>100</v>
      </c>
      <c r="G31" t="e" cm="1">
        <f t="array" ref="G31">IF(INDEX(auto_DataFlat_DataValue,N$8+$A31-1,1)="n/a","n/a",INDEX(auto_DataFlat_Score,G$8+$A31-1,1))</f>
        <v>#N/A</v>
      </c>
      <c r="H31" t="e" cm="1">
        <f t="array" ref="H31">IF(INDEX(auto_DataFlat_DataValue,O$8+$A31-1,1)="n/a","n/a",INDEX(auto_DataFlat_Score,H$8+$A31-1,1))</f>
        <v>#N/A</v>
      </c>
      <c r="I31" t="e" cm="1">
        <f t="array" ref="I31">IF(INDEX(auto_DataFlat_DataValue,P$8+$A31-1,1)="n/a","n/a",INDEX(auto_DataFlat_Score,I$8+$A31-1,1))</f>
        <v>#N/A</v>
      </c>
      <c r="K31" cm="1">
        <f t="array" ref="K31">IF(INDEX(auto_DataFlat_DataValue,K$8+$A31-1,1)="n/a","n/a",INDEX(auto_DataFlat_Classification,K$8+$A31-1,1))</f>
        <v>2</v>
      </c>
      <c r="L31" cm="1">
        <f t="array" ref="L31">IF(INDEX(auto_DataFlat_DataValue,L$8+$A31-1,1)="n/a","n/a",INDEX(auto_DataFlat_Classification,L$8+$A31-1,1))</f>
        <v>3</v>
      </c>
      <c r="M31" cm="1">
        <f t="array" ref="M31">IF(INDEX(auto_DataFlat_DataValue,M$8+$A31-1,1)="n/a","n/a",INDEX(auto_DataFlat_Classification,M$8+$A31-1,1))</f>
        <v>5</v>
      </c>
      <c r="N31" t="e" cm="1">
        <f t="array" ref="N31">IF(INDEX(auto_DataFlat_DataValue,N$8+$A31-1,1)="n/a","n/a",INDEX(auto_DataFlat_Classification,N$8+$A31-1,1))</f>
        <v>#N/A</v>
      </c>
      <c r="O31" t="e" cm="1">
        <f t="array" ref="O31">IF(INDEX(auto_DataFlat_DataValue,O$8+$A31-1,1)="n/a","n/a",INDEX(auto_DataFlat_Classification,O$8+$A31-1,1))</f>
        <v>#N/A</v>
      </c>
      <c r="P31" t="e" cm="1">
        <f t="array" ref="P31">IF(INDEX(auto_DataFlat_DataValue,P$8+$A31-1,1)="n/a","n/a",INDEX(auto_DataFlat_Classification,P$8+$A31-1,1))</f>
        <v>#N/A</v>
      </c>
      <c r="R31" t="e">
        <f t="shared" si="4"/>
        <v>#N/A</v>
      </c>
      <c r="S31" t="e">
        <f t="shared" si="5"/>
        <v>#N/A</v>
      </c>
      <c r="T31" t="e">
        <f>RANK(S31,$S$9:$S$36)+COUNTIF(S$9:S31,S31)-1</f>
        <v>#N/A</v>
      </c>
      <c r="U31" t="e">
        <f t="shared" si="6"/>
        <v>#N/A</v>
      </c>
      <c r="V31" t="e" cm="1">
        <f t="array" ref="V31">INDEX($B$9:$B$36,U31)</f>
        <v>#N/A</v>
      </c>
      <c r="W31" t="e" cm="1">
        <f t="array" ref="W31">INDEX($S$9:$S$36,$U31)</f>
        <v>#N/A</v>
      </c>
      <c r="X31" t="e" cm="1">
        <f t="array" ref="X31">INDEX(D$9:D$36,$U31)</f>
        <v>#N/A</v>
      </c>
      <c r="Y31" t="e" cm="1">
        <f t="array" ref="Y31">INDEX(E$9:E$36,$U31)</f>
        <v>#N/A</v>
      </c>
      <c r="Z31" t="e" cm="1">
        <f t="array" ref="Z31">INDEX(F$9:F$36,$U31)</f>
        <v>#N/A</v>
      </c>
      <c r="AA31" t="e" cm="1">
        <f t="array" ref="AA31">INDEX(G$9:G$36,$U31)</f>
        <v>#N/A</v>
      </c>
      <c r="AB31" t="e" cm="1">
        <f t="array" ref="AB31">INDEX(H$9:H$36,$U31)</f>
        <v>#N/A</v>
      </c>
      <c r="AC31" t="e" cm="1">
        <f t="array" ref="AC31">INDEX(I$9:I$36,$U31)</f>
        <v>#N/A</v>
      </c>
      <c r="AE31" t="e" cm="1">
        <f t="array" ref="AE31">INDEX(K$9:K$36,$U31)</f>
        <v>#N/A</v>
      </c>
      <c r="AF31" t="e" cm="1">
        <f t="array" ref="AF31">INDEX(L$9:L$36,$U31)</f>
        <v>#N/A</v>
      </c>
      <c r="AG31" t="e" cm="1">
        <f t="array" ref="AG31">INDEX(M$9:M$36,$U31)</f>
        <v>#N/A</v>
      </c>
      <c r="AH31" t="e" cm="1">
        <f t="array" ref="AH31">INDEX(N$9:N$36,$U31)</f>
        <v>#N/A</v>
      </c>
      <c r="AI31" t="e" cm="1">
        <f t="array" ref="AI31">INDEX(O$9:O$36,$U31)</f>
        <v>#N/A</v>
      </c>
      <c r="AJ31" t="e" cm="1">
        <f t="array" ref="AJ31">INDEX(P$9:P$36,$U31)</f>
        <v>#N/A</v>
      </c>
    </row>
    <row r="32" spans="1:36" x14ac:dyDescent="0.4">
      <c r="A32">
        <v>24</v>
      </c>
      <c r="B32" t="str" cm="1">
        <f t="array" ref="B32">INDEX(auto_ddCountry,A32)</f>
        <v>Kuwait City</v>
      </c>
      <c r="D32" cm="1">
        <f t="array" ref="D32">IF(INDEX(auto_DataFlat_DataValue,K$8+$A32-1,1)="n/a","n/a",INDEX(auto_DataFlat_Score,D$8+$A32-1,1))</f>
        <v>16.5</v>
      </c>
      <c r="E32" cm="1">
        <f t="array" ref="E32">IF(INDEX(auto_DataFlat_DataValue,L$8+$A32-1,1)="n/a","n/a",INDEX(auto_DataFlat_Score,E$8+$A32-1,1))</f>
        <v>29.8</v>
      </c>
      <c r="F32" cm="1">
        <f t="array" ref="F32">IF(INDEX(auto_DataFlat_DataValue,M$8+$A32-1,1)="n/a","n/a",INDEX(auto_DataFlat_Score,F$8+$A32-1,1))</f>
        <v>50</v>
      </c>
      <c r="G32" t="e" cm="1">
        <f t="array" ref="G32">IF(INDEX(auto_DataFlat_DataValue,N$8+$A32-1,1)="n/a","n/a",INDEX(auto_DataFlat_Score,G$8+$A32-1,1))</f>
        <v>#N/A</v>
      </c>
      <c r="H32" t="e" cm="1">
        <f t="array" ref="H32">IF(INDEX(auto_DataFlat_DataValue,O$8+$A32-1,1)="n/a","n/a",INDEX(auto_DataFlat_Score,H$8+$A32-1,1))</f>
        <v>#N/A</v>
      </c>
      <c r="I32" t="e" cm="1">
        <f t="array" ref="I32">IF(INDEX(auto_DataFlat_DataValue,P$8+$A32-1,1)="n/a","n/a",INDEX(auto_DataFlat_Score,I$8+$A32-1,1))</f>
        <v>#N/A</v>
      </c>
      <c r="K32" cm="1">
        <f t="array" ref="K32">IF(INDEX(auto_DataFlat_DataValue,K$8+$A32-1,1)="n/a","n/a",INDEX(auto_DataFlat_Classification,K$8+$A32-1,1))</f>
        <v>1</v>
      </c>
      <c r="L32" cm="1">
        <f t="array" ref="L32">IF(INDEX(auto_DataFlat_DataValue,L$8+$A32-1,1)="n/a","n/a",INDEX(auto_DataFlat_Classification,L$8+$A32-1,1))</f>
        <v>2</v>
      </c>
      <c r="M32" cm="1">
        <f t="array" ref="M32">IF(INDEX(auto_DataFlat_DataValue,M$8+$A32-1,1)="n/a","n/a",INDEX(auto_DataFlat_Classification,M$8+$A32-1,1))</f>
        <v>3</v>
      </c>
      <c r="N32" t="e" cm="1">
        <f t="array" ref="N32">IF(INDEX(auto_DataFlat_DataValue,N$8+$A32-1,1)="n/a","n/a",INDEX(auto_DataFlat_Classification,N$8+$A32-1,1))</f>
        <v>#N/A</v>
      </c>
      <c r="O32" t="e" cm="1">
        <f t="array" ref="O32">IF(INDEX(auto_DataFlat_DataValue,O$8+$A32-1,1)="n/a","n/a",INDEX(auto_DataFlat_Classification,O$8+$A32-1,1))</f>
        <v>#N/A</v>
      </c>
      <c r="P32" t="e" cm="1">
        <f t="array" ref="P32">IF(INDEX(auto_DataFlat_DataValue,P$8+$A32-1,1)="n/a","n/a",INDEX(auto_DataFlat_Classification,P$8+$A32-1,1))</f>
        <v>#N/A</v>
      </c>
      <c r="R32" t="e">
        <f t="shared" si="4"/>
        <v>#N/A</v>
      </c>
      <c r="S32" t="e">
        <f t="shared" si="5"/>
        <v>#N/A</v>
      </c>
      <c r="T32" t="e">
        <f>RANK(S32,$S$9:$S$36)+COUNTIF(S$9:S32,S32)-1</f>
        <v>#N/A</v>
      </c>
      <c r="U32" t="e">
        <f t="shared" si="6"/>
        <v>#N/A</v>
      </c>
      <c r="V32" t="e" cm="1">
        <f t="array" ref="V32">INDEX($B$9:$B$36,U32)</f>
        <v>#N/A</v>
      </c>
      <c r="W32" t="e" cm="1">
        <f t="array" ref="W32">INDEX($S$9:$S$36,$U32)</f>
        <v>#N/A</v>
      </c>
      <c r="X32" t="e" cm="1">
        <f t="array" ref="X32">INDEX(D$9:D$36,$U32)</f>
        <v>#N/A</v>
      </c>
      <c r="Y32" t="e" cm="1">
        <f t="array" ref="Y32">INDEX(E$9:E$36,$U32)</f>
        <v>#N/A</v>
      </c>
      <c r="Z32" t="e" cm="1">
        <f t="array" ref="Z32">INDEX(F$9:F$36,$U32)</f>
        <v>#N/A</v>
      </c>
      <c r="AA32" t="e" cm="1">
        <f t="array" ref="AA32">INDEX(G$9:G$36,$U32)</f>
        <v>#N/A</v>
      </c>
      <c r="AB32" t="e" cm="1">
        <f t="array" ref="AB32">INDEX(H$9:H$36,$U32)</f>
        <v>#N/A</v>
      </c>
      <c r="AC32" t="e" cm="1">
        <f t="array" ref="AC32">INDEX(I$9:I$36,$U32)</f>
        <v>#N/A</v>
      </c>
      <c r="AE32" t="e" cm="1">
        <f t="array" ref="AE32">INDEX(K$9:K$36,$U32)</f>
        <v>#N/A</v>
      </c>
      <c r="AF32" t="e" cm="1">
        <f t="array" ref="AF32">INDEX(L$9:L$36,$U32)</f>
        <v>#N/A</v>
      </c>
      <c r="AG32" t="e" cm="1">
        <f t="array" ref="AG32">INDEX(M$9:M$36,$U32)</f>
        <v>#N/A</v>
      </c>
      <c r="AH32" t="e" cm="1">
        <f t="array" ref="AH32">INDEX(N$9:N$36,$U32)</f>
        <v>#N/A</v>
      </c>
      <c r="AI32" t="e" cm="1">
        <f t="array" ref="AI32">INDEX(O$9:O$36,$U32)</f>
        <v>#N/A</v>
      </c>
      <c r="AJ32" t="e" cm="1">
        <f t="array" ref="AJ32">INDEX(P$9:P$36,$U32)</f>
        <v>#N/A</v>
      </c>
    </row>
    <row r="33" spans="1:36" x14ac:dyDescent="0.4">
      <c r="A33">
        <v>25</v>
      </c>
      <c r="B33" t="str" cm="1">
        <f t="array" ref="B33">INDEX(auto_ddCountry,A33)</f>
        <v>Lagos</v>
      </c>
      <c r="D33" cm="1">
        <f t="array" ref="D33">IF(INDEX(auto_DataFlat_DataValue,K$8+$A33-1,1)="n/a","n/a",INDEX(auto_DataFlat_Score,D$8+$A33-1,1))</f>
        <v>36.5</v>
      </c>
      <c r="E33" cm="1">
        <f t="array" ref="E33">IF(INDEX(auto_DataFlat_DataValue,L$8+$A33-1,1)="n/a","n/a",INDEX(auto_DataFlat_Score,E$8+$A33-1,1))</f>
        <v>32</v>
      </c>
      <c r="F33" cm="1">
        <f t="array" ref="F33">IF(INDEX(auto_DataFlat_DataValue,M$8+$A33-1,1)="n/a","n/a",INDEX(auto_DataFlat_Score,F$8+$A33-1,1))</f>
        <v>50</v>
      </c>
      <c r="G33" t="e" cm="1">
        <f t="array" ref="G33">IF(INDEX(auto_DataFlat_DataValue,N$8+$A33-1,1)="n/a","n/a",INDEX(auto_DataFlat_Score,G$8+$A33-1,1))</f>
        <v>#N/A</v>
      </c>
      <c r="H33" t="e" cm="1">
        <f t="array" ref="H33">IF(INDEX(auto_DataFlat_DataValue,O$8+$A33-1,1)="n/a","n/a",INDEX(auto_DataFlat_Score,H$8+$A33-1,1))</f>
        <v>#N/A</v>
      </c>
      <c r="I33" t="e" cm="1">
        <f t="array" ref="I33">IF(INDEX(auto_DataFlat_DataValue,P$8+$A33-1,1)="n/a","n/a",INDEX(auto_DataFlat_Score,I$8+$A33-1,1))</f>
        <v>#N/A</v>
      </c>
      <c r="K33" cm="1">
        <f t="array" ref="K33">IF(INDEX(auto_DataFlat_DataValue,K$8+$A33-1,1)="n/a","n/a",INDEX(auto_DataFlat_Classification,K$8+$A33-1,1))</f>
        <v>2</v>
      </c>
      <c r="L33" cm="1">
        <f t="array" ref="L33">IF(INDEX(auto_DataFlat_DataValue,L$8+$A33-1,1)="n/a","n/a",INDEX(auto_DataFlat_Classification,L$8+$A33-1,1))</f>
        <v>2</v>
      </c>
      <c r="M33" cm="1">
        <f t="array" ref="M33">IF(INDEX(auto_DataFlat_DataValue,M$8+$A33-1,1)="n/a","n/a",INDEX(auto_DataFlat_Classification,M$8+$A33-1,1))</f>
        <v>3</v>
      </c>
      <c r="N33" t="e" cm="1">
        <f t="array" ref="N33">IF(INDEX(auto_DataFlat_DataValue,N$8+$A33-1,1)="n/a","n/a",INDEX(auto_DataFlat_Classification,N$8+$A33-1,1))</f>
        <v>#N/A</v>
      </c>
      <c r="O33" t="e" cm="1">
        <f t="array" ref="O33">IF(INDEX(auto_DataFlat_DataValue,O$8+$A33-1,1)="n/a","n/a",INDEX(auto_DataFlat_Classification,O$8+$A33-1,1))</f>
        <v>#N/A</v>
      </c>
      <c r="P33" t="e" cm="1">
        <f t="array" ref="P33">IF(INDEX(auto_DataFlat_DataValue,P$8+$A33-1,1)="n/a","n/a",INDEX(auto_DataFlat_Classification,P$8+$A33-1,1))</f>
        <v>#N/A</v>
      </c>
      <c r="R33" t="e">
        <f t="shared" si="4"/>
        <v>#N/A</v>
      </c>
      <c r="S33" t="e">
        <f t="shared" si="5"/>
        <v>#N/A</v>
      </c>
      <c r="T33" t="e">
        <f>RANK(S33,$S$9:$S$36)+COUNTIF(S$9:S33,S33)-1</f>
        <v>#N/A</v>
      </c>
      <c r="U33" t="e">
        <f t="shared" si="6"/>
        <v>#N/A</v>
      </c>
      <c r="V33" t="e" cm="1">
        <f t="array" ref="V33">INDEX($B$9:$B$36,U33)</f>
        <v>#N/A</v>
      </c>
      <c r="W33" t="e" cm="1">
        <f t="array" ref="W33">INDEX($S$9:$S$36,$U33)</f>
        <v>#N/A</v>
      </c>
      <c r="X33" t="e" cm="1">
        <f t="array" ref="X33">INDEX(D$9:D$36,$U33)</f>
        <v>#N/A</v>
      </c>
      <c r="Y33" t="e" cm="1">
        <f t="array" ref="Y33">INDEX(E$9:E$36,$U33)</f>
        <v>#N/A</v>
      </c>
      <c r="Z33" t="e" cm="1">
        <f t="array" ref="Z33">INDEX(F$9:F$36,$U33)</f>
        <v>#N/A</v>
      </c>
      <c r="AA33" t="e" cm="1">
        <f t="array" ref="AA33">INDEX(G$9:G$36,$U33)</f>
        <v>#N/A</v>
      </c>
      <c r="AB33" t="e" cm="1">
        <f t="array" ref="AB33">INDEX(H$9:H$36,$U33)</f>
        <v>#N/A</v>
      </c>
      <c r="AC33" t="e" cm="1">
        <f t="array" ref="AC33">INDEX(I$9:I$36,$U33)</f>
        <v>#N/A</v>
      </c>
      <c r="AE33" t="e" cm="1">
        <f t="array" ref="AE33">INDEX(K$9:K$36,$U33)</f>
        <v>#N/A</v>
      </c>
      <c r="AF33" t="e" cm="1">
        <f t="array" ref="AF33">INDEX(L$9:L$36,$U33)</f>
        <v>#N/A</v>
      </c>
      <c r="AG33" t="e" cm="1">
        <f t="array" ref="AG33">INDEX(M$9:M$36,$U33)</f>
        <v>#N/A</v>
      </c>
      <c r="AH33" t="e" cm="1">
        <f t="array" ref="AH33">INDEX(N$9:N$36,$U33)</f>
        <v>#N/A</v>
      </c>
      <c r="AI33" t="e" cm="1">
        <f t="array" ref="AI33">INDEX(O$9:O$36,$U33)</f>
        <v>#N/A</v>
      </c>
      <c r="AJ33" t="e" cm="1">
        <f t="array" ref="AJ33">INDEX(P$9:P$36,$U33)</f>
        <v>#N/A</v>
      </c>
    </row>
    <row r="34" spans="1:36" x14ac:dyDescent="0.4">
      <c r="A34">
        <v>26</v>
      </c>
      <c r="B34" t="str" cm="1">
        <f t="array" ref="B34">INDEX(auto_ddCountry,A34)</f>
        <v>London</v>
      </c>
      <c r="D34" cm="1">
        <f t="array" ref="D34">IF(INDEX(auto_DataFlat_DataValue,K$8+$A34-1,1)="n/a","n/a",INDEX(auto_DataFlat_Score,D$8+$A34-1,1))</f>
        <v>82.1</v>
      </c>
      <c r="E34" cm="1">
        <f t="array" ref="E34">IF(INDEX(auto_DataFlat_DataValue,L$8+$A34-1,1)="n/a","n/a",INDEX(auto_DataFlat_Score,E$8+$A34-1,1))</f>
        <v>61.8</v>
      </c>
      <c r="F34" cm="1">
        <f t="array" ref="F34">IF(INDEX(auto_DataFlat_DataValue,M$8+$A34-1,1)="n/a","n/a",INDEX(auto_DataFlat_Score,F$8+$A34-1,1))</f>
        <v>100</v>
      </c>
      <c r="G34" t="e" cm="1">
        <f t="array" ref="G34">IF(INDEX(auto_DataFlat_DataValue,N$8+$A34-1,1)="n/a","n/a",INDEX(auto_DataFlat_Score,G$8+$A34-1,1))</f>
        <v>#N/A</v>
      </c>
      <c r="H34" t="e" cm="1">
        <f t="array" ref="H34">IF(INDEX(auto_DataFlat_DataValue,O$8+$A34-1,1)="n/a","n/a",INDEX(auto_DataFlat_Score,H$8+$A34-1,1))</f>
        <v>#N/A</v>
      </c>
      <c r="I34" t="e" cm="1">
        <f t="array" ref="I34">IF(INDEX(auto_DataFlat_DataValue,P$8+$A34-1,1)="n/a","n/a",INDEX(auto_DataFlat_Score,I$8+$A34-1,1))</f>
        <v>#N/A</v>
      </c>
      <c r="K34" cm="1">
        <f t="array" ref="K34">IF(INDEX(auto_DataFlat_DataValue,K$8+$A34-1,1)="n/a","n/a",INDEX(auto_DataFlat_Classification,K$8+$A34-1,1))</f>
        <v>5</v>
      </c>
      <c r="L34" cm="1">
        <f t="array" ref="L34">IF(INDEX(auto_DataFlat_DataValue,L$8+$A34-1,1)="n/a","n/a",INDEX(auto_DataFlat_Classification,L$8+$A34-1,1))</f>
        <v>4</v>
      </c>
      <c r="M34" cm="1">
        <f t="array" ref="M34">IF(INDEX(auto_DataFlat_DataValue,M$8+$A34-1,1)="n/a","n/a",INDEX(auto_DataFlat_Classification,M$8+$A34-1,1))</f>
        <v>5</v>
      </c>
      <c r="N34" t="e" cm="1">
        <f t="array" ref="N34">IF(INDEX(auto_DataFlat_DataValue,N$8+$A34-1,1)="n/a","n/a",INDEX(auto_DataFlat_Classification,N$8+$A34-1,1))</f>
        <v>#N/A</v>
      </c>
      <c r="O34" t="e" cm="1">
        <f t="array" ref="O34">IF(INDEX(auto_DataFlat_DataValue,O$8+$A34-1,1)="n/a","n/a",INDEX(auto_DataFlat_Classification,O$8+$A34-1,1))</f>
        <v>#N/A</v>
      </c>
      <c r="P34" t="e" cm="1">
        <f t="array" ref="P34">IF(INDEX(auto_DataFlat_DataValue,P$8+$A34-1,1)="n/a","n/a",INDEX(auto_DataFlat_Classification,P$8+$A34-1,1))</f>
        <v>#N/A</v>
      </c>
      <c r="R34" t="e">
        <f t="shared" si="4"/>
        <v>#N/A</v>
      </c>
      <c r="S34" t="e">
        <f t="shared" si="5"/>
        <v>#N/A</v>
      </c>
      <c r="T34" t="e">
        <f>RANK(S34,$S$9:$S$36)+COUNTIF(S$9:S34,S34)-1</f>
        <v>#N/A</v>
      </c>
      <c r="U34" t="e">
        <f t="shared" si="6"/>
        <v>#N/A</v>
      </c>
      <c r="V34" t="e" cm="1">
        <f t="array" ref="V34">INDEX($B$9:$B$36,U34)</f>
        <v>#N/A</v>
      </c>
      <c r="W34" t="e" cm="1">
        <f t="array" ref="W34">INDEX($S$9:$S$36,$U34)</f>
        <v>#N/A</v>
      </c>
      <c r="X34" t="e" cm="1">
        <f t="array" ref="X34">INDEX(D$9:D$36,$U34)</f>
        <v>#N/A</v>
      </c>
      <c r="Y34" t="e" cm="1">
        <f t="array" ref="Y34">INDEX(E$9:E$36,$U34)</f>
        <v>#N/A</v>
      </c>
      <c r="Z34" t="e" cm="1">
        <f t="array" ref="Z34">INDEX(F$9:F$36,$U34)</f>
        <v>#N/A</v>
      </c>
      <c r="AA34" t="e" cm="1">
        <f t="array" ref="AA34">INDEX(G$9:G$36,$U34)</f>
        <v>#N/A</v>
      </c>
      <c r="AB34" t="e" cm="1">
        <f t="array" ref="AB34">INDEX(H$9:H$36,$U34)</f>
        <v>#N/A</v>
      </c>
      <c r="AC34" t="e" cm="1">
        <f t="array" ref="AC34">INDEX(I$9:I$36,$U34)</f>
        <v>#N/A</v>
      </c>
      <c r="AE34" t="e" cm="1">
        <f t="array" ref="AE34">INDEX(K$9:K$36,$U34)</f>
        <v>#N/A</v>
      </c>
      <c r="AF34" t="e" cm="1">
        <f t="array" ref="AF34">INDEX(L$9:L$36,$U34)</f>
        <v>#N/A</v>
      </c>
      <c r="AG34" t="e" cm="1">
        <f t="array" ref="AG34">INDEX(M$9:M$36,$U34)</f>
        <v>#N/A</v>
      </c>
      <c r="AH34" t="e" cm="1">
        <f t="array" ref="AH34">INDEX(N$9:N$36,$U34)</f>
        <v>#N/A</v>
      </c>
      <c r="AI34" t="e" cm="1">
        <f t="array" ref="AI34">INDEX(O$9:O$36,$U34)</f>
        <v>#N/A</v>
      </c>
      <c r="AJ34" t="e" cm="1">
        <f t="array" ref="AJ34">INDEX(P$9:P$36,$U34)</f>
        <v>#N/A</v>
      </c>
    </row>
    <row r="35" spans="1:36" x14ac:dyDescent="0.4">
      <c r="A35">
        <v>27</v>
      </c>
      <c r="B35" t="str" cm="1">
        <f t="array" ref="B35">INDEX(auto_ddCountry,A35)</f>
        <v>Madrid</v>
      </c>
      <c r="D35" cm="1">
        <f t="array" ref="D35">IF(INDEX(auto_DataFlat_DataValue,K$8+$A35-1,1)="n/a","n/a",INDEX(auto_DataFlat_Score,D$8+$A35-1,1))</f>
        <v>86.6</v>
      </c>
      <c r="E35" cm="1">
        <f t="array" ref="E35">IF(INDEX(auto_DataFlat_DataValue,L$8+$A35-1,1)="n/a","n/a",INDEX(auto_DataFlat_Score,E$8+$A35-1,1))</f>
        <v>86.4</v>
      </c>
      <c r="F35" cm="1">
        <f t="array" ref="F35">IF(INDEX(auto_DataFlat_DataValue,M$8+$A35-1,1)="n/a","n/a",INDEX(auto_DataFlat_Score,F$8+$A35-1,1))</f>
        <v>100</v>
      </c>
      <c r="G35" t="e" cm="1">
        <f t="array" ref="G35">IF(INDEX(auto_DataFlat_DataValue,N$8+$A35-1,1)="n/a","n/a",INDEX(auto_DataFlat_Score,G$8+$A35-1,1))</f>
        <v>#N/A</v>
      </c>
      <c r="H35" t="e" cm="1">
        <f t="array" ref="H35">IF(INDEX(auto_DataFlat_DataValue,O$8+$A35-1,1)="n/a","n/a",INDEX(auto_DataFlat_Score,H$8+$A35-1,1))</f>
        <v>#N/A</v>
      </c>
      <c r="I35" t="e" cm="1">
        <f t="array" ref="I35">IF(INDEX(auto_DataFlat_DataValue,P$8+$A35-1,1)="n/a","n/a",INDEX(auto_DataFlat_Score,I$8+$A35-1,1))</f>
        <v>#N/A</v>
      </c>
      <c r="K35" cm="1">
        <f t="array" ref="K35">IF(INDEX(auto_DataFlat_DataValue,K$8+$A35-1,1)="n/a","n/a",INDEX(auto_DataFlat_Classification,K$8+$A35-1,1))</f>
        <v>5</v>
      </c>
      <c r="L35" cm="1">
        <f t="array" ref="L35">IF(INDEX(auto_DataFlat_DataValue,L$8+$A35-1,1)="n/a","n/a",INDEX(auto_DataFlat_Classification,L$8+$A35-1,1))</f>
        <v>5</v>
      </c>
      <c r="M35" cm="1">
        <f t="array" ref="M35">IF(INDEX(auto_DataFlat_DataValue,M$8+$A35-1,1)="n/a","n/a",INDEX(auto_DataFlat_Classification,M$8+$A35-1,1))</f>
        <v>5</v>
      </c>
      <c r="N35" t="e" cm="1">
        <f t="array" ref="N35">IF(INDEX(auto_DataFlat_DataValue,N$8+$A35-1,1)="n/a","n/a",INDEX(auto_DataFlat_Classification,N$8+$A35-1,1))</f>
        <v>#N/A</v>
      </c>
      <c r="O35" t="e" cm="1">
        <f t="array" ref="O35">IF(INDEX(auto_DataFlat_DataValue,O$8+$A35-1,1)="n/a","n/a",INDEX(auto_DataFlat_Classification,O$8+$A35-1,1))</f>
        <v>#N/A</v>
      </c>
      <c r="P35" t="e" cm="1">
        <f t="array" ref="P35">IF(INDEX(auto_DataFlat_DataValue,P$8+$A35-1,1)="n/a","n/a",INDEX(auto_DataFlat_Classification,P$8+$A35-1,1))</f>
        <v>#N/A</v>
      </c>
      <c r="R35" t="e">
        <f t="shared" si="4"/>
        <v>#N/A</v>
      </c>
      <c r="S35" t="e">
        <f t="shared" si="5"/>
        <v>#N/A</v>
      </c>
      <c r="T35" t="e">
        <f>RANK(S35,$S$9:$S$36)+COUNTIF(S$9:S35,S35)-1</f>
        <v>#N/A</v>
      </c>
      <c r="U35" t="e">
        <f t="shared" si="6"/>
        <v>#N/A</v>
      </c>
      <c r="V35" t="e" cm="1">
        <f t="array" ref="V35">INDEX($B$9:$B$36,U35)</f>
        <v>#N/A</v>
      </c>
      <c r="W35" t="e" cm="1">
        <f t="array" ref="W35">INDEX($S$9:$S$36,$U35)</f>
        <v>#N/A</v>
      </c>
      <c r="X35" t="e" cm="1">
        <f t="array" ref="X35">INDEX(D$9:D$36,$U35)</f>
        <v>#N/A</v>
      </c>
      <c r="Y35" t="e" cm="1">
        <f t="array" ref="Y35">INDEX(E$9:E$36,$U35)</f>
        <v>#N/A</v>
      </c>
      <c r="Z35" t="e" cm="1">
        <f t="array" ref="Z35">INDEX(F$9:F$36,$U35)</f>
        <v>#N/A</v>
      </c>
      <c r="AA35" t="e" cm="1">
        <f t="array" ref="AA35">INDEX(G$9:G$36,$U35)</f>
        <v>#N/A</v>
      </c>
      <c r="AB35" t="e" cm="1">
        <f t="array" ref="AB35">INDEX(H$9:H$36,$U35)</f>
        <v>#N/A</v>
      </c>
      <c r="AC35" t="e" cm="1">
        <f t="array" ref="AC35">INDEX(I$9:I$36,$U35)</f>
        <v>#N/A</v>
      </c>
      <c r="AE35" t="e" cm="1">
        <f t="array" ref="AE35">INDEX(K$9:K$36,$U35)</f>
        <v>#N/A</v>
      </c>
      <c r="AF35" t="e" cm="1">
        <f t="array" ref="AF35">INDEX(L$9:L$36,$U35)</f>
        <v>#N/A</v>
      </c>
      <c r="AG35" t="e" cm="1">
        <f t="array" ref="AG35">INDEX(M$9:M$36,$U35)</f>
        <v>#N/A</v>
      </c>
      <c r="AH35" t="e" cm="1">
        <f t="array" ref="AH35">INDEX(N$9:N$36,$U35)</f>
        <v>#N/A</v>
      </c>
      <c r="AI35" t="e" cm="1">
        <f t="array" ref="AI35">INDEX(O$9:O$36,$U35)</f>
        <v>#N/A</v>
      </c>
      <c r="AJ35" t="e" cm="1">
        <f t="array" ref="AJ35">INDEX(P$9:P$36,$U35)</f>
        <v>#N/A</v>
      </c>
    </row>
    <row r="36" spans="1:36" x14ac:dyDescent="0.4">
      <c r="A36">
        <v>28</v>
      </c>
      <c r="B36" t="str" cm="1">
        <f t="array" ref="B36">INDEX(auto_ddCountry,A36)</f>
        <v>Manila</v>
      </c>
      <c r="D36" cm="1">
        <f t="array" ref="D36">IF(INDEX(auto_DataFlat_DataValue,K$8+$A36-1,1)="n/a","n/a",INDEX(auto_DataFlat_Score,D$8+$A36-1,1))</f>
        <v>30.2</v>
      </c>
      <c r="E36" cm="1">
        <f t="array" ref="E36">IF(INDEX(auto_DataFlat_DataValue,L$8+$A36-1,1)="n/a","n/a",INDEX(auto_DataFlat_Score,E$8+$A36-1,1))</f>
        <v>58.1</v>
      </c>
      <c r="F36" cm="1">
        <f t="array" ref="F36">IF(INDEX(auto_DataFlat_DataValue,M$8+$A36-1,1)="n/a","n/a",INDEX(auto_DataFlat_Score,F$8+$A36-1,1))</f>
        <v>75</v>
      </c>
      <c r="G36" t="e" cm="1">
        <f t="array" ref="G36">IF(INDEX(auto_DataFlat_DataValue,N$8+$A36-1,1)="n/a","n/a",INDEX(auto_DataFlat_Score,G$8+$A36-1,1))</f>
        <v>#N/A</v>
      </c>
      <c r="H36" t="e" cm="1">
        <f t="array" ref="H36">IF(INDEX(auto_DataFlat_DataValue,O$8+$A36-1,1)="n/a","n/a",INDEX(auto_DataFlat_Score,H$8+$A36-1,1))</f>
        <v>#N/A</v>
      </c>
      <c r="I36" t="e" cm="1">
        <f t="array" ref="I36">IF(INDEX(auto_DataFlat_DataValue,P$8+$A36-1,1)="n/a","n/a",INDEX(auto_DataFlat_Score,I$8+$A36-1,1))</f>
        <v>#N/A</v>
      </c>
      <c r="K36" cm="1">
        <f t="array" ref="K36">IF(INDEX(auto_DataFlat_DataValue,K$8+$A36-1,1)="n/a","n/a",INDEX(auto_DataFlat_Classification,K$8+$A36-1,1))</f>
        <v>2</v>
      </c>
      <c r="L36" cm="1">
        <f t="array" ref="L36">IF(INDEX(auto_DataFlat_DataValue,L$8+$A36-1,1)="n/a","n/a",INDEX(auto_DataFlat_Classification,L$8+$A36-1,1))</f>
        <v>3</v>
      </c>
      <c r="M36" cm="1">
        <f t="array" ref="M36">IF(INDEX(auto_DataFlat_DataValue,M$8+$A36-1,1)="n/a","n/a",INDEX(auto_DataFlat_Classification,M$8+$A36-1,1))</f>
        <v>4</v>
      </c>
      <c r="N36" t="e" cm="1">
        <f t="array" ref="N36">IF(INDEX(auto_DataFlat_DataValue,N$8+$A36-1,1)="n/a","n/a",INDEX(auto_DataFlat_Classification,N$8+$A36-1,1))</f>
        <v>#N/A</v>
      </c>
      <c r="O36" t="e" cm="1">
        <f t="array" ref="O36">IF(INDEX(auto_DataFlat_DataValue,O$8+$A36-1,1)="n/a","n/a",INDEX(auto_DataFlat_Classification,O$8+$A36-1,1))</f>
        <v>#N/A</v>
      </c>
      <c r="P36" t="e" cm="1">
        <f t="array" ref="P36">IF(INDEX(auto_DataFlat_DataValue,P$8+$A36-1,1)="n/a","n/a",INDEX(auto_DataFlat_Classification,P$8+$A36-1,1))</f>
        <v>#N/A</v>
      </c>
      <c r="R36" t="e">
        <f t="shared" si="4"/>
        <v>#N/A</v>
      </c>
      <c r="S36" t="e">
        <f t="shared" si="5"/>
        <v>#N/A</v>
      </c>
      <c r="T36" t="e">
        <f>RANK(S36,$S$9:$S$36)+COUNTIF(S$9:S36,S36)-1</f>
        <v>#N/A</v>
      </c>
      <c r="U36" t="e">
        <f t="shared" si="6"/>
        <v>#N/A</v>
      </c>
      <c r="V36" t="e" cm="1">
        <f t="array" ref="V36">INDEX($B$9:$B$36,U36)</f>
        <v>#N/A</v>
      </c>
      <c r="W36" t="e" cm="1">
        <f t="array" ref="W36">INDEX($S$9:$S$36,$U36)</f>
        <v>#N/A</v>
      </c>
      <c r="X36" t="e" cm="1">
        <f t="array" ref="X36">INDEX(D$9:D$36,$U36)</f>
        <v>#N/A</v>
      </c>
      <c r="Y36" t="e" cm="1">
        <f t="array" ref="Y36">INDEX(E$9:E$36,$U36)</f>
        <v>#N/A</v>
      </c>
      <c r="Z36" t="e" cm="1">
        <f t="array" ref="Z36">INDEX(F$9:F$36,$U36)</f>
        <v>#N/A</v>
      </c>
      <c r="AA36" t="e" cm="1">
        <f t="array" ref="AA36">INDEX(G$9:G$36,$U36)</f>
        <v>#N/A</v>
      </c>
      <c r="AB36" t="e" cm="1">
        <f t="array" ref="AB36">INDEX(H$9:H$36,$U36)</f>
        <v>#N/A</v>
      </c>
      <c r="AC36" t="e" cm="1">
        <f t="array" ref="AC36">INDEX(I$9:I$36,$U36)</f>
        <v>#N/A</v>
      </c>
      <c r="AE36" t="e" cm="1">
        <f t="array" ref="AE36">INDEX(K$9:K$36,$U36)</f>
        <v>#N/A</v>
      </c>
      <c r="AF36" t="e" cm="1">
        <f t="array" ref="AF36">INDEX(L$9:L$36,$U36)</f>
        <v>#N/A</v>
      </c>
      <c r="AG36" t="e" cm="1">
        <f t="array" ref="AG36">INDEX(M$9:M$36,$U36)</f>
        <v>#N/A</v>
      </c>
      <c r="AH36" t="e" cm="1">
        <f t="array" ref="AH36">INDEX(N$9:N$36,$U36)</f>
        <v>#N/A</v>
      </c>
      <c r="AI36" t="e" cm="1">
        <f t="array" ref="AI36">INDEX(O$9:O$36,$U36)</f>
        <v>#N/A</v>
      </c>
      <c r="AJ36" t="e" cm="1">
        <f t="array" ref="AJ36">INDEX(P$9:P$36,$U36)</f>
        <v>#N/A</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A11F3-D789-48AE-91F4-942C0F03F92F}">
  <sheetPr codeName="Sheet73">
    <tabColor rgb="FF7030A0"/>
  </sheetPr>
  <dimension ref="A1:BQ65"/>
  <sheetViews>
    <sheetView topLeftCell="AE1" workbookViewId="0">
      <selection activeCell="BF11" sqref="BF11:BM11"/>
    </sheetView>
  </sheetViews>
  <sheetFormatPr defaultColWidth="9.15234375" defaultRowHeight="14.6" x14ac:dyDescent="0.4"/>
  <cols>
    <col min="1" max="1" width="3" customWidth="1"/>
    <col min="2" max="2" width="17.15234375" customWidth="1"/>
    <col min="4" max="4" width="4.3828125" customWidth="1"/>
    <col min="8" max="11" width="9.69140625" customWidth="1"/>
    <col min="17" max="17" width="4.3828125" customWidth="1"/>
    <col min="18" max="18" width="7.69140625" customWidth="1"/>
    <col min="19" max="20" width="4.3828125" customWidth="1"/>
    <col min="21" max="21" width="6.84375" customWidth="1"/>
    <col min="22" max="54" width="4.3828125" customWidth="1"/>
  </cols>
  <sheetData>
    <row r="1" spans="1:69" x14ac:dyDescent="0.4">
      <c r="A1" t="s">
        <v>163</v>
      </c>
      <c r="D1" t="s">
        <v>164</v>
      </c>
      <c r="I1" t="s">
        <v>164</v>
      </c>
    </row>
    <row r="2" spans="1:69" x14ac:dyDescent="0.4">
      <c r="B2" t="s">
        <v>1601</v>
      </c>
      <c r="C2">
        <f ca="1">uxbGlobals!$B$514</f>
        <v>1</v>
      </c>
      <c r="D2" t="s">
        <v>218</v>
      </c>
    </row>
    <row r="3" spans="1:69" x14ac:dyDescent="0.4">
      <c r="B3" t="s">
        <v>207</v>
      </c>
      <c r="C3">
        <f>uxbGlobals!$B$321</f>
        <v>1</v>
      </c>
    </row>
    <row r="4" spans="1:69" x14ac:dyDescent="0.4">
      <c r="B4" t="s">
        <v>208</v>
      </c>
      <c r="C4">
        <f>uxbGlobals!$B$325</f>
        <v>1</v>
      </c>
    </row>
    <row r="5" spans="1:69" x14ac:dyDescent="0.4">
      <c r="B5" t="s">
        <v>222</v>
      </c>
      <c r="C5">
        <v>1</v>
      </c>
    </row>
    <row r="6" spans="1:69" x14ac:dyDescent="0.4">
      <c r="B6" t="s">
        <v>1039</v>
      </c>
      <c r="C6">
        <f ca="1">uxbGlobals!$B$496</f>
        <v>0</v>
      </c>
    </row>
    <row r="7" spans="1:69" x14ac:dyDescent="0.4">
      <c r="B7" t="s">
        <v>1035</v>
      </c>
      <c r="C7">
        <f ca="1">uxbGlobals!$B$492</f>
        <v>0</v>
      </c>
    </row>
    <row r="8" spans="1:69" x14ac:dyDescent="0.4">
      <c r="B8" t="s">
        <v>1053</v>
      </c>
      <c r="C8">
        <f ca="1">uxbGlobals!$B$510</f>
        <v>1</v>
      </c>
      <c r="BF8" t="str">
        <f ca="1">CONCATENATE(BF16,BF17)</f>
        <v/>
      </c>
    </row>
    <row r="9" spans="1:69" x14ac:dyDescent="0.4">
      <c r="B9" t="s">
        <v>1052</v>
      </c>
      <c r="C9">
        <f ca="1">uxbGlobals!$B$509</f>
        <v>1</v>
      </c>
      <c r="U9" t="s">
        <v>1294</v>
      </c>
      <c r="AB9" t="s">
        <v>1114</v>
      </c>
      <c r="AK9" t="s">
        <v>344</v>
      </c>
      <c r="AT9" t="s">
        <v>485</v>
      </c>
    </row>
    <row r="10" spans="1:69" x14ac:dyDescent="0.4">
      <c r="B10" t="s">
        <v>1113</v>
      </c>
      <c r="C10">
        <f>uxbGlobals!$B$224</f>
        <v>50</v>
      </c>
    </row>
    <row r="11" spans="1:69" x14ac:dyDescent="0.4">
      <c r="B11" t="s">
        <v>1632</v>
      </c>
      <c r="C11" t="str">
        <f>uxbGlobals!$B$125</f>
        <v xml:space="preserve"> • </v>
      </c>
      <c r="AB11" t="s">
        <v>197</v>
      </c>
      <c r="AC11" t="s">
        <v>1212</v>
      </c>
      <c r="AI11" t="s">
        <v>1213</v>
      </c>
      <c r="AK11" t="s">
        <v>197</v>
      </c>
      <c r="AL11" t="s">
        <v>1212</v>
      </c>
      <c r="AR11" t="s">
        <v>1213</v>
      </c>
      <c r="AT11" t="s">
        <v>197</v>
      </c>
      <c r="AU11" t="s">
        <v>1212</v>
      </c>
      <c r="BA11" t="s">
        <v>1213</v>
      </c>
      <c r="BF11" t="str">
        <f ca="1">CONCATENATE(BF16,BF17,BF18,BF19,BF20,BF21,BF22,BF23,BF24,BF25,BF26,BF27,BF28,BF29,BF30,BF31,BF32,BF33,BF34,BF35,BF36,BF37,BF38,BF39,BF40,BF41,BF42,BF43,BF44,BF45,BF46,BF47,BF48,BF49,BF50,BF51,BF52,BF53,BF54,BF55,BF56,BF57,BF58,BF59,BF60,BF61,BF62,BF63,BF64,BF65)</f>
        <v/>
      </c>
      <c r="BG11" t="str">
        <f t="shared" ref="BG11:BM11" ca="1" si="0">CONCATENATE(BG16,BG17,BG18,BG19,BG20,BG21,BG22,BG23,BG24,BG25,BG26,BG27,BG28,BG29,BG30,BG31,BG32,BG33,BG34,BG35,BG36,BG37,BG38,BG39,BG40,BG41,BG42,BG43,BG44,BG45,BG46,BG47,BG48,BG49,BG50,BG51,BG52,BG53,BG54,BG55,BG56,BG57,BG58,BG59,BG60,BG61,BG62,BG63,BG64,BG65)</f>
        <v/>
      </c>
      <c r="BH11" t="str">
        <f t="shared" ca="1" si="0"/>
        <v/>
      </c>
      <c r="BI11" t="str">
        <f t="shared" ca="1" si="0"/>
        <v xml:space="preserve">Addis Ababa • Algiers • Cairo • Colombo • Delhi • Dhaka • Johannesburg • Karachi • Kathmandu • Kolkata • Kuwait City • Lagos • Manila • Mumbai • Nairobi • Phnom Penh • Riyadh • Wuhan • Yangon • </v>
      </c>
      <c r="BJ11" t="str">
        <f t="shared" ca="1" si="0"/>
        <v xml:space="preserve">Atlanta • Auckland • Bangkok • Beijing • Berlin • Bogotá • Budapest • Dubai • Helsinki • Ho Chi Minh City • Istanbul • Jakarta • Madrid • Melbourne • Mexico City • Moscow • New York City • Osaka • Paris • Rome • San Francisco • São Paulo • Seoul • Shanghai • Singapore • Sydney • Tokyo • Toronto • Vienna • </v>
      </c>
      <c r="BK11" t="str">
        <f t="shared" ca="1" si="0"/>
        <v xml:space="preserve">Hong Kong • London • </v>
      </c>
      <c r="BL11" t="str">
        <f t="shared" ca="1" si="0"/>
        <v/>
      </c>
      <c r="BM11" t="str">
        <f t="shared" ca="1" si="0"/>
        <v/>
      </c>
    </row>
    <row r="12" spans="1:69" x14ac:dyDescent="0.4">
      <c r="B12" t="s">
        <v>1636</v>
      </c>
      <c r="C12" t="b">
        <v>0</v>
      </c>
      <c r="R12" t="s">
        <v>1293</v>
      </c>
      <c r="BF12" t="str">
        <f ca="1">IF(BF11="",BF11,LEFT(BF11,LEN(BF11)-LEN($C$11)))</f>
        <v/>
      </c>
      <c r="BG12" t="str">
        <f t="shared" ref="BG12:BM12" ca="1" si="1">IF(BG11="",BG11,LEFT(BG11,LEN(BG11)-LEN($C$11)))</f>
        <v/>
      </c>
      <c r="BH12" t="str">
        <f t="shared" ca="1" si="1"/>
        <v/>
      </c>
      <c r="BI12" t="str">
        <f t="shared" ca="1" si="1"/>
        <v>Addis Ababa • Algiers • Cairo • Colombo • Delhi • Dhaka • Johannesburg • Karachi • Kathmandu • Kolkata • Kuwait City • Lagos • Manila • Mumbai • Nairobi • Phnom Penh • Riyadh • Wuhan • Yangon</v>
      </c>
      <c r="BJ12" t="str">
        <f t="shared" ca="1" si="1"/>
        <v>Atlanta • Auckland • Bangkok • Beijing • Berlin • Bogotá • Budapest • Dubai • Helsinki • Ho Chi Minh City • Istanbul • Jakarta • Madrid • Melbourne • Mexico City • Moscow • New York City • Osaka • Paris • Rome • San Francisco • São Paulo • Seoul • Shanghai • Singapore • Sydney • Tokyo • Toronto • Vienna</v>
      </c>
      <c r="BK12" t="str">
        <f t="shared" ca="1" si="1"/>
        <v>Hong Kong • London</v>
      </c>
      <c r="BL12" t="str">
        <f t="shared" ca="1" si="1"/>
        <v/>
      </c>
      <c r="BM12" t="str">
        <f t="shared" ca="1" si="1"/>
        <v/>
      </c>
    </row>
    <row r="14" spans="1:69" x14ac:dyDescent="0.4">
      <c r="H14" t="s">
        <v>228</v>
      </c>
      <c r="V14" t="s">
        <v>17</v>
      </c>
      <c r="W14" t="s">
        <v>344</v>
      </c>
      <c r="X14" t="s">
        <v>1024</v>
      </c>
      <c r="Y14" t="s">
        <v>485</v>
      </c>
      <c r="Z14" t="s">
        <v>486</v>
      </c>
      <c r="AB14">
        <v>0</v>
      </c>
      <c r="AC14">
        <v>1</v>
      </c>
      <c r="AD14">
        <v>2</v>
      </c>
      <c r="AE14">
        <v>3</v>
      </c>
      <c r="AF14">
        <v>4</v>
      </c>
      <c r="AG14">
        <v>5</v>
      </c>
      <c r="AH14">
        <v>6</v>
      </c>
      <c r="AI14">
        <v>7</v>
      </c>
      <c r="AK14">
        <v>0</v>
      </c>
      <c r="AL14">
        <v>1</v>
      </c>
      <c r="AM14">
        <v>2</v>
      </c>
      <c r="AN14">
        <v>3</v>
      </c>
      <c r="AO14">
        <v>4</v>
      </c>
      <c r="AP14">
        <v>5</v>
      </c>
      <c r="AQ14">
        <v>6</v>
      </c>
      <c r="AR14">
        <v>7</v>
      </c>
      <c r="AT14">
        <v>0</v>
      </c>
      <c r="AU14">
        <v>1</v>
      </c>
      <c r="AV14">
        <v>2</v>
      </c>
      <c r="AW14">
        <v>3</v>
      </c>
      <c r="AX14">
        <v>4</v>
      </c>
      <c r="AY14">
        <v>5</v>
      </c>
      <c r="AZ14">
        <v>6</v>
      </c>
      <c r="BA14">
        <v>7</v>
      </c>
      <c r="BD14" t="s">
        <v>1729</v>
      </c>
      <c r="BF14">
        <v>0</v>
      </c>
      <c r="BG14">
        <v>1</v>
      </c>
      <c r="BH14">
        <v>2</v>
      </c>
      <c r="BI14">
        <v>3</v>
      </c>
      <c r="BJ14">
        <v>4</v>
      </c>
      <c r="BK14">
        <v>5</v>
      </c>
      <c r="BL14">
        <v>6</v>
      </c>
      <c r="BM14">
        <v>7</v>
      </c>
    </row>
    <row r="15" spans="1:69" x14ac:dyDescent="0.4">
      <c r="A15" t="s">
        <v>1204</v>
      </c>
      <c r="B15" t="s">
        <v>216</v>
      </c>
      <c r="C15" t="s">
        <v>217</v>
      </c>
      <c r="E15" t="s">
        <v>1295</v>
      </c>
      <c r="F15" t="s">
        <v>219</v>
      </c>
      <c r="G15" t="s">
        <v>225</v>
      </c>
      <c r="H15" t="s">
        <v>229</v>
      </c>
      <c r="I15" t="s">
        <v>232</v>
      </c>
      <c r="J15" t="s">
        <v>1634</v>
      </c>
      <c r="K15" t="s">
        <v>1635</v>
      </c>
      <c r="L15" t="s">
        <v>231</v>
      </c>
      <c r="M15" t="s">
        <v>17</v>
      </c>
      <c r="N15" t="s">
        <v>17</v>
      </c>
      <c r="O15" t="s">
        <v>461</v>
      </c>
      <c r="P15" t="s">
        <v>224</v>
      </c>
      <c r="Q15" t="s">
        <v>223</v>
      </c>
      <c r="R15" t="s">
        <v>1022</v>
      </c>
      <c r="U15" t="s">
        <v>252</v>
      </c>
      <c r="AB15">
        <v>0</v>
      </c>
      <c r="AC15">
        <v>0</v>
      </c>
      <c r="AD15">
        <v>0</v>
      </c>
      <c r="AE15">
        <v>0</v>
      </c>
      <c r="AF15">
        <v>0</v>
      </c>
      <c r="AI15">
        <v>0</v>
      </c>
      <c r="BD15" t="s">
        <v>1024</v>
      </c>
      <c r="BE15" t="s">
        <v>486</v>
      </c>
    </row>
    <row r="16" spans="1:69" x14ac:dyDescent="0.4">
      <c r="A16">
        <v>1</v>
      </c>
      <c r="B16">
        <v>1</v>
      </c>
      <c r="C16" cm="1">
        <f t="array" ref="C16">INDEX(auto_Country_Status,B16)</f>
        <v>1</v>
      </c>
      <c r="E16" cm="1">
        <f t="array" aca="1" ref="E16" ca="1">INDEX(sys_DataFlat_LU_Grid,$C$2,$B16)</f>
        <v>1</v>
      </c>
      <c r="F16" cm="1">
        <f t="array" aca="1" ref="F16" ca="1">INDEX(auto_DataFlat_Score,E16,$C$3)</f>
        <v>49.6</v>
      </c>
      <c r="G16" cm="1">
        <f t="array" aca="1" ref="G16" ca="1">INDEX(auto_DataFlat_DataValue,E16,$C$3)</f>
        <v>0</v>
      </c>
      <c r="H16">
        <f ca="1">F16+(IF($C$9=1,G16,-G16)/100000000)</f>
        <v>49.6</v>
      </c>
      <c r="I16" cm="1">
        <f t="array" aca="1" ref="I16" ca="1">INDEX(auto_DataFlat_Classification,E16,$C$3)</f>
        <v>3</v>
      </c>
      <c r="J16">
        <f ca="1">IF(AND($C$12=TRUE,$C16=0),-40000000,CHOOSE($C$5,H16,-H16))</f>
        <v>49.6</v>
      </c>
      <c r="K16">
        <f ca="1">IF(ISERROR(J16),-30000000,J16)</f>
        <v>49.6</v>
      </c>
      <c r="L16">
        <f ca="1">IF(ISNUMBER(K16),K16,-20000000)</f>
        <v>49.6</v>
      </c>
      <c r="M16">
        <f ca="1">RANK(L16,OFFSET(L$16,0,0,$C$10,1))+COUNTIF(L$16:L16,L16)-1</f>
        <v>41</v>
      </c>
      <c r="O16">
        <f t="shared" ref="O16:O38" ca="1" si="2">MATCH($A16,OFFSET(M$16,0,0,$C$10,1),0)</f>
        <v>17</v>
      </c>
      <c r="P16" cm="1">
        <f t="array" aca="1" ref="P16" ca="1">INDEX(auto_Country_Status,O16)</f>
        <v>1</v>
      </c>
      <c r="Q16" cm="1">
        <f t="array" aca="1" ref="Q16" ca="1">INDEX(OFFSET($E$16,0,0,$C$10,1),O16)</f>
        <v>17</v>
      </c>
      <c r="R16" t="str" cm="1">
        <f t="array" aca="1" ref="R16" ca="1">INDEX(auto_Country_ISO,O16)</f>
        <v>HKG</v>
      </c>
      <c r="S16" cm="1">
        <f t="array" aca="1" ref="S16" ca="1">IF(AND($C$12=TRUE,$P16=0),0,INDEX(auto_DataFlat_Classification,Q16,$C$3))</f>
        <v>5</v>
      </c>
      <c r="U16">
        <f ca="1">F16</f>
        <v>49.6</v>
      </c>
      <c r="V16">
        <f ca="1">RANK(U16,OFFSET(U$16,0,0,$C$10,1))+COUNTIF(U$16:U16,U16)-1</f>
        <v>41</v>
      </c>
      <c r="W16">
        <f t="shared" ref="W16:W38" ca="1" si="3">MATCH(B16,OFFSET(V$16,0,0,$C$10,1),0)</f>
        <v>17</v>
      </c>
      <c r="X16" cm="1">
        <f t="array" aca="1" ref="X16" ca="1">INDEX(auto_Country_Status,W16)</f>
        <v>1</v>
      </c>
      <c r="Y16" cm="1">
        <f t="array" aca="1" ref="Y16" ca="1">INDEX(sys_DataFlat_LU_Grid,$C$2,W16)</f>
        <v>17</v>
      </c>
      <c r="Z16" cm="1">
        <f t="array" aca="1" ref="Z16" ca="1">IF(X16=0,-1,INDEX(auto_DataFlat_Classification,Y16,$C$3))</f>
        <v>5</v>
      </c>
      <c r="AB16" t="e">
        <f t="shared" ref="AB16:AI16" ca="1" si="4">IFERROR(AB15+MATCH(AB$14,OFFSET($Z$16,AB15,0,$C$10-AB15,1),0),NA())</f>
        <v>#N/A</v>
      </c>
      <c r="AC16" t="e">
        <f t="shared" ca="1" si="4"/>
        <v>#N/A</v>
      </c>
      <c r="AD16" t="e">
        <f t="shared" ca="1" si="4"/>
        <v>#N/A</v>
      </c>
      <c r="AE16">
        <f t="shared" ca="1" si="4"/>
        <v>32</v>
      </c>
      <c r="AF16">
        <f t="shared" ca="1" si="4"/>
        <v>3</v>
      </c>
      <c r="AG16">
        <f t="shared" ca="1" si="4"/>
        <v>1</v>
      </c>
      <c r="AH16" t="e">
        <f t="shared" ca="1" si="4"/>
        <v>#N/A</v>
      </c>
      <c r="AI16" t="e">
        <f t="shared" ca="1" si="4"/>
        <v>#N/A</v>
      </c>
      <c r="AK16" cm="1">
        <f t="array" aca="1" ref="AK16" ca="1">IFERROR(INDEX(OFFSET($W$16,0,0,$C$10,1),AB16),0)</f>
        <v>0</v>
      </c>
      <c r="AL16" cm="1">
        <f t="array" aca="1" ref="AL16" ca="1">IFERROR(INDEX(OFFSET($W$16,0,0,$C$10,1),AC16),0)</f>
        <v>0</v>
      </c>
      <c r="AM16" cm="1">
        <f t="array" aca="1" ref="AM16" ca="1">IFERROR(INDEX(OFFSET($W$16,0,0,$C$10,1),AD16),0)</f>
        <v>0</v>
      </c>
      <c r="AN16" cm="1">
        <f t="array" aca="1" ref="AN16" ca="1">IFERROR(INDEX(OFFSET($W$16,0,0,$C$10,1),AE16),0)</f>
        <v>49</v>
      </c>
      <c r="AO16" cm="1">
        <f t="array" aca="1" ref="AO16" ca="1">IFERROR(INDEX(OFFSET($W$16,0,0,$C$10,1),AF16),0)</f>
        <v>27</v>
      </c>
      <c r="AP16" cm="1">
        <f t="array" aca="1" ref="AP16" ca="1">IFERROR(INDEX(OFFSET($W$16,0,0,$C$10,1),AG16),0)</f>
        <v>17</v>
      </c>
      <c r="AQ16" cm="1">
        <f t="array" aca="1" ref="AQ16" ca="1">IFERROR(INDEX(OFFSET($W$16,0,0,$C$10,1),AH16),0)</f>
        <v>0</v>
      </c>
      <c r="AR16" cm="1">
        <f t="array" aca="1" ref="AR16" ca="1">IFERROR(INDEX(OFFSET($W$16,0,0,$C$10,1),AI16),0)</f>
        <v>0</v>
      </c>
      <c r="AT16" cm="1">
        <f t="array" aca="1" ref="AT16" ca="1">IF(AK16=0,0,INDEX(sys_DataFlat_LU_Grid,$C$2,AK16))</f>
        <v>0</v>
      </c>
      <c r="AU16" cm="1">
        <f t="array" aca="1" ref="AU16" ca="1">IF(AL16=0,0,INDEX(sys_DataFlat_LU_Grid,$C$2,AL16))</f>
        <v>0</v>
      </c>
      <c r="AV16" cm="1">
        <f t="array" aca="1" ref="AV16" ca="1">IF(AM16=0,0,INDEX(sys_DataFlat_LU_Grid,$C$2,AM16))</f>
        <v>0</v>
      </c>
      <c r="AW16" cm="1">
        <f t="array" aca="1" ref="AW16" ca="1">IF(AN16=0,0,INDEX(sys_DataFlat_LU_Grid,$C$2,AN16))</f>
        <v>49</v>
      </c>
      <c r="AX16" cm="1">
        <f t="array" aca="1" ref="AX16" ca="1">IF(AO16=0,0,INDEX(sys_DataFlat_LU_Grid,$C$2,AO16))</f>
        <v>27</v>
      </c>
      <c r="AY16" cm="1">
        <f t="array" aca="1" ref="AY16" ca="1">IF(AP16=0,0,INDEX(sys_DataFlat_LU_Grid,$C$2,AP16))</f>
        <v>17</v>
      </c>
      <c r="AZ16" cm="1">
        <f t="array" aca="1" ref="AZ16" ca="1">IF(AQ16=0,0,INDEX(sys_DataFlat_LU_Grid,$C$2,AQ16))</f>
        <v>0</v>
      </c>
      <c r="BA16" cm="1">
        <f t="array" aca="1" ref="BA16" ca="1">IF(AR16=0,0,INDEX(sys_DataFlat_LU_Grid,$C$2,AR16))</f>
        <v>0</v>
      </c>
      <c r="BC16" t="str" cm="1">
        <f t="array" ref="BC16">INDEX(auto_ddCountry,B16)</f>
        <v>Addis Ababa</v>
      </c>
      <c r="BD16" cm="1">
        <f t="array" ref="BD16">INDEX(auto_Country_Status,B16)</f>
        <v>1</v>
      </c>
      <c r="BE16">
        <f ca="1">I16</f>
        <v>3</v>
      </c>
      <c r="BF16" t="str">
        <f t="shared" ref="BF16:BM25" ca="1" si="5">IF($BE16=BF$14,CONCATENATE($BC16,$C$11),"")</f>
        <v/>
      </c>
      <c r="BG16" t="str">
        <f t="shared" ca="1" si="5"/>
        <v/>
      </c>
      <c r="BH16" t="str">
        <f t="shared" ca="1" si="5"/>
        <v/>
      </c>
      <c r="BI16" t="str">
        <f t="shared" ca="1" si="5"/>
        <v xml:space="preserve">Addis Ababa • </v>
      </c>
      <c r="BJ16" t="str">
        <f t="shared" ca="1" si="5"/>
        <v/>
      </c>
      <c r="BK16" t="str">
        <f t="shared" ca="1" si="5"/>
        <v/>
      </c>
      <c r="BL16" t="str">
        <f t="shared" ca="1" si="5"/>
        <v/>
      </c>
      <c r="BM16" t="str">
        <f t="shared" ca="1" si="5"/>
        <v/>
      </c>
      <c r="BO16" t="s">
        <v>6055</v>
      </c>
      <c r="BP16" t="str">
        <f>CONCATENATE(BO16,",")</f>
        <v>BG16,</v>
      </c>
      <c r="BQ16" t="str">
        <f>_xlfn.CONCAT(BP16:BP65,",")</f>
        <v>BG16,BG17,BG18,BG19,BG20,BG21,BG22,BG23,BG24,BG25,BG26,BG27,BG28,BG29,BG30,BG31,BG32,BG33,BG34,BG35,BG36,BG37,BG38,BG39,BG40,BG41,BG42,BG43,BG44,BG45,BG46,BG47,BG48,BG49,BG50,BG51,BG52,BG53,BG54,BG55,BG56,BG57,BG58,BG59,BG60,BG61,BG62,BG63,BG64,BG65,,</v>
      </c>
    </row>
    <row r="17" spans="1:68" x14ac:dyDescent="0.4">
      <c r="A17">
        <v>2</v>
      </c>
      <c r="B17">
        <v>2</v>
      </c>
      <c r="C17" cm="1">
        <f t="array" ref="C17">INDEX(auto_Country_Status,B17)</f>
        <v>1</v>
      </c>
      <c r="E17" cm="1">
        <f t="array" aca="1" ref="E17" ca="1">INDEX(sys_DataFlat_LU_Grid,$C$2,$B17)</f>
        <v>2</v>
      </c>
      <c r="F17" cm="1">
        <f t="array" aca="1" ref="F17" ca="1">INDEX(auto_DataFlat_Score,E17,$C$3)</f>
        <v>41</v>
      </c>
      <c r="G17" cm="1">
        <f t="array" aca="1" ref="G17" ca="1">INDEX(auto_DataFlat_DataValue,E17,$C$3)</f>
        <v>0</v>
      </c>
      <c r="H17">
        <f t="shared" ref="H17:H38" ca="1" si="6">F17+(IF($C$9=1,G17,-G17)/100000000)</f>
        <v>41</v>
      </c>
      <c r="I17" cm="1">
        <f t="array" aca="1" ref="I17" ca="1">INDEX(auto_DataFlat_Classification,E17,$C$3)</f>
        <v>3</v>
      </c>
      <c r="J17">
        <f t="shared" ref="J17:J38" ca="1" si="7">IF(AND($C$12=TRUE,$C17=0),-40000000,CHOOSE($C$5,H17,-H17))</f>
        <v>41</v>
      </c>
      <c r="K17">
        <f t="shared" ref="K17:K38" ca="1" si="8">IF(ISERROR(J17),-30000000,J17)</f>
        <v>41</v>
      </c>
      <c r="L17">
        <f t="shared" ref="L17:L38" ca="1" si="9">IF(ISNUMBER(K17),K17,-20000000)</f>
        <v>41</v>
      </c>
      <c r="M17">
        <f ca="1">RANK(L17,OFFSET(L$16,0,0,$C$10,1))+COUNTIF(L$16:L17,L17)-1</f>
        <v>48</v>
      </c>
      <c r="O17">
        <f t="shared" ca="1" si="2"/>
        <v>26</v>
      </c>
      <c r="P17" cm="1">
        <f t="array" aca="1" ref="P17" ca="1">INDEX(auto_Country_Status,O17)</f>
        <v>1</v>
      </c>
      <c r="Q17" cm="1">
        <f t="array" aca="1" ref="Q17" ca="1">INDEX(OFFSET($E$16,0,0,$C$10,1),O17)</f>
        <v>26</v>
      </c>
      <c r="R17" t="str" cm="1">
        <f t="array" aca="1" ref="R17" ca="1">INDEX(auto_Country_ISO,O17)</f>
        <v>LOD</v>
      </c>
      <c r="S17" cm="1">
        <f t="array" aca="1" ref="S17" ca="1">IF(AND($C$12=TRUE,$P17=0),0,INDEX(auto_DataFlat_Classification,Q17,$C$3))</f>
        <v>5</v>
      </c>
      <c r="U17">
        <f t="shared" ref="U17:U38" ca="1" si="10">F17</f>
        <v>41</v>
      </c>
      <c r="V17">
        <f ca="1">RANK(U17,OFFSET(U$16,0,0,$C$10,1))+COUNTIF(U$16:U17,U17)-1</f>
        <v>48</v>
      </c>
      <c r="W17">
        <f t="shared" ca="1" si="3"/>
        <v>26</v>
      </c>
      <c r="X17" cm="1">
        <f t="array" aca="1" ref="X17" ca="1">INDEX(auto_Country_Status,W17)</f>
        <v>1</v>
      </c>
      <c r="Y17" cm="1">
        <f t="array" aca="1" ref="Y17" ca="1">INDEX(sys_DataFlat_LU_Grid,$C$2,W17)</f>
        <v>26</v>
      </c>
      <c r="Z17" cm="1">
        <f t="array" aca="1" ref="Z17" ca="1">IF(X17=0,-1,INDEX(auto_DataFlat_Classification,Y17,$C$3))</f>
        <v>5</v>
      </c>
      <c r="AB17" t="e">
        <f t="shared" ref="AB17:AB65" ca="1" si="11">IFERROR(AB16+MATCH(AB$14,OFFSET($Z$16,AB16,0,$C$10-AB16,1),0),NA())</f>
        <v>#N/A</v>
      </c>
      <c r="AC17" t="e">
        <f t="shared" ref="AC17:AC65" ca="1" si="12">IFERROR(AC16+MATCH(AC$14,OFFSET($Z$16,AC16,0,$C$10-AC16,1),0),NA())</f>
        <v>#N/A</v>
      </c>
      <c r="AD17" t="e">
        <f t="shared" ref="AD17:AD65" ca="1" si="13">IFERROR(AD16+MATCH(AD$14,OFFSET($Z$16,AD16,0,$C$10-AD16,1),0),NA())</f>
        <v>#N/A</v>
      </c>
      <c r="AE17">
        <f t="shared" ref="AE17:AE65" ca="1" si="14">IFERROR(AE16+MATCH(AE$14,OFFSET($Z$16,AE16,0,$C$10-AE16,1),0),NA())</f>
        <v>33</v>
      </c>
      <c r="AF17">
        <f t="shared" ref="AF17:AF31" ca="1" si="15">IFERROR(AF16+MATCH(AF$14,OFFSET($Z$16,AF16,0,$C$10-AF16,1),0),NA())</f>
        <v>4</v>
      </c>
      <c r="AG17">
        <f t="shared" ref="AG17:AG31" ca="1" si="16">IFERROR(AG16+MATCH(AG$14,OFFSET($Z$16,AG16,0,$C$10-AG16,1),0),NA())</f>
        <v>2</v>
      </c>
      <c r="AH17" t="e">
        <f t="shared" ref="AH17:AH31" ca="1" si="17">IFERROR(AH16+MATCH(AH$14,OFFSET($Z$16,AH16,0,$C$10-AH16,1),0),NA())</f>
        <v>#N/A</v>
      </c>
      <c r="AI17" t="e">
        <f t="shared" ref="AI17:AI31" ca="1" si="18">IFERROR(AI16+MATCH(AI$14,OFFSET($Z$16,AI16,0,$C$10-AI16,1),0),NA())</f>
        <v>#N/A</v>
      </c>
      <c r="AK17" cm="1">
        <f t="array" aca="1" ref="AK17" ca="1">IFERROR(INDEX(OFFSET($W$16,0,0,$C$10,1),AB17),0)</f>
        <v>0</v>
      </c>
      <c r="AL17" cm="1">
        <f t="array" aca="1" ref="AL17" ca="1">IFERROR(INDEX(OFFSET($W$16,0,0,$C$10,1),AC17),0)</f>
        <v>0</v>
      </c>
      <c r="AM17" cm="1">
        <f t="array" aca="1" ref="AM17" ca="1">IFERROR(INDEX(OFFSET($W$16,0,0,$C$10,1),AD17),0)</f>
        <v>0</v>
      </c>
      <c r="AN17" cm="1">
        <f t="array" aca="1" ref="AN17" ca="1">IFERROR(INDEX(OFFSET($W$16,0,0,$C$10,1),AE17),0)</f>
        <v>12</v>
      </c>
      <c r="AO17" cm="1">
        <f t="array" aca="1" ref="AO17" ca="1">IFERROR(INDEX(OFFSET($W$16,0,0,$C$10,1),AF17),0)</f>
        <v>34</v>
      </c>
      <c r="AP17" cm="1">
        <f t="array" aca="1" ref="AP17" ca="1">IFERROR(INDEX(OFFSET($W$16,0,0,$C$10,1),AG17),0)</f>
        <v>26</v>
      </c>
      <c r="AQ17" cm="1">
        <f t="array" aca="1" ref="AQ17" ca="1">IFERROR(INDEX(OFFSET($W$16,0,0,$C$10,1),AH17),0)</f>
        <v>0</v>
      </c>
      <c r="AR17" cm="1">
        <f t="array" aca="1" ref="AR17" ca="1">IFERROR(INDEX(OFFSET($W$16,0,0,$C$10,1),AI17),0)</f>
        <v>0</v>
      </c>
      <c r="AT17" cm="1">
        <f t="array" aca="1" ref="AT17" ca="1">IF(AK17=0,0,INDEX(sys_DataFlat_LU_Grid,$C$2,AK17))</f>
        <v>0</v>
      </c>
      <c r="AU17" cm="1">
        <f t="array" aca="1" ref="AU17" ca="1">IF(AL17=0,0,INDEX(sys_DataFlat_LU_Grid,$C$2,AL17))</f>
        <v>0</v>
      </c>
      <c r="AV17" cm="1">
        <f t="array" aca="1" ref="AV17" ca="1">IF(AM17=0,0,INDEX(sys_DataFlat_LU_Grid,$C$2,AM17))</f>
        <v>0</v>
      </c>
      <c r="AW17" cm="1">
        <f t="array" aca="1" ref="AW17" ca="1">IF(AN17=0,0,INDEX(sys_DataFlat_LU_Grid,$C$2,AN17))</f>
        <v>12</v>
      </c>
      <c r="AX17" cm="1">
        <f t="array" aca="1" ref="AX17" ca="1">IF(AO17=0,0,INDEX(sys_DataFlat_LU_Grid,$C$2,AO17))</f>
        <v>34</v>
      </c>
      <c r="AY17" cm="1">
        <f t="array" aca="1" ref="AY17" ca="1">IF(AP17=0,0,INDEX(sys_DataFlat_LU_Grid,$C$2,AP17))</f>
        <v>26</v>
      </c>
      <c r="AZ17" cm="1">
        <f t="array" aca="1" ref="AZ17" ca="1">IF(AQ17=0,0,INDEX(sys_DataFlat_LU_Grid,$C$2,AQ17))</f>
        <v>0</v>
      </c>
      <c r="BA17" cm="1">
        <f t="array" aca="1" ref="BA17" ca="1">IF(AR17=0,0,INDEX(sys_DataFlat_LU_Grid,$C$2,AR17))</f>
        <v>0</v>
      </c>
      <c r="BC17" t="str" cm="1">
        <f t="array" ref="BC17">INDEX(auto_ddCountry,B17)</f>
        <v>Algiers</v>
      </c>
      <c r="BD17" cm="1">
        <f t="array" ref="BD17">INDEX(auto_Country_Status,B17)</f>
        <v>1</v>
      </c>
      <c r="BE17">
        <f t="shared" ref="BE17:BE38" ca="1" si="19">I17</f>
        <v>3</v>
      </c>
      <c r="BF17" t="str">
        <f t="shared" ca="1" si="5"/>
        <v/>
      </c>
      <c r="BG17" t="str">
        <f t="shared" ca="1" si="5"/>
        <v/>
      </c>
      <c r="BH17" t="str">
        <f t="shared" ca="1" si="5"/>
        <v/>
      </c>
      <c r="BI17" t="str">
        <f t="shared" ca="1" si="5"/>
        <v xml:space="preserve">Algiers • </v>
      </c>
      <c r="BJ17" t="str">
        <f t="shared" ca="1" si="5"/>
        <v/>
      </c>
      <c r="BK17" t="str">
        <f t="shared" ca="1" si="5"/>
        <v/>
      </c>
      <c r="BL17" t="str">
        <f t="shared" ca="1" si="5"/>
        <v/>
      </c>
      <c r="BM17" t="str">
        <f t="shared" ca="1" si="5"/>
        <v/>
      </c>
      <c r="BO17" t="s">
        <v>6618</v>
      </c>
      <c r="BP17" t="str">
        <f t="shared" ref="BP17:BP65" si="20">CONCATENATE(BO17,",")</f>
        <v>BG17,</v>
      </c>
    </row>
    <row r="18" spans="1:68" x14ac:dyDescent="0.4">
      <c r="A18">
        <v>3</v>
      </c>
      <c r="B18">
        <v>3</v>
      </c>
      <c r="C18" cm="1">
        <f t="array" ref="C18">INDEX(auto_Country_Status,B18)</f>
        <v>1</v>
      </c>
      <c r="E18" cm="1">
        <f t="array" aca="1" ref="E18" ca="1">INDEX(sys_DataFlat_LU_Grid,$C$2,$B18)</f>
        <v>3</v>
      </c>
      <c r="F18" cm="1">
        <f t="array" aca="1" ref="F18" ca="1">INDEX(auto_DataFlat_Score,E18,$C$3)</f>
        <v>63.1</v>
      </c>
      <c r="G18" cm="1">
        <f t="array" aca="1" ref="G18" ca="1">INDEX(auto_DataFlat_DataValue,E18,$C$3)</f>
        <v>0</v>
      </c>
      <c r="H18">
        <f t="shared" ca="1" si="6"/>
        <v>63.1</v>
      </c>
      <c r="I18" cm="1">
        <f t="array" aca="1" ref="I18" ca="1">INDEX(auto_DataFlat_Classification,E18,$C$3)</f>
        <v>4</v>
      </c>
      <c r="J18">
        <f t="shared" ca="1" si="7"/>
        <v>63.1</v>
      </c>
      <c r="K18">
        <f t="shared" ca="1" si="8"/>
        <v>63.1</v>
      </c>
      <c r="L18">
        <f t="shared" ca="1" si="9"/>
        <v>63.1</v>
      </c>
      <c r="M18">
        <f ca="1">RANK(L18,OFFSET(L$16,0,0,$C$10,1))+COUNTIF(L$16:L18,L18)-1</f>
        <v>29</v>
      </c>
      <c r="O18">
        <f t="shared" ca="1" si="2"/>
        <v>27</v>
      </c>
      <c r="P18" cm="1">
        <f t="array" aca="1" ref="P18" ca="1">INDEX(auto_Country_Status,O18)</f>
        <v>1</v>
      </c>
      <c r="Q18" cm="1">
        <f t="array" aca="1" ref="Q18" ca="1">INDEX(OFFSET($E$16,0,0,$C$10,1),O18)</f>
        <v>27</v>
      </c>
      <c r="R18" t="str" cm="1">
        <f t="array" aca="1" ref="R18" ca="1">INDEX(auto_Country_ISO,O18)</f>
        <v>MDD</v>
      </c>
      <c r="S18" cm="1">
        <f t="array" aca="1" ref="S18" ca="1">IF(AND($C$12=TRUE,$P18=0),0,INDEX(auto_DataFlat_Classification,Q18,$C$3))</f>
        <v>4</v>
      </c>
      <c r="U18">
        <f t="shared" ca="1" si="10"/>
        <v>63.1</v>
      </c>
      <c r="V18">
        <f ca="1">RANK(U18,OFFSET(U$16,0,0,$C$10,1))+COUNTIF(U$16:U18,U18)-1</f>
        <v>29</v>
      </c>
      <c r="W18">
        <f t="shared" ca="1" si="3"/>
        <v>27</v>
      </c>
      <c r="X18" cm="1">
        <f t="array" aca="1" ref="X18" ca="1">INDEX(auto_Country_Status,W18)</f>
        <v>1</v>
      </c>
      <c r="Y18" cm="1">
        <f t="array" aca="1" ref="Y18" ca="1">INDEX(sys_DataFlat_LU_Grid,$C$2,W18)</f>
        <v>27</v>
      </c>
      <c r="Z18" cm="1">
        <f t="array" aca="1" ref="Z18" ca="1">IF(X18=0,-1,INDEX(auto_DataFlat_Classification,Y18,$C$3))</f>
        <v>4</v>
      </c>
      <c r="AB18" t="e">
        <f t="shared" ca="1" si="11"/>
        <v>#N/A</v>
      </c>
      <c r="AC18" t="e">
        <f t="shared" ca="1" si="12"/>
        <v>#N/A</v>
      </c>
      <c r="AD18" t="e">
        <f t="shared" ca="1" si="13"/>
        <v>#N/A</v>
      </c>
      <c r="AE18">
        <f t="shared" ca="1" si="14"/>
        <v>34</v>
      </c>
      <c r="AF18">
        <f t="shared" ca="1" si="15"/>
        <v>5</v>
      </c>
      <c r="AG18" t="e">
        <f t="shared" ca="1" si="16"/>
        <v>#N/A</v>
      </c>
      <c r="AH18" t="e">
        <f t="shared" ca="1" si="17"/>
        <v>#N/A</v>
      </c>
      <c r="AI18" t="e">
        <f t="shared" ca="1" si="18"/>
        <v>#N/A</v>
      </c>
      <c r="AK18" cm="1">
        <f t="array" aca="1" ref="AK18" ca="1">IFERROR(INDEX(OFFSET($W$16,0,0,$C$10,1),AB18),0)</f>
        <v>0</v>
      </c>
      <c r="AL18" cm="1">
        <f t="array" aca="1" ref="AL18" ca="1">IFERROR(INDEX(OFFSET($W$16,0,0,$C$10,1),AC18),0)</f>
        <v>0</v>
      </c>
      <c r="AM18" cm="1">
        <f t="array" aca="1" ref="AM18" ca="1">IFERROR(INDEX(OFFSET($W$16,0,0,$C$10,1),AD18),0)</f>
        <v>0</v>
      </c>
      <c r="AN18" cm="1">
        <f t="array" aca="1" ref="AN18" ca="1">IFERROR(INDEX(OFFSET($W$16,0,0,$C$10,1),AE18),0)</f>
        <v>32</v>
      </c>
      <c r="AO18" cm="1">
        <f t="array" aca="1" ref="AO18" ca="1">IFERROR(INDEX(OFFSET($W$16,0,0,$C$10,1),AF18),0)</f>
        <v>7</v>
      </c>
      <c r="AP18" cm="1">
        <f t="array" aca="1" ref="AP18" ca="1">IFERROR(INDEX(OFFSET($W$16,0,0,$C$10,1),AG18),0)</f>
        <v>0</v>
      </c>
      <c r="AQ18" cm="1">
        <f t="array" aca="1" ref="AQ18" ca="1">IFERROR(INDEX(OFFSET($W$16,0,0,$C$10,1),AH18),0)</f>
        <v>0</v>
      </c>
      <c r="AR18" cm="1">
        <f t="array" aca="1" ref="AR18" ca="1">IFERROR(INDEX(OFFSET($W$16,0,0,$C$10,1),AI18),0)</f>
        <v>0</v>
      </c>
      <c r="AT18" cm="1">
        <f t="array" aca="1" ref="AT18" ca="1">IF(AK18=0,0,INDEX(sys_DataFlat_LU_Grid,$C$2,AK18))</f>
        <v>0</v>
      </c>
      <c r="AU18" cm="1">
        <f t="array" aca="1" ref="AU18" ca="1">IF(AL18=0,0,INDEX(sys_DataFlat_LU_Grid,$C$2,AL18))</f>
        <v>0</v>
      </c>
      <c r="AV18" cm="1">
        <f t="array" aca="1" ref="AV18" ca="1">IF(AM18=0,0,INDEX(sys_DataFlat_LU_Grid,$C$2,AM18))</f>
        <v>0</v>
      </c>
      <c r="AW18" cm="1">
        <f t="array" aca="1" ref="AW18" ca="1">IF(AN18=0,0,INDEX(sys_DataFlat_LU_Grid,$C$2,AN18))</f>
        <v>32</v>
      </c>
      <c r="AX18" cm="1">
        <f t="array" aca="1" ref="AX18" ca="1">IF(AO18=0,0,INDEX(sys_DataFlat_LU_Grid,$C$2,AO18))</f>
        <v>7</v>
      </c>
      <c r="AY18" cm="1">
        <f t="array" aca="1" ref="AY18" ca="1">IF(AP18=0,0,INDEX(sys_DataFlat_LU_Grid,$C$2,AP18))</f>
        <v>0</v>
      </c>
      <c r="AZ18" cm="1">
        <f t="array" aca="1" ref="AZ18" ca="1">IF(AQ18=0,0,INDEX(sys_DataFlat_LU_Grid,$C$2,AQ18))</f>
        <v>0</v>
      </c>
      <c r="BA18" cm="1">
        <f t="array" aca="1" ref="BA18" ca="1">IF(AR18=0,0,INDEX(sys_DataFlat_LU_Grid,$C$2,AR18))</f>
        <v>0</v>
      </c>
      <c r="BC18" t="str" cm="1">
        <f t="array" ref="BC18">INDEX(auto_ddCountry,B18)</f>
        <v>Atlanta</v>
      </c>
      <c r="BD18" cm="1">
        <f t="array" ref="BD18">INDEX(auto_Country_Status,B18)</f>
        <v>1</v>
      </c>
      <c r="BE18">
        <f t="shared" ca="1" si="19"/>
        <v>4</v>
      </c>
      <c r="BF18" t="str">
        <f t="shared" ca="1" si="5"/>
        <v/>
      </c>
      <c r="BG18" t="str">
        <f t="shared" ca="1" si="5"/>
        <v/>
      </c>
      <c r="BH18" t="str">
        <f t="shared" ca="1" si="5"/>
        <v/>
      </c>
      <c r="BI18" t="str">
        <f t="shared" ca="1" si="5"/>
        <v/>
      </c>
      <c r="BJ18" t="str">
        <f t="shared" ca="1" si="5"/>
        <v xml:space="preserve">Atlanta • </v>
      </c>
      <c r="BK18" t="str">
        <f t="shared" ca="1" si="5"/>
        <v/>
      </c>
      <c r="BL18" t="str">
        <f t="shared" ca="1" si="5"/>
        <v/>
      </c>
      <c r="BM18" t="str">
        <f t="shared" ca="1" si="5"/>
        <v/>
      </c>
      <c r="BO18" t="s">
        <v>6621</v>
      </c>
      <c r="BP18" t="str">
        <f t="shared" si="20"/>
        <v>BG18,</v>
      </c>
    </row>
    <row r="19" spans="1:68" x14ac:dyDescent="0.4">
      <c r="A19">
        <v>4</v>
      </c>
      <c r="B19">
        <v>4</v>
      </c>
      <c r="C19" cm="1">
        <f t="array" ref="C19">INDEX(auto_Country_Status,B19)</f>
        <v>1</v>
      </c>
      <c r="E19" cm="1">
        <f t="array" aca="1" ref="E19" ca="1">INDEX(sys_DataFlat_LU_Grid,$C$2,$B19)</f>
        <v>4</v>
      </c>
      <c r="F19" cm="1">
        <f t="array" aca="1" ref="F19" ca="1">INDEX(auto_DataFlat_Score,E19,$C$3)</f>
        <v>71</v>
      </c>
      <c r="G19" cm="1">
        <f t="array" aca="1" ref="G19" ca="1">INDEX(auto_DataFlat_DataValue,E19,$C$3)</f>
        <v>0</v>
      </c>
      <c r="H19">
        <f t="shared" ca="1" si="6"/>
        <v>71</v>
      </c>
      <c r="I19" cm="1">
        <f t="array" aca="1" ref="I19" ca="1">INDEX(auto_DataFlat_Classification,E19,$C$3)</f>
        <v>4</v>
      </c>
      <c r="J19">
        <f t="shared" ca="1" si="7"/>
        <v>71</v>
      </c>
      <c r="K19">
        <f t="shared" ca="1" si="8"/>
        <v>71</v>
      </c>
      <c r="L19">
        <f t="shared" ca="1" si="9"/>
        <v>71</v>
      </c>
      <c r="M19">
        <f ca="1">RANK(L19,OFFSET(L$16,0,0,$C$10,1))+COUNTIF(L$16:L19,L19)-1</f>
        <v>16</v>
      </c>
      <c r="O19">
        <f t="shared" ca="1" si="2"/>
        <v>34</v>
      </c>
      <c r="P19" cm="1">
        <f t="array" aca="1" ref="P19" ca="1">INDEX(auto_Country_Status,O19)</f>
        <v>1</v>
      </c>
      <c r="Q19" cm="1">
        <f t="array" aca="1" ref="Q19" ca="1">INDEX(OFFSET($E$16,0,0,$C$10,1),O19)</f>
        <v>34</v>
      </c>
      <c r="R19" t="str" cm="1">
        <f t="array" aca="1" ref="R19" ca="1">INDEX(auto_Country_ISO,O19)</f>
        <v>NYC</v>
      </c>
      <c r="S19" cm="1">
        <f t="array" aca="1" ref="S19" ca="1">IF(AND($C$12=TRUE,$P19=0),0,INDEX(auto_DataFlat_Classification,Q19,$C$3))</f>
        <v>4</v>
      </c>
      <c r="U19">
        <f t="shared" ca="1" si="10"/>
        <v>71</v>
      </c>
      <c r="V19">
        <f ca="1">RANK(U19,OFFSET(U$16,0,0,$C$10,1))+COUNTIF(U$16:U19,U19)-1</f>
        <v>16</v>
      </c>
      <c r="W19">
        <f t="shared" ca="1" si="3"/>
        <v>34</v>
      </c>
      <c r="X19" cm="1">
        <f t="array" aca="1" ref="X19" ca="1">INDEX(auto_Country_Status,W19)</f>
        <v>1</v>
      </c>
      <c r="Y19" cm="1">
        <f t="array" aca="1" ref="Y19" ca="1">INDEX(sys_DataFlat_LU_Grid,$C$2,W19)</f>
        <v>34</v>
      </c>
      <c r="Z19" cm="1">
        <f t="array" aca="1" ref="Z19" ca="1">IF(X19=0,-1,INDEX(auto_DataFlat_Classification,Y19,$C$3))</f>
        <v>4</v>
      </c>
      <c r="AB19" t="e">
        <f t="shared" ca="1" si="11"/>
        <v>#N/A</v>
      </c>
      <c r="AC19" t="e">
        <f t="shared" ca="1" si="12"/>
        <v>#N/A</v>
      </c>
      <c r="AD19" t="e">
        <f t="shared" ca="1" si="13"/>
        <v>#N/A</v>
      </c>
      <c r="AE19">
        <f t="shared" ca="1" si="14"/>
        <v>35</v>
      </c>
      <c r="AF19">
        <f t="shared" ca="1" si="15"/>
        <v>6</v>
      </c>
      <c r="AG19" t="e">
        <f t="shared" ca="1" si="16"/>
        <v>#N/A</v>
      </c>
      <c r="AH19" t="e">
        <f t="shared" ca="1" si="17"/>
        <v>#N/A</v>
      </c>
      <c r="AI19" t="e">
        <f t="shared" ca="1" si="18"/>
        <v>#N/A</v>
      </c>
      <c r="AK19" cm="1">
        <f t="array" aca="1" ref="AK19" ca="1">IFERROR(INDEX(OFFSET($W$16,0,0,$C$10,1),AB19),0)</f>
        <v>0</v>
      </c>
      <c r="AL19" cm="1">
        <f t="array" aca="1" ref="AL19" ca="1">IFERROR(INDEX(OFFSET($W$16,0,0,$C$10,1),AC19),0)</f>
        <v>0</v>
      </c>
      <c r="AM19" cm="1">
        <f t="array" aca="1" ref="AM19" ca="1">IFERROR(INDEX(OFFSET($W$16,0,0,$C$10,1),AD19),0)</f>
        <v>0</v>
      </c>
      <c r="AN19" cm="1">
        <f t="array" aca="1" ref="AN19" ca="1">IFERROR(INDEX(OFFSET($W$16,0,0,$C$10,1),AE19),0)</f>
        <v>20</v>
      </c>
      <c r="AO19" cm="1">
        <f t="array" aca="1" ref="AO19" ca="1">IFERROR(INDEX(OFFSET($W$16,0,0,$C$10,1),AF19),0)</f>
        <v>47</v>
      </c>
      <c r="AP19" cm="1">
        <f t="array" aca="1" ref="AP19" ca="1">IFERROR(INDEX(OFFSET($W$16,0,0,$C$10,1),AG19),0)</f>
        <v>0</v>
      </c>
      <c r="AQ19" cm="1">
        <f t="array" aca="1" ref="AQ19" ca="1">IFERROR(INDEX(OFFSET($W$16,0,0,$C$10,1),AH19),0)</f>
        <v>0</v>
      </c>
      <c r="AR19" cm="1">
        <f t="array" aca="1" ref="AR19" ca="1">IFERROR(INDEX(OFFSET($W$16,0,0,$C$10,1),AI19),0)</f>
        <v>0</v>
      </c>
      <c r="AT19" cm="1">
        <f t="array" aca="1" ref="AT19" ca="1">IF(AK19=0,0,INDEX(sys_DataFlat_LU_Grid,$C$2,AK19))</f>
        <v>0</v>
      </c>
      <c r="AU19" cm="1">
        <f t="array" aca="1" ref="AU19" ca="1">IF(AL19=0,0,INDEX(sys_DataFlat_LU_Grid,$C$2,AL19))</f>
        <v>0</v>
      </c>
      <c r="AV19" cm="1">
        <f t="array" aca="1" ref="AV19" ca="1">IF(AM19=0,0,INDEX(sys_DataFlat_LU_Grid,$C$2,AM19))</f>
        <v>0</v>
      </c>
      <c r="AW19" cm="1">
        <f t="array" aca="1" ref="AW19" ca="1">IF(AN19=0,0,INDEX(sys_DataFlat_LU_Grid,$C$2,AN19))</f>
        <v>20</v>
      </c>
      <c r="AX19" cm="1">
        <f t="array" aca="1" ref="AX19" ca="1">IF(AO19=0,0,INDEX(sys_DataFlat_LU_Grid,$C$2,AO19))</f>
        <v>47</v>
      </c>
      <c r="AY19" cm="1">
        <f t="array" aca="1" ref="AY19" ca="1">IF(AP19=0,0,INDEX(sys_DataFlat_LU_Grid,$C$2,AP19))</f>
        <v>0</v>
      </c>
      <c r="AZ19" cm="1">
        <f t="array" aca="1" ref="AZ19" ca="1">IF(AQ19=0,0,INDEX(sys_DataFlat_LU_Grid,$C$2,AQ19))</f>
        <v>0</v>
      </c>
      <c r="BA19" cm="1">
        <f t="array" aca="1" ref="BA19" ca="1">IF(AR19=0,0,INDEX(sys_DataFlat_LU_Grid,$C$2,AR19))</f>
        <v>0</v>
      </c>
      <c r="BC19" t="str" cm="1">
        <f t="array" ref="BC19">INDEX(auto_ddCountry,B19)</f>
        <v>Auckland</v>
      </c>
      <c r="BD19" cm="1">
        <f t="array" ref="BD19">INDEX(auto_Country_Status,B19)</f>
        <v>1</v>
      </c>
      <c r="BE19">
        <f t="shared" ca="1" si="19"/>
        <v>4</v>
      </c>
      <c r="BF19" t="str">
        <f t="shared" ca="1" si="5"/>
        <v/>
      </c>
      <c r="BG19" t="str">
        <f t="shared" ca="1" si="5"/>
        <v/>
      </c>
      <c r="BH19" t="str">
        <f t="shared" ca="1" si="5"/>
        <v/>
      </c>
      <c r="BI19" t="str">
        <f t="shared" ca="1" si="5"/>
        <v/>
      </c>
      <c r="BJ19" t="str">
        <f t="shared" ca="1" si="5"/>
        <v xml:space="preserve">Auckland • </v>
      </c>
      <c r="BK19" t="str">
        <f t="shared" ca="1" si="5"/>
        <v/>
      </c>
      <c r="BL19" t="str">
        <f t="shared" ca="1" si="5"/>
        <v/>
      </c>
      <c r="BM19" t="str">
        <f t="shared" ca="1" si="5"/>
        <v/>
      </c>
      <c r="BO19" t="s">
        <v>6622</v>
      </c>
      <c r="BP19" t="str">
        <f t="shared" si="20"/>
        <v>BG19,</v>
      </c>
    </row>
    <row r="20" spans="1:68" x14ac:dyDescent="0.4">
      <c r="A20">
        <v>5</v>
      </c>
      <c r="B20">
        <v>5</v>
      </c>
      <c r="C20" cm="1">
        <f t="array" ref="C20">INDEX(auto_Country_Status,B20)</f>
        <v>1</v>
      </c>
      <c r="E20" cm="1">
        <f t="array" aca="1" ref="E20" ca="1">INDEX(sys_DataFlat_LU_Grid,$C$2,$B20)</f>
        <v>5</v>
      </c>
      <c r="F20" cm="1">
        <f t="array" aca="1" ref="F20" ca="1">INDEX(auto_DataFlat_Score,E20,$C$3)</f>
        <v>68.8</v>
      </c>
      <c r="G20" cm="1">
        <f t="array" aca="1" ref="G20" ca="1">INDEX(auto_DataFlat_DataValue,E20,$C$3)</f>
        <v>0</v>
      </c>
      <c r="H20">
        <f t="shared" ca="1" si="6"/>
        <v>68.8</v>
      </c>
      <c r="I20" cm="1">
        <f t="array" aca="1" ref="I20" ca="1">INDEX(auto_DataFlat_Classification,E20,$C$3)</f>
        <v>4</v>
      </c>
      <c r="J20">
        <f t="shared" ca="1" si="7"/>
        <v>68.8</v>
      </c>
      <c r="K20">
        <f t="shared" ca="1" si="8"/>
        <v>68.8</v>
      </c>
      <c r="L20">
        <f t="shared" ca="1" si="9"/>
        <v>68.8</v>
      </c>
      <c r="M20">
        <f ca="1">RANK(L20,OFFSET(L$16,0,0,$C$10,1))+COUNTIF(L$16:L20,L20)-1</f>
        <v>20</v>
      </c>
      <c r="O20">
        <f t="shared" ca="1" si="2"/>
        <v>7</v>
      </c>
      <c r="P20" cm="1">
        <f t="array" aca="1" ref="P20" ca="1">INDEX(auto_Country_Status,O20)</f>
        <v>1</v>
      </c>
      <c r="Q20" cm="1">
        <f t="array" aca="1" ref="Q20" ca="1">INDEX(OFFSET($E$16,0,0,$C$10,1),O20)</f>
        <v>7</v>
      </c>
      <c r="R20" t="str" cm="1">
        <f t="array" aca="1" ref="R20" ca="1">INDEX(auto_Country_ISO,O20)</f>
        <v>BER</v>
      </c>
      <c r="S20" cm="1">
        <f t="array" aca="1" ref="S20" ca="1">IF(AND($C$12=TRUE,$P20=0),0,INDEX(auto_DataFlat_Classification,Q20,$C$3))</f>
        <v>4</v>
      </c>
      <c r="U20">
        <f t="shared" ca="1" si="10"/>
        <v>68.8</v>
      </c>
      <c r="V20">
        <f ca="1">RANK(U20,OFFSET(U$16,0,0,$C$10,1))+COUNTIF(U$16:U20,U20)-1</f>
        <v>20</v>
      </c>
      <c r="W20">
        <f t="shared" ca="1" si="3"/>
        <v>7</v>
      </c>
      <c r="X20" cm="1">
        <f t="array" aca="1" ref="X20" ca="1">INDEX(auto_Country_Status,W20)</f>
        <v>1</v>
      </c>
      <c r="Y20" cm="1">
        <f t="array" aca="1" ref="Y20" ca="1">INDEX(sys_DataFlat_LU_Grid,$C$2,W20)</f>
        <v>7</v>
      </c>
      <c r="Z20" cm="1">
        <f t="array" aca="1" ref="Z20" ca="1">IF(X20=0,-1,INDEX(auto_DataFlat_Classification,Y20,$C$3))</f>
        <v>4</v>
      </c>
      <c r="AB20" t="e">
        <f t="shared" ca="1" si="11"/>
        <v>#N/A</v>
      </c>
      <c r="AC20" t="e">
        <f t="shared" ca="1" si="12"/>
        <v>#N/A</v>
      </c>
      <c r="AD20" t="e">
        <f t="shared" ca="1" si="13"/>
        <v>#N/A</v>
      </c>
      <c r="AE20">
        <f t="shared" ca="1" si="14"/>
        <v>36</v>
      </c>
      <c r="AF20">
        <f t="shared" ca="1" si="15"/>
        <v>7</v>
      </c>
      <c r="AG20" t="e">
        <f t="shared" ca="1" si="16"/>
        <v>#N/A</v>
      </c>
      <c r="AH20" t="e">
        <f t="shared" ca="1" si="17"/>
        <v>#N/A</v>
      </c>
      <c r="AI20" t="e">
        <f t="shared" ca="1" si="18"/>
        <v>#N/A</v>
      </c>
      <c r="AK20" cm="1">
        <f t="array" aca="1" ref="AK20" ca="1">IFERROR(INDEX(OFFSET($W$16,0,0,$C$10,1),AB20),0)</f>
        <v>0</v>
      </c>
      <c r="AL20" cm="1">
        <f t="array" aca="1" ref="AL20" ca="1">IFERROR(INDEX(OFFSET($W$16,0,0,$C$10,1),AC20),0)</f>
        <v>0</v>
      </c>
      <c r="AM20" cm="1">
        <f t="array" aca="1" ref="AM20" ca="1">IFERROR(INDEX(OFFSET($W$16,0,0,$C$10,1),AD20),0)</f>
        <v>0</v>
      </c>
      <c r="AN20" cm="1">
        <f t="array" aca="1" ref="AN20" ca="1">IFERROR(INDEX(OFFSET($W$16,0,0,$C$10,1),AE20),0)</f>
        <v>33</v>
      </c>
      <c r="AO20" cm="1">
        <f t="array" aca="1" ref="AO20" ca="1">IFERROR(INDEX(OFFSET($W$16,0,0,$C$10,1),AF20),0)</f>
        <v>44</v>
      </c>
      <c r="AP20" cm="1">
        <f t="array" aca="1" ref="AP20" ca="1">IFERROR(INDEX(OFFSET($W$16,0,0,$C$10,1),AG20),0)</f>
        <v>0</v>
      </c>
      <c r="AQ20" cm="1">
        <f t="array" aca="1" ref="AQ20" ca="1">IFERROR(INDEX(OFFSET($W$16,0,0,$C$10,1),AH20),0)</f>
        <v>0</v>
      </c>
      <c r="AR20" cm="1">
        <f t="array" aca="1" ref="AR20" ca="1">IFERROR(INDEX(OFFSET($W$16,0,0,$C$10,1),AI20),0)</f>
        <v>0</v>
      </c>
      <c r="AT20" cm="1">
        <f t="array" aca="1" ref="AT20" ca="1">IF(AK20=0,0,INDEX(sys_DataFlat_LU_Grid,$C$2,AK20))</f>
        <v>0</v>
      </c>
      <c r="AU20" cm="1">
        <f t="array" aca="1" ref="AU20" ca="1">IF(AL20=0,0,INDEX(sys_DataFlat_LU_Grid,$C$2,AL20))</f>
        <v>0</v>
      </c>
      <c r="AV20" cm="1">
        <f t="array" aca="1" ref="AV20" ca="1">IF(AM20=0,0,INDEX(sys_DataFlat_LU_Grid,$C$2,AM20))</f>
        <v>0</v>
      </c>
      <c r="AW20" cm="1">
        <f t="array" aca="1" ref="AW20" ca="1">IF(AN20=0,0,INDEX(sys_DataFlat_LU_Grid,$C$2,AN20))</f>
        <v>33</v>
      </c>
      <c r="AX20" cm="1">
        <f t="array" aca="1" ref="AX20" ca="1">IF(AO20=0,0,INDEX(sys_DataFlat_LU_Grid,$C$2,AO20))</f>
        <v>44</v>
      </c>
      <c r="AY20" cm="1">
        <f t="array" aca="1" ref="AY20" ca="1">IF(AP20=0,0,INDEX(sys_DataFlat_LU_Grid,$C$2,AP20))</f>
        <v>0</v>
      </c>
      <c r="AZ20" cm="1">
        <f t="array" aca="1" ref="AZ20" ca="1">IF(AQ20=0,0,INDEX(sys_DataFlat_LU_Grid,$C$2,AQ20))</f>
        <v>0</v>
      </c>
      <c r="BA20" cm="1">
        <f t="array" aca="1" ref="BA20" ca="1">IF(AR20=0,0,INDEX(sys_DataFlat_LU_Grid,$C$2,AR20))</f>
        <v>0</v>
      </c>
      <c r="BC20" t="str" cm="1">
        <f t="array" ref="BC20">INDEX(auto_ddCountry,B20)</f>
        <v>Bangkok</v>
      </c>
      <c r="BD20" cm="1">
        <f t="array" ref="BD20">INDEX(auto_Country_Status,B20)</f>
        <v>1</v>
      </c>
      <c r="BE20">
        <f t="shared" ca="1" si="19"/>
        <v>4</v>
      </c>
      <c r="BF20" t="str">
        <f t="shared" ca="1" si="5"/>
        <v/>
      </c>
      <c r="BG20" t="str">
        <f t="shared" ca="1" si="5"/>
        <v/>
      </c>
      <c r="BH20" t="str">
        <f t="shared" ca="1" si="5"/>
        <v/>
      </c>
      <c r="BI20" t="str">
        <f t="shared" ca="1" si="5"/>
        <v/>
      </c>
      <c r="BJ20" t="str">
        <f t="shared" ca="1" si="5"/>
        <v xml:space="preserve">Bangkok • </v>
      </c>
      <c r="BK20" t="str">
        <f t="shared" ca="1" si="5"/>
        <v/>
      </c>
      <c r="BL20" t="str">
        <f t="shared" ca="1" si="5"/>
        <v/>
      </c>
      <c r="BM20" t="str">
        <f t="shared" ca="1" si="5"/>
        <v/>
      </c>
      <c r="BO20" t="s">
        <v>6623</v>
      </c>
      <c r="BP20" t="str">
        <f t="shared" si="20"/>
        <v>BG20,</v>
      </c>
    </row>
    <row r="21" spans="1:68" x14ac:dyDescent="0.4">
      <c r="A21">
        <v>6</v>
      </c>
      <c r="B21">
        <v>6</v>
      </c>
      <c r="C21" cm="1">
        <f t="array" ref="C21">INDEX(auto_Country_Status,B21)</f>
        <v>1</v>
      </c>
      <c r="E21" cm="1">
        <f t="array" aca="1" ref="E21" ca="1">INDEX(sys_DataFlat_LU_Grid,$C$2,$B21)</f>
        <v>6</v>
      </c>
      <c r="F21" cm="1">
        <f t="array" aca="1" ref="F21" ca="1">INDEX(auto_DataFlat_Score,E21,$C$3)</f>
        <v>63.4</v>
      </c>
      <c r="G21" cm="1">
        <f t="array" aca="1" ref="G21" ca="1">INDEX(auto_DataFlat_DataValue,E21,$C$3)</f>
        <v>0</v>
      </c>
      <c r="H21">
        <f t="shared" ca="1" si="6"/>
        <v>63.4</v>
      </c>
      <c r="I21" cm="1">
        <f t="array" aca="1" ref="I21" ca="1">INDEX(auto_DataFlat_Classification,E21,$C$3)</f>
        <v>4</v>
      </c>
      <c r="J21">
        <f t="shared" ca="1" si="7"/>
        <v>63.4</v>
      </c>
      <c r="K21">
        <f t="shared" ca="1" si="8"/>
        <v>63.4</v>
      </c>
      <c r="L21">
        <f t="shared" ca="1" si="9"/>
        <v>63.4</v>
      </c>
      <c r="M21">
        <f ca="1">RANK(L21,OFFSET(L$16,0,0,$C$10,1))+COUNTIF(L$16:L21,L21)-1</f>
        <v>28</v>
      </c>
      <c r="O21">
        <f t="shared" ca="1" si="2"/>
        <v>47</v>
      </c>
      <c r="P21" cm="1">
        <f t="array" aca="1" ref="P21" ca="1">INDEX(auto_Country_Status,O21)</f>
        <v>1</v>
      </c>
      <c r="Q21" cm="1">
        <f t="array" aca="1" ref="Q21" ca="1">INDEX(OFFSET($E$16,0,0,$C$10,1),O21)</f>
        <v>47</v>
      </c>
      <c r="R21" t="str" cm="1">
        <f t="array" aca="1" ref="R21" ca="1">INDEX(auto_Country_ISO,O21)</f>
        <v>TOR</v>
      </c>
      <c r="S21" cm="1">
        <f t="array" aca="1" ref="S21" ca="1">IF(AND($C$12=TRUE,$P21=0),0,INDEX(auto_DataFlat_Classification,Q21,$C$3))</f>
        <v>4</v>
      </c>
      <c r="U21">
        <f t="shared" ca="1" si="10"/>
        <v>63.4</v>
      </c>
      <c r="V21">
        <f ca="1">RANK(U21,OFFSET(U$16,0,0,$C$10,1))+COUNTIF(U$16:U21,U21)-1</f>
        <v>28</v>
      </c>
      <c r="W21">
        <f t="shared" ca="1" si="3"/>
        <v>47</v>
      </c>
      <c r="X21" cm="1">
        <f t="array" aca="1" ref="X21" ca="1">INDEX(auto_Country_Status,W21)</f>
        <v>1</v>
      </c>
      <c r="Y21" cm="1">
        <f t="array" aca="1" ref="Y21" ca="1">INDEX(sys_DataFlat_LU_Grid,$C$2,W21)</f>
        <v>47</v>
      </c>
      <c r="Z21" cm="1">
        <f t="array" aca="1" ref="Z21" ca="1">IF(X21=0,-1,INDEX(auto_DataFlat_Classification,Y21,$C$3))</f>
        <v>4</v>
      </c>
      <c r="AB21" t="e">
        <f t="shared" ca="1" si="11"/>
        <v>#N/A</v>
      </c>
      <c r="AC21" t="e">
        <f t="shared" ca="1" si="12"/>
        <v>#N/A</v>
      </c>
      <c r="AD21" t="e">
        <f t="shared" ca="1" si="13"/>
        <v>#N/A</v>
      </c>
      <c r="AE21">
        <f t="shared" ca="1" si="14"/>
        <v>37</v>
      </c>
      <c r="AF21">
        <f t="shared" ca="1" si="15"/>
        <v>8</v>
      </c>
      <c r="AG21" t="e">
        <f t="shared" ca="1" si="16"/>
        <v>#N/A</v>
      </c>
      <c r="AH21" t="e">
        <f t="shared" ca="1" si="17"/>
        <v>#N/A</v>
      </c>
      <c r="AI21" t="e">
        <f t="shared" ca="1" si="18"/>
        <v>#N/A</v>
      </c>
      <c r="AK21" cm="1">
        <f t="array" aca="1" ref="AK21" ca="1">IFERROR(INDEX(OFFSET($W$16,0,0,$C$10,1),AB21),0)</f>
        <v>0</v>
      </c>
      <c r="AL21" cm="1">
        <f t="array" aca="1" ref="AL21" ca="1">IFERROR(INDEX(OFFSET($W$16,0,0,$C$10,1),AC21),0)</f>
        <v>0</v>
      </c>
      <c r="AM21" cm="1">
        <f t="array" aca="1" ref="AM21" ca="1">IFERROR(INDEX(OFFSET($W$16,0,0,$C$10,1),AD21),0)</f>
        <v>0</v>
      </c>
      <c r="AN21" cm="1">
        <f t="array" aca="1" ref="AN21" ca="1">IFERROR(INDEX(OFFSET($W$16,0,0,$C$10,1),AE21),0)</f>
        <v>23</v>
      </c>
      <c r="AO21" cm="1">
        <f t="array" aca="1" ref="AO21" ca="1">IFERROR(INDEX(OFFSET($W$16,0,0,$C$10,1),AF21),0)</f>
        <v>46</v>
      </c>
      <c r="AP21" cm="1">
        <f t="array" aca="1" ref="AP21" ca="1">IFERROR(INDEX(OFFSET($W$16,0,0,$C$10,1),AG21),0)</f>
        <v>0</v>
      </c>
      <c r="AQ21" cm="1">
        <f t="array" aca="1" ref="AQ21" ca="1">IFERROR(INDEX(OFFSET($W$16,0,0,$C$10,1),AH21),0)</f>
        <v>0</v>
      </c>
      <c r="AR21" cm="1">
        <f t="array" aca="1" ref="AR21" ca="1">IFERROR(INDEX(OFFSET($W$16,0,0,$C$10,1),AI21),0)</f>
        <v>0</v>
      </c>
      <c r="AT21" cm="1">
        <f t="array" aca="1" ref="AT21" ca="1">IF(AK21=0,0,INDEX(sys_DataFlat_LU_Grid,$C$2,AK21))</f>
        <v>0</v>
      </c>
      <c r="AU21" cm="1">
        <f t="array" aca="1" ref="AU21" ca="1">IF(AL21=0,0,INDEX(sys_DataFlat_LU_Grid,$C$2,AL21))</f>
        <v>0</v>
      </c>
      <c r="AV21" cm="1">
        <f t="array" aca="1" ref="AV21" ca="1">IF(AM21=0,0,INDEX(sys_DataFlat_LU_Grid,$C$2,AM21))</f>
        <v>0</v>
      </c>
      <c r="AW21" cm="1">
        <f t="array" aca="1" ref="AW21" ca="1">IF(AN21=0,0,INDEX(sys_DataFlat_LU_Grid,$C$2,AN21))</f>
        <v>23</v>
      </c>
      <c r="AX21" cm="1">
        <f t="array" aca="1" ref="AX21" ca="1">IF(AO21=0,0,INDEX(sys_DataFlat_LU_Grid,$C$2,AO21))</f>
        <v>46</v>
      </c>
      <c r="AY21" cm="1">
        <f t="array" aca="1" ref="AY21" ca="1">IF(AP21=0,0,INDEX(sys_DataFlat_LU_Grid,$C$2,AP21))</f>
        <v>0</v>
      </c>
      <c r="AZ21" cm="1">
        <f t="array" aca="1" ref="AZ21" ca="1">IF(AQ21=0,0,INDEX(sys_DataFlat_LU_Grid,$C$2,AQ21))</f>
        <v>0</v>
      </c>
      <c r="BA21" cm="1">
        <f t="array" aca="1" ref="BA21" ca="1">IF(AR21=0,0,INDEX(sys_DataFlat_LU_Grid,$C$2,AR21))</f>
        <v>0</v>
      </c>
      <c r="BC21" t="str" cm="1">
        <f t="array" ref="BC21">INDEX(auto_ddCountry,B21)</f>
        <v>Beijing</v>
      </c>
      <c r="BD21" cm="1">
        <f t="array" ref="BD21">INDEX(auto_Country_Status,B21)</f>
        <v>1</v>
      </c>
      <c r="BE21">
        <f t="shared" ca="1" si="19"/>
        <v>4</v>
      </c>
      <c r="BF21" t="str">
        <f t="shared" ca="1" si="5"/>
        <v/>
      </c>
      <c r="BG21" t="str">
        <f t="shared" ca="1" si="5"/>
        <v/>
      </c>
      <c r="BH21" t="str">
        <f t="shared" ca="1" si="5"/>
        <v/>
      </c>
      <c r="BI21" t="str">
        <f t="shared" ca="1" si="5"/>
        <v/>
      </c>
      <c r="BJ21" t="str">
        <f t="shared" ca="1" si="5"/>
        <v xml:space="preserve">Beijing • </v>
      </c>
      <c r="BK21" t="str">
        <f t="shared" ca="1" si="5"/>
        <v/>
      </c>
      <c r="BL21" t="str">
        <f t="shared" ca="1" si="5"/>
        <v/>
      </c>
      <c r="BM21" t="str">
        <f t="shared" ca="1" si="5"/>
        <v/>
      </c>
      <c r="BO21" t="s">
        <v>6624</v>
      </c>
      <c r="BP21" t="str">
        <f t="shared" si="20"/>
        <v>BG21,</v>
      </c>
    </row>
    <row r="22" spans="1:68" x14ac:dyDescent="0.4">
      <c r="A22">
        <v>7</v>
      </c>
      <c r="B22">
        <v>7</v>
      </c>
      <c r="C22" cm="1">
        <f t="array" ref="C22">INDEX(auto_Country_Status,B22)</f>
        <v>1</v>
      </c>
      <c r="E22" cm="1">
        <f t="array" aca="1" ref="E22" ca="1">INDEX(sys_DataFlat_LU_Grid,$C$2,$B22)</f>
        <v>7</v>
      </c>
      <c r="F22" cm="1">
        <f t="array" aca="1" ref="F22" ca="1">INDEX(auto_DataFlat_Score,E22,$C$3)</f>
        <v>77.400000000000006</v>
      </c>
      <c r="G22" cm="1">
        <f t="array" aca="1" ref="G22" ca="1">INDEX(auto_DataFlat_DataValue,E22,$C$3)</f>
        <v>0</v>
      </c>
      <c r="H22">
        <f t="shared" ca="1" si="6"/>
        <v>77.400000000000006</v>
      </c>
      <c r="I22" cm="1">
        <f t="array" aca="1" ref="I22" ca="1">INDEX(auto_DataFlat_Classification,E22,$C$3)</f>
        <v>4</v>
      </c>
      <c r="J22">
        <f t="shared" ca="1" si="7"/>
        <v>77.400000000000006</v>
      </c>
      <c r="K22">
        <f t="shared" ca="1" si="8"/>
        <v>77.400000000000006</v>
      </c>
      <c r="L22">
        <f t="shared" ca="1" si="9"/>
        <v>77.400000000000006</v>
      </c>
      <c r="M22">
        <f ca="1">RANK(L22,OFFSET(L$16,0,0,$C$10,1))+COUNTIF(L$16:L22,L22)-1</f>
        <v>5</v>
      </c>
      <c r="O22">
        <f t="shared" ca="1" si="2"/>
        <v>44</v>
      </c>
      <c r="P22" cm="1">
        <f t="array" aca="1" ref="P22" ca="1">INDEX(auto_Country_Status,O22)</f>
        <v>1</v>
      </c>
      <c r="Q22" cm="1">
        <f t="array" aca="1" ref="Q22" ca="1">INDEX(OFFSET($E$16,0,0,$C$10,1),O22)</f>
        <v>44</v>
      </c>
      <c r="R22" t="str" cm="1">
        <f t="array" aca="1" ref="R22" ca="1">INDEX(auto_Country_ISO,O22)</f>
        <v>SIN</v>
      </c>
      <c r="S22" cm="1">
        <f t="array" aca="1" ref="S22" ca="1">IF(AND($C$12=TRUE,$P22=0),0,INDEX(auto_DataFlat_Classification,Q22,$C$3))</f>
        <v>4</v>
      </c>
      <c r="U22">
        <f t="shared" ca="1" si="10"/>
        <v>77.400000000000006</v>
      </c>
      <c r="V22">
        <f ca="1">RANK(U22,OFFSET(U$16,0,0,$C$10,1))+COUNTIF(U$16:U22,U22)-1</f>
        <v>5</v>
      </c>
      <c r="W22">
        <f t="shared" ca="1" si="3"/>
        <v>44</v>
      </c>
      <c r="X22" cm="1">
        <f t="array" aca="1" ref="X22" ca="1">INDEX(auto_Country_Status,W22)</f>
        <v>1</v>
      </c>
      <c r="Y22" cm="1">
        <f t="array" aca="1" ref="Y22" ca="1">INDEX(sys_DataFlat_LU_Grid,$C$2,W22)</f>
        <v>44</v>
      </c>
      <c r="Z22" cm="1">
        <f t="array" aca="1" ref="Z22" ca="1">IF(X22=0,-1,INDEX(auto_DataFlat_Classification,Y22,$C$3))</f>
        <v>4</v>
      </c>
      <c r="AB22" t="e">
        <f t="shared" ca="1" si="11"/>
        <v>#N/A</v>
      </c>
      <c r="AC22" t="e">
        <f t="shared" ca="1" si="12"/>
        <v>#N/A</v>
      </c>
      <c r="AD22" t="e">
        <f t="shared" ca="1" si="13"/>
        <v>#N/A</v>
      </c>
      <c r="AE22">
        <f t="shared" ca="1" si="14"/>
        <v>38</v>
      </c>
      <c r="AF22">
        <f t="shared" ca="1" si="15"/>
        <v>9</v>
      </c>
      <c r="AG22" t="e">
        <f t="shared" ca="1" si="16"/>
        <v>#N/A</v>
      </c>
      <c r="AH22" t="e">
        <f t="shared" ca="1" si="17"/>
        <v>#N/A</v>
      </c>
      <c r="AI22" t="e">
        <f t="shared" ca="1" si="18"/>
        <v>#N/A</v>
      </c>
      <c r="AK22" cm="1">
        <f t="array" aca="1" ref="AK22" ca="1">IFERROR(INDEX(OFFSET($W$16,0,0,$C$10,1),AB22),0)</f>
        <v>0</v>
      </c>
      <c r="AL22" cm="1">
        <f t="array" aca="1" ref="AL22" ca="1">IFERROR(INDEX(OFFSET($W$16,0,0,$C$10,1),AC22),0)</f>
        <v>0</v>
      </c>
      <c r="AM22" cm="1">
        <f t="array" aca="1" ref="AM22" ca="1">IFERROR(INDEX(OFFSET($W$16,0,0,$C$10,1),AD22),0)</f>
        <v>0</v>
      </c>
      <c r="AN22" cm="1">
        <f t="array" aca="1" ref="AN22" ca="1">IFERROR(INDEX(OFFSET($W$16,0,0,$C$10,1),AE22),0)</f>
        <v>25</v>
      </c>
      <c r="AO22" cm="1">
        <f t="array" aca="1" ref="AO22" ca="1">IFERROR(INDEX(OFFSET($W$16,0,0,$C$10,1),AF22),0)</f>
        <v>29</v>
      </c>
      <c r="AP22" cm="1">
        <f t="array" aca="1" ref="AP22" ca="1">IFERROR(INDEX(OFFSET($W$16,0,0,$C$10,1),AG22),0)</f>
        <v>0</v>
      </c>
      <c r="AQ22" cm="1">
        <f t="array" aca="1" ref="AQ22" ca="1">IFERROR(INDEX(OFFSET($W$16,0,0,$C$10,1),AH22),0)</f>
        <v>0</v>
      </c>
      <c r="AR22" cm="1">
        <f t="array" aca="1" ref="AR22" ca="1">IFERROR(INDEX(OFFSET($W$16,0,0,$C$10,1),AI22),0)</f>
        <v>0</v>
      </c>
      <c r="AT22" cm="1">
        <f t="array" aca="1" ref="AT22" ca="1">IF(AK22=0,0,INDEX(sys_DataFlat_LU_Grid,$C$2,AK22))</f>
        <v>0</v>
      </c>
      <c r="AU22" cm="1">
        <f t="array" aca="1" ref="AU22" ca="1">IF(AL22=0,0,INDEX(sys_DataFlat_LU_Grid,$C$2,AL22))</f>
        <v>0</v>
      </c>
      <c r="AV22" cm="1">
        <f t="array" aca="1" ref="AV22" ca="1">IF(AM22=0,0,INDEX(sys_DataFlat_LU_Grid,$C$2,AM22))</f>
        <v>0</v>
      </c>
      <c r="AW22" cm="1">
        <f t="array" aca="1" ref="AW22" ca="1">IF(AN22=0,0,INDEX(sys_DataFlat_LU_Grid,$C$2,AN22))</f>
        <v>25</v>
      </c>
      <c r="AX22" cm="1">
        <f t="array" aca="1" ref="AX22" ca="1">IF(AO22=0,0,INDEX(sys_DataFlat_LU_Grid,$C$2,AO22))</f>
        <v>29</v>
      </c>
      <c r="AY22" cm="1">
        <f t="array" aca="1" ref="AY22" ca="1">IF(AP22=0,0,INDEX(sys_DataFlat_LU_Grid,$C$2,AP22))</f>
        <v>0</v>
      </c>
      <c r="AZ22" cm="1">
        <f t="array" aca="1" ref="AZ22" ca="1">IF(AQ22=0,0,INDEX(sys_DataFlat_LU_Grid,$C$2,AQ22))</f>
        <v>0</v>
      </c>
      <c r="BA22" cm="1">
        <f t="array" aca="1" ref="BA22" ca="1">IF(AR22=0,0,INDEX(sys_DataFlat_LU_Grid,$C$2,AR22))</f>
        <v>0</v>
      </c>
      <c r="BC22" t="str" cm="1">
        <f t="array" ref="BC22">INDEX(auto_ddCountry,B22)</f>
        <v>Berlin</v>
      </c>
      <c r="BD22" cm="1">
        <f t="array" ref="BD22">INDEX(auto_Country_Status,B22)</f>
        <v>1</v>
      </c>
      <c r="BE22">
        <f t="shared" ca="1" si="19"/>
        <v>4</v>
      </c>
      <c r="BF22" t="str">
        <f t="shared" ca="1" si="5"/>
        <v/>
      </c>
      <c r="BG22" t="str">
        <f t="shared" ca="1" si="5"/>
        <v/>
      </c>
      <c r="BH22" t="str">
        <f t="shared" ca="1" si="5"/>
        <v/>
      </c>
      <c r="BI22" t="str">
        <f t="shared" ca="1" si="5"/>
        <v/>
      </c>
      <c r="BJ22" t="str">
        <f t="shared" ca="1" si="5"/>
        <v xml:space="preserve">Berlin • </v>
      </c>
      <c r="BK22" t="str">
        <f t="shared" ca="1" si="5"/>
        <v/>
      </c>
      <c r="BL22" t="str">
        <f t="shared" ca="1" si="5"/>
        <v/>
      </c>
      <c r="BM22" t="str">
        <f t="shared" ca="1" si="5"/>
        <v/>
      </c>
      <c r="BO22" t="s">
        <v>6625</v>
      </c>
      <c r="BP22" t="str">
        <f t="shared" si="20"/>
        <v>BG22,</v>
      </c>
    </row>
    <row r="23" spans="1:68" x14ac:dyDescent="0.4">
      <c r="A23">
        <v>8</v>
      </c>
      <c r="B23">
        <v>8</v>
      </c>
      <c r="C23" cm="1">
        <f t="array" ref="C23">INDEX(auto_Country_Status,B23)</f>
        <v>1</v>
      </c>
      <c r="E23" cm="1">
        <f t="array" aca="1" ref="E23" ca="1">INDEX(sys_DataFlat_LU_Grid,$C$2,$B23)</f>
        <v>8</v>
      </c>
      <c r="F23" cm="1">
        <f t="array" aca="1" ref="F23" ca="1">INDEX(auto_DataFlat_Score,E23,$C$3)</f>
        <v>69.7</v>
      </c>
      <c r="G23" cm="1">
        <f t="array" aca="1" ref="G23" ca="1">INDEX(auto_DataFlat_DataValue,E23,$C$3)</f>
        <v>0</v>
      </c>
      <c r="H23">
        <f t="shared" ca="1" si="6"/>
        <v>69.7</v>
      </c>
      <c r="I23" cm="1">
        <f t="array" aca="1" ref="I23" ca="1">INDEX(auto_DataFlat_Classification,E23,$C$3)</f>
        <v>4</v>
      </c>
      <c r="J23">
        <f t="shared" ca="1" si="7"/>
        <v>69.7</v>
      </c>
      <c r="K23">
        <f t="shared" ca="1" si="8"/>
        <v>69.7</v>
      </c>
      <c r="L23">
        <f t="shared" ca="1" si="9"/>
        <v>69.7</v>
      </c>
      <c r="M23">
        <f ca="1">RANK(L23,OFFSET(L$16,0,0,$C$10,1))+COUNTIF(L$16:L23,L23)-1</f>
        <v>18</v>
      </c>
      <c r="O23">
        <f t="shared" ca="1" si="2"/>
        <v>46</v>
      </c>
      <c r="P23" cm="1">
        <f t="array" aca="1" ref="P23" ca="1">INDEX(auto_Country_Status,O23)</f>
        <v>1</v>
      </c>
      <c r="Q23" cm="1">
        <f t="array" aca="1" ref="Q23" ca="1">INDEX(OFFSET($E$16,0,0,$C$10,1),O23)</f>
        <v>46</v>
      </c>
      <c r="R23" t="str" cm="1">
        <f t="array" aca="1" ref="R23" ca="1">INDEX(auto_Country_ISO,O23)</f>
        <v>TYO</v>
      </c>
      <c r="S23" cm="1">
        <f t="array" aca="1" ref="S23" ca="1">IF(AND($C$12=TRUE,$P23=0),0,INDEX(auto_DataFlat_Classification,Q23,$C$3))</f>
        <v>4</v>
      </c>
      <c r="U23">
        <f t="shared" ca="1" si="10"/>
        <v>69.7</v>
      </c>
      <c r="V23">
        <f ca="1">RANK(U23,OFFSET(U$16,0,0,$C$10,1))+COUNTIF(U$16:U23,U23)-1</f>
        <v>18</v>
      </c>
      <c r="W23">
        <f t="shared" ca="1" si="3"/>
        <v>46</v>
      </c>
      <c r="X23" cm="1">
        <f t="array" aca="1" ref="X23" ca="1">INDEX(auto_Country_Status,W23)</f>
        <v>1</v>
      </c>
      <c r="Y23" cm="1">
        <f t="array" aca="1" ref="Y23" ca="1">INDEX(sys_DataFlat_LU_Grid,$C$2,W23)</f>
        <v>46</v>
      </c>
      <c r="Z23" cm="1">
        <f t="array" aca="1" ref="Z23" ca="1">IF(X23=0,-1,INDEX(auto_DataFlat_Classification,Y23,$C$3))</f>
        <v>4</v>
      </c>
      <c r="AB23" t="e">
        <f t="shared" ca="1" si="11"/>
        <v>#N/A</v>
      </c>
      <c r="AC23" t="e">
        <f t="shared" ca="1" si="12"/>
        <v>#N/A</v>
      </c>
      <c r="AD23" t="e">
        <f t="shared" ca="1" si="13"/>
        <v>#N/A</v>
      </c>
      <c r="AE23">
        <f t="shared" ca="1" si="14"/>
        <v>39</v>
      </c>
      <c r="AF23">
        <f t="shared" ca="1" si="15"/>
        <v>10</v>
      </c>
      <c r="AG23" t="e">
        <f t="shared" ca="1" si="16"/>
        <v>#N/A</v>
      </c>
      <c r="AH23" t="e">
        <f t="shared" ca="1" si="17"/>
        <v>#N/A</v>
      </c>
      <c r="AI23" t="e">
        <f t="shared" ca="1" si="18"/>
        <v>#N/A</v>
      </c>
      <c r="AK23" cm="1">
        <f t="array" aca="1" ref="AK23" ca="1">IFERROR(INDEX(OFFSET($W$16,0,0,$C$10,1),AB23),0)</f>
        <v>0</v>
      </c>
      <c r="AL23" cm="1">
        <f t="array" aca="1" ref="AL23" ca="1">IFERROR(INDEX(OFFSET($W$16,0,0,$C$10,1),AC23),0)</f>
        <v>0</v>
      </c>
      <c r="AM23" cm="1">
        <f t="array" aca="1" ref="AM23" ca="1">IFERROR(INDEX(OFFSET($W$16,0,0,$C$10,1),AD23),0)</f>
        <v>0</v>
      </c>
      <c r="AN23" cm="1">
        <f t="array" aca="1" ref="AN23" ca="1">IFERROR(INDEX(OFFSET($W$16,0,0,$C$10,1),AE23),0)</f>
        <v>37</v>
      </c>
      <c r="AO23" cm="1">
        <f t="array" aca="1" ref="AO23" ca="1">IFERROR(INDEX(OFFSET($W$16,0,0,$C$10,1),AF23),0)</f>
        <v>42</v>
      </c>
      <c r="AP23" cm="1">
        <f t="array" aca="1" ref="AP23" ca="1">IFERROR(INDEX(OFFSET($W$16,0,0,$C$10,1),AG23),0)</f>
        <v>0</v>
      </c>
      <c r="AQ23" cm="1">
        <f t="array" aca="1" ref="AQ23" ca="1">IFERROR(INDEX(OFFSET($W$16,0,0,$C$10,1),AH23),0)</f>
        <v>0</v>
      </c>
      <c r="AR23" cm="1">
        <f t="array" aca="1" ref="AR23" ca="1">IFERROR(INDEX(OFFSET($W$16,0,0,$C$10,1),AI23),0)</f>
        <v>0</v>
      </c>
      <c r="AT23" cm="1">
        <f t="array" aca="1" ref="AT23" ca="1">IF(AK23=0,0,INDEX(sys_DataFlat_LU_Grid,$C$2,AK23))</f>
        <v>0</v>
      </c>
      <c r="AU23" cm="1">
        <f t="array" aca="1" ref="AU23" ca="1">IF(AL23=0,0,INDEX(sys_DataFlat_LU_Grid,$C$2,AL23))</f>
        <v>0</v>
      </c>
      <c r="AV23" cm="1">
        <f t="array" aca="1" ref="AV23" ca="1">IF(AM23=0,0,INDEX(sys_DataFlat_LU_Grid,$C$2,AM23))</f>
        <v>0</v>
      </c>
      <c r="AW23" cm="1">
        <f t="array" aca="1" ref="AW23" ca="1">IF(AN23=0,0,INDEX(sys_DataFlat_LU_Grid,$C$2,AN23))</f>
        <v>37</v>
      </c>
      <c r="AX23" cm="1">
        <f t="array" aca="1" ref="AX23" ca="1">IF(AO23=0,0,INDEX(sys_DataFlat_LU_Grid,$C$2,AO23))</f>
        <v>42</v>
      </c>
      <c r="AY23" cm="1">
        <f t="array" aca="1" ref="AY23" ca="1">IF(AP23=0,0,INDEX(sys_DataFlat_LU_Grid,$C$2,AP23))</f>
        <v>0</v>
      </c>
      <c r="AZ23" cm="1">
        <f t="array" aca="1" ref="AZ23" ca="1">IF(AQ23=0,0,INDEX(sys_DataFlat_LU_Grid,$C$2,AQ23))</f>
        <v>0</v>
      </c>
      <c r="BA23" cm="1">
        <f t="array" aca="1" ref="BA23" ca="1">IF(AR23=0,0,INDEX(sys_DataFlat_LU_Grid,$C$2,AR23))</f>
        <v>0</v>
      </c>
      <c r="BC23" t="str" cm="1">
        <f t="array" ref="BC23">INDEX(auto_ddCountry,B23)</f>
        <v>Bogotá</v>
      </c>
      <c r="BD23" cm="1">
        <f t="array" ref="BD23">INDEX(auto_Country_Status,B23)</f>
        <v>1</v>
      </c>
      <c r="BE23">
        <f t="shared" ca="1" si="19"/>
        <v>4</v>
      </c>
      <c r="BF23" t="str">
        <f t="shared" ca="1" si="5"/>
        <v/>
      </c>
      <c r="BG23" t="str">
        <f t="shared" ca="1" si="5"/>
        <v/>
      </c>
      <c r="BH23" t="str">
        <f t="shared" ca="1" si="5"/>
        <v/>
      </c>
      <c r="BI23" t="str">
        <f t="shared" ca="1" si="5"/>
        <v/>
      </c>
      <c r="BJ23" t="str">
        <f t="shared" ca="1" si="5"/>
        <v xml:space="preserve">Bogotá • </v>
      </c>
      <c r="BK23" t="str">
        <f t="shared" ca="1" si="5"/>
        <v/>
      </c>
      <c r="BL23" t="str">
        <f t="shared" ca="1" si="5"/>
        <v/>
      </c>
      <c r="BM23" t="str">
        <f t="shared" ca="1" si="5"/>
        <v/>
      </c>
      <c r="BO23" t="s">
        <v>6626</v>
      </c>
      <c r="BP23" t="str">
        <f t="shared" si="20"/>
        <v>BG23,</v>
      </c>
    </row>
    <row r="24" spans="1:68" x14ac:dyDescent="0.4">
      <c r="A24">
        <v>9</v>
      </c>
      <c r="B24">
        <v>9</v>
      </c>
      <c r="C24" cm="1">
        <f t="array" ref="C24">INDEX(auto_Country_Status,B24)</f>
        <v>1</v>
      </c>
      <c r="E24" cm="1">
        <f t="array" aca="1" ref="E24" ca="1">INDEX(sys_DataFlat_LU_Grid,$C$2,$B24)</f>
        <v>9</v>
      </c>
      <c r="F24" cm="1">
        <f t="array" aca="1" ref="F24" ca="1">INDEX(auto_DataFlat_Score,E24,$C$3)</f>
        <v>69.5</v>
      </c>
      <c r="G24" cm="1">
        <f t="array" aca="1" ref="G24" ca="1">INDEX(auto_DataFlat_DataValue,E24,$C$3)</f>
        <v>0</v>
      </c>
      <c r="H24">
        <f t="shared" ca="1" si="6"/>
        <v>69.5</v>
      </c>
      <c r="I24" cm="1">
        <f t="array" aca="1" ref="I24" ca="1">INDEX(auto_DataFlat_Classification,E24,$C$3)</f>
        <v>4</v>
      </c>
      <c r="J24">
        <f t="shared" ca="1" si="7"/>
        <v>69.5</v>
      </c>
      <c r="K24">
        <f t="shared" ca="1" si="8"/>
        <v>69.5</v>
      </c>
      <c r="L24">
        <f t="shared" ca="1" si="9"/>
        <v>69.5</v>
      </c>
      <c r="M24">
        <f ca="1">RANK(L24,OFFSET(L$16,0,0,$C$10,1))+COUNTIF(L$16:L24,L24)-1</f>
        <v>19</v>
      </c>
      <c r="O24">
        <f t="shared" ca="1" si="2"/>
        <v>29</v>
      </c>
      <c r="P24" cm="1">
        <f t="array" aca="1" ref="P24" ca="1">INDEX(auto_Country_Status,O24)</f>
        <v>1</v>
      </c>
      <c r="Q24" cm="1">
        <f t="array" aca="1" ref="Q24" ca="1">INDEX(OFFSET($E$16,0,0,$C$10,1),O24)</f>
        <v>29</v>
      </c>
      <c r="R24" t="str" cm="1">
        <f t="array" aca="1" ref="R24" ca="1">INDEX(auto_Country_ISO,O24)</f>
        <v>MEL</v>
      </c>
      <c r="S24" cm="1">
        <f t="array" aca="1" ref="S24" ca="1">IF(AND($C$12=TRUE,$P24=0),0,INDEX(auto_DataFlat_Classification,Q24,$C$3))</f>
        <v>4</v>
      </c>
      <c r="U24">
        <f t="shared" ca="1" si="10"/>
        <v>69.5</v>
      </c>
      <c r="V24">
        <f ca="1">RANK(U24,OFFSET(U$16,0,0,$C$10,1))+COUNTIF(U$16:U24,U24)-1</f>
        <v>19</v>
      </c>
      <c r="W24">
        <f t="shared" ca="1" si="3"/>
        <v>29</v>
      </c>
      <c r="X24" cm="1">
        <f t="array" aca="1" ref="X24" ca="1">INDEX(auto_Country_Status,W24)</f>
        <v>1</v>
      </c>
      <c r="Y24" cm="1">
        <f t="array" aca="1" ref="Y24" ca="1">INDEX(sys_DataFlat_LU_Grid,$C$2,W24)</f>
        <v>29</v>
      </c>
      <c r="Z24" cm="1">
        <f t="array" aca="1" ref="Z24" ca="1">IF(X24=0,-1,INDEX(auto_DataFlat_Classification,Y24,$C$3))</f>
        <v>4</v>
      </c>
      <c r="AB24" t="e">
        <f t="shared" ca="1" si="11"/>
        <v>#N/A</v>
      </c>
      <c r="AC24" t="e">
        <f t="shared" ca="1" si="12"/>
        <v>#N/A</v>
      </c>
      <c r="AD24" t="e">
        <f t="shared" ca="1" si="13"/>
        <v>#N/A</v>
      </c>
      <c r="AE24">
        <f t="shared" ca="1" si="14"/>
        <v>40</v>
      </c>
      <c r="AF24">
        <f t="shared" ca="1" si="15"/>
        <v>11</v>
      </c>
      <c r="AG24" t="e">
        <f t="shared" ca="1" si="16"/>
        <v>#N/A</v>
      </c>
      <c r="AH24" t="e">
        <f t="shared" ca="1" si="17"/>
        <v>#N/A</v>
      </c>
      <c r="AI24" t="e">
        <f t="shared" ca="1" si="18"/>
        <v>#N/A</v>
      </c>
      <c r="AK24" cm="1">
        <f t="array" aca="1" ref="AK24" ca="1">IFERROR(INDEX(OFFSET($W$16,0,0,$C$10,1),AB24),0)</f>
        <v>0</v>
      </c>
      <c r="AL24" cm="1">
        <f t="array" aca="1" ref="AL24" ca="1">IFERROR(INDEX(OFFSET($W$16,0,0,$C$10,1),AC24),0)</f>
        <v>0</v>
      </c>
      <c r="AM24" cm="1">
        <f t="array" aca="1" ref="AM24" ca="1">IFERROR(INDEX(OFFSET($W$16,0,0,$C$10,1),AD24),0)</f>
        <v>0</v>
      </c>
      <c r="AN24" cm="1">
        <f t="array" aca="1" ref="AN24" ca="1">IFERROR(INDEX(OFFSET($W$16,0,0,$C$10,1),AE24),0)</f>
        <v>11</v>
      </c>
      <c r="AO24" cm="1">
        <f t="array" aca="1" ref="AO24" ca="1">IFERROR(INDEX(OFFSET($W$16,0,0,$C$10,1),AF24),0)</f>
        <v>15</v>
      </c>
      <c r="AP24" cm="1">
        <f t="array" aca="1" ref="AP24" ca="1">IFERROR(INDEX(OFFSET($W$16,0,0,$C$10,1),AG24),0)</f>
        <v>0</v>
      </c>
      <c r="AQ24" cm="1">
        <f t="array" aca="1" ref="AQ24" ca="1">IFERROR(INDEX(OFFSET($W$16,0,0,$C$10,1),AH24),0)</f>
        <v>0</v>
      </c>
      <c r="AR24" cm="1">
        <f t="array" aca="1" ref="AR24" ca="1">IFERROR(INDEX(OFFSET($W$16,0,0,$C$10,1),AI24),0)</f>
        <v>0</v>
      </c>
      <c r="AT24" cm="1">
        <f t="array" aca="1" ref="AT24" ca="1">IF(AK24=0,0,INDEX(sys_DataFlat_LU_Grid,$C$2,AK24))</f>
        <v>0</v>
      </c>
      <c r="AU24" cm="1">
        <f t="array" aca="1" ref="AU24" ca="1">IF(AL24=0,0,INDEX(sys_DataFlat_LU_Grid,$C$2,AL24))</f>
        <v>0</v>
      </c>
      <c r="AV24" cm="1">
        <f t="array" aca="1" ref="AV24" ca="1">IF(AM24=0,0,INDEX(sys_DataFlat_LU_Grid,$C$2,AM24))</f>
        <v>0</v>
      </c>
      <c r="AW24" cm="1">
        <f t="array" aca="1" ref="AW24" ca="1">IF(AN24=0,0,INDEX(sys_DataFlat_LU_Grid,$C$2,AN24))</f>
        <v>11</v>
      </c>
      <c r="AX24" cm="1">
        <f t="array" aca="1" ref="AX24" ca="1">IF(AO24=0,0,INDEX(sys_DataFlat_LU_Grid,$C$2,AO24))</f>
        <v>15</v>
      </c>
      <c r="AY24" cm="1">
        <f t="array" aca="1" ref="AY24" ca="1">IF(AP24=0,0,INDEX(sys_DataFlat_LU_Grid,$C$2,AP24))</f>
        <v>0</v>
      </c>
      <c r="AZ24" cm="1">
        <f t="array" aca="1" ref="AZ24" ca="1">IF(AQ24=0,0,INDEX(sys_DataFlat_LU_Grid,$C$2,AQ24))</f>
        <v>0</v>
      </c>
      <c r="BA24" cm="1">
        <f t="array" aca="1" ref="BA24" ca="1">IF(AR24=0,0,INDEX(sys_DataFlat_LU_Grid,$C$2,AR24))</f>
        <v>0</v>
      </c>
      <c r="BC24" t="str" cm="1">
        <f t="array" ref="BC24">INDEX(auto_ddCountry,B24)</f>
        <v>Budapest</v>
      </c>
      <c r="BD24" cm="1">
        <f t="array" ref="BD24">INDEX(auto_Country_Status,B24)</f>
        <v>1</v>
      </c>
      <c r="BE24">
        <f t="shared" ca="1" si="19"/>
        <v>4</v>
      </c>
      <c r="BF24" t="str">
        <f t="shared" ca="1" si="5"/>
        <v/>
      </c>
      <c r="BG24" t="str">
        <f t="shared" ca="1" si="5"/>
        <v/>
      </c>
      <c r="BH24" t="str">
        <f t="shared" ca="1" si="5"/>
        <v/>
      </c>
      <c r="BI24" t="str">
        <f t="shared" ca="1" si="5"/>
        <v/>
      </c>
      <c r="BJ24" t="str">
        <f t="shared" ca="1" si="5"/>
        <v xml:space="preserve">Budapest • </v>
      </c>
      <c r="BK24" t="str">
        <f t="shared" ca="1" si="5"/>
        <v/>
      </c>
      <c r="BL24" t="str">
        <f t="shared" ca="1" si="5"/>
        <v/>
      </c>
      <c r="BM24" t="str">
        <f t="shared" ca="1" si="5"/>
        <v/>
      </c>
      <c r="BO24" t="s">
        <v>6627</v>
      </c>
      <c r="BP24" t="str">
        <f t="shared" si="20"/>
        <v>BG24,</v>
      </c>
    </row>
    <row r="25" spans="1:68" x14ac:dyDescent="0.4">
      <c r="A25">
        <v>10</v>
      </c>
      <c r="B25">
        <v>10</v>
      </c>
      <c r="C25" cm="1">
        <f t="array" ref="C25">INDEX(auto_Country_Status,B25)</f>
        <v>1</v>
      </c>
      <c r="E25" cm="1">
        <f t="array" aca="1" ref="E25" ca="1">INDEX(sys_DataFlat_LU_Grid,$C$2,$B25)</f>
        <v>10</v>
      </c>
      <c r="F25" cm="1">
        <f t="array" aca="1" ref="F25" ca="1">INDEX(auto_DataFlat_Score,E25,$C$3)</f>
        <v>40.6</v>
      </c>
      <c r="G25" cm="1">
        <f t="array" aca="1" ref="G25" ca="1">INDEX(auto_DataFlat_DataValue,E25,$C$3)</f>
        <v>0</v>
      </c>
      <c r="H25">
        <f t="shared" ca="1" si="6"/>
        <v>40.6</v>
      </c>
      <c r="I25" cm="1">
        <f t="array" aca="1" ref="I25" ca="1">INDEX(auto_DataFlat_Classification,E25,$C$3)</f>
        <v>3</v>
      </c>
      <c r="J25">
        <f t="shared" ca="1" si="7"/>
        <v>40.6</v>
      </c>
      <c r="K25">
        <f t="shared" ca="1" si="8"/>
        <v>40.6</v>
      </c>
      <c r="L25">
        <f t="shared" ca="1" si="9"/>
        <v>40.6</v>
      </c>
      <c r="M25">
        <f ca="1">RANK(L25,OFFSET(L$16,0,0,$C$10,1))+COUNTIF(L$16:L25,L25)-1</f>
        <v>50</v>
      </c>
      <c r="O25">
        <f t="shared" ca="1" si="2"/>
        <v>42</v>
      </c>
      <c r="P25" cm="1">
        <f t="array" aca="1" ref="P25" ca="1">INDEX(auto_Country_Status,O25)</f>
        <v>1</v>
      </c>
      <c r="Q25" cm="1">
        <f t="array" aca="1" ref="Q25" ca="1">INDEX(OFFSET($E$16,0,0,$C$10,1),O25)</f>
        <v>42</v>
      </c>
      <c r="R25" t="str" cm="1">
        <f t="array" aca="1" ref="R25" ca="1">INDEX(auto_Country_ISO,O25)</f>
        <v>SEL</v>
      </c>
      <c r="S25" cm="1">
        <f t="array" aca="1" ref="S25" ca="1">IF(AND($C$12=TRUE,$P25=0),0,INDEX(auto_DataFlat_Classification,Q25,$C$3))</f>
        <v>4</v>
      </c>
      <c r="U25">
        <f t="shared" ca="1" si="10"/>
        <v>40.6</v>
      </c>
      <c r="V25">
        <f ca="1">RANK(U25,OFFSET(U$16,0,0,$C$10,1))+COUNTIF(U$16:U25,U25)-1</f>
        <v>50</v>
      </c>
      <c r="W25">
        <f t="shared" ca="1" si="3"/>
        <v>42</v>
      </c>
      <c r="X25" cm="1">
        <f t="array" aca="1" ref="X25" ca="1">INDEX(auto_Country_Status,W25)</f>
        <v>1</v>
      </c>
      <c r="Y25" cm="1">
        <f t="array" aca="1" ref="Y25" ca="1">INDEX(sys_DataFlat_LU_Grid,$C$2,W25)</f>
        <v>42</v>
      </c>
      <c r="Z25" cm="1">
        <f t="array" aca="1" ref="Z25" ca="1">IF(X25=0,-1,INDEX(auto_DataFlat_Classification,Y25,$C$3))</f>
        <v>4</v>
      </c>
      <c r="AB25" t="e">
        <f t="shared" ca="1" si="11"/>
        <v>#N/A</v>
      </c>
      <c r="AC25" t="e">
        <f t="shared" ca="1" si="12"/>
        <v>#N/A</v>
      </c>
      <c r="AD25" t="e">
        <f t="shared" ca="1" si="13"/>
        <v>#N/A</v>
      </c>
      <c r="AE25">
        <f t="shared" ca="1" si="14"/>
        <v>41</v>
      </c>
      <c r="AF25">
        <f t="shared" ca="1" si="15"/>
        <v>12</v>
      </c>
      <c r="AG25" t="e">
        <f t="shared" ca="1" si="16"/>
        <v>#N/A</v>
      </c>
      <c r="AH25" t="e">
        <f t="shared" ca="1" si="17"/>
        <v>#N/A</v>
      </c>
      <c r="AI25" t="e">
        <f t="shared" ca="1" si="18"/>
        <v>#N/A</v>
      </c>
      <c r="AK25" cm="1">
        <f t="array" aca="1" ref="AK25" ca="1">IFERROR(INDEX(OFFSET($W$16,0,0,$C$10,1),AB25),0)</f>
        <v>0</v>
      </c>
      <c r="AL25" cm="1">
        <f t="array" aca="1" ref="AL25" ca="1">IFERROR(INDEX(OFFSET($W$16,0,0,$C$10,1),AC25),0)</f>
        <v>0</v>
      </c>
      <c r="AM25" cm="1">
        <f t="array" aca="1" ref="AM25" ca="1">IFERROR(INDEX(OFFSET($W$16,0,0,$C$10,1),AD25),0)</f>
        <v>0</v>
      </c>
      <c r="AN25" cm="1">
        <f t="array" aca="1" ref="AN25" ca="1">IFERROR(INDEX(OFFSET($W$16,0,0,$C$10,1),AE25),0)</f>
        <v>1</v>
      </c>
      <c r="AO25" cm="1">
        <f t="array" aca="1" ref="AO25" ca="1">IFERROR(INDEX(OFFSET($W$16,0,0,$C$10,1),AF25),0)</f>
        <v>48</v>
      </c>
      <c r="AP25" cm="1">
        <f t="array" aca="1" ref="AP25" ca="1">IFERROR(INDEX(OFFSET($W$16,0,0,$C$10,1),AG25),0)</f>
        <v>0</v>
      </c>
      <c r="AQ25" cm="1">
        <f t="array" aca="1" ref="AQ25" ca="1">IFERROR(INDEX(OFFSET($W$16,0,0,$C$10,1),AH25),0)</f>
        <v>0</v>
      </c>
      <c r="AR25" cm="1">
        <f t="array" aca="1" ref="AR25" ca="1">IFERROR(INDEX(OFFSET($W$16,0,0,$C$10,1),AI25),0)</f>
        <v>0</v>
      </c>
      <c r="AT25" cm="1">
        <f t="array" aca="1" ref="AT25" ca="1">IF(AK25=0,0,INDEX(sys_DataFlat_LU_Grid,$C$2,AK25))</f>
        <v>0</v>
      </c>
      <c r="AU25" cm="1">
        <f t="array" aca="1" ref="AU25" ca="1">IF(AL25=0,0,INDEX(sys_DataFlat_LU_Grid,$C$2,AL25))</f>
        <v>0</v>
      </c>
      <c r="AV25" cm="1">
        <f t="array" aca="1" ref="AV25" ca="1">IF(AM25=0,0,INDEX(sys_DataFlat_LU_Grid,$C$2,AM25))</f>
        <v>0</v>
      </c>
      <c r="AW25" cm="1">
        <f t="array" aca="1" ref="AW25" ca="1">IF(AN25=0,0,INDEX(sys_DataFlat_LU_Grid,$C$2,AN25))</f>
        <v>1</v>
      </c>
      <c r="AX25" cm="1">
        <f t="array" aca="1" ref="AX25" ca="1">IF(AO25=0,0,INDEX(sys_DataFlat_LU_Grid,$C$2,AO25))</f>
        <v>48</v>
      </c>
      <c r="AY25" cm="1">
        <f t="array" aca="1" ref="AY25" ca="1">IF(AP25=0,0,INDEX(sys_DataFlat_LU_Grid,$C$2,AP25))</f>
        <v>0</v>
      </c>
      <c r="AZ25" cm="1">
        <f t="array" aca="1" ref="AZ25" ca="1">IF(AQ25=0,0,INDEX(sys_DataFlat_LU_Grid,$C$2,AQ25))</f>
        <v>0</v>
      </c>
      <c r="BA25" cm="1">
        <f t="array" aca="1" ref="BA25" ca="1">IF(AR25=0,0,INDEX(sys_DataFlat_LU_Grid,$C$2,AR25))</f>
        <v>0</v>
      </c>
      <c r="BC25" t="str" cm="1">
        <f t="array" ref="BC25">INDEX(auto_ddCountry,B25)</f>
        <v>Cairo</v>
      </c>
      <c r="BD25" cm="1">
        <f t="array" ref="BD25">INDEX(auto_Country_Status,B25)</f>
        <v>1</v>
      </c>
      <c r="BE25">
        <f t="shared" ca="1" si="19"/>
        <v>3</v>
      </c>
      <c r="BF25" t="str">
        <f t="shared" ca="1" si="5"/>
        <v/>
      </c>
      <c r="BG25" t="str">
        <f t="shared" ca="1" si="5"/>
        <v/>
      </c>
      <c r="BH25" t="str">
        <f t="shared" ca="1" si="5"/>
        <v/>
      </c>
      <c r="BI25" t="str">
        <f t="shared" ca="1" si="5"/>
        <v xml:space="preserve">Cairo • </v>
      </c>
      <c r="BJ25" t="str">
        <f t="shared" ca="1" si="5"/>
        <v/>
      </c>
      <c r="BK25" t="str">
        <f t="shared" ca="1" si="5"/>
        <v/>
      </c>
      <c r="BL25" t="str">
        <f t="shared" ca="1" si="5"/>
        <v/>
      </c>
      <c r="BM25" t="str">
        <f t="shared" ca="1" si="5"/>
        <v/>
      </c>
      <c r="BO25" t="s">
        <v>6628</v>
      </c>
      <c r="BP25" t="str">
        <f t="shared" si="20"/>
        <v>BG25,</v>
      </c>
    </row>
    <row r="26" spans="1:68" x14ac:dyDescent="0.4">
      <c r="A26">
        <v>11</v>
      </c>
      <c r="B26">
        <v>11</v>
      </c>
      <c r="C26" cm="1">
        <f t="array" ref="C26">INDEX(auto_Country_Status,B26)</f>
        <v>1</v>
      </c>
      <c r="E26" cm="1">
        <f t="array" aca="1" ref="E26" ca="1">INDEX(sys_DataFlat_LU_Grid,$C$2,$B26)</f>
        <v>11</v>
      </c>
      <c r="F26" cm="1">
        <f t="array" aca="1" ref="F26" ca="1">INDEX(auto_DataFlat_Score,E26,$C$3)</f>
        <v>50.1</v>
      </c>
      <c r="G26" cm="1">
        <f t="array" aca="1" ref="G26" ca="1">INDEX(auto_DataFlat_DataValue,E26,$C$3)</f>
        <v>0</v>
      </c>
      <c r="H26">
        <f t="shared" ca="1" si="6"/>
        <v>50.1</v>
      </c>
      <c r="I26" cm="1">
        <f t="array" aca="1" ref="I26" ca="1">INDEX(auto_DataFlat_Classification,E26,$C$3)</f>
        <v>3</v>
      </c>
      <c r="J26">
        <f t="shared" ca="1" si="7"/>
        <v>50.1</v>
      </c>
      <c r="K26">
        <f t="shared" ca="1" si="8"/>
        <v>50.1</v>
      </c>
      <c r="L26">
        <f t="shared" ca="1" si="9"/>
        <v>50.1</v>
      </c>
      <c r="M26">
        <f ca="1">RANK(L26,OFFSET(L$16,0,0,$C$10,1))+COUNTIF(L$16:L26,L26)-1</f>
        <v>40</v>
      </c>
      <c r="O26">
        <f t="shared" ca="1" si="2"/>
        <v>15</v>
      </c>
      <c r="P26" cm="1">
        <f t="array" aca="1" ref="P26" ca="1">INDEX(auto_Country_Status,O26)</f>
        <v>1</v>
      </c>
      <c r="Q26" cm="1">
        <f t="array" aca="1" ref="Q26" ca="1">INDEX(OFFSET($E$16,0,0,$C$10,1),O26)</f>
        <v>15</v>
      </c>
      <c r="R26" t="str" cm="1">
        <f t="array" aca="1" ref="R26" ca="1">INDEX(auto_Country_ISO,O26)</f>
        <v>HEL</v>
      </c>
      <c r="S26" cm="1">
        <f t="array" aca="1" ref="S26" ca="1">IF(AND($C$12=TRUE,$P26=0),0,INDEX(auto_DataFlat_Classification,Q26,$C$3))</f>
        <v>4</v>
      </c>
      <c r="U26">
        <f t="shared" ca="1" si="10"/>
        <v>50.1</v>
      </c>
      <c r="V26">
        <f ca="1">RANK(U26,OFFSET(U$16,0,0,$C$10,1))+COUNTIF(U$16:U26,U26)-1</f>
        <v>40</v>
      </c>
      <c r="W26">
        <f t="shared" ca="1" si="3"/>
        <v>15</v>
      </c>
      <c r="X26" cm="1">
        <f t="array" aca="1" ref="X26" ca="1">INDEX(auto_Country_Status,W26)</f>
        <v>1</v>
      </c>
      <c r="Y26" cm="1">
        <f t="array" aca="1" ref="Y26" ca="1">INDEX(sys_DataFlat_LU_Grid,$C$2,W26)</f>
        <v>15</v>
      </c>
      <c r="Z26" cm="1">
        <f t="array" aca="1" ref="Z26" ca="1">IF(X26=0,-1,INDEX(auto_DataFlat_Classification,Y26,$C$3))</f>
        <v>4</v>
      </c>
      <c r="AB26" t="e">
        <f t="shared" ca="1" si="11"/>
        <v>#N/A</v>
      </c>
      <c r="AC26" t="e">
        <f t="shared" ca="1" si="12"/>
        <v>#N/A</v>
      </c>
      <c r="AD26" t="e">
        <f t="shared" ca="1" si="13"/>
        <v>#N/A</v>
      </c>
      <c r="AE26">
        <f t="shared" ca="1" si="14"/>
        <v>42</v>
      </c>
      <c r="AF26">
        <f t="shared" ca="1" si="15"/>
        <v>13</v>
      </c>
      <c r="AG26" t="e">
        <f t="shared" ca="1" si="16"/>
        <v>#N/A</v>
      </c>
      <c r="AH26" t="e">
        <f t="shared" ca="1" si="17"/>
        <v>#N/A</v>
      </c>
      <c r="AI26" t="e">
        <f t="shared" ca="1" si="18"/>
        <v>#N/A</v>
      </c>
      <c r="AK26" cm="1">
        <f t="array" aca="1" ref="AK26" ca="1">IFERROR(INDEX(OFFSET($W$16,0,0,$C$10,1),AB26),0)</f>
        <v>0</v>
      </c>
      <c r="AL26" cm="1">
        <f t="array" aca="1" ref="AL26" ca="1">IFERROR(INDEX(OFFSET($W$16,0,0,$C$10,1),AC26),0)</f>
        <v>0</v>
      </c>
      <c r="AM26" cm="1">
        <f t="array" aca="1" ref="AM26" ca="1">IFERROR(INDEX(OFFSET($W$16,0,0,$C$10,1),AD26),0)</f>
        <v>0</v>
      </c>
      <c r="AN26" cm="1">
        <f t="array" aca="1" ref="AN26" ca="1">IFERROR(INDEX(OFFSET($W$16,0,0,$C$10,1),AE26),0)</f>
        <v>28</v>
      </c>
      <c r="AO26" cm="1">
        <f t="array" aca="1" ref="AO26" ca="1">IFERROR(INDEX(OFFSET($W$16,0,0,$C$10,1),AF26),0)</f>
        <v>35</v>
      </c>
      <c r="AP26" cm="1">
        <f t="array" aca="1" ref="AP26" ca="1">IFERROR(INDEX(OFFSET($W$16,0,0,$C$10,1),AG26),0)</f>
        <v>0</v>
      </c>
      <c r="AQ26" cm="1">
        <f t="array" aca="1" ref="AQ26" ca="1">IFERROR(INDEX(OFFSET($W$16,0,0,$C$10,1),AH26),0)</f>
        <v>0</v>
      </c>
      <c r="AR26" cm="1">
        <f t="array" aca="1" ref="AR26" ca="1">IFERROR(INDEX(OFFSET($W$16,0,0,$C$10,1),AI26),0)</f>
        <v>0</v>
      </c>
      <c r="AT26" cm="1">
        <f t="array" aca="1" ref="AT26" ca="1">IF(AK26=0,0,INDEX(sys_DataFlat_LU_Grid,$C$2,AK26))</f>
        <v>0</v>
      </c>
      <c r="AU26" cm="1">
        <f t="array" aca="1" ref="AU26" ca="1">IF(AL26=0,0,INDEX(sys_DataFlat_LU_Grid,$C$2,AL26))</f>
        <v>0</v>
      </c>
      <c r="AV26" cm="1">
        <f t="array" aca="1" ref="AV26" ca="1">IF(AM26=0,0,INDEX(sys_DataFlat_LU_Grid,$C$2,AM26))</f>
        <v>0</v>
      </c>
      <c r="AW26" cm="1">
        <f t="array" aca="1" ref="AW26" ca="1">IF(AN26=0,0,INDEX(sys_DataFlat_LU_Grid,$C$2,AN26))</f>
        <v>28</v>
      </c>
      <c r="AX26" cm="1">
        <f t="array" aca="1" ref="AX26" ca="1">IF(AO26=0,0,INDEX(sys_DataFlat_LU_Grid,$C$2,AO26))</f>
        <v>35</v>
      </c>
      <c r="AY26" cm="1">
        <f t="array" aca="1" ref="AY26" ca="1">IF(AP26=0,0,INDEX(sys_DataFlat_LU_Grid,$C$2,AP26))</f>
        <v>0</v>
      </c>
      <c r="AZ26" cm="1">
        <f t="array" aca="1" ref="AZ26" ca="1">IF(AQ26=0,0,INDEX(sys_DataFlat_LU_Grid,$C$2,AQ26))</f>
        <v>0</v>
      </c>
      <c r="BA26" cm="1">
        <f t="array" aca="1" ref="BA26" ca="1">IF(AR26=0,0,INDEX(sys_DataFlat_LU_Grid,$C$2,AR26))</f>
        <v>0</v>
      </c>
      <c r="BC26" t="str" cm="1">
        <f t="array" ref="BC26">INDEX(auto_ddCountry,B26)</f>
        <v>Colombo</v>
      </c>
      <c r="BD26" cm="1">
        <f t="array" ref="BD26">INDEX(auto_Country_Status,B26)</f>
        <v>1</v>
      </c>
      <c r="BE26">
        <f t="shared" ca="1" si="19"/>
        <v>3</v>
      </c>
      <c r="BF26" t="str">
        <f t="shared" ref="BF26:BM35" ca="1" si="21">IF($BE26=BF$14,CONCATENATE($BC26,$C$11),"")</f>
        <v/>
      </c>
      <c r="BG26" t="str">
        <f t="shared" ca="1" si="21"/>
        <v/>
      </c>
      <c r="BH26" t="str">
        <f t="shared" ca="1" si="21"/>
        <v/>
      </c>
      <c r="BI26" t="str">
        <f t="shared" ca="1" si="21"/>
        <v xml:space="preserve">Colombo • </v>
      </c>
      <c r="BJ26" t="str">
        <f t="shared" ca="1" si="21"/>
        <v/>
      </c>
      <c r="BK26" t="str">
        <f t="shared" ca="1" si="21"/>
        <v/>
      </c>
      <c r="BL26" t="str">
        <f t="shared" ca="1" si="21"/>
        <v/>
      </c>
      <c r="BM26" t="str">
        <f t="shared" ca="1" si="21"/>
        <v/>
      </c>
      <c r="BO26" t="s">
        <v>6629</v>
      </c>
      <c r="BP26" t="str">
        <f t="shared" si="20"/>
        <v>BG26,</v>
      </c>
    </row>
    <row r="27" spans="1:68" x14ac:dyDescent="0.4">
      <c r="A27">
        <v>12</v>
      </c>
      <c r="B27">
        <v>12</v>
      </c>
      <c r="C27" cm="1">
        <f t="array" ref="C27">INDEX(auto_Country_Status,B27)</f>
        <v>1</v>
      </c>
      <c r="E27" cm="1">
        <f t="array" aca="1" ref="E27" ca="1">INDEX(sys_DataFlat_LU_Grid,$C$2,$B27)</f>
        <v>12</v>
      </c>
      <c r="F27" cm="1">
        <f t="array" aca="1" ref="F27" ca="1">INDEX(auto_DataFlat_Score,E27,$C$3)</f>
        <v>56.8</v>
      </c>
      <c r="G27" cm="1">
        <f t="array" aca="1" ref="G27" ca="1">INDEX(auto_DataFlat_DataValue,E27,$C$3)</f>
        <v>0</v>
      </c>
      <c r="H27">
        <f t="shared" ca="1" si="6"/>
        <v>56.8</v>
      </c>
      <c r="I27" cm="1">
        <f t="array" aca="1" ref="I27" ca="1">INDEX(auto_DataFlat_Classification,E27,$C$3)</f>
        <v>3</v>
      </c>
      <c r="J27">
        <f t="shared" ca="1" si="7"/>
        <v>56.8</v>
      </c>
      <c r="K27">
        <f t="shared" ca="1" si="8"/>
        <v>56.8</v>
      </c>
      <c r="L27">
        <f t="shared" ca="1" si="9"/>
        <v>56.8</v>
      </c>
      <c r="M27">
        <f ca="1">RANK(L27,OFFSET(L$16,0,0,$C$10,1))+COUNTIF(L$16:L27,L27)-1</f>
        <v>33</v>
      </c>
      <c r="O27">
        <f t="shared" ca="1" si="2"/>
        <v>48</v>
      </c>
      <c r="P27" cm="1">
        <f t="array" aca="1" ref="P27" ca="1">INDEX(auto_Country_Status,O27)</f>
        <v>1</v>
      </c>
      <c r="Q27" cm="1">
        <f t="array" aca="1" ref="Q27" ca="1">INDEX(OFFSET($E$16,0,0,$C$10,1),O27)</f>
        <v>48</v>
      </c>
      <c r="R27" t="str" cm="1">
        <f t="array" aca="1" ref="R27" ca="1">INDEX(auto_Country_ISO,O27)</f>
        <v>VIE</v>
      </c>
      <c r="S27" cm="1">
        <f t="array" aca="1" ref="S27" ca="1">IF(AND($C$12=TRUE,$P27=0),0,INDEX(auto_DataFlat_Classification,Q27,$C$3))</f>
        <v>4</v>
      </c>
      <c r="U27">
        <f t="shared" ca="1" si="10"/>
        <v>56.8</v>
      </c>
      <c r="V27">
        <f ca="1">RANK(U27,OFFSET(U$16,0,0,$C$10,1))+COUNTIF(U$16:U27,U27)-1</f>
        <v>33</v>
      </c>
      <c r="W27">
        <f t="shared" ca="1" si="3"/>
        <v>48</v>
      </c>
      <c r="X27" cm="1">
        <f t="array" aca="1" ref="X27" ca="1">INDEX(auto_Country_Status,W27)</f>
        <v>1</v>
      </c>
      <c r="Y27" cm="1">
        <f t="array" aca="1" ref="Y27" ca="1">INDEX(sys_DataFlat_LU_Grid,$C$2,W27)</f>
        <v>48</v>
      </c>
      <c r="Z27" cm="1">
        <f t="array" aca="1" ref="Z27" ca="1">IF(X27=0,-1,INDEX(auto_DataFlat_Classification,Y27,$C$3))</f>
        <v>4</v>
      </c>
      <c r="AB27" t="e">
        <f t="shared" ca="1" si="11"/>
        <v>#N/A</v>
      </c>
      <c r="AC27" t="e">
        <f t="shared" ca="1" si="12"/>
        <v>#N/A</v>
      </c>
      <c r="AD27" t="e">
        <f t="shared" ca="1" si="13"/>
        <v>#N/A</v>
      </c>
      <c r="AE27">
        <f t="shared" ca="1" si="14"/>
        <v>43</v>
      </c>
      <c r="AF27">
        <f t="shared" ca="1" si="15"/>
        <v>14</v>
      </c>
      <c r="AG27" t="e">
        <f t="shared" ca="1" si="16"/>
        <v>#N/A</v>
      </c>
      <c r="AH27" t="e">
        <f t="shared" ca="1" si="17"/>
        <v>#N/A</v>
      </c>
      <c r="AI27" t="e">
        <f t="shared" ca="1" si="18"/>
        <v>#N/A</v>
      </c>
      <c r="AK27" cm="1">
        <f t="array" aca="1" ref="AK27" ca="1">IFERROR(INDEX(OFFSET($W$16,0,0,$C$10,1),AB27),0)</f>
        <v>0</v>
      </c>
      <c r="AL27" cm="1">
        <f t="array" aca="1" ref="AL27" ca="1">IFERROR(INDEX(OFFSET($W$16,0,0,$C$10,1),AC27),0)</f>
        <v>0</v>
      </c>
      <c r="AM27" cm="1">
        <f t="array" aca="1" ref="AM27" ca="1">IFERROR(INDEX(OFFSET($W$16,0,0,$C$10,1),AD27),0)</f>
        <v>0</v>
      </c>
      <c r="AN27" cm="1">
        <f t="array" aca="1" ref="AN27" ca="1">IFERROR(INDEX(OFFSET($W$16,0,0,$C$10,1),AE27),0)</f>
        <v>21</v>
      </c>
      <c r="AO27" cm="1">
        <f t="array" aca="1" ref="AO27" ca="1">IFERROR(INDEX(OFFSET($W$16,0,0,$C$10,1),AF27),0)</f>
        <v>40</v>
      </c>
      <c r="AP27" cm="1">
        <f t="array" aca="1" ref="AP27" ca="1">IFERROR(INDEX(OFFSET($W$16,0,0,$C$10,1),AG27),0)</f>
        <v>0</v>
      </c>
      <c r="AQ27" cm="1">
        <f t="array" aca="1" ref="AQ27" ca="1">IFERROR(INDEX(OFFSET($W$16,0,0,$C$10,1),AH27),0)</f>
        <v>0</v>
      </c>
      <c r="AR27" cm="1">
        <f t="array" aca="1" ref="AR27" ca="1">IFERROR(INDEX(OFFSET($W$16,0,0,$C$10,1),AI27),0)</f>
        <v>0</v>
      </c>
      <c r="AT27" cm="1">
        <f t="array" aca="1" ref="AT27" ca="1">IF(AK27=0,0,INDEX(sys_DataFlat_LU_Grid,$C$2,AK27))</f>
        <v>0</v>
      </c>
      <c r="AU27" cm="1">
        <f t="array" aca="1" ref="AU27" ca="1">IF(AL27=0,0,INDEX(sys_DataFlat_LU_Grid,$C$2,AL27))</f>
        <v>0</v>
      </c>
      <c r="AV27" cm="1">
        <f t="array" aca="1" ref="AV27" ca="1">IF(AM27=0,0,INDEX(sys_DataFlat_LU_Grid,$C$2,AM27))</f>
        <v>0</v>
      </c>
      <c r="AW27" cm="1">
        <f t="array" aca="1" ref="AW27" ca="1">IF(AN27=0,0,INDEX(sys_DataFlat_LU_Grid,$C$2,AN27))</f>
        <v>21</v>
      </c>
      <c r="AX27" cm="1">
        <f t="array" aca="1" ref="AX27" ca="1">IF(AO27=0,0,INDEX(sys_DataFlat_LU_Grid,$C$2,AO27))</f>
        <v>40</v>
      </c>
      <c r="AY27" cm="1">
        <f t="array" aca="1" ref="AY27" ca="1">IF(AP27=0,0,INDEX(sys_DataFlat_LU_Grid,$C$2,AP27))</f>
        <v>0</v>
      </c>
      <c r="AZ27" cm="1">
        <f t="array" aca="1" ref="AZ27" ca="1">IF(AQ27=0,0,INDEX(sys_DataFlat_LU_Grid,$C$2,AQ27))</f>
        <v>0</v>
      </c>
      <c r="BA27" cm="1">
        <f t="array" aca="1" ref="BA27" ca="1">IF(AR27=0,0,INDEX(sys_DataFlat_LU_Grid,$C$2,AR27))</f>
        <v>0</v>
      </c>
      <c r="BC27" t="str" cm="1">
        <f t="array" ref="BC27">INDEX(auto_ddCountry,B27)</f>
        <v>Delhi</v>
      </c>
      <c r="BD27" cm="1">
        <f t="array" ref="BD27">INDEX(auto_Country_Status,B27)</f>
        <v>1</v>
      </c>
      <c r="BE27">
        <f t="shared" ca="1" si="19"/>
        <v>3</v>
      </c>
      <c r="BF27" t="str">
        <f t="shared" ca="1" si="21"/>
        <v/>
      </c>
      <c r="BG27" t="str">
        <f t="shared" ca="1" si="21"/>
        <v/>
      </c>
      <c r="BH27" t="str">
        <f t="shared" ca="1" si="21"/>
        <v/>
      </c>
      <c r="BI27" t="str">
        <f t="shared" ca="1" si="21"/>
        <v xml:space="preserve">Delhi • </v>
      </c>
      <c r="BJ27" t="str">
        <f t="shared" ca="1" si="21"/>
        <v/>
      </c>
      <c r="BK27" t="str">
        <f t="shared" ca="1" si="21"/>
        <v/>
      </c>
      <c r="BL27" t="str">
        <f t="shared" ca="1" si="21"/>
        <v/>
      </c>
      <c r="BM27" t="str">
        <f t="shared" ca="1" si="21"/>
        <v/>
      </c>
      <c r="BO27" t="s">
        <v>6630</v>
      </c>
      <c r="BP27" t="str">
        <f t="shared" si="20"/>
        <v>BG27,</v>
      </c>
    </row>
    <row r="28" spans="1:68" x14ac:dyDescent="0.4">
      <c r="A28">
        <v>13</v>
      </c>
      <c r="B28">
        <v>13</v>
      </c>
      <c r="C28" cm="1">
        <f t="array" ref="C28">INDEX(auto_Country_Status,B28)</f>
        <v>1</v>
      </c>
      <c r="E28" cm="1">
        <f t="array" aca="1" ref="E28" ca="1">INDEX(sys_DataFlat_LU_Grid,$C$2,$B28)</f>
        <v>13</v>
      </c>
      <c r="F28" cm="1">
        <f t="array" aca="1" ref="F28" ca="1">INDEX(auto_DataFlat_Score,E28,$C$3)</f>
        <v>41.8</v>
      </c>
      <c r="G28" cm="1">
        <f t="array" aca="1" ref="G28" ca="1">INDEX(auto_DataFlat_DataValue,E28,$C$3)</f>
        <v>0</v>
      </c>
      <c r="H28">
        <f t="shared" ca="1" si="6"/>
        <v>41.8</v>
      </c>
      <c r="I28" cm="1">
        <f t="array" aca="1" ref="I28" ca="1">INDEX(auto_DataFlat_Classification,E28,$C$3)</f>
        <v>3</v>
      </c>
      <c r="J28">
        <f t="shared" ca="1" si="7"/>
        <v>41.8</v>
      </c>
      <c r="K28">
        <f t="shared" ca="1" si="8"/>
        <v>41.8</v>
      </c>
      <c r="L28">
        <f t="shared" ca="1" si="9"/>
        <v>41.8</v>
      </c>
      <c r="M28">
        <f ca="1">RANK(L28,OFFSET(L$16,0,0,$C$10,1))+COUNTIF(L$16:L28,L28)-1</f>
        <v>47</v>
      </c>
      <c r="O28">
        <f t="shared" ca="1" si="2"/>
        <v>35</v>
      </c>
      <c r="P28" cm="1">
        <f t="array" aca="1" ref="P28" ca="1">INDEX(auto_Country_Status,O28)</f>
        <v>1</v>
      </c>
      <c r="Q28" cm="1">
        <f t="array" aca="1" ref="Q28" ca="1">INDEX(OFFSET($E$16,0,0,$C$10,1),O28)</f>
        <v>35</v>
      </c>
      <c r="R28" t="str" cm="1">
        <f t="array" aca="1" ref="R28" ca="1">INDEX(auto_Country_ISO,O28)</f>
        <v>OSA</v>
      </c>
      <c r="S28" cm="1">
        <f t="array" aca="1" ref="S28" ca="1">IF(AND($C$12=TRUE,$P28=0),0,INDEX(auto_DataFlat_Classification,Q28,$C$3))</f>
        <v>4</v>
      </c>
      <c r="U28">
        <f t="shared" ca="1" si="10"/>
        <v>41.8</v>
      </c>
      <c r="V28">
        <f ca="1">RANK(U28,OFFSET(U$16,0,0,$C$10,1))+COUNTIF(U$16:U28,U28)-1</f>
        <v>47</v>
      </c>
      <c r="W28">
        <f t="shared" ca="1" si="3"/>
        <v>35</v>
      </c>
      <c r="X28" cm="1">
        <f t="array" aca="1" ref="X28" ca="1">INDEX(auto_Country_Status,W28)</f>
        <v>1</v>
      </c>
      <c r="Y28" cm="1">
        <f t="array" aca="1" ref="Y28" ca="1">INDEX(sys_DataFlat_LU_Grid,$C$2,W28)</f>
        <v>35</v>
      </c>
      <c r="Z28" cm="1">
        <f t="array" aca="1" ref="Z28" ca="1">IF(X28=0,-1,INDEX(auto_DataFlat_Classification,Y28,$C$3))</f>
        <v>4</v>
      </c>
      <c r="AB28" t="e">
        <f t="shared" ca="1" si="11"/>
        <v>#N/A</v>
      </c>
      <c r="AC28" t="e">
        <f t="shared" ca="1" si="12"/>
        <v>#N/A</v>
      </c>
      <c r="AD28" t="e">
        <f t="shared" ca="1" si="13"/>
        <v>#N/A</v>
      </c>
      <c r="AE28">
        <f t="shared" ca="1" si="14"/>
        <v>44</v>
      </c>
      <c r="AF28">
        <f t="shared" ca="1" si="15"/>
        <v>15</v>
      </c>
      <c r="AG28" t="e">
        <f t="shared" ca="1" si="16"/>
        <v>#N/A</v>
      </c>
      <c r="AH28" t="e">
        <f t="shared" ca="1" si="17"/>
        <v>#N/A</v>
      </c>
      <c r="AI28" t="e">
        <f t="shared" ca="1" si="18"/>
        <v>#N/A</v>
      </c>
      <c r="AK28" cm="1">
        <f t="array" aca="1" ref="AK28" ca="1">IFERROR(INDEX(OFFSET($W$16,0,0,$C$10,1),AB28),0)</f>
        <v>0</v>
      </c>
      <c r="AL28" cm="1">
        <f t="array" aca="1" ref="AL28" ca="1">IFERROR(INDEX(OFFSET($W$16,0,0,$C$10,1),AC28),0)</f>
        <v>0</v>
      </c>
      <c r="AM28" cm="1">
        <f t="array" aca="1" ref="AM28" ca="1">IFERROR(INDEX(OFFSET($W$16,0,0,$C$10,1),AD28),0)</f>
        <v>0</v>
      </c>
      <c r="AN28" cm="1">
        <f t="array" aca="1" ref="AN28" ca="1">IFERROR(INDEX(OFFSET($W$16,0,0,$C$10,1),AE28),0)</f>
        <v>38</v>
      </c>
      <c r="AO28" cm="1">
        <f t="array" aca="1" ref="AO28" ca="1">IFERROR(INDEX(OFFSET($W$16,0,0,$C$10,1),AF28),0)</f>
        <v>19</v>
      </c>
      <c r="AP28" cm="1">
        <f t="array" aca="1" ref="AP28" ca="1">IFERROR(INDEX(OFFSET($W$16,0,0,$C$10,1),AG28),0)</f>
        <v>0</v>
      </c>
      <c r="AQ28" cm="1">
        <f t="array" aca="1" ref="AQ28" ca="1">IFERROR(INDEX(OFFSET($W$16,0,0,$C$10,1),AH28),0)</f>
        <v>0</v>
      </c>
      <c r="AR28" cm="1">
        <f t="array" aca="1" ref="AR28" ca="1">IFERROR(INDEX(OFFSET($W$16,0,0,$C$10,1),AI28),0)</f>
        <v>0</v>
      </c>
      <c r="AT28" cm="1">
        <f t="array" aca="1" ref="AT28" ca="1">IF(AK28=0,0,INDEX(sys_DataFlat_LU_Grid,$C$2,AK28))</f>
        <v>0</v>
      </c>
      <c r="AU28" cm="1">
        <f t="array" aca="1" ref="AU28" ca="1">IF(AL28=0,0,INDEX(sys_DataFlat_LU_Grid,$C$2,AL28))</f>
        <v>0</v>
      </c>
      <c r="AV28" cm="1">
        <f t="array" aca="1" ref="AV28" ca="1">IF(AM28=0,0,INDEX(sys_DataFlat_LU_Grid,$C$2,AM28))</f>
        <v>0</v>
      </c>
      <c r="AW28" cm="1">
        <f t="array" aca="1" ref="AW28" ca="1">IF(AN28=0,0,INDEX(sys_DataFlat_LU_Grid,$C$2,AN28))</f>
        <v>38</v>
      </c>
      <c r="AX28" cm="1">
        <f t="array" aca="1" ref="AX28" ca="1">IF(AO28=0,0,INDEX(sys_DataFlat_LU_Grid,$C$2,AO28))</f>
        <v>19</v>
      </c>
      <c r="AY28" cm="1">
        <f t="array" aca="1" ref="AY28" ca="1">IF(AP28=0,0,INDEX(sys_DataFlat_LU_Grid,$C$2,AP28))</f>
        <v>0</v>
      </c>
      <c r="AZ28" cm="1">
        <f t="array" aca="1" ref="AZ28" ca="1">IF(AQ28=0,0,INDEX(sys_DataFlat_LU_Grid,$C$2,AQ28))</f>
        <v>0</v>
      </c>
      <c r="BA28" cm="1">
        <f t="array" aca="1" ref="BA28" ca="1">IF(AR28=0,0,INDEX(sys_DataFlat_LU_Grid,$C$2,AR28))</f>
        <v>0</v>
      </c>
      <c r="BC28" t="str" cm="1">
        <f t="array" ref="BC28">INDEX(auto_ddCountry,B28)</f>
        <v>Dhaka</v>
      </c>
      <c r="BD28" cm="1">
        <f t="array" ref="BD28">INDEX(auto_Country_Status,B28)</f>
        <v>1</v>
      </c>
      <c r="BE28">
        <f t="shared" ca="1" si="19"/>
        <v>3</v>
      </c>
      <c r="BF28" t="str">
        <f t="shared" ca="1" si="21"/>
        <v/>
      </c>
      <c r="BG28" t="str">
        <f t="shared" ca="1" si="21"/>
        <v/>
      </c>
      <c r="BH28" t="str">
        <f t="shared" ca="1" si="21"/>
        <v/>
      </c>
      <c r="BI28" t="str">
        <f t="shared" ca="1" si="21"/>
        <v xml:space="preserve">Dhaka • </v>
      </c>
      <c r="BJ28" t="str">
        <f t="shared" ca="1" si="21"/>
        <v/>
      </c>
      <c r="BK28" t="str">
        <f t="shared" ca="1" si="21"/>
        <v/>
      </c>
      <c r="BL28" t="str">
        <f t="shared" ca="1" si="21"/>
        <v/>
      </c>
      <c r="BM28" t="str">
        <f t="shared" ca="1" si="21"/>
        <v/>
      </c>
      <c r="BO28" t="s">
        <v>6631</v>
      </c>
      <c r="BP28" t="str">
        <f t="shared" si="20"/>
        <v>BG28,</v>
      </c>
    </row>
    <row r="29" spans="1:68" x14ac:dyDescent="0.4">
      <c r="A29">
        <v>14</v>
      </c>
      <c r="B29">
        <v>14</v>
      </c>
      <c r="C29" cm="1">
        <f t="array" ref="C29">INDEX(auto_Country_Status,B29)</f>
        <v>1</v>
      </c>
      <c r="E29" cm="1">
        <f t="array" aca="1" ref="E29" ca="1">INDEX(sys_DataFlat_LU_Grid,$C$2,$B29)</f>
        <v>14</v>
      </c>
      <c r="F29" cm="1">
        <f t="array" aca="1" ref="F29" ca="1">INDEX(auto_DataFlat_Score,E29,$C$3)</f>
        <v>65</v>
      </c>
      <c r="G29" cm="1">
        <f t="array" aca="1" ref="G29" ca="1">INDEX(auto_DataFlat_DataValue,E29,$C$3)</f>
        <v>0</v>
      </c>
      <c r="H29">
        <f t="shared" ca="1" si="6"/>
        <v>65</v>
      </c>
      <c r="I29" cm="1">
        <f t="array" aca="1" ref="I29" ca="1">INDEX(auto_DataFlat_Classification,E29,$C$3)</f>
        <v>4</v>
      </c>
      <c r="J29">
        <f t="shared" ca="1" si="7"/>
        <v>65</v>
      </c>
      <c r="K29">
        <f t="shared" ca="1" si="8"/>
        <v>65</v>
      </c>
      <c r="L29">
        <f t="shared" ca="1" si="9"/>
        <v>65</v>
      </c>
      <c r="M29">
        <f ca="1">RANK(L29,OFFSET(L$16,0,0,$C$10,1))+COUNTIF(L$16:L29,L29)-1</f>
        <v>25</v>
      </c>
      <c r="O29">
        <f t="shared" ca="1" si="2"/>
        <v>40</v>
      </c>
      <c r="P29" cm="1">
        <f t="array" aca="1" ref="P29" ca="1">INDEX(auto_Country_Status,O29)</f>
        <v>1</v>
      </c>
      <c r="Q29" cm="1">
        <f t="array" aca="1" ref="Q29" ca="1">INDEX(OFFSET($E$16,0,0,$C$10,1),O29)</f>
        <v>40</v>
      </c>
      <c r="R29" t="str" cm="1">
        <f t="array" aca="1" ref="R29" ca="1">INDEX(auto_Country_ISO,O29)</f>
        <v>SFO</v>
      </c>
      <c r="S29" cm="1">
        <f t="array" aca="1" ref="S29" ca="1">IF(AND($C$12=TRUE,$P29=0),0,INDEX(auto_DataFlat_Classification,Q29,$C$3))</f>
        <v>4</v>
      </c>
      <c r="U29">
        <f t="shared" ca="1" si="10"/>
        <v>65</v>
      </c>
      <c r="V29">
        <f ca="1">RANK(U29,OFFSET(U$16,0,0,$C$10,1))+COUNTIF(U$16:U29,U29)-1</f>
        <v>25</v>
      </c>
      <c r="W29">
        <f t="shared" ca="1" si="3"/>
        <v>40</v>
      </c>
      <c r="X29" cm="1">
        <f t="array" aca="1" ref="X29" ca="1">INDEX(auto_Country_Status,W29)</f>
        <v>1</v>
      </c>
      <c r="Y29" cm="1">
        <f t="array" aca="1" ref="Y29" ca="1">INDEX(sys_DataFlat_LU_Grid,$C$2,W29)</f>
        <v>40</v>
      </c>
      <c r="Z29" cm="1">
        <f t="array" aca="1" ref="Z29" ca="1">IF(X29=0,-1,INDEX(auto_DataFlat_Classification,Y29,$C$3))</f>
        <v>4</v>
      </c>
      <c r="AB29" t="e">
        <f t="shared" ca="1" si="11"/>
        <v>#N/A</v>
      </c>
      <c r="AC29" t="e">
        <f t="shared" ca="1" si="12"/>
        <v>#N/A</v>
      </c>
      <c r="AD29" t="e">
        <f t="shared" ca="1" si="13"/>
        <v>#N/A</v>
      </c>
      <c r="AE29">
        <f t="shared" ca="1" si="14"/>
        <v>45</v>
      </c>
      <c r="AF29">
        <f t="shared" ca="1" si="15"/>
        <v>16</v>
      </c>
      <c r="AG29" t="e">
        <f t="shared" ca="1" si="16"/>
        <v>#N/A</v>
      </c>
      <c r="AH29" t="e">
        <f t="shared" ca="1" si="17"/>
        <v>#N/A</v>
      </c>
      <c r="AI29" t="e">
        <f t="shared" ca="1" si="18"/>
        <v>#N/A</v>
      </c>
      <c r="AK29" cm="1">
        <f t="array" aca="1" ref="AK29" ca="1">IFERROR(INDEX(OFFSET($W$16,0,0,$C$10,1),AB29),0)</f>
        <v>0</v>
      </c>
      <c r="AL29" cm="1">
        <f t="array" aca="1" ref="AL29" ca="1">IFERROR(INDEX(OFFSET($W$16,0,0,$C$10,1),AC29),0)</f>
        <v>0</v>
      </c>
      <c r="AM29" cm="1">
        <f t="array" aca="1" ref="AM29" ca="1">IFERROR(INDEX(OFFSET($W$16,0,0,$C$10,1),AD29),0)</f>
        <v>0</v>
      </c>
      <c r="AN29" cm="1">
        <f t="array" aca="1" ref="AN29" ca="1">IFERROR(INDEX(OFFSET($W$16,0,0,$C$10,1),AE29),0)</f>
        <v>50</v>
      </c>
      <c r="AO29" cm="1">
        <f t="array" aca="1" ref="AO29" ca="1">IFERROR(INDEX(OFFSET($W$16,0,0,$C$10,1),AF29),0)</f>
        <v>4</v>
      </c>
      <c r="AP29" cm="1">
        <f t="array" aca="1" ref="AP29" ca="1">IFERROR(INDEX(OFFSET($W$16,0,0,$C$10,1),AG29),0)</f>
        <v>0</v>
      </c>
      <c r="AQ29" cm="1">
        <f t="array" aca="1" ref="AQ29" ca="1">IFERROR(INDEX(OFFSET($W$16,0,0,$C$10,1),AH29),0)</f>
        <v>0</v>
      </c>
      <c r="AR29" cm="1">
        <f t="array" aca="1" ref="AR29" ca="1">IFERROR(INDEX(OFFSET($W$16,0,0,$C$10,1),AI29),0)</f>
        <v>0</v>
      </c>
      <c r="AT29" cm="1">
        <f t="array" aca="1" ref="AT29" ca="1">IF(AK29=0,0,INDEX(sys_DataFlat_LU_Grid,$C$2,AK29))</f>
        <v>0</v>
      </c>
      <c r="AU29" cm="1">
        <f t="array" aca="1" ref="AU29" ca="1">IF(AL29=0,0,INDEX(sys_DataFlat_LU_Grid,$C$2,AL29))</f>
        <v>0</v>
      </c>
      <c r="AV29" cm="1">
        <f t="array" aca="1" ref="AV29" ca="1">IF(AM29=0,0,INDEX(sys_DataFlat_LU_Grid,$C$2,AM29))</f>
        <v>0</v>
      </c>
      <c r="AW29" cm="1">
        <f t="array" aca="1" ref="AW29" ca="1">IF(AN29=0,0,INDEX(sys_DataFlat_LU_Grid,$C$2,AN29))</f>
        <v>50</v>
      </c>
      <c r="AX29" cm="1">
        <f t="array" aca="1" ref="AX29" ca="1">IF(AO29=0,0,INDEX(sys_DataFlat_LU_Grid,$C$2,AO29))</f>
        <v>4</v>
      </c>
      <c r="AY29" cm="1">
        <f t="array" aca="1" ref="AY29" ca="1">IF(AP29=0,0,INDEX(sys_DataFlat_LU_Grid,$C$2,AP29))</f>
        <v>0</v>
      </c>
      <c r="AZ29" cm="1">
        <f t="array" aca="1" ref="AZ29" ca="1">IF(AQ29=0,0,INDEX(sys_DataFlat_LU_Grid,$C$2,AQ29))</f>
        <v>0</v>
      </c>
      <c r="BA29" cm="1">
        <f t="array" aca="1" ref="BA29" ca="1">IF(AR29=0,0,INDEX(sys_DataFlat_LU_Grid,$C$2,AR29))</f>
        <v>0</v>
      </c>
      <c r="BC29" t="str" cm="1">
        <f t="array" ref="BC29">INDEX(auto_ddCountry,B29)</f>
        <v>Dubai</v>
      </c>
      <c r="BD29" cm="1">
        <f t="array" ref="BD29">INDEX(auto_Country_Status,B29)</f>
        <v>1</v>
      </c>
      <c r="BE29">
        <f t="shared" ca="1" si="19"/>
        <v>4</v>
      </c>
      <c r="BF29" t="str">
        <f t="shared" ca="1" si="21"/>
        <v/>
      </c>
      <c r="BG29" t="str">
        <f t="shared" ca="1" si="21"/>
        <v/>
      </c>
      <c r="BH29" t="str">
        <f t="shared" ca="1" si="21"/>
        <v/>
      </c>
      <c r="BI29" t="str">
        <f t="shared" ca="1" si="21"/>
        <v/>
      </c>
      <c r="BJ29" t="str">
        <f t="shared" ca="1" si="21"/>
        <v xml:space="preserve">Dubai • </v>
      </c>
      <c r="BK29" t="str">
        <f t="shared" ca="1" si="21"/>
        <v/>
      </c>
      <c r="BL29" t="str">
        <f t="shared" ca="1" si="21"/>
        <v/>
      </c>
      <c r="BM29" t="str">
        <f t="shared" ca="1" si="21"/>
        <v/>
      </c>
      <c r="BO29" t="s">
        <v>6632</v>
      </c>
      <c r="BP29" t="str">
        <f t="shared" si="20"/>
        <v>BG29,</v>
      </c>
    </row>
    <row r="30" spans="1:68" x14ac:dyDescent="0.4">
      <c r="A30">
        <v>15</v>
      </c>
      <c r="B30">
        <v>15</v>
      </c>
      <c r="C30" cm="1">
        <f t="array" ref="C30">INDEX(auto_Country_Status,B30)</f>
        <v>1</v>
      </c>
      <c r="E30" cm="1">
        <f t="array" aca="1" ref="E30" ca="1">INDEX(sys_DataFlat_LU_Grid,$C$2,$B30)</f>
        <v>15</v>
      </c>
      <c r="F30" cm="1">
        <f t="array" aca="1" ref="F30" ca="1">INDEX(auto_DataFlat_Score,E30,$C$3)</f>
        <v>75.5</v>
      </c>
      <c r="G30" cm="1">
        <f t="array" aca="1" ref="G30" ca="1">INDEX(auto_DataFlat_DataValue,E30,$C$3)</f>
        <v>0</v>
      </c>
      <c r="H30">
        <f t="shared" ca="1" si="6"/>
        <v>75.5</v>
      </c>
      <c r="I30" cm="1">
        <f t="array" aca="1" ref="I30" ca="1">INDEX(auto_DataFlat_Classification,E30,$C$3)</f>
        <v>4</v>
      </c>
      <c r="J30">
        <f t="shared" ca="1" si="7"/>
        <v>75.5</v>
      </c>
      <c r="K30">
        <f t="shared" ca="1" si="8"/>
        <v>75.5</v>
      </c>
      <c r="L30">
        <f t="shared" ca="1" si="9"/>
        <v>75.5</v>
      </c>
      <c r="M30">
        <f ca="1">RANK(L30,OFFSET(L$16,0,0,$C$10,1))+COUNTIF(L$16:L30,L30)-1</f>
        <v>11</v>
      </c>
      <c r="O30">
        <f t="shared" ca="1" si="2"/>
        <v>19</v>
      </c>
      <c r="P30" cm="1">
        <f t="array" aca="1" ref="P30" ca="1">INDEX(auto_Country_Status,O30)</f>
        <v>1</v>
      </c>
      <c r="Q30" cm="1">
        <f t="array" aca="1" ref="Q30" ca="1">INDEX(OFFSET($E$16,0,0,$C$10,1),O30)</f>
        <v>19</v>
      </c>
      <c r="R30" t="str" cm="1">
        <f t="array" aca="1" ref="R30" ca="1">INDEX(auto_Country_ISO,O30)</f>
        <v>JKT</v>
      </c>
      <c r="S30" cm="1">
        <f t="array" aca="1" ref="S30" ca="1">IF(AND($C$12=TRUE,$P30=0),0,INDEX(auto_DataFlat_Classification,Q30,$C$3))</f>
        <v>4</v>
      </c>
      <c r="U30">
        <f t="shared" ca="1" si="10"/>
        <v>75.5</v>
      </c>
      <c r="V30">
        <f ca="1">RANK(U30,OFFSET(U$16,0,0,$C$10,1))+COUNTIF(U$16:U30,U30)-1</f>
        <v>11</v>
      </c>
      <c r="W30">
        <f t="shared" ca="1" si="3"/>
        <v>19</v>
      </c>
      <c r="X30" cm="1">
        <f t="array" aca="1" ref="X30" ca="1">INDEX(auto_Country_Status,W30)</f>
        <v>1</v>
      </c>
      <c r="Y30" cm="1">
        <f t="array" aca="1" ref="Y30" ca="1">INDEX(sys_DataFlat_LU_Grid,$C$2,W30)</f>
        <v>19</v>
      </c>
      <c r="Z30" cm="1">
        <f t="array" aca="1" ref="Z30" ca="1">IF(X30=0,-1,INDEX(auto_DataFlat_Classification,Y30,$C$3))</f>
        <v>4</v>
      </c>
      <c r="AB30" t="e">
        <f t="shared" ca="1" si="11"/>
        <v>#N/A</v>
      </c>
      <c r="AC30" t="e">
        <f t="shared" ca="1" si="12"/>
        <v>#N/A</v>
      </c>
      <c r="AD30" t="e">
        <f t="shared" ca="1" si="13"/>
        <v>#N/A</v>
      </c>
      <c r="AE30">
        <f t="shared" ca="1" si="14"/>
        <v>46</v>
      </c>
      <c r="AF30">
        <f t="shared" ca="1" si="15"/>
        <v>17</v>
      </c>
      <c r="AG30" t="e">
        <f t="shared" ca="1" si="16"/>
        <v>#N/A</v>
      </c>
      <c r="AH30" t="e">
        <f t="shared" ca="1" si="17"/>
        <v>#N/A</v>
      </c>
      <c r="AI30" t="e">
        <f t="shared" ca="1" si="18"/>
        <v>#N/A</v>
      </c>
      <c r="AK30" cm="1">
        <f t="array" aca="1" ref="AK30" ca="1">IFERROR(INDEX(OFFSET($W$16,0,0,$C$10,1),AB30),0)</f>
        <v>0</v>
      </c>
      <c r="AL30" cm="1">
        <f t="array" aca="1" ref="AL30" ca="1">IFERROR(INDEX(OFFSET($W$16,0,0,$C$10,1),AC30),0)</f>
        <v>0</v>
      </c>
      <c r="AM30" cm="1">
        <f t="array" aca="1" ref="AM30" ca="1">IFERROR(INDEX(OFFSET($W$16,0,0,$C$10,1),AD30),0)</f>
        <v>0</v>
      </c>
      <c r="AN30" cm="1">
        <f t="array" aca="1" ref="AN30" ca="1">IFERROR(INDEX(OFFSET($W$16,0,0,$C$10,1),AE30),0)</f>
        <v>24</v>
      </c>
      <c r="AO30" cm="1">
        <f t="array" aca="1" ref="AO30" ca="1">IFERROR(INDEX(OFFSET($W$16,0,0,$C$10,1),AF30),0)</f>
        <v>45</v>
      </c>
      <c r="AP30" cm="1">
        <f t="array" aca="1" ref="AP30" ca="1">IFERROR(INDEX(OFFSET($W$16,0,0,$C$10,1),AG30),0)</f>
        <v>0</v>
      </c>
      <c r="AQ30" cm="1">
        <f t="array" aca="1" ref="AQ30" ca="1">IFERROR(INDEX(OFFSET($W$16,0,0,$C$10,1),AH30),0)</f>
        <v>0</v>
      </c>
      <c r="AR30" cm="1">
        <f t="array" aca="1" ref="AR30" ca="1">IFERROR(INDEX(OFFSET($W$16,0,0,$C$10,1),AI30),0)</f>
        <v>0</v>
      </c>
      <c r="AT30" cm="1">
        <f t="array" aca="1" ref="AT30" ca="1">IF(AK30=0,0,INDEX(sys_DataFlat_LU_Grid,$C$2,AK30))</f>
        <v>0</v>
      </c>
      <c r="AU30" cm="1">
        <f t="array" aca="1" ref="AU30" ca="1">IF(AL30=0,0,INDEX(sys_DataFlat_LU_Grid,$C$2,AL30))</f>
        <v>0</v>
      </c>
      <c r="AV30" cm="1">
        <f t="array" aca="1" ref="AV30" ca="1">IF(AM30=0,0,INDEX(sys_DataFlat_LU_Grid,$C$2,AM30))</f>
        <v>0</v>
      </c>
      <c r="AW30" cm="1">
        <f t="array" aca="1" ref="AW30" ca="1">IF(AN30=0,0,INDEX(sys_DataFlat_LU_Grid,$C$2,AN30))</f>
        <v>24</v>
      </c>
      <c r="AX30" cm="1">
        <f t="array" aca="1" ref="AX30" ca="1">IF(AO30=0,0,INDEX(sys_DataFlat_LU_Grid,$C$2,AO30))</f>
        <v>45</v>
      </c>
      <c r="AY30" cm="1">
        <f t="array" aca="1" ref="AY30" ca="1">IF(AP30=0,0,INDEX(sys_DataFlat_LU_Grid,$C$2,AP30))</f>
        <v>0</v>
      </c>
      <c r="AZ30" cm="1">
        <f t="array" aca="1" ref="AZ30" ca="1">IF(AQ30=0,0,INDEX(sys_DataFlat_LU_Grid,$C$2,AQ30))</f>
        <v>0</v>
      </c>
      <c r="BA30" cm="1">
        <f t="array" aca="1" ref="BA30" ca="1">IF(AR30=0,0,INDEX(sys_DataFlat_LU_Grid,$C$2,AR30))</f>
        <v>0</v>
      </c>
      <c r="BC30" t="str" cm="1">
        <f t="array" ref="BC30">INDEX(auto_ddCountry,B30)</f>
        <v>Helsinki</v>
      </c>
      <c r="BD30" cm="1">
        <f t="array" ref="BD30">INDEX(auto_Country_Status,B30)</f>
        <v>1</v>
      </c>
      <c r="BE30">
        <f t="shared" ca="1" si="19"/>
        <v>4</v>
      </c>
      <c r="BF30" t="str">
        <f t="shared" ca="1" si="21"/>
        <v/>
      </c>
      <c r="BG30" t="str">
        <f t="shared" ca="1" si="21"/>
        <v/>
      </c>
      <c r="BH30" t="str">
        <f t="shared" ca="1" si="21"/>
        <v/>
      </c>
      <c r="BI30" t="str">
        <f t="shared" ca="1" si="21"/>
        <v/>
      </c>
      <c r="BJ30" t="str">
        <f t="shared" ca="1" si="21"/>
        <v xml:space="preserve">Helsinki • </v>
      </c>
      <c r="BK30" t="str">
        <f t="shared" ca="1" si="21"/>
        <v/>
      </c>
      <c r="BL30" t="str">
        <f t="shared" ca="1" si="21"/>
        <v/>
      </c>
      <c r="BM30" t="str">
        <f t="shared" ca="1" si="21"/>
        <v/>
      </c>
      <c r="BO30" t="s">
        <v>6633</v>
      </c>
      <c r="BP30" t="str">
        <f t="shared" si="20"/>
        <v>BG30,</v>
      </c>
    </row>
    <row r="31" spans="1:68" x14ac:dyDescent="0.4">
      <c r="A31">
        <v>16</v>
      </c>
      <c r="B31">
        <v>16</v>
      </c>
      <c r="C31" cm="1">
        <f t="array" ref="C31">INDEX(auto_Country_Status,B31)</f>
        <v>1</v>
      </c>
      <c r="E31" cm="1">
        <f t="array" aca="1" ref="E31" ca="1">INDEX(sys_DataFlat_LU_Grid,$C$2,$B31)</f>
        <v>16</v>
      </c>
      <c r="F31" cm="1">
        <f t="array" aca="1" ref="F31" ca="1">INDEX(auto_DataFlat_Score,E31,$C$3)</f>
        <v>66</v>
      </c>
      <c r="G31" cm="1">
        <f t="array" aca="1" ref="G31" ca="1">INDEX(auto_DataFlat_DataValue,E31,$C$3)</f>
        <v>0</v>
      </c>
      <c r="H31">
        <f t="shared" ca="1" si="6"/>
        <v>66</v>
      </c>
      <c r="I31" cm="1">
        <f t="array" aca="1" ref="I31" ca="1">INDEX(auto_DataFlat_Classification,E31,$C$3)</f>
        <v>4</v>
      </c>
      <c r="J31">
        <f t="shared" ca="1" si="7"/>
        <v>66</v>
      </c>
      <c r="K31">
        <f t="shared" ca="1" si="8"/>
        <v>66</v>
      </c>
      <c r="L31">
        <f t="shared" ca="1" si="9"/>
        <v>66</v>
      </c>
      <c r="M31">
        <f ca="1">RANK(L31,OFFSET(L$16,0,0,$C$10,1))+COUNTIF(L$16:L31,L31)-1</f>
        <v>22</v>
      </c>
      <c r="O31">
        <f t="shared" ca="1" si="2"/>
        <v>4</v>
      </c>
      <c r="P31" cm="1">
        <f t="array" aca="1" ref="P31" ca="1">INDEX(auto_Country_Status,O31)</f>
        <v>1</v>
      </c>
      <c r="Q31" cm="1">
        <f t="array" aca="1" ref="Q31" ca="1">INDEX(OFFSET($E$16,0,0,$C$10,1),O31)</f>
        <v>4</v>
      </c>
      <c r="R31" t="str" cm="1">
        <f t="array" aca="1" ref="R31" ca="1">INDEX(auto_Country_ISO,O31)</f>
        <v>AKL</v>
      </c>
      <c r="S31" cm="1">
        <f t="array" aca="1" ref="S31" ca="1">IF(AND($C$12=TRUE,$P31=0),0,INDEX(auto_DataFlat_Classification,Q31,$C$3))</f>
        <v>4</v>
      </c>
      <c r="U31">
        <f t="shared" ca="1" si="10"/>
        <v>66</v>
      </c>
      <c r="V31">
        <f ca="1">RANK(U31,OFFSET(U$16,0,0,$C$10,1))+COUNTIF(U$16:U31,U31)-1</f>
        <v>22</v>
      </c>
      <c r="W31">
        <f t="shared" ca="1" si="3"/>
        <v>4</v>
      </c>
      <c r="X31" cm="1">
        <f t="array" aca="1" ref="X31" ca="1">INDEX(auto_Country_Status,W31)</f>
        <v>1</v>
      </c>
      <c r="Y31" cm="1">
        <f t="array" aca="1" ref="Y31" ca="1">INDEX(sys_DataFlat_LU_Grid,$C$2,W31)</f>
        <v>4</v>
      </c>
      <c r="Z31" cm="1">
        <f t="array" aca="1" ref="Z31" ca="1">IF(X31=0,-1,INDEX(auto_DataFlat_Classification,Y31,$C$3))</f>
        <v>4</v>
      </c>
      <c r="AB31" t="e">
        <f t="shared" ca="1" si="11"/>
        <v>#N/A</v>
      </c>
      <c r="AC31" t="e">
        <f t="shared" ca="1" si="12"/>
        <v>#N/A</v>
      </c>
      <c r="AD31" t="e">
        <f t="shared" ca="1" si="13"/>
        <v>#N/A</v>
      </c>
      <c r="AE31">
        <f t="shared" ca="1" si="14"/>
        <v>47</v>
      </c>
      <c r="AF31">
        <f t="shared" ca="1" si="15"/>
        <v>18</v>
      </c>
      <c r="AG31" t="e">
        <f t="shared" ca="1" si="16"/>
        <v>#N/A</v>
      </c>
      <c r="AH31" t="e">
        <f t="shared" ca="1" si="17"/>
        <v>#N/A</v>
      </c>
      <c r="AI31" t="e">
        <f t="shared" ca="1" si="18"/>
        <v>#N/A</v>
      </c>
      <c r="AK31" cm="1">
        <f t="array" aca="1" ref="AK31" ca="1">IFERROR(INDEX(OFFSET($W$16,0,0,$C$10,1),AB31),0)</f>
        <v>0</v>
      </c>
      <c r="AL31" cm="1">
        <f t="array" aca="1" ref="AL31" ca="1">IFERROR(INDEX(OFFSET($W$16,0,0,$C$10,1),AC31),0)</f>
        <v>0</v>
      </c>
      <c r="AM31" cm="1">
        <f t="array" aca="1" ref="AM31" ca="1">IFERROR(INDEX(OFFSET($W$16,0,0,$C$10,1),AD31),0)</f>
        <v>0</v>
      </c>
      <c r="AN31" cm="1">
        <f t="array" aca="1" ref="AN31" ca="1">IFERROR(INDEX(OFFSET($W$16,0,0,$C$10,1),AE31),0)</f>
        <v>13</v>
      </c>
      <c r="AO31" cm="1">
        <f t="array" aca="1" ref="AO31" ca="1">IFERROR(INDEX(OFFSET($W$16,0,0,$C$10,1),AF31),0)</f>
        <v>8</v>
      </c>
      <c r="AP31" cm="1">
        <f t="array" aca="1" ref="AP31" ca="1">IFERROR(INDEX(OFFSET($W$16,0,0,$C$10,1),AG31),0)</f>
        <v>0</v>
      </c>
      <c r="AQ31" cm="1">
        <f t="array" aca="1" ref="AQ31" ca="1">IFERROR(INDEX(OFFSET($W$16,0,0,$C$10,1),AH31),0)</f>
        <v>0</v>
      </c>
      <c r="AR31" cm="1">
        <f t="array" aca="1" ref="AR31" ca="1">IFERROR(INDEX(OFFSET($W$16,0,0,$C$10,1),AI31),0)</f>
        <v>0</v>
      </c>
      <c r="AT31" cm="1">
        <f t="array" aca="1" ref="AT31" ca="1">IF(AK31=0,0,INDEX(sys_DataFlat_LU_Grid,$C$2,AK31))</f>
        <v>0</v>
      </c>
      <c r="AU31" cm="1">
        <f t="array" aca="1" ref="AU31" ca="1">IF(AL31=0,0,INDEX(sys_DataFlat_LU_Grid,$C$2,AL31))</f>
        <v>0</v>
      </c>
      <c r="AV31" cm="1">
        <f t="array" aca="1" ref="AV31" ca="1">IF(AM31=0,0,INDEX(sys_DataFlat_LU_Grid,$C$2,AM31))</f>
        <v>0</v>
      </c>
      <c r="AW31" cm="1">
        <f t="array" aca="1" ref="AW31" ca="1">IF(AN31=0,0,INDEX(sys_DataFlat_LU_Grid,$C$2,AN31))</f>
        <v>13</v>
      </c>
      <c r="AX31" cm="1">
        <f t="array" aca="1" ref="AX31" ca="1">IF(AO31=0,0,INDEX(sys_DataFlat_LU_Grid,$C$2,AO31))</f>
        <v>8</v>
      </c>
      <c r="AY31" cm="1">
        <f t="array" aca="1" ref="AY31" ca="1">IF(AP31=0,0,INDEX(sys_DataFlat_LU_Grid,$C$2,AP31))</f>
        <v>0</v>
      </c>
      <c r="AZ31" cm="1">
        <f t="array" aca="1" ref="AZ31" ca="1">IF(AQ31=0,0,INDEX(sys_DataFlat_LU_Grid,$C$2,AQ31))</f>
        <v>0</v>
      </c>
      <c r="BA31" cm="1">
        <f t="array" aca="1" ref="BA31" ca="1">IF(AR31=0,0,INDEX(sys_DataFlat_LU_Grid,$C$2,AR31))</f>
        <v>0</v>
      </c>
      <c r="BC31" t="str" cm="1">
        <f t="array" ref="BC31">INDEX(auto_ddCountry,B31)</f>
        <v>Ho Chi Minh City</v>
      </c>
      <c r="BD31" cm="1">
        <f t="array" ref="BD31">INDEX(auto_Country_Status,B31)</f>
        <v>1</v>
      </c>
      <c r="BE31">
        <f t="shared" ca="1" si="19"/>
        <v>4</v>
      </c>
      <c r="BF31" t="str">
        <f t="shared" ca="1" si="21"/>
        <v/>
      </c>
      <c r="BG31" t="str">
        <f t="shared" ca="1" si="21"/>
        <v/>
      </c>
      <c r="BH31" t="str">
        <f t="shared" ca="1" si="21"/>
        <v/>
      </c>
      <c r="BI31" t="str">
        <f t="shared" ca="1" si="21"/>
        <v/>
      </c>
      <c r="BJ31" t="str">
        <f t="shared" ca="1" si="21"/>
        <v xml:space="preserve">Ho Chi Minh City • </v>
      </c>
      <c r="BK31" t="str">
        <f t="shared" ca="1" si="21"/>
        <v/>
      </c>
      <c r="BL31" t="str">
        <f t="shared" ca="1" si="21"/>
        <v/>
      </c>
      <c r="BM31" t="str">
        <f t="shared" ca="1" si="21"/>
        <v/>
      </c>
      <c r="BO31" t="s">
        <v>6634</v>
      </c>
      <c r="BP31" t="str">
        <f t="shared" si="20"/>
        <v>BG31,</v>
      </c>
    </row>
    <row r="32" spans="1:68" x14ac:dyDescent="0.4">
      <c r="A32">
        <v>17</v>
      </c>
      <c r="B32">
        <v>17</v>
      </c>
      <c r="C32" cm="1">
        <f t="array" ref="C32">INDEX(auto_Country_Status,B32)</f>
        <v>1</v>
      </c>
      <c r="E32" cm="1">
        <f t="array" aca="1" ref="E32" ca="1">INDEX(sys_DataFlat_LU_Grid,$C$2,$B32)</f>
        <v>17</v>
      </c>
      <c r="F32" cm="1">
        <f t="array" aca="1" ref="F32" ca="1">INDEX(auto_DataFlat_Score,E32,$C$3)</f>
        <v>83.2</v>
      </c>
      <c r="G32" cm="1">
        <f t="array" aca="1" ref="G32" ca="1">INDEX(auto_DataFlat_DataValue,E32,$C$3)</f>
        <v>0</v>
      </c>
      <c r="H32">
        <f t="shared" ca="1" si="6"/>
        <v>83.2</v>
      </c>
      <c r="I32" cm="1">
        <f t="array" aca="1" ref="I32" ca="1">INDEX(auto_DataFlat_Classification,E32,$C$3)</f>
        <v>5</v>
      </c>
      <c r="J32">
        <f t="shared" ca="1" si="7"/>
        <v>83.2</v>
      </c>
      <c r="K32">
        <f t="shared" ca="1" si="8"/>
        <v>83.2</v>
      </c>
      <c r="L32">
        <f t="shared" ca="1" si="9"/>
        <v>83.2</v>
      </c>
      <c r="M32">
        <f ca="1">RANK(L32,OFFSET(L$16,0,0,$C$10,1))+COUNTIF(L$16:L32,L32)-1</f>
        <v>1</v>
      </c>
      <c r="O32">
        <f t="shared" ca="1" si="2"/>
        <v>45</v>
      </c>
      <c r="P32" cm="1">
        <f t="array" aca="1" ref="P32" ca="1">INDEX(auto_Country_Status,O32)</f>
        <v>1</v>
      </c>
      <c r="Q32" cm="1">
        <f t="array" aca="1" ref="Q32" ca="1">INDEX(OFFSET($E$16,0,0,$C$10,1),O32)</f>
        <v>45</v>
      </c>
      <c r="R32" t="str" cm="1">
        <f t="array" aca="1" ref="R32" ca="1">INDEX(auto_Country_ISO,O32)</f>
        <v>SYD</v>
      </c>
      <c r="S32" cm="1">
        <f t="array" aca="1" ref="S32" ca="1">IF(AND($C$12=TRUE,$P32=0),0,INDEX(auto_DataFlat_Classification,Q32,$C$3))</f>
        <v>4</v>
      </c>
      <c r="U32">
        <f t="shared" ca="1" si="10"/>
        <v>83.2</v>
      </c>
      <c r="V32">
        <f ca="1">RANK(U32,OFFSET(U$16,0,0,$C$10,1))+COUNTIF(U$16:U32,U32)-1</f>
        <v>1</v>
      </c>
      <c r="W32">
        <f t="shared" ca="1" si="3"/>
        <v>45</v>
      </c>
      <c r="X32" cm="1">
        <f t="array" aca="1" ref="X32" ca="1">INDEX(auto_Country_Status,W32)</f>
        <v>1</v>
      </c>
      <c r="Y32" cm="1">
        <f t="array" aca="1" ref="Y32" ca="1">INDEX(sys_DataFlat_LU_Grid,$C$2,W32)</f>
        <v>45</v>
      </c>
      <c r="Z32" cm="1">
        <f t="array" aca="1" ref="Z32" ca="1">IF(X32=0,-1,INDEX(auto_DataFlat_Classification,Y32,$C$3))</f>
        <v>4</v>
      </c>
      <c r="AB32" t="e">
        <f t="shared" ca="1" si="11"/>
        <v>#N/A</v>
      </c>
      <c r="AC32" t="e">
        <f t="shared" ca="1" si="12"/>
        <v>#N/A</v>
      </c>
      <c r="AD32" t="e">
        <f t="shared" ca="1" si="13"/>
        <v>#N/A</v>
      </c>
      <c r="AE32">
        <f t="shared" ca="1" si="14"/>
        <v>48</v>
      </c>
      <c r="AF32">
        <f t="shared" ref="AF32:AF65" ca="1" si="22">IFERROR(AF31+MATCH(AF$14,OFFSET($Z$16,AF31,0,$C$10-AF31,1),0),NA())</f>
        <v>19</v>
      </c>
      <c r="AG32" t="e">
        <f t="shared" ref="AG32:AG65" ca="1" si="23">IFERROR(AG31+MATCH(AG$14,OFFSET($Z$16,AG31,0,$C$10-AG31,1),0),NA())</f>
        <v>#N/A</v>
      </c>
      <c r="AH32" t="e">
        <f t="shared" ref="AH32:AH65" ca="1" si="24">IFERROR(AH31+MATCH(AH$14,OFFSET($Z$16,AH31,0,$C$10-AH31,1),0),NA())</f>
        <v>#N/A</v>
      </c>
      <c r="AI32" t="e">
        <f t="shared" ref="AI32:AI65" ca="1" si="25">IFERROR(AI31+MATCH(AI$14,OFFSET($Z$16,AI31,0,$C$10-AI31,1),0),NA())</f>
        <v>#N/A</v>
      </c>
      <c r="AK32" cm="1">
        <f t="array" aca="1" ref="AK32" ca="1">IFERROR(INDEX(OFFSET($W$16,0,0,$C$10,1),AB32),0)</f>
        <v>0</v>
      </c>
      <c r="AL32" cm="1">
        <f t="array" aca="1" ref="AL32" ca="1">IFERROR(INDEX(OFFSET($W$16,0,0,$C$10,1),AC32),0)</f>
        <v>0</v>
      </c>
      <c r="AM32" cm="1">
        <f t="array" aca="1" ref="AM32" ca="1">IFERROR(INDEX(OFFSET($W$16,0,0,$C$10,1),AD32),0)</f>
        <v>0</v>
      </c>
      <c r="AN32" cm="1">
        <f t="array" aca="1" ref="AN32" ca="1">IFERROR(INDEX(OFFSET($W$16,0,0,$C$10,1),AE32),0)</f>
        <v>2</v>
      </c>
      <c r="AO32" cm="1">
        <f t="array" aca="1" ref="AO32" ca="1">IFERROR(INDEX(OFFSET($W$16,0,0,$C$10,1),AF32),0)</f>
        <v>9</v>
      </c>
      <c r="AP32" cm="1">
        <f t="array" aca="1" ref="AP32" ca="1">IFERROR(INDEX(OFFSET($W$16,0,0,$C$10,1),AG32),0)</f>
        <v>0</v>
      </c>
      <c r="AQ32" cm="1">
        <f t="array" aca="1" ref="AQ32" ca="1">IFERROR(INDEX(OFFSET($W$16,0,0,$C$10,1),AH32),0)</f>
        <v>0</v>
      </c>
      <c r="AR32" cm="1">
        <f t="array" aca="1" ref="AR32" ca="1">IFERROR(INDEX(OFFSET($W$16,0,0,$C$10,1),AI32),0)</f>
        <v>0</v>
      </c>
      <c r="AT32" cm="1">
        <f t="array" aca="1" ref="AT32" ca="1">IF(AK32=0,0,INDEX(sys_DataFlat_LU_Grid,$C$2,AK32))</f>
        <v>0</v>
      </c>
      <c r="AU32" cm="1">
        <f t="array" aca="1" ref="AU32" ca="1">IF(AL32=0,0,INDEX(sys_DataFlat_LU_Grid,$C$2,AL32))</f>
        <v>0</v>
      </c>
      <c r="AV32" cm="1">
        <f t="array" aca="1" ref="AV32" ca="1">IF(AM32=0,0,INDEX(sys_DataFlat_LU_Grid,$C$2,AM32))</f>
        <v>0</v>
      </c>
      <c r="AW32" cm="1">
        <f t="array" aca="1" ref="AW32" ca="1">IF(AN32=0,0,INDEX(sys_DataFlat_LU_Grid,$C$2,AN32))</f>
        <v>2</v>
      </c>
      <c r="AX32" cm="1">
        <f t="array" aca="1" ref="AX32" ca="1">IF(AO32=0,0,INDEX(sys_DataFlat_LU_Grid,$C$2,AO32))</f>
        <v>9</v>
      </c>
      <c r="AY32" cm="1">
        <f t="array" aca="1" ref="AY32" ca="1">IF(AP32=0,0,INDEX(sys_DataFlat_LU_Grid,$C$2,AP32))</f>
        <v>0</v>
      </c>
      <c r="AZ32" cm="1">
        <f t="array" aca="1" ref="AZ32" ca="1">IF(AQ32=0,0,INDEX(sys_DataFlat_LU_Grid,$C$2,AQ32))</f>
        <v>0</v>
      </c>
      <c r="BA32" cm="1">
        <f t="array" aca="1" ref="BA32" ca="1">IF(AR32=0,0,INDEX(sys_DataFlat_LU_Grid,$C$2,AR32))</f>
        <v>0</v>
      </c>
      <c r="BC32" t="str" cm="1">
        <f t="array" ref="BC32">INDEX(auto_ddCountry,B32)</f>
        <v>Hong Kong</v>
      </c>
      <c r="BD32" cm="1">
        <f t="array" ref="BD32">INDEX(auto_Country_Status,B32)</f>
        <v>1</v>
      </c>
      <c r="BE32">
        <f t="shared" ca="1" si="19"/>
        <v>5</v>
      </c>
      <c r="BF32" t="str">
        <f t="shared" ca="1" si="21"/>
        <v/>
      </c>
      <c r="BG32" t="str">
        <f t="shared" ca="1" si="21"/>
        <v/>
      </c>
      <c r="BH32" t="str">
        <f t="shared" ca="1" si="21"/>
        <v/>
      </c>
      <c r="BI32" t="str">
        <f t="shared" ca="1" si="21"/>
        <v/>
      </c>
      <c r="BJ32" t="str">
        <f t="shared" ca="1" si="21"/>
        <v/>
      </c>
      <c r="BK32" t="str">
        <f t="shared" ca="1" si="21"/>
        <v xml:space="preserve">Hong Kong • </v>
      </c>
      <c r="BL32" t="str">
        <f t="shared" ca="1" si="21"/>
        <v/>
      </c>
      <c r="BM32" t="str">
        <f t="shared" ca="1" si="21"/>
        <v/>
      </c>
      <c r="BO32" t="s">
        <v>6635</v>
      </c>
      <c r="BP32" t="str">
        <f t="shared" si="20"/>
        <v>BG32,</v>
      </c>
    </row>
    <row r="33" spans="1:68" x14ac:dyDescent="0.4">
      <c r="A33">
        <v>18</v>
      </c>
      <c r="B33">
        <v>18</v>
      </c>
      <c r="C33" cm="1">
        <f t="array" ref="C33">INDEX(auto_Country_Status,B33)</f>
        <v>1</v>
      </c>
      <c r="E33" cm="1">
        <f t="array" aca="1" ref="E33" ca="1">INDEX(sys_DataFlat_LU_Grid,$C$2,$B33)</f>
        <v>18</v>
      </c>
      <c r="F33" cm="1">
        <f t="array" aca="1" ref="F33" ca="1">INDEX(auto_DataFlat_Score,E33,$C$3)</f>
        <v>60.4</v>
      </c>
      <c r="G33" cm="1">
        <f t="array" aca="1" ref="G33" ca="1">INDEX(auto_DataFlat_DataValue,E33,$C$3)</f>
        <v>0</v>
      </c>
      <c r="H33">
        <f t="shared" ca="1" si="6"/>
        <v>60.4</v>
      </c>
      <c r="I33" cm="1">
        <f t="array" aca="1" ref="I33" ca="1">INDEX(auto_DataFlat_Classification,E33,$C$3)</f>
        <v>4</v>
      </c>
      <c r="J33">
        <f t="shared" ca="1" si="7"/>
        <v>60.4</v>
      </c>
      <c r="K33">
        <f t="shared" ca="1" si="8"/>
        <v>60.4</v>
      </c>
      <c r="L33">
        <f t="shared" ca="1" si="9"/>
        <v>60.4</v>
      </c>
      <c r="M33">
        <f ca="1">RANK(L33,OFFSET(L$16,0,0,$C$10,1))+COUNTIF(L$16:L33,L33)-1</f>
        <v>31</v>
      </c>
      <c r="O33">
        <f t="shared" ca="1" si="2"/>
        <v>8</v>
      </c>
      <c r="P33" cm="1">
        <f t="array" aca="1" ref="P33" ca="1">INDEX(auto_Country_Status,O33)</f>
        <v>1</v>
      </c>
      <c r="Q33" cm="1">
        <f t="array" aca="1" ref="Q33" ca="1">INDEX(OFFSET($E$16,0,0,$C$10,1),O33)</f>
        <v>8</v>
      </c>
      <c r="R33" t="str" cm="1">
        <f t="array" aca="1" ref="R33" ca="1">INDEX(auto_Country_ISO,O33)</f>
        <v>B6Y</v>
      </c>
      <c r="S33" cm="1">
        <f t="array" aca="1" ref="S33" ca="1">IF(AND($C$12=TRUE,$P33=0),0,INDEX(auto_DataFlat_Classification,Q33,$C$3))</f>
        <v>4</v>
      </c>
      <c r="U33">
        <f t="shared" ca="1" si="10"/>
        <v>60.4</v>
      </c>
      <c r="V33">
        <f ca="1">RANK(U33,OFFSET(U$16,0,0,$C$10,1))+COUNTIF(U$16:U33,U33)-1</f>
        <v>31</v>
      </c>
      <c r="W33">
        <f t="shared" ca="1" si="3"/>
        <v>8</v>
      </c>
      <c r="X33" cm="1">
        <f t="array" aca="1" ref="X33" ca="1">INDEX(auto_Country_Status,W33)</f>
        <v>1</v>
      </c>
      <c r="Y33" cm="1">
        <f t="array" aca="1" ref="Y33" ca="1">INDEX(sys_DataFlat_LU_Grid,$C$2,W33)</f>
        <v>8</v>
      </c>
      <c r="Z33" cm="1">
        <f t="array" aca="1" ref="Z33" ca="1">IF(X33=0,-1,INDEX(auto_DataFlat_Classification,Y33,$C$3))</f>
        <v>4</v>
      </c>
      <c r="AB33" t="e">
        <f t="shared" ca="1" si="11"/>
        <v>#N/A</v>
      </c>
      <c r="AC33" t="e">
        <f t="shared" ca="1" si="12"/>
        <v>#N/A</v>
      </c>
      <c r="AD33" t="e">
        <f t="shared" ca="1" si="13"/>
        <v>#N/A</v>
      </c>
      <c r="AE33">
        <f t="shared" ca="1" si="14"/>
        <v>49</v>
      </c>
      <c r="AF33">
        <f t="shared" ca="1" si="22"/>
        <v>20</v>
      </c>
      <c r="AG33" t="e">
        <f t="shared" ca="1" si="23"/>
        <v>#N/A</v>
      </c>
      <c r="AH33" t="e">
        <f t="shared" ca="1" si="24"/>
        <v>#N/A</v>
      </c>
      <c r="AI33" t="e">
        <f t="shared" ca="1" si="25"/>
        <v>#N/A</v>
      </c>
      <c r="AK33" cm="1">
        <f t="array" aca="1" ref="AK33" ca="1">IFERROR(INDEX(OFFSET($W$16,0,0,$C$10,1),AB33),0)</f>
        <v>0</v>
      </c>
      <c r="AL33" cm="1">
        <f t="array" aca="1" ref="AL33" ca="1">IFERROR(INDEX(OFFSET($W$16,0,0,$C$10,1),AC33),0)</f>
        <v>0</v>
      </c>
      <c r="AM33" cm="1">
        <f t="array" aca="1" ref="AM33" ca="1">IFERROR(INDEX(OFFSET($W$16,0,0,$C$10,1),AD33),0)</f>
        <v>0</v>
      </c>
      <c r="AN33" cm="1">
        <f t="array" aca="1" ref="AN33" ca="1">IFERROR(INDEX(OFFSET($W$16,0,0,$C$10,1),AE33),0)</f>
        <v>22</v>
      </c>
      <c r="AO33" cm="1">
        <f t="array" aca="1" ref="AO33" ca="1">IFERROR(INDEX(OFFSET($W$16,0,0,$C$10,1),AF33),0)</f>
        <v>5</v>
      </c>
      <c r="AP33" cm="1">
        <f t="array" aca="1" ref="AP33" ca="1">IFERROR(INDEX(OFFSET($W$16,0,0,$C$10,1),AG33),0)</f>
        <v>0</v>
      </c>
      <c r="AQ33" cm="1">
        <f t="array" aca="1" ref="AQ33" ca="1">IFERROR(INDEX(OFFSET($W$16,0,0,$C$10,1),AH33),0)</f>
        <v>0</v>
      </c>
      <c r="AR33" cm="1">
        <f t="array" aca="1" ref="AR33" ca="1">IFERROR(INDEX(OFFSET($W$16,0,0,$C$10,1),AI33),0)</f>
        <v>0</v>
      </c>
      <c r="AT33" cm="1">
        <f t="array" aca="1" ref="AT33" ca="1">IF(AK33=0,0,INDEX(sys_DataFlat_LU_Grid,$C$2,AK33))</f>
        <v>0</v>
      </c>
      <c r="AU33" cm="1">
        <f t="array" aca="1" ref="AU33" ca="1">IF(AL33=0,0,INDEX(sys_DataFlat_LU_Grid,$C$2,AL33))</f>
        <v>0</v>
      </c>
      <c r="AV33" cm="1">
        <f t="array" aca="1" ref="AV33" ca="1">IF(AM33=0,0,INDEX(sys_DataFlat_LU_Grid,$C$2,AM33))</f>
        <v>0</v>
      </c>
      <c r="AW33" cm="1">
        <f t="array" aca="1" ref="AW33" ca="1">IF(AN33=0,0,INDEX(sys_DataFlat_LU_Grid,$C$2,AN33))</f>
        <v>22</v>
      </c>
      <c r="AX33" cm="1">
        <f t="array" aca="1" ref="AX33" ca="1">IF(AO33=0,0,INDEX(sys_DataFlat_LU_Grid,$C$2,AO33))</f>
        <v>5</v>
      </c>
      <c r="AY33" cm="1">
        <f t="array" aca="1" ref="AY33" ca="1">IF(AP33=0,0,INDEX(sys_DataFlat_LU_Grid,$C$2,AP33))</f>
        <v>0</v>
      </c>
      <c r="AZ33" cm="1">
        <f t="array" aca="1" ref="AZ33" ca="1">IF(AQ33=0,0,INDEX(sys_DataFlat_LU_Grid,$C$2,AQ33))</f>
        <v>0</v>
      </c>
      <c r="BA33" cm="1">
        <f t="array" aca="1" ref="BA33" ca="1">IF(AR33=0,0,INDEX(sys_DataFlat_LU_Grid,$C$2,AR33))</f>
        <v>0</v>
      </c>
      <c r="BC33" t="str" cm="1">
        <f t="array" ref="BC33">INDEX(auto_ddCountry,B33)</f>
        <v>Istanbul</v>
      </c>
      <c r="BD33" cm="1">
        <f t="array" ref="BD33">INDEX(auto_Country_Status,B33)</f>
        <v>1</v>
      </c>
      <c r="BE33">
        <f t="shared" ca="1" si="19"/>
        <v>4</v>
      </c>
      <c r="BF33" t="str">
        <f t="shared" ca="1" si="21"/>
        <v/>
      </c>
      <c r="BG33" t="str">
        <f t="shared" ca="1" si="21"/>
        <v/>
      </c>
      <c r="BH33" t="str">
        <f t="shared" ca="1" si="21"/>
        <v/>
      </c>
      <c r="BI33" t="str">
        <f t="shared" ca="1" si="21"/>
        <v/>
      </c>
      <c r="BJ33" t="str">
        <f t="shared" ca="1" si="21"/>
        <v xml:space="preserve">Istanbul • </v>
      </c>
      <c r="BK33" t="str">
        <f t="shared" ca="1" si="21"/>
        <v/>
      </c>
      <c r="BL33" t="str">
        <f t="shared" ca="1" si="21"/>
        <v/>
      </c>
      <c r="BM33" t="str">
        <f t="shared" ca="1" si="21"/>
        <v/>
      </c>
      <c r="BO33" t="s">
        <v>6636</v>
      </c>
      <c r="BP33" t="str">
        <f t="shared" si="20"/>
        <v>BG33,</v>
      </c>
    </row>
    <row r="34" spans="1:68" x14ac:dyDescent="0.4">
      <c r="A34">
        <v>19</v>
      </c>
      <c r="B34">
        <v>19</v>
      </c>
      <c r="C34" cm="1">
        <f t="array" ref="C34">INDEX(auto_Country_Status,B34)</f>
        <v>1</v>
      </c>
      <c r="E34" cm="1">
        <f t="array" aca="1" ref="E34" ca="1">INDEX(sys_DataFlat_LU_Grid,$C$2,$B34)</f>
        <v>19</v>
      </c>
      <c r="F34" cm="1">
        <f t="array" aca="1" ref="F34" ca="1">INDEX(auto_DataFlat_Score,E34,$C$3)</f>
        <v>71.7</v>
      </c>
      <c r="G34" cm="1">
        <f t="array" aca="1" ref="G34" ca="1">INDEX(auto_DataFlat_DataValue,E34,$C$3)</f>
        <v>0</v>
      </c>
      <c r="H34">
        <f t="shared" ca="1" si="6"/>
        <v>71.7</v>
      </c>
      <c r="I34" cm="1">
        <f t="array" aca="1" ref="I34" ca="1">INDEX(auto_DataFlat_Classification,E34,$C$3)</f>
        <v>4</v>
      </c>
      <c r="J34">
        <f t="shared" ca="1" si="7"/>
        <v>71.7</v>
      </c>
      <c r="K34">
        <f t="shared" ca="1" si="8"/>
        <v>71.7</v>
      </c>
      <c r="L34">
        <f t="shared" ca="1" si="9"/>
        <v>71.7</v>
      </c>
      <c r="M34">
        <f ca="1">RANK(L34,OFFSET(L$16,0,0,$C$10,1))+COUNTIF(L$16:L34,L34)-1</f>
        <v>15</v>
      </c>
      <c r="O34">
        <f t="shared" ca="1" si="2"/>
        <v>9</v>
      </c>
      <c r="P34" cm="1">
        <f t="array" aca="1" ref="P34" ca="1">INDEX(auto_Country_Status,O34)</f>
        <v>1</v>
      </c>
      <c r="Q34" cm="1">
        <f t="array" aca="1" ref="Q34" ca="1">INDEX(OFFSET($E$16,0,0,$C$10,1),O34)</f>
        <v>9</v>
      </c>
      <c r="R34" t="str" cm="1">
        <f t="array" aca="1" ref="R34" ca="1">INDEX(auto_Country_ISO,O34)</f>
        <v>BUD</v>
      </c>
      <c r="S34" cm="1">
        <f t="array" aca="1" ref="S34" ca="1">IF(AND($C$12=TRUE,$P34=0),0,INDEX(auto_DataFlat_Classification,Q34,$C$3))</f>
        <v>4</v>
      </c>
      <c r="U34">
        <f t="shared" ca="1" si="10"/>
        <v>71.7</v>
      </c>
      <c r="V34">
        <f ca="1">RANK(U34,OFFSET(U$16,0,0,$C$10,1))+COUNTIF(U$16:U34,U34)-1</f>
        <v>15</v>
      </c>
      <c r="W34">
        <f t="shared" ca="1" si="3"/>
        <v>9</v>
      </c>
      <c r="X34" cm="1">
        <f t="array" aca="1" ref="X34" ca="1">INDEX(auto_Country_Status,W34)</f>
        <v>1</v>
      </c>
      <c r="Y34" cm="1">
        <f t="array" aca="1" ref="Y34" ca="1">INDEX(sys_DataFlat_LU_Grid,$C$2,W34)</f>
        <v>9</v>
      </c>
      <c r="Z34" cm="1">
        <f t="array" aca="1" ref="Z34" ca="1">IF(X34=0,-1,INDEX(auto_DataFlat_Classification,Y34,$C$3))</f>
        <v>4</v>
      </c>
      <c r="AB34" t="e">
        <f t="shared" ca="1" si="11"/>
        <v>#N/A</v>
      </c>
      <c r="AC34" t="e">
        <f t="shared" ca="1" si="12"/>
        <v>#N/A</v>
      </c>
      <c r="AD34" t="e">
        <f t="shared" ca="1" si="13"/>
        <v>#N/A</v>
      </c>
      <c r="AE34">
        <f t="shared" ca="1" si="14"/>
        <v>50</v>
      </c>
      <c r="AF34">
        <f t="shared" ca="1" si="22"/>
        <v>21</v>
      </c>
      <c r="AG34" t="e">
        <f t="shared" ca="1" si="23"/>
        <v>#N/A</v>
      </c>
      <c r="AH34" t="e">
        <f t="shared" ca="1" si="24"/>
        <v>#N/A</v>
      </c>
      <c r="AI34" t="e">
        <f t="shared" ca="1" si="25"/>
        <v>#N/A</v>
      </c>
      <c r="AK34" cm="1">
        <f t="array" aca="1" ref="AK34" ca="1">IFERROR(INDEX(OFFSET($W$16,0,0,$C$10,1),AB34),0)</f>
        <v>0</v>
      </c>
      <c r="AL34" cm="1">
        <f t="array" aca="1" ref="AL34" ca="1">IFERROR(INDEX(OFFSET($W$16,0,0,$C$10,1),AC34),0)</f>
        <v>0</v>
      </c>
      <c r="AM34" cm="1">
        <f t="array" aca="1" ref="AM34" ca="1">IFERROR(INDEX(OFFSET($W$16,0,0,$C$10,1),AD34),0)</f>
        <v>0</v>
      </c>
      <c r="AN34" cm="1">
        <f t="array" aca="1" ref="AN34" ca="1">IFERROR(INDEX(OFFSET($W$16,0,0,$C$10,1),AE34),0)</f>
        <v>10</v>
      </c>
      <c r="AO34" cm="1">
        <f t="array" aca="1" ref="AO34" ca="1">IFERROR(INDEX(OFFSET($W$16,0,0,$C$10,1),AF34),0)</f>
        <v>41</v>
      </c>
      <c r="AP34" cm="1">
        <f t="array" aca="1" ref="AP34" ca="1">IFERROR(INDEX(OFFSET($W$16,0,0,$C$10,1),AG34),0)</f>
        <v>0</v>
      </c>
      <c r="AQ34" cm="1">
        <f t="array" aca="1" ref="AQ34" ca="1">IFERROR(INDEX(OFFSET($W$16,0,0,$C$10,1),AH34),0)</f>
        <v>0</v>
      </c>
      <c r="AR34" cm="1">
        <f t="array" aca="1" ref="AR34" ca="1">IFERROR(INDEX(OFFSET($W$16,0,0,$C$10,1),AI34),0)</f>
        <v>0</v>
      </c>
      <c r="AT34" cm="1">
        <f t="array" aca="1" ref="AT34" ca="1">IF(AK34=0,0,INDEX(sys_DataFlat_LU_Grid,$C$2,AK34))</f>
        <v>0</v>
      </c>
      <c r="AU34" cm="1">
        <f t="array" aca="1" ref="AU34" ca="1">IF(AL34=0,0,INDEX(sys_DataFlat_LU_Grid,$C$2,AL34))</f>
        <v>0</v>
      </c>
      <c r="AV34" cm="1">
        <f t="array" aca="1" ref="AV34" ca="1">IF(AM34=0,0,INDEX(sys_DataFlat_LU_Grid,$C$2,AM34))</f>
        <v>0</v>
      </c>
      <c r="AW34" cm="1">
        <f t="array" aca="1" ref="AW34" ca="1">IF(AN34=0,0,INDEX(sys_DataFlat_LU_Grid,$C$2,AN34))</f>
        <v>10</v>
      </c>
      <c r="AX34" cm="1">
        <f t="array" aca="1" ref="AX34" ca="1">IF(AO34=0,0,INDEX(sys_DataFlat_LU_Grid,$C$2,AO34))</f>
        <v>41</v>
      </c>
      <c r="AY34" cm="1">
        <f t="array" aca="1" ref="AY34" ca="1">IF(AP34=0,0,INDEX(sys_DataFlat_LU_Grid,$C$2,AP34))</f>
        <v>0</v>
      </c>
      <c r="AZ34" cm="1">
        <f t="array" aca="1" ref="AZ34" ca="1">IF(AQ34=0,0,INDEX(sys_DataFlat_LU_Grid,$C$2,AQ34))</f>
        <v>0</v>
      </c>
      <c r="BA34" cm="1">
        <f t="array" aca="1" ref="BA34" ca="1">IF(AR34=0,0,INDEX(sys_DataFlat_LU_Grid,$C$2,AR34))</f>
        <v>0</v>
      </c>
      <c r="BC34" t="str" cm="1">
        <f t="array" ref="BC34">INDEX(auto_ddCountry,B34)</f>
        <v>Jakarta</v>
      </c>
      <c r="BD34" cm="1">
        <f t="array" ref="BD34">INDEX(auto_Country_Status,B34)</f>
        <v>1</v>
      </c>
      <c r="BE34">
        <f t="shared" ca="1" si="19"/>
        <v>4</v>
      </c>
      <c r="BF34" t="str">
        <f t="shared" ca="1" si="21"/>
        <v/>
      </c>
      <c r="BG34" t="str">
        <f t="shared" ca="1" si="21"/>
        <v/>
      </c>
      <c r="BH34" t="str">
        <f t="shared" ca="1" si="21"/>
        <v/>
      </c>
      <c r="BI34" t="str">
        <f t="shared" ca="1" si="21"/>
        <v/>
      </c>
      <c r="BJ34" t="str">
        <f t="shared" ca="1" si="21"/>
        <v xml:space="preserve">Jakarta • </v>
      </c>
      <c r="BK34" t="str">
        <f t="shared" ca="1" si="21"/>
        <v/>
      </c>
      <c r="BL34" t="str">
        <f t="shared" ca="1" si="21"/>
        <v/>
      </c>
      <c r="BM34" t="str">
        <f t="shared" ca="1" si="21"/>
        <v/>
      </c>
      <c r="BO34" t="s">
        <v>6637</v>
      </c>
      <c r="BP34" t="str">
        <f t="shared" si="20"/>
        <v>BG34,</v>
      </c>
    </row>
    <row r="35" spans="1:68" x14ac:dyDescent="0.4">
      <c r="A35">
        <v>20</v>
      </c>
      <c r="B35">
        <v>20</v>
      </c>
      <c r="C35" cm="1">
        <f t="array" ref="C35">INDEX(auto_Country_Status,B35)</f>
        <v>1</v>
      </c>
      <c r="E35" cm="1">
        <f t="array" aca="1" ref="E35" ca="1">INDEX(sys_DataFlat_LU_Grid,$C$2,$B35)</f>
        <v>20</v>
      </c>
      <c r="F35" cm="1">
        <f t="array" aca="1" ref="F35" ca="1">INDEX(auto_DataFlat_Score,E35,$C$3)</f>
        <v>52.5</v>
      </c>
      <c r="G35" cm="1">
        <f t="array" aca="1" ref="G35" ca="1">INDEX(auto_DataFlat_DataValue,E35,$C$3)</f>
        <v>0</v>
      </c>
      <c r="H35">
        <f t="shared" ca="1" si="6"/>
        <v>52.5</v>
      </c>
      <c r="I35" cm="1">
        <f t="array" aca="1" ref="I35" ca="1">INDEX(auto_DataFlat_Classification,E35,$C$3)</f>
        <v>3</v>
      </c>
      <c r="J35">
        <f t="shared" ca="1" si="7"/>
        <v>52.5</v>
      </c>
      <c r="K35">
        <f t="shared" ca="1" si="8"/>
        <v>52.5</v>
      </c>
      <c r="L35">
        <f t="shared" ca="1" si="9"/>
        <v>52.5</v>
      </c>
      <c r="M35">
        <f ca="1">RANK(L35,OFFSET(L$16,0,0,$C$10,1))+COUNTIF(L$16:L35,L35)-1</f>
        <v>35</v>
      </c>
      <c r="O35">
        <f t="shared" ca="1" si="2"/>
        <v>5</v>
      </c>
      <c r="P35" cm="1">
        <f t="array" aca="1" ref="P35" ca="1">INDEX(auto_Country_Status,O35)</f>
        <v>1</v>
      </c>
      <c r="Q35" cm="1">
        <f t="array" aca="1" ref="Q35" ca="1">INDEX(OFFSET($E$16,0,0,$C$10,1),O35)</f>
        <v>5</v>
      </c>
      <c r="R35" t="str" cm="1">
        <f t="array" aca="1" ref="R35" ca="1">INDEX(auto_Country_ISO,O35)</f>
        <v>BKK</v>
      </c>
      <c r="S35" cm="1">
        <f t="array" aca="1" ref="S35" ca="1">IF(AND($C$12=TRUE,$P35=0),0,INDEX(auto_DataFlat_Classification,Q35,$C$3))</f>
        <v>4</v>
      </c>
      <c r="U35">
        <f t="shared" ca="1" si="10"/>
        <v>52.5</v>
      </c>
      <c r="V35">
        <f ca="1">RANK(U35,OFFSET(U$16,0,0,$C$10,1))+COUNTIF(U$16:U35,U35)-1</f>
        <v>35</v>
      </c>
      <c r="W35">
        <f t="shared" ca="1" si="3"/>
        <v>5</v>
      </c>
      <c r="X35" cm="1">
        <f t="array" aca="1" ref="X35" ca="1">INDEX(auto_Country_Status,W35)</f>
        <v>1</v>
      </c>
      <c r="Y35" cm="1">
        <f t="array" aca="1" ref="Y35" ca="1">INDEX(sys_DataFlat_LU_Grid,$C$2,W35)</f>
        <v>5</v>
      </c>
      <c r="Z35" cm="1">
        <f t="array" aca="1" ref="Z35" ca="1">IF(X35=0,-1,INDEX(auto_DataFlat_Classification,Y35,$C$3))</f>
        <v>4</v>
      </c>
      <c r="AB35" t="e">
        <f t="shared" ca="1" si="11"/>
        <v>#N/A</v>
      </c>
      <c r="AC35" t="e">
        <f t="shared" ca="1" si="12"/>
        <v>#N/A</v>
      </c>
      <c r="AD35" t="e">
        <f t="shared" ca="1" si="13"/>
        <v>#N/A</v>
      </c>
      <c r="AE35" t="e">
        <f t="shared" ca="1" si="14"/>
        <v>#N/A</v>
      </c>
      <c r="AF35">
        <f t="shared" ca="1" si="22"/>
        <v>22</v>
      </c>
      <c r="AG35" t="e">
        <f t="shared" ca="1" si="23"/>
        <v>#N/A</v>
      </c>
      <c r="AH35" t="e">
        <f t="shared" ca="1" si="24"/>
        <v>#N/A</v>
      </c>
      <c r="AI35" t="e">
        <f t="shared" ca="1" si="25"/>
        <v>#N/A</v>
      </c>
      <c r="AK35" cm="1">
        <f t="array" aca="1" ref="AK35" ca="1">IFERROR(INDEX(OFFSET($W$16,0,0,$C$10,1),AB35),0)</f>
        <v>0</v>
      </c>
      <c r="AL35" cm="1">
        <f t="array" aca="1" ref="AL35" ca="1">IFERROR(INDEX(OFFSET($W$16,0,0,$C$10,1),AC35),0)</f>
        <v>0</v>
      </c>
      <c r="AM35" cm="1">
        <f t="array" aca="1" ref="AM35" ca="1">IFERROR(INDEX(OFFSET($W$16,0,0,$C$10,1),AD35),0)</f>
        <v>0</v>
      </c>
      <c r="AN35" cm="1">
        <f t="array" aca="1" ref="AN35" ca="1">IFERROR(INDEX(OFFSET($W$16,0,0,$C$10,1),AE35),0)</f>
        <v>0</v>
      </c>
      <c r="AO35" cm="1">
        <f t="array" aca="1" ref="AO35" ca="1">IFERROR(INDEX(OFFSET($W$16,0,0,$C$10,1),AF35),0)</f>
        <v>16</v>
      </c>
      <c r="AP35" cm="1">
        <f t="array" aca="1" ref="AP35" ca="1">IFERROR(INDEX(OFFSET($W$16,0,0,$C$10,1),AG35),0)</f>
        <v>0</v>
      </c>
      <c r="AQ35" cm="1">
        <f t="array" aca="1" ref="AQ35" ca="1">IFERROR(INDEX(OFFSET($W$16,0,0,$C$10,1),AH35),0)</f>
        <v>0</v>
      </c>
      <c r="AR35" cm="1">
        <f t="array" aca="1" ref="AR35" ca="1">IFERROR(INDEX(OFFSET($W$16,0,0,$C$10,1),AI35),0)</f>
        <v>0</v>
      </c>
      <c r="AT35" cm="1">
        <f t="array" aca="1" ref="AT35" ca="1">IF(AK35=0,0,INDEX(sys_DataFlat_LU_Grid,$C$2,AK35))</f>
        <v>0</v>
      </c>
      <c r="AU35" cm="1">
        <f t="array" aca="1" ref="AU35" ca="1">IF(AL35=0,0,INDEX(sys_DataFlat_LU_Grid,$C$2,AL35))</f>
        <v>0</v>
      </c>
      <c r="AV35" cm="1">
        <f t="array" aca="1" ref="AV35" ca="1">IF(AM35=0,0,INDEX(sys_DataFlat_LU_Grid,$C$2,AM35))</f>
        <v>0</v>
      </c>
      <c r="AW35" cm="1">
        <f t="array" aca="1" ref="AW35" ca="1">IF(AN35=0,0,INDEX(sys_DataFlat_LU_Grid,$C$2,AN35))</f>
        <v>0</v>
      </c>
      <c r="AX35" cm="1">
        <f t="array" aca="1" ref="AX35" ca="1">IF(AO35=0,0,INDEX(sys_DataFlat_LU_Grid,$C$2,AO35))</f>
        <v>16</v>
      </c>
      <c r="AY35" cm="1">
        <f t="array" aca="1" ref="AY35" ca="1">IF(AP35=0,0,INDEX(sys_DataFlat_LU_Grid,$C$2,AP35))</f>
        <v>0</v>
      </c>
      <c r="AZ35" cm="1">
        <f t="array" aca="1" ref="AZ35" ca="1">IF(AQ35=0,0,INDEX(sys_DataFlat_LU_Grid,$C$2,AQ35))</f>
        <v>0</v>
      </c>
      <c r="BA35" cm="1">
        <f t="array" aca="1" ref="BA35" ca="1">IF(AR35=0,0,INDEX(sys_DataFlat_LU_Grid,$C$2,AR35))</f>
        <v>0</v>
      </c>
      <c r="BC35" t="str" cm="1">
        <f t="array" ref="BC35">INDEX(auto_ddCountry,B35)</f>
        <v>Johannesburg</v>
      </c>
      <c r="BD35" cm="1">
        <f t="array" ref="BD35">INDEX(auto_Country_Status,B35)</f>
        <v>1</v>
      </c>
      <c r="BE35">
        <f t="shared" ca="1" si="19"/>
        <v>3</v>
      </c>
      <c r="BF35" t="str">
        <f t="shared" ca="1" si="21"/>
        <v/>
      </c>
      <c r="BG35" t="str">
        <f t="shared" ca="1" si="21"/>
        <v/>
      </c>
      <c r="BH35" t="str">
        <f t="shared" ca="1" si="21"/>
        <v/>
      </c>
      <c r="BI35" t="str">
        <f t="shared" ca="1" si="21"/>
        <v xml:space="preserve">Johannesburg • </v>
      </c>
      <c r="BJ35" t="str">
        <f t="shared" ca="1" si="21"/>
        <v/>
      </c>
      <c r="BK35" t="str">
        <f t="shared" ca="1" si="21"/>
        <v/>
      </c>
      <c r="BL35" t="str">
        <f t="shared" ca="1" si="21"/>
        <v/>
      </c>
      <c r="BM35" t="str">
        <f t="shared" ca="1" si="21"/>
        <v/>
      </c>
      <c r="BO35" t="s">
        <v>6638</v>
      </c>
      <c r="BP35" t="str">
        <f t="shared" si="20"/>
        <v>BG35,</v>
      </c>
    </row>
    <row r="36" spans="1:68" x14ac:dyDescent="0.4">
      <c r="A36">
        <v>21</v>
      </c>
      <c r="B36">
        <v>21</v>
      </c>
      <c r="C36" cm="1">
        <f t="array" ref="C36">INDEX(auto_Country_Status,B36)</f>
        <v>1</v>
      </c>
      <c r="E36" cm="1">
        <f t="array" aca="1" ref="E36" ca="1">INDEX(sys_DataFlat_LU_Grid,$C$2,$B36)</f>
        <v>21</v>
      </c>
      <c r="F36" cm="1">
        <f t="array" aca="1" ref="F36" ca="1">INDEX(auto_DataFlat_Score,E36,$C$3)</f>
        <v>44.3</v>
      </c>
      <c r="G36" cm="1">
        <f t="array" aca="1" ref="G36" ca="1">INDEX(auto_DataFlat_DataValue,E36,$C$3)</f>
        <v>0</v>
      </c>
      <c r="H36">
        <f t="shared" ca="1" si="6"/>
        <v>44.3</v>
      </c>
      <c r="I36" cm="1">
        <f t="array" aca="1" ref="I36" ca="1">INDEX(auto_DataFlat_Classification,E36,$C$3)</f>
        <v>3</v>
      </c>
      <c r="J36">
        <f t="shared" ca="1" si="7"/>
        <v>44.3</v>
      </c>
      <c r="K36">
        <f t="shared" ca="1" si="8"/>
        <v>44.3</v>
      </c>
      <c r="L36">
        <f t="shared" ca="1" si="9"/>
        <v>44.3</v>
      </c>
      <c r="M36">
        <f ca="1">RANK(L36,OFFSET(L$16,0,0,$C$10,1))+COUNTIF(L$16:L36,L36)-1</f>
        <v>43</v>
      </c>
      <c r="O36">
        <f t="shared" ca="1" si="2"/>
        <v>41</v>
      </c>
      <c r="P36" cm="1">
        <f t="array" aca="1" ref="P36" ca="1">INDEX(auto_Country_Status,O36)</f>
        <v>1</v>
      </c>
      <c r="Q36" cm="1">
        <f t="array" aca="1" ref="Q36" ca="1">INDEX(OFFSET($E$16,0,0,$C$10,1),O36)</f>
        <v>41</v>
      </c>
      <c r="R36" t="str" cm="1">
        <f t="array" aca="1" ref="R36" ca="1">INDEX(auto_Country_ISO,O36)</f>
        <v>SPF</v>
      </c>
      <c r="S36" cm="1">
        <f t="array" aca="1" ref="S36" ca="1">IF(AND($C$12=TRUE,$P36=0),0,INDEX(auto_DataFlat_Classification,Q36,$C$3))</f>
        <v>4</v>
      </c>
      <c r="U36">
        <f t="shared" ca="1" si="10"/>
        <v>44.3</v>
      </c>
      <c r="V36">
        <f ca="1">RANK(U36,OFFSET(U$16,0,0,$C$10,1))+COUNTIF(U$16:U36,U36)-1</f>
        <v>43</v>
      </c>
      <c r="W36">
        <f t="shared" ca="1" si="3"/>
        <v>41</v>
      </c>
      <c r="X36" cm="1">
        <f t="array" aca="1" ref="X36" ca="1">INDEX(auto_Country_Status,W36)</f>
        <v>1</v>
      </c>
      <c r="Y36" cm="1">
        <f t="array" aca="1" ref="Y36" ca="1">INDEX(sys_DataFlat_LU_Grid,$C$2,W36)</f>
        <v>41</v>
      </c>
      <c r="Z36" cm="1">
        <f t="array" aca="1" ref="Z36" ca="1">IF(X36=0,-1,INDEX(auto_DataFlat_Classification,Y36,$C$3))</f>
        <v>4</v>
      </c>
      <c r="AB36" t="e">
        <f t="shared" ca="1" si="11"/>
        <v>#N/A</v>
      </c>
      <c r="AC36" t="e">
        <f t="shared" ca="1" si="12"/>
        <v>#N/A</v>
      </c>
      <c r="AD36" t="e">
        <f t="shared" ca="1" si="13"/>
        <v>#N/A</v>
      </c>
      <c r="AE36" t="e">
        <f t="shared" ca="1" si="14"/>
        <v>#N/A</v>
      </c>
      <c r="AF36">
        <f t="shared" ca="1" si="22"/>
        <v>23</v>
      </c>
      <c r="AG36" t="e">
        <f t="shared" ca="1" si="23"/>
        <v>#N/A</v>
      </c>
      <c r="AH36" t="e">
        <f t="shared" ca="1" si="24"/>
        <v>#N/A</v>
      </c>
      <c r="AI36" t="e">
        <f t="shared" ca="1" si="25"/>
        <v>#N/A</v>
      </c>
      <c r="AK36" cm="1">
        <f t="array" aca="1" ref="AK36" ca="1">IFERROR(INDEX(OFFSET($W$16,0,0,$C$10,1),AB36),0)</f>
        <v>0</v>
      </c>
      <c r="AL36" cm="1">
        <f t="array" aca="1" ref="AL36" ca="1">IFERROR(INDEX(OFFSET($W$16,0,0,$C$10,1),AC36),0)</f>
        <v>0</v>
      </c>
      <c r="AM36" cm="1">
        <f t="array" aca="1" ref="AM36" ca="1">IFERROR(INDEX(OFFSET($W$16,0,0,$C$10,1),AD36),0)</f>
        <v>0</v>
      </c>
      <c r="AN36" cm="1">
        <f t="array" aca="1" ref="AN36" ca="1">IFERROR(INDEX(OFFSET($W$16,0,0,$C$10,1),AE36),0)</f>
        <v>0</v>
      </c>
      <c r="AO36" cm="1">
        <f t="array" aca="1" ref="AO36" ca="1">IFERROR(INDEX(OFFSET($W$16,0,0,$C$10,1),AF36),0)</f>
        <v>31</v>
      </c>
      <c r="AP36" cm="1">
        <f t="array" aca="1" ref="AP36" ca="1">IFERROR(INDEX(OFFSET($W$16,0,0,$C$10,1),AG36),0)</f>
        <v>0</v>
      </c>
      <c r="AQ36" cm="1">
        <f t="array" aca="1" ref="AQ36" ca="1">IFERROR(INDEX(OFFSET($W$16,0,0,$C$10,1),AH36),0)</f>
        <v>0</v>
      </c>
      <c r="AR36" cm="1">
        <f t="array" aca="1" ref="AR36" ca="1">IFERROR(INDEX(OFFSET($W$16,0,0,$C$10,1),AI36),0)</f>
        <v>0</v>
      </c>
      <c r="AT36" cm="1">
        <f t="array" aca="1" ref="AT36" ca="1">IF(AK36=0,0,INDEX(sys_DataFlat_LU_Grid,$C$2,AK36))</f>
        <v>0</v>
      </c>
      <c r="AU36" cm="1">
        <f t="array" aca="1" ref="AU36" ca="1">IF(AL36=0,0,INDEX(sys_DataFlat_LU_Grid,$C$2,AL36))</f>
        <v>0</v>
      </c>
      <c r="AV36" cm="1">
        <f t="array" aca="1" ref="AV36" ca="1">IF(AM36=0,0,INDEX(sys_DataFlat_LU_Grid,$C$2,AM36))</f>
        <v>0</v>
      </c>
      <c r="AW36" cm="1">
        <f t="array" aca="1" ref="AW36" ca="1">IF(AN36=0,0,INDEX(sys_DataFlat_LU_Grid,$C$2,AN36))</f>
        <v>0</v>
      </c>
      <c r="AX36" cm="1">
        <f t="array" aca="1" ref="AX36" ca="1">IF(AO36=0,0,INDEX(sys_DataFlat_LU_Grid,$C$2,AO36))</f>
        <v>31</v>
      </c>
      <c r="AY36" cm="1">
        <f t="array" aca="1" ref="AY36" ca="1">IF(AP36=0,0,INDEX(sys_DataFlat_LU_Grid,$C$2,AP36))</f>
        <v>0</v>
      </c>
      <c r="AZ36" cm="1">
        <f t="array" aca="1" ref="AZ36" ca="1">IF(AQ36=0,0,INDEX(sys_DataFlat_LU_Grid,$C$2,AQ36))</f>
        <v>0</v>
      </c>
      <c r="BA36" cm="1">
        <f t="array" aca="1" ref="BA36" ca="1">IF(AR36=0,0,INDEX(sys_DataFlat_LU_Grid,$C$2,AR36))</f>
        <v>0</v>
      </c>
      <c r="BC36" t="str" cm="1">
        <f t="array" ref="BC36">INDEX(auto_ddCountry,B36)</f>
        <v>Karachi</v>
      </c>
      <c r="BD36" cm="1">
        <f t="array" ref="BD36">INDEX(auto_Country_Status,B36)</f>
        <v>1</v>
      </c>
      <c r="BE36">
        <f t="shared" ca="1" si="19"/>
        <v>3</v>
      </c>
      <c r="BF36" t="str">
        <f t="shared" ref="BF36:BM65" ca="1" si="26">IF($BE36=BF$14,CONCATENATE($BC36,$C$11),"")</f>
        <v/>
      </c>
      <c r="BG36" t="str">
        <f t="shared" ca="1" si="26"/>
        <v/>
      </c>
      <c r="BH36" t="str">
        <f t="shared" ca="1" si="26"/>
        <v/>
      </c>
      <c r="BI36" t="str">
        <f t="shared" ca="1" si="26"/>
        <v xml:space="preserve">Karachi • </v>
      </c>
      <c r="BJ36" t="str">
        <f t="shared" ca="1" si="26"/>
        <v/>
      </c>
      <c r="BK36" t="str">
        <f t="shared" ca="1" si="26"/>
        <v/>
      </c>
      <c r="BL36" t="str">
        <f t="shared" ca="1" si="26"/>
        <v/>
      </c>
      <c r="BM36" t="str">
        <f t="shared" ca="1" si="26"/>
        <v/>
      </c>
      <c r="BO36" t="s">
        <v>6639</v>
      </c>
      <c r="BP36" t="str">
        <f t="shared" si="20"/>
        <v>BG36,</v>
      </c>
    </row>
    <row r="37" spans="1:68" x14ac:dyDescent="0.4">
      <c r="A37">
        <v>22</v>
      </c>
      <c r="B37">
        <v>22</v>
      </c>
      <c r="C37" cm="1">
        <f t="array" ref="C37">INDEX(auto_Country_Status,B37)</f>
        <v>1</v>
      </c>
      <c r="E37" cm="1">
        <f t="array" aca="1" ref="E37" ca="1">INDEX(sys_DataFlat_LU_Grid,$C$2,$B37)</f>
        <v>22</v>
      </c>
      <c r="F37" cm="1">
        <f t="array" aca="1" ref="F37" ca="1">INDEX(auto_DataFlat_Score,E37,$C$3)</f>
        <v>40.9</v>
      </c>
      <c r="G37" cm="1">
        <f t="array" aca="1" ref="G37" ca="1">INDEX(auto_DataFlat_DataValue,E37,$C$3)</f>
        <v>0</v>
      </c>
      <c r="H37">
        <f t="shared" ca="1" si="6"/>
        <v>40.9</v>
      </c>
      <c r="I37" cm="1">
        <f t="array" aca="1" ref="I37" ca="1">INDEX(auto_DataFlat_Classification,E37,$C$3)</f>
        <v>3</v>
      </c>
      <c r="J37">
        <f t="shared" ca="1" si="7"/>
        <v>40.9</v>
      </c>
      <c r="K37">
        <f t="shared" ca="1" si="8"/>
        <v>40.9</v>
      </c>
      <c r="L37">
        <f t="shared" ca="1" si="9"/>
        <v>40.9</v>
      </c>
      <c r="M37">
        <f ca="1">RANK(L37,OFFSET(L$16,0,0,$C$10,1))+COUNTIF(L$16:L37,L37)-1</f>
        <v>49</v>
      </c>
      <c r="O37">
        <f t="shared" ca="1" si="2"/>
        <v>16</v>
      </c>
      <c r="P37" cm="1">
        <f t="array" aca="1" ref="P37" ca="1">INDEX(auto_Country_Status,O37)</f>
        <v>1</v>
      </c>
      <c r="Q37" cm="1">
        <f t="array" aca="1" ref="Q37" ca="1">INDEX(OFFSET($E$16,0,0,$C$10,1),O37)</f>
        <v>16</v>
      </c>
      <c r="R37" t="str" cm="1">
        <f t="array" aca="1" ref="R37" ca="1">INDEX(auto_Country_ISO,O37)</f>
        <v>SGN</v>
      </c>
      <c r="S37" cm="1">
        <f t="array" aca="1" ref="S37" ca="1">IF(AND($C$12=TRUE,$P37=0),0,INDEX(auto_DataFlat_Classification,Q37,$C$3))</f>
        <v>4</v>
      </c>
      <c r="U37">
        <f t="shared" ca="1" si="10"/>
        <v>40.9</v>
      </c>
      <c r="V37">
        <f ca="1">RANK(U37,OFFSET(U$16,0,0,$C$10,1))+COUNTIF(U$16:U37,U37)-1</f>
        <v>49</v>
      </c>
      <c r="W37">
        <f t="shared" ca="1" si="3"/>
        <v>16</v>
      </c>
      <c r="X37" cm="1">
        <f t="array" aca="1" ref="X37" ca="1">INDEX(auto_Country_Status,W37)</f>
        <v>1</v>
      </c>
      <c r="Y37" cm="1">
        <f t="array" aca="1" ref="Y37" ca="1">INDEX(sys_DataFlat_LU_Grid,$C$2,W37)</f>
        <v>16</v>
      </c>
      <c r="Z37" cm="1">
        <f t="array" aca="1" ref="Z37" ca="1">IF(X37=0,-1,INDEX(auto_DataFlat_Classification,Y37,$C$3))</f>
        <v>4</v>
      </c>
      <c r="AB37" t="e">
        <f t="shared" ca="1" si="11"/>
        <v>#N/A</v>
      </c>
      <c r="AC37" t="e">
        <f t="shared" ca="1" si="12"/>
        <v>#N/A</v>
      </c>
      <c r="AD37" t="e">
        <f t="shared" ca="1" si="13"/>
        <v>#N/A</v>
      </c>
      <c r="AE37" t="e">
        <f t="shared" ca="1" si="14"/>
        <v>#N/A</v>
      </c>
      <c r="AF37">
        <f t="shared" ca="1" si="22"/>
        <v>24</v>
      </c>
      <c r="AG37" t="e">
        <f t="shared" ca="1" si="23"/>
        <v>#N/A</v>
      </c>
      <c r="AH37" t="e">
        <f t="shared" ca="1" si="24"/>
        <v>#N/A</v>
      </c>
      <c r="AI37" t="e">
        <f t="shared" ca="1" si="25"/>
        <v>#N/A</v>
      </c>
      <c r="AK37" cm="1">
        <f t="array" aca="1" ref="AK37" ca="1">IFERROR(INDEX(OFFSET($W$16,0,0,$C$10,1),AB37),0)</f>
        <v>0</v>
      </c>
      <c r="AL37" cm="1">
        <f t="array" aca="1" ref="AL37" ca="1">IFERROR(INDEX(OFFSET($W$16,0,0,$C$10,1),AC37),0)</f>
        <v>0</v>
      </c>
      <c r="AM37" cm="1">
        <f t="array" aca="1" ref="AM37" ca="1">IFERROR(INDEX(OFFSET($W$16,0,0,$C$10,1),AD37),0)</f>
        <v>0</v>
      </c>
      <c r="AN37" cm="1">
        <f t="array" aca="1" ref="AN37" ca="1">IFERROR(INDEX(OFFSET($W$16,0,0,$C$10,1),AE37),0)</f>
        <v>0</v>
      </c>
      <c r="AO37" cm="1">
        <f t="array" aca="1" ref="AO37" ca="1">IFERROR(INDEX(OFFSET($W$16,0,0,$C$10,1),AF37),0)</f>
        <v>43</v>
      </c>
      <c r="AP37" cm="1">
        <f t="array" aca="1" ref="AP37" ca="1">IFERROR(INDEX(OFFSET($W$16,0,0,$C$10,1),AG37),0)</f>
        <v>0</v>
      </c>
      <c r="AQ37" cm="1">
        <f t="array" aca="1" ref="AQ37" ca="1">IFERROR(INDEX(OFFSET($W$16,0,0,$C$10,1),AH37),0)</f>
        <v>0</v>
      </c>
      <c r="AR37" cm="1">
        <f t="array" aca="1" ref="AR37" ca="1">IFERROR(INDEX(OFFSET($W$16,0,0,$C$10,1),AI37),0)</f>
        <v>0</v>
      </c>
      <c r="AT37" cm="1">
        <f t="array" aca="1" ref="AT37" ca="1">IF(AK37=0,0,INDEX(sys_DataFlat_LU_Grid,$C$2,AK37))</f>
        <v>0</v>
      </c>
      <c r="AU37" cm="1">
        <f t="array" aca="1" ref="AU37" ca="1">IF(AL37=0,0,INDEX(sys_DataFlat_LU_Grid,$C$2,AL37))</f>
        <v>0</v>
      </c>
      <c r="AV37" cm="1">
        <f t="array" aca="1" ref="AV37" ca="1">IF(AM37=0,0,INDEX(sys_DataFlat_LU_Grid,$C$2,AM37))</f>
        <v>0</v>
      </c>
      <c r="AW37" cm="1">
        <f t="array" aca="1" ref="AW37" ca="1">IF(AN37=0,0,INDEX(sys_DataFlat_LU_Grid,$C$2,AN37))</f>
        <v>0</v>
      </c>
      <c r="AX37" cm="1">
        <f t="array" aca="1" ref="AX37" ca="1">IF(AO37=0,0,INDEX(sys_DataFlat_LU_Grid,$C$2,AO37))</f>
        <v>43</v>
      </c>
      <c r="AY37" cm="1">
        <f t="array" aca="1" ref="AY37" ca="1">IF(AP37=0,0,INDEX(sys_DataFlat_LU_Grid,$C$2,AP37))</f>
        <v>0</v>
      </c>
      <c r="AZ37" cm="1">
        <f t="array" aca="1" ref="AZ37" ca="1">IF(AQ37=0,0,INDEX(sys_DataFlat_LU_Grid,$C$2,AQ37))</f>
        <v>0</v>
      </c>
      <c r="BA37" cm="1">
        <f t="array" aca="1" ref="BA37" ca="1">IF(AR37=0,0,INDEX(sys_DataFlat_LU_Grid,$C$2,AR37))</f>
        <v>0</v>
      </c>
      <c r="BC37" t="str" cm="1">
        <f t="array" ref="BC37">INDEX(auto_ddCountry,B37)</f>
        <v>Kathmandu</v>
      </c>
      <c r="BD37" cm="1">
        <f t="array" ref="BD37">INDEX(auto_Country_Status,B37)</f>
        <v>1</v>
      </c>
      <c r="BE37">
        <f t="shared" ca="1" si="19"/>
        <v>3</v>
      </c>
      <c r="BF37" t="str">
        <f t="shared" ca="1" si="26"/>
        <v/>
      </c>
      <c r="BG37" t="str">
        <f t="shared" ca="1" si="26"/>
        <v/>
      </c>
      <c r="BH37" t="str">
        <f t="shared" ca="1" si="26"/>
        <v/>
      </c>
      <c r="BI37" t="str">
        <f t="shared" ca="1" si="26"/>
        <v xml:space="preserve">Kathmandu • </v>
      </c>
      <c r="BJ37" t="str">
        <f t="shared" ca="1" si="26"/>
        <v/>
      </c>
      <c r="BK37" t="str">
        <f t="shared" ca="1" si="26"/>
        <v/>
      </c>
      <c r="BL37" t="str">
        <f t="shared" ca="1" si="26"/>
        <v/>
      </c>
      <c r="BM37" t="str">
        <f t="shared" ca="1" si="26"/>
        <v/>
      </c>
      <c r="BO37" t="s">
        <v>6640</v>
      </c>
      <c r="BP37" t="str">
        <f t="shared" si="20"/>
        <v>BG37,</v>
      </c>
    </row>
    <row r="38" spans="1:68" x14ac:dyDescent="0.4">
      <c r="A38">
        <v>23</v>
      </c>
      <c r="B38">
        <v>23</v>
      </c>
      <c r="C38" cm="1">
        <f t="array" ref="C38">INDEX(auto_Country_Status,B38)</f>
        <v>1</v>
      </c>
      <c r="E38" cm="1">
        <f t="array" aca="1" ref="E38" ca="1">INDEX(sys_DataFlat_LU_Grid,$C$2,$B38)</f>
        <v>23</v>
      </c>
      <c r="F38" cm="1">
        <f t="array" aca="1" ref="F38" ca="1">INDEX(auto_DataFlat_Score,E38,$C$3)</f>
        <v>51.8</v>
      </c>
      <c r="G38" cm="1">
        <f t="array" aca="1" ref="G38" ca="1">INDEX(auto_DataFlat_DataValue,E38,$C$3)</f>
        <v>0</v>
      </c>
      <c r="H38">
        <f t="shared" ca="1" si="6"/>
        <v>51.8</v>
      </c>
      <c r="I38" cm="1">
        <f t="array" aca="1" ref="I38" ca="1">INDEX(auto_DataFlat_Classification,E38,$C$3)</f>
        <v>3</v>
      </c>
      <c r="J38">
        <f t="shared" ca="1" si="7"/>
        <v>51.8</v>
      </c>
      <c r="K38">
        <f t="shared" ca="1" si="8"/>
        <v>51.8</v>
      </c>
      <c r="L38">
        <f t="shared" ca="1" si="9"/>
        <v>51.8</v>
      </c>
      <c r="M38">
        <f ca="1">RANK(L38,OFFSET(L$16,0,0,$C$10,1))+COUNTIF(L$16:L38,L38)-1</f>
        <v>37</v>
      </c>
      <c r="O38">
        <f t="shared" ca="1" si="2"/>
        <v>31</v>
      </c>
      <c r="P38" cm="1">
        <f t="array" aca="1" ref="P38" ca="1">INDEX(auto_Country_Status,O38)</f>
        <v>1</v>
      </c>
      <c r="Q38" cm="1">
        <f t="array" aca="1" ref="Q38" ca="1">INDEX(OFFSET($E$16,0,0,$C$10,1),O38)</f>
        <v>31</v>
      </c>
      <c r="R38" t="str" cm="1">
        <f t="array" aca="1" ref="R38" ca="1">INDEX(auto_Country_ISO,O38)</f>
        <v>MW3</v>
      </c>
      <c r="S38" cm="1">
        <f t="array" aca="1" ref="S38" ca="1">IF(AND($C$12=TRUE,$P38=0),0,INDEX(auto_DataFlat_Classification,Q38,$C$3))</f>
        <v>4</v>
      </c>
      <c r="U38">
        <f t="shared" ca="1" si="10"/>
        <v>51.8</v>
      </c>
      <c r="V38">
        <f ca="1">RANK(U38,OFFSET(U$16,0,0,$C$10,1))+COUNTIF(U$16:U38,U38)-1</f>
        <v>37</v>
      </c>
      <c r="W38">
        <f t="shared" ca="1" si="3"/>
        <v>31</v>
      </c>
      <c r="X38" cm="1">
        <f t="array" aca="1" ref="X38" ca="1">INDEX(auto_Country_Status,W38)</f>
        <v>1</v>
      </c>
      <c r="Y38" cm="1">
        <f t="array" aca="1" ref="Y38" ca="1">INDEX(sys_DataFlat_LU_Grid,$C$2,W38)</f>
        <v>31</v>
      </c>
      <c r="Z38" cm="1">
        <f t="array" aca="1" ref="Z38" ca="1">IF(X38=0,-1,INDEX(auto_DataFlat_Classification,Y38,$C$3))</f>
        <v>4</v>
      </c>
      <c r="AB38" t="e">
        <f t="shared" ca="1" si="11"/>
        <v>#N/A</v>
      </c>
      <c r="AC38" t="e">
        <f t="shared" ca="1" si="12"/>
        <v>#N/A</v>
      </c>
      <c r="AD38" t="e">
        <f t="shared" ca="1" si="13"/>
        <v>#N/A</v>
      </c>
      <c r="AE38" t="e">
        <f t="shared" ca="1" si="14"/>
        <v>#N/A</v>
      </c>
      <c r="AF38">
        <f t="shared" ca="1" si="22"/>
        <v>25</v>
      </c>
      <c r="AG38" t="e">
        <f t="shared" ca="1" si="23"/>
        <v>#N/A</v>
      </c>
      <c r="AH38" t="e">
        <f t="shared" ca="1" si="24"/>
        <v>#N/A</v>
      </c>
      <c r="AI38" t="e">
        <f t="shared" ca="1" si="25"/>
        <v>#N/A</v>
      </c>
      <c r="AK38" cm="1">
        <f t="array" aca="1" ref="AK38" ca="1">IFERROR(INDEX(OFFSET($W$16,0,0,$C$10,1),AB38),0)</f>
        <v>0</v>
      </c>
      <c r="AL38" cm="1">
        <f t="array" aca="1" ref="AL38" ca="1">IFERROR(INDEX(OFFSET($W$16,0,0,$C$10,1),AC38),0)</f>
        <v>0</v>
      </c>
      <c r="AM38" cm="1">
        <f t="array" aca="1" ref="AM38" ca="1">IFERROR(INDEX(OFFSET($W$16,0,0,$C$10,1),AD38),0)</f>
        <v>0</v>
      </c>
      <c r="AN38" cm="1">
        <f t="array" aca="1" ref="AN38" ca="1">IFERROR(INDEX(OFFSET($W$16,0,0,$C$10,1),AE38),0)</f>
        <v>0</v>
      </c>
      <c r="AO38" cm="1">
        <f t="array" aca="1" ref="AO38" ca="1">IFERROR(INDEX(OFFSET($W$16,0,0,$C$10,1),AF38),0)</f>
        <v>14</v>
      </c>
      <c r="AP38" cm="1">
        <f t="array" aca="1" ref="AP38" ca="1">IFERROR(INDEX(OFFSET($W$16,0,0,$C$10,1),AG38),0)</f>
        <v>0</v>
      </c>
      <c r="AQ38" cm="1">
        <f t="array" aca="1" ref="AQ38" ca="1">IFERROR(INDEX(OFFSET($W$16,0,0,$C$10,1),AH38),0)</f>
        <v>0</v>
      </c>
      <c r="AR38" cm="1">
        <f t="array" aca="1" ref="AR38" ca="1">IFERROR(INDEX(OFFSET($W$16,0,0,$C$10,1),AI38),0)</f>
        <v>0</v>
      </c>
      <c r="AT38" cm="1">
        <f t="array" aca="1" ref="AT38" ca="1">IF(AK38=0,0,INDEX(sys_DataFlat_LU_Grid,$C$2,AK38))</f>
        <v>0</v>
      </c>
      <c r="AU38" cm="1">
        <f t="array" aca="1" ref="AU38" ca="1">IF(AL38=0,0,INDEX(sys_DataFlat_LU_Grid,$C$2,AL38))</f>
        <v>0</v>
      </c>
      <c r="AV38" cm="1">
        <f t="array" aca="1" ref="AV38" ca="1">IF(AM38=0,0,INDEX(sys_DataFlat_LU_Grid,$C$2,AM38))</f>
        <v>0</v>
      </c>
      <c r="AW38" cm="1">
        <f t="array" aca="1" ref="AW38" ca="1">IF(AN38=0,0,INDEX(sys_DataFlat_LU_Grid,$C$2,AN38))</f>
        <v>0</v>
      </c>
      <c r="AX38" cm="1">
        <f t="array" aca="1" ref="AX38" ca="1">IF(AO38=0,0,INDEX(sys_DataFlat_LU_Grid,$C$2,AO38))</f>
        <v>14</v>
      </c>
      <c r="AY38" cm="1">
        <f t="array" aca="1" ref="AY38" ca="1">IF(AP38=0,0,INDEX(sys_DataFlat_LU_Grid,$C$2,AP38))</f>
        <v>0</v>
      </c>
      <c r="AZ38" cm="1">
        <f t="array" aca="1" ref="AZ38" ca="1">IF(AQ38=0,0,INDEX(sys_DataFlat_LU_Grid,$C$2,AQ38))</f>
        <v>0</v>
      </c>
      <c r="BA38" cm="1">
        <f t="array" aca="1" ref="BA38" ca="1">IF(AR38=0,0,INDEX(sys_DataFlat_LU_Grid,$C$2,AR38))</f>
        <v>0</v>
      </c>
      <c r="BC38" t="str" cm="1">
        <f t="array" ref="BC38">INDEX(auto_ddCountry,B38)</f>
        <v>Kolkata</v>
      </c>
      <c r="BD38" cm="1">
        <f t="array" ref="BD38">INDEX(auto_Country_Status,B38)</f>
        <v>1</v>
      </c>
      <c r="BE38">
        <f t="shared" ca="1" si="19"/>
        <v>3</v>
      </c>
      <c r="BF38" t="str">
        <f t="shared" ca="1" si="26"/>
        <v/>
      </c>
      <c r="BG38" t="str">
        <f t="shared" ca="1" si="26"/>
        <v/>
      </c>
      <c r="BH38" t="str">
        <f t="shared" ca="1" si="26"/>
        <v/>
      </c>
      <c r="BI38" t="str">
        <f t="shared" ca="1" si="26"/>
        <v xml:space="preserve">Kolkata • </v>
      </c>
      <c r="BJ38" t="str">
        <f t="shared" ca="1" si="26"/>
        <v/>
      </c>
      <c r="BK38" t="str">
        <f t="shared" ca="1" si="26"/>
        <v/>
      </c>
      <c r="BL38" t="str">
        <f t="shared" ca="1" si="26"/>
        <v/>
      </c>
      <c r="BM38" t="str">
        <f t="shared" ca="1" si="26"/>
        <v/>
      </c>
      <c r="BO38" t="s">
        <v>6641</v>
      </c>
      <c r="BP38" t="str">
        <f t="shared" si="20"/>
        <v>BG38,</v>
      </c>
    </row>
    <row r="39" spans="1:68" x14ac:dyDescent="0.4">
      <c r="A39">
        <v>24</v>
      </c>
      <c r="B39">
        <v>24</v>
      </c>
      <c r="C39" cm="1">
        <f t="array" ref="C39">INDEX(auto_Country_Status,B39)</f>
        <v>1</v>
      </c>
      <c r="E39" cm="1">
        <f t="array" aca="1" ref="E39" ca="1">INDEX(sys_DataFlat_LU_Grid,$C$2,$B39)</f>
        <v>24</v>
      </c>
      <c r="F39" cm="1">
        <f t="array" aca="1" ref="F39" ca="1">INDEX(auto_DataFlat_Score,E39,$C$3)</f>
        <v>42.1</v>
      </c>
      <c r="G39" cm="1">
        <f t="array" aca="1" ref="G39" ca="1">INDEX(auto_DataFlat_DataValue,E39,$C$3)</f>
        <v>0</v>
      </c>
      <c r="H39">
        <f t="shared" ref="H39:H40" ca="1" si="27">F39+(IF($C$9=1,G39,-G39)/100000000)</f>
        <v>42.1</v>
      </c>
      <c r="I39" cm="1">
        <f t="array" aca="1" ref="I39" ca="1">INDEX(auto_DataFlat_Classification,E39,$C$3)</f>
        <v>3</v>
      </c>
      <c r="J39">
        <f t="shared" ref="J39:J40" ca="1" si="28">IF(AND($C$12=TRUE,$C39=0),-40000000,CHOOSE($C$5,H39,-H39))</f>
        <v>42.1</v>
      </c>
      <c r="K39">
        <f t="shared" ref="K39:K40" ca="1" si="29">IF(ISERROR(J39),-30000000,J39)</f>
        <v>42.1</v>
      </c>
      <c r="L39">
        <f t="shared" ref="L39:L40" ca="1" si="30">IF(ISNUMBER(K39),K39,-20000000)</f>
        <v>42.1</v>
      </c>
      <c r="M39">
        <f ca="1">RANK(L39,OFFSET(L$16,0,0,$C$10,1))+COUNTIF(L$16:L39,L39)-1</f>
        <v>46</v>
      </c>
      <c r="O39">
        <f t="shared" ref="O39:O40" ca="1" si="31">MATCH($A39,OFFSET(M$16,0,0,$C$10,1),0)</f>
        <v>43</v>
      </c>
      <c r="P39" cm="1">
        <f t="array" aca="1" ref="P39" ca="1">INDEX(auto_Country_Status,O39)</f>
        <v>1</v>
      </c>
      <c r="Q39" cm="1">
        <f t="array" aca="1" ref="Q39" ca="1">INDEX(OFFSET($E$16,0,0,$C$10,1),O39)</f>
        <v>43</v>
      </c>
      <c r="R39" t="str" cm="1">
        <f t="array" aca="1" ref="R39" ca="1">INDEX(auto_Country_ISO,O39)</f>
        <v>SGH</v>
      </c>
      <c r="S39" cm="1">
        <f t="array" aca="1" ref="S39" ca="1">IF(AND($C$12=TRUE,$P39=0),0,INDEX(auto_DataFlat_Classification,Q39,$C$3))</f>
        <v>4</v>
      </c>
      <c r="U39">
        <f t="shared" ref="U39:U40" ca="1" si="32">F39</f>
        <v>42.1</v>
      </c>
      <c r="V39">
        <f ca="1">RANK(U39,OFFSET(U$16,0,0,$C$10,1))+COUNTIF(U$16:U39,U39)-1</f>
        <v>46</v>
      </c>
      <c r="W39">
        <f t="shared" ref="W39:W40" ca="1" si="33">MATCH(B39,OFFSET(V$16,0,0,$C$10,1),0)</f>
        <v>43</v>
      </c>
      <c r="X39" cm="1">
        <f t="array" aca="1" ref="X39" ca="1">INDEX(auto_Country_Status,W39)</f>
        <v>1</v>
      </c>
      <c r="Y39" cm="1">
        <f t="array" aca="1" ref="Y39" ca="1">INDEX(sys_DataFlat_LU_Grid,$C$2,W39)</f>
        <v>43</v>
      </c>
      <c r="Z39" cm="1">
        <f t="array" aca="1" ref="Z39" ca="1">IF(X39=0,-1,INDEX(auto_DataFlat_Classification,Y39,$C$3))</f>
        <v>4</v>
      </c>
      <c r="AB39" t="e">
        <f t="shared" ca="1" si="11"/>
        <v>#N/A</v>
      </c>
      <c r="AC39" t="e">
        <f t="shared" ca="1" si="12"/>
        <v>#N/A</v>
      </c>
      <c r="AD39" t="e">
        <f t="shared" ca="1" si="13"/>
        <v>#N/A</v>
      </c>
      <c r="AE39" t="e">
        <f t="shared" ca="1" si="14"/>
        <v>#N/A</v>
      </c>
      <c r="AF39">
        <f t="shared" ca="1" si="22"/>
        <v>26</v>
      </c>
      <c r="AG39" t="e">
        <f t="shared" ca="1" si="23"/>
        <v>#N/A</v>
      </c>
      <c r="AH39" t="e">
        <f t="shared" ca="1" si="24"/>
        <v>#N/A</v>
      </c>
      <c r="AI39" t="e">
        <f t="shared" ca="1" si="25"/>
        <v>#N/A</v>
      </c>
      <c r="AK39" cm="1">
        <f t="array" aca="1" ref="AK39" ca="1">IFERROR(INDEX(OFFSET($W$16,0,0,$C$10,1),AB39),0)</f>
        <v>0</v>
      </c>
      <c r="AL39" cm="1">
        <f t="array" aca="1" ref="AL39" ca="1">IFERROR(INDEX(OFFSET($W$16,0,0,$C$10,1),AC39),0)</f>
        <v>0</v>
      </c>
      <c r="AM39" cm="1">
        <f t="array" aca="1" ref="AM39" ca="1">IFERROR(INDEX(OFFSET($W$16,0,0,$C$10,1),AD39),0)</f>
        <v>0</v>
      </c>
      <c r="AN39" cm="1">
        <f t="array" aca="1" ref="AN39" ca="1">IFERROR(INDEX(OFFSET($W$16,0,0,$C$10,1),AE39),0)</f>
        <v>0</v>
      </c>
      <c r="AO39" cm="1">
        <f t="array" aca="1" ref="AO39" ca="1">IFERROR(INDEX(OFFSET($W$16,0,0,$C$10,1),AF39),0)</f>
        <v>36</v>
      </c>
      <c r="AP39" cm="1">
        <f t="array" aca="1" ref="AP39" ca="1">IFERROR(INDEX(OFFSET($W$16,0,0,$C$10,1),AG39),0)</f>
        <v>0</v>
      </c>
      <c r="AQ39" cm="1">
        <f t="array" aca="1" ref="AQ39" ca="1">IFERROR(INDEX(OFFSET($W$16,0,0,$C$10,1),AH39),0)</f>
        <v>0</v>
      </c>
      <c r="AR39" cm="1">
        <f t="array" aca="1" ref="AR39" ca="1">IFERROR(INDEX(OFFSET($W$16,0,0,$C$10,1),AI39),0)</f>
        <v>0</v>
      </c>
      <c r="AT39" cm="1">
        <f t="array" aca="1" ref="AT39" ca="1">IF(AK39=0,0,INDEX(sys_DataFlat_LU_Grid,$C$2,AK39))</f>
        <v>0</v>
      </c>
      <c r="AU39" cm="1">
        <f t="array" aca="1" ref="AU39" ca="1">IF(AL39=0,0,INDEX(sys_DataFlat_LU_Grid,$C$2,AL39))</f>
        <v>0</v>
      </c>
      <c r="AV39" cm="1">
        <f t="array" aca="1" ref="AV39" ca="1">IF(AM39=0,0,INDEX(sys_DataFlat_LU_Grid,$C$2,AM39))</f>
        <v>0</v>
      </c>
      <c r="AW39" cm="1">
        <f t="array" aca="1" ref="AW39" ca="1">IF(AN39=0,0,INDEX(sys_DataFlat_LU_Grid,$C$2,AN39))</f>
        <v>0</v>
      </c>
      <c r="AX39" cm="1">
        <f t="array" aca="1" ref="AX39" ca="1">IF(AO39=0,0,INDEX(sys_DataFlat_LU_Grid,$C$2,AO39))</f>
        <v>36</v>
      </c>
      <c r="AY39" cm="1">
        <f t="array" aca="1" ref="AY39" ca="1">IF(AP39=0,0,INDEX(sys_DataFlat_LU_Grid,$C$2,AP39))</f>
        <v>0</v>
      </c>
      <c r="AZ39" cm="1">
        <f t="array" aca="1" ref="AZ39" ca="1">IF(AQ39=0,0,INDEX(sys_DataFlat_LU_Grid,$C$2,AQ39))</f>
        <v>0</v>
      </c>
      <c r="BA39" cm="1">
        <f t="array" aca="1" ref="BA39" ca="1">IF(AR39=0,0,INDEX(sys_DataFlat_LU_Grid,$C$2,AR39))</f>
        <v>0</v>
      </c>
      <c r="BC39" t="str" cm="1">
        <f t="array" ref="BC39">INDEX(auto_ddCountry,B39)</f>
        <v>Kuwait City</v>
      </c>
      <c r="BD39" cm="1">
        <f t="array" ref="BD39">INDEX(auto_Country_Status,B39)</f>
        <v>1</v>
      </c>
      <c r="BE39">
        <f t="shared" ref="BE39:BE40" ca="1" si="34">I39</f>
        <v>3</v>
      </c>
      <c r="BF39" t="str">
        <f t="shared" ca="1" si="26"/>
        <v/>
      </c>
      <c r="BG39" t="str">
        <f t="shared" ca="1" si="26"/>
        <v/>
      </c>
      <c r="BH39" t="str">
        <f t="shared" ca="1" si="26"/>
        <v/>
      </c>
      <c r="BI39" t="str">
        <f t="shared" ca="1" si="26"/>
        <v xml:space="preserve">Kuwait City • </v>
      </c>
      <c r="BJ39" t="str">
        <f t="shared" ca="1" si="26"/>
        <v/>
      </c>
      <c r="BK39" t="str">
        <f t="shared" ca="1" si="26"/>
        <v/>
      </c>
      <c r="BL39" t="str">
        <f t="shared" ca="1" si="26"/>
        <v/>
      </c>
      <c r="BM39" t="str">
        <f t="shared" ca="1" si="26"/>
        <v/>
      </c>
      <c r="BO39" t="s">
        <v>6642</v>
      </c>
      <c r="BP39" t="str">
        <f t="shared" si="20"/>
        <v>BG39,</v>
      </c>
    </row>
    <row r="40" spans="1:68" x14ac:dyDescent="0.4">
      <c r="A40">
        <v>25</v>
      </c>
      <c r="B40">
        <v>25</v>
      </c>
      <c r="C40" cm="1">
        <f t="array" ref="C40">INDEX(auto_Country_Status,B40)</f>
        <v>1</v>
      </c>
      <c r="E40" cm="1">
        <f t="array" aca="1" ref="E40" ca="1">INDEX(sys_DataFlat_LU_Grid,$C$2,$B40)</f>
        <v>25</v>
      </c>
      <c r="F40" cm="1">
        <f t="array" aca="1" ref="F40" ca="1">INDEX(auto_DataFlat_Score,E40,$C$3)</f>
        <v>51.6</v>
      </c>
      <c r="G40" cm="1">
        <f t="array" aca="1" ref="G40" ca="1">INDEX(auto_DataFlat_DataValue,E40,$C$3)</f>
        <v>0</v>
      </c>
      <c r="H40">
        <f t="shared" ca="1" si="27"/>
        <v>51.6</v>
      </c>
      <c r="I40" cm="1">
        <f t="array" aca="1" ref="I40" ca="1">INDEX(auto_DataFlat_Classification,E40,$C$3)</f>
        <v>3</v>
      </c>
      <c r="J40">
        <f t="shared" ca="1" si="28"/>
        <v>51.6</v>
      </c>
      <c r="K40">
        <f t="shared" ca="1" si="29"/>
        <v>51.6</v>
      </c>
      <c r="L40">
        <f t="shared" ca="1" si="30"/>
        <v>51.6</v>
      </c>
      <c r="M40">
        <f ca="1">RANK(L40,OFFSET(L$16,0,0,$C$10,1))+COUNTIF(L$16:L40,L40)-1</f>
        <v>38</v>
      </c>
      <c r="O40">
        <f t="shared" ca="1" si="31"/>
        <v>14</v>
      </c>
      <c r="P40" cm="1">
        <f t="array" aca="1" ref="P40" ca="1">INDEX(auto_Country_Status,O40)</f>
        <v>1</v>
      </c>
      <c r="Q40" cm="1">
        <f t="array" aca="1" ref="Q40" ca="1">INDEX(OFFSET($E$16,0,0,$C$10,1),O40)</f>
        <v>14</v>
      </c>
      <c r="R40" t="str" cm="1">
        <f t="array" aca="1" ref="R40" ca="1">INDEX(auto_Country_ISO,O40)</f>
        <v>DXB</v>
      </c>
      <c r="S40" cm="1">
        <f t="array" aca="1" ref="S40" ca="1">IF(AND($C$12=TRUE,$P40=0),0,INDEX(auto_DataFlat_Classification,Q40,$C$3))</f>
        <v>4</v>
      </c>
      <c r="U40">
        <f t="shared" ca="1" si="32"/>
        <v>51.6</v>
      </c>
      <c r="V40">
        <f ca="1">RANK(U40,OFFSET(U$16,0,0,$C$10,1))+COUNTIF(U$16:U40,U40)-1</f>
        <v>38</v>
      </c>
      <c r="W40">
        <f t="shared" ca="1" si="33"/>
        <v>14</v>
      </c>
      <c r="X40" cm="1">
        <f t="array" aca="1" ref="X40" ca="1">INDEX(auto_Country_Status,W40)</f>
        <v>1</v>
      </c>
      <c r="Y40" cm="1">
        <f t="array" aca="1" ref="Y40" ca="1">INDEX(sys_DataFlat_LU_Grid,$C$2,W40)</f>
        <v>14</v>
      </c>
      <c r="Z40" cm="1">
        <f t="array" aca="1" ref="Z40" ca="1">IF(X40=0,-1,INDEX(auto_DataFlat_Classification,Y40,$C$3))</f>
        <v>4</v>
      </c>
      <c r="AB40" t="e">
        <f t="shared" ca="1" si="11"/>
        <v>#N/A</v>
      </c>
      <c r="AC40" t="e">
        <f t="shared" ca="1" si="12"/>
        <v>#N/A</v>
      </c>
      <c r="AD40" t="e">
        <f t="shared" ca="1" si="13"/>
        <v>#N/A</v>
      </c>
      <c r="AE40" t="e">
        <f t="shared" ca="1" si="14"/>
        <v>#N/A</v>
      </c>
      <c r="AF40">
        <f t="shared" ca="1" si="22"/>
        <v>27</v>
      </c>
      <c r="AG40" t="e">
        <f t="shared" ca="1" si="23"/>
        <v>#N/A</v>
      </c>
      <c r="AH40" t="e">
        <f t="shared" ca="1" si="24"/>
        <v>#N/A</v>
      </c>
      <c r="AI40" t="e">
        <f t="shared" ca="1" si="25"/>
        <v>#N/A</v>
      </c>
      <c r="AK40" cm="1">
        <f t="array" aca="1" ref="AK40" ca="1">IFERROR(INDEX(OFFSET($W$16,0,0,$C$10,1),AB40),0)</f>
        <v>0</v>
      </c>
      <c r="AL40" cm="1">
        <f t="array" aca="1" ref="AL40" ca="1">IFERROR(INDEX(OFFSET($W$16,0,0,$C$10,1),AC40),0)</f>
        <v>0</v>
      </c>
      <c r="AM40" cm="1">
        <f t="array" aca="1" ref="AM40" ca="1">IFERROR(INDEX(OFFSET($W$16,0,0,$C$10,1),AD40),0)</f>
        <v>0</v>
      </c>
      <c r="AN40" cm="1">
        <f t="array" aca="1" ref="AN40" ca="1">IFERROR(INDEX(OFFSET($W$16,0,0,$C$10,1),AE40),0)</f>
        <v>0</v>
      </c>
      <c r="AO40" cm="1">
        <f t="array" aca="1" ref="AO40" ca="1">IFERROR(INDEX(OFFSET($W$16,0,0,$C$10,1),AF40),0)</f>
        <v>39</v>
      </c>
      <c r="AP40" cm="1">
        <f t="array" aca="1" ref="AP40" ca="1">IFERROR(INDEX(OFFSET($W$16,0,0,$C$10,1),AG40),0)</f>
        <v>0</v>
      </c>
      <c r="AQ40" cm="1">
        <f t="array" aca="1" ref="AQ40" ca="1">IFERROR(INDEX(OFFSET($W$16,0,0,$C$10,1),AH40),0)</f>
        <v>0</v>
      </c>
      <c r="AR40" cm="1">
        <f t="array" aca="1" ref="AR40" ca="1">IFERROR(INDEX(OFFSET($W$16,0,0,$C$10,1),AI40),0)</f>
        <v>0</v>
      </c>
      <c r="AT40" cm="1">
        <f t="array" aca="1" ref="AT40" ca="1">IF(AK40=0,0,INDEX(sys_DataFlat_LU_Grid,$C$2,AK40))</f>
        <v>0</v>
      </c>
      <c r="AU40" cm="1">
        <f t="array" aca="1" ref="AU40" ca="1">IF(AL40=0,0,INDEX(sys_DataFlat_LU_Grid,$C$2,AL40))</f>
        <v>0</v>
      </c>
      <c r="AV40" cm="1">
        <f t="array" aca="1" ref="AV40" ca="1">IF(AM40=0,0,INDEX(sys_DataFlat_LU_Grid,$C$2,AM40))</f>
        <v>0</v>
      </c>
      <c r="AW40" cm="1">
        <f t="array" aca="1" ref="AW40" ca="1">IF(AN40=0,0,INDEX(sys_DataFlat_LU_Grid,$C$2,AN40))</f>
        <v>0</v>
      </c>
      <c r="AX40" cm="1">
        <f t="array" aca="1" ref="AX40" ca="1">IF(AO40=0,0,INDEX(sys_DataFlat_LU_Grid,$C$2,AO40))</f>
        <v>39</v>
      </c>
      <c r="AY40" cm="1">
        <f t="array" aca="1" ref="AY40" ca="1">IF(AP40=0,0,INDEX(sys_DataFlat_LU_Grid,$C$2,AP40))</f>
        <v>0</v>
      </c>
      <c r="AZ40" cm="1">
        <f t="array" aca="1" ref="AZ40" ca="1">IF(AQ40=0,0,INDEX(sys_DataFlat_LU_Grid,$C$2,AQ40))</f>
        <v>0</v>
      </c>
      <c r="BA40" cm="1">
        <f t="array" aca="1" ref="BA40" ca="1">IF(AR40=0,0,INDEX(sys_DataFlat_LU_Grid,$C$2,AR40))</f>
        <v>0</v>
      </c>
      <c r="BC40" t="str" cm="1">
        <f t="array" ref="BC40">INDEX(auto_ddCountry,B40)</f>
        <v>Lagos</v>
      </c>
      <c r="BD40" cm="1">
        <f t="array" ref="BD40">INDEX(auto_Country_Status,B40)</f>
        <v>1</v>
      </c>
      <c r="BE40">
        <f t="shared" ca="1" si="34"/>
        <v>3</v>
      </c>
      <c r="BF40" t="str">
        <f t="shared" ca="1" si="26"/>
        <v/>
      </c>
      <c r="BG40" t="str">
        <f t="shared" ca="1" si="26"/>
        <v/>
      </c>
      <c r="BH40" t="str">
        <f t="shared" ca="1" si="26"/>
        <v/>
      </c>
      <c r="BI40" t="str">
        <f t="shared" ca="1" si="26"/>
        <v xml:space="preserve">Lagos • </v>
      </c>
      <c r="BJ40" t="str">
        <f t="shared" ca="1" si="26"/>
        <v/>
      </c>
      <c r="BK40" t="str">
        <f t="shared" ca="1" si="26"/>
        <v/>
      </c>
      <c r="BL40" t="str">
        <f t="shared" ca="1" si="26"/>
        <v/>
      </c>
      <c r="BM40" t="str">
        <f t="shared" ca="1" si="26"/>
        <v/>
      </c>
      <c r="BO40" t="s">
        <v>6643</v>
      </c>
      <c r="BP40" t="str">
        <f t="shared" si="20"/>
        <v>BG40,</v>
      </c>
    </row>
    <row r="41" spans="1:68" x14ac:dyDescent="0.4">
      <c r="A41">
        <v>26</v>
      </c>
      <c r="B41">
        <v>26</v>
      </c>
      <c r="C41" cm="1">
        <f t="array" ref="C41">INDEX(auto_Country_Status,B41)</f>
        <v>1</v>
      </c>
      <c r="E41" cm="1">
        <f t="array" aca="1" ref="E41" ca="1">INDEX(sys_DataFlat_LU_Grid,$C$2,$B41)</f>
        <v>26</v>
      </c>
      <c r="F41" cm="1">
        <f t="array" aca="1" ref="F41" ca="1">INDEX(auto_DataFlat_Score,E41,$C$3)</f>
        <v>82.6</v>
      </c>
      <c r="G41" cm="1">
        <f t="array" aca="1" ref="G41" ca="1">INDEX(auto_DataFlat_DataValue,E41,$C$3)</f>
        <v>0</v>
      </c>
      <c r="H41">
        <f t="shared" ref="H41:H42" ca="1" si="35">F41+(IF($C$9=1,G41,-G41)/100000000)</f>
        <v>82.6</v>
      </c>
      <c r="I41" cm="1">
        <f t="array" aca="1" ref="I41" ca="1">INDEX(auto_DataFlat_Classification,E41,$C$3)</f>
        <v>5</v>
      </c>
      <c r="J41">
        <f t="shared" ref="J41:J42" ca="1" si="36">IF(AND($C$12=TRUE,$C41=0),-40000000,CHOOSE($C$5,H41,-H41))</f>
        <v>82.6</v>
      </c>
      <c r="K41">
        <f t="shared" ref="K41:K42" ca="1" si="37">IF(ISERROR(J41),-30000000,J41)</f>
        <v>82.6</v>
      </c>
      <c r="L41">
        <f t="shared" ref="L41:L42" ca="1" si="38">IF(ISNUMBER(K41),K41,-20000000)</f>
        <v>82.6</v>
      </c>
      <c r="M41">
        <f ca="1">RANK(L41,OFFSET(L$16,0,0,$C$10,1))+COUNTIF(L$16:L41,L41)-1</f>
        <v>2</v>
      </c>
      <c r="O41">
        <f t="shared" ref="O41:O42" ca="1" si="39">MATCH($A41,OFFSET(M$16,0,0,$C$10,1),0)</f>
        <v>36</v>
      </c>
      <c r="P41" cm="1">
        <f t="array" aca="1" ref="P41" ca="1">INDEX(auto_Country_Status,O41)</f>
        <v>1</v>
      </c>
      <c r="Q41" cm="1">
        <f t="array" aca="1" ref="Q41" ca="1">INDEX(OFFSET($E$16,0,0,$C$10,1),O41)</f>
        <v>36</v>
      </c>
      <c r="R41" t="str" cm="1">
        <f t="array" aca="1" ref="R41" ca="1">INDEX(auto_Country_ISO,O41)</f>
        <v>PAR</v>
      </c>
      <c r="S41" cm="1">
        <f t="array" aca="1" ref="S41" ca="1">IF(AND($C$12=TRUE,$P41=0),0,INDEX(auto_DataFlat_Classification,Q41,$C$3))</f>
        <v>4</v>
      </c>
      <c r="U41">
        <f t="shared" ref="U41:U42" ca="1" si="40">F41</f>
        <v>82.6</v>
      </c>
      <c r="V41">
        <f ca="1">RANK(U41,OFFSET(U$16,0,0,$C$10,1))+COUNTIF(U$16:U41,U41)-1</f>
        <v>2</v>
      </c>
      <c r="W41">
        <f t="shared" ref="W41:W42" ca="1" si="41">MATCH(B41,OFFSET(V$16,0,0,$C$10,1),0)</f>
        <v>36</v>
      </c>
      <c r="X41" cm="1">
        <f t="array" aca="1" ref="X41" ca="1">INDEX(auto_Country_Status,W41)</f>
        <v>1</v>
      </c>
      <c r="Y41" cm="1">
        <f t="array" aca="1" ref="Y41" ca="1">INDEX(sys_DataFlat_LU_Grid,$C$2,W41)</f>
        <v>36</v>
      </c>
      <c r="Z41" cm="1">
        <f t="array" aca="1" ref="Z41" ca="1">IF(X41=0,-1,INDEX(auto_DataFlat_Classification,Y41,$C$3))</f>
        <v>4</v>
      </c>
      <c r="AB41" t="e">
        <f t="shared" ca="1" si="11"/>
        <v>#N/A</v>
      </c>
      <c r="AC41" t="e">
        <f t="shared" ca="1" si="12"/>
        <v>#N/A</v>
      </c>
      <c r="AD41" t="e">
        <f t="shared" ca="1" si="13"/>
        <v>#N/A</v>
      </c>
      <c r="AE41" t="e">
        <f t="shared" ca="1" si="14"/>
        <v>#N/A</v>
      </c>
      <c r="AF41">
        <f t="shared" ca="1" si="22"/>
        <v>28</v>
      </c>
      <c r="AG41" t="e">
        <f t="shared" ca="1" si="23"/>
        <v>#N/A</v>
      </c>
      <c r="AH41" t="e">
        <f t="shared" ca="1" si="24"/>
        <v>#N/A</v>
      </c>
      <c r="AI41" t="e">
        <f t="shared" ca="1" si="25"/>
        <v>#N/A</v>
      </c>
      <c r="AK41" cm="1">
        <f t="array" aca="1" ref="AK41" ca="1">IFERROR(INDEX(OFFSET($W$16,0,0,$C$10,1),AB41),0)</f>
        <v>0</v>
      </c>
      <c r="AL41" cm="1">
        <f t="array" aca="1" ref="AL41" ca="1">IFERROR(INDEX(OFFSET($W$16,0,0,$C$10,1),AC41),0)</f>
        <v>0</v>
      </c>
      <c r="AM41" cm="1">
        <f t="array" aca="1" ref="AM41" ca="1">IFERROR(INDEX(OFFSET($W$16,0,0,$C$10,1),AD41),0)</f>
        <v>0</v>
      </c>
      <c r="AN41" cm="1">
        <f t="array" aca="1" ref="AN41" ca="1">IFERROR(INDEX(OFFSET($W$16,0,0,$C$10,1),AE41),0)</f>
        <v>0</v>
      </c>
      <c r="AO41" cm="1">
        <f t="array" aca="1" ref="AO41" ca="1">IFERROR(INDEX(OFFSET($W$16,0,0,$C$10,1),AF41),0)</f>
        <v>6</v>
      </c>
      <c r="AP41" cm="1">
        <f t="array" aca="1" ref="AP41" ca="1">IFERROR(INDEX(OFFSET($W$16,0,0,$C$10,1),AG41),0)</f>
        <v>0</v>
      </c>
      <c r="AQ41" cm="1">
        <f t="array" aca="1" ref="AQ41" ca="1">IFERROR(INDEX(OFFSET($W$16,0,0,$C$10,1),AH41),0)</f>
        <v>0</v>
      </c>
      <c r="AR41" cm="1">
        <f t="array" aca="1" ref="AR41" ca="1">IFERROR(INDEX(OFFSET($W$16,0,0,$C$10,1),AI41),0)</f>
        <v>0</v>
      </c>
      <c r="AT41" cm="1">
        <f t="array" aca="1" ref="AT41" ca="1">IF(AK41=0,0,INDEX(sys_DataFlat_LU_Grid,$C$2,AK41))</f>
        <v>0</v>
      </c>
      <c r="AU41" cm="1">
        <f t="array" aca="1" ref="AU41" ca="1">IF(AL41=0,0,INDEX(sys_DataFlat_LU_Grid,$C$2,AL41))</f>
        <v>0</v>
      </c>
      <c r="AV41" cm="1">
        <f t="array" aca="1" ref="AV41" ca="1">IF(AM41=0,0,INDEX(sys_DataFlat_LU_Grid,$C$2,AM41))</f>
        <v>0</v>
      </c>
      <c r="AW41" cm="1">
        <f t="array" aca="1" ref="AW41" ca="1">IF(AN41=0,0,INDEX(sys_DataFlat_LU_Grid,$C$2,AN41))</f>
        <v>0</v>
      </c>
      <c r="AX41" cm="1">
        <f t="array" aca="1" ref="AX41" ca="1">IF(AO41=0,0,INDEX(sys_DataFlat_LU_Grid,$C$2,AO41))</f>
        <v>6</v>
      </c>
      <c r="AY41" cm="1">
        <f t="array" aca="1" ref="AY41" ca="1">IF(AP41=0,0,INDEX(sys_DataFlat_LU_Grid,$C$2,AP41))</f>
        <v>0</v>
      </c>
      <c r="AZ41" cm="1">
        <f t="array" aca="1" ref="AZ41" ca="1">IF(AQ41=0,0,INDEX(sys_DataFlat_LU_Grid,$C$2,AQ41))</f>
        <v>0</v>
      </c>
      <c r="BA41" cm="1">
        <f t="array" aca="1" ref="BA41" ca="1">IF(AR41=0,0,INDEX(sys_DataFlat_LU_Grid,$C$2,AR41))</f>
        <v>0</v>
      </c>
      <c r="BC41" t="str" cm="1">
        <f t="array" ref="BC41">INDEX(auto_ddCountry,B41)</f>
        <v>London</v>
      </c>
      <c r="BD41" cm="1">
        <f t="array" ref="BD41">INDEX(auto_Country_Status,B41)</f>
        <v>1</v>
      </c>
      <c r="BE41">
        <f t="shared" ref="BE41:BE42" ca="1" si="42">I41</f>
        <v>5</v>
      </c>
      <c r="BF41" t="str">
        <f t="shared" ca="1" si="26"/>
        <v/>
      </c>
      <c r="BG41" t="str">
        <f t="shared" ca="1" si="26"/>
        <v/>
      </c>
      <c r="BH41" t="str">
        <f t="shared" ca="1" si="26"/>
        <v/>
      </c>
      <c r="BI41" t="str">
        <f t="shared" ca="1" si="26"/>
        <v/>
      </c>
      <c r="BJ41" t="str">
        <f t="shared" ca="1" si="26"/>
        <v/>
      </c>
      <c r="BK41" t="str">
        <f t="shared" ca="1" si="26"/>
        <v xml:space="preserve">London • </v>
      </c>
      <c r="BL41" t="str">
        <f t="shared" ca="1" si="26"/>
        <v/>
      </c>
      <c r="BM41" t="str">
        <f t="shared" ca="1" si="26"/>
        <v/>
      </c>
      <c r="BO41" t="s">
        <v>6644</v>
      </c>
      <c r="BP41" t="str">
        <f t="shared" si="20"/>
        <v>BG41,</v>
      </c>
    </row>
    <row r="42" spans="1:68" x14ac:dyDescent="0.4">
      <c r="A42">
        <v>27</v>
      </c>
      <c r="B42">
        <v>27</v>
      </c>
      <c r="C42" cm="1">
        <f t="array" ref="C42">INDEX(auto_Country_Status,B42)</f>
        <v>1</v>
      </c>
      <c r="E42" cm="1">
        <f t="array" aca="1" ref="E42" ca="1">INDEX(sys_DataFlat_LU_Grid,$C$2,$B42)</f>
        <v>27</v>
      </c>
      <c r="F42" cm="1">
        <f t="array" aca="1" ref="F42" ca="1">INDEX(auto_DataFlat_Score,E42,$C$3)</f>
        <v>79.599999999999994</v>
      </c>
      <c r="G42" cm="1">
        <f t="array" aca="1" ref="G42" ca="1">INDEX(auto_DataFlat_DataValue,E42,$C$3)</f>
        <v>0</v>
      </c>
      <c r="H42">
        <f t="shared" ca="1" si="35"/>
        <v>79.599999999999994</v>
      </c>
      <c r="I42" cm="1">
        <f t="array" aca="1" ref="I42" ca="1">INDEX(auto_DataFlat_Classification,E42,$C$3)</f>
        <v>4</v>
      </c>
      <c r="J42">
        <f t="shared" ca="1" si="36"/>
        <v>79.599999999999994</v>
      </c>
      <c r="K42">
        <f t="shared" ca="1" si="37"/>
        <v>79.599999999999994</v>
      </c>
      <c r="L42">
        <f t="shared" ca="1" si="38"/>
        <v>79.599999999999994</v>
      </c>
      <c r="M42">
        <f ca="1">RANK(L42,OFFSET(L$16,0,0,$C$10,1))+COUNTIF(L$16:L42,L42)-1</f>
        <v>3</v>
      </c>
      <c r="O42">
        <f t="shared" ca="1" si="39"/>
        <v>39</v>
      </c>
      <c r="P42" cm="1">
        <f t="array" aca="1" ref="P42" ca="1">INDEX(auto_Country_Status,O42)</f>
        <v>1</v>
      </c>
      <c r="Q42" cm="1">
        <f t="array" aca="1" ref="Q42" ca="1">INDEX(OFFSET($E$16,0,0,$C$10,1),O42)</f>
        <v>39</v>
      </c>
      <c r="R42" t="str" cm="1">
        <f t="array" aca="1" ref="R42" ca="1">INDEX(auto_Country_ISO,O42)</f>
        <v>RMG</v>
      </c>
      <c r="S42" cm="1">
        <f t="array" aca="1" ref="S42" ca="1">IF(AND($C$12=TRUE,$P42=0),0,INDEX(auto_DataFlat_Classification,Q42,$C$3))</f>
        <v>4</v>
      </c>
      <c r="U42">
        <f t="shared" ca="1" si="40"/>
        <v>79.599999999999994</v>
      </c>
      <c r="V42">
        <f ca="1">RANK(U42,OFFSET(U$16,0,0,$C$10,1))+COUNTIF(U$16:U42,U42)-1</f>
        <v>3</v>
      </c>
      <c r="W42">
        <f t="shared" ca="1" si="41"/>
        <v>39</v>
      </c>
      <c r="X42" cm="1">
        <f t="array" aca="1" ref="X42" ca="1">INDEX(auto_Country_Status,W42)</f>
        <v>1</v>
      </c>
      <c r="Y42" cm="1">
        <f t="array" aca="1" ref="Y42" ca="1">INDEX(sys_DataFlat_LU_Grid,$C$2,W42)</f>
        <v>39</v>
      </c>
      <c r="Z42" cm="1">
        <f t="array" aca="1" ref="Z42" ca="1">IF(X42=0,-1,INDEX(auto_DataFlat_Classification,Y42,$C$3))</f>
        <v>4</v>
      </c>
      <c r="AB42" t="e">
        <f t="shared" ca="1" si="11"/>
        <v>#N/A</v>
      </c>
      <c r="AC42" t="e">
        <f t="shared" ca="1" si="12"/>
        <v>#N/A</v>
      </c>
      <c r="AD42" t="e">
        <f t="shared" ca="1" si="13"/>
        <v>#N/A</v>
      </c>
      <c r="AE42" t="e">
        <f t="shared" ca="1" si="14"/>
        <v>#N/A</v>
      </c>
      <c r="AF42">
        <f t="shared" ca="1" si="22"/>
        <v>29</v>
      </c>
      <c r="AG42" t="e">
        <f t="shared" ca="1" si="23"/>
        <v>#N/A</v>
      </c>
      <c r="AH42" t="e">
        <f t="shared" ca="1" si="24"/>
        <v>#N/A</v>
      </c>
      <c r="AI42" t="e">
        <f t="shared" ca="1" si="25"/>
        <v>#N/A</v>
      </c>
      <c r="AK42" cm="1">
        <f t="array" aca="1" ref="AK42" ca="1">IFERROR(INDEX(OFFSET($W$16,0,0,$C$10,1),AB42),0)</f>
        <v>0</v>
      </c>
      <c r="AL42" cm="1">
        <f t="array" aca="1" ref="AL42" ca="1">IFERROR(INDEX(OFFSET($W$16,0,0,$C$10,1),AC42),0)</f>
        <v>0</v>
      </c>
      <c r="AM42" cm="1">
        <f t="array" aca="1" ref="AM42" ca="1">IFERROR(INDEX(OFFSET($W$16,0,0,$C$10,1),AD42),0)</f>
        <v>0</v>
      </c>
      <c r="AN42" cm="1">
        <f t="array" aca="1" ref="AN42" ca="1">IFERROR(INDEX(OFFSET($W$16,0,0,$C$10,1),AE42),0)</f>
        <v>0</v>
      </c>
      <c r="AO42" cm="1">
        <f t="array" aca="1" ref="AO42" ca="1">IFERROR(INDEX(OFFSET($W$16,0,0,$C$10,1),AF42),0)</f>
        <v>3</v>
      </c>
      <c r="AP42" cm="1">
        <f t="array" aca="1" ref="AP42" ca="1">IFERROR(INDEX(OFFSET($W$16,0,0,$C$10,1),AG42),0)</f>
        <v>0</v>
      </c>
      <c r="AQ42" cm="1">
        <f t="array" aca="1" ref="AQ42" ca="1">IFERROR(INDEX(OFFSET($W$16,0,0,$C$10,1),AH42),0)</f>
        <v>0</v>
      </c>
      <c r="AR42" cm="1">
        <f t="array" aca="1" ref="AR42" ca="1">IFERROR(INDEX(OFFSET($W$16,0,0,$C$10,1),AI42),0)</f>
        <v>0</v>
      </c>
      <c r="AT42" cm="1">
        <f t="array" aca="1" ref="AT42" ca="1">IF(AK42=0,0,INDEX(sys_DataFlat_LU_Grid,$C$2,AK42))</f>
        <v>0</v>
      </c>
      <c r="AU42" cm="1">
        <f t="array" aca="1" ref="AU42" ca="1">IF(AL42=0,0,INDEX(sys_DataFlat_LU_Grid,$C$2,AL42))</f>
        <v>0</v>
      </c>
      <c r="AV42" cm="1">
        <f t="array" aca="1" ref="AV42" ca="1">IF(AM42=0,0,INDEX(sys_DataFlat_LU_Grid,$C$2,AM42))</f>
        <v>0</v>
      </c>
      <c r="AW42" cm="1">
        <f t="array" aca="1" ref="AW42" ca="1">IF(AN42=0,0,INDEX(sys_DataFlat_LU_Grid,$C$2,AN42))</f>
        <v>0</v>
      </c>
      <c r="AX42" cm="1">
        <f t="array" aca="1" ref="AX42" ca="1">IF(AO42=0,0,INDEX(sys_DataFlat_LU_Grid,$C$2,AO42))</f>
        <v>3</v>
      </c>
      <c r="AY42" cm="1">
        <f t="array" aca="1" ref="AY42" ca="1">IF(AP42=0,0,INDEX(sys_DataFlat_LU_Grid,$C$2,AP42))</f>
        <v>0</v>
      </c>
      <c r="AZ42" cm="1">
        <f t="array" aca="1" ref="AZ42" ca="1">IF(AQ42=0,0,INDEX(sys_DataFlat_LU_Grid,$C$2,AQ42))</f>
        <v>0</v>
      </c>
      <c r="BA42" cm="1">
        <f t="array" aca="1" ref="BA42" ca="1">IF(AR42=0,0,INDEX(sys_DataFlat_LU_Grid,$C$2,AR42))</f>
        <v>0</v>
      </c>
      <c r="BC42" t="str" cm="1">
        <f t="array" ref="BC42">INDEX(auto_ddCountry,B42)</f>
        <v>Madrid</v>
      </c>
      <c r="BD42" cm="1">
        <f t="array" ref="BD42">INDEX(auto_Country_Status,B42)</f>
        <v>1</v>
      </c>
      <c r="BE42">
        <f t="shared" ca="1" si="42"/>
        <v>4</v>
      </c>
      <c r="BF42" t="str">
        <f t="shared" ca="1" si="26"/>
        <v/>
      </c>
      <c r="BG42" t="str">
        <f t="shared" ca="1" si="26"/>
        <v/>
      </c>
      <c r="BH42" t="str">
        <f t="shared" ca="1" si="26"/>
        <v/>
      </c>
      <c r="BI42" t="str">
        <f t="shared" ca="1" si="26"/>
        <v/>
      </c>
      <c r="BJ42" t="str">
        <f t="shared" ca="1" si="26"/>
        <v xml:space="preserve">Madrid • </v>
      </c>
      <c r="BK42" t="str">
        <f t="shared" ca="1" si="26"/>
        <v/>
      </c>
      <c r="BL42" t="str">
        <f t="shared" ca="1" si="26"/>
        <v/>
      </c>
      <c r="BM42" t="str">
        <f t="shared" ca="1" si="26"/>
        <v/>
      </c>
      <c r="BO42" t="s">
        <v>6645</v>
      </c>
      <c r="BP42" t="str">
        <f t="shared" si="20"/>
        <v>BG42,</v>
      </c>
    </row>
    <row r="43" spans="1:68" x14ac:dyDescent="0.4">
      <c r="A43">
        <v>28</v>
      </c>
      <c r="B43">
        <v>28</v>
      </c>
      <c r="C43" cm="1">
        <f t="array" ref="C43">INDEX(auto_Country_Status,B43)</f>
        <v>1</v>
      </c>
      <c r="E43" cm="1">
        <f t="array" aca="1" ref="E43" ca="1">INDEX(sys_DataFlat_LU_Grid,$C$2,$B43)</f>
        <v>28</v>
      </c>
      <c r="F43" cm="1">
        <f t="array" aca="1" ref="F43" ca="1">INDEX(auto_DataFlat_Score,E43,$C$3)</f>
        <v>48.8</v>
      </c>
      <c r="G43" cm="1">
        <f t="array" aca="1" ref="G43" ca="1">INDEX(auto_DataFlat_DataValue,E43,$C$3)</f>
        <v>0</v>
      </c>
      <c r="H43">
        <f t="shared" ref="H43:H65" ca="1" si="43">F43+(IF($C$9=1,G43,-G43)/100000000)</f>
        <v>48.8</v>
      </c>
      <c r="I43" cm="1">
        <f t="array" aca="1" ref="I43" ca="1">INDEX(auto_DataFlat_Classification,E43,$C$3)</f>
        <v>3</v>
      </c>
      <c r="J43">
        <f t="shared" ref="J43:J65" ca="1" si="44">IF(AND($C$12=TRUE,$C43=0),-40000000,CHOOSE($C$5,H43,-H43))</f>
        <v>48.8</v>
      </c>
      <c r="K43">
        <f t="shared" ref="K43:K65" ca="1" si="45">IF(ISERROR(J43),-30000000,J43)</f>
        <v>48.8</v>
      </c>
      <c r="L43">
        <f t="shared" ref="L43:L65" ca="1" si="46">IF(ISNUMBER(K43),K43,-20000000)</f>
        <v>48.8</v>
      </c>
      <c r="M43">
        <f ca="1">RANK(L43,OFFSET(L$16,0,0,$C$10,1))+COUNTIF(L$16:L43,L43)-1</f>
        <v>42</v>
      </c>
      <c r="O43">
        <f t="shared" ref="O43:O65" ca="1" si="47">MATCH($A43,OFFSET(M$16,0,0,$C$10,1),0)</f>
        <v>6</v>
      </c>
      <c r="P43" cm="1">
        <f t="array" aca="1" ref="P43" ca="1">INDEX(auto_Country_Status,O43)</f>
        <v>1</v>
      </c>
      <c r="Q43" cm="1">
        <f t="array" aca="1" ref="Q43" ca="1">INDEX(OFFSET($E$16,0,0,$C$10,1),O43)</f>
        <v>6</v>
      </c>
      <c r="R43" t="str" cm="1">
        <f t="array" aca="1" ref="R43" ca="1">INDEX(auto_Country_ISO,O43)</f>
        <v>BJS</v>
      </c>
      <c r="S43" cm="1">
        <f t="array" aca="1" ref="S43" ca="1">IF(AND($C$12=TRUE,$P43=0),0,INDEX(auto_DataFlat_Classification,Q43,$C$3))</f>
        <v>4</v>
      </c>
      <c r="U43">
        <f t="shared" ref="U43:U65" ca="1" si="48">F43</f>
        <v>48.8</v>
      </c>
      <c r="V43">
        <f ca="1">RANK(U43,OFFSET(U$16,0,0,$C$10,1))+COUNTIF(U$16:U43,U43)-1</f>
        <v>42</v>
      </c>
      <c r="W43">
        <f t="shared" ref="W43:W65" ca="1" si="49">MATCH(B43,OFFSET(V$16,0,0,$C$10,1),0)</f>
        <v>6</v>
      </c>
      <c r="X43" cm="1">
        <f t="array" aca="1" ref="X43" ca="1">INDEX(auto_Country_Status,W43)</f>
        <v>1</v>
      </c>
      <c r="Y43" cm="1">
        <f t="array" aca="1" ref="Y43" ca="1">INDEX(sys_DataFlat_LU_Grid,$C$2,W43)</f>
        <v>6</v>
      </c>
      <c r="Z43" cm="1">
        <f t="array" aca="1" ref="Z43" ca="1">IF(X43=0,-1,INDEX(auto_DataFlat_Classification,Y43,$C$3))</f>
        <v>4</v>
      </c>
      <c r="AB43" t="e">
        <f t="shared" ca="1" si="11"/>
        <v>#N/A</v>
      </c>
      <c r="AC43" t="e">
        <f t="shared" ca="1" si="12"/>
        <v>#N/A</v>
      </c>
      <c r="AD43" t="e">
        <f t="shared" ca="1" si="13"/>
        <v>#N/A</v>
      </c>
      <c r="AE43" t="e">
        <f t="shared" ca="1" si="14"/>
        <v>#N/A</v>
      </c>
      <c r="AF43">
        <f t="shared" ca="1" si="22"/>
        <v>30</v>
      </c>
      <c r="AG43" t="e">
        <f t="shared" ca="1" si="23"/>
        <v>#N/A</v>
      </c>
      <c r="AH43" t="e">
        <f t="shared" ca="1" si="24"/>
        <v>#N/A</v>
      </c>
      <c r="AI43" t="e">
        <f t="shared" ca="1" si="25"/>
        <v>#N/A</v>
      </c>
      <c r="AK43" cm="1">
        <f t="array" aca="1" ref="AK43" ca="1">IFERROR(INDEX(OFFSET($W$16,0,0,$C$10,1),AB43),0)</f>
        <v>0</v>
      </c>
      <c r="AL43" cm="1">
        <f t="array" aca="1" ref="AL43" ca="1">IFERROR(INDEX(OFFSET($W$16,0,0,$C$10,1),AC43),0)</f>
        <v>0</v>
      </c>
      <c r="AM43" cm="1">
        <f t="array" aca="1" ref="AM43" ca="1">IFERROR(INDEX(OFFSET($W$16,0,0,$C$10,1),AD43),0)</f>
        <v>0</v>
      </c>
      <c r="AN43" cm="1">
        <f t="array" aca="1" ref="AN43" ca="1">IFERROR(INDEX(OFFSET($W$16,0,0,$C$10,1),AE43),0)</f>
        <v>0</v>
      </c>
      <c r="AO43" cm="1">
        <f t="array" aca="1" ref="AO43" ca="1">IFERROR(INDEX(OFFSET($W$16,0,0,$C$10,1),AF43),0)</f>
        <v>30</v>
      </c>
      <c r="AP43" cm="1">
        <f t="array" aca="1" ref="AP43" ca="1">IFERROR(INDEX(OFFSET($W$16,0,0,$C$10,1),AG43),0)</f>
        <v>0</v>
      </c>
      <c r="AQ43" cm="1">
        <f t="array" aca="1" ref="AQ43" ca="1">IFERROR(INDEX(OFFSET($W$16,0,0,$C$10,1),AH43),0)</f>
        <v>0</v>
      </c>
      <c r="AR43" cm="1">
        <f t="array" aca="1" ref="AR43" ca="1">IFERROR(INDEX(OFFSET($W$16,0,0,$C$10,1),AI43),0)</f>
        <v>0</v>
      </c>
      <c r="AT43" cm="1">
        <f t="array" aca="1" ref="AT43" ca="1">IF(AK43=0,0,INDEX(sys_DataFlat_LU_Grid,$C$2,AK43))</f>
        <v>0</v>
      </c>
      <c r="AU43" cm="1">
        <f t="array" aca="1" ref="AU43" ca="1">IF(AL43=0,0,INDEX(sys_DataFlat_LU_Grid,$C$2,AL43))</f>
        <v>0</v>
      </c>
      <c r="AV43" cm="1">
        <f t="array" aca="1" ref="AV43" ca="1">IF(AM43=0,0,INDEX(sys_DataFlat_LU_Grid,$C$2,AM43))</f>
        <v>0</v>
      </c>
      <c r="AW43" cm="1">
        <f t="array" aca="1" ref="AW43" ca="1">IF(AN43=0,0,INDEX(sys_DataFlat_LU_Grid,$C$2,AN43))</f>
        <v>0</v>
      </c>
      <c r="AX43" cm="1">
        <f t="array" aca="1" ref="AX43" ca="1">IF(AO43=0,0,INDEX(sys_DataFlat_LU_Grid,$C$2,AO43))</f>
        <v>30</v>
      </c>
      <c r="AY43" cm="1">
        <f t="array" aca="1" ref="AY43" ca="1">IF(AP43=0,0,INDEX(sys_DataFlat_LU_Grid,$C$2,AP43))</f>
        <v>0</v>
      </c>
      <c r="AZ43" cm="1">
        <f t="array" aca="1" ref="AZ43" ca="1">IF(AQ43=0,0,INDEX(sys_DataFlat_LU_Grid,$C$2,AQ43))</f>
        <v>0</v>
      </c>
      <c r="BA43" cm="1">
        <f t="array" aca="1" ref="BA43" ca="1">IF(AR43=0,0,INDEX(sys_DataFlat_LU_Grid,$C$2,AR43))</f>
        <v>0</v>
      </c>
      <c r="BC43" t="str" cm="1">
        <f t="array" ref="BC43">INDEX(auto_ddCountry,B43)</f>
        <v>Manila</v>
      </c>
      <c r="BD43" cm="1">
        <f t="array" ref="BD43">INDEX(auto_Country_Status,B43)</f>
        <v>1</v>
      </c>
      <c r="BE43">
        <f t="shared" ref="BE43:BE65" ca="1" si="50">I43</f>
        <v>3</v>
      </c>
      <c r="BF43" t="str">
        <f t="shared" ca="1" si="26"/>
        <v/>
      </c>
      <c r="BG43" t="str">
        <f t="shared" ca="1" si="26"/>
        <v/>
      </c>
      <c r="BH43" t="str">
        <f t="shared" ca="1" si="26"/>
        <v/>
      </c>
      <c r="BI43" t="str">
        <f t="shared" ca="1" si="26"/>
        <v xml:space="preserve">Manila • </v>
      </c>
      <c r="BJ43" t="str">
        <f t="shared" ca="1" si="26"/>
        <v/>
      </c>
      <c r="BK43" t="str">
        <f t="shared" ca="1" si="26"/>
        <v/>
      </c>
      <c r="BL43" t="str">
        <f t="shared" ca="1" si="26"/>
        <v/>
      </c>
      <c r="BM43" t="str">
        <f t="shared" ca="1" si="26"/>
        <v/>
      </c>
      <c r="BO43" t="s">
        <v>6646</v>
      </c>
      <c r="BP43" t="str">
        <f t="shared" si="20"/>
        <v>BG43,</v>
      </c>
    </row>
    <row r="44" spans="1:68" x14ac:dyDescent="0.4">
      <c r="A44">
        <v>29</v>
      </c>
      <c r="B44">
        <v>29</v>
      </c>
      <c r="C44" cm="1">
        <f t="array" ref="C44">INDEX(auto_Country_Status,B44)</f>
        <v>1</v>
      </c>
      <c r="E44" cm="1">
        <f t="array" aca="1" ref="E44" ca="1">INDEX(sys_DataFlat_LU_Grid,$C$2,$B44)</f>
        <v>29</v>
      </c>
      <c r="F44" cm="1">
        <f t="array" aca="1" ref="F44" ca="1">INDEX(auto_DataFlat_Score,E44,$C$3)</f>
        <v>75.8</v>
      </c>
      <c r="G44" cm="1">
        <f t="array" aca="1" ref="G44" ca="1">INDEX(auto_DataFlat_DataValue,E44,$C$3)</f>
        <v>0</v>
      </c>
      <c r="H44">
        <f t="shared" ca="1" si="43"/>
        <v>75.8</v>
      </c>
      <c r="I44" cm="1">
        <f t="array" aca="1" ref="I44" ca="1">INDEX(auto_DataFlat_Classification,E44,$C$3)</f>
        <v>4</v>
      </c>
      <c r="J44">
        <f t="shared" ca="1" si="44"/>
        <v>75.8</v>
      </c>
      <c r="K44">
        <f t="shared" ca="1" si="45"/>
        <v>75.8</v>
      </c>
      <c r="L44">
        <f t="shared" ca="1" si="46"/>
        <v>75.8</v>
      </c>
      <c r="M44">
        <f ca="1">RANK(L44,OFFSET(L$16,0,0,$C$10,1))+COUNTIF(L$16:L44,L44)-1</f>
        <v>9</v>
      </c>
      <c r="O44">
        <f t="shared" ca="1" si="47"/>
        <v>3</v>
      </c>
      <c r="P44" cm="1">
        <f t="array" aca="1" ref="P44" ca="1">INDEX(auto_Country_Status,O44)</f>
        <v>1</v>
      </c>
      <c r="Q44" cm="1">
        <f t="array" aca="1" ref="Q44" ca="1">INDEX(OFFSET($E$16,0,0,$C$10,1),O44)</f>
        <v>3</v>
      </c>
      <c r="R44" t="str" cm="1">
        <f t="array" aca="1" ref="R44" ca="1">INDEX(auto_Country_ISO,O44)</f>
        <v>A2N</v>
      </c>
      <c r="S44" cm="1">
        <f t="array" aca="1" ref="S44" ca="1">IF(AND($C$12=TRUE,$P44=0),0,INDEX(auto_DataFlat_Classification,Q44,$C$3))</f>
        <v>4</v>
      </c>
      <c r="U44">
        <f t="shared" ca="1" si="48"/>
        <v>75.8</v>
      </c>
      <c r="V44">
        <f ca="1">RANK(U44,OFFSET(U$16,0,0,$C$10,1))+COUNTIF(U$16:U44,U44)-1</f>
        <v>9</v>
      </c>
      <c r="W44">
        <f t="shared" ca="1" si="49"/>
        <v>3</v>
      </c>
      <c r="X44" cm="1">
        <f t="array" aca="1" ref="X44" ca="1">INDEX(auto_Country_Status,W44)</f>
        <v>1</v>
      </c>
      <c r="Y44" cm="1">
        <f t="array" aca="1" ref="Y44" ca="1">INDEX(sys_DataFlat_LU_Grid,$C$2,W44)</f>
        <v>3</v>
      </c>
      <c r="Z44" cm="1">
        <f t="array" aca="1" ref="Z44" ca="1">IF(X44=0,-1,INDEX(auto_DataFlat_Classification,Y44,$C$3))</f>
        <v>4</v>
      </c>
      <c r="AB44" t="e">
        <f t="shared" ca="1" si="11"/>
        <v>#N/A</v>
      </c>
      <c r="AC44" t="e">
        <f t="shared" ca="1" si="12"/>
        <v>#N/A</v>
      </c>
      <c r="AD44" t="e">
        <f t="shared" ca="1" si="13"/>
        <v>#N/A</v>
      </c>
      <c r="AE44" t="e">
        <f t="shared" ca="1" si="14"/>
        <v>#N/A</v>
      </c>
      <c r="AF44">
        <f t="shared" ca="1" si="22"/>
        <v>31</v>
      </c>
      <c r="AG44" t="e">
        <f t="shared" ca="1" si="23"/>
        <v>#N/A</v>
      </c>
      <c r="AH44" t="e">
        <f t="shared" ca="1" si="24"/>
        <v>#N/A</v>
      </c>
      <c r="AI44" t="e">
        <f t="shared" ca="1" si="25"/>
        <v>#N/A</v>
      </c>
      <c r="AK44" cm="1">
        <f t="array" aca="1" ref="AK44" ca="1">IFERROR(INDEX(OFFSET($W$16,0,0,$C$10,1),AB44),0)</f>
        <v>0</v>
      </c>
      <c r="AL44" cm="1">
        <f t="array" aca="1" ref="AL44" ca="1">IFERROR(INDEX(OFFSET($W$16,0,0,$C$10,1),AC44),0)</f>
        <v>0</v>
      </c>
      <c r="AM44" cm="1">
        <f t="array" aca="1" ref="AM44" ca="1">IFERROR(INDEX(OFFSET($W$16,0,0,$C$10,1),AD44),0)</f>
        <v>0</v>
      </c>
      <c r="AN44" cm="1">
        <f t="array" aca="1" ref="AN44" ca="1">IFERROR(INDEX(OFFSET($W$16,0,0,$C$10,1),AE44),0)</f>
        <v>0</v>
      </c>
      <c r="AO44" cm="1">
        <f t="array" aca="1" ref="AO44" ca="1">IFERROR(INDEX(OFFSET($W$16,0,0,$C$10,1),AF44),0)</f>
        <v>18</v>
      </c>
      <c r="AP44" cm="1">
        <f t="array" aca="1" ref="AP44" ca="1">IFERROR(INDEX(OFFSET($W$16,0,0,$C$10,1),AG44),0)</f>
        <v>0</v>
      </c>
      <c r="AQ44" cm="1">
        <f t="array" aca="1" ref="AQ44" ca="1">IFERROR(INDEX(OFFSET($W$16,0,0,$C$10,1),AH44),0)</f>
        <v>0</v>
      </c>
      <c r="AR44" cm="1">
        <f t="array" aca="1" ref="AR44" ca="1">IFERROR(INDEX(OFFSET($W$16,0,0,$C$10,1),AI44),0)</f>
        <v>0</v>
      </c>
      <c r="AT44" cm="1">
        <f t="array" aca="1" ref="AT44" ca="1">IF(AK44=0,0,INDEX(sys_DataFlat_LU_Grid,$C$2,AK44))</f>
        <v>0</v>
      </c>
      <c r="AU44" cm="1">
        <f t="array" aca="1" ref="AU44" ca="1">IF(AL44=0,0,INDEX(sys_DataFlat_LU_Grid,$C$2,AL44))</f>
        <v>0</v>
      </c>
      <c r="AV44" cm="1">
        <f t="array" aca="1" ref="AV44" ca="1">IF(AM44=0,0,INDEX(sys_DataFlat_LU_Grid,$C$2,AM44))</f>
        <v>0</v>
      </c>
      <c r="AW44" cm="1">
        <f t="array" aca="1" ref="AW44" ca="1">IF(AN44=0,0,INDEX(sys_DataFlat_LU_Grid,$C$2,AN44))</f>
        <v>0</v>
      </c>
      <c r="AX44" cm="1">
        <f t="array" aca="1" ref="AX44" ca="1">IF(AO44=0,0,INDEX(sys_DataFlat_LU_Grid,$C$2,AO44))</f>
        <v>18</v>
      </c>
      <c r="AY44" cm="1">
        <f t="array" aca="1" ref="AY44" ca="1">IF(AP44=0,0,INDEX(sys_DataFlat_LU_Grid,$C$2,AP44))</f>
        <v>0</v>
      </c>
      <c r="AZ44" cm="1">
        <f t="array" aca="1" ref="AZ44" ca="1">IF(AQ44=0,0,INDEX(sys_DataFlat_LU_Grid,$C$2,AQ44))</f>
        <v>0</v>
      </c>
      <c r="BA44" cm="1">
        <f t="array" aca="1" ref="BA44" ca="1">IF(AR44=0,0,INDEX(sys_DataFlat_LU_Grid,$C$2,AR44))</f>
        <v>0</v>
      </c>
      <c r="BC44" t="str" cm="1">
        <f t="array" ref="BC44">INDEX(auto_ddCountry,B44)</f>
        <v>Melbourne</v>
      </c>
      <c r="BD44" cm="1">
        <f t="array" ref="BD44">INDEX(auto_Country_Status,B44)</f>
        <v>1</v>
      </c>
      <c r="BE44">
        <f t="shared" ca="1" si="50"/>
        <v>4</v>
      </c>
      <c r="BF44" t="str">
        <f t="shared" ca="1" si="26"/>
        <v/>
      </c>
      <c r="BG44" t="str">
        <f t="shared" ca="1" si="26"/>
        <v/>
      </c>
      <c r="BH44" t="str">
        <f t="shared" ca="1" si="26"/>
        <v/>
      </c>
      <c r="BI44" t="str">
        <f t="shared" ca="1" si="26"/>
        <v/>
      </c>
      <c r="BJ44" t="str">
        <f t="shared" ca="1" si="26"/>
        <v xml:space="preserve">Melbourne • </v>
      </c>
      <c r="BK44" t="str">
        <f t="shared" ca="1" si="26"/>
        <v/>
      </c>
      <c r="BL44" t="str">
        <f t="shared" ca="1" si="26"/>
        <v/>
      </c>
      <c r="BM44" t="str">
        <f t="shared" ca="1" si="26"/>
        <v/>
      </c>
      <c r="BO44" t="s">
        <v>6647</v>
      </c>
      <c r="BP44" t="str">
        <f t="shared" si="20"/>
        <v>BG44,</v>
      </c>
    </row>
    <row r="45" spans="1:68" x14ac:dyDescent="0.4">
      <c r="A45">
        <v>30</v>
      </c>
      <c r="B45">
        <v>30</v>
      </c>
      <c r="C45" cm="1">
        <f t="array" ref="C45">INDEX(auto_Country_Status,B45)</f>
        <v>1</v>
      </c>
      <c r="E45" cm="1">
        <f t="array" aca="1" ref="E45" ca="1">INDEX(sys_DataFlat_LU_Grid,$C$2,$B45)</f>
        <v>30</v>
      </c>
      <c r="F45" cm="1">
        <f t="array" aca="1" ref="F45" ca="1">INDEX(auto_DataFlat_Score,E45,$C$3)</f>
        <v>60.9</v>
      </c>
      <c r="G45" cm="1">
        <f t="array" aca="1" ref="G45" ca="1">INDEX(auto_DataFlat_DataValue,E45,$C$3)</f>
        <v>0</v>
      </c>
      <c r="H45">
        <f t="shared" ca="1" si="43"/>
        <v>60.9</v>
      </c>
      <c r="I45" cm="1">
        <f t="array" aca="1" ref="I45" ca="1">INDEX(auto_DataFlat_Classification,E45,$C$3)</f>
        <v>4</v>
      </c>
      <c r="J45">
        <f t="shared" ca="1" si="44"/>
        <v>60.9</v>
      </c>
      <c r="K45">
        <f t="shared" ca="1" si="45"/>
        <v>60.9</v>
      </c>
      <c r="L45">
        <f t="shared" ca="1" si="46"/>
        <v>60.9</v>
      </c>
      <c r="M45">
        <f ca="1">RANK(L45,OFFSET(L$16,0,0,$C$10,1))+COUNTIF(L$16:L45,L45)-1</f>
        <v>30</v>
      </c>
      <c r="O45">
        <f t="shared" ca="1" si="47"/>
        <v>30</v>
      </c>
      <c r="P45" cm="1">
        <f t="array" aca="1" ref="P45" ca="1">INDEX(auto_Country_Status,O45)</f>
        <v>1</v>
      </c>
      <c r="Q45" cm="1">
        <f t="array" aca="1" ref="Q45" ca="1">INDEX(OFFSET($E$16,0,0,$C$10,1),O45)</f>
        <v>30</v>
      </c>
      <c r="R45" t="str" cm="1">
        <f t="array" aca="1" ref="R45" ca="1">INDEX(auto_Country_ISO,O45)</f>
        <v>MEX</v>
      </c>
      <c r="S45" cm="1">
        <f t="array" aca="1" ref="S45" ca="1">IF(AND($C$12=TRUE,$P45=0),0,INDEX(auto_DataFlat_Classification,Q45,$C$3))</f>
        <v>4</v>
      </c>
      <c r="U45">
        <f t="shared" ca="1" si="48"/>
        <v>60.9</v>
      </c>
      <c r="V45">
        <f ca="1">RANK(U45,OFFSET(U$16,0,0,$C$10,1))+COUNTIF(U$16:U45,U45)-1</f>
        <v>30</v>
      </c>
      <c r="W45">
        <f t="shared" ca="1" si="49"/>
        <v>30</v>
      </c>
      <c r="X45" cm="1">
        <f t="array" aca="1" ref="X45" ca="1">INDEX(auto_Country_Status,W45)</f>
        <v>1</v>
      </c>
      <c r="Y45" cm="1">
        <f t="array" aca="1" ref="Y45" ca="1">INDEX(sys_DataFlat_LU_Grid,$C$2,W45)</f>
        <v>30</v>
      </c>
      <c r="Z45" cm="1">
        <f t="array" aca="1" ref="Z45" ca="1">IF(X45=0,-1,INDEX(auto_DataFlat_Classification,Y45,$C$3))</f>
        <v>4</v>
      </c>
      <c r="AB45" t="e">
        <f t="shared" ca="1" si="11"/>
        <v>#N/A</v>
      </c>
      <c r="AC45" t="e">
        <f t="shared" ca="1" si="12"/>
        <v>#N/A</v>
      </c>
      <c r="AD45" t="e">
        <f t="shared" ca="1" si="13"/>
        <v>#N/A</v>
      </c>
      <c r="AE45" t="e">
        <f t="shared" ca="1" si="14"/>
        <v>#N/A</v>
      </c>
      <c r="AF45" t="e">
        <f t="shared" ca="1" si="22"/>
        <v>#N/A</v>
      </c>
      <c r="AG45" t="e">
        <f t="shared" ca="1" si="23"/>
        <v>#N/A</v>
      </c>
      <c r="AH45" t="e">
        <f t="shared" ca="1" si="24"/>
        <v>#N/A</v>
      </c>
      <c r="AI45" t="e">
        <f t="shared" ca="1" si="25"/>
        <v>#N/A</v>
      </c>
      <c r="AK45" cm="1">
        <f t="array" aca="1" ref="AK45" ca="1">IFERROR(INDEX(OFFSET($W$16,0,0,$C$10,1),AB45),0)</f>
        <v>0</v>
      </c>
      <c r="AL45" cm="1">
        <f t="array" aca="1" ref="AL45" ca="1">IFERROR(INDEX(OFFSET($W$16,0,0,$C$10,1),AC45),0)</f>
        <v>0</v>
      </c>
      <c r="AM45" cm="1">
        <f t="array" aca="1" ref="AM45" ca="1">IFERROR(INDEX(OFFSET($W$16,0,0,$C$10,1),AD45),0)</f>
        <v>0</v>
      </c>
      <c r="AN45" cm="1">
        <f t="array" aca="1" ref="AN45" ca="1">IFERROR(INDEX(OFFSET($W$16,0,0,$C$10,1),AE45),0)</f>
        <v>0</v>
      </c>
      <c r="AO45" cm="1">
        <f t="array" aca="1" ref="AO45" ca="1">IFERROR(INDEX(OFFSET($W$16,0,0,$C$10,1),AF45),0)</f>
        <v>0</v>
      </c>
      <c r="AP45" cm="1">
        <f t="array" aca="1" ref="AP45" ca="1">IFERROR(INDEX(OFFSET($W$16,0,0,$C$10,1),AG45),0)</f>
        <v>0</v>
      </c>
      <c r="AQ45" cm="1">
        <f t="array" aca="1" ref="AQ45" ca="1">IFERROR(INDEX(OFFSET($W$16,0,0,$C$10,1),AH45),0)</f>
        <v>0</v>
      </c>
      <c r="AR45" cm="1">
        <f t="array" aca="1" ref="AR45" ca="1">IFERROR(INDEX(OFFSET($W$16,0,0,$C$10,1),AI45),0)</f>
        <v>0</v>
      </c>
      <c r="AT45" cm="1">
        <f t="array" aca="1" ref="AT45" ca="1">IF(AK45=0,0,INDEX(sys_DataFlat_LU_Grid,$C$2,AK45))</f>
        <v>0</v>
      </c>
      <c r="AU45" cm="1">
        <f t="array" aca="1" ref="AU45" ca="1">IF(AL45=0,0,INDEX(sys_DataFlat_LU_Grid,$C$2,AL45))</f>
        <v>0</v>
      </c>
      <c r="AV45" cm="1">
        <f t="array" aca="1" ref="AV45" ca="1">IF(AM45=0,0,INDEX(sys_DataFlat_LU_Grid,$C$2,AM45))</f>
        <v>0</v>
      </c>
      <c r="AW45" cm="1">
        <f t="array" aca="1" ref="AW45" ca="1">IF(AN45=0,0,INDEX(sys_DataFlat_LU_Grid,$C$2,AN45))</f>
        <v>0</v>
      </c>
      <c r="AX45" cm="1">
        <f t="array" aca="1" ref="AX45" ca="1">IF(AO45=0,0,INDEX(sys_DataFlat_LU_Grid,$C$2,AO45))</f>
        <v>0</v>
      </c>
      <c r="AY45" cm="1">
        <f t="array" aca="1" ref="AY45" ca="1">IF(AP45=0,0,INDEX(sys_DataFlat_LU_Grid,$C$2,AP45))</f>
        <v>0</v>
      </c>
      <c r="AZ45" cm="1">
        <f t="array" aca="1" ref="AZ45" ca="1">IF(AQ45=0,0,INDEX(sys_DataFlat_LU_Grid,$C$2,AQ45))</f>
        <v>0</v>
      </c>
      <c r="BA45" cm="1">
        <f t="array" aca="1" ref="BA45" ca="1">IF(AR45=0,0,INDEX(sys_DataFlat_LU_Grid,$C$2,AR45))</f>
        <v>0</v>
      </c>
      <c r="BC45" t="str" cm="1">
        <f t="array" ref="BC45">INDEX(auto_ddCountry,B45)</f>
        <v>Mexico City</v>
      </c>
      <c r="BD45" cm="1">
        <f t="array" ref="BD45">INDEX(auto_Country_Status,B45)</f>
        <v>1</v>
      </c>
      <c r="BE45">
        <f t="shared" ca="1" si="50"/>
        <v>4</v>
      </c>
      <c r="BF45" t="str">
        <f t="shared" ca="1" si="26"/>
        <v/>
      </c>
      <c r="BG45" t="str">
        <f t="shared" ca="1" si="26"/>
        <v/>
      </c>
      <c r="BH45" t="str">
        <f t="shared" ca="1" si="26"/>
        <v/>
      </c>
      <c r="BI45" t="str">
        <f t="shared" ca="1" si="26"/>
        <v/>
      </c>
      <c r="BJ45" t="str">
        <f t="shared" ca="1" si="26"/>
        <v xml:space="preserve">Mexico City • </v>
      </c>
      <c r="BK45" t="str">
        <f t="shared" ca="1" si="26"/>
        <v/>
      </c>
      <c r="BL45" t="str">
        <f t="shared" ca="1" si="26"/>
        <v/>
      </c>
      <c r="BM45" t="str">
        <f t="shared" ca="1" si="26"/>
        <v/>
      </c>
      <c r="BO45" t="s">
        <v>6648</v>
      </c>
      <c r="BP45" t="str">
        <f t="shared" si="20"/>
        <v>BG45,</v>
      </c>
    </row>
    <row r="46" spans="1:68" x14ac:dyDescent="0.4">
      <c r="A46">
        <v>31</v>
      </c>
      <c r="B46">
        <v>31</v>
      </c>
      <c r="C46" cm="1">
        <f t="array" ref="C46">INDEX(auto_Country_Status,B46)</f>
        <v>1</v>
      </c>
      <c r="E46" cm="1">
        <f t="array" aca="1" ref="E46" ca="1">INDEX(sys_DataFlat_LU_Grid,$C$2,$B46)</f>
        <v>31</v>
      </c>
      <c r="F46" cm="1">
        <f t="array" aca="1" ref="F46" ca="1">INDEX(auto_DataFlat_Score,E46,$C$3)</f>
        <v>65.900000000000006</v>
      </c>
      <c r="G46" cm="1">
        <f t="array" aca="1" ref="G46" ca="1">INDEX(auto_DataFlat_DataValue,E46,$C$3)</f>
        <v>0</v>
      </c>
      <c r="H46">
        <f t="shared" ca="1" si="43"/>
        <v>65.900000000000006</v>
      </c>
      <c r="I46" cm="1">
        <f t="array" aca="1" ref="I46" ca="1">INDEX(auto_DataFlat_Classification,E46,$C$3)</f>
        <v>4</v>
      </c>
      <c r="J46">
        <f t="shared" ca="1" si="44"/>
        <v>65.900000000000006</v>
      </c>
      <c r="K46">
        <f t="shared" ca="1" si="45"/>
        <v>65.900000000000006</v>
      </c>
      <c r="L46">
        <f t="shared" ca="1" si="46"/>
        <v>65.900000000000006</v>
      </c>
      <c r="M46">
        <f ca="1">RANK(L46,OFFSET(L$16,0,0,$C$10,1))+COUNTIF(L$16:L46,L46)-1</f>
        <v>23</v>
      </c>
      <c r="O46">
        <f t="shared" ca="1" si="47"/>
        <v>18</v>
      </c>
      <c r="P46" cm="1">
        <f t="array" aca="1" ref="P46" ca="1">INDEX(auto_Country_Status,O46)</f>
        <v>1</v>
      </c>
      <c r="Q46" cm="1">
        <f t="array" aca="1" ref="Q46" ca="1">INDEX(OFFSET($E$16,0,0,$C$10,1),O46)</f>
        <v>18</v>
      </c>
      <c r="R46" t="str" cm="1">
        <f t="array" aca="1" ref="R46" ca="1">INDEX(auto_Country_ISO,O46)</f>
        <v>IST</v>
      </c>
      <c r="S46" cm="1">
        <f t="array" aca="1" ref="S46" ca="1">IF(AND($C$12=TRUE,$P46=0),0,INDEX(auto_DataFlat_Classification,Q46,$C$3))</f>
        <v>4</v>
      </c>
      <c r="U46">
        <f t="shared" ca="1" si="48"/>
        <v>65.900000000000006</v>
      </c>
      <c r="V46">
        <f ca="1">RANK(U46,OFFSET(U$16,0,0,$C$10,1))+COUNTIF(U$16:U46,U46)-1</f>
        <v>23</v>
      </c>
      <c r="W46">
        <f t="shared" ca="1" si="49"/>
        <v>18</v>
      </c>
      <c r="X46" cm="1">
        <f t="array" aca="1" ref="X46" ca="1">INDEX(auto_Country_Status,W46)</f>
        <v>1</v>
      </c>
      <c r="Y46" cm="1">
        <f t="array" aca="1" ref="Y46" ca="1">INDEX(sys_DataFlat_LU_Grid,$C$2,W46)</f>
        <v>18</v>
      </c>
      <c r="Z46" cm="1">
        <f t="array" aca="1" ref="Z46" ca="1">IF(X46=0,-1,INDEX(auto_DataFlat_Classification,Y46,$C$3))</f>
        <v>4</v>
      </c>
      <c r="AB46" t="e">
        <f t="shared" ca="1" si="11"/>
        <v>#N/A</v>
      </c>
      <c r="AC46" t="e">
        <f t="shared" ca="1" si="12"/>
        <v>#N/A</v>
      </c>
      <c r="AD46" t="e">
        <f t="shared" ca="1" si="13"/>
        <v>#N/A</v>
      </c>
      <c r="AE46" t="e">
        <f t="shared" ca="1" si="14"/>
        <v>#N/A</v>
      </c>
      <c r="AF46" t="e">
        <f t="shared" ca="1" si="22"/>
        <v>#N/A</v>
      </c>
      <c r="AG46" t="e">
        <f t="shared" ca="1" si="23"/>
        <v>#N/A</v>
      </c>
      <c r="AH46" t="e">
        <f t="shared" ca="1" si="24"/>
        <v>#N/A</v>
      </c>
      <c r="AI46" t="e">
        <f t="shared" ca="1" si="25"/>
        <v>#N/A</v>
      </c>
      <c r="AK46" cm="1">
        <f t="array" aca="1" ref="AK46" ca="1">IFERROR(INDEX(OFFSET($W$16,0,0,$C$10,1),AB46),0)</f>
        <v>0</v>
      </c>
      <c r="AL46" cm="1">
        <f t="array" aca="1" ref="AL46" ca="1">IFERROR(INDEX(OFFSET($W$16,0,0,$C$10,1),AC46),0)</f>
        <v>0</v>
      </c>
      <c r="AM46" cm="1">
        <f t="array" aca="1" ref="AM46" ca="1">IFERROR(INDEX(OFFSET($W$16,0,0,$C$10,1),AD46),0)</f>
        <v>0</v>
      </c>
      <c r="AN46" cm="1">
        <f t="array" aca="1" ref="AN46" ca="1">IFERROR(INDEX(OFFSET($W$16,0,0,$C$10,1),AE46),0)</f>
        <v>0</v>
      </c>
      <c r="AO46" cm="1">
        <f t="array" aca="1" ref="AO46" ca="1">IFERROR(INDEX(OFFSET($W$16,0,0,$C$10,1),AF46),0)</f>
        <v>0</v>
      </c>
      <c r="AP46" cm="1">
        <f t="array" aca="1" ref="AP46" ca="1">IFERROR(INDEX(OFFSET($W$16,0,0,$C$10,1),AG46),0)</f>
        <v>0</v>
      </c>
      <c r="AQ46" cm="1">
        <f t="array" aca="1" ref="AQ46" ca="1">IFERROR(INDEX(OFFSET($W$16,0,0,$C$10,1),AH46),0)</f>
        <v>0</v>
      </c>
      <c r="AR46" cm="1">
        <f t="array" aca="1" ref="AR46" ca="1">IFERROR(INDEX(OFFSET($W$16,0,0,$C$10,1),AI46),0)</f>
        <v>0</v>
      </c>
      <c r="AT46" cm="1">
        <f t="array" aca="1" ref="AT46" ca="1">IF(AK46=0,0,INDEX(sys_DataFlat_LU_Grid,$C$2,AK46))</f>
        <v>0</v>
      </c>
      <c r="AU46" cm="1">
        <f t="array" aca="1" ref="AU46" ca="1">IF(AL46=0,0,INDEX(sys_DataFlat_LU_Grid,$C$2,AL46))</f>
        <v>0</v>
      </c>
      <c r="AV46" cm="1">
        <f t="array" aca="1" ref="AV46" ca="1">IF(AM46=0,0,INDEX(sys_DataFlat_LU_Grid,$C$2,AM46))</f>
        <v>0</v>
      </c>
      <c r="AW46" cm="1">
        <f t="array" aca="1" ref="AW46" ca="1">IF(AN46=0,0,INDEX(sys_DataFlat_LU_Grid,$C$2,AN46))</f>
        <v>0</v>
      </c>
      <c r="AX46" cm="1">
        <f t="array" aca="1" ref="AX46" ca="1">IF(AO46=0,0,INDEX(sys_DataFlat_LU_Grid,$C$2,AO46))</f>
        <v>0</v>
      </c>
      <c r="AY46" cm="1">
        <f t="array" aca="1" ref="AY46" ca="1">IF(AP46=0,0,INDEX(sys_DataFlat_LU_Grid,$C$2,AP46))</f>
        <v>0</v>
      </c>
      <c r="AZ46" cm="1">
        <f t="array" aca="1" ref="AZ46" ca="1">IF(AQ46=0,0,INDEX(sys_DataFlat_LU_Grid,$C$2,AQ46))</f>
        <v>0</v>
      </c>
      <c r="BA46" cm="1">
        <f t="array" aca="1" ref="BA46" ca="1">IF(AR46=0,0,INDEX(sys_DataFlat_LU_Grid,$C$2,AR46))</f>
        <v>0</v>
      </c>
      <c r="BC46" t="str" cm="1">
        <f t="array" ref="BC46">INDEX(auto_ddCountry,B46)</f>
        <v>Moscow</v>
      </c>
      <c r="BD46" cm="1">
        <f t="array" ref="BD46">INDEX(auto_Country_Status,B46)</f>
        <v>1</v>
      </c>
      <c r="BE46">
        <f t="shared" ca="1" si="50"/>
        <v>4</v>
      </c>
      <c r="BF46" t="str">
        <f t="shared" ca="1" si="26"/>
        <v/>
      </c>
      <c r="BG46" t="str">
        <f t="shared" ca="1" si="26"/>
        <v/>
      </c>
      <c r="BH46" t="str">
        <f t="shared" ca="1" si="26"/>
        <v/>
      </c>
      <c r="BI46" t="str">
        <f t="shared" ca="1" si="26"/>
        <v/>
      </c>
      <c r="BJ46" t="str">
        <f t="shared" ca="1" si="26"/>
        <v xml:space="preserve">Moscow • </v>
      </c>
      <c r="BK46" t="str">
        <f t="shared" ca="1" si="26"/>
        <v/>
      </c>
      <c r="BL46" t="str">
        <f t="shared" ca="1" si="26"/>
        <v/>
      </c>
      <c r="BM46" t="str">
        <f t="shared" ca="1" si="26"/>
        <v/>
      </c>
      <c r="BO46" t="s">
        <v>6649</v>
      </c>
      <c r="BP46" t="str">
        <f t="shared" si="20"/>
        <v>BG46,</v>
      </c>
    </row>
    <row r="47" spans="1:68" x14ac:dyDescent="0.4">
      <c r="A47">
        <v>32</v>
      </c>
      <c r="B47">
        <v>32</v>
      </c>
      <c r="C47" cm="1">
        <f t="array" ref="C47">INDEX(auto_Country_Status,B47)</f>
        <v>1</v>
      </c>
      <c r="E47" cm="1">
        <f t="array" aca="1" ref="E47" ca="1">INDEX(sys_DataFlat_LU_Grid,$C$2,$B47)</f>
        <v>32</v>
      </c>
      <c r="F47" cm="1">
        <f t="array" aca="1" ref="F47" ca="1">INDEX(auto_DataFlat_Score,E47,$C$3)</f>
        <v>53.2</v>
      </c>
      <c r="G47" cm="1">
        <f t="array" aca="1" ref="G47" ca="1">INDEX(auto_DataFlat_DataValue,E47,$C$3)</f>
        <v>0</v>
      </c>
      <c r="H47">
        <f t="shared" ca="1" si="43"/>
        <v>53.2</v>
      </c>
      <c r="I47" cm="1">
        <f t="array" aca="1" ref="I47" ca="1">INDEX(auto_DataFlat_Classification,E47,$C$3)</f>
        <v>3</v>
      </c>
      <c r="J47">
        <f t="shared" ca="1" si="44"/>
        <v>53.2</v>
      </c>
      <c r="K47">
        <f t="shared" ca="1" si="45"/>
        <v>53.2</v>
      </c>
      <c r="L47">
        <f t="shared" ca="1" si="46"/>
        <v>53.2</v>
      </c>
      <c r="M47">
        <f ca="1">RANK(L47,OFFSET(L$16,0,0,$C$10,1))+COUNTIF(L$16:L47,L47)-1</f>
        <v>34</v>
      </c>
      <c r="O47">
        <f t="shared" ca="1" si="47"/>
        <v>49</v>
      </c>
      <c r="P47" cm="1">
        <f t="array" aca="1" ref="P47" ca="1">INDEX(auto_Country_Status,O47)</f>
        <v>1</v>
      </c>
      <c r="Q47" cm="1">
        <f t="array" aca="1" ref="Q47" ca="1">INDEX(OFFSET($E$16,0,0,$C$10,1),O47)</f>
        <v>49</v>
      </c>
      <c r="R47" t="str" cm="1">
        <f t="array" aca="1" ref="R47" ca="1">INDEX(auto_Country_ISO,O47)</f>
        <v>NHN</v>
      </c>
      <c r="S47" cm="1">
        <f t="array" aca="1" ref="S47" ca="1">IF(AND($C$12=TRUE,$P47=0),0,INDEX(auto_DataFlat_Classification,Q47,$C$3))</f>
        <v>3</v>
      </c>
      <c r="U47">
        <f t="shared" ca="1" si="48"/>
        <v>53.2</v>
      </c>
      <c r="V47">
        <f ca="1">RANK(U47,OFFSET(U$16,0,0,$C$10,1))+COUNTIF(U$16:U47,U47)-1</f>
        <v>34</v>
      </c>
      <c r="W47">
        <f t="shared" ca="1" si="49"/>
        <v>49</v>
      </c>
      <c r="X47" cm="1">
        <f t="array" aca="1" ref="X47" ca="1">INDEX(auto_Country_Status,W47)</f>
        <v>1</v>
      </c>
      <c r="Y47" cm="1">
        <f t="array" aca="1" ref="Y47" ca="1">INDEX(sys_DataFlat_LU_Grid,$C$2,W47)</f>
        <v>49</v>
      </c>
      <c r="Z47" cm="1">
        <f t="array" aca="1" ref="Z47" ca="1">IF(X47=0,-1,INDEX(auto_DataFlat_Classification,Y47,$C$3))</f>
        <v>3</v>
      </c>
      <c r="AB47" t="e">
        <f t="shared" ca="1" si="11"/>
        <v>#N/A</v>
      </c>
      <c r="AC47" t="e">
        <f t="shared" ca="1" si="12"/>
        <v>#N/A</v>
      </c>
      <c r="AD47" t="e">
        <f t="shared" ca="1" si="13"/>
        <v>#N/A</v>
      </c>
      <c r="AE47" t="e">
        <f t="shared" ca="1" si="14"/>
        <v>#N/A</v>
      </c>
      <c r="AF47" t="e">
        <f t="shared" ca="1" si="22"/>
        <v>#N/A</v>
      </c>
      <c r="AG47" t="e">
        <f t="shared" ca="1" si="23"/>
        <v>#N/A</v>
      </c>
      <c r="AH47" t="e">
        <f t="shared" ca="1" si="24"/>
        <v>#N/A</v>
      </c>
      <c r="AI47" t="e">
        <f t="shared" ca="1" si="25"/>
        <v>#N/A</v>
      </c>
      <c r="AK47" cm="1">
        <f t="array" aca="1" ref="AK47" ca="1">IFERROR(INDEX(OFFSET($W$16,0,0,$C$10,1),AB47),0)</f>
        <v>0</v>
      </c>
      <c r="AL47" cm="1">
        <f t="array" aca="1" ref="AL47" ca="1">IFERROR(INDEX(OFFSET($W$16,0,0,$C$10,1),AC47),0)</f>
        <v>0</v>
      </c>
      <c r="AM47" cm="1">
        <f t="array" aca="1" ref="AM47" ca="1">IFERROR(INDEX(OFFSET($W$16,0,0,$C$10,1),AD47),0)</f>
        <v>0</v>
      </c>
      <c r="AN47" cm="1">
        <f t="array" aca="1" ref="AN47" ca="1">IFERROR(INDEX(OFFSET($W$16,0,0,$C$10,1),AE47),0)</f>
        <v>0</v>
      </c>
      <c r="AO47" cm="1">
        <f t="array" aca="1" ref="AO47" ca="1">IFERROR(INDEX(OFFSET($W$16,0,0,$C$10,1),AF47),0)</f>
        <v>0</v>
      </c>
      <c r="AP47" cm="1">
        <f t="array" aca="1" ref="AP47" ca="1">IFERROR(INDEX(OFFSET($W$16,0,0,$C$10,1),AG47),0)</f>
        <v>0</v>
      </c>
      <c r="AQ47" cm="1">
        <f t="array" aca="1" ref="AQ47" ca="1">IFERROR(INDEX(OFFSET($W$16,0,0,$C$10,1),AH47),0)</f>
        <v>0</v>
      </c>
      <c r="AR47" cm="1">
        <f t="array" aca="1" ref="AR47" ca="1">IFERROR(INDEX(OFFSET($W$16,0,0,$C$10,1),AI47),0)</f>
        <v>0</v>
      </c>
      <c r="AT47" cm="1">
        <f t="array" aca="1" ref="AT47" ca="1">IF(AK47=0,0,INDEX(sys_DataFlat_LU_Grid,$C$2,AK47))</f>
        <v>0</v>
      </c>
      <c r="AU47" cm="1">
        <f t="array" aca="1" ref="AU47" ca="1">IF(AL47=0,0,INDEX(sys_DataFlat_LU_Grid,$C$2,AL47))</f>
        <v>0</v>
      </c>
      <c r="AV47" cm="1">
        <f t="array" aca="1" ref="AV47" ca="1">IF(AM47=0,0,INDEX(sys_DataFlat_LU_Grid,$C$2,AM47))</f>
        <v>0</v>
      </c>
      <c r="AW47" cm="1">
        <f t="array" aca="1" ref="AW47" ca="1">IF(AN47=0,0,INDEX(sys_DataFlat_LU_Grid,$C$2,AN47))</f>
        <v>0</v>
      </c>
      <c r="AX47" cm="1">
        <f t="array" aca="1" ref="AX47" ca="1">IF(AO47=0,0,INDEX(sys_DataFlat_LU_Grid,$C$2,AO47))</f>
        <v>0</v>
      </c>
      <c r="AY47" cm="1">
        <f t="array" aca="1" ref="AY47" ca="1">IF(AP47=0,0,INDEX(sys_DataFlat_LU_Grid,$C$2,AP47))</f>
        <v>0</v>
      </c>
      <c r="AZ47" cm="1">
        <f t="array" aca="1" ref="AZ47" ca="1">IF(AQ47=0,0,INDEX(sys_DataFlat_LU_Grid,$C$2,AQ47))</f>
        <v>0</v>
      </c>
      <c r="BA47" cm="1">
        <f t="array" aca="1" ref="BA47" ca="1">IF(AR47=0,0,INDEX(sys_DataFlat_LU_Grid,$C$2,AR47))</f>
        <v>0</v>
      </c>
      <c r="BC47" t="str" cm="1">
        <f t="array" ref="BC47">INDEX(auto_ddCountry,B47)</f>
        <v>Mumbai</v>
      </c>
      <c r="BD47" cm="1">
        <f t="array" ref="BD47">INDEX(auto_Country_Status,B47)</f>
        <v>1</v>
      </c>
      <c r="BE47">
        <f t="shared" ca="1" si="50"/>
        <v>3</v>
      </c>
      <c r="BF47" t="str">
        <f t="shared" ca="1" si="26"/>
        <v/>
      </c>
      <c r="BG47" t="str">
        <f t="shared" ca="1" si="26"/>
        <v/>
      </c>
      <c r="BH47" t="str">
        <f t="shared" ca="1" si="26"/>
        <v/>
      </c>
      <c r="BI47" t="str">
        <f t="shared" ca="1" si="26"/>
        <v xml:space="preserve">Mumbai • </v>
      </c>
      <c r="BJ47" t="str">
        <f t="shared" ca="1" si="26"/>
        <v/>
      </c>
      <c r="BK47" t="str">
        <f t="shared" ca="1" si="26"/>
        <v/>
      </c>
      <c r="BL47" t="str">
        <f t="shared" ca="1" si="26"/>
        <v/>
      </c>
      <c r="BM47" t="str">
        <f t="shared" ca="1" si="26"/>
        <v/>
      </c>
      <c r="BO47" t="s">
        <v>6650</v>
      </c>
      <c r="BP47" t="str">
        <f t="shared" si="20"/>
        <v>BG47,</v>
      </c>
    </row>
    <row r="48" spans="1:68" x14ac:dyDescent="0.4">
      <c r="A48">
        <v>33</v>
      </c>
      <c r="B48">
        <v>33</v>
      </c>
      <c r="C48" cm="1">
        <f t="array" ref="C48">INDEX(auto_Country_Status,B48)</f>
        <v>1</v>
      </c>
      <c r="E48" cm="1">
        <f t="array" aca="1" ref="E48" ca="1">INDEX(sys_DataFlat_LU_Grid,$C$2,$B48)</f>
        <v>33</v>
      </c>
      <c r="F48" cm="1">
        <f t="array" aca="1" ref="F48" ca="1">INDEX(auto_DataFlat_Score,E48,$C$3)</f>
        <v>52.2</v>
      </c>
      <c r="G48" cm="1">
        <f t="array" aca="1" ref="G48" ca="1">INDEX(auto_DataFlat_DataValue,E48,$C$3)</f>
        <v>0</v>
      </c>
      <c r="H48">
        <f t="shared" ca="1" si="43"/>
        <v>52.2</v>
      </c>
      <c r="I48" cm="1">
        <f t="array" aca="1" ref="I48" ca="1">INDEX(auto_DataFlat_Classification,E48,$C$3)</f>
        <v>3</v>
      </c>
      <c r="J48">
        <f t="shared" ca="1" si="44"/>
        <v>52.2</v>
      </c>
      <c r="K48">
        <f t="shared" ca="1" si="45"/>
        <v>52.2</v>
      </c>
      <c r="L48">
        <f t="shared" ca="1" si="46"/>
        <v>52.2</v>
      </c>
      <c r="M48">
        <f ca="1">RANK(L48,OFFSET(L$16,0,0,$C$10,1))+COUNTIF(L$16:L48,L48)-1</f>
        <v>36</v>
      </c>
      <c r="O48">
        <f t="shared" ca="1" si="47"/>
        <v>12</v>
      </c>
      <c r="P48" cm="1">
        <f t="array" aca="1" ref="P48" ca="1">INDEX(auto_Country_Status,O48)</f>
        <v>1</v>
      </c>
      <c r="Q48" cm="1">
        <f t="array" aca="1" ref="Q48" ca="1">INDEX(OFFSET($E$16,0,0,$C$10,1),O48)</f>
        <v>12</v>
      </c>
      <c r="R48" t="str" cm="1">
        <f t="array" aca="1" ref="R48" ca="1">INDEX(auto_Country_ISO,O48)</f>
        <v>DLI</v>
      </c>
      <c r="S48" cm="1">
        <f t="array" aca="1" ref="S48" ca="1">IF(AND($C$12=TRUE,$P48=0),0,INDEX(auto_DataFlat_Classification,Q48,$C$3))</f>
        <v>3</v>
      </c>
      <c r="U48">
        <f t="shared" ca="1" si="48"/>
        <v>52.2</v>
      </c>
      <c r="V48">
        <f ca="1">RANK(U48,OFFSET(U$16,0,0,$C$10,1))+COUNTIF(U$16:U48,U48)-1</f>
        <v>36</v>
      </c>
      <c r="W48">
        <f t="shared" ca="1" si="49"/>
        <v>12</v>
      </c>
      <c r="X48" cm="1">
        <f t="array" aca="1" ref="X48" ca="1">INDEX(auto_Country_Status,W48)</f>
        <v>1</v>
      </c>
      <c r="Y48" cm="1">
        <f t="array" aca="1" ref="Y48" ca="1">INDEX(sys_DataFlat_LU_Grid,$C$2,W48)</f>
        <v>12</v>
      </c>
      <c r="Z48" cm="1">
        <f t="array" aca="1" ref="Z48" ca="1">IF(X48=0,-1,INDEX(auto_DataFlat_Classification,Y48,$C$3))</f>
        <v>3</v>
      </c>
      <c r="AB48" t="e">
        <f t="shared" ca="1" si="11"/>
        <v>#N/A</v>
      </c>
      <c r="AC48" t="e">
        <f t="shared" ca="1" si="12"/>
        <v>#N/A</v>
      </c>
      <c r="AD48" t="e">
        <f t="shared" ca="1" si="13"/>
        <v>#N/A</v>
      </c>
      <c r="AE48" t="e">
        <f t="shared" ca="1" si="14"/>
        <v>#N/A</v>
      </c>
      <c r="AF48" t="e">
        <f t="shared" ca="1" si="22"/>
        <v>#N/A</v>
      </c>
      <c r="AG48" t="e">
        <f t="shared" ca="1" si="23"/>
        <v>#N/A</v>
      </c>
      <c r="AH48" t="e">
        <f t="shared" ca="1" si="24"/>
        <v>#N/A</v>
      </c>
      <c r="AI48" t="e">
        <f t="shared" ca="1" si="25"/>
        <v>#N/A</v>
      </c>
      <c r="AK48" cm="1">
        <f t="array" aca="1" ref="AK48" ca="1">IFERROR(INDEX(OFFSET($W$16,0,0,$C$10,1),AB48),0)</f>
        <v>0</v>
      </c>
      <c r="AL48" cm="1">
        <f t="array" aca="1" ref="AL48" ca="1">IFERROR(INDEX(OFFSET($W$16,0,0,$C$10,1),AC48),0)</f>
        <v>0</v>
      </c>
      <c r="AM48" cm="1">
        <f t="array" aca="1" ref="AM48" ca="1">IFERROR(INDEX(OFFSET($W$16,0,0,$C$10,1),AD48),0)</f>
        <v>0</v>
      </c>
      <c r="AN48" cm="1">
        <f t="array" aca="1" ref="AN48" ca="1">IFERROR(INDEX(OFFSET($W$16,0,0,$C$10,1),AE48),0)</f>
        <v>0</v>
      </c>
      <c r="AO48" cm="1">
        <f t="array" aca="1" ref="AO48" ca="1">IFERROR(INDEX(OFFSET($W$16,0,0,$C$10,1),AF48),0)</f>
        <v>0</v>
      </c>
      <c r="AP48" cm="1">
        <f t="array" aca="1" ref="AP48" ca="1">IFERROR(INDEX(OFFSET($W$16,0,0,$C$10,1),AG48),0)</f>
        <v>0</v>
      </c>
      <c r="AQ48" cm="1">
        <f t="array" aca="1" ref="AQ48" ca="1">IFERROR(INDEX(OFFSET($W$16,0,0,$C$10,1),AH48),0)</f>
        <v>0</v>
      </c>
      <c r="AR48" cm="1">
        <f t="array" aca="1" ref="AR48" ca="1">IFERROR(INDEX(OFFSET($W$16,0,0,$C$10,1),AI48),0)</f>
        <v>0</v>
      </c>
      <c r="AT48" cm="1">
        <f t="array" aca="1" ref="AT48" ca="1">IF(AK48=0,0,INDEX(sys_DataFlat_LU_Grid,$C$2,AK48))</f>
        <v>0</v>
      </c>
      <c r="AU48" cm="1">
        <f t="array" aca="1" ref="AU48" ca="1">IF(AL48=0,0,INDEX(sys_DataFlat_LU_Grid,$C$2,AL48))</f>
        <v>0</v>
      </c>
      <c r="AV48" cm="1">
        <f t="array" aca="1" ref="AV48" ca="1">IF(AM48=0,0,INDEX(sys_DataFlat_LU_Grid,$C$2,AM48))</f>
        <v>0</v>
      </c>
      <c r="AW48" cm="1">
        <f t="array" aca="1" ref="AW48" ca="1">IF(AN48=0,0,INDEX(sys_DataFlat_LU_Grid,$C$2,AN48))</f>
        <v>0</v>
      </c>
      <c r="AX48" cm="1">
        <f t="array" aca="1" ref="AX48" ca="1">IF(AO48=0,0,INDEX(sys_DataFlat_LU_Grid,$C$2,AO48))</f>
        <v>0</v>
      </c>
      <c r="AY48" cm="1">
        <f t="array" aca="1" ref="AY48" ca="1">IF(AP48=0,0,INDEX(sys_DataFlat_LU_Grid,$C$2,AP48))</f>
        <v>0</v>
      </c>
      <c r="AZ48" cm="1">
        <f t="array" aca="1" ref="AZ48" ca="1">IF(AQ48=0,0,INDEX(sys_DataFlat_LU_Grid,$C$2,AQ48))</f>
        <v>0</v>
      </c>
      <c r="BA48" cm="1">
        <f t="array" aca="1" ref="BA48" ca="1">IF(AR48=0,0,INDEX(sys_DataFlat_LU_Grid,$C$2,AR48))</f>
        <v>0</v>
      </c>
      <c r="BC48" t="str" cm="1">
        <f t="array" ref="BC48">INDEX(auto_ddCountry,B48)</f>
        <v>Nairobi</v>
      </c>
      <c r="BD48" cm="1">
        <f t="array" ref="BD48">INDEX(auto_Country_Status,B48)</f>
        <v>1</v>
      </c>
      <c r="BE48">
        <f t="shared" ca="1" si="50"/>
        <v>3</v>
      </c>
      <c r="BF48" t="str">
        <f t="shared" ca="1" si="26"/>
        <v/>
      </c>
      <c r="BG48" t="str">
        <f t="shared" ca="1" si="26"/>
        <v/>
      </c>
      <c r="BH48" t="str">
        <f t="shared" ca="1" si="26"/>
        <v/>
      </c>
      <c r="BI48" t="str">
        <f t="shared" ca="1" si="26"/>
        <v xml:space="preserve">Nairobi • </v>
      </c>
      <c r="BJ48" t="str">
        <f t="shared" ca="1" si="26"/>
        <v/>
      </c>
      <c r="BK48" t="str">
        <f t="shared" ca="1" si="26"/>
        <v/>
      </c>
      <c r="BL48" t="str">
        <f t="shared" ca="1" si="26"/>
        <v/>
      </c>
      <c r="BM48" t="str">
        <f t="shared" ca="1" si="26"/>
        <v/>
      </c>
      <c r="BO48" t="s">
        <v>6651</v>
      </c>
      <c r="BP48" t="str">
        <f t="shared" si="20"/>
        <v>BG48,</v>
      </c>
    </row>
    <row r="49" spans="1:68" x14ac:dyDescent="0.4">
      <c r="A49">
        <v>34</v>
      </c>
      <c r="B49">
        <v>34</v>
      </c>
      <c r="C49" cm="1">
        <f t="array" ref="C49">INDEX(auto_Country_Status,B49)</f>
        <v>1</v>
      </c>
      <c r="E49" cm="1">
        <f t="array" aca="1" ref="E49" ca="1">INDEX(sys_DataFlat_LU_Grid,$C$2,$B49)</f>
        <v>34</v>
      </c>
      <c r="F49" cm="1">
        <f t="array" aca="1" ref="F49" ca="1">INDEX(auto_DataFlat_Score,E49,$C$3)</f>
        <v>79.099999999999994</v>
      </c>
      <c r="G49" cm="1">
        <f t="array" aca="1" ref="G49" ca="1">INDEX(auto_DataFlat_DataValue,E49,$C$3)</f>
        <v>0</v>
      </c>
      <c r="H49">
        <f t="shared" ca="1" si="43"/>
        <v>79.099999999999994</v>
      </c>
      <c r="I49" cm="1">
        <f t="array" aca="1" ref="I49" ca="1">INDEX(auto_DataFlat_Classification,E49,$C$3)</f>
        <v>4</v>
      </c>
      <c r="J49">
        <f t="shared" ca="1" si="44"/>
        <v>79.099999999999994</v>
      </c>
      <c r="K49">
        <f t="shared" ca="1" si="45"/>
        <v>79.099999999999994</v>
      </c>
      <c r="L49">
        <f t="shared" ca="1" si="46"/>
        <v>79.099999999999994</v>
      </c>
      <c r="M49">
        <f ca="1">RANK(L49,OFFSET(L$16,0,0,$C$10,1))+COUNTIF(L$16:L49,L49)-1</f>
        <v>4</v>
      </c>
      <c r="O49">
        <f t="shared" ca="1" si="47"/>
        <v>32</v>
      </c>
      <c r="P49" cm="1">
        <f t="array" aca="1" ref="P49" ca="1">INDEX(auto_Country_Status,O49)</f>
        <v>1</v>
      </c>
      <c r="Q49" cm="1">
        <f t="array" aca="1" ref="Q49" ca="1">INDEX(OFFSET($E$16,0,0,$C$10,1),O49)</f>
        <v>32</v>
      </c>
      <c r="R49" t="str" cm="1">
        <f t="array" aca="1" ref="R49" ca="1">INDEX(auto_Country_ISO,O49)</f>
        <v>BOM</v>
      </c>
      <c r="S49" cm="1">
        <f t="array" aca="1" ref="S49" ca="1">IF(AND($C$12=TRUE,$P49=0),0,INDEX(auto_DataFlat_Classification,Q49,$C$3))</f>
        <v>3</v>
      </c>
      <c r="U49">
        <f t="shared" ca="1" si="48"/>
        <v>79.099999999999994</v>
      </c>
      <c r="V49">
        <f ca="1">RANK(U49,OFFSET(U$16,0,0,$C$10,1))+COUNTIF(U$16:U49,U49)-1</f>
        <v>4</v>
      </c>
      <c r="W49">
        <f t="shared" ca="1" si="49"/>
        <v>32</v>
      </c>
      <c r="X49" cm="1">
        <f t="array" aca="1" ref="X49" ca="1">INDEX(auto_Country_Status,W49)</f>
        <v>1</v>
      </c>
      <c r="Y49" cm="1">
        <f t="array" aca="1" ref="Y49" ca="1">INDEX(sys_DataFlat_LU_Grid,$C$2,W49)</f>
        <v>32</v>
      </c>
      <c r="Z49" cm="1">
        <f t="array" aca="1" ref="Z49" ca="1">IF(X49=0,-1,INDEX(auto_DataFlat_Classification,Y49,$C$3))</f>
        <v>3</v>
      </c>
      <c r="AB49" t="e">
        <f t="shared" ca="1" si="11"/>
        <v>#N/A</v>
      </c>
      <c r="AC49" t="e">
        <f t="shared" ca="1" si="12"/>
        <v>#N/A</v>
      </c>
      <c r="AD49" t="e">
        <f t="shared" ca="1" si="13"/>
        <v>#N/A</v>
      </c>
      <c r="AE49" t="e">
        <f t="shared" ca="1" si="14"/>
        <v>#N/A</v>
      </c>
      <c r="AF49" t="e">
        <f t="shared" ca="1" si="22"/>
        <v>#N/A</v>
      </c>
      <c r="AG49" t="e">
        <f t="shared" ca="1" si="23"/>
        <v>#N/A</v>
      </c>
      <c r="AH49" t="e">
        <f t="shared" ca="1" si="24"/>
        <v>#N/A</v>
      </c>
      <c r="AI49" t="e">
        <f t="shared" ca="1" si="25"/>
        <v>#N/A</v>
      </c>
      <c r="AK49" cm="1">
        <f t="array" aca="1" ref="AK49" ca="1">IFERROR(INDEX(OFFSET($W$16,0,0,$C$10,1),AB49),0)</f>
        <v>0</v>
      </c>
      <c r="AL49" cm="1">
        <f t="array" aca="1" ref="AL49" ca="1">IFERROR(INDEX(OFFSET($W$16,0,0,$C$10,1),AC49),0)</f>
        <v>0</v>
      </c>
      <c r="AM49" cm="1">
        <f t="array" aca="1" ref="AM49" ca="1">IFERROR(INDEX(OFFSET($W$16,0,0,$C$10,1),AD49),0)</f>
        <v>0</v>
      </c>
      <c r="AN49" cm="1">
        <f t="array" aca="1" ref="AN49" ca="1">IFERROR(INDEX(OFFSET($W$16,0,0,$C$10,1),AE49),0)</f>
        <v>0</v>
      </c>
      <c r="AO49" cm="1">
        <f t="array" aca="1" ref="AO49" ca="1">IFERROR(INDEX(OFFSET($W$16,0,0,$C$10,1),AF49),0)</f>
        <v>0</v>
      </c>
      <c r="AP49" cm="1">
        <f t="array" aca="1" ref="AP49" ca="1">IFERROR(INDEX(OFFSET($W$16,0,0,$C$10,1),AG49),0)</f>
        <v>0</v>
      </c>
      <c r="AQ49" cm="1">
        <f t="array" aca="1" ref="AQ49" ca="1">IFERROR(INDEX(OFFSET($W$16,0,0,$C$10,1),AH49),0)</f>
        <v>0</v>
      </c>
      <c r="AR49" cm="1">
        <f t="array" aca="1" ref="AR49" ca="1">IFERROR(INDEX(OFFSET($W$16,0,0,$C$10,1),AI49),0)</f>
        <v>0</v>
      </c>
      <c r="AT49" cm="1">
        <f t="array" aca="1" ref="AT49" ca="1">IF(AK49=0,0,INDEX(sys_DataFlat_LU_Grid,$C$2,AK49))</f>
        <v>0</v>
      </c>
      <c r="AU49" cm="1">
        <f t="array" aca="1" ref="AU49" ca="1">IF(AL49=0,0,INDEX(sys_DataFlat_LU_Grid,$C$2,AL49))</f>
        <v>0</v>
      </c>
      <c r="AV49" cm="1">
        <f t="array" aca="1" ref="AV49" ca="1">IF(AM49=0,0,INDEX(sys_DataFlat_LU_Grid,$C$2,AM49))</f>
        <v>0</v>
      </c>
      <c r="AW49" cm="1">
        <f t="array" aca="1" ref="AW49" ca="1">IF(AN49=0,0,INDEX(sys_DataFlat_LU_Grid,$C$2,AN49))</f>
        <v>0</v>
      </c>
      <c r="AX49" cm="1">
        <f t="array" aca="1" ref="AX49" ca="1">IF(AO49=0,0,INDEX(sys_DataFlat_LU_Grid,$C$2,AO49))</f>
        <v>0</v>
      </c>
      <c r="AY49" cm="1">
        <f t="array" aca="1" ref="AY49" ca="1">IF(AP49=0,0,INDEX(sys_DataFlat_LU_Grid,$C$2,AP49))</f>
        <v>0</v>
      </c>
      <c r="AZ49" cm="1">
        <f t="array" aca="1" ref="AZ49" ca="1">IF(AQ49=0,0,INDEX(sys_DataFlat_LU_Grid,$C$2,AQ49))</f>
        <v>0</v>
      </c>
      <c r="BA49" cm="1">
        <f t="array" aca="1" ref="BA49" ca="1">IF(AR49=0,0,INDEX(sys_DataFlat_LU_Grid,$C$2,AR49))</f>
        <v>0</v>
      </c>
      <c r="BC49" t="str" cm="1">
        <f t="array" ref="BC49">INDEX(auto_ddCountry,B49)</f>
        <v>New York City</v>
      </c>
      <c r="BD49" cm="1">
        <f t="array" ref="BD49">INDEX(auto_Country_Status,B49)</f>
        <v>1</v>
      </c>
      <c r="BE49">
        <f t="shared" ca="1" si="50"/>
        <v>4</v>
      </c>
      <c r="BF49" t="str">
        <f t="shared" ca="1" si="26"/>
        <v/>
      </c>
      <c r="BG49" t="str">
        <f t="shared" ca="1" si="26"/>
        <v/>
      </c>
      <c r="BH49" t="str">
        <f t="shared" ca="1" si="26"/>
        <v/>
      </c>
      <c r="BI49" t="str">
        <f t="shared" ca="1" si="26"/>
        <v/>
      </c>
      <c r="BJ49" t="str">
        <f t="shared" ca="1" si="26"/>
        <v xml:space="preserve">New York City • </v>
      </c>
      <c r="BK49" t="str">
        <f t="shared" ref="BK49" ca="1" si="51">IF($BE49=BK$14,CONCATENATE($BC49,$C$11),"")</f>
        <v/>
      </c>
      <c r="BL49" t="str">
        <f t="shared" ca="1" si="26"/>
        <v/>
      </c>
      <c r="BM49" t="str">
        <f t="shared" ca="1" si="26"/>
        <v/>
      </c>
      <c r="BO49" t="s">
        <v>6652</v>
      </c>
      <c r="BP49" t="str">
        <f t="shared" si="20"/>
        <v>BG49,</v>
      </c>
    </row>
    <row r="50" spans="1:68" x14ac:dyDescent="0.4">
      <c r="A50">
        <v>35</v>
      </c>
      <c r="B50">
        <v>35</v>
      </c>
      <c r="C50" cm="1">
        <f t="array" ref="C50">INDEX(auto_Country_Status,B50)</f>
        <v>1</v>
      </c>
      <c r="E50" cm="1">
        <f t="array" aca="1" ref="E50" ca="1">INDEX(sys_DataFlat_LU_Grid,$C$2,$B50)</f>
        <v>35</v>
      </c>
      <c r="F50" cm="1">
        <f t="array" aca="1" ref="F50" ca="1">INDEX(auto_DataFlat_Score,E50,$C$3)</f>
        <v>74.2</v>
      </c>
      <c r="G50" cm="1">
        <f t="array" aca="1" ref="G50" ca="1">INDEX(auto_DataFlat_DataValue,E50,$C$3)</f>
        <v>0</v>
      </c>
      <c r="H50">
        <f t="shared" ca="1" si="43"/>
        <v>74.2</v>
      </c>
      <c r="I50" cm="1">
        <f t="array" aca="1" ref="I50" ca="1">INDEX(auto_DataFlat_Classification,E50,$C$3)</f>
        <v>4</v>
      </c>
      <c r="J50">
        <f t="shared" ca="1" si="44"/>
        <v>74.2</v>
      </c>
      <c r="K50">
        <f t="shared" ca="1" si="45"/>
        <v>74.2</v>
      </c>
      <c r="L50">
        <f t="shared" ca="1" si="46"/>
        <v>74.2</v>
      </c>
      <c r="M50">
        <f ca="1">RANK(L50,OFFSET(L$16,0,0,$C$10,1))+COUNTIF(L$16:L50,L50)-1</f>
        <v>13</v>
      </c>
      <c r="O50">
        <f t="shared" ca="1" si="47"/>
        <v>20</v>
      </c>
      <c r="P50" cm="1">
        <f t="array" aca="1" ref="P50" ca="1">INDEX(auto_Country_Status,O50)</f>
        <v>1</v>
      </c>
      <c r="Q50" cm="1">
        <f t="array" aca="1" ref="Q50" ca="1">INDEX(OFFSET($E$16,0,0,$C$10,1),O50)</f>
        <v>20</v>
      </c>
      <c r="R50" t="str" cm="1">
        <f t="array" aca="1" ref="R50" ca="1">INDEX(auto_Country_ISO,O50)</f>
        <v>JNB</v>
      </c>
      <c r="S50" cm="1">
        <f t="array" aca="1" ref="S50" ca="1">IF(AND($C$12=TRUE,$P50=0),0,INDEX(auto_DataFlat_Classification,Q50,$C$3))</f>
        <v>3</v>
      </c>
      <c r="U50">
        <f t="shared" ca="1" si="48"/>
        <v>74.2</v>
      </c>
      <c r="V50">
        <f ca="1">RANK(U50,OFFSET(U$16,0,0,$C$10,1))+COUNTIF(U$16:U50,U50)-1</f>
        <v>13</v>
      </c>
      <c r="W50">
        <f t="shared" ca="1" si="49"/>
        <v>20</v>
      </c>
      <c r="X50" cm="1">
        <f t="array" aca="1" ref="X50" ca="1">INDEX(auto_Country_Status,W50)</f>
        <v>1</v>
      </c>
      <c r="Y50" cm="1">
        <f t="array" aca="1" ref="Y50" ca="1">INDEX(sys_DataFlat_LU_Grid,$C$2,W50)</f>
        <v>20</v>
      </c>
      <c r="Z50" cm="1">
        <f t="array" aca="1" ref="Z50" ca="1">IF(X50=0,-1,INDEX(auto_DataFlat_Classification,Y50,$C$3))</f>
        <v>3</v>
      </c>
      <c r="AB50" t="e">
        <f t="shared" ca="1" si="11"/>
        <v>#N/A</v>
      </c>
      <c r="AC50" t="e">
        <f t="shared" ca="1" si="12"/>
        <v>#N/A</v>
      </c>
      <c r="AD50" t="e">
        <f t="shared" ca="1" si="13"/>
        <v>#N/A</v>
      </c>
      <c r="AE50" t="e">
        <f t="shared" ca="1" si="14"/>
        <v>#N/A</v>
      </c>
      <c r="AF50" t="e">
        <f t="shared" ca="1" si="22"/>
        <v>#N/A</v>
      </c>
      <c r="AG50" t="e">
        <f t="shared" ca="1" si="23"/>
        <v>#N/A</v>
      </c>
      <c r="AH50" t="e">
        <f t="shared" ca="1" si="24"/>
        <v>#N/A</v>
      </c>
      <c r="AI50" t="e">
        <f t="shared" ca="1" si="25"/>
        <v>#N/A</v>
      </c>
      <c r="AK50" cm="1">
        <f t="array" aca="1" ref="AK50" ca="1">IFERROR(INDEX(OFFSET($W$16,0,0,$C$10,1),AB50),0)</f>
        <v>0</v>
      </c>
      <c r="AL50" cm="1">
        <f t="array" aca="1" ref="AL50" ca="1">IFERROR(INDEX(OFFSET($W$16,0,0,$C$10,1),AC50),0)</f>
        <v>0</v>
      </c>
      <c r="AM50" cm="1">
        <f t="array" aca="1" ref="AM50" ca="1">IFERROR(INDEX(OFFSET($W$16,0,0,$C$10,1),AD50),0)</f>
        <v>0</v>
      </c>
      <c r="AN50" cm="1">
        <f t="array" aca="1" ref="AN50" ca="1">IFERROR(INDEX(OFFSET($W$16,0,0,$C$10,1),AE50),0)</f>
        <v>0</v>
      </c>
      <c r="AO50" cm="1">
        <f t="array" aca="1" ref="AO50" ca="1">IFERROR(INDEX(OFFSET($W$16,0,0,$C$10,1),AF50),0)</f>
        <v>0</v>
      </c>
      <c r="AP50" cm="1">
        <f t="array" aca="1" ref="AP50" ca="1">IFERROR(INDEX(OFFSET($W$16,0,0,$C$10,1),AG50),0)</f>
        <v>0</v>
      </c>
      <c r="AQ50" cm="1">
        <f t="array" aca="1" ref="AQ50" ca="1">IFERROR(INDEX(OFFSET($W$16,0,0,$C$10,1),AH50),0)</f>
        <v>0</v>
      </c>
      <c r="AR50" cm="1">
        <f t="array" aca="1" ref="AR50" ca="1">IFERROR(INDEX(OFFSET($W$16,0,0,$C$10,1),AI50),0)</f>
        <v>0</v>
      </c>
      <c r="AT50" cm="1">
        <f t="array" aca="1" ref="AT50" ca="1">IF(AK50=0,0,INDEX(sys_DataFlat_LU_Grid,$C$2,AK50))</f>
        <v>0</v>
      </c>
      <c r="AU50" cm="1">
        <f t="array" aca="1" ref="AU50" ca="1">IF(AL50=0,0,INDEX(sys_DataFlat_LU_Grid,$C$2,AL50))</f>
        <v>0</v>
      </c>
      <c r="AV50" cm="1">
        <f t="array" aca="1" ref="AV50" ca="1">IF(AM50=0,0,INDEX(sys_DataFlat_LU_Grid,$C$2,AM50))</f>
        <v>0</v>
      </c>
      <c r="AW50" cm="1">
        <f t="array" aca="1" ref="AW50" ca="1">IF(AN50=0,0,INDEX(sys_DataFlat_LU_Grid,$C$2,AN50))</f>
        <v>0</v>
      </c>
      <c r="AX50" cm="1">
        <f t="array" aca="1" ref="AX50" ca="1">IF(AO50=0,0,INDEX(sys_DataFlat_LU_Grid,$C$2,AO50))</f>
        <v>0</v>
      </c>
      <c r="AY50" cm="1">
        <f t="array" aca="1" ref="AY50" ca="1">IF(AP50=0,0,INDEX(sys_DataFlat_LU_Grid,$C$2,AP50))</f>
        <v>0</v>
      </c>
      <c r="AZ50" cm="1">
        <f t="array" aca="1" ref="AZ50" ca="1">IF(AQ50=0,0,INDEX(sys_DataFlat_LU_Grid,$C$2,AQ50))</f>
        <v>0</v>
      </c>
      <c r="BA50" cm="1">
        <f t="array" aca="1" ref="BA50" ca="1">IF(AR50=0,0,INDEX(sys_DataFlat_LU_Grid,$C$2,AR50))</f>
        <v>0</v>
      </c>
      <c r="BC50" t="str" cm="1">
        <f t="array" ref="BC50">INDEX(auto_ddCountry,B50)</f>
        <v>Osaka</v>
      </c>
      <c r="BD50" cm="1">
        <f t="array" ref="BD50">INDEX(auto_Country_Status,B50)</f>
        <v>1</v>
      </c>
      <c r="BE50">
        <f t="shared" ca="1" si="50"/>
        <v>4</v>
      </c>
      <c r="BF50" t="str">
        <f t="shared" ref="BF50:BK65" ca="1" si="52">IF($BE50=BF$14,CONCATENATE($BC50,$C$11),"")</f>
        <v/>
      </c>
      <c r="BG50" t="str">
        <f t="shared" ca="1" si="52"/>
        <v/>
      </c>
      <c r="BH50" t="str">
        <f t="shared" ca="1" si="52"/>
        <v/>
      </c>
      <c r="BI50" t="str">
        <f t="shared" ca="1" si="52"/>
        <v/>
      </c>
      <c r="BJ50" t="str">
        <f t="shared" ca="1" si="52"/>
        <v xml:space="preserve">Osaka • </v>
      </c>
      <c r="BK50" t="str">
        <f t="shared" ca="1" si="52"/>
        <v/>
      </c>
      <c r="BL50" t="str">
        <f t="shared" ca="1" si="26"/>
        <v/>
      </c>
      <c r="BM50" t="str">
        <f t="shared" ca="1" si="26"/>
        <v/>
      </c>
      <c r="BO50" t="s">
        <v>6653</v>
      </c>
      <c r="BP50" t="str">
        <f t="shared" si="20"/>
        <v>BG50,</v>
      </c>
    </row>
    <row r="51" spans="1:68" x14ac:dyDescent="0.4">
      <c r="A51">
        <v>36</v>
      </c>
      <c r="B51">
        <v>36</v>
      </c>
      <c r="C51" cm="1">
        <f t="array" ref="C51">INDEX(auto_Country_Status,B51)</f>
        <v>1</v>
      </c>
      <c r="E51" cm="1">
        <f t="array" aca="1" ref="E51" ca="1">INDEX(sys_DataFlat_LU_Grid,$C$2,$B51)</f>
        <v>36</v>
      </c>
      <c r="F51" cm="1">
        <f t="array" aca="1" ref="F51" ca="1">INDEX(auto_DataFlat_Score,E51,$C$3)</f>
        <v>64.5</v>
      </c>
      <c r="G51" cm="1">
        <f t="array" aca="1" ref="G51" ca="1">INDEX(auto_DataFlat_DataValue,E51,$C$3)</f>
        <v>0</v>
      </c>
      <c r="H51">
        <f t="shared" ca="1" si="43"/>
        <v>64.5</v>
      </c>
      <c r="I51" cm="1">
        <f t="array" aca="1" ref="I51" ca="1">INDEX(auto_DataFlat_Classification,E51,$C$3)</f>
        <v>4</v>
      </c>
      <c r="J51">
        <f t="shared" ca="1" si="44"/>
        <v>64.5</v>
      </c>
      <c r="K51">
        <f t="shared" ca="1" si="45"/>
        <v>64.5</v>
      </c>
      <c r="L51">
        <f t="shared" ca="1" si="46"/>
        <v>64.5</v>
      </c>
      <c r="M51">
        <f ca="1">RANK(L51,OFFSET(L$16,0,0,$C$10,1))+COUNTIF(L$16:L51,L51)-1</f>
        <v>26</v>
      </c>
      <c r="O51">
        <f t="shared" ca="1" si="47"/>
        <v>33</v>
      </c>
      <c r="P51" cm="1">
        <f t="array" aca="1" ref="P51" ca="1">INDEX(auto_Country_Status,O51)</f>
        <v>1</v>
      </c>
      <c r="Q51" cm="1">
        <f t="array" aca="1" ref="Q51" ca="1">INDEX(OFFSET($E$16,0,0,$C$10,1),O51)</f>
        <v>33</v>
      </c>
      <c r="R51" t="str" cm="1">
        <f t="array" aca="1" ref="R51" ca="1">INDEX(auto_Country_ISO,O51)</f>
        <v>NBO</v>
      </c>
      <c r="S51" cm="1">
        <f t="array" aca="1" ref="S51" ca="1">IF(AND($C$12=TRUE,$P51=0),0,INDEX(auto_DataFlat_Classification,Q51,$C$3))</f>
        <v>3</v>
      </c>
      <c r="U51">
        <f t="shared" ca="1" si="48"/>
        <v>64.5</v>
      </c>
      <c r="V51">
        <f ca="1">RANK(U51,OFFSET(U$16,0,0,$C$10,1))+COUNTIF(U$16:U51,U51)-1</f>
        <v>26</v>
      </c>
      <c r="W51">
        <f t="shared" ca="1" si="49"/>
        <v>33</v>
      </c>
      <c r="X51" cm="1">
        <f t="array" aca="1" ref="X51" ca="1">INDEX(auto_Country_Status,W51)</f>
        <v>1</v>
      </c>
      <c r="Y51" cm="1">
        <f t="array" aca="1" ref="Y51" ca="1">INDEX(sys_DataFlat_LU_Grid,$C$2,W51)</f>
        <v>33</v>
      </c>
      <c r="Z51" cm="1">
        <f t="array" aca="1" ref="Z51" ca="1">IF(X51=0,-1,INDEX(auto_DataFlat_Classification,Y51,$C$3))</f>
        <v>3</v>
      </c>
      <c r="AB51" t="e">
        <f t="shared" ca="1" si="11"/>
        <v>#N/A</v>
      </c>
      <c r="AC51" t="e">
        <f t="shared" ca="1" si="12"/>
        <v>#N/A</v>
      </c>
      <c r="AD51" t="e">
        <f t="shared" ca="1" si="13"/>
        <v>#N/A</v>
      </c>
      <c r="AE51" t="e">
        <f t="shared" ca="1" si="14"/>
        <v>#N/A</v>
      </c>
      <c r="AF51" t="e">
        <f t="shared" ca="1" si="22"/>
        <v>#N/A</v>
      </c>
      <c r="AG51" t="e">
        <f t="shared" ca="1" si="23"/>
        <v>#N/A</v>
      </c>
      <c r="AH51" t="e">
        <f t="shared" ca="1" si="24"/>
        <v>#N/A</v>
      </c>
      <c r="AI51" t="e">
        <f t="shared" ca="1" si="25"/>
        <v>#N/A</v>
      </c>
      <c r="AK51" cm="1">
        <f t="array" aca="1" ref="AK51" ca="1">IFERROR(INDEX(OFFSET($W$16,0,0,$C$10,1),AB51),0)</f>
        <v>0</v>
      </c>
      <c r="AL51" cm="1">
        <f t="array" aca="1" ref="AL51" ca="1">IFERROR(INDEX(OFFSET($W$16,0,0,$C$10,1),AC51),0)</f>
        <v>0</v>
      </c>
      <c r="AM51" cm="1">
        <f t="array" aca="1" ref="AM51" ca="1">IFERROR(INDEX(OFFSET($W$16,0,0,$C$10,1),AD51),0)</f>
        <v>0</v>
      </c>
      <c r="AN51" cm="1">
        <f t="array" aca="1" ref="AN51" ca="1">IFERROR(INDEX(OFFSET($W$16,0,0,$C$10,1),AE51),0)</f>
        <v>0</v>
      </c>
      <c r="AO51" cm="1">
        <f t="array" aca="1" ref="AO51" ca="1">IFERROR(INDEX(OFFSET($W$16,0,0,$C$10,1),AF51),0)</f>
        <v>0</v>
      </c>
      <c r="AP51" cm="1">
        <f t="array" aca="1" ref="AP51" ca="1">IFERROR(INDEX(OFFSET($W$16,0,0,$C$10,1),AG51),0)</f>
        <v>0</v>
      </c>
      <c r="AQ51" cm="1">
        <f t="array" aca="1" ref="AQ51" ca="1">IFERROR(INDEX(OFFSET($W$16,0,0,$C$10,1),AH51),0)</f>
        <v>0</v>
      </c>
      <c r="AR51" cm="1">
        <f t="array" aca="1" ref="AR51" ca="1">IFERROR(INDEX(OFFSET($W$16,0,0,$C$10,1),AI51),0)</f>
        <v>0</v>
      </c>
      <c r="AT51" cm="1">
        <f t="array" aca="1" ref="AT51" ca="1">IF(AK51=0,0,INDEX(sys_DataFlat_LU_Grid,$C$2,AK51))</f>
        <v>0</v>
      </c>
      <c r="AU51" cm="1">
        <f t="array" aca="1" ref="AU51" ca="1">IF(AL51=0,0,INDEX(sys_DataFlat_LU_Grid,$C$2,AL51))</f>
        <v>0</v>
      </c>
      <c r="AV51" cm="1">
        <f t="array" aca="1" ref="AV51" ca="1">IF(AM51=0,0,INDEX(sys_DataFlat_LU_Grid,$C$2,AM51))</f>
        <v>0</v>
      </c>
      <c r="AW51" cm="1">
        <f t="array" aca="1" ref="AW51" ca="1">IF(AN51=0,0,INDEX(sys_DataFlat_LU_Grid,$C$2,AN51))</f>
        <v>0</v>
      </c>
      <c r="AX51" cm="1">
        <f t="array" aca="1" ref="AX51" ca="1">IF(AO51=0,0,INDEX(sys_DataFlat_LU_Grid,$C$2,AO51))</f>
        <v>0</v>
      </c>
      <c r="AY51" cm="1">
        <f t="array" aca="1" ref="AY51" ca="1">IF(AP51=0,0,INDEX(sys_DataFlat_LU_Grid,$C$2,AP51))</f>
        <v>0</v>
      </c>
      <c r="AZ51" cm="1">
        <f t="array" aca="1" ref="AZ51" ca="1">IF(AQ51=0,0,INDEX(sys_DataFlat_LU_Grid,$C$2,AQ51))</f>
        <v>0</v>
      </c>
      <c r="BA51" cm="1">
        <f t="array" aca="1" ref="BA51" ca="1">IF(AR51=0,0,INDEX(sys_DataFlat_LU_Grid,$C$2,AR51))</f>
        <v>0</v>
      </c>
      <c r="BC51" t="str" cm="1">
        <f t="array" ref="BC51">INDEX(auto_ddCountry,B51)</f>
        <v>Paris</v>
      </c>
      <c r="BD51" cm="1">
        <f t="array" ref="BD51">INDEX(auto_Country_Status,B51)</f>
        <v>1</v>
      </c>
      <c r="BE51">
        <f t="shared" ca="1" si="50"/>
        <v>4</v>
      </c>
      <c r="BF51" t="str">
        <f t="shared" ca="1" si="52"/>
        <v/>
      </c>
      <c r="BG51" t="str">
        <f t="shared" ca="1" si="52"/>
        <v/>
      </c>
      <c r="BH51" t="str">
        <f t="shared" ca="1" si="52"/>
        <v/>
      </c>
      <c r="BI51" t="str">
        <f t="shared" ca="1" si="52"/>
        <v/>
      </c>
      <c r="BJ51" t="str">
        <f t="shared" ca="1" si="52"/>
        <v xml:space="preserve">Paris • </v>
      </c>
      <c r="BK51" t="str">
        <f t="shared" ca="1" si="52"/>
        <v/>
      </c>
      <c r="BL51" t="str">
        <f t="shared" ca="1" si="26"/>
        <v/>
      </c>
      <c r="BM51" t="str">
        <f t="shared" ca="1" si="26"/>
        <v/>
      </c>
      <c r="BO51" t="s">
        <v>6654</v>
      </c>
      <c r="BP51" t="str">
        <f t="shared" si="20"/>
        <v>BG51,</v>
      </c>
    </row>
    <row r="52" spans="1:68" x14ac:dyDescent="0.4">
      <c r="A52">
        <v>37</v>
      </c>
      <c r="B52">
        <v>37</v>
      </c>
      <c r="C52" cm="1">
        <f t="array" ref="C52">INDEX(auto_Country_Status,B52)</f>
        <v>1</v>
      </c>
      <c r="E52" cm="1">
        <f t="array" aca="1" ref="E52" ca="1">INDEX(sys_DataFlat_LU_Grid,$C$2,$B52)</f>
        <v>37</v>
      </c>
      <c r="F52" cm="1">
        <f t="array" aca="1" ref="F52" ca="1">INDEX(auto_DataFlat_Score,E52,$C$3)</f>
        <v>51.4</v>
      </c>
      <c r="G52" cm="1">
        <f t="array" aca="1" ref="G52" ca="1">INDEX(auto_DataFlat_DataValue,E52,$C$3)</f>
        <v>0</v>
      </c>
      <c r="H52">
        <f t="shared" ca="1" si="43"/>
        <v>51.4</v>
      </c>
      <c r="I52" cm="1">
        <f t="array" aca="1" ref="I52" ca="1">INDEX(auto_DataFlat_Classification,E52,$C$3)</f>
        <v>3</v>
      </c>
      <c r="J52">
        <f t="shared" ca="1" si="44"/>
        <v>51.4</v>
      </c>
      <c r="K52">
        <f t="shared" ca="1" si="45"/>
        <v>51.4</v>
      </c>
      <c r="L52">
        <f t="shared" ca="1" si="46"/>
        <v>51.4</v>
      </c>
      <c r="M52">
        <f ca="1">RANK(L52,OFFSET(L$16,0,0,$C$10,1))+COUNTIF(L$16:L52,L52)-1</f>
        <v>39</v>
      </c>
      <c r="O52">
        <f t="shared" ca="1" si="47"/>
        <v>23</v>
      </c>
      <c r="P52" cm="1">
        <f t="array" aca="1" ref="P52" ca="1">INDEX(auto_Country_Status,O52)</f>
        <v>1</v>
      </c>
      <c r="Q52" cm="1">
        <f t="array" aca="1" ref="Q52" ca="1">INDEX(OFFSET($E$16,0,0,$C$10,1),O52)</f>
        <v>23</v>
      </c>
      <c r="R52" t="str" cm="1">
        <f t="array" aca="1" ref="R52" ca="1">INDEX(auto_Country_ISO,O52)</f>
        <v>CCU</v>
      </c>
      <c r="S52" cm="1">
        <f t="array" aca="1" ref="S52" ca="1">IF(AND($C$12=TRUE,$P52=0),0,INDEX(auto_DataFlat_Classification,Q52,$C$3))</f>
        <v>3</v>
      </c>
      <c r="U52">
        <f t="shared" ca="1" si="48"/>
        <v>51.4</v>
      </c>
      <c r="V52">
        <f ca="1">RANK(U52,OFFSET(U$16,0,0,$C$10,1))+COUNTIF(U$16:U52,U52)-1</f>
        <v>39</v>
      </c>
      <c r="W52">
        <f t="shared" ca="1" si="49"/>
        <v>23</v>
      </c>
      <c r="X52" cm="1">
        <f t="array" aca="1" ref="X52" ca="1">INDEX(auto_Country_Status,W52)</f>
        <v>1</v>
      </c>
      <c r="Y52" cm="1">
        <f t="array" aca="1" ref="Y52" ca="1">INDEX(sys_DataFlat_LU_Grid,$C$2,W52)</f>
        <v>23</v>
      </c>
      <c r="Z52" cm="1">
        <f t="array" aca="1" ref="Z52" ca="1">IF(X52=0,-1,INDEX(auto_DataFlat_Classification,Y52,$C$3))</f>
        <v>3</v>
      </c>
      <c r="AB52" t="e">
        <f t="shared" ca="1" si="11"/>
        <v>#N/A</v>
      </c>
      <c r="AC52" t="e">
        <f t="shared" ca="1" si="12"/>
        <v>#N/A</v>
      </c>
      <c r="AD52" t="e">
        <f t="shared" ca="1" si="13"/>
        <v>#N/A</v>
      </c>
      <c r="AE52" t="e">
        <f t="shared" ca="1" si="14"/>
        <v>#N/A</v>
      </c>
      <c r="AF52" t="e">
        <f t="shared" ca="1" si="22"/>
        <v>#N/A</v>
      </c>
      <c r="AG52" t="e">
        <f t="shared" ca="1" si="23"/>
        <v>#N/A</v>
      </c>
      <c r="AH52" t="e">
        <f t="shared" ca="1" si="24"/>
        <v>#N/A</v>
      </c>
      <c r="AI52" t="e">
        <f t="shared" ca="1" si="25"/>
        <v>#N/A</v>
      </c>
      <c r="AK52" cm="1">
        <f t="array" aca="1" ref="AK52" ca="1">IFERROR(INDEX(OFFSET($W$16,0,0,$C$10,1),AB52),0)</f>
        <v>0</v>
      </c>
      <c r="AL52" cm="1">
        <f t="array" aca="1" ref="AL52" ca="1">IFERROR(INDEX(OFFSET($W$16,0,0,$C$10,1),AC52),0)</f>
        <v>0</v>
      </c>
      <c r="AM52" cm="1">
        <f t="array" aca="1" ref="AM52" ca="1">IFERROR(INDEX(OFFSET($W$16,0,0,$C$10,1),AD52),0)</f>
        <v>0</v>
      </c>
      <c r="AN52" cm="1">
        <f t="array" aca="1" ref="AN52" ca="1">IFERROR(INDEX(OFFSET($W$16,0,0,$C$10,1),AE52),0)</f>
        <v>0</v>
      </c>
      <c r="AO52" cm="1">
        <f t="array" aca="1" ref="AO52" ca="1">IFERROR(INDEX(OFFSET($W$16,0,0,$C$10,1),AF52),0)</f>
        <v>0</v>
      </c>
      <c r="AP52" cm="1">
        <f t="array" aca="1" ref="AP52" ca="1">IFERROR(INDEX(OFFSET($W$16,0,0,$C$10,1),AG52),0)</f>
        <v>0</v>
      </c>
      <c r="AQ52" cm="1">
        <f t="array" aca="1" ref="AQ52" ca="1">IFERROR(INDEX(OFFSET($W$16,0,0,$C$10,1),AH52),0)</f>
        <v>0</v>
      </c>
      <c r="AR52" cm="1">
        <f t="array" aca="1" ref="AR52" ca="1">IFERROR(INDEX(OFFSET($W$16,0,0,$C$10,1),AI52),0)</f>
        <v>0</v>
      </c>
      <c r="AT52" cm="1">
        <f t="array" aca="1" ref="AT52" ca="1">IF(AK52=0,0,INDEX(sys_DataFlat_LU_Grid,$C$2,AK52))</f>
        <v>0</v>
      </c>
      <c r="AU52" cm="1">
        <f t="array" aca="1" ref="AU52" ca="1">IF(AL52=0,0,INDEX(sys_DataFlat_LU_Grid,$C$2,AL52))</f>
        <v>0</v>
      </c>
      <c r="AV52" cm="1">
        <f t="array" aca="1" ref="AV52" ca="1">IF(AM52=0,0,INDEX(sys_DataFlat_LU_Grid,$C$2,AM52))</f>
        <v>0</v>
      </c>
      <c r="AW52" cm="1">
        <f t="array" aca="1" ref="AW52" ca="1">IF(AN52=0,0,INDEX(sys_DataFlat_LU_Grid,$C$2,AN52))</f>
        <v>0</v>
      </c>
      <c r="AX52" cm="1">
        <f t="array" aca="1" ref="AX52" ca="1">IF(AO52=0,0,INDEX(sys_DataFlat_LU_Grid,$C$2,AO52))</f>
        <v>0</v>
      </c>
      <c r="AY52" cm="1">
        <f t="array" aca="1" ref="AY52" ca="1">IF(AP52=0,0,INDEX(sys_DataFlat_LU_Grid,$C$2,AP52))</f>
        <v>0</v>
      </c>
      <c r="AZ52" cm="1">
        <f t="array" aca="1" ref="AZ52" ca="1">IF(AQ52=0,0,INDEX(sys_DataFlat_LU_Grid,$C$2,AQ52))</f>
        <v>0</v>
      </c>
      <c r="BA52" cm="1">
        <f t="array" aca="1" ref="BA52" ca="1">IF(AR52=0,0,INDEX(sys_DataFlat_LU_Grid,$C$2,AR52))</f>
        <v>0</v>
      </c>
      <c r="BC52" t="str" cm="1">
        <f t="array" ref="BC52">INDEX(auto_ddCountry,B52)</f>
        <v>Phnom Penh</v>
      </c>
      <c r="BD52" cm="1">
        <f t="array" ref="BD52">INDEX(auto_Country_Status,B52)</f>
        <v>1</v>
      </c>
      <c r="BE52">
        <f t="shared" ca="1" si="50"/>
        <v>3</v>
      </c>
      <c r="BF52" t="str">
        <f t="shared" ca="1" si="52"/>
        <v/>
      </c>
      <c r="BG52" t="str">
        <f t="shared" ca="1" si="52"/>
        <v/>
      </c>
      <c r="BH52" t="str">
        <f t="shared" ca="1" si="52"/>
        <v/>
      </c>
      <c r="BI52" t="str">
        <f t="shared" ca="1" si="52"/>
        <v xml:space="preserve">Phnom Penh • </v>
      </c>
      <c r="BJ52" t="str">
        <f t="shared" ca="1" si="52"/>
        <v/>
      </c>
      <c r="BK52" t="str">
        <f t="shared" ca="1" si="52"/>
        <v/>
      </c>
      <c r="BL52" t="str">
        <f t="shared" ca="1" si="26"/>
        <v/>
      </c>
      <c r="BM52" t="str">
        <f t="shared" ca="1" si="26"/>
        <v/>
      </c>
      <c r="BO52" t="s">
        <v>6655</v>
      </c>
      <c r="BP52" t="str">
        <f t="shared" si="20"/>
        <v>BG52,</v>
      </c>
    </row>
    <row r="53" spans="1:68" x14ac:dyDescent="0.4">
      <c r="A53">
        <v>38</v>
      </c>
      <c r="B53">
        <v>38</v>
      </c>
      <c r="C53" cm="1">
        <f t="array" ref="C53">INDEX(auto_Country_Status,B53)</f>
        <v>1</v>
      </c>
      <c r="E53" cm="1">
        <f t="array" aca="1" ref="E53" ca="1">INDEX(sys_DataFlat_LU_Grid,$C$2,$B53)</f>
        <v>38</v>
      </c>
      <c r="F53" cm="1">
        <f t="array" aca="1" ref="F53" ca="1">INDEX(auto_DataFlat_Score,E53,$C$3)</f>
        <v>44.2</v>
      </c>
      <c r="G53" cm="1">
        <f t="array" aca="1" ref="G53" ca="1">INDEX(auto_DataFlat_DataValue,E53,$C$3)</f>
        <v>0</v>
      </c>
      <c r="H53">
        <f t="shared" ca="1" si="43"/>
        <v>44.2</v>
      </c>
      <c r="I53" cm="1">
        <f t="array" aca="1" ref="I53" ca="1">INDEX(auto_DataFlat_Classification,E53,$C$3)</f>
        <v>3</v>
      </c>
      <c r="J53">
        <f t="shared" ca="1" si="44"/>
        <v>44.2</v>
      </c>
      <c r="K53">
        <f t="shared" ca="1" si="45"/>
        <v>44.2</v>
      </c>
      <c r="L53">
        <f t="shared" ca="1" si="46"/>
        <v>44.2</v>
      </c>
      <c r="M53">
        <f ca="1">RANK(L53,OFFSET(L$16,0,0,$C$10,1))+COUNTIF(L$16:L53,L53)-1</f>
        <v>44</v>
      </c>
      <c r="O53">
        <f t="shared" ca="1" si="47"/>
        <v>25</v>
      </c>
      <c r="P53" cm="1">
        <f t="array" aca="1" ref="P53" ca="1">INDEX(auto_Country_Status,O53)</f>
        <v>1</v>
      </c>
      <c r="Q53" cm="1">
        <f t="array" aca="1" ref="Q53" ca="1">INDEX(OFFSET($E$16,0,0,$C$10,1),O53)</f>
        <v>25</v>
      </c>
      <c r="R53" t="str" cm="1">
        <f t="array" aca="1" ref="R53" ca="1">INDEX(auto_Country_ISO,O53)</f>
        <v>ZGM</v>
      </c>
      <c r="S53" cm="1">
        <f t="array" aca="1" ref="S53" ca="1">IF(AND($C$12=TRUE,$P53=0),0,INDEX(auto_DataFlat_Classification,Q53,$C$3))</f>
        <v>3</v>
      </c>
      <c r="U53">
        <f t="shared" ca="1" si="48"/>
        <v>44.2</v>
      </c>
      <c r="V53">
        <f ca="1">RANK(U53,OFFSET(U$16,0,0,$C$10,1))+COUNTIF(U$16:U53,U53)-1</f>
        <v>44</v>
      </c>
      <c r="W53">
        <f t="shared" ca="1" si="49"/>
        <v>25</v>
      </c>
      <c r="X53" cm="1">
        <f t="array" aca="1" ref="X53" ca="1">INDEX(auto_Country_Status,W53)</f>
        <v>1</v>
      </c>
      <c r="Y53" cm="1">
        <f t="array" aca="1" ref="Y53" ca="1">INDEX(sys_DataFlat_LU_Grid,$C$2,W53)</f>
        <v>25</v>
      </c>
      <c r="Z53" cm="1">
        <f t="array" aca="1" ref="Z53" ca="1">IF(X53=0,-1,INDEX(auto_DataFlat_Classification,Y53,$C$3))</f>
        <v>3</v>
      </c>
      <c r="AB53" t="e">
        <f t="shared" ca="1" si="11"/>
        <v>#N/A</v>
      </c>
      <c r="AC53" t="e">
        <f t="shared" ca="1" si="12"/>
        <v>#N/A</v>
      </c>
      <c r="AD53" t="e">
        <f t="shared" ca="1" si="13"/>
        <v>#N/A</v>
      </c>
      <c r="AE53" t="e">
        <f t="shared" ca="1" si="14"/>
        <v>#N/A</v>
      </c>
      <c r="AF53" t="e">
        <f t="shared" ca="1" si="22"/>
        <v>#N/A</v>
      </c>
      <c r="AG53" t="e">
        <f t="shared" ca="1" si="23"/>
        <v>#N/A</v>
      </c>
      <c r="AH53" t="e">
        <f t="shared" ca="1" si="24"/>
        <v>#N/A</v>
      </c>
      <c r="AI53" t="e">
        <f t="shared" ca="1" si="25"/>
        <v>#N/A</v>
      </c>
      <c r="AK53" cm="1">
        <f t="array" aca="1" ref="AK53" ca="1">IFERROR(INDEX(OFFSET($W$16,0,0,$C$10,1),AB53),0)</f>
        <v>0</v>
      </c>
      <c r="AL53" cm="1">
        <f t="array" aca="1" ref="AL53" ca="1">IFERROR(INDEX(OFFSET($W$16,0,0,$C$10,1),AC53),0)</f>
        <v>0</v>
      </c>
      <c r="AM53" cm="1">
        <f t="array" aca="1" ref="AM53" ca="1">IFERROR(INDEX(OFFSET($W$16,0,0,$C$10,1),AD53),0)</f>
        <v>0</v>
      </c>
      <c r="AN53" cm="1">
        <f t="array" aca="1" ref="AN53" ca="1">IFERROR(INDEX(OFFSET($W$16,0,0,$C$10,1),AE53),0)</f>
        <v>0</v>
      </c>
      <c r="AO53" cm="1">
        <f t="array" aca="1" ref="AO53" ca="1">IFERROR(INDEX(OFFSET($W$16,0,0,$C$10,1),AF53),0)</f>
        <v>0</v>
      </c>
      <c r="AP53" cm="1">
        <f t="array" aca="1" ref="AP53" ca="1">IFERROR(INDEX(OFFSET($W$16,0,0,$C$10,1),AG53),0)</f>
        <v>0</v>
      </c>
      <c r="AQ53" cm="1">
        <f t="array" aca="1" ref="AQ53" ca="1">IFERROR(INDEX(OFFSET($W$16,0,0,$C$10,1),AH53),0)</f>
        <v>0</v>
      </c>
      <c r="AR53" cm="1">
        <f t="array" aca="1" ref="AR53" ca="1">IFERROR(INDEX(OFFSET($W$16,0,0,$C$10,1),AI53),0)</f>
        <v>0</v>
      </c>
      <c r="AT53" cm="1">
        <f t="array" aca="1" ref="AT53" ca="1">IF(AK53=0,0,INDEX(sys_DataFlat_LU_Grid,$C$2,AK53))</f>
        <v>0</v>
      </c>
      <c r="AU53" cm="1">
        <f t="array" aca="1" ref="AU53" ca="1">IF(AL53=0,0,INDEX(sys_DataFlat_LU_Grid,$C$2,AL53))</f>
        <v>0</v>
      </c>
      <c r="AV53" cm="1">
        <f t="array" aca="1" ref="AV53" ca="1">IF(AM53=0,0,INDEX(sys_DataFlat_LU_Grid,$C$2,AM53))</f>
        <v>0</v>
      </c>
      <c r="AW53" cm="1">
        <f t="array" aca="1" ref="AW53" ca="1">IF(AN53=0,0,INDEX(sys_DataFlat_LU_Grid,$C$2,AN53))</f>
        <v>0</v>
      </c>
      <c r="AX53" cm="1">
        <f t="array" aca="1" ref="AX53" ca="1">IF(AO53=0,0,INDEX(sys_DataFlat_LU_Grid,$C$2,AO53))</f>
        <v>0</v>
      </c>
      <c r="AY53" cm="1">
        <f t="array" aca="1" ref="AY53" ca="1">IF(AP53=0,0,INDEX(sys_DataFlat_LU_Grid,$C$2,AP53))</f>
        <v>0</v>
      </c>
      <c r="AZ53" cm="1">
        <f t="array" aca="1" ref="AZ53" ca="1">IF(AQ53=0,0,INDEX(sys_DataFlat_LU_Grid,$C$2,AQ53))</f>
        <v>0</v>
      </c>
      <c r="BA53" cm="1">
        <f t="array" aca="1" ref="BA53" ca="1">IF(AR53=0,0,INDEX(sys_DataFlat_LU_Grid,$C$2,AR53))</f>
        <v>0</v>
      </c>
      <c r="BC53" t="str" cm="1">
        <f t="array" ref="BC53">INDEX(auto_ddCountry,B53)</f>
        <v>Riyadh</v>
      </c>
      <c r="BD53" cm="1">
        <f t="array" ref="BD53">INDEX(auto_Country_Status,B53)</f>
        <v>1</v>
      </c>
      <c r="BE53">
        <f t="shared" ca="1" si="50"/>
        <v>3</v>
      </c>
      <c r="BF53" t="str">
        <f t="shared" ca="1" si="52"/>
        <v/>
      </c>
      <c r="BG53" t="str">
        <f t="shared" ca="1" si="52"/>
        <v/>
      </c>
      <c r="BH53" t="str">
        <f t="shared" ca="1" si="52"/>
        <v/>
      </c>
      <c r="BI53" t="str">
        <f t="shared" ca="1" si="52"/>
        <v xml:space="preserve">Riyadh • </v>
      </c>
      <c r="BJ53" t="str">
        <f t="shared" ca="1" si="52"/>
        <v/>
      </c>
      <c r="BK53" t="str">
        <f t="shared" ca="1" si="52"/>
        <v/>
      </c>
      <c r="BL53" t="str">
        <f t="shared" ca="1" si="26"/>
        <v/>
      </c>
      <c r="BM53" t="str">
        <f t="shared" ca="1" si="26"/>
        <v/>
      </c>
      <c r="BO53" t="s">
        <v>6656</v>
      </c>
      <c r="BP53" t="str">
        <f t="shared" si="20"/>
        <v>BG53,</v>
      </c>
    </row>
    <row r="54" spans="1:68" x14ac:dyDescent="0.4">
      <c r="A54">
        <v>39</v>
      </c>
      <c r="B54">
        <v>39</v>
      </c>
      <c r="C54" cm="1">
        <f t="array" ref="C54">INDEX(auto_Country_Status,B54)</f>
        <v>1</v>
      </c>
      <c r="E54" cm="1">
        <f t="array" aca="1" ref="E54" ca="1">INDEX(sys_DataFlat_LU_Grid,$C$2,$B54)</f>
        <v>39</v>
      </c>
      <c r="F54" cm="1">
        <f t="array" aca="1" ref="F54" ca="1">INDEX(auto_DataFlat_Score,E54,$C$3)</f>
        <v>63.5</v>
      </c>
      <c r="G54" cm="1">
        <f t="array" aca="1" ref="G54" ca="1">INDEX(auto_DataFlat_DataValue,E54,$C$3)</f>
        <v>0</v>
      </c>
      <c r="H54">
        <f t="shared" ca="1" si="43"/>
        <v>63.5</v>
      </c>
      <c r="I54" cm="1">
        <f t="array" aca="1" ref="I54" ca="1">INDEX(auto_DataFlat_Classification,E54,$C$3)</f>
        <v>4</v>
      </c>
      <c r="J54">
        <f t="shared" ca="1" si="44"/>
        <v>63.5</v>
      </c>
      <c r="K54">
        <f t="shared" ca="1" si="45"/>
        <v>63.5</v>
      </c>
      <c r="L54">
        <f t="shared" ca="1" si="46"/>
        <v>63.5</v>
      </c>
      <c r="M54">
        <f ca="1">RANK(L54,OFFSET(L$16,0,0,$C$10,1))+COUNTIF(L$16:L54,L54)-1</f>
        <v>27</v>
      </c>
      <c r="O54">
        <f t="shared" ca="1" si="47"/>
        <v>37</v>
      </c>
      <c r="P54" cm="1">
        <f t="array" aca="1" ref="P54" ca="1">INDEX(auto_Country_Status,O54)</f>
        <v>1</v>
      </c>
      <c r="Q54" cm="1">
        <f t="array" aca="1" ref="Q54" ca="1">INDEX(OFFSET($E$16,0,0,$C$10,1),O54)</f>
        <v>37</v>
      </c>
      <c r="R54" t="str" cm="1">
        <f t="array" aca="1" ref="R54" ca="1">INDEX(auto_Country_ISO,O54)</f>
        <v>PNH</v>
      </c>
      <c r="S54" cm="1">
        <f t="array" aca="1" ref="S54" ca="1">IF(AND($C$12=TRUE,$P54=0),0,INDEX(auto_DataFlat_Classification,Q54,$C$3))</f>
        <v>3</v>
      </c>
      <c r="U54">
        <f t="shared" ca="1" si="48"/>
        <v>63.5</v>
      </c>
      <c r="V54">
        <f ca="1">RANK(U54,OFFSET(U$16,0,0,$C$10,1))+COUNTIF(U$16:U54,U54)-1</f>
        <v>27</v>
      </c>
      <c r="W54">
        <f t="shared" ca="1" si="49"/>
        <v>37</v>
      </c>
      <c r="X54" cm="1">
        <f t="array" aca="1" ref="X54" ca="1">INDEX(auto_Country_Status,W54)</f>
        <v>1</v>
      </c>
      <c r="Y54" cm="1">
        <f t="array" aca="1" ref="Y54" ca="1">INDEX(sys_DataFlat_LU_Grid,$C$2,W54)</f>
        <v>37</v>
      </c>
      <c r="Z54" cm="1">
        <f t="array" aca="1" ref="Z54" ca="1">IF(X54=0,-1,INDEX(auto_DataFlat_Classification,Y54,$C$3))</f>
        <v>3</v>
      </c>
      <c r="AB54" t="e">
        <f t="shared" ca="1" si="11"/>
        <v>#N/A</v>
      </c>
      <c r="AC54" t="e">
        <f t="shared" ca="1" si="12"/>
        <v>#N/A</v>
      </c>
      <c r="AD54" t="e">
        <f t="shared" ca="1" si="13"/>
        <v>#N/A</v>
      </c>
      <c r="AE54" t="e">
        <f t="shared" ca="1" si="14"/>
        <v>#N/A</v>
      </c>
      <c r="AF54" t="e">
        <f t="shared" ca="1" si="22"/>
        <v>#N/A</v>
      </c>
      <c r="AG54" t="e">
        <f t="shared" ca="1" si="23"/>
        <v>#N/A</v>
      </c>
      <c r="AH54" t="e">
        <f t="shared" ca="1" si="24"/>
        <v>#N/A</v>
      </c>
      <c r="AI54" t="e">
        <f t="shared" ca="1" si="25"/>
        <v>#N/A</v>
      </c>
      <c r="AK54" cm="1">
        <f t="array" aca="1" ref="AK54" ca="1">IFERROR(INDEX(OFFSET($W$16,0,0,$C$10,1),AB54),0)</f>
        <v>0</v>
      </c>
      <c r="AL54" cm="1">
        <f t="array" aca="1" ref="AL54" ca="1">IFERROR(INDEX(OFFSET($W$16,0,0,$C$10,1),AC54),0)</f>
        <v>0</v>
      </c>
      <c r="AM54" cm="1">
        <f t="array" aca="1" ref="AM54" ca="1">IFERROR(INDEX(OFFSET($W$16,0,0,$C$10,1),AD54),0)</f>
        <v>0</v>
      </c>
      <c r="AN54" cm="1">
        <f t="array" aca="1" ref="AN54" ca="1">IFERROR(INDEX(OFFSET($W$16,0,0,$C$10,1),AE54),0)</f>
        <v>0</v>
      </c>
      <c r="AO54" cm="1">
        <f t="array" aca="1" ref="AO54" ca="1">IFERROR(INDEX(OFFSET($W$16,0,0,$C$10,1),AF54),0)</f>
        <v>0</v>
      </c>
      <c r="AP54" cm="1">
        <f t="array" aca="1" ref="AP54" ca="1">IFERROR(INDEX(OFFSET($W$16,0,0,$C$10,1),AG54),0)</f>
        <v>0</v>
      </c>
      <c r="AQ54" cm="1">
        <f t="array" aca="1" ref="AQ54" ca="1">IFERROR(INDEX(OFFSET($W$16,0,0,$C$10,1),AH54),0)</f>
        <v>0</v>
      </c>
      <c r="AR54" cm="1">
        <f t="array" aca="1" ref="AR54" ca="1">IFERROR(INDEX(OFFSET($W$16,0,0,$C$10,1),AI54),0)</f>
        <v>0</v>
      </c>
      <c r="AT54" cm="1">
        <f t="array" aca="1" ref="AT54" ca="1">IF(AK54=0,0,INDEX(sys_DataFlat_LU_Grid,$C$2,AK54))</f>
        <v>0</v>
      </c>
      <c r="AU54" cm="1">
        <f t="array" aca="1" ref="AU54" ca="1">IF(AL54=0,0,INDEX(sys_DataFlat_LU_Grid,$C$2,AL54))</f>
        <v>0</v>
      </c>
      <c r="AV54" cm="1">
        <f t="array" aca="1" ref="AV54" ca="1">IF(AM54=0,0,INDEX(sys_DataFlat_LU_Grid,$C$2,AM54))</f>
        <v>0</v>
      </c>
      <c r="AW54" cm="1">
        <f t="array" aca="1" ref="AW54" ca="1">IF(AN54=0,0,INDEX(sys_DataFlat_LU_Grid,$C$2,AN54))</f>
        <v>0</v>
      </c>
      <c r="AX54" cm="1">
        <f t="array" aca="1" ref="AX54" ca="1">IF(AO54=0,0,INDEX(sys_DataFlat_LU_Grid,$C$2,AO54))</f>
        <v>0</v>
      </c>
      <c r="AY54" cm="1">
        <f t="array" aca="1" ref="AY54" ca="1">IF(AP54=0,0,INDEX(sys_DataFlat_LU_Grid,$C$2,AP54))</f>
        <v>0</v>
      </c>
      <c r="AZ54" cm="1">
        <f t="array" aca="1" ref="AZ54" ca="1">IF(AQ54=0,0,INDEX(sys_DataFlat_LU_Grid,$C$2,AQ54))</f>
        <v>0</v>
      </c>
      <c r="BA54" cm="1">
        <f t="array" aca="1" ref="BA54" ca="1">IF(AR54=0,0,INDEX(sys_DataFlat_LU_Grid,$C$2,AR54))</f>
        <v>0</v>
      </c>
      <c r="BC54" t="str" cm="1">
        <f t="array" ref="BC54">INDEX(auto_ddCountry,B54)</f>
        <v>Rome</v>
      </c>
      <c r="BD54" cm="1">
        <f t="array" ref="BD54">INDEX(auto_Country_Status,B54)</f>
        <v>1</v>
      </c>
      <c r="BE54">
        <f t="shared" ca="1" si="50"/>
        <v>4</v>
      </c>
      <c r="BF54" t="str">
        <f t="shared" ca="1" si="52"/>
        <v/>
      </c>
      <c r="BG54" t="str">
        <f t="shared" ca="1" si="52"/>
        <v/>
      </c>
      <c r="BH54" t="str">
        <f t="shared" ca="1" si="52"/>
        <v/>
      </c>
      <c r="BI54" t="str">
        <f t="shared" ca="1" si="52"/>
        <v/>
      </c>
      <c r="BJ54" t="str">
        <f t="shared" ca="1" si="52"/>
        <v xml:space="preserve">Rome • </v>
      </c>
      <c r="BK54" t="str">
        <f t="shared" ca="1" si="52"/>
        <v/>
      </c>
      <c r="BL54" t="str">
        <f t="shared" ca="1" si="26"/>
        <v/>
      </c>
      <c r="BM54" t="str">
        <f t="shared" ca="1" si="26"/>
        <v/>
      </c>
      <c r="BO54" t="s">
        <v>6657</v>
      </c>
      <c r="BP54" t="str">
        <f t="shared" si="20"/>
        <v>BG54,</v>
      </c>
    </row>
    <row r="55" spans="1:68" x14ac:dyDescent="0.4">
      <c r="A55">
        <v>40</v>
      </c>
      <c r="B55">
        <v>40</v>
      </c>
      <c r="C55" cm="1">
        <f t="array" ref="C55">INDEX(auto_Country_Status,B55)</f>
        <v>1</v>
      </c>
      <c r="E55" cm="1">
        <f t="array" aca="1" ref="E55" ca="1">INDEX(sys_DataFlat_LU_Grid,$C$2,$B55)</f>
        <v>40</v>
      </c>
      <c r="F55" cm="1">
        <f t="array" aca="1" ref="F55" ca="1">INDEX(auto_DataFlat_Score,E55,$C$3)</f>
        <v>72</v>
      </c>
      <c r="G55" cm="1">
        <f t="array" aca="1" ref="G55" ca="1">INDEX(auto_DataFlat_DataValue,E55,$C$3)</f>
        <v>0</v>
      </c>
      <c r="H55">
        <f t="shared" ca="1" si="43"/>
        <v>72</v>
      </c>
      <c r="I55" cm="1">
        <f t="array" aca="1" ref="I55" ca="1">INDEX(auto_DataFlat_Classification,E55,$C$3)</f>
        <v>4</v>
      </c>
      <c r="J55">
        <f t="shared" ca="1" si="44"/>
        <v>72</v>
      </c>
      <c r="K55">
        <f t="shared" ca="1" si="45"/>
        <v>72</v>
      </c>
      <c r="L55">
        <f t="shared" ca="1" si="46"/>
        <v>72</v>
      </c>
      <c r="M55">
        <f ca="1">RANK(L55,OFFSET(L$16,0,0,$C$10,1))+COUNTIF(L$16:L55,L55)-1</f>
        <v>14</v>
      </c>
      <c r="O55">
        <f t="shared" ca="1" si="47"/>
        <v>11</v>
      </c>
      <c r="P55" cm="1">
        <f t="array" aca="1" ref="P55" ca="1">INDEX(auto_Country_Status,O55)</f>
        <v>1</v>
      </c>
      <c r="Q55" cm="1">
        <f t="array" aca="1" ref="Q55" ca="1">INDEX(OFFSET($E$16,0,0,$C$10,1),O55)</f>
        <v>11</v>
      </c>
      <c r="R55" t="str" cm="1">
        <f t="array" aca="1" ref="R55" ca="1">INDEX(auto_Country_ISO,O55)</f>
        <v>COX</v>
      </c>
      <c r="S55" cm="1">
        <f t="array" aca="1" ref="S55" ca="1">IF(AND($C$12=TRUE,$P55=0),0,INDEX(auto_DataFlat_Classification,Q55,$C$3))</f>
        <v>3</v>
      </c>
      <c r="U55">
        <f t="shared" ca="1" si="48"/>
        <v>72</v>
      </c>
      <c r="V55">
        <f ca="1">RANK(U55,OFFSET(U$16,0,0,$C$10,1))+COUNTIF(U$16:U55,U55)-1</f>
        <v>14</v>
      </c>
      <c r="W55">
        <f t="shared" ca="1" si="49"/>
        <v>11</v>
      </c>
      <c r="X55" cm="1">
        <f t="array" aca="1" ref="X55" ca="1">INDEX(auto_Country_Status,W55)</f>
        <v>1</v>
      </c>
      <c r="Y55" cm="1">
        <f t="array" aca="1" ref="Y55" ca="1">INDEX(sys_DataFlat_LU_Grid,$C$2,W55)</f>
        <v>11</v>
      </c>
      <c r="Z55" cm="1">
        <f t="array" aca="1" ref="Z55" ca="1">IF(X55=0,-1,INDEX(auto_DataFlat_Classification,Y55,$C$3))</f>
        <v>3</v>
      </c>
      <c r="AB55" t="e">
        <f t="shared" ca="1" si="11"/>
        <v>#N/A</v>
      </c>
      <c r="AC55" t="e">
        <f t="shared" ca="1" si="12"/>
        <v>#N/A</v>
      </c>
      <c r="AD55" t="e">
        <f t="shared" ca="1" si="13"/>
        <v>#N/A</v>
      </c>
      <c r="AE55" t="e">
        <f t="shared" ca="1" si="14"/>
        <v>#N/A</v>
      </c>
      <c r="AF55" t="e">
        <f t="shared" ca="1" si="22"/>
        <v>#N/A</v>
      </c>
      <c r="AG55" t="e">
        <f t="shared" ca="1" si="23"/>
        <v>#N/A</v>
      </c>
      <c r="AH55" t="e">
        <f t="shared" ca="1" si="24"/>
        <v>#N/A</v>
      </c>
      <c r="AI55" t="e">
        <f t="shared" ca="1" si="25"/>
        <v>#N/A</v>
      </c>
      <c r="AK55" cm="1">
        <f t="array" aca="1" ref="AK55" ca="1">IFERROR(INDEX(OFFSET($W$16,0,0,$C$10,1),AB55),0)</f>
        <v>0</v>
      </c>
      <c r="AL55" cm="1">
        <f t="array" aca="1" ref="AL55" ca="1">IFERROR(INDEX(OFFSET($W$16,0,0,$C$10,1),AC55),0)</f>
        <v>0</v>
      </c>
      <c r="AM55" cm="1">
        <f t="array" aca="1" ref="AM55" ca="1">IFERROR(INDEX(OFFSET($W$16,0,0,$C$10,1),AD55),0)</f>
        <v>0</v>
      </c>
      <c r="AN55" cm="1">
        <f t="array" aca="1" ref="AN55" ca="1">IFERROR(INDEX(OFFSET($W$16,0,0,$C$10,1),AE55),0)</f>
        <v>0</v>
      </c>
      <c r="AO55" cm="1">
        <f t="array" aca="1" ref="AO55" ca="1">IFERROR(INDEX(OFFSET($W$16,0,0,$C$10,1),AF55),0)</f>
        <v>0</v>
      </c>
      <c r="AP55" cm="1">
        <f t="array" aca="1" ref="AP55" ca="1">IFERROR(INDEX(OFFSET($W$16,0,0,$C$10,1),AG55),0)</f>
        <v>0</v>
      </c>
      <c r="AQ55" cm="1">
        <f t="array" aca="1" ref="AQ55" ca="1">IFERROR(INDEX(OFFSET($W$16,0,0,$C$10,1),AH55),0)</f>
        <v>0</v>
      </c>
      <c r="AR55" cm="1">
        <f t="array" aca="1" ref="AR55" ca="1">IFERROR(INDEX(OFFSET($W$16,0,0,$C$10,1),AI55),0)</f>
        <v>0</v>
      </c>
      <c r="AT55" cm="1">
        <f t="array" aca="1" ref="AT55" ca="1">IF(AK55=0,0,INDEX(sys_DataFlat_LU_Grid,$C$2,AK55))</f>
        <v>0</v>
      </c>
      <c r="AU55" cm="1">
        <f t="array" aca="1" ref="AU55" ca="1">IF(AL55=0,0,INDEX(sys_DataFlat_LU_Grid,$C$2,AL55))</f>
        <v>0</v>
      </c>
      <c r="AV55" cm="1">
        <f t="array" aca="1" ref="AV55" ca="1">IF(AM55=0,0,INDEX(sys_DataFlat_LU_Grid,$C$2,AM55))</f>
        <v>0</v>
      </c>
      <c r="AW55" cm="1">
        <f t="array" aca="1" ref="AW55" ca="1">IF(AN55=0,0,INDEX(sys_DataFlat_LU_Grid,$C$2,AN55))</f>
        <v>0</v>
      </c>
      <c r="AX55" cm="1">
        <f t="array" aca="1" ref="AX55" ca="1">IF(AO55=0,0,INDEX(sys_DataFlat_LU_Grid,$C$2,AO55))</f>
        <v>0</v>
      </c>
      <c r="AY55" cm="1">
        <f t="array" aca="1" ref="AY55" ca="1">IF(AP55=0,0,INDEX(sys_DataFlat_LU_Grid,$C$2,AP55))</f>
        <v>0</v>
      </c>
      <c r="AZ55" cm="1">
        <f t="array" aca="1" ref="AZ55" ca="1">IF(AQ55=0,0,INDEX(sys_DataFlat_LU_Grid,$C$2,AQ55))</f>
        <v>0</v>
      </c>
      <c r="BA55" cm="1">
        <f t="array" aca="1" ref="BA55" ca="1">IF(AR55=0,0,INDEX(sys_DataFlat_LU_Grid,$C$2,AR55))</f>
        <v>0</v>
      </c>
      <c r="BC55" t="str" cm="1">
        <f t="array" ref="BC55">INDEX(auto_ddCountry,B55)</f>
        <v>San Francisco</v>
      </c>
      <c r="BD55" cm="1">
        <f t="array" ref="BD55">INDEX(auto_Country_Status,B55)</f>
        <v>1</v>
      </c>
      <c r="BE55">
        <f t="shared" ca="1" si="50"/>
        <v>4</v>
      </c>
      <c r="BF55" t="str">
        <f t="shared" ca="1" si="52"/>
        <v/>
      </c>
      <c r="BG55" t="str">
        <f t="shared" ca="1" si="52"/>
        <v/>
      </c>
      <c r="BH55" t="str">
        <f t="shared" ca="1" si="52"/>
        <v/>
      </c>
      <c r="BI55" t="str">
        <f t="shared" ca="1" si="52"/>
        <v/>
      </c>
      <c r="BJ55" t="str">
        <f t="shared" ca="1" si="52"/>
        <v xml:space="preserve">San Francisco • </v>
      </c>
      <c r="BK55" t="str">
        <f t="shared" ca="1" si="52"/>
        <v/>
      </c>
      <c r="BL55" t="str">
        <f t="shared" ca="1" si="26"/>
        <v/>
      </c>
      <c r="BM55" t="str">
        <f t="shared" ca="1" si="26"/>
        <v/>
      </c>
      <c r="BO55" t="s">
        <v>6658</v>
      </c>
      <c r="BP55" t="str">
        <f t="shared" si="20"/>
        <v>BG55,</v>
      </c>
    </row>
    <row r="56" spans="1:68" x14ac:dyDescent="0.4">
      <c r="A56">
        <v>41</v>
      </c>
      <c r="B56">
        <v>41</v>
      </c>
      <c r="C56" cm="1">
        <f t="array" ref="C56">INDEX(auto_Country_Status,B56)</f>
        <v>1</v>
      </c>
      <c r="E56" cm="1">
        <f t="array" aca="1" ref="E56" ca="1">INDEX(sys_DataFlat_LU_Grid,$C$2,$B56)</f>
        <v>41</v>
      </c>
      <c r="F56" cm="1">
        <f t="array" aca="1" ref="F56" ca="1">INDEX(auto_DataFlat_Score,E56,$C$3)</f>
        <v>67.099999999999994</v>
      </c>
      <c r="G56" cm="1">
        <f t="array" aca="1" ref="G56" ca="1">INDEX(auto_DataFlat_DataValue,E56,$C$3)</f>
        <v>0</v>
      </c>
      <c r="H56">
        <f t="shared" ca="1" si="43"/>
        <v>67.099999999999994</v>
      </c>
      <c r="I56" cm="1">
        <f t="array" aca="1" ref="I56" ca="1">INDEX(auto_DataFlat_Classification,E56,$C$3)</f>
        <v>4</v>
      </c>
      <c r="J56">
        <f t="shared" ca="1" si="44"/>
        <v>67.099999999999994</v>
      </c>
      <c r="K56">
        <f t="shared" ca="1" si="45"/>
        <v>67.099999999999994</v>
      </c>
      <c r="L56">
        <f t="shared" ca="1" si="46"/>
        <v>67.099999999999994</v>
      </c>
      <c r="M56">
        <f ca="1">RANK(L56,OFFSET(L$16,0,0,$C$10,1))+COUNTIF(L$16:L56,L56)-1</f>
        <v>21</v>
      </c>
      <c r="O56">
        <f t="shared" ca="1" si="47"/>
        <v>1</v>
      </c>
      <c r="P56" cm="1">
        <f t="array" aca="1" ref="P56" ca="1">INDEX(auto_Country_Status,O56)</f>
        <v>1</v>
      </c>
      <c r="Q56" cm="1">
        <f t="array" aca="1" ref="Q56" ca="1">INDEX(OFFSET($E$16,0,0,$C$10,1),O56)</f>
        <v>1</v>
      </c>
      <c r="R56" t="str" cm="1">
        <f t="array" aca="1" ref="R56" ca="1">INDEX(auto_Country_ISO,O56)</f>
        <v>ADD</v>
      </c>
      <c r="S56" cm="1">
        <f t="array" aca="1" ref="S56" ca="1">IF(AND($C$12=TRUE,$P56=0),0,INDEX(auto_DataFlat_Classification,Q56,$C$3))</f>
        <v>3</v>
      </c>
      <c r="U56">
        <f t="shared" ca="1" si="48"/>
        <v>67.099999999999994</v>
      </c>
      <c r="V56">
        <f ca="1">RANK(U56,OFFSET(U$16,0,0,$C$10,1))+COUNTIF(U$16:U56,U56)-1</f>
        <v>21</v>
      </c>
      <c r="W56">
        <f t="shared" ca="1" si="49"/>
        <v>1</v>
      </c>
      <c r="X56" cm="1">
        <f t="array" aca="1" ref="X56" ca="1">INDEX(auto_Country_Status,W56)</f>
        <v>1</v>
      </c>
      <c r="Y56" cm="1">
        <f t="array" aca="1" ref="Y56" ca="1">INDEX(sys_DataFlat_LU_Grid,$C$2,W56)</f>
        <v>1</v>
      </c>
      <c r="Z56" cm="1">
        <f t="array" aca="1" ref="Z56" ca="1">IF(X56=0,-1,INDEX(auto_DataFlat_Classification,Y56,$C$3))</f>
        <v>3</v>
      </c>
      <c r="AB56" t="e">
        <f t="shared" ca="1" si="11"/>
        <v>#N/A</v>
      </c>
      <c r="AC56" t="e">
        <f t="shared" ca="1" si="12"/>
        <v>#N/A</v>
      </c>
      <c r="AD56" t="e">
        <f t="shared" ca="1" si="13"/>
        <v>#N/A</v>
      </c>
      <c r="AE56" t="e">
        <f t="shared" ca="1" si="14"/>
        <v>#N/A</v>
      </c>
      <c r="AF56" t="e">
        <f t="shared" ca="1" si="22"/>
        <v>#N/A</v>
      </c>
      <c r="AG56" t="e">
        <f t="shared" ca="1" si="23"/>
        <v>#N/A</v>
      </c>
      <c r="AH56" t="e">
        <f t="shared" ca="1" si="24"/>
        <v>#N/A</v>
      </c>
      <c r="AI56" t="e">
        <f t="shared" ca="1" si="25"/>
        <v>#N/A</v>
      </c>
      <c r="AK56" cm="1">
        <f t="array" aca="1" ref="AK56" ca="1">IFERROR(INDEX(OFFSET($W$16,0,0,$C$10,1),AB56),0)</f>
        <v>0</v>
      </c>
      <c r="AL56" cm="1">
        <f t="array" aca="1" ref="AL56" ca="1">IFERROR(INDEX(OFFSET($W$16,0,0,$C$10,1),AC56),0)</f>
        <v>0</v>
      </c>
      <c r="AM56" cm="1">
        <f t="array" aca="1" ref="AM56" ca="1">IFERROR(INDEX(OFFSET($W$16,0,0,$C$10,1),AD56),0)</f>
        <v>0</v>
      </c>
      <c r="AN56" cm="1">
        <f t="array" aca="1" ref="AN56" ca="1">IFERROR(INDEX(OFFSET($W$16,0,0,$C$10,1),AE56),0)</f>
        <v>0</v>
      </c>
      <c r="AO56" cm="1">
        <f t="array" aca="1" ref="AO56" ca="1">IFERROR(INDEX(OFFSET($W$16,0,0,$C$10,1),AF56),0)</f>
        <v>0</v>
      </c>
      <c r="AP56" cm="1">
        <f t="array" aca="1" ref="AP56" ca="1">IFERROR(INDEX(OFFSET($W$16,0,0,$C$10,1),AG56),0)</f>
        <v>0</v>
      </c>
      <c r="AQ56" cm="1">
        <f t="array" aca="1" ref="AQ56" ca="1">IFERROR(INDEX(OFFSET($W$16,0,0,$C$10,1),AH56),0)</f>
        <v>0</v>
      </c>
      <c r="AR56" cm="1">
        <f t="array" aca="1" ref="AR56" ca="1">IFERROR(INDEX(OFFSET($W$16,0,0,$C$10,1),AI56),0)</f>
        <v>0</v>
      </c>
      <c r="AT56" cm="1">
        <f t="array" aca="1" ref="AT56" ca="1">IF(AK56=0,0,INDEX(sys_DataFlat_LU_Grid,$C$2,AK56))</f>
        <v>0</v>
      </c>
      <c r="AU56" cm="1">
        <f t="array" aca="1" ref="AU56" ca="1">IF(AL56=0,0,INDEX(sys_DataFlat_LU_Grid,$C$2,AL56))</f>
        <v>0</v>
      </c>
      <c r="AV56" cm="1">
        <f t="array" aca="1" ref="AV56" ca="1">IF(AM56=0,0,INDEX(sys_DataFlat_LU_Grid,$C$2,AM56))</f>
        <v>0</v>
      </c>
      <c r="AW56" cm="1">
        <f t="array" aca="1" ref="AW56" ca="1">IF(AN56=0,0,INDEX(sys_DataFlat_LU_Grid,$C$2,AN56))</f>
        <v>0</v>
      </c>
      <c r="AX56" cm="1">
        <f t="array" aca="1" ref="AX56" ca="1">IF(AO56=0,0,INDEX(sys_DataFlat_LU_Grid,$C$2,AO56))</f>
        <v>0</v>
      </c>
      <c r="AY56" cm="1">
        <f t="array" aca="1" ref="AY56" ca="1">IF(AP56=0,0,INDEX(sys_DataFlat_LU_Grid,$C$2,AP56))</f>
        <v>0</v>
      </c>
      <c r="AZ56" cm="1">
        <f t="array" aca="1" ref="AZ56" ca="1">IF(AQ56=0,0,INDEX(sys_DataFlat_LU_Grid,$C$2,AQ56))</f>
        <v>0</v>
      </c>
      <c r="BA56" cm="1">
        <f t="array" aca="1" ref="BA56" ca="1">IF(AR56=0,0,INDEX(sys_DataFlat_LU_Grid,$C$2,AR56))</f>
        <v>0</v>
      </c>
      <c r="BC56" t="str" cm="1">
        <f t="array" ref="BC56">INDEX(auto_ddCountry,B56)</f>
        <v>São Paulo</v>
      </c>
      <c r="BD56" cm="1">
        <f t="array" ref="BD56">INDEX(auto_Country_Status,B56)</f>
        <v>1</v>
      </c>
      <c r="BE56">
        <f t="shared" ca="1" si="50"/>
        <v>4</v>
      </c>
      <c r="BF56" t="str">
        <f t="shared" ca="1" si="52"/>
        <v/>
      </c>
      <c r="BG56" t="str">
        <f t="shared" ca="1" si="52"/>
        <v/>
      </c>
      <c r="BH56" t="str">
        <f t="shared" ca="1" si="52"/>
        <v/>
      </c>
      <c r="BI56" t="str">
        <f t="shared" ca="1" si="52"/>
        <v/>
      </c>
      <c r="BJ56" t="str">
        <f t="shared" ca="1" si="52"/>
        <v xml:space="preserve">São Paulo • </v>
      </c>
      <c r="BK56" t="str">
        <f t="shared" ca="1" si="52"/>
        <v/>
      </c>
      <c r="BL56" t="str">
        <f t="shared" ca="1" si="26"/>
        <v/>
      </c>
      <c r="BM56" t="str">
        <f t="shared" ca="1" si="26"/>
        <v/>
      </c>
      <c r="BO56" t="s">
        <v>6659</v>
      </c>
      <c r="BP56" t="str">
        <f t="shared" si="20"/>
        <v>BG56,</v>
      </c>
    </row>
    <row r="57" spans="1:68" x14ac:dyDescent="0.4">
      <c r="A57">
        <v>42</v>
      </c>
      <c r="B57">
        <v>42</v>
      </c>
      <c r="C57" cm="1">
        <f t="array" ref="C57">INDEX(auto_Country_Status,B57)</f>
        <v>1</v>
      </c>
      <c r="E57" cm="1">
        <f t="array" aca="1" ref="E57" ca="1">INDEX(sys_DataFlat_LU_Grid,$C$2,$B57)</f>
        <v>42</v>
      </c>
      <c r="F57" cm="1">
        <f t="array" aca="1" ref="F57" ca="1">INDEX(auto_DataFlat_Score,E57,$C$3)</f>
        <v>75.599999999999994</v>
      </c>
      <c r="G57" cm="1">
        <f t="array" aca="1" ref="G57" ca="1">INDEX(auto_DataFlat_DataValue,E57,$C$3)</f>
        <v>0</v>
      </c>
      <c r="H57">
        <f t="shared" ca="1" si="43"/>
        <v>75.599999999999994</v>
      </c>
      <c r="I57" cm="1">
        <f t="array" aca="1" ref="I57" ca="1">INDEX(auto_DataFlat_Classification,E57,$C$3)</f>
        <v>4</v>
      </c>
      <c r="J57">
        <f t="shared" ca="1" si="44"/>
        <v>75.599999999999994</v>
      </c>
      <c r="K57">
        <f t="shared" ca="1" si="45"/>
        <v>75.599999999999994</v>
      </c>
      <c r="L57">
        <f t="shared" ca="1" si="46"/>
        <v>75.599999999999994</v>
      </c>
      <c r="M57">
        <f ca="1">RANK(L57,OFFSET(L$16,0,0,$C$10,1))+COUNTIF(L$16:L57,L57)-1</f>
        <v>10</v>
      </c>
      <c r="O57">
        <f t="shared" ca="1" si="47"/>
        <v>28</v>
      </c>
      <c r="P57" cm="1">
        <f t="array" aca="1" ref="P57" ca="1">INDEX(auto_Country_Status,O57)</f>
        <v>1</v>
      </c>
      <c r="Q57" cm="1">
        <f t="array" aca="1" ref="Q57" ca="1">INDEX(OFFSET($E$16,0,0,$C$10,1),O57)</f>
        <v>28</v>
      </c>
      <c r="R57" t="str" cm="1">
        <f t="array" aca="1" ref="R57" ca="1">INDEX(auto_Country_ISO,O57)</f>
        <v>MNL</v>
      </c>
      <c r="S57" cm="1">
        <f t="array" aca="1" ref="S57" ca="1">IF(AND($C$12=TRUE,$P57=0),0,INDEX(auto_DataFlat_Classification,Q57,$C$3))</f>
        <v>3</v>
      </c>
      <c r="U57">
        <f t="shared" ca="1" si="48"/>
        <v>75.599999999999994</v>
      </c>
      <c r="V57">
        <f ca="1">RANK(U57,OFFSET(U$16,0,0,$C$10,1))+COUNTIF(U$16:U57,U57)-1</f>
        <v>10</v>
      </c>
      <c r="W57">
        <f t="shared" ca="1" si="49"/>
        <v>28</v>
      </c>
      <c r="X57" cm="1">
        <f t="array" aca="1" ref="X57" ca="1">INDEX(auto_Country_Status,W57)</f>
        <v>1</v>
      </c>
      <c r="Y57" cm="1">
        <f t="array" aca="1" ref="Y57" ca="1">INDEX(sys_DataFlat_LU_Grid,$C$2,W57)</f>
        <v>28</v>
      </c>
      <c r="Z57" cm="1">
        <f t="array" aca="1" ref="Z57" ca="1">IF(X57=0,-1,INDEX(auto_DataFlat_Classification,Y57,$C$3))</f>
        <v>3</v>
      </c>
      <c r="AB57" t="e">
        <f t="shared" ca="1" si="11"/>
        <v>#N/A</v>
      </c>
      <c r="AC57" t="e">
        <f t="shared" ca="1" si="12"/>
        <v>#N/A</v>
      </c>
      <c r="AD57" t="e">
        <f t="shared" ca="1" si="13"/>
        <v>#N/A</v>
      </c>
      <c r="AE57" t="e">
        <f t="shared" ca="1" si="14"/>
        <v>#N/A</v>
      </c>
      <c r="AF57" t="e">
        <f t="shared" ca="1" si="22"/>
        <v>#N/A</v>
      </c>
      <c r="AG57" t="e">
        <f t="shared" ca="1" si="23"/>
        <v>#N/A</v>
      </c>
      <c r="AH57" t="e">
        <f t="shared" ca="1" si="24"/>
        <v>#N/A</v>
      </c>
      <c r="AI57" t="e">
        <f t="shared" ca="1" si="25"/>
        <v>#N/A</v>
      </c>
      <c r="AK57" cm="1">
        <f t="array" aca="1" ref="AK57" ca="1">IFERROR(INDEX(OFFSET($W$16,0,0,$C$10,1),AB57),0)</f>
        <v>0</v>
      </c>
      <c r="AL57" cm="1">
        <f t="array" aca="1" ref="AL57" ca="1">IFERROR(INDEX(OFFSET($W$16,0,0,$C$10,1),AC57),0)</f>
        <v>0</v>
      </c>
      <c r="AM57" cm="1">
        <f t="array" aca="1" ref="AM57" ca="1">IFERROR(INDEX(OFFSET($W$16,0,0,$C$10,1),AD57),0)</f>
        <v>0</v>
      </c>
      <c r="AN57" cm="1">
        <f t="array" aca="1" ref="AN57" ca="1">IFERROR(INDEX(OFFSET($W$16,0,0,$C$10,1),AE57),0)</f>
        <v>0</v>
      </c>
      <c r="AO57" cm="1">
        <f t="array" aca="1" ref="AO57" ca="1">IFERROR(INDEX(OFFSET($W$16,0,0,$C$10,1),AF57),0)</f>
        <v>0</v>
      </c>
      <c r="AP57" cm="1">
        <f t="array" aca="1" ref="AP57" ca="1">IFERROR(INDEX(OFFSET($W$16,0,0,$C$10,1),AG57),0)</f>
        <v>0</v>
      </c>
      <c r="AQ57" cm="1">
        <f t="array" aca="1" ref="AQ57" ca="1">IFERROR(INDEX(OFFSET($W$16,0,0,$C$10,1),AH57),0)</f>
        <v>0</v>
      </c>
      <c r="AR57" cm="1">
        <f t="array" aca="1" ref="AR57" ca="1">IFERROR(INDEX(OFFSET($W$16,0,0,$C$10,1),AI57),0)</f>
        <v>0</v>
      </c>
      <c r="AT57" cm="1">
        <f t="array" aca="1" ref="AT57" ca="1">IF(AK57=0,0,INDEX(sys_DataFlat_LU_Grid,$C$2,AK57))</f>
        <v>0</v>
      </c>
      <c r="AU57" cm="1">
        <f t="array" aca="1" ref="AU57" ca="1">IF(AL57=0,0,INDEX(sys_DataFlat_LU_Grid,$C$2,AL57))</f>
        <v>0</v>
      </c>
      <c r="AV57" cm="1">
        <f t="array" aca="1" ref="AV57" ca="1">IF(AM57=0,0,INDEX(sys_DataFlat_LU_Grid,$C$2,AM57))</f>
        <v>0</v>
      </c>
      <c r="AW57" cm="1">
        <f t="array" aca="1" ref="AW57" ca="1">IF(AN57=0,0,INDEX(sys_DataFlat_LU_Grid,$C$2,AN57))</f>
        <v>0</v>
      </c>
      <c r="AX57" cm="1">
        <f t="array" aca="1" ref="AX57" ca="1">IF(AO57=0,0,INDEX(sys_DataFlat_LU_Grid,$C$2,AO57))</f>
        <v>0</v>
      </c>
      <c r="AY57" cm="1">
        <f t="array" aca="1" ref="AY57" ca="1">IF(AP57=0,0,INDEX(sys_DataFlat_LU_Grid,$C$2,AP57))</f>
        <v>0</v>
      </c>
      <c r="AZ57" cm="1">
        <f t="array" aca="1" ref="AZ57" ca="1">IF(AQ57=0,0,INDEX(sys_DataFlat_LU_Grid,$C$2,AQ57))</f>
        <v>0</v>
      </c>
      <c r="BA57" cm="1">
        <f t="array" aca="1" ref="BA57" ca="1">IF(AR57=0,0,INDEX(sys_DataFlat_LU_Grid,$C$2,AR57))</f>
        <v>0</v>
      </c>
      <c r="BC57" t="str" cm="1">
        <f t="array" ref="BC57">INDEX(auto_ddCountry,B57)</f>
        <v>Seoul</v>
      </c>
      <c r="BD57" cm="1">
        <f t="array" ref="BD57">INDEX(auto_Country_Status,B57)</f>
        <v>1</v>
      </c>
      <c r="BE57">
        <f t="shared" ca="1" si="50"/>
        <v>4</v>
      </c>
      <c r="BF57" t="str">
        <f t="shared" ca="1" si="52"/>
        <v/>
      </c>
      <c r="BG57" t="str">
        <f t="shared" ca="1" si="52"/>
        <v/>
      </c>
      <c r="BH57" t="str">
        <f t="shared" ca="1" si="52"/>
        <v/>
      </c>
      <c r="BI57" t="str">
        <f t="shared" ca="1" si="52"/>
        <v/>
      </c>
      <c r="BJ57" t="str">
        <f t="shared" ca="1" si="52"/>
        <v xml:space="preserve">Seoul • </v>
      </c>
      <c r="BK57" t="str">
        <f t="shared" ca="1" si="52"/>
        <v/>
      </c>
      <c r="BL57" t="str">
        <f t="shared" ca="1" si="26"/>
        <v/>
      </c>
      <c r="BM57" t="str">
        <f t="shared" ca="1" si="26"/>
        <v/>
      </c>
      <c r="BO57" t="s">
        <v>6660</v>
      </c>
      <c r="BP57" t="str">
        <f t="shared" si="20"/>
        <v>BG57,</v>
      </c>
    </row>
    <row r="58" spans="1:68" x14ac:dyDescent="0.4">
      <c r="A58">
        <v>43</v>
      </c>
      <c r="B58">
        <v>43</v>
      </c>
      <c r="C58" cm="1">
        <f t="array" ref="C58">INDEX(auto_Country_Status,B58)</f>
        <v>1</v>
      </c>
      <c r="E58" cm="1">
        <f t="array" aca="1" ref="E58" ca="1">INDEX(sys_DataFlat_LU_Grid,$C$2,$B58)</f>
        <v>43</v>
      </c>
      <c r="F58" cm="1">
        <f t="array" aca="1" ref="F58" ca="1">INDEX(auto_DataFlat_Score,E58,$C$3)</f>
        <v>65.3</v>
      </c>
      <c r="G58" cm="1">
        <f t="array" aca="1" ref="G58" ca="1">INDEX(auto_DataFlat_DataValue,E58,$C$3)</f>
        <v>0</v>
      </c>
      <c r="H58">
        <f t="shared" ca="1" si="43"/>
        <v>65.3</v>
      </c>
      <c r="I58" cm="1">
        <f t="array" aca="1" ref="I58" ca="1">INDEX(auto_DataFlat_Classification,E58,$C$3)</f>
        <v>4</v>
      </c>
      <c r="J58">
        <f t="shared" ca="1" si="44"/>
        <v>65.3</v>
      </c>
      <c r="K58">
        <f t="shared" ca="1" si="45"/>
        <v>65.3</v>
      </c>
      <c r="L58">
        <f t="shared" ca="1" si="46"/>
        <v>65.3</v>
      </c>
      <c r="M58">
        <f ca="1">RANK(L58,OFFSET(L$16,0,0,$C$10,1))+COUNTIF(L$16:L58,L58)-1</f>
        <v>24</v>
      </c>
      <c r="O58">
        <f t="shared" ca="1" si="47"/>
        <v>21</v>
      </c>
      <c r="P58" cm="1">
        <f t="array" aca="1" ref="P58" ca="1">INDEX(auto_Country_Status,O58)</f>
        <v>1</v>
      </c>
      <c r="Q58" cm="1">
        <f t="array" aca="1" ref="Q58" ca="1">INDEX(OFFSET($E$16,0,0,$C$10,1),O58)</f>
        <v>21</v>
      </c>
      <c r="R58" t="str" cm="1">
        <f t="array" aca="1" ref="R58" ca="1">INDEX(auto_Country_ISO,O58)</f>
        <v>KHI</v>
      </c>
      <c r="S58" cm="1">
        <f t="array" aca="1" ref="S58" ca="1">IF(AND($C$12=TRUE,$P58=0),0,INDEX(auto_DataFlat_Classification,Q58,$C$3))</f>
        <v>3</v>
      </c>
      <c r="U58">
        <f t="shared" ca="1" si="48"/>
        <v>65.3</v>
      </c>
      <c r="V58">
        <f ca="1">RANK(U58,OFFSET(U$16,0,0,$C$10,1))+COUNTIF(U$16:U58,U58)-1</f>
        <v>24</v>
      </c>
      <c r="W58">
        <f t="shared" ca="1" si="49"/>
        <v>21</v>
      </c>
      <c r="X58" cm="1">
        <f t="array" aca="1" ref="X58" ca="1">INDEX(auto_Country_Status,W58)</f>
        <v>1</v>
      </c>
      <c r="Y58" cm="1">
        <f t="array" aca="1" ref="Y58" ca="1">INDEX(sys_DataFlat_LU_Grid,$C$2,W58)</f>
        <v>21</v>
      </c>
      <c r="Z58" cm="1">
        <f t="array" aca="1" ref="Z58" ca="1">IF(X58=0,-1,INDEX(auto_DataFlat_Classification,Y58,$C$3))</f>
        <v>3</v>
      </c>
      <c r="AB58" t="e">
        <f t="shared" ca="1" si="11"/>
        <v>#N/A</v>
      </c>
      <c r="AC58" t="e">
        <f t="shared" ca="1" si="12"/>
        <v>#N/A</v>
      </c>
      <c r="AD58" t="e">
        <f t="shared" ca="1" si="13"/>
        <v>#N/A</v>
      </c>
      <c r="AE58" t="e">
        <f t="shared" ca="1" si="14"/>
        <v>#N/A</v>
      </c>
      <c r="AF58" t="e">
        <f t="shared" ca="1" si="22"/>
        <v>#N/A</v>
      </c>
      <c r="AG58" t="e">
        <f t="shared" ca="1" si="23"/>
        <v>#N/A</v>
      </c>
      <c r="AH58" t="e">
        <f t="shared" ca="1" si="24"/>
        <v>#N/A</v>
      </c>
      <c r="AI58" t="e">
        <f t="shared" ca="1" si="25"/>
        <v>#N/A</v>
      </c>
      <c r="AK58" cm="1">
        <f t="array" aca="1" ref="AK58" ca="1">IFERROR(INDEX(OFFSET($W$16,0,0,$C$10,1),AB58),0)</f>
        <v>0</v>
      </c>
      <c r="AL58" cm="1">
        <f t="array" aca="1" ref="AL58" ca="1">IFERROR(INDEX(OFFSET($W$16,0,0,$C$10,1),AC58),0)</f>
        <v>0</v>
      </c>
      <c r="AM58" cm="1">
        <f t="array" aca="1" ref="AM58" ca="1">IFERROR(INDEX(OFFSET($W$16,0,0,$C$10,1),AD58),0)</f>
        <v>0</v>
      </c>
      <c r="AN58" cm="1">
        <f t="array" aca="1" ref="AN58" ca="1">IFERROR(INDEX(OFFSET($W$16,0,0,$C$10,1),AE58),0)</f>
        <v>0</v>
      </c>
      <c r="AO58" cm="1">
        <f t="array" aca="1" ref="AO58" ca="1">IFERROR(INDEX(OFFSET($W$16,0,0,$C$10,1),AF58),0)</f>
        <v>0</v>
      </c>
      <c r="AP58" cm="1">
        <f t="array" aca="1" ref="AP58" ca="1">IFERROR(INDEX(OFFSET($W$16,0,0,$C$10,1),AG58),0)</f>
        <v>0</v>
      </c>
      <c r="AQ58" cm="1">
        <f t="array" aca="1" ref="AQ58" ca="1">IFERROR(INDEX(OFFSET($W$16,0,0,$C$10,1),AH58),0)</f>
        <v>0</v>
      </c>
      <c r="AR58" cm="1">
        <f t="array" aca="1" ref="AR58" ca="1">IFERROR(INDEX(OFFSET($W$16,0,0,$C$10,1),AI58),0)</f>
        <v>0</v>
      </c>
      <c r="AT58" cm="1">
        <f t="array" aca="1" ref="AT58" ca="1">IF(AK58=0,0,INDEX(sys_DataFlat_LU_Grid,$C$2,AK58))</f>
        <v>0</v>
      </c>
      <c r="AU58" cm="1">
        <f t="array" aca="1" ref="AU58" ca="1">IF(AL58=0,0,INDEX(sys_DataFlat_LU_Grid,$C$2,AL58))</f>
        <v>0</v>
      </c>
      <c r="AV58" cm="1">
        <f t="array" aca="1" ref="AV58" ca="1">IF(AM58=0,0,INDEX(sys_DataFlat_LU_Grid,$C$2,AM58))</f>
        <v>0</v>
      </c>
      <c r="AW58" cm="1">
        <f t="array" aca="1" ref="AW58" ca="1">IF(AN58=0,0,INDEX(sys_DataFlat_LU_Grid,$C$2,AN58))</f>
        <v>0</v>
      </c>
      <c r="AX58" cm="1">
        <f t="array" aca="1" ref="AX58" ca="1">IF(AO58=0,0,INDEX(sys_DataFlat_LU_Grid,$C$2,AO58))</f>
        <v>0</v>
      </c>
      <c r="AY58" cm="1">
        <f t="array" aca="1" ref="AY58" ca="1">IF(AP58=0,0,INDEX(sys_DataFlat_LU_Grid,$C$2,AP58))</f>
        <v>0</v>
      </c>
      <c r="AZ58" cm="1">
        <f t="array" aca="1" ref="AZ58" ca="1">IF(AQ58=0,0,INDEX(sys_DataFlat_LU_Grid,$C$2,AQ58))</f>
        <v>0</v>
      </c>
      <c r="BA58" cm="1">
        <f t="array" aca="1" ref="BA58" ca="1">IF(AR58=0,0,INDEX(sys_DataFlat_LU_Grid,$C$2,AR58))</f>
        <v>0</v>
      </c>
      <c r="BC58" t="str" cm="1">
        <f t="array" ref="BC58">INDEX(auto_ddCountry,B58)</f>
        <v>Shanghai</v>
      </c>
      <c r="BD58" cm="1">
        <f t="array" ref="BD58">INDEX(auto_Country_Status,B58)</f>
        <v>1</v>
      </c>
      <c r="BE58">
        <f t="shared" ca="1" si="50"/>
        <v>4</v>
      </c>
      <c r="BF58" t="str">
        <f t="shared" ca="1" si="52"/>
        <v/>
      </c>
      <c r="BG58" t="str">
        <f t="shared" ca="1" si="52"/>
        <v/>
      </c>
      <c r="BH58" t="str">
        <f t="shared" ca="1" si="52"/>
        <v/>
      </c>
      <c r="BI58" t="str">
        <f t="shared" ca="1" si="52"/>
        <v/>
      </c>
      <c r="BJ58" t="str">
        <f t="shared" ca="1" si="52"/>
        <v xml:space="preserve">Shanghai • </v>
      </c>
      <c r="BK58" t="str">
        <f t="shared" ca="1" si="52"/>
        <v/>
      </c>
      <c r="BL58" t="str">
        <f t="shared" ca="1" si="26"/>
        <v/>
      </c>
      <c r="BM58" t="str">
        <f t="shared" ca="1" si="26"/>
        <v/>
      </c>
      <c r="BO58" t="s">
        <v>6661</v>
      </c>
      <c r="BP58" t="str">
        <f t="shared" si="20"/>
        <v>BG58,</v>
      </c>
    </row>
    <row r="59" spans="1:68" x14ac:dyDescent="0.4">
      <c r="A59">
        <v>44</v>
      </c>
      <c r="B59">
        <v>44</v>
      </c>
      <c r="C59" cm="1">
        <f t="array" ref="C59">INDEX(auto_Country_Status,B59)</f>
        <v>1</v>
      </c>
      <c r="E59" cm="1">
        <f t="array" aca="1" ref="E59" ca="1">INDEX(sys_DataFlat_LU_Grid,$C$2,$B59)</f>
        <v>44</v>
      </c>
      <c r="F59" cm="1">
        <f t="array" aca="1" ref="F59" ca="1">INDEX(auto_DataFlat_Score,E59,$C$3)</f>
        <v>76.099999999999994</v>
      </c>
      <c r="G59" cm="1">
        <f t="array" aca="1" ref="G59" ca="1">INDEX(auto_DataFlat_DataValue,E59,$C$3)</f>
        <v>0</v>
      </c>
      <c r="H59">
        <f t="shared" ca="1" si="43"/>
        <v>76.099999999999994</v>
      </c>
      <c r="I59" cm="1">
        <f t="array" aca="1" ref="I59" ca="1">INDEX(auto_DataFlat_Classification,E59,$C$3)</f>
        <v>4</v>
      </c>
      <c r="J59">
        <f t="shared" ca="1" si="44"/>
        <v>76.099999999999994</v>
      </c>
      <c r="K59">
        <f t="shared" ca="1" si="45"/>
        <v>76.099999999999994</v>
      </c>
      <c r="L59">
        <f t="shared" ca="1" si="46"/>
        <v>76.099999999999994</v>
      </c>
      <c r="M59">
        <f ca="1">RANK(L59,OFFSET(L$16,0,0,$C$10,1))+COUNTIF(L$16:L59,L59)-1</f>
        <v>7</v>
      </c>
      <c r="O59">
        <f t="shared" ca="1" si="47"/>
        <v>38</v>
      </c>
      <c r="P59" cm="1">
        <f t="array" aca="1" ref="P59" ca="1">INDEX(auto_Country_Status,O59)</f>
        <v>1</v>
      </c>
      <c r="Q59" cm="1">
        <f t="array" aca="1" ref="Q59" ca="1">INDEX(OFFSET($E$16,0,0,$C$10,1),O59)</f>
        <v>38</v>
      </c>
      <c r="R59" t="str" cm="1">
        <f t="array" aca="1" ref="R59" ca="1">INDEX(auto_Country_ISO,O59)</f>
        <v>RUH</v>
      </c>
      <c r="S59" cm="1">
        <f t="array" aca="1" ref="S59" ca="1">IF(AND($C$12=TRUE,$P59=0),0,INDEX(auto_DataFlat_Classification,Q59,$C$3))</f>
        <v>3</v>
      </c>
      <c r="U59">
        <f t="shared" ca="1" si="48"/>
        <v>76.099999999999994</v>
      </c>
      <c r="V59">
        <f ca="1">RANK(U59,OFFSET(U$16,0,0,$C$10,1))+COUNTIF(U$16:U59,U59)-1</f>
        <v>7</v>
      </c>
      <c r="W59">
        <f t="shared" ca="1" si="49"/>
        <v>38</v>
      </c>
      <c r="X59" cm="1">
        <f t="array" aca="1" ref="X59" ca="1">INDEX(auto_Country_Status,W59)</f>
        <v>1</v>
      </c>
      <c r="Y59" cm="1">
        <f t="array" aca="1" ref="Y59" ca="1">INDEX(sys_DataFlat_LU_Grid,$C$2,W59)</f>
        <v>38</v>
      </c>
      <c r="Z59" cm="1">
        <f t="array" aca="1" ref="Z59" ca="1">IF(X59=0,-1,INDEX(auto_DataFlat_Classification,Y59,$C$3))</f>
        <v>3</v>
      </c>
      <c r="AB59" t="e">
        <f t="shared" ca="1" si="11"/>
        <v>#N/A</v>
      </c>
      <c r="AC59" t="e">
        <f t="shared" ca="1" si="12"/>
        <v>#N/A</v>
      </c>
      <c r="AD59" t="e">
        <f t="shared" ca="1" si="13"/>
        <v>#N/A</v>
      </c>
      <c r="AE59" t="e">
        <f t="shared" ca="1" si="14"/>
        <v>#N/A</v>
      </c>
      <c r="AF59" t="e">
        <f t="shared" ca="1" si="22"/>
        <v>#N/A</v>
      </c>
      <c r="AG59" t="e">
        <f t="shared" ca="1" si="23"/>
        <v>#N/A</v>
      </c>
      <c r="AH59" t="e">
        <f t="shared" ca="1" si="24"/>
        <v>#N/A</v>
      </c>
      <c r="AI59" t="e">
        <f t="shared" ca="1" si="25"/>
        <v>#N/A</v>
      </c>
      <c r="AK59" cm="1">
        <f t="array" aca="1" ref="AK59" ca="1">IFERROR(INDEX(OFFSET($W$16,0,0,$C$10,1),AB59),0)</f>
        <v>0</v>
      </c>
      <c r="AL59" cm="1">
        <f t="array" aca="1" ref="AL59" ca="1">IFERROR(INDEX(OFFSET($W$16,0,0,$C$10,1),AC59),0)</f>
        <v>0</v>
      </c>
      <c r="AM59" cm="1">
        <f t="array" aca="1" ref="AM59" ca="1">IFERROR(INDEX(OFFSET($W$16,0,0,$C$10,1),AD59),0)</f>
        <v>0</v>
      </c>
      <c r="AN59" cm="1">
        <f t="array" aca="1" ref="AN59" ca="1">IFERROR(INDEX(OFFSET($W$16,0,0,$C$10,1),AE59),0)</f>
        <v>0</v>
      </c>
      <c r="AO59" cm="1">
        <f t="array" aca="1" ref="AO59" ca="1">IFERROR(INDEX(OFFSET($W$16,0,0,$C$10,1),AF59),0)</f>
        <v>0</v>
      </c>
      <c r="AP59" cm="1">
        <f t="array" aca="1" ref="AP59" ca="1">IFERROR(INDEX(OFFSET($W$16,0,0,$C$10,1),AG59),0)</f>
        <v>0</v>
      </c>
      <c r="AQ59" cm="1">
        <f t="array" aca="1" ref="AQ59" ca="1">IFERROR(INDEX(OFFSET($W$16,0,0,$C$10,1),AH59),0)</f>
        <v>0</v>
      </c>
      <c r="AR59" cm="1">
        <f t="array" aca="1" ref="AR59" ca="1">IFERROR(INDEX(OFFSET($W$16,0,0,$C$10,1),AI59),0)</f>
        <v>0</v>
      </c>
      <c r="AT59" cm="1">
        <f t="array" aca="1" ref="AT59" ca="1">IF(AK59=0,0,INDEX(sys_DataFlat_LU_Grid,$C$2,AK59))</f>
        <v>0</v>
      </c>
      <c r="AU59" cm="1">
        <f t="array" aca="1" ref="AU59" ca="1">IF(AL59=0,0,INDEX(sys_DataFlat_LU_Grid,$C$2,AL59))</f>
        <v>0</v>
      </c>
      <c r="AV59" cm="1">
        <f t="array" aca="1" ref="AV59" ca="1">IF(AM59=0,0,INDEX(sys_DataFlat_LU_Grid,$C$2,AM59))</f>
        <v>0</v>
      </c>
      <c r="AW59" cm="1">
        <f t="array" aca="1" ref="AW59" ca="1">IF(AN59=0,0,INDEX(sys_DataFlat_LU_Grid,$C$2,AN59))</f>
        <v>0</v>
      </c>
      <c r="AX59" cm="1">
        <f t="array" aca="1" ref="AX59" ca="1">IF(AO59=0,0,INDEX(sys_DataFlat_LU_Grid,$C$2,AO59))</f>
        <v>0</v>
      </c>
      <c r="AY59" cm="1">
        <f t="array" aca="1" ref="AY59" ca="1">IF(AP59=0,0,INDEX(sys_DataFlat_LU_Grid,$C$2,AP59))</f>
        <v>0</v>
      </c>
      <c r="AZ59" cm="1">
        <f t="array" aca="1" ref="AZ59" ca="1">IF(AQ59=0,0,INDEX(sys_DataFlat_LU_Grid,$C$2,AQ59))</f>
        <v>0</v>
      </c>
      <c r="BA59" cm="1">
        <f t="array" aca="1" ref="BA59" ca="1">IF(AR59=0,0,INDEX(sys_DataFlat_LU_Grid,$C$2,AR59))</f>
        <v>0</v>
      </c>
      <c r="BC59" t="str" cm="1">
        <f t="array" ref="BC59">INDEX(auto_ddCountry,B59)</f>
        <v>Singapore</v>
      </c>
      <c r="BD59" cm="1">
        <f t="array" ref="BD59">INDEX(auto_Country_Status,B59)</f>
        <v>1</v>
      </c>
      <c r="BE59">
        <f t="shared" ca="1" si="50"/>
        <v>4</v>
      </c>
      <c r="BF59" t="str">
        <f t="shared" ca="1" si="52"/>
        <v/>
      </c>
      <c r="BG59" t="str">
        <f t="shared" ca="1" si="52"/>
        <v/>
      </c>
      <c r="BH59" t="str">
        <f t="shared" ca="1" si="52"/>
        <v/>
      </c>
      <c r="BI59" t="str">
        <f t="shared" ca="1" si="52"/>
        <v/>
      </c>
      <c r="BJ59" t="str">
        <f t="shared" ca="1" si="52"/>
        <v xml:space="preserve">Singapore • </v>
      </c>
      <c r="BK59" t="str">
        <f t="shared" ca="1" si="52"/>
        <v/>
      </c>
      <c r="BO59" t="s">
        <v>6662</v>
      </c>
      <c r="BP59" t="str">
        <f t="shared" si="20"/>
        <v>BG59,</v>
      </c>
    </row>
    <row r="60" spans="1:68" x14ac:dyDescent="0.4">
      <c r="A60">
        <v>45</v>
      </c>
      <c r="B60">
        <v>45</v>
      </c>
      <c r="C60" cm="1">
        <f t="array" ref="C60">INDEX(auto_Country_Status,B60)</f>
        <v>1</v>
      </c>
      <c r="E60" cm="1">
        <f t="array" aca="1" ref="E60" ca="1">INDEX(sys_DataFlat_LU_Grid,$C$2,$B60)</f>
        <v>45</v>
      </c>
      <c r="F60" cm="1">
        <f t="array" aca="1" ref="F60" ca="1">INDEX(auto_DataFlat_Score,E60,$C$3)</f>
        <v>70.5</v>
      </c>
      <c r="G60" cm="1">
        <f t="array" aca="1" ref="G60" ca="1">INDEX(auto_DataFlat_DataValue,E60,$C$3)</f>
        <v>0</v>
      </c>
      <c r="H60">
        <f t="shared" ca="1" si="43"/>
        <v>70.5</v>
      </c>
      <c r="I60" cm="1">
        <f t="array" aca="1" ref="I60" ca="1">INDEX(auto_DataFlat_Classification,E60,$C$3)</f>
        <v>4</v>
      </c>
      <c r="J60">
        <f t="shared" ca="1" si="44"/>
        <v>70.5</v>
      </c>
      <c r="K60">
        <f t="shared" ca="1" si="45"/>
        <v>70.5</v>
      </c>
      <c r="L60">
        <f t="shared" ca="1" si="46"/>
        <v>70.5</v>
      </c>
      <c r="M60">
        <f ca="1">RANK(L60,OFFSET(L$16,0,0,$C$10,1))+COUNTIF(L$16:L60,L60)-1</f>
        <v>17</v>
      </c>
      <c r="O60">
        <f t="shared" ca="1" si="47"/>
        <v>50</v>
      </c>
      <c r="P60" cm="1">
        <f t="array" aca="1" ref="P60" ca="1">INDEX(auto_Country_Status,O60)</f>
        <v>1</v>
      </c>
      <c r="Q60" cm="1">
        <f t="array" aca="1" ref="Q60" ca="1">INDEX(OFFSET($E$16,0,0,$C$10,1),O60)</f>
        <v>50</v>
      </c>
      <c r="R60" t="str" cm="1">
        <f t="array" aca="1" ref="R60" ca="1">INDEX(auto_Country_ISO,O60)</f>
        <v>RGN</v>
      </c>
      <c r="S60" cm="1">
        <f t="array" aca="1" ref="S60" ca="1">IF(AND($C$12=TRUE,$P60=0),0,INDEX(auto_DataFlat_Classification,Q60,$C$3))</f>
        <v>3</v>
      </c>
      <c r="U60">
        <f t="shared" ca="1" si="48"/>
        <v>70.5</v>
      </c>
      <c r="V60">
        <f ca="1">RANK(U60,OFFSET(U$16,0,0,$C$10,1))+COUNTIF(U$16:U60,U60)-1</f>
        <v>17</v>
      </c>
      <c r="W60">
        <f t="shared" ca="1" si="49"/>
        <v>50</v>
      </c>
      <c r="X60" cm="1">
        <f t="array" aca="1" ref="X60" ca="1">INDEX(auto_Country_Status,W60)</f>
        <v>1</v>
      </c>
      <c r="Y60" cm="1">
        <f t="array" aca="1" ref="Y60" ca="1">INDEX(sys_DataFlat_LU_Grid,$C$2,W60)</f>
        <v>50</v>
      </c>
      <c r="Z60" cm="1">
        <f t="array" aca="1" ref="Z60" ca="1">IF(X60=0,-1,INDEX(auto_DataFlat_Classification,Y60,$C$3))</f>
        <v>3</v>
      </c>
      <c r="AB60" t="e">
        <f t="shared" ca="1" si="11"/>
        <v>#N/A</v>
      </c>
      <c r="AC60" t="e">
        <f t="shared" ca="1" si="12"/>
        <v>#N/A</v>
      </c>
      <c r="AD60" t="e">
        <f t="shared" ca="1" si="13"/>
        <v>#N/A</v>
      </c>
      <c r="AE60" t="e">
        <f t="shared" ca="1" si="14"/>
        <v>#N/A</v>
      </c>
      <c r="AF60" t="e">
        <f t="shared" ca="1" si="22"/>
        <v>#N/A</v>
      </c>
      <c r="AG60" t="e">
        <f t="shared" ca="1" si="23"/>
        <v>#N/A</v>
      </c>
      <c r="AH60" t="e">
        <f t="shared" ca="1" si="24"/>
        <v>#N/A</v>
      </c>
      <c r="AI60" t="e">
        <f t="shared" ca="1" si="25"/>
        <v>#N/A</v>
      </c>
      <c r="AK60" cm="1">
        <f t="array" aca="1" ref="AK60" ca="1">IFERROR(INDEX(OFFSET($W$16,0,0,$C$10,1),AB60),0)</f>
        <v>0</v>
      </c>
      <c r="AL60" cm="1">
        <f t="array" aca="1" ref="AL60" ca="1">IFERROR(INDEX(OFFSET($W$16,0,0,$C$10,1),AC60),0)</f>
        <v>0</v>
      </c>
      <c r="AM60" cm="1">
        <f t="array" aca="1" ref="AM60" ca="1">IFERROR(INDEX(OFFSET($W$16,0,0,$C$10,1),AD60),0)</f>
        <v>0</v>
      </c>
      <c r="AN60" cm="1">
        <f t="array" aca="1" ref="AN60" ca="1">IFERROR(INDEX(OFFSET($W$16,0,0,$C$10,1),AE60),0)</f>
        <v>0</v>
      </c>
      <c r="AO60" cm="1">
        <f t="array" aca="1" ref="AO60" ca="1">IFERROR(INDEX(OFFSET($W$16,0,0,$C$10,1),AF60),0)</f>
        <v>0</v>
      </c>
      <c r="AP60" cm="1">
        <f t="array" aca="1" ref="AP60" ca="1">IFERROR(INDEX(OFFSET($W$16,0,0,$C$10,1),AG60),0)</f>
        <v>0</v>
      </c>
      <c r="AQ60" cm="1">
        <f t="array" aca="1" ref="AQ60" ca="1">IFERROR(INDEX(OFFSET($W$16,0,0,$C$10,1),AH60),0)</f>
        <v>0</v>
      </c>
      <c r="AR60" cm="1">
        <f t="array" aca="1" ref="AR60" ca="1">IFERROR(INDEX(OFFSET($W$16,0,0,$C$10,1),AI60),0)</f>
        <v>0</v>
      </c>
      <c r="AT60" cm="1">
        <f t="array" aca="1" ref="AT60" ca="1">IF(AK60=0,0,INDEX(sys_DataFlat_LU_Grid,$C$2,AK60))</f>
        <v>0</v>
      </c>
      <c r="AU60" cm="1">
        <f t="array" aca="1" ref="AU60" ca="1">IF(AL60=0,0,INDEX(sys_DataFlat_LU_Grid,$C$2,AL60))</f>
        <v>0</v>
      </c>
      <c r="AV60" cm="1">
        <f t="array" aca="1" ref="AV60" ca="1">IF(AM60=0,0,INDEX(sys_DataFlat_LU_Grid,$C$2,AM60))</f>
        <v>0</v>
      </c>
      <c r="AW60" cm="1">
        <f t="array" aca="1" ref="AW60" ca="1">IF(AN60=0,0,INDEX(sys_DataFlat_LU_Grid,$C$2,AN60))</f>
        <v>0</v>
      </c>
      <c r="AX60" cm="1">
        <f t="array" aca="1" ref="AX60" ca="1">IF(AO60=0,0,INDEX(sys_DataFlat_LU_Grid,$C$2,AO60))</f>
        <v>0</v>
      </c>
      <c r="AY60" cm="1">
        <f t="array" aca="1" ref="AY60" ca="1">IF(AP60=0,0,INDEX(sys_DataFlat_LU_Grid,$C$2,AP60))</f>
        <v>0</v>
      </c>
      <c r="AZ60" cm="1">
        <f t="array" aca="1" ref="AZ60" ca="1">IF(AQ60=0,0,INDEX(sys_DataFlat_LU_Grid,$C$2,AQ60))</f>
        <v>0</v>
      </c>
      <c r="BA60" cm="1">
        <f t="array" aca="1" ref="BA60" ca="1">IF(AR60=0,0,INDEX(sys_DataFlat_LU_Grid,$C$2,AR60))</f>
        <v>0</v>
      </c>
      <c r="BC60" t="str" cm="1">
        <f t="array" ref="BC60">INDEX(auto_ddCountry,B60)</f>
        <v>Sydney</v>
      </c>
      <c r="BD60" cm="1">
        <f t="array" ref="BD60">INDEX(auto_Country_Status,B60)</f>
        <v>1</v>
      </c>
      <c r="BE60">
        <f t="shared" ca="1" si="50"/>
        <v>4</v>
      </c>
      <c r="BF60" t="str">
        <f t="shared" ca="1" si="52"/>
        <v/>
      </c>
      <c r="BG60" t="str">
        <f t="shared" ca="1" si="52"/>
        <v/>
      </c>
      <c r="BH60" t="str">
        <f t="shared" ca="1" si="52"/>
        <v/>
      </c>
      <c r="BI60" t="str">
        <f t="shared" ca="1" si="52"/>
        <v/>
      </c>
      <c r="BJ60" t="str">
        <f t="shared" ca="1" si="52"/>
        <v xml:space="preserve">Sydney • </v>
      </c>
      <c r="BK60" t="str">
        <f t="shared" ca="1" si="52"/>
        <v/>
      </c>
      <c r="BO60" t="s">
        <v>6663</v>
      </c>
      <c r="BP60" t="str">
        <f t="shared" si="20"/>
        <v>BG60,</v>
      </c>
    </row>
    <row r="61" spans="1:68" x14ac:dyDescent="0.4">
      <c r="A61">
        <v>46</v>
      </c>
      <c r="B61">
        <v>46</v>
      </c>
      <c r="C61" cm="1">
        <f t="array" ref="C61">INDEX(auto_Country_Status,B61)</f>
        <v>1</v>
      </c>
      <c r="E61" cm="1">
        <f t="array" aca="1" ref="E61" ca="1">INDEX(sys_DataFlat_LU_Grid,$C$2,$B61)</f>
        <v>46</v>
      </c>
      <c r="F61" cm="1">
        <f t="array" aca="1" ref="F61" ca="1">INDEX(auto_DataFlat_Score,E61,$C$3)</f>
        <v>76.099999999999994</v>
      </c>
      <c r="G61" cm="1">
        <f t="array" aca="1" ref="G61" ca="1">INDEX(auto_DataFlat_DataValue,E61,$C$3)</f>
        <v>0</v>
      </c>
      <c r="H61">
        <f t="shared" ca="1" si="43"/>
        <v>76.099999999999994</v>
      </c>
      <c r="I61" cm="1">
        <f t="array" aca="1" ref="I61" ca="1">INDEX(auto_DataFlat_Classification,E61,$C$3)</f>
        <v>4</v>
      </c>
      <c r="J61">
        <f t="shared" ca="1" si="44"/>
        <v>76.099999999999994</v>
      </c>
      <c r="K61">
        <f t="shared" ca="1" si="45"/>
        <v>76.099999999999994</v>
      </c>
      <c r="L61">
        <f t="shared" ca="1" si="46"/>
        <v>76.099999999999994</v>
      </c>
      <c r="M61">
        <f ca="1">RANK(L61,OFFSET(L$16,0,0,$C$10,1))+COUNTIF(L$16:L61,L61)-1</f>
        <v>8</v>
      </c>
      <c r="O61">
        <f t="shared" ca="1" si="47"/>
        <v>24</v>
      </c>
      <c r="P61" cm="1">
        <f t="array" aca="1" ref="P61" ca="1">INDEX(auto_Country_Status,O61)</f>
        <v>1</v>
      </c>
      <c r="Q61" cm="1">
        <f t="array" aca="1" ref="Q61" ca="1">INDEX(OFFSET($E$16,0,0,$C$10,1),O61)</f>
        <v>24</v>
      </c>
      <c r="R61" t="str" cm="1">
        <f t="array" aca="1" ref="R61" ca="1">INDEX(auto_Country_ISO,O61)</f>
        <v>KWI</v>
      </c>
      <c r="S61" cm="1">
        <f t="array" aca="1" ref="S61" ca="1">IF(AND($C$12=TRUE,$P61=0),0,INDEX(auto_DataFlat_Classification,Q61,$C$3))</f>
        <v>3</v>
      </c>
      <c r="U61">
        <f t="shared" ca="1" si="48"/>
        <v>76.099999999999994</v>
      </c>
      <c r="V61">
        <f ca="1">RANK(U61,OFFSET(U$16,0,0,$C$10,1))+COUNTIF(U$16:U61,U61)-1</f>
        <v>8</v>
      </c>
      <c r="W61">
        <f t="shared" ca="1" si="49"/>
        <v>24</v>
      </c>
      <c r="X61" cm="1">
        <f t="array" aca="1" ref="X61" ca="1">INDEX(auto_Country_Status,W61)</f>
        <v>1</v>
      </c>
      <c r="Y61" cm="1">
        <f t="array" aca="1" ref="Y61" ca="1">INDEX(sys_DataFlat_LU_Grid,$C$2,W61)</f>
        <v>24</v>
      </c>
      <c r="Z61" cm="1">
        <f t="array" aca="1" ref="Z61" ca="1">IF(X61=0,-1,INDEX(auto_DataFlat_Classification,Y61,$C$3))</f>
        <v>3</v>
      </c>
      <c r="AB61" t="e">
        <f t="shared" ca="1" si="11"/>
        <v>#N/A</v>
      </c>
      <c r="AC61" t="e">
        <f t="shared" ca="1" si="12"/>
        <v>#N/A</v>
      </c>
      <c r="AD61" t="e">
        <f t="shared" ca="1" si="13"/>
        <v>#N/A</v>
      </c>
      <c r="AE61" t="e">
        <f t="shared" ca="1" si="14"/>
        <v>#N/A</v>
      </c>
      <c r="AF61" t="e">
        <f t="shared" ca="1" si="22"/>
        <v>#N/A</v>
      </c>
      <c r="AG61" t="e">
        <f t="shared" ca="1" si="23"/>
        <v>#N/A</v>
      </c>
      <c r="AH61" t="e">
        <f t="shared" ca="1" si="24"/>
        <v>#N/A</v>
      </c>
      <c r="AI61" t="e">
        <f t="shared" ca="1" si="25"/>
        <v>#N/A</v>
      </c>
      <c r="AK61" cm="1">
        <f t="array" aca="1" ref="AK61" ca="1">IFERROR(INDEX(OFFSET($W$16,0,0,$C$10,1),AB61),0)</f>
        <v>0</v>
      </c>
      <c r="AL61" cm="1">
        <f t="array" aca="1" ref="AL61" ca="1">IFERROR(INDEX(OFFSET($W$16,0,0,$C$10,1),AC61),0)</f>
        <v>0</v>
      </c>
      <c r="AM61" cm="1">
        <f t="array" aca="1" ref="AM61" ca="1">IFERROR(INDEX(OFFSET($W$16,0,0,$C$10,1),AD61),0)</f>
        <v>0</v>
      </c>
      <c r="AN61" cm="1">
        <f t="array" aca="1" ref="AN61" ca="1">IFERROR(INDEX(OFFSET($W$16,0,0,$C$10,1),AE61),0)</f>
        <v>0</v>
      </c>
      <c r="AO61" cm="1">
        <f t="array" aca="1" ref="AO61" ca="1">IFERROR(INDEX(OFFSET($W$16,0,0,$C$10,1),AF61),0)</f>
        <v>0</v>
      </c>
      <c r="AP61" cm="1">
        <f t="array" aca="1" ref="AP61" ca="1">IFERROR(INDEX(OFFSET($W$16,0,0,$C$10,1),AG61),0)</f>
        <v>0</v>
      </c>
      <c r="AQ61" cm="1">
        <f t="array" aca="1" ref="AQ61" ca="1">IFERROR(INDEX(OFFSET($W$16,0,0,$C$10,1),AH61),0)</f>
        <v>0</v>
      </c>
      <c r="AR61" cm="1">
        <f t="array" aca="1" ref="AR61" ca="1">IFERROR(INDEX(OFFSET($W$16,0,0,$C$10,1),AI61),0)</f>
        <v>0</v>
      </c>
      <c r="AT61" cm="1">
        <f t="array" aca="1" ref="AT61" ca="1">IF(AK61=0,0,INDEX(sys_DataFlat_LU_Grid,$C$2,AK61))</f>
        <v>0</v>
      </c>
      <c r="AU61" cm="1">
        <f t="array" aca="1" ref="AU61" ca="1">IF(AL61=0,0,INDEX(sys_DataFlat_LU_Grid,$C$2,AL61))</f>
        <v>0</v>
      </c>
      <c r="AV61" cm="1">
        <f t="array" aca="1" ref="AV61" ca="1">IF(AM61=0,0,INDEX(sys_DataFlat_LU_Grid,$C$2,AM61))</f>
        <v>0</v>
      </c>
      <c r="AW61" cm="1">
        <f t="array" aca="1" ref="AW61" ca="1">IF(AN61=0,0,INDEX(sys_DataFlat_LU_Grid,$C$2,AN61))</f>
        <v>0</v>
      </c>
      <c r="AX61" cm="1">
        <f t="array" aca="1" ref="AX61" ca="1">IF(AO61=0,0,INDEX(sys_DataFlat_LU_Grid,$C$2,AO61))</f>
        <v>0</v>
      </c>
      <c r="AY61" cm="1">
        <f t="array" aca="1" ref="AY61" ca="1">IF(AP61=0,0,INDEX(sys_DataFlat_LU_Grid,$C$2,AP61))</f>
        <v>0</v>
      </c>
      <c r="AZ61" cm="1">
        <f t="array" aca="1" ref="AZ61" ca="1">IF(AQ61=0,0,INDEX(sys_DataFlat_LU_Grid,$C$2,AQ61))</f>
        <v>0</v>
      </c>
      <c r="BA61" cm="1">
        <f t="array" aca="1" ref="BA61" ca="1">IF(AR61=0,0,INDEX(sys_DataFlat_LU_Grid,$C$2,AR61))</f>
        <v>0</v>
      </c>
      <c r="BC61" t="str" cm="1">
        <f t="array" ref="BC61">INDEX(auto_ddCountry,B61)</f>
        <v>Tokyo</v>
      </c>
      <c r="BD61" cm="1">
        <f t="array" ref="BD61">INDEX(auto_Country_Status,B61)</f>
        <v>1</v>
      </c>
      <c r="BE61">
        <f t="shared" ca="1" si="50"/>
        <v>4</v>
      </c>
      <c r="BF61" t="str">
        <f t="shared" ca="1" si="52"/>
        <v/>
      </c>
      <c r="BG61" t="str">
        <f t="shared" ca="1" si="52"/>
        <v/>
      </c>
      <c r="BH61" t="str">
        <f t="shared" ca="1" si="52"/>
        <v/>
      </c>
      <c r="BI61" t="str">
        <f t="shared" ca="1" si="52"/>
        <v/>
      </c>
      <c r="BJ61" t="str">
        <f t="shared" ca="1" si="52"/>
        <v xml:space="preserve">Tokyo • </v>
      </c>
      <c r="BK61" t="str">
        <f t="shared" ca="1" si="52"/>
        <v/>
      </c>
      <c r="BO61" t="s">
        <v>6664</v>
      </c>
      <c r="BP61" t="str">
        <f t="shared" si="20"/>
        <v>BG61,</v>
      </c>
    </row>
    <row r="62" spans="1:68" x14ac:dyDescent="0.4">
      <c r="A62">
        <v>47</v>
      </c>
      <c r="B62">
        <v>47</v>
      </c>
      <c r="C62" cm="1">
        <f t="array" ref="C62">INDEX(auto_Country_Status,B62)</f>
        <v>1</v>
      </c>
      <c r="E62" cm="1">
        <f t="array" aca="1" ref="E62" ca="1">INDEX(sys_DataFlat_LU_Grid,$C$2,$B62)</f>
        <v>47</v>
      </c>
      <c r="F62" cm="1">
        <f t="array" aca="1" ref="F62" ca="1">INDEX(auto_DataFlat_Score,E62,$C$3)</f>
        <v>77</v>
      </c>
      <c r="G62" cm="1">
        <f t="array" aca="1" ref="G62" ca="1">INDEX(auto_DataFlat_DataValue,E62,$C$3)</f>
        <v>0</v>
      </c>
      <c r="H62">
        <f t="shared" ca="1" si="43"/>
        <v>77</v>
      </c>
      <c r="I62" cm="1">
        <f t="array" aca="1" ref="I62" ca="1">INDEX(auto_DataFlat_Classification,E62,$C$3)</f>
        <v>4</v>
      </c>
      <c r="J62">
        <f t="shared" ca="1" si="44"/>
        <v>77</v>
      </c>
      <c r="K62">
        <f t="shared" ca="1" si="45"/>
        <v>77</v>
      </c>
      <c r="L62">
        <f t="shared" ca="1" si="46"/>
        <v>77</v>
      </c>
      <c r="M62">
        <f ca="1">RANK(L62,OFFSET(L$16,0,0,$C$10,1))+COUNTIF(L$16:L62,L62)-1</f>
        <v>6</v>
      </c>
      <c r="O62">
        <f t="shared" ca="1" si="47"/>
        <v>13</v>
      </c>
      <c r="P62" cm="1">
        <f t="array" aca="1" ref="P62" ca="1">INDEX(auto_Country_Status,O62)</f>
        <v>1</v>
      </c>
      <c r="Q62" cm="1">
        <f t="array" aca="1" ref="Q62" ca="1">INDEX(OFFSET($E$16,0,0,$C$10,1),O62)</f>
        <v>13</v>
      </c>
      <c r="R62" t="str" cm="1">
        <f t="array" aca="1" ref="R62" ca="1">INDEX(auto_Country_ISO,O62)</f>
        <v>DAC</v>
      </c>
      <c r="S62" cm="1">
        <f t="array" aca="1" ref="S62" ca="1">IF(AND($C$12=TRUE,$P62=0),0,INDEX(auto_DataFlat_Classification,Q62,$C$3))</f>
        <v>3</v>
      </c>
      <c r="U62">
        <f t="shared" ca="1" si="48"/>
        <v>77</v>
      </c>
      <c r="V62">
        <f ca="1">RANK(U62,OFFSET(U$16,0,0,$C$10,1))+COUNTIF(U$16:U62,U62)-1</f>
        <v>6</v>
      </c>
      <c r="W62">
        <f t="shared" ca="1" si="49"/>
        <v>13</v>
      </c>
      <c r="X62" cm="1">
        <f t="array" aca="1" ref="X62" ca="1">INDEX(auto_Country_Status,W62)</f>
        <v>1</v>
      </c>
      <c r="Y62" cm="1">
        <f t="array" aca="1" ref="Y62" ca="1">INDEX(sys_DataFlat_LU_Grid,$C$2,W62)</f>
        <v>13</v>
      </c>
      <c r="Z62" cm="1">
        <f t="array" aca="1" ref="Z62" ca="1">IF(X62=0,-1,INDEX(auto_DataFlat_Classification,Y62,$C$3))</f>
        <v>3</v>
      </c>
      <c r="AB62" t="e">
        <f t="shared" ca="1" si="11"/>
        <v>#N/A</v>
      </c>
      <c r="AC62" t="e">
        <f t="shared" ca="1" si="12"/>
        <v>#N/A</v>
      </c>
      <c r="AD62" t="e">
        <f t="shared" ca="1" si="13"/>
        <v>#N/A</v>
      </c>
      <c r="AE62" t="e">
        <f t="shared" ca="1" si="14"/>
        <v>#N/A</v>
      </c>
      <c r="AF62" t="e">
        <f t="shared" ca="1" si="22"/>
        <v>#N/A</v>
      </c>
      <c r="AG62" t="e">
        <f t="shared" ca="1" si="23"/>
        <v>#N/A</v>
      </c>
      <c r="AH62" t="e">
        <f t="shared" ca="1" si="24"/>
        <v>#N/A</v>
      </c>
      <c r="AI62" t="e">
        <f t="shared" ca="1" si="25"/>
        <v>#N/A</v>
      </c>
      <c r="AK62" cm="1">
        <f t="array" aca="1" ref="AK62" ca="1">IFERROR(INDEX(OFFSET($W$16,0,0,$C$10,1),AB62),0)</f>
        <v>0</v>
      </c>
      <c r="AL62" cm="1">
        <f t="array" aca="1" ref="AL62" ca="1">IFERROR(INDEX(OFFSET($W$16,0,0,$C$10,1),AC62),0)</f>
        <v>0</v>
      </c>
      <c r="AM62" cm="1">
        <f t="array" aca="1" ref="AM62" ca="1">IFERROR(INDEX(OFFSET($W$16,0,0,$C$10,1),AD62),0)</f>
        <v>0</v>
      </c>
      <c r="AN62" cm="1">
        <f t="array" aca="1" ref="AN62" ca="1">IFERROR(INDEX(OFFSET($W$16,0,0,$C$10,1),AE62),0)</f>
        <v>0</v>
      </c>
      <c r="AO62" cm="1">
        <f t="array" aca="1" ref="AO62" ca="1">IFERROR(INDEX(OFFSET($W$16,0,0,$C$10,1),AF62),0)</f>
        <v>0</v>
      </c>
      <c r="AP62" cm="1">
        <f t="array" aca="1" ref="AP62" ca="1">IFERROR(INDEX(OFFSET($W$16,0,0,$C$10,1),AG62),0)</f>
        <v>0</v>
      </c>
      <c r="AQ62" cm="1">
        <f t="array" aca="1" ref="AQ62" ca="1">IFERROR(INDEX(OFFSET($W$16,0,0,$C$10,1),AH62),0)</f>
        <v>0</v>
      </c>
      <c r="AR62" cm="1">
        <f t="array" aca="1" ref="AR62" ca="1">IFERROR(INDEX(OFFSET($W$16,0,0,$C$10,1),AI62),0)</f>
        <v>0</v>
      </c>
      <c r="AT62" cm="1">
        <f t="array" aca="1" ref="AT62" ca="1">IF(AK62=0,0,INDEX(sys_DataFlat_LU_Grid,$C$2,AK62))</f>
        <v>0</v>
      </c>
      <c r="AU62" cm="1">
        <f t="array" aca="1" ref="AU62" ca="1">IF(AL62=0,0,INDEX(sys_DataFlat_LU_Grid,$C$2,AL62))</f>
        <v>0</v>
      </c>
      <c r="AV62" cm="1">
        <f t="array" aca="1" ref="AV62" ca="1">IF(AM62=0,0,INDEX(sys_DataFlat_LU_Grid,$C$2,AM62))</f>
        <v>0</v>
      </c>
      <c r="AW62" cm="1">
        <f t="array" aca="1" ref="AW62" ca="1">IF(AN62=0,0,INDEX(sys_DataFlat_LU_Grid,$C$2,AN62))</f>
        <v>0</v>
      </c>
      <c r="AX62" cm="1">
        <f t="array" aca="1" ref="AX62" ca="1">IF(AO62=0,0,INDEX(sys_DataFlat_LU_Grid,$C$2,AO62))</f>
        <v>0</v>
      </c>
      <c r="AY62" cm="1">
        <f t="array" aca="1" ref="AY62" ca="1">IF(AP62=0,0,INDEX(sys_DataFlat_LU_Grid,$C$2,AP62))</f>
        <v>0</v>
      </c>
      <c r="AZ62" cm="1">
        <f t="array" aca="1" ref="AZ62" ca="1">IF(AQ62=0,0,INDEX(sys_DataFlat_LU_Grid,$C$2,AQ62))</f>
        <v>0</v>
      </c>
      <c r="BA62" cm="1">
        <f t="array" aca="1" ref="BA62" ca="1">IF(AR62=0,0,INDEX(sys_DataFlat_LU_Grid,$C$2,AR62))</f>
        <v>0</v>
      </c>
      <c r="BC62" t="str" cm="1">
        <f t="array" ref="BC62">INDEX(auto_ddCountry,B62)</f>
        <v>Toronto</v>
      </c>
      <c r="BD62" cm="1">
        <f t="array" ref="BD62">INDEX(auto_Country_Status,B62)</f>
        <v>1</v>
      </c>
      <c r="BE62">
        <f t="shared" ca="1" si="50"/>
        <v>4</v>
      </c>
      <c r="BF62" t="str">
        <f t="shared" ca="1" si="52"/>
        <v/>
      </c>
      <c r="BG62" t="str">
        <f t="shared" ca="1" si="52"/>
        <v/>
      </c>
      <c r="BH62" t="str">
        <f t="shared" ca="1" si="52"/>
        <v/>
      </c>
      <c r="BI62" t="str">
        <f t="shared" ca="1" si="52"/>
        <v/>
      </c>
      <c r="BJ62" t="str">
        <f t="shared" ca="1" si="52"/>
        <v xml:space="preserve">Toronto • </v>
      </c>
      <c r="BK62" t="str">
        <f t="shared" ca="1" si="52"/>
        <v/>
      </c>
      <c r="BO62" t="s">
        <v>6665</v>
      </c>
      <c r="BP62" t="str">
        <f t="shared" si="20"/>
        <v>BG62,</v>
      </c>
    </row>
    <row r="63" spans="1:68" x14ac:dyDescent="0.4">
      <c r="A63">
        <v>48</v>
      </c>
      <c r="B63">
        <v>48</v>
      </c>
      <c r="C63" cm="1">
        <f t="array" ref="C63">INDEX(auto_Country_Status,B63)</f>
        <v>1</v>
      </c>
      <c r="E63" cm="1">
        <f t="array" aca="1" ref="E63" ca="1">INDEX(sys_DataFlat_LU_Grid,$C$2,$B63)</f>
        <v>48</v>
      </c>
      <c r="F63" cm="1">
        <f t="array" aca="1" ref="F63" ca="1">INDEX(auto_DataFlat_Score,E63,$C$3)</f>
        <v>75.099999999999994</v>
      </c>
      <c r="G63" cm="1">
        <f t="array" aca="1" ref="G63" ca="1">INDEX(auto_DataFlat_DataValue,E63,$C$3)</f>
        <v>0</v>
      </c>
      <c r="H63">
        <f t="shared" ca="1" si="43"/>
        <v>75.099999999999994</v>
      </c>
      <c r="I63" cm="1">
        <f t="array" aca="1" ref="I63" ca="1">INDEX(auto_DataFlat_Classification,E63,$C$3)</f>
        <v>4</v>
      </c>
      <c r="J63">
        <f t="shared" ca="1" si="44"/>
        <v>75.099999999999994</v>
      </c>
      <c r="K63">
        <f t="shared" ca="1" si="45"/>
        <v>75.099999999999994</v>
      </c>
      <c r="L63">
        <f t="shared" ca="1" si="46"/>
        <v>75.099999999999994</v>
      </c>
      <c r="M63">
        <f ca="1">RANK(L63,OFFSET(L$16,0,0,$C$10,1))+COUNTIF(L$16:L63,L63)-1</f>
        <v>12</v>
      </c>
      <c r="O63">
        <f t="shared" ca="1" si="47"/>
        <v>2</v>
      </c>
      <c r="P63" cm="1">
        <f t="array" aca="1" ref="P63" ca="1">INDEX(auto_Country_Status,O63)</f>
        <v>1</v>
      </c>
      <c r="Q63" cm="1">
        <f t="array" aca="1" ref="Q63" ca="1">INDEX(OFFSET($E$16,0,0,$C$10,1),O63)</f>
        <v>2</v>
      </c>
      <c r="R63" t="str" cm="1">
        <f t="array" aca="1" ref="R63" ca="1">INDEX(auto_Country_ISO,O63)</f>
        <v>UAY</v>
      </c>
      <c r="S63" cm="1">
        <f t="array" aca="1" ref="S63" ca="1">IF(AND($C$12=TRUE,$P63=0),0,INDEX(auto_DataFlat_Classification,Q63,$C$3))</f>
        <v>3</v>
      </c>
      <c r="U63">
        <f t="shared" ca="1" si="48"/>
        <v>75.099999999999994</v>
      </c>
      <c r="V63">
        <f ca="1">RANK(U63,OFFSET(U$16,0,0,$C$10,1))+COUNTIF(U$16:U63,U63)-1</f>
        <v>12</v>
      </c>
      <c r="W63">
        <f t="shared" ca="1" si="49"/>
        <v>2</v>
      </c>
      <c r="X63" cm="1">
        <f t="array" aca="1" ref="X63" ca="1">INDEX(auto_Country_Status,W63)</f>
        <v>1</v>
      </c>
      <c r="Y63" cm="1">
        <f t="array" aca="1" ref="Y63" ca="1">INDEX(sys_DataFlat_LU_Grid,$C$2,W63)</f>
        <v>2</v>
      </c>
      <c r="Z63" cm="1">
        <f t="array" aca="1" ref="Z63" ca="1">IF(X63=0,-1,INDEX(auto_DataFlat_Classification,Y63,$C$3))</f>
        <v>3</v>
      </c>
      <c r="AB63" t="e">
        <f t="shared" ca="1" si="11"/>
        <v>#N/A</v>
      </c>
      <c r="AC63" t="e">
        <f t="shared" ca="1" si="12"/>
        <v>#N/A</v>
      </c>
      <c r="AD63" t="e">
        <f t="shared" ca="1" si="13"/>
        <v>#N/A</v>
      </c>
      <c r="AE63" t="e">
        <f t="shared" ca="1" si="14"/>
        <v>#N/A</v>
      </c>
      <c r="AF63" t="e">
        <f t="shared" ca="1" si="22"/>
        <v>#N/A</v>
      </c>
      <c r="AG63" t="e">
        <f t="shared" ca="1" si="23"/>
        <v>#N/A</v>
      </c>
      <c r="AH63" t="e">
        <f t="shared" ca="1" si="24"/>
        <v>#N/A</v>
      </c>
      <c r="AI63" t="e">
        <f t="shared" ca="1" si="25"/>
        <v>#N/A</v>
      </c>
      <c r="AK63" cm="1">
        <f t="array" aca="1" ref="AK63" ca="1">IFERROR(INDEX(OFFSET($W$16,0,0,$C$10,1),AB63),0)</f>
        <v>0</v>
      </c>
      <c r="AL63" cm="1">
        <f t="array" aca="1" ref="AL63" ca="1">IFERROR(INDEX(OFFSET($W$16,0,0,$C$10,1),AC63),0)</f>
        <v>0</v>
      </c>
      <c r="AM63" cm="1">
        <f t="array" aca="1" ref="AM63" ca="1">IFERROR(INDEX(OFFSET($W$16,0,0,$C$10,1),AD63),0)</f>
        <v>0</v>
      </c>
      <c r="AN63" cm="1">
        <f t="array" aca="1" ref="AN63" ca="1">IFERROR(INDEX(OFFSET($W$16,0,0,$C$10,1),AE63),0)</f>
        <v>0</v>
      </c>
      <c r="AO63" cm="1">
        <f t="array" aca="1" ref="AO63" ca="1">IFERROR(INDEX(OFFSET($W$16,0,0,$C$10,1),AF63),0)</f>
        <v>0</v>
      </c>
      <c r="AP63" cm="1">
        <f t="array" aca="1" ref="AP63" ca="1">IFERROR(INDEX(OFFSET($W$16,0,0,$C$10,1),AG63),0)</f>
        <v>0</v>
      </c>
      <c r="AQ63" cm="1">
        <f t="array" aca="1" ref="AQ63" ca="1">IFERROR(INDEX(OFFSET($W$16,0,0,$C$10,1),AH63),0)</f>
        <v>0</v>
      </c>
      <c r="AR63" cm="1">
        <f t="array" aca="1" ref="AR63" ca="1">IFERROR(INDEX(OFFSET($W$16,0,0,$C$10,1),AI63),0)</f>
        <v>0</v>
      </c>
      <c r="AT63" cm="1">
        <f t="array" aca="1" ref="AT63" ca="1">IF(AK63=0,0,INDEX(sys_DataFlat_LU_Grid,$C$2,AK63))</f>
        <v>0</v>
      </c>
      <c r="AU63" cm="1">
        <f t="array" aca="1" ref="AU63" ca="1">IF(AL63=0,0,INDEX(sys_DataFlat_LU_Grid,$C$2,AL63))</f>
        <v>0</v>
      </c>
      <c r="AV63" cm="1">
        <f t="array" aca="1" ref="AV63" ca="1">IF(AM63=0,0,INDEX(sys_DataFlat_LU_Grid,$C$2,AM63))</f>
        <v>0</v>
      </c>
      <c r="AW63" cm="1">
        <f t="array" aca="1" ref="AW63" ca="1">IF(AN63=0,0,INDEX(sys_DataFlat_LU_Grid,$C$2,AN63))</f>
        <v>0</v>
      </c>
      <c r="AX63" cm="1">
        <f t="array" aca="1" ref="AX63" ca="1">IF(AO63=0,0,INDEX(sys_DataFlat_LU_Grid,$C$2,AO63))</f>
        <v>0</v>
      </c>
      <c r="AY63" cm="1">
        <f t="array" aca="1" ref="AY63" ca="1">IF(AP63=0,0,INDEX(sys_DataFlat_LU_Grid,$C$2,AP63))</f>
        <v>0</v>
      </c>
      <c r="AZ63" cm="1">
        <f t="array" aca="1" ref="AZ63" ca="1">IF(AQ63=0,0,INDEX(sys_DataFlat_LU_Grid,$C$2,AQ63))</f>
        <v>0</v>
      </c>
      <c r="BA63" cm="1">
        <f t="array" aca="1" ref="BA63" ca="1">IF(AR63=0,0,INDEX(sys_DataFlat_LU_Grid,$C$2,AR63))</f>
        <v>0</v>
      </c>
      <c r="BC63" t="str" cm="1">
        <f t="array" ref="BC63">INDEX(auto_ddCountry,B63)</f>
        <v>Vienna</v>
      </c>
      <c r="BD63" cm="1">
        <f t="array" ref="BD63">INDEX(auto_Country_Status,B63)</f>
        <v>1</v>
      </c>
      <c r="BE63">
        <f t="shared" ca="1" si="50"/>
        <v>4</v>
      </c>
      <c r="BF63" t="str">
        <f t="shared" ca="1" si="52"/>
        <v/>
      </c>
      <c r="BG63" t="str">
        <f t="shared" ca="1" si="52"/>
        <v/>
      </c>
      <c r="BH63" t="str">
        <f t="shared" ca="1" si="52"/>
        <v/>
      </c>
      <c r="BI63" t="str">
        <f t="shared" ca="1" si="52"/>
        <v/>
      </c>
      <c r="BJ63" t="str">
        <f t="shared" ca="1" si="52"/>
        <v xml:space="preserve">Vienna • </v>
      </c>
      <c r="BK63" t="str">
        <f t="shared" ca="1" si="52"/>
        <v/>
      </c>
      <c r="BO63" t="s">
        <v>6666</v>
      </c>
      <c r="BP63" t="str">
        <f t="shared" si="20"/>
        <v>BG63,</v>
      </c>
    </row>
    <row r="64" spans="1:68" x14ac:dyDescent="0.4">
      <c r="A64">
        <v>49</v>
      </c>
      <c r="B64">
        <v>49</v>
      </c>
      <c r="C64" cm="1">
        <f t="array" ref="C64">INDEX(auto_Country_Status,B64)</f>
        <v>1</v>
      </c>
      <c r="E64" cm="1">
        <f t="array" aca="1" ref="E64" ca="1">INDEX(sys_DataFlat_LU_Grid,$C$2,$B64)</f>
        <v>49</v>
      </c>
      <c r="F64" cm="1">
        <f t="array" aca="1" ref="F64" ca="1">INDEX(auto_DataFlat_Score,E64,$C$3)</f>
        <v>57.3</v>
      </c>
      <c r="G64" cm="1">
        <f t="array" aca="1" ref="G64" ca="1">INDEX(auto_DataFlat_DataValue,E64,$C$3)</f>
        <v>0</v>
      </c>
      <c r="H64">
        <f t="shared" ca="1" si="43"/>
        <v>57.3</v>
      </c>
      <c r="I64" cm="1">
        <f t="array" aca="1" ref="I64" ca="1">INDEX(auto_DataFlat_Classification,E64,$C$3)</f>
        <v>3</v>
      </c>
      <c r="J64">
        <f t="shared" ca="1" si="44"/>
        <v>57.3</v>
      </c>
      <c r="K64">
        <f t="shared" ca="1" si="45"/>
        <v>57.3</v>
      </c>
      <c r="L64">
        <f t="shared" ca="1" si="46"/>
        <v>57.3</v>
      </c>
      <c r="M64">
        <f ca="1">RANK(L64,OFFSET(L$16,0,0,$C$10,1))+COUNTIF(L$16:L64,L64)-1</f>
        <v>32</v>
      </c>
      <c r="O64">
        <f t="shared" ca="1" si="47"/>
        <v>22</v>
      </c>
      <c r="P64" cm="1">
        <f t="array" aca="1" ref="P64" ca="1">INDEX(auto_Country_Status,O64)</f>
        <v>1</v>
      </c>
      <c r="Q64" cm="1">
        <f t="array" aca="1" ref="Q64" ca="1">INDEX(OFFSET($E$16,0,0,$C$10,1),O64)</f>
        <v>22</v>
      </c>
      <c r="R64" t="str" cm="1">
        <f t="array" aca="1" ref="R64" ca="1">INDEX(auto_Country_ISO,O64)</f>
        <v>KTM</v>
      </c>
      <c r="S64" cm="1">
        <f t="array" aca="1" ref="S64" ca="1">IF(AND($C$12=TRUE,$P64=0),0,INDEX(auto_DataFlat_Classification,Q64,$C$3))</f>
        <v>3</v>
      </c>
      <c r="U64">
        <f t="shared" ca="1" si="48"/>
        <v>57.3</v>
      </c>
      <c r="V64">
        <f ca="1">RANK(U64,OFFSET(U$16,0,0,$C$10,1))+COUNTIF(U$16:U64,U64)-1</f>
        <v>32</v>
      </c>
      <c r="W64">
        <f t="shared" ca="1" si="49"/>
        <v>22</v>
      </c>
      <c r="X64" cm="1">
        <f t="array" aca="1" ref="X64" ca="1">INDEX(auto_Country_Status,W64)</f>
        <v>1</v>
      </c>
      <c r="Y64" cm="1">
        <f t="array" aca="1" ref="Y64" ca="1">INDEX(sys_DataFlat_LU_Grid,$C$2,W64)</f>
        <v>22</v>
      </c>
      <c r="Z64" cm="1">
        <f t="array" aca="1" ref="Z64" ca="1">IF(X64=0,-1,INDEX(auto_DataFlat_Classification,Y64,$C$3))</f>
        <v>3</v>
      </c>
      <c r="AB64" t="e">
        <f t="shared" ca="1" si="11"/>
        <v>#N/A</v>
      </c>
      <c r="AC64" t="e">
        <f t="shared" ca="1" si="12"/>
        <v>#N/A</v>
      </c>
      <c r="AD64" t="e">
        <f t="shared" ca="1" si="13"/>
        <v>#N/A</v>
      </c>
      <c r="AE64" t="e">
        <f t="shared" ca="1" si="14"/>
        <v>#N/A</v>
      </c>
      <c r="AF64" t="e">
        <f t="shared" ca="1" si="22"/>
        <v>#N/A</v>
      </c>
      <c r="AG64" t="e">
        <f t="shared" ca="1" si="23"/>
        <v>#N/A</v>
      </c>
      <c r="AH64" t="e">
        <f t="shared" ca="1" si="24"/>
        <v>#N/A</v>
      </c>
      <c r="AI64" t="e">
        <f t="shared" ca="1" si="25"/>
        <v>#N/A</v>
      </c>
      <c r="AK64" cm="1">
        <f t="array" aca="1" ref="AK64" ca="1">IFERROR(INDEX(OFFSET($W$16,0,0,$C$10,1),AB64),0)</f>
        <v>0</v>
      </c>
      <c r="AL64" cm="1">
        <f t="array" aca="1" ref="AL64" ca="1">IFERROR(INDEX(OFFSET($W$16,0,0,$C$10,1),AC64),0)</f>
        <v>0</v>
      </c>
      <c r="AM64" cm="1">
        <f t="array" aca="1" ref="AM64" ca="1">IFERROR(INDEX(OFFSET($W$16,0,0,$C$10,1),AD64),0)</f>
        <v>0</v>
      </c>
      <c r="AN64" cm="1">
        <f t="array" aca="1" ref="AN64" ca="1">IFERROR(INDEX(OFFSET($W$16,0,0,$C$10,1),AE64),0)</f>
        <v>0</v>
      </c>
      <c r="AO64" cm="1">
        <f t="array" aca="1" ref="AO64" ca="1">IFERROR(INDEX(OFFSET($W$16,0,0,$C$10,1),AF64),0)</f>
        <v>0</v>
      </c>
      <c r="AP64" cm="1">
        <f t="array" aca="1" ref="AP64" ca="1">IFERROR(INDEX(OFFSET($W$16,0,0,$C$10,1),AG64),0)</f>
        <v>0</v>
      </c>
      <c r="AQ64" cm="1">
        <f t="array" aca="1" ref="AQ64" ca="1">IFERROR(INDEX(OFFSET($W$16,0,0,$C$10,1),AH64),0)</f>
        <v>0</v>
      </c>
      <c r="AR64" cm="1">
        <f t="array" aca="1" ref="AR64" ca="1">IFERROR(INDEX(OFFSET($W$16,0,0,$C$10,1),AI64),0)</f>
        <v>0</v>
      </c>
      <c r="AT64" cm="1">
        <f t="array" aca="1" ref="AT64" ca="1">IF(AK64=0,0,INDEX(sys_DataFlat_LU_Grid,$C$2,AK64))</f>
        <v>0</v>
      </c>
      <c r="AU64" cm="1">
        <f t="array" aca="1" ref="AU64" ca="1">IF(AL64=0,0,INDEX(sys_DataFlat_LU_Grid,$C$2,AL64))</f>
        <v>0</v>
      </c>
      <c r="AV64" cm="1">
        <f t="array" aca="1" ref="AV64" ca="1">IF(AM64=0,0,INDEX(sys_DataFlat_LU_Grid,$C$2,AM64))</f>
        <v>0</v>
      </c>
      <c r="AW64" cm="1">
        <f t="array" aca="1" ref="AW64" ca="1">IF(AN64=0,0,INDEX(sys_DataFlat_LU_Grid,$C$2,AN64))</f>
        <v>0</v>
      </c>
      <c r="AX64" cm="1">
        <f t="array" aca="1" ref="AX64" ca="1">IF(AO64=0,0,INDEX(sys_DataFlat_LU_Grid,$C$2,AO64))</f>
        <v>0</v>
      </c>
      <c r="AY64" cm="1">
        <f t="array" aca="1" ref="AY64" ca="1">IF(AP64=0,0,INDEX(sys_DataFlat_LU_Grid,$C$2,AP64))</f>
        <v>0</v>
      </c>
      <c r="AZ64" cm="1">
        <f t="array" aca="1" ref="AZ64" ca="1">IF(AQ64=0,0,INDEX(sys_DataFlat_LU_Grid,$C$2,AQ64))</f>
        <v>0</v>
      </c>
      <c r="BA64" cm="1">
        <f t="array" aca="1" ref="BA64" ca="1">IF(AR64=0,0,INDEX(sys_DataFlat_LU_Grid,$C$2,AR64))</f>
        <v>0</v>
      </c>
      <c r="BC64" t="str" cm="1">
        <f t="array" ref="BC64">INDEX(auto_ddCountry,B64)</f>
        <v>Wuhan</v>
      </c>
      <c r="BD64" cm="1">
        <f t="array" ref="BD64">INDEX(auto_Country_Status,B64)</f>
        <v>1</v>
      </c>
      <c r="BE64">
        <f t="shared" ca="1" si="50"/>
        <v>3</v>
      </c>
      <c r="BF64" t="str">
        <f t="shared" ca="1" si="52"/>
        <v/>
      </c>
      <c r="BG64" t="str">
        <f t="shared" ca="1" si="52"/>
        <v/>
      </c>
      <c r="BH64" t="str">
        <f t="shared" ca="1" si="52"/>
        <v/>
      </c>
      <c r="BI64" t="str">
        <f t="shared" ca="1" si="52"/>
        <v xml:space="preserve">Wuhan • </v>
      </c>
      <c r="BJ64" t="str">
        <f t="shared" ca="1" si="52"/>
        <v/>
      </c>
      <c r="BK64" t="str">
        <f t="shared" ca="1" si="52"/>
        <v/>
      </c>
      <c r="BL64" t="str">
        <f t="shared" ca="1" si="26"/>
        <v/>
      </c>
      <c r="BM64" t="str">
        <f t="shared" ca="1" si="26"/>
        <v/>
      </c>
      <c r="BO64" t="s">
        <v>6667</v>
      </c>
      <c r="BP64" t="str">
        <f t="shared" si="20"/>
        <v>BG64,</v>
      </c>
    </row>
    <row r="65" spans="1:68" x14ac:dyDescent="0.4">
      <c r="A65">
        <v>50</v>
      </c>
      <c r="B65">
        <v>50</v>
      </c>
      <c r="C65" cm="1">
        <f t="array" ref="C65">INDEX(auto_Country_Status,B65)</f>
        <v>1</v>
      </c>
      <c r="E65" cm="1">
        <f t="array" aca="1" ref="E65" ca="1">INDEX(sys_DataFlat_LU_Grid,$C$2,$B65)</f>
        <v>50</v>
      </c>
      <c r="F65" cm="1">
        <f t="array" aca="1" ref="F65" ca="1">INDEX(auto_DataFlat_Score,E65,$C$3)</f>
        <v>43.5</v>
      </c>
      <c r="G65" cm="1">
        <f t="array" aca="1" ref="G65" ca="1">INDEX(auto_DataFlat_DataValue,E65,$C$3)</f>
        <v>0</v>
      </c>
      <c r="H65">
        <f t="shared" ca="1" si="43"/>
        <v>43.5</v>
      </c>
      <c r="I65" cm="1">
        <f t="array" aca="1" ref="I65" ca="1">INDEX(auto_DataFlat_Classification,E65,$C$3)</f>
        <v>3</v>
      </c>
      <c r="J65">
        <f t="shared" ca="1" si="44"/>
        <v>43.5</v>
      </c>
      <c r="K65">
        <f t="shared" ca="1" si="45"/>
        <v>43.5</v>
      </c>
      <c r="L65">
        <f t="shared" ca="1" si="46"/>
        <v>43.5</v>
      </c>
      <c r="M65">
        <f ca="1">RANK(L65,OFFSET(L$16,0,0,$C$10,1))+COUNTIF(L$16:L65,L65)-1</f>
        <v>45</v>
      </c>
      <c r="O65">
        <f t="shared" ca="1" si="47"/>
        <v>10</v>
      </c>
      <c r="P65" cm="1">
        <f t="array" aca="1" ref="P65" ca="1">INDEX(auto_Country_Status,O65)</f>
        <v>1</v>
      </c>
      <c r="Q65" cm="1">
        <f t="array" aca="1" ref="Q65" ca="1">INDEX(OFFSET($E$16,0,0,$C$10,1),O65)</f>
        <v>10</v>
      </c>
      <c r="R65" t="str" cm="1">
        <f t="array" aca="1" ref="R65" ca="1">INDEX(auto_Country_ISO,O65)</f>
        <v>CJR</v>
      </c>
      <c r="S65" cm="1">
        <f t="array" aca="1" ref="S65" ca="1">IF(AND($C$12=TRUE,$P65=0),0,INDEX(auto_DataFlat_Classification,Q65,$C$3))</f>
        <v>3</v>
      </c>
      <c r="U65">
        <f t="shared" ca="1" si="48"/>
        <v>43.5</v>
      </c>
      <c r="V65">
        <f ca="1">RANK(U65,OFFSET(U$16,0,0,$C$10,1))+COUNTIF(U$16:U65,U65)-1</f>
        <v>45</v>
      </c>
      <c r="W65">
        <f t="shared" ca="1" si="49"/>
        <v>10</v>
      </c>
      <c r="X65" cm="1">
        <f t="array" aca="1" ref="X65" ca="1">INDEX(auto_Country_Status,W65)</f>
        <v>1</v>
      </c>
      <c r="Y65" cm="1">
        <f t="array" aca="1" ref="Y65" ca="1">INDEX(sys_DataFlat_LU_Grid,$C$2,W65)</f>
        <v>10</v>
      </c>
      <c r="Z65" cm="1">
        <f t="array" aca="1" ref="Z65" ca="1">IF(X65=0,-1,INDEX(auto_DataFlat_Classification,Y65,$C$3))</f>
        <v>3</v>
      </c>
      <c r="AB65" t="e">
        <f t="shared" ca="1" si="11"/>
        <v>#N/A</v>
      </c>
      <c r="AC65" t="e">
        <f t="shared" ca="1" si="12"/>
        <v>#N/A</v>
      </c>
      <c r="AD65" t="e">
        <f t="shared" ca="1" si="13"/>
        <v>#N/A</v>
      </c>
      <c r="AE65" t="e">
        <f t="shared" ca="1" si="14"/>
        <v>#N/A</v>
      </c>
      <c r="AF65" t="e">
        <f t="shared" ca="1" si="22"/>
        <v>#N/A</v>
      </c>
      <c r="AG65" t="e">
        <f t="shared" ca="1" si="23"/>
        <v>#N/A</v>
      </c>
      <c r="AH65" t="e">
        <f t="shared" ca="1" si="24"/>
        <v>#N/A</v>
      </c>
      <c r="AI65" t="e">
        <f t="shared" ca="1" si="25"/>
        <v>#N/A</v>
      </c>
      <c r="AK65" cm="1">
        <f t="array" aca="1" ref="AK65" ca="1">IFERROR(INDEX(OFFSET($W$16,0,0,$C$10,1),AB65),0)</f>
        <v>0</v>
      </c>
      <c r="AL65" cm="1">
        <f t="array" aca="1" ref="AL65" ca="1">IFERROR(INDEX(OFFSET($W$16,0,0,$C$10,1),AC65),0)</f>
        <v>0</v>
      </c>
      <c r="AM65" cm="1">
        <f t="array" aca="1" ref="AM65" ca="1">IFERROR(INDEX(OFFSET($W$16,0,0,$C$10,1),AD65),0)</f>
        <v>0</v>
      </c>
      <c r="AN65" cm="1">
        <f t="array" aca="1" ref="AN65" ca="1">IFERROR(INDEX(OFFSET($W$16,0,0,$C$10,1),AE65),0)</f>
        <v>0</v>
      </c>
      <c r="AO65" cm="1">
        <f t="array" aca="1" ref="AO65" ca="1">IFERROR(INDEX(OFFSET($W$16,0,0,$C$10,1),AF65),0)</f>
        <v>0</v>
      </c>
      <c r="AP65" cm="1">
        <f t="array" aca="1" ref="AP65" ca="1">IFERROR(INDEX(OFFSET($W$16,0,0,$C$10,1),AG65),0)</f>
        <v>0</v>
      </c>
      <c r="AQ65" cm="1">
        <f t="array" aca="1" ref="AQ65" ca="1">IFERROR(INDEX(OFFSET($W$16,0,0,$C$10,1),AH65),0)</f>
        <v>0</v>
      </c>
      <c r="AR65" cm="1">
        <f t="array" aca="1" ref="AR65" ca="1">IFERROR(INDEX(OFFSET($W$16,0,0,$C$10,1),AI65),0)</f>
        <v>0</v>
      </c>
      <c r="AT65" cm="1">
        <f t="array" aca="1" ref="AT65" ca="1">IF(AK65=0,0,INDEX(sys_DataFlat_LU_Grid,$C$2,AK65))</f>
        <v>0</v>
      </c>
      <c r="AU65" cm="1">
        <f t="array" aca="1" ref="AU65" ca="1">IF(AL65=0,0,INDEX(sys_DataFlat_LU_Grid,$C$2,AL65))</f>
        <v>0</v>
      </c>
      <c r="AV65" cm="1">
        <f t="array" aca="1" ref="AV65" ca="1">IF(AM65=0,0,INDEX(sys_DataFlat_LU_Grid,$C$2,AM65))</f>
        <v>0</v>
      </c>
      <c r="AW65" cm="1">
        <f t="array" aca="1" ref="AW65" ca="1">IF(AN65=0,0,INDEX(sys_DataFlat_LU_Grid,$C$2,AN65))</f>
        <v>0</v>
      </c>
      <c r="AX65" cm="1">
        <f t="array" aca="1" ref="AX65" ca="1">IF(AO65=0,0,INDEX(sys_DataFlat_LU_Grid,$C$2,AO65))</f>
        <v>0</v>
      </c>
      <c r="AY65" cm="1">
        <f t="array" aca="1" ref="AY65" ca="1">IF(AP65=0,0,INDEX(sys_DataFlat_LU_Grid,$C$2,AP65))</f>
        <v>0</v>
      </c>
      <c r="AZ65" cm="1">
        <f t="array" aca="1" ref="AZ65" ca="1">IF(AQ65=0,0,INDEX(sys_DataFlat_LU_Grid,$C$2,AQ65))</f>
        <v>0</v>
      </c>
      <c r="BA65" cm="1">
        <f t="array" aca="1" ref="BA65" ca="1">IF(AR65=0,0,INDEX(sys_DataFlat_LU_Grid,$C$2,AR65))</f>
        <v>0</v>
      </c>
      <c r="BC65" t="str" cm="1">
        <f t="array" ref="BC65">INDEX(auto_ddCountry,B65)</f>
        <v>Yangon</v>
      </c>
      <c r="BD65" cm="1">
        <f t="array" ref="BD65">INDEX(auto_Country_Status,B65)</f>
        <v>1</v>
      </c>
      <c r="BE65">
        <f t="shared" ca="1" si="50"/>
        <v>3</v>
      </c>
      <c r="BF65" t="str">
        <f t="shared" ca="1" si="52"/>
        <v/>
      </c>
      <c r="BG65" t="str">
        <f t="shared" ca="1" si="52"/>
        <v/>
      </c>
      <c r="BH65" t="str">
        <f t="shared" ca="1" si="52"/>
        <v/>
      </c>
      <c r="BI65" t="str">
        <f t="shared" ca="1" si="52"/>
        <v xml:space="preserve">Yangon • </v>
      </c>
      <c r="BJ65" t="str">
        <f t="shared" ca="1" si="52"/>
        <v/>
      </c>
      <c r="BK65" t="str">
        <f t="shared" ca="1" si="52"/>
        <v/>
      </c>
      <c r="BL65" t="str">
        <f t="shared" ca="1" si="26"/>
        <v/>
      </c>
      <c r="BM65" t="str">
        <f t="shared" ca="1" si="26"/>
        <v/>
      </c>
      <c r="BO65" t="s">
        <v>6668</v>
      </c>
      <c r="BP65" t="str">
        <f t="shared" si="20"/>
        <v>BG65,</v>
      </c>
    </row>
  </sheetData>
  <phoneticPr fontId="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F0097-9986-4336-B463-77315CB47B0D}">
  <sheetPr codeName="Sheet2">
    <tabColor theme="9"/>
  </sheetPr>
  <dimension ref="A2:AN12"/>
  <sheetViews>
    <sheetView workbookViewId="0">
      <selection activeCell="T29" sqref="T29"/>
    </sheetView>
  </sheetViews>
  <sheetFormatPr defaultRowHeight="14.6" x14ac:dyDescent="0.4"/>
  <sheetData>
    <row r="2" spans="1:40" x14ac:dyDescent="0.4">
      <c r="A2" t="s">
        <v>1135</v>
      </c>
    </row>
    <row r="3" spans="1:40" x14ac:dyDescent="0.4">
      <c r="A3" t="s">
        <v>68</v>
      </c>
      <c r="C3" t="s">
        <v>1769</v>
      </c>
      <c r="D3" t="s">
        <v>1781</v>
      </c>
      <c r="E3" t="s">
        <v>1795</v>
      </c>
      <c r="F3" t="s">
        <v>1796</v>
      </c>
      <c r="G3" t="s">
        <v>4583</v>
      </c>
      <c r="I3" t="s">
        <v>1409</v>
      </c>
      <c r="J3" t="s">
        <v>1410</v>
      </c>
      <c r="K3" t="s">
        <v>1411</v>
      </c>
      <c r="L3" t="s">
        <v>1412</v>
      </c>
      <c r="M3" t="s">
        <v>1413</v>
      </c>
      <c r="N3" t="s">
        <v>1569</v>
      </c>
      <c r="O3" t="s">
        <v>1414</v>
      </c>
      <c r="P3" t="s">
        <v>1415</v>
      </c>
      <c r="Q3" t="s">
        <v>1416</v>
      </c>
      <c r="R3" t="s">
        <v>1570</v>
      </c>
      <c r="S3" t="s">
        <v>1417</v>
      </c>
      <c r="T3" t="s">
        <v>1418</v>
      </c>
      <c r="U3" t="s">
        <v>1419</v>
      </c>
      <c r="V3" t="s">
        <v>1420</v>
      </c>
      <c r="W3" t="s">
        <v>1421</v>
      </c>
      <c r="X3" t="s">
        <v>1422</v>
      </c>
      <c r="Y3" t="s">
        <v>1423</v>
      </c>
      <c r="Z3" t="s">
        <v>1424</v>
      </c>
      <c r="AA3" t="s">
        <v>1425</v>
      </c>
      <c r="AB3" t="s">
        <v>4580</v>
      </c>
      <c r="AC3" t="s">
        <v>4581</v>
      </c>
      <c r="AD3" t="s">
        <v>4582</v>
      </c>
      <c r="AE3" t="s">
        <v>4584</v>
      </c>
      <c r="AF3" t="s">
        <v>4585</v>
      </c>
      <c r="AG3" t="s">
        <v>4586</v>
      </c>
      <c r="AH3" t="s">
        <v>4587</v>
      </c>
      <c r="AI3" t="s">
        <v>4588</v>
      </c>
      <c r="AJ3" t="s">
        <v>4589</v>
      </c>
      <c r="AK3" t="s">
        <v>1426</v>
      </c>
      <c r="AL3" t="s">
        <v>4590</v>
      </c>
      <c r="AM3" t="s">
        <v>4591</v>
      </c>
      <c r="AN3" t="s">
        <v>4591</v>
      </c>
    </row>
    <row r="4" spans="1:40" x14ac:dyDescent="0.4">
      <c r="A4" t="s">
        <v>1769</v>
      </c>
      <c r="C4" t="s">
        <v>1409</v>
      </c>
      <c r="D4" t="s">
        <v>1569</v>
      </c>
      <c r="E4" t="s">
        <v>1417</v>
      </c>
      <c r="F4" t="s">
        <v>1425</v>
      </c>
      <c r="G4" t="s">
        <v>4584</v>
      </c>
      <c r="I4" t="s">
        <v>1770</v>
      </c>
      <c r="J4" t="s">
        <v>1772</v>
      </c>
      <c r="K4" t="s">
        <v>1774</v>
      </c>
      <c r="Q4" t="s">
        <v>1776</v>
      </c>
      <c r="S4" t="s">
        <v>1778</v>
      </c>
      <c r="T4" t="s">
        <v>1780</v>
      </c>
      <c r="U4" t="s">
        <v>1783</v>
      </c>
      <c r="V4" t="s">
        <v>4578</v>
      </c>
      <c r="W4" t="s">
        <v>4579</v>
      </c>
      <c r="X4" t="s">
        <v>1787</v>
      </c>
      <c r="Y4" t="s">
        <v>1789</v>
      </c>
      <c r="Z4" t="s">
        <v>1791</v>
      </c>
      <c r="AG4" t="s">
        <v>1793</v>
      </c>
      <c r="AH4" t="s">
        <v>1793</v>
      </c>
    </row>
    <row r="5" spans="1:40" x14ac:dyDescent="0.4">
      <c r="A5" t="s">
        <v>1781</v>
      </c>
      <c r="C5" t="s">
        <v>1410</v>
      </c>
      <c r="D5" t="s">
        <v>1414</v>
      </c>
      <c r="E5" t="s">
        <v>1418</v>
      </c>
      <c r="F5" t="s">
        <v>4580</v>
      </c>
      <c r="G5" t="s">
        <v>4585</v>
      </c>
      <c r="I5" t="s">
        <v>1771</v>
      </c>
      <c r="J5" t="s">
        <v>1773</v>
      </c>
      <c r="K5" t="s">
        <v>1775</v>
      </c>
      <c r="Q5" t="s">
        <v>1777</v>
      </c>
      <c r="S5" t="s">
        <v>1779</v>
      </c>
      <c r="T5" t="s">
        <v>1782</v>
      </c>
      <c r="U5" t="s">
        <v>1784</v>
      </c>
      <c r="V5" t="s">
        <v>1785</v>
      </c>
      <c r="W5" t="s">
        <v>1786</v>
      </c>
      <c r="X5" t="s">
        <v>1788</v>
      </c>
      <c r="Y5" t="s">
        <v>1790</v>
      </c>
      <c r="Z5" t="s">
        <v>1792</v>
      </c>
      <c r="AG5" t="s">
        <v>1794</v>
      </c>
      <c r="AH5" t="s">
        <v>1794</v>
      </c>
    </row>
    <row r="6" spans="1:40" x14ac:dyDescent="0.4">
      <c r="A6" t="s">
        <v>1795</v>
      </c>
      <c r="C6" t="s">
        <v>1411</v>
      </c>
      <c r="D6" t="s">
        <v>1415</v>
      </c>
      <c r="E6" t="s">
        <v>1419</v>
      </c>
      <c r="F6" t="s">
        <v>4581</v>
      </c>
      <c r="G6" t="s">
        <v>4586</v>
      </c>
    </row>
    <row r="7" spans="1:40" x14ac:dyDescent="0.4">
      <c r="A7" t="s">
        <v>1796</v>
      </c>
      <c r="C7" t="s">
        <v>1412</v>
      </c>
      <c r="D7" t="s">
        <v>1416</v>
      </c>
      <c r="E7" t="s">
        <v>1420</v>
      </c>
      <c r="F7" t="s">
        <v>4582</v>
      </c>
      <c r="G7" t="s">
        <v>4587</v>
      </c>
    </row>
    <row r="8" spans="1:40" x14ac:dyDescent="0.4">
      <c r="A8" t="s">
        <v>4583</v>
      </c>
      <c r="C8" t="s">
        <v>1413</v>
      </c>
      <c r="D8" t="s">
        <v>1570</v>
      </c>
      <c r="E8" t="s">
        <v>1421</v>
      </c>
      <c r="G8" t="s">
        <v>4588</v>
      </c>
    </row>
    <row r="9" spans="1:40" x14ac:dyDescent="0.4">
      <c r="E9" t="s">
        <v>1422</v>
      </c>
      <c r="G9" t="s">
        <v>4589</v>
      </c>
    </row>
    <row r="10" spans="1:40" x14ac:dyDescent="0.4">
      <c r="E10" t="s">
        <v>1423</v>
      </c>
      <c r="G10" t="s">
        <v>1426</v>
      </c>
    </row>
    <row r="11" spans="1:40" x14ac:dyDescent="0.4">
      <c r="E11" t="s">
        <v>1424</v>
      </c>
      <c r="G11" t="s">
        <v>4590</v>
      </c>
    </row>
    <row r="12" spans="1:40" x14ac:dyDescent="0.4">
      <c r="G12" t="s">
        <v>4591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AD692-2248-478A-9D28-1A138B954F84}">
  <sheetPr codeName="Sheet3">
    <tabColor theme="9"/>
  </sheetPr>
  <dimension ref="A2:L4681"/>
  <sheetViews>
    <sheetView topLeftCell="A64" workbookViewId="0">
      <selection activeCell="J2" sqref="J2:J19317"/>
    </sheetView>
  </sheetViews>
  <sheetFormatPr defaultColWidth="9.15234375" defaultRowHeight="14.6" x14ac:dyDescent="0.4"/>
  <cols>
    <col min="1" max="1" width="50.15234375" bestFit="1" customWidth="1"/>
  </cols>
  <sheetData>
    <row r="2" spans="1:5" x14ac:dyDescent="0.4">
      <c r="A2" t="s">
        <v>2832</v>
      </c>
      <c r="B2">
        <v>49.6</v>
      </c>
      <c r="C2" t="s">
        <v>5713</v>
      </c>
      <c r="D2">
        <v>3</v>
      </c>
      <c r="E2">
        <v>-1</v>
      </c>
    </row>
    <row r="3" spans="1:5" x14ac:dyDescent="0.4">
      <c r="A3" t="s">
        <v>2830</v>
      </c>
      <c r="B3">
        <v>41</v>
      </c>
      <c r="C3" t="s">
        <v>6036</v>
      </c>
      <c r="D3">
        <v>3</v>
      </c>
      <c r="E3">
        <v>-1.671</v>
      </c>
    </row>
    <row r="4" spans="1:5" x14ac:dyDescent="0.4">
      <c r="A4" t="s">
        <v>2836</v>
      </c>
      <c r="B4">
        <v>63.1</v>
      </c>
      <c r="C4" t="s">
        <v>5736</v>
      </c>
      <c r="D4">
        <v>4</v>
      </c>
      <c r="E4">
        <v>5.5E-2</v>
      </c>
    </row>
    <row r="5" spans="1:5" x14ac:dyDescent="0.4">
      <c r="A5" t="s">
        <v>2860</v>
      </c>
      <c r="B5">
        <v>71</v>
      </c>
      <c r="C5" t="s">
        <v>5705</v>
      </c>
      <c r="D5">
        <v>4</v>
      </c>
      <c r="E5">
        <v>0.67200000000000004</v>
      </c>
    </row>
    <row r="6" spans="1:5" x14ac:dyDescent="0.4">
      <c r="A6" t="s">
        <v>1800</v>
      </c>
      <c r="B6">
        <v>68.8</v>
      </c>
      <c r="C6" t="s">
        <v>6579</v>
      </c>
      <c r="D6">
        <v>4</v>
      </c>
      <c r="E6">
        <v>0.5</v>
      </c>
    </row>
    <row r="7" spans="1:5" x14ac:dyDescent="0.4">
      <c r="A7" t="s">
        <v>2856</v>
      </c>
      <c r="B7">
        <v>63.4</v>
      </c>
      <c r="C7" t="s">
        <v>5693</v>
      </c>
      <c r="D7">
        <v>4</v>
      </c>
      <c r="E7">
        <v>7.8E-2</v>
      </c>
    </row>
    <row r="8" spans="1:5" x14ac:dyDescent="0.4">
      <c r="A8" t="s">
        <v>2840</v>
      </c>
      <c r="B8">
        <v>77.400000000000006</v>
      </c>
      <c r="C8" t="s">
        <v>2476</v>
      </c>
      <c r="D8">
        <v>4</v>
      </c>
      <c r="E8">
        <v>1.171</v>
      </c>
    </row>
    <row r="9" spans="1:5" x14ac:dyDescent="0.4">
      <c r="A9" t="s">
        <v>2834</v>
      </c>
      <c r="B9">
        <v>69.7</v>
      </c>
      <c r="C9" t="s">
        <v>5695</v>
      </c>
      <c r="D9">
        <v>4</v>
      </c>
      <c r="E9">
        <v>0.56999999999999995</v>
      </c>
    </row>
    <row r="10" spans="1:5" x14ac:dyDescent="0.4">
      <c r="A10" t="s">
        <v>2846</v>
      </c>
      <c r="B10">
        <v>69.5</v>
      </c>
      <c r="C10" t="s">
        <v>6580</v>
      </c>
      <c r="D10">
        <v>4</v>
      </c>
      <c r="E10">
        <v>0.55400000000000005</v>
      </c>
    </row>
    <row r="11" spans="1:5" x14ac:dyDescent="0.4">
      <c r="A11" t="s">
        <v>2838</v>
      </c>
      <c r="B11">
        <v>40.6</v>
      </c>
      <c r="C11" t="s">
        <v>6033</v>
      </c>
      <c r="D11">
        <v>3</v>
      </c>
      <c r="E11">
        <v>-1.702</v>
      </c>
    </row>
    <row r="12" spans="1:5" x14ac:dyDescent="0.4">
      <c r="A12" t="s">
        <v>5948</v>
      </c>
      <c r="B12">
        <v>50.1</v>
      </c>
      <c r="C12" t="s">
        <v>5708</v>
      </c>
      <c r="D12">
        <v>3</v>
      </c>
      <c r="E12">
        <v>-0.96</v>
      </c>
    </row>
    <row r="13" spans="1:5" x14ac:dyDescent="0.4">
      <c r="A13" t="s">
        <v>2852</v>
      </c>
      <c r="B13">
        <v>56.8</v>
      </c>
      <c r="C13" t="s">
        <v>5734</v>
      </c>
      <c r="D13">
        <v>3</v>
      </c>
      <c r="E13">
        <v>-0.437</v>
      </c>
    </row>
    <row r="14" spans="1:5" x14ac:dyDescent="0.4">
      <c r="A14" t="s">
        <v>1801</v>
      </c>
      <c r="B14">
        <v>41.8</v>
      </c>
      <c r="C14" t="s">
        <v>6037</v>
      </c>
      <c r="D14">
        <v>3</v>
      </c>
      <c r="E14">
        <v>-1.609</v>
      </c>
    </row>
    <row r="15" spans="1:5" x14ac:dyDescent="0.4">
      <c r="A15" t="s">
        <v>1810</v>
      </c>
      <c r="B15">
        <v>65</v>
      </c>
      <c r="C15" t="s">
        <v>5700</v>
      </c>
      <c r="D15">
        <v>4</v>
      </c>
      <c r="E15">
        <v>0.20300000000000001</v>
      </c>
    </row>
    <row r="16" spans="1:5" x14ac:dyDescent="0.4">
      <c r="A16" t="s">
        <v>2845</v>
      </c>
      <c r="B16">
        <v>75.5</v>
      </c>
      <c r="C16" t="s">
        <v>2481</v>
      </c>
      <c r="D16">
        <v>4</v>
      </c>
      <c r="E16">
        <v>1.0229999999999999</v>
      </c>
    </row>
    <row r="17" spans="1:5" x14ac:dyDescent="0.4">
      <c r="A17" t="s">
        <v>2859</v>
      </c>
      <c r="B17">
        <v>66</v>
      </c>
      <c r="C17" t="s">
        <v>5732</v>
      </c>
      <c r="D17">
        <v>4</v>
      </c>
      <c r="E17">
        <v>0.28100000000000003</v>
      </c>
    </row>
    <row r="18" spans="1:5" x14ac:dyDescent="0.4">
      <c r="A18" t="s">
        <v>1802</v>
      </c>
      <c r="B18">
        <v>83.2</v>
      </c>
      <c r="C18" t="s">
        <v>2479</v>
      </c>
      <c r="D18">
        <v>5</v>
      </c>
      <c r="E18">
        <v>1.6240000000000001</v>
      </c>
    </row>
    <row r="19" spans="1:5" x14ac:dyDescent="0.4">
      <c r="A19" t="s">
        <v>1809</v>
      </c>
      <c r="B19">
        <v>60.4</v>
      </c>
      <c r="C19" t="s">
        <v>5727</v>
      </c>
      <c r="D19">
        <v>4</v>
      </c>
      <c r="E19">
        <v>-0.156</v>
      </c>
    </row>
    <row r="20" spans="1:5" x14ac:dyDescent="0.4">
      <c r="A20" t="s">
        <v>1803</v>
      </c>
      <c r="B20">
        <v>71.7</v>
      </c>
      <c r="C20" t="s">
        <v>5707</v>
      </c>
      <c r="D20">
        <v>4</v>
      </c>
      <c r="E20">
        <v>0.72599999999999998</v>
      </c>
    </row>
    <row r="21" spans="1:5" x14ac:dyDescent="0.4">
      <c r="A21" t="s">
        <v>2829</v>
      </c>
      <c r="B21">
        <v>52.5</v>
      </c>
      <c r="C21" t="s">
        <v>5704</v>
      </c>
      <c r="D21">
        <v>3</v>
      </c>
      <c r="E21">
        <v>-0.77300000000000002</v>
      </c>
    </row>
    <row r="22" spans="1:5" x14ac:dyDescent="0.4">
      <c r="A22" t="s">
        <v>2849</v>
      </c>
      <c r="B22">
        <v>44.3</v>
      </c>
      <c r="C22" t="s">
        <v>5711</v>
      </c>
      <c r="D22">
        <v>3</v>
      </c>
      <c r="E22">
        <v>-1.413</v>
      </c>
    </row>
    <row r="23" spans="1:5" x14ac:dyDescent="0.4">
      <c r="A23" t="s">
        <v>2853</v>
      </c>
      <c r="B23">
        <v>40.9</v>
      </c>
      <c r="C23" t="s">
        <v>6035</v>
      </c>
      <c r="D23">
        <v>3</v>
      </c>
      <c r="E23">
        <v>-1.679</v>
      </c>
    </row>
    <row r="24" spans="1:5" x14ac:dyDescent="0.4">
      <c r="A24" t="s">
        <v>2851</v>
      </c>
      <c r="B24">
        <v>51.8</v>
      </c>
      <c r="C24" t="s">
        <v>5694</v>
      </c>
      <c r="D24">
        <v>3</v>
      </c>
      <c r="E24">
        <v>-0.82799999999999996</v>
      </c>
    </row>
    <row r="25" spans="1:5" x14ac:dyDescent="0.4">
      <c r="A25" t="s">
        <v>2839</v>
      </c>
      <c r="B25">
        <v>42.1</v>
      </c>
      <c r="C25" t="s">
        <v>5710</v>
      </c>
      <c r="D25">
        <v>3</v>
      </c>
      <c r="E25">
        <v>-1.585</v>
      </c>
    </row>
    <row r="26" spans="1:5" x14ac:dyDescent="0.4">
      <c r="A26" t="s">
        <v>2828</v>
      </c>
      <c r="B26">
        <v>51.6</v>
      </c>
      <c r="C26" t="s">
        <v>5709</v>
      </c>
      <c r="D26">
        <v>3</v>
      </c>
      <c r="E26">
        <v>-0.84299999999999997</v>
      </c>
    </row>
    <row r="27" spans="1:5" x14ac:dyDescent="0.4">
      <c r="A27" t="s">
        <v>2842</v>
      </c>
      <c r="B27">
        <v>82.6</v>
      </c>
      <c r="C27" t="s">
        <v>2478</v>
      </c>
      <c r="D27">
        <v>5</v>
      </c>
      <c r="E27">
        <v>1.577</v>
      </c>
    </row>
    <row r="28" spans="1:5" x14ac:dyDescent="0.4">
      <c r="A28" t="s">
        <v>2843</v>
      </c>
      <c r="B28">
        <v>79.599999999999994</v>
      </c>
      <c r="C28" t="s">
        <v>2477</v>
      </c>
      <c r="D28">
        <v>4</v>
      </c>
      <c r="E28">
        <v>1.343</v>
      </c>
    </row>
    <row r="29" spans="1:5" x14ac:dyDescent="0.4">
      <c r="A29" t="s">
        <v>2861</v>
      </c>
      <c r="B29">
        <v>48.8</v>
      </c>
      <c r="C29" t="s">
        <v>5712</v>
      </c>
      <c r="D29">
        <v>3</v>
      </c>
      <c r="E29">
        <v>-1.0620000000000001</v>
      </c>
    </row>
    <row r="30" spans="1:5" x14ac:dyDescent="0.4">
      <c r="A30" t="s">
        <v>1804</v>
      </c>
      <c r="B30">
        <v>75.8</v>
      </c>
      <c r="C30" t="s">
        <v>2484</v>
      </c>
      <c r="D30">
        <v>4</v>
      </c>
      <c r="E30">
        <v>1.046</v>
      </c>
    </row>
    <row r="31" spans="1:5" x14ac:dyDescent="0.4">
      <c r="A31" t="s">
        <v>1808</v>
      </c>
      <c r="B31">
        <v>60.9</v>
      </c>
      <c r="C31" t="s">
        <v>5735</v>
      </c>
      <c r="D31">
        <v>4</v>
      </c>
      <c r="E31">
        <v>-0.11700000000000001</v>
      </c>
    </row>
    <row r="32" spans="1:5" x14ac:dyDescent="0.4">
      <c r="A32" t="s">
        <v>2844</v>
      </c>
      <c r="B32">
        <v>65.900000000000006</v>
      </c>
      <c r="C32" t="s">
        <v>5731</v>
      </c>
      <c r="D32">
        <v>4</v>
      </c>
      <c r="E32">
        <v>0.27300000000000002</v>
      </c>
    </row>
    <row r="33" spans="1:5" x14ac:dyDescent="0.4">
      <c r="A33" t="s">
        <v>2850</v>
      </c>
      <c r="B33">
        <v>53.2</v>
      </c>
      <c r="C33" t="s">
        <v>5699</v>
      </c>
      <c r="D33">
        <v>3</v>
      </c>
      <c r="E33">
        <v>-0.71799999999999997</v>
      </c>
    </row>
    <row r="34" spans="1:5" x14ac:dyDescent="0.4">
      <c r="A34" t="s">
        <v>2831</v>
      </c>
      <c r="B34">
        <v>52.2</v>
      </c>
      <c r="C34" t="s">
        <v>5702</v>
      </c>
      <c r="D34">
        <v>3</v>
      </c>
      <c r="E34">
        <v>-0.79700000000000004</v>
      </c>
    </row>
    <row r="35" spans="1:5" x14ac:dyDescent="0.4">
      <c r="A35" t="s">
        <v>5752</v>
      </c>
      <c r="B35">
        <v>79.099999999999994</v>
      </c>
      <c r="C35" t="s">
        <v>2475</v>
      </c>
      <c r="D35">
        <v>4</v>
      </c>
      <c r="E35">
        <v>1.304</v>
      </c>
    </row>
    <row r="36" spans="1:5" x14ac:dyDescent="0.4">
      <c r="A36" t="s">
        <v>2854</v>
      </c>
      <c r="B36">
        <v>74.2</v>
      </c>
      <c r="C36" t="s">
        <v>5696</v>
      </c>
      <c r="D36">
        <v>4</v>
      </c>
      <c r="E36">
        <v>0.92100000000000004</v>
      </c>
    </row>
    <row r="37" spans="1:5" x14ac:dyDescent="0.4">
      <c r="A37" t="s">
        <v>5753</v>
      </c>
      <c r="B37">
        <v>64.5</v>
      </c>
      <c r="C37" t="s">
        <v>5703</v>
      </c>
      <c r="D37">
        <v>4</v>
      </c>
      <c r="E37">
        <v>0.16400000000000001</v>
      </c>
    </row>
    <row r="38" spans="1:5" x14ac:dyDescent="0.4">
      <c r="A38" t="s">
        <v>2862</v>
      </c>
      <c r="B38">
        <v>51.4</v>
      </c>
      <c r="C38" t="s">
        <v>5698</v>
      </c>
      <c r="D38">
        <v>3</v>
      </c>
      <c r="E38">
        <v>-0.85899999999999999</v>
      </c>
    </row>
    <row r="39" spans="1:5" x14ac:dyDescent="0.4">
      <c r="A39" t="s">
        <v>2837</v>
      </c>
      <c r="B39">
        <v>44.2</v>
      </c>
      <c r="C39" t="s">
        <v>5728</v>
      </c>
      <c r="D39">
        <v>3</v>
      </c>
      <c r="E39">
        <v>-1.421</v>
      </c>
    </row>
    <row r="40" spans="1:5" x14ac:dyDescent="0.4">
      <c r="A40" t="s">
        <v>2841</v>
      </c>
      <c r="B40">
        <v>63.5</v>
      </c>
      <c r="C40" t="s">
        <v>5706</v>
      </c>
      <c r="D40">
        <v>4</v>
      </c>
      <c r="E40">
        <v>8.5999999999999993E-2</v>
      </c>
    </row>
    <row r="41" spans="1:5" x14ac:dyDescent="0.4">
      <c r="A41" t="s">
        <v>2835</v>
      </c>
      <c r="B41">
        <v>72</v>
      </c>
      <c r="C41" t="s">
        <v>5701</v>
      </c>
      <c r="D41">
        <v>4</v>
      </c>
      <c r="E41">
        <v>0.75</v>
      </c>
    </row>
    <row r="42" spans="1:5" x14ac:dyDescent="0.4">
      <c r="A42" t="s">
        <v>5754</v>
      </c>
      <c r="B42">
        <v>67.099999999999994</v>
      </c>
      <c r="C42" t="s">
        <v>6034</v>
      </c>
      <c r="D42">
        <v>4</v>
      </c>
      <c r="E42">
        <v>0.36699999999999999</v>
      </c>
    </row>
    <row r="43" spans="1:5" x14ac:dyDescent="0.4">
      <c r="A43" t="s">
        <v>2855</v>
      </c>
      <c r="B43">
        <v>75.599999999999994</v>
      </c>
      <c r="C43" t="s">
        <v>2474</v>
      </c>
      <c r="D43">
        <v>4</v>
      </c>
      <c r="E43">
        <v>1.0309999999999999</v>
      </c>
    </row>
    <row r="44" spans="1:5" x14ac:dyDescent="0.4">
      <c r="A44" t="s">
        <v>1805</v>
      </c>
      <c r="B44">
        <v>65.3</v>
      </c>
      <c r="C44" t="s">
        <v>5729</v>
      </c>
      <c r="D44">
        <v>4</v>
      </c>
      <c r="E44">
        <v>0.22600000000000001</v>
      </c>
    </row>
    <row r="45" spans="1:5" x14ac:dyDescent="0.4">
      <c r="A45" t="s">
        <v>1806</v>
      </c>
      <c r="B45">
        <v>76.099999999999994</v>
      </c>
      <c r="C45" t="s">
        <v>5726</v>
      </c>
      <c r="D45">
        <v>4</v>
      </c>
      <c r="E45">
        <v>1.07</v>
      </c>
    </row>
    <row r="46" spans="1:5" x14ac:dyDescent="0.4">
      <c r="A46" t="s">
        <v>2858</v>
      </c>
      <c r="B46">
        <v>70.5</v>
      </c>
      <c r="C46" t="s">
        <v>5692</v>
      </c>
      <c r="D46">
        <v>4</v>
      </c>
      <c r="E46">
        <v>0.63300000000000001</v>
      </c>
    </row>
    <row r="47" spans="1:5" x14ac:dyDescent="0.4">
      <c r="A47" t="s">
        <v>1807</v>
      </c>
      <c r="B47">
        <v>76.099999999999994</v>
      </c>
      <c r="C47" t="s">
        <v>5726</v>
      </c>
      <c r="D47">
        <v>4</v>
      </c>
      <c r="E47">
        <v>1.07</v>
      </c>
    </row>
    <row r="48" spans="1:5" x14ac:dyDescent="0.4">
      <c r="A48" t="s">
        <v>2833</v>
      </c>
      <c r="B48">
        <v>77</v>
      </c>
      <c r="C48" t="s">
        <v>2480</v>
      </c>
      <c r="D48">
        <v>4</v>
      </c>
      <c r="E48">
        <v>1.1399999999999999</v>
      </c>
    </row>
    <row r="49" spans="1:5" x14ac:dyDescent="0.4">
      <c r="A49" t="s">
        <v>2847</v>
      </c>
      <c r="B49">
        <v>75.099999999999994</v>
      </c>
      <c r="C49" t="s">
        <v>5730</v>
      </c>
      <c r="D49">
        <v>4</v>
      </c>
      <c r="E49">
        <v>0.99199999999999999</v>
      </c>
    </row>
    <row r="50" spans="1:5" x14ac:dyDescent="0.4">
      <c r="A50" t="s">
        <v>2857</v>
      </c>
      <c r="B50">
        <v>57.3</v>
      </c>
      <c r="C50" t="s">
        <v>5733</v>
      </c>
      <c r="D50">
        <v>3</v>
      </c>
      <c r="E50">
        <v>-0.39800000000000002</v>
      </c>
    </row>
    <row r="51" spans="1:5" x14ac:dyDescent="0.4">
      <c r="A51" t="s">
        <v>2848</v>
      </c>
      <c r="B51">
        <v>43.5</v>
      </c>
      <c r="C51" t="s">
        <v>5697</v>
      </c>
      <c r="D51">
        <v>3</v>
      </c>
      <c r="E51">
        <v>-1.476</v>
      </c>
    </row>
    <row r="52" spans="1:5" x14ac:dyDescent="0.4">
      <c r="A52" t="s">
        <v>1402</v>
      </c>
      <c r="B52">
        <v>62.4</v>
      </c>
      <c r="C52" t="s">
        <v>197</v>
      </c>
      <c r="D52">
        <v>4</v>
      </c>
    </row>
    <row r="53" spans="1:5" x14ac:dyDescent="0.4">
      <c r="A53" t="s">
        <v>1403</v>
      </c>
      <c r="B53">
        <v>49.4</v>
      </c>
      <c r="C53" t="s">
        <v>197</v>
      </c>
      <c r="D53">
        <v>3</v>
      </c>
    </row>
    <row r="54" spans="1:5" x14ac:dyDescent="0.4">
      <c r="A54" t="s">
        <v>1579</v>
      </c>
      <c r="B54">
        <v>69.8</v>
      </c>
      <c r="C54" t="s">
        <v>197</v>
      </c>
      <c r="D54">
        <v>4</v>
      </c>
    </row>
    <row r="55" spans="1:5" x14ac:dyDescent="0.4">
      <c r="A55" t="s">
        <v>1669</v>
      </c>
      <c r="B55">
        <v>48</v>
      </c>
      <c r="C55" t="s">
        <v>197</v>
      </c>
      <c r="D55">
        <v>3</v>
      </c>
    </row>
    <row r="56" spans="1:5" x14ac:dyDescent="0.4">
      <c r="A56" t="s">
        <v>1670</v>
      </c>
      <c r="B56">
        <v>71.400000000000006</v>
      </c>
      <c r="C56" t="s">
        <v>197</v>
      </c>
      <c r="D56">
        <v>4</v>
      </c>
    </row>
    <row r="57" spans="1:5" x14ac:dyDescent="0.4">
      <c r="A57" t="s">
        <v>2530</v>
      </c>
      <c r="B57">
        <v>52.3</v>
      </c>
      <c r="C57" t="s">
        <v>197</v>
      </c>
      <c r="D57">
        <v>3</v>
      </c>
    </row>
    <row r="58" spans="1:5" x14ac:dyDescent="0.4">
      <c r="A58" t="s">
        <v>2531</v>
      </c>
      <c r="B58">
        <v>68.2</v>
      </c>
      <c r="C58" t="s">
        <v>197</v>
      </c>
      <c r="D58">
        <v>4</v>
      </c>
    </row>
    <row r="59" spans="1:5" x14ac:dyDescent="0.4">
      <c r="A59" t="s">
        <v>7255</v>
      </c>
      <c r="B59">
        <v>49</v>
      </c>
      <c r="C59" t="s">
        <v>197</v>
      </c>
      <c r="D59">
        <v>3</v>
      </c>
    </row>
    <row r="60" spans="1:5" x14ac:dyDescent="0.4">
      <c r="A60" t="s">
        <v>7256</v>
      </c>
      <c r="B60">
        <v>63.9</v>
      </c>
      <c r="C60" t="s">
        <v>197</v>
      </c>
      <c r="D60">
        <v>4</v>
      </c>
    </row>
    <row r="61" spans="1:5" x14ac:dyDescent="0.4">
      <c r="A61" t="s">
        <v>7257</v>
      </c>
      <c r="B61">
        <v>71</v>
      </c>
      <c r="C61" t="s">
        <v>197</v>
      </c>
      <c r="D61">
        <v>4</v>
      </c>
    </row>
    <row r="62" spans="1:5" x14ac:dyDescent="0.4">
      <c r="A62" t="s">
        <v>2867</v>
      </c>
      <c r="B62">
        <v>65.900000000000006</v>
      </c>
      <c r="C62" t="s">
        <v>5733</v>
      </c>
      <c r="D62">
        <v>4</v>
      </c>
      <c r="E62">
        <v>-0.24199999999999999</v>
      </c>
    </row>
    <row r="63" spans="1:5" x14ac:dyDescent="0.4">
      <c r="A63" t="s">
        <v>2865</v>
      </c>
      <c r="B63">
        <v>54.3</v>
      </c>
      <c r="C63" t="s">
        <v>5716</v>
      </c>
      <c r="D63">
        <v>3</v>
      </c>
      <c r="E63">
        <v>-0.92500000000000004</v>
      </c>
    </row>
    <row r="64" spans="1:5" x14ac:dyDescent="0.4">
      <c r="A64" t="s">
        <v>2871</v>
      </c>
      <c r="B64">
        <v>86.8</v>
      </c>
      <c r="C64" t="s">
        <v>5726</v>
      </c>
      <c r="D64">
        <v>5</v>
      </c>
      <c r="E64">
        <v>0.99</v>
      </c>
    </row>
    <row r="65" spans="1:5" x14ac:dyDescent="0.4">
      <c r="A65" t="s">
        <v>2895</v>
      </c>
      <c r="B65">
        <v>75.7</v>
      </c>
      <c r="C65" t="s">
        <v>6592</v>
      </c>
      <c r="D65">
        <v>4</v>
      </c>
      <c r="E65">
        <v>0.33600000000000002</v>
      </c>
    </row>
    <row r="66" spans="1:5" x14ac:dyDescent="0.4">
      <c r="A66" t="s">
        <v>1811</v>
      </c>
      <c r="B66">
        <v>72.8</v>
      </c>
      <c r="C66" t="s">
        <v>5736</v>
      </c>
      <c r="D66">
        <v>4</v>
      </c>
      <c r="E66">
        <v>0.16500000000000001</v>
      </c>
    </row>
    <row r="67" spans="1:5" x14ac:dyDescent="0.4">
      <c r="A67" t="s">
        <v>2891</v>
      </c>
      <c r="B67">
        <v>54.3</v>
      </c>
      <c r="C67" t="s">
        <v>5716</v>
      </c>
      <c r="D67">
        <v>3</v>
      </c>
      <c r="E67">
        <v>-0.92500000000000004</v>
      </c>
    </row>
    <row r="68" spans="1:5" x14ac:dyDescent="0.4">
      <c r="A68" t="s">
        <v>2875</v>
      </c>
      <c r="B68">
        <v>89.6</v>
      </c>
      <c r="C68" t="s">
        <v>2478</v>
      </c>
      <c r="D68">
        <v>5</v>
      </c>
      <c r="E68">
        <v>1.155</v>
      </c>
    </row>
    <row r="69" spans="1:5" x14ac:dyDescent="0.4">
      <c r="A69" t="s">
        <v>2869</v>
      </c>
      <c r="B69">
        <v>68.900000000000006</v>
      </c>
      <c r="C69" t="s">
        <v>5727</v>
      </c>
      <c r="D69">
        <v>4</v>
      </c>
      <c r="E69">
        <v>-6.5000000000000002E-2</v>
      </c>
    </row>
    <row r="70" spans="1:5" x14ac:dyDescent="0.4">
      <c r="A70" t="s">
        <v>2881</v>
      </c>
      <c r="B70">
        <v>85.6</v>
      </c>
      <c r="C70" t="s">
        <v>5730</v>
      </c>
      <c r="D70">
        <v>5</v>
      </c>
      <c r="E70">
        <v>0.91900000000000004</v>
      </c>
    </row>
    <row r="71" spans="1:5" x14ac:dyDescent="0.4">
      <c r="A71" t="s">
        <v>2873</v>
      </c>
      <c r="B71">
        <v>40.9</v>
      </c>
      <c r="C71" t="s">
        <v>6037</v>
      </c>
      <c r="D71">
        <v>3</v>
      </c>
      <c r="E71">
        <v>-1.7150000000000001</v>
      </c>
    </row>
    <row r="72" spans="1:5" x14ac:dyDescent="0.4">
      <c r="A72" t="s">
        <v>5949</v>
      </c>
      <c r="B72">
        <v>51.9</v>
      </c>
      <c r="C72" t="s">
        <v>5712</v>
      </c>
      <c r="D72">
        <v>3</v>
      </c>
      <c r="E72">
        <v>-1.0669999999999999</v>
      </c>
    </row>
    <row r="73" spans="1:5" x14ac:dyDescent="0.4">
      <c r="A73" t="s">
        <v>2887</v>
      </c>
      <c r="B73">
        <v>44.2</v>
      </c>
      <c r="C73" t="s">
        <v>5697</v>
      </c>
      <c r="D73">
        <v>3</v>
      </c>
      <c r="E73">
        <v>-1.52</v>
      </c>
    </row>
    <row r="74" spans="1:5" x14ac:dyDescent="0.4">
      <c r="A74" t="s">
        <v>1812</v>
      </c>
      <c r="B74">
        <v>39.5</v>
      </c>
      <c r="C74" t="s">
        <v>6036</v>
      </c>
      <c r="D74">
        <v>2</v>
      </c>
      <c r="E74">
        <v>-1.7969999999999999</v>
      </c>
    </row>
    <row r="75" spans="1:5" x14ac:dyDescent="0.4">
      <c r="A75" t="s">
        <v>1821</v>
      </c>
      <c r="B75">
        <v>74.3</v>
      </c>
      <c r="C75" t="s">
        <v>5706</v>
      </c>
      <c r="D75">
        <v>4</v>
      </c>
      <c r="E75">
        <v>0.253</v>
      </c>
    </row>
    <row r="76" spans="1:5" x14ac:dyDescent="0.4">
      <c r="A76" t="s">
        <v>2880</v>
      </c>
      <c r="B76">
        <v>86.4</v>
      </c>
      <c r="C76" t="s">
        <v>2474</v>
      </c>
      <c r="D76">
        <v>5</v>
      </c>
      <c r="E76">
        <v>0.96599999999999997</v>
      </c>
    </row>
    <row r="77" spans="1:5" x14ac:dyDescent="0.4">
      <c r="A77" t="s">
        <v>2894</v>
      </c>
      <c r="B77">
        <v>77</v>
      </c>
      <c r="C77" t="s">
        <v>5729</v>
      </c>
      <c r="D77">
        <v>4</v>
      </c>
      <c r="E77">
        <v>0.41199999999999998</v>
      </c>
    </row>
    <row r="78" spans="1:5" x14ac:dyDescent="0.4">
      <c r="A78" t="s">
        <v>1813</v>
      </c>
      <c r="B78">
        <v>84.3</v>
      </c>
      <c r="C78" t="s">
        <v>5696</v>
      </c>
      <c r="D78">
        <v>5</v>
      </c>
      <c r="E78">
        <v>0.84299999999999997</v>
      </c>
    </row>
    <row r="79" spans="1:5" x14ac:dyDescent="0.4">
      <c r="A79" t="s">
        <v>1820</v>
      </c>
      <c r="B79">
        <v>80.599999999999994</v>
      </c>
      <c r="C79" t="s">
        <v>6579</v>
      </c>
      <c r="D79">
        <v>5</v>
      </c>
      <c r="E79">
        <v>0.625</v>
      </c>
    </row>
    <row r="80" spans="1:5" x14ac:dyDescent="0.4">
      <c r="A80" t="s">
        <v>1814</v>
      </c>
      <c r="B80">
        <v>77.8</v>
      </c>
      <c r="C80" t="s">
        <v>5731</v>
      </c>
      <c r="D80">
        <v>4</v>
      </c>
      <c r="E80">
        <v>0.46</v>
      </c>
    </row>
    <row r="81" spans="1:5" x14ac:dyDescent="0.4">
      <c r="A81" t="s">
        <v>2864</v>
      </c>
      <c r="B81">
        <v>80.099999999999994</v>
      </c>
      <c r="C81" t="s">
        <v>6034</v>
      </c>
      <c r="D81">
        <v>5</v>
      </c>
      <c r="E81">
        <v>0.59499999999999997</v>
      </c>
    </row>
    <row r="82" spans="1:5" x14ac:dyDescent="0.4">
      <c r="A82" t="s">
        <v>2884</v>
      </c>
      <c r="B82">
        <v>56.4</v>
      </c>
      <c r="C82" t="s">
        <v>5702</v>
      </c>
      <c r="D82">
        <v>3</v>
      </c>
      <c r="E82">
        <v>-0.80100000000000005</v>
      </c>
    </row>
    <row r="83" spans="1:5" x14ac:dyDescent="0.4">
      <c r="A83" t="s">
        <v>2888</v>
      </c>
      <c r="B83">
        <v>41.3</v>
      </c>
      <c r="C83" t="s">
        <v>5710</v>
      </c>
      <c r="D83">
        <v>3</v>
      </c>
      <c r="E83">
        <v>-1.6910000000000001</v>
      </c>
    </row>
    <row r="84" spans="1:5" x14ac:dyDescent="0.4">
      <c r="A84" t="s">
        <v>2886</v>
      </c>
      <c r="B84">
        <v>34.200000000000003</v>
      </c>
      <c r="C84" t="s">
        <v>6040</v>
      </c>
      <c r="D84">
        <v>2</v>
      </c>
      <c r="E84">
        <v>-2.11</v>
      </c>
    </row>
    <row r="85" spans="1:5" x14ac:dyDescent="0.4">
      <c r="A85" t="s">
        <v>2874</v>
      </c>
      <c r="B85">
        <v>49.5</v>
      </c>
      <c r="C85" t="s">
        <v>5728</v>
      </c>
      <c r="D85">
        <v>3</v>
      </c>
      <c r="E85">
        <v>-1.208</v>
      </c>
    </row>
    <row r="86" spans="1:5" x14ac:dyDescent="0.4">
      <c r="A86" t="s">
        <v>2863</v>
      </c>
      <c r="B86">
        <v>73.3</v>
      </c>
      <c r="C86" t="s">
        <v>5693</v>
      </c>
      <c r="D86">
        <v>4</v>
      </c>
      <c r="E86">
        <v>0.19400000000000001</v>
      </c>
    </row>
    <row r="87" spans="1:5" x14ac:dyDescent="0.4">
      <c r="A87" t="s">
        <v>2877</v>
      </c>
      <c r="B87">
        <v>86.9</v>
      </c>
      <c r="C87" t="s">
        <v>2480</v>
      </c>
      <c r="D87">
        <v>5</v>
      </c>
      <c r="E87">
        <v>0.996</v>
      </c>
    </row>
    <row r="88" spans="1:5" x14ac:dyDescent="0.4">
      <c r="A88" t="s">
        <v>2878</v>
      </c>
      <c r="B88">
        <v>81.900000000000006</v>
      </c>
      <c r="C88" t="s">
        <v>6580</v>
      </c>
      <c r="D88">
        <v>5</v>
      </c>
      <c r="E88">
        <v>0.70099999999999996</v>
      </c>
    </row>
    <row r="89" spans="1:5" x14ac:dyDescent="0.4">
      <c r="A89" t="s">
        <v>2896</v>
      </c>
      <c r="B89">
        <v>58</v>
      </c>
      <c r="C89" t="s">
        <v>5704</v>
      </c>
      <c r="D89">
        <v>3</v>
      </c>
      <c r="E89">
        <v>-0.70699999999999996</v>
      </c>
    </row>
    <row r="90" spans="1:5" x14ac:dyDescent="0.4">
      <c r="A90" t="s">
        <v>1815</v>
      </c>
      <c r="B90">
        <v>87.9</v>
      </c>
      <c r="C90" t="s">
        <v>6591</v>
      </c>
      <c r="D90">
        <v>5</v>
      </c>
      <c r="E90">
        <v>1.0549999999999999</v>
      </c>
    </row>
    <row r="91" spans="1:5" x14ac:dyDescent="0.4">
      <c r="A91" t="s">
        <v>1819</v>
      </c>
      <c r="B91">
        <v>79.8</v>
      </c>
      <c r="C91" t="s">
        <v>5732</v>
      </c>
      <c r="D91">
        <v>4</v>
      </c>
      <c r="E91">
        <v>0.57699999999999996</v>
      </c>
    </row>
    <row r="92" spans="1:5" x14ac:dyDescent="0.4">
      <c r="A92" t="s">
        <v>2879</v>
      </c>
      <c r="B92">
        <v>75.7</v>
      </c>
      <c r="C92" t="s">
        <v>6592</v>
      </c>
      <c r="D92">
        <v>4</v>
      </c>
      <c r="E92">
        <v>0.33600000000000002</v>
      </c>
    </row>
    <row r="93" spans="1:5" x14ac:dyDescent="0.4">
      <c r="A93" t="s">
        <v>2885</v>
      </c>
      <c r="B93">
        <v>34.200000000000003</v>
      </c>
      <c r="C93" t="s">
        <v>6040</v>
      </c>
      <c r="D93">
        <v>2</v>
      </c>
      <c r="E93">
        <v>-2.11</v>
      </c>
    </row>
    <row r="94" spans="1:5" x14ac:dyDescent="0.4">
      <c r="A94" t="s">
        <v>2866</v>
      </c>
      <c r="B94">
        <v>55.6</v>
      </c>
      <c r="C94" t="s">
        <v>5694</v>
      </c>
      <c r="D94">
        <v>3</v>
      </c>
      <c r="E94">
        <v>-0.84899999999999998</v>
      </c>
    </row>
    <row r="95" spans="1:5" x14ac:dyDescent="0.4">
      <c r="A95" t="s">
        <v>5755</v>
      </c>
      <c r="B95">
        <v>86.8</v>
      </c>
      <c r="C95" t="s">
        <v>5726</v>
      </c>
      <c r="D95">
        <v>5</v>
      </c>
      <c r="E95">
        <v>0.99</v>
      </c>
    </row>
    <row r="96" spans="1:5" x14ac:dyDescent="0.4">
      <c r="A96" t="s">
        <v>2889</v>
      </c>
      <c r="B96">
        <v>84.2</v>
      </c>
      <c r="C96" t="s">
        <v>6045</v>
      </c>
      <c r="D96">
        <v>5</v>
      </c>
      <c r="E96">
        <v>0.83699999999999997</v>
      </c>
    </row>
    <row r="97" spans="1:5" x14ac:dyDescent="0.4">
      <c r="A97" t="s">
        <v>5756</v>
      </c>
      <c r="B97">
        <v>84</v>
      </c>
      <c r="C97" t="s">
        <v>5705</v>
      </c>
      <c r="D97">
        <v>5</v>
      </c>
      <c r="E97">
        <v>0.82499999999999996</v>
      </c>
    </row>
    <row r="98" spans="1:5" x14ac:dyDescent="0.4">
      <c r="A98" t="s">
        <v>2897</v>
      </c>
      <c r="B98">
        <v>58.5</v>
      </c>
      <c r="C98" t="s">
        <v>5699</v>
      </c>
      <c r="D98">
        <v>3</v>
      </c>
      <c r="E98">
        <v>-0.67800000000000005</v>
      </c>
    </row>
    <row r="99" spans="1:5" x14ac:dyDescent="0.4">
      <c r="A99" t="s">
        <v>2872</v>
      </c>
      <c r="B99">
        <v>61</v>
      </c>
      <c r="C99" t="s">
        <v>5734</v>
      </c>
      <c r="D99">
        <v>4</v>
      </c>
      <c r="E99">
        <v>-0.53</v>
      </c>
    </row>
    <row r="100" spans="1:5" x14ac:dyDescent="0.4">
      <c r="A100" t="s">
        <v>2876</v>
      </c>
      <c r="B100">
        <v>82.8</v>
      </c>
      <c r="C100" t="s">
        <v>6584</v>
      </c>
      <c r="D100">
        <v>5</v>
      </c>
      <c r="E100">
        <v>0.754</v>
      </c>
    </row>
    <row r="101" spans="1:5" x14ac:dyDescent="0.4">
      <c r="A101" t="s">
        <v>2870</v>
      </c>
      <c r="B101">
        <v>86.8</v>
      </c>
      <c r="C101" t="s">
        <v>5726</v>
      </c>
      <c r="D101">
        <v>5</v>
      </c>
      <c r="E101">
        <v>0.99</v>
      </c>
    </row>
    <row r="102" spans="1:5" x14ac:dyDescent="0.4">
      <c r="A102" t="s">
        <v>5757</v>
      </c>
      <c r="B102">
        <v>70.099999999999994</v>
      </c>
      <c r="C102" t="s">
        <v>5735</v>
      </c>
      <c r="D102">
        <v>4</v>
      </c>
      <c r="E102">
        <v>6.0000000000000001E-3</v>
      </c>
    </row>
    <row r="103" spans="1:5" x14ac:dyDescent="0.4">
      <c r="A103" t="s">
        <v>2890</v>
      </c>
      <c r="B103">
        <v>82.8</v>
      </c>
      <c r="C103" t="s">
        <v>6584</v>
      </c>
      <c r="D103">
        <v>5</v>
      </c>
      <c r="E103">
        <v>0.754</v>
      </c>
    </row>
    <row r="104" spans="1:5" x14ac:dyDescent="0.4">
      <c r="A104" t="s">
        <v>1816</v>
      </c>
      <c r="B104">
        <v>54.3</v>
      </c>
      <c r="C104" t="s">
        <v>5716</v>
      </c>
      <c r="D104">
        <v>3</v>
      </c>
      <c r="E104">
        <v>-0.92500000000000004</v>
      </c>
    </row>
    <row r="105" spans="1:5" x14ac:dyDescent="0.4">
      <c r="A105" t="s">
        <v>1817</v>
      </c>
      <c r="B105">
        <v>86.2</v>
      </c>
      <c r="C105" t="s">
        <v>2481</v>
      </c>
      <c r="D105">
        <v>5</v>
      </c>
      <c r="E105">
        <v>0.95499999999999996</v>
      </c>
    </row>
    <row r="106" spans="1:5" x14ac:dyDescent="0.4">
      <c r="A106" t="s">
        <v>2893</v>
      </c>
      <c r="B106">
        <v>87.9</v>
      </c>
      <c r="C106" t="s">
        <v>6591</v>
      </c>
      <c r="D106">
        <v>5</v>
      </c>
      <c r="E106">
        <v>1.0549999999999999</v>
      </c>
    </row>
    <row r="107" spans="1:5" x14ac:dyDescent="0.4">
      <c r="A107" t="s">
        <v>1818</v>
      </c>
      <c r="B107">
        <v>84.2</v>
      </c>
      <c r="C107" t="s">
        <v>6045</v>
      </c>
      <c r="D107">
        <v>5</v>
      </c>
      <c r="E107">
        <v>0.83699999999999997</v>
      </c>
    </row>
    <row r="108" spans="1:5" x14ac:dyDescent="0.4">
      <c r="A108" t="s">
        <v>2868</v>
      </c>
      <c r="B108">
        <v>89.9</v>
      </c>
      <c r="C108" t="s">
        <v>2479</v>
      </c>
      <c r="D108">
        <v>5</v>
      </c>
      <c r="E108">
        <v>1.173</v>
      </c>
    </row>
    <row r="109" spans="1:5" x14ac:dyDescent="0.4">
      <c r="A109" t="s">
        <v>2882</v>
      </c>
      <c r="B109">
        <v>87.3</v>
      </c>
      <c r="C109" t="s">
        <v>2476</v>
      </c>
      <c r="D109">
        <v>5</v>
      </c>
      <c r="E109">
        <v>1.0189999999999999</v>
      </c>
    </row>
    <row r="110" spans="1:5" x14ac:dyDescent="0.4">
      <c r="A110" t="s">
        <v>2892</v>
      </c>
      <c r="B110">
        <v>54.3</v>
      </c>
      <c r="C110" t="s">
        <v>5716</v>
      </c>
      <c r="D110">
        <v>3</v>
      </c>
      <c r="E110">
        <v>-0.92500000000000004</v>
      </c>
    </row>
    <row r="111" spans="1:5" x14ac:dyDescent="0.4">
      <c r="A111" t="s">
        <v>2883</v>
      </c>
      <c r="B111">
        <v>51.1</v>
      </c>
      <c r="C111" t="s">
        <v>5711</v>
      </c>
      <c r="D111">
        <v>3</v>
      </c>
      <c r="E111">
        <v>-1.1140000000000001</v>
      </c>
    </row>
    <row r="112" spans="1:5" x14ac:dyDescent="0.4">
      <c r="A112" t="s">
        <v>1822</v>
      </c>
      <c r="B112">
        <v>70</v>
      </c>
      <c r="C112" t="s">
        <v>197</v>
      </c>
      <c r="D112">
        <v>4</v>
      </c>
    </row>
    <row r="113" spans="1:5" x14ac:dyDescent="0.4">
      <c r="A113" t="s">
        <v>1823</v>
      </c>
      <c r="B113">
        <v>65.8</v>
      </c>
      <c r="C113" t="s">
        <v>197</v>
      </c>
      <c r="D113">
        <v>4</v>
      </c>
    </row>
    <row r="114" spans="1:5" x14ac:dyDescent="0.4">
      <c r="A114" t="s">
        <v>1824</v>
      </c>
      <c r="B114">
        <v>81.3</v>
      </c>
      <c r="C114" t="s">
        <v>197</v>
      </c>
      <c r="D114">
        <v>5</v>
      </c>
    </row>
    <row r="115" spans="1:5" x14ac:dyDescent="0.4">
      <c r="A115" t="s">
        <v>1825</v>
      </c>
      <c r="B115">
        <v>56.4</v>
      </c>
      <c r="C115" t="s">
        <v>197</v>
      </c>
      <c r="D115">
        <v>3</v>
      </c>
    </row>
    <row r="116" spans="1:5" x14ac:dyDescent="0.4">
      <c r="A116" t="s">
        <v>1826</v>
      </c>
      <c r="B116">
        <v>84.1</v>
      </c>
      <c r="C116" t="s">
        <v>197</v>
      </c>
      <c r="D116">
        <v>5</v>
      </c>
    </row>
    <row r="117" spans="1:5" x14ac:dyDescent="0.4">
      <c r="A117" t="s">
        <v>2532</v>
      </c>
      <c r="B117">
        <v>50.3</v>
      </c>
      <c r="C117" t="s">
        <v>197</v>
      </c>
      <c r="D117">
        <v>3</v>
      </c>
    </row>
    <row r="118" spans="1:5" x14ac:dyDescent="0.4">
      <c r="A118" t="s">
        <v>2533</v>
      </c>
      <c r="B118">
        <v>73.5</v>
      </c>
      <c r="C118" t="s">
        <v>197</v>
      </c>
      <c r="D118">
        <v>4</v>
      </c>
    </row>
    <row r="119" spans="1:5" x14ac:dyDescent="0.4">
      <c r="A119" t="s">
        <v>7258</v>
      </c>
      <c r="B119">
        <v>52.3</v>
      </c>
      <c r="C119" t="s">
        <v>197</v>
      </c>
      <c r="D119">
        <v>3</v>
      </c>
    </row>
    <row r="120" spans="1:5" x14ac:dyDescent="0.4">
      <c r="A120" t="s">
        <v>7259</v>
      </c>
      <c r="B120">
        <v>69.900000000000006</v>
      </c>
      <c r="C120" t="s">
        <v>197</v>
      </c>
      <c r="D120">
        <v>4</v>
      </c>
    </row>
    <row r="121" spans="1:5" x14ac:dyDescent="0.4">
      <c r="A121" t="s">
        <v>7260</v>
      </c>
      <c r="B121">
        <v>82.3</v>
      </c>
      <c r="C121" t="s">
        <v>197</v>
      </c>
      <c r="D121">
        <v>5</v>
      </c>
    </row>
    <row r="122" spans="1:5" x14ac:dyDescent="0.4">
      <c r="A122" t="s">
        <v>2902</v>
      </c>
      <c r="B122">
        <v>82.5</v>
      </c>
      <c r="C122" t="s">
        <v>5739</v>
      </c>
      <c r="D122">
        <v>5</v>
      </c>
      <c r="E122">
        <v>0.67400000000000004</v>
      </c>
    </row>
    <row r="123" spans="1:5" x14ac:dyDescent="0.4">
      <c r="A123" t="s">
        <v>2900</v>
      </c>
      <c r="B123">
        <v>36.200000000000003</v>
      </c>
      <c r="C123" t="s">
        <v>5702</v>
      </c>
      <c r="D123">
        <v>2</v>
      </c>
      <c r="E123">
        <v>-1.365</v>
      </c>
    </row>
    <row r="124" spans="1:5" x14ac:dyDescent="0.4">
      <c r="A124" t="s">
        <v>2906</v>
      </c>
      <c r="B124">
        <v>80.099999999999994</v>
      </c>
      <c r="C124" t="s">
        <v>5719</v>
      </c>
      <c r="D124">
        <v>5</v>
      </c>
      <c r="E124">
        <v>0.56799999999999995</v>
      </c>
    </row>
    <row r="125" spans="1:5" x14ac:dyDescent="0.4">
      <c r="A125" t="s">
        <v>2930</v>
      </c>
      <c r="B125">
        <v>34</v>
      </c>
      <c r="C125" t="s">
        <v>5741</v>
      </c>
      <c r="D125">
        <v>2</v>
      </c>
      <c r="E125">
        <v>-1.462</v>
      </c>
    </row>
    <row r="126" spans="1:5" x14ac:dyDescent="0.4">
      <c r="A126" t="s">
        <v>1827</v>
      </c>
      <c r="B126">
        <v>82.6</v>
      </c>
      <c r="C126" t="s">
        <v>5722</v>
      </c>
      <c r="D126">
        <v>5</v>
      </c>
      <c r="E126">
        <v>0.67800000000000005</v>
      </c>
    </row>
    <row r="127" spans="1:5" x14ac:dyDescent="0.4">
      <c r="A127" t="s">
        <v>2926</v>
      </c>
      <c r="B127">
        <v>31.5</v>
      </c>
      <c r="C127" t="s">
        <v>6586</v>
      </c>
      <c r="D127">
        <v>2</v>
      </c>
      <c r="E127">
        <v>-1.5720000000000001</v>
      </c>
    </row>
    <row r="128" spans="1:5" x14ac:dyDescent="0.4">
      <c r="A128" t="s">
        <v>2910</v>
      </c>
      <c r="B128">
        <v>84.2</v>
      </c>
      <c r="C128" t="s">
        <v>6581</v>
      </c>
      <c r="D128">
        <v>5</v>
      </c>
      <c r="E128">
        <v>0.749</v>
      </c>
    </row>
    <row r="129" spans="1:5" x14ac:dyDescent="0.4">
      <c r="A129" t="s">
        <v>2904</v>
      </c>
      <c r="B129">
        <v>72.599999999999994</v>
      </c>
      <c r="C129" t="s">
        <v>5699</v>
      </c>
      <c r="D129">
        <v>4</v>
      </c>
      <c r="E129">
        <v>0.23799999999999999</v>
      </c>
    </row>
    <row r="130" spans="1:5" x14ac:dyDescent="0.4">
      <c r="A130" t="s">
        <v>2916</v>
      </c>
      <c r="B130">
        <v>85.4</v>
      </c>
      <c r="C130" t="s">
        <v>2477</v>
      </c>
      <c r="D130">
        <v>5</v>
      </c>
      <c r="E130">
        <v>0.80100000000000005</v>
      </c>
    </row>
    <row r="131" spans="1:5" x14ac:dyDescent="0.4">
      <c r="A131" t="s">
        <v>2908</v>
      </c>
      <c r="B131">
        <v>34.1</v>
      </c>
      <c r="C131" t="s">
        <v>5709</v>
      </c>
      <c r="D131">
        <v>2</v>
      </c>
      <c r="E131">
        <v>-1.4570000000000001</v>
      </c>
    </row>
    <row r="132" spans="1:5" x14ac:dyDescent="0.4">
      <c r="A132" t="s">
        <v>5950</v>
      </c>
      <c r="B132">
        <v>31.2</v>
      </c>
      <c r="C132" t="s">
        <v>6033</v>
      </c>
      <c r="D132">
        <v>2</v>
      </c>
      <c r="E132">
        <v>-1.585</v>
      </c>
    </row>
    <row r="133" spans="1:5" x14ac:dyDescent="0.4">
      <c r="A133" t="s">
        <v>2922</v>
      </c>
      <c r="B133">
        <v>33.6</v>
      </c>
      <c r="C133" t="s">
        <v>6038</v>
      </c>
      <c r="D133">
        <v>2</v>
      </c>
      <c r="E133">
        <v>-1.4790000000000001</v>
      </c>
    </row>
    <row r="134" spans="1:5" x14ac:dyDescent="0.4">
      <c r="A134" t="s">
        <v>1828</v>
      </c>
      <c r="B134">
        <v>83.3</v>
      </c>
      <c r="C134" t="s">
        <v>5707</v>
      </c>
      <c r="D134">
        <v>5</v>
      </c>
      <c r="E134">
        <v>0.70899999999999996</v>
      </c>
    </row>
    <row r="135" spans="1:5" x14ac:dyDescent="0.4">
      <c r="A135" t="s">
        <v>1837</v>
      </c>
      <c r="B135">
        <v>87</v>
      </c>
      <c r="C135" t="s">
        <v>2479</v>
      </c>
      <c r="D135">
        <v>5</v>
      </c>
      <c r="E135">
        <v>0.872</v>
      </c>
    </row>
    <row r="136" spans="1:5" x14ac:dyDescent="0.4">
      <c r="A136" t="s">
        <v>2915</v>
      </c>
      <c r="B136">
        <v>86.2</v>
      </c>
      <c r="C136" t="s">
        <v>2478</v>
      </c>
      <c r="D136">
        <v>5</v>
      </c>
      <c r="E136">
        <v>0.83699999999999997</v>
      </c>
    </row>
    <row r="137" spans="1:5" x14ac:dyDescent="0.4">
      <c r="A137" t="s">
        <v>2929</v>
      </c>
      <c r="B137">
        <v>82</v>
      </c>
      <c r="C137" t="s">
        <v>6582</v>
      </c>
      <c r="D137">
        <v>5</v>
      </c>
      <c r="E137">
        <v>0.65200000000000002</v>
      </c>
    </row>
    <row r="138" spans="1:5" x14ac:dyDescent="0.4">
      <c r="A138" t="s">
        <v>1829</v>
      </c>
      <c r="B138">
        <v>84</v>
      </c>
      <c r="C138" t="s">
        <v>2485</v>
      </c>
      <c r="D138">
        <v>5</v>
      </c>
      <c r="E138">
        <v>0.74</v>
      </c>
    </row>
    <row r="139" spans="1:5" x14ac:dyDescent="0.4">
      <c r="A139" t="s">
        <v>1836</v>
      </c>
      <c r="B139">
        <v>77.8</v>
      </c>
      <c r="C139" t="s">
        <v>5733</v>
      </c>
      <c r="D139">
        <v>4</v>
      </c>
      <c r="E139">
        <v>0.46700000000000003</v>
      </c>
    </row>
    <row r="140" spans="1:5" x14ac:dyDescent="0.4">
      <c r="A140" t="s">
        <v>1830</v>
      </c>
      <c r="B140">
        <v>80.900000000000006</v>
      </c>
      <c r="C140" t="s">
        <v>5700</v>
      </c>
      <c r="D140">
        <v>5</v>
      </c>
      <c r="E140">
        <v>0.60299999999999998</v>
      </c>
    </row>
    <row r="141" spans="1:5" x14ac:dyDescent="0.4">
      <c r="A141" t="s">
        <v>2899</v>
      </c>
      <c r="B141">
        <v>68.5</v>
      </c>
      <c r="C141" t="s">
        <v>5704</v>
      </c>
      <c r="D141">
        <v>4</v>
      </c>
      <c r="E141">
        <v>5.7000000000000002E-2</v>
      </c>
    </row>
    <row r="142" spans="1:5" x14ac:dyDescent="0.4">
      <c r="A142" t="s">
        <v>2919</v>
      </c>
      <c r="B142">
        <v>35.200000000000003</v>
      </c>
      <c r="C142" t="s">
        <v>5694</v>
      </c>
      <c r="D142">
        <v>2</v>
      </c>
      <c r="E142">
        <v>-1.409</v>
      </c>
    </row>
    <row r="143" spans="1:5" x14ac:dyDescent="0.4">
      <c r="A143" t="s">
        <v>2923</v>
      </c>
      <c r="B143">
        <v>33.6</v>
      </c>
      <c r="C143" t="s">
        <v>6038</v>
      </c>
      <c r="D143">
        <v>2</v>
      </c>
      <c r="E143">
        <v>-1.4790000000000001</v>
      </c>
    </row>
    <row r="144" spans="1:5" x14ac:dyDescent="0.4">
      <c r="A144" t="s">
        <v>2921</v>
      </c>
      <c r="B144">
        <v>33.6</v>
      </c>
      <c r="C144" t="s">
        <v>6038</v>
      </c>
      <c r="D144">
        <v>2</v>
      </c>
      <c r="E144">
        <v>-1.4790000000000001</v>
      </c>
    </row>
    <row r="145" spans="1:5" x14ac:dyDescent="0.4">
      <c r="A145" t="s">
        <v>2909</v>
      </c>
      <c r="B145">
        <v>34</v>
      </c>
      <c r="C145" t="s">
        <v>5741</v>
      </c>
      <c r="D145">
        <v>2</v>
      </c>
      <c r="E145">
        <v>-1.462</v>
      </c>
    </row>
    <row r="146" spans="1:5" x14ac:dyDescent="0.4">
      <c r="A146" t="s">
        <v>2898</v>
      </c>
      <c r="B146">
        <v>82.5</v>
      </c>
      <c r="C146" t="s">
        <v>5739</v>
      </c>
      <c r="D146">
        <v>5</v>
      </c>
      <c r="E146">
        <v>0.67400000000000004</v>
      </c>
    </row>
    <row r="147" spans="1:5" x14ac:dyDescent="0.4">
      <c r="A147" t="s">
        <v>2912</v>
      </c>
      <c r="B147">
        <v>83.8</v>
      </c>
      <c r="C147" t="s">
        <v>5730</v>
      </c>
      <c r="D147">
        <v>5</v>
      </c>
      <c r="E147">
        <v>0.73099999999999998</v>
      </c>
    </row>
    <row r="148" spans="1:5" x14ac:dyDescent="0.4">
      <c r="A148" t="s">
        <v>2913</v>
      </c>
      <c r="B148">
        <v>83.1</v>
      </c>
      <c r="C148" t="s">
        <v>5705</v>
      </c>
      <c r="D148">
        <v>5</v>
      </c>
      <c r="E148">
        <v>0.7</v>
      </c>
    </row>
    <row r="149" spans="1:5" x14ac:dyDescent="0.4">
      <c r="A149" t="s">
        <v>2931</v>
      </c>
      <c r="B149">
        <v>79.7</v>
      </c>
      <c r="C149" t="s">
        <v>5735</v>
      </c>
      <c r="D149">
        <v>4</v>
      </c>
      <c r="E149">
        <v>0.55000000000000004</v>
      </c>
    </row>
    <row r="150" spans="1:5" x14ac:dyDescent="0.4">
      <c r="A150" t="s">
        <v>1831</v>
      </c>
      <c r="B150">
        <v>82.9</v>
      </c>
      <c r="C150" t="s">
        <v>6584</v>
      </c>
      <c r="D150">
        <v>5</v>
      </c>
      <c r="E150">
        <v>0.69099999999999995</v>
      </c>
    </row>
    <row r="151" spans="1:5" x14ac:dyDescent="0.4">
      <c r="A151" t="s">
        <v>1835</v>
      </c>
      <c r="B151">
        <v>78.3</v>
      </c>
      <c r="C151" t="s">
        <v>5727</v>
      </c>
      <c r="D151">
        <v>4</v>
      </c>
      <c r="E151">
        <v>0.48899999999999999</v>
      </c>
    </row>
    <row r="152" spans="1:5" x14ac:dyDescent="0.4">
      <c r="A152" t="s">
        <v>2914</v>
      </c>
      <c r="B152">
        <v>82</v>
      </c>
      <c r="C152" t="s">
        <v>6582</v>
      </c>
      <c r="D152">
        <v>5</v>
      </c>
      <c r="E152">
        <v>0.65200000000000002</v>
      </c>
    </row>
    <row r="153" spans="1:5" x14ac:dyDescent="0.4">
      <c r="A153" t="s">
        <v>2920</v>
      </c>
      <c r="B153">
        <v>33.6</v>
      </c>
      <c r="C153" t="s">
        <v>6038</v>
      </c>
      <c r="D153">
        <v>2</v>
      </c>
      <c r="E153">
        <v>-1.4790000000000001</v>
      </c>
    </row>
    <row r="154" spans="1:5" x14ac:dyDescent="0.4">
      <c r="A154" t="s">
        <v>2901</v>
      </c>
      <c r="B154">
        <v>80.7</v>
      </c>
      <c r="C154" t="s">
        <v>5703</v>
      </c>
      <c r="D154">
        <v>5</v>
      </c>
      <c r="E154">
        <v>0.59399999999999997</v>
      </c>
    </row>
    <row r="155" spans="1:5" x14ac:dyDescent="0.4">
      <c r="A155" t="s">
        <v>5758</v>
      </c>
      <c r="B155">
        <v>80.099999999999994</v>
      </c>
      <c r="C155" t="s">
        <v>5719</v>
      </c>
      <c r="D155">
        <v>5</v>
      </c>
      <c r="E155">
        <v>0.56799999999999995</v>
      </c>
    </row>
    <row r="156" spans="1:5" x14ac:dyDescent="0.4">
      <c r="A156" t="s">
        <v>2924</v>
      </c>
      <c r="B156">
        <v>83.6</v>
      </c>
      <c r="C156" t="s">
        <v>5738</v>
      </c>
      <c r="D156">
        <v>5</v>
      </c>
      <c r="E156">
        <v>0.72199999999999998</v>
      </c>
    </row>
    <row r="157" spans="1:5" x14ac:dyDescent="0.4">
      <c r="A157" t="s">
        <v>5759</v>
      </c>
      <c r="B157">
        <v>84.3</v>
      </c>
      <c r="C157" t="s">
        <v>6593</v>
      </c>
      <c r="D157">
        <v>5</v>
      </c>
      <c r="E157">
        <v>0.753</v>
      </c>
    </row>
    <row r="158" spans="1:5" x14ac:dyDescent="0.4">
      <c r="A158" t="s">
        <v>2932</v>
      </c>
      <c r="B158">
        <v>31.3</v>
      </c>
      <c r="C158" t="s">
        <v>6035</v>
      </c>
      <c r="D158">
        <v>2</v>
      </c>
      <c r="E158">
        <v>-1.581</v>
      </c>
    </row>
    <row r="159" spans="1:5" x14ac:dyDescent="0.4">
      <c r="A159" t="s">
        <v>2907</v>
      </c>
      <c r="B159">
        <v>34</v>
      </c>
      <c r="C159" t="s">
        <v>5741</v>
      </c>
      <c r="D159">
        <v>2</v>
      </c>
      <c r="E159">
        <v>-1.462</v>
      </c>
    </row>
    <row r="160" spans="1:5" x14ac:dyDescent="0.4">
      <c r="A160" t="s">
        <v>2911</v>
      </c>
      <c r="B160">
        <v>82.6</v>
      </c>
      <c r="C160" t="s">
        <v>5722</v>
      </c>
      <c r="D160">
        <v>5</v>
      </c>
      <c r="E160">
        <v>0.67800000000000005</v>
      </c>
    </row>
    <row r="161" spans="1:5" x14ac:dyDescent="0.4">
      <c r="A161" t="s">
        <v>2905</v>
      </c>
      <c r="B161">
        <v>80.099999999999994</v>
      </c>
      <c r="C161" t="s">
        <v>5719</v>
      </c>
      <c r="D161">
        <v>5</v>
      </c>
      <c r="E161">
        <v>0.56799999999999995</v>
      </c>
    </row>
    <row r="162" spans="1:5" x14ac:dyDescent="0.4">
      <c r="A162" t="s">
        <v>5760</v>
      </c>
      <c r="B162">
        <v>74</v>
      </c>
      <c r="C162" t="s">
        <v>5734</v>
      </c>
      <c r="D162">
        <v>4</v>
      </c>
      <c r="E162">
        <v>0.29899999999999999</v>
      </c>
    </row>
    <row r="163" spans="1:5" x14ac:dyDescent="0.4">
      <c r="A163" t="s">
        <v>2925</v>
      </c>
      <c r="B163">
        <v>84.3</v>
      </c>
      <c r="C163" t="s">
        <v>6593</v>
      </c>
      <c r="D163">
        <v>5</v>
      </c>
      <c r="E163">
        <v>0.753</v>
      </c>
    </row>
    <row r="164" spans="1:5" x14ac:dyDescent="0.4">
      <c r="A164" t="s">
        <v>1832</v>
      </c>
      <c r="B164">
        <v>31.5</v>
      </c>
      <c r="C164" t="s">
        <v>6586</v>
      </c>
      <c r="D164">
        <v>2</v>
      </c>
      <c r="E164">
        <v>-1.5720000000000001</v>
      </c>
    </row>
    <row r="165" spans="1:5" x14ac:dyDescent="0.4">
      <c r="A165" t="s">
        <v>1833</v>
      </c>
      <c r="B165">
        <v>84</v>
      </c>
      <c r="C165" t="s">
        <v>2485</v>
      </c>
      <c r="D165">
        <v>5</v>
      </c>
      <c r="E165">
        <v>0.74</v>
      </c>
    </row>
    <row r="166" spans="1:5" x14ac:dyDescent="0.4">
      <c r="A166" t="s">
        <v>2928</v>
      </c>
      <c r="B166">
        <v>82.9</v>
      </c>
      <c r="C166" t="s">
        <v>6584</v>
      </c>
      <c r="D166">
        <v>5</v>
      </c>
      <c r="E166">
        <v>0.69099999999999995</v>
      </c>
    </row>
    <row r="167" spans="1:5" x14ac:dyDescent="0.4">
      <c r="A167" t="s">
        <v>1834</v>
      </c>
      <c r="B167">
        <v>83.6</v>
      </c>
      <c r="C167" t="s">
        <v>5738</v>
      </c>
      <c r="D167">
        <v>5</v>
      </c>
      <c r="E167">
        <v>0.72199999999999998</v>
      </c>
    </row>
    <row r="168" spans="1:5" x14ac:dyDescent="0.4">
      <c r="A168" t="s">
        <v>2903</v>
      </c>
      <c r="B168">
        <v>84.2</v>
      </c>
      <c r="C168" t="s">
        <v>6581</v>
      </c>
      <c r="D168">
        <v>5</v>
      </c>
      <c r="E168">
        <v>0.749</v>
      </c>
    </row>
    <row r="169" spans="1:5" x14ac:dyDescent="0.4">
      <c r="A169" t="s">
        <v>2917</v>
      </c>
      <c r="B169">
        <v>84.7</v>
      </c>
      <c r="C169" t="s">
        <v>6039</v>
      </c>
      <c r="D169">
        <v>5</v>
      </c>
      <c r="E169">
        <v>0.77100000000000002</v>
      </c>
    </row>
    <row r="170" spans="1:5" x14ac:dyDescent="0.4">
      <c r="A170" t="s">
        <v>2927</v>
      </c>
      <c r="B170">
        <v>31.5</v>
      </c>
      <c r="C170" t="s">
        <v>6586</v>
      </c>
      <c r="D170">
        <v>2</v>
      </c>
      <c r="E170">
        <v>-1.5720000000000001</v>
      </c>
    </row>
    <row r="171" spans="1:5" x14ac:dyDescent="0.4">
      <c r="A171" t="s">
        <v>2918</v>
      </c>
      <c r="B171">
        <v>84.7</v>
      </c>
      <c r="C171" t="s">
        <v>6039</v>
      </c>
      <c r="D171">
        <v>5</v>
      </c>
      <c r="E171">
        <v>0.77100000000000002</v>
      </c>
    </row>
    <row r="172" spans="1:5" x14ac:dyDescent="0.4">
      <c r="A172" t="s">
        <v>1428</v>
      </c>
      <c r="B172">
        <v>67.2</v>
      </c>
      <c r="C172" t="s">
        <v>197</v>
      </c>
      <c r="D172">
        <v>4</v>
      </c>
    </row>
    <row r="173" spans="1:5" x14ac:dyDescent="0.4">
      <c r="A173" t="s">
        <v>1429</v>
      </c>
      <c r="B173">
        <v>70.099999999999994</v>
      </c>
      <c r="C173" t="s">
        <v>197</v>
      </c>
      <c r="D173">
        <v>4</v>
      </c>
    </row>
    <row r="174" spans="1:5" x14ac:dyDescent="0.4">
      <c r="A174" t="s">
        <v>1580</v>
      </c>
      <c r="B174">
        <v>78.5</v>
      </c>
      <c r="C174" t="s">
        <v>197</v>
      </c>
      <c r="D174">
        <v>4</v>
      </c>
    </row>
    <row r="175" spans="1:5" x14ac:dyDescent="0.4">
      <c r="A175" t="s">
        <v>1671</v>
      </c>
      <c r="B175">
        <v>47.3</v>
      </c>
      <c r="C175" t="s">
        <v>197</v>
      </c>
      <c r="D175">
        <v>3</v>
      </c>
    </row>
    <row r="176" spans="1:5" x14ac:dyDescent="0.4">
      <c r="A176" t="s">
        <v>1672</v>
      </c>
      <c r="B176">
        <v>83.4</v>
      </c>
      <c r="C176" t="s">
        <v>197</v>
      </c>
      <c r="D176">
        <v>5</v>
      </c>
    </row>
    <row r="177" spans="1:12" x14ac:dyDescent="0.4">
      <c r="A177" t="s">
        <v>2534</v>
      </c>
      <c r="B177">
        <v>53.2</v>
      </c>
      <c r="C177" t="s">
        <v>197</v>
      </c>
      <c r="D177">
        <v>3</v>
      </c>
    </row>
    <row r="178" spans="1:12" x14ac:dyDescent="0.4">
      <c r="A178" t="s">
        <v>2535</v>
      </c>
      <c r="B178">
        <v>64.8</v>
      </c>
      <c r="C178" t="s">
        <v>197</v>
      </c>
      <c r="D178">
        <v>4</v>
      </c>
    </row>
    <row r="179" spans="1:12" x14ac:dyDescent="0.4">
      <c r="A179" t="s">
        <v>7261</v>
      </c>
      <c r="B179">
        <v>54.9</v>
      </c>
      <c r="C179" t="s">
        <v>197</v>
      </c>
      <c r="D179">
        <v>3</v>
      </c>
    </row>
    <row r="180" spans="1:12" x14ac:dyDescent="0.4">
      <c r="A180" t="s">
        <v>7262</v>
      </c>
      <c r="B180">
        <v>64.7</v>
      </c>
      <c r="C180" t="s">
        <v>197</v>
      </c>
      <c r="D180">
        <v>4</v>
      </c>
    </row>
    <row r="181" spans="1:12" x14ac:dyDescent="0.4">
      <c r="A181" t="s">
        <v>7263</v>
      </c>
      <c r="B181">
        <v>77.099999999999994</v>
      </c>
      <c r="C181" t="s">
        <v>197</v>
      </c>
      <c r="D181">
        <v>4</v>
      </c>
    </row>
    <row r="182" spans="1:12" x14ac:dyDescent="0.4">
      <c r="A182" t="s">
        <v>2937</v>
      </c>
      <c r="B182">
        <v>65</v>
      </c>
      <c r="C182" t="s">
        <v>5727</v>
      </c>
      <c r="D182">
        <v>4</v>
      </c>
      <c r="E182">
        <v>0.09</v>
      </c>
      <c r="F182">
        <v>35</v>
      </c>
      <c r="G182">
        <v>2021</v>
      </c>
      <c r="H182" t="s">
        <v>928</v>
      </c>
      <c r="I182" t="s">
        <v>6594</v>
      </c>
      <c r="L182" t="s">
        <v>197</v>
      </c>
    </row>
    <row r="183" spans="1:12" x14ac:dyDescent="0.4">
      <c r="A183" t="s">
        <v>2935</v>
      </c>
      <c r="B183">
        <v>72.400000000000006</v>
      </c>
      <c r="C183" t="s">
        <v>2478</v>
      </c>
      <c r="D183">
        <v>4</v>
      </c>
      <c r="E183">
        <v>1.1950000000000001</v>
      </c>
      <c r="F183">
        <v>27.6</v>
      </c>
      <c r="G183">
        <v>2021</v>
      </c>
      <c r="H183" t="s">
        <v>928</v>
      </c>
      <c r="I183" t="s">
        <v>6594</v>
      </c>
      <c r="L183" t="s">
        <v>197</v>
      </c>
    </row>
    <row r="184" spans="1:12" x14ac:dyDescent="0.4">
      <c r="A184" t="s">
        <v>2941</v>
      </c>
      <c r="B184">
        <v>60.2</v>
      </c>
      <c r="C184" t="s">
        <v>6038</v>
      </c>
      <c r="D184">
        <v>4</v>
      </c>
      <c r="E184">
        <v>-0.628</v>
      </c>
      <c r="F184">
        <v>39.799999999999997</v>
      </c>
      <c r="G184">
        <v>2021</v>
      </c>
      <c r="H184" t="s">
        <v>928</v>
      </c>
      <c r="I184" t="s">
        <v>6594</v>
      </c>
      <c r="L184" t="s">
        <v>197</v>
      </c>
    </row>
    <row r="185" spans="1:12" x14ac:dyDescent="0.4">
      <c r="A185" t="s">
        <v>2965</v>
      </c>
      <c r="B185">
        <v>68</v>
      </c>
      <c r="C185" t="s">
        <v>5738</v>
      </c>
      <c r="D185">
        <v>4</v>
      </c>
      <c r="E185">
        <v>0.53800000000000003</v>
      </c>
      <c r="F185">
        <v>32</v>
      </c>
      <c r="G185">
        <v>2021</v>
      </c>
      <c r="H185" t="s">
        <v>6613</v>
      </c>
      <c r="I185" t="s">
        <v>6614</v>
      </c>
      <c r="L185" t="s">
        <v>197</v>
      </c>
    </row>
    <row r="186" spans="1:12" x14ac:dyDescent="0.4">
      <c r="A186" t="s">
        <v>1838</v>
      </c>
      <c r="B186">
        <v>65.099999999999994</v>
      </c>
      <c r="C186" t="s">
        <v>5735</v>
      </c>
      <c r="D186">
        <v>4</v>
      </c>
      <c r="E186">
        <v>0.105</v>
      </c>
      <c r="F186">
        <v>34.9</v>
      </c>
      <c r="G186">
        <v>2021</v>
      </c>
      <c r="H186" t="s">
        <v>928</v>
      </c>
      <c r="I186" t="s">
        <v>6594</v>
      </c>
      <c r="L186" t="s">
        <v>197</v>
      </c>
    </row>
    <row r="187" spans="1:12" x14ac:dyDescent="0.4">
      <c r="A187" t="s">
        <v>2961</v>
      </c>
      <c r="B187">
        <v>62.9</v>
      </c>
      <c r="C187" t="s">
        <v>6693</v>
      </c>
      <c r="D187">
        <v>4</v>
      </c>
      <c r="E187">
        <v>-0.224</v>
      </c>
      <c r="F187">
        <v>37.1</v>
      </c>
      <c r="G187">
        <v>2021</v>
      </c>
      <c r="H187" t="s">
        <v>928</v>
      </c>
      <c r="I187" t="s">
        <v>6594</v>
      </c>
      <c r="L187" t="s">
        <v>197</v>
      </c>
    </row>
    <row r="188" spans="1:12" x14ac:dyDescent="0.4">
      <c r="A188" t="s">
        <v>2945</v>
      </c>
      <c r="B188">
        <v>68.3</v>
      </c>
      <c r="C188" t="s">
        <v>2485</v>
      </c>
      <c r="D188">
        <v>4</v>
      </c>
      <c r="E188">
        <v>0.58299999999999996</v>
      </c>
      <c r="F188">
        <v>31.7</v>
      </c>
      <c r="G188">
        <v>2021</v>
      </c>
      <c r="H188" t="s">
        <v>928</v>
      </c>
      <c r="I188" t="s">
        <v>6594</v>
      </c>
      <c r="L188" t="s">
        <v>197</v>
      </c>
    </row>
    <row r="189" spans="1:12" x14ac:dyDescent="0.4">
      <c r="A189" t="s">
        <v>2939</v>
      </c>
      <c r="B189">
        <v>45.2</v>
      </c>
      <c r="C189" t="s">
        <v>6035</v>
      </c>
      <c r="D189">
        <v>3</v>
      </c>
      <c r="E189">
        <v>-2.8690000000000002</v>
      </c>
      <c r="F189">
        <v>54.8</v>
      </c>
      <c r="G189">
        <v>2021</v>
      </c>
      <c r="H189" t="s">
        <v>928</v>
      </c>
      <c r="I189" t="s">
        <v>6594</v>
      </c>
      <c r="L189" t="s">
        <v>197</v>
      </c>
    </row>
    <row r="190" spans="1:12" x14ac:dyDescent="0.4">
      <c r="A190" t="s">
        <v>2951</v>
      </c>
      <c r="B190">
        <v>70.8</v>
      </c>
      <c r="C190" t="s">
        <v>2475</v>
      </c>
      <c r="D190">
        <v>4</v>
      </c>
      <c r="E190">
        <v>0.95599999999999996</v>
      </c>
      <c r="F190">
        <v>29.2</v>
      </c>
      <c r="G190">
        <v>2021</v>
      </c>
      <c r="H190" t="s">
        <v>928</v>
      </c>
      <c r="I190" t="s">
        <v>6594</v>
      </c>
      <c r="L190" t="s">
        <v>197</v>
      </c>
    </row>
    <row r="191" spans="1:12" x14ac:dyDescent="0.4">
      <c r="A191" t="s">
        <v>2943</v>
      </c>
      <c r="B191">
        <v>68.099999999999994</v>
      </c>
      <c r="C191" t="s">
        <v>5730</v>
      </c>
      <c r="D191">
        <v>4</v>
      </c>
      <c r="E191">
        <v>0.55300000000000005</v>
      </c>
      <c r="F191">
        <v>31.9</v>
      </c>
      <c r="G191">
        <v>2021</v>
      </c>
      <c r="H191" t="s">
        <v>928</v>
      </c>
      <c r="I191" t="s">
        <v>6594</v>
      </c>
      <c r="L191" t="s">
        <v>197</v>
      </c>
    </row>
    <row r="192" spans="1:12" x14ac:dyDescent="0.4">
      <c r="A192" t="s">
        <v>5951</v>
      </c>
      <c r="B192">
        <v>62.3</v>
      </c>
      <c r="C192" t="s">
        <v>5698</v>
      </c>
      <c r="D192">
        <v>4</v>
      </c>
      <c r="E192">
        <v>-0.314</v>
      </c>
      <c r="F192">
        <v>37.700000000000003</v>
      </c>
      <c r="G192">
        <v>2021</v>
      </c>
      <c r="H192" t="s">
        <v>928</v>
      </c>
      <c r="I192" t="s">
        <v>6594</v>
      </c>
      <c r="L192" t="s">
        <v>197</v>
      </c>
    </row>
    <row r="193" spans="1:12" x14ac:dyDescent="0.4">
      <c r="A193" t="s">
        <v>2957</v>
      </c>
      <c r="B193">
        <v>67.2</v>
      </c>
      <c r="C193" t="s">
        <v>5722</v>
      </c>
      <c r="D193">
        <v>4</v>
      </c>
      <c r="E193">
        <v>0.41799999999999998</v>
      </c>
      <c r="F193">
        <v>32.799999999999997</v>
      </c>
      <c r="G193">
        <v>2021</v>
      </c>
      <c r="H193" t="s">
        <v>928</v>
      </c>
      <c r="I193" t="s">
        <v>6594</v>
      </c>
      <c r="L193" t="s">
        <v>197</v>
      </c>
    </row>
    <row r="194" spans="1:12" x14ac:dyDescent="0.4">
      <c r="A194" t="s">
        <v>1839</v>
      </c>
      <c r="B194">
        <v>66.599999999999994</v>
      </c>
      <c r="C194" t="s">
        <v>5700</v>
      </c>
      <c r="D194">
        <v>4</v>
      </c>
      <c r="E194">
        <v>0.32900000000000001</v>
      </c>
      <c r="F194">
        <v>33.4</v>
      </c>
      <c r="G194">
        <v>2021</v>
      </c>
      <c r="H194" t="s">
        <v>928</v>
      </c>
      <c r="I194" t="s">
        <v>6594</v>
      </c>
      <c r="L194" t="s">
        <v>197</v>
      </c>
    </row>
    <row r="195" spans="1:12" x14ac:dyDescent="0.4">
      <c r="A195" t="s">
        <v>1848</v>
      </c>
      <c r="B195">
        <v>74</v>
      </c>
      <c r="C195" t="s">
        <v>2479</v>
      </c>
      <c r="D195">
        <v>4</v>
      </c>
      <c r="E195">
        <v>1.4339999999999999</v>
      </c>
      <c r="F195">
        <v>26</v>
      </c>
      <c r="G195">
        <v>2021</v>
      </c>
      <c r="H195" t="s">
        <v>928</v>
      </c>
      <c r="I195" t="s">
        <v>6594</v>
      </c>
      <c r="L195" t="s">
        <v>197</v>
      </c>
    </row>
    <row r="196" spans="1:12" x14ac:dyDescent="0.4">
      <c r="A196" t="s">
        <v>2950</v>
      </c>
      <c r="B196">
        <v>72.3</v>
      </c>
      <c r="C196" t="s">
        <v>2477</v>
      </c>
      <c r="D196">
        <v>4</v>
      </c>
      <c r="E196">
        <v>1.18</v>
      </c>
      <c r="F196">
        <v>27.7</v>
      </c>
      <c r="G196">
        <v>2021</v>
      </c>
      <c r="H196" t="s">
        <v>928</v>
      </c>
      <c r="I196" t="s">
        <v>6594</v>
      </c>
      <c r="L196" t="s">
        <v>197</v>
      </c>
    </row>
    <row r="197" spans="1:12" x14ac:dyDescent="0.4">
      <c r="A197" t="s">
        <v>2964</v>
      </c>
      <c r="B197">
        <v>63.9</v>
      </c>
      <c r="C197" t="s">
        <v>5699</v>
      </c>
      <c r="D197">
        <v>4</v>
      </c>
      <c r="E197">
        <v>-7.4999999999999997E-2</v>
      </c>
      <c r="F197">
        <v>36.1</v>
      </c>
      <c r="G197">
        <v>2021</v>
      </c>
      <c r="H197" t="s">
        <v>928</v>
      </c>
      <c r="I197" t="s">
        <v>6594</v>
      </c>
      <c r="L197" t="s">
        <v>197</v>
      </c>
    </row>
    <row r="198" spans="1:12" x14ac:dyDescent="0.4">
      <c r="A198" t="s">
        <v>1840</v>
      </c>
      <c r="B198">
        <v>68</v>
      </c>
      <c r="C198" t="s">
        <v>5738</v>
      </c>
      <c r="D198">
        <v>4</v>
      </c>
      <c r="E198">
        <v>0.53800000000000003</v>
      </c>
      <c r="F198">
        <v>32</v>
      </c>
      <c r="G198">
        <v>2021</v>
      </c>
      <c r="H198" t="s">
        <v>6613</v>
      </c>
      <c r="I198" t="s">
        <v>6614</v>
      </c>
      <c r="L198" t="s">
        <v>197</v>
      </c>
    </row>
    <row r="199" spans="1:12" x14ac:dyDescent="0.4">
      <c r="A199" t="s">
        <v>1847</v>
      </c>
      <c r="B199">
        <v>55.6</v>
      </c>
      <c r="C199" t="s">
        <v>6037</v>
      </c>
      <c r="D199">
        <v>3</v>
      </c>
      <c r="E199">
        <v>-1.3149999999999999</v>
      </c>
      <c r="F199">
        <v>44.4</v>
      </c>
      <c r="G199">
        <v>2021</v>
      </c>
      <c r="H199" t="s">
        <v>928</v>
      </c>
      <c r="I199" t="s">
        <v>6594</v>
      </c>
      <c r="L199" t="s">
        <v>197</v>
      </c>
    </row>
    <row r="200" spans="1:12" x14ac:dyDescent="0.4">
      <c r="A200" t="s">
        <v>1841</v>
      </c>
      <c r="B200">
        <v>61.7</v>
      </c>
      <c r="C200" t="s">
        <v>5708</v>
      </c>
      <c r="D200">
        <v>4</v>
      </c>
      <c r="E200">
        <v>-0.40300000000000002</v>
      </c>
      <c r="F200">
        <v>38.299999999999997</v>
      </c>
      <c r="G200">
        <v>2021</v>
      </c>
      <c r="H200" t="s">
        <v>928</v>
      </c>
      <c r="I200" t="s">
        <v>6594</v>
      </c>
      <c r="L200" t="s">
        <v>197</v>
      </c>
    </row>
    <row r="201" spans="1:12" x14ac:dyDescent="0.4">
      <c r="A201" t="s">
        <v>2934</v>
      </c>
      <c r="B201">
        <v>37</v>
      </c>
      <c r="C201" t="s">
        <v>6033</v>
      </c>
      <c r="D201">
        <v>2</v>
      </c>
      <c r="E201">
        <v>-4.0940000000000003</v>
      </c>
      <c r="F201">
        <v>63</v>
      </c>
      <c r="G201">
        <v>2021</v>
      </c>
      <c r="H201" t="s">
        <v>928</v>
      </c>
      <c r="I201" t="s">
        <v>6594</v>
      </c>
      <c r="L201" t="s">
        <v>197</v>
      </c>
    </row>
    <row r="202" spans="1:12" x14ac:dyDescent="0.4">
      <c r="A202" t="s">
        <v>2954</v>
      </c>
      <c r="B202">
        <v>70.400000000000006</v>
      </c>
      <c r="C202" t="s">
        <v>2476</v>
      </c>
      <c r="D202">
        <v>4</v>
      </c>
      <c r="E202">
        <v>0.89600000000000002</v>
      </c>
      <c r="F202">
        <v>29.6</v>
      </c>
      <c r="G202">
        <v>2021</v>
      </c>
      <c r="H202" t="s">
        <v>928</v>
      </c>
      <c r="I202" t="s">
        <v>6594</v>
      </c>
      <c r="L202" t="s">
        <v>197</v>
      </c>
    </row>
    <row r="203" spans="1:12" x14ac:dyDescent="0.4">
      <c r="A203" t="s">
        <v>2958</v>
      </c>
      <c r="B203">
        <v>67.2</v>
      </c>
      <c r="C203" t="s">
        <v>5722</v>
      </c>
      <c r="D203">
        <v>4</v>
      </c>
      <c r="E203">
        <v>0.41799999999999998</v>
      </c>
      <c r="F203">
        <v>32.799999999999997</v>
      </c>
      <c r="G203">
        <v>2021</v>
      </c>
      <c r="H203" t="s">
        <v>928</v>
      </c>
      <c r="I203" t="s">
        <v>6594</v>
      </c>
      <c r="L203" t="s">
        <v>197</v>
      </c>
    </row>
    <row r="204" spans="1:12" x14ac:dyDescent="0.4">
      <c r="A204" t="s">
        <v>2956</v>
      </c>
      <c r="B204">
        <v>67.2</v>
      </c>
      <c r="C204" t="s">
        <v>5722</v>
      </c>
      <c r="D204">
        <v>4</v>
      </c>
      <c r="E204">
        <v>0.41799999999999998</v>
      </c>
      <c r="F204">
        <v>32.799999999999997</v>
      </c>
      <c r="G204">
        <v>2021</v>
      </c>
      <c r="H204" t="s">
        <v>928</v>
      </c>
      <c r="I204" t="s">
        <v>6594</v>
      </c>
      <c r="L204" t="s">
        <v>197</v>
      </c>
    </row>
    <row r="205" spans="1:12" x14ac:dyDescent="0.4">
      <c r="A205" t="s">
        <v>2944</v>
      </c>
      <c r="B205">
        <v>68</v>
      </c>
      <c r="C205" t="s">
        <v>5738</v>
      </c>
      <c r="D205">
        <v>4</v>
      </c>
      <c r="E205">
        <v>0.53800000000000003</v>
      </c>
      <c r="F205">
        <v>32</v>
      </c>
      <c r="G205">
        <v>2021</v>
      </c>
      <c r="H205" t="s">
        <v>6613</v>
      </c>
      <c r="I205" t="s">
        <v>6614</v>
      </c>
      <c r="L205" t="s">
        <v>197</v>
      </c>
    </row>
    <row r="206" spans="1:12" x14ac:dyDescent="0.4">
      <c r="A206" t="s">
        <v>2933</v>
      </c>
      <c r="B206">
        <v>64.900000000000006</v>
      </c>
      <c r="C206" t="s">
        <v>5733</v>
      </c>
      <c r="D206">
        <v>4</v>
      </c>
      <c r="E206">
        <v>7.4999999999999997E-2</v>
      </c>
      <c r="F206">
        <v>35.1</v>
      </c>
      <c r="G206">
        <v>2021</v>
      </c>
      <c r="H206" t="s">
        <v>928</v>
      </c>
      <c r="I206" t="s">
        <v>6594</v>
      </c>
      <c r="L206" t="s">
        <v>197</v>
      </c>
    </row>
    <row r="207" spans="1:12" x14ac:dyDescent="0.4">
      <c r="A207" t="s">
        <v>2947</v>
      </c>
      <c r="B207">
        <v>67.599999999999994</v>
      </c>
      <c r="C207" t="s">
        <v>5695</v>
      </c>
      <c r="D207">
        <v>4</v>
      </c>
      <c r="E207">
        <v>0.47799999999999998</v>
      </c>
      <c r="F207">
        <v>32.4</v>
      </c>
      <c r="G207">
        <v>2021</v>
      </c>
      <c r="H207" t="s">
        <v>928</v>
      </c>
      <c r="I207" t="s">
        <v>6594</v>
      </c>
      <c r="L207" t="s">
        <v>197</v>
      </c>
    </row>
    <row r="208" spans="1:12" x14ac:dyDescent="0.4">
      <c r="A208" t="s">
        <v>2948</v>
      </c>
      <c r="B208">
        <v>66.099999999999994</v>
      </c>
      <c r="C208" t="s">
        <v>5703</v>
      </c>
      <c r="D208">
        <v>4</v>
      </c>
      <c r="E208">
        <v>0.254</v>
      </c>
      <c r="F208">
        <v>33.9</v>
      </c>
      <c r="G208">
        <v>2021</v>
      </c>
      <c r="H208" t="s">
        <v>928</v>
      </c>
      <c r="I208" t="s">
        <v>6594</v>
      </c>
      <c r="L208" t="s">
        <v>197</v>
      </c>
    </row>
    <row r="209" spans="1:12" x14ac:dyDescent="0.4">
      <c r="A209" t="s">
        <v>2966</v>
      </c>
      <c r="B209">
        <v>59.3</v>
      </c>
      <c r="C209" t="s">
        <v>5697</v>
      </c>
      <c r="D209">
        <v>3</v>
      </c>
      <c r="E209">
        <v>-0.76200000000000001</v>
      </c>
      <c r="F209">
        <v>40.700000000000003</v>
      </c>
      <c r="G209">
        <v>2021</v>
      </c>
      <c r="H209" t="s">
        <v>928</v>
      </c>
      <c r="I209" t="s">
        <v>6594</v>
      </c>
      <c r="L209" t="s">
        <v>197</v>
      </c>
    </row>
    <row r="210" spans="1:12" x14ac:dyDescent="0.4">
      <c r="A210" t="s">
        <v>1842</v>
      </c>
      <c r="B210">
        <v>65.7</v>
      </c>
      <c r="C210" t="s">
        <v>5719</v>
      </c>
      <c r="D210">
        <v>4</v>
      </c>
      <c r="E210">
        <v>0.19400000000000001</v>
      </c>
      <c r="F210">
        <v>34.299999999999997</v>
      </c>
      <c r="G210">
        <v>2021</v>
      </c>
      <c r="H210" t="s">
        <v>928</v>
      </c>
      <c r="I210" t="s">
        <v>6594</v>
      </c>
      <c r="L210" t="s">
        <v>197</v>
      </c>
    </row>
    <row r="211" spans="1:12" x14ac:dyDescent="0.4">
      <c r="A211" t="s">
        <v>1846</v>
      </c>
      <c r="B211">
        <v>56.5</v>
      </c>
      <c r="C211" t="s">
        <v>5710</v>
      </c>
      <c r="D211">
        <v>3</v>
      </c>
      <c r="E211">
        <v>-1.18</v>
      </c>
      <c r="F211">
        <v>43.5</v>
      </c>
      <c r="G211">
        <v>2021</v>
      </c>
      <c r="H211" t="s">
        <v>928</v>
      </c>
      <c r="I211" t="s">
        <v>6594</v>
      </c>
      <c r="L211" t="s">
        <v>197</v>
      </c>
    </row>
    <row r="212" spans="1:12" x14ac:dyDescent="0.4">
      <c r="A212" t="s">
        <v>2949</v>
      </c>
      <c r="B212">
        <v>64</v>
      </c>
      <c r="C212" t="s">
        <v>5734</v>
      </c>
      <c r="D212">
        <v>4</v>
      </c>
      <c r="E212">
        <v>-0.06</v>
      </c>
      <c r="F212">
        <v>36</v>
      </c>
      <c r="G212">
        <v>2021</v>
      </c>
      <c r="H212" t="s">
        <v>928</v>
      </c>
      <c r="I212" t="s">
        <v>6594</v>
      </c>
      <c r="L212" t="s">
        <v>197</v>
      </c>
    </row>
    <row r="213" spans="1:12" x14ac:dyDescent="0.4">
      <c r="A213" t="s">
        <v>2955</v>
      </c>
      <c r="B213">
        <v>67.2</v>
      </c>
      <c r="C213" t="s">
        <v>5722</v>
      </c>
      <c r="D213">
        <v>4</v>
      </c>
      <c r="E213">
        <v>0.41799999999999998</v>
      </c>
      <c r="F213">
        <v>32.799999999999997</v>
      </c>
      <c r="G213">
        <v>2021</v>
      </c>
      <c r="H213" t="s">
        <v>928</v>
      </c>
      <c r="I213" t="s">
        <v>6594</v>
      </c>
      <c r="L213" t="s">
        <v>197</v>
      </c>
    </row>
    <row r="214" spans="1:12" x14ac:dyDescent="0.4">
      <c r="A214" t="s">
        <v>2936</v>
      </c>
      <c r="B214">
        <v>61.3</v>
      </c>
      <c r="C214" t="s">
        <v>5713</v>
      </c>
      <c r="D214">
        <v>4</v>
      </c>
      <c r="E214">
        <v>-0.46300000000000002</v>
      </c>
      <c r="F214">
        <v>38.700000000000003</v>
      </c>
      <c r="G214">
        <v>2021</v>
      </c>
      <c r="H214" t="s">
        <v>928</v>
      </c>
      <c r="I214" t="s">
        <v>6594</v>
      </c>
      <c r="L214" t="s">
        <v>197</v>
      </c>
    </row>
    <row r="215" spans="1:12" x14ac:dyDescent="0.4">
      <c r="A215" t="s">
        <v>5761</v>
      </c>
      <c r="B215">
        <v>60.2</v>
      </c>
      <c r="C215" t="s">
        <v>6038</v>
      </c>
      <c r="D215">
        <v>4</v>
      </c>
      <c r="E215">
        <v>-0.628</v>
      </c>
      <c r="F215">
        <v>39.799999999999997</v>
      </c>
      <c r="G215">
        <v>2021</v>
      </c>
      <c r="H215" t="s">
        <v>928</v>
      </c>
      <c r="I215" t="s">
        <v>6594</v>
      </c>
      <c r="L215" t="s">
        <v>197</v>
      </c>
    </row>
    <row r="216" spans="1:12" x14ac:dyDescent="0.4">
      <c r="A216" t="s">
        <v>2959</v>
      </c>
      <c r="B216">
        <v>67.099999999999994</v>
      </c>
      <c r="C216" t="s">
        <v>6582</v>
      </c>
      <c r="D216">
        <v>4</v>
      </c>
      <c r="E216">
        <v>0.40300000000000002</v>
      </c>
      <c r="F216">
        <v>32.9</v>
      </c>
      <c r="G216">
        <v>2021</v>
      </c>
      <c r="H216" t="s">
        <v>928</v>
      </c>
      <c r="I216" t="s">
        <v>6594</v>
      </c>
      <c r="L216" t="s">
        <v>197</v>
      </c>
    </row>
    <row r="217" spans="1:12" x14ac:dyDescent="0.4">
      <c r="A217" t="s">
        <v>5762</v>
      </c>
      <c r="B217">
        <v>68.5</v>
      </c>
      <c r="C217" t="s">
        <v>2484</v>
      </c>
      <c r="D217">
        <v>4</v>
      </c>
      <c r="E217">
        <v>0.61299999999999999</v>
      </c>
      <c r="F217">
        <v>31.5</v>
      </c>
      <c r="G217">
        <v>2021</v>
      </c>
      <c r="H217" t="s">
        <v>928</v>
      </c>
      <c r="I217" t="s">
        <v>6594</v>
      </c>
      <c r="L217" t="s">
        <v>197</v>
      </c>
    </row>
    <row r="218" spans="1:12" x14ac:dyDescent="0.4">
      <c r="A218" t="s">
        <v>2967</v>
      </c>
      <c r="B218">
        <v>62.5</v>
      </c>
      <c r="C218" t="s">
        <v>5709</v>
      </c>
      <c r="D218">
        <v>4</v>
      </c>
      <c r="E218">
        <v>-0.28399999999999997</v>
      </c>
      <c r="F218">
        <v>37.5</v>
      </c>
      <c r="G218">
        <v>2021</v>
      </c>
      <c r="H218" t="s">
        <v>6613</v>
      </c>
      <c r="I218" t="s">
        <v>6614</v>
      </c>
      <c r="L218" t="s">
        <v>197</v>
      </c>
    </row>
    <row r="219" spans="1:12" x14ac:dyDescent="0.4">
      <c r="A219" t="s">
        <v>2942</v>
      </c>
      <c r="B219">
        <v>68</v>
      </c>
      <c r="C219" t="s">
        <v>5738</v>
      </c>
      <c r="D219">
        <v>4</v>
      </c>
      <c r="E219">
        <v>0.53800000000000003</v>
      </c>
      <c r="F219">
        <v>32</v>
      </c>
      <c r="G219">
        <v>2021</v>
      </c>
      <c r="H219" t="s">
        <v>6613</v>
      </c>
      <c r="I219" t="s">
        <v>6614</v>
      </c>
      <c r="L219" t="s">
        <v>197</v>
      </c>
    </row>
    <row r="220" spans="1:12" x14ac:dyDescent="0.4">
      <c r="A220" t="s">
        <v>2946</v>
      </c>
      <c r="B220">
        <v>65.2</v>
      </c>
      <c r="C220" t="s">
        <v>5736</v>
      </c>
      <c r="D220">
        <v>4</v>
      </c>
      <c r="E220">
        <v>0.12</v>
      </c>
      <c r="F220">
        <v>34.799999999999997</v>
      </c>
      <c r="G220">
        <v>2021</v>
      </c>
      <c r="H220" t="s">
        <v>928</v>
      </c>
      <c r="I220" t="s">
        <v>6594</v>
      </c>
      <c r="L220" t="s">
        <v>197</v>
      </c>
    </row>
    <row r="221" spans="1:12" x14ac:dyDescent="0.4">
      <c r="A221" t="s">
        <v>2940</v>
      </c>
      <c r="B221">
        <v>60.2</v>
      </c>
      <c r="C221" t="s">
        <v>6038</v>
      </c>
      <c r="D221">
        <v>4</v>
      </c>
      <c r="E221">
        <v>-0.628</v>
      </c>
      <c r="F221">
        <v>39.799999999999997</v>
      </c>
      <c r="G221">
        <v>2021</v>
      </c>
      <c r="H221" t="s">
        <v>928</v>
      </c>
      <c r="I221" t="s">
        <v>6594</v>
      </c>
      <c r="L221" t="s">
        <v>197</v>
      </c>
    </row>
    <row r="222" spans="1:12" x14ac:dyDescent="0.4">
      <c r="A222" t="s">
        <v>5763</v>
      </c>
      <c r="B222">
        <v>48</v>
      </c>
      <c r="C222" t="s">
        <v>6036</v>
      </c>
      <c r="D222">
        <v>3</v>
      </c>
      <c r="E222">
        <v>-2.4500000000000002</v>
      </c>
      <c r="F222">
        <v>52</v>
      </c>
      <c r="G222">
        <v>2021</v>
      </c>
      <c r="H222" t="s">
        <v>928</v>
      </c>
      <c r="I222" t="s">
        <v>6594</v>
      </c>
      <c r="L222" t="s">
        <v>197</v>
      </c>
    </row>
    <row r="223" spans="1:12" x14ac:dyDescent="0.4">
      <c r="A223" t="s">
        <v>2960</v>
      </c>
      <c r="B223">
        <v>68.599999999999994</v>
      </c>
      <c r="C223" t="s">
        <v>2482</v>
      </c>
      <c r="D223">
        <v>4</v>
      </c>
      <c r="E223">
        <v>0.628</v>
      </c>
      <c r="F223">
        <v>31.4</v>
      </c>
      <c r="G223">
        <v>2021</v>
      </c>
      <c r="H223" t="s">
        <v>928</v>
      </c>
      <c r="I223" t="s">
        <v>6594</v>
      </c>
      <c r="L223" t="s">
        <v>197</v>
      </c>
    </row>
    <row r="224" spans="1:12" x14ac:dyDescent="0.4">
      <c r="A224" t="s">
        <v>1843</v>
      </c>
      <c r="B224">
        <v>62.9</v>
      </c>
      <c r="C224" t="s">
        <v>6693</v>
      </c>
      <c r="D224">
        <v>4</v>
      </c>
      <c r="E224">
        <v>-0.224</v>
      </c>
      <c r="F224">
        <v>37.1</v>
      </c>
      <c r="G224">
        <v>2021</v>
      </c>
      <c r="H224" t="s">
        <v>928</v>
      </c>
      <c r="I224" t="s">
        <v>6594</v>
      </c>
      <c r="L224" t="s">
        <v>197</v>
      </c>
    </row>
    <row r="225" spans="1:12" x14ac:dyDescent="0.4">
      <c r="A225" t="s">
        <v>1844</v>
      </c>
      <c r="B225">
        <v>68</v>
      </c>
      <c r="C225" t="s">
        <v>5738</v>
      </c>
      <c r="D225">
        <v>4</v>
      </c>
      <c r="E225">
        <v>0.53800000000000003</v>
      </c>
      <c r="F225">
        <v>32</v>
      </c>
      <c r="G225">
        <v>2021</v>
      </c>
      <c r="H225" t="s">
        <v>6613</v>
      </c>
      <c r="I225" t="s">
        <v>6614</v>
      </c>
      <c r="L225" t="s">
        <v>197</v>
      </c>
    </row>
    <row r="226" spans="1:12" x14ac:dyDescent="0.4">
      <c r="A226" t="s">
        <v>2963</v>
      </c>
      <c r="B226">
        <v>65.7</v>
      </c>
      <c r="C226" t="s">
        <v>5719</v>
      </c>
      <c r="D226">
        <v>4</v>
      </c>
      <c r="E226">
        <v>0.19400000000000001</v>
      </c>
      <c r="F226">
        <v>34.299999999999997</v>
      </c>
      <c r="G226">
        <v>2021</v>
      </c>
      <c r="H226" t="s">
        <v>928</v>
      </c>
      <c r="I226" t="s">
        <v>6594</v>
      </c>
      <c r="L226" t="s">
        <v>197</v>
      </c>
    </row>
    <row r="227" spans="1:12" x14ac:dyDescent="0.4">
      <c r="A227" t="s">
        <v>1845</v>
      </c>
      <c r="B227">
        <v>67.099999999999994</v>
      </c>
      <c r="C227" t="s">
        <v>6582</v>
      </c>
      <c r="D227">
        <v>4</v>
      </c>
      <c r="E227">
        <v>0.40300000000000002</v>
      </c>
      <c r="F227">
        <v>32.9</v>
      </c>
      <c r="G227">
        <v>2021</v>
      </c>
      <c r="H227" t="s">
        <v>928</v>
      </c>
      <c r="I227" t="s">
        <v>6594</v>
      </c>
      <c r="L227" t="s">
        <v>197</v>
      </c>
    </row>
    <row r="228" spans="1:12" x14ac:dyDescent="0.4">
      <c r="A228" t="s">
        <v>2938</v>
      </c>
      <c r="B228">
        <v>68.3</v>
      </c>
      <c r="C228" t="s">
        <v>2485</v>
      </c>
      <c r="D228">
        <v>4</v>
      </c>
      <c r="E228">
        <v>0.58299999999999996</v>
      </c>
      <c r="F228">
        <v>31.7</v>
      </c>
      <c r="G228">
        <v>2021</v>
      </c>
      <c r="H228" t="s">
        <v>928</v>
      </c>
      <c r="I228" t="s">
        <v>6594</v>
      </c>
      <c r="L228" t="s">
        <v>197</v>
      </c>
    </row>
    <row r="229" spans="1:12" x14ac:dyDescent="0.4">
      <c r="A229" t="s">
        <v>2952</v>
      </c>
      <c r="B229">
        <v>69.3</v>
      </c>
      <c r="C229" t="s">
        <v>6593</v>
      </c>
      <c r="D229">
        <v>4</v>
      </c>
      <c r="E229">
        <v>0.73199999999999998</v>
      </c>
      <c r="F229">
        <v>30.7</v>
      </c>
      <c r="G229">
        <v>2021</v>
      </c>
      <c r="H229" t="s">
        <v>928</v>
      </c>
      <c r="I229" t="s">
        <v>6594</v>
      </c>
      <c r="L229" t="s">
        <v>197</v>
      </c>
    </row>
    <row r="230" spans="1:12" x14ac:dyDescent="0.4">
      <c r="A230" t="s">
        <v>2962</v>
      </c>
      <c r="B230">
        <v>62.9</v>
      </c>
      <c r="C230" t="s">
        <v>6693</v>
      </c>
      <c r="D230">
        <v>4</v>
      </c>
      <c r="E230">
        <v>-0.224</v>
      </c>
      <c r="F230">
        <v>37.1</v>
      </c>
      <c r="G230">
        <v>2021</v>
      </c>
      <c r="H230" t="s">
        <v>928</v>
      </c>
      <c r="I230" t="s">
        <v>6594</v>
      </c>
      <c r="L230" t="s">
        <v>197</v>
      </c>
    </row>
    <row r="231" spans="1:12" x14ac:dyDescent="0.4">
      <c r="A231" t="s">
        <v>2953</v>
      </c>
      <c r="B231">
        <v>69.3</v>
      </c>
      <c r="C231" t="s">
        <v>6593</v>
      </c>
      <c r="D231">
        <v>4</v>
      </c>
      <c r="E231">
        <v>0.73199999999999998</v>
      </c>
      <c r="F231">
        <v>30.7</v>
      </c>
      <c r="G231">
        <v>2021</v>
      </c>
      <c r="H231" t="s">
        <v>928</v>
      </c>
      <c r="I231" t="s">
        <v>6594</v>
      </c>
      <c r="L231" t="s">
        <v>197</v>
      </c>
    </row>
    <row r="232" spans="1:12" x14ac:dyDescent="0.4">
      <c r="A232" t="s">
        <v>1849</v>
      </c>
      <c r="B232">
        <v>64.400000000000006</v>
      </c>
      <c r="C232" t="s">
        <v>197</v>
      </c>
      <c r="D232">
        <v>4</v>
      </c>
    </row>
    <row r="233" spans="1:12" x14ac:dyDescent="0.4">
      <c r="A233" t="s">
        <v>1850</v>
      </c>
      <c r="B233">
        <v>60.1</v>
      </c>
      <c r="C233" t="s">
        <v>197</v>
      </c>
      <c r="D233">
        <v>4</v>
      </c>
    </row>
    <row r="234" spans="1:12" x14ac:dyDescent="0.4">
      <c r="A234" t="s">
        <v>1851</v>
      </c>
      <c r="B234">
        <v>56.9</v>
      </c>
      <c r="C234" t="s">
        <v>197</v>
      </c>
      <c r="D234">
        <v>3</v>
      </c>
    </row>
    <row r="235" spans="1:12" x14ac:dyDescent="0.4">
      <c r="A235" t="s">
        <v>1852</v>
      </c>
      <c r="B235">
        <v>69.5</v>
      </c>
      <c r="C235" t="s">
        <v>197</v>
      </c>
      <c r="D235">
        <v>4</v>
      </c>
    </row>
    <row r="236" spans="1:12" x14ac:dyDescent="0.4">
      <c r="A236" t="s">
        <v>1853</v>
      </c>
      <c r="B236">
        <v>66.8</v>
      </c>
      <c r="C236" t="s">
        <v>197</v>
      </c>
      <c r="D236">
        <v>4</v>
      </c>
    </row>
    <row r="237" spans="1:12" x14ac:dyDescent="0.4">
      <c r="A237" t="s">
        <v>2536</v>
      </c>
      <c r="B237">
        <v>66.400000000000006</v>
      </c>
      <c r="C237" t="s">
        <v>197</v>
      </c>
      <c r="D237">
        <v>4</v>
      </c>
    </row>
    <row r="238" spans="1:12" x14ac:dyDescent="0.4">
      <c r="A238" t="s">
        <v>2537</v>
      </c>
      <c r="B238">
        <v>65.2</v>
      </c>
      <c r="C238" t="s">
        <v>197</v>
      </c>
      <c r="D238">
        <v>4</v>
      </c>
    </row>
    <row r="239" spans="1:12" x14ac:dyDescent="0.4">
      <c r="A239" t="s">
        <v>7264</v>
      </c>
      <c r="B239">
        <v>65.900000000000006</v>
      </c>
      <c r="C239" t="s">
        <v>197</v>
      </c>
      <c r="D239">
        <v>4</v>
      </c>
    </row>
    <row r="240" spans="1:12" x14ac:dyDescent="0.4">
      <c r="A240" t="s">
        <v>7265</v>
      </c>
      <c r="B240">
        <v>56.5</v>
      </c>
      <c r="C240" t="s">
        <v>197</v>
      </c>
      <c r="D240">
        <v>3</v>
      </c>
    </row>
    <row r="241" spans="1:11" x14ac:dyDescent="0.4">
      <c r="A241" t="s">
        <v>7266</v>
      </c>
      <c r="B241">
        <v>67.2</v>
      </c>
      <c r="C241" t="s">
        <v>197</v>
      </c>
      <c r="D241">
        <v>4</v>
      </c>
    </row>
    <row r="242" spans="1:11" x14ac:dyDescent="0.4">
      <c r="A242" t="s">
        <v>2972</v>
      </c>
      <c r="B242">
        <v>100</v>
      </c>
      <c r="C242" t="s">
        <v>1380</v>
      </c>
      <c r="D242">
        <v>5</v>
      </c>
      <c r="E242">
        <v>0.64800000000000002</v>
      </c>
      <c r="F242">
        <v>1</v>
      </c>
      <c r="G242">
        <v>2024</v>
      </c>
      <c r="H242" t="s">
        <v>928</v>
      </c>
      <c r="I242" t="s">
        <v>6063</v>
      </c>
      <c r="J242" t="s">
        <v>6748</v>
      </c>
      <c r="K242" t="s">
        <v>7691</v>
      </c>
    </row>
    <row r="243" spans="1:11" x14ac:dyDescent="0.4">
      <c r="A243" t="s">
        <v>2970</v>
      </c>
      <c r="B243">
        <v>0</v>
      </c>
      <c r="C243" t="s">
        <v>5720</v>
      </c>
      <c r="D243">
        <v>1</v>
      </c>
      <c r="E243">
        <v>-1.512</v>
      </c>
      <c r="F243">
        <v>0</v>
      </c>
      <c r="G243">
        <v>2024</v>
      </c>
      <c r="H243" t="s">
        <v>928</v>
      </c>
      <c r="I243" t="s">
        <v>6063</v>
      </c>
      <c r="J243" t="s">
        <v>6749</v>
      </c>
      <c r="K243" t="s">
        <v>7692</v>
      </c>
    </row>
    <row r="244" spans="1:11" x14ac:dyDescent="0.4">
      <c r="A244" t="s">
        <v>2976</v>
      </c>
      <c r="B244">
        <v>100</v>
      </c>
      <c r="C244" t="s">
        <v>1380</v>
      </c>
      <c r="D244">
        <v>5</v>
      </c>
      <c r="E244">
        <v>0.64800000000000002</v>
      </c>
      <c r="F244">
        <v>1</v>
      </c>
      <c r="G244">
        <v>2024</v>
      </c>
      <c r="H244" t="s">
        <v>928</v>
      </c>
      <c r="I244" t="s">
        <v>6063</v>
      </c>
      <c r="J244" t="s">
        <v>7693</v>
      </c>
      <c r="K244" t="s">
        <v>7694</v>
      </c>
    </row>
    <row r="245" spans="1:11" x14ac:dyDescent="0.4">
      <c r="A245" t="s">
        <v>3000</v>
      </c>
      <c r="B245">
        <v>0</v>
      </c>
      <c r="C245" t="s">
        <v>5720</v>
      </c>
      <c r="D245">
        <v>1</v>
      </c>
      <c r="E245">
        <v>-1.512</v>
      </c>
      <c r="F245">
        <v>0</v>
      </c>
      <c r="G245">
        <v>2024</v>
      </c>
      <c r="H245" t="s">
        <v>928</v>
      </c>
      <c r="I245" t="s">
        <v>6063</v>
      </c>
      <c r="J245" t="s">
        <v>7695</v>
      </c>
      <c r="K245" t="s">
        <v>9006</v>
      </c>
    </row>
    <row r="246" spans="1:11" x14ac:dyDescent="0.4">
      <c r="A246" t="s">
        <v>1854</v>
      </c>
      <c r="B246">
        <v>100</v>
      </c>
      <c r="C246" t="s">
        <v>1380</v>
      </c>
      <c r="D246">
        <v>5</v>
      </c>
      <c r="E246">
        <v>0.64800000000000002</v>
      </c>
      <c r="F246">
        <v>1</v>
      </c>
      <c r="G246">
        <v>2024</v>
      </c>
      <c r="H246" t="s">
        <v>928</v>
      </c>
      <c r="I246" t="s">
        <v>6063</v>
      </c>
      <c r="J246" t="s">
        <v>7696</v>
      </c>
      <c r="K246" t="s">
        <v>9007</v>
      </c>
    </row>
    <row r="247" spans="1:11" x14ac:dyDescent="0.4">
      <c r="A247" t="s">
        <v>2996</v>
      </c>
      <c r="B247">
        <v>0</v>
      </c>
      <c r="C247" t="s">
        <v>5720</v>
      </c>
      <c r="D247">
        <v>1</v>
      </c>
      <c r="E247">
        <v>-1.512</v>
      </c>
      <c r="F247">
        <v>0</v>
      </c>
      <c r="G247">
        <v>2024</v>
      </c>
      <c r="H247" t="s">
        <v>928</v>
      </c>
      <c r="I247" t="s">
        <v>6063</v>
      </c>
      <c r="J247" t="s">
        <v>7697</v>
      </c>
      <c r="K247" t="s">
        <v>9008</v>
      </c>
    </row>
    <row r="248" spans="1:11" x14ac:dyDescent="0.4">
      <c r="A248" t="s">
        <v>2980</v>
      </c>
      <c r="B248">
        <v>100</v>
      </c>
      <c r="C248" t="s">
        <v>1380</v>
      </c>
      <c r="D248">
        <v>5</v>
      </c>
      <c r="E248">
        <v>0.64800000000000002</v>
      </c>
      <c r="F248">
        <v>1</v>
      </c>
      <c r="G248">
        <v>2024</v>
      </c>
      <c r="H248" t="s">
        <v>928</v>
      </c>
      <c r="I248" t="s">
        <v>6063</v>
      </c>
      <c r="J248" t="s">
        <v>7698</v>
      </c>
      <c r="K248" t="s">
        <v>6750</v>
      </c>
    </row>
    <row r="249" spans="1:11" x14ac:dyDescent="0.4">
      <c r="A249" t="s">
        <v>2974</v>
      </c>
      <c r="B249">
        <v>100</v>
      </c>
      <c r="C249" t="s">
        <v>1380</v>
      </c>
      <c r="D249">
        <v>5</v>
      </c>
      <c r="E249">
        <v>0.64800000000000002</v>
      </c>
      <c r="F249">
        <v>1</v>
      </c>
      <c r="G249">
        <v>2024</v>
      </c>
      <c r="H249" t="s">
        <v>928</v>
      </c>
      <c r="I249" t="s">
        <v>6063</v>
      </c>
      <c r="J249" t="s">
        <v>7699</v>
      </c>
      <c r="K249" t="s">
        <v>7700</v>
      </c>
    </row>
    <row r="250" spans="1:11" x14ac:dyDescent="0.4">
      <c r="A250" t="s">
        <v>2986</v>
      </c>
      <c r="B250">
        <v>100</v>
      </c>
      <c r="C250" t="s">
        <v>1380</v>
      </c>
      <c r="D250">
        <v>5</v>
      </c>
      <c r="E250">
        <v>0.64800000000000002</v>
      </c>
      <c r="F250">
        <v>1</v>
      </c>
      <c r="G250">
        <v>2024</v>
      </c>
      <c r="H250" t="s">
        <v>928</v>
      </c>
      <c r="I250" t="s">
        <v>6063</v>
      </c>
      <c r="J250" t="s">
        <v>7701</v>
      </c>
      <c r="K250" t="s">
        <v>7702</v>
      </c>
    </row>
    <row r="251" spans="1:11" x14ac:dyDescent="0.4">
      <c r="A251" t="s">
        <v>2978</v>
      </c>
      <c r="B251">
        <v>0</v>
      </c>
      <c r="C251" t="s">
        <v>5720</v>
      </c>
      <c r="D251">
        <v>1</v>
      </c>
      <c r="E251">
        <v>-1.512</v>
      </c>
      <c r="F251">
        <v>0</v>
      </c>
      <c r="G251">
        <v>2024</v>
      </c>
      <c r="H251" t="s">
        <v>928</v>
      </c>
      <c r="I251" t="s">
        <v>6063</v>
      </c>
      <c r="J251" t="s">
        <v>7703</v>
      </c>
      <c r="K251" t="s">
        <v>9009</v>
      </c>
    </row>
    <row r="252" spans="1:11" x14ac:dyDescent="0.4">
      <c r="A252" t="s">
        <v>5952</v>
      </c>
      <c r="B252">
        <v>0</v>
      </c>
      <c r="C252" t="s">
        <v>5720</v>
      </c>
      <c r="D252">
        <v>1</v>
      </c>
      <c r="E252">
        <v>-1.512</v>
      </c>
      <c r="F252">
        <v>0</v>
      </c>
      <c r="G252">
        <v>2024</v>
      </c>
      <c r="H252" t="s">
        <v>928</v>
      </c>
      <c r="I252" t="s">
        <v>6063</v>
      </c>
      <c r="J252" t="s">
        <v>7704</v>
      </c>
      <c r="K252" t="s">
        <v>9010</v>
      </c>
    </row>
    <row r="253" spans="1:11" x14ac:dyDescent="0.4">
      <c r="A253" t="s">
        <v>2992</v>
      </c>
      <c r="B253">
        <v>0</v>
      </c>
      <c r="C253" t="s">
        <v>5720</v>
      </c>
      <c r="D253">
        <v>1</v>
      </c>
      <c r="E253">
        <v>-1.512</v>
      </c>
      <c r="F253">
        <v>0</v>
      </c>
      <c r="G253">
        <v>2024</v>
      </c>
      <c r="H253" t="s">
        <v>928</v>
      </c>
      <c r="I253" t="s">
        <v>6063</v>
      </c>
      <c r="J253" t="s">
        <v>7705</v>
      </c>
      <c r="K253" t="s">
        <v>7706</v>
      </c>
    </row>
    <row r="254" spans="1:11" x14ac:dyDescent="0.4">
      <c r="A254" t="s">
        <v>1855</v>
      </c>
      <c r="B254">
        <v>100</v>
      </c>
      <c r="C254" t="s">
        <v>1380</v>
      </c>
      <c r="D254">
        <v>5</v>
      </c>
      <c r="E254">
        <v>0.64800000000000002</v>
      </c>
      <c r="F254">
        <v>1</v>
      </c>
      <c r="G254">
        <v>2024</v>
      </c>
      <c r="H254" t="s">
        <v>928</v>
      </c>
      <c r="I254" t="s">
        <v>6063</v>
      </c>
      <c r="J254" t="s">
        <v>7707</v>
      </c>
      <c r="K254" t="s">
        <v>7708</v>
      </c>
    </row>
    <row r="255" spans="1:11" x14ac:dyDescent="0.4">
      <c r="A255" t="s">
        <v>1864</v>
      </c>
      <c r="B255">
        <v>100</v>
      </c>
      <c r="C255" t="s">
        <v>1380</v>
      </c>
      <c r="D255">
        <v>5</v>
      </c>
      <c r="E255">
        <v>0.64800000000000002</v>
      </c>
      <c r="F255">
        <v>1</v>
      </c>
      <c r="G255">
        <v>2024</v>
      </c>
      <c r="H255" t="s">
        <v>928</v>
      </c>
      <c r="I255" t="s">
        <v>6063</v>
      </c>
      <c r="J255" t="s">
        <v>7709</v>
      </c>
      <c r="K255" t="s">
        <v>7710</v>
      </c>
    </row>
    <row r="256" spans="1:11" x14ac:dyDescent="0.4">
      <c r="A256" t="s">
        <v>2985</v>
      </c>
      <c r="B256">
        <v>100</v>
      </c>
      <c r="C256" t="s">
        <v>1380</v>
      </c>
      <c r="D256">
        <v>5</v>
      </c>
      <c r="E256">
        <v>0.64800000000000002</v>
      </c>
      <c r="F256">
        <v>1</v>
      </c>
      <c r="G256">
        <v>2024</v>
      </c>
      <c r="H256" t="s">
        <v>928</v>
      </c>
      <c r="I256" t="s">
        <v>6063</v>
      </c>
      <c r="J256" t="s">
        <v>6751</v>
      </c>
      <c r="K256" t="s">
        <v>7711</v>
      </c>
    </row>
    <row r="257" spans="1:11" x14ac:dyDescent="0.4">
      <c r="A257" t="s">
        <v>2999</v>
      </c>
      <c r="B257">
        <v>100</v>
      </c>
      <c r="C257" t="s">
        <v>1380</v>
      </c>
      <c r="D257">
        <v>5</v>
      </c>
      <c r="E257">
        <v>0.64800000000000002</v>
      </c>
      <c r="F257">
        <v>1</v>
      </c>
      <c r="G257">
        <v>2024</v>
      </c>
      <c r="H257" t="s">
        <v>928</v>
      </c>
      <c r="I257" t="s">
        <v>6063</v>
      </c>
      <c r="J257" t="s">
        <v>7712</v>
      </c>
      <c r="K257" t="s">
        <v>9011</v>
      </c>
    </row>
    <row r="258" spans="1:11" x14ac:dyDescent="0.4">
      <c r="A258" t="s">
        <v>1856</v>
      </c>
      <c r="B258">
        <v>100</v>
      </c>
      <c r="C258" t="s">
        <v>1380</v>
      </c>
      <c r="D258">
        <v>5</v>
      </c>
      <c r="E258">
        <v>0.64800000000000002</v>
      </c>
      <c r="F258">
        <v>1</v>
      </c>
      <c r="G258">
        <v>2024</v>
      </c>
      <c r="H258" t="s">
        <v>928</v>
      </c>
      <c r="I258" t="s">
        <v>6063</v>
      </c>
      <c r="J258" t="s">
        <v>7713</v>
      </c>
      <c r="K258" t="s">
        <v>6752</v>
      </c>
    </row>
    <row r="259" spans="1:11" x14ac:dyDescent="0.4">
      <c r="A259" t="s">
        <v>1863</v>
      </c>
      <c r="B259">
        <v>100</v>
      </c>
      <c r="C259" t="s">
        <v>1380</v>
      </c>
      <c r="D259">
        <v>5</v>
      </c>
      <c r="E259">
        <v>0.64800000000000002</v>
      </c>
      <c r="F259">
        <v>1</v>
      </c>
      <c r="G259">
        <v>2024</v>
      </c>
      <c r="H259" t="s">
        <v>928</v>
      </c>
      <c r="I259" t="s">
        <v>6063</v>
      </c>
      <c r="J259" t="s">
        <v>7714</v>
      </c>
      <c r="K259" t="s">
        <v>6753</v>
      </c>
    </row>
    <row r="260" spans="1:11" x14ac:dyDescent="0.4">
      <c r="A260" t="s">
        <v>1857</v>
      </c>
      <c r="B260">
        <v>100</v>
      </c>
      <c r="C260" t="s">
        <v>1380</v>
      </c>
      <c r="D260">
        <v>5</v>
      </c>
      <c r="E260">
        <v>0.64800000000000002</v>
      </c>
      <c r="F260">
        <v>1</v>
      </c>
      <c r="G260">
        <v>2024</v>
      </c>
      <c r="H260" t="s">
        <v>928</v>
      </c>
      <c r="I260" t="s">
        <v>6063</v>
      </c>
      <c r="J260" t="s">
        <v>7715</v>
      </c>
      <c r="K260" t="s">
        <v>7716</v>
      </c>
    </row>
    <row r="261" spans="1:11" x14ac:dyDescent="0.4">
      <c r="A261" t="s">
        <v>2969</v>
      </c>
      <c r="B261">
        <v>100</v>
      </c>
      <c r="C261" t="s">
        <v>1380</v>
      </c>
      <c r="D261">
        <v>5</v>
      </c>
      <c r="E261">
        <v>0.64800000000000002</v>
      </c>
      <c r="F261">
        <v>1</v>
      </c>
      <c r="G261">
        <v>2024</v>
      </c>
      <c r="H261" t="s">
        <v>928</v>
      </c>
      <c r="I261" t="s">
        <v>6063</v>
      </c>
      <c r="J261" t="s">
        <v>7717</v>
      </c>
      <c r="K261" t="s">
        <v>7718</v>
      </c>
    </row>
    <row r="262" spans="1:11" x14ac:dyDescent="0.4">
      <c r="A262" t="s">
        <v>2989</v>
      </c>
      <c r="B262">
        <v>0</v>
      </c>
      <c r="C262" t="s">
        <v>5720</v>
      </c>
      <c r="D262">
        <v>1</v>
      </c>
      <c r="E262">
        <v>-1.512</v>
      </c>
      <c r="F262">
        <v>0</v>
      </c>
      <c r="G262">
        <v>2024</v>
      </c>
      <c r="H262" t="s">
        <v>928</v>
      </c>
      <c r="I262" t="s">
        <v>6063</v>
      </c>
      <c r="J262" t="s">
        <v>7719</v>
      </c>
      <c r="K262" t="s">
        <v>9012</v>
      </c>
    </row>
    <row r="263" spans="1:11" x14ac:dyDescent="0.4">
      <c r="A263" t="s">
        <v>2993</v>
      </c>
      <c r="B263">
        <v>0</v>
      </c>
      <c r="C263" t="s">
        <v>5720</v>
      </c>
      <c r="D263">
        <v>1</v>
      </c>
      <c r="E263">
        <v>-1.512</v>
      </c>
      <c r="F263">
        <v>0</v>
      </c>
      <c r="G263">
        <v>2024</v>
      </c>
      <c r="H263" t="s">
        <v>928</v>
      </c>
      <c r="I263" t="s">
        <v>6063</v>
      </c>
      <c r="J263" t="s">
        <v>7720</v>
      </c>
      <c r="K263" t="s">
        <v>9013</v>
      </c>
    </row>
    <row r="264" spans="1:11" x14ac:dyDescent="0.4">
      <c r="A264" t="s">
        <v>2991</v>
      </c>
      <c r="B264">
        <v>0</v>
      </c>
      <c r="C264" t="s">
        <v>5720</v>
      </c>
      <c r="D264">
        <v>1</v>
      </c>
      <c r="E264">
        <v>-1.512</v>
      </c>
      <c r="F264">
        <v>0</v>
      </c>
      <c r="G264">
        <v>2024</v>
      </c>
      <c r="H264" t="s">
        <v>928</v>
      </c>
      <c r="I264" t="s">
        <v>6063</v>
      </c>
      <c r="J264" t="s">
        <v>7721</v>
      </c>
      <c r="K264" t="s">
        <v>9014</v>
      </c>
    </row>
    <row r="265" spans="1:11" x14ac:dyDescent="0.4">
      <c r="A265" t="s">
        <v>2979</v>
      </c>
      <c r="B265">
        <v>0</v>
      </c>
      <c r="C265" t="s">
        <v>5720</v>
      </c>
      <c r="D265">
        <v>1</v>
      </c>
      <c r="E265">
        <v>-1.512</v>
      </c>
      <c r="F265">
        <v>0</v>
      </c>
      <c r="G265">
        <v>2024</v>
      </c>
      <c r="H265" t="s">
        <v>928</v>
      </c>
      <c r="I265" t="s">
        <v>6063</v>
      </c>
      <c r="J265" t="s">
        <v>7722</v>
      </c>
      <c r="K265" t="s">
        <v>9015</v>
      </c>
    </row>
    <row r="266" spans="1:11" x14ac:dyDescent="0.4">
      <c r="A266" t="s">
        <v>2968</v>
      </c>
      <c r="B266">
        <v>100</v>
      </c>
      <c r="C266" t="s">
        <v>1380</v>
      </c>
      <c r="D266">
        <v>5</v>
      </c>
      <c r="E266">
        <v>0.64800000000000002</v>
      </c>
      <c r="F266">
        <v>1</v>
      </c>
      <c r="G266">
        <v>2024</v>
      </c>
      <c r="H266" t="s">
        <v>928</v>
      </c>
      <c r="I266" t="s">
        <v>6063</v>
      </c>
      <c r="J266" t="s">
        <v>6754</v>
      </c>
      <c r="K266" t="s">
        <v>7723</v>
      </c>
    </row>
    <row r="267" spans="1:11" x14ac:dyDescent="0.4">
      <c r="A267" t="s">
        <v>2982</v>
      </c>
      <c r="B267">
        <v>100</v>
      </c>
      <c r="C267" t="s">
        <v>1380</v>
      </c>
      <c r="D267">
        <v>5</v>
      </c>
      <c r="E267">
        <v>0.64800000000000002</v>
      </c>
      <c r="F267">
        <v>1</v>
      </c>
      <c r="G267">
        <v>2024</v>
      </c>
      <c r="H267" t="s">
        <v>928</v>
      </c>
      <c r="I267" t="s">
        <v>6063</v>
      </c>
      <c r="J267" t="s">
        <v>7724</v>
      </c>
      <c r="K267" t="s">
        <v>7725</v>
      </c>
    </row>
    <row r="268" spans="1:11" x14ac:dyDescent="0.4">
      <c r="A268" t="s">
        <v>2983</v>
      </c>
      <c r="B268">
        <v>100</v>
      </c>
      <c r="C268" t="s">
        <v>1380</v>
      </c>
      <c r="D268">
        <v>5</v>
      </c>
      <c r="E268">
        <v>0.64800000000000002</v>
      </c>
      <c r="F268">
        <v>1</v>
      </c>
      <c r="G268">
        <v>2024</v>
      </c>
      <c r="H268" t="s">
        <v>928</v>
      </c>
      <c r="I268" t="s">
        <v>6063</v>
      </c>
      <c r="J268" t="s">
        <v>7726</v>
      </c>
      <c r="K268" t="s">
        <v>9016</v>
      </c>
    </row>
    <row r="269" spans="1:11" x14ac:dyDescent="0.4">
      <c r="A269" t="s">
        <v>3001</v>
      </c>
      <c r="B269">
        <v>100</v>
      </c>
      <c r="C269" t="s">
        <v>1380</v>
      </c>
      <c r="D269">
        <v>5</v>
      </c>
      <c r="E269">
        <v>0.64800000000000002</v>
      </c>
      <c r="F269">
        <v>1</v>
      </c>
      <c r="G269">
        <v>2024</v>
      </c>
      <c r="H269" t="s">
        <v>928</v>
      </c>
      <c r="I269" t="s">
        <v>6063</v>
      </c>
      <c r="J269" t="s">
        <v>7727</v>
      </c>
      <c r="K269" t="s">
        <v>6755</v>
      </c>
    </row>
    <row r="270" spans="1:11" x14ac:dyDescent="0.4">
      <c r="A270" t="s">
        <v>1858</v>
      </c>
      <c r="B270">
        <v>100</v>
      </c>
      <c r="C270" t="s">
        <v>1380</v>
      </c>
      <c r="D270">
        <v>5</v>
      </c>
      <c r="E270">
        <v>0.64800000000000002</v>
      </c>
      <c r="F270">
        <v>1</v>
      </c>
      <c r="G270">
        <v>2024</v>
      </c>
      <c r="H270" t="s">
        <v>928</v>
      </c>
      <c r="I270" t="s">
        <v>6063</v>
      </c>
      <c r="J270" t="s">
        <v>7728</v>
      </c>
      <c r="K270" t="s">
        <v>6756</v>
      </c>
    </row>
    <row r="271" spans="1:11" x14ac:dyDescent="0.4">
      <c r="A271" t="s">
        <v>1862</v>
      </c>
      <c r="B271">
        <v>100</v>
      </c>
      <c r="C271" t="s">
        <v>1380</v>
      </c>
      <c r="D271">
        <v>5</v>
      </c>
      <c r="E271">
        <v>0.64800000000000002</v>
      </c>
      <c r="F271">
        <v>1</v>
      </c>
      <c r="G271">
        <v>2024</v>
      </c>
      <c r="H271" t="s">
        <v>928</v>
      </c>
      <c r="I271" t="s">
        <v>6063</v>
      </c>
      <c r="J271" t="s">
        <v>7729</v>
      </c>
      <c r="K271" t="s">
        <v>7730</v>
      </c>
    </row>
    <row r="272" spans="1:11" x14ac:dyDescent="0.4">
      <c r="A272" t="s">
        <v>2984</v>
      </c>
      <c r="B272">
        <v>100</v>
      </c>
      <c r="C272" t="s">
        <v>1380</v>
      </c>
      <c r="D272">
        <v>5</v>
      </c>
      <c r="E272">
        <v>0.64800000000000002</v>
      </c>
      <c r="F272">
        <v>1</v>
      </c>
      <c r="G272">
        <v>2024</v>
      </c>
      <c r="H272" t="s">
        <v>928</v>
      </c>
      <c r="I272" t="s">
        <v>6063</v>
      </c>
      <c r="J272" t="s">
        <v>7731</v>
      </c>
      <c r="K272" t="s">
        <v>6757</v>
      </c>
    </row>
    <row r="273" spans="1:11" x14ac:dyDescent="0.4">
      <c r="A273" t="s">
        <v>2990</v>
      </c>
      <c r="B273">
        <v>0</v>
      </c>
      <c r="C273" t="s">
        <v>5720</v>
      </c>
      <c r="D273">
        <v>1</v>
      </c>
      <c r="E273">
        <v>-1.512</v>
      </c>
      <c r="F273">
        <v>0</v>
      </c>
      <c r="G273">
        <v>2024</v>
      </c>
      <c r="H273" t="s">
        <v>928</v>
      </c>
      <c r="I273" t="s">
        <v>6063</v>
      </c>
      <c r="J273" t="s">
        <v>7732</v>
      </c>
      <c r="K273" t="s">
        <v>9017</v>
      </c>
    </row>
    <row r="274" spans="1:11" x14ac:dyDescent="0.4">
      <c r="A274" t="s">
        <v>2971</v>
      </c>
      <c r="B274">
        <v>100</v>
      </c>
      <c r="C274" t="s">
        <v>1380</v>
      </c>
      <c r="D274">
        <v>5</v>
      </c>
      <c r="E274">
        <v>0.64800000000000002</v>
      </c>
      <c r="F274">
        <v>1</v>
      </c>
      <c r="G274">
        <v>2024</v>
      </c>
      <c r="H274" t="s">
        <v>928</v>
      </c>
      <c r="I274" t="s">
        <v>6063</v>
      </c>
      <c r="J274" t="s">
        <v>7733</v>
      </c>
      <c r="K274" t="s">
        <v>6758</v>
      </c>
    </row>
    <row r="275" spans="1:11" x14ac:dyDescent="0.4">
      <c r="A275" t="s">
        <v>5764</v>
      </c>
      <c r="B275">
        <v>100</v>
      </c>
      <c r="C275" t="s">
        <v>1380</v>
      </c>
      <c r="D275">
        <v>5</v>
      </c>
      <c r="E275">
        <v>0.64800000000000002</v>
      </c>
      <c r="F275">
        <v>1</v>
      </c>
      <c r="G275">
        <v>2024</v>
      </c>
      <c r="H275" t="s">
        <v>928</v>
      </c>
      <c r="I275" t="s">
        <v>6063</v>
      </c>
      <c r="J275" t="s">
        <v>7734</v>
      </c>
      <c r="K275" t="s">
        <v>9018</v>
      </c>
    </row>
    <row r="276" spans="1:11" x14ac:dyDescent="0.4">
      <c r="A276" t="s">
        <v>2994</v>
      </c>
      <c r="B276">
        <v>100</v>
      </c>
      <c r="C276" t="s">
        <v>1380</v>
      </c>
      <c r="D276">
        <v>5</v>
      </c>
      <c r="E276">
        <v>0.64800000000000002</v>
      </c>
      <c r="F276">
        <v>1</v>
      </c>
      <c r="G276">
        <v>2024</v>
      </c>
      <c r="H276" t="s">
        <v>928</v>
      </c>
      <c r="I276" t="s">
        <v>6063</v>
      </c>
      <c r="J276" t="s">
        <v>7735</v>
      </c>
      <c r="K276" t="s">
        <v>7736</v>
      </c>
    </row>
    <row r="277" spans="1:11" x14ac:dyDescent="0.4">
      <c r="A277" t="s">
        <v>5765</v>
      </c>
      <c r="B277">
        <v>100</v>
      </c>
      <c r="C277" t="s">
        <v>1380</v>
      </c>
      <c r="D277">
        <v>5</v>
      </c>
      <c r="E277">
        <v>0.64800000000000002</v>
      </c>
      <c r="F277">
        <v>1</v>
      </c>
      <c r="G277">
        <v>2024</v>
      </c>
      <c r="H277" t="s">
        <v>928</v>
      </c>
      <c r="I277" t="s">
        <v>6063</v>
      </c>
      <c r="J277" t="s">
        <v>7737</v>
      </c>
      <c r="K277" t="s">
        <v>6759</v>
      </c>
    </row>
    <row r="278" spans="1:11" x14ac:dyDescent="0.4">
      <c r="A278" t="s">
        <v>3002</v>
      </c>
      <c r="B278">
        <v>0</v>
      </c>
      <c r="C278" t="s">
        <v>5720</v>
      </c>
      <c r="D278">
        <v>1</v>
      </c>
      <c r="E278">
        <v>-1.512</v>
      </c>
      <c r="F278">
        <v>0</v>
      </c>
      <c r="G278">
        <v>2024</v>
      </c>
      <c r="H278" t="s">
        <v>928</v>
      </c>
      <c r="I278" t="s">
        <v>6063</v>
      </c>
      <c r="J278" t="s">
        <v>7738</v>
      </c>
      <c r="K278" t="s">
        <v>7739</v>
      </c>
    </row>
    <row r="279" spans="1:11" x14ac:dyDescent="0.4">
      <c r="A279" t="s">
        <v>2977</v>
      </c>
      <c r="B279">
        <v>0</v>
      </c>
      <c r="C279" t="s">
        <v>5720</v>
      </c>
      <c r="D279">
        <v>1</v>
      </c>
      <c r="E279">
        <v>-1.512</v>
      </c>
      <c r="F279">
        <v>0</v>
      </c>
      <c r="G279">
        <v>2024</v>
      </c>
      <c r="H279" t="s">
        <v>928</v>
      </c>
      <c r="I279" t="s">
        <v>6063</v>
      </c>
      <c r="J279" t="s">
        <v>7740</v>
      </c>
      <c r="K279" t="s">
        <v>9019</v>
      </c>
    </row>
    <row r="280" spans="1:11" x14ac:dyDescent="0.4">
      <c r="A280" t="s">
        <v>2981</v>
      </c>
      <c r="B280">
        <v>100</v>
      </c>
      <c r="C280" t="s">
        <v>1380</v>
      </c>
      <c r="D280">
        <v>5</v>
      </c>
      <c r="E280">
        <v>0.64800000000000002</v>
      </c>
      <c r="F280">
        <v>1</v>
      </c>
      <c r="G280">
        <v>2024</v>
      </c>
      <c r="H280" t="s">
        <v>928</v>
      </c>
      <c r="I280" t="s">
        <v>6063</v>
      </c>
      <c r="J280" t="s">
        <v>7741</v>
      </c>
      <c r="K280" t="s">
        <v>9020</v>
      </c>
    </row>
    <row r="281" spans="1:11" x14ac:dyDescent="0.4">
      <c r="A281" t="s">
        <v>2975</v>
      </c>
      <c r="B281">
        <v>100</v>
      </c>
      <c r="C281" t="s">
        <v>1380</v>
      </c>
      <c r="D281">
        <v>5</v>
      </c>
      <c r="E281">
        <v>0.64800000000000002</v>
      </c>
      <c r="F281">
        <v>1</v>
      </c>
      <c r="G281">
        <v>2024</v>
      </c>
      <c r="H281" t="s">
        <v>928</v>
      </c>
      <c r="I281" t="s">
        <v>6063</v>
      </c>
      <c r="J281" t="s">
        <v>7742</v>
      </c>
      <c r="K281" t="s">
        <v>7743</v>
      </c>
    </row>
    <row r="282" spans="1:11" x14ac:dyDescent="0.4">
      <c r="A282" t="s">
        <v>5766</v>
      </c>
      <c r="B282">
        <v>100</v>
      </c>
      <c r="C282" t="s">
        <v>1380</v>
      </c>
      <c r="D282">
        <v>5</v>
      </c>
      <c r="E282">
        <v>0.64800000000000002</v>
      </c>
      <c r="F282">
        <v>1</v>
      </c>
      <c r="G282">
        <v>2024</v>
      </c>
      <c r="H282" t="s">
        <v>928</v>
      </c>
      <c r="I282" t="s">
        <v>6063</v>
      </c>
      <c r="J282" t="s">
        <v>7744</v>
      </c>
      <c r="K282" t="s">
        <v>7745</v>
      </c>
    </row>
    <row r="283" spans="1:11" x14ac:dyDescent="0.4">
      <c r="A283" t="s">
        <v>2995</v>
      </c>
      <c r="B283">
        <v>100</v>
      </c>
      <c r="C283" t="s">
        <v>1380</v>
      </c>
      <c r="D283">
        <v>5</v>
      </c>
      <c r="E283">
        <v>0.64800000000000002</v>
      </c>
      <c r="F283">
        <v>1</v>
      </c>
      <c r="G283">
        <v>2024</v>
      </c>
      <c r="H283" t="s">
        <v>928</v>
      </c>
      <c r="I283" t="s">
        <v>6063</v>
      </c>
      <c r="J283" t="s">
        <v>7746</v>
      </c>
      <c r="K283" t="s">
        <v>9021</v>
      </c>
    </row>
    <row r="284" spans="1:11" x14ac:dyDescent="0.4">
      <c r="A284" t="s">
        <v>1859</v>
      </c>
      <c r="B284">
        <v>0</v>
      </c>
      <c r="C284" t="s">
        <v>5720</v>
      </c>
      <c r="D284">
        <v>1</v>
      </c>
      <c r="E284">
        <v>-1.512</v>
      </c>
      <c r="F284">
        <v>0</v>
      </c>
      <c r="G284">
        <v>2024</v>
      </c>
      <c r="H284" t="s">
        <v>928</v>
      </c>
      <c r="I284" t="s">
        <v>6063</v>
      </c>
      <c r="J284" t="s">
        <v>7747</v>
      </c>
      <c r="K284" t="s">
        <v>9022</v>
      </c>
    </row>
    <row r="285" spans="1:11" x14ac:dyDescent="0.4">
      <c r="A285" t="s">
        <v>1860</v>
      </c>
      <c r="B285">
        <v>100</v>
      </c>
      <c r="C285" t="s">
        <v>1380</v>
      </c>
      <c r="D285">
        <v>5</v>
      </c>
      <c r="E285">
        <v>0.64800000000000002</v>
      </c>
      <c r="F285">
        <v>1</v>
      </c>
      <c r="G285">
        <v>2024</v>
      </c>
      <c r="H285" t="s">
        <v>928</v>
      </c>
      <c r="I285" t="s">
        <v>6063</v>
      </c>
      <c r="J285" t="s">
        <v>7748</v>
      </c>
      <c r="K285" t="s">
        <v>9023</v>
      </c>
    </row>
    <row r="286" spans="1:11" x14ac:dyDescent="0.4">
      <c r="A286" t="s">
        <v>2998</v>
      </c>
      <c r="B286">
        <v>100</v>
      </c>
      <c r="C286" t="s">
        <v>1380</v>
      </c>
      <c r="D286">
        <v>5</v>
      </c>
      <c r="E286">
        <v>0.64800000000000002</v>
      </c>
      <c r="F286">
        <v>1</v>
      </c>
      <c r="G286">
        <v>2024</v>
      </c>
      <c r="H286" t="s">
        <v>928</v>
      </c>
      <c r="I286" t="s">
        <v>6063</v>
      </c>
      <c r="J286" t="s">
        <v>7749</v>
      </c>
      <c r="K286" t="s">
        <v>9024</v>
      </c>
    </row>
    <row r="287" spans="1:11" x14ac:dyDescent="0.4">
      <c r="A287" t="s">
        <v>1861</v>
      </c>
      <c r="B287">
        <v>100</v>
      </c>
      <c r="C287" t="s">
        <v>1380</v>
      </c>
      <c r="D287">
        <v>5</v>
      </c>
      <c r="E287">
        <v>0.64800000000000002</v>
      </c>
      <c r="F287">
        <v>1</v>
      </c>
      <c r="G287">
        <v>2024</v>
      </c>
      <c r="H287" t="s">
        <v>928</v>
      </c>
      <c r="I287" t="s">
        <v>6063</v>
      </c>
      <c r="J287" t="s">
        <v>7750</v>
      </c>
      <c r="K287" t="s">
        <v>9025</v>
      </c>
    </row>
    <row r="288" spans="1:11" x14ac:dyDescent="0.4">
      <c r="A288" t="s">
        <v>2973</v>
      </c>
      <c r="B288">
        <v>100</v>
      </c>
      <c r="C288" t="s">
        <v>1380</v>
      </c>
      <c r="D288">
        <v>5</v>
      </c>
      <c r="E288">
        <v>0.64800000000000002</v>
      </c>
      <c r="F288">
        <v>1</v>
      </c>
      <c r="G288">
        <v>2024</v>
      </c>
      <c r="H288" t="s">
        <v>928</v>
      </c>
      <c r="I288" t="s">
        <v>6063</v>
      </c>
      <c r="J288" t="s">
        <v>7751</v>
      </c>
      <c r="K288" t="s">
        <v>7752</v>
      </c>
    </row>
    <row r="289" spans="1:11" x14ac:dyDescent="0.4">
      <c r="A289" t="s">
        <v>2987</v>
      </c>
      <c r="B289">
        <v>100</v>
      </c>
      <c r="C289" t="s">
        <v>1380</v>
      </c>
      <c r="D289">
        <v>5</v>
      </c>
      <c r="E289">
        <v>0.64800000000000002</v>
      </c>
      <c r="F289">
        <v>1</v>
      </c>
      <c r="G289">
        <v>2024</v>
      </c>
      <c r="H289" t="s">
        <v>928</v>
      </c>
      <c r="I289" t="s">
        <v>6063</v>
      </c>
      <c r="J289" t="s">
        <v>7753</v>
      </c>
      <c r="K289" t="s">
        <v>6760</v>
      </c>
    </row>
    <row r="290" spans="1:11" x14ac:dyDescent="0.4">
      <c r="A290" t="s">
        <v>2997</v>
      </c>
      <c r="B290">
        <v>0</v>
      </c>
      <c r="C290" t="s">
        <v>5720</v>
      </c>
      <c r="D290">
        <v>1</v>
      </c>
      <c r="E290">
        <v>-1.512</v>
      </c>
      <c r="F290">
        <v>0</v>
      </c>
      <c r="G290">
        <v>2024</v>
      </c>
      <c r="H290" t="s">
        <v>928</v>
      </c>
      <c r="I290" t="s">
        <v>6063</v>
      </c>
      <c r="J290" t="s">
        <v>7754</v>
      </c>
      <c r="K290" t="s">
        <v>9026</v>
      </c>
    </row>
    <row r="291" spans="1:11" x14ac:dyDescent="0.4">
      <c r="A291" t="s">
        <v>2988</v>
      </c>
      <c r="B291">
        <v>100</v>
      </c>
      <c r="C291" t="s">
        <v>1380</v>
      </c>
      <c r="D291">
        <v>5</v>
      </c>
      <c r="E291">
        <v>0.64800000000000002</v>
      </c>
      <c r="F291">
        <v>1</v>
      </c>
      <c r="G291">
        <v>2024</v>
      </c>
      <c r="H291" t="s">
        <v>928</v>
      </c>
      <c r="I291" t="s">
        <v>6063</v>
      </c>
      <c r="J291" t="s">
        <v>7755</v>
      </c>
      <c r="K291" t="s">
        <v>9027</v>
      </c>
    </row>
    <row r="292" spans="1:11" x14ac:dyDescent="0.4">
      <c r="A292" t="s">
        <v>1865</v>
      </c>
      <c r="B292">
        <v>70</v>
      </c>
      <c r="C292" t="s">
        <v>197</v>
      </c>
      <c r="D292">
        <v>4</v>
      </c>
    </row>
    <row r="293" spans="1:11" x14ac:dyDescent="0.4">
      <c r="A293" t="s">
        <v>1866</v>
      </c>
      <c r="B293">
        <v>80</v>
      </c>
      <c r="C293" t="s">
        <v>197</v>
      </c>
      <c r="D293">
        <v>5</v>
      </c>
    </row>
    <row r="294" spans="1:11" x14ac:dyDescent="0.4">
      <c r="A294" t="s">
        <v>1867</v>
      </c>
      <c r="B294">
        <v>100</v>
      </c>
      <c r="C294" t="s">
        <v>197</v>
      </c>
      <c r="D294">
        <v>5</v>
      </c>
    </row>
    <row r="295" spans="1:11" x14ac:dyDescent="0.4">
      <c r="A295" t="s">
        <v>1868</v>
      </c>
      <c r="B295">
        <v>25</v>
      </c>
      <c r="C295" t="s">
        <v>197</v>
      </c>
      <c r="D295">
        <v>2</v>
      </c>
    </row>
    <row r="296" spans="1:11" x14ac:dyDescent="0.4">
      <c r="A296" t="s">
        <v>1869</v>
      </c>
      <c r="B296">
        <v>100</v>
      </c>
      <c r="C296" t="s">
        <v>197</v>
      </c>
      <c r="D296">
        <v>5</v>
      </c>
    </row>
    <row r="297" spans="1:11" x14ac:dyDescent="0.4">
      <c r="A297" t="s">
        <v>2538</v>
      </c>
      <c r="B297">
        <v>40</v>
      </c>
      <c r="C297" t="s">
        <v>197</v>
      </c>
      <c r="D297">
        <v>3</v>
      </c>
    </row>
    <row r="298" spans="1:11" x14ac:dyDescent="0.4">
      <c r="A298" t="s">
        <v>2539</v>
      </c>
      <c r="B298">
        <v>64.3</v>
      </c>
      <c r="C298" t="s">
        <v>197</v>
      </c>
      <c r="D298">
        <v>4</v>
      </c>
    </row>
    <row r="299" spans="1:11" x14ac:dyDescent="0.4">
      <c r="A299" t="s">
        <v>7267</v>
      </c>
      <c r="B299">
        <v>43.8</v>
      </c>
      <c r="C299" t="s">
        <v>197</v>
      </c>
      <c r="D299">
        <v>3</v>
      </c>
    </row>
    <row r="300" spans="1:11" x14ac:dyDescent="0.4">
      <c r="A300" t="s">
        <v>7268</v>
      </c>
      <c r="B300">
        <v>72.7</v>
      </c>
      <c r="C300" t="s">
        <v>197</v>
      </c>
      <c r="D300">
        <v>4</v>
      </c>
    </row>
    <row r="301" spans="1:11" x14ac:dyDescent="0.4">
      <c r="A301" t="s">
        <v>7269</v>
      </c>
      <c r="B301">
        <v>87</v>
      </c>
      <c r="C301" t="s">
        <v>197</v>
      </c>
      <c r="D301">
        <v>5</v>
      </c>
    </row>
    <row r="302" spans="1:11" x14ac:dyDescent="0.4">
      <c r="A302" t="s">
        <v>3007</v>
      </c>
      <c r="B302">
        <v>2.2999999999999998</v>
      </c>
      <c r="C302" t="s">
        <v>6033</v>
      </c>
      <c r="D302">
        <v>1</v>
      </c>
      <c r="E302">
        <v>-1.7909999999999999</v>
      </c>
    </row>
    <row r="303" spans="1:11" x14ac:dyDescent="0.4">
      <c r="A303" t="s">
        <v>3005</v>
      </c>
      <c r="B303">
        <v>12.1</v>
      </c>
      <c r="C303" t="s">
        <v>5710</v>
      </c>
      <c r="D303">
        <v>1</v>
      </c>
      <c r="E303">
        <v>-1.4830000000000001</v>
      </c>
    </row>
    <row r="304" spans="1:11" x14ac:dyDescent="0.4">
      <c r="A304" t="s">
        <v>3011</v>
      </c>
      <c r="B304">
        <v>95.7</v>
      </c>
      <c r="C304" t="s">
        <v>1380</v>
      </c>
      <c r="D304">
        <v>5</v>
      </c>
      <c r="E304">
        <v>1.1379999999999999</v>
      </c>
    </row>
    <row r="305" spans="1:5" x14ac:dyDescent="0.4">
      <c r="A305" t="s">
        <v>3035</v>
      </c>
      <c r="B305">
        <v>87.6</v>
      </c>
      <c r="C305" t="s">
        <v>5707</v>
      </c>
      <c r="D305">
        <v>5</v>
      </c>
      <c r="E305">
        <v>0.88400000000000001</v>
      </c>
    </row>
    <row r="306" spans="1:5" x14ac:dyDescent="0.4">
      <c r="A306" t="s">
        <v>1870</v>
      </c>
      <c r="B306">
        <v>67.7</v>
      </c>
      <c r="C306" t="s">
        <v>5736</v>
      </c>
      <c r="D306">
        <v>4</v>
      </c>
      <c r="E306">
        <v>0.26</v>
      </c>
    </row>
    <row r="307" spans="1:5" x14ac:dyDescent="0.4">
      <c r="A307" t="s">
        <v>3031</v>
      </c>
      <c r="B307">
        <v>68</v>
      </c>
      <c r="C307" t="s">
        <v>6585</v>
      </c>
      <c r="D307">
        <v>4</v>
      </c>
      <c r="E307">
        <v>0.27</v>
      </c>
    </row>
    <row r="308" spans="1:5" x14ac:dyDescent="0.4">
      <c r="A308" t="s">
        <v>3015</v>
      </c>
      <c r="B308">
        <v>91.9</v>
      </c>
      <c r="C308" t="s">
        <v>2483</v>
      </c>
      <c r="D308">
        <v>5</v>
      </c>
      <c r="E308">
        <v>1.0189999999999999</v>
      </c>
    </row>
    <row r="309" spans="1:5" x14ac:dyDescent="0.4">
      <c r="A309" t="s">
        <v>3009</v>
      </c>
      <c r="B309">
        <v>27</v>
      </c>
      <c r="C309" t="s">
        <v>5709</v>
      </c>
      <c r="D309">
        <v>2</v>
      </c>
      <c r="E309">
        <v>-1.016</v>
      </c>
    </row>
    <row r="310" spans="1:5" x14ac:dyDescent="0.4">
      <c r="A310" t="s">
        <v>3021</v>
      </c>
      <c r="B310">
        <v>90</v>
      </c>
      <c r="C310" t="s">
        <v>6856</v>
      </c>
      <c r="D310">
        <v>5</v>
      </c>
      <c r="E310">
        <v>0.96</v>
      </c>
    </row>
    <row r="311" spans="1:5" x14ac:dyDescent="0.4">
      <c r="A311" t="s">
        <v>3013</v>
      </c>
      <c r="B311">
        <v>33.6</v>
      </c>
      <c r="C311" t="s">
        <v>5704</v>
      </c>
      <c r="D311">
        <v>2</v>
      </c>
      <c r="E311">
        <v>-0.80900000000000005</v>
      </c>
    </row>
    <row r="312" spans="1:5" x14ac:dyDescent="0.4">
      <c r="A312" t="s">
        <v>5953</v>
      </c>
      <c r="B312">
        <v>31.9</v>
      </c>
      <c r="C312" t="s">
        <v>5702</v>
      </c>
      <c r="D312">
        <v>2</v>
      </c>
      <c r="E312">
        <v>-0.86199999999999999</v>
      </c>
    </row>
    <row r="313" spans="1:5" x14ac:dyDescent="0.4">
      <c r="A313" t="s">
        <v>3027</v>
      </c>
      <c r="B313">
        <v>65.8</v>
      </c>
      <c r="C313" t="s">
        <v>5727</v>
      </c>
      <c r="D313">
        <v>4</v>
      </c>
      <c r="E313">
        <v>0.20100000000000001</v>
      </c>
    </row>
    <row r="314" spans="1:5" x14ac:dyDescent="0.4">
      <c r="A314" t="s">
        <v>1871</v>
      </c>
      <c r="B314">
        <v>15.7</v>
      </c>
      <c r="C314" t="s">
        <v>5712</v>
      </c>
      <c r="D314">
        <v>1</v>
      </c>
      <c r="E314">
        <v>-1.37</v>
      </c>
    </row>
    <row r="315" spans="1:5" x14ac:dyDescent="0.4">
      <c r="A315" t="s">
        <v>1880</v>
      </c>
      <c r="B315">
        <v>36.799999999999997</v>
      </c>
      <c r="C315" t="s">
        <v>5699</v>
      </c>
      <c r="D315">
        <v>2</v>
      </c>
      <c r="E315">
        <v>-0.70899999999999996</v>
      </c>
    </row>
    <row r="316" spans="1:5" x14ac:dyDescent="0.4">
      <c r="A316" t="s">
        <v>3020</v>
      </c>
      <c r="B316">
        <v>88.8</v>
      </c>
      <c r="C316" t="s">
        <v>5696</v>
      </c>
      <c r="D316">
        <v>5</v>
      </c>
      <c r="E316">
        <v>0.92200000000000004</v>
      </c>
    </row>
    <row r="317" spans="1:5" x14ac:dyDescent="0.4">
      <c r="A317" t="s">
        <v>3034</v>
      </c>
      <c r="B317">
        <v>66</v>
      </c>
      <c r="C317" t="s">
        <v>5735</v>
      </c>
      <c r="D317">
        <v>4</v>
      </c>
      <c r="E317">
        <v>0.20699999999999999</v>
      </c>
    </row>
    <row r="318" spans="1:5" x14ac:dyDescent="0.4">
      <c r="A318" t="s">
        <v>1872</v>
      </c>
      <c r="B318">
        <v>82.6</v>
      </c>
      <c r="C318" t="s">
        <v>6580</v>
      </c>
      <c r="D318">
        <v>5</v>
      </c>
      <c r="E318">
        <v>0.72799999999999998</v>
      </c>
    </row>
    <row r="319" spans="1:5" x14ac:dyDescent="0.4">
      <c r="A319" t="s">
        <v>1879</v>
      </c>
      <c r="B319">
        <v>71.099999999999994</v>
      </c>
      <c r="C319" t="s">
        <v>5731</v>
      </c>
      <c r="D319">
        <v>4</v>
      </c>
      <c r="E319">
        <v>0.36699999999999999</v>
      </c>
    </row>
    <row r="320" spans="1:5" x14ac:dyDescent="0.4">
      <c r="A320" t="s">
        <v>1873</v>
      </c>
      <c r="B320">
        <v>69.099999999999994</v>
      </c>
      <c r="C320" t="s">
        <v>5729</v>
      </c>
      <c r="D320">
        <v>4</v>
      </c>
      <c r="E320">
        <v>0.30399999999999999</v>
      </c>
    </row>
    <row r="321" spans="1:5" x14ac:dyDescent="0.4">
      <c r="A321" t="s">
        <v>3004</v>
      </c>
      <c r="B321">
        <v>86.7</v>
      </c>
      <c r="C321" t="s">
        <v>5692</v>
      </c>
      <c r="D321">
        <v>5</v>
      </c>
      <c r="E321">
        <v>0.85599999999999998</v>
      </c>
    </row>
    <row r="322" spans="1:5" x14ac:dyDescent="0.4">
      <c r="A322" t="s">
        <v>3024</v>
      </c>
      <c r="B322">
        <v>5.8</v>
      </c>
      <c r="C322" t="s">
        <v>6035</v>
      </c>
      <c r="D322">
        <v>1</v>
      </c>
      <c r="E322">
        <v>-1.681</v>
      </c>
    </row>
    <row r="323" spans="1:5" x14ac:dyDescent="0.4">
      <c r="A323" t="s">
        <v>3028</v>
      </c>
      <c r="B323">
        <v>6.1</v>
      </c>
      <c r="C323" t="s">
        <v>6036</v>
      </c>
      <c r="D323">
        <v>1</v>
      </c>
      <c r="E323">
        <v>-1.671</v>
      </c>
    </row>
    <row r="324" spans="1:5" x14ac:dyDescent="0.4">
      <c r="A324" t="s">
        <v>3026</v>
      </c>
      <c r="B324">
        <v>15.8</v>
      </c>
      <c r="C324" t="s">
        <v>6588</v>
      </c>
      <c r="D324">
        <v>1</v>
      </c>
      <c r="E324">
        <v>-1.367</v>
      </c>
    </row>
    <row r="325" spans="1:5" x14ac:dyDescent="0.4">
      <c r="A325" t="s">
        <v>3014</v>
      </c>
      <c r="B325">
        <v>15.6</v>
      </c>
      <c r="C325" t="s">
        <v>5711</v>
      </c>
      <c r="D325">
        <v>1</v>
      </c>
      <c r="E325">
        <v>-1.3740000000000001</v>
      </c>
    </row>
    <row r="326" spans="1:5" x14ac:dyDescent="0.4">
      <c r="A326" t="s">
        <v>3003</v>
      </c>
      <c r="B326">
        <v>72</v>
      </c>
      <c r="C326" t="s">
        <v>5732</v>
      </c>
      <c r="D326">
        <v>4</v>
      </c>
      <c r="E326">
        <v>0.39500000000000002</v>
      </c>
    </row>
    <row r="327" spans="1:5" x14ac:dyDescent="0.4">
      <c r="A327" t="s">
        <v>3017</v>
      </c>
      <c r="B327">
        <v>90</v>
      </c>
      <c r="C327" t="s">
        <v>6856</v>
      </c>
      <c r="D327">
        <v>5</v>
      </c>
      <c r="E327">
        <v>0.96</v>
      </c>
    </row>
    <row r="328" spans="1:5" x14ac:dyDescent="0.4">
      <c r="A328" t="s">
        <v>3018</v>
      </c>
      <c r="B328">
        <v>76.7</v>
      </c>
      <c r="C328" t="s">
        <v>6579</v>
      </c>
      <c r="D328">
        <v>4</v>
      </c>
      <c r="E328">
        <v>0.54300000000000004</v>
      </c>
    </row>
    <row r="329" spans="1:5" x14ac:dyDescent="0.4">
      <c r="A329" t="s">
        <v>3036</v>
      </c>
      <c r="B329">
        <v>15.3</v>
      </c>
      <c r="C329" t="s">
        <v>5728</v>
      </c>
      <c r="D329">
        <v>1</v>
      </c>
      <c r="E329">
        <v>-1.383</v>
      </c>
    </row>
    <row r="330" spans="1:5" x14ac:dyDescent="0.4">
      <c r="A330" t="s">
        <v>1874</v>
      </c>
      <c r="B330">
        <v>90.1</v>
      </c>
      <c r="C330" t="s">
        <v>2486</v>
      </c>
      <c r="D330">
        <v>5</v>
      </c>
      <c r="E330">
        <v>0.96299999999999997</v>
      </c>
    </row>
    <row r="331" spans="1:5" x14ac:dyDescent="0.4">
      <c r="A331" t="s">
        <v>1878</v>
      </c>
      <c r="B331">
        <v>68.2</v>
      </c>
      <c r="C331" t="s">
        <v>5700</v>
      </c>
      <c r="D331">
        <v>4</v>
      </c>
      <c r="E331">
        <v>0.27600000000000002</v>
      </c>
    </row>
    <row r="332" spans="1:5" x14ac:dyDescent="0.4">
      <c r="A332" t="s">
        <v>3019</v>
      </c>
      <c r="B332">
        <v>46.1</v>
      </c>
      <c r="C332" t="s">
        <v>5734</v>
      </c>
      <c r="D332">
        <v>3</v>
      </c>
      <c r="E332">
        <v>-0.41699999999999998</v>
      </c>
    </row>
    <row r="333" spans="1:5" x14ac:dyDescent="0.4">
      <c r="A333" t="s">
        <v>3025</v>
      </c>
      <c r="B333">
        <v>15.8</v>
      </c>
      <c r="C333" t="s">
        <v>6588</v>
      </c>
      <c r="D333">
        <v>1</v>
      </c>
      <c r="E333">
        <v>-1.367</v>
      </c>
    </row>
    <row r="334" spans="1:5" x14ac:dyDescent="0.4">
      <c r="A334" t="s">
        <v>3006</v>
      </c>
      <c r="B334">
        <v>14.7</v>
      </c>
      <c r="C334" t="s">
        <v>5697</v>
      </c>
      <c r="D334">
        <v>1</v>
      </c>
      <c r="E334">
        <v>-1.4019999999999999</v>
      </c>
    </row>
    <row r="335" spans="1:5" x14ac:dyDescent="0.4">
      <c r="A335" t="s">
        <v>5767</v>
      </c>
      <c r="B335">
        <v>95.7</v>
      </c>
      <c r="C335" t="s">
        <v>1380</v>
      </c>
      <c r="D335">
        <v>5</v>
      </c>
      <c r="E335">
        <v>1.1379999999999999</v>
      </c>
    </row>
    <row r="336" spans="1:5" x14ac:dyDescent="0.4">
      <c r="A336" t="s">
        <v>3029</v>
      </c>
      <c r="B336">
        <v>92.6</v>
      </c>
      <c r="C336" t="s">
        <v>6039</v>
      </c>
      <c r="D336">
        <v>5</v>
      </c>
      <c r="E336">
        <v>1.0409999999999999</v>
      </c>
    </row>
    <row r="337" spans="1:5" x14ac:dyDescent="0.4">
      <c r="A337" t="s">
        <v>5768</v>
      </c>
      <c r="B337">
        <v>86.1</v>
      </c>
      <c r="C337" t="s">
        <v>5695</v>
      </c>
      <c r="D337">
        <v>5</v>
      </c>
      <c r="E337">
        <v>0.83699999999999997</v>
      </c>
    </row>
    <row r="338" spans="1:5" x14ac:dyDescent="0.4">
      <c r="A338" t="s">
        <v>3037</v>
      </c>
      <c r="B338">
        <v>55.8</v>
      </c>
      <c r="C338" t="s">
        <v>5733</v>
      </c>
      <c r="D338">
        <v>3</v>
      </c>
      <c r="E338">
        <v>-0.113</v>
      </c>
    </row>
    <row r="339" spans="1:5" x14ac:dyDescent="0.4">
      <c r="A339" t="s">
        <v>3012</v>
      </c>
      <c r="B339">
        <v>31.2</v>
      </c>
      <c r="C339" t="s">
        <v>5694</v>
      </c>
      <c r="D339">
        <v>2</v>
      </c>
      <c r="E339">
        <v>-0.88400000000000001</v>
      </c>
    </row>
    <row r="340" spans="1:5" x14ac:dyDescent="0.4">
      <c r="A340" t="s">
        <v>3016</v>
      </c>
      <c r="B340">
        <v>76.3</v>
      </c>
      <c r="C340" t="s">
        <v>6034</v>
      </c>
      <c r="D340">
        <v>4</v>
      </c>
      <c r="E340">
        <v>0.53</v>
      </c>
    </row>
    <row r="341" spans="1:5" x14ac:dyDescent="0.4">
      <c r="A341" t="s">
        <v>3010</v>
      </c>
      <c r="B341">
        <v>95.7</v>
      </c>
      <c r="C341" t="s">
        <v>1380</v>
      </c>
      <c r="D341">
        <v>5</v>
      </c>
      <c r="E341">
        <v>1.1379999999999999</v>
      </c>
    </row>
    <row r="342" spans="1:5" x14ac:dyDescent="0.4">
      <c r="A342" t="s">
        <v>5769</v>
      </c>
      <c r="B342">
        <v>26.8</v>
      </c>
      <c r="C342" t="s">
        <v>5698</v>
      </c>
      <c r="D342">
        <v>2</v>
      </c>
      <c r="E342">
        <v>-1.022</v>
      </c>
    </row>
    <row r="343" spans="1:5" x14ac:dyDescent="0.4">
      <c r="A343" t="s">
        <v>3030</v>
      </c>
      <c r="B343">
        <v>88.2</v>
      </c>
      <c r="C343" t="s">
        <v>5701</v>
      </c>
      <c r="D343">
        <v>5</v>
      </c>
      <c r="E343">
        <v>0.90300000000000002</v>
      </c>
    </row>
    <row r="344" spans="1:5" x14ac:dyDescent="0.4">
      <c r="A344" t="s">
        <v>1875</v>
      </c>
      <c r="B344">
        <v>68</v>
      </c>
      <c r="C344" t="s">
        <v>6585</v>
      </c>
      <c r="D344">
        <v>4</v>
      </c>
      <c r="E344">
        <v>0.27</v>
      </c>
    </row>
    <row r="345" spans="1:5" x14ac:dyDescent="0.4">
      <c r="A345" t="s">
        <v>1876</v>
      </c>
      <c r="B345">
        <v>87.3</v>
      </c>
      <c r="C345" t="s">
        <v>5705</v>
      </c>
      <c r="D345">
        <v>5</v>
      </c>
      <c r="E345">
        <v>0.875</v>
      </c>
    </row>
    <row r="346" spans="1:5" x14ac:dyDescent="0.4">
      <c r="A346" t="s">
        <v>3033</v>
      </c>
      <c r="B346">
        <v>90.1</v>
      </c>
      <c r="C346" t="s">
        <v>2486</v>
      </c>
      <c r="D346">
        <v>5</v>
      </c>
      <c r="E346">
        <v>0.96299999999999997</v>
      </c>
    </row>
    <row r="347" spans="1:5" x14ac:dyDescent="0.4">
      <c r="A347" t="s">
        <v>1877</v>
      </c>
      <c r="B347">
        <v>92.6</v>
      </c>
      <c r="C347" t="s">
        <v>6039</v>
      </c>
      <c r="D347">
        <v>5</v>
      </c>
      <c r="E347">
        <v>1.0409999999999999</v>
      </c>
    </row>
    <row r="348" spans="1:5" x14ac:dyDescent="0.4">
      <c r="A348" t="s">
        <v>3008</v>
      </c>
      <c r="B348">
        <v>92.3</v>
      </c>
      <c r="C348" t="s">
        <v>2480</v>
      </c>
      <c r="D348">
        <v>5</v>
      </c>
      <c r="E348">
        <v>1.032</v>
      </c>
    </row>
    <row r="349" spans="1:5" x14ac:dyDescent="0.4">
      <c r="A349" t="s">
        <v>3022</v>
      </c>
      <c r="B349">
        <v>90.4</v>
      </c>
      <c r="C349" t="s">
        <v>2482</v>
      </c>
      <c r="D349">
        <v>5</v>
      </c>
      <c r="E349">
        <v>0.97199999999999998</v>
      </c>
    </row>
    <row r="350" spans="1:5" x14ac:dyDescent="0.4">
      <c r="A350" t="s">
        <v>3032</v>
      </c>
      <c r="B350">
        <v>68</v>
      </c>
      <c r="C350" t="s">
        <v>6585</v>
      </c>
      <c r="D350">
        <v>4</v>
      </c>
      <c r="E350">
        <v>0.27</v>
      </c>
    </row>
    <row r="351" spans="1:5" x14ac:dyDescent="0.4">
      <c r="A351" t="s">
        <v>3023</v>
      </c>
      <c r="B351">
        <v>11.4</v>
      </c>
      <c r="C351" t="s">
        <v>6037</v>
      </c>
      <c r="D351">
        <v>1</v>
      </c>
      <c r="E351">
        <v>-1.5049999999999999</v>
      </c>
    </row>
    <row r="352" spans="1:5" x14ac:dyDescent="0.4">
      <c r="A352" t="s">
        <v>1430</v>
      </c>
      <c r="B352">
        <v>59.4</v>
      </c>
      <c r="C352" t="s">
        <v>197</v>
      </c>
      <c r="D352">
        <v>3</v>
      </c>
    </row>
    <row r="353" spans="1:12" x14ac:dyDescent="0.4">
      <c r="A353" t="s">
        <v>1431</v>
      </c>
      <c r="B353">
        <v>37.6</v>
      </c>
      <c r="C353" t="s">
        <v>197</v>
      </c>
      <c r="D353">
        <v>2</v>
      </c>
    </row>
    <row r="354" spans="1:12" x14ac:dyDescent="0.4">
      <c r="A354" t="s">
        <v>1581</v>
      </c>
      <c r="B354">
        <v>71.599999999999994</v>
      </c>
      <c r="C354" t="s">
        <v>197</v>
      </c>
      <c r="D354">
        <v>4</v>
      </c>
    </row>
    <row r="355" spans="1:12" x14ac:dyDescent="0.4">
      <c r="A355" t="s">
        <v>1673</v>
      </c>
      <c r="B355">
        <v>29.3</v>
      </c>
      <c r="C355" t="s">
        <v>197</v>
      </c>
      <c r="D355">
        <v>2</v>
      </c>
    </row>
    <row r="356" spans="1:12" x14ac:dyDescent="0.4">
      <c r="A356" t="s">
        <v>1674</v>
      </c>
      <c r="B356">
        <v>80.7</v>
      </c>
      <c r="C356" t="s">
        <v>197</v>
      </c>
      <c r="D356">
        <v>5</v>
      </c>
    </row>
    <row r="357" spans="1:12" x14ac:dyDescent="0.4">
      <c r="A357" t="s">
        <v>2540</v>
      </c>
      <c r="B357">
        <v>30.5</v>
      </c>
      <c r="C357" t="s">
        <v>197</v>
      </c>
      <c r="D357">
        <v>2</v>
      </c>
    </row>
    <row r="358" spans="1:12" x14ac:dyDescent="0.4">
      <c r="A358" t="s">
        <v>2541</v>
      </c>
      <c r="B358">
        <v>75.2</v>
      </c>
      <c r="C358" t="s">
        <v>197</v>
      </c>
      <c r="D358">
        <v>4</v>
      </c>
    </row>
    <row r="359" spans="1:12" x14ac:dyDescent="0.4">
      <c r="A359" t="s">
        <v>7270</v>
      </c>
      <c r="B359">
        <v>27.5</v>
      </c>
      <c r="C359" t="s">
        <v>197</v>
      </c>
      <c r="D359">
        <v>2</v>
      </c>
    </row>
    <row r="360" spans="1:12" x14ac:dyDescent="0.4">
      <c r="A360" t="s">
        <v>7271</v>
      </c>
      <c r="B360">
        <v>60.6</v>
      </c>
      <c r="C360" t="s">
        <v>197</v>
      </c>
      <c r="D360">
        <v>4</v>
      </c>
    </row>
    <row r="361" spans="1:12" x14ac:dyDescent="0.4">
      <c r="A361" t="s">
        <v>7272</v>
      </c>
      <c r="B361">
        <v>81.099999999999994</v>
      </c>
      <c r="C361" t="s">
        <v>197</v>
      </c>
      <c r="D361">
        <v>5</v>
      </c>
    </row>
    <row r="362" spans="1:12" x14ac:dyDescent="0.4">
      <c r="A362" t="s">
        <v>3042</v>
      </c>
      <c r="B362">
        <v>4.5</v>
      </c>
      <c r="C362" t="s">
        <v>6033</v>
      </c>
      <c r="D362">
        <v>1</v>
      </c>
      <c r="E362">
        <v>-1.9610000000000001</v>
      </c>
      <c r="F362">
        <v>4.5</v>
      </c>
      <c r="G362">
        <v>2019</v>
      </c>
      <c r="H362" t="s">
        <v>928</v>
      </c>
      <c r="I362" t="s">
        <v>6594</v>
      </c>
      <c r="L362" t="s">
        <v>197</v>
      </c>
    </row>
    <row r="363" spans="1:12" x14ac:dyDescent="0.4">
      <c r="A363" t="s">
        <v>3040</v>
      </c>
      <c r="B363">
        <v>24.1</v>
      </c>
      <c r="C363" t="s">
        <v>5697</v>
      </c>
      <c r="D363">
        <v>2</v>
      </c>
      <c r="E363">
        <v>-1.1970000000000001</v>
      </c>
      <c r="F363">
        <v>24.1</v>
      </c>
      <c r="G363">
        <v>2019</v>
      </c>
      <c r="H363" t="s">
        <v>928</v>
      </c>
      <c r="I363" t="s">
        <v>6594</v>
      </c>
      <c r="L363" t="s">
        <v>197</v>
      </c>
    </row>
    <row r="364" spans="1:12" x14ac:dyDescent="0.4">
      <c r="A364" t="s">
        <v>3046</v>
      </c>
      <c r="B364">
        <v>91.3</v>
      </c>
      <c r="C364" t="s">
        <v>5740</v>
      </c>
      <c r="D364">
        <v>5</v>
      </c>
      <c r="E364">
        <v>1.423</v>
      </c>
      <c r="F364">
        <v>91.3</v>
      </c>
      <c r="G364">
        <v>2021</v>
      </c>
      <c r="H364" t="s">
        <v>928</v>
      </c>
      <c r="I364" t="s">
        <v>6594</v>
      </c>
      <c r="L364" t="s">
        <v>197</v>
      </c>
    </row>
    <row r="365" spans="1:12" x14ac:dyDescent="0.4">
      <c r="A365" t="s">
        <v>3070</v>
      </c>
      <c r="B365">
        <v>75.099999999999994</v>
      </c>
      <c r="C365" t="s">
        <v>5705</v>
      </c>
      <c r="D365">
        <v>4</v>
      </c>
      <c r="E365">
        <v>0.79100000000000004</v>
      </c>
      <c r="F365">
        <v>75.099999999999994</v>
      </c>
      <c r="G365">
        <v>2020</v>
      </c>
      <c r="H365" t="s">
        <v>928</v>
      </c>
      <c r="I365" t="s">
        <v>6594</v>
      </c>
      <c r="L365" t="s">
        <v>197</v>
      </c>
    </row>
    <row r="366" spans="1:12" x14ac:dyDescent="0.4">
      <c r="A366" t="s">
        <v>1881</v>
      </c>
      <c r="B366">
        <v>35.299999999999997</v>
      </c>
      <c r="C366" t="s">
        <v>5702</v>
      </c>
      <c r="D366">
        <v>2</v>
      </c>
      <c r="E366">
        <v>-0.76</v>
      </c>
      <c r="F366">
        <v>35.299999999999997</v>
      </c>
      <c r="G366">
        <v>2019</v>
      </c>
      <c r="H366" t="s">
        <v>928</v>
      </c>
      <c r="I366" t="s">
        <v>6594</v>
      </c>
      <c r="L366" t="s">
        <v>197</v>
      </c>
    </row>
    <row r="367" spans="1:12" x14ac:dyDescent="0.4">
      <c r="A367" t="s">
        <v>3066</v>
      </c>
      <c r="B367">
        <v>36</v>
      </c>
      <c r="C367" t="s">
        <v>6587</v>
      </c>
      <c r="D367">
        <v>2</v>
      </c>
      <c r="E367">
        <v>-0.73299999999999998</v>
      </c>
      <c r="F367">
        <v>36</v>
      </c>
      <c r="G367">
        <v>2024</v>
      </c>
      <c r="H367" t="s">
        <v>6613</v>
      </c>
      <c r="I367" t="s">
        <v>6614</v>
      </c>
      <c r="L367" t="s">
        <v>197</v>
      </c>
    </row>
    <row r="368" spans="1:12" x14ac:dyDescent="0.4">
      <c r="A368" t="s">
        <v>3050</v>
      </c>
      <c r="B368">
        <v>83.7</v>
      </c>
      <c r="C368" t="s">
        <v>2482</v>
      </c>
      <c r="D368">
        <v>5</v>
      </c>
      <c r="E368">
        <v>1.127</v>
      </c>
      <c r="F368">
        <v>83.7</v>
      </c>
      <c r="G368">
        <v>2020</v>
      </c>
      <c r="H368" t="s">
        <v>928</v>
      </c>
      <c r="I368" t="s">
        <v>6594</v>
      </c>
      <c r="L368" t="s">
        <v>197</v>
      </c>
    </row>
    <row r="369" spans="1:12" x14ac:dyDescent="0.4">
      <c r="A369" t="s">
        <v>3044</v>
      </c>
      <c r="B369">
        <v>54</v>
      </c>
      <c r="C369" t="s">
        <v>5700</v>
      </c>
      <c r="D369">
        <v>3</v>
      </c>
      <c r="E369">
        <v>-3.1E-2</v>
      </c>
      <c r="F369">
        <v>54</v>
      </c>
      <c r="G369">
        <v>2021</v>
      </c>
      <c r="H369" t="s">
        <v>928</v>
      </c>
      <c r="I369" t="s">
        <v>6594</v>
      </c>
      <c r="L369" t="s">
        <v>197</v>
      </c>
    </row>
    <row r="370" spans="1:12" x14ac:dyDescent="0.4">
      <c r="A370" t="s">
        <v>3056</v>
      </c>
      <c r="B370">
        <v>80</v>
      </c>
      <c r="C370" t="s">
        <v>5730</v>
      </c>
      <c r="D370">
        <v>5</v>
      </c>
      <c r="E370">
        <v>0.98299999999999998</v>
      </c>
      <c r="F370">
        <v>80</v>
      </c>
      <c r="G370">
        <v>2020</v>
      </c>
      <c r="H370" t="s">
        <v>928</v>
      </c>
      <c r="I370" t="s">
        <v>6594</v>
      </c>
      <c r="L370" t="s">
        <v>197</v>
      </c>
    </row>
    <row r="371" spans="1:12" x14ac:dyDescent="0.4">
      <c r="A371" t="s">
        <v>3048</v>
      </c>
      <c r="B371">
        <v>67.2</v>
      </c>
      <c r="C371" t="s">
        <v>6034</v>
      </c>
      <c r="D371">
        <v>4</v>
      </c>
      <c r="E371">
        <v>0.48299999999999998</v>
      </c>
      <c r="F371">
        <v>67.2</v>
      </c>
      <c r="G371">
        <v>2017</v>
      </c>
      <c r="H371" t="s">
        <v>928</v>
      </c>
      <c r="I371" t="s">
        <v>6594</v>
      </c>
      <c r="L371" t="s">
        <v>197</v>
      </c>
    </row>
    <row r="372" spans="1:12" x14ac:dyDescent="0.4">
      <c r="A372" t="s">
        <v>5954</v>
      </c>
      <c r="B372">
        <v>63.7</v>
      </c>
      <c r="C372" t="s">
        <v>5731</v>
      </c>
      <c r="D372">
        <v>4</v>
      </c>
      <c r="E372">
        <v>0.34699999999999998</v>
      </c>
      <c r="F372">
        <v>63.7</v>
      </c>
      <c r="G372">
        <v>2021</v>
      </c>
      <c r="H372" t="s">
        <v>928</v>
      </c>
      <c r="I372" t="s">
        <v>6594</v>
      </c>
      <c r="L372" t="s">
        <v>197</v>
      </c>
    </row>
    <row r="373" spans="1:12" x14ac:dyDescent="0.4">
      <c r="A373" t="s">
        <v>3062</v>
      </c>
      <c r="B373">
        <v>31.6</v>
      </c>
      <c r="C373" t="s">
        <v>5716</v>
      </c>
      <c r="D373">
        <v>2</v>
      </c>
      <c r="E373">
        <v>-0.90500000000000003</v>
      </c>
      <c r="F373">
        <v>31.6</v>
      </c>
      <c r="G373">
        <v>2022</v>
      </c>
      <c r="H373" t="s">
        <v>928</v>
      </c>
      <c r="I373" t="s">
        <v>6594</v>
      </c>
      <c r="L373" t="s">
        <v>197</v>
      </c>
    </row>
    <row r="374" spans="1:12" x14ac:dyDescent="0.4">
      <c r="A374" t="s">
        <v>1882</v>
      </c>
      <c r="B374">
        <v>31.3</v>
      </c>
      <c r="C374" t="s">
        <v>5713</v>
      </c>
      <c r="D374">
        <v>2</v>
      </c>
      <c r="E374">
        <v>-0.91600000000000004</v>
      </c>
      <c r="F374">
        <v>31.3</v>
      </c>
      <c r="G374">
        <v>2019</v>
      </c>
      <c r="H374" t="s">
        <v>928</v>
      </c>
      <c r="I374" t="s">
        <v>6594</v>
      </c>
      <c r="L374" t="s">
        <v>197</v>
      </c>
    </row>
    <row r="375" spans="1:12" x14ac:dyDescent="0.4">
      <c r="A375" t="s">
        <v>1891</v>
      </c>
      <c r="B375">
        <v>73.5</v>
      </c>
      <c r="C375" t="s">
        <v>5695</v>
      </c>
      <c r="D375">
        <v>4</v>
      </c>
      <c r="E375">
        <v>0.72899999999999998</v>
      </c>
      <c r="F375">
        <v>73.5</v>
      </c>
      <c r="G375">
        <v>2021</v>
      </c>
      <c r="H375" t="s">
        <v>928</v>
      </c>
      <c r="I375" t="s">
        <v>6594</v>
      </c>
      <c r="L375" t="s">
        <v>197</v>
      </c>
    </row>
    <row r="376" spans="1:12" x14ac:dyDescent="0.4">
      <c r="A376" t="s">
        <v>3055</v>
      </c>
      <c r="B376">
        <v>77.5</v>
      </c>
      <c r="C376" t="s">
        <v>5701</v>
      </c>
      <c r="D376">
        <v>4</v>
      </c>
      <c r="E376">
        <v>0.88500000000000001</v>
      </c>
      <c r="F376">
        <v>77.5</v>
      </c>
      <c r="G376">
        <v>2019</v>
      </c>
      <c r="H376" t="s">
        <v>928</v>
      </c>
      <c r="I376" t="s">
        <v>6594</v>
      </c>
      <c r="L376" t="s">
        <v>197</v>
      </c>
    </row>
    <row r="377" spans="1:12" x14ac:dyDescent="0.4">
      <c r="A377" t="s">
        <v>3069</v>
      </c>
      <c r="B377">
        <v>31.9</v>
      </c>
      <c r="C377" t="s">
        <v>5694</v>
      </c>
      <c r="D377">
        <v>2</v>
      </c>
      <c r="E377">
        <v>-0.89300000000000002</v>
      </c>
      <c r="F377">
        <v>31.9</v>
      </c>
      <c r="G377">
        <v>2019</v>
      </c>
      <c r="H377" t="s">
        <v>928</v>
      </c>
      <c r="I377" t="s">
        <v>6594</v>
      </c>
      <c r="L377" t="s">
        <v>197</v>
      </c>
    </row>
    <row r="378" spans="1:12" x14ac:dyDescent="0.4">
      <c r="A378" t="s">
        <v>1883</v>
      </c>
      <c r="B378">
        <v>65.099999999999994</v>
      </c>
      <c r="C378" t="s">
        <v>5732</v>
      </c>
      <c r="D378">
        <v>4</v>
      </c>
      <c r="E378">
        <v>0.40200000000000002</v>
      </c>
      <c r="F378">
        <v>65.099999999999994</v>
      </c>
      <c r="G378">
        <v>2022</v>
      </c>
      <c r="H378" t="s">
        <v>928</v>
      </c>
      <c r="I378" t="s">
        <v>6594</v>
      </c>
      <c r="L378" t="s">
        <v>197</v>
      </c>
    </row>
    <row r="379" spans="1:12" x14ac:dyDescent="0.4">
      <c r="A379" t="s">
        <v>1890</v>
      </c>
      <c r="B379">
        <v>42.2</v>
      </c>
      <c r="C379" t="s">
        <v>5735</v>
      </c>
      <c r="D379">
        <v>3</v>
      </c>
      <c r="E379">
        <v>-0.49099999999999999</v>
      </c>
      <c r="F379">
        <v>42.2</v>
      </c>
      <c r="G379">
        <v>2019</v>
      </c>
      <c r="H379" t="s">
        <v>928</v>
      </c>
      <c r="I379" t="s">
        <v>6594</v>
      </c>
      <c r="L379" t="s">
        <v>197</v>
      </c>
    </row>
    <row r="380" spans="1:12" x14ac:dyDescent="0.4">
      <c r="A380" t="s">
        <v>1884</v>
      </c>
      <c r="B380">
        <v>38.1</v>
      </c>
      <c r="C380" t="s">
        <v>5727</v>
      </c>
      <c r="D380">
        <v>2</v>
      </c>
      <c r="E380">
        <v>-0.65100000000000002</v>
      </c>
      <c r="F380">
        <v>38.1</v>
      </c>
      <c r="G380">
        <v>2020</v>
      </c>
      <c r="H380" t="s">
        <v>928</v>
      </c>
      <c r="I380" t="s">
        <v>6594</v>
      </c>
      <c r="L380" t="s">
        <v>197</v>
      </c>
    </row>
    <row r="381" spans="1:12" x14ac:dyDescent="0.4">
      <c r="A381" t="s">
        <v>3039</v>
      </c>
      <c r="B381">
        <v>73.3</v>
      </c>
      <c r="C381" t="s">
        <v>6580</v>
      </c>
      <c r="D381">
        <v>4</v>
      </c>
      <c r="E381">
        <v>0.72099999999999997</v>
      </c>
      <c r="F381">
        <v>73.3</v>
      </c>
      <c r="G381">
        <v>2021</v>
      </c>
      <c r="H381" t="s">
        <v>928</v>
      </c>
      <c r="I381" t="s">
        <v>6594</v>
      </c>
      <c r="L381" t="s">
        <v>197</v>
      </c>
    </row>
    <row r="382" spans="1:12" x14ac:dyDescent="0.4">
      <c r="A382" t="s">
        <v>3059</v>
      </c>
      <c r="B382">
        <v>11.6</v>
      </c>
      <c r="C382" t="s">
        <v>6036</v>
      </c>
      <c r="D382">
        <v>1</v>
      </c>
      <c r="E382">
        <v>-1.6839999999999999</v>
      </c>
      <c r="F382">
        <v>11.6</v>
      </c>
      <c r="G382">
        <v>2019</v>
      </c>
      <c r="H382" t="s">
        <v>928</v>
      </c>
      <c r="I382" t="s">
        <v>6594</v>
      </c>
      <c r="L382" t="s">
        <v>197</v>
      </c>
    </row>
    <row r="383" spans="1:12" x14ac:dyDescent="0.4">
      <c r="A383" t="s">
        <v>3063</v>
      </c>
      <c r="B383">
        <v>12.2</v>
      </c>
      <c r="C383" t="s">
        <v>6037</v>
      </c>
      <c r="D383">
        <v>1</v>
      </c>
      <c r="E383">
        <v>-1.661</v>
      </c>
      <c r="F383">
        <v>12.2</v>
      </c>
      <c r="G383">
        <v>2019</v>
      </c>
      <c r="H383" t="s">
        <v>928</v>
      </c>
      <c r="I383" t="s">
        <v>6594</v>
      </c>
      <c r="L383" t="s">
        <v>197</v>
      </c>
    </row>
    <row r="384" spans="1:12" x14ac:dyDescent="0.4">
      <c r="A384" t="s">
        <v>3061</v>
      </c>
      <c r="B384">
        <v>31.6</v>
      </c>
      <c r="C384" t="s">
        <v>5716</v>
      </c>
      <c r="D384">
        <v>2</v>
      </c>
      <c r="E384">
        <v>-0.90500000000000003</v>
      </c>
      <c r="F384">
        <v>31.6</v>
      </c>
      <c r="G384">
        <v>2022</v>
      </c>
      <c r="H384" t="s">
        <v>928</v>
      </c>
      <c r="I384" t="s">
        <v>6594</v>
      </c>
      <c r="L384" t="s">
        <v>197</v>
      </c>
    </row>
    <row r="385" spans="1:12" x14ac:dyDescent="0.4">
      <c r="A385" t="s">
        <v>3049</v>
      </c>
      <c r="B385">
        <v>31.2</v>
      </c>
      <c r="C385" t="s">
        <v>5712</v>
      </c>
      <c r="D385">
        <v>2</v>
      </c>
      <c r="E385">
        <v>-0.92</v>
      </c>
      <c r="F385">
        <v>31.2</v>
      </c>
      <c r="G385">
        <v>2018</v>
      </c>
      <c r="H385" t="s">
        <v>928</v>
      </c>
      <c r="I385" t="s">
        <v>6594</v>
      </c>
      <c r="L385" t="s">
        <v>197</v>
      </c>
    </row>
    <row r="386" spans="1:12" x14ac:dyDescent="0.4">
      <c r="A386" t="s">
        <v>3038</v>
      </c>
      <c r="B386">
        <v>43.9</v>
      </c>
      <c r="C386" t="s">
        <v>5736</v>
      </c>
      <c r="D386">
        <v>3</v>
      </c>
      <c r="E386">
        <v>-0.42499999999999999</v>
      </c>
      <c r="F386">
        <v>43.9</v>
      </c>
      <c r="G386">
        <v>2021</v>
      </c>
      <c r="H386" t="s">
        <v>928</v>
      </c>
      <c r="I386" t="s">
        <v>6594</v>
      </c>
      <c r="L386" t="s">
        <v>197</v>
      </c>
    </row>
    <row r="387" spans="1:12" x14ac:dyDescent="0.4">
      <c r="A387" t="s">
        <v>3052</v>
      </c>
      <c r="B387">
        <v>79.900000000000006</v>
      </c>
      <c r="C387" t="s">
        <v>5696</v>
      </c>
      <c r="D387">
        <v>4</v>
      </c>
      <c r="E387">
        <v>0.97899999999999998</v>
      </c>
      <c r="F387">
        <v>79.900000000000006</v>
      </c>
      <c r="G387">
        <v>2020</v>
      </c>
      <c r="H387" t="s">
        <v>928</v>
      </c>
      <c r="I387" t="s">
        <v>6594</v>
      </c>
      <c r="L387" t="s">
        <v>197</v>
      </c>
    </row>
    <row r="388" spans="1:12" x14ac:dyDescent="0.4">
      <c r="A388" t="s">
        <v>3053</v>
      </c>
      <c r="B388">
        <v>53.3</v>
      </c>
      <c r="C388" t="s">
        <v>5706</v>
      </c>
      <c r="D388">
        <v>3</v>
      </c>
      <c r="E388">
        <v>-5.8000000000000003E-2</v>
      </c>
      <c r="F388">
        <v>53.3</v>
      </c>
      <c r="G388">
        <v>2020</v>
      </c>
      <c r="H388" t="s">
        <v>928</v>
      </c>
      <c r="I388" t="s">
        <v>6594</v>
      </c>
      <c r="L388" t="s">
        <v>197</v>
      </c>
    </row>
    <row r="389" spans="1:12" x14ac:dyDescent="0.4">
      <c r="A389" t="s">
        <v>3071</v>
      </c>
      <c r="B389">
        <v>30.5</v>
      </c>
      <c r="C389" t="s">
        <v>5711</v>
      </c>
      <c r="D389">
        <v>2</v>
      </c>
      <c r="E389">
        <v>-0.94699999999999995</v>
      </c>
      <c r="F389">
        <v>30.5</v>
      </c>
      <c r="G389">
        <v>2019</v>
      </c>
      <c r="H389" t="s">
        <v>928</v>
      </c>
      <c r="I389" t="s">
        <v>6594</v>
      </c>
      <c r="L389" t="s">
        <v>197</v>
      </c>
    </row>
    <row r="390" spans="1:12" x14ac:dyDescent="0.4">
      <c r="A390" t="s">
        <v>1885</v>
      </c>
      <c r="B390">
        <v>80.099999999999994</v>
      </c>
      <c r="C390" t="s">
        <v>2485</v>
      </c>
      <c r="D390">
        <v>5</v>
      </c>
      <c r="E390">
        <v>0.98599999999999999</v>
      </c>
      <c r="F390">
        <v>80.099999999999994</v>
      </c>
      <c r="G390">
        <v>2020</v>
      </c>
      <c r="H390" t="s">
        <v>928</v>
      </c>
      <c r="I390" t="s">
        <v>6594</v>
      </c>
      <c r="L390" t="s">
        <v>197</v>
      </c>
    </row>
    <row r="391" spans="1:12" x14ac:dyDescent="0.4">
      <c r="A391" t="s">
        <v>1889</v>
      </c>
      <c r="B391">
        <v>36.299999999999997</v>
      </c>
      <c r="C391" t="s">
        <v>5733</v>
      </c>
      <c r="D391">
        <v>2</v>
      </c>
      <c r="E391">
        <v>-0.72099999999999997</v>
      </c>
      <c r="F391">
        <v>36.299999999999997</v>
      </c>
      <c r="G391">
        <v>2020</v>
      </c>
      <c r="H391" t="s">
        <v>928</v>
      </c>
      <c r="I391" t="s">
        <v>6594</v>
      </c>
      <c r="L391" t="s">
        <v>197</v>
      </c>
    </row>
    <row r="392" spans="1:12" x14ac:dyDescent="0.4">
      <c r="A392" t="s">
        <v>3054</v>
      </c>
      <c r="B392">
        <v>92.2</v>
      </c>
      <c r="C392" t="s">
        <v>2479</v>
      </c>
      <c r="D392">
        <v>5</v>
      </c>
      <c r="E392">
        <v>1.458</v>
      </c>
      <c r="F392">
        <v>92.2</v>
      </c>
      <c r="G392">
        <v>2021</v>
      </c>
      <c r="H392" t="s">
        <v>928</v>
      </c>
      <c r="I392" t="s">
        <v>6594</v>
      </c>
      <c r="L392" t="s">
        <v>197</v>
      </c>
    </row>
    <row r="393" spans="1:12" x14ac:dyDescent="0.4">
      <c r="A393" t="s">
        <v>3060</v>
      </c>
      <c r="B393">
        <v>31.6</v>
      </c>
      <c r="C393" t="s">
        <v>5716</v>
      </c>
      <c r="D393">
        <v>2</v>
      </c>
      <c r="E393">
        <v>-0.90500000000000003</v>
      </c>
      <c r="F393">
        <v>31.6</v>
      </c>
      <c r="G393">
        <v>2022</v>
      </c>
      <c r="H393" t="s">
        <v>928</v>
      </c>
      <c r="I393" t="s">
        <v>6594</v>
      </c>
      <c r="L393" t="s">
        <v>197</v>
      </c>
    </row>
    <row r="394" spans="1:12" x14ac:dyDescent="0.4">
      <c r="A394" t="s">
        <v>3041</v>
      </c>
      <c r="B394">
        <v>29.4</v>
      </c>
      <c r="C394" t="s">
        <v>5728</v>
      </c>
      <c r="D394">
        <v>2</v>
      </c>
      <c r="E394">
        <v>-0.99</v>
      </c>
      <c r="F394">
        <v>29.4</v>
      </c>
      <c r="G394">
        <v>2020</v>
      </c>
      <c r="H394" t="s">
        <v>928</v>
      </c>
      <c r="I394" t="s">
        <v>6594</v>
      </c>
      <c r="L394" t="s">
        <v>197</v>
      </c>
    </row>
    <row r="395" spans="1:12" x14ac:dyDescent="0.4">
      <c r="A395" t="s">
        <v>5770</v>
      </c>
      <c r="B395">
        <v>91.3</v>
      </c>
      <c r="C395" t="s">
        <v>5740</v>
      </c>
      <c r="D395">
        <v>5</v>
      </c>
      <c r="E395">
        <v>1.423</v>
      </c>
      <c r="F395">
        <v>91.3</v>
      </c>
      <c r="G395">
        <v>2021</v>
      </c>
      <c r="H395" t="s">
        <v>928</v>
      </c>
      <c r="I395" t="s">
        <v>6594</v>
      </c>
      <c r="L395" t="s">
        <v>197</v>
      </c>
    </row>
    <row r="396" spans="1:12" x14ac:dyDescent="0.4">
      <c r="A396" t="s">
        <v>3064</v>
      </c>
      <c r="B396">
        <v>85.2</v>
      </c>
      <c r="C396" t="s">
        <v>6583</v>
      </c>
      <c r="D396">
        <v>5</v>
      </c>
      <c r="E396">
        <v>1.1850000000000001</v>
      </c>
      <c r="F396">
        <v>85.2</v>
      </c>
      <c r="G396">
        <v>2020</v>
      </c>
      <c r="H396" t="s">
        <v>928</v>
      </c>
      <c r="I396" t="s">
        <v>6594</v>
      </c>
      <c r="L396" t="s">
        <v>197</v>
      </c>
    </row>
    <row r="397" spans="1:12" x14ac:dyDescent="0.4">
      <c r="A397" t="s">
        <v>5771</v>
      </c>
      <c r="B397">
        <v>72.2</v>
      </c>
      <c r="C397" t="s">
        <v>6579</v>
      </c>
      <c r="D397">
        <v>4</v>
      </c>
      <c r="E397">
        <v>0.67800000000000005</v>
      </c>
      <c r="F397">
        <v>72.2</v>
      </c>
      <c r="G397">
        <v>2019</v>
      </c>
      <c r="H397" t="s">
        <v>928</v>
      </c>
      <c r="I397" t="s">
        <v>6594</v>
      </c>
      <c r="L397" t="s">
        <v>197</v>
      </c>
    </row>
    <row r="398" spans="1:12" x14ac:dyDescent="0.4">
      <c r="A398" t="s">
        <v>3072</v>
      </c>
      <c r="B398">
        <v>11.5</v>
      </c>
      <c r="C398" t="s">
        <v>6035</v>
      </c>
      <c r="D398">
        <v>1</v>
      </c>
      <c r="E398">
        <v>-1.6879999999999999</v>
      </c>
      <c r="F398">
        <v>11.5</v>
      </c>
      <c r="G398">
        <v>2021</v>
      </c>
      <c r="H398" t="s">
        <v>928</v>
      </c>
      <c r="I398" t="s">
        <v>6594</v>
      </c>
      <c r="L398" t="s">
        <v>197</v>
      </c>
    </row>
    <row r="399" spans="1:12" x14ac:dyDescent="0.4">
      <c r="A399" t="s">
        <v>3047</v>
      </c>
      <c r="B399">
        <v>62.3</v>
      </c>
      <c r="C399" t="s">
        <v>5729</v>
      </c>
      <c r="D399">
        <v>4</v>
      </c>
      <c r="E399">
        <v>0.29199999999999998</v>
      </c>
      <c r="F399">
        <v>62.3</v>
      </c>
      <c r="G399">
        <v>2020</v>
      </c>
      <c r="H399" t="s">
        <v>928</v>
      </c>
      <c r="I399" t="s">
        <v>6594</v>
      </c>
      <c r="L399" t="s">
        <v>197</v>
      </c>
    </row>
    <row r="400" spans="1:12" x14ac:dyDescent="0.4">
      <c r="A400" t="s">
        <v>3051</v>
      </c>
      <c r="B400">
        <v>52.5</v>
      </c>
      <c r="C400" t="s">
        <v>5693</v>
      </c>
      <c r="D400">
        <v>3</v>
      </c>
      <c r="E400">
        <v>-0.09</v>
      </c>
      <c r="F400">
        <v>52.5</v>
      </c>
      <c r="G400">
        <v>2020</v>
      </c>
      <c r="H400" t="s">
        <v>928</v>
      </c>
      <c r="I400" t="s">
        <v>6594</v>
      </c>
      <c r="L400" t="s">
        <v>197</v>
      </c>
    </row>
    <row r="401" spans="1:12" x14ac:dyDescent="0.4">
      <c r="A401" t="s">
        <v>3045</v>
      </c>
      <c r="B401">
        <v>91.3</v>
      </c>
      <c r="C401" t="s">
        <v>5740</v>
      </c>
      <c r="D401">
        <v>5</v>
      </c>
      <c r="E401">
        <v>1.423</v>
      </c>
      <c r="F401">
        <v>91.3</v>
      </c>
      <c r="G401">
        <v>2021</v>
      </c>
      <c r="H401" t="s">
        <v>928</v>
      </c>
      <c r="I401" t="s">
        <v>6594</v>
      </c>
      <c r="L401" t="s">
        <v>197</v>
      </c>
    </row>
    <row r="402" spans="1:12" x14ac:dyDescent="0.4">
      <c r="A402" t="s">
        <v>5772</v>
      </c>
      <c r="B402">
        <v>53.5</v>
      </c>
      <c r="C402" t="s">
        <v>5703</v>
      </c>
      <c r="D402">
        <v>3</v>
      </c>
      <c r="E402">
        <v>-5.0999999999999997E-2</v>
      </c>
      <c r="F402">
        <v>53.5</v>
      </c>
      <c r="G402">
        <v>2021</v>
      </c>
      <c r="H402" t="s">
        <v>928</v>
      </c>
      <c r="I402" t="s">
        <v>6594</v>
      </c>
      <c r="L402" t="s">
        <v>197</v>
      </c>
    </row>
    <row r="403" spans="1:12" x14ac:dyDescent="0.4">
      <c r="A403" t="s">
        <v>3065</v>
      </c>
      <c r="B403">
        <v>76.400000000000006</v>
      </c>
      <c r="C403" t="s">
        <v>5707</v>
      </c>
      <c r="D403">
        <v>4</v>
      </c>
      <c r="E403">
        <v>0.84199999999999997</v>
      </c>
      <c r="F403">
        <v>76.400000000000006</v>
      </c>
      <c r="G403">
        <v>2015</v>
      </c>
      <c r="H403" t="s">
        <v>928</v>
      </c>
      <c r="I403" t="s">
        <v>6594</v>
      </c>
      <c r="L403" t="s">
        <v>197</v>
      </c>
    </row>
    <row r="404" spans="1:12" x14ac:dyDescent="0.4">
      <c r="A404" t="s">
        <v>1886</v>
      </c>
      <c r="B404">
        <v>36</v>
      </c>
      <c r="C404" t="s">
        <v>6587</v>
      </c>
      <c r="D404">
        <v>2</v>
      </c>
      <c r="E404">
        <v>-0.73299999999999998</v>
      </c>
      <c r="F404">
        <v>36</v>
      </c>
      <c r="G404">
        <v>2024</v>
      </c>
      <c r="H404" t="s">
        <v>6613</v>
      </c>
      <c r="I404" t="s">
        <v>6614</v>
      </c>
      <c r="L404" t="s">
        <v>197</v>
      </c>
    </row>
    <row r="405" spans="1:12" x14ac:dyDescent="0.4">
      <c r="A405" t="s">
        <v>1887</v>
      </c>
      <c r="B405">
        <v>74.5</v>
      </c>
      <c r="C405" t="s">
        <v>5692</v>
      </c>
      <c r="D405">
        <v>4</v>
      </c>
      <c r="E405">
        <v>0.76800000000000002</v>
      </c>
      <c r="F405">
        <v>74.5</v>
      </c>
      <c r="G405">
        <v>2020</v>
      </c>
      <c r="H405" t="s">
        <v>928</v>
      </c>
      <c r="I405" t="s">
        <v>6594</v>
      </c>
      <c r="L405" t="s">
        <v>197</v>
      </c>
    </row>
    <row r="406" spans="1:12" x14ac:dyDescent="0.4">
      <c r="A406" t="s">
        <v>3068</v>
      </c>
      <c r="B406">
        <v>80.099999999999994</v>
      </c>
      <c r="C406" t="s">
        <v>2485</v>
      </c>
      <c r="D406">
        <v>5</v>
      </c>
      <c r="E406">
        <v>0.98599999999999999</v>
      </c>
      <c r="F406">
        <v>80.099999999999994</v>
      </c>
      <c r="G406">
        <v>2020</v>
      </c>
      <c r="H406" t="s">
        <v>928</v>
      </c>
      <c r="I406" t="s">
        <v>6594</v>
      </c>
      <c r="L406" t="s">
        <v>197</v>
      </c>
    </row>
    <row r="407" spans="1:12" x14ac:dyDescent="0.4">
      <c r="A407" t="s">
        <v>1888</v>
      </c>
      <c r="B407">
        <v>85.2</v>
      </c>
      <c r="C407" t="s">
        <v>6583</v>
      </c>
      <c r="D407">
        <v>5</v>
      </c>
      <c r="E407">
        <v>1.1850000000000001</v>
      </c>
      <c r="F407">
        <v>85.2</v>
      </c>
      <c r="G407">
        <v>2020</v>
      </c>
      <c r="H407" t="s">
        <v>928</v>
      </c>
      <c r="I407" t="s">
        <v>6594</v>
      </c>
      <c r="L407" t="s">
        <v>197</v>
      </c>
    </row>
    <row r="408" spans="1:12" x14ac:dyDescent="0.4">
      <c r="A408" t="s">
        <v>3043</v>
      </c>
      <c r="B408">
        <v>84.5</v>
      </c>
      <c r="C408" t="s">
        <v>2483</v>
      </c>
      <c r="D408">
        <v>5</v>
      </c>
      <c r="E408">
        <v>1.1579999999999999</v>
      </c>
      <c r="F408">
        <v>84.5</v>
      </c>
      <c r="G408">
        <v>2016</v>
      </c>
      <c r="H408" t="s">
        <v>928</v>
      </c>
      <c r="I408" t="s">
        <v>6594</v>
      </c>
      <c r="L408" t="s">
        <v>197</v>
      </c>
    </row>
    <row r="409" spans="1:12" x14ac:dyDescent="0.4">
      <c r="A409" t="s">
        <v>3057</v>
      </c>
      <c r="B409">
        <v>80.7</v>
      </c>
      <c r="C409" t="s">
        <v>2484</v>
      </c>
      <c r="D409">
        <v>5</v>
      </c>
      <c r="E409">
        <v>1.01</v>
      </c>
      <c r="F409">
        <v>80.7</v>
      </c>
      <c r="G409">
        <v>2019</v>
      </c>
      <c r="H409" t="s">
        <v>928</v>
      </c>
      <c r="I409" t="s">
        <v>6594</v>
      </c>
      <c r="L409" t="s">
        <v>197</v>
      </c>
    </row>
    <row r="410" spans="1:12" x14ac:dyDescent="0.4">
      <c r="A410" t="s">
        <v>3067</v>
      </c>
      <c r="B410">
        <v>36</v>
      </c>
      <c r="C410" t="s">
        <v>6587</v>
      </c>
      <c r="D410">
        <v>2</v>
      </c>
      <c r="E410">
        <v>-0.73299999999999998</v>
      </c>
      <c r="F410">
        <v>36</v>
      </c>
      <c r="G410">
        <v>2024</v>
      </c>
      <c r="H410" t="s">
        <v>6613</v>
      </c>
      <c r="I410" t="s">
        <v>6614</v>
      </c>
      <c r="L410" t="s">
        <v>197</v>
      </c>
    </row>
    <row r="411" spans="1:12" x14ac:dyDescent="0.4">
      <c r="A411" t="s">
        <v>3058</v>
      </c>
      <c r="B411">
        <v>22.8</v>
      </c>
      <c r="C411" t="s">
        <v>5710</v>
      </c>
      <c r="D411">
        <v>2</v>
      </c>
      <c r="E411">
        <v>-1.248</v>
      </c>
      <c r="F411">
        <v>22.8</v>
      </c>
      <c r="G411">
        <v>2019</v>
      </c>
      <c r="H411" t="s">
        <v>928</v>
      </c>
      <c r="I411" t="s">
        <v>6594</v>
      </c>
      <c r="L411" t="s">
        <v>197</v>
      </c>
    </row>
    <row r="412" spans="1:12" x14ac:dyDescent="0.4">
      <c r="A412" t="s">
        <v>1892</v>
      </c>
      <c r="B412">
        <v>54.8</v>
      </c>
      <c r="C412" t="s">
        <v>197</v>
      </c>
      <c r="D412">
        <v>3</v>
      </c>
    </row>
    <row r="413" spans="1:12" x14ac:dyDescent="0.4">
      <c r="A413" t="s">
        <v>1893</v>
      </c>
      <c r="B413">
        <v>35</v>
      </c>
      <c r="C413" t="s">
        <v>197</v>
      </c>
      <c r="D413">
        <v>2</v>
      </c>
    </row>
    <row r="414" spans="1:12" x14ac:dyDescent="0.4">
      <c r="A414" t="s">
        <v>1894</v>
      </c>
      <c r="B414">
        <v>71.7</v>
      </c>
      <c r="C414" t="s">
        <v>197</v>
      </c>
      <c r="D414">
        <v>4</v>
      </c>
    </row>
    <row r="415" spans="1:12" x14ac:dyDescent="0.4">
      <c r="A415" t="s">
        <v>1895</v>
      </c>
      <c r="B415">
        <v>58.6</v>
      </c>
      <c r="C415" t="s">
        <v>197</v>
      </c>
      <c r="D415">
        <v>3</v>
      </c>
    </row>
    <row r="416" spans="1:12" x14ac:dyDescent="0.4">
      <c r="A416" t="s">
        <v>1896</v>
      </c>
      <c r="B416">
        <v>71.400000000000006</v>
      </c>
      <c r="C416" t="s">
        <v>197</v>
      </c>
      <c r="D416">
        <v>4</v>
      </c>
    </row>
    <row r="417" spans="1:11" x14ac:dyDescent="0.4">
      <c r="A417" t="s">
        <v>2542</v>
      </c>
      <c r="B417">
        <v>31</v>
      </c>
      <c r="C417" t="s">
        <v>197</v>
      </c>
      <c r="D417">
        <v>2</v>
      </c>
    </row>
    <row r="418" spans="1:11" x14ac:dyDescent="0.4">
      <c r="A418" t="s">
        <v>2543</v>
      </c>
      <c r="B418">
        <v>57.4</v>
      </c>
      <c r="C418" t="s">
        <v>197</v>
      </c>
      <c r="D418">
        <v>3</v>
      </c>
    </row>
    <row r="419" spans="1:11" x14ac:dyDescent="0.4">
      <c r="A419" t="s">
        <v>7273</v>
      </c>
      <c r="B419">
        <v>30</v>
      </c>
      <c r="C419" t="s">
        <v>197</v>
      </c>
      <c r="D419">
        <v>2</v>
      </c>
    </row>
    <row r="420" spans="1:11" x14ac:dyDescent="0.4">
      <c r="A420" t="s">
        <v>7274</v>
      </c>
      <c r="B420">
        <v>48.4</v>
      </c>
      <c r="C420" t="s">
        <v>197</v>
      </c>
      <c r="D420">
        <v>3</v>
      </c>
    </row>
    <row r="421" spans="1:11" x14ac:dyDescent="0.4">
      <c r="A421" t="s">
        <v>7275</v>
      </c>
      <c r="B421">
        <v>75.099999999999994</v>
      </c>
      <c r="C421" t="s">
        <v>197</v>
      </c>
      <c r="D421">
        <v>4</v>
      </c>
    </row>
    <row r="422" spans="1:11" x14ac:dyDescent="0.4">
      <c r="A422" t="s">
        <v>3077</v>
      </c>
      <c r="B422">
        <v>0</v>
      </c>
      <c r="C422" t="s">
        <v>6587</v>
      </c>
      <c r="D422">
        <v>1</v>
      </c>
      <c r="E422">
        <v>-1.32</v>
      </c>
      <c r="F422">
        <v>0</v>
      </c>
      <c r="G422">
        <v>2024</v>
      </c>
      <c r="H422" t="s">
        <v>928</v>
      </c>
      <c r="I422" t="s">
        <v>6063</v>
      </c>
      <c r="J422" t="s">
        <v>7756</v>
      </c>
      <c r="K422" t="s">
        <v>9028</v>
      </c>
    </row>
    <row r="423" spans="1:11" x14ac:dyDescent="0.4">
      <c r="A423" t="s">
        <v>3075</v>
      </c>
      <c r="B423">
        <v>0</v>
      </c>
      <c r="C423" t="s">
        <v>6587</v>
      </c>
      <c r="D423">
        <v>1</v>
      </c>
      <c r="E423">
        <v>-1.32</v>
      </c>
      <c r="F423">
        <v>0</v>
      </c>
      <c r="G423">
        <v>2024</v>
      </c>
      <c r="H423" t="s">
        <v>928</v>
      </c>
      <c r="I423" t="s">
        <v>6063</v>
      </c>
      <c r="J423" t="s">
        <v>7757</v>
      </c>
      <c r="K423" t="s">
        <v>9029</v>
      </c>
    </row>
    <row r="424" spans="1:11" x14ac:dyDescent="0.4">
      <c r="A424" t="s">
        <v>3081</v>
      </c>
      <c r="B424">
        <v>100</v>
      </c>
      <c r="C424" t="s">
        <v>1380</v>
      </c>
      <c r="D424">
        <v>5</v>
      </c>
      <c r="E424">
        <v>0.74199999999999999</v>
      </c>
      <c r="F424">
        <v>1</v>
      </c>
      <c r="G424">
        <v>2024</v>
      </c>
      <c r="H424" t="s">
        <v>928</v>
      </c>
      <c r="I424" t="s">
        <v>6063</v>
      </c>
      <c r="J424" t="s">
        <v>7758</v>
      </c>
      <c r="K424" t="s">
        <v>7759</v>
      </c>
    </row>
    <row r="425" spans="1:11" x14ac:dyDescent="0.4">
      <c r="A425" t="s">
        <v>3105</v>
      </c>
      <c r="B425">
        <v>100</v>
      </c>
      <c r="C425" t="s">
        <v>1380</v>
      </c>
      <c r="D425">
        <v>5</v>
      </c>
      <c r="E425">
        <v>0.74199999999999999</v>
      </c>
      <c r="F425">
        <v>1</v>
      </c>
      <c r="G425">
        <v>2024</v>
      </c>
      <c r="H425" t="s">
        <v>928</v>
      </c>
      <c r="I425" t="s">
        <v>6063</v>
      </c>
      <c r="J425" t="s">
        <v>7760</v>
      </c>
      <c r="K425" t="s">
        <v>7761</v>
      </c>
    </row>
    <row r="426" spans="1:11" x14ac:dyDescent="0.4">
      <c r="A426" t="s">
        <v>1897</v>
      </c>
      <c r="B426">
        <v>100</v>
      </c>
      <c r="C426" t="s">
        <v>1380</v>
      </c>
      <c r="D426">
        <v>5</v>
      </c>
      <c r="E426">
        <v>0.74199999999999999</v>
      </c>
      <c r="F426">
        <v>1</v>
      </c>
      <c r="G426">
        <v>2024</v>
      </c>
      <c r="H426" t="s">
        <v>928</v>
      </c>
      <c r="I426" t="s">
        <v>6063</v>
      </c>
      <c r="J426" t="s">
        <v>7762</v>
      </c>
      <c r="K426" t="s">
        <v>7601</v>
      </c>
    </row>
    <row r="427" spans="1:11" x14ac:dyDescent="0.4">
      <c r="A427" t="s">
        <v>3101</v>
      </c>
      <c r="B427">
        <v>100</v>
      </c>
      <c r="C427" t="s">
        <v>1380</v>
      </c>
      <c r="D427">
        <v>5</v>
      </c>
      <c r="E427">
        <v>0.74199999999999999</v>
      </c>
      <c r="F427">
        <v>1</v>
      </c>
      <c r="G427">
        <v>2024</v>
      </c>
      <c r="H427" t="s">
        <v>928</v>
      </c>
      <c r="I427" t="s">
        <v>6063</v>
      </c>
      <c r="J427" t="s">
        <v>7763</v>
      </c>
      <c r="K427" t="s">
        <v>6761</v>
      </c>
    </row>
    <row r="428" spans="1:11" x14ac:dyDescent="0.4">
      <c r="A428" t="s">
        <v>3085</v>
      </c>
      <c r="B428">
        <v>100</v>
      </c>
      <c r="C428" t="s">
        <v>1380</v>
      </c>
      <c r="D428">
        <v>5</v>
      </c>
      <c r="E428">
        <v>0.74199999999999999</v>
      </c>
      <c r="F428">
        <v>1</v>
      </c>
      <c r="G428">
        <v>2024</v>
      </c>
      <c r="H428" t="s">
        <v>928</v>
      </c>
      <c r="I428" t="s">
        <v>6063</v>
      </c>
      <c r="J428" t="s">
        <v>6762</v>
      </c>
      <c r="K428" t="s">
        <v>6763</v>
      </c>
    </row>
    <row r="429" spans="1:11" x14ac:dyDescent="0.4">
      <c r="A429" t="s">
        <v>3079</v>
      </c>
      <c r="B429">
        <v>0</v>
      </c>
      <c r="C429" t="s">
        <v>6587</v>
      </c>
      <c r="D429">
        <v>1</v>
      </c>
      <c r="E429">
        <v>-1.32</v>
      </c>
      <c r="F429">
        <v>0</v>
      </c>
      <c r="G429">
        <v>2024</v>
      </c>
      <c r="H429" t="s">
        <v>928</v>
      </c>
      <c r="I429" t="s">
        <v>6063</v>
      </c>
      <c r="J429" t="s">
        <v>7764</v>
      </c>
      <c r="K429" t="s">
        <v>9030</v>
      </c>
    </row>
    <row r="430" spans="1:11" x14ac:dyDescent="0.4">
      <c r="A430" t="s">
        <v>3091</v>
      </c>
      <c r="B430">
        <v>100</v>
      </c>
      <c r="C430" t="s">
        <v>1380</v>
      </c>
      <c r="D430">
        <v>5</v>
      </c>
      <c r="E430">
        <v>0.74199999999999999</v>
      </c>
      <c r="F430">
        <v>1</v>
      </c>
      <c r="G430">
        <v>2024</v>
      </c>
      <c r="H430" t="s">
        <v>928</v>
      </c>
      <c r="I430" t="s">
        <v>6063</v>
      </c>
      <c r="J430" t="s">
        <v>7765</v>
      </c>
      <c r="K430" t="s">
        <v>9031</v>
      </c>
    </row>
    <row r="431" spans="1:11" x14ac:dyDescent="0.4">
      <c r="A431" t="s">
        <v>3083</v>
      </c>
      <c r="B431">
        <v>0</v>
      </c>
      <c r="C431" t="s">
        <v>6587</v>
      </c>
      <c r="D431">
        <v>1</v>
      </c>
      <c r="E431">
        <v>-1.32</v>
      </c>
      <c r="F431">
        <v>0</v>
      </c>
      <c r="G431">
        <v>2024</v>
      </c>
      <c r="H431" t="s">
        <v>928</v>
      </c>
      <c r="I431" t="s">
        <v>6063</v>
      </c>
      <c r="J431" t="s">
        <v>7766</v>
      </c>
      <c r="K431" t="s">
        <v>6764</v>
      </c>
    </row>
    <row r="432" spans="1:11" x14ac:dyDescent="0.4">
      <c r="A432" t="s">
        <v>5955</v>
      </c>
      <c r="B432">
        <v>0</v>
      </c>
      <c r="C432" t="s">
        <v>6587</v>
      </c>
      <c r="D432">
        <v>1</v>
      </c>
      <c r="E432">
        <v>-1.32</v>
      </c>
      <c r="F432">
        <v>0</v>
      </c>
      <c r="G432">
        <v>2024</v>
      </c>
      <c r="H432" t="s">
        <v>928</v>
      </c>
      <c r="I432" t="s">
        <v>6063</v>
      </c>
      <c r="J432" t="s">
        <v>7767</v>
      </c>
      <c r="K432" t="s">
        <v>9032</v>
      </c>
    </row>
    <row r="433" spans="1:11" x14ac:dyDescent="0.4">
      <c r="A433" t="s">
        <v>3097</v>
      </c>
      <c r="B433">
        <v>100</v>
      </c>
      <c r="C433" t="s">
        <v>1380</v>
      </c>
      <c r="D433">
        <v>5</v>
      </c>
      <c r="E433">
        <v>0.74199999999999999</v>
      </c>
      <c r="F433">
        <v>1</v>
      </c>
      <c r="G433">
        <v>2024</v>
      </c>
      <c r="H433" t="s">
        <v>928</v>
      </c>
      <c r="I433" t="s">
        <v>6063</v>
      </c>
      <c r="J433" t="s">
        <v>7768</v>
      </c>
      <c r="K433" t="s">
        <v>9033</v>
      </c>
    </row>
    <row r="434" spans="1:11" x14ac:dyDescent="0.4">
      <c r="A434" t="s">
        <v>1898</v>
      </c>
      <c r="B434">
        <v>0</v>
      </c>
      <c r="C434" t="s">
        <v>6587</v>
      </c>
      <c r="D434">
        <v>1</v>
      </c>
      <c r="E434">
        <v>-1.32</v>
      </c>
      <c r="F434">
        <v>0</v>
      </c>
      <c r="G434">
        <v>2024</v>
      </c>
      <c r="H434" t="s">
        <v>928</v>
      </c>
      <c r="I434" t="s">
        <v>6063</v>
      </c>
      <c r="J434" t="s">
        <v>7769</v>
      </c>
      <c r="K434" t="s">
        <v>9034</v>
      </c>
    </row>
    <row r="435" spans="1:11" x14ac:dyDescent="0.4">
      <c r="A435" t="s">
        <v>1907</v>
      </c>
      <c r="B435">
        <v>0</v>
      </c>
      <c r="C435" t="s">
        <v>6587</v>
      </c>
      <c r="D435">
        <v>1</v>
      </c>
      <c r="E435">
        <v>-1.32</v>
      </c>
      <c r="F435">
        <v>0</v>
      </c>
      <c r="G435">
        <v>2024</v>
      </c>
      <c r="H435" t="s">
        <v>928</v>
      </c>
      <c r="I435" t="s">
        <v>6063</v>
      </c>
      <c r="J435" t="s">
        <v>7770</v>
      </c>
      <c r="K435" t="s">
        <v>9035</v>
      </c>
    </row>
    <row r="436" spans="1:11" x14ac:dyDescent="0.4">
      <c r="A436" t="s">
        <v>3090</v>
      </c>
      <c r="B436">
        <v>100</v>
      </c>
      <c r="C436" t="s">
        <v>1380</v>
      </c>
      <c r="D436">
        <v>5</v>
      </c>
      <c r="E436">
        <v>0.74199999999999999</v>
      </c>
      <c r="F436">
        <v>1</v>
      </c>
      <c r="G436">
        <v>2024</v>
      </c>
      <c r="H436" t="s">
        <v>928</v>
      </c>
      <c r="I436" t="s">
        <v>6063</v>
      </c>
      <c r="J436" t="s">
        <v>7771</v>
      </c>
      <c r="K436" t="s">
        <v>7772</v>
      </c>
    </row>
    <row r="437" spans="1:11" x14ac:dyDescent="0.4">
      <c r="A437" t="s">
        <v>3104</v>
      </c>
      <c r="B437">
        <v>100</v>
      </c>
      <c r="C437" t="s">
        <v>1380</v>
      </c>
      <c r="D437">
        <v>5</v>
      </c>
      <c r="E437">
        <v>0.74199999999999999</v>
      </c>
      <c r="F437">
        <v>1</v>
      </c>
      <c r="G437">
        <v>2024</v>
      </c>
      <c r="H437" t="s">
        <v>928</v>
      </c>
      <c r="I437" t="s">
        <v>6063</v>
      </c>
      <c r="J437" t="s">
        <v>7773</v>
      </c>
      <c r="K437" t="s">
        <v>9036</v>
      </c>
    </row>
    <row r="438" spans="1:11" x14ac:dyDescent="0.4">
      <c r="A438" t="s">
        <v>1899</v>
      </c>
      <c r="B438">
        <v>100</v>
      </c>
      <c r="C438" t="s">
        <v>1380</v>
      </c>
      <c r="D438">
        <v>5</v>
      </c>
      <c r="E438">
        <v>0.74199999999999999</v>
      </c>
      <c r="F438">
        <v>1</v>
      </c>
      <c r="G438">
        <v>2024</v>
      </c>
      <c r="H438" t="s">
        <v>928</v>
      </c>
      <c r="I438" t="s">
        <v>6063</v>
      </c>
      <c r="J438" t="s">
        <v>7774</v>
      </c>
      <c r="K438" t="s">
        <v>7775</v>
      </c>
    </row>
    <row r="439" spans="1:11" x14ac:dyDescent="0.4">
      <c r="A439" t="s">
        <v>1906</v>
      </c>
      <c r="B439">
        <v>100</v>
      </c>
      <c r="C439" t="s">
        <v>1380</v>
      </c>
      <c r="D439">
        <v>5</v>
      </c>
      <c r="E439">
        <v>0.74199999999999999</v>
      </c>
      <c r="F439">
        <v>1</v>
      </c>
      <c r="G439">
        <v>2024</v>
      </c>
      <c r="H439" t="s">
        <v>928</v>
      </c>
      <c r="I439" t="s">
        <v>6063</v>
      </c>
      <c r="J439" t="s">
        <v>7776</v>
      </c>
      <c r="K439" t="s">
        <v>9037</v>
      </c>
    </row>
    <row r="440" spans="1:11" x14ac:dyDescent="0.4">
      <c r="A440" t="s">
        <v>1900</v>
      </c>
      <c r="B440">
        <v>100</v>
      </c>
      <c r="C440" t="s">
        <v>1380</v>
      </c>
      <c r="D440">
        <v>5</v>
      </c>
      <c r="E440">
        <v>0.74199999999999999</v>
      </c>
      <c r="F440">
        <v>1</v>
      </c>
      <c r="G440">
        <v>2024</v>
      </c>
      <c r="H440" t="s">
        <v>928</v>
      </c>
      <c r="I440" t="s">
        <v>6063</v>
      </c>
      <c r="J440" t="s">
        <v>7777</v>
      </c>
      <c r="K440" t="s">
        <v>7778</v>
      </c>
    </row>
    <row r="441" spans="1:11" x14ac:dyDescent="0.4">
      <c r="A441" t="s">
        <v>3074</v>
      </c>
      <c r="B441">
        <v>100</v>
      </c>
      <c r="C441" t="s">
        <v>1380</v>
      </c>
      <c r="D441">
        <v>5</v>
      </c>
      <c r="E441">
        <v>0.74199999999999999</v>
      </c>
      <c r="F441">
        <v>1</v>
      </c>
      <c r="G441">
        <v>2024</v>
      </c>
      <c r="H441" t="s">
        <v>928</v>
      </c>
      <c r="I441" t="s">
        <v>6063</v>
      </c>
      <c r="J441" t="s">
        <v>7779</v>
      </c>
      <c r="K441" t="s">
        <v>7780</v>
      </c>
    </row>
    <row r="442" spans="1:11" x14ac:dyDescent="0.4">
      <c r="A442" t="s">
        <v>3094</v>
      </c>
      <c r="B442">
        <v>0</v>
      </c>
      <c r="C442" t="s">
        <v>6587</v>
      </c>
      <c r="D442">
        <v>1</v>
      </c>
      <c r="E442">
        <v>-1.32</v>
      </c>
      <c r="F442">
        <v>0</v>
      </c>
      <c r="G442">
        <v>2024</v>
      </c>
      <c r="H442" t="s">
        <v>928</v>
      </c>
      <c r="I442" t="s">
        <v>6063</v>
      </c>
      <c r="J442" t="s">
        <v>7781</v>
      </c>
      <c r="K442" t="s">
        <v>9038</v>
      </c>
    </row>
    <row r="443" spans="1:11" x14ac:dyDescent="0.4">
      <c r="A443" t="s">
        <v>3098</v>
      </c>
      <c r="B443">
        <v>0</v>
      </c>
      <c r="C443" t="s">
        <v>6587</v>
      </c>
      <c r="D443">
        <v>1</v>
      </c>
      <c r="E443">
        <v>-1.32</v>
      </c>
      <c r="F443">
        <v>0</v>
      </c>
      <c r="G443">
        <v>2024</v>
      </c>
      <c r="H443" t="s">
        <v>928</v>
      </c>
      <c r="I443" t="s">
        <v>6063</v>
      </c>
      <c r="J443" t="s">
        <v>7782</v>
      </c>
      <c r="K443" t="s">
        <v>9039</v>
      </c>
    </row>
    <row r="444" spans="1:11" x14ac:dyDescent="0.4">
      <c r="A444" t="s">
        <v>3096</v>
      </c>
      <c r="B444">
        <v>0</v>
      </c>
      <c r="C444" t="s">
        <v>6587</v>
      </c>
      <c r="D444">
        <v>1</v>
      </c>
      <c r="E444">
        <v>-1.32</v>
      </c>
      <c r="F444">
        <v>0</v>
      </c>
      <c r="G444">
        <v>2024</v>
      </c>
      <c r="H444" t="s">
        <v>928</v>
      </c>
      <c r="I444" t="s">
        <v>6063</v>
      </c>
      <c r="J444" t="s">
        <v>7783</v>
      </c>
      <c r="K444" t="s">
        <v>9040</v>
      </c>
    </row>
    <row r="445" spans="1:11" x14ac:dyDescent="0.4">
      <c r="A445" t="s">
        <v>3084</v>
      </c>
      <c r="B445">
        <v>0</v>
      </c>
      <c r="C445" t="s">
        <v>6587</v>
      </c>
      <c r="D445">
        <v>1</v>
      </c>
      <c r="E445">
        <v>-1.32</v>
      </c>
      <c r="F445">
        <v>0</v>
      </c>
      <c r="G445">
        <v>2024</v>
      </c>
      <c r="H445" t="s">
        <v>928</v>
      </c>
      <c r="I445" t="s">
        <v>6063</v>
      </c>
      <c r="J445" t="s">
        <v>7784</v>
      </c>
      <c r="K445" t="s">
        <v>9041</v>
      </c>
    </row>
    <row r="446" spans="1:11" x14ac:dyDescent="0.4">
      <c r="A446" t="s">
        <v>3073</v>
      </c>
      <c r="B446">
        <v>100</v>
      </c>
      <c r="C446" t="s">
        <v>1380</v>
      </c>
      <c r="D446">
        <v>5</v>
      </c>
      <c r="E446">
        <v>0.74199999999999999</v>
      </c>
      <c r="F446">
        <v>1</v>
      </c>
      <c r="G446">
        <v>2024</v>
      </c>
      <c r="H446" t="s">
        <v>928</v>
      </c>
      <c r="I446" t="s">
        <v>6063</v>
      </c>
      <c r="J446" t="s">
        <v>7785</v>
      </c>
      <c r="K446" t="s">
        <v>9042</v>
      </c>
    </row>
    <row r="447" spans="1:11" x14ac:dyDescent="0.4">
      <c r="A447" t="s">
        <v>3087</v>
      </c>
      <c r="B447">
        <v>100</v>
      </c>
      <c r="C447" t="s">
        <v>1380</v>
      </c>
      <c r="D447">
        <v>5</v>
      </c>
      <c r="E447">
        <v>0.74199999999999999</v>
      </c>
      <c r="F447">
        <v>1</v>
      </c>
      <c r="G447">
        <v>2024</v>
      </c>
      <c r="H447" t="s">
        <v>928</v>
      </c>
      <c r="I447" t="s">
        <v>6063</v>
      </c>
      <c r="J447" t="s">
        <v>7786</v>
      </c>
      <c r="K447" t="s">
        <v>7787</v>
      </c>
    </row>
    <row r="448" spans="1:11" x14ac:dyDescent="0.4">
      <c r="A448" t="s">
        <v>3088</v>
      </c>
      <c r="B448">
        <v>100</v>
      </c>
      <c r="C448" t="s">
        <v>1380</v>
      </c>
      <c r="D448">
        <v>5</v>
      </c>
      <c r="E448">
        <v>0.74199999999999999</v>
      </c>
      <c r="F448">
        <v>1</v>
      </c>
      <c r="G448">
        <v>2024</v>
      </c>
      <c r="H448" t="s">
        <v>928</v>
      </c>
      <c r="I448" t="s">
        <v>6063</v>
      </c>
      <c r="J448" t="s">
        <v>7788</v>
      </c>
      <c r="K448" t="s">
        <v>9043</v>
      </c>
    </row>
    <row r="449" spans="1:11" x14ac:dyDescent="0.4">
      <c r="A449" t="s">
        <v>3106</v>
      </c>
      <c r="B449">
        <v>0</v>
      </c>
      <c r="C449" t="s">
        <v>6587</v>
      </c>
      <c r="D449">
        <v>1</v>
      </c>
      <c r="E449">
        <v>-1.32</v>
      </c>
      <c r="F449">
        <v>0</v>
      </c>
      <c r="G449">
        <v>2024</v>
      </c>
      <c r="H449" t="s">
        <v>928</v>
      </c>
      <c r="I449" t="s">
        <v>6063</v>
      </c>
      <c r="J449" t="s">
        <v>7789</v>
      </c>
      <c r="K449" t="s">
        <v>9044</v>
      </c>
    </row>
    <row r="450" spans="1:11" x14ac:dyDescent="0.4">
      <c r="A450" t="s">
        <v>1901</v>
      </c>
      <c r="B450">
        <v>100</v>
      </c>
      <c r="C450" t="s">
        <v>1380</v>
      </c>
      <c r="D450">
        <v>5</v>
      </c>
      <c r="E450">
        <v>0.74199999999999999</v>
      </c>
      <c r="F450">
        <v>1</v>
      </c>
      <c r="G450">
        <v>2024</v>
      </c>
      <c r="H450" t="s">
        <v>928</v>
      </c>
      <c r="I450" t="s">
        <v>6063</v>
      </c>
      <c r="J450" t="s">
        <v>7790</v>
      </c>
      <c r="K450" t="s">
        <v>6765</v>
      </c>
    </row>
    <row r="451" spans="1:11" x14ac:dyDescent="0.4">
      <c r="A451" t="s">
        <v>1905</v>
      </c>
      <c r="B451">
        <v>100</v>
      </c>
      <c r="C451" t="s">
        <v>1380</v>
      </c>
      <c r="D451">
        <v>5</v>
      </c>
      <c r="E451">
        <v>0.74199999999999999</v>
      </c>
      <c r="F451">
        <v>1</v>
      </c>
      <c r="G451">
        <v>2024</v>
      </c>
      <c r="H451" t="s">
        <v>928</v>
      </c>
      <c r="I451" t="s">
        <v>6063</v>
      </c>
      <c r="J451" t="s">
        <v>7791</v>
      </c>
      <c r="K451" t="s">
        <v>8981</v>
      </c>
    </row>
    <row r="452" spans="1:11" x14ac:dyDescent="0.4">
      <c r="A452" t="s">
        <v>3089</v>
      </c>
      <c r="B452">
        <v>0</v>
      </c>
      <c r="C452" t="s">
        <v>6587</v>
      </c>
      <c r="D452">
        <v>1</v>
      </c>
      <c r="E452">
        <v>-1.32</v>
      </c>
      <c r="F452">
        <v>0</v>
      </c>
      <c r="G452">
        <v>2024</v>
      </c>
      <c r="H452" t="s">
        <v>928</v>
      </c>
      <c r="I452" t="s">
        <v>6063</v>
      </c>
      <c r="J452" t="s">
        <v>7792</v>
      </c>
      <c r="K452" t="s">
        <v>6766</v>
      </c>
    </row>
    <row r="453" spans="1:11" x14ac:dyDescent="0.4">
      <c r="A453" t="s">
        <v>3095</v>
      </c>
      <c r="B453">
        <v>0</v>
      </c>
      <c r="C453" t="s">
        <v>6587</v>
      </c>
      <c r="D453">
        <v>1</v>
      </c>
      <c r="E453">
        <v>-1.32</v>
      </c>
      <c r="F453">
        <v>0</v>
      </c>
      <c r="G453">
        <v>2024</v>
      </c>
      <c r="H453" t="s">
        <v>928</v>
      </c>
      <c r="I453" t="s">
        <v>6063</v>
      </c>
      <c r="J453" t="s">
        <v>7793</v>
      </c>
      <c r="K453" t="s">
        <v>9045</v>
      </c>
    </row>
    <row r="454" spans="1:11" x14ac:dyDescent="0.4">
      <c r="A454" t="s">
        <v>3076</v>
      </c>
      <c r="B454">
        <v>0</v>
      </c>
      <c r="C454" t="s">
        <v>6587</v>
      </c>
      <c r="D454">
        <v>1</v>
      </c>
      <c r="E454">
        <v>-1.32</v>
      </c>
      <c r="F454">
        <v>0</v>
      </c>
      <c r="G454">
        <v>2024</v>
      </c>
      <c r="H454" t="s">
        <v>928</v>
      </c>
      <c r="I454" t="s">
        <v>6063</v>
      </c>
      <c r="J454" t="s">
        <v>7794</v>
      </c>
      <c r="K454" t="s">
        <v>9046</v>
      </c>
    </row>
    <row r="455" spans="1:11" x14ac:dyDescent="0.4">
      <c r="A455" t="s">
        <v>5773</v>
      </c>
      <c r="B455">
        <v>100</v>
      </c>
      <c r="C455" t="s">
        <v>1380</v>
      </c>
      <c r="D455">
        <v>5</v>
      </c>
      <c r="E455">
        <v>0.74199999999999999</v>
      </c>
      <c r="F455">
        <v>1</v>
      </c>
      <c r="G455">
        <v>2024</v>
      </c>
      <c r="H455" t="s">
        <v>928</v>
      </c>
      <c r="I455" t="s">
        <v>6063</v>
      </c>
      <c r="J455" t="s">
        <v>7795</v>
      </c>
      <c r="K455" t="s">
        <v>7796</v>
      </c>
    </row>
    <row r="456" spans="1:11" x14ac:dyDescent="0.4">
      <c r="A456" t="s">
        <v>3099</v>
      </c>
      <c r="B456">
        <v>100</v>
      </c>
      <c r="C456" t="s">
        <v>1380</v>
      </c>
      <c r="D456">
        <v>5</v>
      </c>
      <c r="E456">
        <v>0.74199999999999999</v>
      </c>
      <c r="F456">
        <v>1</v>
      </c>
      <c r="G456">
        <v>2024</v>
      </c>
      <c r="H456" t="s">
        <v>928</v>
      </c>
      <c r="I456" t="s">
        <v>6063</v>
      </c>
      <c r="J456" t="s">
        <v>7797</v>
      </c>
      <c r="K456" t="s">
        <v>9047</v>
      </c>
    </row>
    <row r="457" spans="1:11" x14ac:dyDescent="0.4">
      <c r="A457" t="s">
        <v>5774</v>
      </c>
      <c r="B457">
        <v>100</v>
      </c>
      <c r="C457" t="s">
        <v>1380</v>
      </c>
      <c r="D457">
        <v>5</v>
      </c>
      <c r="E457">
        <v>0.74199999999999999</v>
      </c>
      <c r="F457">
        <v>1</v>
      </c>
      <c r="G457">
        <v>2024</v>
      </c>
      <c r="H457" t="s">
        <v>928</v>
      </c>
      <c r="I457" t="s">
        <v>6063</v>
      </c>
      <c r="J457" t="s">
        <v>7798</v>
      </c>
      <c r="K457" t="s">
        <v>9048</v>
      </c>
    </row>
    <row r="458" spans="1:11" x14ac:dyDescent="0.4">
      <c r="A458" t="s">
        <v>3107</v>
      </c>
      <c r="B458">
        <v>100</v>
      </c>
      <c r="C458" t="s">
        <v>1380</v>
      </c>
      <c r="D458">
        <v>5</v>
      </c>
      <c r="E458">
        <v>0.74199999999999999</v>
      </c>
      <c r="F458">
        <v>1</v>
      </c>
      <c r="G458">
        <v>2024</v>
      </c>
      <c r="H458" t="s">
        <v>928</v>
      </c>
      <c r="I458" t="s">
        <v>6063</v>
      </c>
      <c r="J458" t="s">
        <v>7799</v>
      </c>
      <c r="K458" t="s">
        <v>7800</v>
      </c>
    </row>
    <row r="459" spans="1:11" x14ac:dyDescent="0.4">
      <c r="A459" t="s">
        <v>3082</v>
      </c>
      <c r="B459">
        <v>0</v>
      </c>
      <c r="C459" t="s">
        <v>6587</v>
      </c>
      <c r="D459">
        <v>1</v>
      </c>
      <c r="E459">
        <v>-1.32</v>
      </c>
      <c r="F459">
        <v>0</v>
      </c>
      <c r="G459">
        <v>2024</v>
      </c>
      <c r="H459" t="s">
        <v>928</v>
      </c>
      <c r="I459" t="s">
        <v>6063</v>
      </c>
      <c r="J459" t="s">
        <v>7801</v>
      </c>
      <c r="K459" t="s">
        <v>9049</v>
      </c>
    </row>
    <row r="460" spans="1:11" x14ac:dyDescent="0.4">
      <c r="A460" t="s">
        <v>3086</v>
      </c>
      <c r="B460">
        <v>100</v>
      </c>
      <c r="C460" t="s">
        <v>1380</v>
      </c>
      <c r="D460">
        <v>5</v>
      </c>
      <c r="E460">
        <v>0.74199999999999999</v>
      </c>
      <c r="F460">
        <v>1</v>
      </c>
      <c r="G460">
        <v>2024</v>
      </c>
      <c r="H460" t="s">
        <v>928</v>
      </c>
      <c r="I460" t="s">
        <v>6063</v>
      </c>
      <c r="J460" t="s">
        <v>7802</v>
      </c>
      <c r="K460" t="s">
        <v>6767</v>
      </c>
    </row>
    <row r="461" spans="1:11" x14ac:dyDescent="0.4">
      <c r="A461" t="s">
        <v>3080</v>
      </c>
      <c r="B461">
        <v>100</v>
      </c>
      <c r="C461" t="s">
        <v>1380</v>
      </c>
      <c r="D461">
        <v>5</v>
      </c>
      <c r="E461">
        <v>0.74199999999999999</v>
      </c>
      <c r="F461">
        <v>1</v>
      </c>
      <c r="G461">
        <v>2024</v>
      </c>
      <c r="H461" t="s">
        <v>928</v>
      </c>
      <c r="I461" t="s">
        <v>6063</v>
      </c>
      <c r="J461" t="s">
        <v>7803</v>
      </c>
      <c r="K461" t="s">
        <v>7804</v>
      </c>
    </row>
    <row r="462" spans="1:11" x14ac:dyDescent="0.4">
      <c r="A462" t="s">
        <v>5775</v>
      </c>
      <c r="B462">
        <v>0</v>
      </c>
      <c r="C462" t="s">
        <v>6587</v>
      </c>
      <c r="D462">
        <v>1</v>
      </c>
      <c r="E462">
        <v>-1.32</v>
      </c>
      <c r="F462">
        <v>0</v>
      </c>
      <c r="G462">
        <v>2024</v>
      </c>
      <c r="H462" t="s">
        <v>928</v>
      </c>
      <c r="I462" t="s">
        <v>6063</v>
      </c>
      <c r="J462" t="s">
        <v>7805</v>
      </c>
      <c r="K462" t="s">
        <v>7806</v>
      </c>
    </row>
    <row r="463" spans="1:11" x14ac:dyDescent="0.4">
      <c r="A463" t="s">
        <v>3100</v>
      </c>
      <c r="B463">
        <v>100</v>
      </c>
      <c r="C463" t="s">
        <v>1380</v>
      </c>
      <c r="D463">
        <v>5</v>
      </c>
      <c r="E463">
        <v>0.74199999999999999</v>
      </c>
      <c r="F463">
        <v>1</v>
      </c>
      <c r="G463">
        <v>2024</v>
      </c>
      <c r="H463" t="s">
        <v>928</v>
      </c>
      <c r="I463" t="s">
        <v>6063</v>
      </c>
      <c r="J463" t="s">
        <v>7807</v>
      </c>
      <c r="K463" t="s">
        <v>6768</v>
      </c>
    </row>
    <row r="464" spans="1:11" x14ac:dyDescent="0.4">
      <c r="A464" t="s">
        <v>1902</v>
      </c>
      <c r="B464">
        <v>100</v>
      </c>
      <c r="C464" t="s">
        <v>1380</v>
      </c>
      <c r="D464">
        <v>5</v>
      </c>
      <c r="E464">
        <v>0.74199999999999999</v>
      </c>
      <c r="F464">
        <v>1</v>
      </c>
      <c r="G464">
        <v>2024</v>
      </c>
      <c r="H464" t="s">
        <v>928</v>
      </c>
      <c r="I464" t="s">
        <v>6063</v>
      </c>
      <c r="J464" t="s">
        <v>7808</v>
      </c>
      <c r="K464" t="s">
        <v>7809</v>
      </c>
    </row>
    <row r="465" spans="1:11" x14ac:dyDescent="0.4">
      <c r="A465" t="s">
        <v>1903</v>
      </c>
      <c r="B465">
        <v>100</v>
      </c>
      <c r="C465" t="s">
        <v>1380</v>
      </c>
      <c r="D465">
        <v>5</v>
      </c>
      <c r="E465">
        <v>0.74199999999999999</v>
      </c>
      <c r="F465">
        <v>1</v>
      </c>
      <c r="G465">
        <v>2024</v>
      </c>
      <c r="H465" t="s">
        <v>928</v>
      </c>
      <c r="I465" t="s">
        <v>6063</v>
      </c>
      <c r="J465" t="s">
        <v>7810</v>
      </c>
      <c r="K465" t="s">
        <v>7811</v>
      </c>
    </row>
    <row r="466" spans="1:11" x14ac:dyDescent="0.4">
      <c r="A466" t="s">
        <v>3103</v>
      </c>
      <c r="B466">
        <v>100</v>
      </c>
      <c r="C466" t="s">
        <v>1380</v>
      </c>
      <c r="D466">
        <v>5</v>
      </c>
      <c r="E466">
        <v>0.74199999999999999</v>
      </c>
      <c r="F466">
        <v>1</v>
      </c>
      <c r="G466">
        <v>2024</v>
      </c>
      <c r="H466" t="s">
        <v>928</v>
      </c>
      <c r="I466" t="s">
        <v>6063</v>
      </c>
      <c r="J466" t="s">
        <v>7812</v>
      </c>
      <c r="K466" t="s">
        <v>6769</v>
      </c>
    </row>
    <row r="467" spans="1:11" x14ac:dyDescent="0.4">
      <c r="A467" t="s">
        <v>1904</v>
      </c>
      <c r="B467">
        <v>100</v>
      </c>
      <c r="C467" t="s">
        <v>1380</v>
      </c>
      <c r="D467">
        <v>5</v>
      </c>
      <c r="E467">
        <v>0.74199999999999999</v>
      </c>
      <c r="F467">
        <v>1</v>
      </c>
      <c r="G467">
        <v>2024</v>
      </c>
      <c r="H467" t="s">
        <v>928</v>
      </c>
      <c r="I467" t="s">
        <v>6063</v>
      </c>
      <c r="J467" t="s">
        <v>7813</v>
      </c>
      <c r="K467" t="s">
        <v>9047</v>
      </c>
    </row>
    <row r="468" spans="1:11" x14ac:dyDescent="0.4">
      <c r="A468" t="s">
        <v>3078</v>
      </c>
      <c r="B468">
        <v>100</v>
      </c>
      <c r="C468" t="s">
        <v>1380</v>
      </c>
      <c r="D468">
        <v>5</v>
      </c>
      <c r="E468">
        <v>0.74199999999999999</v>
      </c>
      <c r="F468">
        <v>1</v>
      </c>
      <c r="G468">
        <v>2024</v>
      </c>
      <c r="H468" t="s">
        <v>928</v>
      </c>
      <c r="I468" t="s">
        <v>6063</v>
      </c>
      <c r="J468" t="s">
        <v>7814</v>
      </c>
      <c r="K468" t="s">
        <v>7815</v>
      </c>
    </row>
    <row r="469" spans="1:11" x14ac:dyDescent="0.4">
      <c r="A469" t="s">
        <v>3092</v>
      </c>
      <c r="B469">
        <v>100</v>
      </c>
      <c r="C469" t="s">
        <v>1380</v>
      </c>
      <c r="D469">
        <v>5</v>
      </c>
      <c r="E469">
        <v>0.74199999999999999</v>
      </c>
      <c r="F469">
        <v>1</v>
      </c>
      <c r="G469">
        <v>2024</v>
      </c>
      <c r="H469" t="s">
        <v>928</v>
      </c>
      <c r="I469" t="s">
        <v>6063</v>
      </c>
      <c r="J469" t="s">
        <v>6770</v>
      </c>
      <c r="K469" t="s">
        <v>8982</v>
      </c>
    </row>
    <row r="470" spans="1:11" x14ac:dyDescent="0.4">
      <c r="A470" t="s">
        <v>3102</v>
      </c>
      <c r="B470">
        <v>100</v>
      </c>
      <c r="C470" t="s">
        <v>1380</v>
      </c>
      <c r="D470">
        <v>5</v>
      </c>
      <c r="E470">
        <v>0.74199999999999999</v>
      </c>
      <c r="F470">
        <v>1</v>
      </c>
      <c r="G470">
        <v>2024</v>
      </c>
      <c r="H470" t="s">
        <v>928</v>
      </c>
      <c r="I470" t="s">
        <v>6063</v>
      </c>
      <c r="J470" t="s">
        <v>7816</v>
      </c>
      <c r="K470" t="s">
        <v>6771</v>
      </c>
    </row>
    <row r="471" spans="1:11" x14ac:dyDescent="0.4">
      <c r="A471" t="s">
        <v>3093</v>
      </c>
      <c r="B471">
        <v>0</v>
      </c>
      <c r="C471" t="s">
        <v>6587</v>
      </c>
      <c r="D471">
        <v>1</v>
      </c>
      <c r="E471">
        <v>-1.32</v>
      </c>
      <c r="F471">
        <v>0</v>
      </c>
      <c r="G471">
        <v>2024</v>
      </c>
      <c r="H471" t="s">
        <v>928</v>
      </c>
      <c r="I471" t="s">
        <v>6063</v>
      </c>
      <c r="J471" t="s">
        <v>7817</v>
      </c>
      <c r="K471" t="s">
        <v>9050</v>
      </c>
    </row>
    <row r="472" spans="1:11" x14ac:dyDescent="0.4">
      <c r="A472" t="s">
        <v>1908</v>
      </c>
      <c r="B472">
        <v>64</v>
      </c>
      <c r="C472" t="s">
        <v>197</v>
      </c>
      <c r="D472">
        <v>4</v>
      </c>
    </row>
    <row r="473" spans="1:11" x14ac:dyDescent="0.4">
      <c r="A473" t="s">
        <v>1909</v>
      </c>
      <c r="B473">
        <v>40</v>
      </c>
      <c r="C473" t="s">
        <v>197</v>
      </c>
      <c r="D473">
        <v>3</v>
      </c>
    </row>
    <row r="474" spans="1:11" x14ac:dyDescent="0.4">
      <c r="A474" t="s">
        <v>1910</v>
      </c>
      <c r="B474">
        <v>71.400000000000006</v>
      </c>
      <c r="C474" t="s">
        <v>197</v>
      </c>
      <c r="D474">
        <v>4</v>
      </c>
    </row>
    <row r="475" spans="1:11" x14ac:dyDescent="0.4">
      <c r="A475" t="s">
        <v>1911</v>
      </c>
      <c r="B475">
        <v>0</v>
      </c>
      <c r="C475" t="s">
        <v>197</v>
      </c>
      <c r="D475">
        <v>1</v>
      </c>
    </row>
    <row r="476" spans="1:11" x14ac:dyDescent="0.4">
      <c r="A476" t="s">
        <v>1912</v>
      </c>
      <c r="B476">
        <v>90</v>
      </c>
      <c r="C476" t="s">
        <v>197</v>
      </c>
      <c r="D476">
        <v>5</v>
      </c>
    </row>
    <row r="477" spans="1:11" x14ac:dyDescent="0.4">
      <c r="A477" t="s">
        <v>2544</v>
      </c>
      <c r="B477">
        <v>30</v>
      </c>
      <c r="C477" t="s">
        <v>197</v>
      </c>
      <c r="D477">
        <v>2</v>
      </c>
    </row>
    <row r="478" spans="1:11" x14ac:dyDescent="0.4">
      <c r="A478" t="s">
        <v>2545</v>
      </c>
      <c r="B478">
        <v>92.9</v>
      </c>
      <c r="C478" t="s">
        <v>197</v>
      </c>
      <c r="D478">
        <v>5</v>
      </c>
    </row>
    <row r="479" spans="1:11" x14ac:dyDescent="0.4">
      <c r="A479" t="s">
        <v>7276</v>
      </c>
      <c r="B479">
        <v>25</v>
      </c>
      <c r="C479" t="s">
        <v>197</v>
      </c>
      <c r="D479">
        <v>2</v>
      </c>
    </row>
    <row r="480" spans="1:11" x14ac:dyDescent="0.4">
      <c r="A480" t="s">
        <v>7277</v>
      </c>
      <c r="B480">
        <v>72.7</v>
      </c>
      <c r="C480" t="s">
        <v>197</v>
      </c>
      <c r="D480">
        <v>4</v>
      </c>
    </row>
    <row r="481" spans="1:5" x14ac:dyDescent="0.4">
      <c r="A481" t="s">
        <v>7278</v>
      </c>
      <c r="B481">
        <v>87</v>
      </c>
      <c r="C481" t="s">
        <v>197</v>
      </c>
      <c r="D481">
        <v>5</v>
      </c>
    </row>
    <row r="482" spans="1:5" x14ac:dyDescent="0.4">
      <c r="A482" t="s">
        <v>3147</v>
      </c>
      <c r="B482">
        <v>98</v>
      </c>
      <c r="C482" t="s">
        <v>6580</v>
      </c>
      <c r="D482">
        <v>5</v>
      </c>
      <c r="E482">
        <v>0.59199999999999997</v>
      </c>
    </row>
    <row r="483" spans="1:5" x14ac:dyDescent="0.4">
      <c r="A483" t="s">
        <v>3145</v>
      </c>
      <c r="B483">
        <v>94.2</v>
      </c>
      <c r="C483" t="s">
        <v>5702</v>
      </c>
      <c r="D483">
        <v>5</v>
      </c>
      <c r="E483">
        <v>0.41699999999999998</v>
      </c>
    </row>
    <row r="484" spans="1:5" x14ac:dyDescent="0.4">
      <c r="A484" t="s">
        <v>3151</v>
      </c>
      <c r="B484">
        <v>98.2</v>
      </c>
      <c r="C484" t="s">
        <v>2487</v>
      </c>
      <c r="D484">
        <v>5</v>
      </c>
      <c r="E484">
        <v>0.60199999999999998</v>
      </c>
    </row>
    <row r="485" spans="1:5" x14ac:dyDescent="0.4">
      <c r="A485" t="s">
        <v>3175</v>
      </c>
      <c r="B485">
        <v>98.4</v>
      </c>
      <c r="C485" t="s">
        <v>2484</v>
      </c>
      <c r="D485">
        <v>5</v>
      </c>
      <c r="E485">
        <v>0.61099999999999999</v>
      </c>
    </row>
    <row r="486" spans="1:5" x14ac:dyDescent="0.4">
      <c r="A486" t="s">
        <v>1929</v>
      </c>
      <c r="B486">
        <v>49.6</v>
      </c>
      <c r="C486" t="s">
        <v>5698</v>
      </c>
      <c r="D486">
        <v>3</v>
      </c>
      <c r="E486">
        <v>-1.6479999999999999</v>
      </c>
    </row>
    <row r="487" spans="1:5" x14ac:dyDescent="0.4">
      <c r="A487" t="s">
        <v>3171</v>
      </c>
      <c r="B487">
        <v>97.6</v>
      </c>
      <c r="C487" t="s">
        <v>6617</v>
      </c>
      <c r="D487">
        <v>5</v>
      </c>
      <c r="E487">
        <v>0.57399999999999995</v>
      </c>
    </row>
    <row r="488" spans="1:5" x14ac:dyDescent="0.4">
      <c r="A488" t="s">
        <v>3155</v>
      </c>
      <c r="B488">
        <v>98.5</v>
      </c>
      <c r="C488" t="s">
        <v>2482</v>
      </c>
      <c r="D488">
        <v>5</v>
      </c>
      <c r="E488">
        <v>0.61599999999999999</v>
      </c>
    </row>
    <row r="489" spans="1:5" x14ac:dyDescent="0.4">
      <c r="A489" t="s">
        <v>3149</v>
      </c>
      <c r="B489">
        <v>94.6</v>
      </c>
      <c r="C489" t="s">
        <v>5704</v>
      </c>
      <c r="D489">
        <v>5</v>
      </c>
      <c r="E489">
        <v>0.435</v>
      </c>
    </row>
    <row r="490" spans="1:5" x14ac:dyDescent="0.4">
      <c r="A490" t="s">
        <v>3161</v>
      </c>
      <c r="B490">
        <v>98.3</v>
      </c>
      <c r="C490" t="s">
        <v>2485</v>
      </c>
      <c r="D490">
        <v>5</v>
      </c>
      <c r="E490">
        <v>0.60599999999999998</v>
      </c>
    </row>
    <row r="491" spans="1:5" x14ac:dyDescent="0.4">
      <c r="A491" t="s">
        <v>3153</v>
      </c>
      <c r="B491">
        <v>46.5</v>
      </c>
      <c r="C491" t="s">
        <v>5710</v>
      </c>
      <c r="D491">
        <v>3</v>
      </c>
      <c r="E491">
        <v>-1.7909999999999999</v>
      </c>
    </row>
    <row r="492" spans="1:5" x14ac:dyDescent="0.4">
      <c r="A492" t="s">
        <v>5956</v>
      </c>
      <c r="B492">
        <v>46.6</v>
      </c>
      <c r="C492" t="s">
        <v>5697</v>
      </c>
      <c r="D492">
        <v>3</v>
      </c>
      <c r="E492">
        <v>-1.786</v>
      </c>
    </row>
    <row r="493" spans="1:5" x14ac:dyDescent="0.4">
      <c r="A493" t="s">
        <v>3167</v>
      </c>
      <c r="B493">
        <v>46.3</v>
      </c>
      <c r="C493" t="s">
        <v>6855</v>
      </c>
      <c r="D493">
        <v>3</v>
      </c>
      <c r="E493">
        <v>-1.8</v>
      </c>
    </row>
    <row r="494" spans="1:5" x14ac:dyDescent="0.4">
      <c r="A494" t="s">
        <v>1930</v>
      </c>
      <c r="B494">
        <v>47.7</v>
      </c>
      <c r="C494" t="s">
        <v>5711</v>
      </c>
      <c r="D494">
        <v>3</v>
      </c>
      <c r="E494">
        <v>-1.736</v>
      </c>
    </row>
    <row r="495" spans="1:5" x14ac:dyDescent="0.4">
      <c r="A495" t="s">
        <v>1939</v>
      </c>
      <c r="B495">
        <v>98.6</v>
      </c>
      <c r="C495" t="s">
        <v>6583</v>
      </c>
      <c r="D495">
        <v>5</v>
      </c>
      <c r="E495">
        <v>0.62</v>
      </c>
    </row>
    <row r="496" spans="1:5" x14ac:dyDescent="0.4">
      <c r="A496" t="s">
        <v>3160</v>
      </c>
      <c r="B496">
        <v>96.6</v>
      </c>
      <c r="C496" t="s">
        <v>5735</v>
      </c>
      <c r="D496">
        <v>5</v>
      </c>
      <c r="E496">
        <v>0.52800000000000002</v>
      </c>
    </row>
    <row r="497" spans="1:5" x14ac:dyDescent="0.4">
      <c r="A497" t="s">
        <v>3174</v>
      </c>
      <c r="B497">
        <v>99</v>
      </c>
      <c r="C497" t="s">
        <v>2478</v>
      </c>
      <c r="D497">
        <v>5</v>
      </c>
      <c r="E497">
        <v>0.63900000000000001</v>
      </c>
    </row>
    <row r="498" spans="1:5" x14ac:dyDescent="0.4">
      <c r="A498" t="s">
        <v>1931</v>
      </c>
      <c r="B498">
        <v>97.5</v>
      </c>
      <c r="C498" t="s">
        <v>5700</v>
      </c>
      <c r="D498">
        <v>5</v>
      </c>
      <c r="E498">
        <v>0.56899999999999995</v>
      </c>
    </row>
    <row r="499" spans="1:5" x14ac:dyDescent="0.4">
      <c r="A499" t="s">
        <v>1938</v>
      </c>
      <c r="B499">
        <v>95</v>
      </c>
      <c r="C499" t="s">
        <v>5699</v>
      </c>
      <c r="D499">
        <v>5</v>
      </c>
      <c r="E499">
        <v>0.45400000000000001</v>
      </c>
    </row>
    <row r="500" spans="1:5" x14ac:dyDescent="0.4">
      <c r="A500" t="s">
        <v>1932</v>
      </c>
      <c r="B500">
        <v>98.2</v>
      </c>
      <c r="C500" t="s">
        <v>2487</v>
      </c>
      <c r="D500">
        <v>5</v>
      </c>
      <c r="E500">
        <v>0.60199999999999998</v>
      </c>
    </row>
    <row r="501" spans="1:5" x14ac:dyDescent="0.4">
      <c r="A501" t="s">
        <v>3144</v>
      </c>
      <c r="B501">
        <v>85.1</v>
      </c>
      <c r="C501" t="s">
        <v>5709</v>
      </c>
      <c r="D501">
        <v>5</v>
      </c>
      <c r="E501">
        <v>-5.0000000000000001E-3</v>
      </c>
    </row>
    <row r="502" spans="1:5" x14ac:dyDescent="0.4">
      <c r="A502" t="s">
        <v>3164</v>
      </c>
      <c r="B502">
        <v>96.8</v>
      </c>
      <c r="C502" t="s">
        <v>5736</v>
      </c>
      <c r="D502">
        <v>5</v>
      </c>
      <c r="E502">
        <v>0.53700000000000003</v>
      </c>
    </row>
    <row r="503" spans="1:5" x14ac:dyDescent="0.4">
      <c r="A503" t="s">
        <v>3168</v>
      </c>
      <c r="B503">
        <v>44.4</v>
      </c>
      <c r="C503" t="s">
        <v>6033</v>
      </c>
      <c r="D503">
        <v>3</v>
      </c>
      <c r="E503">
        <v>-1.8879999999999999</v>
      </c>
    </row>
    <row r="504" spans="1:5" x14ac:dyDescent="0.4">
      <c r="A504" t="s">
        <v>3166</v>
      </c>
      <c r="B504">
        <v>46.3</v>
      </c>
      <c r="C504" t="s">
        <v>6855</v>
      </c>
      <c r="D504">
        <v>3</v>
      </c>
      <c r="E504">
        <v>-1.8</v>
      </c>
    </row>
    <row r="505" spans="1:5" x14ac:dyDescent="0.4">
      <c r="A505" t="s">
        <v>3154</v>
      </c>
      <c r="B505">
        <v>48.8</v>
      </c>
      <c r="C505" t="s">
        <v>5712</v>
      </c>
      <c r="D505">
        <v>3</v>
      </c>
      <c r="E505">
        <v>-1.6850000000000001</v>
      </c>
    </row>
    <row r="506" spans="1:5" x14ac:dyDescent="0.4">
      <c r="A506" t="s">
        <v>3143</v>
      </c>
      <c r="B506">
        <v>97.1</v>
      </c>
      <c r="C506" t="s">
        <v>5693</v>
      </c>
      <c r="D506">
        <v>5</v>
      </c>
      <c r="E506">
        <v>0.55100000000000005</v>
      </c>
    </row>
    <row r="507" spans="1:5" x14ac:dyDescent="0.4">
      <c r="A507" t="s">
        <v>3157</v>
      </c>
      <c r="B507">
        <v>98.2</v>
      </c>
      <c r="C507" t="s">
        <v>2487</v>
      </c>
      <c r="D507">
        <v>5</v>
      </c>
      <c r="E507">
        <v>0.60199999999999998</v>
      </c>
    </row>
    <row r="508" spans="1:5" x14ac:dyDescent="0.4">
      <c r="A508" t="s">
        <v>3158</v>
      </c>
      <c r="B508">
        <v>93.5</v>
      </c>
      <c r="C508" t="s">
        <v>5694</v>
      </c>
      <c r="D508">
        <v>5</v>
      </c>
      <c r="E508">
        <v>0.38400000000000001</v>
      </c>
    </row>
    <row r="509" spans="1:5" x14ac:dyDescent="0.4">
      <c r="A509" t="s">
        <v>3176</v>
      </c>
      <c r="B509">
        <v>48.9</v>
      </c>
      <c r="C509" t="s">
        <v>5713</v>
      </c>
      <c r="D509">
        <v>3</v>
      </c>
      <c r="E509">
        <v>-1.68</v>
      </c>
    </row>
    <row r="510" spans="1:5" x14ac:dyDescent="0.4">
      <c r="A510" t="s">
        <v>1933</v>
      </c>
      <c r="B510">
        <v>98.2</v>
      </c>
      <c r="C510" t="s">
        <v>2487</v>
      </c>
      <c r="D510">
        <v>5</v>
      </c>
      <c r="E510">
        <v>0.60199999999999998</v>
      </c>
    </row>
    <row r="511" spans="1:5" x14ac:dyDescent="0.4">
      <c r="A511" t="s">
        <v>1937</v>
      </c>
      <c r="B511">
        <v>98.3</v>
      </c>
      <c r="C511" t="s">
        <v>2485</v>
      </c>
      <c r="D511">
        <v>5</v>
      </c>
      <c r="E511">
        <v>0.60599999999999998</v>
      </c>
    </row>
    <row r="512" spans="1:5" x14ac:dyDescent="0.4">
      <c r="A512" t="s">
        <v>3159</v>
      </c>
      <c r="B512">
        <v>97.6</v>
      </c>
      <c r="C512" t="s">
        <v>6617</v>
      </c>
      <c r="D512">
        <v>5</v>
      </c>
      <c r="E512">
        <v>0.57399999999999995</v>
      </c>
    </row>
    <row r="513" spans="1:5" x14ac:dyDescent="0.4">
      <c r="A513" t="s">
        <v>3165</v>
      </c>
      <c r="B513">
        <v>46.3</v>
      </c>
      <c r="C513" t="s">
        <v>6855</v>
      </c>
      <c r="D513">
        <v>3</v>
      </c>
      <c r="E513">
        <v>-1.8</v>
      </c>
    </row>
    <row r="514" spans="1:5" x14ac:dyDescent="0.4">
      <c r="A514" t="s">
        <v>3146</v>
      </c>
      <c r="B514">
        <v>47.3</v>
      </c>
      <c r="C514" t="s">
        <v>5728</v>
      </c>
      <c r="D514">
        <v>3</v>
      </c>
      <c r="E514">
        <v>-1.754</v>
      </c>
    </row>
    <row r="515" spans="1:5" x14ac:dyDescent="0.4">
      <c r="A515" t="s">
        <v>5776</v>
      </c>
      <c r="B515">
        <v>98.2</v>
      </c>
      <c r="C515" t="s">
        <v>2487</v>
      </c>
      <c r="D515">
        <v>5</v>
      </c>
      <c r="E515">
        <v>0.60199999999999998</v>
      </c>
    </row>
    <row r="516" spans="1:5" x14ac:dyDescent="0.4">
      <c r="A516" t="s">
        <v>3169</v>
      </c>
      <c r="B516">
        <v>98.7</v>
      </c>
      <c r="C516" t="s">
        <v>6591</v>
      </c>
      <c r="D516">
        <v>5</v>
      </c>
      <c r="E516">
        <v>0.625</v>
      </c>
    </row>
    <row r="517" spans="1:5" x14ac:dyDescent="0.4">
      <c r="A517" t="s">
        <v>5777</v>
      </c>
      <c r="B517">
        <v>96.3</v>
      </c>
      <c r="C517" t="s">
        <v>5727</v>
      </c>
      <c r="D517">
        <v>5</v>
      </c>
      <c r="E517">
        <v>0.51400000000000001</v>
      </c>
    </row>
    <row r="518" spans="1:5" x14ac:dyDescent="0.4">
      <c r="A518" t="s">
        <v>3177</v>
      </c>
      <c r="B518">
        <v>99.8</v>
      </c>
      <c r="C518" t="s">
        <v>2479</v>
      </c>
      <c r="D518">
        <v>5</v>
      </c>
      <c r="E518">
        <v>0.67600000000000005</v>
      </c>
    </row>
    <row r="519" spans="1:5" x14ac:dyDescent="0.4">
      <c r="A519" t="s">
        <v>3152</v>
      </c>
      <c r="B519">
        <v>97.2</v>
      </c>
      <c r="C519" t="s">
        <v>5706</v>
      </c>
      <c r="D519">
        <v>5</v>
      </c>
      <c r="E519">
        <v>0.55500000000000005</v>
      </c>
    </row>
    <row r="520" spans="1:5" x14ac:dyDescent="0.4">
      <c r="A520" t="s">
        <v>3156</v>
      </c>
      <c r="B520">
        <v>96</v>
      </c>
      <c r="C520" t="s">
        <v>5733</v>
      </c>
      <c r="D520">
        <v>5</v>
      </c>
      <c r="E520">
        <v>0.5</v>
      </c>
    </row>
    <row r="521" spans="1:5" x14ac:dyDescent="0.4">
      <c r="A521" t="s">
        <v>3150</v>
      </c>
      <c r="B521">
        <v>98.2</v>
      </c>
      <c r="C521" t="s">
        <v>2487</v>
      </c>
      <c r="D521">
        <v>5</v>
      </c>
      <c r="E521">
        <v>0.60199999999999998</v>
      </c>
    </row>
    <row r="522" spans="1:5" x14ac:dyDescent="0.4">
      <c r="A522" t="s">
        <v>5778</v>
      </c>
      <c r="B522">
        <v>95.3</v>
      </c>
      <c r="C522" t="s">
        <v>5734</v>
      </c>
      <c r="D522">
        <v>5</v>
      </c>
      <c r="E522">
        <v>0.46700000000000003</v>
      </c>
    </row>
    <row r="523" spans="1:5" x14ac:dyDescent="0.4">
      <c r="A523" t="s">
        <v>3170</v>
      </c>
      <c r="B523">
        <v>98.6</v>
      </c>
      <c r="C523" t="s">
        <v>6583</v>
      </c>
      <c r="D523">
        <v>5</v>
      </c>
      <c r="E523">
        <v>0.62</v>
      </c>
    </row>
    <row r="524" spans="1:5" x14ac:dyDescent="0.4">
      <c r="A524" t="s">
        <v>1934</v>
      </c>
      <c r="B524">
        <v>97.6</v>
      </c>
      <c r="C524" t="s">
        <v>6617</v>
      </c>
      <c r="D524">
        <v>5</v>
      </c>
      <c r="E524">
        <v>0.57399999999999995</v>
      </c>
    </row>
    <row r="525" spans="1:5" x14ac:dyDescent="0.4">
      <c r="A525" t="s">
        <v>1935</v>
      </c>
      <c r="B525">
        <v>98.6</v>
      </c>
      <c r="C525" t="s">
        <v>6583</v>
      </c>
      <c r="D525">
        <v>5</v>
      </c>
      <c r="E525">
        <v>0.62</v>
      </c>
    </row>
    <row r="526" spans="1:5" x14ac:dyDescent="0.4">
      <c r="A526" t="s">
        <v>3173</v>
      </c>
      <c r="B526">
        <v>98.2</v>
      </c>
      <c r="C526" t="s">
        <v>2487</v>
      </c>
      <c r="D526">
        <v>5</v>
      </c>
      <c r="E526">
        <v>0.60199999999999998</v>
      </c>
    </row>
    <row r="527" spans="1:5" x14ac:dyDescent="0.4">
      <c r="A527" t="s">
        <v>1936</v>
      </c>
      <c r="B527">
        <v>98.7</v>
      </c>
      <c r="C527" t="s">
        <v>6591</v>
      </c>
      <c r="D527">
        <v>5</v>
      </c>
      <c r="E527">
        <v>0.625</v>
      </c>
    </row>
    <row r="528" spans="1:5" x14ac:dyDescent="0.4">
      <c r="A528" t="s">
        <v>3148</v>
      </c>
      <c r="B528">
        <v>97.4</v>
      </c>
      <c r="C528" t="s">
        <v>5703</v>
      </c>
      <c r="D528">
        <v>5</v>
      </c>
      <c r="E528">
        <v>0.56499999999999995</v>
      </c>
    </row>
    <row r="529" spans="1:12" x14ac:dyDescent="0.4">
      <c r="A529" t="s">
        <v>3162</v>
      </c>
      <c r="B529">
        <v>97.6</v>
      </c>
      <c r="C529" t="s">
        <v>6617</v>
      </c>
      <c r="D529">
        <v>5</v>
      </c>
      <c r="E529">
        <v>0.57399999999999995</v>
      </c>
    </row>
    <row r="530" spans="1:12" x14ac:dyDescent="0.4">
      <c r="A530" t="s">
        <v>3172</v>
      </c>
      <c r="B530">
        <v>97.6</v>
      </c>
      <c r="C530" t="s">
        <v>6617</v>
      </c>
      <c r="D530">
        <v>5</v>
      </c>
      <c r="E530">
        <v>0.57399999999999995</v>
      </c>
    </row>
    <row r="531" spans="1:12" x14ac:dyDescent="0.4">
      <c r="A531" t="s">
        <v>3163</v>
      </c>
      <c r="B531">
        <v>49.3</v>
      </c>
      <c r="C531" t="s">
        <v>5708</v>
      </c>
      <c r="D531">
        <v>3</v>
      </c>
      <c r="E531">
        <v>-1.661</v>
      </c>
    </row>
    <row r="532" spans="1:12" x14ac:dyDescent="0.4">
      <c r="A532" t="s">
        <v>1432</v>
      </c>
      <c r="B532">
        <v>85.2</v>
      </c>
      <c r="C532" t="s">
        <v>197</v>
      </c>
      <c r="D532">
        <v>5</v>
      </c>
    </row>
    <row r="533" spans="1:12" x14ac:dyDescent="0.4">
      <c r="A533" t="s">
        <v>1433</v>
      </c>
      <c r="B533">
        <v>84.3</v>
      </c>
      <c r="C533" t="s">
        <v>197</v>
      </c>
      <c r="D533">
        <v>5</v>
      </c>
    </row>
    <row r="534" spans="1:12" x14ac:dyDescent="0.4">
      <c r="A534" t="s">
        <v>1582</v>
      </c>
      <c r="B534">
        <v>97.2</v>
      </c>
      <c r="C534" t="s">
        <v>197</v>
      </c>
      <c r="D534">
        <v>5</v>
      </c>
    </row>
    <row r="535" spans="1:12" x14ac:dyDescent="0.4">
      <c r="A535" t="s">
        <v>1675</v>
      </c>
      <c r="B535">
        <v>72.8</v>
      </c>
      <c r="C535" t="s">
        <v>197</v>
      </c>
      <c r="D535">
        <v>4</v>
      </c>
    </row>
    <row r="536" spans="1:12" x14ac:dyDescent="0.4">
      <c r="A536" t="s">
        <v>1676</v>
      </c>
      <c r="B536">
        <v>96.8</v>
      </c>
      <c r="C536" t="s">
        <v>197</v>
      </c>
      <c r="D536">
        <v>5</v>
      </c>
    </row>
    <row r="537" spans="1:12" x14ac:dyDescent="0.4">
      <c r="A537" t="s">
        <v>2548</v>
      </c>
      <c r="B537">
        <v>57.2</v>
      </c>
      <c r="C537" t="s">
        <v>197</v>
      </c>
      <c r="D537">
        <v>3</v>
      </c>
    </row>
    <row r="538" spans="1:12" x14ac:dyDescent="0.4">
      <c r="A538" t="s">
        <v>2549</v>
      </c>
      <c r="B538">
        <v>94.8</v>
      </c>
      <c r="C538" t="s">
        <v>197</v>
      </c>
      <c r="D538">
        <v>5</v>
      </c>
    </row>
    <row r="539" spans="1:12" x14ac:dyDescent="0.4">
      <c r="A539" t="s">
        <v>7279</v>
      </c>
      <c r="B539">
        <v>65.900000000000006</v>
      </c>
      <c r="C539" t="s">
        <v>197</v>
      </c>
      <c r="D539">
        <v>4</v>
      </c>
    </row>
    <row r="540" spans="1:12" x14ac:dyDescent="0.4">
      <c r="A540" t="s">
        <v>7280</v>
      </c>
      <c r="B540">
        <v>91.5</v>
      </c>
      <c r="C540" t="s">
        <v>197</v>
      </c>
      <c r="D540">
        <v>5</v>
      </c>
    </row>
    <row r="541" spans="1:12" x14ac:dyDescent="0.4">
      <c r="A541" t="s">
        <v>7281</v>
      </c>
      <c r="B541">
        <v>95.6</v>
      </c>
      <c r="C541" t="s">
        <v>197</v>
      </c>
      <c r="D541">
        <v>5</v>
      </c>
    </row>
    <row r="542" spans="1:12" x14ac:dyDescent="0.4">
      <c r="A542" t="s">
        <v>3112</v>
      </c>
      <c r="B542">
        <v>96</v>
      </c>
      <c r="C542" t="s">
        <v>5731</v>
      </c>
      <c r="D542">
        <v>5</v>
      </c>
      <c r="E542">
        <v>0.35599999999999998</v>
      </c>
      <c r="F542">
        <v>4.0199999999999996</v>
      </c>
      <c r="G542">
        <v>2022</v>
      </c>
      <c r="H542" t="s">
        <v>928</v>
      </c>
      <c r="I542" t="s">
        <v>6595</v>
      </c>
      <c r="L542" t="s">
        <v>197</v>
      </c>
    </row>
    <row r="543" spans="1:12" x14ac:dyDescent="0.4">
      <c r="A543" t="s">
        <v>3110</v>
      </c>
      <c r="B543">
        <v>88.5</v>
      </c>
      <c r="C543" t="s">
        <v>6036</v>
      </c>
      <c r="D543">
        <v>5</v>
      </c>
      <c r="E543">
        <v>-1.3129999999999999</v>
      </c>
      <c r="F543">
        <v>11.55</v>
      </c>
      <c r="G543">
        <v>2022</v>
      </c>
      <c r="H543" t="s">
        <v>928</v>
      </c>
      <c r="I543" t="s">
        <v>6595</v>
      </c>
      <c r="L543" t="s">
        <v>197</v>
      </c>
    </row>
    <row r="544" spans="1:12" x14ac:dyDescent="0.4">
      <c r="A544" t="s">
        <v>3116</v>
      </c>
      <c r="B544">
        <v>96.4</v>
      </c>
      <c r="C544" t="s">
        <v>6584</v>
      </c>
      <c r="D544">
        <v>5</v>
      </c>
      <c r="E544">
        <v>0.44500000000000001</v>
      </c>
      <c r="F544">
        <v>3.61</v>
      </c>
      <c r="G544">
        <v>2022</v>
      </c>
      <c r="H544" t="s">
        <v>928</v>
      </c>
      <c r="I544" t="s">
        <v>6595</v>
      </c>
      <c r="L544" t="s">
        <v>197</v>
      </c>
    </row>
    <row r="545" spans="1:12" x14ac:dyDescent="0.4">
      <c r="A545" t="s">
        <v>3140</v>
      </c>
      <c r="B545">
        <v>96.8</v>
      </c>
      <c r="C545" t="s">
        <v>5696</v>
      </c>
      <c r="D545">
        <v>5</v>
      </c>
      <c r="E545">
        <v>0.53400000000000003</v>
      </c>
      <c r="F545">
        <v>3.25</v>
      </c>
      <c r="G545">
        <v>2022</v>
      </c>
      <c r="H545" t="s">
        <v>928</v>
      </c>
      <c r="I545" t="s">
        <v>6595</v>
      </c>
      <c r="L545" t="s">
        <v>197</v>
      </c>
    </row>
    <row r="546" spans="1:12" x14ac:dyDescent="0.4">
      <c r="A546" t="s">
        <v>1913</v>
      </c>
      <c r="B546">
        <v>99.1</v>
      </c>
      <c r="C546" t="s">
        <v>2478</v>
      </c>
      <c r="D546">
        <v>5</v>
      </c>
      <c r="E546">
        <v>1.046</v>
      </c>
      <c r="F546">
        <v>0.86</v>
      </c>
      <c r="G546">
        <v>2022</v>
      </c>
      <c r="H546" t="s">
        <v>928</v>
      </c>
      <c r="I546" t="s">
        <v>6595</v>
      </c>
      <c r="L546" t="s">
        <v>197</v>
      </c>
    </row>
    <row r="547" spans="1:12" x14ac:dyDescent="0.4">
      <c r="A547" t="s">
        <v>3136</v>
      </c>
      <c r="B547">
        <v>95.1</v>
      </c>
      <c r="C547" t="s">
        <v>5719</v>
      </c>
      <c r="D547">
        <v>5</v>
      </c>
      <c r="E547">
        <v>0.156</v>
      </c>
      <c r="F547">
        <v>4.8899999999999997</v>
      </c>
      <c r="G547">
        <v>2022</v>
      </c>
      <c r="H547" t="s">
        <v>928</v>
      </c>
      <c r="I547" t="s">
        <v>6595</v>
      </c>
      <c r="L547" t="s">
        <v>197</v>
      </c>
    </row>
    <row r="548" spans="1:12" x14ac:dyDescent="0.4">
      <c r="A548" t="s">
        <v>3120</v>
      </c>
      <c r="B548">
        <v>97</v>
      </c>
      <c r="C548" t="s">
        <v>5730</v>
      </c>
      <c r="D548">
        <v>5</v>
      </c>
      <c r="E548">
        <v>0.57899999999999996</v>
      </c>
      <c r="F548">
        <v>2.99</v>
      </c>
      <c r="G548">
        <v>2022</v>
      </c>
      <c r="H548" t="s">
        <v>928</v>
      </c>
      <c r="I548" t="s">
        <v>6595</v>
      </c>
      <c r="L548" t="s">
        <v>197</v>
      </c>
    </row>
    <row r="549" spans="1:12" x14ac:dyDescent="0.4">
      <c r="A549" t="s">
        <v>3114</v>
      </c>
      <c r="B549">
        <v>89.3</v>
      </c>
      <c r="C549" t="s">
        <v>5710</v>
      </c>
      <c r="D549">
        <v>5</v>
      </c>
      <c r="E549">
        <v>-1.135</v>
      </c>
      <c r="F549">
        <v>10.73</v>
      </c>
      <c r="G549">
        <v>2022</v>
      </c>
      <c r="H549" t="s">
        <v>928</v>
      </c>
      <c r="I549" t="s">
        <v>6595</v>
      </c>
      <c r="L549" t="s">
        <v>197</v>
      </c>
    </row>
    <row r="550" spans="1:12" x14ac:dyDescent="0.4">
      <c r="A550" t="s">
        <v>3126</v>
      </c>
      <c r="B550">
        <v>96.6</v>
      </c>
      <c r="C550" t="s">
        <v>5707</v>
      </c>
      <c r="D550">
        <v>5</v>
      </c>
      <c r="E550">
        <v>0.49</v>
      </c>
      <c r="F550">
        <v>3.42</v>
      </c>
      <c r="G550">
        <v>2022</v>
      </c>
      <c r="H550" t="s">
        <v>928</v>
      </c>
      <c r="I550" t="s">
        <v>6595</v>
      </c>
      <c r="L550" t="s">
        <v>197</v>
      </c>
    </row>
    <row r="551" spans="1:12" x14ac:dyDescent="0.4">
      <c r="A551" t="s">
        <v>3118</v>
      </c>
      <c r="B551">
        <v>93</v>
      </c>
      <c r="C551" t="s">
        <v>5709</v>
      </c>
      <c r="D551">
        <v>5</v>
      </c>
      <c r="E551">
        <v>-0.312</v>
      </c>
      <c r="F551">
        <v>6.96</v>
      </c>
      <c r="G551">
        <v>2022</v>
      </c>
      <c r="H551" t="s">
        <v>928</v>
      </c>
      <c r="I551" t="s">
        <v>6595</v>
      </c>
      <c r="L551" t="s">
        <v>197</v>
      </c>
    </row>
    <row r="552" spans="1:12" x14ac:dyDescent="0.4">
      <c r="A552" t="s">
        <v>5957</v>
      </c>
      <c r="B552">
        <v>93.3</v>
      </c>
      <c r="C552" t="s">
        <v>5702</v>
      </c>
      <c r="D552">
        <v>5</v>
      </c>
      <c r="E552">
        <v>-0.245</v>
      </c>
      <c r="F552">
        <v>6.71</v>
      </c>
      <c r="G552">
        <v>2022</v>
      </c>
      <c r="H552" t="s">
        <v>928</v>
      </c>
      <c r="I552" t="s">
        <v>6595</v>
      </c>
      <c r="L552" t="s">
        <v>197</v>
      </c>
    </row>
    <row r="553" spans="1:12" x14ac:dyDescent="0.4">
      <c r="A553" t="s">
        <v>3132</v>
      </c>
      <c r="B553">
        <v>92.7</v>
      </c>
      <c r="C553" t="s">
        <v>5741</v>
      </c>
      <c r="D553">
        <v>5</v>
      </c>
      <c r="E553">
        <v>-0.378</v>
      </c>
      <c r="F553">
        <v>7.33</v>
      </c>
      <c r="G553">
        <v>2022</v>
      </c>
      <c r="H553" t="s">
        <v>928</v>
      </c>
      <c r="I553" t="s">
        <v>6595</v>
      </c>
      <c r="L553" t="s">
        <v>197</v>
      </c>
    </row>
    <row r="554" spans="1:12" x14ac:dyDescent="0.4">
      <c r="A554" t="s">
        <v>1914</v>
      </c>
      <c r="B554">
        <v>95.3</v>
      </c>
      <c r="C554" t="s">
        <v>5723</v>
      </c>
      <c r="D554">
        <v>5</v>
      </c>
      <c r="E554">
        <v>0.2</v>
      </c>
      <c r="F554">
        <v>4.7</v>
      </c>
      <c r="G554">
        <v>2022</v>
      </c>
      <c r="H554" t="s">
        <v>928</v>
      </c>
      <c r="I554" t="s">
        <v>6595</v>
      </c>
      <c r="L554" t="s">
        <v>197</v>
      </c>
    </row>
    <row r="555" spans="1:12" x14ac:dyDescent="0.4">
      <c r="A555" t="s">
        <v>1923</v>
      </c>
      <c r="B555">
        <v>97.3</v>
      </c>
      <c r="C555" t="s">
        <v>2484</v>
      </c>
      <c r="D555">
        <v>5</v>
      </c>
      <c r="E555">
        <v>0.64500000000000002</v>
      </c>
      <c r="F555">
        <v>2.75</v>
      </c>
      <c r="G555">
        <v>2022</v>
      </c>
      <c r="H555" t="s">
        <v>928</v>
      </c>
      <c r="I555" t="s">
        <v>6595</v>
      </c>
      <c r="L555" t="s">
        <v>197</v>
      </c>
    </row>
    <row r="556" spans="1:12" x14ac:dyDescent="0.4">
      <c r="A556" t="s">
        <v>3125</v>
      </c>
      <c r="B556">
        <v>93.2</v>
      </c>
      <c r="C556" t="s">
        <v>5694</v>
      </c>
      <c r="D556">
        <v>5</v>
      </c>
      <c r="E556">
        <v>-0.26700000000000002</v>
      </c>
      <c r="F556">
        <v>6.8</v>
      </c>
      <c r="G556">
        <v>2022</v>
      </c>
      <c r="H556" t="s">
        <v>928</v>
      </c>
      <c r="I556" t="s">
        <v>6595</v>
      </c>
      <c r="L556" t="s">
        <v>197</v>
      </c>
    </row>
    <row r="557" spans="1:12" x14ac:dyDescent="0.4">
      <c r="A557" t="s">
        <v>3139</v>
      </c>
      <c r="B557">
        <v>98.1</v>
      </c>
      <c r="C557" t="s">
        <v>2475</v>
      </c>
      <c r="D557">
        <v>5</v>
      </c>
      <c r="E557">
        <v>0.82299999999999995</v>
      </c>
      <c r="F557">
        <v>1.92</v>
      </c>
      <c r="G557">
        <v>2022</v>
      </c>
      <c r="H557" t="s">
        <v>928</v>
      </c>
      <c r="I557" t="s">
        <v>6595</v>
      </c>
      <c r="L557" t="s">
        <v>197</v>
      </c>
    </row>
    <row r="558" spans="1:12" x14ac:dyDescent="0.4">
      <c r="A558" t="s">
        <v>1915</v>
      </c>
      <c r="B558">
        <v>94.9</v>
      </c>
      <c r="C558" t="s">
        <v>5735</v>
      </c>
      <c r="D558">
        <v>5</v>
      </c>
      <c r="E558">
        <v>0.111</v>
      </c>
      <c r="F558">
        <v>5.0599999999999996</v>
      </c>
      <c r="G558">
        <v>2022</v>
      </c>
      <c r="H558" t="s">
        <v>928</v>
      </c>
      <c r="I558" t="s">
        <v>6595</v>
      </c>
      <c r="L558" t="s">
        <v>197</v>
      </c>
    </row>
    <row r="559" spans="1:12" x14ac:dyDescent="0.4">
      <c r="A559" t="s">
        <v>1922</v>
      </c>
      <c r="B559">
        <v>90</v>
      </c>
      <c r="C559" t="s">
        <v>5697</v>
      </c>
      <c r="D559">
        <v>5</v>
      </c>
      <c r="E559">
        <v>-0.97899999999999998</v>
      </c>
      <c r="F559">
        <v>10.029999999999999</v>
      </c>
      <c r="G559">
        <v>2022</v>
      </c>
      <c r="H559" t="s">
        <v>928</v>
      </c>
      <c r="I559" t="s">
        <v>6595</v>
      </c>
      <c r="L559" t="s">
        <v>197</v>
      </c>
    </row>
    <row r="560" spans="1:12" x14ac:dyDescent="0.4">
      <c r="A560" t="s">
        <v>1916</v>
      </c>
      <c r="B560">
        <v>96.5</v>
      </c>
      <c r="C560" t="s">
        <v>5705</v>
      </c>
      <c r="D560">
        <v>5</v>
      </c>
      <c r="E560">
        <v>0.46700000000000003</v>
      </c>
      <c r="F560">
        <v>3.55</v>
      </c>
      <c r="G560">
        <v>2022</v>
      </c>
      <c r="H560" t="s">
        <v>928</v>
      </c>
      <c r="I560" t="s">
        <v>6595</v>
      </c>
      <c r="L560" t="s">
        <v>197</v>
      </c>
    </row>
    <row r="561" spans="1:12" x14ac:dyDescent="0.4">
      <c r="A561" t="s">
        <v>3109</v>
      </c>
      <c r="B561">
        <v>70.2</v>
      </c>
      <c r="C561" t="s">
        <v>6033</v>
      </c>
      <c r="D561">
        <v>4</v>
      </c>
      <c r="E561">
        <v>-5.3849999999999998</v>
      </c>
      <c r="F561">
        <v>29.81</v>
      </c>
      <c r="G561">
        <v>2022</v>
      </c>
      <c r="H561" t="s">
        <v>928</v>
      </c>
      <c r="I561" t="s">
        <v>6595</v>
      </c>
      <c r="L561" t="s">
        <v>197</v>
      </c>
    </row>
    <row r="562" spans="1:12" x14ac:dyDescent="0.4">
      <c r="A562" t="s">
        <v>3129</v>
      </c>
      <c r="B562">
        <v>93.6</v>
      </c>
      <c r="C562" t="s">
        <v>5704</v>
      </c>
      <c r="D562">
        <v>5</v>
      </c>
      <c r="E562">
        <v>-0.17799999999999999</v>
      </c>
      <c r="F562">
        <v>6.42</v>
      </c>
      <c r="G562">
        <v>2022</v>
      </c>
      <c r="H562" t="s">
        <v>928</v>
      </c>
      <c r="I562" t="s">
        <v>6595</v>
      </c>
      <c r="L562" t="s">
        <v>197</v>
      </c>
    </row>
    <row r="563" spans="1:12" x14ac:dyDescent="0.4">
      <c r="A563" t="s">
        <v>3133</v>
      </c>
      <c r="B563">
        <v>88.9</v>
      </c>
      <c r="C563" t="s">
        <v>6037</v>
      </c>
      <c r="D563">
        <v>5</v>
      </c>
      <c r="E563">
        <v>-1.224</v>
      </c>
      <c r="F563">
        <v>11.12</v>
      </c>
      <c r="G563">
        <v>2022</v>
      </c>
      <c r="H563" t="s">
        <v>928</v>
      </c>
      <c r="I563" t="s">
        <v>6595</v>
      </c>
      <c r="L563" t="s">
        <v>197</v>
      </c>
    </row>
    <row r="564" spans="1:12" x14ac:dyDescent="0.4">
      <c r="A564" t="s">
        <v>3131</v>
      </c>
      <c r="B564">
        <v>92.7</v>
      </c>
      <c r="C564" t="s">
        <v>5741</v>
      </c>
      <c r="D564">
        <v>5</v>
      </c>
      <c r="E564">
        <v>-0.378</v>
      </c>
      <c r="F564">
        <v>7.33</v>
      </c>
      <c r="G564">
        <v>2022</v>
      </c>
      <c r="H564" t="s">
        <v>928</v>
      </c>
      <c r="I564" t="s">
        <v>6595</v>
      </c>
      <c r="L564" t="s">
        <v>197</v>
      </c>
    </row>
    <row r="565" spans="1:12" x14ac:dyDescent="0.4">
      <c r="A565" t="s">
        <v>3119</v>
      </c>
      <c r="B565">
        <v>97.5</v>
      </c>
      <c r="C565" t="s">
        <v>2480</v>
      </c>
      <c r="D565">
        <v>5</v>
      </c>
      <c r="E565">
        <v>0.69</v>
      </c>
      <c r="F565">
        <v>2.48</v>
      </c>
      <c r="G565">
        <v>2022</v>
      </c>
      <c r="H565" t="s">
        <v>928</v>
      </c>
      <c r="I565" t="s">
        <v>6595</v>
      </c>
      <c r="L565" t="s">
        <v>197</v>
      </c>
    </row>
    <row r="566" spans="1:12" x14ac:dyDescent="0.4">
      <c r="A566" t="s">
        <v>3108</v>
      </c>
      <c r="B566">
        <v>94.2</v>
      </c>
      <c r="C566" t="s">
        <v>5699</v>
      </c>
      <c r="D566">
        <v>5</v>
      </c>
      <c r="E566">
        <v>-4.4999999999999998E-2</v>
      </c>
      <c r="F566">
        <v>5.76</v>
      </c>
      <c r="G566">
        <v>2022</v>
      </c>
      <c r="H566" t="s">
        <v>928</v>
      </c>
      <c r="I566" t="s">
        <v>6595</v>
      </c>
      <c r="L566" t="s">
        <v>197</v>
      </c>
    </row>
    <row r="567" spans="1:12" x14ac:dyDescent="0.4">
      <c r="A567" t="s">
        <v>3122</v>
      </c>
      <c r="B567">
        <v>96.4</v>
      </c>
      <c r="C567" t="s">
        <v>6584</v>
      </c>
      <c r="D567">
        <v>5</v>
      </c>
      <c r="E567">
        <v>0.44500000000000001</v>
      </c>
      <c r="F567">
        <v>3.57</v>
      </c>
      <c r="G567">
        <v>2022</v>
      </c>
      <c r="H567" t="s">
        <v>928</v>
      </c>
      <c r="I567" t="s">
        <v>6595</v>
      </c>
      <c r="L567" t="s">
        <v>197</v>
      </c>
    </row>
    <row r="568" spans="1:12" x14ac:dyDescent="0.4">
      <c r="A568" t="s">
        <v>3123</v>
      </c>
      <c r="B568">
        <v>87</v>
      </c>
      <c r="C568" t="s">
        <v>6035</v>
      </c>
      <c r="D568">
        <v>5</v>
      </c>
      <c r="E568">
        <v>-1.647</v>
      </c>
      <c r="F568">
        <v>13.01</v>
      </c>
      <c r="G568">
        <v>2022</v>
      </c>
      <c r="H568" t="s">
        <v>928</v>
      </c>
      <c r="I568" t="s">
        <v>6595</v>
      </c>
      <c r="L568" t="s">
        <v>197</v>
      </c>
    </row>
    <row r="569" spans="1:12" x14ac:dyDescent="0.4">
      <c r="A569" t="s">
        <v>3141</v>
      </c>
      <c r="B569">
        <v>97.8</v>
      </c>
      <c r="C569" t="s">
        <v>2476</v>
      </c>
      <c r="D569">
        <v>5</v>
      </c>
      <c r="E569">
        <v>0.75700000000000001</v>
      </c>
      <c r="F569">
        <v>2.2400000000000002</v>
      </c>
      <c r="G569">
        <v>2022</v>
      </c>
      <c r="H569" t="s">
        <v>928</v>
      </c>
      <c r="I569" t="s">
        <v>6595</v>
      </c>
      <c r="L569" t="s">
        <v>197</v>
      </c>
    </row>
    <row r="570" spans="1:12" x14ac:dyDescent="0.4">
      <c r="A570" t="s">
        <v>1917</v>
      </c>
      <c r="B570">
        <v>96.3</v>
      </c>
      <c r="C570" t="s">
        <v>5739</v>
      </c>
      <c r="D570">
        <v>5</v>
      </c>
      <c r="E570">
        <v>0.42299999999999999</v>
      </c>
      <c r="F570">
        <v>3.66</v>
      </c>
      <c r="G570">
        <v>2022</v>
      </c>
      <c r="H570" t="s">
        <v>928</v>
      </c>
      <c r="I570" t="s">
        <v>6595</v>
      </c>
      <c r="L570" t="s">
        <v>197</v>
      </c>
    </row>
    <row r="571" spans="1:12" x14ac:dyDescent="0.4">
      <c r="A571" t="s">
        <v>1921</v>
      </c>
      <c r="B571">
        <v>96.7</v>
      </c>
      <c r="C571" t="s">
        <v>5701</v>
      </c>
      <c r="D571">
        <v>5</v>
      </c>
      <c r="E571">
        <v>0.51200000000000001</v>
      </c>
      <c r="F571">
        <v>3.31</v>
      </c>
      <c r="G571">
        <v>2022</v>
      </c>
      <c r="H571" t="s">
        <v>928</v>
      </c>
      <c r="I571" t="s">
        <v>6595</v>
      </c>
      <c r="L571" t="s">
        <v>197</v>
      </c>
    </row>
    <row r="572" spans="1:12" x14ac:dyDescent="0.4">
      <c r="A572" t="s">
        <v>3124</v>
      </c>
      <c r="B572">
        <v>95.3</v>
      </c>
      <c r="C572" t="s">
        <v>5723</v>
      </c>
      <c r="D572">
        <v>5</v>
      </c>
      <c r="E572">
        <v>0.2</v>
      </c>
      <c r="F572">
        <v>4.72</v>
      </c>
      <c r="G572">
        <v>2022</v>
      </c>
      <c r="H572" t="s">
        <v>928</v>
      </c>
      <c r="I572" t="s">
        <v>6595</v>
      </c>
      <c r="L572" t="s">
        <v>197</v>
      </c>
    </row>
    <row r="573" spans="1:12" x14ac:dyDescent="0.4">
      <c r="A573" t="s">
        <v>3130</v>
      </c>
      <c r="B573">
        <v>92.7</v>
      </c>
      <c r="C573" t="s">
        <v>5741</v>
      </c>
      <c r="D573">
        <v>5</v>
      </c>
      <c r="E573">
        <v>-0.378</v>
      </c>
      <c r="F573">
        <v>7.33</v>
      </c>
      <c r="G573">
        <v>2022</v>
      </c>
      <c r="H573" t="s">
        <v>928</v>
      </c>
      <c r="I573" t="s">
        <v>6595</v>
      </c>
      <c r="L573" t="s">
        <v>197</v>
      </c>
    </row>
    <row r="574" spans="1:12" x14ac:dyDescent="0.4">
      <c r="A574" t="s">
        <v>3111</v>
      </c>
      <c r="B574">
        <v>94.5</v>
      </c>
      <c r="C574" t="s">
        <v>5733</v>
      </c>
      <c r="D574">
        <v>5</v>
      </c>
      <c r="E574">
        <v>2.1999999999999999E-2</v>
      </c>
      <c r="F574">
        <v>5.5</v>
      </c>
      <c r="G574">
        <v>2022</v>
      </c>
      <c r="H574" t="s">
        <v>928</v>
      </c>
      <c r="I574" t="s">
        <v>6595</v>
      </c>
      <c r="L574" t="s">
        <v>197</v>
      </c>
    </row>
    <row r="575" spans="1:12" x14ac:dyDescent="0.4">
      <c r="A575" t="s">
        <v>5779</v>
      </c>
      <c r="B575">
        <v>96.4</v>
      </c>
      <c r="C575" t="s">
        <v>6584</v>
      </c>
      <c r="D575">
        <v>5</v>
      </c>
      <c r="E575">
        <v>0.44500000000000001</v>
      </c>
      <c r="F575">
        <v>3.61</v>
      </c>
      <c r="G575">
        <v>2022</v>
      </c>
      <c r="H575" t="s">
        <v>928</v>
      </c>
      <c r="I575" t="s">
        <v>6595</v>
      </c>
      <c r="L575" t="s">
        <v>197</v>
      </c>
    </row>
    <row r="576" spans="1:12" x14ac:dyDescent="0.4">
      <c r="A576" t="s">
        <v>3134</v>
      </c>
      <c r="B576">
        <v>97.4</v>
      </c>
      <c r="C576" t="s">
        <v>5726</v>
      </c>
      <c r="D576">
        <v>5</v>
      </c>
      <c r="E576">
        <v>0.66800000000000004</v>
      </c>
      <c r="F576">
        <v>2.64</v>
      </c>
      <c r="G576">
        <v>2022</v>
      </c>
      <c r="H576" t="s">
        <v>928</v>
      </c>
      <c r="I576" t="s">
        <v>6595</v>
      </c>
      <c r="L576" t="s">
        <v>197</v>
      </c>
    </row>
    <row r="577" spans="1:12" x14ac:dyDescent="0.4">
      <c r="A577" t="s">
        <v>5780</v>
      </c>
      <c r="B577">
        <v>92.6</v>
      </c>
      <c r="C577" t="s">
        <v>5712</v>
      </c>
      <c r="D577">
        <v>5</v>
      </c>
      <c r="E577">
        <v>-0.40100000000000002</v>
      </c>
      <c r="F577">
        <v>7.45</v>
      </c>
      <c r="G577">
        <v>2022</v>
      </c>
      <c r="H577" t="s">
        <v>928</v>
      </c>
      <c r="I577" t="s">
        <v>6595</v>
      </c>
      <c r="L577" t="s">
        <v>197</v>
      </c>
    </row>
    <row r="578" spans="1:12" x14ac:dyDescent="0.4">
      <c r="A578" t="s">
        <v>3142</v>
      </c>
      <c r="B578">
        <v>99.6</v>
      </c>
      <c r="C578" t="s">
        <v>2479</v>
      </c>
      <c r="D578">
        <v>5</v>
      </c>
      <c r="E578">
        <v>1.157</v>
      </c>
      <c r="F578">
        <v>0.36</v>
      </c>
      <c r="G578">
        <v>2022</v>
      </c>
      <c r="H578" t="s">
        <v>928</v>
      </c>
      <c r="I578" t="s">
        <v>6595</v>
      </c>
      <c r="L578" t="s">
        <v>197</v>
      </c>
    </row>
    <row r="579" spans="1:12" x14ac:dyDescent="0.4">
      <c r="A579" t="s">
        <v>3117</v>
      </c>
      <c r="B579">
        <v>94.4</v>
      </c>
      <c r="C579" t="s">
        <v>5734</v>
      </c>
      <c r="D579">
        <v>5</v>
      </c>
      <c r="E579">
        <v>0</v>
      </c>
      <c r="F579">
        <v>5.64</v>
      </c>
      <c r="G579">
        <v>2022</v>
      </c>
      <c r="H579" t="s">
        <v>928</v>
      </c>
      <c r="I579" t="s">
        <v>6595</v>
      </c>
      <c r="L579" t="s">
        <v>197</v>
      </c>
    </row>
    <row r="580" spans="1:12" x14ac:dyDescent="0.4">
      <c r="A580" t="s">
        <v>3121</v>
      </c>
      <c r="B580">
        <v>91.9</v>
      </c>
      <c r="C580" t="s">
        <v>5711</v>
      </c>
      <c r="D580">
        <v>5</v>
      </c>
      <c r="E580">
        <v>-0.55600000000000005</v>
      </c>
      <c r="F580">
        <v>8.09</v>
      </c>
      <c r="G580">
        <v>2022</v>
      </c>
      <c r="H580" t="s">
        <v>928</v>
      </c>
      <c r="I580" t="s">
        <v>6595</v>
      </c>
      <c r="L580" t="s">
        <v>197</v>
      </c>
    </row>
    <row r="581" spans="1:12" x14ac:dyDescent="0.4">
      <c r="A581" t="s">
        <v>3115</v>
      </c>
      <c r="B581">
        <v>96.4</v>
      </c>
      <c r="C581" t="s">
        <v>6584</v>
      </c>
      <c r="D581">
        <v>5</v>
      </c>
      <c r="E581">
        <v>0.44500000000000001</v>
      </c>
      <c r="F581">
        <v>3.61</v>
      </c>
      <c r="G581">
        <v>2022</v>
      </c>
      <c r="H581" t="s">
        <v>928</v>
      </c>
      <c r="I581" t="s">
        <v>6595</v>
      </c>
      <c r="L581" t="s">
        <v>197</v>
      </c>
    </row>
    <row r="582" spans="1:12" x14ac:dyDescent="0.4">
      <c r="A582" t="s">
        <v>5781</v>
      </c>
      <c r="B582">
        <v>90.5</v>
      </c>
      <c r="C582" t="s">
        <v>5728</v>
      </c>
      <c r="D582">
        <v>5</v>
      </c>
      <c r="E582">
        <v>-0.86799999999999999</v>
      </c>
      <c r="F582">
        <v>9.4600000000000009</v>
      </c>
      <c r="G582">
        <v>2022</v>
      </c>
      <c r="H582" t="s">
        <v>928</v>
      </c>
      <c r="I582" t="s">
        <v>6595</v>
      </c>
      <c r="L582" t="s">
        <v>197</v>
      </c>
    </row>
    <row r="583" spans="1:12" x14ac:dyDescent="0.4">
      <c r="A583" t="s">
        <v>3135</v>
      </c>
      <c r="B583">
        <v>97.2</v>
      </c>
      <c r="C583" t="s">
        <v>2485</v>
      </c>
      <c r="D583">
        <v>5</v>
      </c>
      <c r="E583">
        <v>0.623</v>
      </c>
      <c r="F583">
        <v>2.79</v>
      </c>
      <c r="G583">
        <v>2022</v>
      </c>
      <c r="H583" t="s">
        <v>928</v>
      </c>
      <c r="I583" t="s">
        <v>6595</v>
      </c>
      <c r="L583" t="s">
        <v>197</v>
      </c>
    </row>
    <row r="584" spans="1:12" x14ac:dyDescent="0.4">
      <c r="A584" t="s">
        <v>1918</v>
      </c>
      <c r="B584">
        <v>95.1</v>
      </c>
      <c r="C584" t="s">
        <v>5719</v>
      </c>
      <c r="D584">
        <v>5</v>
      </c>
      <c r="E584">
        <v>0.156</v>
      </c>
      <c r="F584">
        <v>4.8899999999999997</v>
      </c>
      <c r="G584">
        <v>2022</v>
      </c>
      <c r="H584" t="s">
        <v>928</v>
      </c>
      <c r="I584" t="s">
        <v>6595</v>
      </c>
      <c r="L584" t="s">
        <v>197</v>
      </c>
    </row>
    <row r="585" spans="1:12" x14ac:dyDescent="0.4">
      <c r="A585" t="s">
        <v>1919</v>
      </c>
      <c r="B585">
        <v>97.2</v>
      </c>
      <c r="C585" t="s">
        <v>2485</v>
      </c>
      <c r="D585">
        <v>5</v>
      </c>
      <c r="E585">
        <v>0.623</v>
      </c>
      <c r="F585">
        <v>2.76</v>
      </c>
      <c r="G585">
        <v>2022</v>
      </c>
      <c r="H585" t="s">
        <v>928</v>
      </c>
      <c r="I585" t="s">
        <v>6595</v>
      </c>
      <c r="L585" t="s">
        <v>197</v>
      </c>
    </row>
    <row r="586" spans="1:12" x14ac:dyDescent="0.4">
      <c r="A586" t="s">
        <v>3138</v>
      </c>
      <c r="B586">
        <v>96.3</v>
      </c>
      <c r="C586" t="s">
        <v>5739</v>
      </c>
      <c r="D586">
        <v>5</v>
      </c>
      <c r="E586">
        <v>0.42299999999999999</v>
      </c>
      <c r="F586">
        <v>3.66</v>
      </c>
      <c r="G586">
        <v>2022</v>
      </c>
      <c r="H586" t="s">
        <v>928</v>
      </c>
      <c r="I586" t="s">
        <v>6595</v>
      </c>
      <c r="L586" t="s">
        <v>197</v>
      </c>
    </row>
    <row r="587" spans="1:12" x14ac:dyDescent="0.4">
      <c r="A587" t="s">
        <v>1920</v>
      </c>
      <c r="B587">
        <v>97.4</v>
      </c>
      <c r="C587" t="s">
        <v>5726</v>
      </c>
      <c r="D587">
        <v>5</v>
      </c>
      <c r="E587">
        <v>0.66800000000000004</v>
      </c>
      <c r="F587">
        <v>2.64</v>
      </c>
      <c r="G587">
        <v>2022</v>
      </c>
      <c r="H587" t="s">
        <v>928</v>
      </c>
      <c r="I587" t="s">
        <v>6595</v>
      </c>
      <c r="L587" t="s">
        <v>197</v>
      </c>
    </row>
    <row r="588" spans="1:12" x14ac:dyDescent="0.4">
      <c r="A588" t="s">
        <v>3113</v>
      </c>
      <c r="B588">
        <v>94.8</v>
      </c>
      <c r="C588" t="s">
        <v>5727</v>
      </c>
      <c r="D588">
        <v>5</v>
      </c>
      <c r="E588">
        <v>8.8999999999999996E-2</v>
      </c>
      <c r="F588">
        <v>5.21</v>
      </c>
      <c r="G588">
        <v>2022</v>
      </c>
      <c r="H588" t="s">
        <v>928</v>
      </c>
      <c r="I588" t="s">
        <v>6595</v>
      </c>
      <c r="L588" t="s">
        <v>197</v>
      </c>
    </row>
    <row r="589" spans="1:12" x14ac:dyDescent="0.4">
      <c r="A589" t="s">
        <v>3127</v>
      </c>
      <c r="B589">
        <v>95.3</v>
      </c>
      <c r="C589" t="s">
        <v>5723</v>
      </c>
      <c r="D589">
        <v>5</v>
      </c>
      <c r="E589">
        <v>0.2</v>
      </c>
      <c r="F589">
        <v>4.71</v>
      </c>
      <c r="G589">
        <v>2022</v>
      </c>
      <c r="H589" t="s">
        <v>928</v>
      </c>
      <c r="I589" t="s">
        <v>6595</v>
      </c>
      <c r="L589" t="s">
        <v>197</v>
      </c>
    </row>
    <row r="590" spans="1:12" x14ac:dyDescent="0.4">
      <c r="A590" t="s">
        <v>3137</v>
      </c>
      <c r="B590">
        <v>95.1</v>
      </c>
      <c r="C590" t="s">
        <v>5719</v>
      </c>
      <c r="D590">
        <v>5</v>
      </c>
      <c r="E590">
        <v>0.156</v>
      </c>
      <c r="F590">
        <v>4.8899999999999997</v>
      </c>
      <c r="G590">
        <v>2022</v>
      </c>
      <c r="H590" t="s">
        <v>928</v>
      </c>
      <c r="I590" t="s">
        <v>6595</v>
      </c>
      <c r="L590" t="s">
        <v>197</v>
      </c>
    </row>
    <row r="591" spans="1:12" x14ac:dyDescent="0.4">
      <c r="A591" t="s">
        <v>3128</v>
      </c>
      <c r="B591">
        <v>98.5</v>
      </c>
      <c r="C591" t="s">
        <v>2477</v>
      </c>
      <c r="D591">
        <v>5</v>
      </c>
      <c r="E591">
        <v>0.91200000000000003</v>
      </c>
      <c r="F591">
        <v>1.48</v>
      </c>
      <c r="G591">
        <v>2022</v>
      </c>
      <c r="H591" t="s">
        <v>928</v>
      </c>
      <c r="I591" t="s">
        <v>6595</v>
      </c>
      <c r="L591" t="s">
        <v>197</v>
      </c>
    </row>
    <row r="592" spans="1:12" x14ac:dyDescent="0.4">
      <c r="A592" t="s">
        <v>1924</v>
      </c>
      <c r="B592">
        <v>94.4</v>
      </c>
      <c r="C592" t="s">
        <v>197</v>
      </c>
      <c r="D592">
        <v>5</v>
      </c>
    </row>
    <row r="593" spans="1:11" x14ac:dyDescent="0.4">
      <c r="A593" t="s">
        <v>1925</v>
      </c>
      <c r="B593">
        <v>88.7</v>
      </c>
      <c r="C593" t="s">
        <v>197</v>
      </c>
      <c r="D593">
        <v>5</v>
      </c>
    </row>
    <row r="594" spans="1:11" x14ac:dyDescent="0.4">
      <c r="A594" t="s">
        <v>1926</v>
      </c>
      <c r="B594">
        <v>94.4</v>
      </c>
      <c r="C594" t="s">
        <v>197</v>
      </c>
      <c r="D594">
        <v>5</v>
      </c>
    </row>
    <row r="595" spans="1:11" x14ac:dyDescent="0.4">
      <c r="A595" t="s">
        <v>1927</v>
      </c>
      <c r="B595">
        <v>95.6</v>
      </c>
      <c r="C595" t="s">
        <v>197</v>
      </c>
      <c r="D595">
        <v>5</v>
      </c>
    </row>
    <row r="596" spans="1:11" x14ac:dyDescent="0.4">
      <c r="A596" t="s">
        <v>1928</v>
      </c>
      <c r="B596">
        <v>93.5</v>
      </c>
      <c r="C596" t="s">
        <v>197</v>
      </c>
      <c r="D596">
        <v>5</v>
      </c>
    </row>
    <row r="597" spans="1:11" x14ac:dyDescent="0.4">
      <c r="A597" t="s">
        <v>2546</v>
      </c>
      <c r="B597">
        <v>94.3</v>
      </c>
      <c r="C597" t="s">
        <v>197</v>
      </c>
      <c r="D597">
        <v>5</v>
      </c>
    </row>
    <row r="598" spans="1:11" x14ac:dyDescent="0.4">
      <c r="A598" t="s">
        <v>2547</v>
      </c>
      <c r="B598">
        <v>96.7</v>
      </c>
      <c r="C598" t="s">
        <v>197</v>
      </c>
      <c r="D598">
        <v>5</v>
      </c>
    </row>
    <row r="599" spans="1:11" x14ac:dyDescent="0.4">
      <c r="A599" t="s">
        <v>7282</v>
      </c>
      <c r="B599">
        <v>94.3</v>
      </c>
      <c r="C599" t="s">
        <v>197</v>
      </c>
      <c r="D599">
        <v>5</v>
      </c>
    </row>
    <row r="600" spans="1:11" x14ac:dyDescent="0.4">
      <c r="A600" t="s">
        <v>7283</v>
      </c>
      <c r="B600">
        <v>92.1</v>
      </c>
      <c r="C600" t="s">
        <v>197</v>
      </c>
      <c r="D600">
        <v>5</v>
      </c>
    </row>
    <row r="601" spans="1:11" x14ac:dyDescent="0.4">
      <c r="A601" t="s">
        <v>7284</v>
      </c>
      <c r="B601">
        <v>95.5</v>
      </c>
      <c r="C601" t="s">
        <v>197</v>
      </c>
      <c r="D601">
        <v>5</v>
      </c>
    </row>
    <row r="602" spans="1:11" x14ac:dyDescent="0.4">
      <c r="A602" t="s">
        <v>3182</v>
      </c>
      <c r="B602">
        <v>100</v>
      </c>
      <c r="C602" t="s">
        <v>1380</v>
      </c>
      <c r="D602">
        <v>5</v>
      </c>
      <c r="E602">
        <v>0.55600000000000005</v>
      </c>
      <c r="F602">
        <v>1</v>
      </c>
      <c r="G602">
        <v>2024</v>
      </c>
      <c r="H602" t="s">
        <v>928</v>
      </c>
      <c r="I602" t="s">
        <v>6063</v>
      </c>
      <c r="J602" t="s">
        <v>7818</v>
      </c>
      <c r="K602" t="s">
        <v>7819</v>
      </c>
    </row>
    <row r="603" spans="1:11" x14ac:dyDescent="0.4">
      <c r="A603" t="s">
        <v>3180</v>
      </c>
      <c r="B603">
        <v>100</v>
      </c>
      <c r="C603" t="s">
        <v>1380</v>
      </c>
      <c r="D603">
        <v>5</v>
      </c>
      <c r="E603">
        <v>0.55600000000000005</v>
      </c>
      <c r="F603">
        <v>1</v>
      </c>
      <c r="G603">
        <v>2024</v>
      </c>
      <c r="H603" t="s">
        <v>928</v>
      </c>
      <c r="I603" t="s">
        <v>6063</v>
      </c>
      <c r="J603" t="s">
        <v>7820</v>
      </c>
      <c r="K603" t="s">
        <v>7821</v>
      </c>
    </row>
    <row r="604" spans="1:11" x14ac:dyDescent="0.4">
      <c r="A604" t="s">
        <v>3186</v>
      </c>
      <c r="B604">
        <v>100</v>
      </c>
      <c r="C604" t="s">
        <v>1380</v>
      </c>
      <c r="D604">
        <v>5</v>
      </c>
      <c r="E604">
        <v>0.55600000000000005</v>
      </c>
      <c r="F604">
        <v>1</v>
      </c>
      <c r="G604">
        <v>2024</v>
      </c>
      <c r="H604" t="s">
        <v>928</v>
      </c>
      <c r="I604" t="s">
        <v>6063</v>
      </c>
      <c r="J604" t="s">
        <v>7822</v>
      </c>
      <c r="K604" t="s">
        <v>7823</v>
      </c>
    </row>
    <row r="605" spans="1:11" x14ac:dyDescent="0.4">
      <c r="A605" t="s">
        <v>3210</v>
      </c>
      <c r="B605">
        <v>100</v>
      </c>
      <c r="C605" t="s">
        <v>1380</v>
      </c>
      <c r="D605">
        <v>5</v>
      </c>
      <c r="E605">
        <v>0.55600000000000005</v>
      </c>
      <c r="F605">
        <v>1</v>
      </c>
      <c r="G605">
        <v>2024</v>
      </c>
      <c r="H605" t="s">
        <v>928</v>
      </c>
      <c r="I605" t="s">
        <v>6063</v>
      </c>
      <c r="J605" t="s">
        <v>7824</v>
      </c>
      <c r="K605" t="s">
        <v>7825</v>
      </c>
    </row>
    <row r="606" spans="1:11" x14ac:dyDescent="0.4">
      <c r="A606" t="s">
        <v>1940</v>
      </c>
      <c r="B606">
        <v>0</v>
      </c>
      <c r="C606" t="s">
        <v>5741</v>
      </c>
      <c r="D606">
        <v>1</v>
      </c>
      <c r="E606">
        <v>-1.762</v>
      </c>
      <c r="F606">
        <v>0</v>
      </c>
      <c r="G606">
        <v>2024</v>
      </c>
      <c r="H606" t="s">
        <v>928</v>
      </c>
      <c r="I606" t="s">
        <v>6063</v>
      </c>
      <c r="J606" t="s">
        <v>7826</v>
      </c>
      <c r="K606" t="s">
        <v>9051</v>
      </c>
    </row>
    <row r="607" spans="1:11" x14ac:dyDescent="0.4">
      <c r="A607" t="s">
        <v>3206</v>
      </c>
      <c r="B607">
        <v>100</v>
      </c>
      <c r="C607" t="s">
        <v>1380</v>
      </c>
      <c r="D607">
        <v>5</v>
      </c>
      <c r="E607">
        <v>0.55600000000000005</v>
      </c>
      <c r="F607">
        <v>1</v>
      </c>
      <c r="G607">
        <v>2024</v>
      </c>
      <c r="H607" t="s">
        <v>928</v>
      </c>
      <c r="I607" t="s">
        <v>6063</v>
      </c>
      <c r="J607" t="s">
        <v>7827</v>
      </c>
      <c r="K607" t="s">
        <v>7828</v>
      </c>
    </row>
    <row r="608" spans="1:11" x14ac:dyDescent="0.4">
      <c r="A608" t="s">
        <v>3190</v>
      </c>
      <c r="B608">
        <v>100</v>
      </c>
      <c r="C608" t="s">
        <v>1380</v>
      </c>
      <c r="D608">
        <v>5</v>
      </c>
      <c r="E608">
        <v>0.55600000000000005</v>
      </c>
      <c r="F608">
        <v>1</v>
      </c>
      <c r="G608">
        <v>2024</v>
      </c>
      <c r="H608" t="s">
        <v>928</v>
      </c>
      <c r="I608" t="s">
        <v>6063</v>
      </c>
      <c r="J608" t="s">
        <v>7829</v>
      </c>
      <c r="K608" t="s">
        <v>7830</v>
      </c>
    </row>
    <row r="609" spans="1:11" x14ac:dyDescent="0.4">
      <c r="A609" t="s">
        <v>3184</v>
      </c>
      <c r="B609">
        <v>100</v>
      </c>
      <c r="C609" t="s">
        <v>1380</v>
      </c>
      <c r="D609">
        <v>5</v>
      </c>
      <c r="E609">
        <v>0.55600000000000005</v>
      </c>
      <c r="F609">
        <v>1</v>
      </c>
      <c r="G609">
        <v>2024</v>
      </c>
      <c r="H609" t="s">
        <v>928</v>
      </c>
      <c r="I609" t="s">
        <v>6063</v>
      </c>
      <c r="J609" t="s">
        <v>7831</v>
      </c>
      <c r="K609" t="s">
        <v>6772</v>
      </c>
    </row>
    <row r="610" spans="1:11" x14ac:dyDescent="0.4">
      <c r="A610" t="s">
        <v>3196</v>
      </c>
      <c r="B610">
        <v>100</v>
      </c>
      <c r="C610" t="s">
        <v>1380</v>
      </c>
      <c r="D610">
        <v>5</v>
      </c>
      <c r="E610">
        <v>0.55600000000000005</v>
      </c>
      <c r="F610">
        <v>1</v>
      </c>
      <c r="G610">
        <v>2024</v>
      </c>
      <c r="H610" t="s">
        <v>928</v>
      </c>
      <c r="I610" t="s">
        <v>6063</v>
      </c>
      <c r="J610" t="s">
        <v>7832</v>
      </c>
      <c r="K610" t="s">
        <v>7833</v>
      </c>
    </row>
    <row r="611" spans="1:11" x14ac:dyDescent="0.4">
      <c r="A611" t="s">
        <v>3188</v>
      </c>
      <c r="B611">
        <v>0</v>
      </c>
      <c r="C611" t="s">
        <v>5741</v>
      </c>
      <c r="D611">
        <v>1</v>
      </c>
      <c r="E611">
        <v>-1.762</v>
      </c>
      <c r="F611">
        <v>0</v>
      </c>
      <c r="G611">
        <v>2024</v>
      </c>
      <c r="H611" t="s">
        <v>928</v>
      </c>
      <c r="I611" t="s">
        <v>6063</v>
      </c>
      <c r="J611" t="s">
        <v>7834</v>
      </c>
      <c r="K611" t="s">
        <v>9052</v>
      </c>
    </row>
    <row r="612" spans="1:11" x14ac:dyDescent="0.4">
      <c r="A612" t="s">
        <v>5958</v>
      </c>
      <c r="B612">
        <v>0</v>
      </c>
      <c r="C612" t="s">
        <v>5741</v>
      </c>
      <c r="D612">
        <v>1</v>
      </c>
      <c r="E612">
        <v>-1.762</v>
      </c>
      <c r="F612">
        <v>0</v>
      </c>
      <c r="G612">
        <v>2024</v>
      </c>
      <c r="H612" t="s">
        <v>928</v>
      </c>
      <c r="I612" t="s">
        <v>6063</v>
      </c>
      <c r="J612" t="s">
        <v>7835</v>
      </c>
      <c r="K612" t="s">
        <v>9053</v>
      </c>
    </row>
    <row r="613" spans="1:11" x14ac:dyDescent="0.4">
      <c r="A613" t="s">
        <v>3202</v>
      </c>
      <c r="B613">
        <v>0</v>
      </c>
      <c r="C613" t="s">
        <v>5741</v>
      </c>
      <c r="D613">
        <v>1</v>
      </c>
      <c r="E613">
        <v>-1.762</v>
      </c>
      <c r="F613">
        <v>0</v>
      </c>
      <c r="G613">
        <v>2024</v>
      </c>
      <c r="H613" t="s">
        <v>928</v>
      </c>
      <c r="I613" t="s">
        <v>6063</v>
      </c>
      <c r="J613" t="s">
        <v>7836</v>
      </c>
      <c r="K613" t="s">
        <v>9054</v>
      </c>
    </row>
    <row r="614" spans="1:11" x14ac:dyDescent="0.4">
      <c r="A614" t="s">
        <v>1941</v>
      </c>
      <c r="B614">
        <v>0</v>
      </c>
      <c r="C614" t="s">
        <v>5741</v>
      </c>
      <c r="D614">
        <v>1</v>
      </c>
      <c r="E614">
        <v>-1.762</v>
      </c>
      <c r="F614">
        <v>0</v>
      </c>
      <c r="G614">
        <v>2024</v>
      </c>
      <c r="H614" t="s">
        <v>928</v>
      </c>
      <c r="I614" t="s">
        <v>6063</v>
      </c>
      <c r="J614" t="s">
        <v>7837</v>
      </c>
      <c r="K614" t="s">
        <v>9055</v>
      </c>
    </row>
    <row r="615" spans="1:11" x14ac:dyDescent="0.4">
      <c r="A615" t="s">
        <v>1950</v>
      </c>
      <c r="B615">
        <v>100</v>
      </c>
      <c r="C615" t="s">
        <v>1380</v>
      </c>
      <c r="D615">
        <v>5</v>
      </c>
      <c r="E615">
        <v>0.55600000000000005</v>
      </c>
      <c r="F615">
        <v>1</v>
      </c>
      <c r="G615">
        <v>2024</v>
      </c>
      <c r="H615" t="s">
        <v>928</v>
      </c>
      <c r="I615" t="s">
        <v>6063</v>
      </c>
      <c r="J615" t="s">
        <v>6773</v>
      </c>
      <c r="K615" t="s">
        <v>7838</v>
      </c>
    </row>
    <row r="616" spans="1:11" x14ac:dyDescent="0.4">
      <c r="A616" t="s">
        <v>3195</v>
      </c>
      <c r="B616">
        <v>100</v>
      </c>
      <c r="C616" t="s">
        <v>1380</v>
      </c>
      <c r="D616">
        <v>5</v>
      </c>
      <c r="E616">
        <v>0.55600000000000005</v>
      </c>
      <c r="F616">
        <v>1</v>
      </c>
      <c r="G616">
        <v>2024</v>
      </c>
      <c r="H616" t="s">
        <v>928</v>
      </c>
      <c r="I616" t="s">
        <v>6063</v>
      </c>
      <c r="J616" t="s">
        <v>7839</v>
      </c>
      <c r="K616" t="s">
        <v>7840</v>
      </c>
    </row>
    <row r="617" spans="1:11" x14ac:dyDescent="0.4">
      <c r="A617" t="s">
        <v>3209</v>
      </c>
      <c r="B617">
        <v>100</v>
      </c>
      <c r="C617" t="s">
        <v>1380</v>
      </c>
      <c r="D617">
        <v>5</v>
      </c>
      <c r="E617">
        <v>0.55600000000000005</v>
      </c>
      <c r="F617">
        <v>1</v>
      </c>
      <c r="G617">
        <v>2024</v>
      </c>
      <c r="H617" t="s">
        <v>928</v>
      </c>
      <c r="I617" t="s">
        <v>6063</v>
      </c>
      <c r="J617" t="s">
        <v>7841</v>
      </c>
      <c r="K617" t="s">
        <v>9056</v>
      </c>
    </row>
    <row r="618" spans="1:11" x14ac:dyDescent="0.4">
      <c r="A618" t="s">
        <v>1942</v>
      </c>
      <c r="B618">
        <v>100</v>
      </c>
      <c r="C618" t="s">
        <v>1380</v>
      </c>
      <c r="D618">
        <v>5</v>
      </c>
      <c r="E618">
        <v>0.55600000000000005</v>
      </c>
      <c r="F618">
        <v>1</v>
      </c>
      <c r="G618">
        <v>2024</v>
      </c>
      <c r="H618" t="s">
        <v>928</v>
      </c>
      <c r="I618" t="s">
        <v>6063</v>
      </c>
      <c r="J618" t="s">
        <v>7842</v>
      </c>
      <c r="K618" t="s">
        <v>6774</v>
      </c>
    </row>
    <row r="619" spans="1:11" x14ac:dyDescent="0.4">
      <c r="A619" t="s">
        <v>1949</v>
      </c>
      <c r="B619">
        <v>100</v>
      </c>
      <c r="C619" t="s">
        <v>1380</v>
      </c>
      <c r="D619">
        <v>5</v>
      </c>
      <c r="E619">
        <v>0.55600000000000005</v>
      </c>
      <c r="F619">
        <v>1</v>
      </c>
      <c r="G619">
        <v>2024</v>
      </c>
      <c r="H619" t="s">
        <v>928</v>
      </c>
      <c r="I619" t="s">
        <v>6063</v>
      </c>
      <c r="J619" t="s">
        <v>7843</v>
      </c>
      <c r="K619" t="s">
        <v>9057</v>
      </c>
    </row>
    <row r="620" spans="1:11" x14ac:dyDescent="0.4">
      <c r="A620" t="s">
        <v>1943</v>
      </c>
      <c r="B620">
        <v>100</v>
      </c>
      <c r="C620" t="s">
        <v>1380</v>
      </c>
      <c r="D620">
        <v>5</v>
      </c>
      <c r="E620">
        <v>0.55600000000000005</v>
      </c>
      <c r="F620">
        <v>1</v>
      </c>
      <c r="G620">
        <v>2024</v>
      </c>
      <c r="H620" t="s">
        <v>928</v>
      </c>
      <c r="I620" t="s">
        <v>6063</v>
      </c>
      <c r="J620" t="s">
        <v>7844</v>
      </c>
      <c r="K620" t="s">
        <v>7845</v>
      </c>
    </row>
    <row r="621" spans="1:11" x14ac:dyDescent="0.4">
      <c r="A621" t="s">
        <v>3179</v>
      </c>
      <c r="B621">
        <v>100</v>
      </c>
      <c r="C621" t="s">
        <v>1380</v>
      </c>
      <c r="D621">
        <v>5</v>
      </c>
      <c r="E621">
        <v>0.55600000000000005</v>
      </c>
      <c r="F621">
        <v>1</v>
      </c>
      <c r="G621">
        <v>2024</v>
      </c>
      <c r="H621" t="s">
        <v>928</v>
      </c>
      <c r="I621" t="s">
        <v>6063</v>
      </c>
      <c r="J621" t="s">
        <v>7846</v>
      </c>
      <c r="K621" t="s">
        <v>6775</v>
      </c>
    </row>
    <row r="622" spans="1:11" x14ac:dyDescent="0.4">
      <c r="A622" t="s">
        <v>3199</v>
      </c>
      <c r="B622">
        <v>100</v>
      </c>
      <c r="C622" t="s">
        <v>1380</v>
      </c>
      <c r="D622">
        <v>5</v>
      </c>
      <c r="E622">
        <v>0.55600000000000005</v>
      </c>
      <c r="F622">
        <v>1</v>
      </c>
      <c r="G622">
        <v>2024</v>
      </c>
      <c r="H622" t="s">
        <v>928</v>
      </c>
      <c r="I622" t="s">
        <v>6063</v>
      </c>
      <c r="J622" t="s">
        <v>7847</v>
      </c>
      <c r="K622" t="s">
        <v>7848</v>
      </c>
    </row>
    <row r="623" spans="1:11" x14ac:dyDescent="0.4">
      <c r="A623" t="s">
        <v>3203</v>
      </c>
      <c r="B623">
        <v>0</v>
      </c>
      <c r="C623" t="s">
        <v>5741</v>
      </c>
      <c r="D623">
        <v>1</v>
      </c>
      <c r="E623">
        <v>-1.762</v>
      </c>
      <c r="F623">
        <v>0</v>
      </c>
      <c r="G623">
        <v>2024</v>
      </c>
      <c r="H623" t="s">
        <v>928</v>
      </c>
      <c r="I623" t="s">
        <v>6063</v>
      </c>
      <c r="J623" t="s">
        <v>7849</v>
      </c>
      <c r="K623" t="s">
        <v>9058</v>
      </c>
    </row>
    <row r="624" spans="1:11" x14ac:dyDescent="0.4">
      <c r="A624" t="s">
        <v>3201</v>
      </c>
      <c r="B624">
        <v>0</v>
      </c>
      <c r="C624" t="s">
        <v>5741</v>
      </c>
      <c r="D624">
        <v>1</v>
      </c>
      <c r="E624">
        <v>-1.762</v>
      </c>
      <c r="F624">
        <v>0</v>
      </c>
      <c r="G624">
        <v>2024</v>
      </c>
      <c r="H624" t="s">
        <v>928</v>
      </c>
      <c r="I624" t="s">
        <v>6063</v>
      </c>
      <c r="J624" t="s">
        <v>7850</v>
      </c>
      <c r="K624" t="s">
        <v>9059</v>
      </c>
    </row>
    <row r="625" spans="1:11" x14ac:dyDescent="0.4">
      <c r="A625" t="s">
        <v>3189</v>
      </c>
      <c r="B625">
        <v>0</v>
      </c>
      <c r="C625" t="s">
        <v>5741</v>
      </c>
      <c r="D625">
        <v>1</v>
      </c>
      <c r="E625">
        <v>-1.762</v>
      </c>
      <c r="F625">
        <v>0</v>
      </c>
      <c r="G625">
        <v>2024</v>
      </c>
      <c r="H625" t="s">
        <v>928</v>
      </c>
      <c r="I625" t="s">
        <v>6063</v>
      </c>
      <c r="J625" t="s">
        <v>7851</v>
      </c>
      <c r="K625" t="s">
        <v>9060</v>
      </c>
    </row>
    <row r="626" spans="1:11" x14ac:dyDescent="0.4">
      <c r="A626" t="s">
        <v>3178</v>
      </c>
      <c r="B626">
        <v>100</v>
      </c>
      <c r="C626" t="s">
        <v>1380</v>
      </c>
      <c r="D626">
        <v>5</v>
      </c>
      <c r="E626">
        <v>0.55600000000000005</v>
      </c>
      <c r="F626">
        <v>1</v>
      </c>
      <c r="G626">
        <v>2024</v>
      </c>
      <c r="H626" t="s">
        <v>928</v>
      </c>
      <c r="I626" t="s">
        <v>6063</v>
      </c>
      <c r="J626" t="s">
        <v>7852</v>
      </c>
      <c r="K626" t="s">
        <v>9061</v>
      </c>
    </row>
    <row r="627" spans="1:11" x14ac:dyDescent="0.4">
      <c r="A627" t="s">
        <v>3192</v>
      </c>
      <c r="B627">
        <v>100</v>
      </c>
      <c r="C627" t="s">
        <v>1380</v>
      </c>
      <c r="D627">
        <v>5</v>
      </c>
      <c r="E627">
        <v>0.55600000000000005</v>
      </c>
      <c r="F627">
        <v>1</v>
      </c>
      <c r="G627">
        <v>2024</v>
      </c>
      <c r="H627" t="s">
        <v>928</v>
      </c>
      <c r="I627" t="s">
        <v>6063</v>
      </c>
      <c r="J627" t="s">
        <v>7853</v>
      </c>
      <c r="K627" t="s">
        <v>9062</v>
      </c>
    </row>
    <row r="628" spans="1:11" x14ac:dyDescent="0.4">
      <c r="A628" t="s">
        <v>3193</v>
      </c>
      <c r="B628">
        <v>100</v>
      </c>
      <c r="C628" t="s">
        <v>1380</v>
      </c>
      <c r="D628">
        <v>5</v>
      </c>
      <c r="E628">
        <v>0.55600000000000005</v>
      </c>
      <c r="F628">
        <v>1</v>
      </c>
      <c r="G628">
        <v>2024</v>
      </c>
      <c r="H628" t="s">
        <v>928</v>
      </c>
      <c r="I628" t="s">
        <v>6063</v>
      </c>
      <c r="J628" t="s">
        <v>7854</v>
      </c>
      <c r="K628" t="s">
        <v>9063</v>
      </c>
    </row>
    <row r="629" spans="1:11" x14ac:dyDescent="0.4">
      <c r="A629" t="s">
        <v>3211</v>
      </c>
      <c r="B629">
        <v>0</v>
      </c>
      <c r="C629" t="s">
        <v>5741</v>
      </c>
      <c r="D629">
        <v>1</v>
      </c>
      <c r="E629">
        <v>-1.762</v>
      </c>
      <c r="F629">
        <v>0</v>
      </c>
      <c r="G629">
        <v>2024</v>
      </c>
      <c r="H629" t="s">
        <v>928</v>
      </c>
      <c r="I629" t="s">
        <v>6063</v>
      </c>
      <c r="J629" t="s">
        <v>7855</v>
      </c>
      <c r="K629" t="s">
        <v>9064</v>
      </c>
    </row>
    <row r="630" spans="1:11" x14ac:dyDescent="0.4">
      <c r="A630" t="s">
        <v>1944</v>
      </c>
      <c r="B630">
        <v>100</v>
      </c>
      <c r="C630" t="s">
        <v>1380</v>
      </c>
      <c r="D630">
        <v>5</v>
      </c>
      <c r="E630">
        <v>0.55600000000000005</v>
      </c>
      <c r="F630">
        <v>1</v>
      </c>
      <c r="G630">
        <v>2024</v>
      </c>
      <c r="H630" t="s">
        <v>928</v>
      </c>
      <c r="I630" t="s">
        <v>6063</v>
      </c>
      <c r="J630" t="s">
        <v>6776</v>
      </c>
      <c r="K630" t="s">
        <v>7856</v>
      </c>
    </row>
    <row r="631" spans="1:11" x14ac:dyDescent="0.4">
      <c r="A631" t="s">
        <v>1948</v>
      </c>
      <c r="B631">
        <v>100</v>
      </c>
      <c r="C631" t="s">
        <v>1380</v>
      </c>
      <c r="D631">
        <v>5</v>
      </c>
      <c r="E631">
        <v>0.55600000000000005</v>
      </c>
      <c r="F631">
        <v>1</v>
      </c>
      <c r="G631">
        <v>2024</v>
      </c>
      <c r="H631" t="s">
        <v>928</v>
      </c>
      <c r="I631" t="s">
        <v>6063</v>
      </c>
      <c r="J631" t="s">
        <v>7857</v>
      </c>
      <c r="K631" t="s">
        <v>7858</v>
      </c>
    </row>
    <row r="632" spans="1:11" x14ac:dyDescent="0.4">
      <c r="A632" t="s">
        <v>3194</v>
      </c>
      <c r="B632">
        <v>100</v>
      </c>
      <c r="C632" t="s">
        <v>1380</v>
      </c>
      <c r="D632">
        <v>5</v>
      </c>
      <c r="E632">
        <v>0.55600000000000005</v>
      </c>
      <c r="F632">
        <v>1</v>
      </c>
      <c r="G632">
        <v>2024</v>
      </c>
      <c r="H632" t="s">
        <v>928</v>
      </c>
      <c r="I632" t="s">
        <v>6063</v>
      </c>
      <c r="J632" t="s">
        <v>6777</v>
      </c>
      <c r="K632" t="s">
        <v>6778</v>
      </c>
    </row>
    <row r="633" spans="1:11" x14ac:dyDescent="0.4">
      <c r="A633" t="s">
        <v>3200</v>
      </c>
      <c r="B633">
        <v>0</v>
      </c>
      <c r="C633" t="s">
        <v>5741</v>
      </c>
      <c r="D633">
        <v>1</v>
      </c>
      <c r="E633">
        <v>-1.762</v>
      </c>
      <c r="F633">
        <v>0</v>
      </c>
      <c r="G633">
        <v>2024</v>
      </c>
      <c r="H633" t="s">
        <v>928</v>
      </c>
      <c r="I633" t="s">
        <v>6063</v>
      </c>
      <c r="J633" t="s">
        <v>7859</v>
      </c>
      <c r="K633" t="s">
        <v>9065</v>
      </c>
    </row>
    <row r="634" spans="1:11" x14ac:dyDescent="0.4">
      <c r="A634" t="s">
        <v>3181</v>
      </c>
      <c r="B634">
        <v>0</v>
      </c>
      <c r="C634" t="s">
        <v>5741</v>
      </c>
      <c r="D634">
        <v>1</v>
      </c>
      <c r="E634">
        <v>-1.762</v>
      </c>
      <c r="F634">
        <v>0</v>
      </c>
      <c r="G634">
        <v>2024</v>
      </c>
      <c r="H634" t="s">
        <v>928</v>
      </c>
      <c r="I634" t="s">
        <v>6063</v>
      </c>
      <c r="J634" t="s">
        <v>7860</v>
      </c>
      <c r="K634" t="s">
        <v>9066</v>
      </c>
    </row>
    <row r="635" spans="1:11" x14ac:dyDescent="0.4">
      <c r="A635" t="s">
        <v>5782</v>
      </c>
      <c r="B635">
        <v>100</v>
      </c>
      <c r="C635" t="s">
        <v>1380</v>
      </c>
      <c r="D635">
        <v>5</v>
      </c>
      <c r="E635">
        <v>0.55600000000000005</v>
      </c>
      <c r="F635">
        <v>1</v>
      </c>
      <c r="G635">
        <v>2024</v>
      </c>
      <c r="H635" t="s">
        <v>928</v>
      </c>
      <c r="I635" t="s">
        <v>6063</v>
      </c>
      <c r="J635" t="s">
        <v>7861</v>
      </c>
      <c r="K635" t="s">
        <v>7862</v>
      </c>
    </row>
    <row r="636" spans="1:11" x14ac:dyDescent="0.4">
      <c r="A636" t="s">
        <v>3204</v>
      </c>
      <c r="B636">
        <v>100</v>
      </c>
      <c r="C636" t="s">
        <v>1380</v>
      </c>
      <c r="D636">
        <v>5</v>
      </c>
      <c r="E636">
        <v>0.55600000000000005</v>
      </c>
      <c r="F636">
        <v>1</v>
      </c>
      <c r="G636">
        <v>2024</v>
      </c>
      <c r="H636" t="s">
        <v>928</v>
      </c>
      <c r="I636" t="s">
        <v>6063</v>
      </c>
      <c r="J636" t="s">
        <v>7863</v>
      </c>
      <c r="K636" t="s">
        <v>9067</v>
      </c>
    </row>
    <row r="637" spans="1:11" x14ac:dyDescent="0.4">
      <c r="A637" t="s">
        <v>5783</v>
      </c>
      <c r="B637">
        <v>100</v>
      </c>
      <c r="C637" t="s">
        <v>1380</v>
      </c>
      <c r="D637">
        <v>5</v>
      </c>
      <c r="E637">
        <v>0.55600000000000005</v>
      </c>
      <c r="F637">
        <v>1</v>
      </c>
      <c r="G637">
        <v>2024</v>
      </c>
      <c r="H637" t="s">
        <v>928</v>
      </c>
      <c r="I637" t="s">
        <v>6063</v>
      </c>
      <c r="J637" t="s">
        <v>7864</v>
      </c>
      <c r="K637" t="s">
        <v>7865</v>
      </c>
    </row>
    <row r="638" spans="1:11" x14ac:dyDescent="0.4">
      <c r="A638" t="s">
        <v>3212</v>
      </c>
      <c r="B638">
        <v>100</v>
      </c>
      <c r="C638" t="s">
        <v>1380</v>
      </c>
      <c r="D638">
        <v>5</v>
      </c>
      <c r="E638">
        <v>0.55600000000000005</v>
      </c>
      <c r="F638">
        <v>1</v>
      </c>
      <c r="G638">
        <v>2024</v>
      </c>
      <c r="H638" t="s">
        <v>928</v>
      </c>
      <c r="I638" t="s">
        <v>6063</v>
      </c>
      <c r="J638" t="s">
        <v>6779</v>
      </c>
      <c r="K638" t="s">
        <v>7866</v>
      </c>
    </row>
    <row r="639" spans="1:11" x14ac:dyDescent="0.4">
      <c r="A639" t="s">
        <v>3187</v>
      </c>
      <c r="B639">
        <v>100</v>
      </c>
      <c r="C639" t="s">
        <v>1380</v>
      </c>
      <c r="D639">
        <v>5</v>
      </c>
      <c r="E639">
        <v>0.55600000000000005</v>
      </c>
      <c r="F639">
        <v>1</v>
      </c>
      <c r="G639">
        <v>2024</v>
      </c>
      <c r="H639" t="s">
        <v>928</v>
      </c>
      <c r="I639" t="s">
        <v>6063</v>
      </c>
      <c r="J639" t="s">
        <v>6780</v>
      </c>
      <c r="K639" t="s">
        <v>6781</v>
      </c>
    </row>
    <row r="640" spans="1:11" x14ac:dyDescent="0.4">
      <c r="A640" t="s">
        <v>3191</v>
      </c>
      <c r="B640">
        <v>100</v>
      </c>
      <c r="C640" t="s">
        <v>1380</v>
      </c>
      <c r="D640">
        <v>5</v>
      </c>
      <c r="E640">
        <v>0.55600000000000005</v>
      </c>
      <c r="F640">
        <v>1</v>
      </c>
      <c r="G640">
        <v>2024</v>
      </c>
      <c r="H640" t="s">
        <v>928</v>
      </c>
      <c r="I640" t="s">
        <v>6063</v>
      </c>
      <c r="J640" t="s">
        <v>7867</v>
      </c>
      <c r="K640" t="s">
        <v>9068</v>
      </c>
    </row>
    <row r="641" spans="1:11" x14ac:dyDescent="0.4">
      <c r="A641" t="s">
        <v>3185</v>
      </c>
      <c r="B641">
        <v>100</v>
      </c>
      <c r="C641" t="s">
        <v>1380</v>
      </c>
      <c r="D641">
        <v>5</v>
      </c>
      <c r="E641">
        <v>0.55600000000000005</v>
      </c>
      <c r="F641">
        <v>1</v>
      </c>
      <c r="G641">
        <v>2024</v>
      </c>
      <c r="H641" t="s">
        <v>928</v>
      </c>
      <c r="I641" t="s">
        <v>6063</v>
      </c>
      <c r="J641" t="s">
        <v>7868</v>
      </c>
      <c r="K641" t="s">
        <v>7869</v>
      </c>
    </row>
    <row r="642" spans="1:11" x14ac:dyDescent="0.4">
      <c r="A642" t="s">
        <v>5784</v>
      </c>
      <c r="B642">
        <v>100</v>
      </c>
      <c r="C642" t="s">
        <v>1380</v>
      </c>
      <c r="D642">
        <v>5</v>
      </c>
      <c r="E642">
        <v>0.55600000000000005</v>
      </c>
      <c r="F642">
        <v>1</v>
      </c>
      <c r="G642">
        <v>2024</v>
      </c>
      <c r="H642" t="s">
        <v>928</v>
      </c>
      <c r="I642" t="s">
        <v>6063</v>
      </c>
      <c r="J642" t="s">
        <v>7870</v>
      </c>
      <c r="K642" t="s">
        <v>7871</v>
      </c>
    </row>
    <row r="643" spans="1:11" x14ac:dyDescent="0.4">
      <c r="A643" t="s">
        <v>3205</v>
      </c>
      <c r="B643">
        <v>100</v>
      </c>
      <c r="C643" t="s">
        <v>1380</v>
      </c>
      <c r="D643">
        <v>5</v>
      </c>
      <c r="E643">
        <v>0.55600000000000005</v>
      </c>
      <c r="F643">
        <v>1</v>
      </c>
      <c r="G643">
        <v>2024</v>
      </c>
      <c r="H643" t="s">
        <v>928</v>
      </c>
      <c r="I643" t="s">
        <v>6063</v>
      </c>
      <c r="J643" t="s">
        <v>7872</v>
      </c>
      <c r="K643" t="s">
        <v>6782</v>
      </c>
    </row>
    <row r="644" spans="1:11" x14ac:dyDescent="0.4">
      <c r="A644" t="s">
        <v>1945</v>
      </c>
      <c r="B644">
        <v>100</v>
      </c>
      <c r="C644" t="s">
        <v>1380</v>
      </c>
      <c r="D644">
        <v>5</v>
      </c>
      <c r="E644">
        <v>0.55600000000000005</v>
      </c>
      <c r="F644">
        <v>1</v>
      </c>
      <c r="G644">
        <v>2024</v>
      </c>
      <c r="H644" t="s">
        <v>928</v>
      </c>
      <c r="I644" t="s">
        <v>6063</v>
      </c>
      <c r="J644" t="s">
        <v>6783</v>
      </c>
      <c r="K644" t="s">
        <v>6784</v>
      </c>
    </row>
    <row r="645" spans="1:11" x14ac:dyDescent="0.4">
      <c r="A645" t="s">
        <v>1946</v>
      </c>
      <c r="B645">
        <v>100</v>
      </c>
      <c r="C645" t="s">
        <v>1380</v>
      </c>
      <c r="D645">
        <v>5</v>
      </c>
      <c r="E645">
        <v>0.55600000000000005</v>
      </c>
      <c r="F645">
        <v>1</v>
      </c>
      <c r="G645">
        <v>2024</v>
      </c>
      <c r="H645" t="s">
        <v>928</v>
      </c>
      <c r="I645" t="s">
        <v>6063</v>
      </c>
      <c r="J645" t="s">
        <v>7873</v>
      </c>
      <c r="K645" t="s">
        <v>9069</v>
      </c>
    </row>
    <row r="646" spans="1:11" x14ac:dyDescent="0.4">
      <c r="A646" t="s">
        <v>3208</v>
      </c>
      <c r="B646">
        <v>100</v>
      </c>
      <c r="C646" t="s">
        <v>1380</v>
      </c>
      <c r="D646">
        <v>5</v>
      </c>
      <c r="E646">
        <v>0.55600000000000005</v>
      </c>
      <c r="F646">
        <v>1</v>
      </c>
      <c r="G646">
        <v>2024</v>
      </c>
      <c r="H646" t="s">
        <v>928</v>
      </c>
      <c r="I646" t="s">
        <v>6063</v>
      </c>
      <c r="J646" t="s">
        <v>7874</v>
      </c>
      <c r="K646" t="s">
        <v>6785</v>
      </c>
    </row>
    <row r="647" spans="1:11" x14ac:dyDescent="0.4">
      <c r="A647" t="s">
        <v>1947</v>
      </c>
      <c r="B647">
        <v>100</v>
      </c>
      <c r="C647" t="s">
        <v>1380</v>
      </c>
      <c r="D647">
        <v>5</v>
      </c>
      <c r="E647">
        <v>0.55600000000000005</v>
      </c>
      <c r="F647">
        <v>1</v>
      </c>
      <c r="G647">
        <v>2024</v>
      </c>
      <c r="H647" t="s">
        <v>928</v>
      </c>
      <c r="I647" t="s">
        <v>6063</v>
      </c>
      <c r="J647" t="s">
        <v>7875</v>
      </c>
      <c r="K647" t="s">
        <v>7876</v>
      </c>
    </row>
    <row r="648" spans="1:11" x14ac:dyDescent="0.4">
      <c r="A648" t="s">
        <v>3183</v>
      </c>
      <c r="B648">
        <v>100</v>
      </c>
      <c r="C648" t="s">
        <v>1380</v>
      </c>
      <c r="D648">
        <v>5</v>
      </c>
      <c r="E648">
        <v>0.55600000000000005</v>
      </c>
      <c r="F648">
        <v>1</v>
      </c>
      <c r="G648">
        <v>2024</v>
      </c>
      <c r="H648" t="s">
        <v>928</v>
      </c>
      <c r="I648" t="s">
        <v>6063</v>
      </c>
      <c r="J648" t="s">
        <v>7877</v>
      </c>
      <c r="K648" t="s">
        <v>7878</v>
      </c>
    </row>
    <row r="649" spans="1:11" x14ac:dyDescent="0.4">
      <c r="A649" t="s">
        <v>3197</v>
      </c>
      <c r="B649">
        <v>100</v>
      </c>
      <c r="C649" t="s">
        <v>1380</v>
      </c>
      <c r="D649">
        <v>5</v>
      </c>
      <c r="E649">
        <v>0.55600000000000005</v>
      </c>
      <c r="F649">
        <v>1</v>
      </c>
      <c r="G649">
        <v>2024</v>
      </c>
      <c r="H649" t="s">
        <v>928</v>
      </c>
      <c r="I649" t="s">
        <v>6063</v>
      </c>
      <c r="J649" t="s">
        <v>7879</v>
      </c>
      <c r="K649" t="s">
        <v>6786</v>
      </c>
    </row>
    <row r="650" spans="1:11" x14ac:dyDescent="0.4">
      <c r="A650" t="s">
        <v>3207</v>
      </c>
      <c r="B650">
        <v>100</v>
      </c>
      <c r="C650" t="s">
        <v>1380</v>
      </c>
      <c r="D650">
        <v>5</v>
      </c>
      <c r="E650">
        <v>0.55600000000000005</v>
      </c>
      <c r="F650">
        <v>1</v>
      </c>
      <c r="G650">
        <v>2024</v>
      </c>
      <c r="H650" t="s">
        <v>928</v>
      </c>
      <c r="I650" t="s">
        <v>6063</v>
      </c>
      <c r="J650" t="s">
        <v>6787</v>
      </c>
      <c r="K650" t="s">
        <v>6788</v>
      </c>
    </row>
    <row r="651" spans="1:11" x14ac:dyDescent="0.4">
      <c r="A651" t="s">
        <v>3198</v>
      </c>
      <c r="B651">
        <v>0</v>
      </c>
      <c r="C651" t="s">
        <v>5741</v>
      </c>
      <c r="D651">
        <v>1</v>
      </c>
      <c r="E651">
        <v>-1.762</v>
      </c>
      <c r="F651">
        <v>0</v>
      </c>
      <c r="G651">
        <v>2024</v>
      </c>
      <c r="H651" t="s">
        <v>928</v>
      </c>
      <c r="I651" t="s">
        <v>6063</v>
      </c>
      <c r="J651" t="s">
        <v>7880</v>
      </c>
      <c r="K651" t="s">
        <v>9070</v>
      </c>
    </row>
    <row r="652" spans="1:11" x14ac:dyDescent="0.4">
      <c r="A652" t="s">
        <v>1951</v>
      </c>
      <c r="B652">
        <v>76</v>
      </c>
      <c r="C652" t="s">
        <v>197</v>
      </c>
      <c r="D652">
        <v>4</v>
      </c>
    </row>
    <row r="653" spans="1:11" x14ac:dyDescent="0.4">
      <c r="A653" t="s">
        <v>1952</v>
      </c>
      <c r="B653">
        <v>80</v>
      </c>
      <c r="C653" t="s">
        <v>197</v>
      </c>
      <c r="D653">
        <v>5</v>
      </c>
    </row>
    <row r="654" spans="1:11" x14ac:dyDescent="0.4">
      <c r="A654" t="s">
        <v>1953</v>
      </c>
      <c r="B654">
        <v>100</v>
      </c>
      <c r="C654" t="s">
        <v>197</v>
      </c>
      <c r="D654">
        <v>5</v>
      </c>
    </row>
    <row r="655" spans="1:11" x14ac:dyDescent="0.4">
      <c r="A655" t="s">
        <v>1954</v>
      </c>
      <c r="B655">
        <v>50</v>
      </c>
      <c r="C655" t="s">
        <v>197</v>
      </c>
      <c r="D655">
        <v>3</v>
      </c>
    </row>
    <row r="656" spans="1:11" x14ac:dyDescent="0.4">
      <c r="A656" t="s">
        <v>1955</v>
      </c>
      <c r="B656">
        <v>100</v>
      </c>
      <c r="C656" t="s">
        <v>197</v>
      </c>
      <c r="D656">
        <v>5</v>
      </c>
    </row>
    <row r="657" spans="1:12" x14ac:dyDescent="0.4">
      <c r="A657" t="s">
        <v>2550</v>
      </c>
      <c r="B657">
        <v>20</v>
      </c>
      <c r="C657" t="s">
        <v>197</v>
      </c>
      <c r="D657">
        <v>2</v>
      </c>
    </row>
    <row r="658" spans="1:12" x14ac:dyDescent="0.4">
      <c r="A658" t="s">
        <v>2551</v>
      </c>
      <c r="B658">
        <v>92.9</v>
      </c>
      <c r="C658" t="s">
        <v>197</v>
      </c>
      <c r="D658">
        <v>5</v>
      </c>
    </row>
    <row r="659" spans="1:12" x14ac:dyDescent="0.4">
      <c r="A659" t="s">
        <v>7285</v>
      </c>
      <c r="B659">
        <v>37.5</v>
      </c>
      <c r="C659" t="s">
        <v>197</v>
      </c>
      <c r="D659">
        <v>2</v>
      </c>
    </row>
    <row r="660" spans="1:12" x14ac:dyDescent="0.4">
      <c r="A660" t="s">
        <v>7286</v>
      </c>
      <c r="B660">
        <v>90.9</v>
      </c>
      <c r="C660" t="s">
        <v>197</v>
      </c>
      <c r="D660">
        <v>5</v>
      </c>
    </row>
    <row r="661" spans="1:12" x14ac:dyDescent="0.4">
      <c r="A661" t="s">
        <v>7287</v>
      </c>
      <c r="B661">
        <v>95.7</v>
      </c>
      <c r="C661" t="s">
        <v>197</v>
      </c>
      <c r="D661">
        <v>5</v>
      </c>
    </row>
    <row r="662" spans="1:12" x14ac:dyDescent="0.4">
      <c r="A662" t="s">
        <v>3322</v>
      </c>
      <c r="B662">
        <v>52.5</v>
      </c>
      <c r="C662" t="s">
        <v>5728</v>
      </c>
      <c r="D662">
        <v>3</v>
      </c>
      <c r="E662">
        <v>-1.22</v>
      </c>
      <c r="F662">
        <v>52.49</v>
      </c>
      <c r="G662">
        <v>2021</v>
      </c>
      <c r="H662" t="s">
        <v>928</v>
      </c>
      <c r="I662" t="s">
        <v>6596</v>
      </c>
      <c r="L662" t="s">
        <v>197</v>
      </c>
    </row>
    <row r="663" spans="1:12" x14ac:dyDescent="0.4">
      <c r="A663" t="s">
        <v>3320</v>
      </c>
      <c r="B663">
        <v>60.7</v>
      </c>
      <c r="C663" t="s">
        <v>5714</v>
      </c>
      <c r="D663">
        <v>4</v>
      </c>
      <c r="E663">
        <v>-0.29399999999999998</v>
      </c>
      <c r="F663">
        <v>60.71</v>
      </c>
      <c r="G663">
        <v>2021</v>
      </c>
      <c r="H663" t="s">
        <v>928</v>
      </c>
      <c r="I663" t="s">
        <v>6596</v>
      </c>
      <c r="L663" t="s">
        <v>197</v>
      </c>
    </row>
    <row r="664" spans="1:12" x14ac:dyDescent="0.4">
      <c r="A664" t="s">
        <v>3326</v>
      </c>
      <c r="B664">
        <v>69.7</v>
      </c>
      <c r="C664" t="s">
        <v>6856</v>
      </c>
      <c r="D664">
        <v>4</v>
      </c>
      <c r="E664">
        <v>0.72299999999999998</v>
      </c>
      <c r="F664">
        <v>69.709999999999994</v>
      </c>
      <c r="G664">
        <v>2021</v>
      </c>
      <c r="H664" t="s">
        <v>928</v>
      </c>
      <c r="I664" t="s">
        <v>6596</v>
      </c>
      <c r="L664" t="s">
        <v>197</v>
      </c>
    </row>
    <row r="665" spans="1:12" x14ac:dyDescent="0.4">
      <c r="A665" t="s">
        <v>3350</v>
      </c>
      <c r="B665">
        <v>70.3</v>
      </c>
      <c r="C665" t="s">
        <v>2474</v>
      </c>
      <c r="D665">
        <v>4</v>
      </c>
      <c r="E665">
        <v>0.79100000000000004</v>
      </c>
      <c r="F665">
        <v>70.319999999999993</v>
      </c>
      <c r="G665">
        <v>2021</v>
      </c>
      <c r="H665" t="s">
        <v>928</v>
      </c>
      <c r="I665" t="s">
        <v>6596</v>
      </c>
      <c r="L665" t="s">
        <v>197</v>
      </c>
    </row>
    <row r="666" spans="1:12" x14ac:dyDescent="0.4">
      <c r="A666" t="s">
        <v>1988</v>
      </c>
      <c r="B666">
        <v>67.2</v>
      </c>
      <c r="C666" t="s">
        <v>6034</v>
      </c>
      <c r="D666">
        <v>4</v>
      </c>
      <c r="E666">
        <v>0.441</v>
      </c>
      <c r="F666">
        <v>67.23</v>
      </c>
      <c r="G666">
        <v>2021</v>
      </c>
      <c r="H666" t="s">
        <v>928</v>
      </c>
      <c r="I666" t="s">
        <v>6596</v>
      </c>
      <c r="L666" t="s">
        <v>197</v>
      </c>
    </row>
    <row r="667" spans="1:12" x14ac:dyDescent="0.4">
      <c r="A667" t="s">
        <v>3346</v>
      </c>
      <c r="B667">
        <v>56.3</v>
      </c>
      <c r="C667" t="s">
        <v>5737</v>
      </c>
      <c r="D667">
        <v>3</v>
      </c>
      <c r="E667">
        <v>-0.79100000000000004</v>
      </c>
      <c r="F667">
        <v>56.26</v>
      </c>
      <c r="G667">
        <v>2021</v>
      </c>
      <c r="H667" t="s">
        <v>928</v>
      </c>
      <c r="I667" t="s">
        <v>6596</v>
      </c>
      <c r="L667" t="s">
        <v>197</v>
      </c>
    </row>
    <row r="668" spans="1:12" x14ac:dyDescent="0.4">
      <c r="A668" t="s">
        <v>3330</v>
      </c>
      <c r="B668">
        <v>73.5</v>
      </c>
      <c r="C668" t="s">
        <v>2480</v>
      </c>
      <c r="D668">
        <v>4</v>
      </c>
      <c r="E668">
        <v>1.153</v>
      </c>
      <c r="F668">
        <v>73.459999999999994</v>
      </c>
      <c r="G668">
        <v>2021</v>
      </c>
      <c r="H668" t="s">
        <v>928</v>
      </c>
      <c r="I668" t="s">
        <v>6596</v>
      </c>
      <c r="L668" t="s">
        <v>197</v>
      </c>
    </row>
    <row r="669" spans="1:12" x14ac:dyDescent="0.4">
      <c r="A669" t="s">
        <v>3324</v>
      </c>
      <c r="B669">
        <v>75.8</v>
      </c>
      <c r="C669" t="s">
        <v>2476</v>
      </c>
      <c r="D669">
        <v>4</v>
      </c>
      <c r="E669">
        <v>1.4119999999999999</v>
      </c>
      <c r="F669">
        <v>75.760000000000005</v>
      </c>
      <c r="G669">
        <v>2021</v>
      </c>
      <c r="H669" t="s">
        <v>928</v>
      </c>
      <c r="I669" t="s">
        <v>6596</v>
      </c>
      <c r="L669" t="s">
        <v>197</v>
      </c>
    </row>
    <row r="670" spans="1:12" x14ac:dyDescent="0.4">
      <c r="A670" t="s">
        <v>3336</v>
      </c>
      <c r="B670">
        <v>63.9</v>
      </c>
      <c r="C670" t="s">
        <v>5700</v>
      </c>
      <c r="D670">
        <v>4</v>
      </c>
      <c r="E670">
        <v>6.8000000000000005E-2</v>
      </c>
      <c r="F670">
        <v>63.92</v>
      </c>
      <c r="G670">
        <v>2021</v>
      </c>
      <c r="H670" t="s">
        <v>928</v>
      </c>
      <c r="I670" t="s">
        <v>6596</v>
      </c>
      <c r="L670" t="s">
        <v>197</v>
      </c>
    </row>
    <row r="671" spans="1:12" x14ac:dyDescent="0.4">
      <c r="A671" t="s">
        <v>3328</v>
      </c>
      <c r="B671">
        <v>62.4</v>
      </c>
      <c r="C671" t="s">
        <v>5736</v>
      </c>
      <c r="D671">
        <v>4</v>
      </c>
      <c r="E671">
        <v>-0.10199999999999999</v>
      </c>
      <c r="F671">
        <v>62.37</v>
      </c>
      <c r="G671">
        <v>2021</v>
      </c>
      <c r="H671" t="s">
        <v>928</v>
      </c>
      <c r="I671" t="s">
        <v>6596</v>
      </c>
      <c r="L671" t="s">
        <v>197</v>
      </c>
    </row>
    <row r="672" spans="1:12" x14ac:dyDescent="0.4">
      <c r="A672" t="s">
        <v>5959</v>
      </c>
      <c r="B672">
        <v>59.7</v>
      </c>
      <c r="C672" t="s">
        <v>5704</v>
      </c>
      <c r="D672">
        <v>3</v>
      </c>
      <c r="E672">
        <v>-0.40699999999999997</v>
      </c>
      <c r="F672">
        <v>59.68</v>
      </c>
      <c r="G672">
        <v>2021</v>
      </c>
      <c r="H672" t="s">
        <v>928</v>
      </c>
      <c r="I672" t="s">
        <v>6596</v>
      </c>
      <c r="L672" t="s">
        <v>197</v>
      </c>
    </row>
    <row r="673" spans="1:12" x14ac:dyDescent="0.4">
      <c r="A673" t="s">
        <v>3342</v>
      </c>
      <c r="B673">
        <v>53.8</v>
      </c>
      <c r="C673" t="s">
        <v>5715</v>
      </c>
      <c r="D673">
        <v>3</v>
      </c>
      <c r="E673">
        <v>-1.073</v>
      </c>
      <c r="F673">
        <v>53.78</v>
      </c>
      <c r="G673">
        <v>2021</v>
      </c>
      <c r="H673" t="s">
        <v>928</v>
      </c>
      <c r="I673" t="s">
        <v>6596</v>
      </c>
      <c r="L673" t="s">
        <v>197</v>
      </c>
    </row>
    <row r="674" spans="1:12" x14ac:dyDescent="0.4">
      <c r="A674" t="s">
        <v>1989</v>
      </c>
      <c r="B674">
        <v>51.1</v>
      </c>
      <c r="C674" t="s">
        <v>5697</v>
      </c>
      <c r="D674">
        <v>3</v>
      </c>
      <c r="E674">
        <v>-1.379</v>
      </c>
      <c r="F674">
        <v>51.08</v>
      </c>
      <c r="G674">
        <v>2021</v>
      </c>
      <c r="H674" t="s">
        <v>928</v>
      </c>
      <c r="I674" t="s">
        <v>6596</v>
      </c>
      <c r="L674" t="s">
        <v>197</v>
      </c>
    </row>
    <row r="675" spans="1:12" x14ac:dyDescent="0.4">
      <c r="A675" t="s">
        <v>1998</v>
      </c>
      <c r="B675">
        <v>60.6</v>
      </c>
      <c r="C675" t="s">
        <v>5734</v>
      </c>
      <c r="D675">
        <v>4</v>
      </c>
      <c r="E675">
        <v>-0.30499999999999999</v>
      </c>
      <c r="F675">
        <v>60.63</v>
      </c>
      <c r="G675">
        <v>2021</v>
      </c>
      <c r="H675" t="s">
        <v>928</v>
      </c>
      <c r="I675" t="s">
        <v>6596</v>
      </c>
      <c r="L675" t="s">
        <v>197</v>
      </c>
    </row>
    <row r="676" spans="1:12" x14ac:dyDescent="0.4">
      <c r="A676" t="s">
        <v>3335</v>
      </c>
      <c r="B676">
        <v>67</v>
      </c>
      <c r="C676" t="s">
        <v>5732</v>
      </c>
      <c r="D676">
        <v>4</v>
      </c>
      <c r="E676">
        <v>0.41799999999999998</v>
      </c>
      <c r="F676">
        <v>67.02</v>
      </c>
      <c r="G676">
        <v>2021</v>
      </c>
      <c r="H676" t="s">
        <v>928</v>
      </c>
      <c r="I676" t="s">
        <v>6596</v>
      </c>
      <c r="L676" t="s">
        <v>197</v>
      </c>
    </row>
    <row r="677" spans="1:12" x14ac:dyDescent="0.4">
      <c r="A677" t="s">
        <v>3349</v>
      </c>
      <c r="B677">
        <v>57.6</v>
      </c>
      <c r="C677" t="s">
        <v>5702</v>
      </c>
      <c r="D677">
        <v>3</v>
      </c>
      <c r="E677">
        <v>-0.64400000000000002</v>
      </c>
      <c r="F677">
        <v>57.6</v>
      </c>
      <c r="G677">
        <v>2021</v>
      </c>
      <c r="H677" t="s">
        <v>928</v>
      </c>
      <c r="I677" t="s">
        <v>6596</v>
      </c>
      <c r="L677" t="s">
        <v>197</v>
      </c>
    </row>
    <row r="678" spans="1:12" x14ac:dyDescent="0.4">
      <c r="A678" t="s">
        <v>1990</v>
      </c>
      <c r="B678">
        <v>69</v>
      </c>
      <c r="C678" t="s">
        <v>5701</v>
      </c>
      <c r="D678">
        <v>4</v>
      </c>
      <c r="E678">
        <v>0.64400000000000002</v>
      </c>
      <c r="F678">
        <v>69</v>
      </c>
      <c r="G678">
        <v>2021</v>
      </c>
      <c r="H678" t="s">
        <v>6613</v>
      </c>
      <c r="I678" t="s">
        <v>6614</v>
      </c>
      <c r="L678" t="s">
        <v>197</v>
      </c>
    </row>
    <row r="679" spans="1:12" x14ac:dyDescent="0.4">
      <c r="A679" t="s">
        <v>1997</v>
      </c>
      <c r="B679">
        <v>66</v>
      </c>
      <c r="C679" t="s">
        <v>5731</v>
      </c>
      <c r="D679">
        <v>4</v>
      </c>
      <c r="E679">
        <v>0.30499999999999999</v>
      </c>
      <c r="F679">
        <v>65.959999999999994</v>
      </c>
      <c r="G679">
        <v>2021</v>
      </c>
      <c r="H679" t="s">
        <v>928</v>
      </c>
      <c r="I679" t="s">
        <v>6596</v>
      </c>
      <c r="L679" t="s">
        <v>197</v>
      </c>
    </row>
    <row r="680" spans="1:12" x14ac:dyDescent="0.4">
      <c r="A680" t="s">
        <v>1991</v>
      </c>
      <c r="B680">
        <v>44.1</v>
      </c>
      <c r="C680" t="s">
        <v>6033</v>
      </c>
      <c r="D680">
        <v>3</v>
      </c>
      <c r="E680">
        <v>-2.169</v>
      </c>
      <c r="F680">
        <v>44.07</v>
      </c>
      <c r="G680">
        <v>2021</v>
      </c>
      <c r="H680" t="s">
        <v>928</v>
      </c>
      <c r="I680" t="s">
        <v>6596</v>
      </c>
      <c r="L680" t="s">
        <v>197</v>
      </c>
    </row>
    <row r="681" spans="1:12" x14ac:dyDescent="0.4">
      <c r="A681" t="s">
        <v>3319</v>
      </c>
      <c r="B681">
        <v>60.7</v>
      </c>
      <c r="C681" t="s">
        <v>5714</v>
      </c>
      <c r="D681">
        <v>4</v>
      </c>
      <c r="E681">
        <v>-0.29399999999999998</v>
      </c>
      <c r="F681">
        <v>60.66</v>
      </c>
      <c r="G681">
        <v>2021</v>
      </c>
      <c r="H681" t="s">
        <v>928</v>
      </c>
      <c r="I681" t="s">
        <v>6596</v>
      </c>
      <c r="L681" t="s">
        <v>197</v>
      </c>
    </row>
    <row r="682" spans="1:12" x14ac:dyDescent="0.4">
      <c r="A682" t="s">
        <v>3339</v>
      </c>
      <c r="B682">
        <v>55.1</v>
      </c>
      <c r="C682" t="s">
        <v>5708</v>
      </c>
      <c r="D682">
        <v>3</v>
      </c>
      <c r="E682">
        <v>-0.92700000000000005</v>
      </c>
      <c r="F682">
        <v>55.09</v>
      </c>
      <c r="G682">
        <v>2021</v>
      </c>
      <c r="H682" t="s">
        <v>928</v>
      </c>
      <c r="I682" t="s">
        <v>6596</v>
      </c>
      <c r="L682" t="s">
        <v>197</v>
      </c>
    </row>
    <row r="683" spans="1:12" x14ac:dyDescent="0.4">
      <c r="A683" t="s">
        <v>3343</v>
      </c>
      <c r="B683">
        <v>46.4</v>
      </c>
      <c r="C683" t="s">
        <v>6035</v>
      </c>
      <c r="D683">
        <v>3</v>
      </c>
      <c r="E683">
        <v>-1.91</v>
      </c>
      <c r="F683">
        <v>46.38</v>
      </c>
      <c r="G683">
        <v>2021</v>
      </c>
      <c r="H683" t="s">
        <v>928</v>
      </c>
      <c r="I683" t="s">
        <v>6596</v>
      </c>
      <c r="L683" t="s">
        <v>197</v>
      </c>
    </row>
    <row r="684" spans="1:12" x14ac:dyDescent="0.4">
      <c r="A684" t="s">
        <v>3341</v>
      </c>
      <c r="B684">
        <v>53.8</v>
      </c>
      <c r="C684" t="s">
        <v>5715</v>
      </c>
      <c r="D684">
        <v>3</v>
      </c>
      <c r="E684">
        <v>-1.073</v>
      </c>
      <c r="F684">
        <v>53.78</v>
      </c>
      <c r="G684">
        <v>2021</v>
      </c>
      <c r="H684" t="s">
        <v>928</v>
      </c>
      <c r="I684" t="s">
        <v>6596</v>
      </c>
      <c r="L684" t="s">
        <v>197</v>
      </c>
    </row>
    <row r="685" spans="1:12" x14ac:dyDescent="0.4">
      <c r="A685" t="s">
        <v>3329</v>
      </c>
      <c r="B685">
        <v>60.4</v>
      </c>
      <c r="C685" t="s">
        <v>5699</v>
      </c>
      <c r="D685">
        <v>4</v>
      </c>
      <c r="E685">
        <v>-0.32800000000000001</v>
      </c>
      <c r="F685">
        <v>60.4</v>
      </c>
      <c r="G685">
        <v>2021</v>
      </c>
      <c r="H685" t="s">
        <v>928</v>
      </c>
      <c r="I685" t="s">
        <v>6596</v>
      </c>
      <c r="L685" t="s">
        <v>197</v>
      </c>
    </row>
    <row r="686" spans="1:12" x14ac:dyDescent="0.4">
      <c r="A686" t="s">
        <v>3318</v>
      </c>
      <c r="B686">
        <v>62.7</v>
      </c>
      <c r="C686" t="s">
        <v>5706</v>
      </c>
      <c r="D686">
        <v>4</v>
      </c>
      <c r="E686">
        <v>-6.8000000000000005E-2</v>
      </c>
      <c r="F686">
        <v>62.66</v>
      </c>
      <c r="G686">
        <v>2021</v>
      </c>
      <c r="H686" t="s">
        <v>928</v>
      </c>
      <c r="I686" t="s">
        <v>6596</v>
      </c>
      <c r="L686" t="s">
        <v>197</v>
      </c>
    </row>
    <row r="687" spans="1:12" x14ac:dyDescent="0.4">
      <c r="A687" t="s">
        <v>3332</v>
      </c>
      <c r="B687">
        <v>68.2</v>
      </c>
      <c r="C687" t="s">
        <v>6580</v>
      </c>
      <c r="D687">
        <v>4</v>
      </c>
      <c r="E687">
        <v>0.55400000000000005</v>
      </c>
      <c r="F687">
        <v>68.2</v>
      </c>
      <c r="G687">
        <v>2021</v>
      </c>
      <c r="H687" t="s">
        <v>928</v>
      </c>
      <c r="I687" t="s">
        <v>6596</v>
      </c>
      <c r="L687" t="s">
        <v>197</v>
      </c>
    </row>
    <row r="688" spans="1:12" x14ac:dyDescent="0.4">
      <c r="A688" t="s">
        <v>3333</v>
      </c>
      <c r="B688">
        <v>68.400000000000006</v>
      </c>
      <c r="C688" t="s">
        <v>5695</v>
      </c>
      <c r="D688">
        <v>4</v>
      </c>
      <c r="E688">
        <v>0.57599999999999996</v>
      </c>
      <c r="F688">
        <v>68.349999999999994</v>
      </c>
      <c r="G688">
        <v>2021</v>
      </c>
      <c r="H688" t="s">
        <v>928</v>
      </c>
      <c r="I688" t="s">
        <v>6596</v>
      </c>
      <c r="L688" t="s">
        <v>197</v>
      </c>
    </row>
    <row r="689" spans="1:12" x14ac:dyDescent="0.4">
      <c r="A689" t="s">
        <v>3351</v>
      </c>
      <c r="B689">
        <v>62.1</v>
      </c>
      <c r="C689" t="s">
        <v>5735</v>
      </c>
      <c r="D689">
        <v>4</v>
      </c>
      <c r="E689">
        <v>-0.13600000000000001</v>
      </c>
      <c r="F689">
        <v>62.05</v>
      </c>
      <c r="G689">
        <v>2021</v>
      </c>
      <c r="H689" t="s">
        <v>928</v>
      </c>
      <c r="I689" t="s">
        <v>6596</v>
      </c>
      <c r="L689" t="s">
        <v>197</v>
      </c>
    </row>
    <row r="690" spans="1:12" x14ac:dyDescent="0.4">
      <c r="A690" t="s">
        <v>1992</v>
      </c>
      <c r="B690">
        <v>71.900000000000006</v>
      </c>
      <c r="C690" t="s">
        <v>5726</v>
      </c>
      <c r="D690">
        <v>4</v>
      </c>
      <c r="E690">
        <v>0.97199999999999998</v>
      </c>
      <c r="F690">
        <v>71.87</v>
      </c>
      <c r="G690">
        <v>2021</v>
      </c>
      <c r="H690" t="s">
        <v>928</v>
      </c>
      <c r="I690" t="s">
        <v>6596</v>
      </c>
      <c r="L690" t="s">
        <v>197</v>
      </c>
    </row>
    <row r="691" spans="1:12" x14ac:dyDescent="0.4">
      <c r="A691" t="s">
        <v>1996</v>
      </c>
      <c r="B691">
        <v>67.400000000000006</v>
      </c>
      <c r="C691" t="s">
        <v>6579</v>
      </c>
      <c r="D691">
        <v>4</v>
      </c>
      <c r="E691">
        <v>0.46300000000000002</v>
      </c>
      <c r="F691">
        <v>67.430000000000007</v>
      </c>
      <c r="G691">
        <v>2021</v>
      </c>
      <c r="H691" t="s">
        <v>928</v>
      </c>
      <c r="I691" t="s">
        <v>6596</v>
      </c>
      <c r="L691" t="s">
        <v>197</v>
      </c>
    </row>
    <row r="692" spans="1:12" x14ac:dyDescent="0.4">
      <c r="A692" t="s">
        <v>3334</v>
      </c>
      <c r="B692">
        <v>62.5</v>
      </c>
      <c r="C692" t="s">
        <v>5693</v>
      </c>
      <c r="D692">
        <v>4</v>
      </c>
      <c r="E692">
        <v>-0.09</v>
      </c>
      <c r="F692">
        <v>62.48</v>
      </c>
      <c r="G692">
        <v>2021</v>
      </c>
      <c r="H692" t="s">
        <v>928</v>
      </c>
      <c r="I692" t="s">
        <v>6596</v>
      </c>
      <c r="L692" t="s">
        <v>197</v>
      </c>
    </row>
    <row r="693" spans="1:12" x14ac:dyDescent="0.4">
      <c r="A693" t="s">
        <v>3340</v>
      </c>
      <c r="B693">
        <v>53.8</v>
      </c>
      <c r="C693" t="s">
        <v>5715</v>
      </c>
      <c r="D693">
        <v>3</v>
      </c>
      <c r="E693">
        <v>-1.073</v>
      </c>
      <c r="F693">
        <v>53.78</v>
      </c>
      <c r="G693">
        <v>2021</v>
      </c>
      <c r="H693" t="s">
        <v>928</v>
      </c>
      <c r="I693" t="s">
        <v>6596</v>
      </c>
      <c r="L693" t="s">
        <v>197</v>
      </c>
    </row>
    <row r="694" spans="1:12" x14ac:dyDescent="0.4">
      <c r="A694" t="s">
        <v>3321</v>
      </c>
      <c r="B694">
        <v>50.9</v>
      </c>
      <c r="C694" t="s">
        <v>5710</v>
      </c>
      <c r="D694">
        <v>3</v>
      </c>
      <c r="E694">
        <v>-1.401</v>
      </c>
      <c r="F694">
        <v>50.91</v>
      </c>
      <c r="G694">
        <v>2021</v>
      </c>
      <c r="H694" t="s">
        <v>928</v>
      </c>
      <c r="I694" t="s">
        <v>6596</v>
      </c>
      <c r="L694" t="s">
        <v>197</v>
      </c>
    </row>
    <row r="695" spans="1:12" x14ac:dyDescent="0.4">
      <c r="A695" t="s">
        <v>5785</v>
      </c>
      <c r="B695">
        <v>69.7</v>
      </c>
      <c r="C695" t="s">
        <v>6856</v>
      </c>
      <c r="D695">
        <v>4</v>
      </c>
      <c r="E695">
        <v>0.72299999999999998</v>
      </c>
      <c r="F695">
        <v>69.709999999999994</v>
      </c>
      <c r="G695">
        <v>2021</v>
      </c>
      <c r="H695" t="s">
        <v>928</v>
      </c>
      <c r="I695" t="s">
        <v>6596</v>
      </c>
      <c r="L695" t="s">
        <v>197</v>
      </c>
    </row>
    <row r="696" spans="1:12" x14ac:dyDescent="0.4">
      <c r="A696" t="s">
        <v>3344</v>
      </c>
      <c r="B696">
        <v>68.7</v>
      </c>
      <c r="C696" t="s">
        <v>5721</v>
      </c>
      <c r="D696">
        <v>4</v>
      </c>
      <c r="E696">
        <v>0.61</v>
      </c>
      <c r="F696">
        <v>68.739999999999995</v>
      </c>
      <c r="G696">
        <v>2021</v>
      </c>
      <c r="H696" t="s">
        <v>928</v>
      </c>
      <c r="I696" t="s">
        <v>6596</v>
      </c>
      <c r="L696" t="s">
        <v>197</v>
      </c>
    </row>
    <row r="697" spans="1:12" x14ac:dyDescent="0.4">
      <c r="A697" t="s">
        <v>5786</v>
      </c>
      <c r="B697">
        <v>64.900000000000006</v>
      </c>
      <c r="C697" t="s">
        <v>5729</v>
      </c>
      <c r="D697">
        <v>4</v>
      </c>
      <c r="E697">
        <v>0.18099999999999999</v>
      </c>
      <c r="F697">
        <v>64.91</v>
      </c>
      <c r="G697">
        <v>2021</v>
      </c>
      <c r="H697" t="s">
        <v>928</v>
      </c>
      <c r="I697" t="s">
        <v>6596</v>
      </c>
      <c r="L697" t="s">
        <v>197</v>
      </c>
    </row>
    <row r="698" spans="1:12" x14ac:dyDescent="0.4">
      <c r="A698" t="s">
        <v>3352</v>
      </c>
      <c r="B698">
        <v>63.6</v>
      </c>
      <c r="C698" t="s">
        <v>5703</v>
      </c>
      <c r="D698">
        <v>4</v>
      </c>
      <c r="E698">
        <v>3.4000000000000002E-2</v>
      </c>
      <c r="F698">
        <v>63.58</v>
      </c>
      <c r="G698">
        <v>2021</v>
      </c>
      <c r="H698" t="s">
        <v>928</v>
      </c>
      <c r="I698" t="s">
        <v>6596</v>
      </c>
      <c r="L698" t="s">
        <v>197</v>
      </c>
    </row>
    <row r="699" spans="1:12" x14ac:dyDescent="0.4">
      <c r="A699" t="s">
        <v>3327</v>
      </c>
      <c r="B699">
        <v>48.6</v>
      </c>
      <c r="C699" t="s">
        <v>6036</v>
      </c>
      <c r="D699">
        <v>3</v>
      </c>
      <c r="E699">
        <v>-1.661</v>
      </c>
      <c r="F699">
        <v>48.63</v>
      </c>
      <c r="G699">
        <v>2021</v>
      </c>
      <c r="H699" t="s">
        <v>928</v>
      </c>
      <c r="I699" t="s">
        <v>6596</v>
      </c>
      <c r="L699" t="s">
        <v>197</v>
      </c>
    </row>
    <row r="700" spans="1:12" x14ac:dyDescent="0.4">
      <c r="A700" t="s">
        <v>3331</v>
      </c>
      <c r="B700">
        <v>70.900000000000006</v>
      </c>
      <c r="C700" t="s">
        <v>2484</v>
      </c>
      <c r="D700">
        <v>4</v>
      </c>
      <c r="E700">
        <v>0.85899999999999999</v>
      </c>
      <c r="F700">
        <v>70.87</v>
      </c>
      <c r="G700">
        <v>2021</v>
      </c>
      <c r="H700" t="s">
        <v>928</v>
      </c>
      <c r="I700" t="s">
        <v>6596</v>
      </c>
      <c r="L700" t="s">
        <v>197</v>
      </c>
    </row>
    <row r="701" spans="1:12" x14ac:dyDescent="0.4">
      <c r="A701" t="s">
        <v>3325</v>
      </c>
      <c r="B701">
        <v>69.7</v>
      </c>
      <c r="C701" t="s">
        <v>6856</v>
      </c>
      <c r="D701">
        <v>4</v>
      </c>
      <c r="E701">
        <v>0.72299999999999998</v>
      </c>
      <c r="F701">
        <v>69.709999999999994</v>
      </c>
      <c r="G701">
        <v>2021</v>
      </c>
      <c r="H701" t="s">
        <v>928</v>
      </c>
      <c r="I701" t="s">
        <v>6596</v>
      </c>
      <c r="L701" t="s">
        <v>197</v>
      </c>
    </row>
    <row r="702" spans="1:12" x14ac:dyDescent="0.4">
      <c r="A702" t="s">
        <v>5787</v>
      </c>
      <c r="B702">
        <v>75.900000000000006</v>
      </c>
      <c r="C702" t="s">
        <v>2475</v>
      </c>
      <c r="D702">
        <v>4</v>
      </c>
      <c r="E702">
        <v>1.4239999999999999</v>
      </c>
      <c r="F702">
        <v>75.900000000000006</v>
      </c>
      <c r="G702">
        <v>2021</v>
      </c>
      <c r="H702" t="s">
        <v>928</v>
      </c>
      <c r="I702" t="s">
        <v>6596</v>
      </c>
      <c r="L702" t="s">
        <v>197</v>
      </c>
    </row>
    <row r="703" spans="1:12" x14ac:dyDescent="0.4">
      <c r="A703" t="s">
        <v>3345</v>
      </c>
      <c r="B703">
        <v>76</v>
      </c>
      <c r="C703" t="s">
        <v>2477</v>
      </c>
      <c r="D703">
        <v>4</v>
      </c>
      <c r="E703">
        <v>1.4350000000000001</v>
      </c>
      <c r="F703">
        <v>76</v>
      </c>
      <c r="G703">
        <v>2021</v>
      </c>
      <c r="H703" t="s">
        <v>928</v>
      </c>
      <c r="I703" t="s">
        <v>6596</v>
      </c>
      <c r="L703" t="s">
        <v>197</v>
      </c>
    </row>
    <row r="704" spans="1:12" x14ac:dyDescent="0.4">
      <c r="A704" t="s">
        <v>1993</v>
      </c>
      <c r="B704">
        <v>56.3</v>
      </c>
      <c r="C704" t="s">
        <v>5737</v>
      </c>
      <c r="D704">
        <v>3</v>
      </c>
      <c r="E704">
        <v>-0.79100000000000004</v>
      </c>
      <c r="F704">
        <v>56.26</v>
      </c>
      <c r="G704">
        <v>2021</v>
      </c>
      <c r="H704" t="s">
        <v>928</v>
      </c>
      <c r="I704" t="s">
        <v>6596</v>
      </c>
      <c r="L704" t="s">
        <v>197</v>
      </c>
    </row>
    <row r="705" spans="1:12" x14ac:dyDescent="0.4">
      <c r="A705" t="s">
        <v>1994</v>
      </c>
      <c r="B705">
        <v>77.400000000000006</v>
      </c>
      <c r="C705" t="s">
        <v>2478</v>
      </c>
      <c r="D705">
        <v>4</v>
      </c>
      <c r="E705">
        <v>1.593</v>
      </c>
      <c r="F705">
        <v>77.37</v>
      </c>
      <c r="G705">
        <v>2021</v>
      </c>
      <c r="H705" t="s">
        <v>928</v>
      </c>
      <c r="I705" t="s">
        <v>6596</v>
      </c>
      <c r="L705" t="s">
        <v>197</v>
      </c>
    </row>
    <row r="706" spans="1:12" x14ac:dyDescent="0.4">
      <c r="A706" t="s">
        <v>3348</v>
      </c>
      <c r="B706">
        <v>71.900000000000006</v>
      </c>
      <c r="C706" t="s">
        <v>5726</v>
      </c>
      <c r="D706">
        <v>4</v>
      </c>
      <c r="E706">
        <v>0.97199999999999998</v>
      </c>
      <c r="F706">
        <v>71.87</v>
      </c>
      <c r="G706">
        <v>2021</v>
      </c>
      <c r="H706" t="s">
        <v>928</v>
      </c>
      <c r="I706" t="s">
        <v>6596</v>
      </c>
      <c r="L706" t="s">
        <v>197</v>
      </c>
    </row>
    <row r="707" spans="1:12" x14ac:dyDescent="0.4">
      <c r="A707" t="s">
        <v>1995</v>
      </c>
      <c r="B707">
        <v>68.7</v>
      </c>
      <c r="C707" t="s">
        <v>5721</v>
      </c>
      <c r="D707">
        <v>4</v>
      </c>
      <c r="E707">
        <v>0.61</v>
      </c>
      <c r="F707">
        <v>68.739999999999995</v>
      </c>
      <c r="G707">
        <v>2021</v>
      </c>
      <c r="H707" t="s">
        <v>928</v>
      </c>
      <c r="I707" t="s">
        <v>6596</v>
      </c>
      <c r="L707" t="s">
        <v>197</v>
      </c>
    </row>
    <row r="708" spans="1:12" x14ac:dyDescent="0.4">
      <c r="A708" t="s">
        <v>3323</v>
      </c>
      <c r="B708">
        <v>84.1</v>
      </c>
      <c r="C708" t="s">
        <v>2479</v>
      </c>
      <c r="D708">
        <v>5</v>
      </c>
      <c r="E708">
        <v>2.35</v>
      </c>
      <c r="F708">
        <v>84.06</v>
      </c>
      <c r="G708">
        <v>2021</v>
      </c>
      <c r="H708" t="s">
        <v>928</v>
      </c>
      <c r="I708" t="s">
        <v>6596</v>
      </c>
      <c r="L708" t="s">
        <v>197</v>
      </c>
    </row>
    <row r="709" spans="1:12" x14ac:dyDescent="0.4">
      <c r="A709" t="s">
        <v>3337</v>
      </c>
      <c r="B709">
        <v>68.8</v>
      </c>
      <c r="C709" t="s">
        <v>5707</v>
      </c>
      <c r="D709">
        <v>4</v>
      </c>
      <c r="E709">
        <v>0.621</v>
      </c>
      <c r="F709">
        <v>68.819999999999993</v>
      </c>
      <c r="G709">
        <v>2021</v>
      </c>
      <c r="H709" t="s">
        <v>928</v>
      </c>
      <c r="I709" t="s">
        <v>6596</v>
      </c>
      <c r="L709" t="s">
        <v>197</v>
      </c>
    </row>
    <row r="710" spans="1:12" x14ac:dyDescent="0.4">
      <c r="A710" t="s">
        <v>3347</v>
      </c>
      <c r="B710">
        <v>56.3</v>
      </c>
      <c r="C710" t="s">
        <v>5737</v>
      </c>
      <c r="D710">
        <v>3</v>
      </c>
      <c r="E710">
        <v>-0.79100000000000004</v>
      </c>
      <c r="F710">
        <v>56.26</v>
      </c>
      <c r="G710">
        <v>2021</v>
      </c>
      <c r="H710" t="s">
        <v>928</v>
      </c>
      <c r="I710" t="s">
        <v>6596</v>
      </c>
      <c r="L710" t="s">
        <v>197</v>
      </c>
    </row>
    <row r="711" spans="1:12" x14ac:dyDescent="0.4">
      <c r="A711" t="s">
        <v>3338</v>
      </c>
      <c r="B711">
        <v>50.3</v>
      </c>
      <c r="C711" t="s">
        <v>6037</v>
      </c>
      <c r="D711">
        <v>3</v>
      </c>
      <c r="E711">
        <v>-1.4690000000000001</v>
      </c>
      <c r="F711">
        <v>50.3</v>
      </c>
      <c r="G711">
        <v>2021</v>
      </c>
      <c r="H711" t="s">
        <v>928</v>
      </c>
      <c r="I711" t="s">
        <v>6596</v>
      </c>
      <c r="L711" t="s">
        <v>197</v>
      </c>
    </row>
    <row r="712" spans="1:12" x14ac:dyDescent="0.4">
      <c r="A712" t="s">
        <v>1434</v>
      </c>
      <c r="B712">
        <v>63.3</v>
      </c>
      <c r="C712" t="s">
        <v>197</v>
      </c>
      <c r="D712">
        <v>4</v>
      </c>
    </row>
    <row r="713" spans="1:12" x14ac:dyDescent="0.4">
      <c r="A713" t="s">
        <v>1435</v>
      </c>
      <c r="B713">
        <v>57.5</v>
      </c>
      <c r="C713" t="s">
        <v>197</v>
      </c>
      <c r="D713">
        <v>3</v>
      </c>
    </row>
    <row r="714" spans="1:12" x14ac:dyDescent="0.4">
      <c r="A714" t="s">
        <v>1583</v>
      </c>
      <c r="B714">
        <v>73.2</v>
      </c>
      <c r="C714" t="s">
        <v>197</v>
      </c>
      <c r="D714">
        <v>4</v>
      </c>
    </row>
    <row r="715" spans="1:12" x14ac:dyDescent="0.4">
      <c r="A715" t="s">
        <v>1677</v>
      </c>
      <c r="B715">
        <v>58</v>
      </c>
      <c r="C715" t="s">
        <v>197</v>
      </c>
      <c r="D715">
        <v>3</v>
      </c>
    </row>
    <row r="716" spans="1:12" x14ac:dyDescent="0.4">
      <c r="A716" t="s">
        <v>1678</v>
      </c>
      <c r="B716">
        <v>67.400000000000006</v>
      </c>
      <c r="C716" t="s">
        <v>197</v>
      </c>
      <c r="D716">
        <v>4</v>
      </c>
    </row>
    <row r="717" spans="1:12" x14ac:dyDescent="0.4">
      <c r="A717" t="s">
        <v>2558</v>
      </c>
      <c r="B717">
        <v>53.5</v>
      </c>
      <c r="C717" t="s">
        <v>197</v>
      </c>
      <c r="D717">
        <v>3</v>
      </c>
    </row>
    <row r="718" spans="1:12" x14ac:dyDescent="0.4">
      <c r="A718" t="s">
        <v>2559</v>
      </c>
      <c r="B718">
        <v>66.2</v>
      </c>
      <c r="C718" t="s">
        <v>197</v>
      </c>
      <c r="D718">
        <v>4</v>
      </c>
    </row>
    <row r="719" spans="1:12" x14ac:dyDescent="0.4">
      <c r="A719" t="s">
        <v>7288</v>
      </c>
      <c r="B719">
        <v>56</v>
      </c>
      <c r="C719" t="s">
        <v>197</v>
      </c>
      <c r="D719">
        <v>3</v>
      </c>
    </row>
    <row r="720" spans="1:12" x14ac:dyDescent="0.4">
      <c r="A720" t="s">
        <v>7289</v>
      </c>
      <c r="B720">
        <v>62.6</v>
      </c>
      <c r="C720" t="s">
        <v>197</v>
      </c>
      <c r="D720">
        <v>4</v>
      </c>
    </row>
    <row r="721" spans="1:12" x14ac:dyDescent="0.4">
      <c r="A721" t="s">
        <v>7290</v>
      </c>
      <c r="B721">
        <v>68.8</v>
      </c>
      <c r="C721" t="s">
        <v>197</v>
      </c>
      <c r="D721">
        <v>4</v>
      </c>
    </row>
    <row r="722" spans="1:12" x14ac:dyDescent="0.4">
      <c r="A722" t="s">
        <v>3427</v>
      </c>
      <c r="B722">
        <v>94.4</v>
      </c>
      <c r="C722" t="s">
        <v>2484</v>
      </c>
      <c r="D722">
        <v>5</v>
      </c>
      <c r="E722">
        <v>0.72</v>
      </c>
      <c r="F722">
        <v>0.56999999999999995</v>
      </c>
      <c r="G722">
        <v>2018</v>
      </c>
      <c r="H722" t="s">
        <v>928</v>
      </c>
      <c r="I722" t="s">
        <v>6596</v>
      </c>
      <c r="L722" t="s">
        <v>197</v>
      </c>
    </row>
    <row r="723" spans="1:12" x14ac:dyDescent="0.4">
      <c r="A723" t="s">
        <v>3425</v>
      </c>
      <c r="B723">
        <v>68.400000000000006</v>
      </c>
      <c r="C723" t="s">
        <v>5709</v>
      </c>
      <c r="D723">
        <v>4</v>
      </c>
      <c r="E723">
        <v>-0.22500000000000001</v>
      </c>
      <c r="F723">
        <v>2.74</v>
      </c>
      <c r="G723">
        <v>2024</v>
      </c>
      <c r="H723" t="s">
        <v>6613</v>
      </c>
      <c r="I723" t="s">
        <v>6614</v>
      </c>
      <c r="L723" t="s">
        <v>197</v>
      </c>
    </row>
    <row r="724" spans="1:12" x14ac:dyDescent="0.4">
      <c r="A724" t="s">
        <v>3431</v>
      </c>
      <c r="B724">
        <v>90.5</v>
      </c>
      <c r="C724" t="s">
        <v>6045</v>
      </c>
      <c r="D724">
        <v>5</v>
      </c>
      <c r="E724">
        <v>0.57799999999999996</v>
      </c>
      <c r="F724">
        <v>0.89</v>
      </c>
      <c r="G724">
        <v>2021</v>
      </c>
      <c r="H724" t="s">
        <v>928</v>
      </c>
      <c r="I724" t="s">
        <v>6596</v>
      </c>
      <c r="L724" t="s">
        <v>197</v>
      </c>
    </row>
    <row r="725" spans="1:12" x14ac:dyDescent="0.4">
      <c r="A725" t="s">
        <v>3455</v>
      </c>
      <c r="B725">
        <v>88.5</v>
      </c>
      <c r="C725" t="s">
        <v>5739</v>
      </c>
      <c r="D725">
        <v>5</v>
      </c>
      <c r="E725">
        <v>0.50600000000000001</v>
      </c>
      <c r="F725">
        <v>1.06</v>
      </c>
      <c r="G725">
        <v>2024</v>
      </c>
      <c r="H725" t="s">
        <v>6613</v>
      </c>
      <c r="I725" t="s">
        <v>6614</v>
      </c>
      <c r="L725" t="s">
        <v>197</v>
      </c>
    </row>
    <row r="726" spans="1:12" x14ac:dyDescent="0.4">
      <c r="A726" t="s">
        <v>2015</v>
      </c>
      <c r="B726">
        <v>97.2</v>
      </c>
      <c r="C726" t="s">
        <v>2477</v>
      </c>
      <c r="D726">
        <v>5</v>
      </c>
      <c r="E726">
        <v>0.82199999999999995</v>
      </c>
      <c r="F726">
        <v>0.33</v>
      </c>
      <c r="G726">
        <v>2021</v>
      </c>
      <c r="H726" t="s">
        <v>928</v>
      </c>
      <c r="I726" t="s">
        <v>6596</v>
      </c>
      <c r="L726" t="s">
        <v>197</v>
      </c>
    </row>
    <row r="727" spans="1:12" x14ac:dyDescent="0.4">
      <c r="A727" t="s">
        <v>3451</v>
      </c>
      <c r="B727">
        <v>18.100000000000001</v>
      </c>
      <c r="C727" t="s">
        <v>6855</v>
      </c>
      <c r="D727">
        <v>1</v>
      </c>
      <c r="E727">
        <v>-2.0550000000000002</v>
      </c>
      <c r="F727">
        <v>6.94</v>
      </c>
      <c r="G727">
        <v>2018</v>
      </c>
      <c r="H727" t="s">
        <v>928</v>
      </c>
      <c r="I727" t="s">
        <v>6596</v>
      </c>
      <c r="L727" t="s">
        <v>197</v>
      </c>
    </row>
    <row r="728" spans="1:12" x14ac:dyDescent="0.4">
      <c r="A728" t="s">
        <v>3435</v>
      </c>
      <c r="B728">
        <v>100</v>
      </c>
      <c r="C728" t="s">
        <v>2479</v>
      </c>
      <c r="D728">
        <v>5</v>
      </c>
      <c r="E728">
        <v>0.92400000000000004</v>
      </c>
      <c r="F728">
        <v>0.1</v>
      </c>
      <c r="G728">
        <v>2010</v>
      </c>
      <c r="H728" t="s">
        <v>928</v>
      </c>
      <c r="I728" t="s">
        <v>6596</v>
      </c>
      <c r="L728" t="s">
        <v>197</v>
      </c>
    </row>
    <row r="729" spans="1:12" x14ac:dyDescent="0.4">
      <c r="A729" t="s">
        <v>3429</v>
      </c>
      <c r="B729">
        <v>74.5</v>
      </c>
      <c r="C729" t="s">
        <v>5694</v>
      </c>
      <c r="D729">
        <v>4</v>
      </c>
      <c r="E729">
        <v>-4.0000000000000001E-3</v>
      </c>
      <c r="F729">
        <v>2.23</v>
      </c>
      <c r="G729">
        <v>2016</v>
      </c>
      <c r="H729" t="s">
        <v>928</v>
      </c>
      <c r="I729" t="s">
        <v>6596</v>
      </c>
      <c r="L729" t="s">
        <v>197</v>
      </c>
    </row>
    <row r="730" spans="1:12" x14ac:dyDescent="0.4">
      <c r="A730" t="s">
        <v>3441</v>
      </c>
      <c r="B730">
        <v>90.3</v>
      </c>
      <c r="C730" t="s">
        <v>6580</v>
      </c>
      <c r="D730">
        <v>5</v>
      </c>
      <c r="E730">
        <v>0.57099999999999995</v>
      </c>
      <c r="F730">
        <v>0.91</v>
      </c>
      <c r="G730">
        <v>2018</v>
      </c>
      <c r="H730" t="s">
        <v>928</v>
      </c>
      <c r="I730" t="s">
        <v>6596</v>
      </c>
      <c r="L730" t="s">
        <v>197</v>
      </c>
    </row>
    <row r="731" spans="1:12" x14ac:dyDescent="0.4">
      <c r="A731" t="s">
        <v>3433</v>
      </c>
      <c r="B731">
        <v>28.1</v>
      </c>
      <c r="C731" t="s">
        <v>5711</v>
      </c>
      <c r="D731">
        <v>2</v>
      </c>
      <c r="E731">
        <v>-1.6910000000000001</v>
      </c>
      <c r="F731">
        <v>6.1</v>
      </c>
      <c r="G731">
        <v>2017</v>
      </c>
      <c r="H731" t="s">
        <v>928</v>
      </c>
      <c r="I731" t="s">
        <v>6596</v>
      </c>
      <c r="L731" t="s">
        <v>197</v>
      </c>
    </row>
    <row r="732" spans="1:12" x14ac:dyDescent="0.4">
      <c r="A732" t="s">
        <v>5960</v>
      </c>
      <c r="B732">
        <v>90.4</v>
      </c>
      <c r="C732" t="s">
        <v>6584</v>
      </c>
      <c r="D732">
        <v>5</v>
      </c>
      <c r="E732">
        <v>0.57499999999999996</v>
      </c>
      <c r="F732">
        <v>0.9</v>
      </c>
      <c r="G732">
        <v>2016</v>
      </c>
      <c r="H732" t="s">
        <v>928</v>
      </c>
      <c r="I732" t="s">
        <v>6596</v>
      </c>
      <c r="L732" t="s">
        <v>197</v>
      </c>
    </row>
    <row r="733" spans="1:12" x14ac:dyDescent="0.4">
      <c r="A733" t="s">
        <v>3447</v>
      </c>
      <c r="B733">
        <v>21.3</v>
      </c>
      <c r="C733" t="s">
        <v>6607</v>
      </c>
      <c r="D733">
        <v>2</v>
      </c>
      <c r="E733">
        <v>-1.9379999999999999</v>
      </c>
      <c r="F733">
        <v>6.67</v>
      </c>
      <c r="G733">
        <v>2017</v>
      </c>
      <c r="H733" t="s">
        <v>928</v>
      </c>
      <c r="I733" t="s">
        <v>6596</v>
      </c>
      <c r="L733" t="s">
        <v>197</v>
      </c>
    </row>
    <row r="734" spans="1:12" x14ac:dyDescent="0.4">
      <c r="A734" t="s">
        <v>2016</v>
      </c>
      <c r="B734">
        <v>0</v>
      </c>
      <c r="C734" t="s">
        <v>6033</v>
      </c>
      <c r="D734">
        <v>1</v>
      </c>
      <c r="E734">
        <v>-2.7130000000000001</v>
      </c>
      <c r="F734">
        <v>8.4499999999999993</v>
      </c>
      <c r="G734">
        <v>2016</v>
      </c>
      <c r="H734" t="s">
        <v>928</v>
      </c>
      <c r="I734" t="s">
        <v>6596</v>
      </c>
      <c r="L734" t="s">
        <v>197</v>
      </c>
    </row>
    <row r="735" spans="1:12" x14ac:dyDescent="0.4">
      <c r="A735" t="s">
        <v>2025</v>
      </c>
      <c r="B735">
        <v>88.5</v>
      </c>
      <c r="C735" t="s">
        <v>5739</v>
      </c>
      <c r="D735">
        <v>5</v>
      </c>
      <c r="E735">
        <v>0.50600000000000001</v>
      </c>
      <c r="F735">
        <v>1.06</v>
      </c>
      <c r="G735">
        <v>2024</v>
      </c>
      <c r="H735" t="s">
        <v>6613</v>
      </c>
      <c r="I735" t="s">
        <v>6614</v>
      </c>
      <c r="L735" t="s">
        <v>197</v>
      </c>
    </row>
    <row r="736" spans="1:12" x14ac:dyDescent="0.4">
      <c r="A736" t="s">
        <v>3440</v>
      </c>
      <c r="B736">
        <v>93.3</v>
      </c>
      <c r="C736" t="s">
        <v>2481</v>
      </c>
      <c r="D736">
        <v>5</v>
      </c>
      <c r="E736">
        <v>0.68</v>
      </c>
      <c r="F736">
        <v>0.66</v>
      </c>
      <c r="G736">
        <v>2016</v>
      </c>
      <c r="H736" t="s">
        <v>928</v>
      </c>
      <c r="I736" t="s">
        <v>6596</v>
      </c>
      <c r="L736" t="s">
        <v>197</v>
      </c>
    </row>
    <row r="737" spans="1:12" x14ac:dyDescent="0.4">
      <c r="A737" t="s">
        <v>3454</v>
      </c>
      <c r="B737">
        <v>80.5</v>
      </c>
      <c r="C737" t="s">
        <v>5733</v>
      </c>
      <c r="D737">
        <v>5</v>
      </c>
      <c r="E737">
        <v>0.215</v>
      </c>
      <c r="F737">
        <v>1.73</v>
      </c>
      <c r="G737">
        <v>2020</v>
      </c>
      <c r="H737" t="s">
        <v>928</v>
      </c>
      <c r="I737" t="s">
        <v>6596</v>
      </c>
      <c r="L737" t="s">
        <v>197</v>
      </c>
    </row>
    <row r="738" spans="1:12" x14ac:dyDescent="0.4">
      <c r="A738" t="s">
        <v>2017</v>
      </c>
      <c r="B738">
        <v>88.5</v>
      </c>
      <c r="C738" t="s">
        <v>5739</v>
      </c>
      <c r="D738">
        <v>5</v>
      </c>
      <c r="E738">
        <v>0.50600000000000001</v>
      </c>
      <c r="F738">
        <v>1.06</v>
      </c>
      <c r="G738">
        <v>2024</v>
      </c>
      <c r="H738" t="s">
        <v>6613</v>
      </c>
      <c r="I738" t="s">
        <v>6614</v>
      </c>
      <c r="L738" t="s">
        <v>197</v>
      </c>
    </row>
    <row r="739" spans="1:12" x14ac:dyDescent="0.4">
      <c r="A739" t="s">
        <v>2024</v>
      </c>
      <c r="B739">
        <v>93.2</v>
      </c>
      <c r="C739" t="s">
        <v>5730</v>
      </c>
      <c r="D739">
        <v>5</v>
      </c>
      <c r="E739">
        <v>0.67600000000000005</v>
      </c>
      <c r="F739">
        <v>0.67</v>
      </c>
      <c r="G739">
        <v>2019</v>
      </c>
      <c r="H739" t="s">
        <v>928</v>
      </c>
      <c r="I739" t="s">
        <v>6596</v>
      </c>
      <c r="L739" t="s">
        <v>197</v>
      </c>
    </row>
    <row r="740" spans="1:12" x14ac:dyDescent="0.4">
      <c r="A740" t="s">
        <v>2018</v>
      </c>
      <c r="B740">
        <v>97</v>
      </c>
      <c r="C740" t="s">
        <v>2475</v>
      </c>
      <c r="D740">
        <v>5</v>
      </c>
      <c r="E740">
        <v>0.81499999999999995</v>
      </c>
      <c r="F740">
        <v>0.35</v>
      </c>
      <c r="G740">
        <v>2021</v>
      </c>
      <c r="H740" t="s">
        <v>928</v>
      </c>
      <c r="I740" t="s">
        <v>6596</v>
      </c>
      <c r="L740" t="s">
        <v>197</v>
      </c>
    </row>
    <row r="741" spans="1:12" x14ac:dyDescent="0.4">
      <c r="A741" t="s">
        <v>3424</v>
      </c>
      <c r="B741">
        <v>99.8</v>
      </c>
      <c r="C741" t="s">
        <v>2478</v>
      </c>
      <c r="D741">
        <v>5</v>
      </c>
      <c r="E741">
        <v>0.91600000000000004</v>
      </c>
      <c r="F741">
        <v>0.12</v>
      </c>
      <c r="G741">
        <v>2014</v>
      </c>
      <c r="H741" t="s">
        <v>928</v>
      </c>
      <c r="I741" t="s">
        <v>6596</v>
      </c>
      <c r="L741" t="s">
        <v>197</v>
      </c>
    </row>
    <row r="742" spans="1:12" x14ac:dyDescent="0.4">
      <c r="A742" t="s">
        <v>3444</v>
      </c>
      <c r="B742">
        <v>89</v>
      </c>
      <c r="C742" t="s">
        <v>6579</v>
      </c>
      <c r="D742">
        <v>5</v>
      </c>
      <c r="E742">
        <v>0.52400000000000002</v>
      </c>
      <c r="F742">
        <v>1.02</v>
      </c>
      <c r="G742">
        <v>2018</v>
      </c>
      <c r="H742" t="s">
        <v>928</v>
      </c>
      <c r="I742" t="s">
        <v>6596</v>
      </c>
      <c r="L742" t="s">
        <v>197</v>
      </c>
    </row>
    <row r="743" spans="1:12" x14ac:dyDescent="0.4">
      <c r="A743" t="s">
        <v>3448</v>
      </c>
      <c r="B743">
        <v>76</v>
      </c>
      <c r="C743" t="s">
        <v>5702</v>
      </c>
      <c r="D743">
        <v>4</v>
      </c>
      <c r="E743">
        <v>5.0999999999999997E-2</v>
      </c>
      <c r="F743">
        <v>2.1</v>
      </c>
      <c r="G743" t="s">
        <v>197</v>
      </c>
      <c r="H743" t="s">
        <v>928</v>
      </c>
      <c r="I743" t="s">
        <v>6596</v>
      </c>
      <c r="L743" t="s">
        <v>197</v>
      </c>
    </row>
    <row r="744" spans="1:12" x14ac:dyDescent="0.4">
      <c r="A744" t="s">
        <v>3446</v>
      </c>
      <c r="B744">
        <v>21.3</v>
      </c>
      <c r="C744" t="s">
        <v>6607</v>
      </c>
      <c r="D744">
        <v>2</v>
      </c>
      <c r="E744">
        <v>-1.9379999999999999</v>
      </c>
      <c r="F744">
        <v>6.67</v>
      </c>
      <c r="G744">
        <v>2017</v>
      </c>
      <c r="H744" t="s">
        <v>928</v>
      </c>
      <c r="I744" t="s">
        <v>6596</v>
      </c>
      <c r="L744" t="s">
        <v>197</v>
      </c>
    </row>
    <row r="745" spans="1:12" x14ac:dyDescent="0.4">
      <c r="A745" t="s">
        <v>3434</v>
      </c>
      <c r="B745">
        <v>88.5</v>
      </c>
      <c r="C745" t="s">
        <v>5739</v>
      </c>
      <c r="D745">
        <v>5</v>
      </c>
      <c r="E745">
        <v>0.50600000000000001</v>
      </c>
      <c r="F745">
        <v>1.06</v>
      </c>
      <c r="G745">
        <v>2024</v>
      </c>
      <c r="H745" t="s">
        <v>6613</v>
      </c>
      <c r="I745" t="s">
        <v>6614</v>
      </c>
      <c r="L745" t="s">
        <v>197</v>
      </c>
    </row>
    <row r="746" spans="1:12" x14ac:dyDescent="0.4">
      <c r="A746" t="s">
        <v>3423</v>
      </c>
      <c r="B746">
        <v>52.2</v>
      </c>
      <c r="C746" t="s">
        <v>5713</v>
      </c>
      <c r="D746">
        <v>3</v>
      </c>
      <c r="E746">
        <v>-0.81499999999999995</v>
      </c>
      <c r="F746">
        <v>4.09</v>
      </c>
      <c r="G746">
        <v>2018</v>
      </c>
      <c r="H746" t="s">
        <v>928</v>
      </c>
      <c r="I746" t="s">
        <v>6596</v>
      </c>
      <c r="L746" t="s">
        <v>197</v>
      </c>
    </row>
    <row r="747" spans="1:12" x14ac:dyDescent="0.4">
      <c r="A747" t="s">
        <v>3437</v>
      </c>
      <c r="B747">
        <v>94.5</v>
      </c>
      <c r="C747" t="s">
        <v>2482</v>
      </c>
      <c r="D747">
        <v>5</v>
      </c>
      <c r="E747">
        <v>0.72399999999999998</v>
      </c>
      <c r="F747">
        <v>0.56000000000000005</v>
      </c>
      <c r="G747">
        <v>2020</v>
      </c>
      <c r="H747" t="s">
        <v>928</v>
      </c>
      <c r="I747" t="s">
        <v>6596</v>
      </c>
      <c r="L747" t="s">
        <v>197</v>
      </c>
    </row>
    <row r="748" spans="1:12" x14ac:dyDescent="0.4">
      <c r="A748" t="s">
        <v>3438</v>
      </c>
      <c r="B748">
        <v>87.8</v>
      </c>
      <c r="C748" t="s">
        <v>5706</v>
      </c>
      <c r="D748">
        <v>5</v>
      </c>
      <c r="E748">
        <v>0.48</v>
      </c>
      <c r="F748">
        <v>1.1200000000000001</v>
      </c>
      <c r="G748">
        <v>2019</v>
      </c>
      <c r="H748" t="s">
        <v>928</v>
      </c>
      <c r="I748" t="s">
        <v>6596</v>
      </c>
      <c r="L748" t="s">
        <v>197</v>
      </c>
    </row>
    <row r="749" spans="1:12" x14ac:dyDescent="0.4">
      <c r="A749" t="s">
        <v>3456</v>
      </c>
      <c r="B749">
        <v>84.3</v>
      </c>
      <c r="C749" t="s">
        <v>5735</v>
      </c>
      <c r="D749">
        <v>5</v>
      </c>
      <c r="E749">
        <v>0.35299999999999998</v>
      </c>
      <c r="F749">
        <v>1.41</v>
      </c>
      <c r="G749">
        <v>2015</v>
      </c>
      <c r="H749" t="s">
        <v>928</v>
      </c>
      <c r="I749" t="s">
        <v>6596</v>
      </c>
      <c r="L749" t="s">
        <v>197</v>
      </c>
    </row>
    <row r="750" spans="1:12" x14ac:dyDescent="0.4">
      <c r="A750" t="s">
        <v>2019</v>
      </c>
      <c r="B750">
        <v>96.4</v>
      </c>
      <c r="C750" t="s">
        <v>6583</v>
      </c>
      <c r="D750">
        <v>5</v>
      </c>
      <c r="E750">
        <v>0.79300000000000004</v>
      </c>
      <c r="F750">
        <v>0.4</v>
      </c>
      <c r="G750">
        <v>2015</v>
      </c>
      <c r="H750" t="s">
        <v>928</v>
      </c>
      <c r="I750" t="s">
        <v>6596</v>
      </c>
      <c r="L750" t="s">
        <v>197</v>
      </c>
    </row>
    <row r="751" spans="1:12" x14ac:dyDescent="0.4">
      <c r="A751" t="s">
        <v>2023</v>
      </c>
      <c r="B751">
        <v>86.6</v>
      </c>
      <c r="C751" t="s">
        <v>5693</v>
      </c>
      <c r="D751">
        <v>5</v>
      </c>
      <c r="E751">
        <v>0.436</v>
      </c>
      <c r="F751">
        <v>1.22</v>
      </c>
      <c r="G751">
        <v>2020</v>
      </c>
      <c r="H751" t="s">
        <v>928</v>
      </c>
      <c r="I751" t="s">
        <v>6596</v>
      </c>
      <c r="L751" t="s">
        <v>197</v>
      </c>
    </row>
    <row r="752" spans="1:12" x14ac:dyDescent="0.4">
      <c r="A752" t="s">
        <v>3439</v>
      </c>
      <c r="B752">
        <v>90.4</v>
      </c>
      <c r="C752" t="s">
        <v>6584</v>
      </c>
      <c r="D752">
        <v>5</v>
      </c>
      <c r="E752">
        <v>0.57499999999999996</v>
      </c>
      <c r="F752">
        <v>0.9</v>
      </c>
      <c r="G752">
        <v>2020</v>
      </c>
      <c r="H752" t="s">
        <v>928</v>
      </c>
      <c r="I752" t="s">
        <v>6596</v>
      </c>
      <c r="L752" t="s">
        <v>197</v>
      </c>
    </row>
    <row r="753" spans="1:12" x14ac:dyDescent="0.4">
      <c r="A753" t="s">
        <v>3445</v>
      </c>
      <c r="B753">
        <v>21.3</v>
      </c>
      <c r="C753" t="s">
        <v>6607</v>
      </c>
      <c r="D753">
        <v>2</v>
      </c>
      <c r="E753">
        <v>-1.9379999999999999</v>
      </c>
      <c r="F753">
        <v>6.67</v>
      </c>
      <c r="G753">
        <v>2017</v>
      </c>
      <c r="H753" t="s">
        <v>928</v>
      </c>
      <c r="I753" t="s">
        <v>6596</v>
      </c>
      <c r="L753" t="s">
        <v>197</v>
      </c>
    </row>
    <row r="754" spans="1:12" x14ac:dyDescent="0.4">
      <c r="A754" t="s">
        <v>3426</v>
      </c>
      <c r="B754">
        <v>84.4</v>
      </c>
      <c r="C754" t="s">
        <v>5736</v>
      </c>
      <c r="D754">
        <v>5</v>
      </c>
      <c r="E754">
        <v>0.35599999999999998</v>
      </c>
      <c r="F754">
        <v>1.4</v>
      </c>
      <c r="G754">
        <v>2015</v>
      </c>
      <c r="H754" t="s">
        <v>928</v>
      </c>
      <c r="I754" t="s">
        <v>6596</v>
      </c>
      <c r="L754" t="s">
        <v>197</v>
      </c>
    </row>
    <row r="755" spans="1:12" x14ac:dyDescent="0.4">
      <c r="A755" t="s">
        <v>5788</v>
      </c>
      <c r="B755">
        <v>90.5</v>
      </c>
      <c r="C755" t="s">
        <v>6045</v>
      </c>
      <c r="D755">
        <v>5</v>
      </c>
      <c r="E755">
        <v>0.57799999999999996</v>
      </c>
      <c r="F755">
        <v>0.89</v>
      </c>
      <c r="G755">
        <v>2021</v>
      </c>
      <c r="H755" t="s">
        <v>928</v>
      </c>
      <c r="I755" t="s">
        <v>6596</v>
      </c>
      <c r="L755" t="s">
        <v>197</v>
      </c>
    </row>
    <row r="756" spans="1:12" x14ac:dyDescent="0.4">
      <c r="A756" t="s">
        <v>3449</v>
      </c>
      <c r="B756">
        <v>77.2</v>
      </c>
      <c r="C756" t="s">
        <v>5717</v>
      </c>
      <c r="D756">
        <v>4</v>
      </c>
      <c r="E756">
        <v>9.5000000000000001E-2</v>
      </c>
      <c r="F756">
        <v>2</v>
      </c>
      <c r="G756">
        <v>2021</v>
      </c>
      <c r="H756" t="s">
        <v>928</v>
      </c>
      <c r="I756" t="s">
        <v>6596</v>
      </c>
      <c r="L756" t="s">
        <v>197</v>
      </c>
    </row>
    <row r="757" spans="1:12" x14ac:dyDescent="0.4">
      <c r="A757" t="s">
        <v>5789</v>
      </c>
      <c r="B757">
        <v>88.5</v>
      </c>
      <c r="C757" t="s">
        <v>5739</v>
      </c>
      <c r="D757">
        <v>5</v>
      </c>
      <c r="E757">
        <v>0.50600000000000001</v>
      </c>
      <c r="F757">
        <v>1.06</v>
      </c>
      <c r="G757">
        <v>2024</v>
      </c>
      <c r="H757" t="s">
        <v>6613</v>
      </c>
      <c r="I757" t="s">
        <v>6614</v>
      </c>
      <c r="L757" t="s">
        <v>197</v>
      </c>
    </row>
    <row r="758" spans="1:12" x14ac:dyDescent="0.4">
      <c r="A758" t="s">
        <v>3457</v>
      </c>
      <c r="B758">
        <v>42.3</v>
      </c>
      <c r="C758" t="s">
        <v>5712</v>
      </c>
      <c r="D758">
        <v>3</v>
      </c>
      <c r="E758">
        <v>-1.175</v>
      </c>
      <c r="F758">
        <v>4.92</v>
      </c>
      <c r="G758">
        <v>2019</v>
      </c>
      <c r="H758" t="s">
        <v>928</v>
      </c>
      <c r="I758" t="s">
        <v>6596</v>
      </c>
      <c r="L758" t="s">
        <v>197</v>
      </c>
    </row>
    <row r="759" spans="1:12" x14ac:dyDescent="0.4">
      <c r="A759" t="s">
        <v>3432</v>
      </c>
      <c r="B759">
        <v>94.3</v>
      </c>
      <c r="C759" t="s">
        <v>2474</v>
      </c>
      <c r="D759">
        <v>5</v>
      </c>
      <c r="E759">
        <v>0.71599999999999997</v>
      </c>
      <c r="F759">
        <v>0.57999999999999996</v>
      </c>
      <c r="G759">
        <v>2018</v>
      </c>
      <c r="H759" t="s">
        <v>928</v>
      </c>
      <c r="I759" t="s">
        <v>6596</v>
      </c>
      <c r="L759" t="s">
        <v>197</v>
      </c>
    </row>
    <row r="760" spans="1:12" x14ac:dyDescent="0.4">
      <c r="A760" t="s">
        <v>3436</v>
      </c>
      <c r="B760">
        <v>88.3</v>
      </c>
      <c r="C760" t="s">
        <v>5703</v>
      </c>
      <c r="D760">
        <v>5</v>
      </c>
      <c r="E760">
        <v>0.498</v>
      </c>
      <c r="F760">
        <v>1.08</v>
      </c>
      <c r="G760">
        <v>2010</v>
      </c>
      <c r="H760" t="s">
        <v>928</v>
      </c>
      <c r="I760" t="s">
        <v>6596</v>
      </c>
      <c r="L760" t="s">
        <v>197</v>
      </c>
    </row>
    <row r="761" spans="1:12" x14ac:dyDescent="0.4">
      <c r="A761" t="s">
        <v>3430</v>
      </c>
      <c r="B761">
        <v>90.5</v>
      </c>
      <c r="C761" t="s">
        <v>6045</v>
      </c>
      <c r="D761">
        <v>5</v>
      </c>
      <c r="E761">
        <v>0.57799999999999996</v>
      </c>
      <c r="F761">
        <v>0.89</v>
      </c>
      <c r="G761">
        <v>2021</v>
      </c>
      <c r="H761" t="s">
        <v>928</v>
      </c>
      <c r="I761" t="s">
        <v>6596</v>
      </c>
      <c r="L761" t="s">
        <v>197</v>
      </c>
    </row>
    <row r="762" spans="1:12" x14ac:dyDescent="0.4">
      <c r="A762" t="s">
        <v>5790</v>
      </c>
      <c r="B762">
        <v>78.7</v>
      </c>
      <c r="C762" t="s">
        <v>5734</v>
      </c>
      <c r="D762">
        <v>4</v>
      </c>
      <c r="E762">
        <v>0.14899999999999999</v>
      </c>
      <c r="F762">
        <v>1.88</v>
      </c>
      <c r="G762">
        <v>2017</v>
      </c>
      <c r="H762" t="s">
        <v>928</v>
      </c>
      <c r="I762" t="s">
        <v>6596</v>
      </c>
      <c r="L762" t="s">
        <v>197</v>
      </c>
    </row>
    <row r="763" spans="1:12" x14ac:dyDescent="0.4">
      <c r="A763" t="s">
        <v>3450</v>
      </c>
      <c r="B763">
        <v>66.8</v>
      </c>
      <c r="C763" t="s">
        <v>5698</v>
      </c>
      <c r="D763">
        <v>4</v>
      </c>
      <c r="E763">
        <v>-0.28399999999999997</v>
      </c>
      <c r="F763">
        <v>2.87</v>
      </c>
      <c r="G763">
        <v>2018</v>
      </c>
      <c r="H763" t="s">
        <v>928</v>
      </c>
      <c r="I763" t="s">
        <v>6596</v>
      </c>
      <c r="L763" t="s">
        <v>197</v>
      </c>
    </row>
    <row r="764" spans="1:12" x14ac:dyDescent="0.4">
      <c r="A764" t="s">
        <v>2020</v>
      </c>
      <c r="B764">
        <v>18.100000000000001</v>
      </c>
      <c r="C764" t="s">
        <v>6855</v>
      </c>
      <c r="D764">
        <v>1</v>
      </c>
      <c r="E764">
        <v>-2.0550000000000002</v>
      </c>
      <c r="F764">
        <v>6.94</v>
      </c>
      <c r="G764">
        <v>2018</v>
      </c>
      <c r="H764" t="s">
        <v>928</v>
      </c>
      <c r="I764" t="s">
        <v>6596</v>
      </c>
      <c r="L764" t="s">
        <v>197</v>
      </c>
    </row>
    <row r="765" spans="1:12" x14ac:dyDescent="0.4">
      <c r="A765" t="s">
        <v>2021</v>
      </c>
      <c r="B765">
        <v>83.6</v>
      </c>
      <c r="C765" t="s">
        <v>5727</v>
      </c>
      <c r="D765">
        <v>5</v>
      </c>
      <c r="E765">
        <v>0.32700000000000001</v>
      </c>
      <c r="F765">
        <v>1.47</v>
      </c>
      <c r="G765">
        <v>2013</v>
      </c>
      <c r="H765" t="s">
        <v>928</v>
      </c>
      <c r="I765" t="s">
        <v>6596</v>
      </c>
      <c r="L765" t="s">
        <v>197</v>
      </c>
    </row>
    <row r="766" spans="1:12" x14ac:dyDescent="0.4">
      <c r="A766" t="s">
        <v>3453</v>
      </c>
      <c r="B766">
        <v>96.4</v>
      </c>
      <c r="C766" t="s">
        <v>6583</v>
      </c>
      <c r="D766">
        <v>5</v>
      </c>
      <c r="E766">
        <v>0.79300000000000004</v>
      </c>
      <c r="F766">
        <v>0.4</v>
      </c>
      <c r="G766">
        <v>2015</v>
      </c>
      <c r="H766" t="s">
        <v>928</v>
      </c>
      <c r="I766" t="s">
        <v>6596</v>
      </c>
      <c r="L766" t="s">
        <v>197</v>
      </c>
    </row>
    <row r="767" spans="1:12" x14ac:dyDescent="0.4">
      <c r="A767" t="s">
        <v>2022</v>
      </c>
      <c r="B767">
        <v>77.2</v>
      </c>
      <c r="C767" t="s">
        <v>5717</v>
      </c>
      <c r="D767">
        <v>4</v>
      </c>
      <c r="E767">
        <v>9.5000000000000001E-2</v>
      </c>
      <c r="F767">
        <v>2</v>
      </c>
      <c r="G767">
        <v>2021</v>
      </c>
      <c r="H767" t="s">
        <v>928</v>
      </c>
      <c r="I767" t="s">
        <v>6596</v>
      </c>
      <c r="L767" t="s">
        <v>197</v>
      </c>
    </row>
    <row r="768" spans="1:12" x14ac:dyDescent="0.4">
      <c r="A768" t="s">
        <v>3428</v>
      </c>
      <c r="B768">
        <v>91.6</v>
      </c>
      <c r="C768" t="s">
        <v>5696</v>
      </c>
      <c r="D768">
        <v>5</v>
      </c>
      <c r="E768">
        <v>0.61799999999999999</v>
      </c>
      <c r="F768">
        <v>0.8</v>
      </c>
      <c r="G768">
        <v>2019</v>
      </c>
      <c r="H768" t="s">
        <v>928</v>
      </c>
      <c r="I768" t="s">
        <v>6596</v>
      </c>
      <c r="L768" t="s">
        <v>197</v>
      </c>
    </row>
    <row r="769" spans="1:12" x14ac:dyDescent="0.4">
      <c r="A769" t="s">
        <v>3442</v>
      </c>
      <c r="B769">
        <v>95.2</v>
      </c>
      <c r="C769" t="s">
        <v>2483</v>
      </c>
      <c r="D769">
        <v>5</v>
      </c>
      <c r="E769">
        <v>0.749</v>
      </c>
      <c r="F769">
        <v>0.5</v>
      </c>
      <c r="G769">
        <v>2024</v>
      </c>
      <c r="H769" t="s">
        <v>6613</v>
      </c>
      <c r="I769" t="s">
        <v>6614</v>
      </c>
      <c r="L769" t="s">
        <v>197</v>
      </c>
    </row>
    <row r="770" spans="1:12" x14ac:dyDescent="0.4">
      <c r="A770" t="s">
        <v>3452</v>
      </c>
      <c r="B770">
        <v>18.100000000000001</v>
      </c>
      <c r="C770" t="s">
        <v>6855</v>
      </c>
      <c r="D770">
        <v>1</v>
      </c>
      <c r="E770">
        <v>-2.0550000000000002</v>
      </c>
      <c r="F770">
        <v>6.94</v>
      </c>
      <c r="G770">
        <v>2018</v>
      </c>
      <c r="H770" t="s">
        <v>928</v>
      </c>
      <c r="I770" t="s">
        <v>6596</v>
      </c>
      <c r="L770" t="s">
        <v>197</v>
      </c>
    </row>
    <row r="771" spans="1:12" x14ac:dyDescent="0.4">
      <c r="A771" t="s">
        <v>3443</v>
      </c>
      <c r="B771">
        <v>59.6</v>
      </c>
      <c r="C771" t="s">
        <v>5708</v>
      </c>
      <c r="D771">
        <v>3</v>
      </c>
      <c r="E771">
        <v>-0.54600000000000004</v>
      </c>
      <c r="F771">
        <v>3.47</v>
      </c>
      <c r="G771">
        <v>2017</v>
      </c>
      <c r="H771" t="s">
        <v>928</v>
      </c>
      <c r="I771" t="s">
        <v>6596</v>
      </c>
      <c r="L771" t="s">
        <v>197</v>
      </c>
    </row>
    <row r="772" spans="1:12" x14ac:dyDescent="0.4">
      <c r="A772" t="s">
        <v>1436</v>
      </c>
      <c r="B772">
        <v>74.599999999999994</v>
      </c>
      <c r="C772" t="s">
        <v>197</v>
      </c>
      <c r="D772">
        <v>4</v>
      </c>
    </row>
    <row r="773" spans="1:12" x14ac:dyDescent="0.4">
      <c r="A773" t="s">
        <v>1437</v>
      </c>
      <c r="B773">
        <v>79.8</v>
      </c>
      <c r="C773" t="s">
        <v>197</v>
      </c>
      <c r="D773">
        <v>4</v>
      </c>
    </row>
    <row r="774" spans="1:12" x14ac:dyDescent="0.4">
      <c r="A774" t="s">
        <v>1584</v>
      </c>
      <c r="B774">
        <v>86.1</v>
      </c>
      <c r="C774" t="s">
        <v>197</v>
      </c>
      <c r="D774">
        <v>5</v>
      </c>
    </row>
    <row r="775" spans="1:12" x14ac:dyDescent="0.4">
      <c r="A775" t="s">
        <v>1679</v>
      </c>
      <c r="B775">
        <v>74.900000000000006</v>
      </c>
      <c r="C775" t="s">
        <v>197</v>
      </c>
      <c r="D775">
        <v>4</v>
      </c>
    </row>
    <row r="776" spans="1:12" x14ac:dyDescent="0.4">
      <c r="A776" t="s">
        <v>1680</v>
      </c>
      <c r="B776">
        <v>92.2</v>
      </c>
      <c r="C776" t="s">
        <v>197</v>
      </c>
      <c r="D776">
        <v>5</v>
      </c>
    </row>
    <row r="777" spans="1:12" x14ac:dyDescent="0.4">
      <c r="A777" t="s">
        <v>2564</v>
      </c>
      <c r="B777">
        <v>57.3</v>
      </c>
      <c r="C777" t="s">
        <v>197</v>
      </c>
      <c r="D777">
        <v>3</v>
      </c>
    </row>
    <row r="778" spans="1:12" x14ac:dyDescent="0.4">
      <c r="A778" t="s">
        <v>2565</v>
      </c>
      <c r="B778">
        <v>66.900000000000006</v>
      </c>
      <c r="C778" t="s">
        <v>197</v>
      </c>
      <c r="D778">
        <v>4</v>
      </c>
    </row>
    <row r="779" spans="1:12" x14ac:dyDescent="0.4">
      <c r="A779" t="s">
        <v>7291</v>
      </c>
      <c r="B779">
        <v>57.1</v>
      </c>
      <c r="C779" t="s">
        <v>197</v>
      </c>
      <c r="D779">
        <v>3</v>
      </c>
    </row>
    <row r="780" spans="1:12" x14ac:dyDescent="0.4">
      <c r="A780" t="s">
        <v>7292</v>
      </c>
      <c r="B780">
        <v>70.2</v>
      </c>
      <c r="C780" t="s">
        <v>197</v>
      </c>
      <c r="D780">
        <v>4</v>
      </c>
    </row>
    <row r="781" spans="1:12" x14ac:dyDescent="0.4">
      <c r="A781" t="s">
        <v>7293</v>
      </c>
      <c r="B781">
        <v>89</v>
      </c>
      <c r="C781" t="s">
        <v>197</v>
      </c>
      <c r="D781">
        <v>5</v>
      </c>
    </row>
    <row r="782" spans="1:12" x14ac:dyDescent="0.4">
      <c r="A782" t="s">
        <v>3532</v>
      </c>
      <c r="B782">
        <v>29</v>
      </c>
      <c r="C782" t="s">
        <v>5713</v>
      </c>
      <c r="D782">
        <v>2</v>
      </c>
      <c r="E782">
        <v>-1.0580000000000001</v>
      </c>
    </row>
    <row r="783" spans="1:12" x14ac:dyDescent="0.4">
      <c r="A783" t="s">
        <v>3530</v>
      </c>
      <c r="B783">
        <v>26</v>
      </c>
      <c r="C783" t="s">
        <v>5728</v>
      </c>
      <c r="D783">
        <v>2</v>
      </c>
      <c r="E783">
        <v>-1.2190000000000001</v>
      </c>
    </row>
    <row r="784" spans="1:12" x14ac:dyDescent="0.4">
      <c r="A784" t="s">
        <v>3536</v>
      </c>
      <c r="B784">
        <v>37.700000000000003</v>
      </c>
      <c r="C784" t="s">
        <v>5704</v>
      </c>
      <c r="D784">
        <v>2</v>
      </c>
      <c r="E784">
        <v>-0.59299999999999997</v>
      </c>
    </row>
    <row r="785" spans="1:5" x14ac:dyDescent="0.4">
      <c r="A785" t="s">
        <v>3560</v>
      </c>
      <c r="B785">
        <v>67.2</v>
      </c>
      <c r="C785" t="s">
        <v>2481</v>
      </c>
      <c r="D785">
        <v>4</v>
      </c>
      <c r="E785">
        <v>0.98299999999999998</v>
      </c>
    </row>
    <row r="786" spans="1:5" x14ac:dyDescent="0.4">
      <c r="A786" t="s">
        <v>2058</v>
      </c>
      <c r="B786">
        <v>35.700000000000003</v>
      </c>
      <c r="C786" t="s">
        <v>5694</v>
      </c>
      <c r="D786">
        <v>2</v>
      </c>
      <c r="E786">
        <v>-0.7</v>
      </c>
    </row>
    <row r="787" spans="1:5" x14ac:dyDescent="0.4">
      <c r="A787" t="s">
        <v>3556</v>
      </c>
      <c r="B787">
        <v>46.5</v>
      </c>
      <c r="C787" t="s">
        <v>5725</v>
      </c>
      <c r="D787">
        <v>3</v>
      </c>
      <c r="E787">
        <v>-0.123</v>
      </c>
    </row>
    <row r="788" spans="1:5" x14ac:dyDescent="0.4">
      <c r="A788" t="s">
        <v>3540</v>
      </c>
      <c r="B788">
        <v>63.1</v>
      </c>
      <c r="C788" t="s">
        <v>5707</v>
      </c>
      <c r="D788">
        <v>4</v>
      </c>
      <c r="E788">
        <v>0.76400000000000001</v>
      </c>
    </row>
    <row r="789" spans="1:5" x14ac:dyDescent="0.4">
      <c r="A789" t="s">
        <v>3534</v>
      </c>
      <c r="B789">
        <v>74.3</v>
      </c>
      <c r="C789" t="s">
        <v>2476</v>
      </c>
      <c r="D789">
        <v>4</v>
      </c>
      <c r="E789">
        <v>1.363</v>
      </c>
    </row>
    <row r="790" spans="1:5" x14ac:dyDescent="0.4">
      <c r="A790" t="s">
        <v>3546</v>
      </c>
      <c r="B790">
        <v>60.7</v>
      </c>
      <c r="C790" t="s">
        <v>5692</v>
      </c>
      <c r="D790">
        <v>4</v>
      </c>
      <c r="E790">
        <v>0.63600000000000001</v>
      </c>
    </row>
    <row r="791" spans="1:5" x14ac:dyDescent="0.4">
      <c r="A791" t="s">
        <v>3538</v>
      </c>
      <c r="B791">
        <v>12.4</v>
      </c>
      <c r="C791" t="s">
        <v>6035</v>
      </c>
      <c r="D791">
        <v>1</v>
      </c>
      <c r="E791">
        <v>-1.946</v>
      </c>
    </row>
    <row r="792" spans="1:5" x14ac:dyDescent="0.4">
      <c r="A792" t="s">
        <v>5961</v>
      </c>
      <c r="B792">
        <v>23.4</v>
      </c>
      <c r="C792" t="s">
        <v>5697</v>
      </c>
      <c r="D792">
        <v>2</v>
      </c>
      <c r="E792">
        <v>-1.3580000000000001</v>
      </c>
    </row>
    <row r="793" spans="1:5" x14ac:dyDescent="0.4">
      <c r="A793" t="s">
        <v>3552</v>
      </c>
      <c r="B793">
        <v>20.9</v>
      </c>
      <c r="C793" t="s">
        <v>6037</v>
      </c>
      <c r="D793">
        <v>2</v>
      </c>
      <c r="E793">
        <v>-1.4910000000000001</v>
      </c>
    </row>
    <row r="794" spans="1:5" x14ac:dyDescent="0.4">
      <c r="A794" t="s">
        <v>2059</v>
      </c>
      <c r="B794">
        <v>41.8</v>
      </c>
      <c r="C794" t="s">
        <v>5733</v>
      </c>
      <c r="D794">
        <v>3</v>
      </c>
      <c r="E794">
        <v>-0.374</v>
      </c>
    </row>
    <row r="795" spans="1:5" x14ac:dyDescent="0.4">
      <c r="A795" t="s">
        <v>2068</v>
      </c>
      <c r="B795">
        <v>45.5</v>
      </c>
      <c r="C795" t="s">
        <v>5735</v>
      </c>
      <c r="D795">
        <v>3</v>
      </c>
      <c r="E795">
        <v>-0.17599999999999999</v>
      </c>
    </row>
    <row r="796" spans="1:5" x14ac:dyDescent="0.4">
      <c r="A796" t="s">
        <v>3545</v>
      </c>
      <c r="B796">
        <v>54.5</v>
      </c>
      <c r="C796" t="s">
        <v>5732</v>
      </c>
      <c r="D796">
        <v>3</v>
      </c>
      <c r="E796">
        <v>0.30499999999999999</v>
      </c>
    </row>
    <row r="797" spans="1:5" x14ac:dyDescent="0.4">
      <c r="A797" t="s">
        <v>3559</v>
      </c>
      <c r="B797">
        <v>38.5</v>
      </c>
      <c r="C797" t="s">
        <v>5699</v>
      </c>
      <c r="D797">
        <v>2</v>
      </c>
      <c r="E797">
        <v>-0.55100000000000005</v>
      </c>
    </row>
    <row r="798" spans="1:5" x14ac:dyDescent="0.4">
      <c r="A798" t="s">
        <v>2060</v>
      </c>
      <c r="B798">
        <v>69.2</v>
      </c>
      <c r="C798" t="s">
        <v>2484</v>
      </c>
      <c r="D798">
        <v>4</v>
      </c>
      <c r="E798">
        <v>1.0900000000000001</v>
      </c>
    </row>
    <row r="799" spans="1:5" x14ac:dyDescent="0.4">
      <c r="A799" t="s">
        <v>2067</v>
      </c>
      <c r="B799">
        <v>60.3</v>
      </c>
      <c r="C799" t="s">
        <v>5695</v>
      </c>
      <c r="D799">
        <v>4</v>
      </c>
      <c r="E799">
        <v>0.61499999999999999</v>
      </c>
    </row>
    <row r="800" spans="1:5" x14ac:dyDescent="0.4">
      <c r="A800" t="s">
        <v>2061</v>
      </c>
      <c r="B800">
        <v>51.1</v>
      </c>
      <c r="C800" t="s">
        <v>5729</v>
      </c>
      <c r="D800">
        <v>3</v>
      </c>
      <c r="E800">
        <v>0.123</v>
      </c>
    </row>
    <row r="801" spans="1:5" x14ac:dyDescent="0.4">
      <c r="A801" t="s">
        <v>3529</v>
      </c>
      <c r="B801">
        <v>34.200000000000003</v>
      </c>
      <c r="C801" t="s">
        <v>5709</v>
      </c>
      <c r="D801">
        <v>2</v>
      </c>
      <c r="E801">
        <v>-0.78</v>
      </c>
    </row>
    <row r="802" spans="1:5" x14ac:dyDescent="0.4">
      <c r="A802" t="s">
        <v>3549</v>
      </c>
      <c r="B802">
        <v>38.700000000000003</v>
      </c>
      <c r="C802" t="s">
        <v>5734</v>
      </c>
      <c r="D802">
        <v>2</v>
      </c>
      <c r="E802">
        <v>-0.54</v>
      </c>
    </row>
    <row r="803" spans="1:5" x14ac:dyDescent="0.4">
      <c r="A803" t="s">
        <v>3553</v>
      </c>
      <c r="B803">
        <v>46.8</v>
      </c>
      <c r="C803" t="s">
        <v>5706</v>
      </c>
      <c r="D803">
        <v>3</v>
      </c>
      <c r="E803">
        <v>-0.107</v>
      </c>
    </row>
    <row r="804" spans="1:5" x14ac:dyDescent="0.4">
      <c r="A804" t="s">
        <v>3551</v>
      </c>
      <c r="B804">
        <v>23.2</v>
      </c>
      <c r="C804" t="s">
        <v>5710</v>
      </c>
      <c r="D804">
        <v>2</v>
      </c>
      <c r="E804">
        <v>-1.3680000000000001</v>
      </c>
    </row>
    <row r="805" spans="1:5" x14ac:dyDescent="0.4">
      <c r="A805" t="s">
        <v>3539</v>
      </c>
      <c r="B805">
        <v>27.1</v>
      </c>
      <c r="C805" t="s">
        <v>5712</v>
      </c>
      <c r="D805">
        <v>2</v>
      </c>
      <c r="E805">
        <v>-1.1599999999999999</v>
      </c>
    </row>
    <row r="806" spans="1:5" x14ac:dyDescent="0.4">
      <c r="A806" t="s">
        <v>3528</v>
      </c>
      <c r="B806">
        <v>20.7</v>
      </c>
      <c r="C806" t="s">
        <v>6036</v>
      </c>
      <c r="D806">
        <v>2</v>
      </c>
      <c r="E806">
        <v>-1.502</v>
      </c>
    </row>
    <row r="807" spans="1:5" x14ac:dyDescent="0.4">
      <c r="A807" t="s">
        <v>3542</v>
      </c>
      <c r="B807">
        <v>76.7</v>
      </c>
      <c r="C807" t="s">
        <v>2478</v>
      </c>
      <c r="D807">
        <v>4</v>
      </c>
      <c r="E807">
        <v>1.4910000000000001</v>
      </c>
    </row>
    <row r="808" spans="1:5" x14ac:dyDescent="0.4">
      <c r="A808" t="s">
        <v>3543</v>
      </c>
      <c r="B808">
        <v>72.599999999999994</v>
      </c>
      <c r="C808" t="s">
        <v>2480</v>
      </c>
      <c r="D808">
        <v>4</v>
      </c>
      <c r="E808">
        <v>1.272</v>
      </c>
    </row>
    <row r="809" spans="1:5" x14ac:dyDescent="0.4">
      <c r="A809" t="s">
        <v>3561</v>
      </c>
      <c r="B809">
        <v>47.3</v>
      </c>
      <c r="C809" t="s">
        <v>5703</v>
      </c>
      <c r="D809">
        <v>3</v>
      </c>
      <c r="E809">
        <v>-0.08</v>
      </c>
    </row>
    <row r="810" spans="1:5" x14ac:dyDescent="0.4">
      <c r="A810" t="s">
        <v>2062</v>
      </c>
      <c r="B810">
        <v>75.5</v>
      </c>
      <c r="C810" t="s">
        <v>2477</v>
      </c>
      <c r="D810">
        <v>4</v>
      </c>
      <c r="E810">
        <v>1.427</v>
      </c>
    </row>
    <row r="811" spans="1:5" x14ac:dyDescent="0.4">
      <c r="A811" t="s">
        <v>2066</v>
      </c>
      <c r="B811">
        <v>54.9</v>
      </c>
      <c r="C811" t="s">
        <v>6034</v>
      </c>
      <c r="D811">
        <v>3</v>
      </c>
      <c r="E811">
        <v>0.32600000000000001</v>
      </c>
    </row>
    <row r="812" spans="1:5" x14ac:dyDescent="0.4">
      <c r="A812" t="s">
        <v>3544</v>
      </c>
      <c r="B812">
        <v>65.3</v>
      </c>
      <c r="C812" t="s">
        <v>5696</v>
      </c>
      <c r="D812">
        <v>4</v>
      </c>
      <c r="E812">
        <v>0.88200000000000001</v>
      </c>
    </row>
    <row r="813" spans="1:5" x14ac:dyDescent="0.4">
      <c r="A813" t="s">
        <v>3550</v>
      </c>
      <c r="B813">
        <v>30.3</v>
      </c>
      <c r="C813" t="s">
        <v>5708</v>
      </c>
      <c r="D813">
        <v>2</v>
      </c>
      <c r="E813">
        <v>-0.98899999999999999</v>
      </c>
    </row>
    <row r="814" spans="1:5" x14ac:dyDescent="0.4">
      <c r="A814" t="s">
        <v>3531</v>
      </c>
      <c r="B814">
        <v>37</v>
      </c>
      <c r="C814" t="s">
        <v>5702</v>
      </c>
      <c r="D814">
        <v>2</v>
      </c>
      <c r="E814">
        <v>-0.63100000000000001</v>
      </c>
    </row>
    <row r="815" spans="1:5" x14ac:dyDescent="0.4">
      <c r="A815" t="s">
        <v>5791</v>
      </c>
      <c r="B815">
        <v>68.8</v>
      </c>
      <c r="C815" t="s">
        <v>2474</v>
      </c>
      <c r="D815">
        <v>4</v>
      </c>
      <c r="E815">
        <v>1.069</v>
      </c>
    </row>
    <row r="816" spans="1:5" x14ac:dyDescent="0.4">
      <c r="A816" t="s">
        <v>3554</v>
      </c>
      <c r="B816">
        <v>59.3</v>
      </c>
      <c r="C816" t="s">
        <v>6580</v>
      </c>
      <c r="D816">
        <v>3</v>
      </c>
      <c r="E816">
        <v>0.56100000000000005</v>
      </c>
    </row>
    <row r="817" spans="1:5" x14ac:dyDescent="0.4">
      <c r="A817" t="s">
        <v>5792</v>
      </c>
      <c r="B817">
        <v>69.8</v>
      </c>
      <c r="C817" t="s">
        <v>2482</v>
      </c>
      <c r="D817">
        <v>4</v>
      </c>
      <c r="E817">
        <v>1.1220000000000001</v>
      </c>
    </row>
    <row r="818" spans="1:5" x14ac:dyDescent="0.4">
      <c r="A818" t="s">
        <v>3562</v>
      </c>
      <c r="B818">
        <v>27</v>
      </c>
      <c r="C818" t="s">
        <v>5711</v>
      </c>
      <c r="D818">
        <v>2</v>
      </c>
      <c r="E818">
        <v>-1.165</v>
      </c>
    </row>
    <row r="819" spans="1:5" x14ac:dyDescent="0.4">
      <c r="A819" t="s">
        <v>3537</v>
      </c>
      <c r="B819">
        <v>9.8000000000000007</v>
      </c>
      <c r="C819" t="s">
        <v>6033</v>
      </c>
      <c r="D819">
        <v>1</v>
      </c>
      <c r="E819">
        <v>-2.0840000000000001</v>
      </c>
    </row>
    <row r="820" spans="1:5" x14ac:dyDescent="0.4">
      <c r="A820" t="s">
        <v>3541</v>
      </c>
      <c r="B820">
        <v>71.400000000000006</v>
      </c>
      <c r="C820" t="s">
        <v>2483</v>
      </c>
      <c r="D820">
        <v>4</v>
      </c>
      <c r="E820">
        <v>1.208</v>
      </c>
    </row>
    <row r="821" spans="1:5" x14ac:dyDescent="0.4">
      <c r="A821" t="s">
        <v>3535</v>
      </c>
      <c r="B821">
        <v>57.7</v>
      </c>
      <c r="C821" t="s">
        <v>6579</v>
      </c>
      <c r="D821">
        <v>3</v>
      </c>
      <c r="E821">
        <v>0.47599999999999998</v>
      </c>
    </row>
    <row r="822" spans="1:5" x14ac:dyDescent="0.4">
      <c r="A822" t="s">
        <v>5793</v>
      </c>
      <c r="B822">
        <v>65.8</v>
      </c>
      <c r="C822" t="s">
        <v>5730</v>
      </c>
      <c r="D822">
        <v>4</v>
      </c>
      <c r="E822">
        <v>0.90900000000000003</v>
      </c>
    </row>
    <row r="823" spans="1:5" x14ac:dyDescent="0.4">
      <c r="A823" t="s">
        <v>3555</v>
      </c>
      <c r="B823">
        <v>53.8</v>
      </c>
      <c r="C823" t="s">
        <v>5731</v>
      </c>
      <c r="D823">
        <v>3</v>
      </c>
      <c r="E823">
        <v>0.26700000000000002</v>
      </c>
    </row>
    <row r="824" spans="1:5" x14ac:dyDescent="0.4">
      <c r="A824" t="s">
        <v>2063</v>
      </c>
      <c r="B824">
        <v>46.5</v>
      </c>
      <c r="C824" t="s">
        <v>5725</v>
      </c>
      <c r="D824">
        <v>3</v>
      </c>
      <c r="E824">
        <v>-0.123</v>
      </c>
    </row>
    <row r="825" spans="1:5" x14ac:dyDescent="0.4">
      <c r="A825" t="s">
        <v>2064</v>
      </c>
      <c r="B825">
        <v>74.599999999999994</v>
      </c>
      <c r="C825" t="s">
        <v>2475</v>
      </c>
      <c r="D825">
        <v>4</v>
      </c>
      <c r="E825">
        <v>1.379</v>
      </c>
    </row>
    <row r="826" spans="1:5" x14ac:dyDescent="0.4">
      <c r="A826" t="s">
        <v>3558</v>
      </c>
      <c r="B826">
        <v>49.2</v>
      </c>
      <c r="C826" t="s">
        <v>5700</v>
      </c>
      <c r="D826">
        <v>3</v>
      </c>
      <c r="E826">
        <v>2.1000000000000001E-2</v>
      </c>
    </row>
    <row r="827" spans="1:5" x14ac:dyDescent="0.4">
      <c r="A827" t="s">
        <v>2065</v>
      </c>
      <c r="B827">
        <v>60.9</v>
      </c>
      <c r="C827" t="s">
        <v>5705</v>
      </c>
      <c r="D827">
        <v>4</v>
      </c>
      <c r="E827">
        <v>0.64700000000000002</v>
      </c>
    </row>
    <row r="828" spans="1:5" x14ac:dyDescent="0.4">
      <c r="A828" t="s">
        <v>3533</v>
      </c>
      <c r="B828">
        <v>77.5</v>
      </c>
      <c r="C828" t="s">
        <v>2479</v>
      </c>
      <c r="D828">
        <v>4</v>
      </c>
      <c r="E828">
        <v>1.534</v>
      </c>
    </row>
    <row r="829" spans="1:5" x14ac:dyDescent="0.4">
      <c r="A829" t="s">
        <v>3547</v>
      </c>
      <c r="B829">
        <v>65</v>
      </c>
      <c r="C829" t="s">
        <v>5701</v>
      </c>
      <c r="D829">
        <v>4</v>
      </c>
      <c r="E829">
        <v>0.86599999999999999</v>
      </c>
    </row>
    <row r="830" spans="1:5" x14ac:dyDescent="0.4">
      <c r="A830" t="s">
        <v>3557</v>
      </c>
      <c r="B830">
        <v>43.6</v>
      </c>
      <c r="C830" t="s">
        <v>5727</v>
      </c>
      <c r="D830">
        <v>3</v>
      </c>
      <c r="E830">
        <v>-0.27800000000000002</v>
      </c>
    </row>
    <row r="831" spans="1:5" x14ac:dyDescent="0.4">
      <c r="A831" t="s">
        <v>3548</v>
      </c>
      <c r="B831">
        <v>33.4</v>
      </c>
      <c r="C831" t="s">
        <v>5698</v>
      </c>
      <c r="D831">
        <v>2</v>
      </c>
      <c r="E831">
        <v>-0.82299999999999995</v>
      </c>
    </row>
    <row r="832" spans="1:5" x14ac:dyDescent="0.4">
      <c r="A832" t="s">
        <v>2069</v>
      </c>
      <c r="B832">
        <v>48.8</v>
      </c>
      <c r="C832" t="s">
        <v>197</v>
      </c>
      <c r="D832">
        <v>3</v>
      </c>
    </row>
    <row r="833" spans="1:12" x14ac:dyDescent="0.4">
      <c r="A833" t="s">
        <v>2070</v>
      </c>
      <c r="B833">
        <v>29.4</v>
      </c>
      <c r="C833" t="s">
        <v>197</v>
      </c>
      <c r="D833">
        <v>2</v>
      </c>
    </row>
    <row r="834" spans="1:12" x14ac:dyDescent="0.4">
      <c r="A834" t="s">
        <v>2071</v>
      </c>
      <c r="B834">
        <v>62.4</v>
      </c>
      <c r="C834" t="s">
        <v>197</v>
      </c>
      <c r="D834">
        <v>4</v>
      </c>
    </row>
    <row r="835" spans="1:12" x14ac:dyDescent="0.4">
      <c r="A835" t="s">
        <v>2072</v>
      </c>
      <c r="B835">
        <v>23.7</v>
      </c>
      <c r="C835" t="s">
        <v>197</v>
      </c>
      <c r="D835">
        <v>2</v>
      </c>
    </row>
    <row r="836" spans="1:12" x14ac:dyDescent="0.4">
      <c r="A836" t="s">
        <v>2073</v>
      </c>
      <c r="B836">
        <v>65.900000000000006</v>
      </c>
      <c r="C836" t="s">
        <v>197</v>
      </c>
      <c r="D836">
        <v>4</v>
      </c>
    </row>
    <row r="837" spans="1:12" x14ac:dyDescent="0.4">
      <c r="A837" t="s">
        <v>2570</v>
      </c>
      <c r="B837">
        <v>34.5</v>
      </c>
      <c r="C837" t="s">
        <v>197</v>
      </c>
      <c r="D837">
        <v>2</v>
      </c>
    </row>
    <row r="838" spans="1:12" x14ac:dyDescent="0.4">
      <c r="A838" t="s">
        <v>2571</v>
      </c>
      <c r="B838">
        <v>54.2</v>
      </c>
      <c r="C838" t="s">
        <v>197</v>
      </c>
      <c r="D838">
        <v>3</v>
      </c>
    </row>
    <row r="839" spans="1:12" x14ac:dyDescent="0.4">
      <c r="A839" t="s">
        <v>7294</v>
      </c>
      <c r="B839">
        <v>31</v>
      </c>
      <c r="C839" t="s">
        <v>197</v>
      </c>
      <c r="D839">
        <v>2</v>
      </c>
    </row>
    <row r="840" spans="1:12" x14ac:dyDescent="0.4">
      <c r="A840" t="s">
        <v>7295</v>
      </c>
      <c r="B840">
        <v>52.6</v>
      </c>
      <c r="C840" t="s">
        <v>197</v>
      </c>
      <c r="D840">
        <v>3</v>
      </c>
    </row>
    <row r="841" spans="1:12" x14ac:dyDescent="0.4">
      <c r="A841" t="s">
        <v>7296</v>
      </c>
      <c r="B841">
        <v>59.5</v>
      </c>
      <c r="C841" t="s">
        <v>197</v>
      </c>
      <c r="D841">
        <v>3</v>
      </c>
    </row>
    <row r="842" spans="1:12" x14ac:dyDescent="0.4">
      <c r="A842" t="s">
        <v>3567</v>
      </c>
      <c r="B842">
        <v>0</v>
      </c>
      <c r="C842" t="s">
        <v>1380</v>
      </c>
      <c r="D842">
        <v>1</v>
      </c>
      <c r="E842" t="s">
        <v>197</v>
      </c>
      <c r="F842">
        <v>22.9</v>
      </c>
      <c r="G842">
        <v>2019</v>
      </c>
      <c r="H842" t="s">
        <v>928</v>
      </c>
      <c r="I842" t="s">
        <v>6597</v>
      </c>
      <c r="L842" t="s">
        <v>197</v>
      </c>
    </row>
    <row r="843" spans="1:12" x14ac:dyDescent="0.4">
      <c r="A843" t="s">
        <v>3565</v>
      </c>
      <c r="B843">
        <v>0</v>
      </c>
      <c r="C843" t="s">
        <v>1380</v>
      </c>
      <c r="D843">
        <v>1</v>
      </c>
      <c r="E843" t="s">
        <v>197</v>
      </c>
      <c r="F843">
        <v>22.9</v>
      </c>
      <c r="G843">
        <v>2019</v>
      </c>
      <c r="H843" t="s">
        <v>928</v>
      </c>
      <c r="I843" t="s">
        <v>6597</v>
      </c>
      <c r="L843" t="s">
        <v>197</v>
      </c>
    </row>
    <row r="844" spans="1:12" x14ac:dyDescent="0.4">
      <c r="A844" t="s">
        <v>3571</v>
      </c>
      <c r="B844">
        <v>0</v>
      </c>
      <c r="C844" t="s">
        <v>1380</v>
      </c>
      <c r="D844">
        <v>1</v>
      </c>
      <c r="E844" t="s">
        <v>197</v>
      </c>
      <c r="F844">
        <v>7.4</v>
      </c>
      <c r="G844">
        <v>2019</v>
      </c>
      <c r="H844" t="s">
        <v>928</v>
      </c>
      <c r="I844" t="s">
        <v>6597</v>
      </c>
      <c r="L844" t="s">
        <v>197</v>
      </c>
    </row>
    <row r="845" spans="1:12" x14ac:dyDescent="0.4">
      <c r="A845" t="s">
        <v>3595</v>
      </c>
      <c r="B845">
        <v>0</v>
      </c>
      <c r="C845" t="s">
        <v>1380</v>
      </c>
      <c r="D845">
        <v>1</v>
      </c>
      <c r="E845" t="s">
        <v>197</v>
      </c>
      <c r="F845">
        <v>8.6999999999999993</v>
      </c>
      <c r="G845">
        <v>2019</v>
      </c>
      <c r="H845" t="s">
        <v>928</v>
      </c>
      <c r="I845" t="s">
        <v>6597</v>
      </c>
      <c r="L845" t="s">
        <v>197</v>
      </c>
    </row>
    <row r="846" spans="1:12" x14ac:dyDescent="0.4">
      <c r="A846" t="s">
        <v>2074</v>
      </c>
      <c r="B846">
        <v>0</v>
      </c>
      <c r="C846" t="s">
        <v>1380</v>
      </c>
      <c r="D846">
        <v>1</v>
      </c>
      <c r="E846" t="s">
        <v>197</v>
      </c>
      <c r="F846">
        <v>25.5</v>
      </c>
      <c r="G846">
        <v>2019</v>
      </c>
      <c r="H846" t="s">
        <v>928</v>
      </c>
      <c r="I846" t="s">
        <v>6597</v>
      </c>
      <c r="L846" t="s">
        <v>197</v>
      </c>
    </row>
    <row r="847" spans="1:12" x14ac:dyDescent="0.4">
      <c r="A847" t="s">
        <v>3591</v>
      </c>
      <c r="B847">
        <v>0</v>
      </c>
      <c r="C847" t="s">
        <v>1380</v>
      </c>
      <c r="D847">
        <v>1</v>
      </c>
      <c r="E847" t="s">
        <v>197</v>
      </c>
      <c r="F847">
        <v>40.200000000000003</v>
      </c>
      <c r="G847">
        <v>2019</v>
      </c>
      <c r="H847" t="s">
        <v>928</v>
      </c>
      <c r="I847" t="s">
        <v>6597</v>
      </c>
      <c r="L847" t="s">
        <v>197</v>
      </c>
    </row>
    <row r="848" spans="1:12" x14ac:dyDescent="0.4">
      <c r="A848" t="s">
        <v>3575</v>
      </c>
      <c r="B848">
        <v>0</v>
      </c>
      <c r="C848" t="s">
        <v>1380</v>
      </c>
      <c r="D848">
        <v>1</v>
      </c>
      <c r="E848" t="s">
        <v>197</v>
      </c>
      <c r="F848">
        <v>11.2</v>
      </c>
      <c r="G848">
        <v>2019</v>
      </c>
      <c r="H848" t="s">
        <v>928</v>
      </c>
      <c r="I848" t="s">
        <v>6597</v>
      </c>
      <c r="L848" t="s">
        <v>197</v>
      </c>
    </row>
    <row r="849" spans="1:12" x14ac:dyDescent="0.4">
      <c r="A849" t="s">
        <v>3569</v>
      </c>
      <c r="B849">
        <v>0</v>
      </c>
      <c r="C849" t="s">
        <v>1380</v>
      </c>
      <c r="D849">
        <v>1</v>
      </c>
      <c r="E849" t="s">
        <v>197</v>
      </c>
      <c r="F849">
        <v>15.1</v>
      </c>
      <c r="G849">
        <v>2019</v>
      </c>
      <c r="H849" t="s">
        <v>928</v>
      </c>
      <c r="I849" t="s">
        <v>6597</v>
      </c>
      <c r="L849" t="s">
        <v>197</v>
      </c>
    </row>
    <row r="850" spans="1:12" x14ac:dyDescent="0.4">
      <c r="A850" t="s">
        <v>3581</v>
      </c>
      <c r="B850">
        <v>0</v>
      </c>
      <c r="C850" t="s">
        <v>1380</v>
      </c>
      <c r="D850">
        <v>1</v>
      </c>
      <c r="E850" t="s">
        <v>197</v>
      </c>
      <c r="F850">
        <v>14.8</v>
      </c>
      <c r="G850">
        <v>2019</v>
      </c>
      <c r="H850" t="s">
        <v>928</v>
      </c>
      <c r="I850" t="s">
        <v>6597</v>
      </c>
      <c r="L850" t="s">
        <v>197</v>
      </c>
    </row>
    <row r="851" spans="1:12" x14ac:dyDescent="0.4">
      <c r="A851" t="s">
        <v>3573</v>
      </c>
      <c r="B851">
        <v>0</v>
      </c>
      <c r="C851" t="s">
        <v>1380</v>
      </c>
      <c r="D851">
        <v>1</v>
      </c>
      <c r="E851" t="s">
        <v>197</v>
      </c>
      <c r="F851">
        <v>64.099999999999994</v>
      </c>
      <c r="G851">
        <v>2019</v>
      </c>
      <c r="H851" t="s">
        <v>928</v>
      </c>
      <c r="I851" t="s">
        <v>6597</v>
      </c>
      <c r="L851" t="s">
        <v>197</v>
      </c>
    </row>
    <row r="852" spans="1:12" x14ac:dyDescent="0.4">
      <c r="A852" t="s">
        <v>5962</v>
      </c>
      <c r="B852">
        <v>0</v>
      </c>
      <c r="C852" t="s">
        <v>1380</v>
      </c>
      <c r="D852">
        <v>1</v>
      </c>
      <c r="E852" t="s">
        <v>197</v>
      </c>
      <c r="F852">
        <v>24.8</v>
      </c>
      <c r="G852">
        <v>2019</v>
      </c>
      <c r="H852" t="s">
        <v>928</v>
      </c>
      <c r="I852" t="s">
        <v>6597</v>
      </c>
      <c r="L852" t="s">
        <v>197</v>
      </c>
    </row>
    <row r="853" spans="1:12" x14ac:dyDescent="0.4">
      <c r="A853" t="s">
        <v>3587</v>
      </c>
      <c r="B853">
        <v>0</v>
      </c>
      <c r="C853" t="s">
        <v>1380</v>
      </c>
      <c r="D853">
        <v>1</v>
      </c>
      <c r="E853" t="s">
        <v>197</v>
      </c>
      <c r="F853">
        <v>53</v>
      </c>
      <c r="G853">
        <v>2019</v>
      </c>
      <c r="H853" t="s">
        <v>928</v>
      </c>
      <c r="I853" t="s">
        <v>6597</v>
      </c>
      <c r="L853" t="s">
        <v>197</v>
      </c>
    </row>
    <row r="854" spans="1:12" x14ac:dyDescent="0.4">
      <c r="A854" t="s">
        <v>2075</v>
      </c>
      <c r="B854">
        <v>0</v>
      </c>
      <c r="C854" t="s">
        <v>1380</v>
      </c>
      <c r="D854">
        <v>1</v>
      </c>
      <c r="E854" t="s">
        <v>197</v>
      </c>
      <c r="F854">
        <v>46.8</v>
      </c>
      <c r="G854">
        <v>2019</v>
      </c>
      <c r="H854" t="s">
        <v>928</v>
      </c>
      <c r="I854" t="s">
        <v>6597</v>
      </c>
      <c r="L854" t="s">
        <v>197</v>
      </c>
    </row>
    <row r="855" spans="1:12" x14ac:dyDescent="0.4">
      <c r="A855" t="s">
        <v>2084</v>
      </c>
      <c r="B855">
        <v>0</v>
      </c>
      <c r="C855" t="s">
        <v>1380</v>
      </c>
      <c r="D855">
        <v>1</v>
      </c>
      <c r="E855" t="s">
        <v>197</v>
      </c>
      <c r="F855">
        <v>39</v>
      </c>
      <c r="G855">
        <v>2019</v>
      </c>
      <c r="H855" t="s">
        <v>928</v>
      </c>
      <c r="I855" t="s">
        <v>6597</v>
      </c>
      <c r="L855" t="s">
        <v>197</v>
      </c>
    </row>
    <row r="856" spans="1:12" x14ac:dyDescent="0.4">
      <c r="A856" t="s">
        <v>3580</v>
      </c>
      <c r="B856">
        <v>0</v>
      </c>
      <c r="C856" t="s">
        <v>1380</v>
      </c>
      <c r="D856">
        <v>1</v>
      </c>
      <c r="E856" t="s">
        <v>197</v>
      </c>
      <c r="F856">
        <v>6.2</v>
      </c>
      <c r="G856">
        <v>2019</v>
      </c>
      <c r="H856" t="s">
        <v>928</v>
      </c>
      <c r="I856" t="s">
        <v>6597</v>
      </c>
      <c r="L856" t="s">
        <v>197</v>
      </c>
    </row>
    <row r="857" spans="1:12" x14ac:dyDescent="0.4">
      <c r="A857" t="s">
        <v>3594</v>
      </c>
      <c r="B857">
        <v>0</v>
      </c>
      <c r="C857" t="s">
        <v>1380</v>
      </c>
      <c r="D857">
        <v>1</v>
      </c>
      <c r="E857" t="s">
        <v>197</v>
      </c>
      <c r="F857">
        <v>22.1</v>
      </c>
      <c r="G857">
        <v>2019</v>
      </c>
      <c r="H857" t="s">
        <v>928</v>
      </c>
      <c r="I857" t="s">
        <v>6597</v>
      </c>
      <c r="L857" t="s">
        <v>197</v>
      </c>
    </row>
    <row r="858" spans="1:12" x14ac:dyDescent="0.4">
      <c r="A858" t="s">
        <v>2076</v>
      </c>
      <c r="B858">
        <v>0</v>
      </c>
      <c r="C858" t="s">
        <v>1380</v>
      </c>
      <c r="D858">
        <v>1</v>
      </c>
      <c r="E858" t="s">
        <v>197</v>
      </c>
      <c r="F858">
        <v>24</v>
      </c>
      <c r="G858">
        <v>2019</v>
      </c>
      <c r="H858" t="s">
        <v>928</v>
      </c>
      <c r="I858" t="s">
        <v>6597</v>
      </c>
      <c r="L858" t="s">
        <v>197</v>
      </c>
    </row>
    <row r="859" spans="1:12" x14ac:dyDescent="0.4">
      <c r="A859" t="s">
        <v>2083</v>
      </c>
      <c r="B859">
        <v>0</v>
      </c>
      <c r="C859" t="s">
        <v>1380</v>
      </c>
      <c r="D859">
        <v>1</v>
      </c>
      <c r="E859" t="s">
        <v>197</v>
      </c>
      <c r="F859">
        <v>23.3</v>
      </c>
      <c r="G859">
        <v>2019</v>
      </c>
      <c r="H859" t="s">
        <v>928</v>
      </c>
      <c r="I859" t="s">
        <v>6597</v>
      </c>
      <c r="L859" t="s">
        <v>197</v>
      </c>
    </row>
    <row r="860" spans="1:12" x14ac:dyDescent="0.4">
      <c r="A860" t="s">
        <v>2077</v>
      </c>
      <c r="B860">
        <v>0</v>
      </c>
      <c r="C860" t="s">
        <v>1380</v>
      </c>
      <c r="D860">
        <v>1</v>
      </c>
      <c r="E860" t="s">
        <v>197</v>
      </c>
      <c r="F860">
        <v>19.899999999999999</v>
      </c>
      <c r="G860">
        <v>2019</v>
      </c>
      <c r="H860" t="s">
        <v>928</v>
      </c>
      <c r="I860" t="s">
        <v>6597</v>
      </c>
      <c r="L860" t="s">
        <v>197</v>
      </c>
    </row>
    <row r="861" spans="1:12" x14ac:dyDescent="0.4">
      <c r="A861" t="s">
        <v>3564</v>
      </c>
      <c r="B861">
        <v>0</v>
      </c>
      <c r="C861" t="s">
        <v>1380</v>
      </c>
      <c r="D861">
        <v>1</v>
      </c>
      <c r="E861" t="s">
        <v>197</v>
      </c>
      <c r="F861">
        <v>21.7</v>
      </c>
      <c r="G861">
        <v>2019</v>
      </c>
      <c r="H861" t="s">
        <v>928</v>
      </c>
      <c r="I861" t="s">
        <v>6597</v>
      </c>
      <c r="L861" t="s">
        <v>197</v>
      </c>
    </row>
    <row r="862" spans="1:12" x14ac:dyDescent="0.4">
      <c r="A862" t="s">
        <v>3584</v>
      </c>
      <c r="B862">
        <v>0</v>
      </c>
      <c r="C862" t="s">
        <v>1380</v>
      </c>
      <c r="D862">
        <v>1</v>
      </c>
      <c r="E862" t="s">
        <v>197</v>
      </c>
      <c r="F862">
        <v>51.6</v>
      </c>
      <c r="G862">
        <v>2019</v>
      </c>
      <c r="H862" t="s">
        <v>928</v>
      </c>
      <c r="I862" t="s">
        <v>6597</v>
      </c>
      <c r="L862" t="s">
        <v>197</v>
      </c>
    </row>
    <row r="863" spans="1:12" x14ac:dyDescent="0.4">
      <c r="A863" t="s">
        <v>3588</v>
      </c>
      <c r="B863">
        <v>0</v>
      </c>
      <c r="C863" t="s">
        <v>1380</v>
      </c>
      <c r="D863">
        <v>1</v>
      </c>
      <c r="E863" t="s">
        <v>197</v>
      </c>
      <c r="F863">
        <v>36.9</v>
      </c>
      <c r="G863">
        <v>2019</v>
      </c>
      <c r="H863" t="s">
        <v>928</v>
      </c>
      <c r="I863" t="s">
        <v>6597</v>
      </c>
      <c r="L863" t="s">
        <v>197</v>
      </c>
    </row>
    <row r="864" spans="1:12" x14ac:dyDescent="0.4">
      <c r="A864" t="s">
        <v>3586</v>
      </c>
      <c r="B864">
        <v>0</v>
      </c>
      <c r="C864" t="s">
        <v>1380</v>
      </c>
      <c r="D864">
        <v>1</v>
      </c>
      <c r="E864" t="s">
        <v>197</v>
      </c>
      <c r="F864">
        <v>53</v>
      </c>
      <c r="G864">
        <v>2019</v>
      </c>
      <c r="H864" t="s">
        <v>928</v>
      </c>
      <c r="I864" t="s">
        <v>6597</v>
      </c>
      <c r="L864" t="s">
        <v>197</v>
      </c>
    </row>
    <row r="865" spans="1:12" x14ac:dyDescent="0.4">
      <c r="A865" t="s">
        <v>3574</v>
      </c>
      <c r="B865">
        <v>0</v>
      </c>
      <c r="C865" t="s">
        <v>1380</v>
      </c>
      <c r="D865">
        <v>1</v>
      </c>
      <c r="E865" t="s">
        <v>197</v>
      </c>
      <c r="F865">
        <v>67.2</v>
      </c>
      <c r="G865">
        <v>2019</v>
      </c>
      <c r="H865" t="s">
        <v>928</v>
      </c>
      <c r="I865" t="s">
        <v>6597</v>
      </c>
      <c r="L865" t="s">
        <v>197</v>
      </c>
    </row>
    <row r="866" spans="1:12" x14ac:dyDescent="0.4">
      <c r="A866" t="s">
        <v>3563</v>
      </c>
      <c r="B866">
        <v>0</v>
      </c>
      <c r="C866" t="s">
        <v>1380</v>
      </c>
      <c r="D866">
        <v>1</v>
      </c>
      <c r="E866" t="s">
        <v>197</v>
      </c>
      <c r="F866">
        <v>55.3</v>
      </c>
      <c r="G866">
        <v>2019</v>
      </c>
      <c r="H866" t="s">
        <v>928</v>
      </c>
      <c r="I866" t="s">
        <v>6597</v>
      </c>
      <c r="L866" t="s">
        <v>197</v>
      </c>
    </row>
    <row r="867" spans="1:12" x14ac:dyDescent="0.4">
      <c r="A867" t="s">
        <v>3577</v>
      </c>
      <c r="B867">
        <v>0</v>
      </c>
      <c r="C867" t="s">
        <v>1380</v>
      </c>
      <c r="D867">
        <v>1</v>
      </c>
      <c r="E867" t="s">
        <v>197</v>
      </c>
      <c r="F867">
        <v>9.6999999999999993</v>
      </c>
      <c r="G867">
        <v>2019</v>
      </c>
      <c r="H867" t="s">
        <v>928</v>
      </c>
      <c r="I867" t="s">
        <v>6597</v>
      </c>
      <c r="L867" t="s">
        <v>197</v>
      </c>
    </row>
    <row r="868" spans="1:12" x14ac:dyDescent="0.4">
      <c r="A868" t="s">
        <v>3578</v>
      </c>
      <c r="B868">
        <v>0</v>
      </c>
      <c r="C868" t="s">
        <v>1380</v>
      </c>
      <c r="D868">
        <v>1</v>
      </c>
      <c r="E868" t="s">
        <v>197</v>
      </c>
      <c r="F868">
        <v>9.8000000000000007</v>
      </c>
      <c r="G868">
        <v>2019</v>
      </c>
      <c r="H868" t="s">
        <v>928</v>
      </c>
      <c r="I868" t="s">
        <v>6597</v>
      </c>
      <c r="L868" t="s">
        <v>197</v>
      </c>
    </row>
    <row r="869" spans="1:12" x14ac:dyDescent="0.4">
      <c r="A869" t="s">
        <v>3596</v>
      </c>
      <c r="B869">
        <v>0</v>
      </c>
      <c r="C869" t="s">
        <v>1380</v>
      </c>
      <c r="D869">
        <v>1</v>
      </c>
      <c r="E869" t="s">
        <v>197</v>
      </c>
      <c r="F869">
        <v>24.2</v>
      </c>
      <c r="G869">
        <v>2019</v>
      </c>
      <c r="H869" t="s">
        <v>928</v>
      </c>
      <c r="I869" t="s">
        <v>6597</v>
      </c>
      <c r="L869" t="s">
        <v>197</v>
      </c>
    </row>
    <row r="870" spans="1:12" x14ac:dyDescent="0.4">
      <c r="A870" t="s">
        <v>2078</v>
      </c>
      <c r="B870">
        <v>0</v>
      </c>
      <c r="C870" t="s">
        <v>1380</v>
      </c>
      <c r="D870">
        <v>1</v>
      </c>
      <c r="E870" t="s">
        <v>197</v>
      </c>
      <c r="F870">
        <v>9.1</v>
      </c>
      <c r="G870">
        <v>2019</v>
      </c>
      <c r="H870" t="s">
        <v>928</v>
      </c>
      <c r="I870" t="s">
        <v>6597</v>
      </c>
      <c r="L870" t="s">
        <v>197</v>
      </c>
    </row>
    <row r="871" spans="1:12" x14ac:dyDescent="0.4">
      <c r="A871" t="s">
        <v>2082</v>
      </c>
      <c r="B871">
        <v>0</v>
      </c>
      <c r="C871" t="s">
        <v>1380</v>
      </c>
      <c r="D871">
        <v>1</v>
      </c>
      <c r="E871" t="s">
        <v>197</v>
      </c>
      <c r="F871">
        <v>18.399999999999999</v>
      </c>
      <c r="G871">
        <v>2019</v>
      </c>
      <c r="H871" t="s">
        <v>928</v>
      </c>
      <c r="I871" t="s">
        <v>6597</v>
      </c>
      <c r="L871" t="s">
        <v>197</v>
      </c>
    </row>
    <row r="872" spans="1:12" x14ac:dyDescent="0.4">
      <c r="A872" t="s">
        <v>3579</v>
      </c>
      <c r="B872">
        <v>0</v>
      </c>
      <c r="C872" t="s">
        <v>1380</v>
      </c>
      <c r="D872">
        <v>1</v>
      </c>
      <c r="E872" t="s">
        <v>197</v>
      </c>
      <c r="F872">
        <v>9.9</v>
      </c>
      <c r="G872">
        <v>2019</v>
      </c>
      <c r="H872" t="s">
        <v>928</v>
      </c>
      <c r="I872" t="s">
        <v>6597</v>
      </c>
      <c r="L872" t="s">
        <v>197</v>
      </c>
    </row>
    <row r="873" spans="1:12" x14ac:dyDescent="0.4">
      <c r="A873" t="s">
        <v>3585</v>
      </c>
      <c r="B873">
        <v>0</v>
      </c>
      <c r="C873" t="s">
        <v>1380</v>
      </c>
      <c r="D873">
        <v>1</v>
      </c>
      <c r="E873" t="s">
        <v>197</v>
      </c>
      <c r="F873">
        <v>53</v>
      </c>
      <c r="G873">
        <v>2019</v>
      </c>
      <c r="H873" t="s">
        <v>928</v>
      </c>
      <c r="I873" t="s">
        <v>6597</v>
      </c>
      <c r="L873" t="s">
        <v>197</v>
      </c>
    </row>
    <row r="874" spans="1:12" x14ac:dyDescent="0.4">
      <c r="A874" t="s">
        <v>3566</v>
      </c>
      <c r="B874">
        <v>0</v>
      </c>
      <c r="C874" t="s">
        <v>1380</v>
      </c>
      <c r="D874">
        <v>1</v>
      </c>
      <c r="E874" t="s">
        <v>197</v>
      </c>
      <c r="F874">
        <v>12.3</v>
      </c>
      <c r="G874">
        <v>2019</v>
      </c>
      <c r="H874" t="s">
        <v>928</v>
      </c>
      <c r="I874" t="s">
        <v>6597</v>
      </c>
      <c r="L874" t="s">
        <v>197</v>
      </c>
    </row>
    <row r="875" spans="1:12" x14ac:dyDescent="0.4">
      <c r="A875" t="s">
        <v>5794</v>
      </c>
      <c r="B875">
        <v>0</v>
      </c>
      <c r="C875" t="s">
        <v>1380</v>
      </c>
      <c r="D875">
        <v>1</v>
      </c>
      <c r="E875" t="s">
        <v>197</v>
      </c>
      <c r="F875">
        <v>7.4</v>
      </c>
      <c r="G875">
        <v>2019</v>
      </c>
      <c r="H875" t="s">
        <v>928</v>
      </c>
      <c r="I875" t="s">
        <v>6597</v>
      </c>
      <c r="L875" t="s">
        <v>197</v>
      </c>
    </row>
    <row r="876" spans="1:12" x14ac:dyDescent="0.4">
      <c r="A876" t="s">
        <v>3589</v>
      </c>
      <c r="B876">
        <v>0</v>
      </c>
      <c r="C876" t="s">
        <v>1380</v>
      </c>
      <c r="D876">
        <v>1</v>
      </c>
      <c r="E876" t="s">
        <v>197</v>
      </c>
      <c r="F876">
        <v>11.1</v>
      </c>
      <c r="G876">
        <v>2019</v>
      </c>
      <c r="H876" t="s">
        <v>928</v>
      </c>
      <c r="I876" t="s">
        <v>6597</v>
      </c>
      <c r="L876" t="s">
        <v>197</v>
      </c>
    </row>
    <row r="877" spans="1:12" x14ac:dyDescent="0.4">
      <c r="A877" t="s">
        <v>5795</v>
      </c>
      <c r="B877">
        <v>0</v>
      </c>
      <c r="C877" t="s">
        <v>1380</v>
      </c>
      <c r="D877">
        <v>1</v>
      </c>
      <c r="E877" t="s">
        <v>197</v>
      </c>
      <c r="F877">
        <v>11.3</v>
      </c>
      <c r="G877">
        <v>2019</v>
      </c>
      <c r="H877" t="s">
        <v>928</v>
      </c>
      <c r="I877" t="s">
        <v>6597</v>
      </c>
      <c r="L877" t="s">
        <v>197</v>
      </c>
    </row>
    <row r="878" spans="1:12" x14ac:dyDescent="0.4">
      <c r="A878" t="s">
        <v>3597</v>
      </c>
      <c r="B878">
        <v>0</v>
      </c>
      <c r="C878" t="s">
        <v>1380</v>
      </c>
      <c r="D878">
        <v>1</v>
      </c>
      <c r="E878" t="s">
        <v>197</v>
      </c>
      <c r="F878">
        <v>18.3</v>
      </c>
      <c r="G878">
        <v>2019</v>
      </c>
      <c r="H878" t="s">
        <v>928</v>
      </c>
      <c r="I878" t="s">
        <v>6597</v>
      </c>
      <c r="L878" t="s">
        <v>197</v>
      </c>
    </row>
    <row r="879" spans="1:12" x14ac:dyDescent="0.4">
      <c r="A879" t="s">
        <v>3572</v>
      </c>
      <c r="B879">
        <v>0</v>
      </c>
      <c r="C879" t="s">
        <v>1380</v>
      </c>
      <c r="D879">
        <v>1</v>
      </c>
      <c r="E879" t="s">
        <v>197</v>
      </c>
      <c r="F879">
        <v>60.7</v>
      </c>
      <c r="G879">
        <v>2019</v>
      </c>
      <c r="H879" t="s">
        <v>928</v>
      </c>
      <c r="I879" t="s">
        <v>6597</v>
      </c>
      <c r="L879" t="s">
        <v>197</v>
      </c>
    </row>
    <row r="880" spans="1:12" x14ac:dyDescent="0.4">
      <c r="A880" t="s">
        <v>3576</v>
      </c>
      <c r="B880">
        <v>0</v>
      </c>
      <c r="C880" t="s">
        <v>1380</v>
      </c>
      <c r="D880">
        <v>1</v>
      </c>
      <c r="E880" t="s">
        <v>197</v>
      </c>
      <c r="F880">
        <v>14.7</v>
      </c>
      <c r="G880">
        <v>2019</v>
      </c>
      <c r="H880" t="s">
        <v>928</v>
      </c>
      <c r="I880" t="s">
        <v>6597</v>
      </c>
      <c r="L880" t="s">
        <v>197</v>
      </c>
    </row>
    <row r="881" spans="1:12" x14ac:dyDescent="0.4">
      <c r="A881" t="s">
        <v>3570</v>
      </c>
      <c r="B881">
        <v>0</v>
      </c>
      <c r="C881" t="s">
        <v>1380</v>
      </c>
      <c r="D881">
        <v>1</v>
      </c>
      <c r="E881" t="s">
        <v>197</v>
      </c>
      <c r="F881">
        <v>7.4</v>
      </c>
      <c r="G881">
        <v>2019</v>
      </c>
      <c r="H881" t="s">
        <v>928</v>
      </c>
      <c r="I881" t="s">
        <v>6597</v>
      </c>
      <c r="L881" t="s">
        <v>197</v>
      </c>
    </row>
    <row r="882" spans="1:12" x14ac:dyDescent="0.4">
      <c r="A882" t="s">
        <v>5796</v>
      </c>
      <c r="B882">
        <v>0</v>
      </c>
      <c r="C882" t="s">
        <v>1380</v>
      </c>
      <c r="D882">
        <v>1</v>
      </c>
      <c r="E882" t="s">
        <v>197</v>
      </c>
      <c r="F882">
        <v>11.3</v>
      </c>
      <c r="G882">
        <v>2019</v>
      </c>
      <c r="H882" t="s">
        <v>928</v>
      </c>
      <c r="I882" t="s">
        <v>6597</v>
      </c>
      <c r="L882" t="s">
        <v>197</v>
      </c>
    </row>
    <row r="883" spans="1:12" x14ac:dyDescent="0.4">
      <c r="A883" t="s">
        <v>3590</v>
      </c>
      <c r="B883">
        <v>0</v>
      </c>
      <c r="C883" t="s">
        <v>1380</v>
      </c>
      <c r="D883">
        <v>1</v>
      </c>
      <c r="E883" t="s">
        <v>197</v>
      </c>
      <c r="F883">
        <v>24.4</v>
      </c>
      <c r="G883">
        <v>2019</v>
      </c>
      <c r="H883" t="s">
        <v>928</v>
      </c>
      <c r="I883" t="s">
        <v>6597</v>
      </c>
      <c r="L883" t="s">
        <v>197</v>
      </c>
    </row>
    <row r="884" spans="1:12" x14ac:dyDescent="0.4">
      <c r="A884" t="s">
        <v>2079</v>
      </c>
      <c r="B884">
        <v>0</v>
      </c>
      <c r="C884" t="s">
        <v>1380</v>
      </c>
      <c r="D884">
        <v>1</v>
      </c>
      <c r="E884" t="s">
        <v>197</v>
      </c>
      <c r="F884">
        <v>40.200000000000003</v>
      </c>
      <c r="G884">
        <v>2019</v>
      </c>
      <c r="H884" t="s">
        <v>928</v>
      </c>
      <c r="I884" t="s">
        <v>6597</v>
      </c>
      <c r="L884" t="s">
        <v>197</v>
      </c>
    </row>
    <row r="885" spans="1:12" x14ac:dyDescent="0.4">
      <c r="A885" t="s">
        <v>2080</v>
      </c>
      <c r="B885">
        <v>0</v>
      </c>
      <c r="C885" t="s">
        <v>1380</v>
      </c>
      <c r="D885">
        <v>1</v>
      </c>
      <c r="E885" t="s">
        <v>197</v>
      </c>
      <c r="F885">
        <v>13.3</v>
      </c>
      <c r="G885">
        <v>2019</v>
      </c>
      <c r="H885" t="s">
        <v>928</v>
      </c>
      <c r="I885" t="s">
        <v>6597</v>
      </c>
      <c r="L885" t="s">
        <v>197</v>
      </c>
    </row>
    <row r="886" spans="1:12" x14ac:dyDescent="0.4">
      <c r="A886" t="s">
        <v>3593</v>
      </c>
      <c r="B886">
        <v>0</v>
      </c>
      <c r="C886" t="s">
        <v>1380</v>
      </c>
      <c r="D886">
        <v>1</v>
      </c>
      <c r="E886" t="s">
        <v>197</v>
      </c>
      <c r="F886">
        <v>9.1</v>
      </c>
      <c r="G886">
        <v>2019</v>
      </c>
      <c r="H886" t="s">
        <v>928</v>
      </c>
      <c r="I886" t="s">
        <v>6597</v>
      </c>
      <c r="L886" t="s">
        <v>197</v>
      </c>
    </row>
    <row r="887" spans="1:12" x14ac:dyDescent="0.4">
      <c r="A887" t="s">
        <v>2081</v>
      </c>
      <c r="B887">
        <v>0</v>
      </c>
      <c r="C887" t="s">
        <v>1380</v>
      </c>
      <c r="D887">
        <v>1</v>
      </c>
      <c r="E887" t="s">
        <v>197</v>
      </c>
      <c r="F887">
        <v>11.1</v>
      </c>
      <c r="G887">
        <v>2019</v>
      </c>
      <c r="H887" t="s">
        <v>928</v>
      </c>
      <c r="I887" t="s">
        <v>6597</v>
      </c>
      <c r="L887" t="s">
        <v>197</v>
      </c>
    </row>
    <row r="888" spans="1:12" x14ac:dyDescent="0.4">
      <c r="A888" t="s">
        <v>3568</v>
      </c>
      <c r="B888">
        <v>0</v>
      </c>
      <c r="C888" t="s">
        <v>1380</v>
      </c>
      <c r="D888">
        <v>1</v>
      </c>
      <c r="E888" t="s">
        <v>197</v>
      </c>
      <c r="F888">
        <v>6.7</v>
      </c>
      <c r="G888">
        <v>2019</v>
      </c>
      <c r="H888" t="s">
        <v>928</v>
      </c>
      <c r="I888" t="s">
        <v>6597</v>
      </c>
      <c r="L888" t="s">
        <v>197</v>
      </c>
    </row>
    <row r="889" spans="1:12" x14ac:dyDescent="0.4">
      <c r="A889" t="s">
        <v>3582</v>
      </c>
      <c r="B889">
        <v>0</v>
      </c>
      <c r="C889" t="s">
        <v>1380</v>
      </c>
      <c r="D889">
        <v>1</v>
      </c>
      <c r="E889" t="s">
        <v>197</v>
      </c>
      <c r="F889">
        <v>12.4</v>
      </c>
      <c r="G889">
        <v>2019</v>
      </c>
      <c r="H889" t="s">
        <v>928</v>
      </c>
      <c r="I889" t="s">
        <v>6597</v>
      </c>
      <c r="L889" t="s">
        <v>197</v>
      </c>
    </row>
    <row r="890" spans="1:12" x14ac:dyDescent="0.4">
      <c r="A890" t="s">
        <v>3592</v>
      </c>
      <c r="B890">
        <v>0</v>
      </c>
      <c r="C890" t="s">
        <v>1380</v>
      </c>
      <c r="D890">
        <v>1</v>
      </c>
      <c r="E890" t="s">
        <v>197</v>
      </c>
      <c r="F890">
        <v>40.200000000000003</v>
      </c>
      <c r="G890">
        <v>2019</v>
      </c>
      <c r="H890" t="s">
        <v>928</v>
      </c>
      <c r="I890" t="s">
        <v>6597</v>
      </c>
      <c r="L890" t="s">
        <v>197</v>
      </c>
    </row>
    <row r="891" spans="1:12" x14ac:dyDescent="0.4">
      <c r="A891" t="s">
        <v>3583</v>
      </c>
      <c r="B891">
        <v>0</v>
      </c>
      <c r="C891" t="s">
        <v>1380</v>
      </c>
      <c r="D891">
        <v>1</v>
      </c>
      <c r="E891" t="s">
        <v>197</v>
      </c>
      <c r="F891">
        <v>27.8</v>
      </c>
      <c r="G891">
        <v>2019</v>
      </c>
      <c r="H891" t="s">
        <v>928</v>
      </c>
      <c r="I891" t="s">
        <v>6597</v>
      </c>
      <c r="L891" t="s">
        <v>197</v>
      </c>
    </row>
    <row r="892" spans="1:12" x14ac:dyDescent="0.4">
      <c r="A892" t="s">
        <v>1571</v>
      </c>
      <c r="B892">
        <v>0</v>
      </c>
      <c r="C892" t="s">
        <v>197</v>
      </c>
      <c r="D892">
        <v>1</v>
      </c>
    </row>
    <row r="893" spans="1:12" x14ac:dyDescent="0.4">
      <c r="A893" t="s">
        <v>1572</v>
      </c>
      <c r="B893">
        <v>0</v>
      </c>
      <c r="C893" t="s">
        <v>197</v>
      </c>
      <c r="D893">
        <v>1</v>
      </c>
    </row>
    <row r="894" spans="1:12" x14ac:dyDescent="0.4">
      <c r="A894" t="s">
        <v>1585</v>
      </c>
      <c r="B894">
        <v>0</v>
      </c>
      <c r="C894" t="s">
        <v>197</v>
      </c>
      <c r="D894">
        <v>1</v>
      </c>
    </row>
    <row r="895" spans="1:12" x14ac:dyDescent="0.4">
      <c r="A895" t="s">
        <v>1681</v>
      </c>
      <c r="B895">
        <v>0</v>
      </c>
      <c r="C895" t="s">
        <v>197</v>
      </c>
      <c r="D895">
        <v>1</v>
      </c>
    </row>
    <row r="896" spans="1:12" x14ac:dyDescent="0.4">
      <c r="A896" t="s">
        <v>1682</v>
      </c>
      <c r="B896">
        <v>0</v>
      </c>
      <c r="C896" t="s">
        <v>197</v>
      </c>
      <c r="D896">
        <v>1</v>
      </c>
    </row>
    <row r="897" spans="1:12" x14ac:dyDescent="0.4">
      <c r="A897" t="s">
        <v>2572</v>
      </c>
      <c r="B897">
        <v>0</v>
      </c>
      <c r="C897" t="s">
        <v>197</v>
      </c>
      <c r="D897">
        <v>1</v>
      </c>
    </row>
    <row r="898" spans="1:12" x14ac:dyDescent="0.4">
      <c r="A898" t="s">
        <v>2573</v>
      </c>
      <c r="B898">
        <v>0</v>
      </c>
      <c r="C898" t="s">
        <v>197</v>
      </c>
      <c r="D898">
        <v>1</v>
      </c>
    </row>
    <row r="899" spans="1:12" x14ac:dyDescent="0.4">
      <c r="A899" t="s">
        <v>7297</v>
      </c>
      <c r="B899">
        <v>0</v>
      </c>
      <c r="C899" t="s">
        <v>197</v>
      </c>
      <c r="D899">
        <v>1</v>
      </c>
    </row>
    <row r="900" spans="1:12" x14ac:dyDescent="0.4">
      <c r="A900" t="s">
        <v>7298</v>
      </c>
      <c r="B900">
        <v>0</v>
      </c>
      <c r="C900" t="s">
        <v>197</v>
      </c>
      <c r="D900">
        <v>1</v>
      </c>
    </row>
    <row r="901" spans="1:12" x14ac:dyDescent="0.4">
      <c r="A901" t="s">
        <v>7299</v>
      </c>
      <c r="B901">
        <v>0</v>
      </c>
      <c r="C901" t="s">
        <v>197</v>
      </c>
      <c r="D901">
        <v>1</v>
      </c>
    </row>
    <row r="902" spans="1:12" x14ac:dyDescent="0.4">
      <c r="A902" t="s">
        <v>3672</v>
      </c>
      <c r="B902">
        <v>42.5</v>
      </c>
      <c r="C902" t="s">
        <v>5700</v>
      </c>
      <c r="D902">
        <v>3</v>
      </c>
      <c r="E902">
        <v>-0.18</v>
      </c>
      <c r="F902">
        <v>41.8</v>
      </c>
      <c r="G902">
        <v>2020</v>
      </c>
      <c r="H902" t="s">
        <v>928</v>
      </c>
      <c r="I902" t="s">
        <v>6598</v>
      </c>
      <c r="L902" t="s">
        <v>197</v>
      </c>
    </row>
    <row r="903" spans="1:12" x14ac:dyDescent="0.4">
      <c r="A903" t="s">
        <v>3670</v>
      </c>
      <c r="B903">
        <v>41.7</v>
      </c>
      <c r="C903" t="s">
        <v>5703</v>
      </c>
      <c r="D903">
        <v>3</v>
      </c>
      <c r="E903">
        <v>-0.20699999999999999</v>
      </c>
      <c r="F903">
        <v>41.2</v>
      </c>
      <c r="G903">
        <v>2020</v>
      </c>
      <c r="H903" t="s">
        <v>928</v>
      </c>
      <c r="I903" t="s">
        <v>6598</v>
      </c>
      <c r="L903" t="s">
        <v>197</v>
      </c>
    </row>
    <row r="904" spans="1:12" x14ac:dyDescent="0.4">
      <c r="A904" t="s">
        <v>3676</v>
      </c>
      <c r="B904">
        <v>41.5</v>
      </c>
      <c r="C904" t="s">
        <v>5719</v>
      </c>
      <c r="D904">
        <v>3</v>
      </c>
      <c r="E904">
        <v>-0.214</v>
      </c>
      <c r="F904">
        <v>41</v>
      </c>
      <c r="G904">
        <v>2020</v>
      </c>
      <c r="H904" t="s">
        <v>928</v>
      </c>
      <c r="I904" t="s">
        <v>6598</v>
      </c>
      <c r="L904" t="s">
        <v>197</v>
      </c>
    </row>
    <row r="905" spans="1:12" x14ac:dyDescent="0.4">
      <c r="A905" t="s">
        <v>3700</v>
      </c>
      <c r="B905">
        <v>99.1</v>
      </c>
      <c r="C905" t="s">
        <v>2478</v>
      </c>
      <c r="D905">
        <v>5</v>
      </c>
      <c r="E905">
        <v>1.7430000000000001</v>
      </c>
      <c r="F905">
        <v>88.4</v>
      </c>
      <c r="G905">
        <v>2020</v>
      </c>
      <c r="H905" t="s">
        <v>928</v>
      </c>
      <c r="I905" t="s">
        <v>6598</v>
      </c>
      <c r="L905" t="s">
        <v>197</v>
      </c>
    </row>
    <row r="906" spans="1:12" x14ac:dyDescent="0.4">
      <c r="A906" t="s">
        <v>2117</v>
      </c>
      <c r="B906">
        <v>6</v>
      </c>
      <c r="C906" t="s">
        <v>6037</v>
      </c>
      <c r="D906">
        <v>1</v>
      </c>
      <c r="E906">
        <v>-1.42</v>
      </c>
      <c r="F906">
        <v>11.8</v>
      </c>
      <c r="G906">
        <v>2020</v>
      </c>
      <c r="H906" t="s">
        <v>928</v>
      </c>
      <c r="I906" t="s">
        <v>6598</v>
      </c>
      <c r="L906" t="s">
        <v>197</v>
      </c>
    </row>
    <row r="907" spans="1:12" x14ac:dyDescent="0.4">
      <c r="A907" t="s">
        <v>3696</v>
      </c>
      <c r="B907">
        <v>30.3</v>
      </c>
      <c r="C907" t="s">
        <v>6587</v>
      </c>
      <c r="D907">
        <v>2</v>
      </c>
      <c r="E907">
        <v>-0.59499999999999997</v>
      </c>
      <c r="F907">
        <v>31.8</v>
      </c>
      <c r="G907">
        <v>2020</v>
      </c>
      <c r="H907" t="s">
        <v>928</v>
      </c>
      <c r="I907" t="s">
        <v>6598</v>
      </c>
      <c r="L907" t="s">
        <v>197</v>
      </c>
    </row>
    <row r="908" spans="1:12" x14ac:dyDescent="0.4">
      <c r="A908" t="s">
        <v>3680</v>
      </c>
      <c r="B908">
        <v>74.599999999999994</v>
      </c>
      <c r="C908" t="s">
        <v>5696</v>
      </c>
      <c r="D908">
        <v>4</v>
      </c>
      <c r="E908">
        <v>0.91100000000000003</v>
      </c>
      <c r="F908">
        <v>68.2</v>
      </c>
      <c r="G908">
        <v>2020</v>
      </c>
      <c r="H908" t="s">
        <v>928</v>
      </c>
      <c r="I908" t="s">
        <v>6598</v>
      </c>
      <c r="L908" t="s">
        <v>197</v>
      </c>
    </row>
    <row r="909" spans="1:12" x14ac:dyDescent="0.4">
      <c r="A909" t="s">
        <v>3674</v>
      </c>
      <c r="B909">
        <v>98.1</v>
      </c>
      <c r="C909" t="s">
        <v>2475</v>
      </c>
      <c r="D909">
        <v>5</v>
      </c>
      <c r="E909">
        <v>1.7090000000000001</v>
      </c>
      <c r="F909">
        <v>87.5</v>
      </c>
      <c r="G909">
        <v>2020</v>
      </c>
      <c r="H909" t="s">
        <v>928</v>
      </c>
      <c r="I909" t="s">
        <v>6598</v>
      </c>
      <c r="L909" t="s">
        <v>197</v>
      </c>
    </row>
    <row r="910" spans="1:12" x14ac:dyDescent="0.4">
      <c r="A910" t="s">
        <v>3686</v>
      </c>
      <c r="B910">
        <v>63.1</v>
      </c>
      <c r="C910" t="s">
        <v>5692</v>
      </c>
      <c r="D910">
        <v>4</v>
      </c>
      <c r="E910">
        <v>0.52</v>
      </c>
      <c r="F910">
        <v>58.8</v>
      </c>
      <c r="G910">
        <v>2020</v>
      </c>
      <c r="H910" t="s">
        <v>928</v>
      </c>
      <c r="I910" t="s">
        <v>6598</v>
      </c>
      <c r="L910" t="s">
        <v>197</v>
      </c>
    </row>
    <row r="911" spans="1:12" x14ac:dyDescent="0.4">
      <c r="A911" t="s">
        <v>3678</v>
      </c>
      <c r="B911">
        <v>5.2</v>
      </c>
      <c r="C911" t="s">
        <v>6036</v>
      </c>
      <c r="D911">
        <v>1</v>
      </c>
      <c r="E911">
        <v>-1.4470000000000001</v>
      </c>
      <c r="F911">
        <v>11.2</v>
      </c>
      <c r="G911">
        <v>2020</v>
      </c>
      <c r="H911" t="s">
        <v>928</v>
      </c>
      <c r="I911" t="s">
        <v>6598</v>
      </c>
      <c r="L911" t="s">
        <v>197</v>
      </c>
    </row>
    <row r="912" spans="1:12" x14ac:dyDescent="0.4">
      <c r="A912" t="s">
        <v>5963</v>
      </c>
      <c r="B912">
        <v>10.1</v>
      </c>
      <c r="C912" t="s">
        <v>5710</v>
      </c>
      <c r="D912">
        <v>1</v>
      </c>
      <c r="E912">
        <v>-1.2809999999999999</v>
      </c>
      <c r="F912">
        <v>15.2</v>
      </c>
      <c r="G912">
        <v>2020</v>
      </c>
      <c r="H912" t="s">
        <v>928</v>
      </c>
      <c r="I912" t="s">
        <v>6598</v>
      </c>
      <c r="L912" t="s">
        <v>197</v>
      </c>
    </row>
    <row r="913" spans="1:12" x14ac:dyDescent="0.4">
      <c r="A913" t="s">
        <v>3692</v>
      </c>
      <c r="B913">
        <v>29.3</v>
      </c>
      <c r="C913" t="s">
        <v>5702</v>
      </c>
      <c r="D913">
        <v>2</v>
      </c>
      <c r="E913">
        <v>-0.629</v>
      </c>
      <c r="F913">
        <v>31</v>
      </c>
      <c r="G913">
        <v>2020</v>
      </c>
      <c r="H913" t="s">
        <v>928</v>
      </c>
      <c r="I913" t="s">
        <v>6598</v>
      </c>
      <c r="L913" t="s">
        <v>197</v>
      </c>
    </row>
    <row r="914" spans="1:12" x14ac:dyDescent="0.4">
      <c r="A914" t="s">
        <v>2118</v>
      </c>
      <c r="B914">
        <v>29.8</v>
      </c>
      <c r="C914" t="s">
        <v>5704</v>
      </c>
      <c r="D914">
        <v>2</v>
      </c>
      <c r="E914">
        <v>-0.61199999999999999</v>
      </c>
      <c r="F914">
        <v>31.4</v>
      </c>
      <c r="G914">
        <v>2020</v>
      </c>
      <c r="H914" t="s">
        <v>928</v>
      </c>
      <c r="I914" t="s">
        <v>6598</v>
      </c>
      <c r="L914" t="s">
        <v>197</v>
      </c>
    </row>
    <row r="915" spans="1:12" x14ac:dyDescent="0.4">
      <c r="A915" t="s">
        <v>2127</v>
      </c>
      <c r="B915">
        <v>41</v>
      </c>
      <c r="C915" t="s">
        <v>5736</v>
      </c>
      <c r="D915">
        <v>3</v>
      </c>
      <c r="E915">
        <v>-0.23100000000000001</v>
      </c>
      <c r="F915">
        <v>40.6</v>
      </c>
      <c r="G915">
        <v>2020</v>
      </c>
      <c r="H915" t="s">
        <v>928</v>
      </c>
      <c r="I915" t="s">
        <v>6598</v>
      </c>
      <c r="L915" t="s">
        <v>197</v>
      </c>
    </row>
    <row r="916" spans="1:12" x14ac:dyDescent="0.4">
      <c r="A916" t="s">
        <v>3685</v>
      </c>
      <c r="B916">
        <v>31.8</v>
      </c>
      <c r="C916" t="s">
        <v>5733</v>
      </c>
      <c r="D916">
        <v>2</v>
      </c>
      <c r="E916">
        <v>-0.54400000000000004</v>
      </c>
      <c r="F916">
        <v>33</v>
      </c>
      <c r="G916">
        <v>2020</v>
      </c>
      <c r="H916" t="s">
        <v>6613</v>
      </c>
      <c r="I916" t="s">
        <v>6614</v>
      </c>
      <c r="L916" t="s">
        <v>197</v>
      </c>
    </row>
    <row r="917" spans="1:12" x14ac:dyDescent="0.4">
      <c r="A917" t="s">
        <v>3699</v>
      </c>
      <c r="B917">
        <v>28.1</v>
      </c>
      <c r="C917" t="s">
        <v>5694</v>
      </c>
      <c r="D917">
        <v>2</v>
      </c>
      <c r="E917">
        <v>-0.66900000000000004</v>
      </c>
      <c r="F917">
        <v>30</v>
      </c>
      <c r="G917">
        <v>2020</v>
      </c>
      <c r="H917" t="s">
        <v>928</v>
      </c>
      <c r="I917" t="s">
        <v>6598</v>
      </c>
      <c r="L917" t="s">
        <v>197</v>
      </c>
    </row>
    <row r="918" spans="1:12" x14ac:dyDescent="0.4">
      <c r="A918" t="s">
        <v>2119</v>
      </c>
      <c r="B918">
        <v>100</v>
      </c>
      <c r="C918" t="s">
        <v>2479</v>
      </c>
      <c r="D918">
        <v>5</v>
      </c>
      <c r="E918">
        <v>1.774</v>
      </c>
      <c r="F918">
        <v>89.1</v>
      </c>
      <c r="G918">
        <v>2020</v>
      </c>
      <c r="H918" t="s">
        <v>928</v>
      </c>
      <c r="I918" t="s">
        <v>6598</v>
      </c>
      <c r="L918" t="s">
        <v>197</v>
      </c>
    </row>
    <row r="919" spans="1:12" x14ac:dyDescent="0.4">
      <c r="A919" t="s">
        <v>2126</v>
      </c>
      <c r="B919">
        <v>64.400000000000006</v>
      </c>
      <c r="C919" t="s">
        <v>5707</v>
      </c>
      <c r="D919">
        <v>4</v>
      </c>
      <c r="E919">
        <v>0.56399999999999995</v>
      </c>
      <c r="F919">
        <v>59.8</v>
      </c>
      <c r="G919">
        <v>2020</v>
      </c>
      <c r="H919" t="s">
        <v>928</v>
      </c>
      <c r="I919" t="s">
        <v>6598</v>
      </c>
      <c r="L919" t="s">
        <v>197</v>
      </c>
    </row>
    <row r="920" spans="1:12" x14ac:dyDescent="0.4">
      <c r="A920" t="s">
        <v>2120</v>
      </c>
      <c r="B920">
        <v>25.2</v>
      </c>
      <c r="C920" t="s">
        <v>5713</v>
      </c>
      <c r="D920">
        <v>2</v>
      </c>
      <c r="E920">
        <v>-0.76800000000000002</v>
      </c>
      <c r="F920">
        <v>27.6</v>
      </c>
      <c r="G920">
        <v>2020</v>
      </c>
      <c r="H920" t="s">
        <v>928</v>
      </c>
      <c r="I920" t="s">
        <v>6598</v>
      </c>
      <c r="L920" t="s">
        <v>197</v>
      </c>
    </row>
    <row r="921" spans="1:12" x14ac:dyDescent="0.4">
      <c r="A921" t="s">
        <v>3669</v>
      </c>
      <c r="B921">
        <v>10.3</v>
      </c>
      <c r="C921" t="s">
        <v>5697</v>
      </c>
      <c r="D921">
        <v>1</v>
      </c>
      <c r="E921">
        <v>-1.274</v>
      </c>
      <c r="F921">
        <v>15.4</v>
      </c>
      <c r="G921">
        <v>2020</v>
      </c>
      <c r="H921" t="s">
        <v>928</v>
      </c>
      <c r="I921" t="s">
        <v>6598</v>
      </c>
      <c r="L921" t="s">
        <v>197</v>
      </c>
    </row>
    <row r="922" spans="1:12" x14ac:dyDescent="0.4">
      <c r="A922" t="s">
        <v>3689</v>
      </c>
      <c r="B922">
        <v>46.8</v>
      </c>
      <c r="C922" t="s">
        <v>5731</v>
      </c>
      <c r="D922">
        <v>3</v>
      </c>
      <c r="E922">
        <v>-3.4000000000000002E-2</v>
      </c>
      <c r="F922">
        <v>45.4</v>
      </c>
      <c r="G922">
        <v>2020</v>
      </c>
      <c r="H922" t="s">
        <v>928</v>
      </c>
      <c r="I922" t="s">
        <v>6598</v>
      </c>
      <c r="L922" t="s">
        <v>197</v>
      </c>
    </row>
    <row r="923" spans="1:12" x14ac:dyDescent="0.4">
      <c r="A923" t="s">
        <v>3693</v>
      </c>
      <c r="B923">
        <v>46.5</v>
      </c>
      <c r="C923" t="s">
        <v>5729</v>
      </c>
      <c r="D923">
        <v>3</v>
      </c>
      <c r="E923">
        <v>-4.3999999999999997E-2</v>
      </c>
      <c r="F923">
        <v>45.1</v>
      </c>
      <c r="G923">
        <v>2020</v>
      </c>
      <c r="H923" t="s">
        <v>928</v>
      </c>
      <c r="I923" t="s">
        <v>6598</v>
      </c>
      <c r="L923" t="s">
        <v>197</v>
      </c>
    </row>
    <row r="924" spans="1:12" x14ac:dyDescent="0.4">
      <c r="A924" t="s">
        <v>3691</v>
      </c>
      <c r="B924">
        <v>25.3</v>
      </c>
      <c r="C924" t="s">
        <v>5708</v>
      </c>
      <c r="D924">
        <v>2</v>
      </c>
      <c r="E924">
        <v>-0.76400000000000001</v>
      </c>
      <c r="F924">
        <v>27.7</v>
      </c>
      <c r="G924">
        <v>2020</v>
      </c>
      <c r="H924" t="s">
        <v>928</v>
      </c>
      <c r="I924" t="s">
        <v>6598</v>
      </c>
      <c r="L924" t="s">
        <v>197</v>
      </c>
    </row>
    <row r="925" spans="1:12" x14ac:dyDescent="0.4">
      <c r="A925" t="s">
        <v>3679</v>
      </c>
      <c r="B925">
        <v>51.7</v>
      </c>
      <c r="C925" t="s">
        <v>6579</v>
      </c>
      <c r="D925">
        <v>3</v>
      </c>
      <c r="E925">
        <v>0.13300000000000001</v>
      </c>
      <c r="F925">
        <v>49.4</v>
      </c>
      <c r="G925">
        <v>2020</v>
      </c>
      <c r="H925" t="s">
        <v>928</v>
      </c>
      <c r="I925" t="s">
        <v>6598</v>
      </c>
      <c r="L925" t="s">
        <v>197</v>
      </c>
    </row>
    <row r="926" spans="1:12" x14ac:dyDescent="0.4">
      <c r="A926" t="s">
        <v>3668</v>
      </c>
      <c r="B926">
        <v>0</v>
      </c>
      <c r="C926" t="s">
        <v>6033</v>
      </c>
      <c r="D926">
        <v>1</v>
      </c>
      <c r="E926">
        <v>-1.6240000000000001</v>
      </c>
      <c r="F926">
        <v>6.9</v>
      </c>
      <c r="G926">
        <v>2020</v>
      </c>
      <c r="H926" t="s">
        <v>928</v>
      </c>
      <c r="I926" t="s">
        <v>6598</v>
      </c>
      <c r="L926" t="s">
        <v>197</v>
      </c>
    </row>
    <row r="927" spans="1:12" x14ac:dyDescent="0.4">
      <c r="A927" t="s">
        <v>3682</v>
      </c>
      <c r="B927">
        <v>90.5</v>
      </c>
      <c r="C927" t="s">
        <v>2483</v>
      </c>
      <c r="D927">
        <v>5</v>
      </c>
      <c r="E927">
        <v>1.4510000000000001</v>
      </c>
      <c r="F927">
        <v>81.3</v>
      </c>
      <c r="G927">
        <v>2020</v>
      </c>
      <c r="H927" t="s">
        <v>928</v>
      </c>
      <c r="I927" t="s">
        <v>6598</v>
      </c>
      <c r="L927" t="s">
        <v>197</v>
      </c>
    </row>
    <row r="928" spans="1:12" x14ac:dyDescent="0.4">
      <c r="A928" t="s">
        <v>3683</v>
      </c>
      <c r="B928">
        <v>68.400000000000006</v>
      </c>
      <c r="C928" t="s">
        <v>5701</v>
      </c>
      <c r="D928">
        <v>4</v>
      </c>
      <c r="E928">
        <v>0.7</v>
      </c>
      <c r="F928">
        <v>63.1</v>
      </c>
      <c r="G928">
        <v>2020</v>
      </c>
      <c r="H928" t="s">
        <v>928</v>
      </c>
      <c r="I928" t="s">
        <v>6598</v>
      </c>
      <c r="L928" t="s">
        <v>197</v>
      </c>
    </row>
    <row r="929" spans="1:12" x14ac:dyDescent="0.4">
      <c r="A929" t="s">
        <v>3701</v>
      </c>
      <c r="B929">
        <v>26.5</v>
      </c>
      <c r="C929" t="s">
        <v>5709</v>
      </c>
      <c r="D929">
        <v>2</v>
      </c>
      <c r="E929">
        <v>-0.72399999999999998</v>
      </c>
      <c r="F929">
        <v>28.7</v>
      </c>
      <c r="G929">
        <v>2020</v>
      </c>
      <c r="H929" t="s">
        <v>928</v>
      </c>
      <c r="I929" t="s">
        <v>6598</v>
      </c>
      <c r="L929" t="s">
        <v>197</v>
      </c>
    </row>
    <row r="930" spans="1:12" x14ac:dyDescent="0.4">
      <c r="A930" t="s">
        <v>2121</v>
      </c>
      <c r="B930">
        <v>94.3</v>
      </c>
      <c r="C930" t="s">
        <v>2476</v>
      </c>
      <c r="D930">
        <v>5</v>
      </c>
      <c r="E930">
        <v>1.58</v>
      </c>
      <c r="F930">
        <v>84.4</v>
      </c>
      <c r="G930">
        <v>2020</v>
      </c>
      <c r="H930" t="s">
        <v>928</v>
      </c>
      <c r="I930" t="s">
        <v>6598</v>
      </c>
      <c r="L930" t="s">
        <v>197</v>
      </c>
    </row>
    <row r="931" spans="1:12" x14ac:dyDescent="0.4">
      <c r="A931" t="s">
        <v>2125</v>
      </c>
      <c r="B931">
        <v>47.9</v>
      </c>
      <c r="C931" t="s">
        <v>5732</v>
      </c>
      <c r="D931">
        <v>3</v>
      </c>
      <c r="E931">
        <v>3.0000000000000001E-3</v>
      </c>
      <c r="F931">
        <v>46.3</v>
      </c>
      <c r="G931">
        <v>2020</v>
      </c>
      <c r="H931" t="s">
        <v>928</v>
      </c>
      <c r="I931" t="s">
        <v>6598</v>
      </c>
      <c r="L931" t="s">
        <v>197</v>
      </c>
    </row>
    <row r="932" spans="1:12" x14ac:dyDescent="0.4">
      <c r="A932" t="s">
        <v>3684</v>
      </c>
      <c r="B932">
        <v>92.9</v>
      </c>
      <c r="C932" t="s">
        <v>2480</v>
      </c>
      <c r="D932">
        <v>5</v>
      </c>
      <c r="E932">
        <v>1.532</v>
      </c>
      <c r="F932">
        <v>83.3</v>
      </c>
      <c r="G932">
        <v>2020</v>
      </c>
      <c r="H932" t="s">
        <v>928</v>
      </c>
      <c r="I932" t="s">
        <v>6598</v>
      </c>
      <c r="L932" t="s">
        <v>197</v>
      </c>
    </row>
    <row r="933" spans="1:12" x14ac:dyDescent="0.4">
      <c r="A933" t="s">
        <v>3690</v>
      </c>
      <c r="B933">
        <v>34.5</v>
      </c>
      <c r="C933" t="s">
        <v>5735</v>
      </c>
      <c r="D933">
        <v>2</v>
      </c>
      <c r="E933">
        <v>-0.45200000000000001</v>
      </c>
      <c r="F933">
        <v>35.299999999999997</v>
      </c>
      <c r="G933">
        <v>2020</v>
      </c>
      <c r="H933" t="s">
        <v>928</v>
      </c>
      <c r="I933" t="s">
        <v>6598</v>
      </c>
      <c r="L933" t="s">
        <v>197</v>
      </c>
    </row>
    <row r="934" spans="1:12" x14ac:dyDescent="0.4">
      <c r="A934" t="s">
        <v>3671</v>
      </c>
      <c r="B934">
        <v>13.4</v>
      </c>
      <c r="C934" t="s">
        <v>5712</v>
      </c>
      <c r="D934">
        <v>1</v>
      </c>
      <c r="E934">
        <v>-1.169</v>
      </c>
      <c r="F934">
        <v>17.899999999999999</v>
      </c>
      <c r="G934">
        <v>2020</v>
      </c>
      <c r="H934" t="s">
        <v>928</v>
      </c>
      <c r="I934" t="s">
        <v>6598</v>
      </c>
      <c r="L934" t="s">
        <v>197</v>
      </c>
    </row>
    <row r="935" spans="1:12" x14ac:dyDescent="0.4">
      <c r="A935" t="s">
        <v>5797</v>
      </c>
      <c r="B935">
        <v>78</v>
      </c>
      <c r="C935" t="s">
        <v>2481</v>
      </c>
      <c r="D935">
        <v>4</v>
      </c>
      <c r="E935">
        <v>1.026</v>
      </c>
      <c r="F935">
        <v>71</v>
      </c>
      <c r="G935">
        <v>2020</v>
      </c>
      <c r="H935" t="s">
        <v>928</v>
      </c>
      <c r="I935" t="s">
        <v>6598</v>
      </c>
      <c r="L935" t="s">
        <v>197</v>
      </c>
    </row>
    <row r="936" spans="1:12" x14ac:dyDescent="0.4">
      <c r="A936" t="s">
        <v>3694</v>
      </c>
      <c r="B936">
        <v>79.400000000000006</v>
      </c>
      <c r="C936" t="s">
        <v>2474</v>
      </c>
      <c r="D936">
        <v>4</v>
      </c>
      <c r="E936">
        <v>1.0740000000000001</v>
      </c>
      <c r="F936">
        <v>72.2</v>
      </c>
      <c r="G936">
        <v>2020</v>
      </c>
      <c r="H936" t="s">
        <v>928</v>
      </c>
      <c r="I936" t="s">
        <v>6598</v>
      </c>
      <c r="L936" t="s">
        <v>197</v>
      </c>
    </row>
    <row r="937" spans="1:12" x14ac:dyDescent="0.4">
      <c r="A937" t="s">
        <v>5798</v>
      </c>
      <c r="B937">
        <v>54.4</v>
      </c>
      <c r="C937" t="s">
        <v>6580</v>
      </c>
      <c r="D937">
        <v>3</v>
      </c>
      <c r="E937">
        <v>0.224</v>
      </c>
      <c r="F937">
        <v>51.6</v>
      </c>
      <c r="G937">
        <v>2020</v>
      </c>
      <c r="H937" t="s">
        <v>928</v>
      </c>
      <c r="I937" t="s">
        <v>6598</v>
      </c>
      <c r="L937" t="s">
        <v>197</v>
      </c>
    </row>
    <row r="938" spans="1:12" x14ac:dyDescent="0.4">
      <c r="A938" t="s">
        <v>3702</v>
      </c>
      <c r="B938">
        <v>25.7</v>
      </c>
      <c r="C938" t="s">
        <v>5698</v>
      </c>
      <c r="D938">
        <v>2</v>
      </c>
      <c r="E938">
        <v>-0.751</v>
      </c>
      <c r="F938">
        <v>28</v>
      </c>
      <c r="G938">
        <v>2020</v>
      </c>
      <c r="H938" t="s">
        <v>6613</v>
      </c>
      <c r="I938" t="s">
        <v>6614</v>
      </c>
      <c r="L938" t="s">
        <v>197</v>
      </c>
    </row>
    <row r="939" spans="1:12" x14ac:dyDescent="0.4">
      <c r="A939" t="s">
        <v>3677</v>
      </c>
      <c r="B939">
        <v>4.0999999999999996</v>
      </c>
      <c r="C939" t="s">
        <v>6035</v>
      </c>
      <c r="D939">
        <v>1</v>
      </c>
      <c r="E939">
        <v>-1.4850000000000001</v>
      </c>
      <c r="F939">
        <v>10.3</v>
      </c>
      <c r="G939">
        <v>2020</v>
      </c>
      <c r="H939" t="s">
        <v>928</v>
      </c>
      <c r="I939" t="s">
        <v>6598</v>
      </c>
      <c r="L939" t="s">
        <v>197</v>
      </c>
    </row>
    <row r="940" spans="1:12" x14ac:dyDescent="0.4">
      <c r="A940" t="s">
        <v>3681</v>
      </c>
      <c r="B940">
        <v>63.6</v>
      </c>
      <c r="C940" t="s">
        <v>5705</v>
      </c>
      <c r="D940">
        <v>4</v>
      </c>
      <c r="E940">
        <v>0.53700000000000003</v>
      </c>
      <c r="F940">
        <v>59.2</v>
      </c>
      <c r="G940">
        <v>2020</v>
      </c>
      <c r="H940" t="s">
        <v>928</v>
      </c>
      <c r="I940" t="s">
        <v>6598</v>
      </c>
      <c r="L940" t="s">
        <v>197</v>
      </c>
    </row>
    <row r="941" spans="1:12" x14ac:dyDescent="0.4">
      <c r="A941" t="s">
        <v>3675</v>
      </c>
      <c r="B941">
        <v>41.5</v>
      </c>
      <c r="C941" t="s">
        <v>5719</v>
      </c>
      <c r="D941">
        <v>3</v>
      </c>
      <c r="E941">
        <v>-0.214</v>
      </c>
      <c r="F941">
        <v>41</v>
      </c>
      <c r="G941">
        <v>2020</v>
      </c>
      <c r="H941" t="s">
        <v>928</v>
      </c>
      <c r="I941" t="s">
        <v>6598</v>
      </c>
      <c r="L941" t="s">
        <v>197</v>
      </c>
    </row>
    <row r="942" spans="1:12" x14ac:dyDescent="0.4">
      <c r="A942" t="s">
        <v>5799</v>
      </c>
      <c r="B942">
        <v>57.1</v>
      </c>
      <c r="C942" t="s">
        <v>5695</v>
      </c>
      <c r="D942">
        <v>3</v>
      </c>
      <c r="E942">
        <v>0.316</v>
      </c>
      <c r="F942">
        <v>53.8</v>
      </c>
      <c r="G942">
        <v>2020</v>
      </c>
      <c r="H942" t="s">
        <v>928</v>
      </c>
      <c r="I942" t="s">
        <v>6598</v>
      </c>
      <c r="L942" t="s">
        <v>197</v>
      </c>
    </row>
    <row r="943" spans="1:12" x14ac:dyDescent="0.4">
      <c r="A943" t="s">
        <v>3695</v>
      </c>
      <c r="B943">
        <v>51</v>
      </c>
      <c r="C943" t="s">
        <v>6034</v>
      </c>
      <c r="D943">
        <v>3</v>
      </c>
      <c r="E943">
        <v>0.109</v>
      </c>
      <c r="F943">
        <v>48.8</v>
      </c>
      <c r="G943">
        <v>2020</v>
      </c>
      <c r="H943" t="s">
        <v>928</v>
      </c>
      <c r="I943" t="s">
        <v>6598</v>
      </c>
      <c r="L943" t="s">
        <v>197</v>
      </c>
    </row>
    <row r="944" spans="1:12" x14ac:dyDescent="0.4">
      <c r="A944" t="s">
        <v>2122</v>
      </c>
      <c r="B944">
        <v>30.3</v>
      </c>
      <c r="C944" t="s">
        <v>6587</v>
      </c>
      <c r="D944">
        <v>2</v>
      </c>
      <c r="E944">
        <v>-0.59499999999999997</v>
      </c>
      <c r="F944">
        <v>31.8</v>
      </c>
      <c r="G944">
        <v>2020</v>
      </c>
      <c r="H944" t="s">
        <v>928</v>
      </c>
      <c r="I944" t="s">
        <v>6598</v>
      </c>
      <c r="L944" t="s">
        <v>197</v>
      </c>
    </row>
    <row r="945" spans="1:12" x14ac:dyDescent="0.4">
      <c r="A945" t="s">
        <v>2123</v>
      </c>
      <c r="B945">
        <v>77.099999999999994</v>
      </c>
      <c r="C945" t="s">
        <v>5730</v>
      </c>
      <c r="D945">
        <v>4</v>
      </c>
      <c r="E945">
        <v>0.996</v>
      </c>
      <c r="F945">
        <v>70.3</v>
      </c>
      <c r="G945">
        <v>2020</v>
      </c>
      <c r="H945" t="s">
        <v>928</v>
      </c>
      <c r="I945" t="s">
        <v>6598</v>
      </c>
      <c r="L945" t="s">
        <v>197</v>
      </c>
    </row>
    <row r="946" spans="1:12" x14ac:dyDescent="0.4">
      <c r="A946" t="s">
        <v>3698</v>
      </c>
      <c r="B946">
        <v>32.200000000000003</v>
      </c>
      <c r="C946" t="s">
        <v>5727</v>
      </c>
      <c r="D946">
        <v>2</v>
      </c>
      <c r="E946">
        <v>-0.53</v>
      </c>
      <c r="F946">
        <v>33.4</v>
      </c>
      <c r="G946">
        <v>2020</v>
      </c>
      <c r="H946" t="s">
        <v>928</v>
      </c>
      <c r="I946" t="s">
        <v>6598</v>
      </c>
      <c r="L946" t="s">
        <v>197</v>
      </c>
    </row>
    <row r="947" spans="1:12" x14ac:dyDescent="0.4">
      <c r="A947" t="s">
        <v>2124</v>
      </c>
      <c r="B947">
        <v>82.6</v>
      </c>
      <c r="C947" t="s">
        <v>2482</v>
      </c>
      <c r="D947">
        <v>5</v>
      </c>
      <c r="E947">
        <v>1.1819999999999999</v>
      </c>
      <c r="F947">
        <v>74.8</v>
      </c>
      <c r="G947">
        <v>2020</v>
      </c>
      <c r="H947" t="s">
        <v>928</v>
      </c>
      <c r="I947" t="s">
        <v>6598</v>
      </c>
      <c r="L947" t="s">
        <v>197</v>
      </c>
    </row>
    <row r="948" spans="1:12" x14ac:dyDescent="0.4">
      <c r="A948" t="s">
        <v>3673</v>
      </c>
      <c r="B948">
        <v>98.2</v>
      </c>
      <c r="C948" t="s">
        <v>2477</v>
      </c>
      <c r="D948">
        <v>5</v>
      </c>
      <c r="E948">
        <v>1.712</v>
      </c>
      <c r="F948">
        <v>87.6</v>
      </c>
      <c r="G948">
        <v>2020</v>
      </c>
      <c r="H948" t="s">
        <v>928</v>
      </c>
      <c r="I948" t="s">
        <v>6598</v>
      </c>
      <c r="L948" t="s">
        <v>197</v>
      </c>
    </row>
    <row r="949" spans="1:12" x14ac:dyDescent="0.4">
      <c r="A949" t="s">
        <v>3687</v>
      </c>
      <c r="B949">
        <v>79.7</v>
      </c>
      <c r="C949" t="s">
        <v>2484</v>
      </c>
      <c r="D949">
        <v>4</v>
      </c>
      <c r="E949">
        <v>1.0840000000000001</v>
      </c>
      <c r="F949">
        <v>72.400000000000006</v>
      </c>
      <c r="G949">
        <v>2020</v>
      </c>
      <c r="H949" t="s">
        <v>928</v>
      </c>
      <c r="I949" t="s">
        <v>6598</v>
      </c>
      <c r="L949" t="s">
        <v>197</v>
      </c>
    </row>
    <row r="950" spans="1:12" x14ac:dyDescent="0.4">
      <c r="A950" t="s">
        <v>3697</v>
      </c>
      <c r="B950">
        <v>11.1</v>
      </c>
      <c r="C950" t="s">
        <v>5728</v>
      </c>
      <c r="D950">
        <v>1</v>
      </c>
      <c r="E950">
        <v>-1.2470000000000001</v>
      </c>
      <c r="F950">
        <v>16</v>
      </c>
      <c r="G950">
        <v>2020</v>
      </c>
      <c r="H950" t="s">
        <v>928</v>
      </c>
      <c r="I950" t="s">
        <v>6598</v>
      </c>
      <c r="L950" t="s">
        <v>197</v>
      </c>
    </row>
    <row r="951" spans="1:12" x14ac:dyDescent="0.4">
      <c r="A951" t="s">
        <v>3688</v>
      </c>
      <c r="B951">
        <v>11.3</v>
      </c>
      <c r="C951" t="s">
        <v>5711</v>
      </c>
      <c r="D951">
        <v>1</v>
      </c>
      <c r="E951">
        <v>-1.24</v>
      </c>
      <c r="F951">
        <v>16.2</v>
      </c>
      <c r="G951">
        <v>2020</v>
      </c>
      <c r="H951" t="s">
        <v>928</v>
      </c>
      <c r="I951" t="s">
        <v>6598</v>
      </c>
      <c r="L951" t="s">
        <v>197</v>
      </c>
    </row>
    <row r="952" spans="1:12" x14ac:dyDescent="0.4">
      <c r="A952" t="s">
        <v>1438</v>
      </c>
      <c r="B952">
        <v>47.8</v>
      </c>
      <c r="C952" t="s">
        <v>197</v>
      </c>
      <c r="D952">
        <v>3</v>
      </c>
    </row>
    <row r="953" spans="1:12" x14ac:dyDescent="0.4">
      <c r="A953" t="s">
        <v>1439</v>
      </c>
      <c r="B953">
        <v>21.6</v>
      </c>
      <c r="C953" t="s">
        <v>197</v>
      </c>
      <c r="D953">
        <v>2</v>
      </c>
    </row>
    <row r="954" spans="1:12" x14ac:dyDescent="0.4">
      <c r="A954" t="s">
        <v>1586</v>
      </c>
      <c r="B954">
        <v>66</v>
      </c>
      <c r="C954" t="s">
        <v>197</v>
      </c>
      <c r="D954">
        <v>4</v>
      </c>
    </row>
    <row r="955" spans="1:12" x14ac:dyDescent="0.4">
      <c r="A955" t="s">
        <v>1683</v>
      </c>
      <c r="B955">
        <v>25.5</v>
      </c>
      <c r="C955" t="s">
        <v>197</v>
      </c>
      <c r="D955">
        <v>2</v>
      </c>
    </row>
    <row r="956" spans="1:12" x14ac:dyDescent="0.4">
      <c r="A956" t="s">
        <v>1684</v>
      </c>
      <c r="B956">
        <v>68.3</v>
      </c>
      <c r="C956" t="s">
        <v>197</v>
      </c>
      <c r="D956">
        <v>4</v>
      </c>
    </row>
    <row r="957" spans="1:12" x14ac:dyDescent="0.4">
      <c r="A957" t="s">
        <v>2578</v>
      </c>
      <c r="B957">
        <v>26.5</v>
      </c>
      <c r="C957" t="s">
        <v>197</v>
      </c>
      <c r="D957">
        <v>2</v>
      </c>
    </row>
    <row r="958" spans="1:12" x14ac:dyDescent="0.4">
      <c r="A958" t="s">
        <v>2579</v>
      </c>
      <c r="B958">
        <v>54.8</v>
      </c>
      <c r="C958" t="s">
        <v>197</v>
      </c>
      <c r="D958">
        <v>3</v>
      </c>
    </row>
    <row r="959" spans="1:12" x14ac:dyDescent="0.4">
      <c r="A959" t="s">
        <v>7300</v>
      </c>
      <c r="B959">
        <v>26</v>
      </c>
      <c r="C959" t="s">
        <v>197</v>
      </c>
      <c r="D959">
        <v>2</v>
      </c>
    </row>
    <row r="960" spans="1:12" x14ac:dyDescent="0.4">
      <c r="A960" t="s">
        <v>7301</v>
      </c>
      <c r="B960">
        <v>43.1</v>
      </c>
      <c r="C960" t="s">
        <v>197</v>
      </c>
      <c r="D960">
        <v>3</v>
      </c>
    </row>
    <row r="961" spans="1:11" x14ac:dyDescent="0.4">
      <c r="A961" t="s">
        <v>7302</v>
      </c>
      <c r="B961">
        <v>65.099999999999994</v>
      </c>
      <c r="C961" t="s">
        <v>197</v>
      </c>
      <c r="D961">
        <v>4</v>
      </c>
    </row>
    <row r="962" spans="1:11" x14ac:dyDescent="0.4">
      <c r="A962" t="s">
        <v>3742</v>
      </c>
      <c r="B962">
        <v>0</v>
      </c>
      <c r="C962" t="s">
        <v>5716</v>
      </c>
      <c r="D962">
        <v>1</v>
      </c>
      <c r="E962">
        <v>-1.59</v>
      </c>
      <c r="F962">
        <v>0</v>
      </c>
      <c r="G962">
        <v>2024</v>
      </c>
      <c r="H962" t="s">
        <v>928</v>
      </c>
      <c r="I962" t="s">
        <v>6063</v>
      </c>
      <c r="J962" t="s">
        <v>7881</v>
      </c>
      <c r="K962" t="s">
        <v>9071</v>
      </c>
    </row>
    <row r="963" spans="1:11" x14ac:dyDescent="0.4">
      <c r="A963" t="s">
        <v>3740</v>
      </c>
      <c r="B963">
        <v>0</v>
      </c>
      <c r="C963" t="s">
        <v>5716</v>
      </c>
      <c r="D963">
        <v>1</v>
      </c>
      <c r="E963">
        <v>-1.59</v>
      </c>
      <c r="F963">
        <v>0</v>
      </c>
      <c r="G963">
        <v>2024</v>
      </c>
      <c r="H963" t="s">
        <v>928</v>
      </c>
      <c r="I963" t="s">
        <v>6063</v>
      </c>
      <c r="J963" t="s">
        <v>7882</v>
      </c>
      <c r="K963" t="s">
        <v>9072</v>
      </c>
    </row>
    <row r="964" spans="1:11" x14ac:dyDescent="0.4">
      <c r="A964" t="s">
        <v>3746</v>
      </c>
      <c r="B964">
        <v>50</v>
      </c>
      <c r="C964" t="s">
        <v>5717</v>
      </c>
      <c r="D964">
        <v>3</v>
      </c>
      <c r="E964">
        <v>-0.45400000000000001</v>
      </c>
      <c r="F964">
        <v>1</v>
      </c>
      <c r="G964">
        <v>2024</v>
      </c>
      <c r="H964" t="s">
        <v>928</v>
      </c>
      <c r="I964" t="s">
        <v>6063</v>
      </c>
      <c r="J964" t="s">
        <v>7883</v>
      </c>
      <c r="K964" t="s">
        <v>7884</v>
      </c>
    </row>
    <row r="965" spans="1:11" x14ac:dyDescent="0.4">
      <c r="A965" t="s">
        <v>3770</v>
      </c>
      <c r="B965">
        <v>100</v>
      </c>
      <c r="C965" t="s">
        <v>1380</v>
      </c>
      <c r="D965">
        <v>5</v>
      </c>
      <c r="E965">
        <v>0.68100000000000005</v>
      </c>
      <c r="F965">
        <v>2</v>
      </c>
      <c r="G965">
        <v>2024</v>
      </c>
      <c r="H965" t="s">
        <v>928</v>
      </c>
      <c r="I965" t="s">
        <v>6063</v>
      </c>
      <c r="J965" t="s">
        <v>7885</v>
      </c>
      <c r="K965" t="s">
        <v>7886</v>
      </c>
    </row>
    <row r="966" spans="1:11" x14ac:dyDescent="0.4">
      <c r="A966" t="s">
        <v>2144</v>
      </c>
      <c r="B966">
        <v>100</v>
      </c>
      <c r="C966" t="s">
        <v>1380</v>
      </c>
      <c r="D966">
        <v>5</v>
      </c>
      <c r="E966">
        <v>0.68100000000000005</v>
      </c>
      <c r="F966">
        <v>2</v>
      </c>
      <c r="G966">
        <v>2024</v>
      </c>
      <c r="H966" t="s">
        <v>928</v>
      </c>
      <c r="I966" t="s">
        <v>6063</v>
      </c>
      <c r="J966" t="s">
        <v>7887</v>
      </c>
      <c r="K966" t="s">
        <v>9073</v>
      </c>
    </row>
    <row r="967" spans="1:11" x14ac:dyDescent="0.4">
      <c r="A967" t="s">
        <v>3766</v>
      </c>
      <c r="B967">
        <v>100</v>
      </c>
      <c r="C967" t="s">
        <v>1380</v>
      </c>
      <c r="D967">
        <v>5</v>
      </c>
      <c r="E967">
        <v>0.68100000000000005</v>
      </c>
      <c r="F967">
        <v>2</v>
      </c>
      <c r="G967">
        <v>2024</v>
      </c>
      <c r="H967" t="s">
        <v>928</v>
      </c>
      <c r="I967" t="s">
        <v>6063</v>
      </c>
      <c r="J967" t="s">
        <v>7888</v>
      </c>
      <c r="K967" t="s">
        <v>9074</v>
      </c>
    </row>
    <row r="968" spans="1:11" x14ac:dyDescent="0.4">
      <c r="A968" t="s">
        <v>3750</v>
      </c>
      <c r="B968">
        <v>100</v>
      </c>
      <c r="C968" t="s">
        <v>1380</v>
      </c>
      <c r="D968">
        <v>5</v>
      </c>
      <c r="E968">
        <v>0.68100000000000005</v>
      </c>
      <c r="F968">
        <v>2</v>
      </c>
      <c r="G968">
        <v>2024</v>
      </c>
      <c r="H968" t="s">
        <v>928</v>
      </c>
      <c r="I968" t="s">
        <v>6063</v>
      </c>
      <c r="J968" t="s">
        <v>7889</v>
      </c>
      <c r="K968" t="s">
        <v>9075</v>
      </c>
    </row>
    <row r="969" spans="1:11" x14ac:dyDescent="0.4">
      <c r="A969" t="s">
        <v>3744</v>
      </c>
      <c r="B969">
        <v>100</v>
      </c>
      <c r="C969" t="s">
        <v>1380</v>
      </c>
      <c r="D969">
        <v>5</v>
      </c>
      <c r="E969">
        <v>0.68100000000000005</v>
      </c>
      <c r="F969">
        <v>2</v>
      </c>
      <c r="G969">
        <v>2024</v>
      </c>
      <c r="H969" t="s">
        <v>928</v>
      </c>
      <c r="I969" t="s">
        <v>6063</v>
      </c>
      <c r="J969" t="s">
        <v>7890</v>
      </c>
      <c r="K969" t="s">
        <v>9076</v>
      </c>
    </row>
    <row r="970" spans="1:11" x14ac:dyDescent="0.4">
      <c r="A970" t="s">
        <v>3756</v>
      </c>
      <c r="B970">
        <v>100</v>
      </c>
      <c r="C970" t="s">
        <v>1380</v>
      </c>
      <c r="D970">
        <v>5</v>
      </c>
      <c r="E970">
        <v>0.68100000000000005</v>
      </c>
      <c r="F970">
        <v>2</v>
      </c>
      <c r="G970">
        <v>2024</v>
      </c>
      <c r="H970" t="s">
        <v>928</v>
      </c>
      <c r="I970" t="s">
        <v>6063</v>
      </c>
      <c r="J970" t="s">
        <v>7891</v>
      </c>
      <c r="K970" t="s">
        <v>9077</v>
      </c>
    </row>
    <row r="971" spans="1:11" x14ac:dyDescent="0.4">
      <c r="A971" t="s">
        <v>3748</v>
      </c>
      <c r="B971">
        <v>0</v>
      </c>
      <c r="C971" t="s">
        <v>5716</v>
      </c>
      <c r="D971">
        <v>1</v>
      </c>
      <c r="E971">
        <v>-1.59</v>
      </c>
      <c r="F971">
        <v>0</v>
      </c>
      <c r="G971">
        <v>2024</v>
      </c>
      <c r="H971" t="s">
        <v>928</v>
      </c>
      <c r="I971" t="s">
        <v>6063</v>
      </c>
      <c r="J971" t="s">
        <v>7892</v>
      </c>
      <c r="K971" t="s">
        <v>9078</v>
      </c>
    </row>
    <row r="972" spans="1:11" x14ac:dyDescent="0.4">
      <c r="A972" t="s">
        <v>5964</v>
      </c>
      <c r="B972">
        <v>0</v>
      </c>
      <c r="C972" t="s">
        <v>5716</v>
      </c>
      <c r="D972">
        <v>1</v>
      </c>
      <c r="E972">
        <v>-1.59</v>
      </c>
      <c r="F972">
        <v>0</v>
      </c>
      <c r="G972">
        <v>2024</v>
      </c>
      <c r="H972" t="s">
        <v>928</v>
      </c>
      <c r="I972" t="s">
        <v>6063</v>
      </c>
      <c r="J972" t="s">
        <v>7893</v>
      </c>
      <c r="K972" t="s">
        <v>9079</v>
      </c>
    </row>
    <row r="973" spans="1:11" x14ac:dyDescent="0.4">
      <c r="A973" t="s">
        <v>3762</v>
      </c>
      <c r="B973">
        <v>0</v>
      </c>
      <c r="C973" t="s">
        <v>5716</v>
      </c>
      <c r="D973">
        <v>1</v>
      </c>
      <c r="E973">
        <v>-1.59</v>
      </c>
      <c r="F973">
        <v>0</v>
      </c>
      <c r="G973">
        <v>2024</v>
      </c>
      <c r="H973" t="s">
        <v>928</v>
      </c>
      <c r="I973" t="s">
        <v>6063</v>
      </c>
      <c r="J973" t="s">
        <v>7894</v>
      </c>
      <c r="K973" t="s">
        <v>9080</v>
      </c>
    </row>
    <row r="974" spans="1:11" x14ac:dyDescent="0.4">
      <c r="A974" t="s">
        <v>2145</v>
      </c>
      <c r="B974">
        <v>50</v>
      </c>
      <c r="C974" t="s">
        <v>5717</v>
      </c>
      <c r="D974">
        <v>3</v>
      </c>
      <c r="E974">
        <v>-0.45400000000000001</v>
      </c>
      <c r="F974">
        <v>1</v>
      </c>
      <c r="G974">
        <v>2024</v>
      </c>
      <c r="H974" t="s">
        <v>928</v>
      </c>
      <c r="I974" t="s">
        <v>6063</v>
      </c>
      <c r="J974" t="s">
        <v>7895</v>
      </c>
      <c r="K974" t="s">
        <v>9081</v>
      </c>
    </row>
    <row r="975" spans="1:11" x14ac:dyDescent="0.4">
      <c r="A975" t="s">
        <v>2154</v>
      </c>
      <c r="B975">
        <v>100</v>
      </c>
      <c r="C975" t="s">
        <v>1380</v>
      </c>
      <c r="D975">
        <v>5</v>
      </c>
      <c r="E975">
        <v>0.68100000000000005</v>
      </c>
      <c r="F975">
        <v>2</v>
      </c>
      <c r="G975">
        <v>2024</v>
      </c>
      <c r="H975" t="s">
        <v>928</v>
      </c>
      <c r="I975" t="s">
        <v>6063</v>
      </c>
      <c r="J975" t="s">
        <v>7896</v>
      </c>
      <c r="K975" t="s">
        <v>9082</v>
      </c>
    </row>
    <row r="976" spans="1:11" x14ac:dyDescent="0.4">
      <c r="A976" t="s">
        <v>3755</v>
      </c>
      <c r="B976">
        <v>100</v>
      </c>
      <c r="C976" t="s">
        <v>1380</v>
      </c>
      <c r="D976">
        <v>5</v>
      </c>
      <c r="E976">
        <v>0.68100000000000005</v>
      </c>
      <c r="F976">
        <v>2</v>
      </c>
      <c r="G976">
        <v>2024</v>
      </c>
      <c r="H976" t="s">
        <v>928</v>
      </c>
      <c r="I976" t="s">
        <v>6063</v>
      </c>
      <c r="J976" t="s">
        <v>7897</v>
      </c>
      <c r="K976" t="s">
        <v>9083</v>
      </c>
    </row>
    <row r="977" spans="1:11" x14ac:dyDescent="0.4">
      <c r="A977" t="s">
        <v>3769</v>
      </c>
      <c r="B977">
        <v>50</v>
      </c>
      <c r="C977" t="s">
        <v>5717</v>
      </c>
      <c r="D977">
        <v>3</v>
      </c>
      <c r="E977">
        <v>-0.45400000000000001</v>
      </c>
      <c r="F977">
        <v>1</v>
      </c>
      <c r="G977">
        <v>2024</v>
      </c>
      <c r="H977" t="s">
        <v>928</v>
      </c>
      <c r="I977" t="s">
        <v>6063</v>
      </c>
      <c r="J977" t="s">
        <v>7898</v>
      </c>
      <c r="K977" t="s">
        <v>9084</v>
      </c>
    </row>
    <row r="978" spans="1:11" x14ac:dyDescent="0.4">
      <c r="A978" t="s">
        <v>2146</v>
      </c>
      <c r="B978">
        <v>100</v>
      </c>
      <c r="C978" t="s">
        <v>1380</v>
      </c>
      <c r="D978">
        <v>5</v>
      </c>
      <c r="E978">
        <v>0.68100000000000005</v>
      </c>
      <c r="F978">
        <v>2</v>
      </c>
      <c r="G978">
        <v>2024</v>
      </c>
      <c r="H978" t="s">
        <v>928</v>
      </c>
      <c r="I978" t="s">
        <v>6063</v>
      </c>
      <c r="J978" t="s">
        <v>7899</v>
      </c>
      <c r="K978" t="s">
        <v>9085</v>
      </c>
    </row>
    <row r="979" spans="1:11" x14ac:dyDescent="0.4">
      <c r="A979" t="s">
        <v>2153</v>
      </c>
      <c r="B979">
        <v>100</v>
      </c>
      <c r="C979" t="s">
        <v>1380</v>
      </c>
      <c r="D979">
        <v>5</v>
      </c>
      <c r="E979">
        <v>0.68100000000000005</v>
      </c>
      <c r="F979">
        <v>2</v>
      </c>
      <c r="G979">
        <v>2024</v>
      </c>
      <c r="H979" t="s">
        <v>928</v>
      </c>
      <c r="I979" t="s">
        <v>6063</v>
      </c>
      <c r="J979" t="s">
        <v>7900</v>
      </c>
      <c r="K979" t="s">
        <v>9086</v>
      </c>
    </row>
    <row r="980" spans="1:11" x14ac:dyDescent="0.4">
      <c r="A980" t="s">
        <v>2147</v>
      </c>
      <c r="B980">
        <v>100</v>
      </c>
      <c r="C980" t="s">
        <v>1380</v>
      </c>
      <c r="D980">
        <v>5</v>
      </c>
      <c r="E980">
        <v>0.68100000000000005</v>
      </c>
      <c r="F980">
        <v>2</v>
      </c>
      <c r="G980">
        <v>2024</v>
      </c>
      <c r="H980" t="s">
        <v>928</v>
      </c>
      <c r="I980" t="s">
        <v>6063</v>
      </c>
      <c r="J980" t="s">
        <v>7901</v>
      </c>
      <c r="K980" t="s">
        <v>9087</v>
      </c>
    </row>
    <row r="981" spans="1:11" x14ac:dyDescent="0.4">
      <c r="A981" t="s">
        <v>3739</v>
      </c>
      <c r="B981">
        <v>50</v>
      </c>
      <c r="C981" t="s">
        <v>5717</v>
      </c>
      <c r="D981">
        <v>3</v>
      </c>
      <c r="E981">
        <v>-0.45400000000000001</v>
      </c>
      <c r="F981">
        <v>1</v>
      </c>
      <c r="G981">
        <v>2024</v>
      </c>
      <c r="H981" t="s">
        <v>928</v>
      </c>
      <c r="I981" t="s">
        <v>6063</v>
      </c>
      <c r="J981" t="s">
        <v>7902</v>
      </c>
      <c r="K981" t="s">
        <v>9088</v>
      </c>
    </row>
    <row r="982" spans="1:11" x14ac:dyDescent="0.4">
      <c r="A982" t="s">
        <v>3759</v>
      </c>
      <c r="B982">
        <v>0</v>
      </c>
      <c r="C982" t="s">
        <v>5716</v>
      </c>
      <c r="D982">
        <v>1</v>
      </c>
      <c r="E982">
        <v>-1.59</v>
      </c>
      <c r="F982">
        <v>0</v>
      </c>
      <c r="G982">
        <v>2024</v>
      </c>
      <c r="H982" t="s">
        <v>928</v>
      </c>
      <c r="I982" t="s">
        <v>6063</v>
      </c>
      <c r="J982" t="s">
        <v>7903</v>
      </c>
      <c r="K982" t="s">
        <v>9089</v>
      </c>
    </row>
    <row r="983" spans="1:11" x14ac:dyDescent="0.4">
      <c r="A983" t="s">
        <v>3763</v>
      </c>
      <c r="B983">
        <v>100</v>
      </c>
      <c r="C983" t="s">
        <v>1380</v>
      </c>
      <c r="D983">
        <v>5</v>
      </c>
      <c r="E983">
        <v>0.68100000000000005</v>
      </c>
      <c r="F983">
        <v>2</v>
      </c>
      <c r="G983">
        <v>2024</v>
      </c>
      <c r="H983" t="s">
        <v>928</v>
      </c>
      <c r="I983" t="s">
        <v>6063</v>
      </c>
      <c r="J983" t="s">
        <v>7904</v>
      </c>
      <c r="K983" t="s">
        <v>9090</v>
      </c>
    </row>
    <row r="984" spans="1:11" x14ac:dyDescent="0.4">
      <c r="A984" t="s">
        <v>3761</v>
      </c>
      <c r="B984">
        <v>0</v>
      </c>
      <c r="C984" t="s">
        <v>5716</v>
      </c>
      <c r="D984">
        <v>1</v>
      </c>
      <c r="E984">
        <v>-1.59</v>
      </c>
      <c r="F984">
        <v>0</v>
      </c>
      <c r="G984">
        <v>2024</v>
      </c>
      <c r="H984" t="s">
        <v>928</v>
      </c>
      <c r="I984" t="s">
        <v>6063</v>
      </c>
      <c r="J984" t="s">
        <v>7905</v>
      </c>
      <c r="K984" t="s">
        <v>9091</v>
      </c>
    </row>
    <row r="985" spans="1:11" x14ac:dyDescent="0.4">
      <c r="A985" t="s">
        <v>3749</v>
      </c>
      <c r="B985">
        <v>0</v>
      </c>
      <c r="C985" t="s">
        <v>5716</v>
      </c>
      <c r="D985">
        <v>1</v>
      </c>
      <c r="E985">
        <v>-1.59</v>
      </c>
      <c r="F985">
        <v>0</v>
      </c>
      <c r="G985">
        <v>2024</v>
      </c>
      <c r="H985" t="s">
        <v>928</v>
      </c>
      <c r="I985" t="s">
        <v>6063</v>
      </c>
      <c r="J985" t="s">
        <v>7906</v>
      </c>
      <c r="K985" t="s">
        <v>9092</v>
      </c>
    </row>
    <row r="986" spans="1:11" x14ac:dyDescent="0.4">
      <c r="A986" t="s">
        <v>3738</v>
      </c>
      <c r="B986">
        <v>0</v>
      </c>
      <c r="C986" t="s">
        <v>5716</v>
      </c>
      <c r="D986">
        <v>1</v>
      </c>
      <c r="E986">
        <v>-1.59</v>
      </c>
      <c r="F986">
        <v>0</v>
      </c>
      <c r="G986">
        <v>2024</v>
      </c>
      <c r="H986" t="s">
        <v>928</v>
      </c>
      <c r="I986" t="s">
        <v>6063</v>
      </c>
      <c r="J986" t="s">
        <v>7907</v>
      </c>
      <c r="K986" t="s">
        <v>9093</v>
      </c>
    </row>
    <row r="987" spans="1:11" x14ac:dyDescent="0.4">
      <c r="A987" t="s">
        <v>3752</v>
      </c>
      <c r="B987">
        <v>100</v>
      </c>
      <c r="C987" t="s">
        <v>1380</v>
      </c>
      <c r="D987">
        <v>5</v>
      </c>
      <c r="E987">
        <v>0.68100000000000005</v>
      </c>
      <c r="F987">
        <v>2</v>
      </c>
      <c r="G987">
        <v>2024</v>
      </c>
      <c r="H987" t="s">
        <v>928</v>
      </c>
      <c r="I987" t="s">
        <v>6063</v>
      </c>
      <c r="J987" t="s">
        <v>7908</v>
      </c>
      <c r="K987" t="s">
        <v>9094</v>
      </c>
    </row>
    <row r="988" spans="1:11" x14ac:dyDescent="0.4">
      <c r="A988" t="s">
        <v>3753</v>
      </c>
      <c r="B988">
        <v>100</v>
      </c>
      <c r="C988" t="s">
        <v>1380</v>
      </c>
      <c r="D988">
        <v>5</v>
      </c>
      <c r="E988">
        <v>0.68100000000000005</v>
      </c>
      <c r="F988">
        <v>2</v>
      </c>
      <c r="G988">
        <v>2024</v>
      </c>
      <c r="H988" t="s">
        <v>928</v>
      </c>
      <c r="I988" t="s">
        <v>6063</v>
      </c>
      <c r="J988" t="s">
        <v>7909</v>
      </c>
      <c r="K988" t="s">
        <v>9095</v>
      </c>
    </row>
    <row r="989" spans="1:11" x14ac:dyDescent="0.4">
      <c r="A989" t="s">
        <v>3771</v>
      </c>
      <c r="B989">
        <v>100</v>
      </c>
      <c r="C989" t="s">
        <v>1380</v>
      </c>
      <c r="D989">
        <v>5</v>
      </c>
      <c r="E989">
        <v>0.68100000000000005</v>
      </c>
      <c r="F989">
        <v>2</v>
      </c>
      <c r="G989">
        <v>2024</v>
      </c>
      <c r="H989" t="s">
        <v>928</v>
      </c>
      <c r="I989" t="s">
        <v>6063</v>
      </c>
      <c r="J989" t="s">
        <v>7910</v>
      </c>
      <c r="K989" t="s">
        <v>9096</v>
      </c>
    </row>
    <row r="990" spans="1:11" x14ac:dyDescent="0.4">
      <c r="A990" t="s">
        <v>2148</v>
      </c>
      <c r="B990">
        <v>100</v>
      </c>
      <c r="C990" t="s">
        <v>1380</v>
      </c>
      <c r="D990">
        <v>5</v>
      </c>
      <c r="E990">
        <v>0.68100000000000005</v>
      </c>
      <c r="F990">
        <v>2</v>
      </c>
      <c r="G990">
        <v>2024</v>
      </c>
      <c r="H990" t="s">
        <v>928</v>
      </c>
      <c r="I990" t="s">
        <v>6063</v>
      </c>
      <c r="J990" t="s">
        <v>7911</v>
      </c>
      <c r="K990" t="s">
        <v>9097</v>
      </c>
    </row>
    <row r="991" spans="1:11" x14ac:dyDescent="0.4">
      <c r="A991" t="s">
        <v>2152</v>
      </c>
      <c r="B991">
        <v>100</v>
      </c>
      <c r="C991" t="s">
        <v>1380</v>
      </c>
      <c r="D991">
        <v>5</v>
      </c>
      <c r="E991">
        <v>0.68100000000000005</v>
      </c>
      <c r="F991">
        <v>2</v>
      </c>
      <c r="G991">
        <v>2024</v>
      </c>
      <c r="H991" t="s">
        <v>928</v>
      </c>
      <c r="I991" t="s">
        <v>6063</v>
      </c>
      <c r="J991" t="s">
        <v>7912</v>
      </c>
      <c r="K991" t="s">
        <v>9098</v>
      </c>
    </row>
    <row r="992" spans="1:11" x14ac:dyDescent="0.4">
      <c r="A992" t="s">
        <v>3754</v>
      </c>
      <c r="B992">
        <v>100</v>
      </c>
      <c r="C992" t="s">
        <v>1380</v>
      </c>
      <c r="D992">
        <v>5</v>
      </c>
      <c r="E992">
        <v>0.68100000000000005</v>
      </c>
      <c r="F992">
        <v>2</v>
      </c>
      <c r="G992">
        <v>2024</v>
      </c>
      <c r="H992" t="s">
        <v>928</v>
      </c>
      <c r="I992" t="s">
        <v>6063</v>
      </c>
      <c r="J992" t="s">
        <v>7913</v>
      </c>
      <c r="K992" t="s">
        <v>9099</v>
      </c>
    </row>
    <row r="993" spans="1:11" x14ac:dyDescent="0.4">
      <c r="A993" t="s">
        <v>3760</v>
      </c>
      <c r="B993">
        <v>0</v>
      </c>
      <c r="C993" t="s">
        <v>5716</v>
      </c>
      <c r="D993">
        <v>1</v>
      </c>
      <c r="E993">
        <v>-1.59</v>
      </c>
      <c r="F993">
        <v>0</v>
      </c>
      <c r="G993">
        <v>2024</v>
      </c>
      <c r="H993" t="s">
        <v>928</v>
      </c>
      <c r="I993" t="s">
        <v>6063</v>
      </c>
      <c r="J993" t="s">
        <v>7914</v>
      </c>
      <c r="K993" t="s">
        <v>9100</v>
      </c>
    </row>
    <row r="994" spans="1:11" x14ac:dyDescent="0.4">
      <c r="A994" t="s">
        <v>3741</v>
      </c>
      <c r="B994">
        <v>100</v>
      </c>
      <c r="C994" t="s">
        <v>1380</v>
      </c>
      <c r="D994">
        <v>5</v>
      </c>
      <c r="E994">
        <v>0.68100000000000005</v>
      </c>
      <c r="F994">
        <v>2</v>
      </c>
      <c r="G994">
        <v>2024</v>
      </c>
      <c r="H994" t="s">
        <v>928</v>
      </c>
      <c r="I994" t="s">
        <v>6063</v>
      </c>
      <c r="J994" t="s">
        <v>7915</v>
      </c>
      <c r="K994" t="s">
        <v>9101</v>
      </c>
    </row>
    <row r="995" spans="1:11" x14ac:dyDescent="0.4">
      <c r="A995" t="s">
        <v>5800</v>
      </c>
      <c r="B995">
        <v>100</v>
      </c>
      <c r="C995" t="s">
        <v>1380</v>
      </c>
      <c r="D995">
        <v>5</v>
      </c>
      <c r="E995">
        <v>0.68100000000000005</v>
      </c>
      <c r="F995">
        <v>2</v>
      </c>
      <c r="G995">
        <v>2024</v>
      </c>
      <c r="H995" t="s">
        <v>928</v>
      </c>
      <c r="I995" t="s">
        <v>6063</v>
      </c>
      <c r="J995" t="s">
        <v>7916</v>
      </c>
      <c r="K995" t="s">
        <v>9102</v>
      </c>
    </row>
    <row r="996" spans="1:11" x14ac:dyDescent="0.4">
      <c r="A996" t="s">
        <v>3764</v>
      </c>
      <c r="B996">
        <v>100</v>
      </c>
      <c r="C996" t="s">
        <v>1380</v>
      </c>
      <c r="D996">
        <v>5</v>
      </c>
      <c r="E996">
        <v>0.68100000000000005</v>
      </c>
      <c r="F996">
        <v>2</v>
      </c>
      <c r="G996">
        <v>2024</v>
      </c>
      <c r="H996" t="s">
        <v>928</v>
      </c>
      <c r="I996" t="s">
        <v>6063</v>
      </c>
      <c r="J996" t="s">
        <v>7917</v>
      </c>
      <c r="K996" t="s">
        <v>9103</v>
      </c>
    </row>
    <row r="997" spans="1:11" x14ac:dyDescent="0.4">
      <c r="A997" t="s">
        <v>5801</v>
      </c>
      <c r="B997">
        <v>100</v>
      </c>
      <c r="C997" t="s">
        <v>1380</v>
      </c>
      <c r="D997">
        <v>5</v>
      </c>
      <c r="E997">
        <v>0.68100000000000005</v>
      </c>
      <c r="F997">
        <v>2</v>
      </c>
      <c r="G997">
        <v>2024</v>
      </c>
      <c r="H997" t="s">
        <v>928</v>
      </c>
      <c r="I997" t="s">
        <v>6063</v>
      </c>
      <c r="J997" t="s">
        <v>7918</v>
      </c>
      <c r="K997" t="s">
        <v>9104</v>
      </c>
    </row>
    <row r="998" spans="1:11" x14ac:dyDescent="0.4">
      <c r="A998" t="s">
        <v>3772</v>
      </c>
      <c r="B998">
        <v>0</v>
      </c>
      <c r="C998" t="s">
        <v>5716</v>
      </c>
      <c r="D998">
        <v>1</v>
      </c>
      <c r="E998">
        <v>-1.59</v>
      </c>
      <c r="F998">
        <v>0</v>
      </c>
      <c r="G998">
        <v>2024</v>
      </c>
      <c r="H998" t="s">
        <v>928</v>
      </c>
      <c r="I998" t="s">
        <v>6063</v>
      </c>
      <c r="J998" t="s">
        <v>7919</v>
      </c>
      <c r="K998" t="s">
        <v>9105</v>
      </c>
    </row>
    <row r="999" spans="1:11" x14ac:dyDescent="0.4">
      <c r="A999" t="s">
        <v>3747</v>
      </c>
      <c r="B999">
        <v>0</v>
      </c>
      <c r="C999" t="s">
        <v>5716</v>
      </c>
      <c r="D999">
        <v>1</v>
      </c>
      <c r="E999">
        <v>-1.59</v>
      </c>
      <c r="F999">
        <v>0</v>
      </c>
      <c r="G999">
        <v>2024</v>
      </c>
      <c r="H999" t="s">
        <v>928</v>
      </c>
      <c r="I999" t="s">
        <v>6063</v>
      </c>
      <c r="J999" t="s">
        <v>7920</v>
      </c>
      <c r="K999" t="s">
        <v>9106</v>
      </c>
    </row>
    <row r="1000" spans="1:11" x14ac:dyDescent="0.4">
      <c r="A1000" t="s">
        <v>3751</v>
      </c>
      <c r="B1000">
        <v>100</v>
      </c>
      <c r="C1000" t="s">
        <v>1380</v>
      </c>
      <c r="D1000">
        <v>5</v>
      </c>
      <c r="E1000">
        <v>0.68100000000000005</v>
      </c>
      <c r="F1000">
        <v>2</v>
      </c>
      <c r="G1000">
        <v>2024</v>
      </c>
      <c r="H1000" t="s">
        <v>928</v>
      </c>
      <c r="I1000" t="s">
        <v>6063</v>
      </c>
      <c r="J1000" t="s">
        <v>7921</v>
      </c>
      <c r="K1000" t="s">
        <v>9107</v>
      </c>
    </row>
    <row r="1001" spans="1:11" x14ac:dyDescent="0.4">
      <c r="A1001" t="s">
        <v>3745</v>
      </c>
      <c r="B1001">
        <v>100</v>
      </c>
      <c r="C1001" t="s">
        <v>1380</v>
      </c>
      <c r="D1001">
        <v>5</v>
      </c>
      <c r="E1001">
        <v>0.68100000000000005</v>
      </c>
      <c r="F1001">
        <v>2</v>
      </c>
      <c r="G1001">
        <v>2024</v>
      </c>
      <c r="H1001" t="s">
        <v>928</v>
      </c>
      <c r="I1001" t="s">
        <v>6063</v>
      </c>
      <c r="J1001" t="s">
        <v>7922</v>
      </c>
      <c r="K1001" t="s">
        <v>7923</v>
      </c>
    </row>
    <row r="1002" spans="1:11" x14ac:dyDescent="0.4">
      <c r="A1002" t="s">
        <v>5802</v>
      </c>
      <c r="B1002">
        <v>100</v>
      </c>
      <c r="C1002" t="s">
        <v>1380</v>
      </c>
      <c r="D1002">
        <v>5</v>
      </c>
      <c r="E1002">
        <v>0.68100000000000005</v>
      </c>
      <c r="F1002">
        <v>2</v>
      </c>
      <c r="G1002">
        <v>2024</v>
      </c>
      <c r="H1002" t="s">
        <v>928</v>
      </c>
      <c r="I1002" t="s">
        <v>6063</v>
      </c>
      <c r="J1002" t="s">
        <v>7924</v>
      </c>
      <c r="K1002" t="s">
        <v>9108</v>
      </c>
    </row>
    <row r="1003" spans="1:11" x14ac:dyDescent="0.4">
      <c r="A1003" t="s">
        <v>3765</v>
      </c>
      <c r="B1003">
        <v>100</v>
      </c>
      <c r="C1003" t="s">
        <v>1380</v>
      </c>
      <c r="D1003">
        <v>5</v>
      </c>
      <c r="E1003">
        <v>0.68100000000000005</v>
      </c>
      <c r="F1003">
        <v>2</v>
      </c>
      <c r="G1003">
        <v>2024</v>
      </c>
      <c r="H1003" t="s">
        <v>928</v>
      </c>
      <c r="I1003" t="s">
        <v>6063</v>
      </c>
      <c r="J1003" t="s">
        <v>7925</v>
      </c>
      <c r="K1003" t="s">
        <v>9109</v>
      </c>
    </row>
    <row r="1004" spans="1:11" x14ac:dyDescent="0.4">
      <c r="A1004" t="s">
        <v>2149</v>
      </c>
      <c r="B1004">
        <v>100</v>
      </c>
      <c r="C1004" t="s">
        <v>1380</v>
      </c>
      <c r="D1004">
        <v>5</v>
      </c>
      <c r="E1004">
        <v>0.68100000000000005</v>
      </c>
      <c r="F1004">
        <v>2</v>
      </c>
      <c r="G1004">
        <v>2024</v>
      </c>
      <c r="H1004" t="s">
        <v>928</v>
      </c>
      <c r="I1004" t="s">
        <v>6063</v>
      </c>
      <c r="J1004" t="s">
        <v>7926</v>
      </c>
      <c r="K1004" t="s">
        <v>9110</v>
      </c>
    </row>
    <row r="1005" spans="1:11" x14ac:dyDescent="0.4">
      <c r="A1005" t="s">
        <v>2150</v>
      </c>
      <c r="B1005">
        <v>100</v>
      </c>
      <c r="C1005" t="s">
        <v>1380</v>
      </c>
      <c r="D1005">
        <v>5</v>
      </c>
      <c r="E1005">
        <v>0.68100000000000005</v>
      </c>
      <c r="F1005">
        <v>2</v>
      </c>
      <c r="G1005">
        <v>2024</v>
      </c>
      <c r="H1005" t="s">
        <v>928</v>
      </c>
      <c r="I1005" t="s">
        <v>6063</v>
      </c>
      <c r="J1005" t="s">
        <v>7927</v>
      </c>
      <c r="K1005" t="s">
        <v>9111</v>
      </c>
    </row>
    <row r="1006" spans="1:11" x14ac:dyDescent="0.4">
      <c r="A1006" t="s">
        <v>3768</v>
      </c>
      <c r="B1006">
        <v>100</v>
      </c>
      <c r="C1006" t="s">
        <v>1380</v>
      </c>
      <c r="D1006">
        <v>5</v>
      </c>
      <c r="E1006">
        <v>0.68100000000000005</v>
      </c>
      <c r="F1006">
        <v>2</v>
      </c>
      <c r="G1006">
        <v>2024</v>
      </c>
      <c r="H1006" t="s">
        <v>928</v>
      </c>
      <c r="I1006" t="s">
        <v>6063</v>
      </c>
      <c r="J1006" t="s">
        <v>7928</v>
      </c>
      <c r="K1006" t="s">
        <v>9112</v>
      </c>
    </row>
    <row r="1007" spans="1:11" x14ac:dyDescent="0.4">
      <c r="A1007" t="s">
        <v>2151</v>
      </c>
      <c r="B1007">
        <v>100</v>
      </c>
      <c r="C1007" t="s">
        <v>1380</v>
      </c>
      <c r="D1007">
        <v>5</v>
      </c>
      <c r="E1007">
        <v>0.68100000000000005</v>
      </c>
      <c r="F1007">
        <v>2</v>
      </c>
      <c r="G1007">
        <v>2024</v>
      </c>
      <c r="H1007" t="s">
        <v>928</v>
      </c>
      <c r="I1007" t="s">
        <v>6063</v>
      </c>
      <c r="J1007" t="s">
        <v>7929</v>
      </c>
      <c r="K1007" t="s">
        <v>9113</v>
      </c>
    </row>
    <row r="1008" spans="1:11" x14ac:dyDescent="0.4">
      <c r="A1008" t="s">
        <v>3743</v>
      </c>
      <c r="B1008">
        <v>100</v>
      </c>
      <c r="C1008" t="s">
        <v>1380</v>
      </c>
      <c r="D1008">
        <v>5</v>
      </c>
      <c r="E1008">
        <v>0.68100000000000005</v>
      </c>
      <c r="F1008">
        <v>2</v>
      </c>
      <c r="G1008">
        <v>2024</v>
      </c>
      <c r="H1008" t="s">
        <v>928</v>
      </c>
      <c r="I1008" t="s">
        <v>6063</v>
      </c>
      <c r="J1008" t="s">
        <v>7930</v>
      </c>
      <c r="K1008" t="s">
        <v>9114</v>
      </c>
    </row>
    <row r="1009" spans="1:11" x14ac:dyDescent="0.4">
      <c r="A1009" t="s">
        <v>3757</v>
      </c>
      <c r="B1009">
        <v>100</v>
      </c>
      <c r="C1009" t="s">
        <v>1380</v>
      </c>
      <c r="D1009">
        <v>5</v>
      </c>
      <c r="E1009">
        <v>0.68100000000000005</v>
      </c>
      <c r="F1009">
        <v>2</v>
      </c>
      <c r="G1009">
        <v>2024</v>
      </c>
      <c r="H1009" t="s">
        <v>928</v>
      </c>
      <c r="I1009" t="s">
        <v>6063</v>
      </c>
      <c r="J1009" t="s">
        <v>7931</v>
      </c>
      <c r="K1009" t="s">
        <v>9115</v>
      </c>
    </row>
    <row r="1010" spans="1:11" x14ac:dyDescent="0.4">
      <c r="A1010" t="s">
        <v>3767</v>
      </c>
      <c r="B1010">
        <v>100</v>
      </c>
      <c r="C1010" t="s">
        <v>1380</v>
      </c>
      <c r="D1010">
        <v>5</v>
      </c>
      <c r="E1010">
        <v>0.68100000000000005</v>
      </c>
      <c r="F1010">
        <v>2</v>
      </c>
      <c r="G1010">
        <v>2024</v>
      </c>
      <c r="H1010" t="s">
        <v>928</v>
      </c>
      <c r="I1010" t="s">
        <v>6063</v>
      </c>
      <c r="J1010" t="s">
        <v>7932</v>
      </c>
      <c r="K1010" t="s">
        <v>9116</v>
      </c>
    </row>
    <row r="1011" spans="1:11" x14ac:dyDescent="0.4">
      <c r="A1011" t="s">
        <v>3758</v>
      </c>
      <c r="B1011">
        <v>0</v>
      </c>
      <c r="C1011" t="s">
        <v>5716</v>
      </c>
      <c r="D1011">
        <v>1</v>
      </c>
      <c r="E1011">
        <v>-1.59</v>
      </c>
      <c r="F1011">
        <v>0</v>
      </c>
      <c r="G1011">
        <v>2024</v>
      </c>
      <c r="H1011" t="s">
        <v>928</v>
      </c>
      <c r="I1011" t="s">
        <v>6063</v>
      </c>
      <c r="J1011" t="s">
        <v>7933</v>
      </c>
      <c r="K1011" t="s">
        <v>9117</v>
      </c>
    </row>
    <row r="1012" spans="1:11" x14ac:dyDescent="0.4">
      <c r="A1012" t="s">
        <v>1440</v>
      </c>
      <c r="B1012">
        <v>70</v>
      </c>
      <c r="C1012" t="s">
        <v>197</v>
      </c>
      <c r="D1012">
        <v>4</v>
      </c>
    </row>
    <row r="1013" spans="1:11" x14ac:dyDescent="0.4">
      <c r="A1013" t="s">
        <v>1441</v>
      </c>
      <c r="B1013">
        <v>30</v>
      </c>
      <c r="C1013" t="s">
        <v>197</v>
      </c>
      <c r="D1013">
        <v>2</v>
      </c>
    </row>
    <row r="1014" spans="1:11" x14ac:dyDescent="0.4">
      <c r="A1014" t="s">
        <v>1587</v>
      </c>
      <c r="B1014">
        <v>92.9</v>
      </c>
      <c r="C1014" t="s">
        <v>197</v>
      </c>
      <c r="D1014">
        <v>5</v>
      </c>
    </row>
    <row r="1015" spans="1:11" x14ac:dyDescent="0.4">
      <c r="A1015" t="s">
        <v>1685</v>
      </c>
      <c r="B1015">
        <v>25</v>
      </c>
      <c r="C1015" t="s">
        <v>197</v>
      </c>
      <c r="D1015">
        <v>2</v>
      </c>
    </row>
    <row r="1016" spans="1:11" x14ac:dyDescent="0.4">
      <c r="A1016" t="s">
        <v>1686</v>
      </c>
      <c r="B1016">
        <v>100</v>
      </c>
      <c r="C1016" t="s">
        <v>197</v>
      </c>
      <c r="D1016">
        <v>5</v>
      </c>
    </row>
    <row r="1017" spans="1:11" x14ac:dyDescent="0.4">
      <c r="A1017" t="s">
        <v>2582</v>
      </c>
      <c r="B1017">
        <v>35</v>
      </c>
      <c r="C1017" t="s">
        <v>197</v>
      </c>
      <c r="D1017">
        <v>2</v>
      </c>
    </row>
    <row r="1018" spans="1:11" x14ac:dyDescent="0.4">
      <c r="A1018" t="s">
        <v>2583</v>
      </c>
      <c r="B1018">
        <v>89.3</v>
      </c>
      <c r="C1018" t="s">
        <v>197</v>
      </c>
      <c r="D1018">
        <v>5</v>
      </c>
    </row>
    <row r="1019" spans="1:11" x14ac:dyDescent="0.4">
      <c r="A1019" t="s">
        <v>7303</v>
      </c>
      <c r="B1019">
        <v>25</v>
      </c>
      <c r="C1019" t="s">
        <v>197</v>
      </c>
      <c r="D1019">
        <v>2</v>
      </c>
    </row>
    <row r="1020" spans="1:11" x14ac:dyDescent="0.4">
      <c r="A1020" t="s">
        <v>7304</v>
      </c>
      <c r="B1020">
        <v>95.5</v>
      </c>
      <c r="C1020" t="s">
        <v>197</v>
      </c>
      <c r="D1020">
        <v>5</v>
      </c>
    </row>
    <row r="1021" spans="1:11" x14ac:dyDescent="0.4">
      <c r="A1021" t="s">
        <v>7305</v>
      </c>
      <c r="B1021">
        <v>89.1</v>
      </c>
      <c r="C1021" t="s">
        <v>197</v>
      </c>
      <c r="D1021">
        <v>5</v>
      </c>
    </row>
    <row r="1022" spans="1:11" x14ac:dyDescent="0.4">
      <c r="A1022" t="s">
        <v>3812</v>
      </c>
      <c r="B1022">
        <v>71</v>
      </c>
      <c r="C1022" t="s">
        <v>6579</v>
      </c>
      <c r="D1022">
        <v>4</v>
      </c>
      <c r="E1022">
        <v>0.39100000000000001</v>
      </c>
    </row>
    <row r="1023" spans="1:11" x14ac:dyDescent="0.4">
      <c r="A1023" t="s">
        <v>3810</v>
      </c>
      <c r="B1023">
        <v>40.299999999999997</v>
      </c>
      <c r="C1023" t="s">
        <v>5711</v>
      </c>
      <c r="D1023">
        <v>3</v>
      </c>
      <c r="E1023">
        <v>-0.88500000000000001</v>
      </c>
    </row>
    <row r="1024" spans="1:11" x14ac:dyDescent="0.4">
      <c r="A1024" t="s">
        <v>3816</v>
      </c>
      <c r="B1024">
        <v>46.1</v>
      </c>
      <c r="C1024" t="s">
        <v>5734</v>
      </c>
      <c r="D1024">
        <v>3</v>
      </c>
      <c r="E1024">
        <v>-0.64400000000000002</v>
      </c>
    </row>
    <row r="1025" spans="1:5" x14ac:dyDescent="0.4">
      <c r="A1025" t="s">
        <v>3840</v>
      </c>
      <c r="B1025">
        <v>42.5</v>
      </c>
      <c r="C1025" t="s">
        <v>5712</v>
      </c>
      <c r="D1025">
        <v>3</v>
      </c>
      <c r="E1025">
        <v>-0.79400000000000004</v>
      </c>
    </row>
    <row r="1026" spans="1:5" x14ac:dyDescent="0.4">
      <c r="A1026" t="s">
        <v>2187</v>
      </c>
      <c r="B1026">
        <v>46.5</v>
      </c>
      <c r="C1026" t="s">
        <v>5733</v>
      </c>
      <c r="D1026">
        <v>3</v>
      </c>
      <c r="E1026">
        <v>-0.628</v>
      </c>
    </row>
    <row r="1027" spans="1:5" x14ac:dyDescent="0.4">
      <c r="A1027" t="s">
        <v>3836</v>
      </c>
      <c r="B1027">
        <v>47.1</v>
      </c>
      <c r="C1027" t="s">
        <v>5725</v>
      </c>
      <c r="D1027">
        <v>3</v>
      </c>
      <c r="E1027">
        <v>-0.60299999999999998</v>
      </c>
    </row>
    <row r="1028" spans="1:5" x14ac:dyDescent="0.4">
      <c r="A1028" t="s">
        <v>3820</v>
      </c>
      <c r="B1028">
        <v>48.1</v>
      </c>
      <c r="C1028" t="s">
        <v>5732</v>
      </c>
      <c r="D1028">
        <v>3</v>
      </c>
      <c r="E1028">
        <v>-0.56100000000000005</v>
      </c>
    </row>
    <row r="1029" spans="1:5" x14ac:dyDescent="0.4">
      <c r="A1029" t="s">
        <v>3814</v>
      </c>
      <c r="B1029">
        <v>81.8</v>
      </c>
      <c r="C1029" t="s">
        <v>5705</v>
      </c>
      <c r="D1029">
        <v>5</v>
      </c>
      <c r="E1029">
        <v>0.83899999999999997</v>
      </c>
    </row>
    <row r="1030" spans="1:5" x14ac:dyDescent="0.4">
      <c r="A1030" t="s">
        <v>3826</v>
      </c>
      <c r="B1030">
        <v>43.7</v>
      </c>
      <c r="C1030" t="s">
        <v>5713</v>
      </c>
      <c r="D1030">
        <v>3</v>
      </c>
      <c r="E1030">
        <v>-0.74399999999999999</v>
      </c>
    </row>
    <row r="1031" spans="1:5" x14ac:dyDescent="0.4">
      <c r="A1031" t="s">
        <v>3818</v>
      </c>
      <c r="B1031">
        <v>35.799999999999997</v>
      </c>
      <c r="C1031" t="s">
        <v>6036</v>
      </c>
      <c r="D1031">
        <v>2</v>
      </c>
      <c r="E1031">
        <v>-1.0720000000000001</v>
      </c>
    </row>
    <row r="1032" spans="1:5" x14ac:dyDescent="0.4">
      <c r="A1032" t="s">
        <v>5965</v>
      </c>
      <c r="B1032">
        <v>44.6</v>
      </c>
      <c r="C1032" t="s">
        <v>5716</v>
      </c>
      <c r="D1032">
        <v>3</v>
      </c>
      <c r="E1032">
        <v>-0.70599999999999996</v>
      </c>
    </row>
    <row r="1033" spans="1:5" x14ac:dyDescent="0.4">
      <c r="A1033" t="s">
        <v>3832</v>
      </c>
      <c r="B1033">
        <v>36.200000000000003</v>
      </c>
      <c r="C1033" t="s">
        <v>5724</v>
      </c>
      <c r="D1033">
        <v>2</v>
      </c>
      <c r="E1033">
        <v>-1.056</v>
      </c>
    </row>
    <row r="1034" spans="1:5" x14ac:dyDescent="0.4">
      <c r="A1034" t="s">
        <v>2188</v>
      </c>
      <c r="B1034">
        <v>84.5</v>
      </c>
      <c r="C1034" t="s">
        <v>5701</v>
      </c>
      <c r="D1034">
        <v>5</v>
      </c>
      <c r="E1034">
        <v>0.95199999999999996</v>
      </c>
    </row>
    <row r="1035" spans="1:5" x14ac:dyDescent="0.4">
      <c r="A1035" t="s">
        <v>2197</v>
      </c>
      <c r="B1035">
        <v>45.1</v>
      </c>
      <c r="C1035" t="s">
        <v>5702</v>
      </c>
      <c r="D1035">
        <v>3</v>
      </c>
      <c r="E1035">
        <v>-0.68600000000000005</v>
      </c>
    </row>
    <row r="1036" spans="1:5" x14ac:dyDescent="0.4">
      <c r="A1036" t="s">
        <v>3825</v>
      </c>
      <c r="B1036">
        <v>44.8</v>
      </c>
      <c r="C1036" t="s">
        <v>5694</v>
      </c>
      <c r="D1036">
        <v>3</v>
      </c>
      <c r="E1036">
        <v>-0.69799999999999995</v>
      </c>
    </row>
    <row r="1037" spans="1:5" x14ac:dyDescent="0.4">
      <c r="A1037" t="s">
        <v>3839</v>
      </c>
      <c r="B1037">
        <v>45.5</v>
      </c>
      <c r="C1037" t="s">
        <v>5704</v>
      </c>
      <c r="D1037">
        <v>3</v>
      </c>
      <c r="E1037">
        <v>-0.66900000000000004</v>
      </c>
    </row>
    <row r="1038" spans="1:5" x14ac:dyDescent="0.4">
      <c r="A1038" t="s">
        <v>2189</v>
      </c>
      <c r="B1038">
        <v>47.1</v>
      </c>
      <c r="C1038" t="s">
        <v>5725</v>
      </c>
      <c r="D1038">
        <v>3</v>
      </c>
      <c r="E1038">
        <v>-0.60299999999999998</v>
      </c>
    </row>
    <row r="1039" spans="1:5" x14ac:dyDescent="0.4">
      <c r="A1039" t="s">
        <v>2196</v>
      </c>
      <c r="B1039">
        <v>46</v>
      </c>
      <c r="C1039" t="s">
        <v>5699</v>
      </c>
      <c r="D1039">
        <v>3</v>
      </c>
      <c r="E1039">
        <v>-0.64800000000000002</v>
      </c>
    </row>
    <row r="1040" spans="1:5" x14ac:dyDescent="0.4">
      <c r="A1040" t="s">
        <v>2190</v>
      </c>
      <c r="B1040">
        <v>97.6</v>
      </c>
      <c r="C1040" t="s">
        <v>2478</v>
      </c>
      <c r="D1040">
        <v>5</v>
      </c>
      <c r="E1040">
        <v>1.496</v>
      </c>
    </row>
    <row r="1041" spans="1:5" x14ac:dyDescent="0.4">
      <c r="A1041" t="s">
        <v>3809</v>
      </c>
      <c r="B1041">
        <v>89.9</v>
      </c>
      <c r="C1041" t="s">
        <v>2481</v>
      </c>
      <c r="D1041">
        <v>5</v>
      </c>
      <c r="E1041">
        <v>1.1759999999999999</v>
      </c>
    </row>
    <row r="1042" spans="1:5" x14ac:dyDescent="0.4">
      <c r="A1042" t="s">
        <v>3829</v>
      </c>
      <c r="B1042">
        <v>78.900000000000006</v>
      </c>
      <c r="C1042" t="s">
        <v>5692</v>
      </c>
      <c r="D1042">
        <v>4</v>
      </c>
      <c r="E1042">
        <v>0.71899999999999997</v>
      </c>
    </row>
    <row r="1043" spans="1:5" x14ac:dyDescent="0.4">
      <c r="A1043" t="s">
        <v>3833</v>
      </c>
      <c r="B1043">
        <v>31.3</v>
      </c>
      <c r="C1043" t="s">
        <v>6035</v>
      </c>
      <c r="D1043">
        <v>2</v>
      </c>
      <c r="E1043">
        <v>-1.2589999999999999</v>
      </c>
    </row>
    <row r="1044" spans="1:5" x14ac:dyDescent="0.4">
      <c r="A1044" t="s">
        <v>3831</v>
      </c>
      <c r="B1044">
        <v>36.200000000000003</v>
      </c>
      <c r="C1044" t="s">
        <v>5724</v>
      </c>
      <c r="D1044">
        <v>2</v>
      </c>
      <c r="E1044">
        <v>-1.056</v>
      </c>
    </row>
    <row r="1045" spans="1:5" x14ac:dyDescent="0.4">
      <c r="A1045" t="s">
        <v>3819</v>
      </c>
      <c r="B1045">
        <v>44.6</v>
      </c>
      <c r="C1045" t="s">
        <v>5716</v>
      </c>
      <c r="D1045">
        <v>3</v>
      </c>
      <c r="E1045">
        <v>-0.70599999999999996</v>
      </c>
    </row>
    <row r="1046" spans="1:5" x14ac:dyDescent="0.4">
      <c r="A1046" t="s">
        <v>3808</v>
      </c>
      <c r="B1046">
        <v>65.2</v>
      </c>
      <c r="C1046" t="s">
        <v>6034</v>
      </c>
      <c r="D1046">
        <v>4</v>
      </c>
      <c r="E1046">
        <v>0.15</v>
      </c>
    </row>
    <row r="1047" spans="1:5" x14ac:dyDescent="0.4">
      <c r="A1047" t="s">
        <v>3822</v>
      </c>
      <c r="B1047">
        <v>98</v>
      </c>
      <c r="C1047" t="s">
        <v>2479</v>
      </c>
      <c r="D1047">
        <v>5</v>
      </c>
      <c r="E1047">
        <v>1.5129999999999999</v>
      </c>
    </row>
    <row r="1048" spans="1:5" x14ac:dyDescent="0.4">
      <c r="A1048" t="s">
        <v>3823</v>
      </c>
      <c r="B1048">
        <v>96</v>
      </c>
      <c r="C1048" t="s">
        <v>2484</v>
      </c>
      <c r="D1048">
        <v>5</v>
      </c>
      <c r="E1048">
        <v>1.43</v>
      </c>
    </row>
    <row r="1049" spans="1:5" x14ac:dyDescent="0.4">
      <c r="A1049" t="s">
        <v>3841</v>
      </c>
      <c r="B1049">
        <v>77.7</v>
      </c>
      <c r="C1049" t="s">
        <v>5695</v>
      </c>
      <c r="D1049">
        <v>4</v>
      </c>
      <c r="E1049">
        <v>0.66900000000000004</v>
      </c>
    </row>
    <row r="1050" spans="1:5" x14ac:dyDescent="0.4">
      <c r="A1050" t="s">
        <v>2191</v>
      </c>
      <c r="B1050">
        <v>94.3</v>
      </c>
      <c r="C1050" t="s">
        <v>2474</v>
      </c>
      <c r="D1050">
        <v>5</v>
      </c>
      <c r="E1050">
        <v>1.359</v>
      </c>
    </row>
    <row r="1051" spans="1:5" x14ac:dyDescent="0.4">
      <c r="A1051" t="s">
        <v>2195</v>
      </c>
      <c r="B1051">
        <v>86.2</v>
      </c>
      <c r="C1051" t="s">
        <v>5730</v>
      </c>
      <c r="D1051">
        <v>5</v>
      </c>
      <c r="E1051">
        <v>1.022</v>
      </c>
    </row>
    <row r="1052" spans="1:5" x14ac:dyDescent="0.4">
      <c r="A1052" t="s">
        <v>3824</v>
      </c>
      <c r="B1052">
        <v>47.5</v>
      </c>
      <c r="C1052" t="s">
        <v>5703</v>
      </c>
      <c r="D1052">
        <v>3</v>
      </c>
      <c r="E1052">
        <v>-0.58599999999999997</v>
      </c>
    </row>
    <row r="1053" spans="1:5" x14ac:dyDescent="0.4">
      <c r="A1053" t="s">
        <v>3830</v>
      </c>
      <c r="B1053">
        <v>36.200000000000003</v>
      </c>
      <c r="C1053" t="s">
        <v>5724</v>
      </c>
      <c r="D1053">
        <v>2</v>
      </c>
      <c r="E1053">
        <v>-1.056</v>
      </c>
    </row>
    <row r="1054" spans="1:5" x14ac:dyDescent="0.4">
      <c r="A1054" t="s">
        <v>3811</v>
      </c>
      <c r="B1054">
        <v>13.9</v>
      </c>
      <c r="C1054" t="s">
        <v>6033</v>
      </c>
      <c r="D1054">
        <v>1</v>
      </c>
      <c r="E1054">
        <v>-1.982</v>
      </c>
    </row>
    <row r="1055" spans="1:5" x14ac:dyDescent="0.4">
      <c r="A1055" t="s">
        <v>5803</v>
      </c>
      <c r="B1055">
        <v>96.1</v>
      </c>
      <c r="C1055" t="s">
        <v>5726</v>
      </c>
      <c r="D1055">
        <v>5</v>
      </c>
      <c r="E1055">
        <v>1.4339999999999999</v>
      </c>
    </row>
    <row r="1056" spans="1:5" x14ac:dyDescent="0.4">
      <c r="A1056" t="s">
        <v>3834</v>
      </c>
      <c r="B1056">
        <v>47.8</v>
      </c>
      <c r="C1056" t="s">
        <v>5723</v>
      </c>
      <c r="D1056">
        <v>3</v>
      </c>
      <c r="E1056">
        <v>-0.57299999999999995</v>
      </c>
    </row>
    <row r="1057" spans="1:5" x14ac:dyDescent="0.4">
      <c r="A1057" t="s">
        <v>5804</v>
      </c>
      <c r="B1057">
        <v>96.7</v>
      </c>
      <c r="C1057" t="s">
        <v>6039</v>
      </c>
      <c r="D1057">
        <v>5</v>
      </c>
      <c r="E1057">
        <v>1.4590000000000001</v>
      </c>
    </row>
    <row r="1058" spans="1:5" x14ac:dyDescent="0.4">
      <c r="A1058" t="s">
        <v>3842</v>
      </c>
      <c r="B1058">
        <v>74.5</v>
      </c>
      <c r="C1058" t="s">
        <v>6580</v>
      </c>
      <c r="D1058">
        <v>4</v>
      </c>
      <c r="E1058">
        <v>0.53600000000000003</v>
      </c>
    </row>
    <row r="1059" spans="1:5" x14ac:dyDescent="0.4">
      <c r="A1059" t="s">
        <v>3817</v>
      </c>
      <c r="B1059">
        <v>36.299999999999997</v>
      </c>
      <c r="C1059" t="s">
        <v>5728</v>
      </c>
      <c r="D1059">
        <v>2</v>
      </c>
      <c r="E1059">
        <v>-1.0509999999999999</v>
      </c>
    </row>
    <row r="1060" spans="1:5" x14ac:dyDescent="0.4">
      <c r="A1060" t="s">
        <v>3821</v>
      </c>
      <c r="B1060">
        <v>97.2</v>
      </c>
      <c r="C1060" t="s">
        <v>2477</v>
      </c>
      <c r="D1060">
        <v>5</v>
      </c>
      <c r="E1060">
        <v>1.4790000000000001</v>
      </c>
    </row>
    <row r="1061" spans="1:5" x14ac:dyDescent="0.4">
      <c r="A1061" t="s">
        <v>3815</v>
      </c>
      <c r="B1061">
        <v>96.1</v>
      </c>
      <c r="C1061" t="s">
        <v>5726</v>
      </c>
      <c r="D1061">
        <v>5</v>
      </c>
      <c r="E1061">
        <v>1.4339999999999999</v>
      </c>
    </row>
    <row r="1062" spans="1:5" x14ac:dyDescent="0.4">
      <c r="A1062" t="s">
        <v>5805</v>
      </c>
      <c r="B1062">
        <v>83.6</v>
      </c>
      <c r="C1062" t="s">
        <v>5707</v>
      </c>
      <c r="D1062">
        <v>5</v>
      </c>
      <c r="E1062">
        <v>0.91400000000000003</v>
      </c>
    </row>
    <row r="1063" spans="1:5" x14ac:dyDescent="0.4">
      <c r="A1063" t="s">
        <v>3835</v>
      </c>
      <c r="B1063">
        <v>47.2</v>
      </c>
      <c r="C1063" t="s">
        <v>5706</v>
      </c>
      <c r="D1063">
        <v>3</v>
      </c>
      <c r="E1063">
        <v>-0.59799999999999998</v>
      </c>
    </row>
    <row r="1064" spans="1:5" x14ac:dyDescent="0.4">
      <c r="A1064" t="s">
        <v>2192</v>
      </c>
      <c r="B1064">
        <v>47.1</v>
      </c>
      <c r="C1064" t="s">
        <v>5725</v>
      </c>
      <c r="D1064">
        <v>3</v>
      </c>
      <c r="E1064">
        <v>-0.60299999999999998</v>
      </c>
    </row>
    <row r="1065" spans="1:5" x14ac:dyDescent="0.4">
      <c r="A1065" t="s">
        <v>2193</v>
      </c>
      <c r="B1065">
        <v>96.7</v>
      </c>
      <c r="C1065" t="s">
        <v>6039</v>
      </c>
      <c r="D1065">
        <v>5</v>
      </c>
      <c r="E1065">
        <v>1.4590000000000001</v>
      </c>
    </row>
    <row r="1066" spans="1:5" x14ac:dyDescent="0.4">
      <c r="A1066" t="s">
        <v>3838</v>
      </c>
      <c r="B1066">
        <v>44.3</v>
      </c>
      <c r="C1066" t="s">
        <v>5708</v>
      </c>
      <c r="D1066">
        <v>3</v>
      </c>
      <c r="E1066">
        <v>-0.71899999999999997</v>
      </c>
    </row>
    <row r="1067" spans="1:5" x14ac:dyDescent="0.4">
      <c r="A1067" t="s">
        <v>2194</v>
      </c>
      <c r="B1067">
        <v>47.8</v>
      </c>
      <c r="C1067" t="s">
        <v>5723</v>
      </c>
      <c r="D1067">
        <v>3</v>
      </c>
      <c r="E1067">
        <v>-0.57299999999999995</v>
      </c>
    </row>
    <row r="1068" spans="1:5" x14ac:dyDescent="0.4">
      <c r="A1068" t="s">
        <v>3813</v>
      </c>
      <c r="B1068">
        <v>96.2</v>
      </c>
      <c r="C1068" t="s">
        <v>2480</v>
      </c>
      <c r="D1068">
        <v>5</v>
      </c>
      <c r="E1068">
        <v>1.4379999999999999</v>
      </c>
    </row>
    <row r="1069" spans="1:5" x14ac:dyDescent="0.4">
      <c r="A1069" t="s">
        <v>3827</v>
      </c>
      <c r="B1069">
        <v>47.9</v>
      </c>
      <c r="C1069" t="s">
        <v>5731</v>
      </c>
      <c r="D1069">
        <v>3</v>
      </c>
      <c r="E1069">
        <v>-0.56899999999999995</v>
      </c>
    </row>
    <row r="1070" spans="1:5" x14ac:dyDescent="0.4">
      <c r="A1070" t="s">
        <v>3837</v>
      </c>
      <c r="B1070">
        <v>47.1</v>
      </c>
      <c r="C1070" t="s">
        <v>5725</v>
      </c>
      <c r="D1070">
        <v>3</v>
      </c>
      <c r="E1070">
        <v>-0.60299999999999998</v>
      </c>
    </row>
    <row r="1071" spans="1:5" x14ac:dyDescent="0.4">
      <c r="A1071" t="s">
        <v>3828</v>
      </c>
      <c r="B1071">
        <v>85.4</v>
      </c>
      <c r="C1071" t="s">
        <v>5696</v>
      </c>
      <c r="D1071">
        <v>5</v>
      </c>
      <c r="E1071">
        <v>0.98899999999999999</v>
      </c>
    </row>
    <row r="1072" spans="1:5" x14ac:dyDescent="0.4">
      <c r="A1072" t="s">
        <v>1442</v>
      </c>
      <c r="B1072">
        <v>61.6</v>
      </c>
      <c r="C1072" t="s">
        <v>197</v>
      </c>
      <c r="D1072">
        <v>4</v>
      </c>
    </row>
    <row r="1073" spans="1:12" x14ac:dyDescent="0.4">
      <c r="A1073" t="s">
        <v>1443</v>
      </c>
      <c r="B1073">
        <v>56.1</v>
      </c>
      <c r="C1073" t="s">
        <v>197</v>
      </c>
      <c r="D1073">
        <v>3</v>
      </c>
    </row>
    <row r="1074" spans="1:12" x14ac:dyDescent="0.4">
      <c r="A1074" t="s">
        <v>1588</v>
      </c>
      <c r="B1074">
        <v>83.7</v>
      </c>
      <c r="C1074" t="s">
        <v>197</v>
      </c>
      <c r="D1074">
        <v>5</v>
      </c>
    </row>
    <row r="1075" spans="1:12" x14ac:dyDescent="0.4">
      <c r="A1075" t="s">
        <v>1687</v>
      </c>
      <c r="B1075">
        <v>40.5</v>
      </c>
      <c r="C1075" t="s">
        <v>197</v>
      </c>
      <c r="D1075">
        <v>3</v>
      </c>
    </row>
    <row r="1076" spans="1:12" x14ac:dyDescent="0.4">
      <c r="A1076" t="s">
        <v>1688</v>
      </c>
      <c r="B1076">
        <v>66.599999999999994</v>
      </c>
      <c r="C1076" t="s">
        <v>197</v>
      </c>
      <c r="D1076">
        <v>4</v>
      </c>
    </row>
    <row r="1077" spans="1:12" x14ac:dyDescent="0.4">
      <c r="A1077" t="s">
        <v>2586</v>
      </c>
      <c r="B1077">
        <v>57.7</v>
      </c>
      <c r="C1077" t="s">
        <v>197</v>
      </c>
      <c r="D1077">
        <v>3</v>
      </c>
    </row>
    <row r="1078" spans="1:12" x14ac:dyDescent="0.4">
      <c r="A1078" t="s">
        <v>2587</v>
      </c>
      <c r="B1078">
        <v>57.6</v>
      </c>
      <c r="C1078" t="s">
        <v>197</v>
      </c>
      <c r="D1078">
        <v>3</v>
      </c>
    </row>
    <row r="1079" spans="1:12" x14ac:dyDescent="0.4">
      <c r="A1079" t="s">
        <v>7306</v>
      </c>
      <c r="B1079">
        <v>53.6</v>
      </c>
      <c r="C1079" t="s">
        <v>197</v>
      </c>
      <c r="D1079">
        <v>3</v>
      </c>
    </row>
    <row r="1080" spans="1:12" x14ac:dyDescent="0.4">
      <c r="A1080" t="s">
        <v>7307</v>
      </c>
      <c r="B1080">
        <v>65.5</v>
      </c>
      <c r="C1080" t="s">
        <v>197</v>
      </c>
      <c r="D1080">
        <v>4</v>
      </c>
    </row>
    <row r="1081" spans="1:12" x14ac:dyDescent="0.4">
      <c r="A1081" t="s">
        <v>7308</v>
      </c>
      <c r="B1081">
        <v>65.2</v>
      </c>
      <c r="C1081" t="s">
        <v>197</v>
      </c>
      <c r="D1081">
        <v>4</v>
      </c>
    </row>
    <row r="1082" spans="1:12" x14ac:dyDescent="0.4">
      <c r="A1082" t="s">
        <v>3252</v>
      </c>
      <c r="B1082">
        <v>41.9</v>
      </c>
      <c r="C1082" t="s">
        <v>6036</v>
      </c>
      <c r="D1082">
        <v>3</v>
      </c>
      <c r="E1082">
        <v>-2.2400000000000002</v>
      </c>
      <c r="F1082">
        <v>58.1</v>
      </c>
      <c r="G1082">
        <v>2021</v>
      </c>
      <c r="H1082" t="s">
        <v>928</v>
      </c>
      <c r="I1082" t="s">
        <v>6597</v>
      </c>
      <c r="L1082" t="s">
        <v>197</v>
      </c>
    </row>
    <row r="1083" spans="1:12" x14ac:dyDescent="0.4">
      <c r="A1083" t="s">
        <v>3250</v>
      </c>
      <c r="B1083">
        <v>80.599999999999994</v>
      </c>
      <c r="C1083" t="s">
        <v>5733</v>
      </c>
      <c r="D1083">
        <v>5</v>
      </c>
      <c r="E1083">
        <v>-2.9000000000000001E-2</v>
      </c>
      <c r="F1083">
        <v>19.399999999999999</v>
      </c>
      <c r="G1083">
        <v>2021</v>
      </c>
      <c r="H1083" t="s">
        <v>928</v>
      </c>
      <c r="I1083" t="s">
        <v>6597</v>
      </c>
      <c r="L1083" t="s">
        <v>197</v>
      </c>
    </row>
    <row r="1084" spans="1:12" x14ac:dyDescent="0.4">
      <c r="A1084" t="s">
        <v>3256</v>
      </c>
      <c r="B1084">
        <v>92.2</v>
      </c>
      <c r="C1084" t="s">
        <v>5718</v>
      </c>
      <c r="D1084">
        <v>5</v>
      </c>
      <c r="E1084">
        <v>0.63400000000000001</v>
      </c>
      <c r="F1084">
        <v>7.8</v>
      </c>
      <c r="G1084">
        <v>2021</v>
      </c>
      <c r="H1084" t="s">
        <v>928</v>
      </c>
      <c r="I1084" t="s">
        <v>6597</v>
      </c>
      <c r="L1084" t="s">
        <v>197</v>
      </c>
    </row>
    <row r="1085" spans="1:12" x14ac:dyDescent="0.4">
      <c r="A1085" t="s">
        <v>3280</v>
      </c>
      <c r="B1085">
        <v>84.9</v>
      </c>
      <c r="C1085" t="s">
        <v>5727</v>
      </c>
      <c r="D1085">
        <v>5</v>
      </c>
      <c r="E1085">
        <v>0.217</v>
      </c>
      <c r="F1085">
        <v>15.1</v>
      </c>
      <c r="G1085">
        <v>2021</v>
      </c>
      <c r="H1085" t="s">
        <v>928</v>
      </c>
      <c r="I1085" t="s">
        <v>6597</v>
      </c>
      <c r="L1085" t="s">
        <v>197</v>
      </c>
    </row>
    <row r="1086" spans="1:12" x14ac:dyDescent="0.4">
      <c r="A1086" t="s">
        <v>1956</v>
      </c>
      <c r="B1086">
        <v>92.9</v>
      </c>
      <c r="C1086" t="s">
        <v>5705</v>
      </c>
      <c r="D1086">
        <v>5</v>
      </c>
      <c r="E1086">
        <v>0.67400000000000004</v>
      </c>
      <c r="F1086">
        <v>7.1</v>
      </c>
      <c r="G1086">
        <v>2021</v>
      </c>
      <c r="H1086" t="s">
        <v>928</v>
      </c>
      <c r="I1086" t="s">
        <v>6597</v>
      </c>
      <c r="L1086" t="s">
        <v>197</v>
      </c>
    </row>
    <row r="1087" spans="1:12" x14ac:dyDescent="0.4">
      <c r="A1087" t="s">
        <v>3276</v>
      </c>
      <c r="B1087">
        <v>94.1</v>
      </c>
      <c r="C1087" t="s">
        <v>2485</v>
      </c>
      <c r="D1087">
        <v>5</v>
      </c>
      <c r="E1087">
        <v>0.74299999999999999</v>
      </c>
      <c r="F1087">
        <v>5.9</v>
      </c>
      <c r="G1087">
        <v>2021</v>
      </c>
      <c r="H1087" t="s">
        <v>6613</v>
      </c>
      <c r="I1087" t="s">
        <v>6614</v>
      </c>
      <c r="L1087" t="s">
        <v>197</v>
      </c>
    </row>
    <row r="1088" spans="1:12" x14ac:dyDescent="0.4">
      <c r="A1088" t="s">
        <v>3260</v>
      </c>
      <c r="B1088">
        <v>96.2</v>
      </c>
      <c r="C1088" t="s">
        <v>2479</v>
      </c>
      <c r="D1088">
        <v>5</v>
      </c>
      <c r="E1088">
        <v>0.86299999999999999</v>
      </c>
      <c r="F1088">
        <v>3.8</v>
      </c>
      <c r="G1088">
        <v>2021</v>
      </c>
      <c r="H1088" t="s">
        <v>928</v>
      </c>
      <c r="I1088" t="s">
        <v>6597</v>
      </c>
      <c r="L1088" t="s">
        <v>197</v>
      </c>
    </row>
    <row r="1089" spans="1:12" x14ac:dyDescent="0.4">
      <c r="A1089" t="s">
        <v>3254</v>
      </c>
      <c r="B1089">
        <v>63.6</v>
      </c>
      <c r="C1089" t="s">
        <v>5711</v>
      </c>
      <c r="D1089">
        <v>4</v>
      </c>
      <c r="E1089">
        <v>-1</v>
      </c>
      <c r="F1089">
        <v>36.4</v>
      </c>
      <c r="G1089">
        <v>2021</v>
      </c>
      <c r="H1089" t="s">
        <v>6613</v>
      </c>
      <c r="I1089" t="s">
        <v>6614</v>
      </c>
      <c r="L1089" t="s">
        <v>197</v>
      </c>
    </row>
    <row r="1090" spans="1:12" x14ac:dyDescent="0.4">
      <c r="A1090" t="s">
        <v>3266</v>
      </c>
      <c r="B1090">
        <v>87.4</v>
      </c>
      <c r="C1090" t="s">
        <v>5735</v>
      </c>
      <c r="D1090">
        <v>5</v>
      </c>
      <c r="E1090">
        <v>0.36</v>
      </c>
      <c r="F1090">
        <v>12.6</v>
      </c>
      <c r="G1090">
        <v>2021</v>
      </c>
      <c r="H1090" t="s">
        <v>928</v>
      </c>
      <c r="I1090" t="s">
        <v>6597</v>
      </c>
      <c r="L1090" t="s">
        <v>197</v>
      </c>
    </row>
    <row r="1091" spans="1:12" x14ac:dyDescent="0.4">
      <c r="A1091" t="s">
        <v>3258</v>
      </c>
      <c r="B1091">
        <v>71.5</v>
      </c>
      <c r="C1091" t="s">
        <v>5698</v>
      </c>
      <c r="D1091">
        <v>4</v>
      </c>
      <c r="E1091">
        <v>-0.54900000000000004</v>
      </c>
      <c r="F1091">
        <v>28.5</v>
      </c>
      <c r="G1091">
        <v>2021</v>
      </c>
      <c r="H1091" t="s">
        <v>928</v>
      </c>
      <c r="I1091" t="s">
        <v>6597</v>
      </c>
      <c r="L1091" t="s">
        <v>197</v>
      </c>
    </row>
    <row r="1092" spans="1:12" x14ac:dyDescent="0.4">
      <c r="A1092" t="s">
        <v>5966</v>
      </c>
      <c r="B1092">
        <v>89.1</v>
      </c>
      <c r="C1092" t="s">
        <v>6585</v>
      </c>
      <c r="D1092">
        <v>5</v>
      </c>
      <c r="E1092">
        <v>0.45700000000000002</v>
      </c>
      <c r="F1092">
        <v>10.9</v>
      </c>
      <c r="G1092">
        <v>2021</v>
      </c>
      <c r="H1092" t="s">
        <v>928</v>
      </c>
      <c r="I1092" t="s">
        <v>6597</v>
      </c>
      <c r="L1092" t="s">
        <v>197</v>
      </c>
    </row>
    <row r="1093" spans="1:12" x14ac:dyDescent="0.4">
      <c r="A1093" t="s">
        <v>3272</v>
      </c>
      <c r="B1093">
        <v>72.3</v>
      </c>
      <c r="C1093" t="s">
        <v>5720</v>
      </c>
      <c r="D1093">
        <v>4</v>
      </c>
      <c r="E1093">
        <v>-0.503</v>
      </c>
      <c r="F1093">
        <v>27.7</v>
      </c>
      <c r="G1093">
        <v>2021</v>
      </c>
      <c r="H1093" t="s">
        <v>6613</v>
      </c>
      <c r="I1093" t="s">
        <v>6614</v>
      </c>
      <c r="L1093" t="s">
        <v>197</v>
      </c>
    </row>
    <row r="1094" spans="1:12" x14ac:dyDescent="0.4">
      <c r="A1094" t="s">
        <v>1957</v>
      </c>
      <c r="B1094">
        <v>68.900000000000006</v>
      </c>
      <c r="C1094" t="s">
        <v>5713</v>
      </c>
      <c r="D1094">
        <v>4</v>
      </c>
      <c r="E1094">
        <v>-0.69699999999999995</v>
      </c>
      <c r="F1094">
        <v>31.1</v>
      </c>
      <c r="G1094">
        <v>2021</v>
      </c>
      <c r="H1094" t="s">
        <v>928</v>
      </c>
      <c r="I1094" t="s">
        <v>6597</v>
      </c>
      <c r="L1094" t="s">
        <v>197</v>
      </c>
    </row>
    <row r="1095" spans="1:12" x14ac:dyDescent="0.4">
      <c r="A1095" t="s">
        <v>1966</v>
      </c>
      <c r="B1095">
        <v>90.2</v>
      </c>
      <c r="C1095" t="s">
        <v>5729</v>
      </c>
      <c r="D1095">
        <v>5</v>
      </c>
      <c r="E1095">
        <v>0.52</v>
      </c>
      <c r="F1095">
        <v>9.8000000000000007</v>
      </c>
      <c r="G1095">
        <v>2021</v>
      </c>
      <c r="H1095" t="s">
        <v>928</v>
      </c>
      <c r="I1095" t="s">
        <v>6597</v>
      </c>
      <c r="L1095" t="s">
        <v>197</v>
      </c>
    </row>
    <row r="1096" spans="1:12" x14ac:dyDescent="0.4">
      <c r="A1096" t="s">
        <v>3265</v>
      </c>
      <c r="B1096">
        <v>89.5</v>
      </c>
      <c r="C1096" t="s">
        <v>5700</v>
      </c>
      <c r="D1096">
        <v>5</v>
      </c>
      <c r="E1096">
        <v>0.48</v>
      </c>
      <c r="F1096">
        <v>10.5</v>
      </c>
      <c r="G1096">
        <v>2021</v>
      </c>
      <c r="H1096" t="s">
        <v>928</v>
      </c>
      <c r="I1096" t="s">
        <v>6597</v>
      </c>
      <c r="L1096" t="s">
        <v>197</v>
      </c>
    </row>
    <row r="1097" spans="1:12" x14ac:dyDescent="0.4">
      <c r="A1097" t="s">
        <v>3279</v>
      </c>
      <c r="B1097">
        <v>91</v>
      </c>
      <c r="C1097" t="s">
        <v>5731</v>
      </c>
      <c r="D1097">
        <v>5</v>
      </c>
      <c r="E1097">
        <v>0.56599999999999995</v>
      </c>
      <c r="F1097">
        <v>9</v>
      </c>
      <c r="G1097">
        <v>2021</v>
      </c>
      <c r="H1097" t="s">
        <v>928</v>
      </c>
      <c r="I1097" t="s">
        <v>6597</v>
      </c>
      <c r="L1097" t="s">
        <v>197</v>
      </c>
    </row>
    <row r="1098" spans="1:12" x14ac:dyDescent="0.4">
      <c r="A1098" t="s">
        <v>1958</v>
      </c>
      <c r="B1098">
        <v>94.1</v>
      </c>
      <c r="C1098" t="s">
        <v>2485</v>
      </c>
      <c r="D1098">
        <v>5</v>
      </c>
      <c r="E1098">
        <v>0.74299999999999999</v>
      </c>
      <c r="F1098">
        <v>5.9</v>
      </c>
      <c r="G1098">
        <v>2021</v>
      </c>
      <c r="H1098" t="s">
        <v>6613</v>
      </c>
      <c r="I1098" t="s">
        <v>6614</v>
      </c>
      <c r="L1098" t="s">
        <v>197</v>
      </c>
    </row>
    <row r="1099" spans="1:12" x14ac:dyDescent="0.4">
      <c r="A1099" t="s">
        <v>1965</v>
      </c>
      <c r="B1099">
        <v>91.9</v>
      </c>
      <c r="C1099" t="s">
        <v>5732</v>
      </c>
      <c r="D1099">
        <v>5</v>
      </c>
      <c r="E1099">
        <v>0.61699999999999999</v>
      </c>
      <c r="F1099">
        <v>8.1</v>
      </c>
      <c r="G1099">
        <v>2021</v>
      </c>
      <c r="H1099" t="s">
        <v>6613</v>
      </c>
      <c r="I1099" t="s">
        <v>6614</v>
      </c>
      <c r="L1099" t="s">
        <v>197</v>
      </c>
    </row>
    <row r="1100" spans="1:12" x14ac:dyDescent="0.4">
      <c r="A1100" t="s">
        <v>1959</v>
      </c>
      <c r="B1100">
        <v>95.1</v>
      </c>
      <c r="C1100" t="s">
        <v>2480</v>
      </c>
      <c r="D1100">
        <v>5</v>
      </c>
      <c r="E1100">
        <v>0.8</v>
      </c>
      <c r="F1100">
        <v>4.9000000000000004</v>
      </c>
      <c r="G1100">
        <v>2021</v>
      </c>
      <c r="H1100" t="s">
        <v>928</v>
      </c>
      <c r="I1100" t="s">
        <v>6597</v>
      </c>
      <c r="L1100" t="s">
        <v>197</v>
      </c>
    </row>
    <row r="1101" spans="1:12" x14ac:dyDescent="0.4">
      <c r="A1101" t="s">
        <v>3249</v>
      </c>
      <c r="B1101">
        <v>79.7</v>
      </c>
      <c r="C1101" t="s">
        <v>5734</v>
      </c>
      <c r="D1101">
        <v>4</v>
      </c>
      <c r="E1101">
        <v>-0.08</v>
      </c>
      <c r="F1101">
        <v>20.3</v>
      </c>
      <c r="G1101">
        <v>2021</v>
      </c>
      <c r="H1101" t="s">
        <v>928</v>
      </c>
      <c r="I1101" t="s">
        <v>6597</v>
      </c>
      <c r="L1101" t="s">
        <v>197</v>
      </c>
    </row>
    <row r="1102" spans="1:12" x14ac:dyDescent="0.4">
      <c r="A1102" t="s">
        <v>3269</v>
      </c>
      <c r="B1102">
        <v>57.7</v>
      </c>
      <c r="C1102" t="s">
        <v>5697</v>
      </c>
      <c r="D1102">
        <v>3</v>
      </c>
      <c r="E1102">
        <v>-1.337</v>
      </c>
      <c r="F1102">
        <v>42.3</v>
      </c>
      <c r="G1102">
        <v>2021</v>
      </c>
      <c r="H1102" t="s">
        <v>928</v>
      </c>
      <c r="I1102" t="s">
        <v>6597</v>
      </c>
      <c r="L1102" t="s">
        <v>197</v>
      </c>
    </row>
    <row r="1103" spans="1:12" x14ac:dyDescent="0.4">
      <c r="A1103" t="s">
        <v>3273</v>
      </c>
      <c r="B1103">
        <v>62.6</v>
      </c>
      <c r="C1103" t="s">
        <v>5728</v>
      </c>
      <c r="D1103">
        <v>4</v>
      </c>
      <c r="E1103">
        <v>-1.0569999999999999</v>
      </c>
      <c r="F1103">
        <v>37.4</v>
      </c>
      <c r="G1103">
        <v>2021</v>
      </c>
      <c r="H1103" t="s">
        <v>928</v>
      </c>
      <c r="I1103" t="s">
        <v>6597</v>
      </c>
      <c r="L1103" t="s">
        <v>197</v>
      </c>
    </row>
    <row r="1104" spans="1:12" x14ac:dyDescent="0.4">
      <c r="A1104" t="s">
        <v>3271</v>
      </c>
      <c r="B1104">
        <v>72.3</v>
      </c>
      <c r="C1104" t="s">
        <v>5720</v>
      </c>
      <c r="D1104">
        <v>4</v>
      </c>
      <c r="E1104">
        <v>-0.503</v>
      </c>
      <c r="F1104">
        <v>27.7</v>
      </c>
      <c r="G1104">
        <v>2021</v>
      </c>
      <c r="H1104" t="s">
        <v>6613</v>
      </c>
      <c r="I1104" t="s">
        <v>6614</v>
      </c>
      <c r="L1104" t="s">
        <v>197</v>
      </c>
    </row>
    <row r="1105" spans="1:12" x14ac:dyDescent="0.4">
      <c r="A1105" t="s">
        <v>3259</v>
      </c>
      <c r="B1105">
        <v>89.1</v>
      </c>
      <c r="C1105" t="s">
        <v>6585</v>
      </c>
      <c r="D1105">
        <v>5</v>
      </c>
      <c r="E1105">
        <v>0.45700000000000002</v>
      </c>
      <c r="F1105">
        <v>10.9</v>
      </c>
      <c r="G1105">
        <v>2021</v>
      </c>
      <c r="H1105" t="s">
        <v>928</v>
      </c>
      <c r="I1105" t="s">
        <v>6597</v>
      </c>
      <c r="L1105" t="s">
        <v>197</v>
      </c>
    </row>
    <row r="1106" spans="1:12" x14ac:dyDescent="0.4">
      <c r="A1106" t="s">
        <v>3248</v>
      </c>
      <c r="B1106">
        <v>30.3</v>
      </c>
      <c r="C1106" t="s">
        <v>6035</v>
      </c>
      <c r="D1106">
        <v>2</v>
      </c>
      <c r="E1106">
        <v>-2.903</v>
      </c>
      <c r="F1106">
        <v>69.7</v>
      </c>
      <c r="G1106">
        <v>2021</v>
      </c>
      <c r="H1106" t="s">
        <v>928</v>
      </c>
      <c r="I1106" t="s">
        <v>6597</v>
      </c>
      <c r="L1106" t="s">
        <v>197</v>
      </c>
    </row>
    <row r="1107" spans="1:12" x14ac:dyDescent="0.4">
      <c r="A1107" t="s">
        <v>3262</v>
      </c>
      <c r="B1107">
        <v>95.9</v>
      </c>
      <c r="C1107" t="s">
        <v>2478</v>
      </c>
      <c r="D1107">
        <v>5</v>
      </c>
      <c r="E1107">
        <v>0.84599999999999997</v>
      </c>
      <c r="F1107">
        <v>4.0999999999999996</v>
      </c>
      <c r="G1107">
        <v>2021</v>
      </c>
      <c r="H1107" t="s">
        <v>928</v>
      </c>
      <c r="I1107" t="s">
        <v>6597</v>
      </c>
      <c r="L1107" t="s">
        <v>197</v>
      </c>
    </row>
    <row r="1108" spans="1:12" x14ac:dyDescent="0.4">
      <c r="A1108" t="s">
        <v>3263</v>
      </c>
      <c r="B1108">
        <v>92</v>
      </c>
      <c r="C1108" t="s">
        <v>6034</v>
      </c>
      <c r="D1108">
        <v>5</v>
      </c>
      <c r="E1108">
        <v>0.623</v>
      </c>
      <c r="F1108">
        <v>8</v>
      </c>
      <c r="G1108">
        <v>2021</v>
      </c>
      <c r="H1108" t="s">
        <v>928</v>
      </c>
      <c r="I1108" t="s">
        <v>6597</v>
      </c>
      <c r="L1108" t="s">
        <v>197</v>
      </c>
    </row>
    <row r="1109" spans="1:12" x14ac:dyDescent="0.4">
      <c r="A1109" t="s">
        <v>3281</v>
      </c>
      <c r="B1109">
        <v>55.3</v>
      </c>
      <c r="C1109" t="s">
        <v>5710</v>
      </c>
      <c r="D1109">
        <v>3</v>
      </c>
      <c r="E1109">
        <v>-1.474</v>
      </c>
      <c r="F1109">
        <v>44.7</v>
      </c>
      <c r="G1109">
        <v>2021</v>
      </c>
      <c r="H1109" t="s">
        <v>928</v>
      </c>
      <c r="I1109" t="s">
        <v>6597</v>
      </c>
      <c r="L1109" t="s">
        <v>197</v>
      </c>
    </row>
    <row r="1110" spans="1:12" x14ac:dyDescent="0.4">
      <c r="A1110" t="s">
        <v>1960</v>
      </c>
      <c r="B1110">
        <v>88.6</v>
      </c>
      <c r="C1110" t="s">
        <v>5725</v>
      </c>
      <c r="D1110">
        <v>5</v>
      </c>
      <c r="E1110">
        <v>0.42899999999999999</v>
      </c>
      <c r="F1110">
        <v>11.4</v>
      </c>
      <c r="G1110">
        <v>2021</v>
      </c>
      <c r="H1110" t="s">
        <v>928</v>
      </c>
      <c r="I1110" t="s">
        <v>6597</v>
      </c>
      <c r="L1110" t="s">
        <v>197</v>
      </c>
    </row>
    <row r="1111" spans="1:12" x14ac:dyDescent="0.4">
      <c r="A1111" t="s">
        <v>1964</v>
      </c>
      <c r="B1111">
        <v>72.400000000000006</v>
      </c>
      <c r="C1111" t="s">
        <v>5704</v>
      </c>
      <c r="D1111">
        <v>4</v>
      </c>
      <c r="E1111">
        <v>-0.497</v>
      </c>
      <c r="F1111">
        <v>27.6</v>
      </c>
      <c r="G1111">
        <v>2021</v>
      </c>
      <c r="H1111" t="s">
        <v>928</v>
      </c>
      <c r="I1111" t="s">
        <v>6597</v>
      </c>
      <c r="L1111" t="s">
        <v>197</v>
      </c>
    </row>
    <row r="1112" spans="1:12" x14ac:dyDescent="0.4">
      <c r="A1112" t="s">
        <v>3264</v>
      </c>
      <c r="B1112">
        <v>95</v>
      </c>
      <c r="C1112" t="s">
        <v>2483</v>
      </c>
      <c r="D1112">
        <v>5</v>
      </c>
      <c r="E1112">
        <v>0.79400000000000004</v>
      </c>
      <c r="F1112">
        <v>5</v>
      </c>
      <c r="G1112">
        <v>2021</v>
      </c>
      <c r="H1112" t="s">
        <v>928</v>
      </c>
      <c r="I1112" t="s">
        <v>6597</v>
      </c>
      <c r="L1112" t="s">
        <v>197</v>
      </c>
    </row>
    <row r="1113" spans="1:12" x14ac:dyDescent="0.4">
      <c r="A1113" t="s">
        <v>3270</v>
      </c>
      <c r="B1113">
        <v>72.3</v>
      </c>
      <c r="C1113" t="s">
        <v>5720</v>
      </c>
      <c r="D1113">
        <v>4</v>
      </c>
      <c r="E1113">
        <v>-0.503</v>
      </c>
      <c r="F1113">
        <v>27.7</v>
      </c>
      <c r="G1113">
        <v>2021</v>
      </c>
      <c r="H1113" t="s">
        <v>6613</v>
      </c>
      <c r="I1113" t="s">
        <v>6614</v>
      </c>
      <c r="L1113" t="s">
        <v>197</v>
      </c>
    </row>
    <row r="1114" spans="1:12" x14ac:dyDescent="0.4">
      <c r="A1114" t="s">
        <v>3251</v>
      </c>
      <c r="B1114">
        <v>27.7</v>
      </c>
      <c r="C1114" t="s">
        <v>6033</v>
      </c>
      <c r="D1114">
        <v>2</v>
      </c>
      <c r="E1114">
        <v>-3.0510000000000002</v>
      </c>
      <c r="F1114">
        <v>72.3</v>
      </c>
      <c r="G1114">
        <v>2021</v>
      </c>
      <c r="H1114" t="s">
        <v>928</v>
      </c>
      <c r="I1114" t="s">
        <v>6597</v>
      </c>
      <c r="L1114" t="s">
        <v>197</v>
      </c>
    </row>
    <row r="1115" spans="1:12" x14ac:dyDescent="0.4">
      <c r="A1115" t="s">
        <v>5806</v>
      </c>
      <c r="B1115">
        <v>92.2</v>
      </c>
      <c r="C1115" t="s">
        <v>5718</v>
      </c>
      <c r="D1115">
        <v>5</v>
      </c>
      <c r="E1115">
        <v>0.63400000000000001</v>
      </c>
      <c r="F1115">
        <v>7.8</v>
      </c>
      <c r="G1115">
        <v>2021</v>
      </c>
      <c r="H1115" t="s">
        <v>928</v>
      </c>
      <c r="I1115" t="s">
        <v>6597</v>
      </c>
      <c r="L1115" t="s">
        <v>197</v>
      </c>
    </row>
    <row r="1116" spans="1:12" x14ac:dyDescent="0.4">
      <c r="A1116" t="s">
        <v>3274</v>
      </c>
      <c r="B1116">
        <v>95.6</v>
      </c>
      <c r="C1116" t="s">
        <v>6039</v>
      </c>
      <c r="D1116">
        <v>5</v>
      </c>
      <c r="E1116">
        <v>0.82899999999999996</v>
      </c>
      <c r="F1116">
        <v>4.4000000000000004</v>
      </c>
      <c r="G1116">
        <v>2021</v>
      </c>
      <c r="H1116" t="s">
        <v>928</v>
      </c>
      <c r="I1116" t="s">
        <v>6597</v>
      </c>
      <c r="L1116" t="s">
        <v>197</v>
      </c>
    </row>
    <row r="1117" spans="1:12" x14ac:dyDescent="0.4">
      <c r="A1117" t="s">
        <v>5807</v>
      </c>
      <c r="B1117">
        <v>93.4</v>
      </c>
      <c r="C1117" t="s">
        <v>6045</v>
      </c>
      <c r="D1117">
        <v>5</v>
      </c>
      <c r="E1117">
        <v>0.70299999999999996</v>
      </c>
      <c r="F1117">
        <v>6.6</v>
      </c>
      <c r="G1117">
        <v>2021</v>
      </c>
      <c r="H1117" t="s">
        <v>928</v>
      </c>
      <c r="I1117" t="s">
        <v>6597</v>
      </c>
      <c r="L1117" t="s">
        <v>197</v>
      </c>
    </row>
    <row r="1118" spans="1:12" x14ac:dyDescent="0.4">
      <c r="A1118" t="s">
        <v>3282</v>
      </c>
      <c r="B1118">
        <v>48.9</v>
      </c>
      <c r="C1118" t="s">
        <v>6037</v>
      </c>
      <c r="D1118">
        <v>3</v>
      </c>
      <c r="E1118">
        <v>-1.84</v>
      </c>
      <c r="F1118">
        <v>51.1</v>
      </c>
      <c r="G1118">
        <v>2021</v>
      </c>
      <c r="H1118" t="s">
        <v>928</v>
      </c>
      <c r="I1118" t="s">
        <v>6597</v>
      </c>
      <c r="L1118" t="s">
        <v>197</v>
      </c>
    </row>
    <row r="1119" spans="1:12" x14ac:dyDescent="0.4">
      <c r="A1119" t="s">
        <v>3257</v>
      </c>
      <c r="B1119">
        <v>72.599999999999994</v>
      </c>
      <c r="C1119" t="s">
        <v>5699</v>
      </c>
      <c r="D1119">
        <v>4</v>
      </c>
      <c r="E1119">
        <v>-0.48599999999999999</v>
      </c>
      <c r="F1119">
        <v>27.4</v>
      </c>
      <c r="G1119">
        <v>2021</v>
      </c>
      <c r="H1119" t="s">
        <v>6613</v>
      </c>
      <c r="I1119" t="s">
        <v>6614</v>
      </c>
      <c r="L1119" t="s">
        <v>197</v>
      </c>
    </row>
    <row r="1120" spans="1:12" x14ac:dyDescent="0.4">
      <c r="A1120" t="s">
        <v>3261</v>
      </c>
      <c r="B1120">
        <v>94.3</v>
      </c>
      <c r="C1120" t="s">
        <v>2484</v>
      </c>
      <c r="D1120">
        <v>5</v>
      </c>
      <c r="E1120">
        <v>0.754</v>
      </c>
      <c r="F1120">
        <v>5.7</v>
      </c>
      <c r="G1120">
        <v>2021</v>
      </c>
      <c r="H1120" t="s">
        <v>928</v>
      </c>
      <c r="I1120" t="s">
        <v>6597</v>
      </c>
      <c r="L1120" t="s">
        <v>197</v>
      </c>
    </row>
    <row r="1121" spans="1:12" x14ac:dyDescent="0.4">
      <c r="A1121" t="s">
        <v>3255</v>
      </c>
      <c r="B1121">
        <v>92.2</v>
      </c>
      <c r="C1121" t="s">
        <v>5718</v>
      </c>
      <c r="D1121">
        <v>5</v>
      </c>
      <c r="E1121">
        <v>0.63400000000000001</v>
      </c>
      <c r="F1121">
        <v>7.8</v>
      </c>
      <c r="G1121">
        <v>2021</v>
      </c>
      <c r="H1121" t="s">
        <v>928</v>
      </c>
      <c r="I1121" t="s">
        <v>6597</v>
      </c>
      <c r="L1121" t="s">
        <v>197</v>
      </c>
    </row>
    <row r="1122" spans="1:12" x14ac:dyDescent="0.4">
      <c r="A1122" t="s">
        <v>5808</v>
      </c>
      <c r="B1122">
        <v>67.2</v>
      </c>
      <c r="C1122" t="s">
        <v>5712</v>
      </c>
      <c r="D1122">
        <v>4</v>
      </c>
      <c r="E1122">
        <v>-0.79400000000000004</v>
      </c>
      <c r="F1122">
        <v>32.799999999999997</v>
      </c>
      <c r="G1122">
        <v>2021</v>
      </c>
      <c r="H1122" t="s">
        <v>928</v>
      </c>
      <c r="I1122" t="s">
        <v>6597</v>
      </c>
      <c r="L1122" t="s">
        <v>197</v>
      </c>
    </row>
    <row r="1123" spans="1:12" x14ac:dyDescent="0.4">
      <c r="A1123" t="s">
        <v>3275</v>
      </c>
      <c r="B1123">
        <v>94.4</v>
      </c>
      <c r="C1123" t="s">
        <v>2482</v>
      </c>
      <c r="D1123">
        <v>5</v>
      </c>
      <c r="E1123">
        <v>0.76</v>
      </c>
      <c r="F1123">
        <v>5.6</v>
      </c>
      <c r="G1123">
        <v>2021</v>
      </c>
      <c r="H1123" t="s">
        <v>928</v>
      </c>
      <c r="I1123" t="s">
        <v>6597</v>
      </c>
      <c r="L1123" t="s">
        <v>197</v>
      </c>
    </row>
    <row r="1124" spans="1:12" x14ac:dyDescent="0.4">
      <c r="A1124" t="s">
        <v>1961</v>
      </c>
      <c r="B1124">
        <v>94.1</v>
      </c>
      <c r="C1124" t="s">
        <v>2485</v>
      </c>
      <c r="D1124">
        <v>5</v>
      </c>
      <c r="E1124">
        <v>0.74299999999999999</v>
      </c>
      <c r="F1124">
        <v>5.9</v>
      </c>
      <c r="G1124">
        <v>2021</v>
      </c>
      <c r="H1124" t="s">
        <v>6613</v>
      </c>
      <c r="I1124" t="s">
        <v>6614</v>
      </c>
      <c r="L1124" t="s">
        <v>197</v>
      </c>
    </row>
    <row r="1125" spans="1:12" x14ac:dyDescent="0.4">
      <c r="A1125" t="s">
        <v>1962</v>
      </c>
      <c r="B1125">
        <v>93.4</v>
      </c>
      <c r="C1125" t="s">
        <v>6045</v>
      </c>
      <c r="D1125">
        <v>5</v>
      </c>
      <c r="E1125">
        <v>0.70299999999999996</v>
      </c>
      <c r="F1125">
        <v>6.6</v>
      </c>
      <c r="G1125">
        <v>2021</v>
      </c>
      <c r="H1125" t="s">
        <v>928</v>
      </c>
      <c r="I1125" t="s">
        <v>6597</v>
      </c>
      <c r="L1125" t="s">
        <v>197</v>
      </c>
    </row>
    <row r="1126" spans="1:12" x14ac:dyDescent="0.4">
      <c r="A1126" t="s">
        <v>3278</v>
      </c>
      <c r="B1126">
        <v>88.6</v>
      </c>
      <c r="C1126" t="s">
        <v>5725</v>
      </c>
      <c r="D1126">
        <v>5</v>
      </c>
      <c r="E1126">
        <v>0.42899999999999999</v>
      </c>
      <c r="F1126">
        <v>11.4</v>
      </c>
      <c r="G1126">
        <v>2021</v>
      </c>
      <c r="H1126" t="s">
        <v>928</v>
      </c>
      <c r="I1126" t="s">
        <v>6597</v>
      </c>
      <c r="L1126" t="s">
        <v>197</v>
      </c>
    </row>
    <row r="1127" spans="1:12" x14ac:dyDescent="0.4">
      <c r="A1127" t="s">
        <v>1963</v>
      </c>
      <c r="B1127">
        <v>95.6</v>
      </c>
      <c r="C1127" t="s">
        <v>6039</v>
      </c>
      <c r="D1127">
        <v>5</v>
      </c>
      <c r="E1127">
        <v>0.82899999999999996</v>
      </c>
      <c r="F1127">
        <v>4.4000000000000004</v>
      </c>
      <c r="G1127">
        <v>2021</v>
      </c>
      <c r="H1127" t="s">
        <v>928</v>
      </c>
      <c r="I1127" t="s">
        <v>6597</v>
      </c>
      <c r="L1127" t="s">
        <v>197</v>
      </c>
    </row>
    <row r="1128" spans="1:12" x14ac:dyDescent="0.4">
      <c r="A1128" t="s">
        <v>3253</v>
      </c>
      <c r="B1128">
        <v>92.3</v>
      </c>
      <c r="C1128" t="s">
        <v>5692</v>
      </c>
      <c r="D1128">
        <v>5</v>
      </c>
      <c r="E1128">
        <v>0.64</v>
      </c>
      <c r="F1128">
        <v>7.7</v>
      </c>
      <c r="G1128">
        <v>2021</v>
      </c>
      <c r="H1128" t="s">
        <v>928</v>
      </c>
      <c r="I1128" t="s">
        <v>6597</v>
      </c>
      <c r="L1128" t="s">
        <v>197</v>
      </c>
    </row>
    <row r="1129" spans="1:12" x14ac:dyDescent="0.4">
      <c r="A1129" t="s">
        <v>3267</v>
      </c>
      <c r="B1129">
        <v>95.7</v>
      </c>
      <c r="C1129" t="s">
        <v>2477</v>
      </c>
      <c r="D1129">
        <v>5</v>
      </c>
      <c r="E1129">
        <v>0.83399999999999996</v>
      </c>
      <c r="F1129">
        <v>4.3</v>
      </c>
      <c r="G1129">
        <v>2021</v>
      </c>
      <c r="H1129" t="s">
        <v>928</v>
      </c>
      <c r="I1129" t="s">
        <v>6597</v>
      </c>
      <c r="L1129" t="s">
        <v>197</v>
      </c>
    </row>
    <row r="1130" spans="1:12" x14ac:dyDescent="0.4">
      <c r="A1130" t="s">
        <v>3277</v>
      </c>
      <c r="B1130">
        <v>94.1</v>
      </c>
      <c r="C1130" t="s">
        <v>2485</v>
      </c>
      <c r="D1130">
        <v>5</v>
      </c>
      <c r="E1130">
        <v>0.74299999999999999</v>
      </c>
      <c r="F1130">
        <v>5.9</v>
      </c>
      <c r="G1130">
        <v>2021</v>
      </c>
      <c r="H1130" t="s">
        <v>6613</v>
      </c>
      <c r="I1130" t="s">
        <v>6614</v>
      </c>
      <c r="L1130" t="s">
        <v>197</v>
      </c>
    </row>
    <row r="1131" spans="1:12" x14ac:dyDescent="0.4">
      <c r="A1131" t="s">
        <v>3268</v>
      </c>
      <c r="B1131">
        <v>70.7</v>
      </c>
      <c r="C1131" t="s">
        <v>5708</v>
      </c>
      <c r="D1131">
        <v>4</v>
      </c>
      <c r="E1131">
        <v>-0.59399999999999997</v>
      </c>
      <c r="F1131">
        <v>29.3</v>
      </c>
      <c r="G1131">
        <v>2021</v>
      </c>
      <c r="H1131" t="s">
        <v>928</v>
      </c>
      <c r="I1131" t="s">
        <v>6597</v>
      </c>
      <c r="L1131" t="s">
        <v>197</v>
      </c>
    </row>
    <row r="1132" spans="1:12" x14ac:dyDescent="0.4">
      <c r="A1132" t="s">
        <v>1967</v>
      </c>
      <c r="B1132">
        <v>81.099999999999994</v>
      </c>
      <c r="C1132" t="s">
        <v>197</v>
      </c>
      <c r="D1132">
        <v>5</v>
      </c>
    </row>
    <row r="1133" spans="1:12" x14ac:dyDescent="0.4">
      <c r="A1133" t="s">
        <v>1968</v>
      </c>
      <c r="B1133">
        <v>52</v>
      </c>
      <c r="C1133" t="s">
        <v>197</v>
      </c>
      <c r="D1133">
        <v>3</v>
      </c>
    </row>
    <row r="1134" spans="1:12" x14ac:dyDescent="0.4">
      <c r="A1134" t="s">
        <v>1969</v>
      </c>
      <c r="B1134">
        <v>81.7</v>
      </c>
      <c r="C1134" t="s">
        <v>197</v>
      </c>
      <c r="D1134">
        <v>5</v>
      </c>
    </row>
    <row r="1135" spans="1:12" x14ac:dyDescent="0.4">
      <c r="A1135" t="s">
        <v>1970</v>
      </c>
      <c r="B1135">
        <v>80.900000000000006</v>
      </c>
      <c r="C1135" t="s">
        <v>197</v>
      </c>
      <c r="D1135">
        <v>5</v>
      </c>
    </row>
    <row r="1136" spans="1:12" x14ac:dyDescent="0.4">
      <c r="A1136" t="s">
        <v>1971</v>
      </c>
      <c r="B1136">
        <v>93.1</v>
      </c>
      <c r="C1136" t="s">
        <v>197</v>
      </c>
      <c r="D1136">
        <v>5</v>
      </c>
    </row>
    <row r="1137" spans="1:11" x14ac:dyDescent="0.4">
      <c r="A1137" t="s">
        <v>2554</v>
      </c>
      <c r="B1137">
        <v>75.400000000000006</v>
      </c>
      <c r="C1137" t="s">
        <v>197</v>
      </c>
      <c r="D1137">
        <v>4</v>
      </c>
    </row>
    <row r="1138" spans="1:11" x14ac:dyDescent="0.4">
      <c r="A1138" t="s">
        <v>2555</v>
      </c>
      <c r="B1138">
        <v>86.6</v>
      </c>
      <c r="C1138" t="s">
        <v>197</v>
      </c>
      <c r="D1138">
        <v>5</v>
      </c>
    </row>
    <row r="1139" spans="1:11" x14ac:dyDescent="0.4">
      <c r="A1139" t="s">
        <v>7309</v>
      </c>
      <c r="B1139">
        <v>63.3</v>
      </c>
      <c r="C1139" t="s">
        <v>197</v>
      </c>
      <c r="D1139">
        <v>4</v>
      </c>
    </row>
    <row r="1140" spans="1:11" x14ac:dyDescent="0.4">
      <c r="A1140" t="s">
        <v>7310</v>
      </c>
      <c r="B1140">
        <v>85.5</v>
      </c>
      <c r="C1140" t="s">
        <v>197</v>
      </c>
      <c r="D1140">
        <v>5</v>
      </c>
    </row>
    <row r="1141" spans="1:11" x14ac:dyDescent="0.4">
      <c r="A1141" t="s">
        <v>7311</v>
      </c>
      <c r="B1141">
        <v>91.3</v>
      </c>
      <c r="C1141" t="s">
        <v>197</v>
      </c>
      <c r="D1141">
        <v>5</v>
      </c>
    </row>
    <row r="1142" spans="1:11" x14ac:dyDescent="0.4">
      <c r="A1142" t="s">
        <v>3217</v>
      </c>
      <c r="B1142">
        <v>100</v>
      </c>
      <c r="C1142" t="s">
        <v>1380</v>
      </c>
      <c r="D1142">
        <v>5</v>
      </c>
      <c r="E1142">
        <v>1.163</v>
      </c>
      <c r="F1142">
        <v>1</v>
      </c>
      <c r="G1142">
        <v>2024</v>
      </c>
      <c r="H1142" t="s">
        <v>928</v>
      </c>
      <c r="I1142" t="s">
        <v>6063</v>
      </c>
      <c r="J1142" t="s">
        <v>7934</v>
      </c>
      <c r="K1142" t="s">
        <v>7935</v>
      </c>
    </row>
    <row r="1143" spans="1:11" x14ac:dyDescent="0.4">
      <c r="A1143" t="s">
        <v>3215</v>
      </c>
      <c r="B1143">
        <v>0</v>
      </c>
      <c r="C1143" t="s">
        <v>6589</v>
      </c>
      <c r="D1143">
        <v>1</v>
      </c>
      <c r="E1143">
        <v>-0.84199999999999997</v>
      </c>
      <c r="F1143">
        <v>0</v>
      </c>
      <c r="G1143">
        <v>2024</v>
      </c>
      <c r="H1143" t="s">
        <v>928</v>
      </c>
      <c r="I1143" t="s">
        <v>6063</v>
      </c>
      <c r="J1143" t="s">
        <v>7936</v>
      </c>
      <c r="K1143" t="s">
        <v>9118</v>
      </c>
    </row>
    <row r="1144" spans="1:11" x14ac:dyDescent="0.4">
      <c r="A1144" t="s">
        <v>3221</v>
      </c>
      <c r="B1144">
        <v>0</v>
      </c>
      <c r="C1144" t="s">
        <v>6589</v>
      </c>
      <c r="D1144">
        <v>1</v>
      </c>
      <c r="E1144">
        <v>-0.84199999999999997</v>
      </c>
      <c r="F1144">
        <v>0</v>
      </c>
      <c r="G1144">
        <v>2024</v>
      </c>
      <c r="H1144" t="s">
        <v>928</v>
      </c>
      <c r="I1144" t="s">
        <v>6063</v>
      </c>
      <c r="J1144" t="s">
        <v>7937</v>
      </c>
      <c r="K1144" t="s">
        <v>9119</v>
      </c>
    </row>
    <row r="1145" spans="1:11" x14ac:dyDescent="0.4">
      <c r="A1145" t="s">
        <v>3245</v>
      </c>
      <c r="B1145">
        <v>0</v>
      </c>
      <c r="C1145" t="s">
        <v>6589</v>
      </c>
      <c r="D1145">
        <v>1</v>
      </c>
      <c r="E1145">
        <v>-0.84199999999999997</v>
      </c>
      <c r="F1145">
        <v>0</v>
      </c>
      <c r="G1145">
        <v>2024</v>
      </c>
      <c r="H1145" t="s">
        <v>928</v>
      </c>
      <c r="I1145" t="s">
        <v>6063</v>
      </c>
      <c r="J1145" t="s">
        <v>7938</v>
      </c>
      <c r="K1145" t="s">
        <v>9120</v>
      </c>
    </row>
    <row r="1146" spans="1:11" x14ac:dyDescent="0.4">
      <c r="A1146" t="s">
        <v>1972</v>
      </c>
      <c r="B1146">
        <v>0</v>
      </c>
      <c r="C1146" t="s">
        <v>6589</v>
      </c>
      <c r="D1146">
        <v>1</v>
      </c>
      <c r="E1146">
        <v>-0.84199999999999997</v>
      </c>
      <c r="F1146">
        <v>0</v>
      </c>
      <c r="G1146">
        <v>2024</v>
      </c>
      <c r="H1146" t="s">
        <v>928</v>
      </c>
      <c r="I1146" t="s">
        <v>6063</v>
      </c>
      <c r="J1146" t="s">
        <v>7939</v>
      </c>
      <c r="K1146" t="s">
        <v>7602</v>
      </c>
    </row>
    <row r="1147" spans="1:11" x14ac:dyDescent="0.4">
      <c r="A1147" t="s">
        <v>3241</v>
      </c>
      <c r="B1147">
        <v>0</v>
      </c>
      <c r="C1147" t="s">
        <v>6589</v>
      </c>
      <c r="D1147">
        <v>1</v>
      </c>
      <c r="E1147">
        <v>-0.84199999999999997</v>
      </c>
      <c r="F1147">
        <v>0</v>
      </c>
      <c r="G1147">
        <v>2024</v>
      </c>
      <c r="H1147" t="s">
        <v>928</v>
      </c>
      <c r="I1147" t="s">
        <v>6063</v>
      </c>
      <c r="J1147" t="s">
        <v>6789</v>
      </c>
      <c r="K1147" t="s">
        <v>6790</v>
      </c>
    </row>
    <row r="1148" spans="1:11" x14ac:dyDescent="0.4">
      <c r="A1148" t="s">
        <v>3225</v>
      </c>
      <c r="B1148">
        <v>0</v>
      </c>
      <c r="C1148" t="s">
        <v>6589</v>
      </c>
      <c r="D1148">
        <v>1</v>
      </c>
      <c r="E1148">
        <v>-0.84199999999999997</v>
      </c>
      <c r="F1148">
        <v>0</v>
      </c>
      <c r="G1148">
        <v>2024</v>
      </c>
      <c r="H1148" t="s">
        <v>928</v>
      </c>
      <c r="I1148" t="s">
        <v>6063</v>
      </c>
      <c r="J1148" t="s">
        <v>7940</v>
      </c>
      <c r="K1148" t="s">
        <v>9121</v>
      </c>
    </row>
    <row r="1149" spans="1:11" x14ac:dyDescent="0.4">
      <c r="A1149" t="s">
        <v>3219</v>
      </c>
      <c r="B1149">
        <v>100</v>
      </c>
      <c r="C1149" t="s">
        <v>1380</v>
      </c>
      <c r="D1149">
        <v>5</v>
      </c>
      <c r="E1149">
        <v>1.163</v>
      </c>
      <c r="F1149">
        <v>1</v>
      </c>
      <c r="G1149">
        <v>2024</v>
      </c>
      <c r="H1149" t="s">
        <v>928</v>
      </c>
      <c r="I1149" t="s">
        <v>6063</v>
      </c>
      <c r="J1149" t="s">
        <v>7941</v>
      </c>
      <c r="K1149" t="s">
        <v>7942</v>
      </c>
    </row>
    <row r="1150" spans="1:11" x14ac:dyDescent="0.4">
      <c r="A1150" t="s">
        <v>3231</v>
      </c>
      <c r="B1150">
        <v>0</v>
      </c>
      <c r="C1150" t="s">
        <v>6589</v>
      </c>
      <c r="D1150">
        <v>1</v>
      </c>
      <c r="E1150">
        <v>-0.84199999999999997</v>
      </c>
      <c r="F1150">
        <v>0</v>
      </c>
      <c r="G1150">
        <v>2024</v>
      </c>
      <c r="H1150" t="s">
        <v>928</v>
      </c>
      <c r="I1150" t="s">
        <v>6063</v>
      </c>
      <c r="J1150" t="s">
        <v>7943</v>
      </c>
      <c r="K1150" t="s">
        <v>9122</v>
      </c>
    </row>
    <row r="1151" spans="1:11" x14ac:dyDescent="0.4">
      <c r="A1151" t="s">
        <v>3223</v>
      </c>
      <c r="B1151">
        <v>0</v>
      </c>
      <c r="C1151" t="s">
        <v>6589</v>
      </c>
      <c r="D1151">
        <v>1</v>
      </c>
      <c r="E1151">
        <v>-0.84199999999999997</v>
      </c>
      <c r="F1151">
        <v>0</v>
      </c>
      <c r="G1151">
        <v>2024</v>
      </c>
      <c r="H1151" t="s">
        <v>928</v>
      </c>
      <c r="I1151" t="s">
        <v>6063</v>
      </c>
      <c r="J1151" t="s">
        <v>7944</v>
      </c>
      <c r="K1151" t="s">
        <v>9123</v>
      </c>
    </row>
    <row r="1152" spans="1:11" x14ac:dyDescent="0.4">
      <c r="A1152" t="s">
        <v>5967</v>
      </c>
      <c r="B1152">
        <v>0</v>
      </c>
      <c r="C1152" t="s">
        <v>6589</v>
      </c>
      <c r="D1152">
        <v>1</v>
      </c>
      <c r="E1152">
        <v>-0.84199999999999997</v>
      </c>
      <c r="F1152">
        <v>0</v>
      </c>
      <c r="G1152">
        <v>2024</v>
      </c>
      <c r="H1152" t="s">
        <v>928</v>
      </c>
      <c r="I1152" t="s">
        <v>6063</v>
      </c>
      <c r="J1152" t="s">
        <v>7945</v>
      </c>
      <c r="K1152" t="s">
        <v>9124</v>
      </c>
    </row>
    <row r="1153" spans="1:11" x14ac:dyDescent="0.4">
      <c r="A1153" t="s">
        <v>3237</v>
      </c>
      <c r="B1153">
        <v>0</v>
      </c>
      <c r="C1153" t="s">
        <v>6589</v>
      </c>
      <c r="D1153">
        <v>1</v>
      </c>
      <c r="E1153">
        <v>-0.84199999999999997</v>
      </c>
      <c r="F1153">
        <v>0</v>
      </c>
      <c r="G1153">
        <v>2024</v>
      </c>
      <c r="H1153" t="s">
        <v>928</v>
      </c>
      <c r="I1153" t="s">
        <v>6063</v>
      </c>
      <c r="J1153" t="s">
        <v>7946</v>
      </c>
      <c r="K1153" t="s">
        <v>9125</v>
      </c>
    </row>
    <row r="1154" spans="1:11" x14ac:dyDescent="0.4">
      <c r="A1154" t="s">
        <v>1973</v>
      </c>
      <c r="B1154">
        <v>100</v>
      </c>
      <c r="C1154" t="s">
        <v>1380</v>
      </c>
      <c r="D1154">
        <v>5</v>
      </c>
      <c r="E1154">
        <v>1.163</v>
      </c>
      <c r="F1154">
        <v>1</v>
      </c>
      <c r="G1154">
        <v>2024</v>
      </c>
      <c r="H1154" t="s">
        <v>928</v>
      </c>
      <c r="I1154" t="s">
        <v>6063</v>
      </c>
      <c r="J1154" t="s">
        <v>7947</v>
      </c>
      <c r="K1154" t="s">
        <v>7948</v>
      </c>
    </row>
    <row r="1155" spans="1:11" x14ac:dyDescent="0.4">
      <c r="A1155" t="s">
        <v>1982</v>
      </c>
      <c r="B1155">
        <v>0</v>
      </c>
      <c r="C1155" t="s">
        <v>6589</v>
      </c>
      <c r="D1155">
        <v>1</v>
      </c>
      <c r="E1155">
        <v>-0.84199999999999997</v>
      </c>
      <c r="F1155">
        <v>0</v>
      </c>
      <c r="G1155">
        <v>2024</v>
      </c>
      <c r="H1155" t="s">
        <v>928</v>
      </c>
      <c r="I1155" t="s">
        <v>6063</v>
      </c>
      <c r="J1155" t="s">
        <v>7949</v>
      </c>
      <c r="K1155" t="s">
        <v>9126</v>
      </c>
    </row>
    <row r="1156" spans="1:11" x14ac:dyDescent="0.4">
      <c r="A1156" t="s">
        <v>3230</v>
      </c>
      <c r="B1156">
        <v>0</v>
      </c>
      <c r="C1156" t="s">
        <v>6589</v>
      </c>
      <c r="D1156">
        <v>1</v>
      </c>
      <c r="E1156">
        <v>-0.84199999999999997</v>
      </c>
      <c r="F1156">
        <v>0</v>
      </c>
      <c r="G1156">
        <v>2024</v>
      </c>
      <c r="H1156" t="s">
        <v>928</v>
      </c>
      <c r="I1156" t="s">
        <v>6063</v>
      </c>
      <c r="J1156" t="s">
        <v>7950</v>
      </c>
      <c r="K1156" t="s">
        <v>9127</v>
      </c>
    </row>
    <row r="1157" spans="1:11" x14ac:dyDescent="0.4">
      <c r="A1157" t="s">
        <v>3244</v>
      </c>
      <c r="B1157">
        <v>0</v>
      </c>
      <c r="C1157" t="s">
        <v>6589</v>
      </c>
      <c r="D1157">
        <v>1</v>
      </c>
      <c r="E1157">
        <v>-0.84199999999999997</v>
      </c>
      <c r="F1157">
        <v>0</v>
      </c>
      <c r="G1157">
        <v>2024</v>
      </c>
      <c r="H1157" t="s">
        <v>928</v>
      </c>
      <c r="I1157" t="s">
        <v>6063</v>
      </c>
      <c r="J1157" t="s">
        <v>7951</v>
      </c>
      <c r="K1157" t="s">
        <v>9128</v>
      </c>
    </row>
    <row r="1158" spans="1:11" x14ac:dyDescent="0.4">
      <c r="A1158" t="s">
        <v>1974</v>
      </c>
      <c r="B1158">
        <v>0</v>
      </c>
      <c r="C1158" t="s">
        <v>6589</v>
      </c>
      <c r="D1158">
        <v>1</v>
      </c>
      <c r="E1158">
        <v>-0.84199999999999997</v>
      </c>
      <c r="F1158">
        <v>0</v>
      </c>
      <c r="G1158">
        <v>2024</v>
      </c>
      <c r="H1158" t="s">
        <v>928</v>
      </c>
      <c r="I1158" t="s">
        <v>6063</v>
      </c>
      <c r="J1158" t="s">
        <v>7952</v>
      </c>
      <c r="K1158" t="s">
        <v>9129</v>
      </c>
    </row>
    <row r="1159" spans="1:11" x14ac:dyDescent="0.4">
      <c r="A1159" t="s">
        <v>1981</v>
      </c>
      <c r="B1159">
        <v>0</v>
      </c>
      <c r="C1159" t="s">
        <v>6589</v>
      </c>
      <c r="D1159">
        <v>1</v>
      </c>
      <c r="E1159">
        <v>-0.84199999999999997</v>
      </c>
      <c r="F1159">
        <v>0</v>
      </c>
      <c r="G1159">
        <v>2024</v>
      </c>
      <c r="H1159" t="s">
        <v>928</v>
      </c>
      <c r="I1159" t="s">
        <v>6063</v>
      </c>
      <c r="J1159" t="s">
        <v>7953</v>
      </c>
      <c r="K1159" t="s">
        <v>9130</v>
      </c>
    </row>
    <row r="1160" spans="1:11" x14ac:dyDescent="0.4">
      <c r="A1160" t="s">
        <v>1975</v>
      </c>
      <c r="B1160">
        <v>100</v>
      </c>
      <c r="C1160" t="s">
        <v>1380</v>
      </c>
      <c r="D1160">
        <v>5</v>
      </c>
      <c r="E1160">
        <v>1.163</v>
      </c>
      <c r="F1160">
        <v>1</v>
      </c>
      <c r="G1160">
        <v>2024</v>
      </c>
      <c r="H1160" t="s">
        <v>928</v>
      </c>
      <c r="I1160" t="s">
        <v>6063</v>
      </c>
      <c r="J1160" t="s">
        <v>7954</v>
      </c>
      <c r="K1160" t="s">
        <v>7955</v>
      </c>
    </row>
    <row r="1161" spans="1:11" x14ac:dyDescent="0.4">
      <c r="A1161" t="s">
        <v>3214</v>
      </c>
      <c r="B1161">
        <v>100</v>
      </c>
      <c r="C1161" t="s">
        <v>1380</v>
      </c>
      <c r="D1161">
        <v>5</v>
      </c>
      <c r="E1161">
        <v>1.163</v>
      </c>
      <c r="F1161">
        <v>1</v>
      </c>
      <c r="G1161">
        <v>2024</v>
      </c>
      <c r="H1161" t="s">
        <v>928</v>
      </c>
      <c r="I1161" t="s">
        <v>6063</v>
      </c>
      <c r="J1161" t="s">
        <v>7956</v>
      </c>
      <c r="K1161" t="s">
        <v>6791</v>
      </c>
    </row>
    <row r="1162" spans="1:11" x14ac:dyDescent="0.4">
      <c r="A1162" t="s">
        <v>3234</v>
      </c>
      <c r="B1162">
        <v>100</v>
      </c>
      <c r="C1162" t="s">
        <v>1380</v>
      </c>
      <c r="D1162">
        <v>5</v>
      </c>
      <c r="E1162">
        <v>1.163</v>
      </c>
      <c r="F1162">
        <v>1</v>
      </c>
      <c r="G1162">
        <v>2024</v>
      </c>
      <c r="H1162" t="s">
        <v>928</v>
      </c>
      <c r="I1162" t="s">
        <v>6063</v>
      </c>
      <c r="J1162" t="s">
        <v>7957</v>
      </c>
      <c r="K1162" t="s">
        <v>7958</v>
      </c>
    </row>
    <row r="1163" spans="1:11" x14ac:dyDescent="0.4">
      <c r="A1163" t="s">
        <v>3238</v>
      </c>
      <c r="B1163">
        <v>0</v>
      </c>
      <c r="C1163" t="s">
        <v>6589</v>
      </c>
      <c r="D1163">
        <v>1</v>
      </c>
      <c r="E1163">
        <v>-0.84199999999999997</v>
      </c>
      <c r="F1163">
        <v>0</v>
      </c>
      <c r="G1163">
        <v>2024</v>
      </c>
      <c r="H1163" t="s">
        <v>928</v>
      </c>
      <c r="I1163" t="s">
        <v>6063</v>
      </c>
      <c r="J1163" t="s">
        <v>7959</v>
      </c>
      <c r="K1163" t="s">
        <v>9131</v>
      </c>
    </row>
    <row r="1164" spans="1:11" x14ac:dyDescent="0.4">
      <c r="A1164" t="s">
        <v>3236</v>
      </c>
      <c r="B1164">
        <v>0</v>
      </c>
      <c r="C1164" t="s">
        <v>6589</v>
      </c>
      <c r="D1164">
        <v>1</v>
      </c>
      <c r="E1164">
        <v>-0.84199999999999997</v>
      </c>
      <c r="F1164">
        <v>0</v>
      </c>
      <c r="G1164">
        <v>2024</v>
      </c>
      <c r="H1164" t="s">
        <v>928</v>
      </c>
      <c r="I1164" t="s">
        <v>6063</v>
      </c>
      <c r="J1164" t="s">
        <v>7960</v>
      </c>
      <c r="K1164" t="s">
        <v>9132</v>
      </c>
    </row>
    <row r="1165" spans="1:11" x14ac:dyDescent="0.4">
      <c r="A1165" t="s">
        <v>3224</v>
      </c>
      <c r="B1165">
        <v>0</v>
      </c>
      <c r="C1165" t="s">
        <v>6589</v>
      </c>
      <c r="D1165">
        <v>1</v>
      </c>
      <c r="E1165">
        <v>-0.84199999999999997</v>
      </c>
      <c r="F1165">
        <v>0</v>
      </c>
      <c r="G1165">
        <v>2024</v>
      </c>
      <c r="H1165" t="s">
        <v>928</v>
      </c>
      <c r="I1165" t="s">
        <v>6063</v>
      </c>
      <c r="J1165" t="s">
        <v>7961</v>
      </c>
      <c r="K1165" t="s">
        <v>9133</v>
      </c>
    </row>
    <row r="1166" spans="1:11" x14ac:dyDescent="0.4">
      <c r="A1166" t="s">
        <v>3213</v>
      </c>
      <c r="B1166">
        <v>100</v>
      </c>
      <c r="C1166" t="s">
        <v>1380</v>
      </c>
      <c r="D1166">
        <v>5</v>
      </c>
      <c r="E1166">
        <v>1.163</v>
      </c>
      <c r="F1166">
        <v>1</v>
      </c>
      <c r="G1166">
        <v>2024</v>
      </c>
      <c r="H1166" t="s">
        <v>928</v>
      </c>
      <c r="I1166" t="s">
        <v>6063</v>
      </c>
      <c r="J1166" t="s">
        <v>7962</v>
      </c>
      <c r="K1166" t="s">
        <v>7963</v>
      </c>
    </row>
    <row r="1167" spans="1:11" x14ac:dyDescent="0.4">
      <c r="A1167" t="s">
        <v>3227</v>
      </c>
      <c r="B1167">
        <v>100</v>
      </c>
      <c r="C1167" t="s">
        <v>1380</v>
      </c>
      <c r="D1167">
        <v>5</v>
      </c>
      <c r="E1167">
        <v>1.163</v>
      </c>
      <c r="F1167">
        <v>1</v>
      </c>
      <c r="G1167">
        <v>2024</v>
      </c>
      <c r="H1167" t="s">
        <v>928</v>
      </c>
      <c r="I1167" t="s">
        <v>6063</v>
      </c>
      <c r="J1167" t="s">
        <v>7964</v>
      </c>
      <c r="K1167" t="s">
        <v>9134</v>
      </c>
    </row>
    <row r="1168" spans="1:11" x14ac:dyDescent="0.4">
      <c r="A1168" t="s">
        <v>3228</v>
      </c>
      <c r="B1168">
        <v>100</v>
      </c>
      <c r="C1168" t="s">
        <v>1380</v>
      </c>
      <c r="D1168">
        <v>5</v>
      </c>
      <c r="E1168">
        <v>1.163</v>
      </c>
      <c r="F1168">
        <v>1</v>
      </c>
      <c r="G1168">
        <v>2024</v>
      </c>
      <c r="H1168" t="s">
        <v>928</v>
      </c>
      <c r="I1168" t="s">
        <v>6063</v>
      </c>
      <c r="J1168" t="s">
        <v>7965</v>
      </c>
      <c r="K1168" t="s">
        <v>6792</v>
      </c>
    </row>
    <row r="1169" spans="1:11" x14ac:dyDescent="0.4">
      <c r="A1169" t="s">
        <v>3246</v>
      </c>
      <c r="B1169">
        <v>100</v>
      </c>
      <c r="C1169" t="s">
        <v>1380</v>
      </c>
      <c r="D1169">
        <v>5</v>
      </c>
      <c r="E1169">
        <v>1.163</v>
      </c>
      <c r="F1169">
        <v>1</v>
      </c>
      <c r="G1169">
        <v>2024</v>
      </c>
      <c r="H1169" t="s">
        <v>928</v>
      </c>
      <c r="I1169" t="s">
        <v>6063</v>
      </c>
      <c r="J1169" t="s">
        <v>7966</v>
      </c>
      <c r="K1169" t="s">
        <v>9135</v>
      </c>
    </row>
    <row r="1170" spans="1:11" x14ac:dyDescent="0.4">
      <c r="A1170" t="s">
        <v>1976</v>
      </c>
      <c r="B1170">
        <v>100</v>
      </c>
      <c r="C1170" t="s">
        <v>1380</v>
      </c>
      <c r="D1170">
        <v>5</v>
      </c>
      <c r="E1170">
        <v>1.163</v>
      </c>
      <c r="F1170">
        <v>1</v>
      </c>
      <c r="G1170">
        <v>2024</v>
      </c>
      <c r="H1170" t="s">
        <v>928</v>
      </c>
      <c r="I1170" t="s">
        <v>6063</v>
      </c>
      <c r="J1170" t="s">
        <v>7967</v>
      </c>
      <c r="K1170" t="s">
        <v>6793</v>
      </c>
    </row>
    <row r="1171" spans="1:11" x14ac:dyDescent="0.4">
      <c r="A1171" t="s">
        <v>1980</v>
      </c>
      <c r="B1171">
        <v>100</v>
      </c>
      <c r="C1171" t="s">
        <v>1380</v>
      </c>
      <c r="D1171">
        <v>5</v>
      </c>
      <c r="E1171">
        <v>1.163</v>
      </c>
      <c r="F1171">
        <v>1</v>
      </c>
      <c r="G1171">
        <v>2024</v>
      </c>
      <c r="H1171" t="s">
        <v>928</v>
      </c>
      <c r="I1171" t="s">
        <v>6063</v>
      </c>
      <c r="J1171" t="s">
        <v>7968</v>
      </c>
      <c r="K1171" t="s">
        <v>7969</v>
      </c>
    </row>
    <row r="1172" spans="1:11" x14ac:dyDescent="0.4">
      <c r="A1172" t="s">
        <v>3229</v>
      </c>
      <c r="B1172">
        <v>0</v>
      </c>
      <c r="C1172" t="s">
        <v>6589</v>
      </c>
      <c r="D1172">
        <v>1</v>
      </c>
      <c r="E1172">
        <v>-0.84199999999999997</v>
      </c>
      <c r="F1172">
        <v>0</v>
      </c>
      <c r="G1172">
        <v>2024</v>
      </c>
      <c r="H1172" t="s">
        <v>928</v>
      </c>
      <c r="I1172" t="s">
        <v>6063</v>
      </c>
      <c r="J1172" t="s">
        <v>7970</v>
      </c>
      <c r="K1172" t="s">
        <v>9136</v>
      </c>
    </row>
    <row r="1173" spans="1:11" x14ac:dyDescent="0.4">
      <c r="A1173" t="s">
        <v>3235</v>
      </c>
      <c r="B1173">
        <v>0</v>
      </c>
      <c r="C1173" t="s">
        <v>6589</v>
      </c>
      <c r="D1173">
        <v>1</v>
      </c>
      <c r="E1173">
        <v>-0.84199999999999997</v>
      </c>
      <c r="F1173">
        <v>0</v>
      </c>
      <c r="G1173">
        <v>2024</v>
      </c>
      <c r="H1173" t="s">
        <v>928</v>
      </c>
      <c r="I1173" t="s">
        <v>6063</v>
      </c>
      <c r="J1173" t="s">
        <v>7971</v>
      </c>
      <c r="K1173" t="s">
        <v>9137</v>
      </c>
    </row>
    <row r="1174" spans="1:11" x14ac:dyDescent="0.4">
      <c r="A1174" t="s">
        <v>3216</v>
      </c>
      <c r="B1174">
        <v>0</v>
      </c>
      <c r="C1174" t="s">
        <v>6589</v>
      </c>
      <c r="D1174">
        <v>1</v>
      </c>
      <c r="E1174">
        <v>-0.84199999999999997</v>
      </c>
      <c r="F1174">
        <v>0</v>
      </c>
      <c r="G1174">
        <v>2024</v>
      </c>
      <c r="H1174" t="s">
        <v>928</v>
      </c>
      <c r="I1174" t="s">
        <v>6063</v>
      </c>
      <c r="J1174" t="s">
        <v>7972</v>
      </c>
      <c r="K1174" t="s">
        <v>9138</v>
      </c>
    </row>
    <row r="1175" spans="1:11" x14ac:dyDescent="0.4">
      <c r="A1175" t="s">
        <v>5809</v>
      </c>
      <c r="B1175">
        <v>100</v>
      </c>
      <c r="C1175" t="s">
        <v>1380</v>
      </c>
      <c r="D1175">
        <v>5</v>
      </c>
      <c r="E1175">
        <v>1.163</v>
      </c>
      <c r="F1175">
        <v>1</v>
      </c>
      <c r="G1175">
        <v>2024</v>
      </c>
      <c r="H1175" t="s">
        <v>928</v>
      </c>
      <c r="I1175" t="s">
        <v>6063</v>
      </c>
      <c r="J1175" t="s">
        <v>7973</v>
      </c>
      <c r="K1175" t="s">
        <v>7974</v>
      </c>
    </row>
    <row r="1176" spans="1:11" x14ac:dyDescent="0.4">
      <c r="A1176" t="s">
        <v>3239</v>
      </c>
      <c r="B1176">
        <v>0</v>
      </c>
      <c r="C1176" t="s">
        <v>6589</v>
      </c>
      <c r="D1176">
        <v>1</v>
      </c>
      <c r="E1176">
        <v>-0.84199999999999997</v>
      </c>
      <c r="F1176">
        <v>0</v>
      </c>
      <c r="G1176">
        <v>2024</v>
      </c>
      <c r="H1176" t="s">
        <v>928</v>
      </c>
      <c r="I1176" t="s">
        <v>6063</v>
      </c>
      <c r="J1176" t="s">
        <v>7975</v>
      </c>
      <c r="K1176" t="s">
        <v>9139</v>
      </c>
    </row>
    <row r="1177" spans="1:11" x14ac:dyDescent="0.4">
      <c r="A1177" t="s">
        <v>5810</v>
      </c>
      <c r="B1177">
        <v>100</v>
      </c>
      <c r="C1177" t="s">
        <v>1380</v>
      </c>
      <c r="D1177">
        <v>5</v>
      </c>
      <c r="E1177">
        <v>1.163</v>
      </c>
      <c r="F1177">
        <v>1</v>
      </c>
      <c r="G1177">
        <v>2024</v>
      </c>
      <c r="H1177" t="s">
        <v>928</v>
      </c>
      <c r="I1177" t="s">
        <v>6063</v>
      </c>
      <c r="J1177" t="s">
        <v>7976</v>
      </c>
      <c r="K1177" t="s">
        <v>9140</v>
      </c>
    </row>
    <row r="1178" spans="1:11" x14ac:dyDescent="0.4">
      <c r="A1178" t="s">
        <v>3247</v>
      </c>
      <c r="B1178">
        <v>100</v>
      </c>
      <c r="C1178" t="s">
        <v>1380</v>
      </c>
      <c r="D1178">
        <v>5</v>
      </c>
      <c r="E1178">
        <v>1.163</v>
      </c>
      <c r="F1178">
        <v>1</v>
      </c>
      <c r="G1178">
        <v>2024</v>
      </c>
      <c r="H1178" t="s">
        <v>928</v>
      </c>
      <c r="I1178" t="s">
        <v>6063</v>
      </c>
      <c r="J1178" t="s">
        <v>7977</v>
      </c>
      <c r="K1178" t="s">
        <v>9141</v>
      </c>
    </row>
    <row r="1179" spans="1:11" x14ac:dyDescent="0.4">
      <c r="A1179" t="s">
        <v>3222</v>
      </c>
      <c r="B1179">
        <v>0</v>
      </c>
      <c r="C1179" t="s">
        <v>6589</v>
      </c>
      <c r="D1179">
        <v>1</v>
      </c>
      <c r="E1179">
        <v>-0.84199999999999997</v>
      </c>
      <c r="F1179">
        <v>0</v>
      </c>
      <c r="G1179">
        <v>2024</v>
      </c>
      <c r="H1179" t="s">
        <v>928</v>
      </c>
      <c r="I1179" t="s">
        <v>6063</v>
      </c>
      <c r="J1179" t="s">
        <v>7978</v>
      </c>
      <c r="K1179" t="s">
        <v>9142</v>
      </c>
    </row>
    <row r="1180" spans="1:11" x14ac:dyDescent="0.4">
      <c r="A1180" t="s">
        <v>3226</v>
      </c>
      <c r="B1180">
        <v>100</v>
      </c>
      <c r="C1180" t="s">
        <v>1380</v>
      </c>
      <c r="D1180">
        <v>5</v>
      </c>
      <c r="E1180">
        <v>1.163</v>
      </c>
      <c r="F1180">
        <v>1</v>
      </c>
      <c r="G1180">
        <v>2024</v>
      </c>
      <c r="H1180" t="s">
        <v>928</v>
      </c>
      <c r="I1180" t="s">
        <v>6063</v>
      </c>
      <c r="J1180" t="s">
        <v>7979</v>
      </c>
      <c r="K1180" t="s">
        <v>9143</v>
      </c>
    </row>
    <row r="1181" spans="1:11" x14ac:dyDescent="0.4">
      <c r="A1181" t="s">
        <v>3220</v>
      </c>
      <c r="B1181">
        <v>100</v>
      </c>
      <c r="C1181" t="s">
        <v>1380</v>
      </c>
      <c r="D1181">
        <v>5</v>
      </c>
      <c r="E1181">
        <v>1.163</v>
      </c>
      <c r="F1181">
        <v>1</v>
      </c>
      <c r="G1181">
        <v>2024</v>
      </c>
      <c r="H1181" t="s">
        <v>928</v>
      </c>
      <c r="I1181" t="s">
        <v>6063</v>
      </c>
      <c r="J1181" t="s">
        <v>7980</v>
      </c>
      <c r="K1181" t="s">
        <v>9144</v>
      </c>
    </row>
    <row r="1182" spans="1:11" x14ac:dyDescent="0.4">
      <c r="A1182" t="s">
        <v>5811</v>
      </c>
      <c r="B1182">
        <v>100</v>
      </c>
      <c r="C1182" t="s">
        <v>1380</v>
      </c>
      <c r="D1182">
        <v>5</v>
      </c>
      <c r="E1182">
        <v>1.163</v>
      </c>
      <c r="F1182">
        <v>1</v>
      </c>
      <c r="G1182">
        <v>2024</v>
      </c>
      <c r="H1182" t="s">
        <v>928</v>
      </c>
      <c r="I1182" t="s">
        <v>6063</v>
      </c>
      <c r="J1182" t="s">
        <v>7981</v>
      </c>
      <c r="K1182" t="s">
        <v>7982</v>
      </c>
    </row>
    <row r="1183" spans="1:11" x14ac:dyDescent="0.4">
      <c r="A1183" t="s">
        <v>3240</v>
      </c>
      <c r="B1183">
        <v>0</v>
      </c>
      <c r="C1183" t="s">
        <v>6589</v>
      </c>
      <c r="D1183">
        <v>1</v>
      </c>
      <c r="E1183">
        <v>-0.84199999999999997</v>
      </c>
      <c r="F1183">
        <v>0</v>
      </c>
      <c r="G1183">
        <v>2024</v>
      </c>
      <c r="H1183" t="s">
        <v>928</v>
      </c>
      <c r="I1183" t="s">
        <v>6063</v>
      </c>
      <c r="J1183" t="s">
        <v>7983</v>
      </c>
      <c r="K1183" t="s">
        <v>6794</v>
      </c>
    </row>
    <row r="1184" spans="1:11" x14ac:dyDescent="0.4">
      <c r="A1184" t="s">
        <v>1977</v>
      </c>
      <c r="B1184">
        <v>0</v>
      </c>
      <c r="C1184" t="s">
        <v>6589</v>
      </c>
      <c r="D1184">
        <v>1</v>
      </c>
      <c r="E1184">
        <v>-0.84199999999999997</v>
      </c>
      <c r="F1184">
        <v>0</v>
      </c>
      <c r="G1184">
        <v>2024</v>
      </c>
      <c r="H1184" t="s">
        <v>928</v>
      </c>
      <c r="I1184" t="s">
        <v>6063</v>
      </c>
      <c r="J1184" t="s">
        <v>7984</v>
      </c>
      <c r="K1184" t="s">
        <v>9145</v>
      </c>
    </row>
    <row r="1185" spans="1:11" x14ac:dyDescent="0.4">
      <c r="A1185" t="s">
        <v>1978</v>
      </c>
      <c r="B1185">
        <v>100</v>
      </c>
      <c r="C1185" t="s">
        <v>1380</v>
      </c>
      <c r="D1185">
        <v>5</v>
      </c>
      <c r="E1185">
        <v>1.163</v>
      </c>
      <c r="F1185">
        <v>1</v>
      </c>
      <c r="G1185">
        <v>2024</v>
      </c>
      <c r="H1185" t="s">
        <v>928</v>
      </c>
      <c r="I1185" t="s">
        <v>6063</v>
      </c>
      <c r="J1185" t="s">
        <v>7985</v>
      </c>
      <c r="K1185" t="s">
        <v>9146</v>
      </c>
    </row>
    <row r="1186" spans="1:11" x14ac:dyDescent="0.4">
      <c r="A1186" t="s">
        <v>3243</v>
      </c>
      <c r="B1186">
        <v>0</v>
      </c>
      <c r="C1186" t="s">
        <v>6589</v>
      </c>
      <c r="D1186">
        <v>1</v>
      </c>
      <c r="E1186">
        <v>-0.84199999999999997</v>
      </c>
      <c r="F1186">
        <v>0</v>
      </c>
      <c r="G1186">
        <v>2024</v>
      </c>
      <c r="H1186" t="s">
        <v>928</v>
      </c>
      <c r="I1186" t="s">
        <v>6063</v>
      </c>
      <c r="J1186" t="s">
        <v>7986</v>
      </c>
      <c r="K1186" t="s">
        <v>9147</v>
      </c>
    </row>
    <row r="1187" spans="1:11" x14ac:dyDescent="0.4">
      <c r="A1187" t="s">
        <v>1979</v>
      </c>
      <c r="B1187">
        <v>0</v>
      </c>
      <c r="C1187" t="s">
        <v>6589</v>
      </c>
      <c r="D1187">
        <v>1</v>
      </c>
      <c r="E1187">
        <v>-0.84199999999999997</v>
      </c>
      <c r="F1187">
        <v>0</v>
      </c>
      <c r="G1187">
        <v>2024</v>
      </c>
      <c r="H1187" t="s">
        <v>928</v>
      </c>
      <c r="I1187" t="s">
        <v>6063</v>
      </c>
      <c r="J1187" t="s">
        <v>7987</v>
      </c>
      <c r="K1187" t="s">
        <v>9148</v>
      </c>
    </row>
    <row r="1188" spans="1:11" x14ac:dyDescent="0.4">
      <c r="A1188" t="s">
        <v>3218</v>
      </c>
      <c r="B1188">
        <v>100</v>
      </c>
      <c r="C1188" t="s">
        <v>1380</v>
      </c>
      <c r="D1188">
        <v>5</v>
      </c>
      <c r="E1188">
        <v>1.163</v>
      </c>
      <c r="F1188">
        <v>1</v>
      </c>
      <c r="G1188">
        <v>2024</v>
      </c>
      <c r="H1188" t="s">
        <v>928</v>
      </c>
      <c r="I1188" t="s">
        <v>6063</v>
      </c>
      <c r="J1188" t="s">
        <v>7988</v>
      </c>
      <c r="K1188" t="s">
        <v>7989</v>
      </c>
    </row>
    <row r="1189" spans="1:11" x14ac:dyDescent="0.4">
      <c r="A1189" t="s">
        <v>3232</v>
      </c>
      <c r="B1189">
        <v>0</v>
      </c>
      <c r="C1189" t="s">
        <v>6589</v>
      </c>
      <c r="D1189">
        <v>1</v>
      </c>
      <c r="E1189">
        <v>-0.84199999999999997</v>
      </c>
      <c r="F1189">
        <v>0</v>
      </c>
      <c r="G1189">
        <v>2024</v>
      </c>
      <c r="H1189" t="s">
        <v>928</v>
      </c>
      <c r="I1189" t="s">
        <v>6063</v>
      </c>
      <c r="J1189" t="s">
        <v>7990</v>
      </c>
      <c r="K1189" t="s">
        <v>9149</v>
      </c>
    </row>
    <row r="1190" spans="1:11" x14ac:dyDescent="0.4">
      <c r="A1190" t="s">
        <v>3242</v>
      </c>
      <c r="B1190">
        <v>0</v>
      </c>
      <c r="C1190" t="s">
        <v>6589</v>
      </c>
      <c r="D1190">
        <v>1</v>
      </c>
      <c r="E1190">
        <v>-0.84199999999999997</v>
      </c>
      <c r="F1190">
        <v>0</v>
      </c>
      <c r="G1190">
        <v>2024</v>
      </c>
      <c r="H1190" t="s">
        <v>928</v>
      </c>
      <c r="I1190" t="s">
        <v>6063</v>
      </c>
      <c r="J1190" t="s">
        <v>7991</v>
      </c>
      <c r="K1190" t="s">
        <v>9150</v>
      </c>
    </row>
    <row r="1191" spans="1:11" x14ac:dyDescent="0.4">
      <c r="A1191" t="s">
        <v>3233</v>
      </c>
      <c r="B1191">
        <v>100</v>
      </c>
      <c r="C1191" t="s">
        <v>1380</v>
      </c>
      <c r="D1191">
        <v>5</v>
      </c>
      <c r="E1191">
        <v>1.163</v>
      </c>
      <c r="F1191">
        <v>1</v>
      </c>
      <c r="G1191">
        <v>2024</v>
      </c>
      <c r="H1191" t="s">
        <v>928</v>
      </c>
      <c r="I1191" t="s">
        <v>6063</v>
      </c>
      <c r="J1191" t="s">
        <v>7992</v>
      </c>
      <c r="K1191" t="s">
        <v>9151</v>
      </c>
    </row>
    <row r="1192" spans="1:11" x14ac:dyDescent="0.4">
      <c r="A1192" t="s">
        <v>1983</v>
      </c>
      <c r="B1192">
        <v>42</v>
      </c>
      <c r="C1192" t="s">
        <v>197</v>
      </c>
      <c r="D1192">
        <v>3</v>
      </c>
    </row>
    <row r="1193" spans="1:11" x14ac:dyDescent="0.4">
      <c r="A1193" t="s">
        <v>1984</v>
      </c>
      <c r="B1193">
        <v>60</v>
      </c>
      <c r="C1193" t="s">
        <v>197</v>
      </c>
      <c r="D1193">
        <v>4</v>
      </c>
    </row>
    <row r="1194" spans="1:11" x14ac:dyDescent="0.4">
      <c r="A1194" t="s">
        <v>1985</v>
      </c>
      <c r="B1194">
        <v>85.7</v>
      </c>
      <c r="C1194" t="s">
        <v>197</v>
      </c>
      <c r="D1194">
        <v>5</v>
      </c>
    </row>
    <row r="1195" spans="1:11" x14ac:dyDescent="0.4">
      <c r="A1195" t="s">
        <v>1986</v>
      </c>
      <c r="B1195">
        <v>0</v>
      </c>
      <c r="C1195" t="s">
        <v>197</v>
      </c>
      <c r="D1195">
        <v>1</v>
      </c>
    </row>
    <row r="1196" spans="1:11" x14ac:dyDescent="0.4">
      <c r="A1196" t="s">
        <v>1987</v>
      </c>
      <c r="B1196">
        <v>40</v>
      </c>
      <c r="C1196" t="s">
        <v>197</v>
      </c>
      <c r="D1196">
        <v>3</v>
      </c>
    </row>
    <row r="1197" spans="1:11" x14ac:dyDescent="0.4">
      <c r="A1197" t="s">
        <v>2552</v>
      </c>
      <c r="B1197">
        <v>40</v>
      </c>
      <c r="C1197" t="s">
        <v>197</v>
      </c>
      <c r="D1197">
        <v>3</v>
      </c>
    </row>
    <row r="1198" spans="1:11" x14ac:dyDescent="0.4">
      <c r="A1198" t="s">
        <v>2553</v>
      </c>
      <c r="B1198">
        <v>28.6</v>
      </c>
      <c r="C1198" t="s">
        <v>197</v>
      </c>
      <c r="D1198">
        <v>2</v>
      </c>
    </row>
    <row r="1199" spans="1:11" x14ac:dyDescent="0.4">
      <c r="A1199" t="s">
        <v>7312</v>
      </c>
      <c r="B1199">
        <v>43.8</v>
      </c>
      <c r="C1199" t="s">
        <v>197</v>
      </c>
      <c r="D1199">
        <v>3</v>
      </c>
    </row>
    <row r="1200" spans="1:11" x14ac:dyDescent="0.4">
      <c r="A1200" t="s">
        <v>7313</v>
      </c>
      <c r="B1200">
        <v>45.5</v>
      </c>
      <c r="C1200" t="s">
        <v>197</v>
      </c>
      <c r="D1200">
        <v>3</v>
      </c>
    </row>
    <row r="1201" spans="1:12" x14ac:dyDescent="0.4">
      <c r="A1201" t="s">
        <v>7314</v>
      </c>
      <c r="B1201">
        <v>39.1</v>
      </c>
      <c r="C1201" t="s">
        <v>197</v>
      </c>
      <c r="D1201">
        <v>2</v>
      </c>
    </row>
    <row r="1202" spans="1:12" x14ac:dyDescent="0.4">
      <c r="A1202" t="s">
        <v>3917</v>
      </c>
      <c r="B1202">
        <v>31.5</v>
      </c>
      <c r="C1202" t="s">
        <v>5710</v>
      </c>
      <c r="D1202">
        <v>2</v>
      </c>
      <c r="E1202">
        <v>-1.294</v>
      </c>
      <c r="F1202">
        <v>31.5</v>
      </c>
      <c r="G1202">
        <v>2020</v>
      </c>
      <c r="H1202" t="s">
        <v>928</v>
      </c>
      <c r="I1202" t="s">
        <v>6598</v>
      </c>
      <c r="L1202" t="s">
        <v>197</v>
      </c>
    </row>
    <row r="1203" spans="1:12" x14ac:dyDescent="0.4">
      <c r="A1203" t="s">
        <v>3915</v>
      </c>
      <c r="B1203">
        <v>48</v>
      </c>
      <c r="C1203" t="s">
        <v>5702</v>
      </c>
      <c r="D1203">
        <v>3</v>
      </c>
      <c r="E1203">
        <v>-0.65500000000000003</v>
      </c>
      <c r="F1203">
        <v>48</v>
      </c>
      <c r="G1203">
        <v>2020</v>
      </c>
      <c r="H1203" t="s">
        <v>928</v>
      </c>
      <c r="I1203" t="s">
        <v>6598</v>
      </c>
      <c r="L1203" t="s">
        <v>197</v>
      </c>
    </row>
    <row r="1204" spans="1:12" x14ac:dyDescent="0.4">
      <c r="A1204" t="s">
        <v>3921</v>
      </c>
      <c r="B1204">
        <v>50.9</v>
      </c>
      <c r="C1204" t="s">
        <v>5717</v>
      </c>
      <c r="D1204">
        <v>3</v>
      </c>
      <c r="E1204">
        <v>-0.54200000000000004</v>
      </c>
      <c r="F1204">
        <v>50.9</v>
      </c>
      <c r="G1204">
        <v>2020</v>
      </c>
      <c r="H1204" t="s">
        <v>928</v>
      </c>
      <c r="I1204" t="s">
        <v>6598</v>
      </c>
      <c r="L1204" t="s">
        <v>197</v>
      </c>
    </row>
    <row r="1205" spans="1:12" x14ac:dyDescent="0.4">
      <c r="A1205" t="s">
        <v>3945</v>
      </c>
      <c r="B1205">
        <v>94.4</v>
      </c>
      <c r="C1205" t="s">
        <v>2474</v>
      </c>
      <c r="D1205">
        <v>5</v>
      </c>
      <c r="E1205">
        <v>1.143</v>
      </c>
      <c r="F1205">
        <v>94.4</v>
      </c>
      <c r="G1205">
        <v>2020</v>
      </c>
      <c r="H1205" t="s">
        <v>928</v>
      </c>
      <c r="I1205" t="s">
        <v>6598</v>
      </c>
      <c r="L1205" t="s">
        <v>197</v>
      </c>
    </row>
    <row r="1206" spans="1:12" x14ac:dyDescent="0.4">
      <c r="A1206" t="s">
        <v>2230</v>
      </c>
      <c r="B1206">
        <v>26</v>
      </c>
      <c r="C1206" t="s">
        <v>6037</v>
      </c>
      <c r="D1206">
        <v>2</v>
      </c>
      <c r="E1206">
        <v>-1.5069999999999999</v>
      </c>
      <c r="F1206">
        <v>26</v>
      </c>
      <c r="G1206">
        <v>2020</v>
      </c>
      <c r="H1206" t="s">
        <v>928</v>
      </c>
      <c r="I1206" t="s">
        <v>6598</v>
      </c>
      <c r="L1206" t="s">
        <v>197</v>
      </c>
    </row>
    <row r="1207" spans="1:12" x14ac:dyDescent="0.4">
      <c r="A1207" t="s">
        <v>3941</v>
      </c>
      <c r="B1207">
        <v>55.2</v>
      </c>
      <c r="C1207" t="s">
        <v>5714</v>
      </c>
      <c r="D1207">
        <v>3</v>
      </c>
      <c r="E1207">
        <v>-0.376</v>
      </c>
      <c r="F1207">
        <v>55.2</v>
      </c>
      <c r="G1207">
        <v>2020</v>
      </c>
      <c r="H1207" t="s">
        <v>928</v>
      </c>
      <c r="I1207" t="s">
        <v>6598</v>
      </c>
      <c r="L1207" t="s">
        <v>197</v>
      </c>
    </row>
    <row r="1208" spans="1:12" x14ac:dyDescent="0.4">
      <c r="A1208" t="s">
        <v>3925</v>
      </c>
      <c r="B1208">
        <v>92.9</v>
      </c>
      <c r="C1208" t="s">
        <v>5730</v>
      </c>
      <c r="D1208">
        <v>5</v>
      </c>
      <c r="E1208">
        <v>1.0840000000000001</v>
      </c>
      <c r="F1208">
        <v>92.9</v>
      </c>
      <c r="G1208">
        <v>2020</v>
      </c>
      <c r="H1208" t="s">
        <v>928</v>
      </c>
      <c r="I1208" t="s">
        <v>6598</v>
      </c>
      <c r="L1208" t="s">
        <v>197</v>
      </c>
    </row>
    <row r="1209" spans="1:12" x14ac:dyDescent="0.4">
      <c r="A1209" t="s">
        <v>3919</v>
      </c>
      <c r="B1209">
        <v>91.4</v>
      </c>
      <c r="C1209" t="s">
        <v>5696</v>
      </c>
      <c r="D1209">
        <v>5</v>
      </c>
      <c r="E1209">
        <v>1.026</v>
      </c>
      <c r="F1209">
        <v>91.4</v>
      </c>
      <c r="G1209">
        <v>2020</v>
      </c>
      <c r="H1209" t="s">
        <v>928</v>
      </c>
      <c r="I1209" t="s">
        <v>6598</v>
      </c>
      <c r="L1209" t="s">
        <v>197</v>
      </c>
    </row>
    <row r="1210" spans="1:12" x14ac:dyDescent="0.4">
      <c r="A1210" t="s">
        <v>3931</v>
      </c>
      <c r="B1210">
        <v>96.5</v>
      </c>
      <c r="C1210" t="s">
        <v>2480</v>
      </c>
      <c r="D1210">
        <v>5</v>
      </c>
      <c r="E1210">
        <v>1.224</v>
      </c>
      <c r="F1210">
        <v>96.5</v>
      </c>
      <c r="G1210">
        <v>2020</v>
      </c>
      <c r="H1210" t="s">
        <v>928</v>
      </c>
      <c r="I1210" t="s">
        <v>6598</v>
      </c>
      <c r="L1210" t="s">
        <v>197</v>
      </c>
    </row>
    <row r="1211" spans="1:12" x14ac:dyDescent="0.4">
      <c r="A1211" t="s">
        <v>3923</v>
      </c>
      <c r="B1211">
        <v>21.2</v>
      </c>
      <c r="C1211" t="s">
        <v>6036</v>
      </c>
      <c r="D1211">
        <v>2</v>
      </c>
      <c r="E1211">
        <v>-1.6930000000000001</v>
      </c>
      <c r="F1211">
        <v>21.2</v>
      </c>
      <c r="G1211">
        <v>2020</v>
      </c>
      <c r="H1211" t="s">
        <v>928</v>
      </c>
      <c r="I1211" t="s">
        <v>6598</v>
      </c>
      <c r="L1211" t="s">
        <v>197</v>
      </c>
    </row>
    <row r="1212" spans="1:12" x14ac:dyDescent="0.4">
      <c r="A1212" t="s">
        <v>5968</v>
      </c>
      <c r="B1212">
        <v>62.6</v>
      </c>
      <c r="C1212" t="s">
        <v>5706</v>
      </c>
      <c r="D1212">
        <v>4</v>
      </c>
      <c r="E1212">
        <v>-8.8999999999999996E-2</v>
      </c>
      <c r="F1212">
        <v>62.6</v>
      </c>
      <c r="G1212">
        <v>2020</v>
      </c>
      <c r="H1212" t="s">
        <v>928</v>
      </c>
      <c r="I1212" t="s">
        <v>6598</v>
      </c>
      <c r="L1212" t="s">
        <v>197</v>
      </c>
    </row>
    <row r="1213" spans="1:12" x14ac:dyDescent="0.4">
      <c r="A1213" t="s">
        <v>3937</v>
      </c>
      <c r="B1213">
        <v>38.799999999999997</v>
      </c>
      <c r="C1213" t="s">
        <v>5713</v>
      </c>
      <c r="D1213">
        <v>2</v>
      </c>
      <c r="E1213">
        <v>-1.0109999999999999</v>
      </c>
      <c r="F1213">
        <v>38.799999999999997</v>
      </c>
      <c r="G1213">
        <v>2020</v>
      </c>
      <c r="H1213" t="s">
        <v>928</v>
      </c>
      <c r="I1213" t="s">
        <v>6598</v>
      </c>
      <c r="L1213" t="s">
        <v>197</v>
      </c>
    </row>
    <row r="1214" spans="1:12" x14ac:dyDescent="0.4">
      <c r="A1214" t="s">
        <v>2231</v>
      </c>
      <c r="B1214">
        <v>44.8</v>
      </c>
      <c r="C1214" t="s">
        <v>5694</v>
      </c>
      <c r="D1214">
        <v>3</v>
      </c>
      <c r="E1214">
        <v>-0.77800000000000002</v>
      </c>
      <c r="F1214">
        <v>44.8</v>
      </c>
      <c r="G1214">
        <v>2020</v>
      </c>
      <c r="H1214" t="s">
        <v>928</v>
      </c>
      <c r="I1214" t="s">
        <v>6598</v>
      </c>
      <c r="L1214" t="s">
        <v>197</v>
      </c>
    </row>
    <row r="1215" spans="1:12" x14ac:dyDescent="0.4">
      <c r="A1215" t="s">
        <v>2240</v>
      </c>
      <c r="B1215">
        <v>41.2</v>
      </c>
      <c r="C1215" t="s">
        <v>5709</v>
      </c>
      <c r="D1215">
        <v>3</v>
      </c>
      <c r="E1215">
        <v>-0.91800000000000004</v>
      </c>
      <c r="F1215">
        <v>41.2</v>
      </c>
      <c r="G1215">
        <v>2020</v>
      </c>
      <c r="H1215" t="s">
        <v>928</v>
      </c>
      <c r="I1215" t="s">
        <v>6598</v>
      </c>
      <c r="L1215" t="s">
        <v>197</v>
      </c>
    </row>
    <row r="1216" spans="1:12" x14ac:dyDescent="0.4">
      <c r="A1216" t="s">
        <v>3930</v>
      </c>
      <c r="B1216">
        <v>95.8</v>
      </c>
      <c r="C1216" t="s">
        <v>2482</v>
      </c>
      <c r="D1216">
        <v>5</v>
      </c>
      <c r="E1216">
        <v>1.1970000000000001</v>
      </c>
      <c r="F1216">
        <v>95.8</v>
      </c>
      <c r="G1216">
        <v>2020</v>
      </c>
      <c r="H1216" t="s">
        <v>928</v>
      </c>
      <c r="I1216" t="s">
        <v>6598</v>
      </c>
      <c r="L1216" t="s">
        <v>197</v>
      </c>
    </row>
    <row r="1217" spans="1:12" x14ac:dyDescent="0.4">
      <c r="A1217" t="s">
        <v>3944</v>
      </c>
      <c r="B1217">
        <v>68.7</v>
      </c>
      <c r="C1217" t="s">
        <v>5700</v>
      </c>
      <c r="D1217">
        <v>4</v>
      </c>
      <c r="E1217">
        <v>0.14699999999999999</v>
      </c>
      <c r="F1217">
        <v>68.7</v>
      </c>
      <c r="G1217">
        <v>2020</v>
      </c>
      <c r="H1217" t="s">
        <v>928</v>
      </c>
      <c r="I1217" t="s">
        <v>6598</v>
      </c>
      <c r="L1217" t="s">
        <v>197</v>
      </c>
    </row>
    <row r="1218" spans="1:12" x14ac:dyDescent="0.4">
      <c r="A1218" t="s">
        <v>2232</v>
      </c>
      <c r="B1218">
        <v>98.8</v>
      </c>
      <c r="C1218" t="s">
        <v>2478</v>
      </c>
      <c r="D1218">
        <v>5</v>
      </c>
      <c r="E1218">
        <v>1.3129999999999999</v>
      </c>
      <c r="F1218">
        <v>98.8</v>
      </c>
      <c r="G1218">
        <v>2020</v>
      </c>
      <c r="H1218" t="s">
        <v>928</v>
      </c>
      <c r="I1218" t="s">
        <v>6598</v>
      </c>
      <c r="L1218" t="s">
        <v>197</v>
      </c>
    </row>
    <row r="1219" spans="1:12" x14ac:dyDescent="0.4">
      <c r="A1219" t="s">
        <v>2239</v>
      </c>
      <c r="B1219">
        <v>91.1</v>
      </c>
      <c r="C1219" t="s">
        <v>5701</v>
      </c>
      <c r="D1219">
        <v>5</v>
      </c>
      <c r="E1219">
        <v>1.0149999999999999</v>
      </c>
      <c r="F1219">
        <v>91.1</v>
      </c>
      <c r="G1219">
        <v>2020</v>
      </c>
      <c r="H1219" t="s">
        <v>928</v>
      </c>
      <c r="I1219" t="s">
        <v>6598</v>
      </c>
      <c r="L1219" t="s">
        <v>197</v>
      </c>
    </row>
    <row r="1220" spans="1:12" x14ac:dyDescent="0.4">
      <c r="A1220" t="s">
        <v>2233</v>
      </c>
      <c r="B1220">
        <v>32.9</v>
      </c>
      <c r="C1220" t="s">
        <v>5728</v>
      </c>
      <c r="D1220">
        <v>2</v>
      </c>
      <c r="E1220">
        <v>-1.2390000000000001</v>
      </c>
      <c r="F1220">
        <v>32.9</v>
      </c>
      <c r="G1220">
        <v>2020</v>
      </c>
      <c r="H1220" t="s">
        <v>928</v>
      </c>
      <c r="I1220" t="s">
        <v>6598</v>
      </c>
      <c r="L1220" t="s">
        <v>197</v>
      </c>
    </row>
    <row r="1221" spans="1:12" x14ac:dyDescent="0.4">
      <c r="A1221" t="s">
        <v>3914</v>
      </c>
      <c r="B1221">
        <v>20.8</v>
      </c>
      <c r="C1221" t="s">
        <v>6035</v>
      </c>
      <c r="D1221">
        <v>2</v>
      </c>
      <c r="E1221">
        <v>-1.708</v>
      </c>
      <c r="F1221">
        <v>20.8</v>
      </c>
      <c r="G1221">
        <v>2020</v>
      </c>
      <c r="H1221" t="s">
        <v>928</v>
      </c>
      <c r="I1221" t="s">
        <v>6598</v>
      </c>
      <c r="L1221" t="s">
        <v>197</v>
      </c>
    </row>
    <row r="1222" spans="1:12" x14ac:dyDescent="0.4">
      <c r="A1222" t="s">
        <v>3934</v>
      </c>
      <c r="B1222">
        <v>67.599999999999994</v>
      </c>
      <c r="C1222" t="s">
        <v>5703</v>
      </c>
      <c r="D1222">
        <v>4</v>
      </c>
      <c r="E1222">
        <v>0.105</v>
      </c>
      <c r="F1222">
        <v>67.599999999999994</v>
      </c>
      <c r="G1222">
        <v>2020</v>
      </c>
      <c r="H1222" t="s">
        <v>928</v>
      </c>
      <c r="I1222" t="s">
        <v>6598</v>
      </c>
      <c r="L1222" t="s">
        <v>197</v>
      </c>
    </row>
    <row r="1223" spans="1:12" x14ac:dyDescent="0.4">
      <c r="A1223" t="s">
        <v>3938</v>
      </c>
      <c r="B1223">
        <v>56.4</v>
      </c>
      <c r="C1223" t="s">
        <v>5735</v>
      </c>
      <c r="D1223">
        <v>3</v>
      </c>
      <c r="E1223">
        <v>-0.32900000000000001</v>
      </c>
      <c r="F1223">
        <v>56.4</v>
      </c>
      <c r="G1223">
        <v>2020</v>
      </c>
      <c r="H1223" t="s">
        <v>928</v>
      </c>
      <c r="I1223" t="s">
        <v>6598</v>
      </c>
      <c r="L1223" t="s">
        <v>197</v>
      </c>
    </row>
    <row r="1224" spans="1:12" x14ac:dyDescent="0.4">
      <c r="A1224" t="s">
        <v>3936</v>
      </c>
      <c r="B1224">
        <v>54.3</v>
      </c>
      <c r="C1224" t="s">
        <v>5734</v>
      </c>
      <c r="D1224">
        <v>3</v>
      </c>
      <c r="E1224">
        <v>-0.41099999999999998</v>
      </c>
      <c r="F1224">
        <v>54.3</v>
      </c>
      <c r="G1224">
        <v>2020</v>
      </c>
      <c r="H1224" t="s">
        <v>928</v>
      </c>
      <c r="I1224" t="s">
        <v>6598</v>
      </c>
      <c r="L1224" t="s">
        <v>197</v>
      </c>
    </row>
    <row r="1225" spans="1:12" x14ac:dyDescent="0.4">
      <c r="A1225" t="s">
        <v>3924</v>
      </c>
      <c r="B1225">
        <v>39</v>
      </c>
      <c r="C1225" t="s">
        <v>5708</v>
      </c>
      <c r="D1225">
        <v>2</v>
      </c>
      <c r="E1225">
        <v>-1.0029999999999999</v>
      </c>
      <c r="F1225">
        <v>39</v>
      </c>
      <c r="G1225">
        <v>2020</v>
      </c>
      <c r="H1225" t="s">
        <v>928</v>
      </c>
      <c r="I1225" t="s">
        <v>6598</v>
      </c>
      <c r="L1225" t="s">
        <v>197</v>
      </c>
    </row>
    <row r="1226" spans="1:12" x14ac:dyDescent="0.4">
      <c r="A1226" t="s">
        <v>3913</v>
      </c>
      <c r="B1226">
        <v>38.1</v>
      </c>
      <c r="C1226" t="s">
        <v>5712</v>
      </c>
      <c r="D1226">
        <v>2</v>
      </c>
      <c r="E1226">
        <v>-1.038</v>
      </c>
      <c r="F1226">
        <v>38.1</v>
      </c>
      <c r="G1226">
        <v>2020</v>
      </c>
      <c r="H1226" t="s">
        <v>928</v>
      </c>
      <c r="I1226" t="s">
        <v>6598</v>
      </c>
      <c r="L1226" t="s">
        <v>197</v>
      </c>
    </row>
    <row r="1227" spans="1:12" x14ac:dyDescent="0.4">
      <c r="A1227" t="s">
        <v>3927</v>
      </c>
      <c r="B1227">
        <v>94.8</v>
      </c>
      <c r="C1227" t="s">
        <v>2484</v>
      </c>
      <c r="D1227">
        <v>5</v>
      </c>
      <c r="E1227">
        <v>1.1579999999999999</v>
      </c>
      <c r="F1227">
        <v>94.8</v>
      </c>
      <c r="G1227">
        <v>2020</v>
      </c>
      <c r="H1227" t="s">
        <v>928</v>
      </c>
      <c r="I1227" t="s">
        <v>6598</v>
      </c>
      <c r="L1227" t="s">
        <v>197</v>
      </c>
    </row>
    <row r="1228" spans="1:12" x14ac:dyDescent="0.4">
      <c r="A1228" t="s">
        <v>3928</v>
      </c>
      <c r="B1228">
        <v>98.4</v>
      </c>
      <c r="C1228" t="s">
        <v>2477</v>
      </c>
      <c r="D1228">
        <v>5</v>
      </c>
      <c r="E1228">
        <v>1.2969999999999999</v>
      </c>
      <c r="F1228">
        <v>98.4</v>
      </c>
      <c r="G1228">
        <v>2020</v>
      </c>
      <c r="H1228" t="s">
        <v>928</v>
      </c>
      <c r="I1228" t="s">
        <v>6598</v>
      </c>
      <c r="L1228" t="s">
        <v>197</v>
      </c>
    </row>
    <row r="1229" spans="1:12" x14ac:dyDescent="0.4">
      <c r="A1229" t="s">
        <v>3946</v>
      </c>
      <c r="B1229">
        <v>32.5</v>
      </c>
      <c r="C1229" t="s">
        <v>5697</v>
      </c>
      <c r="D1229">
        <v>2</v>
      </c>
      <c r="E1229">
        <v>-1.2549999999999999</v>
      </c>
      <c r="F1229">
        <v>32.5</v>
      </c>
      <c r="G1229">
        <v>2020</v>
      </c>
      <c r="H1229" t="s">
        <v>928</v>
      </c>
      <c r="I1229" t="s">
        <v>6598</v>
      </c>
      <c r="L1229" t="s">
        <v>197</v>
      </c>
    </row>
    <row r="1230" spans="1:12" x14ac:dyDescent="0.4">
      <c r="A1230" t="s">
        <v>2234</v>
      </c>
      <c r="B1230">
        <v>88.9</v>
      </c>
      <c r="C1230" t="s">
        <v>5707</v>
      </c>
      <c r="D1230">
        <v>5</v>
      </c>
      <c r="E1230">
        <v>0.93</v>
      </c>
      <c r="F1230">
        <v>88.9</v>
      </c>
      <c r="G1230">
        <v>2020</v>
      </c>
      <c r="H1230" t="s">
        <v>928</v>
      </c>
      <c r="I1230" t="s">
        <v>6598</v>
      </c>
      <c r="L1230" t="s">
        <v>197</v>
      </c>
    </row>
    <row r="1231" spans="1:12" x14ac:dyDescent="0.4">
      <c r="A1231" t="s">
        <v>2238</v>
      </c>
      <c r="B1231">
        <v>40.4</v>
      </c>
      <c r="C1231" t="s">
        <v>5698</v>
      </c>
      <c r="D1231">
        <v>3</v>
      </c>
      <c r="E1231">
        <v>-0.94899999999999995</v>
      </c>
      <c r="F1231">
        <v>40.4</v>
      </c>
      <c r="G1231">
        <v>2020</v>
      </c>
      <c r="H1231" t="s">
        <v>928</v>
      </c>
      <c r="I1231" t="s">
        <v>6598</v>
      </c>
      <c r="L1231" t="s">
        <v>197</v>
      </c>
    </row>
    <row r="1232" spans="1:12" x14ac:dyDescent="0.4">
      <c r="A1232" t="s">
        <v>3929</v>
      </c>
      <c r="B1232">
        <v>85.9</v>
      </c>
      <c r="C1232" t="s">
        <v>5692</v>
      </c>
      <c r="D1232">
        <v>5</v>
      </c>
      <c r="E1232">
        <v>0.81299999999999994</v>
      </c>
      <c r="F1232">
        <v>85.9</v>
      </c>
      <c r="G1232">
        <v>2020</v>
      </c>
      <c r="H1232" t="s">
        <v>928</v>
      </c>
      <c r="I1232" t="s">
        <v>6598</v>
      </c>
      <c r="L1232" t="s">
        <v>197</v>
      </c>
    </row>
    <row r="1233" spans="1:12" x14ac:dyDescent="0.4">
      <c r="A1233" t="s">
        <v>3935</v>
      </c>
      <c r="B1233">
        <v>80.900000000000006</v>
      </c>
      <c r="C1233" t="s">
        <v>5695</v>
      </c>
      <c r="D1233">
        <v>5</v>
      </c>
      <c r="E1233">
        <v>0.62</v>
      </c>
      <c r="F1233">
        <v>80.900000000000006</v>
      </c>
      <c r="G1233">
        <v>2020</v>
      </c>
      <c r="H1233" t="s">
        <v>928</v>
      </c>
      <c r="I1233" t="s">
        <v>6598</v>
      </c>
      <c r="L1233" t="s">
        <v>197</v>
      </c>
    </row>
    <row r="1234" spans="1:12" x14ac:dyDescent="0.4">
      <c r="A1234" t="s">
        <v>3916</v>
      </c>
      <c r="B1234">
        <v>58</v>
      </c>
      <c r="C1234" t="s">
        <v>5736</v>
      </c>
      <c r="D1234">
        <v>3</v>
      </c>
      <c r="E1234">
        <v>-0.26700000000000002</v>
      </c>
      <c r="F1234">
        <v>58</v>
      </c>
      <c r="G1234">
        <v>2020</v>
      </c>
      <c r="H1234" t="s">
        <v>928</v>
      </c>
      <c r="I1234" t="s">
        <v>6598</v>
      </c>
      <c r="L1234" t="s">
        <v>197</v>
      </c>
    </row>
    <row r="1235" spans="1:12" x14ac:dyDescent="0.4">
      <c r="A1235" t="s">
        <v>5812</v>
      </c>
      <c r="B1235">
        <v>69.8</v>
      </c>
      <c r="C1235" t="s">
        <v>5732</v>
      </c>
      <c r="D1235">
        <v>4</v>
      </c>
      <c r="E1235">
        <v>0.19</v>
      </c>
      <c r="F1235">
        <v>69.8</v>
      </c>
      <c r="G1235">
        <v>2020</v>
      </c>
      <c r="H1235" t="s">
        <v>928</v>
      </c>
      <c r="I1235" t="s">
        <v>6598</v>
      </c>
      <c r="L1235" t="s">
        <v>197</v>
      </c>
    </row>
    <row r="1236" spans="1:12" x14ac:dyDescent="0.4">
      <c r="A1236" t="s">
        <v>3939</v>
      </c>
      <c r="B1236">
        <v>69.400000000000006</v>
      </c>
      <c r="C1236" t="s">
        <v>5729</v>
      </c>
      <c r="D1236">
        <v>4</v>
      </c>
      <c r="E1236">
        <v>0.17399999999999999</v>
      </c>
      <c r="F1236">
        <v>69.400000000000006</v>
      </c>
      <c r="G1236">
        <v>2020</v>
      </c>
      <c r="H1236" t="s">
        <v>928</v>
      </c>
      <c r="I1236" t="s">
        <v>6598</v>
      </c>
      <c r="L1236" t="s">
        <v>197</v>
      </c>
    </row>
    <row r="1237" spans="1:12" x14ac:dyDescent="0.4">
      <c r="A1237" t="s">
        <v>5813</v>
      </c>
      <c r="B1237">
        <v>97.7</v>
      </c>
      <c r="C1237" t="s">
        <v>2475</v>
      </c>
      <c r="D1237">
        <v>5</v>
      </c>
      <c r="E1237">
        <v>1.27</v>
      </c>
      <c r="F1237">
        <v>97.7</v>
      </c>
      <c r="G1237">
        <v>2020</v>
      </c>
      <c r="H1237" t="s">
        <v>928</v>
      </c>
      <c r="I1237" t="s">
        <v>6598</v>
      </c>
      <c r="L1237" t="s">
        <v>197</v>
      </c>
    </row>
    <row r="1238" spans="1:12" x14ac:dyDescent="0.4">
      <c r="A1238" t="s">
        <v>3947</v>
      </c>
      <c r="B1238">
        <v>35</v>
      </c>
      <c r="C1238" t="s">
        <v>5711</v>
      </c>
      <c r="D1238">
        <v>2</v>
      </c>
      <c r="E1238">
        <v>-1.1579999999999999</v>
      </c>
      <c r="F1238">
        <v>35</v>
      </c>
      <c r="G1238">
        <v>2020</v>
      </c>
      <c r="H1238" t="s">
        <v>6613</v>
      </c>
      <c r="I1238" t="s">
        <v>6614</v>
      </c>
      <c r="L1238" t="s">
        <v>197</v>
      </c>
    </row>
    <row r="1239" spans="1:12" x14ac:dyDescent="0.4">
      <c r="A1239" t="s">
        <v>3922</v>
      </c>
      <c r="B1239">
        <v>8.6</v>
      </c>
      <c r="C1239" t="s">
        <v>6033</v>
      </c>
      <c r="D1239">
        <v>1</v>
      </c>
      <c r="E1239">
        <v>-2.181</v>
      </c>
      <c r="F1239">
        <v>8.6</v>
      </c>
      <c r="G1239">
        <v>2020</v>
      </c>
      <c r="H1239" t="s">
        <v>928</v>
      </c>
      <c r="I1239" t="s">
        <v>6598</v>
      </c>
      <c r="L1239" t="s">
        <v>197</v>
      </c>
    </row>
    <row r="1240" spans="1:12" x14ac:dyDescent="0.4">
      <c r="A1240" t="s">
        <v>3926</v>
      </c>
      <c r="B1240">
        <v>96.1</v>
      </c>
      <c r="C1240" t="s">
        <v>2483</v>
      </c>
      <c r="D1240">
        <v>5</v>
      </c>
      <c r="E1240">
        <v>1.208</v>
      </c>
      <c r="F1240">
        <v>96.1</v>
      </c>
      <c r="G1240">
        <v>2020</v>
      </c>
      <c r="H1240" t="s">
        <v>928</v>
      </c>
      <c r="I1240" t="s">
        <v>6598</v>
      </c>
      <c r="L1240" t="s">
        <v>197</v>
      </c>
    </row>
    <row r="1241" spans="1:12" x14ac:dyDescent="0.4">
      <c r="A1241" t="s">
        <v>3920</v>
      </c>
      <c r="B1241">
        <v>50.9</v>
      </c>
      <c r="C1241" t="s">
        <v>5717</v>
      </c>
      <c r="D1241">
        <v>3</v>
      </c>
      <c r="E1241">
        <v>-0.54200000000000004</v>
      </c>
      <c r="F1241">
        <v>50.9</v>
      </c>
      <c r="G1241">
        <v>2020</v>
      </c>
      <c r="H1241" t="s">
        <v>928</v>
      </c>
      <c r="I1241" t="s">
        <v>6598</v>
      </c>
      <c r="L1241" t="s">
        <v>197</v>
      </c>
    </row>
    <row r="1242" spans="1:12" x14ac:dyDescent="0.4">
      <c r="A1242" t="s">
        <v>5814</v>
      </c>
      <c r="B1242">
        <v>88.3</v>
      </c>
      <c r="C1242" t="s">
        <v>5705</v>
      </c>
      <c r="D1242">
        <v>5</v>
      </c>
      <c r="E1242">
        <v>0.90600000000000003</v>
      </c>
      <c r="F1242">
        <v>88.3</v>
      </c>
      <c r="G1242">
        <v>2020</v>
      </c>
      <c r="H1242" t="s">
        <v>928</v>
      </c>
      <c r="I1242" t="s">
        <v>6598</v>
      </c>
      <c r="L1242" t="s">
        <v>197</v>
      </c>
    </row>
    <row r="1243" spans="1:12" x14ac:dyDescent="0.4">
      <c r="A1243" t="s">
        <v>3940</v>
      </c>
      <c r="B1243">
        <v>70.599999999999994</v>
      </c>
      <c r="C1243" t="s">
        <v>6579</v>
      </c>
      <c r="D1243">
        <v>4</v>
      </c>
      <c r="E1243">
        <v>0.221</v>
      </c>
      <c r="F1243">
        <v>70.599999999999994</v>
      </c>
      <c r="G1243">
        <v>2020</v>
      </c>
      <c r="H1243" t="s">
        <v>928</v>
      </c>
      <c r="I1243" t="s">
        <v>6598</v>
      </c>
      <c r="L1243" t="s">
        <v>197</v>
      </c>
    </row>
    <row r="1244" spans="1:12" x14ac:dyDescent="0.4">
      <c r="A1244" t="s">
        <v>2235</v>
      </c>
      <c r="B1244">
        <v>55.2</v>
      </c>
      <c r="C1244" t="s">
        <v>5714</v>
      </c>
      <c r="D1244">
        <v>3</v>
      </c>
      <c r="E1244">
        <v>-0.376</v>
      </c>
      <c r="F1244">
        <v>55.2</v>
      </c>
      <c r="G1244">
        <v>2020</v>
      </c>
      <c r="H1244" t="s">
        <v>928</v>
      </c>
      <c r="I1244" t="s">
        <v>6598</v>
      </c>
      <c r="L1244" t="s">
        <v>197</v>
      </c>
    </row>
    <row r="1245" spans="1:12" x14ac:dyDescent="0.4">
      <c r="A1245" t="s">
        <v>2236</v>
      </c>
      <c r="B1245">
        <v>99</v>
      </c>
      <c r="C1245" t="s">
        <v>2479</v>
      </c>
      <c r="D1245">
        <v>5</v>
      </c>
      <c r="E1245">
        <v>1.321</v>
      </c>
      <c r="F1245">
        <v>99</v>
      </c>
      <c r="G1245">
        <v>2020</v>
      </c>
      <c r="H1245" t="s">
        <v>928</v>
      </c>
      <c r="I1245" t="s">
        <v>6598</v>
      </c>
      <c r="L1245" t="s">
        <v>197</v>
      </c>
    </row>
    <row r="1246" spans="1:12" x14ac:dyDescent="0.4">
      <c r="A1246" t="s">
        <v>3943</v>
      </c>
      <c r="B1246">
        <v>69.599999999999994</v>
      </c>
      <c r="C1246" t="s">
        <v>5731</v>
      </c>
      <c r="D1246">
        <v>4</v>
      </c>
      <c r="E1246">
        <v>0.182</v>
      </c>
      <c r="F1246">
        <v>69.599999999999994</v>
      </c>
      <c r="G1246">
        <v>2020</v>
      </c>
      <c r="H1246" t="s">
        <v>928</v>
      </c>
      <c r="I1246" t="s">
        <v>6598</v>
      </c>
      <c r="L1246" t="s">
        <v>197</v>
      </c>
    </row>
    <row r="1247" spans="1:12" x14ac:dyDescent="0.4">
      <c r="A1247" t="s">
        <v>2237</v>
      </c>
      <c r="B1247">
        <v>74</v>
      </c>
      <c r="C1247" t="s">
        <v>6580</v>
      </c>
      <c r="D1247">
        <v>4</v>
      </c>
      <c r="E1247">
        <v>0.35199999999999998</v>
      </c>
      <c r="F1247">
        <v>74</v>
      </c>
      <c r="G1247">
        <v>2020</v>
      </c>
      <c r="H1247" t="s">
        <v>928</v>
      </c>
      <c r="I1247" t="s">
        <v>6598</v>
      </c>
      <c r="L1247" t="s">
        <v>197</v>
      </c>
    </row>
    <row r="1248" spans="1:12" x14ac:dyDescent="0.4">
      <c r="A1248" t="s">
        <v>3918</v>
      </c>
      <c r="B1248">
        <v>93</v>
      </c>
      <c r="C1248" t="s">
        <v>2481</v>
      </c>
      <c r="D1248">
        <v>5</v>
      </c>
      <c r="E1248">
        <v>1.0880000000000001</v>
      </c>
      <c r="F1248">
        <v>93</v>
      </c>
      <c r="G1248">
        <v>2020</v>
      </c>
      <c r="H1248" t="s">
        <v>928</v>
      </c>
      <c r="I1248" t="s">
        <v>6598</v>
      </c>
      <c r="L1248" t="s">
        <v>197</v>
      </c>
    </row>
    <row r="1249" spans="1:12" x14ac:dyDescent="0.4">
      <c r="A1249" t="s">
        <v>3932</v>
      </c>
      <c r="B1249">
        <v>97.5</v>
      </c>
      <c r="C1249" t="s">
        <v>2476</v>
      </c>
      <c r="D1249">
        <v>5</v>
      </c>
      <c r="E1249">
        <v>1.2629999999999999</v>
      </c>
      <c r="F1249">
        <v>97.5</v>
      </c>
      <c r="G1249">
        <v>2020</v>
      </c>
      <c r="H1249" t="s">
        <v>928</v>
      </c>
      <c r="I1249" t="s">
        <v>6598</v>
      </c>
      <c r="L1249" t="s">
        <v>197</v>
      </c>
    </row>
    <row r="1250" spans="1:12" x14ac:dyDescent="0.4">
      <c r="A1250" t="s">
        <v>3942</v>
      </c>
      <c r="B1250">
        <v>60</v>
      </c>
      <c r="C1250" t="s">
        <v>5693</v>
      </c>
      <c r="D1250">
        <v>4</v>
      </c>
      <c r="E1250">
        <v>-0.19</v>
      </c>
      <c r="F1250">
        <v>60</v>
      </c>
      <c r="G1250">
        <v>2020</v>
      </c>
      <c r="H1250" t="s">
        <v>928</v>
      </c>
      <c r="I1250" t="s">
        <v>6598</v>
      </c>
      <c r="L1250" t="s">
        <v>197</v>
      </c>
    </row>
    <row r="1251" spans="1:12" x14ac:dyDescent="0.4">
      <c r="A1251" t="s">
        <v>3933</v>
      </c>
      <c r="B1251">
        <v>70.5</v>
      </c>
      <c r="C1251" t="s">
        <v>6034</v>
      </c>
      <c r="D1251">
        <v>4</v>
      </c>
      <c r="E1251">
        <v>0.217</v>
      </c>
      <c r="F1251">
        <v>70.5</v>
      </c>
      <c r="G1251">
        <v>2020</v>
      </c>
      <c r="H1251" t="s">
        <v>928</v>
      </c>
      <c r="I1251" t="s">
        <v>6598</v>
      </c>
      <c r="L1251" t="s">
        <v>197</v>
      </c>
    </row>
    <row r="1252" spans="1:12" x14ac:dyDescent="0.4">
      <c r="A1252" t="s">
        <v>2241</v>
      </c>
      <c r="B1252">
        <v>64.900000000000006</v>
      </c>
      <c r="C1252" t="s">
        <v>197</v>
      </c>
      <c r="D1252">
        <v>4</v>
      </c>
    </row>
    <row r="1253" spans="1:12" x14ac:dyDescent="0.4">
      <c r="A1253" t="s">
        <v>2242</v>
      </c>
      <c r="B1253">
        <v>39.299999999999997</v>
      </c>
      <c r="C1253" t="s">
        <v>197</v>
      </c>
      <c r="D1253">
        <v>2</v>
      </c>
    </row>
    <row r="1254" spans="1:12" x14ac:dyDescent="0.4">
      <c r="A1254" t="s">
        <v>2243</v>
      </c>
      <c r="B1254">
        <v>69.2</v>
      </c>
      <c r="C1254" t="s">
        <v>197</v>
      </c>
      <c r="D1254">
        <v>4</v>
      </c>
    </row>
    <row r="1255" spans="1:12" x14ac:dyDescent="0.4">
      <c r="A1255" t="s">
        <v>2244</v>
      </c>
      <c r="B1255">
        <v>27.5</v>
      </c>
      <c r="C1255" t="s">
        <v>197</v>
      </c>
      <c r="D1255">
        <v>2</v>
      </c>
    </row>
    <row r="1256" spans="1:12" x14ac:dyDescent="0.4">
      <c r="A1256" t="s">
        <v>2245</v>
      </c>
      <c r="B1256">
        <v>94.7</v>
      </c>
      <c r="C1256" t="s">
        <v>197</v>
      </c>
      <c r="D1256">
        <v>5</v>
      </c>
    </row>
    <row r="1257" spans="1:12" x14ac:dyDescent="0.4">
      <c r="A1257" t="s">
        <v>2592</v>
      </c>
      <c r="B1257">
        <v>53.5</v>
      </c>
      <c r="C1257" t="s">
        <v>197</v>
      </c>
      <c r="D1257">
        <v>3</v>
      </c>
    </row>
    <row r="1258" spans="1:12" x14ac:dyDescent="0.4">
      <c r="A1258" t="s">
        <v>2593</v>
      </c>
      <c r="B1258">
        <v>69.400000000000006</v>
      </c>
      <c r="C1258" t="s">
        <v>197</v>
      </c>
      <c r="D1258">
        <v>4</v>
      </c>
    </row>
    <row r="1259" spans="1:12" x14ac:dyDescent="0.4">
      <c r="A1259" t="s">
        <v>7315</v>
      </c>
      <c r="B1259">
        <v>50.6</v>
      </c>
      <c r="C1259" t="s">
        <v>197</v>
      </c>
      <c r="D1259">
        <v>3</v>
      </c>
    </row>
    <row r="1260" spans="1:12" x14ac:dyDescent="0.4">
      <c r="A1260" t="s">
        <v>7316</v>
      </c>
      <c r="B1260">
        <v>58.8</v>
      </c>
      <c r="C1260" t="s">
        <v>197</v>
      </c>
      <c r="D1260">
        <v>3</v>
      </c>
    </row>
    <row r="1261" spans="1:12" x14ac:dyDescent="0.4">
      <c r="A1261" t="s">
        <v>7317</v>
      </c>
      <c r="B1261">
        <v>77.7</v>
      </c>
      <c r="C1261" t="s">
        <v>197</v>
      </c>
      <c r="D1261">
        <v>4</v>
      </c>
    </row>
    <row r="1262" spans="1:12" x14ac:dyDescent="0.4">
      <c r="A1262" t="s">
        <v>4162</v>
      </c>
      <c r="B1262">
        <v>47.2</v>
      </c>
      <c r="C1262" t="s">
        <v>5733</v>
      </c>
      <c r="D1262">
        <v>3</v>
      </c>
      <c r="E1262">
        <v>-0.65400000000000003</v>
      </c>
    </row>
    <row r="1263" spans="1:12" x14ac:dyDescent="0.4">
      <c r="A1263" t="s">
        <v>4160</v>
      </c>
      <c r="B1263">
        <v>39.6</v>
      </c>
      <c r="C1263" t="s">
        <v>5711</v>
      </c>
      <c r="D1263">
        <v>2</v>
      </c>
      <c r="E1263">
        <v>-1.1180000000000001</v>
      </c>
    </row>
    <row r="1264" spans="1:12" x14ac:dyDescent="0.4">
      <c r="A1264" t="s">
        <v>4166</v>
      </c>
      <c r="B1264">
        <v>56.1</v>
      </c>
      <c r="C1264" t="s">
        <v>5706</v>
      </c>
      <c r="D1264">
        <v>3</v>
      </c>
      <c r="E1264">
        <v>-0.11</v>
      </c>
    </row>
    <row r="1265" spans="1:5" x14ac:dyDescent="0.4">
      <c r="A1265" t="s">
        <v>4190</v>
      </c>
      <c r="B1265">
        <v>60.5</v>
      </c>
      <c r="C1265" t="s">
        <v>5731</v>
      </c>
      <c r="D1265">
        <v>4</v>
      </c>
      <c r="E1265">
        <v>0.159</v>
      </c>
    </row>
    <row r="1266" spans="1:5" x14ac:dyDescent="0.4">
      <c r="A1266" t="s">
        <v>2353</v>
      </c>
      <c r="B1266">
        <v>74.099999999999994</v>
      </c>
      <c r="C1266" t="s">
        <v>5730</v>
      </c>
      <c r="D1266">
        <v>4</v>
      </c>
      <c r="E1266">
        <v>0.99</v>
      </c>
    </row>
    <row r="1267" spans="1:5" x14ac:dyDescent="0.4">
      <c r="A1267" t="s">
        <v>4186</v>
      </c>
      <c r="B1267">
        <v>80.599999999999994</v>
      </c>
      <c r="C1267" t="s">
        <v>2480</v>
      </c>
      <c r="D1267">
        <v>5</v>
      </c>
      <c r="E1267">
        <v>1.387</v>
      </c>
    </row>
    <row r="1268" spans="1:5" x14ac:dyDescent="0.4">
      <c r="A1268" t="s">
        <v>4170</v>
      </c>
      <c r="B1268">
        <v>70</v>
      </c>
      <c r="C1268" t="s">
        <v>5701</v>
      </c>
      <c r="D1268">
        <v>4</v>
      </c>
      <c r="E1268">
        <v>0.73899999999999999</v>
      </c>
    </row>
    <row r="1269" spans="1:5" x14ac:dyDescent="0.4">
      <c r="A1269" t="s">
        <v>4164</v>
      </c>
      <c r="B1269">
        <v>56.9</v>
      </c>
      <c r="C1269" t="s">
        <v>5700</v>
      </c>
      <c r="D1269">
        <v>3</v>
      </c>
      <c r="E1269">
        <v>-6.0999999999999999E-2</v>
      </c>
    </row>
    <row r="1270" spans="1:5" x14ac:dyDescent="0.4">
      <c r="A1270" t="s">
        <v>4176</v>
      </c>
      <c r="B1270">
        <v>72.599999999999994</v>
      </c>
      <c r="C1270" t="s">
        <v>5696</v>
      </c>
      <c r="D1270">
        <v>4</v>
      </c>
      <c r="E1270">
        <v>0.89800000000000002</v>
      </c>
    </row>
    <row r="1271" spans="1:5" x14ac:dyDescent="0.4">
      <c r="A1271" t="s">
        <v>4168</v>
      </c>
      <c r="B1271">
        <v>39.700000000000003</v>
      </c>
      <c r="C1271" t="s">
        <v>5715</v>
      </c>
      <c r="D1271">
        <v>2</v>
      </c>
      <c r="E1271">
        <v>-1.1120000000000001</v>
      </c>
    </row>
    <row r="1272" spans="1:5" x14ac:dyDescent="0.4">
      <c r="A1272" t="s">
        <v>5969</v>
      </c>
      <c r="B1272">
        <v>45.6</v>
      </c>
      <c r="C1272" t="s">
        <v>5717</v>
      </c>
      <c r="D1272">
        <v>3</v>
      </c>
      <c r="E1272">
        <v>-0.752</v>
      </c>
    </row>
    <row r="1273" spans="1:5" x14ac:dyDescent="0.4">
      <c r="A1273" t="s">
        <v>4182</v>
      </c>
      <c r="B1273">
        <v>56.4</v>
      </c>
      <c r="C1273" t="s">
        <v>5703</v>
      </c>
      <c r="D1273">
        <v>3</v>
      </c>
      <c r="E1273">
        <v>-9.1999999999999998E-2</v>
      </c>
    </row>
    <row r="1274" spans="1:5" x14ac:dyDescent="0.4">
      <c r="A1274" t="s">
        <v>2354</v>
      </c>
      <c r="B1274">
        <v>39.700000000000003</v>
      </c>
      <c r="C1274" t="s">
        <v>5715</v>
      </c>
      <c r="D1274">
        <v>2</v>
      </c>
      <c r="E1274">
        <v>-1.1120000000000001</v>
      </c>
    </row>
    <row r="1275" spans="1:5" x14ac:dyDescent="0.4">
      <c r="A1275" t="s">
        <v>2363</v>
      </c>
      <c r="B1275">
        <v>63</v>
      </c>
      <c r="C1275" t="s">
        <v>5732</v>
      </c>
      <c r="D1275">
        <v>4</v>
      </c>
      <c r="E1275">
        <v>0.312</v>
      </c>
    </row>
    <row r="1276" spans="1:5" x14ac:dyDescent="0.4">
      <c r="A1276" t="s">
        <v>4175</v>
      </c>
      <c r="B1276">
        <v>77.400000000000006</v>
      </c>
      <c r="C1276" t="s">
        <v>2474</v>
      </c>
      <c r="D1276">
        <v>4</v>
      </c>
      <c r="E1276">
        <v>1.1919999999999999</v>
      </c>
    </row>
    <row r="1277" spans="1:5" x14ac:dyDescent="0.4">
      <c r="A1277" t="s">
        <v>4189</v>
      </c>
      <c r="B1277">
        <v>68.5</v>
      </c>
      <c r="C1277" t="s">
        <v>5707</v>
      </c>
      <c r="D1277">
        <v>4</v>
      </c>
      <c r="E1277">
        <v>0.64800000000000002</v>
      </c>
    </row>
    <row r="1278" spans="1:5" x14ac:dyDescent="0.4">
      <c r="A1278" t="s">
        <v>2355</v>
      </c>
      <c r="B1278">
        <v>86</v>
      </c>
      <c r="C1278" t="s">
        <v>2479</v>
      </c>
      <c r="D1278">
        <v>5</v>
      </c>
      <c r="E1278">
        <v>1.7170000000000001</v>
      </c>
    </row>
    <row r="1279" spans="1:5" x14ac:dyDescent="0.4">
      <c r="A1279" t="s">
        <v>2362</v>
      </c>
      <c r="B1279">
        <v>45.7</v>
      </c>
      <c r="C1279" t="s">
        <v>5734</v>
      </c>
      <c r="D1279">
        <v>3</v>
      </c>
      <c r="E1279">
        <v>-0.746</v>
      </c>
    </row>
    <row r="1280" spans="1:5" x14ac:dyDescent="0.4">
      <c r="A1280" t="s">
        <v>2356</v>
      </c>
      <c r="B1280">
        <v>83.3</v>
      </c>
      <c r="C1280" t="s">
        <v>2478</v>
      </c>
      <c r="D1280">
        <v>5</v>
      </c>
      <c r="E1280">
        <v>1.552</v>
      </c>
    </row>
    <row r="1281" spans="1:5" x14ac:dyDescent="0.4">
      <c r="A1281" t="s">
        <v>4159</v>
      </c>
      <c r="B1281">
        <v>45.6</v>
      </c>
      <c r="C1281" t="s">
        <v>5717</v>
      </c>
      <c r="D1281">
        <v>3</v>
      </c>
      <c r="E1281">
        <v>-0.752</v>
      </c>
    </row>
    <row r="1282" spans="1:5" x14ac:dyDescent="0.4">
      <c r="A1282" t="s">
        <v>4179</v>
      </c>
      <c r="B1282">
        <v>35</v>
      </c>
      <c r="C1282" t="s">
        <v>6036</v>
      </c>
      <c r="D1282">
        <v>2</v>
      </c>
      <c r="E1282">
        <v>-1.399</v>
      </c>
    </row>
    <row r="1283" spans="1:5" x14ac:dyDescent="0.4">
      <c r="A1283" t="s">
        <v>4183</v>
      </c>
      <c r="B1283">
        <v>38.1</v>
      </c>
      <c r="C1283" t="s">
        <v>5728</v>
      </c>
      <c r="D1283">
        <v>2</v>
      </c>
      <c r="E1283">
        <v>-1.21</v>
      </c>
    </row>
    <row r="1284" spans="1:5" x14ac:dyDescent="0.4">
      <c r="A1284" t="s">
        <v>4181</v>
      </c>
      <c r="B1284">
        <v>43.9</v>
      </c>
      <c r="C1284" t="s">
        <v>5694</v>
      </c>
      <c r="D1284">
        <v>3</v>
      </c>
      <c r="E1284">
        <v>-0.85599999999999998</v>
      </c>
    </row>
    <row r="1285" spans="1:5" x14ac:dyDescent="0.4">
      <c r="A1285" t="s">
        <v>4169</v>
      </c>
      <c r="B1285">
        <v>37.1</v>
      </c>
      <c r="C1285" t="s">
        <v>5710</v>
      </c>
      <c r="D1285">
        <v>2</v>
      </c>
      <c r="E1285">
        <v>-1.2709999999999999</v>
      </c>
    </row>
    <row r="1286" spans="1:5" x14ac:dyDescent="0.4">
      <c r="A1286" t="s">
        <v>4158</v>
      </c>
      <c r="B1286">
        <v>48.4</v>
      </c>
      <c r="C1286" t="s">
        <v>5727</v>
      </c>
      <c r="D1286">
        <v>3</v>
      </c>
      <c r="E1286">
        <v>-0.58099999999999996</v>
      </c>
    </row>
    <row r="1287" spans="1:5" x14ac:dyDescent="0.4">
      <c r="A1287" t="s">
        <v>4172</v>
      </c>
      <c r="B1287">
        <v>67.7</v>
      </c>
      <c r="C1287" t="s">
        <v>5721</v>
      </c>
      <c r="D1287">
        <v>4</v>
      </c>
      <c r="E1287">
        <v>0.59899999999999998</v>
      </c>
    </row>
    <row r="1288" spans="1:5" x14ac:dyDescent="0.4">
      <c r="A1288" t="s">
        <v>4173</v>
      </c>
      <c r="B1288">
        <v>78.599999999999994</v>
      </c>
      <c r="C1288" t="s">
        <v>2482</v>
      </c>
      <c r="D1288">
        <v>4</v>
      </c>
      <c r="E1288">
        <v>1.2649999999999999</v>
      </c>
    </row>
    <row r="1289" spans="1:5" x14ac:dyDescent="0.4">
      <c r="A1289" t="s">
        <v>4191</v>
      </c>
      <c r="B1289">
        <v>42.8</v>
      </c>
      <c r="C1289" t="s">
        <v>5709</v>
      </c>
      <c r="D1289">
        <v>3</v>
      </c>
      <c r="E1289">
        <v>-0.92300000000000004</v>
      </c>
    </row>
    <row r="1290" spans="1:5" x14ac:dyDescent="0.4">
      <c r="A1290" t="s">
        <v>2357</v>
      </c>
      <c r="B1290">
        <v>67.7</v>
      </c>
      <c r="C1290" t="s">
        <v>5721</v>
      </c>
      <c r="D1290">
        <v>4</v>
      </c>
      <c r="E1290">
        <v>0.59899999999999998</v>
      </c>
    </row>
    <row r="1291" spans="1:5" x14ac:dyDescent="0.4">
      <c r="A1291" t="s">
        <v>2361</v>
      </c>
      <c r="B1291">
        <v>41.2</v>
      </c>
      <c r="C1291" t="s">
        <v>5698</v>
      </c>
      <c r="D1291">
        <v>3</v>
      </c>
      <c r="E1291">
        <v>-1.0209999999999999</v>
      </c>
    </row>
    <row r="1292" spans="1:5" x14ac:dyDescent="0.4">
      <c r="A1292" t="s">
        <v>4174</v>
      </c>
      <c r="B1292">
        <v>54.7</v>
      </c>
      <c r="C1292" t="s">
        <v>5693</v>
      </c>
      <c r="D1292">
        <v>3</v>
      </c>
      <c r="E1292">
        <v>-0.19600000000000001</v>
      </c>
    </row>
    <row r="1293" spans="1:5" x14ac:dyDescent="0.4">
      <c r="A1293" t="s">
        <v>4180</v>
      </c>
      <c r="B1293">
        <v>40.799999999999997</v>
      </c>
      <c r="C1293" t="s">
        <v>5708</v>
      </c>
      <c r="D1293">
        <v>3</v>
      </c>
      <c r="E1293">
        <v>-1.0449999999999999</v>
      </c>
    </row>
    <row r="1294" spans="1:5" x14ac:dyDescent="0.4">
      <c r="A1294" t="s">
        <v>4161</v>
      </c>
      <c r="B1294">
        <v>36.4</v>
      </c>
      <c r="C1294" t="s">
        <v>6037</v>
      </c>
      <c r="D1294">
        <v>2</v>
      </c>
      <c r="E1294">
        <v>-1.3140000000000001</v>
      </c>
    </row>
    <row r="1295" spans="1:5" x14ac:dyDescent="0.4">
      <c r="A1295" t="s">
        <v>5815</v>
      </c>
      <c r="B1295">
        <v>65.5</v>
      </c>
      <c r="C1295" t="s">
        <v>6579</v>
      </c>
      <c r="D1295">
        <v>4</v>
      </c>
      <c r="E1295">
        <v>0.46400000000000002</v>
      </c>
    </row>
    <row r="1296" spans="1:5" x14ac:dyDescent="0.4">
      <c r="A1296" t="s">
        <v>4184</v>
      </c>
      <c r="B1296">
        <v>80.7</v>
      </c>
      <c r="C1296" t="s">
        <v>6039</v>
      </c>
      <c r="D1296">
        <v>5</v>
      </c>
      <c r="E1296">
        <v>1.393</v>
      </c>
    </row>
    <row r="1297" spans="1:5" x14ac:dyDescent="0.4">
      <c r="A1297" t="s">
        <v>5816</v>
      </c>
      <c r="B1297">
        <v>33.4</v>
      </c>
      <c r="C1297" t="s">
        <v>6033</v>
      </c>
      <c r="D1297">
        <v>2</v>
      </c>
      <c r="E1297">
        <v>-1.4970000000000001</v>
      </c>
    </row>
    <row r="1298" spans="1:5" x14ac:dyDescent="0.4">
      <c r="A1298" t="s">
        <v>4192</v>
      </c>
      <c r="B1298">
        <v>64.099999999999994</v>
      </c>
      <c r="C1298" t="s">
        <v>6034</v>
      </c>
      <c r="D1298">
        <v>4</v>
      </c>
      <c r="E1298">
        <v>0.379</v>
      </c>
    </row>
    <row r="1299" spans="1:5" x14ac:dyDescent="0.4">
      <c r="A1299" t="s">
        <v>4167</v>
      </c>
      <c r="B1299">
        <v>37.6</v>
      </c>
      <c r="C1299" t="s">
        <v>5697</v>
      </c>
      <c r="D1299">
        <v>2</v>
      </c>
      <c r="E1299">
        <v>-1.2410000000000001</v>
      </c>
    </row>
    <row r="1300" spans="1:5" x14ac:dyDescent="0.4">
      <c r="A1300" t="s">
        <v>4171</v>
      </c>
      <c r="B1300">
        <v>33.700000000000003</v>
      </c>
      <c r="C1300" t="s">
        <v>6035</v>
      </c>
      <c r="D1300">
        <v>2</v>
      </c>
      <c r="E1300">
        <v>-1.4790000000000001</v>
      </c>
    </row>
    <row r="1301" spans="1:5" x14ac:dyDescent="0.4">
      <c r="A1301" t="s">
        <v>4165</v>
      </c>
      <c r="B1301">
        <v>53</v>
      </c>
      <c r="C1301" t="s">
        <v>5736</v>
      </c>
      <c r="D1301">
        <v>3</v>
      </c>
      <c r="E1301">
        <v>-0.29899999999999999</v>
      </c>
    </row>
    <row r="1302" spans="1:5" x14ac:dyDescent="0.4">
      <c r="A1302" t="s">
        <v>5817</v>
      </c>
      <c r="B1302">
        <v>52.1</v>
      </c>
      <c r="C1302" t="s">
        <v>5735</v>
      </c>
      <c r="D1302">
        <v>3</v>
      </c>
      <c r="E1302">
        <v>-0.35399999999999998</v>
      </c>
    </row>
    <row r="1303" spans="1:5" x14ac:dyDescent="0.4">
      <c r="A1303" t="s">
        <v>4185</v>
      </c>
      <c r="B1303">
        <v>80.5</v>
      </c>
      <c r="C1303" t="s">
        <v>2483</v>
      </c>
      <c r="D1303">
        <v>5</v>
      </c>
      <c r="E1303">
        <v>1.381</v>
      </c>
    </row>
    <row r="1304" spans="1:5" x14ac:dyDescent="0.4">
      <c r="A1304" t="s">
        <v>2358</v>
      </c>
      <c r="B1304">
        <v>77.5</v>
      </c>
      <c r="C1304" t="s">
        <v>2484</v>
      </c>
      <c r="D1304">
        <v>4</v>
      </c>
      <c r="E1304">
        <v>1.198</v>
      </c>
    </row>
    <row r="1305" spans="1:5" x14ac:dyDescent="0.4">
      <c r="A1305" t="s">
        <v>2359</v>
      </c>
      <c r="B1305">
        <v>82.1</v>
      </c>
      <c r="C1305" t="s">
        <v>2477</v>
      </c>
      <c r="D1305">
        <v>5</v>
      </c>
      <c r="E1305">
        <v>1.4790000000000001</v>
      </c>
    </row>
    <row r="1306" spans="1:5" x14ac:dyDescent="0.4">
      <c r="A1306" t="s">
        <v>4188</v>
      </c>
      <c r="B1306">
        <v>67.7</v>
      </c>
      <c r="C1306" t="s">
        <v>5721</v>
      </c>
      <c r="D1306">
        <v>4</v>
      </c>
      <c r="E1306">
        <v>0.59899999999999998</v>
      </c>
    </row>
    <row r="1307" spans="1:5" x14ac:dyDescent="0.4">
      <c r="A1307" t="s">
        <v>2360</v>
      </c>
      <c r="B1307">
        <v>80.7</v>
      </c>
      <c r="C1307" t="s">
        <v>6039</v>
      </c>
      <c r="D1307">
        <v>5</v>
      </c>
      <c r="E1307">
        <v>1.393</v>
      </c>
    </row>
    <row r="1308" spans="1:5" x14ac:dyDescent="0.4">
      <c r="A1308" t="s">
        <v>4163</v>
      </c>
      <c r="B1308">
        <v>67.7</v>
      </c>
      <c r="C1308" t="s">
        <v>5721</v>
      </c>
      <c r="D1308">
        <v>4</v>
      </c>
      <c r="E1308">
        <v>0.59899999999999998</v>
      </c>
    </row>
    <row r="1309" spans="1:5" x14ac:dyDescent="0.4">
      <c r="A1309" t="s">
        <v>4177</v>
      </c>
      <c r="B1309">
        <v>74.2</v>
      </c>
      <c r="C1309" t="s">
        <v>2481</v>
      </c>
      <c r="D1309">
        <v>4</v>
      </c>
      <c r="E1309">
        <v>0.996</v>
      </c>
    </row>
    <row r="1310" spans="1:5" x14ac:dyDescent="0.4">
      <c r="A1310" t="s">
        <v>4187</v>
      </c>
      <c r="B1310">
        <v>58.7</v>
      </c>
      <c r="C1310" t="s">
        <v>5729</v>
      </c>
      <c r="D1310">
        <v>3</v>
      </c>
      <c r="E1310">
        <v>4.9000000000000002E-2</v>
      </c>
    </row>
    <row r="1311" spans="1:5" x14ac:dyDescent="0.4">
      <c r="A1311" t="s">
        <v>4178</v>
      </c>
      <c r="B1311">
        <v>44</v>
      </c>
      <c r="C1311" t="s">
        <v>5702</v>
      </c>
      <c r="D1311">
        <v>3</v>
      </c>
      <c r="E1311">
        <v>-0.84899999999999998</v>
      </c>
    </row>
    <row r="1312" spans="1:5" x14ac:dyDescent="0.4">
      <c r="A1312" t="s">
        <v>2364</v>
      </c>
      <c r="B1312">
        <v>57.9</v>
      </c>
      <c r="C1312" t="s">
        <v>197</v>
      </c>
      <c r="D1312">
        <v>3</v>
      </c>
    </row>
    <row r="1313" spans="1:5" x14ac:dyDescent="0.4">
      <c r="A1313" t="s">
        <v>2365</v>
      </c>
      <c r="B1313">
        <v>43.4</v>
      </c>
      <c r="C1313" t="s">
        <v>197</v>
      </c>
      <c r="D1313">
        <v>3</v>
      </c>
    </row>
    <row r="1314" spans="1:5" x14ac:dyDescent="0.4">
      <c r="A1314" t="s">
        <v>2366</v>
      </c>
      <c r="B1314">
        <v>56.1</v>
      </c>
      <c r="C1314" t="s">
        <v>197</v>
      </c>
      <c r="D1314">
        <v>3</v>
      </c>
    </row>
    <row r="1315" spans="1:5" x14ac:dyDescent="0.4">
      <c r="A1315" t="s">
        <v>2367</v>
      </c>
      <c r="B1315">
        <v>44.4</v>
      </c>
      <c r="C1315" t="s">
        <v>197</v>
      </c>
      <c r="D1315">
        <v>3</v>
      </c>
    </row>
    <row r="1316" spans="1:5" x14ac:dyDescent="0.4">
      <c r="A1316" t="s">
        <v>2368</v>
      </c>
      <c r="B1316">
        <v>60.8</v>
      </c>
      <c r="C1316" t="s">
        <v>197</v>
      </c>
      <c r="D1316">
        <v>4</v>
      </c>
    </row>
    <row r="1317" spans="1:5" x14ac:dyDescent="0.4">
      <c r="A1317" t="s">
        <v>2606</v>
      </c>
      <c r="B1317">
        <v>50.1</v>
      </c>
      <c r="C1317" t="s">
        <v>197</v>
      </c>
      <c r="D1317">
        <v>3</v>
      </c>
    </row>
    <row r="1318" spans="1:5" x14ac:dyDescent="0.4">
      <c r="A1318" t="s">
        <v>2607</v>
      </c>
      <c r="B1318">
        <v>71.3</v>
      </c>
      <c r="C1318" t="s">
        <v>197</v>
      </c>
      <c r="D1318">
        <v>4</v>
      </c>
    </row>
    <row r="1319" spans="1:5" x14ac:dyDescent="0.4">
      <c r="A1319" t="s">
        <v>7318</v>
      </c>
      <c r="B1319">
        <v>45.6</v>
      </c>
      <c r="C1319" t="s">
        <v>197</v>
      </c>
      <c r="D1319">
        <v>3</v>
      </c>
    </row>
    <row r="1320" spans="1:5" x14ac:dyDescent="0.4">
      <c r="A1320" t="s">
        <v>7319</v>
      </c>
      <c r="B1320">
        <v>60.9</v>
      </c>
      <c r="C1320" t="s">
        <v>197</v>
      </c>
      <c r="D1320">
        <v>4</v>
      </c>
    </row>
    <row r="1321" spans="1:5" x14ac:dyDescent="0.4">
      <c r="A1321" t="s">
        <v>7320</v>
      </c>
      <c r="B1321">
        <v>64.900000000000006</v>
      </c>
      <c r="C1321" t="s">
        <v>197</v>
      </c>
      <c r="D1321">
        <v>4</v>
      </c>
    </row>
    <row r="1322" spans="1:5" x14ac:dyDescent="0.4">
      <c r="A1322" t="s">
        <v>4057</v>
      </c>
      <c r="B1322">
        <v>47.4</v>
      </c>
      <c r="C1322" t="s">
        <v>5693</v>
      </c>
      <c r="D1322">
        <v>3</v>
      </c>
      <c r="E1322">
        <v>-0.72399999999999998</v>
      </c>
    </row>
    <row r="1323" spans="1:5" x14ac:dyDescent="0.4">
      <c r="A1323" t="s">
        <v>4055</v>
      </c>
      <c r="B1323">
        <v>39.4</v>
      </c>
      <c r="C1323" t="s">
        <v>5702</v>
      </c>
      <c r="D1323">
        <v>2</v>
      </c>
      <c r="E1323">
        <v>-1.0269999999999999</v>
      </c>
    </row>
    <row r="1324" spans="1:5" x14ac:dyDescent="0.4">
      <c r="A1324" t="s">
        <v>4061</v>
      </c>
      <c r="B1324">
        <v>37.9</v>
      </c>
      <c r="C1324" t="s">
        <v>6588</v>
      </c>
      <c r="D1324">
        <v>2</v>
      </c>
      <c r="E1324">
        <v>-1.0840000000000001</v>
      </c>
    </row>
    <row r="1325" spans="1:5" x14ac:dyDescent="0.4">
      <c r="A1325" t="s">
        <v>4085</v>
      </c>
      <c r="B1325">
        <v>93.9</v>
      </c>
      <c r="C1325" t="s">
        <v>2476</v>
      </c>
      <c r="D1325">
        <v>5</v>
      </c>
      <c r="E1325">
        <v>1.0389999999999999</v>
      </c>
    </row>
    <row r="1326" spans="1:5" x14ac:dyDescent="0.4">
      <c r="A1326" t="s">
        <v>2310</v>
      </c>
      <c r="B1326">
        <v>90.4</v>
      </c>
      <c r="C1326" t="s">
        <v>6856</v>
      </c>
      <c r="D1326">
        <v>5</v>
      </c>
      <c r="E1326">
        <v>0.90600000000000003</v>
      </c>
    </row>
    <row r="1327" spans="1:5" x14ac:dyDescent="0.4">
      <c r="A1327" t="s">
        <v>4081</v>
      </c>
      <c r="B1327">
        <v>88.3</v>
      </c>
      <c r="C1327" t="s">
        <v>6617</v>
      </c>
      <c r="D1327">
        <v>5</v>
      </c>
      <c r="E1327">
        <v>0.82599999999999996</v>
      </c>
    </row>
    <row r="1328" spans="1:5" x14ac:dyDescent="0.4">
      <c r="A1328" t="s">
        <v>4065</v>
      </c>
      <c r="B1328">
        <v>89.4</v>
      </c>
      <c r="C1328" t="s">
        <v>5692</v>
      </c>
      <c r="D1328">
        <v>5</v>
      </c>
      <c r="E1328">
        <v>0.86799999999999999</v>
      </c>
    </row>
    <row r="1329" spans="1:5" x14ac:dyDescent="0.4">
      <c r="A1329" t="s">
        <v>4059</v>
      </c>
      <c r="B1329">
        <v>95.9</v>
      </c>
      <c r="C1329" t="s">
        <v>2478</v>
      </c>
      <c r="D1329">
        <v>5</v>
      </c>
      <c r="E1329">
        <v>1.1140000000000001</v>
      </c>
    </row>
    <row r="1330" spans="1:5" x14ac:dyDescent="0.4">
      <c r="A1330" t="s">
        <v>4071</v>
      </c>
      <c r="B1330">
        <v>83.9</v>
      </c>
      <c r="C1330" t="s">
        <v>5703</v>
      </c>
      <c r="D1330">
        <v>5</v>
      </c>
      <c r="E1330">
        <v>0.66</v>
      </c>
    </row>
    <row r="1331" spans="1:5" x14ac:dyDescent="0.4">
      <c r="A1331" t="s">
        <v>4063</v>
      </c>
      <c r="B1331">
        <v>37.700000000000003</v>
      </c>
      <c r="C1331" t="s">
        <v>5728</v>
      </c>
      <c r="D1331">
        <v>2</v>
      </c>
      <c r="E1331">
        <v>-1.0920000000000001</v>
      </c>
    </row>
    <row r="1332" spans="1:5" x14ac:dyDescent="0.4">
      <c r="A1332" t="s">
        <v>5970</v>
      </c>
      <c r="B1332">
        <v>90.3</v>
      </c>
      <c r="C1332" t="s">
        <v>5701</v>
      </c>
      <c r="D1332">
        <v>5</v>
      </c>
      <c r="E1332">
        <v>0.90200000000000002</v>
      </c>
    </row>
    <row r="1333" spans="1:5" x14ac:dyDescent="0.4">
      <c r="A1333" t="s">
        <v>4077</v>
      </c>
      <c r="B1333">
        <v>87.9</v>
      </c>
      <c r="C1333" t="s">
        <v>6589</v>
      </c>
      <c r="D1333">
        <v>5</v>
      </c>
      <c r="E1333">
        <v>0.81100000000000005</v>
      </c>
    </row>
    <row r="1334" spans="1:5" x14ac:dyDescent="0.4">
      <c r="A1334" t="s">
        <v>2311</v>
      </c>
      <c r="B1334">
        <v>33.6</v>
      </c>
      <c r="C1334" t="s">
        <v>6036</v>
      </c>
      <c r="D1334">
        <v>2</v>
      </c>
      <c r="E1334">
        <v>-1.2470000000000001</v>
      </c>
    </row>
    <row r="1335" spans="1:5" x14ac:dyDescent="0.4">
      <c r="A1335" t="s">
        <v>2320</v>
      </c>
      <c r="B1335">
        <v>95.5</v>
      </c>
      <c r="C1335" t="s">
        <v>2477</v>
      </c>
      <c r="D1335">
        <v>5</v>
      </c>
      <c r="E1335">
        <v>1.099</v>
      </c>
    </row>
    <row r="1336" spans="1:5" x14ac:dyDescent="0.4">
      <c r="A1336" t="s">
        <v>4070</v>
      </c>
      <c r="B1336">
        <v>88.9</v>
      </c>
      <c r="C1336" t="s">
        <v>5695</v>
      </c>
      <c r="D1336">
        <v>5</v>
      </c>
      <c r="E1336">
        <v>0.84899999999999998</v>
      </c>
    </row>
    <row r="1337" spans="1:5" x14ac:dyDescent="0.4">
      <c r="A1337" t="s">
        <v>4084</v>
      </c>
      <c r="B1337">
        <v>38.799999999999997</v>
      </c>
      <c r="C1337" t="s">
        <v>5737</v>
      </c>
      <c r="D1337">
        <v>2</v>
      </c>
      <c r="E1337">
        <v>-1.05</v>
      </c>
    </row>
    <row r="1338" spans="1:5" x14ac:dyDescent="0.4">
      <c r="A1338" t="s">
        <v>2312</v>
      </c>
      <c r="B1338">
        <v>88.8</v>
      </c>
      <c r="C1338" t="s">
        <v>6580</v>
      </c>
      <c r="D1338">
        <v>5</v>
      </c>
      <c r="E1338">
        <v>0.84499999999999997</v>
      </c>
    </row>
    <row r="1339" spans="1:5" x14ac:dyDescent="0.4">
      <c r="A1339" t="s">
        <v>2319</v>
      </c>
      <c r="B1339">
        <v>34.799999999999997</v>
      </c>
      <c r="C1339" t="s">
        <v>6037</v>
      </c>
      <c r="D1339">
        <v>2</v>
      </c>
      <c r="E1339">
        <v>-1.202</v>
      </c>
    </row>
    <row r="1340" spans="1:5" x14ac:dyDescent="0.4">
      <c r="A1340" t="s">
        <v>2313</v>
      </c>
      <c r="B1340">
        <v>80.900000000000006</v>
      </c>
      <c r="C1340" t="s">
        <v>5706</v>
      </c>
      <c r="D1340">
        <v>5</v>
      </c>
      <c r="E1340">
        <v>0.54600000000000004</v>
      </c>
    </row>
    <row r="1341" spans="1:5" x14ac:dyDescent="0.4">
      <c r="A1341" t="s">
        <v>4054</v>
      </c>
      <c r="B1341">
        <v>89.7</v>
      </c>
      <c r="C1341" t="s">
        <v>5705</v>
      </c>
      <c r="D1341">
        <v>5</v>
      </c>
      <c r="E1341">
        <v>0.879</v>
      </c>
    </row>
    <row r="1342" spans="1:5" x14ac:dyDescent="0.4">
      <c r="A1342" t="s">
        <v>4074</v>
      </c>
      <c r="B1342">
        <v>40.6</v>
      </c>
      <c r="C1342" t="s">
        <v>5734</v>
      </c>
      <c r="D1342">
        <v>3</v>
      </c>
      <c r="E1342">
        <v>-0.98199999999999998</v>
      </c>
    </row>
    <row r="1343" spans="1:5" x14ac:dyDescent="0.4">
      <c r="A1343" t="s">
        <v>4078</v>
      </c>
      <c r="B1343">
        <v>35.9</v>
      </c>
      <c r="C1343" t="s">
        <v>5697</v>
      </c>
      <c r="D1343">
        <v>2</v>
      </c>
      <c r="E1343">
        <v>-1.1599999999999999</v>
      </c>
    </row>
    <row r="1344" spans="1:5" x14ac:dyDescent="0.4">
      <c r="A1344" t="s">
        <v>4076</v>
      </c>
      <c r="B1344">
        <v>37.9</v>
      </c>
      <c r="C1344" t="s">
        <v>6588</v>
      </c>
      <c r="D1344">
        <v>2</v>
      </c>
      <c r="E1344">
        <v>-1.0840000000000001</v>
      </c>
    </row>
    <row r="1345" spans="1:5" x14ac:dyDescent="0.4">
      <c r="A1345" t="s">
        <v>4064</v>
      </c>
      <c r="B1345">
        <v>40.1</v>
      </c>
      <c r="C1345" t="s">
        <v>5699</v>
      </c>
      <c r="D1345">
        <v>3</v>
      </c>
      <c r="E1345">
        <v>-1.0009999999999999</v>
      </c>
    </row>
    <row r="1346" spans="1:5" x14ac:dyDescent="0.4">
      <c r="A1346" t="s">
        <v>4053</v>
      </c>
      <c r="B1346">
        <v>98.4</v>
      </c>
      <c r="C1346" t="s">
        <v>2479</v>
      </c>
      <c r="D1346">
        <v>5</v>
      </c>
      <c r="E1346">
        <v>1.2090000000000001</v>
      </c>
    </row>
    <row r="1347" spans="1:5" x14ac:dyDescent="0.4">
      <c r="A1347" t="s">
        <v>4067</v>
      </c>
      <c r="B1347">
        <v>92.9</v>
      </c>
      <c r="C1347" t="s">
        <v>2482</v>
      </c>
      <c r="D1347">
        <v>5</v>
      </c>
      <c r="E1347">
        <v>1.0009999999999999</v>
      </c>
    </row>
    <row r="1348" spans="1:5" x14ac:dyDescent="0.4">
      <c r="A1348" t="s">
        <v>4068</v>
      </c>
      <c r="B1348">
        <v>85.8</v>
      </c>
      <c r="C1348" t="s">
        <v>5700</v>
      </c>
      <c r="D1348">
        <v>5</v>
      </c>
      <c r="E1348">
        <v>0.73199999999999998</v>
      </c>
    </row>
    <row r="1349" spans="1:5" x14ac:dyDescent="0.4">
      <c r="A1349" t="s">
        <v>4086</v>
      </c>
      <c r="B1349">
        <v>39.799999999999997</v>
      </c>
      <c r="C1349" t="s">
        <v>5704</v>
      </c>
      <c r="D1349">
        <v>2</v>
      </c>
      <c r="E1349">
        <v>-1.012</v>
      </c>
    </row>
    <row r="1350" spans="1:5" x14ac:dyDescent="0.4">
      <c r="A1350" t="s">
        <v>2314</v>
      </c>
      <c r="B1350">
        <v>93.5</v>
      </c>
      <c r="C1350" t="s">
        <v>6593</v>
      </c>
      <c r="D1350">
        <v>5</v>
      </c>
      <c r="E1350">
        <v>1.0229999999999999</v>
      </c>
    </row>
    <row r="1351" spans="1:5" x14ac:dyDescent="0.4">
      <c r="A1351" t="s">
        <v>2318</v>
      </c>
      <c r="B1351">
        <v>42.6</v>
      </c>
      <c r="C1351" t="s">
        <v>5714</v>
      </c>
      <c r="D1351">
        <v>3</v>
      </c>
      <c r="E1351">
        <v>-0.90600000000000003</v>
      </c>
    </row>
    <row r="1352" spans="1:5" x14ac:dyDescent="0.4">
      <c r="A1352" t="s">
        <v>4069</v>
      </c>
      <c r="B1352">
        <v>35.4</v>
      </c>
      <c r="C1352" t="s">
        <v>5710</v>
      </c>
      <c r="D1352">
        <v>2</v>
      </c>
      <c r="E1352">
        <v>-1.179</v>
      </c>
    </row>
    <row r="1353" spans="1:5" x14ac:dyDescent="0.4">
      <c r="A1353" t="s">
        <v>4075</v>
      </c>
      <c r="B1353">
        <v>37.9</v>
      </c>
      <c r="C1353" t="s">
        <v>6588</v>
      </c>
      <c r="D1353">
        <v>2</v>
      </c>
      <c r="E1353">
        <v>-1.0840000000000001</v>
      </c>
    </row>
    <row r="1354" spans="1:5" x14ac:dyDescent="0.4">
      <c r="A1354" t="s">
        <v>4056</v>
      </c>
      <c r="B1354">
        <v>44.7</v>
      </c>
      <c r="C1354" t="s">
        <v>5736</v>
      </c>
      <c r="D1354">
        <v>3</v>
      </c>
      <c r="E1354">
        <v>-0.82599999999999996</v>
      </c>
    </row>
    <row r="1355" spans="1:5" x14ac:dyDescent="0.4">
      <c r="A1355" t="s">
        <v>5818</v>
      </c>
      <c r="B1355">
        <v>87.9</v>
      </c>
      <c r="C1355" t="s">
        <v>6589</v>
      </c>
      <c r="D1355">
        <v>5</v>
      </c>
      <c r="E1355">
        <v>0.81100000000000005</v>
      </c>
    </row>
    <row r="1356" spans="1:5" x14ac:dyDescent="0.4">
      <c r="A1356" t="s">
        <v>4079</v>
      </c>
      <c r="B1356">
        <v>90.4</v>
      </c>
      <c r="C1356" t="s">
        <v>6856</v>
      </c>
      <c r="D1356">
        <v>5</v>
      </c>
      <c r="E1356">
        <v>0.90600000000000003</v>
      </c>
    </row>
    <row r="1357" spans="1:5" x14ac:dyDescent="0.4">
      <c r="A1357" t="s">
        <v>5819</v>
      </c>
      <c r="B1357">
        <v>32.700000000000003</v>
      </c>
      <c r="C1357" t="s">
        <v>6035</v>
      </c>
      <c r="D1357">
        <v>2</v>
      </c>
      <c r="E1357">
        <v>-1.2809999999999999</v>
      </c>
    </row>
    <row r="1358" spans="1:5" x14ac:dyDescent="0.4">
      <c r="A1358" t="s">
        <v>4087</v>
      </c>
      <c r="B1358">
        <v>91.4</v>
      </c>
      <c r="C1358" t="s">
        <v>2474</v>
      </c>
      <c r="D1358">
        <v>5</v>
      </c>
      <c r="E1358">
        <v>0.94399999999999995</v>
      </c>
    </row>
    <row r="1359" spans="1:5" x14ac:dyDescent="0.4">
      <c r="A1359" t="s">
        <v>4062</v>
      </c>
      <c r="B1359">
        <v>42.6</v>
      </c>
      <c r="C1359" t="s">
        <v>5714</v>
      </c>
      <c r="D1359">
        <v>3</v>
      </c>
      <c r="E1359">
        <v>-0.90600000000000003</v>
      </c>
    </row>
    <row r="1360" spans="1:5" x14ac:dyDescent="0.4">
      <c r="A1360" t="s">
        <v>4066</v>
      </c>
      <c r="B1360">
        <v>38.799999999999997</v>
      </c>
      <c r="C1360" t="s">
        <v>5737</v>
      </c>
      <c r="D1360">
        <v>2</v>
      </c>
      <c r="E1360">
        <v>-1.05</v>
      </c>
    </row>
    <row r="1361" spans="1:5" x14ac:dyDescent="0.4">
      <c r="A1361" t="s">
        <v>4060</v>
      </c>
      <c r="B1361">
        <v>37.9</v>
      </c>
      <c r="C1361" t="s">
        <v>6588</v>
      </c>
      <c r="D1361">
        <v>2</v>
      </c>
      <c r="E1361">
        <v>-1.0840000000000001</v>
      </c>
    </row>
    <row r="1362" spans="1:5" x14ac:dyDescent="0.4">
      <c r="A1362" t="s">
        <v>5820</v>
      </c>
      <c r="B1362">
        <v>43.9</v>
      </c>
      <c r="C1362" t="s">
        <v>5735</v>
      </c>
      <c r="D1362">
        <v>3</v>
      </c>
      <c r="E1362">
        <v>-0.85699999999999998</v>
      </c>
    </row>
    <row r="1363" spans="1:5" x14ac:dyDescent="0.4">
      <c r="A1363" t="s">
        <v>4080</v>
      </c>
      <c r="B1363">
        <v>90</v>
      </c>
      <c r="C1363" t="s">
        <v>5707</v>
      </c>
      <c r="D1363">
        <v>5</v>
      </c>
      <c r="E1363">
        <v>0.89100000000000001</v>
      </c>
    </row>
    <row r="1364" spans="1:5" x14ac:dyDescent="0.4">
      <c r="A1364" t="s">
        <v>2315</v>
      </c>
      <c r="B1364">
        <v>88.3</v>
      </c>
      <c r="C1364" t="s">
        <v>6617</v>
      </c>
      <c r="D1364">
        <v>5</v>
      </c>
      <c r="E1364">
        <v>0.82599999999999996</v>
      </c>
    </row>
    <row r="1365" spans="1:5" x14ac:dyDescent="0.4">
      <c r="A1365" t="s">
        <v>2316</v>
      </c>
      <c r="B1365">
        <v>91.8</v>
      </c>
      <c r="C1365" t="s">
        <v>2484</v>
      </c>
      <c r="D1365">
        <v>5</v>
      </c>
      <c r="E1365">
        <v>0.95899999999999996</v>
      </c>
    </row>
    <row r="1366" spans="1:5" x14ac:dyDescent="0.4">
      <c r="A1366" t="s">
        <v>4083</v>
      </c>
      <c r="B1366">
        <v>93.5</v>
      </c>
      <c r="C1366" t="s">
        <v>6593</v>
      </c>
      <c r="D1366">
        <v>5</v>
      </c>
      <c r="E1366">
        <v>1.0229999999999999</v>
      </c>
    </row>
    <row r="1367" spans="1:5" x14ac:dyDescent="0.4">
      <c r="A1367" t="s">
        <v>2317</v>
      </c>
      <c r="B1367">
        <v>90.4</v>
      </c>
      <c r="C1367" t="s">
        <v>6856</v>
      </c>
      <c r="D1367">
        <v>5</v>
      </c>
      <c r="E1367">
        <v>0.90600000000000003</v>
      </c>
    </row>
    <row r="1368" spans="1:5" x14ac:dyDescent="0.4">
      <c r="A1368" t="s">
        <v>4058</v>
      </c>
      <c r="B1368">
        <v>94</v>
      </c>
      <c r="C1368" t="s">
        <v>2475</v>
      </c>
      <c r="D1368">
        <v>5</v>
      </c>
      <c r="E1368">
        <v>1.042</v>
      </c>
    </row>
    <row r="1369" spans="1:5" x14ac:dyDescent="0.4">
      <c r="A1369" t="s">
        <v>4072</v>
      </c>
      <c r="B1369">
        <v>87.6</v>
      </c>
      <c r="C1369" t="s">
        <v>5729</v>
      </c>
      <c r="D1369">
        <v>5</v>
      </c>
      <c r="E1369">
        <v>0.8</v>
      </c>
    </row>
    <row r="1370" spans="1:5" x14ac:dyDescent="0.4">
      <c r="A1370" t="s">
        <v>4082</v>
      </c>
      <c r="B1370">
        <v>38.299999999999997</v>
      </c>
      <c r="C1370" t="s">
        <v>5698</v>
      </c>
      <c r="D1370">
        <v>2</v>
      </c>
      <c r="E1370">
        <v>-1.069</v>
      </c>
    </row>
    <row r="1371" spans="1:5" x14ac:dyDescent="0.4">
      <c r="A1371" t="s">
        <v>4073</v>
      </c>
      <c r="B1371">
        <v>27.8</v>
      </c>
      <c r="C1371" t="s">
        <v>6033</v>
      </c>
      <c r="D1371">
        <v>2</v>
      </c>
      <c r="E1371">
        <v>-1.4670000000000001</v>
      </c>
    </row>
    <row r="1372" spans="1:5" x14ac:dyDescent="0.4">
      <c r="A1372" t="s">
        <v>1444</v>
      </c>
      <c r="B1372">
        <v>66.5</v>
      </c>
      <c r="C1372" t="s">
        <v>197</v>
      </c>
      <c r="D1372">
        <v>4</v>
      </c>
    </row>
    <row r="1373" spans="1:5" x14ac:dyDescent="0.4">
      <c r="A1373" t="s">
        <v>1445</v>
      </c>
      <c r="B1373">
        <v>63.9</v>
      </c>
      <c r="C1373" t="s">
        <v>197</v>
      </c>
      <c r="D1373">
        <v>4</v>
      </c>
    </row>
    <row r="1374" spans="1:5" x14ac:dyDescent="0.4">
      <c r="A1374" t="s">
        <v>1589</v>
      </c>
      <c r="B1374">
        <v>62.9</v>
      </c>
      <c r="C1374" t="s">
        <v>197</v>
      </c>
      <c r="D1374">
        <v>4</v>
      </c>
    </row>
    <row r="1375" spans="1:5" x14ac:dyDescent="0.4">
      <c r="A1375" t="s">
        <v>1689</v>
      </c>
      <c r="B1375">
        <v>54</v>
      </c>
      <c r="C1375" t="s">
        <v>197</v>
      </c>
      <c r="D1375">
        <v>3</v>
      </c>
    </row>
    <row r="1376" spans="1:5" x14ac:dyDescent="0.4">
      <c r="A1376" t="s">
        <v>1690</v>
      </c>
      <c r="B1376">
        <v>67</v>
      </c>
      <c r="C1376" t="s">
        <v>197</v>
      </c>
      <c r="D1376">
        <v>4</v>
      </c>
    </row>
    <row r="1377" spans="1:12" x14ac:dyDescent="0.4">
      <c r="A1377" t="s">
        <v>2600</v>
      </c>
      <c r="B1377">
        <v>56.3</v>
      </c>
      <c r="C1377" t="s">
        <v>197</v>
      </c>
      <c r="D1377">
        <v>3</v>
      </c>
    </row>
    <row r="1378" spans="1:12" x14ac:dyDescent="0.4">
      <c r="A1378" t="s">
        <v>2601</v>
      </c>
      <c r="B1378">
        <v>79.8</v>
      </c>
      <c r="C1378" t="s">
        <v>197</v>
      </c>
      <c r="D1378">
        <v>4</v>
      </c>
    </row>
    <row r="1379" spans="1:12" x14ac:dyDescent="0.4">
      <c r="A1379" t="s">
        <v>7321</v>
      </c>
      <c r="B1379">
        <v>51.8</v>
      </c>
      <c r="C1379" t="s">
        <v>197</v>
      </c>
      <c r="D1379">
        <v>3</v>
      </c>
    </row>
    <row r="1380" spans="1:12" x14ac:dyDescent="0.4">
      <c r="A1380" t="s">
        <v>7322</v>
      </c>
      <c r="B1380">
        <v>66.2</v>
      </c>
      <c r="C1380" t="s">
        <v>197</v>
      </c>
      <c r="D1380">
        <v>4</v>
      </c>
    </row>
    <row r="1381" spans="1:12" x14ac:dyDescent="0.4">
      <c r="A1381" t="s">
        <v>7323</v>
      </c>
      <c r="B1381">
        <v>76.900000000000006</v>
      </c>
      <c r="C1381" t="s">
        <v>197</v>
      </c>
      <c r="D1381">
        <v>4</v>
      </c>
    </row>
    <row r="1382" spans="1:12" x14ac:dyDescent="0.4">
      <c r="A1382" t="s">
        <v>3392</v>
      </c>
      <c r="B1382">
        <v>94.8</v>
      </c>
      <c r="C1382" t="s">
        <v>2478</v>
      </c>
      <c r="D1382">
        <v>5</v>
      </c>
      <c r="E1382">
        <v>1.9570000000000001</v>
      </c>
      <c r="F1382">
        <v>5.2</v>
      </c>
      <c r="G1382">
        <v>2022</v>
      </c>
      <c r="H1382" t="s">
        <v>928</v>
      </c>
      <c r="I1382" t="s">
        <v>6596</v>
      </c>
      <c r="L1382" t="s">
        <v>197</v>
      </c>
    </row>
    <row r="1383" spans="1:12" x14ac:dyDescent="0.4">
      <c r="A1383" t="s">
        <v>3390</v>
      </c>
      <c r="B1383">
        <v>78.8</v>
      </c>
      <c r="C1383" t="s">
        <v>5700</v>
      </c>
      <c r="D1383">
        <v>4</v>
      </c>
      <c r="E1383">
        <v>-2.5000000000000001E-2</v>
      </c>
      <c r="F1383">
        <v>21.2</v>
      </c>
      <c r="G1383">
        <v>2022</v>
      </c>
      <c r="H1383" t="s">
        <v>928</v>
      </c>
      <c r="I1383" t="s">
        <v>6596</v>
      </c>
      <c r="L1383" t="s">
        <v>197</v>
      </c>
    </row>
    <row r="1384" spans="1:12" x14ac:dyDescent="0.4">
      <c r="A1384" t="s">
        <v>3396</v>
      </c>
      <c r="B1384">
        <v>75.7</v>
      </c>
      <c r="C1384" t="s">
        <v>5717</v>
      </c>
      <c r="D1384">
        <v>4</v>
      </c>
      <c r="E1384">
        <v>-0.40899999999999997</v>
      </c>
      <c r="F1384">
        <v>24.3</v>
      </c>
      <c r="G1384">
        <v>2022</v>
      </c>
      <c r="H1384" t="s">
        <v>928</v>
      </c>
      <c r="I1384" t="s">
        <v>6596</v>
      </c>
      <c r="L1384" t="s">
        <v>197</v>
      </c>
    </row>
    <row r="1385" spans="1:12" x14ac:dyDescent="0.4">
      <c r="A1385" t="s">
        <v>3420</v>
      </c>
      <c r="B1385">
        <v>87.8</v>
      </c>
      <c r="C1385" t="s">
        <v>5726</v>
      </c>
      <c r="D1385">
        <v>5</v>
      </c>
      <c r="E1385">
        <v>1.0900000000000001</v>
      </c>
      <c r="F1385">
        <v>12.2</v>
      </c>
      <c r="G1385">
        <v>2022</v>
      </c>
      <c r="H1385" t="s">
        <v>928</v>
      </c>
      <c r="I1385" t="s">
        <v>6596</v>
      </c>
      <c r="L1385" t="s">
        <v>197</v>
      </c>
    </row>
    <row r="1386" spans="1:12" x14ac:dyDescent="0.4">
      <c r="A1386" t="s">
        <v>1999</v>
      </c>
      <c r="B1386">
        <v>80.8</v>
      </c>
      <c r="C1386" t="s">
        <v>6584</v>
      </c>
      <c r="D1386">
        <v>5</v>
      </c>
      <c r="E1386">
        <v>0.223</v>
      </c>
      <c r="F1386">
        <v>19.2</v>
      </c>
      <c r="G1386">
        <v>2022</v>
      </c>
      <c r="H1386" t="s">
        <v>928</v>
      </c>
      <c r="I1386" t="s">
        <v>6596</v>
      </c>
      <c r="L1386" t="s">
        <v>197</v>
      </c>
    </row>
    <row r="1387" spans="1:12" x14ac:dyDescent="0.4">
      <c r="A1387" t="s">
        <v>3416</v>
      </c>
      <c r="B1387">
        <v>76.599999999999994</v>
      </c>
      <c r="C1387" t="s">
        <v>5714</v>
      </c>
      <c r="D1387">
        <v>4</v>
      </c>
      <c r="E1387">
        <v>-0.29699999999999999</v>
      </c>
      <c r="F1387">
        <v>23.4</v>
      </c>
      <c r="G1387">
        <v>2022</v>
      </c>
      <c r="H1387" t="s">
        <v>928</v>
      </c>
      <c r="I1387" t="s">
        <v>6596</v>
      </c>
      <c r="L1387" t="s">
        <v>197</v>
      </c>
    </row>
    <row r="1388" spans="1:12" x14ac:dyDescent="0.4">
      <c r="A1388" t="s">
        <v>3400</v>
      </c>
      <c r="B1388">
        <v>78.7</v>
      </c>
      <c r="C1388" t="s">
        <v>5703</v>
      </c>
      <c r="D1388">
        <v>4</v>
      </c>
      <c r="E1388">
        <v>-3.6999999999999998E-2</v>
      </c>
      <c r="F1388">
        <v>21.3</v>
      </c>
      <c r="G1388">
        <v>2022</v>
      </c>
      <c r="H1388" t="s">
        <v>928</v>
      </c>
      <c r="I1388" t="s">
        <v>6596</v>
      </c>
      <c r="L1388" t="s">
        <v>197</v>
      </c>
    </row>
    <row r="1389" spans="1:12" x14ac:dyDescent="0.4">
      <c r="A1389" t="s">
        <v>3394</v>
      </c>
      <c r="B1389">
        <v>91.8</v>
      </c>
      <c r="C1389" t="s">
        <v>2477</v>
      </c>
      <c r="D1389">
        <v>5</v>
      </c>
      <c r="E1389">
        <v>1.5860000000000001</v>
      </c>
      <c r="F1389">
        <v>8.1999999999999993</v>
      </c>
      <c r="G1389">
        <v>2022</v>
      </c>
      <c r="H1389" t="s">
        <v>928</v>
      </c>
      <c r="I1389" t="s">
        <v>6596</v>
      </c>
      <c r="L1389" t="s">
        <v>197</v>
      </c>
    </row>
    <row r="1390" spans="1:12" x14ac:dyDescent="0.4">
      <c r="A1390" t="s">
        <v>3406</v>
      </c>
      <c r="B1390">
        <v>67.8</v>
      </c>
      <c r="C1390" t="s">
        <v>5710</v>
      </c>
      <c r="D1390">
        <v>4</v>
      </c>
      <c r="E1390">
        <v>-1.387</v>
      </c>
      <c r="F1390">
        <v>32.200000000000003</v>
      </c>
      <c r="G1390">
        <v>2022</v>
      </c>
      <c r="H1390" t="s">
        <v>928</v>
      </c>
      <c r="I1390" t="s">
        <v>6596</v>
      </c>
      <c r="L1390" t="s">
        <v>197</v>
      </c>
    </row>
    <row r="1391" spans="1:12" x14ac:dyDescent="0.4">
      <c r="A1391" t="s">
        <v>3398</v>
      </c>
      <c r="B1391">
        <v>75.3</v>
      </c>
      <c r="C1391" t="s">
        <v>5708</v>
      </c>
      <c r="D1391">
        <v>4</v>
      </c>
      <c r="E1391">
        <v>-0.45800000000000002</v>
      </c>
      <c r="F1391">
        <v>24.7</v>
      </c>
      <c r="G1391">
        <v>2022</v>
      </c>
      <c r="H1391" t="s">
        <v>928</v>
      </c>
      <c r="I1391" t="s">
        <v>6596</v>
      </c>
      <c r="L1391" t="s">
        <v>197</v>
      </c>
    </row>
    <row r="1392" spans="1:12" x14ac:dyDescent="0.4">
      <c r="A1392" t="s">
        <v>5971</v>
      </c>
      <c r="B1392">
        <v>80.5</v>
      </c>
      <c r="C1392" t="s">
        <v>6579</v>
      </c>
      <c r="D1392">
        <v>5</v>
      </c>
      <c r="E1392">
        <v>0.186</v>
      </c>
      <c r="F1392">
        <v>19.5</v>
      </c>
      <c r="G1392">
        <v>2022</v>
      </c>
      <c r="H1392" t="s">
        <v>928</v>
      </c>
      <c r="I1392" t="s">
        <v>6596</v>
      </c>
      <c r="L1392" t="s">
        <v>197</v>
      </c>
    </row>
    <row r="1393" spans="1:12" x14ac:dyDescent="0.4">
      <c r="A1393" t="s">
        <v>3412</v>
      </c>
      <c r="B1393">
        <v>75.7</v>
      </c>
      <c r="C1393" t="s">
        <v>5717</v>
      </c>
      <c r="D1393">
        <v>4</v>
      </c>
      <c r="E1393">
        <v>-0.40899999999999997</v>
      </c>
      <c r="F1393">
        <v>24.3</v>
      </c>
      <c r="G1393">
        <v>2022</v>
      </c>
      <c r="H1393" t="s">
        <v>928</v>
      </c>
      <c r="I1393" t="s">
        <v>6596</v>
      </c>
      <c r="L1393" t="s">
        <v>197</v>
      </c>
    </row>
    <row r="1394" spans="1:12" x14ac:dyDescent="0.4">
      <c r="A1394" t="s">
        <v>2000</v>
      </c>
      <c r="B1394">
        <v>67.099999999999994</v>
      </c>
      <c r="C1394" t="s">
        <v>6037</v>
      </c>
      <c r="D1394">
        <v>4</v>
      </c>
      <c r="E1394">
        <v>-1.474</v>
      </c>
      <c r="F1394">
        <v>32.9</v>
      </c>
      <c r="G1394">
        <v>2022</v>
      </c>
      <c r="H1394" t="s">
        <v>928</v>
      </c>
      <c r="I1394" t="s">
        <v>6596</v>
      </c>
      <c r="L1394" t="s">
        <v>197</v>
      </c>
    </row>
    <row r="1395" spans="1:12" x14ac:dyDescent="0.4">
      <c r="A1395" t="s">
        <v>2009</v>
      </c>
      <c r="B1395">
        <v>91</v>
      </c>
      <c r="C1395" t="s">
        <v>2475</v>
      </c>
      <c r="D1395">
        <v>5</v>
      </c>
      <c r="E1395">
        <v>1.486</v>
      </c>
      <c r="F1395">
        <v>9</v>
      </c>
      <c r="G1395">
        <v>2022</v>
      </c>
      <c r="H1395" t="s">
        <v>928</v>
      </c>
      <c r="I1395" t="s">
        <v>6596</v>
      </c>
      <c r="L1395" t="s">
        <v>197</v>
      </c>
    </row>
    <row r="1396" spans="1:12" x14ac:dyDescent="0.4">
      <c r="A1396" t="s">
        <v>3405</v>
      </c>
      <c r="B1396">
        <v>77.7</v>
      </c>
      <c r="C1396" t="s">
        <v>5706</v>
      </c>
      <c r="D1396">
        <v>4</v>
      </c>
      <c r="E1396">
        <v>-0.161</v>
      </c>
      <c r="F1396">
        <v>22.3</v>
      </c>
      <c r="G1396">
        <v>2022</v>
      </c>
      <c r="H1396" t="s">
        <v>928</v>
      </c>
      <c r="I1396" t="s">
        <v>6596</v>
      </c>
      <c r="L1396" t="s">
        <v>197</v>
      </c>
    </row>
    <row r="1397" spans="1:12" x14ac:dyDescent="0.4">
      <c r="A1397" t="s">
        <v>3419</v>
      </c>
      <c r="B1397">
        <v>77.5</v>
      </c>
      <c r="C1397" t="s">
        <v>6041</v>
      </c>
      <c r="D1397">
        <v>4</v>
      </c>
      <c r="E1397">
        <v>-0.186</v>
      </c>
      <c r="F1397">
        <v>22.5</v>
      </c>
      <c r="G1397">
        <v>2022</v>
      </c>
      <c r="H1397" t="s">
        <v>928</v>
      </c>
      <c r="I1397" t="s">
        <v>6596</v>
      </c>
      <c r="L1397" t="s">
        <v>197</v>
      </c>
    </row>
    <row r="1398" spans="1:12" x14ac:dyDescent="0.4">
      <c r="A1398" t="s">
        <v>2001</v>
      </c>
      <c r="B1398">
        <v>77.5</v>
      </c>
      <c r="C1398" t="s">
        <v>6041</v>
      </c>
      <c r="D1398">
        <v>4</v>
      </c>
      <c r="E1398">
        <v>-0.186</v>
      </c>
      <c r="F1398">
        <v>22.5</v>
      </c>
      <c r="G1398">
        <v>2022</v>
      </c>
      <c r="H1398" t="s">
        <v>6613</v>
      </c>
      <c r="I1398" t="s">
        <v>6614</v>
      </c>
      <c r="L1398" t="s">
        <v>197</v>
      </c>
    </row>
    <row r="1399" spans="1:12" x14ac:dyDescent="0.4">
      <c r="A1399" t="s">
        <v>2008</v>
      </c>
      <c r="B1399">
        <v>69.5</v>
      </c>
      <c r="C1399" t="s">
        <v>5697</v>
      </c>
      <c r="D1399">
        <v>4</v>
      </c>
      <c r="E1399">
        <v>-1.177</v>
      </c>
      <c r="F1399">
        <v>30.5</v>
      </c>
      <c r="G1399">
        <v>2022</v>
      </c>
      <c r="H1399" t="s">
        <v>928</v>
      </c>
      <c r="I1399" t="s">
        <v>6596</v>
      </c>
      <c r="L1399" t="s">
        <v>197</v>
      </c>
    </row>
    <row r="1400" spans="1:12" x14ac:dyDescent="0.4">
      <c r="A1400" t="s">
        <v>2002</v>
      </c>
      <c r="B1400">
        <v>61.8</v>
      </c>
      <c r="C1400" t="s">
        <v>6035</v>
      </c>
      <c r="D1400">
        <v>4</v>
      </c>
      <c r="E1400">
        <v>-2.1309999999999998</v>
      </c>
      <c r="F1400">
        <v>38.200000000000003</v>
      </c>
      <c r="G1400">
        <v>2022</v>
      </c>
      <c r="H1400" t="s">
        <v>928</v>
      </c>
      <c r="I1400" t="s">
        <v>6596</v>
      </c>
      <c r="L1400" t="s">
        <v>197</v>
      </c>
    </row>
    <row r="1401" spans="1:12" x14ac:dyDescent="0.4">
      <c r="A1401" t="s">
        <v>3389</v>
      </c>
      <c r="B1401">
        <v>79.3</v>
      </c>
      <c r="C1401" t="s">
        <v>5729</v>
      </c>
      <c r="D1401">
        <v>4</v>
      </c>
      <c r="E1401">
        <v>3.6999999999999998E-2</v>
      </c>
      <c r="F1401">
        <v>20.7</v>
      </c>
      <c r="G1401">
        <v>2022</v>
      </c>
      <c r="H1401" t="s">
        <v>928</v>
      </c>
      <c r="I1401" t="s">
        <v>6596</v>
      </c>
      <c r="L1401" t="s">
        <v>197</v>
      </c>
    </row>
    <row r="1402" spans="1:12" x14ac:dyDescent="0.4">
      <c r="A1402" t="s">
        <v>3409</v>
      </c>
      <c r="B1402">
        <v>81.099999999999994</v>
      </c>
      <c r="C1402" t="s">
        <v>5705</v>
      </c>
      <c r="D1402">
        <v>5</v>
      </c>
      <c r="E1402">
        <v>0.26</v>
      </c>
      <c r="F1402">
        <v>18.899999999999999</v>
      </c>
      <c r="G1402">
        <v>2022</v>
      </c>
      <c r="H1402" t="s">
        <v>928</v>
      </c>
      <c r="I1402" t="s">
        <v>6596</v>
      </c>
      <c r="L1402" t="s">
        <v>197</v>
      </c>
    </row>
    <row r="1403" spans="1:12" x14ac:dyDescent="0.4">
      <c r="A1403" t="s">
        <v>3413</v>
      </c>
      <c r="B1403">
        <v>71.7</v>
      </c>
      <c r="C1403" t="s">
        <v>5712</v>
      </c>
      <c r="D1403">
        <v>4</v>
      </c>
      <c r="E1403">
        <v>-0.90400000000000003</v>
      </c>
      <c r="F1403">
        <v>28.3</v>
      </c>
      <c r="G1403">
        <v>2022</v>
      </c>
      <c r="H1403" t="s">
        <v>928</v>
      </c>
      <c r="I1403" t="s">
        <v>6596</v>
      </c>
      <c r="L1403" t="s">
        <v>197</v>
      </c>
    </row>
    <row r="1404" spans="1:12" x14ac:dyDescent="0.4">
      <c r="A1404" t="s">
        <v>3411</v>
      </c>
      <c r="B1404">
        <v>75.7</v>
      </c>
      <c r="C1404" t="s">
        <v>5717</v>
      </c>
      <c r="D1404">
        <v>4</v>
      </c>
      <c r="E1404">
        <v>-0.40899999999999997</v>
      </c>
      <c r="F1404">
        <v>24.3</v>
      </c>
      <c r="G1404">
        <v>2022</v>
      </c>
      <c r="H1404" t="s">
        <v>928</v>
      </c>
      <c r="I1404" t="s">
        <v>6596</v>
      </c>
      <c r="L1404" t="s">
        <v>197</v>
      </c>
    </row>
    <row r="1405" spans="1:12" x14ac:dyDescent="0.4">
      <c r="A1405" t="s">
        <v>3399</v>
      </c>
      <c r="B1405">
        <v>80.099999999999994</v>
      </c>
      <c r="C1405" t="s">
        <v>6034</v>
      </c>
      <c r="D1405">
        <v>5</v>
      </c>
      <c r="E1405">
        <v>0.13600000000000001</v>
      </c>
      <c r="F1405">
        <v>19.899999999999999</v>
      </c>
      <c r="G1405">
        <v>2022</v>
      </c>
      <c r="H1405" t="s">
        <v>928</v>
      </c>
      <c r="I1405" t="s">
        <v>6596</v>
      </c>
      <c r="L1405" t="s">
        <v>197</v>
      </c>
    </row>
    <row r="1406" spans="1:12" x14ac:dyDescent="0.4">
      <c r="A1406" t="s">
        <v>3388</v>
      </c>
      <c r="B1406">
        <v>96.7</v>
      </c>
      <c r="C1406" t="s">
        <v>2479</v>
      </c>
      <c r="D1406">
        <v>5</v>
      </c>
      <c r="E1406">
        <v>2.1920000000000002</v>
      </c>
      <c r="F1406">
        <v>3.3</v>
      </c>
      <c r="G1406">
        <v>2022</v>
      </c>
      <c r="H1406" t="s">
        <v>928</v>
      </c>
      <c r="I1406" t="s">
        <v>6596</v>
      </c>
      <c r="L1406" t="s">
        <v>197</v>
      </c>
    </row>
    <row r="1407" spans="1:12" x14ac:dyDescent="0.4">
      <c r="A1407" t="s">
        <v>3402</v>
      </c>
      <c r="B1407">
        <v>85.8</v>
      </c>
      <c r="C1407" t="s">
        <v>2481</v>
      </c>
      <c r="D1407">
        <v>5</v>
      </c>
      <c r="E1407">
        <v>0.84199999999999997</v>
      </c>
      <c r="F1407">
        <v>14.2</v>
      </c>
      <c r="G1407">
        <v>2022</v>
      </c>
      <c r="H1407" t="s">
        <v>928</v>
      </c>
      <c r="I1407" t="s">
        <v>6596</v>
      </c>
      <c r="L1407" t="s">
        <v>197</v>
      </c>
    </row>
    <row r="1408" spans="1:12" x14ac:dyDescent="0.4">
      <c r="A1408" t="s">
        <v>3403</v>
      </c>
      <c r="B1408">
        <v>71.599999999999994</v>
      </c>
      <c r="C1408" t="s">
        <v>5711</v>
      </c>
      <c r="D1408">
        <v>4</v>
      </c>
      <c r="E1408">
        <v>-0.91700000000000004</v>
      </c>
      <c r="F1408">
        <v>28.4</v>
      </c>
      <c r="G1408">
        <v>2022</v>
      </c>
      <c r="H1408" t="s">
        <v>928</v>
      </c>
      <c r="I1408" t="s">
        <v>6596</v>
      </c>
      <c r="L1408" t="s">
        <v>197</v>
      </c>
    </row>
    <row r="1409" spans="1:12" x14ac:dyDescent="0.4">
      <c r="A1409" t="s">
        <v>3421</v>
      </c>
      <c r="B1409">
        <v>79.599999999999994</v>
      </c>
      <c r="C1409" t="s">
        <v>5731</v>
      </c>
      <c r="D1409">
        <v>4</v>
      </c>
      <c r="E1409">
        <v>7.3999999999999996E-2</v>
      </c>
      <c r="F1409">
        <v>20.399999999999999</v>
      </c>
      <c r="G1409">
        <v>2022</v>
      </c>
      <c r="H1409" t="s">
        <v>928</v>
      </c>
      <c r="I1409" t="s">
        <v>6596</v>
      </c>
      <c r="L1409" t="s">
        <v>197</v>
      </c>
    </row>
    <row r="1410" spans="1:12" x14ac:dyDescent="0.4">
      <c r="A1410" t="s">
        <v>2003</v>
      </c>
      <c r="B1410">
        <v>86.9</v>
      </c>
      <c r="C1410" t="s">
        <v>2486</v>
      </c>
      <c r="D1410">
        <v>5</v>
      </c>
      <c r="E1410">
        <v>0.97899999999999998</v>
      </c>
      <c r="F1410">
        <v>13.1</v>
      </c>
      <c r="G1410">
        <v>2022</v>
      </c>
      <c r="H1410" t="s">
        <v>928</v>
      </c>
      <c r="I1410" t="s">
        <v>6596</v>
      </c>
      <c r="L1410" t="s">
        <v>197</v>
      </c>
    </row>
    <row r="1411" spans="1:12" x14ac:dyDescent="0.4">
      <c r="A1411" t="s">
        <v>2007</v>
      </c>
      <c r="B1411">
        <v>85.1</v>
      </c>
      <c r="C1411" t="s">
        <v>2487</v>
      </c>
      <c r="D1411">
        <v>5</v>
      </c>
      <c r="E1411">
        <v>0.75600000000000001</v>
      </c>
      <c r="F1411">
        <v>14.9</v>
      </c>
      <c r="G1411">
        <v>2022</v>
      </c>
      <c r="H1411" t="s">
        <v>928</v>
      </c>
      <c r="I1411" t="s">
        <v>6596</v>
      </c>
      <c r="L1411" t="s">
        <v>197</v>
      </c>
    </row>
    <row r="1412" spans="1:12" x14ac:dyDescent="0.4">
      <c r="A1412" t="s">
        <v>3404</v>
      </c>
      <c r="B1412">
        <v>70.8</v>
      </c>
      <c r="C1412" t="s">
        <v>5728</v>
      </c>
      <c r="D1412">
        <v>4</v>
      </c>
      <c r="E1412">
        <v>-1.016</v>
      </c>
      <c r="F1412">
        <v>29.2</v>
      </c>
      <c r="G1412">
        <v>2022</v>
      </c>
      <c r="H1412" t="s">
        <v>928</v>
      </c>
      <c r="I1412" t="s">
        <v>6596</v>
      </c>
      <c r="L1412" t="s">
        <v>197</v>
      </c>
    </row>
    <row r="1413" spans="1:12" x14ac:dyDescent="0.4">
      <c r="A1413" t="s">
        <v>3410</v>
      </c>
      <c r="B1413">
        <v>75.7</v>
      </c>
      <c r="C1413" t="s">
        <v>5717</v>
      </c>
      <c r="D1413">
        <v>4</v>
      </c>
      <c r="E1413">
        <v>-0.40899999999999997</v>
      </c>
      <c r="F1413">
        <v>24.3</v>
      </c>
      <c r="G1413">
        <v>2022</v>
      </c>
      <c r="H1413" t="s">
        <v>928</v>
      </c>
      <c r="I1413" t="s">
        <v>6596</v>
      </c>
      <c r="L1413" t="s">
        <v>197</v>
      </c>
    </row>
    <row r="1414" spans="1:12" x14ac:dyDescent="0.4">
      <c r="A1414" t="s">
        <v>3391</v>
      </c>
      <c r="B1414">
        <v>89.3</v>
      </c>
      <c r="C1414" t="s">
        <v>2476</v>
      </c>
      <c r="D1414">
        <v>5</v>
      </c>
      <c r="E1414">
        <v>1.276</v>
      </c>
      <c r="F1414">
        <v>10.7</v>
      </c>
      <c r="G1414">
        <v>2022</v>
      </c>
      <c r="H1414" t="s">
        <v>928</v>
      </c>
      <c r="I1414" t="s">
        <v>6596</v>
      </c>
      <c r="L1414" t="s">
        <v>197</v>
      </c>
    </row>
    <row r="1415" spans="1:12" x14ac:dyDescent="0.4">
      <c r="A1415" t="s">
        <v>5821</v>
      </c>
      <c r="B1415">
        <v>75.7</v>
      </c>
      <c r="C1415" t="s">
        <v>5717</v>
      </c>
      <c r="D1415">
        <v>4</v>
      </c>
      <c r="E1415">
        <v>-0.40899999999999997</v>
      </c>
      <c r="F1415">
        <v>24.3</v>
      </c>
      <c r="G1415">
        <v>2022</v>
      </c>
      <c r="H1415" t="s">
        <v>928</v>
      </c>
      <c r="I1415" t="s">
        <v>6596</v>
      </c>
      <c r="L1415" t="s">
        <v>197</v>
      </c>
    </row>
    <row r="1416" spans="1:12" x14ac:dyDescent="0.4">
      <c r="A1416" t="s">
        <v>3414</v>
      </c>
      <c r="B1416">
        <v>80.8</v>
      </c>
      <c r="C1416" t="s">
        <v>6584</v>
      </c>
      <c r="D1416">
        <v>5</v>
      </c>
      <c r="E1416">
        <v>0.223</v>
      </c>
      <c r="F1416">
        <v>19.2</v>
      </c>
      <c r="G1416">
        <v>2022</v>
      </c>
      <c r="H1416" t="s">
        <v>928</v>
      </c>
      <c r="I1416" t="s">
        <v>6596</v>
      </c>
      <c r="L1416" t="s">
        <v>197</v>
      </c>
    </row>
    <row r="1417" spans="1:12" x14ac:dyDescent="0.4">
      <c r="A1417" t="s">
        <v>5822</v>
      </c>
      <c r="B1417">
        <v>65.400000000000006</v>
      </c>
      <c r="C1417" t="s">
        <v>6036</v>
      </c>
      <c r="D1417">
        <v>4</v>
      </c>
      <c r="E1417">
        <v>-1.6850000000000001</v>
      </c>
      <c r="F1417">
        <v>34.6</v>
      </c>
      <c r="G1417">
        <v>2022</v>
      </c>
      <c r="H1417" t="s">
        <v>928</v>
      </c>
      <c r="I1417" t="s">
        <v>6596</v>
      </c>
      <c r="L1417" t="s">
        <v>197</v>
      </c>
    </row>
    <row r="1418" spans="1:12" x14ac:dyDescent="0.4">
      <c r="A1418" t="s">
        <v>3422</v>
      </c>
      <c r="B1418">
        <v>82.8</v>
      </c>
      <c r="C1418" t="s">
        <v>5707</v>
      </c>
      <c r="D1418">
        <v>5</v>
      </c>
      <c r="E1418">
        <v>0.47099999999999997</v>
      </c>
      <c r="F1418">
        <v>17.2</v>
      </c>
      <c r="G1418">
        <v>2022</v>
      </c>
      <c r="H1418" t="s">
        <v>928</v>
      </c>
      <c r="I1418" t="s">
        <v>6596</v>
      </c>
      <c r="L1418" t="s">
        <v>197</v>
      </c>
    </row>
    <row r="1419" spans="1:12" x14ac:dyDescent="0.4">
      <c r="A1419" t="s">
        <v>3397</v>
      </c>
      <c r="B1419">
        <v>85.1</v>
      </c>
      <c r="C1419" t="s">
        <v>2487</v>
      </c>
      <c r="D1419">
        <v>5</v>
      </c>
      <c r="E1419">
        <v>0.75600000000000001</v>
      </c>
      <c r="F1419">
        <v>14.9</v>
      </c>
      <c r="G1419">
        <v>2022</v>
      </c>
      <c r="H1419" t="s">
        <v>928</v>
      </c>
      <c r="I1419" t="s">
        <v>6596</v>
      </c>
      <c r="L1419" t="s">
        <v>197</v>
      </c>
    </row>
    <row r="1420" spans="1:12" x14ac:dyDescent="0.4">
      <c r="A1420" t="s">
        <v>3401</v>
      </c>
      <c r="B1420">
        <v>77.599999999999994</v>
      </c>
      <c r="C1420" t="s">
        <v>5693</v>
      </c>
      <c r="D1420">
        <v>4</v>
      </c>
      <c r="E1420">
        <v>-0.17299999999999999</v>
      </c>
      <c r="F1420">
        <v>22.4</v>
      </c>
      <c r="G1420">
        <v>2022</v>
      </c>
      <c r="H1420" t="s">
        <v>928</v>
      </c>
      <c r="I1420" t="s">
        <v>6596</v>
      </c>
      <c r="L1420" t="s">
        <v>197</v>
      </c>
    </row>
    <row r="1421" spans="1:12" x14ac:dyDescent="0.4">
      <c r="A1421" t="s">
        <v>3395</v>
      </c>
      <c r="B1421">
        <v>75.7</v>
      </c>
      <c r="C1421" t="s">
        <v>5717</v>
      </c>
      <c r="D1421">
        <v>4</v>
      </c>
      <c r="E1421">
        <v>-0.40899999999999997</v>
      </c>
      <c r="F1421">
        <v>24.3</v>
      </c>
      <c r="G1421">
        <v>2022</v>
      </c>
      <c r="H1421" t="s">
        <v>928</v>
      </c>
      <c r="I1421" t="s">
        <v>6596</v>
      </c>
      <c r="L1421" t="s">
        <v>197</v>
      </c>
    </row>
    <row r="1422" spans="1:12" x14ac:dyDescent="0.4">
      <c r="A1422" t="s">
        <v>5823</v>
      </c>
      <c r="B1422">
        <v>87.8</v>
      </c>
      <c r="C1422" t="s">
        <v>5726</v>
      </c>
      <c r="D1422">
        <v>5</v>
      </c>
      <c r="E1422">
        <v>1.0900000000000001</v>
      </c>
      <c r="F1422">
        <v>12.2</v>
      </c>
      <c r="G1422">
        <v>2022</v>
      </c>
      <c r="H1422" t="s">
        <v>928</v>
      </c>
      <c r="I1422" t="s">
        <v>6596</v>
      </c>
      <c r="L1422" t="s">
        <v>197</v>
      </c>
    </row>
    <row r="1423" spans="1:12" x14ac:dyDescent="0.4">
      <c r="A1423" t="s">
        <v>3415</v>
      </c>
      <c r="B1423">
        <v>80</v>
      </c>
      <c r="C1423" t="s">
        <v>5732</v>
      </c>
      <c r="D1423">
        <v>5</v>
      </c>
      <c r="E1423">
        <v>0.124</v>
      </c>
      <c r="F1423">
        <v>20</v>
      </c>
      <c r="G1423">
        <v>2022</v>
      </c>
      <c r="H1423" t="s">
        <v>928</v>
      </c>
      <c r="I1423" t="s">
        <v>6596</v>
      </c>
      <c r="L1423" t="s">
        <v>197</v>
      </c>
    </row>
    <row r="1424" spans="1:12" x14ac:dyDescent="0.4">
      <c r="A1424" t="s">
        <v>2004</v>
      </c>
      <c r="B1424">
        <v>76.599999999999994</v>
      </c>
      <c r="C1424" t="s">
        <v>5714</v>
      </c>
      <c r="D1424">
        <v>4</v>
      </c>
      <c r="E1424">
        <v>-0.29699999999999999</v>
      </c>
      <c r="F1424">
        <v>23.4</v>
      </c>
      <c r="G1424">
        <v>2022</v>
      </c>
      <c r="H1424" t="s">
        <v>928</v>
      </c>
      <c r="I1424" t="s">
        <v>6596</v>
      </c>
      <c r="L1424" t="s">
        <v>197</v>
      </c>
    </row>
    <row r="1425" spans="1:12" x14ac:dyDescent="0.4">
      <c r="A1425" t="s">
        <v>2005</v>
      </c>
      <c r="B1425">
        <v>83.6</v>
      </c>
      <c r="C1425" t="s">
        <v>5701</v>
      </c>
      <c r="D1425">
        <v>5</v>
      </c>
      <c r="E1425">
        <v>0.56999999999999995</v>
      </c>
      <c r="F1425">
        <v>16.399999999999999</v>
      </c>
      <c r="G1425">
        <v>2022</v>
      </c>
      <c r="H1425" t="s">
        <v>928</v>
      </c>
      <c r="I1425" t="s">
        <v>6596</v>
      </c>
      <c r="L1425" t="s">
        <v>197</v>
      </c>
    </row>
    <row r="1426" spans="1:12" x14ac:dyDescent="0.4">
      <c r="A1426" t="s">
        <v>3418</v>
      </c>
      <c r="B1426">
        <v>86.9</v>
      </c>
      <c r="C1426" t="s">
        <v>2486</v>
      </c>
      <c r="D1426">
        <v>5</v>
      </c>
      <c r="E1426">
        <v>0.97899999999999998</v>
      </c>
      <c r="F1426">
        <v>13.1</v>
      </c>
      <c r="G1426">
        <v>2022</v>
      </c>
      <c r="H1426" t="s">
        <v>928</v>
      </c>
      <c r="I1426" t="s">
        <v>6596</v>
      </c>
      <c r="L1426" t="s">
        <v>197</v>
      </c>
    </row>
    <row r="1427" spans="1:12" x14ac:dyDescent="0.4">
      <c r="A1427" t="s">
        <v>2006</v>
      </c>
      <c r="B1427">
        <v>80.8</v>
      </c>
      <c r="C1427" t="s">
        <v>6584</v>
      </c>
      <c r="D1427">
        <v>5</v>
      </c>
      <c r="E1427">
        <v>0.223</v>
      </c>
      <c r="F1427">
        <v>19.2</v>
      </c>
      <c r="G1427">
        <v>2022</v>
      </c>
      <c r="H1427" t="s">
        <v>928</v>
      </c>
      <c r="I1427" t="s">
        <v>6596</v>
      </c>
      <c r="L1427" t="s">
        <v>197</v>
      </c>
    </row>
    <row r="1428" spans="1:12" x14ac:dyDescent="0.4">
      <c r="A1428" t="s">
        <v>3393</v>
      </c>
      <c r="B1428">
        <v>88</v>
      </c>
      <c r="C1428" t="s">
        <v>2480</v>
      </c>
      <c r="D1428">
        <v>5</v>
      </c>
      <c r="E1428">
        <v>1.115</v>
      </c>
      <c r="F1428">
        <v>12</v>
      </c>
      <c r="G1428">
        <v>2022</v>
      </c>
      <c r="H1428" t="s">
        <v>928</v>
      </c>
      <c r="I1428" t="s">
        <v>6596</v>
      </c>
      <c r="L1428" t="s">
        <v>197</v>
      </c>
    </row>
    <row r="1429" spans="1:12" x14ac:dyDescent="0.4">
      <c r="A1429" t="s">
        <v>3407</v>
      </c>
      <c r="B1429">
        <v>75.099999999999994</v>
      </c>
      <c r="C1429" t="s">
        <v>5713</v>
      </c>
      <c r="D1429">
        <v>4</v>
      </c>
      <c r="E1429">
        <v>-0.48299999999999998</v>
      </c>
      <c r="F1429">
        <v>24.9</v>
      </c>
      <c r="G1429">
        <v>2022</v>
      </c>
      <c r="H1429" t="s">
        <v>928</v>
      </c>
      <c r="I1429" t="s">
        <v>6596</v>
      </c>
      <c r="L1429" t="s">
        <v>197</v>
      </c>
    </row>
    <row r="1430" spans="1:12" x14ac:dyDescent="0.4">
      <c r="A1430" t="s">
        <v>3417</v>
      </c>
      <c r="B1430">
        <v>76.599999999999994</v>
      </c>
      <c r="C1430" t="s">
        <v>5714</v>
      </c>
      <c r="D1430">
        <v>4</v>
      </c>
      <c r="E1430">
        <v>-0.29699999999999999</v>
      </c>
      <c r="F1430">
        <v>23.4</v>
      </c>
      <c r="G1430">
        <v>2022</v>
      </c>
      <c r="H1430" t="s">
        <v>928</v>
      </c>
      <c r="I1430" t="s">
        <v>6596</v>
      </c>
      <c r="L1430" t="s">
        <v>197</v>
      </c>
    </row>
    <row r="1431" spans="1:12" x14ac:dyDescent="0.4">
      <c r="A1431" t="s">
        <v>3408</v>
      </c>
      <c r="B1431">
        <v>55.6</v>
      </c>
      <c r="C1431" t="s">
        <v>6033</v>
      </c>
      <c r="D1431">
        <v>3</v>
      </c>
      <c r="E1431">
        <v>-2.8980000000000001</v>
      </c>
      <c r="F1431">
        <v>44.4</v>
      </c>
      <c r="G1431">
        <v>2022</v>
      </c>
      <c r="H1431" t="s">
        <v>928</v>
      </c>
      <c r="I1431" t="s">
        <v>6596</v>
      </c>
      <c r="L1431" t="s">
        <v>197</v>
      </c>
    </row>
    <row r="1432" spans="1:12" x14ac:dyDescent="0.4">
      <c r="A1432" t="s">
        <v>2010</v>
      </c>
      <c r="B1432">
        <v>79</v>
      </c>
      <c r="C1432" t="s">
        <v>197</v>
      </c>
      <c r="D1432">
        <v>4</v>
      </c>
    </row>
    <row r="1433" spans="1:12" x14ac:dyDescent="0.4">
      <c r="A1433" t="s">
        <v>2011</v>
      </c>
      <c r="B1433">
        <v>87.8</v>
      </c>
      <c r="C1433" t="s">
        <v>197</v>
      </c>
      <c r="D1433">
        <v>5</v>
      </c>
    </row>
    <row r="1434" spans="1:12" x14ac:dyDescent="0.4">
      <c r="A1434" t="s">
        <v>2012</v>
      </c>
      <c r="B1434">
        <v>82.8</v>
      </c>
      <c r="C1434" t="s">
        <v>197</v>
      </c>
      <c r="D1434">
        <v>5</v>
      </c>
    </row>
    <row r="1435" spans="1:12" x14ac:dyDescent="0.4">
      <c r="A1435" t="s">
        <v>2013</v>
      </c>
      <c r="B1435">
        <v>82.9</v>
      </c>
      <c r="C1435" t="s">
        <v>197</v>
      </c>
      <c r="D1435">
        <v>5</v>
      </c>
    </row>
    <row r="1436" spans="1:12" x14ac:dyDescent="0.4">
      <c r="A1436" t="s">
        <v>2014</v>
      </c>
      <c r="B1436">
        <v>74</v>
      </c>
      <c r="C1436" t="s">
        <v>197</v>
      </c>
      <c r="D1436">
        <v>4</v>
      </c>
    </row>
    <row r="1437" spans="1:12" x14ac:dyDescent="0.4">
      <c r="A1437" t="s">
        <v>2562</v>
      </c>
      <c r="B1437">
        <v>72.599999999999994</v>
      </c>
      <c r="C1437" t="s">
        <v>197</v>
      </c>
      <c r="D1437">
        <v>4</v>
      </c>
    </row>
    <row r="1438" spans="1:12" x14ac:dyDescent="0.4">
      <c r="A1438" t="s">
        <v>2563</v>
      </c>
      <c r="B1438">
        <v>81</v>
      </c>
      <c r="C1438" t="s">
        <v>197</v>
      </c>
      <c r="D1438">
        <v>5</v>
      </c>
    </row>
    <row r="1439" spans="1:12" x14ac:dyDescent="0.4">
      <c r="A1439" t="s">
        <v>7324</v>
      </c>
      <c r="B1439">
        <v>78.599999999999994</v>
      </c>
      <c r="C1439" t="s">
        <v>197</v>
      </c>
      <c r="D1439">
        <v>4</v>
      </c>
    </row>
    <row r="1440" spans="1:12" x14ac:dyDescent="0.4">
      <c r="A1440" t="s">
        <v>7325</v>
      </c>
      <c r="B1440">
        <v>77.900000000000006</v>
      </c>
      <c r="C1440" t="s">
        <v>197</v>
      </c>
      <c r="D1440">
        <v>4</v>
      </c>
    </row>
    <row r="1441" spans="1:11" x14ac:dyDescent="0.4">
      <c r="A1441" t="s">
        <v>7326</v>
      </c>
      <c r="B1441">
        <v>79.8</v>
      </c>
      <c r="C1441" t="s">
        <v>197</v>
      </c>
      <c r="D1441">
        <v>4</v>
      </c>
    </row>
    <row r="1442" spans="1:11" x14ac:dyDescent="0.4">
      <c r="A1442" t="s">
        <v>3462</v>
      </c>
      <c r="B1442">
        <v>0</v>
      </c>
      <c r="C1442" t="s">
        <v>5725</v>
      </c>
      <c r="D1442">
        <v>1</v>
      </c>
      <c r="E1442">
        <v>-1.073</v>
      </c>
      <c r="F1442">
        <v>0</v>
      </c>
      <c r="G1442">
        <v>2024</v>
      </c>
      <c r="H1442" t="s">
        <v>928</v>
      </c>
      <c r="I1442" t="s">
        <v>6063</v>
      </c>
      <c r="J1442" t="s">
        <v>7993</v>
      </c>
      <c r="K1442" t="s">
        <v>9152</v>
      </c>
    </row>
    <row r="1443" spans="1:11" x14ac:dyDescent="0.4">
      <c r="A1443" t="s">
        <v>3460</v>
      </c>
      <c r="B1443">
        <v>0</v>
      </c>
      <c r="C1443" t="s">
        <v>5725</v>
      </c>
      <c r="D1443">
        <v>1</v>
      </c>
      <c r="E1443">
        <v>-1.073</v>
      </c>
      <c r="F1443">
        <v>0</v>
      </c>
      <c r="G1443">
        <v>2024</v>
      </c>
      <c r="H1443" t="s">
        <v>928</v>
      </c>
      <c r="I1443" t="s">
        <v>6063</v>
      </c>
      <c r="J1443" t="s">
        <v>7994</v>
      </c>
      <c r="K1443" t="s">
        <v>9153</v>
      </c>
    </row>
    <row r="1444" spans="1:11" x14ac:dyDescent="0.4">
      <c r="A1444" t="s">
        <v>3466</v>
      </c>
      <c r="B1444">
        <v>0</v>
      </c>
      <c r="C1444" t="s">
        <v>5725</v>
      </c>
      <c r="D1444">
        <v>1</v>
      </c>
      <c r="E1444">
        <v>-1.073</v>
      </c>
      <c r="F1444">
        <v>0</v>
      </c>
      <c r="G1444">
        <v>2024</v>
      </c>
      <c r="H1444" t="s">
        <v>928</v>
      </c>
      <c r="I1444" t="s">
        <v>6063</v>
      </c>
      <c r="J1444" t="s">
        <v>7995</v>
      </c>
      <c r="K1444" t="s">
        <v>9154</v>
      </c>
    </row>
    <row r="1445" spans="1:11" x14ac:dyDescent="0.4">
      <c r="A1445" t="s">
        <v>3490</v>
      </c>
      <c r="B1445">
        <v>100</v>
      </c>
      <c r="C1445" t="s">
        <v>1380</v>
      </c>
      <c r="D1445">
        <v>5</v>
      </c>
      <c r="E1445">
        <v>0.91400000000000003</v>
      </c>
      <c r="F1445">
        <v>1</v>
      </c>
      <c r="G1445">
        <v>2024</v>
      </c>
      <c r="H1445" t="s">
        <v>928</v>
      </c>
      <c r="I1445" t="s">
        <v>6063</v>
      </c>
      <c r="J1445" t="s">
        <v>7996</v>
      </c>
      <c r="K1445" t="s">
        <v>9155</v>
      </c>
    </row>
    <row r="1446" spans="1:11" x14ac:dyDescent="0.4">
      <c r="A1446" t="s">
        <v>2026</v>
      </c>
      <c r="B1446">
        <v>100</v>
      </c>
      <c r="C1446" t="s">
        <v>1380</v>
      </c>
      <c r="D1446">
        <v>5</v>
      </c>
      <c r="E1446">
        <v>0.91400000000000003</v>
      </c>
      <c r="F1446">
        <v>1</v>
      </c>
      <c r="G1446">
        <v>2024</v>
      </c>
      <c r="H1446" t="s">
        <v>928</v>
      </c>
      <c r="I1446" t="s">
        <v>6063</v>
      </c>
      <c r="J1446" t="s">
        <v>7997</v>
      </c>
      <c r="K1446" t="s">
        <v>7602</v>
      </c>
    </row>
    <row r="1447" spans="1:11" x14ac:dyDescent="0.4">
      <c r="A1447" t="s">
        <v>3486</v>
      </c>
      <c r="B1447">
        <v>100</v>
      </c>
      <c r="C1447" t="s">
        <v>1380</v>
      </c>
      <c r="D1447">
        <v>5</v>
      </c>
      <c r="E1447">
        <v>0.91400000000000003</v>
      </c>
      <c r="F1447">
        <v>1</v>
      </c>
      <c r="G1447">
        <v>2024</v>
      </c>
      <c r="H1447" t="s">
        <v>928</v>
      </c>
      <c r="I1447" t="s">
        <v>6063</v>
      </c>
      <c r="J1447" t="s">
        <v>7998</v>
      </c>
      <c r="K1447" t="s">
        <v>9156</v>
      </c>
    </row>
    <row r="1448" spans="1:11" x14ac:dyDescent="0.4">
      <c r="A1448" t="s">
        <v>3470</v>
      </c>
      <c r="B1448">
        <v>100</v>
      </c>
      <c r="C1448" t="s">
        <v>1380</v>
      </c>
      <c r="D1448">
        <v>5</v>
      </c>
      <c r="E1448">
        <v>0.91400000000000003</v>
      </c>
      <c r="F1448">
        <v>1</v>
      </c>
      <c r="G1448">
        <v>2024</v>
      </c>
      <c r="H1448" t="s">
        <v>928</v>
      </c>
      <c r="I1448" t="s">
        <v>6063</v>
      </c>
      <c r="J1448" t="s">
        <v>7999</v>
      </c>
      <c r="K1448" t="s">
        <v>6795</v>
      </c>
    </row>
    <row r="1449" spans="1:11" x14ac:dyDescent="0.4">
      <c r="A1449" t="s">
        <v>3464</v>
      </c>
      <c r="B1449">
        <v>100</v>
      </c>
      <c r="C1449" t="s">
        <v>1380</v>
      </c>
      <c r="D1449">
        <v>5</v>
      </c>
      <c r="E1449">
        <v>0.91400000000000003</v>
      </c>
      <c r="F1449">
        <v>1</v>
      </c>
      <c r="G1449">
        <v>2024</v>
      </c>
      <c r="H1449" t="s">
        <v>928</v>
      </c>
      <c r="I1449" t="s">
        <v>6063</v>
      </c>
      <c r="J1449" t="s">
        <v>8000</v>
      </c>
      <c r="K1449" t="s">
        <v>9157</v>
      </c>
    </row>
    <row r="1450" spans="1:11" x14ac:dyDescent="0.4">
      <c r="A1450" t="s">
        <v>3476</v>
      </c>
      <c r="B1450">
        <v>100</v>
      </c>
      <c r="C1450" t="s">
        <v>1380</v>
      </c>
      <c r="D1450">
        <v>5</v>
      </c>
      <c r="E1450">
        <v>0.91400000000000003</v>
      </c>
      <c r="F1450">
        <v>1</v>
      </c>
      <c r="G1450">
        <v>2024</v>
      </c>
      <c r="H1450" t="s">
        <v>928</v>
      </c>
      <c r="I1450" t="s">
        <v>6063</v>
      </c>
      <c r="J1450" t="s">
        <v>8001</v>
      </c>
      <c r="K1450" t="s">
        <v>8002</v>
      </c>
    </row>
    <row r="1451" spans="1:11" x14ac:dyDescent="0.4">
      <c r="A1451" t="s">
        <v>3468</v>
      </c>
      <c r="B1451">
        <v>0</v>
      </c>
      <c r="C1451" t="s">
        <v>5725</v>
      </c>
      <c r="D1451">
        <v>1</v>
      </c>
      <c r="E1451">
        <v>-1.073</v>
      </c>
      <c r="F1451">
        <v>0</v>
      </c>
      <c r="G1451">
        <v>2024</v>
      </c>
      <c r="H1451" t="s">
        <v>928</v>
      </c>
      <c r="I1451" t="s">
        <v>6063</v>
      </c>
      <c r="J1451" t="s">
        <v>8003</v>
      </c>
      <c r="K1451" t="s">
        <v>9158</v>
      </c>
    </row>
    <row r="1452" spans="1:11" x14ac:dyDescent="0.4">
      <c r="A1452" t="s">
        <v>5972</v>
      </c>
      <c r="B1452">
        <v>100</v>
      </c>
      <c r="C1452" t="s">
        <v>1380</v>
      </c>
      <c r="D1452">
        <v>5</v>
      </c>
      <c r="E1452">
        <v>0.91400000000000003</v>
      </c>
      <c r="F1452">
        <v>1</v>
      </c>
      <c r="G1452">
        <v>2024</v>
      </c>
      <c r="H1452" t="s">
        <v>928</v>
      </c>
      <c r="I1452" t="s">
        <v>6063</v>
      </c>
      <c r="J1452" t="s">
        <v>8004</v>
      </c>
      <c r="K1452" t="s">
        <v>8005</v>
      </c>
    </row>
    <row r="1453" spans="1:11" x14ac:dyDescent="0.4">
      <c r="A1453" t="s">
        <v>3482</v>
      </c>
      <c r="B1453">
        <v>100</v>
      </c>
      <c r="C1453" t="s">
        <v>1380</v>
      </c>
      <c r="D1453">
        <v>5</v>
      </c>
      <c r="E1453">
        <v>0.91400000000000003</v>
      </c>
      <c r="F1453">
        <v>1</v>
      </c>
      <c r="G1453">
        <v>2024</v>
      </c>
      <c r="H1453" t="s">
        <v>928</v>
      </c>
      <c r="I1453" t="s">
        <v>6063</v>
      </c>
      <c r="J1453" t="s">
        <v>8006</v>
      </c>
      <c r="K1453" t="s">
        <v>9159</v>
      </c>
    </row>
    <row r="1454" spans="1:11" x14ac:dyDescent="0.4">
      <c r="A1454" t="s">
        <v>2027</v>
      </c>
      <c r="B1454">
        <v>0</v>
      </c>
      <c r="C1454" t="s">
        <v>5725</v>
      </c>
      <c r="D1454">
        <v>1</v>
      </c>
      <c r="E1454">
        <v>-1.073</v>
      </c>
      <c r="F1454">
        <v>0</v>
      </c>
      <c r="G1454">
        <v>2024</v>
      </c>
      <c r="H1454" t="s">
        <v>928</v>
      </c>
      <c r="I1454" t="s">
        <v>6063</v>
      </c>
      <c r="J1454" t="s">
        <v>8007</v>
      </c>
      <c r="K1454" t="s">
        <v>8008</v>
      </c>
    </row>
    <row r="1455" spans="1:11" x14ac:dyDescent="0.4">
      <c r="A1455" t="s">
        <v>2036</v>
      </c>
      <c r="B1455">
        <v>100</v>
      </c>
      <c r="C1455" t="s">
        <v>1380</v>
      </c>
      <c r="D1455">
        <v>5</v>
      </c>
      <c r="E1455">
        <v>0.91400000000000003</v>
      </c>
      <c r="F1455">
        <v>1</v>
      </c>
      <c r="G1455">
        <v>2024</v>
      </c>
      <c r="H1455" t="s">
        <v>928</v>
      </c>
      <c r="I1455" t="s">
        <v>6063</v>
      </c>
      <c r="J1455" t="s">
        <v>8009</v>
      </c>
      <c r="K1455" t="s">
        <v>8010</v>
      </c>
    </row>
    <row r="1456" spans="1:11" x14ac:dyDescent="0.4">
      <c r="A1456" t="s">
        <v>3475</v>
      </c>
      <c r="B1456">
        <v>100</v>
      </c>
      <c r="C1456" t="s">
        <v>1380</v>
      </c>
      <c r="D1456">
        <v>5</v>
      </c>
      <c r="E1456">
        <v>0.91400000000000003</v>
      </c>
      <c r="F1456">
        <v>1</v>
      </c>
      <c r="G1456">
        <v>2024</v>
      </c>
      <c r="H1456" t="s">
        <v>928</v>
      </c>
      <c r="I1456" t="s">
        <v>6063</v>
      </c>
      <c r="J1456" t="s">
        <v>6796</v>
      </c>
      <c r="K1456" t="s">
        <v>8011</v>
      </c>
    </row>
    <row r="1457" spans="1:11" x14ac:dyDescent="0.4">
      <c r="A1457" t="s">
        <v>3489</v>
      </c>
      <c r="B1457">
        <v>0</v>
      </c>
      <c r="C1457" t="s">
        <v>5725</v>
      </c>
      <c r="D1457">
        <v>1</v>
      </c>
      <c r="E1457">
        <v>-1.073</v>
      </c>
      <c r="F1457">
        <v>0</v>
      </c>
      <c r="G1457">
        <v>2024</v>
      </c>
      <c r="H1457" t="s">
        <v>928</v>
      </c>
      <c r="I1457" t="s">
        <v>6063</v>
      </c>
      <c r="J1457" t="s">
        <v>8012</v>
      </c>
      <c r="K1457" t="s">
        <v>9160</v>
      </c>
    </row>
    <row r="1458" spans="1:11" x14ac:dyDescent="0.4">
      <c r="A1458" t="s">
        <v>2028</v>
      </c>
      <c r="B1458">
        <v>100</v>
      </c>
      <c r="C1458" t="s">
        <v>1380</v>
      </c>
      <c r="D1458">
        <v>5</v>
      </c>
      <c r="E1458">
        <v>0.91400000000000003</v>
      </c>
      <c r="F1458">
        <v>1</v>
      </c>
      <c r="G1458">
        <v>2024</v>
      </c>
      <c r="H1458" t="s">
        <v>928</v>
      </c>
      <c r="I1458" t="s">
        <v>6063</v>
      </c>
      <c r="J1458" t="s">
        <v>8013</v>
      </c>
      <c r="K1458" t="s">
        <v>6797</v>
      </c>
    </row>
    <row r="1459" spans="1:11" x14ac:dyDescent="0.4">
      <c r="A1459" t="s">
        <v>2035</v>
      </c>
      <c r="B1459">
        <v>0</v>
      </c>
      <c r="C1459" t="s">
        <v>5725</v>
      </c>
      <c r="D1459">
        <v>1</v>
      </c>
      <c r="E1459">
        <v>-1.073</v>
      </c>
      <c r="F1459">
        <v>0</v>
      </c>
      <c r="G1459">
        <v>2024</v>
      </c>
      <c r="H1459" t="s">
        <v>928</v>
      </c>
      <c r="I1459" t="s">
        <v>6063</v>
      </c>
      <c r="J1459" t="s">
        <v>8014</v>
      </c>
      <c r="K1459" t="s">
        <v>6798</v>
      </c>
    </row>
    <row r="1460" spans="1:11" x14ac:dyDescent="0.4">
      <c r="A1460" t="s">
        <v>2029</v>
      </c>
      <c r="B1460">
        <v>100</v>
      </c>
      <c r="C1460" t="s">
        <v>1380</v>
      </c>
      <c r="D1460">
        <v>5</v>
      </c>
      <c r="E1460">
        <v>0.91400000000000003</v>
      </c>
      <c r="F1460">
        <v>1</v>
      </c>
      <c r="G1460">
        <v>2024</v>
      </c>
      <c r="H1460" t="s">
        <v>928</v>
      </c>
      <c r="I1460" t="s">
        <v>6063</v>
      </c>
      <c r="J1460" t="s">
        <v>8015</v>
      </c>
      <c r="K1460" t="s">
        <v>8016</v>
      </c>
    </row>
    <row r="1461" spans="1:11" x14ac:dyDescent="0.4">
      <c r="A1461" t="s">
        <v>3459</v>
      </c>
      <c r="B1461">
        <v>100</v>
      </c>
      <c r="C1461" t="s">
        <v>1380</v>
      </c>
      <c r="D1461">
        <v>5</v>
      </c>
      <c r="E1461">
        <v>0.91400000000000003</v>
      </c>
      <c r="F1461">
        <v>1</v>
      </c>
      <c r="G1461">
        <v>2024</v>
      </c>
      <c r="H1461" t="s">
        <v>928</v>
      </c>
      <c r="I1461" t="s">
        <v>6063</v>
      </c>
      <c r="J1461" t="s">
        <v>8017</v>
      </c>
      <c r="K1461" t="s">
        <v>6799</v>
      </c>
    </row>
    <row r="1462" spans="1:11" x14ac:dyDescent="0.4">
      <c r="A1462" t="s">
        <v>3479</v>
      </c>
      <c r="B1462">
        <v>0</v>
      </c>
      <c r="C1462" t="s">
        <v>5725</v>
      </c>
      <c r="D1462">
        <v>1</v>
      </c>
      <c r="E1462">
        <v>-1.073</v>
      </c>
      <c r="F1462">
        <v>0</v>
      </c>
      <c r="G1462">
        <v>2024</v>
      </c>
      <c r="H1462" t="s">
        <v>928</v>
      </c>
      <c r="I1462" t="s">
        <v>6063</v>
      </c>
      <c r="J1462" t="s">
        <v>8018</v>
      </c>
      <c r="K1462" t="s">
        <v>9161</v>
      </c>
    </row>
    <row r="1463" spans="1:11" x14ac:dyDescent="0.4">
      <c r="A1463" t="s">
        <v>3483</v>
      </c>
      <c r="B1463">
        <v>0</v>
      </c>
      <c r="C1463" t="s">
        <v>5725</v>
      </c>
      <c r="D1463">
        <v>1</v>
      </c>
      <c r="E1463">
        <v>-1.073</v>
      </c>
      <c r="F1463">
        <v>0</v>
      </c>
      <c r="G1463">
        <v>2024</v>
      </c>
      <c r="H1463" t="s">
        <v>928</v>
      </c>
      <c r="I1463" t="s">
        <v>6063</v>
      </c>
      <c r="J1463" t="s">
        <v>8019</v>
      </c>
      <c r="K1463" t="s">
        <v>9162</v>
      </c>
    </row>
    <row r="1464" spans="1:11" x14ac:dyDescent="0.4">
      <c r="A1464" t="s">
        <v>3481</v>
      </c>
      <c r="B1464">
        <v>0</v>
      </c>
      <c r="C1464" t="s">
        <v>5725</v>
      </c>
      <c r="D1464">
        <v>1</v>
      </c>
      <c r="E1464">
        <v>-1.073</v>
      </c>
      <c r="F1464">
        <v>0</v>
      </c>
      <c r="G1464">
        <v>2024</v>
      </c>
      <c r="H1464" t="s">
        <v>928</v>
      </c>
      <c r="I1464" t="s">
        <v>6063</v>
      </c>
      <c r="J1464" t="s">
        <v>8020</v>
      </c>
      <c r="K1464" t="s">
        <v>9163</v>
      </c>
    </row>
    <row r="1465" spans="1:11" x14ac:dyDescent="0.4">
      <c r="A1465" t="s">
        <v>3469</v>
      </c>
      <c r="B1465">
        <v>0</v>
      </c>
      <c r="C1465" t="s">
        <v>5725</v>
      </c>
      <c r="D1465">
        <v>1</v>
      </c>
      <c r="E1465">
        <v>-1.073</v>
      </c>
      <c r="F1465">
        <v>0</v>
      </c>
      <c r="G1465">
        <v>2024</v>
      </c>
      <c r="H1465" t="s">
        <v>928</v>
      </c>
      <c r="I1465" t="s">
        <v>6063</v>
      </c>
      <c r="J1465" t="s">
        <v>8021</v>
      </c>
      <c r="K1465" t="s">
        <v>9164</v>
      </c>
    </row>
    <row r="1466" spans="1:11" x14ac:dyDescent="0.4">
      <c r="A1466" t="s">
        <v>3458</v>
      </c>
      <c r="B1466">
        <v>100</v>
      </c>
      <c r="C1466" t="s">
        <v>1380</v>
      </c>
      <c r="D1466">
        <v>5</v>
      </c>
      <c r="E1466">
        <v>0.91400000000000003</v>
      </c>
      <c r="F1466">
        <v>1</v>
      </c>
      <c r="G1466">
        <v>2024</v>
      </c>
      <c r="H1466" t="s">
        <v>928</v>
      </c>
      <c r="I1466" t="s">
        <v>6063</v>
      </c>
      <c r="J1466" t="s">
        <v>6800</v>
      </c>
      <c r="K1466" t="s">
        <v>8022</v>
      </c>
    </row>
    <row r="1467" spans="1:11" x14ac:dyDescent="0.4">
      <c r="A1467" t="s">
        <v>3472</v>
      </c>
      <c r="B1467">
        <v>100</v>
      </c>
      <c r="C1467" t="s">
        <v>1380</v>
      </c>
      <c r="D1467">
        <v>5</v>
      </c>
      <c r="E1467">
        <v>0.91400000000000003</v>
      </c>
      <c r="F1467">
        <v>1</v>
      </c>
      <c r="G1467">
        <v>2024</v>
      </c>
      <c r="H1467" t="s">
        <v>928</v>
      </c>
      <c r="I1467" t="s">
        <v>6063</v>
      </c>
      <c r="J1467" t="s">
        <v>8023</v>
      </c>
      <c r="K1467" t="s">
        <v>9165</v>
      </c>
    </row>
    <row r="1468" spans="1:11" x14ac:dyDescent="0.4">
      <c r="A1468" t="s">
        <v>3473</v>
      </c>
      <c r="B1468">
        <v>100</v>
      </c>
      <c r="C1468" t="s">
        <v>1380</v>
      </c>
      <c r="D1468">
        <v>5</v>
      </c>
      <c r="E1468">
        <v>0.91400000000000003</v>
      </c>
      <c r="F1468">
        <v>1</v>
      </c>
      <c r="G1468">
        <v>2024</v>
      </c>
      <c r="H1468" t="s">
        <v>928</v>
      </c>
      <c r="I1468" t="s">
        <v>6063</v>
      </c>
      <c r="J1468" t="s">
        <v>8024</v>
      </c>
      <c r="K1468" t="s">
        <v>8025</v>
      </c>
    </row>
    <row r="1469" spans="1:11" x14ac:dyDescent="0.4">
      <c r="A1469" t="s">
        <v>3491</v>
      </c>
      <c r="B1469">
        <v>0</v>
      </c>
      <c r="C1469" t="s">
        <v>5725</v>
      </c>
      <c r="D1469">
        <v>1</v>
      </c>
      <c r="E1469">
        <v>-1.073</v>
      </c>
      <c r="F1469">
        <v>0</v>
      </c>
      <c r="G1469">
        <v>2024</v>
      </c>
      <c r="H1469" t="s">
        <v>928</v>
      </c>
      <c r="I1469" t="s">
        <v>6063</v>
      </c>
      <c r="J1469" t="s">
        <v>8026</v>
      </c>
      <c r="K1469" t="s">
        <v>9166</v>
      </c>
    </row>
    <row r="1470" spans="1:11" x14ac:dyDescent="0.4">
      <c r="A1470" t="s">
        <v>2030</v>
      </c>
      <c r="B1470">
        <v>100</v>
      </c>
      <c r="C1470" t="s">
        <v>1380</v>
      </c>
      <c r="D1470">
        <v>5</v>
      </c>
      <c r="E1470">
        <v>0.91400000000000003</v>
      </c>
      <c r="F1470">
        <v>1</v>
      </c>
      <c r="G1470">
        <v>2024</v>
      </c>
      <c r="H1470" t="s">
        <v>928</v>
      </c>
      <c r="I1470" t="s">
        <v>6063</v>
      </c>
      <c r="J1470" t="s">
        <v>8027</v>
      </c>
      <c r="K1470" t="s">
        <v>6801</v>
      </c>
    </row>
    <row r="1471" spans="1:11" x14ac:dyDescent="0.4">
      <c r="A1471" t="s">
        <v>2034</v>
      </c>
      <c r="B1471">
        <v>0</v>
      </c>
      <c r="C1471" t="s">
        <v>5725</v>
      </c>
      <c r="D1471">
        <v>1</v>
      </c>
      <c r="E1471">
        <v>-1.073</v>
      </c>
      <c r="F1471">
        <v>0</v>
      </c>
      <c r="G1471">
        <v>2024</v>
      </c>
      <c r="H1471" t="s">
        <v>928</v>
      </c>
      <c r="I1471" t="s">
        <v>6063</v>
      </c>
      <c r="J1471" t="s">
        <v>8028</v>
      </c>
      <c r="K1471" t="s">
        <v>8029</v>
      </c>
    </row>
    <row r="1472" spans="1:11" x14ac:dyDescent="0.4">
      <c r="A1472" t="s">
        <v>3474</v>
      </c>
      <c r="B1472">
        <v>0</v>
      </c>
      <c r="C1472" t="s">
        <v>5725</v>
      </c>
      <c r="D1472">
        <v>1</v>
      </c>
      <c r="E1472">
        <v>-1.073</v>
      </c>
      <c r="F1472">
        <v>0</v>
      </c>
      <c r="G1472">
        <v>2024</v>
      </c>
      <c r="H1472" t="s">
        <v>928</v>
      </c>
      <c r="I1472" t="s">
        <v>6063</v>
      </c>
      <c r="J1472" t="s">
        <v>8030</v>
      </c>
      <c r="K1472" t="s">
        <v>9167</v>
      </c>
    </row>
    <row r="1473" spans="1:11" x14ac:dyDescent="0.4">
      <c r="A1473" t="s">
        <v>3480</v>
      </c>
      <c r="B1473">
        <v>0</v>
      </c>
      <c r="C1473" t="s">
        <v>5725</v>
      </c>
      <c r="D1473">
        <v>1</v>
      </c>
      <c r="E1473">
        <v>-1.073</v>
      </c>
      <c r="F1473">
        <v>0</v>
      </c>
      <c r="G1473">
        <v>2024</v>
      </c>
      <c r="H1473" t="s">
        <v>928</v>
      </c>
      <c r="I1473" t="s">
        <v>6063</v>
      </c>
      <c r="J1473" t="s">
        <v>8031</v>
      </c>
      <c r="K1473" t="s">
        <v>9168</v>
      </c>
    </row>
    <row r="1474" spans="1:11" x14ac:dyDescent="0.4">
      <c r="A1474" t="s">
        <v>3461</v>
      </c>
      <c r="B1474">
        <v>0</v>
      </c>
      <c r="C1474" t="s">
        <v>5725</v>
      </c>
      <c r="D1474">
        <v>1</v>
      </c>
      <c r="E1474">
        <v>-1.073</v>
      </c>
      <c r="F1474">
        <v>0</v>
      </c>
      <c r="G1474">
        <v>2024</v>
      </c>
      <c r="H1474" t="s">
        <v>928</v>
      </c>
      <c r="I1474" t="s">
        <v>6063</v>
      </c>
      <c r="J1474" t="s">
        <v>8032</v>
      </c>
      <c r="K1474" t="s">
        <v>9169</v>
      </c>
    </row>
    <row r="1475" spans="1:11" x14ac:dyDescent="0.4">
      <c r="A1475" t="s">
        <v>5824</v>
      </c>
      <c r="B1475">
        <v>100</v>
      </c>
      <c r="C1475" t="s">
        <v>1380</v>
      </c>
      <c r="D1475">
        <v>5</v>
      </c>
      <c r="E1475">
        <v>0.91400000000000003</v>
      </c>
      <c r="F1475">
        <v>1</v>
      </c>
      <c r="G1475">
        <v>2024</v>
      </c>
      <c r="H1475" t="s">
        <v>928</v>
      </c>
      <c r="I1475" t="s">
        <v>6063</v>
      </c>
      <c r="J1475" t="s">
        <v>8033</v>
      </c>
      <c r="K1475" t="s">
        <v>6802</v>
      </c>
    </row>
    <row r="1476" spans="1:11" x14ac:dyDescent="0.4">
      <c r="A1476" t="s">
        <v>3484</v>
      </c>
      <c r="B1476">
        <v>100</v>
      </c>
      <c r="C1476" t="s">
        <v>1380</v>
      </c>
      <c r="D1476">
        <v>5</v>
      </c>
      <c r="E1476">
        <v>0.91400000000000003</v>
      </c>
      <c r="F1476">
        <v>1</v>
      </c>
      <c r="G1476">
        <v>2024</v>
      </c>
      <c r="H1476" t="s">
        <v>928</v>
      </c>
      <c r="I1476" t="s">
        <v>6063</v>
      </c>
      <c r="J1476" t="s">
        <v>8034</v>
      </c>
      <c r="K1476" t="s">
        <v>7603</v>
      </c>
    </row>
    <row r="1477" spans="1:11" x14ac:dyDescent="0.4">
      <c r="A1477" t="s">
        <v>5825</v>
      </c>
      <c r="B1477">
        <v>0</v>
      </c>
      <c r="C1477" t="s">
        <v>5725</v>
      </c>
      <c r="D1477">
        <v>1</v>
      </c>
      <c r="E1477">
        <v>-1.073</v>
      </c>
      <c r="F1477">
        <v>0</v>
      </c>
      <c r="G1477">
        <v>2024</v>
      </c>
      <c r="H1477" t="s">
        <v>928</v>
      </c>
      <c r="I1477" t="s">
        <v>6063</v>
      </c>
      <c r="J1477" t="s">
        <v>8035</v>
      </c>
      <c r="K1477" t="s">
        <v>6803</v>
      </c>
    </row>
    <row r="1478" spans="1:11" x14ac:dyDescent="0.4">
      <c r="A1478" t="s">
        <v>3492</v>
      </c>
      <c r="B1478">
        <v>100</v>
      </c>
      <c r="C1478" t="s">
        <v>1380</v>
      </c>
      <c r="D1478">
        <v>5</v>
      </c>
      <c r="E1478">
        <v>0.91400000000000003</v>
      </c>
      <c r="F1478">
        <v>1</v>
      </c>
      <c r="G1478">
        <v>2024</v>
      </c>
      <c r="H1478" t="s">
        <v>928</v>
      </c>
      <c r="I1478" t="s">
        <v>6063</v>
      </c>
      <c r="J1478" t="s">
        <v>8036</v>
      </c>
      <c r="K1478" t="s">
        <v>9170</v>
      </c>
    </row>
    <row r="1479" spans="1:11" x14ac:dyDescent="0.4">
      <c r="A1479" t="s">
        <v>3467</v>
      </c>
      <c r="B1479">
        <v>0</v>
      </c>
      <c r="C1479" t="s">
        <v>5725</v>
      </c>
      <c r="D1479">
        <v>1</v>
      </c>
      <c r="E1479">
        <v>-1.073</v>
      </c>
      <c r="F1479">
        <v>0</v>
      </c>
      <c r="G1479">
        <v>2024</v>
      </c>
      <c r="H1479" t="s">
        <v>928</v>
      </c>
      <c r="I1479" t="s">
        <v>6063</v>
      </c>
      <c r="J1479" t="s">
        <v>8037</v>
      </c>
      <c r="K1479" t="s">
        <v>9171</v>
      </c>
    </row>
    <row r="1480" spans="1:11" x14ac:dyDescent="0.4">
      <c r="A1480" t="s">
        <v>3471</v>
      </c>
      <c r="B1480">
        <v>0</v>
      </c>
      <c r="C1480" t="s">
        <v>5725</v>
      </c>
      <c r="D1480">
        <v>1</v>
      </c>
      <c r="E1480">
        <v>-1.073</v>
      </c>
      <c r="F1480">
        <v>0</v>
      </c>
      <c r="G1480">
        <v>2024</v>
      </c>
      <c r="H1480" t="s">
        <v>928</v>
      </c>
      <c r="I1480" t="s">
        <v>6063</v>
      </c>
      <c r="J1480" t="s">
        <v>8038</v>
      </c>
      <c r="K1480" t="s">
        <v>8983</v>
      </c>
    </row>
    <row r="1481" spans="1:11" x14ac:dyDescent="0.4">
      <c r="A1481" t="s">
        <v>3465</v>
      </c>
      <c r="B1481">
        <v>0</v>
      </c>
      <c r="C1481" t="s">
        <v>5725</v>
      </c>
      <c r="D1481">
        <v>1</v>
      </c>
      <c r="E1481">
        <v>-1.073</v>
      </c>
      <c r="F1481">
        <v>0</v>
      </c>
      <c r="G1481">
        <v>2024</v>
      </c>
      <c r="H1481" t="s">
        <v>928</v>
      </c>
      <c r="I1481" t="s">
        <v>6063</v>
      </c>
      <c r="J1481" t="s">
        <v>8039</v>
      </c>
      <c r="K1481" t="s">
        <v>8040</v>
      </c>
    </row>
    <row r="1482" spans="1:11" x14ac:dyDescent="0.4">
      <c r="A1482" t="s">
        <v>5826</v>
      </c>
      <c r="B1482">
        <v>0</v>
      </c>
      <c r="C1482" t="s">
        <v>5725</v>
      </c>
      <c r="D1482">
        <v>1</v>
      </c>
      <c r="E1482">
        <v>-1.073</v>
      </c>
      <c r="F1482">
        <v>0</v>
      </c>
      <c r="G1482">
        <v>2024</v>
      </c>
      <c r="H1482" t="s">
        <v>928</v>
      </c>
      <c r="I1482" t="s">
        <v>6063</v>
      </c>
      <c r="J1482" t="s">
        <v>8041</v>
      </c>
      <c r="K1482" t="s">
        <v>9172</v>
      </c>
    </row>
    <row r="1483" spans="1:11" x14ac:dyDescent="0.4">
      <c r="A1483" t="s">
        <v>3485</v>
      </c>
      <c r="B1483">
        <v>100</v>
      </c>
      <c r="C1483" t="s">
        <v>1380</v>
      </c>
      <c r="D1483">
        <v>5</v>
      </c>
      <c r="E1483">
        <v>0.91400000000000003</v>
      </c>
      <c r="F1483">
        <v>1</v>
      </c>
      <c r="G1483">
        <v>2024</v>
      </c>
      <c r="H1483" t="s">
        <v>928</v>
      </c>
      <c r="I1483" t="s">
        <v>6063</v>
      </c>
      <c r="J1483" t="s">
        <v>8042</v>
      </c>
      <c r="K1483" t="s">
        <v>6804</v>
      </c>
    </row>
    <row r="1484" spans="1:11" x14ac:dyDescent="0.4">
      <c r="A1484" t="s">
        <v>2031</v>
      </c>
      <c r="B1484">
        <v>100</v>
      </c>
      <c r="C1484" t="s">
        <v>1380</v>
      </c>
      <c r="D1484">
        <v>5</v>
      </c>
      <c r="E1484">
        <v>0.91400000000000003</v>
      </c>
      <c r="F1484">
        <v>1</v>
      </c>
      <c r="G1484">
        <v>2024</v>
      </c>
      <c r="H1484" t="s">
        <v>928</v>
      </c>
      <c r="I1484" t="s">
        <v>6063</v>
      </c>
      <c r="J1484" t="s">
        <v>8043</v>
      </c>
      <c r="K1484" t="s">
        <v>9173</v>
      </c>
    </row>
    <row r="1485" spans="1:11" x14ac:dyDescent="0.4">
      <c r="A1485" t="s">
        <v>2032</v>
      </c>
      <c r="B1485">
        <v>100</v>
      </c>
      <c r="C1485" t="s">
        <v>1380</v>
      </c>
      <c r="D1485">
        <v>5</v>
      </c>
      <c r="E1485">
        <v>0.91400000000000003</v>
      </c>
      <c r="F1485">
        <v>1</v>
      </c>
      <c r="G1485">
        <v>2024</v>
      </c>
      <c r="H1485" t="s">
        <v>928</v>
      </c>
      <c r="I1485" t="s">
        <v>6063</v>
      </c>
      <c r="J1485" t="s">
        <v>8044</v>
      </c>
      <c r="K1485" t="s">
        <v>8045</v>
      </c>
    </row>
    <row r="1486" spans="1:11" x14ac:dyDescent="0.4">
      <c r="A1486" t="s">
        <v>3488</v>
      </c>
      <c r="B1486">
        <v>100</v>
      </c>
      <c r="C1486" t="s">
        <v>1380</v>
      </c>
      <c r="D1486">
        <v>5</v>
      </c>
      <c r="E1486">
        <v>0.91400000000000003</v>
      </c>
      <c r="F1486">
        <v>1</v>
      </c>
      <c r="G1486">
        <v>2024</v>
      </c>
      <c r="H1486" t="s">
        <v>928</v>
      </c>
      <c r="I1486" t="s">
        <v>6063</v>
      </c>
      <c r="J1486" t="s">
        <v>8046</v>
      </c>
      <c r="K1486" t="s">
        <v>6805</v>
      </c>
    </row>
    <row r="1487" spans="1:11" x14ac:dyDescent="0.4">
      <c r="A1487" t="s">
        <v>2033</v>
      </c>
      <c r="B1487">
        <v>100</v>
      </c>
      <c r="C1487" t="s">
        <v>1380</v>
      </c>
      <c r="D1487">
        <v>5</v>
      </c>
      <c r="E1487">
        <v>0.91400000000000003</v>
      </c>
      <c r="F1487">
        <v>1</v>
      </c>
      <c r="G1487">
        <v>2024</v>
      </c>
      <c r="H1487" t="s">
        <v>928</v>
      </c>
      <c r="I1487" t="s">
        <v>6063</v>
      </c>
      <c r="J1487" t="s">
        <v>8047</v>
      </c>
      <c r="K1487" t="s">
        <v>9174</v>
      </c>
    </row>
    <row r="1488" spans="1:11" x14ac:dyDescent="0.4">
      <c r="A1488" t="s">
        <v>3463</v>
      </c>
      <c r="B1488">
        <v>100</v>
      </c>
      <c r="C1488" t="s">
        <v>1380</v>
      </c>
      <c r="D1488">
        <v>5</v>
      </c>
      <c r="E1488">
        <v>0.91400000000000003</v>
      </c>
      <c r="F1488">
        <v>1</v>
      </c>
      <c r="G1488">
        <v>2024</v>
      </c>
      <c r="H1488" t="s">
        <v>928</v>
      </c>
      <c r="I1488" t="s">
        <v>6063</v>
      </c>
      <c r="J1488" t="s">
        <v>8048</v>
      </c>
      <c r="K1488" t="s">
        <v>8049</v>
      </c>
    </row>
    <row r="1489" spans="1:11" x14ac:dyDescent="0.4">
      <c r="A1489" t="s">
        <v>3477</v>
      </c>
      <c r="B1489">
        <v>100</v>
      </c>
      <c r="C1489" t="s">
        <v>1380</v>
      </c>
      <c r="D1489">
        <v>5</v>
      </c>
      <c r="E1489">
        <v>0.91400000000000003</v>
      </c>
      <c r="F1489">
        <v>1</v>
      </c>
      <c r="G1489">
        <v>2024</v>
      </c>
      <c r="H1489" t="s">
        <v>928</v>
      </c>
      <c r="I1489" t="s">
        <v>6063</v>
      </c>
      <c r="J1489" t="s">
        <v>8050</v>
      </c>
      <c r="K1489" t="s">
        <v>6806</v>
      </c>
    </row>
    <row r="1490" spans="1:11" x14ac:dyDescent="0.4">
      <c r="A1490" t="s">
        <v>3487</v>
      </c>
      <c r="B1490">
        <v>0</v>
      </c>
      <c r="C1490" t="s">
        <v>5725</v>
      </c>
      <c r="D1490">
        <v>1</v>
      </c>
      <c r="E1490">
        <v>-1.073</v>
      </c>
      <c r="F1490">
        <v>0</v>
      </c>
      <c r="G1490">
        <v>2024</v>
      </c>
      <c r="H1490" t="s">
        <v>928</v>
      </c>
      <c r="I1490" t="s">
        <v>6063</v>
      </c>
      <c r="J1490" t="s">
        <v>8051</v>
      </c>
      <c r="K1490" t="s">
        <v>9175</v>
      </c>
    </row>
    <row r="1491" spans="1:11" x14ac:dyDescent="0.4">
      <c r="A1491" t="s">
        <v>3478</v>
      </c>
      <c r="B1491">
        <v>0</v>
      </c>
      <c r="C1491" t="s">
        <v>5725</v>
      </c>
      <c r="D1491">
        <v>1</v>
      </c>
      <c r="E1491">
        <v>-1.073</v>
      </c>
      <c r="F1491">
        <v>0</v>
      </c>
      <c r="G1491">
        <v>2024</v>
      </c>
      <c r="H1491" t="s">
        <v>928</v>
      </c>
      <c r="I1491" t="s">
        <v>6063</v>
      </c>
      <c r="J1491" t="s">
        <v>8052</v>
      </c>
      <c r="K1491" t="s">
        <v>9176</v>
      </c>
    </row>
    <row r="1492" spans="1:11" x14ac:dyDescent="0.4">
      <c r="A1492" t="s">
        <v>2037</v>
      </c>
      <c r="B1492">
        <v>54</v>
      </c>
      <c r="C1492" t="s">
        <v>197</v>
      </c>
      <c r="D1492">
        <v>3</v>
      </c>
    </row>
    <row r="1493" spans="1:11" x14ac:dyDescent="0.4">
      <c r="A1493" t="s">
        <v>2038</v>
      </c>
      <c r="B1493">
        <v>40</v>
      </c>
      <c r="C1493" t="s">
        <v>197</v>
      </c>
      <c r="D1493">
        <v>3</v>
      </c>
    </row>
    <row r="1494" spans="1:11" x14ac:dyDescent="0.4">
      <c r="A1494" t="s">
        <v>2039</v>
      </c>
      <c r="B1494">
        <v>42.9</v>
      </c>
      <c r="C1494" t="s">
        <v>197</v>
      </c>
      <c r="D1494">
        <v>3</v>
      </c>
    </row>
    <row r="1495" spans="1:11" x14ac:dyDescent="0.4">
      <c r="A1495" t="s">
        <v>2040</v>
      </c>
      <c r="B1495">
        <v>25</v>
      </c>
      <c r="C1495" t="s">
        <v>197</v>
      </c>
      <c r="D1495">
        <v>2</v>
      </c>
    </row>
    <row r="1496" spans="1:11" x14ac:dyDescent="0.4">
      <c r="A1496" t="s">
        <v>2041</v>
      </c>
      <c r="B1496">
        <v>60</v>
      </c>
      <c r="C1496" t="s">
        <v>197</v>
      </c>
      <c r="D1496">
        <v>4</v>
      </c>
    </row>
    <row r="1497" spans="1:11" x14ac:dyDescent="0.4">
      <c r="A1497" t="s">
        <v>2566</v>
      </c>
      <c r="B1497">
        <v>40</v>
      </c>
      <c r="C1497" t="s">
        <v>197</v>
      </c>
      <c r="D1497">
        <v>3</v>
      </c>
    </row>
    <row r="1498" spans="1:11" x14ac:dyDescent="0.4">
      <c r="A1498" t="s">
        <v>2567</v>
      </c>
      <c r="B1498">
        <v>78.599999999999994</v>
      </c>
      <c r="C1498" t="s">
        <v>197</v>
      </c>
      <c r="D1498">
        <v>4</v>
      </c>
    </row>
    <row r="1499" spans="1:11" x14ac:dyDescent="0.4">
      <c r="A1499" t="s">
        <v>7327</v>
      </c>
      <c r="B1499">
        <v>25</v>
      </c>
      <c r="C1499" t="s">
        <v>197</v>
      </c>
      <c r="D1499">
        <v>2</v>
      </c>
    </row>
    <row r="1500" spans="1:11" x14ac:dyDescent="0.4">
      <c r="A1500" t="s">
        <v>7328</v>
      </c>
      <c r="B1500">
        <v>54.5</v>
      </c>
      <c r="C1500" t="s">
        <v>197</v>
      </c>
      <c r="D1500">
        <v>3</v>
      </c>
    </row>
    <row r="1501" spans="1:11" x14ac:dyDescent="0.4">
      <c r="A1501" t="s">
        <v>7329</v>
      </c>
      <c r="B1501">
        <v>73.900000000000006</v>
      </c>
      <c r="C1501" t="s">
        <v>197</v>
      </c>
      <c r="D1501">
        <v>4</v>
      </c>
    </row>
    <row r="1502" spans="1:11" x14ac:dyDescent="0.4">
      <c r="A1502" t="s">
        <v>4197</v>
      </c>
      <c r="B1502">
        <v>4.7</v>
      </c>
      <c r="C1502" t="s">
        <v>6033</v>
      </c>
      <c r="D1502">
        <v>1</v>
      </c>
      <c r="E1502">
        <v>-1.347</v>
      </c>
    </row>
    <row r="1503" spans="1:11" x14ac:dyDescent="0.4">
      <c r="A1503" t="s">
        <v>4195</v>
      </c>
      <c r="B1503">
        <v>23.4</v>
      </c>
      <c r="C1503" t="s">
        <v>5733</v>
      </c>
      <c r="D1503">
        <v>2</v>
      </c>
      <c r="E1503">
        <v>-0.73399999999999999</v>
      </c>
    </row>
    <row r="1504" spans="1:11" x14ac:dyDescent="0.4">
      <c r="A1504" t="s">
        <v>4201</v>
      </c>
      <c r="B1504">
        <v>24.7</v>
      </c>
      <c r="C1504" t="s">
        <v>6041</v>
      </c>
      <c r="D1504">
        <v>2</v>
      </c>
      <c r="E1504">
        <v>-0.69199999999999995</v>
      </c>
    </row>
    <row r="1505" spans="1:5" x14ac:dyDescent="0.4">
      <c r="A1505" t="s">
        <v>4225</v>
      </c>
      <c r="B1505">
        <v>21.9</v>
      </c>
      <c r="C1505" t="s">
        <v>5734</v>
      </c>
      <c r="D1505">
        <v>2</v>
      </c>
      <c r="E1505">
        <v>-0.78300000000000003</v>
      </c>
    </row>
    <row r="1506" spans="1:5" x14ac:dyDescent="0.4">
      <c r="A1506" t="s">
        <v>2369</v>
      </c>
      <c r="B1506">
        <v>60.8</v>
      </c>
      <c r="C1506" t="s">
        <v>5732</v>
      </c>
      <c r="D1506">
        <v>4</v>
      </c>
      <c r="E1506">
        <v>0.49199999999999999</v>
      </c>
    </row>
    <row r="1507" spans="1:5" x14ac:dyDescent="0.4">
      <c r="A1507" t="s">
        <v>4221</v>
      </c>
      <c r="B1507">
        <v>100</v>
      </c>
      <c r="C1507" t="s">
        <v>1380</v>
      </c>
      <c r="D1507">
        <v>5</v>
      </c>
      <c r="E1507">
        <v>1.7769999999999999</v>
      </c>
    </row>
    <row r="1508" spans="1:5" x14ac:dyDescent="0.4">
      <c r="A1508" t="s">
        <v>4205</v>
      </c>
      <c r="B1508">
        <v>69.5</v>
      </c>
      <c r="C1508" t="s">
        <v>5695</v>
      </c>
      <c r="D1508">
        <v>4</v>
      </c>
      <c r="E1508">
        <v>0.77700000000000002</v>
      </c>
    </row>
    <row r="1509" spans="1:5" x14ac:dyDescent="0.4">
      <c r="A1509" t="s">
        <v>4199</v>
      </c>
      <c r="B1509">
        <v>12.3</v>
      </c>
      <c r="C1509" t="s">
        <v>5711</v>
      </c>
      <c r="D1509">
        <v>1</v>
      </c>
      <c r="E1509">
        <v>-1.0980000000000001</v>
      </c>
    </row>
    <row r="1510" spans="1:5" x14ac:dyDescent="0.4">
      <c r="A1510" t="s">
        <v>4211</v>
      </c>
      <c r="B1510">
        <v>80.400000000000006</v>
      </c>
      <c r="C1510" t="s">
        <v>2483</v>
      </c>
      <c r="D1510">
        <v>5</v>
      </c>
      <c r="E1510">
        <v>1.1339999999999999</v>
      </c>
    </row>
    <row r="1511" spans="1:5" x14ac:dyDescent="0.4">
      <c r="A1511" t="s">
        <v>4203</v>
      </c>
      <c r="B1511">
        <v>50</v>
      </c>
      <c r="C1511" t="s">
        <v>5723</v>
      </c>
      <c r="D1511">
        <v>3</v>
      </c>
      <c r="E1511">
        <v>0.13800000000000001</v>
      </c>
    </row>
    <row r="1512" spans="1:5" x14ac:dyDescent="0.4">
      <c r="A1512" t="s">
        <v>5973</v>
      </c>
      <c r="B1512">
        <v>11.1</v>
      </c>
      <c r="C1512" t="s">
        <v>5710</v>
      </c>
      <c r="D1512">
        <v>1</v>
      </c>
      <c r="E1512">
        <v>-1.1379999999999999</v>
      </c>
    </row>
    <row r="1513" spans="1:5" x14ac:dyDescent="0.4">
      <c r="A1513" t="s">
        <v>4217</v>
      </c>
      <c r="B1513">
        <v>13.9</v>
      </c>
      <c r="C1513" t="s">
        <v>5741</v>
      </c>
      <c r="D1513">
        <v>1</v>
      </c>
      <c r="E1513">
        <v>-1.046</v>
      </c>
    </row>
    <row r="1514" spans="1:5" x14ac:dyDescent="0.4">
      <c r="A1514" t="s">
        <v>2370</v>
      </c>
      <c r="B1514">
        <v>5.7</v>
      </c>
      <c r="C1514" t="s">
        <v>6035</v>
      </c>
      <c r="D1514">
        <v>1</v>
      </c>
      <c r="E1514">
        <v>-1.3149999999999999</v>
      </c>
    </row>
    <row r="1515" spans="1:5" x14ac:dyDescent="0.4">
      <c r="A1515" t="s">
        <v>2379</v>
      </c>
      <c r="B1515">
        <v>24.1</v>
      </c>
      <c r="C1515" t="s">
        <v>5727</v>
      </c>
      <c r="D1515">
        <v>2</v>
      </c>
      <c r="E1515">
        <v>-0.71099999999999997</v>
      </c>
    </row>
    <row r="1516" spans="1:5" x14ac:dyDescent="0.4">
      <c r="A1516" t="s">
        <v>4210</v>
      </c>
      <c r="B1516">
        <v>68.3</v>
      </c>
      <c r="C1516" t="s">
        <v>6580</v>
      </c>
      <c r="D1516">
        <v>4</v>
      </c>
      <c r="E1516">
        <v>0.73799999999999999</v>
      </c>
    </row>
    <row r="1517" spans="1:5" x14ac:dyDescent="0.4">
      <c r="A1517" t="s">
        <v>4224</v>
      </c>
      <c r="B1517">
        <v>73.900000000000006</v>
      </c>
      <c r="C1517" t="s">
        <v>2481</v>
      </c>
      <c r="D1517">
        <v>4</v>
      </c>
      <c r="E1517">
        <v>0.92100000000000004</v>
      </c>
    </row>
    <row r="1518" spans="1:5" x14ac:dyDescent="0.4">
      <c r="A1518" t="s">
        <v>2371</v>
      </c>
      <c r="B1518">
        <v>96.7</v>
      </c>
      <c r="C1518" t="s">
        <v>2477</v>
      </c>
      <c r="D1518">
        <v>5</v>
      </c>
      <c r="E1518">
        <v>1.669</v>
      </c>
    </row>
    <row r="1519" spans="1:5" x14ac:dyDescent="0.4">
      <c r="A1519" t="s">
        <v>2378</v>
      </c>
      <c r="B1519">
        <v>50</v>
      </c>
      <c r="C1519" t="s">
        <v>5723</v>
      </c>
      <c r="D1519">
        <v>3</v>
      </c>
      <c r="E1519">
        <v>0.13800000000000001</v>
      </c>
    </row>
    <row r="1520" spans="1:5" x14ac:dyDescent="0.4">
      <c r="A1520" t="s">
        <v>2372</v>
      </c>
      <c r="B1520">
        <v>61.1</v>
      </c>
      <c r="C1520" t="s">
        <v>6034</v>
      </c>
      <c r="D1520">
        <v>4</v>
      </c>
      <c r="E1520">
        <v>0.502</v>
      </c>
    </row>
    <row r="1521" spans="1:5" x14ac:dyDescent="0.4">
      <c r="A1521" t="s">
        <v>4194</v>
      </c>
      <c r="B1521">
        <v>10.8</v>
      </c>
      <c r="C1521" t="s">
        <v>6037</v>
      </c>
      <c r="D1521">
        <v>1</v>
      </c>
      <c r="E1521">
        <v>-1.147</v>
      </c>
    </row>
    <row r="1522" spans="1:5" x14ac:dyDescent="0.4">
      <c r="A1522" t="s">
        <v>4214</v>
      </c>
      <c r="B1522">
        <v>7.2</v>
      </c>
      <c r="C1522" t="s">
        <v>6036</v>
      </c>
      <c r="D1522">
        <v>1</v>
      </c>
      <c r="E1522">
        <v>-1.2649999999999999</v>
      </c>
    </row>
    <row r="1523" spans="1:5" x14ac:dyDescent="0.4">
      <c r="A1523" t="s">
        <v>4218</v>
      </c>
      <c r="B1523">
        <v>12.1</v>
      </c>
      <c r="C1523" t="s">
        <v>5728</v>
      </c>
      <c r="D1523">
        <v>1</v>
      </c>
      <c r="E1523">
        <v>-1.105</v>
      </c>
    </row>
    <row r="1524" spans="1:5" x14ac:dyDescent="0.4">
      <c r="A1524" t="s">
        <v>4216</v>
      </c>
      <c r="B1524">
        <v>13.9</v>
      </c>
      <c r="C1524" t="s">
        <v>5741</v>
      </c>
      <c r="D1524">
        <v>1</v>
      </c>
      <c r="E1524">
        <v>-1.046</v>
      </c>
    </row>
    <row r="1525" spans="1:5" x14ac:dyDescent="0.4">
      <c r="A1525" t="s">
        <v>4204</v>
      </c>
      <c r="B1525">
        <v>38.799999999999997</v>
      </c>
      <c r="C1525" t="s">
        <v>5706</v>
      </c>
      <c r="D1525">
        <v>2</v>
      </c>
      <c r="E1525">
        <v>-0.22900000000000001</v>
      </c>
    </row>
    <row r="1526" spans="1:5" x14ac:dyDescent="0.4">
      <c r="A1526" t="s">
        <v>4193</v>
      </c>
      <c r="B1526">
        <v>15.5</v>
      </c>
      <c r="C1526" t="s">
        <v>5702</v>
      </c>
      <c r="D1526">
        <v>1</v>
      </c>
      <c r="E1526">
        <v>-0.99299999999999999</v>
      </c>
    </row>
    <row r="1527" spans="1:5" x14ac:dyDescent="0.4">
      <c r="A1527" t="s">
        <v>4207</v>
      </c>
      <c r="B1527">
        <v>70.099999999999994</v>
      </c>
      <c r="C1527" t="s">
        <v>5692</v>
      </c>
      <c r="D1527">
        <v>4</v>
      </c>
      <c r="E1527">
        <v>0.79700000000000004</v>
      </c>
    </row>
    <row r="1528" spans="1:5" x14ac:dyDescent="0.4">
      <c r="A1528" t="s">
        <v>4208</v>
      </c>
      <c r="B1528">
        <v>77.599999999999994</v>
      </c>
      <c r="C1528" t="s">
        <v>2484</v>
      </c>
      <c r="D1528">
        <v>4</v>
      </c>
      <c r="E1528">
        <v>1.042</v>
      </c>
    </row>
    <row r="1529" spans="1:5" x14ac:dyDescent="0.4">
      <c r="A1529" t="s">
        <v>4226</v>
      </c>
      <c r="B1529">
        <v>13.1</v>
      </c>
      <c r="C1529" t="s">
        <v>5712</v>
      </c>
      <c r="D1529">
        <v>1</v>
      </c>
      <c r="E1529">
        <v>-1.0720000000000001</v>
      </c>
    </row>
    <row r="1530" spans="1:5" x14ac:dyDescent="0.4">
      <c r="A1530" t="s">
        <v>2373</v>
      </c>
      <c r="B1530">
        <v>70.8</v>
      </c>
      <c r="C1530" t="s">
        <v>6043</v>
      </c>
      <c r="D1530">
        <v>4</v>
      </c>
      <c r="E1530">
        <v>0.82</v>
      </c>
    </row>
    <row r="1531" spans="1:5" x14ac:dyDescent="0.4">
      <c r="A1531" t="s">
        <v>2377</v>
      </c>
      <c r="B1531">
        <v>15.2</v>
      </c>
      <c r="C1531" t="s">
        <v>5694</v>
      </c>
      <c r="D1531">
        <v>1</v>
      </c>
      <c r="E1531">
        <v>-1.0029999999999999</v>
      </c>
    </row>
    <row r="1532" spans="1:5" x14ac:dyDescent="0.4">
      <c r="A1532" t="s">
        <v>4209</v>
      </c>
      <c r="B1532">
        <v>72.400000000000006</v>
      </c>
      <c r="C1532" t="s">
        <v>5730</v>
      </c>
      <c r="D1532">
        <v>4</v>
      </c>
      <c r="E1532">
        <v>0.872</v>
      </c>
    </row>
    <row r="1533" spans="1:5" x14ac:dyDescent="0.4">
      <c r="A1533" t="s">
        <v>4215</v>
      </c>
      <c r="B1533">
        <v>13.9</v>
      </c>
      <c r="C1533" t="s">
        <v>5741</v>
      </c>
      <c r="D1533">
        <v>1</v>
      </c>
      <c r="E1533">
        <v>-1.046</v>
      </c>
    </row>
    <row r="1534" spans="1:5" x14ac:dyDescent="0.4">
      <c r="A1534" t="s">
        <v>4196</v>
      </c>
      <c r="B1534">
        <v>11.6</v>
      </c>
      <c r="C1534" t="s">
        <v>5697</v>
      </c>
      <c r="D1534">
        <v>1</v>
      </c>
      <c r="E1534">
        <v>-1.121</v>
      </c>
    </row>
    <row r="1535" spans="1:5" x14ac:dyDescent="0.4">
      <c r="A1535" t="s">
        <v>5827</v>
      </c>
      <c r="B1535">
        <v>74.7</v>
      </c>
      <c r="C1535" t="s">
        <v>2474</v>
      </c>
      <c r="D1535">
        <v>4</v>
      </c>
      <c r="E1535">
        <v>0.94699999999999995</v>
      </c>
    </row>
    <row r="1536" spans="1:5" x14ac:dyDescent="0.4">
      <c r="A1536" t="s">
        <v>4219</v>
      </c>
      <c r="B1536">
        <v>84</v>
      </c>
      <c r="C1536" t="s">
        <v>6583</v>
      </c>
      <c r="D1536">
        <v>5</v>
      </c>
      <c r="E1536">
        <v>1.252</v>
      </c>
    </row>
    <row r="1537" spans="1:5" x14ac:dyDescent="0.4">
      <c r="A1537" t="s">
        <v>5828</v>
      </c>
      <c r="B1537">
        <v>17.5</v>
      </c>
      <c r="C1537" t="s">
        <v>5704</v>
      </c>
      <c r="D1537">
        <v>1</v>
      </c>
      <c r="E1537">
        <v>-0.92800000000000005</v>
      </c>
    </row>
    <row r="1538" spans="1:5" x14ac:dyDescent="0.4">
      <c r="A1538" t="s">
        <v>4227</v>
      </c>
      <c r="B1538">
        <v>55</v>
      </c>
      <c r="C1538" t="s">
        <v>5731</v>
      </c>
      <c r="D1538">
        <v>3</v>
      </c>
      <c r="E1538">
        <v>0.30199999999999999</v>
      </c>
    </row>
    <row r="1539" spans="1:5" x14ac:dyDescent="0.4">
      <c r="A1539" t="s">
        <v>4202</v>
      </c>
      <c r="B1539">
        <v>21</v>
      </c>
      <c r="C1539" t="s">
        <v>5699</v>
      </c>
      <c r="D1539">
        <v>2</v>
      </c>
      <c r="E1539">
        <v>-0.81299999999999994</v>
      </c>
    </row>
    <row r="1540" spans="1:5" x14ac:dyDescent="0.4">
      <c r="A1540" t="s">
        <v>4206</v>
      </c>
      <c r="B1540">
        <v>27</v>
      </c>
      <c r="C1540" t="s">
        <v>5693</v>
      </c>
      <c r="D1540">
        <v>2</v>
      </c>
      <c r="E1540">
        <v>-0.61599999999999999</v>
      </c>
    </row>
    <row r="1541" spans="1:5" x14ac:dyDescent="0.4">
      <c r="A1541" t="s">
        <v>4200</v>
      </c>
      <c r="B1541">
        <v>24.7</v>
      </c>
      <c r="C1541" t="s">
        <v>6041</v>
      </c>
      <c r="D1541">
        <v>2</v>
      </c>
      <c r="E1541">
        <v>-0.69199999999999995</v>
      </c>
    </row>
    <row r="1542" spans="1:5" x14ac:dyDescent="0.4">
      <c r="A1542" t="s">
        <v>5829</v>
      </c>
      <c r="B1542">
        <v>62.7</v>
      </c>
      <c r="C1542" t="s">
        <v>6579</v>
      </c>
      <c r="D1542">
        <v>4</v>
      </c>
      <c r="E1542">
        <v>0.55400000000000005</v>
      </c>
    </row>
    <row r="1543" spans="1:5" x14ac:dyDescent="0.4">
      <c r="A1543" t="s">
        <v>4220</v>
      </c>
      <c r="B1543">
        <v>84.4</v>
      </c>
      <c r="C1543" t="s">
        <v>2475</v>
      </c>
      <c r="D1543">
        <v>5</v>
      </c>
      <c r="E1543">
        <v>1.2649999999999999</v>
      </c>
    </row>
    <row r="1544" spans="1:5" x14ac:dyDescent="0.4">
      <c r="A1544" t="s">
        <v>2374</v>
      </c>
      <c r="B1544">
        <v>100</v>
      </c>
      <c r="C1544" t="s">
        <v>1380</v>
      </c>
      <c r="D1544">
        <v>5</v>
      </c>
      <c r="E1544">
        <v>1.7769999999999999</v>
      </c>
    </row>
    <row r="1545" spans="1:5" x14ac:dyDescent="0.4">
      <c r="A1545" t="s">
        <v>2375</v>
      </c>
      <c r="B1545">
        <v>79.900000000000006</v>
      </c>
      <c r="C1545" t="s">
        <v>2482</v>
      </c>
      <c r="D1545">
        <v>4</v>
      </c>
      <c r="E1545">
        <v>1.1180000000000001</v>
      </c>
    </row>
    <row r="1546" spans="1:5" x14ac:dyDescent="0.4">
      <c r="A1546" t="s">
        <v>4223</v>
      </c>
      <c r="B1546">
        <v>70.8</v>
      </c>
      <c r="C1546" t="s">
        <v>6043</v>
      </c>
      <c r="D1546">
        <v>4</v>
      </c>
      <c r="E1546">
        <v>0.82</v>
      </c>
    </row>
    <row r="1547" spans="1:5" x14ac:dyDescent="0.4">
      <c r="A1547" t="s">
        <v>2376</v>
      </c>
      <c r="B1547">
        <v>84</v>
      </c>
      <c r="C1547" t="s">
        <v>6583</v>
      </c>
      <c r="D1547">
        <v>5</v>
      </c>
      <c r="E1547">
        <v>1.252</v>
      </c>
    </row>
    <row r="1548" spans="1:5" x14ac:dyDescent="0.4">
      <c r="A1548" t="s">
        <v>4198</v>
      </c>
      <c r="B1548">
        <v>72.2</v>
      </c>
      <c r="C1548" t="s">
        <v>5701</v>
      </c>
      <c r="D1548">
        <v>4</v>
      </c>
      <c r="E1548">
        <v>0.86499999999999999</v>
      </c>
    </row>
    <row r="1549" spans="1:5" x14ac:dyDescent="0.4">
      <c r="A1549" t="s">
        <v>4212</v>
      </c>
      <c r="B1549">
        <v>72.3</v>
      </c>
      <c r="C1549" t="s">
        <v>5696</v>
      </c>
      <c r="D1549">
        <v>4</v>
      </c>
      <c r="E1549">
        <v>0.86899999999999999</v>
      </c>
    </row>
    <row r="1550" spans="1:5" x14ac:dyDescent="0.4">
      <c r="A1550" t="s">
        <v>4222</v>
      </c>
      <c r="B1550">
        <v>50</v>
      </c>
      <c r="C1550" t="s">
        <v>5723</v>
      </c>
      <c r="D1550">
        <v>3</v>
      </c>
      <c r="E1550">
        <v>0.13800000000000001</v>
      </c>
    </row>
    <row r="1551" spans="1:5" x14ac:dyDescent="0.4">
      <c r="A1551" t="s">
        <v>4213</v>
      </c>
      <c r="B1551">
        <v>14.9</v>
      </c>
      <c r="C1551" t="s">
        <v>5709</v>
      </c>
      <c r="D1551">
        <v>1</v>
      </c>
      <c r="E1551">
        <v>-1.0129999999999999</v>
      </c>
    </row>
    <row r="1552" spans="1:5" x14ac:dyDescent="0.4">
      <c r="A1552" t="s">
        <v>1446</v>
      </c>
      <c r="B1552">
        <v>45.8</v>
      </c>
      <c r="C1552" t="s">
        <v>197</v>
      </c>
      <c r="D1552">
        <v>3</v>
      </c>
    </row>
    <row r="1553" spans="1:12" x14ac:dyDescent="0.4">
      <c r="A1553" t="s">
        <v>1447</v>
      </c>
      <c r="B1553">
        <v>13.2</v>
      </c>
      <c r="C1553" t="s">
        <v>197</v>
      </c>
      <c r="D1553">
        <v>1</v>
      </c>
    </row>
    <row r="1554" spans="1:12" x14ac:dyDescent="0.4">
      <c r="A1554" t="s">
        <v>1590</v>
      </c>
      <c r="B1554">
        <v>40.9</v>
      </c>
      <c r="C1554" t="s">
        <v>197</v>
      </c>
      <c r="D1554">
        <v>3</v>
      </c>
    </row>
    <row r="1555" spans="1:12" x14ac:dyDescent="0.4">
      <c r="A1555" t="s">
        <v>1691</v>
      </c>
      <c r="B1555">
        <v>33.5</v>
      </c>
      <c r="C1555" t="s">
        <v>197</v>
      </c>
      <c r="D1555">
        <v>2</v>
      </c>
    </row>
    <row r="1556" spans="1:12" x14ac:dyDescent="0.4">
      <c r="A1556" t="s">
        <v>1692</v>
      </c>
      <c r="B1556">
        <v>60.5</v>
      </c>
      <c r="C1556" t="s">
        <v>197</v>
      </c>
      <c r="D1556">
        <v>4</v>
      </c>
    </row>
    <row r="1557" spans="1:12" x14ac:dyDescent="0.4">
      <c r="A1557" t="s">
        <v>2608</v>
      </c>
      <c r="B1557">
        <v>21.5</v>
      </c>
      <c r="C1557" t="s">
        <v>197</v>
      </c>
      <c r="D1557">
        <v>2</v>
      </c>
    </row>
    <row r="1558" spans="1:12" x14ac:dyDescent="0.4">
      <c r="A1558" t="s">
        <v>2609</v>
      </c>
      <c r="B1558">
        <v>70.3</v>
      </c>
      <c r="C1558" t="s">
        <v>197</v>
      </c>
      <c r="D1558">
        <v>4</v>
      </c>
    </row>
    <row r="1559" spans="1:12" x14ac:dyDescent="0.4">
      <c r="A1559" t="s">
        <v>7330</v>
      </c>
      <c r="B1559">
        <v>21.2</v>
      </c>
      <c r="C1559" t="s">
        <v>197</v>
      </c>
      <c r="D1559">
        <v>2</v>
      </c>
    </row>
    <row r="1560" spans="1:12" x14ac:dyDescent="0.4">
      <c r="A1560" t="s">
        <v>7331</v>
      </c>
      <c r="B1560">
        <v>54.1</v>
      </c>
      <c r="C1560" t="s">
        <v>197</v>
      </c>
      <c r="D1560">
        <v>3</v>
      </c>
    </row>
    <row r="1561" spans="1:12" x14ac:dyDescent="0.4">
      <c r="A1561" t="s">
        <v>7332</v>
      </c>
      <c r="B1561">
        <v>58.9</v>
      </c>
      <c r="C1561" t="s">
        <v>197</v>
      </c>
      <c r="D1561">
        <v>3</v>
      </c>
    </row>
    <row r="1562" spans="1:12" x14ac:dyDescent="0.4">
      <c r="A1562" t="s">
        <v>3497</v>
      </c>
      <c r="B1562">
        <v>9.5</v>
      </c>
      <c r="C1562" t="s">
        <v>6033</v>
      </c>
      <c r="D1562">
        <v>1</v>
      </c>
      <c r="E1562">
        <v>-1.4259999999999999</v>
      </c>
      <c r="F1562">
        <v>37.799999999999997</v>
      </c>
      <c r="G1562">
        <v>2019</v>
      </c>
      <c r="H1562" t="s">
        <v>928</v>
      </c>
      <c r="I1562" t="s">
        <v>6615</v>
      </c>
      <c r="L1562" t="s">
        <v>197</v>
      </c>
    </row>
    <row r="1563" spans="1:12" x14ac:dyDescent="0.4">
      <c r="A1563" t="s">
        <v>3495</v>
      </c>
      <c r="B1563">
        <v>46.8</v>
      </c>
      <c r="C1563" t="s">
        <v>6579</v>
      </c>
      <c r="D1563">
        <v>3</v>
      </c>
      <c r="E1563">
        <v>4.7E-2</v>
      </c>
      <c r="F1563">
        <v>187.2</v>
      </c>
      <c r="G1563">
        <v>2019</v>
      </c>
      <c r="H1563" t="s">
        <v>928</v>
      </c>
      <c r="I1563" t="s">
        <v>6615</v>
      </c>
      <c r="L1563" t="s">
        <v>197</v>
      </c>
    </row>
    <row r="1564" spans="1:12" x14ac:dyDescent="0.4">
      <c r="A1564" t="s">
        <v>3501</v>
      </c>
      <c r="B1564">
        <v>49.3</v>
      </c>
      <c r="C1564" t="s">
        <v>6043</v>
      </c>
      <c r="D1564">
        <v>3</v>
      </c>
      <c r="E1564">
        <v>0.14599999999999999</v>
      </c>
      <c r="F1564">
        <v>197.33</v>
      </c>
      <c r="G1564">
        <v>2019</v>
      </c>
      <c r="H1564" t="s">
        <v>928</v>
      </c>
      <c r="I1564" t="s">
        <v>6615</v>
      </c>
      <c r="L1564" t="s">
        <v>197</v>
      </c>
    </row>
    <row r="1565" spans="1:12" x14ac:dyDescent="0.4">
      <c r="A1565" t="s">
        <v>3525</v>
      </c>
      <c r="B1565">
        <v>43.8</v>
      </c>
      <c r="C1565" t="s">
        <v>5729</v>
      </c>
      <c r="D1565">
        <v>3</v>
      </c>
      <c r="E1565">
        <v>-7.0999999999999994E-2</v>
      </c>
      <c r="F1565">
        <v>175.13</v>
      </c>
      <c r="G1565">
        <v>2019</v>
      </c>
      <c r="H1565" t="s">
        <v>928</v>
      </c>
      <c r="I1565" t="s">
        <v>6615</v>
      </c>
      <c r="L1565" t="s">
        <v>197</v>
      </c>
    </row>
    <row r="1566" spans="1:12" x14ac:dyDescent="0.4">
      <c r="A1566" t="s">
        <v>2042</v>
      </c>
      <c r="B1566">
        <v>21.6</v>
      </c>
      <c r="C1566" t="s">
        <v>5710</v>
      </c>
      <c r="D1566">
        <v>2</v>
      </c>
      <c r="E1566">
        <v>-0.94799999999999995</v>
      </c>
      <c r="F1566">
        <v>86.54</v>
      </c>
      <c r="G1566">
        <v>2019</v>
      </c>
      <c r="H1566" t="s">
        <v>928</v>
      </c>
      <c r="I1566" t="s">
        <v>6615</v>
      </c>
      <c r="L1566" t="s">
        <v>197</v>
      </c>
    </row>
    <row r="1567" spans="1:12" x14ac:dyDescent="0.4">
      <c r="A1567" t="s">
        <v>3521</v>
      </c>
      <c r="B1567">
        <v>100</v>
      </c>
      <c r="C1567" t="s">
        <v>1380</v>
      </c>
      <c r="D1567">
        <v>5</v>
      </c>
      <c r="E1567">
        <v>2.149</v>
      </c>
      <c r="F1567">
        <v>425.64</v>
      </c>
      <c r="G1567">
        <v>2019</v>
      </c>
      <c r="H1567" t="s">
        <v>928</v>
      </c>
      <c r="I1567" t="s">
        <v>6615</v>
      </c>
      <c r="L1567" t="s">
        <v>197</v>
      </c>
    </row>
    <row r="1568" spans="1:12" x14ac:dyDescent="0.4">
      <c r="A1568" t="s">
        <v>3505</v>
      </c>
      <c r="B1568">
        <v>39</v>
      </c>
      <c r="C1568" t="s">
        <v>5736</v>
      </c>
      <c r="D1568">
        <v>2</v>
      </c>
      <c r="E1568">
        <v>-0.26100000000000001</v>
      </c>
      <c r="F1568">
        <v>156.07</v>
      </c>
      <c r="G1568">
        <v>2019</v>
      </c>
      <c r="H1568" t="s">
        <v>928</v>
      </c>
      <c r="I1568" t="s">
        <v>6615</v>
      </c>
      <c r="L1568" t="s">
        <v>197</v>
      </c>
    </row>
    <row r="1569" spans="1:12" x14ac:dyDescent="0.4">
      <c r="A1569" t="s">
        <v>3499</v>
      </c>
      <c r="B1569">
        <v>24.7</v>
      </c>
      <c r="C1569" t="s">
        <v>5708</v>
      </c>
      <c r="D1569">
        <v>2</v>
      </c>
      <c r="E1569">
        <v>-0.82499999999999996</v>
      </c>
      <c r="F1569">
        <v>98.7</v>
      </c>
      <c r="G1569">
        <v>2019</v>
      </c>
      <c r="H1569" t="s">
        <v>928</v>
      </c>
      <c r="I1569" t="s">
        <v>6615</v>
      </c>
      <c r="L1569" t="s">
        <v>197</v>
      </c>
    </row>
    <row r="1570" spans="1:12" x14ac:dyDescent="0.4">
      <c r="A1570" t="s">
        <v>3511</v>
      </c>
      <c r="B1570">
        <v>60.9</v>
      </c>
      <c r="C1570" t="s">
        <v>2481</v>
      </c>
      <c r="D1570">
        <v>4</v>
      </c>
      <c r="E1570">
        <v>0.60399999999999998</v>
      </c>
      <c r="F1570">
        <v>243.43</v>
      </c>
      <c r="G1570">
        <v>2019</v>
      </c>
      <c r="H1570" t="s">
        <v>928</v>
      </c>
      <c r="I1570" t="s">
        <v>6615</v>
      </c>
      <c r="L1570" t="s">
        <v>197</v>
      </c>
    </row>
    <row r="1571" spans="1:12" x14ac:dyDescent="0.4">
      <c r="A1571" t="s">
        <v>3503</v>
      </c>
      <c r="B1571">
        <v>100</v>
      </c>
      <c r="C1571" t="s">
        <v>1380</v>
      </c>
      <c r="D1571">
        <v>5</v>
      </c>
      <c r="E1571">
        <v>2.149</v>
      </c>
      <c r="F1571">
        <v>443.03</v>
      </c>
      <c r="G1571">
        <v>2019</v>
      </c>
      <c r="H1571" t="s">
        <v>928</v>
      </c>
      <c r="I1571" t="s">
        <v>6615</v>
      </c>
      <c r="L1571" t="s">
        <v>197</v>
      </c>
    </row>
    <row r="1572" spans="1:12" x14ac:dyDescent="0.4">
      <c r="A1572" t="s">
        <v>5974</v>
      </c>
      <c r="B1572">
        <v>22.1</v>
      </c>
      <c r="C1572" t="s">
        <v>5728</v>
      </c>
      <c r="D1572">
        <v>2</v>
      </c>
      <c r="E1572">
        <v>-0.92800000000000005</v>
      </c>
      <c r="F1572">
        <v>88.41</v>
      </c>
      <c r="G1572">
        <v>2019</v>
      </c>
      <c r="H1572" t="s">
        <v>928</v>
      </c>
      <c r="I1572" t="s">
        <v>6615</v>
      </c>
      <c r="L1572" t="s">
        <v>197</v>
      </c>
    </row>
    <row r="1573" spans="1:12" x14ac:dyDescent="0.4">
      <c r="A1573" t="s">
        <v>3517</v>
      </c>
      <c r="B1573">
        <v>27.8</v>
      </c>
      <c r="C1573" t="s">
        <v>6693</v>
      </c>
      <c r="D1573">
        <v>2</v>
      </c>
      <c r="E1573">
        <v>-0.70299999999999996</v>
      </c>
      <c r="F1573">
        <v>111.19</v>
      </c>
      <c r="G1573">
        <v>2019</v>
      </c>
      <c r="H1573" t="s">
        <v>928</v>
      </c>
      <c r="I1573" t="s">
        <v>6615</v>
      </c>
      <c r="L1573" t="s">
        <v>197</v>
      </c>
    </row>
    <row r="1574" spans="1:12" x14ac:dyDescent="0.4">
      <c r="A1574" t="s">
        <v>2043</v>
      </c>
      <c r="B1574">
        <v>11.5</v>
      </c>
      <c r="C1574" t="s">
        <v>6036</v>
      </c>
      <c r="D1574">
        <v>1</v>
      </c>
      <c r="E1574">
        <v>-1.347</v>
      </c>
      <c r="F1574">
        <v>45.97</v>
      </c>
      <c r="G1574">
        <v>2019</v>
      </c>
      <c r="H1574" t="s">
        <v>928</v>
      </c>
      <c r="I1574" t="s">
        <v>6615</v>
      </c>
      <c r="L1574" t="s">
        <v>197</v>
      </c>
    </row>
    <row r="1575" spans="1:12" x14ac:dyDescent="0.4">
      <c r="A1575" t="s">
        <v>2052</v>
      </c>
      <c r="B1575">
        <v>48.1</v>
      </c>
      <c r="C1575" t="s">
        <v>5695</v>
      </c>
      <c r="D1575">
        <v>3</v>
      </c>
      <c r="E1575">
        <v>9.9000000000000005E-2</v>
      </c>
      <c r="F1575">
        <v>192.54</v>
      </c>
      <c r="G1575">
        <v>2019</v>
      </c>
      <c r="H1575" t="s">
        <v>928</v>
      </c>
      <c r="I1575" t="s">
        <v>6615</v>
      </c>
      <c r="L1575" t="s">
        <v>197</v>
      </c>
    </row>
    <row r="1576" spans="1:12" x14ac:dyDescent="0.4">
      <c r="A1576" t="s">
        <v>3510</v>
      </c>
      <c r="B1576">
        <v>36.5</v>
      </c>
      <c r="C1576" t="s">
        <v>5735</v>
      </c>
      <c r="D1576">
        <v>2</v>
      </c>
      <c r="E1576">
        <v>-0.35899999999999999</v>
      </c>
      <c r="F1576">
        <v>146</v>
      </c>
      <c r="G1576">
        <v>2019</v>
      </c>
      <c r="H1576" t="s">
        <v>928</v>
      </c>
      <c r="I1576" t="s">
        <v>6615</v>
      </c>
      <c r="L1576" t="s">
        <v>197</v>
      </c>
    </row>
    <row r="1577" spans="1:12" x14ac:dyDescent="0.4">
      <c r="A1577" t="s">
        <v>3524</v>
      </c>
      <c r="B1577">
        <v>47.9</v>
      </c>
      <c r="C1577" t="s">
        <v>6580</v>
      </c>
      <c r="D1577">
        <v>3</v>
      </c>
      <c r="E1577">
        <v>9.0999999999999998E-2</v>
      </c>
      <c r="F1577">
        <v>191.42</v>
      </c>
      <c r="G1577">
        <v>2019</v>
      </c>
      <c r="H1577" t="s">
        <v>928</v>
      </c>
      <c r="I1577" t="s">
        <v>6615</v>
      </c>
      <c r="L1577" t="s">
        <v>197</v>
      </c>
    </row>
    <row r="1578" spans="1:12" x14ac:dyDescent="0.4">
      <c r="A1578" t="s">
        <v>2044</v>
      </c>
      <c r="B1578">
        <v>93.5</v>
      </c>
      <c r="C1578" t="s">
        <v>2480</v>
      </c>
      <c r="D1578">
        <v>5</v>
      </c>
      <c r="E1578">
        <v>1.8919999999999999</v>
      </c>
      <c r="F1578">
        <v>373.93</v>
      </c>
      <c r="G1578">
        <v>2019</v>
      </c>
      <c r="H1578" t="s">
        <v>928</v>
      </c>
      <c r="I1578" t="s">
        <v>6615</v>
      </c>
      <c r="L1578" t="s">
        <v>197</v>
      </c>
    </row>
    <row r="1579" spans="1:12" x14ac:dyDescent="0.4">
      <c r="A1579" t="s">
        <v>2051</v>
      </c>
      <c r="B1579">
        <v>100</v>
      </c>
      <c r="C1579" t="s">
        <v>1380</v>
      </c>
      <c r="D1579">
        <v>5</v>
      </c>
      <c r="E1579">
        <v>2.149</v>
      </c>
      <c r="F1579">
        <v>480.35</v>
      </c>
      <c r="G1579">
        <v>2019</v>
      </c>
      <c r="H1579" t="s">
        <v>928</v>
      </c>
      <c r="I1579" t="s">
        <v>6615</v>
      </c>
      <c r="L1579" t="s">
        <v>197</v>
      </c>
    </row>
    <row r="1580" spans="1:12" x14ac:dyDescent="0.4">
      <c r="A1580" t="s">
        <v>2045</v>
      </c>
      <c r="B1580">
        <v>22.2</v>
      </c>
      <c r="C1580" t="s">
        <v>5711</v>
      </c>
      <c r="D1580">
        <v>2</v>
      </c>
      <c r="E1580">
        <v>-0.92400000000000004</v>
      </c>
      <c r="F1580">
        <v>88.96</v>
      </c>
      <c r="G1580">
        <v>2019</v>
      </c>
      <c r="H1580" t="s">
        <v>928</v>
      </c>
      <c r="I1580" t="s">
        <v>6615</v>
      </c>
      <c r="L1580" t="s">
        <v>197</v>
      </c>
    </row>
    <row r="1581" spans="1:12" x14ac:dyDescent="0.4">
      <c r="A1581" t="s">
        <v>3494</v>
      </c>
      <c r="B1581">
        <v>21.7</v>
      </c>
      <c r="C1581" t="s">
        <v>5697</v>
      </c>
      <c r="D1581">
        <v>2</v>
      </c>
      <c r="E1581">
        <v>-0.94399999999999995</v>
      </c>
      <c r="F1581">
        <v>86.68</v>
      </c>
      <c r="G1581">
        <v>2019</v>
      </c>
      <c r="H1581" t="s">
        <v>928</v>
      </c>
      <c r="I1581" t="s">
        <v>6615</v>
      </c>
      <c r="L1581" t="s">
        <v>197</v>
      </c>
    </row>
    <row r="1582" spans="1:12" x14ac:dyDescent="0.4">
      <c r="A1582" t="s">
        <v>3514</v>
      </c>
      <c r="B1582">
        <v>14.3</v>
      </c>
      <c r="C1582" t="s">
        <v>6037</v>
      </c>
      <c r="D1582">
        <v>1</v>
      </c>
      <c r="E1582">
        <v>-1.236</v>
      </c>
      <c r="F1582">
        <v>57.24</v>
      </c>
      <c r="G1582">
        <v>2019</v>
      </c>
      <c r="H1582" t="s">
        <v>928</v>
      </c>
      <c r="I1582" t="s">
        <v>6615</v>
      </c>
      <c r="L1582" t="s">
        <v>197</v>
      </c>
    </row>
    <row r="1583" spans="1:12" x14ac:dyDescent="0.4">
      <c r="A1583" t="s">
        <v>3518</v>
      </c>
      <c r="B1583">
        <v>24.3</v>
      </c>
      <c r="C1583" t="s">
        <v>5713</v>
      </c>
      <c r="D1583">
        <v>2</v>
      </c>
      <c r="E1583">
        <v>-0.84099999999999997</v>
      </c>
      <c r="F1583">
        <v>97.19</v>
      </c>
      <c r="G1583">
        <v>2019</v>
      </c>
      <c r="H1583" t="s">
        <v>928</v>
      </c>
      <c r="I1583" t="s">
        <v>6615</v>
      </c>
      <c r="L1583" t="s">
        <v>197</v>
      </c>
    </row>
    <row r="1584" spans="1:12" x14ac:dyDescent="0.4">
      <c r="A1584" t="s">
        <v>3516</v>
      </c>
      <c r="B1584">
        <v>27.8</v>
      </c>
      <c r="C1584" t="s">
        <v>6693</v>
      </c>
      <c r="D1584">
        <v>2</v>
      </c>
      <c r="E1584">
        <v>-0.70299999999999996</v>
      </c>
      <c r="F1584">
        <v>111.19</v>
      </c>
      <c r="G1584">
        <v>2019</v>
      </c>
      <c r="H1584" t="s">
        <v>928</v>
      </c>
      <c r="I1584" t="s">
        <v>6615</v>
      </c>
      <c r="L1584" t="s">
        <v>197</v>
      </c>
    </row>
    <row r="1585" spans="1:12" x14ac:dyDescent="0.4">
      <c r="A1585" t="s">
        <v>3504</v>
      </c>
      <c r="B1585">
        <v>77.599999999999994</v>
      </c>
      <c r="C1585" t="s">
        <v>2483</v>
      </c>
      <c r="D1585">
        <v>4</v>
      </c>
      <c r="E1585">
        <v>1.264</v>
      </c>
      <c r="F1585">
        <v>310.33</v>
      </c>
      <c r="G1585">
        <v>2019</v>
      </c>
      <c r="H1585" t="s">
        <v>928</v>
      </c>
      <c r="I1585" t="s">
        <v>6615</v>
      </c>
      <c r="L1585" t="s">
        <v>197</v>
      </c>
    </row>
    <row r="1586" spans="1:12" x14ac:dyDescent="0.4">
      <c r="A1586" t="s">
        <v>3493</v>
      </c>
      <c r="B1586">
        <v>31</v>
      </c>
      <c r="C1586" t="s">
        <v>5733</v>
      </c>
      <c r="D1586">
        <v>2</v>
      </c>
      <c r="E1586">
        <v>-0.57699999999999996</v>
      </c>
      <c r="F1586">
        <v>124.19</v>
      </c>
      <c r="G1586">
        <v>2019</v>
      </c>
      <c r="H1586" t="s">
        <v>928</v>
      </c>
      <c r="I1586" t="s">
        <v>6615</v>
      </c>
      <c r="L1586" t="s">
        <v>197</v>
      </c>
    </row>
    <row r="1587" spans="1:12" x14ac:dyDescent="0.4">
      <c r="A1587" t="s">
        <v>3507</v>
      </c>
      <c r="B1587">
        <v>40.200000000000003</v>
      </c>
      <c r="C1587" t="s">
        <v>5693</v>
      </c>
      <c r="D1587">
        <v>3</v>
      </c>
      <c r="E1587">
        <v>-0.21299999999999999</v>
      </c>
      <c r="F1587">
        <v>160.6</v>
      </c>
      <c r="G1587">
        <v>2019</v>
      </c>
      <c r="H1587" t="s">
        <v>928</v>
      </c>
      <c r="I1587" t="s">
        <v>6615</v>
      </c>
      <c r="L1587" t="s">
        <v>197</v>
      </c>
    </row>
    <row r="1588" spans="1:12" x14ac:dyDescent="0.4">
      <c r="A1588" t="s">
        <v>3508</v>
      </c>
      <c r="B1588">
        <v>55.2</v>
      </c>
      <c r="C1588" t="s">
        <v>5696</v>
      </c>
      <c r="D1588">
        <v>3</v>
      </c>
      <c r="E1588">
        <v>0.379</v>
      </c>
      <c r="F1588">
        <v>220.87</v>
      </c>
      <c r="G1588">
        <v>2019</v>
      </c>
      <c r="H1588" t="s">
        <v>928</v>
      </c>
      <c r="I1588" t="s">
        <v>6615</v>
      </c>
      <c r="L1588" t="s">
        <v>197</v>
      </c>
    </row>
    <row r="1589" spans="1:12" x14ac:dyDescent="0.4">
      <c r="A1589" t="s">
        <v>3526</v>
      </c>
      <c r="B1589">
        <v>26.2</v>
      </c>
      <c r="C1589" t="s">
        <v>5709</v>
      </c>
      <c r="D1589">
        <v>2</v>
      </c>
      <c r="E1589">
        <v>-0.76600000000000001</v>
      </c>
      <c r="F1589">
        <v>104.77</v>
      </c>
      <c r="G1589">
        <v>2019</v>
      </c>
      <c r="H1589" t="s">
        <v>928</v>
      </c>
      <c r="I1589" t="s">
        <v>6615</v>
      </c>
      <c r="L1589" t="s">
        <v>197</v>
      </c>
    </row>
    <row r="1590" spans="1:12" x14ac:dyDescent="0.4">
      <c r="A1590" t="s">
        <v>2046</v>
      </c>
      <c r="B1590">
        <v>41.5</v>
      </c>
      <c r="C1590" t="s">
        <v>6585</v>
      </c>
      <c r="D1590">
        <v>3</v>
      </c>
      <c r="E1590">
        <v>-0.16200000000000001</v>
      </c>
      <c r="F1590">
        <v>166.01</v>
      </c>
      <c r="G1590">
        <v>2019</v>
      </c>
      <c r="H1590" t="s">
        <v>928</v>
      </c>
      <c r="I1590" t="s">
        <v>6615</v>
      </c>
      <c r="L1590" t="s">
        <v>197</v>
      </c>
    </row>
    <row r="1591" spans="1:12" x14ac:dyDescent="0.4">
      <c r="A1591" t="s">
        <v>2050</v>
      </c>
      <c r="B1591">
        <v>30.4</v>
      </c>
      <c r="C1591" t="s">
        <v>5734</v>
      </c>
      <c r="D1591">
        <v>2</v>
      </c>
      <c r="E1591">
        <v>-0.6</v>
      </c>
      <c r="F1591">
        <v>121.77</v>
      </c>
      <c r="G1591">
        <v>2019</v>
      </c>
      <c r="H1591" t="s">
        <v>928</v>
      </c>
      <c r="I1591" t="s">
        <v>6615</v>
      </c>
      <c r="L1591" t="s">
        <v>197</v>
      </c>
    </row>
    <row r="1592" spans="1:12" x14ac:dyDescent="0.4">
      <c r="A1592" t="s">
        <v>3509</v>
      </c>
      <c r="B1592">
        <v>44.9</v>
      </c>
      <c r="C1592" t="s">
        <v>6034</v>
      </c>
      <c r="D1592">
        <v>3</v>
      </c>
      <c r="E1592">
        <v>-2.8000000000000001E-2</v>
      </c>
      <c r="F1592">
        <v>179.48</v>
      </c>
      <c r="G1592">
        <v>2019</v>
      </c>
      <c r="H1592" t="s">
        <v>928</v>
      </c>
      <c r="I1592" t="s">
        <v>6615</v>
      </c>
      <c r="L1592" t="s">
        <v>197</v>
      </c>
    </row>
    <row r="1593" spans="1:12" x14ac:dyDescent="0.4">
      <c r="A1593" t="s">
        <v>3515</v>
      </c>
      <c r="B1593">
        <v>27.8</v>
      </c>
      <c r="C1593" t="s">
        <v>6693</v>
      </c>
      <c r="D1593">
        <v>2</v>
      </c>
      <c r="E1593">
        <v>-0.70299999999999996</v>
      </c>
      <c r="F1593">
        <v>111.19</v>
      </c>
      <c r="G1593">
        <v>2019</v>
      </c>
      <c r="H1593" t="s">
        <v>928</v>
      </c>
      <c r="I1593" t="s">
        <v>6615</v>
      </c>
      <c r="L1593" t="s">
        <v>197</v>
      </c>
    </row>
    <row r="1594" spans="1:12" x14ac:dyDescent="0.4">
      <c r="A1594" t="s">
        <v>3496</v>
      </c>
      <c r="B1594">
        <v>23.1</v>
      </c>
      <c r="C1594" t="s">
        <v>5712</v>
      </c>
      <c r="D1594">
        <v>2</v>
      </c>
      <c r="E1594">
        <v>-0.88900000000000001</v>
      </c>
      <c r="F1594">
        <v>92.48</v>
      </c>
      <c r="G1594">
        <v>2019</v>
      </c>
      <c r="H1594" t="s">
        <v>928</v>
      </c>
      <c r="I1594" t="s">
        <v>6615</v>
      </c>
      <c r="L1594" t="s">
        <v>197</v>
      </c>
    </row>
    <row r="1595" spans="1:12" x14ac:dyDescent="0.4">
      <c r="A1595" t="s">
        <v>5830</v>
      </c>
      <c r="B1595">
        <v>49.3</v>
      </c>
      <c r="C1595" t="s">
        <v>6043</v>
      </c>
      <c r="D1595">
        <v>3</v>
      </c>
      <c r="E1595">
        <v>0.14599999999999999</v>
      </c>
      <c r="F1595">
        <v>197.33</v>
      </c>
      <c r="G1595">
        <v>2019</v>
      </c>
      <c r="H1595" t="s">
        <v>928</v>
      </c>
      <c r="I1595" t="s">
        <v>6615</v>
      </c>
      <c r="L1595" t="s">
        <v>197</v>
      </c>
    </row>
    <row r="1596" spans="1:12" x14ac:dyDescent="0.4">
      <c r="A1596" t="s">
        <v>3519</v>
      </c>
      <c r="B1596">
        <v>67.900000000000006</v>
      </c>
      <c r="C1596" t="s">
        <v>2486</v>
      </c>
      <c r="D1596">
        <v>4</v>
      </c>
      <c r="E1596">
        <v>0.88100000000000001</v>
      </c>
      <c r="F1596">
        <v>271.70999999999998</v>
      </c>
      <c r="G1596">
        <v>2019</v>
      </c>
      <c r="H1596" t="s">
        <v>928</v>
      </c>
      <c r="I1596" t="s">
        <v>6615</v>
      </c>
      <c r="L1596" t="s">
        <v>197</v>
      </c>
    </row>
    <row r="1597" spans="1:12" x14ac:dyDescent="0.4">
      <c r="A1597" t="s">
        <v>5831</v>
      </c>
      <c r="B1597">
        <v>35</v>
      </c>
      <c r="C1597" t="s">
        <v>5727</v>
      </c>
      <c r="D1597">
        <v>2</v>
      </c>
      <c r="E1597">
        <v>-0.41899999999999998</v>
      </c>
      <c r="F1597">
        <v>139.84</v>
      </c>
      <c r="G1597">
        <v>2019</v>
      </c>
      <c r="H1597" t="s">
        <v>928</v>
      </c>
      <c r="I1597" t="s">
        <v>6615</v>
      </c>
      <c r="L1597" t="s">
        <v>197</v>
      </c>
    </row>
    <row r="1598" spans="1:12" x14ac:dyDescent="0.4">
      <c r="A1598" t="s">
        <v>3527</v>
      </c>
      <c r="B1598">
        <v>9.9</v>
      </c>
      <c r="C1598" t="s">
        <v>6035</v>
      </c>
      <c r="D1598">
        <v>1</v>
      </c>
      <c r="E1598">
        <v>-1.41</v>
      </c>
      <c r="F1598">
        <v>39.729999999999997</v>
      </c>
      <c r="G1598">
        <v>2019</v>
      </c>
      <c r="H1598" t="s">
        <v>928</v>
      </c>
      <c r="I1598" t="s">
        <v>6615</v>
      </c>
      <c r="L1598" t="s">
        <v>197</v>
      </c>
    </row>
    <row r="1599" spans="1:12" x14ac:dyDescent="0.4">
      <c r="A1599" t="s">
        <v>3502</v>
      </c>
      <c r="B1599">
        <v>42</v>
      </c>
      <c r="C1599" t="s">
        <v>5700</v>
      </c>
      <c r="D1599">
        <v>3</v>
      </c>
      <c r="E1599">
        <v>-0.14199999999999999</v>
      </c>
      <c r="F1599">
        <v>168.1</v>
      </c>
      <c r="G1599">
        <v>2019</v>
      </c>
      <c r="H1599" t="s">
        <v>928</v>
      </c>
      <c r="I1599" t="s">
        <v>6615</v>
      </c>
      <c r="L1599" t="s">
        <v>197</v>
      </c>
    </row>
    <row r="1600" spans="1:12" x14ac:dyDescent="0.4">
      <c r="A1600" t="s">
        <v>3506</v>
      </c>
      <c r="B1600">
        <v>54</v>
      </c>
      <c r="C1600" t="s">
        <v>5701</v>
      </c>
      <c r="D1600">
        <v>3</v>
      </c>
      <c r="E1600">
        <v>0.33200000000000002</v>
      </c>
      <c r="F1600">
        <v>215.82</v>
      </c>
      <c r="G1600">
        <v>2019</v>
      </c>
      <c r="H1600" t="s">
        <v>928</v>
      </c>
      <c r="I1600" t="s">
        <v>6615</v>
      </c>
      <c r="L1600" t="s">
        <v>197</v>
      </c>
    </row>
    <row r="1601" spans="1:12" x14ac:dyDescent="0.4">
      <c r="A1601" t="s">
        <v>3500</v>
      </c>
      <c r="B1601">
        <v>49.3</v>
      </c>
      <c r="C1601" t="s">
        <v>6043</v>
      </c>
      <c r="D1601">
        <v>3</v>
      </c>
      <c r="E1601">
        <v>0.14599999999999999</v>
      </c>
      <c r="F1601">
        <v>197.33</v>
      </c>
      <c r="G1601">
        <v>2019</v>
      </c>
      <c r="H1601" t="s">
        <v>928</v>
      </c>
      <c r="I1601" t="s">
        <v>6615</v>
      </c>
      <c r="L1601" t="s">
        <v>197</v>
      </c>
    </row>
    <row r="1602" spans="1:12" x14ac:dyDescent="0.4">
      <c r="A1602" t="s">
        <v>5832</v>
      </c>
      <c r="B1602">
        <v>25.4</v>
      </c>
      <c r="C1602" t="s">
        <v>5698</v>
      </c>
      <c r="D1602">
        <v>2</v>
      </c>
      <c r="E1602">
        <v>-0.79800000000000004</v>
      </c>
      <c r="F1602">
        <v>101.52</v>
      </c>
      <c r="G1602">
        <v>2019</v>
      </c>
      <c r="H1602" t="s">
        <v>928</v>
      </c>
      <c r="I1602" t="s">
        <v>6615</v>
      </c>
      <c r="L1602" t="s">
        <v>197</v>
      </c>
    </row>
    <row r="1603" spans="1:12" x14ac:dyDescent="0.4">
      <c r="A1603" t="s">
        <v>3520</v>
      </c>
      <c r="B1603">
        <v>68.8</v>
      </c>
      <c r="C1603" t="s">
        <v>2482</v>
      </c>
      <c r="D1603">
        <v>4</v>
      </c>
      <c r="E1603">
        <v>0.91600000000000004</v>
      </c>
      <c r="F1603">
        <v>275.35000000000002</v>
      </c>
      <c r="G1603">
        <v>2019</v>
      </c>
      <c r="H1603" t="s">
        <v>928</v>
      </c>
      <c r="I1603" t="s">
        <v>6615</v>
      </c>
      <c r="L1603" t="s">
        <v>197</v>
      </c>
    </row>
    <row r="1604" spans="1:12" x14ac:dyDescent="0.4">
      <c r="A1604" t="s">
        <v>2047</v>
      </c>
      <c r="B1604">
        <v>100</v>
      </c>
      <c r="C1604" t="s">
        <v>1380</v>
      </c>
      <c r="D1604">
        <v>5</v>
      </c>
      <c r="E1604">
        <v>2.149</v>
      </c>
      <c r="F1604">
        <v>425.64</v>
      </c>
      <c r="G1604">
        <v>2019</v>
      </c>
      <c r="H1604" t="s">
        <v>928</v>
      </c>
      <c r="I1604" t="s">
        <v>6615</v>
      </c>
      <c r="L1604" t="s">
        <v>197</v>
      </c>
    </row>
    <row r="1605" spans="1:12" x14ac:dyDescent="0.4">
      <c r="A1605" t="s">
        <v>2048</v>
      </c>
      <c r="B1605">
        <v>59.8</v>
      </c>
      <c r="C1605" t="s">
        <v>5730</v>
      </c>
      <c r="D1605">
        <v>3</v>
      </c>
      <c r="E1605">
        <v>0.56100000000000005</v>
      </c>
      <c r="F1605">
        <v>239.2</v>
      </c>
      <c r="G1605">
        <v>2019</v>
      </c>
      <c r="H1605" t="s">
        <v>928</v>
      </c>
      <c r="I1605" t="s">
        <v>6615</v>
      </c>
      <c r="L1605" t="s">
        <v>197</v>
      </c>
    </row>
    <row r="1606" spans="1:12" x14ac:dyDescent="0.4">
      <c r="A1606" t="s">
        <v>3523</v>
      </c>
      <c r="B1606">
        <v>41.5</v>
      </c>
      <c r="C1606" t="s">
        <v>6585</v>
      </c>
      <c r="D1606">
        <v>3</v>
      </c>
      <c r="E1606">
        <v>-0.16200000000000001</v>
      </c>
      <c r="F1606">
        <v>166.01</v>
      </c>
      <c r="G1606">
        <v>2019</v>
      </c>
      <c r="H1606" t="s">
        <v>928</v>
      </c>
      <c r="I1606" t="s">
        <v>6615</v>
      </c>
      <c r="L1606" t="s">
        <v>197</v>
      </c>
    </row>
    <row r="1607" spans="1:12" x14ac:dyDescent="0.4">
      <c r="A1607" t="s">
        <v>2049</v>
      </c>
      <c r="B1607">
        <v>67.900000000000006</v>
      </c>
      <c r="C1607" t="s">
        <v>2486</v>
      </c>
      <c r="D1607">
        <v>4</v>
      </c>
      <c r="E1607">
        <v>0.88100000000000001</v>
      </c>
      <c r="F1607">
        <v>271.70999999999998</v>
      </c>
      <c r="G1607">
        <v>2019</v>
      </c>
      <c r="H1607" t="s">
        <v>928</v>
      </c>
      <c r="I1607" t="s">
        <v>6615</v>
      </c>
      <c r="L1607" t="s">
        <v>197</v>
      </c>
    </row>
    <row r="1608" spans="1:12" x14ac:dyDescent="0.4">
      <c r="A1608" t="s">
        <v>3498</v>
      </c>
      <c r="B1608">
        <v>44.3</v>
      </c>
      <c r="C1608" t="s">
        <v>5731</v>
      </c>
      <c r="D1608">
        <v>3</v>
      </c>
      <c r="E1608">
        <v>-5.0999999999999997E-2</v>
      </c>
      <c r="F1608">
        <v>177.33</v>
      </c>
      <c r="G1608">
        <v>2019</v>
      </c>
      <c r="H1608" t="s">
        <v>928</v>
      </c>
      <c r="I1608" t="s">
        <v>6615</v>
      </c>
      <c r="L1608" t="s">
        <v>197</v>
      </c>
    </row>
    <row r="1609" spans="1:12" x14ac:dyDescent="0.4">
      <c r="A1609" t="s">
        <v>3512</v>
      </c>
      <c r="B1609">
        <v>44.7</v>
      </c>
      <c r="C1609" t="s">
        <v>5732</v>
      </c>
      <c r="D1609">
        <v>3</v>
      </c>
      <c r="E1609">
        <v>-3.5999999999999997E-2</v>
      </c>
      <c r="F1609">
        <v>178.77</v>
      </c>
      <c r="G1609">
        <v>2019</v>
      </c>
      <c r="H1609" t="s">
        <v>928</v>
      </c>
      <c r="I1609" t="s">
        <v>6615</v>
      </c>
      <c r="L1609" t="s">
        <v>197</v>
      </c>
    </row>
    <row r="1610" spans="1:12" x14ac:dyDescent="0.4">
      <c r="A1610" t="s">
        <v>3522</v>
      </c>
      <c r="B1610">
        <v>100</v>
      </c>
      <c r="C1610" t="s">
        <v>1380</v>
      </c>
      <c r="D1610">
        <v>5</v>
      </c>
      <c r="E1610">
        <v>2.149</v>
      </c>
      <c r="F1610">
        <v>425.64</v>
      </c>
      <c r="G1610">
        <v>2019</v>
      </c>
      <c r="H1610" t="s">
        <v>928</v>
      </c>
      <c r="I1610" t="s">
        <v>6615</v>
      </c>
      <c r="L1610" t="s">
        <v>197</v>
      </c>
    </row>
    <row r="1611" spans="1:12" x14ac:dyDescent="0.4">
      <c r="A1611" t="s">
        <v>3513</v>
      </c>
      <c r="B1611">
        <v>29.9</v>
      </c>
      <c r="C1611" t="s">
        <v>5699</v>
      </c>
      <c r="D1611">
        <v>2</v>
      </c>
      <c r="E1611">
        <v>-0.62</v>
      </c>
      <c r="F1611">
        <v>119.59</v>
      </c>
      <c r="G1611">
        <v>2019</v>
      </c>
      <c r="H1611" t="s">
        <v>928</v>
      </c>
      <c r="I1611" t="s">
        <v>6615</v>
      </c>
      <c r="L1611" t="s">
        <v>197</v>
      </c>
    </row>
    <row r="1612" spans="1:12" x14ac:dyDescent="0.4">
      <c r="A1612" t="s">
        <v>2053</v>
      </c>
      <c r="B1612">
        <v>45.6</v>
      </c>
      <c r="C1612" t="s">
        <v>197</v>
      </c>
      <c r="D1612">
        <v>3</v>
      </c>
    </row>
    <row r="1613" spans="1:12" x14ac:dyDescent="0.4">
      <c r="A1613" t="s">
        <v>2054</v>
      </c>
      <c r="B1613">
        <v>26.4</v>
      </c>
      <c r="C1613" t="s">
        <v>197</v>
      </c>
      <c r="D1613">
        <v>2</v>
      </c>
    </row>
    <row r="1614" spans="1:12" x14ac:dyDescent="0.4">
      <c r="A1614" t="s">
        <v>2055</v>
      </c>
      <c r="B1614">
        <v>39</v>
      </c>
      <c r="C1614" t="s">
        <v>197</v>
      </c>
      <c r="D1614">
        <v>2</v>
      </c>
    </row>
    <row r="1615" spans="1:12" x14ac:dyDescent="0.4">
      <c r="A1615" t="s">
        <v>2056</v>
      </c>
      <c r="B1615">
        <v>66.900000000000006</v>
      </c>
      <c r="C1615" t="s">
        <v>197</v>
      </c>
      <c r="D1615">
        <v>4</v>
      </c>
    </row>
    <row r="1616" spans="1:12" x14ac:dyDescent="0.4">
      <c r="A1616" t="s">
        <v>2057</v>
      </c>
      <c r="B1616">
        <v>51</v>
      </c>
      <c r="C1616" t="s">
        <v>197</v>
      </c>
      <c r="D1616">
        <v>3</v>
      </c>
    </row>
    <row r="1617" spans="1:11" x14ac:dyDescent="0.4">
      <c r="A1617" t="s">
        <v>2568</v>
      </c>
      <c r="B1617">
        <v>22.9</v>
      </c>
      <c r="C1617" t="s">
        <v>197</v>
      </c>
      <c r="D1617">
        <v>2</v>
      </c>
    </row>
    <row r="1618" spans="1:11" x14ac:dyDescent="0.4">
      <c r="A1618" t="s">
        <v>2569</v>
      </c>
      <c r="B1618">
        <v>62.1</v>
      </c>
      <c r="C1618" t="s">
        <v>197</v>
      </c>
      <c r="D1618">
        <v>4</v>
      </c>
    </row>
    <row r="1619" spans="1:11" x14ac:dyDescent="0.4">
      <c r="A1619" t="s">
        <v>7333</v>
      </c>
      <c r="B1619">
        <v>30</v>
      </c>
      <c r="C1619" t="s">
        <v>197</v>
      </c>
      <c r="D1619">
        <v>2</v>
      </c>
    </row>
    <row r="1620" spans="1:11" x14ac:dyDescent="0.4">
      <c r="A1620" t="s">
        <v>7334</v>
      </c>
      <c r="B1620">
        <v>53.7</v>
      </c>
      <c r="C1620" t="s">
        <v>197</v>
      </c>
      <c r="D1620">
        <v>3</v>
      </c>
    </row>
    <row r="1621" spans="1:11" x14ac:dyDescent="0.4">
      <c r="A1621" t="s">
        <v>7335</v>
      </c>
      <c r="B1621">
        <v>52.6</v>
      </c>
      <c r="C1621" t="s">
        <v>197</v>
      </c>
      <c r="D1621">
        <v>3</v>
      </c>
    </row>
    <row r="1622" spans="1:11" x14ac:dyDescent="0.4">
      <c r="A1622" t="s">
        <v>3602</v>
      </c>
      <c r="B1622">
        <v>0</v>
      </c>
      <c r="C1622" t="s">
        <v>5723</v>
      </c>
      <c r="D1622">
        <v>1</v>
      </c>
      <c r="E1622">
        <v>-0.91400000000000003</v>
      </c>
      <c r="F1622">
        <v>0</v>
      </c>
      <c r="G1622">
        <v>2024</v>
      </c>
      <c r="H1622" t="s">
        <v>928</v>
      </c>
      <c r="I1622" t="s">
        <v>6063</v>
      </c>
      <c r="J1622" t="s">
        <v>8053</v>
      </c>
      <c r="K1622" t="s">
        <v>9177</v>
      </c>
    </row>
    <row r="1623" spans="1:11" x14ac:dyDescent="0.4">
      <c r="A1623" t="s">
        <v>3600</v>
      </c>
      <c r="B1623">
        <v>0</v>
      </c>
      <c r="C1623" t="s">
        <v>5723</v>
      </c>
      <c r="D1623">
        <v>1</v>
      </c>
      <c r="E1623">
        <v>-0.91400000000000003</v>
      </c>
      <c r="F1623">
        <v>0</v>
      </c>
      <c r="G1623">
        <v>2024</v>
      </c>
      <c r="H1623" t="s">
        <v>928</v>
      </c>
      <c r="I1623" t="s">
        <v>6063</v>
      </c>
      <c r="J1623" t="s">
        <v>8054</v>
      </c>
      <c r="K1623" t="s">
        <v>8055</v>
      </c>
    </row>
    <row r="1624" spans="1:11" x14ac:dyDescent="0.4">
      <c r="A1624" t="s">
        <v>3606</v>
      </c>
      <c r="B1624">
        <v>0</v>
      </c>
      <c r="C1624" t="s">
        <v>5723</v>
      </c>
      <c r="D1624">
        <v>1</v>
      </c>
      <c r="E1624">
        <v>-0.91400000000000003</v>
      </c>
      <c r="F1624">
        <v>0</v>
      </c>
      <c r="G1624">
        <v>2024</v>
      </c>
      <c r="H1624" t="s">
        <v>928</v>
      </c>
      <c r="I1624" t="s">
        <v>6063</v>
      </c>
      <c r="J1624" t="s">
        <v>8056</v>
      </c>
      <c r="K1624" t="s">
        <v>8057</v>
      </c>
    </row>
    <row r="1625" spans="1:11" x14ac:dyDescent="0.4">
      <c r="A1625" t="s">
        <v>3630</v>
      </c>
      <c r="B1625">
        <v>0</v>
      </c>
      <c r="C1625" t="s">
        <v>5723</v>
      </c>
      <c r="D1625">
        <v>1</v>
      </c>
      <c r="E1625">
        <v>-0.91400000000000003</v>
      </c>
      <c r="F1625">
        <v>0</v>
      </c>
      <c r="G1625">
        <v>2024</v>
      </c>
      <c r="H1625" t="s">
        <v>928</v>
      </c>
      <c r="I1625" t="s">
        <v>6063</v>
      </c>
      <c r="J1625" t="s">
        <v>8058</v>
      </c>
      <c r="K1625" t="s">
        <v>9178</v>
      </c>
    </row>
    <row r="1626" spans="1:11" x14ac:dyDescent="0.4">
      <c r="A1626" t="s">
        <v>2085</v>
      </c>
      <c r="B1626">
        <v>100</v>
      </c>
      <c r="C1626" t="s">
        <v>1380</v>
      </c>
      <c r="D1626">
        <v>5</v>
      </c>
      <c r="E1626">
        <v>1.073</v>
      </c>
      <c r="F1626">
        <v>1</v>
      </c>
      <c r="G1626">
        <v>2024</v>
      </c>
      <c r="H1626" t="s">
        <v>928</v>
      </c>
      <c r="I1626" t="s">
        <v>6063</v>
      </c>
      <c r="J1626" t="s">
        <v>8059</v>
      </c>
      <c r="K1626" t="s">
        <v>7602</v>
      </c>
    </row>
    <row r="1627" spans="1:11" x14ac:dyDescent="0.4">
      <c r="A1627" t="s">
        <v>3626</v>
      </c>
      <c r="B1627">
        <v>100</v>
      </c>
      <c r="C1627" t="s">
        <v>1380</v>
      </c>
      <c r="D1627">
        <v>5</v>
      </c>
      <c r="E1627">
        <v>1.073</v>
      </c>
      <c r="F1627">
        <v>1</v>
      </c>
      <c r="G1627">
        <v>2024</v>
      </c>
      <c r="H1627" t="s">
        <v>928</v>
      </c>
      <c r="I1627" t="s">
        <v>6063</v>
      </c>
      <c r="J1627" t="s">
        <v>8060</v>
      </c>
      <c r="K1627" t="s">
        <v>6807</v>
      </c>
    </row>
    <row r="1628" spans="1:11" x14ac:dyDescent="0.4">
      <c r="A1628" t="s">
        <v>3610</v>
      </c>
      <c r="B1628">
        <v>100</v>
      </c>
      <c r="C1628" t="s">
        <v>1380</v>
      </c>
      <c r="D1628">
        <v>5</v>
      </c>
      <c r="E1628">
        <v>1.073</v>
      </c>
      <c r="F1628">
        <v>1</v>
      </c>
      <c r="G1628">
        <v>2024</v>
      </c>
      <c r="H1628" t="s">
        <v>928</v>
      </c>
      <c r="I1628" t="s">
        <v>6063</v>
      </c>
      <c r="J1628" t="s">
        <v>8061</v>
      </c>
      <c r="K1628" t="s">
        <v>6808</v>
      </c>
    </row>
    <row r="1629" spans="1:11" x14ac:dyDescent="0.4">
      <c r="A1629" t="s">
        <v>3604</v>
      </c>
      <c r="B1629">
        <v>0</v>
      </c>
      <c r="C1629" t="s">
        <v>5723</v>
      </c>
      <c r="D1629">
        <v>1</v>
      </c>
      <c r="E1629">
        <v>-0.91400000000000003</v>
      </c>
      <c r="F1629">
        <v>0</v>
      </c>
      <c r="G1629">
        <v>2024</v>
      </c>
      <c r="H1629" t="s">
        <v>928</v>
      </c>
      <c r="I1629" t="s">
        <v>6063</v>
      </c>
      <c r="J1629" t="s">
        <v>8062</v>
      </c>
      <c r="K1629" t="s">
        <v>9179</v>
      </c>
    </row>
    <row r="1630" spans="1:11" x14ac:dyDescent="0.4">
      <c r="A1630" t="s">
        <v>3616</v>
      </c>
      <c r="B1630">
        <v>100</v>
      </c>
      <c r="C1630" t="s">
        <v>1380</v>
      </c>
      <c r="D1630">
        <v>5</v>
      </c>
      <c r="E1630">
        <v>1.073</v>
      </c>
      <c r="F1630">
        <v>1</v>
      </c>
      <c r="G1630">
        <v>2024</v>
      </c>
      <c r="H1630" t="s">
        <v>928</v>
      </c>
      <c r="I1630" t="s">
        <v>6063</v>
      </c>
      <c r="J1630" t="s">
        <v>8063</v>
      </c>
      <c r="K1630" t="s">
        <v>8064</v>
      </c>
    </row>
    <row r="1631" spans="1:11" x14ac:dyDescent="0.4">
      <c r="A1631" t="s">
        <v>3608</v>
      </c>
      <c r="B1631">
        <v>0</v>
      </c>
      <c r="C1631" t="s">
        <v>5723</v>
      </c>
      <c r="D1631">
        <v>1</v>
      </c>
      <c r="E1631">
        <v>-0.91400000000000003</v>
      </c>
      <c r="F1631">
        <v>0</v>
      </c>
      <c r="G1631">
        <v>2024</v>
      </c>
      <c r="H1631" t="s">
        <v>928</v>
      </c>
      <c r="I1631" t="s">
        <v>6063</v>
      </c>
      <c r="J1631" t="s">
        <v>8065</v>
      </c>
      <c r="K1631" t="s">
        <v>9180</v>
      </c>
    </row>
    <row r="1632" spans="1:11" x14ac:dyDescent="0.4">
      <c r="A1632" t="s">
        <v>5975</v>
      </c>
      <c r="B1632">
        <v>0</v>
      </c>
      <c r="C1632" t="s">
        <v>5723</v>
      </c>
      <c r="D1632">
        <v>1</v>
      </c>
      <c r="E1632">
        <v>-0.91400000000000003</v>
      </c>
      <c r="F1632">
        <v>0</v>
      </c>
      <c r="G1632">
        <v>2024</v>
      </c>
      <c r="H1632" t="s">
        <v>928</v>
      </c>
      <c r="I1632" t="s">
        <v>6063</v>
      </c>
      <c r="J1632" t="s">
        <v>8066</v>
      </c>
      <c r="K1632" t="s">
        <v>9181</v>
      </c>
    </row>
    <row r="1633" spans="1:11" x14ac:dyDescent="0.4">
      <c r="A1633" t="s">
        <v>3622</v>
      </c>
      <c r="B1633">
        <v>0</v>
      </c>
      <c r="C1633" t="s">
        <v>5723</v>
      </c>
      <c r="D1633">
        <v>1</v>
      </c>
      <c r="E1633">
        <v>-0.91400000000000003</v>
      </c>
      <c r="F1633">
        <v>0</v>
      </c>
      <c r="G1633">
        <v>2024</v>
      </c>
      <c r="H1633" t="s">
        <v>928</v>
      </c>
      <c r="I1633" t="s">
        <v>6063</v>
      </c>
      <c r="J1633" t="s">
        <v>8067</v>
      </c>
      <c r="K1633" t="s">
        <v>9182</v>
      </c>
    </row>
    <row r="1634" spans="1:11" x14ac:dyDescent="0.4">
      <c r="A1634" t="s">
        <v>2086</v>
      </c>
      <c r="B1634">
        <v>0</v>
      </c>
      <c r="C1634" t="s">
        <v>5723</v>
      </c>
      <c r="D1634">
        <v>1</v>
      </c>
      <c r="E1634">
        <v>-0.91400000000000003</v>
      </c>
      <c r="F1634">
        <v>0</v>
      </c>
      <c r="G1634">
        <v>2024</v>
      </c>
      <c r="H1634" t="s">
        <v>928</v>
      </c>
      <c r="I1634" t="s">
        <v>6063</v>
      </c>
      <c r="J1634" t="s">
        <v>8068</v>
      </c>
      <c r="K1634" t="s">
        <v>9183</v>
      </c>
    </row>
    <row r="1635" spans="1:11" x14ac:dyDescent="0.4">
      <c r="A1635" t="s">
        <v>2095</v>
      </c>
      <c r="B1635">
        <v>0</v>
      </c>
      <c r="C1635" t="s">
        <v>5723</v>
      </c>
      <c r="D1635">
        <v>1</v>
      </c>
      <c r="E1635">
        <v>-0.91400000000000003</v>
      </c>
      <c r="F1635">
        <v>0</v>
      </c>
      <c r="G1635">
        <v>2024</v>
      </c>
      <c r="H1635" t="s">
        <v>928</v>
      </c>
      <c r="I1635" t="s">
        <v>6063</v>
      </c>
      <c r="J1635" t="s">
        <v>8069</v>
      </c>
      <c r="K1635" t="s">
        <v>8070</v>
      </c>
    </row>
    <row r="1636" spans="1:11" x14ac:dyDescent="0.4">
      <c r="A1636" t="s">
        <v>3615</v>
      </c>
      <c r="B1636">
        <v>100</v>
      </c>
      <c r="C1636" t="s">
        <v>1380</v>
      </c>
      <c r="D1636">
        <v>5</v>
      </c>
      <c r="E1636">
        <v>1.073</v>
      </c>
      <c r="F1636">
        <v>1</v>
      </c>
      <c r="G1636">
        <v>2024</v>
      </c>
      <c r="H1636" t="s">
        <v>928</v>
      </c>
      <c r="I1636" t="s">
        <v>6063</v>
      </c>
      <c r="J1636" t="s">
        <v>8071</v>
      </c>
      <c r="K1636" t="s">
        <v>8072</v>
      </c>
    </row>
    <row r="1637" spans="1:11" x14ac:dyDescent="0.4">
      <c r="A1637" t="s">
        <v>3629</v>
      </c>
      <c r="B1637">
        <v>100</v>
      </c>
      <c r="C1637" t="s">
        <v>1380</v>
      </c>
      <c r="D1637">
        <v>5</v>
      </c>
      <c r="E1637">
        <v>1.073</v>
      </c>
      <c r="F1637">
        <v>1</v>
      </c>
      <c r="G1637">
        <v>2024</v>
      </c>
      <c r="H1637" t="s">
        <v>928</v>
      </c>
      <c r="I1637" t="s">
        <v>6063</v>
      </c>
      <c r="J1637" t="s">
        <v>8073</v>
      </c>
      <c r="K1637" t="s">
        <v>9184</v>
      </c>
    </row>
    <row r="1638" spans="1:11" x14ac:dyDescent="0.4">
      <c r="A1638" t="s">
        <v>2087</v>
      </c>
      <c r="B1638">
        <v>100</v>
      </c>
      <c r="C1638" t="s">
        <v>1380</v>
      </c>
      <c r="D1638">
        <v>5</v>
      </c>
      <c r="E1638">
        <v>1.073</v>
      </c>
      <c r="F1638">
        <v>1</v>
      </c>
      <c r="G1638">
        <v>2024</v>
      </c>
      <c r="H1638" t="s">
        <v>928</v>
      </c>
      <c r="I1638" t="s">
        <v>6063</v>
      </c>
      <c r="J1638" t="s">
        <v>8074</v>
      </c>
      <c r="K1638" t="s">
        <v>8075</v>
      </c>
    </row>
    <row r="1639" spans="1:11" x14ac:dyDescent="0.4">
      <c r="A1639" t="s">
        <v>2094</v>
      </c>
      <c r="B1639">
        <v>0</v>
      </c>
      <c r="C1639" t="s">
        <v>5723</v>
      </c>
      <c r="D1639">
        <v>1</v>
      </c>
      <c r="E1639">
        <v>-0.91400000000000003</v>
      </c>
      <c r="F1639">
        <v>0</v>
      </c>
      <c r="G1639">
        <v>2024</v>
      </c>
      <c r="H1639" t="s">
        <v>928</v>
      </c>
      <c r="I1639" t="s">
        <v>6063</v>
      </c>
      <c r="J1639" t="s">
        <v>8076</v>
      </c>
      <c r="K1639" t="s">
        <v>9185</v>
      </c>
    </row>
    <row r="1640" spans="1:11" x14ac:dyDescent="0.4">
      <c r="A1640" t="s">
        <v>2088</v>
      </c>
      <c r="B1640">
        <v>100</v>
      </c>
      <c r="C1640" t="s">
        <v>1380</v>
      </c>
      <c r="D1640">
        <v>5</v>
      </c>
      <c r="E1640">
        <v>1.073</v>
      </c>
      <c r="F1640">
        <v>1</v>
      </c>
      <c r="G1640">
        <v>2024</v>
      </c>
      <c r="H1640" t="s">
        <v>928</v>
      </c>
      <c r="I1640" t="s">
        <v>6063</v>
      </c>
      <c r="J1640" t="s">
        <v>8984</v>
      </c>
      <c r="K1640" t="s">
        <v>6809</v>
      </c>
    </row>
    <row r="1641" spans="1:11" x14ac:dyDescent="0.4">
      <c r="A1641" t="s">
        <v>3599</v>
      </c>
      <c r="B1641">
        <v>0</v>
      </c>
      <c r="C1641" t="s">
        <v>5723</v>
      </c>
      <c r="D1641">
        <v>1</v>
      </c>
      <c r="E1641">
        <v>-0.91400000000000003</v>
      </c>
      <c r="F1641">
        <v>0</v>
      </c>
      <c r="G1641">
        <v>2024</v>
      </c>
      <c r="H1641" t="s">
        <v>928</v>
      </c>
      <c r="I1641" t="s">
        <v>6063</v>
      </c>
      <c r="J1641" t="s">
        <v>8077</v>
      </c>
      <c r="K1641" t="s">
        <v>9186</v>
      </c>
    </row>
    <row r="1642" spans="1:11" x14ac:dyDescent="0.4">
      <c r="A1642" t="s">
        <v>3619</v>
      </c>
      <c r="B1642">
        <v>0</v>
      </c>
      <c r="C1642" t="s">
        <v>5723</v>
      </c>
      <c r="D1642">
        <v>1</v>
      </c>
      <c r="E1642">
        <v>-0.91400000000000003</v>
      </c>
      <c r="F1642">
        <v>0</v>
      </c>
      <c r="G1642">
        <v>2024</v>
      </c>
      <c r="H1642" t="s">
        <v>928</v>
      </c>
      <c r="I1642" t="s">
        <v>6063</v>
      </c>
      <c r="J1642" t="s">
        <v>8078</v>
      </c>
      <c r="K1642" t="s">
        <v>9187</v>
      </c>
    </row>
    <row r="1643" spans="1:11" x14ac:dyDescent="0.4">
      <c r="A1643" t="s">
        <v>3623</v>
      </c>
      <c r="B1643">
        <v>0</v>
      </c>
      <c r="C1643" t="s">
        <v>5723</v>
      </c>
      <c r="D1643">
        <v>1</v>
      </c>
      <c r="E1643">
        <v>-0.91400000000000003</v>
      </c>
      <c r="F1643">
        <v>0</v>
      </c>
      <c r="G1643">
        <v>2024</v>
      </c>
      <c r="H1643" t="s">
        <v>928</v>
      </c>
      <c r="I1643" t="s">
        <v>6063</v>
      </c>
      <c r="J1643" t="s">
        <v>8079</v>
      </c>
      <c r="K1643" t="s">
        <v>9188</v>
      </c>
    </row>
    <row r="1644" spans="1:11" x14ac:dyDescent="0.4">
      <c r="A1644" t="s">
        <v>3621</v>
      </c>
      <c r="B1644">
        <v>0</v>
      </c>
      <c r="C1644" t="s">
        <v>5723</v>
      </c>
      <c r="D1644">
        <v>1</v>
      </c>
      <c r="E1644">
        <v>-0.91400000000000003</v>
      </c>
      <c r="F1644">
        <v>0</v>
      </c>
      <c r="G1644">
        <v>2024</v>
      </c>
      <c r="H1644" t="s">
        <v>928</v>
      </c>
      <c r="I1644" t="s">
        <v>6063</v>
      </c>
      <c r="J1644" t="s">
        <v>8080</v>
      </c>
      <c r="K1644" t="s">
        <v>9189</v>
      </c>
    </row>
    <row r="1645" spans="1:11" x14ac:dyDescent="0.4">
      <c r="A1645" t="s">
        <v>3609</v>
      </c>
      <c r="B1645">
        <v>0</v>
      </c>
      <c r="C1645" t="s">
        <v>5723</v>
      </c>
      <c r="D1645">
        <v>1</v>
      </c>
      <c r="E1645">
        <v>-0.91400000000000003</v>
      </c>
      <c r="F1645">
        <v>0</v>
      </c>
      <c r="G1645">
        <v>2024</v>
      </c>
      <c r="H1645" t="s">
        <v>928</v>
      </c>
      <c r="I1645" t="s">
        <v>6063</v>
      </c>
      <c r="J1645" t="s">
        <v>8081</v>
      </c>
      <c r="K1645" t="s">
        <v>9190</v>
      </c>
    </row>
    <row r="1646" spans="1:11" x14ac:dyDescent="0.4">
      <c r="A1646" t="s">
        <v>3598</v>
      </c>
      <c r="B1646">
        <v>0</v>
      </c>
      <c r="C1646" t="s">
        <v>5723</v>
      </c>
      <c r="D1646">
        <v>1</v>
      </c>
      <c r="E1646">
        <v>-0.91400000000000003</v>
      </c>
      <c r="F1646">
        <v>0</v>
      </c>
      <c r="G1646">
        <v>2024</v>
      </c>
      <c r="H1646" t="s">
        <v>928</v>
      </c>
      <c r="I1646" t="s">
        <v>6063</v>
      </c>
      <c r="J1646" t="s">
        <v>8082</v>
      </c>
      <c r="K1646" t="s">
        <v>9191</v>
      </c>
    </row>
    <row r="1647" spans="1:11" x14ac:dyDescent="0.4">
      <c r="A1647" t="s">
        <v>3612</v>
      </c>
      <c r="B1647">
        <v>100</v>
      </c>
      <c r="C1647" t="s">
        <v>1380</v>
      </c>
      <c r="D1647">
        <v>5</v>
      </c>
      <c r="E1647">
        <v>1.073</v>
      </c>
      <c r="F1647">
        <v>1</v>
      </c>
      <c r="G1647">
        <v>2024</v>
      </c>
      <c r="H1647" t="s">
        <v>928</v>
      </c>
      <c r="I1647" t="s">
        <v>6063</v>
      </c>
      <c r="J1647" t="s">
        <v>8083</v>
      </c>
      <c r="K1647" t="s">
        <v>6810</v>
      </c>
    </row>
    <row r="1648" spans="1:11" x14ac:dyDescent="0.4">
      <c r="A1648" t="s">
        <v>3613</v>
      </c>
      <c r="B1648">
        <v>100</v>
      </c>
      <c r="C1648" t="s">
        <v>1380</v>
      </c>
      <c r="D1648">
        <v>5</v>
      </c>
      <c r="E1648">
        <v>1.073</v>
      </c>
      <c r="F1648">
        <v>1</v>
      </c>
      <c r="G1648">
        <v>2024</v>
      </c>
      <c r="H1648" t="s">
        <v>928</v>
      </c>
      <c r="I1648" t="s">
        <v>6063</v>
      </c>
      <c r="J1648" t="s">
        <v>8084</v>
      </c>
      <c r="K1648" t="s">
        <v>9192</v>
      </c>
    </row>
    <row r="1649" spans="1:11" x14ac:dyDescent="0.4">
      <c r="A1649" t="s">
        <v>3631</v>
      </c>
      <c r="B1649">
        <v>0</v>
      </c>
      <c r="C1649" t="s">
        <v>5723</v>
      </c>
      <c r="D1649">
        <v>1</v>
      </c>
      <c r="E1649">
        <v>-0.91400000000000003</v>
      </c>
      <c r="F1649">
        <v>0</v>
      </c>
      <c r="G1649">
        <v>2024</v>
      </c>
      <c r="H1649" t="s">
        <v>928</v>
      </c>
      <c r="I1649" t="s">
        <v>6063</v>
      </c>
      <c r="J1649" t="s">
        <v>8085</v>
      </c>
      <c r="K1649" t="s">
        <v>9193</v>
      </c>
    </row>
    <row r="1650" spans="1:11" x14ac:dyDescent="0.4">
      <c r="A1650" t="s">
        <v>2089</v>
      </c>
      <c r="B1650">
        <v>100</v>
      </c>
      <c r="C1650" t="s">
        <v>1380</v>
      </c>
      <c r="D1650">
        <v>5</v>
      </c>
      <c r="E1650">
        <v>1.073</v>
      </c>
      <c r="F1650">
        <v>1</v>
      </c>
      <c r="G1650">
        <v>2024</v>
      </c>
      <c r="H1650" t="s">
        <v>928</v>
      </c>
      <c r="I1650" t="s">
        <v>6063</v>
      </c>
      <c r="J1650" t="s">
        <v>6811</v>
      </c>
      <c r="K1650" t="s">
        <v>6793</v>
      </c>
    </row>
    <row r="1651" spans="1:11" x14ac:dyDescent="0.4">
      <c r="A1651" t="s">
        <v>2093</v>
      </c>
      <c r="B1651">
        <v>0</v>
      </c>
      <c r="C1651" t="s">
        <v>5723</v>
      </c>
      <c r="D1651">
        <v>1</v>
      </c>
      <c r="E1651">
        <v>-0.91400000000000003</v>
      </c>
      <c r="F1651">
        <v>0</v>
      </c>
      <c r="G1651">
        <v>2024</v>
      </c>
      <c r="H1651" t="s">
        <v>928</v>
      </c>
      <c r="I1651" t="s">
        <v>6063</v>
      </c>
      <c r="J1651" t="s">
        <v>8086</v>
      </c>
      <c r="K1651" t="s">
        <v>9194</v>
      </c>
    </row>
    <row r="1652" spans="1:11" x14ac:dyDescent="0.4">
      <c r="A1652" t="s">
        <v>3614</v>
      </c>
      <c r="B1652">
        <v>100</v>
      </c>
      <c r="C1652" t="s">
        <v>1380</v>
      </c>
      <c r="D1652">
        <v>5</v>
      </c>
      <c r="E1652">
        <v>1.073</v>
      </c>
      <c r="F1652">
        <v>1</v>
      </c>
      <c r="G1652">
        <v>2024</v>
      </c>
      <c r="H1652" t="s">
        <v>928</v>
      </c>
      <c r="I1652" t="s">
        <v>6063</v>
      </c>
      <c r="J1652" t="s">
        <v>6812</v>
      </c>
      <c r="K1652" t="s">
        <v>6813</v>
      </c>
    </row>
    <row r="1653" spans="1:11" x14ac:dyDescent="0.4">
      <c r="A1653" t="s">
        <v>3620</v>
      </c>
      <c r="B1653">
        <v>0</v>
      </c>
      <c r="C1653" t="s">
        <v>5723</v>
      </c>
      <c r="D1653">
        <v>1</v>
      </c>
      <c r="E1653">
        <v>-0.91400000000000003</v>
      </c>
      <c r="F1653">
        <v>0</v>
      </c>
      <c r="G1653">
        <v>2024</v>
      </c>
      <c r="H1653" t="s">
        <v>928</v>
      </c>
      <c r="I1653" t="s">
        <v>6063</v>
      </c>
      <c r="J1653" t="s">
        <v>8087</v>
      </c>
      <c r="K1653" t="s">
        <v>9195</v>
      </c>
    </row>
    <row r="1654" spans="1:11" x14ac:dyDescent="0.4">
      <c r="A1654" t="s">
        <v>3601</v>
      </c>
      <c r="B1654">
        <v>0</v>
      </c>
      <c r="C1654" t="s">
        <v>5723</v>
      </c>
      <c r="D1654">
        <v>1</v>
      </c>
      <c r="E1654">
        <v>-0.91400000000000003</v>
      </c>
      <c r="F1654">
        <v>0</v>
      </c>
      <c r="G1654">
        <v>2024</v>
      </c>
      <c r="H1654" t="s">
        <v>928</v>
      </c>
      <c r="I1654" t="s">
        <v>6063</v>
      </c>
      <c r="J1654" t="s">
        <v>8088</v>
      </c>
      <c r="K1654" t="s">
        <v>9196</v>
      </c>
    </row>
    <row r="1655" spans="1:11" x14ac:dyDescent="0.4">
      <c r="A1655" t="s">
        <v>5833</v>
      </c>
      <c r="B1655">
        <v>100</v>
      </c>
      <c r="C1655" t="s">
        <v>1380</v>
      </c>
      <c r="D1655">
        <v>5</v>
      </c>
      <c r="E1655">
        <v>1.073</v>
      </c>
      <c r="F1655">
        <v>1</v>
      </c>
      <c r="G1655">
        <v>2024</v>
      </c>
      <c r="H1655" t="s">
        <v>928</v>
      </c>
      <c r="I1655" t="s">
        <v>6063</v>
      </c>
      <c r="J1655" t="s">
        <v>8089</v>
      </c>
      <c r="K1655" t="s">
        <v>8090</v>
      </c>
    </row>
    <row r="1656" spans="1:11" x14ac:dyDescent="0.4">
      <c r="A1656" t="s">
        <v>3624</v>
      </c>
      <c r="B1656">
        <v>100</v>
      </c>
      <c r="C1656" t="s">
        <v>1380</v>
      </c>
      <c r="D1656">
        <v>5</v>
      </c>
      <c r="E1656">
        <v>1.073</v>
      </c>
      <c r="F1656">
        <v>1</v>
      </c>
      <c r="G1656">
        <v>2024</v>
      </c>
      <c r="H1656" t="s">
        <v>928</v>
      </c>
      <c r="I1656" t="s">
        <v>6063</v>
      </c>
      <c r="J1656" t="s">
        <v>8091</v>
      </c>
      <c r="K1656" t="s">
        <v>8092</v>
      </c>
    </row>
    <row r="1657" spans="1:11" x14ac:dyDescent="0.4">
      <c r="A1657" t="s">
        <v>5834</v>
      </c>
      <c r="B1657">
        <v>0</v>
      </c>
      <c r="C1657" t="s">
        <v>5723</v>
      </c>
      <c r="D1657">
        <v>1</v>
      </c>
      <c r="E1657">
        <v>-0.91400000000000003</v>
      </c>
      <c r="F1657">
        <v>0</v>
      </c>
      <c r="G1657">
        <v>2024</v>
      </c>
      <c r="H1657" t="s">
        <v>928</v>
      </c>
      <c r="I1657" t="s">
        <v>6063</v>
      </c>
      <c r="J1657" t="s">
        <v>8093</v>
      </c>
      <c r="K1657" t="s">
        <v>6814</v>
      </c>
    </row>
    <row r="1658" spans="1:11" x14ac:dyDescent="0.4">
      <c r="A1658" t="s">
        <v>3632</v>
      </c>
      <c r="B1658">
        <v>100</v>
      </c>
      <c r="C1658" t="s">
        <v>1380</v>
      </c>
      <c r="D1658">
        <v>5</v>
      </c>
      <c r="E1658">
        <v>1.073</v>
      </c>
      <c r="F1658">
        <v>1</v>
      </c>
      <c r="G1658">
        <v>2024</v>
      </c>
      <c r="H1658" t="s">
        <v>928</v>
      </c>
      <c r="I1658" t="s">
        <v>6063</v>
      </c>
      <c r="J1658" t="s">
        <v>8094</v>
      </c>
      <c r="K1658" t="s">
        <v>8095</v>
      </c>
    </row>
    <row r="1659" spans="1:11" x14ac:dyDescent="0.4">
      <c r="A1659" t="s">
        <v>3607</v>
      </c>
      <c r="B1659">
        <v>0</v>
      </c>
      <c r="C1659" t="s">
        <v>5723</v>
      </c>
      <c r="D1659">
        <v>1</v>
      </c>
      <c r="E1659">
        <v>-0.91400000000000003</v>
      </c>
      <c r="F1659">
        <v>0</v>
      </c>
      <c r="G1659">
        <v>2024</v>
      </c>
      <c r="H1659" t="s">
        <v>928</v>
      </c>
      <c r="I1659" t="s">
        <v>6063</v>
      </c>
      <c r="J1659" t="s">
        <v>6815</v>
      </c>
      <c r="K1659" t="s">
        <v>9171</v>
      </c>
    </row>
    <row r="1660" spans="1:11" x14ac:dyDescent="0.4">
      <c r="A1660" t="s">
        <v>3611</v>
      </c>
      <c r="B1660">
        <v>0</v>
      </c>
      <c r="C1660" t="s">
        <v>5723</v>
      </c>
      <c r="D1660">
        <v>1</v>
      </c>
      <c r="E1660">
        <v>-0.91400000000000003</v>
      </c>
      <c r="F1660">
        <v>0</v>
      </c>
      <c r="G1660">
        <v>2024</v>
      </c>
      <c r="H1660" t="s">
        <v>928</v>
      </c>
      <c r="I1660" t="s">
        <v>6063</v>
      </c>
      <c r="J1660" t="s">
        <v>8096</v>
      </c>
      <c r="K1660" t="s">
        <v>6816</v>
      </c>
    </row>
    <row r="1661" spans="1:11" x14ac:dyDescent="0.4">
      <c r="A1661" t="s">
        <v>3605</v>
      </c>
      <c r="B1661">
        <v>0</v>
      </c>
      <c r="C1661" t="s">
        <v>5723</v>
      </c>
      <c r="D1661">
        <v>1</v>
      </c>
      <c r="E1661">
        <v>-0.91400000000000003</v>
      </c>
      <c r="F1661">
        <v>0</v>
      </c>
      <c r="G1661">
        <v>2024</v>
      </c>
      <c r="H1661" t="s">
        <v>928</v>
      </c>
      <c r="I1661" t="s">
        <v>6063</v>
      </c>
      <c r="J1661" t="s">
        <v>8097</v>
      </c>
      <c r="K1661" t="s">
        <v>8098</v>
      </c>
    </row>
    <row r="1662" spans="1:11" x14ac:dyDescent="0.4">
      <c r="A1662" t="s">
        <v>5835</v>
      </c>
      <c r="B1662">
        <v>100</v>
      </c>
      <c r="C1662" t="s">
        <v>1380</v>
      </c>
      <c r="D1662">
        <v>5</v>
      </c>
      <c r="E1662">
        <v>1.073</v>
      </c>
      <c r="F1662">
        <v>1</v>
      </c>
      <c r="G1662">
        <v>2024</v>
      </c>
      <c r="H1662" t="s">
        <v>928</v>
      </c>
      <c r="I1662" t="s">
        <v>6063</v>
      </c>
      <c r="J1662" t="s">
        <v>8099</v>
      </c>
      <c r="K1662" t="s">
        <v>8100</v>
      </c>
    </row>
    <row r="1663" spans="1:11" x14ac:dyDescent="0.4">
      <c r="A1663" t="s">
        <v>3625</v>
      </c>
      <c r="B1663">
        <v>100</v>
      </c>
      <c r="C1663" t="s">
        <v>1380</v>
      </c>
      <c r="D1663">
        <v>5</v>
      </c>
      <c r="E1663">
        <v>1.073</v>
      </c>
      <c r="F1663">
        <v>1</v>
      </c>
      <c r="G1663">
        <v>2024</v>
      </c>
      <c r="H1663" t="s">
        <v>928</v>
      </c>
      <c r="I1663" t="s">
        <v>6063</v>
      </c>
      <c r="J1663" t="s">
        <v>8101</v>
      </c>
      <c r="K1663" t="s">
        <v>8102</v>
      </c>
    </row>
    <row r="1664" spans="1:11" x14ac:dyDescent="0.4">
      <c r="A1664" t="s">
        <v>2090</v>
      </c>
      <c r="B1664">
        <v>100</v>
      </c>
      <c r="C1664" t="s">
        <v>1380</v>
      </c>
      <c r="D1664">
        <v>5</v>
      </c>
      <c r="E1664">
        <v>1.073</v>
      </c>
      <c r="F1664">
        <v>1</v>
      </c>
      <c r="G1664">
        <v>2024</v>
      </c>
      <c r="H1664" t="s">
        <v>928</v>
      </c>
      <c r="I1664" t="s">
        <v>6063</v>
      </c>
      <c r="J1664" t="s">
        <v>8103</v>
      </c>
      <c r="K1664" t="s">
        <v>6807</v>
      </c>
    </row>
    <row r="1665" spans="1:11" x14ac:dyDescent="0.4">
      <c r="A1665" t="s">
        <v>2091</v>
      </c>
      <c r="B1665">
        <v>100</v>
      </c>
      <c r="C1665" t="s">
        <v>1380</v>
      </c>
      <c r="D1665">
        <v>5</v>
      </c>
      <c r="E1665">
        <v>1.073</v>
      </c>
      <c r="F1665">
        <v>1</v>
      </c>
      <c r="G1665">
        <v>2024</v>
      </c>
      <c r="H1665" t="s">
        <v>928</v>
      </c>
      <c r="I1665" t="s">
        <v>6063</v>
      </c>
      <c r="J1665" t="s">
        <v>8104</v>
      </c>
      <c r="K1665" t="s">
        <v>8105</v>
      </c>
    </row>
    <row r="1666" spans="1:11" x14ac:dyDescent="0.4">
      <c r="A1666" t="s">
        <v>3628</v>
      </c>
      <c r="B1666">
        <v>100</v>
      </c>
      <c r="C1666" t="s">
        <v>1380</v>
      </c>
      <c r="D1666">
        <v>5</v>
      </c>
      <c r="E1666">
        <v>1.073</v>
      </c>
      <c r="F1666">
        <v>1</v>
      </c>
      <c r="G1666">
        <v>2024</v>
      </c>
      <c r="H1666" t="s">
        <v>928</v>
      </c>
      <c r="I1666" t="s">
        <v>6063</v>
      </c>
      <c r="J1666" t="s">
        <v>8106</v>
      </c>
      <c r="K1666" t="s">
        <v>9197</v>
      </c>
    </row>
    <row r="1667" spans="1:11" x14ac:dyDescent="0.4">
      <c r="A1667" t="s">
        <v>2092</v>
      </c>
      <c r="B1667">
        <v>100</v>
      </c>
      <c r="C1667" t="s">
        <v>1380</v>
      </c>
      <c r="D1667">
        <v>5</v>
      </c>
      <c r="E1667">
        <v>1.073</v>
      </c>
      <c r="F1667">
        <v>1</v>
      </c>
      <c r="G1667">
        <v>2024</v>
      </c>
      <c r="H1667" t="s">
        <v>928</v>
      </c>
      <c r="I1667" t="s">
        <v>6063</v>
      </c>
      <c r="J1667" t="s">
        <v>8107</v>
      </c>
      <c r="K1667" t="s">
        <v>9198</v>
      </c>
    </row>
    <row r="1668" spans="1:11" x14ac:dyDescent="0.4">
      <c r="A1668" t="s">
        <v>3603</v>
      </c>
      <c r="B1668">
        <v>100</v>
      </c>
      <c r="C1668" t="s">
        <v>1380</v>
      </c>
      <c r="D1668">
        <v>5</v>
      </c>
      <c r="E1668">
        <v>1.073</v>
      </c>
      <c r="F1668">
        <v>1</v>
      </c>
      <c r="G1668">
        <v>2024</v>
      </c>
      <c r="H1668" t="s">
        <v>928</v>
      </c>
      <c r="I1668" t="s">
        <v>6063</v>
      </c>
      <c r="J1668" t="s">
        <v>8108</v>
      </c>
      <c r="K1668" t="s">
        <v>8049</v>
      </c>
    </row>
    <row r="1669" spans="1:11" x14ac:dyDescent="0.4">
      <c r="A1669" t="s">
        <v>3617</v>
      </c>
      <c r="B1669">
        <v>100</v>
      </c>
      <c r="C1669" t="s">
        <v>1380</v>
      </c>
      <c r="D1669">
        <v>5</v>
      </c>
      <c r="E1669">
        <v>1.073</v>
      </c>
      <c r="F1669">
        <v>1</v>
      </c>
      <c r="G1669">
        <v>2024</v>
      </c>
      <c r="H1669" t="s">
        <v>928</v>
      </c>
      <c r="I1669" t="s">
        <v>6063</v>
      </c>
      <c r="J1669" t="s">
        <v>6817</v>
      </c>
      <c r="K1669" t="s">
        <v>6806</v>
      </c>
    </row>
    <row r="1670" spans="1:11" x14ac:dyDescent="0.4">
      <c r="A1670" t="s">
        <v>3627</v>
      </c>
      <c r="B1670">
        <v>0</v>
      </c>
      <c r="C1670" t="s">
        <v>5723</v>
      </c>
      <c r="D1670">
        <v>1</v>
      </c>
      <c r="E1670">
        <v>-0.91400000000000003</v>
      </c>
      <c r="F1670">
        <v>0</v>
      </c>
      <c r="G1670">
        <v>2024</v>
      </c>
      <c r="H1670" t="s">
        <v>928</v>
      </c>
      <c r="I1670" t="s">
        <v>6063</v>
      </c>
      <c r="J1670" t="s">
        <v>8109</v>
      </c>
      <c r="K1670" t="s">
        <v>9199</v>
      </c>
    </row>
    <row r="1671" spans="1:11" x14ac:dyDescent="0.4">
      <c r="A1671" t="s">
        <v>3618</v>
      </c>
      <c r="B1671">
        <v>0</v>
      </c>
      <c r="C1671" t="s">
        <v>5723</v>
      </c>
      <c r="D1671">
        <v>1</v>
      </c>
      <c r="E1671">
        <v>-0.91400000000000003</v>
      </c>
      <c r="F1671">
        <v>0</v>
      </c>
      <c r="G1671">
        <v>2024</v>
      </c>
      <c r="H1671" t="s">
        <v>928</v>
      </c>
      <c r="I1671" t="s">
        <v>6063</v>
      </c>
      <c r="J1671" t="s">
        <v>8110</v>
      </c>
      <c r="K1671" t="s">
        <v>9200</v>
      </c>
    </row>
    <row r="1672" spans="1:11" x14ac:dyDescent="0.4">
      <c r="A1672" t="s">
        <v>2096</v>
      </c>
      <c r="B1672">
        <v>46</v>
      </c>
      <c r="C1672" t="s">
        <v>197</v>
      </c>
      <c r="D1672">
        <v>3</v>
      </c>
    </row>
    <row r="1673" spans="1:11" x14ac:dyDescent="0.4">
      <c r="A1673" t="s">
        <v>2097</v>
      </c>
      <c r="B1673">
        <v>0</v>
      </c>
      <c r="C1673" t="s">
        <v>197</v>
      </c>
      <c r="D1673">
        <v>1</v>
      </c>
    </row>
    <row r="1674" spans="1:11" x14ac:dyDescent="0.4">
      <c r="A1674" t="s">
        <v>2098</v>
      </c>
      <c r="B1674">
        <v>42.9</v>
      </c>
      <c r="C1674" t="s">
        <v>197</v>
      </c>
      <c r="D1674">
        <v>3</v>
      </c>
    </row>
    <row r="1675" spans="1:11" x14ac:dyDescent="0.4">
      <c r="A1675" t="s">
        <v>2099</v>
      </c>
      <c r="B1675">
        <v>0</v>
      </c>
      <c r="C1675" t="s">
        <v>197</v>
      </c>
      <c r="D1675">
        <v>1</v>
      </c>
    </row>
    <row r="1676" spans="1:11" x14ac:dyDescent="0.4">
      <c r="A1676" t="s">
        <v>2100</v>
      </c>
      <c r="B1676">
        <v>70</v>
      </c>
      <c r="C1676" t="s">
        <v>197</v>
      </c>
      <c r="D1676">
        <v>4</v>
      </c>
    </row>
    <row r="1677" spans="1:11" x14ac:dyDescent="0.4">
      <c r="A1677" t="s">
        <v>2574</v>
      </c>
      <c r="B1677">
        <v>20</v>
      </c>
      <c r="C1677" t="s">
        <v>197</v>
      </c>
      <c r="D1677">
        <v>2</v>
      </c>
    </row>
    <row r="1678" spans="1:11" x14ac:dyDescent="0.4">
      <c r="A1678" t="s">
        <v>2575</v>
      </c>
      <c r="B1678">
        <v>78.599999999999994</v>
      </c>
      <c r="C1678" t="s">
        <v>197</v>
      </c>
      <c r="D1678">
        <v>4</v>
      </c>
    </row>
    <row r="1679" spans="1:11" x14ac:dyDescent="0.4">
      <c r="A1679" t="s">
        <v>7336</v>
      </c>
      <c r="B1679">
        <v>12.5</v>
      </c>
      <c r="C1679" t="s">
        <v>197</v>
      </c>
      <c r="D1679">
        <v>1</v>
      </c>
    </row>
    <row r="1680" spans="1:11" x14ac:dyDescent="0.4">
      <c r="A1680" t="s">
        <v>7337</v>
      </c>
      <c r="B1680">
        <v>54.5</v>
      </c>
      <c r="C1680" t="s">
        <v>197</v>
      </c>
      <c r="D1680">
        <v>3</v>
      </c>
    </row>
    <row r="1681" spans="1:5" x14ac:dyDescent="0.4">
      <c r="A1681" t="s">
        <v>7338</v>
      </c>
      <c r="B1681">
        <v>65.2</v>
      </c>
      <c r="C1681" t="s">
        <v>197</v>
      </c>
      <c r="D1681">
        <v>4</v>
      </c>
    </row>
    <row r="1682" spans="1:5" x14ac:dyDescent="0.4">
      <c r="A1682" t="s">
        <v>4232</v>
      </c>
      <c r="B1682">
        <v>50</v>
      </c>
      <c r="C1682" t="s">
        <v>6581</v>
      </c>
      <c r="D1682">
        <v>3</v>
      </c>
      <c r="E1682">
        <v>-0.184</v>
      </c>
    </row>
    <row r="1683" spans="1:5" x14ac:dyDescent="0.4">
      <c r="A1683" t="s">
        <v>4230</v>
      </c>
      <c r="B1683">
        <v>50</v>
      </c>
      <c r="C1683" t="s">
        <v>6581</v>
      </c>
      <c r="D1683">
        <v>3</v>
      </c>
      <c r="E1683">
        <v>-0.184</v>
      </c>
    </row>
    <row r="1684" spans="1:5" x14ac:dyDescent="0.4">
      <c r="A1684" t="s">
        <v>4236</v>
      </c>
      <c r="B1684">
        <v>15</v>
      </c>
      <c r="C1684" t="s">
        <v>6855</v>
      </c>
      <c r="D1684">
        <v>1</v>
      </c>
      <c r="E1684">
        <v>-1.831</v>
      </c>
    </row>
    <row r="1685" spans="1:5" x14ac:dyDescent="0.4">
      <c r="A1685" t="s">
        <v>4260</v>
      </c>
      <c r="B1685">
        <v>50</v>
      </c>
      <c r="C1685" t="s">
        <v>6581</v>
      </c>
      <c r="D1685">
        <v>3</v>
      </c>
      <c r="E1685">
        <v>-0.184</v>
      </c>
    </row>
    <row r="1686" spans="1:5" x14ac:dyDescent="0.4">
      <c r="A1686" t="s">
        <v>2380</v>
      </c>
      <c r="B1686">
        <v>50</v>
      </c>
      <c r="C1686" t="s">
        <v>6581</v>
      </c>
      <c r="D1686">
        <v>3</v>
      </c>
      <c r="E1686">
        <v>-0.184</v>
      </c>
    </row>
    <row r="1687" spans="1:5" x14ac:dyDescent="0.4">
      <c r="A1687" t="s">
        <v>4256</v>
      </c>
      <c r="B1687">
        <v>100</v>
      </c>
      <c r="C1687" t="s">
        <v>1380</v>
      </c>
      <c r="D1687">
        <v>5</v>
      </c>
      <c r="E1687">
        <v>2.17</v>
      </c>
    </row>
    <row r="1688" spans="1:5" x14ac:dyDescent="0.4">
      <c r="A1688" t="s">
        <v>4240</v>
      </c>
      <c r="B1688">
        <v>100</v>
      </c>
      <c r="C1688" t="s">
        <v>1380</v>
      </c>
      <c r="D1688">
        <v>5</v>
      </c>
      <c r="E1688">
        <v>2.17</v>
      </c>
    </row>
    <row r="1689" spans="1:5" x14ac:dyDescent="0.4">
      <c r="A1689" t="s">
        <v>4234</v>
      </c>
      <c r="B1689">
        <v>50</v>
      </c>
      <c r="C1689" t="s">
        <v>6581</v>
      </c>
      <c r="D1689">
        <v>3</v>
      </c>
      <c r="E1689">
        <v>-0.184</v>
      </c>
    </row>
    <row r="1690" spans="1:5" x14ac:dyDescent="0.4">
      <c r="A1690" t="s">
        <v>4246</v>
      </c>
      <c r="B1690">
        <v>100</v>
      </c>
      <c r="C1690" t="s">
        <v>1380</v>
      </c>
      <c r="D1690">
        <v>5</v>
      </c>
      <c r="E1690">
        <v>2.17</v>
      </c>
    </row>
    <row r="1691" spans="1:5" x14ac:dyDescent="0.4">
      <c r="A1691" t="s">
        <v>4238</v>
      </c>
      <c r="B1691">
        <v>10</v>
      </c>
      <c r="C1691" t="s">
        <v>6033</v>
      </c>
      <c r="D1691">
        <v>1</v>
      </c>
      <c r="E1691">
        <v>-2.0659999999999998</v>
      </c>
    </row>
    <row r="1692" spans="1:5" x14ac:dyDescent="0.4">
      <c r="A1692" t="s">
        <v>5976</v>
      </c>
      <c r="B1692">
        <v>50</v>
      </c>
      <c r="C1692" t="s">
        <v>6581</v>
      </c>
      <c r="D1692">
        <v>3</v>
      </c>
      <c r="E1692">
        <v>-0.184</v>
      </c>
    </row>
    <row r="1693" spans="1:5" x14ac:dyDescent="0.4">
      <c r="A1693" t="s">
        <v>4252</v>
      </c>
      <c r="B1693">
        <v>50</v>
      </c>
      <c r="C1693" t="s">
        <v>6581</v>
      </c>
      <c r="D1693">
        <v>3</v>
      </c>
      <c r="E1693">
        <v>-0.184</v>
      </c>
    </row>
    <row r="1694" spans="1:5" x14ac:dyDescent="0.4">
      <c r="A1694" t="s">
        <v>2381</v>
      </c>
      <c r="B1694">
        <v>50</v>
      </c>
      <c r="C1694" t="s">
        <v>6581</v>
      </c>
      <c r="D1694">
        <v>3</v>
      </c>
      <c r="E1694">
        <v>-0.184</v>
      </c>
    </row>
    <row r="1695" spans="1:5" x14ac:dyDescent="0.4">
      <c r="A1695" t="s">
        <v>2390</v>
      </c>
      <c r="B1695">
        <v>50</v>
      </c>
      <c r="C1695" t="s">
        <v>6581</v>
      </c>
      <c r="D1695">
        <v>3</v>
      </c>
      <c r="E1695">
        <v>-0.184</v>
      </c>
    </row>
    <row r="1696" spans="1:5" x14ac:dyDescent="0.4">
      <c r="A1696" t="s">
        <v>4245</v>
      </c>
      <c r="B1696">
        <v>50</v>
      </c>
      <c r="C1696" t="s">
        <v>6581</v>
      </c>
      <c r="D1696">
        <v>3</v>
      </c>
      <c r="E1696">
        <v>-0.184</v>
      </c>
    </row>
    <row r="1697" spans="1:5" x14ac:dyDescent="0.4">
      <c r="A1697" t="s">
        <v>4259</v>
      </c>
      <c r="B1697">
        <v>50</v>
      </c>
      <c r="C1697" t="s">
        <v>6581</v>
      </c>
      <c r="D1697">
        <v>3</v>
      </c>
      <c r="E1697">
        <v>-0.184</v>
      </c>
    </row>
    <row r="1698" spans="1:5" x14ac:dyDescent="0.4">
      <c r="A1698" t="s">
        <v>2382</v>
      </c>
      <c r="B1698">
        <v>100</v>
      </c>
      <c r="C1698" t="s">
        <v>1380</v>
      </c>
      <c r="D1698">
        <v>5</v>
      </c>
      <c r="E1698">
        <v>2.17</v>
      </c>
    </row>
    <row r="1699" spans="1:5" x14ac:dyDescent="0.4">
      <c r="A1699" t="s">
        <v>2389</v>
      </c>
      <c r="B1699">
        <v>50</v>
      </c>
      <c r="C1699" t="s">
        <v>6581</v>
      </c>
      <c r="D1699">
        <v>3</v>
      </c>
      <c r="E1699">
        <v>-0.184</v>
      </c>
    </row>
    <row r="1700" spans="1:5" x14ac:dyDescent="0.4">
      <c r="A1700" t="s">
        <v>2383</v>
      </c>
      <c r="B1700">
        <v>100</v>
      </c>
      <c r="C1700" t="s">
        <v>1380</v>
      </c>
      <c r="D1700">
        <v>5</v>
      </c>
      <c r="E1700">
        <v>2.17</v>
      </c>
    </row>
    <row r="1701" spans="1:5" x14ac:dyDescent="0.4">
      <c r="A1701" t="s">
        <v>4229</v>
      </c>
      <c r="B1701">
        <v>50</v>
      </c>
      <c r="C1701" t="s">
        <v>6581</v>
      </c>
      <c r="D1701">
        <v>3</v>
      </c>
      <c r="E1701">
        <v>-0.184</v>
      </c>
    </row>
    <row r="1702" spans="1:5" x14ac:dyDescent="0.4">
      <c r="A1702" t="s">
        <v>4249</v>
      </c>
      <c r="B1702">
        <v>50</v>
      </c>
      <c r="C1702" t="s">
        <v>6581</v>
      </c>
      <c r="D1702">
        <v>3</v>
      </c>
      <c r="E1702">
        <v>-0.184</v>
      </c>
    </row>
    <row r="1703" spans="1:5" x14ac:dyDescent="0.4">
      <c r="A1703" t="s">
        <v>4253</v>
      </c>
      <c r="B1703">
        <v>50</v>
      </c>
      <c r="C1703" t="s">
        <v>6581</v>
      </c>
      <c r="D1703">
        <v>3</v>
      </c>
      <c r="E1703">
        <v>-0.184</v>
      </c>
    </row>
    <row r="1704" spans="1:5" x14ac:dyDescent="0.4">
      <c r="A1704" t="s">
        <v>4251</v>
      </c>
      <c r="B1704">
        <v>50</v>
      </c>
      <c r="C1704" t="s">
        <v>6581</v>
      </c>
      <c r="D1704">
        <v>3</v>
      </c>
      <c r="E1704">
        <v>-0.184</v>
      </c>
    </row>
    <row r="1705" spans="1:5" x14ac:dyDescent="0.4">
      <c r="A1705" t="s">
        <v>4239</v>
      </c>
      <c r="B1705">
        <v>50</v>
      </c>
      <c r="C1705" t="s">
        <v>6581</v>
      </c>
      <c r="D1705">
        <v>3</v>
      </c>
      <c r="E1705">
        <v>-0.184</v>
      </c>
    </row>
    <row r="1706" spans="1:5" x14ac:dyDescent="0.4">
      <c r="A1706" t="s">
        <v>4228</v>
      </c>
      <c r="B1706">
        <v>50</v>
      </c>
      <c r="C1706" t="s">
        <v>6581</v>
      </c>
      <c r="D1706">
        <v>3</v>
      </c>
      <c r="E1706">
        <v>-0.184</v>
      </c>
    </row>
    <row r="1707" spans="1:5" x14ac:dyDescent="0.4">
      <c r="A1707" t="s">
        <v>4242</v>
      </c>
      <c r="B1707">
        <v>50</v>
      </c>
      <c r="C1707" t="s">
        <v>6581</v>
      </c>
      <c r="D1707">
        <v>3</v>
      </c>
      <c r="E1707">
        <v>-0.184</v>
      </c>
    </row>
    <row r="1708" spans="1:5" x14ac:dyDescent="0.4">
      <c r="A1708" t="s">
        <v>4243</v>
      </c>
      <c r="B1708">
        <v>50</v>
      </c>
      <c r="C1708" t="s">
        <v>6581</v>
      </c>
      <c r="D1708">
        <v>3</v>
      </c>
      <c r="E1708">
        <v>-0.184</v>
      </c>
    </row>
    <row r="1709" spans="1:5" x14ac:dyDescent="0.4">
      <c r="A1709" t="s">
        <v>4261</v>
      </c>
      <c r="B1709">
        <v>50</v>
      </c>
      <c r="C1709" t="s">
        <v>6581</v>
      </c>
      <c r="D1709">
        <v>3</v>
      </c>
      <c r="E1709">
        <v>-0.184</v>
      </c>
    </row>
    <row r="1710" spans="1:5" x14ac:dyDescent="0.4">
      <c r="A1710" t="s">
        <v>2384</v>
      </c>
      <c r="B1710">
        <v>50</v>
      </c>
      <c r="C1710" t="s">
        <v>6581</v>
      </c>
      <c r="D1710">
        <v>3</v>
      </c>
      <c r="E1710">
        <v>-0.184</v>
      </c>
    </row>
    <row r="1711" spans="1:5" x14ac:dyDescent="0.4">
      <c r="A1711" t="s">
        <v>2388</v>
      </c>
      <c r="B1711">
        <v>50</v>
      </c>
      <c r="C1711" t="s">
        <v>6581</v>
      </c>
      <c r="D1711">
        <v>3</v>
      </c>
      <c r="E1711">
        <v>-0.184</v>
      </c>
    </row>
    <row r="1712" spans="1:5" x14ac:dyDescent="0.4">
      <c r="A1712" t="s">
        <v>4244</v>
      </c>
      <c r="B1712">
        <v>50</v>
      </c>
      <c r="C1712" t="s">
        <v>6581</v>
      </c>
      <c r="D1712">
        <v>3</v>
      </c>
      <c r="E1712">
        <v>-0.184</v>
      </c>
    </row>
    <row r="1713" spans="1:5" x14ac:dyDescent="0.4">
      <c r="A1713" t="s">
        <v>4250</v>
      </c>
      <c r="B1713">
        <v>50</v>
      </c>
      <c r="C1713" t="s">
        <v>6581</v>
      </c>
      <c r="D1713">
        <v>3</v>
      </c>
      <c r="E1713">
        <v>-0.184</v>
      </c>
    </row>
    <row r="1714" spans="1:5" x14ac:dyDescent="0.4">
      <c r="A1714" t="s">
        <v>4231</v>
      </c>
      <c r="B1714">
        <v>50</v>
      </c>
      <c r="C1714" t="s">
        <v>6581</v>
      </c>
      <c r="D1714">
        <v>3</v>
      </c>
      <c r="E1714">
        <v>-0.184</v>
      </c>
    </row>
    <row r="1715" spans="1:5" x14ac:dyDescent="0.4">
      <c r="A1715" t="s">
        <v>5836</v>
      </c>
      <c r="B1715">
        <v>15</v>
      </c>
      <c r="C1715" t="s">
        <v>6855</v>
      </c>
      <c r="D1715">
        <v>1</v>
      </c>
      <c r="E1715">
        <v>-1.831</v>
      </c>
    </row>
    <row r="1716" spans="1:5" x14ac:dyDescent="0.4">
      <c r="A1716" t="s">
        <v>4254</v>
      </c>
      <c r="B1716">
        <v>50</v>
      </c>
      <c r="C1716" t="s">
        <v>6581</v>
      </c>
      <c r="D1716">
        <v>3</v>
      </c>
      <c r="E1716">
        <v>-0.184</v>
      </c>
    </row>
    <row r="1717" spans="1:5" x14ac:dyDescent="0.4">
      <c r="A1717" t="s">
        <v>5837</v>
      </c>
      <c r="B1717">
        <v>50</v>
      </c>
      <c r="C1717" t="s">
        <v>6581</v>
      </c>
      <c r="D1717">
        <v>3</v>
      </c>
      <c r="E1717">
        <v>-0.184</v>
      </c>
    </row>
    <row r="1718" spans="1:5" x14ac:dyDescent="0.4">
      <c r="A1718" t="s">
        <v>4262</v>
      </c>
      <c r="B1718">
        <v>50</v>
      </c>
      <c r="C1718" t="s">
        <v>6581</v>
      </c>
      <c r="D1718">
        <v>3</v>
      </c>
      <c r="E1718">
        <v>-0.184</v>
      </c>
    </row>
    <row r="1719" spans="1:5" x14ac:dyDescent="0.4">
      <c r="A1719" t="s">
        <v>4237</v>
      </c>
      <c r="B1719">
        <v>50</v>
      </c>
      <c r="C1719" t="s">
        <v>6581</v>
      </c>
      <c r="D1719">
        <v>3</v>
      </c>
      <c r="E1719">
        <v>-0.184</v>
      </c>
    </row>
    <row r="1720" spans="1:5" x14ac:dyDescent="0.4">
      <c r="A1720" t="s">
        <v>4241</v>
      </c>
      <c r="B1720">
        <v>50</v>
      </c>
      <c r="C1720" t="s">
        <v>6581</v>
      </c>
      <c r="D1720">
        <v>3</v>
      </c>
      <c r="E1720">
        <v>-0.184</v>
      </c>
    </row>
    <row r="1721" spans="1:5" x14ac:dyDescent="0.4">
      <c r="A1721" t="s">
        <v>4235</v>
      </c>
      <c r="B1721">
        <v>15</v>
      </c>
      <c r="C1721" t="s">
        <v>6855</v>
      </c>
      <c r="D1721">
        <v>1</v>
      </c>
      <c r="E1721">
        <v>-1.831</v>
      </c>
    </row>
    <row r="1722" spans="1:5" x14ac:dyDescent="0.4">
      <c r="A1722" t="s">
        <v>5838</v>
      </c>
      <c r="B1722">
        <v>50</v>
      </c>
      <c r="C1722" t="s">
        <v>6581</v>
      </c>
      <c r="D1722">
        <v>3</v>
      </c>
      <c r="E1722">
        <v>-0.184</v>
      </c>
    </row>
    <row r="1723" spans="1:5" x14ac:dyDescent="0.4">
      <c r="A1723" t="s">
        <v>4255</v>
      </c>
      <c r="B1723">
        <v>50</v>
      </c>
      <c r="C1723" t="s">
        <v>6581</v>
      </c>
      <c r="D1723">
        <v>3</v>
      </c>
      <c r="E1723">
        <v>-0.184</v>
      </c>
    </row>
    <row r="1724" spans="1:5" x14ac:dyDescent="0.4">
      <c r="A1724" t="s">
        <v>2385</v>
      </c>
      <c r="B1724">
        <v>100</v>
      </c>
      <c r="C1724" t="s">
        <v>1380</v>
      </c>
      <c r="D1724">
        <v>5</v>
      </c>
      <c r="E1724">
        <v>2.17</v>
      </c>
    </row>
    <row r="1725" spans="1:5" x14ac:dyDescent="0.4">
      <c r="A1725" t="s">
        <v>2386</v>
      </c>
      <c r="B1725">
        <v>100</v>
      </c>
      <c r="C1725" t="s">
        <v>1380</v>
      </c>
      <c r="D1725">
        <v>5</v>
      </c>
      <c r="E1725">
        <v>2.17</v>
      </c>
    </row>
    <row r="1726" spans="1:5" x14ac:dyDescent="0.4">
      <c r="A1726" t="s">
        <v>4258</v>
      </c>
      <c r="B1726">
        <v>50</v>
      </c>
      <c r="C1726" t="s">
        <v>6581</v>
      </c>
      <c r="D1726">
        <v>3</v>
      </c>
      <c r="E1726">
        <v>-0.184</v>
      </c>
    </row>
    <row r="1727" spans="1:5" x14ac:dyDescent="0.4">
      <c r="A1727" t="s">
        <v>2387</v>
      </c>
      <c r="B1727">
        <v>50</v>
      </c>
      <c r="C1727" t="s">
        <v>6581</v>
      </c>
      <c r="D1727">
        <v>3</v>
      </c>
      <c r="E1727">
        <v>-0.184</v>
      </c>
    </row>
    <row r="1728" spans="1:5" x14ac:dyDescent="0.4">
      <c r="A1728" t="s">
        <v>4233</v>
      </c>
      <c r="B1728">
        <v>40</v>
      </c>
      <c r="C1728" t="s">
        <v>5710</v>
      </c>
      <c r="D1728">
        <v>3</v>
      </c>
      <c r="E1728">
        <v>-0.65400000000000003</v>
      </c>
    </row>
    <row r="1729" spans="1:12" x14ac:dyDescent="0.4">
      <c r="A1729" t="s">
        <v>4247</v>
      </c>
      <c r="B1729">
        <v>50</v>
      </c>
      <c r="C1729" t="s">
        <v>6581</v>
      </c>
      <c r="D1729">
        <v>3</v>
      </c>
      <c r="E1729">
        <v>-0.184</v>
      </c>
    </row>
    <row r="1730" spans="1:12" x14ac:dyDescent="0.4">
      <c r="A1730" t="s">
        <v>4257</v>
      </c>
      <c r="B1730">
        <v>50</v>
      </c>
      <c r="C1730" t="s">
        <v>6581</v>
      </c>
      <c r="D1730">
        <v>3</v>
      </c>
      <c r="E1730">
        <v>-0.184</v>
      </c>
    </row>
    <row r="1731" spans="1:12" x14ac:dyDescent="0.4">
      <c r="A1731" t="s">
        <v>4248</v>
      </c>
      <c r="B1731">
        <v>50</v>
      </c>
      <c r="C1731" t="s">
        <v>6581</v>
      </c>
      <c r="D1731">
        <v>3</v>
      </c>
      <c r="E1731">
        <v>-0.184</v>
      </c>
    </row>
    <row r="1732" spans="1:12" x14ac:dyDescent="0.4">
      <c r="A1732" t="s">
        <v>1448</v>
      </c>
      <c r="B1732">
        <v>53.9</v>
      </c>
      <c r="C1732" t="s">
        <v>197</v>
      </c>
      <c r="D1732">
        <v>3</v>
      </c>
    </row>
    <row r="1733" spans="1:12" x14ac:dyDescent="0.4">
      <c r="A1733" t="s">
        <v>1449</v>
      </c>
      <c r="B1733">
        <v>50</v>
      </c>
      <c r="C1733" t="s">
        <v>197</v>
      </c>
      <c r="D1733">
        <v>3</v>
      </c>
    </row>
    <row r="1734" spans="1:12" x14ac:dyDescent="0.4">
      <c r="A1734" t="s">
        <v>1591</v>
      </c>
      <c r="B1734">
        <v>33.6</v>
      </c>
      <c r="C1734" t="s">
        <v>197</v>
      </c>
      <c r="D1734">
        <v>2</v>
      </c>
    </row>
    <row r="1735" spans="1:12" x14ac:dyDescent="0.4">
      <c r="A1735" t="s">
        <v>1693</v>
      </c>
      <c r="B1735">
        <v>40</v>
      </c>
      <c r="C1735" t="s">
        <v>197</v>
      </c>
      <c r="D1735">
        <v>3</v>
      </c>
    </row>
    <row r="1736" spans="1:12" x14ac:dyDescent="0.4">
      <c r="A1736" t="s">
        <v>1694</v>
      </c>
      <c r="B1736">
        <v>60</v>
      </c>
      <c r="C1736" t="s">
        <v>197</v>
      </c>
      <c r="D1736">
        <v>4</v>
      </c>
    </row>
    <row r="1737" spans="1:12" x14ac:dyDescent="0.4">
      <c r="A1737" t="s">
        <v>2610</v>
      </c>
      <c r="B1737">
        <v>55</v>
      </c>
      <c r="C1737" t="s">
        <v>197</v>
      </c>
      <c r="D1737">
        <v>3</v>
      </c>
    </row>
    <row r="1738" spans="1:12" x14ac:dyDescent="0.4">
      <c r="A1738" t="s">
        <v>2611</v>
      </c>
      <c r="B1738">
        <v>64.3</v>
      </c>
      <c r="C1738" t="s">
        <v>197</v>
      </c>
      <c r="D1738">
        <v>4</v>
      </c>
    </row>
    <row r="1739" spans="1:12" x14ac:dyDescent="0.4">
      <c r="A1739" t="s">
        <v>7339</v>
      </c>
      <c r="B1739">
        <v>47.5</v>
      </c>
      <c r="C1739" t="s">
        <v>197</v>
      </c>
      <c r="D1739">
        <v>3</v>
      </c>
    </row>
    <row r="1740" spans="1:12" x14ac:dyDescent="0.4">
      <c r="A1740" t="s">
        <v>7340</v>
      </c>
      <c r="B1740">
        <v>63.6</v>
      </c>
      <c r="C1740" t="s">
        <v>197</v>
      </c>
      <c r="D1740">
        <v>4</v>
      </c>
    </row>
    <row r="1741" spans="1:12" x14ac:dyDescent="0.4">
      <c r="A1741" t="s">
        <v>7341</v>
      </c>
      <c r="B1741">
        <v>53.7</v>
      </c>
      <c r="C1741" t="s">
        <v>197</v>
      </c>
      <c r="D1741">
        <v>3</v>
      </c>
    </row>
    <row r="1742" spans="1:12" x14ac:dyDescent="0.4">
      <c r="A1742" t="s">
        <v>3637</v>
      </c>
      <c r="B1742">
        <v>100</v>
      </c>
      <c r="C1742" t="s">
        <v>1380</v>
      </c>
      <c r="D1742">
        <v>5</v>
      </c>
      <c r="E1742">
        <v>0.31</v>
      </c>
      <c r="F1742">
        <v>0.3</v>
      </c>
      <c r="G1742">
        <v>2019</v>
      </c>
      <c r="H1742" t="s">
        <v>928</v>
      </c>
      <c r="I1742" t="s">
        <v>6615</v>
      </c>
      <c r="L1742" t="s">
        <v>197</v>
      </c>
    </row>
    <row r="1743" spans="1:12" x14ac:dyDescent="0.4">
      <c r="A1743" t="s">
        <v>3635</v>
      </c>
      <c r="B1743">
        <v>100</v>
      </c>
      <c r="C1743" t="s">
        <v>1380</v>
      </c>
      <c r="D1743">
        <v>5</v>
      </c>
      <c r="E1743">
        <v>0.31</v>
      </c>
      <c r="F1743">
        <v>0.4</v>
      </c>
      <c r="G1743">
        <v>2019</v>
      </c>
      <c r="H1743" t="s">
        <v>928</v>
      </c>
      <c r="I1743" t="s">
        <v>6615</v>
      </c>
      <c r="L1743" t="s">
        <v>197</v>
      </c>
    </row>
    <row r="1744" spans="1:12" x14ac:dyDescent="0.4">
      <c r="A1744" t="s">
        <v>3641</v>
      </c>
      <c r="B1744">
        <v>30</v>
      </c>
      <c r="C1744" t="s">
        <v>6855</v>
      </c>
      <c r="D1744">
        <v>2</v>
      </c>
      <c r="E1744">
        <v>-3.1920000000000002</v>
      </c>
      <c r="F1744">
        <v>1.7</v>
      </c>
      <c r="G1744">
        <v>2019</v>
      </c>
      <c r="H1744" t="s">
        <v>928</v>
      </c>
      <c r="I1744" t="s">
        <v>6615</v>
      </c>
      <c r="L1744" t="s">
        <v>197</v>
      </c>
    </row>
    <row r="1745" spans="1:12" x14ac:dyDescent="0.4">
      <c r="A1745" t="s">
        <v>3665</v>
      </c>
      <c r="B1745">
        <v>100</v>
      </c>
      <c r="C1745" t="s">
        <v>1380</v>
      </c>
      <c r="D1745">
        <v>5</v>
      </c>
      <c r="E1745">
        <v>0.31</v>
      </c>
      <c r="F1745">
        <v>0.7</v>
      </c>
      <c r="G1745">
        <v>2019</v>
      </c>
      <c r="H1745" t="s">
        <v>928</v>
      </c>
      <c r="I1745" t="s">
        <v>6615</v>
      </c>
      <c r="L1745" t="s">
        <v>197</v>
      </c>
    </row>
    <row r="1746" spans="1:12" x14ac:dyDescent="0.4">
      <c r="A1746" t="s">
        <v>2101</v>
      </c>
      <c r="B1746">
        <v>100</v>
      </c>
      <c r="C1746" t="s">
        <v>1380</v>
      </c>
      <c r="D1746">
        <v>5</v>
      </c>
      <c r="E1746">
        <v>0.31</v>
      </c>
      <c r="F1746">
        <v>0.2</v>
      </c>
      <c r="G1746">
        <v>2019</v>
      </c>
      <c r="H1746" t="s">
        <v>928</v>
      </c>
      <c r="I1746" t="s">
        <v>6615</v>
      </c>
      <c r="L1746" t="s">
        <v>197</v>
      </c>
    </row>
    <row r="1747" spans="1:12" x14ac:dyDescent="0.4">
      <c r="A1747" t="s">
        <v>3661</v>
      </c>
      <c r="B1747">
        <v>100</v>
      </c>
      <c r="C1747" t="s">
        <v>1380</v>
      </c>
      <c r="D1747">
        <v>5</v>
      </c>
      <c r="E1747">
        <v>0.31</v>
      </c>
      <c r="F1747">
        <v>0.4</v>
      </c>
      <c r="G1747">
        <v>2019</v>
      </c>
      <c r="H1747" t="s">
        <v>928</v>
      </c>
      <c r="I1747" t="s">
        <v>6615</v>
      </c>
      <c r="L1747" t="s">
        <v>197</v>
      </c>
    </row>
    <row r="1748" spans="1:12" x14ac:dyDescent="0.4">
      <c r="A1748" t="s">
        <v>3645</v>
      </c>
      <c r="B1748">
        <v>100</v>
      </c>
      <c r="C1748" t="s">
        <v>1380</v>
      </c>
      <c r="D1748">
        <v>5</v>
      </c>
      <c r="E1748">
        <v>0.31</v>
      </c>
      <c r="F1748">
        <v>0.7</v>
      </c>
      <c r="G1748">
        <v>2019</v>
      </c>
      <c r="H1748" t="s">
        <v>928</v>
      </c>
      <c r="I1748" t="s">
        <v>6615</v>
      </c>
      <c r="L1748" t="s">
        <v>197</v>
      </c>
    </row>
    <row r="1749" spans="1:12" x14ac:dyDescent="0.4">
      <c r="A1749" t="s">
        <v>3639</v>
      </c>
      <c r="B1749">
        <v>100</v>
      </c>
      <c r="C1749" t="s">
        <v>1380</v>
      </c>
      <c r="D1749">
        <v>5</v>
      </c>
      <c r="E1749">
        <v>0.31</v>
      </c>
      <c r="F1749">
        <v>0.4</v>
      </c>
      <c r="G1749">
        <v>2019</v>
      </c>
      <c r="H1749" t="s">
        <v>928</v>
      </c>
      <c r="I1749" t="s">
        <v>6615</v>
      </c>
      <c r="L1749" t="s">
        <v>197</v>
      </c>
    </row>
    <row r="1750" spans="1:12" x14ac:dyDescent="0.4">
      <c r="A1750" t="s">
        <v>3651</v>
      </c>
      <c r="B1750">
        <v>100</v>
      </c>
      <c r="C1750" t="s">
        <v>1380</v>
      </c>
      <c r="D1750">
        <v>5</v>
      </c>
      <c r="E1750">
        <v>0.31</v>
      </c>
      <c r="F1750">
        <v>0.4</v>
      </c>
      <c r="G1750">
        <v>2019</v>
      </c>
      <c r="H1750" t="s">
        <v>928</v>
      </c>
      <c r="I1750" t="s">
        <v>6615</v>
      </c>
      <c r="L1750" t="s">
        <v>197</v>
      </c>
    </row>
    <row r="1751" spans="1:12" x14ac:dyDescent="0.4">
      <c r="A1751" t="s">
        <v>3643</v>
      </c>
      <c r="B1751">
        <v>20</v>
      </c>
      <c r="C1751" t="s">
        <v>6033</v>
      </c>
      <c r="D1751">
        <v>2</v>
      </c>
      <c r="E1751">
        <v>-3.6920000000000002</v>
      </c>
      <c r="F1751">
        <v>1.8</v>
      </c>
      <c r="G1751">
        <v>2019</v>
      </c>
      <c r="H1751" t="s">
        <v>928</v>
      </c>
      <c r="I1751" t="s">
        <v>6615</v>
      </c>
      <c r="L1751" t="s">
        <v>197</v>
      </c>
    </row>
    <row r="1752" spans="1:12" x14ac:dyDescent="0.4">
      <c r="A1752" t="s">
        <v>5977</v>
      </c>
      <c r="B1752">
        <v>100</v>
      </c>
      <c r="C1752" t="s">
        <v>1380</v>
      </c>
      <c r="D1752">
        <v>5</v>
      </c>
      <c r="E1752">
        <v>0.31</v>
      </c>
      <c r="F1752">
        <v>0.3</v>
      </c>
      <c r="G1752">
        <v>2019</v>
      </c>
      <c r="H1752" t="s">
        <v>928</v>
      </c>
      <c r="I1752" t="s">
        <v>6615</v>
      </c>
      <c r="L1752" t="s">
        <v>197</v>
      </c>
    </row>
    <row r="1753" spans="1:12" x14ac:dyDescent="0.4">
      <c r="A1753" t="s">
        <v>3657</v>
      </c>
      <c r="B1753">
        <v>100</v>
      </c>
      <c r="C1753" t="s">
        <v>1380</v>
      </c>
      <c r="D1753">
        <v>5</v>
      </c>
      <c r="E1753">
        <v>0.31</v>
      </c>
      <c r="F1753">
        <v>0.8</v>
      </c>
      <c r="G1753">
        <v>2019</v>
      </c>
      <c r="H1753" t="s">
        <v>928</v>
      </c>
      <c r="I1753" t="s">
        <v>6615</v>
      </c>
      <c r="L1753" t="s">
        <v>197</v>
      </c>
    </row>
    <row r="1754" spans="1:12" x14ac:dyDescent="0.4">
      <c r="A1754" t="s">
        <v>2102</v>
      </c>
      <c r="B1754">
        <v>100</v>
      </c>
      <c r="C1754" t="s">
        <v>1380</v>
      </c>
      <c r="D1754">
        <v>5</v>
      </c>
      <c r="E1754">
        <v>0.31</v>
      </c>
      <c r="F1754">
        <v>0.8</v>
      </c>
      <c r="G1754">
        <v>2019</v>
      </c>
      <c r="H1754" t="s">
        <v>928</v>
      </c>
      <c r="I1754" t="s">
        <v>6615</v>
      </c>
      <c r="L1754" t="s">
        <v>197</v>
      </c>
    </row>
    <row r="1755" spans="1:12" x14ac:dyDescent="0.4">
      <c r="A1755" t="s">
        <v>2111</v>
      </c>
      <c r="B1755">
        <v>100</v>
      </c>
      <c r="C1755" t="s">
        <v>1380</v>
      </c>
      <c r="D1755">
        <v>5</v>
      </c>
      <c r="E1755">
        <v>0.31</v>
      </c>
      <c r="F1755">
        <v>0.5</v>
      </c>
      <c r="G1755">
        <v>2019</v>
      </c>
      <c r="H1755" t="s">
        <v>928</v>
      </c>
      <c r="I1755" t="s">
        <v>6615</v>
      </c>
      <c r="L1755" t="s">
        <v>197</v>
      </c>
    </row>
    <row r="1756" spans="1:12" x14ac:dyDescent="0.4">
      <c r="A1756" t="s">
        <v>3650</v>
      </c>
      <c r="B1756">
        <v>100</v>
      </c>
      <c r="C1756" t="s">
        <v>1380</v>
      </c>
      <c r="D1756">
        <v>5</v>
      </c>
      <c r="E1756">
        <v>0.31</v>
      </c>
      <c r="F1756">
        <v>0.4</v>
      </c>
      <c r="G1756">
        <v>2019</v>
      </c>
      <c r="H1756" t="s">
        <v>928</v>
      </c>
      <c r="I1756" t="s">
        <v>6615</v>
      </c>
      <c r="L1756" t="s">
        <v>197</v>
      </c>
    </row>
    <row r="1757" spans="1:12" x14ac:dyDescent="0.4">
      <c r="A1757" t="s">
        <v>3664</v>
      </c>
      <c r="B1757">
        <v>100</v>
      </c>
      <c r="C1757" t="s">
        <v>1380</v>
      </c>
      <c r="D1757">
        <v>5</v>
      </c>
      <c r="E1757">
        <v>0.31</v>
      </c>
      <c r="F1757">
        <v>0.2</v>
      </c>
      <c r="G1757">
        <v>2019</v>
      </c>
      <c r="H1757" t="s">
        <v>928</v>
      </c>
      <c r="I1757" t="s">
        <v>6615</v>
      </c>
      <c r="L1757" t="s">
        <v>197</v>
      </c>
    </row>
    <row r="1758" spans="1:12" x14ac:dyDescent="0.4">
      <c r="A1758" t="s">
        <v>2103</v>
      </c>
      <c r="B1758">
        <v>100</v>
      </c>
      <c r="C1758" t="s">
        <v>1380</v>
      </c>
      <c r="D1758">
        <v>5</v>
      </c>
      <c r="E1758">
        <v>0.31</v>
      </c>
      <c r="F1758">
        <v>0.4</v>
      </c>
      <c r="G1758">
        <v>2019</v>
      </c>
      <c r="H1758" t="s">
        <v>928</v>
      </c>
      <c r="I1758" t="s">
        <v>6615</v>
      </c>
      <c r="L1758" t="s">
        <v>197</v>
      </c>
    </row>
    <row r="1759" spans="1:12" x14ac:dyDescent="0.4">
      <c r="A1759" t="s">
        <v>2110</v>
      </c>
      <c r="B1759">
        <v>100</v>
      </c>
      <c r="C1759" t="s">
        <v>1380</v>
      </c>
      <c r="D1759">
        <v>5</v>
      </c>
      <c r="E1759">
        <v>0.31</v>
      </c>
      <c r="F1759">
        <v>0.2</v>
      </c>
      <c r="G1759">
        <v>2019</v>
      </c>
      <c r="H1759" t="s">
        <v>928</v>
      </c>
      <c r="I1759" t="s">
        <v>6615</v>
      </c>
      <c r="L1759" t="s">
        <v>197</v>
      </c>
    </row>
    <row r="1760" spans="1:12" x14ac:dyDescent="0.4">
      <c r="A1760" t="s">
        <v>2104</v>
      </c>
      <c r="B1760">
        <v>100</v>
      </c>
      <c r="C1760" t="s">
        <v>1380</v>
      </c>
      <c r="D1760">
        <v>5</v>
      </c>
      <c r="E1760">
        <v>0.31</v>
      </c>
      <c r="F1760">
        <v>0.2</v>
      </c>
      <c r="G1760">
        <v>2019</v>
      </c>
      <c r="H1760" t="s">
        <v>928</v>
      </c>
      <c r="I1760" t="s">
        <v>6615</v>
      </c>
      <c r="L1760" t="s">
        <v>197</v>
      </c>
    </row>
    <row r="1761" spans="1:12" x14ac:dyDescent="0.4">
      <c r="A1761" t="s">
        <v>3634</v>
      </c>
      <c r="B1761">
        <v>100</v>
      </c>
      <c r="C1761" t="s">
        <v>1380</v>
      </c>
      <c r="D1761">
        <v>5</v>
      </c>
      <c r="E1761">
        <v>0.31</v>
      </c>
      <c r="F1761">
        <v>0.2</v>
      </c>
      <c r="G1761">
        <v>2019</v>
      </c>
      <c r="H1761" t="s">
        <v>928</v>
      </c>
      <c r="I1761" t="s">
        <v>6615</v>
      </c>
      <c r="L1761" t="s">
        <v>197</v>
      </c>
    </row>
    <row r="1762" spans="1:12" x14ac:dyDescent="0.4">
      <c r="A1762" t="s">
        <v>3654</v>
      </c>
      <c r="B1762">
        <v>100</v>
      </c>
      <c r="C1762" t="s">
        <v>1380</v>
      </c>
      <c r="D1762">
        <v>5</v>
      </c>
      <c r="E1762">
        <v>0.31</v>
      </c>
      <c r="F1762">
        <v>0.8</v>
      </c>
      <c r="G1762">
        <v>2019</v>
      </c>
      <c r="H1762" t="s">
        <v>928</v>
      </c>
      <c r="I1762" t="s">
        <v>6615</v>
      </c>
      <c r="L1762" t="s">
        <v>197</v>
      </c>
    </row>
    <row r="1763" spans="1:12" x14ac:dyDescent="0.4">
      <c r="A1763" t="s">
        <v>3658</v>
      </c>
      <c r="B1763">
        <v>100</v>
      </c>
      <c r="C1763" t="s">
        <v>1380</v>
      </c>
      <c r="D1763">
        <v>5</v>
      </c>
      <c r="E1763">
        <v>0.31</v>
      </c>
      <c r="F1763">
        <v>0.8</v>
      </c>
      <c r="G1763">
        <v>2019</v>
      </c>
      <c r="H1763" t="s">
        <v>928</v>
      </c>
      <c r="I1763" t="s">
        <v>6615</v>
      </c>
      <c r="L1763" t="s">
        <v>197</v>
      </c>
    </row>
    <row r="1764" spans="1:12" x14ac:dyDescent="0.4">
      <c r="A1764" t="s">
        <v>3656</v>
      </c>
      <c r="B1764">
        <v>100</v>
      </c>
      <c r="C1764" t="s">
        <v>1380</v>
      </c>
      <c r="D1764">
        <v>5</v>
      </c>
      <c r="E1764">
        <v>0.31</v>
      </c>
      <c r="F1764">
        <v>0.8</v>
      </c>
      <c r="G1764">
        <v>2019</v>
      </c>
      <c r="H1764" t="s">
        <v>928</v>
      </c>
      <c r="I1764" t="s">
        <v>6615</v>
      </c>
      <c r="L1764" t="s">
        <v>197</v>
      </c>
    </row>
    <row r="1765" spans="1:12" x14ac:dyDescent="0.4">
      <c r="A1765" t="s">
        <v>3644</v>
      </c>
      <c r="B1765">
        <v>100</v>
      </c>
      <c r="C1765" t="s">
        <v>1380</v>
      </c>
      <c r="D1765">
        <v>5</v>
      </c>
      <c r="E1765">
        <v>0.31</v>
      </c>
      <c r="F1765">
        <v>0.5</v>
      </c>
      <c r="G1765">
        <v>2019</v>
      </c>
      <c r="H1765" t="s">
        <v>928</v>
      </c>
      <c r="I1765" t="s">
        <v>6615</v>
      </c>
      <c r="L1765" t="s">
        <v>197</v>
      </c>
    </row>
    <row r="1766" spans="1:12" x14ac:dyDescent="0.4">
      <c r="A1766" t="s">
        <v>3633</v>
      </c>
      <c r="B1766">
        <v>100</v>
      </c>
      <c r="C1766" t="s">
        <v>1380</v>
      </c>
      <c r="D1766">
        <v>5</v>
      </c>
      <c r="E1766">
        <v>0.31</v>
      </c>
      <c r="F1766">
        <v>0.3</v>
      </c>
      <c r="G1766">
        <v>2019</v>
      </c>
      <c r="H1766" t="s">
        <v>928</v>
      </c>
      <c r="I1766" t="s">
        <v>6615</v>
      </c>
      <c r="L1766" t="s">
        <v>197</v>
      </c>
    </row>
    <row r="1767" spans="1:12" x14ac:dyDescent="0.4">
      <c r="A1767" t="s">
        <v>3647</v>
      </c>
      <c r="B1767">
        <v>100</v>
      </c>
      <c r="C1767" t="s">
        <v>1380</v>
      </c>
      <c r="D1767">
        <v>5</v>
      </c>
      <c r="E1767">
        <v>0.31</v>
      </c>
      <c r="F1767">
        <v>0.6</v>
      </c>
      <c r="G1767">
        <v>2019</v>
      </c>
      <c r="H1767" t="s">
        <v>928</v>
      </c>
      <c r="I1767" t="s">
        <v>6615</v>
      </c>
      <c r="L1767" t="s">
        <v>197</v>
      </c>
    </row>
    <row r="1768" spans="1:12" x14ac:dyDescent="0.4">
      <c r="A1768" t="s">
        <v>3648</v>
      </c>
      <c r="B1768">
        <v>100</v>
      </c>
      <c r="C1768" t="s">
        <v>1380</v>
      </c>
      <c r="D1768">
        <v>5</v>
      </c>
      <c r="E1768">
        <v>0.31</v>
      </c>
      <c r="F1768">
        <v>0.2</v>
      </c>
      <c r="G1768">
        <v>2019</v>
      </c>
      <c r="H1768" t="s">
        <v>928</v>
      </c>
      <c r="I1768" t="s">
        <v>6615</v>
      </c>
      <c r="L1768" t="s">
        <v>197</v>
      </c>
    </row>
    <row r="1769" spans="1:12" x14ac:dyDescent="0.4">
      <c r="A1769" t="s">
        <v>3666</v>
      </c>
      <c r="B1769">
        <v>100</v>
      </c>
      <c r="C1769" t="s">
        <v>1380</v>
      </c>
      <c r="D1769">
        <v>5</v>
      </c>
      <c r="E1769">
        <v>0.31</v>
      </c>
      <c r="F1769">
        <v>0.2</v>
      </c>
      <c r="G1769">
        <v>2019</v>
      </c>
      <c r="H1769" t="s">
        <v>928</v>
      </c>
      <c r="I1769" t="s">
        <v>6615</v>
      </c>
      <c r="L1769" t="s">
        <v>197</v>
      </c>
    </row>
    <row r="1770" spans="1:12" x14ac:dyDescent="0.4">
      <c r="A1770" t="s">
        <v>2105</v>
      </c>
      <c r="B1770">
        <v>100</v>
      </c>
      <c r="C1770" t="s">
        <v>1380</v>
      </c>
      <c r="D1770">
        <v>5</v>
      </c>
      <c r="E1770">
        <v>0.31</v>
      </c>
      <c r="F1770">
        <v>0.9</v>
      </c>
      <c r="G1770">
        <v>2019</v>
      </c>
      <c r="H1770" t="s">
        <v>928</v>
      </c>
      <c r="I1770" t="s">
        <v>6615</v>
      </c>
      <c r="L1770" t="s">
        <v>197</v>
      </c>
    </row>
    <row r="1771" spans="1:12" x14ac:dyDescent="0.4">
      <c r="A1771" t="s">
        <v>2109</v>
      </c>
      <c r="B1771">
        <v>100</v>
      </c>
      <c r="C1771" t="s">
        <v>1380</v>
      </c>
      <c r="D1771">
        <v>5</v>
      </c>
      <c r="E1771">
        <v>0.31</v>
      </c>
      <c r="F1771">
        <v>0.8</v>
      </c>
      <c r="G1771">
        <v>2019</v>
      </c>
      <c r="H1771" t="s">
        <v>928</v>
      </c>
      <c r="I1771" t="s">
        <v>6615</v>
      </c>
      <c r="L1771" t="s">
        <v>197</v>
      </c>
    </row>
    <row r="1772" spans="1:12" x14ac:dyDescent="0.4">
      <c r="A1772" t="s">
        <v>3649</v>
      </c>
      <c r="B1772">
        <v>100</v>
      </c>
      <c r="C1772" t="s">
        <v>1380</v>
      </c>
      <c r="D1772">
        <v>5</v>
      </c>
      <c r="E1772">
        <v>0.31</v>
      </c>
      <c r="F1772">
        <v>0.3</v>
      </c>
      <c r="G1772">
        <v>2019</v>
      </c>
      <c r="H1772" t="s">
        <v>928</v>
      </c>
      <c r="I1772" t="s">
        <v>6615</v>
      </c>
      <c r="L1772" t="s">
        <v>197</v>
      </c>
    </row>
    <row r="1773" spans="1:12" x14ac:dyDescent="0.4">
      <c r="A1773" t="s">
        <v>3655</v>
      </c>
      <c r="B1773">
        <v>100</v>
      </c>
      <c r="C1773" t="s">
        <v>1380</v>
      </c>
      <c r="D1773">
        <v>5</v>
      </c>
      <c r="E1773">
        <v>0.31</v>
      </c>
      <c r="F1773">
        <v>0.8</v>
      </c>
      <c r="G1773">
        <v>2019</v>
      </c>
      <c r="H1773" t="s">
        <v>928</v>
      </c>
      <c r="I1773" t="s">
        <v>6615</v>
      </c>
      <c r="L1773" t="s">
        <v>197</v>
      </c>
    </row>
    <row r="1774" spans="1:12" x14ac:dyDescent="0.4">
      <c r="A1774" t="s">
        <v>3636</v>
      </c>
      <c r="B1774">
        <v>100</v>
      </c>
      <c r="C1774" t="s">
        <v>1380</v>
      </c>
      <c r="D1774">
        <v>5</v>
      </c>
      <c r="E1774">
        <v>0.31</v>
      </c>
      <c r="F1774">
        <v>0.3</v>
      </c>
      <c r="G1774">
        <v>2019</v>
      </c>
      <c r="H1774" t="s">
        <v>928</v>
      </c>
      <c r="I1774" t="s">
        <v>6615</v>
      </c>
      <c r="L1774" t="s">
        <v>197</v>
      </c>
    </row>
    <row r="1775" spans="1:12" x14ac:dyDescent="0.4">
      <c r="A1775" t="s">
        <v>5839</v>
      </c>
      <c r="B1775">
        <v>30</v>
      </c>
      <c r="C1775" t="s">
        <v>6855</v>
      </c>
      <c r="D1775">
        <v>2</v>
      </c>
      <c r="E1775">
        <v>-3.1920000000000002</v>
      </c>
      <c r="F1775">
        <v>1.7</v>
      </c>
      <c r="G1775">
        <v>2019</v>
      </c>
      <c r="H1775" t="s">
        <v>928</v>
      </c>
      <c r="I1775" t="s">
        <v>6615</v>
      </c>
      <c r="L1775" t="s">
        <v>197</v>
      </c>
    </row>
    <row r="1776" spans="1:12" x14ac:dyDescent="0.4">
      <c r="A1776" t="s">
        <v>3659</v>
      </c>
      <c r="B1776">
        <v>100</v>
      </c>
      <c r="C1776" t="s">
        <v>1380</v>
      </c>
      <c r="D1776">
        <v>5</v>
      </c>
      <c r="E1776">
        <v>0.31</v>
      </c>
      <c r="F1776">
        <v>0.3</v>
      </c>
      <c r="G1776">
        <v>2019</v>
      </c>
      <c r="H1776" t="s">
        <v>928</v>
      </c>
      <c r="I1776" t="s">
        <v>6615</v>
      </c>
      <c r="L1776" t="s">
        <v>197</v>
      </c>
    </row>
    <row r="1777" spans="1:12" x14ac:dyDescent="0.4">
      <c r="A1777" t="s">
        <v>5840</v>
      </c>
      <c r="B1777">
        <v>100</v>
      </c>
      <c r="C1777" t="s">
        <v>1380</v>
      </c>
      <c r="D1777">
        <v>5</v>
      </c>
      <c r="E1777">
        <v>0.31</v>
      </c>
      <c r="F1777">
        <v>0.5</v>
      </c>
      <c r="G1777">
        <v>2019</v>
      </c>
      <c r="H1777" t="s">
        <v>928</v>
      </c>
      <c r="I1777" t="s">
        <v>6615</v>
      </c>
      <c r="L1777" t="s">
        <v>197</v>
      </c>
    </row>
    <row r="1778" spans="1:12" x14ac:dyDescent="0.4">
      <c r="A1778" t="s">
        <v>3667</v>
      </c>
      <c r="B1778">
        <v>100</v>
      </c>
      <c r="C1778" t="s">
        <v>1380</v>
      </c>
      <c r="D1778">
        <v>5</v>
      </c>
      <c r="E1778">
        <v>0.31</v>
      </c>
      <c r="F1778">
        <v>0.2</v>
      </c>
      <c r="G1778">
        <v>2019</v>
      </c>
      <c r="H1778" t="s">
        <v>928</v>
      </c>
      <c r="I1778" t="s">
        <v>6615</v>
      </c>
      <c r="L1778" t="s">
        <v>197</v>
      </c>
    </row>
    <row r="1779" spans="1:12" x14ac:dyDescent="0.4">
      <c r="A1779" t="s">
        <v>3642</v>
      </c>
      <c r="B1779">
        <v>100</v>
      </c>
      <c r="C1779" t="s">
        <v>1380</v>
      </c>
      <c r="D1779">
        <v>5</v>
      </c>
      <c r="E1779">
        <v>0.31</v>
      </c>
      <c r="F1779">
        <v>0.3</v>
      </c>
      <c r="G1779">
        <v>2019</v>
      </c>
      <c r="H1779" t="s">
        <v>928</v>
      </c>
      <c r="I1779" t="s">
        <v>6615</v>
      </c>
      <c r="L1779" t="s">
        <v>197</v>
      </c>
    </row>
    <row r="1780" spans="1:12" x14ac:dyDescent="0.4">
      <c r="A1780" t="s">
        <v>3646</v>
      </c>
      <c r="B1780">
        <v>100</v>
      </c>
      <c r="C1780" t="s">
        <v>1380</v>
      </c>
      <c r="D1780">
        <v>5</v>
      </c>
      <c r="E1780">
        <v>0.31</v>
      </c>
      <c r="F1780">
        <v>0.2</v>
      </c>
      <c r="G1780">
        <v>2019</v>
      </c>
      <c r="H1780" t="s">
        <v>928</v>
      </c>
      <c r="I1780" t="s">
        <v>6615</v>
      </c>
      <c r="L1780" t="s">
        <v>197</v>
      </c>
    </row>
    <row r="1781" spans="1:12" x14ac:dyDescent="0.4">
      <c r="A1781" t="s">
        <v>3640</v>
      </c>
      <c r="B1781">
        <v>30</v>
      </c>
      <c r="C1781" t="s">
        <v>6855</v>
      </c>
      <c r="D1781">
        <v>2</v>
      </c>
      <c r="E1781">
        <v>-3.1920000000000002</v>
      </c>
      <c r="F1781">
        <v>1.7</v>
      </c>
      <c r="G1781">
        <v>2019</v>
      </c>
      <c r="H1781" t="s">
        <v>928</v>
      </c>
      <c r="I1781" t="s">
        <v>6615</v>
      </c>
      <c r="L1781" t="s">
        <v>197</v>
      </c>
    </row>
    <row r="1782" spans="1:12" x14ac:dyDescent="0.4">
      <c r="A1782" t="s">
        <v>5841</v>
      </c>
      <c r="B1782">
        <v>100</v>
      </c>
      <c r="C1782" t="s">
        <v>1380</v>
      </c>
      <c r="D1782">
        <v>5</v>
      </c>
      <c r="E1782">
        <v>0.31</v>
      </c>
      <c r="F1782">
        <v>0.5</v>
      </c>
      <c r="G1782">
        <v>2019</v>
      </c>
      <c r="H1782" t="s">
        <v>928</v>
      </c>
      <c r="I1782" t="s">
        <v>6615</v>
      </c>
      <c r="L1782" t="s">
        <v>197</v>
      </c>
    </row>
    <row r="1783" spans="1:12" x14ac:dyDescent="0.4">
      <c r="A1783" t="s">
        <v>3660</v>
      </c>
      <c r="B1783">
        <v>100</v>
      </c>
      <c r="C1783" t="s">
        <v>1380</v>
      </c>
      <c r="D1783">
        <v>5</v>
      </c>
      <c r="E1783">
        <v>0.31</v>
      </c>
      <c r="F1783">
        <v>0.9</v>
      </c>
      <c r="G1783">
        <v>2019</v>
      </c>
      <c r="H1783" t="s">
        <v>928</v>
      </c>
      <c r="I1783" t="s">
        <v>6615</v>
      </c>
      <c r="L1783" t="s">
        <v>197</v>
      </c>
    </row>
    <row r="1784" spans="1:12" x14ac:dyDescent="0.4">
      <c r="A1784" t="s">
        <v>2106</v>
      </c>
      <c r="B1784">
        <v>100</v>
      </c>
      <c r="C1784" t="s">
        <v>1380</v>
      </c>
      <c r="D1784">
        <v>5</v>
      </c>
      <c r="E1784">
        <v>0.31</v>
      </c>
      <c r="F1784">
        <v>0.4</v>
      </c>
      <c r="G1784">
        <v>2019</v>
      </c>
      <c r="H1784" t="s">
        <v>928</v>
      </c>
      <c r="I1784" t="s">
        <v>6615</v>
      </c>
      <c r="L1784" t="s">
        <v>197</v>
      </c>
    </row>
    <row r="1785" spans="1:12" x14ac:dyDescent="0.4">
      <c r="A1785" t="s">
        <v>2107</v>
      </c>
      <c r="B1785">
        <v>100</v>
      </c>
      <c r="C1785" t="s">
        <v>1380</v>
      </c>
      <c r="D1785">
        <v>5</v>
      </c>
      <c r="E1785">
        <v>0.31</v>
      </c>
      <c r="F1785">
        <v>0.4</v>
      </c>
      <c r="G1785">
        <v>2019</v>
      </c>
      <c r="H1785" t="s">
        <v>928</v>
      </c>
      <c r="I1785" t="s">
        <v>6615</v>
      </c>
      <c r="L1785" t="s">
        <v>197</v>
      </c>
    </row>
    <row r="1786" spans="1:12" x14ac:dyDescent="0.4">
      <c r="A1786" t="s">
        <v>3663</v>
      </c>
      <c r="B1786">
        <v>100</v>
      </c>
      <c r="C1786" t="s">
        <v>1380</v>
      </c>
      <c r="D1786">
        <v>5</v>
      </c>
      <c r="E1786">
        <v>0.31</v>
      </c>
      <c r="F1786">
        <v>0.9</v>
      </c>
      <c r="G1786">
        <v>2019</v>
      </c>
      <c r="H1786" t="s">
        <v>928</v>
      </c>
      <c r="I1786" t="s">
        <v>6615</v>
      </c>
      <c r="L1786" t="s">
        <v>197</v>
      </c>
    </row>
    <row r="1787" spans="1:12" x14ac:dyDescent="0.4">
      <c r="A1787" t="s">
        <v>2108</v>
      </c>
      <c r="B1787">
        <v>100</v>
      </c>
      <c r="C1787" t="s">
        <v>1380</v>
      </c>
      <c r="D1787">
        <v>5</v>
      </c>
      <c r="E1787">
        <v>0.31</v>
      </c>
      <c r="F1787">
        <v>0.3</v>
      </c>
      <c r="G1787">
        <v>2019</v>
      </c>
      <c r="H1787" t="s">
        <v>928</v>
      </c>
      <c r="I1787" t="s">
        <v>6615</v>
      </c>
      <c r="L1787" t="s">
        <v>197</v>
      </c>
    </row>
    <row r="1788" spans="1:12" x14ac:dyDescent="0.4">
      <c r="A1788" t="s">
        <v>3638</v>
      </c>
      <c r="B1788">
        <v>80</v>
      </c>
      <c r="C1788" t="s">
        <v>5710</v>
      </c>
      <c r="D1788">
        <v>5</v>
      </c>
      <c r="E1788">
        <v>-0.69</v>
      </c>
      <c r="F1788">
        <v>1.2</v>
      </c>
      <c r="G1788">
        <v>2019</v>
      </c>
      <c r="H1788" t="s">
        <v>928</v>
      </c>
      <c r="I1788" t="s">
        <v>6615</v>
      </c>
      <c r="L1788" t="s">
        <v>197</v>
      </c>
    </row>
    <row r="1789" spans="1:12" x14ac:dyDescent="0.4">
      <c r="A1789" t="s">
        <v>3652</v>
      </c>
      <c r="B1789">
        <v>100</v>
      </c>
      <c r="C1789" t="s">
        <v>1380</v>
      </c>
      <c r="D1789">
        <v>5</v>
      </c>
      <c r="E1789">
        <v>0.31</v>
      </c>
      <c r="F1789">
        <v>0.3</v>
      </c>
      <c r="G1789">
        <v>2019</v>
      </c>
      <c r="H1789" t="s">
        <v>928</v>
      </c>
      <c r="I1789" t="s">
        <v>6615</v>
      </c>
      <c r="L1789" t="s">
        <v>197</v>
      </c>
    </row>
    <row r="1790" spans="1:12" x14ac:dyDescent="0.4">
      <c r="A1790" t="s">
        <v>3662</v>
      </c>
      <c r="B1790">
        <v>100</v>
      </c>
      <c r="C1790" t="s">
        <v>1380</v>
      </c>
      <c r="D1790">
        <v>5</v>
      </c>
      <c r="E1790">
        <v>0.31</v>
      </c>
      <c r="F1790">
        <v>0.4</v>
      </c>
      <c r="G1790">
        <v>2019</v>
      </c>
      <c r="H1790" t="s">
        <v>928</v>
      </c>
      <c r="I1790" t="s">
        <v>6615</v>
      </c>
      <c r="L1790" t="s">
        <v>197</v>
      </c>
    </row>
    <row r="1791" spans="1:12" x14ac:dyDescent="0.4">
      <c r="A1791" t="s">
        <v>3653</v>
      </c>
      <c r="B1791">
        <v>100</v>
      </c>
      <c r="C1791" t="s">
        <v>1380</v>
      </c>
      <c r="D1791">
        <v>5</v>
      </c>
      <c r="E1791">
        <v>0.31</v>
      </c>
      <c r="F1791">
        <v>0.2</v>
      </c>
      <c r="G1791">
        <v>2019</v>
      </c>
      <c r="H1791" t="s">
        <v>928</v>
      </c>
      <c r="I1791" t="s">
        <v>6615</v>
      </c>
      <c r="L1791" t="s">
        <v>197</v>
      </c>
    </row>
    <row r="1792" spans="1:12" x14ac:dyDescent="0.4">
      <c r="A1792" t="s">
        <v>2112</v>
      </c>
      <c r="B1792">
        <v>93.8</v>
      </c>
      <c r="C1792" t="s">
        <v>197</v>
      </c>
      <c r="D1792">
        <v>5</v>
      </c>
    </row>
    <row r="1793" spans="1:11" x14ac:dyDescent="0.4">
      <c r="A1793" t="s">
        <v>2113</v>
      </c>
      <c r="B1793">
        <v>100</v>
      </c>
      <c r="C1793" t="s">
        <v>197</v>
      </c>
      <c r="D1793">
        <v>5</v>
      </c>
    </row>
    <row r="1794" spans="1:11" x14ac:dyDescent="0.4">
      <c r="A1794" t="s">
        <v>2114</v>
      </c>
      <c r="B1794">
        <v>67.099999999999994</v>
      </c>
      <c r="C1794" t="s">
        <v>197</v>
      </c>
      <c r="D1794">
        <v>4</v>
      </c>
    </row>
    <row r="1795" spans="1:11" x14ac:dyDescent="0.4">
      <c r="A1795" t="s">
        <v>2115</v>
      </c>
      <c r="B1795">
        <v>80</v>
      </c>
      <c r="C1795" t="s">
        <v>197</v>
      </c>
      <c r="D1795">
        <v>5</v>
      </c>
    </row>
    <row r="1796" spans="1:11" x14ac:dyDescent="0.4">
      <c r="A1796" t="s">
        <v>2116</v>
      </c>
      <c r="B1796">
        <v>100</v>
      </c>
      <c r="C1796" t="s">
        <v>197</v>
      </c>
      <c r="D1796">
        <v>5</v>
      </c>
    </row>
    <row r="1797" spans="1:11" x14ac:dyDescent="0.4">
      <c r="A1797" t="s">
        <v>2576</v>
      </c>
      <c r="B1797">
        <v>100</v>
      </c>
      <c r="C1797" t="s">
        <v>197</v>
      </c>
      <c r="D1797">
        <v>5</v>
      </c>
    </row>
    <row r="1798" spans="1:11" x14ac:dyDescent="0.4">
      <c r="A1798" t="s">
        <v>2577</v>
      </c>
      <c r="B1798">
        <v>100</v>
      </c>
      <c r="C1798" t="s">
        <v>197</v>
      </c>
      <c r="D1798">
        <v>5</v>
      </c>
    </row>
    <row r="1799" spans="1:11" x14ac:dyDescent="0.4">
      <c r="A1799" t="s">
        <v>7342</v>
      </c>
      <c r="B1799">
        <v>95</v>
      </c>
      <c r="C1799" t="s">
        <v>197</v>
      </c>
      <c r="D1799">
        <v>5</v>
      </c>
    </row>
    <row r="1800" spans="1:11" x14ac:dyDescent="0.4">
      <c r="A1800" t="s">
        <v>7343</v>
      </c>
      <c r="B1800">
        <v>100</v>
      </c>
      <c r="C1800" t="s">
        <v>197</v>
      </c>
      <c r="D1800">
        <v>5</v>
      </c>
    </row>
    <row r="1801" spans="1:11" x14ac:dyDescent="0.4">
      <c r="A1801" t="s">
        <v>7344</v>
      </c>
      <c r="B1801">
        <v>90</v>
      </c>
      <c r="C1801" t="s">
        <v>197</v>
      </c>
      <c r="D1801">
        <v>5</v>
      </c>
    </row>
    <row r="1802" spans="1:11" x14ac:dyDescent="0.4">
      <c r="A1802" t="s">
        <v>3707</v>
      </c>
      <c r="B1802">
        <v>0</v>
      </c>
      <c r="C1802" t="s">
        <v>6581</v>
      </c>
      <c r="D1802">
        <v>1</v>
      </c>
      <c r="E1802">
        <v>-0.39900000000000002</v>
      </c>
      <c r="F1802">
        <v>0</v>
      </c>
      <c r="G1802">
        <v>2024</v>
      </c>
      <c r="H1802" t="s">
        <v>928</v>
      </c>
      <c r="I1802" t="s">
        <v>6063</v>
      </c>
      <c r="J1802" t="s">
        <v>8111</v>
      </c>
      <c r="K1802" t="s">
        <v>9201</v>
      </c>
    </row>
    <row r="1803" spans="1:11" x14ac:dyDescent="0.4">
      <c r="A1803" t="s">
        <v>3705</v>
      </c>
      <c r="B1803">
        <v>0</v>
      </c>
      <c r="C1803" t="s">
        <v>6581</v>
      </c>
      <c r="D1803">
        <v>1</v>
      </c>
      <c r="E1803">
        <v>-0.39900000000000002</v>
      </c>
      <c r="F1803">
        <v>0</v>
      </c>
      <c r="G1803">
        <v>2024</v>
      </c>
      <c r="H1803" t="s">
        <v>928</v>
      </c>
      <c r="I1803" t="s">
        <v>6063</v>
      </c>
      <c r="J1803" t="s">
        <v>8112</v>
      </c>
      <c r="K1803" t="s">
        <v>8055</v>
      </c>
    </row>
    <row r="1804" spans="1:11" x14ac:dyDescent="0.4">
      <c r="A1804" t="s">
        <v>3711</v>
      </c>
      <c r="B1804">
        <v>0</v>
      </c>
      <c r="C1804" t="s">
        <v>6581</v>
      </c>
      <c r="D1804">
        <v>1</v>
      </c>
      <c r="E1804">
        <v>-0.39900000000000002</v>
      </c>
      <c r="F1804">
        <v>0</v>
      </c>
      <c r="G1804">
        <v>2024</v>
      </c>
      <c r="H1804" t="s">
        <v>928</v>
      </c>
      <c r="I1804" t="s">
        <v>6063</v>
      </c>
      <c r="J1804" t="s">
        <v>8113</v>
      </c>
      <c r="K1804" t="s">
        <v>8114</v>
      </c>
    </row>
    <row r="1805" spans="1:11" x14ac:dyDescent="0.4">
      <c r="A1805" t="s">
        <v>3735</v>
      </c>
      <c r="B1805">
        <v>0</v>
      </c>
      <c r="C1805" t="s">
        <v>6581</v>
      </c>
      <c r="D1805">
        <v>1</v>
      </c>
      <c r="E1805">
        <v>-0.39900000000000002</v>
      </c>
      <c r="F1805">
        <v>0</v>
      </c>
      <c r="G1805">
        <v>2024</v>
      </c>
      <c r="H1805" t="s">
        <v>928</v>
      </c>
      <c r="I1805" t="s">
        <v>6063</v>
      </c>
      <c r="J1805" t="s">
        <v>8115</v>
      </c>
      <c r="K1805" t="s">
        <v>9202</v>
      </c>
    </row>
    <row r="1806" spans="1:11" x14ac:dyDescent="0.4">
      <c r="A1806" t="s">
        <v>2128</v>
      </c>
      <c r="B1806">
        <v>0</v>
      </c>
      <c r="C1806" t="s">
        <v>6581</v>
      </c>
      <c r="D1806">
        <v>1</v>
      </c>
      <c r="E1806">
        <v>-0.39900000000000002</v>
      </c>
      <c r="F1806">
        <v>0</v>
      </c>
      <c r="G1806">
        <v>2024</v>
      </c>
      <c r="H1806" t="s">
        <v>928</v>
      </c>
      <c r="I1806" t="s">
        <v>6063</v>
      </c>
      <c r="J1806" t="s">
        <v>8116</v>
      </c>
      <c r="K1806" t="s">
        <v>7602</v>
      </c>
    </row>
    <row r="1807" spans="1:11" x14ac:dyDescent="0.4">
      <c r="A1807" t="s">
        <v>3731</v>
      </c>
      <c r="B1807">
        <v>100</v>
      </c>
      <c r="C1807" t="s">
        <v>1380</v>
      </c>
      <c r="D1807">
        <v>5</v>
      </c>
      <c r="E1807">
        <v>2.4540000000000002</v>
      </c>
      <c r="F1807">
        <v>1</v>
      </c>
      <c r="G1807">
        <v>2024</v>
      </c>
      <c r="H1807" t="s">
        <v>928</v>
      </c>
      <c r="I1807" t="s">
        <v>6063</v>
      </c>
      <c r="J1807" t="s">
        <v>8117</v>
      </c>
      <c r="K1807" t="s">
        <v>6807</v>
      </c>
    </row>
    <row r="1808" spans="1:11" x14ac:dyDescent="0.4">
      <c r="A1808" t="s">
        <v>3715</v>
      </c>
      <c r="B1808">
        <v>100</v>
      </c>
      <c r="C1808" t="s">
        <v>1380</v>
      </c>
      <c r="D1808">
        <v>5</v>
      </c>
      <c r="E1808">
        <v>2.4540000000000002</v>
      </c>
      <c r="F1808">
        <v>1</v>
      </c>
      <c r="G1808">
        <v>2024</v>
      </c>
      <c r="H1808" t="s">
        <v>928</v>
      </c>
      <c r="I1808" t="s">
        <v>6063</v>
      </c>
      <c r="J1808" t="s">
        <v>8118</v>
      </c>
      <c r="K1808" t="s">
        <v>6808</v>
      </c>
    </row>
    <row r="1809" spans="1:11" x14ac:dyDescent="0.4">
      <c r="A1809" t="s">
        <v>3709</v>
      </c>
      <c r="B1809">
        <v>0</v>
      </c>
      <c r="C1809" t="s">
        <v>6581</v>
      </c>
      <c r="D1809">
        <v>1</v>
      </c>
      <c r="E1809">
        <v>-0.39900000000000002</v>
      </c>
      <c r="F1809">
        <v>0</v>
      </c>
      <c r="G1809">
        <v>2024</v>
      </c>
      <c r="H1809" t="s">
        <v>928</v>
      </c>
      <c r="I1809" t="s">
        <v>6063</v>
      </c>
      <c r="J1809" t="s">
        <v>8119</v>
      </c>
      <c r="K1809" t="s">
        <v>9203</v>
      </c>
    </row>
    <row r="1810" spans="1:11" x14ac:dyDescent="0.4">
      <c r="A1810" t="s">
        <v>3721</v>
      </c>
      <c r="B1810">
        <v>100</v>
      </c>
      <c r="C1810" t="s">
        <v>1380</v>
      </c>
      <c r="D1810">
        <v>5</v>
      </c>
      <c r="E1810">
        <v>2.4540000000000002</v>
      </c>
      <c r="F1810">
        <v>1</v>
      </c>
      <c r="G1810">
        <v>2024</v>
      </c>
      <c r="H1810" t="s">
        <v>928</v>
      </c>
      <c r="I1810" t="s">
        <v>6063</v>
      </c>
      <c r="J1810" t="s">
        <v>8120</v>
      </c>
      <c r="K1810" t="s">
        <v>8064</v>
      </c>
    </row>
    <row r="1811" spans="1:11" x14ac:dyDescent="0.4">
      <c r="A1811" t="s">
        <v>3713</v>
      </c>
      <c r="B1811">
        <v>0</v>
      </c>
      <c r="C1811" t="s">
        <v>6581</v>
      </c>
      <c r="D1811">
        <v>1</v>
      </c>
      <c r="E1811">
        <v>-0.39900000000000002</v>
      </c>
      <c r="F1811">
        <v>0</v>
      </c>
      <c r="G1811">
        <v>2024</v>
      </c>
      <c r="H1811" t="s">
        <v>928</v>
      </c>
      <c r="I1811" t="s">
        <v>6063</v>
      </c>
      <c r="J1811" t="s">
        <v>6818</v>
      </c>
      <c r="K1811" t="s">
        <v>9180</v>
      </c>
    </row>
    <row r="1812" spans="1:11" x14ac:dyDescent="0.4">
      <c r="A1812" t="s">
        <v>5978</v>
      </c>
      <c r="B1812">
        <v>0</v>
      </c>
      <c r="C1812" t="s">
        <v>6581</v>
      </c>
      <c r="D1812">
        <v>1</v>
      </c>
      <c r="E1812">
        <v>-0.39900000000000002</v>
      </c>
      <c r="F1812">
        <v>0</v>
      </c>
      <c r="G1812">
        <v>2024</v>
      </c>
      <c r="H1812" t="s">
        <v>928</v>
      </c>
      <c r="I1812" t="s">
        <v>6063</v>
      </c>
      <c r="J1812" t="s">
        <v>8121</v>
      </c>
      <c r="K1812" t="s">
        <v>9204</v>
      </c>
    </row>
    <row r="1813" spans="1:11" x14ac:dyDescent="0.4">
      <c r="A1813" t="s">
        <v>3727</v>
      </c>
      <c r="B1813">
        <v>0</v>
      </c>
      <c r="C1813" t="s">
        <v>6581</v>
      </c>
      <c r="D1813">
        <v>1</v>
      </c>
      <c r="E1813">
        <v>-0.39900000000000002</v>
      </c>
      <c r="F1813">
        <v>0</v>
      </c>
      <c r="G1813">
        <v>2024</v>
      </c>
      <c r="H1813" t="s">
        <v>928</v>
      </c>
      <c r="I1813" t="s">
        <v>6063</v>
      </c>
      <c r="J1813" t="s">
        <v>8122</v>
      </c>
      <c r="K1813" t="s">
        <v>9205</v>
      </c>
    </row>
    <row r="1814" spans="1:11" x14ac:dyDescent="0.4">
      <c r="A1814" t="s">
        <v>2129</v>
      </c>
      <c r="B1814">
        <v>0</v>
      </c>
      <c r="C1814" t="s">
        <v>6581</v>
      </c>
      <c r="D1814">
        <v>1</v>
      </c>
      <c r="E1814">
        <v>-0.39900000000000002</v>
      </c>
      <c r="F1814">
        <v>0</v>
      </c>
      <c r="G1814">
        <v>2024</v>
      </c>
      <c r="H1814" t="s">
        <v>928</v>
      </c>
      <c r="I1814" t="s">
        <v>6063</v>
      </c>
      <c r="J1814" t="s">
        <v>8123</v>
      </c>
      <c r="K1814" t="s">
        <v>9206</v>
      </c>
    </row>
    <row r="1815" spans="1:11" x14ac:dyDescent="0.4">
      <c r="A1815" t="s">
        <v>2138</v>
      </c>
      <c r="B1815">
        <v>0</v>
      </c>
      <c r="C1815" t="s">
        <v>6581</v>
      </c>
      <c r="D1815">
        <v>1</v>
      </c>
      <c r="E1815">
        <v>-0.39900000000000002</v>
      </c>
      <c r="F1815">
        <v>0</v>
      </c>
      <c r="G1815">
        <v>2024</v>
      </c>
      <c r="H1815" t="s">
        <v>928</v>
      </c>
      <c r="I1815" t="s">
        <v>6063</v>
      </c>
      <c r="J1815" t="s">
        <v>8124</v>
      </c>
      <c r="K1815" t="s">
        <v>8125</v>
      </c>
    </row>
    <row r="1816" spans="1:11" x14ac:dyDescent="0.4">
      <c r="A1816" t="s">
        <v>3720</v>
      </c>
      <c r="B1816">
        <v>0</v>
      </c>
      <c r="C1816" t="s">
        <v>6581</v>
      </c>
      <c r="D1816">
        <v>1</v>
      </c>
      <c r="E1816">
        <v>-0.39900000000000002</v>
      </c>
      <c r="F1816">
        <v>0</v>
      </c>
      <c r="G1816">
        <v>2024</v>
      </c>
      <c r="H1816" t="s">
        <v>928</v>
      </c>
      <c r="I1816" t="s">
        <v>6063</v>
      </c>
      <c r="J1816" t="s">
        <v>8126</v>
      </c>
      <c r="K1816" t="s">
        <v>9207</v>
      </c>
    </row>
    <row r="1817" spans="1:11" x14ac:dyDescent="0.4">
      <c r="A1817" t="s">
        <v>3734</v>
      </c>
      <c r="B1817">
        <v>0</v>
      </c>
      <c r="C1817" t="s">
        <v>6581</v>
      </c>
      <c r="D1817">
        <v>1</v>
      </c>
      <c r="E1817">
        <v>-0.39900000000000002</v>
      </c>
      <c r="F1817">
        <v>0</v>
      </c>
      <c r="G1817">
        <v>2024</v>
      </c>
      <c r="H1817" t="s">
        <v>928</v>
      </c>
      <c r="I1817" t="s">
        <v>6063</v>
      </c>
      <c r="J1817" t="s">
        <v>8127</v>
      </c>
      <c r="K1817" t="s">
        <v>9208</v>
      </c>
    </row>
    <row r="1818" spans="1:11" x14ac:dyDescent="0.4">
      <c r="A1818" t="s">
        <v>2130</v>
      </c>
      <c r="B1818">
        <v>100</v>
      </c>
      <c r="C1818" t="s">
        <v>1380</v>
      </c>
      <c r="D1818">
        <v>5</v>
      </c>
      <c r="E1818">
        <v>2.4540000000000002</v>
      </c>
      <c r="F1818">
        <v>1</v>
      </c>
      <c r="G1818">
        <v>2024</v>
      </c>
      <c r="H1818" t="s">
        <v>928</v>
      </c>
      <c r="I1818" t="s">
        <v>6063</v>
      </c>
      <c r="J1818" t="s">
        <v>8128</v>
      </c>
      <c r="K1818" t="s">
        <v>6819</v>
      </c>
    </row>
    <row r="1819" spans="1:11" x14ac:dyDescent="0.4">
      <c r="A1819" t="s">
        <v>2137</v>
      </c>
      <c r="B1819">
        <v>0</v>
      </c>
      <c r="C1819" t="s">
        <v>6581</v>
      </c>
      <c r="D1819">
        <v>1</v>
      </c>
      <c r="E1819">
        <v>-0.39900000000000002</v>
      </c>
      <c r="F1819">
        <v>0</v>
      </c>
      <c r="G1819">
        <v>2024</v>
      </c>
      <c r="H1819" t="s">
        <v>928</v>
      </c>
      <c r="I1819" t="s">
        <v>6063</v>
      </c>
      <c r="J1819" t="s">
        <v>8129</v>
      </c>
      <c r="K1819" t="s">
        <v>9209</v>
      </c>
    </row>
    <row r="1820" spans="1:11" x14ac:dyDescent="0.4">
      <c r="A1820" t="s">
        <v>2131</v>
      </c>
      <c r="B1820">
        <v>100</v>
      </c>
      <c r="C1820" t="s">
        <v>1380</v>
      </c>
      <c r="D1820">
        <v>5</v>
      </c>
      <c r="E1820">
        <v>2.4540000000000002</v>
      </c>
      <c r="F1820">
        <v>1</v>
      </c>
      <c r="G1820">
        <v>2024</v>
      </c>
      <c r="H1820" t="s">
        <v>928</v>
      </c>
      <c r="I1820" t="s">
        <v>6063</v>
      </c>
      <c r="J1820" t="s">
        <v>8130</v>
      </c>
      <c r="K1820" t="s">
        <v>6809</v>
      </c>
    </row>
    <row r="1821" spans="1:11" x14ac:dyDescent="0.4">
      <c r="A1821" t="s">
        <v>3704</v>
      </c>
      <c r="B1821">
        <v>0</v>
      </c>
      <c r="C1821" t="s">
        <v>6581</v>
      </c>
      <c r="D1821">
        <v>1</v>
      </c>
      <c r="E1821">
        <v>-0.39900000000000002</v>
      </c>
      <c r="F1821">
        <v>0</v>
      </c>
      <c r="G1821">
        <v>2024</v>
      </c>
      <c r="H1821" t="s">
        <v>928</v>
      </c>
      <c r="I1821" t="s">
        <v>6063</v>
      </c>
      <c r="J1821" t="s">
        <v>8131</v>
      </c>
      <c r="K1821" t="s">
        <v>9186</v>
      </c>
    </row>
    <row r="1822" spans="1:11" x14ac:dyDescent="0.4">
      <c r="A1822" t="s">
        <v>3724</v>
      </c>
      <c r="B1822">
        <v>0</v>
      </c>
      <c r="C1822" t="s">
        <v>6581</v>
      </c>
      <c r="D1822">
        <v>1</v>
      </c>
      <c r="E1822">
        <v>-0.39900000000000002</v>
      </c>
      <c r="F1822">
        <v>0</v>
      </c>
      <c r="G1822">
        <v>2024</v>
      </c>
      <c r="H1822" t="s">
        <v>928</v>
      </c>
      <c r="I1822" t="s">
        <v>6063</v>
      </c>
      <c r="J1822" t="s">
        <v>8132</v>
      </c>
      <c r="K1822" t="s">
        <v>9210</v>
      </c>
    </row>
    <row r="1823" spans="1:11" x14ac:dyDescent="0.4">
      <c r="A1823" t="s">
        <v>3728</v>
      </c>
      <c r="B1823">
        <v>0</v>
      </c>
      <c r="C1823" t="s">
        <v>6581</v>
      </c>
      <c r="D1823">
        <v>1</v>
      </c>
      <c r="E1823">
        <v>-0.39900000000000002</v>
      </c>
      <c r="F1823">
        <v>0</v>
      </c>
      <c r="G1823">
        <v>2024</v>
      </c>
      <c r="H1823" t="s">
        <v>928</v>
      </c>
      <c r="I1823" t="s">
        <v>6063</v>
      </c>
      <c r="J1823" t="s">
        <v>8133</v>
      </c>
      <c r="K1823" t="s">
        <v>9211</v>
      </c>
    </row>
    <row r="1824" spans="1:11" x14ac:dyDescent="0.4">
      <c r="A1824" t="s">
        <v>3726</v>
      </c>
      <c r="B1824">
        <v>0</v>
      </c>
      <c r="C1824" t="s">
        <v>6581</v>
      </c>
      <c r="D1824">
        <v>1</v>
      </c>
      <c r="E1824">
        <v>-0.39900000000000002</v>
      </c>
      <c r="F1824">
        <v>0</v>
      </c>
      <c r="G1824">
        <v>2024</v>
      </c>
      <c r="H1824" t="s">
        <v>928</v>
      </c>
      <c r="I1824" t="s">
        <v>6063</v>
      </c>
      <c r="J1824" t="s">
        <v>8134</v>
      </c>
      <c r="K1824" t="s">
        <v>9212</v>
      </c>
    </row>
    <row r="1825" spans="1:11" x14ac:dyDescent="0.4">
      <c r="A1825" t="s">
        <v>3714</v>
      </c>
      <c r="B1825">
        <v>0</v>
      </c>
      <c r="C1825" t="s">
        <v>6581</v>
      </c>
      <c r="D1825">
        <v>1</v>
      </c>
      <c r="E1825">
        <v>-0.39900000000000002</v>
      </c>
      <c r="F1825">
        <v>0</v>
      </c>
      <c r="G1825">
        <v>2024</v>
      </c>
      <c r="H1825" t="s">
        <v>928</v>
      </c>
      <c r="I1825" t="s">
        <v>6063</v>
      </c>
      <c r="J1825" t="s">
        <v>8135</v>
      </c>
      <c r="K1825" t="s">
        <v>9213</v>
      </c>
    </row>
    <row r="1826" spans="1:11" x14ac:dyDescent="0.4">
      <c r="A1826" t="s">
        <v>3703</v>
      </c>
      <c r="B1826">
        <v>0</v>
      </c>
      <c r="C1826" t="s">
        <v>6581</v>
      </c>
      <c r="D1826">
        <v>1</v>
      </c>
      <c r="E1826">
        <v>-0.39900000000000002</v>
      </c>
      <c r="F1826">
        <v>0</v>
      </c>
      <c r="G1826">
        <v>2024</v>
      </c>
      <c r="H1826" t="s">
        <v>928</v>
      </c>
      <c r="I1826" t="s">
        <v>6063</v>
      </c>
      <c r="J1826" t="s">
        <v>8136</v>
      </c>
      <c r="K1826" t="s">
        <v>9214</v>
      </c>
    </row>
    <row r="1827" spans="1:11" x14ac:dyDescent="0.4">
      <c r="A1827" t="s">
        <v>3717</v>
      </c>
      <c r="B1827">
        <v>0</v>
      </c>
      <c r="C1827" t="s">
        <v>6581</v>
      </c>
      <c r="D1827">
        <v>1</v>
      </c>
      <c r="E1827">
        <v>-0.39900000000000002</v>
      </c>
      <c r="F1827">
        <v>0</v>
      </c>
      <c r="G1827">
        <v>2024</v>
      </c>
      <c r="H1827" t="s">
        <v>928</v>
      </c>
      <c r="I1827" t="s">
        <v>6063</v>
      </c>
      <c r="J1827" t="s">
        <v>8137</v>
      </c>
      <c r="K1827" t="s">
        <v>8138</v>
      </c>
    </row>
    <row r="1828" spans="1:11" x14ac:dyDescent="0.4">
      <c r="A1828" t="s">
        <v>3718</v>
      </c>
      <c r="B1828">
        <v>0</v>
      </c>
      <c r="C1828" t="s">
        <v>6581</v>
      </c>
      <c r="D1828">
        <v>1</v>
      </c>
      <c r="E1828">
        <v>-0.39900000000000002</v>
      </c>
      <c r="F1828">
        <v>0</v>
      </c>
      <c r="G1828">
        <v>2024</v>
      </c>
      <c r="H1828" t="s">
        <v>928</v>
      </c>
      <c r="I1828" t="s">
        <v>6063</v>
      </c>
      <c r="J1828" t="s">
        <v>8985</v>
      </c>
      <c r="K1828" t="s">
        <v>9192</v>
      </c>
    </row>
    <row r="1829" spans="1:11" x14ac:dyDescent="0.4">
      <c r="A1829" t="s">
        <v>3736</v>
      </c>
      <c r="B1829">
        <v>0</v>
      </c>
      <c r="C1829" t="s">
        <v>6581</v>
      </c>
      <c r="D1829">
        <v>1</v>
      </c>
      <c r="E1829">
        <v>-0.39900000000000002</v>
      </c>
      <c r="F1829">
        <v>0</v>
      </c>
      <c r="G1829">
        <v>2024</v>
      </c>
      <c r="H1829" t="s">
        <v>928</v>
      </c>
      <c r="I1829" t="s">
        <v>6063</v>
      </c>
      <c r="J1829" t="s">
        <v>8139</v>
      </c>
      <c r="K1829" t="s">
        <v>9215</v>
      </c>
    </row>
    <row r="1830" spans="1:11" x14ac:dyDescent="0.4">
      <c r="A1830" t="s">
        <v>2132</v>
      </c>
      <c r="B1830">
        <v>0</v>
      </c>
      <c r="C1830" t="s">
        <v>6581</v>
      </c>
      <c r="D1830">
        <v>1</v>
      </c>
      <c r="E1830">
        <v>-0.39900000000000002</v>
      </c>
      <c r="F1830">
        <v>0</v>
      </c>
      <c r="G1830">
        <v>2024</v>
      </c>
      <c r="H1830" t="s">
        <v>928</v>
      </c>
      <c r="I1830" t="s">
        <v>6063</v>
      </c>
      <c r="J1830" t="s">
        <v>8140</v>
      </c>
      <c r="K1830" t="s">
        <v>9216</v>
      </c>
    </row>
    <row r="1831" spans="1:11" x14ac:dyDescent="0.4">
      <c r="A1831" t="s">
        <v>2136</v>
      </c>
      <c r="B1831">
        <v>0</v>
      </c>
      <c r="C1831" t="s">
        <v>6581</v>
      </c>
      <c r="D1831">
        <v>1</v>
      </c>
      <c r="E1831">
        <v>-0.39900000000000002</v>
      </c>
      <c r="F1831">
        <v>0</v>
      </c>
      <c r="G1831">
        <v>2024</v>
      </c>
      <c r="H1831" t="s">
        <v>928</v>
      </c>
      <c r="I1831" t="s">
        <v>6063</v>
      </c>
      <c r="J1831" t="s">
        <v>8141</v>
      </c>
      <c r="K1831" t="s">
        <v>9194</v>
      </c>
    </row>
    <row r="1832" spans="1:11" x14ac:dyDescent="0.4">
      <c r="A1832" t="s">
        <v>3719</v>
      </c>
      <c r="B1832">
        <v>0</v>
      </c>
      <c r="C1832" t="s">
        <v>6581</v>
      </c>
      <c r="D1832">
        <v>1</v>
      </c>
      <c r="E1832">
        <v>-0.39900000000000002</v>
      </c>
      <c r="F1832">
        <v>0</v>
      </c>
      <c r="G1832">
        <v>2024</v>
      </c>
      <c r="H1832" t="s">
        <v>928</v>
      </c>
      <c r="I1832" t="s">
        <v>6063</v>
      </c>
      <c r="J1832" t="s">
        <v>8142</v>
      </c>
      <c r="K1832" t="s">
        <v>9136</v>
      </c>
    </row>
    <row r="1833" spans="1:11" x14ac:dyDescent="0.4">
      <c r="A1833" t="s">
        <v>3725</v>
      </c>
      <c r="B1833">
        <v>0</v>
      </c>
      <c r="C1833" t="s">
        <v>6581</v>
      </c>
      <c r="D1833">
        <v>1</v>
      </c>
      <c r="E1833">
        <v>-0.39900000000000002</v>
      </c>
      <c r="F1833">
        <v>0</v>
      </c>
      <c r="G1833">
        <v>2024</v>
      </c>
      <c r="H1833" t="s">
        <v>928</v>
      </c>
      <c r="I1833" t="s">
        <v>6063</v>
      </c>
      <c r="J1833" t="s">
        <v>8143</v>
      </c>
      <c r="K1833" t="s">
        <v>9217</v>
      </c>
    </row>
    <row r="1834" spans="1:11" x14ac:dyDescent="0.4">
      <c r="A1834" t="s">
        <v>3706</v>
      </c>
      <c r="B1834">
        <v>0</v>
      </c>
      <c r="C1834" t="s">
        <v>6581</v>
      </c>
      <c r="D1834">
        <v>1</v>
      </c>
      <c r="E1834">
        <v>-0.39900000000000002</v>
      </c>
      <c r="F1834">
        <v>0</v>
      </c>
      <c r="G1834">
        <v>2024</v>
      </c>
      <c r="H1834" t="s">
        <v>928</v>
      </c>
      <c r="I1834" t="s">
        <v>6063</v>
      </c>
      <c r="J1834" t="s">
        <v>8144</v>
      </c>
      <c r="K1834" t="s">
        <v>9218</v>
      </c>
    </row>
    <row r="1835" spans="1:11" x14ac:dyDescent="0.4">
      <c r="A1835" t="s">
        <v>5842</v>
      </c>
      <c r="B1835">
        <v>0</v>
      </c>
      <c r="C1835" t="s">
        <v>6581</v>
      </c>
      <c r="D1835">
        <v>1</v>
      </c>
      <c r="E1835">
        <v>-0.39900000000000002</v>
      </c>
      <c r="F1835">
        <v>0</v>
      </c>
      <c r="G1835">
        <v>2024</v>
      </c>
      <c r="H1835" t="s">
        <v>928</v>
      </c>
      <c r="I1835" t="s">
        <v>6063</v>
      </c>
      <c r="J1835" t="s">
        <v>8145</v>
      </c>
      <c r="K1835" t="s">
        <v>9219</v>
      </c>
    </row>
    <row r="1836" spans="1:11" x14ac:dyDescent="0.4">
      <c r="A1836" t="s">
        <v>3729</v>
      </c>
      <c r="B1836">
        <v>0</v>
      </c>
      <c r="C1836" t="s">
        <v>6581</v>
      </c>
      <c r="D1836">
        <v>1</v>
      </c>
      <c r="E1836">
        <v>-0.39900000000000002</v>
      </c>
      <c r="F1836">
        <v>0</v>
      </c>
      <c r="G1836">
        <v>2024</v>
      </c>
      <c r="H1836" t="s">
        <v>928</v>
      </c>
      <c r="I1836" t="s">
        <v>6063</v>
      </c>
      <c r="J1836" t="s">
        <v>8146</v>
      </c>
      <c r="K1836" t="s">
        <v>8147</v>
      </c>
    </row>
    <row r="1837" spans="1:11" x14ac:dyDescent="0.4">
      <c r="A1837" t="s">
        <v>5843</v>
      </c>
      <c r="B1837">
        <v>0</v>
      </c>
      <c r="C1837" t="s">
        <v>6581</v>
      </c>
      <c r="D1837">
        <v>1</v>
      </c>
      <c r="E1837">
        <v>-0.39900000000000002</v>
      </c>
      <c r="F1837">
        <v>0</v>
      </c>
      <c r="G1837">
        <v>2024</v>
      </c>
      <c r="H1837" t="s">
        <v>928</v>
      </c>
      <c r="I1837" t="s">
        <v>6063</v>
      </c>
      <c r="J1837" t="s">
        <v>8148</v>
      </c>
      <c r="K1837" t="s">
        <v>9220</v>
      </c>
    </row>
    <row r="1838" spans="1:11" x14ac:dyDescent="0.4">
      <c r="A1838" t="s">
        <v>3737</v>
      </c>
      <c r="B1838">
        <v>0</v>
      </c>
      <c r="C1838" t="s">
        <v>6581</v>
      </c>
      <c r="D1838">
        <v>1</v>
      </c>
      <c r="E1838">
        <v>-0.39900000000000002</v>
      </c>
      <c r="F1838">
        <v>0</v>
      </c>
      <c r="G1838">
        <v>2024</v>
      </c>
      <c r="H1838" t="s">
        <v>928</v>
      </c>
      <c r="I1838" t="s">
        <v>6063</v>
      </c>
      <c r="J1838" t="s">
        <v>8149</v>
      </c>
      <c r="K1838" t="s">
        <v>8150</v>
      </c>
    </row>
    <row r="1839" spans="1:11" x14ac:dyDescent="0.4">
      <c r="A1839" t="s">
        <v>3712</v>
      </c>
      <c r="B1839">
        <v>0</v>
      </c>
      <c r="C1839" t="s">
        <v>6581</v>
      </c>
      <c r="D1839">
        <v>1</v>
      </c>
      <c r="E1839">
        <v>-0.39900000000000002</v>
      </c>
      <c r="F1839">
        <v>0</v>
      </c>
      <c r="G1839">
        <v>2024</v>
      </c>
      <c r="H1839" t="s">
        <v>928</v>
      </c>
      <c r="I1839" t="s">
        <v>6063</v>
      </c>
      <c r="J1839" t="s">
        <v>8151</v>
      </c>
      <c r="K1839" t="s">
        <v>9171</v>
      </c>
    </row>
    <row r="1840" spans="1:11" x14ac:dyDescent="0.4">
      <c r="A1840" t="s">
        <v>3716</v>
      </c>
      <c r="B1840">
        <v>0</v>
      </c>
      <c r="C1840" t="s">
        <v>6581</v>
      </c>
      <c r="D1840">
        <v>1</v>
      </c>
      <c r="E1840">
        <v>-0.39900000000000002</v>
      </c>
      <c r="F1840">
        <v>0</v>
      </c>
      <c r="G1840">
        <v>2024</v>
      </c>
      <c r="H1840" t="s">
        <v>928</v>
      </c>
      <c r="I1840" t="s">
        <v>6063</v>
      </c>
      <c r="J1840" t="s">
        <v>8152</v>
      </c>
      <c r="K1840" t="s">
        <v>8986</v>
      </c>
    </row>
    <row r="1841" spans="1:11" x14ac:dyDescent="0.4">
      <c r="A1841" t="s">
        <v>3710</v>
      </c>
      <c r="B1841">
        <v>0</v>
      </c>
      <c r="C1841" t="s">
        <v>6581</v>
      </c>
      <c r="D1841">
        <v>1</v>
      </c>
      <c r="E1841">
        <v>-0.39900000000000002</v>
      </c>
      <c r="F1841">
        <v>0</v>
      </c>
      <c r="G1841">
        <v>2024</v>
      </c>
      <c r="H1841" t="s">
        <v>928</v>
      </c>
      <c r="I1841" t="s">
        <v>6063</v>
      </c>
      <c r="J1841" t="s">
        <v>8153</v>
      </c>
      <c r="K1841" t="s">
        <v>8154</v>
      </c>
    </row>
    <row r="1842" spans="1:11" x14ac:dyDescent="0.4">
      <c r="A1842" t="s">
        <v>5844</v>
      </c>
      <c r="B1842">
        <v>0</v>
      </c>
      <c r="C1842" t="s">
        <v>6581</v>
      </c>
      <c r="D1842">
        <v>1</v>
      </c>
      <c r="E1842">
        <v>-0.39900000000000002</v>
      </c>
      <c r="F1842">
        <v>0</v>
      </c>
      <c r="G1842">
        <v>2024</v>
      </c>
      <c r="H1842" t="s">
        <v>928</v>
      </c>
      <c r="I1842" t="s">
        <v>6063</v>
      </c>
      <c r="J1842" t="s">
        <v>8155</v>
      </c>
      <c r="K1842" t="s">
        <v>8156</v>
      </c>
    </row>
    <row r="1843" spans="1:11" x14ac:dyDescent="0.4">
      <c r="A1843" t="s">
        <v>3730</v>
      </c>
      <c r="B1843">
        <v>0</v>
      </c>
      <c r="C1843" t="s">
        <v>6581</v>
      </c>
      <c r="D1843">
        <v>1</v>
      </c>
      <c r="E1843">
        <v>-0.39900000000000002</v>
      </c>
      <c r="F1843">
        <v>0</v>
      </c>
      <c r="G1843">
        <v>2024</v>
      </c>
      <c r="H1843" t="s">
        <v>928</v>
      </c>
      <c r="I1843" t="s">
        <v>6063</v>
      </c>
      <c r="J1843" t="s">
        <v>6820</v>
      </c>
      <c r="K1843" t="s">
        <v>6821</v>
      </c>
    </row>
    <row r="1844" spans="1:11" x14ac:dyDescent="0.4">
      <c r="A1844" t="s">
        <v>2133</v>
      </c>
      <c r="B1844">
        <v>100</v>
      </c>
      <c r="C1844" t="s">
        <v>1380</v>
      </c>
      <c r="D1844">
        <v>5</v>
      </c>
      <c r="E1844">
        <v>2.4540000000000002</v>
      </c>
      <c r="F1844">
        <v>1</v>
      </c>
      <c r="G1844">
        <v>2024</v>
      </c>
      <c r="H1844" t="s">
        <v>928</v>
      </c>
      <c r="I1844" t="s">
        <v>6063</v>
      </c>
      <c r="J1844" t="s">
        <v>8157</v>
      </c>
      <c r="K1844" t="s">
        <v>6807</v>
      </c>
    </row>
    <row r="1845" spans="1:11" x14ac:dyDescent="0.4">
      <c r="A1845" t="s">
        <v>2134</v>
      </c>
      <c r="B1845">
        <v>100</v>
      </c>
      <c r="C1845" t="s">
        <v>1380</v>
      </c>
      <c r="D1845">
        <v>5</v>
      </c>
      <c r="E1845">
        <v>2.4540000000000002</v>
      </c>
      <c r="F1845">
        <v>1</v>
      </c>
      <c r="G1845">
        <v>2024</v>
      </c>
      <c r="H1845" t="s">
        <v>928</v>
      </c>
      <c r="I1845" t="s">
        <v>6063</v>
      </c>
      <c r="J1845" t="s">
        <v>8158</v>
      </c>
      <c r="K1845" t="s">
        <v>9221</v>
      </c>
    </row>
    <row r="1846" spans="1:11" x14ac:dyDescent="0.4">
      <c r="A1846" t="s">
        <v>3733</v>
      </c>
      <c r="B1846">
        <v>0</v>
      </c>
      <c r="C1846" t="s">
        <v>6581</v>
      </c>
      <c r="D1846">
        <v>1</v>
      </c>
      <c r="E1846">
        <v>-0.39900000000000002</v>
      </c>
      <c r="F1846">
        <v>0</v>
      </c>
      <c r="G1846">
        <v>2024</v>
      </c>
      <c r="H1846" t="s">
        <v>928</v>
      </c>
      <c r="I1846" t="s">
        <v>6063</v>
      </c>
      <c r="J1846" t="s">
        <v>8159</v>
      </c>
      <c r="K1846" t="s">
        <v>9222</v>
      </c>
    </row>
    <row r="1847" spans="1:11" x14ac:dyDescent="0.4">
      <c r="A1847" t="s">
        <v>2135</v>
      </c>
      <c r="B1847">
        <v>0</v>
      </c>
      <c r="C1847" t="s">
        <v>6581</v>
      </c>
      <c r="D1847">
        <v>1</v>
      </c>
      <c r="E1847">
        <v>-0.39900000000000002</v>
      </c>
      <c r="F1847">
        <v>0</v>
      </c>
      <c r="G1847">
        <v>2024</v>
      </c>
      <c r="H1847" t="s">
        <v>928</v>
      </c>
      <c r="I1847" t="s">
        <v>6063</v>
      </c>
      <c r="J1847" t="s">
        <v>8160</v>
      </c>
      <c r="K1847" t="s">
        <v>8161</v>
      </c>
    </row>
    <row r="1848" spans="1:11" x14ac:dyDescent="0.4">
      <c r="A1848" t="s">
        <v>3708</v>
      </c>
      <c r="B1848">
        <v>0</v>
      </c>
      <c r="C1848" t="s">
        <v>6581</v>
      </c>
      <c r="D1848">
        <v>1</v>
      </c>
      <c r="E1848">
        <v>-0.39900000000000002</v>
      </c>
      <c r="F1848">
        <v>0</v>
      </c>
      <c r="G1848">
        <v>2024</v>
      </c>
      <c r="H1848" t="s">
        <v>928</v>
      </c>
      <c r="I1848" t="s">
        <v>6063</v>
      </c>
      <c r="J1848" t="s">
        <v>8162</v>
      </c>
      <c r="K1848" t="s">
        <v>8163</v>
      </c>
    </row>
    <row r="1849" spans="1:11" x14ac:dyDescent="0.4">
      <c r="A1849" t="s">
        <v>3722</v>
      </c>
      <c r="B1849">
        <v>0</v>
      </c>
      <c r="C1849" t="s">
        <v>6581</v>
      </c>
      <c r="D1849">
        <v>1</v>
      </c>
      <c r="E1849">
        <v>-0.39900000000000002</v>
      </c>
      <c r="F1849">
        <v>0</v>
      </c>
      <c r="G1849">
        <v>2024</v>
      </c>
      <c r="H1849" t="s">
        <v>928</v>
      </c>
      <c r="I1849" t="s">
        <v>6063</v>
      </c>
      <c r="J1849" t="s">
        <v>8164</v>
      </c>
      <c r="K1849" t="s">
        <v>6806</v>
      </c>
    </row>
    <row r="1850" spans="1:11" x14ac:dyDescent="0.4">
      <c r="A1850" t="s">
        <v>3732</v>
      </c>
      <c r="B1850">
        <v>0</v>
      </c>
      <c r="C1850" t="s">
        <v>6581</v>
      </c>
      <c r="D1850">
        <v>1</v>
      </c>
      <c r="E1850">
        <v>-0.39900000000000002</v>
      </c>
      <c r="F1850">
        <v>0</v>
      </c>
      <c r="G1850">
        <v>2024</v>
      </c>
      <c r="H1850" t="s">
        <v>928</v>
      </c>
      <c r="I1850" t="s">
        <v>6063</v>
      </c>
      <c r="J1850" t="s">
        <v>8987</v>
      </c>
      <c r="K1850" t="s">
        <v>9199</v>
      </c>
    </row>
    <row r="1851" spans="1:11" x14ac:dyDescent="0.4">
      <c r="A1851" t="s">
        <v>3723</v>
      </c>
      <c r="B1851">
        <v>0</v>
      </c>
      <c r="C1851" t="s">
        <v>6581</v>
      </c>
      <c r="D1851">
        <v>1</v>
      </c>
      <c r="E1851">
        <v>-0.39900000000000002</v>
      </c>
      <c r="F1851">
        <v>0</v>
      </c>
      <c r="G1851">
        <v>2024</v>
      </c>
      <c r="H1851" t="s">
        <v>928</v>
      </c>
      <c r="I1851" t="s">
        <v>6063</v>
      </c>
      <c r="J1851" t="s">
        <v>8165</v>
      </c>
      <c r="K1851" t="s">
        <v>9223</v>
      </c>
    </row>
    <row r="1852" spans="1:11" x14ac:dyDescent="0.4">
      <c r="A1852" t="s">
        <v>2139</v>
      </c>
      <c r="B1852">
        <v>14</v>
      </c>
      <c r="C1852" t="s">
        <v>197</v>
      </c>
      <c r="D1852">
        <v>1</v>
      </c>
    </row>
    <row r="1853" spans="1:11" x14ac:dyDescent="0.4">
      <c r="A1853" t="s">
        <v>2140</v>
      </c>
      <c r="B1853">
        <v>0</v>
      </c>
      <c r="C1853" t="s">
        <v>197</v>
      </c>
      <c r="D1853">
        <v>1</v>
      </c>
    </row>
    <row r="1854" spans="1:11" x14ac:dyDescent="0.4">
      <c r="A1854" t="s">
        <v>2141</v>
      </c>
      <c r="B1854">
        <v>0</v>
      </c>
      <c r="C1854" t="s">
        <v>197</v>
      </c>
      <c r="D1854">
        <v>1</v>
      </c>
    </row>
    <row r="1855" spans="1:11" x14ac:dyDescent="0.4">
      <c r="A1855" t="s">
        <v>2142</v>
      </c>
      <c r="B1855">
        <v>0</v>
      </c>
      <c r="C1855" t="s">
        <v>197</v>
      </c>
      <c r="D1855">
        <v>1</v>
      </c>
    </row>
    <row r="1856" spans="1:11" x14ac:dyDescent="0.4">
      <c r="A1856" t="s">
        <v>2143</v>
      </c>
      <c r="B1856">
        <v>20</v>
      </c>
      <c r="C1856" t="s">
        <v>197</v>
      </c>
      <c r="D1856">
        <v>2</v>
      </c>
    </row>
    <row r="1857" spans="1:5" x14ac:dyDescent="0.4">
      <c r="A1857" t="s">
        <v>2580</v>
      </c>
      <c r="B1857">
        <v>10</v>
      </c>
      <c r="C1857" t="s">
        <v>197</v>
      </c>
      <c r="D1857">
        <v>1</v>
      </c>
    </row>
    <row r="1858" spans="1:5" x14ac:dyDescent="0.4">
      <c r="A1858" t="s">
        <v>2581</v>
      </c>
      <c r="B1858">
        <v>28.6</v>
      </c>
      <c r="C1858" t="s">
        <v>197</v>
      </c>
      <c r="D1858">
        <v>2</v>
      </c>
    </row>
    <row r="1859" spans="1:5" x14ac:dyDescent="0.4">
      <c r="A1859" t="s">
        <v>7345</v>
      </c>
      <c r="B1859">
        <v>0</v>
      </c>
      <c r="C1859" t="s">
        <v>197</v>
      </c>
      <c r="D1859">
        <v>1</v>
      </c>
    </row>
    <row r="1860" spans="1:5" x14ac:dyDescent="0.4">
      <c r="A1860" t="s">
        <v>7346</v>
      </c>
      <c r="B1860">
        <v>27.3</v>
      </c>
      <c r="C1860" t="s">
        <v>197</v>
      </c>
      <c r="D1860">
        <v>2</v>
      </c>
    </row>
    <row r="1861" spans="1:5" x14ac:dyDescent="0.4">
      <c r="A1861" t="s">
        <v>7347</v>
      </c>
      <c r="B1861">
        <v>17.399999999999999</v>
      </c>
      <c r="C1861" t="s">
        <v>197</v>
      </c>
      <c r="D1861">
        <v>1</v>
      </c>
    </row>
    <row r="1862" spans="1:5" x14ac:dyDescent="0.4">
      <c r="A1862" t="s">
        <v>4267</v>
      </c>
      <c r="B1862">
        <v>42.6</v>
      </c>
      <c r="C1862" t="s">
        <v>5727</v>
      </c>
      <c r="D1862">
        <v>3</v>
      </c>
      <c r="E1862">
        <v>-0.71099999999999997</v>
      </c>
    </row>
    <row r="1863" spans="1:5" x14ac:dyDescent="0.4">
      <c r="A1863" t="s">
        <v>4265</v>
      </c>
      <c r="B1863">
        <v>33.200000000000003</v>
      </c>
      <c r="C1863" t="s">
        <v>5715</v>
      </c>
      <c r="D1863">
        <v>2</v>
      </c>
      <c r="E1863">
        <v>-1.087</v>
      </c>
    </row>
    <row r="1864" spans="1:5" x14ac:dyDescent="0.4">
      <c r="A1864" t="s">
        <v>4271</v>
      </c>
      <c r="B1864">
        <v>80</v>
      </c>
      <c r="C1864" t="s">
        <v>5722</v>
      </c>
      <c r="D1864">
        <v>5</v>
      </c>
      <c r="E1864">
        <v>0.78300000000000003</v>
      </c>
    </row>
    <row r="1865" spans="1:5" x14ac:dyDescent="0.4">
      <c r="A1865" t="s">
        <v>4295</v>
      </c>
      <c r="B1865">
        <v>78.8</v>
      </c>
      <c r="C1865" t="s">
        <v>5729</v>
      </c>
      <c r="D1865">
        <v>4</v>
      </c>
      <c r="E1865">
        <v>0.73499999999999999</v>
      </c>
    </row>
    <row r="1866" spans="1:5" x14ac:dyDescent="0.4">
      <c r="A1866" t="s">
        <v>2391</v>
      </c>
      <c r="B1866">
        <v>87.7</v>
      </c>
      <c r="C1866" t="s">
        <v>2476</v>
      </c>
      <c r="D1866">
        <v>5</v>
      </c>
      <c r="E1866">
        <v>1.091</v>
      </c>
    </row>
    <row r="1867" spans="1:5" x14ac:dyDescent="0.4">
      <c r="A1867" t="s">
        <v>4291</v>
      </c>
      <c r="B1867">
        <v>92.9</v>
      </c>
      <c r="C1867" t="s">
        <v>1380</v>
      </c>
      <c r="D1867">
        <v>5</v>
      </c>
      <c r="E1867">
        <v>1.298</v>
      </c>
    </row>
    <row r="1868" spans="1:5" x14ac:dyDescent="0.4">
      <c r="A1868" t="s">
        <v>4275</v>
      </c>
      <c r="B1868">
        <v>78.900000000000006</v>
      </c>
      <c r="C1868" t="s">
        <v>5731</v>
      </c>
      <c r="D1868">
        <v>4</v>
      </c>
      <c r="E1868">
        <v>0.73899999999999999</v>
      </c>
    </row>
    <row r="1869" spans="1:5" x14ac:dyDescent="0.4">
      <c r="A1869" t="s">
        <v>4269</v>
      </c>
      <c r="B1869">
        <v>78</v>
      </c>
      <c r="C1869" t="s">
        <v>5700</v>
      </c>
      <c r="D1869">
        <v>4</v>
      </c>
      <c r="E1869">
        <v>0.70299999999999996</v>
      </c>
    </row>
    <row r="1870" spans="1:5" x14ac:dyDescent="0.4">
      <c r="A1870" t="s">
        <v>4281</v>
      </c>
      <c r="B1870">
        <v>80.7</v>
      </c>
      <c r="C1870" t="s">
        <v>5695</v>
      </c>
      <c r="D1870">
        <v>5</v>
      </c>
      <c r="E1870">
        <v>0.81100000000000005</v>
      </c>
    </row>
    <row r="1871" spans="1:5" x14ac:dyDescent="0.4">
      <c r="A1871" t="s">
        <v>4273</v>
      </c>
      <c r="B1871">
        <v>34.5</v>
      </c>
      <c r="C1871" t="s">
        <v>5708</v>
      </c>
      <c r="D1871">
        <v>2</v>
      </c>
      <c r="E1871">
        <v>-1.0349999999999999</v>
      </c>
    </row>
    <row r="1872" spans="1:5" x14ac:dyDescent="0.4">
      <c r="A1872" t="s">
        <v>5979</v>
      </c>
      <c r="B1872">
        <v>35.5</v>
      </c>
      <c r="C1872" t="s">
        <v>5694</v>
      </c>
      <c r="D1872">
        <v>2</v>
      </c>
      <c r="E1872">
        <v>-0.995</v>
      </c>
    </row>
    <row r="1873" spans="1:5" x14ac:dyDescent="0.4">
      <c r="A1873" t="s">
        <v>4287</v>
      </c>
      <c r="B1873">
        <v>33</v>
      </c>
      <c r="C1873" t="s">
        <v>6014</v>
      </c>
      <c r="D1873">
        <v>2</v>
      </c>
      <c r="E1873">
        <v>-1.095</v>
      </c>
    </row>
    <row r="1874" spans="1:5" x14ac:dyDescent="0.4">
      <c r="A1874" t="s">
        <v>2392</v>
      </c>
      <c r="B1874">
        <v>36.1</v>
      </c>
      <c r="C1874" t="s">
        <v>5704</v>
      </c>
      <c r="D1874">
        <v>2</v>
      </c>
      <c r="E1874">
        <v>-0.97099999999999997</v>
      </c>
    </row>
    <row r="1875" spans="1:5" x14ac:dyDescent="0.4">
      <c r="A1875" t="s">
        <v>2401</v>
      </c>
      <c r="B1875">
        <v>79.3</v>
      </c>
      <c r="C1875" t="s">
        <v>5732</v>
      </c>
      <c r="D1875">
        <v>4</v>
      </c>
      <c r="E1875">
        <v>0.755</v>
      </c>
    </row>
    <row r="1876" spans="1:5" x14ac:dyDescent="0.4">
      <c r="A1876" t="s">
        <v>4280</v>
      </c>
      <c r="B1876">
        <v>91.7</v>
      </c>
      <c r="C1876" t="s">
        <v>2477</v>
      </c>
      <c r="D1876">
        <v>5</v>
      </c>
      <c r="E1876">
        <v>1.25</v>
      </c>
    </row>
    <row r="1877" spans="1:5" x14ac:dyDescent="0.4">
      <c r="A1877" t="s">
        <v>4294</v>
      </c>
      <c r="B1877">
        <v>87.3</v>
      </c>
      <c r="C1877" t="s">
        <v>2480</v>
      </c>
      <c r="D1877">
        <v>5</v>
      </c>
      <c r="E1877">
        <v>1.075</v>
      </c>
    </row>
    <row r="1878" spans="1:5" x14ac:dyDescent="0.4">
      <c r="A1878" t="s">
        <v>2393</v>
      </c>
      <c r="B1878">
        <v>81.599999999999994</v>
      </c>
      <c r="C1878" t="s">
        <v>5692</v>
      </c>
      <c r="D1878">
        <v>5</v>
      </c>
      <c r="E1878">
        <v>0.84699999999999998</v>
      </c>
    </row>
    <row r="1879" spans="1:5" x14ac:dyDescent="0.4">
      <c r="A1879" t="s">
        <v>2400</v>
      </c>
      <c r="B1879">
        <v>34.700000000000003</v>
      </c>
      <c r="C1879" t="s">
        <v>5698</v>
      </c>
      <c r="D1879">
        <v>2</v>
      </c>
      <c r="E1879">
        <v>-1.0269999999999999</v>
      </c>
    </row>
    <row r="1880" spans="1:5" x14ac:dyDescent="0.4">
      <c r="A1880" t="s">
        <v>2394</v>
      </c>
      <c r="B1880">
        <v>88.7</v>
      </c>
      <c r="C1880" t="s">
        <v>2475</v>
      </c>
      <c r="D1880">
        <v>5</v>
      </c>
      <c r="E1880">
        <v>1.1299999999999999</v>
      </c>
    </row>
    <row r="1881" spans="1:5" x14ac:dyDescent="0.4">
      <c r="A1881" t="s">
        <v>4264</v>
      </c>
      <c r="B1881">
        <v>30.9</v>
      </c>
      <c r="C1881" t="s">
        <v>5710</v>
      </c>
      <c r="D1881">
        <v>2</v>
      </c>
      <c r="E1881">
        <v>-1.1779999999999999</v>
      </c>
    </row>
    <row r="1882" spans="1:5" x14ac:dyDescent="0.4">
      <c r="A1882" t="s">
        <v>4284</v>
      </c>
      <c r="B1882">
        <v>33.200000000000003</v>
      </c>
      <c r="C1882" t="s">
        <v>5715</v>
      </c>
      <c r="D1882">
        <v>2</v>
      </c>
      <c r="E1882">
        <v>-1.087</v>
      </c>
    </row>
    <row r="1883" spans="1:5" x14ac:dyDescent="0.4">
      <c r="A1883" t="s">
        <v>4288</v>
      </c>
      <c r="B1883">
        <v>43.3</v>
      </c>
      <c r="C1883" t="s">
        <v>5736</v>
      </c>
      <c r="D1883">
        <v>3</v>
      </c>
      <c r="E1883">
        <v>-0.68300000000000005</v>
      </c>
    </row>
    <row r="1884" spans="1:5" x14ac:dyDescent="0.4">
      <c r="A1884" t="s">
        <v>4286</v>
      </c>
      <c r="B1884">
        <v>33</v>
      </c>
      <c r="C1884" t="s">
        <v>6014</v>
      </c>
      <c r="D1884">
        <v>2</v>
      </c>
      <c r="E1884">
        <v>-1.095</v>
      </c>
    </row>
    <row r="1885" spans="1:5" x14ac:dyDescent="0.4">
      <c r="A1885" t="s">
        <v>4274</v>
      </c>
      <c r="B1885">
        <v>16.5</v>
      </c>
      <c r="C1885" t="s">
        <v>6033</v>
      </c>
      <c r="D1885">
        <v>1</v>
      </c>
      <c r="E1885">
        <v>-1.754</v>
      </c>
    </row>
    <row r="1886" spans="1:5" x14ac:dyDescent="0.4">
      <c r="A1886" t="s">
        <v>4263</v>
      </c>
      <c r="B1886">
        <v>36.5</v>
      </c>
      <c r="C1886" t="s">
        <v>5699</v>
      </c>
      <c r="D1886">
        <v>2</v>
      </c>
      <c r="E1886">
        <v>-0.95499999999999996</v>
      </c>
    </row>
    <row r="1887" spans="1:5" x14ac:dyDescent="0.4">
      <c r="A1887" t="s">
        <v>4277</v>
      </c>
      <c r="B1887">
        <v>82.1</v>
      </c>
      <c r="C1887" t="s">
        <v>5707</v>
      </c>
      <c r="D1887">
        <v>5</v>
      </c>
      <c r="E1887">
        <v>0.86699999999999999</v>
      </c>
    </row>
    <row r="1888" spans="1:5" x14ac:dyDescent="0.4">
      <c r="A1888" t="s">
        <v>4278</v>
      </c>
      <c r="B1888">
        <v>86.6</v>
      </c>
      <c r="C1888" t="s">
        <v>2483</v>
      </c>
      <c r="D1888">
        <v>5</v>
      </c>
      <c r="E1888">
        <v>1.0469999999999999</v>
      </c>
    </row>
    <row r="1889" spans="1:5" x14ac:dyDescent="0.4">
      <c r="A1889" t="s">
        <v>4296</v>
      </c>
      <c r="B1889">
        <v>30.2</v>
      </c>
      <c r="C1889" t="s">
        <v>6037</v>
      </c>
      <c r="D1889">
        <v>2</v>
      </c>
      <c r="E1889">
        <v>-1.206</v>
      </c>
    </row>
    <row r="1890" spans="1:5" x14ac:dyDescent="0.4">
      <c r="A1890" t="s">
        <v>2395</v>
      </c>
      <c r="B1890">
        <v>84.8</v>
      </c>
      <c r="C1890" t="s">
        <v>2485</v>
      </c>
      <c r="D1890">
        <v>5</v>
      </c>
      <c r="E1890">
        <v>0.97499999999999998</v>
      </c>
    </row>
    <row r="1891" spans="1:5" x14ac:dyDescent="0.4">
      <c r="A1891" t="s">
        <v>2399</v>
      </c>
      <c r="B1891">
        <v>35.6</v>
      </c>
      <c r="C1891" t="s">
        <v>5702</v>
      </c>
      <c r="D1891">
        <v>2</v>
      </c>
      <c r="E1891">
        <v>-0.99099999999999999</v>
      </c>
    </row>
    <row r="1892" spans="1:5" x14ac:dyDescent="0.4">
      <c r="A1892" t="s">
        <v>4279</v>
      </c>
      <c r="B1892">
        <v>41.4</v>
      </c>
      <c r="C1892" t="s">
        <v>5734</v>
      </c>
      <c r="D1892">
        <v>3</v>
      </c>
      <c r="E1892">
        <v>-0.75900000000000001</v>
      </c>
    </row>
    <row r="1893" spans="1:5" x14ac:dyDescent="0.4">
      <c r="A1893" t="s">
        <v>4285</v>
      </c>
      <c r="B1893">
        <v>33</v>
      </c>
      <c r="C1893" t="s">
        <v>6014</v>
      </c>
      <c r="D1893">
        <v>2</v>
      </c>
      <c r="E1893">
        <v>-1.095</v>
      </c>
    </row>
    <row r="1894" spans="1:5" x14ac:dyDescent="0.4">
      <c r="A1894" t="s">
        <v>4266</v>
      </c>
      <c r="B1894">
        <v>42.3</v>
      </c>
      <c r="C1894" t="s">
        <v>5733</v>
      </c>
      <c r="D1894">
        <v>3</v>
      </c>
      <c r="E1894">
        <v>-0.72299999999999998</v>
      </c>
    </row>
    <row r="1895" spans="1:5" x14ac:dyDescent="0.4">
      <c r="A1895" t="s">
        <v>5845</v>
      </c>
      <c r="B1895">
        <v>80</v>
      </c>
      <c r="C1895" t="s">
        <v>5722</v>
      </c>
      <c r="D1895">
        <v>5</v>
      </c>
      <c r="E1895">
        <v>0.78300000000000003</v>
      </c>
    </row>
    <row r="1896" spans="1:5" x14ac:dyDescent="0.4">
      <c r="A1896" t="s">
        <v>4289</v>
      </c>
      <c r="B1896">
        <v>82.3</v>
      </c>
      <c r="C1896" t="s">
        <v>2487</v>
      </c>
      <c r="D1896">
        <v>5</v>
      </c>
      <c r="E1896">
        <v>0.875</v>
      </c>
    </row>
    <row r="1897" spans="1:5" x14ac:dyDescent="0.4">
      <c r="A1897" t="s">
        <v>5846</v>
      </c>
      <c r="B1897">
        <v>35.299999999999997</v>
      </c>
      <c r="C1897" t="s">
        <v>5709</v>
      </c>
      <c r="D1897">
        <v>2</v>
      </c>
      <c r="E1897">
        <v>-1.0029999999999999</v>
      </c>
    </row>
    <row r="1898" spans="1:5" x14ac:dyDescent="0.4">
      <c r="A1898" t="s">
        <v>4297</v>
      </c>
      <c r="B1898">
        <v>44.7</v>
      </c>
      <c r="C1898" t="s">
        <v>5706</v>
      </c>
      <c r="D1898">
        <v>3</v>
      </c>
      <c r="E1898">
        <v>-0.627</v>
      </c>
    </row>
    <row r="1899" spans="1:5" x14ac:dyDescent="0.4">
      <c r="A1899" t="s">
        <v>4272</v>
      </c>
      <c r="B1899">
        <v>23.4</v>
      </c>
      <c r="C1899" t="s">
        <v>6035</v>
      </c>
      <c r="D1899">
        <v>2</v>
      </c>
      <c r="E1899">
        <v>-1.478</v>
      </c>
    </row>
    <row r="1900" spans="1:5" x14ac:dyDescent="0.4">
      <c r="A1900" t="s">
        <v>4276</v>
      </c>
      <c r="B1900">
        <v>29.3</v>
      </c>
      <c r="C1900" t="s">
        <v>6036</v>
      </c>
      <c r="D1900">
        <v>2</v>
      </c>
      <c r="E1900">
        <v>-1.242</v>
      </c>
    </row>
    <row r="1901" spans="1:5" x14ac:dyDescent="0.4">
      <c r="A1901" t="s">
        <v>4270</v>
      </c>
      <c r="B1901">
        <v>80</v>
      </c>
      <c r="C1901" t="s">
        <v>5722</v>
      </c>
      <c r="D1901">
        <v>5</v>
      </c>
      <c r="E1901">
        <v>0.78300000000000003</v>
      </c>
    </row>
    <row r="1902" spans="1:5" x14ac:dyDescent="0.4">
      <c r="A1902" t="s">
        <v>5847</v>
      </c>
      <c r="B1902">
        <v>76.5</v>
      </c>
      <c r="C1902" t="s">
        <v>5703</v>
      </c>
      <c r="D1902">
        <v>4</v>
      </c>
      <c r="E1902">
        <v>0.64300000000000002</v>
      </c>
    </row>
    <row r="1903" spans="1:5" x14ac:dyDescent="0.4">
      <c r="A1903" t="s">
        <v>4290</v>
      </c>
      <c r="B1903">
        <v>82.3</v>
      </c>
      <c r="C1903" t="s">
        <v>2487</v>
      </c>
      <c r="D1903">
        <v>5</v>
      </c>
      <c r="E1903">
        <v>0.875</v>
      </c>
    </row>
    <row r="1904" spans="1:5" x14ac:dyDescent="0.4">
      <c r="A1904" t="s">
        <v>2396</v>
      </c>
      <c r="B1904">
        <v>92.9</v>
      </c>
      <c r="C1904" t="s">
        <v>1380</v>
      </c>
      <c r="D1904">
        <v>5</v>
      </c>
      <c r="E1904">
        <v>1.298</v>
      </c>
    </row>
    <row r="1905" spans="1:5" x14ac:dyDescent="0.4">
      <c r="A1905" t="s">
        <v>2397</v>
      </c>
      <c r="B1905">
        <v>81.8</v>
      </c>
      <c r="C1905" t="s">
        <v>5705</v>
      </c>
      <c r="D1905">
        <v>5</v>
      </c>
      <c r="E1905">
        <v>0.85499999999999998</v>
      </c>
    </row>
    <row r="1906" spans="1:5" x14ac:dyDescent="0.4">
      <c r="A1906" t="s">
        <v>4293</v>
      </c>
      <c r="B1906">
        <v>84.8</v>
      </c>
      <c r="C1906" t="s">
        <v>2485</v>
      </c>
      <c r="D1906">
        <v>5</v>
      </c>
      <c r="E1906">
        <v>0.97499999999999998</v>
      </c>
    </row>
    <row r="1907" spans="1:5" x14ac:dyDescent="0.4">
      <c r="A1907" t="s">
        <v>2398</v>
      </c>
      <c r="B1907">
        <v>82.3</v>
      </c>
      <c r="C1907" t="s">
        <v>2487</v>
      </c>
      <c r="D1907">
        <v>5</v>
      </c>
      <c r="E1907">
        <v>0.875</v>
      </c>
    </row>
    <row r="1908" spans="1:5" x14ac:dyDescent="0.4">
      <c r="A1908" t="s">
        <v>4268</v>
      </c>
      <c r="B1908">
        <v>85.7</v>
      </c>
      <c r="C1908" t="s">
        <v>2482</v>
      </c>
      <c r="D1908">
        <v>5</v>
      </c>
      <c r="E1908">
        <v>1.0109999999999999</v>
      </c>
    </row>
    <row r="1909" spans="1:5" x14ac:dyDescent="0.4">
      <c r="A1909" t="s">
        <v>4282</v>
      </c>
      <c r="B1909">
        <v>85</v>
      </c>
      <c r="C1909" t="s">
        <v>2484</v>
      </c>
      <c r="D1909">
        <v>5</v>
      </c>
      <c r="E1909">
        <v>0.98299999999999998</v>
      </c>
    </row>
    <row r="1910" spans="1:5" x14ac:dyDescent="0.4">
      <c r="A1910" t="s">
        <v>4292</v>
      </c>
      <c r="B1910">
        <v>42.9</v>
      </c>
      <c r="C1910" t="s">
        <v>5735</v>
      </c>
      <c r="D1910">
        <v>3</v>
      </c>
      <c r="E1910">
        <v>-0.69899999999999995</v>
      </c>
    </row>
    <row r="1911" spans="1:5" x14ac:dyDescent="0.4">
      <c r="A1911" t="s">
        <v>4283</v>
      </c>
      <c r="B1911">
        <v>44.6</v>
      </c>
      <c r="C1911" t="s">
        <v>5693</v>
      </c>
      <c r="D1911">
        <v>3</v>
      </c>
      <c r="E1911">
        <v>-0.63100000000000001</v>
      </c>
    </row>
    <row r="1912" spans="1:5" x14ac:dyDescent="0.4">
      <c r="A1912" t="s">
        <v>1450</v>
      </c>
      <c r="B1912">
        <v>60.4</v>
      </c>
      <c r="C1912" t="s">
        <v>197</v>
      </c>
      <c r="D1912">
        <v>4</v>
      </c>
    </row>
    <row r="1913" spans="1:5" x14ac:dyDescent="0.4">
      <c r="A1913" t="s">
        <v>1451</v>
      </c>
      <c r="B1913">
        <v>37.1</v>
      </c>
      <c r="C1913" t="s">
        <v>197</v>
      </c>
      <c r="D1913">
        <v>2</v>
      </c>
    </row>
    <row r="1914" spans="1:5" x14ac:dyDescent="0.4">
      <c r="A1914" t="s">
        <v>1592</v>
      </c>
      <c r="B1914">
        <v>73.7</v>
      </c>
      <c r="C1914" t="s">
        <v>197</v>
      </c>
      <c r="D1914">
        <v>4</v>
      </c>
    </row>
    <row r="1915" spans="1:5" x14ac:dyDescent="0.4">
      <c r="A1915" t="s">
        <v>1695</v>
      </c>
      <c r="B1915">
        <v>38.4</v>
      </c>
      <c r="C1915" t="s">
        <v>197</v>
      </c>
      <c r="D1915">
        <v>2</v>
      </c>
    </row>
    <row r="1916" spans="1:5" x14ac:dyDescent="0.4">
      <c r="A1916" t="s">
        <v>1696</v>
      </c>
      <c r="B1916">
        <v>64.599999999999994</v>
      </c>
      <c r="C1916" t="s">
        <v>197</v>
      </c>
      <c r="D1916">
        <v>4</v>
      </c>
    </row>
    <row r="1917" spans="1:5" x14ac:dyDescent="0.4">
      <c r="A1917" t="s">
        <v>2612</v>
      </c>
      <c r="B1917">
        <v>46.8</v>
      </c>
      <c r="C1917" t="s">
        <v>197</v>
      </c>
      <c r="D1917">
        <v>3</v>
      </c>
    </row>
    <row r="1918" spans="1:5" x14ac:dyDescent="0.4">
      <c r="A1918" t="s">
        <v>2613</v>
      </c>
      <c r="B1918">
        <v>75</v>
      </c>
      <c r="C1918" t="s">
        <v>197</v>
      </c>
      <c r="D1918">
        <v>4</v>
      </c>
    </row>
    <row r="1919" spans="1:5" x14ac:dyDescent="0.4">
      <c r="A1919" t="s">
        <v>7348</v>
      </c>
      <c r="B1919">
        <v>40.200000000000003</v>
      </c>
      <c r="C1919" t="s">
        <v>197</v>
      </c>
      <c r="D1919">
        <v>3</v>
      </c>
    </row>
    <row r="1920" spans="1:5" x14ac:dyDescent="0.4">
      <c r="A1920" t="s">
        <v>7349</v>
      </c>
      <c r="B1920">
        <v>63.8</v>
      </c>
      <c r="C1920" t="s">
        <v>197</v>
      </c>
      <c r="D1920">
        <v>4</v>
      </c>
    </row>
    <row r="1921" spans="1:12" x14ac:dyDescent="0.4">
      <c r="A1921" t="s">
        <v>7350</v>
      </c>
      <c r="B1921">
        <v>72.7</v>
      </c>
      <c r="C1921" t="s">
        <v>197</v>
      </c>
      <c r="D1921">
        <v>4</v>
      </c>
    </row>
    <row r="1922" spans="1:12" x14ac:dyDescent="0.4">
      <c r="A1922" t="s">
        <v>4865</v>
      </c>
      <c r="B1922">
        <v>85.1</v>
      </c>
      <c r="C1922" t="s">
        <v>2483</v>
      </c>
      <c r="D1922">
        <v>5</v>
      </c>
      <c r="E1922">
        <v>1.4350000000000001</v>
      </c>
      <c r="F1922">
        <v>14.86</v>
      </c>
      <c r="G1922">
        <v>2016</v>
      </c>
      <c r="H1922" t="s">
        <v>928</v>
      </c>
      <c r="I1922" t="s">
        <v>6596</v>
      </c>
      <c r="L1922" t="s">
        <v>197</v>
      </c>
    </row>
    <row r="1923" spans="1:12" x14ac:dyDescent="0.4">
      <c r="A1923" t="s">
        <v>4863</v>
      </c>
      <c r="B1923">
        <v>66.400000000000006</v>
      </c>
      <c r="C1923" t="s">
        <v>6585</v>
      </c>
      <c r="D1923">
        <v>4</v>
      </c>
      <c r="E1923">
        <v>-0.20100000000000001</v>
      </c>
      <c r="F1923">
        <v>33.58</v>
      </c>
      <c r="G1923">
        <v>2016</v>
      </c>
      <c r="H1923" t="s">
        <v>928</v>
      </c>
      <c r="I1923" t="s">
        <v>6596</v>
      </c>
      <c r="L1923" t="s">
        <v>197</v>
      </c>
    </row>
    <row r="1924" spans="1:12" x14ac:dyDescent="0.4">
      <c r="A1924" t="s">
        <v>4870</v>
      </c>
      <c r="B1924">
        <v>60</v>
      </c>
      <c r="C1924" t="s">
        <v>6588</v>
      </c>
      <c r="D1924">
        <v>4</v>
      </c>
      <c r="E1924">
        <v>-0.76100000000000001</v>
      </c>
      <c r="F1924">
        <v>40.01</v>
      </c>
      <c r="G1924">
        <v>2016</v>
      </c>
      <c r="H1924" t="s">
        <v>928</v>
      </c>
      <c r="I1924" t="s">
        <v>6596</v>
      </c>
      <c r="L1924" t="s">
        <v>197</v>
      </c>
    </row>
    <row r="1925" spans="1:12" x14ac:dyDescent="0.4">
      <c r="A1925" t="s">
        <v>4904</v>
      </c>
      <c r="B1925">
        <v>57.6</v>
      </c>
      <c r="C1925" t="s">
        <v>5710</v>
      </c>
      <c r="D1925">
        <v>3</v>
      </c>
      <c r="E1925">
        <v>-0.97099999999999997</v>
      </c>
      <c r="F1925">
        <v>42.38</v>
      </c>
      <c r="G1925">
        <v>2016</v>
      </c>
      <c r="H1925" t="s">
        <v>928</v>
      </c>
      <c r="I1925" t="s">
        <v>6596</v>
      </c>
      <c r="L1925" t="s">
        <v>197</v>
      </c>
    </row>
    <row r="1926" spans="1:12" x14ac:dyDescent="0.4">
      <c r="A1926" t="s">
        <v>4886</v>
      </c>
      <c r="B1926">
        <v>75.400000000000006</v>
      </c>
      <c r="C1926" t="s">
        <v>5730</v>
      </c>
      <c r="D1926">
        <v>4</v>
      </c>
      <c r="E1926">
        <v>0.58599999999999997</v>
      </c>
      <c r="F1926">
        <v>24.58</v>
      </c>
      <c r="G1926">
        <v>2016</v>
      </c>
      <c r="H1926" t="s">
        <v>928</v>
      </c>
      <c r="I1926" t="s">
        <v>6596</v>
      </c>
      <c r="L1926" t="s">
        <v>197</v>
      </c>
    </row>
    <row r="1927" spans="1:12" x14ac:dyDescent="0.4">
      <c r="A1927" t="s">
        <v>4898</v>
      </c>
      <c r="B1927">
        <v>85.9</v>
      </c>
      <c r="C1927" t="s">
        <v>6039</v>
      </c>
      <c r="D1927">
        <v>5</v>
      </c>
      <c r="E1927">
        <v>1.5049999999999999</v>
      </c>
      <c r="F1927">
        <v>14.11</v>
      </c>
      <c r="G1927">
        <v>2016</v>
      </c>
      <c r="H1927" t="s">
        <v>928</v>
      </c>
      <c r="I1927" t="s">
        <v>6596</v>
      </c>
      <c r="L1927" t="s">
        <v>197</v>
      </c>
    </row>
    <row r="1928" spans="1:12" x14ac:dyDescent="0.4">
      <c r="A1928" t="s">
        <v>4875</v>
      </c>
      <c r="B1928">
        <v>57.8</v>
      </c>
      <c r="C1928" t="s">
        <v>5697</v>
      </c>
      <c r="D1928">
        <v>3</v>
      </c>
      <c r="E1928">
        <v>-0.95399999999999996</v>
      </c>
      <c r="F1928">
        <v>42.21</v>
      </c>
      <c r="G1928">
        <v>2016</v>
      </c>
      <c r="H1928" t="s">
        <v>928</v>
      </c>
      <c r="I1928" t="s">
        <v>6596</v>
      </c>
      <c r="L1928" t="s">
        <v>197</v>
      </c>
    </row>
    <row r="1929" spans="1:12" x14ac:dyDescent="0.4">
      <c r="A1929" t="s">
        <v>4868</v>
      </c>
      <c r="B1929">
        <v>56</v>
      </c>
      <c r="C1929" t="s">
        <v>6037</v>
      </c>
      <c r="D1929">
        <v>3</v>
      </c>
      <c r="E1929">
        <v>-1.111</v>
      </c>
      <c r="F1929">
        <v>44.01</v>
      </c>
      <c r="G1929">
        <v>2016</v>
      </c>
      <c r="H1929" t="s">
        <v>928</v>
      </c>
      <c r="I1929" t="s">
        <v>6596</v>
      </c>
      <c r="L1929" t="s">
        <v>197</v>
      </c>
    </row>
    <row r="1930" spans="1:12" x14ac:dyDescent="0.4">
      <c r="A1930" t="s">
        <v>4882</v>
      </c>
      <c r="B1930">
        <v>61.5</v>
      </c>
      <c r="C1930" t="s">
        <v>5709</v>
      </c>
      <c r="D1930">
        <v>4</v>
      </c>
      <c r="E1930">
        <v>-0.63</v>
      </c>
      <c r="F1930">
        <v>38.54</v>
      </c>
      <c r="G1930">
        <v>2016</v>
      </c>
      <c r="H1930" t="s">
        <v>928</v>
      </c>
      <c r="I1930" t="s">
        <v>6596</v>
      </c>
      <c r="L1930" t="s">
        <v>197</v>
      </c>
    </row>
    <row r="1931" spans="1:12" x14ac:dyDescent="0.4">
      <c r="A1931" t="s">
        <v>4872</v>
      </c>
      <c r="B1931">
        <v>69</v>
      </c>
      <c r="C1931" t="s">
        <v>5700</v>
      </c>
      <c r="D1931">
        <v>4</v>
      </c>
      <c r="E1931">
        <v>2.5999999999999999E-2</v>
      </c>
      <c r="F1931">
        <v>31.02</v>
      </c>
      <c r="G1931">
        <v>2016</v>
      </c>
      <c r="H1931" t="s">
        <v>928</v>
      </c>
      <c r="I1931" t="s">
        <v>6596</v>
      </c>
      <c r="L1931" t="s">
        <v>197</v>
      </c>
    </row>
    <row r="1932" spans="1:12" x14ac:dyDescent="0.4">
      <c r="A1932" t="s">
        <v>5980</v>
      </c>
      <c r="B1932">
        <v>71.099999999999994</v>
      </c>
      <c r="C1932" t="s">
        <v>5718</v>
      </c>
      <c r="D1932">
        <v>4</v>
      </c>
      <c r="E1932">
        <v>0.21</v>
      </c>
      <c r="F1932">
        <v>28.95</v>
      </c>
      <c r="G1932">
        <v>2016</v>
      </c>
      <c r="H1932" t="s">
        <v>928</v>
      </c>
      <c r="I1932" t="s">
        <v>6596</v>
      </c>
      <c r="L1932" t="s">
        <v>197</v>
      </c>
    </row>
    <row r="1933" spans="1:12" x14ac:dyDescent="0.4">
      <c r="A1933" t="s">
        <v>4890</v>
      </c>
      <c r="B1933">
        <v>66</v>
      </c>
      <c r="C1933" t="s">
        <v>5725</v>
      </c>
      <c r="D1933">
        <v>4</v>
      </c>
      <c r="E1933">
        <v>-0.23599999999999999</v>
      </c>
      <c r="F1933">
        <v>34.03</v>
      </c>
      <c r="G1933">
        <v>2016</v>
      </c>
      <c r="H1933" t="s">
        <v>928</v>
      </c>
      <c r="I1933" t="s">
        <v>6596</v>
      </c>
      <c r="L1933" t="s">
        <v>197</v>
      </c>
    </row>
    <row r="1934" spans="1:12" x14ac:dyDescent="0.4">
      <c r="A1934" t="s">
        <v>4891</v>
      </c>
      <c r="B1934">
        <v>72.2</v>
      </c>
      <c r="C1934" t="s">
        <v>5705</v>
      </c>
      <c r="D1934">
        <v>4</v>
      </c>
      <c r="E1934">
        <v>0.30599999999999999</v>
      </c>
      <c r="F1934">
        <v>27.76</v>
      </c>
      <c r="G1934">
        <v>2016</v>
      </c>
      <c r="H1934" t="s">
        <v>928</v>
      </c>
      <c r="I1934" t="s">
        <v>6596</v>
      </c>
      <c r="L1934" t="s">
        <v>197</v>
      </c>
    </row>
    <row r="1935" spans="1:12" x14ac:dyDescent="0.4">
      <c r="A1935" t="s">
        <v>4873</v>
      </c>
      <c r="B1935">
        <v>58.7</v>
      </c>
      <c r="C1935" t="s">
        <v>5711</v>
      </c>
      <c r="D1935">
        <v>3</v>
      </c>
      <c r="E1935">
        <v>-0.875</v>
      </c>
      <c r="F1935">
        <v>41.35</v>
      </c>
      <c r="G1935">
        <v>2016</v>
      </c>
      <c r="H1935" t="s">
        <v>928</v>
      </c>
      <c r="I1935" t="s">
        <v>6596</v>
      </c>
      <c r="L1935" t="s">
        <v>197</v>
      </c>
    </row>
    <row r="1936" spans="1:12" x14ac:dyDescent="0.4">
      <c r="A1936" t="s">
        <v>4881</v>
      </c>
      <c r="B1936">
        <v>83.4</v>
      </c>
      <c r="C1936" t="s">
        <v>2484</v>
      </c>
      <c r="D1936">
        <v>5</v>
      </c>
      <c r="E1936">
        <v>1.2869999999999999</v>
      </c>
      <c r="F1936">
        <v>16.559999999999999</v>
      </c>
      <c r="G1936">
        <v>2016</v>
      </c>
      <c r="H1936" t="s">
        <v>928</v>
      </c>
      <c r="I1936" t="s">
        <v>6596</v>
      </c>
      <c r="L1936" t="s">
        <v>197</v>
      </c>
    </row>
    <row r="1937" spans="1:12" x14ac:dyDescent="0.4">
      <c r="A1937" t="s">
        <v>4903</v>
      </c>
      <c r="B1937">
        <v>74.599999999999994</v>
      </c>
      <c r="C1937" t="s">
        <v>5696</v>
      </c>
      <c r="D1937">
        <v>4</v>
      </c>
      <c r="E1937">
        <v>0.51600000000000001</v>
      </c>
      <c r="F1937">
        <v>25.39</v>
      </c>
      <c r="G1937">
        <v>2016</v>
      </c>
      <c r="H1937" t="s">
        <v>928</v>
      </c>
      <c r="I1937" t="s">
        <v>6596</v>
      </c>
      <c r="L1937" t="s">
        <v>197</v>
      </c>
    </row>
    <row r="1938" spans="1:12" x14ac:dyDescent="0.4">
      <c r="A1938" t="s">
        <v>4900</v>
      </c>
      <c r="B1938">
        <v>63.2</v>
      </c>
      <c r="C1938" t="s">
        <v>5702</v>
      </c>
      <c r="D1938">
        <v>4</v>
      </c>
      <c r="E1938">
        <v>-0.48099999999999998</v>
      </c>
      <c r="F1938">
        <v>36.799999999999997</v>
      </c>
      <c r="G1938">
        <v>2016</v>
      </c>
      <c r="H1938" t="s">
        <v>6613</v>
      </c>
      <c r="I1938" t="s">
        <v>6614</v>
      </c>
      <c r="L1938" t="s">
        <v>197</v>
      </c>
    </row>
    <row r="1939" spans="1:12" x14ac:dyDescent="0.4">
      <c r="A1939" t="s">
        <v>4878</v>
      </c>
      <c r="B1939">
        <v>69.400000000000006</v>
      </c>
      <c r="C1939" t="s">
        <v>5729</v>
      </c>
      <c r="D1939">
        <v>4</v>
      </c>
      <c r="E1939">
        <v>6.0999999999999999E-2</v>
      </c>
      <c r="F1939">
        <v>30.56</v>
      </c>
      <c r="G1939">
        <v>2016</v>
      </c>
      <c r="H1939" t="s">
        <v>928</v>
      </c>
      <c r="I1939" t="s">
        <v>6596</v>
      </c>
      <c r="L1939" t="s">
        <v>197</v>
      </c>
    </row>
    <row r="1940" spans="1:12" x14ac:dyDescent="0.4">
      <c r="A1940" t="s">
        <v>4884</v>
      </c>
      <c r="B1940">
        <v>77.400000000000006</v>
      </c>
      <c r="C1940" t="s">
        <v>2481</v>
      </c>
      <c r="D1940">
        <v>4</v>
      </c>
      <c r="E1940">
        <v>0.76100000000000001</v>
      </c>
      <c r="F1940">
        <v>22.57</v>
      </c>
      <c r="G1940">
        <v>2016</v>
      </c>
      <c r="H1940" t="s">
        <v>928</v>
      </c>
      <c r="I1940" t="s">
        <v>6596</v>
      </c>
      <c r="L1940" t="s">
        <v>197</v>
      </c>
    </row>
    <row r="1941" spans="1:12" x14ac:dyDescent="0.4">
      <c r="A1941" t="s">
        <v>4862</v>
      </c>
      <c r="B1941">
        <v>61.8</v>
      </c>
      <c r="C1941" t="s">
        <v>5694</v>
      </c>
      <c r="D1941">
        <v>4</v>
      </c>
      <c r="E1941">
        <v>-0.60399999999999998</v>
      </c>
      <c r="F1941">
        <v>38.17</v>
      </c>
      <c r="G1941">
        <v>2016</v>
      </c>
      <c r="H1941" t="s">
        <v>928</v>
      </c>
      <c r="I1941" t="s">
        <v>6596</v>
      </c>
      <c r="L1941" t="s">
        <v>197</v>
      </c>
    </row>
    <row r="1942" spans="1:12" x14ac:dyDescent="0.4">
      <c r="A1942" t="s">
        <v>4887</v>
      </c>
      <c r="B1942">
        <v>66.400000000000006</v>
      </c>
      <c r="C1942" t="s">
        <v>6585</v>
      </c>
      <c r="D1942">
        <v>4</v>
      </c>
      <c r="E1942">
        <v>-0.20100000000000001</v>
      </c>
      <c r="F1942">
        <v>33.65</v>
      </c>
      <c r="G1942">
        <v>2016</v>
      </c>
      <c r="H1942" t="s">
        <v>928</v>
      </c>
      <c r="I1942" t="s">
        <v>6596</v>
      </c>
      <c r="L1942" t="s">
        <v>197</v>
      </c>
    </row>
    <row r="1943" spans="1:12" x14ac:dyDescent="0.4">
      <c r="A1943" t="s">
        <v>4892</v>
      </c>
      <c r="B1943">
        <v>86.6</v>
      </c>
      <c r="C1943" t="s">
        <v>2477</v>
      </c>
      <c r="D1943">
        <v>5</v>
      </c>
      <c r="E1943">
        <v>1.5669999999999999</v>
      </c>
      <c r="F1943">
        <v>13.4</v>
      </c>
      <c r="G1943">
        <v>2016</v>
      </c>
      <c r="H1943" t="s">
        <v>928</v>
      </c>
      <c r="I1943" t="s">
        <v>6596</v>
      </c>
      <c r="L1943" t="s">
        <v>197</v>
      </c>
    </row>
    <row r="1944" spans="1:12" x14ac:dyDescent="0.4">
      <c r="A1944" t="s">
        <v>4889</v>
      </c>
      <c r="B1944">
        <v>66</v>
      </c>
      <c r="C1944" t="s">
        <v>5725</v>
      </c>
      <c r="D1944">
        <v>4</v>
      </c>
      <c r="E1944">
        <v>-0.23599999999999999</v>
      </c>
      <c r="F1944">
        <v>34.03</v>
      </c>
      <c r="G1944">
        <v>2016</v>
      </c>
      <c r="H1944" t="s">
        <v>928</v>
      </c>
      <c r="I1944" t="s">
        <v>6596</v>
      </c>
      <c r="L1944" t="s">
        <v>197</v>
      </c>
    </row>
    <row r="1945" spans="1:12" x14ac:dyDescent="0.4">
      <c r="A1945" t="s">
        <v>4874</v>
      </c>
      <c r="B1945">
        <v>33</v>
      </c>
      <c r="C1945" t="s">
        <v>6033</v>
      </c>
      <c r="D1945">
        <v>2</v>
      </c>
      <c r="E1945">
        <v>-3.1240000000000001</v>
      </c>
      <c r="F1945">
        <v>66.959999999999994</v>
      </c>
      <c r="G1945">
        <v>2016</v>
      </c>
      <c r="H1945" t="s">
        <v>928</v>
      </c>
      <c r="I1945" t="s">
        <v>6596</v>
      </c>
      <c r="L1945" t="s">
        <v>197</v>
      </c>
    </row>
    <row r="1946" spans="1:12" x14ac:dyDescent="0.4">
      <c r="A1946" t="s">
        <v>4861</v>
      </c>
      <c r="B1946">
        <v>72.900000000000006</v>
      </c>
      <c r="C1946" t="s">
        <v>5707</v>
      </c>
      <c r="D1946">
        <v>4</v>
      </c>
      <c r="E1946">
        <v>0.36799999999999999</v>
      </c>
      <c r="F1946">
        <v>27.1</v>
      </c>
      <c r="G1946">
        <v>2016</v>
      </c>
      <c r="H1946" t="s">
        <v>928</v>
      </c>
      <c r="I1946" t="s">
        <v>6596</v>
      </c>
      <c r="L1946" t="s">
        <v>197</v>
      </c>
    </row>
    <row r="1947" spans="1:12" x14ac:dyDescent="0.4">
      <c r="A1947" t="s">
        <v>4877</v>
      </c>
      <c r="B1947">
        <v>64.099999999999994</v>
      </c>
      <c r="C1947" t="s">
        <v>5699</v>
      </c>
      <c r="D1947">
        <v>4</v>
      </c>
      <c r="E1947">
        <v>-0.40300000000000002</v>
      </c>
      <c r="F1947">
        <v>35.86</v>
      </c>
      <c r="G1947">
        <v>2016</v>
      </c>
      <c r="H1947" t="s">
        <v>928</v>
      </c>
      <c r="I1947" t="s">
        <v>6596</v>
      </c>
      <c r="L1947" t="s">
        <v>197</v>
      </c>
    </row>
    <row r="1948" spans="1:12" x14ac:dyDescent="0.4">
      <c r="A1948" t="s">
        <v>4879</v>
      </c>
      <c r="B1948">
        <v>73.2</v>
      </c>
      <c r="C1948" t="s">
        <v>5701</v>
      </c>
      <c r="D1948">
        <v>4</v>
      </c>
      <c r="E1948">
        <v>0.39400000000000002</v>
      </c>
      <c r="F1948">
        <v>26.81</v>
      </c>
      <c r="G1948">
        <v>2016</v>
      </c>
      <c r="H1948" t="s">
        <v>928</v>
      </c>
      <c r="I1948" t="s">
        <v>6596</v>
      </c>
      <c r="L1948" t="s">
        <v>197</v>
      </c>
    </row>
    <row r="1949" spans="1:12" x14ac:dyDescent="0.4">
      <c r="A1949" t="s">
        <v>4905</v>
      </c>
      <c r="B1949">
        <v>60.3</v>
      </c>
      <c r="C1949" t="s">
        <v>5698</v>
      </c>
      <c r="D1949">
        <v>4</v>
      </c>
      <c r="E1949">
        <v>-0.73499999999999999</v>
      </c>
      <c r="F1949">
        <v>39.659999999999997</v>
      </c>
      <c r="G1949">
        <v>2016</v>
      </c>
      <c r="H1949" t="s">
        <v>928</v>
      </c>
      <c r="I1949" t="s">
        <v>6596</v>
      </c>
      <c r="L1949" t="s">
        <v>197</v>
      </c>
    </row>
    <row r="1950" spans="1:12" x14ac:dyDescent="0.4">
      <c r="A1950" t="s">
        <v>4902</v>
      </c>
      <c r="B1950">
        <v>69.599999999999994</v>
      </c>
      <c r="C1950" t="s">
        <v>6589</v>
      </c>
      <c r="D1950">
        <v>4</v>
      </c>
      <c r="E1950">
        <v>7.9000000000000001E-2</v>
      </c>
      <c r="F1950">
        <v>30.37</v>
      </c>
      <c r="G1950">
        <v>2016</v>
      </c>
      <c r="H1950" t="s">
        <v>928</v>
      </c>
      <c r="I1950" t="s">
        <v>6596</v>
      </c>
      <c r="L1950" t="s">
        <v>197</v>
      </c>
    </row>
    <row r="1951" spans="1:12" x14ac:dyDescent="0.4">
      <c r="A1951" t="s">
        <v>4867</v>
      </c>
      <c r="B1951">
        <v>71.099999999999994</v>
      </c>
      <c r="C1951" t="s">
        <v>5718</v>
      </c>
      <c r="D1951">
        <v>4</v>
      </c>
      <c r="E1951">
        <v>0.21</v>
      </c>
      <c r="F1951">
        <v>28.89</v>
      </c>
      <c r="G1951">
        <v>2016</v>
      </c>
      <c r="H1951" t="s">
        <v>928</v>
      </c>
      <c r="I1951" t="s">
        <v>6596</v>
      </c>
      <c r="L1951" t="s">
        <v>197</v>
      </c>
    </row>
    <row r="1952" spans="1:12" x14ac:dyDescent="0.4">
      <c r="A1952" t="s">
        <v>4880</v>
      </c>
      <c r="B1952">
        <v>82.9</v>
      </c>
      <c r="C1952" t="s">
        <v>2474</v>
      </c>
      <c r="D1952">
        <v>5</v>
      </c>
      <c r="E1952">
        <v>1.2430000000000001</v>
      </c>
      <c r="F1952">
        <v>17.12</v>
      </c>
      <c r="G1952">
        <v>2016</v>
      </c>
      <c r="H1952" t="s">
        <v>928</v>
      </c>
      <c r="I1952" t="s">
        <v>6596</v>
      </c>
      <c r="L1952" t="s">
        <v>197</v>
      </c>
    </row>
    <row r="1953" spans="1:12" x14ac:dyDescent="0.4">
      <c r="A1953" t="s">
        <v>4888</v>
      </c>
      <c r="B1953">
        <v>66</v>
      </c>
      <c r="C1953" t="s">
        <v>5725</v>
      </c>
      <c r="D1953">
        <v>4</v>
      </c>
      <c r="E1953">
        <v>-0.23599999999999999</v>
      </c>
      <c r="F1953">
        <v>34.03</v>
      </c>
      <c r="G1953">
        <v>2016</v>
      </c>
      <c r="H1953" t="s">
        <v>928</v>
      </c>
      <c r="I1953" t="s">
        <v>6596</v>
      </c>
      <c r="L1953" t="s">
        <v>197</v>
      </c>
    </row>
    <row r="1954" spans="1:12" x14ac:dyDescent="0.4">
      <c r="A1954" t="s">
        <v>4864</v>
      </c>
      <c r="B1954">
        <v>84.6</v>
      </c>
      <c r="C1954" t="s">
        <v>2482</v>
      </c>
      <c r="D1954">
        <v>5</v>
      </c>
      <c r="E1954">
        <v>1.3919999999999999</v>
      </c>
      <c r="F1954">
        <v>15.44</v>
      </c>
      <c r="G1954">
        <v>2016</v>
      </c>
      <c r="H1954" t="s">
        <v>928</v>
      </c>
      <c r="I1954" t="s">
        <v>6596</v>
      </c>
      <c r="L1954" t="s">
        <v>197</v>
      </c>
    </row>
    <row r="1955" spans="1:12" x14ac:dyDescent="0.4">
      <c r="A1955" t="s">
        <v>5848</v>
      </c>
      <c r="B1955">
        <v>60</v>
      </c>
      <c r="C1955" t="s">
        <v>6588</v>
      </c>
      <c r="D1955">
        <v>4</v>
      </c>
      <c r="E1955">
        <v>-0.76100000000000001</v>
      </c>
      <c r="F1955">
        <v>40.01</v>
      </c>
      <c r="G1955">
        <v>2016</v>
      </c>
      <c r="H1955" t="s">
        <v>928</v>
      </c>
      <c r="I1955" t="s">
        <v>6596</v>
      </c>
      <c r="L1955" t="s">
        <v>197</v>
      </c>
    </row>
    <row r="1956" spans="1:12" x14ac:dyDescent="0.4">
      <c r="A1956" t="s">
        <v>4895</v>
      </c>
      <c r="B1956">
        <v>64.5</v>
      </c>
      <c r="C1956" t="s">
        <v>6044</v>
      </c>
      <c r="D1956">
        <v>4</v>
      </c>
      <c r="E1956">
        <v>-0.36799999999999999</v>
      </c>
      <c r="F1956">
        <v>35.47</v>
      </c>
      <c r="G1956">
        <v>2016</v>
      </c>
      <c r="H1956" t="s">
        <v>928</v>
      </c>
      <c r="I1956" t="s">
        <v>6596</v>
      </c>
      <c r="L1956" t="s">
        <v>197</v>
      </c>
    </row>
    <row r="1957" spans="1:12" x14ac:dyDescent="0.4">
      <c r="A1957" t="s">
        <v>5849</v>
      </c>
      <c r="B1957">
        <v>70.7</v>
      </c>
      <c r="C1957" t="s">
        <v>6579</v>
      </c>
      <c r="D1957">
        <v>4</v>
      </c>
      <c r="E1957">
        <v>0.17499999999999999</v>
      </c>
      <c r="F1957">
        <v>29.32</v>
      </c>
      <c r="G1957">
        <v>2016</v>
      </c>
      <c r="H1957" t="s">
        <v>928</v>
      </c>
      <c r="I1957" t="s">
        <v>6596</v>
      </c>
      <c r="L1957" t="s">
        <v>197</v>
      </c>
    </row>
    <row r="1958" spans="1:12" x14ac:dyDescent="0.4">
      <c r="A1958" t="s">
        <v>4906</v>
      </c>
      <c r="B1958">
        <v>89.5</v>
      </c>
      <c r="C1958" t="s">
        <v>2479</v>
      </c>
      <c r="D1958">
        <v>5</v>
      </c>
      <c r="E1958">
        <v>1.82</v>
      </c>
      <c r="F1958">
        <v>10.51</v>
      </c>
      <c r="G1958">
        <v>2016</v>
      </c>
      <c r="H1958" t="s">
        <v>928</v>
      </c>
      <c r="I1958" t="s">
        <v>6596</v>
      </c>
      <c r="L1958" t="s">
        <v>197</v>
      </c>
    </row>
    <row r="1959" spans="1:12" x14ac:dyDescent="0.4">
      <c r="A1959" t="s">
        <v>4871</v>
      </c>
      <c r="B1959">
        <v>46.9</v>
      </c>
      <c r="C1959" t="s">
        <v>6035</v>
      </c>
      <c r="D1959">
        <v>3</v>
      </c>
      <c r="E1959">
        <v>-1.9079999999999999</v>
      </c>
      <c r="F1959">
        <v>53.14</v>
      </c>
      <c r="G1959">
        <v>2016</v>
      </c>
      <c r="H1959" t="s">
        <v>928</v>
      </c>
      <c r="I1959" t="s">
        <v>6596</v>
      </c>
      <c r="L1959" t="s">
        <v>197</v>
      </c>
    </row>
    <row r="1960" spans="1:12" x14ac:dyDescent="0.4">
      <c r="A1960" t="s">
        <v>4876</v>
      </c>
      <c r="B1960">
        <v>58.6</v>
      </c>
      <c r="C1960" t="s">
        <v>5728</v>
      </c>
      <c r="D1960">
        <v>3</v>
      </c>
      <c r="E1960">
        <v>-0.88400000000000001</v>
      </c>
      <c r="F1960">
        <v>41.39</v>
      </c>
      <c r="G1960">
        <v>2016</v>
      </c>
      <c r="H1960" t="s">
        <v>928</v>
      </c>
      <c r="I1960" t="s">
        <v>6596</v>
      </c>
      <c r="L1960" t="s">
        <v>197</v>
      </c>
    </row>
    <row r="1961" spans="1:12" x14ac:dyDescent="0.4">
      <c r="A1961" t="s">
        <v>4869</v>
      </c>
      <c r="B1961">
        <v>60</v>
      </c>
      <c r="C1961" t="s">
        <v>6588</v>
      </c>
      <c r="D1961">
        <v>4</v>
      </c>
      <c r="E1961">
        <v>-0.76100000000000001</v>
      </c>
      <c r="F1961">
        <v>40.01</v>
      </c>
      <c r="G1961">
        <v>2016</v>
      </c>
      <c r="H1961" t="s">
        <v>928</v>
      </c>
      <c r="I1961" t="s">
        <v>6596</v>
      </c>
      <c r="L1961" t="s">
        <v>197</v>
      </c>
    </row>
    <row r="1962" spans="1:12" x14ac:dyDescent="0.4">
      <c r="A1962" t="s">
        <v>5850</v>
      </c>
      <c r="B1962">
        <v>53</v>
      </c>
      <c r="C1962" t="s">
        <v>6036</v>
      </c>
      <c r="D1962">
        <v>3</v>
      </c>
      <c r="E1962">
        <v>-1.3740000000000001</v>
      </c>
      <c r="F1962">
        <v>47.02</v>
      </c>
      <c r="G1962">
        <v>2016</v>
      </c>
      <c r="H1962" t="s">
        <v>928</v>
      </c>
      <c r="I1962" t="s">
        <v>6596</v>
      </c>
      <c r="L1962" t="s">
        <v>197</v>
      </c>
    </row>
    <row r="1963" spans="1:12" x14ac:dyDescent="0.4">
      <c r="A1963" t="s">
        <v>4896</v>
      </c>
      <c r="B1963">
        <v>64.7</v>
      </c>
      <c r="C1963" t="s">
        <v>5727</v>
      </c>
      <c r="D1963">
        <v>4</v>
      </c>
      <c r="E1963">
        <v>-0.35</v>
      </c>
      <c r="F1963">
        <v>35.35</v>
      </c>
      <c r="G1963">
        <v>2016</v>
      </c>
      <c r="H1963" t="s">
        <v>928</v>
      </c>
      <c r="I1963" t="s">
        <v>6596</v>
      </c>
      <c r="L1963" t="s">
        <v>197</v>
      </c>
    </row>
    <row r="1964" spans="1:12" x14ac:dyDescent="0.4">
      <c r="A1964" t="s">
        <v>4897</v>
      </c>
      <c r="B1964">
        <v>85.9</v>
      </c>
      <c r="C1964" t="s">
        <v>6039</v>
      </c>
      <c r="D1964">
        <v>5</v>
      </c>
      <c r="E1964">
        <v>1.5049999999999999</v>
      </c>
      <c r="F1964">
        <v>14.11</v>
      </c>
      <c r="G1964">
        <v>2016</v>
      </c>
      <c r="H1964" t="s">
        <v>928</v>
      </c>
      <c r="I1964" t="s">
        <v>6596</v>
      </c>
      <c r="L1964" t="s">
        <v>197</v>
      </c>
    </row>
    <row r="1965" spans="1:12" x14ac:dyDescent="0.4">
      <c r="A1965" t="s">
        <v>4893</v>
      </c>
      <c r="B1965">
        <v>63.5</v>
      </c>
      <c r="C1965" t="s">
        <v>5704</v>
      </c>
      <c r="D1965">
        <v>4</v>
      </c>
      <c r="E1965">
        <v>-0.45500000000000002</v>
      </c>
      <c r="F1965">
        <v>36.5</v>
      </c>
      <c r="G1965">
        <v>2016</v>
      </c>
      <c r="H1965" t="s">
        <v>928</v>
      </c>
      <c r="I1965" t="s">
        <v>6596</v>
      </c>
      <c r="L1965" t="s">
        <v>197</v>
      </c>
    </row>
    <row r="1966" spans="1:12" x14ac:dyDescent="0.4">
      <c r="A1966" t="s">
        <v>4901</v>
      </c>
      <c r="B1966">
        <v>69.599999999999994</v>
      </c>
      <c r="C1966" t="s">
        <v>6589</v>
      </c>
      <c r="D1966">
        <v>4</v>
      </c>
      <c r="E1966">
        <v>7.9000000000000001E-2</v>
      </c>
      <c r="F1966">
        <v>30.37</v>
      </c>
      <c r="G1966">
        <v>2016</v>
      </c>
      <c r="H1966" t="s">
        <v>928</v>
      </c>
      <c r="I1966" t="s">
        <v>6596</v>
      </c>
      <c r="L1966" t="s">
        <v>197</v>
      </c>
    </row>
    <row r="1967" spans="1:12" x14ac:dyDescent="0.4">
      <c r="A1967" t="s">
        <v>4894</v>
      </c>
      <c r="B1967">
        <v>64.5</v>
      </c>
      <c r="C1967" t="s">
        <v>6044</v>
      </c>
      <c r="D1967">
        <v>4</v>
      </c>
      <c r="E1967">
        <v>-0.36799999999999999</v>
      </c>
      <c r="F1967">
        <v>35.47</v>
      </c>
      <c r="G1967">
        <v>2016</v>
      </c>
      <c r="H1967" t="s">
        <v>928</v>
      </c>
      <c r="I1967" t="s">
        <v>6596</v>
      </c>
      <c r="L1967" t="s">
        <v>197</v>
      </c>
    </row>
    <row r="1968" spans="1:12" x14ac:dyDescent="0.4">
      <c r="A1968" t="s">
        <v>4866</v>
      </c>
      <c r="B1968">
        <v>71.400000000000006</v>
      </c>
      <c r="C1968" t="s">
        <v>5692</v>
      </c>
      <c r="D1968">
        <v>4</v>
      </c>
      <c r="E1968">
        <v>0.23599999999999999</v>
      </c>
      <c r="F1968">
        <v>28.6</v>
      </c>
      <c r="G1968">
        <v>2016</v>
      </c>
      <c r="H1968" t="s">
        <v>928</v>
      </c>
      <c r="I1968" t="s">
        <v>6596</v>
      </c>
      <c r="L1968" t="s">
        <v>197</v>
      </c>
    </row>
    <row r="1969" spans="1:12" x14ac:dyDescent="0.4">
      <c r="A1969" t="s">
        <v>4883</v>
      </c>
      <c r="B1969">
        <v>69.900000000000006</v>
      </c>
      <c r="C1969" t="s">
        <v>6034</v>
      </c>
      <c r="D1969">
        <v>4</v>
      </c>
      <c r="E1969">
        <v>0.105</v>
      </c>
      <c r="F1969">
        <v>30.09</v>
      </c>
      <c r="G1969">
        <v>2016</v>
      </c>
      <c r="H1969" t="s">
        <v>928</v>
      </c>
      <c r="I1969" t="s">
        <v>6596</v>
      </c>
      <c r="L1969" t="s">
        <v>197</v>
      </c>
    </row>
    <row r="1970" spans="1:12" x14ac:dyDescent="0.4">
      <c r="A1970" t="s">
        <v>4899</v>
      </c>
      <c r="B1970">
        <v>85.9</v>
      </c>
      <c r="C1970" t="s">
        <v>6039</v>
      </c>
      <c r="D1970">
        <v>5</v>
      </c>
      <c r="E1970">
        <v>1.5049999999999999</v>
      </c>
      <c r="F1970">
        <v>14.11</v>
      </c>
      <c r="G1970">
        <v>2016</v>
      </c>
      <c r="H1970" t="s">
        <v>928</v>
      </c>
      <c r="I1970" t="s">
        <v>6596</v>
      </c>
      <c r="L1970" t="s">
        <v>197</v>
      </c>
    </row>
    <row r="1971" spans="1:12" x14ac:dyDescent="0.4">
      <c r="A1971" t="s">
        <v>4885</v>
      </c>
      <c r="B1971">
        <v>89.3</v>
      </c>
      <c r="C1971" t="s">
        <v>2478</v>
      </c>
      <c r="D1971">
        <v>5</v>
      </c>
      <c r="E1971">
        <v>1.8029999999999999</v>
      </c>
      <c r="F1971">
        <v>10.73</v>
      </c>
      <c r="G1971">
        <v>2016</v>
      </c>
      <c r="H1971" t="s">
        <v>928</v>
      </c>
      <c r="I1971" t="s">
        <v>6596</v>
      </c>
      <c r="L1971" t="s">
        <v>197</v>
      </c>
    </row>
    <row r="1972" spans="1:12" x14ac:dyDescent="0.4">
      <c r="A1972" t="s">
        <v>4907</v>
      </c>
      <c r="B1972">
        <v>68.7</v>
      </c>
      <c r="C1972" t="s">
        <v>197</v>
      </c>
      <c r="D1972">
        <v>4</v>
      </c>
    </row>
    <row r="1973" spans="1:12" x14ac:dyDescent="0.4">
      <c r="A1973" t="s">
        <v>4908</v>
      </c>
      <c r="B1973">
        <v>74.2</v>
      </c>
      <c r="C1973" t="s">
        <v>197</v>
      </c>
      <c r="D1973">
        <v>4</v>
      </c>
    </row>
    <row r="1974" spans="1:12" x14ac:dyDescent="0.4">
      <c r="A1974" t="s">
        <v>4909</v>
      </c>
      <c r="B1974">
        <v>61.6</v>
      </c>
      <c r="C1974" t="s">
        <v>197</v>
      </c>
      <c r="D1974">
        <v>4</v>
      </c>
    </row>
    <row r="1975" spans="1:12" x14ac:dyDescent="0.4">
      <c r="A1975" t="s">
        <v>4910</v>
      </c>
      <c r="B1975">
        <v>51.9</v>
      </c>
      <c r="C1975" t="s">
        <v>197</v>
      </c>
      <c r="D1975">
        <v>3</v>
      </c>
    </row>
    <row r="1976" spans="1:12" x14ac:dyDescent="0.4">
      <c r="A1976" t="s">
        <v>4911</v>
      </c>
      <c r="B1976">
        <v>69.2</v>
      </c>
      <c r="C1976" t="s">
        <v>197</v>
      </c>
      <c r="D1976">
        <v>4</v>
      </c>
    </row>
    <row r="1977" spans="1:12" x14ac:dyDescent="0.4">
      <c r="A1977" t="s">
        <v>4912</v>
      </c>
      <c r="B1977">
        <v>73.599999999999994</v>
      </c>
      <c r="C1977" t="s">
        <v>197</v>
      </c>
      <c r="D1977">
        <v>4</v>
      </c>
    </row>
    <row r="1978" spans="1:12" x14ac:dyDescent="0.4">
      <c r="A1978" t="s">
        <v>4913</v>
      </c>
      <c r="B1978">
        <v>71.400000000000006</v>
      </c>
      <c r="C1978" t="s">
        <v>197</v>
      </c>
      <c r="D1978">
        <v>4</v>
      </c>
    </row>
    <row r="1979" spans="1:12" x14ac:dyDescent="0.4">
      <c r="A1979" t="s">
        <v>7351</v>
      </c>
      <c r="B1979">
        <v>74.099999999999994</v>
      </c>
      <c r="C1979" t="s">
        <v>197</v>
      </c>
      <c r="D1979">
        <v>4</v>
      </c>
    </row>
    <row r="1980" spans="1:12" x14ac:dyDescent="0.4">
      <c r="A1980" t="s">
        <v>7352</v>
      </c>
      <c r="B1980">
        <v>73.2</v>
      </c>
      <c r="C1980" t="s">
        <v>197</v>
      </c>
      <c r="D1980">
        <v>4</v>
      </c>
    </row>
    <row r="1981" spans="1:12" x14ac:dyDescent="0.4">
      <c r="A1981" t="s">
        <v>7353</v>
      </c>
      <c r="B1981">
        <v>62.9</v>
      </c>
      <c r="C1981" t="s">
        <v>197</v>
      </c>
      <c r="D1981">
        <v>4</v>
      </c>
    </row>
    <row r="1982" spans="1:12" x14ac:dyDescent="0.4">
      <c r="A1982" t="s">
        <v>3777</v>
      </c>
      <c r="B1982">
        <v>0</v>
      </c>
      <c r="C1982" t="s">
        <v>5719</v>
      </c>
      <c r="D1982">
        <v>1</v>
      </c>
      <c r="E1982">
        <v>-1.03</v>
      </c>
      <c r="F1982">
        <v>0</v>
      </c>
      <c r="G1982">
        <v>2024</v>
      </c>
      <c r="H1982" t="s">
        <v>928</v>
      </c>
      <c r="I1982" t="s">
        <v>6063</v>
      </c>
      <c r="J1982" t="s">
        <v>8166</v>
      </c>
      <c r="K1982" t="s">
        <v>9224</v>
      </c>
    </row>
    <row r="1983" spans="1:12" x14ac:dyDescent="0.4">
      <c r="A1983" t="s">
        <v>3775</v>
      </c>
      <c r="B1983">
        <v>0</v>
      </c>
      <c r="C1983" t="s">
        <v>5719</v>
      </c>
      <c r="D1983">
        <v>1</v>
      </c>
      <c r="E1983">
        <v>-1.03</v>
      </c>
      <c r="F1983">
        <v>0</v>
      </c>
      <c r="G1983">
        <v>2024</v>
      </c>
      <c r="H1983" t="s">
        <v>928</v>
      </c>
      <c r="I1983" t="s">
        <v>6063</v>
      </c>
      <c r="J1983" t="s">
        <v>8167</v>
      </c>
      <c r="K1983" t="s">
        <v>9225</v>
      </c>
    </row>
    <row r="1984" spans="1:12" x14ac:dyDescent="0.4">
      <c r="A1984" t="s">
        <v>3781</v>
      </c>
      <c r="B1984">
        <v>100</v>
      </c>
      <c r="C1984" t="s">
        <v>1380</v>
      </c>
      <c r="D1984">
        <v>5</v>
      </c>
      <c r="E1984">
        <v>0.95099999999999996</v>
      </c>
      <c r="F1984">
        <v>1</v>
      </c>
      <c r="G1984">
        <v>2024</v>
      </c>
      <c r="H1984" t="s">
        <v>928</v>
      </c>
      <c r="I1984" t="s">
        <v>6063</v>
      </c>
      <c r="J1984" t="s">
        <v>8168</v>
      </c>
      <c r="K1984" t="s">
        <v>8169</v>
      </c>
    </row>
    <row r="1985" spans="1:11" x14ac:dyDescent="0.4">
      <c r="A1985" t="s">
        <v>3805</v>
      </c>
      <c r="B1985">
        <v>100</v>
      </c>
      <c r="C1985" t="s">
        <v>1380</v>
      </c>
      <c r="D1985">
        <v>5</v>
      </c>
      <c r="E1985">
        <v>0.95099999999999996</v>
      </c>
      <c r="F1985">
        <v>1</v>
      </c>
      <c r="G1985">
        <v>2024</v>
      </c>
      <c r="H1985" t="s">
        <v>928</v>
      </c>
      <c r="I1985" t="s">
        <v>6063</v>
      </c>
      <c r="J1985" t="s">
        <v>8170</v>
      </c>
      <c r="K1985" t="s">
        <v>8171</v>
      </c>
    </row>
    <row r="1986" spans="1:11" x14ac:dyDescent="0.4">
      <c r="A1986" t="s">
        <v>2155</v>
      </c>
      <c r="B1986">
        <v>100</v>
      </c>
      <c r="C1986" t="s">
        <v>1380</v>
      </c>
      <c r="D1986">
        <v>5</v>
      </c>
      <c r="E1986">
        <v>0.95099999999999996</v>
      </c>
      <c r="F1986">
        <v>1</v>
      </c>
      <c r="G1986">
        <v>2024</v>
      </c>
      <c r="H1986" t="s">
        <v>928</v>
      </c>
      <c r="I1986" t="s">
        <v>6063</v>
      </c>
      <c r="J1986" t="s">
        <v>8172</v>
      </c>
      <c r="K1986" t="s">
        <v>7602</v>
      </c>
    </row>
    <row r="1987" spans="1:11" x14ac:dyDescent="0.4">
      <c r="A1987" t="s">
        <v>3801</v>
      </c>
      <c r="B1987">
        <v>100</v>
      </c>
      <c r="C1987" t="s">
        <v>1380</v>
      </c>
      <c r="D1987">
        <v>5</v>
      </c>
      <c r="E1987">
        <v>0.95099999999999996</v>
      </c>
      <c r="F1987">
        <v>1</v>
      </c>
      <c r="G1987">
        <v>2024</v>
      </c>
      <c r="H1987" t="s">
        <v>928</v>
      </c>
      <c r="I1987" t="s">
        <v>6063</v>
      </c>
      <c r="J1987" t="s">
        <v>8173</v>
      </c>
      <c r="K1987" t="s">
        <v>8174</v>
      </c>
    </row>
    <row r="1988" spans="1:11" x14ac:dyDescent="0.4">
      <c r="A1988" t="s">
        <v>3785</v>
      </c>
      <c r="B1988">
        <v>100</v>
      </c>
      <c r="C1988" t="s">
        <v>1380</v>
      </c>
      <c r="D1988">
        <v>5</v>
      </c>
      <c r="E1988">
        <v>0.95099999999999996</v>
      </c>
      <c r="F1988">
        <v>1</v>
      </c>
      <c r="G1988">
        <v>2024</v>
      </c>
      <c r="H1988" t="s">
        <v>928</v>
      </c>
      <c r="I1988" t="s">
        <v>6063</v>
      </c>
      <c r="J1988" t="s">
        <v>8175</v>
      </c>
      <c r="K1988" t="s">
        <v>8176</v>
      </c>
    </row>
    <row r="1989" spans="1:11" x14ac:dyDescent="0.4">
      <c r="A1989" t="s">
        <v>3779</v>
      </c>
      <c r="B1989">
        <v>100</v>
      </c>
      <c r="C1989" t="s">
        <v>1380</v>
      </c>
      <c r="D1989">
        <v>5</v>
      </c>
      <c r="E1989">
        <v>0.95099999999999996</v>
      </c>
      <c r="F1989">
        <v>1</v>
      </c>
      <c r="G1989">
        <v>2024</v>
      </c>
      <c r="H1989" t="s">
        <v>928</v>
      </c>
      <c r="I1989" t="s">
        <v>6063</v>
      </c>
      <c r="J1989" t="s">
        <v>8177</v>
      </c>
      <c r="K1989" t="s">
        <v>6822</v>
      </c>
    </row>
    <row r="1990" spans="1:11" x14ac:dyDescent="0.4">
      <c r="A1990" t="s">
        <v>3791</v>
      </c>
      <c r="B1990">
        <v>100</v>
      </c>
      <c r="C1990" t="s">
        <v>1380</v>
      </c>
      <c r="D1990">
        <v>5</v>
      </c>
      <c r="E1990">
        <v>0.95099999999999996</v>
      </c>
      <c r="F1990">
        <v>1</v>
      </c>
      <c r="G1990">
        <v>2024</v>
      </c>
      <c r="H1990" t="s">
        <v>928</v>
      </c>
      <c r="I1990" t="s">
        <v>6063</v>
      </c>
      <c r="J1990" t="s">
        <v>8178</v>
      </c>
      <c r="K1990" t="s">
        <v>8179</v>
      </c>
    </row>
    <row r="1991" spans="1:11" x14ac:dyDescent="0.4">
      <c r="A1991" t="s">
        <v>3783</v>
      </c>
      <c r="B1991">
        <v>0</v>
      </c>
      <c r="C1991" t="s">
        <v>5719</v>
      </c>
      <c r="D1991">
        <v>1</v>
      </c>
      <c r="E1991">
        <v>-1.03</v>
      </c>
      <c r="F1991">
        <v>0</v>
      </c>
      <c r="G1991">
        <v>2024</v>
      </c>
      <c r="H1991" t="s">
        <v>928</v>
      </c>
      <c r="I1991" t="s">
        <v>6063</v>
      </c>
      <c r="J1991" t="s">
        <v>8180</v>
      </c>
      <c r="K1991" t="s">
        <v>9226</v>
      </c>
    </row>
    <row r="1992" spans="1:11" x14ac:dyDescent="0.4">
      <c r="A1992" t="s">
        <v>5981</v>
      </c>
      <c r="B1992">
        <v>0</v>
      </c>
      <c r="C1992" t="s">
        <v>5719</v>
      </c>
      <c r="D1992">
        <v>1</v>
      </c>
      <c r="E1992">
        <v>-1.03</v>
      </c>
      <c r="F1992">
        <v>0</v>
      </c>
      <c r="G1992">
        <v>2024</v>
      </c>
      <c r="H1992" t="s">
        <v>928</v>
      </c>
      <c r="I1992" t="s">
        <v>6063</v>
      </c>
      <c r="J1992" t="s">
        <v>8181</v>
      </c>
      <c r="K1992" t="s">
        <v>9227</v>
      </c>
    </row>
    <row r="1993" spans="1:11" x14ac:dyDescent="0.4">
      <c r="A1993" t="s">
        <v>3797</v>
      </c>
      <c r="B1993">
        <v>0</v>
      </c>
      <c r="C1993" t="s">
        <v>5719</v>
      </c>
      <c r="D1993">
        <v>1</v>
      </c>
      <c r="E1993">
        <v>-1.03</v>
      </c>
      <c r="F1993">
        <v>0</v>
      </c>
      <c r="G1993">
        <v>2024</v>
      </c>
      <c r="H1993" t="s">
        <v>928</v>
      </c>
      <c r="I1993" t="s">
        <v>6063</v>
      </c>
      <c r="J1993" t="s">
        <v>8182</v>
      </c>
      <c r="K1993" t="s">
        <v>9228</v>
      </c>
    </row>
    <row r="1994" spans="1:11" x14ac:dyDescent="0.4">
      <c r="A1994" t="s">
        <v>2156</v>
      </c>
      <c r="B1994">
        <v>0</v>
      </c>
      <c r="C1994" t="s">
        <v>5719</v>
      </c>
      <c r="D1994">
        <v>1</v>
      </c>
      <c r="E1994">
        <v>-1.03</v>
      </c>
      <c r="F1994">
        <v>0</v>
      </c>
      <c r="G1994">
        <v>2024</v>
      </c>
      <c r="H1994" t="s">
        <v>928</v>
      </c>
      <c r="I1994" t="s">
        <v>6063</v>
      </c>
      <c r="J1994" t="s">
        <v>8988</v>
      </c>
      <c r="K1994" t="s">
        <v>9229</v>
      </c>
    </row>
    <row r="1995" spans="1:11" x14ac:dyDescent="0.4">
      <c r="A1995" t="s">
        <v>2165</v>
      </c>
      <c r="B1995">
        <v>100</v>
      </c>
      <c r="C1995" t="s">
        <v>1380</v>
      </c>
      <c r="D1995">
        <v>5</v>
      </c>
      <c r="E1995">
        <v>0.95099999999999996</v>
      </c>
      <c r="F1995">
        <v>1</v>
      </c>
      <c r="G1995">
        <v>2024</v>
      </c>
      <c r="H1995" t="s">
        <v>928</v>
      </c>
      <c r="I1995" t="s">
        <v>6063</v>
      </c>
      <c r="J1995" t="s">
        <v>8183</v>
      </c>
      <c r="K1995" t="s">
        <v>8184</v>
      </c>
    </row>
    <row r="1996" spans="1:11" x14ac:dyDescent="0.4">
      <c r="A1996" t="s">
        <v>3790</v>
      </c>
      <c r="B1996">
        <v>100</v>
      </c>
      <c r="C1996" t="s">
        <v>1380</v>
      </c>
      <c r="D1996">
        <v>5</v>
      </c>
      <c r="E1996">
        <v>0.95099999999999996</v>
      </c>
      <c r="F1996">
        <v>1</v>
      </c>
      <c r="G1996">
        <v>2024</v>
      </c>
      <c r="H1996" t="s">
        <v>928</v>
      </c>
      <c r="I1996" t="s">
        <v>6063</v>
      </c>
      <c r="J1996" t="s">
        <v>8185</v>
      </c>
      <c r="K1996" t="s">
        <v>8186</v>
      </c>
    </row>
    <row r="1997" spans="1:11" x14ac:dyDescent="0.4">
      <c r="A1997" t="s">
        <v>3804</v>
      </c>
      <c r="B1997">
        <v>100</v>
      </c>
      <c r="C1997" t="s">
        <v>1380</v>
      </c>
      <c r="D1997">
        <v>5</v>
      </c>
      <c r="E1997">
        <v>0.95099999999999996</v>
      </c>
      <c r="F1997">
        <v>1</v>
      </c>
      <c r="G1997">
        <v>2024</v>
      </c>
      <c r="H1997" t="s">
        <v>928</v>
      </c>
      <c r="I1997" t="s">
        <v>6063</v>
      </c>
      <c r="J1997" t="s">
        <v>8187</v>
      </c>
      <c r="K1997" t="s">
        <v>8188</v>
      </c>
    </row>
    <row r="1998" spans="1:11" x14ac:dyDescent="0.4">
      <c r="A1998" t="s">
        <v>2157</v>
      </c>
      <c r="B1998">
        <v>100</v>
      </c>
      <c r="C1998" t="s">
        <v>1380</v>
      </c>
      <c r="D1998">
        <v>5</v>
      </c>
      <c r="E1998">
        <v>0.95099999999999996</v>
      </c>
      <c r="F1998">
        <v>1</v>
      </c>
      <c r="G1998">
        <v>2024</v>
      </c>
      <c r="H1998" t="s">
        <v>928</v>
      </c>
      <c r="I1998" t="s">
        <v>6063</v>
      </c>
      <c r="J1998" t="s">
        <v>8189</v>
      </c>
      <c r="K1998" t="s">
        <v>6823</v>
      </c>
    </row>
    <row r="1999" spans="1:11" x14ac:dyDescent="0.4">
      <c r="A1999" t="s">
        <v>2164</v>
      </c>
      <c r="B1999">
        <v>0</v>
      </c>
      <c r="C1999" t="s">
        <v>5719</v>
      </c>
      <c r="D1999">
        <v>1</v>
      </c>
      <c r="E1999">
        <v>-1.03</v>
      </c>
      <c r="F1999">
        <v>0</v>
      </c>
      <c r="G1999">
        <v>2024</v>
      </c>
      <c r="H1999" t="s">
        <v>928</v>
      </c>
      <c r="I1999" t="s">
        <v>6063</v>
      </c>
      <c r="J1999" t="s">
        <v>8190</v>
      </c>
      <c r="K1999" t="s">
        <v>9230</v>
      </c>
    </row>
    <row r="2000" spans="1:11" x14ac:dyDescent="0.4">
      <c r="A2000" t="s">
        <v>2158</v>
      </c>
      <c r="B2000">
        <v>100</v>
      </c>
      <c r="C2000" t="s">
        <v>1380</v>
      </c>
      <c r="D2000">
        <v>5</v>
      </c>
      <c r="E2000">
        <v>0.95099999999999996</v>
      </c>
      <c r="F2000">
        <v>1</v>
      </c>
      <c r="G2000">
        <v>2024</v>
      </c>
      <c r="H2000" t="s">
        <v>928</v>
      </c>
      <c r="I2000" t="s">
        <v>6063</v>
      </c>
      <c r="J2000" t="s">
        <v>8191</v>
      </c>
      <c r="K2000" t="s">
        <v>6809</v>
      </c>
    </row>
    <row r="2001" spans="1:11" x14ac:dyDescent="0.4">
      <c r="A2001" t="s">
        <v>3774</v>
      </c>
      <c r="B2001">
        <v>0</v>
      </c>
      <c r="C2001" t="s">
        <v>5719</v>
      </c>
      <c r="D2001">
        <v>1</v>
      </c>
      <c r="E2001">
        <v>-1.03</v>
      </c>
      <c r="F2001">
        <v>0</v>
      </c>
      <c r="G2001">
        <v>2024</v>
      </c>
      <c r="H2001" t="s">
        <v>928</v>
      </c>
      <c r="I2001" t="s">
        <v>6063</v>
      </c>
      <c r="J2001" t="s">
        <v>8192</v>
      </c>
      <c r="K2001" t="s">
        <v>9231</v>
      </c>
    </row>
    <row r="2002" spans="1:11" x14ac:dyDescent="0.4">
      <c r="A2002" t="s">
        <v>3794</v>
      </c>
      <c r="B2002">
        <v>0</v>
      </c>
      <c r="C2002" t="s">
        <v>5719</v>
      </c>
      <c r="D2002">
        <v>1</v>
      </c>
      <c r="E2002">
        <v>-1.03</v>
      </c>
      <c r="F2002">
        <v>0</v>
      </c>
      <c r="G2002">
        <v>2024</v>
      </c>
      <c r="H2002" t="s">
        <v>928</v>
      </c>
      <c r="I2002" t="s">
        <v>6063</v>
      </c>
      <c r="J2002" t="s">
        <v>8193</v>
      </c>
      <c r="K2002" t="s">
        <v>9232</v>
      </c>
    </row>
    <row r="2003" spans="1:11" x14ac:dyDescent="0.4">
      <c r="A2003" t="s">
        <v>3798</v>
      </c>
      <c r="B2003">
        <v>0</v>
      </c>
      <c r="C2003" t="s">
        <v>5719</v>
      </c>
      <c r="D2003">
        <v>1</v>
      </c>
      <c r="E2003">
        <v>-1.03</v>
      </c>
      <c r="F2003">
        <v>0</v>
      </c>
      <c r="G2003">
        <v>2024</v>
      </c>
      <c r="H2003" t="s">
        <v>928</v>
      </c>
      <c r="I2003" t="s">
        <v>6063</v>
      </c>
      <c r="J2003" t="s">
        <v>8194</v>
      </c>
      <c r="K2003" t="s">
        <v>9233</v>
      </c>
    </row>
    <row r="2004" spans="1:11" x14ac:dyDescent="0.4">
      <c r="A2004" t="s">
        <v>3796</v>
      </c>
      <c r="B2004">
        <v>0</v>
      </c>
      <c r="C2004" t="s">
        <v>5719</v>
      </c>
      <c r="D2004">
        <v>1</v>
      </c>
      <c r="E2004">
        <v>-1.03</v>
      </c>
      <c r="F2004">
        <v>0</v>
      </c>
      <c r="G2004">
        <v>2024</v>
      </c>
      <c r="H2004" t="s">
        <v>928</v>
      </c>
      <c r="I2004" t="s">
        <v>6063</v>
      </c>
      <c r="J2004" t="s">
        <v>8195</v>
      </c>
      <c r="K2004" t="s">
        <v>9234</v>
      </c>
    </row>
    <row r="2005" spans="1:11" x14ac:dyDescent="0.4">
      <c r="A2005" t="s">
        <v>3784</v>
      </c>
      <c r="B2005">
        <v>0</v>
      </c>
      <c r="C2005" t="s">
        <v>5719</v>
      </c>
      <c r="D2005">
        <v>1</v>
      </c>
      <c r="E2005">
        <v>-1.03</v>
      </c>
      <c r="F2005">
        <v>0</v>
      </c>
      <c r="G2005">
        <v>2024</v>
      </c>
      <c r="H2005" t="s">
        <v>928</v>
      </c>
      <c r="I2005" t="s">
        <v>6063</v>
      </c>
      <c r="J2005" t="s">
        <v>8196</v>
      </c>
      <c r="K2005" t="s">
        <v>9235</v>
      </c>
    </row>
    <row r="2006" spans="1:11" x14ac:dyDescent="0.4">
      <c r="A2006" t="s">
        <v>3773</v>
      </c>
      <c r="B2006">
        <v>0</v>
      </c>
      <c r="C2006" t="s">
        <v>5719</v>
      </c>
      <c r="D2006">
        <v>1</v>
      </c>
      <c r="E2006">
        <v>-1.03</v>
      </c>
      <c r="F2006">
        <v>0</v>
      </c>
      <c r="G2006">
        <v>2024</v>
      </c>
      <c r="H2006" t="s">
        <v>928</v>
      </c>
      <c r="I2006" t="s">
        <v>6063</v>
      </c>
      <c r="J2006" t="s">
        <v>8197</v>
      </c>
      <c r="K2006" t="s">
        <v>9214</v>
      </c>
    </row>
    <row r="2007" spans="1:11" x14ac:dyDescent="0.4">
      <c r="A2007" t="s">
        <v>3787</v>
      </c>
      <c r="B2007">
        <v>100</v>
      </c>
      <c r="C2007" t="s">
        <v>1380</v>
      </c>
      <c r="D2007">
        <v>5</v>
      </c>
      <c r="E2007">
        <v>0.95099999999999996</v>
      </c>
      <c r="F2007">
        <v>1</v>
      </c>
      <c r="G2007">
        <v>2024</v>
      </c>
      <c r="H2007" t="s">
        <v>928</v>
      </c>
      <c r="I2007" t="s">
        <v>6063</v>
      </c>
      <c r="J2007" t="s">
        <v>8198</v>
      </c>
      <c r="K2007" t="s">
        <v>8199</v>
      </c>
    </row>
    <row r="2008" spans="1:11" x14ac:dyDescent="0.4">
      <c r="A2008" t="s">
        <v>3788</v>
      </c>
      <c r="B2008">
        <v>100</v>
      </c>
      <c r="C2008" t="s">
        <v>1380</v>
      </c>
      <c r="D2008">
        <v>5</v>
      </c>
      <c r="E2008">
        <v>0.95099999999999996</v>
      </c>
      <c r="F2008">
        <v>1</v>
      </c>
      <c r="G2008">
        <v>2024</v>
      </c>
      <c r="H2008" t="s">
        <v>928</v>
      </c>
      <c r="I2008" t="s">
        <v>6063</v>
      </c>
      <c r="J2008" t="s">
        <v>8200</v>
      </c>
      <c r="K2008" t="s">
        <v>9236</v>
      </c>
    </row>
    <row r="2009" spans="1:11" x14ac:dyDescent="0.4">
      <c r="A2009" t="s">
        <v>3806</v>
      </c>
      <c r="B2009">
        <v>0</v>
      </c>
      <c r="C2009" t="s">
        <v>5719</v>
      </c>
      <c r="D2009">
        <v>1</v>
      </c>
      <c r="E2009">
        <v>-1.03</v>
      </c>
      <c r="F2009">
        <v>0</v>
      </c>
      <c r="G2009">
        <v>2024</v>
      </c>
      <c r="H2009" t="s">
        <v>928</v>
      </c>
      <c r="I2009" t="s">
        <v>6063</v>
      </c>
      <c r="J2009" t="s">
        <v>8201</v>
      </c>
      <c r="K2009" t="s">
        <v>9193</v>
      </c>
    </row>
    <row r="2010" spans="1:11" x14ac:dyDescent="0.4">
      <c r="A2010" t="s">
        <v>2159</v>
      </c>
      <c r="B2010">
        <v>100</v>
      </c>
      <c r="C2010" t="s">
        <v>1380</v>
      </c>
      <c r="D2010">
        <v>5</v>
      </c>
      <c r="E2010">
        <v>0.95099999999999996</v>
      </c>
      <c r="F2010">
        <v>1</v>
      </c>
      <c r="G2010">
        <v>2024</v>
      </c>
      <c r="H2010" t="s">
        <v>928</v>
      </c>
      <c r="I2010" t="s">
        <v>6063</v>
      </c>
      <c r="J2010" t="s">
        <v>8202</v>
      </c>
      <c r="K2010" t="s">
        <v>6793</v>
      </c>
    </row>
    <row r="2011" spans="1:11" x14ac:dyDescent="0.4">
      <c r="A2011" t="s">
        <v>2163</v>
      </c>
      <c r="B2011">
        <v>0</v>
      </c>
      <c r="C2011" t="s">
        <v>5719</v>
      </c>
      <c r="D2011">
        <v>1</v>
      </c>
      <c r="E2011">
        <v>-1.03</v>
      </c>
      <c r="F2011">
        <v>0</v>
      </c>
      <c r="G2011">
        <v>2024</v>
      </c>
      <c r="H2011" t="s">
        <v>928</v>
      </c>
      <c r="I2011" t="s">
        <v>6063</v>
      </c>
      <c r="J2011" t="s">
        <v>8203</v>
      </c>
      <c r="K2011" t="s">
        <v>8204</v>
      </c>
    </row>
    <row r="2012" spans="1:11" x14ac:dyDescent="0.4">
      <c r="A2012" t="s">
        <v>3789</v>
      </c>
      <c r="B2012">
        <v>0</v>
      </c>
      <c r="C2012" t="s">
        <v>5719</v>
      </c>
      <c r="D2012">
        <v>1</v>
      </c>
      <c r="E2012">
        <v>-1.03</v>
      </c>
      <c r="F2012">
        <v>0</v>
      </c>
      <c r="G2012">
        <v>2024</v>
      </c>
      <c r="H2012" t="s">
        <v>928</v>
      </c>
      <c r="I2012" t="s">
        <v>6063</v>
      </c>
      <c r="J2012" t="s">
        <v>8205</v>
      </c>
      <c r="K2012" t="s">
        <v>9136</v>
      </c>
    </row>
    <row r="2013" spans="1:11" x14ac:dyDescent="0.4">
      <c r="A2013" t="s">
        <v>3795</v>
      </c>
      <c r="B2013">
        <v>0</v>
      </c>
      <c r="C2013" t="s">
        <v>5719</v>
      </c>
      <c r="D2013">
        <v>1</v>
      </c>
      <c r="E2013">
        <v>-1.03</v>
      </c>
      <c r="F2013">
        <v>0</v>
      </c>
      <c r="G2013">
        <v>2024</v>
      </c>
      <c r="H2013" t="s">
        <v>928</v>
      </c>
      <c r="I2013" t="s">
        <v>6063</v>
      </c>
      <c r="J2013" t="s">
        <v>8206</v>
      </c>
      <c r="K2013" t="s">
        <v>9237</v>
      </c>
    </row>
    <row r="2014" spans="1:11" x14ac:dyDescent="0.4">
      <c r="A2014" t="s">
        <v>3776</v>
      </c>
      <c r="B2014">
        <v>0</v>
      </c>
      <c r="C2014" t="s">
        <v>5719</v>
      </c>
      <c r="D2014">
        <v>1</v>
      </c>
      <c r="E2014">
        <v>-1.03</v>
      </c>
      <c r="F2014">
        <v>0</v>
      </c>
      <c r="G2014">
        <v>2024</v>
      </c>
      <c r="H2014" t="s">
        <v>928</v>
      </c>
      <c r="I2014" t="s">
        <v>6063</v>
      </c>
      <c r="J2014" t="s">
        <v>8207</v>
      </c>
      <c r="K2014" t="s">
        <v>9169</v>
      </c>
    </row>
    <row r="2015" spans="1:11" x14ac:dyDescent="0.4">
      <c r="A2015" t="s">
        <v>5851</v>
      </c>
      <c r="B2015">
        <v>100</v>
      </c>
      <c r="C2015" t="s">
        <v>1380</v>
      </c>
      <c r="D2015">
        <v>5</v>
      </c>
      <c r="E2015">
        <v>0.95099999999999996</v>
      </c>
      <c r="F2015">
        <v>1</v>
      </c>
      <c r="G2015">
        <v>2024</v>
      </c>
      <c r="H2015" t="s">
        <v>928</v>
      </c>
      <c r="I2015" t="s">
        <v>6063</v>
      </c>
      <c r="J2015" t="s">
        <v>8208</v>
      </c>
      <c r="K2015" t="s">
        <v>6824</v>
      </c>
    </row>
    <row r="2016" spans="1:11" x14ac:dyDescent="0.4">
      <c r="A2016" t="s">
        <v>3799</v>
      </c>
      <c r="B2016">
        <v>100</v>
      </c>
      <c r="C2016" t="s">
        <v>1380</v>
      </c>
      <c r="D2016">
        <v>5</v>
      </c>
      <c r="E2016">
        <v>0.95099999999999996</v>
      </c>
      <c r="F2016">
        <v>1</v>
      </c>
      <c r="G2016">
        <v>2024</v>
      </c>
      <c r="H2016" t="s">
        <v>928</v>
      </c>
      <c r="I2016" t="s">
        <v>6063</v>
      </c>
      <c r="J2016" t="s">
        <v>8209</v>
      </c>
      <c r="K2016" t="s">
        <v>8210</v>
      </c>
    </row>
    <row r="2017" spans="1:11" x14ac:dyDescent="0.4">
      <c r="A2017" t="s">
        <v>5852</v>
      </c>
      <c r="B2017">
        <v>0</v>
      </c>
      <c r="C2017" t="s">
        <v>5719</v>
      </c>
      <c r="D2017">
        <v>1</v>
      </c>
      <c r="E2017">
        <v>-1.03</v>
      </c>
      <c r="F2017">
        <v>0</v>
      </c>
      <c r="G2017">
        <v>2024</v>
      </c>
      <c r="H2017" t="s">
        <v>928</v>
      </c>
      <c r="I2017" t="s">
        <v>6063</v>
      </c>
      <c r="J2017" t="s">
        <v>8211</v>
      </c>
      <c r="K2017" t="s">
        <v>9238</v>
      </c>
    </row>
    <row r="2018" spans="1:11" x14ac:dyDescent="0.4">
      <c r="A2018" t="s">
        <v>3807</v>
      </c>
      <c r="B2018">
        <v>0</v>
      </c>
      <c r="C2018" t="s">
        <v>5719</v>
      </c>
      <c r="D2018">
        <v>1</v>
      </c>
      <c r="E2018">
        <v>-1.03</v>
      </c>
      <c r="F2018">
        <v>0</v>
      </c>
      <c r="G2018">
        <v>2024</v>
      </c>
      <c r="H2018" t="s">
        <v>928</v>
      </c>
      <c r="I2018" t="s">
        <v>6063</v>
      </c>
      <c r="J2018" t="s">
        <v>8212</v>
      </c>
      <c r="K2018" t="s">
        <v>9239</v>
      </c>
    </row>
    <row r="2019" spans="1:11" x14ac:dyDescent="0.4">
      <c r="A2019" t="s">
        <v>3782</v>
      </c>
      <c r="B2019">
        <v>0</v>
      </c>
      <c r="C2019" t="s">
        <v>5719</v>
      </c>
      <c r="D2019">
        <v>1</v>
      </c>
      <c r="E2019">
        <v>-1.03</v>
      </c>
      <c r="F2019">
        <v>0</v>
      </c>
      <c r="G2019">
        <v>2024</v>
      </c>
      <c r="H2019" t="s">
        <v>928</v>
      </c>
      <c r="I2019" t="s">
        <v>6063</v>
      </c>
      <c r="J2019" t="s">
        <v>8213</v>
      </c>
      <c r="K2019" t="s">
        <v>9240</v>
      </c>
    </row>
    <row r="2020" spans="1:11" x14ac:dyDescent="0.4">
      <c r="A2020" t="s">
        <v>3786</v>
      </c>
      <c r="B2020">
        <v>0</v>
      </c>
      <c r="C2020" t="s">
        <v>5719</v>
      </c>
      <c r="D2020">
        <v>1</v>
      </c>
      <c r="E2020">
        <v>-1.03</v>
      </c>
      <c r="F2020">
        <v>0</v>
      </c>
      <c r="G2020">
        <v>2024</v>
      </c>
      <c r="H2020" t="s">
        <v>928</v>
      </c>
      <c r="I2020" t="s">
        <v>6063</v>
      </c>
      <c r="J2020" t="s">
        <v>8214</v>
      </c>
      <c r="K2020" t="s">
        <v>8215</v>
      </c>
    </row>
    <row r="2021" spans="1:11" x14ac:dyDescent="0.4">
      <c r="A2021" t="s">
        <v>3780</v>
      </c>
      <c r="B2021">
        <v>100</v>
      </c>
      <c r="C2021" t="s">
        <v>1380</v>
      </c>
      <c r="D2021">
        <v>5</v>
      </c>
      <c r="E2021">
        <v>0.95099999999999996</v>
      </c>
      <c r="F2021">
        <v>1</v>
      </c>
      <c r="G2021">
        <v>2024</v>
      </c>
      <c r="H2021" t="s">
        <v>928</v>
      </c>
      <c r="I2021" t="s">
        <v>6063</v>
      </c>
      <c r="J2021" t="s">
        <v>8216</v>
      </c>
      <c r="K2021" t="s">
        <v>8217</v>
      </c>
    </row>
    <row r="2022" spans="1:11" x14ac:dyDescent="0.4">
      <c r="A2022" t="s">
        <v>5853</v>
      </c>
      <c r="B2022">
        <v>100</v>
      </c>
      <c r="C2022" t="s">
        <v>1380</v>
      </c>
      <c r="D2022">
        <v>5</v>
      </c>
      <c r="E2022">
        <v>0.95099999999999996</v>
      </c>
      <c r="F2022">
        <v>1</v>
      </c>
      <c r="G2022">
        <v>2024</v>
      </c>
      <c r="H2022" t="s">
        <v>928</v>
      </c>
      <c r="I2022" t="s">
        <v>6063</v>
      </c>
      <c r="J2022" t="s">
        <v>8218</v>
      </c>
      <c r="K2022" t="s">
        <v>8219</v>
      </c>
    </row>
    <row r="2023" spans="1:11" x14ac:dyDescent="0.4">
      <c r="A2023" t="s">
        <v>3800</v>
      </c>
      <c r="B2023">
        <v>100</v>
      </c>
      <c r="C2023" t="s">
        <v>1380</v>
      </c>
      <c r="D2023">
        <v>5</v>
      </c>
      <c r="E2023">
        <v>0.95099999999999996</v>
      </c>
      <c r="F2023">
        <v>1</v>
      </c>
      <c r="G2023">
        <v>2024</v>
      </c>
      <c r="H2023" t="s">
        <v>928</v>
      </c>
      <c r="I2023" t="s">
        <v>6063</v>
      </c>
      <c r="J2023" t="s">
        <v>6825</v>
      </c>
      <c r="K2023" t="s">
        <v>8220</v>
      </c>
    </row>
    <row r="2024" spans="1:11" x14ac:dyDescent="0.4">
      <c r="A2024" t="s">
        <v>2160</v>
      </c>
      <c r="B2024">
        <v>100</v>
      </c>
      <c r="C2024" t="s">
        <v>1380</v>
      </c>
      <c r="D2024">
        <v>5</v>
      </c>
      <c r="E2024">
        <v>0.95099999999999996</v>
      </c>
      <c r="F2024">
        <v>1</v>
      </c>
      <c r="G2024">
        <v>2024</v>
      </c>
      <c r="H2024" t="s">
        <v>928</v>
      </c>
      <c r="I2024" t="s">
        <v>6063</v>
      </c>
      <c r="J2024" t="s">
        <v>6826</v>
      </c>
      <c r="K2024" t="s">
        <v>8221</v>
      </c>
    </row>
    <row r="2025" spans="1:11" x14ac:dyDescent="0.4">
      <c r="A2025" t="s">
        <v>2161</v>
      </c>
      <c r="B2025">
        <v>100</v>
      </c>
      <c r="C2025" t="s">
        <v>1380</v>
      </c>
      <c r="D2025">
        <v>5</v>
      </c>
      <c r="E2025">
        <v>0.95099999999999996</v>
      </c>
      <c r="F2025">
        <v>1</v>
      </c>
      <c r="G2025">
        <v>2024</v>
      </c>
      <c r="H2025" t="s">
        <v>928</v>
      </c>
      <c r="I2025" t="s">
        <v>6063</v>
      </c>
      <c r="J2025" t="s">
        <v>8222</v>
      </c>
      <c r="K2025" t="s">
        <v>6827</v>
      </c>
    </row>
    <row r="2026" spans="1:11" x14ac:dyDescent="0.4">
      <c r="A2026" t="s">
        <v>3803</v>
      </c>
      <c r="B2026">
        <v>100</v>
      </c>
      <c r="C2026" t="s">
        <v>1380</v>
      </c>
      <c r="D2026">
        <v>5</v>
      </c>
      <c r="E2026">
        <v>0.95099999999999996</v>
      </c>
      <c r="F2026">
        <v>1</v>
      </c>
      <c r="G2026">
        <v>2024</v>
      </c>
      <c r="H2026" t="s">
        <v>928</v>
      </c>
      <c r="I2026" t="s">
        <v>6063</v>
      </c>
      <c r="J2026" t="s">
        <v>8223</v>
      </c>
      <c r="K2026" t="s">
        <v>9241</v>
      </c>
    </row>
    <row r="2027" spans="1:11" x14ac:dyDescent="0.4">
      <c r="A2027" t="s">
        <v>2162</v>
      </c>
      <c r="B2027">
        <v>100</v>
      </c>
      <c r="C2027" t="s">
        <v>1380</v>
      </c>
      <c r="D2027">
        <v>5</v>
      </c>
      <c r="E2027">
        <v>0.95099999999999996</v>
      </c>
      <c r="F2027">
        <v>1</v>
      </c>
      <c r="G2027">
        <v>2024</v>
      </c>
      <c r="H2027" t="s">
        <v>928</v>
      </c>
      <c r="I2027" t="s">
        <v>6063</v>
      </c>
      <c r="J2027" t="s">
        <v>8224</v>
      </c>
      <c r="K2027" t="s">
        <v>9242</v>
      </c>
    </row>
    <row r="2028" spans="1:11" x14ac:dyDescent="0.4">
      <c r="A2028" t="s">
        <v>3778</v>
      </c>
      <c r="B2028">
        <v>100</v>
      </c>
      <c r="C2028" t="s">
        <v>1380</v>
      </c>
      <c r="D2028">
        <v>5</v>
      </c>
      <c r="E2028">
        <v>0.95099999999999996</v>
      </c>
      <c r="F2028">
        <v>1</v>
      </c>
      <c r="G2028">
        <v>2024</v>
      </c>
      <c r="H2028" t="s">
        <v>928</v>
      </c>
      <c r="I2028" t="s">
        <v>6063</v>
      </c>
      <c r="J2028" t="s">
        <v>8225</v>
      </c>
      <c r="K2028" t="s">
        <v>8049</v>
      </c>
    </row>
    <row r="2029" spans="1:11" x14ac:dyDescent="0.4">
      <c r="A2029" t="s">
        <v>3792</v>
      </c>
      <c r="B2029">
        <v>100</v>
      </c>
      <c r="C2029" t="s">
        <v>1380</v>
      </c>
      <c r="D2029">
        <v>5</v>
      </c>
      <c r="E2029">
        <v>0.95099999999999996</v>
      </c>
      <c r="F2029">
        <v>1</v>
      </c>
      <c r="G2029">
        <v>2024</v>
      </c>
      <c r="H2029" t="s">
        <v>928</v>
      </c>
      <c r="I2029" t="s">
        <v>6063</v>
      </c>
      <c r="J2029" t="s">
        <v>8226</v>
      </c>
      <c r="K2029" t="s">
        <v>6806</v>
      </c>
    </row>
    <row r="2030" spans="1:11" x14ac:dyDescent="0.4">
      <c r="A2030" t="s">
        <v>3802</v>
      </c>
      <c r="B2030">
        <v>0</v>
      </c>
      <c r="C2030" t="s">
        <v>5719</v>
      </c>
      <c r="D2030">
        <v>1</v>
      </c>
      <c r="E2030">
        <v>-1.03</v>
      </c>
      <c r="F2030">
        <v>0</v>
      </c>
      <c r="G2030">
        <v>2024</v>
      </c>
      <c r="H2030" t="s">
        <v>928</v>
      </c>
      <c r="I2030" t="s">
        <v>6063</v>
      </c>
      <c r="J2030" t="s">
        <v>8227</v>
      </c>
      <c r="K2030" t="s">
        <v>6828</v>
      </c>
    </row>
    <row r="2031" spans="1:11" x14ac:dyDescent="0.4">
      <c r="A2031" t="s">
        <v>3793</v>
      </c>
      <c r="B2031">
        <v>0</v>
      </c>
      <c r="C2031" t="s">
        <v>5719</v>
      </c>
      <c r="D2031">
        <v>1</v>
      </c>
      <c r="E2031">
        <v>-1.03</v>
      </c>
      <c r="F2031">
        <v>0</v>
      </c>
      <c r="G2031">
        <v>2024</v>
      </c>
      <c r="H2031" t="s">
        <v>928</v>
      </c>
      <c r="I2031" t="s">
        <v>6063</v>
      </c>
      <c r="J2031" t="s">
        <v>8228</v>
      </c>
      <c r="K2031" t="s">
        <v>9243</v>
      </c>
    </row>
    <row r="2032" spans="1:11" x14ac:dyDescent="0.4">
      <c r="A2032" t="s">
        <v>2166</v>
      </c>
      <c r="B2032">
        <v>52</v>
      </c>
      <c r="C2032" t="s">
        <v>197</v>
      </c>
      <c r="D2032">
        <v>3</v>
      </c>
    </row>
    <row r="2033" spans="1:5" x14ac:dyDescent="0.4">
      <c r="A2033" t="s">
        <v>2167</v>
      </c>
      <c r="B2033">
        <v>0</v>
      </c>
      <c r="C2033" t="s">
        <v>197</v>
      </c>
      <c r="D2033">
        <v>1</v>
      </c>
    </row>
    <row r="2034" spans="1:5" x14ac:dyDescent="0.4">
      <c r="A2034" t="s">
        <v>2168</v>
      </c>
      <c r="B2034">
        <v>85.7</v>
      </c>
      <c r="C2034" t="s">
        <v>197</v>
      </c>
      <c r="D2034">
        <v>5</v>
      </c>
    </row>
    <row r="2035" spans="1:5" x14ac:dyDescent="0.4">
      <c r="A2035" t="s">
        <v>2169</v>
      </c>
      <c r="B2035">
        <v>25</v>
      </c>
      <c r="C2035" t="s">
        <v>197</v>
      </c>
      <c r="D2035">
        <v>2</v>
      </c>
    </row>
    <row r="2036" spans="1:5" x14ac:dyDescent="0.4">
      <c r="A2036" t="s">
        <v>2170</v>
      </c>
      <c r="B2036">
        <v>60</v>
      </c>
      <c r="C2036" t="s">
        <v>197</v>
      </c>
      <c r="D2036">
        <v>4</v>
      </c>
    </row>
    <row r="2037" spans="1:5" x14ac:dyDescent="0.4">
      <c r="A2037" t="s">
        <v>2584</v>
      </c>
      <c r="B2037">
        <v>20</v>
      </c>
      <c r="C2037" t="s">
        <v>197</v>
      </c>
      <c r="D2037">
        <v>2</v>
      </c>
    </row>
    <row r="2038" spans="1:5" x14ac:dyDescent="0.4">
      <c r="A2038" t="s">
        <v>2585</v>
      </c>
      <c r="B2038">
        <v>78.599999999999994</v>
      </c>
      <c r="C2038" t="s">
        <v>197</v>
      </c>
      <c r="D2038">
        <v>4</v>
      </c>
    </row>
    <row r="2039" spans="1:5" x14ac:dyDescent="0.4">
      <c r="A2039" t="s">
        <v>7354</v>
      </c>
      <c r="B2039">
        <v>6.3</v>
      </c>
      <c r="C2039" t="s">
        <v>197</v>
      </c>
      <c r="D2039">
        <v>1</v>
      </c>
    </row>
    <row r="2040" spans="1:5" x14ac:dyDescent="0.4">
      <c r="A2040" t="s">
        <v>7355</v>
      </c>
      <c r="B2040">
        <v>54.5</v>
      </c>
      <c r="C2040" t="s">
        <v>197</v>
      </c>
      <c r="D2040">
        <v>3</v>
      </c>
    </row>
    <row r="2041" spans="1:5" x14ac:dyDescent="0.4">
      <c r="A2041" t="s">
        <v>7356</v>
      </c>
      <c r="B2041">
        <v>82.6</v>
      </c>
      <c r="C2041" t="s">
        <v>197</v>
      </c>
      <c r="D2041">
        <v>5</v>
      </c>
    </row>
    <row r="2042" spans="1:5" x14ac:dyDescent="0.4">
      <c r="A2042" t="s">
        <v>4302</v>
      </c>
      <c r="B2042">
        <v>61.3</v>
      </c>
      <c r="C2042" t="s">
        <v>5732</v>
      </c>
      <c r="D2042">
        <v>4</v>
      </c>
      <c r="E2042">
        <v>-9.5000000000000001E-2</v>
      </c>
    </row>
    <row r="2043" spans="1:5" x14ac:dyDescent="0.4">
      <c r="A2043" t="s">
        <v>4300</v>
      </c>
      <c r="B2043">
        <v>81.900000000000006</v>
      </c>
      <c r="C2043" t="s">
        <v>5707</v>
      </c>
      <c r="D2043">
        <v>5</v>
      </c>
      <c r="E2043">
        <v>1.06</v>
      </c>
    </row>
    <row r="2044" spans="1:5" x14ac:dyDescent="0.4">
      <c r="A2044" t="s">
        <v>4306</v>
      </c>
      <c r="B2044">
        <v>59.2</v>
      </c>
      <c r="C2044" t="s">
        <v>5735</v>
      </c>
      <c r="D2044">
        <v>3</v>
      </c>
      <c r="E2044">
        <v>-0.21299999999999999</v>
      </c>
    </row>
    <row r="2045" spans="1:5" x14ac:dyDescent="0.4">
      <c r="A2045" t="s">
        <v>4330</v>
      </c>
      <c r="B2045">
        <v>59.6</v>
      </c>
      <c r="C2045" t="s">
        <v>5703</v>
      </c>
      <c r="D2045">
        <v>3</v>
      </c>
      <c r="E2045">
        <v>-0.191</v>
      </c>
    </row>
    <row r="2046" spans="1:5" x14ac:dyDescent="0.4">
      <c r="A2046" t="s">
        <v>2402</v>
      </c>
      <c r="B2046">
        <v>60.4</v>
      </c>
      <c r="C2046" t="s">
        <v>6582</v>
      </c>
      <c r="D2046">
        <v>4</v>
      </c>
      <c r="E2046">
        <v>-0.14599999999999999</v>
      </c>
    </row>
    <row r="2047" spans="1:5" x14ac:dyDescent="0.4">
      <c r="A2047" t="s">
        <v>4326</v>
      </c>
      <c r="B2047">
        <v>61.4</v>
      </c>
      <c r="C2047" t="s">
        <v>6034</v>
      </c>
      <c r="D2047">
        <v>4</v>
      </c>
      <c r="E2047">
        <v>-0.09</v>
      </c>
    </row>
    <row r="2048" spans="1:5" x14ac:dyDescent="0.4">
      <c r="A2048" t="s">
        <v>4310</v>
      </c>
      <c r="B2048">
        <v>35.200000000000003</v>
      </c>
      <c r="C2048" t="s">
        <v>5728</v>
      </c>
      <c r="D2048">
        <v>2</v>
      </c>
      <c r="E2048">
        <v>-1.5589999999999999</v>
      </c>
    </row>
    <row r="2049" spans="1:5" x14ac:dyDescent="0.4">
      <c r="A2049" t="s">
        <v>4304</v>
      </c>
      <c r="B2049">
        <v>34.5</v>
      </c>
      <c r="C2049" t="s">
        <v>5697</v>
      </c>
      <c r="D2049">
        <v>2</v>
      </c>
      <c r="E2049">
        <v>-1.599</v>
      </c>
    </row>
    <row r="2050" spans="1:5" x14ac:dyDescent="0.4">
      <c r="A2050" t="s">
        <v>4316</v>
      </c>
      <c r="B2050">
        <v>50.9</v>
      </c>
      <c r="C2050" t="s">
        <v>5712</v>
      </c>
      <c r="D2050">
        <v>3</v>
      </c>
      <c r="E2050">
        <v>-0.67900000000000005</v>
      </c>
    </row>
    <row r="2051" spans="1:5" x14ac:dyDescent="0.4">
      <c r="A2051" t="s">
        <v>4308</v>
      </c>
      <c r="B2051">
        <v>55.9</v>
      </c>
      <c r="C2051" t="s">
        <v>5694</v>
      </c>
      <c r="D2051">
        <v>3</v>
      </c>
      <c r="E2051">
        <v>-0.39800000000000002</v>
      </c>
    </row>
    <row r="2052" spans="1:5" x14ac:dyDescent="0.4">
      <c r="A2052" t="s">
        <v>5982</v>
      </c>
      <c r="B2052">
        <v>32.200000000000003</v>
      </c>
      <c r="C2052" t="s">
        <v>6036</v>
      </c>
      <c r="D2052">
        <v>2</v>
      </c>
      <c r="E2052">
        <v>-1.728</v>
      </c>
    </row>
    <row r="2053" spans="1:5" x14ac:dyDescent="0.4">
      <c r="A2053" t="s">
        <v>4322</v>
      </c>
      <c r="B2053">
        <v>59.5</v>
      </c>
      <c r="C2053" t="s">
        <v>5719</v>
      </c>
      <c r="D2053">
        <v>3</v>
      </c>
      <c r="E2053">
        <v>-0.19600000000000001</v>
      </c>
    </row>
    <row r="2054" spans="1:5" x14ac:dyDescent="0.4">
      <c r="A2054" t="s">
        <v>2403</v>
      </c>
      <c r="B2054">
        <v>85.6</v>
      </c>
      <c r="C2054" t="s">
        <v>2476</v>
      </c>
      <c r="D2054">
        <v>5</v>
      </c>
      <c r="E2054">
        <v>1.268</v>
      </c>
    </row>
    <row r="2055" spans="1:5" x14ac:dyDescent="0.4">
      <c r="A2055" t="s">
        <v>2412</v>
      </c>
      <c r="B2055">
        <v>79.3</v>
      </c>
      <c r="C2055" t="s">
        <v>5692</v>
      </c>
      <c r="D2055">
        <v>4</v>
      </c>
      <c r="E2055">
        <v>0.91400000000000003</v>
      </c>
    </row>
    <row r="2056" spans="1:5" x14ac:dyDescent="0.4">
      <c r="A2056" t="s">
        <v>4315</v>
      </c>
      <c r="B2056">
        <v>82.1</v>
      </c>
      <c r="C2056" t="s">
        <v>5701</v>
      </c>
      <c r="D2056">
        <v>5</v>
      </c>
      <c r="E2056">
        <v>1.071</v>
      </c>
    </row>
    <row r="2057" spans="1:5" x14ac:dyDescent="0.4">
      <c r="A2057" t="s">
        <v>4329</v>
      </c>
      <c r="B2057">
        <v>85.2</v>
      </c>
      <c r="C2057" t="s">
        <v>2480</v>
      </c>
      <c r="D2057">
        <v>5</v>
      </c>
      <c r="E2057">
        <v>1.2450000000000001</v>
      </c>
    </row>
    <row r="2058" spans="1:5" x14ac:dyDescent="0.4">
      <c r="A2058" t="s">
        <v>2404</v>
      </c>
      <c r="B2058">
        <v>84</v>
      </c>
      <c r="C2058" t="s">
        <v>5730</v>
      </c>
      <c r="D2058">
        <v>5</v>
      </c>
      <c r="E2058">
        <v>1.1779999999999999</v>
      </c>
    </row>
    <row r="2059" spans="1:5" x14ac:dyDescent="0.4">
      <c r="A2059" t="s">
        <v>2411</v>
      </c>
      <c r="B2059">
        <v>58.6</v>
      </c>
      <c r="C2059" t="s">
        <v>5733</v>
      </c>
      <c r="D2059">
        <v>3</v>
      </c>
      <c r="E2059">
        <v>-0.247</v>
      </c>
    </row>
    <row r="2060" spans="1:5" x14ac:dyDescent="0.4">
      <c r="A2060" t="s">
        <v>2405</v>
      </c>
      <c r="B2060">
        <v>79.900000000000006</v>
      </c>
      <c r="C2060" t="s">
        <v>5705</v>
      </c>
      <c r="D2060">
        <v>4</v>
      </c>
      <c r="E2060">
        <v>0.94799999999999995</v>
      </c>
    </row>
    <row r="2061" spans="1:5" x14ac:dyDescent="0.4">
      <c r="A2061" t="s">
        <v>4299</v>
      </c>
      <c r="B2061">
        <v>53</v>
      </c>
      <c r="C2061" t="s">
        <v>5698</v>
      </c>
      <c r="D2061">
        <v>3</v>
      </c>
      <c r="E2061">
        <v>-0.56100000000000005</v>
      </c>
    </row>
    <row r="2062" spans="1:5" x14ac:dyDescent="0.4">
      <c r="A2062" t="s">
        <v>4319</v>
      </c>
      <c r="B2062">
        <v>53.4</v>
      </c>
      <c r="C2062" t="s">
        <v>5709</v>
      </c>
      <c r="D2062">
        <v>3</v>
      </c>
      <c r="E2062">
        <v>-0.53800000000000003</v>
      </c>
    </row>
    <row r="2063" spans="1:5" x14ac:dyDescent="0.4">
      <c r="A2063" t="s">
        <v>4323</v>
      </c>
      <c r="B2063">
        <v>57</v>
      </c>
      <c r="C2063" t="s">
        <v>5704</v>
      </c>
      <c r="D2063">
        <v>3</v>
      </c>
      <c r="E2063">
        <v>-0.33700000000000002</v>
      </c>
    </row>
    <row r="2064" spans="1:5" x14ac:dyDescent="0.4">
      <c r="A2064" t="s">
        <v>4321</v>
      </c>
      <c r="B2064">
        <v>59.5</v>
      </c>
      <c r="C2064" t="s">
        <v>5719</v>
      </c>
      <c r="D2064">
        <v>3</v>
      </c>
      <c r="E2064">
        <v>-0.19600000000000001</v>
      </c>
    </row>
    <row r="2065" spans="1:5" x14ac:dyDescent="0.4">
      <c r="A2065" t="s">
        <v>4309</v>
      </c>
      <c r="B2065">
        <v>29.8</v>
      </c>
      <c r="C2065" t="s">
        <v>6033</v>
      </c>
      <c r="D2065">
        <v>2</v>
      </c>
      <c r="E2065">
        <v>-1.8620000000000001</v>
      </c>
    </row>
    <row r="2066" spans="1:5" x14ac:dyDescent="0.4">
      <c r="A2066" t="s">
        <v>4298</v>
      </c>
      <c r="B2066">
        <v>32</v>
      </c>
      <c r="C2066" t="s">
        <v>6035</v>
      </c>
      <c r="D2066">
        <v>2</v>
      </c>
      <c r="E2066">
        <v>-1.7390000000000001</v>
      </c>
    </row>
    <row r="2067" spans="1:5" x14ac:dyDescent="0.4">
      <c r="A2067" t="s">
        <v>4312</v>
      </c>
      <c r="B2067">
        <v>61.8</v>
      </c>
      <c r="C2067" t="s">
        <v>6579</v>
      </c>
      <c r="D2067">
        <v>4</v>
      </c>
      <c r="E2067">
        <v>-6.7000000000000004E-2</v>
      </c>
    </row>
    <row r="2068" spans="1:5" x14ac:dyDescent="0.4">
      <c r="A2068" t="s">
        <v>4313</v>
      </c>
      <c r="B2068">
        <v>86.4</v>
      </c>
      <c r="C2068" t="s">
        <v>5740</v>
      </c>
      <c r="D2068">
        <v>5</v>
      </c>
      <c r="E2068">
        <v>1.3120000000000001</v>
      </c>
    </row>
    <row r="2069" spans="1:5" x14ac:dyDescent="0.4">
      <c r="A2069" t="s">
        <v>4331</v>
      </c>
      <c r="B2069">
        <v>58.1</v>
      </c>
      <c r="C2069" t="s">
        <v>6587</v>
      </c>
      <c r="D2069">
        <v>3</v>
      </c>
      <c r="E2069">
        <v>-0.27500000000000002</v>
      </c>
    </row>
    <row r="2070" spans="1:5" x14ac:dyDescent="0.4">
      <c r="A2070" t="s">
        <v>2406</v>
      </c>
      <c r="B2070">
        <v>60.4</v>
      </c>
      <c r="C2070" t="s">
        <v>6582</v>
      </c>
      <c r="D2070">
        <v>4</v>
      </c>
      <c r="E2070">
        <v>-0.14599999999999999</v>
      </c>
    </row>
    <row r="2071" spans="1:5" x14ac:dyDescent="0.4">
      <c r="A2071" t="s">
        <v>2410</v>
      </c>
      <c r="B2071">
        <v>59</v>
      </c>
      <c r="C2071" t="s">
        <v>5727</v>
      </c>
      <c r="D2071">
        <v>3</v>
      </c>
      <c r="E2071">
        <v>-0.224</v>
      </c>
    </row>
    <row r="2072" spans="1:5" x14ac:dyDescent="0.4">
      <c r="A2072" t="s">
        <v>4314</v>
      </c>
      <c r="B2072">
        <v>52.9</v>
      </c>
      <c r="C2072" t="s">
        <v>5708</v>
      </c>
      <c r="D2072">
        <v>3</v>
      </c>
      <c r="E2072">
        <v>-0.56699999999999995</v>
      </c>
    </row>
    <row r="2073" spans="1:5" x14ac:dyDescent="0.4">
      <c r="A2073" t="s">
        <v>4320</v>
      </c>
      <c r="B2073">
        <v>84.5</v>
      </c>
      <c r="C2073" t="s">
        <v>2483</v>
      </c>
      <c r="D2073">
        <v>5</v>
      </c>
      <c r="E2073">
        <v>1.206</v>
      </c>
    </row>
    <row r="2074" spans="1:5" x14ac:dyDescent="0.4">
      <c r="A2074" t="s">
        <v>4301</v>
      </c>
      <c r="B2074">
        <v>33.4</v>
      </c>
      <c r="C2074" t="s">
        <v>5710</v>
      </c>
      <c r="D2074">
        <v>2</v>
      </c>
      <c r="E2074">
        <v>-1.66</v>
      </c>
    </row>
    <row r="2075" spans="1:5" x14ac:dyDescent="0.4">
      <c r="A2075" t="s">
        <v>5854</v>
      </c>
      <c r="B2075">
        <v>84.2</v>
      </c>
      <c r="C2075" t="s">
        <v>2485</v>
      </c>
      <c r="D2075">
        <v>5</v>
      </c>
      <c r="E2075">
        <v>1.1890000000000001</v>
      </c>
    </row>
    <row r="2076" spans="1:5" x14ac:dyDescent="0.4">
      <c r="A2076" t="s">
        <v>4324</v>
      </c>
      <c r="B2076">
        <v>84.3</v>
      </c>
      <c r="C2076" t="s">
        <v>6581</v>
      </c>
      <c r="D2076">
        <v>5</v>
      </c>
      <c r="E2076">
        <v>1.1950000000000001</v>
      </c>
    </row>
    <row r="2077" spans="1:5" x14ac:dyDescent="0.4">
      <c r="A2077" t="s">
        <v>5855</v>
      </c>
      <c r="B2077">
        <v>35.5</v>
      </c>
      <c r="C2077" t="s">
        <v>5711</v>
      </c>
      <c r="D2077">
        <v>2</v>
      </c>
      <c r="E2077">
        <v>-1.542</v>
      </c>
    </row>
    <row r="2078" spans="1:5" x14ac:dyDescent="0.4">
      <c r="A2078" t="s">
        <v>4332</v>
      </c>
      <c r="B2078">
        <v>62.2</v>
      </c>
      <c r="C2078" t="s">
        <v>6580</v>
      </c>
      <c r="D2078">
        <v>4</v>
      </c>
      <c r="E2078">
        <v>-4.4999999999999998E-2</v>
      </c>
    </row>
    <row r="2079" spans="1:5" x14ac:dyDescent="0.4">
      <c r="A2079" t="s">
        <v>4307</v>
      </c>
      <c r="B2079">
        <v>83</v>
      </c>
      <c r="C2079" t="s">
        <v>5696</v>
      </c>
      <c r="D2079">
        <v>5</v>
      </c>
      <c r="E2079">
        <v>1.1220000000000001</v>
      </c>
    </row>
    <row r="2080" spans="1:5" x14ac:dyDescent="0.4">
      <c r="A2080" t="s">
        <v>4311</v>
      </c>
      <c r="B2080">
        <v>33.1</v>
      </c>
      <c r="C2080" t="s">
        <v>6037</v>
      </c>
      <c r="D2080">
        <v>2</v>
      </c>
      <c r="E2080">
        <v>-1.677</v>
      </c>
    </row>
    <row r="2081" spans="1:5" x14ac:dyDescent="0.4">
      <c r="A2081" t="s">
        <v>4305</v>
      </c>
      <c r="B2081">
        <v>84.2</v>
      </c>
      <c r="C2081" t="s">
        <v>2485</v>
      </c>
      <c r="D2081">
        <v>5</v>
      </c>
      <c r="E2081">
        <v>1.1890000000000001</v>
      </c>
    </row>
    <row r="2082" spans="1:5" x14ac:dyDescent="0.4">
      <c r="A2082" t="s">
        <v>5856</v>
      </c>
      <c r="B2082">
        <v>52.5</v>
      </c>
      <c r="C2082" t="s">
        <v>5713</v>
      </c>
      <c r="D2082">
        <v>3</v>
      </c>
      <c r="E2082">
        <v>-0.58899999999999997</v>
      </c>
    </row>
    <row r="2083" spans="1:5" x14ac:dyDescent="0.4">
      <c r="A2083" t="s">
        <v>4325</v>
      </c>
      <c r="B2083">
        <v>86.7</v>
      </c>
      <c r="C2083" t="s">
        <v>2479</v>
      </c>
      <c r="D2083">
        <v>5</v>
      </c>
      <c r="E2083">
        <v>1.329</v>
      </c>
    </row>
    <row r="2084" spans="1:5" x14ac:dyDescent="0.4">
      <c r="A2084" t="s">
        <v>2407</v>
      </c>
      <c r="B2084">
        <v>86.4</v>
      </c>
      <c r="C2084" t="s">
        <v>5740</v>
      </c>
      <c r="D2084">
        <v>5</v>
      </c>
      <c r="E2084">
        <v>1.3120000000000001</v>
      </c>
    </row>
    <row r="2085" spans="1:5" x14ac:dyDescent="0.4">
      <c r="A2085" t="s">
        <v>2408</v>
      </c>
      <c r="B2085">
        <v>59.3</v>
      </c>
      <c r="C2085" t="s">
        <v>5736</v>
      </c>
      <c r="D2085">
        <v>3</v>
      </c>
      <c r="E2085">
        <v>-0.20799999999999999</v>
      </c>
    </row>
    <row r="2086" spans="1:5" x14ac:dyDescent="0.4">
      <c r="A2086" t="s">
        <v>4328</v>
      </c>
      <c r="B2086">
        <v>60.4</v>
      </c>
      <c r="C2086" t="s">
        <v>6582</v>
      </c>
      <c r="D2086">
        <v>4</v>
      </c>
      <c r="E2086">
        <v>-0.14599999999999999</v>
      </c>
    </row>
    <row r="2087" spans="1:5" x14ac:dyDescent="0.4">
      <c r="A2087" t="s">
        <v>2409</v>
      </c>
      <c r="B2087">
        <v>84.3</v>
      </c>
      <c r="C2087" t="s">
        <v>6581</v>
      </c>
      <c r="D2087">
        <v>5</v>
      </c>
      <c r="E2087">
        <v>1.1950000000000001</v>
      </c>
    </row>
    <row r="2088" spans="1:5" x14ac:dyDescent="0.4">
      <c r="A2088" t="s">
        <v>4303</v>
      </c>
      <c r="B2088">
        <v>64</v>
      </c>
      <c r="C2088" t="s">
        <v>5695</v>
      </c>
      <c r="D2088">
        <v>4</v>
      </c>
      <c r="E2088">
        <v>5.6000000000000001E-2</v>
      </c>
    </row>
    <row r="2089" spans="1:5" x14ac:dyDescent="0.4">
      <c r="A2089" t="s">
        <v>4317</v>
      </c>
      <c r="B2089">
        <v>58.1</v>
      </c>
      <c r="C2089" t="s">
        <v>6587</v>
      </c>
      <c r="D2089">
        <v>3</v>
      </c>
      <c r="E2089">
        <v>-0.27500000000000002</v>
      </c>
    </row>
    <row r="2090" spans="1:5" x14ac:dyDescent="0.4">
      <c r="A2090" t="s">
        <v>4327</v>
      </c>
      <c r="B2090">
        <v>86.4</v>
      </c>
      <c r="C2090" t="s">
        <v>5740</v>
      </c>
      <c r="D2090">
        <v>5</v>
      </c>
      <c r="E2090">
        <v>1.3120000000000001</v>
      </c>
    </row>
    <row r="2091" spans="1:5" x14ac:dyDescent="0.4">
      <c r="A2091" t="s">
        <v>4318</v>
      </c>
      <c r="B2091">
        <v>56.1</v>
      </c>
      <c r="C2091" t="s">
        <v>5702</v>
      </c>
      <c r="D2091">
        <v>3</v>
      </c>
      <c r="E2091">
        <v>-0.38700000000000001</v>
      </c>
    </row>
    <row r="2092" spans="1:5" x14ac:dyDescent="0.4">
      <c r="A2092" t="s">
        <v>1452</v>
      </c>
      <c r="B2092">
        <v>63</v>
      </c>
      <c r="C2092" t="s">
        <v>197</v>
      </c>
      <c r="D2092">
        <v>4</v>
      </c>
    </row>
    <row r="2093" spans="1:5" x14ac:dyDescent="0.4">
      <c r="A2093" t="s">
        <v>1453</v>
      </c>
      <c r="B2093">
        <v>52.3</v>
      </c>
      <c r="C2093" t="s">
        <v>197</v>
      </c>
      <c r="D2093">
        <v>3</v>
      </c>
    </row>
    <row r="2094" spans="1:5" x14ac:dyDescent="0.4">
      <c r="A2094" t="s">
        <v>1593</v>
      </c>
      <c r="B2094">
        <v>62.5</v>
      </c>
      <c r="C2094" t="s">
        <v>197</v>
      </c>
      <c r="D2094">
        <v>4</v>
      </c>
    </row>
    <row r="2095" spans="1:5" x14ac:dyDescent="0.4">
      <c r="A2095" t="s">
        <v>1697</v>
      </c>
      <c r="B2095">
        <v>62</v>
      </c>
      <c r="C2095" t="s">
        <v>197</v>
      </c>
      <c r="D2095">
        <v>4</v>
      </c>
    </row>
    <row r="2096" spans="1:5" x14ac:dyDescent="0.4">
      <c r="A2096" t="s">
        <v>1698</v>
      </c>
      <c r="B2096">
        <v>55.5</v>
      </c>
      <c r="C2096" t="s">
        <v>197</v>
      </c>
      <c r="D2096">
        <v>3</v>
      </c>
    </row>
    <row r="2097" spans="1:12" x14ac:dyDescent="0.4">
      <c r="A2097" t="s">
        <v>2614</v>
      </c>
      <c r="B2097">
        <v>62.8</v>
      </c>
      <c r="C2097" t="s">
        <v>197</v>
      </c>
      <c r="D2097">
        <v>4</v>
      </c>
    </row>
    <row r="2098" spans="1:12" x14ac:dyDescent="0.4">
      <c r="A2098" t="s">
        <v>2615</v>
      </c>
      <c r="B2098">
        <v>72.8</v>
      </c>
      <c r="C2098" t="s">
        <v>197</v>
      </c>
      <c r="D2098">
        <v>4</v>
      </c>
    </row>
    <row r="2099" spans="1:12" x14ac:dyDescent="0.4">
      <c r="A2099" t="s">
        <v>7357</v>
      </c>
      <c r="B2099">
        <v>59.9</v>
      </c>
      <c r="C2099" t="s">
        <v>197</v>
      </c>
      <c r="D2099">
        <v>3</v>
      </c>
    </row>
    <row r="2100" spans="1:12" x14ac:dyDescent="0.4">
      <c r="A2100" t="s">
        <v>7358</v>
      </c>
      <c r="B2100">
        <v>62.3</v>
      </c>
      <c r="C2100" t="s">
        <v>197</v>
      </c>
      <c r="D2100">
        <v>4</v>
      </c>
    </row>
    <row r="2101" spans="1:12" x14ac:dyDescent="0.4">
      <c r="A2101" t="s">
        <v>7359</v>
      </c>
      <c r="B2101">
        <v>65.5</v>
      </c>
      <c r="C2101" t="s">
        <v>197</v>
      </c>
      <c r="D2101">
        <v>4</v>
      </c>
    </row>
    <row r="2102" spans="1:12" x14ac:dyDescent="0.4">
      <c r="A2102" t="s">
        <v>4918</v>
      </c>
      <c r="B2102">
        <v>72.599999999999994</v>
      </c>
      <c r="C2102" t="s">
        <v>2484</v>
      </c>
      <c r="D2102">
        <v>4</v>
      </c>
      <c r="E2102">
        <v>1.0109999999999999</v>
      </c>
      <c r="F2102">
        <v>27.4</v>
      </c>
      <c r="G2102">
        <v>2019</v>
      </c>
      <c r="H2102" t="s">
        <v>928</v>
      </c>
      <c r="I2102" t="s">
        <v>6596</v>
      </c>
      <c r="L2102" t="s">
        <v>197</v>
      </c>
    </row>
    <row r="2103" spans="1:12" x14ac:dyDescent="0.4">
      <c r="A2103" t="s">
        <v>4916</v>
      </c>
      <c r="B2103">
        <v>63.8</v>
      </c>
      <c r="C2103" t="s">
        <v>5708</v>
      </c>
      <c r="D2103">
        <v>4</v>
      </c>
      <c r="E2103">
        <v>-0.55000000000000004</v>
      </c>
      <c r="F2103">
        <v>36.200000000000003</v>
      </c>
      <c r="G2103">
        <v>2019</v>
      </c>
      <c r="H2103" t="s">
        <v>928</v>
      </c>
      <c r="I2103" t="s">
        <v>6596</v>
      </c>
      <c r="L2103" t="s">
        <v>197</v>
      </c>
    </row>
    <row r="2104" spans="1:12" x14ac:dyDescent="0.4">
      <c r="A2104" t="s">
        <v>4923</v>
      </c>
      <c r="B2104">
        <v>68.400000000000006</v>
      </c>
      <c r="C2104" t="s">
        <v>6592</v>
      </c>
      <c r="D2104">
        <v>4</v>
      </c>
      <c r="E2104">
        <v>0.26600000000000001</v>
      </c>
      <c r="F2104">
        <v>31.6</v>
      </c>
      <c r="G2104">
        <v>2019</v>
      </c>
      <c r="H2104" t="s">
        <v>928</v>
      </c>
      <c r="I2104" t="s">
        <v>6596</v>
      </c>
      <c r="L2104" t="s">
        <v>197</v>
      </c>
    </row>
    <row r="2105" spans="1:12" x14ac:dyDescent="0.4">
      <c r="A2105" t="s">
        <v>4957</v>
      </c>
      <c r="B2105">
        <v>69.099999999999994</v>
      </c>
      <c r="C2105" t="s">
        <v>5692</v>
      </c>
      <c r="D2105">
        <v>4</v>
      </c>
      <c r="E2105">
        <v>0.39</v>
      </c>
      <c r="F2105">
        <v>30.9</v>
      </c>
      <c r="G2105">
        <v>2019</v>
      </c>
      <c r="H2105" t="s">
        <v>928</v>
      </c>
      <c r="I2105" t="s">
        <v>6596</v>
      </c>
      <c r="L2105" t="s">
        <v>197</v>
      </c>
    </row>
    <row r="2106" spans="1:12" x14ac:dyDescent="0.4">
      <c r="A2106" t="s">
        <v>4939</v>
      </c>
      <c r="B2106">
        <v>70.8</v>
      </c>
      <c r="C2106" t="s">
        <v>5730</v>
      </c>
      <c r="D2106">
        <v>4</v>
      </c>
      <c r="E2106">
        <v>0.69099999999999995</v>
      </c>
      <c r="F2106">
        <v>29.2</v>
      </c>
      <c r="G2106">
        <v>2019</v>
      </c>
      <c r="H2106" t="s">
        <v>928</v>
      </c>
      <c r="I2106" t="s">
        <v>6596</v>
      </c>
      <c r="L2106" t="s">
        <v>197</v>
      </c>
    </row>
    <row r="2107" spans="1:12" x14ac:dyDescent="0.4">
      <c r="A2107" t="s">
        <v>4951</v>
      </c>
      <c r="B2107">
        <v>72.7</v>
      </c>
      <c r="C2107" t="s">
        <v>6593</v>
      </c>
      <c r="D2107">
        <v>4</v>
      </c>
      <c r="E2107">
        <v>1.028</v>
      </c>
      <c r="F2107">
        <v>27.3</v>
      </c>
      <c r="G2107">
        <v>2019</v>
      </c>
      <c r="H2107" t="s">
        <v>928</v>
      </c>
      <c r="I2107" t="s">
        <v>6596</v>
      </c>
      <c r="L2107" t="s">
        <v>197</v>
      </c>
    </row>
    <row r="2108" spans="1:12" x14ac:dyDescent="0.4">
      <c r="A2108" t="s">
        <v>4928</v>
      </c>
      <c r="B2108">
        <v>70.3</v>
      </c>
      <c r="C2108" t="s">
        <v>6043</v>
      </c>
      <c r="D2108">
        <v>4</v>
      </c>
      <c r="E2108">
        <v>0.60299999999999998</v>
      </c>
      <c r="F2108">
        <v>29.7</v>
      </c>
      <c r="G2108">
        <v>2019</v>
      </c>
      <c r="H2108" t="s">
        <v>928</v>
      </c>
      <c r="I2108" t="s">
        <v>6596</v>
      </c>
      <c r="L2108" t="s">
        <v>197</v>
      </c>
    </row>
    <row r="2109" spans="1:12" x14ac:dyDescent="0.4">
      <c r="A2109" t="s">
        <v>4921</v>
      </c>
      <c r="B2109">
        <v>69</v>
      </c>
      <c r="C2109" t="s">
        <v>5695</v>
      </c>
      <c r="D2109">
        <v>4</v>
      </c>
      <c r="E2109">
        <v>0.372</v>
      </c>
      <c r="F2109">
        <v>31</v>
      </c>
      <c r="G2109">
        <v>2019</v>
      </c>
      <c r="H2109" t="s">
        <v>928</v>
      </c>
      <c r="I2109" t="s">
        <v>6596</v>
      </c>
      <c r="L2109" t="s">
        <v>197</v>
      </c>
    </row>
    <row r="2110" spans="1:12" x14ac:dyDescent="0.4">
      <c r="A2110" t="s">
        <v>4935</v>
      </c>
      <c r="B2110">
        <v>51.7</v>
      </c>
      <c r="C2110" t="s">
        <v>6033</v>
      </c>
      <c r="D2110">
        <v>3</v>
      </c>
      <c r="E2110">
        <v>-2.6949999999999998</v>
      </c>
      <c r="F2110">
        <v>48.3</v>
      </c>
      <c r="G2110">
        <v>2019</v>
      </c>
      <c r="H2110" t="s">
        <v>928</v>
      </c>
      <c r="I2110" t="s">
        <v>6596</v>
      </c>
      <c r="L2110" t="s">
        <v>197</v>
      </c>
    </row>
    <row r="2111" spans="1:12" x14ac:dyDescent="0.4">
      <c r="A2111" t="s">
        <v>4925</v>
      </c>
      <c r="B2111">
        <v>61.8</v>
      </c>
      <c r="C2111" t="s">
        <v>5712</v>
      </c>
      <c r="D2111">
        <v>4</v>
      </c>
      <c r="E2111">
        <v>-0.90400000000000003</v>
      </c>
      <c r="F2111">
        <v>38.200000000000003</v>
      </c>
      <c r="G2111">
        <v>2019</v>
      </c>
      <c r="H2111" t="s">
        <v>928</v>
      </c>
      <c r="I2111" t="s">
        <v>6596</v>
      </c>
      <c r="L2111" t="s">
        <v>197</v>
      </c>
    </row>
    <row r="2112" spans="1:12" x14ac:dyDescent="0.4">
      <c r="A2112" t="s">
        <v>5983</v>
      </c>
      <c r="B2112">
        <v>64.400000000000006</v>
      </c>
      <c r="C2112" t="s">
        <v>5702</v>
      </c>
      <c r="D2112">
        <v>4</v>
      </c>
      <c r="E2112">
        <v>-0.443</v>
      </c>
      <c r="F2112">
        <v>35.6</v>
      </c>
      <c r="G2112">
        <v>2019</v>
      </c>
      <c r="H2112" t="s">
        <v>928</v>
      </c>
      <c r="I2112" t="s">
        <v>6596</v>
      </c>
      <c r="L2112" t="s">
        <v>197</v>
      </c>
    </row>
    <row r="2113" spans="1:12" x14ac:dyDescent="0.4">
      <c r="A2113" t="s">
        <v>4943</v>
      </c>
      <c r="B2113">
        <v>68.900000000000006</v>
      </c>
      <c r="C2113" t="s">
        <v>5722</v>
      </c>
      <c r="D2113">
        <v>4</v>
      </c>
      <c r="E2113">
        <v>0.35499999999999998</v>
      </c>
      <c r="F2113">
        <v>31.1</v>
      </c>
      <c r="G2113">
        <v>2019</v>
      </c>
      <c r="H2113" t="s">
        <v>928</v>
      </c>
      <c r="I2113" t="s">
        <v>6596</v>
      </c>
      <c r="L2113" t="s">
        <v>197</v>
      </c>
    </row>
    <row r="2114" spans="1:12" x14ac:dyDescent="0.4">
      <c r="A2114" t="s">
        <v>4944</v>
      </c>
      <c r="B2114">
        <v>71.2</v>
      </c>
      <c r="C2114" t="s">
        <v>2474</v>
      </c>
      <c r="D2114">
        <v>4</v>
      </c>
      <c r="E2114">
        <v>0.76200000000000001</v>
      </c>
      <c r="F2114">
        <v>28.8</v>
      </c>
      <c r="G2114">
        <v>2019</v>
      </c>
      <c r="H2114" t="s">
        <v>928</v>
      </c>
      <c r="I2114" t="s">
        <v>6596</v>
      </c>
      <c r="L2114" t="s">
        <v>197</v>
      </c>
    </row>
    <row r="2115" spans="1:12" x14ac:dyDescent="0.4">
      <c r="A2115" t="s">
        <v>4926</v>
      </c>
      <c r="B2115">
        <v>58.6</v>
      </c>
      <c r="C2115" t="s">
        <v>5697</v>
      </c>
      <c r="D2115">
        <v>3</v>
      </c>
      <c r="E2115">
        <v>-1.472</v>
      </c>
      <c r="F2115">
        <v>41.4</v>
      </c>
      <c r="G2115">
        <v>2019</v>
      </c>
      <c r="H2115" t="s">
        <v>928</v>
      </c>
      <c r="I2115" t="s">
        <v>6596</v>
      </c>
      <c r="L2115" t="s">
        <v>197</v>
      </c>
    </row>
    <row r="2116" spans="1:12" x14ac:dyDescent="0.4">
      <c r="A2116" t="s">
        <v>4934</v>
      </c>
      <c r="B2116">
        <v>64.099999999999994</v>
      </c>
      <c r="C2116" t="s">
        <v>5694</v>
      </c>
      <c r="D2116">
        <v>4</v>
      </c>
      <c r="E2116">
        <v>-0.496</v>
      </c>
      <c r="F2116">
        <v>35.9</v>
      </c>
      <c r="G2116">
        <v>2019</v>
      </c>
      <c r="H2116" t="s">
        <v>928</v>
      </c>
      <c r="I2116" t="s">
        <v>6596</v>
      </c>
      <c r="L2116" t="s">
        <v>197</v>
      </c>
    </row>
    <row r="2117" spans="1:12" x14ac:dyDescent="0.4">
      <c r="A2117" t="s">
        <v>4956</v>
      </c>
      <c r="B2117">
        <v>70.3</v>
      </c>
      <c r="C2117" t="s">
        <v>6043</v>
      </c>
      <c r="D2117">
        <v>4</v>
      </c>
      <c r="E2117">
        <v>0.60299999999999998</v>
      </c>
      <c r="F2117">
        <v>29.7</v>
      </c>
      <c r="G2117">
        <v>2019</v>
      </c>
      <c r="H2117" t="s">
        <v>928</v>
      </c>
      <c r="I2117" t="s">
        <v>6596</v>
      </c>
      <c r="L2117" t="s">
        <v>197</v>
      </c>
    </row>
    <row r="2118" spans="1:12" x14ac:dyDescent="0.4">
      <c r="A2118" t="s">
        <v>4953</v>
      </c>
      <c r="B2118">
        <v>68</v>
      </c>
      <c r="C2118" t="s">
        <v>5693</v>
      </c>
      <c r="D2118">
        <v>4</v>
      </c>
      <c r="E2118">
        <v>0.19500000000000001</v>
      </c>
      <c r="F2118">
        <v>32</v>
      </c>
      <c r="G2118">
        <v>2019</v>
      </c>
      <c r="H2118" t="s">
        <v>6613</v>
      </c>
      <c r="I2118" t="s">
        <v>6614</v>
      </c>
      <c r="L2118" t="s">
        <v>197</v>
      </c>
    </row>
    <row r="2119" spans="1:12" x14ac:dyDescent="0.4">
      <c r="A2119" t="s">
        <v>4931</v>
      </c>
      <c r="B2119">
        <v>67.2</v>
      </c>
      <c r="C2119" t="s">
        <v>5735</v>
      </c>
      <c r="D2119">
        <v>4</v>
      </c>
      <c r="E2119">
        <v>5.2999999999999999E-2</v>
      </c>
      <c r="F2119">
        <v>32.799999999999997</v>
      </c>
      <c r="G2119">
        <v>2019</v>
      </c>
      <c r="H2119" t="s">
        <v>928</v>
      </c>
      <c r="I2119" t="s">
        <v>6596</v>
      </c>
      <c r="L2119" t="s">
        <v>197</v>
      </c>
    </row>
    <row r="2120" spans="1:12" x14ac:dyDescent="0.4">
      <c r="A2120" t="s">
        <v>4937</v>
      </c>
      <c r="B2120">
        <v>59.7</v>
      </c>
      <c r="C2120" t="s">
        <v>5711</v>
      </c>
      <c r="D2120">
        <v>3</v>
      </c>
      <c r="E2120">
        <v>-1.2769999999999999</v>
      </c>
      <c r="F2120">
        <v>40.299999999999997</v>
      </c>
      <c r="G2120">
        <v>2019</v>
      </c>
      <c r="H2120" t="s">
        <v>928</v>
      </c>
      <c r="I2120" t="s">
        <v>6596</v>
      </c>
      <c r="L2120" t="s">
        <v>197</v>
      </c>
    </row>
    <row r="2121" spans="1:12" x14ac:dyDescent="0.4">
      <c r="A2121" t="s">
        <v>4915</v>
      </c>
      <c r="B2121">
        <v>55.9</v>
      </c>
      <c r="C2121" t="s">
        <v>6037</v>
      </c>
      <c r="D2121">
        <v>3</v>
      </c>
      <c r="E2121">
        <v>-1.95</v>
      </c>
      <c r="F2121">
        <v>44.1</v>
      </c>
      <c r="G2121">
        <v>2019</v>
      </c>
      <c r="H2121" t="s">
        <v>928</v>
      </c>
      <c r="I2121" t="s">
        <v>6596</v>
      </c>
      <c r="L2121" t="s">
        <v>197</v>
      </c>
    </row>
    <row r="2122" spans="1:12" x14ac:dyDescent="0.4">
      <c r="A2122" t="s">
        <v>4940</v>
      </c>
      <c r="B2122">
        <v>56.8</v>
      </c>
      <c r="C2122" t="s">
        <v>5710</v>
      </c>
      <c r="D2122">
        <v>3</v>
      </c>
      <c r="E2122">
        <v>-1.7909999999999999</v>
      </c>
      <c r="F2122">
        <v>43.2</v>
      </c>
      <c r="G2122">
        <v>2019</v>
      </c>
      <c r="H2122" t="s">
        <v>928</v>
      </c>
      <c r="I2122" t="s">
        <v>6596</v>
      </c>
      <c r="L2122" t="s">
        <v>197</v>
      </c>
    </row>
    <row r="2123" spans="1:12" x14ac:dyDescent="0.4">
      <c r="A2123" t="s">
        <v>4945</v>
      </c>
      <c r="B2123">
        <v>63.9</v>
      </c>
      <c r="C2123" t="s">
        <v>5716</v>
      </c>
      <c r="D2123">
        <v>4</v>
      </c>
      <c r="E2123">
        <v>-0.53200000000000003</v>
      </c>
      <c r="F2123">
        <v>36.1</v>
      </c>
      <c r="G2123">
        <v>2019</v>
      </c>
      <c r="H2123" t="s">
        <v>928</v>
      </c>
      <c r="I2123" t="s">
        <v>6596</v>
      </c>
      <c r="L2123" t="s">
        <v>197</v>
      </c>
    </row>
    <row r="2124" spans="1:12" x14ac:dyDescent="0.4">
      <c r="A2124" t="s">
        <v>4942</v>
      </c>
      <c r="B2124">
        <v>68.900000000000006</v>
      </c>
      <c r="C2124" t="s">
        <v>5722</v>
      </c>
      <c r="D2124">
        <v>4</v>
      </c>
      <c r="E2124">
        <v>0.35499999999999998</v>
      </c>
      <c r="F2124">
        <v>31.1</v>
      </c>
      <c r="G2124">
        <v>2019</v>
      </c>
      <c r="H2124" t="s">
        <v>928</v>
      </c>
      <c r="I2124" t="s">
        <v>6596</v>
      </c>
      <c r="L2124" t="s">
        <v>197</v>
      </c>
    </row>
    <row r="2125" spans="1:12" x14ac:dyDescent="0.4">
      <c r="A2125" t="s">
        <v>4927</v>
      </c>
      <c r="B2125">
        <v>59.5</v>
      </c>
      <c r="C2125" t="s">
        <v>5728</v>
      </c>
      <c r="D2125">
        <v>3</v>
      </c>
      <c r="E2125">
        <v>-1.3120000000000001</v>
      </c>
      <c r="F2125">
        <v>40.5</v>
      </c>
      <c r="G2125">
        <v>2019</v>
      </c>
      <c r="H2125" t="s">
        <v>928</v>
      </c>
      <c r="I2125" t="s">
        <v>6596</v>
      </c>
      <c r="L2125" t="s">
        <v>197</v>
      </c>
    </row>
    <row r="2126" spans="1:12" x14ac:dyDescent="0.4">
      <c r="A2126" t="s">
        <v>4914</v>
      </c>
      <c r="B2126">
        <v>63.9</v>
      </c>
      <c r="C2126" t="s">
        <v>5716</v>
      </c>
      <c r="D2126">
        <v>4</v>
      </c>
      <c r="E2126">
        <v>-0.53200000000000003</v>
      </c>
      <c r="F2126">
        <v>36.1</v>
      </c>
      <c r="G2126">
        <v>2019</v>
      </c>
      <c r="H2126" t="s">
        <v>928</v>
      </c>
      <c r="I2126" t="s">
        <v>6596</v>
      </c>
      <c r="L2126" t="s">
        <v>197</v>
      </c>
    </row>
    <row r="2127" spans="1:12" x14ac:dyDescent="0.4">
      <c r="A2127" t="s">
        <v>4930</v>
      </c>
      <c r="B2127">
        <v>73.599999999999994</v>
      </c>
      <c r="C2127" t="s">
        <v>2477</v>
      </c>
      <c r="D2127">
        <v>4</v>
      </c>
      <c r="E2127">
        <v>1.1879999999999999</v>
      </c>
      <c r="F2127">
        <v>26.4</v>
      </c>
      <c r="G2127">
        <v>2019</v>
      </c>
      <c r="H2127" t="s">
        <v>928</v>
      </c>
      <c r="I2127" t="s">
        <v>6596</v>
      </c>
      <c r="L2127" t="s">
        <v>197</v>
      </c>
    </row>
    <row r="2128" spans="1:12" x14ac:dyDescent="0.4">
      <c r="A2128" t="s">
        <v>4932</v>
      </c>
      <c r="B2128">
        <v>72.8</v>
      </c>
      <c r="C2128" t="s">
        <v>2476</v>
      </c>
      <c r="D2128">
        <v>4</v>
      </c>
      <c r="E2128">
        <v>1.046</v>
      </c>
      <c r="F2128">
        <v>27.2</v>
      </c>
      <c r="G2128">
        <v>2019</v>
      </c>
      <c r="H2128" t="s">
        <v>928</v>
      </c>
      <c r="I2128" t="s">
        <v>6596</v>
      </c>
      <c r="L2128" t="s">
        <v>197</v>
      </c>
    </row>
    <row r="2129" spans="1:12" x14ac:dyDescent="0.4">
      <c r="A2129" t="s">
        <v>4958</v>
      </c>
      <c r="B2129">
        <v>66.2</v>
      </c>
      <c r="C2129" t="s">
        <v>6044</v>
      </c>
      <c r="D2129">
        <v>4</v>
      </c>
      <c r="E2129">
        <v>-0.124</v>
      </c>
      <c r="F2129">
        <v>33.799999999999997</v>
      </c>
      <c r="G2129">
        <v>2019</v>
      </c>
      <c r="H2129" t="s">
        <v>928</v>
      </c>
      <c r="I2129" t="s">
        <v>6596</v>
      </c>
      <c r="L2129" t="s">
        <v>197</v>
      </c>
    </row>
    <row r="2130" spans="1:12" x14ac:dyDescent="0.4">
      <c r="A2130" t="s">
        <v>4955</v>
      </c>
      <c r="B2130">
        <v>70.7</v>
      </c>
      <c r="C2130" t="s">
        <v>5738</v>
      </c>
      <c r="D2130">
        <v>4</v>
      </c>
      <c r="E2130">
        <v>0.67400000000000004</v>
      </c>
      <c r="F2130">
        <v>29.3</v>
      </c>
      <c r="G2130">
        <v>2019</v>
      </c>
      <c r="H2130" t="s">
        <v>928</v>
      </c>
      <c r="I2130" t="s">
        <v>6596</v>
      </c>
      <c r="L2130" t="s">
        <v>197</v>
      </c>
    </row>
    <row r="2131" spans="1:12" x14ac:dyDescent="0.4">
      <c r="A2131" t="s">
        <v>4920</v>
      </c>
      <c r="B2131">
        <v>67.900000000000006</v>
      </c>
      <c r="C2131" t="s">
        <v>5736</v>
      </c>
      <c r="D2131">
        <v>4</v>
      </c>
      <c r="E2131">
        <v>0.17699999999999999</v>
      </c>
      <c r="F2131">
        <v>32.1</v>
      </c>
      <c r="G2131">
        <v>2019</v>
      </c>
      <c r="H2131" t="s">
        <v>928</v>
      </c>
      <c r="I2131" t="s">
        <v>6596</v>
      </c>
      <c r="L2131" t="s">
        <v>197</v>
      </c>
    </row>
    <row r="2132" spans="1:12" x14ac:dyDescent="0.4">
      <c r="A2132" t="s">
        <v>4933</v>
      </c>
      <c r="B2132">
        <v>55.7</v>
      </c>
      <c r="C2132" t="s">
        <v>6036</v>
      </c>
      <c r="D2132">
        <v>3</v>
      </c>
      <c r="E2132">
        <v>-1.986</v>
      </c>
      <c r="F2132">
        <v>44.3</v>
      </c>
      <c r="G2132">
        <v>2019</v>
      </c>
      <c r="H2132" t="s">
        <v>928</v>
      </c>
      <c r="I2132" t="s">
        <v>6596</v>
      </c>
      <c r="L2132" t="s">
        <v>197</v>
      </c>
    </row>
    <row r="2133" spans="1:12" x14ac:dyDescent="0.4">
      <c r="A2133" t="s">
        <v>4941</v>
      </c>
      <c r="B2133">
        <v>68.900000000000006</v>
      </c>
      <c r="C2133" t="s">
        <v>5722</v>
      </c>
      <c r="D2133">
        <v>4</v>
      </c>
      <c r="E2133">
        <v>0.35499999999999998</v>
      </c>
      <c r="F2133">
        <v>31.1</v>
      </c>
      <c r="G2133">
        <v>2019</v>
      </c>
      <c r="H2133" t="s">
        <v>928</v>
      </c>
      <c r="I2133" t="s">
        <v>6596</v>
      </c>
      <c r="L2133" t="s">
        <v>197</v>
      </c>
    </row>
    <row r="2134" spans="1:12" x14ac:dyDescent="0.4">
      <c r="A2134" t="s">
        <v>4917</v>
      </c>
      <c r="B2134">
        <v>66.8</v>
      </c>
      <c r="C2134" t="s">
        <v>5727</v>
      </c>
      <c r="D2134">
        <v>4</v>
      </c>
      <c r="E2134">
        <v>-1.7999999999999999E-2</v>
      </c>
      <c r="F2134">
        <v>33.200000000000003</v>
      </c>
      <c r="G2134">
        <v>2019</v>
      </c>
      <c r="H2134" t="s">
        <v>928</v>
      </c>
      <c r="I2134" t="s">
        <v>6596</v>
      </c>
      <c r="L2134" t="s">
        <v>197</v>
      </c>
    </row>
    <row r="2135" spans="1:12" x14ac:dyDescent="0.4">
      <c r="A2135" t="s">
        <v>5857</v>
      </c>
      <c r="B2135">
        <v>68.400000000000006</v>
      </c>
      <c r="C2135" t="s">
        <v>6592</v>
      </c>
      <c r="D2135">
        <v>4</v>
      </c>
      <c r="E2135">
        <v>0.26600000000000001</v>
      </c>
      <c r="F2135">
        <v>31.6</v>
      </c>
      <c r="G2135">
        <v>2019</v>
      </c>
      <c r="H2135" t="s">
        <v>928</v>
      </c>
      <c r="I2135" t="s">
        <v>6596</v>
      </c>
      <c r="L2135" t="s">
        <v>197</v>
      </c>
    </row>
    <row r="2136" spans="1:12" x14ac:dyDescent="0.4">
      <c r="A2136" t="s">
        <v>4948</v>
      </c>
      <c r="B2136">
        <v>68.599999999999994</v>
      </c>
      <c r="C2136" t="s">
        <v>6589</v>
      </c>
      <c r="D2136">
        <v>4</v>
      </c>
      <c r="E2136">
        <v>0.30099999999999999</v>
      </c>
      <c r="F2136">
        <v>31.4</v>
      </c>
      <c r="G2136">
        <v>2019</v>
      </c>
      <c r="H2136" t="s">
        <v>928</v>
      </c>
      <c r="I2136" t="s">
        <v>6596</v>
      </c>
      <c r="L2136" t="s">
        <v>197</v>
      </c>
    </row>
    <row r="2137" spans="1:12" x14ac:dyDescent="0.4">
      <c r="A2137" t="s">
        <v>5858</v>
      </c>
      <c r="B2137">
        <v>70.900000000000006</v>
      </c>
      <c r="C2137" t="s">
        <v>2481</v>
      </c>
      <c r="D2137">
        <v>4</v>
      </c>
      <c r="E2137">
        <v>0.70899999999999996</v>
      </c>
      <c r="F2137">
        <v>29.1</v>
      </c>
      <c r="G2137">
        <v>2019</v>
      </c>
      <c r="H2137" t="s">
        <v>928</v>
      </c>
      <c r="I2137" t="s">
        <v>6596</v>
      </c>
      <c r="L2137" t="s">
        <v>197</v>
      </c>
    </row>
    <row r="2138" spans="1:12" x14ac:dyDescent="0.4">
      <c r="A2138" t="s">
        <v>4959</v>
      </c>
      <c r="B2138">
        <v>74.3</v>
      </c>
      <c r="C2138" t="s">
        <v>2478</v>
      </c>
      <c r="D2138">
        <v>4</v>
      </c>
      <c r="E2138">
        <v>1.3120000000000001</v>
      </c>
      <c r="F2138">
        <v>25.7</v>
      </c>
      <c r="G2138">
        <v>2019</v>
      </c>
      <c r="H2138" t="s">
        <v>928</v>
      </c>
      <c r="I2138" t="s">
        <v>6596</v>
      </c>
      <c r="L2138" t="s">
        <v>197</v>
      </c>
    </row>
    <row r="2139" spans="1:12" x14ac:dyDescent="0.4">
      <c r="A2139" t="s">
        <v>4924</v>
      </c>
      <c r="B2139">
        <v>66</v>
      </c>
      <c r="C2139" t="s">
        <v>5704</v>
      </c>
      <c r="D2139">
        <v>4</v>
      </c>
      <c r="E2139">
        <v>-0.16</v>
      </c>
      <c r="F2139">
        <v>34</v>
      </c>
      <c r="G2139">
        <v>2019</v>
      </c>
      <c r="H2139" t="s">
        <v>928</v>
      </c>
      <c r="I2139" t="s">
        <v>6596</v>
      </c>
      <c r="L2139" t="s">
        <v>197</v>
      </c>
    </row>
    <row r="2140" spans="1:12" x14ac:dyDescent="0.4">
      <c r="A2140" t="s">
        <v>4929</v>
      </c>
      <c r="B2140">
        <v>66.2</v>
      </c>
      <c r="C2140" t="s">
        <v>6044</v>
      </c>
      <c r="D2140">
        <v>4</v>
      </c>
      <c r="E2140">
        <v>-0.124</v>
      </c>
      <c r="F2140">
        <v>33.799999999999997</v>
      </c>
      <c r="G2140">
        <v>2019</v>
      </c>
      <c r="H2140" t="s">
        <v>928</v>
      </c>
      <c r="I2140" t="s">
        <v>6596</v>
      </c>
      <c r="L2140" t="s">
        <v>197</v>
      </c>
    </row>
    <row r="2141" spans="1:12" x14ac:dyDescent="0.4">
      <c r="A2141" t="s">
        <v>4922</v>
      </c>
      <c r="B2141">
        <v>68.400000000000006</v>
      </c>
      <c r="C2141" t="s">
        <v>6592</v>
      </c>
      <c r="D2141">
        <v>4</v>
      </c>
      <c r="E2141">
        <v>0.26600000000000001</v>
      </c>
      <c r="F2141">
        <v>31.6</v>
      </c>
      <c r="G2141">
        <v>2019</v>
      </c>
      <c r="H2141" t="s">
        <v>928</v>
      </c>
      <c r="I2141" t="s">
        <v>6596</v>
      </c>
      <c r="L2141" t="s">
        <v>197</v>
      </c>
    </row>
    <row r="2142" spans="1:12" x14ac:dyDescent="0.4">
      <c r="A2142" t="s">
        <v>5859</v>
      </c>
      <c r="B2142">
        <v>55</v>
      </c>
      <c r="C2142" t="s">
        <v>6035</v>
      </c>
      <c r="D2142">
        <v>3</v>
      </c>
      <c r="E2142">
        <v>-2.11</v>
      </c>
      <c r="F2142">
        <v>45</v>
      </c>
      <c r="G2142">
        <v>2019</v>
      </c>
      <c r="H2142" t="s">
        <v>928</v>
      </c>
      <c r="I2142" t="s">
        <v>6596</v>
      </c>
      <c r="L2142" t="s">
        <v>197</v>
      </c>
    </row>
    <row r="2143" spans="1:12" x14ac:dyDescent="0.4">
      <c r="A2143" t="s">
        <v>4949</v>
      </c>
      <c r="B2143">
        <v>73.3</v>
      </c>
      <c r="C2143" t="s">
        <v>2475</v>
      </c>
      <c r="D2143">
        <v>4</v>
      </c>
      <c r="E2143">
        <v>1.135</v>
      </c>
      <c r="F2143">
        <v>26.7</v>
      </c>
      <c r="G2143">
        <v>2019</v>
      </c>
      <c r="H2143" t="s">
        <v>928</v>
      </c>
      <c r="I2143" t="s">
        <v>6596</v>
      </c>
      <c r="L2143" t="s">
        <v>197</v>
      </c>
    </row>
    <row r="2144" spans="1:12" x14ac:dyDescent="0.4">
      <c r="A2144" t="s">
        <v>4950</v>
      </c>
      <c r="B2144">
        <v>72.7</v>
      </c>
      <c r="C2144" t="s">
        <v>6593</v>
      </c>
      <c r="D2144">
        <v>4</v>
      </c>
      <c r="E2144">
        <v>1.028</v>
      </c>
      <c r="F2144">
        <v>27.3</v>
      </c>
      <c r="G2144">
        <v>2019</v>
      </c>
      <c r="H2144" t="s">
        <v>928</v>
      </c>
      <c r="I2144" t="s">
        <v>6596</v>
      </c>
      <c r="L2144" t="s">
        <v>197</v>
      </c>
    </row>
    <row r="2145" spans="1:12" x14ac:dyDescent="0.4">
      <c r="A2145" t="s">
        <v>4946</v>
      </c>
      <c r="B2145">
        <v>68.5</v>
      </c>
      <c r="C2145" t="s">
        <v>5729</v>
      </c>
      <c r="D2145">
        <v>4</v>
      </c>
      <c r="E2145">
        <v>0.28399999999999997</v>
      </c>
      <c r="F2145">
        <v>31.5</v>
      </c>
      <c r="G2145">
        <v>2019</v>
      </c>
      <c r="H2145" t="s">
        <v>928</v>
      </c>
      <c r="I2145" t="s">
        <v>6596</v>
      </c>
      <c r="L2145" t="s">
        <v>197</v>
      </c>
    </row>
    <row r="2146" spans="1:12" x14ac:dyDescent="0.4">
      <c r="A2146" t="s">
        <v>4954</v>
      </c>
      <c r="B2146">
        <v>70.7</v>
      </c>
      <c r="C2146" t="s">
        <v>5738</v>
      </c>
      <c r="D2146">
        <v>4</v>
      </c>
      <c r="E2146">
        <v>0.67400000000000004</v>
      </c>
      <c r="F2146">
        <v>29.3</v>
      </c>
      <c r="G2146">
        <v>2019</v>
      </c>
      <c r="H2146" t="s">
        <v>928</v>
      </c>
      <c r="I2146" t="s">
        <v>6596</v>
      </c>
      <c r="L2146" t="s">
        <v>197</v>
      </c>
    </row>
    <row r="2147" spans="1:12" x14ac:dyDescent="0.4">
      <c r="A2147" t="s">
        <v>4947</v>
      </c>
      <c r="B2147">
        <v>68.599999999999994</v>
      </c>
      <c r="C2147" t="s">
        <v>6589</v>
      </c>
      <c r="D2147">
        <v>4</v>
      </c>
      <c r="E2147">
        <v>0.30099999999999999</v>
      </c>
      <c r="F2147">
        <v>31.4</v>
      </c>
      <c r="G2147">
        <v>2019</v>
      </c>
      <c r="H2147" t="s">
        <v>928</v>
      </c>
      <c r="I2147" t="s">
        <v>6596</v>
      </c>
      <c r="L2147" t="s">
        <v>197</v>
      </c>
    </row>
    <row r="2148" spans="1:12" x14ac:dyDescent="0.4">
      <c r="A2148" t="s">
        <v>4919</v>
      </c>
      <c r="B2148">
        <v>77.900000000000006</v>
      </c>
      <c r="C2148" t="s">
        <v>2479</v>
      </c>
      <c r="D2148">
        <v>4</v>
      </c>
      <c r="E2148">
        <v>1.95</v>
      </c>
      <c r="F2148">
        <v>22.1</v>
      </c>
      <c r="G2148">
        <v>2019</v>
      </c>
      <c r="H2148" t="s">
        <v>928</v>
      </c>
      <c r="I2148" t="s">
        <v>6596</v>
      </c>
      <c r="L2148" t="s">
        <v>197</v>
      </c>
    </row>
    <row r="2149" spans="1:12" x14ac:dyDescent="0.4">
      <c r="A2149" t="s">
        <v>4936</v>
      </c>
      <c r="B2149">
        <v>66.2</v>
      </c>
      <c r="C2149" t="s">
        <v>6044</v>
      </c>
      <c r="D2149">
        <v>4</v>
      </c>
      <c r="E2149">
        <v>-0.124</v>
      </c>
      <c r="F2149">
        <v>33.799999999999997</v>
      </c>
      <c r="G2149">
        <v>2019</v>
      </c>
      <c r="H2149" t="s">
        <v>928</v>
      </c>
      <c r="I2149" t="s">
        <v>6596</v>
      </c>
      <c r="L2149" t="s">
        <v>197</v>
      </c>
    </row>
    <row r="2150" spans="1:12" x14ac:dyDescent="0.4">
      <c r="A2150" t="s">
        <v>4952</v>
      </c>
      <c r="B2150">
        <v>72.7</v>
      </c>
      <c r="C2150" t="s">
        <v>6593</v>
      </c>
      <c r="D2150">
        <v>4</v>
      </c>
      <c r="E2150">
        <v>1.028</v>
      </c>
      <c r="F2150">
        <v>27.3</v>
      </c>
      <c r="G2150">
        <v>2019</v>
      </c>
      <c r="H2150" t="s">
        <v>928</v>
      </c>
      <c r="I2150" t="s">
        <v>6596</v>
      </c>
      <c r="L2150" t="s">
        <v>197</v>
      </c>
    </row>
    <row r="2151" spans="1:12" x14ac:dyDescent="0.4">
      <c r="A2151" t="s">
        <v>4938</v>
      </c>
      <c r="B2151">
        <v>62.2</v>
      </c>
      <c r="C2151" t="s">
        <v>5713</v>
      </c>
      <c r="D2151">
        <v>4</v>
      </c>
      <c r="E2151">
        <v>-0.83299999999999996</v>
      </c>
      <c r="F2151">
        <v>37.799999999999997</v>
      </c>
      <c r="G2151">
        <v>2019</v>
      </c>
      <c r="H2151" t="s">
        <v>928</v>
      </c>
      <c r="I2151" t="s">
        <v>6596</v>
      </c>
      <c r="L2151" t="s">
        <v>197</v>
      </c>
    </row>
    <row r="2152" spans="1:12" x14ac:dyDescent="0.4">
      <c r="A2152" t="s">
        <v>4960</v>
      </c>
      <c r="B2152">
        <v>66.900000000000006</v>
      </c>
      <c r="C2152" t="s">
        <v>197</v>
      </c>
      <c r="D2152">
        <v>4</v>
      </c>
    </row>
    <row r="2153" spans="1:12" x14ac:dyDescent="0.4">
      <c r="A2153" t="s">
        <v>4961</v>
      </c>
      <c r="B2153">
        <v>64.599999999999994</v>
      </c>
      <c r="C2153" t="s">
        <v>197</v>
      </c>
      <c r="D2153">
        <v>4</v>
      </c>
    </row>
    <row r="2154" spans="1:12" x14ac:dyDescent="0.4">
      <c r="A2154" t="s">
        <v>4962</v>
      </c>
      <c r="B2154">
        <v>67.900000000000006</v>
      </c>
      <c r="C2154" t="s">
        <v>197</v>
      </c>
      <c r="D2154">
        <v>4</v>
      </c>
    </row>
    <row r="2155" spans="1:12" x14ac:dyDescent="0.4">
      <c r="A2155" t="s">
        <v>4963</v>
      </c>
      <c r="B2155">
        <v>61.5</v>
      </c>
      <c r="C2155" t="s">
        <v>197</v>
      </c>
      <c r="D2155">
        <v>4</v>
      </c>
    </row>
    <row r="2156" spans="1:12" x14ac:dyDescent="0.4">
      <c r="A2156" t="s">
        <v>4964</v>
      </c>
      <c r="B2156">
        <v>65.900000000000006</v>
      </c>
      <c r="C2156" t="s">
        <v>197</v>
      </c>
      <c r="D2156">
        <v>4</v>
      </c>
    </row>
    <row r="2157" spans="1:12" x14ac:dyDescent="0.4">
      <c r="A2157" t="s">
        <v>4965</v>
      </c>
      <c r="B2157">
        <v>65.599999999999994</v>
      </c>
      <c r="C2157" t="s">
        <v>197</v>
      </c>
      <c r="D2157">
        <v>4</v>
      </c>
    </row>
    <row r="2158" spans="1:12" x14ac:dyDescent="0.4">
      <c r="A2158" t="s">
        <v>4966</v>
      </c>
      <c r="B2158">
        <v>70.5</v>
      </c>
      <c r="C2158" t="s">
        <v>197</v>
      </c>
      <c r="D2158">
        <v>4</v>
      </c>
    </row>
    <row r="2159" spans="1:12" x14ac:dyDescent="0.4">
      <c r="A2159" t="s">
        <v>7360</v>
      </c>
      <c r="B2159">
        <v>66.599999999999994</v>
      </c>
      <c r="C2159" t="s">
        <v>197</v>
      </c>
      <c r="D2159">
        <v>4</v>
      </c>
    </row>
    <row r="2160" spans="1:12" x14ac:dyDescent="0.4">
      <c r="A2160" t="s">
        <v>7361</v>
      </c>
      <c r="B2160">
        <v>65.400000000000006</v>
      </c>
      <c r="C2160" t="s">
        <v>197</v>
      </c>
      <c r="D2160">
        <v>4</v>
      </c>
    </row>
    <row r="2161" spans="1:11" x14ac:dyDescent="0.4">
      <c r="A2161" t="s">
        <v>7362</v>
      </c>
      <c r="B2161">
        <v>67.8</v>
      </c>
      <c r="C2161" t="s">
        <v>197</v>
      </c>
      <c r="D2161">
        <v>4</v>
      </c>
    </row>
    <row r="2162" spans="1:11" x14ac:dyDescent="0.4">
      <c r="A2162" t="s">
        <v>3287</v>
      </c>
      <c r="B2162">
        <v>50</v>
      </c>
      <c r="C2162" t="s">
        <v>5718</v>
      </c>
      <c r="D2162">
        <v>3</v>
      </c>
      <c r="E2162">
        <v>-0.26100000000000001</v>
      </c>
      <c r="F2162">
        <v>1</v>
      </c>
      <c r="G2162">
        <v>2024</v>
      </c>
      <c r="H2162" t="s">
        <v>928</v>
      </c>
      <c r="I2162" t="s">
        <v>6063</v>
      </c>
      <c r="J2162" t="s">
        <v>8229</v>
      </c>
      <c r="K2162" t="s">
        <v>9244</v>
      </c>
    </row>
    <row r="2163" spans="1:11" x14ac:dyDescent="0.4">
      <c r="A2163" t="s">
        <v>3285</v>
      </c>
      <c r="B2163">
        <v>100</v>
      </c>
      <c r="C2163" t="s">
        <v>1380</v>
      </c>
      <c r="D2163">
        <v>5</v>
      </c>
      <c r="E2163">
        <v>1.1870000000000001</v>
      </c>
      <c r="F2163">
        <v>2</v>
      </c>
      <c r="G2163">
        <v>2024</v>
      </c>
      <c r="H2163" t="s">
        <v>928</v>
      </c>
      <c r="I2163" t="s">
        <v>6063</v>
      </c>
      <c r="J2163" t="s">
        <v>8230</v>
      </c>
      <c r="K2163" t="s">
        <v>9245</v>
      </c>
    </row>
    <row r="2164" spans="1:11" x14ac:dyDescent="0.4">
      <c r="A2164" t="s">
        <v>3291</v>
      </c>
      <c r="B2164">
        <v>50</v>
      </c>
      <c r="C2164" t="s">
        <v>5718</v>
      </c>
      <c r="D2164">
        <v>3</v>
      </c>
      <c r="E2164">
        <v>-0.26100000000000001</v>
      </c>
      <c r="F2164">
        <v>1</v>
      </c>
      <c r="G2164">
        <v>2024</v>
      </c>
      <c r="H2164" t="s">
        <v>928</v>
      </c>
      <c r="I2164" t="s">
        <v>6063</v>
      </c>
      <c r="J2164" t="s">
        <v>8231</v>
      </c>
      <c r="K2164" t="s">
        <v>8232</v>
      </c>
    </row>
    <row r="2165" spans="1:11" x14ac:dyDescent="0.4">
      <c r="A2165" t="s">
        <v>3315</v>
      </c>
      <c r="B2165">
        <v>50</v>
      </c>
      <c r="C2165" t="s">
        <v>5718</v>
      </c>
      <c r="D2165">
        <v>3</v>
      </c>
      <c r="E2165">
        <v>-0.26100000000000001</v>
      </c>
      <c r="F2165">
        <v>1</v>
      </c>
      <c r="G2165">
        <v>2024</v>
      </c>
      <c r="H2165" t="s">
        <v>928</v>
      </c>
      <c r="I2165" t="s">
        <v>6063</v>
      </c>
      <c r="J2165" t="s">
        <v>8233</v>
      </c>
      <c r="K2165" t="s">
        <v>8234</v>
      </c>
    </row>
    <row r="2166" spans="1:11" x14ac:dyDescent="0.4">
      <c r="A2166" t="s">
        <v>2171</v>
      </c>
      <c r="B2166">
        <v>50</v>
      </c>
      <c r="C2166" t="s">
        <v>5718</v>
      </c>
      <c r="D2166">
        <v>3</v>
      </c>
      <c r="E2166">
        <v>-0.26100000000000001</v>
      </c>
      <c r="F2166">
        <v>1</v>
      </c>
      <c r="G2166">
        <v>2024</v>
      </c>
      <c r="H2166" t="s">
        <v>928</v>
      </c>
      <c r="I2166" t="s">
        <v>6063</v>
      </c>
      <c r="J2166" t="s">
        <v>6018</v>
      </c>
      <c r="K2166" t="s">
        <v>6019</v>
      </c>
    </row>
    <row r="2167" spans="1:11" x14ac:dyDescent="0.4">
      <c r="A2167" t="s">
        <v>3311</v>
      </c>
      <c r="B2167">
        <v>50</v>
      </c>
      <c r="C2167" t="s">
        <v>5718</v>
      </c>
      <c r="D2167">
        <v>3</v>
      </c>
      <c r="E2167">
        <v>-0.26100000000000001</v>
      </c>
      <c r="F2167">
        <v>1</v>
      </c>
      <c r="G2167">
        <v>2024</v>
      </c>
      <c r="H2167" t="s">
        <v>928</v>
      </c>
      <c r="I2167" t="s">
        <v>6063</v>
      </c>
      <c r="J2167" t="s">
        <v>8989</v>
      </c>
      <c r="K2167" t="s">
        <v>9246</v>
      </c>
    </row>
    <row r="2168" spans="1:11" x14ac:dyDescent="0.4">
      <c r="A2168" t="s">
        <v>3295</v>
      </c>
      <c r="B2168">
        <v>0</v>
      </c>
      <c r="C2168" t="s">
        <v>6014</v>
      </c>
      <c r="D2168">
        <v>1</v>
      </c>
      <c r="E2168">
        <v>-1.708</v>
      </c>
      <c r="F2168">
        <v>0</v>
      </c>
      <c r="G2168">
        <v>2024</v>
      </c>
      <c r="H2168" t="s">
        <v>928</v>
      </c>
      <c r="I2168" t="s">
        <v>6063</v>
      </c>
      <c r="J2168" t="s">
        <v>8235</v>
      </c>
      <c r="K2168" t="s">
        <v>9247</v>
      </c>
    </row>
    <row r="2169" spans="1:11" x14ac:dyDescent="0.4">
      <c r="A2169" t="s">
        <v>3289</v>
      </c>
      <c r="B2169">
        <v>0</v>
      </c>
      <c r="C2169" t="s">
        <v>6014</v>
      </c>
      <c r="D2169">
        <v>1</v>
      </c>
      <c r="E2169">
        <v>-1.708</v>
      </c>
      <c r="F2169">
        <v>0</v>
      </c>
      <c r="G2169">
        <v>2024</v>
      </c>
      <c r="H2169" t="s">
        <v>928</v>
      </c>
      <c r="I2169" t="s">
        <v>6063</v>
      </c>
      <c r="J2169" t="s">
        <v>8236</v>
      </c>
      <c r="K2169" t="s">
        <v>9248</v>
      </c>
    </row>
    <row r="2170" spans="1:11" x14ac:dyDescent="0.4">
      <c r="A2170" t="s">
        <v>3301</v>
      </c>
      <c r="B2170">
        <v>50</v>
      </c>
      <c r="C2170" t="s">
        <v>5718</v>
      </c>
      <c r="D2170">
        <v>3</v>
      </c>
      <c r="E2170">
        <v>-0.26100000000000001</v>
      </c>
      <c r="F2170">
        <v>1</v>
      </c>
      <c r="G2170">
        <v>2024</v>
      </c>
      <c r="H2170" t="s">
        <v>928</v>
      </c>
      <c r="I2170" t="s">
        <v>6063</v>
      </c>
      <c r="J2170" t="s">
        <v>8237</v>
      </c>
      <c r="K2170" t="s">
        <v>9249</v>
      </c>
    </row>
    <row r="2171" spans="1:11" x14ac:dyDescent="0.4">
      <c r="A2171" t="s">
        <v>3293</v>
      </c>
      <c r="B2171">
        <v>50</v>
      </c>
      <c r="C2171" t="s">
        <v>5718</v>
      </c>
      <c r="D2171">
        <v>3</v>
      </c>
      <c r="E2171">
        <v>-0.26100000000000001</v>
      </c>
      <c r="F2171">
        <v>1</v>
      </c>
      <c r="G2171">
        <v>2024</v>
      </c>
      <c r="H2171" t="s">
        <v>928</v>
      </c>
      <c r="I2171" t="s">
        <v>6063</v>
      </c>
      <c r="J2171" t="s">
        <v>8238</v>
      </c>
      <c r="K2171" t="s">
        <v>9250</v>
      </c>
    </row>
    <row r="2172" spans="1:11" x14ac:dyDescent="0.4">
      <c r="A2172" t="s">
        <v>5984</v>
      </c>
      <c r="B2172">
        <v>0</v>
      </c>
      <c r="C2172" t="s">
        <v>6014</v>
      </c>
      <c r="D2172">
        <v>1</v>
      </c>
      <c r="E2172">
        <v>-1.708</v>
      </c>
      <c r="F2172">
        <v>0</v>
      </c>
      <c r="G2172">
        <v>2024</v>
      </c>
      <c r="H2172" t="s">
        <v>928</v>
      </c>
      <c r="I2172" t="s">
        <v>6063</v>
      </c>
      <c r="J2172" t="s">
        <v>8239</v>
      </c>
      <c r="K2172" t="s">
        <v>9251</v>
      </c>
    </row>
    <row r="2173" spans="1:11" x14ac:dyDescent="0.4">
      <c r="A2173" t="s">
        <v>3307</v>
      </c>
      <c r="B2173">
        <v>50</v>
      </c>
      <c r="C2173" t="s">
        <v>5718</v>
      </c>
      <c r="D2173">
        <v>3</v>
      </c>
      <c r="E2173">
        <v>-0.26100000000000001</v>
      </c>
      <c r="F2173">
        <v>1</v>
      </c>
      <c r="G2173">
        <v>2024</v>
      </c>
      <c r="H2173" t="s">
        <v>928</v>
      </c>
      <c r="I2173" t="s">
        <v>6063</v>
      </c>
      <c r="J2173" t="s">
        <v>8240</v>
      </c>
      <c r="K2173" t="s">
        <v>9252</v>
      </c>
    </row>
    <row r="2174" spans="1:11" x14ac:dyDescent="0.4">
      <c r="A2174" t="s">
        <v>2172</v>
      </c>
      <c r="B2174">
        <v>100</v>
      </c>
      <c r="C2174" t="s">
        <v>1380</v>
      </c>
      <c r="D2174">
        <v>5</v>
      </c>
      <c r="E2174">
        <v>1.1870000000000001</v>
      </c>
      <c r="F2174">
        <v>2</v>
      </c>
      <c r="G2174">
        <v>2024</v>
      </c>
      <c r="H2174" t="s">
        <v>928</v>
      </c>
      <c r="I2174" t="s">
        <v>6063</v>
      </c>
      <c r="J2174" t="s">
        <v>8241</v>
      </c>
      <c r="K2174" t="s">
        <v>9253</v>
      </c>
    </row>
    <row r="2175" spans="1:11" x14ac:dyDescent="0.4">
      <c r="A2175" t="s">
        <v>2181</v>
      </c>
      <c r="B2175">
        <v>100</v>
      </c>
      <c r="C2175" t="s">
        <v>1380</v>
      </c>
      <c r="D2175">
        <v>5</v>
      </c>
      <c r="E2175">
        <v>1.1870000000000001</v>
      </c>
      <c r="F2175">
        <v>2</v>
      </c>
      <c r="G2175">
        <v>2024</v>
      </c>
      <c r="H2175" t="s">
        <v>928</v>
      </c>
      <c r="I2175" t="s">
        <v>6063</v>
      </c>
      <c r="J2175" t="s">
        <v>8242</v>
      </c>
      <c r="K2175" t="s">
        <v>9254</v>
      </c>
    </row>
    <row r="2176" spans="1:11" x14ac:dyDescent="0.4">
      <c r="A2176" t="s">
        <v>3300</v>
      </c>
      <c r="B2176">
        <v>100</v>
      </c>
      <c r="C2176" t="s">
        <v>1380</v>
      </c>
      <c r="D2176">
        <v>5</v>
      </c>
      <c r="E2176">
        <v>1.1870000000000001</v>
      </c>
      <c r="F2176">
        <v>2</v>
      </c>
      <c r="G2176">
        <v>2024</v>
      </c>
      <c r="H2176" t="s">
        <v>928</v>
      </c>
      <c r="I2176" t="s">
        <v>6063</v>
      </c>
      <c r="J2176" t="s">
        <v>8243</v>
      </c>
      <c r="K2176" t="s">
        <v>9255</v>
      </c>
    </row>
    <row r="2177" spans="1:11" x14ac:dyDescent="0.4">
      <c r="A2177" t="s">
        <v>3314</v>
      </c>
      <c r="B2177">
        <v>100</v>
      </c>
      <c r="C2177" t="s">
        <v>1380</v>
      </c>
      <c r="D2177">
        <v>5</v>
      </c>
      <c r="E2177">
        <v>1.1870000000000001</v>
      </c>
      <c r="F2177">
        <v>2</v>
      </c>
      <c r="G2177">
        <v>2024</v>
      </c>
      <c r="H2177" t="s">
        <v>928</v>
      </c>
      <c r="I2177" t="s">
        <v>6063</v>
      </c>
      <c r="J2177" t="s">
        <v>8244</v>
      </c>
      <c r="K2177" t="s">
        <v>9256</v>
      </c>
    </row>
    <row r="2178" spans="1:11" x14ac:dyDescent="0.4">
      <c r="A2178" t="s">
        <v>2173</v>
      </c>
      <c r="B2178">
        <v>100</v>
      </c>
      <c r="C2178" t="s">
        <v>1380</v>
      </c>
      <c r="D2178">
        <v>5</v>
      </c>
      <c r="E2178">
        <v>1.1870000000000001</v>
      </c>
      <c r="F2178">
        <v>2</v>
      </c>
      <c r="G2178">
        <v>2024</v>
      </c>
      <c r="H2178" t="s">
        <v>928</v>
      </c>
      <c r="I2178" t="s">
        <v>6063</v>
      </c>
      <c r="J2178" t="s">
        <v>8245</v>
      </c>
      <c r="K2178" t="s">
        <v>9257</v>
      </c>
    </row>
    <row r="2179" spans="1:11" x14ac:dyDescent="0.4">
      <c r="A2179" t="s">
        <v>2180</v>
      </c>
      <c r="B2179">
        <v>50</v>
      </c>
      <c r="C2179" t="s">
        <v>5718</v>
      </c>
      <c r="D2179">
        <v>3</v>
      </c>
      <c r="E2179">
        <v>-0.26100000000000001</v>
      </c>
      <c r="F2179">
        <v>1</v>
      </c>
      <c r="G2179">
        <v>2024</v>
      </c>
      <c r="H2179" t="s">
        <v>928</v>
      </c>
      <c r="I2179" t="s">
        <v>6063</v>
      </c>
      <c r="J2179" t="s">
        <v>8246</v>
      </c>
      <c r="K2179" t="s">
        <v>9258</v>
      </c>
    </row>
    <row r="2180" spans="1:11" x14ac:dyDescent="0.4">
      <c r="A2180" t="s">
        <v>2174</v>
      </c>
      <c r="B2180">
        <v>100</v>
      </c>
      <c r="C2180" t="s">
        <v>1380</v>
      </c>
      <c r="D2180">
        <v>5</v>
      </c>
      <c r="E2180">
        <v>1.1870000000000001</v>
      </c>
      <c r="F2180">
        <v>2</v>
      </c>
      <c r="G2180">
        <v>2024</v>
      </c>
      <c r="H2180" t="s">
        <v>928</v>
      </c>
      <c r="I2180" t="s">
        <v>6063</v>
      </c>
      <c r="J2180" t="s">
        <v>8247</v>
      </c>
      <c r="K2180" t="s">
        <v>9259</v>
      </c>
    </row>
    <row r="2181" spans="1:11" x14ac:dyDescent="0.4">
      <c r="A2181" t="s">
        <v>3284</v>
      </c>
      <c r="B2181">
        <v>50</v>
      </c>
      <c r="C2181" t="s">
        <v>5718</v>
      </c>
      <c r="D2181">
        <v>3</v>
      </c>
      <c r="E2181">
        <v>-0.26100000000000001</v>
      </c>
      <c r="F2181">
        <v>1</v>
      </c>
      <c r="G2181">
        <v>2024</v>
      </c>
      <c r="H2181" t="s">
        <v>928</v>
      </c>
      <c r="I2181" t="s">
        <v>6063</v>
      </c>
      <c r="J2181" t="s">
        <v>8248</v>
      </c>
      <c r="K2181" t="s">
        <v>9260</v>
      </c>
    </row>
    <row r="2182" spans="1:11" x14ac:dyDescent="0.4">
      <c r="A2182" t="s">
        <v>3304</v>
      </c>
      <c r="B2182">
        <v>50</v>
      </c>
      <c r="C2182" t="s">
        <v>5718</v>
      </c>
      <c r="D2182">
        <v>3</v>
      </c>
      <c r="E2182">
        <v>-0.26100000000000001</v>
      </c>
      <c r="F2182">
        <v>1</v>
      </c>
      <c r="G2182">
        <v>2024</v>
      </c>
      <c r="H2182" t="s">
        <v>928</v>
      </c>
      <c r="I2182" t="s">
        <v>6063</v>
      </c>
      <c r="J2182" t="s">
        <v>8249</v>
      </c>
      <c r="K2182" t="s">
        <v>9261</v>
      </c>
    </row>
    <row r="2183" spans="1:11" x14ac:dyDescent="0.4">
      <c r="A2183" t="s">
        <v>3308</v>
      </c>
      <c r="B2183">
        <v>50</v>
      </c>
      <c r="C2183" t="s">
        <v>5718</v>
      </c>
      <c r="D2183">
        <v>3</v>
      </c>
      <c r="E2183">
        <v>-0.26100000000000001</v>
      </c>
      <c r="F2183">
        <v>1</v>
      </c>
      <c r="G2183">
        <v>2024</v>
      </c>
      <c r="H2183" t="s">
        <v>928</v>
      </c>
      <c r="I2183" t="s">
        <v>6063</v>
      </c>
      <c r="J2183" t="s">
        <v>8250</v>
      </c>
      <c r="K2183" t="s">
        <v>8251</v>
      </c>
    </row>
    <row r="2184" spans="1:11" x14ac:dyDescent="0.4">
      <c r="A2184" t="s">
        <v>3306</v>
      </c>
      <c r="B2184">
        <v>50</v>
      </c>
      <c r="C2184" t="s">
        <v>5718</v>
      </c>
      <c r="D2184">
        <v>3</v>
      </c>
      <c r="E2184">
        <v>-0.26100000000000001</v>
      </c>
      <c r="F2184">
        <v>1</v>
      </c>
      <c r="G2184">
        <v>2024</v>
      </c>
      <c r="H2184" t="s">
        <v>928</v>
      </c>
      <c r="I2184" t="s">
        <v>6063</v>
      </c>
      <c r="J2184" t="s">
        <v>8252</v>
      </c>
      <c r="K2184" t="s">
        <v>9262</v>
      </c>
    </row>
    <row r="2185" spans="1:11" x14ac:dyDescent="0.4">
      <c r="A2185" t="s">
        <v>3294</v>
      </c>
      <c r="B2185">
        <v>0</v>
      </c>
      <c r="C2185" t="s">
        <v>6014</v>
      </c>
      <c r="D2185">
        <v>1</v>
      </c>
      <c r="E2185">
        <v>-1.708</v>
      </c>
      <c r="F2185">
        <v>0</v>
      </c>
      <c r="G2185">
        <v>2024</v>
      </c>
      <c r="H2185" t="s">
        <v>928</v>
      </c>
      <c r="I2185" t="s">
        <v>6063</v>
      </c>
      <c r="J2185" t="s">
        <v>8253</v>
      </c>
      <c r="K2185" t="s">
        <v>9263</v>
      </c>
    </row>
    <row r="2186" spans="1:11" x14ac:dyDescent="0.4">
      <c r="A2186" t="s">
        <v>3283</v>
      </c>
      <c r="B2186">
        <v>0</v>
      </c>
      <c r="C2186" t="s">
        <v>6014</v>
      </c>
      <c r="D2186">
        <v>1</v>
      </c>
      <c r="E2186">
        <v>-1.708</v>
      </c>
      <c r="F2186">
        <v>0</v>
      </c>
      <c r="G2186">
        <v>2024</v>
      </c>
      <c r="H2186" t="s">
        <v>928</v>
      </c>
      <c r="I2186" t="s">
        <v>6063</v>
      </c>
      <c r="J2186" t="s">
        <v>8254</v>
      </c>
      <c r="K2186" t="s">
        <v>9264</v>
      </c>
    </row>
    <row r="2187" spans="1:11" x14ac:dyDescent="0.4">
      <c r="A2187" t="s">
        <v>3297</v>
      </c>
      <c r="B2187">
        <v>50</v>
      </c>
      <c r="C2187" t="s">
        <v>5718</v>
      </c>
      <c r="D2187">
        <v>3</v>
      </c>
      <c r="E2187">
        <v>-0.26100000000000001</v>
      </c>
      <c r="F2187">
        <v>1</v>
      </c>
      <c r="G2187">
        <v>2024</v>
      </c>
      <c r="H2187" t="s">
        <v>928</v>
      </c>
      <c r="I2187" t="s">
        <v>6063</v>
      </c>
      <c r="J2187" t="s">
        <v>8255</v>
      </c>
      <c r="K2187" t="s">
        <v>8256</v>
      </c>
    </row>
    <row r="2188" spans="1:11" x14ac:dyDescent="0.4">
      <c r="A2188" t="s">
        <v>3298</v>
      </c>
      <c r="B2188">
        <v>100</v>
      </c>
      <c r="C2188" t="s">
        <v>1380</v>
      </c>
      <c r="D2188">
        <v>5</v>
      </c>
      <c r="E2188">
        <v>1.1870000000000001</v>
      </c>
      <c r="F2188">
        <v>2</v>
      </c>
      <c r="G2188">
        <v>2024</v>
      </c>
      <c r="H2188" t="s">
        <v>928</v>
      </c>
      <c r="I2188" t="s">
        <v>6063</v>
      </c>
      <c r="J2188" t="s">
        <v>8257</v>
      </c>
      <c r="K2188" t="s">
        <v>9265</v>
      </c>
    </row>
    <row r="2189" spans="1:11" x14ac:dyDescent="0.4">
      <c r="A2189" t="s">
        <v>3316</v>
      </c>
      <c r="B2189">
        <v>50</v>
      </c>
      <c r="C2189" t="s">
        <v>5718</v>
      </c>
      <c r="D2189">
        <v>3</v>
      </c>
      <c r="E2189">
        <v>-0.26100000000000001</v>
      </c>
      <c r="F2189">
        <v>1</v>
      </c>
      <c r="G2189">
        <v>2024</v>
      </c>
      <c r="H2189" t="s">
        <v>928</v>
      </c>
      <c r="I2189" t="s">
        <v>6063</v>
      </c>
      <c r="J2189" t="s">
        <v>8258</v>
      </c>
      <c r="K2189" t="s">
        <v>9266</v>
      </c>
    </row>
    <row r="2190" spans="1:11" x14ac:dyDescent="0.4">
      <c r="A2190" t="s">
        <v>2175</v>
      </c>
      <c r="B2190">
        <v>50</v>
      </c>
      <c r="C2190" t="s">
        <v>5718</v>
      </c>
      <c r="D2190">
        <v>3</v>
      </c>
      <c r="E2190">
        <v>-0.26100000000000001</v>
      </c>
      <c r="F2190">
        <v>1</v>
      </c>
      <c r="G2190">
        <v>2024</v>
      </c>
      <c r="H2190" t="s">
        <v>928</v>
      </c>
      <c r="I2190" t="s">
        <v>6063</v>
      </c>
      <c r="J2190" t="s">
        <v>6020</v>
      </c>
      <c r="K2190" t="s">
        <v>6021</v>
      </c>
    </row>
    <row r="2191" spans="1:11" x14ac:dyDescent="0.4">
      <c r="A2191" t="s">
        <v>2179</v>
      </c>
      <c r="B2191">
        <v>50</v>
      </c>
      <c r="C2191" t="s">
        <v>5718</v>
      </c>
      <c r="D2191">
        <v>3</v>
      </c>
      <c r="E2191">
        <v>-0.26100000000000001</v>
      </c>
      <c r="F2191">
        <v>1</v>
      </c>
      <c r="G2191">
        <v>2024</v>
      </c>
      <c r="H2191" t="s">
        <v>928</v>
      </c>
      <c r="I2191" t="s">
        <v>6063</v>
      </c>
      <c r="J2191" t="s">
        <v>8259</v>
      </c>
      <c r="K2191" t="s">
        <v>9267</v>
      </c>
    </row>
    <row r="2192" spans="1:11" x14ac:dyDescent="0.4">
      <c r="A2192" t="s">
        <v>3299</v>
      </c>
      <c r="B2192">
        <v>50</v>
      </c>
      <c r="C2192" t="s">
        <v>5718</v>
      </c>
      <c r="D2192">
        <v>3</v>
      </c>
      <c r="E2192">
        <v>-0.26100000000000001</v>
      </c>
      <c r="F2192">
        <v>1</v>
      </c>
      <c r="G2192">
        <v>2024</v>
      </c>
      <c r="H2192" t="s">
        <v>928</v>
      </c>
      <c r="I2192" t="s">
        <v>6063</v>
      </c>
      <c r="J2192" t="s">
        <v>8260</v>
      </c>
      <c r="K2192" t="s">
        <v>9268</v>
      </c>
    </row>
    <row r="2193" spans="1:11" x14ac:dyDescent="0.4">
      <c r="A2193" t="s">
        <v>3305</v>
      </c>
      <c r="B2193">
        <v>100</v>
      </c>
      <c r="C2193" t="s">
        <v>1380</v>
      </c>
      <c r="D2193">
        <v>5</v>
      </c>
      <c r="E2193">
        <v>1.1870000000000001</v>
      </c>
      <c r="F2193">
        <v>2</v>
      </c>
      <c r="G2193">
        <v>2024</v>
      </c>
      <c r="H2193" t="s">
        <v>928</v>
      </c>
      <c r="I2193" t="s">
        <v>6063</v>
      </c>
      <c r="J2193" t="s">
        <v>8261</v>
      </c>
      <c r="K2193" t="s">
        <v>9269</v>
      </c>
    </row>
    <row r="2194" spans="1:11" x14ac:dyDescent="0.4">
      <c r="A2194" t="s">
        <v>3286</v>
      </c>
      <c r="B2194">
        <v>0</v>
      </c>
      <c r="C2194" t="s">
        <v>6014</v>
      </c>
      <c r="D2194">
        <v>1</v>
      </c>
      <c r="E2194">
        <v>-1.708</v>
      </c>
      <c r="F2194">
        <v>0</v>
      </c>
      <c r="G2194">
        <v>2024</v>
      </c>
      <c r="H2194" t="s">
        <v>928</v>
      </c>
      <c r="I2194" t="s">
        <v>6063</v>
      </c>
      <c r="J2194" t="s">
        <v>8262</v>
      </c>
      <c r="K2194" t="s">
        <v>9270</v>
      </c>
    </row>
    <row r="2195" spans="1:11" x14ac:dyDescent="0.4">
      <c r="A2195" t="s">
        <v>5860</v>
      </c>
      <c r="B2195">
        <v>100</v>
      </c>
      <c r="C2195" t="s">
        <v>1380</v>
      </c>
      <c r="D2195">
        <v>5</v>
      </c>
      <c r="E2195">
        <v>1.1870000000000001</v>
      </c>
      <c r="F2195">
        <v>2</v>
      </c>
      <c r="G2195">
        <v>2024</v>
      </c>
      <c r="H2195" t="s">
        <v>928</v>
      </c>
      <c r="I2195" t="s">
        <v>6063</v>
      </c>
      <c r="J2195" t="s">
        <v>8263</v>
      </c>
      <c r="K2195" t="s">
        <v>9271</v>
      </c>
    </row>
    <row r="2196" spans="1:11" x14ac:dyDescent="0.4">
      <c r="A2196" t="s">
        <v>3309</v>
      </c>
      <c r="B2196">
        <v>100</v>
      </c>
      <c r="C2196" t="s">
        <v>1380</v>
      </c>
      <c r="D2196">
        <v>5</v>
      </c>
      <c r="E2196">
        <v>1.1870000000000001</v>
      </c>
      <c r="F2196">
        <v>2</v>
      </c>
      <c r="G2196">
        <v>2024</v>
      </c>
      <c r="H2196" t="s">
        <v>928</v>
      </c>
      <c r="I2196" t="s">
        <v>6063</v>
      </c>
      <c r="J2196" t="s">
        <v>8264</v>
      </c>
      <c r="K2196" t="s">
        <v>9272</v>
      </c>
    </row>
    <row r="2197" spans="1:11" x14ac:dyDescent="0.4">
      <c r="A2197" t="s">
        <v>5861</v>
      </c>
      <c r="B2197">
        <v>0</v>
      </c>
      <c r="C2197" t="s">
        <v>6014</v>
      </c>
      <c r="D2197">
        <v>1</v>
      </c>
      <c r="E2197">
        <v>-1.708</v>
      </c>
      <c r="F2197">
        <v>0</v>
      </c>
      <c r="G2197">
        <v>2024</v>
      </c>
      <c r="H2197" t="s">
        <v>928</v>
      </c>
      <c r="I2197" t="s">
        <v>6063</v>
      </c>
      <c r="J2197" t="s">
        <v>8265</v>
      </c>
      <c r="K2197" t="s">
        <v>9273</v>
      </c>
    </row>
    <row r="2198" spans="1:11" x14ac:dyDescent="0.4">
      <c r="A2198" t="s">
        <v>3317</v>
      </c>
      <c r="B2198">
        <v>50</v>
      </c>
      <c r="C2198" t="s">
        <v>5718</v>
      </c>
      <c r="D2198">
        <v>3</v>
      </c>
      <c r="E2198">
        <v>-0.26100000000000001</v>
      </c>
      <c r="F2198">
        <v>1</v>
      </c>
      <c r="G2198">
        <v>2024</v>
      </c>
      <c r="H2198" t="s">
        <v>928</v>
      </c>
      <c r="I2198" t="s">
        <v>6063</v>
      </c>
      <c r="J2198" t="s">
        <v>8266</v>
      </c>
      <c r="K2198" t="s">
        <v>9274</v>
      </c>
    </row>
    <row r="2199" spans="1:11" x14ac:dyDescent="0.4">
      <c r="A2199" t="s">
        <v>3292</v>
      </c>
      <c r="B2199">
        <v>100</v>
      </c>
      <c r="C2199" t="s">
        <v>1380</v>
      </c>
      <c r="D2199">
        <v>5</v>
      </c>
      <c r="E2199">
        <v>1.1870000000000001</v>
      </c>
      <c r="F2199">
        <v>2</v>
      </c>
      <c r="G2199">
        <v>2024</v>
      </c>
      <c r="H2199" t="s">
        <v>928</v>
      </c>
      <c r="I2199" t="s">
        <v>6063</v>
      </c>
      <c r="J2199" t="s">
        <v>8267</v>
      </c>
      <c r="K2199" t="s">
        <v>9275</v>
      </c>
    </row>
    <row r="2200" spans="1:11" x14ac:dyDescent="0.4">
      <c r="A2200" t="s">
        <v>3296</v>
      </c>
      <c r="B2200">
        <v>0</v>
      </c>
      <c r="C2200" t="s">
        <v>6014</v>
      </c>
      <c r="D2200">
        <v>1</v>
      </c>
      <c r="E2200">
        <v>-1.708</v>
      </c>
      <c r="F2200">
        <v>0</v>
      </c>
      <c r="G2200">
        <v>2024</v>
      </c>
      <c r="H2200" t="s">
        <v>928</v>
      </c>
      <c r="I2200" t="s">
        <v>6063</v>
      </c>
      <c r="J2200" t="s">
        <v>8268</v>
      </c>
      <c r="K2200" t="s">
        <v>9276</v>
      </c>
    </row>
    <row r="2201" spans="1:11" x14ac:dyDescent="0.4">
      <c r="A2201" t="s">
        <v>3290</v>
      </c>
      <c r="B2201">
        <v>100</v>
      </c>
      <c r="C2201" t="s">
        <v>1380</v>
      </c>
      <c r="D2201">
        <v>5</v>
      </c>
      <c r="E2201">
        <v>1.1870000000000001</v>
      </c>
      <c r="F2201">
        <v>2</v>
      </c>
      <c r="G2201">
        <v>2024</v>
      </c>
      <c r="H2201" t="s">
        <v>928</v>
      </c>
      <c r="I2201" t="s">
        <v>6063</v>
      </c>
      <c r="J2201" t="s">
        <v>8269</v>
      </c>
      <c r="K2201" t="s">
        <v>9277</v>
      </c>
    </row>
    <row r="2202" spans="1:11" x14ac:dyDescent="0.4">
      <c r="A2202" t="s">
        <v>5862</v>
      </c>
      <c r="B2202">
        <v>50</v>
      </c>
      <c r="C2202" t="s">
        <v>5718</v>
      </c>
      <c r="D2202">
        <v>3</v>
      </c>
      <c r="E2202">
        <v>-0.26100000000000001</v>
      </c>
      <c r="F2202">
        <v>1</v>
      </c>
      <c r="G2202">
        <v>2024</v>
      </c>
      <c r="H2202" t="s">
        <v>928</v>
      </c>
      <c r="I2202" t="s">
        <v>6063</v>
      </c>
      <c r="J2202" t="s">
        <v>8270</v>
      </c>
      <c r="K2202" t="s">
        <v>9278</v>
      </c>
    </row>
    <row r="2203" spans="1:11" x14ac:dyDescent="0.4">
      <c r="A2203" t="s">
        <v>3310</v>
      </c>
      <c r="B2203">
        <v>100</v>
      </c>
      <c r="C2203" t="s">
        <v>1380</v>
      </c>
      <c r="D2203">
        <v>5</v>
      </c>
      <c r="E2203">
        <v>1.1870000000000001</v>
      </c>
      <c r="F2203">
        <v>2</v>
      </c>
      <c r="G2203">
        <v>2024</v>
      </c>
      <c r="H2203" t="s">
        <v>928</v>
      </c>
      <c r="I2203" t="s">
        <v>6063</v>
      </c>
      <c r="J2203" t="s">
        <v>8271</v>
      </c>
      <c r="K2203" t="s">
        <v>6064</v>
      </c>
    </row>
    <row r="2204" spans="1:11" x14ac:dyDescent="0.4">
      <c r="A2204" t="s">
        <v>2176</v>
      </c>
      <c r="B2204">
        <v>100</v>
      </c>
      <c r="C2204" t="s">
        <v>1380</v>
      </c>
      <c r="D2204">
        <v>5</v>
      </c>
      <c r="E2204">
        <v>1.1870000000000001</v>
      </c>
      <c r="F2204">
        <v>2</v>
      </c>
      <c r="G2204">
        <v>2024</v>
      </c>
      <c r="H2204" t="s">
        <v>928</v>
      </c>
      <c r="I2204" t="s">
        <v>6063</v>
      </c>
      <c r="J2204" t="s">
        <v>8272</v>
      </c>
      <c r="K2204" t="s">
        <v>9279</v>
      </c>
    </row>
    <row r="2205" spans="1:11" x14ac:dyDescent="0.4">
      <c r="A2205" t="s">
        <v>2177</v>
      </c>
      <c r="B2205">
        <v>50</v>
      </c>
      <c r="C2205" t="s">
        <v>5718</v>
      </c>
      <c r="D2205">
        <v>3</v>
      </c>
      <c r="E2205">
        <v>-0.26100000000000001</v>
      </c>
      <c r="F2205">
        <v>1</v>
      </c>
      <c r="G2205">
        <v>2024</v>
      </c>
      <c r="H2205" t="s">
        <v>928</v>
      </c>
      <c r="I2205" t="s">
        <v>6063</v>
      </c>
      <c r="J2205" t="s">
        <v>8273</v>
      </c>
      <c r="K2205" t="s">
        <v>9280</v>
      </c>
    </row>
    <row r="2206" spans="1:11" x14ac:dyDescent="0.4">
      <c r="A2206" t="s">
        <v>3313</v>
      </c>
      <c r="B2206">
        <v>50</v>
      </c>
      <c r="C2206" t="s">
        <v>5718</v>
      </c>
      <c r="D2206">
        <v>3</v>
      </c>
      <c r="E2206">
        <v>-0.26100000000000001</v>
      </c>
      <c r="F2206">
        <v>1</v>
      </c>
      <c r="G2206">
        <v>2024</v>
      </c>
      <c r="H2206" t="s">
        <v>928</v>
      </c>
      <c r="I2206" t="s">
        <v>6063</v>
      </c>
      <c r="J2206" t="s">
        <v>8274</v>
      </c>
      <c r="K2206" t="s">
        <v>9281</v>
      </c>
    </row>
    <row r="2207" spans="1:11" x14ac:dyDescent="0.4">
      <c r="A2207" t="s">
        <v>2178</v>
      </c>
      <c r="B2207">
        <v>100</v>
      </c>
      <c r="C2207" t="s">
        <v>1380</v>
      </c>
      <c r="D2207">
        <v>5</v>
      </c>
      <c r="E2207">
        <v>1.1870000000000001</v>
      </c>
      <c r="F2207">
        <v>2</v>
      </c>
      <c r="G2207">
        <v>2024</v>
      </c>
      <c r="H2207" t="s">
        <v>928</v>
      </c>
      <c r="I2207" t="s">
        <v>6063</v>
      </c>
      <c r="J2207" t="s">
        <v>8275</v>
      </c>
      <c r="K2207" t="s">
        <v>9282</v>
      </c>
    </row>
    <row r="2208" spans="1:11" x14ac:dyDescent="0.4">
      <c r="A2208" t="s">
        <v>3288</v>
      </c>
      <c r="B2208">
        <v>50</v>
      </c>
      <c r="C2208" t="s">
        <v>5718</v>
      </c>
      <c r="D2208">
        <v>3</v>
      </c>
      <c r="E2208">
        <v>-0.26100000000000001</v>
      </c>
      <c r="F2208">
        <v>1</v>
      </c>
      <c r="G2208">
        <v>2024</v>
      </c>
      <c r="H2208" t="s">
        <v>928</v>
      </c>
      <c r="I2208" t="s">
        <v>6063</v>
      </c>
      <c r="J2208" t="s">
        <v>8276</v>
      </c>
      <c r="K2208" t="s">
        <v>8277</v>
      </c>
    </row>
    <row r="2209" spans="1:11" x14ac:dyDescent="0.4">
      <c r="A2209" t="s">
        <v>3302</v>
      </c>
      <c r="B2209">
        <v>50</v>
      </c>
      <c r="C2209" t="s">
        <v>5718</v>
      </c>
      <c r="D2209">
        <v>3</v>
      </c>
      <c r="E2209">
        <v>-0.26100000000000001</v>
      </c>
      <c r="F2209">
        <v>1</v>
      </c>
      <c r="G2209">
        <v>2024</v>
      </c>
      <c r="H2209" t="s">
        <v>928</v>
      </c>
      <c r="I2209" t="s">
        <v>6063</v>
      </c>
      <c r="J2209" t="s">
        <v>8278</v>
      </c>
      <c r="K2209" t="s">
        <v>9283</v>
      </c>
    </row>
    <row r="2210" spans="1:11" x14ac:dyDescent="0.4">
      <c r="A2210" t="s">
        <v>3312</v>
      </c>
      <c r="B2210">
        <v>100</v>
      </c>
      <c r="C2210" t="s">
        <v>1380</v>
      </c>
      <c r="D2210">
        <v>5</v>
      </c>
      <c r="E2210">
        <v>1.1870000000000001</v>
      </c>
      <c r="F2210">
        <v>2</v>
      </c>
      <c r="G2210">
        <v>2024</v>
      </c>
      <c r="H2210" t="s">
        <v>928</v>
      </c>
      <c r="I2210" t="s">
        <v>6063</v>
      </c>
      <c r="J2210" t="s">
        <v>8279</v>
      </c>
      <c r="K2210" t="s">
        <v>9284</v>
      </c>
    </row>
    <row r="2211" spans="1:11" x14ac:dyDescent="0.4">
      <c r="A2211" t="s">
        <v>3303</v>
      </c>
      <c r="B2211">
        <v>50</v>
      </c>
      <c r="C2211" t="s">
        <v>5718</v>
      </c>
      <c r="D2211">
        <v>3</v>
      </c>
      <c r="E2211">
        <v>-0.26100000000000001</v>
      </c>
      <c r="F2211">
        <v>1</v>
      </c>
      <c r="G2211">
        <v>2024</v>
      </c>
      <c r="H2211" t="s">
        <v>928</v>
      </c>
      <c r="I2211" t="s">
        <v>6063</v>
      </c>
      <c r="J2211" t="s">
        <v>8280</v>
      </c>
      <c r="K2211" t="s">
        <v>9285</v>
      </c>
    </row>
    <row r="2212" spans="1:11" x14ac:dyDescent="0.4">
      <c r="A2212" t="s">
        <v>2182</v>
      </c>
      <c r="B2212">
        <v>59</v>
      </c>
      <c r="C2212" t="s">
        <v>197</v>
      </c>
      <c r="D2212">
        <v>3</v>
      </c>
    </row>
    <row r="2213" spans="1:11" x14ac:dyDescent="0.4">
      <c r="A2213" t="s">
        <v>2183</v>
      </c>
      <c r="B2213">
        <v>40</v>
      </c>
      <c r="C2213" t="s">
        <v>197</v>
      </c>
      <c r="D2213">
        <v>3</v>
      </c>
    </row>
    <row r="2214" spans="1:11" x14ac:dyDescent="0.4">
      <c r="A2214" t="s">
        <v>2184</v>
      </c>
      <c r="B2214">
        <v>57.1</v>
      </c>
      <c r="C2214" t="s">
        <v>197</v>
      </c>
      <c r="D2214">
        <v>3</v>
      </c>
    </row>
    <row r="2215" spans="1:11" x14ac:dyDescent="0.4">
      <c r="A2215" t="s">
        <v>2185</v>
      </c>
      <c r="B2215">
        <v>62.5</v>
      </c>
      <c r="C2215" t="s">
        <v>197</v>
      </c>
      <c r="D2215">
        <v>4</v>
      </c>
    </row>
    <row r="2216" spans="1:11" x14ac:dyDescent="0.4">
      <c r="A2216" t="s">
        <v>2186</v>
      </c>
      <c r="B2216">
        <v>45</v>
      </c>
      <c r="C2216" t="s">
        <v>197</v>
      </c>
      <c r="D2216">
        <v>3</v>
      </c>
    </row>
    <row r="2217" spans="1:11" x14ac:dyDescent="0.4">
      <c r="A2217" t="s">
        <v>2556</v>
      </c>
      <c r="B2217">
        <v>60</v>
      </c>
      <c r="C2217" t="s">
        <v>197</v>
      </c>
      <c r="D2217">
        <v>4</v>
      </c>
    </row>
    <row r="2218" spans="1:11" x14ac:dyDescent="0.4">
      <c r="A2218" t="s">
        <v>2557</v>
      </c>
      <c r="B2218">
        <v>75</v>
      </c>
      <c r="C2218" t="s">
        <v>197</v>
      </c>
      <c r="D2218">
        <v>4</v>
      </c>
    </row>
    <row r="2219" spans="1:11" x14ac:dyDescent="0.4">
      <c r="A2219" t="s">
        <v>7363</v>
      </c>
      <c r="B2219">
        <v>53.1</v>
      </c>
      <c r="C2219" t="s">
        <v>197</v>
      </c>
      <c r="D2219">
        <v>3</v>
      </c>
    </row>
    <row r="2220" spans="1:11" x14ac:dyDescent="0.4">
      <c r="A2220" t="s">
        <v>7364</v>
      </c>
      <c r="B2220">
        <v>59.1</v>
      </c>
      <c r="C2220" t="s">
        <v>197</v>
      </c>
      <c r="D2220">
        <v>3</v>
      </c>
    </row>
    <row r="2221" spans="1:11" x14ac:dyDescent="0.4">
      <c r="A2221" t="s">
        <v>7365</v>
      </c>
      <c r="B2221">
        <v>63</v>
      </c>
      <c r="C2221" t="s">
        <v>197</v>
      </c>
      <c r="D2221">
        <v>4</v>
      </c>
    </row>
    <row r="2222" spans="1:11" x14ac:dyDescent="0.4">
      <c r="A2222" t="s">
        <v>4372</v>
      </c>
      <c r="B2222">
        <v>46.7</v>
      </c>
      <c r="C2222" t="s">
        <v>5713</v>
      </c>
      <c r="D2222">
        <v>3</v>
      </c>
      <c r="E2222">
        <v>-1.3029999999999999</v>
      </c>
    </row>
    <row r="2223" spans="1:11" x14ac:dyDescent="0.4">
      <c r="A2223" t="s">
        <v>4370</v>
      </c>
      <c r="B2223">
        <v>45.1</v>
      </c>
      <c r="C2223" t="s">
        <v>6586</v>
      </c>
      <c r="D2223">
        <v>3</v>
      </c>
      <c r="E2223">
        <v>-1.3680000000000001</v>
      </c>
    </row>
    <row r="2224" spans="1:11" x14ac:dyDescent="0.4">
      <c r="A2224" t="s">
        <v>4376</v>
      </c>
      <c r="B2224">
        <v>96</v>
      </c>
      <c r="C2224" t="s">
        <v>6592</v>
      </c>
      <c r="D2224">
        <v>5</v>
      </c>
      <c r="E2224">
        <v>0.69199999999999995</v>
      </c>
    </row>
    <row r="2225" spans="1:5" x14ac:dyDescent="0.4">
      <c r="A2225" t="s">
        <v>4400</v>
      </c>
      <c r="B2225">
        <v>97.8</v>
      </c>
      <c r="C2225" t="s">
        <v>5738</v>
      </c>
      <c r="D2225">
        <v>5</v>
      </c>
      <c r="E2225">
        <v>0.76500000000000001</v>
      </c>
    </row>
    <row r="2226" spans="1:5" x14ac:dyDescent="0.4">
      <c r="A2226" t="s">
        <v>2429</v>
      </c>
      <c r="B2226">
        <v>98.9</v>
      </c>
      <c r="C2226" t="s">
        <v>1380</v>
      </c>
      <c r="D2226">
        <v>5</v>
      </c>
      <c r="E2226">
        <v>0.80900000000000005</v>
      </c>
    </row>
    <row r="2227" spans="1:5" x14ac:dyDescent="0.4">
      <c r="A2227" t="s">
        <v>4396</v>
      </c>
      <c r="B2227">
        <v>98.9</v>
      </c>
      <c r="C2227" t="s">
        <v>1380</v>
      </c>
      <c r="D2227">
        <v>5</v>
      </c>
      <c r="E2227">
        <v>0.80900000000000005</v>
      </c>
    </row>
    <row r="2228" spans="1:5" x14ac:dyDescent="0.4">
      <c r="A2228" t="s">
        <v>4380</v>
      </c>
      <c r="B2228">
        <v>97.6</v>
      </c>
      <c r="C2228" t="s">
        <v>6617</v>
      </c>
      <c r="D2228">
        <v>5</v>
      </c>
      <c r="E2228">
        <v>0.75700000000000001</v>
      </c>
    </row>
    <row r="2229" spans="1:5" x14ac:dyDescent="0.4">
      <c r="A2229" t="s">
        <v>4374</v>
      </c>
      <c r="B2229">
        <v>95.1</v>
      </c>
      <c r="C2229" t="s">
        <v>5727</v>
      </c>
      <c r="D2229">
        <v>5</v>
      </c>
      <c r="E2229">
        <v>0.65600000000000003</v>
      </c>
    </row>
    <row r="2230" spans="1:5" x14ac:dyDescent="0.4">
      <c r="A2230" t="s">
        <v>4386</v>
      </c>
      <c r="B2230">
        <v>98.1</v>
      </c>
      <c r="C2230" t="s">
        <v>5730</v>
      </c>
      <c r="D2230">
        <v>5</v>
      </c>
      <c r="E2230">
        <v>0.77700000000000002</v>
      </c>
    </row>
    <row r="2231" spans="1:5" x14ac:dyDescent="0.4">
      <c r="A2231" t="s">
        <v>4378</v>
      </c>
      <c r="B2231">
        <v>45.1</v>
      </c>
      <c r="C2231" t="s">
        <v>6586</v>
      </c>
      <c r="D2231">
        <v>3</v>
      </c>
      <c r="E2231">
        <v>-1.3680000000000001</v>
      </c>
    </row>
    <row r="2232" spans="1:5" x14ac:dyDescent="0.4">
      <c r="A2232" t="s">
        <v>5985</v>
      </c>
      <c r="B2232">
        <v>47.6</v>
      </c>
      <c r="C2232" t="s">
        <v>5737</v>
      </c>
      <c r="D2232">
        <v>3</v>
      </c>
      <c r="E2232">
        <v>-1.2669999999999999</v>
      </c>
    </row>
    <row r="2233" spans="1:5" x14ac:dyDescent="0.4">
      <c r="A2233" t="s">
        <v>4392</v>
      </c>
      <c r="B2233">
        <v>96.1</v>
      </c>
      <c r="C2233" t="s">
        <v>5729</v>
      </c>
      <c r="D2233">
        <v>5</v>
      </c>
      <c r="E2233">
        <v>0.69599999999999995</v>
      </c>
    </row>
    <row r="2234" spans="1:5" x14ac:dyDescent="0.4">
      <c r="A2234" t="s">
        <v>2430</v>
      </c>
      <c r="B2234">
        <v>41</v>
      </c>
      <c r="C2234" t="s">
        <v>6033</v>
      </c>
      <c r="D2234">
        <v>3</v>
      </c>
      <c r="E2234">
        <v>-1.534</v>
      </c>
    </row>
    <row r="2235" spans="1:5" x14ac:dyDescent="0.4">
      <c r="A2235" t="s">
        <v>2439</v>
      </c>
      <c r="B2235">
        <v>95.6</v>
      </c>
      <c r="C2235" t="s">
        <v>5735</v>
      </c>
      <c r="D2235">
        <v>5</v>
      </c>
      <c r="E2235">
        <v>0.67600000000000005</v>
      </c>
    </row>
    <row r="2236" spans="1:5" x14ac:dyDescent="0.4">
      <c r="A2236" t="s">
        <v>4385</v>
      </c>
      <c r="B2236">
        <v>97.8</v>
      </c>
      <c r="C2236" t="s">
        <v>5738</v>
      </c>
      <c r="D2236">
        <v>5</v>
      </c>
      <c r="E2236">
        <v>0.76500000000000001</v>
      </c>
    </row>
    <row r="2237" spans="1:5" x14ac:dyDescent="0.4">
      <c r="A2237" t="s">
        <v>4399</v>
      </c>
      <c r="B2237">
        <v>98.9</v>
      </c>
      <c r="C2237" t="s">
        <v>1380</v>
      </c>
      <c r="D2237">
        <v>5</v>
      </c>
      <c r="E2237">
        <v>0.80900000000000005</v>
      </c>
    </row>
    <row r="2238" spans="1:5" x14ac:dyDescent="0.4">
      <c r="A2238" t="s">
        <v>2431</v>
      </c>
      <c r="B2238">
        <v>96.8</v>
      </c>
      <c r="C2238" t="s">
        <v>6589</v>
      </c>
      <c r="D2238">
        <v>5</v>
      </c>
      <c r="E2238">
        <v>0.72399999999999998</v>
      </c>
    </row>
    <row r="2239" spans="1:5" x14ac:dyDescent="0.4">
      <c r="A2239" t="s">
        <v>2438</v>
      </c>
      <c r="B2239">
        <v>49.2</v>
      </c>
      <c r="C2239" t="s">
        <v>5734</v>
      </c>
      <c r="D2239">
        <v>3</v>
      </c>
      <c r="E2239">
        <v>-1.202</v>
      </c>
    </row>
    <row r="2240" spans="1:5" x14ac:dyDescent="0.4">
      <c r="A2240" t="s">
        <v>2432</v>
      </c>
      <c r="B2240">
        <v>98.9</v>
      </c>
      <c r="C2240" t="s">
        <v>1380</v>
      </c>
      <c r="D2240">
        <v>5</v>
      </c>
      <c r="E2240">
        <v>0.80900000000000005</v>
      </c>
    </row>
    <row r="2241" spans="1:5" x14ac:dyDescent="0.4">
      <c r="A2241" t="s">
        <v>4369</v>
      </c>
      <c r="B2241">
        <v>83.9</v>
      </c>
      <c r="C2241" t="s">
        <v>5733</v>
      </c>
      <c r="D2241">
        <v>5</v>
      </c>
      <c r="E2241">
        <v>0.20200000000000001</v>
      </c>
    </row>
    <row r="2242" spans="1:5" x14ac:dyDescent="0.4">
      <c r="A2242" t="s">
        <v>4389</v>
      </c>
      <c r="B2242">
        <v>49</v>
      </c>
      <c r="C2242" t="s">
        <v>5699</v>
      </c>
      <c r="D2242">
        <v>3</v>
      </c>
      <c r="E2242">
        <v>-1.21</v>
      </c>
    </row>
    <row r="2243" spans="1:5" x14ac:dyDescent="0.4">
      <c r="A2243" t="s">
        <v>4393</v>
      </c>
      <c r="B2243">
        <v>46.1</v>
      </c>
      <c r="C2243" t="s">
        <v>6038</v>
      </c>
      <c r="D2243">
        <v>3</v>
      </c>
      <c r="E2243">
        <v>-1.327</v>
      </c>
    </row>
    <row r="2244" spans="1:5" x14ac:dyDescent="0.4">
      <c r="A2244" t="s">
        <v>4391</v>
      </c>
      <c r="B2244">
        <v>46.1</v>
      </c>
      <c r="C2244" t="s">
        <v>6038</v>
      </c>
      <c r="D2244">
        <v>3</v>
      </c>
      <c r="E2244">
        <v>-1.327</v>
      </c>
    </row>
    <row r="2245" spans="1:5" x14ac:dyDescent="0.4">
      <c r="A2245" t="s">
        <v>4379</v>
      </c>
      <c r="B2245">
        <v>43.5</v>
      </c>
      <c r="C2245" t="s">
        <v>6035</v>
      </c>
      <c r="D2245">
        <v>3</v>
      </c>
      <c r="E2245">
        <v>-1.4330000000000001</v>
      </c>
    </row>
    <row r="2246" spans="1:5" x14ac:dyDescent="0.4">
      <c r="A2246" t="s">
        <v>4368</v>
      </c>
      <c r="B2246">
        <v>47.6</v>
      </c>
      <c r="C2246" t="s">
        <v>5737</v>
      </c>
      <c r="D2246">
        <v>3</v>
      </c>
      <c r="E2246">
        <v>-1.2669999999999999</v>
      </c>
    </row>
    <row r="2247" spans="1:5" x14ac:dyDescent="0.4">
      <c r="A2247" t="s">
        <v>4382</v>
      </c>
      <c r="B2247">
        <v>97.6</v>
      </c>
      <c r="C2247" t="s">
        <v>6617</v>
      </c>
      <c r="D2247">
        <v>5</v>
      </c>
      <c r="E2247">
        <v>0.75700000000000001</v>
      </c>
    </row>
    <row r="2248" spans="1:5" x14ac:dyDescent="0.4">
      <c r="A2248" t="s">
        <v>4383</v>
      </c>
      <c r="B2248">
        <v>98.6</v>
      </c>
      <c r="C2248" t="s">
        <v>2481</v>
      </c>
      <c r="D2248">
        <v>5</v>
      </c>
      <c r="E2248">
        <v>0.79700000000000004</v>
      </c>
    </row>
    <row r="2249" spans="1:5" x14ac:dyDescent="0.4">
      <c r="A2249" t="s">
        <v>4401</v>
      </c>
      <c r="B2249">
        <v>48.9</v>
      </c>
      <c r="C2249" t="s">
        <v>5704</v>
      </c>
      <c r="D2249">
        <v>3</v>
      </c>
      <c r="E2249">
        <v>-1.214</v>
      </c>
    </row>
    <row r="2250" spans="1:5" x14ac:dyDescent="0.4">
      <c r="A2250" t="s">
        <v>2433</v>
      </c>
      <c r="B2250">
        <v>97.8</v>
      </c>
      <c r="C2250" t="s">
        <v>5738</v>
      </c>
      <c r="D2250">
        <v>5</v>
      </c>
      <c r="E2250">
        <v>0.76500000000000001</v>
      </c>
    </row>
    <row r="2251" spans="1:5" x14ac:dyDescent="0.4">
      <c r="A2251" t="s">
        <v>2437</v>
      </c>
      <c r="B2251">
        <v>95.7</v>
      </c>
      <c r="C2251" t="s">
        <v>5736</v>
      </c>
      <c r="D2251">
        <v>5</v>
      </c>
      <c r="E2251">
        <v>0.68</v>
      </c>
    </row>
    <row r="2252" spans="1:5" x14ac:dyDescent="0.4">
      <c r="A2252" t="s">
        <v>4384</v>
      </c>
      <c r="B2252">
        <v>98.9</v>
      </c>
      <c r="C2252" t="s">
        <v>1380</v>
      </c>
      <c r="D2252">
        <v>5</v>
      </c>
      <c r="E2252">
        <v>0.80900000000000005</v>
      </c>
    </row>
    <row r="2253" spans="1:5" x14ac:dyDescent="0.4">
      <c r="A2253" t="s">
        <v>4390</v>
      </c>
      <c r="B2253">
        <v>46.1</v>
      </c>
      <c r="C2253" t="s">
        <v>6038</v>
      </c>
      <c r="D2253">
        <v>3</v>
      </c>
      <c r="E2253">
        <v>-1.327</v>
      </c>
    </row>
    <row r="2254" spans="1:5" x14ac:dyDescent="0.4">
      <c r="A2254" t="s">
        <v>4371</v>
      </c>
      <c r="B2254">
        <v>47.5</v>
      </c>
      <c r="C2254" t="s">
        <v>5708</v>
      </c>
      <c r="D2254">
        <v>3</v>
      </c>
      <c r="E2254">
        <v>-1.2709999999999999</v>
      </c>
    </row>
    <row r="2255" spans="1:5" x14ac:dyDescent="0.4">
      <c r="A2255" t="s">
        <v>5863</v>
      </c>
      <c r="B2255">
        <v>96</v>
      </c>
      <c r="C2255" t="s">
        <v>6592</v>
      </c>
      <c r="D2255">
        <v>5</v>
      </c>
      <c r="E2255">
        <v>0.69199999999999995</v>
      </c>
    </row>
    <row r="2256" spans="1:5" x14ac:dyDescent="0.4">
      <c r="A2256" t="s">
        <v>4394</v>
      </c>
      <c r="B2256">
        <v>97.8</v>
      </c>
      <c r="C2256" t="s">
        <v>5738</v>
      </c>
      <c r="D2256">
        <v>5</v>
      </c>
      <c r="E2256">
        <v>0.76500000000000001</v>
      </c>
    </row>
    <row r="2257" spans="1:5" x14ac:dyDescent="0.4">
      <c r="A2257" t="s">
        <v>5864</v>
      </c>
      <c r="B2257">
        <v>47.6</v>
      </c>
      <c r="C2257" t="s">
        <v>5737</v>
      </c>
      <c r="D2257">
        <v>3</v>
      </c>
      <c r="E2257">
        <v>-1.2669999999999999</v>
      </c>
    </row>
    <row r="2258" spans="1:5" x14ac:dyDescent="0.4">
      <c r="A2258" t="s">
        <v>4402</v>
      </c>
      <c r="B2258">
        <v>98.9</v>
      </c>
      <c r="C2258" t="s">
        <v>1380</v>
      </c>
      <c r="D2258">
        <v>5</v>
      </c>
      <c r="E2258">
        <v>0.80900000000000005</v>
      </c>
    </row>
    <row r="2259" spans="1:5" x14ac:dyDescent="0.4">
      <c r="A2259" t="s">
        <v>4377</v>
      </c>
      <c r="B2259">
        <v>45.6</v>
      </c>
      <c r="C2259" t="s">
        <v>5697</v>
      </c>
      <c r="D2259">
        <v>3</v>
      </c>
      <c r="E2259">
        <v>-1.3480000000000001</v>
      </c>
    </row>
    <row r="2260" spans="1:5" x14ac:dyDescent="0.4">
      <c r="A2260" t="s">
        <v>4381</v>
      </c>
      <c r="B2260">
        <v>48.6</v>
      </c>
      <c r="C2260" t="s">
        <v>5702</v>
      </c>
      <c r="D2260">
        <v>3</v>
      </c>
      <c r="E2260">
        <v>-1.226</v>
      </c>
    </row>
    <row r="2261" spans="1:5" x14ac:dyDescent="0.4">
      <c r="A2261" t="s">
        <v>4375</v>
      </c>
      <c r="B2261">
        <v>96</v>
      </c>
      <c r="C2261" t="s">
        <v>6592</v>
      </c>
      <c r="D2261">
        <v>5</v>
      </c>
      <c r="E2261">
        <v>0.69199999999999995</v>
      </c>
    </row>
    <row r="2262" spans="1:5" x14ac:dyDescent="0.4">
      <c r="A2262" t="s">
        <v>5865</v>
      </c>
      <c r="B2262">
        <v>45.1</v>
      </c>
      <c r="C2262" t="s">
        <v>6586</v>
      </c>
      <c r="D2262">
        <v>3</v>
      </c>
      <c r="E2262">
        <v>-1.3680000000000001</v>
      </c>
    </row>
    <row r="2263" spans="1:5" x14ac:dyDescent="0.4">
      <c r="A2263" t="s">
        <v>4395</v>
      </c>
      <c r="B2263">
        <v>97.8</v>
      </c>
      <c r="C2263" t="s">
        <v>5738</v>
      </c>
      <c r="D2263">
        <v>5</v>
      </c>
      <c r="E2263">
        <v>0.76500000000000001</v>
      </c>
    </row>
    <row r="2264" spans="1:5" x14ac:dyDescent="0.4">
      <c r="A2264" t="s">
        <v>2434</v>
      </c>
      <c r="B2264">
        <v>98.9</v>
      </c>
      <c r="C2264" t="s">
        <v>1380</v>
      </c>
      <c r="D2264">
        <v>5</v>
      </c>
      <c r="E2264">
        <v>0.80900000000000005</v>
      </c>
    </row>
    <row r="2265" spans="1:5" x14ac:dyDescent="0.4">
      <c r="A2265" t="s">
        <v>2435</v>
      </c>
      <c r="B2265">
        <v>96.8</v>
      </c>
      <c r="C2265" t="s">
        <v>6589</v>
      </c>
      <c r="D2265">
        <v>5</v>
      </c>
      <c r="E2265">
        <v>0.72399999999999998</v>
      </c>
    </row>
    <row r="2266" spans="1:5" x14ac:dyDescent="0.4">
      <c r="A2266" t="s">
        <v>4398</v>
      </c>
      <c r="B2266">
        <v>97.8</v>
      </c>
      <c r="C2266" t="s">
        <v>5738</v>
      </c>
      <c r="D2266">
        <v>5</v>
      </c>
      <c r="E2266">
        <v>0.76500000000000001</v>
      </c>
    </row>
    <row r="2267" spans="1:5" x14ac:dyDescent="0.4">
      <c r="A2267" t="s">
        <v>2436</v>
      </c>
      <c r="B2267">
        <v>97.8</v>
      </c>
      <c r="C2267" t="s">
        <v>5738</v>
      </c>
      <c r="D2267">
        <v>5</v>
      </c>
      <c r="E2267">
        <v>0.76500000000000001</v>
      </c>
    </row>
    <row r="2268" spans="1:5" x14ac:dyDescent="0.4">
      <c r="A2268" t="s">
        <v>4373</v>
      </c>
      <c r="B2268">
        <v>96</v>
      </c>
      <c r="C2268" t="s">
        <v>6592</v>
      </c>
      <c r="D2268">
        <v>5</v>
      </c>
      <c r="E2268">
        <v>0.69199999999999995</v>
      </c>
    </row>
    <row r="2269" spans="1:5" x14ac:dyDescent="0.4">
      <c r="A2269" t="s">
        <v>4387</v>
      </c>
      <c r="B2269">
        <v>98.9</v>
      </c>
      <c r="C2269" t="s">
        <v>1380</v>
      </c>
      <c r="D2269">
        <v>5</v>
      </c>
      <c r="E2269">
        <v>0.80900000000000005</v>
      </c>
    </row>
    <row r="2270" spans="1:5" x14ac:dyDescent="0.4">
      <c r="A2270" t="s">
        <v>4397</v>
      </c>
      <c r="B2270">
        <v>98.9</v>
      </c>
      <c r="C2270" t="s">
        <v>1380</v>
      </c>
      <c r="D2270">
        <v>5</v>
      </c>
      <c r="E2270">
        <v>0.80900000000000005</v>
      </c>
    </row>
    <row r="2271" spans="1:5" x14ac:dyDescent="0.4">
      <c r="A2271" t="s">
        <v>4388</v>
      </c>
      <c r="B2271">
        <v>98.9</v>
      </c>
      <c r="C2271" t="s">
        <v>1380</v>
      </c>
      <c r="D2271">
        <v>5</v>
      </c>
      <c r="E2271">
        <v>0.80900000000000005</v>
      </c>
    </row>
    <row r="2272" spans="1:5" x14ac:dyDescent="0.4">
      <c r="A2272" t="s">
        <v>1454</v>
      </c>
      <c r="B2272">
        <v>78.900000000000006</v>
      </c>
      <c r="C2272" t="s">
        <v>197</v>
      </c>
      <c r="D2272">
        <v>4</v>
      </c>
    </row>
    <row r="2273" spans="1:12" x14ac:dyDescent="0.4">
      <c r="A2273" t="s">
        <v>1455</v>
      </c>
      <c r="B2273">
        <v>54.2</v>
      </c>
      <c r="C2273" t="s">
        <v>197</v>
      </c>
      <c r="D2273">
        <v>3</v>
      </c>
    </row>
    <row r="2274" spans="1:12" x14ac:dyDescent="0.4">
      <c r="A2274" t="s">
        <v>1594</v>
      </c>
      <c r="B2274">
        <v>88.6</v>
      </c>
      <c r="C2274" t="s">
        <v>197</v>
      </c>
      <c r="D2274">
        <v>5</v>
      </c>
    </row>
    <row r="2275" spans="1:12" x14ac:dyDescent="0.4">
      <c r="A2275" t="s">
        <v>1699</v>
      </c>
      <c r="B2275">
        <v>57.5</v>
      </c>
      <c r="C2275" t="s">
        <v>197</v>
      </c>
      <c r="D2275">
        <v>3</v>
      </c>
    </row>
    <row r="2276" spans="1:12" x14ac:dyDescent="0.4">
      <c r="A2276" t="s">
        <v>1700</v>
      </c>
      <c r="B2276">
        <v>83.3</v>
      </c>
      <c r="C2276" t="s">
        <v>197</v>
      </c>
      <c r="D2276">
        <v>5</v>
      </c>
    </row>
    <row r="2277" spans="1:12" x14ac:dyDescent="0.4">
      <c r="A2277" t="s">
        <v>2618</v>
      </c>
      <c r="B2277">
        <v>66.900000000000006</v>
      </c>
      <c r="C2277" t="s">
        <v>197</v>
      </c>
      <c r="D2277">
        <v>4</v>
      </c>
    </row>
    <row r="2278" spans="1:12" x14ac:dyDescent="0.4">
      <c r="A2278" t="s">
        <v>2619</v>
      </c>
      <c r="B2278">
        <v>94.6</v>
      </c>
      <c r="C2278" t="s">
        <v>197</v>
      </c>
      <c r="D2278">
        <v>5</v>
      </c>
    </row>
    <row r="2279" spans="1:12" x14ac:dyDescent="0.4">
      <c r="A2279" t="s">
        <v>7366</v>
      </c>
      <c r="B2279">
        <v>59.4</v>
      </c>
      <c r="C2279" t="s">
        <v>197</v>
      </c>
      <c r="D2279">
        <v>3</v>
      </c>
    </row>
    <row r="2280" spans="1:12" x14ac:dyDescent="0.4">
      <c r="A2280" t="s">
        <v>7367</v>
      </c>
      <c r="B2280">
        <v>87.5</v>
      </c>
      <c r="C2280" t="s">
        <v>197</v>
      </c>
      <c r="D2280">
        <v>5</v>
      </c>
    </row>
    <row r="2281" spans="1:12" x14ac:dyDescent="0.4">
      <c r="A2281" t="s">
        <v>7368</v>
      </c>
      <c r="B2281">
        <v>88.4</v>
      </c>
      <c r="C2281" t="s">
        <v>197</v>
      </c>
      <c r="D2281">
        <v>5</v>
      </c>
    </row>
    <row r="2282" spans="1:12" x14ac:dyDescent="0.4">
      <c r="A2282" t="s">
        <v>3847</v>
      </c>
      <c r="B2282">
        <v>93.3</v>
      </c>
      <c r="C2282" t="s">
        <v>5733</v>
      </c>
      <c r="D2282">
        <v>5</v>
      </c>
      <c r="E2282">
        <v>-0.1</v>
      </c>
      <c r="F2282">
        <v>6.7</v>
      </c>
      <c r="G2282">
        <v>2021</v>
      </c>
      <c r="H2282" t="s">
        <v>928</v>
      </c>
      <c r="I2282" t="s">
        <v>6684</v>
      </c>
      <c r="L2282" t="s">
        <v>197</v>
      </c>
    </row>
    <row r="2283" spans="1:12" x14ac:dyDescent="0.4">
      <c r="A2283" t="s">
        <v>3845</v>
      </c>
      <c r="B2283">
        <v>90.2</v>
      </c>
      <c r="C2283" t="s">
        <v>6607</v>
      </c>
      <c r="D2283">
        <v>5</v>
      </c>
      <c r="E2283">
        <v>-0.71799999999999997</v>
      </c>
      <c r="F2283">
        <v>9.8000000000000007</v>
      </c>
      <c r="G2283">
        <v>2021</v>
      </c>
      <c r="H2283" t="s">
        <v>928</v>
      </c>
      <c r="I2283" t="s">
        <v>6684</v>
      </c>
      <c r="L2283" t="s">
        <v>197</v>
      </c>
    </row>
    <row r="2284" spans="1:12" x14ac:dyDescent="0.4">
      <c r="A2284" t="s">
        <v>3851</v>
      </c>
      <c r="B2284">
        <v>91.9</v>
      </c>
      <c r="C2284" t="s">
        <v>5737</v>
      </c>
      <c r="D2284">
        <v>5</v>
      </c>
      <c r="E2284">
        <v>-0.379</v>
      </c>
      <c r="F2284">
        <v>8.1</v>
      </c>
      <c r="G2284">
        <v>2021</v>
      </c>
      <c r="H2284" t="s">
        <v>928</v>
      </c>
      <c r="I2284" t="s">
        <v>6684</v>
      </c>
      <c r="L2284" t="s">
        <v>197</v>
      </c>
    </row>
    <row r="2285" spans="1:12" x14ac:dyDescent="0.4">
      <c r="A2285" t="s">
        <v>3875</v>
      </c>
      <c r="B2285">
        <v>95.5</v>
      </c>
      <c r="C2285" t="s">
        <v>6584</v>
      </c>
      <c r="D2285">
        <v>5</v>
      </c>
      <c r="E2285">
        <v>0.33900000000000002</v>
      </c>
      <c r="F2285">
        <v>4.5</v>
      </c>
      <c r="G2285">
        <v>2021</v>
      </c>
      <c r="H2285" t="s">
        <v>928</v>
      </c>
      <c r="I2285" t="s">
        <v>6684</v>
      </c>
      <c r="L2285" t="s">
        <v>197</v>
      </c>
    </row>
    <row r="2286" spans="1:12" x14ac:dyDescent="0.4">
      <c r="A2286" t="s">
        <v>2198</v>
      </c>
      <c r="B2286">
        <v>97.8</v>
      </c>
      <c r="C2286" t="s">
        <v>6591</v>
      </c>
      <c r="D2286">
        <v>5</v>
      </c>
      <c r="E2286">
        <v>0.79700000000000004</v>
      </c>
      <c r="F2286">
        <v>2.2000000000000002</v>
      </c>
      <c r="G2286">
        <v>2021</v>
      </c>
      <c r="H2286" t="s">
        <v>928</v>
      </c>
      <c r="I2286" t="s">
        <v>6684</v>
      </c>
      <c r="L2286" t="s">
        <v>197</v>
      </c>
    </row>
    <row r="2287" spans="1:12" x14ac:dyDescent="0.4">
      <c r="A2287" t="s">
        <v>3871</v>
      </c>
      <c r="B2287">
        <v>97.8</v>
      </c>
      <c r="C2287" t="s">
        <v>6591</v>
      </c>
      <c r="D2287">
        <v>5</v>
      </c>
      <c r="E2287">
        <v>0.79700000000000004</v>
      </c>
      <c r="F2287">
        <v>2.2000000000000002</v>
      </c>
      <c r="G2287">
        <v>2021</v>
      </c>
      <c r="H2287" t="s">
        <v>928</v>
      </c>
      <c r="I2287" t="s">
        <v>6684</v>
      </c>
      <c r="L2287" t="s">
        <v>197</v>
      </c>
    </row>
    <row r="2288" spans="1:12" x14ac:dyDescent="0.4">
      <c r="A2288" t="s">
        <v>3855</v>
      </c>
      <c r="B2288">
        <v>95.1</v>
      </c>
      <c r="C2288" t="s">
        <v>6592</v>
      </c>
      <c r="D2288">
        <v>5</v>
      </c>
      <c r="E2288">
        <v>0.25900000000000001</v>
      </c>
      <c r="F2288">
        <v>4.9000000000000004</v>
      </c>
      <c r="G2288">
        <v>2021</v>
      </c>
      <c r="H2288" t="s">
        <v>928</v>
      </c>
      <c r="I2288" t="s">
        <v>6684</v>
      </c>
      <c r="L2288" t="s">
        <v>197</v>
      </c>
    </row>
    <row r="2289" spans="1:12" x14ac:dyDescent="0.4">
      <c r="A2289" t="s">
        <v>3849</v>
      </c>
      <c r="B2289">
        <v>90.1</v>
      </c>
      <c r="C2289" t="s">
        <v>6586</v>
      </c>
      <c r="D2289">
        <v>5</v>
      </c>
      <c r="E2289">
        <v>-0.73799999999999999</v>
      </c>
      <c r="F2289">
        <v>9.9</v>
      </c>
      <c r="G2289">
        <v>2021</v>
      </c>
      <c r="H2289" t="s">
        <v>928</v>
      </c>
      <c r="I2289" t="s">
        <v>6684</v>
      </c>
      <c r="L2289" t="s">
        <v>197</v>
      </c>
    </row>
    <row r="2290" spans="1:12" x14ac:dyDescent="0.4">
      <c r="A2290" t="s">
        <v>3861</v>
      </c>
      <c r="B2290">
        <v>96.2</v>
      </c>
      <c r="C2290" t="s">
        <v>5705</v>
      </c>
      <c r="D2290">
        <v>5</v>
      </c>
      <c r="E2290">
        <v>0.47799999999999998</v>
      </c>
      <c r="F2290">
        <v>3.8</v>
      </c>
      <c r="G2290">
        <v>2021</v>
      </c>
      <c r="H2290" t="s">
        <v>928</v>
      </c>
      <c r="I2290" t="s">
        <v>6684</v>
      </c>
      <c r="L2290" t="s">
        <v>197</v>
      </c>
    </row>
    <row r="2291" spans="1:12" x14ac:dyDescent="0.4">
      <c r="A2291" t="s">
        <v>3853</v>
      </c>
      <c r="B2291">
        <v>90.2</v>
      </c>
      <c r="C2291" t="s">
        <v>6607</v>
      </c>
      <c r="D2291">
        <v>5</v>
      </c>
      <c r="E2291">
        <v>-0.71799999999999997</v>
      </c>
      <c r="F2291">
        <v>9.8000000000000007</v>
      </c>
      <c r="G2291">
        <v>2021</v>
      </c>
      <c r="H2291" t="s">
        <v>928</v>
      </c>
      <c r="I2291" t="s">
        <v>6684</v>
      </c>
      <c r="L2291" t="s">
        <v>197</v>
      </c>
    </row>
    <row r="2292" spans="1:12" x14ac:dyDescent="0.4">
      <c r="A2292" t="s">
        <v>5986</v>
      </c>
      <c r="B2292">
        <v>95.2</v>
      </c>
      <c r="C2292" t="s">
        <v>5729</v>
      </c>
      <c r="D2292">
        <v>5</v>
      </c>
      <c r="E2292">
        <v>0.27900000000000003</v>
      </c>
      <c r="F2292">
        <v>4.8</v>
      </c>
      <c r="G2292">
        <v>2021</v>
      </c>
      <c r="H2292" t="s">
        <v>928</v>
      </c>
      <c r="I2292" t="s">
        <v>6684</v>
      </c>
      <c r="L2292" t="s">
        <v>197</v>
      </c>
    </row>
    <row r="2293" spans="1:12" x14ac:dyDescent="0.4">
      <c r="A2293" t="s">
        <v>3867</v>
      </c>
      <c r="B2293">
        <v>92.2</v>
      </c>
      <c r="C2293" t="s">
        <v>6587</v>
      </c>
      <c r="D2293">
        <v>5</v>
      </c>
      <c r="E2293">
        <v>-0.31900000000000001</v>
      </c>
      <c r="F2293">
        <v>7.8</v>
      </c>
      <c r="G2293">
        <v>2021</v>
      </c>
      <c r="H2293" t="s">
        <v>928</v>
      </c>
      <c r="I2293" t="s">
        <v>6684</v>
      </c>
      <c r="L2293" t="s">
        <v>197</v>
      </c>
    </row>
    <row r="2294" spans="1:12" x14ac:dyDescent="0.4">
      <c r="A2294" t="s">
        <v>2199</v>
      </c>
      <c r="B2294">
        <v>81.900000000000006</v>
      </c>
      <c r="C2294" t="s">
        <v>6035</v>
      </c>
      <c r="D2294">
        <v>5</v>
      </c>
      <c r="E2294">
        <v>-2.3719999999999999</v>
      </c>
      <c r="F2294">
        <v>18.100000000000001</v>
      </c>
      <c r="G2294">
        <v>2021</v>
      </c>
      <c r="H2294" t="s">
        <v>928</v>
      </c>
      <c r="I2294" t="s">
        <v>6684</v>
      </c>
      <c r="L2294" t="s">
        <v>197</v>
      </c>
    </row>
    <row r="2295" spans="1:12" x14ac:dyDescent="0.4">
      <c r="A2295" t="s">
        <v>2208</v>
      </c>
      <c r="B2295">
        <v>91.2</v>
      </c>
      <c r="C2295" t="s">
        <v>6038</v>
      </c>
      <c r="D2295">
        <v>5</v>
      </c>
      <c r="E2295">
        <v>-0.51800000000000002</v>
      </c>
      <c r="F2295">
        <v>8.8000000000000007</v>
      </c>
      <c r="G2295">
        <v>2021</v>
      </c>
      <c r="H2295" t="s">
        <v>928</v>
      </c>
      <c r="I2295" t="s">
        <v>6684</v>
      </c>
      <c r="L2295" t="s">
        <v>197</v>
      </c>
    </row>
    <row r="2296" spans="1:12" x14ac:dyDescent="0.4">
      <c r="A2296" t="s">
        <v>3860</v>
      </c>
      <c r="B2296">
        <v>95.5</v>
      </c>
      <c r="C2296" t="s">
        <v>6584</v>
      </c>
      <c r="D2296">
        <v>5</v>
      </c>
      <c r="E2296">
        <v>0.33900000000000002</v>
      </c>
      <c r="F2296">
        <v>4.5</v>
      </c>
      <c r="G2296">
        <v>2021</v>
      </c>
      <c r="H2296" t="s">
        <v>928</v>
      </c>
      <c r="I2296" t="s">
        <v>6684</v>
      </c>
      <c r="L2296" t="s">
        <v>197</v>
      </c>
    </row>
    <row r="2297" spans="1:12" x14ac:dyDescent="0.4">
      <c r="A2297" t="s">
        <v>3874</v>
      </c>
      <c r="B2297">
        <v>97.8</v>
      </c>
      <c r="C2297" t="s">
        <v>6591</v>
      </c>
      <c r="D2297">
        <v>5</v>
      </c>
      <c r="E2297">
        <v>0.79700000000000004</v>
      </c>
      <c r="F2297">
        <v>2.2000000000000002</v>
      </c>
      <c r="G2297">
        <v>2021</v>
      </c>
      <c r="H2297" t="s">
        <v>928</v>
      </c>
      <c r="I2297" t="s">
        <v>6684</v>
      </c>
      <c r="L2297" t="s">
        <v>197</v>
      </c>
    </row>
    <row r="2298" spans="1:12" x14ac:dyDescent="0.4">
      <c r="A2298" t="s">
        <v>2200</v>
      </c>
      <c r="B2298">
        <v>93.5</v>
      </c>
      <c r="C2298" t="s">
        <v>6590</v>
      </c>
      <c r="D2298">
        <v>5</v>
      </c>
      <c r="E2298">
        <v>-0.06</v>
      </c>
      <c r="F2298">
        <v>6.5</v>
      </c>
      <c r="G2298">
        <v>2021</v>
      </c>
      <c r="H2298" t="s">
        <v>928</v>
      </c>
      <c r="I2298" t="s">
        <v>6684</v>
      </c>
      <c r="L2298" t="s">
        <v>197</v>
      </c>
    </row>
    <row r="2299" spans="1:12" x14ac:dyDescent="0.4">
      <c r="A2299" t="s">
        <v>2207</v>
      </c>
      <c r="B2299">
        <v>98.3</v>
      </c>
      <c r="C2299" t="s">
        <v>2479</v>
      </c>
      <c r="D2299">
        <v>5</v>
      </c>
      <c r="E2299">
        <v>0.89700000000000002</v>
      </c>
      <c r="F2299">
        <v>1.7</v>
      </c>
      <c r="G2299">
        <v>2021</v>
      </c>
      <c r="H2299" t="s">
        <v>928</v>
      </c>
      <c r="I2299" t="s">
        <v>6684</v>
      </c>
      <c r="L2299" t="s">
        <v>197</v>
      </c>
    </row>
    <row r="2300" spans="1:12" x14ac:dyDescent="0.4">
      <c r="A2300" t="s">
        <v>2201</v>
      </c>
      <c r="B2300">
        <v>97.8</v>
      </c>
      <c r="C2300" t="s">
        <v>6591</v>
      </c>
      <c r="D2300">
        <v>5</v>
      </c>
      <c r="E2300">
        <v>0.79700000000000004</v>
      </c>
      <c r="F2300">
        <v>2.2000000000000002</v>
      </c>
      <c r="G2300">
        <v>2021</v>
      </c>
      <c r="H2300" t="s">
        <v>928</v>
      </c>
      <c r="I2300" t="s">
        <v>6684</v>
      </c>
      <c r="L2300" t="s">
        <v>197</v>
      </c>
    </row>
    <row r="2301" spans="1:12" x14ac:dyDescent="0.4">
      <c r="A2301" t="s">
        <v>3844</v>
      </c>
      <c r="B2301">
        <v>67.8</v>
      </c>
      <c r="C2301" t="s">
        <v>6033</v>
      </c>
      <c r="D2301">
        <v>4</v>
      </c>
      <c r="E2301">
        <v>-5.1840000000000002</v>
      </c>
      <c r="F2301">
        <v>32.200000000000003</v>
      </c>
      <c r="G2301">
        <v>2021</v>
      </c>
      <c r="H2301" t="s">
        <v>928</v>
      </c>
      <c r="I2301" t="s">
        <v>6684</v>
      </c>
      <c r="L2301" t="s">
        <v>197</v>
      </c>
    </row>
    <row r="2302" spans="1:12" x14ac:dyDescent="0.4">
      <c r="A2302" t="s">
        <v>3864</v>
      </c>
      <c r="B2302">
        <v>97.9</v>
      </c>
      <c r="C2302" t="s">
        <v>2478</v>
      </c>
      <c r="D2302">
        <v>5</v>
      </c>
      <c r="E2302">
        <v>0.81699999999999995</v>
      </c>
      <c r="F2302">
        <v>2.1</v>
      </c>
      <c r="G2302">
        <v>2021</v>
      </c>
      <c r="H2302" t="s">
        <v>928</v>
      </c>
      <c r="I2302" t="s">
        <v>6684</v>
      </c>
      <c r="L2302" t="s">
        <v>197</v>
      </c>
    </row>
    <row r="2303" spans="1:12" x14ac:dyDescent="0.4">
      <c r="A2303" t="s">
        <v>3868</v>
      </c>
      <c r="B2303">
        <v>92.2</v>
      </c>
      <c r="C2303" t="s">
        <v>6587</v>
      </c>
      <c r="D2303">
        <v>5</v>
      </c>
      <c r="E2303">
        <v>-0.31900000000000001</v>
      </c>
      <c r="F2303">
        <v>7.8</v>
      </c>
      <c r="G2303">
        <v>2021</v>
      </c>
      <c r="H2303" t="s">
        <v>928</v>
      </c>
      <c r="I2303" t="s">
        <v>6684</v>
      </c>
      <c r="L2303" t="s">
        <v>197</v>
      </c>
    </row>
    <row r="2304" spans="1:12" x14ac:dyDescent="0.4">
      <c r="A2304" t="s">
        <v>3866</v>
      </c>
      <c r="B2304">
        <v>92.2</v>
      </c>
      <c r="C2304" t="s">
        <v>6587</v>
      </c>
      <c r="D2304">
        <v>5</v>
      </c>
      <c r="E2304">
        <v>-0.31900000000000001</v>
      </c>
      <c r="F2304">
        <v>7.8</v>
      </c>
      <c r="G2304">
        <v>2021</v>
      </c>
      <c r="H2304" t="s">
        <v>928</v>
      </c>
      <c r="I2304" t="s">
        <v>6684</v>
      </c>
      <c r="L2304" t="s">
        <v>197</v>
      </c>
    </row>
    <row r="2305" spans="1:12" x14ac:dyDescent="0.4">
      <c r="A2305" t="s">
        <v>3854</v>
      </c>
      <c r="B2305">
        <v>87</v>
      </c>
      <c r="C2305" t="s">
        <v>6036</v>
      </c>
      <c r="D2305">
        <v>5</v>
      </c>
      <c r="E2305">
        <v>-1.3560000000000001</v>
      </c>
      <c r="F2305">
        <v>13</v>
      </c>
      <c r="G2305">
        <v>2021</v>
      </c>
      <c r="H2305" t="s">
        <v>928</v>
      </c>
      <c r="I2305" t="s">
        <v>6684</v>
      </c>
      <c r="L2305" t="s">
        <v>197</v>
      </c>
    </row>
    <row r="2306" spans="1:12" x14ac:dyDescent="0.4">
      <c r="A2306" t="s">
        <v>3843</v>
      </c>
      <c r="B2306">
        <v>95.1</v>
      </c>
      <c r="C2306" t="s">
        <v>6592</v>
      </c>
      <c r="D2306">
        <v>5</v>
      </c>
      <c r="E2306">
        <v>0.25900000000000001</v>
      </c>
      <c r="F2306">
        <v>4.9000000000000004</v>
      </c>
      <c r="G2306">
        <v>2021</v>
      </c>
      <c r="H2306" t="s">
        <v>928</v>
      </c>
      <c r="I2306" t="s">
        <v>6684</v>
      </c>
      <c r="L2306" t="s">
        <v>197</v>
      </c>
    </row>
    <row r="2307" spans="1:12" x14ac:dyDescent="0.4">
      <c r="A2307" t="s">
        <v>3857</v>
      </c>
      <c r="B2307">
        <v>95.1</v>
      </c>
      <c r="C2307" t="s">
        <v>6592</v>
      </c>
      <c r="D2307">
        <v>5</v>
      </c>
      <c r="E2307">
        <v>0.25900000000000001</v>
      </c>
      <c r="F2307">
        <v>4.9000000000000004</v>
      </c>
      <c r="G2307">
        <v>2021</v>
      </c>
      <c r="H2307" t="s">
        <v>928</v>
      </c>
      <c r="I2307" t="s">
        <v>6684</v>
      </c>
      <c r="L2307" t="s">
        <v>197</v>
      </c>
    </row>
    <row r="2308" spans="1:12" x14ac:dyDescent="0.4">
      <c r="A2308" t="s">
        <v>3858</v>
      </c>
      <c r="B2308">
        <v>97.2</v>
      </c>
      <c r="C2308" t="s">
        <v>6045</v>
      </c>
      <c r="D2308">
        <v>5</v>
      </c>
      <c r="E2308">
        <v>0.67800000000000005</v>
      </c>
      <c r="F2308">
        <v>2.8</v>
      </c>
      <c r="G2308">
        <v>2021</v>
      </c>
      <c r="H2308" t="s">
        <v>928</v>
      </c>
      <c r="I2308" t="s">
        <v>6684</v>
      </c>
      <c r="L2308" t="s">
        <v>197</v>
      </c>
    </row>
    <row r="2309" spans="1:12" x14ac:dyDescent="0.4">
      <c r="A2309" t="s">
        <v>3876</v>
      </c>
      <c r="B2309">
        <v>97.7</v>
      </c>
      <c r="C2309" t="s">
        <v>2487</v>
      </c>
      <c r="D2309">
        <v>5</v>
      </c>
      <c r="E2309">
        <v>0.77800000000000002</v>
      </c>
      <c r="F2309">
        <v>2.2999999999999998</v>
      </c>
      <c r="G2309">
        <v>2021</v>
      </c>
      <c r="H2309" t="s">
        <v>928</v>
      </c>
      <c r="I2309" t="s">
        <v>6684</v>
      </c>
      <c r="L2309" t="s">
        <v>197</v>
      </c>
    </row>
    <row r="2310" spans="1:12" x14ac:dyDescent="0.4">
      <c r="A2310" t="s">
        <v>2202</v>
      </c>
      <c r="B2310">
        <v>95.5</v>
      </c>
      <c r="C2310" t="s">
        <v>6584</v>
      </c>
      <c r="D2310">
        <v>5</v>
      </c>
      <c r="E2310">
        <v>0.33900000000000002</v>
      </c>
      <c r="F2310">
        <v>4.5</v>
      </c>
      <c r="G2310">
        <v>2021</v>
      </c>
      <c r="H2310" t="s">
        <v>928</v>
      </c>
      <c r="I2310" t="s">
        <v>6684</v>
      </c>
      <c r="L2310" t="s">
        <v>197</v>
      </c>
    </row>
    <row r="2311" spans="1:12" x14ac:dyDescent="0.4">
      <c r="A2311" t="s">
        <v>2206</v>
      </c>
      <c r="B2311">
        <v>91.3</v>
      </c>
      <c r="C2311" t="s">
        <v>5713</v>
      </c>
      <c r="D2311">
        <v>5</v>
      </c>
      <c r="E2311">
        <v>-0.498</v>
      </c>
      <c r="F2311">
        <v>8.6999999999999993</v>
      </c>
      <c r="G2311">
        <v>2021</v>
      </c>
      <c r="H2311" t="s">
        <v>928</v>
      </c>
      <c r="I2311" t="s">
        <v>6684</v>
      </c>
      <c r="L2311" t="s">
        <v>197</v>
      </c>
    </row>
    <row r="2312" spans="1:12" x14ac:dyDescent="0.4">
      <c r="A2312" t="s">
        <v>3859</v>
      </c>
      <c r="B2312">
        <v>97.7</v>
      </c>
      <c r="C2312" t="s">
        <v>2487</v>
      </c>
      <c r="D2312">
        <v>5</v>
      </c>
      <c r="E2312">
        <v>0.77800000000000002</v>
      </c>
      <c r="F2312">
        <v>2.2999999999999998</v>
      </c>
      <c r="G2312">
        <v>2021</v>
      </c>
      <c r="H2312" t="s">
        <v>928</v>
      </c>
      <c r="I2312" t="s">
        <v>6684</v>
      </c>
      <c r="L2312" t="s">
        <v>197</v>
      </c>
    </row>
    <row r="2313" spans="1:12" x14ac:dyDescent="0.4">
      <c r="A2313" t="s">
        <v>3865</v>
      </c>
      <c r="B2313">
        <v>92.2</v>
      </c>
      <c r="C2313" t="s">
        <v>6587</v>
      </c>
      <c r="D2313">
        <v>5</v>
      </c>
      <c r="E2313">
        <v>-0.31900000000000001</v>
      </c>
      <c r="F2313">
        <v>7.8</v>
      </c>
      <c r="G2313">
        <v>2021</v>
      </c>
      <c r="H2313" t="s">
        <v>928</v>
      </c>
      <c r="I2313" t="s">
        <v>6684</v>
      </c>
      <c r="L2313" t="s">
        <v>197</v>
      </c>
    </row>
    <row r="2314" spans="1:12" x14ac:dyDescent="0.4">
      <c r="A2314" t="s">
        <v>3846</v>
      </c>
      <c r="B2314">
        <v>95</v>
      </c>
      <c r="C2314" t="s">
        <v>5736</v>
      </c>
      <c r="D2314">
        <v>5</v>
      </c>
      <c r="E2314">
        <v>0.23899999999999999</v>
      </c>
      <c r="F2314">
        <v>5</v>
      </c>
      <c r="G2314">
        <v>2021</v>
      </c>
      <c r="H2314" t="s">
        <v>928</v>
      </c>
      <c r="I2314" t="s">
        <v>6684</v>
      </c>
      <c r="L2314" t="s">
        <v>197</v>
      </c>
    </row>
    <row r="2315" spans="1:12" x14ac:dyDescent="0.4">
      <c r="A2315" t="s">
        <v>5866</v>
      </c>
      <c r="B2315">
        <v>91.9</v>
      </c>
      <c r="C2315" t="s">
        <v>5737</v>
      </c>
      <c r="D2315">
        <v>5</v>
      </c>
      <c r="E2315">
        <v>-0.379</v>
      </c>
      <c r="F2315">
        <v>8.1</v>
      </c>
      <c r="G2315">
        <v>2021</v>
      </c>
      <c r="H2315" t="s">
        <v>928</v>
      </c>
      <c r="I2315" t="s">
        <v>6684</v>
      </c>
      <c r="L2315" t="s">
        <v>197</v>
      </c>
    </row>
    <row r="2316" spans="1:12" x14ac:dyDescent="0.4">
      <c r="A2316" t="s">
        <v>3869</v>
      </c>
      <c r="B2316">
        <v>95.5</v>
      </c>
      <c r="C2316" t="s">
        <v>6584</v>
      </c>
      <c r="D2316">
        <v>5</v>
      </c>
      <c r="E2316">
        <v>0.33900000000000002</v>
      </c>
      <c r="F2316">
        <v>4.5</v>
      </c>
      <c r="G2316">
        <v>2021</v>
      </c>
      <c r="H2316" t="s">
        <v>928</v>
      </c>
      <c r="I2316" t="s">
        <v>6684</v>
      </c>
      <c r="L2316" t="s">
        <v>197</v>
      </c>
    </row>
    <row r="2317" spans="1:12" x14ac:dyDescent="0.4">
      <c r="A2317" t="s">
        <v>5867</v>
      </c>
      <c r="B2317">
        <v>95.1</v>
      </c>
      <c r="C2317" t="s">
        <v>6592</v>
      </c>
      <c r="D2317">
        <v>5</v>
      </c>
      <c r="E2317">
        <v>0.25900000000000001</v>
      </c>
      <c r="F2317">
        <v>4.9000000000000004</v>
      </c>
      <c r="G2317">
        <v>2021</v>
      </c>
      <c r="H2317" t="s">
        <v>928</v>
      </c>
      <c r="I2317" t="s">
        <v>6684</v>
      </c>
      <c r="L2317" t="s">
        <v>197</v>
      </c>
    </row>
    <row r="2318" spans="1:12" x14ac:dyDescent="0.4">
      <c r="A2318" t="s">
        <v>3877</v>
      </c>
      <c r="B2318">
        <v>97.8</v>
      </c>
      <c r="C2318" t="s">
        <v>6591</v>
      </c>
      <c r="D2318">
        <v>5</v>
      </c>
      <c r="E2318">
        <v>0.79700000000000004</v>
      </c>
      <c r="F2318">
        <v>2.2000000000000002</v>
      </c>
      <c r="G2318">
        <v>2021</v>
      </c>
      <c r="H2318" t="s">
        <v>928</v>
      </c>
      <c r="I2318" t="s">
        <v>6684</v>
      </c>
      <c r="L2318" t="s">
        <v>197</v>
      </c>
    </row>
    <row r="2319" spans="1:12" x14ac:dyDescent="0.4">
      <c r="A2319" t="s">
        <v>3852</v>
      </c>
      <c r="B2319">
        <v>91.2</v>
      </c>
      <c r="C2319" t="s">
        <v>6038</v>
      </c>
      <c r="D2319">
        <v>5</v>
      </c>
      <c r="E2319">
        <v>-0.51800000000000002</v>
      </c>
      <c r="F2319">
        <v>8.8000000000000007</v>
      </c>
      <c r="G2319">
        <v>2021</v>
      </c>
      <c r="H2319" t="s">
        <v>928</v>
      </c>
      <c r="I2319" t="s">
        <v>6684</v>
      </c>
      <c r="L2319" t="s">
        <v>197</v>
      </c>
    </row>
    <row r="2320" spans="1:12" x14ac:dyDescent="0.4">
      <c r="A2320" t="s">
        <v>3856</v>
      </c>
      <c r="B2320">
        <v>97.2</v>
      </c>
      <c r="C2320" t="s">
        <v>6045</v>
      </c>
      <c r="D2320">
        <v>5</v>
      </c>
      <c r="E2320">
        <v>0.67800000000000005</v>
      </c>
      <c r="F2320">
        <v>2.8</v>
      </c>
      <c r="G2320">
        <v>2021</v>
      </c>
      <c r="H2320" t="s">
        <v>928</v>
      </c>
      <c r="I2320" t="s">
        <v>6684</v>
      </c>
      <c r="L2320" t="s">
        <v>197</v>
      </c>
    </row>
    <row r="2321" spans="1:12" x14ac:dyDescent="0.4">
      <c r="A2321" t="s">
        <v>3850</v>
      </c>
      <c r="B2321">
        <v>91.9</v>
      </c>
      <c r="C2321" t="s">
        <v>5737</v>
      </c>
      <c r="D2321">
        <v>5</v>
      </c>
      <c r="E2321">
        <v>-0.379</v>
      </c>
      <c r="F2321">
        <v>8.1</v>
      </c>
      <c r="G2321">
        <v>2021</v>
      </c>
      <c r="H2321" t="s">
        <v>928</v>
      </c>
      <c r="I2321" t="s">
        <v>6684</v>
      </c>
      <c r="L2321" t="s">
        <v>197</v>
      </c>
    </row>
    <row r="2322" spans="1:12" x14ac:dyDescent="0.4">
      <c r="A2322" t="s">
        <v>5868</v>
      </c>
      <c r="B2322">
        <v>90.1</v>
      </c>
      <c r="C2322" t="s">
        <v>6586</v>
      </c>
      <c r="D2322">
        <v>5</v>
      </c>
      <c r="E2322">
        <v>-0.73799999999999999</v>
      </c>
      <c r="F2322">
        <v>9.9</v>
      </c>
      <c r="G2322">
        <v>2021</v>
      </c>
      <c r="H2322" t="s">
        <v>928</v>
      </c>
      <c r="I2322" t="s">
        <v>6684</v>
      </c>
      <c r="L2322" t="s">
        <v>197</v>
      </c>
    </row>
    <row r="2323" spans="1:12" x14ac:dyDescent="0.4">
      <c r="A2323" t="s">
        <v>3870</v>
      </c>
      <c r="B2323">
        <v>95.5</v>
      </c>
      <c r="C2323" t="s">
        <v>6584</v>
      </c>
      <c r="D2323">
        <v>5</v>
      </c>
      <c r="E2323">
        <v>0.33900000000000002</v>
      </c>
      <c r="F2323">
        <v>4.5</v>
      </c>
      <c r="G2323">
        <v>2021</v>
      </c>
      <c r="H2323" t="s">
        <v>928</v>
      </c>
      <c r="I2323" t="s">
        <v>6684</v>
      </c>
      <c r="L2323" t="s">
        <v>197</v>
      </c>
    </row>
    <row r="2324" spans="1:12" x14ac:dyDescent="0.4">
      <c r="A2324" t="s">
        <v>2203</v>
      </c>
      <c r="B2324">
        <v>97.8</v>
      </c>
      <c r="C2324" t="s">
        <v>6591</v>
      </c>
      <c r="D2324">
        <v>5</v>
      </c>
      <c r="E2324">
        <v>0.79700000000000004</v>
      </c>
      <c r="F2324">
        <v>2.2000000000000002</v>
      </c>
      <c r="G2324">
        <v>2021</v>
      </c>
      <c r="H2324" t="s">
        <v>928</v>
      </c>
      <c r="I2324" t="s">
        <v>6684</v>
      </c>
      <c r="L2324" t="s">
        <v>197</v>
      </c>
    </row>
    <row r="2325" spans="1:12" x14ac:dyDescent="0.4">
      <c r="A2325" t="s">
        <v>2204</v>
      </c>
      <c r="B2325">
        <v>93.5</v>
      </c>
      <c r="C2325" t="s">
        <v>6590</v>
      </c>
      <c r="D2325">
        <v>5</v>
      </c>
      <c r="E2325">
        <v>-0.06</v>
      </c>
      <c r="F2325">
        <v>6.5</v>
      </c>
      <c r="G2325">
        <v>2021</v>
      </c>
      <c r="H2325" t="s">
        <v>928</v>
      </c>
      <c r="I2325" t="s">
        <v>6684</v>
      </c>
      <c r="L2325" t="s">
        <v>197</v>
      </c>
    </row>
    <row r="2326" spans="1:12" x14ac:dyDescent="0.4">
      <c r="A2326" t="s">
        <v>3873</v>
      </c>
      <c r="B2326">
        <v>95.5</v>
      </c>
      <c r="C2326" t="s">
        <v>6584</v>
      </c>
      <c r="D2326">
        <v>5</v>
      </c>
      <c r="E2326">
        <v>0.33900000000000002</v>
      </c>
      <c r="F2326">
        <v>4.5</v>
      </c>
      <c r="G2326">
        <v>2021</v>
      </c>
      <c r="H2326" t="s">
        <v>928</v>
      </c>
      <c r="I2326" t="s">
        <v>6684</v>
      </c>
      <c r="L2326" t="s">
        <v>197</v>
      </c>
    </row>
    <row r="2327" spans="1:12" x14ac:dyDescent="0.4">
      <c r="A2327" t="s">
        <v>2205</v>
      </c>
      <c r="B2327">
        <v>95.5</v>
      </c>
      <c r="C2327" t="s">
        <v>6584</v>
      </c>
      <c r="D2327">
        <v>5</v>
      </c>
      <c r="E2327">
        <v>0.33900000000000002</v>
      </c>
      <c r="F2327">
        <v>4.5</v>
      </c>
      <c r="G2327">
        <v>2021</v>
      </c>
      <c r="H2327" t="s">
        <v>928</v>
      </c>
      <c r="I2327" t="s">
        <v>6684</v>
      </c>
      <c r="L2327" t="s">
        <v>197</v>
      </c>
    </row>
    <row r="2328" spans="1:12" x14ac:dyDescent="0.4">
      <c r="A2328" t="s">
        <v>3848</v>
      </c>
      <c r="B2328">
        <v>91.9</v>
      </c>
      <c r="C2328" t="s">
        <v>5737</v>
      </c>
      <c r="D2328">
        <v>5</v>
      </c>
      <c r="E2328">
        <v>-0.379</v>
      </c>
      <c r="F2328">
        <v>8.1</v>
      </c>
      <c r="G2328">
        <v>2021</v>
      </c>
      <c r="H2328" t="s">
        <v>928</v>
      </c>
      <c r="I2328" t="s">
        <v>6684</v>
      </c>
      <c r="L2328" t="s">
        <v>197</v>
      </c>
    </row>
    <row r="2329" spans="1:12" x14ac:dyDescent="0.4">
      <c r="A2329" t="s">
        <v>3862</v>
      </c>
      <c r="B2329">
        <v>97.8</v>
      </c>
      <c r="C2329" t="s">
        <v>6591</v>
      </c>
      <c r="D2329">
        <v>5</v>
      </c>
      <c r="E2329">
        <v>0.79700000000000004</v>
      </c>
      <c r="F2329">
        <v>2.2000000000000002</v>
      </c>
      <c r="G2329">
        <v>2021</v>
      </c>
      <c r="H2329" t="s">
        <v>928</v>
      </c>
      <c r="I2329" t="s">
        <v>6684</v>
      </c>
      <c r="L2329" t="s">
        <v>197</v>
      </c>
    </row>
    <row r="2330" spans="1:12" x14ac:dyDescent="0.4">
      <c r="A2330" t="s">
        <v>3872</v>
      </c>
      <c r="B2330">
        <v>97.8</v>
      </c>
      <c r="C2330" t="s">
        <v>6591</v>
      </c>
      <c r="D2330">
        <v>5</v>
      </c>
      <c r="E2330">
        <v>0.79700000000000004</v>
      </c>
      <c r="F2330">
        <v>2.2000000000000002</v>
      </c>
      <c r="G2330">
        <v>2021</v>
      </c>
      <c r="H2330" t="s">
        <v>928</v>
      </c>
      <c r="I2330" t="s">
        <v>6684</v>
      </c>
      <c r="L2330" t="s">
        <v>197</v>
      </c>
    </row>
    <row r="2331" spans="1:12" x14ac:dyDescent="0.4">
      <c r="A2331" t="s">
        <v>3863</v>
      </c>
      <c r="B2331">
        <v>97.8</v>
      </c>
      <c r="C2331" t="s">
        <v>6591</v>
      </c>
      <c r="D2331">
        <v>5</v>
      </c>
      <c r="E2331">
        <v>0.79700000000000004</v>
      </c>
      <c r="F2331">
        <v>2.2000000000000002</v>
      </c>
      <c r="G2331">
        <v>2021</v>
      </c>
      <c r="H2331" t="s">
        <v>928</v>
      </c>
      <c r="I2331" t="s">
        <v>6684</v>
      </c>
      <c r="L2331" t="s">
        <v>197</v>
      </c>
    </row>
    <row r="2332" spans="1:12" x14ac:dyDescent="0.4">
      <c r="A2332" t="s">
        <v>2209</v>
      </c>
      <c r="B2332">
        <v>93.8</v>
      </c>
      <c r="C2332" t="s">
        <v>197</v>
      </c>
      <c r="D2332">
        <v>5</v>
      </c>
    </row>
    <row r="2333" spans="1:12" x14ac:dyDescent="0.4">
      <c r="A2333" t="s">
        <v>2210</v>
      </c>
      <c r="B2333">
        <v>88.3</v>
      </c>
      <c r="C2333" t="s">
        <v>197</v>
      </c>
      <c r="D2333">
        <v>5</v>
      </c>
    </row>
    <row r="2334" spans="1:12" x14ac:dyDescent="0.4">
      <c r="A2334" t="s">
        <v>2211</v>
      </c>
      <c r="B2334">
        <v>91.3</v>
      </c>
      <c r="C2334" t="s">
        <v>197</v>
      </c>
      <c r="D2334">
        <v>5</v>
      </c>
    </row>
    <row r="2335" spans="1:12" x14ac:dyDescent="0.4">
      <c r="A2335" t="s">
        <v>2212</v>
      </c>
      <c r="B2335">
        <v>89.9</v>
      </c>
      <c r="C2335" t="s">
        <v>197</v>
      </c>
      <c r="D2335">
        <v>5</v>
      </c>
    </row>
    <row r="2336" spans="1:12" x14ac:dyDescent="0.4">
      <c r="A2336" t="s">
        <v>2213</v>
      </c>
      <c r="B2336">
        <v>96.5</v>
      </c>
      <c r="C2336" t="s">
        <v>197</v>
      </c>
      <c r="D2336">
        <v>5</v>
      </c>
    </row>
    <row r="2337" spans="1:11" x14ac:dyDescent="0.4">
      <c r="A2337" t="s">
        <v>2588</v>
      </c>
      <c r="B2337">
        <v>93.7</v>
      </c>
      <c r="C2337" t="s">
        <v>197</v>
      </c>
      <c r="D2337">
        <v>5</v>
      </c>
    </row>
    <row r="2338" spans="1:11" x14ac:dyDescent="0.4">
      <c r="A2338" t="s">
        <v>2589</v>
      </c>
      <c r="B2338">
        <v>96.2</v>
      </c>
      <c r="C2338" t="s">
        <v>197</v>
      </c>
      <c r="D2338">
        <v>5</v>
      </c>
    </row>
    <row r="2339" spans="1:11" x14ac:dyDescent="0.4">
      <c r="A2339" t="s">
        <v>7369</v>
      </c>
      <c r="B2339">
        <v>93.7</v>
      </c>
      <c r="C2339" t="s">
        <v>197</v>
      </c>
      <c r="D2339">
        <v>5</v>
      </c>
    </row>
    <row r="2340" spans="1:11" x14ac:dyDescent="0.4">
      <c r="A2340" t="s">
        <v>7370</v>
      </c>
      <c r="B2340">
        <v>93.1</v>
      </c>
      <c r="C2340" t="s">
        <v>197</v>
      </c>
      <c r="D2340">
        <v>5</v>
      </c>
    </row>
    <row r="2341" spans="1:11" x14ac:dyDescent="0.4">
      <c r="A2341" t="s">
        <v>7371</v>
      </c>
      <c r="B2341">
        <v>94.2</v>
      </c>
      <c r="C2341" t="s">
        <v>197</v>
      </c>
      <c r="D2341">
        <v>5</v>
      </c>
    </row>
    <row r="2342" spans="1:11" x14ac:dyDescent="0.4">
      <c r="A2342" t="s">
        <v>3882</v>
      </c>
      <c r="B2342">
        <v>0</v>
      </c>
      <c r="C2342" t="s">
        <v>6587</v>
      </c>
      <c r="D2342">
        <v>1</v>
      </c>
      <c r="E2342">
        <v>-1.32</v>
      </c>
      <c r="F2342">
        <v>0</v>
      </c>
      <c r="G2342">
        <v>2024</v>
      </c>
      <c r="H2342" t="s">
        <v>928</v>
      </c>
      <c r="I2342" t="s">
        <v>6063</v>
      </c>
      <c r="J2342" t="s">
        <v>8281</v>
      </c>
      <c r="K2342" t="s">
        <v>9286</v>
      </c>
    </row>
    <row r="2343" spans="1:11" x14ac:dyDescent="0.4">
      <c r="A2343" t="s">
        <v>3880</v>
      </c>
      <c r="B2343">
        <v>0</v>
      </c>
      <c r="C2343" t="s">
        <v>6587</v>
      </c>
      <c r="D2343">
        <v>1</v>
      </c>
      <c r="E2343">
        <v>-1.32</v>
      </c>
      <c r="F2343">
        <v>0</v>
      </c>
      <c r="G2343">
        <v>2024</v>
      </c>
      <c r="H2343" t="s">
        <v>928</v>
      </c>
      <c r="I2343" t="s">
        <v>6063</v>
      </c>
      <c r="J2343" t="s">
        <v>8282</v>
      </c>
      <c r="K2343" t="s">
        <v>9287</v>
      </c>
    </row>
    <row r="2344" spans="1:11" x14ac:dyDescent="0.4">
      <c r="A2344" t="s">
        <v>3886</v>
      </c>
      <c r="B2344">
        <v>100</v>
      </c>
      <c r="C2344" t="s">
        <v>1380</v>
      </c>
      <c r="D2344">
        <v>5</v>
      </c>
      <c r="E2344">
        <v>0.74199999999999999</v>
      </c>
      <c r="F2344">
        <v>1</v>
      </c>
      <c r="G2344">
        <v>2024</v>
      </c>
      <c r="H2344" t="s">
        <v>928</v>
      </c>
      <c r="I2344" t="s">
        <v>6063</v>
      </c>
      <c r="J2344" t="s">
        <v>8283</v>
      </c>
      <c r="K2344" t="s">
        <v>8284</v>
      </c>
    </row>
    <row r="2345" spans="1:11" x14ac:dyDescent="0.4">
      <c r="A2345" t="s">
        <v>3910</v>
      </c>
      <c r="B2345">
        <v>100</v>
      </c>
      <c r="C2345" t="s">
        <v>1380</v>
      </c>
      <c r="D2345">
        <v>5</v>
      </c>
      <c r="E2345">
        <v>0.74199999999999999</v>
      </c>
      <c r="F2345">
        <v>1</v>
      </c>
      <c r="G2345">
        <v>2024</v>
      </c>
      <c r="H2345" t="s">
        <v>928</v>
      </c>
      <c r="I2345" t="s">
        <v>6063</v>
      </c>
      <c r="J2345" t="s">
        <v>8285</v>
      </c>
      <c r="K2345" t="s">
        <v>8286</v>
      </c>
    </row>
    <row r="2346" spans="1:11" x14ac:dyDescent="0.4">
      <c r="A2346" t="s">
        <v>2214</v>
      </c>
      <c r="B2346">
        <v>100</v>
      </c>
      <c r="C2346" t="s">
        <v>1380</v>
      </c>
      <c r="D2346">
        <v>5</v>
      </c>
      <c r="E2346">
        <v>0.74199999999999999</v>
      </c>
      <c r="F2346">
        <v>1</v>
      </c>
      <c r="G2346">
        <v>2024</v>
      </c>
      <c r="H2346" t="s">
        <v>928</v>
      </c>
      <c r="I2346" t="s">
        <v>6063</v>
      </c>
      <c r="J2346" t="s">
        <v>8287</v>
      </c>
      <c r="K2346" t="s">
        <v>7602</v>
      </c>
    </row>
    <row r="2347" spans="1:11" x14ac:dyDescent="0.4">
      <c r="A2347" t="s">
        <v>3906</v>
      </c>
      <c r="B2347">
        <v>100</v>
      </c>
      <c r="C2347" t="s">
        <v>1380</v>
      </c>
      <c r="D2347">
        <v>5</v>
      </c>
      <c r="E2347">
        <v>0.74199999999999999</v>
      </c>
      <c r="F2347">
        <v>1</v>
      </c>
      <c r="G2347">
        <v>2024</v>
      </c>
      <c r="H2347" t="s">
        <v>928</v>
      </c>
      <c r="I2347" t="s">
        <v>6063</v>
      </c>
      <c r="J2347" t="s">
        <v>8288</v>
      </c>
      <c r="K2347" t="s">
        <v>6829</v>
      </c>
    </row>
    <row r="2348" spans="1:11" x14ac:dyDescent="0.4">
      <c r="A2348" t="s">
        <v>3890</v>
      </c>
      <c r="B2348">
        <v>100</v>
      </c>
      <c r="C2348" t="s">
        <v>1380</v>
      </c>
      <c r="D2348">
        <v>5</v>
      </c>
      <c r="E2348">
        <v>0.74199999999999999</v>
      </c>
      <c r="F2348">
        <v>1</v>
      </c>
      <c r="G2348">
        <v>2024</v>
      </c>
      <c r="H2348" t="s">
        <v>928</v>
      </c>
      <c r="I2348" t="s">
        <v>6063</v>
      </c>
      <c r="J2348" t="s">
        <v>8289</v>
      </c>
      <c r="K2348" t="s">
        <v>6830</v>
      </c>
    </row>
    <row r="2349" spans="1:11" x14ac:dyDescent="0.4">
      <c r="A2349" t="s">
        <v>3884</v>
      </c>
      <c r="B2349">
        <v>100</v>
      </c>
      <c r="C2349" t="s">
        <v>1380</v>
      </c>
      <c r="D2349">
        <v>5</v>
      </c>
      <c r="E2349">
        <v>0.74199999999999999</v>
      </c>
      <c r="F2349">
        <v>1</v>
      </c>
      <c r="G2349">
        <v>2024</v>
      </c>
      <c r="H2349" t="s">
        <v>928</v>
      </c>
      <c r="I2349" t="s">
        <v>6063</v>
      </c>
      <c r="J2349" t="s">
        <v>8290</v>
      </c>
      <c r="K2349" t="s">
        <v>6831</v>
      </c>
    </row>
    <row r="2350" spans="1:11" x14ac:dyDescent="0.4">
      <c r="A2350" t="s">
        <v>3896</v>
      </c>
      <c r="B2350">
        <v>100</v>
      </c>
      <c r="C2350" t="s">
        <v>1380</v>
      </c>
      <c r="D2350">
        <v>5</v>
      </c>
      <c r="E2350">
        <v>0.74199999999999999</v>
      </c>
      <c r="F2350">
        <v>1</v>
      </c>
      <c r="G2350">
        <v>2024</v>
      </c>
      <c r="H2350" t="s">
        <v>928</v>
      </c>
      <c r="I2350" t="s">
        <v>6063</v>
      </c>
      <c r="J2350" t="s">
        <v>6832</v>
      </c>
      <c r="K2350" t="s">
        <v>8291</v>
      </c>
    </row>
    <row r="2351" spans="1:11" x14ac:dyDescent="0.4">
      <c r="A2351" t="s">
        <v>3888</v>
      </c>
      <c r="B2351">
        <v>0</v>
      </c>
      <c r="C2351" t="s">
        <v>6587</v>
      </c>
      <c r="D2351">
        <v>1</v>
      </c>
      <c r="E2351">
        <v>-1.32</v>
      </c>
      <c r="F2351">
        <v>0</v>
      </c>
      <c r="G2351">
        <v>2024</v>
      </c>
      <c r="H2351" t="s">
        <v>928</v>
      </c>
      <c r="I2351" t="s">
        <v>6063</v>
      </c>
      <c r="J2351" t="s">
        <v>8292</v>
      </c>
      <c r="K2351" t="s">
        <v>9288</v>
      </c>
    </row>
    <row r="2352" spans="1:11" x14ac:dyDescent="0.4">
      <c r="A2352" t="s">
        <v>5987</v>
      </c>
      <c r="B2352">
        <v>0</v>
      </c>
      <c r="C2352" t="s">
        <v>6587</v>
      </c>
      <c r="D2352">
        <v>1</v>
      </c>
      <c r="E2352">
        <v>-1.32</v>
      </c>
      <c r="F2352">
        <v>0</v>
      </c>
      <c r="G2352">
        <v>2024</v>
      </c>
      <c r="H2352" t="s">
        <v>928</v>
      </c>
      <c r="I2352" t="s">
        <v>6063</v>
      </c>
      <c r="J2352" t="s">
        <v>8293</v>
      </c>
      <c r="K2352" t="s">
        <v>9289</v>
      </c>
    </row>
    <row r="2353" spans="1:11" x14ac:dyDescent="0.4">
      <c r="A2353" t="s">
        <v>3902</v>
      </c>
      <c r="B2353">
        <v>100</v>
      </c>
      <c r="C2353" t="s">
        <v>1380</v>
      </c>
      <c r="D2353">
        <v>5</v>
      </c>
      <c r="E2353">
        <v>0.74199999999999999</v>
      </c>
      <c r="F2353">
        <v>1</v>
      </c>
      <c r="G2353">
        <v>2024</v>
      </c>
      <c r="H2353" t="s">
        <v>928</v>
      </c>
      <c r="I2353" t="s">
        <v>6063</v>
      </c>
      <c r="J2353" t="s">
        <v>8294</v>
      </c>
      <c r="K2353" t="s">
        <v>9290</v>
      </c>
    </row>
    <row r="2354" spans="1:11" x14ac:dyDescent="0.4">
      <c r="A2354" t="s">
        <v>2215</v>
      </c>
      <c r="B2354">
        <v>0</v>
      </c>
      <c r="C2354" t="s">
        <v>6587</v>
      </c>
      <c r="D2354">
        <v>1</v>
      </c>
      <c r="E2354">
        <v>-1.32</v>
      </c>
      <c r="F2354">
        <v>0</v>
      </c>
      <c r="G2354">
        <v>2024</v>
      </c>
      <c r="H2354" t="s">
        <v>928</v>
      </c>
      <c r="I2354" t="s">
        <v>6063</v>
      </c>
      <c r="J2354" t="s">
        <v>8295</v>
      </c>
      <c r="K2354" t="s">
        <v>9291</v>
      </c>
    </row>
    <row r="2355" spans="1:11" x14ac:dyDescent="0.4">
      <c r="A2355" t="s">
        <v>2224</v>
      </c>
      <c r="B2355">
        <v>100</v>
      </c>
      <c r="C2355" t="s">
        <v>1380</v>
      </c>
      <c r="D2355">
        <v>5</v>
      </c>
      <c r="E2355">
        <v>0.74199999999999999</v>
      </c>
      <c r="F2355">
        <v>1</v>
      </c>
      <c r="G2355">
        <v>2024</v>
      </c>
      <c r="H2355" t="s">
        <v>928</v>
      </c>
      <c r="I2355" t="s">
        <v>6063</v>
      </c>
      <c r="J2355" t="s">
        <v>8296</v>
      </c>
      <c r="K2355" t="s">
        <v>8010</v>
      </c>
    </row>
    <row r="2356" spans="1:11" x14ac:dyDescent="0.4">
      <c r="A2356" t="s">
        <v>3895</v>
      </c>
      <c r="B2356">
        <v>100</v>
      </c>
      <c r="C2356" t="s">
        <v>1380</v>
      </c>
      <c r="D2356">
        <v>5</v>
      </c>
      <c r="E2356">
        <v>0.74199999999999999</v>
      </c>
      <c r="F2356">
        <v>1</v>
      </c>
      <c r="G2356">
        <v>2024</v>
      </c>
      <c r="H2356" t="s">
        <v>928</v>
      </c>
      <c r="I2356" t="s">
        <v>6063</v>
      </c>
      <c r="J2356" t="s">
        <v>8297</v>
      </c>
      <c r="K2356" t="s">
        <v>9292</v>
      </c>
    </row>
    <row r="2357" spans="1:11" x14ac:dyDescent="0.4">
      <c r="A2357" t="s">
        <v>3909</v>
      </c>
      <c r="B2357">
        <v>100</v>
      </c>
      <c r="C2357" t="s">
        <v>1380</v>
      </c>
      <c r="D2357">
        <v>5</v>
      </c>
      <c r="E2357">
        <v>0.74199999999999999</v>
      </c>
      <c r="F2357">
        <v>1</v>
      </c>
      <c r="G2357">
        <v>2024</v>
      </c>
      <c r="H2357" t="s">
        <v>928</v>
      </c>
      <c r="I2357" t="s">
        <v>6063</v>
      </c>
      <c r="J2357" t="s">
        <v>8298</v>
      </c>
      <c r="K2357" t="s">
        <v>9293</v>
      </c>
    </row>
    <row r="2358" spans="1:11" x14ac:dyDescent="0.4">
      <c r="A2358" t="s">
        <v>2216</v>
      </c>
      <c r="B2358">
        <v>100</v>
      </c>
      <c r="C2358" t="s">
        <v>1380</v>
      </c>
      <c r="D2358">
        <v>5</v>
      </c>
      <c r="E2358">
        <v>0.74199999999999999</v>
      </c>
      <c r="F2358">
        <v>1</v>
      </c>
      <c r="G2358">
        <v>2024</v>
      </c>
      <c r="H2358" t="s">
        <v>928</v>
      </c>
      <c r="I2358" t="s">
        <v>6063</v>
      </c>
      <c r="J2358" t="s">
        <v>8299</v>
      </c>
      <c r="K2358" t="s">
        <v>6833</v>
      </c>
    </row>
    <row r="2359" spans="1:11" x14ac:dyDescent="0.4">
      <c r="A2359" t="s">
        <v>2223</v>
      </c>
      <c r="B2359">
        <v>0</v>
      </c>
      <c r="C2359" t="s">
        <v>6587</v>
      </c>
      <c r="D2359">
        <v>1</v>
      </c>
      <c r="E2359">
        <v>-1.32</v>
      </c>
      <c r="F2359">
        <v>0</v>
      </c>
      <c r="G2359">
        <v>2024</v>
      </c>
      <c r="H2359" t="s">
        <v>928</v>
      </c>
      <c r="I2359" t="s">
        <v>6063</v>
      </c>
      <c r="J2359" t="s">
        <v>8300</v>
      </c>
      <c r="K2359" t="s">
        <v>9294</v>
      </c>
    </row>
    <row r="2360" spans="1:11" x14ac:dyDescent="0.4">
      <c r="A2360" t="s">
        <v>2217</v>
      </c>
      <c r="B2360">
        <v>100</v>
      </c>
      <c r="C2360" t="s">
        <v>1380</v>
      </c>
      <c r="D2360">
        <v>5</v>
      </c>
      <c r="E2360">
        <v>0.74199999999999999</v>
      </c>
      <c r="F2360">
        <v>1</v>
      </c>
      <c r="G2360">
        <v>2024</v>
      </c>
      <c r="H2360" t="s">
        <v>928</v>
      </c>
      <c r="I2360" t="s">
        <v>6063</v>
      </c>
      <c r="J2360" t="s">
        <v>8990</v>
      </c>
      <c r="K2360" t="s">
        <v>6809</v>
      </c>
    </row>
    <row r="2361" spans="1:11" x14ac:dyDescent="0.4">
      <c r="A2361" t="s">
        <v>3879</v>
      </c>
      <c r="B2361">
        <v>100</v>
      </c>
      <c r="C2361" t="s">
        <v>1380</v>
      </c>
      <c r="D2361">
        <v>5</v>
      </c>
      <c r="E2361">
        <v>0.74199999999999999</v>
      </c>
      <c r="F2361">
        <v>1</v>
      </c>
      <c r="G2361">
        <v>2024</v>
      </c>
      <c r="H2361" t="s">
        <v>928</v>
      </c>
      <c r="I2361" t="s">
        <v>6063</v>
      </c>
      <c r="J2361" t="s">
        <v>6834</v>
      </c>
      <c r="K2361" t="s">
        <v>6799</v>
      </c>
    </row>
    <row r="2362" spans="1:11" x14ac:dyDescent="0.4">
      <c r="A2362" t="s">
        <v>3899</v>
      </c>
      <c r="B2362">
        <v>0</v>
      </c>
      <c r="C2362" t="s">
        <v>6587</v>
      </c>
      <c r="D2362">
        <v>1</v>
      </c>
      <c r="E2362">
        <v>-1.32</v>
      </c>
      <c r="F2362">
        <v>0</v>
      </c>
      <c r="G2362">
        <v>2024</v>
      </c>
      <c r="H2362" t="s">
        <v>928</v>
      </c>
      <c r="I2362" t="s">
        <v>6063</v>
      </c>
      <c r="J2362" t="s">
        <v>8301</v>
      </c>
      <c r="K2362" t="s">
        <v>9295</v>
      </c>
    </row>
    <row r="2363" spans="1:11" x14ac:dyDescent="0.4">
      <c r="A2363" t="s">
        <v>3903</v>
      </c>
      <c r="B2363">
        <v>0</v>
      </c>
      <c r="C2363" t="s">
        <v>6587</v>
      </c>
      <c r="D2363">
        <v>1</v>
      </c>
      <c r="E2363">
        <v>-1.32</v>
      </c>
      <c r="F2363">
        <v>0</v>
      </c>
      <c r="G2363">
        <v>2024</v>
      </c>
      <c r="H2363" t="s">
        <v>928</v>
      </c>
      <c r="I2363" t="s">
        <v>6063</v>
      </c>
      <c r="J2363" t="s">
        <v>8302</v>
      </c>
      <c r="K2363" t="s">
        <v>9296</v>
      </c>
    </row>
    <row r="2364" spans="1:11" x14ac:dyDescent="0.4">
      <c r="A2364" t="s">
        <v>3901</v>
      </c>
      <c r="B2364">
        <v>0</v>
      </c>
      <c r="C2364" t="s">
        <v>6587</v>
      </c>
      <c r="D2364">
        <v>1</v>
      </c>
      <c r="E2364">
        <v>-1.32</v>
      </c>
      <c r="F2364">
        <v>0</v>
      </c>
      <c r="G2364">
        <v>2024</v>
      </c>
      <c r="H2364" t="s">
        <v>928</v>
      </c>
      <c r="I2364" t="s">
        <v>6063</v>
      </c>
      <c r="J2364" t="s">
        <v>8303</v>
      </c>
      <c r="K2364" t="s">
        <v>9297</v>
      </c>
    </row>
    <row r="2365" spans="1:11" x14ac:dyDescent="0.4">
      <c r="A2365" t="s">
        <v>3889</v>
      </c>
      <c r="B2365">
        <v>0</v>
      </c>
      <c r="C2365" t="s">
        <v>6587</v>
      </c>
      <c r="D2365">
        <v>1</v>
      </c>
      <c r="E2365">
        <v>-1.32</v>
      </c>
      <c r="F2365">
        <v>0</v>
      </c>
      <c r="G2365">
        <v>2024</v>
      </c>
      <c r="H2365" t="s">
        <v>928</v>
      </c>
      <c r="I2365" t="s">
        <v>6063</v>
      </c>
      <c r="J2365" t="s">
        <v>8304</v>
      </c>
      <c r="K2365" t="s">
        <v>9298</v>
      </c>
    </row>
    <row r="2366" spans="1:11" x14ac:dyDescent="0.4">
      <c r="A2366" t="s">
        <v>3878</v>
      </c>
      <c r="B2366">
        <v>0</v>
      </c>
      <c r="C2366" t="s">
        <v>6587</v>
      </c>
      <c r="D2366">
        <v>1</v>
      </c>
      <c r="E2366">
        <v>-1.32</v>
      </c>
      <c r="F2366">
        <v>0</v>
      </c>
      <c r="G2366">
        <v>2024</v>
      </c>
      <c r="H2366" t="s">
        <v>928</v>
      </c>
      <c r="I2366" t="s">
        <v>6063</v>
      </c>
      <c r="J2366" t="s">
        <v>8305</v>
      </c>
      <c r="K2366" t="s">
        <v>9299</v>
      </c>
    </row>
    <row r="2367" spans="1:11" x14ac:dyDescent="0.4">
      <c r="A2367" t="s">
        <v>3892</v>
      </c>
      <c r="B2367">
        <v>100</v>
      </c>
      <c r="C2367" t="s">
        <v>1380</v>
      </c>
      <c r="D2367">
        <v>5</v>
      </c>
      <c r="E2367">
        <v>0.74199999999999999</v>
      </c>
      <c r="F2367">
        <v>1</v>
      </c>
      <c r="G2367">
        <v>2024</v>
      </c>
      <c r="H2367" t="s">
        <v>928</v>
      </c>
      <c r="I2367" t="s">
        <v>6063</v>
      </c>
      <c r="J2367" t="s">
        <v>8306</v>
      </c>
      <c r="K2367" t="s">
        <v>8307</v>
      </c>
    </row>
    <row r="2368" spans="1:11" x14ac:dyDescent="0.4">
      <c r="A2368" t="s">
        <v>3893</v>
      </c>
      <c r="B2368">
        <v>100</v>
      </c>
      <c r="C2368" t="s">
        <v>1380</v>
      </c>
      <c r="D2368">
        <v>5</v>
      </c>
      <c r="E2368">
        <v>0.74199999999999999</v>
      </c>
      <c r="F2368">
        <v>1</v>
      </c>
      <c r="G2368">
        <v>2024</v>
      </c>
      <c r="H2368" t="s">
        <v>928</v>
      </c>
      <c r="I2368" t="s">
        <v>6063</v>
      </c>
      <c r="J2368" t="s">
        <v>8308</v>
      </c>
      <c r="K2368" t="s">
        <v>9300</v>
      </c>
    </row>
    <row r="2369" spans="1:11" x14ac:dyDescent="0.4">
      <c r="A2369" t="s">
        <v>3911</v>
      </c>
      <c r="B2369">
        <v>0</v>
      </c>
      <c r="C2369" t="s">
        <v>6587</v>
      </c>
      <c r="D2369">
        <v>1</v>
      </c>
      <c r="E2369">
        <v>-1.32</v>
      </c>
      <c r="F2369">
        <v>0</v>
      </c>
      <c r="G2369">
        <v>2024</v>
      </c>
      <c r="H2369" t="s">
        <v>928</v>
      </c>
      <c r="I2369" t="s">
        <v>6063</v>
      </c>
      <c r="J2369" t="s">
        <v>8309</v>
      </c>
      <c r="K2369" t="s">
        <v>9193</v>
      </c>
    </row>
    <row r="2370" spans="1:11" x14ac:dyDescent="0.4">
      <c r="A2370" t="s">
        <v>2218</v>
      </c>
      <c r="B2370">
        <v>100</v>
      </c>
      <c r="C2370" t="s">
        <v>1380</v>
      </c>
      <c r="D2370">
        <v>5</v>
      </c>
      <c r="E2370">
        <v>0.74199999999999999</v>
      </c>
      <c r="F2370">
        <v>1</v>
      </c>
      <c r="G2370">
        <v>2024</v>
      </c>
      <c r="H2370" t="s">
        <v>928</v>
      </c>
      <c r="I2370" t="s">
        <v>6063</v>
      </c>
      <c r="J2370" t="s">
        <v>8310</v>
      </c>
      <c r="K2370" t="s">
        <v>6835</v>
      </c>
    </row>
    <row r="2371" spans="1:11" x14ac:dyDescent="0.4">
      <c r="A2371" t="s">
        <v>2222</v>
      </c>
      <c r="B2371">
        <v>100</v>
      </c>
      <c r="C2371" t="s">
        <v>1380</v>
      </c>
      <c r="D2371">
        <v>5</v>
      </c>
      <c r="E2371">
        <v>0.74199999999999999</v>
      </c>
      <c r="F2371">
        <v>1</v>
      </c>
      <c r="G2371">
        <v>2024</v>
      </c>
      <c r="H2371" t="s">
        <v>928</v>
      </c>
      <c r="I2371" t="s">
        <v>6063</v>
      </c>
      <c r="J2371" t="s">
        <v>8311</v>
      </c>
      <c r="K2371" t="s">
        <v>8991</v>
      </c>
    </row>
    <row r="2372" spans="1:11" x14ac:dyDescent="0.4">
      <c r="A2372" t="s">
        <v>3894</v>
      </c>
      <c r="B2372">
        <v>100</v>
      </c>
      <c r="C2372" t="s">
        <v>1380</v>
      </c>
      <c r="D2372">
        <v>5</v>
      </c>
      <c r="E2372">
        <v>0.74199999999999999</v>
      </c>
      <c r="F2372">
        <v>1</v>
      </c>
      <c r="G2372">
        <v>2024</v>
      </c>
      <c r="H2372" t="s">
        <v>928</v>
      </c>
      <c r="I2372" t="s">
        <v>6063</v>
      </c>
      <c r="J2372" t="s">
        <v>8312</v>
      </c>
      <c r="K2372" t="s">
        <v>6836</v>
      </c>
    </row>
    <row r="2373" spans="1:11" x14ac:dyDescent="0.4">
      <c r="A2373" t="s">
        <v>3900</v>
      </c>
      <c r="B2373">
        <v>0</v>
      </c>
      <c r="C2373" t="s">
        <v>6587</v>
      </c>
      <c r="D2373">
        <v>1</v>
      </c>
      <c r="E2373">
        <v>-1.32</v>
      </c>
      <c r="F2373">
        <v>0</v>
      </c>
      <c r="G2373">
        <v>2024</v>
      </c>
      <c r="H2373" t="s">
        <v>928</v>
      </c>
      <c r="I2373" t="s">
        <v>6063</v>
      </c>
      <c r="J2373" t="s">
        <v>8313</v>
      </c>
      <c r="K2373" t="s">
        <v>9301</v>
      </c>
    </row>
    <row r="2374" spans="1:11" x14ac:dyDescent="0.4">
      <c r="A2374" t="s">
        <v>3881</v>
      </c>
      <c r="B2374">
        <v>0</v>
      </c>
      <c r="C2374" t="s">
        <v>6587</v>
      </c>
      <c r="D2374">
        <v>1</v>
      </c>
      <c r="E2374">
        <v>-1.32</v>
      </c>
      <c r="F2374">
        <v>0</v>
      </c>
      <c r="G2374">
        <v>2024</v>
      </c>
      <c r="H2374" t="s">
        <v>928</v>
      </c>
      <c r="I2374" t="s">
        <v>6063</v>
      </c>
      <c r="J2374" t="s">
        <v>8314</v>
      </c>
      <c r="K2374" t="s">
        <v>9302</v>
      </c>
    </row>
    <row r="2375" spans="1:11" x14ac:dyDescent="0.4">
      <c r="A2375" t="s">
        <v>5869</v>
      </c>
      <c r="B2375">
        <v>100</v>
      </c>
      <c r="C2375" t="s">
        <v>1380</v>
      </c>
      <c r="D2375">
        <v>5</v>
      </c>
      <c r="E2375">
        <v>0.74199999999999999</v>
      </c>
      <c r="F2375">
        <v>1</v>
      </c>
      <c r="G2375">
        <v>2024</v>
      </c>
      <c r="H2375" t="s">
        <v>928</v>
      </c>
      <c r="I2375" t="s">
        <v>6063</v>
      </c>
      <c r="J2375" t="s">
        <v>8315</v>
      </c>
      <c r="K2375" t="s">
        <v>9303</v>
      </c>
    </row>
    <row r="2376" spans="1:11" x14ac:dyDescent="0.4">
      <c r="A2376" t="s">
        <v>3904</v>
      </c>
      <c r="B2376">
        <v>100</v>
      </c>
      <c r="C2376" t="s">
        <v>1380</v>
      </c>
      <c r="D2376">
        <v>5</v>
      </c>
      <c r="E2376">
        <v>0.74199999999999999</v>
      </c>
      <c r="F2376">
        <v>1</v>
      </c>
      <c r="G2376">
        <v>2024</v>
      </c>
      <c r="H2376" t="s">
        <v>928</v>
      </c>
      <c r="I2376" t="s">
        <v>6063</v>
      </c>
      <c r="J2376" t="s">
        <v>8316</v>
      </c>
      <c r="K2376" t="s">
        <v>8317</v>
      </c>
    </row>
    <row r="2377" spans="1:11" x14ac:dyDescent="0.4">
      <c r="A2377" t="s">
        <v>5870</v>
      </c>
      <c r="B2377">
        <v>0</v>
      </c>
      <c r="C2377" t="s">
        <v>6587</v>
      </c>
      <c r="D2377">
        <v>1</v>
      </c>
      <c r="E2377">
        <v>-1.32</v>
      </c>
      <c r="F2377">
        <v>0</v>
      </c>
      <c r="G2377">
        <v>2024</v>
      </c>
      <c r="H2377" t="s">
        <v>928</v>
      </c>
      <c r="I2377" t="s">
        <v>6063</v>
      </c>
      <c r="J2377" t="s">
        <v>8318</v>
      </c>
      <c r="K2377" t="s">
        <v>9304</v>
      </c>
    </row>
    <row r="2378" spans="1:11" x14ac:dyDescent="0.4">
      <c r="A2378" t="s">
        <v>3912</v>
      </c>
      <c r="B2378">
        <v>100</v>
      </c>
      <c r="C2378" t="s">
        <v>1380</v>
      </c>
      <c r="D2378">
        <v>5</v>
      </c>
      <c r="E2378">
        <v>0.74199999999999999</v>
      </c>
      <c r="F2378">
        <v>1</v>
      </c>
      <c r="G2378">
        <v>2024</v>
      </c>
      <c r="H2378" t="s">
        <v>928</v>
      </c>
      <c r="I2378" t="s">
        <v>6063</v>
      </c>
      <c r="J2378" t="s">
        <v>8319</v>
      </c>
      <c r="K2378" t="s">
        <v>9305</v>
      </c>
    </row>
    <row r="2379" spans="1:11" x14ac:dyDescent="0.4">
      <c r="A2379" t="s">
        <v>3887</v>
      </c>
      <c r="B2379">
        <v>0</v>
      </c>
      <c r="C2379" t="s">
        <v>6587</v>
      </c>
      <c r="D2379">
        <v>1</v>
      </c>
      <c r="E2379">
        <v>-1.32</v>
      </c>
      <c r="F2379">
        <v>0</v>
      </c>
      <c r="G2379">
        <v>2024</v>
      </c>
      <c r="H2379" t="s">
        <v>928</v>
      </c>
      <c r="I2379" t="s">
        <v>6063</v>
      </c>
      <c r="J2379" t="s">
        <v>8320</v>
      </c>
      <c r="K2379" t="s">
        <v>9171</v>
      </c>
    </row>
    <row r="2380" spans="1:11" x14ac:dyDescent="0.4">
      <c r="A2380" t="s">
        <v>3891</v>
      </c>
      <c r="B2380">
        <v>0</v>
      </c>
      <c r="C2380" t="s">
        <v>6587</v>
      </c>
      <c r="D2380">
        <v>1</v>
      </c>
      <c r="E2380">
        <v>-1.32</v>
      </c>
      <c r="F2380">
        <v>0</v>
      </c>
      <c r="G2380">
        <v>2024</v>
      </c>
      <c r="H2380" t="s">
        <v>928</v>
      </c>
      <c r="I2380" t="s">
        <v>6063</v>
      </c>
      <c r="J2380" t="s">
        <v>8321</v>
      </c>
      <c r="K2380" t="s">
        <v>6837</v>
      </c>
    </row>
    <row r="2381" spans="1:11" x14ac:dyDescent="0.4">
      <c r="A2381" t="s">
        <v>3885</v>
      </c>
      <c r="B2381">
        <v>100</v>
      </c>
      <c r="C2381" t="s">
        <v>1380</v>
      </c>
      <c r="D2381">
        <v>5</v>
      </c>
      <c r="E2381">
        <v>0.74199999999999999</v>
      </c>
      <c r="F2381">
        <v>1</v>
      </c>
      <c r="G2381">
        <v>2024</v>
      </c>
      <c r="H2381" t="s">
        <v>928</v>
      </c>
      <c r="I2381" t="s">
        <v>6063</v>
      </c>
      <c r="J2381" t="s">
        <v>8322</v>
      </c>
      <c r="K2381" t="s">
        <v>8323</v>
      </c>
    </row>
    <row r="2382" spans="1:11" x14ac:dyDescent="0.4">
      <c r="A2382" t="s">
        <v>5871</v>
      </c>
      <c r="B2382">
        <v>0</v>
      </c>
      <c r="C2382" t="s">
        <v>6587</v>
      </c>
      <c r="D2382">
        <v>1</v>
      </c>
      <c r="E2382">
        <v>-1.32</v>
      </c>
      <c r="F2382">
        <v>0</v>
      </c>
      <c r="G2382">
        <v>2024</v>
      </c>
      <c r="H2382" t="s">
        <v>928</v>
      </c>
      <c r="I2382" t="s">
        <v>6063</v>
      </c>
      <c r="J2382" t="s">
        <v>8324</v>
      </c>
      <c r="K2382" t="s">
        <v>8325</v>
      </c>
    </row>
    <row r="2383" spans="1:11" x14ac:dyDescent="0.4">
      <c r="A2383" t="s">
        <v>3905</v>
      </c>
      <c r="B2383">
        <v>100</v>
      </c>
      <c r="C2383" t="s">
        <v>1380</v>
      </c>
      <c r="D2383">
        <v>5</v>
      </c>
      <c r="E2383">
        <v>0.74199999999999999</v>
      </c>
      <c r="F2383">
        <v>1</v>
      </c>
      <c r="G2383">
        <v>2024</v>
      </c>
      <c r="H2383" t="s">
        <v>928</v>
      </c>
      <c r="I2383" t="s">
        <v>6063</v>
      </c>
      <c r="J2383" t="s">
        <v>6838</v>
      </c>
      <c r="K2383" t="s">
        <v>8326</v>
      </c>
    </row>
    <row r="2384" spans="1:11" x14ac:dyDescent="0.4">
      <c r="A2384" t="s">
        <v>2219</v>
      </c>
      <c r="B2384">
        <v>100</v>
      </c>
      <c r="C2384" t="s">
        <v>1380</v>
      </c>
      <c r="D2384">
        <v>5</v>
      </c>
      <c r="E2384">
        <v>0.74199999999999999</v>
      </c>
      <c r="F2384">
        <v>1</v>
      </c>
      <c r="G2384">
        <v>2024</v>
      </c>
      <c r="H2384" t="s">
        <v>928</v>
      </c>
      <c r="I2384" t="s">
        <v>6063</v>
      </c>
      <c r="J2384" t="s">
        <v>8327</v>
      </c>
      <c r="K2384" t="s">
        <v>6829</v>
      </c>
    </row>
    <row r="2385" spans="1:11" x14ac:dyDescent="0.4">
      <c r="A2385" t="s">
        <v>2220</v>
      </c>
      <c r="B2385">
        <v>100</v>
      </c>
      <c r="C2385" t="s">
        <v>1380</v>
      </c>
      <c r="D2385">
        <v>5</v>
      </c>
      <c r="E2385">
        <v>0.74199999999999999</v>
      </c>
      <c r="F2385">
        <v>1</v>
      </c>
      <c r="G2385">
        <v>2024</v>
      </c>
      <c r="H2385" t="s">
        <v>928</v>
      </c>
      <c r="I2385" t="s">
        <v>6063</v>
      </c>
      <c r="J2385" t="s">
        <v>8328</v>
      </c>
      <c r="K2385" t="s">
        <v>6839</v>
      </c>
    </row>
    <row r="2386" spans="1:11" x14ac:dyDescent="0.4">
      <c r="A2386" t="s">
        <v>3908</v>
      </c>
      <c r="B2386">
        <v>100</v>
      </c>
      <c r="C2386" t="s">
        <v>1380</v>
      </c>
      <c r="D2386">
        <v>5</v>
      </c>
      <c r="E2386">
        <v>0.74199999999999999</v>
      </c>
      <c r="F2386">
        <v>1</v>
      </c>
      <c r="G2386">
        <v>2024</v>
      </c>
      <c r="H2386" t="s">
        <v>928</v>
      </c>
      <c r="I2386" t="s">
        <v>6063</v>
      </c>
      <c r="J2386" t="s">
        <v>8329</v>
      </c>
      <c r="K2386" t="s">
        <v>6840</v>
      </c>
    </row>
    <row r="2387" spans="1:11" x14ac:dyDescent="0.4">
      <c r="A2387" t="s">
        <v>2221</v>
      </c>
      <c r="B2387">
        <v>100</v>
      </c>
      <c r="C2387" t="s">
        <v>1380</v>
      </c>
      <c r="D2387">
        <v>5</v>
      </c>
      <c r="E2387">
        <v>0.74199999999999999</v>
      </c>
      <c r="F2387">
        <v>1</v>
      </c>
      <c r="G2387">
        <v>2024</v>
      </c>
      <c r="H2387" t="s">
        <v>928</v>
      </c>
      <c r="I2387" t="s">
        <v>6063</v>
      </c>
      <c r="J2387" t="s">
        <v>8330</v>
      </c>
      <c r="K2387" t="s">
        <v>9306</v>
      </c>
    </row>
    <row r="2388" spans="1:11" x14ac:dyDescent="0.4">
      <c r="A2388" t="s">
        <v>3883</v>
      </c>
      <c r="B2388">
        <v>100</v>
      </c>
      <c r="C2388" t="s">
        <v>1380</v>
      </c>
      <c r="D2388">
        <v>5</v>
      </c>
      <c r="E2388">
        <v>0.74199999999999999</v>
      </c>
      <c r="F2388">
        <v>1</v>
      </c>
      <c r="G2388">
        <v>2024</v>
      </c>
      <c r="H2388" t="s">
        <v>928</v>
      </c>
      <c r="I2388" t="s">
        <v>6063</v>
      </c>
      <c r="J2388" t="s">
        <v>8331</v>
      </c>
      <c r="K2388" t="s">
        <v>8049</v>
      </c>
    </row>
    <row r="2389" spans="1:11" x14ac:dyDescent="0.4">
      <c r="A2389" t="s">
        <v>3897</v>
      </c>
      <c r="B2389">
        <v>100</v>
      </c>
      <c r="C2389" t="s">
        <v>1380</v>
      </c>
      <c r="D2389">
        <v>5</v>
      </c>
      <c r="E2389">
        <v>0.74199999999999999</v>
      </c>
      <c r="F2389">
        <v>1</v>
      </c>
      <c r="G2389">
        <v>2024</v>
      </c>
      <c r="H2389" t="s">
        <v>928</v>
      </c>
      <c r="I2389" t="s">
        <v>6063</v>
      </c>
      <c r="J2389" t="s">
        <v>8332</v>
      </c>
      <c r="K2389" t="s">
        <v>6806</v>
      </c>
    </row>
    <row r="2390" spans="1:11" x14ac:dyDescent="0.4">
      <c r="A2390" t="s">
        <v>3907</v>
      </c>
      <c r="B2390">
        <v>100</v>
      </c>
      <c r="C2390" t="s">
        <v>1380</v>
      </c>
      <c r="D2390">
        <v>5</v>
      </c>
      <c r="E2390">
        <v>0.74199999999999999</v>
      </c>
      <c r="F2390">
        <v>1</v>
      </c>
      <c r="G2390">
        <v>2024</v>
      </c>
      <c r="H2390" t="s">
        <v>928</v>
      </c>
      <c r="I2390" t="s">
        <v>6063</v>
      </c>
      <c r="J2390" t="s">
        <v>8333</v>
      </c>
      <c r="K2390" t="s">
        <v>6841</v>
      </c>
    </row>
    <row r="2391" spans="1:11" x14ac:dyDescent="0.4">
      <c r="A2391" t="s">
        <v>3898</v>
      </c>
      <c r="B2391">
        <v>100</v>
      </c>
      <c r="C2391" t="s">
        <v>1380</v>
      </c>
      <c r="D2391">
        <v>5</v>
      </c>
      <c r="E2391">
        <v>0.74199999999999999</v>
      </c>
      <c r="F2391">
        <v>1</v>
      </c>
      <c r="G2391">
        <v>2024</v>
      </c>
      <c r="H2391" t="s">
        <v>928</v>
      </c>
      <c r="I2391" t="s">
        <v>6063</v>
      </c>
      <c r="J2391" t="s">
        <v>8334</v>
      </c>
      <c r="K2391" t="s">
        <v>8335</v>
      </c>
    </row>
    <row r="2392" spans="1:11" x14ac:dyDescent="0.4">
      <c r="A2392" t="s">
        <v>2225</v>
      </c>
      <c r="B2392">
        <v>64</v>
      </c>
      <c r="C2392" t="s">
        <v>197</v>
      </c>
      <c r="D2392">
        <v>4</v>
      </c>
    </row>
    <row r="2393" spans="1:11" x14ac:dyDescent="0.4">
      <c r="A2393" t="s">
        <v>2226</v>
      </c>
      <c r="B2393">
        <v>20</v>
      </c>
      <c r="C2393" t="s">
        <v>197</v>
      </c>
      <c r="D2393">
        <v>2</v>
      </c>
    </row>
    <row r="2394" spans="1:11" x14ac:dyDescent="0.4">
      <c r="A2394" t="s">
        <v>2227</v>
      </c>
      <c r="B2394">
        <v>85.7</v>
      </c>
      <c r="C2394" t="s">
        <v>197</v>
      </c>
      <c r="D2394">
        <v>5</v>
      </c>
    </row>
    <row r="2395" spans="1:11" x14ac:dyDescent="0.4">
      <c r="A2395" t="s">
        <v>2228</v>
      </c>
      <c r="B2395">
        <v>25</v>
      </c>
      <c r="C2395" t="s">
        <v>197</v>
      </c>
      <c r="D2395">
        <v>2</v>
      </c>
    </row>
    <row r="2396" spans="1:11" x14ac:dyDescent="0.4">
      <c r="A2396" t="s">
        <v>2229</v>
      </c>
      <c r="B2396">
        <v>70</v>
      </c>
      <c r="C2396" t="s">
        <v>197</v>
      </c>
      <c r="D2396">
        <v>4</v>
      </c>
    </row>
    <row r="2397" spans="1:11" x14ac:dyDescent="0.4">
      <c r="A2397" t="s">
        <v>2590</v>
      </c>
      <c r="B2397">
        <v>40</v>
      </c>
      <c r="C2397" t="s">
        <v>197</v>
      </c>
      <c r="D2397">
        <v>3</v>
      </c>
    </row>
    <row r="2398" spans="1:11" x14ac:dyDescent="0.4">
      <c r="A2398" t="s">
        <v>2591</v>
      </c>
      <c r="B2398">
        <v>92.9</v>
      </c>
      <c r="C2398" t="s">
        <v>197</v>
      </c>
      <c r="D2398">
        <v>5</v>
      </c>
    </row>
    <row r="2399" spans="1:11" x14ac:dyDescent="0.4">
      <c r="A2399" t="s">
        <v>7372</v>
      </c>
      <c r="B2399">
        <v>25</v>
      </c>
      <c r="C2399" t="s">
        <v>197</v>
      </c>
      <c r="D2399">
        <v>2</v>
      </c>
    </row>
    <row r="2400" spans="1:11" x14ac:dyDescent="0.4">
      <c r="A2400" t="s">
        <v>7373</v>
      </c>
      <c r="B2400">
        <v>81.8</v>
      </c>
      <c r="C2400" t="s">
        <v>197</v>
      </c>
      <c r="D2400">
        <v>5</v>
      </c>
    </row>
    <row r="2401" spans="1:5" x14ac:dyDescent="0.4">
      <c r="A2401" t="s">
        <v>7374</v>
      </c>
      <c r="B2401">
        <v>82.6</v>
      </c>
      <c r="C2401" t="s">
        <v>197</v>
      </c>
      <c r="D2401">
        <v>5</v>
      </c>
    </row>
    <row r="2402" spans="1:5" x14ac:dyDescent="0.4">
      <c r="A2402" t="s">
        <v>4407</v>
      </c>
      <c r="B2402">
        <v>94.6</v>
      </c>
      <c r="C2402" t="s">
        <v>2479</v>
      </c>
      <c r="D2402">
        <v>5</v>
      </c>
      <c r="E2402">
        <v>1.387</v>
      </c>
    </row>
    <row r="2403" spans="1:5" x14ac:dyDescent="0.4">
      <c r="A2403" t="s">
        <v>4405</v>
      </c>
      <c r="B2403">
        <v>21.2</v>
      </c>
      <c r="C2403" t="s">
        <v>6036</v>
      </c>
      <c r="D2403">
        <v>2</v>
      </c>
      <c r="E2403">
        <v>-1.825</v>
      </c>
    </row>
    <row r="2404" spans="1:5" x14ac:dyDescent="0.4">
      <c r="A2404" t="s">
        <v>4411</v>
      </c>
      <c r="B2404">
        <v>63.8</v>
      </c>
      <c r="C2404" t="s">
        <v>6587</v>
      </c>
      <c r="D2404">
        <v>4</v>
      </c>
      <c r="E2404">
        <v>3.9E-2</v>
      </c>
    </row>
    <row r="2405" spans="1:5" x14ac:dyDescent="0.4">
      <c r="A2405" t="s">
        <v>4435</v>
      </c>
      <c r="B2405">
        <v>66.3</v>
      </c>
      <c r="C2405" t="s">
        <v>5735</v>
      </c>
      <c r="D2405">
        <v>4</v>
      </c>
      <c r="E2405">
        <v>0.14899999999999999</v>
      </c>
    </row>
    <row r="2406" spans="1:5" x14ac:dyDescent="0.4">
      <c r="A2406" t="s">
        <v>2440</v>
      </c>
      <c r="B2406">
        <v>77.2</v>
      </c>
      <c r="C2406" t="s">
        <v>5692</v>
      </c>
      <c r="D2406">
        <v>4</v>
      </c>
      <c r="E2406">
        <v>0.626</v>
      </c>
    </row>
    <row r="2407" spans="1:5" x14ac:dyDescent="0.4">
      <c r="A2407" t="s">
        <v>4431</v>
      </c>
      <c r="B2407">
        <v>81.3</v>
      </c>
      <c r="C2407" t="s">
        <v>6856</v>
      </c>
      <c r="D2407">
        <v>5</v>
      </c>
      <c r="E2407">
        <v>0.80500000000000005</v>
      </c>
    </row>
    <row r="2408" spans="1:5" x14ac:dyDescent="0.4">
      <c r="A2408" t="s">
        <v>4415</v>
      </c>
      <c r="B2408">
        <v>73.099999999999994</v>
      </c>
      <c r="C2408" t="s">
        <v>6580</v>
      </c>
      <c r="D2408">
        <v>4</v>
      </c>
      <c r="E2408">
        <v>0.44600000000000001</v>
      </c>
    </row>
    <row r="2409" spans="1:5" x14ac:dyDescent="0.4">
      <c r="A2409" t="s">
        <v>4409</v>
      </c>
      <c r="B2409">
        <v>70.099999999999994</v>
      </c>
      <c r="C2409" t="s">
        <v>5729</v>
      </c>
      <c r="D2409">
        <v>4</v>
      </c>
      <c r="E2409">
        <v>0.315</v>
      </c>
    </row>
    <row r="2410" spans="1:5" x14ac:dyDescent="0.4">
      <c r="A2410" t="s">
        <v>4421</v>
      </c>
      <c r="B2410">
        <v>68.900000000000006</v>
      </c>
      <c r="C2410" t="s">
        <v>5703</v>
      </c>
      <c r="D2410">
        <v>4</v>
      </c>
      <c r="E2410">
        <v>0.26300000000000001</v>
      </c>
    </row>
    <row r="2411" spans="1:5" x14ac:dyDescent="0.4">
      <c r="A2411" t="s">
        <v>4413</v>
      </c>
      <c r="B2411">
        <v>63.3</v>
      </c>
      <c r="C2411" t="s">
        <v>5702</v>
      </c>
      <c r="D2411">
        <v>4</v>
      </c>
      <c r="E2411">
        <v>1.7999999999999999E-2</v>
      </c>
    </row>
    <row r="2412" spans="1:5" x14ac:dyDescent="0.4">
      <c r="A2412" t="s">
        <v>5988</v>
      </c>
      <c r="B2412">
        <v>80.599999999999994</v>
      </c>
      <c r="C2412" t="s">
        <v>5701</v>
      </c>
      <c r="D2412">
        <v>5</v>
      </c>
      <c r="E2412">
        <v>0.77500000000000002</v>
      </c>
    </row>
    <row r="2413" spans="1:5" x14ac:dyDescent="0.4">
      <c r="A2413" t="s">
        <v>4427</v>
      </c>
      <c r="B2413">
        <v>85.3</v>
      </c>
      <c r="C2413" t="s">
        <v>6593</v>
      </c>
      <c r="D2413">
        <v>5</v>
      </c>
      <c r="E2413">
        <v>0.98</v>
      </c>
    </row>
    <row r="2414" spans="1:5" x14ac:dyDescent="0.4">
      <c r="A2414" t="s">
        <v>2441</v>
      </c>
      <c r="B2414">
        <v>36.5</v>
      </c>
      <c r="C2414" t="s">
        <v>5716</v>
      </c>
      <c r="D2414">
        <v>2</v>
      </c>
      <c r="E2414">
        <v>-1.155</v>
      </c>
    </row>
    <row r="2415" spans="1:5" x14ac:dyDescent="0.4">
      <c r="A2415" t="s">
        <v>2450</v>
      </c>
      <c r="B2415">
        <v>64.3</v>
      </c>
      <c r="C2415" t="s">
        <v>5733</v>
      </c>
      <c r="D2415">
        <v>4</v>
      </c>
      <c r="E2415">
        <v>6.0999999999999999E-2</v>
      </c>
    </row>
    <row r="2416" spans="1:5" x14ac:dyDescent="0.4">
      <c r="A2416" t="s">
        <v>4420</v>
      </c>
      <c r="B2416">
        <v>72.400000000000006</v>
      </c>
      <c r="C2416" t="s">
        <v>6579</v>
      </c>
      <c r="D2416">
        <v>4</v>
      </c>
      <c r="E2416">
        <v>0.41599999999999998</v>
      </c>
    </row>
    <row r="2417" spans="1:5" x14ac:dyDescent="0.4">
      <c r="A2417" t="s">
        <v>4434</v>
      </c>
      <c r="B2417">
        <v>90.9</v>
      </c>
      <c r="C2417" t="s">
        <v>2478</v>
      </c>
      <c r="D2417">
        <v>5</v>
      </c>
      <c r="E2417">
        <v>1.2250000000000001</v>
      </c>
    </row>
    <row r="2418" spans="1:5" x14ac:dyDescent="0.4">
      <c r="A2418" t="s">
        <v>2442</v>
      </c>
      <c r="B2418">
        <v>71.8</v>
      </c>
      <c r="C2418" t="s">
        <v>6034</v>
      </c>
      <c r="D2418">
        <v>4</v>
      </c>
      <c r="E2418">
        <v>0.38900000000000001</v>
      </c>
    </row>
    <row r="2419" spans="1:5" x14ac:dyDescent="0.4">
      <c r="A2419" t="s">
        <v>2449</v>
      </c>
      <c r="B2419">
        <v>66.2</v>
      </c>
      <c r="C2419" t="s">
        <v>5727</v>
      </c>
      <c r="D2419">
        <v>4</v>
      </c>
      <c r="E2419">
        <v>0.14399999999999999</v>
      </c>
    </row>
    <row r="2420" spans="1:5" x14ac:dyDescent="0.4">
      <c r="A2420" t="s">
        <v>2443</v>
      </c>
      <c r="B2420">
        <v>81</v>
      </c>
      <c r="C2420" t="s">
        <v>5696</v>
      </c>
      <c r="D2420">
        <v>5</v>
      </c>
      <c r="E2420">
        <v>0.79200000000000004</v>
      </c>
    </row>
    <row r="2421" spans="1:5" x14ac:dyDescent="0.4">
      <c r="A2421" t="s">
        <v>4404</v>
      </c>
      <c r="B2421">
        <v>22.5</v>
      </c>
      <c r="C2421" t="s">
        <v>6037</v>
      </c>
      <c r="D2421">
        <v>2</v>
      </c>
      <c r="E2421">
        <v>-1.768</v>
      </c>
    </row>
    <row r="2422" spans="1:5" x14ac:dyDescent="0.4">
      <c r="A2422" t="s">
        <v>4424</v>
      </c>
      <c r="B2422">
        <v>22.6</v>
      </c>
      <c r="C2422" t="s">
        <v>5710</v>
      </c>
      <c r="D2422">
        <v>2</v>
      </c>
      <c r="E2422">
        <v>-1.764</v>
      </c>
    </row>
    <row r="2423" spans="1:5" x14ac:dyDescent="0.4">
      <c r="A2423" t="s">
        <v>4428</v>
      </c>
      <c r="B2423">
        <v>34.6</v>
      </c>
      <c r="C2423" t="s">
        <v>5713</v>
      </c>
      <c r="D2423">
        <v>2</v>
      </c>
      <c r="E2423">
        <v>-1.238</v>
      </c>
    </row>
    <row r="2424" spans="1:5" x14ac:dyDescent="0.4">
      <c r="A2424" t="s">
        <v>4426</v>
      </c>
      <c r="B2424">
        <v>85.3</v>
      </c>
      <c r="C2424" t="s">
        <v>6593</v>
      </c>
      <c r="D2424">
        <v>5</v>
      </c>
      <c r="E2424">
        <v>0.98</v>
      </c>
    </row>
    <row r="2425" spans="1:5" x14ac:dyDescent="0.4">
      <c r="A2425" t="s">
        <v>4414</v>
      </c>
      <c r="B2425">
        <v>61.1</v>
      </c>
      <c r="C2425" t="s">
        <v>5694</v>
      </c>
      <c r="D2425">
        <v>4</v>
      </c>
      <c r="E2425">
        <v>-7.9000000000000001E-2</v>
      </c>
    </row>
    <row r="2426" spans="1:5" x14ac:dyDescent="0.4">
      <c r="A2426" t="s">
        <v>4403</v>
      </c>
      <c r="B2426">
        <v>82.9</v>
      </c>
      <c r="C2426" t="s">
        <v>2482</v>
      </c>
      <c r="D2426">
        <v>5</v>
      </c>
      <c r="E2426">
        <v>0.875</v>
      </c>
    </row>
    <row r="2427" spans="1:5" x14ac:dyDescent="0.4">
      <c r="A2427" t="s">
        <v>4417</v>
      </c>
      <c r="B2427">
        <v>69.3</v>
      </c>
      <c r="C2427" t="s">
        <v>5700</v>
      </c>
      <c r="D2427">
        <v>4</v>
      </c>
      <c r="E2427">
        <v>0.28000000000000003</v>
      </c>
    </row>
    <row r="2428" spans="1:5" x14ac:dyDescent="0.4">
      <c r="A2428" t="s">
        <v>4418</v>
      </c>
      <c r="B2428">
        <v>75.099999999999994</v>
      </c>
      <c r="C2428" t="s">
        <v>5695</v>
      </c>
      <c r="D2428">
        <v>4</v>
      </c>
      <c r="E2428">
        <v>0.53400000000000003</v>
      </c>
    </row>
    <row r="2429" spans="1:5" x14ac:dyDescent="0.4">
      <c r="A2429" t="s">
        <v>4436</v>
      </c>
      <c r="B2429">
        <v>82.5</v>
      </c>
      <c r="C2429" t="s">
        <v>2484</v>
      </c>
      <c r="D2429">
        <v>5</v>
      </c>
      <c r="E2429">
        <v>0.85799999999999998</v>
      </c>
    </row>
    <row r="2430" spans="1:5" x14ac:dyDescent="0.4">
      <c r="A2430" t="s">
        <v>2444</v>
      </c>
      <c r="B2430">
        <v>68</v>
      </c>
      <c r="C2430" t="s">
        <v>5725</v>
      </c>
      <c r="D2430">
        <v>4</v>
      </c>
      <c r="E2430">
        <v>0.223</v>
      </c>
    </row>
    <row r="2431" spans="1:5" x14ac:dyDescent="0.4">
      <c r="A2431" t="s">
        <v>2448</v>
      </c>
      <c r="B2431">
        <v>13.3</v>
      </c>
      <c r="C2431" t="s">
        <v>6033</v>
      </c>
      <c r="D2431">
        <v>1</v>
      </c>
      <c r="E2431">
        <v>-2.1709999999999998</v>
      </c>
    </row>
    <row r="2432" spans="1:5" x14ac:dyDescent="0.4">
      <c r="A2432" t="s">
        <v>4419</v>
      </c>
      <c r="B2432">
        <v>70.599999999999994</v>
      </c>
      <c r="C2432" t="s">
        <v>5732</v>
      </c>
      <c r="D2432">
        <v>4</v>
      </c>
      <c r="E2432">
        <v>0.33700000000000002</v>
      </c>
    </row>
    <row r="2433" spans="1:5" x14ac:dyDescent="0.4">
      <c r="A2433" t="s">
        <v>4425</v>
      </c>
      <c r="B2433">
        <v>35.299999999999997</v>
      </c>
      <c r="C2433" t="s">
        <v>5708</v>
      </c>
      <c r="D2433">
        <v>2</v>
      </c>
      <c r="E2433">
        <v>-1.208</v>
      </c>
    </row>
    <row r="2434" spans="1:5" x14ac:dyDescent="0.4">
      <c r="A2434" t="s">
        <v>4406</v>
      </c>
      <c r="B2434">
        <v>33.1</v>
      </c>
      <c r="C2434" t="s">
        <v>5712</v>
      </c>
      <c r="D2434">
        <v>2</v>
      </c>
      <c r="E2434">
        <v>-1.304</v>
      </c>
    </row>
    <row r="2435" spans="1:5" x14ac:dyDescent="0.4">
      <c r="A2435" t="s">
        <v>5872</v>
      </c>
      <c r="B2435">
        <v>63.8</v>
      </c>
      <c r="C2435" t="s">
        <v>6587</v>
      </c>
      <c r="D2435">
        <v>4</v>
      </c>
      <c r="E2435">
        <v>3.9E-2</v>
      </c>
    </row>
    <row r="2436" spans="1:5" x14ac:dyDescent="0.4">
      <c r="A2436" t="s">
        <v>4429</v>
      </c>
      <c r="B2436">
        <v>88</v>
      </c>
      <c r="C2436" t="s">
        <v>6591</v>
      </c>
      <c r="D2436">
        <v>5</v>
      </c>
      <c r="E2436">
        <v>1.0980000000000001</v>
      </c>
    </row>
    <row r="2437" spans="1:5" x14ac:dyDescent="0.4">
      <c r="A2437" t="s">
        <v>5873</v>
      </c>
      <c r="B2437">
        <v>32.9</v>
      </c>
      <c r="C2437" t="s">
        <v>5711</v>
      </c>
      <c r="D2437">
        <v>2</v>
      </c>
      <c r="E2437">
        <v>-1.3129999999999999</v>
      </c>
    </row>
    <row r="2438" spans="1:5" x14ac:dyDescent="0.4">
      <c r="A2438" t="s">
        <v>4437</v>
      </c>
      <c r="B2438">
        <v>87.4</v>
      </c>
      <c r="C2438" t="s">
        <v>2476</v>
      </c>
      <c r="D2438">
        <v>5</v>
      </c>
      <c r="E2438">
        <v>1.0720000000000001</v>
      </c>
    </row>
    <row r="2439" spans="1:5" x14ac:dyDescent="0.4">
      <c r="A2439" t="s">
        <v>4412</v>
      </c>
      <c r="B2439">
        <v>14.1</v>
      </c>
      <c r="C2439" t="s">
        <v>6035</v>
      </c>
      <c r="D2439">
        <v>1</v>
      </c>
      <c r="E2439">
        <v>-2.1360000000000001</v>
      </c>
    </row>
    <row r="2440" spans="1:5" x14ac:dyDescent="0.4">
      <c r="A2440" t="s">
        <v>4416</v>
      </c>
      <c r="B2440">
        <v>25.4</v>
      </c>
      <c r="C2440" t="s">
        <v>5697</v>
      </c>
      <c r="D2440">
        <v>2</v>
      </c>
      <c r="E2440">
        <v>-1.641</v>
      </c>
    </row>
    <row r="2441" spans="1:5" x14ac:dyDescent="0.4">
      <c r="A2441" t="s">
        <v>4410</v>
      </c>
      <c r="B2441">
        <v>63.8</v>
      </c>
      <c r="C2441" t="s">
        <v>6587</v>
      </c>
      <c r="D2441">
        <v>4</v>
      </c>
      <c r="E2441">
        <v>3.9E-2</v>
      </c>
    </row>
    <row r="2442" spans="1:5" x14ac:dyDescent="0.4">
      <c r="A2442" t="s">
        <v>5874</v>
      </c>
      <c r="B2442">
        <v>68.5</v>
      </c>
      <c r="C2442" t="s">
        <v>5706</v>
      </c>
      <c r="D2442">
        <v>4</v>
      </c>
      <c r="E2442">
        <v>0.245</v>
      </c>
    </row>
    <row r="2443" spans="1:5" x14ac:dyDescent="0.4">
      <c r="A2443" t="s">
        <v>4430</v>
      </c>
      <c r="B2443">
        <v>82.1</v>
      </c>
      <c r="C2443" t="s">
        <v>2474</v>
      </c>
      <c r="D2443">
        <v>5</v>
      </c>
      <c r="E2443">
        <v>0.84</v>
      </c>
    </row>
    <row r="2444" spans="1:5" x14ac:dyDescent="0.4">
      <c r="A2444" t="s">
        <v>2445</v>
      </c>
      <c r="B2444">
        <v>31.3</v>
      </c>
      <c r="C2444" t="s">
        <v>5728</v>
      </c>
      <c r="D2444">
        <v>2</v>
      </c>
      <c r="E2444">
        <v>-1.383</v>
      </c>
    </row>
    <row r="2445" spans="1:5" x14ac:dyDescent="0.4">
      <c r="A2445" t="s">
        <v>2446</v>
      </c>
      <c r="B2445">
        <v>79.599999999999994</v>
      </c>
      <c r="C2445" t="s">
        <v>5707</v>
      </c>
      <c r="D2445">
        <v>4</v>
      </c>
      <c r="E2445">
        <v>0.73099999999999998</v>
      </c>
    </row>
    <row r="2446" spans="1:5" x14ac:dyDescent="0.4">
      <c r="A2446" t="s">
        <v>4433</v>
      </c>
      <c r="B2446">
        <v>68</v>
      </c>
      <c r="C2446" t="s">
        <v>5725</v>
      </c>
      <c r="D2446">
        <v>4</v>
      </c>
      <c r="E2446">
        <v>0.223</v>
      </c>
    </row>
    <row r="2447" spans="1:5" x14ac:dyDescent="0.4">
      <c r="A2447" t="s">
        <v>2447</v>
      </c>
      <c r="B2447">
        <v>88</v>
      </c>
      <c r="C2447" t="s">
        <v>6591</v>
      </c>
      <c r="D2447">
        <v>5</v>
      </c>
      <c r="E2447">
        <v>1.0980000000000001</v>
      </c>
    </row>
    <row r="2448" spans="1:5" x14ac:dyDescent="0.4">
      <c r="A2448" t="s">
        <v>4408</v>
      </c>
      <c r="B2448">
        <v>70.400000000000006</v>
      </c>
      <c r="C2448" t="s">
        <v>5731</v>
      </c>
      <c r="D2448">
        <v>4</v>
      </c>
      <c r="E2448">
        <v>0.32800000000000001</v>
      </c>
    </row>
    <row r="2449" spans="1:12" x14ac:dyDescent="0.4">
      <c r="A2449" t="s">
        <v>4422</v>
      </c>
      <c r="B2449">
        <v>77.5</v>
      </c>
      <c r="C2449" t="s">
        <v>5705</v>
      </c>
      <c r="D2449">
        <v>4</v>
      </c>
      <c r="E2449">
        <v>0.63900000000000001</v>
      </c>
    </row>
    <row r="2450" spans="1:12" x14ac:dyDescent="0.4">
      <c r="A2450" t="s">
        <v>4432</v>
      </c>
      <c r="B2450">
        <v>81.3</v>
      </c>
      <c r="C2450" t="s">
        <v>6856</v>
      </c>
      <c r="D2450">
        <v>5</v>
      </c>
      <c r="E2450">
        <v>0.80500000000000005</v>
      </c>
    </row>
    <row r="2451" spans="1:12" x14ac:dyDescent="0.4">
      <c r="A2451" t="s">
        <v>4423</v>
      </c>
      <c r="B2451">
        <v>36.5</v>
      </c>
      <c r="C2451" t="s">
        <v>5716</v>
      </c>
      <c r="D2451">
        <v>2</v>
      </c>
      <c r="E2451">
        <v>-1.155</v>
      </c>
    </row>
    <row r="2452" spans="1:12" x14ac:dyDescent="0.4">
      <c r="A2452" t="s">
        <v>1456</v>
      </c>
      <c r="B2452">
        <v>62.9</v>
      </c>
      <c r="C2452" t="s">
        <v>197</v>
      </c>
      <c r="D2452">
        <v>4</v>
      </c>
    </row>
    <row r="2453" spans="1:12" x14ac:dyDescent="0.4">
      <c r="A2453" t="s">
        <v>1457</v>
      </c>
      <c r="B2453">
        <v>50.9</v>
      </c>
      <c r="C2453" t="s">
        <v>197</v>
      </c>
      <c r="D2453">
        <v>3</v>
      </c>
    </row>
    <row r="2454" spans="1:12" x14ac:dyDescent="0.4">
      <c r="A2454" t="s">
        <v>1595</v>
      </c>
      <c r="B2454">
        <v>59.1</v>
      </c>
      <c r="C2454" t="s">
        <v>197</v>
      </c>
      <c r="D2454">
        <v>3</v>
      </c>
    </row>
    <row r="2455" spans="1:12" x14ac:dyDescent="0.4">
      <c r="A2455" t="s">
        <v>1701</v>
      </c>
      <c r="B2455">
        <v>50.7</v>
      </c>
      <c r="C2455" t="s">
        <v>197</v>
      </c>
      <c r="D2455">
        <v>3</v>
      </c>
    </row>
    <row r="2456" spans="1:12" x14ac:dyDescent="0.4">
      <c r="A2456" t="s">
        <v>1702</v>
      </c>
      <c r="B2456">
        <v>63.1</v>
      </c>
      <c r="C2456" t="s">
        <v>197</v>
      </c>
      <c r="D2456">
        <v>4</v>
      </c>
    </row>
    <row r="2457" spans="1:12" x14ac:dyDescent="0.4">
      <c r="A2457" t="s">
        <v>2620</v>
      </c>
      <c r="B2457">
        <v>57.5</v>
      </c>
      <c r="C2457" t="s">
        <v>197</v>
      </c>
      <c r="D2457">
        <v>3</v>
      </c>
    </row>
    <row r="2458" spans="1:12" x14ac:dyDescent="0.4">
      <c r="A2458" t="s">
        <v>2621</v>
      </c>
      <c r="B2458">
        <v>76.2</v>
      </c>
      <c r="C2458" t="s">
        <v>197</v>
      </c>
      <c r="D2458">
        <v>4</v>
      </c>
    </row>
    <row r="2459" spans="1:12" x14ac:dyDescent="0.4">
      <c r="A2459" t="s">
        <v>7375</v>
      </c>
      <c r="B2459">
        <v>60.8</v>
      </c>
      <c r="C2459" t="s">
        <v>197</v>
      </c>
      <c r="D2459">
        <v>4</v>
      </c>
    </row>
    <row r="2460" spans="1:12" x14ac:dyDescent="0.4">
      <c r="A2460" t="s">
        <v>7376</v>
      </c>
      <c r="B2460">
        <v>60.3</v>
      </c>
      <c r="C2460" t="s">
        <v>197</v>
      </c>
      <c r="D2460">
        <v>4</v>
      </c>
    </row>
    <row r="2461" spans="1:12" x14ac:dyDescent="0.4">
      <c r="A2461" t="s">
        <v>7377</v>
      </c>
      <c r="B2461">
        <v>65.599999999999994</v>
      </c>
      <c r="C2461" t="s">
        <v>197</v>
      </c>
      <c r="D2461">
        <v>4</v>
      </c>
    </row>
    <row r="2462" spans="1:12" x14ac:dyDescent="0.4">
      <c r="A2462" t="s">
        <v>3952</v>
      </c>
      <c r="B2462">
        <v>89.1</v>
      </c>
      <c r="C2462" t="s">
        <v>2479</v>
      </c>
      <c r="D2462">
        <v>5</v>
      </c>
      <c r="E2462">
        <v>2.1179999999999999</v>
      </c>
      <c r="F2462">
        <v>10.87</v>
      </c>
      <c r="G2462">
        <v>2022</v>
      </c>
      <c r="H2462" t="s">
        <v>928</v>
      </c>
      <c r="I2462" t="s">
        <v>6596</v>
      </c>
      <c r="L2462" t="s">
        <v>197</v>
      </c>
    </row>
    <row r="2463" spans="1:12" x14ac:dyDescent="0.4">
      <c r="A2463" t="s">
        <v>3950</v>
      </c>
      <c r="B2463">
        <v>42.4</v>
      </c>
      <c r="C2463" t="s">
        <v>5733</v>
      </c>
      <c r="D2463">
        <v>3</v>
      </c>
      <c r="E2463">
        <v>-0.52700000000000002</v>
      </c>
      <c r="F2463">
        <v>57.62</v>
      </c>
      <c r="G2463">
        <v>2022</v>
      </c>
      <c r="H2463" t="s">
        <v>928</v>
      </c>
      <c r="I2463" t="s">
        <v>6596</v>
      </c>
      <c r="L2463" t="s">
        <v>197</v>
      </c>
    </row>
    <row r="2464" spans="1:12" x14ac:dyDescent="0.4">
      <c r="A2464" t="s">
        <v>3956</v>
      </c>
      <c r="B2464">
        <v>27.6</v>
      </c>
      <c r="C2464" t="s">
        <v>5724</v>
      </c>
      <c r="D2464">
        <v>2</v>
      </c>
      <c r="E2464">
        <v>-1.365</v>
      </c>
      <c r="F2464">
        <v>72.430000000000007</v>
      </c>
      <c r="G2464">
        <v>2022</v>
      </c>
      <c r="H2464" t="s">
        <v>928</v>
      </c>
      <c r="I2464" t="s">
        <v>6596</v>
      </c>
      <c r="L2464" t="s">
        <v>197</v>
      </c>
    </row>
    <row r="2465" spans="1:12" x14ac:dyDescent="0.4">
      <c r="A2465" t="s">
        <v>3980</v>
      </c>
      <c r="B2465">
        <v>32.6</v>
      </c>
      <c r="C2465" t="s">
        <v>5713</v>
      </c>
      <c r="D2465">
        <v>2</v>
      </c>
      <c r="E2465">
        <v>-1.081</v>
      </c>
      <c r="F2465">
        <v>67.44</v>
      </c>
      <c r="G2465">
        <v>2022</v>
      </c>
      <c r="H2465" t="s">
        <v>928</v>
      </c>
      <c r="I2465" t="s">
        <v>6596</v>
      </c>
      <c r="L2465" t="s">
        <v>197</v>
      </c>
    </row>
    <row r="2466" spans="1:12" x14ac:dyDescent="0.4">
      <c r="A2466" t="s">
        <v>2246</v>
      </c>
      <c r="B2466">
        <v>54.3</v>
      </c>
      <c r="C2466" t="s">
        <v>5729</v>
      </c>
      <c r="D2466">
        <v>3</v>
      </c>
      <c r="E2466">
        <v>0.14699999999999999</v>
      </c>
      <c r="F2466">
        <v>45.68</v>
      </c>
      <c r="G2466">
        <v>2022</v>
      </c>
      <c r="H2466" t="s">
        <v>928</v>
      </c>
      <c r="I2466" t="s">
        <v>6596</v>
      </c>
      <c r="L2466" t="s">
        <v>197</v>
      </c>
    </row>
    <row r="2467" spans="1:12" x14ac:dyDescent="0.4">
      <c r="A2467" t="s">
        <v>3976</v>
      </c>
      <c r="B2467">
        <v>62.5</v>
      </c>
      <c r="C2467" t="s">
        <v>6584</v>
      </c>
      <c r="D2467">
        <v>4</v>
      </c>
      <c r="E2467">
        <v>0.61199999999999999</v>
      </c>
      <c r="F2467">
        <v>37.46</v>
      </c>
      <c r="G2467">
        <v>2022</v>
      </c>
      <c r="H2467" t="s">
        <v>928</v>
      </c>
      <c r="I2467" t="s">
        <v>6596</v>
      </c>
      <c r="L2467" t="s">
        <v>197</v>
      </c>
    </row>
    <row r="2468" spans="1:12" x14ac:dyDescent="0.4">
      <c r="A2468" t="s">
        <v>3960</v>
      </c>
      <c r="B2468">
        <v>46.2</v>
      </c>
      <c r="C2468" t="s">
        <v>5706</v>
      </c>
      <c r="D2468">
        <v>3</v>
      </c>
      <c r="E2468">
        <v>-0.311</v>
      </c>
      <c r="F2468">
        <v>53.82</v>
      </c>
      <c r="G2468">
        <v>2022</v>
      </c>
      <c r="H2468" t="s">
        <v>928</v>
      </c>
      <c r="I2468" t="s">
        <v>6596</v>
      </c>
      <c r="L2468" t="s">
        <v>197</v>
      </c>
    </row>
    <row r="2469" spans="1:12" x14ac:dyDescent="0.4">
      <c r="A2469" t="s">
        <v>3954</v>
      </c>
      <c r="B2469">
        <v>40.299999999999997</v>
      </c>
      <c r="C2469" t="s">
        <v>5704</v>
      </c>
      <c r="D2469">
        <v>3</v>
      </c>
      <c r="E2469">
        <v>-0.64500000000000002</v>
      </c>
      <c r="F2469">
        <v>59.72</v>
      </c>
      <c r="G2469">
        <v>2022</v>
      </c>
      <c r="H2469" t="s">
        <v>928</v>
      </c>
      <c r="I2469" t="s">
        <v>6596</v>
      </c>
      <c r="L2469" t="s">
        <v>197</v>
      </c>
    </row>
    <row r="2470" spans="1:12" x14ac:dyDescent="0.4">
      <c r="A2470" t="s">
        <v>3966</v>
      </c>
      <c r="B2470">
        <v>37.799999999999997</v>
      </c>
      <c r="C2470" t="s">
        <v>5694</v>
      </c>
      <c r="D2470">
        <v>2</v>
      </c>
      <c r="E2470">
        <v>-0.78700000000000003</v>
      </c>
      <c r="F2470">
        <v>62.17</v>
      </c>
      <c r="G2470">
        <v>2022</v>
      </c>
      <c r="H2470" t="s">
        <v>928</v>
      </c>
      <c r="I2470" t="s">
        <v>6596</v>
      </c>
      <c r="L2470" t="s">
        <v>197</v>
      </c>
    </row>
    <row r="2471" spans="1:12" x14ac:dyDescent="0.4">
      <c r="A2471" t="s">
        <v>3958</v>
      </c>
      <c r="B2471">
        <v>26.7</v>
      </c>
      <c r="C2471" t="s">
        <v>6036</v>
      </c>
      <c r="D2471">
        <v>2</v>
      </c>
      <c r="E2471">
        <v>-1.4159999999999999</v>
      </c>
      <c r="F2471">
        <v>73.349999999999994</v>
      </c>
      <c r="G2471">
        <v>2022</v>
      </c>
      <c r="H2471" t="s">
        <v>928</v>
      </c>
      <c r="I2471" t="s">
        <v>6596</v>
      </c>
      <c r="L2471" t="s">
        <v>197</v>
      </c>
    </row>
    <row r="2472" spans="1:12" x14ac:dyDescent="0.4">
      <c r="A2472" t="s">
        <v>5989</v>
      </c>
      <c r="B2472">
        <v>61.2</v>
      </c>
      <c r="C2472" t="s">
        <v>6034</v>
      </c>
      <c r="D2472">
        <v>4</v>
      </c>
      <c r="E2472">
        <v>0.53800000000000003</v>
      </c>
      <c r="F2472">
        <v>38.78</v>
      </c>
      <c r="G2472">
        <v>2022</v>
      </c>
      <c r="H2472" t="s">
        <v>928</v>
      </c>
      <c r="I2472" t="s">
        <v>6596</v>
      </c>
      <c r="L2472" t="s">
        <v>197</v>
      </c>
    </row>
    <row r="2473" spans="1:12" x14ac:dyDescent="0.4">
      <c r="A2473" t="s">
        <v>3972</v>
      </c>
      <c r="B2473">
        <v>70.5</v>
      </c>
      <c r="C2473" t="s">
        <v>6581</v>
      </c>
      <c r="D2473">
        <v>4</v>
      </c>
      <c r="E2473">
        <v>1.0640000000000001</v>
      </c>
      <c r="F2473">
        <v>29.48</v>
      </c>
      <c r="G2473">
        <v>2022</v>
      </c>
      <c r="H2473" t="s">
        <v>928</v>
      </c>
      <c r="I2473" t="s">
        <v>6596</v>
      </c>
      <c r="L2473" t="s">
        <v>197</v>
      </c>
    </row>
    <row r="2474" spans="1:12" x14ac:dyDescent="0.4">
      <c r="A2474" t="s">
        <v>2247</v>
      </c>
      <c r="B2474">
        <v>73</v>
      </c>
      <c r="C2474" t="s">
        <v>6593</v>
      </c>
      <c r="D2474">
        <v>4</v>
      </c>
      <c r="E2474">
        <v>1.206</v>
      </c>
      <c r="F2474">
        <v>27.02</v>
      </c>
      <c r="G2474">
        <v>2022</v>
      </c>
      <c r="H2474" t="s">
        <v>928</v>
      </c>
      <c r="I2474" t="s">
        <v>6596</v>
      </c>
      <c r="L2474" t="s">
        <v>197</v>
      </c>
    </row>
    <row r="2475" spans="1:12" x14ac:dyDescent="0.4">
      <c r="A2475" t="s">
        <v>2256</v>
      </c>
      <c r="B2475">
        <v>28.7</v>
      </c>
      <c r="C2475" t="s">
        <v>5711</v>
      </c>
      <c r="D2475">
        <v>2</v>
      </c>
      <c r="E2475">
        <v>-1.302</v>
      </c>
      <c r="F2475">
        <v>71.33</v>
      </c>
      <c r="G2475">
        <v>2022</v>
      </c>
      <c r="H2475" t="s">
        <v>928</v>
      </c>
      <c r="I2475" t="s">
        <v>6596</v>
      </c>
      <c r="L2475" t="s">
        <v>197</v>
      </c>
    </row>
    <row r="2476" spans="1:12" x14ac:dyDescent="0.4">
      <c r="A2476" t="s">
        <v>3965</v>
      </c>
      <c r="B2476">
        <v>44.7</v>
      </c>
      <c r="C2476" t="s">
        <v>5735</v>
      </c>
      <c r="D2476">
        <v>3</v>
      </c>
      <c r="E2476">
        <v>-0.39600000000000002</v>
      </c>
      <c r="F2476">
        <v>55.28</v>
      </c>
      <c r="G2476">
        <v>2022</v>
      </c>
      <c r="H2476" t="s">
        <v>928</v>
      </c>
      <c r="I2476" t="s">
        <v>6596</v>
      </c>
      <c r="L2476" t="s">
        <v>197</v>
      </c>
    </row>
    <row r="2477" spans="1:12" x14ac:dyDescent="0.4">
      <c r="A2477" t="s">
        <v>3979</v>
      </c>
      <c r="B2477">
        <v>81.8</v>
      </c>
      <c r="C2477" t="s">
        <v>2478</v>
      </c>
      <c r="D2477">
        <v>5</v>
      </c>
      <c r="E2477">
        <v>1.704</v>
      </c>
      <c r="F2477">
        <v>18.21</v>
      </c>
      <c r="G2477">
        <v>2022</v>
      </c>
      <c r="H2477" t="s">
        <v>928</v>
      </c>
      <c r="I2477" t="s">
        <v>6596</v>
      </c>
      <c r="L2477" t="s">
        <v>197</v>
      </c>
    </row>
    <row r="2478" spans="1:12" x14ac:dyDescent="0.4">
      <c r="A2478" t="s">
        <v>2248</v>
      </c>
      <c r="B2478">
        <v>43.5</v>
      </c>
      <c r="C2478" t="s">
        <v>5727</v>
      </c>
      <c r="D2478">
        <v>3</v>
      </c>
      <c r="E2478">
        <v>-0.46400000000000002</v>
      </c>
      <c r="F2478">
        <v>56.5</v>
      </c>
      <c r="G2478">
        <v>2022</v>
      </c>
      <c r="H2478" t="s">
        <v>6613</v>
      </c>
      <c r="I2478" t="s">
        <v>6614</v>
      </c>
      <c r="L2478" t="s">
        <v>197</v>
      </c>
    </row>
    <row r="2479" spans="1:12" x14ac:dyDescent="0.4">
      <c r="A2479" t="s">
        <v>2255</v>
      </c>
      <c r="B2479">
        <v>32.4</v>
      </c>
      <c r="C2479" t="s">
        <v>5712</v>
      </c>
      <c r="D2479">
        <v>2</v>
      </c>
      <c r="E2479">
        <v>-1.093</v>
      </c>
      <c r="F2479">
        <v>67.569999999999993</v>
      </c>
      <c r="G2479">
        <v>2022</v>
      </c>
      <c r="H2479" t="s">
        <v>928</v>
      </c>
      <c r="I2479" t="s">
        <v>6596</v>
      </c>
      <c r="L2479" t="s">
        <v>197</v>
      </c>
    </row>
    <row r="2480" spans="1:12" x14ac:dyDescent="0.4">
      <c r="A2480" t="s">
        <v>2249</v>
      </c>
      <c r="B2480">
        <v>61.9</v>
      </c>
      <c r="C2480" t="s">
        <v>6579</v>
      </c>
      <c r="D2480">
        <v>4</v>
      </c>
      <c r="E2480">
        <v>0.57799999999999996</v>
      </c>
      <c r="F2480">
        <v>38.08</v>
      </c>
      <c r="G2480">
        <v>2022</v>
      </c>
      <c r="H2480" t="s">
        <v>928</v>
      </c>
      <c r="I2480" t="s">
        <v>6596</v>
      </c>
      <c r="L2480" t="s">
        <v>197</v>
      </c>
    </row>
    <row r="2481" spans="1:12" x14ac:dyDescent="0.4">
      <c r="A2481" t="s">
        <v>3949</v>
      </c>
      <c r="B2481">
        <v>45</v>
      </c>
      <c r="C2481" t="s">
        <v>5736</v>
      </c>
      <c r="D2481">
        <v>3</v>
      </c>
      <c r="E2481">
        <v>-0.379</v>
      </c>
      <c r="F2481">
        <v>55.05</v>
      </c>
      <c r="G2481">
        <v>2022</v>
      </c>
      <c r="H2481" t="s">
        <v>928</v>
      </c>
      <c r="I2481" t="s">
        <v>6596</v>
      </c>
      <c r="L2481" t="s">
        <v>197</v>
      </c>
    </row>
    <row r="2482" spans="1:12" x14ac:dyDescent="0.4">
      <c r="A2482" t="s">
        <v>3969</v>
      </c>
      <c r="B2482">
        <v>45.2</v>
      </c>
      <c r="C2482" t="s">
        <v>5693</v>
      </c>
      <c r="D2482">
        <v>3</v>
      </c>
      <c r="E2482">
        <v>-0.36799999999999999</v>
      </c>
      <c r="F2482">
        <v>54.82</v>
      </c>
      <c r="G2482">
        <v>2022</v>
      </c>
      <c r="H2482" t="s">
        <v>928</v>
      </c>
      <c r="I2482" t="s">
        <v>6596</v>
      </c>
      <c r="L2482" t="s">
        <v>197</v>
      </c>
    </row>
    <row r="2483" spans="1:12" x14ac:dyDescent="0.4">
      <c r="A2483" t="s">
        <v>3973</v>
      </c>
      <c r="B2483">
        <v>69.099999999999994</v>
      </c>
      <c r="C2483" t="s">
        <v>2481</v>
      </c>
      <c r="D2483">
        <v>4</v>
      </c>
      <c r="E2483">
        <v>0.98499999999999999</v>
      </c>
      <c r="F2483">
        <v>30.9</v>
      </c>
      <c r="G2483">
        <v>2022</v>
      </c>
      <c r="H2483" t="s">
        <v>928</v>
      </c>
      <c r="I2483" t="s">
        <v>6596</v>
      </c>
      <c r="L2483" t="s">
        <v>197</v>
      </c>
    </row>
    <row r="2484" spans="1:12" x14ac:dyDescent="0.4">
      <c r="A2484" t="s">
        <v>3971</v>
      </c>
      <c r="B2484">
        <v>70.5</v>
      </c>
      <c r="C2484" t="s">
        <v>6581</v>
      </c>
      <c r="D2484">
        <v>4</v>
      </c>
      <c r="E2484">
        <v>1.0640000000000001</v>
      </c>
      <c r="F2484">
        <v>29.48</v>
      </c>
      <c r="G2484">
        <v>2022</v>
      </c>
      <c r="H2484" t="s">
        <v>928</v>
      </c>
      <c r="I2484" t="s">
        <v>6596</v>
      </c>
      <c r="L2484" t="s">
        <v>197</v>
      </c>
    </row>
    <row r="2485" spans="1:12" x14ac:dyDescent="0.4">
      <c r="A2485" t="s">
        <v>3959</v>
      </c>
      <c r="B2485">
        <v>22.3</v>
      </c>
      <c r="C2485" t="s">
        <v>6033</v>
      </c>
      <c r="D2485">
        <v>2</v>
      </c>
      <c r="E2485">
        <v>-1.665</v>
      </c>
      <c r="F2485">
        <v>77.75</v>
      </c>
      <c r="G2485">
        <v>2022</v>
      </c>
      <c r="H2485" t="s">
        <v>928</v>
      </c>
      <c r="I2485" t="s">
        <v>6596</v>
      </c>
      <c r="L2485" t="s">
        <v>197</v>
      </c>
    </row>
    <row r="2486" spans="1:12" x14ac:dyDescent="0.4">
      <c r="A2486" t="s">
        <v>3948</v>
      </c>
      <c r="B2486">
        <v>65.7</v>
      </c>
      <c r="C2486" t="s">
        <v>5738</v>
      </c>
      <c r="D2486">
        <v>4</v>
      </c>
      <c r="E2486">
        <v>0.79300000000000004</v>
      </c>
      <c r="F2486">
        <v>34.270000000000003</v>
      </c>
      <c r="G2486">
        <v>2022</v>
      </c>
      <c r="H2486" t="s">
        <v>928</v>
      </c>
      <c r="I2486" t="s">
        <v>6596</v>
      </c>
      <c r="L2486" t="s">
        <v>197</v>
      </c>
    </row>
    <row r="2487" spans="1:12" x14ac:dyDescent="0.4">
      <c r="A2487" t="s">
        <v>3962</v>
      </c>
      <c r="B2487">
        <v>38.6</v>
      </c>
      <c r="C2487" t="s">
        <v>5702</v>
      </c>
      <c r="D2487">
        <v>2</v>
      </c>
      <c r="E2487">
        <v>-0.74199999999999999</v>
      </c>
      <c r="F2487">
        <v>61.42</v>
      </c>
      <c r="G2487">
        <v>2022</v>
      </c>
      <c r="H2487" t="s">
        <v>928</v>
      </c>
      <c r="I2487" t="s">
        <v>6596</v>
      </c>
      <c r="L2487" t="s">
        <v>197</v>
      </c>
    </row>
    <row r="2488" spans="1:12" x14ac:dyDescent="0.4">
      <c r="A2488" t="s">
        <v>3963</v>
      </c>
      <c r="B2488">
        <v>50.1</v>
      </c>
      <c r="C2488" t="s">
        <v>5703</v>
      </c>
      <c r="D2488">
        <v>3</v>
      </c>
      <c r="E2488">
        <v>-9.0999999999999998E-2</v>
      </c>
      <c r="F2488">
        <v>49.9</v>
      </c>
      <c r="G2488">
        <v>2022</v>
      </c>
      <c r="H2488" t="s">
        <v>928</v>
      </c>
      <c r="I2488" t="s">
        <v>6596</v>
      </c>
      <c r="L2488" t="s">
        <v>197</v>
      </c>
    </row>
    <row r="2489" spans="1:12" x14ac:dyDescent="0.4">
      <c r="A2489" t="s">
        <v>3981</v>
      </c>
      <c r="B2489">
        <v>65</v>
      </c>
      <c r="C2489" t="s">
        <v>5707</v>
      </c>
      <c r="D2489">
        <v>4</v>
      </c>
      <c r="E2489">
        <v>0.753</v>
      </c>
      <c r="F2489">
        <v>35</v>
      </c>
      <c r="G2489">
        <v>2022</v>
      </c>
      <c r="H2489" t="s">
        <v>928</v>
      </c>
      <c r="I2489" t="s">
        <v>6596</v>
      </c>
      <c r="L2489" t="s">
        <v>197</v>
      </c>
    </row>
    <row r="2490" spans="1:12" x14ac:dyDescent="0.4">
      <c r="A2490" t="s">
        <v>2250</v>
      </c>
      <c r="B2490">
        <v>36</v>
      </c>
      <c r="C2490" t="s">
        <v>5741</v>
      </c>
      <c r="D2490">
        <v>2</v>
      </c>
      <c r="E2490">
        <v>-0.88900000000000001</v>
      </c>
      <c r="F2490">
        <v>63.96</v>
      </c>
      <c r="G2490">
        <v>2022</v>
      </c>
      <c r="H2490" t="s">
        <v>928</v>
      </c>
      <c r="I2490" t="s">
        <v>6596</v>
      </c>
      <c r="L2490" t="s">
        <v>197</v>
      </c>
    </row>
    <row r="2491" spans="1:12" x14ac:dyDescent="0.4">
      <c r="A2491" t="s">
        <v>2254</v>
      </c>
      <c r="B2491">
        <v>26.6</v>
      </c>
      <c r="C2491" t="s">
        <v>6035</v>
      </c>
      <c r="D2491">
        <v>2</v>
      </c>
      <c r="E2491">
        <v>-1.421</v>
      </c>
      <c r="F2491">
        <v>73.38</v>
      </c>
      <c r="G2491">
        <v>2022</v>
      </c>
      <c r="H2491" t="s">
        <v>928</v>
      </c>
      <c r="I2491" t="s">
        <v>6596</v>
      </c>
      <c r="L2491" t="s">
        <v>197</v>
      </c>
    </row>
    <row r="2492" spans="1:12" x14ac:dyDescent="0.4">
      <c r="A2492" t="s">
        <v>3964</v>
      </c>
      <c r="B2492">
        <v>41.2</v>
      </c>
      <c r="C2492" t="s">
        <v>5734</v>
      </c>
      <c r="D2492">
        <v>3</v>
      </c>
      <c r="E2492">
        <v>-0.59499999999999997</v>
      </c>
      <c r="F2492">
        <v>58.76</v>
      </c>
      <c r="G2492">
        <v>2022</v>
      </c>
      <c r="H2492" t="s">
        <v>928</v>
      </c>
      <c r="I2492" t="s">
        <v>6596</v>
      </c>
      <c r="L2492" t="s">
        <v>197</v>
      </c>
    </row>
    <row r="2493" spans="1:12" x14ac:dyDescent="0.4">
      <c r="A2493" t="s">
        <v>3970</v>
      </c>
      <c r="B2493">
        <v>70.5</v>
      </c>
      <c r="C2493" t="s">
        <v>6581</v>
      </c>
      <c r="D2493">
        <v>4</v>
      </c>
      <c r="E2493">
        <v>1.0640000000000001</v>
      </c>
      <c r="F2493">
        <v>29.48</v>
      </c>
      <c r="G2493">
        <v>2022</v>
      </c>
      <c r="H2493" t="s">
        <v>928</v>
      </c>
      <c r="I2493" t="s">
        <v>6596</v>
      </c>
      <c r="L2493" t="s">
        <v>197</v>
      </c>
    </row>
    <row r="2494" spans="1:12" x14ac:dyDescent="0.4">
      <c r="A2494" t="s">
        <v>3951</v>
      </c>
      <c r="B2494">
        <v>66.3</v>
      </c>
      <c r="C2494" t="s">
        <v>5730</v>
      </c>
      <c r="D2494">
        <v>4</v>
      </c>
      <c r="E2494">
        <v>0.82699999999999996</v>
      </c>
      <c r="F2494">
        <v>33.71</v>
      </c>
      <c r="G2494">
        <v>2022</v>
      </c>
      <c r="H2494" t="s">
        <v>928</v>
      </c>
      <c r="I2494" t="s">
        <v>6596</v>
      </c>
      <c r="L2494" t="s">
        <v>197</v>
      </c>
    </row>
    <row r="2495" spans="1:12" x14ac:dyDescent="0.4">
      <c r="A2495" t="s">
        <v>5875</v>
      </c>
      <c r="B2495">
        <v>27.6</v>
      </c>
      <c r="C2495" t="s">
        <v>5724</v>
      </c>
      <c r="D2495">
        <v>2</v>
      </c>
      <c r="E2495">
        <v>-1.365</v>
      </c>
      <c r="F2495">
        <v>72.430000000000007</v>
      </c>
      <c r="G2495">
        <v>2022</v>
      </c>
      <c r="H2495" t="s">
        <v>928</v>
      </c>
      <c r="I2495" t="s">
        <v>6596</v>
      </c>
      <c r="L2495" t="s">
        <v>197</v>
      </c>
    </row>
    <row r="2496" spans="1:12" x14ac:dyDescent="0.4">
      <c r="A2496" t="s">
        <v>3974</v>
      </c>
      <c r="B2496">
        <v>76</v>
      </c>
      <c r="C2496" t="s">
        <v>6591</v>
      </c>
      <c r="D2496">
        <v>4</v>
      </c>
      <c r="E2496">
        <v>1.3759999999999999</v>
      </c>
      <c r="F2496">
        <v>24.04</v>
      </c>
      <c r="G2496">
        <v>2022</v>
      </c>
      <c r="H2496" t="s">
        <v>928</v>
      </c>
      <c r="I2496" t="s">
        <v>6596</v>
      </c>
      <c r="L2496" t="s">
        <v>197</v>
      </c>
    </row>
    <row r="2497" spans="1:12" x14ac:dyDescent="0.4">
      <c r="A2497" t="s">
        <v>5876</v>
      </c>
      <c r="B2497">
        <v>65.7</v>
      </c>
      <c r="C2497" t="s">
        <v>5738</v>
      </c>
      <c r="D2497">
        <v>4</v>
      </c>
      <c r="E2497">
        <v>0.79300000000000004</v>
      </c>
      <c r="F2497">
        <v>34.29</v>
      </c>
      <c r="G2497">
        <v>2022</v>
      </c>
      <c r="H2497" t="s">
        <v>928</v>
      </c>
      <c r="I2497" t="s">
        <v>6596</v>
      </c>
      <c r="L2497" t="s">
        <v>197</v>
      </c>
    </row>
    <row r="2498" spans="1:12" x14ac:dyDescent="0.4">
      <c r="A2498" t="s">
        <v>3982</v>
      </c>
      <c r="B2498">
        <v>74.900000000000006</v>
      </c>
      <c r="C2498" t="s">
        <v>2476</v>
      </c>
      <c r="D2498">
        <v>4</v>
      </c>
      <c r="E2498">
        <v>1.3140000000000001</v>
      </c>
      <c r="F2498">
        <v>25.14</v>
      </c>
      <c r="G2498">
        <v>2022</v>
      </c>
      <c r="H2498" t="s">
        <v>928</v>
      </c>
      <c r="I2498" t="s">
        <v>6596</v>
      </c>
      <c r="L2498" t="s">
        <v>197</v>
      </c>
    </row>
    <row r="2499" spans="1:12" x14ac:dyDescent="0.4">
      <c r="A2499" t="s">
        <v>3957</v>
      </c>
      <c r="B2499">
        <v>28.2</v>
      </c>
      <c r="C2499" t="s">
        <v>5728</v>
      </c>
      <c r="D2499">
        <v>2</v>
      </c>
      <c r="E2499">
        <v>-1.331</v>
      </c>
      <c r="F2499">
        <v>71.84</v>
      </c>
      <c r="G2499">
        <v>2022</v>
      </c>
      <c r="H2499" t="s">
        <v>928</v>
      </c>
      <c r="I2499" t="s">
        <v>6596</v>
      </c>
      <c r="L2499" t="s">
        <v>197</v>
      </c>
    </row>
    <row r="2500" spans="1:12" x14ac:dyDescent="0.4">
      <c r="A2500" t="s">
        <v>3961</v>
      </c>
      <c r="B2500">
        <v>50.9</v>
      </c>
      <c r="C2500" t="s">
        <v>5700</v>
      </c>
      <c r="D2500">
        <v>3</v>
      </c>
      <c r="E2500">
        <v>-4.4999999999999998E-2</v>
      </c>
      <c r="F2500">
        <v>49.15</v>
      </c>
      <c r="G2500">
        <v>2022</v>
      </c>
      <c r="H2500" t="s">
        <v>928</v>
      </c>
      <c r="I2500" t="s">
        <v>6596</v>
      </c>
      <c r="L2500" t="s">
        <v>197</v>
      </c>
    </row>
    <row r="2501" spans="1:12" x14ac:dyDescent="0.4">
      <c r="A2501" t="s">
        <v>3955</v>
      </c>
      <c r="B2501">
        <v>27.6</v>
      </c>
      <c r="C2501" t="s">
        <v>5724</v>
      </c>
      <c r="D2501">
        <v>2</v>
      </c>
      <c r="E2501">
        <v>-1.365</v>
      </c>
      <c r="F2501">
        <v>72.430000000000007</v>
      </c>
      <c r="G2501">
        <v>2022</v>
      </c>
      <c r="H2501" t="s">
        <v>928</v>
      </c>
      <c r="I2501" t="s">
        <v>6596</v>
      </c>
      <c r="L2501" t="s">
        <v>197</v>
      </c>
    </row>
    <row r="2502" spans="1:12" x14ac:dyDescent="0.4">
      <c r="A2502" t="s">
        <v>5877</v>
      </c>
      <c r="B2502">
        <v>37</v>
      </c>
      <c r="C2502" t="s">
        <v>5709</v>
      </c>
      <c r="D2502">
        <v>2</v>
      </c>
      <c r="E2502">
        <v>-0.83199999999999996</v>
      </c>
      <c r="F2502">
        <v>63</v>
      </c>
      <c r="G2502">
        <v>2022</v>
      </c>
      <c r="H2502" t="s">
        <v>928</v>
      </c>
      <c r="I2502" t="s">
        <v>6596</v>
      </c>
      <c r="L2502" t="s">
        <v>197</v>
      </c>
    </row>
    <row r="2503" spans="1:12" x14ac:dyDescent="0.4">
      <c r="A2503" t="s">
        <v>3975</v>
      </c>
      <c r="B2503">
        <v>64.099999999999994</v>
      </c>
      <c r="C2503" t="s">
        <v>5705</v>
      </c>
      <c r="D2503">
        <v>4</v>
      </c>
      <c r="E2503">
        <v>0.70199999999999996</v>
      </c>
      <c r="F2503">
        <v>35.89</v>
      </c>
      <c r="G2503">
        <v>2022</v>
      </c>
      <c r="H2503" t="s">
        <v>928</v>
      </c>
      <c r="I2503" t="s">
        <v>6596</v>
      </c>
      <c r="L2503" t="s">
        <v>197</v>
      </c>
    </row>
    <row r="2504" spans="1:12" x14ac:dyDescent="0.4">
      <c r="A2504" t="s">
        <v>2251</v>
      </c>
      <c r="B2504">
        <v>62.5</v>
      </c>
      <c r="C2504" t="s">
        <v>6584</v>
      </c>
      <c r="D2504">
        <v>4</v>
      </c>
      <c r="E2504">
        <v>0.61199999999999999</v>
      </c>
      <c r="F2504">
        <v>37.46</v>
      </c>
      <c r="G2504">
        <v>2022</v>
      </c>
      <c r="H2504" t="s">
        <v>928</v>
      </c>
      <c r="I2504" t="s">
        <v>6596</v>
      </c>
      <c r="L2504" t="s">
        <v>197</v>
      </c>
    </row>
    <row r="2505" spans="1:12" x14ac:dyDescent="0.4">
      <c r="A2505" t="s">
        <v>2252</v>
      </c>
      <c r="B2505">
        <v>59.3</v>
      </c>
      <c r="C2505" t="s">
        <v>5732</v>
      </c>
      <c r="D2505">
        <v>3</v>
      </c>
      <c r="E2505">
        <v>0.43</v>
      </c>
      <c r="F2505">
        <v>40.729999999999997</v>
      </c>
      <c r="G2505">
        <v>2022</v>
      </c>
      <c r="H2505" t="s">
        <v>928</v>
      </c>
      <c r="I2505" t="s">
        <v>6596</v>
      </c>
      <c r="L2505" t="s">
        <v>197</v>
      </c>
    </row>
    <row r="2506" spans="1:12" x14ac:dyDescent="0.4">
      <c r="A2506" t="s">
        <v>3978</v>
      </c>
      <c r="B2506">
        <v>36</v>
      </c>
      <c r="C2506" t="s">
        <v>5741</v>
      </c>
      <c r="D2506">
        <v>2</v>
      </c>
      <c r="E2506">
        <v>-0.88900000000000001</v>
      </c>
      <c r="F2506">
        <v>63.96</v>
      </c>
      <c r="G2506">
        <v>2022</v>
      </c>
      <c r="H2506" t="s">
        <v>928</v>
      </c>
      <c r="I2506" t="s">
        <v>6596</v>
      </c>
      <c r="L2506" t="s">
        <v>197</v>
      </c>
    </row>
    <row r="2507" spans="1:12" x14ac:dyDescent="0.4">
      <c r="A2507" t="s">
        <v>2253</v>
      </c>
      <c r="B2507">
        <v>76</v>
      </c>
      <c r="C2507" t="s">
        <v>6591</v>
      </c>
      <c r="D2507">
        <v>4</v>
      </c>
      <c r="E2507">
        <v>1.3759999999999999</v>
      </c>
      <c r="F2507">
        <v>24.04</v>
      </c>
      <c r="G2507">
        <v>2022</v>
      </c>
      <c r="H2507" t="s">
        <v>928</v>
      </c>
      <c r="I2507" t="s">
        <v>6596</v>
      </c>
      <c r="L2507" t="s">
        <v>197</v>
      </c>
    </row>
    <row r="2508" spans="1:12" x14ac:dyDescent="0.4">
      <c r="A2508" t="s">
        <v>3953</v>
      </c>
      <c r="B2508">
        <v>40.9</v>
      </c>
      <c r="C2508" t="s">
        <v>5699</v>
      </c>
      <c r="D2508">
        <v>3</v>
      </c>
      <c r="E2508">
        <v>-0.61199999999999999</v>
      </c>
      <c r="F2508">
        <v>59.15</v>
      </c>
      <c r="G2508">
        <v>2022</v>
      </c>
      <c r="H2508" t="s">
        <v>928</v>
      </c>
      <c r="I2508" t="s">
        <v>6596</v>
      </c>
      <c r="L2508" t="s">
        <v>197</v>
      </c>
    </row>
    <row r="2509" spans="1:12" x14ac:dyDescent="0.4">
      <c r="A2509" t="s">
        <v>3967</v>
      </c>
      <c r="B2509">
        <v>55</v>
      </c>
      <c r="C2509" t="s">
        <v>5731</v>
      </c>
      <c r="D2509">
        <v>3</v>
      </c>
      <c r="E2509">
        <v>0.187</v>
      </c>
      <c r="F2509">
        <v>44.99</v>
      </c>
      <c r="G2509">
        <v>2022</v>
      </c>
      <c r="H2509" t="s">
        <v>928</v>
      </c>
      <c r="I2509" t="s">
        <v>6596</v>
      </c>
      <c r="L2509" t="s">
        <v>197</v>
      </c>
    </row>
    <row r="2510" spans="1:12" x14ac:dyDescent="0.4">
      <c r="A2510" t="s">
        <v>3977</v>
      </c>
      <c r="B2510">
        <v>62.5</v>
      </c>
      <c r="C2510" t="s">
        <v>6584</v>
      </c>
      <c r="D2510">
        <v>4</v>
      </c>
      <c r="E2510">
        <v>0.61199999999999999</v>
      </c>
      <c r="F2510">
        <v>37.46</v>
      </c>
      <c r="G2510">
        <v>2022</v>
      </c>
      <c r="H2510" t="s">
        <v>928</v>
      </c>
      <c r="I2510" t="s">
        <v>6596</v>
      </c>
      <c r="L2510" t="s">
        <v>197</v>
      </c>
    </row>
    <row r="2511" spans="1:12" x14ac:dyDescent="0.4">
      <c r="A2511" t="s">
        <v>3968</v>
      </c>
      <c r="B2511">
        <v>73</v>
      </c>
      <c r="C2511" t="s">
        <v>6593</v>
      </c>
      <c r="D2511">
        <v>4</v>
      </c>
      <c r="E2511">
        <v>1.206</v>
      </c>
      <c r="F2511">
        <v>27.04</v>
      </c>
      <c r="G2511">
        <v>2022</v>
      </c>
      <c r="H2511" t="s">
        <v>928</v>
      </c>
      <c r="I2511" t="s">
        <v>6596</v>
      </c>
      <c r="L2511" t="s">
        <v>197</v>
      </c>
    </row>
    <row r="2512" spans="1:12" x14ac:dyDescent="0.4">
      <c r="A2512" t="s">
        <v>2257</v>
      </c>
      <c r="B2512">
        <v>51.7</v>
      </c>
      <c r="C2512" t="s">
        <v>197</v>
      </c>
      <c r="D2512">
        <v>3</v>
      </c>
    </row>
    <row r="2513" spans="1:11" x14ac:dyDescent="0.4">
      <c r="A2513" t="s">
        <v>2258</v>
      </c>
      <c r="B2513">
        <v>61.7</v>
      </c>
      <c r="C2513" t="s">
        <v>197</v>
      </c>
      <c r="D2513">
        <v>4</v>
      </c>
    </row>
    <row r="2514" spans="1:11" x14ac:dyDescent="0.4">
      <c r="A2514" t="s">
        <v>2259</v>
      </c>
      <c r="B2514">
        <v>32.5</v>
      </c>
      <c r="C2514" t="s">
        <v>197</v>
      </c>
      <c r="D2514">
        <v>2</v>
      </c>
    </row>
    <row r="2515" spans="1:11" x14ac:dyDescent="0.4">
      <c r="A2515" t="s">
        <v>2260</v>
      </c>
      <c r="B2515">
        <v>26.5</v>
      </c>
      <c r="C2515" t="s">
        <v>197</v>
      </c>
      <c r="D2515">
        <v>2</v>
      </c>
    </row>
    <row r="2516" spans="1:11" x14ac:dyDescent="0.4">
      <c r="A2516" t="s">
        <v>2261</v>
      </c>
      <c r="B2516">
        <v>46.3</v>
      </c>
      <c r="C2516" t="s">
        <v>197</v>
      </c>
      <c r="D2516">
        <v>3</v>
      </c>
    </row>
    <row r="2517" spans="1:11" x14ac:dyDescent="0.4">
      <c r="A2517" t="s">
        <v>2594</v>
      </c>
      <c r="B2517">
        <v>64.900000000000006</v>
      </c>
      <c r="C2517" t="s">
        <v>197</v>
      </c>
      <c r="D2517">
        <v>4</v>
      </c>
    </row>
    <row r="2518" spans="1:11" x14ac:dyDescent="0.4">
      <c r="A2518" t="s">
        <v>2595</v>
      </c>
      <c r="B2518">
        <v>59.5</v>
      </c>
      <c r="C2518" t="s">
        <v>197</v>
      </c>
      <c r="D2518">
        <v>3</v>
      </c>
    </row>
    <row r="2519" spans="1:11" x14ac:dyDescent="0.4">
      <c r="A2519" t="s">
        <v>7378</v>
      </c>
      <c r="B2519">
        <v>65.3</v>
      </c>
      <c r="C2519" t="s">
        <v>197</v>
      </c>
      <c r="D2519">
        <v>4</v>
      </c>
    </row>
    <row r="2520" spans="1:11" x14ac:dyDescent="0.4">
      <c r="A2520" t="s">
        <v>7379</v>
      </c>
      <c r="B2520">
        <v>47.8</v>
      </c>
      <c r="C2520" t="s">
        <v>197</v>
      </c>
      <c r="D2520">
        <v>3</v>
      </c>
    </row>
    <row r="2521" spans="1:11" x14ac:dyDescent="0.4">
      <c r="A2521" t="s">
        <v>7380</v>
      </c>
      <c r="B2521">
        <v>44.1</v>
      </c>
      <c r="C2521" t="s">
        <v>197</v>
      </c>
      <c r="D2521">
        <v>3</v>
      </c>
    </row>
    <row r="2522" spans="1:11" x14ac:dyDescent="0.4">
      <c r="A2522" t="s">
        <v>3987</v>
      </c>
      <c r="B2522">
        <v>100</v>
      </c>
      <c r="C2522" t="s">
        <v>1380</v>
      </c>
      <c r="D2522">
        <v>5</v>
      </c>
      <c r="E2522">
        <v>0.58699999999999997</v>
      </c>
      <c r="F2522">
        <v>1</v>
      </c>
      <c r="G2522">
        <v>2024</v>
      </c>
      <c r="H2522" t="s">
        <v>928</v>
      </c>
      <c r="I2522" t="s">
        <v>6063</v>
      </c>
      <c r="J2522" t="s">
        <v>8336</v>
      </c>
      <c r="K2522" t="s">
        <v>8337</v>
      </c>
    </row>
    <row r="2523" spans="1:11" x14ac:dyDescent="0.4">
      <c r="A2523" t="s">
        <v>3985</v>
      </c>
      <c r="B2523">
        <v>0</v>
      </c>
      <c r="C2523" t="s">
        <v>5716</v>
      </c>
      <c r="D2523">
        <v>1</v>
      </c>
      <c r="E2523">
        <v>-1.67</v>
      </c>
      <c r="F2523">
        <v>0</v>
      </c>
      <c r="G2523">
        <v>2024</v>
      </c>
      <c r="H2523" t="s">
        <v>928</v>
      </c>
      <c r="I2523" t="s">
        <v>6063</v>
      </c>
      <c r="J2523" t="s">
        <v>8338</v>
      </c>
      <c r="K2523" t="s">
        <v>9307</v>
      </c>
    </row>
    <row r="2524" spans="1:11" x14ac:dyDescent="0.4">
      <c r="A2524" t="s">
        <v>3991</v>
      </c>
      <c r="B2524">
        <v>100</v>
      </c>
      <c r="C2524" t="s">
        <v>1380</v>
      </c>
      <c r="D2524">
        <v>5</v>
      </c>
      <c r="E2524">
        <v>0.58699999999999997</v>
      </c>
      <c r="F2524">
        <v>1</v>
      </c>
      <c r="G2524">
        <v>2024</v>
      </c>
      <c r="H2524" t="s">
        <v>928</v>
      </c>
      <c r="I2524" t="s">
        <v>6063</v>
      </c>
      <c r="J2524" t="s">
        <v>8339</v>
      </c>
      <c r="K2524" t="s">
        <v>8340</v>
      </c>
    </row>
    <row r="2525" spans="1:11" x14ac:dyDescent="0.4">
      <c r="A2525" t="s">
        <v>4015</v>
      </c>
      <c r="B2525">
        <v>100</v>
      </c>
      <c r="C2525" t="s">
        <v>1380</v>
      </c>
      <c r="D2525">
        <v>5</v>
      </c>
      <c r="E2525">
        <v>0.58699999999999997</v>
      </c>
      <c r="F2525">
        <v>1</v>
      </c>
      <c r="G2525">
        <v>2024</v>
      </c>
      <c r="H2525" t="s">
        <v>928</v>
      </c>
      <c r="I2525" t="s">
        <v>6063</v>
      </c>
      <c r="J2525" t="s">
        <v>8341</v>
      </c>
      <c r="K2525" t="s">
        <v>8286</v>
      </c>
    </row>
    <row r="2526" spans="1:11" x14ac:dyDescent="0.4">
      <c r="A2526" t="s">
        <v>2262</v>
      </c>
      <c r="B2526">
        <v>100</v>
      </c>
      <c r="C2526" t="s">
        <v>1380</v>
      </c>
      <c r="D2526">
        <v>5</v>
      </c>
      <c r="E2526">
        <v>0.58699999999999997</v>
      </c>
      <c r="F2526">
        <v>1</v>
      </c>
      <c r="G2526">
        <v>2024</v>
      </c>
      <c r="H2526" t="s">
        <v>928</v>
      </c>
      <c r="I2526" t="s">
        <v>6063</v>
      </c>
      <c r="J2526" t="s">
        <v>8342</v>
      </c>
      <c r="K2526" t="s">
        <v>9308</v>
      </c>
    </row>
    <row r="2527" spans="1:11" x14ac:dyDescent="0.4">
      <c r="A2527" t="s">
        <v>4011</v>
      </c>
      <c r="B2527">
        <v>100</v>
      </c>
      <c r="C2527" t="s">
        <v>1380</v>
      </c>
      <c r="D2527">
        <v>5</v>
      </c>
      <c r="E2527">
        <v>0.58699999999999997</v>
      </c>
      <c r="F2527">
        <v>1</v>
      </c>
      <c r="G2527">
        <v>2024</v>
      </c>
      <c r="H2527" t="s">
        <v>928</v>
      </c>
      <c r="I2527" t="s">
        <v>6063</v>
      </c>
      <c r="J2527" t="s">
        <v>8343</v>
      </c>
      <c r="K2527" t="s">
        <v>6842</v>
      </c>
    </row>
    <row r="2528" spans="1:11" x14ac:dyDescent="0.4">
      <c r="A2528" t="s">
        <v>3995</v>
      </c>
      <c r="B2528">
        <v>100</v>
      </c>
      <c r="C2528" t="s">
        <v>1380</v>
      </c>
      <c r="D2528">
        <v>5</v>
      </c>
      <c r="E2528">
        <v>0.58699999999999997</v>
      </c>
      <c r="F2528">
        <v>1</v>
      </c>
      <c r="G2528">
        <v>2024</v>
      </c>
      <c r="H2528" t="s">
        <v>928</v>
      </c>
      <c r="I2528" t="s">
        <v>6063</v>
      </c>
      <c r="J2528" t="s">
        <v>8344</v>
      </c>
      <c r="K2528" t="s">
        <v>6843</v>
      </c>
    </row>
    <row r="2529" spans="1:11" x14ac:dyDescent="0.4">
      <c r="A2529" t="s">
        <v>3989</v>
      </c>
      <c r="B2529">
        <v>100</v>
      </c>
      <c r="C2529" t="s">
        <v>1380</v>
      </c>
      <c r="D2529">
        <v>5</v>
      </c>
      <c r="E2529">
        <v>0.58699999999999997</v>
      </c>
      <c r="F2529">
        <v>1</v>
      </c>
      <c r="G2529">
        <v>2024</v>
      </c>
      <c r="H2529" t="s">
        <v>928</v>
      </c>
      <c r="I2529" t="s">
        <v>6063</v>
      </c>
      <c r="J2529" t="s">
        <v>8345</v>
      </c>
      <c r="K2529" t="s">
        <v>6844</v>
      </c>
    </row>
    <row r="2530" spans="1:11" x14ac:dyDescent="0.4">
      <c r="A2530" t="s">
        <v>4001</v>
      </c>
      <c r="B2530">
        <v>100</v>
      </c>
      <c r="C2530" t="s">
        <v>1380</v>
      </c>
      <c r="D2530">
        <v>5</v>
      </c>
      <c r="E2530">
        <v>0.58699999999999997</v>
      </c>
      <c r="F2530">
        <v>1</v>
      </c>
      <c r="G2530">
        <v>2024</v>
      </c>
      <c r="H2530" t="s">
        <v>928</v>
      </c>
      <c r="I2530" t="s">
        <v>6063</v>
      </c>
      <c r="J2530" t="s">
        <v>6845</v>
      </c>
      <c r="K2530" t="s">
        <v>8346</v>
      </c>
    </row>
    <row r="2531" spans="1:11" x14ac:dyDescent="0.4">
      <c r="A2531" t="s">
        <v>3993</v>
      </c>
      <c r="B2531">
        <v>100</v>
      </c>
      <c r="C2531" t="s">
        <v>1380</v>
      </c>
      <c r="D2531">
        <v>5</v>
      </c>
      <c r="E2531">
        <v>0.58699999999999997</v>
      </c>
      <c r="F2531">
        <v>1</v>
      </c>
      <c r="G2531">
        <v>2024</v>
      </c>
      <c r="H2531" t="s">
        <v>928</v>
      </c>
      <c r="I2531" t="s">
        <v>6063</v>
      </c>
      <c r="J2531" t="s">
        <v>8347</v>
      </c>
      <c r="K2531" t="s">
        <v>9309</v>
      </c>
    </row>
    <row r="2532" spans="1:11" x14ac:dyDescent="0.4">
      <c r="A2532" t="s">
        <v>5990</v>
      </c>
      <c r="B2532">
        <v>100</v>
      </c>
      <c r="C2532" t="s">
        <v>1380</v>
      </c>
      <c r="D2532">
        <v>5</v>
      </c>
      <c r="E2532">
        <v>0.58699999999999997</v>
      </c>
      <c r="F2532">
        <v>1</v>
      </c>
      <c r="G2532">
        <v>2024</v>
      </c>
      <c r="H2532" t="s">
        <v>928</v>
      </c>
      <c r="I2532" t="s">
        <v>6063</v>
      </c>
      <c r="J2532" t="s">
        <v>8348</v>
      </c>
      <c r="K2532" t="s">
        <v>9310</v>
      </c>
    </row>
    <row r="2533" spans="1:11" x14ac:dyDescent="0.4">
      <c r="A2533" t="s">
        <v>4007</v>
      </c>
      <c r="B2533">
        <v>100</v>
      </c>
      <c r="C2533" t="s">
        <v>1380</v>
      </c>
      <c r="D2533">
        <v>5</v>
      </c>
      <c r="E2533">
        <v>0.58699999999999997</v>
      </c>
      <c r="F2533">
        <v>1</v>
      </c>
      <c r="G2533">
        <v>2024</v>
      </c>
      <c r="H2533" t="s">
        <v>928</v>
      </c>
      <c r="I2533" t="s">
        <v>6063</v>
      </c>
      <c r="J2533" t="s">
        <v>8349</v>
      </c>
      <c r="K2533" t="s">
        <v>9311</v>
      </c>
    </row>
    <row r="2534" spans="1:11" x14ac:dyDescent="0.4">
      <c r="A2534" t="s">
        <v>2263</v>
      </c>
      <c r="B2534">
        <v>0</v>
      </c>
      <c r="C2534" t="s">
        <v>5716</v>
      </c>
      <c r="D2534">
        <v>1</v>
      </c>
      <c r="E2534">
        <v>-1.67</v>
      </c>
      <c r="F2534">
        <v>0</v>
      </c>
      <c r="G2534">
        <v>2024</v>
      </c>
      <c r="H2534" t="s">
        <v>928</v>
      </c>
      <c r="I2534" t="s">
        <v>6063</v>
      </c>
      <c r="J2534" t="s">
        <v>8350</v>
      </c>
      <c r="K2534" t="s">
        <v>9312</v>
      </c>
    </row>
    <row r="2535" spans="1:11" x14ac:dyDescent="0.4">
      <c r="A2535" t="s">
        <v>2272</v>
      </c>
      <c r="B2535">
        <v>100</v>
      </c>
      <c r="C2535" t="s">
        <v>1380</v>
      </c>
      <c r="D2535">
        <v>5</v>
      </c>
      <c r="E2535">
        <v>0.58699999999999997</v>
      </c>
      <c r="F2535">
        <v>1</v>
      </c>
      <c r="G2535">
        <v>2024</v>
      </c>
      <c r="H2535" t="s">
        <v>928</v>
      </c>
      <c r="I2535" t="s">
        <v>6063</v>
      </c>
      <c r="J2535" t="s">
        <v>8351</v>
      </c>
      <c r="K2535" t="s">
        <v>8010</v>
      </c>
    </row>
    <row r="2536" spans="1:11" x14ac:dyDescent="0.4">
      <c r="A2536" t="s">
        <v>4000</v>
      </c>
      <c r="B2536">
        <v>100</v>
      </c>
      <c r="C2536" t="s">
        <v>1380</v>
      </c>
      <c r="D2536">
        <v>5</v>
      </c>
      <c r="E2536">
        <v>0.58699999999999997</v>
      </c>
      <c r="F2536">
        <v>1</v>
      </c>
      <c r="G2536">
        <v>2024</v>
      </c>
      <c r="H2536" t="s">
        <v>928</v>
      </c>
      <c r="I2536" t="s">
        <v>6063</v>
      </c>
      <c r="J2536" t="s">
        <v>8352</v>
      </c>
      <c r="K2536" t="s">
        <v>8353</v>
      </c>
    </row>
    <row r="2537" spans="1:11" x14ac:dyDescent="0.4">
      <c r="A2537" t="s">
        <v>4014</v>
      </c>
      <c r="B2537">
        <v>100</v>
      </c>
      <c r="C2537" t="s">
        <v>1380</v>
      </c>
      <c r="D2537">
        <v>5</v>
      </c>
      <c r="E2537">
        <v>0.58699999999999997</v>
      </c>
      <c r="F2537">
        <v>1</v>
      </c>
      <c r="G2537">
        <v>2024</v>
      </c>
      <c r="H2537" t="s">
        <v>928</v>
      </c>
      <c r="I2537" t="s">
        <v>6063</v>
      </c>
      <c r="J2537" t="s">
        <v>8354</v>
      </c>
      <c r="K2537" t="s">
        <v>9313</v>
      </c>
    </row>
    <row r="2538" spans="1:11" x14ac:dyDescent="0.4">
      <c r="A2538" t="s">
        <v>2264</v>
      </c>
      <c r="B2538">
        <v>100</v>
      </c>
      <c r="C2538" t="s">
        <v>1380</v>
      </c>
      <c r="D2538">
        <v>5</v>
      </c>
      <c r="E2538">
        <v>0.58699999999999997</v>
      </c>
      <c r="F2538">
        <v>1</v>
      </c>
      <c r="G2538">
        <v>2024</v>
      </c>
      <c r="H2538" t="s">
        <v>928</v>
      </c>
      <c r="I2538" t="s">
        <v>6063</v>
      </c>
      <c r="J2538" t="s">
        <v>8355</v>
      </c>
      <c r="K2538" t="s">
        <v>8356</v>
      </c>
    </row>
    <row r="2539" spans="1:11" x14ac:dyDescent="0.4">
      <c r="A2539" t="s">
        <v>2271</v>
      </c>
      <c r="B2539">
        <v>100</v>
      </c>
      <c r="C2539" t="s">
        <v>1380</v>
      </c>
      <c r="D2539">
        <v>5</v>
      </c>
      <c r="E2539">
        <v>0.58699999999999997</v>
      </c>
      <c r="F2539">
        <v>1</v>
      </c>
      <c r="G2539">
        <v>2024</v>
      </c>
      <c r="H2539" t="s">
        <v>928</v>
      </c>
      <c r="I2539" t="s">
        <v>6063</v>
      </c>
      <c r="J2539" t="s">
        <v>8357</v>
      </c>
      <c r="K2539" t="s">
        <v>9314</v>
      </c>
    </row>
    <row r="2540" spans="1:11" x14ac:dyDescent="0.4">
      <c r="A2540" t="s">
        <v>2265</v>
      </c>
      <c r="B2540">
        <v>100</v>
      </c>
      <c r="C2540" t="s">
        <v>1380</v>
      </c>
      <c r="D2540">
        <v>5</v>
      </c>
      <c r="E2540">
        <v>0.58699999999999997</v>
      </c>
      <c r="F2540">
        <v>1</v>
      </c>
      <c r="G2540">
        <v>2024</v>
      </c>
      <c r="H2540" t="s">
        <v>928</v>
      </c>
      <c r="I2540" t="s">
        <v>6063</v>
      </c>
      <c r="J2540" t="s">
        <v>8992</v>
      </c>
      <c r="K2540" t="s">
        <v>6809</v>
      </c>
    </row>
    <row r="2541" spans="1:11" x14ac:dyDescent="0.4">
      <c r="A2541" t="s">
        <v>3984</v>
      </c>
      <c r="B2541">
        <v>0</v>
      </c>
      <c r="C2541" t="s">
        <v>5716</v>
      </c>
      <c r="D2541">
        <v>1</v>
      </c>
      <c r="E2541">
        <v>-1.67</v>
      </c>
      <c r="F2541">
        <v>0</v>
      </c>
      <c r="G2541">
        <v>2024</v>
      </c>
      <c r="H2541" t="s">
        <v>928</v>
      </c>
      <c r="I2541" t="s">
        <v>6063</v>
      </c>
      <c r="J2541" t="s">
        <v>8358</v>
      </c>
      <c r="K2541" t="s">
        <v>9315</v>
      </c>
    </row>
    <row r="2542" spans="1:11" x14ac:dyDescent="0.4">
      <c r="A2542" t="s">
        <v>4004</v>
      </c>
      <c r="B2542">
        <v>0</v>
      </c>
      <c r="C2542" t="s">
        <v>5716</v>
      </c>
      <c r="D2542">
        <v>1</v>
      </c>
      <c r="E2542">
        <v>-1.67</v>
      </c>
      <c r="F2542">
        <v>0</v>
      </c>
      <c r="G2542">
        <v>2024</v>
      </c>
      <c r="H2542" t="s">
        <v>928</v>
      </c>
      <c r="I2542" t="s">
        <v>6063</v>
      </c>
      <c r="J2542" t="s">
        <v>8359</v>
      </c>
      <c r="K2542" t="s">
        <v>9316</v>
      </c>
    </row>
    <row r="2543" spans="1:11" x14ac:dyDescent="0.4">
      <c r="A2543" t="s">
        <v>4008</v>
      </c>
      <c r="B2543">
        <v>0</v>
      </c>
      <c r="C2543" t="s">
        <v>5716</v>
      </c>
      <c r="D2543">
        <v>1</v>
      </c>
      <c r="E2543">
        <v>-1.67</v>
      </c>
      <c r="F2543">
        <v>0</v>
      </c>
      <c r="G2543">
        <v>2024</v>
      </c>
      <c r="H2543" t="s">
        <v>928</v>
      </c>
      <c r="I2543" t="s">
        <v>6063</v>
      </c>
      <c r="J2543" t="s">
        <v>8360</v>
      </c>
      <c r="K2543" t="s">
        <v>9317</v>
      </c>
    </row>
    <row r="2544" spans="1:11" x14ac:dyDescent="0.4">
      <c r="A2544" t="s">
        <v>4006</v>
      </c>
      <c r="B2544">
        <v>100</v>
      </c>
      <c r="C2544" t="s">
        <v>1380</v>
      </c>
      <c r="D2544">
        <v>5</v>
      </c>
      <c r="E2544">
        <v>0.58699999999999997</v>
      </c>
      <c r="F2544">
        <v>1</v>
      </c>
      <c r="G2544">
        <v>2024</v>
      </c>
      <c r="H2544" t="s">
        <v>928</v>
      </c>
      <c r="I2544" t="s">
        <v>6063</v>
      </c>
      <c r="J2544" t="s">
        <v>8361</v>
      </c>
      <c r="K2544" t="s">
        <v>9318</v>
      </c>
    </row>
    <row r="2545" spans="1:11" x14ac:dyDescent="0.4">
      <c r="A2545" t="s">
        <v>3994</v>
      </c>
      <c r="B2545">
        <v>100</v>
      </c>
      <c r="C2545" t="s">
        <v>1380</v>
      </c>
      <c r="D2545">
        <v>5</v>
      </c>
      <c r="E2545">
        <v>0.58699999999999997</v>
      </c>
      <c r="F2545">
        <v>1</v>
      </c>
      <c r="G2545">
        <v>2024</v>
      </c>
      <c r="H2545" t="s">
        <v>928</v>
      </c>
      <c r="I2545" t="s">
        <v>6063</v>
      </c>
      <c r="J2545" t="s">
        <v>8362</v>
      </c>
      <c r="K2545" t="s">
        <v>9319</v>
      </c>
    </row>
    <row r="2546" spans="1:11" x14ac:dyDescent="0.4">
      <c r="A2546" t="s">
        <v>3983</v>
      </c>
      <c r="B2546">
        <v>100</v>
      </c>
      <c r="C2546" t="s">
        <v>1380</v>
      </c>
      <c r="D2546">
        <v>5</v>
      </c>
      <c r="E2546">
        <v>0.58699999999999997</v>
      </c>
      <c r="F2546">
        <v>1</v>
      </c>
      <c r="G2546">
        <v>2024</v>
      </c>
      <c r="H2546" t="s">
        <v>928</v>
      </c>
      <c r="I2546" t="s">
        <v>6063</v>
      </c>
      <c r="J2546" t="s">
        <v>8363</v>
      </c>
      <c r="K2546" t="s">
        <v>8364</v>
      </c>
    </row>
    <row r="2547" spans="1:11" x14ac:dyDescent="0.4">
      <c r="A2547" t="s">
        <v>3997</v>
      </c>
      <c r="B2547">
        <v>100</v>
      </c>
      <c r="C2547" t="s">
        <v>1380</v>
      </c>
      <c r="D2547">
        <v>5</v>
      </c>
      <c r="E2547">
        <v>0.58699999999999997</v>
      </c>
      <c r="F2547">
        <v>1</v>
      </c>
      <c r="G2547">
        <v>2024</v>
      </c>
      <c r="H2547" t="s">
        <v>928</v>
      </c>
      <c r="I2547" t="s">
        <v>6063</v>
      </c>
      <c r="J2547" t="s">
        <v>8365</v>
      </c>
      <c r="K2547" t="s">
        <v>8366</v>
      </c>
    </row>
    <row r="2548" spans="1:11" x14ac:dyDescent="0.4">
      <c r="A2548" t="s">
        <v>3998</v>
      </c>
      <c r="B2548">
        <v>100</v>
      </c>
      <c r="C2548" t="s">
        <v>1380</v>
      </c>
      <c r="D2548">
        <v>5</v>
      </c>
      <c r="E2548">
        <v>0.58699999999999997</v>
      </c>
      <c r="F2548">
        <v>1</v>
      </c>
      <c r="G2548">
        <v>2024</v>
      </c>
      <c r="H2548" t="s">
        <v>928</v>
      </c>
      <c r="I2548" t="s">
        <v>6063</v>
      </c>
      <c r="J2548" t="s">
        <v>8367</v>
      </c>
      <c r="K2548" t="s">
        <v>9320</v>
      </c>
    </row>
    <row r="2549" spans="1:11" x14ac:dyDescent="0.4">
      <c r="A2549" t="s">
        <v>4016</v>
      </c>
      <c r="B2549">
        <v>100</v>
      </c>
      <c r="C2549" t="s">
        <v>1380</v>
      </c>
      <c r="D2549">
        <v>5</v>
      </c>
      <c r="E2549">
        <v>0.58699999999999997</v>
      </c>
      <c r="F2549">
        <v>1</v>
      </c>
      <c r="G2549">
        <v>2024</v>
      </c>
      <c r="H2549" t="s">
        <v>928</v>
      </c>
      <c r="I2549" t="s">
        <v>6063</v>
      </c>
      <c r="J2549" t="s">
        <v>8368</v>
      </c>
      <c r="K2549" t="s">
        <v>9321</v>
      </c>
    </row>
    <row r="2550" spans="1:11" x14ac:dyDescent="0.4">
      <c r="A2550" t="s">
        <v>2266</v>
      </c>
      <c r="B2550">
        <v>100</v>
      </c>
      <c r="C2550" t="s">
        <v>1380</v>
      </c>
      <c r="D2550">
        <v>5</v>
      </c>
      <c r="E2550">
        <v>0.58699999999999997</v>
      </c>
      <c r="F2550">
        <v>1</v>
      </c>
      <c r="G2550">
        <v>2024</v>
      </c>
      <c r="H2550" t="s">
        <v>928</v>
      </c>
      <c r="I2550" t="s">
        <v>6063</v>
      </c>
      <c r="J2550" t="s">
        <v>8369</v>
      </c>
      <c r="K2550" t="s">
        <v>6835</v>
      </c>
    </row>
    <row r="2551" spans="1:11" x14ac:dyDescent="0.4">
      <c r="A2551" t="s">
        <v>2270</v>
      </c>
      <c r="B2551">
        <v>0</v>
      </c>
      <c r="C2551" t="s">
        <v>5716</v>
      </c>
      <c r="D2551">
        <v>1</v>
      </c>
      <c r="E2551">
        <v>-1.67</v>
      </c>
      <c r="F2551">
        <v>0</v>
      </c>
      <c r="G2551">
        <v>2024</v>
      </c>
      <c r="H2551" t="s">
        <v>928</v>
      </c>
      <c r="I2551" t="s">
        <v>6063</v>
      </c>
      <c r="J2551" t="s">
        <v>8370</v>
      </c>
      <c r="K2551" t="s">
        <v>8371</v>
      </c>
    </row>
    <row r="2552" spans="1:11" x14ac:dyDescent="0.4">
      <c r="A2552" t="s">
        <v>3999</v>
      </c>
      <c r="B2552">
        <v>100</v>
      </c>
      <c r="C2552" t="s">
        <v>1380</v>
      </c>
      <c r="D2552">
        <v>5</v>
      </c>
      <c r="E2552">
        <v>0.58699999999999997</v>
      </c>
      <c r="F2552">
        <v>1</v>
      </c>
      <c r="G2552">
        <v>2024</v>
      </c>
      <c r="H2552" t="s">
        <v>928</v>
      </c>
      <c r="I2552" t="s">
        <v>6063</v>
      </c>
      <c r="J2552" t="s">
        <v>6846</v>
      </c>
      <c r="K2552" t="s">
        <v>6847</v>
      </c>
    </row>
    <row r="2553" spans="1:11" x14ac:dyDescent="0.4">
      <c r="A2553" t="s">
        <v>4005</v>
      </c>
      <c r="B2553">
        <v>0</v>
      </c>
      <c r="C2553" t="s">
        <v>5716</v>
      </c>
      <c r="D2553">
        <v>1</v>
      </c>
      <c r="E2553">
        <v>-1.67</v>
      </c>
      <c r="F2553">
        <v>0</v>
      </c>
      <c r="G2553">
        <v>2024</v>
      </c>
      <c r="H2553" t="s">
        <v>928</v>
      </c>
      <c r="I2553" t="s">
        <v>6063</v>
      </c>
      <c r="J2553" t="s">
        <v>8372</v>
      </c>
      <c r="K2553" t="s">
        <v>9322</v>
      </c>
    </row>
    <row r="2554" spans="1:11" x14ac:dyDescent="0.4">
      <c r="A2554" t="s">
        <v>3986</v>
      </c>
      <c r="B2554">
        <v>0</v>
      </c>
      <c r="C2554" t="s">
        <v>5716</v>
      </c>
      <c r="D2554">
        <v>1</v>
      </c>
      <c r="E2554">
        <v>-1.67</v>
      </c>
      <c r="F2554">
        <v>0</v>
      </c>
      <c r="G2554">
        <v>2024</v>
      </c>
      <c r="H2554" t="s">
        <v>928</v>
      </c>
      <c r="I2554" t="s">
        <v>6063</v>
      </c>
      <c r="J2554" t="s">
        <v>8373</v>
      </c>
      <c r="K2554" t="s">
        <v>9323</v>
      </c>
    </row>
    <row r="2555" spans="1:11" x14ac:dyDescent="0.4">
      <c r="A2555" t="s">
        <v>5878</v>
      </c>
      <c r="B2555">
        <v>100</v>
      </c>
      <c r="C2555" t="s">
        <v>1380</v>
      </c>
      <c r="D2555">
        <v>5</v>
      </c>
      <c r="E2555">
        <v>0.58699999999999997</v>
      </c>
      <c r="F2555">
        <v>1</v>
      </c>
      <c r="G2555">
        <v>2024</v>
      </c>
      <c r="H2555" t="s">
        <v>928</v>
      </c>
      <c r="I2555" t="s">
        <v>6063</v>
      </c>
      <c r="J2555" t="s">
        <v>8374</v>
      </c>
      <c r="K2555" t="s">
        <v>9324</v>
      </c>
    </row>
    <row r="2556" spans="1:11" x14ac:dyDescent="0.4">
      <c r="A2556" t="s">
        <v>4009</v>
      </c>
      <c r="B2556">
        <v>100</v>
      </c>
      <c r="C2556" t="s">
        <v>1380</v>
      </c>
      <c r="D2556">
        <v>5</v>
      </c>
      <c r="E2556">
        <v>0.58699999999999997</v>
      </c>
      <c r="F2556">
        <v>1</v>
      </c>
      <c r="G2556">
        <v>2024</v>
      </c>
      <c r="H2556" t="s">
        <v>928</v>
      </c>
      <c r="I2556" t="s">
        <v>6063</v>
      </c>
      <c r="J2556" t="s">
        <v>8375</v>
      </c>
      <c r="K2556" t="s">
        <v>8376</v>
      </c>
    </row>
    <row r="2557" spans="1:11" x14ac:dyDescent="0.4">
      <c r="A2557" t="s">
        <v>5879</v>
      </c>
      <c r="B2557">
        <v>0</v>
      </c>
      <c r="C2557" t="s">
        <v>5716</v>
      </c>
      <c r="D2557">
        <v>1</v>
      </c>
      <c r="E2557">
        <v>-1.67</v>
      </c>
      <c r="F2557">
        <v>0</v>
      </c>
      <c r="G2557">
        <v>2024</v>
      </c>
      <c r="H2557" t="s">
        <v>928</v>
      </c>
      <c r="I2557" t="s">
        <v>6063</v>
      </c>
      <c r="J2557" t="s">
        <v>8377</v>
      </c>
      <c r="K2557" t="s">
        <v>9325</v>
      </c>
    </row>
    <row r="2558" spans="1:11" x14ac:dyDescent="0.4">
      <c r="A2558" t="s">
        <v>4017</v>
      </c>
      <c r="B2558">
        <v>100</v>
      </c>
      <c r="C2558" t="s">
        <v>1380</v>
      </c>
      <c r="D2558">
        <v>5</v>
      </c>
      <c r="E2558">
        <v>0.58699999999999997</v>
      </c>
      <c r="F2558">
        <v>1</v>
      </c>
      <c r="G2558">
        <v>2024</v>
      </c>
      <c r="H2558" t="s">
        <v>928</v>
      </c>
      <c r="I2558" t="s">
        <v>6063</v>
      </c>
      <c r="J2558" t="s">
        <v>6848</v>
      </c>
      <c r="K2558" t="s">
        <v>8378</v>
      </c>
    </row>
    <row r="2559" spans="1:11" x14ac:dyDescent="0.4">
      <c r="A2559" t="s">
        <v>3992</v>
      </c>
      <c r="B2559">
        <v>0</v>
      </c>
      <c r="C2559" t="s">
        <v>5716</v>
      </c>
      <c r="D2559">
        <v>1</v>
      </c>
      <c r="E2559">
        <v>-1.67</v>
      </c>
      <c r="F2559">
        <v>0</v>
      </c>
      <c r="G2559">
        <v>2024</v>
      </c>
      <c r="H2559" t="s">
        <v>928</v>
      </c>
      <c r="I2559" t="s">
        <v>6063</v>
      </c>
      <c r="J2559" t="s">
        <v>8379</v>
      </c>
      <c r="K2559" t="s">
        <v>9326</v>
      </c>
    </row>
    <row r="2560" spans="1:11" x14ac:dyDescent="0.4">
      <c r="A2560" t="s">
        <v>3996</v>
      </c>
      <c r="B2560">
        <v>0</v>
      </c>
      <c r="C2560" t="s">
        <v>5716</v>
      </c>
      <c r="D2560">
        <v>1</v>
      </c>
      <c r="E2560">
        <v>-1.67</v>
      </c>
      <c r="F2560">
        <v>0</v>
      </c>
      <c r="G2560">
        <v>2024</v>
      </c>
      <c r="H2560" t="s">
        <v>928</v>
      </c>
      <c r="I2560" t="s">
        <v>6063</v>
      </c>
      <c r="J2560" t="s">
        <v>8380</v>
      </c>
      <c r="K2560" t="s">
        <v>6849</v>
      </c>
    </row>
    <row r="2561" spans="1:11" x14ac:dyDescent="0.4">
      <c r="A2561" t="s">
        <v>3990</v>
      </c>
      <c r="B2561">
        <v>100</v>
      </c>
      <c r="C2561" t="s">
        <v>1380</v>
      </c>
      <c r="D2561">
        <v>5</v>
      </c>
      <c r="E2561">
        <v>0.58699999999999997</v>
      </c>
      <c r="F2561">
        <v>1</v>
      </c>
      <c r="G2561">
        <v>2024</v>
      </c>
      <c r="H2561" t="s">
        <v>928</v>
      </c>
      <c r="I2561" t="s">
        <v>6063</v>
      </c>
      <c r="J2561" t="s">
        <v>8381</v>
      </c>
      <c r="K2561" t="s">
        <v>8382</v>
      </c>
    </row>
    <row r="2562" spans="1:11" x14ac:dyDescent="0.4">
      <c r="A2562" t="s">
        <v>5880</v>
      </c>
      <c r="B2562">
        <v>100</v>
      </c>
      <c r="C2562" t="s">
        <v>1380</v>
      </c>
      <c r="D2562">
        <v>5</v>
      </c>
      <c r="E2562">
        <v>0.58699999999999997</v>
      </c>
      <c r="F2562">
        <v>1</v>
      </c>
      <c r="G2562">
        <v>2024</v>
      </c>
      <c r="H2562" t="s">
        <v>928</v>
      </c>
      <c r="I2562" t="s">
        <v>6063</v>
      </c>
      <c r="J2562" t="s">
        <v>8383</v>
      </c>
      <c r="K2562" t="s">
        <v>8384</v>
      </c>
    </row>
    <row r="2563" spans="1:11" x14ac:dyDescent="0.4">
      <c r="A2563" t="s">
        <v>4010</v>
      </c>
      <c r="B2563">
        <v>100</v>
      </c>
      <c r="C2563" t="s">
        <v>1380</v>
      </c>
      <c r="D2563">
        <v>5</v>
      </c>
      <c r="E2563">
        <v>0.58699999999999997</v>
      </c>
      <c r="F2563">
        <v>1</v>
      </c>
      <c r="G2563">
        <v>2024</v>
      </c>
      <c r="H2563" t="s">
        <v>928</v>
      </c>
      <c r="I2563" t="s">
        <v>6063</v>
      </c>
      <c r="J2563" t="s">
        <v>8385</v>
      </c>
      <c r="K2563" t="s">
        <v>8386</v>
      </c>
    </row>
    <row r="2564" spans="1:11" x14ac:dyDescent="0.4">
      <c r="A2564" t="s">
        <v>2267</v>
      </c>
      <c r="B2564">
        <v>0</v>
      </c>
      <c r="C2564" t="s">
        <v>5716</v>
      </c>
      <c r="D2564">
        <v>1</v>
      </c>
      <c r="E2564">
        <v>-1.67</v>
      </c>
      <c r="F2564">
        <v>0</v>
      </c>
      <c r="G2564">
        <v>2024</v>
      </c>
      <c r="H2564" t="s">
        <v>928</v>
      </c>
      <c r="I2564" t="s">
        <v>6063</v>
      </c>
      <c r="J2564" t="s">
        <v>8387</v>
      </c>
      <c r="K2564" t="s">
        <v>8388</v>
      </c>
    </row>
    <row r="2565" spans="1:11" x14ac:dyDescent="0.4">
      <c r="A2565" t="s">
        <v>2268</v>
      </c>
      <c r="B2565">
        <v>100</v>
      </c>
      <c r="C2565" t="s">
        <v>1380</v>
      </c>
      <c r="D2565">
        <v>5</v>
      </c>
      <c r="E2565">
        <v>0.58699999999999997</v>
      </c>
      <c r="F2565">
        <v>1</v>
      </c>
      <c r="G2565">
        <v>2024</v>
      </c>
      <c r="H2565" t="s">
        <v>928</v>
      </c>
      <c r="I2565" t="s">
        <v>6063</v>
      </c>
      <c r="J2565" t="s">
        <v>8389</v>
      </c>
      <c r="K2565" t="s">
        <v>6827</v>
      </c>
    </row>
    <row r="2566" spans="1:11" x14ac:dyDescent="0.4">
      <c r="A2566" t="s">
        <v>4013</v>
      </c>
      <c r="B2566">
        <v>100</v>
      </c>
      <c r="C2566" t="s">
        <v>1380</v>
      </c>
      <c r="D2566">
        <v>5</v>
      </c>
      <c r="E2566">
        <v>0.58699999999999997</v>
      </c>
      <c r="F2566">
        <v>1</v>
      </c>
      <c r="G2566">
        <v>2024</v>
      </c>
      <c r="H2566" t="s">
        <v>928</v>
      </c>
      <c r="I2566" t="s">
        <v>6063</v>
      </c>
      <c r="J2566" t="s">
        <v>8390</v>
      </c>
      <c r="K2566" t="s">
        <v>9241</v>
      </c>
    </row>
    <row r="2567" spans="1:11" x14ac:dyDescent="0.4">
      <c r="A2567" t="s">
        <v>2269</v>
      </c>
      <c r="B2567">
        <v>100</v>
      </c>
      <c r="C2567" t="s">
        <v>1380</v>
      </c>
      <c r="D2567">
        <v>5</v>
      </c>
      <c r="E2567">
        <v>0.58699999999999997</v>
      </c>
      <c r="F2567">
        <v>1</v>
      </c>
      <c r="G2567">
        <v>2024</v>
      </c>
      <c r="H2567" t="s">
        <v>928</v>
      </c>
      <c r="I2567" t="s">
        <v>6063</v>
      </c>
      <c r="J2567" t="s">
        <v>8391</v>
      </c>
      <c r="K2567" t="s">
        <v>9242</v>
      </c>
    </row>
    <row r="2568" spans="1:11" x14ac:dyDescent="0.4">
      <c r="A2568" t="s">
        <v>3988</v>
      </c>
      <c r="B2568">
        <v>100</v>
      </c>
      <c r="C2568" t="s">
        <v>1380</v>
      </c>
      <c r="D2568">
        <v>5</v>
      </c>
      <c r="E2568">
        <v>0.58699999999999997</v>
      </c>
      <c r="F2568">
        <v>1</v>
      </c>
      <c r="G2568">
        <v>2024</v>
      </c>
      <c r="H2568" t="s">
        <v>928</v>
      </c>
      <c r="I2568" t="s">
        <v>6063</v>
      </c>
      <c r="J2568" t="s">
        <v>8392</v>
      </c>
      <c r="K2568" t="s">
        <v>8049</v>
      </c>
    </row>
    <row r="2569" spans="1:11" x14ac:dyDescent="0.4">
      <c r="A2569" t="s">
        <v>4002</v>
      </c>
      <c r="B2569">
        <v>100</v>
      </c>
      <c r="C2569" t="s">
        <v>1380</v>
      </c>
      <c r="D2569">
        <v>5</v>
      </c>
      <c r="E2569">
        <v>0.58699999999999997</v>
      </c>
      <c r="F2569">
        <v>1</v>
      </c>
      <c r="G2569">
        <v>2024</v>
      </c>
      <c r="H2569" t="s">
        <v>928</v>
      </c>
      <c r="I2569" t="s">
        <v>6063</v>
      </c>
      <c r="J2569" t="s">
        <v>8393</v>
      </c>
      <c r="K2569" t="s">
        <v>6806</v>
      </c>
    </row>
    <row r="2570" spans="1:11" x14ac:dyDescent="0.4">
      <c r="A2570" t="s">
        <v>4012</v>
      </c>
      <c r="B2570">
        <v>100</v>
      </c>
      <c r="C2570" t="s">
        <v>1380</v>
      </c>
      <c r="D2570">
        <v>5</v>
      </c>
      <c r="E2570">
        <v>0.58699999999999997</v>
      </c>
      <c r="F2570">
        <v>1</v>
      </c>
      <c r="G2570">
        <v>2024</v>
      </c>
      <c r="H2570" t="s">
        <v>928</v>
      </c>
      <c r="I2570" t="s">
        <v>6063</v>
      </c>
      <c r="J2570" t="s">
        <v>8394</v>
      </c>
      <c r="K2570" t="s">
        <v>8395</v>
      </c>
    </row>
    <row r="2571" spans="1:11" x14ac:dyDescent="0.4">
      <c r="A2571" t="s">
        <v>4003</v>
      </c>
      <c r="B2571">
        <v>0</v>
      </c>
      <c r="C2571" t="s">
        <v>5716</v>
      </c>
      <c r="D2571">
        <v>1</v>
      </c>
      <c r="E2571">
        <v>-1.67</v>
      </c>
      <c r="F2571">
        <v>0</v>
      </c>
      <c r="G2571">
        <v>2024</v>
      </c>
      <c r="H2571" t="s">
        <v>928</v>
      </c>
      <c r="I2571" t="s">
        <v>6063</v>
      </c>
      <c r="J2571" t="s">
        <v>8396</v>
      </c>
      <c r="K2571" t="s">
        <v>9327</v>
      </c>
    </row>
    <row r="2572" spans="1:11" x14ac:dyDescent="0.4">
      <c r="A2572" t="s">
        <v>2273</v>
      </c>
      <c r="B2572">
        <v>74</v>
      </c>
      <c r="C2572" t="s">
        <v>197</v>
      </c>
      <c r="D2572">
        <v>4</v>
      </c>
    </row>
    <row r="2573" spans="1:11" x14ac:dyDescent="0.4">
      <c r="A2573" t="s">
        <v>2274</v>
      </c>
      <c r="B2573">
        <v>40</v>
      </c>
      <c r="C2573" t="s">
        <v>197</v>
      </c>
      <c r="D2573">
        <v>3</v>
      </c>
    </row>
    <row r="2574" spans="1:11" x14ac:dyDescent="0.4">
      <c r="A2574" t="s">
        <v>2275</v>
      </c>
      <c r="B2574">
        <v>85.7</v>
      </c>
      <c r="C2574" t="s">
        <v>197</v>
      </c>
      <c r="D2574">
        <v>5</v>
      </c>
    </row>
    <row r="2575" spans="1:11" x14ac:dyDescent="0.4">
      <c r="A2575" t="s">
        <v>2276</v>
      </c>
      <c r="B2575">
        <v>75</v>
      </c>
      <c r="C2575" t="s">
        <v>197</v>
      </c>
      <c r="D2575">
        <v>4</v>
      </c>
    </row>
    <row r="2576" spans="1:11" x14ac:dyDescent="0.4">
      <c r="A2576" t="s">
        <v>2277</v>
      </c>
      <c r="B2576">
        <v>80</v>
      </c>
      <c r="C2576" t="s">
        <v>197</v>
      </c>
      <c r="D2576">
        <v>5</v>
      </c>
    </row>
    <row r="2577" spans="1:5" x14ac:dyDescent="0.4">
      <c r="A2577" t="s">
        <v>2596</v>
      </c>
      <c r="B2577">
        <v>50</v>
      </c>
      <c r="C2577" t="s">
        <v>197</v>
      </c>
      <c r="D2577">
        <v>3</v>
      </c>
    </row>
    <row r="2578" spans="1:5" x14ac:dyDescent="0.4">
      <c r="A2578" t="s">
        <v>2597</v>
      </c>
      <c r="B2578">
        <v>92.9</v>
      </c>
      <c r="C2578" t="s">
        <v>197</v>
      </c>
      <c r="D2578">
        <v>5</v>
      </c>
    </row>
    <row r="2579" spans="1:5" x14ac:dyDescent="0.4">
      <c r="A2579" t="s">
        <v>7381</v>
      </c>
      <c r="B2579">
        <v>56.3</v>
      </c>
      <c r="C2579" t="s">
        <v>197</v>
      </c>
      <c r="D2579">
        <v>3</v>
      </c>
    </row>
    <row r="2580" spans="1:5" x14ac:dyDescent="0.4">
      <c r="A2580" t="s">
        <v>7382</v>
      </c>
      <c r="B2580">
        <v>72.7</v>
      </c>
      <c r="C2580" t="s">
        <v>197</v>
      </c>
      <c r="D2580">
        <v>4</v>
      </c>
    </row>
    <row r="2581" spans="1:5" x14ac:dyDescent="0.4">
      <c r="A2581" t="s">
        <v>7383</v>
      </c>
      <c r="B2581">
        <v>87</v>
      </c>
      <c r="C2581" t="s">
        <v>197</v>
      </c>
      <c r="D2581">
        <v>5</v>
      </c>
    </row>
    <row r="2582" spans="1:5" x14ac:dyDescent="0.4">
      <c r="A2582" t="s">
        <v>4442</v>
      </c>
      <c r="B2582">
        <v>30.5</v>
      </c>
      <c r="C2582" t="s">
        <v>5730</v>
      </c>
      <c r="D2582">
        <v>2</v>
      </c>
      <c r="E2582">
        <v>-6.4000000000000001E-2</v>
      </c>
    </row>
    <row r="2583" spans="1:5" x14ac:dyDescent="0.4">
      <c r="A2583" t="s">
        <v>4440</v>
      </c>
      <c r="B2583">
        <v>22.4</v>
      </c>
      <c r="C2583" t="s">
        <v>5703</v>
      </c>
      <c r="D2583">
        <v>2</v>
      </c>
      <c r="E2583">
        <v>-0.46</v>
      </c>
    </row>
    <row r="2584" spans="1:5" x14ac:dyDescent="0.4">
      <c r="A2584" t="s">
        <v>4446</v>
      </c>
      <c r="B2584">
        <v>72.3</v>
      </c>
      <c r="C2584" t="s">
        <v>2478</v>
      </c>
      <c r="D2584">
        <v>4</v>
      </c>
      <c r="E2584">
        <v>1.984</v>
      </c>
    </row>
    <row r="2585" spans="1:5" x14ac:dyDescent="0.4">
      <c r="A2585" t="s">
        <v>4470</v>
      </c>
      <c r="B2585">
        <v>16.2</v>
      </c>
      <c r="C2585" t="s">
        <v>5724</v>
      </c>
      <c r="D2585">
        <v>1</v>
      </c>
      <c r="E2585">
        <v>-0.76400000000000001</v>
      </c>
    </row>
    <row r="2586" spans="1:5" x14ac:dyDescent="0.4">
      <c r="A2586" t="s">
        <v>2451</v>
      </c>
      <c r="B2586">
        <v>67</v>
      </c>
      <c r="C2586" t="s">
        <v>2474</v>
      </c>
      <c r="D2586">
        <v>4</v>
      </c>
      <c r="E2586">
        <v>1.724</v>
      </c>
    </row>
    <row r="2587" spans="1:5" x14ac:dyDescent="0.4">
      <c r="A2587" t="s">
        <v>4466</v>
      </c>
      <c r="B2587">
        <v>22</v>
      </c>
      <c r="C2587" t="s">
        <v>6041</v>
      </c>
      <c r="D2587">
        <v>2</v>
      </c>
      <c r="E2587">
        <v>-0.48</v>
      </c>
    </row>
    <row r="2588" spans="1:5" x14ac:dyDescent="0.4">
      <c r="A2588" t="s">
        <v>4450</v>
      </c>
      <c r="B2588">
        <v>16.3</v>
      </c>
      <c r="C2588" t="s">
        <v>5728</v>
      </c>
      <c r="D2588">
        <v>1</v>
      </c>
      <c r="E2588">
        <v>-0.75900000000000001</v>
      </c>
    </row>
    <row r="2589" spans="1:5" x14ac:dyDescent="0.4">
      <c r="A2589" t="s">
        <v>4444</v>
      </c>
      <c r="B2589">
        <v>19.2</v>
      </c>
      <c r="C2589" t="s">
        <v>5702</v>
      </c>
      <c r="D2589">
        <v>1</v>
      </c>
      <c r="E2589">
        <v>-0.61699999999999999</v>
      </c>
    </row>
    <row r="2590" spans="1:5" x14ac:dyDescent="0.4">
      <c r="A2590" t="s">
        <v>4456</v>
      </c>
      <c r="B2590">
        <v>18</v>
      </c>
      <c r="C2590" t="s">
        <v>5709</v>
      </c>
      <c r="D2590">
        <v>1</v>
      </c>
      <c r="E2590">
        <v>-0.67600000000000005</v>
      </c>
    </row>
    <row r="2591" spans="1:5" x14ac:dyDescent="0.4">
      <c r="A2591" t="s">
        <v>4448</v>
      </c>
      <c r="B2591">
        <v>21.4</v>
      </c>
      <c r="C2591" t="s">
        <v>5733</v>
      </c>
      <c r="D2591">
        <v>2</v>
      </c>
      <c r="E2591">
        <v>-0.50900000000000001</v>
      </c>
    </row>
    <row r="2592" spans="1:5" x14ac:dyDescent="0.4">
      <c r="A2592" t="s">
        <v>5991</v>
      </c>
      <c r="B2592">
        <v>17.600000000000001</v>
      </c>
      <c r="C2592" t="s">
        <v>5708</v>
      </c>
      <c r="D2592">
        <v>1</v>
      </c>
      <c r="E2592">
        <v>-0.69599999999999995</v>
      </c>
    </row>
    <row r="2593" spans="1:5" x14ac:dyDescent="0.4">
      <c r="A2593" t="s">
        <v>4462</v>
      </c>
      <c r="B2593">
        <v>25.8</v>
      </c>
      <c r="C2593" t="s">
        <v>6043</v>
      </c>
      <c r="D2593">
        <v>2</v>
      </c>
      <c r="E2593">
        <v>-0.29399999999999998</v>
      </c>
    </row>
    <row r="2594" spans="1:5" x14ac:dyDescent="0.4">
      <c r="A2594" t="s">
        <v>2452</v>
      </c>
      <c r="B2594">
        <v>28.8</v>
      </c>
      <c r="C2594" t="s">
        <v>5701</v>
      </c>
      <c r="D2594">
        <v>2</v>
      </c>
      <c r="E2594">
        <v>-0.14699999999999999</v>
      </c>
    </row>
    <row r="2595" spans="1:5" x14ac:dyDescent="0.4">
      <c r="A2595" t="s">
        <v>2461</v>
      </c>
      <c r="B2595">
        <v>15.9</v>
      </c>
      <c r="C2595" t="s">
        <v>6040</v>
      </c>
      <c r="D2595">
        <v>1</v>
      </c>
      <c r="E2595">
        <v>-0.77900000000000003</v>
      </c>
    </row>
    <row r="2596" spans="1:5" x14ac:dyDescent="0.4">
      <c r="A2596" t="s">
        <v>4455</v>
      </c>
      <c r="B2596">
        <v>68.400000000000006</v>
      </c>
      <c r="C2596" t="s">
        <v>2482</v>
      </c>
      <c r="D2596">
        <v>4</v>
      </c>
      <c r="E2596">
        <v>1.7929999999999999</v>
      </c>
    </row>
    <row r="2597" spans="1:5" x14ac:dyDescent="0.4">
      <c r="A2597" t="s">
        <v>4469</v>
      </c>
      <c r="B2597">
        <v>23.3</v>
      </c>
      <c r="C2597" t="s">
        <v>5731</v>
      </c>
      <c r="D2597">
        <v>2</v>
      </c>
      <c r="E2597">
        <v>-0.41599999999999998</v>
      </c>
    </row>
    <row r="2598" spans="1:5" x14ac:dyDescent="0.4">
      <c r="A2598" t="s">
        <v>2453</v>
      </c>
      <c r="B2598">
        <v>68.5</v>
      </c>
      <c r="C2598" t="s">
        <v>2483</v>
      </c>
      <c r="D2598">
        <v>4</v>
      </c>
      <c r="E2598">
        <v>1.798</v>
      </c>
    </row>
    <row r="2599" spans="1:5" x14ac:dyDescent="0.4">
      <c r="A2599" t="s">
        <v>2460</v>
      </c>
      <c r="B2599">
        <v>22.5</v>
      </c>
      <c r="C2599" t="s">
        <v>5700</v>
      </c>
      <c r="D2599">
        <v>2</v>
      </c>
      <c r="E2599">
        <v>-0.45600000000000002</v>
      </c>
    </row>
    <row r="2600" spans="1:5" x14ac:dyDescent="0.4">
      <c r="A2600" t="s">
        <v>2454</v>
      </c>
      <c r="B2600">
        <v>75.7</v>
      </c>
      <c r="C2600" t="s">
        <v>2479</v>
      </c>
      <c r="D2600">
        <v>4</v>
      </c>
      <c r="E2600">
        <v>2.15</v>
      </c>
    </row>
    <row r="2601" spans="1:5" x14ac:dyDescent="0.4">
      <c r="A2601" t="s">
        <v>4439</v>
      </c>
      <c r="B2601">
        <v>24.1</v>
      </c>
      <c r="C2601" t="s">
        <v>6579</v>
      </c>
      <c r="D2601">
        <v>2</v>
      </c>
      <c r="E2601">
        <v>-0.377</v>
      </c>
    </row>
    <row r="2602" spans="1:5" x14ac:dyDescent="0.4">
      <c r="A2602" t="s">
        <v>4459</v>
      </c>
      <c r="B2602">
        <v>23.8</v>
      </c>
      <c r="C2602" t="s">
        <v>6034</v>
      </c>
      <c r="D2602">
        <v>2</v>
      </c>
      <c r="E2602">
        <v>-0.39200000000000002</v>
      </c>
    </row>
    <row r="2603" spans="1:5" x14ac:dyDescent="0.4">
      <c r="A2603" t="s">
        <v>4463</v>
      </c>
      <c r="B2603">
        <v>25.8</v>
      </c>
      <c r="C2603" t="s">
        <v>6043</v>
      </c>
      <c r="D2603">
        <v>2</v>
      </c>
      <c r="E2603">
        <v>-0.29399999999999998</v>
      </c>
    </row>
    <row r="2604" spans="1:5" x14ac:dyDescent="0.4">
      <c r="A2604" t="s">
        <v>4461</v>
      </c>
      <c r="B2604">
        <v>25.8</v>
      </c>
      <c r="C2604" t="s">
        <v>6043</v>
      </c>
      <c r="D2604">
        <v>2</v>
      </c>
      <c r="E2604">
        <v>-0.29399999999999998</v>
      </c>
    </row>
    <row r="2605" spans="1:5" x14ac:dyDescent="0.4">
      <c r="A2605" t="s">
        <v>4449</v>
      </c>
      <c r="B2605">
        <v>17.399999999999999</v>
      </c>
      <c r="C2605" t="s">
        <v>6038</v>
      </c>
      <c r="D2605">
        <v>1</v>
      </c>
      <c r="E2605">
        <v>-0.70499999999999996</v>
      </c>
    </row>
    <row r="2606" spans="1:5" x14ac:dyDescent="0.4">
      <c r="A2606" t="s">
        <v>4438</v>
      </c>
      <c r="B2606">
        <v>24.8</v>
      </c>
      <c r="C2606" t="s">
        <v>6580</v>
      </c>
      <c r="D2606">
        <v>2</v>
      </c>
      <c r="E2606">
        <v>-0.34300000000000003</v>
      </c>
    </row>
    <row r="2607" spans="1:5" x14ac:dyDescent="0.4">
      <c r="A2607" t="s">
        <v>4452</v>
      </c>
      <c r="B2607">
        <v>17.7</v>
      </c>
      <c r="C2607" t="s">
        <v>5698</v>
      </c>
      <c r="D2607">
        <v>1</v>
      </c>
      <c r="E2607">
        <v>-0.69099999999999995</v>
      </c>
    </row>
    <row r="2608" spans="1:5" x14ac:dyDescent="0.4">
      <c r="A2608" t="s">
        <v>4453</v>
      </c>
      <c r="B2608">
        <v>68.8</v>
      </c>
      <c r="C2608" t="s">
        <v>2475</v>
      </c>
      <c r="D2608">
        <v>4</v>
      </c>
      <c r="E2608">
        <v>1.8120000000000001</v>
      </c>
    </row>
    <row r="2609" spans="1:5" x14ac:dyDescent="0.4">
      <c r="A2609" t="s">
        <v>4471</v>
      </c>
      <c r="B2609">
        <v>20.2</v>
      </c>
      <c r="C2609" t="s">
        <v>5699</v>
      </c>
      <c r="D2609">
        <v>2</v>
      </c>
      <c r="E2609">
        <v>-0.56799999999999995</v>
      </c>
    </row>
    <row r="2610" spans="1:5" x14ac:dyDescent="0.4">
      <c r="A2610" t="s">
        <v>2455</v>
      </c>
      <c r="B2610">
        <v>16.2</v>
      </c>
      <c r="C2610" t="s">
        <v>5724</v>
      </c>
      <c r="D2610">
        <v>1</v>
      </c>
      <c r="E2610">
        <v>-0.76400000000000001</v>
      </c>
    </row>
    <row r="2611" spans="1:5" x14ac:dyDescent="0.4">
      <c r="A2611" t="s">
        <v>2459</v>
      </c>
      <c r="B2611">
        <v>18.7</v>
      </c>
      <c r="C2611" t="s">
        <v>5694</v>
      </c>
      <c r="D2611">
        <v>1</v>
      </c>
      <c r="E2611">
        <v>-0.64200000000000002</v>
      </c>
    </row>
    <row r="2612" spans="1:5" x14ac:dyDescent="0.4">
      <c r="A2612" t="s">
        <v>4454</v>
      </c>
      <c r="B2612">
        <v>15.9</v>
      </c>
      <c r="C2612" t="s">
        <v>6040</v>
      </c>
      <c r="D2612">
        <v>1</v>
      </c>
      <c r="E2612">
        <v>-0.77900000000000003</v>
      </c>
    </row>
    <row r="2613" spans="1:5" x14ac:dyDescent="0.4">
      <c r="A2613" t="s">
        <v>4460</v>
      </c>
      <c r="B2613">
        <v>25.8</v>
      </c>
      <c r="C2613" t="s">
        <v>6043</v>
      </c>
      <c r="D2613">
        <v>2</v>
      </c>
      <c r="E2613">
        <v>-0.29399999999999998</v>
      </c>
    </row>
    <row r="2614" spans="1:5" x14ac:dyDescent="0.4">
      <c r="A2614" t="s">
        <v>4441</v>
      </c>
      <c r="B2614">
        <v>29</v>
      </c>
      <c r="C2614" t="s">
        <v>5696</v>
      </c>
      <c r="D2614">
        <v>2</v>
      </c>
      <c r="E2614">
        <v>-0.13700000000000001</v>
      </c>
    </row>
    <row r="2615" spans="1:5" x14ac:dyDescent="0.4">
      <c r="A2615" t="s">
        <v>5881</v>
      </c>
      <c r="B2615">
        <v>22.3</v>
      </c>
      <c r="C2615" t="s">
        <v>5719</v>
      </c>
      <c r="D2615">
        <v>2</v>
      </c>
      <c r="E2615">
        <v>-0.46500000000000002</v>
      </c>
    </row>
    <row r="2616" spans="1:5" x14ac:dyDescent="0.4">
      <c r="A2616" t="s">
        <v>4464</v>
      </c>
      <c r="B2616">
        <v>68.599999999999994</v>
      </c>
      <c r="C2616" t="s">
        <v>6583</v>
      </c>
      <c r="D2616">
        <v>4</v>
      </c>
      <c r="E2616">
        <v>1.8029999999999999</v>
      </c>
    </row>
    <row r="2617" spans="1:5" x14ac:dyDescent="0.4">
      <c r="A2617" t="s">
        <v>5882</v>
      </c>
      <c r="B2617">
        <v>16</v>
      </c>
      <c r="C2617" t="s">
        <v>6036</v>
      </c>
      <c r="D2617">
        <v>1</v>
      </c>
      <c r="E2617">
        <v>-0.77400000000000002</v>
      </c>
    </row>
    <row r="2618" spans="1:5" x14ac:dyDescent="0.4">
      <c r="A2618" t="s">
        <v>4472</v>
      </c>
      <c r="B2618">
        <v>23.4</v>
      </c>
      <c r="C2618" t="s">
        <v>5732</v>
      </c>
      <c r="D2618">
        <v>2</v>
      </c>
      <c r="E2618">
        <v>-0.41099999999999998</v>
      </c>
    </row>
    <row r="2619" spans="1:5" x14ac:dyDescent="0.4">
      <c r="A2619" t="s">
        <v>4447</v>
      </c>
      <c r="B2619">
        <v>20.8</v>
      </c>
      <c r="C2619" t="s">
        <v>5734</v>
      </c>
      <c r="D2619">
        <v>2</v>
      </c>
      <c r="E2619">
        <v>-0.53900000000000003</v>
      </c>
    </row>
    <row r="2620" spans="1:5" x14ac:dyDescent="0.4">
      <c r="A2620" t="s">
        <v>4451</v>
      </c>
      <c r="B2620">
        <v>17.5</v>
      </c>
      <c r="C2620" t="s">
        <v>5713</v>
      </c>
      <c r="D2620">
        <v>1</v>
      </c>
      <c r="E2620">
        <v>-0.7</v>
      </c>
    </row>
    <row r="2621" spans="1:5" x14ac:dyDescent="0.4">
      <c r="A2621" t="s">
        <v>4445</v>
      </c>
      <c r="B2621">
        <v>22.3</v>
      </c>
      <c r="C2621" t="s">
        <v>5719</v>
      </c>
      <c r="D2621">
        <v>2</v>
      </c>
      <c r="E2621">
        <v>-0.46500000000000002</v>
      </c>
    </row>
    <row r="2622" spans="1:5" x14ac:dyDescent="0.4">
      <c r="A2622" t="s">
        <v>5883</v>
      </c>
      <c r="B2622">
        <v>17.399999999999999</v>
      </c>
      <c r="C2622" t="s">
        <v>6038</v>
      </c>
      <c r="D2622">
        <v>1</v>
      </c>
      <c r="E2622">
        <v>-0.70499999999999996</v>
      </c>
    </row>
    <row r="2623" spans="1:5" x14ac:dyDescent="0.4">
      <c r="A2623" t="s">
        <v>4465</v>
      </c>
      <c r="B2623">
        <v>70.599999999999994</v>
      </c>
      <c r="C2623" t="s">
        <v>2477</v>
      </c>
      <c r="D2623">
        <v>4</v>
      </c>
      <c r="E2623">
        <v>1.901</v>
      </c>
    </row>
    <row r="2624" spans="1:5" x14ac:dyDescent="0.4">
      <c r="A2624" t="s">
        <v>2456</v>
      </c>
      <c r="B2624">
        <v>22</v>
      </c>
      <c r="C2624" t="s">
        <v>6041</v>
      </c>
      <c r="D2624">
        <v>2</v>
      </c>
      <c r="E2624">
        <v>-0.48</v>
      </c>
    </row>
    <row r="2625" spans="1:5" x14ac:dyDescent="0.4">
      <c r="A2625" t="s">
        <v>2457</v>
      </c>
      <c r="B2625">
        <v>68</v>
      </c>
      <c r="C2625" t="s">
        <v>2484</v>
      </c>
      <c r="D2625">
        <v>4</v>
      </c>
      <c r="E2625">
        <v>1.7729999999999999</v>
      </c>
    </row>
    <row r="2626" spans="1:5" x14ac:dyDescent="0.4">
      <c r="A2626" t="s">
        <v>4468</v>
      </c>
      <c r="B2626">
        <v>16.2</v>
      </c>
      <c r="C2626" t="s">
        <v>5724</v>
      </c>
      <c r="D2626">
        <v>1</v>
      </c>
      <c r="E2626">
        <v>-0.76400000000000001</v>
      </c>
    </row>
    <row r="2627" spans="1:5" x14ac:dyDescent="0.4">
      <c r="A2627" t="s">
        <v>2458</v>
      </c>
      <c r="B2627">
        <v>68.599999999999994</v>
      </c>
      <c r="C2627" t="s">
        <v>6583</v>
      </c>
      <c r="D2627">
        <v>4</v>
      </c>
      <c r="E2627">
        <v>1.8029999999999999</v>
      </c>
    </row>
    <row r="2628" spans="1:5" x14ac:dyDescent="0.4">
      <c r="A2628" t="s">
        <v>4443</v>
      </c>
      <c r="B2628">
        <v>19.600000000000001</v>
      </c>
      <c r="C2628" t="s">
        <v>5704</v>
      </c>
      <c r="D2628">
        <v>1</v>
      </c>
      <c r="E2628">
        <v>-0.59799999999999998</v>
      </c>
    </row>
    <row r="2629" spans="1:5" x14ac:dyDescent="0.4">
      <c r="A2629" t="s">
        <v>4457</v>
      </c>
      <c r="B2629">
        <v>64.400000000000006</v>
      </c>
      <c r="C2629" t="s">
        <v>2481</v>
      </c>
      <c r="D2629">
        <v>4</v>
      </c>
      <c r="E2629">
        <v>1.597</v>
      </c>
    </row>
    <row r="2630" spans="1:5" x14ac:dyDescent="0.4">
      <c r="A2630" t="s">
        <v>4467</v>
      </c>
      <c r="B2630">
        <v>22</v>
      </c>
      <c r="C2630" t="s">
        <v>6041</v>
      </c>
      <c r="D2630">
        <v>2</v>
      </c>
      <c r="E2630">
        <v>-0.48</v>
      </c>
    </row>
    <row r="2631" spans="1:5" x14ac:dyDescent="0.4">
      <c r="A2631" t="s">
        <v>4458</v>
      </c>
      <c r="B2631">
        <v>23.2</v>
      </c>
      <c r="C2631" t="s">
        <v>5729</v>
      </c>
      <c r="D2631">
        <v>2</v>
      </c>
      <c r="E2631">
        <v>-0.42099999999999999</v>
      </c>
    </row>
    <row r="2632" spans="1:5" x14ac:dyDescent="0.4">
      <c r="A2632" t="s">
        <v>1458</v>
      </c>
      <c r="B2632">
        <v>31.8</v>
      </c>
      <c r="C2632" t="s">
        <v>197</v>
      </c>
      <c r="D2632">
        <v>2</v>
      </c>
    </row>
    <row r="2633" spans="1:5" x14ac:dyDescent="0.4">
      <c r="A2633" t="s">
        <v>1459</v>
      </c>
      <c r="B2633">
        <v>26.2</v>
      </c>
      <c r="C2633" t="s">
        <v>197</v>
      </c>
      <c r="D2633">
        <v>2</v>
      </c>
    </row>
    <row r="2634" spans="1:5" x14ac:dyDescent="0.4">
      <c r="A2634" t="s">
        <v>1596</v>
      </c>
      <c r="B2634">
        <v>27.4</v>
      </c>
      <c r="C2634" t="s">
        <v>197</v>
      </c>
      <c r="D2634">
        <v>2</v>
      </c>
    </row>
    <row r="2635" spans="1:5" x14ac:dyDescent="0.4">
      <c r="A2635" t="s">
        <v>1703</v>
      </c>
      <c r="B2635">
        <v>18.899999999999999</v>
      </c>
      <c r="C2635" t="s">
        <v>197</v>
      </c>
      <c r="D2635">
        <v>1</v>
      </c>
    </row>
    <row r="2636" spans="1:5" x14ac:dyDescent="0.4">
      <c r="A2636" t="s">
        <v>1704</v>
      </c>
      <c r="B2636">
        <v>32.6</v>
      </c>
      <c r="C2636" t="s">
        <v>197</v>
      </c>
      <c r="D2636">
        <v>2</v>
      </c>
    </row>
    <row r="2637" spans="1:5" x14ac:dyDescent="0.4">
      <c r="A2637" t="s">
        <v>2622</v>
      </c>
      <c r="B2637">
        <v>33.9</v>
      </c>
      <c r="C2637" t="s">
        <v>197</v>
      </c>
      <c r="D2637">
        <v>2</v>
      </c>
    </row>
    <row r="2638" spans="1:5" x14ac:dyDescent="0.4">
      <c r="A2638" t="s">
        <v>2623</v>
      </c>
      <c r="B2638">
        <v>37.6</v>
      </c>
      <c r="C2638" t="s">
        <v>197</v>
      </c>
      <c r="D2638">
        <v>2</v>
      </c>
    </row>
    <row r="2639" spans="1:5" x14ac:dyDescent="0.4">
      <c r="A2639" t="s">
        <v>7384</v>
      </c>
      <c r="B2639">
        <v>24.5</v>
      </c>
      <c r="C2639" t="s">
        <v>197</v>
      </c>
      <c r="D2639">
        <v>2</v>
      </c>
    </row>
    <row r="2640" spans="1:5" x14ac:dyDescent="0.4">
      <c r="A2640" t="s">
        <v>7385</v>
      </c>
      <c r="B2640">
        <v>29.7</v>
      </c>
      <c r="C2640" t="s">
        <v>197</v>
      </c>
      <c r="D2640">
        <v>2</v>
      </c>
    </row>
    <row r="2641" spans="1:12" x14ac:dyDescent="0.4">
      <c r="A2641" t="s">
        <v>7386</v>
      </c>
      <c r="B2641">
        <v>37.9</v>
      </c>
      <c r="C2641" t="s">
        <v>197</v>
      </c>
      <c r="D2641">
        <v>2</v>
      </c>
    </row>
    <row r="2642" spans="1:12" x14ac:dyDescent="0.4">
      <c r="A2642" t="s">
        <v>4022</v>
      </c>
      <c r="B2642">
        <v>61</v>
      </c>
      <c r="C2642" t="s">
        <v>2479</v>
      </c>
      <c r="D2642">
        <v>4</v>
      </c>
      <c r="E2642">
        <v>2.516</v>
      </c>
      <c r="F2642">
        <v>2.0299999999999998</v>
      </c>
      <c r="G2642">
        <v>2019</v>
      </c>
      <c r="H2642" t="s">
        <v>928</v>
      </c>
      <c r="I2642" t="s">
        <v>6615</v>
      </c>
      <c r="L2642" t="s">
        <v>197</v>
      </c>
    </row>
    <row r="2643" spans="1:12" x14ac:dyDescent="0.4">
      <c r="A2643" t="s">
        <v>4020</v>
      </c>
      <c r="B2643">
        <v>44.8</v>
      </c>
      <c r="C2643" t="s">
        <v>5705</v>
      </c>
      <c r="D2643">
        <v>3</v>
      </c>
      <c r="E2643">
        <v>0.42599999999999999</v>
      </c>
      <c r="F2643">
        <v>2.87</v>
      </c>
      <c r="G2643">
        <v>2019</v>
      </c>
      <c r="H2643" t="s">
        <v>928</v>
      </c>
      <c r="I2643" t="s">
        <v>6615</v>
      </c>
      <c r="L2643" t="s">
        <v>197</v>
      </c>
    </row>
    <row r="2644" spans="1:12" x14ac:dyDescent="0.4">
      <c r="A2644" t="s">
        <v>4026</v>
      </c>
      <c r="B2644">
        <v>44.6</v>
      </c>
      <c r="C2644" t="s">
        <v>6584</v>
      </c>
      <c r="D2644">
        <v>3</v>
      </c>
      <c r="E2644">
        <v>0.4</v>
      </c>
      <c r="F2644">
        <v>2.88</v>
      </c>
      <c r="G2644">
        <v>2019</v>
      </c>
      <c r="H2644" t="s">
        <v>928</v>
      </c>
      <c r="I2644" t="s">
        <v>6615</v>
      </c>
      <c r="L2644" t="s">
        <v>197</v>
      </c>
    </row>
    <row r="2645" spans="1:12" x14ac:dyDescent="0.4">
      <c r="A2645" t="s">
        <v>4050</v>
      </c>
      <c r="B2645">
        <v>32.299999999999997</v>
      </c>
      <c r="C2645" t="s">
        <v>6607</v>
      </c>
      <c r="D2645">
        <v>2</v>
      </c>
      <c r="E2645">
        <v>-1.1870000000000001</v>
      </c>
      <c r="F2645">
        <v>3.52</v>
      </c>
      <c r="G2645">
        <v>2019</v>
      </c>
      <c r="H2645" t="s">
        <v>928</v>
      </c>
      <c r="I2645" t="s">
        <v>6615</v>
      </c>
      <c r="L2645" t="s">
        <v>197</v>
      </c>
    </row>
    <row r="2646" spans="1:12" x14ac:dyDescent="0.4">
      <c r="A2646" t="s">
        <v>2278</v>
      </c>
      <c r="B2646">
        <v>34</v>
      </c>
      <c r="C2646" t="s">
        <v>5712</v>
      </c>
      <c r="D2646">
        <v>2</v>
      </c>
      <c r="E2646">
        <v>-0.96799999999999997</v>
      </c>
      <c r="F2646">
        <v>3.43</v>
      </c>
      <c r="G2646">
        <v>2019</v>
      </c>
      <c r="H2646" t="s">
        <v>928</v>
      </c>
      <c r="I2646" t="s">
        <v>6615</v>
      </c>
      <c r="L2646" t="s">
        <v>197</v>
      </c>
    </row>
    <row r="2647" spans="1:12" x14ac:dyDescent="0.4">
      <c r="A2647" t="s">
        <v>4046</v>
      </c>
      <c r="B2647">
        <v>44</v>
      </c>
      <c r="C2647" t="s">
        <v>6617</v>
      </c>
      <c r="D2647">
        <v>3</v>
      </c>
      <c r="E2647">
        <v>0.32300000000000001</v>
      </c>
      <c r="F2647">
        <v>2.91</v>
      </c>
      <c r="G2647">
        <v>2019</v>
      </c>
      <c r="H2647" t="s">
        <v>928</v>
      </c>
      <c r="I2647" t="s">
        <v>6615</v>
      </c>
      <c r="L2647" t="s">
        <v>197</v>
      </c>
    </row>
    <row r="2648" spans="1:12" x14ac:dyDescent="0.4">
      <c r="A2648" t="s">
        <v>4030</v>
      </c>
      <c r="B2648">
        <v>32.5</v>
      </c>
      <c r="C2648" t="s">
        <v>5711</v>
      </c>
      <c r="D2648">
        <v>2</v>
      </c>
      <c r="E2648">
        <v>-1.161</v>
      </c>
      <c r="F2648">
        <v>3.51</v>
      </c>
      <c r="G2648">
        <v>2019</v>
      </c>
      <c r="H2648" t="s">
        <v>928</v>
      </c>
      <c r="I2648" t="s">
        <v>6615</v>
      </c>
      <c r="L2648" t="s">
        <v>197</v>
      </c>
    </row>
    <row r="2649" spans="1:12" x14ac:dyDescent="0.4">
      <c r="A2649" t="s">
        <v>4024</v>
      </c>
      <c r="B2649">
        <v>38.5</v>
      </c>
      <c r="C2649" t="s">
        <v>5693</v>
      </c>
      <c r="D2649">
        <v>2</v>
      </c>
      <c r="E2649">
        <v>-0.38700000000000001</v>
      </c>
      <c r="F2649">
        <v>3.2</v>
      </c>
      <c r="G2649">
        <v>2019</v>
      </c>
      <c r="H2649" t="s">
        <v>928</v>
      </c>
      <c r="I2649" t="s">
        <v>6615</v>
      </c>
      <c r="L2649" t="s">
        <v>197</v>
      </c>
    </row>
    <row r="2650" spans="1:12" x14ac:dyDescent="0.4">
      <c r="A2650" t="s">
        <v>4036</v>
      </c>
      <c r="B2650">
        <v>36</v>
      </c>
      <c r="C2650" t="s">
        <v>6693</v>
      </c>
      <c r="D2650">
        <v>2</v>
      </c>
      <c r="E2650">
        <v>-0.71</v>
      </c>
      <c r="F2650">
        <v>3.33</v>
      </c>
      <c r="G2650">
        <v>2019</v>
      </c>
      <c r="H2650" t="s">
        <v>928</v>
      </c>
      <c r="I2650" t="s">
        <v>6615</v>
      </c>
      <c r="L2650" t="s">
        <v>197</v>
      </c>
    </row>
    <row r="2651" spans="1:12" x14ac:dyDescent="0.4">
      <c r="A2651" t="s">
        <v>4028</v>
      </c>
      <c r="B2651">
        <v>42.9</v>
      </c>
      <c r="C2651" t="s">
        <v>5731</v>
      </c>
      <c r="D2651">
        <v>3</v>
      </c>
      <c r="E2651">
        <v>0.18099999999999999</v>
      </c>
      <c r="F2651">
        <v>2.97</v>
      </c>
      <c r="G2651">
        <v>2019</v>
      </c>
      <c r="H2651" t="s">
        <v>928</v>
      </c>
      <c r="I2651" t="s">
        <v>6615</v>
      </c>
      <c r="L2651" t="s">
        <v>197</v>
      </c>
    </row>
    <row r="2652" spans="1:12" x14ac:dyDescent="0.4">
      <c r="A2652" t="s">
        <v>5992</v>
      </c>
      <c r="B2652">
        <v>35.200000000000003</v>
      </c>
      <c r="C2652" t="s">
        <v>5709</v>
      </c>
      <c r="D2652">
        <v>2</v>
      </c>
      <c r="E2652">
        <v>-0.81299999999999994</v>
      </c>
      <c r="F2652">
        <v>3.37</v>
      </c>
      <c r="G2652">
        <v>2019</v>
      </c>
      <c r="H2652" t="s">
        <v>928</v>
      </c>
      <c r="I2652" t="s">
        <v>6615</v>
      </c>
      <c r="L2652" t="s">
        <v>197</v>
      </c>
    </row>
    <row r="2653" spans="1:12" x14ac:dyDescent="0.4">
      <c r="A2653" t="s">
        <v>4042</v>
      </c>
      <c r="B2653">
        <v>51.5</v>
      </c>
      <c r="C2653" t="s">
        <v>6039</v>
      </c>
      <c r="D2653">
        <v>3</v>
      </c>
      <c r="E2653">
        <v>1.29</v>
      </c>
      <c r="F2653">
        <v>2.52</v>
      </c>
      <c r="G2653">
        <v>2019</v>
      </c>
      <c r="H2653" t="s">
        <v>928</v>
      </c>
      <c r="I2653" t="s">
        <v>6615</v>
      </c>
      <c r="L2653" t="s">
        <v>197</v>
      </c>
    </row>
    <row r="2654" spans="1:12" x14ac:dyDescent="0.4">
      <c r="A2654" t="s">
        <v>2279</v>
      </c>
      <c r="B2654">
        <v>57.5</v>
      </c>
      <c r="C2654" t="s">
        <v>2477</v>
      </c>
      <c r="D2654">
        <v>3</v>
      </c>
      <c r="E2654">
        <v>2.0640000000000001</v>
      </c>
      <c r="F2654">
        <v>2.21</v>
      </c>
      <c r="G2654">
        <v>2019</v>
      </c>
      <c r="H2654" t="s">
        <v>928</v>
      </c>
      <c r="I2654" t="s">
        <v>6615</v>
      </c>
      <c r="L2654" t="s">
        <v>197</v>
      </c>
    </row>
    <row r="2655" spans="1:12" x14ac:dyDescent="0.4">
      <c r="A2655" t="s">
        <v>2288</v>
      </c>
      <c r="B2655">
        <v>31.7</v>
      </c>
      <c r="C2655" t="s">
        <v>6042</v>
      </c>
      <c r="D2655">
        <v>2</v>
      </c>
      <c r="E2655">
        <v>-1.264</v>
      </c>
      <c r="F2655">
        <v>3.55</v>
      </c>
      <c r="G2655">
        <v>2019</v>
      </c>
      <c r="H2655" t="s">
        <v>928</v>
      </c>
      <c r="I2655" t="s">
        <v>6615</v>
      </c>
      <c r="L2655" t="s">
        <v>197</v>
      </c>
    </row>
    <row r="2656" spans="1:12" x14ac:dyDescent="0.4">
      <c r="A2656" t="s">
        <v>4035</v>
      </c>
      <c r="B2656">
        <v>36.700000000000003</v>
      </c>
      <c r="C2656" t="s">
        <v>5699</v>
      </c>
      <c r="D2656">
        <v>2</v>
      </c>
      <c r="E2656">
        <v>-0.61899999999999999</v>
      </c>
      <c r="F2656">
        <v>3.29</v>
      </c>
      <c r="G2656">
        <v>2019</v>
      </c>
      <c r="H2656" t="s">
        <v>928</v>
      </c>
      <c r="I2656" t="s">
        <v>6615</v>
      </c>
      <c r="L2656" t="s">
        <v>197</v>
      </c>
    </row>
    <row r="2657" spans="1:12" x14ac:dyDescent="0.4">
      <c r="A2657" t="s">
        <v>4049</v>
      </c>
      <c r="B2657">
        <v>46.5</v>
      </c>
      <c r="C2657" t="s">
        <v>5696</v>
      </c>
      <c r="D2657">
        <v>3</v>
      </c>
      <c r="E2657">
        <v>0.64500000000000002</v>
      </c>
      <c r="F2657">
        <v>2.78</v>
      </c>
      <c r="G2657">
        <v>2019</v>
      </c>
      <c r="H2657" t="s">
        <v>928</v>
      </c>
      <c r="I2657" t="s">
        <v>6615</v>
      </c>
      <c r="L2657" t="s">
        <v>197</v>
      </c>
    </row>
    <row r="2658" spans="1:12" x14ac:dyDescent="0.4">
      <c r="A2658" t="s">
        <v>2280</v>
      </c>
      <c r="B2658">
        <v>36.9</v>
      </c>
      <c r="C2658" t="s">
        <v>5734</v>
      </c>
      <c r="D2658">
        <v>2</v>
      </c>
      <c r="E2658">
        <v>-0.59299999999999997</v>
      </c>
      <c r="F2658">
        <v>3.28</v>
      </c>
      <c r="G2658">
        <v>2019</v>
      </c>
      <c r="H2658" t="s">
        <v>928</v>
      </c>
      <c r="I2658" t="s">
        <v>6615</v>
      </c>
      <c r="L2658" t="s">
        <v>197</v>
      </c>
    </row>
    <row r="2659" spans="1:12" x14ac:dyDescent="0.4">
      <c r="A2659" t="s">
        <v>2287</v>
      </c>
      <c r="B2659">
        <v>45</v>
      </c>
      <c r="C2659" t="s">
        <v>5707</v>
      </c>
      <c r="D2659">
        <v>3</v>
      </c>
      <c r="E2659">
        <v>0.45200000000000001</v>
      </c>
      <c r="F2659">
        <v>2.86</v>
      </c>
      <c r="G2659">
        <v>2019</v>
      </c>
      <c r="H2659" t="s">
        <v>928</v>
      </c>
      <c r="I2659" t="s">
        <v>6615</v>
      </c>
      <c r="L2659" t="s">
        <v>197</v>
      </c>
    </row>
    <row r="2660" spans="1:12" x14ac:dyDescent="0.4">
      <c r="A2660" t="s">
        <v>2281</v>
      </c>
      <c r="B2660">
        <v>51.3</v>
      </c>
      <c r="C2660" t="s">
        <v>2482</v>
      </c>
      <c r="D2660">
        <v>3</v>
      </c>
      <c r="E2660">
        <v>1.264</v>
      </c>
      <c r="F2660">
        <v>2.5299999999999998</v>
      </c>
      <c r="G2660">
        <v>2019</v>
      </c>
      <c r="H2660" t="s">
        <v>928</v>
      </c>
      <c r="I2660" t="s">
        <v>6615</v>
      </c>
      <c r="L2660" t="s">
        <v>197</v>
      </c>
    </row>
    <row r="2661" spans="1:12" x14ac:dyDescent="0.4">
      <c r="A2661" t="s">
        <v>4019</v>
      </c>
      <c r="B2661">
        <v>48.3</v>
      </c>
      <c r="C2661" t="s">
        <v>2474</v>
      </c>
      <c r="D2661">
        <v>3</v>
      </c>
      <c r="E2661">
        <v>0.877</v>
      </c>
      <c r="F2661">
        <v>2.69</v>
      </c>
      <c r="G2661">
        <v>2019</v>
      </c>
      <c r="H2661" t="s">
        <v>928</v>
      </c>
      <c r="I2661" t="s">
        <v>6615</v>
      </c>
      <c r="L2661" t="s">
        <v>197</v>
      </c>
    </row>
    <row r="2662" spans="1:12" x14ac:dyDescent="0.4">
      <c r="A2662" t="s">
        <v>4039</v>
      </c>
      <c r="B2662">
        <v>47.7</v>
      </c>
      <c r="C2662" t="s">
        <v>2481</v>
      </c>
      <c r="D2662">
        <v>3</v>
      </c>
      <c r="E2662">
        <v>0.8</v>
      </c>
      <c r="F2662">
        <v>2.72</v>
      </c>
      <c r="G2662">
        <v>2019</v>
      </c>
      <c r="H2662" t="s">
        <v>928</v>
      </c>
      <c r="I2662" t="s">
        <v>6615</v>
      </c>
      <c r="L2662" t="s">
        <v>197</v>
      </c>
    </row>
    <row r="2663" spans="1:12" x14ac:dyDescent="0.4">
      <c r="A2663" t="s">
        <v>4043</v>
      </c>
      <c r="B2663">
        <v>51.5</v>
      </c>
      <c r="C2663" t="s">
        <v>6039</v>
      </c>
      <c r="D2663">
        <v>3</v>
      </c>
      <c r="E2663">
        <v>1.29</v>
      </c>
      <c r="F2663">
        <v>2.52</v>
      </c>
      <c r="G2663">
        <v>2019</v>
      </c>
      <c r="H2663" t="s">
        <v>928</v>
      </c>
      <c r="I2663" t="s">
        <v>6615</v>
      </c>
      <c r="L2663" t="s">
        <v>197</v>
      </c>
    </row>
    <row r="2664" spans="1:12" x14ac:dyDescent="0.4">
      <c r="A2664" t="s">
        <v>4041</v>
      </c>
      <c r="B2664">
        <v>51.5</v>
      </c>
      <c r="C2664" t="s">
        <v>6039</v>
      </c>
      <c r="D2664">
        <v>3</v>
      </c>
      <c r="E2664">
        <v>1.29</v>
      </c>
      <c r="F2664">
        <v>2.52</v>
      </c>
      <c r="G2664">
        <v>2019</v>
      </c>
      <c r="H2664" t="s">
        <v>928</v>
      </c>
      <c r="I2664" t="s">
        <v>6615</v>
      </c>
      <c r="L2664" t="s">
        <v>197</v>
      </c>
    </row>
    <row r="2665" spans="1:12" x14ac:dyDescent="0.4">
      <c r="A2665" t="s">
        <v>4029</v>
      </c>
      <c r="B2665">
        <v>34.799999999999997</v>
      </c>
      <c r="C2665" t="s">
        <v>6588</v>
      </c>
      <c r="D2665">
        <v>2</v>
      </c>
      <c r="E2665">
        <v>-0.86399999999999999</v>
      </c>
      <c r="F2665">
        <v>3.39</v>
      </c>
      <c r="G2665">
        <v>2019</v>
      </c>
      <c r="H2665" t="s">
        <v>928</v>
      </c>
      <c r="I2665" t="s">
        <v>6615</v>
      </c>
      <c r="L2665" t="s">
        <v>197</v>
      </c>
    </row>
    <row r="2666" spans="1:12" x14ac:dyDescent="0.4">
      <c r="A2666" t="s">
        <v>4018</v>
      </c>
      <c r="B2666">
        <v>49.6</v>
      </c>
      <c r="C2666" t="s">
        <v>2484</v>
      </c>
      <c r="D2666">
        <v>3</v>
      </c>
      <c r="E2666">
        <v>1.0449999999999999</v>
      </c>
      <c r="F2666">
        <v>2.62</v>
      </c>
      <c r="G2666">
        <v>2019</v>
      </c>
      <c r="H2666" t="s">
        <v>928</v>
      </c>
      <c r="I2666" t="s">
        <v>6615</v>
      </c>
      <c r="L2666" t="s">
        <v>197</v>
      </c>
    </row>
    <row r="2667" spans="1:12" x14ac:dyDescent="0.4">
      <c r="A2667" t="s">
        <v>4032</v>
      </c>
      <c r="B2667">
        <v>35.4</v>
      </c>
      <c r="C2667" t="s">
        <v>5694</v>
      </c>
      <c r="D2667">
        <v>2</v>
      </c>
      <c r="E2667">
        <v>-0.78700000000000003</v>
      </c>
      <c r="F2667">
        <v>3.36</v>
      </c>
      <c r="G2667">
        <v>2019</v>
      </c>
      <c r="H2667" t="s">
        <v>928</v>
      </c>
      <c r="I2667" t="s">
        <v>6615</v>
      </c>
      <c r="L2667" t="s">
        <v>197</v>
      </c>
    </row>
    <row r="2668" spans="1:12" x14ac:dyDescent="0.4">
      <c r="A2668" t="s">
        <v>4033</v>
      </c>
      <c r="B2668">
        <v>37.5</v>
      </c>
      <c r="C2668" t="s">
        <v>5736</v>
      </c>
      <c r="D2668">
        <v>2</v>
      </c>
      <c r="E2668">
        <v>-0.51600000000000001</v>
      </c>
      <c r="F2668">
        <v>3.25</v>
      </c>
      <c r="G2668">
        <v>2019</v>
      </c>
      <c r="H2668" t="s">
        <v>928</v>
      </c>
      <c r="I2668" t="s">
        <v>6615</v>
      </c>
      <c r="L2668" t="s">
        <v>197</v>
      </c>
    </row>
    <row r="2669" spans="1:12" x14ac:dyDescent="0.4">
      <c r="A2669" t="s">
        <v>4051</v>
      </c>
      <c r="B2669">
        <v>40.4</v>
      </c>
      <c r="C2669" t="s">
        <v>5703</v>
      </c>
      <c r="D2669">
        <v>3</v>
      </c>
      <c r="E2669">
        <v>-0.14199999999999999</v>
      </c>
      <c r="F2669">
        <v>3.1</v>
      </c>
      <c r="G2669">
        <v>2019</v>
      </c>
      <c r="H2669" t="s">
        <v>928</v>
      </c>
      <c r="I2669" t="s">
        <v>6615</v>
      </c>
      <c r="L2669" t="s">
        <v>197</v>
      </c>
    </row>
    <row r="2670" spans="1:12" x14ac:dyDescent="0.4">
      <c r="A2670" t="s">
        <v>2282</v>
      </c>
      <c r="B2670">
        <v>32.299999999999997</v>
      </c>
      <c r="C2670" t="s">
        <v>6607</v>
      </c>
      <c r="D2670">
        <v>2</v>
      </c>
      <c r="E2670">
        <v>-1.1870000000000001</v>
      </c>
      <c r="F2670">
        <v>3.52</v>
      </c>
      <c r="G2670">
        <v>2019</v>
      </c>
      <c r="H2670" t="s">
        <v>928</v>
      </c>
      <c r="I2670" t="s">
        <v>6615</v>
      </c>
      <c r="L2670" t="s">
        <v>197</v>
      </c>
    </row>
    <row r="2671" spans="1:12" x14ac:dyDescent="0.4">
      <c r="A2671" t="s">
        <v>2286</v>
      </c>
      <c r="B2671">
        <v>37.299999999999997</v>
      </c>
      <c r="C2671" t="s">
        <v>5735</v>
      </c>
      <c r="D2671">
        <v>2</v>
      </c>
      <c r="E2671">
        <v>-0.54200000000000004</v>
      </c>
      <c r="F2671">
        <v>3.26</v>
      </c>
      <c r="G2671">
        <v>2019</v>
      </c>
      <c r="H2671" t="s">
        <v>928</v>
      </c>
      <c r="I2671" t="s">
        <v>6615</v>
      </c>
      <c r="L2671" t="s">
        <v>197</v>
      </c>
    </row>
    <row r="2672" spans="1:12" x14ac:dyDescent="0.4">
      <c r="A2672" t="s">
        <v>4034</v>
      </c>
      <c r="B2672">
        <v>31.7</v>
      </c>
      <c r="C2672" t="s">
        <v>6042</v>
      </c>
      <c r="D2672">
        <v>2</v>
      </c>
      <c r="E2672">
        <v>-1.264</v>
      </c>
      <c r="F2672">
        <v>3.55</v>
      </c>
      <c r="G2672">
        <v>2019</v>
      </c>
      <c r="H2672" t="s">
        <v>928</v>
      </c>
      <c r="I2672" t="s">
        <v>6615</v>
      </c>
      <c r="L2672" t="s">
        <v>197</v>
      </c>
    </row>
    <row r="2673" spans="1:12" x14ac:dyDescent="0.4">
      <c r="A2673" t="s">
        <v>4040</v>
      </c>
      <c r="B2673">
        <v>51.5</v>
      </c>
      <c r="C2673" t="s">
        <v>6039</v>
      </c>
      <c r="D2673">
        <v>3</v>
      </c>
      <c r="E2673">
        <v>1.29</v>
      </c>
      <c r="F2673">
        <v>2.52</v>
      </c>
      <c r="G2673">
        <v>2019</v>
      </c>
      <c r="H2673" t="s">
        <v>928</v>
      </c>
      <c r="I2673" t="s">
        <v>6615</v>
      </c>
      <c r="L2673" t="s">
        <v>197</v>
      </c>
    </row>
    <row r="2674" spans="1:12" x14ac:dyDescent="0.4">
      <c r="A2674" t="s">
        <v>4021</v>
      </c>
      <c r="B2674">
        <v>58.1</v>
      </c>
      <c r="C2674" t="s">
        <v>2478</v>
      </c>
      <c r="D2674">
        <v>3</v>
      </c>
      <c r="E2674">
        <v>2.1419999999999999</v>
      </c>
      <c r="F2674">
        <v>2.1800000000000002</v>
      </c>
      <c r="G2674">
        <v>2019</v>
      </c>
      <c r="H2674" t="s">
        <v>928</v>
      </c>
      <c r="I2674" t="s">
        <v>6615</v>
      </c>
      <c r="L2674" t="s">
        <v>197</v>
      </c>
    </row>
    <row r="2675" spans="1:12" x14ac:dyDescent="0.4">
      <c r="A2675" t="s">
        <v>5884</v>
      </c>
      <c r="B2675">
        <v>44.6</v>
      </c>
      <c r="C2675" t="s">
        <v>6584</v>
      </c>
      <c r="D2675">
        <v>3</v>
      </c>
      <c r="E2675">
        <v>0.4</v>
      </c>
      <c r="F2675">
        <v>2.88</v>
      </c>
      <c r="G2675">
        <v>2019</v>
      </c>
      <c r="H2675" t="s">
        <v>928</v>
      </c>
      <c r="I2675" t="s">
        <v>6615</v>
      </c>
      <c r="L2675" t="s">
        <v>197</v>
      </c>
    </row>
    <row r="2676" spans="1:12" x14ac:dyDescent="0.4">
      <c r="A2676" t="s">
        <v>4044</v>
      </c>
      <c r="B2676">
        <v>37.1</v>
      </c>
      <c r="C2676" t="s">
        <v>5714</v>
      </c>
      <c r="D2676">
        <v>2</v>
      </c>
      <c r="E2676">
        <v>-0.56799999999999995</v>
      </c>
      <c r="F2676">
        <v>3.27</v>
      </c>
      <c r="G2676">
        <v>2019</v>
      </c>
      <c r="H2676" t="s">
        <v>928</v>
      </c>
      <c r="I2676" t="s">
        <v>6615</v>
      </c>
      <c r="L2676" t="s">
        <v>197</v>
      </c>
    </row>
    <row r="2677" spans="1:12" x14ac:dyDescent="0.4">
      <c r="A2677" t="s">
        <v>5885</v>
      </c>
      <c r="B2677">
        <v>31.9</v>
      </c>
      <c r="C2677" t="s">
        <v>6037</v>
      </c>
      <c r="D2677">
        <v>2</v>
      </c>
      <c r="E2677">
        <v>-1.238</v>
      </c>
      <c r="F2677">
        <v>3.54</v>
      </c>
      <c r="G2677">
        <v>2019</v>
      </c>
      <c r="H2677" t="s">
        <v>928</v>
      </c>
      <c r="I2677" t="s">
        <v>6615</v>
      </c>
      <c r="L2677" t="s">
        <v>197</v>
      </c>
    </row>
    <row r="2678" spans="1:12" x14ac:dyDescent="0.4">
      <c r="A2678" t="s">
        <v>4052</v>
      </c>
      <c r="B2678">
        <v>46.7</v>
      </c>
      <c r="C2678" t="s">
        <v>5730</v>
      </c>
      <c r="D2678">
        <v>3</v>
      </c>
      <c r="E2678">
        <v>0.67100000000000004</v>
      </c>
      <c r="F2678">
        <v>2.77</v>
      </c>
      <c r="G2678">
        <v>2019</v>
      </c>
      <c r="H2678" t="s">
        <v>928</v>
      </c>
      <c r="I2678" t="s">
        <v>6615</v>
      </c>
      <c r="L2678" t="s">
        <v>197</v>
      </c>
    </row>
    <row r="2679" spans="1:12" x14ac:dyDescent="0.4">
      <c r="A2679" t="s">
        <v>4027</v>
      </c>
      <c r="B2679">
        <v>41.5</v>
      </c>
      <c r="C2679" t="s">
        <v>5729</v>
      </c>
      <c r="D2679">
        <v>3</v>
      </c>
      <c r="E2679">
        <v>0</v>
      </c>
      <c r="F2679">
        <v>3.04</v>
      </c>
      <c r="G2679">
        <v>2019</v>
      </c>
      <c r="H2679" t="s">
        <v>928</v>
      </c>
      <c r="I2679" t="s">
        <v>6615</v>
      </c>
      <c r="L2679" t="s">
        <v>197</v>
      </c>
    </row>
    <row r="2680" spans="1:12" x14ac:dyDescent="0.4">
      <c r="A2680" t="s">
        <v>4031</v>
      </c>
      <c r="B2680">
        <v>35</v>
      </c>
      <c r="C2680" t="s">
        <v>5698</v>
      </c>
      <c r="D2680">
        <v>2</v>
      </c>
      <c r="E2680">
        <v>-0.83899999999999997</v>
      </c>
      <c r="F2680">
        <v>3.38</v>
      </c>
      <c r="G2680">
        <v>2019</v>
      </c>
      <c r="H2680" t="s">
        <v>928</v>
      </c>
      <c r="I2680" t="s">
        <v>6615</v>
      </c>
      <c r="L2680" t="s">
        <v>197</v>
      </c>
    </row>
    <row r="2681" spans="1:12" x14ac:dyDescent="0.4">
      <c r="A2681" t="s">
        <v>4025</v>
      </c>
      <c r="B2681">
        <v>44.6</v>
      </c>
      <c r="C2681" t="s">
        <v>6584</v>
      </c>
      <c r="D2681">
        <v>3</v>
      </c>
      <c r="E2681">
        <v>0.4</v>
      </c>
      <c r="F2681">
        <v>2.88</v>
      </c>
      <c r="G2681">
        <v>2019</v>
      </c>
      <c r="H2681" t="s">
        <v>928</v>
      </c>
      <c r="I2681" t="s">
        <v>6615</v>
      </c>
      <c r="L2681" t="s">
        <v>197</v>
      </c>
    </row>
    <row r="2682" spans="1:12" x14ac:dyDescent="0.4">
      <c r="A2682" t="s">
        <v>5886</v>
      </c>
      <c r="B2682">
        <v>34.799999999999997</v>
      </c>
      <c r="C2682" t="s">
        <v>6588</v>
      </c>
      <c r="D2682">
        <v>2</v>
      </c>
      <c r="E2682">
        <v>-0.86399999999999999</v>
      </c>
      <c r="F2682">
        <v>3.39</v>
      </c>
      <c r="G2682">
        <v>2019</v>
      </c>
      <c r="H2682" t="s">
        <v>928</v>
      </c>
      <c r="I2682" t="s">
        <v>6615</v>
      </c>
      <c r="L2682" t="s">
        <v>197</v>
      </c>
    </row>
    <row r="2683" spans="1:12" x14ac:dyDescent="0.4">
      <c r="A2683" t="s">
        <v>4045</v>
      </c>
      <c r="B2683">
        <v>41.2</v>
      </c>
      <c r="C2683" t="s">
        <v>5700</v>
      </c>
      <c r="D2683">
        <v>3</v>
      </c>
      <c r="E2683">
        <v>-3.9E-2</v>
      </c>
      <c r="F2683">
        <v>3.06</v>
      </c>
      <c r="G2683">
        <v>2019</v>
      </c>
      <c r="H2683" t="s">
        <v>928</v>
      </c>
      <c r="I2683" t="s">
        <v>6615</v>
      </c>
      <c r="L2683" t="s">
        <v>197</v>
      </c>
    </row>
    <row r="2684" spans="1:12" x14ac:dyDescent="0.4">
      <c r="A2684" t="s">
        <v>2283</v>
      </c>
      <c r="B2684">
        <v>44</v>
      </c>
      <c r="C2684" t="s">
        <v>6617</v>
      </c>
      <c r="D2684">
        <v>3</v>
      </c>
      <c r="E2684">
        <v>0.32300000000000001</v>
      </c>
      <c r="F2684">
        <v>2.91</v>
      </c>
      <c r="G2684">
        <v>2019</v>
      </c>
      <c r="H2684" t="s">
        <v>928</v>
      </c>
      <c r="I2684" t="s">
        <v>6615</v>
      </c>
      <c r="L2684" t="s">
        <v>197</v>
      </c>
    </row>
    <row r="2685" spans="1:12" x14ac:dyDescent="0.4">
      <c r="A2685" t="s">
        <v>2284</v>
      </c>
      <c r="B2685">
        <v>36</v>
      </c>
      <c r="C2685" t="s">
        <v>6693</v>
      </c>
      <c r="D2685">
        <v>2</v>
      </c>
      <c r="E2685">
        <v>-0.71</v>
      </c>
      <c r="F2685">
        <v>3.33</v>
      </c>
      <c r="G2685">
        <v>2019</v>
      </c>
      <c r="H2685" t="s">
        <v>928</v>
      </c>
      <c r="I2685" t="s">
        <v>6615</v>
      </c>
      <c r="L2685" t="s">
        <v>197</v>
      </c>
    </row>
    <row r="2686" spans="1:12" x14ac:dyDescent="0.4">
      <c r="A2686" t="s">
        <v>4048</v>
      </c>
      <c r="B2686">
        <v>32.299999999999997</v>
      </c>
      <c r="C2686" t="s">
        <v>6607</v>
      </c>
      <c r="D2686">
        <v>2</v>
      </c>
      <c r="E2686">
        <v>-1.1870000000000001</v>
      </c>
      <c r="F2686">
        <v>3.52</v>
      </c>
      <c r="G2686">
        <v>2019</v>
      </c>
      <c r="H2686" t="s">
        <v>928</v>
      </c>
      <c r="I2686" t="s">
        <v>6615</v>
      </c>
      <c r="L2686" t="s">
        <v>197</v>
      </c>
    </row>
    <row r="2687" spans="1:12" x14ac:dyDescent="0.4">
      <c r="A2687" t="s">
        <v>2285</v>
      </c>
      <c r="B2687">
        <v>37.1</v>
      </c>
      <c r="C2687" t="s">
        <v>5714</v>
      </c>
      <c r="D2687">
        <v>2</v>
      </c>
      <c r="E2687">
        <v>-0.56799999999999995</v>
      </c>
      <c r="F2687">
        <v>3.27</v>
      </c>
      <c r="G2687">
        <v>2019</v>
      </c>
      <c r="H2687" t="s">
        <v>928</v>
      </c>
      <c r="I2687" t="s">
        <v>6615</v>
      </c>
      <c r="L2687" t="s">
        <v>197</v>
      </c>
    </row>
    <row r="2688" spans="1:12" x14ac:dyDescent="0.4">
      <c r="A2688" t="s">
        <v>4023</v>
      </c>
      <c r="B2688">
        <v>39.200000000000003</v>
      </c>
      <c r="C2688" t="s">
        <v>5706</v>
      </c>
      <c r="D2688">
        <v>2</v>
      </c>
      <c r="E2688">
        <v>-0.29699999999999999</v>
      </c>
      <c r="F2688">
        <v>3.16</v>
      </c>
      <c r="G2688">
        <v>2019</v>
      </c>
      <c r="H2688" t="s">
        <v>928</v>
      </c>
      <c r="I2688" t="s">
        <v>6615</v>
      </c>
      <c r="L2688" t="s">
        <v>197</v>
      </c>
    </row>
    <row r="2689" spans="1:12" x14ac:dyDescent="0.4">
      <c r="A2689" t="s">
        <v>4037</v>
      </c>
      <c r="B2689">
        <v>28.8</v>
      </c>
      <c r="C2689" t="s">
        <v>6033</v>
      </c>
      <c r="D2689">
        <v>2</v>
      </c>
      <c r="E2689">
        <v>-1.6379999999999999</v>
      </c>
      <c r="F2689">
        <v>3.7</v>
      </c>
      <c r="G2689">
        <v>2019</v>
      </c>
      <c r="H2689" t="s">
        <v>928</v>
      </c>
      <c r="I2689" t="s">
        <v>6615</v>
      </c>
      <c r="L2689" t="s">
        <v>197</v>
      </c>
    </row>
    <row r="2690" spans="1:12" x14ac:dyDescent="0.4">
      <c r="A2690" t="s">
        <v>4047</v>
      </c>
      <c r="B2690">
        <v>44</v>
      </c>
      <c r="C2690" t="s">
        <v>6617</v>
      </c>
      <c r="D2690">
        <v>3</v>
      </c>
      <c r="E2690">
        <v>0.32300000000000001</v>
      </c>
      <c r="F2690">
        <v>2.91</v>
      </c>
      <c r="G2690">
        <v>2019</v>
      </c>
      <c r="H2690" t="s">
        <v>928</v>
      </c>
      <c r="I2690" t="s">
        <v>6615</v>
      </c>
      <c r="L2690" t="s">
        <v>197</v>
      </c>
    </row>
    <row r="2691" spans="1:12" x14ac:dyDescent="0.4">
      <c r="A2691" t="s">
        <v>4038</v>
      </c>
      <c r="B2691">
        <v>46.3</v>
      </c>
      <c r="C2691" t="s">
        <v>5701</v>
      </c>
      <c r="D2691">
        <v>3</v>
      </c>
      <c r="E2691">
        <v>0.61899999999999999</v>
      </c>
      <c r="F2691">
        <v>2.79</v>
      </c>
      <c r="G2691">
        <v>2019</v>
      </c>
      <c r="H2691" t="s">
        <v>928</v>
      </c>
      <c r="I2691" t="s">
        <v>6615</v>
      </c>
      <c r="L2691" t="s">
        <v>197</v>
      </c>
    </row>
    <row r="2692" spans="1:12" x14ac:dyDescent="0.4">
      <c r="A2692" t="s">
        <v>2289</v>
      </c>
      <c r="B2692">
        <v>41.5</v>
      </c>
      <c r="C2692" t="s">
        <v>197</v>
      </c>
      <c r="D2692">
        <v>3</v>
      </c>
    </row>
    <row r="2693" spans="1:12" x14ac:dyDescent="0.4">
      <c r="A2693" t="s">
        <v>2290</v>
      </c>
      <c r="B2693">
        <v>52.4</v>
      </c>
      <c r="C2693" t="s">
        <v>197</v>
      </c>
      <c r="D2693">
        <v>3</v>
      </c>
    </row>
    <row r="2694" spans="1:12" x14ac:dyDescent="0.4">
      <c r="A2694" t="s">
        <v>2291</v>
      </c>
      <c r="B2694">
        <v>40.5</v>
      </c>
      <c r="C2694" t="s">
        <v>197</v>
      </c>
      <c r="D2694">
        <v>3</v>
      </c>
    </row>
    <row r="2695" spans="1:12" x14ac:dyDescent="0.4">
      <c r="A2695" t="s">
        <v>2292</v>
      </c>
      <c r="B2695">
        <v>37.700000000000003</v>
      </c>
      <c r="C2695" t="s">
        <v>197</v>
      </c>
      <c r="D2695">
        <v>2</v>
      </c>
    </row>
    <row r="2696" spans="1:12" x14ac:dyDescent="0.4">
      <c r="A2696" t="s">
        <v>2293</v>
      </c>
      <c r="B2696">
        <v>35.1</v>
      </c>
      <c r="C2696" t="s">
        <v>197</v>
      </c>
      <c r="D2696">
        <v>2</v>
      </c>
    </row>
    <row r="2697" spans="1:12" x14ac:dyDescent="0.4">
      <c r="A2697" t="s">
        <v>2598</v>
      </c>
      <c r="B2697">
        <v>47.8</v>
      </c>
      <c r="C2697" t="s">
        <v>197</v>
      </c>
      <c r="D2697">
        <v>3</v>
      </c>
    </row>
    <row r="2698" spans="1:12" x14ac:dyDescent="0.4">
      <c r="A2698" t="s">
        <v>2599</v>
      </c>
      <c r="B2698">
        <v>39.299999999999997</v>
      </c>
      <c r="C2698" t="s">
        <v>197</v>
      </c>
      <c r="D2698">
        <v>2</v>
      </c>
    </row>
    <row r="2699" spans="1:12" x14ac:dyDescent="0.4">
      <c r="A2699" t="s">
        <v>7387</v>
      </c>
      <c r="B2699">
        <v>48.9</v>
      </c>
      <c r="C2699" t="s">
        <v>197</v>
      </c>
      <c r="D2699">
        <v>3</v>
      </c>
    </row>
    <row r="2700" spans="1:12" x14ac:dyDescent="0.4">
      <c r="A2700" t="s">
        <v>7388</v>
      </c>
      <c r="B2700">
        <v>41.2</v>
      </c>
      <c r="C2700" t="s">
        <v>197</v>
      </c>
      <c r="D2700">
        <v>3</v>
      </c>
    </row>
    <row r="2701" spans="1:12" x14ac:dyDescent="0.4">
      <c r="A2701" t="s">
        <v>7389</v>
      </c>
      <c r="B2701">
        <v>36.5</v>
      </c>
      <c r="C2701" t="s">
        <v>197</v>
      </c>
      <c r="D2701">
        <v>2</v>
      </c>
    </row>
    <row r="2702" spans="1:12" x14ac:dyDescent="0.4">
      <c r="A2702" t="s">
        <v>3357</v>
      </c>
      <c r="B2702">
        <v>0</v>
      </c>
      <c r="C2702" t="s">
        <v>2487</v>
      </c>
      <c r="D2702">
        <v>1</v>
      </c>
      <c r="E2702">
        <v>-0.52600000000000002</v>
      </c>
      <c r="F2702">
        <v>0</v>
      </c>
      <c r="G2702">
        <v>2024</v>
      </c>
      <c r="H2702" t="s">
        <v>928</v>
      </c>
      <c r="I2702" t="s">
        <v>6063</v>
      </c>
      <c r="J2702" t="s">
        <v>8397</v>
      </c>
      <c r="K2702" t="s">
        <v>9328</v>
      </c>
    </row>
    <row r="2703" spans="1:12" x14ac:dyDescent="0.4">
      <c r="A2703" t="s">
        <v>3355</v>
      </c>
      <c r="B2703">
        <v>0</v>
      </c>
      <c r="C2703" t="s">
        <v>2487</v>
      </c>
      <c r="D2703">
        <v>1</v>
      </c>
      <c r="E2703">
        <v>-0.52600000000000002</v>
      </c>
      <c r="F2703">
        <v>0</v>
      </c>
      <c r="G2703">
        <v>2024</v>
      </c>
      <c r="H2703" t="s">
        <v>928</v>
      </c>
      <c r="I2703" t="s">
        <v>6063</v>
      </c>
      <c r="J2703" t="s">
        <v>6850</v>
      </c>
      <c r="K2703" t="s">
        <v>8055</v>
      </c>
    </row>
    <row r="2704" spans="1:12" x14ac:dyDescent="0.4">
      <c r="A2704" t="s">
        <v>3361</v>
      </c>
      <c r="B2704">
        <v>100</v>
      </c>
      <c r="C2704" t="s">
        <v>1380</v>
      </c>
      <c r="D2704">
        <v>5</v>
      </c>
      <c r="E2704">
        <v>1.8640000000000001</v>
      </c>
      <c r="F2704">
        <v>1</v>
      </c>
      <c r="G2704">
        <v>2024</v>
      </c>
      <c r="H2704" t="s">
        <v>928</v>
      </c>
      <c r="I2704" t="s">
        <v>6063</v>
      </c>
      <c r="J2704" t="s">
        <v>8398</v>
      </c>
      <c r="K2704" t="s">
        <v>9329</v>
      </c>
    </row>
    <row r="2705" spans="1:11" x14ac:dyDescent="0.4">
      <c r="A2705" t="s">
        <v>3385</v>
      </c>
      <c r="B2705">
        <v>0</v>
      </c>
      <c r="C2705" t="s">
        <v>2487</v>
      </c>
      <c r="D2705">
        <v>1</v>
      </c>
      <c r="E2705">
        <v>-0.52600000000000002</v>
      </c>
      <c r="F2705">
        <v>0</v>
      </c>
      <c r="G2705">
        <v>2024</v>
      </c>
      <c r="H2705" t="s">
        <v>928</v>
      </c>
      <c r="I2705" t="s">
        <v>6063</v>
      </c>
      <c r="J2705" t="s">
        <v>8399</v>
      </c>
      <c r="K2705" t="s">
        <v>8400</v>
      </c>
    </row>
    <row r="2706" spans="1:11" x14ac:dyDescent="0.4">
      <c r="A2706" t="s">
        <v>2294</v>
      </c>
      <c r="B2706">
        <v>100</v>
      </c>
      <c r="C2706" t="s">
        <v>1380</v>
      </c>
      <c r="D2706">
        <v>5</v>
      </c>
      <c r="E2706">
        <v>1.8640000000000001</v>
      </c>
      <c r="F2706">
        <v>1</v>
      </c>
      <c r="G2706">
        <v>2024</v>
      </c>
      <c r="H2706" t="s">
        <v>928</v>
      </c>
      <c r="I2706" t="s">
        <v>6063</v>
      </c>
      <c r="J2706" t="s">
        <v>8401</v>
      </c>
      <c r="K2706" t="s">
        <v>8402</v>
      </c>
    </row>
    <row r="2707" spans="1:11" x14ac:dyDescent="0.4">
      <c r="A2707" t="s">
        <v>3381</v>
      </c>
      <c r="B2707">
        <v>0</v>
      </c>
      <c r="C2707" t="s">
        <v>2487</v>
      </c>
      <c r="D2707">
        <v>1</v>
      </c>
      <c r="E2707">
        <v>-0.52600000000000002</v>
      </c>
      <c r="F2707">
        <v>0</v>
      </c>
      <c r="G2707">
        <v>2024</v>
      </c>
      <c r="H2707" t="s">
        <v>928</v>
      </c>
      <c r="I2707" t="s">
        <v>6063</v>
      </c>
      <c r="J2707" t="s">
        <v>8403</v>
      </c>
      <c r="K2707" t="s">
        <v>8404</v>
      </c>
    </row>
    <row r="2708" spans="1:11" x14ac:dyDescent="0.4">
      <c r="A2708" t="s">
        <v>3365</v>
      </c>
      <c r="B2708">
        <v>0</v>
      </c>
      <c r="C2708" t="s">
        <v>2487</v>
      </c>
      <c r="D2708">
        <v>1</v>
      </c>
      <c r="E2708">
        <v>-0.52600000000000002</v>
      </c>
      <c r="F2708">
        <v>0</v>
      </c>
      <c r="G2708">
        <v>2024</v>
      </c>
      <c r="H2708" t="s">
        <v>928</v>
      </c>
      <c r="I2708" t="s">
        <v>6063</v>
      </c>
      <c r="J2708" t="s">
        <v>8405</v>
      </c>
      <c r="K2708" t="s">
        <v>9121</v>
      </c>
    </row>
    <row r="2709" spans="1:11" x14ac:dyDescent="0.4">
      <c r="A2709" t="s">
        <v>3359</v>
      </c>
      <c r="B2709">
        <v>0</v>
      </c>
      <c r="C2709" t="s">
        <v>2487</v>
      </c>
      <c r="D2709">
        <v>1</v>
      </c>
      <c r="E2709">
        <v>-0.52600000000000002</v>
      </c>
      <c r="F2709">
        <v>0</v>
      </c>
      <c r="G2709">
        <v>2024</v>
      </c>
      <c r="H2709" t="s">
        <v>928</v>
      </c>
      <c r="I2709" t="s">
        <v>6063</v>
      </c>
      <c r="J2709" t="s">
        <v>8406</v>
      </c>
      <c r="K2709" t="s">
        <v>9330</v>
      </c>
    </row>
    <row r="2710" spans="1:11" x14ac:dyDescent="0.4">
      <c r="A2710" t="s">
        <v>3371</v>
      </c>
      <c r="B2710">
        <v>0</v>
      </c>
      <c r="C2710" t="s">
        <v>2487</v>
      </c>
      <c r="D2710">
        <v>1</v>
      </c>
      <c r="E2710">
        <v>-0.52600000000000002</v>
      </c>
      <c r="F2710">
        <v>0</v>
      </c>
      <c r="G2710">
        <v>2024</v>
      </c>
      <c r="H2710" t="s">
        <v>928</v>
      </c>
      <c r="I2710" t="s">
        <v>6063</v>
      </c>
      <c r="J2710" t="s">
        <v>8407</v>
      </c>
      <c r="K2710" t="s">
        <v>9331</v>
      </c>
    </row>
    <row r="2711" spans="1:11" x14ac:dyDescent="0.4">
      <c r="A2711" t="s">
        <v>3363</v>
      </c>
      <c r="B2711">
        <v>0</v>
      </c>
      <c r="C2711" t="s">
        <v>2487</v>
      </c>
      <c r="D2711">
        <v>1</v>
      </c>
      <c r="E2711">
        <v>-0.52600000000000002</v>
      </c>
      <c r="F2711">
        <v>0</v>
      </c>
      <c r="G2711">
        <v>2024</v>
      </c>
      <c r="H2711" t="s">
        <v>928</v>
      </c>
      <c r="I2711" t="s">
        <v>6063</v>
      </c>
      <c r="J2711" t="s">
        <v>8408</v>
      </c>
      <c r="K2711" t="s">
        <v>9332</v>
      </c>
    </row>
    <row r="2712" spans="1:11" x14ac:dyDescent="0.4">
      <c r="A2712" t="s">
        <v>5993</v>
      </c>
      <c r="B2712">
        <v>0</v>
      </c>
      <c r="C2712" t="s">
        <v>2487</v>
      </c>
      <c r="D2712">
        <v>1</v>
      </c>
      <c r="E2712">
        <v>-0.52600000000000002</v>
      </c>
      <c r="F2712">
        <v>0</v>
      </c>
      <c r="G2712">
        <v>2024</v>
      </c>
      <c r="H2712" t="s">
        <v>928</v>
      </c>
      <c r="I2712" t="s">
        <v>6063</v>
      </c>
      <c r="J2712" t="s">
        <v>8409</v>
      </c>
      <c r="K2712" t="s">
        <v>9333</v>
      </c>
    </row>
    <row r="2713" spans="1:11" x14ac:dyDescent="0.4">
      <c r="A2713" t="s">
        <v>3377</v>
      </c>
      <c r="B2713">
        <v>0</v>
      </c>
      <c r="C2713" t="s">
        <v>2487</v>
      </c>
      <c r="D2713">
        <v>1</v>
      </c>
      <c r="E2713">
        <v>-0.52600000000000002</v>
      </c>
      <c r="F2713">
        <v>0</v>
      </c>
      <c r="G2713">
        <v>2024</v>
      </c>
      <c r="H2713" t="s">
        <v>928</v>
      </c>
      <c r="I2713" t="s">
        <v>6063</v>
      </c>
      <c r="J2713" t="s">
        <v>8410</v>
      </c>
      <c r="K2713" t="s">
        <v>9334</v>
      </c>
    </row>
    <row r="2714" spans="1:11" x14ac:dyDescent="0.4">
      <c r="A2714" t="s">
        <v>2295</v>
      </c>
      <c r="B2714">
        <v>0</v>
      </c>
      <c r="C2714" t="s">
        <v>2487</v>
      </c>
      <c r="D2714">
        <v>1</v>
      </c>
      <c r="E2714">
        <v>-0.52600000000000002</v>
      </c>
      <c r="F2714">
        <v>0</v>
      </c>
      <c r="G2714">
        <v>2024</v>
      </c>
      <c r="H2714" t="s">
        <v>928</v>
      </c>
      <c r="I2714" t="s">
        <v>6063</v>
      </c>
      <c r="J2714" t="s">
        <v>8411</v>
      </c>
      <c r="K2714" t="s">
        <v>9312</v>
      </c>
    </row>
    <row r="2715" spans="1:11" x14ac:dyDescent="0.4">
      <c r="A2715" t="s">
        <v>2304</v>
      </c>
      <c r="B2715">
        <v>0</v>
      </c>
      <c r="C2715" t="s">
        <v>2487</v>
      </c>
      <c r="D2715">
        <v>1</v>
      </c>
      <c r="E2715">
        <v>-0.52600000000000002</v>
      </c>
      <c r="F2715">
        <v>0</v>
      </c>
      <c r="G2715">
        <v>2024</v>
      </c>
      <c r="H2715" t="s">
        <v>928</v>
      </c>
      <c r="I2715" t="s">
        <v>6063</v>
      </c>
      <c r="J2715" t="s">
        <v>6851</v>
      </c>
      <c r="K2715" t="s">
        <v>8412</v>
      </c>
    </row>
    <row r="2716" spans="1:11" x14ac:dyDescent="0.4">
      <c r="A2716" t="s">
        <v>3370</v>
      </c>
      <c r="B2716">
        <v>100</v>
      </c>
      <c r="C2716" t="s">
        <v>1380</v>
      </c>
      <c r="D2716">
        <v>5</v>
      </c>
      <c r="E2716">
        <v>1.8640000000000001</v>
      </c>
      <c r="F2716">
        <v>1</v>
      </c>
      <c r="G2716">
        <v>2024</v>
      </c>
      <c r="H2716" t="s">
        <v>928</v>
      </c>
      <c r="I2716" t="s">
        <v>6063</v>
      </c>
      <c r="J2716" t="s">
        <v>8413</v>
      </c>
      <c r="K2716" t="s">
        <v>8414</v>
      </c>
    </row>
    <row r="2717" spans="1:11" x14ac:dyDescent="0.4">
      <c r="A2717" t="s">
        <v>3384</v>
      </c>
      <c r="B2717">
        <v>0</v>
      </c>
      <c r="C2717" t="s">
        <v>2487</v>
      </c>
      <c r="D2717">
        <v>1</v>
      </c>
      <c r="E2717">
        <v>-0.52600000000000002</v>
      </c>
      <c r="F2717">
        <v>0</v>
      </c>
      <c r="G2717">
        <v>2024</v>
      </c>
      <c r="H2717" t="s">
        <v>928</v>
      </c>
      <c r="I2717" t="s">
        <v>6063</v>
      </c>
      <c r="J2717" t="s">
        <v>8415</v>
      </c>
      <c r="K2717" t="s">
        <v>8416</v>
      </c>
    </row>
    <row r="2718" spans="1:11" x14ac:dyDescent="0.4">
      <c r="A2718" t="s">
        <v>2296</v>
      </c>
      <c r="B2718">
        <v>100</v>
      </c>
      <c r="C2718" t="s">
        <v>1380</v>
      </c>
      <c r="D2718">
        <v>5</v>
      </c>
      <c r="E2718">
        <v>1.8640000000000001</v>
      </c>
      <c r="F2718">
        <v>1</v>
      </c>
      <c r="G2718">
        <v>2024</v>
      </c>
      <c r="H2718" t="s">
        <v>928</v>
      </c>
      <c r="I2718" t="s">
        <v>6063</v>
      </c>
      <c r="J2718" t="s">
        <v>8417</v>
      </c>
      <c r="K2718" t="s">
        <v>8418</v>
      </c>
    </row>
    <row r="2719" spans="1:11" x14ac:dyDescent="0.4">
      <c r="A2719" t="s">
        <v>2303</v>
      </c>
      <c r="B2719">
        <v>0</v>
      </c>
      <c r="C2719" t="s">
        <v>2487</v>
      </c>
      <c r="D2719">
        <v>1</v>
      </c>
      <c r="E2719">
        <v>-0.52600000000000002</v>
      </c>
      <c r="F2719">
        <v>0</v>
      </c>
      <c r="G2719">
        <v>2024</v>
      </c>
      <c r="H2719" t="s">
        <v>928</v>
      </c>
      <c r="I2719" t="s">
        <v>6063</v>
      </c>
      <c r="J2719" t="s">
        <v>8419</v>
      </c>
      <c r="K2719" t="s">
        <v>9335</v>
      </c>
    </row>
    <row r="2720" spans="1:11" x14ac:dyDescent="0.4">
      <c r="A2720" t="s">
        <v>2297</v>
      </c>
      <c r="B2720">
        <v>100</v>
      </c>
      <c r="C2720" t="s">
        <v>1380</v>
      </c>
      <c r="D2720">
        <v>5</v>
      </c>
      <c r="E2720">
        <v>1.8640000000000001</v>
      </c>
      <c r="F2720">
        <v>1</v>
      </c>
      <c r="G2720">
        <v>2024</v>
      </c>
      <c r="H2720" t="s">
        <v>928</v>
      </c>
      <c r="I2720" t="s">
        <v>6063</v>
      </c>
      <c r="J2720" t="s">
        <v>8993</v>
      </c>
      <c r="K2720" t="s">
        <v>6809</v>
      </c>
    </row>
    <row r="2721" spans="1:11" x14ac:dyDescent="0.4">
      <c r="A2721" t="s">
        <v>3354</v>
      </c>
      <c r="B2721">
        <v>0</v>
      </c>
      <c r="C2721" t="s">
        <v>2487</v>
      </c>
      <c r="D2721">
        <v>1</v>
      </c>
      <c r="E2721">
        <v>-0.52600000000000002</v>
      </c>
      <c r="F2721">
        <v>0</v>
      </c>
      <c r="G2721">
        <v>2024</v>
      </c>
      <c r="H2721" t="s">
        <v>928</v>
      </c>
      <c r="I2721" t="s">
        <v>6063</v>
      </c>
      <c r="J2721" t="s">
        <v>8420</v>
      </c>
      <c r="K2721" t="s">
        <v>9315</v>
      </c>
    </row>
    <row r="2722" spans="1:11" x14ac:dyDescent="0.4">
      <c r="A2722" t="s">
        <v>3374</v>
      </c>
      <c r="B2722">
        <v>0</v>
      </c>
      <c r="C2722" t="s">
        <v>2487</v>
      </c>
      <c r="D2722">
        <v>1</v>
      </c>
      <c r="E2722">
        <v>-0.52600000000000002</v>
      </c>
      <c r="F2722">
        <v>0</v>
      </c>
      <c r="G2722">
        <v>2024</v>
      </c>
      <c r="H2722" t="s">
        <v>928</v>
      </c>
      <c r="I2722" t="s">
        <v>6063</v>
      </c>
      <c r="J2722" t="s">
        <v>8421</v>
      </c>
      <c r="K2722" t="s">
        <v>9336</v>
      </c>
    </row>
    <row r="2723" spans="1:11" x14ac:dyDescent="0.4">
      <c r="A2723" t="s">
        <v>3378</v>
      </c>
      <c r="B2723">
        <v>0</v>
      </c>
      <c r="C2723" t="s">
        <v>2487</v>
      </c>
      <c r="D2723">
        <v>1</v>
      </c>
      <c r="E2723">
        <v>-0.52600000000000002</v>
      </c>
      <c r="F2723">
        <v>0</v>
      </c>
      <c r="G2723">
        <v>2024</v>
      </c>
      <c r="H2723" t="s">
        <v>928</v>
      </c>
      <c r="I2723" t="s">
        <v>6063</v>
      </c>
      <c r="J2723" t="s">
        <v>8422</v>
      </c>
      <c r="K2723" t="s">
        <v>9337</v>
      </c>
    </row>
    <row r="2724" spans="1:11" x14ac:dyDescent="0.4">
      <c r="A2724" t="s">
        <v>3376</v>
      </c>
      <c r="B2724">
        <v>0</v>
      </c>
      <c r="C2724" t="s">
        <v>2487</v>
      </c>
      <c r="D2724">
        <v>1</v>
      </c>
      <c r="E2724">
        <v>-0.52600000000000002</v>
      </c>
      <c r="F2724">
        <v>0</v>
      </c>
      <c r="G2724">
        <v>2024</v>
      </c>
      <c r="H2724" t="s">
        <v>928</v>
      </c>
      <c r="I2724" t="s">
        <v>6063</v>
      </c>
      <c r="J2724" t="s">
        <v>8423</v>
      </c>
      <c r="K2724" t="s">
        <v>9338</v>
      </c>
    </row>
    <row r="2725" spans="1:11" x14ac:dyDescent="0.4">
      <c r="A2725" t="s">
        <v>3364</v>
      </c>
      <c r="B2725">
        <v>0</v>
      </c>
      <c r="C2725" t="s">
        <v>2487</v>
      </c>
      <c r="D2725">
        <v>1</v>
      </c>
      <c r="E2725">
        <v>-0.52600000000000002</v>
      </c>
      <c r="F2725">
        <v>0</v>
      </c>
      <c r="G2725">
        <v>2024</v>
      </c>
      <c r="H2725" t="s">
        <v>928</v>
      </c>
      <c r="I2725" t="s">
        <v>6063</v>
      </c>
      <c r="J2725" t="s">
        <v>8424</v>
      </c>
      <c r="K2725" t="s">
        <v>9339</v>
      </c>
    </row>
    <row r="2726" spans="1:11" x14ac:dyDescent="0.4">
      <c r="A2726" t="s">
        <v>3353</v>
      </c>
      <c r="B2726">
        <v>0</v>
      </c>
      <c r="C2726" t="s">
        <v>2487</v>
      </c>
      <c r="D2726">
        <v>1</v>
      </c>
      <c r="E2726">
        <v>-0.52600000000000002</v>
      </c>
      <c r="F2726">
        <v>0</v>
      </c>
      <c r="G2726">
        <v>2024</v>
      </c>
      <c r="H2726" t="s">
        <v>928</v>
      </c>
      <c r="I2726" t="s">
        <v>6063</v>
      </c>
      <c r="J2726" t="s">
        <v>8425</v>
      </c>
      <c r="K2726" t="s">
        <v>9340</v>
      </c>
    </row>
    <row r="2727" spans="1:11" x14ac:dyDescent="0.4">
      <c r="A2727" t="s">
        <v>3367</v>
      </c>
      <c r="B2727">
        <v>0</v>
      </c>
      <c r="C2727" t="s">
        <v>2487</v>
      </c>
      <c r="D2727">
        <v>1</v>
      </c>
      <c r="E2727">
        <v>-0.52600000000000002</v>
      </c>
      <c r="F2727">
        <v>0</v>
      </c>
      <c r="G2727">
        <v>2024</v>
      </c>
      <c r="H2727" t="s">
        <v>928</v>
      </c>
      <c r="I2727" t="s">
        <v>6063</v>
      </c>
      <c r="J2727" t="s">
        <v>8426</v>
      </c>
      <c r="K2727" t="s">
        <v>8427</v>
      </c>
    </row>
    <row r="2728" spans="1:11" x14ac:dyDescent="0.4">
      <c r="A2728" t="s">
        <v>3368</v>
      </c>
      <c r="B2728">
        <v>100</v>
      </c>
      <c r="C2728" t="s">
        <v>1380</v>
      </c>
      <c r="D2728">
        <v>5</v>
      </c>
      <c r="E2728">
        <v>1.8640000000000001</v>
      </c>
      <c r="F2728">
        <v>1</v>
      </c>
      <c r="G2728">
        <v>2024</v>
      </c>
      <c r="H2728" t="s">
        <v>928</v>
      </c>
      <c r="I2728" t="s">
        <v>6063</v>
      </c>
      <c r="J2728" t="s">
        <v>8428</v>
      </c>
      <c r="K2728" t="s">
        <v>9341</v>
      </c>
    </row>
    <row r="2729" spans="1:11" x14ac:dyDescent="0.4">
      <c r="A2729" t="s">
        <v>3386</v>
      </c>
      <c r="B2729">
        <v>0</v>
      </c>
      <c r="C2729" t="s">
        <v>2487</v>
      </c>
      <c r="D2729">
        <v>1</v>
      </c>
      <c r="E2729">
        <v>-0.52600000000000002</v>
      </c>
      <c r="F2729">
        <v>0</v>
      </c>
      <c r="G2729">
        <v>2024</v>
      </c>
      <c r="H2729" t="s">
        <v>928</v>
      </c>
      <c r="I2729" t="s">
        <v>6063</v>
      </c>
      <c r="J2729" t="s">
        <v>8429</v>
      </c>
      <c r="K2729" t="s">
        <v>9342</v>
      </c>
    </row>
    <row r="2730" spans="1:11" x14ac:dyDescent="0.4">
      <c r="A2730" t="s">
        <v>2298</v>
      </c>
      <c r="B2730">
        <v>0</v>
      </c>
      <c r="C2730" t="s">
        <v>2487</v>
      </c>
      <c r="D2730">
        <v>1</v>
      </c>
      <c r="E2730">
        <v>-0.52600000000000002</v>
      </c>
      <c r="F2730">
        <v>0</v>
      </c>
      <c r="G2730">
        <v>2024</v>
      </c>
      <c r="H2730" t="s">
        <v>928</v>
      </c>
      <c r="I2730" t="s">
        <v>6063</v>
      </c>
      <c r="J2730" t="s">
        <v>8430</v>
      </c>
      <c r="K2730" t="s">
        <v>9343</v>
      </c>
    </row>
    <row r="2731" spans="1:11" x14ac:dyDescent="0.4">
      <c r="A2731" t="s">
        <v>2302</v>
      </c>
      <c r="B2731">
        <v>0</v>
      </c>
      <c r="C2731" t="s">
        <v>2487</v>
      </c>
      <c r="D2731">
        <v>1</v>
      </c>
      <c r="E2731">
        <v>-0.52600000000000002</v>
      </c>
      <c r="F2731">
        <v>0</v>
      </c>
      <c r="G2731">
        <v>2024</v>
      </c>
      <c r="H2731" t="s">
        <v>928</v>
      </c>
      <c r="I2731" t="s">
        <v>6063</v>
      </c>
      <c r="J2731" t="s">
        <v>8431</v>
      </c>
      <c r="K2731" t="s">
        <v>9344</v>
      </c>
    </row>
    <row r="2732" spans="1:11" x14ac:dyDescent="0.4">
      <c r="A2732" t="s">
        <v>3369</v>
      </c>
      <c r="B2732">
        <v>0</v>
      </c>
      <c r="C2732" t="s">
        <v>2487</v>
      </c>
      <c r="D2732">
        <v>1</v>
      </c>
      <c r="E2732">
        <v>-0.52600000000000002</v>
      </c>
      <c r="F2732">
        <v>0</v>
      </c>
      <c r="G2732">
        <v>2024</v>
      </c>
      <c r="H2732" t="s">
        <v>928</v>
      </c>
      <c r="I2732" t="s">
        <v>6063</v>
      </c>
      <c r="J2732" t="s">
        <v>8432</v>
      </c>
      <c r="K2732" t="s">
        <v>9136</v>
      </c>
    </row>
    <row r="2733" spans="1:11" x14ac:dyDescent="0.4">
      <c r="A2733" t="s">
        <v>3375</v>
      </c>
      <c r="B2733">
        <v>0</v>
      </c>
      <c r="C2733" t="s">
        <v>2487</v>
      </c>
      <c r="D2733">
        <v>1</v>
      </c>
      <c r="E2733">
        <v>-0.52600000000000002</v>
      </c>
      <c r="F2733">
        <v>0</v>
      </c>
      <c r="G2733">
        <v>2024</v>
      </c>
      <c r="H2733" t="s">
        <v>928</v>
      </c>
      <c r="I2733" t="s">
        <v>6063</v>
      </c>
      <c r="J2733" t="s">
        <v>8433</v>
      </c>
      <c r="K2733" t="s">
        <v>9345</v>
      </c>
    </row>
    <row r="2734" spans="1:11" x14ac:dyDescent="0.4">
      <c r="A2734" t="s">
        <v>3356</v>
      </c>
      <c r="B2734">
        <v>0</v>
      </c>
      <c r="C2734" t="s">
        <v>2487</v>
      </c>
      <c r="D2734">
        <v>1</v>
      </c>
      <c r="E2734">
        <v>-0.52600000000000002</v>
      </c>
      <c r="F2734">
        <v>0</v>
      </c>
      <c r="G2734">
        <v>2024</v>
      </c>
      <c r="H2734" t="s">
        <v>928</v>
      </c>
      <c r="I2734" t="s">
        <v>6063</v>
      </c>
      <c r="J2734" t="s">
        <v>8434</v>
      </c>
      <c r="K2734" t="s">
        <v>9169</v>
      </c>
    </row>
    <row r="2735" spans="1:11" x14ac:dyDescent="0.4">
      <c r="A2735" t="s">
        <v>5887</v>
      </c>
      <c r="B2735">
        <v>0</v>
      </c>
      <c r="C2735" t="s">
        <v>2487</v>
      </c>
      <c r="D2735">
        <v>1</v>
      </c>
      <c r="E2735">
        <v>-0.52600000000000002</v>
      </c>
      <c r="F2735">
        <v>0</v>
      </c>
      <c r="G2735">
        <v>2024</v>
      </c>
      <c r="H2735" t="s">
        <v>928</v>
      </c>
      <c r="I2735" t="s">
        <v>6063</v>
      </c>
      <c r="J2735" t="s">
        <v>8435</v>
      </c>
      <c r="K2735" t="s">
        <v>9346</v>
      </c>
    </row>
    <row r="2736" spans="1:11" x14ac:dyDescent="0.4">
      <c r="A2736" t="s">
        <v>3379</v>
      </c>
      <c r="B2736">
        <v>100</v>
      </c>
      <c r="C2736" t="s">
        <v>1380</v>
      </c>
      <c r="D2736">
        <v>5</v>
      </c>
      <c r="E2736">
        <v>1.8640000000000001</v>
      </c>
      <c r="F2736">
        <v>1</v>
      </c>
      <c r="G2736">
        <v>2024</v>
      </c>
      <c r="H2736" t="s">
        <v>928</v>
      </c>
      <c r="I2736" t="s">
        <v>6063</v>
      </c>
      <c r="J2736" t="s">
        <v>8436</v>
      </c>
      <c r="K2736" t="s">
        <v>8437</v>
      </c>
    </row>
    <row r="2737" spans="1:11" x14ac:dyDescent="0.4">
      <c r="A2737" t="s">
        <v>5888</v>
      </c>
      <c r="B2737">
        <v>0</v>
      </c>
      <c r="C2737" t="s">
        <v>2487</v>
      </c>
      <c r="D2737">
        <v>1</v>
      </c>
      <c r="E2737">
        <v>-0.52600000000000002</v>
      </c>
      <c r="F2737">
        <v>0</v>
      </c>
      <c r="G2737">
        <v>2024</v>
      </c>
      <c r="H2737" t="s">
        <v>928</v>
      </c>
      <c r="I2737" t="s">
        <v>6063</v>
      </c>
      <c r="J2737" t="s">
        <v>8438</v>
      </c>
      <c r="K2737" t="s">
        <v>9347</v>
      </c>
    </row>
    <row r="2738" spans="1:11" x14ac:dyDescent="0.4">
      <c r="A2738" t="s">
        <v>3387</v>
      </c>
      <c r="B2738">
        <v>0</v>
      </c>
      <c r="C2738" t="s">
        <v>2487</v>
      </c>
      <c r="D2738">
        <v>1</v>
      </c>
      <c r="E2738">
        <v>-0.52600000000000002</v>
      </c>
      <c r="F2738">
        <v>0</v>
      </c>
      <c r="G2738">
        <v>2024</v>
      </c>
      <c r="H2738" t="s">
        <v>928</v>
      </c>
      <c r="I2738" t="s">
        <v>6063</v>
      </c>
      <c r="J2738" t="s">
        <v>8439</v>
      </c>
      <c r="K2738" t="s">
        <v>9348</v>
      </c>
    </row>
    <row r="2739" spans="1:11" x14ac:dyDescent="0.4">
      <c r="A2739" t="s">
        <v>3362</v>
      </c>
      <c r="B2739">
        <v>0</v>
      </c>
      <c r="C2739" t="s">
        <v>2487</v>
      </c>
      <c r="D2739">
        <v>1</v>
      </c>
      <c r="E2739">
        <v>-0.52600000000000002</v>
      </c>
      <c r="F2739">
        <v>0</v>
      </c>
      <c r="G2739">
        <v>2024</v>
      </c>
      <c r="H2739" t="s">
        <v>928</v>
      </c>
      <c r="I2739" t="s">
        <v>6063</v>
      </c>
      <c r="J2739" t="s">
        <v>8440</v>
      </c>
      <c r="K2739" t="s">
        <v>9171</v>
      </c>
    </row>
    <row r="2740" spans="1:11" x14ac:dyDescent="0.4">
      <c r="A2740" t="s">
        <v>3366</v>
      </c>
      <c r="B2740">
        <v>0</v>
      </c>
      <c r="C2740" t="s">
        <v>2487</v>
      </c>
      <c r="D2740">
        <v>1</v>
      </c>
      <c r="E2740">
        <v>-0.52600000000000002</v>
      </c>
      <c r="F2740">
        <v>0</v>
      </c>
      <c r="G2740">
        <v>2024</v>
      </c>
      <c r="H2740" t="s">
        <v>928</v>
      </c>
      <c r="I2740" t="s">
        <v>6063</v>
      </c>
      <c r="J2740" t="s">
        <v>8441</v>
      </c>
      <c r="K2740" t="s">
        <v>6852</v>
      </c>
    </row>
    <row r="2741" spans="1:11" x14ac:dyDescent="0.4">
      <c r="A2741" t="s">
        <v>3360</v>
      </c>
      <c r="B2741">
        <v>0</v>
      </c>
      <c r="C2741" t="s">
        <v>2487</v>
      </c>
      <c r="D2741">
        <v>1</v>
      </c>
      <c r="E2741">
        <v>-0.52600000000000002</v>
      </c>
      <c r="F2741">
        <v>0</v>
      </c>
      <c r="G2741">
        <v>2024</v>
      </c>
      <c r="H2741" t="s">
        <v>928</v>
      </c>
      <c r="I2741" t="s">
        <v>6063</v>
      </c>
      <c r="J2741" t="s">
        <v>8442</v>
      </c>
      <c r="K2741" t="s">
        <v>8443</v>
      </c>
    </row>
    <row r="2742" spans="1:11" x14ac:dyDescent="0.4">
      <c r="A2742" t="s">
        <v>5889</v>
      </c>
      <c r="B2742">
        <v>0</v>
      </c>
      <c r="C2742" t="s">
        <v>2487</v>
      </c>
      <c r="D2742">
        <v>1</v>
      </c>
      <c r="E2742">
        <v>-0.52600000000000002</v>
      </c>
      <c r="F2742">
        <v>0</v>
      </c>
      <c r="G2742">
        <v>2024</v>
      </c>
      <c r="H2742" t="s">
        <v>928</v>
      </c>
      <c r="I2742" t="s">
        <v>6063</v>
      </c>
      <c r="J2742" t="s">
        <v>8444</v>
      </c>
      <c r="K2742" t="s">
        <v>8445</v>
      </c>
    </row>
    <row r="2743" spans="1:11" x14ac:dyDescent="0.4">
      <c r="A2743" t="s">
        <v>3380</v>
      </c>
      <c r="B2743">
        <v>100</v>
      </c>
      <c r="C2743" t="s">
        <v>1380</v>
      </c>
      <c r="D2743">
        <v>5</v>
      </c>
      <c r="E2743">
        <v>1.8640000000000001</v>
      </c>
      <c r="F2743">
        <v>1</v>
      </c>
      <c r="G2743">
        <v>2024</v>
      </c>
      <c r="H2743" t="s">
        <v>928</v>
      </c>
      <c r="I2743" t="s">
        <v>6063</v>
      </c>
      <c r="J2743" t="s">
        <v>8446</v>
      </c>
      <c r="K2743" t="s">
        <v>6853</v>
      </c>
    </row>
    <row r="2744" spans="1:11" x14ac:dyDescent="0.4">
      <c r="A2744" t="s">
        <v>2299</v>
      </c>
      <c r="B2744">
        <v>0</v>
      </c>
      <c r="C2744" t="s">
        <v>2487</v>
      </c>
      <c r="D2744">
        <v>1</v>
      </c>
      <c r="E2744">
        <v>-0.52600000000000002</v>
      </c>
      <c r="F2744">
        <v>0</v>
      </c>
      <c r="G2744">
        <v>2024</v>
      </c>
      <c r="H2744" t="s">
        <v>928</v>
      </c>
      <c r="I2744" t="s">
        <v>6063</v>
      </c>
      <c r="J2744" t="s">
        <v>8447</v>
      </c>
      <c r="K2744" t="s">
        <v>9349</v>
      </c>
    </row>
    <row r="2745" spans="1:11" x14ac:dyDescent="0.4">
      <c r="A2745" t="s">
        <v>2300</v>
      </c>
      <c r="B2745">
        <v>100</v>
      </c>
      <c r="C2745" t="s">
        <v>1380</v>
      </c>
      <c r="D2745">
        <v>5</v>
      </c>
      <c r="E2745">
        <v>1.8640000000000001</v>
      </c>
      <c r="F2745">
        <v>1</v>
      </c>
      <c r="G2745">
        <v>2024</v>
      </c>
      <c r="H2745" t="s">
        <v>928</v>
      </c>
      <c r="I2745" t="s">
        <v>6063</v>
      </c>
      <c r="J2745" t="s">
        <v>8448</v>
      </c>
      <c r="K2745" t="s">
        <v>6827</v>
      </c>
    </row>
    <row r="2746" spans="1:11" x14ac:dyDescent="0.4">
      <c r="A2746" t="s">
        <v>3383</v>
      </c>
      <c r="B2746">
        <v>0</v>
      </c>
      <c r="C2746" t="s">
        <v>2487</v>
      </c>
      <c r="D2746">
        <v>1</v>
      </c>
      <c r="E2746">
        <v>-0.52600000000000002</v>
      </c>
      <c r="F2746">
        <v>0</v>
      </c>
      <c r="G2746">
        <v>2024</v>
      </c>
      <c r="H2746" t="s">
        <v>928</v>
      </c>
      <c r="I2746" t="s">
        <v>6063</v>
      </c>
      <c r="J2746" t="s">
        <v>8449</v>
      </c>
      <c r="K2746" t="s">
        <v>9222</v>
      </c>
    </row>
    <row r="2747" spans="1:11" x14ac:dyDescent="0.4">
      <c r="A2747" t="s">
        <v>2301</v>
      </c>
      <c r="B2747">
        <v>100</v>
      </c>
      <c r="C2747" t="s">
        <v>1380</v>
      </c>
      <c r="D2747">
        <v>5</v>
      </c>
      <c r="E2747">
        <v>1.8640000000000001</v>
      </c>
      <c r="F2747">
        <v>1</v>
      </c>
      <c r="G2747">
        <v>2024</v>
      </c>
      <c r="H2747" t="s">
        <v>928</v>
      </c>
      <c r="I2747" t="s">
        <v>6063</v>
      </c>
      <c r="J2747" t="s">
        <v>8450</v>
      </c>
      <c r="K2747" t="s">
        <v>8161</v>
      </c>
    </row>
    <row r="2748" spans="1:11" x14ac:dyDescent="0.4">
      <c r="A2748" t="s">
        <v>3358</v>
      </c>
      <c r="B2748">
        <v>0</v>
      </c>
      <c r="C2748" t="s">
        <v>2487</v>
      </c>
      <c r="D2748">
        <v>1</v>
      </c>
      <c r="E2748">
        <v>-0.52600000000000002</v>
      </c>
      <c r="F2748">
        <v>0</v>
      </c>
      <c r="G2748">
        <v>2024</v>
      </c>
      <c r="H2748" t="s">
        <v>928</v>
      </c>
      <c r="I2748" t="s">
        <v>6063</v>
      </c>
      <c r="J2748" t="s">
        <v>8994</v>
      </c>
      <c r="K2748" t="s">
        <v>8451</v>
      </c>
    </row>
    <row r="2749" spans="1:11" x14ac:dyDescent="0.4">
      <c r="A2749" t="s">
        <v>3372</v>
      </c>
      <c r="B2749">
        <v>100</v>
      </c>
      <c r="C2749" t="s">
        <v>1380</v>
      </c>
      <c r="D2749">
        <v>5</v>
      </c>
      <c r="E2749">
        <v>1.8640000000000001</v>
      </c>
      <c r="F2749">
        <v>1</v>
      </c>
      <c r="G2749">
        <v>2024</v>
      </c>
      <c r="H2749" t="s">
        <v>928</v>
      </c>
      <c r="I2749" t="s">
        <v>6063</v>
      </c>
      <c r="J2749" t="s">
        <v>8452</v>
      </c>
      <c r="K2749" t="s">
        <v>8453</v>
      </c>
    </row>
    <row r="2750" spans="1:11" x14ac:dyDescent="0.4">
      <c r="A2750" t="s">
        <v>3382</v>
      </c>
      <c r="B2750">
        <v>0</v>
      </c>
      <c r="C2750" t="s">
        <v>2487</v>
      </c>
      <c r="D2750">
        <v>1</v>
      </c>
      <c r="E2750">
        <v>-0.52600000000000002</v>
      </c>
      <c r="F2750">
        <v>0</v>
      </c>
      <c r="G2750">
        <v>2024</v>
      </c>
      <c r="H2750" t="s">
        <v>928</v>
      </c>
      <c r="I2750" t="s">
        <v>6063</v>
      </c>
      <c r="J2750" t="s">
        <v>8454</v>
      </c>
      <c r="K2750" t="s">
        <v>9350</v>
      </c>
    </row>
    <row r="2751" spans="1:11" x14ac:dyDescent="0.4">
      <c r="A2751" t="s">
        <v>3373</v>
      </c>
      <c r="B2751">
        <v>0</v>
      </c>
      <c r="C2751" t="s">
        <v>2487</v>
      </c>
      <c r="D2751">
        <v>1</v>
      </c>
      <c r="E2751">
        <v>-0.52600000000000002</v>
      </c>
      <c r="F2751">
        <v>0</v>
      </c>
      <c r="G2751">
        <v>2024</v>
      </c>
      <c r="H2751" t="s">
        <v>928</v>
      </c>
      <c r="I2751" t="s">
        <v>6063</v>
      </c>
      <c r="J2751" t="s">
        <v>8455</v>
      </c>
      <c r="K2751" t="s">
        <v>9351</v>
      </c>
    </row>
    <row r="2752" spans="1:11" x14ac:dyDescent="0.4">
      <c r="A2752" t="s">
        <v>2305</v>
      </c>
      <c r="B2752">
        <v>22</v>
      </c>
      <c r="C2752" t="s">
        <v>197</v>
      </c>
      <c r="D2752">
        <v>2</v>
      </c>
    </row>
    <row r="2753" spans="1:5" x14ac:dyDescent="0.4">
      <c r="A2753" t="s">
        <v>2306</v>
      </c>
      <c r="B2753">
        <v>0</v>
      </c>
      <c r="C2753" t="s">
        <v>197</v>
      </c>
      <c r="D2753">
        <v>1</v>
      </c>
    </row>
    <row r="2754" spans="1:5" x14ac:dyDescent="0.4">
      <c r="A2754" t="s">
        <v>2307</v>
      </c>
      <c r="B2754">
        <v>14.3</v>
      </c>
      <c r="C2754" t="s">
        <v>197</v>
      </c>
      <c r="D2754">
        <v>1</v>
      </c>
    </row>
    <row r="2755" spans="1:5" x14ac:dyDescent="0.4">
      <c r="A2755" t="s">
        <v>2308</v>
      </c>
      <c r="B2755">
        <v>0</v>
      </c>
      <c r="C2755" t="s">
        <v>197</v>
      </c>
      <c r="D2755">
        <v>1</v>
      </c>
    </row>
    <row r="2756" spans="1:5" x14ac:dyDescent="0.4">
      <c r="A2756" t="s">
        <v>2309</v>
      </c>
      <c r="B2756">
        <v>30</v>
      </c>
      <c r="C2756" t="s">
        <v>197</v>
      </c>
      <c r="D2756">
        <v>2</v>
      </c>
    </row>
    <row r="2757" spans="1:5" x14ac:dyDescent="0.4">
      <c r="A2757" t="s">
        <v>2560</v>
      </c>
      <c r="B2757">
        <v>20</v>
      </c>
      <c r="C2757" t="s">
        <v>197</v>
      </c>
      <c r="D2757">
        <v>2</v>
      </c>
    </row>
    <row r="2758" spans="1:5" x14ac:dyDescent="0.4">
      <c r="A2758" t="s">
        <v>2561</v>
      </c>
      <c r="B2758">
        <v>35.700000000000003</v>
      </c>
      <c r="C2758" t="s">
        <v>197</v>
      </c>
      <c r="D2758">
        <v>2</v>
      </c>
    </row>
    <row r="2759" spans="1:5" x14ac:dyDescent="0.4">
      <c r="A2759" t="s">
        <v>7390</v>
      </c>
      <c r="B2759">
        <v>0</v>
      </c>
      <c r="C2759" t="s">
        <v>197</v>
      </c>
      <c r="D2759">
        <v>1</v>
      </c>
    </row>
    <row r="2760" spans="1:5" x14ac:dyDescent="0.4">
      <c r="A2760" t="s">
        <v>7391</v>
      </c>
      <c r="B2760">
        <v>18.2</v>
      </c>
      <c r="C2760" t="s">
        <v>197</v>
      </c>
      <c r="D2760">
        <v>1</v>
      </c>
    </row>
    <row r="2761" spans="1:5" x14ac:dyDescent="0.4">
      <c r="A2761" t="s">
        <v>7392</v>
      </c>
      <c r="B2761">
        <v>39.1</v>
      </c>
      <c r="C2761" t="s">
        <v>197</v>
      </c>
      <c r="D2761">
        <v>2</v>
      </c>
    </row>
    <row r="2762" spans="1:5" x14ac:dyDescent="0.4">
      <c r="A2762" t="s">
        <v>4337</v>
      </c>
      <c r="B2762">
        <v>19.100000000000001</v>
      </c>
      <c r="C2762" t="s">
        <v>6033</v>
      </c>
      <c r="D2762">
        <v>1</v>
      </c>
      <c r="E2762">
        <v>-2.3980000000000001</v>
      </c>
    </row>
    <row r="2763" spans="1:5" x14ac:dyDescent="0.4">
      <c r="A2763" t="s">
        <v>4335</v>
      </c>
      <c r="B2763">
        <v>52.5</v>
      </c>
      <c r="C2763" t="s">
        <v>5727</v>
      </c>
      <c r="D2763">
        <v>3</v>
      </c>
      <c r="E2763">
        <v>-0.626</v>
      </c>
    </row>
    <row r="2764" spans="1:5" x14ac:dyDescent="0.4">
      <c r="A2764" t="s">
        <v>4341</v>
      </c>
      <c r="B2764">
        <v>66.900000000000006</v>
      </c>
      <c r="C2764" t="s">
        <v>5703</v>
      </c>
      <c r="D2764">
        <v>4</v>
      </c>
      <c r="E2764">
        <v>0.13800000000000001</v>
      </c>
    </row>
    <row r="2765" spans="1:5" x14ac:dyDescent="0.4">
      <c r="A2765" t="s">
        <v>4365</v>
      </c>
      <c r="B2765">
        <v>79.400000000000006</v>
      </c>
      <c r="C2765" t="s">
        <v>5692</v>
      </c>
      <c r="D2765">
        <v>4</v>
      </c>
      <c r="E2765">
        <v>0.80100000000000005</v>
      </c>
    </row>
    <row r="2766" spans="1:5" x14ac:dyDescent="0.4">
      <c r="A2766" t="s">
        <v>2413</v>
      </c>
      <c r="B2766">
        <v>78.3</v>
      </c>
      <c r="C2766" t="s">
        <v>5695</v>
      </c>
      <c r="D2766">
        <v>4</v>
      </c>
      <c r="E2766">
        <v>0.74299999999999999</v>
      </c>
    </row>
    <row r="2767" spans="1:5" x14ac:dyDescent="0.4">
      <c r="A2767" t="s">
        <v>4361</v>
      </c>
      <c r="B2767">
        <v>37.6</v>
      </c>
      <c r="C2767" t="s">
        <v>6037</v>
      </c>
      <c r="D2767">
        <v>2</v>
      </c>
      <c r="E2767">
        <v>-1.417</v>
      </c>
    </row>
    <row r="2768" spans="1:5" x14ac:dyDescent="0.4">
      <c r="A2768" t="s">
        <v>4345</v>
      </c>
      <c r="B2768">
        <v>87.6</v>
      </c>
      <c r="C2768" t="s">
        <v>2477</v>
      </c>
      <c r="D2768">
        <v>5</v>
      </c>
      <c r="E2768">
        <v>1.236</v>
      </c>
    </row>
    <row r="2769" spans="1:5" x14ac:dyDescent="0.4">
      <c r="A2769" t="s">
        <v>4339</v>
      </c>
      <c r="B2769">
        <v>70.8</v>
      </c>
      <c r="C2769" t="s">
        <v>5700</v>
      </c>
      <c r="D2769">
        <v>4</v>
      </c>
      <c r="E2769">
        <v>0.34499999999999997</v>
      </c>
    </row>
    <row r="2770" spans="1:5" x14ac:dyDescent="0.4">
      <c r="A2770" t="s">
        <v>4351</v>
      </c>
      <c r="B2770">
        <v>60.8</v>
      </c>
      <c r="C2770" t="s">
        <v>5706</v>
      </c>
      <c r="D2770">
        <v>4</v>
      </c>
      <c r="E2770">
        <v>-0.186</v>
      </c>
    </row>
    <row r="2771" spans="1:5" x14ac:dyDescent="0.4">
      <c r="A2771" t="s">
        <v>4343</v>
      </c>
      <c r="B2771">
        <v>47.8</v>
      </c>
      <c r="C2771" t="s">
        <v>5708</v>
      </c>
      <c r="D2771">
        <v>3</v>
      </c>
      <c r="E2771">
        <v>-0.875</v>
      </c>
    </row>
    <row r="2772" spans="1:5" x14ac:dyDescent="0.4">
      <c r="A2772" t="s">
        <v>5994</v>
      </c>
      <c r="B2772">
        <v>77.8</v>
      </c>
      <c r="C2772" t="s">
        <v>6580</v>
      </c>
      <c r="D2772">
        <v>4</v>
      </c>
      <c r="E2772">
        <v>0.71599999999999997</v>
      </c>
    </row>
    <row r="2773" spans="1:5" x14ac:dyDescent="0.4">
      <c r="A2773" t="s">
        <v>4357</v>
      </c>
      <c r="B2773">
        <v>71</v>
      </c>
      <c r="C2773" t="s">
        <v>6589</v>
      </c>
      <c r="D2773">
        <v>4</v>
      </c>
      <c r="E2773">
        <v>0.35499999999999998</v>
      </c>
    </row>
    <row r="2774" spans="1:5" x14ac:dyDescent="0.4">
      <c r="A2774" t="s">
        <v>2414</v>
      </c>
      <c r="B2774">
        <v>39.1</v>
      </c>
      <c r="C2774" t="s">
        <v>5710</v>
      </c>
      <c r="D2774">
        <v>2</v>
      </c>
      <c r="E2774">
        <v>-1.337</v>
      </c>
    </row>
    <row r="2775" spans="1:5" x14ac:dyDescent="0.4">
      <c r="A2775" t="s">
        <v>2423</v>
      </c>
      <c r="B2775">
        <v>44.8</v>
      </c>
      <c r="C2775" t="s">
        <v>5711</v>
      </c>
      <c r="D2775">
        <v>3</v>
      </c>
      <c r="E2775">
        <v>-1.0349999999999999</v>
      </c>
    </row>
    <row r="2776" spans="1:5" x14ac:dyDescent="0.4">
      <c r="A2776" t="s">
        <v>4350</v>
      </c>
      <c r="B2776">
        <v>87.3</v>
      </c>
      <c r="C2776" t="s">
        <v>2475</v>
      </c>
      <c r="D2776">
        <v>5</v>
      </c>
      <c r="E2776">
        <v>1.22</v>
      </c>
    </row>
    <row r="2777" spans="1:5" x14ac:dyDescent="0.4">
      <c r="A2777" t="s">
        <v>4364</v>
      </c>
      <c r="B2777">
        <v>48.9</v>
      </c>
      <c r="C2777" t="s">
        <v>5694</v>
      </c>
      <c r="D2777">
        <v>3</v>
      </c>
      <c r="E2777">
        <v>-0.81699999999999995</v>
      </c>
    </row>
    <row r="2778" spans="1:5" x14ac:dyDescent="0.4">
      <c r="A2778" t="s">
        <v>2415</v>
      </c>
      <c r="B2778">
        <v>76.5</v>
      </c>
      <c r="C2778" t="s">
        <v>6034</v>
      </c>
      <c r="D2778">
        <v>4</v>
      </c>
      <c r="E2778">
        <v>0.64700000000000002</v>
      </c>
    </row>
    <row r="2779" spans="1:5" x14ac:dyDescent="0.4">
      <c r="A2779" t="s">
        <v>2422</v>
      </c>
      <c r="B2779">
        <v>80.099999999999994</v>
      </c>
      <c r="C2779" t="s">
        <v>5705</v>
      </c>
      <c r="D2779">
        <v>5</v>
      </c>
      <c r="E2779">
        <v>0.83799999999999997</v>
      </c>
    </row>
    <row r="2780" spans="1:5" x14ac:dyDescent="0.4">
      <c r="A2780" t="s">
        <v>2416</v>
      </c>
      <c r="B2780">
        <v>40.6</v>
      </c>
      <c r="C2780" t="s">
        <v>5697</v>
      </c>
      <c r="D2780">
        <v>3</v>
      </c>
      <c r="E2780">
        <v>-1.2569999999999999</v>
      </c>
    </row>
    <row r="2781" spans="1:5" x14ac:dyDescent="0.4">
      <c r="A2781" t="s">
        <v>4334</v>
      </c>
      <c r="B2781">
        <v>51.9</v>
      </c>
      <c r="C2781" t="s">
        <v>6044</v>
      </c>
      <c r="D2781">
        <v>3</v>
      </c>
      <c r="E2781">
        <v>-0.65800000000000003</v>
      </c>
    </row>
    <row r="2782" spans="1:5" x14ac:dyDescent="0.4">
      <c r="A2782" t="s">
        <v>4354</v>
      </c>
      <c r="B2782">
        <v>29.3</v>
      </c>
      <c r="C2782" t="s">
        <v>6035</v>
      </c>
      <c r="D2782">
        <v>2</v>
      </c>
      <c r="E2782">
        <v>-1.857</v>
      </c>
    </row>
    <row r="2783" spans="1:5" x14ac:dyDescent="0.4">
      <c r="A2783" t="s">
        <v>4358</v>
      </c>
      <c r="B2783">
        <v>47.4</v>
      </c>
      <c r="C2783" t="s">
        <v>5713</v>
      </c>
      <c r="D2783">
        <v>3</v>
      </c>
      <c r="E2783">
        <v>-0.89700000000000002</v>
      </c>
    </row>
    <row r="2784" spans="1:5" x14ac:dyDescent="0.4">
      <c r="A2784" t="s">
        <v>4356</v>
      </c>
      <c r="B2784">
        <v>71</v>
      </c>
      <c r="C2784" t="s">
        <v>6589</v>
      </c>
      <c r="D2784">
        <v>4</v>
      </c>
      <c r="E2784">
        <v>0.35499999999999998</v>
      </c>
    </row>
    <row r="2785" spans="1:5" x14ac:dyDescent="0.4">
      <c r="A2785" t="s">
        <v>4344</v>
      </c>
      <c r="B2785">
        <v>43.9</v>
      </c>
      <c r="C2785" t="s">
        <v>5728</v>
      </c>
      <c r="D2785">
        <v>3</v>
      </c>
      <c r="E2785">
        <v>-1.0820000000000001</v>
      </c>
    </row>
    <row r="2786" spans="1:5" x14ac:dyDescent="0.4">
      <c r="A2786" t="s">
        <v>4333</v>
      </c>
      <c r="B2786">
        <v>48.4</v>
      </c>
      <c r="C2786" t="s">
        <v>5698</v>
      </c>
      <c r="D2786">
        <v>3</v>
      </c>
      <c r="E2786">
        <v>-0.84399999999999997</v>
      </c>
    </row>
    <row r="2787" spans="1:5" x14ac:dyDescent="0.4">
      <c r="A2787" t="s">
        <v>4347</v>
      </c>
      <c r="B2787">
        <v>84</v>
      </c>
      <c r="C2787" t="s">
        <v>2483</v>
      </c>
      <c r="D2787">
        <v>5</v>
      </c>
      <c r="E2787">
        <v>1.0449999999999999</v>
      </c>
    </row>
    <row r="2788" spans="1:5" x14ac:dyDescent="0.4">
      <c r="A2788" t="s">
        <v>4348</v>
      </c>
      <c r="B2788">
        <v>83.7</v>
      </c>
      <c r="C2788" t="s">
        <v>2474</v>
      </c>
      <c r="D2788">
        <v>5</v>
      </c>
      <c r="E2788">
        <v>1.0289999999999999</v>
      </c>
    </row>
    <row r="2789" spans="1:5" x14ac:dyDescent="0.4">
      <c r="A2789" t="s">
        <v>4366</v>
      </c>
      <c r="B2789">
        <v>46.3</v>
      </c>
      <c r="C2789" t="s">
        <v>5712</v>
      </c>
      <c r="D2789">
        <v>3</v>
      </c>
      <c r="E2789">
        <v>-0.95499999999999996</v>
      </c>
    </row>
    <row r="2790" spans="1:5" x14ac:dyDescent="0.4">
      <c r="A2790" t="s">
        <v>2417</v>
      </c>
      <c r="B2790">
        <v>83.5</v>
      </c>
      <c r="C2790" t="s">
        <v>6856</v>
      </c>
      <c r="D2790">
        <v>5</v>
      </c>
      <c r="E2790">
        <v>1.0189999999999999</v>
      </c>
    </row>
    <row r="2791" spans="1:5" x14ac:dyDescent="0.4">
      <c r="A2791" t="s">
        <v>2421</v>
      </c>
      <c r="B2791">
        <v>77.599999999999994</v>
      </c>
      <c r="C2791" t="s">
        <v>6579</v>
      </c>
      <c r="D2791">
        <v>4</v>
      </c>
      <c r="E2791">
        <v>0.70599999999999996</v>
      </c>
    </row>
    <row r="2792" spans="1:5" x14ac:dyDescent="0.4">
      <c r="A2792" t="s">
        <v>4349</v>
      </c>
      <c r="B2792">
        <v>58.3</v>
      </c>
      <c r="C2792" t="s">
        <v>5736</v>
      </c>
      <c r="D2792">
        <v>3</v>
      </c>
      <c r="E2792">
        <v>-0.318</v>
      </c>
    </row>
    <row r="2793" spans="1:5" x14ac:dyDescent="0.4">
      <c r="A2793" t="s">
        <v>4355</v>
      </c>
      <c r="B2793">
        <v>71</v>
      </c>
      <c r="C2793" t="s">
        <v>6589</v>
      </c>
      <c r="D2793">
        <v>4</v>
      </c>
      <c r="E2793">
        <v>0.35499999999999998</v>
      </c>
    </row>
    <row r="2794" spans="1:5" x14ac:dyDescent="0.4">
      <c r="A2794" t="s">
        <v>4336</v>
      </c>
      <c r="B2794">
        <v>36.6</v>
      </c>
      <c r="C2794" t="s">
        <v>6036</v>
      </c>
      <c r="D2794">
        <v>2</v>
      </c>
      <c r="E2794">
        <v>-1.47</v>
      </c>
    </row>
    <row r="2795" spans="1:5" x14ac:dyDescent="0.4">
      <c r="A2795" t="s">
        <v>5890</v>
      </c>
      <c r="B2795">
        <v>91.9</v>
      </c>
      <c r="C2795" t="s">
        <v>1380</v>
      </c>
      <c r="D2795">
        <v>5</v>
      </c>
      <c r="E2795">
        <v>1.464</v>
      </c>
    </row>
    <row r="2796" spans="1:5" x14ac:dyDescent="0.4">
      <c r="A2796" t="s">
        <v>4359</v>
      </c>
      <c r="B2796">
        <v>80.400000000000006</v>
      </c>
      <c r="C2796" t="s">
        <v>6045</v>
      </c>
      <c r="D2796">
        <v>5</v>
      </c>
      <c r="E2796">
        <v>0.85399999999999998</v>
      </c>
    </row>
    <row r="2797" spans="1:5" x14ac:dyDescent="0.4">
      <c r="A2797" t="s">
        <v>5891</v>
      </c>
      <c r="B2797">
        <v>84.3</v>
      </c>
      <c r="C2797" t="s">
        <v>2480</v>
      </c>
      <c r="D2797">
        <v>5</v>
      </c>
      <c r="E2797">
        <v>1.0609999999999999</v>
      </c>
    </row>
    <row r="2798" spans="1:5" x14ac:dyDescent="0.4">
      <c r="A2798" t="s">
        <v>4367</v>
      </c>
      <c r="B2798">
        <v>48.7</v>
      </c>
      <c r="C2798" t="s">
        <v>5709</v>
      </c>
      <c r="D2798">
        <v>3</v>
      </c>
      <c r="E2798">
        <v>-0.82799999999999996</v>
      </c>
    </row>
    <row r="2799" spans="1:5" x14ac:dyDescent="0.4">
      <c r="A2799" t="s">
        <v>4342</v>
      </c>
      <c r="B2799">
        <v>51.9</v>
      </c>
      <c r="C2799" t="s">
        <v>6044</v>
      </c>
      <c r="D2799">
        <v>3</v>
      </c>
      <c r="E2799">
        <v>-0.65800000000000003</v>
      </c>
    </row>
    <row r="2800" spans="1:5" x14ac:dyDescent="0.4">
      <c r="A2800" t="s">
        <v>4346</v>
      </c>
      <c r="B2800">
        <v>82.1</v>
      </c>
      <c r="C2800" t="s">
        <v>5696</v>
      </c>
      <c r="D2800">
        <v>5</v>
      </c>
      <c r="E2800">
        <v>0.94399999999999995</v>
      </c>
    </row>
    <row r="2801" spans="1:5" x14ac:dyDescent="0.4">
      <c r="A2801" t="s">
        <v>4340</v>
      </c>
      <c r="B2801">
        <v>91.9</v>
      </c>
      <c r="C2801" t="s">
        <v>1380</v>
      </c>
      <c r="D2801">
        <v>5</v>
      </c>
      <c r="E2801">
        <v>1.464</v>
      </c>
    </row>
    <row r="2802" spans="1:5" x14ac:dyDescent="0.4">
      <c r="A2802" t="s">
        <v>5892</v>
      </c>
      <c r="B2802">
        <v>83.8</v>
      </c>
      <c r="C2802" t="s">
        <v>6581</v>
      </c>
      <c r="D2802">
        <v>5</v>
      </c>
      <c r="E2802">
        <v>1.0349999999999999</v>
      </c>
    </row>
    <row r="2803" spans="1:5" x14ac:dyDescent="0.4">
      <c r="A2803" t="s">
        <v>4360</v>
      </c>
      <c r="B2803">
        <v>83.8</v>
      </c>
      <c r="C2803" t="s">
        <v>6581</v>
      </c>
      <c r="D2803">
        <v>5</v>
      </c>
      <c r="E2803">
        <v>1.0349999999999999</v>
      </c>
    </row>
    <row r="2804" spans="1:5" x14ac:dyDescent="0.4">
      <c r="A2804" t="s">
        <v>2418</v>
      </c>
      <c r="B2804">
        <v>50.1</v>
      </c>
      <c r="C2804" t="s">
        <v>6693</v>
      </c>
      <c r="D2804">
        <v>3</v>
      </c>
      <c r="E2804">
        <v>-0.753</v>
      </c>
    </row>
    <row r="2805" spans="1:5" x14ac:dyDescent="0.4">
      <c r="A2805" t="s">
        <v>2419</v>
      </c>
      <c r="B2805">
        <v>53.9</v>
      </c>
      <c r="C2805" t="s">
        <v>5735</v>
      </c>
      <c r="D2805">
        <v>3</v>
      </c>
      <c r="E2805">
        <v>-0.55200000000000005</v>
      </c>
    </row>
    <row r="2806" spans="1:5" x14ac:dyDescent="0.4">
      <c r="A2806" t="s">
        <v>4363</v>
      </c>
      <c r="B2806">
        <v>83.5</v>
      </c>
      <c r="C2806" t="s">
        <v>6856</v>
      </c>
      <c r="D2806">
        <v>5</v>
      </c>
      <c r="E2806">
        <v>1.0189999999999999</v>
      </c>
    </row>
    <row r="2807" spans="1:5" x14ac:dyDescent="0.4">
      <c r="A2807" t="s">
        <v>2420</v>
      </c>
      <c r="B2807">
        <v>80.400000000000006</v>
      </c>
      <c r="C2807" t="s">
        <v>6045</v>
      </c>
      <c r="D2807">
        <v>5</v>
      </c>
      <c r="E2807">
        <v>0.85399999999999998</v>
      </c>
    </row>
    <row r="2808" spans="1:5" x14ac:dyDescent="0.4">
      <c r="A2808" t="s">
        <v>4338</v>
      </c>
      <c r="B2808">
        <v>60.1</v>
      </c>
      <c r="C2808" t="s">
        <v>5693</v>
      </c>
      <c r="D2808">
        <v>4</v>
      </c>
      <c r="E2808">
        <v>-0.223</v>
      </c>
    </row>
    <row r="2809" spans="1:5" x14ac:dyDescent="0.4">
      <c r="A2809" t="s">
        <v>4352</v>
      </c>
      <c r="B2809">
        <v>84.5</v>
      </c>
      <c r="C2809" t="s">
        <v>2476</v>
      </c>
      <c r="D2809">
        <v>5</v>
      </c>
      <c r="E2809">
        <v>1.0720000000000001</v>
      </c>
    </row>
    <row r="2810" spans="1:5" x14ac:dyDescent="0.4">
      <c r="A2810" t="s">
        <v>4362</v>
      </c>
      <c r="B2810">
        <v>50.1</v>
      </c>
      <c r="C2810" t="s">
        <v>6693</v>
      </c>
      <c r="D2810">
        <v>3</v>
      </c>
      <c r="E2810">
        <v>-0.753</v>
      </c>
    </row>
    <row r="2811" spans="1:5" x14ac:dyDescent="0.4">
      <c r="A2811" t="s">
        <v>4353</v>
      </c>
      <c r="B2811">
        <v>51.6</v>
      </c>
      <c r="C2811" t="s">
        <v>5699</v>
      </c>
      <c r="D2811">
        <v>3</v>
      </c>
      <c r="E2811">
        <v>-0.67400000000000004</v>
      </c>
    </row>
    <row r="2812" spans="1:5" x14ac:dyDescent="0.4">
      <c r="A2812" t="s">
        <v>2424</v>
      </c>
      <c r="B2812">
        <v>64.3</v>
      </c>
      <c r="C2812" t="s">
        <v>197</v>
      </c>
      <c r="D2812">
        <v>4</v>
      </c>
    </row>
    <row r="2813" spans="1:5" x14ac:dyDescent="0.4">
      <c r="A2813" t="s">
        <v>2425</v>
      </c>
      <c r="B2813">
        <v>41.7</v>
      </c>
      <c r="C2813" t="s">
        <v>197</v>
      </c>
      <c r="D2813">
        <v>3</v>
      </c>
    </row>
    <row r="2814" spans="1:5" x14ac:dyDescent="0.4">
      <c r="A2814" t="s">
        <v>2426</v>
      </c>
      <c r="B2814">
        <v>77.599999999999994</v>
      </c>
      <c r="C2814" t="s">
        <v>197</v>
      </c>
      <c r="D2814">
        <v>4</v>
      </c>
    </row>
    <row r="2815" spans="1:5" x14ac:dyDescent="0.4">
      <c r="A2815" t="s">
        <v>2427</v>
      </c>
      <c r="B2815">
        <v>47.1</v>
      </c>
      <c r="C2815" t="s">
        <v>197</v>
      </c>
      <c r="D2815">
        <v>3</v>
      </c>
    </row>
    <row r="2816" spans="1:5" x14ac:dyDescent="0.4">
      <c r="A2816" t="s">
        <v>2428</v>
      </c>
      <c r="B2816">
        <v>79.3</v>
      </c>
      <c r="C2816" t="s">
        <v>197</v>
      </c>
      <c r="D2816">
        <v>4</v>
      </c>
    </row>
    <row r="2817" spans="1:11" x14ac:dyDescent="0.4">
      <c r="A2817" t="s">
        <v>2616</v>
      </c>
      <c r="B2817">
        <v>57.7</v>
      </c>
      <c r="C2817" t="s">
        <v>197</v>
      </c>
      <c r="D2817">
        <v>3</v>
      </c>
    </row>
    <row r="2818" spans="1:11" x14ac:dyDescent="0.4">
      <c r="A2818" t="s">
        <v>2617</v>
      </c>
      <c r="B2818">
        <v>64.5</v>
      </c>
      <c r="C2818" t="s">
        <v>197</v>
      </c>
      <c r="D2818">
        <v>4</v>
      </c>
    </row>
    <row r="2819" spans="1:11" x14ac:dyDescent="0.4">
      <c r="A2819" t="s">
        <v>7393</v>
      </c>
      <c r="B2819">
        <v>50.4</v>
      </c>
      <c r="C2819" t="s">
        <v>197</v>
      </c>
      <c r="D2819">
        <v>3</v>
      </c>
    </row>
    <row r="2820" spans="1:11" x14ac:dyDescent="0.4">
      <c r="A2820" t="s">
        <v>7394</v>
      </c>
      <c r="B2820">
        <v>61.7</v>
      </c>
      <c r="C2820" t="s">
        <v>197</v>
      </c>
      <c r="D2820">
        <v>4</v>
      </c>
    </row>
    <row r="2821" spans="1:11" x14ac:dyDescent="0.4">
      <c r="A2821" t="s">
        <v>7395</v>
      </c>
      <c r="B2821">
        <v>75.099999999999994</v>
      </c>
      <c r="C2821" t="s">
        <v>197</v>
      </c>
      <c r="D2821">
        <v>4</v>
      </c>
    </row>
    <row r="2822" spans="1:11" x14ac:dyDescent="0.4">
      <c r="A2822" t="s">
        <v>4477</v>
      </c>
      <c r="B2822">
        <v>0</v>
      </c>
      <c r="C2822" t="s">
        <v>6042</v>
      </c>
      <c r="D2822">
        <v>1</v>
      </c>
      <c r="E2822">
        <v>-3.2629999999999999</v>
      </c>
      <c r="F2822">
        <v>0</v>
      </c>
      <c r="G2822">
        <v>2024</v>
      </c>
      <c r="H2822" t="s">
        <v>928</v>
      </c>
      <c r="I2822" t="s">
        <v>6063</v>
      </c>
      <c r="J2822" t="s">
        <v>8456</v>
      </c>
      <c r="K2822" t="s">
        <v>9352</v>
      </c>
    </row>
    <row r="2823" spans="1:11" x14ac:dyDescent="0.4">
      <c r="A2823" t="s">
        <v>4475</v>
      </c>
      <c r="B2823">
        <v>100</v>
      </c>
      <c r="C2823" t="s">
        <v>1380</v>
      </c>
      <c r="D2823">
        <v>5</v>
      </c>
      <c r="E2823">
        <v>0.40300000000000002</v>
      </c>
      <c r="F2823">
        <v>2</v>
      </c>
      <c r="G2823">
        <v>2024</v>
      </c>
      <c r="H2823" t="s">
        <v>928</v>
      </c>
      <c r="I2823" t="s">
        <v>6063</v>
      </c>
      <c r="J2823" t="s">
        <v>8457</v>
      </c>
      <c r="K2823" t="s">
        <v>9353</v>
      </c>
    </row>
    <row r="2824" spans="1:11" x14ac:dyDescent="0.4">
      <c r="A2824" t="s">
        <v>4481</v>
      </c>
      <c r="B2824">
        <v>100</v>
      </c>
      <c r="C2824" t="s">
        <v>1380</v>
      </c>
      <c r="D2824">
        <v>5</v>
      </c>
      <c r="E2824">
        <v>0.40300000000000002</v>
      </c>
      <c r="F2824">
        <v>2</v>
      </c>
      <c r="G2824">
        <v>2024</v>
      </c>
      <c r="H2824" t="s">
        <v>928</v>
      </c>
      <c r="I2824" t="s">
        <v>6063</v>
      </c>
      <c r="J2824" t="s">
        <v>8458</v>
      </c>
      <c r="K2824" t="s">
        <v>9354</v>
      </c>
    </row>
    <row r="2825" spans="1:11" x14ac:dyDescent="0.4">
      <c r="A2825" t="s">
        <v>4505</v>
      </c>
      <c r="B2825">
        <v>100</v>
      </c>
      <c r="C2825" t="s">
        <v>1380</v>
      </c>
      <c r="D2825">
        <v>5</v>
      </c>
      <c r="E2825">
        <v>0.40300000000000002</v>
      </c>
      <c r="F2825">
        <v>2</v>
      </c>
      <c r="G2825">
        <v>2024</v>
      </c>
      <c r="H2825" t="s">
        <v>928</v>
      </c>
      <c r="I2825" t="s">
        <v>6063</v>
      </c>
      <c r="J2825" t="s">
        <v>8459</v>
      </c>
      <c r="K2825" t="s">
        <v>9355</v>
      </c>
    </row>
    <row r="2826" spans="1:11" x14ac:dyDescent="0.4">
      <c r="A2826" t="s">
        <v>2462</v>
      </c>
      <c r="B2826">
        <v>100</v>
      </c>
      <c r="C2826" t="s">
        <v>1380</v>
      </c>
      <c r="D2826">
        <v>5</v>
      </c>
      <c r="E2826">
        <v>0.40300000000000002</v>
      </c>
      <c r="F2826">
        <v>2</v>
      </c>
      <c r="G2826">
        <v>2024</v>
      </c>
      <c r="H2826" t="s">
        <v>928</v>
      </c>
      <c r="I2826" t="s">
        <v>6063</v>
      </c>
      <c r="J2826" t="s">
        <v>6692</v>
      </c>
      <c r="K2826" t="s">
        <v>6015</v>
      </c>
    </row>
    <row r="2827" spans="1:11" x14ac:dyDescent="0.4">
      <c r="A2827" t="s">
        <v>4501</v>
      </c>
      <c r="B2827">
        <v>50</v>
      </c>
      <c r="C2827" t="s">
        <v>6014</v>
      </c>
      <c r="D2827">
        <v>3</v>
      </c>
      <c r="E2827">
        <v>-1.43</v>
      </c>
      <c r="F2827">
        <v>1</v>
      </c>
      <c r="G2827">
        <v>2024</v>
      </c>
      <c r="H2827" t="s">
        <v>928</v>
      </c>
      <c r="I2827" t="s">
        <v>6063</v>
      </c>
      <c r="J2827" t="s">
        <v>8460</v>
      </c>
      <c r="K2827" t="s">
        <v>9356</v>
      </c>
    </row>
    <row r="2828" spans="1:11" x14ac:dyDescent="0.4">
      <c r="A2828" t="s">
        <v>4485</v>
      </c>
      <c r="B2828">
        <v>100</v>
      </c>
      <c r="C2828" t="s">
        <v>1380</v>
      </c>
      <c r="D2828">
        <v>5</v>
      </c>
      <c r="E2828">
        <v>0.40300000000000002</v>
      </c>
      <c r="F2828">
        <v>2</v>
      </c>
      <c r="G2828">
        <v>2024</v>
      </c>
      <c r="H2828" t="s">
        <v>928</v>
      </c>
      <c r="I2828" t="s">
        <v>6063</v>
      </c>
      <c r="J2828" t="s">
        <v>8461</v>
      </c>
      <c r="K2828" t="s">
        <v>9357</v>
      </c>
    </row>
    <row r="2829" spans="1:11" x14ac:dyDescent="0.4">
      <c r="A2829" t="s">
        <v>4479</v>
      </c>
      <c r="B2829">
        <v>50</v>
      </c>
      <c r="C2829" t="s">
        <v>6014</v>
      </c>
      <c r="D2829">
        <v>3</v>
      </c>
      <c r="E2829">
        <v>-1.43</v>
      </c>
      <c r="F2829">
        <v>1</v>
      </c>
      <c r="G2829">
        <v>2024</v>
      </c>
      <c r="H2829" t="s">
        <v>928</v>
      </c>
      <c r="I2829" t="s">
        <v>6063</v>
      </c>
      <c r="J2829" t="s">
        <v>8462</v>
      </c>
      <c r="K2829" t="s">
        <v>9358</v>
      </c>
    </row>
    <row r="2830" spans="1:11" x14ac:dyDescent="0.4">
      <c r="A2830" t="s">
        <v>4491</v>
      </c>
      <c r="B2830">
        <v>100</v>
      </c>
      <c r="C2830" t="s">
        <v>1380</v>
      </c>
      <c r="D2830">
        <v>5</v>
      </c>
      <c r="E2830">
        <v>0.40300000000000002</v>
      </c>
      <c r="F2830">
        <v>2</v>
      </c>
      <c r="G2830">
        <v>2024</v>
      </c>
      <c r="H2830" t="s">
        <v>928</v>
      </c>
      <c r="I2830" t="s">
        <v>6063</v>
      </c>
      <c r="J2830" t="s">
        <v>8463</v>
      </c>
      <c r="K2830" t="s">
        <v>9359</v>
      </c>
    </row>
    <row r="2831" spans="1:11" x14ac:dyDescent="0.4">
      <c r="A2831" t="s">
        <v>4483</v>
      </c>
      <c r="B2831">
        <v>100</v>
      </c>
      <c r="C2831" t="s">
        <v>1380</v>
      </c>
      <c r="D2831">
        <v>5</v>
      </c>
      <c r="E2831">
        <v>0.40300000000000002</v>
      </c>
      <c r="F2831">
        <v>2</v>
      </c>
      <c r="G2831">
        <v>2024</v>
      </c>
      <c r="H2831" t="s">
        <v>928</v>
      </c>
      <c r="I2831" t="s">
        <v>6063</v>
      </c>
      <c r="J2831" t="s">
        <v>8464</v>
      </c>
      <c r="K2831" t="s">
        <v>9360</v>
      </c>
    </row>
    <row r="2832" spans="1:11" x14ac:dyDescent="0.4">
      <c r="A2832" t="s">
        <v>5995</v>
      </c>
      <c r="B2832">
        <v>100</v>
      </c>
      <c r="C2832" t="s">
        <v>1380</v>
      </c>
      <c r="D2832">
        <v>5</v>
      </c>
      <c r="E2832">
        <v>0.40300000000000002</v>
      </c>
      <c r="F2832">
        <v>2</v>
      </c>
      <c r="G2832">
        <v>2024</v>
      </c>
      <c r="H2832" t="s">
        <v>928</v>
      </c>
      <c r="I2832" t="s">
        <v>6063</v>
      </c>
      <c r="J2832" t="s">
        <v>8465</v>
      </c>
      <c r="K2832" t="s">
        <v>9361</v>
      </c>
    </row>
    <row r="2833" spans="1:11" x14ac:dyDescent="0.4">
      <c r="A2833" t="s">
        <v>4497</v>
      </c>
      <c r="B2833">
        <v>100</v>
      </c>
      <c r="C2833" t="s">
        <v>1380</v>
      </c>
      <c r="D2833">
        <v>5</v>
      </c>
      <c r="E2833">
        <v>0.40300000000000002</v>
      </c>
      <c r="F2833">
        <v>2</v>
      </c>
      <c r="G2833">
        <v>2024</v>
      </c>
      <c r="H2833" t="s">
        <v>928</v>
      </c>
      <c r="I2833" t="s">
        <v>6063</v>
      </c>
      <c r="J2833" t="s">
        <v>8466</v>
      </c>
      <c r="K2833" t="s">
        <v>9362</v>
      </c>
    </row>
    <row r="2834" spans="1:11" x14ac:dyDescent="0.4">
      <c r="A2834" t="s">
        <v>2463</v>
      </c>
      <c r="B2834">
        <v>50</v>
      </c>
      <c r="C2834" t="s">
        <v>6014</v>
      </c>
      <c r="D2834">
        <v>3</v>
      </c>
      <c r="E2834">
        <v>-1.43</v>
      </c>
      <c r="F2834">
        <v>1</v>
      </c>
      <c r="G2834">
        <v>2024</v>
      </c>
      <c r="H2834" t="s">
        <v>928</v>
      </c>
      <c r="I2834" t="s">
        <v>6063</v>
      </c>
      <c r="J2834" t="s">
        <v>8467</v>
      </c>
      <c r="K2834" t="s">
        <v>9363</v>
      </c>
    </row>
    <row r="2835" spans="1:11" x14ac:dyDescent="0.4">
      <c r="A2835" t="s">
        <v>2472</v>
      </c>
      <c r="B2835">
        <v>100</v>
      </c>
      <c r="C2835" t="s">
        <v>1380</v>
      </c>
      <c r="D2835">
        <v>5</v>
      </c>
      <c r="E2835">
        <v>0.40300000000000002</v>
      </c>
      <c r="F2835">
        <v>2</v>
      </c>
      <c r="G2835">
        <v>2024</v>
      </c>
      <c r="H2835" t="s">
        <v>928</v>
      </c>
      <c r="I2835" t="s">
        <v>6063</v>
      </c>
      <c r="J2835" t="s">
        <v>8468</v>
      </c>
      <c r="K2835" t="s">
        <v>9364</v>
      </c>
    </row>
    <row r="2836" spans="1:11" x14ac:dyDescent="0.4">
      <c r="A2836" t="s">
        <v>4490</v>
      </c>
      <c r="B2836">
        <v>100</v>
      </c>
      <c r="C2836" t="s">
        <v>1380</v>
      </c>
      <c r="D2836">
        <v>5</v>
      </c>
      <c r="E2836">
        <v>0.40300000000000002</v>
      </c>
      <c r="F2836">
        <v>2</v>
      </c>
      <c r="G2836">
        <v>2024</v>
      </c>
      <c r="H2836" t="s">
        <v>928</v>
      </c>
      <c r="I2836" t="s">
        <v>6063</v>
      </c>
      <c r="J2836" t="s">
        <v>8469</v>
      </c>
      <c r="K2836" t="s">
        <v>9365</v>
      </c>
    </row>
    <row r="2837" spans="1:11" x14ac:dyDescent="0.4">
      <c r="A2837" t="s">
        <v>4504</v>
      </c>
      <c r="B2837">
        <v>100</v>
      </c>
      <c r="C2837" t="s">
        <v>1380</v>
      </c>
      <c r="D2837">
        <v>5</v>
      </c>
      <c r="E2837">
        <v>0.40300000000000002</v>
      </c>
      <c r="F2837">
        <v>2</v>
      </c>
      <c r="G2837">
        <v>2024</v>
      </c>
      <c r="H2837" t="s">
        <v>928</v>
      </c>
      <c r="I2837" t="s">
        <v>6063</v>
      </c>
      <c r="J2837" t="s">
        <v>8470</v>
      </c>
      <c r="K2837" t="s">
        <v>9366</v>
      </c>
    </row>
    <row r="2838" spans="1:11" x14ac:dyDescent="0.4">
      <c r="A2838" t="s">
        <v>2464</v>
      </c>
      <c r="B2838">
        <v>100</v>
      </c>
      <c r="C2838" t="s">
        <v>1380</v>
      </c>
      <c r="D2838">
        <v>5</v>
      </c>
      <c r="E2838">
        <v>0.40300000000000002</v>
      </c>
      <c r="F2838">
        <v>2</v>
      </c>
      <c r="G2838">
        <v>2024</v>
      </c>
      <c r="H2838" t="s">
        <v>928</v>
      </c>
      <c r="I2838" t="s">
        <v>6063</v>
      </c>
      <c r="J2838" t="s">
        <v>8471</v>
      </c>
      <c r="K2838" t="s">
        <v>9367</v>
      </c>
    </row>
    <row r="2839" spans="1:11" x14ac:dyDescent="0.4">
      <c r="A2839" t="s">
        <v>2471</v>
      </c>
      <c r="B2839">
        <v>100</v>
      </c>
      <c r="C2839" t="s">
        <v>1380</v>
      </c>
      <c r="D2839">
        <v>5</v>
      </c>
      <c r="E2839">
        <v>0.40300000000000002</v>
      </c>
      <c r="F2839">
        <v>2</v>
      </c>
      <c r="G2839">
        <v>2024</v>
      </c>
      <c r="H2839" t="s">
        <v>928</v>
      </c>
      <c r="I2839" t="s">
        <v>6063</v>
      </c>
      <c r="J2839" t="s">
        <v>8472</v>
      </c>
      <c r="K2839" t="s">
        <v>9368</v>
      </c>
    </row>
    <row r="2840" spans="1:11" x14ac:dyDescent="0.4">
      <c r="A2840" t="s">
        <v>2465</v>
      </c>
      <c r="B2840">
        <v>100</v>
      </c>
      <c r="C2840" t="s">
        <v>1380</v>
      </c>
      <c r="D2840">
        <v>5</v>
      </c>
      <c r="E2840">
        <v>0.40300000000000002</v>
      </c>
      <c r="F2840">
        <v>2</v>
      </c>
      <c r="G2840">
        <v>2024</v>
      </c>
      <c r="H2840" t="s">
        <v>928</v>
      </c>
      <c r="I2840" t="s">
        <v>6063</v>
      </c>
      <c r="J2840" t="s">
        <v>8473</v>
      </c>
      <c r="K2840" t="s">
        <v>6016</v>
      </c>
    </row>
    <row r="2841" spans="1:11" x14ac:dyDescent="0.4">
      <c r="A2841" t="s">
        <v>4474</v>
      </c>
      <c r="B2841">
        <v>100</v>
      </c>
      <c r="C2841" t="s">
        <v>1380</v>
      </c>
      <c r="D2841">
        <v>5</v>
      </c>
      <c r="E2841">
        <v>0.40300000000000002</v>
      </c>
      <c r="F2841">
        <v>2</v>
      </c>
      <c r="G2841">
        <v>2024</v>
      </c>
      <c r="H2841" t="s">
        <v>928</v>
      </c>
      <c r="I2841" t="s">
        <v>6063</v>
      </c>
      <c r="J2841" t="s">
        <v>8474</v>
      </c>
      <c r="K2841" t="s">
        <v>9369</v>
      </c>
    </row>
    <row r="2842" spans="1:11" x14ac:dyDescent="0.4">
      <c r="A2842" t="s">
        <v>4494</v>
      </c>
      <c r="B2842">
        <v>0</v>
      </c>
      <c r="C2842" t="s">
        <v>6042</v>
      </c>
      <c r="D2842">
        <v>1</v>
      </c>
      <c r="E2842">
        <v>-3.2629999999999999</v>
      </c>
      <c r="F2842">
        <v>0</v>
      </c>
      <c r="G2842">
        <v>2024</v>
      </c>
      <c r="H2842" t="s">
        <v>928</v>
      </c>
      <c r="I2842" t="s">
        <v>6063</v>
      </c>
      <c r="J2842" t="s">
        <v>8475</v>
      </c>
      <c r="K2842" t="s">
        <v>9370</v>
      </c>
    </row>
    <row r="2843" spans="1:11" x14ac:dyDescent="0.4">
      <c r="A2843" t="s">
        <v>4498</v>
      </c>
      <c r="B2843">
        <v>100</v>
      </c>
      <c r="C2843" t="s">
        <v>1380</v>
      </c>
      <c r="D2843">
        <v>5</v>
      </c>
      <c r="E2843">
        <v>0.40300000000000002</v>
      </c>
      <c r="F2843">
        <v>2</v>
      </c>
      <c r="G2843">
        <v>2024</v>
      </c>
      <c r="H2843" t="s">
        <v>928</v>
      </c>
      <c r="I2843" t="s">
        <v>6063</v>
      </c>
      <c r="J2843" t="s">
        <v>8476</v>
      </c>
      <c r="K2843" t="s">
        <v>9371</v>
      </c>
    </row>
    <row r="2844" spans="1:11" x14ac:dyDescent="0.4">
      <c r="A2844" t="s">
        <v>4496</v>
      </c>
      <c r="B2844">
        <v>100</v>
      </c>
      <c r="C2844" t="s">
        <v>1380</v>
      </c>
      <c r="D2844">
        <v>5</v>
      </c>
      <c r="E2844">
        <v>0.40300000000000002</v>
      </c>
      <c r="F2844">
        <v>2</v>
      </c>
      <c r="G2844">
        <v>2024</v>
      </c>
      <c r="H2844" t="s">
        <v>928</v>
      </c>
      <c r="I2844" t="s">
        <v>6063</v>
      </c>
      <c r="J2844" t="s">
        <v>8477</v>
      </c>
      <c r="K2844" t="s">
        <v>9372</v>
      </c>
    </row>
    <row r="2845" spans="1:11" x14ac:dyDescent="0.4">
      <c r="A2845" t="s">
        <v>4484</v>
      </c>
      <c r="B2845">
        <v>50</v>
      </c>
      <c r="C2845" t="s">
        <v>6014</v>
      </c>
      <c r="D2845">
        <v>3</v>
      </c>
      <c r="E2845">
        <v>-1.43</v>
      </c>
      <c r="F2845">
        <v>1</v>
      </c>
      <c r="G2845">
        <v>2024</v>
      </c>
      <c r="H2845" t="s">
        <v>928</v>
      </c>
      <c r="I2845" t="s">
        <v>6063</v>
      </c>
      <c r="J2845" t="s">
        <v>8478</v>
      </c>
      <c r="K2845" t="s">
        <v>9373</v>
      </c>
    </row>
    <row r="2846" spans="1:11" x14ac:dyDescent="0.4">
      <c r="A2846" t="s">
        <v>4473</v>
      </c>
      <c r="B2846">
        <v>100</v>
      </c>
      <c r="C2846" t="s">
        <v>1380</v>
      </c>
      <c r="D2846">
        <v>5</v>
      </c>
      <c r="E2846">
        <v>0.40300000000000002</v>
      </c>
      <c r="F2846">
        <v>2</v>
      </c>
      <c r="G2846">
        <v>2024</v>
      </c>
      <c r="H2846" t="s">
        <v>928</v>
      </c>
      <c r="I2846" t="s">
        <v>6063</v>
      </c>
      <c r="J2846" t="s">
        <v>8479</v>
      </c>
      <c r="K2846" t="s">
        <v>9374</v>
      </c>
    </row>
    <row r="2847" spans="1:11" x14ac:dyDescent="0.4">
      <c r="A2847" t="s">
        <v>4487</v>
      </c>
      <c r="B2847">
        <v>100</v>
      </c>
      <c r="C2847" t="s">
        <v>1380</v>
      </c>
      <c r="D2847">
        <v>5</v>
      </c>
      <c r="E2847">
        <v>0.40300000000000002</v>
      </c>
      <c r="F2847">
        <v>2</v>
      </c>
      <c r="G2847">
        <v>2024</v>
      </c>
      <c r="H2847" t="s">
        <v>928</v>
      </c>
      <c r="I2847" t="s">
        <v>6063</v>
      </c>
      <c r="J2847" t="s">
        <v>8480</v>
      </c>
      <c r="K2847" t="s">
        <v>9375</v>
      </c>
    </row>
    <row r="2848" spans="1:11" x14ac:dyDescent="0.4">
      <c r="A2848" t="s">
        <v>4488</v>
      </c>
      <c r="B2848">
        <v>100</v>
      </c>
      <c r="C2848" t="s">
        <v>1380</v>
      </c>
      <c r="D2848">
        <v>5</v>
      </c>
      <c r="E2848">
        <v>0.40300000000000002</v>
      </c>
      <c r="F2848">
        <v>2</v>
      </c>
      <c r="G2848">
        <v>2024</v>
      </c>
      <c r="H2848" t="s">
        <v>928</v>
      </c>
      <c r="I2848" t="s">
        <v>6063</v>
      </c>
      <c r="J2848" t="s">
        <v>8481</v>
      </c>
      <c r="K2848" t="s">
        <v>9376</v>
      </c>
    </row>
    <row r="2849" spans="1:11" x14ac:dyDescent="0.4">
      <c r="A2849" t="s">
        <v>4506</v>
      </c>
      <c r="B2849">
        <v>100</v>
      </c>
      <c r="C2849" t="s">
        <v>1380</v>
      </c>
      <c r="D2849">
        <v>5</v>
      </c>
      <c r="E2849">
        <v>0.40300000000000002</v>
      </c>
      <c r="F2849">
        <v>2</v>
      </c>
      <c r="G2849">
        <v>2024</v>
      </c>
      <c r="H2849" t="s">
        <v>928</v>
      </c>
      <c r="I2849" t="s">
        <v>6063</v>
      </c>
      <c r="J2849" t="s">
        <v>8482</v>
      </c>
      <c r="K2849" t="s">
        <v>9377</v>
      </c>
    </row>
    <row r="2850" spans="1:11" x14ac:dyDescent="0.4">
      <c r="A2850" t="s">
        <v>2466</v>
      </c>
      <c r="B2850">
        <v>100</v>
      </c>
      <c r="C2850" t="s">
        <v>1380</v>
      </c>
      <c r="D2850">
        <v>5</v>
      </c>
      <c r="E2850">
        <v>0.40300000000000002</v>
      </c>
      <c r="F2850">
        <v>2</v>
      </c>
      <c r="G2850">
        <v>2024</v>
      </c>
      <c r="H2850" t="s">
        <v>928</v>
      </c>
      <c r="I2850" t="s">
        <v>6063</v>
      </c>
      <c r="J2850" t="s">
        <v>8483</v>
      </c>
      <c r="K2850" t="s">
        <v>9378</v>
      </c>
    </row>
    <row r="2851" spans="1:11" x14ac:dyDescent="0.4">
      <c r="A2851" t="s">
        <v>2470</v>
      </c>
      <c r="B2851">
        <v>100</v>
      </c>
      <c r="C2851" t="s">
        <v>1380</v>
      </c>
      <c r="D2851">
        <v>5</v>
      </c>
      <c r="E2851">
        <v>0.40300000000000002</v>
      </c>
      <c r="F2851">
        <v>2</v>
      </c>
      <c r="G2851">
        <v>2024</v>
      </c>
      <c r="H2851" t="s">
        <v>928</v>
      </c>
      <c r="I2851" t="s">
        <v>6063</v>
      </c>
      <c r="J2851" t="s">
        <v>8484</v>
      </c>
      <c r="K2851" t="s">
        <v>9379</v>
      </c>
    </row>
    <row r="2852" spans="1:11" x14ac:dyDescent="0.4">
      <c r="A2852" t="s">
        <v>4489</v>
      </c>
      <c r="B2852">
        <v>100</v>
      </c>
      <c r="C2852" t="s">
        <v>1380</v>
      </c>
      <c r="D2852">
        <v>5</v>
      </c>
      <c r="E2852">
        <v>0.40300000000000002</v>
      </c>
      <c r="F2852">
        <v>2</v>
      </c>
      <c r="G2852">
        <v>2024</v>
      </c>
      <c r="H2852" t="s">
        <v>928</v>
      </c>
      <c r="I2852" t="s">
        <v>6063</v>
      </c>
      <c r="J2852" t="s">
        <v>8485</v>
      </c>
      <c r="K2852" t="s">
        <v>9380</v>
      </c>
    </row>
    <row r="2853" spans="1:11" x14ac:dyDescent="0.4">
      <c r="A2853" t="s">
        <v>4495</v>
      </c>
      <c r="B2853">
        <v>100</v>
      </c>
      <c r="C2853" t="s">
        <v>1380</v>
      </c>
      <c r="D2853">
        <v>5</v>
      </c>
      <c r="E2853">
        <v>0.40300000000000002</v>
      </c>
      <c r="F2853">
        <v>2</v>
      </c>
      <c r="G2853">
        <v>2024</v>
      </c>
      <c r="H2853" t="s">
        <v>928</v>
      </c>
      <c r="I2853" t="s">
        <v>6063</v>
      </c>
      <c r="J2853" t="s">
        <v>8477</v>
      </c>
      <c r="K2853" t="s">
        <v>9381</v>
      </c>
    </row>
    <row r="2854" spans="1:11" x14ac:dyDescent="0.4">
      <c r="A2854" t="s">
        <v>4476</v>
      </c>
      <c r="B2854">
        <v>50</v>
      </c>
      <c r="C2854" t="s">
        <v>6014</v>
      </c>
      <c r="D2854">
        <v>3</v>
      </c>
      <c r="E2854">
        <v>-1.43</v>
      </c>
      <c r="F2854">
        <v>1</v>
      </c>
      <c r="G2854">
        <v>2024</v>
      </c>
      <c r="H2854" t="s">
        <v>928</v>
      </c>
      <c r="I2854" t="s">
        <v>6063</v>
      </c>
      <c r="J2854" t="s">
        <v>8486</v>
      </c>
      <c r="K2854" t="s">
        <v>9382</v>
      </c>
    </row>
    <row r="2855" spans="1:11" x14ac:dyDescent="0.4">
      <c r="A2855" t="s">
        <v>5893</v>
      </c>
      <c r="B2855">
        <v>100</v>
      </c>
      <c r="C2855" t="s">
        <v>1380</v>
      </c>
      <c r="D2855">
        <v>5</v>
      </c>
      <c r="E2855">
        <v>0.40300000000000002</v>
      </c>
      <c r="F2855">
        <v>2</v>
      </c>
      <c r="G2855">
        <v>2024</v>
      </c>
      <c r="H2855" t="s">
        <v>928</v>
      </c>
      <c r="I2855" t="s">
        <v>6063</v>
      </c>
      <c r="J2855" t="s">
        <v>8487</v>
      </c>
      <c r="K2855" t="s">
        <v>9383</v>
      </c>
    </row>
    <row r="2856" spans="1:11" x14ac:dyDescent="0.4">
      <c r="A2856" t="s">
        <v>4499</v>
      </c>
      <c r="B2856">
        <v>100</v>
      </c>
      <c r="C2856" t="s">
        <v>1380</v>
      </c>
      <c r="D2856">
        <v>5</v>
      </c>
      <c r="E2856">
        <v>0.40300000000000002</v>
      </c>
      <c r="F2856">
        <v>2</v>
      </c>
      <c r="G2856">
        <v>2024</v>
      </c>
      <c r="H2856" t="s">
        <v>928</v>
      </c>
      <c r="I2856" t="s">
        <v>6063</v>
      </c>
      <c r="J2856" t="s">
        <v>8488</v>
      </c>
      <c r="K2856" t="s">
        <v>9384</v>
      </c>
    </row>
    <row r="2857" spans="1:11" x14ac:dyDescent="0.4">
      <c r="A2857" t="s">
        <v>5894</v>
      </c>
      <c r="B2857">
        <v>100</v>
      </c>
      <c r="C2857" t="s">
        <v>1380</v>
      </c>
      <c r="D2857">
        <v>5</v>
      </c>
      <c r="E2857">
        <v>0.40300000000000002</v>
      </c>
      <c r="F2857">
        <v>2</v>
      </c>
      <c r="G2857">
        <v>2024</v>
      </c>
      <c r="H2857" t="s">
        <v>928</v>
      </c>
      <c r="I2857" t="s">
        <v>6063</v>
      </c>
      <c r="J2857" t="s">
        <v>8489</v>
      </c>
      <c r="K2857" t="s">
        <v>9385</v>
      </c>
    </row>
    <row r="2858" spans="1:11" x14ac:dyDescent="0.4">
      <c r="A2858" t="s">
        <v>4507</v>
      </c>
      <c r="B2858">
        <v>100</v>
      </c>
      <c r="C2858" t="s">
        <v>1380</v>
      </c>
      <c r="D2858">
        <v>5</v>
      </c>
      <c r="E2858">
        <v>0.40300000000000002</v>
      </c>
      <c r="F2858">
        <v>2</v>
      </c>
      <c r="G2858">
        <v>2024</v>
      </c>
      <c r="H2858" t="s">
        <v>928</v>
      </c>
      <c r="I2858" t="s">
        <v>6063</v>
      </c>
      <c r="J2858" t="s">
        <v>8490</v>
      </c>
      <c r="K2858" t="s">
        <v>9386</v>
      </c>
    </row>
    <row r="2859" spans="1:11" x14ac:dyDescent="0.4">
      <c r="A2859" t="s">
        <v>4482</v>
      </c>
      <c r="B2859">
        <v>100</v>
      </c>
      <c r="C2859" t="s">
        <v>1380</v>
      </c>
      <c r="D2859">
        <v>5</v>
      </c>
      <c r="E2859">
        <v>0.40300000000000002</v>
      </c>
      <c r="F2859">
        <v>2</v>
      </c>
      <c r="G2859">
        <v>2024</v>
      </c>
      <c r="H2859" t="s">
        <v>928</v>
      </c>
      <c r="I2859" t="s">
        <v>6063</v>
      </c>
      <c r="J2859" t="s">
        <v>8491</v>
      </c>
      <c r="K2859" t="s">
        <v>9387</v>
      </c>
    </row>
    <row r="2860" spans="1:11" x14ac:dyDescent="0.4">
      <c r="A2860" t="s">
        <v>4486</v>
      </c>
      <c r="B2860">
        <v>100</v>
      </c>
      <c r="C2860" t="s">
        <v>1380</v>
      </c>
      <c r="D2860">
        <v>5</v>
      </c>
      <c r="E2860">
        <v>0.40300000000000002</v>
      </c>
      <c r="F2860">
        <v>2</v>
      </c>
      <c r="G2860">
        <v>2024</v>
      </c>
      <c r="H2860" t="s">
        <v>928</v>
      </c>
      <c r="I2860" t="s">
        <v>6063</v>
      </c>
      <c r="J2860" t="s">
        <v>8995</v>
      </c>
      <c r="K2860" t="s">
        <v>9388</v>
      </c>
    </row>
    <row r="2861" spans="1:11" x14ac:dyDescent="0.4">
      <c r="A2861" t="s">
        <v>4480</v>
      </c>
      <c r="B2861">
        <v>100</v>
      </c>
      <c r="C2861" t="s">
        <v>1380</v>
      </c>
      <c r="D2861">
        <v>5</v>
      </c>
      <c r="E2861">
        <v>0.40300000000000002</v>
      </c>
      <c r="F2861">
        <v>2</v>
      </c>
      <c r="G2861">
        <v>2024</v>
      </c>
      <c r="H2861" t="s">
        <v>928</v>
      </c>
      <c r="I2861" t="s">
        <v>6063</v>
      </c>
      <c r="J2861" t="s">
        <v>8492</v>
      </c>
      <c r="K2861" t="s">
        <v>9389</v>
      </c>
    </row>
    <row r="2862" spans="1:11" x14ac:dyDescent="0.4">
      <c r="A2862" t="s">
        <v>5895</v>
      </c>
      <c r="B2862">
        <v>100</v>
      </c>
      <c r="C2862" t="s">
        <v>1380</v>
      </c>
      <c r="D2862">
        <v>5</v>
      </c>
      <c r="E2862">
        <v>0.40300000000000002</v>
      </c>
      <c r="F2862">
        <v>2</v>
      </c>
      <c r="G2862">
        <v>2024</v>
      </c>
      <c r="H2862" t="s">
        <v>928</v>
      </c>
      <c r="I2862" t="s">
        <v>6063</v>
      </c>
      <c r="J2862" t="s">
        <v>8493</v>
      </c>
      <c r="K2862" t="s">
        <v>9390</v>
      </c>
    </row>
    <row r="2863" spans="1:11" x14ac:dyDescent="0.4">
      <c r="A2863" t="s">
        <v>4500</v>
      </c>
      <c r="B2863">
        <v>100</v>
      </c>
      <c r="C2863" t="s">
        <v>1380</v>
      </c>
      <c r="D2863">
        <v>5</v>
      </c>
      <c r="E2863">
        <v>0.40300000000000002</v>
      </c>
      <c r="F2863">
        <v>2</v>
      </c>
      <c r="G2863">
        <v>2024</v>
      </c>
      <c r="H2863" t="s">
        <v>928</v>
      </c>
      <c r="I2863" t="s">
        <v>6063</v>
      </c>
      <c r="J2863" t="s">
        <v>8494</v>
      </c>
      <c r="K2863" t="s">
        <v>9391</v>
      </c>
    </row>
    <row r="2864" spans="1:11" x14ac:dyDescent="0.4">
      <c r="A2864" t="s">
        <v>2467</v>
      </c>
      <c r="B2864">
        <v>100</v>
      </c>
      <c r="C2864" t="s">
        <v>1380</v>
      </c>
      <c r="D2864">
        <v>5</v>
      </c>
      <c r="E2864">
        <v>0.40300000000000002</v>
      </c>
      <c r="F2864">
        <v>2</v>
      </c>
      <c r="G2864">
        <v>2024</v>
      </c>
      <c r="H2864" t="s">
        <v>928</v>
      </c>
      <c r="I2864" t="s">
        <v>6063</v>
      </c>
      <c r="J2864" t="s">
        <v>8495</v>
      </c>
      <c r="K2864" t="s">
        <v>9392</v>
      </c>
    </row>
    <row r="2865" spans="1:11" x14ac:dyDescent="0.4">
      <c r="A2865" t="s">
        <v>2468</v>
      </c>
      <c r="B2865">
        <v>100</v>
      </c>
      <c r="C2865" t="s">
        <v>1380</v>
      </c>
      <c r="D2865">
        <v>5</v>
      </c>
      <c r="E2865">
        <v>0.40300000000000002</v>
      </c>
      <c r="F2865">
        <v>2</v>
      </c>
      <c r="G2865">
        <v>2024</v>
      </c>
      <c r="H2865" t="s">
        <v>928</v>
      </c>
      <c r="I2865" t="s">
        <v>6063</v>
      </c>
      <c r="J2865" t="s">
        <v>8496</v>
      </c>
      <c r="K2865" t="s">
        <v>9393</v>
      </c>
    </row>
    <row r="2866" spans="1:11" x14ac:dyDescent="0.4">
      <c r="A2866" t="s">
        <v>4503</v>
      </c>
      <c r="B2866">
        <v>100</v>
      </c>
      <c r="C2866" t="s">
        <v>1380</v>
      </c>
      <c r="D2866">
        <v>5</v>
      </c>
      <c r="E2866">
        <v>0.40300000000000002</v>
      </c>
      <c r="F2866">
        <v>2</v>
      </c>
      <c r="G2866">
        <v>2024</v>
      </c>
      <c r="H2866" t="s">
        <v>928</v>
      </c>
      <c r="I2866" t="s">
        <v>6063</v>
      </c>
      <c r="J2866" t="s">
        <v>8497</v>
      </c>
      <c r="K2866" t="s">
        <v>6017</v>
      </c>
    </row>
    <row r="2867" spans="1:11" x14ac:dyDescent="0.4">
      <c r="A2867" t="s">
        <v>2469</v>
      </c>
      <c r="B2867">
        <v>100</v>
      </c>
      <c r="C2867" t="s">
        <v>1380</v>
      </c>
      <c r="D2867">
        <v>5</v>
      </c>
      <c r="E2867">
        <v>0.40300000000000002</v>
      </c>
      <c r="F2867">
        <v>2</v>
      </c>
      <c r="G2867">
        <v>2024</v>
      </c>
      <c r="H2867" t="s">
        <v>928</v>
      </c>
      <c r="I2867" t="s">
        <v>6063</v>
      </c>
      <c r="J2867" t="s">
        <v>8488</v>
      </c>
      <c r="K2867" t="s">
        <v>9394</v>
      </c>
    </row>
    <row r="2868" spans="1:11" x14ac:dyDescent="0.4">
      <c r="A2868" t="s">
        <v>4478</v>
      </c>
      <c r="B2868">
        <v>100</v>
      </c>
      <c r="C2868" t="s">
        <v>1380</v>
      </c>
      <c r="D2868">
        <v>5</v>
      </c>
      <c r="E2868">
        <v>0.40300000000000002</v>
      </c>
      <c r="F2868">
        <v>2</v>
      </c>
      <c r="G2868">
        <v>2024</v>
      </c>
      <c r="H2868" t="s">
        <v>928</v>
      </c>
      <c r="I2868" t="s">
        <v>6063</v>
      </c>
      <c r="J2868" t="s">
        <v>8996</v>
      </c>
      <c r="K2868" t="s">
        <v>9395</v>
      </c>
    </row>
    <row r="2869" spans="1:11" x14ac:dyDescent="0.4">
      <c r="A2869" t="s">
        <v>4492</v>
      </c>
      <c r="B2869">
        <v>100</v>
      </c>
      <c r="C2869" t="s">
        <v>1380</v>
      </c>
      <c r="D2869">
        <v>5</v>
      </c>
      <c r="E2869">
        <v>0.40300000000000002</v>
      </c>
      <c r="F2869">
        <v>2</v>
      </c>
      <c r="G2869">
        <v>2024</v>
      </c>
      <c r="H2869" t="s">
        <v>928</v>
      </c>
      <c r="I2869" t="s">
        <v>6063</v>
      </c>
      <c r="J2869" t="s">
        <v>8498</v>
      </c>
      <c r="K2869" t="s">
        <v>9396</v>
      </c>
    </row>
    <row r="2870" spans="1:11" x14ac:dyDescent="0.4">
      <c r="A2870" t="s">
        <v>4502</v>
      </c>
      <c r="B2870">
        <v>0</v>
      </c>
      <c r="C2870" t="s">
        <v>6042</v>
      </c>
      <c r="D2870">
        <v>1</v>
      </c>
      <c r="E2870">
        <v>-3.2629999999999999</v>
      </c>
      <c r="F2870">
        <v>0</v>
      </c>
      <c r="G2870">
        <v>2024</v>
      </c>
      <c r="H2870" t="s">
        <v>928</v>
      </c>
      <c r="I2870" t="s">
        <v>6063</v>
      </c>
      <c r="J2870" t="s">
        <v>8499</v>
      </c>
      <c r="K2870" t="s">
        <v>9397</v>
      </c>
    </row>
    <row r="2871" spans="1:11" x14ac:dyDescent="0.4">
      <c r="A2871" t="s">
        <v>4493</v>
      </c>
      <c r="B2871">
        <v>100</v>
      </c>
      <c r="C2871" t="s">
        <v>1380</v>
      </c>
      <c r="D2871">
        <v>5</v>
      </c>
      <c r="E2871">
        <v>0.40300000000000002</v>
      </c>
      <c r="F2871">
        <v>2</v>
      </c>
      <c r="G2871">
        <v>2024</v>
      </c>
      <c r="H2871" t="s">
        <v>928</v>
      </c>
      <c r="I2871" t="s">
        <v>6063</v>
      </c>
      <c r="J2871" t="s">
        <v>8500</v>
      </c>
      <c r="K2871" t="s">
        <v>9398</v>
      </c>
    </row>
    <row r="2872" spans="1:11" x14ac:dyDescent="0.4">
      <c r="A2872" t="s">
        <v>1460</v>
      </c>
      <c r="B2872">
        <v>89</v>
      </c>
      <c r="C2872" t="s">
        <v>197</v>
      </c>
      <c r="D2872">
        <v>5</v>
      </c>
    </row>
    <row r="2873" spans="1:11" x14ac:dyDescent="0.4">
      <c r="A2873" t="s">
        <v>1461</v>
      </c>
      <c r="B2873">
        <v>70</v>
      </c>
      <c r="C2873" t="s">
        <v>197</v>
      </c>
      <c r="D2873">
        <v>4</v>
      </c>
    </row>
    <row r="2874" spans="1:11" x14ac:dyDescent="0.4">
      <c r="A2874" t="s">
        <v>1597</v>
      </c>
      <c r="B2874">
        <v>92.9</v>
      </c>
      <c r="C2874" t="s">
        <v>197</v>
      </c>
      <c r="D2874">
        <v>5</v>
      </c>
    </row>
    <row r="2875" spans="1:11" x14ac:dyDescent="0.4">
      <c r="A2875" t="s">
        <v>1705</v>
      </c>
      <c r="B2875">
        <v>87.5</v>
      </c>
      <c r="C2875" t="s">
        <v>197</v>
      </c>
      <c r="D2875">
        <v>5</v>
      </c>
    </row>
    <row r="2876" spans="1:11" x14ac:dyDescent="0.4">
      <c r="A2876" t="s">
        <v>1706</v>
      </c>
      <c r="B2876">
        <v>100</v>
      </c>
      <c r="C2876" t="s">
        <v>197</v>
      </c>
      <c r="D2876">
        <v>5</v>
      </c>
    </row>
    <row r="2877" spans="1:11" x14ac:dyDescent="0.4">
      <c r="A2877" t="s">
        <v>2624</v>
      </c>
      <c r="B2877">
        <v>85</v>
      </c>
      <c r="C2877" t="s">
        <v>197</v>
      </c>
      <c r="D2877">
        <v>5</v>
      </c>
    </row>
    <row r="2878" spans="1:11" x14ac:dyDescent="0.4">
      <c r="A2878" t="s">
        <v>2625</v>
      </c>
      <c r="B2878">
        <v>89.3</v>
      </c>
      <c r="C2878" t="s">
        <v>197</v>
      </c>
      <c r="D2878">
        <v>5</v>
      </c>
    </row>
    <row r="2879" spans="1:11" x14ac:dyDescent="0.4">
      <c r="A2879" t="s">
        <v>7396</v>
      </c>
      <c r="B2879">
        <v>81.3</v>
      </c>
      <c r="C2879" t="s">
        <v>197</v>
      </c>
      <c r="D2879">
        <v>5</v>
      </c>
    </row>
    <row r="2880" spans="1:11" x14ac:dyDescent="0.4">
      <c r="A2880" t="s">
        <v>7397</v>
      </c>
      <c r="B2880">
        <v>81.8</v>
      </c>
      <c r="C2880" t="s">
        <v>197</v>
      </c>
      <c r="D2880">
        <v>5</v>
      </c>
    </row>
    <row r="2881" spans="1:12" x14ac:dyDescent="0.4">
      <c r="A2881" t="s">
        <v>7398</v>
      </c>
      <c r="B2881">
        <v>97.8</v>
      </c>
      <c r="C2881" t="s">
        <v>197</v>
      </c>
      <c r="D2881">
        <v>5</v>
      </c>
    </row>
    <row r="2882" spans="1:12" x14ac:dyDescent="0.4">
      <c r="A2882" t="s">
        <v>4971</v>
      </c>
      <c r="B2882">
        <v>34</v>
      </c>
      <c r="C2882" t="s">
        <v>6035</v>
      </c>
      <c r="D2882">
        <v>2</v>
      </c>
      <c r="E2882">
        <v>-1.8240000000000001</v>
      </c>
      <c r="F2882">
        <v>34</v>
      </c>
      <c r="G2882">
        <v>2023</v>
      </c>
      <c r="H2882" t="s">
        <v>928</v>
      </c>
      <c r="I2882" t="s">
        <v>6596</v>
      </c>
      <c r="L2882" t="s">
        <v>197</v>
      </c>
    </row>
    <row r="2883" spans="1:12" x14ac:dyDescent="0.4">
      <c r="A2883" t="s">
        <v>4969</v>
      </c>
      <c r="B2883">
        <v>50</v>
      </c>
      <c r="C2883" t="s">
        <v>5737</v>
      </c>
      <c r="D2883">
        <v>3</v>
      </c>
      <c r="E2883">
        <v>-0.55000000000000004</v>
      </c>
      <c r="F2883">
        <v>50</v>
      </c>
      <c r="G2883">
        <v>2023</v>
      </c>
      <c r="H2883" t="s">
        <v>928</v>
      </c>
      <c r="I2883" t="s">
        <v>6596</v>
      </c>
      <c r="L2883" t="s">
        <v>197</v>
      </c>
    </row>
    <row r="2884" spans="1:12" x14ac:dyDescent="0.4">
      <c r="A2884" t="s">
        <v>4976</v>
      </c>
      <c r="B2884">
        <v>80</v>
      </c>
      <c r="C2884" t="s">
        <v>1380</v>
      </c>
      <c r="D2884">
        <v>5</v>
      </c>
      <c r="E2884">
        <v>1.84</v>
      </c>
      <c r="F2884">
        <v>80</v>
      </c>
      <c r="G2884">
        <v>2023</v>
      </c>
      <c r="H2884" t="s">
        <v>928</v>
      </c>
      <c r="I2884" t="s">
        <v>6596</v>
      </c>
      <c r="L2884" t="s">
        <v>197</v>
      </c>
    </row>
    <row r="2885" spans="1:12" x14ac:dyDescent="0.4">
      <c r="A2885" t="s">
        <v>5010</v>
      </c>
      <c r="B2885">
        <v>63</v>
      </c>
      <c r="C2885" t="s">
        <v>5721</v>
      </c>
      <c r="D2885">
        <v>4</v>
      </c>
      <c r="E2885">
        <v>0.48599999999999999</v>
      </c>
      <c r="F2885">
        <v>63</v>
      </c>
      <c r="G2885">
        <v>2023</v>
      </c>
      <c r="H2885" t="s">
        <v>928</v>
      </c>
      <c r="I2885" t="s">
        <v>6596</v>
      </c>
      <c r="L2885" t="s">
        <v>197</v>
      </c>
    </row>
    <row r="2886" spans="1:12" x14ac:dyDescent="0.4">
      <c r="A2886" t="s">
        <v>4992</v>
      </c>
      <c r="B2886">
        <v>53</v>
      </c>
      <c r="C2886" t="s">
        <v>5725</v>
      </c>
      <c r="D2886">
        <v>3</v>
      </c>
      <c r="E2886">
        <v>-0.311</v>
      </c>
      <c r="F2886">
        <v>53</v>
      </c>
      <c r="G2886">
        <v>2023</v>
      </c>
      <c r="H2886" t="s">
        <v>928</v>
      </c>
      <c r="I2886" t="s">
        <v>6596</v>
      </c>
      <c r="L2886" t="s">
        <v>197</v>
      </c>
    </row>
    <row r="2887" spans="1:12" x14ac:dyDescent="0.4">
      <c r="A2887" t="s">
        <v>5004</v>
      </c>
      <c r="B2887">
        <v>52</v>
      </c>
      <c r="C2887" t="s">
        <v>5714</v>
      </c>
      <c r="D2887">
        <v>3</v>
      </c>
      <c r="E2887">
        <v>-0.39</v>
      </c>
      <c r="F2887">
        <v>52</v>
      </c>
      <c r="G2887">
        <v>2023</v>
      </c>
      <c r="H2887" t="s">
        <v>928</v>
      </c>
      <c r="I2887" t="s">
        <v>6596</v>
      </c>
      <c r="L2887" t="s">
        <v>197</v>
      </c>
    </row>
    <row r="2888" spans="1:12" x14ac:dyDescent="0.4">
      <c r="A2888" t="s">
        <v>4981</v>
      </c>
      <c r="B2888">
        <v>72</v>
      </c>
      <c r="C2888" t="s">
        <v>2480</v>
      </c>
      <c r="D2888">
        <v>4</v>
      </c>
      <c r="E2888">
        <v>1.2030000000000001</v>
      </c>
      <c r="F2888">
        <v>72</v>
      </c>
      <c r="G2888">
        <v>2023</v>
      </c>
      <c r="H2888" t="s">
        <v>928</v>
      </c>
      <c r="I2888" t="s">
        <v>6596</v>
      </c>
      <c r="L2888" t="s">
        <v>197</v>
      </c>
    </row>
    <row r="2889" spans="1:12" x14ac:dyDescent="0.4">
      <c r="A2889" t="s">
        <v>4974</v>
      </c>
      <c r="B2889">
        <v>69</v>
      </c>
      <c r="C2889" t="s">
        <v>2482</v>
      </c>
      <c r="D2889">
        <v>4</v>
      </c>
      <c r="E2889">
        <v>0.96399999999999997</v>
      </c>
      <c r="F2889">
        <v>69</v>
      </c>
      <c r="G2889">
        <v>2023</v>
      </c>
      <c r="H2889" t="s">
        <v>928</v>
      </c>
      <c r="I2889" t="s">
        <v>6596</v>
      </c>
      <c r="L2889" t="s">
        <v>197</v>
      </c>
    </row>
    <row r="2890" spans="1:12" x14ac:dyDescent="0.4">
      <c r="A2890" t="s">
        <v>4988</v>
      </c>
      <c r="B2890">
        <v>60</v>
      </c>
      <c r="C2890" t="s">
        <v>5739</v>
      </c>
      <c r="D2890">
        <v>4</v>
      </c>
      <c r="E2890">
        <v>0.247</v>
      </c>
      <c r="F2890">
        <v>60</v>
      </c>
      <c r="G2890">
        <v>2023</v>
      </c>
      <c r="H2890" t="s">
        <v>928</v>
      </c>
      <c r="I2890" t="s">
        <v>6596</v>
      </c>
      <c r="L2890" t="s">
        <v>197</v>
      </c>
    </row>
    <row r="2891" spans="1:12" x14ac:dyDescent="0.4">
      <c r="A2891" t="s">
        <v>4978</v>
      </c>
      <c r="B2891">
        <v>53</v>
      </c>
      <c r="C2891" t="s">
        <v>5725</v>
      </c>
      <c r="D2891">
        <v>3</v>
      </c>
      <c r="E2891">
        <v>-0.311</v>
      </c>
      <c r="F2891">
        <v>53</v>
      </c>
      <c r="G2891">
        <v>2023</v>
      </c>
      <c r="H2891" t="s">
        <v>928</v>
      </c>
      <c r="I2891" t="s">
        <v>6596</v>
      </c>
      <c r="L2891" t="s">
        <v>197</v>
      </c>
    </row>
    <row r="2892" spans="1:12" x14ac:dyDescent="0.4">
      <c r="A2892" t="s">
        <v>5996</v>
      </c>
      <c r="B2892">
        <v>47</v>
      </c>
      <c r="C2892" t="s">
        <v>5741</v>
      </c>
      <c r="D2892">
        <v>3</v>
      </c>
      <c r="E2892">
        <v>-0.78900000000000003</v>
      </c>
      <c r="F2892">
        <v>47</v>
      </c>
      <c r="G2892">
        <v>2023</v>
      </c>
      <c r="H2892" t="s">
        <v>928</v>
      </c>
      <c r="I2892" t="s">
        <v>6596</v>
      </c>
      <c r="L2892" t="s">
        <v>197</v>
      </c>
    </row>
    <row r="2893" spans="1:12" x14ac:dyDescent="0.4">
      <c r="A2893" t="s">
        <v>4996</v>
      </c>
      <c r="B2893">
        <v>37</v>
      </c>
      <c r="C2893" t="s">
        <v>5724</v>
      </c>
      <c r="D2893">
        <v>2</v>
      </c>
      <c r="E2893">
        <v>-1.585</v>
      </c>
      <c r="F2893">
        <v>37</v>
      </c>
      <c r="G2893">
        <v>2023</v>
      </c>
      <c r="H2893" t="s">
        <v>928</v>
      </c>
      <c r="I2893" t="s">
        <v>6596</v>
      </c>
      <c r="L2893" t="s">
        <v>197</v>
      </c>
    </row>
    <row r="2894" spans="1:12" x14ac:dyDescent="0.4">
      <c r="A2894" t="s">
        <v>4997</v>
      </c>
      <c r="B2894">
        <v>50</v>
      </c>
      <c r="C2894" t="s">
        <v>5737</v>
      </c>
      <c r="D2894">
        <v>3</v>
      </c>
      <c r="E2894">
        <v>-0.55000000000000004</v>
      </c>
      <c r="F2894">
        <v>50</v>
      </c>
      <c r="G2894">
        <v>2023</v>
      </c>
      <c r="H2894" t="s">
        <v>928</v>
      </c>
      <c r="I2894" t="s">
        <v>6596</v>
      </c>
      <c r="L2894" t="s">
        <v>197</v>
      </c>
    </row>
    <row r="2895" spans="1:12" x14ac:dyDescent="0.4">
      <c r="A2895" t="s">
        <v>4979</v>
      </c>
      <c r="B2895">
        <v>43</v>
      </c>
      <c r="C2895" t="s">
        <v>5711</v>
      </c>
      <c r="D2895">
        <v>3</v>
      </c>
      <c r="E2895">
        <v>-1.107</v>
      </c>
      <c r="F2895">
        <v>43</v>
      </c>
      <c r="G2895">
        <v>2023</v>
      </c>
      <c r="H2895" t="s">
        <v>928</v>
      </c>
      <c r="I2895" t="s">
        <v>6596</v>
      </c>
      <c r="L2895" t="s">
        <v>197</v>
      </c>
    </row>
    <row r="2896" spans="1:12" x14ac:dyDescent="0.4">
      <c r="A2896" t="s">
        <v>4987</v>
      </c>
      <c r="B2896">
        <v>68</v>
      </c>
      <c r="C2896" t="s">
        <v>2484</v>
      </c>
      <c r="D2896">
        <v>4</v>
      </c>
      <c r="E2896">
        <v>0.88400000000000001</v>
      </c>
      <c r="F2896">
        <v>68</v>
      </c>
      <c r="G2896">
        <v>2023</v>
      </c>
      <c r="H2896" t="s">
        <v>928</v>
      </c>
      <c r="I2896" t="s">
        <v>6596</v>
      </c>
      <c r="L2896" t="s">
        <v>197</v>
      </c>
    </row>
    <row r="2897" spans="1:12" x14ac:dyDescent="0.4">
      <c r="A2897" t="s">
        <v>5009</v>
      </c>
      <c r="B2897">
        <v>47</v>
      </c>
      <c r="C2897" t="s">
        <v>5741</v>
      </c>
      <c r="D2897">
        <v>3</v>
      </c>
      <c r="E2897">
        <v>-0.78900000000000003</v>
      </c>
      <c r="F2897">
        <v>47</v>
      </c>
      <c r="G2897">
        <v>2023</v>
      </c>
      <c r="H2897" t="s">
        <v>928</v>
      </c>
      <c r="I2897" t="s">
        <v>6596</v>
      </c>
      <c r="L2897" t="s">
        <v>197</v>
      </c>
    </row>
    <row r="2898" spans="1:12" x14ac:dyDescent="0.4">
      <c r="A2898" t="s">
        <v>5006</v>
      </c>
      <c r="B2898">
        <v>60</v>
      </c>
      <c r="C2898" t="s">
        <v>5739</v>
      </c>
      <c r="D2898">
        <v>4</v>
      </c>
      <c r="E2898">
        <v>0.247</v>
      </c>
      <c r="F2898">
        <v>60</v>
      </c>
      <c r="G2898">
        <v>2023</v>
      </c>
      <c r="H2898" t="s">
        <v>6613</v>
      </c>
      <c r="I2898" t="s">
        <v>6614</v>
      </c>
      <c r="L2898" t="s">
        <v>197</v>
      </c>
    </row>
    <row r="2899" spans="1:12" x14ac:dyDescent="0.4">
      <c r="A2899" t="s">
        <v>4984</v>
      </c>
      <c r="B2899">
        <v>62</v>
      </c>
      <c r="C2899" t="s">
        <v>5722</v>
      </c>
      <c r="D2899">
        <v>4</v>
      </c>
      <c r="E2899">
        <v>0.40600000000000003</v>
      </c>
      <c r="F2899">
        <v>62</v>
      </c>
      <c r="G2899">
        <v>2023</v>
      </c>
      <c r="H2899" t="s">
        <v>928</v>
      </c>
      <c r="I2899" t="s">
        <v>6596</v>
      </c>
      <c r="L2899" t="s">
        <v>197</v>
      </c>
    </row>
    <row r="2900" spans="1:12" x14ac:dyDescent="0.4">
      <c r="A2900" t="s">
        <v>4990</v>
      </c>
      <c r="B2900">
        <v>36</v>
      </c>
      <c r="C2900" t="s">
        <v>6036</v>
      </c>
      <c r="D2900">
        <v>2</v>
      </c>
      <c r="E2900">
        <v>-1.665</v>
      </c>
      <c r="F2900">
        <v>36</v>
      </c>
      <c r="G2900">
        <v>2023</v>
      </c>
      <c r="H2900" t="s">
        <v>928</v>
      </c>
      <c r="I2900" t="s">
        <v>6596</v>
      </c>
      <c r="L2900" t="s">
        <v>197</v>
      </c>
    </row>
    <row r="2901" spans="1:12" x14ac:dyDescent="0.4">
      <c r="A2901" t="s">
        <v>4968</v>
      </c>
      <c r="B2901">
        <v>53</v>
      </c>
      <c r="C2901" t="s">
        <v>5725</v>
      </c>
      <c r="D2901">
        <v>3</v>
      </c>
      <c r="E2901">
        <v>-0.311</v>
      </c>
      <c r="F2901">
        <v>53</v>
      </c>
      <c r="G2901">
        <v>2023</v>
      </c>
      <c r="H2901" t="s">
        <v>928</v>
      </c>
      <c r="I2901" t="s">
        <v>6596</v>
      </c>
      <c r="L2901" t="s">
        <v>197</v>
      </c>
    </row>
    <row r="2902" spans="1:12" x14ac:dyDescent="0.4">
      <c r="A2902" t="s">
        <v>4993</v>
      </c>
      <c r="B2902">
        <v>44</v>
      </c>
      <c r="C2902" t="s">
        <v>5712</v>
      </c>
      <c r="D2902">
        <v>3</v>
      </c>
      <c r="E2902">
        <v>-1.028</v>
      </c>
      <c r="F2902">
        <v>44</v>
      </c>
      <c r="G2902">
        <v>2023</v>
      </c>
      <c r="H2902" t="s">
        <v>928</v>
      </c>
      <c r="I2902" t="s">
        <v>6596</v>
      </c>
      <c r="L2902" t="s">
        <v>197</v>
      </c>
    </row>
    <row r="2903" spans="1:12" x14ac:dyDescent="0.4">
      <c r="A2903" t="s">
        <v>4998</v>
      </c>
      <c r="B2903">
        <v>33</v>
      </c>
      <c r="C2903" t="s">
        <v>6033</v>
      </c>
      <c r="D2903">
        <v>2</v>
      </c>
      <c r="E2903">
        <v>-1.9039999999999999</v>
      </c>
      <c r="F2903">
        <v>33</v>
      </c>
      <c r="G2903">
        <v>2023</v>
      </c>
      <c r="H2903" t="s">
        <v>928</v>
      </c>
      <c r="I2903" t="s">
        <v>6596</v>
      </c>
      <c r="L2903" t="s">
        <v>197</v>
      </c>
    </row>
    <row r="2904" spans="1:12" x14ac:dyDescent="0.4">
      <c r="A2904" t="s">
        <v>4995</v>
      </c>
      <c r="B2904">
        <v>37</v>
      </c>
      <c r="C2904" t="s">
        <v>5724</v>
      </c>
      <c r="D2904">
        <v>2</v>
      </c>
      <c r="E2904">
        <v>-1.585</v>
      </c>
      <c r="F2904">
        <v>37</v>
      </c>
      <c r="G2904">
        <v>2023</v>
      </c>
      <c r="H2904" t="s">
        <v>928</v>
      </c>
      <c r="I2904" t="s">
        <v>6596</v>
      </c>
      <c r="L2904" t="s">
        <v>197</v>
      </c>
    </row>
    <row r="2905" spans="1:12" x14ac:dyDescent="0.4">
      <c r="A2905" t="s">
        <v>4980</v>
      </c>
      <c r="B2905">
        <v>63</v>
      </c>
      <c r="C2905" t="s">
        <v>5721</v>
      </c>
      <c r="D2905">
        <v>4</v>
      </c>
      <c r="E2905">
        <v>0.48599999999999999</v>
      </c>
      <c r="F2905">
        <v>63</v>
      </c>
      <c r="G2905">
        <v>2023</v>
      </c>
      <c r="H2905" t="s">
        <v>928</v>
      </c>
      <c r="I2905" t="s">
        <v>6596</v>
      </c>
      <c r="L2905" t="s">
        <v>197</v>
      </c>
    </row>
    <row r="2906" spans="1:12" x14ac:dyDescent="0.4">
      <c r="A2906" t="s">
        <v>4967</v>
      </c>
      <c r="B2906">
        <v>47</v>
      </c>
      <c r="C2906" t="s">
        <v>5741</v>
      </c>
      <c r="D2906">
        <v>3</v>
      </c>
      <c r="E2906">
        <v>-0.78900000000000003</v>
      </c>
      <c r="F2906">
        <v>47</v>
      </c>
      <c r="G2906">
        <v>2023</v>
      </c>
      <c r="H2906" t="s">
        <v>928</v>
      </c>
      <c r="I2906" t="s">
        <v>6596</v>
      </c>
      <c r="L2906" t="s">
        <v>197</v>
      </c>
    </row>
    <row r="2907" spans="1:12" x14ac:dyDescent="0.4">
      <c r="A2907" t="s">
        <v>4983</v>
      </c>
      <c r="B2907">
        <v>59</v>
      </c>
      <c r="C2907" t="s">
        <v>6582</v>
      </c>
      <c r="D2907">
        <v>3</v>
      </c>
      <c r="E2907">
        <v>0.16700000000000001</v>
      </c>
      <c r="F2907">
        <v>59</v>
      </c>
      <c r="G2907">
        <v>2023</v>
      </c>
      <c r="H2907" t="s">
        <v>928</v>
      </c>
      <c r="I2907" t="s">
        <v>6596</v>
      </c>
      <c r="L2907" t="s">
        <v>197</v>
      </c>
    </row>
    <row r="2908" spans="1:12" x14ac:dyDescent="0.4">
      <c r="A2908" t="s">
        <v>4985</v>
      </c>
      <c r="B2908">
        <v>65</v>
      </c>
      <c r="C2908" t="s">
        <v>6045</v>
      </c>
      <c r="D2908">
        <v>4</v>
      </c>
      <c r="E2908">
        <v>0.64500000000000002</v>
      </c>
      <c r="F2908">
        <v>65</v>
      </c>
      <c r="G2908">
        <v>2023</v>
      </c>
      <c r="H2908" t="s">
        <v>928</v>
      </c>
      <c r="I2908" t="s">
        <v>6596</v>
      </c>
      <c r="L2908" t="s">
        <v>197</v>
      </c>
    </row>
    <row r="2909" spans="1:12" x14ac:dyDescent="0.4">
      <c r="A2909" t="s">
        <v>5011</v>
      </c>
      <c r="B2909">
        <v>52</v>
      </c>
      <c r="C2909" t="s">
        <v>5714</v>
      </c>
      <c r="D2909">
        <v>3</v>
      </c>
      <c r="E2909">
        <v>-0.39</v>
      </c>
      <c r="F2909">
        <v>52</v>
      </c>
      <c r="G2909">
        <v>2023</v>
      </c>
      <c r="H2909" t="s">
        <v>928</v>
      </c>
      <c r="I2909" t="s">
        <v>6596</v>
      </c>
      <c r="L2909" t="s">
        <v>197</v>
      </c>
    </row>
    <row r="2910" spans="1:12" x14ac:dyDescent="0.4">
      <c r="A2910" t="s">
        <v>5008</v>
      </c>
      <c r="B2910">
        <v>59</v>
      </c>
      <c r="C2910" t="s">
        <v>6582</v>
      </c>
      <c r="D2910">
        <v>3</v>
      </c>
      <c r="E2910">
        <v>0.16700000000000001</v>
      </c>
      <c r="F2910">
        <v>59</v>
      </c>
      <c r="G2910">
        <v>2023</v>
      </c>
      <c r="H2910" t="s">
        <v>928</v>
      </c>
      <c r="I2910" t="s">
        <v>6596</v>
      </c>
      <c r="L2910" t="s">
        <v>197</v>
      </c>
    </row>
    <row r="2911" spans="1:12" x14ac:dyDescent="0.4">
      <c r="A2911" t="s">
        <v>4973</v>
      </c>
      <c r="B2911">
        <v>58</v>
      </c>
      <c r="C2911" t="s">
        <v>6585</v>
      </c>
      <c r="D2911">
        <v>3</v>
      </c>
      <c r="E2911">
        <v>8.7999999999999995E-2</v>
      </c>
      <c r="F2911">
        <v>58</v>
      </c>
      <c r="G2911">
        <v>2023</v>
      </c>
      <c r="H2911" t="s">
        <v>928</v>
      </c>
      <c r="I2911" t="s">
        <v>6596</v>
      </c>
      <c r="L2911" t="s">
        <v>197</v>
      </c>
    </row>
    <row r="2912" spans="1:12" x14ac:dyDescent="0.4">
      <c r="A2912" t="s">
        <v>4986</v>
      </c>
      <c r="B2912">
        <v>74</v>
      </c>
      <c r="C2912" t="s">
        <v>2476</v>
      </c>
      <c r="D2912">
        <v>4</v>
      </c>
      <c r="E2912">
        <v>1.3620000000000001</v>
      </c>
      <c r="F2912">
        <v>74</v>
      </c>
      <c r="G2912">
        <v>2023</v>
      </c>
      <c r="H2912" t="s">
        <v>928</v>
      </c>
      <c r="I2912" t="s">
        <v>6596</v>
      </c>
      <c r="L2912" t="s">
        <v>197</v>
      </c>
    </row>
    <row r="2913" spans="1:12" x14ac:dyDescent="0.4">
      <c r="A2913" t="s">
        <v>4994</v>
      </c>
      <c r="B2913">
        <v>37</v>
      </c>
      <c r="C2913" t="s">
        <v>5724</v>
      </c>
      <c r="D2913">
        <v>2</v>
      </c>
      <c r="E2913">
        <v>-1.585</v>
      </c>
      <c r="F2913">
        <v>37</v>
      </c>
      <c r="G2913">
        <v>2023</v>
      </c>
      <c r="H2913" t="s">
        <v>928</v>
      </c>
      <c r="I2913" t="s">
        <v>6596</v>
      </c>
      <c r="L2913" t="s">
        <v>197</v>
      </c>
    </row>
    <row r="2914" spans="1:12" x14ac:dyDescent="0.4">
      <c r="A2914" t="s">
        <v>4970</v>
      </c>
      <c r="B2914">
        <v>40</v>
      </c>
      <c r="C2914" t="s">
        <v>5728</v>
      </c>
      <c r="D2914">
        <v>3</v>
      </c>
      <c r="E2914">
        <v>-1.3460000000000001</v>
      </c>
      <c r="F2914">
        <v>40</v>
      </c>
      <c r="G2914">
        <v>2023</v>
      </c>
      <c r="H2914" t="s">
        <v>928</v>
      </c>
      <c r="I2914" t="s">
        <v>6596</v>
      </c>
      <c r="L2914" t="s">
        <v>197</v>
      </c>
    </row>
    <row r="2915" spans="1:12" x14ac:dyDescent="0.4">
      <c r="A2915" t="s">
        <v>5896</v>
      </c>
      <c r="B2915">
        <v>80</v>
      </c>
      <c r="C2915" t="s">
        <v>1380</v>
      </c>
      <c r="D2915">
        <v>5</v>
      </c>
      <c r="E2915">
        <v>1.84</v>
      </c>
      <c r="F2915">
        <v>80</v>
      </c>
      <c r="G2915">
        <v>2023</v>
      </c>
      <c r="H2915" t="s">
        <v>928</v>
      </c>
      <c r="I2915" t="s">
        <v>6596</v>
      </c>
      <c r="L2915" t="s">
        <v>197</v>
      </c>
    </row>
    <row r="2916" spans="1:12" x14ac:dyDescent="0.4">
      <c r="A2916" t="s">
        <v>5001</v>
      </c>
      <c r="B2916">
        <v>67</v>
      </c>
      <c r="C2916" t="s">
        <v>2485</v>
      </c>
      <c r="D2916">
        <v>4</v>
      </c>
      <c r="E2916">
        <v>0.80500000000000005</v>
      </c>
      <c r="F2916">
        <v>67</v>
      </c>
      <c r="G2916">
        <v>2023</v>
      </c>
      <c r="H2916" t="s">
        <v>928</v>
      </c>
      <c r="I2916" t="s">
        <v>6596</v>
      </c>
      <c r="L2916" t="s">
        <v>197</v>
      </c>
    </row>
    <row r="2917" spans="1:12" x14ac:dyDescent="0.4">
      <c r="A2917" t="s">
        <v>5897</v>
      </c>
      <c r="B2917">
        <v>65</v>
      </c>
      <c r="C2917" t="s">
        <v>6045</v>
      </c>
      <c r="D2917">
        <v>4</v>
      </c>
      <c r="E2917">
        <v>0.64500000000000002</v>
      </c>
      <c r="F2917">
        <v>65</v>
      </c>
      <c r="G2917">
        <v>2023</v>
      </c>
      <c r="H2917" t="s">
        <v>928</v>
      </c>
      <c r="I2917" t="s">
        <v>6596</v>
      </c>
      <c r="L2917" t="s">
        <v>197</v>
      </c>
    </row>
    <row r="2918" spans="1:12" x14ac:dyDescent="0.4">
      <c r="A2918" t="s">
        <v>5012</v>
      </c>
      <c r="B2918">
        <v>51</v>
      </c>
      <c r="C2918" t="s">
        <v>6693</v>
      </c>
      <c r="D2918">
        <v>3</v>
      </c>
      <c r="E2918">
        <v>-0.47</v>
      </c>
      <c r="F2918">
        <v>51</v>
      </c>
      <c r="G2918">
        <v>2023</v>
      </c>
      <c r="H2918" t="s">
        <v>928</v>
      </c>
      <c r="I2918" t="s">
        <v>6596</v>
      </c>
      <c r="L2918" t="s">
        <v>197</v>
      </c>
    </row>
    <row r="2919" spans="1:12" x14ac:dyDescent="0.4">
      <c r="A2919" t="s">
        <v>4977</v>
      </c>
      <c r="B2919">
        <v>51</v>
      </c>
      <c r="C2919" t="s">
        <v>6693</v>
      </c>
      <c r="D2919">
        <v>3</v>
      </c>
      <c r="E2919">
        <v>-0.47</v>
      </c>
      <c r="F2919">
        <v>51</v>
      </c>
      <c r="G2919">
        <v>2023</v>
      </c>
      <c r="H2919" t="s">
        <v>928</v>
      </c>
      <c r="I2919" t="s">
        <v>6596</v>
      </c>
      <c r="L2919" t="s">
        <v>197</v>
      </c>
    </row>
    <row r="2920" spans="1:12" x14ac:dyDescent="0.4">
      <c r="A2920" t="s">
        <v>4982</v>
      </c>
      <c r="B2920">
        <v>62</v>
      </c>
      <c r="C2920" t="s">
        <v>5722</v>
      </c>
      <c r="D2920">
        <v>4</v>
      </c>
      <c r="E2920">
        <v>0.40600000000000003</v>
      </c>
      <c r="F2920">
        <v>62</v>
      </c>
      <c r="G2920">
        <v>2023</v>
      </c>
      <c r="H2920" t="s">
        <v>928</v>
      </c>
      <c r="I2920" t="s">
        <v>6596</v>
      </c>
      <c r="L2920" t="s">
        <v>197</v>
      </c>
    </row>
    <row r="2921" spans="1:12" x14ac:dyDescent="0.4">
      <c r="A2921" t="s">
        <v>4975</v>
      </c>
      <c r="B2921">
        <v>80</v>
      </c>
      <c r="C2921" t="s">
        <v>1380</v>
      </c>
      <c r="D2921">
        <v>5</v>
      </c>
      <c r="E2921">
        <v>1.84</v>
      </c>
      <c r="F2921">
        <v>80</v>
      </c>
      <c r="G2921">
        <v>2023</v>
      </c>
      <c r="H2921" t="s">
        <v>928</v>
      </c>
      <c r="I2921" t="s">
        <v>6596</v>
      </c>
      <c r="L2921" t="s">
        <v>197</v>
      </c>
    </row>
    <row r="2922" spans="1:12" x14ac:dyDescent="0.4">
      <c r="A2922" t="s">
        <v>5898</v>
      </c>
      <c r="B2922">
        <v>67</v>
      </c>
      <c r="C2922" t="s">
        <v>2485</v>
      </c>
      <c r="D2922">
        <v>4</v>
      </c>
      <c r="E2922">
        <v>0.80500000000000005</v>
      </c>
      <c r="F2922">
        <v>67</v>
      </c>
      <c r="G2922">
        <v>2023</v>
      </c>
      <c r="H2922" t="s">
        <v>928</v>
      </c>
      <c r="I2922" t="s">
        <v>6596</v>
      </c>
      <c r="L2922" t="s">
        <v>197</v>
      </c>
    </row>
    <row r="2923" spans="1:12" x14ac:dyDescent="0.4">
      <c r="A2923" t="s">
        <v>5002</v>
      </c>
      <c r="B2923">
        <v>71</v>
      </c>
      <c r="C2923" t="s">
        <v>2483</v>
      </c>
      <c r="D2923">
        <v>4</v>
      </c>
      <c r="E2923">
        <v>1.123</v>
      </c>
      <c r="F2923">
        <v>71</v>
      </c>
      <c r="G2923">
        <v>2023</v>
      </c>
      <c r="H2923" t="s">
        <v>928</v>
      </c>
      <c r="I2923" t="s">
        <v>6596</v>
      </c>
      <c r="L2923" t="s">
        <v>197</v>
      </c>
    </row>
    <row r="2924" spans="1:12" x14ac:dyDescent="0.4">
      <c r="A2924" t="s">
        <v>5003</v>
      </c>
      <c r="B2924">
        <v>52</v>
      </c>
      <c r="C2924" t="s">
        <v>5714</v>
      </c>
      <c r="D2924">
        <v>3</v>
      </c>
      <c r="E2924">
        <v>-0.39</v>
      </c>
      <c r="F2924">
        <v>52</v>
      </c>
      <c r="G2924">
        <v>2023</v>
      </c>
      <c r="H2924" t="s">
        <v>928</v>
      </c>
      <c r="I2924" t="s">
        <v>6596</v>
      </c>
      <c r="L2924" t="s">
        <v>197</v>
      </c>
    </row>
    <row r="2925" spans="1:12" x14ac:dyDescent="0.4">
      <c r="A2925" t="s">
        <v>4999</v>
      </c>
      <c r="B2925">
        <v>66</v>
      </c>
      <c r="C2925" t="s">
        <v>5696</v>
      </c>
      <c r="D2925">
        <v>4</v>
      </c>
      <c r="E2925">
        <v>0.72499999999999998</v>
      </c>
      <c r="F2925">
        <v>66</v>
      </c>
      <c r="G2925">
        <v>2023</v>
      </c>
      <c r="H2925" t="s">
        <v>928</v>
      </c>
      <c r="I2925" t="s">
        <v>6596</v>
      </c>
      <c r="L2925" t="s">
        <v>197</v>
      </c>
    </row>
    <row r="2926" spans="1:12" x14ac:dyDescent="0.4">
      <c r="A2926" t="s">
        <v>5007</v>
      </c>
      <c r="B2926">
        <v>59</v>
      </c>
      <c r="C2926" t="s">
        <v>6582</v>
      </c>
      <c r="D2926">
        <v>3</v>
      </c>
      <c r="E2926">
        <v>0.16700000000000001</v>
      </c>
      <c r="F2926">
        <v>59</v>
      </c>
      <c r="G2926">
        <v>2023</v>
      </c>
      <c r="H2926" t="s">
        <v>928</v>
      </c>
      <c r="I2926" t="s">
        <v>6596</v>
      </c>
      <c r="L2926" t="s">
        <v>197</v>
      </c>
    </row>
    <row r="2927" spans="1:12" x14ac:dyDescent="0.4">
      <c r="A2927" t="s">
        <v>5000</v>
      </c>
      <c r="B2927">
        <v>67</v>
      </c>
      <c r="C2927" t="s">
        <v>2485</v>
      </c>
      <c r="D2927">
        <v>4</v>
      </c>
      <c r="E2927">
        <v>0.80500000000000005</v>
      </c>
      <c r="F2927">
        <v>67</v>
      </c>
      <c r="G2927">
        <v>2023</v>
      </c>
      <c r="H2927" t="s">
        <v>928</v>
      </c>
      <c r="I2927" t="s">
        <v>6596</v>
      </c>
      <c r="L2927" t="s">
        <v>197</v>
      </c>
    </row>
    <row r="2928" spans="1:12" x14ac:dyDescent="0.4">
      <c r="A2928" t="s">
        <v>4972</v>
      </c>
      <c r="B2928">
        <v>78</v>
      </c>
      <c r="C2928" t="s">
        <v>2475</v>
      </c>
      <c r="D2928">
        <v>4</v>
      </c>
      <c r="E2928">
        <v>1.681</v>
      </c>
      <c r="F2928">
        <v>78</v>
      </c>
      <c r="G2928">
        <v>2023</v>
      </c>
      <c r="H2928" t="s">
        <v>928</v>
      </c>
      <c r="I2928" t="s">
        <v>6596</v>
      </c>
      <c r="L2928" t="s">
        <v>197</v>
      </c>
    </row>
    <row r="2929" spans="1:12" x14ac:dyDescent="0.4">
      <c r="A2929" t="s">
        <v>4989</v>
      </c>
      <c r="B2929">
        <v>63</v>
      </c>
      <c r="C2929" t="s">
        <v>5721</v>
      </c>
      <c r="D2929">
        <v>4</v>
      </c>
      <c r="E2929">
        <v>0.48599999999999999</v>
      </c>
      <c r="F2929">
        <v>63</v>
      </c>
      <c r="G2929">
        <v>2023</v>
      </c>
      <c r="H2929" t="s">
        <v>928</v>
      </c>
      <c r="I2929" t="s">
        <v>6596</v>
      </c>
      <c r="L2929" t="s">
        <v>197</v>
      </c>
    </row>
    <row r="2930" spans="1:12" x14ac:dyDescent="0.4">
      <c r="A2930" t="s">
        <v>5005</v>
      </c>
      <c r="B2930">
        <v>52</v>
      </c>
      <c r="C2930" t="s">
        <v>5714</v>
      </c>
      <c r="D2930">
        <v>3</v>
      </c>
      <c r="E2930">
        <v>-0.39</v>
      </c>
      <c r="F2930">
        <v>52</v>
      </c>
      <c r="G2930">
        <v>2023</v>
      </c>
      <c r="H2930" t="s">
        <v>928</v>
      </c>
      <c r="I2930" t="s">
        <v>6596</v>
      </c>
      <c r="L2930" t="s">
        <v>197</v>
      </c>
    </row>
    <row r="2931" spans="1:12" x14ac:dyDescent="0.4">
      <c r="A2931" t="s">
        <v>4991</v>
      </c>
      <c r="B2931">
        <v>58</v>
      </c>
      <c r="C2931" t="s">
        <v>6585</v>
      </c>
      <c r="D2931">
        <v>3</v>
      </c>
      <c r="E2931">
        <v>8.7999999999999995E-2</v>
      </c>
      <c r="F2931">
        <v>58</v>
      </c>
      <c r="G2931">
        <v>2023</v>
      </c>
      <c r="H2931" t="s">
        <v>928</v>
      </c>
      <c r="I2931" t="s">
        <v>6596</v>
      </c>
      <c r="L2931" t="s">
        <v>197</v>
      </c>
    </row>
    <row r="2932" spans="1:12" x14ac:dyDescent="0.4">
      <c r="A2932" t="s">
        <v>5013</v>
      </c>
      <c r="B2932">
        <v>56.9</v>
      </c>
      <c r="C2932" t="s">
        <v>197</v>
      </c>
      <c r="D2932">
        <v>3</v>
      </c>
    </row>
    <row r="2933" spans="1:12" x14ac:dyDescent="0.4">
      <c r="A2933" t="s">
        <v>5014</v>
      </c>
      <c r="B2933">
        <v>44.8</v>
      </c>
      <c r="C2933" t="s">
        <v>197</v>
      </c>
      <c r="D2933">
        <v>3</v>
      </c>
    </row>
    <row r="2934" spans="1:12" x14ac:dyDescent="0.4">
      <c r="A2934" t="s">
        <v>5015</v>
      </c>
      <c r="B2934">
        <v>73.099999999999994</v>
      </c>
      <c r="C2934" t="s">
        <v>197</v>
      </c>
      <c r="D2934">
        <v>4</v>
      </c>
    </row>
    <row r="2935" spans="1:12" x14ac:dyDescent="0.4">
      <c r="A2935" t="s">
        <v>5016</v>
      </c>
      <c r="B2935">
        <v>52.5</v>
      </c>
      <c r="C2935" t="s">
        <v>197</v>
      </c>
      <c r="D2935">
        <v>3</v>
      </c>
    </row>
    <row r="2936" spans="1:12" x14ac:dyDescent="0.4">
      <c r="A2936" t="s">
        <v>5017</v>
      </c>
      <c r="B2936">
        <v>65</v>
      </c>
      <c r="C2936" t="s">
        <v>197</v>
      </c>
      <c r="D2936">
        <v>4</v>
      </c>
    </row>
    <row r="2937" spans="1:12" x14ac:dyDescent="0.4">
      <c r="A2937" t="s">
        <v>5018</v>
      </c>
      <c r="B2937">
        <v>43.2</v>
      </c>
      <c r="C2937" t="s">
        <v>197</v>
      </c>
      <c r="D2937">
        <v>3</v>
      </c>
    </row>
    <row r="2938" spans="1:12" x14ac:dyDescent="0.4">
      <c r="A2938" t="s">
        <v>5019</v>
      </c>
      <c r="B2938">
        <v>58.4</v>
      </c>
      <c r="C2938" t="s">
        <v>197</v>
      </c>
      <c r="D2938">
        <v>3</v>
      </c>
    </row>
    <row r="2939" spans="1:12" x14ac:dyDescent="0.4">
      <c r="A2939" t="s">
        <v>7399</v>
      </c>
      <c r="B2939">
        <v>44.8</v>
      </c>
      <c r="C2939" t="s">
        <v>197</v>
      </c>
      <c r="D2939">
        <v>3</v>
      </c>
    </row>
    <row r="2940" spans="1:12" x14ac:dyDescent="0.4">
      <c r="A2940" t="s">
        <v>7400</v>
      </c>
      <c r="B2940">
        <v>57.1</v>
      </c>
      <c r="C2940" t="s">
        <v>197</v>
      </c>
      <c r="D2940">
        <v>3</v>
      </c>
    </row>
    <row r="2941" spans="1:12" x14ac:dyDescent="0.4">
      <c r="A2941" t="s">
        <v>7401</v>
      </c>
      <c r="B2941">
        <v>65.3</v>
      </c>
      <c r="C2941" t="s">
        <v>197</v>
      </c>
      <c r="D2941">
        <v>4</v>
      </c>
    </row>
    <row r="2942" spans="1:12" x14ac:dyDescent="0.4">
      <c r="A2942" t="s">
        <v>5024</v>
      </c>
      <c r="B2942">
        <v>42.4</v>
      </c>
      <c r="C2942" t="s">
        <v>5710</v>
      </c>
      <c r="D2942">
        <v>3</v>
      </c>
      <c r="E2942">
        <v>-1.135</v>
      </c>
      <c r="F2942">
        <v>57.6</v>
      </c>
      <c r="G2942">
        <v>2021</v>
      </c>
      <c r="H2942" t="s">
        <v>928</v>
      </c>
      <c r="I2942" t="s">
        <v>6616</v>
      </c>
      <c r="L2942" t="s">
        <v>197</v>
      </c>
    </row>
    <row r="2943" spans="1:12" x14ac:dyDescent="0.4">
      <c r="A2943" t="s">
        <v>5022</v>
      </c>
      <c r="B2943">
        <v>59.8</v>
      </c>
      <c r="C2943" t="s">
        <v>5732</v>
      </c>
      <c r="D2943">
        <v>3</v>
      </c>
      <c r="E2943">
        <v>5.5E-2</v>
      </c>
      <c r="F2943">
        <v>40.200000000000003</v>
      </c>
      <c r="G2943">
        <v>2021</v>
      </c>
      <c r="H2943" t="s">
        <v>928</v>
      </c>
      <c r="I2943" t="s">
        <v>6616</v>
      </c>
      <c r="L2943" t="s">
        <v>197</v>
      </c>
    </row>
    <row r="2944" spans="1:12" x14ac:dyDescent="0.4">
      <c r="A2944" t="s">
        <v>5029</v>
      </c>
      <c r="B2944">
        <v>87.5</v>
      </c>
      <c r="C2944" t="s">
        <v>1380</v>
      </c>
      <c r="D2944">
        <v>5</v>
      </c>
      <c r="E2944">
        <v>1.948</v>
      </c>
      <c r="F2944">
        <v>12.5</v>
      </c>
      <c r="G2944">
        <v>2021</v>
      </c>
      <c r="H2944" t="s">
        <v>928</v>
      </c>
      <c r="I2944" t="s">
        <v>6616</v>
      </c>
      <c r="L2944" t="s">
        <v>197</v>
      </c>
    </row>
    <row r="2945" spans="1:12" x14ac:dyDescent="0.4">
      <c r="A2945" t="s">
        <v>5063</v>
      </c>
      <c r="B2945">
        <v>54.6</v>
      </c>
      <c r="C2945" t="s">
        <v>6041</v>
      </c>
      <c r="D2945">
        <v>3</v>
      </c>
      <c r="E2945">
        <v>-0.30099999999999999</v>
      </c>
      <c r="F2945">
        <v>45.4</v>
      </c>
      <c r="G2945">
        <v>2021</v>
      </c>
      <c r="H2945" t="s">
        <v>928</v>
      </c>
      <c r="I2945" t="s">
        <v>6616</v>
      </c>
      <c r="L2945" t="s">
        <v>197</v>
      </c>
    </row>
    <row r="2946" spans="1:12" x14ac:dyDescent="0.4">
      <c r="A2946" t="s">
        <v>5045</v>
      </c>
      <c r="B2946">
        <v>60.3</v>
      </c>
      <c r="C2946" t="s">
        <v>6034</v>
      </c>
      <c r="D2946">
        <v>4</v>
      </c>
      <c r="E2946">
        <v>8.8999999999999996E-2</v>
      </c>
      <c r="F2946">
        <v>39.700000000000003</v>
      </c>
      <c r="G2946">
        <v>2021</v>
      </c>
      <c r="H2946" t="s">
        <v>928</v>
      </c>
      <c r="I2946" t="s">
        <v>6616</v>
      </c>
      <c r="L2946" t="s">
        <v>197</v>
      </c>
    </row>
    <row r="2947" spans="1:12" x14ac:dyDescent="0.4">
      <c r="A2947" t="s">
        <v>5057</v>
      </c>
      <c r="B2947">
        <v>48.3</v>
      </c>
      <c r="C2947" t="s">
        <v>5720</v>
      </c>
      <c r="D2947">
        <v>3</v>
      </c>
      <c r="E2947">
        <v>-0.73099999999999998</v>
      </c>
      <c r="F2947">
        <v>51.7</v>
      </c>
      <c r="G2947">
        <v>2021</v>
      </c>
      <c r="H2947" t="s">
        <v>928</v>
      </c>
      <c r="I2947" t="s">
        <v>6616</v>
      </c>
      <c r="L2947" t="s">
        <v>197</v>
      </c>
    </row>
    <row r="2948" spans="1:12" x14ac:dyDescent="0.4">
      <c r="A2948" t="s">
        <v>5034</v>
      </c>
      <c r="B2948">
        <v>78.3</v>
      </c>
      <c r="C2948" t="s">
        <v>2480</v>
      </c>
      <c r="D2948">
        <v>4</v>
      </c>
      <c r="E2948">
        <v>1.319</v>
      </c>
      <c r="F2948">
        <v>21.7</v>
      </c>
      <c r="G2948">
        <v>2021</v>
      </c>
      <c r="H2948" t="s">
        <v>928</v>
      </c>
      <c r="I2948" t="s">
        <v>6616</v>
      </c>
      <c r="L2948" t="s">
        <v>197</v>
      </c>
    </row>
    <row r="2949" spans="1:12" x14ac:dyDescent="0.4">
      <c r="A2949" t="s">
        <v>5027</v>
      </c>
      <c r="B2949">
        <v>64</v>
      </c>
      <c r="C2949" t="s">
        <v>6584</v>
      </c>
      <c r="D2949">
        <v>4</v>
      </c>
      <c r="E2949">
        <v>0.34200000000000003</v>
      </c>
      <c r="F2949">
        <v>36</v>
      </c>
      <c r="G2949">
        <v>2021</v>
      </c>
      <c r="H2949" t="s">
        <v>928</v>
      </c>
      <c r="I2949" t="s">
        <v>6616</v>
      </c>
      <c r="L2949" t="s">
        <v>197</v>
      </c>
    </row>
    <row r="2950" spans="1:12" x14ac:dyDescent="0.4">
      <c r="A2950" t="s">
        <v>5041</v>
      </c>
      <c r="B2950">
        <v>83.3</v>
      </c>
      <c r="C2950" t="s">
        <v>2475</v>
      </c>
      <c r="D2950">
        <v>5</v>
      </c>
      <c r="E2950">
        <v>1.661</v>
      </c>
      <c r="F2950">
        <v>16.7</v>
      </c>
      <c r="G2950">
        <v>2021</v>
      </c>
      <c r="H2950" t="s">
        <v>928</v>
      </c>
      <c r="I2950" t="s">
        <v>6616</v>
      </c>
      <c r="L2950" t="s">
        <v>197</v>
      </c>
    </row>
    <row r="2951" spans="1:12" x14ac:dyDescent="0.4">
      <c r="A2951" t="s">
        <v>5031</v>
      </c>
      <c r="B2951">
        <v>38</v>
      </c>
      <c r="C2951" t="s">
        <v>6037</v>
      </c>
      <c r="D2951">
        <v>2</v>
      </c>
      <c r="E2951">
        <v>-1.4359999999999999</v>
      </c>
      <c r="F2951">
        <v>62</v>
      </c>
      <c r="G2951">
        <v>2021</v>
      </c>
      <c r="H2951" t="s">
        <v>928</v>
      </c>
      <c r="I2951" t="s">
        <v>6616</v>
      </c>
      <c r="L2951" t="s">
        <v>197</v>
      </c>
    </row>
    <row r="2952" spans="1:12" x14ac:dyDescent="0.4">
      <c r="A2952" t="s">
        <v>5997</v>
      </c>
      <c r="B2952">
        <v>64.2</v>
      </c>
      <c r="C2952" t="s">
        <v>5705</v>
      </c>
      <c r="D2952">
        <v>4</v>
      </c>
      <c r="E2952">
        <v>0.35499999999999998</v>
      </c>
      <c r="F2952">
        <v>35.799999999999997</v>
      </c>
      <c r="G2952">
        <v>2021</v>
      </c>
      <c r="H2952" t="s">
        <v>928</v>
      </c>
      <c r="I2952" t="s">
        <v>6616</v>
      </c>
      <c r="L2952" t="s">
        <v>197</v>
      </c>
    </row>
    <row r="2953" spans="1:12" x14ac:dyDescent="0.4">
      <c r="A2953" t="s">
        <v>5049</v>
      </c>
      <c r="B2953">
        <v>46.9</v>
      </c>
      <c r="C2953" t="s">
        <v>6588</v>
      </c>
      <c r="D2953">
        <v>3</v>
      </c>
      <c r="E2953">
        <v>-0.82699999999999996</v>
      </c>
      <c r="F2953">
        <v>53.1</v>
      </c>
      <c r="G2953">
        <v>2021</v>
      </c>
      <c r="H2953" t="s">
        <v>928</v>
      </c>
      <c r="I2953" t="s">
        <v>6616</v>
      </c>
      <c r="L2953" t="s">
        <v>197</v>
      </c>
    </row>
    <row r="2954" spans="1:12" x14ac:dyDescent="0.4">
      <c r="A2954" t="s">
        <v>5050</v>
      </c>
      <c r="B2954">
        <v>56.5</v>
      </c>
      <c r="C2954" t="s">
        <v>6592</v>
      </c>
      <c r="D2954">
        <v>3</v>
      </c>
      <c r="E2954">
        <v>-0.17100000000000001</v>
      </c>
      <c r="F2954">
        <v>43.5</v>
      </c>
      <c r="G2954">
        <v>2021</v>
      </c>
      <c r="H2954" t="s">
        <v>928</v>
      </c>
      <c r="I2954" t="s">
        <v>6616</v>
      </c>
      <c r="L2954" t="s">
        <v>197</v>
      </c>
    </row>
    <row r="2955" spans="1:12" x14ac:dyDescent="0.4">
      <c r="A2955" t="s">
        <v>5032</v>
      </c>
      <c r="B2955">
        <v>36</v>
      </c>
      <c r="C2955" t="s">
        <v>6036</v>
      </c>
      <c r="D2955">
        <v>2</v>
      </c>
      <c r="E2955">
        <v>-1.5720000000000001</v>
      </c>
      <c r="F2955">
        <v>64</v>
      </c>
      <c r="G2955">
        <v>2021</v>
      </c>
      <c r="H2955" t="s">
        <v>928</v>
      </c>
      <c r="I2955" t="s">
        <v>6616</v>
      </c>
      <c r="L2955" t="s">
        <v>197</v>
      </c>
    </row>
    <row r="2956" spans="1:12" x14ac:dyDescent="0.4">
      <c r="A2956" t="s">
        <v>5040</v>
      </c>
      <c r="B2956">
        <v>81.2</v>
      </c>
      <c r="C2956" t="s">
        <v>2476</v>
      </c>
      <c r="D2956">
        <v>5</v>
      </c>
      <c r="E2956">
        <v>1.518</v>
      </c>
      <c r="F2956">
        <v>18.8</v>
      </c>
      <c r="G2956">
        <v>2021</v>
      </c>
      <c r="H2956" t="s">
        <v>928</v>
      </c>
      <c r="I2956" t="s">
        <v>6616</v>
      </c>
      <c r="L2956" t="s">
        <v>197</v>
      </c>
    </row>
    <row r="2957" spans="1:12" x14ac:dyDescent="0.4">
      <c r="A2957" t="s">
        <v>5062</v>
      </c>
      <c r="B2957">
        <v>48.5</v>
      </c>
      <c r="C2957" t="s">
        <v>5704</v>
      </c>
      <c r="D2957">
        <v>3</v>
      </c>
      <c r="E2957">
        <v>-0.71799999999999997</v>
      </c>
      <c r="F2957">
        <v>51.5</v>
      </c>
      <c r="G2957">
        <v>2021</v>
      </c>
      <c r="H2957" t="s">
        <v>928</v>
      </c>
      <c r="I2957" t="s">
        <v>6616</v>
      </c>
      <c r="L2957" t="s">
        <v>197</v>
      </c>
    </row>
    <row r="2958" spans="1:12" x14ac:dyDescent="0.4">
      <c r="A2958" t="s">
        <v>5059</v>
      </c>
      <c r="B2958">
        <v>45.8</v>
      </c>
      <c r="C2958" t="s">
        <v>5728</v>
      </c>
      <c r="D2958">
        <v>3</v>
      </c>
      <c r="E2958">
        <v>-0.90200000000000002</v>
      </c>
      <c r="F2958">
        <v>54.2</v>
      </c>
      <c r="G2958">
        <v>2021</v>
      </c>
      <c r="H2958" t="s">
        <v>928</v>
      </c>
      <c r="I2958" t="s">
        <v>6616</v>
      </c>
      <c r="L2958" t="s">
        <v>197</v>
      </c>
    </row>
    <row r="2959" spans="1:12" x14ac:dyDescent="0.4">
      <c r="A2959" t="s">
        <v>5037</v>
      </c>
      <c r="B2959">
        <v>58.2</v>
      </c>
      <c r="C2959" t="s">
        <v>5729</v>
      </c>
      <c r="D2959">
        <v>3</v>
      </c>
      <c r="E2959">
        <v>-5.5E-2</v>
      </c>
      <c r="F2959">
        <v>41.8</v>
      </c>
      <c r="G2959">
        <v>2021</v>
      </c>
      <c r="H2959" t="s">
        <v>928</v>
      </c>
      <c r="I2959" t="s">
        <v>6616</v>
      </c>
      <c r="L2959" t="s">
        <v>197</v>
      </c>
    </row>
    <row r="2960" spans="1:12" x14ac:dyDescent="0.4">
      <c r="A2960" t="s">
        <v>5043</v>
      </c>
      <c r="B2960">
        <v>26.3</v>
      </c>
      <c r="C2960" t="s">
        <v>6033</v>
      </c>
      <c r="D2960">
        <v>2</v>
      </c>
      <c r="E2960">
        <v>-2.2349999999999999</v>
      </c>
      <c r="F2960">
        <v>73.7</v>
      </c>
      <c r="G2960">
        <v>2021</v>
      </c>
      <c r="H2960" t="s">
        <v>928</v>
      </c>
      <c r="I2960" t="s">
        <v>6616</v>
      </c>
      <c r="L2960" t="s">
        <v>197</v>
      </c>
    </row>
    <row r="2961" spans="1:12" x14ac:dyDescent="0.4">
      <c r="A2961" t="s">
        <v>5021</v>
      </c>
      <c r="B2961">
        <v>54.6</v>
      </c>
      <c r="C2961" t="s">
        <v>6041</v>
      </c>
      <c r="D2961">
        <v>3</v>
      </c>
      <c r="E2961">
        <v>-0.30099999999999999</v>
      </c>
      <c r="F2961">
        <v>45.4</v>
      </c>
      <c r="G2961">
        <v>2021</v>
      </c>
      <c r="H2961" t="s">
        <v>928</v>
      </c>
      <c r="I2961" t="s">
        <v>6616</v>
      </c>
      <c r="L2961" t="s">
        <v>197</v>
      </c>
    </row>
    <row r="2962" spans="1:12" x14ac:dyDescent="0.4">
      <c r="A2962" t="s">
        <v>5046</v>
      </c>
      <c r="B2962">
        <v>73.099999999999994</v>
      </c>
      <c r="C2962" t="s">
        <v>2481</v>
      </c>
      <c r="D2962">
        <v>4</v>
      </c>
      <c r="E2962">
        <v>0.96399999999999997</v>
      </c>
      <c r="F2962">
        <v>26.9</v>
      </c>
      <c r="G2962">
        <v>2021</v>
      </c>
      <c r="H2962" t="s">
        <v>928</v>
      </c>
      <c r="I2962" t="s">
        <v>6616</v>
      </c>
      <c r="L2962" t="s">
        <v>197</v>
      </c>
    </row>
    <row r="2963" spans="1:12" x14ac:dyDescent="0.4">
      <c r="A2963" t="s">
        <v>5051</v>
      </c>
      <c r="B2963">
        <v>56.5</v>
      </c>
      <c r="C2963" t="s">
        <v>6592</v>
      </c>
      <c r="D2963">
        <v>3</v>
      </c>
      <c r="E2963">
        <v>-0.17100000000000001</v>
      </c>
      <c r="F2963">
        <v>43.5</v>
      </c>
      <c r="G2963">
        <v>2021</v>
      </c>
      <c r="H2963" t="s">
        <v>928</v>
      </c>
      <c r="I2963" t="s">
        <v>6616</v>
      </c>
      <c r="L2963" t="s">
        <v>197</v>
      </c>
    </row>
    <row r="2964" spans="1:12" x14ac:dyDescent="0.4">
      <c r="A2964" t="s">
        <v>5048</v>
      </c>
      <c r="B2964">
        <v>46.9</v>
      </c>
      <c r="C2964" t="s">
        <v>6588</v>
      </c>
      <c r="D2964">
        <v>3</v>
      </c>
      <c r="E2964">
        <v>-0.82699999999999996</v>
      </c>
      <c r="F2964">
        <v>53.1</v>
      </c>
      <c r="G2964">
        <v>2021</v>
      </c>
      <c r="H2964" t="s">
        <v>928</v>
      </c>
      <c r="I2964" t="s">
        <v>6616</v>
      </c>
      <c r="L2964" t="s">
        <v>197</v>
      </c>
    </row>
    <row r="2965" spans="1:12" x14ac:dyDescent="0.4">
      <c r="A2965" t="s">
        <v>5033</v>
      </c>
      <c r="B2965">
        <v>62.7</v>
      </c>
      <c r="C2965" t="s">
        <v>6580</v>
      </c>
      <c r="D2965">
        <v>4</v>
      </c>
      <c r="E2965">
        <v>0.253</v>
      </c>
      <c r="F2965">
        <v>37.299999999999997</v>
      </c>
      <c r="G2965">
        <v>2021</v>
      </c>
      <c r="H2965" t="s">
        <v>928</v>
      </c>
      <c r="I2965" t="s">
        <v>6616</v>
      </c>
      <c r="L2965" t="s">
        <v>197</v>
      </c>
    </row>
    <row r="2966" spans="1:12" x14ac:dyDescent="0.4">
      <c r="A2966" t="s">
        <v>5020</v>
      </c>
      <c r="B2966">
        <v>46.7</v>
      </c>
      <c r="C2966" t="s">
        <v>5711</v>
      </c>
      <c r="D2966">
        <v>3</v>
      </c>
      <c r="E2966">
        <v>-0.84099999999999997</v>
      </c>
      <c r="F2966">
        <v>53.3</v>
      </c>
      <c r="G2966">
        <v>2021</v>
      </c>
      <c r="H2966" t="s">
        <v>928</v>
      </c>
      <c r="I2966" t="s">
        <v>6616</v>
      </c>
      <c r="L2966" t="s">
        <v>197</v>
      </c>
    </row>
    <row r="2967" spans="1:12" x14ac:dyDescent="0.4">
      <c r="A2967" t="s">
        <v>5036</v>
      </c>
      <c r="B2967">
        <v>77</v>
      </c>
      <c r="C2967" t="s">
        <v>2483</v>
      </c>
      <c r="D2967">
        <v>4</v>
      </c>
      <c r="E2967">
        <v>1.2310000000000001</v>
      </c>
      <c r="F2967">
        <v>23</v>
      </c>
      <c r="G2967">
        <v>2021</v>
      </c>
      <c r="H2967" t="s">
        <v>928</v>
      </c>
      <c r="I2967" t="s">
        <v>6616</v>
      </c>
      <c r="L2967" t="s">
        <v>197</v>
      </c>
    </row>
    <row r="2968" spans="1:12" x14ac:dyDescent="0.4">
      <c r="A2968" t="s">
        <v>5038</v>
      </c>
      <c r="B2968">
        <v>69.7</v>
      </c>
      <c r="C2968" t="s">
        <v>5696</v>
      </c>
      <c r="D2968">
        <v>4</v>
      </c>
      <c r="E2968">
        <v>0.73099999999999998</v>
      </c>
      <c r="F2968">
        <v>30.3</v>
      </c>
      <c r="G2968">
        <v>2021</v>
      </c>
      <c r="H2968" t="s">
        <v>928</v>
      </c>
      <c r="I2968" t="s">
        <v>6616</v>
      </c>
      <c r="L2968" t="s">
        <v>197</v>
      </c>
    </row>
    <row r="2969" spans="1:12" x14ac:dyDescent="0.4">
      <c r="A2969" t="s">
        <v>5064</v>
      </c>
      <c r="B2969">
        <v>33.299999999999997</v>
      </c>
      <c r="C2969" t="s">
        <v>6035</v>
      </c>
      <c r="D2969">
        <v>2</v>
      </c>
      <c r="E2969">
        <v>-1.7569999999999999</v>
      </c>
      <c r="F2969">
        <v>66.7</v>
      </c>
      <c r="G2969">
        <v>2021</v>
      </c>
      <c r="H2969" t="s">
        <v>928</v>
      </c>
      <c r="I2969" t="s">
        <v>6616</v>
      </c>
      <c r="L2969" t="s">
        <v>197</v>
      </c>
    </row>
    <row r="2970" spans="1:12" x14ac:dyDescent="0.4">
      <c r="A2970" t="s">
        <v>5061</v>
      </c>
      <c r="B2970">
        <v>75</v>
      </c>
      <c r="C2970" t="s">
        <v>6581</v>
      </c>
      <c r="D2970">
        <v>4</v>
      </c>
      <c r="E2970">
        <v>1.0940000000000001</v>
      </c>
      <c r="F2970">
        <v>25</v>
      </c>
      <c r="G2970">
        <v>2021</v>
      </c>
      <c r="H2970" t="s">
        <v>928</v>
      </c>
      <c r="I2970" t="s">
        <v>6616</v>
      </c>
      <c r="L2970" t="s">
        <v>197</v>
      </c>
    </row>
    <row r="2971" spans="1:12" x14ac:dyDescent="0.4">
      <c r="A2971" t="s">
        <v>5026</v>
      </c>
      <c r="B2971">
        <v>52.5</v>
      </c>
      <c r="C2971" t="s">
        <v>5734</v>
      </c>
      <c r="D2971">
        <v>3</v>
      </c>
      <c r="E2971">
        <v>-0.44400000000000001</v>
      </c>
      <c r="F2971">
        <v>47.5</v>
      </c>
      <c r="G2971">
        <v>2021</v>
      </c>
      <c r="H2971" t="s">
        <v>928</v>
      </c>
      <c r="I2971" t="s">
        <v>6616</v>
      </c>
      <c r="L2971" t="s">
        <v>197</v>
      </c>
    </row>
    <row r="2972" spans="1:12" x14ac:dyDescent="0.4">
      <c r="A2972" t="s">
        <v>5039</v>
      </c>
      <c r="B2972">
        <v>59</v>
      </c>
      <c r="C2972" t="s">
        <v>5731</v>
      </c>
      <c r="D2972">
        <v>3</v>
      </c>
      <c r="E2972">
        <v>0</v>
      </c>
      <c r="F2972">
        <v>41</v>
      </c>
      <c r="G2972">
        <v>2021</v>
      </c>
      <c r="H2972" t="s">
        <v>928</v>
      </c>
      <c r="I2972" t="s">
        <v>6616</v>
      </c>
      <c r="L2972" t="s">
        <v>197</v>
      </c>
    </row>
    <row r="2973" spans="1:12" x14ac:dyDescent="0.4">
      <c r="A2973" t="s">
        <v>5047</v>
      </c>
      <c r="B2973">
        <v>46.9</v>
      </c>
      <c r="C2973" t="s">
        <v>6588</v>
      </c>
      <c r="D2973">
        <v>3</v>
      </c>
      <c r="E2973">
        <v>-0.82699999999999996</v>
      </c>
      <c r="F2973">
        <v>53.1</v>
      </c>
      <c r="G2973">
        <v>2021</v>
      </c>
      <c r="H2973" t="s">
        <v>928</v>
      </c>
      <c r="I2973" t="s">
        <v>6616</v>
      </c>
      <c r="L2973" t="s">
        <v>197</v>
      </c>
    </row>
    <row r="2974" spans="1:12" x14ac:dyDescent="0.4">
      <c r="A2974" t="s">
        <v>5023</v>
      </c>
      <c r="B2974">
        <v>56.3</v>
      </c>
      <c r="C2974" t="s">
        <v>5693</v>
      </c>
      <c r="D2974">
        <v>3</v>
      </c>
      <c r="E2974">
        <v>-0.185</v>
      </c>
      <c r="F2974">
        <v>43.7</v>
      </c>
      <c r="G2974">
        <v>2021</v>
      </c>
      <c r="H2974" t="s">
        <v>928</v>
      </c>
      <c r="I2974" t="s">
        <v>6616</v>
      </c>
      <c r="L2974" t="s">
        <v>197</v>
      </c>
    </row>
    <row r="2975" spans="1:12" x14ac:dyDescent="0.4">
      <c r="A2975" t="s">
        <v>5899</v>
      </c>
      <c r="B2975">
        <v>87.5</v>
      </c>
      <c r="C2975" t="s">
        <v>1380</v>
      </c>
      <c r="D2975">
        <v>5</v>
      </c>
      <c r="E2975">
        <v>1.948</v>
      </c>
      <c r="F2975">
        <v>12.5</v>
      </c>
      <c r="G2975">
        <v>2021</v>
      </c>
      <c r="H2975" t="s">
        <v>928</v>
      </c>
      <c r="I2975" t="s">
        <v>6616</v>
      </c>
      <c r="L2975" t="s">
        <v>197</v>
      </c>
    </row>
    <row r="2976" spans="1:12" x14ac:dyDescent="0.4">
      <c r="A2976" t="s">
        <v>5054</v>
      </c>
      <c r="B2976">
        <v>54.5</v>
      </c>
      <c r="C2976" t="s">
        <v>5714</v>
      </c>
      <c r="D2976">
        <v>3</v>
      </c>
      <c r="E2976">
        <v>-0.308</v>
      </c>
      <c r="F2976">
        <v>45.5</v>
      </c>
      <c r="G2976">
        <v>2021</v>
      </c>
      <c r="H2976" t="s">
        <v>928</v>
      </c>
      <c r="I2976" t="s">
        <v>6616</v>
      </c>
      <c r="L2976" t="s">
        <v>197</v>
      </c>
    </row>
    <row r="2977" spans="1:12" x14ac:dyDescent="0.4">
      <c r="A2977" t="s">
        <v>5900</v>
      </c>
      <c r="B2977">
        <v>72.099999999999994</v>
      </c>
      <c r="C2977" t="s">
        <v>5730</v>
      </c>
      <c r="D2977">
        <v>4</v>
      </c>
      <c r="E2977">
        <v>0.89600000000000002</v>
      </c>
      <c r="F2977">
        <v>27.9</v>
      </c>
      <c r="G2977">
        <v>2021</v>
      </c>
      <c r="H2977" t="s">
        <v>928</v>
      </c>
      <c r="I2977" t="s">
        <v>6616</v>
      </c>
      <c r="L2977" t="s">
        <v>197</v>
      </c>
    </row>
    <row r="2978" spans="1:12" x14ac:dyDescent="0.4">
      <c r="A2978" t="s">
        <v>5065</v>
      </c>
      <c r="B2978">
        <v>43.9</v>
      </c>
      <c r="C2978" t="s">
        <v>5697</v>
      </c>
      <c r="D2978">
        <v>3</v>
      </c>
      <c r="E2978">
        <v>-1.032</v>
      </c>
      <c r="F2978">
        <v>56.1</v>
      </c>
      <c r="G2978">
        <v>2021</v>
      </c>
      <c r="H2978" t="s">
        <v>928</v>
      </c>
      <c r="I2978" t="s">
        <v>6616</v>
      </c>
      <c r="L2978" t="s">
        <v>197</v>
      </c>
    </row>
    <row r="2979" spans="1:12" x14ac:dyDescent="0.4">
      <c r="A2979" t="s">
        <v>5030</v>
      </c>
      <c r="B2979">
        <v>56.4</v>
      </c>
      <c r="C2979" t="s">
        <v>5706</v>
      </c>
      <c r="D2979">
        <v>3</v>
      </c>
      <c r="E2979">
        <v>-0.17799999999999999</v>
      </c>
      <c r="F2979">
        <v>43.6</v>
      </c>
      <c r="G2979">
        <v>2021</v>
      </c>
      <c r="H2979" t="s">
        <v>928</v>
      </c>
      <c r="I2979" t="s">
        <v>6616</v>
      </c>
      <c r="L2979" t="s">
        <v>197</v>
      </c>
    </row>
    <row r="2980" spans="1:12" x14ac:dyDescent="0.4">
      <c r="A2980" t="s">
        <v>5035</v>
      </c>
      <c r="B2980">
        <v>66.5</v>
      </c>
      <c r="C2980" t="s">
        <v>5707</v>
      </c>
      <c r="D2980">
        <v>4</v>
      </c>
      <c r="E2980">
        <v>0.51300000000000001</v>
      </c>
      <c r="F2980">
        <v>33.5</v>
      </c>
      <c r="G2980">
        <v>2021</v>
      </c>
      <c r="H2980" t="s">
        <v>928</v>
      </c>
      <c r="I2980" t="s">
        <v>6616</v>
      </c>
      <c r="L2980" t="s">
        <v>197</v>
      </c>
    </row>
    <row r="2981" spans="1:12" x14ac:dyDescent="0.4">
      <c r="A2981" t="s">
        <v>5028</v>
      </c>
      <c r="B2981">
        <v>87.5</v>
      </c>
      <c r="C2981" t="s">
        <v>1380</v>
      </c>
      <c r="D2981">
        <v>5</v>
      </c>
      <c r="E2981">
        <v>1.948</v>
      </c>
      <c r="F2981">
        <v>12.5</v>
      </c>
      <c r="G2981">
        <v>2021</v>
      </c>
      <c r="H2981" t="s">
        <v>928</v>
      </c>
      <c r="I2981" t="s">
        <v>6616</v>
      </c>
      <c r="L2981" t="s">
        <v>197</v>
      </c>
    </row>
    <row r="2982" spans="1:12" x14ac:dyDescent="0.4">
      <c r="A2982" t="s">
        <v>5901</v>
      </c>
      <c r="B2982">
        <v>68.099999999999994</v>
      </c>
      <c r="C2982" t="s">
        <v>5701</v>
      </c>
      <c r="D2982">
        <v>4</v>
      </c>
      <c r="E2982">
        <v>0.622</v>
      </c>
      <c r="F2982">
        <v>31.9</v>
      </c>
      <c r="G2982">
        <v>2021</v>
      </c>
      <c r="H2982" t="s">
        <v>928</v>
      </c>
      <c r="I2982" t="s">
        <v>6616</v>
      </c>
      <c r="L2982" t="s">
        <v>197</v>
      </c>
    </row>
    <row r="2983" spans="1:12" x14ac:dyDescent="0.4">
      <c r="A2983" t="s">
        <v>5055</v>
      </c>
      <c r="B2983">
        <v>64</v>
      </c>
      <c r="C2983" t="s">
        <v>6584</v>
      </c>
      <c r="D2983">
        <v>4</v>
      </c>
      <c r="E2983">
        <v>0.34200000000000003</v>
      </c>
      <c r="F2983">
        <v>36</v>
      </c>
      <c r="G2983">
        <v>2021</v>
      </c>
      <c r="H2983" t="s">
        <v>928</v>
      </c>
      <c r="I2983" t="s">
        <v>6616</v>
      </c>
      <c r="L2983" t="s">
        <v>197</v>
      </c>
    </row>
    <row r="2984" spans="1:12" x14ac:dyDescent="0.4">
      <c r="A2984" t="s">
        <v>5056</v>
      </c>
      <c r="B2984">
        <v>48.3</v>
      </c>
      <c r="C2984" t="s">
        <v>5720</v>
      </c>
      <c r="D2984">
        <v>3</v>
      </c>
      <c r="E2984">
        <v>-0.73099999999999998</v>
      </c>
      <c r="F2984">
        <v>51.7</v>
      </c>
      <c r="G2984">
        <v>2021</v>
      </c>
      <c r="H2984" t="s">
        <v>928</v>
      </c>
      <c r="I2984" t="s">
        <v>6616</v>
      </c>
      <c r="L2984" t="s">
        <v>197</v>
      </c>
    </row>
    <row r="2985" spans="1:12" x14ac:dyDescent="0.4">
      <c r="A2985" t="s">
        <v>5052</v>
      </c>
      <c r="B2985">
        <v>49.6</v>
      </c>
      <c r="C2985" t="s">
        <v>5699</v>
      </c>
      <c r="D2985">
        <v>3</v>
      </c>
      <c r="E2985">
        <v>-0.64300000000000002</v>
      </c>
      <c r="F2985">
        <v>50.4</v>
      </c>
      <c r="G2985">
        <v>2021</v>
      </c>
      <c r="H2985" t="s">
        <v>928</v>
      </c>
      <c r="I2985" t="s">
        <v>6616</v>
      </c>
      <c r="L2985" t="s">
        <v>197</v>
      </c>
    </row>
    <row r="2986" spans="1:12" x14ac:dyDescent="0.4">
      <c r="A2986" t="s">
        <v>5060</v>
      </c>
      <c r="B2986">
        <v>75</v>
      </c>
      <c r="C2986" t="s">
        <v>6581</v>
      </c>
      <c r="D2986">
        <v>4</v>
      </c>
      <c r="E2986">
        <v>1.0940000000000001</v>
      </c>
      <c r="F2986">
        <v>25</v>
      </c>
      <c r="G2986">
        <v>2021</v>
      </c>
      <c r="H2986" t="s">
        <v>928</v>
      </c>
      <c r="I2986" t="s">
        <v>6616</v>
      </c>
      <c r="L2986" t="s">
        <v>197</v>
      </c>
    </row>
    <row r="2987" spans="1:12" x14ac:dyDescent="0.4">
      <c r="A2987" t="s">
        <v>5053</v>
      </c>
      <c r="B2987">
        <v>54.5</v>
      </c>
      <c r="C2987" t="s">
        <v>5714</v>
      </c>
      <c r="D2987">
        <v>3</v>
      </c>
      <c r="E2987">
        <v>-0.308</v>
      </c>
      <c r="F2987">
        <v>45.5</v>
      </c>
      <c r="G2987">
        <v>2021</v>
      </c>
      <c r="H2987" t="s">
        <v>928</v>
      </c>
      <c r="I2987" t="s">
        <v>6616</v>
      </c>
      <c r="L2987" t="s">
        <v>197</v>
      </c>
    </row>
    <row r="2988" spans="1:12" x14ac:dyDescent="0.4">
      <c r="A2988" t="s">
        <v>5025</v>
      </c>
      <c r="B2988">
        <v>62.2</v>
      </c>
      <c r="C2988" t="s">
        <v>6579</v>
      </c>
      <c r="D2988">
        <v>4</v>
      </c>
      <c r="E2988">
        <v>0.219</v>
      </c>
      <c r="F2988">
        <v>37.799999999999997</v>
      </c>
      <c r="G2988">
        <v>2021</v>
      </c>
      <c r="H2988" t="s">
        <v>928</v>
      </c>
      <c r="I2988" t="s">
        <v>6616</v>
      </c>
      <c r="L2988" t="s">
        <v>197</v>
      </c>
    </row>
    <row r="2989" spans="1:12" x14ac:dyDescent="0.4">
      <c r="A2989" t="s">
        <v>5042</v>
      </c>
      <c r="B2989">
        <v>75</v>
      </c>
      <c r="C2989" t="s">
        <v>6581</v>
      </c>
      <c r="D2989">
        <v>4</v>
      </c>
      <c r="E2989">
        <v>1.0940000000000001</v>
      </c>
      <c r="F2989">
        <v>25</v>
      </c>
      <c r="G2989">
        <v>2021</v>
      </c>
      <c r="H2989" t="s">
        <v>928</v>
      </c>
      <c r="I2989" t="s">
        <v>6616</v>
      </c>
      <c r="L2989" t="s">
        <v>197</v>
      </c>
    </row>
    <row r="2990" spans="1:12" x14ac:dyDescent="0.4">
      <c r="A2990" t="s">
        <v>5058</v>
      </c>
      <c r="B2990">
        <v>48.3</v>
      </c>
      <c r="C2990" t="s">
        <v>5720</v>
      </c>
      <c r="D2990">
        <v>3</v>
      </c>
      <c r="E2990">
        <v>-0.73099999999999998</v>
      </c>
      <c r="F2990">
        <v>51.7</v>
      </c>
      <c r="G2990">
        <v>2021</v>
      </c>
      <c r="H2990" t="s">
        <v>928</v>
      </c>
      <c r="I2990" t="s">
        <v>6616</v>
      </c>
      <c r="L2990" t="s">
        <v>197</v>
      </c>
    </row>
    <row r="2991" spans="1:12" x14ac:dyDescent="0.4">
      <c r="A2991" t="s">
        <v>5044</v>
      </c>
      <c r="B2991">
        <v>48.3</v>
      </c>
      <c r="C2991" t="s">
        <v>5720</v>
      </c>
      <c r="D2991">
        <v>3</v>
      </c>
      <c r="E2991">
        <v>-0.73099999999999998</v>
      </c>
      <c r="F2991">
        <v>51.7</v>
      </c>
      <c r="G2991">
        <v>2021</v>
      </c>
      <c r="H2991" t="s">
        <v>928</v>
      </c>
      <c r="I2991" t="s">
        <v>6616</v>
      </c>
      <c r="L2991" t="s">
        <v>197</v>
      </c>
    </row>
    <row r="2992" spans="1:12" x14ac:dyDescent="0.4">
      <c r="A2992" t="s">
        <v>5066</v>
      </c>
      <c r="B2992">
        <v>59</v>
      </c>
      <c r="C2992" t="s">
        <v>197</v>
      </c>
      <c r="D2992">
        <v>3</v>
      </c>
    </row>
    <row r="2993" spans="1:11" x14ac:dyDescent="0.4">
      <c r="A2993" t="s">
        <v>5067</v>
      </c>
      <c r="B2993">
        <v>52</v>
      </c>
      <c r="C2993" t="s">
        <v>197</v>
      </c>
      <c r="D2993">
        <v>3</v>
      </c>
    </row>
    <row r="2994" spans="1:11" x14ac:dyDescent="0.4">
      <c r="A2994" t="s">
        <v>5068</v>
      </c>
      <c r="B2994">
        <v>72.8</v>
      </c>
      <c r="C2994" t="s">
        <v>197</v>
      </c>
      <c r="D2994">
        <v>4</v>
      </c>
    </row>
    <row r="2995" spans="1:11" x14ac:dyDescent="0.4">
      <c r="A2995" t="s">
        <v>5069</v>
      </c>
      <c r="B2995">
        <v>48.3</v>
      </c>
      <c r="C2995" t="s">
        <v>197</v>
      </c>
      <c r="D2995">
        <v>3</v>
      </c>
    </row>
    <row r="2996" spans="1:11" x14ac:dyDescent="0.4">
      <c r="A2996" t="s">
        <v>5070</v>
      </c>
      <c r="B2996">
        <v>72</v>
      </c>
      <c r="C2996" t="s">
        <v>197</v>
      </c>
      <c r="D2996">
        <v>4</v>
      </c>
    </row>
    <row r="2997" spans="1:11" x14ac:dyDescent="0.4">
      <c r="A2997" t="s">
        <v>5071</v>
      </c>
      <c r="B2997">
        <v>52.6</v>
      </c>
      <c r="C2997" t="s">
        <v>197</v>
      </c>
      <c r="D2997">
        <v>3</v>
      </c>
    </row>
    <row r="2998" spans="1:11" x14ac:dyDescent="0.4">
      <c r="A2998" t="s">
        <v>5072</v>
      </c>
      <c r="B2998">
        <v>53.1</v>
      </c>
      <c r="C2998" t="s">
        <v>197</v>
      </c>
      <c r="D2998">
        <v>3</v>
      </c>
    </row>
    <row r="2999" spans="1:11" x14ac:dyDescent="0.4">
      <c r="A2999" t="s">
        <v>7402</v>
      </c>
      <c r="B2999">
        <v>50.5</v>
      </c>
      <c r="C2999" t="s">
        <v>197</v>
      </c>
      <c r="D2999">
        <v>3</v>
      </c>
    </row>
    <row r="3000" spans="1:11" x14ac:dyDescent="0.4">
      <c r="A3000" t="s">
        <v>7403</v>
      </c>
      <c r="B3000">
        <v>53.4</v>
      </c>
      <c r="C3000" t="s">
        <v>197</v>
      </c>
      <c r="D3000">
        <v>3</v>
      </c>
    </row>
    <row r="3001" spans="1:11" x14ac:dyDescent="0.4">
      <c r="A3001" t="s">
        <v>7404</v>
      </c>
      <c r="B3001">
        <v>67.599999999999994</v>
      </c>
      <c r="C3001" t="s">
        <v>197</v>
      </c>
      <c r="D3001">
        <v>4</v>
      </c>
    </row>
    <row r="3002" spans="1:11" x14ac:dyDescent="0.4">
      <c r="A3002" t="s">
        <v>5077</v>
      </c>
      <c r="B3002">
        <v>0</v>
      </c>
      <c r="C3002" t="s">
        <v>5719</v>
      </c>
      <c r="D3002">
        <v>1</v>
      </c>
      <c r="E3002">
        <v>-1.03</v>
      </c>
      <c r="F3002">
        <v>0</v>
      </c>
      <c r="G3002">
        <v>2024</v>
      </c>
      <c r="H3002" t="s">
        <v>928</v>
      </c>
      <c r="I3002" t="s">
        <v>6063</v>
      </c>
      <c r="J3002" t="s">
        <v>8501</v>
      </c>
      <c r="K3002" t="s">
        <v>9399</v>
      </c>
    </row>
    <row r="3003" spans="1:11" x14ac:dyDescent="0.4">
      <c r="A3003" t="s">
        <v>5075</v>
      </c>
      <c r="B3003">
        <v>0</v>
      </c>
      <c r="C3003" t="s">
        <v>5719</v>
      </c>
      <c r="D3003">
        <v>1</v>
      </c>
      <c r="E3003">
        <v>-1.03</v>
      </c>
      <c r="F3003">
        <v>0</v>
      </c>
      <c r="G3003">
        <v>2024</v>
      </c>
      <c r="H3003" t="s">
        <v>928</v>
      </c>
      <c r="I3003" t="s">
        <v>6063</v>
      </c>
      <c r="J3003" t="s">
        <v>8502</v>
      </c>
      <c r="K3003" t="s">
        <v>9400</v>
      </c>
    </row>
    <row r="3004" spans="1:11" x14ac:dyDescent="0.4">
      <c r="A3004" t="s">
        <v>5082</v>
      </c>
      <c r="B3004">
        <v>0</v>
      </c>
      <c r="C3004" t="s">
        <v>5719</v>
      </c>
      <c r="D3004">
        <v>1</v>
      </c>
      <c r="E3004">
        <v>-1.03</v>
      </c>
      <c r="F3004">
        <v>0</v>
      </c>
      <c r="G3004">
        <v>2024</v>
      </c>
      <c r="H3004" t="s">
        <v>928</v>
      </c>
      <c r="I3004" t="s">
        <v>6063</v>
      </c>
      <c r="J3004" t="s">
        <v>8503</v>
      </c>
      <c r="K3004" t="s">
        <v>9401</v>
      </c>
    </row>
    <row r="3005" spans="1:11" x14ac:dyDescent="0.4">
      <c r="A3005" t="s">
        <v>5116</v>
      </c>
      <c r="B3005">
        <v>100</v>
      </c>
      <c r="C3005" t="s">
        <v>1380</v>
      </c>
      <c r="D3005">
        <v>5</v>
      </c>
      <c r="E3005">
        <v>0.95099999999999996</v>
      </c>
      <c r="F3005">
        <v>1</v>
      </c>
      <c r="G3005">
        <v>2024</v>
      </c>
      <c r="H3005" t="s">
        <v>928</v>
      </c>
      <c r="I3005" t="s">
        <v>6063</v>
      </c>
      <c r="J3005" t="s">
        <v>8504</v>
      </c>
      <c r="K3005" t="s">
        <v>9402</v>
      </c>
    </row>
    <row r="3006" spans="1:11" x14ac:dyDescent="0.4">
      <c r="A3006" t="s">
        <v>5098</v>
      </c>
      <c r="B3006">
        <v>100</v>
      </c>
      <c r="C3006" t="s">
        <v>1380</v>
      </c>
      <c r="D3006">
        <v>5</v>
      </c>
      <c r="E3006">
        <v>0.95099999999999996</v>
      </c>
      <c r="F3006">
        <v>1</v>
      </c>
      <c r="G3006">
        <v>2024</v>
      </c>
      <c r="H3006" t="s">
        <v>928</v>
      </c>
      <c r="I3006" t="s">
        <v>6063</v>
      </c>
      <c r="J3006" t="s">
        <v>8505</v>
      </c>
      <c r="K3006" t="s">
        <v>9403</v>
      </c>
    </row>
    <row r="3007" spans="1:11" x14ac:dyDescent="0.4">
      <c r="A3007" t="s">
        <v>5110</v>
      </c>
      <c r="B3007">
        <v>0</v>
      </c>
      <c r="C3007" t="s">
        <v>5719</v>
      </c>
      <c r="D3007">
        <v>1</v>
      </c>
      <c r="E3007">
        <v>-1.03</v>
      </c>
      <c r="F3007">
        <v>0</v>
      </c>
      <c r="G3007">
        <v>2024</v>
      </c>
      <c r="H3007" t="s">
        <v>928</v>
      </c>
      <c r="I3007" t="s">
        <v>6063</v>
      </c>
      <c r="J3007" t="s">
        <v>8506</v>
      </c>
      <c r="K3007" t="s">
        <v>6022</v>
      </c>
    </row>
    <row r="3008" spans="1:11" x14ac:dyDescent="0.4">
      <c r="A3008" t="s">
        <v>5087</v>
      </c>
      <c r="B3008">
        <v>100</v>
      </c>
      <c r="C3008" t="s">
        <v>1380</v>
      </c>
      <c r="D3008">
        <v>5</v>
      </c>
      <c r="E3008">
        <v>0.95099999999999996</v>
      </c>
      <c r="F3008">
        <v>1</v>
      </c>
      <c r="G3008">
        <v>2024</v>
      </c>
      <c r="H3008" t="s">
        <v>928</v>
      </c>
      <c r="I3008" t="s">
        <v>6063</v>
      </c>
      <c r="J3008" t="s">
        <v>8507</v>
      </c>
      <c r="K3008" t="s">
        <v>9404</v>
      </c>
    </row>
    <row r="3009" spans="1:11" x14ac:dyDescent="0.4">
      <c r="A3009" t="s">
        <v>5080</v>
      </c>
      <c r="B3009">
        <v>100</v>
      </c>
      <c r="C3009" t="s">
        <v>1380</v>
      </c>
      <c r="D3009">
        <v>5</v>
      </c>
      <c r="E3009">
        <v>0.95099999999999996</v>
      </c>
      <c r="F3009">
        <v>1</v>
      </c>
      <c r="G3009">
        <v>2024</v>
      </c>
      <c r="H3009" t="s">
        <v>928</v>
      </c>
      <c r="I3009" t="s">
        <v>6063</v>
      </c>
      <c r="J3009" t="s">
        <v>8508</v>
      </c>
      <c r="K3009" t="s">
        <v>9405</v>
      </c>
    </row>
    <row r="3010" spans="1:11" x14ac:dyDescent="0.4">
      <c r="A3010" t="s">
        <v>5094</v>
      </c>
      <c r="B3010">
        <v>0</v>
      </c>
      <c r="C3010" t="s">
        <v>5719</v>
      </c>
      <c r="D3010">
        <v>1</v>
      </c>
      <c r="E3010">
        <v>-1.03</v>
      </c>
      <c r="F3010">
        <v>0</v>
      </c>
      <c r="G3010">
        <v>2024</v>
      </c>
      <c r="H3010" t="s">
        <v>928</v>
      </c>
      <c r="I3010" t="s">
        <v>6063</v>
      </c>
      <c r="J3010" t="s">
        <v>8509</v>
      </c>
      <c r="K3010" t="s">
        <v>9406</v>
      </c>
    </row>
    <row r="3011" spans="1:11" x14ac:dyDescent="0.4">
      <c r="A3011" t="s">
        <v>5084</v>
      </c>
      <c r="B3011">
        <v>0</v>
      </c>
      <c r="C3011" t="s">
        <v>5719</v>
      </c>
      <c r="D3011">
        <v>1</v>
      </c>
      <c r="E3011">
        <v>-1.03</v>
      </c>
      <c r="F3011">
        <v>0</v>
      </c>
      <c r="G3011">
        <v>2024</v>
      </c>
      <c r="H3011" t="s">
        <v>928</v>
      </c>
      <c r="I3011" t="s">
        <v>6063</v>
      </c>
      <c r="J3011" t="s">
        <v>8510</v>
      </c>
      <c r="K3011" t="s">
        <v>9407</v>
      </c>
    </row>
    <row r="3012" spans="1:11" x14ac:dyDescent="0.4">
      <c r="A3012" t="s">
        <v>5998</v>
      </c>
      <c r="B3012">
        <v>100</v>
      </c>
      <c r="C3012" t="s">
        <v>1380</v>
      </c>
      <c r="D3012">
        <v>5</v>
      </c>
      <c r="E3012">
        <v>0.95099999999999996</v>
      </c>
      <c r="F3012">
        <v>1</v>
      </c>
      <c r="G3012">
        <v>2024</v>
      </c>
      <c r="H3012" t="s">
        <v>928</v>
      </c>
      <c r="I3012" t="s">
        <v>6063</v>
      </c>
      <c r="J3012" t="s">
        <v>8511</v>
      </c>
      <c r="K3012" t="s">
        <v>8512</v>
      </c>
    </row>
    <row r="3013" spans="1:11" x14ac:dyDescent="0.4">
      <c r="A3013" t="s">
        <v>5102</v>
      </c>
      <c r="B3013">
        <v>100</v>
      </c>
      <c r="C3013" t="s">
        <v>1380</v>
      </c>
      <c r="D3013">
        <v>5</v>
      </c>
      <c r="E3013">
        <v>0.95099999999999996</v>
      </c>
      <c r="F3013">
        <v>1</v>
      </c>
      <c r="G3013">
        <v>2024</v>
      </c>
      <c r="H3013" t="s">
        <v>928</v>
      </c>
      <c r="I3013" t="s">
        <v>6063</v>
      </c>
      <c r="J3013" t="s">
        <v>8513</v>
      </c>
      <c r="K3013" t="s">
        <v>9408</v>
      </c>
    </row>
    <row r="3014" spans="1:11" x14ac:dyDescent="0.4">
      <c r="A3014" t="s">
        <v>5103</v>
      </c>
      <c r="B3014">
        <v>0</v>
      </c>
      <c r="C3014" t="s">
        <v>5719</v>
      </c>
      <c r="D3014">
        <v>1</v>
      </c>
      <c r="E3014">
        <v>-1.03</v>
      </c>
      <c r="F3014">
        <v>0</v>
      </c>
      <c r="G3014">
        <v>2024</v>
      </c>
      <c r="H3014" t="s">
        <v>928</v>
      </c>
      <c r="I3014" t="s">
        <v>6063</v>
      </c>
      <c r="J3014" t="s">
        <v>8514</v>
      </c>
      <c r="K3014" t="s">
        <v>9409</v>
      </c>
    </row>
    <row r="3015" spans="1:11" x14ac:dyDescent="0.4">
      <c r="A3015" t="s">
        <v>5085</v>
      </c>
      <c r="B3015">
        <v>0</v>
      </c>
      <c r="C3015" t="s">
        <v>5719</v>
      </c>
      <c r="D3015">
        <v>1</v>
      </c>
      <c r="E3015">
        <v>-1.03</v>
      </c>
      <c r="F3015">
        <v>0</v>
      </c>
      <c r="G3015">
        <v>2024</v>
      </c>
      <c r="H3015" t="s">
        <v>928</v>
      </c>
      <c r="I3015" t="s">
        <v>6063</v>
      </c>
      <c r="J3015" t="s">
        <v>8515</v>
      </c>
      <c r="K3015" t="s">
        <v>8516</v>
      </c>
    </row>
    <row r="3016" spans="1:11" x14ac:dyDescent="0.4">
      <c r="A3016" t="s">
        <v>5093</v>
      </c>
      <c r="B3016">
        <v>100</v>
      </c>
      <c r="C3016" t="s">
        <v>1380</v>
      </c>
      <c r="D3016">
        <v>5</v>
      </c>
      <c r="E3016">
        <v>0.95099999999999996</v>
      </c>
      <c r="F3016">
        <v>1</v>
      </c>
      <c r="G3016">
        <v>2024</v>
      </c>
      <c r="H3016" t="s">
        <v>928</v>
      </c>
      <c r="I3016" t="s">
        <v>6063</v>
      </c>
      <c r="J3016" t="s">
        <v>8517</v>
      </c>
      <c r="K3016" t="s">
        <v>9410</v>
      </c>
    </row>
    <row r="3017" spans="1:11" x14ac:dyDescent="0.4">
      <c r="A3017" t="s">
        <v>5115</v>
      </c>
      <c r="B3017">
        <v>0</v>
      </c>
      <c r="C3017" t="s">
        <v>5719</v>
      </c>
      <c r="D3017">
        <v>1</v>
      </c>
      <c r="E3017">
        <v>-1.03</v>
      </c>
      <c r="F3017">
        <v>0</v>
      </c>
      <c r="G3017">
        <v>2024</v>
      </c>
      <c r="H3017" t="s">
        <v>928</v>
      </c>
      <c r="I3017" t="s">
        <v>6063</v>
      </c>
      <c r="J3017" t="s">
        <v>8518</v>
      </c>
      <c r="K3017" t="s">
        <v>9411</v>
      </c>
    </row>
    <row r="3018" spans="1:11" x14ac:dyDescent="0.4">
      <c r="A3018" t="s">
        <v>5112</v>
      </c>
      <c r="B3018">
        <v>100</v>
      </c>
      <c r="C3018" t="s">
        <v>1380</v>
      </c>
      <c r="D3018">
        <v>5</v>
      </c>
      <c r="E3018">
        <v>0.95099999999999996</v>
      </c>
      <c r="F3018">
        <v>1</v>
      </c>
      <c r="G3018">
        <v>2024</v>
      </c>
      <c r="H3018" t="s">
        <v>928</v>
      </c>
      <c r="I3018" t="s">
        <v>6063</v>
      </c>
      <c r="J3018" t="s">
        <v>8519</v>
      </c>
      <c r="K3018" t="s">
        <v>8520</v>
      </c>
    </row>
    <row r="3019" spans="1:11" x14ac:dyDescent="0.4">
      <c r="A3019" t="s">
        <v>5090</v>
      </c>
      <c r="B3019">
        <v>100</v>
      </c>
      <c r="C3019" t="s">
        <v>1380</v>
      </c>
      <c r="D3019">
        <v>5</v>
      </c>
      <c r="E3019">
        <v>0.95099999999999996</v>
      </c>
      <c r="F3019">
        <v>1</v>
      </c>
      <c r="G3019">
        <v>2024</v>
      </c>
      <c r="H3019" t="s">
        <v>928</v>
      </c>
      <c r="I3019" t="s">
        <v>6063</v>
      </c>
      <c r="J3019" t="s">
        <v>8521</v>
      </c>
      <c r="K3019" t="s">
        <v>9412</v>
      </c>
    </row>
    <row r="3020" spans="1:11" x14ac:dyDescent="0.4">
      <c r="A3020" t="s">
        <v>5096</v>
      </c>
      <c r="B3020">
        <v>0</v>
      </c>
      <c r="C3020" t="s">
        <v>5719</v>
      </c>
      <c r="D3020">
        <v>1</v>
      </c>
      <c r="E3020">
        <v>-1.03</v>
      </c>
      <c r="F3020">
        <v>0</v>
      </c>
      <c r="G3020">
        <v>2024</v>
      </c>
      <c r="H3020" t="s">
        <v>928</v>
      </c>
      <c r="I3020" t="s">
        <v>6063</v>
      </c>
      <c r="J3020" t="s">
        <v>8522</v>
      </c>
      <c r="K3020" t="s">
        <v>6023</v>
      </c>
    </row>
    <row r="3021" spans="1:11" x14ac:dyDescent="0.4">
      <c r="A3021" t="s">
        <v>5074</v>
      </c>
      <c r="B3021">
        <v>0</v>
      </c>
      <c r="C3021" t="s">
        <v>5719</v>
      </c>
      <c r="D3021">
        <v>1</v>
      </c>
      <c r="E3021">
        <v>-1.03</v>
      </c>
      <c r="F3021">
        <v>0</v>
      </c>
      <c r="G3021">
        <v>2024</v>
      </c>
      <c r="H3021" t="s">
        <v>928</v>
      </c>
      <c r="I3021" t="s">
        <v>6063</v>
      </c>
      <c r="J3021" t="s">
        <v>8523</v>
      </c>
      <c r="K3021" t="s">
        <v>9413</v>
      </c>
    </row>
    <row r="3022" spans="1:11" x14ac:dyDescent="0.4">
      <c r="A3022" t="s">
        <v>5099</v>
      </c>
      <c r="B3022">
        <v>0</v>
      </c>
      <c r="C3022" t="s">
        <v>5719</v>
      </c>
      <c r="D3022">
        <v>1</v>
      </c>
      <c r="E3022">
        <v>-1.03</v>
      </c>
      <c r="F3022">
        <v>0</v>
      </c>
      <c r="G3022">
        <v>2024</v>
      </c>
      <c r="H3022" t="s">
        <v>928</v>
      </c>
      <c r="I3022" t="s">
        <v>6063</v>
      </c>
      <c r="J3022" t="s">
        <v>8524</v>
      </c>
      <c r="K3022" t="s">
        <v>9414</v>
      </c>
    </row>
    <row r="3023" spans="1:11" x14ac:dyDescent="0.4">
      <c r="A3023" t="s">
        <v>5104</v>
      </c>
      <c r="B3023">
        <v>0</v>
      </c>
      <c r="C3023" t="s">
        <v>5719</v>
      </c>
      <c r="D3023">
        <v>1</v>
      </c>
      <c r="E3023">
        <v>-1.03</v>
      </c>
      <c r="F3023">
        <v>0</v>
      </c>
      <c r="G3023">
        <v>2024</v>
      </c>
      <c r="H3023" t="s">
        <v>928</v>
      </c>
      <c r="I3023" t="s">
        <v>6063</v>
      </c>
      <c r="J3023" t="s">
        <v>8525</v>
      </c>
      <c r="K3023" t="s">
        <v>8526</v>
      </c>
    </row>
    <row r="3024" spans="1:11" x14ac:dyDescent="0.4">
      <c r="A3024" t="s">
        <v>5101</v>
      </c>
      <c r="B3024">
        <v>100</v>
      </c>
      <c r="C3024" t="s">
        <v>1380</v>
      </c>
      <c r="D3024">
        <v>5</v>
      </c>
      <c r="E3024">
        <v>0.95099999999999996</v>
      </c>
      <c r="F3024">
        <v>1</v>
      </c>
      <c r="G3024">
        <v>2024</v>
      </c>
      <c r="H3024" t="s">
        <v>928</v>
      </c>
      <c r="I3024" t="s">
        <v>6063</v>
      </c>
      <c r="J3024" t="s">
        <v>8527</v>
      </c>
      <c r="K3024" t="s">
        <v>9415</v>
      </c>
    </row>
    <row r="3025" spans="1:11" x14ac:dyDescent="0.4">
      <c r="A3025" t="s">
        <v>5086</v>
      </c>
      <c r="B3025">
        <v>0</v>
      </c>
      <c r="C3025" t="s">
        <v>5719</v>
      </c>
      <c r="D3025">
        <v>1</v>
      </c>
      <c r="E3025">
        <v>-1.03</v>
      </c>
      <c r="F3025">
        <v>0</v>
      </c>
      <c r="G3025">
        <v>2024</v>
      </c>
      <c r="H3025" t="s">
        <v>928</v>
      </c>
      <c r="I3025" t="s">
        <v>6063</v>
      </c>
      <c r="J3025" t="s">
        <v>8528</v>
      </c>
      <c r="K3025" t="s">
        <v>9416</v>
      </c>
    </row>
    <row r="3026" spans="1:11" x14ac:dyDescent="0.4">
      <c r="A3026" t="s">
        <v>5073</v>
      </c>
      <c r="B3026">
        <v>0</v>
      </c>
      <c r="C3026" t="s">
        <v>5719</v>
      </c>
      <c r="D3026">
        <v>1</v>
      </c>
      <c r="E3026">
        <v>-1.03</v>
      </c>
      <c r="F3026">
        <v>0</v>
      </c>
      <c r="G3026">
        <v>2024</v>
      </c>
      <c r="H3026" t="s">
        <v>928</v>
      </c>
      <c r="I3026" t="s">
        <v>6063</v>
      </c>
      <c r="J3026" t="s">
        <v>8529</v>
      </c>
      <c r="K3026" t="s">
        <v>9417</v>
      </c>
    </row>
    <row r="3027" spans="1:11" x14ac:dyDescent="0.4">
      <c r="A3027" t="s">
        <v>5089</v>
      </c>
      <c r="B3027">
        <v>100</v>
      </c>
      <c r="C3027" t="s">
        <v>1380</v>
      </c>
      <c r="D3027">
        <v>5</v>
      </c>
      <c r="E3027">
        <v>0.95099999999999996</v>
      </c>
      <c r="F3027">
        <v>1</v>
      </c>
      <c r="G3027">
        <v>2024</v>
      </c>
      <c r="H3027" t="s">
        <v>928</v>
      </c>
      <c r="I3027" t="s">
        <v>6063</v>
      </c>
      <c r="J3027" t="s">
        <v>8530</v>
      </c>
      <c r="K3027" t="s">
        <v>8531</v>
      </c>
    </row>
    <row r="3028" spans="1:11" x14ac:dyDescent="0.4">
      <c r="A3028" t="s">
        <v>5091</v>
      </c>
      <c r="B3028">
        <v>100</v>
      </c>
      <c r="C3028" t="s">
        <v>1380</v>
      </c>
      <c r="D3028">
        <v>5</v>
      </c>
      <c r="E3028">
        <v>0.95099999999999996</v>
      </c>
      <c r="F3028">
        <v>1</v>
      </c>
      <c r="G3028">
        <v>2024</v>
      </c>
      <c r="H3028" t="s">
        <v>928</v>
      </c>
      <c r="I3028" t="s">
        <v>6063</v>
      </c>
      <c r="J3028" t="s">
        <v>8532</v>
      </c>
      <c r="K3028" t="s">
        <v>9418</v>
      </c>
    </row>
    <row r="3029" spans="1:11" x14ac:dyDescent="0.4">
      <c r="A3029" t="s">
        <v>5117</v>
      </c>
      <c r="B3029">
        <v>0</v>
      </c>
      <c r="C3029" t="s">
        <v>5719</v>
      </c>
      <c r="D3029">
        <v>1</v>
      </c>
      <c r="E3029">
        <v>-1.03</v>
      </c>
      <c r="F3029">
        <v>0</v>
      </c>
      <c r="G3029">
        <v>2024</v>
      </c>
      <c r="H3029" t="s">
        <v>928</v>
      </c>
      <c r="I3029" t="s">
        <v>6063</v>
      </c>
      <c r="J3029" t="s">
        <v>8533</v>
      </c>
      <c r="K3029" t="s">
        <v>9419</v>
      </c>
    </row>
    <row r="3030" spans="1:11" x14ac:dyDescent="0.4">
      <c r="A3030" t="s">
        <v>5114</v>
      </c>
      <c r="B3030">
        <v>100</v>
      </c>
      <c r="C3030" t="s">
        <v>1380</v>
      </c>
      <c r="D3030">
        <v>5</v>
      </c>
      <c r="E3030">
        <v>0.95099999999999996</v>
      </c>
      <c r="F3030">
        <v>1</v>
      </c>
      <c r="G3030">
        <v>2024</v>
      </c>
      <c r="H3030" t="s">
        <v>928</v>
      </c>
      <c r="I3030" t="s">
        <v>6063</v>
      </c>
      <c r="J3030" t="s">
        <v>8534</v>
      </c>
      <c r="K3030" t="s">
        <v>9420</v>
      </c>
    </row>
    <row r="3031" spans="1:11" x14ac:dyDescent="0.4">
      <c r="A3031" t="s">
        <v>5079</v>
      </c>
      <c r="B3031">
        <v>100</v>
      </c>
      <c r="C3031" t="s">
        <v>1380</v>
      </c>
      <c r="D3031">
        <v>5</v>
      </c>
      <c r="E3031">
        <v>0.95099999999999996</v>
      </c>
      <c r="F3031">
        <v>1</v>
      </c>
      <c r="G3031">
        <v>2024</v>
      </c>
      <c r="H3031" t="s">
        <v>928</v>
      </c>
      <c r="I3031" t="s">
        <v>6063</v>
      </c>
      <c r="J3031" t="s">
        <v>8535</v>
      </c>
      <c r="K3031" t="s">
        <v>8536</v>
      </c>
    </row>
    <row r="3032" spans="1:11" x14ac:dyDescent="0.4">
      <c r="A3032" t="s">
        <v>5092</v>
      </c>
      <c r="B3032">
        <v>0</v>
      </c>
      <c r="C3032" t="s">
        <v>5719</v>
      </c>
      <c r="D3032">
        <v>1</v>
      </c>
      <c r="E3032">
        <v>-1.03</v>
      </c>
      <c r="F3032">
        <v>0</v>
      </c>
      <c r="G3032">
        <v>2024</v>
      </c>
      <c r="H3032" t="s">
        <v>928</v>
      </c>
      <c r="I3032" t="s">
        <v>6063</v>
      </c>
      <c r="J3032" t="s">
        <v>8537</v>
      </c>
      <c r="K3032" t="s">
        <v>9421</v>
      </c>
    </row>
    <row r="3033" spans="1:11" x14ac:dyDescent="0.4">
      <c r="A3033" t="s">
        <v>5100</v>
      </c>
      <c r="B3033">
        <v>100</v>
      </c>
      <c r="C3033" t="s">
        <v>1380</v>
      </c>
      <c r="D3033">
        <v>5</v>
      </c>
      <c r="E3033">
        <v>0.95099999999999996</v>
      </c>
      <c r="F3033">
        <v>1</v>
      </c>
      <c r="G3033">
        <v>2024</v>
      </c>
      <c r="H3033" t="s">
        <v>928</v>
      </c>
      <c r="I3033" t="s">
        <v>6063</v>
      </c>
      <c r="J3033" t="s">
        <v>8538</v>
      </c>
      <c r="K3033" t="s">
        <v>9422</v>
      </c>
    </row>
    <row r="3034" spans="1:11" x14ac:dyDescent="0.4">
      <c r="A3034" t="s">
        <v>5076</v>
      </c>
      <c r="B3034">
        <v>0</v>
      </c>
      <c r="C3034" t="s">
        <v>5719</v>
      </c>
      <c r="D3034">
        <v>1</v>
      </c>
      <c r="E3034">
        <v>-1.03</v>
      </c>
      <c r="F3034">
        <v>0</v>
      </c>
      <c r="G3034">
        <v>2024</v>
      </c>
      <c r="H3034" t="s">
        <v>928</v>
      </c>
      <c r="I3034" t="s">
        <v>6063</v>
      </c>
      <c r="J3034" t="s">
        <v>8539</v>
      </c>
      <c r="K3034" t="s">
        <v>9423</v>
      </c>
    </row>
    <row r="3035" spans="1:11" x14ac:dyDescent="0.4">
      <c r="A3035" t="s">
        <v>5902</v>
      </c>
      <c r="B3035">
        <v>100</v>
      </c>
      <c r="C3035" t="s">
        <v>1380</v>
      </c>
      <c r="D3035">
        <v>5</v>
      </c>
      <c r="E3035">
        <v>0.95099999999999996</v>
      </c>
      <c r="F3035">
        <v>1</v>
      </c>
      <c r="G3035">
        <v>2024</v>
      </c>
      <c r="H3035" t="s">
        <v>928</v>
      </c>
      <c r="I3035" t="s">
        <v>6063</v>
      </c>
      <c r="J3035" t="s">
        <v>8540</v>
      </c>
      <c r="K3035" t="s">
        <v>8541</v>
      </c>
    </row>
    <row r="3036" spans="1:11" x14ac:dyDescent="0.4">
      <c r="A3036" t="s">
        <v>5107</v>
      </c>
      <c r="B3036">
        <v>100</v>
      </c>
      <c r="C3036" t="s">
        <v>1380</v>
      </c>
      <c r="D3036">
        <v>5</v>
      </c>
      <c r="E3036">
        <v>0.95099999999999996</v>
      </c>
      <c r="F3036">
        <v>1</v>
      </c>
      <c r="G3036">
        <v>2024</v>
      </c>
      <c r="H3036" t="s">
        <v>928</v>
      </c>
      <c r="I3036" t="s">
        <v>6063</v>
      </c>
      <c r="J3036" t="s">
        <v>8542</v>
      </c>
      <c r="K3036" t="s">
        <v>9424</v>
      </c>
    </row>
    <row r="3037" spans="1:11" x14ac:dyDescent="0.4">
      <c r="A3037" t="s">
        <v>5903</v>
      </c>
      <c r="B3037">
        <v>100</v>
      </c>
      <c r="C3037" t="s">
        <v>1380</v>
      </c>
      <c r="D3037">
        <v>5</v>
      </c>
      <c r="E3037">
        <v>0.95099999999999996</v>
      </c>
      <c r="F3037">
        <v>1</v>
      </c>
      <c r="G3037">
        <v>2024</v>
      </c>
      <c r="H3037" t="s">
        <v>928</v>
      </c>
      <c r="I3037" t="s">
        <v>6063</v>
      </c>
      <c r="J3037" t="s">
        <v>8543</v>
      </c>
      <c r="K3037" t="s">
        <v>9425</v>
      </c>
    </row>
    <row r="3038" spans="1:11" x14ac:dyDescent="0.4">
      <c r="A3038" t="s">
        <v>5118</v>
      </c>
      <c r="B3038">
        <v>0</v>
      </c>
      <c r="C3038" t="s">
        <v>5719</v>
      </c>
      <c r="D3038">
        <v>1</v>
      </c>
      <c r="E3038">
        <v>-1.03</v>
      </c>
      <c r="F3038">
        <v>0</v>
      </c>
      <c r="G3038">
        <v>2024</v>
      </c>
      <c r="H3038" t="s">
        <v>928</v>
      </c>
      <c r="I3038" t="s">
        <v>6063</v>
      </c>
      <c r="J3038" t="s">
        <v>8544</v>
      </c>
      <c r="K3038" t="s">
        <v>9426</v>
      </c>
    </row>
    <row r="3039" spans="1:11" x14ac:dyDescent="0.4">
      <c r="A3039" t="s">
        <v>5083</v>
      </c>
      <c r="B3039">
        <v>0</v>
      </c>
      <c r="C3039" t="s">
        <v>5719</v>
      </c>
      <c r="D3039">
        <v>1</v>
      </c>
      <c r="E3039">
        <v>-1.03</v>
      </c>
      <c r="F3039">
        <v>0</v>
      </c>
      <c r="G3039">
        <v>2024</v>
      </c>
      <c r="H3039" t="s">
        <v>928</v>
      </c>
      <c r="I3039" t="s">
        <v>6063</v>
      </c>
      <c r="J3039" t="s">
        <v>8545</v>
      </c>
      <c r="K3039" t="s">
        <v>9427</v>
      </c>
    </row>
    <row r="3040" spans="1:11" x14ac:dyDescent="0.4">
      <c r="A3040" t="s">
        <v>5088</v>
      </c>
      <c r="B3040">
        <v>100</v>
      </c>
      <c r="C3040" t="s">
        <v>1380</v>
      </c>
      <c r="D3040">
        <v>5</v>
      </c>
      <c r="E3040">
        <v>0.95099999999999996</v>
      </c>
      <c r="F3040">
        <v>1</v>
      </c>
      <c r="G3040">
        <v>2024</v>
      </c>
      <c r="H3040" t="s">
        <v>928</v>
      </c>
      <c r="I3040" t="s">
        <v>6063</v>
      </c>
      <c r="J3040" t="s">
        <v>8546</v>
      </c>
      <c r="K3040" t="s">
        <v>9428</v>
      </c>
    </row>
    <row r="3041" spans="1:11" x14ac:dyDescent="0.4">
      <c r="A3041" t="s">
        <v>5081</v>
      </c>
      <c r="B3041">
        <v>100</v>
      </c>
      <c r="C3041" t="s">
        <v>1380</v>
      </c>
      <c r="D3041">
        <v>5</v>
      </c>
      <c r="E3041">
        <v>0.95099999999999996</v>
      </c>
      <c r="F3041">
        <v>1</v>
      </c>
      <c r="G3041">
        <v>2024</v>
      </c>
      <c r="H3041" t="s">
        <v>928</v>
      </c>
      <c r="I3041" t="s">
        <v>6063</v>
      </c>
      <c r="J3041" t="s">
        <v>8547</v>
      </c>
      <c r="K3041" t="s">
        <v>9429</v>
      </c>
    </row>
    <row r="3042" spans="1:11" x14ac:dyDescent="0.4">
      <c r="A3042" t="s">
        <v>5904</v>
      </c>
      <c r="B3042">
        <v>100</v>
      </c>
      <c r="C3042" t="s">
        <v>1380</v>
      </c>
      <c r="D3042">
        <v>5</v>
      </c>
      <c r="E3042">
        <v>0.95099999999999996</v>
      </c>
      <c r="F3042">
        <v>1</v>
      </c>
      <c r="G3042">
        <v>2024</v>
      </c>
      <c r="H3042" t="s">
        <v>928</v>
      </c>
      <c r="I3042" t="s">
        <v>6063</v>
      </c>
      <c r="J3042" t="s">
        <v>8548</v>
      </c>
      <c r="K3042" t="s">
        <v>9430</v>
      </c>
    </row>
    <row r="3043" spans="1:11" x14ac:dyDescent="0.4">
      <c r="A3043" t="s">
        <v>5108</v>
      </c>
      <c r="B3043">
        <v>100</v>
      </c>
      <c r="C3043" t="s">
        <v>1380</v>
      </c>
      <c r="D3043">
        <v>5</v>
      </c>
      <c r="E3043">
        <v>0.95099999999999996</v>
      </c>
      <c r="F3043">
        <v>1</v>
      </c>
      <c r="G3043">
        <v>2024</v>
      </c>
      <c r="H3043" t="s">
        <v>928</v>
      </c>
      <c r="I3043" t="s">
        <v>6063</v>
      </c>
      <c r="J3043" t="s">
        <v>8549</v>
      </c>
      <c r="K3043" t="s">
        <v>9431</v>
      </c>
    </row>
    <row r="3044" spans="1:11" x14ac:dyDescent="0.4">
      <c r="A3044" t="s">
        <v>5109</v>
      </c>
      <c r="B3044">
        <v>0</v>
      </c>
      <c r="C3044" t="s">
        <v>5719</v>
      </c>
      <c r="D3044">
        <v>1</v>
      </c>
      <c r="E3044">
        <v>-1.03</v>
      </c>
      <c r="F3044">
        <v>0</v>
      </c>
      <c r="G3044">
        <v>2024</v>
      </c>
      <c r="H3044" t="s">
        <v>928</v>
      </c>
      <c r="I3044" t="s">
        <v>6063</v>
      </c>
      <c r="J3044" t="s">
        <v>8550</v>
      </c>
      <c r="K3044" t="s">
        <v>9432</v>
      </c>
    </row>
    <row r="3045" spans="1:11" x14ac:dyDescent="0.4">
      <c r="A3045" t="s">
        <v>5105</v>
      </c>
      <c r="B3045">
        <v>0</v>
      </c>
      <c r="C3045" t="s">
        <v>5719</v>
      </c>
      <c r="D3045">
        <v>1</v>
      </c>
      <c r="E3045">
        <v>-1.03</v>
      </c>
      <c r="F3045">
        <v>0</v>
      </c>
      <c r="G3045">
        <v>2024</v>
      </c>
      <c r="H3045" t="s">
        <v>928</v>
      </c>
      <c r="I3045" t="s">
        <v>6063</v>
      </c>
      <c r="J3045" t="s">
        <v>8551</v>
      </c>
      <c r="K3045" t="s">
        <v>9433</v>
      </c>
    </row>
    <row r="3046" spans="1:11" x14ac:dyDescent="0.4">
      <c r="A3046" t="s">
        <v>5113</v>
      </c>
      <c r="B3046">
        <v>100</v>
      </c>
      <c r="C3046" t="s">
        <v>1380</v>
      </c>
      <c r="D3046">
        <v>5</v>
      </c>
      <c r="E3046">
        <v>0.95099999999999996</v>
      </c>
      <c r="F3046">
        <v>1</v>
      </c>
      <c r="G3046">
        <v>2024</v>
      </c>
      <c r="H3046" t="s">
        <v>928</v>
      </c>
      <c r="I3046" t="s">
        <v>6063</v>
      </c>
      <c r="J3046" t="s">
        <v>8552</v>
      </c>
      <c r="K3046" t="s">
        <v>9434</v>
      </c>
    </row>
    <row r="3047" spans="1:11" x14ac:dyDescent="0.4">
      <c r="A3047" t="s">
        <v>5106</v>
      </c>
      <c r="B3047">
        <v>100</v>
      </c>
      <c r="C3047" t="s">
        <v>1380</v>
      </c>
      <c r="D3047">
        <v>5</v>
      </c>
      <c r="E3047">
        <v>0.95099999999999996</v>
      </c>
      <c r="F3047">
        <v>1</v>
      </c>
      <c r="G3047">
        <v>2024</v>
      </c>
      <c r="H3047" t="s">
        <v>928</v>
      </c>
      <c r="I3047" t="s">
        <v>6063</v>
      </c>
      <c r="J3047" t="s">
        <v>8553</v>
      </c>
      <c r="K3047" t="s">
        <v>9435</v>
      </c>
    </row>
    <row r="3048" spans="1:11" x14ac:dyDescent="0.4">
      <c r="A3048" t="s">
        <v>5078</v>
      </c>
      <c r="B3048">
        <v>0</v>
      </c>
      <c r="C3048" t="s">
        <v>5719</v>
      </c>
      <c r="D3048">
        <v>1</v>
      </c>
      <c r="E3048">
        <v>-1.03</v>
      </c>
      <c r="F3048">
        <v>0</v>
      </c>
      <c r="G3048">
        <v>2024</v>
      </c>
      <c r="H3048" t="s">
        <v>928</v>
      </c>
      <c r="I3048" t="s">
        <v>6063</v>
      </c>
      <c r="J3048" t="s">
        <v>8554</v>
      </c>
      <c r="K3048" t="s">
        <v>9436</v>
      </c>
    </row>
    <row r="3049" spans="1:11" x14ac:dyDescent="0.4">
      <c r="A3049" t="s">
        <v>5095</v>
      </c>
      <c r="B3049">
        <v>100</v>
      </c>
      <c r="C3049" t="s">
        <v>1380</v>
      </c>
      <c r="D3049">
        <v>5</v>
      </c>
      <c r="E3049">
        <v>0.95099999999999996</v>
      </c>
      <c r="F3049">
        <v>1</v>
      </c>
      <c r="G3049">
        <v>2024</v>
      </c>
      <c r="H3049" t="s">
        <v>928</v>
      </c>
      <c r="I3049" t="s">
        <v>6063</v>
      </c>
      <c r="J3049" t="s">
        <v>8555</v>
      </c>
      <c r="K3049" t="s">
        <v>9437</v>
      </c>
    </row>
    <row r="3050" spans="1:11" x14ac:dyDescent="0.4">
      <c r="A3050" t="s">
        <v>5111</v>
      </c>
      <c r="B3050">
        <v>100</v>
      </c>
      <c r="C3050" t="s">
        <v>1380</v>
      </c>
      <c r="D3050">
        <v>5</v>
      </c>
      <c r="E3050">
        <v>0.95099999999999996</v>
      </c>
      <c r="F3050">
        <v>1</v>
      </c>
      <c r="G3050">
        <v>2024</v>
      </c>
      <c r="H3050" t="s">
        <v>928</v>
      </c>
      <c r="I3050" t="s">
        <v>6063</v>
      </c>
      <c r="J3050" t="s">
        <v>8556</v>
      </c>
      <c r="K3050" t="s">
        <v>9438</v>
      </c>
    </row>
    <row r="3051" spans="1:11" x14ac:dyDescent="0.4">
      <c r="A3051" t="s">
        <v>5097</v>
      </c>
      <c r="B3051">
        <v>0</v>
      </c>
      <c r="C3051" t="s">
        <v>5719</v>
      </c>
      <c r="D3051">
        <v>1</v>
      </c>
      <c r="E3051">
        <v>-1.03</v>
      </c>
      <c r="F3051">
        <v>0</v>
      </c>
      <c r="G3051">
        <v>2024</v>
      </c>
      <c r="H3051" t="s">
        <v>928</v>
      </c>
      <c r="I3051" t="s">
        <v>6063</v>
      </c>
      <c r="J3051" t="s">
        <v>8557</v>
      </c>
      <c r="K3051" t="s">
        <v>9439</v>
      </c>
    </row>
    <row r="3052" spans="1:11" x14ac:dyDescent="0.4">
      <c r="A3052" t="s">
        <v>5119</v>
      </c>
      <c r="B3052">
        <v>52</v>
      </c>
      <c r="C3052" t="s">
        <v>197</v>
      </c>
      <c r="D3052">
        <v>3</v>
      </c>
    </row>
    <row r="3053" spans="1:11" x14ac:dyDescent="0.4">
      <c r="A3053" t="s">
        <v>5120</v>
      </c>
      <c r="B3053">
        <v>0</v>
      </c>
      <c r="C3053" t="s">
        <v>197</v>
      </c>
      <c r="D3053">
        <v>1</v>
      </c>
    </row>
    <row r="3054" spans="1:11" x14ac:dyDescent="0.4">
      <c r="A3054" t="s">
        <v>5121</v>
      </c>
      <c r="B3054">
        <v>71.400000000000006</v>
      </c>
      <c r="C3054" t="s">
        <v>197</v>
      </c>
      <c r="D3054">
        <v>4</v>
      </c>
    </row>
    <row r="3055" spans="1:11" x14ac:dyDescent="0.4">
      <c r="A3055" t="s">
        <v>5122</v>
      </c>
      <c r="B3055">
        <v>0</v>
      </c>
      <c r="C3055" t="s">
        <v>197</v>
      </c>
      <c r="D3055">
        <v>1</v>
      </c>
    </row>
    <row r="3056" spans="1:11" x14ac:dyDescent="0.4">
      <c r="A3056" t="s">
        <v>5123</v>
      </c>
      <c r="B3056">
        <v>80</v>
      </c>
      <c r="C3056" t="s">
        <v>197</v>
      </c>
      <c r="D3056">
        <v>5</v>
      </c>
    </row>
    <row r="3057" spans="1:5" x14ac:dyDescent="0.4">
      <c r="A3057" t="s">
        <v>5124</v>
      </c>
      <c r="B3057">
        <v>50</v>
      </c>
      <c r="C3057" t="s">
        <v>197</v>
      </c>
      <c r="D3057">
        <v>3</v>
      </c>
    </row>
    <row r="3058" spans="1:5" x14ac:dyDescent="0.4">
      <c r="A3058" t="s">
        <v>5125</v>
      </c>
      <c r="B3058">
        <v>57.1</v>
      </c>
      <c r="C3058" t="s">
        <v>197</v>
      </c>
      <c r="D3058">
        <v>3</v>
      </c>
    </row>
    <row r="3059" spans="1:5" x14ac:dyDescent="0.4">
      <c r="A3059" t="s">
        <v>7405</v>
      </c>
      <c r="B3059">
        <v>25</v>
      </c>
      <c r="C3059" t="s">
        <v>197</v>
      </c>
      <c r="D3059">
        <v>2</v>
      </c>
    </row>
    <row r="3060" spans="1:5" x14ac:dyDescent="0.4">
      <c r="A3060" t="s">
        <v>7406</v>
      </c>
      <c r="B3060">
        <v>54.5</v>
      </c>
      <c r="C3060" t="s">
        <v>197</v>
      </c>
      <c r="D3060">
        <v>3</v>
      </c>
    </row>
    <row r="3061" spans="1:5" x14ac:dyDescent="0.4">
      <c r="A3061" t="s">
        <v>7407</v>
      </c>
      <c r="B3061">
        <v>69.599999999999994</v>
      </c>
      <c r="C3061" t="s">
        <v>197</v>
      </c>
      <c r="D3061">
        <v>4</v>
      </c>
    </row>
    <row r="3062" spans="1:5" x14ac:dyDescent="0.4">
      <c r="A3062" t="s">
        <v>5130</v>
      </c>
      <c r="B3062">
        <v>67.599999999999994</v>
      </c>
      <c r="C3062" t="s">
        <v>5734</v>
      </c>
      <c r="D3062">
        <v>4</v>
      </c>
      <c r="E3062">
        <v>-9.5000000000000001E-2</v>
      </c>
    </row>
    <row r="3063" spans="1:5" x14ac:dyDescent="0.4">
      <c r="A3063" t="s">
        <v>5128</v>
      </c>
      <c r="B3063">
        <v>38</v>
      </c>
      <c r="C3063" t="s">
        <v>6035</v>
      </c>
      <c r="D3063">
        <v>2</v>
      </c>
      <c r="E3063">
        <v>-2.2570000000000001</v>
      </c>
    </row>
    <row r="3064" spans="1:5" x14ac:dyDescent="0.4">
      <c r="A3064" t="s">
        <v>5135</v>
      </c>
      <c r="B3064">
        <v>68.5</v>
      </c>
      <c r="C3064" t="s">
        <v>6590</v>
      </c>
      <c r="D3064">
        <v>4</v>
      </c>
      <c r="E3064">
        <v>-2.9000000000000001E-2</v>
      </c>
    </row>
    <row r="3065" spans="1:5" x14ac:dyDescent="0.4">
      <c r="A3065" t="s">
        <v>5169</v>
      </c>
      <c r="B3065">
        <v>75.900000000000006</v>
      </c>
      <c r="C3065" t="s">
        <v>5721</v>
      </c>
      <c r="D3065">
        <v>4</v>
      </c>
      <c r="E3065">
        <v>0.51100000000000001</v>
      </c>
    </row>
    <row r="3066" spans="1:5" x14ac:dyDescent="0.4">
      <c r="A3066" t="s">
        <v>5151</v>
      </c>
      <c r="B3066">
        <v>75.900000000000006</v>
      </c>
      <c r="C3066" t="s">
        <v>5721</v>
      </c>
      <c r="D3066">
        <v>4</v>
      </c>
      <c r="E3066">
        <v>0.51100000000000001</v>
      </c>
    </row>
    <row r="3067" spans="1:5" x14ac:dyDescent="0.4">
      <c r="A3067" t="s">
        <v>5163</v>
      </c>
      <c r="B3067">
        <v>74.099999999999994</v>
      </c>
      <c r="C3067" t="s">
        <v>5739</v>
      </c>
      <c r="D3067">
        <v>4</v>
      </c>
      <c r="E3067">
        <v>0.38</v>
      </c>
    </row>
    <row r="3068" spans="1:5" x14ac:dyDescent="0.4">
      <c r="A3068" t="s">
        <v>5140</v>
      </c>
      <c r="B3068">
        <v>80.599999999999994</v>
      </c>
      <c r="C3068" t="s">
        <v>6581</v>
      </c>
      <c r="D3068">
        <v>5</v>
      </c>
      <c r="E3068">
        <v>0.85499999999999998</v>
      </c>
    </row>
    <row r="3069" spans="1:5" x14ac:dyDescent="0.4">
      <c r="A3069" t="s">
        <v>5133</v>
      </c>
      <c r="B3069">
        <v>78.7</v>
      </c>
      <c r="C3069" t="s">
        <v>5696</v>
      </c>
      <c r="D3069">
        <v>4</v>
      </c>
      <c r="E3069">
        <v>0.71599999999999997</v>
      </c>
    </row>
    <row r="3070" spans="1:5" x14ac:dyDescent="0.4">
      <c r="A3070" t="s">
        <v>5147</v>
      </c>
      <c r="B3070">
        <v>66.7</v>
      </c>
      <c r="C3070" t="s">
        <v>5717</v>
      </c>
      <c r="D3070">
        <v>4</v>
      </c>
      <c r="E3070">
        <v>-0.161</v>
      </c>
    </row>
    <row r="3071" spans="1:5" x14ac:dyDescent="0.4">
      <c r="A3071" t="s">
        <v>5137</v>
      </c>
      <c r="B3071">
        <v>53.7</v>
      </c>
      <c r="C3071" t="s">
        <v>5715</v>
      </c>
      <c r="D3071">
        <v>3</v>
      </c>
      <c r="E3071">
        <v>-1.1100000000000001</v>
      </c>
    </row>
    <row r="3072" spans="1:5" x14ac:dyDescent="0.4">
      <c r="A3072" t="s">
        <v>5999</v>
      </c>
      <c r="B3072">
        <v>55.6</v>
      </c>
      <c r="C3072" t="s">
        <v>5741</v>
      </c>
      <c r="D3072">
        <v>3</v>
      </c>
      <c r="E3072">
        <v>-0.97199999999999998</v>
      </c>
    </row>
    <row r="3073" spans="1:5" x14ac:dyDescent="0.4">
      <c r="A3073" t="s">
        <v>5155</v>
      </c>
      <c r="B3073">
        <v>77.8</v>
      </c>
      <c r="C3073" t="s">
        <v>6045</v>
      </c>
      <c r="D3073">
        <v>4</v>
      </c>
      <c r="E3073">
        <v>0.65</v>
      </c>
    </row>
    <row r="3074" spans="1:5" x14ac:dyDescent="0.4">
      <c r="A3074" t="s">
        <v>5156</v>
      </c>
      <c r="B3074">
        <v>46.3</v>
      </c>
      <c r="C3074" t="s">
        <v>6037</v>
      </c>
      <c r="D3074">
        <v>3</v>
      </c>
      <c r="E3074">
        <v>-1.651</v>
      </c>
    </row>
    <row r="3075" spans="1:5" x14ac:dyDescent="0.4">
      <c r="A3075" t="s">
        <v>5138</v>
      </c>
      <c r="B3075">
        <v>81.5</v>
      </c>
      <c r="C3075" t="s">
        <v>6593</v>
      </c>
      <c r="D3075">
        <v>5</v>
      </c>
      <c r="E3075">
        <v>0.92</v>
      </c>
    </row>
    <row r="3076" spans="1:5" x14ac:dyDescent="0.4">
      <c r="A3076" t="s">
        <v>5146</v>
      </c>
      <c r="B3076">
        <v>74.099999999999994</v>
      </c>
      <c r="C3076" t="s">
        <v>5739</v>
      </c>
      <c r="D3076">
        <v>4</v>
      </c>
      <c r="E3076">
        <v>0.38</v>
      </c>
    </row>
    <row r="3077" spans="1:5" x14ac:dyDescent="0.4">
      <c r="A3077" t="s">
        <v>5168</v>
      </c>
      <c r="B3077">
        <v>80.599999999999994</v>
      </c>
      <c r="C3077" t="s">
        <v>6581</v>
      </c>
      <c r="D3077">
        <v>5</v>
      </c>
      <c r="E3077">
        <v>0.85499999999999998</v>
      </c>
    </row>
    <row r="3078" spans="1:5" x14ac:dyDescent="0.4">
      <c r="A3078" t="s">
        <v>5165</v>
      </c>
      <c r="B3078">
        <v>90.7</v>
      </c>
      <c r="C3078" t="s">
        <v>2478</v>
      </c>
      <c r="D3078">
        <v>5</v>
      </c>
      <c r="E3078">
        <v>1.5920000000000001</v>
      </c>
    </row>
    <row r="3079" spans="1:5" x14ac:dyDescent="0.4">
      <c r="A3079" t="s">
        <v>5143</v>
      </c>
      <c r="B3079">
        <v>53.7</v>
      </c>
      <c r="C3079" t="s">
        <v>5715</v>
      </c>
      <c r="D3079">
        <v>3</v>
      </c>
      <c r="E3079">
        <v>-1.1100000000000001</v>
      </c>
    </row>
    <row r="3080" spans="1:5" x14ac:dyDescent="0.4">
      <c r="A3080" t="s">
        <v>5149</v>
      </c>
      <c r="B3080">
        <v>83.3</v>
      </c>
      <c r="C3080" t="s">
        <v>2476</v>
      </c>
      <c r="D3080">
        <v>5</v>
      </c>
      <c r="E3080">
        <v>1.052</v>
      </c>
    </row>
    <row r="3081" spans="1:5" x14ac:dyDescent="0.4">
      <c r="A3081" t="s">
        <v>5127</v>
      </c>
      <c r="B3081">
        <v>53.7</v>
      </c>
      <c r="C3081" t="s">
        <v>5715</v>
      </c>
      <c r="D3081">
        <v>3</v>
      </c>
      <c r="E3081">
        <v>-1.1100000000000001</v>
      </c>
    </row>
    <row r="3082" spans="1:5" x14ac:dyDescent="0.4">
      <c r="A3082" t="s">
        <v>5152</v>
      </c>
      <c r="B3082">
        <v>55.6</v>
      </c>
      <c r="C3082" t="s">
        <v>5741</v>
      </c>
      <c r="D3082">
        <v>3</v>
      </c>
      <c r="E3082">
        <v>-0.97199999999999998</v>
      </c>
    </row>
    <row r="3083" spans="1:5" x14ac:dyDescent="0.4">
      <c r="A3083" t="s">
        <v>5157</v>
      </c>
      <c r="B3083">
        <v>37</v>
      </c>
      <c r="C3083" t="s">
        <v>6033</v>
      </c>
      <c r="D3083">
        <v>2</v>
      </c>
      <c r="E3083">
        <v>-2.33</v>
      </c>
    </row>
    <row r="3084" spans="1:5" x14ac:dyDescent="0.4">
      <c r="A3084" t="s">
        <v>5154</v>
      </c>
      <c r="B3084">
        <v>75.900000000000006</v>
      </c>
      <c r="C3084" t="s">
        <v>5721</v>
      </c>
      <c r="D3084">
        <v>4</v>
      </c>
      <c r="E3084">
        <v>0.51100000000000001</v>
      </c>
    </row>
    <row r="3085" spans="1:5" x14ac:dyDescent="0.4">
      <c r="A3085" t="s">
        <v>5139</v>
      </c>
      <c r="B3085">
        <v>50</v>
      </c>
      <c r="C3085" t="s">
        <v>5710</v>
      </c>
      <c r="D3085">
        <v>3</v>
      </c>
      <c r="E3085">
        <v>-1.381</v>
      </c>
    </row>
    <row r="3086" spans="1:5" x14ac:dyDescent="0.4">
      <c r="A3086" t="s">
        <v>5126</v>
      </c>
      <c r="B3086">
        <v>61.1</v>
      </c>
      <c r="C3086" t="s">
        <v>5694</v>
      </c>
      <c r="D3086">
        <v>4</v>
      </c>
      <c r="E3086">
        <v>-0.56999999999999995</v>
      </c>
    </row>
    <row r="3087" spans="1:5" x14ac:dyDescent="0.4">
      <c r="A3087" t="s">
        <v>5142</v>
      </c>
      <c r="B3087">
        <v>96.3</v>
      </c>
      <c r="C3087" t="s">
        <v>2479</v>
      </c>
      <c r="D3087">
        <v>5</v>
      </c>
      <c r="E3087">
        <v>2.0019999999999998</v>
      </c>
    </row>
    <row r="3088" spans="1:5" x14ac:dyDescent="0.4">
      <c r="A3088" t="s">
        <v>5144</v>
      </c>
      <c r="B3088">
        <v>81.5</v>
      </c>
      <c r="C3088" t="s">
        <v>6593</v>
      </c>
      <c r="D3088">
        <v>5</v>
      </c>
      <c r="E3088">
        <v>0.92</v>
      </c>
    </row>
    <row r="3089" spans="1:5" x14ac:dyDescent="0.4">
      <c r="A3089" t="s">
        <v>5170</v>
      </c>
      <c r="B3089">
        <v>50.9</v>
      </c>
      <c r="C3089" t="s">
        <v>6607</v>
      </c>
      <c r="D3089">
        <v>3</v>
      </c>
      <c r="E3089">
        <v>-1.3149999999999999</v>
      </c>
    </row>
    <row r="3090" spans="1:5" x14ac:dyDescent="0.4">
      <c r="A3090" t="s">
        <v>5167</v>
      </c>
      <c r="B3090">
        <v>73.099999999999994</v>
      </c>
      <c r="C3090" t="s">
        <v>5700</v>
      </c>
      <c r="D3090">
        <v>4</v>
      </c>
      <c r="E3090">
        <v>0.307</v>
      </c>
    </row>
    <row r="3091" spans="1:5" x14ac:dyDescent="0.4">
      <c r="A3091" t="s">
        <v>5132</v>
      </c>
      <c r="B3091">
        <v>63.9</v>
      </c>
      <c r="C3091" t="s">
        <v>5702</v>
      </c>
      <c r="D3091">
        <v>4</v>
      </c>
      <c r="E3091">
        <v>-0.36499999999999999</v>
      </c>
    </row>
    <row r="3092" spans="1:5" x14ac:dyDescent="0.4">
      <c r="A3092" t="s">
        <v>5145</v>
      </c>
      <c r="B3092">
        <v>74.099999999999994</v>
      </c>
      <c r="C3092" t="s">
        <v>5739</v>
      </c>
      <c r="D3092">
        <v>4</v>
      </c>
      <c r="E3092">
        <v>0.38</v>
      </c>
    </row>
    <row r="3093" spans="1:5" x14ac:dyDescent="0.4">
      <c r="A3093" t="s">
        <v>5153</v>
      </c>
      <c r="B3093">
        <v>79.599999999999994</v>
      </c>
      <c r="C3093" t="s">
        <v>2485</v>
      </c>
      <c r="D3093">
        <v>4</v>
      </c>
      <c r="E3093">
        <v>0.78200000000000003</v>
      </c>
    </row>
    <row r="3094" spans="1:5" x14ac:dyDescent="0.4">
      <c r="A3094" t="s">
        <v>5129</v>
      </c>
      <c r="B3094">
        <v>79.599999999999994</v>
      </c>
      <c r="C3094" t="s">
        <v>2485</v>
      </c>
      <c r="D3094">
        <v>4</v>
      </c>
      <c r="E3094">
        <v>0.78200000000000003</v>
      </c>
    </row>
    <row r="3095" spans="1:5" x14ac:dyDescent="0.4">
      <c r="A3095" t="s">
        <v>5905</v>
      </c>
      <c r="B3095">
        <v>87</v>
      </c>
      <c r="C3095" t="s">
        <v>2477</v>
      </c>
      <c r="D3095">
        <v>5</v>
      </c>
      <c r="E3095">
        <v>1.3220000000000001</v>
      </c>
    </row>
    <row r="3096" spans="1:5" x14ac:dyDescent="0.4">
      <c r="A3096" t="s">
        <v>5160</v>
      </c>
      <c r="B3096">
        <v>68.5</v>
      </c>
      <c r="C3096" t="s">
        <v>6590</v>
      </c>
      <c r="D3096">
        <v>4</v>
      </c>
      <c r="E3096">
        <v>-2.9000000000000001E-2</v>
      </c>
    </row>
    <row r="3097" spans="1:5" x14ac:dyDescent="0.4">
      <c r="A3097" t="s">
        <v>5906</v>
      </c>
      <c r="B3097">
        <v>69.400000000000006</v>
      </c>
      <c r="C3097" t="s">
        <v>5725</v>
      </c>
      <c r="D3097">
        <v>4</v>
      </c>
      <c r="E3097">
        <v>3.6999999999999998E-2</v>
      </c>
    </row>
    <row r="3098" spans="1:5" x14ac:dyDescent="0.4">
      <c r="A3098" t="s">
        <v>5171</v>
      </c>
      <c r="B3098">
        <v>50.9</v>
      </c>
      <c r="C3098" t="s">
        <v>6607</v>
      </c>
      <c r="D3098">
        <v>3</v>
      </c>
      <c r="E3098">
        <v>-1.3149999999999999</v>
      </c>
    </row>
    <row r="3099" spans="1:5" x14ac:dyDescent="0.4">
      <c r="A3099" t="s">
        <v>5136</v>
      </c>
      <c r="B3099">
        <v>56.5</v>
      </c>
      <c r="C3099" t="s">
        <v>5709</v>
      </c>
      <c r="D3099">
        <v>3</v>
      </c>
      <c r="E3099">
        <v>-0.90600000000000003</v>
      </c>
    </row>
    <row r="3100" spans="1:5" x14ac:dyDescent="0.4">
      <c r="A3100" t="s">
        <v>5141</v>
      </c>
      <c r="B3100">
        <v>66.7</v>
      </c>
      <c r="C3100" t="s">
        <v>5717</v>
      </c>
      <c r="D3100">
        <v>4</v>
      </c>
      <c r="E3100">
        <v>-0.161</v>
      </c>
    </row>
    <row r="3101" spans="1:5" x14ac:dyDescent="0.4">
      <c r="A3101" t="s">
        <v>5134</v>
      </c>
      <c r="B3101">
        <v>79.599999999999994</v>
      </c>
      <c r="C3101" t="s">
        <v>2485</v>
      </c>
      <c r="D3101">
        <v>4</v>
      </c>
      <c r="E3101">
        <v>0.78200000000000003</v>
      </c>
    </row>
    <row r="3102" spans="1:5" x14ac:dyDescent="0.4">
      <c r="A3102" t="s">
        <v>5907</v>
      </c>
      <c r="B3102">
        <v>72.2</v>
      </c>
      <c r="C3102" t="s">
        <v>5703</v>
      </c>
      <c r="D3102">
        <v>4</v>
      </c>
      <c r="E3102">
        <v>0.24099999999999999</v>
      </c>
    </row>
    <row r="3103" spans="1:5" x14ac:dyDescent="0.4">
      <c r="A3103" t="s">
        <v>5161</v>
      </c>
      <c r="B3103">
        <v>75.900000000000006</v>
      </c>
      <c r="C3103" t="s">
        <v>5721</v>
      </c>
      <c r="D3103">
        <v>4</v>
      </c>
      <c r="E3103">
        <v>0.51100000000000001</v>
      </c>
    </row>
    <row r="3104" spans="1:5" x14ac:dyDescent="0.4">
      <c r="A3104" t="s">
        <v>5162</v>
      </c>
      <c r="B3104">
        <v>77.8</v>
      </c>
      <c r="C3104" t="s">
        <v>6045</v>
      </c>
      <c r="D3104">
        <v>4</v>
      </c>
      <c r="E3104">
        <v>0.65</v>
      </c>
    </row>
    <row r="3105" spans="1:5" x14ac:dyDescent="0.4">
      <c r="A3105" t="s">
        <v>5158</v>
      </c>
      <c r="B3105">
        <v>75.900000000000006</v>
      </c>
      <c r="C3105" t="s">
        <v>5721</v>
      </c>
      <c r="D3105">
        <v>4</v>
      </c>
      <c r="E3105">
        <v>0.51100000000000001</v>
      </c>
    </row>
    <row r="3106" spans="1:5" x14ac:dyDescent="0.4">
      <c r="A3106" t="s">
        <v>5166</v>
      </c>
      <c r="B3106">
        <v>69.400000000000006</v>
      </c>
      <c r="C3106" t="s">
        <v>5725</v>
      </c>
      <c r="D3106">
        <v>4</v>
      </c>
      <c r="E3106">
        <v>3.6999999999999998E-2</v>
      </c>
    </row>
    <row r="3107" spans="1:5" x14ac:dyDescent="0.4">
      <c r="A3107" t="s">
        <v>5159</v>
      </c>
      <c r="B3107">
        <v>74.099999999999994</v>
      </c>
      <c r="C3107" t="s">
        <v>5739</v>
      </c>
      <c r="D3107">
        <v>4</v>
      </c>
      <c r="E3107">
        <v>0.38</v>
      </c>
    </row>
    <row r="3108" spans="1:5" x14ac:dyDescent="0.4">
      <c r="A3108" t="s">
        <v>5131</v>
      </c>
      <c r="B3108">
        <v>85.2</v>
      </c>
      <c r="C3108" t="s">
        <v>2475</v>
      </c>
      <c r="D3108">
        <v>5</v>
      </c>
      <c r="E3108">
        <v>1.1910000000000001</v>
      </c>
    </row>
    <row r="3109" spans="1:5" x14ac:dyDescent="0.4">
      <c r="A3109" t="s">
        <v>5148</v>
      </c>
      <c r="B3109">
        <v>70.400000000000006</v>
      </c>
      <c r="C3109" t="s">
        <v>5706</v>
      </c>
      <c r="D3109">
        <v>4</v>
      </c>
      <c r="E3109">
        <v>0.11</v>
      </c>
    </row>
    <row r="3110" spans="1:5" x14ac:dyDescent="0.4">
      <c r="A3110" t="s">
        <v>5164</v>
      </c>
      <c r="B3110">
        <v>68.5</v>
      </c>
      <c r="C3110" t="s">
        <v>6590</v>
      </c>
      <c r="D3110">
        <v>4</v>
      </c>
      <c r="E3110">
        <v>-2.9000000000000001E-2</v>
      </c>
    </row>
    <row r="3111" spans="1:5" x14ac:dyDescent="0.4">
      <c r="A3111" t="s">
        <v>5150</v>
      </c>
      <c r="B3111">
        <v>40.700000000000003</v>
      </c>
      <c r="C3111" t="s">
        <v>6036</v>
      </c>
      <c r="D3111">
        <v>3</v>
      </c>
      <c r="E3111">
        <v>-2.06</v>
      </c>
    </row>
    <row r="3112" spans="1:5" x14ac:dyDescent="0.4">
      <c r="A3112" t="s">
        <v>5172</v>
      </c>
      <c r="B3112">
        <v>68.900000000000006</v>
      </c>
      <c r="C3112" t="s">
        <v>197</v>
      </c>
      <c r="D3112">
        <v>4</v>
      </c>
    </row>
    <row r="3113" spans="1:5" x14ac:dyDescent="0.4">
      <c r="A3113" t="s">
        <v>5173</v>
      </c>
      <c r="B3113">
        <v>60</v>
      </c>
      <c r="C3113" t="s">
        <v>197</v>
      </c>
      <c r="D3113">
        <v>4</v>
      </c>
    </row>
    <row r="3114" spans="1:5" x14ac:dyDescent="0.4">
      <c r="A3114" t="s">
        <v>5174</v>
      </c>
      <c r="B3114">
        <v>76.400000000000006</v>
      </c>
      <c r="C3114" t="s">
        <v>197</v>
      </c>
      <c r="D3114">
        <v>4</v>
      </c>
    </row>
    <row r="3115" spans="1:5" x14ac:dyDescent="0.4">
      <c r="A3115" t="s">
        <v>5175</v>
      </c>
      <c r="B3115">
        <v>60.4</v>
      </c>
      <c r="C3115" t="s">
        <v>197</v>
      </c>
      <c r="D3115">
        <v>4</v>
      </c>
    </row>
    <row r="3116" spans="1:5" x14ac:dyDescent="0.4">
      <c r="A3116" t="s">
        <v>5176</v>
      </c>
      <c r="B3116">
        <v>73.400000000000006</v>
      </c>
      <c r="C3116" t="s">
        <v>197</v>
      </c>
      <c r="D3116">
        <v>4</v>
      </c>
    </row>
    <row r="3117" spans="1:5" x14ac:dyDescent="0.4">
      <c r="A3117" t="s">
        <v>5177</v>
      </c>
      <c r="B3117">
        <v>62.8</v>
      </c>
      <c r="C3117" t="s">
        <v>197</v>
      </c>
      <c r="D3117">
        <v>4</v>
      </c>
    </row>
    <row r="3118" spans="1:5" x14ac:dyDescent="0.4">
      <c r="A3118" t="s">
        <v>5178</v>
      </c>
      <c r="B3118">
        <v>71.900000000000006</v>
      </c>
      <c r="C3118" t="s">
        <v>197</v>
      </c>
      <c r="D3118">
        <v>4</v>
      </c>
    </row>
    <row r="3119" spans="1:5" x14ac:dyDescent="0.4">
      <c r="A3119" t="s">
        <v>7408</v>
      </c>
      <c r="B3119">
        <v>59.4</v>
      </c>
      <c r="C3119" t="s">
        <v>197</v>
      </c>
      <c r="D3119">
        <v>3</v>
      </c>
    </row>
    <row r="3120" spans="1:5" x14ac:dyDescent="0.4">
      <c r="A3120" t="s">
        <v>7409</v>
      </c>
      <c r="B3120">
        <v>70.5</v>
      </c>
      <c r="C3120" t="s">
        <v>197</v>
      </c>
      <c r="D3120">
        <v>4</v>
      </c>
    </row>
    <row r="3121" spans="1:11" x14ac:dyDescent="0.4">
      <c r="A3121" t="s">
        <v>7410</v>
      </c>
      <c r="B3121">
        <v>74.7</v>
      </c>
      <c r="C3121" t="s">
        <v>197</v>
      </c>
      <c r="D3121">
        <v>4</v>
      </c>
    </row>
    <row r="3122" spans="1:11" x14ac:dyDescent="0.4">
      <c r="A3122" t="s">
        <v>5183</v>
      </c>
      <c r="B3122">
        <v>100</v>
      </c>
      <c r="C3122" t="s">
        <v>1380</v>
      </c>
      <c r="D3122">
        <v>5</v>
      </c>
      <c r="E3122">
        <v>0.95099999999999996</v>
      </c>
      <c r="F3122">
        <v>1</v>
      </c>
      <c r="G3122">
        <v>2024</v>
      </c>
      <c r="H3122" t="s">
        <v>928</v>
      </c>
      <c r="I3122" t="s">
        <v>6063</v>
      </c>
      <c r="J3122" t="s">
        <v>8558</v>
      </c>
      <c r="K3122" t="s">
        <v>9440</v>
      </c>
    </row>
    <row r="3123" spans="1:11" x14ac:dyDescent="0.4">
      <c r="A3123" t="s">
        <v>5181</v>
      </c>
      <c r="B3123">
        <v>0</v>
      </c>
      <c r="C3123" t="s">
        <v>5719</v>
      </c>
      <c r="D3123">
        <v>1</v>
      </c>
      <c r="E3123">
        <v>-1.03</v>
      </c>
      <c r="F3123">
        <v>0</v>
      </c>
      <c r="G3123">
        <v>2024</v>
      </c>
      <c r="H3123" t="s">
        <v>928</v>
      </c>
      <c r="I3123" t="s">
        <v>6063</v>
      </c>
      <c r="J3123" t="s">
        <v>8559</v>
      </c>
      <c r="K3123" t="s">
        <v>9441</v>
      </c>
    </row>
    <row r="3124" spans="1:11" x14ac:dyDescent="0.4">
      <c r="A3124" t="s">
        <v>5188</v>
      </c>
      <c r="B3124">
        <v>100</v>
      </c>
      <c r="C3124" t="s">
        <v>1380</v>
      </c>
      <c r="D3124">
        <v>5</v>
      </c>
      <c r="E3124">
        <v>0.95099999999999996</v>
      </c>
      <c r="F3124">
        <v>1</v>
      </c>
      <c r="G3124">
        <v>2024</v>
      </c>
      <c r="H3124" t="s">
        <v>928</v>
      </c>
      <c r="I3124" t="s">
        <v>6063</v>
      </c>
      <c r="J3124" t="s">
        <v>8560</v>
      </c>
      <c r="K3124" t="s">
        <v>9442</v>
      </c>
    </row>
    <row r="3125" spans="1:11" x14ac:dyDescent="0.4">
      <c r="A3125" t="s">
        <v>5222</v>
      </c>
      <c r="B3125">
        <v>0</v>
      </c>
      <c r="C3125" t="s">
        <v>5719</v>
      </c>
      <c r="D3125">
        <v>1</v>
      </c>
      <c r="E3125">
        <v>-1.03</v>
      </c>
      <c r="F3125">
        <v>0</v>
      </c>
      <c r="G3125">
        <v>2024</v>
      </c>
      <c r="H3125" t="s">
        <v>928</v>
      </c>
      <c r="I3125" t="s">
        <v>6063</v>
      </c>
      <c r="J3125" t="s">
        <v>6599</v>
      </c>
      <c r="K3125" t="s">
        <v>8561</v>
      </c>
    </row>
    <row r="3126" spans="1:11" x14ac:dyDescent="0.4">
      <c r="A3126" t="s">
        <v>5204</v>
      </c>
      <c r="B3126">
        <v>0</v>
      </c>
      <c r="C3126" t="s">
        <v>5719</v>
      </c>
      <c r="D3126">
        <v>1</v>
      </c>
      <c r="E3126">
        <v>-1.03</v>
      </c>
      <c r="F3126">
        <v>0</v>
      </c>
      <c r="G3126">
        <v>2024</v>
      </c>
      <c r="H3126" t="s">
        <v>928</v>
      </c>
      <c r="I3126" t="s">
        <v>6063</v>
      </c>
      <c r="J3126" t="s">
        <v>8562</v>
      </c>
      <c r="K3126" t="s">
        <v>9443</v>
      </c>
    </row>
    <row r="3127" spans="1:11" x14ac:dyDescent="0.4">
      <c r="A3127" t="s">
        <v>5216</v>
      </c>
      <c r="B3127">
        <v>100</v>
      </c>
      <c r="C3127" t="s">
        <v>1380</v>
      </c>
      <c r="D3127">
        <v>5</v>
      </c>
      <c r="E3127">
        <v>0.95099999999999996</v>
      </c>
      <c r="F3127">
        <v>1</v>
      </c>
      <c r="G3127">
        <v>2024</v>
      </c>
      <c r="H3127" t="s">
        <v>928</v>
      </c>
      <c r="I3127" t="s">
        <v>6063</v>
      </c>
      <c r="J3127" t="s">
        <v>8563</v>
      </c>
      <c r="K3127" t="s">
        <v>9444</v>
      </c>
    </row>
    <row r="3128" spans="1:11" x14ac:dyDescent="0.4">
      <c r="A3128" t="s">
        <v>5193</v>
      </c>
      <c r="B3128">
        <v>100</v>
      </c>
      <c r="C3128" t="s">
        <v>1380</v>
      </c>
      <c r="D3128">
        <v>5</v>
      </c>
      <c r="E3128">
        <v>0.95099999999999996</v>
      </c>
      <c r="F3128">
        <v>1</v>
      </c>
      <c r="G3128">
        <v>2024</v>
      </c>
      <c r="H3128" t="s">
        <v>928</v>
      </c>
      <c r="I3128" t="s">
        <v>6063</v>
      </c>
      <c r="J3128" t="s">
        <v>8564</v>
      </c>
      <c r="K3128" t="s">
        <v>9445</v>
      </c>
    </row>
    <row r="3129" spans="1:11" x14ac:dyDescent="0.4">
      <c r="A3129" t="s">
        <v>5186</v>
      </c>
      <c r="B3129">
        <v>100</v>
      </c>
      <c r="C3129" t="s">
        <v>1380</v>
      </c>
      <c r="D3129">
        <v>5</v>
      </c>
      <c r="E3129">
        <v>0.95099999999999996</v>
      </c>
      <c r="F3129">
        <v>1</v>
      </c>
      <c r="G3129">
        <v>2024</v>
      </c>
      <c r="H3129" t="s">
        <v>928</v>
      </c>
      <c r="I3129" t="s">
        <v>6063</v>
      </c>
      <c r="J3129" t="s">
        <v>8565</v>
      </c>
      <c r="K3129" t="s">
        <v>8566</v>
      </c>
    </row>
    <row r="3130" spans="1:11" x14ac:dyDescent="0.4">
      <c r="A3130" t="s">
        <v>5200</v>
      </c>
      <c r="B3130">
        <v>0</v>
      </c>
      <c r="C3130" t="s">
        <v>5719</v>
      </c>
      <c r="D3130">
        <v>1</v>
      </c>
      <c r="E3130">
        <v>-1.03</v>
      </c>
      <c r="F3130">
        <v>0</v>
      </c>
      <c r="G3130">
        <v>2024</v>
      </c>
      <c r="H3130" t="s">
        <v>928</v>
      </c>
      <c r="I3130" t="s">
        <v>6063</v>
      </c>
      <c r="J3130" t="s">
        <v>8567</v>
      </c>
      <c r="K3130" t="s">
        <v>9446</v>
      </c>
    </row>
    <row r="3131" spans="1:11" x14ac:dyDescent="0.4">
      <c r="A3131" t="s">
        <v>5190</v>
      </c>
      <c r="B3131">
        <v>0</v>
      </c>
      <c r="C3131" t="s">
        <v>5719</v>
      </c>
      <c r="D3131">
        <v>1</v>
      </c>
      <c r="E3131">
        <v>-1.03</v>
      </c>
      <c r="F3131">
        <v>0</v>
      </c>
      <c r="G3131">
        <v>2024</v>
      </c>
      <c r="H3131" t="s">
        <v>928</v>
      </c>
      <c r="I3131" t="s">
        <v>6063</v>
      </c>
      <c r="J3131" t="s">
        <v>8568</v>
      </c>
      <c r="K3131" t="s">
        <v>9447</v>
      </c>
    </row>
    <row r="3132" spans="1:11" x14ac:dyDescent="0.4">
      <c r="A3132" t="s">
        <v>6000</v>
      </c>
      <c r="B3132">
        <v>0</v>
      </c>
      <c r="C3132" t="s">
        <v>5719</v>
      </c>
      <c r="D3132">
        <v>1</v>
      </c>
      <c r="E3132">
        <v>-1.03</v>
      </c>
      <c r="F3132">
        <v>0</v>
      </c>
      <c r="G3132">
        <v>2024</v>
      </c>
      <c r="H3132" t="s">
        <v>928</v>
      </c>
      <c r="I3132" t="s">
        <v>6063</v>
      </c>
      <c r="J3132" t="s">
        <v>8569</v>
      </c>
      <c r="K3132" t="s">
        <v>9448</v>
      </c>
    </row>
    <row r="3133" spans="1:11" x14ac:dyDescent="0.4">
      <c r="A3133" t="s">
        <v>5208</v>
      </c>
      <c r="B3133">
        <v>0</v>
      </c>
      <c r="C3133" t="s">
        <v>5719</v>
      </c>
      <c r="D3133">
        <v>1</v>
      </c>
      <c r="E3133">
        <v>-1.03</v>
      </c>
      <c r="F3133">
        <v>0</v>
      </c>
      <c r="G3133">
        <v>2024</v>
      </c>
      <c r="H3133" t="s">
        <v>928</v>
      </c>
      <c r="I3133" t="s">
        <v>6063</v>
      </c>
      <c r="J3133" t="s">
        <v>8570</v>
      </c>
      <c r="K3133" t="s">
        <v>8571</v>
      </c>
    </row>
    <row r="3134" spans="1:11" x14ac:dyDescent="0.4">
      <c r="A3134" t="s">
        <v>5209</v>
      </c>
      <c r="B3134">
        <v>0</v>
      </c>
      <c r="C3134" t="s">
        <v>5719</v>
      </c>
      <c r="D3134">
        <v>1</v>
      </c>
      <c r="E3134">
        <v>-1.03</v>
      </c>
      <c r="F3134">
        <v>0</v>
      </c>
      <c r="G3134">
        <v>2024</v>
      </c>
      <c r="H3134" t="s">
        <v>928</v>
      </c>
      <c r="I3134" t="s">
        <v>6063</v>
      </c>
      <c r="J3134" t="s">
        <v>8572</v>
      </c>
      <c r="K3134" t="s">
        <v>8573</v>
      </c>
    </row>
    <row r="3135" spans="1:11" x14ac:dyDescent="0.4">
      <c r="A3135" t="s">
        <v>5191</v>
      </c>
      <c r="B3135">
        <v>100</v>
      </c>
      <c r="C3135" t="s">
        <v>1380</v>
      </c>
      <c r="D3135">
        <v>5</v>
      </c>
      <c r="E3135">
        <v>0.95099999999999996</v>
      </c>
      <c r="F3135">
        <v>1</v>
      </c>
      <c r="G3135">
        <v>2024</v>
      </c>
      <c r="H3135" t="s">
        <v>928</v>
      </c>
      <c r="I3135" t="s">
        <v>6063</v>
      </c>
      <c r="J3135" t="s">
        <v>8574</v>
      </c>
      <c r="K3135" t="s">
        <v>9449</v>
      </c>
    </row>
    <row r="3136" spans="1:11" x14ac:dyDescent="0.4">
      <c r="A3136" t="s">
        <v>5199</v>
      </c>
      <c r="B3136">
        <v>0</v>
      </c>
      <c r="C3136" t="s">
        <v>5719</v>
      </c>
      <c r="D3136">
        <v>1</v>
      </c>
      <c r="E3136">
        <v>-1.03</v>
      </c>
      <c r="F3136">
        <v>0</v>
      </c>
      <c r="G3136">
        <v>2024</v>
      </c>
      <c r="H3136" t="s">
        <v>928</v>
      </c>
      <c r="I3136" t="s">
        <v>6063</v>
      </c>
      <c r="J3136" t="s">
        <v>8575</v>
      </c>
      <c r="K3136" t="s">
        <v>9450</v>
      </c>
    </row>
    <row r="3137" spans="1:11" x14ac:dyDescent="0.4">
      <c r="A3137" t="s">
        <v>5221</v>
      </c>
      <c r="B3137">
        <v>100</v>
      </c>
      <c r="C3137" t="s">
        <v>1380</v>
      </c>
      <c r="D3137">
        <v>5</v>
      </c>
      <c r="E3137">
        <v>0.95099999999999996</v>
      </c>
      <c r="F3137">
        <v>1</v>
      </c>
      <c r="G3137">
        <v>2024</v>
      </c>
      <c r="H3137" t="s">
        <v>928</v>
      </c>
      <c r="I3137" t="s">
        <v>6063</v>
      </c>
      <c r="J3137" t="s">
        <v>8576</v>
      </c>
      <c r="K3137" t="s">
        <v>8577</v>
      </c>
    </row>
    <row r="3138" spans="1:11" x14ac:dyDescent="0.4">
      <c r="A3138" t="s">
        <v>5218</v>
      </c>
      <c r="B3138">
        <v>100</v>
      </c>
      <c r="C3138" t="s">
        <v>1380</v>
      </c>
      <c r="D3138">
        <v>5</v>
      </c>
      <c r="E3138">
        <v>0.95099999999999996</v>
      </c>
      <c r="F3138">
        <v>1</v>
      </c>
      <c r="G3138">
        <v>2024</v>
      </c>
      <c r="H3138" t="s">
        <v>928</v>
      </c>
      <c r="I3138" t="s">
        <v>6063</v>
      </c>
      <c r="J3138" t="s">
        <v>8578</v>
      </c>
      <c r="K3138" t="s">
        <v>8579</v>
      </c>
    </row>
    <row r="3139" spans="1:11" x14ac:dyDescent="0.4">
      <c r="A3139" t="s">
        <v>5196</v>
      </c>
      <c r="B3139">
        <v>0</v>
      </c>
      <c r="C3139" t="s">
        <v>5719</v>
      </c>
      <c r="D3139">
        <v>1</v>
      </c>
      <c r="E3139">
        <v>-1.03</v>
      </c>
      <c r="F3139">
        <v>0</v>
      </c>
      <c r="G3139">
        <v>2024</v>
      </c>
      <c r="H3139" t="s">
        <v>928</v>
      </c>
      <c r="I3139" t="s">
        <v>6063</v>
      </c>
      <c r="J3139" t="s">
        <v>8580</v>
      </c>
      <c r="K3139" t="s">
        <v>9451</v>
      </c>
    </row>
    <row r="3140" spans="1:11" x14ac:dyDescent="0.4">
      <c r="A3140" t="s">
        <v>5202</v>
      </c>
      <c r="B3140">
        <v>100</v>
      </c>
      <c r="C3140" t="s">
        <v>1380</v>
      </c>
      <c r="D3140">
        <v>5</v>
      </c>
      <c r="E3140">
        <v>0.95099999999999996</v>
      </c>
      <c r="F3140">
        <v>1</v>
      </c>
      <c r="G3140">
        <v>2024</v>
      </c>
      <c r="H3140" t="s">
        <v>928</v>
      </c>
      <c r="I3140" t="s">
        <v>6063</v>
      </c>
      <c r="J3140" t="s">
        <v>8581</v>
      </c>
      <c r="K3140" t="s">
        <v>9452</v>
      </c>
    </row>
    <row r="3141" spans="1:11" x14ac:dyDescent="0.4">
      <c r="A3141" t="s">
        <v>5180</v>
      </c>
      <c r="B3141">
        <v>0</v>
      </c>
      <c r="C3141" t="s">
        <v>5719</v>
      </c>
      <c r="D3141">
        <v>1</v>
      </c>
      <c r="E3141">
        <v>-1.03</v>
      </c>
      <c r="F3141">
        <v>0</v>
      </c>
      <c r="G3141">
        <v>2024</v>
      </c>
      <c r="H3141" t="s">
        <v>928</v>
      </c>
      <c r="I3141" t="s">
        <v>6063</v>
      </c>
      <c r="J3141" t="s">
        <v>8582</v>
      </c>
      <c r="K3141" t="s">
        <v>9453</v>
      </c>
    </row>
    <row r="3142" spans="1:11" x14ac:dyDescent="0.4">
      <c r="A3142" t="s">
        <v>5205</v>
      </c>
      <c r="B3142">
        <v>0</v>
      </c>
      <c r="C3142" t="s">
        <v>5719</v>
      </c>
      <c r="D3142">
        <v>1</v>
      </c>
      <c r="E3142">
        <v>-1.03</v>
      </c>
      <c r="F3142">
        <v>0</v>
      </c>
      <c r="G3142">
        <v>2024</v>
      </c>
      <c r="H3142" t="s">
        <v>928</v>
      </c>
      <c r="I3142" t="s">
        <v>6063</v>
      </c>
      <c r="J3142" t="s">
        <v>8583</v>
      </c>
      <c r="K3142" t="s">
        <v>9454</v>
      </c>
    </row>
    <row r="3143" spans="1:11" x14ac:dyDescent="0.4">
      <c r="A3143" t="s">
        <v>5210</v>
      </c>
      <c r="B3143">
        <v>100</v>
      </c>
      <c r="C3143" t="s">
        <v>1380</v>
      </c>
      <c r="D3143">
        <v>5</v>
      </c>
      <c r="E3143">
        <v>0.95099999999999996</v>
      </c>
      <c r="F3143">
        <v>1</v>
      </c>
      <c r="G3143">
        <v>2024</v>
      </c>
      <c r="H3143" t="s">
        <v>928</v>
      </c>
      <c r="I3143" t="s">
        <v>6063</v>
      </c>
      <c r="J3143" t="s">
        <v>8584</v>
      </c>
      <c r="K3143" t="s">
        <v>9455</v>
      </c>
    </row>
    <row r="3144" spans="1:11" x14ac:dyDescent="0.4">
      <c r="A3144" t="s">
        <v>5207</v>
      </c>
      <c r="B3144">
        <v>0</v>
      </c>
      <c r="C3144" t="s">
        <v>5719</v>
      </c>
      <c r="D3144">
        <v>1</v>
      </c>
      <c r="E3144">
        <v>-1.03</v>
      </c>
      <c r="F3144">
        <v>0</v>
      </c>
      <c r="G3144">
        <v>2024</v>
      </c>
      <c r="H3144" t="s">
        <v>928</v>
      </c>
      <c r="I3144" t="s">
        <v>6063</v>
      </c>
      <c r="J3144" t="s">
        <v>8585</v>
      </c>
      <c r="K3144" t="s">
        <v>9456</v>
      </c>
    </row>
    <row r="3145" spans="1:11" x14ac:dyDescent="0.4">
      <c r="A3145" t="s">
        <v>5192</v>
      </c>
      <c r="B3145">
        <v>0</v>
      </c>
      <c r="C3145" t="s">
        <v>5719</v>
      </c>
      <c r="D3145">
        <v>1</v>
      </c>
      <c r="E3145">
        <v>-1.03</v>
      </c>
      <c r="F3145">
        <v>0</v>
      </c>
      <c r="G3145">
        <v>2024</v>
      </c>
      <c r="H3145" t="s">
        <v>928</v>
      </c>
      <c r="I3145" t="s">
        <v>6063</v>
      </c>
      <c r="J3145" t="s">
        <v>8586</v>
      </c>
      <c r="K3145" t="s">
        <v>9457</v>
      </c>
    </row>
    <row r="3146" spans="1:11" x14ac:dyDescent="0.4">
      <c r="A3146" t="s">
        <v>5179</v>
      </c>
      <c r="B3146">
        <v>100</v>
      </c>
      <c r="C3146" t="s">
        <v>1380</v>
      </c>
      <c r="D3146">
        <v>5</v>
      </c>
      <c r="E3146">
        <v>0.95099999999999996</v>
      </c>
      <c r="F3146">
        <v>1</v>
      </c>
      <c r="G3146">
        <v>2024</v>
      </c>
      <c r="H3146" t="s">
        <v>928</v>
      </c>
      <c r="I3146" t="s">
        <v>6063</v>
      </c>
      <c r="J3146" t="s">
        <v>8587</v>
      </c>
      <c r="K3146" t="s">
        <v>9458</v>
      </c>
    </row>
    <row r="3147" spans="1:11" x14ac:dyDescent="0.4">
      <c r="A3147" t="s">
        <v>5195</v>
      </c>
      <c r="B3147">
        <v>100</v>
      </c>
      <c r="C3147" t="s">
        <v>1380</v>
      </c>
      <c r="D3147">
        <v>5</v>
      </c>
      <c r="E3147">
        <v>0.95099999999999996</v>
      </c>
      <c r="F3147">
        <v>1</v>
      </c>
      <c r="G3147">
        <v>2024</v>
      </c>
      <c r="H3147" t="s">
        <v>928</v>
      </c>
      <c r="I3147" t="s">
        <v>6063</v>
      </c>
      <c r="J3147" t="s">
        <v>8588</v>
      </c>
      <c r="K3147" t="s">
        <v>9459</v>
      </c>
    </row>
    <row r="3148" spans="1:11" x14ac:dyDescent="0.4">
      <c r="A3148" t="s">
        <v>5197</v>
      </c>
      <c r="B3148">
        <v>100</v>
      </c>
      <c r="C3148" t="s">
        <v>1380</v>
      </c>
      <c r="D3148">
        <v>5</v>
      </c>
      <c r="E3148">
        <v>0.95099999999999996</v>
      </c>
      <c r="F3148">
        <v>1</v>
      </c>
      <c r="G3148">
        <v>2024</v>
      </c>
      <c r="H3148" t="s">
        <v>928</v>
      </c>
      <c r="I3148" t="s">
        <v>6063</v>
      </c>
      <c r="J3148" t="s">
        <v>8589</v>
      </c>
      <c r="K3148" t="s">
        <v>9460</v>
      </c>
    </row>
    <row r="3149" spans="1:11" x14ac:dyDescent="0.4">
      <c r="A3149" t="s">
        <v>5223</v>
      </c>
      <c r="B3149">
        <v>100</v>
      </c>
      <c r="C3149" t="s">
        <v>1380</v>
      </c>
      <c r="D3149">
        <v>5</v>
      </c>
      <c r="E3149">
        <v>0.95099999999999996</v>
      </c>
      <c r="F3149">
        <v>1</v>
      </c>
      <c r="G3149">
        <v>2024</v>
      </c>
      <c r="H3149" t="s">
        <v>928</v>
      </c>
      <c r="I3149" t="s">
        <v>6063</v>
      </c>
      <c r="J3149" t="s">
        <v>8590</v>
      </c>
      <c r="K3149" t="s">
        <v>9461</v>
      </c>
    </row>
    <row r="3150" spans="1:11" x14ac:dyDescent="0.4">
      <c r="A3150" t="s">
        <v>5220</v>
      </c>
      <c r="B3150">
        <v>0</v>
      </c>
      <c r="C3150" t="s">
        <v>5719</v>
      </c>
      <c r="D3150">
        <v>1</v>
      </c>
      <c r="E3150">
        <v>-1.03</v>
      </c>
      <c r="F3150">
        <v>0</v>
      </c>
      <c r="G3150">
        <v>2024</v>
      </c>
      <c r="H3150" t="s">
        <v>928</v>
      </c>
      <c r="I3150" t="s">
        <v>6063</v>
      </c>
      <c r="J3150" t="s">
        <v>8591</v>
      </c>
      <c r="K3150" t="s">
        <v>9462</v>
      </c>
    </row>
    <row r="3151" spans="1:11" x14ac:dyDescent="0.4">
      <c r="A3151" t="s">
        <v>5185</v>
      </c>
      <c r="B3151">
        <v>0</v>
      </c>
      <c r="C3151" t="s">
        <v>5719</v>
      </c>
      <c r="D3151">
        <v>1</v>
      </c>
      <c r="E3151">
        <v>-1.03</v>
      </c>
      <c r="F3151">
        <v>0</v>
      </c>
      <c r="G3151">
        <v>2024</v>
      </c>
      <c r="H3151" t="s">
        <v>928</v>
      </c>
      <c r="I3151" t="s">
        <v>6063</v>
      </c>
      <c r="J3151" t="s">
        <v>8592</v>
      </c>
      <c r="K3151" t="s">
        <v>8593</v>
      </c>
    </row>
    <row r="3152" spans="1:11" x14ac:dyDescent="0.4">
      <c r="A3152" t="s">
        <v>5198</v>
      </c>
      <c r="B3152">
        <v>100</v>
      </c>
      <c r="C3152" t="s">
        <v>1380</v>
      </c>
      <c r="D3152">
        <v>5</v>
      </c>
      <c r="E3152">
        <v>0.95099999999999996</v>
      </c>
      <c r="F3152">
        <v>1</v>
      </c>
      <c r="G3152">
        <v>2024</v>
      </c>
      <c r="H3152" t="s">
        <v>928</v>
      </c>
      <c r="I3152" t="s">
        <v>6063</v>
      </c>
      <c r="J3152" t="s">
        <v>8594</v>
      </c>
      <c r="K3152" t="s">
        <v>9463</v>
      </c>
    </row>
    <row r="3153" spans="1:11" x14ac:dyDescent="0.4">
      <c r="A3153" t="s">
        <v>5206</v>
      </c>
      <c r="B3153">
        <v>0</v>
      </c>
      <c r="C3153" t="s">
        <v>5719</v>
      </c>
      <c r="D3153">
        <v>1</v>
      </c>
      <c r="E3153">
        <v>-1.03</v>
      </c>
      <c r="F3153">
        <v>0</v>
      </c>
      <c r="G3153">
        <v>2024</v>
      </c>
      <c r="H3153" t="s">
        <v>928</v>
      </c>
      <c r="I3153" t="s">
        <v>6063</v>
      </c>
      <c r="J3153" t="s">
        <v>8595</v>
      </c>
      <c r="K3153" t="s">
        <v>9464</v>
      </c>
    </row>
    <row r="3154" spans="1:11" x14ac:dyDescent="0.4">
      <c r="A3154" t="s">
        <v>5182</v>
      </c>
      <c r="B3154">
        <v>100</v>
      </c>
      <c r="C3154" t="s">
        <v>1380</v>
      </c>
      <c r="D3154">
        <v>5</v>
      </c>
      <c r="E3154">
        <v>0.95099999999999996</v>
      </c>
      <c r="F3154">
        <v>1</v>
      </c>
      <c r="G3154">
        <v>2024</v>
      </c>
      <c r="H3154" t="s">
        <v>928</v>
      </c>
      <c r="I3154" t="s">
        <v>6063</v>
      </c>
      <c r="J3154" t="s">
        <v>8596</v>
      </c>
      <c r="K3154" t="s">
        <v>9465</v>
      </c>
    </row>
    <row r="3155" spans="1:11" x14ac:dyDescent="0.4">
      <c r="A3155" t="s">
        <v>5908</v>
      </c>
      <c r="B3155">
        <v>100</v>
      </c>
      <c r="C3155" t="s">
        <v>1380</v>
      </c>
      <c r="D3155">
        <v>5</v>
      </c>
      <c r="E3155">
        <v>0.95099999999999996</v>
      </c>
      <c r="F3155">
        <v>1</v>
      </c>
      <c r="G3155">
        <v>2024</v>
      </c>
      <c r="H3155" t="s">
        <v>928</v>
      </c>
      <c r="I3155" t="s">
        <v>6063</v>
      </c>
      <c r="J3155" t="s">
        <v>8597</v>
      </c>
      <c r="K3155" t="s">
        <v>8598</v>
      </c>
    </row>
    <row r="3156" spans="1:11" x14ac:dyDescent="0.4">
      <c r="A3156" t="s">
        <v>5213</v>
      </c>
      <c r="B3156">
        <v>100</v>
      </c>
      <c r="C3156" t="s">
        <v>1380</v>
      </c>
      <c r="D3156">
        <v>5</v>
      </c>
      <c r="E3156">
        <v>0.95099999999999996</v>
      </c>
      <c r="F3156">
        <v>1</v>
      </c>
      <c r="G3156">
        <v>2024</v>
      </c>
      <c r="H3156" t="s">
        <v>928</v>
      </c>
      <c r="I3156" t="s">
        <v>6063</v>
      </c>
      <c r="J3156" t="s">
        <v>8599</v>
      </c>
      <c r="K3156" t="s">
        <v>9466</v>
      </c>
    </row>
    <row r="3157" spans="1:11" x14ac:dyDescent="0.4">
      <c r="A3157" t="s">
        <v>5909</v>
      </c>
      <c r="B3157">
        <v>100</v>
      </c>
      <c r="C3157" t="s">
        <v>1380</v>
      </c>
      <c r="D3157">
        <v>5</v>
      </c>
      <c r="E3157">
        <v>0.95099999999999996</v>
      </c>
      <c r="F3157">
        <v>1</v>
      </c>
      <c r="G3157">
        <v>2024</v>
      </c>
      <c r="H3157" t="s">
        <v>928</v>
      </c>
      <c r="I3157" t="s">
        <v>6063</v>
      </c>
      <c r="J3157" t="s">
        <v>8600</v>
      </c>
      <c r="K3157" t="s">
        <v>9467</v>
      </c>
    </row>
    <row r="3158" spans="1:11" x14ac:dyDescent="0.4">
      <c r="A3158" t="s">
        <v>5224</v>
      </c>
      <c r="B3158">
        <v>0</v>
      </c>
      <c r="C3158" t="s">
        <v>5719</v>
      </c>
      <c r="D3158">
        <v>1</v>
      </c>
      <c r="E3158">
        <v>-1.03</v>
      </c>
      <c r="F3158">
        <v>0</v>
      </c>
      <c r="G3158">
        <v>2024</v>
      </c>
      <c r="H3158" t="s">
        <v>928</v>
      </c>
      <c r="I3158" t="s">
        <v>6063</v>
      </c>
      <c r="J3158" t="s">
        <v>8601</v>
      </c>
      <c r="K3158" t="s">
        <v>9468</v>
      </c>
    </row>
    <row r="3159" spans="1:11" x14ac:dyDescent="0.4">
      <c r="A3159" t="s">
        <v>5189</v>
      </c>
      <c r="B3159">
        <v>0</v>
      </c>
      <c r="C3159" t="s">
        <v>5719</v>
      </c>
      <c r="D3159">
        <v>1</v>
      </c>
      <c r="E3159">
        <v>-1.03</v>
      </c>
      <c r="F3159">
        <v>0</v>
      </c>
      <c r="G3159">
        <v>2024</v>
      </c>
      <c r="H3159" t="s">
        <v>928</v>
      </c>
      <c r="I3159" t="s">
        <v>6063</v>
      </c>
      <c r="J3159" t="s">
        <v>8602</v>
      </c>
      <c r="K3159" t="s">
        <v>9469</v>
      </c>
    </row>
    <row r="3160" spans="1:11" x14ac:dyDescent="0.4">
      <c r="A3160" t="s">
        <v>5194</v>
      </c>
      <c r="B3160">
        <v>100</v>
      </c>
      <c r="C3160" t="s">
        <v>1380</v>
      </c>
      <c r="D3160">
        <v>5</v>
      </c>
      <c r="E3160">
        <v>0.95099999999999996</v>
      </c>
      <c r="F3160">
        <v>1</v>
      </c>
      <c r="G3160">
        <v>2024</v>
      </c>
      <c r="H3160" t="s">
        <v>928</v>
      </c>
      <c r="I3160" t="s">
        <v>6063</v>
      </c>
      <c r="J3160" t="s">
        <v>8603</v>
      </c>
      <c r="K3160" t="s">
        <v>9470</v>
      </c>
    </row>
    <row r="3161" spans="1:11" x14ac:dyDescent="0.4">
      <c r="A3161" t="s">
        <v>5187</v>
      </c>
      <c r="B3161">
        <v>100</v>
      </c>
      <c r="C3161" t="s">
        <v>1380</v>
      </c>
      <c r="D3161">
        <v>5</v>
      </c>
      <c r="E3161">
        <v>0.95099999999999996</v>
      </c>
      <c r="F3161">
        <v>1</v>
      </c>
      <c r="G3161">
        <v>2024</v>
      </c>
      <c r="H3161" t="s">
        <v>928</v>
      </c>
      <c r="I3161" t="s">
        <v>6063</v>
      </c>
      <c r="J3161" t="s">
        <v>8604</v>
      </c>
      <c r="K3161" t="s">
        <v>8605</v>
      </c>
    </row>
    <row r="3162" spans="1:11" x14ac:dyDescent="0.4">
      <c r="A3162" t="s">
        <v>5910</v>
      </c>
      <c r="B3162">
        <v>0</v>
      </c>
      <c r="C3162" t="s">
        <v>5719</v>
      </c>
      <c r="D3162">
        <v>1</v>
      </c>
      <c r="E3162">
        <v>-1.03</v>
      </c>
      <c r="F3162">
        <v>0</v>
      </c>
      <c r="G3162">
        <v>2024</v>
      </c>
      <c r="H3162" t="s">
        <v>928</v>
      </c>
      <c r="I3162" t="s">
        <v>6063</v>
      </c>
      <c r="J3162" t="s">
        <v>8606</v>
      </c>
      <c r="K3162" t="s">
        <v>8607</v>
      </c>
    </row>
    <row r="3163" spans="1:11" x14ac:dyDescent="0.4">
      <c r="A3163" t="s">
        <v>5214</v>
      </c>
      <c r="B3163">
        <v>100</v>
      </c>
      <c r="C3163" t="s">
        <v>1380</v>
      </c>
      <c r="D3163">
        <v>5</v>
      </c>
      <c r="E3163">
        <v>0.95099999999999996</v>
      </c>
      <c r="F3163">
        <v>1</v>
      </c>
      <c r="G3163">
        <v>2024</v>
      </c>
      <c r="H3163" t="s">
        <v>928</v>
      </c>
      <c r="I3163" t="s">
        <v>6063</v>
      </c>
      <c r="J3163" t="s">
        <v>8608</v>
      </c>
      <c r="K3163" t="s">
        <v>9471</v>
      </c>
    </row>
    <row r="3164" spans="1:11" x14ac:dyDescent="0.4">
      <c r="A3164" t="s">
        <v>5215</v>
      </c>
      <c r="B3164">
        <v>100</v>
      </c>
      <c r="C3164" t="s">
        <v>1380</v>
      </c>
      <c r="D3164">
        <v>5</v>
      </c>
      <c r="E3164">
        <v>0.95099999999999996</v>
      </c>
      <c r="F3164">
        <v>1</v>
      </c>
      <c r="G3164">
        <v>2024</v>
      </c>
      <c r="H3164" t="s">
        <v>928</v>
      </c>
      <c r="I3164" t="s">
        <v>6063</v>
      </c>
      <c r="J3164" t="s">
        <v>8609</v>
      </c>
      <c r="K3164" t="s">
        <v>9472</v>
      </c>
    </row>
    <row r="3165" spans="1:11" x14ac:dyDescent="0.4">
      <c r="A3165" t="s">
        <v>5211</v>
      </c>
      <c r="B3165">
        <v>0</v>
      </c>
      <c r="C3165" t="s">
        <v>5719</v>
      </c>
      <c r="D3165">
        <v>1</v>
      </c>
      <c r="E3165">
        <v>-1.03</v>
      </c>
      <c r="F3165">
        <v>0</v>
      </c>
      <c r="G3165">
        <v>2024</v>
      </c>
      <c r="H3165" t="s">
        <v>928</v>
      </c>
      <c r="I3165" t="s">
        <v>6063</v>
      </c>
      <c r="J3165" t="s">
        <v>8610</v>
      </c>
      <c r="K3165" t="s">
        <v>9473</v>
      </c>
    </row>
    <row r="3166" spans="1:11" x14ac:dyDescent="0.4">
      <c r="A3166" t="s">
        <v>5219</v>
      </c>
      <c r="B3166">
        <v>0</v>
      </c>
      <c r="C3166" t="s">
        <v>5719</v>
      </c>
      <c r="D3166">
        <v>1</v>
      </c>
      <c r="E3166">
        <v>-1.03</v>
      </c>
      <c r="F3166">
        <v>0</v>
      </c>
      <c r="G3166">
        <v>2024</v>
      </c>
      <c r="H3166" t="s">
        <v>928</v>
      </c>
      <c r="I3166" t="s">
        <v>6063</v>
      </c>
      <c r="J3166" t="s">
        <v>8611</v>
      </c>
      <c r="K3166" t="s">
        <v>9474</v>
      </c>
    </row>
    <row r="3167" spans="1:11" x14ac:dyDescent="0.4">
      <c r="A3167" t="s">
        <v>5212</v>
      </c>
      <c r="B3167">
        <v>100</v>
      </c>
      <c r="C3167" t="s">
        <v>1380</v>
      </c>
      <c r="D3167">
        <v>5</v>
      </c>
      <c r="E3167">
        <v>0.95099999999999996</v>
      </c>
      <c r="F3167">
        <v>1</v>
      </c>
      <c r="G3167">
        <v>2024</v>
      </c>
      <c r="H3167" t="s">
        <v>928</v>
      </c>
      <c r="I3167" t="s">
        <v>6063</v>
      </c>
      <c r="J3167" t="s">
        <v>8612</v>
      </c>
      <c r="K3167" t="s">
        <v>9475</v>
      </c>
    </row>
    <row r="3168" spans="1:11" x14ac:dyDescent="0.4">
      <c r="A3168" t="s">
        <v>5184</v>
      </c>
      <c r="B3168">
        <v>100</v>
      </c>
      <c r="C3168" t="s">
        <v>1380</v>
      </c>
      <c r="D3168">
        <v>5</v>
      </c>
      <c r="E3168">
        <v>0.95099999999999996</v>
      </c>
      <c r="F3168">
        <v>1</v>
      </c>
      <c r="G3168">
        <v>2024</v>
      </c>
      <c r="H3168" t="s">
        <v>928</v>
      </c>
      <c r="I3168" t="s">
        <v>6063</v>
      </c>
      <c r="J3168" t="s">
        <v>8997</v>
      </c>
      <c r="K3168" t="s">
        <v>9476</v>
      </c>
    </row>
    <row r="3169" spans="1:11" x14ac:dyDescent="0.4">
      <c r="A3169" t="s">
        <v>5201</v>
      </c>
      <c r="B3169">
        <v>100</v>
      </c>
      <c r="C3169" t="s">
        <v>1380</v>
      </c>
      <c r="D3169">
        <v>5</v>
      </c>
      <c r="E3169">
        <v>0.95099999999999996</v>
      </c>
      <c r="F3169">
        <v>1</v>
      </c>
      <c r="G3169">
        <v>2024</v>
      </c>
      <c r="H3169" t="s">
        <v>928</v>
      </c>
      <c r="I3169" t="s">
        <v>6063</v>
      </c>
      <c r="J3169" t="s">
        <v>8613</v>
      </c>
      <c r="K3169" t="s">
        <v>9477</v>
      </c>
    </row>
    <row r="3170" spans="1:11" x14ac:dyDescent="0.4">
      <c r="A3170" t="s">
        <v>5217</v>
      </c>
      <c r="B3170">
        <v>0</v>
      </c>
      <c r="C3170" t="s">
        <v>5719</v>
      </c>
      <c r="D3170">
        <v>1</v>
      </c>
      <c r="E3170">
        <v>-1.03</v>
      </c>
      <c r="F3170">
        <v>0</v>
      </c>
      <c r="G3170">
        <v>2024</v>
      </c>
      <c r="H3170" t="s">
        <v>928</v>
      </c>
      <c r="I3170" t="s">
        <v>6063</v>
      </c>
      <c r="J3170" t="s">
        <v>8614</v>
      </c>
      <c r="K3170" t="s">
        <v>9478</v>
      </c>
    </row>
    <row r="3171" spans="1:11" x14ac:dyDescent="0.4">
      <c r="A3171" t="s">
        <v>5203</v>
      </c>
      <c r="B3171">
        <v>0</v>
      </c>
      <c r="C3171" t="s">
        <v>5719</v>
      </c>
      <c r="D3171">
        <v>1</v>
      </c>
      <c r="E3171">
        <v>-1.03</v>
      </c>
      <c r="F3171">
        <v>0</v>
      </c>
      <c r="G3171">
        <v>2024</v>
      </c>
      <c r="H3171" t="s">
        <v>928</v>
      </c>
      <c r="I3171" t="s">
        <v>6063</v>
      </c>
      <c r="J3171" t="s">
        <v>8615</v>
      </c>
      <c r="K3171" t="s">
        <v>8616</v>
      </c>
    </row>
    <row r="3172" spans="1:11" x14ac:dyDescent="0.4">
      <c r="A3172" t="s">
        <v>5225</v>
      </c>
      <c r="B3172">
        <v>52</v>
      </c>
      <c r="C3172" t="s">
        <v>197</v>
      </c>
      <c r="D3172">
        <v>3</v>
      </c>
    </row>
    <row r="3173" spans="1:11" x14ac:dyDescent="0.4">
      <c r="A3173" t="s">
        <v>5226</v>
      </c>
      <c r="B3173">
        <v>60</v>
      </c>
      <c r="C3173" t="s">
        <v>197</v>
      </c>
      <c r="D3173">
        <v>4</v>
      </c>
    </row>
    <row r="3174" spans="1:11" x14ac:dyDescent="0.4">
      <c r="A3174" t="s">
        <v>5227</v>
      </c>
      <c r="B3174">
        <v>71.400000000000006</v>
      </c>
      <c r="C3174" t="s">
        <v>197</v>
      </c>
      <c r="D3174">
        <v>4</v>
      </c>
    </row>
    <row r="3175" spans="1:11" x14ac:dyDescent="0.4">
      <c r="A3175" t="s">
        <v>5228</v>
      </c>
      <c r="B3175">
        <v>25</v>
      </c>
      <c r="C3175" t="s">
        <v>197</v>
      </c>
      <c r="D3175">
        <v>2</v>
      </c>
    </row>
    <row r="3176" spans="1:11" x14ac:dyDescent="0.4">
      <c r="A3176" t="s">
        <v>5229</v>
      </c>
      <c r="B3176">
        <v>70</v>
      </c>
      <c r="C3176" t="s">
        <v>197</v>
      </c>
      <c r="D3176">
        <v>4</v>
      </c>
    </row>
    <row r="3177" spans="1:11" x14ac:dyDescent="0.4">
      <c r="A3177" t="s">
        <v>5230</v>
      </c>
      <c r="B3177">
        <v>20</v>
      </c>
      <c r="C3177" t="s">
        <v>197</v>
      </c>
      <c r="D3177">
        <v>2</v>
      </c>
    </row>
    <row r="3178" spans="1:11" x14ac:dyDescent="0.4">
      <c r="A3178" t="s">
        <v>5231</v>
      </c>
      <c r="B3178">
        <v>57.1</v>
      </c>
      <c r="C3178" t="s">
        <v>197</v>
      </c>
      <c r="D3178">
        <v>3</v>
      </c>
    </row>
    <row r="3179" spans="1:11" x14ac:dyDescent="0.4">
      <c r="A3179" t="s">
        <v>7411</v>
      </c>
      <c r="B3179">
        <v>37.5</v>
      </c>
      <c r="C3179" t="s">
        <v>197</v>
      </c>
      <c r="D3179">
        <v>2</v>
      </c>
    </row>
    <row r="3180" spans="1:11" x14ac:dyDescent="0.4">
      <c r="A3180" t="s">
        <v>7412</v>
      </c>
      <c r="B3180">
        <v>45.5</v>
      </c>
      <c r="C3180" t="s">
        <v>197</v>
      </c>
      <c r="D3180">
        <v>3</v>
      </c>
    </row>
    <row r="3181" spans="1:11" x14ac:dyDescent="0.4">
      <c r="A3181" t="s">
        <v>7413</v>
      </c>
      <c r="B3181">
        <v>65.2</v>
      </c>
      <c r="C3181" t="s">
        <v>197</v>
      </c>
      <c r="D3181">
        <v>4</v>
      </c>
    </row>
    <row r="3182" spans="1:11" x14ac:dyDescent="0.4">
      <c r="A3182" t="s">
        <v>5236</v>
      </c>
      <c r="B3182">
        <v>100</v>
      </c>
      <c r="C3182" t="s">
        <v>1380</v>
      </c>
      <c r="D3182">
        <v>5</v>
      </c>
      <c r="E3182">
        <v>0.60799999999999998</v>
      </c>
      <c r="F3182">
        <v>3</v>
      </c>
      <c r="G3182">
        <v>2024</v>
      </c>
      <c r="H3182" t="s">
        <v>928</v>
      </c>
      <c r="I3182" t="s">
        <v>6063</v>
      </c>
      <c r="J3182" t="s">
        <v>8617</v>
      </c>
      <c r="K3182" t="s">
        <v>9479</v>
      </c>
    </row>
    <row r="3183" spans="1:11" x14ac:dyDescent="0.4">
      <c r="A3183" t="s">
        <v>5234</v>
      </c>
      <c r="B3183">
        <v>33.299999999999997</v>
      </c>
      <c r="C3183" t="s">
        <v>6040</v>
      </c>
      <c r="D3183">
        <v>2</v>
      </c>
      <c r="E3183">
        <v>-2.9830000000000001</v>
      </c>
      <c r="F3183">
        <v>1</v>
      </c>
      <c r="G3183">
        <v>2024</v>
      </c>
      <c r="H3183" t="s">
        <v>928</v>
      </c>
      <c r="I3183" t="s">
        <v>6063</v>
      </c>
      <c r="J3183" t="s">
        <v>8998</v>
      </c>
      <c r="K3183" t="s">
        <v>9480</v>
      </c>
    </row>
    <row r="3184" spans="1:11" x14ac:dyDescent="0.4">
      <c r="A3184" t="s">
        <v>5241</v>
      </c>
      <c r="B3184">
        <v>100</v>
      </c>
      <c r="C3184" t="s">
        <v>1380</v>
      </c>
      <c r="D3184">
        <v>5</v>
      </c>
      <c r="E3184">
        <v>0.60799999999999998</v>
      </c>
      <c r="F3184">
        <v>3</v>
      </c>
      <c r="G3184">
        <v>2024</v>
      </c>
      <c r="H3184" t="s">
        <v>928</v>
      </c>
      <c r="I3184" t="s">
        <v>6063</v>
      </c>
      <c r="J3184" t="s">
        <v>8618</v>
      </c>
      <c r="K3184" t="s">
        <v>9481</v>
      </c>
    </row>
    <row r="3185" spans="1:11" x14ac:dyDescent="0.4">
      <c r="A3185" t="s">
        <v>5275</v>
      </c>
      <c r="B3185">
        <v>100</v>
      </c>
      <c r="C3185" t="s">
        <v>1380</v>
      </c>
      <c r="D3185">
        <v>5</v>
      </c>
      <c r="E3185">
        <v>0.60799999999999998</v>
      </c>
      <c r="F3185">
        <v>3</v>
      </c>
      <c r="G3185">
        <v>2024</v>
      </c>
      <c r="H3185" t="s">
        <v>928</v>
      </c>
      <c r="I3185" t="s">
        <v>6063</v>
      </c>
      <c r="J3185" t="s">
        <v>8619</v>
      </c>
      <c r="K3185" t="s">
        <v>9482</v>
      </c>
    </row>
    <row r="3186" spans="1:11" x14ac:dyDescent="0.4">
      <c r="A3186" t="s">
        <v>5257</v>
      </c>
      <c r="B3186">
        <v>100</v>
      </c>
      <c r="C3186" t="s">
        <v>1380</v>
      </c>
      <c r="D3186">
        <v>5</v>
      </c>
      <c r="E3186">
        <v>0.60799999999999998</v>
      </c>
      <c r="F3186">
        <v>3</v>
      </c>
      <c r="G3186">
        <v>2024</v>
      </c>
      <c r="H3186" t="s">
        <v>928</v>
      </c>
      <c r="I3186" t="s">
        <v>6063</v>
      </c>
      <c r="J3186" t="s">
        <v>8620</v>
      </c>
      <c r="K3186" t="s">
        <v>9483</v>
      </c>
    </row>
    <row r="3187" spans="1:11" x14ac:dyDescent="0.4">
      <c r="A3187" t="s">
        <v>5269</v>
      </c>
      <c r="B3187">
        <v>66.7</v>
      </c>
      <c r="C3187" t="s">
        <v>5720</v>
      </c>
      <c r="D3187">
        <v>4</v>
      </c>
      <c r="E3187">
        <v>-1.1850000000000001</v>
      </c>
      <c r="F3187">
        <v>2</v>
      </c>
      <c r="G3187">
        <v>2024</v>
      </c>
      <c r="H3187" t="s">
        <v>928</v>
      </c>
      <c r="I3187" t="s">
        <v>6063</v>
      </c>
      <c r="J3187" t="s">
        <v>8999</v>
      </c>
      <c r="K3187" t="s">
        <v>9484</v>
      </c>
    </row>
    <row r="3188" spans="1:11" x14ac:dyDescent="0.4">
      <c r="A3188" t="s">
        <v>5246</v>
      </c>
      <c r="B3188">
        <v>100</v>
      </c>
      <c r="C3188" t="s">
        <v>1380</v>
      </c>
      <c r="D3188">
        <v>5</v>
      </c>
      <c r="E3188">
        <v>0.60799999999999998</v>
      </c>
      <c r="F3188">
        <v>3</v>
      </c>
      <c r="G3188">
        <v>2024</v>
      </c>
      <c r="H3188" t="s">
        <v>928</v>
      </c>
      <c r="I3188" t="s">
        <v>6063</v>
      </c>
      <c r="J3188" t="s">
        <v>8621</v>
      </c>
      <c r="K3188" t="s">
        <v>9485</v>
      </c>
    </row>
    <row r="3189" spans="1:11" x14ac:dyDescent="0.4">
      <c r="A3189" t="s">
        <v>5239</v>
      </c>
      <c r="B3189">
        <v>100</v>
      </c>
      <c r="C3189" t="s">
        <v>1380</v>
      </c>
      <c r="D3189">
        <v>5</v>
      </c>
      <c r="E3189">
        <v>0.60799999999999998</v>
      </c>
      <c r="F3189">
        <v>3</v>
      </c>
      <c r="G3189">
        <v>2024</v>
      </c>
      <c r="H3189" t="s">
        <v>928</v>
      </c>
      <c r="I3189" t="s">
        <v>6063</v>
      </c>
      <c r="J3189" t="s">
        <v>8622</v>
      </c>
      <c r="K3189" t="s">
        <v>9486</v>
      </c>
    </row>
    <row r="3190" spans="1:11" x14ac:dyDescent="0.4">
      <c r="A3190" t="s">
        <v>5253</v>
      </c>
      <c r="B3190">
        <v>100</v>
      </c>
      <c r="C3190" t="s">
        <v>1380</v>
      </c>
      <c r="D3190">
        <v>5</v>
      </c>
      <c r="E3190">
        <v>0.60799999999999998</v>
      </c>
      <c r="F3190">
        <v>3</v>
      </c>
      <c r="G3190">
        <v>2024</v>
      </c>
      <c r="H3190" t="s">
        <v>928</v>
      </c>
      <c r="I3190" t="s">
        <v>6063</v>
      </c>
      <c r="J3190" t="s">
        <v>8623</v>
      </c>
      <c r="K3190" t="s">
        <v>9487</v>
      </c>
    </row>
    <row r="3191" spans="1:11" x14ac:dyDescent="0.4">
      <c r="A3191" t="s">
        <v>5243</v>
      </c>
      <c r="B3191">
        <v>100</v>
      </c>
      <c r="C3191" t="s">
        <v>1380</v>
      </c>
      <c r="D3191">
        <v>5</v>
      </c>
      <c r="E3191">
        <v>0.60799999999999998</v>
      </c>
      <c r="F3191">
        <v>3</v>
      </c>
      <c r="G3191">
        <v>2024</v>
      </c>
      <c r="H3191" t="s">
        <v>928</v>
      </c>
      <c r="I3191" t="s">
        <v>6063</v>
      </c>
      <c r="J3191" t="s">
        <v>8624</v>
      </c>
      <c r="K3191" t="s">
        <v>9488</v>
      </c>
    </row>
    <row r="3192" spans="1:11" x14ac:dyDescent="0.4">
      <c r="A3192" t="s">
        <v>6001</v>
      </c>
      <c r="B3192">
        <v>66.7</v>
      </c>
      <c r="C3192" t="s">
        <v>5720</v>
      </c>
      <c r="D3192">
        <v>4</v>
      </c>
      <c r="E3192">
        <v>-1.1850000000000001</v>
      </c>
      <c r="F3192">
        <v>2</v>
      </c>
      <c r="G3192">
        <v>2024</v>
      </c>
      <c r="H3192" t="s">
        <v>928</v>
      </c>
      <c r="I3192" t="s">
        <v>6063</v>
      </c>
      <c r="J3192" t="s">
        <v>8625</v>
      </c>
      <c r="K3192" t="s">
        <v>8626</v>
      </c>
    </row>
    <row r="3193" spans="1:11" x14ac:dyDescent="0.4">
      <c r="A3193" t="s">
        <v>5261</v>
      </c>
      <c r="B3193">
        <v>66.7</v>
      </c>
      <c r="C3193" t="s">
        <v>5720</v>
      </c>
      <c r="D3193">
        <v>4</v>
      </c>
      <c r="E3193">
        <v>-1.1850000000000001</v>
      </c>
      <c r="F3193">
        <v>2</v>
      </c>
      <c r="G3193">
        <v>2024</v>
      </c>
      <c r="H3193" t="s">
        <v>928</v>
      </c>
      <c r="I3193" t="s">
        <v>6063</v>
      </c>
      <c r="J3193" t="s">
        <v>8627</v>
      </c>
      <c r="K3193" t="s">
        <v>9000</v>
      </c>
    </row>
    <row r="3194" spans="1:11" x14ac:dyDescent="0.4">
      <c r="A3194" t="s">
        <v>5262</v>
      </c>
      <c r="B3194">
        <v>66.7</v>
      </c>
      <c r="C3194" t="s">
        <v>5720</v>
      </c>
      <c r="D3194">
        <v>4</v>
      </c>
      <c r="E3194">
        <v>-1.1850000000000001</v>
      </c>
      <c r="F3194">
        <v>2</v>
      </c>
      <c r="G3194">
        <v>2024</v>
      </c>
      <c r="H3194" t="s">
        <v>928</v>
      </c>
      <c r="I3194" t="s">
        <v>6063</v>
      </c>
      <c r="J3194" t="s">
        <v>8628</v>
      </c>
      <c r="K3194" t="s">
        <v>9489</v>
      </c>
    </row>
    <row r="3195" spans="1:11" x14ac:dyDescent="0.4">
      <c r="A3195" t="s">
        <v>5244</v>
      </c>
      <c r="B3195">
        <v>100</v>
      </c>
      <c r="C3195" t="s">
        <v>1380</v>
      </c>
      <c r="D3195">
        <v>5</v>
      </c>
      <c r="E3195">
        <v>0.60799999999999998</v>
      </c>
      <c r="F3195">
        <v>3</v>
      </c>
      <c r="G3195">
        <v>2024</v>
      </c>
      <c r="H3195" t="s">
        <v>928</v>
      </c>
      <c r="I3195" t="s">
        <v>6063</v>
      </c>
      <c r="J3195" t="s">
        <v>8629</v>
      </c>
      <c r="K3195" t="s">
        <v>9490</v>
      </c>
    </row>
    <row r="3196" spans="1:11" x14ac:dyDescent="0.4">
      <c r="A3196" t="s">
        <v>5252</v>
      </c>
      <c r="B3196">
        <v>100</v>
      </c>
      <c r="C3196" t="s">
        <v>1380</v>
      </c>
      <c r="D3196">
        <v>5</v>
      </c>
      <c r="E3196">
        <v>0.60799999999999998</v>
      </c>
      <c r="F3196">
        <v>3</v>
      </c>
      <c r="G3196">
        <v>2024</v>
      </c>
      <c r="H3196" t="s">
        <v>928</v>
      </c>
      <c r="I3196" t="s">
        <v>6063</v>
      </c>
      <c r="J3196" t="s">
        <v>8630</v>
      </c>
      <c r="K3196" t="s">
        <v>9491</v>
      </c>
    </row>
    <row r="3197" spans="1:11" x14ac:dyDescent="0.4">
      <c r="A3197" t="s">
        <v>5274</v>
      </c>
      <c r="B3197">
        <v>100</v>
      </c>
      <c r="C3197" t="s">
        <v>1380</v>
      </c>
      <c r="D3197">
        <v>5</v>
      </c>
      <c r="E3197">
        <v>0.60799999999999998</v>
      </c>
      <c r="F3197">
        <v>3</v>
      </c>
      <c r="G3197">
        <v>2024</v>
      </c>
      <c r="H3197" t="s">
        <v>928</v>
      </c>
      <c r="I3197" t="s">
        <v>6063</v>
      </c>
      <c r="J3197" t="s">
        <v>8631</v>
      </c>
      <c r="K3197" t="s">
        <v>9492</v>
      </c>
    </row>
    <row r="3198" spans="1:11" x14ac:dyDescent="0.4">
      <c r="A3198" t="s">
        <v>5271</v>
      </c>
      <c r="B3198">
        <v>100</v>
      </c>
      <c r="C3198" t="s">
        <v>1380</v>
      </c>
      <c r="D3198">
        <v>5</v>
      </c>
      <c r="E3198">
        <v>0.60799999999999998</v>
      </c>
      <c r="F3198">
        <v>3</v>
      </c>
      <c r="G3198">
        <v>2024</v>
      </c>
      <c r="H3198" t="s">
        <v>928</v>
      </c>
      <c r="I3198" t="s">
        <v>6063</v>
      </c>
      <c r="J3198" t="s">
        <v>8632</v>
      </c>
      <c r="K3198" t="s">
        <v>9493</v>
      </c>
    </row>
    <row r="3199" spans="1:11" x14ac:dyDescent="0.4">
      <c r="A3199" t="s">
        <v>5249</v>
      </c>
      <c r="B3199">
        <v>66.7</v>
      </c>
      <c r="C3199" t="s">
        <v>5720</v>
      </c>
      <c r="D3199">
        <v>4</v>
      </c>
      <c r="E3199">
        <v>-1.1850000000000001</v>
      </c>
      <c r="F3199">
        <v>2</v>
      </c>
      <c r="G3199">
        <v>2024</v>
      </c>
      <c r="H3199" t="s">
        <v>928</v>
      </c>
      <c r="I3199" t="s">
        <v>6063</v>
      </c>
      <c r="J3199" t="s">
        <v>8633</v>
      </c>
      <c r="K3199" t="s">
        <v>9494</v>
      </c>
    </row>
    <row r="3200" spans="1:11" x14ac:dyDescent="0.4">
      <c r="A3200" t="s">
        <v>5255</v>
      </c>
      <c r="B3200">
        <v>100</v>
      </c>
      <c r="C3200" t="s">
        <v>1380</v>
      </c>
      <c r="D3200">
        <v>5</v>
      </c>
      <c r="E3200">
        <v>0.60799999999999998</v>
      </c>
      <c r="F3200">
        <v>3</v>
      </c>
      <c r="G3200">
        <v>2024</v>
      </c>
      <c r="H3200" t="s">
        <v>928</v>
      </c>
      <c r="I3200" t="s">
        <v>6063</v>
      </c>
      <c r="J3200" t="s">
        <v>8634</v>
      </c>
      <c r="K3200" t="s">
        <v>9495</v>
      </c>
    </row>
    <row r="3201" spans="1:11" x14ac:dyDescent="0.4">
      <c r="A3201" t="s">
        <v>5233</v>
      </c>
      <c r="B3201">
        <v>100</v>
      </c>
      <c r="C3201" t="s">
        <v>1380</v>
      </c>
      <c r="D3201">
        <v>5</v>
      </c>
      <c r="E3201">
        <v>0.60799999999999998</v>
      </c>
      <c r="F3201">
        <v>3</v>
      </c>
      <c r="G3201">
        <v>2024</v>
      </c>
      <c r="H3201" t="s">
        <v>928</v>
      </c>
      <c r="I3201" t="s">
        <v>6063</v>
      </c>
      <c r="J3201" t="s">
        <v>8635</v>
      </c>
      <c r="K3201" t="s">
        <v>9496</v>
      </c>
    </row>
    <row r="3202" spans="1:11" x14ac:dyDescent="0.4">
      <c r="A3202" t="s">
        <v>5258</v>
      </c>
      <c r="B3202">
        <v>66.7</v>
      </c>
      <c r="C3202" t="s">
        <v>5720</v>
      </c>
      <c r="D3202">
        <v>4</v>
      </c>
      <c r="E3202">
        <v>-1.1850000000000001</v>
      </c>
      <c r="F3202">
        <v>2</v>
      </c>
      <c r="G3202">
        <v>2024</v>
      </c>
      <c r="H3202" t="s">
        <v>928</v>
      </c>
      <c r="I3202" t="s">
        <v>6063</v>
      </c>
      <c r="J3202" t="s">
        <v>8636</v>
      </c>
      <c r="K3202" t="s">
        <v>9497</v>
      </c>
    </row>
    <row r="3203" spans="1:11" x14ac:dyDescent="0.4">
      <c r="A3203" t="s">
        <v>5263</v>
      </c>
      <c r="B3203">
        <v>100</v>
      </c>
      <c r="C3203" t="s">
        <v>1380</v>
      </c>
      <c r="D3203">
        <v>5</v>
      </c>
      <c r="E3203">
        <v>0.60799999999999998</v>
      </c>
      <c r="F3203">
        <v>3</v>
      </c>
      <c r="G3203">
        <v>2024</v>
      </c>
      <c r="H3203" t="s">
        <v>928</v>
      </c>
      <c r="I3203" t="s">
        <v>6063</v>
      </c>
      <c r="J3203" t="s">
        <v>8637</v>
      </c>
      <c r="K3203" t="s">
        <v>9498</v>
      </c>
    </row>
    <row r="3204" spans="1:11" x14ac:dyDescent="0.4">
      <c r="A3204" t="s">
        <v>5260</v>
      </c>
      <c r="B3204">
        <v>100</v>
      </c>
      <c r="C3204" t="s">
        <v>1380</v>
      </c>
      <c r="D3204">
        <v>5</v>
      </c>
      <c r="E3204">
        <v>0.60799999999999998</v>
      </c>
      <c r="F3204">
        <v>3</v>
      </c>
      <c r="G3204">
        <v>2024</v>
      </c>
      <c r="H3204" t="s">
        <v>928</v>
      </c>
      <c r="I3204" t="s">
        <v>6063</v>
      </c>
      <c r="J3204" t="s">
        <v>8638</v>
      </c>
      <c r="K3204" t="s">
        <v>9499</v>
      </c>
    </row>
    <row r="3205" spans="1:11" x14ac:dyDescent="0.4">
      <c r="A3205" t="s">
        <v>5245</v>
      </c>
      <c r="B3205">
        <v>66.7</v>
      </c>
      <c r="C3205" t="s">
        <v>5720</v>
      </c>
      <c r="D3205">
        <v>4</v>
      </c>
      <c r="E3205">
        <v>-1.1850000000000001</v>
      </c>
      <c r="F3205">
        <v>2</v>
      </c>
      <c r="G3205">
        <v>2024</v>
      </c>
      <c r="H3205" t="s">
        <v>928</v>
      </c>
      <c r="I3205" t="s">
        <v>6063</v>
      </c>
      <c r="J3205" t="s">
        <v>8639</v>
      </c>
      <c r="K3205" t="s">
        <v>9500</v>
      </c>
    </row>
    <row r="3206" spans="1:11" x14ac:dyDescent="0.4">
      <c r="A3206" t="s">
        <v>5232</v>
      </c>
      <c r="B3206">
        <v>100</v>
      </c>
      <c r="C3206" t="s">
        <v>1380</v>
      </c>
      <c r="D3206">
        <v>5</v>
      </c>
      <c r="E3206">
        <v>0.60799999999999998</v>
      </c>
      <c r="F3206">
        <v>3</v>
      </c>
      <c r="G3206">
        <v>2024</v>
      </c>
      <c r="H3206" t="s">
        <v>928</v>
      </c>
      <c r="I3206" t="s">
        <v>6063</v>
      </c>
      <c r="J3206" t="s">
        <v>8640</v>
      </c>
      <c r="K3206" t="s">
        <v>9501</v>
      </c>
    </row>
    <row r="3207" spans="1:11" x14ac:dyDescent="0.4">
      <c r="A3207" t="s">
        <v>5248</v>
      </c>
      <c r="B3207">
        <v>100</v>
      </c>
      <c r="C3207" t="s">
        <v>1380</v>
      </c>
      <c r="D3207">
        <v>5</v>
      </c>
      <c r="E3207">
        <v>0.60799999999999998</v>
      </c>
      <c r="F3207">
        <v>3</v>
      </c>
      <c r="G3207">
        <v>2024</v>
      </c>
      <c r="H3207" t="s">
        <v>928</v>
      </c>
      <c r="I3207" t="s">
        <v>6063</v>
      </c>
      <c r="J3207" t="s">
        <v>8641</v>
      </c>
      <c r="K3207" t="s">
        <v>9502</v>
      </c>
    </row>
    <row r="3208" spans="1:11" x14ac:dyDescent="0.4">
      <c r="A3208" t="s">
        <v>5250</v>
      </c>
      <c r="B3208">
        <v>100</v>
      </c>
      <c r="C3208" t="s">
        <v>1380</v>
      </c>
      <c r="D3208">
        <v>5</v>
      </c>
      <c r="E3208">
        <v>0.60799999999999998</v>
      </c>
      <c r="F3208">
        <v>3</v>
      </c>
      <c r="G3208">
        <v>2024</v>
      </c>
      <c r="H3208" t="s">
        <v>928</v>
      </c>
      <c r="I3208" t="s">
        <v>6063</v>
      </c>
      <c r="J3208" t="s">
        <v>8642</v>
      </c>
      <c r="K3208" t="s">
        <v>9503</v>
      </c>
    </row>
    <row r="3209" spans="1:11" x14ac:dyDescent="0.4">
      <c r="A3209" t="s">
        <v>5276</v>
      </c>
      <c r="B3209">
        <v>66.7</v>
      </c>
      <c r="C3209" t="s">
        <v>5720</v>
      </c>
      <c r="D3209">
        <v>4</v>
      </c>
      <c r="E3209">
        <v>-1.1850000000000001</v>
      </c>
      <c r="F3209">
        <v>2</v>
      </c>
      <c r="G3209">
        <v>2024</v>
      </c>
      <c r="H3209" t="s">
        <v>928</v>
      </c>
      <c r="I3209" t="s">
        <v>6063</v>
      </c>
      <c r="J3209" t="s">
        <v>8643</v>
      </c>
      <c r="K3209" t="s">
        <v>9504</v>
      </c>
    </row>
    <row r="3210" spans="1:11" x14ac:dyDescent="0.4">
      <c r="A3210" t="s">
        <v>5273</v>
      </c>
      <c r="B3210">
        <v>100</v>
      </c>
      <c r="C3210" t="s">
        <v>1380</v>
      </c>
      <c r="D3210">
        <v>5</v>
      </c>
      <c r="E3210">
        <v>0.60799999999999998</v>
      </c>
      <c r="F3210">
        <v>3</v>
      </c>
      <c r="G3210">
        <v>2024</v>
      </c>
      <c r="H3210" t="s">
        <v>928</v>
      </c>
      <c r="I3210" t="s">
        <v>6063</v>
      </c>
      <c r="J3210" t="s">
        <v>8644</v>
      </c>
      <c r="K3210" t="s">
        <v>9505</v>
      </c>
    </row>
    <row r="3211" spans="1:11" x14ac:dyDescent="0.4">
      <c r="A3211" t="s">
        <v>5238</v>
      </c>
      <c r="B3211">
        <v>100</v>
      </c>
      <c r="C3211" t="s">
        <v>1380</v>
      </c>
      <c r="D3211">
        <v>5</v>
      </c>
      <c r="E3211">
        <v>0.60799999999999998</v>
      </c>
      <c r="F3211">
        <v>3</v>
      </c>
      <c r="G3211">
        <v>2024</v>
      </c>
      <c r="H3211" t="s">
        <v>928</v>
      </c>
      <c r="I3211" t="s">
        <v>6063</v>
      </c>
      <c r="J3211" t="s">
        <v>8645</v>
      </c>
      <c r="K3211" t="s">
        <v>9506</v>
      </c>
    </row>
    <row r="3212" spans="1:11" x14ac:dyDescent="0.4">
      <c r="A3212" t="s">
        <v>5251</v>
      </c>
      <c r="B3212">
        <v>66.7</v>
      </c>
      <c r="C3212" t="s">
        <v>5720</v>
      </c>
      <c r="D3212">
        <v>4</v>
      </c>
      <c r="E3212">
        <v>-1.1850000000000001</v>
      </c>
      <c r="F3212">
        <v>2</v>
      </c>
      <c r="G3212">
        <v>2024</v>
      </c>
      <c r="H3212" t="s">
        <v>928</v>
      </c>
      <c r="I3212" t="s">
        <v>6063</v>
      </c>
      <c r="J3212" t="s">
        <v>8646</v>
      </c>
      <c r="K3212" t="s">
        <v>9507</v>
      </c>
    </row>
    <row r="3213" spans="1:11" x14ac:dyDescent="0.4">
      <c r="A3213" t="s">
        <v>5259</v>
      </c>
      <c r="B3213">
        <v>66.7</v>
      </c>
      <c r="C3213" t="s">
        <v>5720</v>
      </c>
      <c r="D3213">
        <v>4</v>
      </c>
      <c r="E3213">
        <v>-1.1850000000000001</v>
      </c>
      <c r="F3213">
        <v>2</v>
      </c>
      <c r="G3213">
        <v>2024</v>
      </c>
      <c r="H3213" t="s">
        <v>928</v>
      </c>
      <c r="I3213" t="s">
        <v>6063</v>
      </c>
      <c r="J3213" t="s">
        <v>8647</v>
      </c>
      <c r="K3213" t="s">
        <v>9508</v>
      </c>
    </row>
    <row r="3214" spans="1:11" x14ac:dyDescent="0.4">
      <c r="A3214" t="s">
        <v>5235</v>
      </c>
      <c r="B3214">
        <v>100</v>
      </c>
      <c r="C3214" t="s">
        <v>1380</v>
      </c>
      <c r="D3214">
        <v>5</v>
      </c>
      <c r="E3214">
        <v>0.60799999999999998</v>
      </c>
      <c r="F3214">
        <v>3</v>
      </c>
      <c r="G3214">
        <v>2024</v>
      </c>
      <c r="H3214" t="s">
        <v>928</v>
      </c>
      <c r="I3214" t="s">
        <v>6063</v>
      </c>
      <c r="J3214" t="s">
        <v>8648</v>
      </c>
      <c r="K3214" t="s">
        <v>9509</v>
      </c>
    </row>
    <row r="3215" spans="1:11" x14ac:dyDescent="0.4">
      <c r="A3215" t="s">
        <v>5911</v>
      </c>
      <c r="B3215">
        <v>100</v>
      </c>
      <c r="C3215" t="s">
        <v>1380</v>
      </c>
      <c r="D3215">
        <v>5</v>
      </c>
      <c r="E3215">
        <v>0.60799999999999998</v>
      </c>
      <c r="F3215">
        <v>3</v>
      </c>
      <c r="G3215">
        <v>2024</v>
      </c>
      <c r="H3215" t="s">
        <v>928</v>
      </c>
      <c r="I3215" t="s">
        <v>6063</v>
      </c>
      <c r="J3215" t="s">
        <v>8649</v>
      </c>
      <c r="K3215" t="s">
        <v>9510</v>
      </c>
    </row>
    <row r="3216" spans="1:11" x14ac:dyDescent="0.4">
      <c r="A3216" t="s">
        <v>5266</v>
      </c>
      <c r="B3216">
        <v>100</v>
      </c>
      <c r="C3216" t="s">
        <v>1380</v>
      </c>
      <c r="D3216">
        <v>5</v>
      </c>
      <c r="E3216">
        <v>0.60799999999999998</v>
      </c>
      <c r="F3216">
        <v>3</v>
      </c>
      <c r="G3216">
        <v>2024</v>
      </c>
      <c r="H3216" t="s">
        <v>928</v>
      </c>
      <c r="I3216" t="s">
        <v>6063</v>
      </c>
      <c r="J3216" t="s">
        <v>8650</v>
      </c>
      <c r="K3216" t="s">
        <v>9511</v>
      </c>
    </row>
    <row r="3217" spans="1:11" x14ac:dyDescent="0.4">
      <c r="A3217" t="s">
        <v>5912</v>
      </c>
      <c r="B3217">
        <v>100</v>
      </c>
      <c r="C3217" t="s">
        <v>1380</v>
      </c>
      <c r="D3217">
        <v>5</v>
      </c>
      <c r="E3217">
        <v>0.60799999999999998</v>
      </c>
      <c r="F3217">
        <v>3</v>
      </c>
      <c r="G3217">
        <v>2024</v>
      </c>
      <c r="H3217" t="s">
        <v>928</v>
      </c>
      <c r="I3217" t="s">
        <v>6063</v>
      </c>
      <c r="J3217" t="s">
        <v>8651</v>
      </c>
      <c r="K3217" t="s">
        <v>9512</v>
      </c>
    </row>
    <row r="3218" spans="1:11" x14ac:dyDescent="0.4">
      <c r="A3218" t="s">
        <v>5277</v>
      </c>
      <c r="B3218">
        <v>100</v>
      </c>
      <c r="C3218" t="s">
        <v>1380</v>
      </c>
      <c r="D3218">
        <v>5</v>
      </c>
      <c r="E3218">
        <v>0.60799999999999998</v>
      </c>
      <c r="F3218">
        <v>3</v>
      </c>
      <c r="G3218">
        <v>2024</v>
      </c>
      <c r="H3218" t="s">
        <v>928</v>
      </c>
      <c r="I3218" t="s">
        <v>6063</v>
      </c>
      <c r="J3218" t="s">
        <v>8652</v>
      </c>
      <c r="K3218" t="s">
        <v>9513</v>
      </c>
    </row>
    <row r="3219" spans="1:11" x14ac:dyDescent="0.4">
      <c r="A3219" t="s">
        <v>5242</v>
      </c>
      <c r="B3219">
        <v>33.299999999999997</v>
      </c>
      <c r="C3219" t="s">
        <v>6040</v>
      </c>
      <c r="D3219">
        <v>2</v>
      </c>
      <c r="E3219">
        <v>-2.9830000000000001</v>
      </c>
      <c r="F3219">
        <v>1</v>
      </c>
      <c r="G3219">
        <v>2024</v>
      </c>
      <c r="H3219" t="s">
        <v>928</v>
      </c>
      <c r="I3219" t="s">
        <v>6063</v>
      </c>
      <c r="J3219" t="s">
        <v>8653</v>
      </c>
      <c r="K3219" t="s">
        <v>9514</v>
      </c>
    </row>
    <row r="3220" spans="1:11" x14ac:dyDescent="0.4">
      <c r="A3220" t="s">
        <v>5247</v>
      </c>
      <c r="B3220">
        <v>66.7</v>
      </c>
      <c r="C3220" t="s">
        <v>5720</v>
      </c>
      <c r="D3220">
        <v>4</v>
      </c>
      <c r="E3220">
        <v>-1.1850000000000001</v>
      </c>
      <c r="F3220">
        <v>2</v>
      </c>
      <c r="G3220">
        <v>2024</v>
      </c>
      <c r="H3220" t="s">
        <v>928</v>
      </c>
      <c r="I3220" t="s">
        <v>6063</v>
      </c>
      <c r="J3220" t="s">
        <v>8654</v>
      </c>
      <c r="K3220" t="s">
        <v>9515</v>
      </c>
    </row>
    <row r="3221" spans="1:11" x14ac:dyDescent="0.4">
      <c r="A3221" t="s">
        <v>5240</v>
      </c>
      <c r="B3221">
        <v>100</v>
      </c>
      <c r="C3221" t="s">
        <v>1380</v>
      </c>
      <c r="D3221">
        <v>5</v>
      </c>
      <c r="E3221">
        <v>0.60799999999999998</v>
      </c>
      <c r="F3221">
        <v>3</v>
      </c>
      <c r="G3221">
        <v>2024</v>
      </c>
      <c r="H3221" t="s">
        <v>928</v>
      </c>
      <c r="I3221" t="s">
        <v>6063</v>
      </c>
      <c r="J3221" t="s">
        <v>8655</v>
      </c>
      <c r="K3221" t="s">
        <v>9516</v>
      </c>
    </row>
    <row r="3222" spans="1:11" x14ac:dyDescent="0.4">
      <c r="A3222" t="s">
        <v>5913</v>
      </c>
      <c r="B3222">
        <v>100</v>
      </c>
      <c r="C3222" t="s">
        <v>1380</v>
      </c>
      <c r="D3222">
        <v>5</v>
      </c>
      <c r="E3222">
        <v>0.60799999999999998</v>
      </c>
      <c r="F3222">
        <v>3</v>
      </c>
      <c r="G3222">
        <v>2024</v>
      </c>
      <c r="H3222" t="s">
        <v>928</v>
      </c>
      <c r="I3222" t="s">
        <v>6063</v>
      </c>
      <c r="J3222" t="s">
        <v>8656</v>
      </c>
      <c r="K3222" t="s">
        <v>9517</v>
      </c>
    </row>
    <row r="3223" spans="1:11" x14ac:dyDescent="0.4">
      <c r="A3223" t="s">
        <v>5267</v>
      </c>
      <c r="B3223">
        <v>100</v>
      </c>
      <c r="C3223" t="s">
        <v>1380</v>
      </c>
      <c r="D3223">
        <v>5</v>
      </c>
      <c r="E3223">
        <v>0.60799999999999998</v>
      </c>
      <c r="F3223">
        <v>3</v>
      </c>
      <c r="G3223">
        <v>2024</v>
      </c>
      <c r="H3223" t="s">
        <v>928</v>
      </c>
      <c r="I3223" t="s">
        <v>6063</v>
      </c>
      <c r="J3223" t="s">
        <v>8657</v>
      </c>
      <c r="K3223" t="s">
        <v>9518</v>
      </c>
    </row>
    <row r="3224" spans="1:11" x14ac:dyDescent="0.4">
      <c r="A3224" t="s">
        <v>5268</v>
      </c>
      <c r="B3224">
        <v>100</v>
      </c>
      <c r="C3224" t="s">
        <v>1380</v>
      </c>
      <c r="D3224">
        <v>5</v>
      </c>
      <c r="E3224">
        <v>0.60799999999999998</v>
      </c>
      <c r="F3224">
        <v>3</v>
      </c>
      <c r="G3224">
        <v>2024</v>
      </c>
      <c r="H3224" t="s">
        <v>928</v>
      </c>
      <c r="I3224" t="s">
        <v>6063</v>
      </c>
      <c r="J3224" t="s">
        <v>8658</v>
      </c>
      <c r="K3224" t="s">
        <v>9519</v>
      </c>
    </row>
    <row r="3225" spans="1:11" x14ac:dyDescent="0.4">
      <c r="A3225" t="s">
        <v>5264</v>
      </c>
      <c r="B3225">
        <v>100</v>
      </c>
      <c r="C3225" t="s">
        <v>1380</v>
      </c>
      <c r="D3225">
        <v>5</v>
      </c>
      <c r="E3225">
        <v>0.60799999999999998</v>
      </c>
      <c r="F3225">
        <v>3</v>
      </c>
      <c r="G3225">
        <v>2024</v>
      </c>
      <c r="H3225" t="s">
        <v>928</v>
      </c>
      <c r="I3225" t="s">
        <v>6063</v>
      </c>
      <c r="J3225" t="s">
        <v>8659</v>
      </c>
      <c r="K3225" t="s">
        <v>9520</v>
      </c>
    </row>
    <row r="3226" spans="1:11" x14ac:dyDescent="0.4">
      <c r="A3226" t="s">
        <v>5272</v>
      </c>
      <c r="B3226">
        <v>66.7</v>
      </c>
      <c r="C3226" t="s">
        <v>5720</v>
      </c>
      <c r="D3226">
        <v>4</v>
      </c>
      <c r="E3226">
        <v>-1.1850000000000001</v>
      </c>
      <c r="F3226">
        <v>2</v>
      </c>
      <c r="G3226">
        <v>2024</v>
      </c>
      <c r="H3226" t="s">
        <v>928</v>
      </c>
      <c r="I3226" t="s">
        <v>6063</v>
      </c>
      <c r="J3226" t="s">
        <v>8660</v>
      </c>
      <c r="K3226" t="s">
        <v>9521</v>
      </c>
    </row>
    <row r="3227" spans="1:11" x14ac:dyDescent="0.4">
      <c r="A3227" t="s">
        <v>5265</v>
      </c>
      <c r="B3227">
        <v>100</v>
      </c>
      <c r="C3227" t="s">
        <v>1380</v>
      </c>
      <c r="D3227">
        <v>5</v>
      </c>
      <c r="E3227">
        <v>0.60799999999999998</v>
      </c>
      <c r="F3227">
        <v>3</v>
      </c>
      <c r="G3227">
        <v>2024</v>
      </c>
      <c r="H3227" t="s">
        <v>928</v>
      </c>
      <c r="I3227" t="s">
        <v>6063</v>
      </c>
      <c r="J3227" t="s">
        <v>8661</v>
      </c>
      <c r="K3227" t="s">
        <v>9522</v>
      </c>
    </row>
    <row r="3228" spans="1:11" x14ac:dyDescent="0.4">
      <c r="A3228" t="s">
        <v>5237</v>
      </c>
      <c r="B3228">
        <v>100</v>
      </c>
      <c r="C3228" t="s">
        <v>1380</v>
      </c>
      <c r="D3228">
        <v>5</v>
      </c>
      <c r="E3228">
        <v>0.60799999999999998</v>
      </c>
      <c r="F3228">
        <v>3</v>
      </c>
      <c r="G3228">
        <v>2024</v>
      </c>
      <c r="H3228" t="s">
        <v>928</v>
      </c>
      <c r="I3228" t="s">
        <v>6063</v>
      </c>
      <c r="J3228" t="s">
        <v>8662</v>
      </c>
      <c r="K3228" t="s">
        <v>9523</v>
      </c>
    </row>
    <row r="3229" spans="1:11" x14ac:dyDescent="0.4">
      <c r="A3229" t="s">
        <v>5254</v>
      </c>
      <c r="B3229">
        <v>100</v>
      </c>
      <c r="C3229" t="s">
        <v>1380</v>
      </c>
      <c r="D3229">
        <v>5</v>
      </c>
      <c r="E3229">
        <v>0.60799999999999998</v>
      </c>
      <c r="F3229">
        <v>3</v>
      </c>
      <c r="G3229">
        <v>2024</v>
      </c>
      <c r="H3229" t="s">
        <v>928</v>
      </c>
      <c r="I3229" t="s">
        <v>6063</v>
      </c>
      <c r="J3229" t="s">
        <v>8663</v>
      </c>
      <c r="K3229" t="s">
        <v>9524</v>
      </c>
    </row>
    <row r="3230" spans="1:11" x14ac:dyDescent="0.4">
      <c r="A3230" t="s">
        <v>5270</v>
      </c>
      <c r="B3230">
        <v>100</v>
      </c>
      <c r="C3230" t="s">
        <v>1380</v>
      </c>
      <c r="D3230">
        <v>5</v>
      </c>
      <c r="E3230">
        <v>0.60799999999999998</v>
      </c>
      <c r="F3230">
        <v>3</v>
      </c>
      <c r="G3230">
        <v>2024</v>
      </c>
      <c r="H3230" t="s">
        <v>928</v>
      </c>
      <c r="I3230" t="s">
        <v>6063</v>
      </c>
      <c r="J3230" t="s">
        <v>8664</v>
      </c>
      <c r="K3230" t="s">
        <v>9525</v>
      </c>
    </row>
    <row r="3231" spans="1:11" x14ac:dyDescent="0.4">
      <c r="A3231" t="s">
        <v>5256</v>
      </c>
      <c r="B3231">
        <v>66.7</v>
      </c>
      <c r="C3231" t="s">
        <v>5720</v>
      </c>
      <c r="D3231">
        <v>4</v>
      </c>
      <c r="E3231">
        <v>-1.1850000000000001</v>
      </c>
      <c r="F3231">
        <v>2</v>
      </c>
      <c r="G3231">
        <v>2024</v>
      </c>
      <c r="H3231" t="s">
        <v>928</v>
      </c>
      <c r="I3231" t="s">
        <v>6063</v>
      </c>
      <c r="J3231" t="s">
        <v>8665</v>
      </c>
      <c r="K3231" t="s">
        <v>9526</v>
      </c>
    </row>
    <row r="3232" spans="1:11" x14ac:dyDescent="0.4">
      <c r="A3232" t="s">
        <v>5278</v>
      </c>
      <c r="B3232">
        <v>88.7</v>
      </c>
      <c r="C3232" t="s">
        <v>197</v>
      </c>
      <c r="D3232">
        <v>5</v>
      </c>
    </row>
    <row r="3233" spans="1:5" x14ac:dyDescent="0.4">
      <c r="A3233" t="s">
        <v>5279</v>
      </c>
      <c r="B3233">
        <v>86.7</v>
      </c>
      <c r="C3233" t="s">
        <v>197</v>
      </c>
      <c r="D3233">
        <v>5</v>
      </c>
    </row>
    <row r="3234" spans="1:5" x14ac:dyDescent="0.4">
      <c r="A3234" t="s">
        <v>5280</v>
      </c>
      <c r="B3234">
        <v>100</v>
      </c>
      <c r="C3234" t="s">
        <v>197</v>
      </c>
      <c r="D3234">
        <v>5</v>
      </c>
    </row>
    <row r="3235" spans="1:5" x14ac:dyDescent="0.4">
      <c r="A3235" t="s">
        <v>5281</v>
      </c>
      <c r="B3235">
        <v>75</v>
      </c>
      <c r="C3235" t="s">
        <v>197</v>
      </c>
      <c r="D3235">
        <v>4</v>
      </c>
    </row>
    <row r="3236" spans="1:5" x14ac:dyDescent="0.4">
      <c r="A3236" t="s">
        <v>5282</v>
      </c>
      <c r="B3236">
        <v>90</v>
      </c>
      <c r="C3236" t="s">
        <v>197</v>
      </c>
      <c r="D3236">
        <v>5</v>
      </c>
    </row>
    <row r="3237" spans="1:5" x14ac:dyDescent="0.4">
      <c r="A3237" t="s">
        <v>5283</v>
      </c>
      <c r="B3237">
        <v>80</v>
      </c>
      <c r="C3237" t="s">
        <v>197</v>
      </c>
      <c r="D3237">
        <v>5</v>
      </c>
    </row>
    <row r="3238" spans="1:5" x14ac:dyDescent="0.4">
      <c r="A3238" t="s">
        <v>5284</v>
      </c>
      <c r="B3238">
        <v>92.9</v>
      </c>
      <c r="C3238" t="s">
        <v>197</v>
      </c>
      <c r="D3238">
        <v>5</v>
      </c>
    </row>
    <row r="3239" spans="1:5" x14ac:dyDescent="0.4">
      <c r="A3239" t="s">
        <v>7414</v>
      </c>
      <c r="B3239">
        <v>81.3</v>
      </c>
      <c r="C3239" t="s">
        <v>197</v>
      </c>
      <c r="D3239">
        <v>5</v>
      </c>
    </row>
    <row r="3240" spans="1:5" x14ac:dyDescent="0.4">
      <c r="A3240" t="s">
        <v>7415</v>
      </c>
      <c r="B3240">
        <v>90.9</v>
      </c>
      <c r="C3240" t="s">
        <v>197</v>
      </c>
      <c r="D3240">
        <v>5</v>
      </c>
    </row>
    <row r="3241" spans="1:5" x14ac:dyDescent="0.4">
      <c r="A3241" t="s">
        <v>7416</v>
      </c>
      <c r="B3241">
        <v>92.8</v>
      </c>
      <c r="C3241" t="s">
        <v>197</v>
      </c>
      <c r="D3241">
        <v>5</v>
      </c>
    </row>
    <row r="3242" spans="1:5" x14ac:dyDescent="0.4">
      <c r="A3242" t="s">
        <v>5289</v>
      </c>
      <c r="B3242">
        <v>66.7</v>
      </c>
      <c r="C3242" t="s">
        <v>5725</v>
      </c>
      <c r="D3242">
        <v>4</v>
      </c>
      <c r="E3242">
        <v>0.16700000000000001</v>
      </c>
    </row>
    <row r="3243" spans="1:5" x14ac:dyDescent="0.4">
      <c r="A3243" t="s">
        <v>5287</v>
      </c>
      <c r="B3243">
        <v>16.7</v>
      </c>
      <c r="C3243" t="s">
        <v>5737</v>
      </c>
      <c r="D3243">
        <v>1</v>
      </c>
      <c r="E3243">
        <v>-1.226</v>
      </c>
    </row>
    <row r="3244" spans="1:5" x14ac:dyDescent="0.4">
      <c r="A3244" t="s">
        <v>5294</v>
      </c>
      <c r="B3244">
        <v>0</v>
      </c>
      <c r="C3244" t="s">
        <v>5724</v>
      </c>
      <c r="D3244">
        <v>1</v>
      </c>
      <c r="E3244">
        <v>-1.6910000000000001</v>
      </c>
    </row>
    <row r="3245" spans="1:5" x14ac:dyDescent="0.4">
      <c r="A3245" t="s">
        <v>5328</v>
      </c>
      <c r="B3245">
        <v>66.7</v>
      </c>
      <c r="C3245" t="s">
        <v>5725</v>
      </c>
      <c r="D3245">
        <v>4</v>
      </c>
      <c r="E3245">
        <v>0.16700000000000001</v>
      </c>
    </row>
    <row r="3246" spans="1:5" x14ac:dyDescent="0.4">
      <c r="A3246" t="s">
        <v>5310</v>
      </c>
      <c r="B3246">
        <v>83.3</v>
      </c>
      <c r="C3246" t="s">
        <v>2485</v>
      </c>
      <c r="D3246">
        <v>5</v>
      </c>
      <c r="E3246">
        <v>0.629</v>
      </c>
    </row>
    <row r="3247" spans="1:5" x14ac:dyDescent="0.4">
      <c r="A3247" t="s">
        <v>5322</v>
      </c>
      <c r="B3247">
        <v>83.3</v>
      </c>
      <c r="C3247" t="s">
        <v>2485</v>
      </c>
      <c r="D3247">
        <v>5</v>
      </c>
      <c r="E3247">
        <v>0.629</v>
      </c>
    </row>
    <row r="3248" spans="1:5" x14ac:dyDescent="0.4">
      <c r="A3248" t="s">
        <v>5299</v>
      </c>
      <c r="B3248">
        <v>100</v>
      </c>
      <c r="C3248" t="s">
        <v>1380</v>
      </c>
      <c r="D3248">
        <v>5</v>
      </c>
      <c r="E3248">
        <v>1.095</v>
      </c>
    </row>
    <row r="3249" spans="1:5" x14ac:dyDescent="0.4">
      <c r="A3249" t="s">
        <v>5292</v>
      </c>
      <c r="B3249">
        <v>83.3</v>
      </c>
      <c r="C3249" t="s">
        <v>2485</v>
      </c>
      <c r="D3249">
        <v>5</v>
      </c>
      <c r="E3249">
        <v>0.629</v>
      </c>
    </row>
    <row r="3250" spans="1:5" x14ac:dyDescent="0.4">
      <c r="A3250" t="s">
        <v>5306</v>
      </c>
      <c r="B3250">
        <v>0</v>
      </c>
      <c r="C3250" t="s">
        <v>5724</v>
      </c>
      <c r="D3250">
        <v>1</v>
      </c>
      <c r="E3250">
        <v>-1.6910000000000001</v>
      </c>
    </row>
    <row r="3251" spans="1:5" x14ac:dyDescent="0.4">
      <c r="A3251" t="s">
        <v>5296</v>
      </c>
      <c r="B3251">
        <v>16.7</v>
      </c>
      <c r="C3251" t="s">
        <v>5737</v>
      </c>
      <c r="D3251">
        <v>1</v>
      </c>
      <c r="E3251">
        <v>-1.226</v>
      </c>
    </row>
    <row r="3252" spans="1:5" x14ac:dyDescent="0.4">
      <c r="A3252" t="s">
        <v>6002</v>
      </c>
      <c r="B3252">
        <v>16.7</v>
      </c>
      <c r="C3252" t="s">
        <v>5737</v>
      </c>
      <c r="D3252">
        <v>1</v>
      </c>
      <c r="E3252">
        <v>-1.226</v>
      </c>
    </row>
    <row r="3253" spans="1:5" x14ac:dyDescent="0.4">
      <c r="A3253" t="s">
        <v>5314</v>
      </c>
      <c r="B3253">
        <v>83.3</v>
      </c>
      <c r="C3253" t="s">
        <v>2485</v>
      </c>
      <c r="D3253">
        <v>5</v>
      </c>
      <c r="E3253">
        <v>0.629</v>
      </c>
    </row>
    <row r="3254" spans="1:5" x14ac:dyDescent="0.4">
      <c r="A3254" t="s">
        <v>5315</v>
      </c>
      <c r="B3254">
        <v>33.299999999999997</v>
      </c>
      <c r="C3254" t="s">
        <v>5717</v>
      </c>
      <c r="D3254">
        <v>2</v>
      </c>
      <c r="E3254">
        <v>-0.76300000000000001</v>
      </c>
    </row>
    <row r="3255" spans="1:5" x14ac:dyDescent="0.4">
      <c r="A3255" t="s">
        <v>5297</v>
      </c>
      <c r="B3255">
        <v>83.3</v>
      </c>
      <c r="C3255" t="s">
        <v>2485</v>
      </c>
      <c r="D3255">
        <v>5</v>
      </c>
      <c r="E3255">
        <v>0.629</v>
      </c>
    </row>
    <row r="3256" spans="1:5" x14ac:dyDescent="0.4">
      <c r="A3256" t="s">
        <v>5305</v>
      </c>
      <c r="B3256">
        <v>66.7</v>
      </c>
      <c r="C3256" t="s">
        <v>5725</v>
      </c>
      <c r="D3256">
        <v>4</v>
      </c>
      <c r="E3256">
        <v>0.16700000000000001</v>
      </c>
    </row>
    <row r="3257" spans="1:5" x14ac:dyDescent="0.4">
      <c r="A3257" t="s">
        <v>5327</v>
      </c>
      <c r="B3257">
        <v>100</v>
      </c>
      <c r="C3257" t="s">
        <v>1380</v>
      </c>
      <c r="D3257">
        <v>5</v>
      </c>
      <c r="E3257">
        <v>1.095</v>
      </c>
    </row>
    <row r="3258" spans="1:5" x14ac:dyDescent="0.4">
      <c r="A3258" t="s">
        <v>5324</v>
      </c>
      <c r="B3258">
        <v>100</v>
      </c>
      <c r="C3258" t="s">
        <v>1380</v>
      </c>
      <c r="D3258">
        <v>5</v>
      </c>
      <c r="E3258">
        <v>1.095</v>
      </c>
    </row>
    <row r="3259" spans="1:5" x14ac:dyDescent="0.4">
      <c r="A3259" t="s">
        <v>5302</v>
      </c>
      <c r="B3259">
        <v>16.7</v>
      </c>
      <c r="C3259" t="s">
        <v>5737</v>
      </c>
      <c r="D3259">
        <v>1</v>
      </c>
      <c r="E3259">
        <v>-1.226</v>
      </c>
    </row>
    <row r="3260" spans="1:5" x14ac:dyDescent="0.4">
      <c r="A3260" t="s">
        <v>5308</v>
      </c>
      <c r="B3260">
        <v>100</v>
      </c>
      <c r="C3260" t="s">
        <v>1380</v>
      </c>
      <c r="D3260">
        <v>5</v>
      </c>
      <c r="E3260">
        <v>1.095</v>
      </c>
    </row>
    <row r="3261" spans="1:5" x14ac:dyDescent="0.4">
      <c r="A3261" t="s">
        <v>5286</v>
      </c>
      <c r="B3261">
        <v>16.7</v>
      </c>
      <c r="C3261" t="s">
        <v>5737</v>
      </c>
      <c r="D3261">
        <v>1</v>
      </c>
      <c r="E3261">
        <v>-1.226</v>
      </c>
    </row>
    <row r="3262" spans="1:5" x14ac:dyDescent="0.4">
      <c r="A3262" t="s">
        <v>5311</v>
      </c>
      <c r="B3262">
        <v>83.3</v>
      </c>
      <c r="C3262" t="s">
        <v>2485</v>
      </c>
      <c r="D3262">
        <v>5</v>
      </c>
      <c r="E3262">
        <v>0.629</v>
      </c>
    </row>
    <row r="3263" spans="1:5" x14ac:dyDescent="0.4">
      <c r="A3263" t="s">
        <v>5316</v>
      </c>
      <c r="B3263">
        <v>0</v>
      </c>
      <c r="C3263" t="s">
        <v>5724</v>
      </c>
      <c r="D3263">
        <v>1</v>
      </c>
      <c r="E3263">
        <v>-1.6910000000000001</v>
      </c>
    </row>
    <row r="3264" spans="1:5" x14ac:dyDescent="0.4">
      <c r="A3264" t="s">
        <v>5313</v>
      </c>
      <c r="B3264">
        <v>83.3</v>
      </c>
      <c r="C3264" t="s">
        <v>2485</v>
      </c>
      <c r="D3264">
        <v>5</v>
      </c>
      <c r="E3264">
        <v>0.629</v>
      </c>
    </row>
    <row r="3265" spans="1:5" x14ac:dyDescent="0.4">
      <c r="A3265" t="s">
        <v>5298</v>
      </c>
      <c r="B3265">
        <v>83.3</v>
      </c>
      <c r="C3265" t="s">
        <v>2485</v>
      </c>
      <c r="D3265">
        <v>5</v>
      </c>
      <c r="E3265">
        <v>0.629</v>
      </c>
    </row>
    <row r="3266" spans="1:5" x14ac:dyDescent="0.4">
      <c r="A3266" t="s">
        <v>5285</v>
      </c>
      <c r="B3266">
        <v>16.7</v>
      </c>
      <c r="C3266" t="s">
        <v>5737</v>
      </c>
      <c r="D3266">
        <v>1</v>
      </c>
      <c r="E3266">
        <v>-1.226</v>
      </c>
    </row>
    <row r="3267" spans="1:5" x14ac:dyDescent="0.4">
      <c r="A3267" t="s">
        <v>5301</v>
      </c>
      <c r="B3267">
        <v>66.7</v>
      </c>
      <c r="C3267" t="s">
        <v>5725</v>
      </c>
      <c r="D3267">
        <v>4</v>
      </c>
      <c r="E3267">
        <v>0.16700000000000001</v>
      </c>
    </row>
    <row r="3268" spans="1:5" x14ac:dyDescent="0.4">
      <c r="A3268" t="s">
        <v>5303</v>
      </c>
      <c r="B3268">
        <v>33.299999999999997</v>
      </c>
      <c r="C3268" t="s">
        <v>5717</v>
      </c>
      <c r="D3268">
        <v>2</v>
      </c>
      <c r="E3268">
        <v>-0.76300000000000001</v>
      </c>
    </row>
    <row r="3269" spans="1:5" x14ac:dyDescent="0.4">
      <c r="A3269" t="s">
        <v>5329</v>
      </c>
      <c r="B3269">
        <v>0</v>
      </c>
      <c r="C3269" t="s">
        <v>5724</v>
      </c>
      <c r="D3269">
        <v>1</v>
      </c>
      <c r="E3269">
        <v>-1.6910000000000001</v>
      </c>
    </row>
    <row r="3270" spans="1:5" x14ac:dyDescent="0.4">
      <c r="A3270" t="s">
        <v>5326</v>
      </c>
      <c r="B3270">
        <v>83.3</v>
      </c>
      <c r="C3270" t="s">
        <v>2485</v>
      </c>
      <c r="D3270">
        <v>5</v>
      </c>
      <c r="E3270">
        <v>0.629</v>
      </c>
    </row>
    <row r="3271" spans="1:5" x14ac:dyDescent="0.4">
      <c r="A3271" t="s">
        <v>5291</v>
      </c>
      <c r="B3271">
        <v>0</v>
      </c>
      <c r="C3271" t="s">
        <v>5724</v>
      </c>
      <c r="D3271">
        <v>1</v>
      </c>
      <c r="E3271">
        <v>-1.6910000000000001</v>
      </c>
    </row>
    <row r="3272" spans="1:5" x14ac:dyDescent="0.4">
      <c r="A3272" t="s">
        <v>5304</v>
      </c>
      <c r="B3272">
        <v>33.299999999999997</v>
      </c>
      <c r="C3272" t="s">
        <v>5717</v>
      </c>
      <c r="D3272">
        <v>2</v>
      </c>
      <c r="E3272">
        <v>-0.76300000000000001</v>
      </c>
    </row>
    <row r="3273" spans="1:5" x14ac:dyDescent="0.4">
      <c r="A3273" t="s">
        <v>5312</v>
      </c>
      <c r="B3273">
        <v>100</v>
      </c>
      <c r="C3273" t="s">
        <v>1380</v>
      </c>
      <c r="D3273">
        <v>5</v>
      </c>
      <c r="E3273">
        <v>1.095</v>
      </c>
    </row>
    <row r="3274" spans="1:5" x14ac:dyDescent="0.4">
      <c r="A3274" t="s">
        <v>5288</v>
      </c>
      <c r="B3274">
        <v>100</v>
      </c>
      <c r="C3274" t="s">
        <v>1380</v>
      </c>
      <c r="D3274">
        <v>5</v>
      </c>
      <c r="E3274">
        <v>1.095</v>
      </c>
    </row>
    <row r="3275" spans="1:5" x14ac:dyDescent="0.4">
      <c r="A3275" t="s">
        <v>5914</v>
      </c>
      <c r="B3275">
        <v>83.3</v>
      </c>
      <c r="C3275" t="s">
        <v>2485</v>
      </c>
      <c r="D3275">
        <v>5</v>
      </c>
      <c r="E3275">
        <v>0.629</v>
      </c>
    </row>
    <row r="3276" spans="1:5" x14ac:dyDescent="0.4">
      <c r="A3276" t="s">
        <v>5319</v>
      </c>
      <c r="B3276">
        <v>100</v>
      </c>
      <c r="C3276" t="s">
        <v>1380</v>
      </c>
      <c r="D3276">
        <v>5</v>
      </c>
      <c r="E3276">
        <v>1.095</v>
      </c>
    </row>
    <row r="3277" spans="1:5" x14ac:dyDescent="0.4">
      <c r="A3277" t="s">
        <v>5915</v>
      </c>
      <c r="B3277">
        <v>83.3</v>
      </c>
      <c r="C3277" t="s">
        <v>2485</v>
      </c>
      <c r="D3277">
        <v>5</v>
      </c>
      <c r="E3277">
        <v>0.629</v>
      </c>
    </row>
    <row r="3278" spans="1:5" x14ac:dyDescent="0.4">
      <c r="A3278" t="s">
        <v>5330</v>
      </c>
      <c r="B3278">
        <v>16.7</v>
      </c>
      <c r="C3278" t="s">
        <v>5737</v>
      </c>
      <c r="D3278">
        <v>1</v>
      </c>
      <c r="E3278">
        <v>-1.226</v>
      </c>
    </row>
    <row r="3279" spans="1:5" x14ac:dyDescent="0.4">
      <c r="A3279" t="s">
        <v>5295</v>
      </c>
      <c r="B3279">
        <v>0</v>
      </c>
      <c r="C3279" t="s">
        <v>5724</v>
      </c>
      <c r="D3279">
        <v>1</v>
      </c>
      <c r="E3279">
        <v>-1.6910000000000001</v>
      </c>
    </row>
    <row r="3280" spans="1:5" x14ac:dyDescent="0.4">
      <c r="A3280" t="s">
        <v>5300</v>
      </c>
      <c r="B3280">
        <v>83.3</v>
      </c>
      <c r="C3280" t="s">
        <v>2485</v>
      </c>
      <c r="D3280">
        <v>5</v>
      </c>
      <c r="E3280">
        <v>0.629</v>
      </c>
    </row>
    <row r="3281" spans="1:5" x14ac:dyDescent="0.4">
      <c r="A3281" t="s">
        <v>5293</v>
      </c>
      <c r="B3281">
        <v>66.7</v>
      </c>
      <c r="C3281" t="s">
        <v>5725</v>
      </c>
      <c r="D3281">
        <v>4</v>
      </c>
      <c r="E3281">
        <v>0.16700000000000001</v>
      </c>
    </row>
    <row r="3282" spans="1:5" x14ac:dyDescent="0.4">
      <c r="A3282" t="s">
        <v>5916</v>
      </c>
      <c r="B3282">
        <v>83.3</v>
      </c>
      <c r="C3282" t="s">
        <v>2485</v>
      </c>
      <c r="D3282">
        <v>5</v>
      </c>
      <c r="E3282">
        <v>0.629</v>
      </c>
    </row>
    <row r="3283" spans="1:5" x14ac:dyDescent="0.4">
      <c r="A3283" t="s">
        <v>5320</v>
      </c>
      <c r="B3283">
        <v>83.3</v>
      </c>
      <c r="C3283" t="s">
        <v>2485</v>
      </c>
      <c r="D3283">
        <v>5</v>
      </c>
      <c r="E3283">
        <v>0.629</v>
      </c>
    </row>
    <row r="3284" spans="1:5" x14ac:dyDescent="0.4">
      <c r="A3284" t="s">
        <v>5321</v>
      </c>
      <c r="B3284">
        <v>83.3</v>
      </c>
      <c r="C3284" t="s">
        <v>2485</v>
      </c>
      <c r="D3284">
        <v>5</v>
      </c>
      <c r="E3284">
        <v>0.629</v>
      </c>
    </row>
    <row r="3285" spans="1:5" x14ac:dyDescent="0.4">
      <c r="A3285" t="s">
        <v>5317</v>
      </c>
      <c r="B3285">
        <v>83.3</v>
      </c>
      <c r="C3285" t="s">
        <v>2485</v>
      </c>
      <c r="D3285">
        <v>5</v>
      </c>
      <c r="E3285">
        <v>0.629</v>
      </c>
    </row>
    <row r="3286" spans="1:5" x14ac:dyDescent="0.4">
      <c r="A3286" t="s">
        <v>5325</v>
      </c>
      <c r="B3286">
        <v>83.3</v>
      </c>
      <c r="C3286" t="s">
        <v>2485</v>
      </c>
      <c r="D3286">
        <v>5</v>
      </c>
      <c r="E3286">
        <v>0.629</v>
      </c>
    </row>
    <row r="3287" spans="1:5" x14ac:dyDescent="0.4">
      <c r="A3287" t="s">
        <v>5318</v>
      </c>
      <c r="B3287">
        <v>100</v>
      </c>
      <c r="C3287" t="s">
        <v>1380</v>
      </c>
      <c r="D3287">
        <v>5</v>
      </c>
      <c r="E3287">
        <v>1.095</v>
      </c>
    </row>
    <row r="3288" spans="1:5" x14ac:dyDescent="0.4">
      <c r="A3288" t="s">
        <v>5290</v>
      </c>
      <c r="B3288">
        <v>66.7</v>
      </c>
      <c r="C3288" t="s">
        <v>5725</v>
      </c>
      <c r="D3288">
        <v>4</v>
      </c>
      <c r="E3288">
        <v>0.16700000000000001</v>
      </c>
    </row>
    <row r="3289" spans="1:5" x14ac:dyDescent="0.4">
      <c r="A3289" t="s">
        <v>5307</v>
      </c>
      <c r="B3289">
        <v>83.3</v>
      </c>
      <c r="C3289" t="s">
        <v>2485</v>
      </c>
      <c r="D3289">
        <v>5</v>
      </c>
      <c r="E3289">
        <v>0.629</v>
      </c>
    </row>
    <row r="3290" spans="1:5" x14ac:dyDescent="0.4">
      <c r="A3290" t="s">
        <v>5323</v>
      </c>
      <c r="B3290">
        <v>100</v>
      </c>
      <c r="C3290" t="s">
        <v>1380</v>
      </c>
      <c r="D3290">
        <v>5</v>
      </c>
      <c r="E3290">
        <v>1.095</v>
      </c>
    </row>
    <row r="3291" spans="1:5" x14ac:dyDescent="0.4">
      <c r="A3291" t="s">
        <v>5309</v>
      </c>
      <c r="B3291">
        <v>16.7</v>
      </c>
      <c r="C3291" t="s">
        <v>5737</v>
      </c>
      <c r="D3291">
        <v>1</v>
      </c>
      <c r="E3291">
        <v>-1.226</v>
      </c>
    </row>
    <row r="3292" spans="1:5" x14ac:dyDescent="0.4">
      <c r="A3292" t="s">
        <v>5331</v>
      </c>
      <c r="B3292">
        <v>60.7</v>
      </c>
      <c r="C3292" t="s">
        <v>197</v>
      </c>
      <c r="D3292">
        <v>4</v>
      </c>
    </row>
    <row r="3293" spans="1:5" x14ac:dyDescent="0.4">
      <c r="A3293" t="s">
        <v>5332</v>
      </c>
      <c r="B3293">
        <v>43.4</v>
      </c>
      <c r="C3293" t="s">
        <v>197</v>
      </c>
      <c r="D3293">
        <v>3</v>
      </c>
    </row>
    <row r="3294" spans="1:5" x14ac:dyDescent="0.4">
      <c r="A3294" t="s">
        <v>5333</v>
      </c>
      <c r="B3294">
        <v>54.8</v>
      </c>
      <c r="C3294" t="s">
        <v>197</v>
      </c>
      <c r="D3294">
        <v>3</v>
      </c>
    </row>
    <row r="3295" spans="1:5" x14ac:dyDescent="0.4">
      <c r="A3295" t="s">
        <v>5334</v>
      </c>
      <c r="B3295">
        <v>45.8</v>
      </c>
      <c r="C3295" t="s">
        <v>197</v>
      </c>
      <c r="D3295">
        <v>3</v>
      </c>
    </row>
    <row r="3296" spans="1:5" x14ac:dyDescent="0.4">
      <c r="A3296" t="s">
        <v>5335</v>
      </c>
      <c r="B3296">
        <v>56.7</v>
      </c>
      <c r="C3296" t="s">
        <v>197</v>
      </c>
      <c r="D3296">
        <v>3</v>
      </c>
    </row>
    <row r="3297" spans="1:11" x14ac:dyDescent="0.4">
      <c r="A3297" t="s">
        <v>5336</v>
      </c>
      <c r="B3297">
        <v>60</v>
      </c>
      <c r="C3297" t="s">
        <v>197</v>
      </c>
      <c r="D3297">
        <v>4</v>
      </c>
    </row>
    <row r="3298" spans="1:11" x14ac:dyDescent="0.4">
      <c r="A3298" t="s">
        <v>5337</v>
      </c>
      <c r="B3298">
        <v>77.400000000000006</v>
      </c>
      <c r="C3298" t="s">
        <v>197</v>
      </c>
      <c r="D3298">
        <v>4</v>
      </c>
    </row>
    <row r="3299" spans="1:11" x14ac:dyDescent="0.4">
      <c r="A3299" t="s">
        <v>7417</v>
      </c>
      <c r="B3299">
        <v>46.9</v>
      </c>
      <c r="C3299" t="s">
        <v>197</v>
      </c>
      <c r="D3299">
        <v>3</v>
      </c>
    </row>
    <row r="3300" spans="1:11" x14ac:dyDescent="0.4">
      <c r="A3300" t="s">
        <v>7418</v>
      </c>
      <c r="B3300">
        <v>62.1</v>
      </c>
      <c r="C3300" t="s">
        <v>197</v>
      </c>
      <c r="D3300">
        <v>4</v>
      </c>
    </row>
    <row r="3301" spans="1:11" x14ac:dyDescent="0.4">
      <c r="A3301" t="s">
        <v>7419</v>
      </c>
      <c r="B3301">
        <v>69.599999999999994</v>
      </c>
      <c r="C3301" t="s">
        <v>197</v>
      </c>
      <c r="D3301">
        <v>4</v>
      </c>
    </row>
    <row r="3302" spans="1:11" x14ac:dyDescent="0.4">
      <c r="A3302" t="s">
        <v>4092</v>
      </c>
      <c r="B3302">
        <v>33.299999999999997</v>
      </c>
      <c r="C3302" t="s">
        <v>5714</v>
      </c>
      <c r="D3302">
        <v>2</v>
      </c>
      <c r="E3302">
        <v>-0.71899999999999997</v>
      </c>
      <c r="F3302">
        <v>1</v>
      </c>
      <c r="G3302">
        <v>2024</v>
      </c>
      <c r="H3302" t="s">
        <v>928</v>
      </c>
      <c r="I3302" t="s">
        <v>6063</v>
      </c>
      <c r="J3302" t="s">
        <v>8666</v>
      </c>
      <c r="K3302" t="s">
        <v>9527</v>
      </c>
    </row>
    <row r="3303" spans="1:11" x14ac:dyDescent="0.4">
      <c r="A3303" t="s">
        <v>4090</v>
      </c>
      <c r="B3303">
        <v>33.299999999999997</v>
      </c>
      <c r="C3303" t="s">
        <v>5714</v>
      </c>
      <c r="D3303">
        <v>2</v>
      </c>
      <c r="E3303">
        <v>-0.71899999999999997</v>
      </c>
      <c r="F3303">
        <v>1</v>
      </c>
      <c r="G3303">
        <v>2024</v>
      </c>
      <c r="H3303" t="s">
        <v>928</v>
      </c>
      <c r="I3303" t="s">
        <v>6063</v>
      </c>
      <c r="J3303" t="s">
        <v>8667</v>
      </c>
      <c r="K3303" t="s">
        <v>9528</v>
      </c>
    </row>
    <row r="3304" spans="1:11" x14ac:dyDescent="0.4">
      <c r="A3304" t="s">
        <v>4096</v>
      </c>
      <c r="B3304">
        <v>0</v>
      </c>
      <c r="C3304" t="s">
        <v>5724</v>
      </c>
      <c r="D3304">
        <v>1</v>
      </c>
      <c r="E3304">
        <v>-1.8080000000000001</v>
      </c>
      <c r="F3304">
        <v>0</v>
      </c>
      <c r="G3304">
        <v>2024</v>
      </c>
      <c r="H3304" t="s">
        <v>928</v>
      </c>
      <c r="I3304" t="s">
        <v>6063</v>
      </c>
      <c r="J3304" t="s">
        <v>8668</v>
      </c>
      <c r="K3304" t="s">
        <v>8669</v>
      </c>
    </row>
    <row r="3305" spans="1:11" x14ac:dyDescent="0.4">
      <c r="A3305" t="s">
        <v>4120</v>
      </c>
      <c r="B3305">
        <v>33.299999999999997</v>
      </c>
      <c r="C3305" t="s">
        <v>5714</v>
      </c>
      <c r="D3305">
        <v>2</v>
      </c>
      <c r="E3305">
        <v>-0.71899999999999997</v>
      </c>
      <c r="F3305">
        <v>1</v>
      </c>
      <c r="G3305">
        <v>2024</v>
      </c>
      <c r="H3305" t="s">
        <v>928</v>
      </c>
      <c r="I3305" t="s">
        <v>6063</v>
      </c>
      <c r="J3305" t="s">
        <v>8670</v>
      </c>
      <c r="K3305" t="s">
        <v>8671</v>
      </c>
    </row>
    <row r="3306" spans="1:11" x14ac:dyDescent="0.4">
      <c r="A3306" t="s">
        <v>2321</v>
      </c>
      <c r="B3306">
        <v>66.7</v>
      </c>
      <c r="C3306" t="s">
        <v>2485</v>
      </c>
      <c r="D3306">
        <v>4</v>
      </c>
      <c r="E3306">
        <v>0.373</v>
      </c>
      <c r="F3306">
        <v>2</v>
      </c>
      <c r="G3306">
        <v>2024</v>
      </c>
      <c r="H3306" t="s">
        <v>928</v>
      </c>
      <c r="I3306" t="s">
        <v>6063</v>
      </c>
      <c r="J3306" t="s">
        <v>8672</v>
      </c>
      <c r="K3306" t="s">
        <v>9529</v>
      </c>
    </row>
    <row r="3307" spans="1:11" x14ac:dyDescent="0.4">
      <c r="A3307" t="s">
        <v>4116</v>
      </c>
      <c r="B3307">
        <v>66.7</v>
      </c>
      <c r="C3307" t="s">
        <v>2485</v>
      </c>
      <c r="D3307">
        <v>4</v>
      </c>
      <c r="E3307">
        <v>0.373</v>
      </c>
      <c r="F3307">
        <v>2</v>
      </c>
      <c r="G3307">
        <v>2024</v>
      </c>
      <c r="H3307" t="s">
        <v>928</v>
      </c>
      <c r="I3307" t="s">
        <v>6063</v>
      </c>
      <c r="J3307" t="s">
        <v>8673</v>
      </c>
      <c r="K3307" t="s">
        <v>9530</v>
      </c>
    </row>
    <row r="3308" spans="1:11" x14ac:dyDescent="0.4">
      <c r="A3308" t="s">
        <v>4100</v>
      </c>
      <c r="B3308">
        <v>100</v>
      </c>
      <c r="C3308" t="s">
        <v>1380</v>
      </c>
      <c r="D3308">
        <v>5</v>
      </c>
      <c r="E3308">
        <v>1.462</v>
      </c>
      <c r="F3308">
        <v>3</v>
      </c>
      <c r="G3308">
        <v>2024</v>
      </c>
      <c r="H3308" t="s">
        <v>928</v>
      </c>
      <c r="I3308" t="s">
        <v>6063</v>
      </c>
      <c r="J3308" t="s">
        <v>9001</v>
      </c>
      <c r="K3308" t="s">
        <v>9531</v>
      </c>
    </row>
    <row r="3309" spans="1:11" x14ac:dyDescent="0.4">
      <c r="A3309" t="s">
        <v>4094</v>
      </c>
      <c r="B3309">
        <v>66.7</v>
      </c>
      <c r="C3309" t="s">
        <v>2485</v>
      </c>
      <c r="D3309">
        <v>4</v>
      </c>
      <c r="E3309">
        <v>0.373</v>
      </c>
      <c r="F3309">
        <v>2</v>
      </c>
      <c r="G3309">
        <v>2024</v>
      </c>
      <c r="H3309" t="s">
        <v>928</v>
      </c>
      <c r="I3309" t="s">
        <v>6063</v>
      </c>
      <c r="J3309" t="s">
        <v>8674</v>
      </c>
      <c r="K3309" t="s">
        <v>8675</v>
      </c>
    </row>
    <row r="3310" spans="1:11" x14ac:dyDescent="0.4">
      <c r="A3310" t="s">
        <v>4106</v>
      </c>
      <c r="B3310">
        <v>0</v>
      </c>
      <c r="C3310" t="s">
        <v>5724</v>
      </c>
      <c r="D3310">
        <v>1</v>
      </c>
      <c r="E3310">
        <v>-1.8080000000000001</v>
      </c>
      <c r="F3310">
        <v>0</v>
      </c>
      <c r="G3310">
        <v>2024</v>
      </c>
      <c r="H3310" t="s">
        <v>928</v>
      </c>
      <c r="I3310" t="s">
        <v>6063</v>
      </c>
      <c r="J3310" t="s">
        <v>8676</v>
      </c>
      <c r="K3310" t="s">
        <v>9532</v>
      </c>
    </row>
    <row r="3311" spans="1:11" x14ac:dyDescent="0.4">
      <c r="A3311" t="s">
        <v>4098</v>
      </c>
      <c r="B3311">
        <v>33.299999999999997</v>
      </c>
      <c r="C3311" t="s">
        <v>5714</v>
      </c>
      <c r="D3311">
        <v>2</v>
      </c>
      <c r="E3311">
        <v>-0.71899999999999997</v>
      </c>
      <c r="F3311">
        <v>1</v>
      </c>
      <c r="G3311">
        <v>2024</v>
      </c>
      <c r="H3311" t="s">
        <v>928</v>
      </c>
      <c r="I3311" t="s">
        <v>6063</v>
      </c>
      <c r="J3311" t="s">
        <v>8677</v>
      </c>
      <c r="K3311" t="s">
        <v>9533</v>
      </c>
    </row>
    <row r="3312" spans="1:11" x14ac:dyDescent="0.4">
      <c r="A3312" t="s">
        <v>6003</v>
      </c>
      <c r="B3312">
        <v>33.299999999999997</v>
      </c>
      <c r="C3312" t="s">
        <v>5714</v>
      </c>
      <c r="D3312">
        <v>2</v>
      </c>
      <c r="E3312">
        <v>-0.71899999999999997</v>
      </c>
      <c r="F3312">
        <v>1</v>
      </c>
      <c r="G3312">
        <v>2024</v>
      </c>
      <c r="H3312" t="s">
        <v>928</v>
      </c>
      <c r="I3312" t="s">
        <v>6063</v>
      </c>
      <c r="J3312" t="s">
        <v>8678</v>
      </c>
      <c r="K3312" t="s">
        <v>9534</v>
      </c>
    </row>
    <row r="3313" spans="1:11" x14ac:dyDescent="0.4">
      <c r="A3313" t="s">
        <v>4112</v>
      </c>
      <c r="B3313">
        <v>66.7</v>
      </c>
      <c r="C3313" t="s">
        <v>2485</v>
      </c>
      <c r="D3313">
        <v>4</v>
      </c>
      <c r="E3313">
        <v>0.373</v>
      </c>
      <c r="F3313">
        <v>2</v>
      </c>
      <c r="G3313">
        <v>2024</v>
      </c>
      <c r="H3313" t="s">
        <v>928</v>
      </c>
      <c r="I3313" t="s">
        <v>6063</v>
      </c>
      <c r="J3313" t="s">
        <v>8679</v>
      </c>
      <c r="K3313" t="s">
        <v>9535</v>
      </c>
    </row>
    <row r="3314" spans="1:11" x14ac:dyDescent="0.4">
      <c r="A3314" t="s">
        <v>2322</v>
      </c>
      <c r="B3314">
        <v>66.7</v>
      </c>
      <c r="C3314" t="s">
        <v>2485</v>
      </c>
      <c r="D3314">
        <v>4</v>
      </c>
      <c r="E3314">
        <v>0.373</v>
      </c>
      <c r="F3314">
        <v>2</v>
      </c>
      <c r="G3314">
        <v>2024</v>
      </c>
      <c r="H3314" t="s">
        <v>928</v>
      </c>
      <c r="I3314" t="s">
        <v>6063</v>
      </c>
      <c r="J3314" t="s">
        <v>8680</v>
      </c>
      <c r="K3314" t="s">
        <v>9536</v>
      </c>
    </row>
    <row r="3315" spans="1:11" x14ac:dyDescent="0.4">
      <c r="A3315" t="s">
        <v>2331</v>
      </c>
      <c r="B3315">
        <v>66.7</v>
      </c>
      <c r="C3315" t="s">
        <v>2485</v>
      </c>
      <c r="D3315">
        <v>4</v>
      </c>
      <c r="E3315">
        <v>0.373</v>
      </c>
      <c r="F3315">
        <v>2</v>
      </c>
      <c r="G3315">
        <v>2024</v>
      </c>
      <c r="H3315" t="s">
        <v>928</v>
      </c>
      <c r="I3315" t="s">
        <v>6063</v>
      </c>
      <c r="J3315" t="s">
        <v>8681</v>
      </c>
      <c r="K3315" t="s">
        <v>9537</v>
      </c>
    </row>
    <row r="3316" spans="1:11" x14ac:dyDescent="0.4">
      <c r="A3316" t="s">
        <v>4105</v>
      </c>
      <c r="B3316">
        <v>33.299999999999997</v>
      </c>
      <c r="C3316" t="s">
        <v>5714</v>
      </c>
      <c r="D3316">
        <v>2</v>
      </c>
      <c r="E3316">
        <v>-0.71899999999999997</v>
      </c>
      <c r="F3316">
        <v>1</v>
      </c>
      <c r="G3316">
        <v>2024</v>
      </c>
      <c r="H3316" t="s">
        <v>928</v>
      </c>
      <c r="I3316" t="s">
        <v>6063</v>
      </c>
      <c r="J3316" t="s">
        <v>8682</v>
      </c>
      <c r="K3316" t="s">
        <v>9538</v>
      </c>
    </row>
    <row r="3317" spans="1:11" x14ac:dyDescent="0.4">
      <c r="A3317" t="s">
        <v>4119</v>
      </c>
      <c r="B3317">
        <v>100</v>
      </c>
      <c r="C3317" t="s">
        <v>1380</v>
      </c>
      <c r="D3317">
        <v>5</v>
      </c>
      <c r="E3317">
        <v>1.462</v>
      </c>
      <c r="F3317">
        <v>3</v>
      </c>
      <c r="G3317">
        <v>2024</v>
      </c>
      <c r="H3317" t="s">
        <v>928</v>
      </c>
      <c r="I3317" t="s">
        <v>6063</v>
      </c>
      <c r="J3317" t="s">
        <v>8683</v>
      </c>
      <c r="K3317" t="s">
        <v>9539</v>
      </c>
    </row>
    <row r="3318" spans="1:11" x14ac:dyDescent="0.4">
      <c r="A3318" t="s">
        <v>2323</v>
      </c>
      <c r="B3318">
        <v>100</v>
      </c>
      <c r="C3318" t="s">
        <v>1380</v>
      </c>
      <c r="D3318">
        <v>5</v>
      </c>
      <c r="E3318">
        <v>1.462</v>
      </c>
      <c r="F3318">
        <v>3</v>
      </c>
      <c r="G3318">
        <v>2024</v>
      </c>
      <c r="H3318" t="s">
        <v>928</v>
      </c>
      <c r="I3318" t="s">
        <v>6063</v>
      </c>
      <c r="J3318" t="s">
        <v>8684</v>
      </c>
      <c r="K3318" t="s">
        <v>8685</v>
      </c>
    </row>
    <row r="3319" spans="1:11" x14ac:dyDescent="0.4">
      <c r="A3319" t="s">
        <v>2330</v>
      </c>
      <c r="B3319">
        <v>33.299999999999997</v>
      </c>
      <c r="C3319" t="s">
        <v>5714</v>
      </c>
      <c r="D3319">
        <v>2</v>
      </c>
      <c r="E3319">
        <v>-0.71899999999999997</v>
      </c>
      <c r="F3319">
        <v>1</v>
      </c>
      <c r="G3319">
        <v>2024</v>
      </c>
      <c r="H3319" t="s">
        <v>928</v>
      </c>
      <c r="I3319" t="s">
        <v>6063</v>
      </c>
      <c r="J3319" t="s">
        <v>8686</v>
      </c>
      <c r="K3319" t="s">
        <v>9540</v>
      </c>
    </row>
    <row r="3320" spans="1:11" x14ac:dyDescent="0.4">
      <c r="A3320" t="s">
        <v>2324</v>
      </c>
      <c r="B3320">
        <v>100</v>
      </c>
      <c r="C3320" t="s">
        <v>1380</v>
      </c>
      <c r="D3320">
        <v>5</v>
      </c>
      <c r="E3320">
        <v>1.462</v>
      </c>
      <c r="F3320">
        <v>3</v>
      </c>
      <c r="G3320">
        <v>2024</v>
      </c>
      <c r="H3320" t="s">
        <v>928</v>
      </c>
      <c r="I3320" t="s">
        <v>6063</v>
      </c>
      <c r="J3320" t="s">
        <v>8687</v>
      </c>
      <c r="K3320" t="s">
        <v>6023</v>
      </c>
    </row>
    <row r="3321" spans="1:11" x14ac:dyDescent="0.4">
      <c r="A3321" t="s">
        <v>4089</v>
      </c>
      <c r="B3321">
        <v>33.299999999999997</v>
      </c>
      <c r="C3321" t="s">
        <v>5714</v>
      </c>
      <c r="D3321">
        <v>2</v>
      </c>
      <c r="E3321">
        <v>-0.71899999999999997</v>
      </c>
      <c r="F3321">
        <v>1</v>
      </c>
      <c r="G3321">
        <v>2024</v>
      </c>
      <c r="H3321" t="s">
        <v>928</v>
      </c>
      <c r="I3321" t="s">
        <v>6063</v>
      </c>
      <c r="J3321" t="s">
        <v>8688</v>
      </c>
      <c r="K3321" t="s">
        <v>9541</v>
      </c>
    </row>
    <row r="3322" spans="1:11" x14ac:dyDescent="0.4">
      <c r="A3322" t="s">
        <v>4109</v>
      </c>
      <c r="B3322">
        <v>66.7</v>
      </c>
      <c r="C3322" t="s">
        <v>2485</v>
      </c>
      <c r="D3322">
        <v>4</v>
      </c>
      <c r="E3322">
        <v>0.373</v>
      </c>
      <c r="F3322">
        <v>2</v>
      </c>
      <c r="G3322">
        <v>2024</v>
      </c>
      <c r="H3322" t="s">
        <v>928</v>
      </c>
      <c r="I3322" t="s">
        <v>6063</v>
      </c>
      <c r="J3322" t="s">
        <v>8689</v>
      </c>
      <c r="K3322" t="s">
        <v>9542</v>
      </c>
    </row>
    <row r="3323" spans="1:11" x14ac:dyDescent="0.4">
      <c r="A3323" t="s">
        <v>4113</v>
      </c>
      <c r="B3323">
        <v>0</v>
      </c>
      <c r="C3323" t="s">
        <v>5724</v>
      </c>
      <c r="D3323">
        <v>1</v>
      </c>
      <c r="E3323">
        <v>-1.8080000000000001</v>
      </c>
      <c r="F3323">
        <v>0</v>
      </c>
      <c r="G3323">
        <v>2024</v>
      </c>
      <c r="H3323" t="s">
        <v>928</v>
      </c>
      <c r="I3323" t="s">
        <v>6063</v>
      </c>
      <c r="J3323" t="s">
        <v>8690</v>
      </c>
      <c r="K3323" t="s">
        <v>9543</v>
      </c>
    </row>
    <row r="3324" spans="1:11" x14ac:dyDescent="0.4">
      <c r="A3324" t="s">
        <v>4111</v>
      </c>
      <c r="B3324">
        <v>66.7</v>
      </c>
      <c r="C3324" t="s">
        <v>2485</v>
      </c>
      <c r="D3324">
        <v>4</v>
      </c>
      <c r="E3324">
        <v>0.373</v>
      </c>
      <c r="F3324">
        <v>2</v>
      </c>
      <c r="G3324">
        <v>2024</v>
      </c>
      <c r="H3324" t="s">
        <v>928</v>
      </c>
      <c r="I3324" t="s">
        <v>6063</v>
      </c>
      <c r="J3324" t="s">
        <v>8691</v>
      </c>
      <c r="K3324" t="s">
        <v>9544</v>
      </c>
    </row>
    <row r="3325" spans="1:11" x14ac:dyDescent="0.4">
      <c r="A3325" t="s">
        <v>4099</v>
      </c>
      <c r="B3325">
        <v>66.7</v>
      </c>
      <c r="C3325" t="s">
        <v>2485</v>
      </c>
      <c r="D3325">
        <v>4</v>
      </c>
      <c r="E3325">
        <v>0.373</v>
      </c>
      <c r="F3325">
        <v>2</v>
      </c>
      <c r="G3325">
        <v>2024</v>
      </c>
      <c r="H3325" t="s">
        <v>928</v>
      </c>
      <c r="I3325" t="s">
        <v>6063</v>
      </c>
      <c r="J3325" t="s">
        <v>8692</v>
      </c>
      <c r="K3325" t="s">
        <v>9545</v>
      </c>
    </row>
    <row r="3326" spans="1:11" x14ac:dyDescent="0.4">
      <c r="A3326" t="s">
        <v>4088</v>
      </c>
      <c r="B3326">
        <v>33.299999999999997</v>
      </c>
      <c r="C3326" t="s">
        <v>5714</v>
      </c>
      <c r="D3326">
        <v>2</v>
      </c>
      <c r="E3326">
        <v>-0.71899999999999997</v>
      </c>
      <c r="F3326">
        <v>1</v>
      </c>
      <c r="G3326">
        <v>2024</v>
      </c>
      <c r="H3326" t="s">
        <v>928</v>
      </c>
      <c r="I3326" t="s">
        <v>6063</v>
      </c>
      <c r="J3326" t="s">
        <v>8693</v>
      </c>
      <c r="K3326" t="s">
        <v>9546</v>
      </c>
    </row>
    <row r="3327" spans="1:11" x14ac:dyDescent="0.4">
      <c r="A3327" t="s">
        <v>4102</v>
      </c>
      <c r="B3327">
        <v>33.299999999999997</v>
      </c>
      <c r="C3327" t="s">
        <v>5714</v>
      </c>
      <c r="D3327">
        <v>2</v>
      </c>
      <c r="E3327">
        <v>-0.71899999999999997</v>
      </c>
      <c r="F3327">
        <v>1</v>
      </c>
      <c r="G3327">
        <v>2024</v>
      </c>
      <c r="H3327" t="s">
        <v>928</v>
      </c>
      <c r="I3327" t="s">
        <v>6063</v>
      </c>
      <c r="J3327" t="s">
        <v>8694</v>
      </c>
      <c r="K3327" t="s">
        <v>8695</v>
      </c>
    </row>
    <row r="3328" spans="1:11" x14ac:dyDescent="0.4">
      <c r="A3328" t="s">
        <v>4103</v>
      </c>
      <c r="B3328">
        <v>66.7</v>
      </c>
      <c r="C3328" t="s">
        <v>2485</v>
      </c>
      <c r="D3328">
        <v>4</v>
      </c>
      <c r="E3328">
        <v>0.373</v>
      </c>
      <c r="F3328">
        <v>2</v>
      </c>
      <c r="G3328">
        <v>2024</v>
      </c>
      <c r="H3328" t="s">
        <v>928</v>
      </c>
      <c r="I3328" t="s">
        <v>6063</v>
      </c>
      <c r="J3328" t="s">
        <v>8696</v>
      </c>
      <c r="K3328" t="s">
        <v>9547</v>
      </c>
    </row>
    <row r="3329" spans="1:11" x14ac:dyDescent="0.4">
      <c r="A3329" t="s">
        <v>4121</v>
      </c>
      <c r="B3329">
        <v>0</v>
      </c>
      <c r="C3329" t="s">
        <v>5724</v>
      </c>
      <c r="D3329">
        <v>1</v>
      </c>
      <c r="E3329">
        <v>-1.8080000000000001</v>
      </c>
      <c r="F3329">
        <v>0</v>
      </c>
      <c r="G3329">
        <v>2024</v>
      </c>
      <c r="H3329" t="s">
        <v>928</v>
      </c>
      <c r="I3329" t="s">
        <v>6063</v>
      </c>
      <c r="J3329" t="s">
        <v>8697</v>
      </c>
      <c r="K3329" t="s">
        <v>9548</v>
      </c>
    </row>
    <row r="3330" spans="1:11" x14ac:dyDescent="0.4">
      <c r="A3330" t="s">
        <v>2325</v>
      </c>
      <c r="B3330">
        <v>66.7</v>
      </c>
      <c r="C3330" t="s">
        <v>2485</v>
      </c>
      <c r="D3330">
        <v>4</v>
      </c>
      <c r="E3330">
        <v>0.373</v>
      </c>
      <c r="F3330">
        <v>2</v>
      </c>
      <c r="G3330">
        <v>2024</v>
      </c>
      <c r="H3330" t="s">
        <v>928</v>
      </c>
      <c r="I3330" t="s">
        <v>6063</v>
      </c>
      <c r="J3330" t="s">
        <v>8698</v>
      </c>
      <c r="K3330" t="s">
        <v>9549</v>
      </c>
    </row>
    <row r="3331" spans="1:11" x14ac:dyDescent="0.4">
      <c r="A3331" t="s">
        <v>2329</v>
      </c>
      <c r="B3331">
        <v>0</v>
      </c>
      <c r="C3331" t="s">
        <v>5724</v>
      </c>
      <c r="D3331">
        <v>1</v>
      </c>
      <c r="E3331">
        <v>-1.8080000000000001</v>
      </c>
      <c r="F3331">
        <v>0</v>
      </c>
      <c r="G3331">
        <v>2024</v>
      </c>
      <c r="H3331" t="s">
        <v>928</v>
      </c>
      <c r="I3331" t="s">
        <v>6063</v>
      </c>
      <c r="J3331" t="s">
        <v>8699</v>
      </c>
      <c r="K3331" t="s">
        <v>9550</v>
      </c>
    </row>
    <row r="3332" spans="1:11" x14ac:dyDescent="0.4">
      <c r="A3332" t="s">
        <v>4104</v>
      </c>
      <c r="B3332">
        <v>66.7</v>
      </c>
      <c r="C3332" t="s">
        <v>2485</v>
      </c>
      <c r="D3332">
        <v>4</v>
      </c>
      <c r="E3332">
        <v>0.373</v>
      </c>
      <c r="F3332">
        <v>2</v>
      </c>
      <c r="G3332">
        <v>2024</v>
      </c>
      <c r="H3332" t="s">
        <v>928</v>
      </c>
      <c r="I3332" t="s">
        <v>6063</v>
      </c>
      <c r="J3332" t="s">
        <v>8700</v>
      </c>
      <c r="K3332" t="s">
        <v>9551</v>
      </c>
    </row>
    <row r="3333" spans="1:11" x14ac:dyDescent="0.4">
      <c r="A3333" t="s">
        <v>4110</v>
      </c>
      <c r="B3333">
        <v>100</v>
      </c>
      <c r="C3333" t="s">
        <v>1380</v>
      </c>
      <c r="D3333">
        <v>5</v>
      </c>
      <c r="E3333">
        <v>1.462</v>
      </c>
      <c r="F3333">
        <v>3</v>
      </c>
      <c r="G3333">
        <v>2024</v>
      </c>
      <c r="H3333" t="s">
        <v>928</v>
      </c>
      <c r="I3333" t="s">
        <v>6063</v>
      </c>
      <c r="J3333" t="s">
        <v>8701</v>
      </c>
      <c r="K3333" t="s">
        <v>9552</v>
      </c>
    </row>
    <row r="3334" spans="1:11" x14ac:dyDescent="0.4">
      <c r="A3334" t="s">
        <v>4091</v>
      </c>
      <c r="B3334">
        <v>100</v>
      </c>
      <c r="C3334" t="s">
        <v>1380</v>
      </c>
      <c r="D3334">
        <v>5</v>
      </c>
      <c r="E3334">
        <v>1.462</v>
      </c>
      <c r="F3334">
        <v>3</v>
      </c>
      <c r="G3334">
        <v>2024</v>
      </c>
      <c r="H3334" t="s">
        <v>928</v>
      </c>
      <c r="I3334" t="s">
        <v>6063</v>
      </c>
      <c r="J3334" t="s">
        <v>8702</v>
      </c>
      <c r="K3334" t="s">
        <v>9553</v>
      </c>
    </row>
    <row r="3335" spans="1:11" x14ac:dyDescent="0.4">
      <c r="A3335" t="s">
        <v>5917</v>
      </c>
      <c r="B3335">
        <v>66.7</v>
      </c>
      <c r="C3335" t="s">
        <v>2485</v>
      </c>
      <c r="D3335">
        <v>4</v>
      </c>
      <c r="E3335">
        <v>0.373</v>
      </c>
      <c r="F3335">
        <v>2</v>
      </c>
      <c r="G3335">
        <v>2024</v>
      </c>
      <c r="H3335" t="s">
        <v>928</v>
      </c>
      <c r="I3335" t="s">
        <v>6063</v>
      </c>
      <c r="J3335" t="s">
        <v>8703</v>
      </c>
      <c r="K3335" t="s">
        <v>8704</v>
      </c>
    </row>
    <row r="3336" spans="1:11" x14ac:dyDescent="0.4">
      <c r="A3336" t="s">
        <v>4114</v>
      </c>
      <c r="B3336">
        <v>100</v>
      </c>
      <c r="C3336" t="s">
        <v>1380</v>
      </c>
      <c r="D3336">
        <v>5</v>
      </c>
      <c r="E3336">
        <v>1.462</v>
      </c>
      <c r="F3336">
        <v>3</v>
      </c>
      <c r="G3336">
        <v>2024</v>
      </c>
      <c r="H3336" t="s">
        <v>928</v>
      </c>
      <c r="I3336" t="s">
        <v>6063</v>
      </c>
      <c r="J3336" t="s">
        <v>8705</v>
      </c>
      <c r="K3336" t="s">
        <v>9554</v>
      </c>
    </row>
    <row r="3337" spans="1:11" x14ac:dyDescent="0.4">
      <c r="A3337" t="s">
        <v>5918</v>
      </c>
      <c r="B3337">
        <v>66.7</v>
      </c>
      <c r="C3337" t="s">
        <v>2485</v>
      </c>
      <c r="D3337">
        <v>4</v>
      </c>
      <c r="E3337">
        <v>0.373</v>
      </c>
      <c r="F3337">
        <v>2</v>
      </c>
      <c r="G3337">
        <v>2024</v>
      </c>
      <c r="H3337" t="s">
        <v>928</v>
      </c>
      <c r="I3337" t="s">
        <v>6063</v>
      </c>
      <c r="J3337" t="s">
        <v>8706</v>
      </c>
      <c r="K3337" t="s">
        <v>9555</v>
      </c>
    </row>
    <row r="3338" spans="1:11" x14ac:dyDescent="0.4">
      <c r="A3338" t="s">
        <v>4122</v>
      </c>
      <c r="B3338">
        <v>33.299999999999997</v>
      </c>
      <c r="C3338" t="s">
        <v>5714</v>
      </c>
      <c r="D3338">
        <v>2</v>
      </c>
      <c r="E3338">
        <v>-0.71899999999999997</v>
      </c>
      <c r="F3338">
        <v>1</v>
      </c>
      <c r="G3338">
        <v>2024</v>
      </c>
      <c r="H3338" t="s">
        <v>928</v>
      </c>
      <c r="I3338" t="s">
        <v>6063</v>
      </c>
      <c r="J3338" t="s">
        <v>8707</v>
      </c>
      <c r="K3338" t="s">
        <v>9556</v>
      </c>
    </row>
    <row r="3339" spans="1:11" x14ac:dyDescent="0.4">
      <c r="A3339" t="s">
        <v>4097</v>
      </c>
      <c r="B3339">
        <v>0</v>
      </c>
      <c r="C3339" t="s">
        <v>5724</v>
      </c>
      <c r="D3339">
        <v>1</v>
      </c>
      <c r="E3339">
        <v>-1.8080000000000001</v>
      </c>
      <c r="F3339">
        <v>0</v>
      </c>
      <c r="G3339">
        <v>2024</v>
      </c>
      <c r="H3339" t="s">
        <v>928</v>
      </c>
      <c r="I3339" t="s">
        <v>6063</v>
      </c>
      <c r="J3339" t="s">
        <v>8708</v>
      </c>
      <c r="K3339" t="s">
        <v>9557</v>
      </c>
    </row>
    <row r="3340" spans="1:11" x14ac:dyDescent="0.4">
      <c r="A3340" t="s">
        <v>4101</v>
      </c>
      <c r="B3340">
        <v>66.7</v>
      </c>
      <c r="C3340" t="s">
        <v>2485</v>
      </c>
      <c r="D3340">
        <v>4</v>
      </c>
      <c r="E3340">
        <v>0.373</v>
      </c>
      <c r="F3340">
        <v>2</v>
      </c>
      <c r="G3340">
        <v>2024</v>
      </c>
      <c r="H3340" t="s">
        <v>928</v>
      </c>
      <c r="I3340" t="s">
        <v>6063</v>
      </c>
      <c r="J3340" t="s">
        <v>8709</v>
      </c>
      <c r="K3340" t="s">
        <v>9558</v>
      </c>
    </row>
    <row r="3341" spans="1:11" x14ac:dyDescent="0.4">
      <c r="A3341" t="s">
        <v>4095</v>
      </c>
      <c r="B3341">
        <v>33.299999999999997</v>
      </c>
      <c r="C3341" t="s">
        <v>5714</v>
      </c>
      <c r="D3341">
        <v>2</v>
      </c>
      <c r="E3341">
        <v>-0.71899999999999997</v>
      </c>
      <c r="F3341">
        <v>1</v>
      </c>
      <c r="G3341">
        <v>2024</v>
      </c>
      <c r="H3341" t="s">
        <v>928</v>
      </c>
      <c r="I3341" t="s">
        <v>6063</v>
      </c>
      <c r="J3341" t="s">
        <v>8710</v>
      </c>
      <c r="K3341" t="s">
        <v>9559</v>
      </c>
    </row>
    <row r="3342" spans="1:11" x14ac:dyDescent="0.4">
      <c r="A3342" t="s">
        <v>5919</v>
      </c>
      <c r="B3342">
        <v>66.7</v>
      </c>
      <c r="C3342" t="s">
        <v>2485</v>
      </c>
      <c r="D3342">
        <v>4</v>
      </c>
      <c r="E3342">
        <v>0.373</v>
      </c>
      <c r="F3342">
        <v>2</v>
      </c>
      <c r="G3342">
        <v>2024</v>
      </c>
      <c r="H3342" t="s">
        <v>928</v>
      </c>
      <c r="I3342" t="s">
        <v>6063</v>
      </c>
      <c r="J3342" t="s">
        <v>8711</v>
      </c>
      <c r="K3342" t="s">
        <v>8712</v>
      </c>
    </row>
    <row r="3343" spans="1:11" x14ac:dyDescent="0.4">
      <c r="A3343" t="s">
        <v>4115</v>
      </c>
      <c r="B3343">
        <v>66.7</v>
      </c>
      <c r="C3343" t="s">
        <v>2485</v>
      </c>
      <c r="D3343">
        <v>4</v>
      </c>
      <c r="E3343">
        <v>0.373</v>
      </c>
      <c r="F3343">
        <v>2</v>
      </c>
      <c r="G3343">
        <v>2024</v>
      </c>
      <c r="H3343" t="s">
        <v>928</v>
      </c>
      <c r="I3343" t="s">
        <v>6063</v>
      </c>
      <c r="J3343" t="s">
        <v>8713</v>
      </c>
      <c r="K3343" t="s">
        <v>6024</v>
      </c>
    </row>
    <row r="3344" spans="1:11" x14ac:dyDescent="0.4">
      <c r="A3344" t="s">
        <v>2326</v>
      </c>
      <c r="B3344">
        <v>66.7</v>
      </c>
      <c r="C3344" t="s">
        <v>2485</v>
      </c>
      <c r="D3344">
        <v>4</v>
      </c>
      <c r="E3344">
        <v>0.373</v>
      </c>
      <c r="F3344">
        <v>2</v>
      </c>
      <c r="G3344">
        <v>2024</v>
      </c>
      <c r="H3344" t="s">
        <v>928</v>
      </c>
      <c r="I3344" t="s">
        <v>6063</v>
      </c>
      <c r="J3344" t="s">
        <v>8714</v>
      </c>
      <c r="K3344" t="s">
        <v>9560</v>
      </c>
    </row>
    <row r="3345" spans="1:11" x14ac:dyDescent="0.4">
      <c r="A3345" t="s">
        <v>2327</v>
      </c>
      <c r="B3345">
        <v>66.7</v>
      </c>
      <c r="C3345" t="s">
        <v>2485</v>
      </c>
      <c r="D3345">
        <v>4</v>
      </c>
      <c r="E3345">
        <v>0.373</v>
      </c>
      <c r="F3345">
        <v>2</v>
      </c>
      <c r="G3345">
        <v>2024</v>
      </c>
      <c r="H3345" t="s">
        <v>928</v>
      </c>
      <c r="I3345" t="s">
        <v>6063</v>
      </c>
      <c r="J3345" t="s">
        <v>8715</v>
      </c>
      <c r="K3345" t="s">
        <v>8716</v>
      </c>
    </row>
    <row r="3346" spans="1:11" x14ac:dyDescent="0.4">
      <c r="A3346" t="s">
        <v>4118</v>
      </c>
      <c r="B3346">
        <v>66.7</v>
      </c>
      <c r="C3346" t="s">
        <v>2485</v>
      </c>
      <c r="D3346">
        <v>4</v>
      </c>
      <c r="E3346">
        <v>0.373</v>
      </c>
      <c r="F3346">
        <v>2</v>
      </c>
      <c r="G3346">
        <v>2024</v>
      </c>
      <c r="H3346" t="s">
        <v>928</v>
      </c>
      <c r="I3346" t="s">
        <v>6063</v>
      </c>
      <c r="J3346" t="s">
        <v>8717</v>
      </c>
      <c r="K3346" t="s">
        <v>9561</v>
      </c>
    </row>
    <row r="3347" spans="1:11" x14ac:dyDescent="0.4">
      <c r="A3347" t="s">
        <v>2328</v>
      </c>
      <c r="B3347">
        <v>100</v>
      </c>
      <c r="C3347" t="s">
        <v>1380</v>
      </c>
      <c r="D3347">
        <v>5</v>
      </c>
      <c r="E3347">
        <v>1.462</v>
      </c>
      <c r="F3347">
        <v>3</v>
      </c>
      <c r="G3347">
        <v>2024</v>
      </c>
      <c r="H3347" t="s">
        <v>928</v>
      </c>
      <c r="I3347" t="s">
        <v>6063</v>
      </c>
      <c r="J3347" t="s">
        <v>8718</v>
      </c>
      <c r="K3347" t="s">
        <v>9562</v>
      </c>
    </row>
    <row r="3348" spans="1:11" x14ac:dyDescent="0.4">
      <c r="A3348" t="s">
        <v>4093</v>
      </c>
      <c r="B3348">
        <v>33.299999999999997</v>
      </c>
      <c r="C3348" t="s">
        <v>5714</v>
      </c>
      <c r="D3348">
        <v>2</v>
      </c>
      <c r="E3348">
        <v>-0.71899999999999997</v>
      </c>
      <c r="F3348">
        <v>1</v>
      </c>
      <c r="G3348">
        <v>2024</v>
      </c>
      <c r="H3348" t="s">
        <v>928</v>
      </c>
      <c r="I3348" t="s">
        <v>6063</v>
      </c>
      <c r="J3348" t="s">
        <v>9002</v>
      </c>
      <c r="K3348" t="s">
        <v>9563</v>
      </c>
    </row>
    <row r="3349" spans="1:11" x14ac:dyDescent="0.4">
      <c r="A3349" t="s">
        <v>4107</v>
      </c>
      <c r="B3349">
        <v>66.7</v>
      </c>
      <c r="C3349" t="s">
        <v>2485</v>
      </c>
      <c r="D3349">
        <v>4</v>
      </c>
      <c r="E3349">
        <v>0.373</v>
      </c>
      <c r="F3349">
        <v>2</v>
      </c>
      <c r="G3349">
        <v>2024</v>
      </c>
      <c r="H3349" t="s">
        <v>928</v>
      </c>
      <c r="I3349" t="s">
        <v>6063</v>
      </c>
      <c r="J3349" t="s">
        <v>8719</v>
      </c>
      <c r="K3349" t="s">
        <v>9564</v>
      </c>
    </row>
    <row r="3350" spans="1:11" x14ac:dyDescent="0.4">
      <c r="A3350" t="s">
        <v>4117</v>
      </c>
      <c r="B3350">
        <v>100</v>
      </c>
      <c r="C3350" t="s">
        <v>1380</v>
      </c>
      <c r="D3350">
        <v>5</v>
      </c>
      <c r="E3350">
        <v>1.462</v>
      </c>
      <c r="F3350">
        <v>3</v>
      </c>
      <c r="G3350">
        <v>2024</v>
      </c>
      <c r="H3350" t="s">
        <v>928</v>
      </c>
      <c r="I3350" t="s">
        <v>6063</v>
      </c>
      <c r="J3350" t="s">
        <v>8720</v>
      </c>
      <c r="K3350" t="s">
        <v>9565</v>
      </c>
    </row>
    <row r="3351" spans="1:11" x14ac:dyDescent="0.4">
      <c r="A3351" t="s">
        <v>4108</v>
      </c>
      <c r="B3351">
        <v>33.299999999999997</v>
      </c>
      <c r="C3351" t="s">
        <v>5714</v>
      </c>
      <c r="D3351">
        <v>2</v>
      </c>
      <c r="E3351">
        <v>-0.71899999999999997</v>
      </c>
      <c r="F3351">
        <v>1</v>
      </c>
      <c r="G3351">
        <v>2024</v>
      </c>
      <c r="H3351" t="s">
        <v>928</v>
      </c>
      <c r="I3351" t="s">
        <v>6063</v>
      </c>
      <c r="J3351" t="s">
        <v>8721</v>
      </c>
      <c r="K3351" t="s">
        <v>9566</v>
      </c>
    </row>
    <row r="3352" spans="1:11" x14ac:dyDescent="0.4">
      <c r="A3352" t="s">
        <v>2332</v>
      </c>
      <c r="B3352">
        <v>55.3</v>
      </c>
      <c r="C3352" t="s">
        <v>197</v>
      </c>
      <c r="D3352">
        <v>3</v>
      </c>
    </row>
    <row r="3353" spans="1:11" x14ac:dyDescent="0.4">
      <c r="A3353" t="s">
        <v>2333</v>
      </c>
      <c r="B3353">
        <v>46.6</v>
      </c>
      <c r="C3353" t="s">
        <v>197</v>
      </c>
      <c r="D3353">
        <v>3</v>
      </c>
    </row>
    <row r="3354" spans="1:11" x14ac:dyDescent="0.4">
      <c r="A3354" t="s">
        <v>2334</v>
      </c>
      <c r="B3354">
        <v>38.1</v>
      </c>
      <c r="C3354" t="s">
        <v>197</v>
      </c>
      <c r="D3354">
        <v>2</v>
      </c>
    </row>
    <row r="3355" spans="1:11" x14ac:dyDescent="0.4">
      <c r="A3355" t="s">
        <v>2335</v>
      </c>
      <c r="B3355">
        <v>41.7</v>
      </c>
      <c r="C3355" t="s">
        <v>197</v>
      </c>
      <c r="D3355">
        <v>3</v>
      </c>
    </row>
    <row r="3356" spans="1:11" x14ac:dyDescent="0.4">
      <c r="A3356" t="s">
        <v>2336</v>
      </c>
      <c r="B3356">
        <v>53.3</v>
      </c>
      <c r="C3356" t="s">
        <v>197</v>
      </c>
      <c r="D3356">
        <v>3</v>
      </c>
    </row>
    <row r="3357" spans="1:11" x14ac:dyDescent="0.4">
      <c r="A3357" t="s">
        <v>2602</v>
      </c>
      <c r="B3357">
        <v>60</v>
      </c>
      <c r="C3357" t="s">
        <v>197</v>
      </c>
      <c r="D3357">
        <v>4</v>
      </c>
    </row>
    <row r="3358" spans="1:11" x14ac:dyDescent="0.4">
      <c r="A3358" t="s">
        <v>2603</v>
      </c>
      <c r="B3358">
        <v>69.099999999999994</v>
      </c>
      <c r="C3358" t="s">
        <v>197</v>
      </c>
      <c r="D3358">
        <v>4</v>
      </c>
    </row>
    <row r="3359" spans="1:11" x14ac:dyDescent="0.4">
      <c r="A3359" t="s">
        <v>7420</v>
      </c>
      <c r="B3359">
        <v>50</v>
      </c>
      <c r="C3359" t="s">
        <v>197</v>
      </c>
      <c r="D3359">
        <v>3</v>
      </c>
    </row>
    <row r="3360" spans="1:11" x14ac:dyDescent="0.4">
      <c r="A3360" t="s">
        <v>7421</v>
      </c>
      <c r="B3360">
        <v>60.6</v>
      </c>
      <c r="C3360" t="s">
        <v>197</v>
      </c>
      <c r="D3360">
        <v>4</v>
      </c>
    </row>
    <row r="3361" spans="1:11" x14ac:dyDescent="0.4">
      <c r="A3361" t="s">
        <v>7422</v>
      </c>
      <c r="B3361">
        <v>56.5</v>
      </c>
      <c r="C3361" t="s">
        <v>197</v>
      </c>
      <c r="D3361">
        <v>3</v>
      </c>
    </row>
    <row r="3362" spans="1:11" x14ac:dyDescent="0.4">
      <c r="A3362" t="s">
        <v>4127</v>
      </c>
      <c r="B3362">
        <v>100</v>
      </c>
      <c r="C3362" t="s">
        <v>1380</v>
      </c>
      <c r="D3362">
        <v>5</v>
      </c>
      <c r="E3362">
        <v>0.71099999999999997</v>
      </c>
      <c r="F3362">
        <v>1</v>
      </c>
      <c r="G3362">
        <v>2024</v>
      </c>
      <c r="H3362" t="s">
        <v>928</v>
      </c>
      <c r="I3362" t="s">
        <v>6063</v>
      </c>
      <c r="J3362" t="s">
        <v>8722</v>
      </c>
      <c r="K3362" t="s">
        <v>8723</v>
      </c>
    </row>
    <row r="3363" spans="1:11" x14ac:dyDescent="0.4">
      <c r="A3363" t="s">
        <v>4125</v>
      </c>
      <c r="B3363">
        <v>0</v>
      </c>
      <c r="C3363" t="s">
        <v>5717</v>
      </c>
      <c r="D3363">
        <v>1</v>
      </c>
      <c r="E3363">
        <v>-1.379</v>
      </c>
      <c r="F3363">
        <v>0</v>
      </c>
      <c r="G3363">
        <v>2024</v>
      </c>
      <c r="H3363" t="s">
        <v>928</v>
      </c>
      <c r="I3363" t="s">
        <v>6063</v>
      </c>
      <c r="J3363" t="s">
        <v>8724</v>
      </c>
      <c r="K3363" t="s">
        <v>9567</v>
      </c>
    </row>
    <row r="3364" spans="1:11" x14ac:dyDescent="0.4">
      <c r="A3364" t="s">
        <v>4131</v>
      </c>
      <c r="B3364">
        <v>0</v>
      </c>
      <c r="C3364" t="s">
        <v>5717</v>
      </c>
      <c r="D3364">
        <v>1</v>
      </c>
      <c r="E3364">
        <v>-1.379</v>
      </c>
      <c r="F3364">
        <v>0</v>
      </c>
      <c r="G3364">
        <v>2024</v>
      </c>
      <c r="H3364" t="s">
        <v>928</v>
      </c>
      <c r="I3364" t="s">
        <v>6063</v>
      </c>
      <c r="J3364" t="s">
        <v>8725</v>
      </c>
      <c r="K3364" t="s">
        <v>8669</v>
      </c>
    </row>
    <row r="3365" spans="1:11" x14ac:dyDescent="0.4">
      <c r="A3365" t="s">
        <v>4155</v>
      </c>
      <c r="B3365">
        <v>100</v>
      </c>
      <c r="C3365" t="s">
        <v>1380</v>
      </c>
      <c r="D3365">
        <v>5</v>
      </c>
      <c r="E3365">
        <v>0.71099999999999997</v>
      </c>
      <c r="F3365">
        <v>1</v>
      </c>
      <c r="G3365">
        <v>2024</v>
      </c>
      <c r="H3365" t="s">
        <v>928</v>
      </c>
      <c r="I3365" t="s">
        <v>6063</v>
      </c>
      <c r="J3365" t="s">
        <v>8726</v>
      </c>
      <c r="K3365" t="s">
        <v>8671</v>
      </c>
    </row>
    <row r="3366" spans="1:11" x14ac:dyDescent="0.4">
      <c r="A3366" t="s">
        <v>2337</v>
      </c>
      <c r="B3366">
        <v>100</v>
      </c>
      <c r="C3366" t="s">
        <v>1380</v>
      </c>
      <c r="D3366">
        <v>5</v>
      </c>
      <c r="E3366">
        <v>0.71099999999999997</v>
      </c>
      <c r="F3366">
        <v>1</v>
      </c>
      <c r="G3366">
        <v>2024</v>
      </c>
      <c r="H3366" t="s">
        <v>928</v>
      </c>
      <c r="I3366" t="s">
        <v>6063</v>
      </c>
      <c r="J3366" t="s">
        <v>6600</v>
      </c>
      <c r="K3366" t="s">
        <v>6025</v>
      </c>
    </row>
    <row r="3367" spans="1:11" x14ac:dyDescent="0.4">
      <c r="A3367" t="s">
        <v>4151</v>
      </c>
      <c r="B3367">
        <v>100</v>
      </c>
      <c r="C3367" t="s">
        <v>1380</v>
      </c>
      <c r="D3367">
        <v>5</v>
      </c>
      <c r="E3367">
        <v>0.71099999999999997</v>
      </c>
      <c r="F3367">
        <v>1</v>
      </c>
      <c r="G3367">
        <v>2024</v>
      </c>
      <c r="H3367" t="s">
        <v>928</v>
      </c>
      <c r="I3367" t="s">
        <v>6063</v>
      </c>
      <c r="J3367" t="s">
        <v>8727</v>
      </c>
      <c r="K3367" t="s">
        <v>9568</v>
      </c>
    </row>
    <row r="3368" spans="1:11" x14ac:dyDescent="0.4">
      <c r="A3368" t="s">
        <v>4135</v>
      </c>
      <c r="B3368">
        <v>100</v>
      </c>
      <c r="C3368" t="s">
        <v>1380</v>
      </c>
      <c r="D3368">
        <v>5</v>
      </c>
      <c r="E3368">
        <v>0.71099999999999997</v>
      </c>
      <c r="F3368">
        <v>1</v>
      </c>
      <c r="G3368">
        <v>2024</v>
      </c>
      <c r="H3368" t="s">
        <v>928</v>
      </c>
      <c r="I3368" t="s">
        <v>6063</v>
      </c>
      <c r="J3368" t="s">
        <v>8728</v>
      </c>
      <c r="K3368" t="s">
        <v>9569</v>
      </c>
    </row>
    <row r="3369" spans="1:11" x14ac:dyDescent="0.4">
      <c r="A3369" t="s">
        <v>4129</v>
      </c>
      <c r="B3369">
        <v>100</v>
      </c>
      <c r="C3369" t="s">
        <v>1380</v>
      </c>
      <c r="D3369">
        <v>5</v>
      </c>
      <c r="E3369">
        <v>0.71099999999999997</v>
      </c>
      <c r="F3369">
        <v>1</v>
      </c>
      <c r="G3369">
        <v>2024</v>
      </c>
      <c r="H3369" t="s">
        <v>928</v>
      </c>
      <c r="I3369" t="s">
        <v>6063</v>
      </c>
      <c r="J3369" t="s">
        <v>8729</v>
      </c>
      <c r="K3369" t="s">
        <v>8730</v>
      </c>
    </row>
    <row r="3370" spans="1:11" x14ac:dyDescent="0.4">
      <c r="A3370" t="s">
        <v>4141</v>
      </c>
      <c r="B3370">
        <v>0</v>
      </c>
      <c r="C3370" t="s">
        <v>5717</v>
      </c>
      <c r="D3370">
        <v>1</v>
      </c>
      <c r="E3370">
        <v>-1.379</v>
      </c>
      <c r="F3370">
        <v>0</v>
      </c>
      <c r="G3370">
        <v>2024</v>
      </c>
      <c r="H3370" t="s">
        <v>928</v>
      </c>
      <c r="I3370" t="s">
        <v>6063</v>
      </c>
      <c r="J3370" t="s">
        <v>8731</v>
      </c>
      <c r="K3370" t="s">
        <v>9570</v>
      </c>
    </row>
    <row r="3371" spans="1:11" x14ac:dyDescent="0.4">
      <c r="A3371" t="s">
        <v>4133</v>
      </c>
      <c r="B3371">
        <v>0</v>
      </c>
      <c r="C3371" t="s">
        <v>5717</v>
      </c>
      <c r="D3371">
        <v>1</v>
      </c>
      <c r="E3371">
        <v>-1.379</v>
      </c>
      <c r="F3371">
        <v>0</v>
      </c>
      <c r="G3371">
        <v>2024</v>
      </c>
      <c r="H3371" t="s">
        <v>928</v>
      </c>
      <c r="I3371" t="s">
        <v>6063</v>
      </c>
      <c r="J3371" t="s">
        <v>8732</v>
      </c>
      <c r="K3371" t="s">
        <v>9571</v>
      </c>
    </row>
    <row r="3372" spans="1:11" x14ac:dyDescent="0.4">
      <c r="A3372" t="s">
        <v>6004</v>
      </c>
      <c r="B3372">
        <v>0</v>
      </c>
      <c r="C3372" t="s">
        <v>5717</v>
      </c>
      <c r="D3372">
        <v>1</v>
      </c>
      <c r="E3372">
        <v>-1.379</v>
      </c>
      <c r="F3372">
        <v>0</v>
      </c>
      <c r="G3372">
        <v>2024</v>
      </c>
      <c r="H3372" t="s">
        <v>928</v>
      </c>
      <c r="I3372" t="s">
        <v>6063</v>
      </c>
      <c r="J3372" t="s">
        <v>6601</v>
      </c>
      <c r="K3372" t="s">
        <v>9572</v>
      </c>
    </row>
    <row r="3373" spans="1:11" x14ac:dyDescent="0.4">
      <c r="A3373" t="s">
        <v>4147</v>
      </c>
      <c r="B3373">
        <v>100</v>
      </c>
      <c r="C3373" t="s">
        <v>1380</v>
      </c>
      <c r="D3373">
        <v>5</v>
      </c>
      <c r="E3373">
        <v>0.71099999999999997</v>
      </c>
      <c r="F3373">
        <v>1</v>
      </c>
      <c r="G3373">
        <v>2024</v>
      </c>
      <c r="H3373" t="s">
        <v>928</v>
      </c>
      <c r="I3373" t="s">
        <v>6063</v>
      </c>
      <c r="J3373" t="s">
        <v>8733</v>
      </c>
      <c r="K3373" t="s">
        <v>9573</v>
      </c>
    </row>
    <row r="3374" spans="1:11" x14ac:dyDescent="0.4">
      <c r="A3374" t="s">
        <v>2338</v>
      </c>
      <c r="B3374">
        <v>0</v>
      </c>
      <c r="C3374" t="s">
        <v>5717</v>
      </c>
      <c r="D3374">
        <v>1</v>
      </c>
      <c r="E3374">
        <v>-1.379</v>
      </c>
      <c r="F3374">
        <v>0</v>
      </c>
      <c r="G3374">
        <v>2024</v>
      </c>
      <c r="H3374" t="s">
        <v>928</v>
      </c>
      <c r="I3374" t="s">
        <v>6063</v>
      </c>
      <c r="J3374" t="s">
        <v>8734</v>
      </c>
      <c r="K3374" t="s">
        <v>6026</v>
      </c>
    </row>
    <row r="3375" spans="1:11" x14ac:dyDescent="0.4">
      <c r="A3375" t="s">
        <v>2347</v>
      </c>
      <c r="B3375">
        <v>100</v>
      </c>
      <c r="C3375" t="s">
        <v>1380</v>
      </c>
      <c r="D3375">
        <v>5</v>
      </c>
      <c r="E3375">
        <v>0.71099999999999997</v>
      </c>
      <c r="F3375">
        <v>1</v>
      </c>
      <c r="G3375">
        <v>2024</v>
      </c>
      <c r="H3375" t="s">
        <v>928</v>
      </c>
      <c r="I3375" t="s">
        <v>6063</v>
      </c>
      <c r="J3375" t="s">
        <v>8735</v>
      </c>
      <c r="K3375" t="s">
        <v>9574</v>
      </c>
    </row>
    <row r="3376" spans="1:11" x14ac:dyDescent="0.4">
      <c r="A3376" t="s">
        <v>4140</v>
      </c>
      <c r="B3376">
        <v>100</v>
      </c>
      <c r="C3376" t="s">
        <v>1380</v>
      </c>
      <c r="D3376">
        <v>5</v>
      </c>
      <c r="E3376">
        <v>0.71099999999999997</v>
      </c>
      <c r="F3376">
        <v>1</v>
      </c>
      <c r="G3376">
        <v>2024</v>
      </c>
      <c r="H3376" t="s">
        <v>928</v>
      </c>
      <c r="I3376" t="s">
        <v>6063</v>
      </c>
      <c r="J3376" t="s">
        <v>8736</v>
      </c>
      <c r="K3376" t="s">
        <v>9575</v>
      </c>
    </row>
    <row r="3377" spans="1:11" x14ac:dyDescent="0.4">
      <c r="A3377" t="s">
        <v>4154</v>
      </c>
      <c r="B3377">
        <v>100</v>
      </c>
      <c r="C3377" t="s">
        <v>1380</v>
      </c>
      <c r="D3377">
        <v>5</v>
      </c>
      <c r="E3377">
        <v>0.71099999999999997</v>
      </c>
      <c r="F3377">
        <v>1</v>
      </c>
      <c r="G3377">
        <v>2024</v>
      </c>
      <c r="H3377" t="s">
        <v>928</v>
      </c>
      <c r="I3377" t="s">
        <v>6063</v>
      </c>
      <c r="J3377" t="s">
        <v>8737</v>
      </c>
      <c r="K3377" t="s">
        <v>9576</v>
      </c>
    </row>
    <row r="3378" spans="1:11" x14ac:dyDescent="0.4">
      <c r="A3378" t="s">
        <v>2339</v>
      </c>
      <c r="B3378">
        <v>100</v>
      </c>
      <c r="C3378" t="s">
        <v>1380</v>
      </c>
      <c r="D3378">
        <v>5</v>
      </c>
      <c r="E3378">
        <v>0.71099999999999997</v>
      </c>
      <c r="F3378">
        <v>1</v>
      </c>
      <c r="G3378">
        <v>2024</v>
      </c>
      <c r="H3378" t="s">
        <v>928</v>
      </c>
      <c r="I3378" t="s">
        <v>6063</v>
      </c>
      <c r="J3378" t="s">
        <v>8738</v>
      </c>
      <c r="K3378" t="s">
        <v>9577</v>
      </c>
    </row>
    <row r="3379" spans="1:11" x14ac:dyDescent="0.4">
      <c r="A3379" t="s">
        <v>2346</v>
      </c>
      <c r="B3379">
        <v>0</v>
      </c>
      <c r="C3379" t="s">
        <v>5717</v>
      </c>
      <c r="D3379">
        <v>1</v>
      </c>
      <c r="E3379">
        <v>-1.379</v>
      </c>
      <c r="F3379">
        <v>0</v>
      </c>
      <c r="G3379">
        <v>2024</v>
      </c>
      <c r="H3379" t="s">
        <v>928</v>
      </c>
      <c r="I3379" t="s">
        <v>6063</v>
      </c>
      <c r="J3379" t="s">
        <v>8739</v>
      </c>
      <c r="K3379" t="s">
        <v>9578</v>
      </c>
    </row>
    <row r="3380" spans="1:11" x14ac:dyDescent="0.4">
      <c r="A3380" t="s">
        <v>2340</v>
      </c>
      <c r="B3380">
        <v>100</v>
      </c>
      <c r="C3380" t="s">
        <v>1380</v>
      </c>
      <c r="D3380">
        <v>5</v>
      </c>
      <c r="E3380">
        <v>0.71099999999999997</v>
      </c>
      <c r="F3380">
        <v>1</v>
      </c>
      <c r="G3380">
        <v>2024</v>
      </c>
      <c r="H3380" t="s">
        <v>928</v>
      </c>
      <c r="I3380" t="s">
        <v>6063</v>
      </c>
      <c r="J3380" t="s">
        <v>8740</v>
      </c>
      <c r="K3380" t="s">
        <v>6023</v>
      </c>
    </row>
    <row r="3381" spans="1:11" x14ac:dyDescent="0.4">
      <c r="A3381" t="s">
        <v>4124</v>
      </c>
      <c r="B3381">
        <v>0</v>
      </c>
      <c r="C3381" t="s">
        <v>5717</v>
      </c>
      <c r="D3381">
        <v>1</v>
      </c>
      <c r="E3381">
        <v>-1.379</v>
      </c>
      <c r="F3381">
        <v>0</v>
      </c>
      <c r="G3381">
        <v>2024</v>
      </c>
      <c r="H3381" t="s">
        <v>928</v>
      </c>
      <c r="I3381" t="s">
        <v>6063</v>
      </c>
      <c r="J3381" t="s">
        <v>9003</v>
      </c>
      <c r="K3381" t="s">
        <v>9579</v>
      </c>
    </row>
    <row r="3382" spans="1:11" x14ac:dyDescent="0.4">
      <c r="A3382" t="s">
        <v>4144</v>
      </c>
      <c r="B3382">
        <v>100</v>
      </c>
      <c r="C3382" t="s">
        <v>1380</v>
      </c>
      <c r="D3382">
        <v>5</v>
      </c>
      <c r="E3382">
        <v>0.71099999999999997</v>
      </c>
      <c r="F3382">
        <v>1</v>
      </c>
      <c r="G3382">
        <v>2024</v>
      </c>
      <c r="H3382" t="s">
        <v>928</v>
      </c>
      <c r="I3382" t="s">
        <v>6063</v>
      </c>
      <c r="J3382" t="s">
        <v>8741</v>
      </c>
      <c r="K3382" t="s">
        <v>9580</v>
      </c>
    </row>
    <row r="3383" spans="1:11" x14ac:dyDescent="0.4">
      <c r="A3383" t="s">
        <v>4148</v>
      </c>
      <c r="B3383">
        <v>0</v>
      </c>
      <c r="C3383" t="s">
        <v>5717</v>
      </c>
      <c r="D3383">
        <v>1</v>
      </c>
      <c r="E3383">
        <v>-1.379</v>
      </c>
      <c r="F3383">
        <v>0</v>
      </c>
      <c r="G3383">
        <v>2024</v>
      </c>
      <c r="H3383" t="s">
        <v>928</v>
      </c>
      <c r="I3383" t="s">
        <v>6063</v>
      </c>
      <c r="J3383" t="s">
        <v>8742</v>
      </c>
      <c r="K3383" t="s">
        <v>8743</v>
      </c>
    </row>
    <row r="3384" spans="1:11" x14ac:dyDescent="0.4">
      <c r="A3384" t="s">
        <v>4146</v>
      </c>
      <c r="B3384">
        <v>100</v>
      </c>
      <c r="C3384" t="s">
        <v>1380</v>
      </c>
      <c r="D3384">
        <v>5</v>
      </c>
      <c r="E3384">
        <v>0.71099999999999997</v>
      </c>
      <c r="F3384">
        <v>1</v>
      </c>
      <c r="G3384">
        <v>2024</v>
      </c>
      <c r="H3384" t="s">
        <v>928</v>
      </c>
      <c r="I3384" t="s">
        <v>6063</v>
      </c>
      <c r="J3384" t="s">
        <v>8744</v>
      </c>
      <c r="K3384" t="s">
        <v>9581</v>
      </c>
    </row>
    <row r="3385" spans="1:11" x14ac:dyDescent="0.4">
      <c r="A3385" t="s">
        <v>4134</v>
      </c>
      <c r="B3385">
        <v>100</v>
      </c>
      <c r="C3385" t="s">
        <v>1380</v>
      </c>
      <c r="D3385">
        <v>5</v>
      </c>
      <c r="E3385">
        <v>0.71099999999999997</v>
      </c>
      <c r="F3385">
        <v>1</v>
      </c>
      <c r="G3385">
        <v>2024</v>
      </c>
      <c r="H3385" t="s">
        <v>928</v>
      </c>
      <c r="I3385" t="s">
        <v>6063</v>
      </c>
      <c r="J3385" t="s">
        <v>8745</v>
      </c>
      <c r="K3385" t="s">
        <v>9582</v>
      </c>
    </row>
    <row r="3386" spans="1:11" x14ac:dyDescent="0.4">
      <c r="A3386" t="s">
        <v>4123</v>
      </c>
      <c r="B3386">
        <v>0</v>
      </c>
      <c r="C3386" t="s">
        <v>5717</v>
      </c>
      <c r="D3386">
        <v>1</v>
      </c>
      <c r="E3386">
        <v>-1.379</v>
      </c>
      <c r="F3386">
        <v>0</v>
      </c>
      <c r="G3386">
        <v>2024</v>
      </c>
      <c r="H3386" t="s">
        <v>928</v>
      </c>
      <c r="I3386" t="s">
        <v>6063</v>
      </c>
      <c r="J3386" t="s">
        <v>8746</v>
      </c>
      <c r="K3386" t="s">
        <v>9583</v>
      </c>
    </row>
    <row r="3387" spans="1:11" x14ac:dyDescent="0.4">
      <c r="A3387" t="s">
        <v>4137</v>
      </c>
      <c r="B3387">
        <v>100</v>
      </c>
      <c r="C3387" t="s">
        <v>1380</v>
      </c>
      <c r="D3387">
        <v>5</v>
      </c>
      <c r="E3387">
        <v>0.71099999999999997</v>
      </c>
      <c r="F3387">
        <v>1</v>
      </c>
      <c r="G3387">
        <v>2024</v>
      </c>
      <c r="H3387" t="s">
        <v>928</v>
      </c>
      <c r="I3387" t="s">
        <v>6063</v>
      </c>
      <c r="J3387" t="s">
        <v>8747</v>
      </c>
      <c r="K3387" t="s">
        <v>9584</v>
      </c>
    </row>
    <row r="3388" spans="1:11" x14ac:dyDescent="0.4">
      <c r="A3388" t="s">
        <v>4138</v>
      </c>
      <c r="B3388">
        <v>0</v>
      </c>
      <c r="C3388" t="s">
        <v>5717</v>
      </c>
      <c r="D3388">
        <v>1</v>
      </c>
      <c r="E3388">
        <v>-1.379</v>
      </c>
      <c r="F3388">
        <v>0</v>
      </c>
      <c r="G3388">
        <v>2024</v>
      </c>
      <c r="H3388" t="s">
        <v>928</v>
      </c>
      <c r="I3388" t="s">
        <v>6063</v>
      </c>
      <c r="J3388" t="s">
        <v>8748</v>
      </c>
      <c r="K3388" t="s">
        <v>9585</v>
      </c>
    </row>
    <row r="3389" spans="1:11" x14ac:dyDescent="0.4">
      <c r="A3389" t="s">
        <v>4156</v>
      </c>
      <c r="B3389">
        <v>0</v>
      </c>
      <c r="C3389" t="s">
        <v>5717</v>
      </c>
      <c r="D3389">
        <v>1</v>
      </c>
      <c r="E3389">
        <v>-1.379</v>
      </c>
      <c r="F3389">
        <v>0</v>
      </c>
      <c r="G3389">
        <v>2024</v>
      </c>
      <c r="H3389" t="s">
        <v>928</v>
      </c>
      <c r="I3389" t="s">
        <v>6063</v>
      </c>
      <c r="J3389" t="s">
        <v>8749</v>
      </c>
      <c r="K3389" t="s">
        <v>9586</v>
      </c>
    </row>
    <row r="3390" spans="1:11" x14ac:dyDescent="0.4">
      <c r="A3390" t="s">
        <v>2341</v>
      </c>
      <c r="B3390">
        <v>100</v>
      </c>
      <c r="C3390" t="s">
        <v>1380</v>
      </c>
      <c r="D3390">
        <v>5</v>
      </c>
      <c r="E3390">
        <v>0.71099999999999997</v>
      </c>
      <c r="F3390">
        <v>1</v>
      </c>
      <c r="G3390">
        <v>2024</v>
      </c>
      <c r="H3390" t="s">
        <v>928</v>
      </c>
      <c r="I3390" t="s">
        <v>6063</v>
      </c>
      <c r="J3390" t="s">
        <v>6602</v>
      </c>
      <c r="K3390" t="s">
        <v>9587</v>
      </c>
    </row>
    <row r="3391" spans="1:11" x14ac:dyDescent="0.4">
      <c r="A3391" t="s">
        <v>2345</v>
      </c>
      <c r="B3391">
        <v>0</v>
      </c>
      <c r="C3391" t="s">
        <v>5717</v>
      </c>
      <c r="D3391">
        <v>1</v>
      </c>
      <c r="E3391">
        <v>-1.379</v>
      </c>
      <c r="F3391">
        <v>0</v>
      </c>
      <c r="G3391">
        <v>2024</v>
      </c>
      <c r="H3391" t="s">
        <v>928</v>
      </c>
      <c r="I3391" t="s">
        <v>6063</v>
      </c>
      <c r="J3391" t="s">
        <v>8750</v>
      </c>
      <c r="K3391" t="s">
        <v>8751</v>
      </c>
    </row>
    <row r="3392" spans="1:11" x14ac:dyDescent="0.4">
      <c r="A3392" t="s">
        <v>4139</v>
      </c>
      <c r="B3392">
        <v>0</v>
      </c>
      <c r="C3392" t="s">
        <v>5717</v>
      </c>
      <c r="D3392">
        <v>1</v>
      </c>
      <c r="E3392">
        <v>-1.379</v>
      </c>
      <c r="F3392">
        <v>0</v>
      </c>
      <c r="G3392">
        <v>2024</v>
      </c>
      <c r="H3392" t="s">
        <v>928</v>
      </c>
      <c r="I3392" t="s">
        <v>6063</v>
      </c>
      <c r="J3392" t="s">
        <v>6603</v>
      </c>
      <c r="K3392" t="s">
        <v>8752</v>
      </c>
    </row>
    <row r="3393" spans="1:11" x14ac:dyDescent="0.4">
      <c r="A3393" t="s">
        <v>4145</v>
      </c>
      <c r="B3393">
        <v>100</v>
      </c>
      <c r="C3393" t="s">
        <v>1380</v>
      </c>
      <c r="D3393">
        <v>5</v>
      </c>
      <c r="E3393">
        <v>0.71099999999999997</v>
      </c>
      <c r="F3393">
        <v>1</v>
      </c>
      <c r="G3393">
        <v>2024</v>
      </c>
      <c r="H3393" t="s">
        <v>928</v>
      </c>
      <c r="I3393" t="s">
        <v>6063</v>
      </c>
      <c r="J3393" t="s">
        <v>8753</v>
      </c>
      <c r="K3393" t="s">
        <v>9588</v>
      </c>
    </row>
    <row r="3394" spans="1:11" x14ac:dyDescent="0.4">
      <c r="A3394" t="s">
        <v>4126</v>
      </c>
      <c r="B3394">
        <v>100</v>
      </c>
      <c r="C3394" t="s">
        <v>1380</v>
      </c>
      <c r="D3394">
        <v>5</v>
      </c>
      <c r="E3394">
        <v>0.71099999999999997</v>
      </c>
      <c r="F3394">
        <v>1</v>
      </c>
      <c r="G3394">
        <v>2024</v>
      </c>
      <c r="H3394" t="s">
        <v>928</v>
      </c>
      <c r="I3394" t="s">
        <v>6063</v>
      </c>
      <c r="J3394" t="s">
        <v>8754</v>
      </c>
      <c r="K3394" t="s">
        <v>9589</v>
      </c>
    </row>
    <row r="3395" spans="1:11" x14ac:dyDescent="0.4">
      <c r="A3395" t="s">
        <v>5920</v>
      </c>
      <c r="B3395">
        <v>100</v>
      </c>
      <c r="C3395" t="s">
        <v>1380</v>
      </c>
      <c r="D3395">
        <v>5</v>
      </c>
      <c r="E3395">
        <v>0.71099999999999997</v>
      </c>
      <c r="F3395">
        <v>1</v>
      </c>
      <c r="G3395">
        <v>2024</v>
      </c>
      <c r="H3395" t="s">
        <v>928</v>
      </c>
      <c r="I3395" t="s">
        <v>6063</v>
      </c>
      <c r="J3395" t="s">
        <v>8755</v>
      </c>
      <c r="K3395" t="s">
        <v>8704</v>
      </c>
    </row>
    <row r="3396" spans="1:11" x14ac:dyDescent="0.4">
      <c r="A3396" t="s">
        <v>4149</v>
      </c>
      <c r="B3396">
        <v>100</v>
      </c>
      <c r="C3396" t="s">
        <v>1380</v>
      </c>
      <c r="D3396">
        <v>5</v>
      </c>
      <c r="E3396">
        <v>0.71099999999999997</v>
      </c>
      <c r="F3396">
        <v>1</v>
      </c>
      <c r="G3396">
        <v>2024</v>
      </c>
      <c r="H3396" t="s">
        <v>928</v>
      </c>
      <c r="I3396" t="s">
        <v>6063</v>
      </c>
      <c r="J3396" t="s">
        <v>8756</v>
      </c>
      <c r="K3396" t="s">
        <v>9590</v>
      </c>
    </row>
    <row r="3397" spans="1:11" x14ac:dyDescent="0.4">
      <c r="A3397" t="s">
        <v>5921</v>
      </c>
      <c r="B3397">
        <v>100</v>
      </c>
      <c r="C3397" t="s">
        <v>1380</v>
      </c>
      <c r="D3397">
        <v>5</v>
      </c>
      <c r="E3397">
        <v>0.71099999999999997</v>
      </c>
      <c r="F3397">
        <v>1</v>
      </c>
      <c r="G3397">
        <v>2024</v>
      </c>
      <c r="H3397" t="s">
        <v>928</v>
      </c>
      <c r="I3397" t="s">
        <v>6063</v>
      </c>
      <c r="J3397" t="s">
        <v>8757</v>
      </c>
      <c r="K3397" t="s">
        <v>9591</v>
      </c>
    </row>
    <row r="3398" spans="1:11" x14ac:dyDescent="0.4">
      <c r="A3398" t="s">
        <v>4157</v>
      </c>
      <c r="B3398">
        <v>0</v>
      </c>
      <c r="C3398" t="s">
        <v>5717</v>
      </c>
      <c r="D3398">
        <v>1</v>
      </c>
      <c r="E3398">
        <v>-1.379</v>
      </c>
      <c r="F3398">
        <v>0</v>
      </c>
      <c r="G3398">
        <v>2024</v>
      </c>
      <c r="H3398" t="s">
        <v>928</v>
      </c>
      <c r="I3398" t="s">
        <v>6063</v>
      </c>
      <c r="J3398" t="s">
        <v>8758</v>
      </c>
      <c r="K3398" t="s">
        <v>9592</v>
      </c>
    </row>
    <row r="3399" spans="1:11" x14ac:dyDescent="0.4">
      <c r="A3399" t="s">
        <v>4132</v>
      </c>
      <c r="B3399">
        <v>0</v>
      </c>
      <c r="C3399" t="s">
        <v>5717</v>
      </c>
      <c r="D3399">
        <v>1</v>
      </c>
      <c r="E3399">
        <v>-1.379</v>
      </c>
      <c r="F3399">
        <v>0</v>
      </c>
      <c r="G3399">
        <v>2024</v>
      </c>
      <c r="H3399" t="s">
        <v>928</v>
      </c>
      <c r="I3399" t="s">
        <v>6063</v>
      </c>
      <c r="J3399" t="s">
        <v>8759</v>
      </c>
      <c r="K3399" t="s">
        <v>9593</v>
      </c>
    </row>
    <row r="3400" spans="1:11" x14ac:dyDescent="0.4">
      <c r="A3400" t="s">
        <v>4136</v>
      </c>
      <c r="B3400">
        <v>100</v>
      </c>
      <c r="C3400" t="s">
        <v>1380</v>
      </c>
      <c r="D3400">
        <v>5</v>
      </c>
      <c r="E3400">
        <v>0.71099999999999997</v>
      </c>
      <c r="F3400">
        <v>1</v>
      </c>
      <c r="G3400">
        <v>2024</v>
      </c>
      <c r="H3400" t="s">
        <v>928</v>
      </c>
      <c r="I3400" t="s">
        <v>6063</v>
      </c>
      <c r="J3400" t="s">
        <v>8760</v>
      </c>
      <c r="K3400" t="s">
        <v>9594</v>
      </c>
    </row>
    <row r="3401" spans="1:11" x14ac:dyDescent="0.4">
      <c r="A3401" t="s">
        <v>4130</v>
      </c>
      <c r="B3401">
        <v>100</v>
      </c>
      <c r="C3401" t="s">
        <v>1380</v>
      </c>
      <c r="D3401">
        <v>5</v>
      </c>
      <c r="E3401">
        <v>0.71099999999999997</v>
      </c>
      <c r="F3401">
        <v>1</v>
      </c>
      <c r="G3401">
        <v>2024</v>
      </c>
      <c r="H3401" t="s">
        <v>928</v>
      </c>
      <c r="I3401" t="s">
        <v>6063</v>
      </c>
      <c r="J3401" t="s">
        <v>8761</v>
      </c>
      <c r="K3401" t="s">
        <v>9595</v>
      </c>
    </row>
    <row r="3402" spans="1:11" x14ac:dyDescent="0.4">
      <c r="A3402" t="s">
        <v>5922</v>
      </c>
      <c r="B3402">
        <v>100</v>
      </c>
      <c r="C3402" t="s">
        <v>1380</v>
      </c>
      <c r="D3402">
        <v>5</v>
      </c>
      <c r="E3402">
        <v>0.71099999999999997</v>
      </c>
      <c r="F3402">
        <v>1</v>
      </c>
      <c r="G3402">
        <v>2024</v>
      </c>
      <c r="H3402" t="s">
        <v>928</v>
      </c>
      <c r="I3402" t="s">
        <v>6063</v>
      </c>
      <c r="J3402" t="s">
        <v>8762</v>
      </c>
      <c r="K3402" t="s">
        <v>8712</v>
      </c>
    </row>
    <row r="3403" spans="1:11" x14ac:dyDescent="0.4">
      <c r="A3403" t="s">
        <v>4150</v>
      </c>
      <c r="B3403">
        <v>100</v>
      </c>
      <c r="C3403" t="s">
        <v>1380</v>
      </c>
      <c r="D3403">
        <v>5</v>
      </c>
      <c r="E3403">
        <v>0.71099999999999997</v>
      </c>
      <c r="F3403">
        <v>1</v>
      </c>
      <c r="G3403">
        <v>2024</v>
      </c>
      <c r="H3403" t="s">
        <v>928</v>
      </c>
      <c r="I3403" t="s">
        <v>6063</v>
      </c>
      <c r="J3403" t="s">
        <v>8763</v>
      </c>
      <c r="K3403" t="s">
        <v>6024</v>
      </c>
    </row>
    <row r="3404" spans="1:11" x14ac:dyDescent="0.4">
      <c r="A3404" t="s">
        <v>2342</v>
      </c>
      <c r="B3404">
        <v>100</v>
      </c>
      <c r="C3404" t="s">
        <v>1380</v>
      </c>
      <c r="D3404">
        <v>5</v>
      </c>
      <c r="E3404">
        <v>0.71099999999999997</v>
      </c>
      <c r="F3404">
        <v>1</v>
      </c>
      <c r="G3404">
        <v>2024</v>
      </c>
      <c r="H3404" t="s">
        <v>928</v>
      </c>
      <c r="I3404" t="s">
        <v>6063</v>
      </c>
      <c r="J3404" t="s">
        <v>8764</v>
      </c>
      <c r="K3404" t="s">
        <v>8765</v>
      </c>
    </row>
    <row r="3405" spans="1:11" x14ac:dyDescent="0.4">
      <c r="A3405" t="s">
        <v>2343</v>
      </c>
      <c r="B3405">
        <v>100</v>
      </c>
      <c r="C3405" t="s">
        <v>1380</v>
      </c>
      <c r="D3405">
        <v>5</v>
      </c>
      <c r="E3405">
        <v>0.71099999999999997</v>
      </c>
      <c r="F3405">
        <v>1</v>
      </c>
      <c r="G3405">
        <v>2024</v>
      </c>
      <c r="H3405" t="s">
        <v>928</v>
      </c>
      <c r="I3405" t="s">
        <v>6063</v>
      </c>
      <c r="J3405" t="s">
        <v>8766</v>
      </c>
      <c r="K3405" t="s">
        <v>8716</v>
      </c>
    </row>
    <row r="3406" spans="1:11" x14ac:dyDescent="0.4">
      <c r="A3406" t="s">
        <v>4153</v>
      </c>
      <c r="B3406">
        <v>100</v>
      </c>
      <c r="C3406" t="s">
        <v>1380</v>
      </c>
      <c r="D3406">
        <v>5</v>
      </c>
      <c r="E3406">
        <v>0.71099999999999997</v>
      </c>
      <c r="F3406">
        <v>1</v>
      </c>
      <c r="G3406">
        <v>2024</v>
      </c>
      <c r="H3406" t="s">
        <v>928</v>
      </c>
      <c r="I3406" t="s">
        <v>6063</v>
      </c>
      <c r="J3406" t="s">
        <v>8767</v>
      </c>
      <c r="K3406" t="s">
        <v>9596</v>
      </c>
    </row>
    <row r="3407" spans="1:11" x14ac:dyDescent="0.4">
      <c r="A3407" t="s">
        <v>2344</v>
      </c>
      <c r="B3407">
        <v>100</v>
      </c>
      <c r="C3407" t="s">
        <v>1380</v>
      </c>
      <c r="D3407">
        <v>5</v>
      </c>
      <c r="E3407">
        <v>0.71099999999999997</v>
      </c>
      <c r="F3407">
        <v>1</v>
      </c>
      <c r="G3407">
        <v>2024</v>
      </c>
      <c r="H3407" t="s">
        <v>928</v>
      </c>
      <c r="I3407" t="s">
        <v>6063</v>
      </c>
      <c r="J3407" t="s">
        <v>8768</v>
      </c>
      <c r="K3407" t="s">
        <v>9597</v>
      </c>
    </row>
    <row r="3408" spans="1:11" x14ac:dyDescent="0.4">
      <c r="A3408" t="s">
        <v>4128</v>
      </c>
      <c r="B3408">
        <v>100</v>
      </c>
      <c r="C3408" t="s">
        <v>1380</v>
      </c>
      <c r="D3408">
        <v>5</v>
      </c>
      <c r="E3408">
        <v>0.71099999999999997</v>
      </c>
      <c r="F3408">
        <v>1</v>
      </c>
      <c r="G3408">
        <v>2024</v>
      </c>
      <c r="H3408" t="s">
        <v>928</v>
      </c>
      <c r="I3408" t="s">
        <v>6063</v>
      </c>
      <c r="J3408" t="s">
        <v>8769</v>
      </c>
      <c r="K3408" t="s">
        <v>8770</v>
      </c>
    </row>
    <row r="3409" spans="1:11" x14ac:dyDescent="0.4">
      <c r="A3409" t="s">
        <v>4142</v>
      </c>
      <c r="B3409">
        <v>100</v>
      </c>
      <c r="C3409" t="s">
        <v>1380</v>
      </c>
      <c r="D3409">
        <v>5</v>
      </c>
      <c r="E3409">
        <v>0.71099999999999997</v>
      </c>
      <c r="F3409">
        <v>1</v>
      </c>
      <c r="G3409">
        <v>2024</v>
      </c>
      <c r="H3409" t="s">
        <v>928</v>
      </c>
      <c r="I3409" t="s">
        <v>6063</v>
      </c>
      <c r="J3409" t="s">
        <v>8771</v>
      </c>
      <c r="K3409" t="s">
        <v>6027</v>
      </c>
    </row>
    <row r="3410" spans="1:11" x14ac:dyDescent="0.4">
      <c r="A3410" t="s">
        <v>4152</v>
      </c>
      <c r="B3410">
        <v>100</v>
      </c>
      <c r="C3410" t="s">
        <v>1380</v>
      </c>
      <c r="D3410">
        <v>5</v>
      </c>
      <c r="E3410">
        <v>0.71099999999999997</v>
      </c>
      <c r="F3410">
        <v>1</v>
      </c>
      <c r="G3410">
        <v>2024</v>
      </c>
      <c r="H3410" t="s">
        <v>928</v>
      </c>
      <c r="I3410" t="s">
        <v>6063</v>
      </c>
      <c r="J3410" t="s">
        <v>8772</v>
      </c>
      <c r="K3410" t="s">
        <v>6028</v>
      </c>
    </row>
    <row r="3411" spans="1:11" x14ac:dyDescent="0.4">
      <c r="A3411" t="s">
        <v>4143</v>
      </c>
      <c r="B3411">
        <v>0</v>
      </c>
      <c r="C3411" t="s">
        <v>5717</v>
      </c>
      <c r="D3411">
        <v>1</v>
      </c>
      <c r="E3411">
        <v>-1.379</v>
      </c>
      <c r="F3411">
        <v>0</v>
      </c>
      <c r="G3411">
        <v>2024</v>
      </c>
      <c r="H3411" t="s">
        <v>928</v>
      </c>
      <c r="I3411" t="s">
        <v>6063</v>
      </c>
      <c r="J3411" t="s">
        <v>8773</v>
      </c>
      <c r="K3411" t="s">
        <v>9598</v>
      </c>
    </row>
    <row r="3412" spans="1:11" x14ac:dyDescent="0.4">
      <c r="A3412" t="s">
        <v>2348</v>
      </c>
      <c r="B3412">
        <v>66</v>
      </c>
      <c r="C3412" t="s">
        <v>197</v>
      </c>
      <c r="D3412">
        <v>4</v>
      </c>
    </row>
    <row r="3413" spans="1:11" x14ac:dyDescent="0.4">
      <c r="A3413" t="s">
        <v>2349</v>
      </c>
      <c r="B3413">
        <v>40</v>
      </c>
      <c r="C3413" t="s">
        <v>197</v>
      </c>
      <c r="D3413">
        <v>3</v>
      </c>
    </row>
    <row r="3414" spans="1:11" x14ac:dyDescent="0.4">
      <c r="A3414" t="s">
        <v>2350</v>
      </c>
      <c r="B3414">
        <v>71.400000000000006</v>
      </c>
      <c r="C3414" t="s">
        <v>197</v>
      </c>
      <c r="D3414">
        <v>4</v>
      </c>
    </row>
    <row r="3415" spans="1:11" x14ac:dyDescent="0.4">
      <c r="A3415" t="s">
        <v>2351</v>
      </c>
      <c r="B3415">
        <v>50</v>
      </c>
      <c r="C3415" t="s">
        <v>197</v>
      </c>
      <c r="D3415">
        <v>3</v>
      </c>
    </row>
    <row r="3416" spans="1:11" x14ac:dyDescent="0.4">
      <c r="A3416" t="s">
        <v>2352</v>
      </c>
      <c r="B3416">
        <v>60</v>
      </c>
      <c r="C3416" t="s">
        <v>197</v>
      </c>
      <c r="D3416">
        <v>4</v>
      </c>
    </row>
    <row r="3417" spans="1:11" x14ac:dyDescent="0.4">
      <c r="A3417" t="s">
        <v>2604</v>
      </c>
      <c r="B3417">
        <v>60</v>
      </c>
      <c r="C3417" t="s">
        <v>197</v>
      </c>
      <c r="D3417">
        <v>4</v>
      </c>
    </row>
    <row r="3418" spans="1:11" x14ac:dyDescent="0.4">
      <c r="A3418" t="s">
        <v>2605</v>
      </c>
      <c r="B3418">
        <v>85.7</v>
      </c>
      <c r="C3418" t="s">
        <v>197</v>
      </c>
      <c r="D3418">
        <v>5</v>
      </c>
    </row>
    <row r="3419" spans="1:11" x14ac:dyDescent="0.4">
      <c r="A3419" t="s">
        <v>7423</v>
      </c>
      <c r="B3419">
        <v>43.8</v>
      </c>
      <c r="C3419" t="s">
        <v>197</v>
      </c>
      <c r="D3419">
        <v>3</v>
      </c>
    </row>
    <row r="3420" spans="1:11" x14ac:dyDescent="0.4">
      <c r="A3420" t="s">
        <v>7424</v>
      </c>
      <c r="B3420">
        <v>63.6</v>
      </c>
      <c r="C3420" t="s">
        <v>197</v>
      </c>
      <c r="D3420">
        <v>4</v>
      </c>
    </row>
    <row r="3421" spans="1:11" x14ac:dyDescent="0.4">
      <c r="A3421" t="s">
        <v>7425</v>
      </c>
      <c r="B3421">
        <v>82.6</v>
      </c>
      <c r="C3421" t="s">
        <v>197</v>
      </c>
      <c r="D3421">
        <v>5</v>
      </c>
    </row>
    <row r="3422" spans="1:11" x14ac:dyDescent="0.4">
      <c r="A3422" t="s">
        <v>5342</v>
      </c>
      <c r="B3422">
        <v>0</v>
      </c>
      <c r="C3422" t="s">
        <v>6014</v>
      </c>
      <c r="D3422">
        <v>1</v>
      </c>
      <c r="E3422">
        <v>-1.7010000000000001</v>
      </c>
      <c r="F3422">
        <v>0</v>
      </c>
      <c r="G3422">
        <v>2024</v>
      </c>
      <c r="H3422" t="s">
        <v>928</v>
      </c>
      <c r="I3422" t="s">
        <v>6063</v>
      </c>
      <c r="J3422" t="s">
        <v>8774</v>
      </c>
      <c r="K3422" t="s">
        <v>9599</v>
      </c>
    </row>
    <row r="3423" spans="1:11" x14ac:dyDescent="0.4">
      <c r="A3423" t="s">
        <v>5340</v>
      </c>
      <c r="B3423">
        <v>50</v>
      </c>
      <c r="C3423" t="s">
        <v>6045</v>
      </c>
      <c r="D3423">
        <v>3</v>
      </c>
      <c r="E3423">
        <v>-0.155</v>
      </c>
      <c r="F3423">
        <v>1</v>
      </c>
      <c r="G3423">
        <v>2024</v>
      </c>
      <c r="H3423" t="s">
        <v>928</v>
      </c>
      <c r="I3423" t="s">
        <v>6063</v>
      </c>
      <c r="J3423" t="s">
        <v>8775</v>
      </c>
      <c r="K3423" t="s">
        <v>9600</v>
      </c>
    </row>
    <row r="3424" spans="1:11" x14ac:dyDescent="0.4">
      <c r="A3424" t="s">
        <v>5347</v>
      </c>
      <c r="B3424">
        <v>50</v>
      </c>
      <c r="C3424" t="s">
        <v>6045</v>
      </c>
      <c r="D3424">
        <v>3</v>
      </c>
      <c r="E3424">
        <v>-0.155</v>
      </c>
      <c r="F3424">
        <v>1</v>
      </c>
      <c r="G3424">
        <v>2024</v>
      </c>
      <c r="H3424" t="s">
        <v>928</v>
      </c>
      <c r="I3424" t="s">
        <v>6063</v>
      </c>
      <c r="J3424" t="s">
        <v>8776</v>
      </c>
      <c r="K3424" t="s">
        <v>9601</v>
      </c>
    </row>
    <row r="3425" spans="1:11" x14ac:dyDescent="0.4">
      <c r="A3425" t="s">
        <v>5381</v>
      </c>
      <c r="B3425">
        <v>50</v>
      </c>
      <c r="C3425" t="s">
        <v>6045</v>
      </c>
      <c r="D3425">
        <v>3</v>
      </c>
      <c r="E3425">
        <v>-0.155</v>
      </c>
      <c r="F3425">
        <v>1</v>
      </c>
      <c r="G3425">
        <v>2024</v>
      </c>
      <c r="H3425" t="s">
        <v>928</v>
      </c>
      <c r="I3425" t="s">
        <v>6063</v>
      </c>
      <c r="J3425" t="s">
        <v>8777</v>
      </c>
      <c r="K3425" t="s">
        <v>8778</v>
      </c>
    </row>
    <row r="3426" spans="1:11" x14ac:dyDescent="0.4">
      <c r="A3426" t="s">
        <v>5363</v>
      </c>
      <c r="B3426">
        <v>50</v>
      </c>
      <c r="C3426" t="s">
        <v>6045</v>
      </c>
      <c r="D3426">
        <v>3</v>
      </c>
      <c r="E3426">
        <v>-0.155</v>
      </c>
      <c r="F3426">
        <v>1</v>
      </c>
      <c r="G3426">
        <v>2024</v>
      </c>
      <c r="H3426" t="s">
        <v>928</v>
      </c>
      <c r="I3426" t="s">
        <v>6063</v>
      </c>
      <c r="J3426" t="s">
        <v>8779</v>
      </c>
      <c r="K3426" t="s">
        <v>9602</v>
      </c>
    </row>
    <row r="3427" spans="1:11" x14ac:dyDescent="0.4">
      <c r="A3427" t="s">
        <v>5375</v>
      </c>
      <c r="B3427">
        <v>50</v>
      </c>
      <c r="C3427" t="s">
        <v>6045</v>
      </c>
      <c r="D3427">
        <v>3</v>
      </c>
      <c r="E3427">
        <v>-0.155</v>
      </c>
      <c r="F3427">
        <v>1</v>
      </c>
      <c r="G3427">
        <v>2024</v>
      </c>
      <c r="H3427" t="s">
        <v>928</v>
      </c>
      <c r="I3427" t="s">
        <v>6063</v>
      </c>
      <c r="J3427" t="s">
        <v>8780</v>
      </c>
      <c r="K3427" t="s">
        <v>9603</v>
      </c>
    </row>
    <row r="3428" spans="1:11" x14ac:dyDescent="0.4">
      <c r="A3428" t="s">
        <v>5352</v>
      </c>
      <c r="B3428">
        <v>0</v>
      </c>
      <c r="C3428" t="s">
        <v>6014</v>
      </c>
      <c r="D3428">
        <v>1</v>
      </c>
      <c r="E3428">
        <v>-1.7010000000000001</v>
      </c>
      <c r="F3428">
        <v>0</v>
      </c>
      <c r="G3428">
        <v>2024</v>
      </c>
      <c r="H3428" t="s">
        <v>928</v>
      </c>
      <c r="I3428" t="s">
        <v>6063</v>
      </c>
      <c r="J3428" t="s">
        <v>8781</v>
      </c>
      <c r="K3428" t="s">
        <v>9604</v>
      </c>
    </row>
    <row r="3429" spans="1:11" x14ac:dyDescent="0.4">
      <c r="A3429" t="s">
        <v>5345</v>
      </c>
      <c r="B3429">
        <v>0</v>
      </c>
      <c r="C3429" t="s">
        <v>6014</v>
      </c>
      <c r="D3429">
        <v>1</v>
      </c>
      <c r="E3429">
        <v>-1.7010000000000001</v>
      </c>
      <c r="F3429">
        <v>0</v>
      </c>
      <c r="G3429">
        <v>2024</v>
      </c>
      <c r="H3429" t="s">
        <v>928</v>
      </c>
      <c r="I3429" t="s">
        <v>6063</v>
      </c>
      <c r="J3429" t="s">
        <v>8782</v>
      </c>
      <c r="K3429" t="s">
        <v>9605</v>
      </c>
    </row>
    <row r="3430" spans="1:11" x14ac:dyDescent="0.4">
      <c r="A3430" t="s">
        <v>5359</v>
      </c>
      <c r="B3430">
        <v>50</v>
      </c>
      <c r="C3430" t="s">
        <v>6045</v>
      </c>
      <c r="D3430">
        <v>3</v>
      </c>
      <c r="E3430">
        <v>-0.155</v>
      </c>
      <c r="F3430">
        <v>1</v>
      </c>
      <c r="G3430">
        <v>2024</v>
      </c>
      <c r="H3430" t="s">
        <v>928</v>
      </c>
      <c r="I3430" t="s">
        <v>6063</v>
      </c>
      <c r="J3430" t="s">
        <v>8783</v>
      </c>
      <c r="K3430" t="s">
        <v>9606</v>
      </c>
    </row>
    <row r="3431" spans="1:11" x14ac:dyDescent="0.4">
      <c r="A3431" t="s">
        <v>5349</v>
      </c>
      <c r="B3431">
        <v>50</v>
      </c>
      <c r="C3431" t="s">
        <v>6045</v>
      </c>
      <c r="D3431">
        <v>3</v>
      </c>
      <c r="E3431">
        <v>-0.155</v>
      </c>
      <c r="F3431">
        <v>1</v>
      </c>
      <c r="G3431">
        <v>2024</v>
      </c>
      <c r="H3431" t="s">
        <v>928</v>
      </c>
      <c r="I3431" t="s">
        <v>6063</v>
      </c>
      <c r="J3431" t="s">
        <v>8784</v>
      </c>
      <c r="K3431" t="s">
        <v>9607</v>
      </c>
    </row>
    <row r="3432" spans="1:11" x14ac:dyDescent="0.4">
      <c r="A3432" t="s">
        <v>6005</v>
      </c>
      <c r="B3432">
        <v>0</v>
      </c>
      <c r="C3432" t="s">
        <v>6014</v>
      </c>
      <c r="D3432">
        <v>1</v>
      </c>
      <c r="E3432">
        <v>-1.7010000000000001</v>
      </c>
      <c r="F3432">
        <v>0</v>
      </c>
      <c r="G3432">
        <v>2024</v>
      </c>
      <c r="H3432" t="s">
        <v>928</v>
      </c>
      <c r="I3432" t="s">
        <v>6063</v>
      </c>
      <c r="J3432" t="s">
        <v>8785</v>
      </c>
      <c r="K3432" t="s">
        <v>9608</v>
      </c>
    </row>
    <row r="3433" spans="1:11" x14ac:dyDescent="0.4">
      <c r="A3433" t="s">
        <v>5367</v>
      </c>
      <c r="B3433">
        <v>100</v>
      </c>
      <c r="C3433" t="s">
        <v>1380</v>
      </c>
      <c r="D3433">
        <v>5</v>
      </c>
      <c r="E3433">
        <v>1.391</v>
      </c>
      <c r="F3433">
        <v>2</v>
      </c>
      <c r="G3433">
        <v>2024</v>
      </c>
      <c r="H3433" t="s">
        <v>928</v>
      </c>
      <c r="I3433" t="s">
        <v>6063</v>
      </c>
      <c r="J3433" t="s">
        <v>8786</v>
      </c>
      <c r="K3433" t="s">
        <v>9609</v>
      </c>
    </row>
    <row r="3434" spans="1:11" x14ac:dyDescent="0.4">
      <c r="A3434" t="s">
        <v>5368</v>
      </c>
      <c r="B3434">
        <v>100</v>
      </c>
      <c r="C3434" t="s">
        <v>1380</v>
      </c>
      <c r="D3434">
        <v>5</v>
      </c>
      <c r="E3434">
        <v>1.391</v>
      </c>
      <c r="F3434">
        <v>2</v>
      </c>
      <c r="G3434">
        <v>2024</v>
      </c>
      <c r="H3434" t="s">
        <v>928</v>
      </c>
      <c r="I3434" t="s">
        <v>6063</v>
      </c>
      <c r="J3434" t="s">
        <v>8787</v>
      </c>
      <c r="K3434" t="s">
        <v>9610</v>
      </c>
    </row>
    <row r="3435" spans="1:11" x14ac:dyDescent="0.4">
      <c r="A3435" t="s">
        <v>5350</v>
      </c>
      <c r="B3435">
        <v>50</v>
      </c>
      <c r="C3435" t="s">
        <v>6045</v>
      </c>
      <c r="D3435">
        <v>3</v>
      </c>
      <c r="E3435">
        <v>-0.155</v>
      </c>
      <c r="F3435">
        <v>1</v>
      </c>
      <c r="G3435">
        <v>2024</v>
      </c>
      <c r="H3435" t="s">
        <v>928</v>
      </c>
      <c r="I3435" t="s">
        <v>6063</v>
      </c>
      <c r="J3435" t="s">
        <v>8788</v>
      </c>
      <c r="K3435" t="s">
        <v>9611</v>
      </c>
    </row>
    <row r="3436" spans="1:11" x14ac:dyDescent="0.4">
      <c r="A3436" t="s">
        <v>5358</v>
      </c>
      <c r="B3436">
        <v>50</v>
      </c>
      <c r="C3436" t="s">
        <v>6045</v>
      </c>
      <c r="D3436">
        <v>3</v>
      </c>
      <c r="E3436">
        <v>-0.155</v>
      </c>
      <c r="F3436">
        <v>1</v>
      </c>
      <c r="G3436">
        <v>2024</v>
      </c>
      <c r="H3436" t="s">
        <v>928</v>
      </c>
      <c r="I3436" t="s">
        <v>6063</v>
      </c>
      <c r="J3436" t="s">
        <v>8789</v>
      </c>
      <c r="K3436" t="s">
        <v>9612</v>
      </c>
    </row>
    <row r="3437" spans="1:11" x14ac:dyDescent="0.4">
      <c r="A3437" t="s">
        <v>5380</v>
      </c>
      <c r="B3437">
        <v>50</v>
      </c>
      <c r="C3437" t="s">
        <v>6045</v>
      </c>
      <c r="D3437">
        <v>3</v>
      </c>
      <c r="E3437">
        <v>-0.155</v>
      </c>
      <c r="F3437">
        <v>1</v>
      </c>
      <c r="G3437">
        <v>2024</v>
      </c>
      <c r="H3437" t="s">
        <v>928</v>
      </c>
      <c r="I3437" t="s">
        <v>6063</v>
      </c>
      <c r="J3437" t="s">
        <v>8790</v>
      </c>
      <c r="K3437" t="s">
        <v>8791</v>
      </c>
    </row>
    <row r="3438" spans="1:11" x14ac:dyDescent="0.4">
      <c r="A3438" t="s">
        <v>5377</v>
      </c>
      <c r="B3438">
        <v>100</v>
      </c>
      <c r="C3438" t="s">
        <v>1380</v>
      </c>
      <c r="D3438">
        <v>5</v>
      </c>
      <c r="E3438">
        <v>1.391</v>
      </c>
      <c r="F3438">
        <v>2</v>
      </c>
      <c r="G3438">
        <v>2024</v>
      </c>
      <c r="H3438" t="s">
        <v>928</v>
      </c>
      <c r="I3438" t="s">
        <v>6063</v>
      </c>
      <c r="J3438" t="s">
        <v>8792</v>
      </c>
      <c r="K3438" t="s">
        <v>9613</v>
      </c>
    </row>
    <row r="3439" spans="1:11" x14ac:dyDescent="0.4">
      <c r="A3439" t="s">
        <v>5355</v>
      </c>
      <c r="B3439">
        <v>0</v>
      </c>
      <c r="C3439" t="s">
        <v>6014</v>
      </c>
      <c r="D3439">
        <v>1</v>
      </c>
      <c r="E3439">
        <v>-1.7010000000000001</v>
      </c>
      <c r="F3439">
        <v>0</v>
      </c>
      <c r="G3439">
        <v>2024</v>
      </c>
      <c r="H3439" t="s">
        <v>928</v>
      </c>
      <c r="I3439" t="s">
        <v>6063</v>
      </c>
      <c r="J3439" t="s">
        <v>8793</v>
      </c>
      <c r="K3439" t="s">
        <v>9614</v>
      </c>
    </row>
    <row r="3440" spans="1:11" x14ac:dyDescent="0.4">
      <c r="A3440" t="s">
        <v>5361</v>
      </c>
      <c r="B3440">
        <v>100</v>
      </c>
      <c r="C3440" t="s">
        <v>1380</v>
      </c>
      <c r="D3440">
        <v>5</v>
      </c>
      <c r="E3440">
        <v>1.391</v>
      </c>
      <c r="F3440">
        <v>2</v>
      </c>
      <c r="G3440">
        <v>2024</v>
      </c>
      <c r="H3440" t="s">
        <v>928</v>
      </c>
      <c r="I3440" t="s">
        <v>6063</v>
      </c>
      <c r="J3440" t="s">
        <v>8794</v>
      </c>
      <c r="K3440" t="s">
        <v>9615</v>
      </c>
    </row>
    <row r="3441" spans="1:11" x14ac:dyDescent="0.4">
      <c r="A3441" t="s">
        <v>5339</v>
      </c>
      <c r="B3441">
        <v>0</v>
      </c>
      <c r="C3441" t="s">
        <v>6014</v>
      </c>
      <c r="D3441">
        <v>1</v>
      </c>
      <c r="E3441">
        <v>-1.7010000000000001</v>
      </c>
      <c r="F3441">
        <v>0</v>
      </c>
      <c r="G3441">
        <v>2024</v>
      </c>
      <c r="H3441" t="s">
        <v>928</v>
      </c>
      <c r="I3441" t="s">
        <v>6063</v>
      </c>
      <c r="J3441" t="s">
        <v>8795</v>
      </c>
      <c r="K3441" t="s">
        <v>9616</v>
      </c>
    </row>
    <row r="3442" spans="1:11" x14ac:dyDescent="0.4">
      <c r="A3442" t="s">
        <v>5364</v>
      </c>
      <c r="B3442">
        <v>50</v>
      </c>
      <c r="C3442" t="s">
        <v>6045</v>
      </c>
      <c r="D3442">
        <v>3</v>
      </c>
      <c r="E3442">
        <v>-0.155</v>
      </c>
      <c r="F3442">
        <v>1</v>
      </c>
      <c r="G3442">
        <v>2024</v>
      </c>
      <c r="H3442" t="s">
        <v>928</v>
      </c>
      <c r="I3442" t="s">
        <v>6063</v>
      </c>
      <c r="J3442" t="s">
        <v>8796</v>
      </c>
      <c r="K3442" t="s">
        <v>9617</v>
      </c>
    </row>
    <row r="3443" spans="1:11" x14ac:dyDescent="0.4">
      <c r="A3443" t="s">
        <v>5369</v>
      </c>
      <c r="B3443">
        <v>50</v>
      </c>
      <c r="C3443" t="s">
        <v>6045</v>
      </c>
      <c r="D3443">
        <v>3</v>
      </c>
      <c r="E3443">
        <v>-0.155</v>
      </c>
      <c r="F3443">
        <v>1</v>
      </c>
      <c r="G3443">
        <v>2024</v>
      </c>
      <c r="H3443" t="s">
        <v>928</v>
      </c>
      <c r="I3443" t="s">
        <v>6063</v>
      </c>
      <c r="J3443" t="s">
        <v>8797</v>
      </c>
      <c r="K3443" t="s">
        <v>9618</v>
      </c>
    </row>
    <row r="3444" spans="1:11" x14ac:dyDescent="0.4">
      <c r="A3444" t="s">
        <v>5366</v>
      </c>
      <c r="B3444">
        <v>100</v>
      </c>
      <c r="C3444" t="s">
        <v>1380</v>
      </c>
      <c r="D3444">
        <v>5</v>
      </c>
      <c r="E3444">
        <v>1.391</v>
      </c>
      <c r="F3444">
        <v>2</v>
      </c>
      <c r="G3444">
        <v>2024</v>
      </c>
      <c r="H3444" t="s">
        <v>928</v>
      </c>
      <c r="I3444" t="s">
        <v>6063</v>
      </c>
      <c r="J3444" t="s">
        <v>8798</v>
      </c>
      <c r="K3444" t="s">
        <v>9619</v>
      </c>
    </row>
    <row r="3445" spans="1:11" x14ac:dyDescent="0.4">
      <c r="A3445" t="s">
        <v>5351</v>
      </c>
      <c r="B3445">
        <v>50</v>
      </c>
      <c r="C3445" t="s">
        <v>6045</v>
      </c>
      <c r="D3445">
        <v>3</v>
      </c>
      <c r="E3445">
        <v>-0.155</v>
      </c>
      <c r="F3445">
        <v>1</v>
      </c>
      <c r="G3445">
        <v>2024</v>
      </c>
      <c r="H3445" t="s">
        <v>928</v>
      </c>
      <c r="I3445" t="s">
        <v>6063</v>
      </c>
      <c r="J3445" t="s">
        <v>8799</v>
      </c>
      <c r="K3445" t="s">
        <v>9620</v>
      </c>
    </row>
    <row r="3446" spans="1:11" x14ac:dyDescent="0.4">
      <c r="A3446" t="s">
        <v>5338</v>
      </c>
      <c r="B3446">
        <v>100</v>
      </c>
      <c r="C3446" t="s">
        <v>1380</v>
      </c>
      <c r="D3446">
        <v>5</v>
      </c>
      <c r="E3446">
        <v>1.391</v>
      </c>
      <c r="F3446">
        <v>2</v>
      </c>
      <c r="G3446">
        <v>2024</v>
      </c>
      <c r="H3446" t="s">
        <v>928</v>
      </c>
      <c r="I3446" t="s">
        <v>6063</v>
      </c>
      <c r="J3446" t="s">
        <v>8800</v>
      </c>
      <c r="K3446" t="s">
        <v>9621</v>
      </c>
    </row>
    <row r="3447" spans="1:11" x14ac:dyDescent="0.4">
      <c r="A3447" t="s">
        <v>5354</v>
      </c>
      <c r="B3447">
        <v>100</v>
      </c>
      <c r="C3447" t="s">
        <v>1380</v>
      </c>
      <c r="D3447">
        <v>5</v>
      </c>
      <c r="E3447">
        <v>1.391</v>
      </c>
      <c r="F3447">
        <v>2</v>
      </c>
      <c r="G3447">
        <v>2024</v>
      </c>
      <c r="H3447" t="s">
        <v>928</v>
      </c>
      <c r="I3447" t="s">
        <v>6063</v>
      </c>
      <c r="J3447" t="s">
        <v>8801</v>
      </c>
      <c r="K3447" t="s">
        <v>9622</v>
      </c>
    </row>
    <row r="3448" spans="1:11" x14ac:dyDescent="0.4">
      <c r="A3448" t="s">
        <v>5356</v>
      </c>
      <c r="B3448">
        <v>50</v>
      </c>
      <c r="C3448" t="s">
        <v>6045</v>
      </c>
      <c r="D3448">
        <v>3</v>
      </c>
      <c r="E3448">
        <v>-0.155</v>
      </c>
      <c r="F3448">
        <v>1</v>
      </c>
      <c r="G3448">
        <v>2024</v>
      </c>
      <c r="H3448" t="s">
        <v>928</v>
      </c>
      <c r="I3448" t="s">
        <v>6063</v>
      </c>
      <c r="J3448" t="s">
        <v>8802</v>
      </c>
      <c r="K3448" t="s">
        <v>9623</v>
      </c>
    </row>
    <row r="3449" spans="1:11" x14ac:dyDescent="0.4">
      <c r="A3449" t="s">
        <v>5382</v>
      </c>
      <c r="B3449">
        <v>50</v>
      </c>
      <c r="C3449" t="s">
        <v>6045</v>
      </c>
      <c r="D3449">
        <v>3</v>
      </c>
      <c r="E3449">
        <v>-0.155</v>
      </c>
      <c r="F3449">
        <v>1</v>
      </c>
      <c r="G3449">
        <v>2024</v>
      </c>
      <c r="H3449" t="s">
        <v>928</v>
      </c>
      <c r="I3449" t="s">
        <v>6063</v>
      </c>
      <c r="J3449" t="s">
        <v>8803</v>
      </c>
      <c r="K3449" t="s">
        <v>9624</v>
      </c>
    </row>
    <row r="3450" spans="1:11" x14ac:dyDescent="0.4">
      <c r="A3450" t="s">
        <v>5379</v>
      </c>
      <c r="B3450">
        <v>50</v>
      </c>
      <c r="C3450" t="s">
        <v>6045</v>
      </c>
      <c r="D3450">
        <v>3</v>
      </c>
      <c r="E3450">
        <v>-0.155</v>
      </c>
      <c r="F3450">
        <v>1</v>
      </c>
      <c r="G3450">
        <v>2024</v>
      </c>
      <c r="H3450" t="s">
        <v>928</v>
      </c>
      <c r="I3450" t="s">
        <v>6063</v>
      </c>
      <c r="J3450" t="s">
        <v>8804</v>
      </c>
      <c r="K3450" t="s">
        <v>9625</v>
      </c>
    </row>
    <row r="3451" spans="1:11" x14ac:dyDescent="0.4">
      <c r="A3451" t="s">
        <v>5344</v>
      </c>
      <c r="B3451">
        <v>50</v>
      </c>
      <c r="C3451" t="s">
        <v>6045</v>
      </c>
      <c r="D3451">
        <v>3</v>
      </c>
      <c r="E3451">
        <v>-0.155</v>
      </c>
      <c r="F3451">
        <v>1</v>
      </c>
      <c r="G3451">
        <v>2024</v>
      </c>
      <c r="H3451" t="s">
        <v>928</v>
      </c>
      <c r="I3451" t="s">
        <v>6063</v>
      </c>
      <c r="J3451" t="s">
        <v>8805</v>
      </c>
      <c r="K3451" t="s">
        <v>9626</v>
      </c>
    </row>
    <row r="3452" spans="1:11" x14ac:dyDescent="0.4">
      <c r="A3452" t="s">
        <v>5357</v>
      </c>
      <c r="B3452">
        <v>50</v>
      </c>
      <c r="C3452" t="s">
        <v>6045</v>
      </c>
      <c r="D3452">
        <v>3</v>
      </c>
      <c r="E3452">
        <v>-0.155</v>
      </c>
      <c r="F3452">
        <v>1</v>
      </c>
      <c r="G3452">
        <v>2024</v>
      </c>
      <c r="H3452" t="s">
        <v>928</v>
      </c>
      <c r="I3452" t="s">
        <v>6063</v>
      </c>
      <c r="J3452" t="s">
        <v>8806</v>
      </c>
      <c r="K3452" t="s">
        <v>9627</v>
      </c>
    </row>
    <row r="3453" spans="1:11" x14ac:dyDescent="0.4">
      <c r="A3453" t="s">
        <v>5365</v>
      </c>
      <c r="B3453">
        <v>100</v>
      </c>
      <c r="C3453" t="s">
        <v>1380</v>
      </c>
      <c r="D3453">
        <v>5</v>
      </c>
      <c r="E3453">
        <v>1.391</v>
      </c>
      <c r="F3453">
        <v>2</v>
      </c>
      <c r="G3453">
        <v>2024</v>
      </c>
      <c r="H3453" t="s">
        <v>928</v>
      </c>
      <c r="I3453" t="s">
        <v>6063</v>
      </c>
      <c r="J3453" t="s">
        <v>8807</v>
      </c>
      <c r="K3453" t="s">
        <v>9628</v>
      </c>
    </row>
    <row r="3454" spans="1:11" x14ac:dyDescent="0.4">
      <c r="A3454" t="s">
        <v>5341</v>
      </c>
      <c r="B3454">
        <v>50</v>
      </c>
      <c r="C3454" t="s">
        <v>6045</v>
      </c>
      <c r="D3454">
        <v>3</v>
      </c>
      <c r="E3454">
        <v>-0.155</v>
      </c>
      <c r="F3454">
        <v>1</v>
      </c>
      <c r="G3454">
        <v>2024</v>
      </c>
      <c r="H3454" t="s">
        <v>928</v>
      </c>
      <c r="I3454" t="s">
        <v>6063</v>
      </c>
      <c r="J3454" t="s">
        <v>8808</v>
      </c>
      <c r="K3454" t="s">
        <v>9629</v>
      </c>
    </row>
    <row r="3455" spans="1:11" x14ac:dyDescent="0.4">
      <c r="A3455" t="s">
        <v>5923</v>
      </c>
      <c r="B3455">
        <v>50</v>
      </c>
      <c r="C3455" t="s">
        <v>6045</v>
      </c>
      <c r="D3455">
        <v>3</v>
      </c>
      <c r="E3455">
        <v>-0.155</v>
      </c>
      <c r="F3455">
        <v>1</v>
      </c>
      <c r="G3455">
        <v>2024</v>
      </c>
      <c r="H3455" t="s">
        <v>928</v>
      </c>
      <c r="I3455" t="s">
        <v>6063</v>
      </c>
      <c r="J3455" t="s">
        <v>8809</v>
      </c>
      <c r="K3455" t="s">
        <v>9630</v>
      </c>
    </row>
    <row r="3456" spans="1:11" x14ac:dyDescent="0.4">
      <c r="A3456" t="s">
        <v>5372</v>
      </c>
      <c r="B3456">
        <v>50</v>
      </c>
      <c r="C3456" t="s">
        <v>6045</v>
      </c>
      <c r="D3456">
        <v>3</v>
      </c>
      <c r="E3456">
        <v>-0.155</v>
      </c>
      <c r="F3456">
        <v>1</v>
      </c>
      <c r="G3456">
        <v>2024</v>
      </c>
      <c r="H3456" t="s">
        <v>928</v>
      </c>
      <c r="I3456" t="s">
        <v>6063</v>
      </c>
      <c r="J3456" t="s">
        <v>8810</v>
      </c>
      <c r="K3456" t="s">
        <v>9631</v>
      </c>
    </row>
    <row r="3457" spans="1:11" x14ac:dyDescent="0.4">
      <c r="A3457" t="s">
        <v>5924</v>
      </c>
      <c r="B3457">
        <v>0</v>
      </c>
      <c r="C3457" t="s">
        <v>6014</v>
      </c>
      <c r="D3457">
        <v>1</v>
      </c>
      <c r="E3457">
        <v>-1.7010000000000001</v>
      </c>
      <c r="F3457">
        <v>0</v>
      </c>
      <c r="G3457">
        <v>2024</v>
      </c>
      <c r="H3457" t="s">
        <v>928</v>
      </c>
      <c r="I3457" t="s">
        <v>6063</v>
      </c>
      <c r="J3457" t="s">
        <v>8811</v>
      </c>
      <c r="K3457" t="s">
        <v>9632</v>
      </c>
    </row>
    <row r="3458" spans="1:11" x14ac:dyDescent="0.4">
      <c r="A3458" t="s">
        <v>5383</v>
      </c>
      <c r="B3458">
        <v>100</v>
      </c>
      <c r="C3458" t="s">
        <v>1380</v>
      </c>
      <c r="D3458">
        <v>5</v>
      </c>
      <c r="E3458">
        <v>1.391</v>
      </c>
      <c r="F3458">
        <v>2</v>
      </c>
      <c r="G3458">
        <v>2024</v>
      </c>
      <c r="H3458" t="s">
        <v>928</v>
      </c>
      <c r="I3458" t="s">
        <v>6063</v>
      </c>
      <c r="J3458" t="s">
        <v>8812</v>
      </c>
      <c r="K3458" t="s">
        <v>9633</v>
      </c>
    </row>
    <row r="3459" spans="1:11" x14ac:dyDescent="0.4">
      <c r="A3459" t="s">
        <v>5348</v>
      </c>
      <c r="B3459">
        <v>50</v>
      </c>
      <c r="C3459" t="s">
        <v>6045</v>
      </c>
      <c r="D3459">
        <v>3</v>
      </c>
      <c r="E3459">
        <v>-0.155</v>
      </c>
      <c r="F3459">
        <v>1</v>
      </c>
      <c r="G3459">
        <v>2024</v>
      </c>
      <c r="H3459" t="s">
        <v>928</v>
      </c>
      <c r="I3459" t="s">
        <v>6063</v>
      </c>
      <c r="J3459" t="s">
        <v>8813</v>
      </c>
      <c r="K3459" t="s">
        <v>9634</v>
      </c>
    </row>
    <row r="3460" spans="1:11" x14ac:dyDescent="0.4">
      <c r="A3460" t="s">
        <v>5353</v>
      </c>
      <c r="B3460">
        <v>100</v>
      </c>
      <c r="C3460" t="s">
        <v>1380</v>
      </c>
      <c r="D3460">
        <v>5</v>
      </c>
      <c r="E3460">
        <v>1.391</v>
      </c>
      <c r="F3460">
        <v>2</v>
      </c>
      <c r="G3460">
        <v>2024</v>
      </c>
      <c r="H3460" t="s">
        <v>928</v>
      </c>
      <c r="I3460" t="s">
        <v>6063</v>
      </c>
      <c r="J3460" t="s">
        <v>8814</v>
      </c>
      <c r="K3460" t="s">
        <v>9635</v>
      </c>
    </row>
    <row r="3461" spans="1:11" x14ac:dyDescent="0.4">
      <c r="A3461" t="s">
        <v>5346</v>
      </c>
      <c r="B3461">
        <v>50</v>
      </c>
      <c r="C3461" t="s">
        <v>6045</v>
      </c>
      <c r="D3461">
        <v>3</v>
      </c>
      <c r="E3461">
        <v>-0.155</v>
      </c>
      <c r="F3461">
        <v>1</v>
      </c>
      <c r="G3461">
        <v>2024</v>
      </c>
      <c r="H3461" t="s">
        <v>928</v>
      </c>
      <c r="I3461" t="s">
        <v>6063</v>
      </c>
      <c r="J3461" t="s">
        <v>8815</v>
      </c>
      <c r="K3461" t="s">
        <v>9636</v>
      </c>
    </row>
    <row r="3462" spans="1:11" x14ac:dyDescent="0.4">
      <c r="A3462" t="s">
        <v>5925</v>
      </c>
      <c r="B3462">
        <v>100</v>
      </c>
      <c r="C3462" t="s">
        <v>1380</v>
      </c>
      <c r="D3462">
        <v>5</v>
      </c>
      <c r="E3462">
        <v>1.391</v>
      </c>
      <c r="F3462">
        <v>2</v>
      </c>
      <c r="G3462">
        <v>2024</v>
      </c>
      <c r="H3462" t="s">
        <v>928</v>
      </c>
      <c r="I3462" t="s">
        <v>6063</v>
      </c>
      <c r="J3462" t="s">
        <v>8816</v>
      </c>
      <c r="K3462" t="s">
        <v>9637</v>
      </c>
    </row>
    <row r="3463" spans="1:11" x14ac:dyDescent="0.4">
      <c r="A3463" t="s">
        <v>5373</v>
      </c>
      <c r="B3463">
        <v>100</v>
      </c>
      <c r="C3463" t="s">
        <v>1380</v>
      </c>
      <c r="D3463">
        <v>5</v>
      </c>
      <c r="E3463">
        <v>1.391</v>
      </c>
      <c r="F3463">
        <v>2</v>
      </c>
      <c r="G3463">
        <v>2024</v>
      </c>
      <c r="H3463" t="s">
        <v>928</v>
      </c>
      <c r="I3463" t="s">
        <v>6063</v>
      </c>
      <c r="J3463" t="s">
        <v>8817</v>
      </c>
      <c r="K3463" t="s">
        <v>9638</v>
      </c>
    </row>
    <row r="3464" spans="1:11" x14ac:dyDescent="0.4">
      <c r="A3464" t="s">
        <v>5374</v>
      </c>
      <c r="B3464">
        <v>50</v>
      </c>
      <c r="C3464" t="s">
        <v>6045</v>
      </c>
      <c r="D3464">
        <v>3</v>
      </c>
      <c r="E3464">
        <v>-0.155</v>
      </c>
      <c r="F3464">
        <v>1</v>
      </c>
      <c r="G3464">
        <v>2024</v>
      </c>
      <c r="H3464" t="s">
        <v>928</v>
      </c>
      <c r="I3464" t="s">
        <v>6063</v>
      </c>
      <c r="J3464" t="s">
        <v>8818</v>
      </c>
      <c r="K3464" t="s">
        <v>9639</v>
      </c>
    </row>
    <row r="3465" spans="1:11" x14ac:dyDescent="0.4">
      <c r="A3465" t="s">
        <v>5370</v>
      </c>
      <c r="B3465">
        <v>100</v>
      </c>
      <c r="C3465" t="s">
        <v>1380</v>
      </c>
      <c r="D3465">
        <v>5</v>
      </c>
      <c r="E3465">
        <v>1.391</v>
      </c>
      <c r="F3465">
        <v>2</v>
      </c>
      <c r="G3465">
        <v>2024</v>
      </c>
      <c r="H3465" t="s">
        <v>928</v>
      </c>
      <c r="I3465" t="s">
        <v>6063</v>
      </c>
      <c r="J3465" t="s">
        <v>8819</v>
      </c>
      <c r="K3465" t="s">
        <v>9640</v>
      </c>
    </row>
    <row r="3466" spans="1:11" x14ac:dyDescent="0.4">
      <c r="A3466" t="s">
        <v>5378</v>
      </c>
      <c r="B3466">
        <v>50</v>
      </c>
      <c r="C3466" t="s">
        <v>6045</v>
      </c>
      <c r="D3466">
        <v>3</v>
      </c>
      <c r="E3466">
        <v>-0.155</v>
      </c>
      <c r="F3466">
        <v>1</v>
      </c>
      <c r="G3466">
        <v>2024</v>
      </c>
      <c r="H3466" t="s">
        <v>928</v>
      </c>
      <c r="I3466" t="s">
        <v>6063</v>
      </c>
      <c r="J3466" t="s">
        <v>8820</v>
      </c>
      <c r="K3466" t="s">
        <v>9641</v>
      </c>
    </row>
    <row r="3467" spans="1:11" x14ac:dyDescent="0.4">
      <c r="A3467" t="s">
        <v>5371</v>
      </c>
      <c r="B3467">
        <v>50</v>
      </c>
      <c r="C3467" t="s">
        <v>6045</v>
      </c>
      <c r="D3467">
        <v>3</v>
      </c>
      <c r="E3467">
        <v>-0.155</v>
      </c>
      <c r="F3467">
        <v>1</v>
      </c>
      <c r="G3467">
        <v>2024</v>
      </c>
      <c r="H3467" t="s">
        <v>928</v>
      </c>
      <c r="I3467" t="s">
        <v>6063</v>
      </c>
      <c r="J3467" t="s">
        <v>8821</v>
      </c>
      <c r="K3467" t="s">
        <v>9642</v>
      </c>
    </row>
    <row r="3468" spans="1:11" x14ac:dyDescent="0.4">
      <c r="A3468" t="s">
        <v>5343</v>
      </c>
      <c r="B3468">
        <v>50</v>
      </c>
      <c r="C3468" t="s">
        <v>6045</v>
      </c>
      <c r="D3468">
        <v>3</v>
      </c>
      <c r="E3468">
        <v>-0.155</v>
      </c>
      <c r="F3468">
        <v>1</v>
      </c>
      <c r="G3468">
        <v>2024</v>
      </c>
      <c r="H3468" t="s">
        <v>928</v>
      </c>
      <c r="I3468" t="s">
        <v>6063</v>
      </c>
      <c r="J3468" t="s">
        <v>8822</v>
      </c>
      <c r="K3468" t="s">
        <v>9643</v>
      </c>
    </row>
    <row r="3469" spans="1:11" x14ac:dyDescent="0.4">
      <c r="A3469" t="s">
        <v>5360</v>
      </c>
      <c r="B3469">
        <v>50</v>
      </c>
      <c r="C3469" t="s">
        <v>6045</v>
      </c>
      <c r="D3469">
        <v>3</v>
      </c>
      <c r="E3469">
        <v>-0.155</v>
      </c>
      <c r="F3469">
        <v>1</v>
      </c>
      <c r="G3469">
        <v>2024</v>
      </c>
      <c r="H3469" t="s">
        <v>928</v>
      </c>
      <c r="I3469" t="s">
        <v>6063</v>
      </c>
      <c r="J3469" t="s">
        <v>8823</v>
      </c>
      <c r="K3469" t="s">
        <v>9644</v>
      </c>
    </row>
    <row r="3470" spans="1:11" x14ac:dyDescent="0.4">
      <c r="A3470" t="s">
        <v>5376</v>
      </c>
      <c r="B3470">
        <v>50</v>
      </c>
      <c r="C3470" t="s">
        <v>6045</v>
      </c>
      <c r="D3470">
        <v>3</v>
      </c>
      <c r="E3470">
        <v>-0.155</v>
      </c>
      <c r="F3470">
        <v>1</v>
      </c>
      <c r="G3470">
        <v>2024</v>
      </c>
      <c r="H3470" t="s">
        <v>928</v>
      </c>
      <c r="I3470" t="s">
        <v>6063</v>
      </c>
      <c r="J3470" t="s">
        <v>8824</v>
      </c>
      <c r="K3470" t="s">
        <v>9645</v>
      </c>
    </row>
    <row r="3471" spans="1:11" x14ac:dyDescent="0.4">
      <c r="A3471" t="s">
        <v>5362</v>
      </c>
      <c r="B3471">
        <v>0</v>
      </c>
      <c r="C3471" t="s">
        <v>6014</v>
      </c>
      <c r="D3471">
        <v>1</v>
      </c>
      <c r="E3471">
        <v>-1.7010000000000001</v>
      </c>
      <c r="F3471">
        <v>0</v>
      </c>
      <c r="G3471">
        <v>2024</v>
      </c>
      <c r="H3471" t="s">
        <v>928</v>
      </c>
      <c r="I3471" t="s">
        <v>6063</v>
      </c>
      <c r="J3471" t="s">
        <v>8825</v>
      </c>
      <c r="K3471" t="s">
        <v>9646</v>
      </c>
    </row>
    <row r="3472" spans="1:11" x14ac:dyDescent="0.4">
      <c r="A3472" t="s">
        <v>5384</v>
      </c>
      <c r="B3472">
        <v>55</v>
      </c>
      <c r="C3472" t="s">
        <v>197</v>
      </c>
      <c r="D3472">
        <v>3</v>
      </c>
    </row>
    <row r="3473" spans="1:9" x14ac:dyDescent="0.4">
      <c r="A3473" t="s">
        <v>5385</v>
      </c>
      <c r="B3473">
        <v>40</v>
      </c>
      <c r="C3473" t="s">
        <v>197</v>
      </c>
      <c r="D3473">
        <v>3</v>
      </c>
    </row>
    <row r="3474" spans="1:9" x14ac:dyDescent="0.4">
      <c r="A3474" t="s">
        <v>5386</v>
      </c>
      <c r="B3474">
        <v>50</v>
      </c>
      <c r="C3474" t="s">
        <v>197</v>
      </c>
      <c r="D3474">
        <v>3</v>
      </c>
    </row>
    <row r="3475" spans="1:9" x14ac:dyDescent="0.4">
      <c r="A3475" t="s">
        <v>5387</v>
      </c>
      <c r="B3475">
        <v>50</v>
      </c>
      <c r="C3475" t="s">
        <v>197</v>
      </c>
      <c r="D3475">
        <v>3</v>
      </c>
    </row>
    <row r="3476" spans="1:9" x14ac:dyDescent="0.4">
      <c r="A3476" t="s">
        <v>5388</v>
      </c>
      <c r="B3476">
        <v>45</v>
      </c>
      <c r="C3476" t="s">
        <v>197</v>
      </c>
      <c r="D3476">
        <v>3</v>
      </c>
    </row>
    <row r="3477" spans="1:9" x14ac:dyDescent="0.4">
      <c r="A3477" t="s">
        <v>5389</v>
      </c>
      <c r="B3477">
        <v>65</v>
      </c>
      <c r="C3477" t="s">
        <v>197</v>
      </c>
      <c r="D3477">
        <v>4</v>
      </c>
    </row>
    <row r="3478" spans="1:9" x14ac:dyDescent="0.4">
      <c r="A3478" t="s">
        <v>5390</v>
      </c>
      <c r="B3478">
        <v>64.3</v>
      </c>
      <c r="C3478" t="s">
        <v>197</v>
      </c>
      <c r="D3478">
        <v>4</v>
      </c>
    </row>
    <row r="3479" spans="1:9" x14ac:dyDescent="0.4">
      <c r="A3479" t="s">
        <v>7426</v>
      </c>
      <c r="B3479">
        <v>59.4</v>
      </c>
      <c r="C3479" t="s">
        <v>197</v>
      </c>
      <c r="D3479">
        <v>3</v>
      </c>
    </row>
    <row r="3480" spans="1:9" x14ac:dyDescent="0.4">
      <c r="A3480" t="s">
        <v>7427</v>
      </c>
      <c r="B3480">
        <v>45.5</v>
      </c>
      <c r="C3480" t="s">
        <v>197</v>
      </c>
      <c r="D3480">
        <v>3</v>
      </c>
    </row>
    <row r="3481" spans="1:9" x14ac:dyDescent="0.4">
      <c r="A3481" t="s">
        <v>7428</v>
      </c>
      <c r="B3481">
        <v>56.5</v>
      </c>
      <c r="C3481" t="s">
        <v>197</v>
      </c>
      <c r="D3481">
        <v>3</v>
      </c>
    </row>
    <row r="3482" spans="1:9" x14ac:dyDescent="0.4">
      <c r="A3482" t="s">
        <v>5395</v>
      </c>
      <c r="B3482">
        <v>100</v>
      </c>
      <c r="C3482" t="s">
        <v>1380</v>
      </c>
      <c r="D3482">
        <v>5</v>
      </c>
      <c r="E3482">
        <v>0.52600000000000002</v>
      </c>
      <c r="F3482">
        <v>1</v>
      </c>
      <c r="G3482">
        <v>2024</v>
      </c>
      <c r="H3482" t="s">
        <v>928</v>
      </c>
      <c r="I3482" t="s">
        <v>6063</v>
      </c>
    </row>
    <row r="3483" spans="1:9" x14ac:dyDescent="0.4">
      <c r="A3483" t="s">
        <v>5393</v>
      </c>
      <c r="B3483">
        <v>100</v>
      </c>
      <c r="C3483" t="s">
        <v>1380</v>
      </c>
      <c r="D3483">
        <v>5</v>
      </c>
      <c r="E3483">
        <v>0.52600000000000002</v>
      </c>
      <c r="F3483">
        <v>1</v>
      </c>
      <c r="G3483">
        <v>2024</v>
      </c>
      <c r="H3483" t="s">
        <v>928</v>
      </c>
      <c r="I3483" t="s">
        <v>6063</v>
      </c>
    </row>
    <row r="3484" spans="1:9" x14ac:dyDescent="0.4">
      <c r="A3484" t="s">
        <v>5400</v>
      </c>
      <c r="B3484">
        <v>100</v>
      </c>
      <c r="C3484" t="s">
        <v>1380</v>
      </c>
      <c r="D3484">
        <v>5</v>
      </c>
      <c r="E3484">
        <v>0.52600000000000002</v>
      </c>
      <c r="F3484">
        <v>1</v>
      </c>
      <c r="G3484">
        <v>2024</v>
      </c>
      <c r="H3484" t="s">
        <v>928</v>
      </c>
      <c r="I3484" t="s">
        <v>6063</v>
      </c>
    </row>
    <row r="3485" spans="1:9" x14ac:dyDescent="0.4">
      <c r="A3485" t="s">
        <v>5434</v>
      </c>
      <c r="B3485">
        <v>100</v>
      </c>
      <c r="C3485" t="s">
        <v>1380</v>
      </c>
      <c r="D3485">
        <v>5</v>
      </c>
      <c r="E3485">
        <v>0.52600000000000002</v>
      </c>
      <c r="F3485">
        <v>1</v>
      </c>
      <c r="G3485">
        <v>2024</v>
      </c>
      <c r="H3485" t="s">
        <v>928</v>
      </c>
      <c r="I3485" t="s">
        <v>6063</v>
      </c>
    </row>
    <row r="3486" spans="1:9" x14ac:dyDescent="0.4">
      <c r="A3486" t="s">
        <v>5416</v>
      </c>
      <c r="B3486">
        <v>100</v>
      </c>
      <c r="C3486" t="s">
        <v>1380</v>
      </c>
      <c r="D3486">
        <v>5</v>
      </c>
      <c r="E3486">
        <v>0.52600000000000002</v>
      </c>
      <c r="F3486">
        <v>1</v>
      </c>
      <c r="G3486">
        <v>2024</v>
      </c>
      <c r="H3486" t="s">
        <v>928</v>
      </c>
      <c r="I3486" t="s">
        <v>6063</v>
      </c>
    </row>
    <row r="3487" spans="1:9" x14ac:dyDescent="0.4">
      <c r="A3487" t="s">
        <v>5428</v>
      </c>
      <c r="B3487">
        <v>100</v>
      </c>
      <c r="C3487" t="s">
        <v>1380</v>
      </c>
      <c r="D3487">
        <v>5</v>
      </c>
      <c r="E3487">
        <v>0.52600000000000002</v>
      </c>
      <c r="F3487">
        <v>1</v>
      </c>
      <c r="G3487">
        <v>2024</v>
      </c>
      <c r="H3487" t="s">
        <v>928</v>
      </c>
      <c r="I3487" t="s">
        <v>6063</v>
      </c>
    </row>
    <row r="3488" spans="1:9" x14ac:dyDescent="0.4">
      <c r="A3488" t="s">
        <v>5405</v>
      </c>
      <c r="B3488">
        <v>100</v>
      </c>
      <c r="C3488" t="s">
        <v>1380</v>
      </c>
      <c r="D3488">
        <v>5</v>
      </c>
      <c r="E3488">
        <v>0.52600000000000002</v>
      </c>
      <c r="F3488">
        <v>1</v>
      </c>
      <c r="G3488">
        <v>2024</v>
      </c>
      <c r="H3488" t="s">
        <v>928</v>
      </c>
      <c r="I3488" t="s">
        <v>6063</v>
      </c>
    </row>
    <row r="3489" spans="1:9" x14ac:dyDescent="0.4">
      <c r="A3489" t="s">
        <v>5398</v>
      </c>
      <c r="B3489">
        <v>100</v>
      </c>
      <c r="C3489" t="s">
        <v>1380</v>
      </c>
      <c r="D3489">
        <v>5</v>
      </c>
      <c r="E3489">
        <v>0.52600000000000002</v>
      </c>
      <c r="F3489">
        <v>1</v>
      </c>
      <c r="G3489">
        <v>2024</v>
      </c>
      <c r="H3489" t="s">
        <v>928</v>
      </c>
      <c r="I3489" t="s">
        <v>6063</v>
      </c>
    </row>
    <row r="3490" spans="1:9" x14ac:dyDescent="0.4">
      <c r="A3490" t="s">
        <v>5412</v>
      </c>
      <c r="B3490">
        <v>100</v>
      </c>
      <c r="C3490" t="s">
        <v>1380</v>
      </c>
      <c r="D3490">
        <v>5</v>
      </c>
      <c r="E3490">
        <v>0.52600000000000002</v>
      </c>
      <c r="F3490">
        <v>1</v>
      </c>
      <c r="G3490">
        <v>2024</v>
      </c>
      <c r="H3490" t="s">
        <v>928</v>
      </c>
      <c r="I3490" t="s">
        <v>6063</v>
      </c>
    </row>
    <row r="3491" spans="1:9" x14ac:dyDescent="0.4">
      <c r="A3491" t="s">
        <v>5402</v>
      </c>
      <c r="B3491">
        <v>100</v>
      </c>
      <c r="C3491" t="s">
        <v>1380</v>
      </c>
      <c r="D3491">
        <v>5</v>
      </c>
      <c r="E3491">
        <v>0.52600000000000002</v>
      </c>
      <c r="F3491">
        <v>1</v>
      </c>
      <c r="G3491">
        <v>2024</v>
      </c>
      <c r="H3491" t="s">
        <v>928</v>
      </c>
      <c r="I3491" t="s">
        <v>6063</v>
      </c>
    </row>
    <row r="3492" spans="1:9" x14ac:dyDescent="0.4">
      <c r="A3492" t="s">
        <v>6006</v>
      </c>
      <c r="B3492">
        <v>100</v>
      </c>
      <c r="C3492" t="s">
        <v>1380</v>
      </c>
      <c r="D3492">
        <v>5</v>
      </c>
      <c r="E3492">
        <v>0.52600000000000002</v>
      </c>
      <c r="F3492">
        <v>1</v>
      </c>
      <c r="G3492">
        <v>2024</v>
      </c>
      <c r="H3492" t="s">
        <v>928</v>
      </c>
      <c r="I3492" t="s">
        <v>6063</v>
      </c>
    </row>
    <row r="3493" spans="1:9" x14ac:dyDescent="0.4">
      <c r="A3493" t="s">
        <v>5420</v>
      </c>
      <c r="B3493">
        <v>100</v>
      </c>
      <c r="C3493" t="s">
        <v>1380</v>
      </c>
      <c r="D3493">
        <v>5</v>
      </c>
      <c r="E3493">
        <v>0.52600000000000002</v>
      </c>
      <c r="F3493">
        <v>1</v>
      </c>
      <c r="G3493">
        <v>2024</v>
      </c>
      <c r="H3493" t="s">
        <v>928</v>
      </c>
      <c r="I3493" t="s">
        <v>6063</v>
      </c>
    </row>
    <row r="3494" spans="1:9" x14ac:dyDescent="0.4">
      <c r="A3494" t="s">
        <v>5421</v>
      </c>
      <c r="B3494">
        <v>0</v>
      </c>
      <c r="C3494" t="s">
        <v>6588</v>
      </c>
      <c r="D3494">
        <v>1</v>
      </c>
      <c r="E3494">
        <v>-1.8640000000000001</v>
      </c>
      <c r="F3494">
        <v>0</v>
      </c>
      <c r="G3494">
        <v>2024</v>
      </c>
      <c r="H3494" t="s">
        <v>928</v>
      </c>
      <c r="I3494" t="s">
        <v>6063</v>
      </c>
    </row>
    <row r="3495" spans="1:9" x14ac:dyDescent="0.4">
      <c r="A3495" t="s">
        <v>5403</v>
      </c>
      <c r="B3495">
        <v>100</v>
      </c>
      <c r="C3495" t="s">
        <v>1380</v>
      </c>
      <c r="D3495">
        <v>5</v>
      </c>
      <c r="E3495">
        <v>0.52600000000000002</v>
      </c>
      <c r="F3495">
        <v>1</v>
      </c>
      <c r="G3495">
        <v>2024</v>
      </c>
      <c r="H3495" t="s">
        <v>928</v>
      </c>
      <c r="I3495" t="s">
        <v>6063</v>
      </c>
    </row>
    <row r="3496" spans="1:9" x14ac:dyDescent="0.4">
      <c r="A3496" t="s">
        <v>5411</v>
      </c>
      <c r="B3496">
        <v>100</v>
      </c>
      <c r="C3496" t="s">
        <v>1380</v>
      </c>
      <c r="D3496">
        <v>5</v>
      </c>
      <c r="E3496">
        <v>0.52600000000000002</v>
      </c>
      <c r="F3496">
        <v>1</v>
      </c>
      <c r="G3496">
        <v>2024</v>
      </c>
      <c r="H3496" t="s">
        <v>928</v>
      </c>
      <c r="I3496" t="s">
        <v>6063</v>
      </c>
    </row>
    <row r="3497" spans="1:9" x14ac:dyDescent="0.4">
      <c r="A3497" t="s">
        <v>5433</v>
      </c>
      <c r="B3497">
        <v>100</v>
      </c>
      <c r="C3497" t="s">
        <v>1380</v>
      </c>
      <c r="D3497">
        <v>5</v>
      </c>
      <c r="E3497">
        <v>0.52600000000000002</v>
      </c>
      <c r="F3497">
        <v>1</v>
      </c>
      <c r="G3497">
        <v>2024</v>
      </c>
      <c r="H3497" t="s">
        <v>928</v>
      </c>
      <c r="I3497" t="s">
        <v>6063</v>
      </c>
    </row>
    <row r="3498" spans="1:9" x14ac:dyDescent="0.4">
      <c r="A3498" t="s">
        <v>5430</v>
      </c>
      <c r="B3498">
        <v>100</v>
      </c>
      <c r="C3498" t="s">
        <v>1380</v>
      </c>
      <c r="D3498">
        <v>5</v>
      </c>
      <c r="E3498">
        <v>0.52600000000000002</v>
      </c>
      <c r="F3498">
        <v>1</v>
      </c>
      <c r="G3498">
        <v>2024</v>
      </c>
      <c r="H3498" t="s">
        <v>928</v>
      </c>
      <c r="I3498" t="s">
        <v>6063</v>
      </c>
    </row>
    <row r="3499" spans="1:9" x14ac:dyDescent="0.4">
      <c r="A3499" t="s">
        <v>5408</v>
      </c>
      <c r="B3499">
        <v>100</v>
      </c>
      <c r="C3499" t="s">
        <v>1380</v>
      </c>
      <c r="D3499">
        <v>5</v>
      </c>
      <c r="E3499">
        <v>0.52600000000000002</v>
      </c>
      <c r="F3499">
        <v>1</v>
      </c>
      <c r="G3499">
        <v>2024</v>
      </c>
      <c r="H3499" t="s">
        <v>928</v>
      </c>
      <c r="I3499" t="s">
        <v>6063</v>
      </c>
    </row>
    <row r="3500" spans="1:9" x14ac:dyDescent="0.4">
      <c r="A3500" t="s">
        <v>5414</v>
      </c>
      <c r="B3500">
        <v>100</v>
      </c>
      <c r="C3500" t="s">
        <v>1380</v>
      </c>
      <c r="D3500">
        <v>5</v>
      </c>
      <c r="E3500">
        <v>0.52600000000000002</v>
      </c>
      <c r="F3500">
        <v>1</v>
      </c>
      <c r="G3500">
        <v>2024</v>
      </c>
      <c r="H3500" t="s">
        <v>928</v>
      </c>
      <c r="I3500" t="s">
        <v>6063</v>
      </c>
    </row>
    <row r="3501" spans="1:9" x14ac:dyDescent="0.4">
      <c r="A3501" t="s">
        <v>5392</v>
      </c>
      <c r="B3501">
        <v>100</v>
      </c>
      <c r="C3501" t="s">
        <v>1380</v>
      </c>
      <c r="D3501">
        <v>5</v>
      </c>
      <c r="E3501">
        <v>0.52600000000000002</v>
      </c>
      <c r="F3501">
        <v>1</v>
      </c>
      <c r="G3501">
        <v>2024</v>
      </c>
      <c r="H3501" t="s">
        <v>928</v>
      </c>
      <c r="I3501" t="s">
        <v>6063</v>
      </c>
    </row>
    <row r="3502" spans="1:9" x14ac:dyDescent="0.4">
      <c r="A3502" t="s">
        <v>5417</v>
      </c>
      <c r="B3502">
        <v>0</v>
      </c>
      <c r="C3502" t="s">
        <v>6588</v>
      </c>
      <c r="D3502">
        <v>1</v>
      </c>
      <c r="E3502">
        <v>-1.8640000000000001</v>
      </c>
      <c r="F3502">
        <v>0</v>
      </c>
      <c r="G3502">
        <v>2024</v>
      </c>
      <c r="H3502" t="s">
        <v>928</v>
      </c>
      <c r="I3502" t="s">
        <v>6063</v>
      </c>
    </row>
    <row r="3503" spans="1:9" x14ac:dyDescent="0.4">
      <c r="A3503" t="s">
        <v>5422</v>
      </c>
      <c r="B3503">
        <v>0</v>
      </c>
      <c r="C3503" t="s">
        <v>6588</v>
      </c>
      <c r="D3503">
        <v>1</v>
      </c>
      <c r="E3503">
        <v>-1.8640000000000001</v>
      </c>
      <c r="F3503">
        <v>0</v>
      </c>
      <c r="G3503">
        <v>2024</v>
      </c>
      <c r="H3503" t="s">
        <v>928</v>
      </c>
      <c r="I3503" t="s">
        <v>6063</v>
      </c>
    </row>
    <row r="3504" spans="1:9" x14ac:dyDescent="0.4">
      <c r="A3504" t="s">
        <v>5419</v>
      </c>
      <c r="B3504">
        <v>100</v>
      </c>
      <c r="C3504" t="s">
        <v>1380</v>
      </c>
      <c r="D3504">
        <v>5</v>
      </c>
      <c r="E3504">
        <v>0.52600000000000002</v>
      </c>
      <c r="F3504">
        <v>1</v>
      </c>
      <c r="G3504">
        <v>2024</v>
      </c>
      <c r="H3504" t="s">
        <v>928</v>
      </c>
      <c r="I3504" t="s">
        <v>6063</v>
      </c>
    </row>
    <row r="3505" spans="1:9" x14ac:dyDescent="0.4">
      <c r="A3505" t="s">
        <v>5404</v>
      </c>
      <c r="B3505">
        <v>100</v>
      </c>
      <c r="C3505" t="s">
        <v>1380</v>
      </c>
      <c r="D3505">
        <v>5</v>
      </c>
      <c r="E3505">
        <v>0.52600000000000002</v>
      </c>
      <c r="F3505">
        <v>1</v>
      </c>
      <c r="G3505">
        <v>2024</v>
      </c>
      <c r="H3505" t="s">
        <v>928</v>
      </c>
      <c r="I3505" t="s">
        <v>6063</v>
      </c>
    </row>
    <row r="3506" spans="1:9" x14ac:dyDescent="0.4">
      <c r="A3506" t="s">
        <v>5391</v>
      </c>
      <c r="B3506">
        <v>0</v>
      </c>
      <c r="C3506" t="s">
        <v>6588</v>
      </c>
      <c r="D3506">
        <v>1</v>
      </c>
      <c r="E3506">
        <v>-1.8640000000000001</v>
      </c>
      <c r="F3506">
        <v>0</v>
      </c>
      <c r="G3506">
        <v>2024</v>
      </c>
      <c r="H3506" t="s">
        <v>928</v>
      </c>
      <c r="I3506" t="s">
        <v>6063</v>
      </c>
    </row>
    <row r="3507" spans="1:9" x14ac:dyDescent="0.4">
      <c r="A3507" t="s">
        <v>5407</v>
      </c>
      <c r="B3507">
        <v>100</v>
      </c>
      <c r="C3507" t="s">
        <v>1380</v>
      </c>
      <c r="D3507">
        <v>5</v>
      </c>
      <c r="E3507">
        <v>0.52600000000000002</v>
      </c>
      <c r="F3507">
        <v>1</v>
      </c>
      <c r="G3507">
        <v>2024</v>
      </c>
      <c r="H3507" t="s">
        <v>928</v>
      </c>
      <c r="I3507" t="s">
        <v>6063</v>
      </c>
    </row>
    <row r="3508" spans="1:9" x14ac:dyDescent="0.4">
      <c r="A3508" t="s">
        <v>5409</v>
      </c>
      <c r="B3508">
        <v>100</v>
      </c>
      <c r="C3508" t="s">
        <v>1380</v>
      </c>
      <c r="D3508">
        <v>5</v>
      </c>
      <c r="E3508">
        <v>0.52600000000000002</v>
      </c>
      <c r="F3508">
        <v>1</v>
      </c>
      <c r="G3508">
        <v>2024</v>
      </c>
      <c r="H3508" t="s">
        <v>928</v>
      </c>
      <c r="I3508" t="s">
        <v>6063</v>
      </c>
    </row>
    <row r="3509" spans="1:9" x14ac:dyDescent="0.4">
      <c r="A3509" t="s">
        <v>5435</v>
      </c>
      <c r="B3509">
        <v>0</v>
      </c>
      <c r="C3509" t="s">
        <v>6588</v>
      </c>
      <c r="D3509">
        <v>1</v>
      </c>
      <c r="E3509">
        <v>-1.8640000000000001</v>
      </c>
      <c r="F3509">
        <v>0</v>
      </c>
      <c r="G3509">
        <v>2024</v>
      </c>
      <c r="H3509" t="s">
        <v>928</v>
      </c>
      <c r="I3509" t="s">
        <v>6063</v>
      </c>
    </row>
    <row r="3510" spans="1:9" x14ac:dyDescent="0.4">
      <c r="A3510" t="s">
        <v>5432</v>
      </c>
      <c r="B3510">
        <v>100</v>
      </c>
      <c r="C3510" t="s">
        <v>1380</v>
      </c>
      <c r="D3510">
        <v>5</v>
      </c>
      <c r="E3510">
        <v>0.52600000000000002</v>
      </c>
      <c r="F3510">
        <v>1</v>
      </c>
      <c r="G3510">
        <v>2024</v>
      </c>
      <c r="H3510" t="s">
        <v>928</v>
      </c>
      <c r="I3510" t="s">
        <v>6063</v>
      </c>
    </row>
    <row r="3511" spans="1:9" x14ac:dyDescent="0.4">
      <c r="A3511" t="s">
        <v>5397</v>
      </c>
      <c r="B3511">
        <v>100</v>
      </c>
      <c r="C3511" t="s">
        <v>1380</v>
      </c>
      <c r="D3511">
        <v>5</v>
      </c>
      <c r="E3511">
        <v>0.52600000000000002</v>
      </c>
      <c r="F3511">
        <v>1</v>
      </c>
      <c r="G3511">
        <v>2024</v>
      </c>
      <c r="H3511" t="s">
        <v>928</v>
      </c>
      <c r="I3511" t="s">
        <v>6063</v>
      </c>
    </row>
    <row r="3512" spans="1:9" x14ac:dyDescent="0.4">
      <c r="A3512" t="s">
        <v>5410</v>
      </c>
      <c r="B3512">
        <v>100</v>
      </c>
      <c r="C3512" t="s">
        <v>1380</v>
      </c>
      <c r="D3512">
        <v>5</v>
      </c>
      <c r="E3512">
        <v>0.52600000000000002</v>
      </c>
      <c r="F3512">
        <v>1</v>
      </c>
      <c r="G3512">
        <v>2024</v>
      </c>
      <c r="H3512" t="s">
        <v>928</v>
      </c>
      <c r="I3512" t="s">
        <v>6063</v>
      </c>
    </row>
    <row r="3513" spans="1:9" x14ac:dyDescent="0.4">
      <c r="A3513" t="s">
        <v>5418</v>
      </c>
      <c r="B3513">
        <v>100</v>
      </c>
      <c r="C3513" t="s">
        <v>1380</v>
      </c>
      <c r="D3513">
        <v>5</v>
      </c>
      <c r="E3513">
        <v>0.52600000000000002</v>
      </c>
      <c r="F3513">
        <v>1</v>
      </c>
      <c r="G3513">
        <v>2024</v>
      </c>
      <c r="H3513" t="s">
        <v>928</v>
      </c>
      <c r="I3513" t="s">
        <v>6063</v>
      </c>
    </row>
    <row r="3514" spans="1:9" x14ac:dyDescent="0.4">
      <c r="A3514" t="s">
        <v>5394</v>
      </c>
      <c r="B3514">
        <v>100</v>
      </c>
      <c r="C3514" t="s">
        <v>1380</v>
      </c>
      <c r="D3514">
        <v>5</v>
      </c>
      <c r="E3514">
        <v>0.52600000000000002</v>
      </c>
      <c r="F3514">
        <v>1</v>
      </c>
      <c r="G3514">
        <v>2024</v>
      </c>
      <c r="H3514" t="s">
        <v>928</v>
      </c>
      <c r="I3514" t="s">
        <v>6063</v>
      </c>
    </row>
    <row r="3515" spans="1:9" x14ac:dyDescent="0.4">
      <c r="A3515" t="s">
        <v>5926</v>
      </c>
      <c r="B3515">
        <v>100</v>
      </c>
      <c r="C3515" t="s">
        <v>1380</v>
      </c>
      <c r="D3515">
        <v>5</v>
      </c>
      <c r="E3515">
        <v>0.52600000000000002</v>
      </c>
      <c r="F3515">
        <v>1</v>
      </c>
      <c r="G3515">
        <v>2024</v>
      </c>
      <c r="H3515" t="s">
        <v>928</v>
      </c>
      <c r="I3515" t="s">
        <v>6063</v>
      </c>
    </row>
    <row r="3516" spans="1:9" x14ac:dyDescent="0.4">
      <c r="A3516" t="s">
        <v>5425</v>
      </c>
      <c r="B3516">
        <v>0</v>
      </c>
      <c r="C3516" t="s">
        <v>6588</v>
      </c>
      <c r="D3516">
        <v>1</v>
      </c>
      <c r="E3516">
        <v>-1.8640000000000001</v>
      </c>
      <c r="F3516">
        <v>0</v>
      </c>
      <c r="G3516">
        <v>2024</v>
      </c>
      <c r="H3516" t="s">
        <v>928</v>
      </c>
      <c r="I3516" t="s">
        <v>6063</v>
      </c>
    </row>
    <row r="3517" spans="1:9" x14ac:dyDescent="0.4">
      <c r="A3517" t="s">
        <v>5927</v>
      </c>
      <c r="B3517">
        <v>100</v>
      </c>
      <c r="C3517" t="s">
        <v>1380</v>
      </c>
      <c r="D3517">
        <v>5</v>
      </c>
      <c r="E3517">
        <v>0.52600000000000002</v>
      </c>
      <c r="F3517">
        <v>1</v>
      </c>
      <c r="G3517">
        <v>2024</v>
      </c>
      <c r="H3517" t="s">
        <v>928</v>
      </c>
      <c r="I3517" t="s">
        <v>6063</v>
      </c>
    </row>
    <row r="3518" spans="1:9" x14ac:dyDescent="0.4">
      <c r="A3518" t="s">
        <v>5436</v>
      </c>
      <c r="B3518">
        <v>0</v>
      </c>
      <c r="C3518" t="s">
        <v>6588</v>
      </c>
      <c r="D3518">
        <v>1</v>
      </c>
      <c r="E3518">
        <v>-1.8640000000000001</v>
      </c>
      <c r="F3518">
        <v>0</v>
      </c>
      <c r="G3518">
        <v>2024</v>
      </c>
      <c r="H3518" t="s">
        <v>928</v>
      </c>
      <c r="I3518" t="s">
        <v>6063</v>
      </c>
    </row>
    <row r="3519" spans="1:9" x14ac:dyDescent="0.4">
      <c r="A3519" t="s">
        <v>5401</v>
      </c>
      <c r="B3519">
        <v>100</v>
      </c>
      <c r="C3519" t="s">
        <v>1380</v>
      </c>
      <c r="D3519">
        <v>5</v>
      </c>
      <c r="E3519">
        <v>0.52600000000000002</v>
      </c>
      <c r="F3519">
        <v>1</v>
      </c>
      <c r="G3519">
        <v>2024</v>
      </c>
      <c r="H3519" t="s">
        <v>928</v>
      </c>
      <c r="I3519" t="s">
        <v>6063</v>
      </c>
    </row>
    <row r="3520" spans="1:9" x14ac:dyDescent="0.4">
      <c r="A3520" t="s">
        <v>5406</v>
      </c>
      <c r="B3520">
        <v>0</v>
      </c>
      <c r="C3520" t="s">
        <v>6588</v>
      </c>
      <c r="D3520">
        <v>1</v>
      </c>
      <c r="E3520">
        <v>-1.8640000000000001</v>
      </c>
      <c r="F3520">
        <v>0</v>
      </c>
      <c r="G3520">
        <v>2024</v>
      </c>
      <c r="H3520" t="s">
        <v>928</v>
      </c>
      <c r="I3520" t="s">
        <v>6063</v>
      </c>
    </row>
    <row r="3521" spans="1:9" x14ac:dyDescent="0.4">
      <c r="A3521" t="s">
        <v>5399</v>
      </c>
      <c r="B3521">
        <v>100</v>
      </c>
      <c r="C3521" t="s">
        <v>1380</v>
      </c>
      <c r="D3521">
        <v>5</v>
      </c>
      <c r="E3521">
        <v>0.52600000000000002</v>
      </c>
      <c r="F3521">
        <v>1</v>
      </c>
      <c r="G3521">
        <v>2024</v>
      </c>
      <c r="H3521" t="s">
        <v>928</v>
      </c>
      <c r="I3521" t="s">
        <v>6063</v>
      </c>
    </row>
    <row r="3522" spans="1:9" x14ac:dyDescent="0.4">
      <c r="A3522" t="s">
        <v>5928</v>
      </c>
      <c r="B3522">
        <v>100</v>
      </c>
      <c r="C3522" t="s">
        <v>1380</v>
      </c>
      <c r="D3522">
        <v>5</v>
      </c>
      <c r="E3522">
        <v>0.52600000000000002</v>
      </c>
      <c r="F3522">
        <v>1</v>
      </c>
      <c r="G3522">
        <v>2024</v>
      </c>
      <c r="H3522" t="s">
        <v>928</v>
      </c>
      <c r="I3522" t="s">
        <v>6063</v>
      </c>
    </row>
    <row r="3523" spans="1:9" x14ac:dyDescent="0.4">
      <c r="A3523" t="s">
        <v>5426</v>
      </c>
      <c r="B3523">
        <v>0</v>
      </c>
      <c r="C3523" t="s">
        <v>6588</v>
      </c>
      <c r="D3523">
        <v>1</v>
      </c>
      <c r="E3523">
        <v>-1.8640000000000001</v>
      </c>
      <c r="F3523">
        <v>0</v>
      </c>
      <c r="G3523">
        <v>2024</v>
      </c>
      <c r="H3523" t="s">
        <v>928</v>
      </c>
      <c r="I3523" t="s">
        <v>6063</v>
      </c>
    </row>
    <row r="3524" spans="1:9" x14ac:dyDescent="0.4">
      <c r="A3524" t="s">
        <v>5427</v>
      </c>
      <c r="B3524">
        <v>100</v>
      </c>
      <c r="C3524" t="s">
        <v>1380</v>
      </c>
      <c r="D3524">
        <v>5</v>
      </c>
      <c r="E3524">
        <v>0.52600000000000002</v>
      </c>
      <c r="F3524">
        <v>1</v>
      </c>
      <c r="G3524">
        <v>2024</v>
      </c>
      <c r="H3524" t="s">
        <v>928</v>
      </c>
      <c r="I3524" t="s">
        <v>6063</v>
      </c>
    </row>
    <row r="3525" spans="1:9" x14ac:dyDescent="0.4">
      <c r="A3525" t="s">
        <v>5423</v>
      </c>
      <c r="B3525">
        <v>100</v>
      </c>
      <c r="C3525" t="s">
        <v>1380</v>
      </c>
      <c r="D3525">
        <v>5</v>
      </c>
      <c r="E3525">
        <v>0.52600000000000002</v>
      </c>
      <c r="F3525">
        <v>1</v>
      </c>
      <c r="G3525">
        <v>2024</v>
      </c>
      <c r="H3525" t="s">
        <v>928</v>
      </c>
      <c r="I3525" t="s">
        <v>6063</v>
      </c>
    </row>
    <row r="3526" spans="1:9" x14ac:dyDescent="0.4">
      <c r="A3526" t="s">
        <v>5431</v>
      </c>
      <c r="B3526">
        <v>100</v>
      </c>
      <c r="C3526" t="s">
        <v>1380</v>
      </c>
      <c r="D3526">
        <v>5</v>
      </c>
      <c r="E3526">
        <v>0.52600000000000002</v>
      </c>
      <c r="F3526">
        <v>1</v>
      </c>
      <c r="G3526">
        <v>2024</v>
      </c>
      <c r="H3526" t="s">
        <v>928</v>
      </c>
      <c r="I3526" t="s">
        <v>6063</v>
      </c>
    </row>
    <row r="3527" spans="1:9" x14ac:dyDescent="0.4">
      <c r="A3527" t="s">
        <v>5424</v>
      </c>
      <c r="B3527">
        <v>0</v>
      </c>
      <c r="C3527" t="s">
        <v>6588</v>
      </c>
      <c r="D3527">
        <v>1</v>
      </c>
      <c r="E3527">
        <v>-1.8640000000000001</v>
      </c>
      <c r="F3527">
        <v>0</v>
      </c>
      <c r="G3527">
        <v>2024</v>
      </c>
      <c r="H3527" t="s">
        <v>928</v>
      </c>
      <c r="I3527" t="s">
        <v>6063</v>
      </c>
    </row>
    <row r="3528" spans="1:9" x14ac:dyDescent="0.4">
      <c r="A3528" t="s">
        <v>5396</v>
      </c>
      <c r="B3528">
        <v>100</v>
      </c>
      <c r="C3528" t="s">
        <v>1380</v>
      </c>
      <c r="D3528">
        <v>5</v>
      </c>
      <c r="E3528">
        <v>0.52600000000000002</v>
      </c>
      <c r="F3528">
        <v>1</v>
      </c>
      <c r="G3528">
        <v>2024</v>
      </c>
      <c r="H3528" t="s">
        <v>928</v>
      </c>
      <c r="I3528" t="s">
        <v>6063</v>
      </c>
    </row>
    <row r="3529" spans="1:9" x14ac:dyDescent="0.4">
      <c r="A3529" t="s">
        <v>5413</v>
      </c>
      <c r="B3529">
        <v>0</v>
      </c>
      <c r="C3529" t="s">
        <v>6588</v>
      </c>
      <c r="D3529">
        <v>1</v>
      </c>
      <c r="E3529">
        <v>-1.8640000000000001</v>
      </c>
      <c r="F3529">
        <v>0</v>
      </c>
      <c r="G3529">
        <v>2024</v>
      </c>
      <c r="H3529" t="s">
        <v>928</v>
      </c>
      <c r="I3529" t="s">
        <v>6063</v>
      </c>
    </row>
    <row r="3530" spans="1:9" x14ac:dyDescent="0.4">
      <c r="A3530" t="s">
        <v>5429</v>
      </c>
      <c r="B3530">
        <v>100</v>
      </c>
      <c r="C3530" t="s">
        <v>1380</v>
      </c>
      <c r="D3530">
        <v>5</v>
      </c>
      <c r="E3530">
        <v>0.52600000000000002</v>
      </c>
      <c r="F3530">
        <v>1</v>
      </c>
      <c r="G3530">
        <v>2024</v>
      </c>
      <c r="H3530" t="s">
        <v>928</v>
      </c>
      <c r="I3530" t="s">
        <v>6063</v>
      </c>
    </row>
    <row r="3531" spans="1:9" x14ac:dyDescent="0.4">
      <c r="A3531" t="s">
        <v>5415</v>
      </c>
      <c r="B3531">
        <v>100</v>
      </c>
      <c r="C3531" t="s">
        <v>1380</v>
      </c>
      <c r="D3531">
        <v>5</v>
      </c>
      <c r="E3531">
        <v>0.52600000000000002</v>
      </c>
      <c r="F3531">
        <v>1</v>
      </c>
      <c r="G3531">
        <v>2024</v>
      </c>
      <c r="H3531" t="s">
        <v>928</v>
      </c>
      <c r="I3531" t="s">
        <v>6063</v>
      </c>
    </row>
    <row r="3532" spans="1:9" x14ac:dyDescent="0.4">
      <c r="A3532" t="s">
        <v>5437</v>
      </c>
      <c r="B3532">
        <v>78</v>
      </c>
      <c r="C3532" t="s">
        <v>197</v>
      </c>
      <c r="D3532">
        <v>4</v>
      </c>
    </row>
    <row r="3533" spans="1:9" x14ac:dyDescent="0.4">
      <c r="A3533" t="s">
        <v>5438</v>
      </c>
      <c r="B3533">
        <v>80</v>
      </c>
      <c r="C3533" t="s">
        <v>197</v>
      </c>
      <c r="D3533">
        <v>5</v>
      </c>
    </row>
    <row r="3534" spans="1:9" x14ac:dyDescent="0.4">
      <c r="A3534" t="s">
        <v>5439</v>
      </c>
      <c r="B3534">
        <v>100</v>
      </c>
      <c r="C3534" t="s">
        <v>197</v>
      </c>
      <c r="D3534">
        <v>5</v>
      </c>
    </row>
    <row r="3535" spans="1:9" x14ac:dyDescent="0.4">
      <c r="A3535" t="s">
        <v>5440</v>
      </c>
      <c r="B3535">
        <v>100</v>
      </c>
      <c r="C3535" t="s">
        <v>197</v>
      </c>
      <c r="D3535">
        <v>5</v>
      </c>
    </row>
    <row r="3536" spans="1:9" x14ac:dyDescent="0.4">
      <c r="A3536" t="s">
        <v>5441</v>
      </c>
      <c r="B3536">
        <v>80</v>
      </c>
      <c r="C3536" t="s">
        <v>197</v>
      </c>
      <c r="D3536">
        <v>5</v>
      </c>
    </row>
    <row r="3537" spans="1:11" x14ac:dyDescent="0.4">
      <c r="A3537" t="s">
        <v>5442</v>
      </c>
      <c r="B3537">
        <v>70</v>
      </c>
      <c r="C3537" t="s">
        <v>197</v>
      </c>
      <c r="D3537">
        <v>4</v>
      </c>
    </row>
    <row r="3538" spans="1:11" x14ac:dyDescent="0.4">
      <c r="A3538" t="s">
        <v>5443</v>
      </c>
      <c r="B3538">
        <v>64.3</v>
      </c>
      <c r="C3538" t="s">
        <v>197</v>
      </c>
      <c r="D3538">
        <v>4</v>
      </c>
    </row>
    <row r="3539" spans="1:11" x14ac:dyDescent="0.4">
      <c r="A3539" t="s">
        <v>7429</v>
      </c>
      <c r="B3539">
        <v>62.5</v>
      </c>
      <c r="C3539" t="s">
        <v>197</v>
      </c>
      <c r="D3539">
        <v>4</v>
      </c>
    </row>
    <row r="3540" spans="1:11" x14ac:dyDescent="0.4">
      <c r="A3540" t="s">
        <v>7430</v>
      </c>
      <c r="B3540">
        <v>100</v>
      </c>
      <c r="C3540" t="s">
        <v>197</v>
      </c>
      <c r="D3540">
        <v>5</v>
      </c>
    </row>
    <row r="3541" spans="1:11" x14ac:dyDescent="0.4">
      <c r="A3541" t="s">
        <v>7431</v>
      </c>
      <c r="B3541">
        <v>78.3</v>
      </c>
      <c r="C3541" t="s">
        <v>197</v>
      </c>
      <c r="D3541">
        <v>4</v>
      </c>
    </row>
    <row r="3542" spans="1:11" x14ac:dyDescent="0.4">
      <c r="A3542" t="s">
        <v>5448</v>
      </c>
      <c r="B3542">
        <v>100</v>
      </c>
      <c r="C3542" t="s">
        <v>1380</v>
      </c>
      <c r="D3542">
        <v>5</v>
      </c>
      <c r="E3542">
        <v>0.24</v>
      </c>
      <c r="F3542">
        <v>2</v>
      </c>
      <c r="G3542">
        <v>2024</v>
      </c>
      <c r="H3542" t="s">
        <v>928</v>
      </c>
      <c r="I3542" t="s">
        <v>6063</v>
      </c>
      <c r="J3542" t="s">
        <v>8826</v>
      </c>
      <c r="K3542" t="s">
        <v>9647</v>
      </c>
    </row>
    <row r="3543" spans="1:11" x14ac:dyDescent="0.4">
      <c r="A3543" t="s">
        <v>5446</v>
      </c>
      <c r="B3543">
        <v>50</v>
      </c>
      <c r="C3543" t="s">
        <v>6036</v>
      </c>
      <c r="D3543">
        <v>3</v>
      </c>
      <c r="E3543">
        <v>-2.161</v>
      </c>
      <c r="F3543">
        <v>1</v>
      </c>
      <c r="G3543">
        <v>2024</v>
      </c>
      <c r="H3543" t="s">
        <v>928</v>
      </c>
      <c r="I3543" t="s">
        <v>6063</v>
      </c>
      <c r="J3543" t="s">
        <v>8827</v>
      </c>
      <c r="K3543" t="s">
        <v>9648</v>
      </c>
    </row>
    <row r="3544" spans="1:11" x14ac:dyDescent="0.4">
      <c r="A3544" t="s">
        <v>5453</v>
      </c>
      <c r="B3544">
        <v>100</v>
      </c>
      <c r="C3544" t="s">
        <v>1380</v>
      </c>
      <c r="D3544">
        <v>5</v>
      </c>
      <c r="E3544">
        <v>0.24</v>
      </c>
      <c r="F3544">
        <v>2</v>
      </c>
      <c r="G3544">
        <v>2024</v>
      </c>
      <c r="H3544" t="s">
        <v>928</v>
      </c>
      <c r="I3544" t="s">
        <v>6063</v>
      </c>
      <c r="J3544" t="s">
        <v>8828</v>
      </c>
      <c r="K3544" t="s">
        <v>9649</v>
      </c>
    </row>
    <row r="3545" spans="1:11" x14ac:dyDescent="0.4">
      <c r="A3545" t="s">
        <v>5487</v>
      </c>
      <c r="B3545">
        <v>100</v>
      </c>
      <c r="C3545" t="s">
        <v>1380</v>
      </c>
      <c r="D3545">
        <v>5</v>
      </c>
      <c r="E3545">
        <v>0.24</v>
      </c>
      <c r="F3545">
        <v>2</v>
      </c>
      <c r="G3545">
        <v>2024</v>
      </c>
      <c r="H3545" t="s">
        <v>928</v>
      </c>
      <c r="I3545" t="s">
        <v>6063</v>
      </c>
      <c r="J3545" t="s">
        <v>8829</v>
      </c>
      <c r="K3545" t="s">
        <v>9650</v>
      </c>
    </row>
    <row r="3546" spans="1:11" x14ac:dyDescent="0.4">
      <c r="A3546" t="s">
        <v>5469</v>
      </c>
      <c r="B3546">
        <v>100</v>
      </c>
      <c r="C3546" t="s">
        <v>1380</v>
      </c>
      <c r="D3546">
        <v>5</v>
      </c>
      <c r="E3546">
        <v>0.24</v>
      </c>
      <c r="F3546">
        <v>2</v>
      </c>
      <c r="G3546">
        <v>2024</v>
      </c>
      <c r="H3546" t="s">
        <v>928</v>
      </c>
      <c r="I3546" t="s">
        <v>6063</v>
      </c>
      <c r="J3546" t="s">
        <v>8830</v>
      </c>
      <c r="K3546" t="s">
        <v>9651</v>
      </c>
    </row>
    <row r="3547" spans="1:11" x14ac:dyDescent="0.4">
      <c r="A3547" t="s">
        <v>5481</v>
      </c>
      <c r="B3547">
        <v>100</v>
      </c>
      <c r="C3547" t="s">
        <v>1380</v>
      </c>
      <c r="D3547">
        <v>5</v>
      </c>
      <c r="E3547">
        <v>0.24</v>
      </c>
      <c r="F3547">
        <v>2</v>
      </c>
      <c r="G3547">
        <v>2024</v>
      </c>
      <c r="H3547" t="s">
        <v>928</v>
      </c>
      <c r="I3547" t="s">
        <v>6063</v>
      </c>
      <c r="J3547" t="s">
        <v>8831</v>
      </c>
      <c r="K3547" t="s">
        <v>9652</v>
      </c>
    </row>
    <row r="3548" spans="1:11" x14ac:dyDescent="0.4">
      <c r="A3548" t="s">
        <v>5458</v>
      </c>
      <c r="B3548">
        <v>100</v>
      </c>
      <c r="C3548" t="s">
        <v>1380</v>
      </c>
      <c r="D3548">
        <v>5</v>
      </c>
      <c r="E3548">
        <v>0.24</v>
      </c>
      <c r="F3548">
        <v>2</v>
      </c>
      <c r="G3548">
        <v>2024</v>
      </c>
      <c r="H3548" t="s">
        <v>928</v>
      </c>
      <c r="I3548" t="s">
        <v>6063</v>
      </c>
      <c r="J3548" t="s">
        <v>9004</v>
      </c>
      <c r="K3548" t="s">
        <v>9653</v>
      </c>
    </row>
    <row r="3549" spans="1:11" x14ac:dyDescent="0.4">
      <c r="A3549" t="s">
        <v>5451</v>
      </c>
      <c r="B3549">
        <v>100</v>
      </c>
      <c r="C3549" t="s">
        <v>1380</v>
      </c>
      <c r="D3549">
        <v>5</v>
      </c>
      <c r="E3549">
        <v>0.24</v>
      </c>
      <c r="F3549">
        <v>2</v>
      </c>
      <c r="G3549">
        <v>2024</v>
      </c>
      <c r="H3549" t="s">
        <v>928</v>
      </c>
      <c r="I3549" t="s">
        <v>6063</v>
      </c>
      <c r="J3549" t="s">
        <v>8832</v>
      </c>
      <c r="K3549" t="s">
        <v>9654</v>
      </c>
    </row>
    <row r="3550" spans="1:11" x14ac:dyDescent="0.4">
      <c r="A3550" t="s">
        <v>5465</v>
      </c>
      <c r="B3550">
        <v>100</v>
      </c>
      <c r="C3550" t="s">
        <v>1380</v>
      </c>
      <c r="D3550">
        <v>5</v>
      </c>
      <c r="E3550">
        <v>0.24</v>
      </c>
      <c r="F3550">
        <v>2</v>
      </c>
      <c r="G3550">
        <v>2024</v>
      </c>
      <c r="H3550" t="s">
        <v>928</v>
      </c>
      <c r="I3550" t="s">
        <v>6063</v>
      </c>
      <c r="J3550" t="s">
        <v>8833</v>
      </c>
      <c r="K3550" t="s">
        <v>9655</v>
      </c>
    </row>
    <row r="3551" spans="1:11" x14ac:dyDescent="0.4">
      <c r="A3551" t="s">
        <v>5455</v>
      </c>
      <c r="B3551">
        <v>100</v>
      </c>
      <c r="C3551" t="s">
        <v>1380</v>
      </c>
      <c r="D3551">
        <v>5</v>
      </c>
      <c r="E3551">
        <v>0.24</v>
      </c>
      <c r="F3551">
        <v>2</v>
      </c>
      <c r="G3551">
        <v>2024</v>
      </c>
      <c r="H3551" t="s">
        <v>928</v>
      </c>
      <c r="I3551" t="s">
        <v>6063</v>
      </c>
      <c r="J3551" t="s">
        <v>8834</v>
      </c>
      <c r="K3551" t="s">
        <v>9656</v>
      </c>
    </row>
    <row r="3552" spans="1:11" x14ac:dyDescent="0.4">
      <c r="A3552" t="s">
        <v>6007</v>
      </c>
      <c r="B3552">
        <v>100</v>
      </c>
      <c r="C3552" t="s">
        <v>1380</v>
      </c>
      <c r="D3552">
        <v>5</v>
      </c>
      <c r="E3552">
        <v>0.24</v>
      </c>
      <c r="F3552">
        <v>2</v>
      </c>
      <c r="G3552">
        <v>2024</v>
      </c>
      <c r="H3552" t="s">
        <v>928</v>
      </c>
      <c r="I3552" t="s">
        <v>6063</v>
      </c>
      <c r="J3552" t="s">
        <v>8835</v>
      </c>
      <c r="K3552" t="s">
        <v>9657</v>
      </c>
    </row>
    <row r="3553" spans="1:11" x14ac:dyDescent="0.4">
      <c r="A3553" t="s">
        <v>5473</v>
      </c>
      <c r="B3553">
        <v>100</v>
      </c>
      <c r="C3553" t="s">
        <v>1380</v>
      </c>
      <c r="D3553">
        <v>5</v>
      </c>
      <c r="E3553">
        <v>0.24</v>
      </c>
      <c r="F3553">
        <v>2</v>
      </c>
      <c r="G3553">
        <v>2024</v>
      </c>
      <c r="H3553" t="s">
        <v>928</v>
      </c>
      <c r="I3553" t="s">
        <v>6063</v>
      </c>
      <c r="J3553" t="s">
        <v>8836</v>
      </c>
      <c r="K3553" t="s">
        <v>9658</v>
      </c>
    </row>
    <row r="3554" spans="1:11" x14ac:dyDescent="0.4">
      <c r="A3554" t="s">
        <v>5474</v>
      </c>
      <c r="B3554">
        <v>100</v>
      </c>
      <c r="C3554" t="s">
        <v>1380</v>
      </c>
      <c r="D3554">
        <v>5</v>
      </c>
      <c r="E3554">
        <v>0.24</v>
      </c>
      <c r="F3554">
        <v>2</v>
      </c>
      <c r="G3554">
        <v>2024</v>
      </c>
      <c r="H3554" t="s">
        <v>928</v>
      </c>
      <c r="I3554" t="s">
        <v>6063</v>
      </c>
      <c r="J3554" t="s">
        <v>8837</v>
      </c>
      <c r="K3554" t="s">
        <v>6029</v>
      </c>
    </row>
    <row r="3555" spans="1:11" x14ac:dyDescent="0.4">
      <c r="A3555" t="s">
        <v>5456</v>
      </c>
      <c r="B3555">
        <v>100</v>
      </c>
      <c r="C3555" t="s">
        <v>1380</v>
      </c>
      <c r="D3555">
        <v>5</v>
      </c>
      <c r="E3555">
        <v>0.24</v>
      </c>
      <c r="F3555">
        <v>2</v>
      </c>
      <c r="G3555">
        <v>2024</v>
      </c>
      <c r="H3555" t="s">
        <v>928</v>
      </c>
      <c r="I3555" t="s">
        <v>6063</v>
      </c>
      <c r="J3555" t="s">
        <v>8838</v>
      </c>
      <c r="K3555" t="s">
        <v>9659</v>
      </c>
    </row>
    <row r="3556" spans="1:11" x14ac:dyDescent="0.4">
      <c r="A3556" t="s">
        <v>5464</v>
      </c>
      <c r="B3556">
        <v>100</v>
      </c>
      <c r="C3556" t="s">
        <v>1380</v>
      </c>
      <c r="D3556">
        <v>5</v>
      </c>
      <c r="E3556">
        <v>0.24</v>
      </c>
      <c r="F3556">
        <v>2</v>
      </c>
      <c r="G3556">
        <v>2024</v>
      </c>
      <c r="H3556" t="s">
        <v>928</v>
      </c>
      <c r="I3556" t="s">
        <v>6063</v>
      </c>
      <c r="J3556" t="s">
        <v>8839</v>
      </c>
      <c r="K3556" t="s">
        <v>9660</v>
      </c>
    </row>
    <row r="3557" spans="1:11" x14ac:dyDescent="0.4">
      <c r="A3557" t="s">
        <v>5486</v>
      </c>
      <c r="B3557">
        <v>100</v>
      </c>
      <c r="C3557" t="s">
        <v>1380</v>
      </c>
      <c r="D3557">
        <v>5</v>
      </c>
      <c r="E3557">
        <v>0.24</v>
      </c>
      <c r="F3557">
        <v>2</v>
      </c>
      <c r="G3557">
        <v>2024</v>
      </c>
      <c r="H3557" t="s">
        <v>928</v>
      </c>
      <c r="I3557" t="s">
        <v>6063</v>
      </c>
      <c r="J3557" t="s">
        <v>8840</v>
      </c>
      <c r="K3557" t="s">
        <v>9661</v>
      </c>
    </row>
    <row r="3558" spans="1:11" x14ac:dyDescent="0.4">
      <c r="A3558" t="s">
        <v>5483</v>
      </c>
      <c r="B3558">
        <v>100</v>
      </c>
      <c r="C3558" t="s">
        <v>1380</v>
      </c>
      <c r="D3558">
        <v>5</v>
      </c>
      <c r="E3558">
        <v>0.24</v>
      </c>
      <c r="F3558">
        <v>2</v>
      </c>
      <c r="G3558">
        <v>2024</v>
      </c>
      <c r="H3558" t="s">
        <v>928</v>
      </c>
      <c r="I3558" t="s">
        <v>6063</v>
      </c>
      <c r="J3558" t="s">
        <v>8841</v>
      </c>
      <c r="K3558" t="s">
        <v>9662</v>
      </c>
    </row>
    <row r="3559" spans="1:11" x14ac:dyDescent="0.4">
      <c r="A3559" t="s">
        <v>5461</v>
      </c>
      <c r="B3559">
        <v>100</v>
      </c>
      <c r="C3559" t="s">
        <v>1380</v>
      </c>
      <c r="D3559">
        <v>5</v>
      </c>
      <c r="E3559">
        <v>0.24</v>
      </c>
      <c r="F3559">
        <v>2</v>
      </c>
      <c r="G3559">
        <v>2024</v>
      </c>
      <c r="H3559" t="s">
        <v>928</v>
      </c>
      <c r="I3559" t="s">
        <v>6063</v>
      </c>
      <c r="J3559" t="s">
        <v>8842</v>
      </c>
      <c r="K3559" t="s">
        <v>9663</v>
      </c>
    </row>
    <row r="3560" spans="1:11" x14ac:dyDescent="0.4">
      <c r="A3560" t="s">
        <v>5467</v>
      </c>
      <c r="B3560">
        <v>100</v>
      </c>
      <c r="C3560" t="s">
        <v>1380</v>
      </c>
      <c r="D3560">
        <v>5</v>
      </c>
      <c r="E3560">
        <v>0.24</v>
      </c>
      <c r="F3560">
        <v>2</v>
      </c>
      <c r="G3560">
        <v>2024</v>
      </c>
      <c r="H3560" t="s">
        <v>928</v>
      </c>
      <c r="I3560" t="s">
        <v>6063</v>
      </c>
      <c r="J3560" t="s">
        <v>8843</v>
      </c>
      <c r="K3560" t="s">
        <v>9664</v>
      </c>
    </row>
    <row r="3561" spans="1:11" x14ac:dyDescent="0.4">
      <c r="A3561" t="s">
        <v>5445</v>
      </c>
      <c r="B3561">
        <v>100</v>
      </c>
      <c r="C3561" t="s">
        <v>1380</v>
      </c>
      <c r="D3561">
        <v>5</v>
      </c>
      <c r="E3561">
        <v>0.24</v>
      </c>
      <c r="F3561">
        <v>2</v>
      </c>
      <c r="G3561">
        <v>2024</v>
      </c>
      <c r="H3561" t="s">
        <v>928</v>
      </c>
      <c r="I3561" t="s">
        <v>6063</v>
      </c>
      <c r="J3561" t="s">
        <v>8844</v>
      </c>
      <c r="K3561" t="s">
        <v>9665</v>
      </c>
    </row>
    <row r="3562" spans="1:11" x14ac:dyDescent="0.4">
      <c r="A3562" t="s">
        <v>5470</v>
      </c>
      <c r="B3562">
        <v>100</v>
      </c>
      <c r="C3562" t="s">
        <v>1380</v>
      </c>
      <c r="D3562">
        <v>5</v>
      </c>
      <c r="E3562">
        <v>0.24</v>
      </c>
      <c r="F3562">
        <v>2</v>
      </c>
      <c r="G3562">
        <v>2024</v>
      </c>
      <c r="H3562" t="s">
        <v>928</v>
      </c>
      <c r="I3562" t="s">
        <v>6063</v>
      </c>
      <c r="J3562" t="s">
        <v>8845</v>
      </c>
      <c r="K3562" t="s">
        <v>9666</v>
      </c>
    </row>
    <row r="3563" spans="1:11" x14ac:dyDescent="0.4">
      <c r="A3563" t="s">
        <v>5475</v>
      </c>
      <c r="B3563">
        <v>0</v>
      </c>
      <c r="C3563" t="s">
        <v>6040</v>
      </c>
      <c r="D3563">
        <v>1</v>
      </c>
      <c r="E3563">
        <v>-4.5620000000000003</v>
      </c>
      <c r="F3563">
        <v>0</v>
      </c>
      <c r="G3563">
        <v>2024</v>
      </c>
      <c r="H3563" t="s">
        <v>928</v>
      </c>
      <c r="I3563" t="s">
        <v>6063</v>
      </c>
      <c r="J3563" t="s">
        <v>8846</v>
      </c>
      <c r="K3563" t="s">
        <v>9667</v>
      </c>
    </row>
    <row r="3564" spans="1:11" x14ac:dyDescent="0.4">
      <c r="A3564" t="s">
        <v>5472</v>
      </c>
      <c r="B3564">
        <v>100</v>
      </c>
      <c r="C3564" t="s">
        <v>1380</v>
      </c>
      <c r="D3564">
        <v>5</v>
      </c>
      <c r="E3564">
        <v>0.24</v>
      </c>
      <c r="F3564">
        <v>2</v>
      </c>
      <c r="G3564">
        <v>2024</v>
      </c>
      <c r="H3564" t="s">
        <v>928</v>
      </c>
      <c r="I3564" t="s">
        <v>6063</v>
      </c>
      <c r="J3564" t="s">
        <v>8836</v>
      </c>
      <c r="K3564" t="s">
        <v>9668</v>
      </c>
    </row>
    <row r="3565" spans="1:11" x14ac:dyDescent="0.4">
      <c r="A3565" t="s">
        <v>5457</v>
      </c>
      <c r="B3565">
        <v>0</v>
      </c>
      <c r="C3565" t="s">
        <v>6040</v>
      </c>
      <c r="D3565">
        <v>1</v>
      </c>
      <c r="E3565">
        <v>-4.5620000000000003</v>
      </c>
      <c r="F3565">
        <v>0</v>
      </c>
      <c r="G3565">
        <v>2024</v>
      </c>
      <c r="H3565" t="s">
        <v>928</v>
      </c>
      <c r="I3565" t="s">
        <v>6063</v>
      </c>
      <c r="J3565" t="s">
        <v>8847</v>
      </c>
      <c r="K3565" t="s">
        <v>9669</v>
      </c>
    </row>
    <row r="3566" spans="1:11" x14ac:dyDescent="0.4">
      <c r="A3566" t="s">
        <v>5444</v>
      </c>
      <c r="B3566">
        <v>100</v>
      </c>
      <c r="C3566" t="s">
        <v>1380</v>
      </c>
      <c r="D3566">
        <v>5</v>
      </c>
      <c r="E3566">
        <v>0.24</v>
      </c>
      <c r="F3566">
        <v>2</v>
      </c>
      <c r="G3566">
        <v>2024</v>
      </c>
      <c r="H3566" t="s">
        <v>928</v>
      </c>
      <c r="I3566" t="s">
        <v>6063</v>
      </c>
      <c r="J3566" t="s">
        <v>8848</v>
      </c>
      <c r="K3566" t="s">
        <v>9670</v>
      </c>
    </row>
    <row r="3567" spans="1:11" x14ac:dyDescent="0.4">
      <c r="A3567" t="s">
        <v>5460</v>
      </c>
      <c r="B3567">
        <v>100</v>
      </c>
      <c r="C3567" t="s">
        <v>1380</v>
      </c>
      <c r="D3567">
        <v>5</v>
      </c>
      <c r="E3567">
        <v>0.24</v>
      </c>
      <c r="F3567">
        <v>2</v>
      </c>
      <c r="G3567">
        <v>2024</v>
      </c>
      <c r="H3567" t="s">
        <v>928</v>
      </c>
      <c r="I3567" t="s">
        <v>6063</v>
      </c>
      <c r="J3567" t="s">
        <v>8849</v>
      </c>
      <c r="K3567" t="s">
        <v>9671</v>
      </c>
    </row>
    <row r="3568" spans="1:11" x14ac:dyDescent="0.4">
      <c r="A3568" t="s">
        <v>5462</v>
      </c>
      <c r="B3568">
        <v>100</v>
      </c>
      <c r="C3568" t="s">
        <v>1380</v>
      </c>
      <c r="D3568">
        <v>5</v>
      </c>
      <c r="E3568">
        <v>0.24</v>
      </c>
      <c r="F3568">
        <v>2</v>
      </c>
      <c r="G3568">
        <v>2024</v>
      </c>
      <c r="H3568" t="s">
        <v>928</v>
      </c>
      <c r="I3568" t="s">
        <v>6063</v>
      </c>
      <c r="J3568" t="s">
        <v>8850</v>
      </c>
      <c r="K3568" t="s">
        <v>9672</v>
      </c>
    </row>
    <row r="3569" spans="1:11" x14ac:dyDescent="0.4">
      <c r="A3569" t="s">
        <v>5488</v>
      </c>
      <c r="B3569">
        <v>100</v>
      </c>
      <c r="C3569" t="s">
        <v>1380</v>
      </c>
      <c r="D3569">
        <v>5</v>
      </c>
      <c r="E3569">
        <v>0.24</v>
      </c>
      <c r="F3569">
        <v>2</v>
      </c>
      <c r="G3569">
        <v>2024</v>
      </c>
      <c r="H3569" t="s">
        <v>928</v>
      </c>
      <c r="I3569" t="s">
        <v>6063</v>
      </c>
      <c r="J3569" t="s">
        <v>8851</v>
      </c>
      <c r="K3569" t="s">
        <v>9673</v>
      </c>
    </row>
    <row r="3570" spans="1:11" x14ac:dyDescent="0.4">
      <c r="A3570" t="s">
        <v>5485</v>
      </c>
      <c r="B3570">
        <v>100</v>
      </c>
      <c r="C3570" t="s">
        <v>1380</v>
      </c>
      <c r="D3570">
        <v>5</v>
      </c>
      <c r="E3570">
        <v>0.24</v>
      </c>
      <c r="F3570">
        <v>2</v>
      </c>
      <c r="G3570">
        <v>2024</v>
      </c>
      <c r="H3570" t="s">
        <v>928</v>
      </c>
      <c r="I3570" t="s">
        <v>6063</v>
      </c>
      <c r="J3570" t="s">
        <v>8852</v>
      </c>
      <c r="K3570" t="s">
        <v>9674</v>
      </c>
    </row>
    <row r="3571" spans="1:11" x14ac:dyDescent="0.4">
      <c r="A3571" t="s">
        <v>5450</v>
      </c>
      <c r="B3571">
        <v>100</v>
      </c>
      <c r="C3571" t="s">
        <v>1380</v>
      </c>
      <c r="D3571">
        <v>5</v>
      </c>
      <c r="E3571">
        <v>0.24</v>
      </c>
      <c r="F3571">
        <v>2</v>
      </c>
      <c r="G3571">
        <v>2024</v>
      </c>
      <c r="H3571" t="s">
        <v>928</v>
      </c>
      <c r="I3571" t="s">
        <v>6063</v>
      </c>
      <c r="J3571" t="s">
        <v>8853</v>
      </c>
      <c r="K3571" t="s">
        <v>9675</v>
      </c>
    </row>
    <row r="3572" spans="1:11" x14ac:dyDescent="0.4">
      <c r="A3572" t="s">
        <v>5463</v>
      </c>
      <c r="B3572">
        <v>100</v>
      </c>
      <c r="C3572" t="s">
        <v>1380</v>
      </c>
      <c r="D3572">
        <v>5</v>
      </c>
      <c r="E3572">
        <v>0.24</v>
      </c>
      <c r="F3572">
        <v>2</v>
      </c>
      <c r="G3572">
        <v>2024</v>
      </c>
      <c r="H3572" t="s">
        <v>928</v>
      </c>
      <c r="I3572" t="s">
        <v>6063</v>
      </c>
      <c r="J3572" t="s">
        <v>6604</v>
      </c>
      <c r="K3572" t="s">
        <v>9676</v>
      </c>
    </row>
    <row r="3573" spans="1:11" x14ac:dyDescent="0.4">
      <c r="A3573" t="s">
        <v>5471</v>
      </c>
      <c r="B3573">
        <v>100</v>
      </c>
      <c r="C3573" t="s">
        <v>1380</v>
      </c>
      <c r="D3573">
        <v>5</v>
      </c>
      <c r="E3573">
        <v>0.24</v>
      </c>
      <c r="F3573">
        <v>2</v>
      </c>
      <c r="G3573">
        <v>2024</v>
      </c>
      <c r="H3573" t="s">
        <v>928</v>
      </c>
      <c r="I3573" t="s">
        <v>6063</v>
      </c>
      <c r="J3573" t="s">
        <v>8836</v>
      </c>
      <c r="K3573" t="s">
        <v>9677</v>
      </c>
    </row>
    <row r="3574" spans="1:11" x14ac:dyDescent="0.4">
      <c r="A3574" t="s">
        <v>5447</v>
      </c>
      <c r="B3574">
        <v>100</v>
      </c>
      <c r="C3574" t="s">
        <v>1380</v>
      </c>
      <c r="D3574">
        <v>5</v>
      </c>
      <c r="E3574">
        <v>0.24</v>
      </c>
      <c r="F3574">
        <v>2</v>
      </c>
      <c r="G3574">
        <v>2024</v>
      </c>
      <c r="H3574" t="s">
        <v>928</v>
      </c>
      <c r="I3574" t="s">
        <v>6063</v>
      </c>
      <c r="J3574" t="s">
        <v>8854</v>
      </c>
      <c r="K3574" t="s">
        <v>9678</v>
      </c>
    </row>
    <row r="3575" spans="1:11" x14ac:dyDescent="0.4">
      <c r="A3575" t="s">
        <v>5929</v>
      </c>
      <c r="B3575">
        <v>100</v>
      </c>
      <c r="C3575" t="s">
        <v>1380</v>
      </c>
      <c r="D3575">
        <v>5</v>
      </c>
      <c r="E3575">
        <v>0.24</v>
      </c>
      <c r="F3575">
        <v>2</v>
      </c>
      <c r="G3575">
        <v>2024</v>
      </c>
      <c r="H3575" t="s">
        <v>928</v>
      </c>
      <c r="I3575" t="s">
        <v>6063</v>
      </c>
      <c r="J3575" t="s">
        <v>8855</v>
      </c>
      <c r="K3575" t="s">
        <v>9679</v>
      </c>
    </row>
    <row r="3576" spans="1:11" x14ac:dyDescent="0.4">
      <c r="A3576" t="s">
        <v>5478</v>
      </c>
      <c r="B3576">
        <v>100</v>
      </c>
      <c r="C3576" t="s">
        <v>1380</v>
      </c>
      <c r="D3576">
        <v>5</v>
      </c>
      <c r="E3576">
        <v>0.24</v>
      </c>
      <c r="F3576">
        <v>2</v>
      </c>
      <c r="G3576">
        <v>2024</v>
      </c>
      <c r="H3576" t="s">
        <v>928</v>
      </c>
      <c r="I3576" t="s">
        <v>6063</v>
      </c>
      <c r="J3576" t="s">
        <v>8856</v>
      </c>
      <c r="K3576" t="s">
        <v>9680</v>
      </c>
    </row>
    <row r="3577" spans="1:11" x14ac:dyDescent="0.4">
      <c r="A3577" t="s">
        <v>5930</v>
      </c>
      <c r="B3577">
        <v>100</v>
      </c>
      <c r="C3577" t="s">
        <v>1380</v>
      </c>
      <c r="D3577">
        <v>5</v>
      </c>
      <c r="E3577">
        <v>0.24</v>
      </c>
      <c r="F3577">
        <v>2</v>
      </c>
      <c r="G3577">
        <v>2024</v>
      </c>
      <c r="H3577" t="s">
        <v>928</v>
      </c>
      <c r="I3577" t="s">
        <v>6063</v>
      </c>
      <c r="J3577" t="s">
        <v>8857</v>
      </c>
      <c r="K3577" t="s">
        <v>9681</v>
      </c>
    </row>
    <row r="3578" spans="1:11" x14ac:dyDescent="0.4">
      <c r="A3578" t="s">
        <v>5489</v>
      </c>
      <c r="B3578">
        <v>100</v>
      </c>
      <c r="C3578" t="s">
        <v>1380</v>
      </c>
      <c r="D3578">
        <v>5</v>
      </c>
      <c r="E3578">
        <v>0.24</v>
      </c>
      <c r="F3578">
        <v>2</v>
      </c>
      <c r="G3578">
        <v>2024</v>
      </c>
      <c r="H3578" t="s">
        <v>928</v>
      </c>
      <c r="I3578" t="s">
        <v>6063</v>
      </c>
      <c r="J3578" t="s">
        <v>8858</v>
      </c>
      <c r="K3578" t="s">
        <v>9682</v>
      </c>
    </row>
    <row r="3579" spans="1:11" x14ac:dyDescent="0.4">
      <c r="A3579" t="s">
        <v>5454</v>
      </c>
      <c r="B3579">
        <v>100</v>
      </c>
      <c r="C3579" t="s">
        <v>1380</v>
      </c>
      <c r="D3579">
        <v>5</v>
      </c>
      <c r="E3579">
        <v>0.24</v>
      </c>
      <c r="F3579">
        <v>2</v>
      </c>
      <c r="G3579">
        <v>2024</v>
      </c>
      <c r="H3579" t="s">
        <v>928</v>
      </c>
      <c r="I3579" t="s">
        <v>6063</v>
      </c>
      <c r="J3579" t="s">
        <v>8859</v>
      </c>
      <c r="K3579" t="s">
        <v>9683</v>
      </c>
    </row>
    <row r="3580" spans="1:11" x14ac:dyDescent="0.4">
      <c r="A3580" t="s">
        <v>5459</v>
      </c>
      <c r="B3580">
        <v>100</v>
      </c>
      <c r="C3580" t="s">
        <v>1380</v>
      </c>
      <c r="D3580">
        <v>5</v>
      </c>
      <c r="E3580">
        <v>0.24</v>
      </c>
      <c r="F3580">
        <v>2</v>
      </c>
      <c r="G3580">
        <v>2024</v>
      </c>
      <c r="H3580" t="s">
        <v>928</v>
      </c>
      <c r="I3580" t="s">
        <v>6063</v>
      </c>
      <c r="J3580" t="s">
        <v>8860</v>
      </c>
      <c r="K3580" t="s">
        <v>9684</v>
      </c>
    </row>
    <row r="3581" spans="1:11" x14ac:dyDescent="0.4">
      <c r="A3581" t="s">
        <v>5452</v>
      </c>
      <c r="B3581">
        <v>100</v>
      </c>
      <c r="C3581" t="s">
        <v>1380</v>
      </c>
      <c r="D3581">
        <v>5</v>
      </c>
      <c r="E3581">
        <v>0.24</v>
      </c>
      <c r="F3581">
        <v>2</v>
      </c>
      <c r="G3581">
        <v>2024</v>
      </c>
      <c r="H3581" t="s">
        <v>928</v>
      </c>
      <c r="I3581" t="s">
        <v>6063</v>
      </c>
      <c r="J3581" t="s">
        <v>8861</v>
      </c>
      <c r="K3581" t="s">
        <v>9685</v>
      </c>
    </row>
    <row r="3582" spans="1:11" x14ac:dyDescent="0.4">
      <c r="A3582" t="s">
        <v>5931</v>
      </c>
      <c r="B3582">
        <v>100</v>
      </c>
      <c r="C3582" t="s">
        <v>1380</v>
      </c>
      <c r="D3582">
        <v>5</v>
      </c>
      <c r="E3582">
        <v>0.24</v>
      </c>
      <c r="F3582">
        <v>2</v>
      </c>
      <c r="G3582">
        <v>2024</v>
      </c>
      <c r="H3582" t="s">
        <v>928</v>
      </c>
      <c r="I3582" t="s">
        <v>6063</v>
      </c>
      <c r="J3582" t="s">
        <v>8862</v>
      </c>
      <c r="K3582" t="s">
        <v>8863</v>
      </c>
    </row>
    <row r="3583" spans="1:11" x14ac:dyDescent="0.4">
      <c r="A3583" t="s">
        <v>5479</v>
      </c>
      <c r="B3583">
        <v>100</v>
      </c>
      <c r="C3583" t="s">
        <v>1380</v>
      </c>
      <c r="D3583">
        <v>5</v>
      </c>
      <c r="E3583">
        <v>0.24</v>
      </c>
      <c r="F3583">
        <v>2</v>
      </c>
      <c r="G3583">
        <v>2024</v>
      </c>
      <c r="H3583" t="s">
        <v>928</v>
      </c>
      <c r="I3583" t="s">
        <v>6063</v>
      </c>
      <c r="J3583" t="s">
        <v>8864</v>
      </c>
      <c r="K3583" t="s">
        <v>6030</v>
      </c>
    </row>
    <row r="3584" spans="1:11" x14ac:dyDescent="0.4">
      <c r="A3584" t="s">
        <v>5480</v>
      </c>
      <c r="B3584">
        <v>100</v>
      </c>
      <c r="C3584" t="s">
        <v>1380</v>
      </c>
      <c r="D3584">
        <v>5</v>
      </c>
      <c r="E3584">
        <v>0.24</v>
      </c>
      <c r="F3584">
        <v>2</v>
      </c>
      <c r="G3584">
        <v>2024</v>
      </c>
      <c r="H3584" t="s">
        <v>928</v>
      </c>
      <c r="I3584" t="s">
        <v>6063</v>
      </c>
      <c r="J3584" t="s">
        <v>8865</v>
      </c>
      <c r="K3584" t="s">
        <v>9686</v>
      </c>
    </row>
    <row r="3585" spans="1:11" x14ac:dyDescent="0.4">
      <c r="A3585" t="s">
        <v>5476</v>
      </c>
      <c r="B3585">
        <v>100</v>
      </c>
      <c r="C3585" t="s">
        <v>1380</v>
      </c>
      <c r="D3585">
        <v>5</v>
      </c>
      <c r="E3585">
        <v>0.24</v>
      </c>
      <c r="F3585">
        <v>2</v>
      </c>
      <c r="G3585">
        <v>2024</v>
      </c>
      <c r="H3585" t="s">
        <v>928</v>
      </c>
      <c r="I3585" t="s">
        <v>6063</v>
      </c>
      <c r="J3585" t="s">
        <v>8866</v>
      </c>
      <c r="K3585" t="s">
        <v>9687</v>
      </c>
    </row>
    <row r="3586" spans="1:11" x14ac:dyDescent="0.4">
      <c r="A3586" t="s">
        <v>5484</v>
      </c>
      <c r="B3586">
        <v>100</v>
      </c>
      <c r="C3586" t="s">
        <v>1380</v>
      </c>
      <c r="D3586">
        <v>5</v>
      </c>
      <c r="E3586">
        <v>0.24</v>
      </c>
      <c r="F3586">
        <v>2</v>
      </c>
      <c r="G3586">
        <v>2024</v>
      </c>
      <c r="H3586" t="s">
        <v>928</v>
      </c>
      <c r="I3586" t="s">
        <v>6063</v>
      </c>
      <c r="J3586" t="s">
        <v>8867</v>
      </c>
      <c r="K3586" t="s">
        <v>9688</v>
      </c>
    </row>
    <row r="3587" spans="1:11" x14ac:dyDescent="0.4">
      <c r="A3587" t="s">
        <v>5477</v>
      </c>
      <c r="B3587">
        <v>100</v>
      </c>
      <c r="C3587" t="s">
        <v>1380</v>
      </c>
      <c r="D3587">
        <v>5</v>
      </c>
      <c r="E3587">
        <v>0.24</v>
      </c>
      <c r="F3587">
        <v>2</v>
      </c>
      <c r="G3587">
        <v>2024</v>
      </c>
      <c r="H3587" t="s">
        <v>928</v>
      </c>
      <c r="I3587" t="s">
        <v>6063</v>
      </c>
      <c r="J3587" t="s">
        <v>8868</v>
      </c>
      <c r="K3587" t="s">
        <v>9689</v>
      </c>
    </row>
    <row r="3588" spans="1:11" x14ac:dyDescent="0.4">
      <c r="A3588" t="s">
        <v>5449</v>
      </c>
      <c r="B3588">
        <v>100</v>
      </c>
      <c r="C3588" t="s">
        <v>1380</v>
      </c>
      <c r="D3588">
        <v>5</v>
      </c>
      <c r="E3588">
        <v>0.24</v>
      </c>
      <c r="F3588">
        <v>2</v>
      </c>
      <c r="G3588">
        <v>2024</v>
      </c>
      <c r="H3588" t="s">
        <v>928</v>
      </c>
      <c r="I3588" t="s">
        <v>6063</v>
      </c>
      <c r="J3588" t="s">
        <v>8869</v>
      </c>
      <c r="K3588" t="s">
        <v>9690</v>
      </c>
    </row>
    <row r="3589" spans="1:11" x14ac:dyDescent="0.4">
      <c r="A3589" t="s">
        <v>5466</v>
      </c>
      <c r="B3589">
        <v>100</v>
      </c>
      <c r="C3589" t="s">
        <v>1380</v>
      </c>
      <c r="D3589">
        <v>5</v>
      </c>
      <c r="E3589">
        <v>0.24</v>
      </c>
      <c r="F3589">
        <v>2</v>
      </c>
      <c r="G3589">
        <v>2024</v>
      </c>
      <c r="H3589" t="s">
        <v>928</v>
      </c>
      <c r="I3589" t="s">
        <v>6063</v>
      </c>
      <c r="J3589" t="s">
        <v>8870</v>
      </c>
      <c r="K3589" t="s">
        <v>9691</v>
      </c>
    </row>
    <row r="3590" spans="1:11" x14ac:dyDescent="0.4">
      <c r="A3590" t="s">
        <v>5482</v>
      </c>
      <c r="B3590">
        <v>100</v>
      </c>
      <c r="C3590" t="s">
        <v>1380</v>
      </c>
      <c r="D3590">
        <v>5</v>
      </c>
      <c r="E3590">
        <v>0.24</v>
      </c>
      <c r="F3590">
        <v>2</v>
      </c>
      <c r="G3590">
        <v>2024</v>
      </c>
      <c r="H3590" t="s">
        <v>928</v>
      </c>
      <c r="I3590" t="s">
        <v>6063</v>
      </c>
      <c r="J3590" t="s">
        <v>8871</v>
      </c>
      <c r="K3590" t="s">
        <v>9692</v>
      </c>
    </row>
    <row r="3591" spans="1:11" x14ac:dyDescent="0.4">
      <c r="A3591" t="s">
        <v>5468</v>
      </c>
      <c r="B3591">
        <v>100</v>
      </c>
      <c r="C3591" t="s">
        <v>1380</v>
      </c>
      <c r="D3591">
        <v>5</v>
      </c>
      <c r="E3591">
        <v>0.24</v>
      </c>
      <c r="F3591">
        <v>2</v>
      </c>
      <c r="G3591">
        <v>2024</v>
      </c>
      <c r="H3591" t="s">
        <v>928</v>
      </c>
      <c r="I3591" t="s">
        <v>6063</v>
      </c>
      <c r="J3591" t="s">
        <v>8872</v>
      </c>
      <c r="K3591" t="s">
        <v>9693</v>
      </c>
    </row>
    <row r="3592" spans="1:11" x14ac:dyDescent="0.4">
      <c r="A3592" t="s">
        <v>5490</v>
      </c>
      <c r="B3592">
        <v>95</v>
      </c>
      <c r="C3592" t="s">
        <v>197</v>
      </c>
      <c r="D3592">
        <v>5</v>
      </c>
    </row>
    <row r="3593" spans="1:11" x14ac:dyDescent="0.4">
      <c r="A3593" t="s">
        <v>5491</v>
      </c>
      <c r="B3593">
        <v>90</v>
      </c>
      <c r="C3593" t="s">
        <v>197</v>
      </c>
      <c r="D3593">
        <v>5</v>
      </c>
    </row>
    <row r="3594" spans="1:11" x14ac:dyDescent="0.4">
      <c r="A3594" t="s">
        <v>5492</v>
      </c>
      <c r="B3594">
        <v>100</v>
      </c>
      <c r="C3594" t="s">
        <v>197</v>
      </c>
      <c r="D3594">
        <v>5</v>
      </c>
    </row>
    <row r="3595" spans="1:11" x14ac:dyDescent="0.4">
      <c r="A3595" t="s">
        <v>5493</v>
      </c>
      <c r="B3595">
        <v>75</v>
      </c>
      <c r="C3595" t="s">
        <v>197</v>
      </c>
      <c r="D3595">
        <v>4</v>
      </c>
    </row>
    <row r="3596" spans="1:11" x14ac:dyDescent="0.4">
      <c r="A3596" t="s">
        <v>5494</v>
      </c>
      <c r="B3596">
        <v>100</v>
      </c>
      <c r="C3596" t="s">
        <v>197</v>
      </c>
      <c r="D3596">
        <v>5</v>
      </c>
    </row>
    <row r="3597" spans="1:11" x14ac:dyDescent="0.4">
      <c r="A3597" t="s">
        <v>5495</v>
      </c>
      <c r="B3597">
        <v>90</v>
      </c>
      <c r="C3597" t="s">
        <v>197</v>
      </c>
      <c r="D3597">
        <v>5</v>
      </c>
    </row>
    <row r="3598" spans="1:11" x14ac:dyDescent="0.4">
      <c r="A3598" t="s">
        <v>5496</v>
      </c>
      <c r="B3598">
        <v>100</v>
      </c>
      <c r="C3598" t="s">
        <v>197</v>
      </c>
      <c r="D3598">
        <v>5</v>
      </c>
    </row>
    <row r="3599" spans="1:11" x14ac:dyDescent="0.4">
      <c r="A3599" t="s">
        <v>7432</v>
      </c>
      <c r="B3599">
        <v>90.6</v>
      </c>
      <c r="C3599" t="s">
        <v>197</v>
      </c>
      <c r="D3599">
        <v>5</v>
      </c>
    </row>
    <row r="3600" spans="1:11" x14ac:dyDescent="0.4">
      <c r="A3600" t="s">
        <v>7433</v>
      </c>
      <c r="B3600">
        <v>100</v>
      </c>
      <c r="C3600" t="s">
        <v>197</v>
      </c>
      <c r="D3600">
        <v>5</v>
      </c>
    </row>
    <row r="3601" spans="1:9" x14ac:dyDescent="0.4">
      <c r="A3601" t="s">
        <v>7434</v>
      </c>
      <c r="B3601">
        <v>95.7</v>
      </c>
      <c r="C3601" t="s">
        <v>197</v>
      </c>
      <c r="D3601">
        <v>5</v>
      </c>
    </row>
    <row r="3602" spans="1:9" x14ac:dyDescent="0.4">
      <c r="A3602" t="s">
        <v>5501</v>
      </c>
      <c r="B3602">
        <v>75</v>
      </c>
      <c r="C3602" t="s">
        <v>5738</v>
      </c>
      <c r="D3602">
        <v>4</v>
      </c>
      <c r="E3602">
        <v>0.36899999999999999</v>
      </c>
      <c r="F3602">
        <v>3</v>
      </c>
      <c r="G3602">
        <v>2024</v>
      </c>
      <c r="H3602" t="s">
        <v>928</v>
      </c>
      <c r="I3602" t="s">
        <v>6063</v>
      </c>
    </row>
    <row r="3603" spans="1:9" x14ac:dyDescent="0.4">
      <c r="A3603" t="s">
        <v>5499</v>
      </c>
      <c r="B3603">
        <v>25</v>
      </c>
      <c r="C3603" t="s">
        <v>6033</v>
      </c>
      <c r="D3603">
        <v>2</v>
      </c>
      <c r="E3603">
        <v>-1.9359999999999999</v>
      </c>
      <c r="F3603">
        <v>1</v>
      </c>
      <c r="G3603">
        <v>2024</v>
      </c>
      <c r="H3603" t="s">
        <v>928</v>
      </c>
      <c r="I3603" t="s">
        <v>6063</v>
      </c>
    </row>
    <row r="3604" spans="1:9" x14ac:dyDescent="0.4">
      <c r="A3604" t="s">
        <v>5506</v>
      </c>
      <c r="B3604">
        <v>50</v>
      </c>
      <c r="C3604" t="s">
        <v>5723</v>
      </c>
      <c r="D3604">
        <v>3</v>
      </c>
      <c r="E3604">
        <v>-0.78400000000000003</v>
      </c>
      <c r="F3604">
        <v>2</v>
      </c>
      <c r="G3604">
        <v>2024</v>
      </c>
      <c r="H3604" t="s">
        <v>928</v>
      </c>
      <c r="I3604" t="s">
        <v>6063</v>
      </c>
    </row>
    <row r="3605" spans="1:9" x14ac:dyDescent="0.4">
      <c r="A3605" t="s">
        <v>5540</v>
      </c>
      <c r="B3605">
        <v>100</v>
      </c>
      <c r="C3605" t="s">
        <v>1380</v>
      </c>
      <c r="D3605">
        <v>5</v>
      </c>
      <c r="E3605">
        <v>1.522</v>
      </c>
      <c r="F3605">
        <v>4</v>
      </c>
      <c r="G3605">
        <v>2024</v>
      </c>
      <c r="H3605" t="s">
        <v>928</v>
      </c>
      <c r="I3605" t="s">
        <v>6063</v>
      </c>
    </row>
    <row r="3606" spans="1:9" x14ac:dyDescent="0.4">
      <c r="A3606" t="s">
        <v>5522</v>
      </c>
      <c r="B3606">
        <v>100</v>
      </c>
      <c r="C3606" t="s">
        <v>1380</v>
      </c>
      <c r="D3606">
        <v>5</v>
      </c>
      <c r="E3606">
        <v>1.522</v>
      </c>
      <c r="F3606">
        <v>4</v>
      </c>
      <c r="G3606">
        <v>2024</v>
      </c>
      <c r="H3606" t="s">
        <v>928</v>
      </c>
      <c r="I3606" t="s">
        <v>6063</v>
      </c>
    </row>
    <row r="3607" spans="1:9" x14ac:dyDescent="0.4">
      <c r="A3607" t="s">
        <v>5534</v>
      </c>
      <c r="B3607">
        <v>50</v>
      </c>
      <c r="C3607" t="s">
        <v>5723</v>
      </c>
      <c r="D3607">
        <v>3</v>
      </c>
      <c r="E3607">
        <v>-0.78400000000000003</v>
      </c>
      <c r="F3607">
        <v>2</v>
      </c>
      <c r="G3607">
        <v>2024</v>
      </c>
      <c r="H3607" t="s">
        <v>928</v>
      </c>
      <c r="I3607" t="s">
        <v>6063</v>
      </c>
    </row>
    <row r="3608" spans="1:9" x14ac:dyDescent="0.4">
      <c r="A3608" t="s">
        <v>5511</v>
      </c>
      <c r="B3608">
        <v>75</v>
      </c>
      <c r="C3608" t="s">
        <v>5738</v>
      </c>
      <c r="D3608">
        <v>4</v>
      </c>
      <c r="E3608">
        <v>0.36899999999999999</v>
      </c>
      <c r="F3608">
        <v>3</v>
      </c>
      <c r="G3608">
        <v>2024</v>
      </c>
      <c r="H3608" t="s">
        <v>928</v>
      </c>
      <c r="I3608" t="s">
        <v>6063</v>
      </c>
    </row>
    <row r="3609" spans="1:9" x14ac:dyDescent="0.4">
      <c r="A3609" t="s">
        <v>5504</v>
      </c>
      <c r="B3609">
        <v>75</v>
      </c>
      <c r="C3609" t="s">
        <v>5738</v>
      </c>
      <c r="D3609">
        <v>4</v>
      </c>
      <c r="E3609">
        <v>0.36899999999999999</v>
      </c>
      <c r="F3609">
        <v>3</v>
      </c>
      <c r="G3609">
        <v>2024</v>
      </c>
      <c r="H3609" t="s">
        <v>928</v>
      </c>
      <c r="I3609" t="s">
        <v>6063</v>
      </c>
    </row>
    <row r="3610" spans="1:9" x14ac:dyDescent="0.4">
      <c r="A3610" t="s">
        <v>5518</v>
      </c>
      <c r="B3610">
        <v>100</v>
      </c>
      <c r="C3610" t="s">
        <v>1380</v>
      </c>
      <c r="D3610">
        <v>5</v>
      </c>
      <c r="E3610">
        <v>1.522</v>
      </c>
      <c r="F3610">
        <v>4</v>
      </c>
      <c r="G3610">
        <v>2024</v>
      </c>
      <c r="H3610" t="s">
        <v>928</v>
      </c>
      <c r="I3610" t="s">
        <v>6063</v>
      </c>
    </row>
    <row r="3611" spans="1:9" x14ac:dyDescent="0.4">
      <c r="A3611" t="s">
        <v>5508</v>
      </c>
      <c r="B3611">
        <v>50</v>
      </c>
      <c r="C3611" t="s">
        <v>5723</v>
      </c>
      <c r="D3611">
        <v>3</v>
      </c>
      <c r="E3611">
        <v>-0.78400000000000003</v>
      </c>
      <c r="F3611">
        <v>2</v>
      </c>
      <c r="G3611">
        <v>2024</v>
      </c>
      <c r="H3611" t="s">
        <v>928</v>
      </c>
      <c r="I3611" t="s">
        <v>6063</v>
      </c>
    </row>
    <row r="3612" spans="1:9" x14ac:dyDescent="0.4">
      <c r="A3612" t="s">
        <v>6008</v>
      </c>
      <c r="B3612">
        <v>100</v>
      </c>
      <c r="C3612" t="s">
        <v>1380</v>
      </c>
      <c r="D3612">
        <v>5</v>
      </c>
      <c r="E3612">
        <v>1.522</v>
      </c>
      <c r="F3612">
        <v>4</v>
      </c>
      <c r="G3612">
        <v>2024</v>
      </c>
      <c r="H3612" t="s">
        <v>928</v>
      </c>
      <c r="I3612" t="s">
        <v>6063</v>
      </c>
    </row>
    <row r="3613" spans="1:9" x14ac:dyDescent="0.4">
      <c r="A3613" t="s">
        <v>5526</v>
      </c>
      <c r="B3613">
        <v>100</v>
      </c>
      <c r="C3613" t="s">
        <v>1380</v>
      </c>
      <c r="D3613">
        <v>5</v>
      </c>
      <c r="E3613">
        <v>1.522</v>
      </c>
      <c r="F3613">
        <v>4</v>
      </c>
      <c r="G3613">
        <v>2024</v>
      </c>
      <c r="H3613" t="s">
        <v>928</v>
      </c>
      <c r="I3613" t="s">
        <v>6063</v>
      </c>
    </row>
    <row r="3614" spans="1:9" x14ac:dyDescent="0.4">
      <c r="A3614" t="s">
        <v>5527</v>
      </c>
      <c r="B3614">
        <v>50</v>
      </c>
      <c r="C3614" t="s">
        <v>5723</v>
      </c>
      <c r="D3614">
        <v>3</v>
      </c>
      <c r="E3614">
        <v>-0.78400000000000003</v>
      </c>
      <c r="F3614">
        <v>2</v>
      </c>
      <c r="G3614">
        <v>2024</v>
      </c>
      <c r="H3614" t="s">
        <v>928</v>
      </c>
      <c r="I3614" t="s">
        <v>6063</v>
      </c>
    </row>
    <row r="3615" spans="1:9" x14ac:dyDescent="0.4">
      <c r="A3615" t="s">
        <v>5509</v>
      </c>
      <c r="B3615">
        <v>50</v>
      </c>
      <c r="C3615" t="s">
        <v>5723</v>
      </c>
      <c r="D3615">
        <v>3</v>
      </c>
      <c r="E3615">
        <v>-0.78400000000000003</v>
      </c>
      <c r="F3615">
        <v>2</v>
      </c>
      <c r="G3615">
        <v>2024</v>
      </c>
      <c r="H3615" t="s">
        <v>928</v>
      </c>
      <c r="I3615" t="s">
        <v>6063</v>
      </c>
    </row>
    <row r="3616" spans="1:9" x14ac:dyDescent="0.4">
      <c r="A3616" t="s">
        <v>5517</v>
      </c>
      <c r="B3616">
        <v>50</v>
      </c>
      <c r="C3616" t="s">
        <v>5723</v>
      </c>
      <c r="D3616">
        <v>3</v>
      </c>
      <c r="E3616">
        <v>-0.78400000000000003</v>
      </c>
      <c r="F3616">
        <v>2</v>
      </c>
      <c r="G3616">
        <v>2024</v>
      </c>
      <c r="H3616" t="s">
        <v>928</v>
      </c>
      <c r="I3616" t="s">
        <v>6063</v>
      </c>
    </row>
    <row r="3617" spans="1:9" x14ac:dyDescent="0.4">
      <c r="A3617" t="s">
        <v>5539</v>
      </c>
      <c r="B3617">
        <v>75</v>
      </c>
      <c r="C3617" t="s">
        <v>5738</v>
      </c>
      <c r="D3617">
        <v>4</v>
      </c>
      <c r="E3617">
        <v>0.36899999999999999</v>
      </c>
      <c r="F3617">
        <v>3</v>
      </c>
      <c r="G3617">
        <v>2024</v>
      </c>
      <c r="H3617" t="s">
        <v>928</v>
      </c>
      <c r="I3617" t="s">
        <v>6063</v>
      </c>
    </row>
    <row r="3618" spans="1:9" x14ac:dyDescent="0.4">
      <c r="A3618" t="s">
        <v>5536</v>
      </c>
      <c r="B3618">
        <v>50</v>
      </c>
      <c r="C3618" t="s">
        <v>5723</v>
      </c>
      <c r="D3618">
        <v>3</v>
      </c>
      <c r="E3618">
        <v>-0.78400000000000003</v>
      </c>
      <c r="F3618">
        <v>2</v>
      </c>
      <c r="G3618">
        <v>2024</v>
      </c>
      <c r="H3618" t="s">
        <v>928</v>
      </c>
      <c r="I3618" t="s">
        <v>6063</v>
      </c>
    </row>
    <row r="3619" spans="1:9" x14ac:dyDescent="0.4">
      <c r="A3619" t="s">
        <v>5514</v>
      </c>
      <c r="B3619">
        <v>100</v>
      </c>
      <c r="C3619" t="s">
        <v>1380</v>
      </c>
      <c r="D3619">
        <v>5</v>
      </c>
      <c r="E3619">
        <v>1.522</v>
      </c>
      <c r="F3619">
        <v>4</v>
      </c>
      <c r="G3619">
        <v>2024</v>
      </c>
      <c r="H3619" t="s">
        <v>928</v>
      </c>
      <c r="I3619" t="s">
        <v>6063</v>
      </c>
    </row>
    <row r="3620" spans="1:9" x14ac:dyDescent="0.4">
      <c r="A3620" t="s">
        <v>5520</v>
      </c>
      <c r="B3620">
        <v>50</v>
      </c>
      <c r="C3620" t="s">
        <v>5723</v>
      </c>
      <c r="D3620">
        <v>3</v>
      </c>
      <c r="E3620">
        <v>-0.78400000000000003</v>
      </c>
      <c r="F3620">
        <v>2</v>
      </c>
      <c r="G3620">
        <v>2024</v>
      </c>
      <c r="H3620" t="s">
        <v>928</v>
      </c>
      <c r="I3620" t="s">
        <v>6063</v>
      </c>
    </row>
    <row r="3621" spans="1:9" x14ac:dyDescent="0.4">
      <c r="A3621" t="s">
        <v>5498</v>
      </c>
      <c r="B3621">
        <v>50</v>
      </c>
      <c r="C3621" t="s">
        <v>5723</v>
      </c>
      <c r="D3621">
        <v>3</v>
      </c>
      <c r="E3621">
        <v>-0.78400000000000003</v>
      </c>
      <c r="F3621">
        <v>2</v>
      </c>
      <c r="G3621">
        <v>2024</v>
      </c>
      <c r="H3621" t="s">
        <v>928</v>
      </c>
      <c r="I3621" t="s">
        <v>6063</v>
      </c>
    </row>
    <row r="3622" spans="1:9" x14ac:dyDescent="0.4">
      <c r="A3622" t="s">
        <v>5523</v>
      </c>
      <c r="B3622">
        <v>50</v>
      </c>
      <c r="C3622" t="s">
        <v>5723</v>
      </c>
      <c r="D3622">
        <v>3</v>
      </c>
      <c r="E3622">
        <v>-0.78400000000000003</v>
      </c>
      <c r="F3622">
        <v>2</v>
      </c>
      <c r="G3622">
        <v>2024</v>
      </c>
      <c r="H3622" t="s">
        <v>928</v>
      </c>
      <c r="I3622" t="s">
        <v>6063</v>
      </c>
    </row>
    <row r="3623" spans="1:9" x14ac:dyDescent="0.4">
      <c r="A3623" t="s">
        <v>5528</v>
      </c>
      <c r="B3623">
        <v>50</v>
      </c>
      <c r="C3623" t="s">
        <v>5723</v>
      </c>
      <c r="D3623">
        <v>3</v>
      </c>
      <c r="E3623">
        <v>-0.78400000000000003</v>
      </c>
      <c r="F3623">
        <v>2</v>
      </c>
      <c r="G3623">
        <v>2024</v>
      </c>
      <c r="H3623" t="s">
        <v>928</v>
      </c>
      <c r="I3623" t="s">
        <v>6063</v>
      </c>
    </row>
    <row r="3624" spans="1:9" x14ac:dyDescent="0.4">
      <c r="A3624" t="s">
        <v>5525</v>
      </c>
      <c r="B3624">
        <v>100</v>
      </c>
      <c r="C3624" t="s">
        <v>1380</v>
      </c>
      <c r="D3624">
        <v>5</v>
      </c>
      <c r="E3624">
        <v>1.522</v>
      </c>
      <c r="F3624">
        <v>4</v>
      </c>
      <c r="G3624">
        <v>2024</v>
      </c>
      <c r="H3624" t="s">
        <v>928</v>
      </c>
      <c r="I3624" t="s">
        <v>6063</v>
      </c>
    </row>
    <row r="3625" spans="1:9" x14ac:dyDescent="0.4">
      <c r="A3625" t="s">
        <v>5510</v>
      </c>
      <c r="B3625">
        <v>50</v>
      </c>
      <c r="C3625" t="s">
        <v>5723</v>
      </c>
      <c r="D3625">
        <v>3</v>
      </c>
      <c r="E3625">
        <v>-0.78400000000000003</v>
      </c>
      <c r="F3625">
        <v>2</v>
      </c>
      <c r="G3625">
        <v>2024</v>
      </c>
      <c r="H3625" t="s">
        <v>928</v>
      </c>
      <c r="I3625" t="s">
        <v>6063</v>
      </c>
    </row>
    <row r="3626" spans="1:9" x14ac:dyDescent="0.4">
      <c r="A3626" t="s">
        <v>5497</v>
      </c>
      <c r="B3626">
        <v>50</v>
      </c>
      <c r="C3626" t="s">
        <v>5723</v>
      </c>
      <c r="D3626">
        <v>3</v>
      </c>
      <c r="E3626">
        <v>-0.78400000000000003</v>
      </c>
      <c r="F3626">
        <v>2</v>
      </c>
      <c r="G3626">
        <v>2024</v>
      </c>
      <c r="H3626" t="s">
        <v>928</v>
      </c>
      <c r="I3626" t="s">
        <v>6063</v>
      </c>
    </row>
    <row r="3627" spans="1:9" x14ac:dyDescent="0.4">
      <c r="A3627" t="s">
        <v>5513</v>
      </c>
      <c r="B3627">
        <v>100</v>
      </c>
      <c r="C3627" t="s">
        <v>1380</v>
      </c>
      <c r="D3627">
        <v>5</v>
      </c>
      <c r="E3627">
        <v>1.522</v>
      </c>
      <c r="F3627">
        <v>4</v>
      </c>
      <c r="G3627">
        <v>2024</v>
      </c>
      <c r="H3627" t="s">
        <v>928</v>
      </c>
      <c r="I3627" t="s">
        <v>6063</v>
      </c>
    </row>
    <row r="3628" spans="1:9" x14ac:dyDescent="0.4">
      <c r="A3628" t="s">
        <v>5515</v>
      </c>
      <c r="B3628">
        <v>100</v>
      </c>
      <c r="C3628" t="s">
        <v>1380</v>
      </c>
      <c r="D3628">
        <v>5</v>
      </c>
      <c r="E3628">
        <v>1.522</v>
      </c>
      <c r="F3628">
        <v>4</v>
      </c>
      <c r="G3628">
        <v>2024</v>
      </c>
      <c r="H3628" t="s">
        <v>928</v>
      </c>
      <c r="I3628" t="s">
        <v>6063</v>
      </c>
    </row>
    <row r="3629" spans="1:9" x14ac:dyDescent="0.4">
      <c r="A3629" t="s">
        <v>5541</v>
      </c>
      <c r="B3629">
        <v>75</v>
      </c>
      <c r="C3629" t="s">
        <v>5738</v>
      </c>
      <c r="D3629">
        <v>4</v>
      </c>
      <c r="E3629">
        <v>0.36899999999999999</v>
      </c>
      <c r="F3629">
        <v>3</v>
      </c>
      <c r="G3629">
        <v>2024</v>
      </c>
      <c r="H3629" t="s">
        <v>928</v>
      </c>
      <c r="I3629" t="s">
        <v>6063</v>
      </c>
    </row>
    <row r="3630" spans="1:9" x14ac:dyDescent="0.4">
      <c r="A3630" t="s">
        <v>5538</v>
      </c>
      <c r="B3630">
        <v>75</v>
      </c>
      <c r="C3630" t="s">
        <v>5738</v>
      </c>
      <c r="D3630">
        <v>4</v>
      </c>
      <c r="E3630">
        <v>0.36899999999999999</v>
      </c>
      <c r="F3630">
        <v>3</v>
      </c>
      <c r="G3630">
        <v>2024</v>
      </c>
      <c r="H3630" t="s">
        <v>928</v>
      </c>
      <c r="I3630" t="s">
        <v>6063</v>
      </c>
    </row>
    <row r="3631" spans="1:9" x14ac:dyDescent="0.4">
      <c r="A3631" t="s">
        <v>5503</v>
      </c>
      <c r="B3631">
        <v>75</v>
      </c>
      <c r="C3631" t="s">
        <v>5738</v>
      </c>
      <c r="D3631">
        <v>4</v>
      </c>
      <c r="E3631">
        <v>0.36899999999999999</v>
      </c>
      <c r="F3631">
        <v>3</v>
      </c>
      <c r="G3631">
        <v>2024</v>
      </c>
      <c r="H3631" t="s">
        <v>928</v>
      </c>
      <c r="I3631" t="s">
        <v>6063</v>
      </c>
    </row>
    <row r="3632" spans="1:9" x14ac:dyDescent="0.4">
      <c r="A3632" t="s">
        <v>5516</v>
      </c>
      <c r="B3632">
        <v>100</v>
      </c>
      <c r="C3632" t="s">
        <v>1380</v>
      </c>
      <c r="D3632">
        <v>5</v>
      </c>
      <c r="E3632">
        <v>1.522</v>
      </c>
      <c r="F3632">
        <v>4</v>
      </c>
      <c r="G3632">
        <v>2024</v>
      </c>
      <c r="H3632" t="s">
        <v>928</v>
      </c>
      <c r="I3632" t="s">
        <v>6063</v>
      </c>
    </row>
    <row r="3633" spans="1:9" x14ac:dyDescent="0.4">
      <c r="A3633" t="s">
        <v>5524</v>
      </c>
      <c r="B3633">
        <v>100</v>
      </c>
      <c r="C3633" t="s">
        <v>1380</v>
      </c>
      <c r="D3633">
        <v>5</v>
      </c>
      <c r="E3633">
        <v>1.522</v>
      </c>
      <c r="F3633">
        <v>4</v>
      </c>
      <c r="G3633">
        <v>2024</v>
      </c>
      <c r="H3633" t="s">
        <v>928</v>
      </c>
      <c r="I3633" t="s">
        <v>6063</v>
      </c>
    </row>
    <row r="3634" spans="1:9" x14ac:dyDescent="0.4">
      <c r="A3634" t="s">
        <v>5500</v>
      </c>
      <c r="B3634">
        <v>50</v>
      </c>
      <c r="C3634" t="s">
        <v>5723</v>
      </c>
      <c r="D3634">
        <v>3</v>
      </c>
      <c r="E3634">
        <v>-0.78400000000000003</v>
      </c>
      <c r="F3634">
        <v>2</v>
      </c>
      <c r="G3634">
        <v>2024</v>
      </c>
      <c r="H3634" t="s">
        <v>928</v>
      </c>
      <c r="I3634" t="s">
        <v>6063</v>
      </c>
    </row>
    <row r="3635" spans="1:9" x14ac:dyDescent="0.4">
      <c r="A3635" t="s">
        <v>5932</v>
      </c>
      <c r="B3635">
        <v>50</v>
      </c>
      <c r="C3635" t="s">
        <v>5723</v>
      </c>
      <c r="D3635">
        <v>3</v>
      </c>
      <c r="E3635">
        <v>-0.78400000000000003</v>
      </c>
      <c r="F3635">
        <v>2</v>
      </c>
      <c r="G3635">
        <v>2024</v>
      </c>
      <c r="H3635" t="s">
        <v>928</v>
      </c>
      <c r="I3635" t="s">
        <v>6063</v>
      </c>
    </row>
    <row r="3636" spans="1:9" x14ac:dyDescent="0.4">
      <c r="A3636" t="s">
        <v>5531</v>
      </c>
      <c r="B3636">
        <v>50</v>
      </c>
      <c r="C3636" t="s">
        <v>5723</v>
      </c>
      <c r="D3636">
        <v>3</v>
      </c>
      <c r="E3636">
        <v>-0.78400000000000003</v>
      </c>
      <c r="F3636">
        <v>2</v>
      </c>
      <c r="G3636">
        <v>2024</v>
      </c>
      <c r="H3636" t="s">
        <v>928</v>
      </c>
      <c r="I3636" t="s">
        <v>6063</v>
      </c>
    </row>
    <row r="3637" spans="1:9" x14ac:dyDescent="0.4">
      <c r="A3637" t="s">
        <v>5933</v>
      </c>
      <c r="B3637">
        <v>75</v>
      </c>
      <c r="C3637" t="s">
        <v>5738</v>
      </c>
      <c r="D3637">
        <v>4</v>
      </c>
      <c r="E3637">
        <v>0.36899999999999999</v>
      </c>
      <c r="F3637">
        <v>3</v>
      </c>
      <c r="G3637">
        <v>2024</v>
      </c>
      <c r="H3637" t="s">
        <v>928</v>
      </c>
      <c r="I3637" t="s">
        <v>6063</v>
      </c>
    </row>
    <row r="3638" spans="1:9" x14ac:dyDescent="0.4">
      <c r="A3638" t="s">
        <v>5542</v>
      </c>
      <c r="B3638">
        <v>75</v>
      </c>
      <c r="C3638" t="s">
        <v>5738</v>
      </c>
      <c r="D3638">
        <v>4</v>
      </c>
      <c r="E3638">
        <v>0.36899999999999999</v>
      </c>
      <c r="F3638">
        <v>3</v>
      </c>
      <c r="G3638">
        <v>2024</v>
      </c>
      <c r="H3638" t="s">
        <v>928</v>
      </c>
      <c r="I3638" t="s">
        <v>6063</v>
      </c>
    </row>
    <row r="3639" spans="1:9" x14ac:dyDescent="0.4">
      <c r="A3639" t="s">
        <v>5507</v>
      </c>
      <c r="B3639">
        <v>75</v>
      </c>
      <c r="C3639" t="s">
        <v>5738</v>
      </c>
      <c r="D3639">
        <v>4</v>
      </c>
      <c r="E3639">
        <v>0.36899999999999999</v>
      </c>
      <c r="F3639">
        <v>3</v>
      </c>
      <c r="G3639">
        <v>2024</v>
      </c>
      <c r="H3639" t="s">
        <v>928</v>
      </c>
      <c r="I3639" t="s">
        <v>6063</v>
      </c>
    </row>
    <row r="3640" spans="1:9" x14ac:dyDescent="0.4">
      <c r="A3640" t="s">
        <v>5512</v>
      </c>
      <c r="B3640">
        <v>50</v>
      </c>
      <c r="C3640" t="s">
        <v>5723</v>
      </c>
      <c r="D3640">
        <v>3</v>
      </c>
      <c r="E3640">
        <v>-0.78400000000000003</v>
      </c>
      <c r="F3640">
        <v>2</v>
      </c>
      <c r="G3640">
        <v>2024</v>
      </c>
      <c r="H3640" t="s">
        <v>928</v>
      </c>
      <c r="I3640" t="s">
        <v>6063</v>
      </c>
    </row>
    <row r="3641" spans="1:9" x14ac:dyDescent="0.4">
      <c r="A3641" t="s">
        <v>5505</v>
      </c>
      <c r="B3641">
        <v>50</v>
      </c>
      <c r="C3641" t="s">
        <v>5723</v>
      </c>
      <c r="D3641">
        <v>3</v>
      </c>
      <c r="E3641">
        <v>-0.78400000000000003</v>
      </c>
      <c r="F3641">
        <v>2</v>
      </c>
      <c r="G3641">
        <v>2024</v>
      </c>
      <c r="H3641" t="s">
        <v>928</v>
      </c>
      <c r="I3641" t="s">
        <v>6063</v>
      </c>
    </row>
    <row r="3642" spans="1:9" x14ac:dyDescent="0.4">
      <c r="A3642" t="s">
        <v>5934</v>
      </c>
      <c r="B3642">
        <v>50</v>
      </c>
      <c r="C3642" t="s">
        <v>5723</v>
      </c>
      <c r="D3642">
        <v>3</v>
      </c>
      <c r="E3642">
        <v>-0.78400000000000003</v>
      </c>
      <c r="F3642">
        <v>2</v>
      </c>
      <c r="G3642">
        <v>2024</v>
      </c>
      <c r="H3642" t="s">
        <v>928</v>
      </c>
      <c r="I3642" t="s">
        <v>6063</v>
      </c>
    </row>
    <row r="3643" spans="1:9" x14ac:dyDescent="0.4">
      <c r="A3643" t="s">
        <v>5532</v>
      </c>
      <c r="B3643">
        <v>50</v>
      </c>
      <c r="C3643" t="s">
        <v>5723</v>
      </c>
      <c r="D3643">
        <v>3</v>
      </c>
      <c r="E3643">
        <v>-0.78400000000000003</v>
      </c>
      <c r="F3643">
        <v>2</v>
      </c>
      <c r="G3643">
        <v>2024</v>
      </c>
      <c r="H3643" t="s">
        <v>928</v>
      </c>
      <c r="I3643" t="s">
        <v>6063</v>
      </c>
    </row>
    <row r="3644" spans="1:9" x14ac:dyDescent="0.4">
      <c r="A3644" t="s">
        <v>5533</v>
      </c>
      <c r="B3644">
        <v>50</v>
      </c>
      <c r="C3644" t="s">
        <v>5723</v>
      </c>
      <c r="D3644">
        <v>3</v>
      </c>
      <c r="E3644">
        <v>-0.78400000000000003</v>
      </c>
      <c r="F3644">
        <v>2</v>
      </c>
      <c r="G3644">
        <v>2024</v>
      </c>
      <c r="H3644" t="s">
        <v>928</v>
      </c>
      <c r="I3644" t="s">
        <v>6063</v>
      </c>
    </row>
    <row r="3645" spans="1:9" x14ac:dyDescent="0.4">
      <c r="A3645" t="s">
        <v>5529</v>
      </c>
      <c r="B3645">
        <v>50</v>
      </c>
      <c r="C3645" t="s">
        <v>5723</v>
      </c>
      <c r="D3645">
        <v>3</v>
      </c>
      <c r="E3645">
        <v>-0.78400000000000003</v>
      </c>
      <c r="F3645">
        <v>2</v>
      </c>
      <c r="G3645">
        <v>2024</v>
      </c>
      <c r="H3645" t="s">
        <v>928</v>
      </c>
      <c r="I3645" t="s">
        <v>6063</v>
      </c>
    </row>
    <row r="3646" spans="1:9" x14ac:dyDescent="0.4">
      <c r="A3646" t="s">
        <v>5537</v>
      </c>
      <c r="B3646">
        <v>75</v>
      </c>
      <c r="C3646" t="s">
        <v>5738</v>
      </c>
      <c r="D3646">
        <v>4</v>
      </c>
      <c r="E3646">
        <v>0.36899999999999999</v>
      </c>
      <c r="F3646">
        <v>3</v>
      </c>
      <c r="G3646">
        <v>2024</v>
      </c>
      <c r="H3646" t="s">
        <v>928</v>
      </c>
      <c r="I3646" t="s">
        <v>6063</v>
      </c>
    </row>
    <row r="3647" spans="1:9" x14ac:dyDescent="0.4">
      <c r="A3647" t="s">
        <v>5530</v>
      </c>
      <c r="B3647">
        <v>50</v>
      </c>
      <c r="C3647" t="s">
        <v>5723</v>
      </c>
      <c r="D3647">
        <v>3</v>
      </c>
      <c r="E3647">
        <v>-0.78400000000000003</v>
      </c>
      <c r="F3647">
        <v>2</v>
      </c>
      <c r="G3647">
        <v>2024</v>
      </c>
      <c r="H3647" t="s">
        <v>928</v>
      </c>
      <c r="I3647" t="s">
        <v>6063</v>
      </c>
    </row>
    <row r="3648" spans="1:9" x14ac:dyDescent="0.4">
      <c r="A3648" t="s">
        <v>5502</v>
      </c>
      <c r="B3648">
        <v>100</v>
      </c>
      <c r="C3648" t="s">
        <v>1380</v>
      </c>
      <c r="D3648">
        <v>5</v>
      </c>
      <c r="E3648">
        <v>1.522</v>
      </c>
      <c r="F3648">
        <v>4</v>
      </c>
      <c r="G3648">
        <v>2024</v>
      </c>
      <c r="H3648" t="s">
        <v>928</v>
      </c>
      <c r="I3648" t="s">
        <v>6063</v>
      </c>
    </row>
    <row r="3649" spans="1:11" x14ac:dyDescent="0.4">
      <c r="A3649" t="s">
        <v>5519</v>
      </c>
      <c r="B3649">
        <v>50</v>
      </c>
      <c r="C3649" t="s">
        <v>5723</v>
      </c>
      <c r="D3649">
        <v>3</v>
      </c>
      <c r="E3649">
        <v>-0.78400000000000003</v>
      </c>
      <c r="F3649">
        <v>2</v>
      </c>
      <c r="G3649">
        <v>2024</v>
      </c>
      <c r="H3649" t="s">
        <v>928</v>
      </c>
      <c r="I3649" t="s">
        <v>6063</v>
      </c>
    </row>
    <row r="3650" spans="1:11" x14ac:dyDescent="0.4">
      <c r="A3650" t="s">
        <v>5535</v>
      </c>
      <c r="B3650">
        <v>50</v>
      </c>
      <c r="C3650" t="s">
        <v>5723</v>
      </c>
      <c r="D3650">
        <v>3</v>
      </c>
      <c r="E3650">
        <v>-0.78400000000000003</v>
      </c>
      <c r="F3650">
        <v>2</v>
      </c>
      <c r="G3650">
        <v>2024</v>
      </c>
      <c r="H3650" t="s">
        <v>928</v>
      </c>
      <c r="I3650" t="s">
        <v>6063</v>
      </c>
    </row>
    <row r="3651" spans="1:11" x14ac:dyDescent="0.4">
      <c r="A3651" t="s">
        <v>5521</v>
      </c>
      <c r="B3651">
        <v>50</v>
      </c>
      <c r="C3651" t="s">
        <v>5723</v>
      </c>
      <c r="D3651">
        <v>3</v>
      </c>
      <c r="E3651">
        <v>-0.78400000000000003</v>
      </c>
      <c r="F3651">
        <v>2</v>
      </c>
      <c r="G3651">
        <v>2024</v>
      </c>
      <c r="H3651" t="s">
        <v>928</v>
      </c>
      <c r="I3651" t="s">
        <v>6063</v>
      </c>
    </row>
    <row r="3652" spans="1:11" x14ac:dyDescent="0.4">
      <c r="A3652" t="s">
        <v>5543</v>
      </c>
      <c r="B3652">
        <v>67</v>
      </c>
      <c r="C3652" t="s">
        <v>197</v>
      </c>
      <c r="D3652">
        <v>4</v>
      </c>
    </row>
    <row r="3653" spans="1:11" x14ac:dyDescent="0.4">
      <c r="A3653" t="s">
        <v>5544</v>
      </c>
      <c r="B3653">
        <v>50</v>
      </c>
      <c r="C3653" t="s">
        <v>197</v>
      </c>
      <c r="D3653">
        <v>3</v>
      </c>
    </row>
    <row r="3654" spans="1:11" x14ac:dyDescent="0.4">
      <c r="A3654" t="s">
        <v>5545</v>
      </c>
      <c r="B3654">
        <v>64.3</v>
      </c>
      <c r="C3654" t="s">
        <v>197</v>
      </c>
      <c r="D3654">
        <v>4</v>
      </c>
    </row>
    <row r="3655" spans="1:11" x14ac:dyDescent="0.4">
      <c r="A3655" t="s">
        <v>5546</v>
      </c>
      <c r="B3655">
        <v>56.3</v>
      </c>
      <c r="C3655" t="s">
        <v>197</v>
      </c>
      <c r="D3655">
        <v>3</v>
      </c>
    </row>
    <row r="3656" spans="1:11" x14ac:dyDescent="0.4">
      <c r="A3656" t="s">
        <v>5547</v>
      </c>
      <c r="B3656">
        <v>80</v>
      </c>
      <c r="C3656" t="s">
        <v>197</v>
      </c>
      <c r="D3656">
        <v>5</v>
      </c>
    </row>
    <row r="3657" spans="1:11" x14ac:dyDescent="0.4">
      <c r="A3657" t="s">
        <v>5548</v>
      </c>
      <c r="B3657">
        <v>75</v>
      </c>
      <c r="C3657" t="s">
        <v>197</v>
      </c>
      <c r="D3657">
        <v>4</v>
      </c>
    </row>
    <row r="3658" spans="1:11" x14ac:dyDescent="0.4">
      <c r="A3658" t="s">
        <v>5549</v>
      </c>
      <c r="B3658">
        <v>62.5</v>
      </c>
      <c r="C3658" t="s">
        <v>197</v>
      </c>
      <c r="D3658">
        <v>4</v>
      </c>
    </row>
    <row r="3659" spans="1:11" x14ac:dyDescent="0.4">
      <c r="A3659" t="s">
        <v>7435</v>
      </c>
      <c r="B3659">
        <v>67.2</v>
      </c>
      <c r="C3659" t="s">
        <v>197</v>
      </c>
      <c r="D3659">
        <v>4</v>
      </c>
    </row>
    <row r="3660" spans="1:11" x14ac:dyDescent="0.4">
      <c r="A3660" t="s">
        <v>7436</v>
      </c>
      <c r="B3660">
        <v>68.2</v>
      </c>
      <c r="C3660" t="s">
        <v>197</v>
      </c>
      <c r="D3660">
        <v>4</v>
      </c>
    </row>
    <row r="3661" spans="1:11" x14ac:dyDescent="0.4">
      <c r="A3661" t="s">
        <v>7437</v>
      </c>
      <c r="B3661">
        <v>66.3</v>
      </c>
      <c r="C3661" t="s">
        <v>197</v>
      </c>
      <c r="D3661">
        <v>4</v>
      </c>
    </row>
    <row r="3662" spans="1:11" x14ac:dyDescent="0.4">
      <c r="A3662" t="s">
        <v>5554</v>
      </c>
      <c r="B3662">
        <v>66.7</v>
      </c>
      <c r="C3662" t="s">
        <v>5725</v>
      </c>
      <c r="D3662">
        <v>4</v>
      </c>
      <c r="E3662">
        <v>-0.78200000000000003</v>
      </c>
      <c r="F3662">
        <v>2</v>
      </c>
      <c r="G3662">
        <v>2024</v>
      </c>
      <c r="H3662" t="s">
        <v>928</v>
      </c>
      <c r="I3662" t="s">
        <v>6063</v>
      </c>
      <c r="J3662" t="s">
        <v>8873</v>
      </c>
      <c r="K3662" t="s">
        <v>9694</v>
      </c>
    </row>
    <row r="3663" spans="1:11" x14ac:dyDescent="0.4">
      <c r="A3663" t="s">
        <v>5552</v>
      </c>
      <c r="B3663">
        <v>66.7</v>
      </c>
      <c r="C3663" t="s">
        <v>5725</v>
      </c>
      <c r="D3663">
        <v>4</v>
      </c>
      <c r="E3663">
        <v>-0.78200000000000003</v>
      </c>
      <c r="F3663">
        <v>2</v>
      </c>
      <c r="G3663">
        <v>2024</v>
      </c>
      <c r="H3663" t="s">
        <v>928</v>
      </c>
      <c r="I3663" t="s">
        <v>6063</v>
      </c>
      <c r="J3663" t="s">
        <v>8874</v>
      </c>
      <c r="K3663" t="s">
        <v>9695</v>
      </c>
    </row>
    <row r="3664" spans="1:11" x14ac:dyDescent="0.4">
      <c r="A3664" t="s">
        <v>5559</v>
      </c>
      <c r="B3664">
        <v>66.7</v>
      </c>
      <c r="C3664" t="s">
        <v>5725</v>
      </c>
      <c r="D3664">
        <v>4</v>
      </c>
      <c r="E3664">
        <v>-0.78200000000000003</v>
      </c>
      <c r="F3664">
        <v>2</v>
      </c>
      <c r="G3664">
        <v>2024</v>
      </c>
      <c r="H3664" t="s">
        <v>928</v>
      </c>
      <c r="I3664" t="s">
        <v>6063</v>
      </c>
      <c r="J3664" t="s">
        <v>8875</v>
      </c>
      <c r="K3664" t="s">
        <v>9696</v>
      </c>
    </row>
    <row r="3665" spans="1:11" x14ac:dyDescent="0.4">
      <c r="A3665" t="s">
        <v>5593</v>
      </c>
      <c r="B3665">
        <v>66.7</v>
      </c>
      <c r="C3665" t="s">
        <v>5725</v>
      </c>
      <c r="D3665">
        <v>4</v>
      </c>
      <c r="E3665">
        <v>-0.78200000000000003</v>
      </c>
      <c r="F3665">
        <v>2</v>
      </c>
      <c r="G3665">
        <v>2024</v>
      </c>
      <c r="H3665" t="s">
        <v>928</v>
      </c>
      <c r="I3665" t="s">
        <v>6063</v>
      </c>
      <c r="J3665" t="s">
        <v>8876</v>
      </c>
      <c r="K3665" t="s">
        <v>9697</v>
      </c>
    </row>
    <row r="3666" spans="1:11" x14ac:dyDescent="0.4">
      <c r="A3666" t="s">
        <v>5575</v>
      </c>
      <c r="B3666">
        <v>100</v>
      </c>
      <c r="C3666" t="s">
        <v>1380</v>
      </c>
      <c r="D3666">
        <v>5</v>
      </c>
      <c r="E3666">
        <v>0.84499999999999997</v>
      </c>
      <c r="F3666">
        <v>3</v>
      </c>
      <c r="G3666">
        <v>2024</v>
      </c>
      <c r="H3666" t="s">
        <v>928</v>
      </c>
      <c r="I3666" t="s">
        <v>6063</v>
      </c>
      <c r="J3666" t="s">
        <v>8877</v>
      </c>
      <c r="K3666" t="s">
        <v>9698</v>
      </c>
    </row>
    <row r="3667" spans="1:11" x14ac:dyDescent="0.4">
      <c r="A3667" t="s">
        <v>5587</v>
      </c>
      <c r="B3667">
        <v>66.7</v>
      </c>
      <c r="C3667" t="s">
        <v>5725</v>
      </c>
      <c r="D3667">
        <v>4</v>
      </c>
      <c r="E3667">
        <v>-0.78200000000000003</v>
      </c>
      <c r="F3667">
        <v>2</v>
      </c>
      <c r="G3667">
        <v>2024</v>
      </c>
      <c r="H3667" t="s">
        <v>928</v>
      </c>
      <c r="I3667" t="s">
        <v>6063</v>
      </c>
      <c r="J3667" t="s">
        <v>8878</v>
      </c>
      <c r="K3667" t="s">
        <v>9699</v>
      </c>
    </row>
    <row r="3668" spans="1:11" x14ac:dyDescent="0.4">
      <c r="A3668" t="s">
        <v>5564</v>
      </c>
      <c r="B3668">
        <v>100</v>
      </c>
      <c r="C3668" t="s">
        <v>1380</v>
      </c>
      <c r="D3668">
        <v>5</v>
      </c>
      <c r="E3668">
        <v>0.84499999999999997</v>
      </c>
      <c r="F3668">
        <v>3</v>
      </c>
      <c r="G3668">
        <v>2024</v>
      </c>
      <c r="H3668" t="s">
        <v>928</v>
      </c>
      <c r="I3668" t="s">
        <v>6063</v>
      </c>
      <c r="J3668" t="s">
        <v>8879</v>
      </c>
      <c r="K3668" t="s">
        <v>9700</v>
      </c>
    </row>
    <row r="3669" spans="1:11" x14ac:dyDescent="0.4">
      <c r="A3669" t="s">
        <v>5557</v>
      </c>
      <c r="B3669">
        <v>100</v>
      </c>
      <c r="C3669" t="s">
        <v>1380</v>
      </c>
      <c r="D3669">
        <v>5</v>
      </c>
      <c r="E3669">
        <v>0.84499999999999997</v>
      </c>
      <c r="F3669">
        <v>3</v>
      </c>
      <c r="G3669">
        <v>2024</v>
      </c>
      <c r="H3669" t="s">
        <v>928</v>
      </c>
      <c r="I3669" t="s">
        <v>6063</v>
      </c>
      <c r="J3669" t="s">
        <v>8880</v>
      </c>
      <c r="K3669" t="s">
        <v>9701</v>
      </c>
    </row>
    <row r="3670" spans="1:11" x14ac:dyDescent="0.4">
      <c r="A3670" t="s">
        <v>5571</v>
      </c>
      <c r="B3670">
        <v>100</v>
      </c>
      <c r="C3670" t="s">
        <v>1380</v>
      </c>
      <c r="D3670">
        <v>5</v>
      </c>
      <c r="E3670">
        <v>0.84499999999999997</v>
      </c>
      <c r="F3670">
        <v>3</v>
      </c>
      <c r="G3670">
        <v>2024</v>
      </c>
      <c r="H3670" t="s">
        <v>928</v>
      </c>
      <c r="I3670" t="s">
        <v>6063</v>
      </c>
      <c r="J3670" t="s">
        <v>8881</v>
      </c>
      <c r="K3670" t="s">
        <v>9702</v>
      </c>
    </row>
    <row r="3671" spans="1:11" x14ac:dyDescent="0.4">
      <c r="A3671" t="s">
        <v>5561</v>
      </c>
      <c r="B3671">
        <v>66.7</v>
      </c>
      <c r="C3671" t="s">
        <v>5725</v>
      </c>
      <c r="D3671">
        <v>4</v>
      </c>
      <c r="E3671">
        <v>-0.78200000000000003</v>
      </c>
      <c r="F3671">
        <v>2</v>
      </c>
      <c r="G3671">
        <v>2024</v>
      </c>
      <c r="H3671" t="s">
        <v>928</v>
      </c>
      <c r="I3671" t="s">
        <v>6063</v>
      </c>
      <c r="J3671" t="s">
        <v>8882</v>
      </c>
      <c r="K3671" t="s">
        <v>9703</v>
      </c>
    </row>
    <row r="3672" spans="1:11" x14ac:dyDescent="0.4">
      <c r="A3672" t="s">
        <v>6009</v>
      </c>
      <c r="B3672">
        <v>66.7</v>
      </c>
      <c r="C3672" t="s">
        <v>5725</v>
      </c>
      <c r="D3672">
        <v>4</v>
      </c>
      <c r="E3672">
        <v>-0.78200000000000003</v>
      </c>
      <c r="F3672">
        <v>2</v>
      </c>
      <c r="G3672">
        <v>2024</v>
      </c>
      <c r="H3672" t="s">
        <v>928</v>
      </c>
      <c r="I3672" t="s">
        <v>6063</v>
      </c>
      <c r="J3672" t="s">
        <v>8883</v>
      </c>
      <c r="K3672" t="s">
        <v>9704</v>
      </c>
    </row>
    <row r="3673" spans="1:11" x14ac:dyDescent="0.4">
      <c r="A3673" t="s">
        <v>5579</v>
      </c>
      <c r="B3673">
        <v>100</v>
      </c>
      <c r="C3673" t="s">
        <v>1380</v>
      </c>
      <c r="D3673">
        <v>5</v>
      </c>
      <c r="E3673">
        <v>0.84499999999999997</v>
      </c>
      <c r="F3673">
        <v>3</v>
      </c>
      <c r="G3673">
        <v>2024</v>
      </c>
      <c r="H3673" t="s">
        <v>928</v>
      </c>
      <c r="I3673" t="s">
        <v>6063</v>
      </c>
      <c r="J3673" t="s">
        <v>8884</v>
      </c>
      <c r="K3673" t="s">
        <v>9705</v>
      </c>
    </row>
    <row r="3674" spans="1:11" x14ac:dyDescent="0.4">
      <c r="A3674" t="s">
        <v>5580</v>
      </c>
      <c r="B3674">
        <v>66.7</v>
      </c>
      <c r="C3674" t="s">
        <v>5725</v>
      </c>
      <c r="D3674">
        <v>4</v>
      </c>
      <c r="E3674">
        <v>-0.78200000000000003</v>
      </c>
      <c r="F3674">
        <v>2</v>
      </c>
      <c r="G3674">
        <v>2024</v>
      </c>
      <c r="H3674" t="s">
        <v>928</v>
      </c>
      <c r="I3674" t="s">
        <v>6063</v>
      </c>
      <c r="J3674" t="s">
        <v>8885</v>
      </c>
      <c r="K3674" t="s">
        <v>9706</v>
      </c>
    </row>
    <row r="3675" spans="1:11" x14ac:dyDescent="0.4">
      <c r="A3675" t="s">
        <v>5562</v>
      </c>
      <c r="B3675">
        <v>100</v>
      </c>
      <c r="C3675" t="s">
        <v>1380</v>
      </c>
      <c r="D3675">
        <v>5</v>
      </c>
      <c r="E3675">
        <v>0.84499999999999997</v>
      </c>
      <c r="F3675">
        <v>3</v>
      </c>
      <c r="G3675">
        <v>2024</v>
      </c>
      <c r="H3675" t="s">
        <v>928</v>
      </c>
      <c r="I3675" t="s">
        <v>6063</v>
      </c>
      <c r="J3675" t="s">
        <v>6605</v>
      </c>
      <c r="K3675" t="s">
        <v>9707</v>
      </c>
    </row>
    <row r="3676" spans="1:11" x14ac:dyDescent="0.4">
      <c r="A3676" t="s">
        <v>5570</v>
      </c>
      <c r="B3676">
        <v>100</v>
      </c>
      <c r="C3676" t="s">
        <v>1380</v>
      </c>
      <c r="D3676">
        <v>5</v>
      </c>
      <c r="E3676">
        <v>0.84499999999999997</v>
      </c>
      <c r="F3676">
        <v>3</v>
      </c>
      <c r="G3676">
        <v>2024</v>
      </c>
      <c r="H3676" t="s">
        <v>928</v>
      </c>
      <c r="I3676" t="s">
        <v>6063</v>
      </c>
      <c r="J3676" t="s">
        <v>8886</v>
      </c>
      <c r="K3676" t="s">
        <v>9708</v>
      </c>
    </row>
    <row r="3677" spans="1:11" x14ac:dyDescent="0.4">
      <c r="A3677" t="s">
        <v>5592</v>
      </c>
      <c r="B3677">
        <v>100</v>
      </c>
      <c r="C3677" t="s">
        <v>1380</v>
      </c>
      <c r="D3677">
        <v>5</v>
      </c>
      <c r="E3677">
        <v>0.84499999999999997</v>
      </c>
      <c r="F3677">
        <v>3</v>
      </c>
      <c r="G3677">
        <v>2024</v>
      </c>
      <c r="H3677" t="s">
        <v>928</v>
      </c>
      <c r="I3677" t="s">
        <v>6063</v>
      </c>
      <c r="J3677" t="s">
        <v>8887</v>
      </c>
      <c r="K3677" t="s">
        <v>9709</v>
      </c>
    </row>
    <row r="3678" spans="1:11" x14ac:dyDescent="0.4">
      <c r="A3678" t="s">
        <v>5589</v>
      </c>
      <c r="B3678">
        <v>66.7</v>
      </c>
      <c r="C3678" t="s">
        <v>5725</v>
      </c>
      <c r="D3678">
        <v>4</v>
      </c>
      <c r="E3678">
        <v>-0.78200000000000003</v>
      </c>
      <c r="F3678">
        <v>2</v>
      </c>
      <c r="G3678">
        <v>2024</v>
      </c>
      <c r="H3678" t="s">
        <v>928</v>
      </c>
      <c r="I3678" t="s">
        <v>6063</v>
      </c>
      <c r="J3678" t="s">
        <v>8888</v>
      </c>
      <c r="K3678" t="s">
        <v>9710</v>
      </c>
    </row>
    <row r="3679" spans="1:11" x14ac:dyDescent="0.4">
      <c r="A3679" t="s">
        <v>5567</v>
      </c>
      <c r="B3679">
        <v>100</v>
      </c>
      <c r="C3679" t="s">
        <v>1380</v>
      </c>
      <c r="D3679">
        <v>5</v>
      </c>
      <c r="E3679">
        <v>0.84499999999999997</v>
      </c>
      <c r="F3679">
        <v>3</v>
      </c>
      <c r="G3679">
        <v>2024</v>
      </c>
      <c r="H3679" t="s">
        <v>928</v>
      </c>
      <c r="I3679" t="s">
        <v>6063</v>
      </c>
      <c r="J3679" t="s">
        <v>8889</v>
      </c>
      <c r="K3679" t="s">
        <v>9711</v>
      </c>
    </row>
    <row r="3680" spans="1:11" x14ac:dyDescent="0.4">
      <c r="A3680" t="s">
        <v>5573</v>
      </c>
      <c r="B3680">
        <v>100</v>
      </c>
      <c r="C3680" t="s">
        <v>1380</v>
      </c>
      <c r="D3680">
        <v>5</v>
      </c>
      <c r="E3680">
        <v>0.84499999999999997</v>
      </c>
      <c r="F3680">
        <v>3</v>
      </c>
      <c r="G3680">
        <v>2024</v>
      </c>
      <c r="H3680" t="s">
        <v>928</v>
      </c>
      <c r="I3680" t="s">
        <v>6063</v>
      </c>
      <c r="J3680" t="s">
        <v>8890</v>
      </c>
      <c r="K3680" t="s">
        <v>9712</v>
      </c>
    </row>
    <row r="3681" spans="1:11" x14ac:dyDescent="0.4">
      <c r="A3681" t="s">
        <v>5551</v>
      </c>
      <c r="B3681">
        <v>66.7</v>
      </c>
      <c r="C3681" t="s">
        <v>5725</v>
      </c>
      <c r="D3681">
        <v>4</v>
      </c>
      <c r="E3681">
        <v>-0.78200000000000003</v>
      </c>
      <c r="F3681">
        <v>2</v>
      </c>
      <c r="G3681">
        <v>2024</v>
      </c>
      <c r="H3681" t="s">
        <v>928</v>
      </c>
      <c r="I3681" t="s">
        <v>6063</v>
      </c>
      <c r="J3681" t="s">
        <v>8891</v>
      </c>
      <c r="K3681" t="s">
        <v>9713</v>
      </c>
    </row>
    <row r="3682" spans="1:11" x14ac:dyDescent="0.4">
      <c r="A3682" t="s">
        <v>5576</v>
      </c>
      <c r="B3682">
        <v>100</v>
      </c>
      <c r="C3682" t="s">
        <v>1380</v>
      </c>
      <c r="D3682">
        <v>5</v>
      </c>
      <c r="E3682">
        <v>0.84499999999999997</v>
      </c>
      <c r="F3682">
        <v>3</v>
      </c>
      <c r="G3682">
        <v>2024</v>
      </c>
      <c r="H3682" t="s">
        <v>928</v>
      </c>
      <c r="I3682" t="s">
        <v>6063</v>
      </c>
      <c r="J3682" t="s">
        <v>8892</v>
      </c>
      <c r="K3682" t="s">
        <v>9714</v>
      </c>
    </row>
    <row r="3683" spans="1:11" x14ac:dyDescent="0.4">
      <c r="A3683" t="s">
        <v>5581</v>
      </c>
      <c r="B3683">
        <v>33.299999999999997</v>
      </c>
      <c r="C3683" t="s">
        <v>6042</v>
      </c>
      <c r="D3683">
        <v>2</v>
      </c>
      <c r="E3683">
        <v>-2.4140000000000001</v>
      </c>
      <c r="F3683">
        <v>1</v>
      </c>
      <c r="G3683">
        <v>2024</v>
      </c>
      <c r="H3683" t="s">
        <v>928</v>
      </c>
      <c r="I3683" t="s">
        <v>6063</v>
      </c>
      <c r="J3683" t="s">
        <v>8893</v>
      </c>
      <c r="K3683" t="s">
        <v>9715</v>
      </c>
    </row>
    <row r="3684" spans="1:11" x14ac:dyDescent="0.4">
      <c r="A3684" t="s">
        <v>5578</v>
      </c>
      <c r="B3684">
        <v>100</v>
      </c>
      <c r="C3684" t="s">
        <v>1380</v>
      </c>
      <c r="D3684">
        <v>5</v>
      </c>
      <c r="E3684">
        <v>0.84499999999999997</v>
      </c>
      <c r="F3684">
        <v>3</v>
      </c>
      <c r="G3684">
        <v>2024</v>
      </c>
      <c r="H3684" t="s">
        <v>928</v>
      </c>
      <c r="I3684" t="s">
        <v>6063</v>
      </c>
      <c r="J3684" t="s">
        <v>8894</v>
      </c>
      <c r="K3684" t="s">
        <v>9716</v>
      </c>
    </row>
    <row r="3685" spans="1:11" x14ac:dyDescent="0.4">
      <c r="A3685" t="s">
        <v>5563</v>
      </c>
      <c r="B3685">
        <v>100</v>
      </c>
      <c r="C3685" t="s">
        <v>1380</v>
      </c>
      <c r="D3685">
        <v>5</v>
      </c>
      <c r="E3685">
        <v>0.84499999999999997</v>
      </c>
      <c r="F3685">
        <v>3</v>
      </c>
      <c r="G3685">
        <v>2024</v>
      </c>
      <c r="H3685" t="s">
        <v>928</v>
      </c>
      <c r="I3685" t="s">
        <v>6063</v>
      </c>
      <c r="J3685" t="s">
        <v>8895</v>
      </c>
      <c r="K3685" t="s">
        <v>9717</v>
      </c>
    </row>
    <row r="3686" spans="1:11" x14ac:dyDescent="0.4">
      <c r="A3686" t="s">
        <v>5550</v>
      </c>
      <c r="B3686">
        <v>33.299999999999997</v>
      </c>
      <c r="C3686" t="s">
        <v>6042</v>
      </c>
      <c r="D3686">
        <v>2</v>
      </c>
      <c r="E3686">
        <v>-2.4140000000000001</v>
      </c>
      <c r="F3686">
        <v>1</v>
      </c>
      <c r="G3686">
        <v>2024</v>
      </c>
      <c r="H3686" t="s">
        <v>928</v>
      </c>
      <c r="I3686" t="s">
        <v>6063</v>
      </c>
      <c r="J3686" t="s">
        <v>8896</v>
      </c>
      <c r="K3686" t="s">
        <v>9718</v>
      </c>
    </row>
    <row r="3687" spans="1:11" x14ac:dyDescent="0.4">
      <c r="A3687" t="s">
        <v>5566</v>
      </c>
      <c r="B3687">
        <v>100</v>
      </c>
      <c r="C3687" t="s">
        <v>1380</v>
      </c>
      <c r="D3687">
        <v>5</v>
      </c>
      <c r="E3687">
        <v>0.84499999999999997</v>
      </c>
      <c r="F3687">
        <v>3</v>
      </c>
      <c r="G3687">
        <v>2024</v>
      </c>
      <c r="H3687" t="s">
        <v>928</v>
      </c>
      <c r="I3687" t="s">
        <v>6063</v>
      </c>
      <c r="J3687" t="s">
        <v>8897</v>
      </c>
      <c r="K3687" t="s">
        <v>9719</v>
      </c>
    </row>
    <row r="3688" spans="1:11" x14ac:dyDescent="0.4">
      <c r="A3688" t="s">
        <v>5568</v>
      </c>
      <c r="B3688">
        <v>100</v>
      </c>
      <c r="C3688" t="s">
        <v>1380</v>
      </c>
      <c r="D3688">
        <v>5</v>
      </c>
      <c r="E3688">
        <v>0.84499999999999997</v>
      </c>
      <c r="F3688">
        <v>3</v>
      </c>
      <c r="G3688">
        <v>2024</v>
      </c>
      <c r="H3688" t="s">
        <v>928</v>
      </c>
      <c r="I3688" t="s">
        <v>6063</v>
      </c>
      <c r="J3688" t="s">
        <v>8898</v>
      </c>
      <c r="K3688" t="s">
        <v>9720</v>
      </c>
    </row>
    <row r="3689" spans="1:11" x14ac:dyDescent="0.4">
      <c r="A3689" t="s">
        <v>5594</v>
      </c>
      <c r="B3689">
        <v>66.7</v>
      </c>
      <c r="C3689" t="s">
        <v>5725</v>
      </c>
      <c r="D3689">
        <v>4</v>
      </c>
      <c r="E3689">
        <v>-0.78200000000000003</v>
      </c>
      <c r="F3689">
        <v>2</v>
      </c>
      <c r="G3689">
        <v>2024</v>
      </c>
      <c r="H3689" t="s">
        <v>928</v>
      </c>
      <c r="I3689" t="s">
        <v>6063</v>
      </c>
      <c r="J3689" t="s">
        <v>8899</v>
      </c>
      <c r="K3689" t="s">
        <v>9721</v>
      </c>
    </row>
    <row r="3690" spans="1:11" x14ac:dyDescent="0.4">
      <c r="A3690" t="s">
        <v>5591</v>
      </c>
      <c r="B3690">
        <v>100</v>
      </c>
      <c r="C3690" t="s">
        <v>1380</v>
      </c>
      <c r="D3690">
        <v>5</v>
      </c>
      <c r="E3690">
        <v>0.84499999999999997</v>
      </c>
      <c r="F3690">
        <v>3</v>
      </c>
      <c r="G3690">
        <v>2024</v>
      </c>
      <c r="H3690" t="s">
        <v>928</v>
      </c>
      <c r="I3690" t="s">
        <v>6063</v>
      </c>
      <c r="J3690" t="s">
        <v>8900</v>
      </c>
      <c r="K3690" t="s">
        <v>9722</v>
      </c>
    </row>
    <row r="3691" spans="1:11" x14ac:dyDescent="0.4">
      <c r="A3691" t="s">
        <v>5556</v>
      </c>
      <c r="B3691">
        <v>100</v>
      </c>
      <c r="C3691" t="s">
        <v>1380</v>
      </c>
      <c r="D3691">
        <v>5</v>
      </c>
      <c r="E3691">
        <v>0.84499999999999997</v>
      </c>
      <c r="F3691">
        <v>3</v>
      </c>
      <c r="G3691">
        <v>2024</v>
      </c>
      <c r="H3691" t="s">
        <v>928</v>
      </c>
      <c r="I3691" t="s">
        <v>6063</v>
      </c>
      <c r="J3691" t="s">
        <v>8901</v>
      </c>
      <c r="K3691" t="s">
        <v>9723</v>
      </c>
    </row>
    <row r="3692" spans="1:11" x14ac:dyDescent="0.4">
      <c r="A3692" t="s">
        <v>5569</v>
      </c>
      <c r="B3692">
        <v>66.7</v>
      </c>
      <c r="C3692" t="s">
        <v>5725</v>
      </c>
      <c r="D3692">
        <v>4</v>
      </c>
      <c r="E3692">
        <v>-0.78200000000000003</v>
      </c>
      <c r="F3692">
        <v>2</v>
      </c>
      <c r="G3692">
        <v>2024</v>
      </c>
      <c r="H3692" t="s">
        <v>928</v>
      </c>
      <c r="I3692" t="s">
        <v>6063</v>
      </c>
      <c r="J3692" t="s">
        <v>8902</v>
      </c>
      <c r="K3692" t="s">
        <v>9724</v>
      </c>
    </row>
    <row r="3693" spans="1:11" x14ac:dyDescent="0.4">
      <c r="A3693" t="s">
        <v>5577</v>
      </c>
      <c r="B3693">
        <v>100</v>
      </c>
      <c r="C3693" t="s">
        <v>1380</v>
      </c>
      <c r="D3693">
        <v>5</v>
      </c>
      <c r="E3693">
        <v>0.84499999999999997</v>
      </c>
      <c r="F3693">
        <v>3</v>
      </c>
      <c r="G3693">
        <v>2024</v>
      </c>
      <c r="H3693" t="s">
        <v>928</v>
      </c>
      <c r="I3693" t="s">
        <v>6063</v>
      </c>
      <c r="J3693" t="s">
        <v>8903</v>
      </c>
      <c r="K3693" t="s">
        <v>9725</v>
      </c>
    </row>
    <row r="3694" spans="1:11" x14ac:dyDescent="0.4">
      <c r="A3694" t="s">
        <v>5553</v>
      </c>
      <c r="B3694">
        <v>66.7</v>
      </c>
      <c r="C3694" t="s">
        <v>5725</v>
      </c>
      <c r="D3694">
        <v>4</v>
      </c>
      <c r="E3694">
        <v>-0.78200000000000003</v>
      </c>
      <c r="F3694">
        <v>2</v>
      </c>
      <c r="G3694">
        <v>2024</v>
      </c>
      <c r="H3694" t="s">
        <v>928</v>
      </c>
      <c r="I3694" t="s">
        <v>6063</v>
      </c>
      <c r="J3694" t="s">
        <v>8904</v>
      </c>
      <c r="K3694" t="s">
        <v>9726</v>
      </c>
    </row>
    <row r="3695" spans="1:11" x14ac:dyDescent="0.4">
      <c r="A3695" t="s">
        <v>5935</v>
      </c>
      <c r="B3695">
        <v>100</v>
      </c>
      <c r="C3695" t="s">
        <v>1380</v>
      </c>
      <c r="D3695">
        <v>5</v>
      </c>
      <c r="E3695">
        <v>0.84499999999999997</v>
      </c>
      <c r="F3695">
        <v>3</v>
      </c>
      <c r="G3695">
        <v>2024</v>
      </c>
      <c r="H3695" t="s">
        <v>928</v>
      </c>
      <c r="I3695" t="s">
        <v>6063</v>
      </c>
      <c r="J3695" t="s">
        <v>8905</v>
      </c>
      <c r="K3695" t="s">
        <v>9727</v>
      </c>
    </row>
    <row r="3696" spans="1:11" x14ac:dyDescent="0.4">
      <c r="A3696" t="s">
        <v>5584</v>
      </c>
      <c r="B3696">
        <v>66.7</v>
      </c>
      <c r="C3696" t="s">
        <v>5725</v>
      </c>
      <c r="D3696">
        <v>4</v>
      </c>
      <c r="E3696">
        <v>-0.78200000000000003</v>
      </c>
      <c r="F3696">
        <v>2</v>
      </c>
      <c r="G3696">
        <v>2024</v>
      </c>
      <c r="H3696" t="s">
        <v>928</v>
      </c>
      <c r="I3696" t="s">
        <v>6063</v>
      </c>
      <c r="J3696" t="s">
        <v>8906</v>
      </c>
      <c r="K3696" t="s">
        <v>9728</v>
      </c>
    </row>
    <row r="3697" spans="1:11" x14ac:dyDescent="0.4">
      <c r="A3697" t="s">
        <v>5936</v>
      </c>
      <c r="B3697">
        <v>66.7</v>
      </c>
      <c r="C3697" t="s">
        <v>5725</v>
      </c>
      <c r="D3697">
        <v>4</v>
      </c>
      <c r="E3697">
        <v>-0.78200000000000003</v>
      </c>
      <c r="F3697">
        <v>2</v>
      </c>
      <c r="G3697">
        <v>2024</v>
      </c>
      <c r="H3697" t="s">
        <v>928</v>
      </c>
      <c r="I3697" t="s">
        <v>6063</v>
      </c>
      <c r="J3697" t="s">
        <v>8907</v>
      </c>
      <c r="K3697" t="s">
        <v>9729</v>
      </c>
    </row>
    <row r="3698" spans="1:11" x14ac:dyDescent="0.4">
      <c r="A3698" t="s">
        <v>5595</v>
      </c>
      <c r="B3698">
        <v>66.7</v>
      </c>
      <c r="C3698" t="s">
        <v>5725</v>
      </c>
      <c r="D3698">
        <v>4</v>
      </c>
      <c r="E3698">
        <v>-0.78200000000000003</v>
      </c>
      <c r="F3698">
        <v>2</v>
      </c>
      <c r="G3698">
        <v>2024</v>
      </c>
      <c r="H3698" t="s">
        <v>928</v>
      </c>
      <c r="I3698" t="s">
        <v>6063</v>
      </c>
      <c r="J3698" t="s">
        <v>8908</v>
      </c>
      <c r="K3698" t="s">
        <v>9730</v>
      </c>
    </row>
    <row r="3699" spans="1:11" x14ac:dyDescent="0.4">
      <c r="A3699" t="s">
        <v>5560</v>
      </c>
      <c r="B3699">
        <v>100</v>
      </c>
      <c r="C3699" t="s">
        <v>1380</v>
      </c>
      <c r="D3699">
        <v>5</v>
      </c>
      <c r="E3699">
        <v>0.84499999999999997</v>
      </c>
      <c r="F3699">
        <v>3</v>
      </c>
      <c r="G3699">
        <v>2024</v>
      </c>
      <c r="H3699" t="s">
        <v>928</v>
      </c>
      <c r="I3699" t="s">
        <v>6063</v>
      </c>
      <c r="J3699" t="s">
        <v>8909</v>
      </c>
      <c r="K3699" t="s">
        <v>9731</v>
      </c>
    </row>
    <row r="3700" spans="1:11" x14ac:dyDescent="0.4">
      <c r="A3700" t="s">
        <v>5565</v>
      </c>
      <c r="B3700">
        <v>100</v>
      </c>
      <c r="C3700" t="s">
        <v>1380</v>
      </c>
      <c r="D3700">
        <v>5</v>
      </c>
      <c r="E3700">
        <v>0.84499999999999997</v>
      </c>
      <c r="F3700">
        <v>3</v>
      </c>
      <c r="G3700">
        <v>2024</v>
      </c>
      <c r="H3700" t="s">
        <v>928</v>
      </c>
      <c r="I3700" t="s">
        <v>6063</v>
      </c>
      <c r="J3700" t="s">
        <v>8910</v>
      </c>
      <c r="K3700" t="s">
        <v>9732</v>
      </c>
    </row>
    <row r="3701" spans="1:11" x14ac:dyDescent="0.4">
      <c r="A3701" t="s">
        <v>5558</v>
      </c>
      <c r="B3701">
        <v>100</v>
      </c>
      <c r="C3701" t="s">
        <v>1380</v>
      </c>
      <c r="D3701">
        <v>5</v>
      </c>
      <c r="E3701">
        <v>0.84499999999999997</v>
      </c>
      <c r="F3701">
        <v>3</v>
      </c>
      <c r="G3701">
        <v>2024</v>
      </c>
      <c r="H3701" t="s">
        <v>928</v>
      </c>
      <c r="I3701" t="s">
        <v>6063</v>
      </c>
      <c r="J3701" t="s">
        <v>8911</v>
      </c>
      <c r="K3701" t="s">
        <v>9733</v>
      </c>
    </row>
    <row r="3702" spans="1:11" x14ac:dyDescent="0.4">
      <c r="A3702" t="s">
        <v>5937</v>
      </c>
      <c r="B3702">
        <v>66.7</v>
      </c>
      <c r="C3702" t="s">
        <v>5725</v>
      </c>
      <c r="D3702">
        <v>4</v>
      </c>
      <c r="E3702">
        <v>-0.78200000000000003</v>
      </c>
      <c r="F3702">
        <v>2</v>
      </c>
      <c r="G3702">
        <v>2024</v>
      </c>
      <c r="H3702" t="s">
        <v>928</v>
      </c>
      <c r="I3702" t="s">
        <v>6063</v>
      </c>
      <c r="J3702" t="s">
        <v>8912</v>
      </c>
      <c r="K3702" t="s">
        <v>9734</v>
      </c>
    </row>
    <row r="3703" spans="1:11" x14ac:dyDescent="0.4">
      <c r="A3703" t="s">
        <v>5585</v>
      </c>
      <c r="B3703">
        <v>100</v>
      </c>
      <c r="C3703" t="s">
        <v>1380</v>
      </c>
      <c r="D3703">
        <v>5</v>
      </c>
      <c r="E3703">
        <v>0.84499999999999997</v>
      </c>
      <c r="F3703">
        <v>3</v>
      </c>
      <c r="G3703">
        <v>2024</v>
      </c>
      <c r="H3703" t="s">
        <v>928</v>
      </c>
      <c r="I3703" t="s">
        <v>6063</v>
      </c>
      <c r="J3703" t="s">
        <v>8913</v>
      </c>
      <c r="K3703" t="s">
        <v>9735</v>
      </c>
    </row>
    <row r="3704" spans="1:11" x14ac:dyDescent="0.4">
      <c r="A3704" t="s">
        <v>5586</v>
      </c>
      <c r="B3704">
        <v>66.7</v>
      </c>
      <c r="C3704" t="s">
        <v>5725</v>
      </c>
      <c r="D3704">
        <v>4</v>
      </c>
      <c r="E3704">
        <v>-0.78200000000000003</v>
      </c>
      <c r="F3704">
        <v>2</v>
      </c>
      <c r="G3704">
        <v>2024</v>
      </c>
      <c r="H3704" t="s">
        <v>928</v>
      </c>
      <c r="I3704" t="s">
        <v>6063</v>
      </c>
      <c r="J3704" t="s">
        <v>8914</v>
      </c>
      <c r="K3704" t="s">
        <v>9736</v>
      </c>
    </row>
    <row r="3705" spans="1:11" x14ac:dyDescent="0.4">
      <c r="A3705" t="s">
        <v>5582</v>
      </c>
      <c r="B3705">
        <v>100</v>
      </c>
      <c r="C3705" t="s">
        <v>1380</v>
      </c>
      <c r="D3705">
        <v>5</v>
      </c>
      <c r="E3705">
        <v>0.84499999999999997</v>
      </c>
      <c r="F3705">
        <v>3</v>
      </c>
      <c r="G3705">
        <v>2024</v>
      </c>
      <c r="H3705" t="s">
        <v>928</v>
      </c>
      <c r="I3705" t="s">
        <v>6063</v>
      </c>
      <c r="J3705" t="s">
        <v>8915</v>
      </c>
      <c r="K3705" t="s">
        <v>9737</v>
      </c>
    </row>
    <row r="3706" spans="1:11" x14ac:dyDescent="0.4">
      <c r="A3706" t="s">
        <v>5590</v>
      </c>
      <c r="B3706">
        <v>100</v>
      </c>
      <c r="C3706" t="s">
        <v>1380</v>
      </c>
      <c r="D3706">
        <v>5</v>
      </c>
      <c r="E3706">
        <v>0.84499999999999997</v>
      </c>
      <c r="F3706">
        <v>3</v>
      </c>
      <c r="G3706">
        <v>2024</v>
      </c>
      <c r="H3706" t="s">
        <v>928</v>
      </c>
      <c r="I3706" t="s">
        <v>6063</v>
      </c>
      <c r="J3706" t="s">
        <v>8916</v>
      </c>
      <c r="K3706" t="s">
        <v>9738</v>
      </c>
    </row>
    <row r="3707" spans="1:11" x14ac:dyDescent="0.4">
      <c r="A3707" t="s">
        <v>5583</v>
      </c>
      <c r="B3707">
        <v>66.7</v>
      </c>
      <c r="C3707" t="s">
        <v>5725</v>
      </c>
      <c r="D3707">
        <v>4</v>
      </c>
      <c r="E3707">
        <v>-0.78200000000000003</v>
      </c>
      <c r="F3707">
        <v>2</v>
      </c>
      <c r="G3707">
        <v>2024</v>
      </c>
      <c r="H3707" t="s">
        <v>928</v>
      </c>
      <c r="I3707" t="s">
        <v>6063</v>
      </c>
      <c r="J3707" t="s">
        <v>8917</v>
      </c>
      <c r="K3707" t="s">
        <v>9739</v>
      </c>
    </row>
    <row r="3708" spans="1:11" x14ac:dyDescent="0.4">
      <c r="A3708" t="s">
        <v>5555</v>
      </c>
      <c r="B3708">
        <v>100</v>
      </c>
      <c r="C3708" t="s">
        <v>1380</v>
      </c>
      <c r="D3708">
        <v>5</v>
      </c>
      <c r="E3708">
        <v>0.84499999999999997</v>
      </c>
      <c r="F3708">
        <v>3</v>
      </c>
      <c r="G3708">
        <v>2024</v>
      </c>
      <c r="H3708" t="s">
        <v>928</v>
      </c>
      <c r="I3708" t="s">
        <v>6063</v>
      </c>
      <c r="J3708" t="s">
        <v>8918</v>
      </c>
      <c r="K3708" t="s">
        <v>9740</v>
      </c>
    </row>
    <row r="3709" spans="1:11" x14ac:dyDescent="0.4">
      <c r="A3709" t="s">
        <v>5572</v>
      </c>
      <c r="B3709">
        <v>100</v>
      </c>
      <c r="C3709" t="s">
        <v>1380</v>
      </c>
      <c r="D3709">
        <v>5</v>
      </c>
      <c r="E3709">
        <v>0.84499999999999997</v>
      </c>
      <c r="F3709">
        <v>3</v>
      </c>
      <c r="G3709">
        <v>2024</v>
      </c>
      <c r="H3709" t="s">
        <v>928</v>
      </c>
      <c r="I3709" t="s">
        <v>6063</v>
      </c>
      <c r="J3709" t="s">
        <v>8919</v>
      </c>
      <c r="K3709" t="s">
        <v>9741</v>
      </c>
    </row>
    <row r="3710" spans="1:11" x14ac:dyDescent="0.4">
      <c r="A3710" t="s">
        <v>5588</v>
      </c>
      <c r="B3710">
        <v>66.7</v>
      </c>
      <c r="C3710" t="s">
        <v>5725</v>
      </c>
      <c r="D3710">
        <v>4</v>
      </c>
      <c r="E3710">
        <v>-0.78200000000000003</v>
      </c>
      <c r="F3710">
        <v>2</v>
      </c>
      <c r="G3710">
        <v>2024</v>
      </c>
      <c r="H3710" t="s">
        <v>928</v>
      </c>
      <c r="I3710" t="s">
        <v>6063</v>
      </c>
      <c r="J3710" t="s">
        <v>8920</v>
      </c>
      <c r="K3710" t="s">
        <v>9742</v>
      </c>
    </row>
    <row r="3711" spans="1:11" x14ac:dyDescent="0.4">
      <c r="A3711" t="s">
        <v>5574</v>
      </c>
      <c r="B3711">
        <v>33.299999999999997</v>
      </c>
      <c r="C3711" t="s">
        <v>6042</v>
      </c>
      <c r="D3711">
        <v>2</v>
      </c>
      <c r="E3711">
        <v>-2.4140000000000001</v>
      </c>
      <c r="F3711">
        <v>1</v>
      </c>
      <c r="G3711">
        <v>2024</v>
      </c>
      <c r="H3711" t="s">
        <v>928</v>
      </c>
      <c r="I3711" t="s">
        <v>6063</v>
      </c>
      <c r="J3711" t="s">
        <v>8921</v>
      </c>
      <c r="K3711" t="s">
        <v>9743</v>
      </c>
    </row>
    <row r="3712" spans="1:11" x14ac:dyDescent="0.4">
      <c r="A3712" t="s">
        <v>5596</v>
      </c>
      <c r="B3712">
        <v>82.7</v>
      </c>
      <c r="C3712" t="s">
        <v>197</v>
      </c>
      <c r="D3712">
        <v>5</v>
      </c>
    </row>
    <row r="3713" spans="1:11" x14ac:dyDescent="0.4">
      <c r="A3713" t="s">
        <v>5597</v>
      </c>
      <c r="B3713">
        <v>60</v>
      </c>
      <c r="C3713" t="s">
        <v>197</v>
      </c>
      <c r="D3713">
        <v>4</v>
      </c>
    </row>
    <row r="3714" spans="1:11" x14ac:dyDescent="0.4">
      <c r="A3714" t="s">
        <v>5598</v>
      </c>
      <c r="B3714">
        <v>90.5</v>
      </c>
      <c r="C3714" t="s">
        <v>197</v>
      </c>
      <c r="D3714">
        <v>5</v>
      </c>
    </row>
    <row r="3715" spans="1:11" x14ac:dyDescent="0.4">
      <c r="A3715" t="s">
        <v>5599</v>
      </c>
      <c r="B3715">
        <v>91.7</v>
      </c>
      <c r="C3715" t="s">
        <v>197</v>
      </c>
      <c r="D3715">
        <v>5</v>
      </c>
    </row>
    <row r="3716" spans="1:11" x14ac:dyDescent="0.4">
      <c r="A3716" t="s">
        <v>5600</v>
      </c>
      <c r="B3716">
        <v>93.3</v>
      </c>
      <c r="C3716" t="s">
        <v>197</v>
      </c>
      <c r="D3716">
        <v>5</v>
      </c>
    </row>
    <row r="3717" spans="1:11" x14ac:dyDescent="0.4">
      <c r="A3717" t="s">
        <v>5601</v>
      </c>
      <c r="B3717">
        <v>80</v>
      </c>
      <c r="C3717" t="s">
        <v>197</v>
      </c>
      <c r="D3717">
        <v>5</v>
      </c>
    </row>
    <row r="3718" spans="1:11" x14ac:dyDescent="0.4">
      <c r="A3718" t="s">
        <v>5602</v>
      </c>
      <c r="B3718">
        <v>78.599999999999994</v>
      </c>
      <c r="C3718" t="s">
        <v>197</v>
      </c>
      <c r="D3718">
        <v>4</v>
      </c>
    </row>
    <row r="3719" spans="1:11" x14ac:dyDescent="0.4">
      <c r="A3719" t="s">
        <v>7438</v>
      </c>
      <c r="B3719">
        <v>70.8</v>
      </c>
      <c r="C3719" t="s">
        <v>197</v>
      </c>
      <c r="D3719">
        <v>4</v>
      </c>
    </row>
    <row r="3720" spans="1:11" x14ac:dyDescent="0.4">
      <c r="A3720" t="s">
        <v>7439</v>
      </c>
      <c r="B3720">
        <v>81.8</v>
      </c>
      <c r="C3720" t="s">
        <v>197</v>
      </c>
      <c r="D3720">
        <v>5</v>
      </c>
    </row>
    <row r="3721" spans="1:11" x14ac:dyDescent="0.4">
      <c r="A3721" t="s">
        <v>7440</v>
      </c>
      <c r="B3721">
        <v>91.3</v>
      </c>
      <c r="C3721" t="s">
        <v>197</v>
      </c>
      <c r="D3721">
        <v>5</v>
      </c>
    </row>
    <row r="3722" spans="1:11" x14ac:dyDescent="0.4">
      <c r="A3722" t="s">
        <v>5607</v>
      </c>
      <c r="B3722">
        <v>0</v>
      </c>
      <c r="C3722" t="s">
        <v>5720</v>
      </c>
      <c r="D3722">
        <v>1</v>
      </c>
      <c r="E3722">
        <v>-1.304</v>
      </c>
      <c r="F3722">
        <v>0</v>
      </c>
      <c r="G3722">
        <v>2024</v>
      </c>
      <c r="H3722" t="s">
        <v>928</v>
      </c>
      <c r="I3722" t="s">
        <v>6063</v>
      </c>
      <c r="J3722" t="s">
        <v>8922</v>
      </c>
      <c r="K3722" t="s">
        <v>9744</v>
      </c>
    </row>
    <row r="3723" spans="1:11" x14ac:dyDescent="0.4">
      <c r="A3723" t="s">
        <v>5605</v>
      </c>
      <c r="B3723">
        <v>0</v>
      </c>
      <c r="C3723" t="s">
        <v>5720</v>
      </c>
      <c r="D3723">
        <v>1</v>
      </c>
      <c r="E3723">
        <v>-1.304</v>
      </c>
      <c r="F3723">
        <v>0</v>
      </c>
      <c r="G3723">
        <v>2024</v>
      </c>
      <c r="H3723" t="s">
        <v>928</v>
      </c>
      <c r="I3723" t="s">
        <v>6063</v>
      </c>
      <c r="J3723" t="s">
        <v>8923</v>
      </c>
      <c r="K3723" t="s">
        <v>9745</v>
      </c>
    </row>
    <row r="3724" spans="1:11" x14ac:dyDescent="0.4">
      <c r="A3724" t="s">
        <v>5612</v>
      </c>
      <c r="B3724">
        <v>50</v>
      </c>
      <c r="C3724" t="s">
        <v>5726</v>
      </c>
      <c r="D3724">
        <v>3</v>
      </c>
      <c r="E3724">
        <v>0.28599999999999998</v>
      </c>
      <c r="F3724">
        <v>1</v>
      </c>
      <c r="G3724">
        <v>2024</v>
      </c>
      <c r="H3724" t="s">
        <v>928</v>
      </c>
      <c r="I3724" t="s">
        <v>6063</v>
      </c>
      <c r="J3724" t="s">
        <v>8924</v>
      </c>
      <c r="K3724" t="s">
        <v>8925</v>
      </c>
    </row>
    <row r="3725" spans="1:11" x14ac:dyDescent="0.4">
      <c r="A3725" t="s">
        <v>5646</v>
      </c>
      <c r="B3725">
        <v>100</v>
      </c>
      <c r="C3725" t="s">
        <v>1380</v>
      </c>
      <c r="D3725">
        <v>5</v>
      </c>
      <c r="E3725">
        <v>1.8759999999999999</v>
      </c>
      <c r="F3725">
        <v>2</v>
      </c>
      <c r="G3725">
        <v>2024</v>
      </c>
      <c r="H3725" t="s">
        <v>928</v>
      </c>
      <c r="I3725" t="s">
        <v>6063</v>
      </c>
      <c r="J3725" t="s">
        <v>8926</v>
      </c>
      <c r="K3725" t="s">
        <v>9746</v>
      </c>
    </row>
    <row r="3726" spans="1:11" x14ac:dyDescent="0.4">
      <c r="A3726" t="s">
        <v>5628</v>
      </c>
      <c r="B3726">
        <v>50</v>
      </c>
      <c r="C3726" t="s">
        <v>5726</v>
      </c>
      <c r="D3726">
        <v>3</v>
      </c>
      <c r="E3726">
        <v>0.28599999999999998</v>
      </c>
      <c r="F3726">
        <v>1</v>
      </c>
      <c r="G3726">
        <v>2024</v>
      </c>
      <c r="H3726" t="s">
        <v>928</v>
      </c>
      <c r="I3726" t="s">
        <v>6063</v>
      </c>
      <c r="J3726" t="s">
        <v>8927</v>
      </c>
      <c r="K3726" t="s">
        <v>9747</v>
      </c>
    </row>
    <row r="3727" spans="1:11" x14ac:dyDescent="0.4">
      <c r="A3727" t="s">
        <v>5640</v>
      </c>
      <c r="B3727">
        <v>50</v>
      </c>
      <c r="C3727" t="s">
        <v>5726</v>
      </c>
      <c r="D3727">
        <v>3</v>
      </c>
      <c r="E3727">
        <v>0.28599999999999998</v>
      </c>
      <c r="F3727">
        <v>1</v>
      </c>
      <c r="G3727">
        <v>2024</v>
      </c>
      <c r="H3727" t="s">
        <v>928</v>
      </c>
      <c r="I3727" t="s">
        <v>6063</v>
      </c>
      <c r="J3727" t="s">
        <v>8928</v>
      </c>
      <c r="K3727" t="s">
        <v>9748</v>
      </c>
    </row>
    <row r="3728" spans="1:11" x14ac:dyDescent="0.4">
      <c r="A3728" t="s">
        <v>5617</v>
      </c>
      <c r="B3728">
        <v>50</v>
      </c>
      <c r="C3728" t="s">
        <v>5726</v>
      </c>
      <c r="D3728">
        <v>3</v>
      </c>
      <c r="E3728">
        <v>0.28599999999999998</v>
      </c>
      <c r="F3728">
        <v>1</v>
      </c>
      <c r="G3728">
        <v>2024</v>
      </c>
      <c r="H3728" t="s">
        <v>928</v>
      </c>
      <c r="I3728" t="s">
        <v>6063</v>
      </c>
      <c r="J3728" t="s">
        <v>8929</v>
      </c>
      <c r="K3728" t="s">
        <v>9749</v>
      </c>
    </row>
    <row r="3729" spans="1:11" x14ac:dyDescent="0.4">
      <c r="A3729" t="s">
        <v>5610</v>
      </c>
      <c r="B3729">
        <v>50</v>
      </c>
      <c r="C3729" t="s">
        <v>5726</v>
      </c>
      <c r="D3729">
        <v>3</v>
      </c>
      <c r="E3729">
        <v>0.28599999999999998</v>
      </c>
      <c r="F3729">
        <v>1</v>
      </c>
      <c r="G3729">
        <v>2024</v>
      </c>
      <c r="H3729" t="s">
        <v>928</v>
      </c>
      <c r="I3729" t="s">
        <v>6063</v>
      </c>
      <c r="J3729" t="s">
        <v>8930</v>
      </c>
      <c r="K3729" t="s">
        <v>9750</v>
      </c>
    </row>
    <row r="3730" spans="1:11" x14ac:dyDescent="0.4">
      <c r="A3730" t="s">
        <v>5624</v>
      </c>
      <c r="B3730">
        <v>50</v>
      </c>
      <c r="C3730" t="s">
        <v>5726</v>
      </c>
      <c r="D3730">
        <v>3</v>
      </c>
      <c r="E3730">
        <v>0.28599999999999998</v>
      </c>
      <c r="F3730">
        <v>1</v>
      </c>
      <c r="G3730">
        <v>2024</v>
      </c>
      <c r="H3730" t="s">
        <v>928</v>
      </c>
      <c r="I3730" t="s">
        <v>6063</v>
      </c>
      <c r="J3730" t="s">
        <v>8931</v>
      </c>
      <c r="K3730" t="s">
        <v>9751</v>
      </c>
    </row>
    <row r="3731" spans="1:11" x14ac:dyDescent="0.4">
      <c r="A3731" t="s">
        <v>5614</v>
      </c>
      <c r="B3731">
        <v>0</v>
      </c>
      <c r="C3731" t="s">
        <v>5720</v>
      </c>
      <c r="D3731">
        <v>1</v>
      </c>
      <c r="E3731">
        <v>-1.304</v>
      </c>
      <c r="F3731">
        <v>0</v>
      </c>
      <c r="G3731">
        <v>2024</v>
      </c>
      <c r="H3731" t="s">
        <v>928</v>
      </c>
      <c r="I3731" t="s">
        <v>6063</v>
      </c>
      <c r="J3731" t="s">
        <v>8932</v>
      </c>
      <c r="K3731" t="s">
        <v>9752</v>
      </c>
    </row>
    <row r="3732" spans="1:11" x14ac:dyDescent="0.4">
      <c r="A3732" t="s">
        <v>6010</v>
      </c>
      <c r="B3732">
        <v>50</v>
      </c>
      <c r="C3732" t="s">
        <v>5726</v>
      </c>
      <c r="D3732">
        <v>3</v>
      </c>
      <c r="E3732">
        <v>0.28599999999999998</v>
      </c>
      <c r="F3732">
        <v>1</v>
      </c>
      <c r="G3732">
        <v>2024</v>
      </c>
      <c r="H3732" t="s">
        <v>928</v>
      </c>
      <c r="I3732" t="s">
        <v>6063</v>
      </c>
      <c r="J3732" t="s">
        <v>8933</v>
      </c>
      <c r="K3732" t="s">
        <v>6065</v>
      </c>
    </row>
    <row r="3733" spans="1:11" x14ac:dyDescent="0.4">
      <c r="A3733" t="s">
        <v>5632</v>
      </c>
      <c r="B3733">
        <v>50</v>
      </c>
      <c r="C3733" t="s">
        <v>5726</v>
      </c>
      <c r="D3733">
        <v>3</v>
      </c>
      <c r="E3733">
        <v>0.28599999999999998</v>
      </c>
      <c r="F3733">
        <v>1</v>
      </c>
      <c r="G3733">
        <v>2024</v>
      </c>
      <c r="H3733" t="s">
        <v>928</v>
      </c>
      <c r="I3733" t="s">
        <v>6063</v>
      </c>
      <c r="J3733" t="s">
        <v>8934</v>
      </c>
      <c r="K3733" t="s">
        <v>9753</v>
      </c>
    </row>
    <row r="3734" spans="1:11" x14ac:dyDescent="0.4">
      <c r="A3734" t="s">
        <v>5633</v>
      </c>
      <c r="B3734">
        <v>0</v>
      </c>
      <c r="C3734" t="s">
        <v>5720</v>
      </c>
      <c r="D3734">
        <v>1</v>
      </c>
      <c r="E3734">
        <v>-1.304</v>
      </c>
      <c r="F3734">
        <v>0</v>
      </c>
      <c r="G3734">
        <v>2024</v>
      </c>
      <c r="H3734" t="s">
        <v>928</v>
      </c>
      <c r="I3734" t="s">
        <v>6063</v>
      </c>
      <c r="J3734" t="s">
        <v>8935</v>
      </c>
      <c r="K3734" t="s">
        <v>9754</v>
      </c>
    </row>
    <row r="3735" spans="1:11" x14ac:dyDescent="0.4">
      <c r="A3735" t="s">
        <v>5615</v>
      </c>
      <c r="B3735">
        <v>50</v>
      </c>
      <c r="C3735" t="s">
        <v>5726</v>
      </c>
      <c r="D3735">
        <v>3</v>
      </c>
      <c r="E3735">
        <v>0.28599999999999998</v>
      </c>
      <c r="F3735">
        <v>1</v>
      </c>
      <c r="G3735">
        <v>2024</v>
      </c>
      <c r="H3735" t="s">
        <v>928</v>
      </c>
      <c r="I3735" t="s">
        <v>6063</v>
      </c>
      <c r="J3735" t="s">
        <v>8936</v>
      </c>
      <c r="K3735" t="s">
        <v>9755</v>
      </c>
    </row>
    <row r="3736" spans="1:11" x14ac:dyDescent="0.4">
      <c r="A3736" t="s">
        <v>5623</v>
      </c>
      <c r="B3736">
        <v>100</v>
      </c>
      <c r="C3736" t="s">
        <v>1380</v>
      </c>
      <c r="D3736">
        <v>5</v>
      </c>
      <c r="E3736">
        <v>1.8759999999999999</v>
      </c>
      <c r="F3736">
        <v>2</v>
      </c>
      <c r="G3736">
        <v>2024</v>
      </c>
      <c r="H3736" t="s">
        <v>928</v>
      </c>
      <c r="I3736" t="s">
        <v>6063</v>
      </c>
      <c r="J3736" t="s">
        <v>8937</v>
      </c>
      <c r="K3736" t="s">
        <v>9756</v>
      </c>
    </row>
    <row r="3737" spans="1:11" x14ac:dyDescent="0.4">
      <c r="A3737" t="s">
        <v>5645</v>
      </c>
      <c r="B3737">
        <v>0</v>
      </c>
      <c r="C3737" t="s">
        <v>5720</v>
      </c>
      <c r="D3737">
        <v>1</v>
      </c>
      <c r="E3737">
        <v>-1.304</v>
      </c>
      <c r="F3737">
        <v>0</v>
      </c>
      <c r="G3737">
        <v>2024</v>
      </c>
      <c r="H3737" t="s">
        <v>928</v>
      </c>
      <c r="I3737" t="s">
        <v>6063</v>
      </c>
      <c r="J3737" t="s">
        <v>8938</v>
      </c>
      <c r="K3737" t="s">
        <v>9757</v>
      </c>
    </row>
    <row r="3738" spans="1:11" x14ac:dyDescent="0.4">
      <c r="A3738" t="s">
        <v>5642</v>
      </c>
      <c r="B3738">
        <v>100</v>
      </c>
      <c r="C3738" t="s">
        <v>1380</v>
      </c>
      <c r="D3738">
        <v>5</v>
      </c>
      <c r="E3738">
        <v>1.8759999999999999</v>
      </c>
      <c r="F3738">
        <v>2</v>
      </c>
      <c r="G3738">
        <v>2024</v>
      </c>
      <c r="H3738" t="s">
        <v>928</v>
      </c>
      <c r="I3738" t="s">
        <v>6063</v>
      </c>
      <c r="J3738" t="s">
        <v>8939</v>
      </c>
      <c r="K3738" t="s">
        <v>9758</v>
      </c>
    </row>
    <row r="3739" spans="1:11" x14ac:dyDescent="0.4">
      <c r="A3739" t="s">
        <v>5620</v>
      </c>
      <c r="B3739">
        <v>0</v>
      </c>
      <c r="C3739" t="s">
        <v>5720</v>
      </c>
      <c r="D3739">
        <v>1</v>
      </c>
      <c r="E3739">
        <v>-1.304</v>
      </c>
      <c r="F3739">
        <v>0</v>
      </c>
      <c r="G3739">
        <v>2024</v>
      </c>
      <c r="H3739" t="s">
        <v>928</v>
      </c>
      <c r="I3739" t="s">
        <v>6063</v>
      </c>
      <c r="J3739" t="s">
        <v>8940</v>
      </c>
      <c r="K3739" t="s">
        <v>9759</v>
      </c>
    </row>
    <row r="3740" spans="1:11" x14ac:dyDescent="0.4">
      <c r="A3740" t="s">
        <v>5626</v>
      </c>
      <c r="B3740">
        <v>0</v>
      </c>
      <c r="C3740" t="s">
        <v>5720</v>
      </c>
      <c r="D3740">
        <v>1</v>
      </c>
      <c r="E3740">
        <v>-1.304</v>
      </c>
      <c r="F3740">
        <v>0</v>
      </c>
      <c r="G3740">
        <v>2024</v>
      </c>
      <c r="H3740" t="s">
        <v>928</v>
      </c>
      <c r="I3740" t="s">
        <v>6063</v>
      </c>
      <c r="J3740" t="s">
        <v>9005</v>
      </c>
      <c r="K3740" t="s">
        <v>9760</v>
      </c>
    </row>
    <row r="3741" spans="1:11" x14ac:dyDescent="0.4">
      <c r="A3741" t="s">
        <v>5604</v>
      </c>
      <c r="B3741">
        <v>50</v>
      </c>
      <c r="C3741" t="s">
        <v>5726</v>
      </c>
      <c r="D3741">
        <v>3</v>
      </c>
      <c r="E3741">
        <v>0.28599999999999998</v>
      </c>
      <c r="F3741">
        <v>1</v>
      </c>
      <c r="G3741">
        <v>2024</v>
      </c>
      <c r="H3741" t="s">
        <v>928</v>
      </c>
      <c r="I3741" t="s">
        <v>6063</v>
      </c>
      <c r="J3741" t="s">
        <v>8941</v>
      </c>
      <c r="K3741" t="s">
        <v>9761</v>
      </c>
    </row>
    <row r="3742" spans="1:11" x14ac:dyDescent="0.4">
      <c r="A3742" t="s">
        <v>5629</v>
      </c>
      <c r="B3742">
        <v>50</v>
      </c>
      <c r="C3742" t="s">
        <v>5726</v>
      </c>
      <c r="D3742">
        <v>3</v>
      </c>
      <c r="E3742">
        <v>0.28599999999999998</v>
      </c>
      <c r="F3742">
        <v>1</v>
      </c>
      <c r="G3742">
        <v>2024</v>
      </c>
      <c r="H3742" t="s">
        <v>928</v>
      </c>
      <c r="I3742" t="s">
        <v>6063</v>
      </c>
      <c r="J3742" t="s">
        <v>8942</v>
      </c>
      <c r="K3742" t="s">
        <v>9762</v>
      </c>
    </row>
    <row r="3743" spans="1:11" x14ac:dyDescent="0.4">
      <c r="A3743" t="s">
        <v>5634</v>
      </c>
      <c r="B3743">
        <v>0</v>
      </c>
      <c r="C3743" t="s">
        <v>5720</v>
      </c>
      <c r="D3743">
        <v>1</v>
      </c>
      <c r="E3743">
        <v>-1.304</v>
      </c>
      <c r="F3743">
        <v>0</v>
      </c>
      <c r="G3743">
        <v>2024</v>
      </c>
      <c r="H3743" t="s">
        <v>928</v>
      </c>
      <c r="I3743" t="s">
        <v>6063</v>
      </c>
      <c r="J3743" t="s">
        <v>8943</v>
      </c>
      <c r="K3743" t="s">
        <v>9763</v>
      </c>
    </row>
    <row r="3744" spans="1:11" x14ac:dyDescent="0.4">
      <c r="A3744" t="s">
        <v>5631</v>
      </c>
      <c r="B3744">
        <v>0</v>
      </c>
      <c r="C3744" t="s">
        <v>5720</v>
      </c>
      <c r="D3744">
        <v>1</v>
      </c>
      <c r="E3744">
        <v>-1.304</v>
      </c>
      <c r="F3744">
        <v>0</v>
      </c>
      <c r="G3744">
        <v>2024</v>
      </c>
      <c r="H3744" t="s">
        <v>928</v>
      </c>
      <c r="I3744" t="s">
        <v>6063</v>
      </c>
      <c r="J3744" t="s">
        <v>6606</v>
      </c>
      <c r="K3744" t="s">
        <v>9764</v>
      </c>
    </row>
    <row r="3745" spans="1:11" x14ac:dyDescent="0.4">
      <c r="A3745" t="s">
        <v>5616</v>
      </c>
      <c r="B3745">
        <v>0</v>
      </c>
      <c r="C3745" t="s">
        <v>5720</v>
      </c>
      <c r="D3745">
        <v>1</v>
      </c>
      <c r="E3745">
        <v>-1.304</v>
      </c>
      <c r="F3745">
        <v>0</v>
      </c>
      <c r="G3745">
        <v>2024</v>
      </c>
      <c r="H3745" t="s">
        <v>928</v>
      </c>
      <c r="I3745" t="s">
        <v>6063</v>
      </c>
      <c r="J3745" t="s">
        <v>8944</v>
      </c>
      <c r="K3745" t="s">
        <v>9765</v>
      </c>
    </row>
    <row r="3746" spans="1:11" x14ac:dyDescent="0.4">
      <c r="A3746" t="s">
        <v>5603</v>
      </c>
      <c r="B3746">
        <v>50</v>
      </c>
      <c r="C3746" t="s">
        <v>5726</v>
      </c>
      <c r="D3746">
        <v>3</v>
      </c>
      <c r="E3746">
        <v>0.28599999999999998</v>
      </c>
      <c r="F3746">
        <v>1</v>
      </c>
      <c r="G3746">
        <v>2024</v>
      </c>
      <c r="H3746" t="s">
        <v>928</v>
      </c>
      <c r="I3746" t="s">
        <v>6063</v>
      </c>
      <c r="J3746" t="s">
        <v>8945</v>
      </c>
      <c r="K3746" t="s">
        <v>9766</v>
      </c>
    </row>
    <row r="3747" spans="1:11" x14ac:dyDescent="0.4">
      <c r="A3747" t="s">
        <v>5619</v>
      </c>
      <c r="B3747">
        <v>100</v>
      </c>
      <c r="C3747" t="s">
        <v>1380</v>
      </c>
      <c r="D3747">
        <v>5</v>
      </c>
      <c r="E3747">
        <v>1.8759999999999999</v>
      </c>
      <c r="F3747">
        <v>2</v>
      </c>
      <c r="G3747">
        <v>2024</v>
      </c>
      <c r="H3747" t="s">
        <v>928</v>
      </c>
      <c r="I3747" t="s">
        <v>6063</v>
      </c>
      <c r="J3747" t="s">
        <v>8946</v>
      </c>
      <c r="K3747" t="s">
        <v>9767</v>
      </c>
    </row>
    <row r="3748" spans="1:11" x14ac:dyDescent="0.4">
      <c r="A3748" t="s">
        <v>5621</v>
      </c>
      <c r="B3748">
        <v>50</v>
      </c>
      <c r="C3748" t="s">
        <v>5726</v>
      </c>
      <c r="D3748">
        <v>3</v>
      </c>
      <c r="E3748">
        <v>0.28599999999999998</v>
      </c>
      <c r="F3748">
        <v>1</v>
      </c>
      <c r="G3748">
        <v>2024</v>
      </c>
      <c r="H3748" t="s">
        <v>928</v>
      </c>
      <c r="I3748" t="s">
        <v>6063</v>
      </c>
      <c r="J3748" t="s">
        <v>8947</v>
      </c>
      <c r="K3748" t="s">
        <v>6031</v>
      </c>
    </row>
    <row r="3749" spans="1:11" x14ac:dyDescent="0.4">
      <c r="A3749" t="s">
        <v>5647</v>
      </c>
      <c r="B3749">
        <v>0</v>
      </c>
      <c r="C3749" t="s">
        <v>5720</v>
      </c>
      <c r="D3749">
        <v>1</v>
      </c>
      <c r="E3749">
        <v>-1.304</v>
      </c>
      <c r="F3749">
        <v>0</v>
      </c>
      <c r="G3749">
        <v>2024</v>
      </c>
      <c r="H3749" t="s">
        <v>928</v>
      </c>
      <c r="I3749" t="s">
        <v>6063</v>
      </c>
      <c r="J3749" t="s">
        <v>8948</v>
      </c>
      <c r="K3749" t="s">
        <v>9768</v>
      </c>
    </row>
    <row r="3750" spans="1:11" x14ac:dyDescent="0.4">
      <c r="A3750" t="s">
        <v>5644</v>
      </c>
      <c r="B3750">
        <v>50</v>
      </c>
      <c r="C3750" t="s">
        <v>5726</v>
      </c>
      <c r="D3750">
        <v>3</v>
      </c>
      <c r="E3750">
        <v>0.28599999999999998</v>
      </c>
      <c r="F3750">
        <v>1</v>
      </c>
      <c r="G3750">
        <v>2024</v>
      </c>
      <c r="H3750" t="s">
        <v>928</v>
      </c>
      <c r="I3750" t="s">
        <v>6063</v>
      </c>
      <c r="J3750" t="s">
        <v>8949</v>
      </c>
      <c r="K3750" t="s">
        <v>9769</v>
      </c>
    </row>
    <row r="3751" spans="1:11" x14ac:dyDescent="0.4">
      <c r="A3751" t="s">
        <v>5609</v>
      </c>
      <c r="B3751">
        <v>50</v>
      </c>
      <c r="C3751" t="s">
        <v>5726</v>
      </c>
      <c r="D3751">
        <v>3</v>
      </c>
      <c r="E3751">
        <v>0.28599999999999998</v>
      </c>
      <c r="F3751">
        <v>1</v>
      </c>
      <c r="G3751">
        <v>2024</v>
      </c>
      <c r="H3751" t="s">
        <v>928</v>
      </c>
      <c r="I3751" t="s">
        <v>6063</v>
      </c>
      <c r="J3751" t="s">
        <v>8950</v>
      </c>
      <c r="K3751" t="s">
        <v>9770</v>
      </c>
    </row>
    <row r="3752" spans="1:11" x14ac:dyDescent="0.4">
      <c r="A3752" t="s">
        <v>5622</v>
      </c>
      <c r="B3752">
        <v>50</v>
      </c>
      <c r="C3752" t="s">
        <v>5726</v>
      </c>
      <c r="D3752">
        <v>3</v>
      </c>
      <c r="E3752">
        <v>0.28599999999999998</v>
      </c>
      <c r="F3752">
        <v>1</v>
      </c>
      <c r="G3752">
        <v>2024</v>
      </c>
      <c r="H3752" t="s">
        <v>928</v>
      </c>
      <c r="I3752" t="s">
        <v>6063</v>
      </c>
      <c r="J3752" t="s">
        <v>8951</v>
      </c>
      <c r="K3752" t="s">
        <v>9771</v>
      </c>
    </row>
    <row r="3753" spans="1:11" x14ac:dyDescent="0.4">
      <c r="A3753" t="s">
        <v>5630</v>
      </c>
      <c r="B3753">
        <v>50</v>
      </c>
      <c r="C3753" t="s">
        <v>5726</v>
      </c>
      <c r="D3753">
        <v>3</v>
      </c>
      <c r="E3753">
        <v>0.28599999999999998</v>
      </c>
      <c r="F3753">
        <v>1</v>
      </c>
      <c r="G3753">
        <v>2024</v>
      </c>
      <c r="H3753" t="s">
        <v>928</v>
      </c>
      <c r="I3753" t="s">
        <v>6063</v>
      </c>
      <c r="J3753" t="s">
        <v>8952</v>
      </c>
      <c r="K3753" t="s">
        <v>9772</v>
      </c>
    </row>
    <row r="3754" spans="1:11" x14ac:dyDescent="0.4">
      <c r="A3754" t="s">
        <v>5606</v>
      </c>
      <c r="B3754">
        <v>50</v>
      </c>
      <c r="C3754" t="s">
        <v>5726</v>
      </c>
      <c r="D3754">
        <v>3</v>
      </c>
      <c r="E3754">
        <v>0.28599999999999998</v>
      </c>
      <c r="F3754">
        <v>1</v>
      </c>
      <c r="G3754">
        <v>2024</v>
      </c>
      <c r="H3754" t="s">
        <v>928</v>
      </c>
      <c r="I3754" t="s">
        <v>6063</v>
      </c>
      <c r="J3754" t="s">
        <v>8953</v>
      </c>
      <c r="K3754" t="s">
        <v>9773</v>
      </c>
    </row>
    <row r="3755" spans="1:11" x14ac:dyDescent="0.4">
      <c r="A3755" t="s">
        <v>5938</v>
      </c>
      <c r="B3755">
        <v>100</v>
      </c>
      <c r="C3755" t="s">
        <v>1380</v>
      </c>
      <c r="D3755">
        <v>5</v>
      </c>
      <c r="E3755">
        <v>1.8759999999999999</v>
      </c>
      <c r="F3755">
        <v>2</v>
      </c>
      <c r="G3755">
        <v>2024</v>
      </c>
      <c r="H3755" t="s">
        <v>928</v>
      </c>
      <c r="I3755" t="s">
        <v>6063</v>
      </c>
      <c r="J3755" t="s">
        <v>8954</v>
      </c>
      <c r="K3755" t="s">
        <v>9774</v>
      </c>
    </row>
    <row r="3756" spans="1:11" x14ac:dyDescent="0.4">
      <c r="A3756" t="s">
        <v>5637</v>
      </c>
      <c r="B3756">
        <v>50</v>
      </c>
      <c r="C3756" t="s">
        <v>5726</v>
      </c>
      <c r="D3756">
        <v>3</v>
      </c>
      <c r="E3756">
        <v>0.28599999999999998</v>
      </c>
      <c r="F3756">
        <v>1</v>
      </c>
      <c r="G3756">
        <v>2024</v>
      </c>
      <c r="H3756" t="s">
        <v>928</v>
      </c>
      <c r="I3756" t="s">
        <v>6063</v>
      </c>
      <c r="J3756" t="s">
        <v>8955</v>
      </c>
      <c r="K3756" t="s">
        <v>9775</v>
      </c>
    </row>
    <row r="3757" spans="1:11" x14ac:dyDescent="0.4">
      <c r="A3757" t="s">
        <v>5939</v>
      </c>
      <c r="B3757">
        <v>0</v>
      </c>
      <c r="C3757" t="s">
        <v>5720</v>
      </c>
      <c r="D3757">
        <v>1</v>
      </c>
      <c r="E3757">
        <v>-1.304</v>
      </c>
      <c r="F3757">
        <v>0</v>
      </c>
      <c r="G3757">
        <v>2024</v>
      </c>
      <c r="H3757" t="s">
        <v>928</v>
      </c>
      <c r="I3757" t="s">
        <v>6063</v>
      </c>
      <c r="J3757" t="s">
        <v>8956</v>
      </c>
      <c r="K3757" t="s">
        <v>9776</v>
      </c>
    </row>
    <row r="3758" spans="1:11" x14ac:dyDescent="0.4">
      <c r="A3758" t="s">
        <v>5648</v>
      </c>
      <c r="B3758">
        <v>0</v>
      </c>
      <c r="C3758" t="s">
        <v>5720</v>
      </c>
      <c r="D3758">
        <v>1</v>
      </c>
      <c r="E3758">
        <v>-1.304</v>
      </c>
      <c r="F3758">
        <v>0</v>
      </c>
      <c r="G3758">
        <v>2024</v>
      </c>
      <c r="H3758" t="s">
        <v>928</v>
      </c>
      <c r="I3758" t="s">
        <v>6063</v>
      </c>
      <c r="J3758" t="s">
        <v>8957</v>
      </c>
      <c r="K3758" t="s">
        <v>9777</v>
      </c>
    </row>
    <row r="3759" spans="1:11" x14ac:dyDescent="0.4">
      <c r="A3759" t="s">
        <v>5613</v>
      </c>
      <c r="B3759">
        <v>50</v>
      </c>
      <c r="C3759" t="s">
        <v>5726</v>
      </c>
      <c r="D3759">
        <v>3</v>
      </c>
      <c r="E3759">
        <v>0.28599999999999998</v>
      </c>
      <c r="F3759">
        <v>1</v>
      </c>
      <c r="G3759">
        <v>2024</v>
      </c>
      <c r="H3759" t="s">
        <v>928</v>
      </c>
      <c r="I3759" t="s">
        <v>6063</v>
      </c>
      <c r="J3759" t="s">
        <v>8958</v>
      </c>
      <c r="K3759" t="s">
        <v>9778</v>
      </c>
    </row>
    <row r="3760" spans="1:11" x14ac:dyDescent="0.4">
      <c r="A3760" t="s">
        <v>5618</v>
      </c>
      <c r="B3760">
        <v>0</v>
      </c>
      <c r="C3760" t="s">
        <v>5720</v>
      </c>
      <c r="D3760">
        <v>1</v>
      </c>
      <c r="E3760">
        <v>-1.304</v>
      </c>
      <c r="F3760">
        <v>0</v>
      </c>
      <c r="G3760">
        <v>2024</v>
      </c>
      <c r="H3760" t="s">
        <v>928</v>
      </c>
      <c r="I3760" t="s">
        <v>6063</v>
      </c>
      <c r="J3760" t="s">
        <v>8959</v>
      </c>
      <c r="K3760" t="s">
        <v>9779</v>
      </c>
    </row>
    <row r="3761" spans="1:11" x14ac:dyDescent="0.4">
      <c r="A3761" t="s">
        <v>5611</v>
      </c>
      <c r="B3761">
        <v>50</v>
      </c>
      <c r="C3761" t="s">
        <v>5726</v>
      </c>
      <c r="D3761">
        <v>3</v>
      </c>
      <c r="E3761">
        <v>0.28599999999999998</v>
      </c>
      <c r="F3761">
        <v>1</v>
      </c>
      <c r="G3761">
        <v>2024</v>
      </c>
      <c r="H3761" t="s">
        <v>928</v>
      </c>
      <c r="I3761" t="s">
        <v>6063</v>
      </c>
      <c r="J3761" t="s">
        <v>8960</v>
      </c>
      <c r="K3761" t="s">
        <v>9780</v>
      </c>
    </row>
    <row r="3762" spans="1:11" x14ac:dyDescent="0.4">
      <c r="A3762" t="s">
        <v>5940</v>
      </c>
      <c r="B3762">
        <v>50</v>
      </c>
      <c r="C3762" t="s">
        <v>5726</v>
      </c>
      <c r="D3762">
        <v>3</v>
      </c>
      <c r="E3762">
        <v>0.28599999999999998</v>
      </c>
      <c r="F3762">
        <v>1</v>
      </c>
      <c r="G3762">
        <v>2024</v>
      </c>
      <c r="H3762" t="s">
        <v>928</v>
      </c>
      <c r="I3762" t="s">
        <v>6063</v>
      </c>
      <c r="J3762" t="s">
        <v>8961</v>
      </c>
      <c r="K3762" t="s">
        <v>8962</v>
      </c>
    </row>
    <row r="3763" spans="1:11" x14ac:dyDescent="0.4">
      <c r="A3763" t="s">
        <v>5638</v>
      </c>
      <c r="B3763">
        <v>50</v>
      </c>
      <c r="C3763" t="s">
        <v>5726</v>
      </c>
      <c r="D3763">
        <v>3</v>
      </c>
      <c r="E3763">
        <v>0.28599999999999998</v>
      </c>
      <c r="F3763">
        <v>1</v>
      </c>
      <c r="G3763">
        <v>2024</v>
      </c>
      <c r="H3763" t="s">
        <v>928</v>
      </c>
      <c r="I3763" t="s">
        <v>6063</v>
      </c>
      <c r="J3763" t="s">
        <v>8963</v>
      </c>
      <c r="K3763" t="s">
        <v>6032</v>
      </c>
    </row>
    <row r="3764" spans="1:11" x14ac:dyDescent="0.4">
      <c r="A3764" t="s">
        <v>5639</v>
      </c>
      <c r="B3764">
        <v>50</v>
      </c>
      <c r="C3764" t="s">
        <v>5726</v>
      </c>
      <c r="D3764">
        <v>3</v>
      </c>
      <c r="E3764">
        <v>0.28599999999999998</v>
      </c>
      <c r="F3764">
        <v>1</v>
      </c>
      <c r="G3764">
        <v>2024</v>
      </c>
      <c r="H3764" t="s">
        <v>928</v>
      </c>
      <c r="I3764" t="s">
        <v>6063</v>
      </c>
      <c r="J3764" t="s">
        <v>8964</v>
      </c>
      <c r="K3764" t="s">
        <v>9781</v>
      </c>
    </row>
    <row r="3765" spans="1:11" x14ac:dyDescent="0.4">
      <c r="A3765" t="s">
        <v>5635</v>
      </c>
      <c r="B3765">
        <v>50</v>
      </c>
      <c r="C3765" t="s">
        <v>5726</v>
      </c>
      <c r="D3765">
        <v>3</v>
      </c>
      <c r="E3765">
        <v>0.28599999999999998</v>
      </c>
      <c r="F3765">
        <v>1</v>
      </c>
      <c r="G3765">
        <v>2024</v>
      </c>
      <c r="H3765" t="s">
        <v>928</v>
      </c>
      <c r="I3765" t="s">
        <v>6063</v>
      </c>
      <c r="J3765" t="s">
        <v>8965</v>
      </c>
      <c r="K3765" t="s">
        <v>8966</v>
      </c>
    </row>
    <row r="3766" spans="1:11" x14ac:dyDescent="0.4">
      <c r="A3766" t="s">
        <v>5643</v>
      </c>
      <c r="B3766">
        <v>50</v>
      </c>
      <c r="C3766" t="s">
        <v>5726</v>
      </c>
      <c r="D3766">
        <v>3</v>
      </c>
      <c r="E3766">
        <v>0.28599999999999998</v>
      </c>
      <c r="F3766">
        <v>1</v>
      </c>
      <c r="G3766">
        <v>2024</v>
      </c>
      <c r="H3766" t="s">
        <v>928</v>
      </c>
      <c r="I3766" t="s">
        <v>6063</v>
      </c>
      <c r="J3766" t="s">
        <v>8967</v>
      </c>
      <c r="K3766" t="s">
        <v>9782</v>
      </c>
    </row>
    <row r="3767" spans="1:11" x14ac:dyDescent="0.4">
      <c r="A3767" t="s">
        <v>5636</v>
      </c>
      <c r="B3767">
        <v>100</v>
      </c>
      <c r="C3767" t="s">
        <v>1380</v>
      </c>
      <c r="D3767">
        <v>5</v>
      </c>
      <c r="E3767">
        <v>1.8759999999999999</v>
      </c>
      <c r="F3767">
        <v>2</v>
      </c>
      <c r="G3767">
        <v>2024</v>
      </c>
      <c r="H3767" t="s">
        <v>928</v>
      </c>
      <c r="I3767" t="s">
        <v>6063</v>
      </c>
      <c r="J3767" t="s">
        <v>8968</v>
      </c>
      <c r="K3767" t="s">
        <v>9783</v>
      </c>
    </row>
    <row r="3768" spans="1:11" x14ac:dyDescent="0.4">
      <c r="A3768" t="s">
        <v>5608</v>
      </c>
      <c r="B3768">
        <v>50</v>
      </c>
      <c r="C3768" t="s">
        <v>5726</v>
      </c>
      <c r="D3768">
        <v>3</v>
      </c>
      <c r="E3768">
        <v>0.28599999999999998</v>
      </c>
      <c r="F3768">
        <v>1</v>
      </c>
      <c r="G3768">
        <v>2024</v>
      </c>
      <c r="H3768" t="s">
        <v>928</v>
      </c>
      <c r="I3768" t="s">
        <v>6063</v>
      </c>
      <c r="J3768" t="s">
        <v>8969</v>
      </c>
      <c r="K3768" t="s">
        <v>8970</v>
      </c>
    </row>
    <row r="3769" spans="1:11" x14ac:dyDescent="0.4">
      <c r="A3769" t="s">
        <v>5625</v>
      </c>
      <c r="B3769">
        <v>50</v>
      </c>
      <c r="C3769" t="s">
        <v>5726</v>
      </c>
      <c r="D3769">
        <v>3</v>
      </c>
      <c r="E3769">
        <v>0.28599999999999998</v>
      </c>
      <c r="F3769">
        <v>1</v>
      </c>
      <c r="G3769">
        <v>2024</v>
      </c>
      <c r="H3769" t="s">
        <v>928</v>
      </c>
      <c r="I3769" t="s">
        <v>6063</v>
      </c>
      <c r="J3769" t="s">
        <v>8971</v>
      </c>
      <c r="K3769" t="s">
        <v>9784</v>
      </c>
    </row>
    <row r="3770" spans="1:11" x14ac:dyDescent="0.4">
      <c r="A3770" t="s">
        <v>5641</v>
      </c>
      <c r="B3770">
        <v>50</v>
      </c>
      <c r="C3770" t="s">
        <v>5726</v>
      </c>
      <c r="D3770">
        <v>3</v>
      </c>
      <c r="E3770">
        <v>0.28599999999999998</v>
      </c>
      <c r="F3770">
        <v>1</v>
      </c>
      <c r="G3770">
        <v>2024</v>
      </c>
      <c r="H3770" t="s">
        <v>928</v>
      </c>
      <c r="I3770" t="s">
        <v>6063</v>
      </c>
      <c r="J3770" t="s">
        <v>8972</v>
      </c>
      <c r="K3770" t="s">
        <v>9785</v>
      </c>
    </row>
    <row r="3771" spans="1:11" x14ac:dyDescent="0.4">
      <c r="A3771" t="s">
        <v>5627</v>
      </c>
      <c r="B3771">
        <v>0</v>
      </c>
      <c r="C3771" t="s">
        <v>5720</v>
      </c>
      <c r="D3771">
        <v>1</v>
      </c>
      <c r="E3771">
        <v>-1.304</v>
      </c>
      <c r="F3771">
        <v>0</v>
      </c>
      <c r="G3771">
        <v>2024</v>
      </c>
      <c r="H3771" t="s">
        <v>928</v>
      </c>
      <c r="I3771" t="s">
        <v>6063</v>
      </c>
      <c r="J3771" t="s">
        <v>8973</v>
      </c>
      <c r="K3771" t="s">
        <v>9786</v>
      </c>
    </row>
    <row r="3772" spans="1:11" x14ac:dyDescent="0.4">
      <c r="A3772" t="s">
        <v>5649</v>
      </c>
      <c r="B3772">
        <v>41</v>
      </c>
      <c r="C3772" t="s">
        <v>197</v>
      </c>
      <c r="D3772">
        <v>3</v>
      </c>
    </row>
    <row r="3773" spans="1:11" x14ac:dyDescent="0.4">
      <c r="A3773" t="s">
        <v>5650</v>
      </c>
      <c r="B3773">
        <v>30</v>
      </c>
      <c r="C3773" t="s">
        <v>197</v>
      </c>
      <c r="D3773">
        <v>2</v>
      </c>
    </row>
    <row r="3774" spans="1:11" x14ac:dyDescent="0.4">
      <c r="A3774" t="s">
        <v>5651</v>
      </c>
      <c r="B3774">
        <v>57.1</v>
      </c>
      <c r="C3774" t="s">
        <v>197</v>
      </c>
      <c r="D3774">
        <v>3</v>
      </c>
    </row>
    <row r="3775" spans="1:11" x14ac:dyDescent="0.4">
      <c r="A3775" t="s">
        <v>5652</v>
      </c>
      <c r="B3775">
        <v>25</v>
      </c>
      <c r="C3775" t="s">
        <v>197</v>
      </c>
      <c r="D3775">
        <v>2</v>
      </c>
    </row>
    <row r="3776" spans="1:11" x14ac:dyDescent="0.4">
      <c r="A3776" t="s">
        <v>5653</v>
      </c>
      <c r="B3776">
        <v>45</v>
      </c>
      <c r="C3776" t="s">
        <v>197</v>
      </c>
      <c r="D3776">
        <v>3</v>
      </c>
    </row>
    <row r="3777" spans="1:5" x14ac:dyDescent="0.4">
      <c r="A3777" t="s">
        <v>5654</v>
      </c>
      <c r="B3777">
        <v>25</v>
      </c>
      <c r="C3777" t="s">
        <v>197</v>
      </c>
      <c r="D3777">
        <v>2</v>
      </c>
    </row>
    <row r="3778" spans="1:5" x14ac:dyDescent="0.4">
      <c r="A3778" t="s">
        <v>5655</v>
      </c>
      <c r="B3778">
        <v>50</v>
      </c>
      <c r="C3778" t="s">
        <v>197</v>
      </c>
      <c r="D3778">
        <v>3</v>
      </c>
    </row>
    <row r="3779" spans="1:5" x14ac:dyDescent="0.4">
      <c r="A3779" t="s">
        <v>7441</v>
      </c>
      <c r="B3779">
        <v>18.8</v>
      </c>
      <c r="C3779" t="s">
        <v>197</v>
      </c>
      <c r="D3779">
        <v>1</v>
      </c>
    </row>
    <row r="3780" spans="1:5" x14ac:dyDescent="0.4">
      <c r="A3780" t="s">
        <v>7442</v>
      </c>
      <c r="B3780">
        <v>40.9</v>
      </c>
      <c r="C3780" t="s">
        <v>197</v>
      </c>
      <c r="D3780">
        <v>3</v>
      </c>
    </row>
    <row r="3781" spans="1:5" x14ac:dyDescent="0.4">
      <c r="A3781" t="s">
        <v>7443</v>
      </c>
      <c r="B3781">
        <v>56.5</v>
      </c>
      <c r="C3781" t="s">
        <v>197</v>
      </c>
      <c r="D3781">
        <v>3</v>
      </c>
    </row>
    <row r="3782" spans="1:5" x14ac:dyDescent="0.4">
      <c r="A3782" t="s">
        <v>4512</v>
      </c>
      <c r="B3782">
        <v>0</v>
      </c>
      <c r="C3782" t="s">
        <v>1380</v>
      </c>
      <c r="D3782">
        <v>1</v>
      </c>
      <c r="E3782" t="s">
        <v>197</v>
      </c>
    </row>
    <row r="3783" spans="1:5" x14ac:dyDescent="0.4">
      <c r="A3783" t="s">
        <v>4510</v>
      </c>
      <c r="B3783">
        <v>0</v>
      </c>
      <c r="C3783" t="s">
        <v>1380</v>
      </c>
      <c r="D3783">
        <v>1</v>
      </c>
      <c r="E3783" t="s">
        <v>197</v>
      </c>
    </row>
    <row r="3784" spans="1:5" x14ac:dyDescent="0.4">
      <c r="A3784" t="s">
        <v>4516</v>
      </c>
      <c r="B3784">
        <v>0</v>
      </c>
      <c r="C3784" t="s">
        <v>1380</v>
      </c>
      <c r="D3784">
        <v>1</v>
      </c>
      <c r="E3784" t="s">
        <v>197</v>
      </c>
    </row>
    <row r="3785" spans="1:5" x14ac:dyDescent="0.4">
      <c r="A3785" t="s">
        <v>4540</v>
      </c>
      <c r="B3785">
        <v>0</v>
      </c>
      <c r="C3785" t="s">
        <v>1380</v>
      </c>
      <c r="D3785">
        <v>1</v>
      </c>
      <c r="E3785" t="s">
        <v>197</v>
      </c>
    </row>
    <row r="3786" spans="1:5" x14ac:dyDescent="0.4">
      <c r="A3786" t="s">
        <v>2630</v>
      </c>
      <c r="B3786">
        <v>0</v>
      </c>
      <c r="C3786" t="s">
        <v>1380</v>
      </c>
      <c r="D3786">
        <v>1</v>
      </c>
      <c r="E3786" t="s">
        <v>197</v>
      </c>
    </row>
    <row r="3787" spans="1:5" x14ac:dyDescent="0.4">
      <c r="A3787" t="s">
        <v>4536</v>
      </c>
      <c r="B3787">
        <v>0</v>
      </c>
      <c r="C3787" t="s">
        <v>1380</v>
      </c>
      <c r="D3787">
        <v>1</v>
      </c>
      <c r="E3787" t="s">
        <v>197</v>
      </c>
    </row>
    <row r="3788" spans="1:5" x14ac:dyDescent="0.4">
      <c r="A3788" t="s">
        <v>4520</v>
      </c>
      <c r="B3788">
        <v>0</v>
      </c>
      <c r="C3788" t="s">
        <v>1380</v>
      </c>
      <c r="D3788">
        <v>1</v>
      </c>
      <c r="E3788" t="s">
        <v>197</v>
      </c>
    </row>
    <row r="3789" spans="1:5" x14ac:dyDescent="0.4">
      <c r="A3789" t="s">
        <v>4514</v>
      </c>
      <c r="B3789">
        <v>0</v>
      </c>
      <c r="C3789" t="s">
        <v>1380</v>
      </c>
      <c r="D3789">
        <v>1</v>
      </c>
      <c r="E3789" t="s">
        <v>197</v>
      </c>
    </row>
    <row r="3790" spans="1:5" x14ac:dyDescent="0.4">
      <c r="A3790" t="s">
        <v>4526</v>
      </c>
      <c r="B3790">
        <v>0</v>
      </c>
      <c r="C3790" t="s">
        <v>1380</v>
      </c>
      <c r="D3790">
        <v>1</v>
      </c>
      <c r="E3790" t="s">
        <v>197</v>
      </c>
    </row>
    <row r="3791" spans="1:5" x14ac:dyDescent="0.4">
      <c r="A3791" t="s">
        <v>4518</v>
      </c>
      <c r="B3791">
        <v>0</v>
      </c>
      <c r="C3791" t="s">
        <v>1380</v>
      </c>
      <c r="D3791">
        <v>1</v>
      </c>
      <c r="E3791" t="s">
        <v>197</v>
      </c>
    </row>
    <row r="3792" spans="1:5" x14ac:dyDescent="0.4">
      <c r="A3792" t="s">
        <v>6011</v>
      </c>
      <c r="B3792">
        <v>0</v>
      </c>
      <c r="C3792" t="s">
        <v>1380</v>
      </c>
      <c r="D3792">
        <v>1</v>
      </c>
      <c r="E3792" t="s">
        <v>197</v>
      </c>
    </row>
    <row r="3793" spans="1:5" x14ac:dyDescent="0.4">
      <c r="A3793" t="s">
        <v>4532</v>
      </c>
      <c r="B3793">
        <v>0</v>
      </c>
      <c r="C3793" t="s">
        <v>1380</v>
      </c>
      <c r="D3793">
        <v>1</v>
      </c>
      <c r="E3793" t="s">
        <v>197</v>
      </c>
    </row>
    <row r="3794" spans="1:5" x14ac:dyDescent="0.4">
      <c r="A3794" t="s">
        <v>2631</v>
      </c>
      <c r="B3794">
        <v>0</v>
      </c>
      <c r="C3794" t="s">
        <v>1380</v>
      </c>
      <c r="D3794">
        <v>1</v>
      </c>
      <c r="E3794" t="s">
        <v>197</v>
      </c>
    </row>
    <row r="3795" spans="1:5" x14ac:dyDescent="0.4">
      <c r="A3795" t="s">
        <v>2632</v>
      </c>
      <c r="B3795">
        <v>0</v>
      </c>
      <c r="C3795" t="s">
        <v>1380</v>
      </c>
      <c r="D3795">
        <v>1</v>
      </c>
      <c r="E3795" t="s">
        <v>197</v>
      </c>
    </row>
    <row r="3796" spans="1:5" x14ac:dyDescent="0.4">
      <c r="A3796" t="s">
        <v>4525</v>
      </c>
      <c r="B3796">
        <v>0</v>
      </c>
      <c r="C3796" t="s">
        <v>1380</v>
      </c>
      <c r="D3796">
        <v>1</v>
      </c>
      <c r="E3796" t="s">
        <v>197</v>
      </c>
    </row>
    <row r="3797" spans="1:5" x14ac:dyDescent="0.4">
      <c r="A3797" t="s">
        <v>4539</v>
      </c>
      <c r="B3797">
        <v>0</v>
      </c>
      <c r="C3797" t="s">
        <v>1380</v>
      </c>
      <c r="D3797">
        <v>1</v>
      </c>
      <c r="E3797" t="s">
        <v>197</v>
      </c>
    </row>
    <row r="3798" spans="1:5" x14ac:dyDescent="0.4">
      <c r="A3798" t="s">
        <v>2633</v>
      </c>
      <c r="B3798">
        <v>0</v>
      </c>
      <c r="C3798" t="s">
        <v>1380</v>
      </c>
      <c r="D3798">
        <v>1</v>
      </c>
      <c r="E3798" t="s">
        <v>197</v>
      </c>
    </row>
    <row r="3799" spans="1:5" x14ac:dyDescent="0.4">
      <c r="A3799" t="s">
        <v>2634</v>
      </c>
      <c r="B3799">
        <v>0</v>
      </c>
      <c r="C3799" t="s">
        <v>1380</v>
      </c>
      <c r="D3799">
        <v>1</v>
      </c>
      <c r="E3799" t="s">
        <v>197</v>
      </c>
    </row>
    <row r="3800" spans="1:5" x14ac:dyDescent="0.4">
      <c r="A3800" t="s">
        <v>2635</v>
      </c>
      <c r="B3800">
        <v>0</v>
      </c>
      <c r="C3800" t="s">
        <v>1380</v>
      </c>
      <c r="D3800">
        <v>1</v>
      </c>
      <c r="E3800" t="s">
        <v>197</v>
      </c>
    </row>
    <row r="3801" spans="1:5" x14ac:dyDescent="0.4">
      <c r="A3801" t="s">
        <v>4509</v>
      </c>
      <c r="B3801">
        <v>0</v>
      </c>
      <c r="C3801" t="s">
        <v>1380</v>
      </c>
      <c r="D3801">
        <v>1</v>
      </c>
      <c r="E3801" t="s">
        <v>197</v>
      </c>
    </row>
    <row r="3802" spans="1:5" x14ac:dyDescent="0.4">
      <c r="A3802" t="s">
        <v>4529</v>
      </c>
      <c r="B3802">
        <v>0</v>
      </c>
      <c r="C3802" t="s">
        <v>1380</v>
      </c>
      <c r="D3802">
        <v>1</v>
      </c>
      <c r="E3802" t="s">
        <v>197</v>
      </c>
    </row>
    <row r="3803" spans="1:5" x14ac:dyDescent="0.4">
      <c r="A3803" t="s">
        <v>4533</v>
      </c>
      <c r="B3803">
        <v>0</v>
      </c>
      <c r="C3803" t="s">
        <v>1380</v>
      </c>
      <c r="D3803">
        <v>1</v>
      </c>
      <c r="E3803" t="s">
        <v>197</v>
      </c>
    </row>
    <row r="3804" spans="1:5" x14ac:dyDescent="0.4">
      <c r="A3804" t="s">
        <v>4531</v>
      </c>
      <c r="B3804">
        <v>0</v>
      </c>
      <c r="C3804" t="s">
        <v>1380</v>
      </c>
      <c r="D3804">
        <v>1</v>
      </c>
      <c r="E3804" t="s">
        <v>197</v>
      </c>
    </row>
    <row r="3805" spans="1:5" x14ac:dyDescent="0.4">
      <c r="A3805" t="s">
        <v>4519</v>
      </c>
      <c r="B3805">
        <v>0</v>
      </c>
      <c r="C3805" t="s">
        <v>1380</v>
      </c>
      <c r="D3805">
        <v>1</v>
      </c>
      <c r="E3805" t="s">
        <v>197</v>
      </c>
    </row>
    <row r="3806" spans="1:5" x14ac:dyDescent="0.4">
      <c r="A3806" t="s">
        <v>4508</v>
      </c>
      <c r="B3806">
        <v>0</v>
      </c>
      <c r="C3806" t="s">
        <v>1380</v>
      </c>
      <c r="D3806">
        <v>1</v>
      </c>
      <c r="E3806" t="s">
        <v>197</v>
      </c>
    </row>
    <row r="3807" spans="1:5" x14ac:dyDescent="0.4">
      <c r="A3807" t="s">
        <v>4522</v>
      </c>
      <c r="B3807">
        <v>0</v>
      </c>
      <c r="C3807" t="s">
        <v>1380</v>
      </c>
      <c r="D3807">
        <v>1</v>
      </c>
      <c r="E3807" t="s">
        <v>197</v>
      </c>
    </row>
    <row r="3808" spans="1:5" x14ac:dyDescent="0.4">
      <c r="A3808" t="s">
        <v>4523</v>
      </c>
      <c r="B3808">
        <v>0</v>
      </c>
      <c r="C3808" t="s">
        <v>1380</v>
      </c>
      <c r="D3808">
        <v>1</v>
      </c>
      <c r="E3808" t="s">
        <v>197</v>
      </c>
    </row>
    <row r="3809" spans="1:5" x14ac:dyDescent="0.4">
      <c r="A3809" t="s">
        <v>4541</v>
      </c>
      <c r="B3809">
        <v>0</v>
      </c>
      <c r="C3809" t="s">
        <v>1380</v>
      </c>
      <c r="D3809">
        <v>1</v>
      </c>
      <c r="E3809" t="s">
        <v>197</v>
      </c>
    </row>
    <row r="3810" spans="1:5" x14ac:dyDescent="0.4">
      <c r="A3810" t="s">
        <v>2636</v>
      </c>
      <c r="B3810">
        <v>0</v>
      </c>
      <c r="C3810" t="s">
        <v>1380</v>
      </c>
      <c r="D3810">
        <v>1</v>
      </c>
      <c r="E3810" t="s">
        <v>197</v>
      </c>
    </row>
    <row r="3811" spans="1:5" x14ac:dyDescent="0.4">
      <c r="A3811" t="s">
        <v>2637</v>
      </c>
      <c r="B3811">
        <v>0</v>
      </c>
      <c r="C3811" t="s">
        <v>1380</v>
      </c>
      <c r="D3811">
        <v>1</v>
      </c>
      <c r="E3811" t="s">
        <v>197</v>
      </c>
    </row>
    <row r="3812" spans="1:5" x14ac:dyDescent="0.4">
      <c r="A3812" t="s">
        <v>4524</v>
      </c>
      <c r="B3812">
        <v>0</v>
      </c>
      <c r="C3812" t="s">
        <v>1380</v>
      </c>
      <c r="D3812">
        <v>1</v>
      </c>
      <c r="E3812" t="s">
        <v>197</v>
      </c>
    </row>
    <row r="3813" spans="1:5" x14ac:dyDescent="0.4">
      <c r="A3813" t="s">
        <v>4530</v>
      </c>
      <c r="B3813">
        <v>0</v>
      </c>
      <c r="C3813" t="s">
        <v>1380</v>
      </c>
      <c r="D3813">
        <v>1</v>
      </c>
      <c r="E3813" t="s">
        <v>197</v>
      </c>
    </row>
    <row r="3814" spans="1:5" x14ac:dyDescent="0.4">
      <c r="A3814" t="s">
        <v>4511</v>
      </c>
      <c r="B3814">
        <v>0</v>
      </c>
      <c r="C3814" t="s">
        <v>1380</v>
      </c>
      <c r="D3814">
        <v>1</v>
      </c>
      <c r="E3814" t="s">
        <v>197</v>
      </c>
    </row>
    <row r="3815" spans="1:5" x14ac:dyDescent="0.4">
      <c r="A3815" t="s">
        <v>5941</v>
      </c>
      <c r="B3815">
        <v>0</v>
      </c>
      <c r="C3815" t="s">
        <v>1380</v>
      </c>
      <c r="D3815">
        <v>1</v>
      </c>
      <c r="E3815" t="s">
        <v>197</v>
      </c>
    </row>
    <row r="3816" spans="1:5" x14ac:dyDescent="0.4">
      <c r="A3816" t="s">
        <v>4534</v>
      </c>
      <c r="B3816">
        <v>0</v>
      </c>
      <c r="C3816" t="s">
        <v>1380</v>
      </c>
      <c r="D3816">
        <v>1</v>
      </c>
      <c r="E3816" t="s">
        <v>197</v>
      </c>
    </row>
    <row r="3817" spans="1:5" x14ac:dyDescent="0.4">
      <c r="A3817" t="s">
        <v>5942</v>
      </c>
      <c r="B3817">
        <v>0</v>
      </c>
      <c r="C3817" t="s">
        <v>1380</v>
      </c>
      <c r="D3817">
        <v>1</v>
      </c>
      <c r="E3817" t="s">
        <v>197</v>
      </c>
    </row>
    <row r="3818" spans="1:5" x14ac:dyDescent="0.4">
      <c r="A3818" t="s">
        <v>4542</v>
      </c>
      <c r="B3818">
        <v>0</v>
      </c>
      <c r="C3818" t="s">
        <v>1380</v>
      </c>
      <c r="D3818">
        <v>1</v>
      </c>
      <c r="E3818" t="s">
        <v>197</v>
      </c>
    </row>
    <row r="3819" spans="1:5" x14ac:dyDescent="0.4">
      <c r="A3819" t="s">
        <v>4517</v>
      </c>
      <c r="B3819">
        <v>0</v>
      </c>
      <c r="C3819" t="s">
        <v>1380</v>
      </c>
      <c r="D3819">
        <v>1</v>
      </c>
      <c r="E3819" t="s">
        <v>197</v>
      </c>
    </row>
    <row r="3820" spans="1:5" x14ac:dyDescent="0.4">
      <c r="A3820" t="s">
        <v>4521</v>
      </c>
      <c r="B3820">
        <v>0</v>
      </c>
      <c r="C3820" t="s">
        <v>1380</v>
      </c>
      <c r="D3820">
        <v>1</v>
      </c>
      <c r="E3820" t="s">
        <v>197</v>
      </c>
    </row>
    <row r="3821" spans="1:5" x14ac:dyDescent="0.4">
      <c r="A3821" t="s">
        <v>4515</v>
      </c>
      <c r="B3821">
        <v>0</v>
      </c>
      <c r="C3821" t="s">
        <v>1380</v>
      </c>
      <c r="D3821">
        <v>1</v>
      </c>
      <c r="E3821" t="s">
        <v>197</v>
      </c>
    </row>
    <row r="3822" spans="1:5" x14ac:dyDescent="0.4">
      <c r="A3822" t="s">
        <v>5943</v>
      </c>
      <c r="B3822">
        <v>0</v>
      </c>
      <c r="C3822" t="s">
        <v>1380</v>
      </c>
      <c r="D3822">
        <v>1</v>
      </c>
      <c r="E3822" t="s">
        <v>197</v>
      </c>
    </row>
    <row r="3823" spans="1:5" x14ac:dyDescent="0.4">
      <c r="A3823" t="s">
        <v>4535</v>
      </c>
      <c r="B3823">
        <v>0</v>
      </c>
      <c r="C3823" t="s">
        <v>1380</v>
      </c>
      <c r="D3823">
        <v>1</v>
      </c>
      <c r="E3823" t="s">
        <v>197</v>
      </c>
    </row>
    <row r="3824" spans="1:5" x14ac:dyDescent="0.4">
      <c r="A3824" t="s">
        <v>2638</v>
      </c>
      <c r="B3824">
        <v>0</v>
      </c>
      <c r="C3824" t="s">
        <v>1380</v>
      </c>
      <c r="D3824">
        <v>1</v>
      </c>
      <c r="E3824" t="s">
        <v>197</v>
      </c>
    </row>
    <row r="3825" spans="1:5" x14ac:dyDescent="0.4">
      <c r="A3825" t="s">
        <v>2639</v>
      </c>
      <c r="B3825">
        <v>0</v>
      </c>
      <c r="C3825" t="s">
        <v>1380</v>
      </c>
      <c r="D3825">
        <v>1</v>
      </c>
      <c r="E3825" t="s">
        <v>197</v>
      </c>
    </row>
    <row r="3826" spans="1:5" x14ac:dyDescent="0.4">
      <c r="A3826" t="s">
        <v>4538</v>
      </c>
      <c r="B3826">
        <v>0</v>
      </c>
      <c r="C3826" t="s">
        <v>1380</v>
      </c>
      <c r="D3826">
        <v>1</v>
      </c>
      <c r="E3826" t="s">
        <v>197</v>
      </c>
    </row>
    <row r="3827" spans="1:5" x14ac:dyDescent="0.4">
      <c r="A3827" t="s">
        <v>2640</v>
      </c>
      <c r="B3827">
        <v>0</v>
      </c>
      <c r="C3827" t="s">
        <v>1380</v>
      </c>
      <c r="D3827">
        <v>1</v>
      </c>
      <c r="E3827" t="s">
        <v>197</v>
      </c>
    </row>
    <row r="3828" spans="1:5" x14ac:dyDescent="0.4">
      <c r="A3828" t="s">
        <v>4513</v>
      </c>
      <c r="B3828">
        <v>0</v>
      </c>
      <c r="C3828" t="s">
        <v>1380</v>
      </c>
      <c r="D3828">
        <v>1</v>
      </c>
      <c r="E3828" t="s">
        <v>197</v>
      </c>
    </row>
    <row r="3829" spans="1:5" x14ac:dyDescent="0.4">
      <c r="A3829" t="s">
        <v>4527</v>
      </c>
      <c r="B3829">
        <v>0</v>
      </c>
      <c r="C3829" t="s">
        <v>1380</v>
      </c>
      <c r="D3829">
        <v>1</v>
      </c>
      <c r="E3829" t="s">
        <v>197</v>
      </c>
    </row>
    <row r="3830" spans="1:5" x14ac:dyDescent="0.4">
      <c r="A3830" t="s">
        <v>4537</v>
      </c>
      <c r="B3830">
        <v>0</v>
      </c>
      <c r="C3830" t="s">
        <v>1380</v>
      </c>
      <c r="D3830">
        <v>1</v>
      </c>
      <c r="E3830" t="s">
        <v>197</v>
      </c>
    </row>
    <row r="3831" spans="1:5" x14ac:dyDescent="0.4">
      <c r="A3831" t="s">
        <v>4528</v>
      </c>
      <c r="B3831">
        <v>0</v>
      </c>
      <c r="C3831" t="s">
        <v>1380</v>
      </c>
      <c r="D3831">
        <v>1</v>
      </c>
      <c r="E3831" t="s">
        <v>197</v>
      </c>
    </row>
    <row r="3832" spans="1:5" x14ac:dyDescent="0.4">
      <c r="A3832" t="s">
        <v>2641</v>
      </c>
      <c r="B3832">
        <v>0</v>
      </c>
      <c r="C3832" t="s">
        <v>197</v>
      </c>
      <c r="D3832">
        <v>1</v>
      </c>
    </row>
    <row r="3833" spans="1:5" x14ac:dyDescent="0.4">
      <c r="A3833" t="s">
        <v>2642</v>
      </c>
      <c r="B3833">
        <v>0</v>
      </c>
      <c r="C3833" t="s">
        <v>197</v>
      </c>
      <c r="D3833">
        <v>1</v>
      </c>
    </row>
    <row r="3834" spans="1:5" x14ac:dyDescent="0.4">
      <c r="A3834" t="s">
        <v>2643</v>
      </c>
      <c r="B3834">
        <v>0</v>
      </c>
      <c r="C3834" t="s">
        <v>197</v>
      </c>
      <c r="D3834">
        <v>1</v>
      </c>
    </row>
    <row r="3835" spans="1:5" x14ac:dyDescent="0.4">
      <c r="A3835" t="s">
        <v>2644</v>
      </c>
      <c r="B3835">
        <v>0</v>
      </c>
      <c r="C3835" t="s">
        <v>197</v>
      </c>
      <c r="D3835">
        <v>1</v>
      </c>
    </row>
    <row r="3836" spans="1:5" x14ac:dyDescent="0.4">
      <c r="A3836" t="s">
        <v>2645</v>
      </c>
      <c r="B3836">
        <v>0</v>
      </c>
      <c r="C3836" t="s">
        <v>197</v>
      </c>
      <c r="D3836">
        <v>1</v>
      </c>
    </row>
    <row r="3837" spans="1:5" x14ac:dyDescent="0.4">
      <c r="A3837" t="s">
        <v>2646</v>
      </c>
      <c r="B3837">
        <v>0</v>
      </c>
      <c r="C3837" t="s">
        <v>197</v>
      </c>
      <c r="D3837">
        <v>1</v>
      </c>
    </row>
    <row r="3838" spans="1:5" x14ac:dyDescent="0.4">
      <c r="A3838" t="s">
        <v>2647</v>
      </c>
      <c r="B3838">
        <v>0</v>
      </c>
      <c r="C3838" t="s">
        <v>197</v>
      </c>
      <c r="D3838">
        <v>1</v>
      </c>
    </row>
    <row r="3839" spans="1:5" x14ac:dyDescent="0.4">
      <c r="A3839" t="s">
        <v>7444</v>
      </c>
      <c r="B3839">
        <v>0</v>
      </c>
      <c r="C3839" t="s">
        <v>197</v>
      </c>
      <c r="D3839">
        <v>1</v>
      </c>
    </row>
    <row r="3840" spans="1:5" x14ac:dyDescent="0.4">
      <c r="A3840" t="s">
        <v>7445</v>
      </c>
      <c r="B3840">
        <v>0</v>
      </c>
      <c r="C3840" t="s">
        <v>197</v>
      </c>
      <c r="D3840">
        <v>1</v>
      </c>
    </row>
    <row r="3841" spans="1:12" x14ac:dyDescent="0.4">
      <c r="A3841" t="s">
        <v>7446</v>
      </c>
      <c r="B3841">
        <v>0</v>
      </c>
      <c r="C3841" t="s">
        <v>197</v>
      </c>
      <c r="D3841">
        <v>1</v>
      </c>
    </row>
    <row r="3842" spans="1:12" x14ac:dyDescent="0.4">
      <c r="A3842" t="s">
        <v>6066</v>
      </c>
      <c r="B3842">
        <v>0</v>
      </c>
      <c r="C3842" t="s">
        <v>6044</v>
      </c>
      <c r="D3842">
        <v>1</v>
      </c>
      <c r="E3842">
        <v>-1.1200000000000001</v>
      </c>
      <c r="F3842" t="s">
        <v>197</v>
      </c>
      <c r="G3842" t="s">
        <v>197</v>
      </c>
      <c r="H3842" t="s">
        <v>928</v>
      </c>
      <c r="L3842" t="s">
        <v>197</v>
      </c>
    </row>
    <row r="3843" spans="1:12" x14ac:dyDescent="0.4">
      <c r="A3843" t="s">
        <v>6067</v>
      </c>
      <c r="B3843">
        <v>0</v>
      </c>
      <c r="C3843" t="s">
        <v>6044</v>
      </c>
      <c r="D3843">
        <v>1</v>
      </c>
      <c r="E3843">
        <v>-1.1200000000000001</v>
      </c>
      <c r="F3843" t="s">
        <v>197</v>
      </c>
      <c r="G3843" t="s">
        <v>197</v>
      </c>
      <c r="H3843" t="s">
        <v>928</v>
      </c>
      <c r="L3843" t="s">
        <v>197</v>
      </c>
    </row>
    <row r="3844" spans="1:12" x14ac:dyDescent="0.4">
      <c r="A3844" t="s">
        <v>6068</v>
      </c>
      <c r="B3844">
        <v>67.8</v>
      </c>
      <c r="C3844" t="s">
        <v>6584</v>
      </c>
      <c r="D3844">
        <v>4</v>
      </c>
      <c r="E3844">
        <v>0.79300000000000004</v>
      </c>
      <c r="F3844">
        <v>27</v>
      </c>
      <c r="G3844">
        <v>2020</v>
      </c>
      <c r="H3844" t="s">
        <v>928</v>
      </c>
      <c r="I3844" t="s">
        <v>6596</v>
      </c>
      <c r="L3844" t="s">
        <v>197</v>
      </c>
    </row>
    <row r="3845" spans="1:12" x14ac:dyDescent="0.4">
      <c r="A3845" t="s">
        <v>6069</v>
      </c>
      <c r="B3845">
        <v>56.5</v>
      </c>
      <c r="C3845" t="s">
        <v>6034</v>
      </c>
      <c r="D3845">
        <v>3</v>
      </c>
      <c r="E3845">
        <v>0.47399999999999998</v>
      </c>
      <c r="F3845">
        <v>31.2</v>
      </c>
      <c r="G3845">
        <v>2016</v>
      </c>
      <c r="H3845" t="s">
        <v>928</v>
      </c>
      <c r="I3845" t="s">
        <v>6596</v>
      </c>
      <c r="L3845" t="s">
        <v>197</v>
      </c>
    </row>
    <row r="3846" spans="1:12" x14ac:dyDescent="0.4">
      <c r="A3846" t="s">
        <v>6070</v>
      </c>
      <c r="B3846">
        <v>100</v>
      </c>
      <c r="C3846" t="s">
        <v>2479</v>
      </c>
      <c r="D3846">
        <v>5</v>
      </c>
      <c r="E3846">
        <v>1.7010000000000001</v>
      </c>
      <c r="F3846">
        <v>15.1</v>
      </c>
      <c r="G3846">
        <v>2019</v>
      </c>
      <c r="H3846" t="s">
        <v>928</v>
      </c>
      <c r="I3846" t="s">
        <v>6596</v>
      </c>
      <c r="L3846" t="s">
        <v>197</v>
      </c>
    </row>
    <row r="3847" spans="1:12" x14ac:dyDescent="0.4">
      <c r="A3847" t="s">
        <v>6071</v>
      </c>
      <c r="B3847">
        <v>0</v>
      </c>
      <c r="C3847" t="s">
        <v>6044</v>
      </c>
      <c r="D3847">
        <v>1</v>
      </c>
      <c r="E3847">
        <v>-1.1200000000000001</v>
      </c>
      <c r="F3847" t="s">
        <v>197</v>
      </c>
      <c r="G3847" t="s">
        <v>197</v>
      </c>
      <c r="H3847" t="s">
        <v>928</v>
      </c>
      <c r="L3847" t="s">
        <v>197</v>
      </c>
    </row>
    <row r="3848" spans="1:12" x14ac:dyDescent="0.4">
      <c r="A3848" t="s">
        <v>6072</v>
      </c>
      <c r="B3848">
        <v>48.1</v>
      </c>
      <c r="C3848" t="s">
        <v>5706</v>
      </c>
      <c r="D3848">
        <v>3</v>
      </c>
      <c r="E3848">
        <v>0.23699999999999999</v>
      </c>
      <c r="F3848">
        <v>34.299999999999997</v>
      </c>
      <c r="G3848">
        <v>2020</v>
      </c>
      <c r="H3848" t="s">
        <v>928</v>
      </c>
      <c r="I3848" t="s">
        <v>6596</v>
      </c>
      <c r="L3848" t="s">
        <v>197</v>
      </c>
    </row>
    <row r="3849" spans="1:12" x14ac:dyDescent="0.4">
      <c r="A3849" t="s">
        <v>6073</v>
      </c>
      <c r="B3849">
        <v>64.900000000000006</v>
      </c>
      <c r="C3849" t="s">
        <v>6579</v>
      </c>
      <c r="D3849">
        <v>4</v>
      </c>
      <c r="E3849">
        <v>0.71099999999999997</v>
      </c>
      <c r="F3849">
        <v>28.1</v>
      </c>
      <c r="G3849">
        <v>2020</v>
      </c>
      <c r="H3849" t="s">
        <v>928</v>
      </c>
      <c r="I3849" t="s">
        <v>6596</v>
      </c>
      <c r="L3849" t="s">
        <v>197</v>
      </c>
    </row>
    <row r="3850" spans="1:12" x14ac:dyDescent="0.4">
      <c r="A3850" t="s">
        <v>6074</v>
      </c>
      <c r="B3850">
        <v>8.1</v>
      </c>
      <c r="C3850" t="s">
        <v>5727</v>
      </c>
      <c r="D3850">
        <v>1</v>
      </c>
      <c r="E3850">
        <v>-0.89100000000000001</v>
      </c>
      <c r="F3850">
        <v>49.1</v>
      </c>
      <c r="G3850">
        <v>2019</v>
      </c>
      <c r="H3850" t="s">
        <v>928</v>
      </c>
      <c r="I3850" t="s">
        <v>6596</v>
      </c>
      <c r="L3850" t="s">
        <v>197</v>
      </c>
    </row>
    <row r="3851" spans="1:12" x14ac:dyDescent="0.4">
      <c r="A3851" t="s">
        <v>6075</v>
      </c>
      <c r="B3851">
        <v>0</v>
      </c>
      <c r="C3851" t="s">
        <v>6044</v>
      </c>
      <c r="D3851">
        <v>1</v>
      </c>
      <c r="E3851">
        <v>-1.1200000000000001</v>
      </c>
      <c r="F3851">
        <v>53.7</v>
      </c>
      <c r="G3851">
        <v>2019</v>
      </c>
      <c r="H3851" t="s">
        <v>928</v>
      </c>
      <c r="I3851" t="s">
        <v>6596</v>
      </c>
      <c r="L3851" t="s">
        <v>197</v>
      </c>
    </row>
    <row r="3852" spans="1:12" x14ac:dyDescent="0.4">
      <c r="A3852" t="s">
        <v>6076</v>
      </c>
      <c r="B3852">
        <v>71.900000000000006</v>
      </c>
      <c r="C3852" t="s">
        <v>5707</v>
      </c>
      <c r="D3852">
        <v>4</v>
      </c>
      <c r="E3852">
        <v>0.90800000000000003</v>
      </c>
      <c r="F3852">
        <v>25.5</v>
      </c>
      <c r="G3852">
        <v>2014</v>
      </c>
      <c r="H3852" t="s">
        <v>928</v>
      </c>
      <c r="I3852" t="s">
        <v>6596</v>
      </c>
      <c r="L3852" t="s">
        <v>197</v>
      </c>
    </row>
    <row r="3853" spans="1:12" x14ac:dyDescent="0.4">
      <c r="A3853" t="s">
        <v>6077</v>
      </c>
      <c r="B3853">
        <v>0</v>
      </c>
      <c r="C3853" t="s">
        <v>6044</v>
      </c>
      <c r="D3853">
        <v>1</v>
      </c>
      <c r="E3853">
        <v>-1.1200000000000001</v>
      </c>
      <c r="F3853" t="s">
        <v>197</v>
      </c>
      <c r="G3853" t="s">
        <v>197</v>
      </c>
      <c r="H3853" t="s">
        <v>928</v>
      </c>
      <c r="L3853" t="s">
        <v>197</v>
      </c>
    </row>
    <row r="3854" spans="1:12" x14ac:dyDescent="0.4">
      <c r="A3854" t="s">
        <v>6078</v>
      </c>
      <c r="B3854">
        <v>0</v>
      </c>
      <c r="C3854" t="s">
        <v>6044</v>
      </c>
      <c r="D3854">
        <v>1</v>
      </c>
      <c r="E3854">
        <v>-1.1200000000000001</v>
      </c>
      <c r="F3854" t="s">
        <v>197</v>
      </c>
      <c r="G3854" t="s">
        <v>197</v>
      </c>
      <c r="H3854" t="s">
        <v>928</v>
      </c>
      <c r="L3854" t="s">
        <v>197</v>
      </c>
    </row>
    <row r="3855" spans="1:12" x14ac:dyDescent="0.4">
      <c r="A3855" t="s">
        <v>6079</v>
      </c>
      <c r="B3855">
        <v>86.5</v>
      </c>
      <c r="C3855" t="s">
        <v>2475</v>
      </c>
      <c r="D3855">
        <v>5</v>
      </c>
      <c r="E3855">
        <v>1.32</v>
      </c>
      <c r="F3855">
        <v>20.100000000000001</v>
      </c>
      <c r="G3855">
        <v>2020</v>
      </c>
      <c r="H3855" t="s">
        <v>928</v>
      </c>
      <c r="I3855" t="s">
        <v>6596</v>
      </c>
      <c r="L3855" t="s">
        <v>197</v>
      </c>
    </row>
    <row r="3856" spans="1:12" x14ac:dyDescent="0.4">
      <c r="A3856" t="s">
        <v>6080</v>
      </c>
      <c r="B3856">
        <v>50.3</v>
      </c>
      <c r="C3856" t="s">
        <v>5731</v>
      </c>
      <c r="D3856">
        <v>3</v>
      </c>
      <c r="E3856">
        <v>0.29899999999999999</v>
      </c>
      <c r="F3856">
        <v>33.5</v>
      </c>
      <c r="G3856">
        <v>2020</v>
      </c>
      <c r="H3856" t="s">
        <v>928</v>
      </c>
      <c r="I3856" t="s">
        <v>6596</v>
      </c>
      <c r="L3856" t="s">
        <v>197</v>
      </c>
    </row>
    <row r="3857" spans="1:12" x14ac:dyDescent="0.4">
      <c r="A3857" t="s">
        <v>6081</v>
      </c>
      <c r="B3857">
        <v>0</v>
      </c>
      <c r="C3857" t="s">
        <v>6044</v>
      </c>
      <c r="D3857">
        <v>1</v>
      </c>
      <c r="E3857">
        <v>-1.1200000000000001</v>
      </c>
      <c r="F3857" t="s">
        <v>197</v>
      </c>
      <c r="G3857" t="s">
        <v>197</v>
      </c>
      <c r="H3857" t="s">
        <v>928</v>
      </c>
      <c r="L3857" t="s">
        <v>197</v>
      </c>
    </row>
    <row r="3858" spans="1:12" x14ac:dyDescent="0.4">
      <c r="A3858" t="s">
        <v>6082</v>
      </c>
      <c r="B3858">
        <v>83</v>
      </c>
      <c r="C3858" t="s">
        <v>2476</v>
      </c>
      <c r="D3858">
        <v>5</v>
      </c>
      <c r="E3858">
        <v>1.2210000000000001</v>
      </c>
      <c r="F3858">
        <v>21.4</v>
      </c>
      <c r="G3858">
        <v>2017</v>
      </c>
      <c r="H3858" t="s">
        <v>928</v>
      </c>
      <c r="I3858" t="s">
        <v>6596</v>
      </c>
      <c r="L3858" t="s">
        <v>197</v>
      </c>
    </row>
    <row r="3859" spans="1:12" x14ac:dyDescent="0.4">
      <c r="A3859" t="s">
        <v>6083</v>
      </c>
      <c r="B3859">
        <v>41.4</v>
      </c>
      <c r="C3859" t="s">
        <v>5693</v>
      </c>
      <c r="D3859">
        <v>3</v>
      </c>
      <c r="E3859">
        <v>4.8000000000000001E-2</v>
      </c>
      <c r="F3859">
        <v>36.799999999999997</v>
      </c>
      <c r="G3859">
        <v>2019</v>
      </c>
      <c r="H3859" t="s">
        <v>928</v>
      </c>
      <c r="I3859" t="s">
        <v>6596</v>
      </c>
      <c r="L3859" t="s">
        <v>197</v>
      </c>
    </row>
    <row r="3860" spans="1:12" x14ac:dyDescent="0.4">
      <c r="A3860" t="s">
        <v>6084</v>
      </c>
      <c r="B3860">
        <v>0</v>
      </c>
      <c r="C3860" t="s">
        <v>6044</v>
      </c>
      <c r="D3860">
        <v>1</v>
      </c>
      <c r="E3860">
        <v>-1.1200000000000001</v>
      </c>
      <c r="F3860" t="s">
        <v>197</v>
      </c>
      <c r="G3860" t="s">
        <v>197</v>
      </c>
      <c r="H3860" t="s">
        <v>928</v>
      </c>
      <c r="L3860" t="s">
        <v>197</v>
      </c>
    </row>
    <row r="3861" spans="1:12" x14ac:dyDescent="0.4">
      <c r="A3861" t="s">
        <v>6085</v>
      </c>
      <c r="B3861">
        <v>89.7</v>
      </c>
      <c r="C3861" t="s">
        <v>2478</v>
      </c>
      <c r="D3861">
        <v>5</v>
      </c>
      <c r="E3861">
        <v>1.41</v>
      </c>
      <c r="F3861">
        <v>18.899999999999999</v>
      </c>
      <c r="G3861">
        <v>2018</v>
      </c>
      <c r="H3861" t="s">
        <v>928</v>
      </c>
      <c r="I3861" t="s">
        <v>6596</v>
      </c>
      <c r="L3861" t="s">
        <v>197</v>
      </c>
    </row>
    <row r="3862" spans="1:12" x14ac:dyDescent="0.4">
      <c r="A3862" t="s">
        <v>6086</v>
      </c>
      <c r="B3862">
        <v>0</v>
      </c>
      <c r="C3862" t="s">
        <v>6044</v>
      </c>
      <c r="D3862">
        <v>1</v>
      </c>
      <c r="E3862">
        <v>-1.1200000000000001</v>
      </c>
      <c r="F3862" t="s">
        <v>197</v>
      </c>
      <c r="G3862" t="s">
        <v>197</v>
      </c>
      <c r="H3862" t="s">
        <v>928</v>
      </c>
      <c r="L3862" t="s">
        <v>197</v>
      </c>
    </row>
    <row r="3863" spans="1:12" x14ac:dyDescent="0.4">
      <c r="A3863" t="s">
        <v>6087</v>
      </c>
      <c r="B3863">
        <v>0</v>
      </c>
      <c r="C3863" t="s">
        <v>6044</v>
      </c>
      <c r="D3863">
        <v>1</v>
      </c>
      <c r="E3863">
        <v>-1.1200000000000001</v>
      </c>
      <c r="F3863" t="s">
        <v>197</v>
      </c>
      <c r="G3863" t="s">
        <v>197</v>
      </c>
      <c r="H3863" t="s">
        <v>928</v>
      </c>
      <c r="L3863" t="s">
        <v>197</v>
      </c>
    </row>
    <row r="3864" spans="1:12" x14ac:dyDescent="0.4">
      <c r="A3864" t="s">
        <v>6088</v>
      </c>
      <c r="B3864">
        <v>0</v>
      </c>
      <c r="C3864" t="s">
        <v>6044</v>
      </c>
      <c r="D3864">
        <v>1</v>
      </c>
      <c r="E3864">
        <v>-1.1200000000000001</v>
      </c>
      <c r="F3864" t="s">
        <v>197</v>
      </c>
      <c r="G3864" t="s">
        <v>197</v>
      </c>
      <c r="H3864" t="s">
        <v>928</v>
      </c>
      <c r="L3864" t="s">
        <v>197</v>
      </c>
    </row>
    <row r="3865" spans="1:12" x14ac:dyDescent="0.4">
      <c r="A3865" t="s">
        <v>6089</v>
      </c>
      <c r="B3865">
        <v>30</v>
      </c>
      <c r="C3865" t="s">
        <v>5736</v>
      </c>
      <c r="D3865">
        <v>2</v>
      </c>
      <c r="E3865">
        <v>-0.27400000000000002</v>
      </c>
      <c r="F3865">
        <v>41</v>
      </c>
      <c r="G3865">
        <v>2019</v>
      </c>
      <c r="H3865" t="s">
        <v>928</v>
      </c>
      <c r="I3865" t="s">
        <v>6596</v>
      </c>
      <c r="L3865" t="s">
        <v>197</v>
      </c>
    </row>
    <row r="3866" spans="1:12" x14ac:dyDescent="0.4">
      <c r="A3866" t="s">
        <v>6090</v>
      </c>
      <c r="B3866">
        <v>0</v>
      </c>
      <c r="C3866" t="s">
        <v>6044</v>
      </c>
      <c r="D3866">
        <v>1</v>
      </c>
      <c r="E3866">
        <v>-1.1200000000000001</v>
      </c>
      <c r="F3866" t="s">
        <v>197</v>
      </c>
      <c r="G3866" t="s">
        <v>197</v>
      </c>
      <c r="H3866" t="s">
        <v>928</v>
      </c>
      <c r="L3866" t="s">
        <v>197</v>
      </c>
    </row>
    <row r="3867" spans="1:12" x14ac:dyDescent="0.4">
      <c r="A3867" t="s">
        <v>6091</v>
      </c>
      <c r="B3867">
        <v>81.400000000000006</v>
      </c>
      <c r="C3867" t="s">
        <v>2480</v>
      </c>
      <c r="D3867">
        <v>5</v>
      </c>
      <c r="E3867">
        <v>1.1759999999999999</v>
      </c>
      <c r="F3867">
        <v>22</v>
      </c>
      <c r="G3867">
        <v>2020</v>
      </c>
      <c r="H3867" t="s">
        <v>928</v>
      </c>
      <c r="I3867" t="s">
        <v>6596</v>
      </c>
      <c r="L3867" t="s">
        <v>197</v>
      </c>
    </row>
    <row r="3868" spans="1:12" x14ac:dyDescent="0.4">
      <c r="A3868" t="s">
        <v>6092</v>
      </c>
      <c r="B3868">
        <v>69.5</v>
      </c>
      <c r="C3868" t="s">
        <v>5705</v>
      </c>
      <c r="D3868">
        <v>4</v>
      </c>
      <c r="E3868">
        <v>0.84099999999999997</v>
      </c>
      <c r="F3868">
        <v>26.4</v>
      </c>
      <c r="G3868">
        <v>2021</v>
      </c>
      <c r="H3868" t="s">
        <v>928</v>
      </c>
      <c r="I3868" t="s">
        <v>6596</v>
      </c>
      <c r="L3868" t="s">
        <v>197</v>
      </c>
    </row>
    <row r="3869" spans="1:12" x14ac:dyDescent="0.4">
      <c r="A3869" t="s">
        <v>6093</v>
      </c>
      <c r="B3869">
        <v>49.7</v>
      </c>
      <c r="C3869" t="s">
        <v>5723</v>
      </c>
      <c r="D3869">
        <v>3</v>
      </c>
      <c r="E3869">
        <v>0.28199999999999997</v>
      </c>
      <c r="F3869">
        <v>33.700000000000003</v>
      </c>
      <c r="G3869">
        <v>2019</v>
      </c>
      <c r="H3869" t="s">
        <v>928</v>
      </c>
      <c r="I3869" t="s">
        <v>6596</v>
      </c>
      <c r="L3869" t="s">
        <v>197</v>
      </c>
    </row>
    <row r="3870" spans="1:12" x14ac:dyDescent="0.4">
      <c r="A3870" t="s">
        <v>6094</v>
      </c>
      <c r="B3870">
        <v>73.5</v>
      </c>
      <c r="C3870" t="s">
        <v>2485</v>
      </c>
      <c r="D3870">
        <v>4</v>
      </c>
      <c r="E3870">
        <v>0.95299999999999996</v>
      </c>
      <c r="F3870">
        <v>24.9</v>
      </c>
      <c r="G3870">
        <v>2021</v>
      </c>
      <c r="H3870" t="s">
        <v>928</v>
      </c>
      <c r="I3870" t="s">
        <v>6596</v>
      </c>
      <c r="L3870" t="s">
        <v>197</v>
      </c>
    </row>
    <row r="3871" spans="1:12" x14ac:dyDescent="0.4">
      <c r="A3871" t="s">
        <v>6095</v>
      </c>
      <c r="B3871">
        <v>76.5</v>
      </c>
      <c r="C3871" t="s">
        <v>6581</v>
      </c>
      <c r="D3871">
        <v>4</v>
      </c>
      <c r="E3871">
        <v>1.038</v>
      </c>
      <c r="F3871">
        <v>23.8</v>
      </c>
      <c r="G3871">
        <v>2020</v>
      </c>
      <c r="H3871" t="s">
        <v>928</v>
      </c>
      <c r="I3871" t="s">
        <v>6596</v>
      </c>
      <c r="L3871" t="s">
        <v>197</v>
      </c>
    </row>
    <row r="3872" spans="1:12" x14ac:dyDescent="0.4">
      <c r="A3872" t="s">
        <v>6096</v>
      </c>
      <c r="B3872">
        <v>14.3</v>
      </c>
      <c r="C3872" t="s">
        <v>5735</v>
      </c>
      <c r="D3872">
        <v>1</v>
      </c>
      <c r="E3872">
        <v>-0.71699999999999997</v>
      </c>
      <c r="F3872">
        <v>46.8</v>
      </c>
      <c r="G3872">
        <v>2019</v>
      </c>
      <c r="H3872" t="s">
        <v>928</v>
      </c>
      <c r="I3872" t="s">
        <v>6596</v>
      </c>
      <c r="L3872" t="s">
        <v>197</v>
      </c>
    </row>
    <row r="3873" spans="1:12" x14ac:dyDescent="0.4">
      <c r="A3873" t="s">
        <v>6097</v>
      </c>
      <c r="B3873">
        <v>0</v>
      </c>
      <c r="C3873" t="s">
        <v>6044</v>
      </c>
      <c r="D3873">
        <v>1</v>
      </c>
      <c r="E3873">
        <v>-1.1200000000000001</v>
      </c>
      <c r="F3873" t="s">
        <v>197</v>
      </c>
      <c r="G3873" t="s">
        <v>197</v>
      </c>
      <c r="H3873" t="s">
        <v>928</v>
      </c>
      <c r="L3873" t="s">
        <v>197</v>
      </c>
    </row>
    <row r="3874" spans="1:12" x14ac:dyDescent="0.4">
      <c r="A3874" t="s">
        <v>6098</v>
      </c>
      <c r="B3874">
        <v>0</v>
      </c>
      <c r="C3874" t="s">
        <v>6044</v>
      </c>
      <c r="D3874">
        <v>1</v>
      </c>
      <c r="E3874">
        <v>-1.1200000000000001</v>
      </c>
      <c r="F3874" t="s">
        <v>197</v>
      </c>
      <c r="G3874" t="s">
        <v>197</v>
      </c>
      <c r="H3874" t="s">
        <v>928</v>
      </c>
      <c r="L3874" t="s">
        <v>197</v>
      </c>
    </row>
    <row r="3875" spans="1:12" x14ac:dyDescent="0.4">
      <c r="A3875" t="s">
        <v>6099</v>
      </c>
      <c r="B3875">
        <v>67.8</v>
      </c>
      <c r="C3875" t="s">
        <v>6584</v>
      </c>
      <c r="D3875">
        <v>4</v>
      </c>
      <c r="E3875">
        <v>0.79300000000000004</v>
      </c>
      <c r="F3875">
        <v>27</v>
      </c>
      <c r="G3875">
        <v>2020</v>
      </c>
      <c r="H3875" t="s">
        <v>928</v>
      </c>
      <c r="I3875" t="s">
        <v>6596</v>
      </c>
      <c r="L3875" t="s">
        <v>197</v>
      </c>
    </row>
    <row r="3876" spans="1:12" x14ac:dyDescent="0.4">
      <c r="A3876" t="s">
        <v>6100</v>
      </c>
      <c r="B3876">
        <v>73</v>
      </c>
      <c r="C3876" t="s">
        <v>2487</v>
      </c>
      <c r="D3876">
        <v>4</v>
      </c>
      <c r="E3876">
        <v>0.93899999999999995</v>
      </c>
      <c r="F3876">
        <v>25.1</v>
      </c>
      <c r="G3876">
        <v>2020</v>
      </c>
      <c r="H3876" t="s">
        <v>928</v>
      </c>
      <c r="I3876" t="s">
        <v>6596</v>
      </c>
      <c r="L3876" t="s">
        <v>197</v>
      </c>
    </row>
    <row r="3877" spans="1:12" x14ac:dyDescent="0.4">
      <c r="A3877" t="s">
        <v>6101</v>
      </c>
      <c r="B3877">
        <v>76.5</v>
      </c>
      <c r="C3877" t="s">
        <v>6581</v>
      </c>
      <c r="D3877">
        <v>4</v>
      </c>
      <c r="E3877">
        <v>1.038</v>
      </c>
      <c r="F3877">
        <v>23.8</v>
      </c>
      <c r="G3877">
        <v>2017</v>
      </c>
      <c r="H3877" t="s">
        <v>928</v>
      </c>
      <c r="I3877" t="s">
        <v>6596</v>
      </c>
      <c r="L3877" t="s">
        <v>197</v>
      </c>
    </row>
    <row r="3878" spans="1:12" x14ac:dyDescent="0.4">
      <c r="A3878" t="s">
        <v>6102</v>
      </c>
      <c r="B3878">
        <v>0</v>
      </c>
      <c r="C3878" t="s">
        <v>6044</v>
      </c>
      <c r="D3878">
        <v>1</v>
      </c>
      <c r="E3878">
        <v>-1.1200000000000001</v>
      </c>
      <c r="F3878" t="s">
        <v>197</v>
      </c>
      <c r="G3878" t="s">
        <v>197</v>
      </c>
      <c r="H3878" t="s">
        <v>928</v>
      </c>
      <c r="L3878" t="s">
        <v>197</v>
      </c>
    </row>
    <row r="3879" spans="1:12" x14ac:dyDescent="0.4">
      <c r="A3879" t="s">
        <v>6103</v>
      </c>
      <c r="B3879">
        <v>0</v>
      </c>
      <c r="C3879" t="s">
        <v>6044</v>
      </c>
      <c r="D3879">
        <v>1</v>
      </c>
      <c r="E3879">
        <v>-1.1200000000000001</v>
      </c>
      <c r="F3879" t="s">
        <v>197</v>
      </c>
      <c r="G3879" t="s">
        <v>197</v>
      </c>
      <c r="H3879" t="s">
        <v>928</v>
      </c>
      <c r="L3879" t="s">
        <v>197</v>
      </c>
    </row>
    <row r="3880" spans="1:12" x14ac:dyDescent="0.4">
      <c r="A3880" t="s">
        <v>6104</v>
      </c>
      <c r="B3880">
        <v>49.7</v>
      </c>
      <c r="C3880" t="s">
        <v>5723</v>
      </c>
      <c r="D3880">
        <v>3</v>
      </c>
      <c r="E3880">
        <v>0.28199999999999997</v>
      </c>
      <c r="F3880">
        <v>33.700000000000003</v>
      </c>
      <c r="G3880">
        <v>2019</v>
      </c>
      <c r="H3880" t="s">
        <v>928</v>
      </c>
      <c r="I3880" t="s">
        <v>6596</v>
      </c>
      <c r="L3880" t="s">
        <v>197</v>
      </c>
    </row>
    <row r="3881" spans="1:12" x14ac:dyDescent="0.4">
      <c r="A3881" t="s">
        <v>6105</v>
      </c>
      <c r="B3881">
        <v>67.8</v>
      </c>
      <c r="C3881" t="s">
        <v>6584</v>
      </c>
      <c r="D3881">
        <v>4</v>
      </c>
      <c r="E3881">
        <v>0.79300000000000004</v>
      </c>
      <c r="F3881">
        <v>27</v>
      </c>
      <c r="G3881">
        <v>2020</v>
      </c>
      <c r="H3881" t="s">
        <v>928</v>
      </c>
      <c r="I3881" t="s">
        <v>6596</v>
      </c>
      <c r="L3881" t="s">
        <v>197</v>
      </c>
    </row>
    <row r="3882" spans="1:12" x14ac:dyDescent="0.4">
      <c r="A3882" t="s">
        <v>6106</v>
      </c>
      <c r="B3882">
        <v>78.599999999999994</v>
      </c>
      <c r="C3882" t="s">
        <v>2483</v>
      </c>
      <c r="D3882">
        <v>4</v>
      </c>
      <c r="E3882">
        <v>1.097</v>
      </c>
      <c r="F3882">
        <v>23</v>
      </c>
      <c r="G3882">
        <v>2020</v>
      </c>
      <c r="H3882" t="s">
        <v>928</v>
      </c>
      <c r="I3882" t="s">
        <v>6596</v>
      </c>
      <c r="L3882" t="s">
        <v>197</v>
      </c>
    </row>
    <row r="3883" spans="1:12" x14ac:dyDescent="0.4">
      <c r="A3883" t="s">
        <v>6107</v>
      </c>
      <c r="B3883">
        <v>87.6</v>
      </c>
      <c r="C3883" t="s">
        <v>2477</v>
      </c>
      <c r="D3883">
        <v>5</v>
      </c>
      <c r="E3883">
        <v>1.351</v>
      </c>
      <c r="F3883">
        <v>19.7</v>
      </c>
      <c r="G3883">
        <v>2020</v>
      </c>
      <c r="H3883" t="s">
        <v>928</v>
      </c>
      <c r="I3883" t="s">
        <v>6596</v>
      </c>
      <c r="L3883" t="s">
        <v>197</v>
      </c>
    </row>
    <row r="3884" spans="1:12" x14ac:dyDescent="0.4">
      <c r="A3884" t="s">
        <v>6108</v>
      </c>
      <c r="B3884">
        <v>0</v>
      </c>
      <c r="C3884" t="s">
        <v>6044</v>
      </c>
      <c r="D3884">
        <v>1</v>
      </c>
      <c r="E3884">
        <v>-1.1200000000000001</v>
      </c>
      <c r="F3884" t="s">
        <v>197</v>
      </c>
      <c r="G3884" t="s">
        <v>197</v>
      </c>
      <c r="H3884" t="s">
        <v>928</v>
      </c>
      <c r="L3884" t="s">
        <v>197</v>
      </c>
    </row>
    <row r="3885" spans="1:12" x14ac:dyDescent="0.4">
      <c r="A3885" t="s">
        <v>6109</v>
      </c>
      <c r="B3885">
        <v>52.4</v>
      </c>
      <c r="C3885" t="s">
        <v>5732</v>
      </c>
      <c r="D3885">
        <v>3</v>
      </c>
      <c r="E3885">
        <v>0.35799999999999998</v>
      </c>
      <c r="F3885">
        <v>32.700000000000003</v>
      </c>
      <c r="G3885">
        <v>2020</v>
      </c>
      <c r="H3885" t="s">
        <v>928</v>
      </c>
      <c r="I3885" t="s">
        <v>6596</v>
      </c>
      <c r="L3885" t="s">
        <v>197</v>
      </c>
    </row>
    <row r="3886" spans="1:12" x14ac:dyDescent="0.4">
      <c r="A3886" t="s">
        <v>6110</v>
      </c>
      <c r="B3886">
        <v>73.5</v>
      </c>
      <c r="C3886" t="s">
        <v>2485</v>
      </c>
      <c r="D3886">
        <v>4</v>
      </c>
      <c r="E3886">
        <v>0.95299999999999996</v>
      </c>
      <c r="F3886">
        <v>24.9</v>
      </c>
      <c r="G3886">
        <v>2021</v>
      </c>
      <c r="H3886" t="s">
        <v>928</v>
      </c>
      <c r="I3886" t="s">
        <v>6596</v>
      </c>
      <c r="L3886" t="s">
        <v>197</v>
      </c>
    </row>
    <row r="3887" spans="1:12" x14ac:dyDescent="0.4">
      <c r="A3887" t="s">
        <v>6111</v>
      </c>
      <c r="B3887">
        <v>73</v>
      </c>
      <c r="C3887" t="s">
        <v>2487</v>
      </c>
      <c r="D3887">
        <v>4</v>
      </c>
      <c r="E3887">
        <v>0.93899999999999995</v>
      </c>
      <c r="F3887">
        <v>25.1</v>
      </c>
      <c r="G3887">
        <v>2020</v>
      </c>
      <c r="H3887" t="s">
        <v>928</v>
      </c>
      <c r="I3887" t="s">
        <v>6596</v>
      </c>
      <c r="L3887" t="s">
        <v>197</v>
      </c>
    </row>
    <row r="3888" spans="1:12" x14ac:dyDescent="0.4">
      <c r="A3888" t="s">
        <v>6112</v>
      </c>
      <c r="B3888">
        <v>72.7</v>
      </c>
      <c r="C3888" t="s">
        <v>5701</v>
      </c>
      <c r="D3888">
        <v>4</v>
      </c>
      <c r="E3888">
        <v>0.93100000000000005</v>
      </c>
      <c r="F3888">
        <v>25.2</v>
      </c>
      <c r="G3888">
        <v>2019</v>
      </c>
      <c r="H3888" t="s">
        <v>928</v>
      </c>
      <c r="I3888" t="s">
        <v>6596</v>
      </c>
      <c r="L3888" t="s">
        <v>197</v>
      </c>
    </row>
    <row r="3889" spans="1:12" x14ac:dyDescent="0.4">
      <c r="A3889" t="s">
        <v>6113</v>
      </c>
      <c r="B3889">
        <v>48.9</v>
      </c>
      <c r="C3889" t="s">
        <v>5703</v>
      </c>
      <c r="D3889">
        <v>3</v>
      </c>
      <c r="E3889">
        <v>0.26</v>
      </c>
      <c r="F3889">
        <v>34</v>
      </c>
      <c r="G3889">
        <v>2021</v>
      </c>
      <c r="H3889" t="s">
        <v>928</v>
      </c>
      <c r="I3889" t="s">
        <v>6596</v>
      </c>
      <c r="L3889" t="s">
        <v>197</v>
      </c>
    </row>
    <row r="3890" spans="1:12" x14ac:dyDescent="0.4">
      <c r="A3890" t="s">
        <v>6114</v>
      </c>
      <c r="B3890">
        <v>0</v>
      </c>
      <c r="C3890" t="s">
        <v>6044</v>
      </c>
      <c r="D3890">
        <v>1</v>
      </c>
      <c r="E3890">
        <v>-1.1200000000000001</v>
      </c>
      <c r="F3890" t="s">
        <v>197</v>
      </c>
      <c r="G3890" t="s">
        <v>197</v>
      </c>
      <c r="H3890" t="s">
        <v>928</v>
      </c>
      <c r="L3890" t="s">
        <v>197</v>
      </c>
    </row>
    <row r="3891" spans="1:12" x14ac:dyDescent="0.4">
      <c r="A3891" t="s">
        <v>6115</v>
      </c>
      <c r="B3891">
        <v>0</v>
      </c>
      <c r="C3891" t="s">
        <v>6044</v>
      </c>
      <c r="D3891">
        <v>1</v>
      </c>
      <c r="E3891">
        <v>-1.1200000000000001</v>
      </c>
      <c r="F3891" t="s">
        <v>197</v>
      </c>
      <c r="G3891" t="s">
        <v>197</v>
      </c>
      <c r="H3891" t="s">
        <v>928</v>
      </c>
      <c r="L3891" t="s">
        <v>197</v>
      </c>
    </row>
    <row r="3892" spans="1:12" x14ac:dyDescent="0.4">
      <c r="A3892" t="s">
        <v>6116</v>
      </c>
      <c r="B3892">
        <v>39.700000000000003</v>
      </c>
      <c r="C3892" t="s">
        <v>197</v>
      </c>
      <c r="D3892">
        <v>2</v>
      </c>
    </row>
    <row r="3893" spans="1:12" x14ac:dyDescent="0.4">
      <c r="A3893" t="s">
        <v>6117</v>
      </c>
      <c r="B3893">
        <v>17.899999999999999</v>
      </c>
      <c r="C3893" t="s">
        <v>197</v>
      </c>
      <c r="D3893">
        <v>1</v>
      </c>
    </row>
    <row r="3894" spans="1:12" x14ac:dyDescent="0.4">
      <c r="A3894" t="s">
        <v>6118</v>
      </c>
      <c r="B3894">
        <v>70.900000000000006</v>
      </c>
      <c r="C3894" t="s">
        <v>197</v>
      </c>
      <c r="D3894">
        <v>4</v>
      </c>
    </row>
    <row r="3895" spans="1:12" x14ac:dyDescent="0.4">
      <c r="A3895" t="s">
        <v>6119</v>
      </c>
      <c r="B3895">
        <v>29.1</v>
      </c>
      <c r="C3895" t="s">
        <v>197</v>
      </c>
      <c r="D3895">
        <v>2</v>
      </c>
    </row>
    <row r="3896" spans="1:12" x14ac:dyDescent="0.4">
      <c r="A3896" t="s">
        <v>6120</v>
      </c>
      <c r="B3896">
        <v>48.8</v>
      </c>
      <c r="C3896" t="s">
        <v>197</v>
      </c>
      <c r="D3896">
        <v>3</v>
      </c>
    </row>
    <row r="3897" spans="1:12" x14ac:dyDescent="0.4">
      <c r="A3897" t="s">
        <v>6121</v>
      </c>
      <c r="B3897">
        <v>17.2</v>
      </c>
      <c r="C3897" t="s">
        <v>197</v>
      </c>
      <c r="D3897">
        <v>1</v>
      </c>
    </row>
    <row r="3898" spans="1:12" x14ac:dyDescent="0.4">
      <c r="A3898" t="s">
        <v>6122</v>
      </c>
      <c r="B3898">
        <v>44.4</v>
      </c>
      <c r="C3898" t="s">
        <v>197</v>
      </c>
      <c r="D3898">
        <v>3</v>
      </c>
    </row>
    <row r="3899" spans="1:12" x14ac:dyDescent="0.4">
      <c r="A3899" t="s">
        <v>7450</v>
      </c>
      <c r="B3899">
        <v>7.6</v>
      </c>
      <c r="C3899" t="s">
        <v>197</v>
      </c>
      <c r="D3899">
        <v>1</v>
      </c>
    </row>
    <row r="3900" spans="1:12" x14ac:dyDescent="0.4">
      <c r="A3900" t="s">
        <v>7451</v>
      </c>
      <c r="B3900">
        <v>42.3</v>
      </c>
      <c r="C3900" t="s">
        <v>197</v>
      </c>
      <c r="D3900">
        <v>3</v>
      </c>
    </row>
    <row r="3901" spans="1:12" x14ac:dyDescent="0.4">
      <c r="A3901" t="s">
        <v>7452</v>
      </c>
      <c r="B3901">
        <v>60.8</v>
      </c>
      <c r="C3901" t="s">
        <v>197</v>
      </c>
      <c r="D3901">
        <v>4</v>
      </c>
    </row>
    <row r="3902" spans="1:12" x14ac:dyDescent="0.4">
      <c r="A3902" t="s">
        <v>6123</v>
      </c>
      <c r="B3902">
        <v>100</v>
      </c>
      <c r="C3902" t="s">
        <v>2479</v>
      </c>
      <c r="D3902">
        <v>5</v>
      </c>
      <c r="E3902">
        <v>1.75</v>
      </c>
      <c r="F3902">
        <v>63.8</v>
      </c>
      <c r="G3902">
        <v>2022</v>
      </c>
      <c r="H3902" t="s">
        <v>928</v>
      </c>
      <c r="I3902" t="s">
        <v>6854</v>
      </c>
      <c r="L3902" t="s">
        <v>197</v>
      </c>
    </row>
    <row r="3903" spans="1:12" x14ac:dyDescent="0.4">
      <c r="A3903" t="s">
        <v>6124</v>
      </c>
      <c r="B3903">
        <v>62.8</v>
      </c>
      <c r="C3903" t="s">
        <v>5700</v>
      </c>
      <c r="D3903">
        <v>4</v>
      </c>
      <c r="E3903">
        <v>0.16200000000000001</v>
      </c>
      <c r="F3903">
        <v>222.8</v>
      </c>
      <c r="G3903">
        <v>2022</v>
      </c>
      <c r="H3903" t="s">
        <v>928</v>
      </c>
      <c r="I3903" t="s">
        <v>6854</v>
      </c>
      <c r="L3903" t="s">
        <v>197</v>
      </c>
    </row>
    <row r="3904" spans="1:12" x14ac:dyDescent="0.4">
      <c r="A3904" t="s">
        <v>6125</v>
      </c>
      <c r="B3904">
        <v>50.1</v>
      </c>
      <c r="C3904" t="s">
        <v>5720</v>
      </c>
      <c r="D3904">
        <v>3</v>
      </c>
      <c r="E3904">
        <v>-0.38</v>
      </c>
      <c r="F3904">
        <v>277.10000000000002</v>
      </c>
      <c r="G3904">
        <v>2022</v>
      </c>
      <c r="H3904" t="s">
        <v>928</v>
      </c>
      <c r="I3904" t="s">
        <v>6854</v>
      </c>
      <c r="L3904" t="s">
        <v>197</v>
      </c>
    </row>
    <row r="3905" spans="1:12" x14ac:dyDescent="0.4">
      <c r="A3905" t="s">
        <v>6126</v>
      </c>
      <c r="B3905">
        <v>61.6</v>
      </c>
      <c r="C3905" t="s">
        <v>5703</v>
      </c>
      <c r="D3905">
        <v>4</v>
      </c>
      <c r="E3905">
        <v>0.111</v>
      </c>
      <c r="F3905">
        <v>228.2</v>
      </c>
      <c r="G3905">
        <v>2022</v>
      </c>
      <c r="H3905" t="s">
        <v>928</v>
      </c>
      <c r="I3905" t="s">
        <v>6854</v>
      </c>
      <c r="L3905" t="s">
        <v>197</v>
      </c>
    </row>
    <row r="3906" spans="1:12" x14ac:dyDescent="0.4">
      <c r="A3906" t="s">
        <v>6127</v>
      </c>
      <c r="B3906">
        <v>65.400000000000006</v>
      </c>
      <c r="C3906" t="s">
        <v>5731</v>
      </c>
      <c r="D3906">
        <v>4</v>
      </c>
      <c r="E3906">
        <v>0.27300000000000002</v>
      </c>
      <c r="F3906">
        <v>211.8</v>
      </c>
      <c r="G3906">
        <v>2022</v>
      </c>
      <c r="H3906" t="s">
        <v>928</v>
      </c>
      <c r="I3906" t="s">
        <v>6854</v>
      </c>
      <c r="L3906" t="s">
        <v>197</v>
      </c>
    </row>
    <row r="3907" spans="1:12" x14ac:dyDescent="0.4">
      <c r="A3907" t="s">
        <v>6128</v>
      </c>
      <c r="B3907">
        <v>28.9</v>
      </c>
      <c r="C3907" t="s">
        <v>6014</v>
      </c>
      <c r="D3907">
        <v>2</v>
      </c>
      <c r="E3907">
        <v>-1.2849999999999999</v>
      </c>
      <c r="F3907">
        <v>367.8</v>
      </c>
      <c r="G3907">
        <v>2022</v>
      </c>
      <c r="H3907" t="s">
        <v>928</v>
      </c>
      <c r="I3907" t="s">
        <v>6854</v>
      </c>
      <c r="L3907" t="s">
        <v>197</v>
      </c>
    </row>
    <row r="3908" spans="1:12" x14ac:dyDescent="0.4">
      <c r="A3908" t="s">
        <v>6129</v>
      </c>
      <c r="B3908">
        <v>22.1</v>
      </c>
      <c r="C3908" t="s">
        <v>6037</v>
      </c>
      <c r="D3908">
        <v>2</v>
      </c>
      <c r="E3908">
        <v>-1.575</v>
      </c>
      <c r="F3908">
        <v>396.9</v>
      </c>
      <c r="G3908">
        <v>2022</v>
      </c>
      <c r="H3908" t="s">
        <v>928</v>
      </c>
      <c r="I3908" t="s">
        <v>6854</v>
      </c>
      <c r="L3908" t="s">
        <v>197</v>
      </c>
    </row>
    <row r="3909" spans="1:12" x14ac:dyDescent="0.4">
      <c r="A3909" t="s">
        <v>6130</v>
      </c>
      <c r="B3909">
        <v>78.8</v>
      </c>
      <c r="C3909" t="s">
        <v>2474</v>
      </c>
      <c r="D3909">
        <v>4</v>
      </c>
      <c r="E3909">
        <v>0.84499999999999997</v>
      </c>
      <c r="F3909">
        <v>154.5</v>
      </c>
      <c r="G3909">
        <v>2022</v>
      </c>
      <c r="H3909" t="s">
        <v>928</v>
      </c>
      <c r="I3909" t="s">
        <v>6854</v>
      </c>
      <c r="L3909" t="s">
        <v>197</v>
      </c>
    </row>
    <row r="3910" spans="1:12" x14ac:dyDescent="0.4">
      <c r="A3910" t="s">
        <v>6131</v>
      </c>
      <c r="B3910">
        <v>0</v>
      </c>
      <c r="C3910" t="s">
        <v>6040</v>
      </c>
      <c r="D3910">
        <v>1</v>
      </c>
      <c r="E3910">
        <v>-2.5190000000000001</v>
      </c>
      <c r="F3910">
        <v>635</v>
      </c>
      <c r="G3910">
        <v>2022</v>
      </c>
      <c r="H3910" t="s">
        <v>928</v>
      </c>
      <c r="I3910" t="s">
        <v>6854</v>
      </c>
      <c r="L3910" t="s">
        <v>197</v>
      </c>
    </row>
    <row r="3911" spans="1:12" x14ac:dyDescent="0.4">
      <c r="A3911" t="s">
        <v>6132</v>
      </c>
      <c r="B3911">
        <v>53.5</v>
      </c>
      <c r="C3911" t="s">
        <v>5714</v>
      </c>
      <c r="D3911">
        <v>3</v>
      </c>
      <c r="E3911">
        <v>-0.23499999999999999</v>
      </c>
      <c r="F3911">
        <v>262.8</v>
      </c>
      <c r="G3911">
        <v>2022</v>
      </c>
      <c r="H3911" t="s">
        <v>928</v>
      </c>
      <c r="I3911" t="s">
        <v>6854</v>
      </c>
      <c r="L3911" t="s">
        <v>197</v>
      </c>
    </row>
    <row r="3912" spans="1:12" x14ac:dyDescent="0.4">
      <c r="A3912" t="s">
        <v>6133</v>
      </c>
      <c r="B3912">
        <v>53.5</v>
      </c>
      <c r="C3912" t="s">
        <v>5714</v>
      </c>
      <c r="D3912">
        <v>3</v>
      </c>
      <c r="E3912">
        <v>-0.23499999999999999</v>
      </c>
      <c r="F3912">
        <v>262.8</v>
      </c>
      <c r="G3912">
        <v>2022</v>
      </c>
      <c r="H3912" t="s">
        <v>928</v>
      </c>
      <c r="I3912" t="s">
        <v>6854</v>
      </c>
      <c r="L3912" t="s">
        <v>197</v>
      </c>
    </row>
    <row r="3913" spans="1:12" x14ac:dyDescent="0.4">
      <c r="A3913" t="s">
        <v>6134</v>
      </c>
      <c r="B3913">
        <v>66.900000000000006</v>
      </c>
      <c r="C3913" t="s">
        <v>6617</v>
      </c>
      <c r="D3913">
        <v>4</v>
      </c>
      <c r="E3913">
        <v>0.33700000000000002</v>
      </c>
      <c r="F3913">
        <v>205.5</v>
      </c>
      <c r="G3913">
        <v>2022</v>
      </c>
      <c r="H3913" t="s">
        <v>928</v>
      </c>
      <c r="I3913" t="s">
        <v>6854</v>
      </c>
      <c r="L3913" t="s">
        <v>197</v>
      </c>
    </row>
    <row r="3914" spans="1:12" x14ac:dyDescent="0.4">
      <c r="A3914" t="s">
        <v>6135</v>
      </c>
      <c r="B3914">
        <v>60.3</v>
      </c>
      <c r="C3914" t="s">
        <v>5706</v>
      </c>
      <c r="D3914">
        <v>4</v>
      </c>
      <c r="E3914">
        <v>5.5E-2</v>
      </c>
      <c r="F3914">
        <v>233.8</v>
      </c>
      <c r="G3914">
        <v>2022</v>
      </c>
      <c r="H3914" t="s">
        <v>928</v>
      </c>
      <c r="I3914" t="s">
        <v>6854</v>
      </c>
      <c r="L3914" t="s">
        <v>197</v>
      </c>
    </row>
    <row r="3915" spans="1:12" x14ac:dyDescent="0.4">
      <c r="A3915" t="s">
        <v>6136</v>
      </c>
      <c r="B3915">
        <v>96.7</v>
      </c>
      <c r="C3915" t="s">
        <v>2477</v>
      </c>
      <c r="D3915">
        <v>5</v>
      </c>
      <c r="E3915">
        <v>1.609</v>
      </c>
      <c r="F3915">
        <v>78</v>
      </c>
      <c r="G3915">
        <v>2022</v>
      </c>
      <c r="H3915" t="s">
        <v>928</v>
      </c>
      <c r="I3915" t="s">
        <v>6854</v>
      </c>
      <c r="L3915" t="s">
        <v>197</v>
      </c>
    </row>
    <row r="3916" spans="1:12" x14ac:dyDescent="0.4">
      <c r="A3916" t="s">
        <v>6137</v>
      </c>
      <c r="B3916">
        <v>15.3</v>
      </c>
      <c r="C3916" t="s">
        <v>6036</v>
      </c>
      <c r="D3916">
        <v>1</v>
      </c>
      <c r="E3916">
        <v>-1.865</v>
      </c>
      <c r="F3916">
        <v>426.3</v>
      </c>
      <c r="G3916">
        <v>2022</v>
      </c>
      <c r="H3916" t="s">
        <v>928</v>
      </c>
      <c r="I3916" t="s">
        <v>6854</v>
      </c>
      <c r="L3916" t="s">
        <v>197</v>
      </c>
    </row>
    <row r="3917" spans="1:12" x14ac:dyDescent="0.4">
      <c r="A3917" t="s">
        <v>6138</v>
      </c>
      <c r="B3917">
        <v>53.1</v>
      </c>
      <c r="C3917" t="s">
        <v>5734</v>
      </c>
      <c r="D3917">
        <v>3</v>
      </c>
      <c r="E3917">
        <v>-0.252</v>
      </c>
      <c r="F3917">
        <v>264.39999999999998</v>
      </c>
      <c r="G3917">
        <v>2022</v>
      </c>
      <c r="H3917" t="s">
        <v>928</v>
      </c>
      <c r="I3917" t="s">
        <v>6854</v>
      </c>
      <c r="L3917" t="s">
        <v>197</v>
      </c>
    </row>
    <row r="3918" spans="1:12" x14ac:dyDescent="0.4">
      <c r="A3918" t="s">
        <v>6139</v>
      </c>
      <c r="B3918">
        <v>71.7</v>
      </c>
      <c r="C3918" t="s">
        <v>5707</v>
      </c>
      <c r="D3918">
        <v>4</v>
      </c>
      <c r="E3918">
        <v>0.54200000000000004</v>
      </c>
      <c r="F3918">
        <v>184.8</v>
      </c>
      <c r="G3918">
        <v>2022</v>
      </c>
      <c r="H3918" t="s">
        <v>928</v>
      </c>
      <c r="I3918" t="s">
        <v>6854</v>
      </c>
      <c r="L3918" t="s">
        <v>197</v>
      </c>
    </row>
    <row r="3919" spans="1:12" x14ac:dyDescent="0.4">
      <c r="A3919" t="s">
        <v>6140</v>
      </c>
      <c r="B3919">
        <v>57</v>
      </c>
      <c r="C3919" t="s">
        <v>5725</v>
      </c>
      <c r="D3919">
        <v>3</v>
      </c>
      <c r="E3919">
        <v>-8.5000000000000006E-2</v>
      </c>
      <c r="F3919">
        <v>247.6</v>
      </c>
      <c r="G3919">
        <v>2022</v>
      </c>
      <c r="H3919" t="s">
        <v>928</v>
      </c>
      <c r="I3919" t="s">
        <v>6854</v>
      </c>
      <c r="L3919" t="s">
        <v>197</v>
      </c>
    </row>
    <row r="3920" spans="1:12" x14ac:dyDescent="0.4">
      <c r="A3920" t="s">
        <v>6141</v>
      </c>
      <c r="B3920">
        <v>49.7</v>
      </c>
      <c r="C3920" t="s">
        <v>5698</v>
      </c>
      <c r="D3920">
        <v>3</v>
      </c>
      <c r="E3920">
        <v>-0.39700000000000002</v>
      </c>
      <c r="F3920">
        <v>279</v>
      </c>
      <c r="G3920">
        <v>2022</v>
      </c>
      <c r="H3920" t="s">
        <v>928</v>
      </c>
      <c r="I3920" t="s">
        <v>6854</v>
      </c>
      <c r="L3920" t="s">
        <v>197</v>
      </c>
    </row>
    <row r="3921" spans="1:12" x14ac:dyDescent="0.4">
      <c r="A3921" t="s">
        <v>6142</v>
      </c>
      <c r="B3921">
        <v>75.8</v>
      </c>
      <c r="C3921" t="s">
        <v>5730</v>
      </c>
      <c r="D3921">
        <v>4</v>
      </c>
      <c r="E3921">
        <v>0.71699999999999997</v>
      </c>
      <c r="F3921">
        <v>167.3</v>
      </c>
      <c r="G3921">
        <v>2022</v>
      </c>
      <c r="H3921" t="s">
        <v>928</v>
      </c>
      <c r="I3921" t="s">
        <v>6854</v>
      </c>
      <c r="L3921" t="s">
        <v>197</v>
      </c>
    </row>
    <row r="3922" spans="1:12" x14ac:dyDescent="0.4">
      <c r="A3922" t="s">
        <v>6143</v>
      </c>
      <c r="B3922">
        <v>79.400000000000006</v>
      </c>
      <c r="C3922" t="s">
        <v>6581</v>
      </c>
      <c r="D3922">
        <v>4</v>
      </c>
      <c r="E3922">
        <v>0.871</v>
      </c>
      <c r="F3922">
        <v>152</v>
      </c>
      <c r="G3922">
        <v>2022</v>
      </c>
      <c r="H3922" t="s">
        <v>928</v>
      </c>
      <c r="I3922" t="s">
        <v>6854</v>
      </c>
      <c r="L3922" t="s">
        <v>197</v>
      </c>
    </row>
    <row r="3923" spans="1:12" x14ac:dyDescent="0.4">
      <c r="A3923" t="s">
        <v>6144</v>
      </c>
      <c r="B3923">
        <v>72.8</v>
      </c>
      <c r="C3923" t="s">
        <v>5701</v>
      </c>
      <c r="D3923">
        <v>4</v>
      </c>
      <c r="E3923">
        <v>0.58899999999999997</v>
      </c>
      <c r="F3923">
        <v>180.2</v>
      </c>
      <c r="G3923">
        <v>2022</v>
      </c>
      <c r="H3923" t="s">
        <v>928</v>
      </c>
      <c r="I3923" t="s">
        <v>6854</v>
      </c>
      <c r="L3923" t="s">
        <v>197</v>
      </c>
    </row>
    <row r="3924" spans="1:12" x14ac:dyDescent="0.4">
      <c r="A3924" t="s">
        <v>6145</v>
      </c>
      <c r="B3924">
        <v>66.900000000000006</v>
      </c>
      <c r="C3924" t="s">
        <v>6617</v>
      </c>
      <c r="D3924">
        <v>4</v>
      </c>
      <c r="E3924">
        <v>0.33700000000000002</v>
      </c>
      <c r="F3924">
        <v>205.5</v>
      </c>
      <c r="G3924">
        <v>2022</v>
      </c>
      <c r="H3924" t="s">
        <v>928</v>
      </c>
      <c r="I3924" t="s">
        <v>6854</v>
      </c>
      <c r="L3924" t="s">
        <v>197</v>
      </c>
    </row>
    <row r="3925" spans="1:12" x14ac:dyDescent="0.4">
      <c r="A3925" t="s">
        <v>6146</v>
      </c>
      <c r="B3925">
        <v>91.8</v>
      </c>
      <c r="C3925" t="s">
        <v>2476</v>
      </c>
      <c r="D3925">
        <v>5</v>
      </c>
      <c r="E3925">
        <v>1.4</v>
      </c>
      <c r="F3925">
        <v>98.9</v>
      </c>
      <c r="G3925">
        <v>2022</v>
      </c>
      <c r="H3925" t="s">
        <v>928</v>
      </c>
      <c r="I3925" t="s">
        <v>6854</v>
      </c>
      <c r="L3925" t="s">
        <v>197</v>
      </c>
    </row>
    <row r="3926" spans="1:12" x14ac:dyDescent="0.4">
      <c r="A3926" t="s">
        <v>6147</v>
      </c>
      <c r="B3926">
        <v>95.7</v>
      </c>
      <c r="C3926" t="s">
        <v>2475</v>
      </c>
      <c r="D3926">
        <v>5</v>
      </c>
      <c r="E3926">
        <v>1.5669999999999999</v>
      </c>
      <c r="F3926">
        <v>82</v>
      </c>
      <c r="G3926">
        <v>2022</v>
      </c>
      <c r="H3926" t="s">
        <v>928</v>
      </c>
      <c r="I3926" t="s">
        <v>6854</v>
      </c>
      <c r="L3926" t="s">
        <v>197</v>
      </c>
    </row>
    <row r="3927" spans="1:12" x14ac:dyDescent="0.4">
      <c r="A3927" t="s">
        <v>6148</v>
      </c>
      <c r="B3927">
        <v>55</v>
      </c>
      <c r="C3927" t="s">
        <v>5735</v>
      </c>
      <c r="D3927">
        <v>3</v>
      </c>
      <c r="E3927">
        <v>-0.17100000000000001</v>
      </c>
      <c r="F3927">
        <v>256.10000000000002</v>
      </c>
      <c r="G3927">
        <v>2022</v>
      </c>
      <c r="H3927" t="s">
        <v>928</v>
      </c>
      <c r="I3927" t="s">
        <v>6854</v>
      </c>
      <c r="L3927" t="s">
        <v>197</v>
      </c>
    </row>
    <row r="3928" spans="1:12" x14ac:dyDescent="0.4">
      <c r="A3928" t="s">
        <v>6149</v>
      </c>
      <c r="B3928">
        <v>50.4</v>
      </c>
      <c r="C3928" t="s">
        <v>5704</v>
      </c>
      <c r="D3928">
        <v>3</v>
      </c>
      <c r="E3928">
        <v>-0.36699999999999999</v>
      </c>
      <c r="F3928">
        <v>275.89999999999998</v>
      </c>
      <c r="G3928">
        <v>2022</v>
      </c>
      <c r="H3928" t="s">
        <v>928</v>
      </c>
      <c r="I3928" t="s">
        <v>6854</v>
      </c>
      <c r="L3928" t="s">
        <v>197</v>
      </c>
    </row>
    <row r="3929" spans="1:12" x14ac:dyDescent="0.4">
      <c r="A3929" t="s">
        <v>6150</v>
      </c>
      <c r="B3929">
        <v>68</v>
      </c>
      <c r="C3929" t="s">
        <v>6580</v>
      </c>
      <c r="D3929">
        <v>4</v>
      </c>
      <c r="E3929">
        <v>0.38400000000000001</v>
      </c>
      <c r="F3929">
        <v>200.6</v>
      </c>
      <c r="G3929">
        <v>2022</v>
      </c>
      <c r="H3929" t="s">
        <v>928</v>
      </c>
      <c r="I3929" t="s">
        <v>6854</v>
      </c>
      <c r="L3929" t="s">
        <v>197</v>
      </c>
    </row>
    <row r="3930" spans="1:12" x14ac:dyDescent="0.4">
      <c r="A3930" t="s">
        <v>6151</v>
      </c>
      <c r="B3930">
        <v>68.900000000000006</v>
      </c>
      <c r="C3930" t="s">
        <v>5721</v>
      </c>
      <c r="D3930">
        <v>4</v>
      </c>
      <c r="E3930">
        <v>0.42299999999999999</v>
      </c>
      <c r="F3930">
        <v>196.9</v>
      </c>
      <c r="G3930">
        <v>2022</v>
      </c>
      <c r="H3930" t="s">
        <v>928</v>
      </c>
      <c r="I3930" t="s">
        <v>6854</v>
      </c>
      <c r="L3930" t="s">
        <v>197</v>
      </c>
    </row>
    <row r="3931" spans="1:12" x14ac:dyDescent="0.4">
      <c r="A3931" t="s">
        <v>6152</v>
      </c>
      <c r="B3931">
        <v>79.400000000000006</v>
      </c>
      <c r="C3931" t="s">
        <v>6581</v>
      </c>
      <c r="D3931">
        <v>4</v>
      </c>
      <c r="E3931">
        <v>0.871</v>
      </c>
      <c r="F3931">
        <v>152</v>
      </c>
      <c r="G3931">
        <v>2022</v>
      </c>
      <c r="H3931" t="s">
        <v>928</v>
      </c>
      <c r="I3931" t="s">
        <v>6854</v>
      </c>
      <c r="L3931" t="s">
        <v>197</v>
      </c>
    </row>
    <row r="3932" spans="1:12" x14ac:dyDescent="0.4">
      <c r="A3932" t="s">
        <v>6153</v>
      </c>
      <c r="B3932">
        <v>0</v>
      </c>
      <c r="C3932" t="s">
        <v>6040</v>
      </c>
      <c r="D3932">
        <v>1</v>
      </c>
      <c r="E3932">
        <v>-2.5190000000000001</v>
      </c>
      <c r="F3932">
        <v>660.3</v>
      </c>
      <c r="G3932">
        <v>2022</v>
      </c>
      <c r="H3932" t="s">
        <v>928</v>
      </c>
      <c r="I3932" t="s">
        <v>6854</v>
      </c>
      <c r="L3932" t="s">
        <v>197</v>
      </c>
    </row>
    <row r="3933" spans="1:12" x14ac:dyDescent="0.4">
      <c r="A3933" t="s">
        <v>6154</v>
      </c>
      <c r="B3933">
        <v>66.900000000000006</v>
      </c>
      <c r="C3933" t="s">
        <v>6617</v>
      </c>
      <c r="D3933">
        <v>4</v>
      </c>
      <c r="E3933">
        <v>0.33700000000000002</v>
      </c>
      <c r="F3933">
        <v>205.5</v>
      </c>
      <c r="G3933">
        <v>2022</v>
      </c>
      <c r="H3933" t="s">
        <v>928</v>
      </c>
      <c r="I3933" t="s">
        <v>6854</v>
      </c>
      <c r="L3933" t="s">
        <v>197</v>
      </c>
    </row>
    <row r="3934" spans="1:12" x14ac:dyDescent="0.4">
      <c r="A3934" t="s">
        <v>6155</v>
      </c>
      <c r="B3934">
        <v>97.1</v>
      </c>
      <c r="C3934" t="s">
        <v>2478</v>
      </c>
      <c r="D3934">
        <v>5</v>
      </c>
      <c r="E3934">
        <v>1.6259999999999999</v>
      </c>
      <c r="F3934">
        <v>76.3</v>
      </c>
      <c r="G3934">
        <v>2022</v>
      </c>
      <c r="H3934" t="s">
        <v>928</v>
      </c>
      <c r="I3934" t="s">
        <v>6854</v>
      </c>
      <c r="L3934" t="s">
        <v>197</v>
      </c>
    </row>
    <row r="3935" spans="1:12" x14ac:dyDescent="0.4">
      <c r="A3935" t="s">
        <v>6156</v>
      </c>
      <c r="B3935">
        <v>50.1</v>
      </c>
      <c r="C3935" t="s">
        <v>5720</v>
      </c>
      <c r="D3935">
        <v>3</v>
      </c>
      <c r="E3935">
        <v>-0.38</v>
      </c>
      <c r="F3935">
        <v>277.10000000000002</v>
      </c>
      <c r="G3935">
        <v>2022</v>
      </c>
      <c r="H3935" t="s">
        <v>928</v>
      </c>
      <c r="I3935" t="s">
        <v>6854</v>
      </c>
      <c r="L3935" t="s">
        <v>197</v>
      </c>
    </row>
    <row r="3936" spans="1:12" x14ac:dyDescent="0.4">
      <c r="A3936" t="s">
        <v>6157</v>
      </c>
      <c r="B3936">
        <v>43.8</v>
      </c>
      <c r="C3936" t="s">
        <v>6588</v>
      </c>
      <c r="D3936">
        <v>3</v>
      </c>
      <c r="E3936">
        <v>-0.64900000000000002</v>
      </c>
      <c r="F3936">
        <v>304.10000000000002</v>
      </c>
      <c r="G3936">
        <v>2022</v>
      </c>
      <c r="H3936" t="s">
        <v>928</v>
      </c>
      <c r="I3936" t="s">
        <v>6854</v>
      </c>
      <c r="L3936" t="s">
        <v>197</v>
      </c>
    </row>
    <row r="3937" spans="1:12" x14ac:dyDescent="0.4">
      <c r="A3937" t="s">
        <v>6158</v>
      </c>
      <c r="B3937">
        <v>57</v>
      </c>
      <c r="C3937" t="s">
        <v>5725</v>
      </c>
      <c r="D3937">
        <v>3</v>
      </c>
      <c r="E3937">
        <v>-8.5000000000000006E-2</v>
      </c>
      <c r="F3937">
        <v>247.7</v>
      </c>
      <c r="G3937">
        <v>2022</v>
      </c>
      <c r="H3937" t="s">
        <v>928</v>
      </c>
      <c r="I3937" t="s">
        <v>6854</v>
      </c>
      <c r="L3937" t="s">
        <v>197</v>
      </c>
    </row>
    <row r="3938" spans="1:12" x14ac:dyDescent="0.4">
      <c r="A3938" t="s">
        <v>6159</v>
      </c>
      <c r="B3938">
        <v>68.400000000000006</v>
      </c>
      <c r="C3938" t="s">
        <v>5695</v>
      </c>
      <c r="D3938">
        <v>4</v>
      </c>
      <c r="E3938">
        <v>0.40100000000000002</v>
      </c>
      <c r="F3938">
        <v>198.8</v>
      </c>
      <c r="G3938">
        <v>2022</v>
      </c>
      <c r="H3938" t="s">
        <v>928</v>
      </c>
      <c r="I3938" t="s">
        <v>6854</v>
      </c>
      <c r="L3938" t="s">
        <v>197</v>
      </c>
    </row>
    <row r="3939" spans="1:12" x14ac:dyDescent="0.4">
      <c r="A3939" t="s">
        <v>6160</v>
      </c>
      <c r="B3939">
        <v>80.2</v>
      </c>
      <c r="C3939" t="s">
        <v>2483</v>
      </c>
      <c r="D3939">
        <v>5</v>
      </c>
      <c r="E3939">
        <v>0.90500000000000003</v>
      </c>
      <c r="F3939">
        <v>148.5</v>
      </c>
      <c r="G3939">
        <v>2022</v>
      </c>
      <c r="H3939" t="s">
        <v>928</v>
      </c>
      <c r="I3939" t="s">
        <v>6854</v>
      </c>
      <c r="L3939" t="s">
        <v>197</v>
      </c>
    </row>
    <row r="3940" spans="1:12" x14ac:dyDescent="0.4">
      <c r="A3940" t="s">
        <v>6161</v>
      </c>
      <c r="B3940">
        <v>26.8</v>
      </c>
      <c r="C3940" t="s">
        <v>5710</v>
      </c>
      <c r="D3940">
        <v>2</v>
      </c>
      <c r="E3940">
        <v>-1.375</v>
      </c>
      <c r="F3940">
        <v>377</v>
      </c>
      <c r="G3940">
        <v>2022</v>
      </c>
      <c r="H3940" t="s">
        <v>928</v>
      </c>
      <c r="I3940" t="s">
        <v>6854</v>
      </c>
      <c r="L3940" t="s">
        <v>197</v>
      </c>
    </row>
    <row r="3941" spans="1:12" x14ac:dyDescent="0.4">
      <c r="A3941" t="s">
        <v>6162</v>
      </c>
      <c r="B3941">
        <v>50.1</v>
      </c>
      <c r="C3941" t="s">
        <v>5720</v>
      </c>
      <c r="D3941">
        <v>3</v>
      </c>
      <c r="E3941">
        <v>-0.38</v>
      </c>
      <c r="F3941">
        <v>277.10000000000002</v>
      </c>
      <c r="G3941">
        <v>2022</v>
      </c>
      <c r="H3941" t="s">
        <v>928</v>
      </c>
      <c r="I3941" t="s">
        <v>6854</v>
      </c>
      <c r="L3941" t="s">
        <v>197</v>
      </c>
    </row>
    <row r="3942" spans="1:12" x14ac:dyDescent="0.4">
      <c r="A3942" t="s">
        <v>6163</v>
      </c>
      <c r="B3942">
        <v>73.2</v>
      </c>
      <c r="C3942" t="s">
        <v>5696</v>
      </c>
      <c r="D3942">
        <v>4</v>
      </c>
      <c r="E3942">
        <v>0.60599999999999998</v>
      </c>
      <c r="F3942">
        <v>178.3</v>
      </c>
      <c r="G3942">
        <v>2022</v>
      </c>
      <c r="H3942" t="s">
        <v>928</v>
      </c>
      <c r="I3942" t="s">
        <v>6854</v>
      </c>
      <c r="L3942" t="s">
        <v>197</v>
      </c>
    </row>
    <row r="3943" spans="1:12" x14ac:dyDescent="0.4">
      <c r="A3943" t="s">
        <v>6164</v>
      </c>
      <c r="B3943">
        <v>77.2</v>
      </c>
      <c r="C3943" t="s">
        <v>2481</v>
      </c>
      <c r="D3943">
        <v>4</v>
      </c>
      <c r="E3943">
        <v>0.77700000000000002</v>
      </c>
      <c r="F3943">
        <v>161.5</v>
      </c>
      <c r="G3943">
        <v>2022</v>
      </c>
      <c r="H3943" t="s">
        <v>928</v>
      </c>
      <c r="I3943" t="s">
        <v>6854</v>
      </c>
      <c r="L3943" t="s">
        <v>197</v>
      </c>
    </row>
    <row r="3944" spans="1:12" x14ac:dyDescent="0.4">
      <c r="A3944" t="s">
        <v>6165</v>
      </c>
      <c r="B3944">
        <v>28.9</v>
      </c>
      <c r="C3944" t="s">
        <v>6014</v>
      </c>
      <c r="D3944">
        <v>2</v>
      </c>
      <c r="E3944">
        <v>-1.2849999999999999</v>
      </c>
      <c r="F3944">
        <v>367.8</v>
      </c>
      <c r="G3944">
        <v>2022</v>
      </c>
      <c r="H3944" t="s">
        <v>928</v>
      </c>
      <c r="I3944" t="s">
        <v>6854</v>
      </c>
      <c r="L3944" t="s">
        <v>197</v>
      </c>
    </row>
    <row r="3945" spans="1:12" x14ac:dyDescent="0.4">
      <c r="A3945" t="s">
        <v>6166</v>
      </c>
      <c r="B3945">
        <v>86.7</v>
      </c>
      <c r="C3945" t="s">
        <v>2480</v>
      </c>
      <c r="D3945">
        <v>5</v>
      </c>
      <c r="E3945">
        <v>1.1819999999999999</v>
      </c>
      <c r="F3945">
        <v>120.9</v>
      </c>
      <c r="G3945">
        <v>2022</v>
      </c>
      <c r="H3945" t="s">
        <v>928</v>
      </c>
      <c r="I3945" t="s">
        <v>6854</v>
      </c>
      <c r="L3945" t="s">
        <v>197</v>
      </c>
    </row>
    <row r="3946" spans="1:12" x14ac:dyDescent="0.4">
      <c r="A3946" t="s">
        <v>6167</v>
      </c>
      <c r="B3946">
        <v>68.900000000000006</v>
      </c>
      <c r="C3946" t="s">
        <v>5721</v>
      </c>
      <c r="D3946">
        <v>4</v>
      </c>
      <c r="E3946">
        <v>0.42299999999999999</v>
      </c>
      <c r="F3946">
        <v>196.9</v>
      </c>
      <c r="G3946">
        <v>2022</v>
      </c>
      <c r="H3946" t="s">
        <v>928</v>
      </c>
      <c r="I3946" t="s">
        <v>6854</v>
      </c>
      <c r="L3946" t="s">
        <v>197</v>
      </c>
    </row>
    <row r="3947" spans="1:12" x14ac:dyDescent="0.4">
      <c r="A3947" t="s">
        <v>6168</v>
      </c>
      <c r="B3947">
        <v>43.8</v>
      </c>
      <c r="C3947" t="s">
        <v>6588</v>
      </c>
      <c r="D3947">
        <v>3</v>
      </c>
      <c r="E3947">
        <v>-0.64900000000000002</v>
      </c>
      <c r="F3947">
        <v>304.10000000000002</v>
      </c>
      <c r="G3947">
        <v>2022</v>
      </c>
      <c r="H3947" t="s">
        <v>928</v>
      </c>
      <c r="I3947" t="s">
        <v>6854</v>
      </c>
      <c r="L3947" t="s">
        <v>197</v>
      </c>
    </row>
    <row r="3948" spans="1:12" x14ac:dyDescent="0.4">
      <c r="A3948" t="s">
        <v>6169</v>
      </c>
      <c r="B3948">
        <v>63.4</v>
      </c>
      <c r="C3948" t="s">
        <v>5729</v>
      </c>
      <c r="D3948">
        <v>4</v>
      </c>
      <c r="E3948">
        <v>0.188</v>
      </c>
      <c r="F3948">
        <v>220.5</v>
      </c>
      <c r="G3948">
        <v>2022</v>
      </c>
      <c r="H3948" t="s">
        <v>928</v>
      </c>
      <c r="I3948" t="s">
        <v>6854</v>
      </c>
      <c r="L3948" t="s">
        <v>197</v>
      </c>
    </row>
    <row r="3949" spans="1:12" x14ac:dyDescent="0.4">
      <c r="A3949" t="s">
        <v>6170</v>
      </c>
      <c r="B3949">
        <v>33.700000000000003</v>
      </c>
      <c r="C3949" t="s">
        <v>5712</v>
      </c>
      <c r="D3949">
        <v>2</v>
      </c>
      <c r="E3949">
        <v>-1.08</v>
      </c>
      <c r="F3949">
        <v>347.4</v>
      </c>
      <c r="G3949">
        <v>2022</v>
      </c>
      <c r="H3949" t="s">
        <v>928</v>
      </c>
      <c r="I3949" t="s">
        <v>6854</v>
      </c>
      <c r="L3949" t="s">
        <v>197</v>
      </c>
    </row>
    <row r="3950" spans="1:12" x14ac:dyDescent="0.4">
      <c r="A3950" t="s">
        <v>6171</v>
      </c>
      <c r="B3950">
        <v>28.9</v>
      </c>
      <c r="C3950" t="s">
        <v>6014</v>
      </c>
      <c r="D3950">
        <v>2</v>
      </c>
      <c r="E3950">
        <v>-1.2849999999999999</v>
      </c>
      <c r="F3950">
        <v>367.8</v>
      </c>
      <c r="G3950">
        <v>2022</v>
      </c>
      <c r="H3950" t="s">
        <v>928</v>
      </c>
      <c r="I3950" t="s">
        <v>6854</v>
      </c>
      <c r="L3950" t="s">
        <v>197</v>
      </c>
    </row>
    <row r="3951" spans="1:12" x14ac:dyDescent="0.4">
      <c r="A3951" t="s">
        <v>6172</v>
      </c>
      <c r="B3951">
        <v>51.1</v>
      </c>
      <c r="C3951" t="s">
        <v>5699</v>
      </c>
      <c r="D3951">
        <v>3</v>
      </c>
      <c r="E3951">
        <v>-0.33700000000000002</v>
      </c>
      <c r="F3951">
        <v>272.8</v>
      </c>
      <c r="G3951">
        <v>2022</v>
      </c>
      <c r="H3951" t="s">
        <v>928</v>
      </c>
      <c r="I3951" t="s">
        <v>6854</v>
      </c>
      <c r="L3951" t="s">
        <v>197</v>
      </c>
    </row>
    <row r="3952" spans="1:12" x14ac:dyDescent="0.4">
      <c r="A3952" t="s">
        <v>6173</v>
      </c>
      <c r="B3952">
        <v>59</v>
      </c>
      <c r="C3952" t="s">
        <v>197</v>
      </c>
      <c r="D3952">
        <v>3</v>
      </c>
    </row>
    <row r="3953" spans="1:12" x14ac:dyDescent="0.4">
      <c r="A3953" t="s">
        <v>6174</v>
      </c>
      <c r="B3953">
        <v>86.3</v>
      </c>
      <c r="C3953" t="s">
        <v>197</v>
      </c>
      <c r="D3953">
        <v>5</v>
      </c>
    </row>
    <row r="3954" spans="1:12" x14ac:dyDescent="0.4">
      <c r="A3954" t="s">
        <v>6175</v>
      </c>
      <c r="B3954">
        <v>63.6</v>
      </c>
      <c r="C3954" t="s">
        <v>197</v>
      </c>
      <c r="D3954">
        <v>4</v>
      </c>
    </row>
    <row r="3955" spans="1:12" x14ac:dyDescent="0.4">
      <c r="A3955" t="s">
        <v>6176</v>
      </c>
      <c r="B3955">
        <v>80.599999999999994</v>
      </c>
      <c r="C3955" t="s">
        <v>197</v>
      </c>
      <c r="D3955">
        <v>5</v>
      </c>
    </row>
    <row r="3956" spans="1:12" x14ac:dyDescent="0.4">
      <c r="A3956" t="s">
        <v>6177</v>
      </c>
      <c r="B3956">
        <v>31.7</v>
      </c>
      <c r="C3956" t="s">
        <v>197</v>
      </c>
      <c r="D3956">
        <v>2</v>
      </c>
    </row>
    <row r="3957" spans="1:12" x14ac:dyDescent="0.4">
      <c r="A3957" t="s">
        <v>6178</v>
      </c>
      <c r="B3957">
        <v>63.3</v>
      </c>
      <c r="C3957" t="s">
        <v>197</v>
      </c>
      <c r="D3957">
        <v>4</v>
      </c>
    </row>
    <row r="3958" spans="1:12" x14ac:dyDescent="0.4">
      <c r="A3958" t="s">
        <v>6179</v>
      </c>
      <c r="B3958">
        <v>57.1</v>
      </c>
      <c r="C3958" t="s">
        <v>197</v>
      </c>
      <c r="D3958">
        <v>3</v>
      </c>
    </row>
    <row r="3959" spans="1:12" x14ac:dyDescent="0.4">
      <c r="A3959" t="s">
        <v>7453</v>
      </c>
      <c r="B3959">
        <v>69.8</v>
      </c>
      <c r="C3959" t="s">
        <v>197</v>
      </c>
      <c r="D3959">
        <v>4</v>
      </c>
    </row>
    <row r="3960" spans="1:12" x14ac:dyDescent="0.4">
      <c r="A3960" t="s">
        <v>7454</v>
      </c>
      <c r="B3960">
        <v>51.5</v>
      </c>
      <c r="C3960" t="s">
        <v>197</v>
      </c>
      <c r="D3960">
        <v>3</v>
      </c>
    </row>
    <row r="3961" spans="1:12" x14ac:dyDescent="0.4">
      <c r="A3961" t="s">
        <v>7455</v>
      </c>
      <c r="B3961">
        <v>55</v>
      </c>
      <c r="C3961" t="s">
        <v>197</v>
      </c>
      <c r="D3961">
        <v>3</v>
      </c>
    </row>
    <row r="3962" spans="1:12" x14ac:dyDescent="0.4">
      <c r="A3962" t="s">
        <v>6180</v>
      </c>
      <c r="B3962">
        <v>55.7</v>
      </c>
      <c r="C3962" t="s">
        <v>5727</v>
      </c>
      <c r="D3962">
        <v>3</v>
      </c>
      <c r="E3962">
        <v>-0.124</v>
      </c>
      <c r="F3962">
        <v>17.100000000000001</v>
      </c>
      <c r="G3962">
        <v>2019</v>
      </c>
      <c r="H3962" t="s">
        <v>928</v>
      </c>
      <c r="I3962" t="s">
        <v>6596</v>
      </c>
      <c r="L3962" t="s">
        <v>197</v>
      </c>
    </row>
    <row r="3963" spans="1:12" x14ac:dyDescent="0.4">
      <c r="A3963" t="s">
        <v>6181</v>
      </c>
      <c r="B3963">
        <v>70.099999999999994</v>
      </c>
      <c r="C3963" t="s">
        <v>5731</v>
      </c>
      <c r="D3963">
        <v>4</v>
      </c>
      <c r="E3963">
        <v>0.38500000000000001</v>
      </c>
      <c r="F3963">
        <v>13.9</v>
      </c>
      <c r="G3963">
        <v>2019</v>
      </c>
      <c r="H3963" t="s">
        <v>928</v>
      </c>
      <c r="I3963" t="s">
        <v>6596</v>
      </c>
      <c r="L3963" t="s">
        <v>197</v>
      </c>
    </row>
    <row r="3964" spans="1:12" x14ac:dyDescent="0.4">
      <c r="A3964" t="s">
        <v>6182</v>
      </c>
      <c r="B3964">
        <v>71.5</v>
      </c>
      <c r="C3964" t="s">
        <v>5722</v>
      </c>
      <c r="D3964">
        <v>4</v>
      </c>
      <c r="E3964">
        <v>0.434</v>
      </c>
      <c r="F3964">
        <v>13.6</v>
      </c>
      <c r="G3964">
        <v>2019</v>
      </c>
      <c r="H3964" t="s">
        <v>928</v>
      </c>
      <c r="I3964" t="s">
        <v>6596</v>
      </c>
      <c r="L3964" t="s">
        <v>197</v>
      </c>
    </row>
    <row r="3965" spans="1:12" x14ac:dyDescent="0.4">
      <c r="A3965" t="s">
        <v>6183</v>
      </c>
      <c r="B3965">
        <v>86.4</v>
      </c>
      <c r="C3965" t="s">
        <v>2487</v>
      </c>
      <c r="D3965">
        <v>5</v>
      </c>
      <c r="E3965">
        <v>0.96099999999999997</v>
      </c>
      <c r="F3965">
        <v>10.3</v>
      </c>
      <c r="G3965">
        <v>2019</v>
      </c>
      <c r="H3965" t="s">
        <v>928</v>
      </c>
      <c r="I3965" t="s">
        <v>6596</v>
      </c>
      <c r="L3965" t="s">
        <v>197</v>
      </c>
    </row>
    <row r="3966" spans="1:12" x14ac:dyDescent="0.4">
      <c r="A3966" t="s">
        <v>6184</v>
      </c>
      <c r="B3966">
        <v>71</v>
      </c>
      <c r="C3966" t="s">
        <v>5732</v>
      </c>
      <c r="D3966">
        <v>4</v>
      </c>
      <c r="E3966">
        <v>0.41699999999999998</v>
      </c>
      <c r="F3966">
        <v>13.7</v>
      </c>
      <c r="G3966">
        <v>2019</v>
      </c>
      <c r="H3966" t="s">
        <v>928</v>
      </c>
      <c r="I3966" t="s">
        <v>6596</v>
      </c>
      <c r="L3966" t="s">
        <v>197</v>
      </c>
    </row>
    <row r="3967" spans="1:12" x14ac:dyDescent="0.4">
      <c r="A3967" t="s">
        <v>6185</v>
      </c>
      <c r="B3967">
        <v>61.1</v>
      </c>
      <c r="C3967" t="s">
        <v>5719</v>
      </c>
      <c r="D3967">
        <v>4</v>
      </c>
      <c r="E3967">
        <v>6.7000000000000004E-2</v>
      </c>
      <c r="F3967">
        <v>15.9</v>
      </c>
      <c r="G3967">
        <v>2019</v>
      </c>
      <c r="H3967" t="s">
        <v>928</v>
      </c>
      <c r="I3967" t="s">
        <v>6596</v>
      </c>
      <c r="L3967" t="s">
        <v>197</v>
      </c>
    </row>
    <row r="3968" spans="1:12" x14ac:dyDescent="0.4">
      <c r="A3968" t="s">
        <v>6186</v>
      </c>
      <c r="B3968">
        <v>78.3</v>
      </c>
      <c r="C3968" t="s">
        <v>5692</v>
      </c>
      <c r="D3968">
        <v>4</v>
      </c>
      <c r="E3968">
        <v>0.67500000000000004</v>
      </c>
      <c r="F3968">
        <v>12.1</v>
      </c>
      <c r="G3968">
        <v>2019</v>
      </c>
      <c r="H3968" t="s">
        <v>928</v>
      </c>
      <c r="I3968" t="s">
        <v>6596</v>
      </c>
      <c r="L3968" t="s">
        <v>197</v>
      </c>
    </row>
    <row r="3969" spans="1:12" x14ac:dyDescent="0.4">
      <c r="A3969" t="s">
        <v>6187</v>
      </c>
      <c r="B3969">
        <v>89.1</v>
      </c>
      <c r="C3969" t="s">
        <v>2481</v>
      </c>
      <c r="D3969">
        <v>5</v>
      </c>
      <c r="E3969">
        <v>1.056</v>
      </c>
      <c r="F3969">
        <v>9.6999999999999993</v>
      </c>
      <c r="G3969">
        <v>2019</v>
      </c>
      <c r="H3969" t="s">
        <v>928</v>
      </c>
      <c r="I3969" t="s">
        <v>6596</v>
      </c>
      <c r="L3969" t="s">
        <v>197</v>
      </c>
    </row>
    <row r="3970" spans="1:12" x14ac:dyDescent="0.4">
      <c r="A3970" t="s">
        <v>6188</v>
      </c>
      <c r="B3970">
        <v>33</v>
      </c>
      <c r="C3970" t="s">
        <v>5713</v>
      </c>
      <c r="D3970">
        <v>2</v>
      </c>
      <c r="E3970">
        <v>-0.92500000000000004</v>
      </c>
      <c r="F3970">
        <v>22.1</v>
      </c>
      <c r="G3970">
        <v>2019</v>
      </c>
      <c r="H3970" t="s">
        <v>928</v>
      </c>
      <c r="I3970" t="s">
        <v>6596</v>
      </c>
      <c r="L3970" t="s">
        <v>197</v>
      </c>
    </row>
    <row r="3971" spans="1:12" x14ac:dyDescent="0.4">
      <c r="A3971" t="s">
        <v>6189</v>
      </c>
      <c r="B3971">
        <v>6.3</v>
      </c>
      <c r="C3971" t="s">
        <v>6036</v>
      </c>
      <c r="D3971">
        <v>1</v>
      </c>
      <c r="E3971">
        <v>-1.869</v>
      </c>
      <c r="F3971">
        <v>28</v>
      </c>
      <c r="G3971">
        <v>2019</v>
      </c>
      <c r="H3971" t="s">
        <v>928</v>
      </c>
      <c r="I3971" t="s">
        <v>6596</v>
      </c>
      <c r="L3971" t="s">
        <v>197</v>
      </c>
    </row>
    <row r="3972" spans="1:12" x14ac:dyDescent="0.4">
      <c r="A3972" t="s">
        <v>6190</v>
      </c>
      <c r="B3972">
        <v>73.3</v>
      </c>
      <c r="C3972" t="s">
        <v>5695</v>
      </c>
      <c r="D3972">
        <v>4</v>
      </c>
      <c r="E3972">
        <v>0.498</v>
      </c>
      <c r="F3972">
        <v>13.2</v>
      </c>
      <c r="G3972">
        <v>2019</v>
      </c>
      <c r="H3972" t="s">
        <v>928</v>
      </c>
      <c r="I3972" t="s">
        <v>6596</v>
      </c>
      <c r="L3972" t="s">
        <v>197</v>
      </c>
    </row>
    <row r="3973" spans="1:12" x14ac:dyDescent="0.4">
      <c r="A3973" t="s">
        <v>6191</v>
      </c>
      <c r="B3973">
        <v>33.9</v>
      </c>
      <c r="C3973" t="s">
        <v>5716</v>
      </c>
      <c r="D3973">
        <v>2</v>
      </c>
      <c r="E3973">
        <v>-0.89400000000000002</v>
      </c>
      <c r="F3973">
        <v>21.9</v>
      </c>
      <c r="G3973">
        <v>2019</v>
      </c>
      <c r="H3973" t="s">
        <v>928</v>
      </c>
      <c r="I3973" t="s">
        <v>6596</v>
      </c>
      <c r="L3973" t="s">
        <v>197</v>
      </c>
    </row>
    <row r="3974" spans="1:12" x14ac:dyDescent="0.4">
      <c r="A3974" t="s">
        <v>6192</v>
      </c>
      <c r="B3974">
        <v>47.5</v>
      </c>
      <c r="C3974" t="s">
        <v>5734</v>
      </c>
      <c r="D3974">
        <v>3</v>
      </c>
      <c r="E3974">
        <v>-0.41299999999999998</v>
      </c>
      <c r="F3974">
        <v>18.899999999999999</v>
      </c>
      <c r="G3974">
        <v>2019</v>
      </c>
      <c r="H3974" t="s">
        <v>928</v>
      </c>
      <c r="I3974" t="s">
        <v>6596</v>
      </c>
      <c r="L3974" t="s">
        <v>197</v>
      </c>
    </row>
    <row r="3975" spans="1:12" x14ac:dyDescent="0.4">
      <c r="A3975" t="s">
        <v>6193</v>
      </c>
      <c r="B3975">
        <v>49.3</v>
      </c>
      <c r="C3975" t="s">
        <v>5733</v>
      </c>
      <c r="D3975">
        <v>3</v>
      </c>
      <c r="E3975">
        <v>-0.35</v>
      </c>
      <c r="F3975">
        <v>18.5</v>
      </c>
      <c r="G3975">
        <v>2019</v>
      </c>
      <c r="H3975" t="s">
        <v>928</v>
      </c>
      <c r="I3975" t="s">
        <v>6596</v>
      </c>
      <c r="L3975" t="s">
        <v>197</v>
      </c>
    </row>
    <row r="3976" spans="1:12" x14ac:dyDescent="0.4">
      <c r="A3976" t="s">
        <v>6194</v>
      </c>
      <c r="B3976">
        <v>89.6</v>
      </c>
      <c r="C3976" t="s">
        <v>6581</v>
      </c>
      <c r="D3976">
        <v>5</v>
      </c>
      <c r="E3976">
        <v>1.0740000000000001</v>
      </c>
      <c r="F3976">
        <v>9.6</v>
      </c>
      <c r="G3976">
        <v>2019</v>
      </c>
      <c r="H3976" t="s">
        <v>928</v>
      </c>
      <c r="I3976" t="s">
        <v>6596</v>
      </c>
      <c r="L3976" t="s">
        <v>197</v>
      </c>
    </row>
    <row r="3977" spans="1:12" x14ac:dyDescent="0.4">
      <c r="A3977" t="s">
        <v>6195</v>
      </c>
      <c r="B3977">
        <v>37.1</v>
      </c>
      <c r="C3977" t="s">
        <v>5702</v>
      </c>
      <c r="D3977">
        <v>2</v>
      </c>
      <c r="E3977">
        <v>-0.78100000000000003</v>
      </c>
      <c r="F3977">
        <v>21.2</v>
      </c>
      <c r="G3977">
        <v>2019</v>
      </c>
      <c r="H3977" t="s">
        <v>928</v>
      </c>
      <c r="I3977" t="s">
        <v>6596</v>
      </c>
      <c r="L3977" t="s">
        <v>197</v>
      </c>
    </row>
    <row r="3978" spans="1:12" x14ac:dyDescent="0.4">
      <c r="A3978" t="s">
        <v>6196</v>
      </c>
      <c r="B3978">
        <v>0</v>
      </c>
      <c r="C3978" t="s">
        <v>6040</v>
      </c>
      <c r="D3978">
        <v>1</v>
      </c>
      <c r="E3978">
        <v>-2.0910000000000002</v>
      </c>
      <c r="F3978" t="s">
        <v>197</v>
      </c>
      <c r="G3978" t="s">
        <v>197</v>
      </c>
      <c r="H3978" t="s">
        <v>928</v>
      </c>
      <c r="I3978" t="s">
        <v>197</v>
      </c>
      <c r="L3978" t="s">
        <v>197</v>
      </c>
    </row>
    <row r="3979" spans="1:12" x14ac:dyDescent="0.4">
      <c r="A3979" t="s">
        <v>6197</v>
      </c>
      <c r="B3979">
        <v>62.4</v>
      </c>
      <c r="C3979" t="s">
        <v>6592</v>
      </c>
      <c r="D3979">
        <v>4</v>
      </c>
      <c r="E3979">
        <v>0.113</v>
      </c>
      <c r="F3979">
        <v>15.6</v>
      </c>
      <c r="G3979">
        <v>2019</v>
      </c>
      <c r="H3979" t="s">
        <v>928</v>
      </c>
      <c r="I3979" t="s">
        <v>6596</v>
      </c>
      <c r="L3979" t="s">
        <v>197</v>
      </c>
    </row>
    <row r="3980" spans="1:12" x14ac:dyDescent="0.4">
      <c r="A3980" t="s">
        <v>6198</v>
      </c>
      <c r="B3980">
        <v>20.8</v>
      </c>
      <c r="C3980" t="s">
        <v>5710</v>
      </c>
      <c r="D3980">
        <v>2</v>
      </c>
      <c r="E3980">
        <v>-1.3560000000000001</v>
      </c>
      <c r="F3980">
        <v>24.8</v>
      </c>
      <c r="G3980">
        <v>2019</v>
      </c>
      <c r="H3980" t="s">
        <v>928</v>
      </c>
      <c r="I3980" t="s">
        <v>6596</v>
      </c>
      <c r="L3980" t="s">
        <v>197</v>
      </c>
    </row>
    <row r="3981" spans="1:12" x14ac:dyDescent="0.4">
      <c r="A3981" t="s">
        <v>6199</v>
      </c>
      <c r="B3981">
        <v>24</v>
      </c>
      <c r="C3981" t="s">
        <v>5711</v>
      </c>
      <c r="D3981">
        <v>2</v>
      </c>
      <c r="E3981">
        <v>-1.2430000000000001</v>
      </c>
      <c r="F3981">
        <v>24.1</v>
      </c>
      <c r="G3981">
        <v>2019</v>
      </c>
      <c r="H3981" t="s">
        <v>928</v>
      </c>
      <c r="I3981" t="s">
        <v>6596</v>
      </c>
      <c r="L3981" t="s">
        <v>197</v>
      </c>
    </row>
    <row r="3982" spans="1:12" x14ac:dyDescent="0.4">
      <c r="A3982" t="s">
        <v>6200</v>
      </c>
      <c r="B3982">
        <v>0</v>
      </c>
      <c r="C3982" t="s">
        <v>6040</v>
      </c>
      <c r="D3982">
        <v>1</v>
      </c>
      <c r="E3982">
        <v>-2.0910000000000002</v>
      </c>
      <c r="F3982">
        <v>29.4</v>
      </c>
      <c r="G3982">
        <v>2019</v>
      </c>
      <c r="H3982" t="s">
        <v>928</v>
      </c>
      <c r="I3982" t="s">
        <v>6596</v>
      </c>
      <c r="L3982" t="s">
        <v>197</v>
      </c>
    </row>
    <row r="3983" spans="1:12" x14ac:dyDescent="0.4">
      <c r="A3983" t="s">
        <v>6201</v>
      </c>
      <c r="B3983">
        <v>35.700000000000003</v>
      </c>
      <c r="C3983" t="s">
        <v>5694</v>
      </c>
      <c r="D3983">
        <v>2</v>
      </c>
      <c r="E3983">
        <v>-0.83</v>
      </c>
      <c r="F3983">
        <v>21.5</v>
      </c>
      <c r="G3983">
        <v>2019</v>
      </c>
      <c r="H3983" t="s">
        <v>928</v>
      </c>
      <c r="I3983" t="s">
        <v>6596</v>
      </c>
      <c r="L3983" t="s">
        <v>197</v>
      </c>
    </row>
    <row r="3984" spans="1:12" x14ac:dyDescent="0.4">
      <c r="A3984" t="s">
        <v>6202</v>
      </c>
      <c r="B3984">
        <v>33.9</v>
      </c>
      <c r="C3984" t="s">
        <v>5716</v>
      </c>
      <c r="D3984">
        <v>2</v>
      </c>
      <c r="E3984">
        <v>-0.89400000000000002</v>
      </c>
      <c r="F3984">
        <v>21.9</v>
      </c>
      <c r="G3984">
        <v>2019</v>
      </c>
      <c r="H3984" t="s">
        <v>928</v>
      </c>
      <c r="I3984" t="s">
        <v>6596</v>
      </c>
      <c r="L3984" t="s">
        <v>197</v>
      </c>
    </row>
    <row r="3985" spans="1:12" x14ac:dyDescent="0.4">
      <c r="A3985" t="s">
        <v>6203</v>
      </c>
      <c r="B3985">
        <v>79.2</v>
      </c>
      <c r="C3985" t="s">
        <v>5705</v>
      </c>
      <c r="D3985">
        <v>4</v>
      </c>
      <c r="E3985">
        <v>0.70599999999999996</v>
      </c>
      <c r="F3985">
        <v>11.9</v>
      </c>
      <c r="G3985">
        <v>2019</v>
      </c>
      <c r="H3985" t="s">
        <v>928</v>
      </c>
      <c r="I3985" t="s">
        <v>6596</v>
      </c>
      <c r="L3985" t="s">
        <v>197</v>
      </c>
    </row>
    <row r="3986" spans="1:12" x14ac:dyDescent="0.4">
      <c r="A3986" t="s">
        <v>6204</v>
      </c>
      <c r="B3986">
        <v>56.6</v>
      </c>
      <c r="C3986" t="s">
        <v>5735</v>
      </c>
      <c r="D3986">
        <v>3</v>
      </c>
      <c r="E3986">
        <v>-9.1999999999999998E-2</v>
      </c>
      <c r="F3986">
        <v>16.899999999999999</v>
      </c>
      <c r="G3986">
        <v>2019</v>
      </c>
      <c r="H3986" t="s">
        <v>928</v>
      </c>
      <c r="I3986" t="s">
        <v>6596</v>
      </c>
      <c r="L3986" t="s">
        <v>197</v>
      </c>
    </row>
    <row r="3987" spans="1:12" x14ac:dyDescent="0.4">
      <c r="A3987" t="s">
        <v>6205</v>
      </c>
      <c r="B3987">
        <v>86.4</v>
      </c>
      <c r="C3987" t="s">
        <v>2487</v>
      </c>
      <c r="D3987">
        <v>5</v>
      </c>
      <c r="E3987">
        <v>0.96099999999999997</v>
      </c>
      <c r="F3987">
        <v>10.3</v>
      </c>
      <c r="G3987">
        <v>2019</v>
      </c>
      <c r="H3987" t="s">
        <v>928</v>
      </c>
      <c r="I3987" t="s">
        <v>6596</v>
      </c>
      <c r="L3987" t="s">
        <v>197</v>
      </c>
    </row>
    <row r="3988" spans="1:12" x14ac:dyDescent="0.4">
      <c r="A3988" t="s">
        <v>6206</v>
      </c>
      <c r="B3988">
        <v>89.6</v>
      </c>
      <c r="C3988" t="s">
        <v>6581</v>
      </c>
      <c r="D3988">
        <v>5</v>
      </c>
      <c r="E3988">
        <v>1.0740000000000001</v>
      </c>
      <c r="F3988">
        <v>9.6</v>
      </c>
      <c r="G3988">
        <v>2019</v>
      </c>
      <c r="H3988" t="s">
        <v>928</v>
      </c>
      <c r="I3988" t="s">
        <v>6596</v>
      </c>
      <c r="L3988" t="s">
        <v>197</v>
      </c>
    </row>
    <row r="3989" spans="1:12" x14ac:dyDescent="0.4">
      <c r="A3989" t="s">
        <v>6207</v>
      </c>
      <c r="B3989">
        <v>22.2</v>
      </c>
      <c r="C3989" t="s">
        <v>5697</v>
      </c>
      <c r="D3989">
        <v>2</v>
      </c>
      <c r="E3989">
        <v>-1.3069999999999999</v>
      </c>
      <c r="F3989">
        <v>24.5</v>
      </c>
      <c r="G3989">
        <v>2019</v>
      </c>
      <c r="H3989" t="s">
        <v>928</v>
      </c>
      <c r="I3989" t="s">
        <v>6596</v>
      </c>
      <c r="L3989" t="s">
        <v>197</v>
      </c>
    </row>
    <row r="3990" spans="1:12" x14ac:dyDescent="0.4">
      <c r="A3990" t="s">
        <v>6208</v>
      </c>
      <c r="B3990">
        <v>94.1</v>
      </c>
      <c r="C3990" t="s">
        <v>6039</v>
      </c>
      <c r="D3990">
        <v>5</v>
      </c>
      <c r="E3990">
        <v>1.2330000000000001</v>
      </c>
      <c r="F3990">
        <v>8.6</v>
      </c>
      <c r="G3990">
        <v>2019</v>
      </c>
      <c r="H3990" t="s">
        <v>928</v>
      </c>
      <c r="I3990" t="s">
        <v>6596</v>
      </c>
      <c r="L3990" t="s">
        <v>197</v>
      </c>
    </row>
    <row r="3991" spans="1:12" x14ac:dyDescent="0.4">
      <c r="A3991" t="s">
        <v>6209</v>
      </c>
      <c r="B3991">
        <v>62.4</v>
      </c>
      <c r="C3991" t="s">
        <v>6592</v>
      </c>
      <c r="D3991">
        <v>4</v>
      </c>
      <c r="E3991">
        <v>0.113</v>
      </c>
      <c r="F3991">
        <v>15.6</v>
      </c>
      <c r="G3991">
        <v>2019</v>
      </c>
      <c r="H3991" t="s">
        <v>928</v>
      </c>
      <c r="I3991" t="s">
        <v>6596</v>
      </c>
      <c r="L3991" t="s">
        <v>197</v>
      </c>
    </row>
    <row r="3992" spans="1:12" x14ac:dyDescent="0.4">
      <c r="A3992" t="s">
        <v>6210</v>
      </c>
      <c r="B3992">
        <v>23.5</v>
      </c>
      <c r="C3992" t="s">
        <v>5728</v>
      </c>
      <c r="D3992">
        <v>2</v>
      </c>
      <c r="E3992">
        <v>-1.2609999999999999</v>
      </c>
      <c r="F3992">
        <v>24.2</v>
      </c>
      <c r="G3992">
        <v>2019</v>
      </c>
      <c r="H3992" t="s">
        <v>928</v>
      </c>
      <c r="I3992" t="s">
        <v>6596</v>
      </c>
      <c r="L3992" t="s">
        <v>197</v>
      </c>
    </row>
    <row r="3993" spans="1:12" x14ac:dyDescent="0.4">
      <c r="A3993" t="s">
        <v>6211</v>
      </c>
      <c r="B3993">
        <v>33.9</v>
      </c>
      <c r="C3993" t="s">
        <v>5716</v>
      </c>
      <c r="D3993">
        <v>2</v>
      </c>
      <c r="E3993">
        <v>-0.89400000000000002</v>
      </c>
      <c r="F3993">
        <v>21.9</v>
      </c>
      <c r="G3993">
        <v>2019</v>
      </c>
      <c r="H3993" t="s">
        <v>928</v>
      </c>
      <c r="I3993" t="s">
        <v>6596</v>
      </c>
      <c r="L3993" t="s">
        <v>197</v>
      </c>
    </row>
    <row r="3994" spans="1:12" x14ac:dyDescent="0.4">
      <c r="A3994" t="s">
        <v>6212</v>
      </c>
      <c r="B3994">
        <v>38</v>
      </c>
      <c r="C3994" t="s">
        <v>5704</v>
      </c>
      <c r="D3994">
        <v>2</v>
      </c>
      <c r="E3994">
        <v>-0.749</v>
      </c>
      <c r="F3994">
        <v>21</v>
      </c>
      <c r="G3994">
        <v>2019</v>
      </c>
      <c r="H3994" t="s">
        <v>928</v>
      </c>
      <c r="I3994" t="s">
        <v>6596</v>
      </c>
      <c r="L3994" t="s">
        <v>197</v>
      </c>
    </row>
    <row r="3995" spans="1:12" x14ac:dyDescent="0.4">
      <c r="A3995" t="s">
        <v>6213</v>
      </c>
      <c r="B3995">
        <v>71.5</v>
      </c>
      <c r="C3995" t="s">
        <v>5722</v>
      </c>
      <c r="D3995">
        <v>4</v>
      </c>
      <c r="E3995">
        <v>0.434</v>
      </c>
      <c r="F3995">
        <v>13.6</v>
      </c>
      <c r="G3995">
        <v>2019</v>
      </c>
      <c r="H3995" t="s">
        <v>928</v>
      </c>
      <c r="I3995" t="s">
        <v>6596</v>
      </c>
      <c r="L3995" t="s">
        <v>197</v>
      </c>
    </row>
    <row r="3996" spans="1:12" x14ac:dyDescent="0.4">
      <c r="A3996" t="s">
        <v>6214</v>
      </c>
      <c r="B3996">
        <v>95.5</v>
      </c>
      <c r="C3996" t="s">
        <v>5740</v>
      </c>
      <c r="D3996">
        <v>5</v>
      </c>
      <c r="E3996">
        <v>1.282</v>
      </c>
      <c r="F3996">
        <v>8.3000000000000007</v>
      </c>
      <c r="G3996">
        <v>2019</v>
      </c>
      <c r="H3996" t="s">
        <v>928</v>
      </c>
      <c r="I3996" t="s">
        <v>6596</v>
      </c>
      <c r="L3996" t="s">
        <v>197</v>
      </c>
    </row>
    <row r="3997" spans="1:12" x14ac:dyDescent="0.4">
      <c r="A3997" t="s">
        <v>6215</v>
      </c>
      <c r="B3997">
        <v>85.1</v>
      </c>
      <c r="C3997" t="s">
        <v>5707</v>
      </c>
      <c r="D3997">
        <v>5</v>
      </c>
      <c r="E3997">
        <v>0.91500000000000004</v>
      </c>
      <c r="F3997">
        <v>10.6</v>
      </c>
      <c r="G3997">
        <v>2019</v>
      </c>
      <c r="H3997" t="s">
        <v>928</v>
      </c>
      <c r="I3997" t="s">
        <v>6596</v>
      </c>
      <c r="L3997" t="s">
        <v>197</v>
      </c>
    </row>
    <row r="3998" spans="1:12" x14ac:dyDescent="0.4">
      <c r="A3998" t="s">
        <v>6216</v>
      </c>
      <c r="B3998">
        <v>31.2</v>
      </c>
      <c r="C3998" t="s">
        <v>5712</v>
      </c>
      <c r="D3998">
        <v>2</v>
      </c>
      <c r="E3998">
        <v>-0.98899999999999999</v>
      </c>
      <c r="F3998">
        <v>22.5</v>
      </c>
      <c r="G3998">
        <v>2019</v>
      </c>
      <c r="H3998" t="s">
        <v>928</v>
      </c>
      <c r="I3998" t="s">
        <v>6596</v>
      </c>
      <c r="L3998" t="s">
        <v>197</v>
      </c>
    </row>
    <row r="3999" spans="1:12" x14ac:dyDescent="0.4">
      <c r="A3999" t="s">
        <v>6217</v>
      </c>
      <c r="B3999">
        <v>38.5</v>
      </c>
      <c r="C3999" t="s">
        <v>5699</v>
      </c>
      <c r="D3999">
        <v>2</v>
      </c>
      <c r="E3999">
        <v>-0.73099999999999998</v>
      </c>
      <c r="F3999">
        <v>20.9</v>
      </c>
      <c r="G3999">
        <v>2019</v>
      </c>
      <c r="H3999" t="s">
        <v>928</v>
      </c>
      <c r="I3999" t="s">
        <v>6596</v>
      </c>
      <c r="L3999" t="s">
        <v>197</v>
      </c>
    </row>
    <row r="4000" spans="1:12" x14ac:dyDescent="0.4">
      <c r="A4000" t="s">
        <v>6218</v>
      </c>
      <c r="B4000">
        <v>92.3</v>
      </c>
      <c r="C4000" t="s">
        <v>2480</v>
      </c>
      <c r="D4000">
        <v>5</v>
      </c>
      <c r="E4000">
        <v>1.169</v>
      </c>
      <c r="F4000">
        <v>9</v>
      </c>
      <c r="G4000">
        <v>2019</v>
      </c>
      <c r="H4000" t="s">
        <v>928</v>
      </c>
      <c r="I4000" t="s">
        <v>6596</v>
      </c>
      <c r="L4000" t="s">
        <v>197</v>
      </c>
    </row>
    <row r="4001" spans="1:12" x14ac:dyDescent="0.4">
      <c r="A4001" t="s">
        <v>6219</v>
      </c>
      <c r="B4001">
        <v>71.5</v>
      </c>
      <c r="C4001" t="s">
        <v>5722</v>
      </c>
      <c r="D4001">
        <v>4</v>
      </c>
      <c r="E4001">
        <v>0.434</v>
      </c>
      <c r="F4001">
        <v>13.6</v>
      </c>
      <c r="G4001">
        <v>2019</v>
      </c>
      <c r="H4001" t="s">
        <v>928</v>
      </c>
      <c r="I4001" t="s">
        <v>6596</v>
      </c>
      <c r="L4001" t="s">
        <v>197</v>
      </c>
    </row>
    <row r="4002" spans="1:12" x14ac:dyDescent="0.4">
      <c r="A4002" t="s">
        <v>6220</v>
      </c>
      <c r="B4002">
        <v>62.9</v>
      </c>
      <c r="C4002" t="s">
        <v>5729</v>
      </c>
      <c r="D4002">
        <v>4</v>
      </c>
      <c r="E4002">
        <v>0.13100000000000001</v>
      </c>
      <c r="F4002">
        <v>15.5</v>
      </c>
      <c r="G4002">
        <v>2019</v>
      </c>
      <c r="H4002" t="s">
        <v>928</v>
      </c>
      <c r="I4002" t="s">
        <v>6596</v>
      </c>
      <c r="L4002" t="s">
        <v>197</v>
      </c>
    </row>
    <row r="4003" spans="1:12" x14ac:dyDescent="0.4">
      <c r="A4003" t="s">
        <v>6221</v>
      </c>
      <c r="B4003">
        <v>100</v>
      </c>
      <c r="C4003" t="s">
        <v>2479</v>
      </c>
      <c r="D4003">
        <v>5</v>
      </c>
      <c r="E4003">
        <v>1.4410000000000001</v>
      </c>
      <c r="F4003">
        <v>7.3</v>
      </c>
      <c r="G4003">
        <v>2019</v>
      </c>
      <c r="H4003" t="s">
        <v>928</v>
      </c>
      <c r="I4003" t="s">
        <v>6596</v>
      </c>
      <c r="L4003" t="s">
        <v>197</v>
      </c>
    </row>
    <row r="4004" spans="1:12" x14ac:dyDescent="0.4">
      <c r="A4004" t="s">
        <v>6222</v>
      </c>
      <c r="B4004">
        <v>61.1</v>
      </c>
      <c r="C4004" t="s">
        <v>5719</v>
      </c>
      <c r="D4004">
        <v>4</v>
      </c>
      <c r="E4004">
        <v>6.7000000000000004E-2</v>
      </c>
      <c r="F4004">
        <v>15.9</v>
      </c>
      <c r="G4004">
        <v>2019</v>
      </c>
      <c r="H4004" t="s">
        <v>928</v>
      </c>
      <c r="I4004" t="s">
        <v>6596</v>
      </c>
      <c r="L4004" t="s">
        <v>197</v>
      </c>
    </row>
    <row r="4005" spans="1:12" x14ac:dyDescent="0.4">
      <c r="A4005" t="s">
        <v>6223</v>
      </c>
      <c r="B4005">
        <v>90</v>
      </c>
      <c r="C4005" t="s">
        <v>2483</v>
      </c>
      <c r="D4005">
        <v>5</v>
      </c>
      <c r="E4005">
        <v>1.0880000000000001</v>
      </c>
      <c r="F4005">
        <v>9.5</v>
      </c>
      <c r="G4005">
        <v>2019</v>
      </c>
      <c r="H4005" t="s">
        <v>928</v>
      </c>
      <c r="I4005" t="s">
        <v>6596</v>
      </c>
      <c r="L4005" t="s">
        <v>197</v>
      </c>
    </row>
    <row r="4006" spans="1:12" x14ac:dyDescent="0.4">
      <c r="A4006" t="s">
        <v>6224</v>
      </c>
      <c r="B4006">
        <v>94.1</v>
      </c>
      <c r="C4006" t="s">
        <v>6039</v>
      </c>
      <c r="D4006">
        <v>5</v>
      </c>
      <c r="E4006">
        <v>1.2330000000000001</v>
      </c>
      <c r="F4006">
        <v>8.6</v>
      </c>
      <c r="G4006">
        <v>2019</v>
      </c>
      <c r="H4006" t="s">
        <v>928</v>
      </c>
      <c r="I4006" t="s">
        <v>6596</v>
      </c>
      <c r="L4006" t="s">
        <v>197</v>
      </c>
    </row>
    <row r="4007" spans="1:12" x14ac:dyDescent="0.4">
      <c r="A4007" t="s">
        <v>6225</v>
      </c>
      <c r="B4007">
        <v>95.5</v>
      </c>
      <c r="C4007" t="s">
        <v>5740</v>
      </c>
      <c r="D4007">
        <v>5</v>
      </c>
      <c r="E4007">
        <v>1.282</v>
      </c>
      <c r="F4007">
        <v>8.3000000000000007</v>
      </c>
      <c r="G4007">
        <v>2019</v>
      </c>
      <c r="H4007" t="s">
        <v>928</v>
      </c>
      <c r="I4007" t="s">
        <v>6596</v>
      </c>
      <c r="L4007" t="s">
        <v>197</v>
      </c>
    </row>
    <row r="4008" spans="1:12" x14ac:dyDescent="0.4">
      <c r="A4008" t="s">
        <v>6226</v>
      </c>
      <c r="B4008">
        <v>89.6</v>
      </c>
      <c r="C4008" t="s">
        <v>6581</v>
      </c>
      <c r="D4008">
        <v>5</v>
      </c>
      <c r="E4008">
        <v>1.0740000000000001</v>
      </c>
      <c r="F4008">
        <v>9.6</v>
      </c>
      <c r="G4008">
        <v>2019</v>
      </c>
      <c r="H4008" t="s">
        <v>928</v>
      </c>
      <c r="I4008" t="s">
        <v>6596</v>
      </c>
      <c r="L4008" t="s">
        <v>197</v>
      </c>
    </row>
    <row r="4009" spans="1:12" x14ac:dyDescent="0.4">
      <c r="A4009" t="s">
        <v>6227</v>
      </c>
      <c r="B4009">
        <v>86</v>
      </c>
      <c r="C4009" t="s">
        <v>5701</v>
      </c>
      <c r="D4009">
        <v>5</v>
      </c>
      <c r="E4009">
        <v>0.94699999999999995</v>
      </c>
      <c r="F4009">
        <v>10.4</v>
      </c>
      <c r="G4009">
        <v>2019</v>
      </c>
      <c r="H4009" t="s">
        <v>928</v>
      </c>
      <c r="I4009" t="s">
        <v>6596</v>
      </c>
      <c r="L4009" t="s">
        <v>197</v>
      </c>
    </row>
    <row r="4010" spans="1:12" x14ac:dyDescent="0.4">
      <c r="A4010" t="s">
        <v>6228</v>
      </c>
      <c r="B4010">
        <v>61.1</v>
      </c>
      <c r="C4010" t="s">
        <v>5719</v>
      </c>
      <c r="D4010">
        <v>4</v>
      </c>
      <c r="E4010">
        <v>6.7000000000000004E-2</v>
      </c>
      <c r="F4010">
        <v>15.9</v>
      </c>
      <c r="G4010">
        <v>2019</v>
      </c>
      <c r="H4010" t="s">
        <v>928</v>
      </c>
      <c r="I4010" t="s">
        <v>6596</v>
      </c>
      <c r="L4010" t="s">
        <v>197</v>
      </c>
    </row>
    <row r="4011" spans="1:12" x14ac:dyDescent="0.4">
      <c r="A4011" t="s">
        <v>6229</v>
      </c>
      <c r="B4011">
        <v>20.399999999999999</v>
      </c>
      <c r="C4011" t="s">
        <v>6037</v>
      </c>
      <c r="D4011">
        <v>2</v>
      </c>
      <c r="E4011">
        <v>-1.371</v>
      </c>
      <c r="F4011">
        <v>24.9</v>
      </c>
      <c r="G4011">
        <v>2019</v>
      </c>
      <c r="H4011" t="s">
        <v>928</v>
      </c>
      <c r="I4011" t="s">
        <v>6596</v>
      </c>
      <c r="L4011" t="s">
        <v>197</v>
      </c>
    </row>
    <row r="4012" spans="1:12" x14ac:dyDescent="0.4">
      <c r="A4012" t="s">
        <v>6230</v>
      </c>
      <c r="B4012">
        <v>59.2</v>
      </c>
      <c r="C4012" t="s">
        <v>197</v>
      </c>
      <c r="D4012">
        <v>3</v>
      </c>
    </row>
    <row r="4013" spans="1:12" x14ac:dyDescent="0.4">
      <c r="A4013" t="s">
        <v>6231</v>
      </c>
      <c r="B4013">
        <v>48.9</v>
      </c>
      <c r="C4013" t="s">
        <v>197</v>
      </c>
      <c r="D4013">
        <v>3</v>
      </c>
    </row>
    <row r="4014" spans="1:12" x14ac:dyDescent="0.4">
      <c r="A4014" t="s">
        <v>6232</v>
      </c>
      <c r="B4014">
        <v>74.099999999999994</v>
      </c>
      <c r="C4014" t="s">
        <v>197</v>
      </c>
      <c r="D4014">
        <v>4</v>
      </c>
    </row>
    <row r="4015" spans="1:12" x14ac:dyDescent="0.4">
      <c r="A4015" t="s">
        <v>6233</v>
      </c>
      <c r="B4015">
        <v>43.3</v>
      </c>
      <c r="C4015" t="s">
        <v>197</v>
      </c>
      <c r="D4015">
        <v>3</v>
      </c>
    </row>
    <row r="4016" spans="1:12" x14ac:dyDescent="0.4">
      <c r="A4016" t="s">
        <v>6234</v>
      </c>
      <c r="B4016">
        <v>72.599999999999994</v>
      </c>
      <c r="C4016" t="s">
        <v>197</v>
      </c>
      <c r="D4016">
        <v>4</v>
      </c>
    </row>
    <row r="4017" spans="1:12" x14ac:dyDescent="0.4">
      <c r="A4017" t="s">
        <v>6235</v>
      </c>
      <c r="B4017">
        <v>37</v>
      </c>
      <c r="C4017" t="s">
        <v>197</v>
      </c>
      <c r="D4017">
        <v>2</v>
      </c>
    </row>
    <row r="4018" spans="1:12" x14ac:dyDescent="0.4">
      <c r="A4018" t="s">
        <v>6236</v>
      </c>
      <c r="B4018">
        <v>66.400000000000006</v>
      </c>
      <c r="C4018" t="s">
        <v>197</v>
      </c>
      <c r="D4018">
        <v>4</v>
      </c>
    </row>
    <row r="4019" spans="1:12" x14ac:dyDescent="0.4">
      <c r="A4019" t="s">
        <v>7456</v>
      </c>
      <c r="B4019">
        <v>37.200000000000003</v>
      </c>
      <c r="C4019" t="s">
        <v>197</v>
      </c>
      <c r="D4019">
        <v>2</v>
      </c>
    </row>
    <row r="4020" spans="1:12" x14ac:dyDescent="0.4">
      <c r="A4020" t="s">
        <v>7457</v>
      </c>
      <c r="B4020">
        <v>54.5</v>
      </c>
      <c r="C4020" t="s">
        <v>197</v>
      </c>
      <c r="D4020">
        <v>3</v>
      </c>
    </row>
    <row r="4021" spans="1:12" x14ac:dyDescent="0.4">
      <c r="A4021" t="s">
        <v>7458</v>
      </c>
      <c r="B4021">
        <v>76.8</v>
      </c>
      <c r="C4021" t="s">
        <v>197</v>
      </c>
      <c r="D4021">
        <v>4</v>
      </c>
    </row>
    <row r="4022" spans="1:12" x14ac:dyDescent="0.4">
      <c r="A4022" t="s">
        <v>6237</v>
      </c>
      <c r="B4022">
        <v>100</v>
      </c>
      <c r="C4022" t="s">
        <v>2479</v>
      </c>
      <c r="D4022">
        <v>5</v>
      </c>
      <c r="E4022">
        <v>1.746</v>
      </c>
      <c r="F4022">
        <v>363.2</v>
      </c>
      <c r="G4022">
        <v>2022</v>
      </c>
      <c r="H4022" t="s">
        <v>928</v>
      </c>
      <c r="I4022" t="s">
        <v>6854</v>
      </c>
      <c r="L4022" t="s">
        <v>197</v>
      </c>
    </row>
    <row r="4023" spans="1:12" x14ac:dyDescent="0.4">
      <c r="A4023" t="s">
        <v>6238</v>
      </c>
      <c r="B4023">
        <v>55.7</v>
      </c>
      <c r="C4023" t="s">
        <v>5735</v>
      </c>
      <c r="D4023">
        <v>3</v>
      </c>
      <c r="E4023">
        <v>-0.193</v>
      </c>
      <c r="F4023">
        <v>989.7</v>
      </c>
      <c r="G4023">
        <v>2022</v>
      </c>
      <c r="H4023" t="s">
        <v>928</v>
      </c>
      <c r="I4023" t="s">
        <v>6854</v>
      </c>
      <c r="L4023" t="s">
        <v>197</v>
      </c>
    </row>
    <row r="4024" spans="1:12" x14ac:dyDescent="0.4">
      <c r="A4024" t="s">
        <v>6239</v>
      </c>
      <c r="B4024">
        <v>36.9</v>
      </c>
      <c r="C4024" t="s">
        <v>5715</v>
      </c>
      <c r="D4024">
        <v>2</v>
      </c>
      <c r="E4024">
        <v>-1.0149999999999999</v>
      </c>
      <c r="F4024">
        <v>1255.5999999999999</v>
      </c>
      <c r="G4024">
        <v>2022</v>
      </c>
      <c r="H4024" t="s">
        <v>928</v>
      </c>
      <c r="I4024" t="s">
        <v>6854</v>
      </c>
      <c r="L4024" t="s">
        <v>197</v>
      </c>
    </row>
    <row r="4025" spans="1:12" x14ac:dyDescent="0.4">
      <c r="A4025" t="s">
        <v>6240</v>
      </c>
      <c r="B4025">
        <v>55.4</v>
      </c>
      <c r="C4025" t="s">
        <v>5727</v>
      </c>
      <c r="D4025">
        <v>3</v>
      </c>
      <c r="E4025">
        <v>-0.20599999999999999</v>
      </c>
      <c r="F4025">
        <v>994</v>
      </c>
      <c r="G4025">
        <v>2022</v>
      </c>
      <c r="H4025" t="s">
        <v>928</v>
      </c>
      <c r="I4025" t="s">
        <v>6854</v>
      </c>
      <c r="L4025" t="s">
        <v>197</v>
      </c>
    </row>
    <row r="4026" spans="1:12" x14ac:dyDescent="0.4">
      <c r="A4026" t="s">
        <v>6241</v>
      </c>
      <c r="B4026">
        <v>64.599999999999994</v>
      </c>
      <c r="C4026" t="s">
        <v>5731</v>
      </c>
      <c r="D4026">
        <v>4</v>
      </c>
      <c r="E4026">
        <v>0.19700000000000001</v>
      </c>
      <c r="F4026">
        <v>864.4</v>
      </c>
      <c r="G4026">
        <v>2022</v>
      </c>
      <c r="H4026" t="s">
        <v>928</v>
      </c>
      <c r="I4026" t="s">
        <v>6854</v>
      </c>
      <c r="L4026" t="s">
        <v>197</v>
      </c>
    </row>
    <row r="4027" spans="1:12" x14ac:dyDescent="0.4">
      <c r="A4027" t="s">
        <v>6242</v>
      </c>
      <c r="B4027">
        <v>43.9</v>
      </c>
      <c r="C4027" t="s">
        <v>5737</v>
      </c>
      <c r="D4027">
        <v>3</v>
      </c>
      <c r="E4027">
        <v>-0.70899999999999996</v>
      </c>
      <c r="F4027">
        <v>1156.3</v>
      </c>
      <c r="G4027">
        <v>2022</v>
      </c>
      <c r="H4027" t="s">
        <v>928</v>
      </c>
      <c r="I4027" t="s">
        <v>6854</v>
      </c>
      <c r="L4027" t="s">
        <v>197</v>
      </c>
    </row>
    <row r="4028" spans="1:12" x14ac:dyDescent="0.4">
      <c r="A4028" t="s">
        <v>6243</v>
      </c>
      <c r="B4028">
        <v>26</v>
      </c>
      <c r="C4028" t="s">
        <v>6037</v>
      </c>
      <c r="D4028">
        <v>2</v>
      </c>
      <c r="E4028">
        <v>-1.492</v>
      </c>
      <c r="F4028">
        <v>1410.2</v>
      </c>
      <c r="G4028">
        <v>2022</v>
      </c>
      <c r="H4028" t="s">
        <v>928</v>
      </c>
      <c r="I4028" t="s">
        <v>6854</v>
      </c>
      <c r="L4028" t="s">
        <v>197</v>
      </c>
    </row>
    <row r="4029" spans="1:12" x14ac:dyDescent="0.4">
      <c r="A4029" t="s">
        <v>6244</v>
      </c>
      <c r="B4029">
        <v>80.900000000000006</v>
      </c>
      <c r="C4029" t="s">
        <v>2484</v>
      </c>
      <c r="D4029">
        <v>5</v>
      </c>
      <c r="E4029">
        <v>0.91</v>
      </c>
      <c r="F4029">
        <v>633.29999999999995</v>
      </c>
      <c r="G4029">
        <v>2022</v>
      </c>
      <c r="H4029" t="s">
        <v>928</v>
      </c>
      <c r="I4029" t="s">
        <v>6854</v>
      </c>
      <c r="L4029" t="s">
        <v>197</v>
      </c>
    </row>
    <row r="4030" spans="1:12" x14ac:dyDescent="0.4">
      <c r="A4030" t="s">
        <v>6245</v>
      </c>
      <c r="B4030">
        <v>18.899999999999999</v>
      </c>
      <c r="C4030" t="s">
        <v>6035</v>
      </c>
      <c r="D4030">
        <v>1</v>
      </c>
      <c r="E4030">
        <v>-1.8029999999999999</v>
      </c>
      <c r="F4030">
        <v>1510.1</v>
      </c>
      <c r="G4030">
        <v>2022</v>
      </c>
      <c r="H4030" t="s">
        <v>928</v>
      </c>
      <c r="I4030" t="s">
        <v>6854</v>
      </c>
      <c r="L4030" t="s">
        <v>197</v>
      </c>
    </row>
    <row r="4031" spans="1:12" x14ac:dyDescent="0.4">
      <c r="A4031" t="s">
        <v>6246</v>
      </c>
      <c r="B4031">
        <v>62.6</v>
      </c>
      <c r="C4031" t="s">
        <v>5729</v>
      </c>
      <c r="D4031">
        <v>4</v>
      </c>
      <c r="E4031">
        <v>0.109</v>
      </c>
      <c r="F4031">
        <v>892.2</v>
      </c>
      <c r="G4031">
        <v>2022</v>
      </c>
      <c r="H4031" t="s">
        <v>928</v>
      </c>
      <c r="I4031" t="s">
        <v>6854</v>
      </c>
      <c r="L4031" t="s">
        <v>197</v>
      </c>
    </row>
    <row r="4032" spans="1:12" x14ac:dyDescent="0.4">
      <c r="A4032" t="s">
        <v>6247</v>
      </c>
      <c r="B4032">
        <v>73.599999999999994</v>
      </c>
      <c r="C4032" t="s">
        <v>5695</v>
      </c>
      <c r="D4032">
        <v>4</v>
      </c>
      <c r="E4032">
        <v>0.59099999999999997</v>
      </c>
      <c r="F4032">
        <v>735.9</v>
      </c>
      <c r="G4032">
        <v>2022</v>
      </c>
      <c r="H4032" t="s">
        <v>928</v>
      </c>
      <c r="I4032" t="s">
        <v>6854</v>
      </c>
      <c r="L4032" t="s">
        <v>197</v>
      </c>
    </row>
    <row r="4033" spans="1:12" x14ac:dyDescent="0.4">
      <c r="A4033" t="s">
        <v>6248</v>
      </c>
      <c r="B4033">
        <v>70.900000000000006</v>
      </c>
      <c r="C4033" t="s">
        <v>6617</v>
      </c>
      <c r="D4033">
        <v>4</v>
      </c>
      <c r="E4033">
        <v>0.47299999999999998</v>
      </c>
      <c r="F4033">
        <v>775.1</v>
      </c>
      <c r="G4033">
        <v>2022</v>
      </c>
      <c r="H4033" t="s">
        <v>928</v>
      </c>
      <c r="I4033" t="s">
        <v>6854</v>
      </c>
      <c r="L4033" t="s">
        <v>197</v>
      </c>
    </row>
    <row r="4034" spans="1:12" x14ac:dyDescent="0.4">
      <c r="A4034" t="s">
        <v>6249</v>
      </c>
      <c r="B4034">
        <v>74.400000000000006</v>
      </c>
      <c r="C4034" t="s">
        <v>5705</v>
      </c>
      <c r="D4034">
        <v>4</v>
      </c>
      <c r="E4034">
        <v>0.626</v>
      </c>
      <c r="F4034">
        <v>725.4</v>
      </c>
      <c r="G4034">
        <v>2022</v>
      </c>
      <c r="H4034" t="s">
        <v>928</v>
      </c>
      <c r="I4034" t="s">
        <v>6854</v>
      </c>
      <c r="L4034" t="s">
        <v>197</v>
      </c>
    </row>
    <row r="4035" spans="1:12" x14ac:dyDescent="0.4">
      <c r="A4035" t="s">
        <v>6250</v>
      </c>
      <c r="B4035">
        <v>57.5</v>
      </c>
      <c r="C4035" t="s">
        <v>5725</v>
      </c>
      <c r="D4035">
        <v>3</v>
      </c>
      <c r="E4035">
        <v>-0.114</v>
      </c>
      <c r="F4035">
        <v>963.8</v>
      </c>
      <c r="G4035">
        <v>2022</v>
      </c>
      <c r="H4035" t="s">
        <v>928</v>
      </c>
      <c r="I4035" t="s">
        <v>6854</v>
      </c>
      <c r="L4035" t="s">
        <v>197</v>
      </c>
    </row>
    <row r="4036" spans="1:12" x14ac:dyDescent="0.4">
      <c r="A4036" t="s">
        <v>6251</v>
      </c>
      <c r="B4036">
        <v>24.7</v>
      </c>
      <c r="C4036" t="s">
        <v>6036</v>
      </c>
      <c r="D4036">
        <v>2</v>
      </c>
      <c r="E4036">
        <v>-1.5489999999999999</v>
      </c>
      <c r="F4036">
        <v>1427.9</v>
      </c>
      <c r="G4036">
        <v>2022</v>
      </c>
      <c r="H4036" t="s">
        <v>928</v>
      </c>
      <c r="I4036" t="s">
        <v>6854</v>
      </c>
      <c r="L4036" t="s">
        <v>197</v>
      </c>
    </row>
    <row r="4037" spans="1:12" x14ac:dyDescent="0.4">
      <c r="A4037" t="s">
        <v>6252</v>
      </c>
      <c r="B4037">
        <v>79</v>
      </c>
      <c r="C4037" t="s">
        <v>5701</v>
      </c>
      <c r="D4037">
        <v>4</v>
      </c>
      <c r="E4037">
        <v>0.82699999999999996</v>
      </c>
      <c r="F4037">
        <v>660.7</v>
      </c>
      <c r="G4037">
        <v>2022</v>
      </c>
      <c r="H4037" t="s">
        <v>928</v>
      </c>
      <c r="I4037" t="s">
        <v>6854</v>
      </c>
      <c r="L4037" t="s">
        <v>197</v>
      </c>
    </row>
    <row r="4038" spans="1:12" x14ac:dyDescent="0.4">
      <c r="A4038" t="s">
        <v>6253</v>
      </c>
      <c r="B4038">
        <v>30.7</v>
      </c>
      <c r="C4038" t="s">
        <v>6607</v>
      </c>
      <c r="D4038">
        <v>2</v>
      </c>
      <c r="E4038">
        <v>-1.2869999999999999</v>
      </c>
      <c r="F4038">
        <v>1343.2</v>
      </c>
      <c r="G4038">
        <v>2022</v>
      </c>
      <c r="H4038" t="s">
        <v>928</v>
      </c>
      <c r="I4038" t="s">
        <v>6854</v>
      </c>
      <c r="L4038" t="s">
        <v>197</v>
      </c>
    </row>
    <row r="4039" spans="1:12" x14ac:dyDescent="0.4">
      <c r="A4039" t="s">
        <v>6254</v>
      </c>
      <c r="B4039">
        <v>50</v>
      </c>
      <c r="C4039" t="s">
        <v>5734</v>
      </c>
      <c r="D4039">
        <v>3</v>
      </c>
      <c r="E4039">
        <v>-0.442</v>
      </c>
      <c r="F4039">
        <v>1070.5</v>
      </c>
      <c r="G4039">
        <v>2022</v>
      </c>
      <c r="H4039" t="s">
        <v>928</v>
      </c>
      <c r="I4039" t="s">
        <v>6854</v>
      </c>
      <c r="L4039" t="s">
        <v>197</v>
      </c>
    </row>
    <row r="4040" spans="1:12" x14ac:dyDescent="0.4">
      <c r="A4040" t="s">
        <v>6255</v>
      </c>
      <c r="B4040">
        <v>80.5</v>
      </c>
      <c r="C4040" t="s">
        <v>5730</v>
      </c>
      <c r="D4040">
        <v>5</v>
      </c>
      <c r="E4040">
        <v>0.89300000000000002</v>
      </c>
      <c r="F4040">
        <v>638.6</v>
      </c>
      <c r="G4040">
        <v>2022</v>
      </c>
      <c r="H4040" t="s">
        <v>928</v>
      </c>
      <c r="I4040" t="s">
        <v>6854</v>
      </c>
      <c r="L4040" t="s">
        <v>197</v>
      </c>
    </row>
    <row r="4041" spans="1:12" x14ac:dyDescent="0.4">
      <c r="A4041" t="s">
        <v>6256</v>
      </c>
      <c r="B4041">
        <v>77.599999999999994</v>
      </c>
      <c r="C4041" t="s">
        <v>5707</v>
      </c>
      <c r="D4041">
        <v>4</v>
      </c>
      <c r="E4041">
        <v>0.76600000000000001</v>
      </c>
      <c r="F4041">
        <v>680.2</v>
      </c>
      <c r="G4041">
        <v>2022</v>
      </c>
      <c r="H4041" t="s">
        <v>928</v>
      </c>
      <c r="I4041" t="s">
        <v>6854</v>
      </c>
      <c r="L4041" t="s">
        <v>197</v>
      </c>
    </row>
    <row r="4042" spans="1:12" x14ac:dyDescent="0.4">
      <c r="A4042" t="s">
        <v>6257</v>
      </c>
      <c r="B4042">
        <v>82.5</v>
      </c>
      <c r="C4042" t="s">
        <v>2483</v>
      </c>
      <c r="D4042">
        <v>5</v>
      </c>
      <c r="E4042">
        <v>0.98</v>
      </c>
      <c r="F4042">
        <v>610.20000000000005</v>
      </c>
      <c r="G4042">
        <v>2022</v>
      </c>
      <c r="H4042" t="s">
        <v>928</v>
      </c>
      <c r="I4042" t="s">
        <v>6854</v>
      </c>
      <c r="L4042" t="s">
        <v>197</v>
      </c>
    </row>
    <row r="4043" spans="1:12" x14ac:dyDescent="0.4">
      <c r="A4043" t="s">
        <v>6258</v>
      </c>
      <c r="B4043">
        <v>80.7</v>
      </c>
      <c r="C4043" t="s">
        <v>2474</v>
      </c>
      <c r="D4043">
        <v>5</v>
      </c>
      <c r="E4043">
        <v>0.90200000000000002</v>
      </c>
      <c r="F4043">
        <v>636.79999999999995</v>
      </c>
      <c r="G4043">
        <v>2022</v>
      </c>
      <c r="H4043" t="s">
        <v>928</v>
      </c>
      <c r="I4043" t="s">
        <v>6854</v>
      </c>
      <c r="L4043" t="s">
        <v>197</v>
      </c>
    </row>
    <row r="4044" spans="1:12" x14ac:dyDescent="0.4">
      <c r="A4044" t="s">
        <v>6259</v>
      </c>
      <c r="B4044">
        <v>70.900000000000006</v>
      </c>
      <c r="C4044" t="s">
        <v>6617</v>
      </c>
      <c r="D4044">
        <v>4</v>
      </c>
      <c r="E4044">
        <v>0.47299999999999998</v>
      </c>
      <c r="F4044">
        <v>775.1</v>
      </c>
      <c r="G4044">
        <v>2022</v>
      </c>
      <c r="H4044" t="s">
        <v>928</v>
      </c>
      <c r="I4044" t="s">
        <v>6854</v>
      </c>
      <c r="L4044" t="s">
        <v>197</v>
      </c>
    </row>
    <row r="4045" spans="1:12" x14ac:dyDescent="0.4">
      <c r="A4045" t="s">
        <v>6260</v>
      </c>
      <c r="B4045">
        <v>58.2</v>
      </c>
      <c r="C4045" t="s">
        <v>5706</v>
      </c>
      <c r="D4045">
        <v>3</v>
      </c>
      <c r="E4045">
        <v>-8.3000000000000004E-2</v>
      </c>
      <c r="F4045">
        <v>954.1</v>
      </c>
      <c r="G4045">
        <v>2022</v>
      </c>
      <c r="H4045" t="s">
        <v>928</v>
      </c>
      <c r="I4045" t="s">
        <v>6854</v>
      </c>
      <c r="L4045" t="s">
        <v>197</v>
      </c>
    </row>
    <row r="4046" spans="1:12" x14ac:dyDescent="0.4">
      <c r="A4046" t="s">
        <v>6261</v>
      </c>
      <c r="B4046">
        <v>98.5</v>
      </c>
      <c r="C4046" t="s">
        <v>2478</v>
      </c>
      <c r="D4046">
        <v>5</v>
      </c>
      <c r="E4046">
        <v>1.681</v>
      </c>
      <c r="F4046">
        <v>384.4</v>
      </c>
      <c r="G4046">
        <v>2022</v>
      </c>
      <c r="H4046" t="s">
        <v>928</v>
      </c>
      <c r="I4046" t="s">
        <v>6854</v>
      </c>
      <c r="L4046" t="s">
        <v>197</v>
      </c>
    </row>
    <row r="4047" spans="1:12" x14ac:dyDescent="0.4">
      <c r="A4047" t="s">
        <v>6262</v>
      </c>
      <c r="B4047">
        <v>57.5</v>
      </c>
      <c r="C4047" t="s">
        <v>5725</v>
      </c>
      <c r="D4047">
        <v>3</v>
      </c>
      <c r="E4047">
        <v>-0.114</v>
      </c>
      <c r="F4047">
        <v>963.9</v>
      </c>
      <c r="G4047">
        <v>2022</v>
      </c>
      <c r="H4047" t="s">
        <v>928</v>
      </c>
      <c r="I4047" t="s">
        <v>6854</v>
      </c>
      <c r="L4047" t="s">
        <v>197</v>
      </c>
    </row>
    <row r="4048" spans="1:12" x14ac:dyDescent="0.4">
      <c r="A4048" t="s">
        <v>6263</v>
      </c>
      <c r="B4048">
        <v>51.3</v>
      </c>
      <c r="C4048" t="s">
        <v>5733</v>
      </c>
      <c r="D4048">
        <v>3</v>
      </c>
      <c r="E4048">
        <v>-0.38500000000000001</v>
      </c>
      <c r="F4048">
        <v>1052.3</v>
      </c>
      <c r="G4048">
        <v>2022</v>
      </c>
      <c r="H4048" t="s">
        <v>928</v>
      </c>
      <c r="I4048" t="s">
        <v>6854</v>
      </c>
      <c r="L4048" t="s">
        <v>197</v>
      </c>
    </row>
    <row r="4049" spans="1:12" x14ac:dyDescent="0.4">
      <c r="A4049" t="s">
        <v>6264</v>
      </c>
      <c r="B4049">
        <v>93.4</v>
      </c>
      <c r="C4049" t="s">
        <v>2475</v>
      </c>
      <c r="D4049">
        <v>5</v>
      </c>
      <c r="E4049">
        <v>1.4570000000000001</v>
      </c>
      <c r="F4049">
        <v>456.3</v>
      </c>
      <c r="G4049">
        <v>2022</v>
      </c>
      <c r="H4049" t="s">
        <v>928</v>
      </c>
      <c r="I4049" t="s">
        <v>6854</v>
      </c>
      <c r="L4049" t="s">
        <v>197</v>
      </c>
    </row>
    <row r="4050" spans="1:12" x14ac:dyDescent="0.4">
      <c r="A4050" t="s">
        <v>6265</v>
      </c>
      <c r="B4050">
        <v>59.6</v>
      </c>
      <c r="C4050" t="s">
        <v>6592</v>
      </c>
      <c r="D4050">
        <v>3</v>
      </c>
      <c r="E4050">
        <v>-2.1999999999999999E-2</v>
      </c>
      <c r="F4050">
        <v>934.4</v>
      </c>
      <c r="G4050">
        <v>2022</v>
      </c>
      <c r="H4050" t="s">
        <v>928</v>
      </c>
      <c r="I4050" t="s">
        <v>6854</v>
      </c>
      <c r="L4050" t="s">
        <v>197</v>
      </c>
    </row>
    <row r="4051" spans="1:12" x14ac:dyDescent="0.4">
      <c r="A4051" t="s">
        <v>6266</v>
      </c>
      <c r="B4051">
        <v>80.599999999999994</v>
      </c>
      <c r="C4051" t="s">
        <v>2481</v>
      </c>
      <c r="D4051">
        <v>5</v>
      </c>
      <c r="E4051">
        <v>0.89700000000000002</v>
      </c>
      <c r="F4051">
        <v>638.1</v>
      </c>
      <c r="G4051">
        <v>2022</v>
      </c>
      <c r="H4051" t="s">
        <v>928</v>
      </c>
      <c r="I4051" t="s">
        <v>6854</v>
      </c>
      <c r="L4051" t="s">
        <v>197</v>
      </c>
    </row>
    <row r="4052" spans="1:12" x14ac:dyDescent="0.4">
      <c r="A4052" t="s">
        <v>6267</v>
      </c>
      <c r="B4052">
        <v>0</v>
      </c>
      <c r="C4052" t="s">
        <v>6033</v>
      </c>
      <c r="D4052">
        <v>1</v>
      </c>
      <c r="E4052">
        <v>-2.63</v>
      </c>
      <c r="F4052">
        <v>1902.6</v>
      </c>
      <c r="G4052">
        <v>2022</v>
      </c>
      <c r="H4052" t="s">
        <v>928</v>
      </c>
      <c r="I4052" t="s">
        <v>6854</v>
      </c>
      <c r="L4052" t="s">
        <v>197</v>
      </c>
    </row>
    <row r="4053" spans="1:12" x14ac:dyDescent="0.4">
      <c r="A4053" t="s">
        <v>6268</v>
      </c>
      <c r="B4053">
        <v>70.900000000000006</v>
      </c>
      <c r="C4053" t="s">
        <v>6617</v>
      </c>
      <c r="D4053">
        <v>4</v>
      </c>
      <c r="E4053">
        <v>0.47299999999999998</v>
      </c>
      <c r="F4053">
        <v>775.1</v>
      </c>
      <c r="G4053">
        <v>2022</v>
      </c>
      <c r="H4053" t="s">
        <v>928</v>
      </c>
      <c r="I4053" t="s">
        <v>6854</v>
      </c>
      <c r="L4053" t="s">
        <v>197</v>
      </c>
    </row>
    <row r="4054" spans="1:12" x14ac:dyDescent="0.4">
      <c r="A4054" t="s">
        <v>6269</v>
      </c>
      <c r="B4054">
        <v>95.3</v>
      </c>
      <c r="C4054" t="s">
        <v>2477</v>
      </c>
      <c r="D4054">
        <v>5</v>
      </c>
      <c r="E4054">
        <v>1.54</v>
      </c>
      <c r="F4054">
        <v>429.4</v>
      </c>
      <c r="G4054">
        <v>2022</v>
      </c>
      <c r="H4054" t="s">
        <v>928</v>
      </c>
      <c r="I4054" t="s">
        <v>6854</v>
      </c>
      <c r="L4054" t="s">
        <v>197</v>
      </c>
    </row>
    <row r="4055" spans="1:12" x14ac:dyDescent="0.4">
      <c r="A4055" t="s">
        <v>6270</v>
      </c>
      <c r="B4055">
        <v>36.9</v>
      </c>
      <c r="C4055" t="s">
        <v>5715</v>
      </c>
      <c r="D4055">
        <v>2</v>
      </c>
      <c r="E4055">
        <v>-1.0149999999999999</v>
      </c>
      <c r="F4055">
        <v>1255.5999999999999</v>
      </c>
      <c r="G4055">
        <v>2022</v>
      </c>
      <c r="H4055" t="s">
        <v>928</v>
      </c>
      <c r="I4055" t="s">
        <v>6854</v>
      </c>
      <c r="L4055" t="s">
        <v>197</v>
      </c>
    </row>
    <row r="4056" spans="1:12" x14ac:dyDescent="0.4">
      <c r="A4056" t="s">
        <v>6271</v>
      </c>
      <c r="B4056">
        <v>47.2</v>
      </c>
      <c r="C4056" t="s">
        <v>6693</v>
      </c>
      <c r="D4056">
        <v>3</v>
      </c>
      <c r="E4056">
        <v>-0.56499999999999995</v>
      </c>
      <c r="F4056">
        <v>1109.8</v>
      </c>
      <c r="G4056">
        <v>2022</v>
      </c>
      <c r="H4056" t="s">
        <v>928</v>
      </c>
      <c r="I4056" t="s">
        <v>6854</v>
      </c>
      <c r="L4056" t="s">
        <v>197</v>
      </c>
    </row>
    <row r="4057" spans="1:12" x14ac:dyDescent="0.4">
      <c r="A4057" t="s">
        <v>6272</v>
      </c>
      <c r="B4057">
        <v>48.4</v>
      </c>
      <c r="C4057" t="s">
        <v>5699</v>
      </c>
      <c r="D4057">
        <v>3</v>
      </c>
      <c r="E4057">
        <v>-0.51200000000000001</v>
      </c>
      <c r="F4057">
        <v>1093.0999999999999</v>
      </c>
      <c r="G4057">
        <v>2022</v>
      </c>
      <c r="H4057" t="s">
        <v>928</v>
      </c>
      <c r="I4057" t="s">
        <v>6854</v>
      </c>
      <c r="L4057" t="s">
        <v>197</v>
      </c>
    </row>
    <row r="4058" spans="1:12" x14ac:dyDescent="0.4">
      <c r="A4058" t="s">
        <v>6273</v>
      </c>
      <c r="B4058">
        <v>89.4</v>
      </c>
      <c r="C4058" t="s">
        <v>2476</v>
      </c>
      <c r="D4058">
        <v>5</v>
      </c>
      <c r="E4058">
        <v>1.282</v>
      </c>
      <c r="F4058">
        <v>513.6</v>
      </c>
      <c r="G4058">
        <v>2022</v>
      </c>
      <c r="H4058" t="s">
        <v>928</v>
      </c>
      <c r="I4058" t="s">
        <v>6854</v>
      </c>
      <c r="L4058" t="s">
        <v>197</v>
      </c>
    </row>
    <row r="4059" spans="1:12" x14ac:dyDescent="0.4">
      <c r="A4059" t="s">
        <v>6274</v>
      </c>
      <c r="B4059">
        <v>73.8</v>
      </c>
      <c r="C4059" t="s">
        <v>5692</v>
      </c>
      <c r="D4059">
        <v>4</v>
      </c>
      <c r="E4059">
        <v>0.6</v>
      </c>
      <c r="F4059">
        <v>733.7</v>
      </c>
      <c r="G4059">
        <v>2022</v>
      </c>
      <c r="H4059" t="s">
        <v>928</v>
      </c>
      <c r="I4059" t="s">
        <v>6854</v>
      </c>
      <c r="L4059" t="s">
        <v>197</v>
      </c>
    </row>
    <row r="4060" spans="1:12" x14ac:dyDescent="0.4">
      <c r="A4060" t="s">
        <v>6275</v>
      </c>
      <c r="B4060">
        <v>28.3</v>
      </c>
      <c r="C4060" t="s">
        <v>5710</v>
      </c>
      <c r="D4060">
        <v>2</v>
      </c>
      <c r="E4060">
        <v>-1.3919999999999999</v>
      </c>
      <c r="F4060">
        <v>1377.6</v>
      </c>
      <c r="G4060">
        <v>2022</v>
      </c>
      <c r="H4060" t="s">
        <v>928</v>
      </c>
      <c r="I4060" t="s">
        <v>6854</v>
      </c>
      <c r="L4060" t="s">
        <v>197</v>
      </c>
    </row>
    <row r="4061" spans="1:12" x14ac:dyDescent="0.4">
      <c r="A4061" t="s">
        <v>6276</v>
      </c>
      <c r="B4061">
        <v>36.9</v>
      </c>
      <c r="C4061" t="s">
        <v>5715</v>
      </c>
      <c r="D4061">
        <v>2</v>
      </c>
      <c r="E4061">
        <v>-1.0149999999999999</v>
      </c>
      <c r="F4061">
        <v>1255.5999999999999</v>
      </c>
      <c r="G4061">
        <v>2022</v>
      </c>
      <c r="H4061" t="s">
        <v>928</v>
      </c>
      <c r="I4061" t="s">
        <v>6854</v>
      </c>
      <c r="L4061" t="s">
        <v>197</v>
      </c>
    </row>
    <row r="4062" spans="1:12" x14ac:dyDescent="0.4">
      <c r="A4062" t="s">
        <v>6277</v>
      </c>
      <c r="B4062">
        <v>82.4</v>
      </c>
      <c r="C4062" t="s">
        <v>2482</v>
      </c>
      <c r="D4062">
        <v>5</v>
      </c>
      <c r="E4062">
        <v>0.97599999999999998</v>
      </c>
      <c r="F4062">
        <v>612.5</v>
      </c>
      <c r="G4062">
        <v>2022</v>
      </c>
      <c r="H4062" t="s">
        <v>928</v>
      </c>
      <c r="I4062" t="s">
        <v>6854</v>
      </c>
      <c r="L4062" t="s">
        <v>197</v>
      </c>
    </row>
    <row r="4063" spans="1:12" x14ac:dyDescent="0.4">
      <c r="A4063" t="s">
        <v>6278</v>
      </c>
      <c r="B4063">
        <v>71.400000000000006</v>
      </c>
      <c r="C4063" t="s">
        <v>6580</v>
      </c>
      <c r="D4063">
        <v>4</v>
      </c>
      <c r="E4063">
        <v>0.495</v>
      </c>
      <c r="F4063">
        <v>767.5</v>
      </c>
      <c r="G4063">
        <v>2022</v>
      </c>
      <c r="H4063" t="s">
        <v>928</v>
      </c>
      <c r="I4063" t="s">
        <v>6854</v>
      </c>
      <c r="L4063" t="s">
        <v>197</v>
      </c>
    </row>
    <row r="4064" spans="1:12" x14ac:dyDescent="0.4">
      <c r="A4064" t="s">
        <v>6279</v>
      </c>
      <c r="B4064">
        <v>43.9</v>
      </c>
      <c r="C4064" t="s">
        <v>5737</v>
      </c>
      <c r="D4064">
        <v>3</v>
      </c>
      <c r="E4064">
        <v>-0.70899999999999996</v>
      </c>
      <c r="F4064">
        <v>1156.3</v>
      </c>
      <c r="G4064">
        <v>2022</v>
      </c>
      <c r="H4064" t="s">
        <v>928</v>
      </c>
      <c r="I4064" t="s">
        <v>6854</v>
      </c>
      <c r="L4064" t="s">
        <v>197</v>
      </c>
    </row>
    <row r="4065" spans="1:12" x14ac:dyDescent="0.4">
      <c r="A4065" t="s">
        <v>6280</v>
      </c>
      <c r="B4065">
        <v>79.099999999999994</v>
      </c>
      <c r="C4065" t="s">
        <v>5696</v>
      </c>
      <c r="D4065">
        <v>4</v>
      </c>
      <c r="E4065">
        <v>0.83199999999999996</v>
      </c>
      <c r="F4065">
        <v>658.5</v>
      </c>
      <c r="G4065">
        <v>2022</v>
      </c>
      <c r="H4065" t="s">
        <v>928</v>
      </c>
      <c r="I4065" t="s">
        <v>6854</v>
      </c>
      <c r="L4065" t="s">
        <v>197</v>
      </c>
    </row>
    <row r="4066" spans="1:12" x14ac:dyDescent="0.4">
      <c r="A4066" t="s">
        <v>6281</v>
      </c>
      <c r="B4066">
        <v>59.6</v>
      </c>
      <c r="C4066" t="s">
        <v>6592</v>
      </c>
      <c r="D4066">
        <v>3</v>
      </c>
      <c r="E4066">
        <v>-2.1999999999999999E-2</v>
      </c>
      <c r="F4066">
        <v>934.4</v>
      </c>
      <c r="G4066">
        <v>2022</v>
      </c>
      <c r="H4066" t="s">
        <v>928</v>
      </c>
      <c r="I4066" t="s">
        <v>6854</v>
      </c>
      <c r="L4066" t="s">
        <v>197</v>
      </c>
    </row>
    <row r="4067" spans="1:12" x14ac:dyDescent="0.4">
      <c r="A4067" t="s">
        <v>6282</v>
      </c>
      <c r="B4067">
        <v>47.2</v>
      </c>
      <c r="C4067" t="s">
        <v>6693</v>
      </c>
      <c r="D4067">
        <v>3</v>
      </c>
      <c r="E4067">
        <v>-0.56499999999999995</v>
      </c>
      <c r="F4067">
        <v>1109.8</v>
      </c>
      <c r="G4067">
        <v>2022</v>
      </c>
      <c r="H4067" t="s">
        <v>928</v>
      </c>
      <c r="I4067" t="s">
        <v>6854</v>
      </c>
      <c r="L4067" t="s">
        <v>197</v>
      </c>
    </row>
    <row r="4068" spans="1:12" x14ac:dyDescent="0.4">
      <c r="A4068" t="s">
        <v>6283</v>
      </c>
      <c r="B4068">
        <v>39.5</v>
      </c>
      <c r="C4068" t="s">
        <v>5708</v>
      </c>
      <c r="D4068">
        <v>2</v>
      </c>
      <c r="E4068">
        <v>-0.90200000000000002</v>
      </c>
      <c r="F4068">
        <v>1218.2</v>
      </c>
      <c r="G4068">
        <v>2022</v>
      </c>
      <c r="H4068" t="s">
        <v>928</v>
      </c>
      <c r="I4068" t="s">
        <v>6854</v>
      </c>
      <c r="L4068" t="s">
        <v>197</v>
      </c>
    </row>
    <row r="4069" spans="1:12" x14ac:dyDescent="0.4">
      <c r="A4069" t="s">
        <v>6284</v>
      </c>
      <c r="B4069">
        <v>30.7</v>
      </c>
      <c r="C4069" t="s">
        <v>6607</v>
      </c>
      <c r="D4069">
        <v>2</v>
      </c>
      <c r="E4069">
        <v>-1.2869999999999999</v>
      </c>
      <c r="F4069">
        <v>1343.2</v>
      </c>
      <c r="G4069">
        <v>2022</v>
      </c>
      <c r="H4069" t="s">
        <v>928</v>
      </c>
      <c r="I4069" t="s">
        <v>6854</v>
      </c>
      <c r="L4069" t="s">
        <v>197</v>
      </c>
    </row>
    <row r="4070" spans="1:12" x14ac:dyDescent="0.4">
      <c r="A4070" t="s">
        <v>6285</v>
      </c>
      <c r="B4070">
        <v>43.9</v>
      </c>
      <c r="C4070" t="s">
        <v>5737</v>
      </c>
      <c r="D4070">
        <v>3</v>
      </c>
      <c r="E4070">
        <v>-0.70899999999999996</v>
      </c>
      <c r="F4070">
        <v>1156.3</v>
      </c>
      <c r="G4070">
        <v>2022</v>
      </c>
      <c r="H4070" t="s">
        <v>928</v>
      </c>
      <c r="I4070" t="s">
        <v>6854</v>
      </c>
      <c r="L4070" t="s">
        <v>197</v>
      </c>
    </row>
    <row r="4071" spans="1:12" x14ac:dyDescent="0.4">
      <c r="A4071" t="s">
        <v>6286</v>
      </c>
      <c r="B4071">
        <v>82.8</v>
      </c>
      <c r="C4071" t="s">
        <v>2480</v>
      </c>
      <c r="D4071">
        <v>5</v>
      </c>
      <c r="E4071">
        <v>0.99299999999999999</v>
      </c>
      <c r="F4071">
        <v>607.1</v>
      </c>
      <c r="G4071">
        <v>2022</v>
      </c>
      <c r="H4071" t="s">
        <v>928</v>
      </c>
      <c r="I4071" t="s">
        <v>6854</v>
      </c>
      <c r="L4071" t="s">
        <v>197</v>
      </c>
    </row>
    <row r="4072" spans="1:12" x14ac:dyDescent="0.4">
      <c r="A4072" t="s">
        <v>6287</v>
      </c>
      <c r="B4072">
        <v>60.1</v>
      </c>
      <c r="C4072" t="s">
        <v>197</v>
      </c>
      <c r="D4072">
        <v>4</v>
      </c>
    </row>
    <row r="4073" spans="1:12" x14ac:dyDescent="0.4">
      <c r="A4073" t="s">
        <v>6288</v>
      </c>
      <c r="B4073">
        <v>85.4</v>
      </c>
      <c r="C4073" t="s">
        <v>197</v>
      </c>
      <c r="D4073">
        <v>5</v>
      </c>
    </row>
    <row r="4074" spans="1:12" x14ac:dyDescent="0.4">
      <c r="A4074" t="s">
        <v>6289</v>
      </c>
      <c r="B4074">
        <v>56.3</v>
      </c>
      <c r="C4074" t="s">
        <v>197</v>
      </c>
      <c r="D4074">
        <v>3</v>
      </c>
    </row>
    <row r="4075" spans="1:12" x14ac:dyDescent="0.4">
      <c r="A4075" t="s">
        <v>6290</v>
      </c>
      <c r="B4075">
        <v>63</v>
      </c>
      <c r="C4075" t="s">
        <v>197</v>
      </c>
      <c r="D4075">
        <v>4</v>
      </c>
    </row>
    <row r="4076" spans="1:12" x14ac:dyDescent="0.4">
      <c r="A4076" t="s">
        <v>6291</v>
      </c>
      <c r="B4076">
        <v>33.6</v>
      </c>
      <c r="C4076" t="s">
        <v>197</v>
      </c>
      <c r="D4076">
        <v>2</v>
      </c>
    </row>
    <row r="4077" spans="1:12" x14ac:dyDescent="0.4">
      <c r="A4077" t="s">
        <v>6292</v>
      </c>
      <c r="B4077">
        <v>75.2</v>
      </c>
      <c r="C4077" t="s">
        <v>197</v>
      </c>
      <c r="D4077">
        <v>4</v>
      </c>
    </row>
    <row r="4078" spans="1:12" x14ac:dyDescent="0.4">
      <c r="A4078" t="s">
        <v>6293</v>
      </c>
      <c r="B4078">
        <v>60.3</v>
      </c>
      <c r="C4078" t="s">
        <v>197</v>
      </c>
      <c r="D4078">
        <v>4</v>
      </c>
    </row>
    <row r="4079" spans="1:12" x14ac:dyDescent="0.4">
      <c r="A4079" t="s">
        <v>7459</v>
      </c>
      <c r="B4079">
        <v>80</v>
      </c>
      <c r="C4079" t="s">
        <v>197</v>
      </c>
      <c r="D4079">
        <v>5</v>
      </c>
    </row>
    <row r="4080" spans="1:12" x14ac:dyDescent="0.4">
      <c r="A4080" t="s">
        <v>7460</v>
      </c>
      <c r="B4080">
        <v>58.9</v>
      </c>
      <c r="C4080" t="s">
        <v>197</v>
      </c>
      <c r="D4080">
        <v>3</v>
      </c>
    </row>
    <row r="4081" spans="1:12" x14ac:dyDescent="0.4">
      <c r="A4081" t="s">
        <v>7461</v>
      </c>
      <c r="B4081">
        <v>46.8</v>
      </c>
      <c r="C4081" t="s">
        <v>197</v>
      </c>
      <c r="D4081">
        <v>3</v>
      </c>
    </row>
    <row r="4082" spans="1:12" x14ac:dyDescent="0.4">
      <c r="A4082" t="s">
        <v>6294</v>
      </c>
      <c r="B4082">
        <v>100</v>
      </c>
      <c r="C4082" t="s">
        <v>2479</v>
      </c>
      <c r="D4082">
        <v>5</v>
      </c>
      <c r="E4082">
        <v>1.4770000000000001</v>
      </c>
      <c r="F4082">
        <v>3809.4</v>
      </c>
      <c r="G4082">
        <v>2022</v>
      </c>
      <c r="H4082" t="s">
        <v>928</v>
      </c>
      <c r="I4082" t="s">
        <v>6854</v>
      </c>
      <c r="L4082" t="s">
        <v>197</v>
      </c>
    </row>
    <row r="4083" spans="1:12" x14ac:dyDescent="0.4">
      <c r="A4083" t="s">
        <v>6295</v>
      </c>
      <c r="B4083">
        <v>64.599999999999994</v>
      </c>
      <c r="C4083" t="s">
        <v>5700</v>
      </c>
      <c r="D4083">
        <v>4</v>
      </c>
      <c r="E4083">
        <v>0.14000000000000001</v>
      </c>
      <c r="F4083">
        <v>8655.5</v>
      </c>
      <c r="G4083">
        <v>2022</v>
      </c>
      <c r="H4083" t="s">
        <v>928</v>
      </c>
      <c r="I4083" t="s">
        <v>6854</v>
      </c>
      <c r="L4083" t="s">
        <v>197</v>
      </c>
    </row>
    <row r="4084" spans="1:12" x14ac:dyDescent="0.4">
      <c r="A4084" t="s">
        <v>6296</v>
      </c>
      <c r="B4084">
        <v>29.4</v>
      </c>
      <c r="C4084" t="s">
        <v>5715</v>
      </c>
      <c r="D4084">
        <v>2</v>
      </c>
      <c r="E4084">
        <v>-1.19</v>
      </c>
      <c r="F4084">
        <v>13466.1</v>
      </c>
      <c r="G4084">
        <v>2022</v>
      </c>
      <c r="H4084" t="s">
        <v>928</v>
      </c>
      <c r="I4084" t="s">
        <v>6854</v>
      </c>
      <c r="L4084" t="s">
        <v>197</v>
      </c>
    </row>
    <row r="4085" spans="1:12" x14ac:dyDescent="0.4">
      <c r="A4085" t="s">
        <v>6297</v>
      </c>
      <c r="B4085">
        <v>56.5</v>
      </c>
      <c r="C4085" t="s">
        <v>5727</v>
      </c>
      <c r="D4085">
        <v>3</v>
      </c>
      <c r="E4085">
        <v>-0.16600000000000001</v>
      </c>
      <c r="F4085">
        <v>9762.5</v>
      </c>
      <c r="G4085">
        <v>2022</v>
      </c>
      <c r="H4085" t="s">
        <v>928</v>
      </c>
      <c r="I4085" t="s">
        <v>6854</v>
      </c>
      <c r="L4085" t="s">
        <v>197</v>
      </c>
    </row>
    <row r="4086" spans="1:12" x14ac:dyDescent="0.4">
      <c r="A4086" t="s">
        <v>6298</v>
      </c>
      <c r="B4086">
        <v>63.4</v>
      </c>
      <c r="C4086" t="s">
        <v>5706</v>
      </c>
      <c r="D4086">
        <v>4</v>
      </c>
      <c r="E4086">
        <v>9.4E-2</v>
      </c>
      <c r="F4086">
        <v>8820.9</v>
      </c>
      <c r="G4086">
        <v>2022</v>
      </c>
      <c r="H4086" t="s">
        <v>928</v>
      </c>
      <c r="I4086" t="s">
        <v>6854</v>
      </c>
      <c r="L4086" t="s">
        <v>197</v>
      </c>
    </row>
    <row r="4087" spans="1:12" x14ac:dyDescent="0.4">
      <c r="A4087" t="s">
        <v>6299</v>
      </c>
      <c r="B4087">
        <v>57.3</v>
      </c>
      <c r="C4087" t="s">
        <v>5725</v>
      </c>
      <c r="D4087">
        <v>3</v>
      </c>
      <c r="E4087">
        <v>-0.13600000000000001</v>
      </c>
      <c r="F4087">
        <v>9646.7999999999993</v>
      </c>
      <c r="G4087">
        <v>2022</v>
      </c>
      <c r="H4087" t="s">
        <v>928</v>
      </c>
      <c r="I4087" t="s">
        <v>6854</v>
      </c>
      <c r="L4087" t="s">
        <v>197</v>
      </c>
    </row>
    <row r="4088" spans="1:12" x14ac:dyDescent="0.4">
      <c r="A4088" t="s">
        <v>6300</v>
      </c>
      <c r="B4088">
        <v>21.4</v>
      </c>
      <c r="C4088" t="s">
        <v>6036</v>
      </c>
      <c r="D4088">
        <v>2</v>
      </c>
      <c r="E4088">
        <v>-1.492</v>
      </c>
      <c r="F4088">
        <v>14563.2</v>
      </c>
      <c r="G4088">
        <v>2022</v>
      </c>
      <c r="H4088" t="s">
        <v>928</v>
      </c>
      <c r="I4088" t="s">
        <v>6854</v>
      </c>
      <c r="L4088" t="s">
        <v>197</v>
      </c>
    </row>
    <row r="4089" spans="1:12" x14ac:dyDescent="0.4">
      <c r="A4089" t="s">
        <v>6301</v>
      </c>
      <c r="B4089">
        <v>75.2</v>
      </c>
      <c r="C4089" t="s">
        <v>5732</v>
      </c>
      <c r="D4089">
        <v>4</v>
      </c>
      <c r="E4089">
        <v>0.54</v>
      </c>
      <c r="F4089">
        <v>7201.7</v>
      </c>
      <c r="G4089">
        <v>2022</v>
      </c>
      <c r="H4089" t="s">
        <v>928</v>
      </c>
      <c r="I4089" t="s">
        <v>6854</v>
      </c>
      <c r="L4089" t="s">
        <v>197</v>
      </c>
    </row>
    <row r="4090" spans="1:12" x14ac:dyDescent="0.4">
      <c r="A4090" t="s">
        <v>6302</v>
      </c>
      <c r="B4090">
        <v>28.2</v>
      </c>
      <c r="C4090" t="s">
        <v>6607</v>
      </c>
      <c r="D4090">
        <v>2</v>
      </c>
      <c r="E4090">
        <v>-1.2350000000000001</v>
      </c>
      <c r="F4090">
        <v>13636.7</v>
      </c>
      <c r="G4090">
        <v>2022</v>
      </c>
      <c r="H4090" t="s">
        <v>928</v>
      </c>
      <c r="I4090" t="s">
        <v>6854</v>
      </c>
      <c r="L4090" t="s">
        <v>197</v>
      </c>
    </row>
    <row r="4091" spans="1:12" x14ac:dyDescent="0.4">
      <c r="A4091" t="s">
        <v>6303</v>
      </c>
      <c r="B4091">
        <v>76.099999999999994</v>
      </c>
      <c r="C4091" t="s">
        <v>6579</v>
      </c>
      <c r="D4091">
        <v>4</v>
      </c>
      <c r="E4091">
        <v>0.57399999999999995</v>
      </c>
      <c r="F4091">
        <v>7082.8</v>
      </c>
      <c r="G4091">
        <v>2022</v>
      </c>
      <c r="H4091" t="s">
        <v>928</v>
      </c>
      <c r="I4091" t="s">
        <v>6854</v>
      </c>
      <c r="L4091" t="s">
        <v>197</v>
      </c>
    </row>
    <row r="4092" spans="1:12" x14ac:dyDescent="0.4">
      <c r="A4092" t="s">
        <v>6304</v>
      </c>
      <c r="B4092">
        <v>78.900000000000006</v>
      </c>
      <c r="C4092" t="s">
        <v>5692</v>
      </c>
      <c r="D4092">
        <v>4</v>
      </c>
      <c r="E4092">
        <v>0.68</v>
      </c>
      <c r="F4092">
        <v>6697.8</v>
      </c>
      <c r="G4092">
        <v>2022</v>
      </c>
      <c r="H4092" t="s">
        <v>928</v>
      </c>
      <c r="I4092" t="s">
        <v>6854</v>
      </c>
      <c r="L4092" t="s">
        <v>197</v>
      </c>
    </row>
    <row r="4093" spans="1:12" x14ac:dyDescent="0.4">
      <c r="A4093" t="s">
        <v>6305</v>
      </c>
      <c r="B4093">
        <v>81</v>
      </c>
      <c r="C4093" t="s">
        <v>2487</v>
      </c>
      <c r="D4093">
        <v>5</v>
      </c>
      <c r="E4093">
        <v>0.75900000000000001</v>
      </c>
      <c r="F4093">
        <v>6411.1</v>
      </c>
      <c r="G4093">
        <v>2022</v>
      </c>
      <c r="H4093" t="s">
        <v>928</v>
      </c>
      <c r="I4093" t="s">
        <v>6854</v>
      </c>
      <c r="L4093" t="s">
        <v>197</v>
      </c>
    </row>
    <row r="4094" spans="1:12" x14ac:dyDescent="0.4">
      <c r="A4094" t="s">
        <v>6306</v>
      </c>
      <c r="B4094">
        <v>81</v>
      </c>
      <c r="C4094" t="s">
        <v>2487</v>
      </c>
      <c r="D4094">
        <v>5</v>
      </c>
      <c r="E4094">
        <v>0.75900000000000001</v>
      </c>
      <c r="F4094">
        <v>6415.6</v>
      </c>
      <c r="G4094">
        <v>2022</v>
      </c>
      <c r="H4094" t="s">
        <v>928</v>
      </c>
      <c r="I4094" t="s">
        <v>6854</v>
      </c>
      <c r="L4094" t="s">
        <v>197</v>
      </c>
    </row>
    <row r="4095" spans="1:12" x14ac:dyDescent="0.4">
      <c r="A4095" t="s">
        <v>6307</v>
      </c>
      <c r="B4095">
        <v>68.5</v>
      </c>
      <c r="C4095" t="s">
        <v>5729</v>
      </c>
      <c r="D4095">
        <v>4</v>
      </c>
      <c r="E4095">
        <v>0.28699999999999998</v>
      </c>
      <c r="F4095">
        <v>8124.8</v>
      </c>
      <c r="G4095">
        <v>2022</v>
      </c>
      <c r="H4095" t="s">
        <v>928</v>
      </c>
      <c r="I4095" t="s">
        <v>6854</v>
      </c>
      <c r="L4095" t="s">
        <v>197</v>
      </c>
    </row>
    <row r="4096" spans="1:12" x14ac:dyDescent="0.4">
      <c r="A4096" t="s">
        <v>6308</v>
      </c>
      <c r="B4096">
        <v>28.2</v>
      </c>
      <c r="C4096" t="s">
        <v>6607</v>
      </c>
      <c r="D4096">
        <v>2</v>
      </c>
      <c r="E4096">
        <v>-1.2350000000000001</v>
      </c>
      <c r="F4096">
        <v>13632.7</v>
      </c>
      <c r="G4096">
        <v>2022</v>
      </c>
      <c r="H4096" t="s">
        <v>928</v>
      </c>
      <c r="I4096" t="s">
        <v>6854</v>
      </c>
      <c r="L4096" t="s">
        <v>197</v>
      </c>
    </row>
    <row r="4097" spans="1:12" x14ac:dyDescent="0.4">
      <c r="A4097" t="s">
        <v>6309</v>
      </c>
      <c r="B4097">
        <v>88.1</v>
      </c>
      <c r="C4097" t="s">
        <v>2474</v>
      </c>
      <c r="D4097">
        <v>5</v>
      </c>
      <c r="E4097">
        <v>1.028</v>
      </c>
      <c r="F4097">
        <v>5432.9</v>
      </c>
      <c r="G4097">
        <v>2022</v>
      </c>
      <c r="H4097" t="s">
        <v>928</v>
      </c>
      <c r="I4097" t="s">
        <v>6854</v>
      </c>
      <c r="L4097" t="s">
        <v>197</v>
      </c>
    </row>
    <row r="4098" spans="1:12" x14ac:dyDescent="0.4">
      <c r="A4098" t="s">
        <v>6310</v>
      </c>
      <c r="B4098">
        <v>38.700000000000003</v>
      </c>
      <c r="C4098" t="s">
        <v>5702</v>
      </c>
      <c r="D4098">
        <v>2</v>
      </c>
      <c r="E4098">
        <v>-0.83899999999999997</v>
      </c>
      <c r="F4098">
        <v>12195.7</v>
      </c>
      <c r="G4098">
        <v>2022</v>
      </c>
      <c r="H4098" t="s">
        <v>928</v>
      </c>
      <c r="I4098" t="s">
        <v>6854</v>
      </c>
      <c r="L4098" t="s">
        <v>197</v>
      </c>
    </row>
    <row r="4099" spans="1:12" x14ac:dyDescent="0.4">
      <c r="A4099" t="s">
        <v>6311</v>
      </c>
      <c r="B4099">
        <v>55.8</v>
      </c>
      <c r="C4099" t="s">
        <v>5733</v>
      </c>
      <c r="D4099">
        <v>3</v>
      </c>
      <c r="E4099">
        <v>-0.193</v>
      </c>
      <c r="F4099">
        <v>9854</v>
      </c>
      <c r="G4099">
        <v>2022</v>
      </c>
      <c r="H4099" t="s">
        <v>928</v>
      </c>
      <c r="I4099" t="s">
        <v>6854</v>
      </c>
      <c r="L4099" t="s">
        <v>197</v>
      </c>
    </row>
    <row r="4100" spans="1:12" x14ac:dyDescent="0.4">
      <c r="A4100" t="s">
        <v>6312</v>
      </c>
      <c r="B4100">
        <v>89</v>
      </c>
      <c r="C4100" t="s">
        <v>2484</v>
      </c>
      <c r="D4100">
        <v>5</v>
      </c>
      <c r="E4100">
        <v>1.0609999999999999</v>
      </c>
      <c r="F4100">
        <v>5311.3</v>
      </c>
      <c r="G4100">
        <v>2022</v>
      </c>
      <c r="H4100" t="s">
        <v>928</v>
      </c>
      <c r="I4100" t="s">
        <v>6854</v>
      </c>
      <c r="L4100" t="s">
        <v>197</v>
      </c>
    </row>
    <row r="4101" spans="1:12" x14ac:dyDescent="0.4">
      <c r="A4101" t="s">
        <v>6313</v>
      </c>
      <c r="B4101">
        <v>76.8</v>
      </c>
      <c r="C4101" t="s">
        <v>5695</v>
      </c>
      <c r="D4101">
        <v>4</v>
      </c>
      <c r="E4101">
        <v>0.60099999999999998</v>
      </c>
      <c r="F4101">
        <v>6985.5</v>
      </c>
      <c r="G4101">
        <v>2022</v>
      </c>
      <c r="H4101" t="s">
        <v>928</v>
      </c>
      <c r="I4101" t="s">
        <v>6854</v>
      </c>
      <c r="L4101" t="s">
        <v>197</v>
      </c>
    </row>
    <row r="4102" spans="1:12" x14ac:dyDescent="0.4">
      <c r="A4102" t="s">
        <v>6314</v>
      </c>
      <c r="B4102">
        <v>91.6</v>
      </c>
      <c r="C4102" t="s">
        <v>2480</v>
      </c>
      <c r="D4102">
        <v>5</v>
      </c>
      <c r="E4102">
        <v>1.1599999999999999</v>
      </c>
      <c r="F4102">
        <v>4957.3999999999996</v>
      </c>
      <c r="G4102">
        <v>2022</v>
      </c>
      <c r="H4102" t="s">
        <v>928</v>
      </c>
      <c r="I4102" t="s">
        <v>6854</v>
      </c>
      <c r="L4102" t="s">
        <v>197</v>
      </c>
    </row>
    <row r="4103" spans="1:12" x14ac:dyDescent="0.4">
      <c r="A4103" t="s">
        <v>6315</v>
      </c>
      <c r="B4103">
        <v>90.6</v>
      </c>
      <c r="C4103" t="s">
        <v>2483</v>
      </c>
      <c r="D4103">
        <v>5</v>
      </c>
      <c r="E4103">
        <v>1.1220000000000001</v>
      </c>
      <c r="F4103">
        <v>5089.3</v>
      </c>
      <c r="G4103">
        <v>2022</v>
      </c>
      <c r="H4103" t="s">
        <v>928</v>
      </c>
      <c r="I4103" t="s">
        <v>6854</v>
      </c>
      <c r="L4103" t="s">
        <v>197</v>
      </c>
    </row>
    <row r="4104" spans="1:12" x14ac:dyDescent="0.4">
      <c r="A4104" t="s">
        <v>6316</v>
      </c>
      <c r="B4104">
        <v>81</v>
      </c>
      <c r="C4104" t="s">
        <v>2487</v>
      </c>
      <c r="D4104">
        <v>5</v>
      </c>
      <c r="E4104">
        <v>0.75900000000000001</v>
      </c>
      <c r="F4104">
        <v>6411.1</v>
      </c>
      <c r="G4104">
        <v>2022</v>
      </c>
      <c r="H4104" t="s">
        <v>928</v>
      </c>
      <c r="I4104" t="s">
        <v>6854</v>
      </c>
      <c r="L4104" t="s">
        <v>197</v>
      </c>
    </row>
    <row r="4105" spans="1:12" x14ac:dyDescent="0.4">
      <c r="A4105" t="s">
        <v>6317</v>
      </c>
      <c r="B4105">
        <v>75.8</v>
      </c>
      <c r="C4105" t="s">
        <v>6034</v>
      </c>
      <c r="D4105">
        <v>4</v>
      </c>
      <c r="E4105">
        <v>0.56299999999999994</v>
      </c>
      <c r="F4105">
        <v>7123.4</v>
      </c>
      <c r="G4105">
        <v>2022</v>
      </c>
      <c r="H4105" t="s">
        <v>928</v>
      </c>
      <c r="I4105" t="s">
        <v>6854</v>
      </c>
      <c r="L4105" t="s">
        <v>197</v>
      </c>
    </row>
    <row r="4106" spans="1:12" x14ac:dyDescent="0.4">
      <c r="A4106" t="s">
        <v>6318</v>
      </c>
      <c r="B4106">
        <v>98.8</v>
      </c>
      <c r="C4106" t="s">
        <v>2478</v>
      </c>
      <c r="D4106">
        <v>5</v>
      </c>
      <c r="E4106">
        <v>1.4319999999999999</v>
      </c>
      <c r="F4106">
        <v>3976.8</v>
      </c>
      <c r="G4106">
        <v>2022</v>
      </c>
      <c r="H4106" t="s">
        <v>928</v>
      </c>
      <c r="I4106" t="s">
        <v>6854</v>
      </c>
      <c r="L4106" t="s">
        <v>197</v>
      </c>
    </row>
    <row r="4107" spans="1:12" x14ac:dyDescent="0.4">
      <c r="A4107" t="s">
        <v>6319</v>
      </c>
      <c r="B4107">
        <v>47.4</v>
      </c>
      <c r="C4107" t="s">
        <v>5704</v>
      </c>
      <c r="D4107">
        <v>3</v>
      </c>
      <c r="E4107">
        <v>-0.51</v>
      </c>
      <c r="F4107">
        <v>11005.4</v>
      </c>
      <c r="G4107">
        <v>2022</v>
      </c>
      <c r="H4107" t="s">
        <v>928</v>
      </c>
      <c r="I4107" t="s">
        <v>6854</v>
      </c>
      <c r="L4107" t="s">
        <v>197</v>
      </c>
    </row>
    <row r="4108" spans="1:12" x14ac:dyDescent="0.4">
      <c r="A4108" t="s">
        <v>6320</v>
      </c>
      <c r="B4108">
        <v>35.700000000000003</v>
      </c>
      <c r="C4108" t="s">
        <v>5694</v>
      </c>
      <c r="D4108">
        <v>2</v>
      </c>
      <c r="E4108">
        <v>-0.95199999999999996</v>
      </c>
      <c r="F4108">
        <v>12610.5</v>
      </c>
      <c r="G4108">
        <v>2022</v>
      </c>
      <c r="H4108" t="s">
        <v>928</v>
      </c>
      <c r="I4108" t="s">
        <v>6854</v>
      </c>
      <c r="L4108" t="s">
        <v>197</v>
      </c>
    </row>
    <row r="4109" spans="1:12" x14ac:dyDescent="0.4">
      <c r="A4109" t="s">
        <v>6321</v>
      </c>
      <c r="B4109">
        <v>96</v>
      </c>
      <c r="C4109" t="s">
        <v>2476</v>
      </c>
      <c r="D4109">
        <v>5</v>
      </c>
      <c r="E4109">
        <v>1.3260000000000001</v>
      </c>
      <c r="F4109">
        <v>4357.8999999999996</v>
      </c>
      <c r="G4109">
        <v>2022</v>
      </c>
      <c r="H4109" t="s">
        <v>928</v>
      </c>
      <c r="I4109" t="s">
        <v>6854</v>
      </c>
      <c r="L4109" t="s">
        <v>197</v>
      </c>
    </row>
    <row r="4110" spans="1:12" x14ac:dyDescent="0.4">
      <c r="A4110" t="s">
        <v>6322</v>
      </c>
      <c r="B4110">
        <v>47.5</v>
      </c>
      <c r="C4110" t="s">
        <v>6587</v>
      </c>
      <c r="D4110">
        <v>3</v>
      </c>
      <c r="E4110">
        <v>-0.50600000000000001</v>
      </c>
      <c r="F4110">
        <v>10986.7</v>
      </c>
      <c r="G4110">
        <v>2022</v>
      </c>
      <c r="H4110" t="s">
        <v>928</v>
      </c>
      <c r="I4110" t="s">
        <v>6854</v>
      </c>
      <c r="L4110" t="s">
        <v>197</v>
      </c>
    </row>
    <row r="4111" spans="1:12" x14ac:dyDescent="0.4">
      <c r="A4111" t="s">
        <v>6323</v>
      </c>
      <c r="B4111">
        <v>79.599999999999994</v>
      </c>
      <c r="C4111" t="s">
        <v>5705</v>
      </c>
      <c r="D4111">
        <v>4</v>
      </c>
      <c r="E4111">
        <v>0.70599999999999996</v>
      </c>
      <c r="F4111">
        <v>6598.3</v>
      </c>
      <c r="G4111">
        <v>2022</v>
      </c>
      <c r="H4111" t="s">
        <v>928</v>
      </c>
      <c r="I4111" t="s">
        <v>6854</v>
      </c>
      <c r="L4111" t="s">
        <v>197</v>
      </c>
    </row>
    <row r="4112" spans="1:12" x14ac:dyDescent="0.4">
      <c r="A4112" t="s">
        <v>6324</v>
      </c>
      <c r="B4112">
        <v>24.6</v>
      </c>
      <c r="C4112" t="s">
        <v>6037</v>
      </c>
      <c r="D4112">
        <v>2</v>
      </c>
      <c r="E4112">
        <v>-1.371</v>
      </c>
      <c r="F4112">
        <v>14126.4</v>
      </c>
      <c r="G4112">
        <v>2022</v>
      </c>
      <c r="H4112" t="s">
        <v>928</v>
      </c>
      <c r="I4112" t="s">
        <v>6854</v>
      </c>
      <c r="L4112" t="s">
        <v>197</v>
      </c>
    </row>
    <row r="4113" spans="1:12" x14ac:dyDescent="0.4">
      <c r="A4113" t="s">
        <v>6325</v>
      </c>
      <c r="B4113">
        <v>81</v>
      </c>
      <c r="C4113" t="s">
        <v>2487</v>
      </c>
      <c r="D4113">
        <v>5</v>
      </c>
      <c r="E4113">
        <v>0.75900000000000001</v>
      </c>
      <c r="F4113">
        <v>6411.1</v>
      </c>
      <c r="G4113">
        <v>2022</v>
      </c>
      <c r="H4113" t="s">
        <v>928</v>
      </c>
      <c r="I4113" t="s">
        <v>6854</v>
      </c>
      <c r="L4113" t="s">
        <v>197</v>
      </c>
    </row>
    <row r="4114" spans="1:12" x14ac:dyDescent="0.4">
      <c r="A4114" t="s">
        <v>6326</v>
      </c>
      <c r="B4114">
        <v>96.1</v>
      </c>
      <c r="C4114" t="s">
        <v>2475</v>
      </c>
      <c r="D4114">
        <v>5</v>
      </c>
      <c r="E4114">
        <v>1.33</v>
      </c>
      <c r="F4114">
        <v>4345.8999999999996</v>
      </c>
      <c r="G4114">
        <v>2022</v>
      </c>
      <c r="H4114" t="s">
        <v>928</v>
      </c>
      <c r="I4114" t="s">
        <v>6854</v>
      </c>
      <c r="L4114" t="s">
        <v>197</v>
      </c>
    </row>
    <row r="4115" spans="1:12" x14ac:dyDescent="0.4">
      <c r="A4115" t="s">
        <v>6327</v>
      </c>
      <c r="B4115">
        <v>29.4</v>
      </c>
      <c r="C4115" t="s">
        <v>5715</v>
      </c>
      <c r="D4115">
        <v>2</v>
      </c>
      <c r="E4115">
        <v>-1.19</v>
      </c>
      <c r="F4115">
        <v>13466.1</v>
      </c>
      <c r="G4115">
        <v>2022</v>
      </c>
      <c r="H4115" t="s">
        <v>928</v>
      </c>
      <c r="I4115" t="s">
        <v>6854</v>
      </c>
      <c r="L4115" t="s">
        <v>197</v>
      </c>
    </row>
    <row r="4116" spans="1:12" x14ac:dyDescent="0.4">
      <c r="A4116" t="s">
        <v>6328</v>
      </c>
      <c r="B4116">
        <v>33.6</v>
      </c>
      <c r="C4116" t="s">
        <v>5716</v>
      </c>
      <c r="D4116">
        <v>2</v>
      </c>
      <c r="E4116">
        <v>-1.0309999999999999</v>
      </c>
      <c r="F4116">
        <v>12894.4</v>
      </c>
      <c r="G4116">
        <v>2022</v>
      </c>
      <c r="H4116" t="s">
        <v>928</v>
      </c>
      <c r="I4116" t="s">
        <v>6854</v>
      </c>
      <c r="L4116" t="s">
        <v>197</v>
      </c>
    </row>
    <row r="4117" spans="1:12" x14ac:dyDescent="0.4">
      <c r="A4117" t="s">
        <v>6329</v>
      </c>
      <c r="B4117">
        <v>0</v>
      </c>
      <c r="C4117" t="s">
        <v>6033</v>
      </c>
      <c r="D4117">
        <v>1</v>
      </c>
      <c r="E4117">
        <v>-2.3010000000000002</v>
      </c>
      <c r="F4117">
        <v>17490.3</v>
      </c>
      <c r="G4117">
        <v>2022</v>
      </c>
      <c r="H4117" t="s">
        <v>928</v>
      </c>
      <c r="I4117" t="s">
        <v>6854</v>
      </c>
      <c r="L4117" t="s">
        <v>197</v>
      </c>
    </row>
    <row r="4118" spans="1:12" x14ac:dyDescent="0.4">
      <c r="A4118" t="s">
        <v>6330</v>
      </c>
      <c r="B4118">
        <v>96.9</v>
      </c>
      <c r="C4118" t="s">
        <v>2477</v>
      </c>
      <c r="D4118">
        <v>5</v>
      </c>
      <c r="E4118">
        <v>1.36</v>
      </c>
      <c r="F4118">
        <v>4229.3</v>
      </c>
      <c r="G4118">
        <v>2022</v>
      </c>
      <c r="H4118" t="s">
        <v>928</v>
      </c>
      <c r="I4118" t="s">
        <v>6854</v>
      </c>
      <c r="L4118" t="s">
        <v>197</v>
      </c>
    </row>
    <row r="4119" spans="1:12" x14ac:dyDescent="0.4">
      <c r="A4119" t="s">
        <v>6331</v>
      </c>
      <c r="B4119">
        <v>84.2</v>
      </c>
      <c r="C4119" t="s">
        <v>2481</v>
      </c>
      <c r="D4119">
        <v>5</v>
      </c>
      <c r="E4119">
        <v>0.88</v>
      </c>
      <c r="F4119">
        <v>5967.9</v>
      </c>
      <c r="G4119">
        <v>2022</v>
      </c>
      <c r="H4119" t="s">
        <v>928</v>
      </c>
      <c r="I4119" t="s">
        <v>6854</v>
      </c>
      <c r="L4119" t="s">
        <v>197</v>
      </c>
    </row>
    <row r="4120" spans="1:12" x14ac:dyDescent="0.4">
      <c r="A4120" t="s">
        <v>6332</v>
      </c>
      <c r="B4120">
        <v>15.2</v>
      </c>
      <c r="C4120" t="s">
        <v>6035</v>
      </c>
      <c r="D4120">
        <v>1</v>
      </c>
      <c r="E4120">
        <v>-1.726</v>
      </c>
      <c r="F4120">
        <v>15413.4</v>
      </c>
      <c r="G4120">
        <v>2022</v>
      </c>
      <c r="H4120" t="s">
        <v>928</v>
      </c>
      <c r="I4120" t="s">
        <v>6854</v>
      </c>
      <c r="L4120" t="s">
        <v>197</v>
      </c>
    </row>
    <row r="4121" spans="1:12" x14ac:dyDescent="0.4">
      <c r="A4121" t="s">
        <v>6333</v>
      </c>
      <c r="B4121">
        <v>29.4</v>
      </c>
      <c r="C4121" t="s">
        <v>5715</v>
      </c>
      <c r="D4121">
        <v>2</v>
      </c>
      <c r="E4121">
        <v>-1.19</v>
      </c>
      <c r="F4121">
        <v>13466.1</v>
      </c>
      <c r="G4121">
        <v>2022</v>
      </c>
      <c r="H4121" t="s">
        <v>928</v>
      </c>
      <c r="I4121" t="s">
        <v>6854</v>
      </c>
      <c r="L4121" t="s">
        <v>197</v>
      </c>
    </row>
    <row r="4122" spans="1:12" x14ac:dyDescent="0.4">
      <c r="A4122" t="s">
        <v>6334</v>
      </c>
      <c r="B4122">
        <v>70.599999999999994</v>
      </c>
      <c r="C4122" t="s">
        <v>5731</v>
      </c>
      <c r="D4122">
        <v>4</v>
      </c>
      <c r="E4122">
        <v>0.36599999999999999</v>
      </c>
      <c r="F4122">
        <v>7830.5</v>
      </c>
      <c r="G4122">
        <v>2022</v>
      </c>
      <c r="H4122" t="s">
        <v>928</v>
      </c>
      <c r="I4122" t="s">
        <v>6854</v>
      </c>
      <c r="L4122" t="s">
        <v>197</v>
      </c>
    </row>
    <row r="4123" spans="1:12" x14ac:dyDescent="0.4">
      <c r="A4123" t="s">
        <v>6335</v>
      </c>
      <c r="B4123">
        <v>63.9</v>
      </c>
      <c r="C4123" t="s">
        <v>5703</v>
      </c>
      <c r="D4123">
        <v>4</v>
      </c>
      <c r="E4123">
        <v>0.113</v>
      </c>
      <c r="F4123">
        <v>8743.2999999999993</v>
      </c>
      <c r="G4123">
        <v>2022</v>
      </c>
      <c r="H4123" t="s">
        <v>928</v>
      </c>
      <c r="I4123" t="s">
        <v>6854</v>
      </c>
      <c r="L4123" t="s">
        <v>197</v>
      </c>
    </row>
    <row r="4124" spans="1:12" x14ac:dyDescent="0.4">
      <c r="A4124" t="s">
        <v>6336</v>
      </c>
      <c r="B4124">
        <v>57.3</v>
      </c>
      <c r="C4124" t="s">
        <v>5725</v>
      </c>
      <c r="D4124">
        <v>3</v>
      </c>
      <c r="E4124">
        <v>-0.13600000000000001</v>
      </c>
      <c r="F4124">
        <v>9646.7999999999993</v>
      </c>
      <c r="G4124">
        <v>2022</v>
      </c>
      <c r="H4124" t="s">
        <v>928</v>
      </c>
      <c r="I4124" t="s">
        <v>6854</v>
      </c>
      <c r="L4124" t="s">
        <v>197</v>
      </c>
    </row>
    <row r="4125" spans="1:12" x14ac:dyDescent="0.4">
      <c r="A4125" t="s">
        <v>6337</v>
      </c>
      <c r="B4125">
        <v>76.7</v>
      </c>
      <c r="C4125" t="s">
        <v>6580</v>
      </c>
      <c r="D4125">
        <v>4</v>
      </c>
      <c r="E4125">
        <v>0.59699999999999998</v>
      </c>
      <c r="F4125">
        <v>6999.2</v>
      </c>
      <c r="G4125">
        <v>2022</v>
      </c>
      <c r="H4125" t="s">
        <v>928</v>
      </c>
      <c r="I4125" t="s">
        <v>6854</v>
      </c>
      <c r="L4125" t="s">
        <v>197</v>
      </c>
    </row>
    <row r="4126" spans="1:12" x14ac:dyDescent="0.4">
      <c r="A4126" t="s">
        <v>6338</v>
      </c>
      <c r="B4126">
        <v>47.5</v>
      </c>
      <c r="C4126" t="s">
        <v>6587</v>
      </c>
      <c r="D4126">
        <v>3</v>
      </c>
      <c r="E4126">
        <v>-0.50600000000000001</v>
      </c>
      <c r="F4126">
        <v>10986.7</v>
      </c>
      <c r="G4126">
        <v>2022</v>
      </c>
      <c r="H4126" t="s">
        <v>928</v>
      </c>
      <c r="I4126" t="s">
        <v>6854</v>
      </c>
      <c r="L4126" t="s">
        <v>197</v>
      </c>
    </row>
    <row r="4127" spans="1:12" x14ac:dyDescent="0.4">
      <c r="A4127" t="s">
        <v>6339</v>
      </c>
      <c r="B4127">
        <v>33.6</v>
      </c>
      <c r="C4127" t="s">
        <v>5716</v>
      </c>
      <c r="D4127">
        <v>2</v>
      </c>
      <c r="E4127">
        <v>-1.0309999999999999</v>
      </c>
      <c r="F4127">
        <v>12894.4</v>
      </c>
      <c r="G4127">
        <v>2022</v>
      </c>
      <c r="H4127" t="s">
        <v>928</v>
      </c>
      <c r="I4127" t="s">
        <v>6854</v>
      </c>
      <c r="L4127" t="s">
        <v>197</v>
      </c>
    </row>
    <row r="4128" spans="1:12" x14ac:dyDescent="0.4">
      <c r="A4128" t="s">
        <v>6340</v>
      </c>
      <c r="B4128">
        <v>25.5</v>
      </c>
      <c r="C4128" t="s">
        <v>5710</v>
      </c>
      <c r="D4128">
        <v>2</v>
      </c>
      <c r="E4128">
        <v>-1.337</v>
      </c>
      <c r="F4128">
        <v>14008.1</v>
      </c>
      <c r="G4128">
        <v>2022</v>
      </c>
      <c r="H4128" t="s">
        <v>928</v>
      </c>
      <c r="I4128" t="s">
        <v>6854</v>
      </c>
      <c r="L4128" t="s">
        <v>197</v>
      </c>
    </row>
    <row r="4129" spans="1:12" x14ac:dyDescent="0.4">
      <c r="A4129" t="s">
        <v>6341</v>
      </c>
      <c r="B4129">
        <v>30</v>
      </c>
      <c r="C4129" t="s">
        <v>5708</v>
      </c>
      <c r="D4129">
        <v>2</v>
      </c>
      <c r="E4129">
        <v>-1.167</v>
      </c>
      <c r="F4129">
        <v>13387.6</v>
      </c>
      <c r="G4129">
        <v>2022</v>
      </c>
      <c r="H4129" t="s">
        <v>928</v>
      </c>
      <c r="I4129" t="s">
        <v>6854</v>
      </c>
      <c r="L4129" t="s">
        <v>197</v>
      </c>
    </row>
    <row r="4130" spans="1:12" x14ac:dyDescent="0.4">
      <c r="A4130" t="s">
        <v>6342</v>
      </c>
      <c r="B4130">
        <v>57.3</v>
      </c>
      <c r="C4130" t="s">
        <v>5725</v>
      </c>
      <c r="D4130">
        <v>3</v>
      </c>
      <c r="E4130">
        <v>-0.13600000000000001</v>
      </c>
      <c r="F4130">
        <v>9646.7999999999993</v>
      </c>
      <c r="G4130">
        <v>2022</v>
      </c>
      <c r="H4130" t="s">
        <v>928</v>
      </c>
      <c r="I4130" t="s">
        <v>6854</v>
      </c>
      <c r="L4130" t="s">
        <v>197</v>
      </c>
    </row>
    <row r="4131" spans="1:12" x14ac:dyDescent="0.4">
      <c r="A4131" t="s">
        <v>6343</v>
      </c>
      <c r="B4131">
        <v>89.8</v>
      </c>
      <c r="C4131" t="s">
        <v>2482</v>
      </c>
      <c r="D4131">
        <v>5</v>
      </c>
      <c r="E4131">
        <v>1.0920000000000001</v>
      </c>
      <c r="F4131">
        <v>5210.3999999999996</v>
      </c>
      <c r="G4131">
        <v>2022</v>
      </c>
      <c r="H4131" t="s">
        <v>928</v>
      </c>
      <c r="I4131" t="s">
        <v>6854</v>
      </c>
      <c r="L4131" t="s">
        <v>197</v>
      </c>
    </row>
    <row r="4132" spans="1:12" x14ac:dyDescent="0.4">
      <c r="A4132" t="s">
        <v>6344</v>
      </c>
      <c r="B4132">
        <v>60.9</v>
      </c>
      <c r="C4132" t="s">
        <v>197</v>
      </c>
      <c r="D4132">
        <v>4</v>
      </c>
    </row>
    <row r="4133" spans="1:12" x14ac:dyDescent="0.4">
      <c r="A4133" t="s">
        <v>6345</v>
      </c>
      <c r="B4133">
        <v>87.3</v>
      </c>
      <c r="C4133" t="s">
        <v>197</v>
      </c>
      <c r="D4133">
        <v>5</v>
      </c>
    </row>
    <row r="4134" spans="1:12" x14ac:dyDescent="0.4">
      <c r="A4134" t="s">
        <v>6346</v>
      </c>
      <c r="B4134">
        <v>48.4</v>
      </c>
      <c r="C4134" t="s">
        <v>197</v>
      </c>
      <c r="D4134">
        <v>3</v>
      </c>
    </row>
    <row r="4135" spans="1:12" x14ac:dyDescent="0.4">
      <c r="A4135" t="s">
        <v>6347</v>
      </c>
      <c r="B4135">
        <v>76.2</v>
      </c>
      <c r="C4135" t="s">
        <v>197</v>
      </c>
      <c r="D4135">
        <v>4</v>
      </c>
    </row>
    <row r="4136" spans="1:12" x14ac:dyDescent="0.4">
      <c r="A4136" t="s">
        <v>6348</v>
      </c>
      <c r="B4136">
        <v>28.7</v>
      </c>
      <c r="C4136" t="s">
        <v>197</v>
      </c>
      <c r="D4136">
        <v>2</v>
      </c>
    </row>
    <row r="4137" spans="1:12" x14ac:dyDescent="0.4">
      <c r="A4137" t="s">
        <v>6349</v>
      </c>
      <c r="B4137">
        <v>82.7</v>
      </c>
      <c r="C4137" t="s">
        <v>197</v>
      </c>
      <c r="D4137">
        <v>5</v>
      </c>
    </row>
    <row r="4138" spans="1:12" x14ac:dyDescent="0.4">
      <c r="A4138" t="s">
        <v>6350</v>
      </c>
      <c r="B4138">
        <v>60.8</v>
      </c>
      <c r="C4138" t="s">
        <v>197</v>
      </c>
      <c r="D4138">
        <v>4</v>
      </c>
    </row>
    <row r="4139" spans="1:12" x14ac:dyDescent="0.4">
      <c r="A4139" t="s">
        <v>7462</v>
      </c>
      <c r="B4139">
        <v>87</v>
      </c>
      <c r="C4139" t="s">
        <v>197</v>
      </c>
      <c r="D4139">
        <v>5</v>
      </c>
    </row>
    <row r="4140" spans="1:12" x14ac:dyDescent="0.4">
      <c r="A4140" t="s">
        <v>7463</v>
      </c>
      <c r="B4140">
        <v>64.3</v>
      </c>
      <c r="C4140" t="s">
        <v>197</v>
      </c>
      <c r="D4140">
        <v>4</v>
      </c>
    </row>
    <row r="4141" spans="1:12" x14ac:dyDescent="0.4">
      <c r="A4141" t="s">
        <v>7464</v>
      </c>
      <c r="B4141">
        <v>41.1</v>
      </c>
      <c r="C4141" t="s">
        <v>197</v>
      </c>
      <c r="D4141">
        <v>3</v>
      </c>
    </row>
    <row r="4142" spans="1:12" x14ac:dyDescent="0.4">
      <c r="A4142" t="s">
        <v>6972</v>
      </c>
      <c r="B4142">
        <v>0.2</v>
      </c>
      <c r="C4142" t="s">
        <v>6035</v>
      </c>
      <c r="D4142">
        <v>1</v>
      </c>
      <c r="E4142">
        <v>-1.2689999999999999</v>
      </c>
      <c r="F4142">
        <v>214.5</v>
      </c>
      <c r="G4142">
        <v>2022</v>
      </c>
      <c r="H4142" t="s">
        <v>928</v>
      </c>
      <c r="I4142" t="s">
        <v>6854</v>
      </c>
      <c r="J4142" t="s">
        <v>197</v>
      </c>
      <c r="L4142" t="s">
        <v>197</v>
      </c>
    </row>
    <row r="4143" spans="1:12" x14ac:dyDescent="0.4">
      <c r="A4143" t="s">
        <v>6973</v>
      </c>
      <c r="B4143">
        <v>18</v>
      </c>
      <c r="C4143" t="s">
        <v>5733</v>
      </c>
      <c r="D4143">
        <v>1</v>
      </c>
      <c r="E4143">
        <v>-0.57799999999999996</v>
      </c>
      <c r="F4143">
        <v>365.2</v>
      </c>
      <c r="G4143">
        <v>2022</v>
      </c>
      <c r="H4143" t="s">
        <v>928</v>
      </c>
      <c r="I4143" t="s">
        <v>6854</v>
      </c>
      <c r="J4143" t="s">
        <v>197</v>
      </c>
      <c r="L4143" t="s">
        <v>197</v>
      </c>
    </row>
    <row r="4144" spans="1:12" x14ac:dyDescent="0.4">
      <c r="A4144" t="s">
        <v>6974</v>
      </c>
      <c r="B4144">
        <v>57.1</v>
      </c>
      <c r="C4144" t="s">
        <v>2486</v>
      </c>
      <c r="D4144">
        <v>3</v>
      </c>
      <c r="E4144">
        <v>0.93899999999999995</v>
      </c>
      <c r="F4144">
        <v>697.4</v>
      </c>
      <c r="G4144">
        <v>2022</v>
      </c>
      <c r="H4144" t="s">
        <v>928</v>
      </c>
      <c r="I4144" t="s">
        <v>6854</v>
      </c>
      <c r="J4144" t="s">
        <v>197</v>
      </c>
      <c r="L4144" t="s">
        <v>197</v>
      </c>
    </row>
    <row r="4145" spans="1:12" x14ac:dyDescent="0.4">
      <c r="A4145" t="s">
        <v>6975</v>
      </c>
      <c r="B4145">
        <v>27.7</v>
      </c>
      <c r="C4145" t="s">
        <v>5729</v>
      </c>
      <c r="D4145">
        <v>2</v>
      </c>
      <c r="E4145">
        <v>-0.20200000000000001</v>
      </c>
      <c r="F4145">
        <v>448.1</v>
      </c>
      <c r="G4145">
        <v>2022</v>
      </c>
      <c r="H4145" t="s">
        <v>928</v>
      </c>
      <c r="I4145" t="s">
        <v>6854</v>
      </c>
      <c r="J4145" t="s">
        <v>197</v>
      </c>
      <c r="L4145" t="s">
        <v>197</v>
      </c>
    </row>
    <row r="4146" spans="1:12" x14ac:dyDescent="0.4">
      <c r="A4146" t="s">
        <v>6976</v>
      </c>
      <c r="B4146">
        <v>44</v>
      </c>
      <c r="C4146" t="s">
        <v>5732</v>
      </c>
      <c r="D4146">
        <v>3</v>
      </c>
      <c r="E4146">
        <v>0.43099999999999999</v>
      </c>
      <c r="F4146">
        <v>585.70000000000005</v>
      </c>
      <c r="G4146">
        <v>2022</v>
      </c>
      <c r="H4146" t="s">
        <v>928</v>
      </c>
      <c r="I4146" t="s">
        <v>6854</v>
      </c>
      <c r="J4146" t="s">
        <v>197</v>
      </c>
      <c r="L4146" t="s">
        <v>197</v>
      </c>
    </row>
    <row r="4147" spans="1:12" x14ac:dyDescent="0.4">
      <c r="A4147" t="s">
        <v>6977</v>
      </c>
      <c r="B4147">
        <v>44.4</v>
      </c>
      <c r="C4147" t="s">
        <v>5722</v>
      </c>
      <c r="D4147">
        <v>3</v>
      </c>
      <c r="E4147">
        <v>0.44600000000000001</v>
      </c>
      <c r="F4147">
        <v>589</v>
      </c>
      <c r="G4147">
        <v>2022</v>
      </c>
      <c r="H4147" t="s">
        <v>928</v>
      </c>
      <c r="I4147" t="s">
        <v>6854</v>
      </c>
      <c r="J4147" t="s">
        <v>197</v>
      </c>
      <c r="L4147" t="s">
        <v>197</v>
      </c>
    </row>
    <row r="4148" spans="1:12" x14ac:dyDescent="0.4">
      <c r="A4148" t="s">
        <v>6978</v>
      </c>
      <c r="B4148">
        <v>72.5</v>
      </c>
      <c r="C4148" t="s">
        <v>2475</v>
      </c>
      <c r="D4148">
        <v>4</v>
      </c>
      <c r="E4148">
        <v>1.5369999999999999</v>
      </c>
      <c r="F4148">
        <v>827.8</v>
      </c>
      <c r="G4148">
        <v>2022</v>
      </c>
      <c r="H4148" t="s">
        <v>928</v>
      </c>
      <c r="I4148" t="s">
        <v>6854</v>
      </c>
      <c r="J4148" t="s">
        <v>197</v>
      </c>
      <c r="L4148" t="s">
        <v>197</v>
      </c>
    </row>
    <row r="4149" spans="1:12" x14ac:dyDescent="0.4">
      <c r="A4149" t="s">
        <v>6979</v>
      </c>
      <c r="B4149">
        <v>14.9</v>
      </c>
      <c r="C4149" t="s">
        <v>5704</v>
      </c>
      <c r="D4149">
        <v>1</v>
      </c>
      <c r="E4149">
        <v>-0.69799999999999995</v>
      </c>
      <c r="F4149">
        <v>338.8</v>
      </c>
      <c r="G4149">
        <v>2022</v>
      </c>
      <c r="H4149" t="s">
        <v>928</v>
      </c>
      <c r="I4149" t="s">
        <v>6854</v>
      </c>
      <c r="J4149" t="s">
        <v>197</v>
      </c>
      <c r="L4149" t="s">
        <v>197</v>
      </c>
    </row>
    <row r="4150" spans="1:12" x14ac:dyDescent="0.4">
      <c r="A4150" t="s">
        <v>6980</v>
      </c>
      <c r="B4150">
        <v>55.8</v>
      </c>
      <c r="C4150" t="s">
        <v>5696</v>
      </c>
      <c r="D4150">
        <v>3</v>
      </c>
      <c r="E4150">
        <v>0.88900000000000001</v>
      </c>
      <c r="F4150">
        <v>686</v>
      </c>
      <c r="G4150">
        <v>2022</v>
      </c>
      <c r="H4150" t="s">
        <v>928</v>
      </c>
      <c r="I4150" t="s">
        <v>6854</v>
      </c>
      <c r="J4150" t="s">
        <v>197</v>
      </c>
      <c r="L4150" t="s">
        <v>197</v>
      </c>
    </row>
    <row r="4151" spans="1:12" x14ac:dyDescent="0.4">
      <c r="A4151" t="s">
        <v>6981</v>
      </c>
      <c r="B4151">
        <v>8.6</v>
      </c>
      <c r="C4151" t="s">
        <v>5698</v>
      </c>
      <c r="D4151">
        <v>1</v>
      </c>
      <c r="E4151">
        <v>-0.94299999999999995</v>
      </c>
      <c r="F4151">
        <v>285.5</v>
      </c>
      <c r="G4151">
        <v>2022</v>
      </c>
      <c r="H4151" t="s">
        <v>928</v>
      </c>
      <c r="I4151" t="s">
        <v>6854</v>
      </c>
      <c r="J4151" t="s">
        <v>197</v>
      </c>
      <c r="L4151" t="s">
        <v>197</v>
      </c>
    </row>
    <row r="4152" spans="1:12" x14ac:dyDescent="0.4">
      <c r="A4152" t="s">
        <v>6982</v>
      </c>
      <c r="B4152">
        <v>23.4</v>
      </c>
      <c r="C4152" t="s">
        <v>5703</v>
      </c>
      <c r="D4152">
        <v>2</v>
      </c>
      <c r="E4152">
        <v>-0.36899999999999999</v>
      </c>
      <c r="F4152">
        <v>411.3</v>
      </c>
      <c r="G4152">
        <v>2022</v>
      </c>
      <c r="H4152" t="s">
        <v>928</v>
      </c>
      <c r="I4152" t="s">
        <v>6854</v>
      </c>
      <c r="J4152" t="s">
        <v>197</v>
      </c>
      <c r="L4152" t="s">
        <v>197</v>
      </c>
    </row>
    <row r="4153" spans="1:12" x14ac:dyDescent="0.4">
      <c r="A4153" t="s">
        <v>6983</v>
      </c>
      <c r="B4153">
        <v>4.2</v>
      </c>
      <c r="C4153" t="s">
        <v>6038</v>
      </c>
      <c r="D4153">
        <v>1</v>
      </c>
      <c r="E4153">
        <v>-1.1140000000000001</v>
      </c>
      <c r="F4153">
        <v>248.2</v>
      </c>
      <c r="G4153">
        <v>2022</v>
      </c>
      <c r="H4153" t="s">
        <v>928</v>
      </c>
      <c r="I4153" t="s">
        <v>6854</v>
      </c>
      <c r="J4153" t="s">
        <v>197</v>
      </c>
      <c r="L4153" t="s">
        <v>197</v>
      </c>
    </row>
    <row r="4154" spans="1:12" x14ac:dyDescent="0.4">
      <c r="A4154" t="s">
        <v>6984</v>
      </c>
      <c r="B4154">
        <v>10.8</v>
      </c>
      <c r="C4154" t="s">
        <v>5702</v>
      </c>
      <c r="D4154">
        <v>1</v>
      </c>
      <c r="E4154">
        <v>-0.85799999999999998</v>
      </c>
      <c r="F4154">
        <v>304.60000000000002</v>
      </c>
      <c r="G4154">
        <v>2022</v>
      </c>
      <c r="H4154" t="s">
        <v>928</v>
      </c>
      <c r="I4154" t="s">
        <v>6854</v>
      </c>
      <c r="J4154" t="s">
        <v>197</v>
      </c>
      <c r="L4154" t="s">
        <v>197</v>
      </c>
    </row>
    <row r="4155" spans="1:12" x14ac:dyDescent="0.4">
      <c r="A4155" t="s">
        <v>6985</v>
      </c>
      <c r="B4155">
        <v>15.8</v>
      </c>
      <c r="C4155" t="s">
        <v>5734</v>
      </c>
      <c r="D4155">
        <v>1</v>
      </c>
      <c r="E4155">
        <v>-0.66400000000000003</v>
      </c>
      <c r="F4155">
        <v>347</v>
      </c>
      <c r="G4155">
        <v>2022</v>
      </c>
      <c r="H4155" t="s">
        <v>928</v>
      </c>
      <c r="I4155" t="s">
        <v>6854</v>
      </c>
      <c r="J4155" t="s">
        <v>197</v>
      </c>
      <c r="L4155" t="s">
        <v>197</v>
      </c>
    </row>
    <row r="4156" spans="1:12" x14ac:dyDescent="0.4">
      <c r="A4156" t="s">
        <v>6986</v>
      </c>
      <c r="B4156">
        <v>66.900000000000006</v>
      </c>
      <c r="C4156" t="s">
        <v>2483</v>
      </c>
      <c r="D4156">
        <v>4</v>
      </c>
      <c r="E4156">
        <v>1.319</v>
      </c>
      <c r="F4156">
        <v>780.1</v>
      </c>
      <c r="G4156">
        <v>2022</v>
      </c>
      <c r="H4156" t="s">
        <v>928</v>
      </c>
      <c r="I4156" t="s">
        <v>6854</v>
      </c>
      <c r="J4156" t="s">
        <v>197</v>
      </c>
      <c r="L4156" t="s">
        <v>197</v>
      </c>
    </row>
    <row r="4157" spans="1:12" x14ac:dyDescent="0.4">
      <c r="A4157" t="s">
        <v>6987</v>
      </c>
      <c r="B4157">
        <v>20.2</v>
      </c>
      <c r="C4157" t="s">
        <v>5735</v>
      </c>
      <c r="D4157">
        <v>2</v>
      </c>
      <c r="E4157">
        <v>-0.49299999999999999</v>
      </c>
      <c r="F4157">
        <v>384.1</v>
      </c>
      <c r="G4157">
        <v>2022</v>
      </c>
      <c r="H4157" t="s">
        <v>928</v>
      </c>
      <c r="I4157" t="s">
        <v>6854</v>
      </c>
      <c r="J4157" t="s">
        <v>197</v>
      </c>
      <c r="L4157" t="s">
        <v>197</v>
      </c>
    </row>
    <row r="4158" spans="1:12" x14ac:dyDescent="0.4">
      <c r="A4158" t="s">
        <v>6988</v>
      </c>
      <c r="B4158">
        <v>50.9</v>
      </c>
      <c r="C4158" t="s">
        <v>6045</v>
      </c>
      <c r="D4158">
        <v>3</v>
      </c>
      <c r="E4158">
        <v>0.69799999999999995</v>
      </c>
      <c r="F4158">
        <v>644.5</v>
      </c>
      <c r="G4158">
        <v>2022</v>
      </c>
      <c r="H4158" t="s">
        <v>928</v>
      </c>
      <c r="I4158" t="s">
        <v>6854</v>
      </c>
      <c r="J4158" t="s">
        <v>197</v>
      </c>
      <c r="L4158" t="s">
        <v>197</v>
      </c>
    </row>
    <row r="4159" spans="1:12" x14ac:dyDescent="0.4">
      <c r="A4159" t="s">
        <v>6989</v>
      </c>
      <c r="B4159">
        <v>21.3</v>
      </c>
      <c r="C4159" t="s">
        <v>5693</v>
      </c>
      <c r="D4159">
        <v>2</v>
      </c>
      <c r="E4159">
        <v>-0.45</v>
      </c>
      <c r="F4159">
        <v>393.1</v>
      </c>
      <c r="G4159">
        <v>2022</v>
      </c>
      <c r="H4159" t="s">
        <v>928</v>
      </c>
      <c r="I4159" t="s">
        <v>6854</v>
      </c>
      <c r="J4159" t="s">
        <v>197</v>
      </c>
      <c r="L4159" t="s">
        <v>197</v>
      </c>
    </row>
    <row r="4160" spans="1:12" x14ac:dyDescent="0.4">
      <c r="A4160" t="s">
        <v>6990</v>
      </c>
      <c r="B4160">
        <v>21.7</v>
      </c>
      <c r="C4160" t="s">
        <v>5706</v>
      </c>
      <c r="D4160">
        <v>2</v>
      </c>
      <c r="E4160">
        <v>-0.435</v>
      </c>
      <c r="F4160">
        <v>396.5</v>
      </c>
      <c r="G4160">
        <v>2022</v>
      </c>
      <c r="H4160" t="s">
        <v>928</v>
      </c>
      <c r="I4160" t="s">
        <v>6854</v>
      </c>
      <c r="J4160" t="s">
        <v>197</v>
      </c>
      <c r="L4160" t="s">
        <v>197</v>
      </c>
    </row>
    <row r="4161" spans="1:12" x14ac:dyDescent="0.4">
      <c r="A4161" t="s">
        <v>6991</v>
      </c>
      <c r="B4161">
        <v>19.899999999999999</v>
      </c>
      <c r="C4161" t="s">
        <v>5727</v>
      </c>
      <c r="D4161">
        <v>1</v>
      </c>
      <c r="E4161">
        <v>-0.504</v>
      </c>
      <c r="F4161">
        <v>381.8</v>
      </c>
      <c r="G4161">
        <v>2022</v>
      </c>
      <c r="H4161" t="s">
        <v>928</v>
      </c>
      <c r="I4161" t="s">
        <v>6854</v>
      </c>
      <c r="J4161" t="s">
        <v>197</v>
      </c>
      <c r="L4161" t="s">
        <v>197</v>
      </c>
    </row>
    <row r="4162" spans="1:12" x14ac:dyDescent="0.4">
      <c r="A4162" t="s">
        <v>6992</v>
      </c>
      <c r="B4162">
        <v>1.2</v>
      </c>
      <c r="C4162" t="s">
        <v>6855</v>
      </c>
      <c r="D4162">
        <v>1</v>
      </c>
      <c r="E4162">
        <v>-1.23</v>
      </c>
      <c r="F4162">
        <v>223.2</v>
      </c>
      <c r="G4162">
        <v>2022</v>
      </c>
      <c r="H4162" t="s">
        <v>928</v>
      </c>
      <c r="I4162" t="s">
        <v>6854</v>
      </c>
      <c r="J4162" t="s">
        <v>197</v>
      </c>
      <c r="L4162" t="s">
        <v>197</v>
      </c>
    </row>
    <row r="4163" spans="1:12" x14ac:dyDescent="0.4">
      <c r="A4163" t="s">
        <v>6993</v>
      </c>
      <c r="B4163">
        <v>0</v>
      </c>
      <c r="C4163" t="s">
        <v>6033</v>
      </c>
      <c r="D4163">
        <v>1</v>
      </c>
      <c r="E4163">
        <v>-1.2769999999999999</v>
      </c>
      <c r="F4163">
        <v>212.9</v>
      </c>
      <c r="G4163">
        <v>2022</v>
      </c>
      <c r="H4163" t="s">
        <v>928</v>
      </c>
      <c r="I4163" t="s">
        <v>6854</v>
      </c>
      <c r="J4163" t="s">
        <v>197</v>
      </c>
      <c r="L4163" t="s">
        <v>197</v>
      </c>
    </row>
    <row r="4164" spans="1:12" x14ac:dyDescent="0.4">
      <c r="A4164" t="s">
        <v>6994</v>
      </c>
      <c r="B4164">
        <v>4.2</v>
      </c>
      <c r="C4164" t="s">
        <v>6038</v>
      </c>
      <c r="D4164">
        <v>1</v>
      </c>
      <c r="E4164">
        <v>-1.1140000000000001</v>
      </c>
      <c r="F4164">
        <v>248.2</v>
      </c>
      <c r="G4164">
        <v>2022</v>
      </c>
      <c r="H4164" t="s">
        <v>928</v>
      </c>
      <c r="I4164" t="s">
        <v>6854</v>
      </c>
      <c r="J4164" t="s">
        <v>197</v>
      </c>
      <c r="L4164" t="s">
        <v>197</v>
      </c>
    </row>
    <row r="4165" spans="1:12" x14ac:dyDescent="0.4">
      <c r="A4165" t="s">
        <v>6995</v>
      </c>
      <c r="B4165">
        <v>5.3</v>
      </c>
      <c r="C4165" t="s">
        <v>5713</v>
      </c>
      <c r="D4165">
        <v>1</v>
      </c>
      <c r="E4165">
        <v>-1.071</v>
      </c>
      <c r="F4165">
        <v>257.5</v>
      </c>
      <c r="G4165">
        <v>2022</v>
      </c>
      <c r="H4165" t="s">
        <v>928</v>
      </c>
      <c r="I4165" t="s">
        <v>6854</v>
      </c>
      <c r="J4165" t="s">
        <v>197</v>
      </c>
      <c r="L4165" t="s">
        <v>197</v>
      </c>
    </row>
    <row r="4166" spans="1:12" x14ac:dyDescent="0.4">
      <c r="A4166" t="s">
        <v>6996</v>
      </c>
      <c r="B4166">
        <v>1.9</v>
      </c>
      <c r="C4166" t="s">
        <v>5710</v>
      </c>
      <c r="D4166">
        <v>1</v>
      </c>
      <c r="E4166">
        <v>-1.2030000000000001</v>
      </c>
      <c r="F4166">
        <v>229.1</v>
      </c>
      <c r="G4166">
        <v>2022</v>
      </c>
      <c r="H4166" t="s">
        <v>928</v>
      </c>
      <c r="I4166" t="s">
        <v>6854</v>
      </c>
      <c r="J4166" t="s">
        <v>197</v>
      </c>
      <c r="L4166" t="s">
        <v>197</v>
      </c>
    </row>
    <row r="4167" spans="1:12" x14ac:dyDescent="0.4">
      <c r="A4167" t="s">
        <v>6997</v>
      </c>
      <c r="B4167">
        <v>39.1</v>
      </c>
      <c r="C4167" t="s">
        <v>5731</v>
      </c>
      <c r="D4167">
        <v>2</v>
      </c>
      <c r="E4167">
        <v>0.24099999999999999</v>
      </c>
      <c r="F4167">
        <v>544.6</v>
      </c>
      <c r="G4167">
        <v>2022</v>
      </c>
      <c r="H4167" t="s">
        <v>928</v>
      </c>
      <c r="I4167" t="s">
        <v>6854</v>
      </c>
      <c r="J4167" t="s">
        <v>197</v>
      </c>
      <c r="L4167" t="s">
        <v>197</v>
      </c>
    </row>
    <row r="4168" spans="1:12" x14ac:dyDescent="0.4">
      <c r="A4168" t="s">
        <v>6998</v>
      </c>
      <c r="B4168">
        <v>56.5</v>
      </c>
      <c r="C4168" t="s">
        <v>5730</v>
      </c>
      <c r="D4168">
        <v>3</v>
      </c>
      <c r="E4168">
        <v>0.91600000000000004</v>
      </c>
      <c r="F4168">
        <v>692.1</v>
      </c>
      <c r="G4168">
        <v>2022</v>
      </c>
      <c r="H4168" t="s">
        <v>928</v>
      </c>
      <c r="I4168" t="s">
        <v>6854</v>
      </c>
      <c r="J4168" t="s">
        <v>197</v>
      </c>
      <c r="L4168" t="s">
        <v>197</v>
      </c>
    </row>
    <row r="4169" spans="1:12" x14ac:dyDescent="0.4">
      <c r="A4169" t="s">
        <v>6999</v>
      </c>
      <c r="B4169">
        <v>10.5</v>
      </c>
      <c r="C4169" t="s">
        <v>5694</v>
      </c>
      <c r="D4169">
        <v>1</v>
      </c>
      <c r="E4169">
        <v>-0.86899999999999999</v>
      </c>
      <c r="F4169">
        <v>301.8</v>
      </c>
      <c r="G4169">
        <v>2022</v>
      </c>
      <c r="H4169" t="s">
        <v>928</v>
      </c>
      <c r="I4169" t="s">
        <v>6854</v>
      </c>
      <c r="J4169" t="s">
        <v>197</v>
      </c>
      <c r="L4169" t="s">
        <v>197</v>
      </c>
    </row>
    <row r="4170" spans="1:12" x14ac:dyDescent="0.4">
      <c r="A4170" t="s">
        <v>7000</v>
      </c>
      <c r="B4170">
        <v>46.3</v>
      </c>
      <c r="C4170" t="s">
        <v>6584</v>
      </c>
      <c r="D4170">
        <v>3</v>
      </c>
      <c r="E4170">
        <v>0.52</v>
      </c>
      <c r="F4170">
        <v>605.20000000000005</v>
      </c>
      <c r="G4170">
        <v>2022</v>
      </c>
      <c r="H4170" t="s">
        <v>928</v>
      </c>
      <c r="I4170" t="s">
        <v>6854</v>
      </c>
      <c r="J4170" t="s">
        <v>197</v>
      </c>
      <c r="L4170" t="s">
        <v>197</v>
      </c>
    </row>
    <row r="4171" spans="1:12" x14ac:dyDescent="0.4">
      <c r="A4171" t="s">
        <v>7001</v>
      </c>
      <c r="B4171">
        <v>8.9</v>
      </c>
      <c r="C4171" t="s">
        <v>5709</v>
      </c>
      <c r="D4171">
        <v>1</v>
      </c>
      <c r="E4171">
        <v>-0.93100000000000005</v>
      </c>
      <c r="F4171">
        <v>288.3</v>
      </c>
      <c r="G4171">
        <v>2022</v>
      </c>
      <c r="H4171" t="s">
        <v>928</v>
      </c>
      <c r="I4171" t="s">
        <v>6854</v>
      </c>
      <c r="J4171" t="s">
        <v>197</v>
      </c>
      <c r="L4171" t="s">
        <v>197</v>
      </c>
    </row>
    <row r="4172" spans="1:12" x14ac:dyDescent="0.4">
      <c r="A4172" t="s">
        <v>7002</v>
      </c>
      <c r="B4172">
        <v>50.9</v>
      </c>
      <c r="C4172" t="s">
        <v>6045</v>
      </c>
      <c r="D4172">
        <v>3</v>
      </c>
      <c r="E4172">
        <v>0.69799999999999995</v>
      </c>
      <c r="F4172">
        <v>644.6</v>
      </c>
      <c r="G4172">
        <v>2022</v>
      </c>
      <c r="H4172" t="s">
        <v>928</v>
      </c>
      <c r="I4172" t="s">
        <v>6854</v>
      </c>
      <c r="J4172" t="s">
        <v>197</v>
      </c>
      <c r="L4172" t="s">
        <v>197</v>
      </c>
    </row>
    <row r="4173" spans="1:12" x14ac:dyDescent="0.4">
      <c r="A4173" t="s">
        <v>7003</v>
      </c>
      <c r="B4173">
        <v>4.2</v>
      </c>
      <c r="C4173" t="s">
        <v>6038</v>
      </c>
      <c r="D4173">
        <v>1</v>
      </c>
      <c r="E4173">
        <v>-1.1140000000000001</v>
      </c>
      <c r="F4173">
        <v>248.2</v>
      </c>
      <c r="G4173">
        <v>2022</v>
      </c>
      <c r="H4173" t="s">
        <v>928</v>
      </c>
      <c r="I4173" t="s">
        <v>6854</v>
      </c>
      <c r="J4173" t="s">
        <v>197</v>
      </c>
      <c r="L4173" t="s">
        <v>197</v>
      </c>
    </row>
    <row r="4174" spans="1:12" x14ac:dyDescent="0.4">
      <c r="A4174" t="s">
        <v>7004</v>
      </c>
      <c r="B4174">
        <v>4.0999999999999996</v>
      </c>
      <c r="C4174" t="s">
        <v>5697</v>
      </c>
      <c r="D4174">
        <v>1</v>
      </c>
      <c r="E4174">
        <v>-1.1180000000000001</v>
      </c>
      <c r="F4174">
        <v>247.9</v>
      </c>
      <c r="G4174">
        <v>2022</v>
      </c>
      <c r="H4174" t="s">
        <v>928</v>
      </c>
      <c r="I4174" t="s">
        <v>6854</v>
      </c>
      <c r="J4174" t="s">
        <v>197</v>
      </c>
      <c r="L4174" t="s">
        <v>197</v>
      </c>
    </row>
    <row r="4175" spans="1:12" x14ac:dyDescent="0.4">
      <c r="A4175" t="s">
        <v>7005</v>
      </c>
      <c r="B4175">
        <v>57.1</v>
      </c>
      <c r="C4175" t="s">
        <v>2486</v>
      </c>
      <c r="D4175">
        <v>3</v>
      </c>
      <c r="E4175">
        <v>0.93899999999999995</v>
      </c>
      <c r="F4175">
        <v>697.4</v>
      </c>
      <c r="G4175">
        <v>2022</v>
      </c>
      <c r="H4175" t="s">
        <v>928</v>
      </c>
      <c r="I4175" t="s">
        <v>6854</v>
      </c>
      <c r="J4175" t="s">
        <v>197</v>
      </c>
      <c r="L4175" t="s">
        <v>197</v>
      </c>
    </row>
    <row r="4176" spans="1:12" x14ac:dyDescent="0.4">
      <c r="A4176" t="s">
        <v>7006</v>
      </c>
      <c r="B4176">
        <v>72.900000000000006</v>
      </c>
      <c r="C4176" t="s">
        <v>5740</v>
      </c>
      <c r="D4176">
        <v>4</v>
      </c>
      <c r="E4176">
        <v>1.552</v>
      </c>
      <c r="F4176">
        <v>830.8</v>
      </c>
      <c r="G4176">
        <v>2022</v>
      </c>
      <c r="H4176" t="s">
        <v>928</v>
      </c>
      <c r="I4176" t="s">
        <v>6854</v>
      </c>
      <c r="J4176" t="s">
        <v>197</v>
      </c>
      <c r="L4176" t="s">
        <v>197</v>
      </c>
    </row>
    <row r="4177" spans="1:12" x14ac:dyDescent="0.4">
      <c r="A4177" t="s">
        <v>7007</v>
      </c>
      <c r="B4177">
        <v>100</v>
      </c>
      <c r="C4177" t="s">
        <v>2479</v>
      </c>
      <c r="D4177">
        <v>5</v>
      </c>
      <c r="E4177">
        <v>2.6040000000000001</v>
      </c>
      <c r="F4177">
        <v>1060.7</v>
      </c>
      <c r="G4177">
        <v>2022</v>
      </c>
      <c r="H4177" t="s">
        <v>928</v>
      </c>
      <c r="I4177" t="s">
        <v>6854</v>
      </c>
      <c r="J4177" t="s">
        <v>197</v>
      </c>
      <c r="L4177" t="s">
        <v>197</v>
      </c>
    </row>
    <row r="4178" spans="1:12" x14ac:dyDescent="0.4">
      <c r="A4178" t="s">
        <v>7008</v>
      </c>
      <c r="B4178">
        <v>7.7</v>
      </c>
      <c r="C4178" t="s">
        <v>5708</v>
      </c>
      <c r="D4178">
        <v>1</v>
      </c>
      <c r="E4178">
        <v>-0.97799999999999998</v>
      </c>
      <c r="F4178">
        <v>277.89999999999998</v>
      </c>
      <c r="G4178">
        <v>2022</v>
      </c>
      <c r="H4178" t="s">
        <v>928</v>
      </c>
      <c r="I4178" t="s">
        <v>6854</v>
      </c>
      <c r="J4178" t="s">
        <v>197</v>
      </c>
      <c r="L4178" t="s">
        <v>197</v>
      </c>
    </row>
    <row r="4179" spans="1:12" x14ac:dyDescent="0.4">
      <c r="A4179" t="s">
        <v>7009</v>
      </c>
      <c r="B4179">
        <v>1.2</v>
      </c>
      <c r="C4179" t="s">
        <v>6855</v>
      </c>
      <c r="D4179">
        <v>1</v>
      </c>
      <c r="E4179">
        <v>-1.23</v>
      </c>
      <c r="F4179">
        <v>223.3</v>
      </c>
      <c r="G4179">
        <v>2022</v>
      </c>
      <c r="H4179" t="s">
        <v>928</v>
      </c>
      <c r="I4179" t="s">
        <v>6854</v>
      </c>
      <c r="J4179" t="s">
        <v>197</v>
      </c>
      <c r="L4179" t="s">
        <v>197</v>
      </c>
    </row>
    <row r="4180" spans="1:12" x14ac:dyDescent="0.4">
      <c r="A4180" t="s">
        <v>7010</v>
      </c>
      <c r="B4180">
        <v>59.3</v>
      </c>
      <c r="C4180" t="s">
        <v>2482</v>
      </c>
      <c r="D4180">
        <v>3</v>
      </c>
      <c r="E4180">
        <v>1.024</v>
      </c>
      <c r="F4180">
        <v>715.9</v>
      </c>
      <c r="G4180">
        <v>2022</v>
      </c>
      <c r="H4180" t="s">
        <v>928</v>
      </c>
      <c r="I4180" t="s">
        <v>6854</v>
      </c>
      <c r="J4180" t="s">
        <v>197</v>
      </c>
      <c r="L4180" t="s">
        <v>197</v>
      </c>
    </row>
    <row r="4181" spans="1:12" x14ac:dyDescent="0.4">
      <c r="A4181" t="s">
        <v>7011</v>
      </c>
      <c r="B4181">
        <v>57.1</v>
      </c>
      <c r="C4181" t="s">
        <v>2486</v>
      </c>
      <c r="D4181">
        <v>3</v>
      </c>
      <c r="E4181">
        <v>0.93899999999999995</v>
      </c>
      <c r="F4181">
        <v>697.4</v>
      </c>
      <c r="G4181">
        <v>2022</v>
      </c>
      <c r="H4181" t="s">
        <v>928</v>
      </c>
      <c r="I4181" t="s">
        <v>6854</v>
      </c>
      <c r="J4181" t="s">
        <v>197</v>
      </c>
      <c r="L4181" t="s">
        <v>197</v>
      </c>
    </row>
    <row r="4182" spans="1:12" x14ac:dyDescent="0.4">
      <c r="A4182" t="s">
        <v>7012</v>
      </c>
      <c r="B4182">
        <v>21.1</v>
      </c>
      <c r="C4182" t="s">
        <v>5736</v>
      </c>
      <c r="D4182">
        <v>2</v>
      </c>
      <c r="E4182">
        <v>-0.45800000000000002</v>
      </c>
      <c r="F4182">
        <v>391.5</v>
      </c>
      <c r="G4182">
        <v>2022</v>
      </c>
      <c r="H4182" t="s">
        <v>928</v>
      </c>
      <c r="I4182" t="s">
        <v>6854</v>
      </c>
      <c r="J4182" t="s">
        <v>197</v>
      </c>
      <c r="L4182" t="s">
        <v>197</v>
      </c>
    </row>
    <row r="4183" spans="1:12" x14ac:dyDescent="0.4">
      <c r="A4183" t="s">
        <v>7013</v>
      </c>
      <c r="B4183">
        <v>46.7</v>
      </c>
      <c r="C4183" t="s">
        <v>5705</v>
      </c>
      <c r="D4183">
        <v>3</v>
      </c>
      <c r="E4183">
        <v>0.53500000000000003</v>
      </c>
      <c r="F4183">
        <v>608.6</v>
      </c>
      <c r="G4183">
        <v>2022</v>
      </c>
      <c r="H4183" t="s">
        <v>928</v>
      </c>
      <c r="I4183" t="s">
        <v>6854</v>
      </c>
      <c r="J4183" t="s">
        <v>197</v>
      </c>
      <c r="L4183" t="s">
        <v>197</v>
      </c>
    </row>
    <row r="4184" spans="1:12" x14ac:dyDescent="0.4">
      <c r="A4184" t="s">
        <v>7014</v>
      </c>
      <c r="B4184">
        <v>44.4</v>
      </c>
      <c r="C4184" t="s">
        <v>5722</v>
      </c>
      <c r="D4184">
        <v>3</v>
      </c>
      <c r="E4184">
        <v>0.44600000000000001</v>
      </c>
      <c r="F4184">
        <v>589</v>
      </c>
      <c r="G4184">
        <v>2022</v>
      </c>
      <c r="H4184" t="s">
        <v>928</v>
      </c>
      <c r="I4184" t="s">
        <v>6854</v>
      </c>
      <c r="J4184" t="s">
        <v>197</v>
      </c>
      <c r="L4184" t="s">
        <v>197</v>
      </c>
    </row>
    <row r="4185" spans="1:12" x14ac:dyDescent="0.4">
      <c r="A4185" t="s">
        <v>7015</v>
      </c>
      <c r="B4185">
        <v>24.1</v>
      </c>
      <c r="C4185" t="s">
        <v>5700</v>
      </c>
      <c r="D4185">
        <v>2</v>
      </c>
      <c r="E4185">
        <v>-0.34100000000000003</v>
      </c>
      <c r="F4185">
        <v>417.6</v>
      </c>
      <c r="G4185">
        <v>2022</v>
      </c>
      <c r="H4185" t="s">
        <v>928</v>
      </c>
      <c r="I4185" t="s">
        <v>6854</v>
      </c>
      <c r="J4185" t="s">
        <v>197</v>
      </c>
      <c r="L4185" t="s">
        <v>197</v>
      </c>
    </row>
    <row r="4186" spans="1:12" x14ac:dyDescent="0.4">
      <c r="A4186" t="s">
        <v>7016</v>
      </c>
      <c r="B4186">
        <v>46.3</v>
      </c>
      <c r="C4186" t="s">
        <v>6584</v>
      </c>
      <c r="D4186">
        <v>3</v>
      </c>
      <c r="E4186">
        <v>0.52</v>
      </c>
      <c r="F4186">
        <v>605.20000000000005</v>
      </c>
      <c r="G4186">
        <v>2022</v>
      </c>
      <c r="H4186" t="s">
        <v>928</v>
      </c>
      <c r="I4186" t="s">
        <v>6854</v>
      </c>
      <c r="J4186" t="s">
        <v>197</v>
      </c>
      <c r="L4186" t="s">
        <v>197</v>
      </c>
    </row>
    <row r="4187" spans="1:12" x14ac:dyDescent="0.4">
      <c r="A4187" t="s">
        <v>7017</v>
      </c>
      <c r="B4187">
        <v>72.900000000000006</v>
      </c>
      <c r="C4187" t="s">
        <v>5740</v>
      </c>
      <c r="D4187">
        <v>4</v>
      </c>
      <c r="E4187">
        <v>1.552</v>
      </c>
      <c r="F4187">
        <v>830.8</v>
      </c>
      <c r="G4187">
        <v>2022</v>
      </c>
      <c r="H4187" t="s">
        <v>928</v>
      </c>
      <c r="I4187" t="s">
        <v>6854</v>
      </c>
      <c r="J4187" t="s">
        <v>197</v>
      </c>
      <c r="L4187" t="s">
        <v>197</v>
      </c>
    </row>
    <row r="4188" spans="1:12" x14ac:dyDescent="0.4">
      <c r="A4188" t="s">
        <v>7018</v>
      </c>
      <c r="B4188">
        <v>69.900000000000006</v>
      </c>
      <c r="C4188" t="s">
        <v>2480</v>
      </c>
      <c r="D4188">
        <v>4</v>
      </c>
      <c r="E4188">
        <v>1.4359999999999999</v>
      </c>
      <c r="F4188">
        <v>805.3</v>
      </c>
      <c r="G4188">
        <v>2022</v>
      </c>
      <c r="H4188" t="s">
        <v>928</v>
      </c>
      <c r="I4188" t="s">
        <v>6854</v>
      </c>
      <c r="J4188" t="s">
        <v>197</v>
      </c>
      <c r="L4188" t="s">
        <v>197</v>
      </c>
    </row>
    <row r="4189" spans="1:12" x14ac:dyDescent="0.4">
      <c r="A4189" t="s">
        <v>7019</v>
      </c>
      <c r="B4189">
        <v>70.5</v>
      </c>
      <c r="C4189" t="s">
        <v>2476</v>
      </c>
      <c r="D4189">
        <v>4</v>
      </c>
      <c r="E4189">
        <v>1.4590000000000001</v>
      </c>
      <c r="F4189">
        <v>810.8</v>
      </c>
      <c r="G4189">
        <v>2022</v>
      </c>
      <c r="H4189" t="s">
        <v>928</v>
      </c>
      <c r="I4189" t="s">
        <v>6854</v>
      </c>
      <c r="J4189" t="s">
        <v>197</v>
      </c>
      <c r="L4189" t="s">
        <v>197</v>
      </c>
    </row>
    <row r="4190" spans="1:12" x14ac:dyDescent="0.4">
      <c r="A4190" t="s">
        <v>7020</v>
      </c>
      <c r="B4190">
        <v>44.4</v>
      </c>
      <c r="C4190" t="s">
        <v>5722</v>
      </c>
      <c r="D4190">
        <v>3</v>
      </c>
      <c r="E4190">
        <v>0.44600000000000001</v>
      </c>
      <c r="F4190">
        <v>589</v>
      </c>
      <c r="G4190">
        <v>2022</v>
      </c>
      <c r="H4190" t="s">
        <v>928</v>
      </c>
      <c r="I4190" t="s">
        <v>6854</v>
      </c>
      <c r="J4190" t="s">
        <v>197</v>
      </c>
      <c r="L4190" t="s">
        <v>197</v>
      </c>
    </row>
    <row r="4191" spans="1:12" x14ac:dyDescent="0.4">
      <c r="A4191" t="s">
        <v>7021</v>
      </c>
      <c r="B4191">
        <v>15.5</v>
      </c>
      <c r="C4191" t="s">
        <v>5699</v>
      </c>
      <c r="D4191">
        <v>1</v>
      </c>
      <c r="E4191">
        <v>-0.67500000000000004</v>
      </c>
      <c r="F4191">
        <v>344.4</v>
      </c>
      <c r="G4191">
        <v>2022</v>
      </c>
      <c r="H4191" t="s">
        <v>928</v>
      </c>
      <c r="I4191" t="s">
        <v>6854</v>
      </c>
      <c r="J4191" t="s">
        <v>197</v>
      </c>
      <c r="L4191" t="s">
        <v>197</v>
      </c>
    </row>
    <row r="4192" spans="1:12" x14ac:dyDescent="0.4">
      <c r="A4192" t="s">
        <v>7022</v>
      </c>
      <c r="B4192">
        <v>32.9</v>
      </c>
      <c r="C4192" t="s">
        <v>197</v>
      </c>
      <c r="D4192">
        <v>2</v>
      </c>
    </row>
    <row r="4193" spans="1:12" x14ac:dyDescent="0.4">
      <c r="A4193" t="s">
        <v>7023</v>
      </c>
      <c r="B4193">
        <v>8.8000000000000007</v>
      </c>
      <c r="C4193" t="s">
        <v>197</v>
      </c>
      <c r="D4193">
        <v>1</v>
      </c>
    </row>
    <row r="4194" spans="1:12" x14ac:dyDescent="0.4">
      <c r="A4194" t="s">
        <v>7024</v>
      </c>
      <c r="B4194">
        <v>40.9</v>
      </c>
      <c r="C4194" t="s">
        <v>197</v>
      </c>
      <c r="D4194">
        <v>3</v>
      </c>
    </row>
    <row r="4195" spans="1:12" x14ac:dyDescent="0.4">
      <c r="A4195" t="s">
        <v>7025</v>
      </c>
      <c r="B4195">
        <v>7.7</v>
      </c>
      <c r="C4195" t="s">
        <v>197</v>
      </c>
      <c r="D4195">
        <v>1</v>
      </c>
    </row>
    <row r="4196" spans="1:12" x14ac:dyDescent="0.4">
      <c r="A4196" t="s">
        <v>7026</v>
      </c>
      <c r="B4196">
        <v>59.3</v>
      </c>
      <c r="C4196" t="s">
        <v>197</v>
      </c>
      <c r="D4196">
        <v>3</v>
      </c>
    </row>
    <row r="4197" spans="1:12" x14ac:dyDescent="0.4">
      <c r="A4197" t="s">
        <v>7027</v>
      </c>
      <c r="B4197">
        <v>12.9</v>
      </c>
      <c r="C4197" t="s">
        <v>197</v>
      </c>
      <c r="D4197">
        <v>1</v>
      </c>
    </row>
    <row r="4198" spans="1:12" x14ac:dyDescent="0.4">
      <c r="A4198" t="s">
        <v>7028</v>
      </c>
      <c r="B4198">
        <v>40</v>
      </c>
      <c r="C4198" t="s">
        <v>197</v>
      </c>
      <c r="D4198">
        <v>3</v>
      </c>
    </row>
    <row r="4199" spans="1:12" x14ac:dyDescent="0.4">
      <c r="A4199" t="s">
        <v>7477</v>
      </c>
      <c r="B4199">
        <v>8.4</v>
      </c>
      <c r="C4199" t="s">
        <v>197</v>
      </c>
      <c r="D4199">
        <v>1</v>
      </c>
    </row>
    <row r="4200" spans="1:12" x14ac:dyDescent="0.4">
      <c r="A4200" t="s">
        <v>7478</v>
      </c>
      <c r="B4200">
        <v>30.5</v>
      </c>
      <c r="C4200" t="s">
        <v>197</v>
      </c>
      <c r="D4200">
        <v>2</v>
      </c>
    </row>
    <row r="4201" spans="1:12" x14ac:dyDescent="0.4">
      <c r="A4201" t="s">
        <v>7479</v>
      </c>
      <c r="B4201">
        <v>51</v>
      </c>
      <c r="C4201" t="s">
        <v>197</v>
      </c>
      <c r="D4201">
        <v>3</v>
      </c>
    </row>
    <row r="4202" spans="1:12" x14ac:dyDescent="0.4">
      <c r="A4202" t="s">
        <v>7029</v>
      </c>
      <c r="B4202">
        <v>0</v>
      </c>
      <c r="C4202" t="s">
        <v>6033</v>
      </c>
      <c r="D4202">
        <v>1</v>
      </c>
      <c r="E4202">
        <v>-1.7729999999999999</v>
      </c>
      <c r="F4202">
        <v>1605.7</v>
      </c>
      <c r="G4202">
        <v>2022</v>
      </c>
      <c r="H4202" t="s">
        <v>928</v>
      </c>
      <c r="I4202" t="s">
        <v>6854</v>
      </c>
      <c r="J4202" t="s">
        <v>197</v>
      </c>
      <c r="L4202" t="s">
        <v>197</v>
      </c>
    </row>
    <row r="4203" spans="1:12" x14ac:dyDescent="0.4">
      <c r="A4203" t="s">
        <v>7030</v>
      </c>
      <c r="B4203">
        <v>40.799999999999997</v>
      </c>
      <c r="C4203" t="s">
        <v>5703</v>
      </c>
      <c r="D4203">
        <v>3</v>
      </c>
      <c r="E4203">
        <v>-2.1000000000000001E-2</v>
      </c>
      <c r="F4203">
        <v>4401.1000000000004</v>
      </c>
      <c r="G4203">
        <v>2022</v>
      </c>
      <c r="H4203" t="s">
        <v>928</v>
      </c>
      <c r="I4203" t="s">
        <v>6854</v>
      </c>
      <c r="J4203" t="s">
        <v>197</v>
      </c>
      <c r="L4203" t="s">
        <v>197</v>
      </c>
    </row>
    <row r="4204" spans="1:12" x14ac:dyDescent="0.4">
      <c r="A4204" t="s">
        <v>7031</v>
      </c>
      <c r="B4204">
        <v>45.3</v>
      </c>
      <c r="C4204" t="s">
        <v>5722</v>
      </c>
      <c r="D4204">
        <v>3</v>
      </c>
      <c r="E4204">
        <v>0.17199999999999999</v>
      </c>
      <c r="F4204">
        <v>4708.6000000000004</v>
      </c>
      <c r="G4204">
        <v>2022</v>
      </c>
      <c r="H4204" t="s">
        <v>928</v>
      </c>
      <c r="I4204" t="s">
        <v>6854</v>
      </c>
      <c r="J4204" t="s">
        <v>197</v>
      </c>
      <c r="L4204" t="s">
        <v>197</v>
      </c>
    </row>
    <row r="4205" spans="1:12" x14ac:dyDescent="0.4">
      <c r="A4205" t="s">
        <v>7032</v>
      </c>
      <c r="B4205">
        <v>26.3</v>
      </c>
      <c r="C4205" t="s">
        <v>5702</v>
      </c>
      <c r="D4205">
        <v>2</v>
      </c>
      <c r="E4205">
        <v>-0.64400000000000002</v>
      </c>
      <c r="F4205">
        <v>3408.7</v>
      </c>
      <c r="G4205">
        <v>2022</v>
      </c>
      <c r="H4205" t="s">
        <v>928</v>
      </c>
      <c r="I4205" t="s">
        <v>6854</v>
      </c>
      <c r="J4205" t="s">
        <v>197</v>
      </c>
      <c r="L4205" t="s">
        <v>197</v>
      </c>
    </row>
    <row r="4206" spans="1:12" x14ac:dyDescent="0.4">
      <c r="A4206" t="s">
        <v>7033</v>
      </c>
      <c r="B4206">
        <v>39.200000000000003</v>
      </c>
      <c r="C4206" t="s">
        <v>5706</v>
      </c>
      <c r="D4206">
        <v>2</v>
      </c>
      <c r="E4206">
        <v>-0.09</v>
      </c>
      <c r="F4206">
        <v>4291.8999999999996</v>
      </c>
      <c r="G4206">
        <v>2022</v>
      </c>
      <c r="H4206" t="s">
        <v>928</v>
      </c>
      <c r="I4206" t="s">
        <v>6854</v>
      </c>
      <c r="J4206" t="s">
        <v>197</v>
      </c>
      <c r="L4206" t="s">
        <v>197</v>
      </c>
    </row>
    <row r="4207" spans="1:12" x14ac:dyDescent="0.4">
      <c r="A4207" t="s">
        <v>7034</v>
      </c>
      <c r="B4207">
        <v>72.900000000000006</v>
      </c>
      <c r="C4207" t="s">
        <v>6583</v>
      </c>
      <c r="D4207">
        <v>4</v>
      </c>
      <c r="E4207">
        <v>1.3560000000000001</v>
      </c>
      <c r="F4207">
        <v>6603.1</v>
      </c>
      <c r="G4207">
        <v>2022</v>
      </c>
      <c r="H4207" t="s">
        <v>928</v>
      </c>
      <c r="I4207" t="s">
        <v>6854</v>
      </c>
      <c r="J4207" t="s">
        <v>197</v>
      </c>
      <c r="L4207" t="s">
        <v>197</v>
      </c>
    </row>
    <row r="4208" spans="1:12" x14ac:dyDescent="0.4">
      <c r="A4208" t="s">
        <v>7035</v>
      </c>
      <c r="B4208">
        <v>56.2</v>
      </c>
      <c r="C4208" t="s">
        <v>2481</v>
      </c>
      <c r="D4208">
        <v>3</v>
      </c>
      <c r="E4208">
        <v>0.64</v>
      </c>
      <c r="F4208">
        <v>5453</v>
      </c>
      <c r="G4208">
        <v>2022</v>
      </c>
      <c r="H4208" t="s">
        <v>928</v>
      </c>
      <c r="I4208" t="s">
        <v>6854</v>
      </c>
      <c r="J4208" t="s">
        <v>197</v>
      </c>
      <c r="L4208" t="s">
        <v>197</v>
      </c>
    </row>
    <row r="4209" spans="1:12" x14ac:dyDescent="0.4">
      <c r="A4209" t="s">
        <v>7036</v>
      </c>
      <c r="B4209">
        <v>17.7</v>
      </c>
      <c r="C4209" t="s">
        <v>5713</v>
      </c>
      <c r="D4209">
        <v>1</v>
      </c>
      <c r="E4209">
        <v>-1.0129999999999999</v>
      </c>
      <c r="F4209">
        <v>2816.2</v>
      </c>
      <c r="G4209">
        <v>2022</v>
      </c>
      <c r="H4209" t="s">
        <v>928</v>
      </c>
      <c r="I4209" t="s">
        <v>6854</v>
      </c>
      <c r="J4209" t="s">
        <v>197</v>
      </c>
      <c r="L4209" t="s">
        <v>197</v>
      </c>
    </row>
    <row r="4210" spans="1:12" x14ac:dyDescent="0.4">
      <c r="A4210" t="s">
        <v>7037</v>
      </c>
      <c r="B4210">
        <v>100</v>
      </c>
      <c r="C4210" t="s">
        <v>1380</v>
      </c>
      <c r="D4210">
        <v>5</v>
      </c>
      <c r="E4210">
        <v>2.5190000000000001</v>
      </c>
      <c r="F4210">
        <v>10212</v>
      </c>
      <c r="G4210">
        <v>2022</v>
      </c>
      <c r="H4210" t="s">
        <v>928</v>
      </c>
      <c r="I4210" t="s">
        <v>6854</v>
      </c>
      <c r="J4210" t="s">
        <v>197</v>
      </c>
      <c r="L4210" t="s">
        <v>197</v>
      </c>
    </row>
    <row r="4211" spans="1:12" x14ac:dyDescent="0.4">
      <c r="A4211" t="s">
        <v>7038</v>
      </c>
      <c r="B4211">
        <v>75.099999999999994</v>
      </c>
      <c r="C4211" t="s">
        <v>2475</v>
      </c>
      <c r="D4211">
        <v>4</v>
      </c>
      <c r="E4211">
        <v>1.4510000000000001</v>
      </c>
      <c r="F4211">
        <v>6749.2</v>
      </c>
      <c r="G4211">
        <v>2022</v>
      </c>
      <c r="H4211" t="s">
        <v>928</v>
      </c>
      <c r="I4211" t="s">
        <v>6854</v>
      </c>
      <c r="J4211" t="s">
        <v>197</v>
      </c>
      <c r="L4211" t="s">
        <v>197</v>
      </c>
    </row>
    <row r="4212" spans="1:12" x14ac:dyDescent="0.4">
      <c r="A4212" t="s">
        <v>7039</v>
      </c>
      <c r="B4212">
        <v>52.1</v>
      </c>
      <c r="C4212" t="s">
        <v>5701</v>
      </c>
      <c r="D4212">
        <v>3</v>
      </c>
      <c r="E4212">
        <v>0.46400000000000002</v>
      </c>
      <c r="F4212">
        <v>5178.3</v>
      </c>
      <c r="G4212">
        <v>2022</v>
      </c>
      <c r="H4212" t="s">
        <v>928</v>
      </c>
      <c r="I4212" t="s">
        <v>6854</v>
      </c>
      <c r="J4212" t="s">
        <v>197</v>
      </c>
      <c r="L4212" t="s">
        <v>197</v>
      </c>
    </row>
    <row r="4213" spans="1:12" x14ac:dyDescent="0.4">
      <c r="A4213" t="s">
        <v>7040</v>
      </c>
      <c r="B4213">
        <v>50.4</v>
      </c>
      <c r="C4213" t="s">
        <v>6043</v>
      </c>
      <c r="D4213">
        <v>3</v>
      </c>
      <c r="E4213">
        <v>0.39100000000000001</v>
      </c>
      <c r="F4213">
        <v>5061.6000000000004</v>
      </c>
      <c r="G4213">
        <v>2022</v>
      </c>
      <c r="H4213" t="s">
        <v>928</v>
      </c>
      <c r="I4213" t="s">
        <v>6854</v>
      </c>
      <c r="J4213" t="s">
        <v>197</v>
      </c>
      <c r="L4213" t="s">
        <v>197</v>
      </c>
    </row>
    <row r="4214" spans="1:12" x14ac:dyDescent="0.4">
      <c r="A4214" t="s">
        <v>7041</v>
      </c>
      <c r="B4214">
        <v>52.7</v>
      </c>
      <c r="C4214" t="s">
        <v>5730</v>
      </c>
      <c r="D4214">
        <v>3</v>
      </c>
      <c r="E4214">
        <v>0.48899999999999999</v>
      </c>
      <c r="F4214">
        <v>5218.5</v>
      </c>
      <c r="G4214">
        <v>2022</v>
      </c>
      <c r="H4214" t="s">
        <v>928</v>
      </c>
      <c r="I4214" t="s">
        <v>6854</v>
      </c>
      <c r="J4214" t="s">
        <v>197</v>
      </c>
      <c r="L4214" t="s">
        <v>197</v>
      </c>
    </row>
    <row r="4215" spans="1:12" x14ac:dyDescent="0.4">
      <c r="A4215" t="s">
        <v>7042</v>
      </c>
      <c r="B4215">
        <v>11.9</v>
      </c>
      <c r="C4215" t="s">
        <v>5710</v>
      </c>
      <c r="D4215">
        <v>1</v>
      </c>
      <c r="E4215">
        <v>-1.262</v>
      </c>
      <c r="F4215">
        <v>2423.6</v>
      </c>
      <c r="G4215">
        <v>2022</v>
      </c>
      <c r="H4215" t="s">
        <v>928</v>
      </c>
      <c r="I4215" t="s">
        <v>6854</v>
      </c>
      <c r="J4215" t="s">
        <v>197</v>
      </c>
      <c r="L4215" t="s">
        <v>197</v>
      </c>
    </row>
    <row r="4216" spans="1:12" x14ac:dyDescent="0.4">
      <c r="A4216" t="s">
        <v>7043</v>
      </c>
      <c r="B4216">
        <v>62.4</v>
      </c>
      <c r="C4216" t="s">
        <v>2484</v>
      </c>
      <c r="D4216">
        <v>4</v>
      </c>
      <c r="E4216">
        <v>0.90600000000000003</v>
      </c>
      <c r="F4216">
        <v>5878.7</v>
      </c>
      <c r="G4216">
        <v>2022</v>
      </c>
      <c r="H4216" t="s">
        <v>928</v>
      </c>
      <c r="I4216" t="s">
        <v>6854</v>
      </c>
      <c r="J4216" t="s">
        <v>197</v>
      </c>
      <c r="L4216" t="s">
        <v>197</v>
      </c>
    </row>
    <row r="4217" spans="1:12" x14ac:dyDescent="0.4">
      <c r="A4217" t="s">
        <v>7044</v>
      </c>
      <c r="B4217">
        <v>57.7</v>
      </c>
      <c r="C4217" t="s">
        <v>2474</v>
      </c>
      <c r="D4217">
        <v>3</v>
      </c>
      <c r="E4217">
        <v>0.70399999999999996</v>
      </c>
      <c r="F4217">
        <v>5561.9</v>
      </c>
      <c r="G4217">
        <v>2022</v>
      </c>
      <c r="H4217" t="s">
        <v>928</v>
      </c>
      <c r="I4217" t="s">
        <v>6854</v>
      </c>
      <c r="J4217" t="s">
        <v>197</v>
      </c>
      <c r="L4217" t="s">
        <v>197</v>
      </c>
    </row>
    <row r="4218" spans="1:12" x14ac:dyDescent="0.4">
      <c r="A4218" t="s">
        <v>7045</v>
      </c>
      <c r="B4218">
        <v>18.5</v>
      </c>
      <c r="C4218" t="s">
        <v>5708</v>
      </c>
      <c r="D4218">
        <v>1</v>
      </c>
      <c r="E4218">
        <v>-0.97899999999999998</v>
      </c>
      <c r="F4218">
        <v>2870.7</v>
      </c>
      <c r="G4218">
        <v>2022</v>
      </c>
      <c r="H4218" t="s">
        <v>928</v>
      </c>
      <c r="I4218" t="s">
        <v>6854</v>
      </c>
      <c r="J4218" t="s">
        <v>197</v>
      </c>
      <c r="L4218" t="s">
        <v>197</v>
      </c>
    </row>
    <row r="4219" spans="1:12" x14ac:dyDescent="0.4">
      <c r="A4219" t="s">
        <v>7046</v>
      </c>
      <c r="B4219">
        <v>43.2</v>
      </c>
      <c r="C4219" t="s">
        <v>5700</v>
      </c>
      <c r="D4219">
        <v>3</v>
      </c>
      <c r="E4219">
        <v>8.2000000000000003E-2</v>
      </c>
      <c r="F4219">
        <v>4562.8</v>
      </c>
      <c r="G4219">
        <v>2022</v>
      </c>
      <c r="H4219" t="s">
        <v>928</v>
      </c>
      <c r="I4219" t="s">
        <v>6854</v>
      </c>
      <c r="J4219" t="s">
        <v>197</v>
      </c>
      <c r="L4219" t="s">
        <v>197</v>
      </c>
    </row>
    <row r="4220" spans="1:12" x14ac:dyDescent="0.4">
      <c r="A4220" t="s">
        <v>7047</v>
      </c>
      <c r="B4220">
        <v>78.5</v>
      </c>
      <c r="C4220" t="s">
        <v>2477</v>
      </c>
      <c r="D4220">
        <v>4</v>
      </c>
      <c r="E4220">
        <v>1.597</v>
      </c>
      <c r="F4220">
        <v>6981.7</v>
      </c>
      <c r="G4220">
        <v>2022</v>
      </c>
      <c r="H4220" t="s">
        <v>928</v>
      </c>
      <c r="I4220" t="s">
        <v>6854</v>
      </c>
      <c r="J4220" t="s">
        <v>197</v>
      </c>
      <c r="L4220" t="s">
        <v>197</v>
      </c>
    </row>
    <row r="4221" spans="1:12" x14ac:dyDescent="0.4">
      <c r="A4221" t="s">
        <v>7048</v>
      </c>
      <c r="B4221">
        <v>32.1</v>
      </c>
      <c r="C4221" t="s">
        <v>5699</v>
      </c>
      <c r="D4221">
        <v>2</v>
      </c>
      <c r="E4221">
        <v>-0.39500000000000002</v>
      </c>
      <c r="F4221">
        <v>3803.5</v>
      </c>
      <c r="G4221">
        <v>2022</v>
      </c>
      <c r="H4221" t="s">
        <v>928</v>
      </c>
      <c r="I4221" t="s">
        <v>6854</v>
      </c>
      <c r="J4221" t="s">
        <v>197</v>
      </c>
      <c r="L4221" t="s">
        <v>197</v>
      </c>
    </row>
    <row r="4222" spans="1:12" x14ac:dyDescent="0.4">
      <c r="A4222" t="s">
        <v>7049</v>
      </c>
      <c r="B4222">
        <v>38.200000000000003</v>
      </c>
      <c r="C4222" t="s">
        <v>5736</v>
      </c>
      <c r="D4222">
        <v>2</v>
      </c>
      <c r="E4222">
        <v>-0.13300000000000001</v>
      </c>
      <c r="F4222">
        <v>4223.7</v>
      </c>
      <c r="G4222">
        <v>2022</v>
      </c>
      <c r="H4222" t="s">
        <v>928</v>
      </c>
      <c r="I4222" t="s">
        <v>6854</v>
      </c>
      <c r="J4222" t="s">
        <v>197</v>
      </c>
      <c r="L4222" t="s">
        <v>197</v>
      </c>
    </row>
    <row r="4223" spans="1:12" x14ac:dyDescent="0.4">
      <c r="A4223" t="s">
        <v>7050</v>
      </c>
      <c r="B4223">
        <v>38.799999999999997</v>
      </c>
      <c r="C4223" t="s">
        <v>5693</v>
      </c>
      <c r="D4223">
        <v>2</v>
      </c>
      <c r="E4223">
        <v>-0.107</v>
      </c>
      <c r="F4223">
        <v>4265.7</v>
      </c>
      <c r="G4223">
        <v>2022</v>
      </c>
      <c r="H4223" t="s">
        <v>928</v>
      </c>
      <c r="I4223" t="s">
        <v>6854</v>
      </c>
      <c r="J4223" t="s">
        <v>197</v>
      </c>
      <c r="L4223" t="s">
        <v>197</v>
      </c>
    </row>
    <row r="4224" spans="1:12" x14ac:dyDescent="0.4">
      <c r="A4224" t="s">
        <v>7051</v>
      </c>
      <c r="B4224">
        <v>50.4</v>
      </c>
      <c r="C4224" t="s">
        <v>6043</v>
      </c>
      <c r="D4224">
        <v>3</v>
      </c>
      <c r="E4224">
        <v>0.39100000000000001</v>
      </c>
      <c r="F4224">
        <v>5061.6000000000004</v>
      </c>
      <c r="G4224">
        <v>2022</v>
      </c>
      <c r="H4224" t="s">
        <v>928</v>
      </c>
      <c r="I4224" t="s">
        <v>6854</v>
      </c>
      <c r="J4224" t="s">
        <v>197</v>
      </c>
      <c r="L4224" t="s">
        <v>197</v>
      </c>
    </row>
    <row r="4225" spans="1:12" x14ac:dyDescent="0.4">
      <c r="A4225" t="s">
        <v>7052</v>
      </c>
      <c r="B4225">
        <v>12.1</v>
      </c>
      <c r="C4225" t="s">
        <v>5697</v>
      </c>
      <c r="D4225">
        <v>1</v>
      </c>
      <c r="E4225">
        <v>-1.2529999999999999</v>
      </c>
      <c r="F4225">
        <v>2432.6</v>
      </c>
      <c r="G4225">
        <v>2022</v>
      </c>
      <c r="H4225" t="s">
        <v>928</v>
      </c>
      <c r="I4225" t="s">
        <v>6854</v>
      </c>
      <c r="J4225" t="s">
        <v>197</v>
      </c>
      <c r="L4225" t="s">
        <v>197</v>
      </c>
    </row>
    <row r="4226" spans="1:12" x14ac:dyDescent="0.4">
      <c r="A4226" t="s">
        <v>7053</v>
      </c>
      <c r="B4226">
        <v>6.5</v>
      </c>
      <c r="C4226" t="s">
        <v>6036</v>
      </c>
      <c r="D4226">
        <v>1</v>
      </c>
      <c r="E4226">
        <v>-1.494</v>
      </c>
      <c r="F4226">
        <v>2050.8000000000002</v>
      </c>
      <c r="G4226">
        <v>2022</v>
      </c>
      <c r="H4226" t="s">
        <v>928</v>
      </c>
      <c r="I4226" t="s">
        <v>6854</v>
      </c>
      <c r="J4226" t="s">
        <v>197</v>
      </c>
      <c r="L4226" t="s">
        <v>197</v>
      </c>
    </row>
    <row r="4227" spans="1:12" x14ac:dyDescent="0.4">
      <c r="A4227" t="s">
        <v>7054</v>
      </c>
      <c r="B4227">
        <v>33</v>
      </c>
      <c r="C4227" t="s">
        <v>5733</v>
      </c>
      <c r="D4227">
        <v>2</v>
      </c>
      <c r="E4227">
        <v>-0.35599999999999998</v>
      </c>
      <c r="F4227">
        <v>3868.6</v>
      </c>
      <c r="G4227">
        <v>2022</v>
      </c>
      <c r="H4227" t="s">
        <v>928</v>
      </c>
      <c r="I4227" t="s">
        <v>6854</v>
      </c>
      <c r="J4227" t="s">
        <v>197</v>
      </c>
      <c r="L4227" t="s">
        <v>197</v>
      </c>
    </row>
    <row r="4228" spans="1:12" x14ac:dyDescent="0.4">
      <c r="A4228" t="s">
        <v>7055</v>
      </c>
      <c r="B4228">
        <v>31.4</v>
      </c>
      <c r="C4228" t="s">
        <v>5704</v>
      </c>
      <c r="D4228">
        <v>2</v>
      </c>
      <c r="E4228">
        <v>-0.42499999999999999</v>
      </c>
      <c r="F4228">
        <v>3757.8</v>
      </c>
      <c r="G4228">
        <v>2022</v>
      </c>
      <c r="H4228" t="s">
        <v>928</v>
      </c>
      <c r="I4228" t="s">
        <v>6854</v>
      </c>
      <c r="J4228" t="s">
        <v>197</v>
      </c>
      <c r="L4228" t="s">
        <v>197</v>
      </c>
    </row>
    <row r="4229" spans="1:12" x14ac:dyDescent="0.4">
      <c r="A4229" t="s">
        <v>7056</v>
      </c>
      <c r="B4229">
        <v>52.2</v>
      </c>
      <c r="C4229" t="s">
        <v>5696</v>
      </c>
      <c r="D4229">
        <v>3</v>
      </c>
      <c r="E4229">
        <v>0.46800000000000003</v>
      </c>
      <c r="F4229">
        <v>5184.2</v>
      </c>
      <c r="G4229">
        <v>2022</v>
      </c>
      <c r="H4229" t="s">
        <v>928</v>
      </c>
      <c r="I4229" t="s">
        <v>6854</v>
      </c>
      <c r="J4229" t="s">
        <v>197</v>
      </c>
      <c r="L4229" t="s">
        <v>197</v>
      </c>
    </row>
    <row r="4230" spans="1:12" x14ac:dyDescent="0.4">
      <c r="A4230" t="s">
        <v>7057</v>
      </c>
      <c r="B4230">
        <v>17.399999999999999</v>
      </c>
      <c r="C4230" t="s">
        <v>6038</v>
      </c>
      <c r="D4230">
        <v>1</v>
      </c>
      <c r="E4230">
        <v>-1.026</v>
      </c>
      <c r="F4230">
        <v>2796.3</v>
      </c>
      <c r="G4230">
        <v>2022</v>
      </c>
      <c r="H4230" t="s">
        <v>928</v>
      </c>
      <c r="I4230" t="s">
        <v>6854</v>
      </c>
      <c r="J4230" t="s">
        <v>197</v>
      </c>
      <c r="L4230" t="s">
        <v>197</v>
      </c>
    </row>
    <row r="4231" spans="1:12" x14ac:dyDescent="0.4">
      <c r="A4231" t="s">
        <v>7058</v>
      </c>
      <c r="B4231">
        <v>20.399999999999999</v>
      </c>
      <c r="C4231" t="s">
        <v>5698</v>
      </c>
      <c r="D4231">
        <v>2</v>
      </c>
      <c r="E4231">
        <v>-0.89700000000000002</v>
      </c>
      <c r="F4231">
        <v>3003.2</v>
      </c>
      <c r="G4231">
        <v>2022</v>
      </c>
      <c r="H4231" t="s">
        <v>928</v>
      </c>
      <c r="I4231" t="s">
        <v>6854</v>
      </c>
      <c r="J4231" t="s">
        <v>197</v>
      </c>
      <c r="L4231" t="s">
        <v>197</v>
      </c>
    </row>
    <row r="4232" spans="1:12" x14ac:dyDescent="0.4">
      <c r="A4232" t="s">
        <v>7059</v>
      </c>
      <c r="B4232">
        <v>100</v>
      </c>
      <c r="C4232" t="s">
        <v>1380</v>
      </c>
      <c r="D4232">
        <v>5</v>
      </c>
      <c r="E4232">
        <v>2.5190000000000001</v>
      </c>
      <c r="F4232">
        <v>12627</v>
      </c>
      <c r="G4232">
        <v>2022</v>
      </c>
      <c r="H4232" t="s">
        <v>928</v>
      </c>
      <c r="I4232" t="s">
        <v>6854</v>
      </c>
      <c r="J4232" t="s">
        <v>197</v>
      </c>
      <c r="L4232" t="s">
        <v>197</v>
      </c>
    </row>
    <row r="4233" spans="1:12" x14ac:dyDescent="0.4">
      <c r="A4233" t="s">
        <v>7060</v>
      </c>
      <c r="B4233">
        <v>50.4</v>
      </c>
      <c r="C4233" t="s">
        <v>6043</v>
      </c>
      <c r="D4233">
        <v>3</v>
      </c>
      <c r="E4233">
        <v>0.39100000000000001</v>
      </c>
      <c r="F4233">
        <v>5061.6000000000004</v>
      </c>
      <c r="G4233">
        <v>2022</v>
      </c>
      <c r="H4233" t="s">
        <v>928</v>
      </c>
      <c r="I4233" t="s">
        <v>6854</v>
      </c>
      <c r="J4233" t="s">
        <v>197</v>
      </c>
      <c r="L4233" t="s">
        <v>197</v>
      </c>
    </row>
    <row r="4234" spans="1:12" x14ac:dyDescent="0.4">
      <c r="A4234" t="s">
        <v>7061</v>
      </c>
      <c r="B4234">
        <v>3.7</v>
      </c>
      <c r="C4234" t="s">
        <v>6035</v>
      </c>
      <c r="D4234">
        <v>1</v>
      </c>
      <c r="E4234">
        <v>-1.6140000000000001</v>
      </c>
      <c r="F4234">
        <v>1859.6</v>
      </c>
      <c r="G4234">
        <v>2022</v>
      </c>
      <c r="H4234" t="s">
        <v>928</v>
      </c>
      <c r="I4234" t="s">
        <v>6854</v>
      </c>
      <c r="J4234" t="s">
        <v>197</v>
      </c>
      <c r="L4234" t="s">
        <v>197</v>
      </c>
    </row>
    <row r="4235" spans="1:12" x14ac:dyDescent="0.4">
      <c r="A4235" t="s">
        <v>7062</v>
      </c>
      <c r="B4235">
        <v>45.3</v>
      </c>
      <c r="C4235" t="s">
        <v>5722</v>
      </c>
      <c r="D4235">
        <v>3</v>
      </c>
      <c r="E4235">
        <v>0.17199999999999999</v>
      </c>
      <c r="F4235">
        <v>4708.6000000000004</v>
      </c>
      <c r="G4235">
        <v>2022</v>
      </c>
      <c r="H4235" t="s">
        <v>928</v>
      </c>
      <c r="I4235" t="s">
        <v>6854</v>
      </c>
      <c r="J4235" t="s">
        <v>197</v>
      </c>
      <c r="L4235" t="s">
        <v>197</v>
      </c>
    </row>
    <row r="4236" spans="1:12" x14ac:dyDescent="0.4">
      <c r="A4236" t="s">
        <v>7063</v>
      </c>
      <c r="B4236">
        <v>35</v>
      </c>
      <c r="C4236" t="s">
        <v>6590</v>
      </c>
      <c r="D4236">
        <v>2</v>
      </c>
      <c r="E4236">
        <v>-0.27</v>
      </c>
      <c r="F4236">
        <v>4002.7</v>
      </c>
      <c r="G4236">
        <v>2022</v>
      </c>
      <c r="H4236" t="s">
        <v>928</v>
      </c>
      <c r="I4236" t="s">
        <v>6854</v>
      </c>
      <c r="J4236" t="s">
        <v>197</v>
      </c>
      <c r="L4236" t="s">
        <v>197</v>
      </c>
    </row>
    <row r="4237" spans="1:12" x14ac:dyDescent="0.4">
      <c r="A4237" t="s">
        <v>7064</v>
      </c>
      <c r="B4237">
        <v>22.9</v>
      </c>
      <c r="C4237" t="s">
        <v>5709</v>
      </c>
      <c r="D4237">
        <v>2</v>
      </c>
      <c r="E4237">
        <v>-0.79</v>
      </c>
      <c r="F4237">
        <v>3176.6</v>
      </c>
      <c r="G4237">
        <v>2022</v>
      </c>
      <c r="H4237" t="s">
        <v>928</v>
      </c>
      <c r="I4237" t="s">
        <v>6854</v>
      </c>
      <c r="J4237" t="s">
        <v>197</v>
      </c>
      <c r="L4237" t="s">
        <v>197</v>
      </c>
    </row>
    <row r="4238" spans="1:12" x14ac:dyDescent="0.4">
      <c r="A4238" t="s">
        <v>7065</v>
      </c>
      <c r="B4238">
        <v>44.7</v>
      </c>
      <c r="C4238" t="s">
        <v>5729</v>
      </c>
      <c r="D4238">
        <v>3</v>
      </c>
      <c r="E4238">
        <v>0.14599999999999999</v>
      </c>
      <c r="F4238">
        <v>4670.8999999999996</v>
      </c>
      <c r="G4238">
        <v>2022</v>
      </c>
      <c r="H4238" t="s">
        <v>928</v>
      </c>
      <c r="I4238" t="s">
        <v>6854</v>
      </c>
      <c r="J4238" t="s">
        <v>197</v>
      </c>
      <c r="L4238" t="s">
        <v>197</v>
      </c>
    </row>
    <row r="4239" spans="1:12" x14ac:dyDescent="0.4">
      <c r="A4239" t="s">
        <v>7066</v>
      </c>
      <c r="B4239">
        <v>44.9</v>
      </c>
      <c r="C4239" t="s">
        <v>6589</v>
      </c>
      <c r="D4239">
        <v>3</v>
      </c>
      <c r="E4239">
        <v>0.155</v>
      </c>
      <c r="F4239">
        <v>4685.3999999999996</v>
      </c>
      <c r="G4239">
        <v>2022</v>
      </c>
      <c r="H4239" t="s">
        <v>928</v>
      </c>
      <c r="I4239" t="s">
        <v>6854</v>
      </c>
      <c r="J4239" t="s">
        <v>197</v>
      </c>
      <c r="L4239" t="s">
        <v>197</v>
      </c>
    </row>
    <row r="4240" spans="1:12" x14ac:dyDescent="0.4">
      <c r="A4240" t="s">
        <v>7067</v>
      </c>
      <c r="B4240">
        <v>46.2</v>
      </c>
      <c r="C4240" t="s">
        <v>5695</v>
      </c>
      <c r="D4240">
        <v>3</v>
      </c>
      <c r="E4240">
        <v>0.21</v>
      </c>
      <c r="F4240">
        <v>4773.6000000000004</v>
      </c>
      <c r="G4240">
        <v>2022</v>
      </c>
      <c r="H4240" t="s">
        <v>928</v>
      </c>
      <c r="I4240" t="s">
        <v>6854</v>
      </c>
      <c r="J4240" t="s">
        <v>197</v>
      </c>
      <c r="L4240" t="s">
        <v>197</v>
      </c>
    </row>
    <row r="4241" spans="1:12" x14ac:dyDescent="0.4">
      <c r="A4241" t="s">
        <v>7068</v>
      </c>
      <c r="B4241">
        <v>45.3</v>
      </c>
      <c r="C4241" t="s">
        <v>5722</v>
      </c>
      <c r="D4241">
        <v>3</v>
      </c>
      <c r="E4241">
        <v>0.17199999999999999</v>
      </c>
      <c r="F4241">
        <v>4708.6000000000004</v>
      </c>
      <c r="G4241">
        <v>2022</v>
      </c>
      <c r="H4241" t="s">
        <v>928</v>
      </c>
      <c r="I4241" t="s">
        <v>6854</v>
      </c>
      <c r="J4241" t="s">
        <v>197</v>
      </c>
      <c r="L4241" t="s">
        <v>197</v>
      </c>
    </row>
    <row r="4242" spans="1:12" x14ac:dyDescent="0.4">
      <c r="A4242" t="s">
        <v>7069</v>
      </c>
      <c r="B4242">
        <v>32.4</v>
      </c>
      <c r="C4242" t="s">
        <v>5734</v>
      </c>
      <c r="D4242">
        <v>2</v>
      </c>
      <c r="E4242">
        <v>-0.38200000000000001</v>
      </c>
      <c r="F4242">
        <v>3822.8</v>
      </c>
      <c r="G4242">
        <v>2022</v>
      </c>
      <c r="H4242" t="s">
        <v>928</v>
      </c>
      <c r="I4242" t="s">
        <v>6854</v>
      </c>
      <c r="J4242" t="s">
        <v>197</v>
      </c>
      <c r="L4242" t="s">
        <v>197</v>
      </c>
    </row>
    <row r="4243" spans="1:12" x14ac:dyDescent="0.4">
      <c r="A4243" t="s">
        <v>7070</v>
      </c>
      <c r="B4243">
        <v>13.1</v>
      </c>
      <c r="C4243" t="s">
        <v>5728</v>
      </c>
      <c r="D4243">
        <v>1</v>
      </c>
      <c r="E4243">
        <v>-1.21</v>
      </c>
      <c r="F4243">
        <v>2500.5</v>
      </c>
      <c r="G4243">
        <v>2022</v>
      </c>
      <c r="H4243" t="s">
        <v>928</v>
      </c>
      <c r="I4243" t="s">
        <v>6854</v>
      </c>
      <c r="J4243" t="s">
        <v>197</v>
      </c>
      <c r="L4243" t="s">
        <v>197</v>
      </c>
    </row>
    <row r="4244" spans="1:12" x14ac:dyDescent="0.4">
      <c r="A4244" t="s">
        <v>7071</v>
      </c>
      <c r="B4244">
        <v>72.900000000000006</v>
      </c>
      <c r="C4244" t="s">
        <v>6583</v>
      </c>
      <c r="D4244">
        <v>4</v>
      </c>
      <c r="E4244">
        <v>1.3560000000000001</v>
      </c>
      <c r="F4244">
        <v>6603.1</v>
      </c>
      <c r="G4244">
        <v>2022</v>
      </c>
      <c r="H4244" t="s">
        <v>928</v>
      </c>
      <c r="I4244" t="s">
        <v>6854</v>
      </c>
      <c r="J4244" t="s">
        <v>197</v>
      </c>
      <c r="L4244" t="s">
        <v>197</v>
      </c>
    </row>
    <row r="4245" spans="1:12" x14ac:dyDescent="0.4">
      <c r="A4245" t="s">
        <v>7072</v>
      </c>
      <c r="B4245">
        <v>10.9</v>
      </c>
      <c r="C4245" t="s">
        <v>6037</v>
      </c>
      <c r="D4245">
        <v>1</v>
      </c>
      <c r="E4245">
        <v>-1.3049999999999999</v>
      </c>
      <c r="F4245">
        <v>2353.3000000000002</v>
      </c>
      <c r="G4245">
        <v>2022</v>
      </c>
      <c r="H4245" t="s">
        <v>928</v>
      </c>
      <c r="I4245" t="s">
        <v>6854</v>
      </c>
      <c r="J4245" t="s">
        <v>197</v>
      </c>
      <c r="L4245" t="s">
        <v>197</v>
      </c>
    </row>
    <row r="4246" spans="1:12" x14ac:dyDescent="0.4">
      <c r="A4246" t="s">
        <v>7073</v>
      </c>
      <c r="B4246">
        <v>17.399999999999999</v>
      </c>
      <c r="C4246" t="s">
        <v>6038</v>
      </c>
      <c r="D4246">
        <v>1</v>
      </c>
      <c r="E4246">
        <v>-1.026</v>
      </c>
      <c r="F4246">
        <v>2796.3</v>
      </c>
      <c r="G4246">
        <v>2022</v>
      </c>
      <c r="H4246" t="s">
        <v>928</v>
      </c>
      <c r="I4246" t="s">
        <v>6854</v>
      </c>
      <c r="J4246" t="s">
        <v>197</v>
      </c>
      <c r="L4246" t="s">
        <v>197</v>
      </c>
    </row>
    <row r="4247" spans="1:12" x14ac:dyDescent="0.4">
      <c r="A4247" t="s">
        <v>7074</v>
      </c>
      <c r="B4247">
        <v>35</v>
      </c>
      <c r="C4247" t="s">
        <v>6590</v>
      </c>
      <c r="D4247">
        <v>2</v>
      </c>
      <c r="E4247">
        <v>-0.27</v>
      </c>
      <c r="F4247">
        <v>4002.7</v>
      </c>
      <c r="G4247">
        <v>2022</v>
      </c>
      <c r="H4247" t="s">
        <v>928</v>
      </c>
      <c r="I4247" t="s">
        <v>6854</v>
      </c>
      <c r="J4247" t="s">
        <v>197</v>
      </c>
      <c r="L4247" t="s">
        <v>197</v>
      </c>
    </row>
    <row r="4248" spans="1:12" x14ac:dyDescent="0.4">
      <c r="A4248" t="s">
        <v>7075</v>
      </c>
      <c r="B4248">
        <v>25.2</v>
      </c>
      <c r="C4248" t="s">
        <v>5694</v>
      </c>
      <c r="D4248">
        <v>2</v>
      </c>
      <c r="E4248">
        <v>-0.69099999999999995</v>
      </c>
      <c r="F4248">
        <v>3334.7</v>
      </c>
      <c r="G4248">
        <v>2022</v>
      </c>
      <c r="H4248" t="s">
        <v>928</v>
      </c>
      <c r="I4248" t="s">
        <v>6854</v>
      </c>
      <c r="J4248" t="s">
        <v>197</v>
      </c>
      <c r="L4248" t="s">
        <v>197</v>
      </c>
    </row>
    <row r="4249" spans="1:12" x14ac:dyDescent="0.4">
      <c r="A4249" t="s">
        <v>7076</v>
      </c>
      <c r="B4249">
        <v>44.9</v>
      </c>
      <c r="C4249" t="s">
        <v>6589</v>
      </c>
      <c r="D4249">
        <v>3</v>
      </c>
      <c r="E4249">
        <v>0.155</v>
      </c>
      <c r="F4249">
        <v>4683.3</v>
      </c>
      <c r="G4249">
        <v>2022</v>
      </c>
      <c r="H4249" t="s">
        <v>928</v>
      </c>
      <c r="I4249" t="s">
        <v>6854</v>
      </c>
      <c r="J4249" t="s">
        <v>197</v>
      </c>
      <c r="L4249" t="s">
        <v>197</v>
      </c>
    </row>
    <row r="4250" spans="1:12" x14ac:dyDescent="0.4">
      <c r="A4250" t="s">
        <v>7077</v>
      </c>
      <c r="B4250">
        <v>72.900000000000006</v>
      </c>
      <c r="C4250" t="s">
        <v>6583</v>
      </c>
      <c r="D4250">
        <v>4</v>
      </c>
      <c r="E4250">
        <v>1.3560000000000001</v>
      </c>
      <c r="F4250">
        <v>6603.1</v>
      </c>
      <c r="G4250">
        <v>2022</v>
      </c>
      <c r="H4250" t="s">
        <v>928</v>
      </c>
      <c r="I4250" t="s">
        <v>6854</v>
      </c>
      <c r="J4250" t="s">
        <v>197</v>
      </c>
      <c r="L4250" t="s">
        <v>197</v>
      </c>
    </row>
    <row r="4251" spans="1:12" x14ac:dyDescent="0.4">
      <c r="A4251" t="s">
        <v>7078</v>
      </c>
      <c r="B4251">
        <v>70.400000000000006</v>
      </c>
      <c r="C4251" t="s">
        <v>2482</v>
      </c>
      <c r="D4251">
        <v>4</v>
      </c>
      <c r="E4251">
        <v>1.2490000000000001</v>
      </c>
      <c r="F4251">
        <v>6432.4</v>
      </c>
      <c r="G4251">
        <v>2022</v>
      </c>
      <c r="H4251" t="s">
        <v>928</v>
      </c>
      <c r="I4251" t="s">
        <v>6854</v>
      </c>
      <c r="J4251" t="s">
        <v>197</v>
      </c>
      <c r="L4251" t="s">
        <v>197</v>
      </c>
    </row>
    <row r="4252" spans="1:12" x14ac:dyDescent="0.4">
      <c r="A4252" t="s">
        <v>7079</v>
      </c>
      <c r="B4252">
        <v>41.3</v>
      </c>
      <c r="C4252" t="s">
        <v>197</v>
      </c>
      <c r="D4252">
        <v>3</v>
      </c>
    </row>
    <row r="4253" spans="1:12" x14ac:dyDescent="0.4">
      <c r="A4253" t="s">
        <v>7080</v>
      </c>
      <c r="B4253">
        <v>16.600000000000001</v>
      </c>
      <c r="C4253" t="s">
        <v>197</v>
      </c>
      <c r="D4253">
        <v>1</v>
      </c>
    </row>
    <row r="4254" spans="1:12" x14ac:dyDescent="0.4">
      <c r="A4254" t="s">
        <v>7081</v>
      </c>
      <c r="B4254">
        <v>33.1</v>
      </c>
      <c r="C4254" t="s">
        <v>197</v>
      </c>
      <c r="D4254">
        <v>2</v>
      </c>
    </row>
    <row r="4255" spans="1:12" x14ac:dyDescent="0.4">
      <c r="A4255" t="s">
        <v>7082</v>
      </c>
      <c r="B4255">
        <v>36</v>
      </c>
      <c r="C4255" t="s">
        <v>197</v>
      </c>
      <c r="D4255">
        <v>2</v>
      </c>
    </row>
    <row r="4256" spans="1:12" x14ac:dyDescent="0.4">
      <c r="A4256" t="s">
        <v>7083</v>
      </c>
      <c r="B4256">
        <v>54</v>
      </c>
      <c r="C4256" t="s">
        <v>197</v>
      </c>
      <c r="D4256">
        <v>3</v>
      </c>
    </row>
    <row r="4257" spans="1:12" x14ac:dyDescent="0.4">
      <c r="A4257" t="s">
        <v>7084</v>
      </c>
      <c r="B4257">
        <v>52.1</v>
      </c>
      <c r="C4257" t="s">
        <v>197</v>
      </c>
      <c r="D4257">
        <v>3</v>
      </c>
    </row>
    <row r="4258" spans="1:12" x14ac:dyDescent="0.4">
      <c r="A4258" t="s">
        <v>7085</v>
      </c>
      <c r="B4258">
        <v>39.1</v>
      </c>
      <c r="C4258" t="s">
        <v>197</v>
      </c>
      <c r="D4258">
        <v>2</v>
      </c>
    </row>
    <row r="4259" spans="1:12" x14ac:dyDescent="0.4">
      <c r="A4259" t="s">
        <v>7480</v>
      </c>
      <c r="B4259">
        <v>42.8</v>
      </c>
      <c r="C4259" t="s">
        <v>197</v>
      </c>
      <c r="D4259">
        <v>3</v>
      </c>
    </row>
    <row r="4260" spans="1:12" x14ac:dyDescent="0.4">
      <c r="A4260" t="s">
        <v>7481</v>
      </c>
      <c r="B4260">
        <v>52.9</v>
      </c>
      <c r="C4260" t="s">
        <v>197</v>
      </c>
      <c r="D4260">
        <v>3</v>
      </c>
    </row>
    <row r="4261" spans="1:12" x14ac:dyDescent="0.4">
      <c r="A4261" t="s">
        <v>7482</v>
      </c>
      <c r="B4261">
        <v>34.799999999999997</v>
      </c>
      <c r="C4261" t="s">
        <v>197</v>
      </c>
      <c r="D4261">
        <v>2</v>
      </c>
    </row>
    <row r="4262" spans="1:12" x14ac:dyDescent="0.4">
      <c r="A4262" t="s">
        <v>6351</v>
      </c>
      <c r="B4262">
        <v>28.1</v>
      </c>
      <c r="C4262" t="s">
        <v>5697</v>
      </c>
      <c r="D4262">
        <v>2</v>
      </c>
      <c r="E4262">
        <v>-1.2350000000000001</v>
      </c>
      <c r="F4262">
        <v>68.7</v>
      </c>
      <c r="G4262">
        <v>2019</v>
      </c>
      <c r="H4262" t="s">
        <v>928</v>
      </c>
      <c r="I4262" t="s">
        <v>6596</v>
      </c>
      <c r="L4262" t="s">
        <v>197</v>
      </c>
    </row>
    <row r="4263" spans="1:12" x14ac:dyDescent="0.4">
      <c r="A4263" t="s">
        <v>6352</v>
      </c>
      <c r="B4263">
        <v>66.8</v>
      </c>
      <c r="C4263" t="s">
        <v>5703</v>
      </c>
      <c r="D4263">
        <v>4</v>
      </c>
      <c r="E4263">
        <v>0.16300000000000001</v>
      </c>
      <c r="F4263">
        <v>77.099999999999994</v>
      </c>
      <c r="G4263">
        <v>2019</v>
      </c>
      <c r="H4263" t="s">
        <v>928</v>
      </c>
      <c r="I4263" t="s">
        <v>6596</v>
      </c>
      <c r="L4263" t="s">
        <v>197</v>
      </c>
    </row>
    <row r="4264" spans="1:12" x14ac:dyDescent="0.4">
      <c r="A4264" t="s">
        <v>6353</v>
      </c>
      <c r="B4264">
        <v>73.3</v>
      </c>
      <c r="C4264" t="s">
        <v>5722</v>
      </c>
      <c r="D4264">
        <v>4</v>
      </c>
      <c r="E4264">
        <v>0.39700000000000002</v>
      </c>
      <c r="F4264">
        <v>78.5</v>
      </c>
      <c r="G4264">
        <v>2019</v>
      </c>
      <c r="H4264" t="s">
        <v>928</v>
      </c>
      <c r="I4264" t="s">
        <v>6596</v>
      </c>
      <c r="L4264" t="s">
        <v>197</v>
      </c>
    </row>
    <row r="4265" spans="1:12" x14ac:dyDescent="0.4">
      <c r="A4265" t="s">
        <v>6354</v>
      </c>
      <c r="B4265">
        <v>89.4</v>
      </c>
      <c r="C4265" t="s">
        <v>2481</v>
      </c>
      <c r="D4265">
        <v>5</v>
      </c>
      <c r="E4265">
        <v>0.97899999999999998</v>
      </c>
      <c r="F4265">
        <v>82</v>
      </c>
      <c r="G4265">
        <v>2019</v>
      </c>
      <c r="H4265" t="s">
        <v>928</v>
      </c>
      <c r="I4265" t="s">
        <v>6596</v>
      </c>
      <c r="L4265" t="s">
        <v>197</v>
      </c>
    </row>
    <row r="4266" spans="1:12" x14ac:dyDescent="0.4">
      <c r="A4266" t="s">
        <v>6355</v>
      </c>
      <c r="B4266">
        <v>69.599999999999994</v>
      </c>
      <c r="C4266" t="s">
        <v>5732</v>
      </c>
      <c r="D4266">
        <v>4</v>
      </c>
      <c r="E4266">
        <v>0.26400000000000001</v>
      </c>
      <c r="F4266">
        <v>77.7</v>
      </c>
      <c r="G4266">
        <v>2019</v>
      </c>
      <c r="H4266" t="s">
        <v>928</v>
      </c>
      <c r="I4266" t="s">
        <v>6596</v>
      </c>
      <c r="L4266" t="s">
        <v>197</v>
      </c>
    </row>
    <row r="4267" spans="1:12" x14ac:dyDescent="0.4">
      <c r="A4267" t="s">
        <v>6356</v>
      </c>
      <c r="B4267">
        <v>68.2</v>
      </c>
      <c r="C4267" t="s">
        <v>6582</v>
      </c>
      <c r="D4267">
        <v>4</v>
      </c>
      <c r="E4267">
        <v>0.21299999999999999</v>
      </c>
      <c r="F4267">
        <v>77.400000000000006</v>
      </c>
      <c r="G4267">
        <v>2019</v>
      </c>
      <c r="H4267" t="s">
        <v>928</v>
      </c>
      <c r="I4267" t="s">
        <v>6596</v>
      </c>
      <c r="L4267" t="s">
        <v>197</v>
      </c>
    </row>
    <row r="4268" spans="1:12" x14ac:dyDescent="0.4">
      <c r="A4268" t="s">
        <v>6357</v>
      </c>
      <c r="B4268">
        <v>88</v>
      </c>
      <c r="C4268" t="s">
        <v>2487</v>
      </c>
      <c r="D4268">
        <v>5</v>
      </c>
      <c r="E4268">
        <v>0.92800000000000005</v>
      </c>
      <c r="F4268">
        <v>81.7</v>
      </c>
      <c r="G4268">
        <v>2019</v>
      </c>
      <c r="H4268" t="s">
        <v>928</v>
      </c>
      <c r="I4268" t="s">
        <v>6596</v>
      </c>
      <c r="L4268" t="s">
        <v>197</v>
      </c>
    </row>
    <row r="4269" spans="1:12" x14ac:dyDescent="0.4">
      <c r="A4269" t="s">
        <v>6358</v>
      </c>
      <c r="B4269">
        <v>77</v>
      </c>
      <c r="C4269" t="s">
        <v>5692</v>
      </c>
      <c r="D4269">
        <v>4</v>
      </c>
      <c r="E4269">
        <v>0.53100000000000003</v>
      </c>
      <c r="F4269">
        <v>79.3</v>
      </c>
      <c r="G4269">
        <v>2019</v>
      </c>
      <c r="H4269" t="s">
        <v>928</v>
      </c>
      <c r="I4269" t="s">
        <v>6596</v>
      </c>
      <c r="L4269" t="s">
        <v>197</v>
      </c>
    </row>
    <row r="4270" spans="1:12" x14ac:dyDescent="0.4">
      <c r="A4270" t="s">
        <v>6359</v>
      </c>
      <c r="B4270">
        <v>63.6</v>
      </c>
      <c r="C4270" t="s">
        <v>5693</v>
      </c>
      <c r="D4270">
        <v>4</v>
      </c>
      <c r="E4270">
        <v>4.7E-2</v>
      </c>
      <c r="F4270">
        <v>76.400000000000006</v>
      </c>
      <c r="G4270">
        <v>2019</v>
      </c>
      <c r="H4270" t="s">
        <v>928</v>
      </c>
      <c r="I4270" t="s">
        <v>6596</v>
      </c>
      <c r="L4270" t="s">
        <v>197</v>
      </c>
    </row>
    <row r="4271" spans="1:12" x14ac:dyDescent="0.4">
      <c r="A4271" t="s">
        <v>6360</v>
      </c>
      <c r="B4271">
        <v>42.4</v>
      </c>
      <c r="C4271" t="s">
        <v>5702</v>
      </c>
      <c r="D4271">
        <v>3</v>
      </c>
      <c r="E4271">
        <v>-0.71899999999999997</v>
      </c>
      <c r="F4271">
        <v>71.8</v>
      </c>
      <c r="G4271">
        <v>2019</v>
      </c>
      <c r="H4271" t="s">
        <v>928</v>
      </c>
      <c r="I4271" t="s">
        <v>6596</v>
      </c>
      <c r="L4271" t="s">
        <v>197</v>
      </c>
    </row>
    <row r="4272" spans="1:12" x14ac:dyDescent="0.4">
      <c r="A4272" t="s">
        <v>6361</v>
      </c>
      <c r="B4272">
        <v>65.900000000000006</v>
      </c>
      <c r="C4272" t="s">
        <v>5706</v>
      </c>
      <c r="D4272">
        <v>4</v>
      </c>
      <c r="E4272">
        <v>0.13</v>
      </c>
      <c r="F4272">
        <v>76.900000000000006</v>
      </c>
      <c r="G4272">
        <v>2019</v>
      </c>
      <c r="H4272" t="s">
        <v>928</v>
      </c>
      <c r="I4272" t="s">
        <v>6596</v>
      </c>
      <c r="L4272" t="s">
        <v>197</v>
      </c>
    </row>
    <row r="4273" spans="1:12" x14ac:dyDescent="0.4">
      <c r="A4273" t="s">
        <v>6362</v>
      </c>
      <c r="B4273">
        <v>37.799999999999997</v>
      </c>
      <c r="C4273" t="s">
        <v>5741</v>
      </c>
      <c r="D4273">
        <v>2</v>
      </c>
      <c r="E4273">
        <v>-0.88500000000000001</v>
      </c>
      <c r="F4273">
        <v>70.8</v>
      </c>
      <c r="G4273">
        <v>2019</v>
      </c>
      <c r="H4273" t="s">
        <v>928</v>
      </c>
      <c r="I4273" t="s">
        <v>6596</v>
      </c>
      <c r="L4273" t="s">
        <v>197</v>
      </c>
    </row>
    <row r="4274" spans="1:12" x14ac:dyDescent="0.4">
      <c r="A4274" t="s">
        <v>6363</v>
      </c>
      <c r="B4274">
        <v>53.9</v>
      </c>
      <c r="C4274" t="s">
        <v>6044</v>
      </c>
      <c r="D4274">
        <v>3</v>
      </c>
      <c r="E4274">
        <v>-0.30299999999999999</v>
      </c>
      <c r="F4274">
        <v>74.3</v>
      </c>
      <c r="G4274">
        <v>2019</v>
      </c>
      <c r="H4274" t="s">
        <v>928</v>
      </c>
      <c r="I4274" t="s">
        <v>6596</v>
      </c>
      <c r="L4274" t="s">
        <v>197</v>
      </c>
    </row>
    <row r="4275" spans="1:12" x14ac:dyDescent="0.4">
      <c r="A4275" t="s">
        <v>6364</v>
      </c>
      <c r="B4275">
        <v>62.2</v>
      </c>
      <c r="C4275" t="s">
        <v>5736</v>
      </c>
      <c r="D4275">
        <v>4</v>
      </c>
      <c r="E4275">
        <v>-4.0000000000000001E-3</v>
      </c>
      <c r="F4275">
        <v>76.099999999999994</v>
      </c>
      <c r="G4275">
        <v>2019</v>
      </c>
      <c r="H4275" t="s">
        <v>928</v>
      </c>
      <c r="I4275" t="s">
        <v>6596</v>
      </c>
      <c r="L4275" t="s">
        <v>197</v>
      </c>
    </row>
    <row r="4276" spans="1:12" x14ac:dyDescent="0.4">
      <c r="A4276" t="s">
        <v>6365</v>
      </c>
      <c r="B4276">
        <v>87.6</v>
      </c>
      <c r="C4276" t="s">
        <v>5701</v>
      </c>
      <c r="D4276">
        <v>5</v>
      </c>
      <c r="E4276">
        <v>0.91400000000000003</v>
      </c>
      <c r="F4276">
        <v>81.599999999999994</v>
      </c>
      <c r="G4276">
        <v>2019</v>
      </c>
      <c r="H4276" t="s">
        <v>928</v>
      </c>
      <c r="I4276" t="s">
        <v>6596</v>
      </c>
      <c r="L4276" t="s">
        <v>197</v>
      </c>
    </row>
    <row r="4277" spans="1:12" x14ac:dyDescent="0.4">
      <c r="A4277" t="s">
        <v>6366</v>
      </c>
      <c r="B4277">
        <v>51.2</v>
      </c>
      <c r="C4277" t="s">
        <v>5699</v>
      </c>
      <c r="D4277">
        <v>3</v>
      </c>
      <c r="E4277">
        <v>-0.40100000000000002</v>
      </c>
      <c r="F4277">
        <v>73.7</v>
      </c>
      <c r="G4277">
        <v>2019</v>
      </c>
      <c r="H4277" t="s">
        <v>928</v>
      </c>
      <c r="I4277" t="s">
        <v>6596</v>
      </c>
      <c r="L4277" t="s">
        <v>197</v>
      </c>
    </row>
    <row r="4278" spans="1:12" x14ac:dyDescent="0.4">
      <c r="A4278" t="s">
        <v>6367</v>
      </c>
      <c r="B4278">
        <v>0</v>
      </c>
      <c r="C4278" t="s">
        <v>6040</v>
      </c>
      <c r="D4278">
        <v>1</v>
      </c>
      <c r="E4278">
        <v>-2.25</v>
      </c>
      <c r="F4278" t="s">
        <v>197</v>
      </c>
      <c r="G4278" t="s">
        <v>197</v>
      </c>
      <c r="H4278" t="s">
        <v>928</v>
      </c>
      <c r="I4278" t="s">
        <v>197</v>
      </c>
      <c r="L4278" t="s">
        <v>197</v>
      </c>
    </row>
    <row r="4279" spans="1:12" x14ac:dyDescent="0.4">
      <c r="A4279" t="s">
        <v>6368</v>
      </c>
      <c r="B4279">
        <v>73.7</v>
      </c>
      <c r="C4279" t="s">
        <v>5695</v>
      </c>
      <c r="D4279">
        <v>4</v>
      </c>
      <c r="E4279">
        <v>0.41199999999999998</v>
      </c>
      <c r="F4279">
        <v>78.599999999999994</v>
      </c>
      <c r="G4279">
        <v>2019</v>
      </c>
      <c r="H4279" t="s">
        <v>928</v>
      </c>
      <c r="I4279" t="s">
        <v>6596</v>
      </c>
      <c r="L4279" t="s">
        <v>197</v>
      </c>
    </row>
    <row r="4280" spans="1:12" x14ac:dyDescent="0.4">
      <c r="A4280" t="s">
        <v>6369</v>
      </c>
      <c r="B4280">
        <v>40.1</v>
      </c>
      <c r="C4280" t="s">
        <v>5694</v>
      </c>
      <c r="D4280">
        <v>3</v>
      </c>
      <c r="E4280">
        <v>-0.80200000000000005</v>
      </c>
      <c r="F4280">
        <v>71.3</v>
      </c>
      <c r="G4280">
        <v>2019</v>
      </c>
      <c r="H4280" t="s">
        <v>928</v>
      </c>
      <c r="I4280" t="s">
        <v>6596</v>
      </c>
      <c r="L4280" t="s">
        <v>197</v>
      </c>
    </row>
    <row r="4281" spans="1:12" x14ac:dyDescent="0.4">
      <c r="A4281" t="s">
        <v>6370</v>
      </c>
      <c r="B4281">
        <v>12.4</v>
      </c>
      <c r="C4281" t="s">
        <v>6036</v>
      </c>
      <c r="D4281">
        <v>1</v>
      </c>
      <c r="E4281">
        <v>-1.802</v>
      </c>
      <c r="F4281">
        <v>65.3</v>
      </c>
      <c r="G4281">
        <v>2019</v>
      </c>
      <c r="H4281" t="s">
        <v>928</v>
      </c>
      <c r="I4281" t="s">
        <v>6596</v>
      </c>
      <c r="L4281" t="s">
        <v>197</v>
      </c>
    </row>
    <row r="4282" spans="1:12" x14ac:dyDescent="0.4">
      <c r="A4282" t="s">
        <v>6371</v>
      </c>
      <c r="B4282">
        <v>13.8</v>
      </c>
      <c r="C4282" t="s">
        <v>6037</v>
      </c>
      <c r="D4282">
        <v>1</v>
      </c>
      <c r="E4282">
        <v>-1.752</v>
      </c>
      <c r="F4282">
        <v>65.599999999999994</v>
      </c>
      <c r="G4282">
        <v>2019</v>
      </c>
      <c r="H4282" t="s">
        <v>928</v>
      </c>
      <c r="I4282" t="s">
        <v>6596</v>
      </c>
      <c r="L4282" t="s">
        <v>197</v>
      </c>
    </row>
    <row r="4283" spans="1:12" x14ac:dyDescent="0.4">
      <c r="A4283" t="s">
        <v>6372</v>
      </c>
      <c r="B4283">
        <v>38.200000000000003</v>
      </c>
      <c r="C4283" t="s">
        <v>5709</v>
      </c>
      <c r="D4283">
        <v>2</v>
      </c>
      <c r="E4283">
        <v>-0.871</v>
      </c>
      <c r="F4283">
        <v>70.900000000000006</v>
      </c>
      <c r="G4283">
        <v>2019</v>
      </c>
      <c r="H4283" t="s">
        <v>928</v>
      </c>
      <c r="I4283" t="s">
        <v>6596</v>
      </c>
      <c r="L4283" t="s">
        <v>197</v>
      </c>
    </row>
    <row r="4284" spans="1:12" x14ac:dyDescent="0.4">
      <c r="A4284" t="s">
        <v>6373</v>
      </c>
      <c r="B4284">
        <v>37.799999999999997</v>
      </c>
      <c r="C4284" t="s">
        <v>5741</v>
      </c>
      <c r="D4284">
        <v>2</v>
      </c>
      <c r="E4284">
        <v>-0.88500000000000001</v>
      </c>
      <c r="F4284">
        <v>70.8</v>
      </c>
      <c r="G4284">
        <v>2019</v>
      </c>
      <c r="H4284" t="s">
        <v>928</v>
      </c>
      <c r="I4284" t="s">
        <v>6596</v>
      </c>
      <c r="L4284" t="s">
        <v>197</v>
      </c>
    </row>
    <row r="4285" spans="1:12" x14ac:dyDescent="0.4">
      <c r="A4285" t="s">
        <v>6374</v>
      </c>
      <c r="B4285">
        <v>84.8</v>
      </c>
      <c r="C4285" t="s">
        <v>5705</v>
      </c>
      <c r="D4285">
        <v>5</v>
      </c>
      <c r="E4285">
        <v>0.81299999999999994</v>
      </c>
      <c r="F4285">
        <v>81</v>
      </c>
      <c r="G4285">
        <v>2019</v>
      </c>
      <c r="H4285" t="s">
        <v>928</v>
      </c>
      <c r="I4285" t="s">
        <v>6596</v>
      </c>
      <c r="L4285" t="s">
        <v>197</v>
      </c>
    </row>
    <row r="4286" spans="1:12" x14ac:dyDescent="0.4">
      <c r="A4286" t="s">
        <v>6375</v>
      </c>
      <c r="B4286">
        <v>0</v>
      </c>
      <c r="C4286" t="s">
        <v>6040</v>
      </c>
      <c r="D4286">
        <v>1</v>
      </c>
      <c r="E4286">
        <v>-2.25</v>
      </c>
      <c r="F4286">
        <v>62.6</v>
      </c>
      <c r="G4286">
        <v>2019</v>
      </c>
      <c r="H4286" t="s">
        <v>928</v>
      </c>
      <c r="I4286" t="s">
        <v>6596</v>
      </c>
      <c r="L4286" t="s">
        <v>197</v>
      </c>
    </row>
    <row r="4287" spans="1:12" x14ac:dyDescent="0.4">
      <c r="A4287" t="s">
        <v>6376</v>
      </c>
      <c r="B4287">
        <v>86.6</v>
      </c>
      <c r="C4287" t="s">
        <v>5707</v>
      </c>
      <c r="D4287">
        <v>5</v>
      </c>
      <c r="E4287">
        <v>0.878</v>
      </c>
      <c r="F4287">
        <v>81.400000000000006</v>
      </c>
      <c r="G4287">
        <v>2019</v>
      </c>
      <c r="H4287" t="s">
        <v>928</v>
      </c>
      <c r="I4287" t="s">
        <v>6596</v>
      </c>
      <c r="L4287" t="s">
        <v>197</v>
      </c>
    </row>
    <row r="4288" spans="1:12" x14ac:dyDescent="0.4">
      <c r="A4288" t="s">
        <v>6377</v>
      </c>
      <c r="B4288">
        <v>94.9</v>
      </c>
      <c r="C4288" t="s">
        <v>6039</v>
      </c>
      <c r="D4288">
        <v>5</v>
      </c>
      <c r="E4288">
        <v>1.1779999999999999</v>
      </c>
      <c r="F4288">
        <v>83.2</v>
      </c>
      <c r="G4288">
        <v>2019</v>
      </c>
      <c r="H4288" t="s">
        <v>928</v>
      </c>
      <c r="I4288" t="s">
        <v>6596</v>
      </c>
      <c r="L4288" t="s">
        <v>197</v>
      </c>
    </row>
    <row r="4289" spans="1:12" x14ac:dyDescent="0.4">
      <c r="A4289" t="s">
        <v>6378</v>
      </c>
      <c r="B4289">
        <v>35.9</v>
      </c>
      <c r="C4289" t="s">
        <v>5712</v>
      </c>
      <c r="D4289">
        <v>2</v>
      </c>
      <c r="E4289">
        <v>-0.95399999999999996</v>
      </c>
      <c r="F4289">
        <v>70.400000000000006</v>
      </c>
      <c r="G4289">
        <v>2019</v>
      </c>
      <c r="H4289" t="s">
        <v>928</v>
      </c>
      <c r="I4289" t="s">
        <v>6596</v>
      </c>
      <c r="L4289" t="s">
        <v>197</v>
      </c>
    </row>
    <row r="4290" spans="1:12" x14ac:dyDescent="0.4">
      <c r="A4290" t="s">
        <v>6379</v>
      </c>
      <c r="B4290">
        <v>94</v>
      </c>
      <c r="C4290" t="s">
        <v>6593</v>
      </c>
      <c r="D4290">
        <v>5</v>
      </c>
      <c r="E4290">
        <v>1.145</v>
      </c>
      <c r="F4290">
        <v>83</v>
      </c>
      <c r="G4290">
        <v>2019</v>
      </c>
      <c r="H4290" t="s">
        <v>928</v>
      </c>
      <c r="I4290" t="s">
        <v>6596</v>
      </c>
      <c r="L4290" t="s">
        <v>197</v>
      </c>
    </row>
    <row r="4291" spans="1:12" x14ac:dyDescent="0.4">
      <c r="A4291" t="s">
        <v>6380</v>
      </c>
      <c r="B4291">
        <v>61.8</v>
      </c>
      <c r="C4291" t="s">
        <v>5735</v>
      </c>
      <c r="D4291">
        <v>4</v>
      </c>
      <c r="E4291">
        <v>-1.7999999999999999E-2</v>
      </c>
      <c r="F4291">
        <v>76</v>
      </c>
      <c r="G4291">
        <v>2019</v>
      </c>
      <c r="H4291" t="s">
        <v>928</v>
      </c>
      <c r="I4291" t="s">
        <v>6596</v>
      </c>
      <c r="L4291" t="s">
        <v>197</v>
      </c>
    </row>
    <row r="4292" spans="1:12" x14ac:dyDescent="0.4">
      <c r="A4292" t="s">
        <v>6381</v>
      </c>
      <c r="B4292">
        <v>48.8</v>
      </c>
      <c r="C4292" t="s">
        <v>5704</v>
      </c>
      <c r="D4292">
        <v>3</v>
      </c>
      <c r="E4292">
        <v>-0.48799999999999999</v>
      </c>
      <c r="F4292">
        <v>73.2</v>
      </c>
      <c r="G4292">
        <v>2019</v>
      </c>
      <c r="H4292" t="s">
        <v>928</v>
      </c>
      <c r="I4292" t="s">
        <v>6596</v>
      </c>
      <c r="L4292" t="s">
        <v>197</v>
      </c>
    </row>
    <row r="4293" spans="1:12" x14ac:dyDescent="0.4">
      <c r="A4293" t="s">
        <v>6382</v>
      </c>
      <c r="B4293">
        <v>37.799999999999997</v>
      </c>
      <c r="C4293" t="s">
        <v>5741</v>
      </c>
      <c r="D4293">
        <v>2</v>
      </c>
      <c r="E4293">
        <v>-0.88500000000000001</v>
      </c>
      <c r="F4293">
        <v>70.8</v>
      </c>
      <c r="G4293">
        <v>2019</v>
      </c>
      <c r="H4293" t="s">
        <v>928</v>
      </c>
      <c r="I4293" t="s">
        <v>6596</v>
      </c>
      <c r="L4293" t="s">
        <v>197</v>
      </c>
    </row>
    <row r="4294" spans="1:12" x14ac:dyDescent="0.4">
      <c r="A4294" t="s">
        <v>6383</v>
      </c>
      <c r="B4294">
        <v>16.100000000000001</v>
      </c>
      <c r="C4294" t="s">
        <v>5710</v>
      </c>
      <c r="D4294">
        <v>1</v>
      </c>
      <c r="E4294">
        <v>-1.669</v>
      </c>
      <c r="F4294">
        <v>66.099999999999994</v>
      </c>
      <c r="G4294">
        <v>2019</v>
      </c>
      <c r="H4294" t="s">
        <v>928</v>
      </c>
      <c r="I4294" t="s">
        <v>6596</v>
      </c>
      <c r="L4294" t="s">
        <v>197</v>
      </c>
    </row>
    <row r="4295" spans="1:12" x14ac:dyDescent="0.4">
      <c r="A4295" t="s">
        <v>6384</v>
      </c>
      <c r="B4295">
        <v>73.3</v>
      </c>
      <c r="C4295" t="s">
        <v>5722</v>
      </c>
      <c r="D4295">
        <v>4</v>
      </c>
      <c r="E4295">
        <v>0.39700000000000002</v>
      </c>
      <c r="F4295">
        <v>78.5</v>
      </c>
      <c r="G4295">
        <v>2019</v>
      </c>
      <c r="H4295" t="s">
        <v>928</v>
      </c>
      <c r="I4295" t="s">
        <v>6596</v>
      </c>
      <c r="L4295" t="s">
        <v>197</v>
      </c>
    </row>
    <row r="4296" spans="1:12" x14ac:dyDescent="0.4">
      <c r="A4296" t="s">
        <v>6385</v>
      </c>
      <c r="B4296">
        <v>100</v>
      </c>
      <c r="C4296" t="s">
        <v>1380</v>
      </c>
      <c r="D4296">
        <v>5</v>
      </c>
      <c r="E4296">
        <v>1.3620000000000001</v>
      </c>
      <c r="F4296">
        <v>84.3</v>
      </c>
      <c r="G4296">
        <v>2019</v>
      </c>
      <c r="H4296" t="s">
        <v>928</v>
      </c>
      <c r="I4296" t="s">
        <v>6596</v>
      </c>
      <c r="L4296" t="s">
        <v>197</v>
      </c>
    </row>
    <row r="4297" spans="1:12" x14ac:dyDescent="0.4">
      <c r="A4297" t="s">
        <v>6386</v>
      </c>
      <c r="B4297">
        <v>91.7</v>
      </c>
      <c r="C4297" t="s">
        <v>2484</v>
      </c>
      <c r="D4297">
        <v>5</v>
      </c>
      <c r="E4297">
        <v>1.0620000000000001</v>
      </c>
      <c r="F4297">
        <v>82.5</v>
      </c>
      <c r="G4297">
        <v>2019</v>
      </c>
      <c r="H4297" t="s">
        <v>928</v>
      </c>
      <c r="I4297" t="s">
        <v>6596</v>
      </c>
      <c r="L4297" t="s">
        <v>197</v>
      </c>
    </row>
    <row r="4298" spans="1:12" x14ac:dyDescent="0.4">
      <c r="A4298" t="s">
        <v>6387</v>
      </c>
      <c r="B4298">
        <v>34.6</v>
      </c>
      <c r="C4298" t="s">
        <v>5711</v>
      </c>
      <c r="D4298">
        <v>2</v>
      </c>
      <c r="E4298">
        <v>-1.0009999999999999</v>
      </c>
      <c r="F4298">
        <v>70.099999999999994</v>
      </c>
      <c r="G4298">
        <v>2019</v>
      </c>
      <c r="H4298" t="s">
        <v>928</v>
      </c>
      <c r="I4298" t="s">
        <v>6596</v>
      </c>
      <c r="L4298" t="s">
        <v>197</v>
      </c>
    </row>
    <row r="4299" spans="1:12" x14ac:dyDescent="0.4">
      <c r="A4299" t="s">
        <v>6388</v>
      </c>
      <c r="B4299">
        <v>53.9</v>
      </c>
      <c r="C4299" t="s">
        <v>6044</v>
      </c>
      <c r="D4299">
        <v>3</v>
      </c>
      <c r="E4299">
        <v>-0.30299999999999999</v>
      </c>
      <c r="F4299">
        <v>74.3</v>
      </c>
      <c r="G4299">
        <v>2019</v>
      </c>
      <c r="H4299" t="s">
        <v>928</v>
      </c>
      <c r="I4299" t="s">
        <v>6596</v>
      </c>
      <c r="L4299" t="s">
        <v>197</v>
      </c>
    </row>
    <row r="4300" spans="1:12" x14ac:dyDescent="0.4">
      <c r="A4300" t="s">
        <v>6389</v>
      </c>
      <c r="B4300">
        <v>94</v>
      </c>
      <c r="C4300" t="s">
        <v>6593</v>
      </c>
      <c r="D4300">
        <v>5</v>
      </c>
      <c r="E4300">
        <v>1.145</v>
      </c>
      <c r="F4300">
        <v>83</v>
      </c>
      <c r="G4300">
        <v>2019</v>
      </c>
      <c r="H4300" t="s">
        <v>928</v>
      </c>
      <c r="I4300" t="s">
        <v>6596</v>
      </c>
      <c r="L4300" t="s">
        <v>197</v>
      </c>
    </row>
    <row r="4301" spans="1:12" x14ac:dyDescent="0.4">
      <c r="A4301" t="s">
        <v>6390</v>
      </c>
      <c r="B4301">
        <v>73.3</v>
      </c>
      <c r="C4301" t="s">
        <v>5722</v>
      </c>
      <c r="D4301">
        <v>4</v>
      </c>
      <c r="E4301">
        <v>0.39700000000000002</v>
      </c>
      <c r="F4301">
        <v>78.5</v>
      </c>
      <c r="G4301">
        <v>2019</v>
      </c>
      <c r="H4301" t="s">
        <v>928</v>
      </c>
      <c r="I4301" t="s">
        <v>6596</v>
      </c>
      <c r="L4301" t="s">
        <v>197</v>
      </c>
    </row>
    <row r="4302" spans="1:12" x14ac:dyDescent="0.4">
      <c r="A4302" t="s">
        <v>6391</v>
      </c>
      <c r="B4302">
        <v>61.3</v>
      </c>
      <c r="C4302" t="s">
        <v>5727</v>
      </c>
      <c r="D4302">
        <v>4</v>
      </c>
      <c r="E4302">
        <v>-3.5999999999999997E-2</v>
      </c>
      <c r="F4302">
        <v>75.900000000000006</v>
      </c>
      <c r="G4302">
        <v>2019</v>
      </c>
      <c r="H4302" t="s">
        <v>928</v>
      </c>
      <c r="I4302" t="s">
        <v>6596</v>
      </c>
      <c r="L4302" t="s">
        <v>197</v>
      </c>
    </row>
    <row r="4303" spans="1:12" x14ac:dyDescent="0.4">
      <c r="A4303" t="s">
        <v>6392</v>
      </c>
      <c r="B4303">
        <v>95.4</v>
      </c>
      <c r="C4303" t="s">
        <v>2477</v>
      </c>
      <c r="D4303">
        <v>5</v>
      </c>
      <c r="E4303">
        <v>1.196</v>
      </c>
      <c r="F4303">
        <v>83.3</v>
      </c>
      <c r="G4303">
        <v>2019</v>
      </c>
      <c r="H4303" t="s">
        <v>928</v>
      </c>
      <c r="I4303" t="s">
        <v>6596</v>
      </c>
      <c r="L4303" t="s">
        <v>197</v>
      </c>
    </row>
    <row r="4304" spans="1:12" x14ac:dyDescent="0.4">
      <c r="A4304" t="s">
        <v>6393</v>
      </c>
      <c r="B4304">
        <v>68.2</v>
      </c>
      <c r="C4304" t="s">
        <v>6582</v>
      </c>
      <c r="D4304">
        <v>4</v>
      </c>
      <c r="E4304">
        <v>0.21299999999999999</v>
      </c>
      <c r="F4304">
        <v>77.400000000000006</v>
      </c>
      <c r="G4304">
        <v>2019</v>
      </c>
      <c r="H4304" t="s">
        <v>928</v>
      </c>
      <c r="I4304" t="s">
        <v>6596</v>
      </c>
      <c r="L4304" t="s">
        <v>197</v>
      </c>
    </row>
    <row r="4305" spans="1:12" x14ac:dyDescent="0.4">
      <c r="A4305" t="s">
        <v>6394</v>
      </c>
      <c r="B4305">
        <v>94.9</v>
      </c>
      <c r="C4305" t="s">
        <v>6039</v>
      </c>
      <c r="D4305">
        <v>5</v>
      </c>
      <c r="E4305">
        <v>1.1779999999999999</v>
      </c>
      <c r="F4305">
        <v>83.2</v>
      </c>
      <c r="G4305">
        <v>2019</v>
      </c>
      <c r="H4305" t="s">
        <v>928</v>
      </c>
      <c r="I4305" t="s">
        <v>6596</v>
      </c>
      <c r="L4305" t="s">
        <v>197</v>
      </c>
    </row>
    <row r="4306" spans="1:12" x14ac:dyDescent="0.4">
      <c r="A4306" t="s">
        <v>6395</v>
      </c>
      <c r="B4306">
        <v>94</v>
      </c>
      <c r="C4306" t="s">
        <v>6593</v>
      </c>
      <c r="D4306">
        <v>5</v>
      </c>
      <c r="E4306">
        <v>1.145</v>
      </c>
      <c r="F4306">
        <v>83</v>
      </c>
      <c r="G4306">
        <v>2019</v>
      </c>
      <c r="H4306" t="s">
        <v>928</v>
      </c>
      <c r="I4306" t="s">
        <v>6596</v>
      </c>
      <c r="L4306" t="s">
        <v>197</v>
      </c>
    </row>
    <row r="4307" spans="1:12" x14ac:dyDescent="0.4">
      <c r="A4307" t="s">
        <v>6396</v>
      </c>
      <c r="B4307">
        <v>100</v>
      </c>
      <c r="C4307" t="s">
        <v>1380</v>
      </c>
      <c r="D4307">
        <v>5</v>
      </c>
      <c r="E4307">
        <v>1.3620000000000001</v>
      </c>
      <c r="F4307">
        <v>84.3</v>
      </c>
      <c r="G4307">
        <v>2019</v>
      </c>
      <c r="H4307" t="s">
        <v>928</v>
      </c>
      <c r="I4307" t="s">
        <v>6596</v>
      </c>
      <c r="L4307" t="s">
        <v>197</v>
      </c>
    </row>
    <row r="4308" spans="1:12" x14ac:dyDescent="0.4">
      <c r="A4308" t="s">
        <v>6397</v>
      </c>
      <c r="B4308">
        <v>90.3</v>
      </c>
      <c r="C4308" t="s">
        <v>2474</v>
      </c>
      <c r="D4308">
        <v>5</v>
      </c>
      <c r="E4308">
        <v>1.0109999999999999</v>
      </c>
      <c r="F4308">
        <v>82.2</v>
      </c>
      <c r="G4308">
        <v>2019</v>
      </c>
      <c r="H4308" t="s">
        <v>928</v>
      </c>
      <c r="I4308" t="s">
        <v>6596</v>
      </c>
      <c r="L4308" t="s">
        <v>197</v>
      </c>
    </row>
    <row r="4309" spans="1:12" x14ac:dyDescent="0.4">
      <c r="A4309" t="s">
        <v>6398</v>
      </c>
      <c r="B4309">
        <v>88</v>
      </c>
      <c r="C4309" t="s">
        <v>2487</v>
      </c>
      <c r="D4309">
        <v>5</v>
      </c>
      <c r="E4309">
        <v>0.92800000000000005</v>
      </c>
      <c r="F4309">
        <v>81.7</v>
      </c>
      <c r="G4309">
        <v>2019</v>
      </c>
      <c r="H4309" t="s">
        <v>928</v>
      </c>
      <c r="I4309" t="s">
        <v>6596</v>
      </c>
      <c r="L4309" t="s">
        <v>197</v>
      </c>
    </row>
    <row r="4310" spans="1:12" x14ac:dyDescent="0.4">
      <c r="A4310" t="s">
        <v>6399</v>
      </c>
      <c r="B4310">
        <v>68.2</v>
      </c>
      <c r="C4310" t="s">
        <v>6582</v>
      </c>
      <c r="D4310">
        <v>4</v>
      </c>
      <c r="E4310">
        <v>0.21299999999999999</v>
      </c>
      <c r="F4310">
        <v>77.400000000000006</v>
      </c>
      <c r="G4310">
        <v>2019</v>
      </c>
      <c r="H4310" t="s">
        <v>928</v>
      </c>
      <c r="I4310" t="s">
        <v>6596</v>
      </c>
      <c r="L4310" t="s">
        <v>197</v>
      </c>
    </row>
    <row r="4311" spans="1:12" x14ac:dyDescent="0.4">
      <c r="A4311" t="s">
        <v>6400</v>
      </c>
      <c r="B4311">
        <v>30</v>
      </c>
      <c r="C4311" t="s">
        <v>5728</v>
      </c>
      <c r="D4311">
        <v>2</v>
      </c>
      <c r="E4311">
        <v>-1.167</v>
      </c>
      <c r="F4311">
        <v>69.099999999999994</v>
      </c>
      <c r="G4311">
        <v>2019</v>
      </c>
      <c r="H4311" t="s">
        <v>928</v>
      </c>
      <c r="I4311" t="s">
        <v>6596</v>
      </c>
      <c r="L4311" t="s">
        <v>197</v>
      </c>
    </row>
    <row r="4312" spans="1:12" x14ac:dyDescent="0.4">
      <c r="A4312" t="s">
        <v>6401</v>
      </c>
      <c r="B4312">
        <v>62.3</v>
      </c>
      <c r="C4312" t="s">
        <v>197</v>
      </c>
      <c r="D4312">
        <v>4</v>
      </c>
    </row>
    <row r="4313" spans="1:12" x14ac:dyDescent="0.4">
      <c r="A4313" t="s">
        <v>6402</v>
      </c>
      <c r="B4313">
        <v>24.7</v>
      </c>
      <c r="C4313" t="s">
        <v>197</v>
      </c>
      <c r="D4313">
        <v>2</v>
      </c>
    </row>
    <row r="4314" spans="1:12" x14ac:dyDescent="0.4">
      <c r="A4314" t="s">
        <v>6403</v>
      </c>
      <c r="B4314">
        <v>72.900000000000006</v>
      </c>
      <c r="C4314" t="s">
        <v>197</v>
      </c>
      <c r="D4314">
        <v>4</v>
      </c>
    </row>
    <row r="4315" spans="1:12" x14ac:dyDescent="0.4">
      <c r="A4315" t="s">
        <v>6404</v>
      </c>
      <c r="B4315">
        <v>60.8</v>
      </c>
      <c r="C4315" t="s">
        <v>197</v>
      </c>
      <c r="D4315">
        <v>4</v>
      </c>
    </row>
    <row r="4316" spans="1:12" x14ac:dyDescent="0.4">
      <c r="A4316" t="s">
        <v>6405</v>
      </c>
      <c r="B4316">
        <v>81.7</v>
      </c>
      <c r="C4316" t="s">
        <v>197</v>
      </c>
      <c r="D4316">
        <v>5</v>
      </c>
    </row>
    <row r="4317" spans="1:12" x14ac:dyDescent="0.4">
      <c r="A4317" t="s">
        <v>6406</v>
      </c>
      <c r="B4317">
        <v>42.5</v>
      </c>
      <c r="C4317" t="s">
        <v>197</v>
      </c>
      <c r="D4317">
        <v>3</v>
      </c>
    </row>
    <row r="4318" spans="1:12" x14ac:dyDescent="0.4">
      <c r="A4318" t="s">
        <v>6407</v>
      </c>
      <c r="B4318">
        <v>71</v>
      </c>
      <c r="C4318" t="s">
        <v>197</v>
      </c>
      <c r="D4318">
        <v>4</v>
      </c>
    </row>
    <row r="4319" spans="1:12" x14ac:dyDescent="0.4">
      <c r="A4319" t="s">
        <v>7465</v>
      </c>
      <c r="B4319">
        <v>36.9</v>
      </c>
      <c r="C4319" t="s">
        <v>197</v>
      </c>
      <c r="D4319">
        <v>2</v>
      </c>
    </row>
    <row r="4320" spans="1:12" x14ac:dyDescent="0.4">
      <c r="A4320" t="s">
        <v>7466</v>
      </c>
      <c r="B4320">
        <v>59</v>
      </c>
      <c r="C4320" t="s">
        <v>197</v>
      </c>
      <c r="D4320">
        <v>3</v>
      </c>
    </row>
    <row r="4321" spans="1:12" x14ac:dyDescent="0.4">
      <c r="A4321" t="s">
        <v>7467</v>
      </c>
      <c r="B4321">
        <v>81.400000000000006</v>
      </c>
      <c r="C4321" t="s">
        <v>197</v>
      </c>
      <c r="D4321">
        <v>5</v>
      </c>
    </row>
    <row r="4322" spans="1:12" x14ac:dyDescent="0.4">
      <c r="A4322" t="s">
        <v>6408</v>
      </c>
      <c r="B4322">
        <v>27.9</v>
      </c>
      <c r="C4322" t="s">
        <v>5697</v>
      </c>
      <c r="D4322">
        <v>2</v>
      </c>
      <c r="E4322">
        <v>-1.175</v>
      </c>
      <c r="F4322">
        <v>59.9</v>
      </c>
      <c r="G4322">
        <v>2019</v>
      </c>
      <c r="H4322" t="s">
        <v>928</v>
      </c>
      <c r="I4322" t="s">
        <v>6596</v>
      </c>
      <c r="L4322" t="s">
        <v>197</v>
      </c>
    </row>
    <row r="4323" spans="1:12" x14ac:dyDescent="0.4">
      <c r="A4323" t="s">
        <v>6409</v>
      </c>
      <c r="B4323">
        <v>60.9</v>
      </c>
      <c r="C4323" t="s">
        <v>5700</v>
      </c>
      <c r="D4323">
        <v>4</v>
      </c>
      <c r="E4323">
        <v>0.06</v>
      </c>
      <c r="F4323">
        <v>66.400000000000006</v>
      </c>
      <c r="G4323">
        <v>2019</v>
      </c>
      <c r="H4323" t="s">
        <v>928</v>
      </c>
      <c r="I4323" t="s">
        <v>6596</v>
      </c>
      <c r="L4323" t="s">
        <v>197</v>
      </c>
    </row>
    <row r="4324" spans="1:12" x14ac:dyDescent="0.4">
      <c r="A4324" t="s">
        <v>6410</v>
      </c>
      <c r="B4324">
        <v>59.4</v>
      </c>
      <c r="C4324" t="s">
        <v>6585</v>
      </c>
      <c r="D4324">
        <v>3</v>
      </c>
      <c r="E4324">
        <v>4.0000000000000001E-3</v>
      </c>
      <c r="F4324">
        <v>66.099999999999994</v>
      </c>
      <c r="G4324">
        <v>2019</v>
      </c>
      <c r="H4324" t="s">
        <v>928</v>
      </c>
      <c r="I4324" t="s">
        <v>6596</v>
      </c>
      <c r="L4324" t="s">
        <v>197</v>
      </c>
    </row>
    <row r="4325" spans="1:12" x14ac:dyDescent="0.4">
      <c r="A4325" t="s">
        <v>6411</v>
      </c>
      <c r="B4325">
        <v>80.2</v>
      </c>
      <c r="C4325" t="s">
        <v>5701</v>
      </c>
      <c r="D4325">
        <v>5</v>
      </c>
      <c r="E4325">
        <v>0.78200000000000003</v>
      </c>
      <c r="F4325">
        <v>70.2</v>
      </c>
      <c r="G4325">
        <v>2019</v>
      </c>
      <c r="H4325" t="s">
        <v>928</v>
      </c>
      <c r="I4325" t="s">
        <v>6596</v>
      </c>
      <c r="L4325" t="s">
        <v>197</v>
      </c>
    </row>
    <row r="4326" spans="1:12" x14ac:dyDescent="0.4">
      <c r="A4326" t="s">
        <v>6412</v>
      </c>
      <c r="B4326">
        <v>70.599999999999994</v>
      </c>
      <c r="C4326" t="s">
        <v>5732</v>
      </c>
      <c r="D4326">
        <v>4</v>
      </c>
      <c r="E4326">
        <v>0.42299999999999999</v>
      </c>
      <c r="F4326">
        <v>68.3</v>
      </c>
      <c r="G4326">
        <v>2019</v>
      </c>
      <c r="H4326" t="s">
        <v>928</v>
      </c>
      <c r="I4326" t="s">
        <v>6596</v>
      </c>
      <c r="L4326" t="s">
        <v>197</v>
      </c>
    </row>
    <row r="4327" spans="1:12" x14ac:dyDescent="0.4">
      <c r="A4327" t="s">
        <v>6413</v>
      </c>
      <c r="B4327">
        <v>71.599999999999994</v>
      </c>
      <c r="C4327" t="s">
        <v>5718</v>
      </c>
      <c r="D4327">
        <v>4</v>
      </c>
      <c r="E4327">
        <v>0.46</v>
      </c>
      <c r="F4327">
        <v>68.5</v>
      </c>
      <c r="G4327">
        <v>2019</v>
      </c>
      <c r="H4327" t="s">
        <v>928</v>
      </c>
      <c r="I4327" t="s">
        <v>6596</v>
      </c>
      <c r="L4327" t="s">
        <v>197</v>
      </c>
    </row>
    <row r="4328" spans="1:12" x14ac:dyDescent="0.4">
      <c r="A4328" t="s">
        <v>6414</v>
      </c>
      <c r="B4328">
        <v>83.8</v>
      </c>
      <c r="C4328" t="s">
        <v>2485</v>
      </c>
      <c r="D4328">
        <v>5</v>
      </c>
      <c r="E4328">
        <v>0.91700000000000004</v>
      </c>
      <c r="F4328">
        <v>70.900000000000006</v>
      </c>
      <c r="G4328">
        <v>2019</v>
      </c>
      <c r="H4328" t="s">
        <v>928</v>
      </c>
      <c r="I4328" t="s">
        <v>6596</v>
      </c>
      <c r="L4328" t="s">
        <v>197</v>
      </c>
    </row>
    <row r="4329" spans="1:12" x14ac:dyDescent="0.4">
      <c r="A4329" t="s">
        <v>6415</v>
      </c>
      <c r="B4329">
        <v>74.099999999999994</v>
      </c>
      <c r="C4329" t="s">
        <v>5692</v>
      </c>
      <c r="D4329">
        <v>4</v>
      </c>
      <c r="E4329">
        <v>0.55400000000000005</v>
      </c>
      <c r="F4329">
        <v>69</v>
      </c>
      <c r="G4329">
        <v>2019</v>
      </c>
      <c r="H4329" t="s">
        <v>928</v>
      </c>
      <c r="I4329" t="s">
        <v>6596</v>
      </c>
      <c r="L4329" t="s">
        <v>197</v>
      </c>
    </row>
    <row r="4330" spans="1:12" x14ac:dyDescent="0.4">
      <c r="A4330" t="s">
        <v>6416</v>
      </c>
      <c r="B4330">
        <v>65</v>
      </c>
      <c r="C4330" t="s">
        <v>5731</v>
      </c>
      <c r="D4330">
        <v>4</v>
      </c>
      <c r="E4330">
        <v>0.21299999999999999</v>
      </c>
      <c r="F4330">
        <v>67.2</v>
      </c>
      <c r="G4330">
        <v>2019</v>
      </c>
      <c r="H4330" t="s">
        <v>928</v>
      </c>
      <c r="I4330" t="s">
        <v>6596</v>
      </c>
      <c r="L4330" t="s">
        <v>197</v>
      </c>
    </row>
    <row r="4331" spans="1:12" x14ac:dyDescent="0.4">
      <c r="A4331" t="s">
        <v>6417</v>
      </c>
      <c r="B4331">
        <v>43.7</v>
      </c>
      <c r="C4331" t="s">
        <v>5702</v>
      </c>
      <c r="D4331">
        <v>3</v>
      </c>
      <c r="E4331">
        <v>-0.58399999999999996</v>
      </c>
      <c r="F4331">
        <v>63</v>
      </c>
      <c r="G4331">
        <v>2019</v>
      </c>
      <c r="H4331" t="s">
        <v>928</v>
      </c>
      <c r="I4331" t="s">
        <v>6596</v>
      </c>
      <c r="L4331" t="s">
        <v>197</v>
      </c>
    </row>
    <row r="4332" spans="1:12" x14ac:dyDescent="0.4">
      <c r="A4332" t="s">
        <v>6418</v>
      </c>
      <c r="B4332">
        <v>64.5</v>
      </c>
      <c r="C4332" t="s">
        <v>5729</v>
      </c>
      <c r="D4332">
        <v>4</v>
      </c>
      <c r="E4332">
        <v>0.19500000000000001</v>
      </c>
      <c r="F4332">
        <v>67.099999999999994</v>
      </c>
      <c r="G4332">
        <v>2019</v>
      </c>
      <c r="H4332" t="s">
        <v>928</v>
      </c>
      <c r="I4332" t="s">
        <v>6596</v>
      </c>
      <c r="L4332" t="s">
        <v>197</v>
      </c>
    </row>
    <row r="4333" spans="1:12" x14ac:dyDescent="0.4">
      <c r="A4333" t="s">
        <v>6419</v>
      </c>
      <c r="B4333">
        <v>29.9</v>
      </c>
      <c r="C4333" t="s">
        <v>6038</v>
      </c>
      <c r="D4333">
        <v>2</v>
      </c>
      <c r="E4333">
        <v>-1.101</v>
      </c>
      <c r="F4333">
        <v>60.3</v>
      </c>
      <c r="G4333">
        <v>2019</v>
      </c>
      <c r="H4333" t="s">
        <v>928</v>
      </c>
      <c r="I4333" t="s">
        <v>6596</v>
      </c>
      <c r="L4333" t="s">
        <v>197</v>
      </c>
    </row>
    <row r="4334" spans="1:12" x14ac:dyDescent="0.4">
      <c r="A4334" t="s">
        <v>6420</v>
      </c>
      <c r="B4334">
        <v>50.3</v>
      </c>
      <c r="C4334" t="s">
        <v>5734</v>
      </c>
      <c r="D4334">
        <v>3</v>
      </c>
      <c r="E4334">
        <v>-0.33700000000000002</v>
      </c>
      <c r="F4334">
        <v>64.3</v>
      </c>
      <c r="G4334">
        <v>2019</v>
      </c>
      <c r="H4334" t="s">
        <v>928</v>
      </c>
      <c r="I4334" t="s">
        <v>6596</v>
      </c>
      <c r="L4334" t="s">
        <v>197</v>
      </c>
    </row>
    <row r="4335" spans="1:12" x14ac:dyDescent="0.4">
      <c r="A4335" t="s">
        <v>6421</v>
      </c>
      <c r="B4335">
        <v>58.9</v>
      </c>
      <c r="C4335" t="s">
        <v>5736</v>
      </c>
      <c r="D4335">
        <v>3</v>
      </c>
      <c r="E4335">
        <v>-1.4999999999999999E-2</v>
      </c>
      <c r="F4335">
        <v>66</v>
      </c>
      <c r="G4335">
        <v>2019</v>
      </c>
      <c r="H4335" t="s">
        <v>928</v>
      </c>
      <c r="I4335" t="s">
        <v>6596</v>
      </c>
      <c r="L4335" t="s">
        <v>197</v>
      </c>
    </row>
    <row r="4336" spans="1:12" x14ac:dyDescent="0.4">
      <c r="A4336" t="s">
        <v>6422</v>
      </c>
      <c r="B4336">
        <v>84.3</v>
      </c>
      <c r="C4336" t="s">
        <v>2484</v>
      </c>
      <c r="D4336">
        <v>5</v>
      </c>
      <c r="E4336">
        <v>0.93600000000000005</v>
      </c>
      <c r="F4336">
        <v>71</v>
      </c>
      <c r="G4336">
        <v>2019</v>
      </c>
      <c r="H4336" t="s">
        <v>928</v>
      </c>
      <c r="I4336" t="s">
        <v>6596</v>
      </c>
      <c r="L4336" t="s">
        <v>197</v>
      </c>
    </row>
    <row r="4337" spans="1:12" x14ac:dyDescent="0.4">
      <c r="A4337" t="s">
        <v>6423</v>
      </c>
      <c r="B4337">
        <v>55.3</v>
      </c>
      <c r="C4337" t="s">
        <v>5733</v>
      </c>
      <c r="D4337">
        <v>3</v>
      </c>
      <c r="E4337">
        <v>-0.15</v>
      </c>
      <c r="F4337">
        <v>65.3</v>
      </c>
      <c r="G4337">
        <v>2019</v>
      </c>
      <c r="H4337" t="s">
        <v>928</v>
      </c>
      <c r="I4337" t="s">
        <v>6596</v>
      </c>
      <c r="L4337" t="s">
        <v>197</v>
      </c>
    </row>
    <row r="4338" spans="1:12" x14ac:dyDescent="0.4">
      <c r="A4338" t="s">
        <v>6424</v>
      </c>
      <c r="B4338">
        <v>0</v>
      </c>
      <c r="C4338" t="s">
        <v>6040</v>
      </c>
      <c r="D4338">
        <v>1</v>
      </c>
      <c r="E4338">
        <v>-2.2200000000000002</v>
      </c>
      <c r="F4338" t="s">
        <v>197</v>
      </c>
      <c r="G4338">
        <v>2019</v>
      </c>
      <c r="H4338" t="s">
        <v>928</v>
      </c>
      <c r="I4338" t="s">
        <v>6596</v>
      </c>
      <c r="L4338" t="s">
        <v>197</v>
      </c>
    </row>
    <row r="4339" spans="1:12" x14ac:dyDescent="0.4">
      <c r="A4339" t="s">
        <v>6425</v>
      </c>
      <c r="B4339">
        <v>71.099999999999994</v>
      </c>
      <c r="C4339" t="s">
        <v>6034</v>
      </c>
      <c r="D4339">
        <v>4</v>
      </c>
      <c r="E4339">
        <v>0.442</v>
      </c>
      <c r="F4339">
        <v>68.400000000000006</v>
      </c>
      <c r="G4339">
        <v>2019</v>
      </c>
      <c r="H4339" t="s">
        <v>928</v>
      </c>
      <c r="I4339" t="s">
        <v>6596</v>
      </c>
      <c r="L4339" t="s">
        <v>197</v>
      </c>
    </row>
    <row r="4340" spans="1:12" x14ac:dyDescent="0.4">
      <c r="A4340" t="s">
        <v>6426</v>
      </c>
      <c r="B4340">
        <v>42.6</v>
      </c>
      <c r="C4340" t="s">
        <v>5694</v>
      </c>
      <c r="D4340">
        <v>3</v>
      </c>
      <c r="E4340">
        <v>-0.625</v>
      </c>
      <c r="F4340">
        <v>62.8</v>
      </c>
      <c r="G4340">
        <v>2019</v>
      </c>
      <c r="H4340" t="s">
        <v>928</v>
      </c>
      <c r="I4340" t="s">
        <v>6596</v>
      </c>
      <c r="L4340" t="s">
        <v>197</v>
      </c>
    </row>
    <row r="4341" spans="1:12" x14ac:dyDescent="0.4">
      <c r="A4341" t="s">
        <v>6427</v>
      </c>
      <c r="B4341">
        <v>9.1</v>
      </c>
      <c r="C4341" t="s">
        <v>6036</v>
      </c>
      <c r="D4341">
        <v>1</v>
      </c>
      <c r="E4341">
        <v>-1.879</v>
      </c>
      <c r="F4341">
        <v>56.2</v>
      </c>
      <c r="G4341">
        <v>2019</v>
      </c>
      <c r="H4341" t="s">
        <v>928</v>
      </c>
      <c r="I4341" t="s">
        <v>6596</v>
      </c>
      <c r="L4341" t="s">
        <v>197</v>
      </c>
    </row>
    <row r="4342" spans="1:12" x14ac:dyDescent="0.4">
      <c r="A4342" t="s">
        <v>6428</v>
      </c>
      <c r="B4342">
        <v>12.7</v>
      </c>
      <c r="C4342" t="s">
        <v>6037</v>
      </c>
      <c r="D4342">
        <v>1</v>
      </c>
      <c r="E4342">
        <v>-1.744</v>
      </c>
      <c r="F4342">
        <v>56.9</v>
      </c>
      <c r="G4342">
        <v>2019</v>
      </c>
      <c r="H4342" t="s">
        <v>928</v>
      </c>
      <c r="I4342" t="s">
        <v>6596</v>
      </c>
      <c r="L4342" t="s">
        <v>197</v>
      </c>
    </row>
    <row r="4343" spans="1:12" x14ac:dyDescent="0.4">
      <c r="A4343" t="s">
        <v>6429</v>
      </c>
      <c r="B4343">
        <v>35</v>
      </c>
      <c r="C4343" t="s">
        <v>5708</v>
      </c>
      <c r="D4343">
        <v>2</v>
      </c>
      <c r="E4343">
        <v>-0.91</v>
      </c>
      <c r="F4343">
        <v>61.3</v>
      </c>
      <c r="G4343">
        <v>2019</v>
      </c>
      <c r="H4343" t="s">
        <v>928</v>
      </c>
      <c r="I4343" t="s">
        <v>6596</v>
      </c>
      <c r="L4343" t="s">
        <v>197</v>
      </c>
    </row>
    <row r="4344" spans="1:12" x14ac:dyDescent="0.4">
      <c r="A4344" t="s">
        <v>6430</v>
      </c>
      <c r="B4344">
        <v>29.9</v>
      </c>
      <c r="C4344" t="s">
        <v>6038</v>
      </c>
      <c r="D4344">
        <v>2</v>
      </c>
      <c r="E4344">
        <v>-1.101</v>
      </c>
      <c r="F4344">
        <v>60.3</v>
      </c>
      <c r="G4344">
        <v>2019</v>
      </c>
      <c r="H4344" t="s">
        <v>928</v>
      </c>
      <c r="I4344" t="s">
        <v>6596</v>
      </c>
      <c r="L4344" t="s">
        <v>197</v>
      </c>
    </row>
    <row r="4345" spans="1:12" x14ac:dyDescent="0.4">
      <c r="A4345" t="s">
        <v>6431</v>
      </c>
      <c r="B4345">
        <v>79.7</v>
      </c>
      <c r="C4345" t="s">
        <v>6043</v>
      </c>
      <c r="D4345">
        <v>4</v>
      </c>
      <c r="E4345">
        <v>0.76400000000000001</v>
      </c>
      <c r="F4345">
        <v>70.099999999999994</v>
      </c>
      <c r="G4345">
        <v>2019</v>
      </c>
      <c r="H4345" t="s">
        <v>928</v>
      </c>
      <c r="I4345" t="s">
        <v>6596</v>
      </c>
      <c r="L4345" t="s">
        <v>197</v>
      </c>
    </row>
    <row r="4346" spans="1:12" x14ac:dyDescent="0.4">
      <c r="A4346" t="s">
        <v>6432</v>
      </c>
      <c r="B4346">
        <v>0</v>
      </c>
      <c r="C4346" t="s">
        <v>6040</v>
      </c>
      <c r="D4346">
        <v>1</v>
      </c>
      <c r="E4346">
        <v>-2.2200000000000002</v>
      </c>
      <c r="F4346">
        <v>54.4</v>
      </c>
      <c r="G4346">
        <v>2019</v>
      </c>
      <c r="H4346" t="s">
        <v>928</v>
      </c>
      <c r="I4346" t="s">
        <v>6596</v>
      </c>
      <c r="L4346" t="s">
        <v>197</v>
      </c>
    </row>
    <row r="4347" spans="1:12" x14ac:dyDescent="0.4">
      <c r="A4347" t="s">
        <v>6433</v>
      </c>
      <c r="B4347">
        <v>79.7</v>
      </c>
      <c r="C4347" t="s">
        <v>6043</v>
      </c>
      <c r="D4347">
        <v>4</v>
      </c>
      <c r="E4347">
        <v>0.76400000000000001</v>
      </c>
      <c r="F4347">
        <v>70.099999999999994</v>
      </c>
      <c r="G4347">
        <v>2019</v>
      </c>
      <c r="H4347" t="s">
        <v>928</v>
      </c>
      <c r="I4347" t="s">
        <v>6596</v>
      </c>
      <c r="L4347" t="s">
        <v>197</v>
      </c>
    </row>
    <row r="4348" spans="1:12" x14ac:dyDescent="0.4">
      <c r="A4348" t="s">
        <v>6434</v>
      </c>
      <c r="B4348">
        <v>89.8</v>
      </c>
      <c r="C4348" t="s">
        <v>6583</v>
      </c>
      <c r="D4348">
        <v>5</v>
      </c>
      <c r="E4348">
        <v>1.1419999999999999</v>
      </c>
      <c r="F4348">
        <v>72.099999999999994</v>
      </c>
      <c r="G4348">
        <v>2019</v>
      </c>
      <c r="H4348" t="s">
        <v>928</v>
      </c>
      <c r="I4348" t="s">
        <v>6596</v>
      </c>
      <c r="L4348" t="s">
        <v>197</v>
      </c>
    </row>
    <row r="4349" spans="1:12" x14ac:dyDescent="0.4">
      <c r="A4349" t="s">
        <v>6435</v>
      </c>
      <c r="B4349">
        <v>38.6</v>
      </c>
      <c r="C4349" t="s">
        <v>5709</v>
      </c>
      <c r="D4349">
        <v>2</v>
      </c>
      <c r="E4349">
        <v>-0.77500000000000002</v>
      </c>
      <c r="F4349">
        <v>62</v>
      </c>
      <c r="G4349">
        <v>2019</v>
      </c>
      <c r="H4349" t="s">
        <v>928</v>
      </c>
      <c r="I4349" t="s">
        <v>6596</v>
      </c>
      <c r="L4349" t="s">
        <v>197</v>
      </c>
    </row>
    <row r="4350" spans="1:12" x14ac:dyDescent="0.4">
      <c r="A4350" t="s">
        <v>6436</v>
      </c>
      <c r="B4350">
        <v>83.8</v>
      </c>
      <c r="C4350" t="s">
        <v>2485</v>
      </c>
      <c r="D4350">
        <v>5</v>
      </c>
      <c r="E4350">
        <v>0.91700000000000004</v>
      </c>
      <c r="F4350">
        <v>70.900000000000006</v>
      </c>
      <c r="G4350">
        <v>2019</v>
      </c>
      <c r="H4350" t="s">
        <v>928</v>
      </c>
      <c r="I4350" t="s">
        <v>6596</v>
      </c>
      <c r="L4350" t="s">
        <v>197</v>
      </c>
    </row>
    <row r="4351" spans="1:12" x14ac:dyDescent="0.4">
      <c r="A4351" t="s">
        <v>6437</v>
      </c>
      <c r="B4351">
        <v>57.9</v>
      </c>
      <c r="C4351" t="s">
        <v>5735</v>
      </c>
      <c r="D4351">
        <v>3</v>
      </c>
      <c r="E4351">
        <v>-5.1999999999999998E-2</v>
      </c>
      <c r="F4351">
        <v>65.8</v>
      </c>
      <c r="G4351">
        <v>2019</v>
      </c>
      <c r="H4351" t="s">
        <v>928</v>
      </c>
      <c r="I4351" t="s">
        <v>6596</v>
      </c>
      <c r="L4351" t="s">
        <v>197</v>
      </c>
    </row>
    <row r="4352" spans="1:12" x14ac:dyDescent="0.4">
      <c r="A4352" t="s">
        <v>6438</v>
      </c>
      <c r="B4352">
        <v>49.7</v>
      </c>
      <c r="C4352" t="s">
        <v>5699</v>
      </c>
      <c r="D4352">
        <v>3</v>
      </c>
      <c r="E4352">
        <v>-0.35899999999999999</v>
      </c>
      <c r="F4352">
        <v>64.2</v>
      </c>
      <c r="G4352">
        <v>2019</v>
      </c>
      <c r="H4352" t="s">
        <v>928</v>
      </c>
      <c r="I4352" t="s">
        <v>6596</v>
      </c>
      <c r="L4352" t="s">
        <v>197</v>
      </c>
    </row>
    <row r="4353" spans="1:12" x14ac:dyDescent="0.4">
      <c r="A4353" t="s">
        <v>6439</v>
      </c>
      <c r="B4353">
        <v>29.9</v>
      </c>
      <c r="C4353" t="s">
        <v>6038</v>
      </c>
      <c r="D4353">
        <v>2</v>
      </c>
      <c r="E4353">
        <v>-1.101</v>
      </c>
      <c r="F4353">
        <v>60.3</v>
      </c>
      <c r="G4353">
        <v>2019</v>
      </c>
      <c r="H4353" t="s">
        <v>928</v>
      </c>
      <c r="I4353" t="s">
        <v>6596</v>
      </c>
      <c r="L4353" t="s">
        <v>197</v>
      </c>
    </row>
    <row r="4354" spans="1:12" x14ac:dyDescent="0.4">
      <c r="A4354" t="s">
        <v>6440</v>
      </c>
      <c r="B4354">
        <v>16.8</v>
      </c>
      <c r="C4354" t="s">
        <v>5710</v>
      </c>
      <c r="D4354">
        <v>1</v>
      </c>
      <c r="E4354">
        <v>-1.591</v>
      </c>
      <c r="F4354">
        <v>57.7</v>
      </c>
      <c r="G4354">
        <v>2019</v>
      </c>
      <c r="H4354" t="s">
        <v>928</v>
      </c>
      <c r="I4354" t="s">
        <v>6596</v>
      </c>
      <c r="L4354" t="s">
        <v>197</v>
      </c>
    </row>
    <row r="4355" spans="1:12" x14ac:dyDescent="0.4">
      <c r="A4355" t="s">
        <v>6441</v>
      </c>
      <c r="B4355">
        <v>59.4</v>
      </c>
      <c r="C4355" t="s">
        <v>6585</v>
      </c>
      <c r="D4355">
        <v>3</v>
      </c>
      <c r="E4355">
        <v>4.0000000000000001E-3</v>
      </c>
      <c r="F4355">
        <v>66.099999999999994</v>
      </c>
      <c r="G4355">
        <v>2019</v>
      </c>
      <c r="H4355" t="s">
        <v>928</v>
      </c>
      <c r="I4355" t="s">
        <v>6596</v>
      </c>
      <c r="L4355" t="s">
        <v>197</v>
      </c>
    </row>
    <row r="4356" spans="1:12" x14ac:dyDescent="0.4">
      <c r="A4356" t="s">
        <v>6442</v>
      </c>
      <c r="B4356">
        <v>100</v>
      </c>
      <c r="C4356" t="s">
        <v>1380</v>
      </c>
      <c r="D4356">
        <v>5</v>
      </c>
      <c r="E4356">
        <v>1.5229999999999999</v>
      </c>
      <c r="F4356">
        <v>74.099999999999994</v>
      </c>
      <c r="G4356">
        <v>2019</v>
      </c>
      <c r="H4356" t="s">
        <v>928</v>
      </c>
      <c r="I4356" t="s">
        <v>6596</v>
      </c>
      <c r="L4356" t="s">
        <v>197</v>
      </c>
    </row>
    <row r="4357" spans="1:12" x14ac:dyDescent="0.4">
      <c r="A4357" t="s">
        <v>6443</v>
      </c>
      <c r="B4357">
        <v>89.8</v>
      </c>
      <c r="C4357" t="s">
        <v>6583</v>
      </c>
      <c r="D4357">
        <v>5</v>
      </c>
      <c r="E4357">
        <v>1.1419999999999999</v>
      </c>
      <c r="F4357">
        <v>72.099999999999994</v>
      </c>
      <c r="G4357">
        <v>2019</v>
      </c>
      <c r="H4357" t="s">
        <v>928</v>
      </c>
      <c r="I4357" t="s">
        <v>6596</v>
      </c>
      <c r="L4357" t="s">
        <v>197</v>
      </c>
    </row>
    <row r="4358" spans="1:12" x14ac:dyDescent="0.4">
      <c r="A4358" t="s">
        <v>6444</v>
      </c>
      <c r="B4358">
        <v>36</v>
      </c>
      <c r="C4358" t="s">
        <v>5698</v>
      </c>
      <c r="D4358">
        <v>2</v>
      </c>
      <c r="E4358">
        <v>-0.872</v>
      </c>
      <c r="F4358">
        <v>61.5</v>
      </c>
      <c r="G4358">
        <v>2019</v>
      </c>
      <c r="H4358" t="s">
        <v>928</v>
      </c>
      <c r="I4358" t="s">
        <v>6596</v>
      </c>
      <c r="L4358" t="s">
        <v>197</v>
      </c>
    </row>
    <row r="4359" spans="1:12" x14ac:dyDescent="0.4">
      <c r="A4359" t="s">
        <v>6445</v>
      </c>
      <c r="B4359">
        <v>48.7</v>
      </c>
      <c r="C4359" t="s">
        <v>5704</v>
      </c>
      <c r="D4359">
        <v>3</v>
      </c>
      <c r="E4359">
        <v>-0.39700000000000002</v>
      </c>
      <c r="F4359">
        <v>64</v>
      </c>
      <c r="G4359">
        <v>2019</v>
      </c>
      <c r="H4359" t="s">
        <v>928</v>
      </c>
      <c r="I4359" t="s">
        <v>6596</v>
      </c>
      <c r="L4359" t="s">
        <v>197</v>
      </c>
    </row>
    <row r="4360" spans="1:12" x14ac:dyDescent="0.4">
      <c r="A4360" t="s">
        <v>6446</v>
      </c>
      <c r="B4360">
        <v>88.8</v>
      </c>
      <c r="C4360" t="s">
        <v>2483</v>
      </c>
      <c r="D4360">
        <v>5</v>
      </c>
      <c r="E4360">
        <v>1.1040000000000001</v>
      </c>
      <c r="F4360">
        <v>71.900000000000006</v>
      </c>
      <c r="G4360">
        <v>2019</v>
      </c>
      <c r="H4360" t="s">
        <v>928</v>
      </c>
      <c r="I4360" t="s">
        <v>6596</v>
      </c>
      <c r="L4360" t="s">
        <v>197</v>
      </c>
    </row>
    <row r="4361" spans="1:12" x14ac:dyDescent="0.4">
      <c r="A4361" t="s">
        <v>6447</v>
      </c>
      <c r="B4361">
        <v>59.4</v>
      </c>
      <c r="C4361" t="s">
        <v>6585</v>
      </c>
      <c r="D4361">
        <v>3</v>
      </c>
      <c r="E4361">
        <v>4.0000000000000001E-3</v>
      </c>
      <c r="F4361">
        <v>66.099999999999994</v>
      </c>
      <c r="G4361">
        <v>2019</v>
      </c>
      <c r="H4361" t="s">
        <v>928</v>
      </c>
      <c r="I4361" t="s">
        <v>6596</v>
      </c>
      <c r="L4361" t="s">
        <v>197</v>
      </c>
    </row>
    <row r="4362" spans="1:12" x14ac:dyDescent="0.4">
      <c r="A4362" t="s">
        <v>6448</v>
      </c>
      <c r="B4362">
        <v>55.8</v>
      </c>
      <c r="C4362" t="s">
        <v>5727</v>
      </c>
      <c r="D4362">
        <v>3</v>
      </c>
      <c r="E4362">
        <v>-0.13100000000000001</v>
      </c>
      <c r="F4362">
        <v>65.400000000000006</v>
      </c>
      <c r="G4362">
        <v>2019</v>
      </c>
      <c r="H4362" t="s">
        <v>928</v>
      </c>
      <c r="I4362" t="s">
        <v>6596</v>
      </c>
      <c r="L4362" t="s">
        <v>197</v>
      </c>
    </row>
    <row r="4363" spans="1:12" x14ac:dyDescent="0.4">
      <c r="A4363" t="s">
        <v>6449</v>
      </c>
      <c r="B4363">
        <v>94.9</v>
      </c>
      <c r="C4363" t="s">
        <v>2475</v>
      </c>
      <c r="D4363">
        <v>5</v>
      </c>
      <c r="E4363">
        <v>1.333</v>
      </c>
      <c r="F4363">
        <v>73.099999999999994</v>
      </c>
      <c r="G4363">
        <v>2019</v>
      </c>
      <c r="H4363" t="s">
        <v>928</v>
      </c>
      <c r="I4363" t="s">
        <v>6596</v>
      </c>
      <c r="L4363" t="s">
        <v>197</v>
      </c>
    </row>
    <row r="4364" spans="1:12" x14ac:dyDescent="0.4">
      <c r="A4364" t="s">
        <v>6450</v>
      </c>
      <c r="B4364">
        <v>71.599999999999994</v>
      </c>
      <c r="C4364" t="s">
        <v>5718</v>
      </c>
      <c r="D4364">
        <v>4</v>
      </c>
      <c r="E4364">
        <v>0.46</v>
      </c>
      <c r="F4364">
        <v>68.5</v>
      </c>
      <c r="G4364">
        <v>2019</v>
      </c>
      <c r="H4364" t="s">
        <v>928</v>
      </c>
      <c r="I4364" t="s">
        <v>6596</v>
      </c>
      <c r="L4364" t="s">
        <v>197</v>
      </c>
    </row>
    <row r="4365" spans="1:12" x14ac:dyDescent="0.4">
      <c r="A4365" t="s">
        <v>6451</v>
      </c>
      <c r="B4365">
        <v>97.5</v>
      </c>
      <c r="C4365" t="s">
        <v>2477</v>
      </c>
      <c r="D4365">
        <v>5</v>
      </c>
      <c r="E4365">
        <v>1.43</v>
      </c>
      <c r="F4365">
        <v>73.599999999999994</v>
      </c>
      <c r="G4365">
        <v>2019</v>
      </c>
      <c r="H4365" t="s">
        <v>928</v>
      </c>
      <c r="I4365" t="s">
        <v>6596</v>
      </c>
      <c r="L4365" t="s">
        <v>197</v>
      </c>
    </row>
    <row r="4366" spans="1:12" x14ac:dyDescent="0.4">
      <c r="A4366" t="s">
        <v>6452</v>
      </c>
      <c r="B4366">
        <v>83.8</v>
      </c>
      <c r="C4366" t="s">
        <v>2485</v>
      </c>
      <c r="D4366">
        <v>5</v>
      </c>
      <c r="E4366">
        <v>0.91700000000000004</v>
      </c>
      <c r="F4366">
        <v>70.900000000000006</v>
      </c>
      <c r="G4366">
        <v>2019</v>
      </c>
      <c r="H4366" t="s">
        <v>928</v>
      </c>
      <c r="I4366" t="s">
        <v>6596</v>
      </c>
      <c r="L4366" t="s">
        <v>197</v>
      </c>
    </row>
    <row r="4367" spans="1:12" x14ac:dyDescent="0.4">
      <c r="A4367" t="s">
        <v>6453</v>
      </c>
      <c r="B4367">
        <v>100</v>
      </c>
      <c r="C4367" t="s">
        <v>1380</v>
      </c>
      <c r="D4367">
        <v>5</v>
      </c>
      <c r="E4367">
        <v>1.5229999999999999</v>
      </c>
      <c r="F4367">
        <v>74.099999999999994</v>
      </c>
      <c r="G4367">
        <v>2019</v>
      </c>
      <c r="H4367" t="s">
        <v>928</v>
      </c>
      <c r="I4367" t="s">
        <v>6596</v>
      </c>
      <c r="L4367" t="s">
        <v>197</v>
      </c>
    </row>
    <row r="4368" spans="1:12" x14ac:dyDescent="0.4">
      <c r="A4368" t="s">
        <v>6454</v>
      </c>
      <c r="B4368">
        <v>85.8</v>
      </c>
      <c r="C4368" t="s">
        <v>2482</v>
      </c>
      <c r="D4368">
        <v>5</v>
      </c>
      <c r="E4368">
        <v>0.99199999999999999</v>
      </c>
      <c r="F4368">
        <v>71.3</v>
      </c>
      <c r="G4368">
        <v>2019</v>
      </c>
      <c r="H4368" t="s">
        <v>928</v>
      </c>
      <c r="I4368" t="s">
        <v>6596</v>
      </c>
      <c r="L4368" t="s">
        <v>197</v>
      </c>
    </row>
    <row r="4369" spans="1:12" x14ac:dyDescent="0.4">
      <c r="A4369" t="s">
        <v>6455</v>
      </c>
      <c r="B4369">
        <v>83.8</v>
      </c>
      <c r="C4369" t="s">
        <v>2485</v>
      </c>
      <c r="D4369">
        <v>5</v>
      </c>
      <c r="E4369">
        <v>0.91700000000000004</v>
      </c>
      <c r="F4369">
        <v>70.900000000000006</v>
      </c>
      <c r="G4369">
        <v>2019</v>
      </c>
      <c r="H4369" t="s">
        <v>928</v>
      </c>
      <c r="I4369" t="s">
        <v>6596</v>
      </c>
      <c r="L4369" t="s">
        <v>197</v>
      </c>
    </row>
    <row r="4370" spans="1:12" x14ac:dyDescent="0.4">
      <c r="A4370" t="s">
        <v>6456</v>
      </c>
      <c r="B4370">
        <v>71.599999999999994</v>
      </c>
      <c r="C4370" t="s">
        <v>5718</v>
      </c>
      <c r="D4370">
        <v>4</v>
      </c>
      <c r="E4370">
        <v>0.46</v>
      </c>
      <c r="F4370">
        <v>68.5</v>
      </c>
      <c r="G4370">
        <v>2019</v>
      </c>
      <c r="H4370" t="s">
        <v>928</v>
      </c>
      <c r="I4370" t="s">
        <v>6596</v>
      </c>
      <c r="L4370" t="s">
        <v>197</v>
      </c>
    </row>
    <row r="4371" spans="1:12" x14ac:dyDescent="0.4">
      <c r="A4371" t="s">
        <v>6457</v>
      </c>
      <c r="B4371">
        <v>33</v>
      </c>
      <c r="C4371" t="s">
        <v>5713</v>
      </c>
      <c r="D4371">
        <v>2</v>
      </c>
      <c r="E4371">
        <v>-0.98399999999999999</v>
      </c>
      <c r="F4371">
        <v>60.9</v>
      </c>
      <c r="G4371">
        <v>2019</v>
      </c>
      <c r="H4371" t="s">
        <v>928</v>
      </c>
      <c r="I4371" t="s">
        <v>6596</v>
      </c>
      <c r="L4371" t="s">
        <v>197</v>
      </c>
    </row>
    <row r="4372" spans="1:12" x14ac:dyDescent="0.4">
      <c r="A4372" t="s">
        <v>6458</v>
      </c>
      <c r="B4372">
        <v>59.3</v>
      </c>
      <c r="C4372" t="s">
        <v>197</v>
      </c>
      <c r="D4372">
        <v>3</v>
      </c>
    </row>
    <row r="4373" spans="1:12" x14ac:dyDescent="0.4">
      <c r="A4373" t="s">
        <v>6459</v>
      </c>
      <c r="B4373">
        <v>22.9</v>
      </c>
      <c r="C4373" t="s">
        <v>197</v>
      </c>
      <c r="D4373">
        <v>2</v>
      </c>
    </row>
    <row r="4374" spans="1:12" x14ac:dyDescent="0.4">
      <c r="A4374" t="s">
        <v>6460</v>
      </c>
      <c r="B4374">
        <v>64.5</v>
      </c>
      <c r="C4374" t="s">
        <v>197</v>
      </c>
      <c r="D4374">
        <v>4</v>
      </c>
    </row>
    <row r="4375" spans="1:12" x14ac:dyDescent="0.4">
      <c r="A4375" t="s">
        <v>6461</v>
      </c>
      <c r="B4375">
        <v>57.8</v>
      </c>
      <c r="C4375" t="s">
        <v>197</v>
      </c>
      <c r="D4375">
        <v>3</v>
      </c>
    </row>
    <row r="4376" spans="1:12" x14ac:dyDescent="0.4">
      <c r="A4376" t="s">
        <v>6462</v>
      </c>
      <c r="B4376">
        <v>78.599999999999994</v>
      </c>
      <c r="C4376" t="s">
        <v>197</v>
      </c>
      <c r="D4376">
        <v>4</v>
      </c>
    </row>
    <row r="4377" spans="1:12" x14ac:dyDescent="0.4">
      <c r="A4377" t="s">
        <v>6463</v>
      </c>
      <c r="B4377">
        <v>39.799999999999997</v>
      </c>
      <c r="C4377" t="s">
        <v>197</v>
      </c>
      <c r="D4377">
        <v>2</v>
      </c>
    </row>
    <row r="4378" spans="1:12" x14ac:dyDescent="0.4">
      <c r="A4378" t="s">
        <v>6464</v>
      </c>
      <c r="B4378">
        <v>70.400000000000006</v>
      </c>
      <c r="C4378" t="s">
        <v>197</v>
      </c>
      <c r="D4378">
        <v>4</v>
      </c>
    </row>
    <row r="4379" spans="1:12" x14ac:dyDescent="0.4">
      <c r="A4379" t="s">
        <v>7468</v>
      </c>
      <c r="B4379">
        <v>35.299999999999997</v>
      </c>
      <c r="C4379" t="s">
        <v>197</v>
      </c>
      <c r="D4379">
        <v>2</v>
      </c>
    </row>
    <row r="4380" spans="1:12" x14ac:dyDescent="0.4">
      <c r="A4380" t="s">
        <v>7469</v>
      </c>
      <c r="B4380">
        <v>58.7</v>
      </c>
      <c r="C4380" t="s">
        <v>197</v>
      </c>
      <c r="D4380">
        <v>3</v>
      </c>
    </row>
    <row r="4381" spans="1:12" x14ac:dyDescent="0.4">
      <c r="A4381" t="s">
        <v>7470</v>
      </c>
      <c r="B4381">
        <v>76.400000000000006</v>
      </c>
      <c r="C4381" t="s">
        <v>197</v>
      </c>
      <c r="D4381">
        <v>4</v>
      </c>
    </row>
    <row r="4382" spans="1:12" x14ac:dyDescent="0.4">
      <c r="A4382" t="s">
        <v>7086</v>
      </c>
      <c r="B4382">
        <v>13.2</v>
      </c>
      <c r="C4382" t="s">
        <v>5708</v>
      </c>
      <c r="D4382">
        <v>1</v>
      </c>
      <c r="E4382">
        <v>-1.0669999999999999</v>
      </c>
      <c r="F4382">
        <v>18.5</v>
      </c>
      <c r="G4382">
        <v>2019</v>
      </c>
      <c r="H4382" t="s">
        <v>928</v>
      </c>
      <c r="I4382" t="s">
        <v>6596</v>
      </c>
      <c r="J4382" t="s">
        <v>197</v>
      </c>
      <c r="L4382" t="s">
        <v>197</v>
      </c>
    </row>
    <row r="4383" spans="1:12" x14ac:dyDescent="0.4">
      <c r="A4383" t="s">
        <v>7087</v>
      </c>
      <c r="B4383">
        <v>51.6</v>
      </c>
      <c r="C4383" t="s">
        <v>6589</v>
      </c>
      <c r="D4383">
        <v>3</v>
      </c>
      <c r="E4383">
        <v>0.11700000000000001</v>
      </c>
      <c r="F4383">
        <v>22</v>
      </c>
      <c r="G4383">
        <v>2019</v>
      </c>
      <c r="H4383" t="s">
        <v>928</v>
      </c>
      <c r="I4383" t="s">
        <v>6596</v>
      </c>
      <c r="J4383" t="s">
        <v>197</v>
      </c>
      <c r="L4383" t="s">
        <v>197</v>
      </c>
    </row>
    <row r="4384" spans="1:12" x14ac:dyDescent="0.4">
      <c r="A4384" t="s">
        <v>7088</v>
      </c>
      <c r="B4384">
        <v>63.7</v>
      </c>
      <c r="C4384" t="s">
        <v>5722</v>
      </c>
      <c r="D4384">
        <v>4</v>
      </c>
      <c r="E4384">
        <v>0.49</v>
      </c>
      <c r="F4384">
        <v>23.1</v>
      </c>
      <c r="G4384">
        <v>2019</v>
      </c>
      <c r="H4384" t="s">
        <v>928</v>
      </c>
      <c r="I4384" t="s">
        <v>6596</v>
      </c>
      <c r="J4384" t="s">
        <v>197</v>
      </c>
      <c r="L4384" t="s">
        <v>197</v>
      </c>
    </row>
    <row r="4385" spans="1:12" x14ac:dyDescent="0.4">
      <c r="A4385" t="s">
        <v>7089</v>
      </c>
      <c r="B4385">
        <v>82.4</v>
      </c>
      <c r="C4385" t="s">
        <v>2481</v>
      </c>
      <c r="D4385">
        <v>5</v>
      </c>
      <c r="E4385">
        <v>1.0669999999999999</v>
      </c>
      <c r="F4385">
        <v>24.8</v>
      </c>
      <c r="G4385">
        <v>2019</v>
      </c>
      <c r="H4385" t="s">
        <v>928</v>
      </c>
      <c r="I4385" t="s">
        <v>6596</v>
      </c>
      <c r="J4385" t="s">
        <v>197</v>
      </c>
      <c r="L4385" t="s">
        <v>197</v>
      </c>
    </row>
    <row r="4386" spans="1:12" x14ac:dyDescent="0.4">
      <c r="A4386" t="s">
        <v>7090</v>
      </c>
      <c r="B4386">
        <v>69.2</v>
      </c>
      <c r="C4386" t="s">
        <v>5695</v>
      </c>
      <c r="D4386">
        <v>4</v>
      </c>
      <c r="E4386">
        <v>0.66</v>
      </c>
      <c r="F4386">
        <v>23.6</v>
      </c>
      <c r="G4386">
        <v>2019</v>
      </c>
      <c r="H4386" t="s">
        <v>928</v>
      </c>
      <c r="I4386" t="s">
        <v>6596</v>
      </c>
      <c r="J4386" t="s">
        <v>197</v>
      </c>
      <c r="L4386" t="s">
        <v>197</v>
      </c>
    </row>
    <row r="4387" spans="1:12" x14ac:dyDescent="0.4">
      <c r="A4387" t="s">
        <v>7091</v>
      </c>
      <c r="B4387">
        <v>41.8</v>
      </c>
      <c r="C4387" t="s">
        <v>6585</v>
      </c>
      <c r="D4387">
        <v>3</v>
      </c>
      <c r="E4387">
        <v>-0.185</v>
      </c>
      <c r="F4387">
        <v>21.1</v>
      </c>
      <c r="G4387">
        <v>2019</v>
      </c>
      <c r="H4387" t="s">
        <v>928</v>
      </c>
      <c r="I4387" t="s">
        <v>6596</v>
      </c>
      <c r="J4387" t="s">
        <v>197</v>
      </c>
      <c r="L4387" t="s">
        <v>197</v>
      </c>
    </row>
    <row r="4388" spans="1:12" x14ac:dyDescent="0.4">
      <c r="A4388" t="s">
        <v>7092</v>
      </c>
      <c r="B4388">
        <v>78</v>
      </c>
      <c r="C4388" t="s">
        <v>5730</v>
      </c>
      <c r="D4388">
        <v>4</v>
      </c>
      <c r="E4388">
        <v>0.93100000000000005</v>
      </c>
      <c r="F4388">
        <v>24.4</v>
      </c>
      <c r="G4388">
        <v>2019</v>
      </c>
      <c r="H4388" t="s">
        <v>928</v>
      </c>
      <c r="I4388" t="s">
        <v>6596</v>
      </c>
      <c r="J4388" t="s">
        <v>197</v>
      </c>
      <c r="L4388" t="s">
        <v>197</v>
      </c>
    </row>
    <row r="4389" spans="1:12" x14ac:dyDescent="0.4">
      <c r="A4389" t="s">
        <v>7093</v>
      </c>
      <c r="B4389">
        <v>73.599999999999994</v>
      </c>
      <c r="C4389" t="s">
        <v>5721</v>
      </c>
      <c r="D4389">
        <v>4</v>
      </c>
      <c r="E4389">
        <v>0.79600000000000004</v>
      </c>
      <c r="F4389">
        <v>24</v>
      </c>
      <c r="G4389">
        <v>2019</v>
      </c>
      <c r="H4389" t="s">
        <v>928</v>
      </c>
      <c r="I4389" t="s">
        <v>6596</v>
      </c>
      <c r="J4389" t="s">
        <v>197</v>
      </c>
      <c r="L4389" t="s">
        <v>197</v>
      </c>
    </row>
    <row r="4390" spans="1:12" x14ac:dyDescent="0.4">
      <c r="A4390" t="s">
        <v>7094</v>
      </c>
      <c r="B4390">
        <v>31.9</v>
      </c>
      <c r="C4390" t="s">
        <v>5727</v>
      </c>
      <c r="D4390">
        <v>2</v>
      </c>
      <c r="E4390">
        <v>-0.49</v>
      </c>
      <c r="F4390">
        <v>20.2</v>
      </c>
      <c r="G4390">
        <v>2019</v>
      </c>
      <c r="H4390" t="s">
        <v>928</v>
      </c>
      <c r="I4390" t="s">
        <v>6596</v>
      </c>
      <c r="J4390" t="s">
        <v>197</v>
      </c>
      <c r="L4390" t="s">
        <v>197</v>
      </c>
    </row>
    <row r="4391" spans="1:12" x14ac:dyDescent="0.4">
      <c r="A4391" t="s">
        <v>7095</v>
      </c>
      <c r="B4391">
        <v>5.5</v>
      </c>
      <c r="C4391" t="s">
        <v>5724</v>
      </c>
      <c r="D4391">
        <v>1</v>
      </c>
      <c r="E4391">
        <v>-1.3049999999999999</v>
      </c>
      <c r="F4391">
        <v>17.8</v>
      </c>
      <c r="G4391">
        <v>2019</v>
      </c>
      <c r="H4391" t="s">
        <v>928</v>
      </c>
      <c r="I4391" t="s">
        <v>6596</v>
      </c>
      <c r="J4391" t="s">
        <v>197</v>
      </c>
      <c r="L4391" t="s">
        <v>197</v>
      </c>
    </row>
    <row r="4392" spans="1:12" x14ac:dyDescent="0.4">
      <c r="A4392" t="s">
        <v>7096</v>
      </c>
      <c r="B4392">
        <v>38.5</v>
      </c>
      <c r="C4392" t="s">
        <v>5735</v>
      </c>
      <c r="D4392">
        <v>2</v>
      </c>
      <c r="E4392">
        <v>-0.28699999999999998</v>
      </c>
      <c r="F4392">
        <v>20.8</v>
      </c>
      <c r="G4392">
        <v>2019</v>
      </c>
      <c r="H4392" t="s">
        <v>928</v>
      </c>
      <c r="I4392" t="s">
        <v>6596</v>
      </c>
      <c r="J4392" t="s">
        <v>197</v>
      </c>
      <c r="L4392" t="s">
        <v>197</v>
      </c>
    </row>
    <row r="4393" spans="1:12" x14ac:dyDescent="0.4">
      <c r="A4393" t="s">
        <v>7097</v>
      </c>
      <c r="B4393">
        <v>16.5</v>
      </c>
      <c r="C4393" t="s">
        <v>5737</v>
      </c>
      <c r="D4393">
        <v>1</v>
      </c>
      <c r="E4393">
        <v>-0.96499999999999997</v>
      </c>
      <c r="F4393">
        <v>18.8</v>
      </c>
      <c r="G4393">
        <v>2019</v>
      </c>
      <c r="H4393" t="s">
        <v>928</v>
      </c>
      <c r="I4393" t="s">
        <v>6596</v>
      </c>
      <c r="J4393" t="s">
        <v>197</v>
      </c>
      <c r="L4393" t="s">
        <v>197</v>
      </c>
    </row>
    <row r="4394" spans="1:12" x14ac:dyDescent="0.4">
      <c r="A4394" t="s">
        <v>7098</v>
      </c>
      <c r="B4394">
        <v>39.6</v>
      </c>
      <c r="C4394" t="s">
        <v>5736</v>
      </c>
      <c r="D4394">
        <v>2</v>
      </c>
      <c r="E4394">
        <v>-0.253</v>
      </c>
      <c r="F4394">
        <v>20.9</v>
      </c>
      <c r="G4394">
        <v>2019</v>
      </c>
      <c r="H4394" t="s">
        <v>928</v>
      </c>
      <c r="I4394" t="s">
        <v>6596</v>
      </c>
      <c r="J4394" t="s">
        <v>197</v>
      </c>
      <c r="L4394" t="s">
        <v>197</v>
      </c>
    </row>
    <row r="4395" spans="1:12" x14ac:dyDescent="0.4">
      <c r="A4395" t="s">
        <v>7099</v>
      </c>
      <c r="B4395">
        <v>28.6</v>
      </c>
      <c r="C4395" t="s">
        <v>6044</v>
      </c>
      <c r="D4395">
        <v>2</v>
      </c>
      <c r="E4395">
        <v>-0.59199999999999997</v>
      </c>
      <c r="F4395">
        <v>19.899999999999999</v>
      </c>
      <c r="G4395">
        <v>2019</v>
      </c>
      <c r="H4395" t="s">
        <v>928</v>
      </c>
      <c r="I4395" t="s">
        <v>6596</v>
      </c>
      <c r="J4395" t="s">
        <v>197</v>
      </c>
      <c r="L4395" t="s">
        <v>197</v>
      </c>
    </row>
    <row r="4396" spans="1:12" x14ac:dyDescent="0.4">
      <c r="A4396" t="s">
        <v>7100</v>
      </c>
      <c r="B4396">
        <v>75.8</v>
      </c>
      <c r="C4396" t="s">
        <v>5696</v>
      </c>
      <c r="D4396">
        <v>4</v>
      </c>
      <c r="E4396">
        <v>0.86399999999999999</v>
      </c>
      <c r="F4396">
        <v>24.2</v>
      </c>
      <c r="G4396">
        <v>2019</v>
      </c>
      <c r="H4396" t="s">
        <v>928</v>
      </c>
      <c r="I4396" t="s">
        <v>6596</v>
      </c>
      <c r="J4396" t="s">
        <v>197</v>
      </c>
      <c r="L4396" t="s">
        <v>197</v>
      </c>
    </row>
    <row r="4397" spans="1:12" x14ac:dyDescent="0.4">
      <c r="A4397" t="s">
        <v>7101</v>
      </c>
      <c r="B4397">
        <v>25.3</v>
      </c>
      <c r="C4397" t="s">
        <v>5704</v>
      </c>
      <c r="D4397">
        <v>2</v>
      </c>
      <c r="E4397">
        <v>-0.69399999999999995</v>
      </c>
      <c r="F4397">
        <v>19.600000000000001</v>
      </c>
      <c r="G4397">
        <v>2019</v>
      </c>
      <c r="H4397" t="s">
        <v>928</v>
      </c>
      <c r="I4397" t="s">
        <v>6596</v>
      </c>
      <c r="J4397" t="s">
        <v>197</v>
      </c>
      <c r="L4397" t="s">
        <v>197</v>
      </c>
    </row>
    <row r="4398" spans="1:12" x14ac:dyDescent="0.4">
      <c r="A4398" t="s">
        <v>7102</v>
      </c>
      <c r="B4398">
        <v>0</v>
      </c>
      <c r="C4398" t="s">
        <v>6040</v>
      </c>
      <c r="D4398">
        <v>1</v>
      </c>
      <c r="E4398">
        <v>-1.474</v>
      </c>
      <c r="F4398" t="s">
        <v>197</v>
      </c>
      <c r="G4398" t="s">
        <v>197</v>
      </c>
      <c r="H4398" t="s">
        <v>928</v>
      </c>
      <c r="I4398" t="s">
        <v>197</v>
      </c>
      <c r="J4398" t="s">
        <v>197</v>
      </c>
      <c r="L4398" t="s">
        <v>197</v>
      </c>
    </row>
    <row r="4399" spans="1:12" x14ac:dyDescent="0.4">
      <c r="A4399" t="s">
        <v>7103</v>
      </c>
      <c r="B4399">
        <v>51.6</v>
      </c>
      <c r="C4399" t="s">
        <v>6589</v>
      </c>
      <c r="D4399">
        <v>3</v>
      </c>
      <c r="E4399">
        <v>0.11700000000000001</v>
      </c>
      <c r="F4399">
        <v>22</v>
      </c>
      <c r="G4399">
        <v>2019</v>
      </c>
      <c r="H4399" t="s">
        <v>928</v>
      </c>
      <c r="I4399" t="s">
        <v>6596</v>
      </c>
      <c r="J4399" t="s">
        <v>197</v>
      </c>
      <c r="L4399" t="s">
        <v>197</v>
      </c>
    </row>
    <row r="4400" spans="1:12" x14ac:dyDescent="0.4">
      <c r="A4400" t="s">
        <v>7104</v>
      </c>
      <c r="B4400">
        <v>6.6</v>
      </c>
      <c r="C4400" t="s">
        <v>5728</v>
      </c>
      <c r="D4400">
        <v>1</v>
      </c>
      <c r="E4400">
        <v>-1.2709999999999999</v>
      </c>
      <c r="F4400">
        <v>17.899999999999999</v>
      </c>
      <c r="G4400">
        <v>2019</v>
      </c>
      <c r="H4400" t="s">
        <v>928</v>
      </c>
      <c r="I4400" t="s">
        <v>6596</v>
      </c>
      <c r="J4400" t="s">
        <v>197</v>
      </c>
      <c r="L4400" t="s">
        <v>197</v>
      </c>
    </row>
    <row r="4401" spans="1:12" x14ac:dyDescent="0.4">
      <c r="A4401" t="s">
        <v>7105</v>
      </c>
      <c r="B4401">
        <v>19.8</v>
      </c>
      <c r="C4401" t="s">
        <v>5702</v>
      </c>
      <c r="D4401">
        <v>1</v>
      </c>
      <c r="E4401">
        <v>-0.86399999999999999</v>
      </c>
      <c r="F4401">
        <v>19.100000000000001</v>
      </c>
      <c r="G4401">
        <v>2019</v>
      </c>
      <c r="H4401" t="s">
        <v>928</v>
      </c>
      <c r="I4401" t="s">
        <v>6596</v>
      </c>
      <c r="J4401" t="s">
        <v>197</v>
      </c>
      <c r="L4401" t="s">
        <v>197</v>
      </c>
    </row>
    <row r="4402" spans="1:12" x14ac:dyDescent="0.4">
      <c r="A4402" t="s">
        <v>7106</v>
      </c>
      <c r="B4402">
        <v>0</v>
      </c>
      <c r="C4402" t="s">
        <v>6040</v>
      </c>
      <c r="D4402">
        <v>1</v>
      </c>
      <c r="E4402">
        <v>-1.474</v>
      </c>
      <c r="F4402">
        <v>17.3</v>
      </c>
      <c r="G4402">
        <v>2019</v>
      </c>
      <c r="H4402" t="s">
        <v>928</v>
      </c>
      <c r="I4402" t="s">
        <v>6596</v>
      </c>
      <c r="J4402" t="s">
        <v>197</v>
      </c>
      <c r="L4402" t="s">
        <v>197</v>
      </c>
    </row>
    <row r="4403" spans="1:12" x14ac:dyDescent="0.4">
      <c r="A4403" t="s">
        <v>7107</v>
      </c>
      <c r="B4403">
        <v>7.7</v>
      </c>
      <c r="C4403" t="s">
        <v>5711</v>
      </c>
      <c r="D4403">
        <v>1</v>
      </c>
      <c r="E4403">
        <v>-1.2370000000000001</v>
      </c>
      <c r="F4403">
        <v>18</v>
      </c>
      <c r="G4403">
        <v>2019</v>
      </c>
      <c r="H4403" t="s">
        <v>928</v>
      </c>
      <c r="I4403" t="s">
        <v>6596</v>
      </c>
      <c r="J4403" t="s">
        <v>197</v>
      </c>
      <c r="L4403" t="s">
        <v>197</v>
      </c>
    </row>
    <row r="4404" spans="1:12" x14ac:dyDescent="0.4">
      <c r="A4404" t="s">
        <v>7108</v>
      </c>
      <c r="B4404">
        <v>16.5</v>
      </c>
      <c r="C4404" t="s">
        <v>5737</v>
      </c>
      <c r="D4404">
        <v>1</v>
      </c>
      <c r="E4404">
        <v>-0.96499999999999997</v>
      </c>
      <c r="F4404">
        <v>18.8</v>
      </c>
      <c r="G4404">
        <v>2019</v>
      </c>
      <c r="H4404" t="s">
        <v>928</v>
      </c>
      <c r="I4404" t="s">
        <v>6596</v>
      </c>
      <c r="J4404" t="s">
        <v>197</v>
      </c>
      <c r="L4404" t="s">
        <v>197</v>
      </c>
    </row>
    <row r="4405" spans="1:12" x14ac:dyDescent="0.4">
      <c r="A4405" t="s">
        <v>7109</v>
      </c>
      <c r="B4405">
        <v>73.599999999999994</v>
      </c>
      <c r="C4405" t="s">
        <v>5721</v>
      </c>
      <c r="D4405">
        <v>4</v>
      </c>
      <c r="E4405">
        <v>0.79600000000000004</v>
      </c>
      <c r="F4405">
        <v>24</v>
      </c>
      <c r="G4405">
        <v>2019</v>
      </c>
      <c r="H4405" t="s">
        <v>928</v>
      </c>
      <c r="I4405" t="s">
        <v>6596</v>
      </c>
      <c r="J4405" t="s">
        <v>197</v>
      </c>
      <c r="L4405" t="s">
        <v>197</v>
      </c>
    </row>
    <row r="4406" spans="1:12" x14ac:dyDescent="0.4">
      <c r="A4406" t="s">
        <v>7110</v>
      </c>
      <c r="B4406">
        <v>9.9</v>
      </c>
      <c r="C4406" t="s">
        <v>5713</v>
      </c>
      <c r="D4406">
        <v>1</v>
      </c>
      <c r="E4406">
        <v>-1.169</v>
      </c>
      <c r="F4406">
        <v>18.2</v>
      </c>
      <c r="G4406">
        <v>2019</v>
      </c>
      <c r="H4406" t="s">
        <v>928</v>
      </c>
      <c r="I4406" t="s">
        <v>6596</v>
      </c>
      <c r="J4406" t="s">
        <v>197</v>
      </c>
      <c r="L4406" t="s">
        <v>197</v>
      </c>
    </row>
    <row r="4407" spans="1:12" x14ac:dyDescent="0.4">
      <c r="A4407" t="s">
        <v>7111</v>
      </c>
      <c r="B4407">
        <v>74.7</v>
      </c>
      <c r="C4407" t="s">
        <v>6045</v>
      </c>
      <c r="D4407">
        <v>4</v>
      </c>
      <c r="E4407">
        <v>0.83</v>
      </c>
      <c r="F4407">
        <v>24.1</v>
      </c>
      <c r="G4407">
        <v>2019</v>
      </c>
      <c r="H4407" t="s">
        <v>928</v>
      </c>
      <c r="I4407" t="s">
        <v>6596</v>
      </c>
      <c r="J4407" t="s">
        <v>197</v>
      </c>
      <c r="L4407" t="s">
        <v>197</v>
      </c>
    </row>
    <row r="4408" spans="1:12" x14ac:dyDescent="0.4">
      <c r="A4408" t="s">
        <v>7112</v>
      </c>
      <c r="B4408">
        <v>89</v>
      </c>
      <c r="C4408" t="s">
        <v>2483</v>
      </c>
      <c r="D4408">
        <v>5</v>
      </c>
      <c r="E4408">
        <v>1.2709999999999999</v>
      </c>
      <c r="F4408">
        <v>25.4</v>
      </c>
      <c r="G4408">
        <v>2019</v>
      </c>
      <c r="H4408" t="s">
        <v>928</v>
      </c>
      <c r="I4408" t="s">
        <v>6596</v>
      </c>
      <c r="J4408" t="s">
        <v>197</v>
      </c>
      <c r="L4408" t="s">
        <v>197</v>
      </c>
    </row>
    <row r="4409" spans="1:12" x14ac:dyDescent="0.4">
      <c r="A4409" t="s">
        <v>7113</v>
      </c>
      <c r="B4409">
        <v>5.5</v>
      </c>
      <c r="C4409" t="s">
        <v>5724</v>
      </c>
      <c r="D4409">
        <v>1</v>
      </c>
      <c r="E4409">
        <v>-1.3049999999999999</v>
      </c>
      <c r="F4409">
        <v>17.8</v>
      </c>
      <c r="G4409">
        <v>2019</v>
      </c>
      <c r="H4409" t="s">
        <v>928</v>
      </c>
      <c r="I4409" t="s">
        <v>6596</v>
      </c>
      <c r="J4409" t="s">
        <v>197</v>
      </c>
      <c r="L4409" t="s">
        <v>197</v>
      </c>
    </row>
    <row r="4410" spans="1:12" x14ac:dyDescent="0.4">
      <c r="A4410" t="s">
        <v>7114</v>
      </c>
      <c r="B4410">
        <v>91.2</v>
      </c>
      <c r="C4410" t="s">
        <v>6039</v>
      </c>
      <c r="D4410">
        <v>5</v>
      </c>
      <c r="E4410">
        <v>1.339</v>
      </c>
      <c r="F4410">
        <v>25.6</v>
      </c>
      <c r="G4410">
        <v>2019</v>
      </c>
      <c r="H4410" t="s">
        <v>928</v>
      </c>
      <c r="I4410" t="s">
        <v>6596</v>
      </c>
      <c r="J4410" t="s">
        <v>197</v>
      </c>
      <c r="L4410" t="s">
        <v>197</v>
      </c>
    </row>
    <row r="4411" spans="1:12" x14ac:dyDescent="0.4">
      <c r="A4411" t="s">
        <v>7115</v>
      </c>
      <c r="B4411">
        <v>49.5</v>
      </c>
      <c r="C4411" t="s">
        <v>5700</v>
      </c>
      <c r="D4411">
        <v>3</v>
      </c>
      <c r="E4411">
        <v>5.1999999999999998E-2</v>
      </c>
      <c r="F4411">
        <v>21.8</v>
      </c>
      <c r="G4411">
        <v>2019</v>
      </c>
      <c r="H4411" t="s">
        <v>928</v>
      </c>
      <c r="I4411" t="s">
        <v>6596</v>
      </c>
      <c r="J4411" t="s">
        <v>197</v>
      </c>
      <c r="L4411" t="s">
        <v>197</v>
      </c>
    </row>
    <row r="4412" spans="1:12" x14ac:dyDescent="0.4">
      <c r="A4412" t="s">
        <v>7116</v>
      </c>
      <c r="B4412">
        <v>28.6</v>
      </c>
      <c r="C4412" t="s">
        <v>6044</v>
      </c>
      <c r="D4412">
        <v>2</v>
      </c>
      <c r="E4412">
        <v>-0.59199999999999997</v>
      </c>
      <c r="F4412">
        <v>19.899999999999999</v>
      </c>
      <c r="G4412">
        <v>2019</v>
      </c>
      <c r="H4412" t="s">
        <v>928</v>
      </c>
      <c r="I4412" t="s">
        <v>6596</v>
      </c>
      <c r="J4412" t="s">
        <v>197</v>
      </c>
      <c r="L4412" t="s">
        <v>197</v>
      </c>
    </row>
    <row r="4413" spans="1:12" x14ac:dyDescent="0.4">
      <c r="A4413" t="s">
        <v>7117</v>
      </c>
      <c r="B4413">
        <v>16.5</v>
      </c>
      <c r="C4413" t="s">
        <v>5737</v>
      </c>
      <c r="D4413">
        <v>1</v>
      </c>
      <c r="E4413">
        <v>-0.96499999999999997</v>
      </c>
      <c r="F4413">
        <v>18.8</v>
      </c>
      <c r="G4413">
        <v>2019</v>
      </c>
      <c r="H4413" t="s">
        <v>928</v>
      </c>
      <c r="I4413" t="s">
        <v>6596</v>
      </c>
      <c r="J4413" t="s">
        <v>197</v>
      </c>
      <c r="L4413" t="s">
        <v>197</v>
      </c>
    </row>
    <row r="4414" spans="1:12" x14ac:dyDescent="0.4">
      <c r="A4414" t="s">
        <v>7118</v>
      </c>
      <c r="B4414">
        <v>3.3</v>
      </c>
      <c r="C4414" t="s">
        <v>6036</v>
      </c>
      <c r="D4414">
        <v>1</v>
      </c>
      <c r="E4414">
        <v>-1.3720000000000001</v>
      </c>
      <c r="F4414">
        <v>17.600000000000001</v>
      </c>
      <c r="G4414">
        <v>2019</v>
      </c>
      <c r="H4414" t="s">
        <v>928</v>
      </c>
      <c r="I4414" t="s">
        <v>6596</v>
      </c>
      <c r="J4414" t="s">
        <v>197</v>
      </c>
      <c r="L4414" t="s">
        <v>197</v>
      </c>
    </row>
    <row r="4415" spans="1:12" x14ac:dyDescent="0.4">
      <c r="A4415" t="s">
        <v>7119</v>
      </c>
      <c r="B4415">
        <v>63.7</v>
      </c>
      <c r="C4415" t="s">
        <v>5722</v>
      </c>
      <c r="D4415">
        <v>4</v>
      </c>
      <c r="E4415">
        <v>0.49</v>
      </c>
      <c r="F4415">
        <v>23.1</v>
      </c>
      <c r="G4415">
        <v>2019</v>
      </c>
      <c r="H4415" t="s">
        <v>928</v>
      </c>
      <c r="I4415" t="s">
        <v>6596</v>
      </c>
      <c r="J4415" t="s">
        <v>197</v>
      </c>
      <c r="L4415" t="s">
        <v>197</v>
      </c>
    </row>
    <row r="4416" spans="1:12" x14ac:dyDescent="0.4">
      <c r="A4416" t="s">
        <v>7120</v>
      </c>
      <c r="B4416">
        <v>100</v>
      </c>
      <c r="C4416" t="s">
        <v>1380</v>
      </c>
      <c r="D4416">
        <v>5</v>
      </c>
      <c r="E4416">
        <v>1.61</v>
      </c>
      <c r="F4416">
        <v>26.4</v>
      </c>
      <c r="G4416">
        <v>2019</v>
      </c>
      <c r="H4416" t="s">
        <v>928</v>
      </c>
      <c r="I4416" t="s">
        <v>6596</v>
      </c>
      <c r="J4416" t="s">
        <v>197</v>
      </c>
      <c r="L4416" t="s">
        <v>197</v>
      </c>
    </row>
    <row r="4417" spans="1:12" x14ac:dyDescent="0.4">
      <c r="A4417" t="s">
        <v>7121</v>
      </c>
      <c r="B4417">
        <v>87.9</v>
      </c>
      <c r="C4417" t="s">
        <v>2482</v>
      </c>
      <c r="D4417">
        <v>5</v>
      </c>
      <c r="E4417">
        <v>1.2370000000000001</v>
      </c>
      <c r="F4417">
        <v>25.3</v>
      </c>
      <c r="G4417">
        <v>2019</v>
      </c>
      <c r="H4417" t="s">
        <v>928</v>
      </c>
      <c r="I4417" t="s">
        <v>6596</v>
      </c>
      <c r="J4417" t="s">
        <v>197</v>
      </c>
      <c r="L4417" t="s">
        <v>197</v>
      </c>
    </row>
    <row r="4418" spans="1:12" x14ac:dyDescent="0.4">
      <c r="A4418" t="s">
        <v>7122</v>
      </c>
      <c r="B4418">
        <v>4.4000000000000004</v>
      </c>
      <c r="C4418" t="s">
        <v>6037</v>
      </c>
      <c r="D4418">
        <v>1</v>
      </c>
      <c r="E4418">
        <v>-1.339</v>
      </c>
      <c r="F4418">
        <v>17.7</v>
      </c>
      <c r="G4418">
        <v>2019</v>
      </c>
      <c r="H4418" t="s">
        <v>928</v>
      </c>
      <c r="I4418" t="s">
        <v>6596</v>
      </c>
      <c r="J4418" t="s">
        <v>197</v>
      </c>
      <c r="L4418" t="s">
        <v>197</v>
      </c>
    </row>
    <row r="4419" spans="1:12" x14ac:dyDescent="0.4">
      <c r="A4419" t="s">
        <v>7123</v>
      </c>
      <c r="B4419">
        <v>28.6</v>
      </c>
      <c r="C4419" t="s">
        <v>6044</v>
      </c>
      <c r="D4419">
        <v>2</v>
      </c>
      <c r="E4419">
        <v>-0.59199999999999997</v>
      </c>
      <c r="F4419">
        <v>19.899999999999999</v>
      </c>
      <c r="G4419">
        <v>2019</v>
      </c>
      <c r="H4419" t="s">
        <v>928</v>
      </c>
      <c r="I4419" t="s">
        <v>6596</v>
      </c>
      <c r="J4419" t="s">
        <v>197</v>
      </c>
      <c r="L4419" t="s">
        <v>197</v>
      </c>
    </row>
    <row r="4420" spans="1:12" x14ac:dyDescent="0.4">
      <c r="A4420" t="s">
        <v>7124</v>
      </c>
      <c r="B4420">
        <v>84.6</v>
      </c>
      <c r="C4420" t="s">
        <v>2474</v>
      </c>
      <c r="D4420">
        <v>5</v>
      </c>
      <c r="E4420">
        <v>1.135</v>
      </c>
      <c r="F4420">
        <v>25</v>
      </c>
      <c r="G4420">
        <v>2019</v>
      </c>
      <c r="H4420" t="s">
        <v>928</v>
      </c>
      <c r="I4420" t="s">
        <v>6596</v>
      </c>
      <c r="J4420" t="s">
        <v>197</v>
      </c>
      <c r="L4420" t="s">
        <v>197</v>
      </c>
    </row>
    <row r="4421" spans="1:12" x14ac:dyDescent="0.4">
      <c r="A4421" t="s">
        <v>7125</v>
      </c>
      <c r="B4421">
        <v>63.7</v>
      </c>
      <c r="C4421" t="s">
        <v>5722</v>
      </c>
      <c r="D4421">
        <v>4</v>
      </c>
      <c r="E4421">
        <v>0.49</v>
      </c>
      <c r="F4421">
        <v>23.1</v>
      </c>
      <c r="G4421">
        <v>2019</v>
      </c>
      <c r="H4421" t="s">
        <v>928</v>
      </c>
      <c r="I4421" t="s">
        <v>6596</v>
      </c>
      <c r="J4421" t="s">
        <v>197</v>
      </c>
      <c r="L4421" t="s">
        <v>197</v>
      </c>
    </row>
    <row r="4422" spans="1:12" x14ac:dyDescent="0.4">
      <c r="A4422" t="s">
        <v>7126</v>
      </c>
      <c r="B4422">
        <v>50.5</v>
      </c>
      <c r="C4422" t="s">
        <v>5729</v>
      </c>
      <c r="D4422">
        <v>3</v>
      </c>
      <c r="E4422">
        <v>8.3000000000000004E-2</v>
      </c>
      <c r="F4422">
        <v>21.9</v>
      </c>
      <c r="G4422">
        <v>2019</v>
      </c>
      <c r="H4422" t="s">
        <v>928</v>
      </c>
      <c r="I4422" t="s">
        <v>6596</v>
      </c>
      <c r="J4422" t="s">
        <v>197</v>
      </c>
      <c r="L4422" t="s">
        <v>197</v>
      </c>
    </row>
    <row r="4423" spans="1:12" x14ac:dyDescent="0.4">
      <c r="A4423" t="s">
        <v>7127</v>
      </c>
      <c r="B4423">
        <v>93.4</v>
      </c>
      <c r="C4423" t="s">
        <v>2477</v>
      </c>
      <c r="D4423">
        <v>5</v>
      </c>
      <c r="E4423">
        <v>1.4059999999999999</v>
      </c>
      <c r="F4423">
        <v>25.8</v>
      </c>
      <c r="G4423">
        <v>2019</v>
      </c>
      <c r="H4423" t="s">
        <v>928</v>
      </c>
      <c r="I4423" t="s">
        <v>6596</v>
      </c>
      <c r="J4423" t="s">
        <v>197</v>
      </c>
      <c r="L4423" t="s">
        <v>197</v>
      </c>
    </row>
    <row r="4424" spans="1:12" x14ac:dyDescent="0.4">
      <c r="A4424" t="s">
        <v>7128</v>
      </c>
      <c r="B4424">
        <v>41.8</v>
      </c>
      <c r="C4424" t="s">
        <v>6585</v>
      </c>
      <c r="D4424">
        <v>3</v>
      </c>
      <c r="E4424">
        <v>-0.185</v>
      </c>
      <c r="F4424">
        <v>21.1</v>
      </c>
      <c r="G4424">
        <v>2019</v>
      </c>
      <c r="H4424" t="s">
        <v>928</v>
      </c>
      <c r="I4424" t="s">
        <v>6596</v>
      </c>
      <c r="J4424" t="s">
        <v>197</v>
      </c>
      <c r="L4424" t="s">
        <v>197</v>
      </c>
    </row>
    <row r="4425" spans="1:12" x14ac:dyDescent="0.4">
      <c r="A4425" t="s">
        <v>7129</v>
      </c>
      <c r="B4425">
        <v>90.1</v>
      </c>
      <c r="C4425" t="s">
        <v>2480</v>
      </c>
      <c r="D4425">
        <v>5</v>
      </c>
      <c r="E4425">
        <v>1.3049999999999999</v>
      </c>
      <c r="F4425">
        <v>25.5</v>
      </c>
      <c r="G4425">
        <v>2019</v>
      </c>
      <c r="H4425" t="s">
        <v>928</v>
      </c>
      <c r="I4425" t="s">
        <v>6596</v>
      </c>
      <c r="J4425" t="s">
        <v>197</v>
      </c>
      <c r="L4425" t="s">
        <v>197</v>
      </c>
    </row>
    <row r="4426" spans="1:12" x14ac:dyDescent="0.4">
      <c r="A4426" t="s">
        <v>7130</v>
      </c>
      <c r="B4426">
        <v>91.2</v>
      </c>
      <c r="C4426" t="s">
        <v>6039</v>
      </c>
      <c r="D4426">
        <v>5</v>
      </c>
      <c r="E4426">
        <v>1.339</v>
      </c>
      <c r="F4426">
        <v>25.6</v>
      </c>
      <c r="G4426">
        <v>2019</v>
      </c>
      <c r="H4426" t="s">
        <v>928</v>
      </c>
      <c r="I4426" t="s">
        <v>6596</v>
      </c>
      <c r="J4426" t="s">
        <v>197</v>
      </c>
      <c r="L4426" t="s">
        <v>197</v>
      </c>
    </row>
    <row r="4427" spans="1:12" x14ac:dyDescent="0.4">
      <c r="A4427" t="s">
        <v>7131</v>
      </c>
      <c r="B4427">
        <v>100</v>
      </c>
      <c r="C4427" t="s">
        <v>1380</v>
      </c>
      <c r="D4427">
        <v>5</v>
      </c>
      <c r="E4427">
        <v>1.61</v>
      </c>
      <c r="F4427">
        <v>26.4</v>
      </c>
      <c r="G4427">
        <v>2019</v>
      </c>
      <c r="H4427" t="s">
        <v>928</v>
      </c>
      <c r="I4427" t="s">
        <v>6596</v>
      </c>
      <c r="J4427" t="s">
        <v>197</v>
      </c>
      <c r="L4427" t="s">
        <v>197</v>
      </c>
    </row>
    <row r="4428" spans="1:12" x14ac:dyDescent="0.4">
      <c r="A4428" t="s">
        <v>7132</v>
      </c>
      <c r="B4428">
        <v>86.8</v>
      </c>
      <c r="C4428" t="s">
        <v>2484</v>
      </c>
      <c r="D4428">
        <v>5</v>
      </c>
      <c r="E4428">
        <v>1.2030000000000001</v>
      </c>
      <c r="F4428">
        <v>25.2</v>
      </c>
      <c r="G4428">
        <v>2019</v>
      </c>
      <c r="H4428" t="s">
        <v>928</v>
      </c>
      <c r="I4428" t="s">
        <v>6596</v>
      </c>
      <c r="J4428" t="s">
        <v>197</v>
      </c>
      <c r="L4428" t="s">
        <v>197</v>
      </c>
    </row>
    <row r="4429" spans="1:12" x14ac:dyDescent="0.4">
      <c r="A4429" t="s">
        <v>7133</v>
      </c>
      <c r="B4429">
        <v>74.7</v>
      </c>
      <c r="C4429" t="s">
        <v>6045</v>
      </c>
      <c r="D4429">
        <v>4</v>
      </c>
      <c r="E4429">
        <v>0.83</v>
      </c>
      <c r="F4429">
        <v>24.1</v>
      </c>
      <c r="G4429">
        <v>2019</v>
      </c>
      <c r="H4429" t="s">
        <v>928</v>
      </c>
      <c r="I4429" t="s">
        <v>6596</v>
      </c>
      <c r="J4429" t="s">
        <v>197</v>
      </c>
      <c r="L4429" t="s">
        <v>197</v>
      </c>
    </row>
    <row r="4430" spans="1:12" x14ac:dyDescent="0.4">
      <c r="A4430" t="s">
        <v>7134</v>
      </c>
      <c r="B4430">
        <v>41.8</v>
      </c>
      <c r="C4430" t="s">
        <v>6585</v>
      </c>
      <c r="D4430">
        <v>3</v>
      </c>
      <c r="E4430">
        <v>-0.185</v>
      </c>
      <c r="F4430">
        <v>21.1</v>
      </c>
      <c r="G4430">
        <v>2019</v>
      </c>
      <c r="H4430" t="s">
        <v>928</v>
      </c>
      <c r="I4430" t="s">
        <v>6596</v>
      </c>
      <c r="J4430" t="s">
        <v>197</v>
      </c>
      <c r="L4430" t="s">
        <v>197</v>
      </c>
    </row>
    <row r="4431" spans="1:12" x14ac:dyDescent="0.4">
      <c r="A4431" t="s">
        <v>7135</v>
      </c>
      <c r="B4431">
        <v>8.8000000000000007</v>
      </c>
      <c r="C4431" t="s">
        <v>5712</v>
      </c>
      <c r="D4431">
        <v>1</v>
      </c>
      <c r="E4431">
        <v>-1.2030000000000001</v>
      </c>
      <c r="F4431">
        <v>18.100000000000001</v>
      </c>
      <c r="G4431">
        <v>2019</v>
      </c>
      <c r="H4431" t="s">
        <v>928</v>
      </c>
      <c r="I4431" t="s">
        <v>6596</v>
      </c>
      <c r="J4431" t="s">
        <v>197</v>
      </c>
      <c r="L4431" t="s">
        <v>197</v>
      </c>
    </row>
    <row r="4432" spans="1:12" x14ac:dyDescent="0.4">
      <c r="A4432" t="s">
        <v>7136</v>
      </c>
      <c r="B4432">
        <v>47.8</v>
      </c>
      <c r="C4432" t="s">
        <v>197</v>
      </c>
      <c r="D4432">
        <v>3</v>
      </c>
    </row>
    <row r="4433" spans="1:12" x14ac:dyDescent="0.4">
      <c r="A4433" t="s">
        <v>7137</v>
      </c>
      <c r="B4433">
        <v>19.600000000000001</v>
      </c>
      <c r="C4433" t="s">
        <v>197</v>
      </c>
      <c r="D4433">
        <v>1</v>
      </c>
    </row>
    <row r="4434" spans="1:12" x14ac:dyDescent="0.4">
      <c r="A4434" t="s">
        <v>7138</v>
      </c>
      <c r="B4434">
        <v>64.5</v>
      </c>
      <c r="C4434" t="s">
        <v>197</v>
      </c>
      <c r="D4434">
        <v>4</v>
      </c>
    </row>
    <row r="4435" spans="1:12" x14ac:dyDescent="0.4">
      <c r="A4435" t="s">
        <v>7139</v>
      </c>
      <c r="B4435">
        <v>34.1</v>
      </c>
      <c r="C4435" t="s">
        <v>197</v>
      </c>
      <c r="D4435">
        <v>2</v>
      </c>
    </row>
    <row r="4436" spans="1:12" x14ac:dyDescent="0.4">
      <c r="A4436" t="s">
        <v>7140</v>
      </c>
      <c r="B4436">
        <v>67.7</v>
      </c>
      <c r="C4436" t="s">
        <v>197</v>
      </c>
      <c r="D4436">
        <v>4</v>
      </c>
    </row>
    <row r="4437" spans="1:12" x14ac:dyDescent="0.4">
      <c r="A4437" t="s">
        <v>7141</v>
      </c>
      <c r="B4437">
        <v>22</v>
      </c>
      <c r="C4437" t="s">
        <v>197</v>
      </c>
      <c r="D4437">
        <v>2</v>
      </c>
    </row>
    <row r="4438" spans="1:12" x14ac:dyDescent="0.4">
      <c r="A4438" t="s">
        <v>7142</v>
      </c>
      <c r="B4438">
        <v>57.8</v>
      </c>
      <c r="C4438" t="s">
        <v>197</v>
      </c>
      <c r="D4438">
        <v>3</v>
      </c>
    </row>
    <row r="4439" spans="1:12" x14ac:dyDescent="0.4">
      <c r="A4439" t="s">
        <v>7483</v>
      </c>
      <c r="B4439">
        <v>16.399999999999999</v>
      </c>
      <c r="C4439" t="s">
        <v>197</v>
      </c>
      <c r="D4439">
        <v>1</v>
      </c>
    </row>
    <row r="4440" spans="1:12" x14ac:dyDescent="0.4">
      <c r="A4440" t="s">
        <v>7484</v>
      </c>
      <c r="B4440">
        <v>43.2</v>
      </c>
      <c r="C4440" t="s">
        <v>197</v>
      </c>
      <c r="D4440">
        <v>3</v>
      </c>
    </row>
    <row r="4441" spans="1:12" x14ac:dyDescent="0.4">
      <c r="A4441" t="s">
        <v>7485</v>
      </c>
      <c r="B4441">
        <v>71.900000000000006</v>
      </c>
      <c r="C4441" t="s">
        <v>197</v>
      </c>
      <c r="D4441">
        <v>4</v>
      </c>
    </row>
    <row r="4442" spans="1:12" x14ac:dyDescent="0.4">
      <c r="A4442" t="s">
        <v>7143</v>
      </c>
      <c r="B4442">
        <v>16.7</v>
      </c>
      <c r="C4442" t="s">
        <v>5720</v>
      </c>
      <c r="D4442">
        <v>1</v>
      </c>
      <c r="E4442">
        <v>-0.92200000000000004</v>
      </c>
      <c r="F4442">
        <v>13.9</v>
      </c>
      <c r="G4442">
        <v>2019</v>
      </c>
      <c r="H4442" t="s">
        <v>928</v>
      </c>
      <c r="I4442" t="s">
        <v>6596</v>
      </c>
      <c r="J4442" t="s">
        <v>197</v>
      </c>
      <c r="L4442" t="s">
        <v>197</v>
      </c>
    </row>
    <row r="4443" spans="1:12" x14ac:dyDescent="0.4">
      <c r="A4443" t="s">
        <v>7144</v>
      </c>
      <c r="B4443">
        <v>43.6</v>
      </c>
      <c r="C4443" t="s">
        <v>5700</v>
      </c>
      <c r="D4443">
        <v>3</v>
      </c>
      <c r="E4443">
        <v>-6.0999999999999999E-2</v>
      </c>
      <c r="F4443">
        <v>16</v>
      </c>
      <c r="G4443">
        <v>2019</v>
      </c>
      <c r="H4443" t="s">
        <v>928</v>
      </c>
      <c r="I4443" t="s">
        <v>6596</v>
      </c>
      <c r="J4443" t="s">
        <v>197</v>
      </c>
      <c r="L4443" t="s">
        <v>197</v>
      </c>
    </row>
    <row r="4444" spans="1:12" x14ac:dyDescent="0.4">
      <c r="A4444" t="s">
        <v>7145</v>
      </c>
      <c r="B4444">
        <v>48.7</v>
      </c>
      <c r="C4444" t="s">
        <v>6617</v>
      </c>
      <c r="D4444">
        <v>3</v>
      </c>
      <c r="E4444">
        <v>0.10199999999999999</v>
      </c>
      <c r="F4444">
        <v>16.399999999999999</v>
      </c>
      <c r="G4444">
        <v>2019</v>
      </c>
      <c r="H4444" t="s">
        <v>928</v>
      </c>
      <c r="I4444" t="s">
        <v>6596</v>
      </c>
      <c r="J4444" t="s">
        <v>197</v>
      </c>
      <c r="L4444" t="s">
        <v>197</v>
      </c>
    </row>
    <row r="4445" spans="1:12" x14ac:dyDescent="0.4">
      <c r="A4445" t="s">
        <v>7146</v>
      </c>
      <c r="B4445">
        <v>76.900000000000006</v>
      </c>
      <c r="C4445" t="s">
        <v>2481</v>
      </c>
      <c r="D4445">
        <v>4</v>
      </c>
      <c r="E4445">
        <v>1.0049999999999999</v>
      </c>
      <c r="F4445">
        <v>18.600000000000001</v>
      </c>
      <c r="G4445">
        <v>2019</v>
      </c>
      <c r="H4445" t="s">
        <v>928</v>
      </c>
      <c r="I4445" t="s">
        <v>6596</v>
      </c>
      <c r="J4445" t="s">
        <v>197</v>
      </c>
      <c r="L4445" t="s">
        <v>197</v>
      </c>
    </row>
    <row r="4446" spans="1:12" x14ac:dyDescent="0.4">
      <c r="A4446" t="s">
        <v>7147</v>
      </c>
      <c r="B4446">
        <v>69.2</v>
      </c>
      <c r="C4446" t="s">
        <v>5692</v>
      </c>
      <c r="D4446">
        <v>4</v>
      </c>
      <c r="E4446">
        <v>0.75800000000000001</v>
      </c>
      <c r="F4446">
        <v>18</v>
      </c>
      <c r="G4446">
        <v>2019</v>
      </c>
      <c r="H4446" t="s">
        <v>928</v>
      </c>
      <c r="I4446" t="s">
        <v>6596</v>
      </c>
      <c r="J4446" t="s">
        <v>197</v>
      </c>
      <c r="L4446" t="s">
        <v>197</v>
      </c>
    </row>
    <row r="4447" spans="1:12" x14ac:dyDescent="0.4">
      <c r="A4447" t="s">
        <v>7148</v>
      </c>
      <c r="B4447">
        <v>42.3</v>
      </c>
      <c r="C4447" t="s">
        <v>6585</v>
      </c>
      <c r="D4447">
        <v>3</v>
      </c>
      <c r="E4447">
        <v>-0.10199999999999999</v>
      </c>
      <c r="F4447">
        <v>15.9</v>
      </c>
      <c r="G4447">
        <v>2019</v>
      </c>
      <c r="H4447" t="s">
        <v>928</v>
      </c>
      <c r="I4447" t="s">
        <v>6596</v>
      </c>
      <c r="J4447" t="s">
        <v>197</v>
      </c>
      <c r="L4447" t="s">
        <v>197</v>
      </c>
    </row>
    <row r="4448" spans="1:12" x14ac:dyDescent="0.4">
      <c r="A4448" t="s">
        <v>7149</v>
      </c>
      <c r="B4448">
        <v>75.599999999999994</v>
      </c>
      <c r="C4448" t="s">
        <v>2487</v>
      </c>
      <c r="D4448">
        <v>4</v>
      </c>
      <c r="E4448">
        <v>0.96299999999999997</v>
      </c>
      <c r="F4448">
        <v>18.5</v>
      </c>
      <c r="G4448">
        <v>2019</v>
      </c>
      <c r="H4448" t="s">
        <v>928</v>
      </c>
      <c r="I4448" t="s">
        <v>6596</v>
      </c>
      <c r="J4448" t="s">
        <v>197</v>
      </c>
      <c r="L4448" t="s">
        <v>197</v>
      </c>
    </row>
    <row r="4449" spans="1:12" x14ac:dyDescent="0.4">
      <c r="A4449" t="s">
        <v>7150</v>
      </c>
      <c r="B4449">
        <v>70.5</v>
      </c>
      <c r="C4449" t="s">
        <v>5705</v>
      </c>
      <c r="D4449">
        <v>4</v>
      </c>
      <c r="E4449">
        <v>0.8</v>
      </c>
      <c r="F4449">
        <v>18.100000000000001</v>
      </c>
      <c r="G4449">
        <v>2019</v>
      </c>
      <c r="H4449" t="s">
        <v>928</v>
      </c>
      <c r="I4449" t="s">
        <v>6596</v>
      </c>
      <c r="J4449" t="s">
        <v>197</v>
      </c>
      <c r="L4449" t="s">
        <v>197</v>
      </c>
    </row>
    <row r="4450" spans="1:12" x14ac:dyDescent="0.4">
      <c r="A4450" t="s">
        <v>7151</v>
      </c>
      <c r="B4450">
        <v>34.6</v>
      </c>
      <c r="C4450" t="s">
        <v>6590</v>
      </c>
      <c r="D4450">
        <v>2</v>
      </c>
      <c r="E4450">
        <v>-0.34899999999999998</v>
      </c>
      <c r="F4450">
        <v>15.3</v>
      </c>
      <c r="G4450">
        <v>2019</v>
      </c>
      <c r="H4450" t="s">
        <v>928</v>
      </c>
      <c r="I4450" t="s">
        <v>6596</v>
      </c>
      <c r="J4450" t="s">
        <v>197</v>
      </c>
      <c r="L4450" t="s">
        <v>197</v>
      </c>
    </row>
    <row r="4451" spans="1:12" x14ac:dyDescent="0.4">
      <c r="A4451" t="s">
        <v>7152</v>
      </c>
      <c r="B4451">
        <v>10.3</v>
      </c>
      <c r="C4451" t="s">
        <v>6588</v>
      </c>
      <c r="D4451">
        <v>1</v>
      </c>
      <c r="E4451">
        <v>-1.1259999999999999</v>
      </c>
      <c r="F4451">
        <v>13.4</v>
      </c>
      <c r="G4451">
        <v>2019</v>
      </c>
      <c r="H4451" t="s">
        <v>928</v>
      </c>
      <c r="I4451" t="s">
        <v>6596</v>
      </c>
      <c r="J4451" t="s">
        <v>197</v>
      </c>
      <c r="L4451" t="s">
        <v>197</v>
      </c>
    </row>
    <row r="4452" spans="1:12" x14ac:dyDescent="0.4">
      <c r="A4452" t="s">
        <v>7153</v>
      </c>
      <c r="B4452">
        <v>34.6</v>
      </c>
      <c r="C4452" t="s">
        <v>6590</v>
      </c>
      <c r="D4452">
        <v>2</v>
      </c>
      <c r="E4452">
        <v>-0.34899999999999998</v>
      </c>
      <c r="F4452">
        <v>15.3</v>
      </c>
      <c r="G4452">
        <v>2019</v>
      </c>
      <c r="H4452" t="s">
        <v>928</v>
      </c>
      <c r="I4452" t="s">
        <v>6596</v>
      </c>
      <c r="J4452" t="s">
        <v>197</v>
      </c>
      <c r="L4452" t="s">
        <v>197</v>
      </c>
    </row>
    <row r="4453" spans="1:12" x14ac:dyDescent="0.4">
      <c r="A4453" t="s">
        <v>7154</v>
      </c>
      <c r="B4453">
        <v>7.7</v>
      </c>
      <c r="C4453" t="s">
        <v>6607</v>
      </c>
      <c r="D4453">
        <v>1</v>
      </c>
      <c r="E4453">
        <v>-1.21</v>
      </c>
      <c r="F4453">
        <v>13.2</v>
      </c>
      <c r="G4453">
        <v>2019</v>
      </c>
      <c r="H4453" t="s">
        <v>928</v>
      </c>
      <c r="I4453" t="s">
        <v>6596</v>
      </c>
      <c r="J4453" t="s">
        <v>197</v>
      </c>
      <c r="L4453" t="s">
        <v>197</v>
      </c>
    </row>
    <row r="4454" spans="1:12" x14ac:dyDescent="0.4">
      <c r="A4454" t="s">
        <v>7155</v>
      </c>
      <c r="B4454">
        <v>37.200000000000003</v>
      </c>
      <c r="C4454" t="s">
        <v>5736</v>
      </c>
      <c r="D4454">
        <v>2</v>
      </c>
      <c r="E4454">
        <v>-0.26600000000000001</v>
      </c>
      <c r="F4454">
        <v>15.5</v>
      </c>
      <c r="G4454">
        <v>2019</v>
      </c>
      <c r="H4454" t="s">
        <v>928</v>
      </c>
      <c r="I4454" t="s">
        <v>6596</v>
      </c>
      <c r="J4454" t="s">
        <v>197</v>
      </c>
      <c r="L4454" t="s">
        <v>197</v>
      </c>
    </row>
    <row r="4455" spans="1:12" x14ac:dyDescent="0.4">
      <c r="A4455" t="s">
        <v>7156</v>
      </c>
      <c r="B4455">
        <v>24.4</v>
      </c>
      <c r="C4455" t="s">
        <v>5699</v>
      </c>
      <c r="D4455">
        <v>2</v>
      </c>
      <c r="E4455">
        <v>-0.67500000000000004</v>
      </c>
      <c r="F4455">
        <v>14.5</v>
      </c>
      <c r="G4455">
        <v>2019</v>
      </c>
      <c r="H4455" t="s">
        <v>928</v>
      </c>
      <c r="I4455" t="s">
        <v>6596</v>
      </c>
      <c r="J4455" t="s">
        <v>197</v>
      </c>
      <c r="L4455" t="s">
        <v>197</v>
      </c>
    </row>
    <row r="4456" spans="1:12" x14ac:dyDescent="0.4">
      <c r="A4456" t="s">
        <v>7157</v>
      </c>
      <c r="B4456">
        <v>75.599999999999994</v>
      </c>
      <c r="C4456" t="s">
        <v>2487</v>
      </c>
      <c r="D4456">
        <v>4</v>
      </c>
      <c r="E4456">
        <v>0.96299999999999997</v>
      </c>
      <c r="F4456">
        <v>18.5</v>
      </c>
      <c r="G4456">
        <v>2019</v>
      </c>
      <c r="H4456" t="s">
        <v>928</v>
      </c>
      <c r="I4456" t="s">
        <v>6596</v>
      </c>
      <c r="J4456" t="s">
        <v>197</v>
      </c>
      <c r="L4456" t="s">
        <v>197</v>
      </c>
    </row>
    <row r="4457" spans="1:12" x14ac:dyDescent="0.4">
      <c r="A4457" t="s">
        <v>7158</v>
      </c>
      <c r="B4457">
        <v>28.2</v>
      </c>
      <c r="C4457" t="s">
        <v>5734</v>
      </c>
      <c r="D4457">
        <v>2</v>
      </c>
      <c r="E4457">
        <v>-0.55400000000000005</v>
      </c>
      <c r="F4457">
        <v>14.8</v>
      </c>
      <c r="G4457">
        <v>2019</v>
      </c>
      <c r="H4457" t="s">
        <v>928</v>
      </c>
      <c r="I4457" t="s">
        <v>6596</v>
      </c>
      <c r="J4457" t="s">
        <v>197</v>
      </c>
      <c r="L4457" t="s">
        <v>197</v>
      </c>
    </row>
    <row r="4458" spans="1:12" x14ac:dyDescent="0.4">
      <c r="A4458" t="s">
        <v>7159</v>
      </c>
      <c r="B4458">
        <v>0</v>
      </c>
      <c r="C4458" t="s">
        <v>6040</v>
      </c>
      <c r="D4458">
        <v>1</v>
      </c>
      <c r="E4458">
        <v>-1.456</v>
      </c>
      <c r="F4458" t="s">
        <v>197</v>
      </c>
      <c r="G4458" t="s">
        <v>197</v>
      </c>
      <c r="H4458" t="s">
        <v>928</v>
      </c>
      <c r="I4458" t="s">
        <v>197</v>
      </c>
      <c r="J4458" t="s">
        <v>197</v>
      </c>
      <c r="L4458" t="s">
        <v>197</v>
      </c>
    </row>
    <row r="4459" spans="1:12" x14ac:dyDescent="0.4">
      <c r="A4459" t="s">
        <v>7160</v>
      </c>
      <c r="B4459">
        <v>51.3</v>
      </c>
      <c r="C4459" t="s">
        <v>6580</v>
      </c>
      <c r="D4459">
        <v>3</v>
      </c>
      <c r="E4459">
        <v>0.186</v>
      </c>
      <c r="F4459">
        <v>16.600000000000001</v>
      </c>
      <c r="G4459">
        <v>2019</v>
      </c>
      <c r="H4459" t="s">
        <v>928</v>
      </c>
      <c r="I4459" t="s">
        <v>6596</v>
      </c>
      <c r="J4459" t="s">
        <v>197</v>
      </c>
      <c r="L4459" t="s">
        <v>197</v>
      </c>
    </row>
    <row r="4460" spans="1:12" x14ac:dyDescent="0.4">
      <c r="A4460" t="s">
        <v>7161</v>
      </c>
      <c r="B4460">
        <v>10.3</v>
      </c>
      <c r="C4460" t="s">
        <v>6588</v>
      </c>
      <c r="D4460">
        <v>1</v>
      </c>
      <c r="E4460">
        <v>-1.1259999999999999</v>
      </c>
      <c r="F4460">
        <v>13.4</v>
      </c>
      <c r="G4460">
        <v>2019</v>
      </c>
      <c r="H4460" t="s">
        <v>928</v>
      </c>
      <c r="I4460" t="s">
        <v>6596</v>
      </c>
      <c r="J4460" t="s">
        <v>197</v>
      </c>
      <c r="L4460" t="s">
        <v>197</v>
      </c>
    </row>
    <row r="4461" spans="1:12" x14ac:dyDescent="0.4">
      <c r="A4461" t="s">
        <v>7162</v>
      </c>
      <c r="B4461">
        <v>16.7</v>
      </c>
      <c r="C4461" t="s">
        <v>5720</v>
      </c>
      <c r="D4461">
        <v>1</v>
      </c>
      <c r="E4461">
        <v>-0.92200000000000004</v>
      </c>
      <c r="F4461">
        <v>13.9</v>
      </c>
      <c r="G4461">
        <v>2019</v>
      </c>
      <c r="H4461" t="s">
        <v>928</v>
      </c>
      <c r="I4461" t="s">
        <v>6596</v>
      </c>
      <c r="J4461" t="s">
        <v>197</v>
      </c>
      <c r="L4461" t="s">
        <v>197</v>
      </c>
    </row>
    <row r="4462" spans="1:12" x14ac:dyDescent="0.4">
      <c r="A4462" t="s">
        <v>7163</v>
      </c>
      <c r="B4462">
        <v>0</v>
      </c>
      <c r="C4462" t="s">
        <v>6040</v>
      </c>
      <c r="D4462">
        <v>1</v>
      </c>
      <c r="E4462">
        <v>-1.456</v>
      </c>
      <c r="F4462">
        <v>12.6</v>
      </c>
      <c r="G4462">
        <v>2019</v>
      </c>
      <c r="H4462" t="s">
        <v>928</v>
      </c>
      <c r="I4462" t="s">
        <v>6596</v>
      </c>
      <c r="J4462" t="s">
        <v>197</v>
      </c>
      <c r="L4462" t="s">
        <v>197</v>
      </c>
    </row>
    <row r="4463" spans="1:12" x14ac:dyDescent="0.4">
      <c r="A4463" t="s">
        <v>7164</v>
      </c>
      <c r="B4463">
        <v>9</v>
      </c>
      <c r="C4463" t="s">
        <v>5711</v>
      </c>
      <c r="D4463">
        <v>1</v>
      </c>
      <c r="E4463">
        <v>-1.1679999999999999</v>
      </c>
      <c r="F4463">
        <v>13.3</v>
      </c>
      <c r="G4463">
        <v>2019</v>
      </c>
      <c r="H4463" t="s">
        <v>928</v>
      </c>
      <c r="I4463" t="s">
        <v>6596</v>
      </c>
      <c r="J4463" t="s">
        <v>197</v>
      </c>
      <c r="L4463" t="s">
        <v>197</v>
      </c>
    </row>
    <row r="4464" spans="1:12" x14ac:dyDescent="0.4">
      <c r="A4464" t="s">
        <v>7165</v>
      </c>
      <c r="B4464">
        <v>7.7</v>
      </c>
      <c r="C4464" t="s">
        <v>6607</v>
      </c>
      <c r="D4464">
        <v>1</v>
      </c>
      <c r="E4464">
        <v>-1.21</v>
      </c>
      <c r="F4464">
        <v>13.2</v>
      </c>
      <c r="G4464">
        <v>2019</v>
      </c>
      <c r="H4464" t="s">
        <v>928</v>
      </c>
      <c r="I4464" t="s">
        <v>6596</v>
      </c>
      <c r="J4464" t="s">
        <v>197</v>
      </c>
      <c r="L4464" t="s">
        <v>197</v>
      </c>
    </row>
    <row r="4465" spans="1:12" x14ac:dyDescent="0.4">
      <c r="A4465" t="s">
        <v>7166</v>
      </c>
      <c r="B4465">
        <v>66.7</v>
      </c>
      <c r="C4465" t="s">
        <v>5695</v>
      </c>
      <c r="D4465">
        <v>4</v>
      </c>
      <c r="E4465">
        <v>0.67800000000000005</v>
      </c>
      <c r="F4465">
        <v>17.8</v>
      </c>
      <c r="G4465">
        <v>2019</v>
      </c>
      <c r="H4465" t="s">
        <v>928</v>
      </c>
      <c r="I4465" t="s">
        <v>6596</v>
      </c>
      <c r="J4465" t="s">
        <v>197</v>
      </c>
      <c r="L4465" t="s">
        <v>197</v>
      </c>
    </row>
    <row r="4466" spans="1:12" x14ac:dyDescent="0.4">
      <c r="A4466" t="s">
        <v>7167</v>
      </c>
      <c r="B4466">
        <v>11.5</v>
      </c>
      <c r="C4466" t="s">
        <v>5698</v>
      </c>
      <c r="D4466">
        <v>1</v>
      </c>
      <c r="E4466">
        <v>-1.0880000000000001</v>
      </c>
      <c r="F4466">
        <v>13.5</v>
      </c>
      <c r="G4466">
        <v>2019</v>
      </c>
      <c r="H4466" t="s">
        <v>928</v>
      </c>
      <c r="I4466" t="s">
        <v>6596</v>
      </c>
      <c r="J4466" t="s">
        <v>197</v>
      </c>
      <c r="L4466" t="s">
        <v>197</v>
      </c>
    </row>
    <row r="4467" spans="1:12" x14ac:dyDescent="0.4">
      <c r="A4467" t="s">
        <v>7168</v>
      </c>
      <c r="B4467">
        <v>73.099999999999994</v>
      </c>
      <c r="C4467" t="s">
        <v>6045</v>
      </c>
      <c r="D4467">
        <v>4</v>
      </c>
      <c r="E4467">
        <v>0.88300000000000001</v>
      </c>
      <c r="F4467">
        <v>18.3</v>
      </c>
      <c r="G4467">
        <v>2019</v>
      </c>
      <c r="H4467" t="s">
        <v>928</v>
      </c>
      <c r="I4467" t="s">
        <v>6596</v>
      </c>
      <c r="J4467" t="s">
        <v>197</v>
      </c>
      <c r="L4467" t="s">
        <v>197</v>
      </c>
    </row>
    <row r="4468" spans="1:12" x14ac:dyDescent="0.4">
      <c r="A4468" t="s">
        <v>7169</v>
      </c>
      <c r="B4468">
        <v>84.6</v>
      </c>
      <c r="C4468" t="s">
        <v>2480</v>
      </c>
      <c r="D4468">
        <v>5</v>
      </c>
      <c r="E4468">
        <v>1.2509999999999999</v>
      </c>
      <c r="F4468">
        <v>19.2</v>
      </c>
      <c r="G4468">
        <v>2019</v>
      </c>
      <c r="H4468" t="s">
        <v>928</v>
      </c>
      <c r="I4468" t="s">
        <v>6596</v>
      </c>
      <c r="J4468" t="s">
        <v>197</v>
      </c>
      <c r="L4468" t="s">
        <v>197</v>
      </c>
    </row>
    <row r="4469" spans="1:12" x14ac:dyDescent="0.4">
      <c r="A4469" t="s">
        <v>7170</v>
      </c>
      <c r="B4469">
        <v>10.3</v>
      </c>
      <c r="C4469" t="s">
        <v>6588</v>
      </c>
      <c r="D4469">
        <v>1</v>
      </c>
      <c r="E4469">
        <v>-1.1259999999999999</v>
      </c>
      <c r="F4469">
        <v>13.4</v>
      </c>
      <c r="G4469">
        <v>2019</v>
      </c>
      <c r="H4469" t="s">
        <v>928</v>
      </c>
      <c r="I4469" t="s">
        <v>6596</v>
      </c>
      <c r="J4469" t="s">
        <v>197</v>
      </c>
      <c r="L4469" t="s">
        <v>197</v>
      </c>
    </row>
    <row r="4470" spans="1:12" x14ac:dyDescent="0.4">
      <c r="A4470" t="s">
        <v>7171</v>
      </c>
      <c r="B4470">
        <v>82.1</v>
      </c>
      <c r="C4470" t="s">
        <v>5726</v>
      </c>
      <c r="D4470">
        <v>5</v>
      </c>
      <c r="E4470">
        <v>1.171</v>
      </c>
      <c r="F4470">
        <v>19</v>
      </c>
      <c r="G4470">
        <v>2019</v>
      </c>
      <c r="H4470" t="s">
        <v>928</v>
      </c>
      <c r="I4470" t="s">
        <v>6596</v>
      </c>
      <c r="J4470" t="s">
        <v>197</v>
      </c>
      <c r="L4470" t="s">
        <v>197</v>
      </c>
    </row>
    <row r="4471" spans="1:12" x14ac:dyDescent="0.4">
      <c r="A4471" t="s">
        <v>7172</v>
      </c>
      <c r="B4471">
        <v>44.9</v>
      </c>
      <c r="C4471" t="s">
        <v>5729</v>
      </c>
      <c r="D4471">
        <v>3</v>
      </c>
      <c r="E4471">
        <v>-1.9E-2</v>
      </c>
      <c r="F4471">
        <v>16.100000000000001</v>
      </c>
      <c r="G4471">
        <v>2019</v>
      </c>
      <c r="H4471" t="s">
        <v>928</v>
      </c>
      <c r="I4471" t="s">
        <v>6596</v>
      </c>
      <c r="J4471" t="s">
        <v>197</v>
      </c>
      <c r="L4471" t="s">
        <v>197</v>
      </c>
    </row>
    <row r="4472" spans="1:12" x14ac:dyDescent="0.4">
      <c r="A4472" t="s">
        <v>7173</v>
      </c>
      <c r="B4472">
        <v>30.8</v>
      </c>
      <c r="C4472" t="s">
        <v>5733</v>
      </c>
      <c r="D4472">
        <v>2</v>
      </c>
      <c r="E4472">
        <v>-0.47</v>
      </c>
      <c r="F4472">
        <v>15</v>
      </c>
      <c r="G4472">
        <v>2019</v>
      </c>
      <c r="H4472" t="s">
        <v>928</v>
      </c>
      <c r="I4472" t="s">
        <v>6596</v>
      </c>
      <c r="J4472" t="s">
        <v>197</v>
      </c>
      <c r="L4472" t="s">
        <v>197</v>
      </c>
    </row>
    <row r="4473" spans="1:12" x14ac:dyDescent="0.4">
      <c r="A4473" t="s">
        <v>7174</v>
      </c>
      <c r="B4473">
        <v>7.7</v>
      </c>
      <c r="C4473" t="s">
        <v>6607</v>
      </c>
      <c r="D4473">
        <v>1</v>
      </c>
      <c r="E4473">
        <v>-1.21</v>
      </c>
      <c r="F4473">
        <v>13.2</v>
      </c>
      <c r="G4473">
        <v>2019</v>
      </c>
      <c r="H4473" t="s">
        <v>928</v>
      </c>
      <c r="I4473" t="s">
        <v>6596</v>
      </c>
      <c r="J4473" t="s">
        <v>197</v>
      </c>
      <c r="L4473" t="s">
        <v>197</v>
      </c>
    </row>
    <row r="4474" spans="1:12" x14ac:dyDescent="0.4">
      <c r="A4474" t="s">
        <v>7175</v>
      </c>
      <c r="B4474">
        <v>6.4</v>
      </c>
      <c r="C4474" t="s">
        <v>6036</v>
      </c>
      <c r="D4474">
        <v>1</v>
      </c>
      <c r="E4474">
        <v>-1.2509999999999999</v>
      </c>
      <c r="F4474">
        <v>13.1</v>
      </c>
      <c r="G4474">
        <v>2019</v>
      </c>
      <c r="H4474" t="s">
        <v>928</v>
      </c>
      <c r="I4474" t="s">
        <v>6596</v>
      </c>
      <c r="J4474" t="s">
        <v>197</v>
      </c>
      <c r="L4474" t="s">
        <v>197</v>
      </c>
    </row>
    <row r="4475" spans="1:12" x14ac:dyDescent="0.4">
      <c r="A4475" t="s">
        <v>7176</v>
      </c>
      <c r="B4475">
        <v>48.7</v>
      </c>
      <c r="C4475" t="s">
        <v>6617</v>
      </c>
      <c r="D4475">
        <v>3</v>
      </c>
      <c r="E4475">
        <v>0.10199999999999999</v>
      </c>
      <c r="F4475">
        <v>16.399999999999999</v>
      </c>
      <c r="G4475">
        <v>2019</v>
      </c>
      <c r="H4475" t="s">
        <v>928</v>
      </c>
      <c r="I4475" t="s">
        <v>6596</v>
      </c>
      <c r="J4475" t="s">
        <v>197</v>
      </c>
      <c r="L4475" t="s">
        <v>197</v>
      </c>
    </row>
    <row r="4476" spans="1:12" x14ac:dyDescent="0.4">
      <c r="A4476" t="s">
        <v>7177</v>
      </c>
      <c r="B4476">
        <v>100</v>
      </c>
      <c r="C4476" t="s">
        <v>1380</v>
      </c>
      <c r="D4476">
        <v>5</v>
      </c>
      <c r="E4476">
        <v>1.744</v>
      </c>
      <c r="F4476">
        <v>20.399999999999999</v>
      </c>
      <c r="G4476">
        <v>2019</v>
      </c>
      <c r="H4476" t="s">
        <v>928</v>
      </c>
      <c r="I4476" t="s">
        <v>6596</v>
      </c>
      <c r="J4476" t="s">
        <v>197</v>
      </c>
      <c r="L4476" t="s">
        <v>197</v>
      </c>
    </row>
    <row r="4477" spans="1:12" x14ac:dyDescent="0.4">
      <c r="A4477" t="s">
        <v>7178</v>
      </c>
      <c r="B4477">
        <v>91</v>
      </c>
      <c r="C4477" t="s">
        <v>2476</v>
      </c>
      <c r="D4477">
        <v>5</v>
      </c>
      <c r="E4477">
        <v>1.456</v>
      </c>
      <c r="F4477">
        <v>19.7</v>
      </c>
      <c r="G4477">
        <v>2019</v>
      </c>
      <c r="H4477" t="s">
        <v>928</v>
      </c>
      <c r="I4477" t="s">
        <v>6596</v>
      </c>
      <c r="J4477" t="s">
        <v>197</v>
      </c>
      <c r="L4477" t="s">
        <v>197</v>
      </c>
    </row>
    <row r="4478" spans="1:12" x14ac:dyDescent="0.4">
      <c r="A4478" t="s">
        <v>7179</v>
      </c>
      <c r="B4478">
        <v>7.7</v>
      </c>
      <c r="C4478" t="s">
        <v>6607</v>
      </c>
      <c r="D4478">
        <v>1</v>
      </c>
      <c r="E4478">
        <v>-1.21</v>
      </c>
      <c r="F4478">
        <v>13.2</v>
      </c>
      <c r="G4478">
        <v>2019</v>
      </c>
      <c r="H4478" t="s">
        <v>928</v>
      </c>
      <c r="I4478" t="s">
        <v>6596</v>
      </c>
      <c r="J4478" t="s">
        <v>197</v>
      </c>
      <c r="L4478" t="s">
        <v>197</v>
      </c>
    </row>
    <row r="4479" spans="1:12" x14ac:dyDescent="0.4">
      <c r="A4479" t="s">
        <v>7180</v>
      </c>
      <c r="B4479">
        <v>17.899999999999999</v>
      </c>
      <c r="C4479" t="s">
        <v>5704</v>
      </c>
      <c r="D4479">
        <v>1</v>
      </c>
      <c r="E4479">
        <v>-0.88300000000000001</v>
      </c>
      <c r="F4479">
        <v>14</v>
      </c>
      <c r="G4479">
        <v>2019</v>
      </c>
      <c r="H4479" t="s">
        <v>928</v>
      </c>
      <c r="I4479" t="s">
        <v>6596</v>
      </c>
      <c r="J4479" t="s">
        <v>197</v>
      </c>
      <c r="L4479" t="s">
        <v>197</v>
      </c>
    </row>
    <row r="4480" spans="1:12" x14ac:dyDescent="0.4">
      <c r="A4480" t="s">
        <v>7181</v>
      </c>
      <c r="B4480">
        <v>80.8</v>
      </c>
      <c r="C4480" t="s">
        <v>2474</v>
      </c>
      <c r="D4480">
        <v>5</v>
      </c>
      <c r="E4480">
        <v>1.1299999999999999</v>
      </c>
      <c r="F4480">
        <v>18.899999999999999</v>
      </c>
      <c r="G4480">
        <v>2019</v>
      </c>
      <c r="H4480" t="s">
        <v>928</v>
      </c>
      <c r="I4480" t="s">
        <v>6596</v>
      </c>
      <c r="J4480" t="s">
        <v>197</v>
      </c>
      <c r="L4480" t="s">
        <v>197</v>
      </c>
    </row>
    <row r="4481" spans="1:12" x14ac:dyDescent="0.4">
      <c r="A4481" t="s">
        <v>7182</v>
      </c>
      <c r="B4481">
        <v>48.7</v>
      </c>
      <c r="C4481" t="s">
        <v>6617</v>
      </c>
      <c r="D4481">
        <v>3</v>
      </c>
      <c r="E4481">
        <v>0.10199999999999999</v>
      </c>
      <c r="F4481">
        <v>16.399999999999999</v>
      </c>
      <c r="G4481">
        <v>2019</v>
      </c>
      <c r="H4481" t="s">
        <v>928</v>
      </c>
      <c r="I4481" t="s">
        <v>6596</v>
      </c>
      <c r="J4481" t="s">
        <v>197</v>
      </c>
      <c r="L4481" t="s">
        <v>197</v>
      </c>
    </row>
    <row r="4482" spans="1:12" x14ac:dyDescent="0.4">
      <c r="A4482" t="s">
        <v>7183</v>
      </c>
      <c r="B4482">
        <v>48.7</v>
      </c>
      <c r="C4482" t="s">
        <v>6617</v>
      </c>
      <c r="D4482">
        <v>3</v>
      </c>
      <c r="E4482">
        <v>0.10199999999999999</v>
      </c>
      <c r="F4482">
        <v>16.399999999999999</v>
      </c>
      <c r="G4482">
        <v>2019</v>
      </c>
      <c r="H4482" t="s">
        <v>928</v>
      </c>
      <c r="I4482" t="s">
        <v>6596</v>
      </c>
      <c r="J4482" t="s">
        <v>197</v>
      </c>
      <c r="L4482" t="s">
        <v>197</v>
      </c>
    </row>
    <row r="4483" spans="1:12" x14ac:dyDescent="0.4">
      <c r="A4483" t="s">
        <v>7184</v>
      </c>
      <c r="B4483">
        <v>92.3</v>
      </c>
      <c r="C4483" t="s">
        <v>2475</v>
      </c>
      <c r="D4483">
        <v>5</v>
      </c>
      <c r="E4483">
        <v>1.498</v>
      </c>
      <c r="F4483">
        <v>19.8</v>
      </c>
      <c r="G4483">
        <v>2019</v>
      </c>
      <c r="H4483" t="s">
        <v>928</v>
      </c>
      <c r="I4483" t="s">
        <v>6596</v>
      </c>
      <c r="J4483" t="s">
        <v>197</v>
      </c>
      <c r="L4483" t="s">
        <v>197</v>
      </c>
    </row>
    <row r="4484" spans="1:12" x14ac:dyDescent="0.4">
      <c r="A4484" t="s">
        <v>7185</v>
      </c>
      <c r="B4484">
        <v>42.3</v>
      </c>
      <c r="C4484" t="s">
        <v>6585</v>
      </c>
      <c r="D4484">
        <v>3</v>
      </c>
      <c r="E4484">
        <v>-0.10199999999999999</v>
      </c>
      <c r="F4484">
        <v>15.9</v>
      </c>
      <c r="G4484">
        <v>2019</v>
      </c>
      <c r="H4484" t="s">
        <v>928</v>
      </c>
      <c r="I4484" t="s">
        <v>6596</v>
      </c>
      <c r="J4484" t="s">
        <v>197</v>
      </c>
      <c r="L4484" t="s">
        <v>197</v>
      </c>
    </row>
    <row r="4485" spans="1:12" x14ac:dyDescent="0.4">
      <c r="A4485" t="s">
        <v>7186</v>
      </c>
      <c r="B4485">
        <v>94.9</v>
      </c>
      <c r="C4485" t="s">
        <v>2477</v>
      </c>
      <c r="D4485">
        <v>5</v>
      </c>
      <c r="E4485">
        <v>1.581</v>
      </c>
      <c r="F4485">
        <v>20</v>
      </c>
      <c r="G4485">
        <v>2019</v>
      </c>
      <c r="H4485" t="s">
        <v>928</v>
      </c>
      <c r="I4485" t="s">
        <v>6596</v>
      </c>
      <c r="J4485" t="s">
        <v>197</v>
      </c>
      <c r="L4485" t="s">
        <v>197</v>
      </c>
    </row>
    <row r="4486" spans="1:12" x14ac:dyDescent="0.4">
      <c r="A4486" t="s">
        <v>7187</v>
      </c>
      <c r="B4486">
        <v>82.1</v>
      </c>
      <c r="C4486" t="s">
        <v>5726</v>
      </c>
      <c r="D4486">
        <v>5</v>
      </c>
      <c r="E4486">
        <v>1.171</v>
      </c>
      <c r="F4486">
        <v>19</v>
      </c>
      <c r="G4486">
        <v>2019</v>
      </c>
      <c r="H4486" t="s">
        <v>928</v>
      </c>
      <c r="I4486" t="s">
        <v>6596</v>
      </c>
      <c r="J4486" t="s">
        <v>197</v>
      </c>
      <c r="L4486" t="s">
        <v>197</v>
      </c>
    </row>
    <row r="4487" spans="1:12" x14ac:dyDescent="0.4">
      <c r="A4487" t="s">
        <v>7188</v>
      </c>
      <c r="B4487">
        <v>100</v>
      </c>
      <c r="C4487" t="s">
        <v>1380</v>
      </c>
      <c r="D4487">
        <v>5</v>
      </c>
      <c r="E4487">
        <v>1.744</v>
      </c>
      <c r="F4487">
        <v>20.399999999999999</v>
      </c>
      <c r="G4487">
        <v>2019</v>
      </c>
      <c r="H4487" t="s">
        <v>928</v>
      </c>
      <c r="I4487" t="s">
        <v>6596</v>
      </c>
      <c r="J4487" t="s">
        <v>197</v>
      </c>
      <c r="L4487" t="s">
        <v>197</v>
      </c>
    </row>
    <row r="4488" spans="1:12" x14ac:dyDescent="0.4">
      <c r="A4488" t="s">
        <v>7189</v>
      </c>
      <c r="B4488">
        <v>82.1</v>
      </c>
      <c r="C4488" t="s">
        <v>5726</v>
      </c>
      <c r="D4488">
        <v>5</v>
      </c>
      <c r="E4488">
        <v>1.171</v>
      </c>
      <c r="F4488">
        <v>19</v>
      </c>
      <c r="G4488">
        <v>2019</v>
      </c>
      <c r="H4488" t="s">
        <v>928</v>
      </c>
      <c r="I4488" t="s">
        <v>6596</v>
      </c>
      <c r="J4488" t="s">
        <v>197</v>
      </c>
      <c r="L4488" t="s">
        <v>197</v>
      </c>
    </row>
    <row r="4489" spans="1:12" x14ac:dyDescent="0.4">
      <c r="A4489" t="s">
        <v>7190</v>
      </c>
      <c r="B4489">
        <v>73.099999999999994</v>
      </c>
      <c r="C4489" t="s">
        <v>6045</v>
      </c>
      <c r="D4489">
        <v>4</v>
      </c>
      <c r="E4489">
        <v>0.88300000000000001</v>
      </c>
      <c r="F4489">
        <v>18.3</v>
      </c>
      <c r="G4489">
        <v>2019</v>
      </c>
      <c r="H4489" t="s">
        <v>928</v>
      </c>
      <c r="I4489" t="s">
        <v>6596</v>
      </c>
      <c r="J4489" t="s">
        <v>197</v>
      </c>
      <c r="L4489" t="s">
        <v>197</v>
      </c>
    </row>
    <row r="4490" spans="1:12" x14ac:dyDescent="0.4">
      <c r="A4490" t="s">
        <v>7191</v>
      </c>
      <c r="B4490">
        <v>42.3</v>
      </c>
      <c r="C4490" t="s">
        <v>6585</v>
      </c>
      <c r="D4490">
        <v>3</v>
      </c>
      <c r="E4490">
        <v>-0.10199999999999999</v>
      </c>
      <c r="F4490">
        <v>15.9</v>
      </c>
      <c r="G4490">
        <v>2019</v>
      </c>
      <c r="H4490" t="s">
        <v>928</v>
      </c>
      <c r="I4490" t="s">
        <v>6596</v>
      </c>
      <c r="J4490" t="s">
        <v>197</v>
      </c>
      <c r="L4490" t="s">
        <v>197</v>
      </c>
    </row>
    <row r="4491" spans="1:12" x14ac:dyDescent="0.4">
      <c r="A4491" t="s">
        <v>7192</v>
      </c>
      <c r="B4491">
        <v>12.8</v>
      </c>
      <c r="C4491" t="s">
        <v>5709</v>
      </c>
      <c r="D4491">
        <v>1</v>
      </c>
      <c r="E4491">
        <v>-1.046</v>
      </c>
      <c r="F4491">
        <v>13.6</v>
      </c>
      <c r="G4491">
        <v>2019</v>
      </c>
      <c r="H4491" t="s">
        <v>928</v>
      </c>
      <c r="I4491" t="s">
        <v>6596</v>
      </c>
      <c r="J4491" t="s">
        <v>197</v>
      </c>
      <c r="L4491" t="s">
        <v>197</v>
      </c>
    </row>
    <row r="4492" spans="1:12" x14ac:dyDescent="0.4">
      <c r="A4492" t="s">
        <v>7193</v>
      </c>
      <c r="B4492">
        <v>45.5</v>
      </c>
      <c r="C4492" t="s">
        <v>197</v>
      </c>
      <c r="D4492">
        <v>3</v>
      </c>
    </row>
    <row r="4493" spans="1:12" x14ac:dyDescent="0.4">
      <c r="A4493" t="s">
        <v>7194</v>
      </c>
      <c r="B4493">
        <v>19</v>
      </c>
      <c r="C4493" t="s">
        <v>197</v>
      </c>
      <c r="D4493">
        <v>1</v>
      </c>
    </row>
    <row r="4494" spans="1:12" x14ac:dyDescent="0.4">
      <c r="A4494" t="s">
        <v>7195</v>
      </c>
      <c r="B4494">
        <v>56</v>
      </c>
      <c r="C4494" t="s">
        <v>197</v>
      </c>
      <c r="D4494">
        <v>3</v>
      </c>
    </row>
    <row r="4495" spans="1:12" x14ac:dyDescent="0.4">
      <c r="A4495" t="s">
        <v>7196</v>
      </c>
      <c r="B4495">
        <v>29.8</v>
      </c>
      <c r="C4495" t="s">
        <v>197</v>
      </c>
      <c r="D4495">
        <v>2</v>
      </c>
    </row>
    <row r="4496" spans="1:12" x14ac:dyDescent="0.4">
      <c r="A4496" t="s">
        <v>7197</v>
      </c>
      <c r="B4496">
        <v>67.099999999999994</v>
      </c>
      <c r="C4496" t="s">
        <v>197</v>
      </c>
      <c r="D4496">
        <v>4</v>
      </c>
    </row>
    <row r="4497" spans="1:12" x14ac:dyDescent="0.4">
      <c r="A4497" t="s">
        <v>7198</v>
      </c>
      <c r="B4497">
        <v>19.600000000000001</v>
      </c>
      <c r="C4497" t="s">
        <v>197</v>
      </c>
      <c r="D4497">
        <v>1</v>
      </c>
    </row>
    <row r="4498" spans="1:12" x14ac:dyDescent="0.4">
      <c r="A4498" t="s">
        <v>7199</v>
      </c>
      <c r="B4498">
        <v>57.2</v>
      </c>
      <c r="C4498" t="s">
        <v>197</v>
      </c>
      <c r="D4498">
        <v>3</v>
      </c>
    </row>
    <row r="4499" spans="1:12" x14ac:dyDescent="0.4">
      <c r="A4499" t="s">
        <v>7486</v>
      </c>
      <c r="B4499">
        <v>15.7</v>
      </c>
      <c r="C4499" t="s">
        <v>197</v>
      </c>
      <c r="D4499">
        <v>1</v>
      </c>
    </row>
    <row r="4500" spans="1:12" x14ac:dyDescent="0.4">
      <c r="A4500" t="s">
        <v>7487</v>
      </c>
      <c r="B4500">
        <v>42.7</v>
      </c>
      <c r="C4500" t="s">
        <v>197</v>
      </c>
      <c r="D4500">
        <v>3</v>
      </c>
    </row>
    <row r="4501" spans="1:12" x14ac:dyDescent="0.4">
      <c r="A4501" t="s">
        <v>7488</v>
      </c>
      <c r="B4501">
        <v>67.599999999999994</v>
      </c>
      <c r="C4501" t="s">
        <v>197</v>
      </c>
      <c r="D4501">
        <v>4</v>
      </c>
    </row>
    <row r="4502" spans="1:12" x14ac:dyDescent="0.4">
      <c r="A4502" t="s">
        <v>6522</v>
      </c>
      <c r="B4502">
        <v>5.6</v>
      </c>
      <c r="C4502" t="s">
        <v>5712</v>
      </c>
      <c r="D4502">
        <v>1</v>
      </c>
      <c r="E4502">
        <v>-0.98799999999999999</v>
      </c>
      <c r="F4502">
        <v>3.5</v>
      </c>
      <c r="G4502">
        <v>2020</v>
      </c>
      <c r="H4502" t="s">
        <v>928</v>
      </c>
      <c r="I4502" t="s">
        <v>6594</v>
      </c>
      <c r="L4502" t="s">
        <v>197</v>
      </c>
    </row>
    <row r="4503" spans="1:12" x14ac:dyDescent="0.4">
      <c r="A4503" t="s">
        <v>6523</v>
      </c>
      <c r="B4503">
        <v>22.8</v>
      </c>
      <c r="C4503" t="s">
        <v>5723</v>
      </c>
      <c r="D4503">
        <v>2</v>
      </c>
      <c r="E4503">
        <v>-0.316</v>
      </c>
      <c r="F4503">
        <v>6.3</v>
      </c>
      <c r="G4503">
        <v>2020</v>
      </c>
      <c r="H4503" t="s">
        <v>928</v>
      </c>
      <c r="I4503" t="s">
        <v>6594</v>
      </c>
      <c r="L4503" t="s">
        <v>197</v>
      </c>
    </row>
    <row r="4504" spans="1:12" x14ac:dyDescent="0.4">
      <c r="A4504" t="s">
        <v>6524</v>
      </c>
      <c r="B4504">
        <v>100</v>
      </c>
      <c r="C4504" t="s">
        <v>1380</v>
      </c>
      <c r="D4504">
        <v>5</v>
      </c>
      <c r="E4504">
        <v>2.6989999999999998</v>
      </c>
      <c r="F4504">
        <v>18.8</v>
      </c>
      <c r="G4504">
        <v>2020</v>
      </c>
      <c r="H4504" t="s">
        <v>928</v>
      </c>
      <c r="I4504" t="s">
        <v>6594</v>
      </c>
      <c r="L4504" t="s">
        <v>197</v>
      </c>
    </row>
    <row r="4505" spans="1:12" x14ac:dyDescent="0.4">
      <c r="A4505" t="s">
        <v>6525</v>
      </c>
      <c r="B4505">
        <v>45.7</v>
      </c>
      <c r="C4505" t="s">
        <v>5707</v>
      </c>
      <c r="D4505">
        <v>3</v>
      </c>
      <c r="E4505">
        <v>0.57799999999999996</v>
      </c>
      <c r="F4505">
        <v>10</v>
      </c>
      <c r="G4505">
        <v>2020</v>
      </c>
      <c r="H4505" t="s">
        <v>928</v>
      </c>
      <c r="I4505" t="s">
        <v>6594</v>
      </c>
      <c r="L4505" t="s">
        <v>197</v>
      </c>
    </row>
    <row r="4506" spans="1:12" x14ac:dyDescent="0.4">
      <c r="A4506" t="s">
        <v>6526</v>
      </c>
      <c r="B4506">
        <v>11.1</v>
      </c>
      <c r="C4506" t="s">
        <v>5716</v>
      </c>
      <c r="D4506">
        <v>1</v>
      </c>
      <c r="E4506">
        <v>-0.77300000000000002</v>
      </c>
      <c r="F4506">
        <v>4.4000000000000004</v>
      </c>
      <c r="G4506">
        <v>2020</v>
      </c>
      <c r="H4506" t="s">
        <v>928</v>
      </c>
      <c r="I4506" t="s">
        <v>6594</v>
      </c>
      <c r="L4506" t="s">
        <v>197</v>
      </c>
    </row>
    <row r="4507" spans="1:12" x14ac:dyDescent="0.4">
      <c r="A4507" t="s">
        <v>6527</v>
      </c>
      <c r="B4507">
        <v>18.5</v>
      </c>
      <c r="C4507" t="s">
        <v>6041</v>
      </c>
      <c r="D4507">
        <v>1</v>
      </c>
      <c r="E4507">
        <v>-0.48399999999999999</v>
      </c>
      <c r="F4507">
        <v>5.6</v>
      </c>
      <c r="G4507">
        <v>2020</v>
      </c>
      <c r="H4507" t="s">
        <v>928</v>
      </c>
      <c r="I4507" t="s">
        <v>6594</v>
      </c>
      <c r="L4507" t="s">
        <v>197</v>
      </c>
    </row>
    <row r="4508" spans="1:12" x14ac:dyDescent="0.4">
      <c r="A4508" t="s">
        <v>6528</v>
      </c>
      <c r="B4508">
        <v>63</v>
      </c>
      <c r="C4508" t="s">
        <v>2475</v>
      </c>
      <c r="D4508">
        <v>4</v>
      </c>
      <c r="E4508">
        <v>1.254</v>
      </c>
      <c r="F4508">
        <v>12.8</v>
      </c>
      <c r="G4508">
        <v>2021</v>
      </c>
      <c r="H4508" t="s">
        <v>928</v>
      </c>
      <c r="I4508" t="s">
        <v>6594</v>
      </c>
      <c r="L4508" t="s">
        <v>197</v>
      </c>
    </row>
    <row r="4509" spans="1:12" x14ac:dyDescent="0.4">
      <c r="A4509" t="s">
        <v>6529</v>
      </c>
      <c r="B4509">
        <v>39.5</v>
      </c>
      <c r="C4509" t="s">
        <v>5695</v>
      </c>
      <c r="D4509">
        <v>2</v>
      </c>
      <c r="E4509">
        <v>0.33600000000000002</v>
      </c>
      <c r="F4509">
        <v>9</v>
      </c>
      <c r="G4509">
        <v>2020</v>
      </c>
      <c r="H4509" t="s">
        <v>928</v>
      </c>
      <c r="I4509" t="s">
        <v>6594</v>
      </c>
      <c r="L4509" t="s">
        <v>197</v>
      </c>
    </row>
    <row r="4510" spans="1:12" x14ac:dyDescent="0.4">
      <c r="A4510" t="s">
        <v>6530</v>
      </c>
      <c r="B4510">
        <v>29</v>
      </c>
      <c r="C4510" t="s">
        <v>5731</v>
      </c>
      <c r="D4510">
        <v>2</v>
      </c>
      <c r="E4510">
        <v>-7.3999999999999996E-2</v>
      </c>
      <c r="F4510">
        <v>7.3</v>
      </c>
      <c r="G4510">
        <v>2020</v>
      </c>
      <c r="H4510" t="s">
        <v>928</v>
      </c>
      <c r="I4510" t="s">
        <v>6594</v>
      </c>
      <c r="L4510" t="s">
        <v>197</v>
      </c>
    </row>
    <row r="4511" spans="1:12" x14ac:dyDescent="0.4">
      <c r="A4511" t="s">
        <v>6531</v>
      </c>
      <c r="B4511">
        <v>11.1</v>
      </c>
      <c r="C4511" t="s">
        <v>5716</v>
      </c>
      <c r="D4511">
        <v>1</v>
      </c>
      <c r="E4511">
        <v>-0.77300000000000002</v>
      </c>
      <c r="F4511">
        <v>4.4000000000000004</v>
      </c>
      <c r="G4511">
        <v>2020</v>
      </c>
      <c r="H4511" t="s">
        <v>928</v>
      </c>
      <c r="I4511" t="s">
        <v>6594</v>
      </c>
      <c r="L4511" t="s">
        <v>197</v>
      </c>
    </row>
    <row r="4512" spans="1:12" x14ac:dyDescent="0.4">
      <c r="A4512" t="s">
        <v>6532</v>
      </c>
      <c r="B4512">
        <v>9.3000000000000007</v>
      </c>
      <c r="C4512" t="s">
        <v>5713</v>
      </c>
      <c r="D4512">
        <v>1</v>
      </c>
      <c r="E4512">
        <v>-0.84399999999999997</v>
      </c>
      <c r="F4512">
        <v>4.0999999999999996</v>
      </c>
      <c r="G4512">
        <v>2020</v>
      </c>
      <c r="H4512" t="s">
        <v>928</v>
      </c>
      <c r="I4512" t="s">
        <v>6594</v>
      </c>
      <c r="L4512" t="s">
        <v>197</v>
      </c>
    </row>
    <row r="4513" spans="1:12" x14ac:dyDescent="0.4">
      <c r="A4513" t="s">
        <v>6533</v>
      </c>
      <c r="B4513">
        <v>2.5</v>
      </c>
      <c r="C4513" t="s">
        <v>5724</v>
      </c>
      <c r="D4513">
        <v>1</v>
      </c>
      <c r="E4513">
        <v>-1.109</v>
      </c>
      <c r="F4513">
        <v>3</v>
      </c>
      <c r="G4513">
        <v>2020</v>
      </c>
      <c r="H4513" t="s">
        <v>928</v>
      </c>
      <c r="I4513" t="s">
        <v>6594</v>
      </c>
      <c r="L4513" t="s">
        <v>197</v>
      </c>
    </row>
    <row r="4514" spans="1:12" x14ac:dyDescent="0.4">
      <c r="A4514" t="s">
        <v>6534</v>
      </c>
      <c r="B4514">
        <v>0</v>
      </c>
      <c r="C4514" t="s">
        <v>6040</v>
      </c>
      <c r="D4514">
        <v>1</v>
      </c>
      <c r="E4514">
        <v>-1.2070000000000001</v>
      </c>
      <c r="F4514">
        <v>2.6</v>
      </c>
      <c r="G4514">
        <v>2020</v>
      </c>
      <c r="H4514" t="s">
        <v>928</v>
      </c>
      <c r="I4514" t="s">
        <v>6594</v>
      </c>
      <c r="L4514" t="s">
        <v>197</v>
      </c>
    </row>
    <row r="4515" spans="1:12" x14ac:dyDescent="0.4">
      <c r="A4515" t="s">
        <v>6535</v>
      </c>
      <c r="B4515">
        <v>19.100000000000001</v>
      </c>
      <c r="C4515" t="s">
        <v>5693</v>
      </c>
      <c r="D4515">
        <v>1</v>
      </c>
      <c r="E4515">
        <v>-0.46100000000000002</v>
      </c>
      <c r="F4515">
        <v>5.7</v>
      </c>
      <c r="G4515">
        <v>2020</v>
      </c>
      <c r="H4515" t="s">
        <v>928</v>
      </c>
      <c r="I4515" t="s">
        <v>6594</v>
      </c>
      <c r="L4515" t="s">
        <v>197</v>
      </c>
    </row>
    <row r="4516" spans="1:12" x14ac:dyDescent="0.4">
      <c r="A4516" t="s">
        <v>6536</v>
      </c>
      <c r="B4516">
        <v>43.2</v>
      </c>
      <c r="C4516" t="s">
        <v>5705</v>
      </c>
      <c r="D4516">
        <v>3</v>
      </c>
      <c r="E4516">
        <v>0.48</v>
      </c>
      <c r="F4516">
        <v>9.6</v>
      </c>
      <c r="G4516">
        <v>2020</v>
      </c>
      <c r="H4516" t="s">
        <v>928</v>
      </c>
      <c r="I4516" t="s">
        <v>6594</v>
      </c>
      <c r="L4516" t="s">
        <v>197</v>
      </c>
    </row>
    <row r="4517" spans="1:12" x14ac:dyDescent="0.4">
      <c r="A4517" t="s">
        <v>6537</v>
      </c>
      <c r="B4517">
        <v>13</v>
      </c>
      <c r="C4517" t="s">
        <v>5704</v>
      </c>
      <c r="D4517">
        <v>1</v>
      </c>
      <c r="E4517">
        <v>-0.69899999999999995</v>
      </c>
      <c r="F4517">
        <v>4.7</v>
      </c>
      <c r="G4517">
        <v>2020</v>
      </c>
      <c r="H4517" t="s">
        <v>928</v>
      </c>
      <c r="I4517" t="s">
        <v>6594</v>
      </c>
      <c r="L4517" t="s">
        <v>197</v>
      </c>
    </row>
    <row r="4518" spans="1:12" x14ac:dyDescent="0.4">
      <c r="A4518" t="s">
        <v>6538</v>
      </c>
      <c r="B4518">
        <v>0</v>
      </c>
      <c r="C4518" t="s">
        <v>6040</v>
      </c>
      <c r="D4518">
        <v>1</v>
      </c>
      <c r="E4518">
        <v>-1.2070000000000001</v>
      </c>
      <c r="F4518" t="s">
        <v>197</v>
      </c>
      <c r="G4518" t="s">
        <v>197</v>
      </c>
      <c r="H4518" t="s">
        <v>928</v>
      </c>
      <c r="I4518" t="s">
        <v>197</v>
      </c>
      <c r="L4518" t="s">
        <v>197</v>
      </c>
    </row>
    <row r="4519" spans="1:12" x14ac:dyDescent="0.4">
      <c r="A4519" t="s">
        <v>6539</v>
      </c>
      <c r="B4519">
        <v>12.3</v>
      </c>
      <c r="C4519" t="s">
        <v>5720</v>
      </c>
      <c r="D4519">
        <v>1</v>
      </c>
      <c r="E4519">
        <v>-0.72599999999999998</v>
      </c>
      <c r="F4519">
        <v>4.5999999999999996</v>
      </c>
      <c r="G4519">
        <v>2020</v>
      </c>
      <c r="H4519" t="s">
        <v>928</v>
      </c>
      <c r="I4519" t="s">
        <v>6594</v>
      </c>
      <c r="L4519" t="s">
        <v>197</v>
      </c>
    </row>
    <row r="4520" spans="1:12" x14ac:dyDescent="0.4">
      <c r="A4520" t="s">
        <v>6540</v>
      </c>
      <c r="B4520">
        <v>4.9000000000000004</v>
      </c>
      <c r="C4520" t="s">
        <v>6014</v>
      </c>
      <c r="D4520">
        <v>1</v>
      </c>
      <c r="E4520">
        <v>-1.0149999999999999</v>
      </c>
      <c r="F4520">
        <v>3.4</v>
      </c>
      <c r="G4520">
        <v>2020</v>
      </c>
      <c r="H4520" t="s">
        <v>928</v>
      </c>
      <c r="I4520" t="s">
        <v>6594</v>
      </c>
      <c r="L4520" t="s">
        <v>197</v>
      </c>
    </row>
    <row r="4521" spans="1:12" x14ac:dyDescent="0.4">
      <c r="A4521" t="s">
        <v>6541</v>
      </c>
      <c r="B4521">
        <v>37</v>
      </c>
      <c r="C4521" t="s">
        <v>6580</v>
      </c>
      <c r="D4521">
        <v>2</v>
      </c>
      <c r="E4521">
        <v>0.23799999999999999</v>
      </c>
      <c r="F4521">
        <v>8.6</v>
      </c>
      <c r="G4521">
        <v>2020</v>
      </c>
      <c r="H4521" t="s">
        <v>928</v>
      </c>
      <c r="I4521" t="s">
        <v>6594</v>
      </c>
      <c r="L4521" t="s">
        <v>197</v>
      </c>
    </row>
    <row r="4522" spans="1:12" x14ac:dyDescent="0.4">
      <c r="A4522" t="s">
        <v>6542</v>
      </c>
      <c r="B4522">
        <v>2.5</v>
      </c>
      <c r="C4522" t="s">
        <v>5724</v>
      </c>
      <c r="D4522">
        <v>1</v>
      </c>
      <c r="E4522">
        <v>-1.109</v>
      </c>
      <c r="F4522">
        <v>3</v>
      </c>
      <c r="G4522">
        <v>2020</v>
      </c>
      <c r="H4522" t="s">
        <v>928</v>
      </c>
      <c r="I4522" t="s">
        <v>6594</v>
      </c>
      <c r="L4522" t="s">
        <v>197</v>
      </c>
    </row>
    <row r="4523" spans="1:12" x14ac:dyDescent="0.4">
      <c r="A4523" t="s">
        <v>6543</v>
      </c>
      <c r="B4523">
        <v>16</v>
      </c>
      <c r="C4523" t="s">
        <v>5699</v>
      </c>
      <c r="D4523">
        <v>1</v>
      </c>
      <c r="E4523">
        <v>-0.58199999999999996</v>
      </c>
      <c r="F4523">
        <v>5.2</v>
      </c>
      <c r="G4523">
        <v>2020</v>
      </c>
      <c r="H4523" t="s">
        <v>928</v>
      </c>
      <c r="I4523" t="s">
        <v>6594</v>
      </c>
      <c r="L4523" t="s">
        <v>197</v>
      </c>
    </row>
    <row r="4524" spans="1:12" x14ac:dyDescent="0.4">
      <c r="A4524" t="s">
        <v>6544</v>
      </c>
      <c r="B4524">
        <v>2.5</v>
      </c>
      <c r="C4524" t="s">
        <v>5724</v>
      </c>
      <c r="D4524">
        <v>1</v>
      </c>
      <c r="E4524">
        <v>-1.109</v>
      </c>
      <c r="F4524">
        <v>3</v>
      </c>
      <c r="G4524">
        <v>2020</v>
      </c>
      <c r="H4524" t="s">
        <v>928</v>
      </c>
      <c r="I4524" t="s">
        <v>6594</v>
      </c>
      <c r="L4524" t="s">
        <v>197</v>
      </c>
    </row>
    <row r="4525" spans="1:12" x14ac:dyDescent="0.4">
      <c r="A4525" t="s">
        <v>6545</v>
      </c>
      <c r="B4525">
        <v>22.8</v>
      </c>
      <c r="C4525" t="s">
        <v>5723</v>
      </c>
      <c r="D4525">
        <v>2</v>
      </c>
      <c r="E4525">
        <v>-0.316</v>
      </c>
      <c r="F4525">
        <v>6.3</v>
      </c>
      <c r="G4525">
        <v>2020</v>
      </c>
      <c r="H4525" t="s">
        <v>928</v>
      </c>
      <c r="I4525" t="s">
        <v>6594</v>
      </c>
      <c r="L4525" t="s">
        <v>197</v>
      </c>
    </row>
    <row r="4526" spans="1:12" x14ac:dyDescent="0.4">
      <c r="A4526" t="s">
        <v>6546</v>
      </c>
      <c r="B4526">
        <v>4.9000000000000004</v>
      </c>
      <c r="C4526" t="s">
        <v>6014</v>
      </c>
      <c r="D4526">
        <v>1</v>
      </c>
      <c r="E4526">
        <v>-1.0149999999999999</v>
      </c>
      <c r="F4526">
        <v>3.4</v>
      </c>
      <c r="G4526">
        <v>2020</v>
      </c>
      <c r="H4526" t="s">
        <v>928</v>
      </c>
      <c r="I4526" t="s">
        <v>6594</v>
      </c>
      <c r="L4526" t="s">
        <v>197</v>
      </c>
    </row>
    <row r="4527" spans="1:12" x14ac:dyDescent="0.4">
      <c r="A4527" t="s">
        <v>6547</v>
      </c>
      <c r="B4527">
        <v>57.4</v>
      </c>
      <c r="C4527" t="s">
        <v>2480</v>
      </c>
      <c r="D4527">
        <v>3</v>
      </c>
      <c r="E4527">
        <v>1.0349999999999999</v>
      </c>
      <c r="F4527">
        <v>11.9</v>
      </c>
      <c r="G4527">
        <v>2021</v>
      </c>
      <c r="H4527" t="s">
        <v>928</v>
      </c>
      <c r="I4527" t="s">
        <v>6594</v>
      </c>
      <c r="L4527" t="s">
        <v>197</v>
      </c>
    </row>
    <row r="4528" spans="1:12" x14ac:dyDescent="0.4">
      <c r="A4528" t="s">
        <v>6548</v>
      </c>
      <c r="B4528">
        <v>50</v>
      </c>
      <c r="C4528" t="s">
        <v>2481</v>
      </c>
      <c r="D4528">
        <v>3</v>
      </c>
      <c r="E4528">
        <v>0.746</v>
      </c>
      <c r="F4528">
        <v>10.7</v>
      </c>
      <c r="G4528">
        <v>2020</v>
      </c>
      <c r="H4528" t="s">
        <v>928</v>
      </c>
      <c r="I4528" t="s">
        <v>6594</v>
      </c>
      <c r="L4528" t="s">
        <v>197</v>
      </c>
    </row>
    <row r="4529" spans="1:12" x14ac:dyDescent="0.4">
      <c r="A4529" t="s">
        <v>6549</v>
      </c>
      <c r="B4529">
        <v>18.5</v>
      </c>
      <c r="C4529" t="s">
        <v>6041</v>
      </c>
      <c r="D4529">
        <v>1</v>
      </c>
      <c r="E4529">
        <v>-0.48399999999999999</v>
      </c>
      <c r="F4529">
        <v>5.6</v>
      </c>
      <c r="G4529">
        <v>2021</v>
      </c>
      <c r="H4529" t="s">
        <v>928</v>
      </c>
      <c r="I4529" t="s">
        <v>6594</v>
      </c>
      <c r="L4529" t="s">
        <v>197</v>
      </c>
    </row>
    <row r="4530" spans="1:12" x14ac:dyDescent="0.4">
      <c r="A4530" t="s">
        <v>6550</v>
      </c>
      <c r="B4530">
        <v>49.4</v>
      </c>
      <c r="C4530" t="s">
        <v>2487</v>
      </c>
      <c r="D4530">
        <v>3</v>
      </c>
      <c r="E4530">
        <v>0.72299999999999998</v>
      </c>
      <c r="F4530">
        <v>10.6</v>
      </c>
      <c r="G4530">
        <v>2020</v>
      </c>
      <c r="H4530" t="s">
        <v>928</v>
      </c>
      <c r="I4530" t="s">
        <v>6594</v>
      </c>
      <c r="L4530" t="s">
        <v>197</v>
      </c>
    </row>
    <row r="4531" spans="1:12" x14ac:dyDescent="0.4">
      <c r="A4531" t="s">
        <v>6551</v>
      </c>
      <c r="B4531">
        <v>22.2</v>
      </c>
      <c r="C4531" t="s">
        <v>5703</v>
      </c>
      <c r="D4531">
        <v>2</v>
      </c>
      <c r="E4531">
        <v>-0.34</v>
      </c>
      <c r="F4531">
        <v>6.2</v>
      </c>
      <c r="G4531">
        <v>2020</v>
      </c>
      <c r="H4531" t="s">
        <v>928</v>
      </c>
      <c r="I4531" t="s">
        <v>6594</v>
      </c>
      <c r="L4531" t="s">
        <v>197</v>
      </c>
    </row>
    <row r="4532" spans="1:12" x14ac:dyDescent="0.4">
      <c r="A4532" t="s">
        <v>6552</v>
      </c>
      <c r="B4532">
        <v>30.9</v>
      </c>
      <c r="C4532" t="s">
        <v>6034</v>
      </c>
      <c r="D4532">
        <v>2</v>
      </c>
      <c r="E4532">
        <v>0</v>
      </c>
      <c r="F4532">
        <v>7.6</v>
      </c>
      <c r="G4532">
        <v>2020</v>
      </c>
      <c r="H4532" t="s">
        <v>928</v>
      </c>
      <c r="I4532" t="s">
        <v>6594</v>
      </c>
      <c r="L4532" t="s">
        <v>197</v>
      </c>
    </row>
    <row r="4533" spans="1:12" x14ac:dyDescent="0.4">
      <c r="A4533" t="s">
        <v>6553</v>
      </c>
      <c r="B4533">
        <v>2.5</v>
      </c>
      <c r="C4533" t="s">
        <v>5724</v>
      </c>
      <c r="D4533">
        <v>1</v>
      </c>
      <c r="E4533">
        <v>-1.109</v>
      </c>
      <c r="F4533">
        <v>3</v>
      </c>
      <c r="G4533">
        <v>2020</v>
      </c>
      <c r="H4533" t="s">
        <v>928</v>
      </c>
      <c r="I4533" t="s">
        <v>6594</v>
      </c>
      <c r="L4533" t="s">
        <v>197</v>
      </c>
    </row>
    <row r="4534" spans="1:12" x14ac:dyDescent="0.4">
      <c r="A4534" t="s">
        <v>6554</v>
      </c>
      <c r="B4534">
        <v>10.5</v>
      </c>
      <c r="C4534" t="s">
        <v>5708</v>
      </c>
      <c r="D4534">
        <v>1</v>
      </c>
      <c r="E4534">
        <v>-0.79700000000000004</v>
      </c>
      <c r="F4534">
        <v>4.3</v>
      </c>
      <c r="G4534">
        <v>2020</v>
      </c>
      <c r="H4534" t="s">
        <v>928</v>
      </c>
      <c r="I4534" t="s">
        <v>6594</v>
      </c>
      <c r="L4534" t="s">
        <v>197</v>
      </c>
    </row>
    <row r="4535" spans="1:12" x14ac:dyDescent="0.4">
      <c r="A4535" t="s">
        <v>6555</v>
      </c>
      <c r="B4535">
        <v>100</v>
      </c>
      <c r="C4535" t="s">
        <v>1380</v>
      </c>
      <c r="D4535">
        <v>5</v>
      </c>
      <c r="E4535">
        <v>2.6989999999999998</v>
      </c>
      <c r="F4535">
        <v>18.8</v>
      </c>
      <c r="G4535">
        <v>2020</v>
      </c>
      <c r="H4535" t="s">
        <v>928</v>
      </c>
      <c r="I4535" t="s">
        <v>6594</v>
      </c>
      <c r="L4535" t="s">
        <v>197</v>
      </c>
    </row>
    <row r="4536" spans="1:12" x14ac:dyDescent="0.4">
      <c r="A4536" t="s">
        <v>6556</v>
      </c>
      <c r="B4536">
        <v>51.2</v>
      </c>
      <c r="C4536" t="s">
        <v>2486</v>
      </c>
      <c r="D4536">
        <v>3</v>
      </c>
      <c r="E4536">
        <v>0.79300000000000004</v>
      </c>
      <c r="F4536">
        <v>10.9</v>
      </c>
      <c r="G4536">
        <v>2020</v>
      </c>
      <c r="H4536" t="s">
        <v>928</v>
      </c>
      <c r="I4536" t="s">
        <v>6594</v>
      </c>
      <c r="L4536" t="s">
        <v>197</v>
      </c>
    </row>
    <row r="4537" spans="1:12" x14ac:dyDescent="0.4">
      <c r="A4537" t="s">
        <v>6557</v>
      </c>
      <c r="B4537">
        <v>59.3</v>
      </c>
      <c r="C4537" t="s">
        <v>2476</v>
      </c>
      <c r="D4537">
        <v>3</v>
      </c>
      <c r="E4537">
        <v>1.109</v>
      </c>
      <c r="F4537">
        <v>12.2</v>
      </c>
      <c r="G4537">
        <v>2020</v>
      </c>
      <c r="H4537" t="s">
        <v>928</v>
      </c>
      <c r="I4537" t="s">
        <v>6594</v>
      </c>
      <c r="L4537" t="s">
        <v>197</v>
      </c>
    </row>
    <row r="4538" spans="1:12" x14ac:dyDescent="0.4">
      <c r="A4538" t="s">
        <v>6558</v>
      </c>
      <c r="B4538">
        <v>30.2</v>
      </c>
      <c r="C4538" t="s">
        <v>5732</v>
      </c>
      <c r="D4538">
        <v>2</v>
      </c>
      <c r="E4538">
        <v>-2.7E-2</v>
      </c>
      <c r="F4538">
        <v>7.5</v>
      </c>
      <c r="G4538">
        <v>2020</v>
      </c>
      <c r="H4538" t="s">
        <v>928</v>
      </c>
      <c r="I4538" t="s">
        <v>6594</v>
      </c>
      <c r="L4538" t="s">
        <v>197</v>
      </c>
    </row>
    <row r="4539" spans="1:12" x14ac:dyDescent="0.4">
      <c r="A4539" t="s">
        <v>6559</v>
      </c>
      <c r="B4539">
        <v>17.899999999999999</v>
      </c>
      <c r="C4539" t="s">
        <v>5734</v>
      </c>
      <c r="D4539">
        <v>1</v>
      </c>
      <c r="E4539">
        <v>-0.50800000000000001</v>
      </c>
      <c r="F4539">
        <v>5.5</v>
      </c>
      <c r="G4539">
        <v>2018</v>
      </c>
      <c r="H4539" t="s">
        <v>928</v>
      </c>
      <c r="I4539" t="s">
        <v>6594</v>
      </c>
      <c r="L4539" t="s">
        <v>197</v>
      </c>
    </row>
    <row r="4540" spans="1:12" x14ac:dyDescent="0.4">
      <c r="A4540" t="s">
        <v>6560</v>
      </c>
      <c r="B4540">
        <v>42.6</v>
      </c>
      <c r="C4540" t="s">
        <v>5692</v>
      </c>
      <c r="D4540">
        <v>3</v>
      </c>
      <c r="E4540">
        <v>0.45700000000000002</v>
      </c>
      <c r="F4540">
        <v>9.5</v>
      </c>
      <c r="G4540">
        <v>2021</v>
      </c>
      <c r="H4540" t="s">
        <v>928</v>
      </c>
      <c r="I4540" t="s">
        <v>6594</v>
      </c>
      <c r="L4540" t="s">
        <v>197</v>
      </c>
    </row>
    <row r="4541" spans="1:12" x14ac:dyDescent="0.4">
      <c r="A4541" t="s">
        <v>6561</v>
      </c>
      <c r="B4541">
        <v>100</v>
      </c>
      <c r="C4541" t="s">
        <v>1380</v>
      </c>
      <c r="D4541">
        <v>5</v>
      </c>
      <c r="E4541">
        <v>2.6989999999999998</v>
      </c>
      <c r="F4541">
        <v>18.8</v>
      </c>
      <c r="G4541">
        <v>2020</v>
      </c>
      <c r="H4541" t="s">
        <v>928</v>
      </c>
      <c r="I4541" t="s">
        <v>6594</v>
      </c>
      <c r="L4541" t="s">
        <v>197</v>
      </c>
    </row>
    <row r="4542" spans="1:12" x14ac:dyDescent="0.4">
      <c r="A4542" t="s">
        <v>6562</v>
      </c>
      <c r="B4542">
        <v>47.5</v>
      </c>
      <c r="C4542" t="s">
        <v>5701</v>
      </c>
      <c r="D4542">
        <v>3</v>
      </c>
      <c r="E4542">
        <v>0.64800000000000002</v>
      </c>
      <c r="F4542">
        <v>10.3</v>
      </c>
      <c r="G4542">
        <v>2020</v>
      </c>
      <c r="H4542" t="s">
        <v>928</v>
      </c>
      <c r="I4542" t="s">
        <v>6594</v>
      </c>
      <c r="L4542" t="s">
        <v>197</v>
      </c>
    </row>
    <row r="4543" spans="1:12" x14ac:dyDescent="0.4">
      <c r="A4543" t="s">
        <v>6563</v>
      </c>
      <c r="B4543">
        <v>35.799999999999997</v>
      </c>
      <c r="C4543" t="s">
        <v>6579</v>
      </c>
      <c r="D4543">
        <v>2</v>
      </c>
      <c r="E4543">
        <v>0.191</v>
      </c>
      <c r="F4543">
        <v>8.4</v>
      </c>
      <c r="G4543">
        <v>2020</v>
      </c>
      <c r="H4543" t="s">
        <v>928</v>
      </c>
      <c r="I4543" t="s">
        <v>6594</v>
      </c>
      <c r="L4543" t="s">
        <v>197</v>
      </c>
    </row>
    <row r="4544" spans="1:12" x14ac:dyDescent="0.4">
      <c r="A4544" t="s">
        <v>6564</v>
      </c>
      <c r="B4544">
        <v>18.5</v>
      </c>
      <c r="C4544" t="s">
        <v>6041</v>
      </c>
      <c r="D4544">
        <v>1</v>
      </c>
      <c r="E4544">
        <v>-0.48399999999999999</v>
      </c>
      <c r="F4544">
        <v>5.6</v>
      </c>
      <c r="G4544">
        <v>2020</v>
      </c>
      <c r="H4544" t="s">
        <v>928</v>
      </c>
      <c r="I4544" t="s">
        <v>6594</v>
      </c>
      <c r="L4544" t="s">
        <v>197</v>
      </c>
    </row>
    <row r="4545" spans="1:12" x14ac:dyDescent="0.4">
      <c r="A4545" t="s">
        <v>6565</v>
      </c>
      <c r="B4545">
        <v>21.6</v>
      </c>
      <c r="C4545" t="s">
        <v>5706</v>
      </c>
      <c r="D4545">
        <v>2</v>
      </c>
      <c r="E4545">
        <v>-0.36299999999999999</v>
      </c>
      <c r="F4545">
        <v>6.1</v>
      </c>
      <c r="G4545">
        <v>2020</v>
      </c>
      <c r="H4545" t="s">
        <v>928</v>
      </c>
      <c r="I4545" t="s">
        <v>6594</v>
      </c>
      <c r="L4545" t="s">
        <v>197</v>
      </c>
    </row>
    <row r="4546" spans="1:12" x14ac:dyDescent="0.4">
      <c r="A4546" t="s">
        <v>6566</v>
      </c>
      <c r="B4546">
        <v>49.4</v>
      </c>
      <c r="C4546" t="s">
        <v>2487</v>
      </c>
      <c r="D4546">
        <v>3</v>
      </c>
      <c r="E4546">
        <v>0.72299999999999998</v>
      </c>
      <c r="F4546">
        <v>10.6</v>
      </c>
      <c r="G4546">
        <v>2020</v>
      </c>
      <c r="H4546" t="s">
        <v>928</v>
      </c>
      <c r="I4546" t="s">
        <v>6594</v>
      </c>
      <c r="L4546" t="s">
        <v>197</v>
      </c>
    </row>
    <row r="4547" spans="1:12" x14ac:dyDescent="0.4">
      <c r="A4547" t="s">
        <v>6567</v>
      </c>
      <c r="B4547">
        <v>51.2</v>
      </c>
      <c r="C4547" t="s">
        <v>2486</v>
      </c>
      <c r="D4547">
        <v>3</v>
      </c>
      <c r="E4547">
        <v>0.79300000000000004</v>
      </c>
      <c r="F4547">
        <v>10.9</v>
      </c>
      <c r="G4547">
        <v>2020</v>
      </c>
      <c r="H4547" t="s">
        <v>928</v>
      </c>
      <c r="I4547" t="s">
        <v>6594</v>
      </c>
      <c r="L4547" t="s">
        <v>197</v>
      </c>
    </row>
    <row r="4548" spans="1:12" x14ac:dyDescent="0.4">
      <c r="A4548" t="s">
        <v>6568</v>
      </c>
      <c r="B4548">
        <v>56.2</v>
      </c>
      <c r="C4548" t="s">
        <v>2483</v>
      </c>
      <c r="D4548">
        <v>3</v>
      </c>
      <c r="E4548">
        <v>0.98799999999999999</v>
      </c>
      <c r="F4548">
        <v>11.7</v>
      </c>
      <c r="G4548">
        <v>2021</v>
      </c>
      <c r="H4548" t="s">
        <v>928</v>
      </c>
      <c r="I4548" t="s">
        <v>6594</v>
      </c>
      <c r="L4548" t="s">
        <v>197</v>
      </c>
    </row>
    <row r="4549" spans="1:12" x14ac:dyDescent="0.4">
      <c r="A4549" t="s">
        <v>6569</v>
      </c>
      <c r="B4549">
        <v>54.9</v>
      </c>
      <c r="C4549" t="s">
        <v>2482</v>
      </c>
      <c r="D4549">
        <v>3</v>
      </c>
      <c r="E4549">
        <v>0.93700000000000006</v>
      </c>
      <c r="F4549">
        <v>11.5</v>
      </c>
      <c r="G4549">
        <v>2020</v>
      </c>
      <c r="H4549" t="s">
        <v>928</v>
      </c>
      <c r="I4549" t="s">
        <v>6594</v>
      </c>
      <c r="L4549" t="s">
        <v>197</v>
      </c>
    </row>
    <row r="4550" spans="1:12" x14ac:dyDescent="0.4">
      <c r="A4550" t="s">
        <v>6570</v>
      </c>
      <c r="B4550">
        <v>18.5</v>
      </c>
      <c r="C4550" t="s">
        <v>6041</v>
      </c>
      <c r="D4550">
        <v>1</v>
      </c>
      <c r="E4550">
        <v>-0.48399999999999999</v>
      </c>
      <c r="F4550">
        <v>5.6</v>
      </c>
      <c r="G4550">
        <v>2020</v>
      </c>
      <c r="H4550" t="s">
        <v>928</v>
      </c>
      <c r="I4550" t="s">
        <v>6594</v>
      </c>
      <c r="L4550" t="s">
        <v>197</v>
      </c>
    </row>
    <row r="4551" spans="1:12" x14ac:dyDescent="0.4">
      <c r="A4551" t="s">
        <v>6571</v>
      </c>
      <c r="B4551">
        <v>12.3</v>
      </c>
      <c r="C4551" t="s">
        <v>5720</v>
      </c>
      <c r="D4551">
        <v>1</v>
      </c>
      <c r="E4551">
        <v>-0.72599999999999998</v>
      </c>
      <c r="F4551">
        <v>4.5999999999999996</v>
      </c>
      <c r="G4551">
        <v>2020</v>
      </c>
      <c r="H4551" t="s">
        <v>928</v>
      </c>
      <c r="I4551" t="s">
        <v>6594</v>
      </c>
      <c r="L4551" t="s">
        <v>197</v>
      </c>
    </row>
    <row r="4552" spans="1:12" x14ac:dyDescent="0.4">
      <c r="A4552" t="s">
        <v>6572</v>
      </c>
      <c r="B4552">
        <v>30.9</v>
      </c>
      <c r="C4552" t="s">
        <v>197</v>
      </c>
      <c r="D4552">
        <v>2</v>
      </c>
    </row>
    <row r="4553" spans="1:12" x14ac:dyDescent="0.4">
      <c r="A4553" t="s">
        <v>6573</v>
      </c>
      <c r="B4553">
        <v>16.2</v>
      </c>
      <c r="C4553" t="s">
        <v>197</v>
      </c>
      <c r="D4553">
        <v>1</v>
      </c>
    </row>
    <row r="4554" spans="1:12" x14ac:dyDescent="0.4">
      <c r="A4554" t="s">
        <v>6574</v>
      </c>
      <c r="B4554">
        <v>66.5</v>
      </c>
      <c r="C4554" t="s">
        <v>197</v>
      </c>
      <c r="D4554">
        <v>4</v>
      </c>
    </row>
    <row r="4555" spans="1:12" x14ac:dyDescent="0.4">
      <c r="A4555" t="s">
        <v>6575</v>
      </c>
      <c r="B4555">
        <v>17.7</v>
      </c>
      <c r="C4555" t="s">
        <v>197</v>
      </c>
      <c r="D4555">
        <v>1</v>
      </c>
    </row>
    <row r="4556" spans="1:12" x14ac:dyDescent="0.4">
      <c r="A4556" t="s">
        <v>6576</v>
      </c>
      <c r="B4556">
        <v>44.3</v>
      </c>
      <c r="C4556" t="s">
        <v>197</v>
      </c>
      <c r="D4556">
        <v>3</v>
      </c>
    </row>
    <row r="4557" spans="1:12" x14ac:dyDescent="0.4">
      <c r="A4557" t="s">
        <v>6577</v>
      </c>
      <c r="B4557">
        <v>6.4</v>
      </c>
      <c r="C4557" t="s">
        <v>197</v>
      </c>
      <c r="D4557">
        <v>1</v>
      </c>
    </row>
    <row r="4558" spans="1:12" x14ac:dyDescent="0.4">
      <c r="A4558" t="s">
        <v>6578</v>
      </c>
      <c r="B4558">
        <v>30.1</v>
      </c>
      <c r="C4558" t="s">
        <v>197</v>
      </c>
      <c r="D4558">
        <v>2</v>
      </c>
    </row>
    <row r="4559" spans="1:12" x14ac:dyDescent="0.4">
      <c r="A4559" t="s">
        <v>7474</v>
      </c>
      <c r="B4559">
        <v>10.3</v>
      </c>
      <c r="C4559" t="s">
        <v>197</v>
      </c>
      <c r="D4559">
        <v>1</v>
      </c>
    </row>
    <row r="4560" spans="1:12" x14ac:dyDescent="0.4">
      <c r="A4560" t="s">
        <v>7475</v>
      </c>
      <c r="B4560">
        <v>23.7</v>
      </c>
      <c r="C4560" t="s">
        <v>197</v>
      </c>
      <c r="D4560">
        <v>2</v>
      </c>
    </row>
    <row r="4561" spans="1:12" x14ac:dyDescent="0.4">
      <c r="A4561" t="s">
        <v>7476</v>
      </c>
      <c r="B4561">
        <v>48.7</v>
      </c>
      <c r="C4561" t="s">
        <v>197</v>
      </c>
      <c r="D4561">
        <v>3</v>
      </c>
    </row>
    <row r="4562" spans="1:12" x14ac:dyDescent="0.4">
      <c r="A4562" t="s">
        <v>4547</v>
      </c>
      <c r="B4562">
        <v>15.9</v>
      </c>
      <c r="C4562" t="s">
        <v>6044</v>
      </c>
      <c r="D4562">
        <v>1</v>
      </c>
      <c r="E4562">
        <v>-0.56999999999999995</v>
      </c>
      <c r="F4562">
        <v>5703628</v>
      </c>
      <c r="G4562">
        <v>2024</v>
      </c>
      <c r="H4562" t="s">
        <v>928</v>
      </c>
      <c r="I4562" t="s">
        <v>2626</v>
      </c>
      <c r="L4562" t="s">
        <v>197</v>
      </c>
    </row>
    <row r="4563" spans="1:12" x14ac:dyDescent="0.4">
      <c r="A4563" t="s">
        <v>4545</v>
      </c>
      <c r="B4563">
        <v>7.5</v>
      </c>
      <c r="C4563" t="s">
        <v>5713</v>
      </c>
      <c r="D4563">
        <v>1</v>
      </c>
      <c r="E4563">
        <v>-0.88500000000000001</v>
      </c>
      <c r="F4563">
        <v>2952115</v>
      </c>
      <c r="G4563">
        <v>2024</v>
      </c>
      <c r="H4563" t="s">
        <v>928</v>
      </c>
      <c r="I4563" t="s">
        <v>2626</v>
      </c>
      <c r="L4563" t="s">
        <v>197</v>
      </c>
    </row>
    <row r="4564" spans="1:12" x14ac:dyDescent="0.4">
      <c r="A4564" t="s">
        <v>4551</v>
      </c>
      <c r="B4564">
        <v>0</v>
      </c>
      <c r="C4564" t="s">
        <v>6033</v>
      </c>
      <c r="D4564">
        <v>1</v>
      </c>
      <c r="E4564">
        <v>-1.1659999999999999</v>
      </c>
      <c r="F4564">
        <v>498715</v>
      </c>
      <c r="G4564">
        <v>2020</v>
      </c>
      <c r="H4564" t="s">
        <v>928</v>
      </c>
      <c r="I4564" t="s">
        <v>6723</v>
      </c>
      <c r="L4564" t="s">
        <v>197</v>
      </c>
    </row>
    <row r="4565" spans="1:12" x14ac:dyDescent="0.4">
      <c r="A4565" t="s">
        <v>4575</v>
      </c>
      <c r="B4565">
        <v>3.6</v>
      </c>
      <c r="C4565" t="s">
        <v>5697</v>
      </c>
      <c r="D4565">
        <v>1</v>
      </c>
      <c r="E4565">
        <v>-1.0309999999999999</v>
      </c>
      <c r="F4565">
        <v>1692770</v>
      </c>
      <c r="G4565">
        <v>2024</v>
      </c>
      <c r="H4565" t="s">
        <v>928</v>
      </c>
      <c r="I4565" t="s">
        <v>2626</v>
      </c>
      <c r="L4565" t="s">
        <v>197</v>
      </c>
    </row>
    <row r="4566" spans="1:12" x14ac:dyDescent="0.4">
      <c r="A4566" t="s">
        <v>2648</v>
      </c>
      <c r="B4566">
        <v>32.700000000000003</v>
      </c>
      <c r="C4566" t="s">
        <v>6579</v>
      </c>
      <c r="D4566">
        <v>2</v>
      </c>
      <c r="E4566">
        <v>0.06</v>
      </c>
      <c r="F4566">
        <v>11233869</v>
      </c>
      <c r="G4566">
        <v>2024</v>
      </c>
      <c r="H4566" t="s">
        <v>928</v>
      </c>
      <c r="I4566" t="s">
        <v>2626</v>
      </c>
      <c r="L4566" t="s">
        <v>197</v>
      </c>
    </row>
    <row r="4567" spans="1:12" x14ac:dyDescent="0.4">
      <c r="A4567" t="s">
        <v>4571</v>
      </c>
      <c r="B4567">
        <v>66.099999999999994</v>
      </c>
      <c r="C4567" t="s">
        <v>2482</v>
      </c>
      <c r="D4567">
        <v>4</v>
      </c>
      <c r="E4567">
        <v>1.3120000000000001</v>
      </c>
      <c r="F4567">
        <v>22189082</v>
      </c>
      <c r="G4567">
        <v>2024</v>
      </c>
      <c r="H4567" t="s">
        <v>928</v>
      </c>
      <c r="I4567" t="s">
        <v>2626</v>
      </c>
      <c r="L4567" t="s">
        <v>197</v>
      </c>
    </row>
    <row r="4568" spans="1:12" x14ac:dyDescent="0.4">
      <c r="A4568" t="s">
        <v>4555</v>
      </c>
      <c r="B4568">
        <v>9.4</v>
      </c>
      <c r="C4568" t="s">
        <v>5709</v>
      </c>
      <c r="D4568">
        <v>1</v>
      </c>
      <c r="E4568">
        <v>-0.81399999999999995</v>
      </c>
      <c r="F4568">
        <v>3576873</v>
      </c>
      <c r="G4568">
        <v>2024</v>
      </c>
      <c r="H4568" t="s">
        <v>928</v>
      </c>
      <c r="I4568" t="s">
        <v>2626</v>
      </c>
      <c r="L4568" t="s">
        <v>197</v>
      </c>
    </row>
    <row r="4569" spans="1:12" x14ac:dyDescent="0.4">
      <c r="A4569" t="s">
        <v>4549</v>
      </c>
      <c r="B4569">
        <v>34</v>
      </c>
      <c r="C4569" t="s">
        <v>5692</v>
      </c>
      <c r="D4569">
        <v>2</v>
      </c>
      <c r="E4569">
        <v>0.109</v>
      </c>
      <c r="F4569">
        <v>11658211</v>
      </c>
      <c r="G4569">
        <v>2024</v>
      </c>
      <c r="H4569" t="s">
        <v>928</v>
      </c>
      <c r="I4569" t="s">
        <v>2626</v>
      </c>
      <c r="L4569" t="s">
        <v>197</v>
      </c>
    </row>
    <row r="4570" spans="1:12" x14ac:dyDescent="0.4">
      <c r="A4570" t="s">
        <v>4561</v>
      </c>
      <c r="B4570">
        <v>3.9</v>
      </c>
      <c r="C4570" t="s">
        <v>5728</v>
      </c>
      <c r="D4570">
        <v>1</v>
      </c>
      <c r="E4570">
        <v>-1.02</v>
      </c>
      <c r="F4570">
        <v>1780391</v>
      </c>
      <c r="G4570">
        <v>2024</v>
      </c>
      <c r="H4570" t="s">
        <v>928</v>
      </c>
      <c r="I4570" t="s">
        <v>2626</v>
      </c>
      <c r="L4570" t="s">
        <v>197</v>
      </c>
    </row>
    <row r="4571" spans="1:12" x14ac:dyDescent="0.4">
      <c r="A4571" t="s">
        <v>4553</v>
      </c>
      <c r="B4571">
        <v>67.400000000000006</v>
      </c>
      <c r="C4571" t="s">
        <v>2480</v>
      </c>
      <c r="D4571">
        <v>4</v>
      </c>
      <c r="E4571">
        <v>1.361</v>
      </c>
      <c r="F4571">
        <v>22623874</v>
      </c>
      <c r="G4571">
        <v>2024</v>
      </c>
      <c r="H4571" t="s">
        <v>928</v>
      </c>
      <c r="I4571" t="s">
        <v>2626</v>
      </c>
      <c r="L4571" t="s">
        <v>197</v>
      </c>
    </row>
    <row r="4572" spans="1:12" x14ac:dyDescent="0.4">
      <c r="A4572" t="s">
        <v>6012</v>
      </c>
      <c r="B4572">
        <v>0.3</v>
      </c>
      <c r="C4572" t="s">
        <v>6035</v>
      </c>
      <c r="D4572">
        <v>1</v>
      </c>
      <c r="E4572">
        <v>-1.155</v>
      </c>
      <c r="F4572">
        <v>612535</v>
      </c>
      <c r="G4572">
        <v>2020</v>
      </c>
      <c r="H4572" t="s">
        <v>928</v>
      </c>
      <c r="I4572" t="s">
        <v>6724</v>
      </c>
      <c r="L4572" t="s">
        <v>197</v>
      </c>
    </row>
    <row r="4573" spans="1:12" x14ac:dyDescent="0.4">
      <c r="A4573" t="s">
        <v>4567</v>
      </c>
      <c r="B4573">
        <v>100</v>
      </c>
      <c r="C4573" t="s">
        <v>1380</v>
      </c>
      <c r="D4573">
        <v>5</v>
      </c>
      <c r="E4573">
        <v>2.5830000000000002</v>
      </c>
      <c r="F4573">
        <v>33807403</v>
      </c>
      <c r="G4573">
        <v>2024</v>
      </c>
      <c r="H4573" t="s">
        <v>928</v>
      </c>
      <c r="I4573" t="s">
        <v>2626</v>
      </c>
      <c r="L4573" t="s">
        <v>197</v>
      </c>
    </row>
    <row r="4574" spans="1:12" x14ac:dyDescent="0.4">
      <c r="A4574" t="s">
        <v>2649</v>
      </c>
      <c r="B4574">
        <v>71.400000000000006</v>
      </c>
      <c r="C4574" t="s">
        <v>2475</v>
      </c>
      <c r="D4574">
        <v>4</v>
      </c>
      <c r="E4574">
        <v>1.5109999999999999</v>
      </c>
      <c r="F4574">
        <v>23935652</v>
      </c>
      <c r="G4574">
        <v>2024</v>
      </c>
      <c r="H4574" t="s">
        <v>928</v>
      </c>
      <c r="I4574" t="s">
        <v>2626</v>
      </c>
      <c r="L4574" t="s">
        <v>197</v>
      </c>
    </row>
    <row r="4575" spans="1:12" x14ac:dyDescent="0.4">
      <c r="A4575" t="s">
        <v>2650</v>
      </c>
      <c r="B4575">
        <v>7.8</v>
      </c>
      <c r="C4575" t="s">
        <v>5708</v>
      </c>
      <c r="D4575">
        <v>1</v>
      </c>
      <c r="E4575">
        <v>-0.874</v>
      </c>
      <c r="F4575">
        <v>3051016</v>
      </c>
      <c r="G4575">
        <v>2024</v>
      </c>
      <c r="H4575" t="s">
        <v>928</v>
      </c>
      <c r="I4575" t="s">
        <v>2626</v>
      </c>
      <c r="L4575" t="s">
        <v>197</v>
      </c>
    </row>
    <row r="4576" spans="1:12" x14ac:dyDescent="0.4">
      <c r="A4576" t="s">
        <v>4560</v>
      </c>
      <c r="B4576">
        <v>2.6</v>
      </c>
      <c r="C4576" t="s">
        <v>6037</v>
      </c>
      <c r="D4576">
        <v>1</v>
      </c>
      <c r="E4576">
        <v>-1.0680000000000001</v>
      </c>
      <c r="F4576">
        <v>1346810</v>
      </c>
      <c r="G4576">
        <v>2024</v>
      </c>
      <c r="H4576" t="s">
        <v>928</v>
      </c>
      <c r="I4576" t="s">
        <v>2626</v>
      </c>
      <c r="L4576" t="s">
        <v>197</v>
      </c>
    </row>
    <row r="4577" spans="1:12" x14ac:dyDescent="0.4">
      <c r="A4577" t="s">
        <v>4574</v>
      </c>
      <c r="B4577">
        <v>27.6</v>
      </c>
      <c r="C4577" t="s">
        <v>5731</v>
      </c>
      <c r="D4577">
        <v>2</v>
      </c>
      <c r="E4577">
        <v>-0.13100000000000001</v>
      </c>
      <c r="F4577">
        <v>9567656</v>
      </c>
      <c r="G4577">
        <v>2024</v>
      </c>
      <c r="H4577" t="s">
        <v>928</v>
      </c>
      <c r="I4577" t="s">
        <v>2626</v>
      </c>
      <c r="L4577" t="s">
        <v>197</v>
      </c>
    </row>
    <row r="4578" spans="1:12" x14ac:dyDescent="0.4">
      <c r="A4578" t="s">
        <v>2651</v>
      </c>
      <c r="B4578">
        <v>22</v>
      </c>
      <c r="C4578" t="s">
        <v>5706</v>
      </c>
      <c r="D4578">
        <v>2</v>
      </c>
      <c r="E4578">
        <v>-0.34100000000000003</v>
      </c>
      <c r="F4578">
        <v>7725859</v>
      </c>
      <c r="G4578">
        <v>2024</v>
      </c>
      <c r="H4578" t="s">
        <v>928</v>
      </c>
      <c r="I4578" t="s">
        <v>2626</v>
      </c>
      <c r="L4578" t="s">
        <v>197</v>
      </c>
    </row>
    <row r="4579" spans="1:12" x14ac:dyDescent="0.4">
      <c r="A4579" t="s">
        <v>2652</v>
      </c>
      <c r="B4579">
        <v>47.4</v>
      </c>
      <c r="C4579" t="s">
        <v>5696</v>
      </c>
      <c r="D4579">
        <v>3</v>
      </c>
      <c r="E4579">
        <v>0.61099999999999999</v>
      </c>
      <c r="F4579">
        <v>16047350</v>
      </c>
      <c r="G4579">
        <v>2024</v>
      </c>
      <c r="H4579" t="s">
        <v>928</v>
      </c>
      <c r="I4579" t="s">
        <v>2626</v>
      </c>
      <c r="L4579" t="s">
        <v>197</v>
      </c>
    </row>
    <row r="4580" spans="1:12" x14ac:dyDescent="0.4">
      <c r="A4580" t="s">
        <v>2653</v>
      </c>
      <c r="B4580">
        <v>33.299999999999997</v>
      </c>
      <c r="C4580" t="s">
        <v>5695</v>
      </c>
      <c r="D4580">
        <v>2</v>
      </c>
      <c r="E4580">
        <v>8.2000000000000003E-2</v>
      </c>
      <c r="F4580">
        <v>11436004</v>
      </c>
      <c r="G4580">
        <v>2024</v>
      </c>
      <c r="H4580" t="s">
        <v>928</v>
      </c>
      <c r="I4580" t="s">
        <v>2626</v>
      </c>
      <c r="L4580" t="s">
        <v>197</v>
      </c>
    </row>
    <row r="4581" spans="1:12" x14ac:dyDescent="0.4">
      <c r="A4581" t="s">
        <v>4544</v>
      </c>
      <c r="B4581">
        <v>17.7</v>
      </c>
      <c r="C4581" t="s">
        <v>5735</v>
      </c>
      <c r="D4581">
        <v>1</v>
      </c>
      <c r="E4581">
        <v>-0.502</v>
      </c>
      <c r="F4581">
        <v>6324351</v>
      </c>
      <c r="G4581">
        <v>2024</v>
      </c>
      <c r="H4581" t="s">
        <v>928</v>
      </c>
      <c r="I4581" t="s">
        <v>2626</v>
      </c>
      <c r="L4581" t="s">
        <v>197</v>
      </c>
    </row>
    <row r="4582" spans="1:12" x14ac:dyDescent="0.4">
      <c r="A4582" t="s">
        <v>4564</v>
      </c>
      <c r="B4582">
        <v>52.2</v>
      </c>
      <c r="C4582" t="s">
        <v>2481</v>
      </c>
      <c r="D4582">
        <v>3</v>
      </c>
      <c r="E4582">
        <v>0.79100000000000004</v>
      </c>
      <c r="F4582">
        <v>17648555</v>
      </c>
      <c r="G4582">
        <v>2024</v>
      </c>
      <c r="H4582" t="s">
        <v>928</v>
      </c>
      <c r="I4582" t="s">
        <v>2626</v>
      </c>
      <c r="L4582" t="s">
        <v>197</v>
      </c>
    </row>
    <row r="4583" spans="1:12" x14ac:dyDescent="0.4">
      <c r="A4583" t="s">
        <v>4568</v>
      </c>
      <c r="B4583">
        <v>3.4</v>
      </c>
      <c r="C4583" t="s">
        <v>5710</v>
      </c>
      <c r="D4583">
        <v>1</v>
      </c>
      <c r="E4583">
        <v>-1.038</v>
      </c>
      <c r="F4583">
        <v>1621642</v>
      </c>
      <c r="G4583">
        <v>2024</v>
      </c>
      <c r="H4583" t="s">
        <v>928</v>
      </c>
      <c r="I4583" t="s">
        <v>2626</v>
      </c>
      <c r="L4583" t="s">
        <v>197</v>
      </c>
    </row>
    <row r="4584" spans="1:12" x14ac:dyDescent="0.4">
      <c r="A4584" t="s">
        <v>4566</v>
      </c>
      <c r="B4584">
        <v>45.9</v>
      </c>
      <c r="C4584" t="s">
        <v>5701</v>
      </c>
      <c r="D4584">
        <v>3</v>
      </c>
      <c r="E4584">
        <v>0.55500000000000005</v>
      </c>
      <c r="F4584">
        <v>15570786</v>
      </c>
      <c r="G4584">
        <v>2024</v>
      </c>
      <c r="H4584" t="s">
        <v>928</v>
      </c>
      <c r="I4584" t="s">
        <v>2626</v>
      </c>
      <c r="L4584" t="s">
        <v>197</v>
      </c>
    </row>
    <row r="4585" spans="1:12" x14ac:dyDescent="0.4">
      <c r="A4585" t="s">
        <v>4554</v>
      </c>
      <c r="B4585">
        <v>8.6999999999999993</v>
      </c>
      <c r="C4585" t="s">
        <v>5698</v>
      </c>
      <c r="D4585">
        <v>1</v>
      </c>
      <c r="E4585">
        <v>-0.84</v>
      </c>
      <c r="F4585">
        <v>3353602</v>
      </c>
      <c r="G4585">
        <v>2024</v>
      </c>
      <c r="H4585" t="s">
        <v>928</v>
      </c>
      <c r="I4585" t="s">
        <v>2626</v>
      </c>
      <c r="L4585" t="s">
        <v>197</v>
      </c>
    </row>
    <row r="4586" spans="1:12" x14ac:dyDescent="0.4">
      <c r="A4586" t="s">
        <v>4543</v>
      </c>
      <c r="B4586">
        <v>48.8</v>
      </c>
      <c r="C4586" t="s">
        <v>5730</v>
      </c>
      <c r="D4586">
        <v>3</v>
      </c>
      <c r="E4586">
        <v>0.66400000000000003</v>
      </c>
      <c r="F4586">
        <v>16536018</v>
      </c>
      <c r="G4586">
        <v>2024</v>
      </c>
      <c r="H4586" t="s">
        <v>928</v>
      </c>
      <c r="I4586" t="s">
        <v>2626</v>
      </c>
      <c r="L4586" t="s">
        <v>197</v>
      </c>
    </row>
    <row r="4587" spans="1:12" x14ac:dyDescent="0.4">
      <c r="A4587" t="s">
        <v>4557</v>
      </c>
      <c r="B4587">
        <v>28.2</v>
      </c>
      <c r="C4587" t="s">
        <v>5732</v>
      </c>
      <c r="D4587">
        <v>2</v>
      </c>
      <c r="E4587">
        <v>-0.109</v>
      </c>
      <c r="F4587">
        <v>9748033</v>
      </c>
      <c r="G4587">
        <v>2024</v>
      </c>
      <c r="H4587" t="s">
        <v>928</v>
      </c>
      <c r="I4587" t="s">
        <v>2626</v>
      </c>
      <c r="L4587" t="s">
        <v>197</v>
      </c>
    </row>
    <row r="4588" spans="1:12" x14ac:dyDescent="0.4">
      <c r="A4588" t="s">
        <v>4558</v>
      </c>
      <c r="B4588">
        <v>19.100000000000001</v>
      </c>
      <c r="C4588" t="s">
        <v>5693</v>
      </c>
      <c r="D4588">
        <v>1</v>
      </c>
      <c r="E4588">
        <v>-0.45</v>
      </c>
      <c r="F4588">
        <v>6783241</v>
      </c>
      <c r="G4588">
        <v>2024</v>
      </c>
      <c r="H4588" t="s">
        <v>928</v>
      </c>
      <c r="I4588" t="s">
        <v>2626</v>
      </c>
      <c r="L4588" t="s">
        <v>197</v>
      </c>
    </row>
    <row r="4589" spans="1:12" x14ac:dyDescent="0.4">
      <c r="A4589" t="s">
        <v>4576</v>
      </c>
      <c r="B4589">
        <v>44</v>
      </c>
      <c r="C4589" t="s">
        <v>5707</v>
      </c>
      <c r="D4589">
        <v>3</v>
      </c>
      <c r="E4589">
        <v>0.48399999999999999</v>
      </c>
      <c r="F4589">
        <v>14941953</v>
      </c>
      <c r="G4589">
        <v>2024</v>
      </c>
      <c r="H4589" t="s">
        <v>928</v>
      </c>
      <c r="I4589" t="s">
        <v>2626</v>
      </c>
      <c r="L4589" t="s">
        <v>197</v>
      </c>
    </row>
    <row r="4590" spans="1:12" x14ac:dyDescent="0.4">
      <c r="A4590" t="s">
        <v>2654</v>
      </c>
      <c r="B4590">
        <v>14.7</v>
      </c>
      <c r="C4590" t="s">
        <v>5704</v>
      </c>
      <c r="D4590">
        <v>1</v>
      </c>
      <c r="E4590">
        <v>-0.61499999999999999</v>
      </c>
      <c r="F4590">
        <v>5315600</v>
      </c>
      <c r="G4590">
        <v>2024</v>
      </c>
      <c r="H4590" t="s">
        <v>928</v>
      </c>
      <c r="I4590" t="s">
        <v>2626</v>
      </c>
      <c r="L4590" t="s">
        <v>197</v>
      </c>
    </row>
    <row r="4591" spans="1:12" x14ac:dyDescent="0.4">
      <c r="A4591" t="s">
        <v>2655</v>
      </c>
      <c r="B4591">
        <v>67</v>
      </c>
      <c r="C4591" t="s">
        <v>2483</v>
      </c>
      <c r="D4591">
        <v>4</v>
      </c>
      <c r="E4591">
        <v>1.3460000000000001</v>
      </c>
      <c r="F4591">
        <v>22505315</v>
      </c>
      <c r="G4591">
        <v>2024</v>
      </c>
      <c r="H4591" t="s">
        <v>928</v>
      </c>
      <c r="I4591" t="s">
        <v>2626</v>
      </c>
      <c r="L4591" t="s">
        <v>197</v>
      </c>
    </row>
    <row r="4592" spans="1:12" x14ac:dyDescent="0.4">
      <c r="A4592" t="s">
        <v>4559</v>
      </c>
      <c r="B4592">
        <v>37.200000000000003</v>
      </c>
      <c r="C4592" t="s">
        <v>5705</v>
      </c>
      <c r="D4592">
        <v>2</v>
      </c>
      <c r="E4592">
        <v>0.22900000000000001</v>
      </c>
      <c r="F4592">
        <v>12712305</v>
      </c>
      <c r="G4592">
        <v>2024</v>
      </c>
      <c r="H4592" t="s">
        <v>928</v>
      </c>
      <c r="I4592" t="s">
        <v>2626</v>
      </c>
      <c r="L4592" t="s">
        <v>197</v>
      </c>
    </row>
    <row r="4593" spans="1:12" x14ac:dyDescent="0.4">
      <c r="A4593" t="s">
        <v>4565</v>
      </c>
      <c r="B4593">
        <v>64.5</v>
      </c>
      <c r="C4593" t="s">
        <v>2484</v>
      </c>
      <c r="D4593">
        <v>4</v>
      </c>
      <c r="E4593">
        <v>1.252</v>
      </c>
      <c r="F4593">
        <v>21673149</v>
      </c>
      <c r="G4593">
        <v>2024</v>
      </c>
      <c r="H4593" t="s">
        <v>928</v>
      </c>
      <c r="I4593" t="s">
        <v>2626</v>
      </c>
      <c r="L4593" t="s">
        <v>197</v>
      </c>
    </row>
    <row r="4594" spans="1:12" x14ac:dyDescent="0.4">
      <c r="A4594" t="s">
        <v>4546</v>
      </c>
      <c r="B4594">
        <v>15.4</v>
      </c>
      <c r="C4594" t="s">
        <v>5699</v>
      </c>
      <c r="D4594">
        <v>1</v>
      </c>
      <c r="E4594">
        <v>-0.58899999999999997</v>
      </c>
      <c r="F4594">
        <v>5541172</v>
      </c>
      <c r="G4594">
        <v>2024</v>
      </c>
      <c r="H4594" t="s">
        <v>928</v>
      </c>
      <c r="I4594" t="s">
        <v>2626</v>
      </c>
      <c r="L4594" t="s">
        <v>197</v>
      </c>
    </row>
    <row r="4595" spans="1:12" x14ac:dyDescent="0.4">
      <c r="A4595" t="s">
        <v>5944</v>
      </c>
      <c r="B4595">
        <v>22.6</v>
      </c>
      <c r="C4595" t="s">
        <v>5700</v>
      </c>
      <c r="D4595">
        <v>2</v>
      </c>
      <c r="E4595">
        <v>-0.31900000000000001</v>
      </c>
      <c r="F4595">
        <v>7931147</v>
      </c>
      <c r="G4595">
        <v>2024</v>
      </c>
      <c r="H4595" t="s">
        <v>928</v>
      </c>
      <c r="I4595" t="s">
        <v>2626</v>
      </c>
      <c r="L4595" t="s">
        <v>197</v>
      </c>
    </row>
    <row r="4596" spans="1:12" x14ac:dyDescent="0.4">
      <c r="A4596" t="s">
        <v>4569</v>
      </c>
      <c r="B4596">
        <v>56.2</v>
      </c>
      <c r="C4596" t="s">
        <v>2474</v>
      </c>
      <c r="D4596">
        <v>3</v>
      </c>
      <c r="E4596">
        <v>0.94099999999999995</v>
      </c>
      <c r="F4596">
        <v>18967459</v>
      </c>
      <c r="G4596">
        <v>2024</v>
      </c>
      <c r="H4596" t="s">
        <v>928</v>
      </c>
      <c r="I4596" t="s">
        <v>2626</v>
      </c>
      <c r="L4596" t="s">
        <v>197</v>
      </c>
    </row>
    <row r="4597" spans="1:12" x14ac:dyDescent="0.4">
      <c r="A4597" t="s">
        <v>5945</v>
      </c>
      <c r="B4597">
        <v>32.799999999999997</v>
      </c>
      <c r="C4597" t="s">
        <v>6580</v>
      </c>
      <c r="D4597">
        <v>2</v>
      </c>
      <c r="E4597">
        <v>6.4000000000000001E-2</v>
      </c>
      <c r="F4597">
        <v>11276701</v>
      </c>
      <c r="G4597">
        <v>2024</v>
      </c>
      <c r="H4597" t="s">
        <v>928</v>
      </c>
      <c r="I4597" t="s">
        <v>2626</v>
      </c>
      <c r="L4597" t="s">
        <v>197</v>
      </c>
    </row>
    <row r="4598" spans="1:12" x14ac:dyDescent="0.4">
      <c r="A4598" t="s">
        <v>4577</v>
      </c>
      <c r="B4598">
        <v>5.6</v>
      </c>
      <c r="C4598" t="s">
        <v>5712</v>
      </c>
      <c r="D4598">
        <v>1</v>
      </c>
      <c r="E4598">
        <v>-0.95599999999999996</v>
      </c>
      <c r="F4598">
        <v>2352680</v>
      </c>
      <c r="G4598">
        <v>2024</v>
      </c>
      <c r="H4598" t="s">
        <v>928</v>
      </c>
      <c r="I4598" t="s">
        <v>2626</v>
      </c>
      <c r="L4598" t="s">
        <v>197</v>
      </c>
    </row>
    <row r="4599" spans="1:12" x14ac:dyDescent="0.4">
      <c r="A4599" t="s">
        <v>4552</v>
      </c>
      <c r="B4599">
        <v>22.3</v>
      </c>
      <c r="C4599" t="s">
        <v>5703</v>
      </c>
      <c r="D4599">
        <v>2</v>
      </c>
      <c r="E4599">
        <v>-0.33</v>
      </c>
      <c r="F4599">
        <v>7820551</v>
      </c>
      <c r="G4599">
        <v>2024</v>
      </c>
      <c r="H4599" t="s">
        <v>928</v>
      </c>
      <c r="I4599" t="s">
        <v>2626</v>
      </c>
      <c r="L4599" t="s">
        <v>197</v>
      </c>
    </row>
    <row r="4600" spans="1:12" x14ac:dyDescent="0.4">
      <c r="A4600" t="s">
        <v>4556</v>
      </c>
      <c r="B4600">
        <v>11.7</v>
      </c>
      <c r="C4600" t="s">
        <v>5694</v>
      </c>
      <c r="D4600">
        <v>1</v>
      </c>
      <c r="E4600">
        <v>-0.72699999999999998</v>
      </c>
      <c r="F4600">
        <v>4331974</v>
      </c>
      <c r="G4600">
        <v>2024</v>
      </c>
      <c r="H4600" t="s">
        <v>928</v>
      </c>
      <c r="I4600" t="s">
        <v>2626</v>
      </c>
      <c r="L4600" t="s">
        <v>197</v>
      </c>
    </row>
    <row r="4601" spans="1:12" x14ac:dyDescent="0.4">
      <c r="A4601" t="s">
        <v>4550</v>
      </c>
      <c r="B4601">
        <v>0.9</v>
      </c>
      <c r="C4601" t="s">
        <v>6036</v>
      </c>
      <c r="D4601">
        <v>1</v>
      </c>
      <c r="E4601">
        <v>-1.1319999999999999</v>
      </c>
      <c r="F4601">
        <v>808437</v>
      </c>
      <c r="G4601">
        <v>2022</v>
      </c>
      <c r="H4601" t="s">
        <v>928</v>
      </c>
      <c r="I4601" t="s">
        <v>6723</v>
      </c>
      <c r="L4601" t="s">
        <v>197</v>
      </c>
    </row>
    <row r="4602" spans="1:12" x14ac:dyDescent="0.4">
      <c r="A4602" t="s">
        <v>5946</v>
      </c>
      <c r="B4602">
        <v>67.900000000000006</v>
      </c>
      <c r="C4602" t="s">
        <v>2476</v>
      </c>
      <c r="D4602">
        <v>4</v>
      </c>
      <c r="E4602">
        <v>1.38</v>
      </c>
      <c r="F4602">
        <v>22806704</v>
      </c>
      <c r="G4602">
        <v>2024</v>
      </c>
      <c r="H4602" t="s">
        <v>928</v>
      </c>
      <c r="I4602" t="s">
        <v>2626</v>
      </c>
      <c r="L4602" t="s">
        <v>197</v>
      </c>
    </row>
    <row r="4603" spans="1:12" x14ac:dyDescent="0.4">
      <c r="A4603" t="s">
        <v>4570</v>
      </c>
      <c r="B4603">
        <v>29</v>
      </c>
      <c r="C4603" t="s">
        <v>6034</v>
      </c>
      <c r="D4603">
        <v>2</v>
      </c>
      <c r="E4603">
        <v>-7.9000000000000001E-2</v>
      </c>
      <c r="F4603">
        <v>10004840</v>
      </c>
      <c r="G4603">
        <v>2024</v>
      </c>
      <c r="H4603" t="s">
        <v>928</v>
      </c>
      <c r="I4603" t="s">
        <v>2626</v>
      </c>
      <c r="L4603" t="s">
        <v>197</v>
      </c>
    </row>
    <row r="4604" spans="1:12" x14ac:dyDescent="0.4">
      <c r="A4604" t="s">
        <v>2656</v>
      </c>
      <c r="B4604">
        <v>89.4</v>
      </c>
      <c r="C4604" t="s">
        <v>2477</v>
      </c>
      <c r="D4604">
        <v>5</v>
      </c>
      <c r="E4604">
        <v>2.1859999999999999</v>
      </c>
      <c r="F4604">
        <v>29867918</v>
      </c>
      <c r="G4604">
        <v>2024</v>
      </c>
      <c r="H4604" t="s">
        <v>928</v>
      </c>
      <c r="I4604" t="s">
        <v>2626</v>
      </c>
      <c r="L4604" t="s">
        <v>197</v>
      </c>
    </row>
    <row r="4605" spans="1:12" x14ac:dyDescent="0.4">
      <c r="A4605" t="s">
        <v>2657</v>
      </c>
      <c r="B4605">
        <v>17.100000000000001</v>
      </c>
      <c r="C4605" t="s">
        <v>5727</v>
      </c>
      <c r="D4605">
        <v>1</v>
      </c>
      <c r="E4605">
        <v>-0.52500000000000002</v>
      </c>
      <c r="F4605">
        <v>6119203</v>
      </c>
      <c r="G4605">
        <v>2024</v>
      </c>
      <c r="H4605" t="s">
        <v>928</v>
      </c>
      <c r="I4605" t="s">
        <v>2626</v>
      </c>
      <c r="L4605" t="s">
        <v>197</v>
      </c>
    </row>
    <row r="4606" spans="1:12" x14ac:dyDescent="0.4">
      <c r="A4606" t="s">
        <v>4573</v>
      </c>
      <c r="B4606">
        <v>14.3</v>
      </c>
      <c r="C4606" t="s">
        <v>5702</v>
      </c>
      <c r="D4606">
        <v>1</v>
      </c>
      <c r="E4606">
        <v>-0.63</v>
      </c>
      <c r="F4606">
        <v>5184896</v>
      </c>
      <c r="G4606">
        <v>2024</v>
      </c>
      <c r="H4606" t="s">
        <v>928</v>
      </c>
      <c r="I4606" t="s">
        <v>2626</v>
      </c>
      <c r="L4606" t="s">
        <v>197</v>
      </c>
    </row>
    <row r="4607" spans="1:12" x14ac:dyDescent="0.4">
      <c r="A4607" t="s">
        <v>2658</v>
      </c>
      <c r="B4607">
        <v>100</v>
      </c>
      <c r="C4607" t="s">
        <v>1380</v>
      </c>
      <c r="D4607">
        <v>5</v>
      </c>
      <c r="E4607">
        <v>2.5830000000000002</v>
      </c>
      <c r="F4607">
        <v>37115035</v>
      </c>
      <c r="G4607">
        <v>2024</v>
      </c>
      <c r="H4607" t="s">
        <v>928</v>
      </c>
      <c r="I4607" t="s">
        <v>2626</v>
      </c>
      <c r="L4607" t="s">
        <v>197</v>
      </c>
    </row>
    <row r="4608" spans="1:12" x14ac:dyDescent="0.4">
      <c r="A4608" t="s">
        <v>4548</v>
      </c>
      <c r="B4608">
        <v>18.100000000000001</v>
      </c>
      <c r="C4608" t="s">
        <v>5736</v>
      </c>
      <c r="D4608">
        <v>1</v>
      </c>
      <c r="E4608">
        <v>-0.48699999999999999</v>
      </c>
      <c r="F4608">
        <v>6431430</v>
      </c>
      <c r="G4608">
        <v>2024</v>
      </c>
      <c r="H4608" t="s">
        <v>928</v>
      </c>
      <c r="I4608" t="s">
        <v>2626</v>
      </c>
      <c r="L4608" t="s">
        <v>197</v>
      </c>
    </row>
    <row r="4609" spans="1:12" x14ac:dyDescent="0.4">
      <c r="A4609" t="s">
        <v>4562</v>
      </c>
      <c r="B4609">
        <v>4.5</v>
      </c>
      <c r="C4609" t="s">
        <v>5711</v>
      </c>
      <c r="D4609">
        <v>1</v>
      </c>
      <c r="E4609">
        <v>-0.997</v>
      </c>
      <c r="F4609">
        <v>1990487</v>
      </c>
      <c r="G4609">
        <v>2024</v>
      </c>
      <c r="H4609" t="s">
        <v>928</v>
      </c>
      <c r="I4609" t="s">
        <v>2626</v>
      </c>
      <c r="L4609" t="s">
        <v>197</v>
      </c>
    </row>
    <row r="4610" spans="1:12" x14ac:dyDescent="0.4">
      <c r="A4610" t="s">
        <v>4572</v>
      </c>
      <c r="B4610">
        <v>25.4</v>
      </c>
      <c r="C4610" t="s">
        <v>5729</v>
      </c>
      <c r="D4610">
        <v>2</v>
      </c>
      <c r="E4610">
        <v>-0.214</v>
      </c>
      <c r="F4610">
        <v>8850850</v>
      </c>
      <c r="G4610">
        <v>2024</v>
      </c>
      <c r="H4610" t="s">
        <v>928</v>
      </c>
      <c r="I4610" t="s">
        <v>2626</v>
      </c>
      <c r="L4610" t="s">
        <v>197</v>
      </c>
    </row>
    <row r="4611" spans="1:12" x14ac:dyDescent="0.4">
      <c r="A4611" t="s">
        <v>4563</v>
      </c>
      <c r="B4611">
        <v>15.9</v>
      </c>
      <c r="C4611" t="s">
        <v>6044</v>
      </c>
      <c r="D4611">
        <v>1</v>
      </c>
      <c r="E4611">
        <v>-0.56999999999999995</v>
      </c>
      <c r="F4611">
        <v>5709678</v>
      </c>
      <c r="G4611">
        <v>2024</v>
      </c>
      <c r="H4611" t="s">
        <v>928</v>
      </c>
      <c r="I4611" t="s">
        <v>2626</v>
      </c>
      <c r="L4611" t="s">
        <v>197</v>
      </c>
    </row>
    <row r="4612" spans="1:12" x14ac:dyDescent="0.4">
      <c r="A4612" t="s">
        <v>2659</v>
      </c>
      <c r="B4612">
        <v>31.1</v>
      </c>
      <c r="C4612" t="s">
        <v>197</v>
      </c>
      <c r="D4612">
        <v>2</v>
      </c>
    </row>
    <row r="4613" spans="1:12" x14ac:dyDescent="0.4">
      <c r="A4613" t="s">
        <v>2660</v>
      </c>
      <c r="B4613">
        <v>21.1</v>
      </c>
      <c r="C4613" t="s">
        <v>197</v>
      </c>
      <c r="D4613">
        <v>2</v>
      </c>
    </row>
    <row r="4614" spans="1:12" x14ac:dyDescent="0.4">
      <c r="A4614" t="s">
        <v>2661</v>
      </c>
      <c r="B4614">
        <v>30.1</v>
      </c>
      <c r="C4614" t="s">
        <v>197</v>
      </c>
      <c r="D4614">
        <v>2</v>
      </c>
    </row>
    <row r="4615" spans="1:12" x14ac:dyDescent="0.4">
      <c r="A4615" t="s">
        <v>2662</v>
      </c>
      <c r="B4615">
        <v>26.6</v>
      </c>
      <c r="C4615" t="s">
        <v>197</v>
      </c>
      <c r="D4615">
        <v>2</v>
      </c>
    </row>
    <row r="4616" spans="1:12" x14ac:dyDescent="0.4">
      <c r="A4616" t="s">
        <v>2663</v>
      </c>
      <c r="B4616">
        <v>19.7</v>
      </c>
      <c r="C4616" t="s">
        <v>197</v>
      </c>
      <c r="D4616">
        <v>1</v>
      </c>
    </row>
    <row r="4617" spans="1:12" x14ac:dyDescent="0.4">
      <c r="A4617" t="s">
        <v>2664</v>
      </c>
      <c r="B4617">
        <v>42</v>
      </c>
      <c r="C4617" t="s">
        <v>197</v>
      </c>
      <c r="D4617">
        <v>3</v>
      </c>
    </row>
    <row r="4618" spans="1:12" x14ac:dyDescent="0.4">
      <c r="A4618" t="s">
        <v>2665</v>
      </c>
      <c r="B4618">
        <v>36.799999999999997</v>
      </c>
      <c r="C4618" t="s">
        <v>197</v>
      </c>
      <c r="D4618">
        <v>2</v>
      </c>
    </row>
    <row r="4619" spans="1:12" x14ac:dyDescent="0.4">
      <c r="A4619" t="s">
        <v>7447</v>
      </c>
      <c r="B4619">
        <v>36.6</v>
      </c>
      <c r="C4619" t="s">
        <v>197</v>
      </c>
      <c r="D4619">
        <v>2</v>
      </c>
    </row>
    <row r="4620" spans="1:12" x14ac:dyDescent="0.4">
      <c r="A4620" t="s">
        <v>7448</v>
      </c>
      <c r="B4620">
        <v>47.1</v>
      </c>
      <c r="C4620" t="s">
        <v>197</v>
      </c>
      <c r="D4620">
        <v>3</v>
      </c>
    </row>
    <row r="4621" spans="1:12" x14ac:dyDescent="0.4">
      <c r="A4621" t="s">
        <v>7449</v>
      </c>
      <c r="B4621">
        <v>19.5</v>
      </c>
      <c r="C4621" t="s">
        <v>197</v>
      </c>
      <c r="D4621">
        <v>1</v>
      </c>
    </row>
    <row r="4622" spans="1:12" x14ac:dyDescent="0.4">
      <c r="A4622" t="s">
        <v>6465</v>
      </c>
      <c r="B4622">
        <v>0</v>
      </c>
      <c r="C4622" t="s">
        <v>6033</v>
      </c>
      <c r="D4622">
        <v>1</v>
      </c>
      <c r="E4622">
        <v>-0.98</v>
      </c>
      <c r="F4622">
        <v>1027.5999999999999</v>
      </c>
      <c r="G4622">
        <v>2022</v>
      </c>
      <c r="H4622" t="s">
        <v>928</v>
      </c>
      <c r="I4622" t="s">
        <v>6594</v>
      </c>
      <c r="L4622" t="s">
        <v>197</v>
      </c>
    </row>
    <row r="4623" spans="1:12" x14ac:dyDescent="0.4">
      <c r="A4623" t="s">
        <v>6466</v>
      </c>
      <c r="B4623">
        <v>4.0999999999999996</v>
      </c>
      <c r="C4623" t="s">
        <v>5704</v>
      </c>
      <c r="D4623">
        <v>1</v>
      </c>
      <c r="E4623">
        <v>-0.84799999999999998</v>
      </c>
      <c r="F4623">
        <v>4342.6000000000004</v>
      </c>
      <c r="G4623">
        <v>2022</v>
      </c>
      <c r="H4623" t="s">
        <v>928</v>
      </c>
      <c r="I4623" t="s">
        <v>6594</v>
      </c>
      <c r="L4623" t="s">
        <v>197</v>
      </c>
    </row>
    <row r="4624" spans="1:12" x14ac:dyDescent="0.4">
      <c r="A4624" t="s">
        <v>6467</v>
      </c>
      <c r="B4624">
        <v>92.1</v>
      </c>
      <c r="C4624" t="s">
        <v>5740</v>
      </c>
      <c r="D4624">
        <v>5</v>
      </c>
      <c r="E4624">
        <v>1.9990000000000001</v>
      </c>
      <c r="F4624">
        <v>76329.600000000006</v>
      </c>
      <c r="G4624">
        <v>2022</v>
      </c>
      <c r="H4624" t="s">
        <v>928</v>
      </c>
      <c r="I4624" t="s">
        <v>6594</v>
      </c>
      <c r="L4624" t="s">
        <v>197</v>
      </c>
    </row>
    <row r="4625" spans="1:12" x14ac:dyDescent="0.4">
      <c r="A4625" t="s">
        <v>6468</v>
      </c>
      <c r="B4625">
        <v>57.9</v>
      </c>
      <c r="C4625" t="s">
        <v>5696</v>
      </c>
      <c r="D4625">
        <v>3</v>
      </c>
      <c r="E4625">
        <v>0.89300000000000002</v>
      </c>
      <c r="F4625">
        <v>48418.6</v>
      </c>
      <c r="G4625">
        <v>2022</v>
      </c>
      <c r="H4625" t="s">
        <v>928</v>
      </c>
      <c r="I4625" t="s">
        <v>6594</v>
      </c>
      <c r="L4625" t="s">
        <v>197</v>
      </c>
    </row>
    <row r="4626" spans="1:12" x14ac:dyDescent="0.4">
      <c r="A4626" t="s">
        <v>6469</v>
      </c>
      <c r="B4626">
        <v>7.2</v>
      </c>
      <c r="C4626" t="s">
        <v>5727</v>
      </c>
      <c r="D4626">
        <v>1</v>
      </c>
      <c r="E4626">
        <v>-0.747</v>
      </c>
      <c r="F4626">
        <v>6910</v>
      </c>
      <c r="G4626">
        <v>2022</v>
      </c>
      <c r="H4626" t="s">
        <v>928</v>
      </c>
      <c r="I4626" t="s">
        <v>6594</v>
      </c>
      <c r="L4626" t="s">
        <v>197</v>
      </c>
    </row>
    <row r="4627" spans="1:12" x14ac:dyDescent="0.4">
      <c r="A4627" t="s">
        <v>6470</v>
      </c>
      <c r="B4627">
        <v>14.3</v>
      </c>
      <c r="C4627" t="s">
        <v>6592</v>
      </c>
      <c r="D4627">
        <v>1</v>
      </c>
      <c r="E4627">
        <v>-0.51800000000000002</v>
      </c>
      <c r="F4627">
        <v>12720.2</v>
      </c>
      <c r="G4627">
        <v>2022</v>
      </c>
      <c r="H4627" t="s">
        <v>928</v>
      </c>
      <c r="I4627" t="s">
        <v>6594</v>
      </c>
      <c r="L4627" t="s">
        <v>197</v>
      </c>
    </row>
    <row r="4628" spans="1:12" x14ac:dyDescent="0.4">
      <c r="A4628" t="s">
        <v>6471</v>
      </c>
      <c r="B4628">
        <v>58.3</v>
      </c>
      <c r="C4628" t="s">
        <v>5730</v>
      </c>
      <c r="D4628">
        <v>3</v>
      </c>
      <c r="E4628">
        <v>0.90600000000000003</v>
      </c>
      <c r="F4628">
        <v>48718</v>
      </c>
      <c r="G4628">
        <v>2022</v>
      </c>
      <c r="H4628" t="s">
        <v>928</v>
      </c>
      <c r="I4628" t="s">
        <v>6594</v>
      </c>
      <c r="L4628" t="s">
        <v>197</v>
      </c>
    </row>
    <row r="4629" spans="1:12" x14ac:dyDescent="0.4">
      <c r="A4629" t="s">
        <v>6472</v>
      </c>
      <c r="B4629">
        <v>6.8</v>
      </c>
      <c r="C4629" t="s">
        <v>5734</v>
      </c>
      <c r="D4629">
        <v>1</v>
      </c>
      <c r="E4629">
        <v>-0.76</v>
      </c>
      <c r="F4629">
        <v>6624.2</v>
      </c>
      <c r="G4629">
        <v>2022</v>
      </c>
      <c r="H4629" t="s">
        <v>928</v>
      </c>
      <c r="I4629" t="s">
        <v>6594</v>
      </c>
      <c r="L4629" t="s">
        <v>197</v>
      </c>
    </row>
    <row r="4630" spans="1:12" x14ac:dyDescent="0.4">
      <c r="A4630" t="s">
        <v>6473</v>
      </c>
      <c r="B4630">
        <v>21.2</v>
      </c>
      <c r="C4630" t="s">
        <v>5731</v>
      </c>
      <c r="D4630">
        <v>2</v>
      </c>
      <c r="E4630">
        <v>-0.29399999999999998</v>
      </c>
      <c r="F4630">
        <v>18390.2</v>
      </c>
      <c r="G4630">
        <v>2022</v>
      </c>
      <c r="H4630" t="s">
        <v>928</v>
      </c>
      <c r="I4630" t="s">
        <v>6594</v>
      </c>
      <c r="L4630" t="s">
        <v>197</v>
      </c>
    </row>
    <row r="4631" spans="1:12" x14ac:dyDescent="0.4">
      <c r="A4631" t="s">
        <v>6474</v>
      </c>
      <c r="B4631">
        <v>4</v>
      </c>
      <c r="C4631" t="s">
        <v>5702</v>
      </c>
      <c r="D4631">
        <v>1</v>
      </c>
      <c r="E4631">
        <v>-0.85099999999999998</v>
      </c>
      <c r="F4631">
        <v>4295.3999999999996</v>
      </c>
      <c r="G4631">
        <v>2022</v>
      </c>
      <c r="H4631" t="s">
        <v>928</v>
      </c>
      <c r="I4631" t="s">
        <v>6594</v>
      </c>
      <c r="L4631" t="s">
        <v>197</v>
      </c>
    </row>
    <row r="4632" spans="1:12" x14ac:dyDescent="0.4">
      <c r="A4632" t="s">
        <v>6475</v>
      </c>
      <c r="B4632">
        <v>2.8</v>
      </c>
      <c r="C4632" t="s">
        <v>5698</v>
      </c>
      <c r="D4632">
        <v>1</v>
      </c>
      <c r="E4632">
        <v>-0.89</v>
      </c>
      <c r="F4632">
        <v>3354.4</v>
      </c>
      <c r="G4632">
        <v>2022</v>
      </c>
      <c r="H4632" t="s">
        <v>928</v>
      </c>
      <c r="I4632" t="s">
        <v>6594</v>
      </c>
      <c r="L4632" t="s">
        <v>197</v>
      </c>
    </row>
    <row r="4633" spans="1:12" x14ac:dyDescent="0.4">
      <c r="A4633" t="s">
        <v>6476</v>
      </c>
      <c r="B4633">
        <v>1.7</v>
      </c>
      <c r="C4633" t="s">
        <v>5715</v>
      </c>
      <c r="D4633">
        <v>1</v>
      </c>
      <c r="E4633">
        <v>-0.92500000000000004</v>
      </c>
      <c r="F4633">
        <v>2410.9</v>
      </c>
      <c r="G4633">
        <v>2022</v>
      </c>
      <c r="H4633" t="s">
        <v>928</v>
      </c>
      <c r="I4633" t="s">
        <v>6594</v>
      </c>
      <c r="L4633" t="s">
        <v>197</v>
      </c>
    </row>
    <row r="4634" spans="1:12" x14ac:dyDescent="0.4">
      <c r="A4634" t="s">
        <v>6477</v>
      </c>
      <c r="B4634">
        <v>2</v>
      </c>
      <c r="C4634" t="s">
        <v>5708</v>
      </c>
      <c r="D4634">
        <v>1</v>
      </c>
      <c r="E4634">
        <v>-0.91500000000000004</v>
      </c>
      <c r="F4634">
        <v>2688.3</v>
      </c>
      <c r="G4634">
        <v>2022</v>
      </c>
      <c r="H4634" t="s">
        <v>928</v>
      </c>
      <c r="I4634" t="s">
        <v>6594</v>
      </c>
      <c r="L4634" t="s">
        <v>197</v>
      </c>
    </row>
    <row r="4635" spans="1:12" x14ac:dyDescent="0.4">
      <c r="A4635" t="s">
        <v>6478</v>
      </c>
      <c r="B4635">
        <v>64.400000000000006</v>
      </c>
      <c r="C4635" t="s">
        <v>2482</v>
      </c>
      <c r="D4635">
        <v>4</v>
      </c>
      <c r="E4635">
        <v>1.103</v>
      </c>
      <c r="F4635">
        <v>53708</v>
      </c>
      <c r="G4635">
        <v>2022</v>
      </c>
      <c r="H4635" t="s">
        <v>928</v>
      </c>
      <c r="I4635" t="s">
        <v>6594</v>
      </c>
      <c r="L4635" t="s">
        <v>197</v>
      </c>
    </row>
    <row r="4636" spans="1:12" x14ac:dyDescent="0.4">
      <c r="A4636" t="s">
        <v>6479</v>
      </c>
      <c r="B4636">
        <v>60.9</v>
      </c>
      <c r="C4636" t="s">
        <v>2474</v>
      </c>
      <c r="D4636">
        <v>4</v>
      </c>
      <c r="E4636">
        <v>0.99</v>
      </c>
      <c r="F4636">
        <v>50871.9</v>
      </c>
      <c r="G4636">
        <v>2022</v>
      </c>
      <c r="H4636" t="s">
        <v>928</v>
      </c>
      <c r="I4636" t="s">
        <v>6594</v>
      </c>
      <c r="L4636" t="s">
        <v>197</v>
      </c>
    </row>
    <row r="4637" spans="1:12" x14ac:dyDescent="0.4">
      <c r="A4637" t="s">
        <v>6480</v>
      </c>
      <c r="B4637">
        <v>3.8</v>
      </c>
      <c r="C4637" t="s">
        <v>5694</v>
      </c>
      <c r="D4637">
        <v>1</v>
      </c>
      <c r="E4637">
        <v>-0.85699999999999998</v>
      </c>
      <c r="F4637">
        <v>4163.5</v>
      </c>
      <c r="G4637">
        <v>2022</v>
      </c>
      <c r="H4637" t="s">
        <v>928</v>
      </c>
      <c r="I4637" t="s">
        <v>6594</v>
      </c>
      <c r="L4637" t="s">
        <v>197</v>
      </c>
    </row>
    <row r="4638" spans="1:12" x14ac:dyDescent="0.4">
      <c r="A4638" t="s">
        <v>6481</v>
      </c>
      <c r="B4638">
        <v>58.6</v>
      </c>
      <c r="C4638" t="s">
        <v>2481</v>
      </c>
      <c r="D4638">
        <v>3</v>
      </c>
      <c r="E4638">
        <v>0.91500000000000004</v>
      </c>
      <c r="F4638">
        <v>48983.6</v>
      </c>
      <c r="G4638">
        <v>2022</v>
      </c>
      <c r="H4638" t="s">
        <v>928</v>
      </c>
      <c r="I4638" t="s">
        <v>6594</v>
      </c>
      <c r="L4638" t="s">
        <v>197</v>
      </c>
    </row>
    <row r="4639" spans="1:12" x14ac:dyDescent="0.4">
      <c r="A4639" t="s">
        <v>6482</v>
      </c>
      <c r="B4639">
        <v>11.8</v>
      </c>
      <c r="C4639" t="s">
        <v>5736</v>
      </c>
      <c r="D4639">
        <v>1</v>
      </c>
      <c r="E4639">
        <v>-0.59799999999999998</v>
      </c>
      <c r="F4639">
        <v>10674.5</v>
      </c>
      <c r="G4639">
        <v>2022</v>
      </c>
      <c r="H4639" t="s">
        <v>928</v>
      </c>
      <c r="I4639" t="s">
        <v>6594</v>
      </c>
      <c r="L4639" t="s">
        <v>197</v>
      </c>
    </row>
    <row r="4640" spans="1:12" x14ac:dyDescent="0.4">
      <c r="A4640" t="s">
        <v>6483</v>
      </c>
      <c r="B4640">
        <v>4.5999999999999996</v>
      </c>
      <c r="C4640" t="s">
        <v>5699</v>
      </c>
      <c r="D4640">
        <v>1</v>
      </c>
      <c r="E4640">
        <v>-0.83099999999999996</v>
      </c>
      <c r="F4640">
        <v>4788</v>
      </c>
      <c r="G4640">
        <v>2022</v>
      </c>
      <c r="H4640" t="s">
        <v>928</v>
      </c>
      <c r="I4640" t="s">
        <v>6594</v>
      </c>
      <c r="L4640" t="s">
        <v>197</v>
      </c>
    </row>
    <row r="4641" spans="1:12" x14ac:dyDescent="0.4">
      <c r="A4641" t="s">
        <v>6484</v>
      </c>
      <c r="B4641">
        <v>7</v>
      </c>
      <c r="C4641" t="s">
        <v>5733</v>
      </c>
      <c r="D4641">
        <v>1</v>
      </c>
      <c r="E4641">
        <v>-0.754</v>
      </c>
      <c r="F4641">
        <v>6766.5</v>
      </c>
      <c r="G4641">
        <v>2022</v>
      </c>
      <c r="H4641" t="s">
        <v>928</v>
      </c>
      <c r="I4641" t="s">
        <v>6594</v>
      </c>
      <c r="L4641" t="s">
        <v>197</v>
      </c>
    </row>
    <row r="4642" spans="1:12" x14ac:dyDescent="0.4">
      <c r="A4642" t="s">
        <v>6485</v>
      </c>
      <c r="B4642">
        <v>0.7</v>
      </c>
      <c r="C4642" t="s">
        <v>6037</v>
      </c>
      <c r="D4642">
        <v>1</v>
      </c>
      <c r="E4642">
        <v>-0.95799999999999996</v>
      </c>
      <c r="F4642">
        <v>1588.9</v>
      </c>
      <c r="G4642">
        <v>2022</v>
      </c>
      <c r="H4642" t="s">
        <v>928</v>
      </c>
      <c r="I4642" t="s">
        <v>6594</v>
      </c>
      <c r="L4642" t="s">
        <v>197</v>
      </c>
    </row>
    <row r="4643" spans="1:12" x14ac:dyDescent="0.4">
      <c r="A4643" t="s">
        <v>6486</v>
      </c>
      <c r="B4643">
        <v>0.4</v>
      </c>
      <c r="C4643" t="s">
        <v>6036</v>
      </c>
      <c r="D4643">
        <v>1</v>
      </c>
      <c r="E4643">
        <v>-0.96699999999999997</v>
      </c>
      <c r="F4643">
        <v>1336.5</v>
      </c>
      <c r="G4643">
        <v>2022</v>
      </c>
      <c r="H4643" t="s">
        <v>928</v>
      </c>
      <c r="I4643" t="s">
        <v>6594</v>
      </c>
      <c r="L4643" t="s">
        <v>197</v>
      </c>
    </row>
    <row r="4644" spans="1:12" x14ac:dyDescent="0.4">
      <c r="A4644" t="s">
        <v>6487</v>
      </c>
      <c r="B4644">
        <v>1.7</v>
      </c>
      <c r="C4644" t="s">
        <v>5715</v>
      </c>
      <c r="D4644">
        <v>1</v>
      </c>
      <c r="E4644">
        <v>-0.92500000000000004</v>
      </c>
      <c r="F4644">
        <v>2410.9</v>
      </c>
      <c r="G4644">
        <v>2022</v>
      </c>
      <c r="H4644" t="s">
        <v>928</v>
      </c>
      <c r="I4644" t="s">
        <v>6594</v>
      </c>
      <c r="L4644" t="s">
        <v>197</v>
      </c>
    </row>
    <row r="4645" spans="1:12" x14ac:dyDescent="0.4">
      <c r="A4645" t="s">
        <v>6488</v>
      </c>
      <c r="B4645">
        <v>49</v>
      </c>
      <c r="C4645" t="s">
        <v>5707</v>
      </c>
      <c r="D4645">
        <v>3</v>
      </c>
      <c r="E4645">
        <v>0.60499999999999998</v>
      </c>
      <c r="F4645">
        <v>41079.5</v>
      </c>
      <c r="G4645">
        <v>2022</v>
      </c>
      <c r="H4645" t="s">
        <v>928</v>
      </c>
      <c r="I4645" t="s">
        <v>6594</v>
      </c>
      <c r="L4645" t="s">
        <v>197</v>
      </c>
    </row>
    <row r="4646" spans="1:12" x14ac:dyDescent="0.4">
      <c r="A4646" t="s">
        <v>6489</v>
      </c>
      <c r="B4646">
        <v>1.4</v>
      </c>
      <c r="C4646" t="s">
        <v>5728</v>
      </c>
      <c r="D4646">
        <v>1</v>
      </c>
      <c r="E4646">
        <v>-0.93500000000000005</v>
      </c>
      <c r="F4646">
        <v>2162.6</v>
      </c>
      <c r="G4646">
        <v>2022</v>
      </c>
      <c r="H4646" t="s">
        <v>928</v>
      </c>
      <c r="I4646" t="s">
        <v>6594</v>
      </c>
      <c r="L4646" t="s">
        <v>197</v>
      </c>
    </row>
    <row r="4647" spans="1:12" x14ac:dyDescent="0.4">
      <c r="A4647" t="s">
        <v>6490</v>
      </c>
      <c r="B4647">
        <v>55.1</v>
      </c>
      <c r="C4647" t="s">
        <v>5701</v>
      </c>
      <c r="D4647">
        <v>3</v>
      </c>
      <c r="E4647">
        <v>0.80200000000000005</v>
      </c>
      <c r="F4647">
        <v>46125.3</v>
      </c>
      <c r="G4647">
        <v>2022</v>
      </c>
      <c r="H4647" t="s">
        <v>928</v>
      </c>
      <c r="I4647" t="s">
        <v>6594</v>
      </c>
      <c r="L4647" t="s">
        <v>197</v>
      </c>
    </row>
    <row r="4648" spans="1:12" x14ac:dyDescent="0.4">
      <c r="A4648" t="s">
        <v>6491</v>
      </c>
      <c r="B4648">
        <v>35</v>
      </c>
      <c r="C4648" t="s">
        <v>5732</v>
      </c>
      <c r="D4648">
        <v>2</v>
      </c>
      <c r="E4648">
        <v>0.152</v>
      </c>
      <c r="F4648">
        <v>29674.5</v>
      </c>
      <c r="G4648">
        <v>2022</v>
      </c>
      <c r="H4648" t="s">
        <v>928</v>
      </c>
      <c r="I4648" t="s">
        <v>6594</v>
      </c>
      <c r="L4648" t="s">
        <v>197</v>
      </c>
    </row>
    <row r="4649" spans="1:12" x14ac:dyDescent="0.4">
      <c r="A4649" t="s">
        <v>6492</v>
      </c>
      <c r="B4649">
        <v>3</v>
      </c>
      <c r="C4649" t="s">
        <v>5709</v>
      </c>
      <c r="D4649">
        <v>1</v>
      </c>
      <c r="E4649">
        <v>-0.88300000000000001</v>
      </c>
      <c r="F4649">
        <v>3498.5</v>
      </c>
      <c r="G4649">
        <v>2022</v>
      </c>
      <c r="H4649" t="s">
        <v>928</v>
      </c>
      <c r="I4649" t="s">
        <v>6594</v>
      </c>
      <c r="L4649" t="s">
        <v>197</v>
      </c>
    </row>
    <row r="4650" spans="1:12" x14ac:dyDescent="0.4">
      <c r="A4650" t="s">
        <v>6493</v>
      </c>
      <c r="B4650">
        <v>78.3</v>
      </c>
      <c r="C4650" t="s">
        <v>6583</v>
      </c>
      <c r="D4650">
        <v>4</v>
      </c>
      <c r="E4650">
        <v>1.5529999999999999</v>
      </c>
      <c r="F4650">
        <v>65099.8</v>
      </c>
      <c r="G4650">
        <v>2022</v>
      </c>
      <c r="H4650" t="s">
        <v>928</v>
      </c>
      <c r="I4650" t="s">
        <v>6594</v>
      </c>
      <c r="L4650" t="s">
        <v>197</v>
      </c>
    </row>
    <row r="4651" spans="1:12" x14ac:dyDescent="0.4">
      <c r="A4651" t="s">
        <v>6494</v>
      </c>
      <c r="B4651">
        <v>12.8</v>
      </c>
      <c r="C4651" t="s">
        <v>5693</v>
      </c>
      <c r="D4651">
        <v>1</v>
      </c>
      <c r="E4651">
        <v>-0.56599999999999995</v>
      </c>
      <c r="F4651">
        <v>11496.5</v>
      </c>
      <c r="G4651">
        <v>2022</v>
      </c>
      <c r="H4651" t="s">
        <v>928</v>
      </c>
      <c r="I4651" t="s">
        <v>6594</v>
      </c>
      <c r="L4651" t="s">
        <v>197</v>
      </c>
    </row>
    <row r="4652" spans="1:12" x14ac:dyDescent="0.4">
      <c r="A4652" t="s">
        <v>6495</v>
      </c>
      <c r="B4652">
        <v>17.399999999999999</v>
      </c>
      <c r="C4652" t="s">
        <v>5729</v>
      </c>
      <c r="D4652">
        <v>1</v>
      </c>
      <c r="E4652">
        <v>-0.41699999999999998</v>
      </c>
      <c r="F4652">
        <v>15270.7</v>
      </c>
      <c r="G4652">
        <v>2022</v>
      </c>
      <c r="H4652" t="s">
        <v>928</v>
      </c>
      <c r="I4652" t="s">
        <v>6594</v>
      </c>
      <c r="L4652" t="s">
        <v>197</v>
      </c>
    </row>
    <row r="4653" spans="1:12" x14ac:dyDescent="0.4">
      <c r="A4653" t="s">
        <v>6496</v>
      </c>
      <c r="B4653">
        <v>1.7</v>
      </c>
      <c r="C4653" t="s">
        <v>5715</v>
      </c>
      <c r="D4653">
        <v>1</v>
      </c>
      <c r="E4653">
        <v>-0.92500000000000004</v>
      </c>
      <c r="F4653">
        <v>2410.9</v>
      </c>
      <c r="G4653">
        <v>2022</v>
      </c>
      <c r="H4653" t="s">
        <v>928</v>
      </c>
      <c r="I4653" t="s">
        <v>6594</v>
      </c>
      <c r="L4653" t="s">
        <v>197</v>
      </c>
    </row>
    <row r="4654" spans="1:12" x14ac:dyDescent="0.4">
      <c r="A4654" t="s">
        <v>6497</v>
      </c>
      <c r="B4654">
        <v>1.3</v>
      </c>
      <c r="C4654" t="s">
        <v>5697</v>
      </c>
      <c r="D4654">
        <v>1</v>
      </c>
      <c r="E4654">
        <v>-0.93799999999999994</v>
      </c>
      <c r="F4654">
        <v>2099.3000000000002</v>
      </c>
      <c r="G4654">
        <v>2022</v>
      </c>
      <c r="H4654" t="s">
        <v>928</v>
      </c>
      <c r="I4654" t="s">
        <v>6594</v>
      </c>
      <c r="L4654" t="s">
        <v>197</v>
      </c>
    </row>
    <row r="4655" spans="1:12" x14ac:dyDescent="0.4">
      <c r="A4655" t="s">
        <v>6498</v>
      </c>
      <c r="B4655">
        <v>92.1</v>
      </c>
      <c r="C4655" t="s">
        <v>5740</v>
      </c>
      <c r="D4655">
        <v>5</v>
      </c>
      <c r="E4655">
        <v>1.9990000000000001</v>
      </c>
      <c r="F4655">
        <v>76329.600000000006</v>
      </c>
      <c r="G4655">
        <v>2022</v>
      </c>
      <c r="H4655" t="s">
        <v>928</v>
      </c>
      <c r="I4655" t="s">
        <v>6594</v>
      </c>
      <c r="L4655" t="s">
        <v>197</v>
      </c>
    </row>
    <row r="4656" spans="1:12" x14ac:dyDescent="0.4">
      <c r="A4656" t="s">
        <v>6499</v>
      </c>
      <c r="B4656">
        <v>40.299999999999997</v>
      </c>
      <c r="C4656" t="s">
        <v>5718</v>
      </c>
      <c r="D4656">
        <v>3</v>
      </c>
      <c r="E4656">
        <v>0.32300000000000001</v>
      </c>
      <c r="F4656">
        <v>34017.300000000003</v>
      </c>
      <c r="G4656">
        <v>2022</v>
      </c>
      <c r="H4656" t="s">
        <v>928</v>
      </c>
      <c r="I4656" t="s">
        <v>6594</v>
      </c>
      <c r="L4656" t="s">
        <v>197</v>
      </c>
    </row>
    <row r="4657" spans="1:12" x14ac:dyDescent="0.4">
      <c r="A4657" t="s">
        <v>6500</v>
      </c>
      <c r="B4657">
        <v>48.7</v>
      </c>
      <c r="C4657" t="s">
        <v>5705</v>
      </c>
      <c r="D4657">
        <v>3</v>
      </c>
      <c r="E4657">
        <v>0.59499999999999997</v>
      </c>
      <c r="F4657">
        <v>40886.300000000003</v>
      </c>
      <c r="G4657">
        <v>2022</v>
      </c>
      <c r="H4657" t="s">
        <v>928</v>
      </c>
      <c r="I4657" t="s">
        <v>6594</v>
      </c>
      <c r="L4657" t="s">
        <v>197</v>
      </c>
    </row>
    <row r="4658" spans="1:12" x14ac:dyDescent="0.4">
      <c r="A4658" t="s">
        <v>6501</v>
      </c>
      <c r="B4658">
        <v>0.9</v>
      </c>
      <c r="C4658" t="s">
        <v>5710</v>
      </c>
      <c r="D4658">
        <v>1</v>
      </c>
      <c r="E4658">
        <v>-0.95099999999999996</v>
      </c>
      <c r="F4658">
        <v>1759.6</v>
      </c>
      <c r="G4658">
        <v>2022</v>
      </c>
      <c r="H4658" t="s">
        <v>928</v>
      </c>
      <c r="I4658" t="s">
        <v>6594</v>
      </c>
      <c r="L4658" t="s">
        <v>197</v>
      </c>
    </row>
    <row r="4659" spans="1:12" x14ac:dyDescent="0.4">
      <c r="A4659" t="s">
        <v>6502</v>
      </c>
      <c r="B4659">
        <v>36</v>
      </c>
      <c r="C4659" t="s">
        <v>6034</v>
      </c>
      <c r="D4659">
        <v>2</v>
      </c>
      <c r="E4659">
        <v>0.184</v>
      </c>
      <c r="F4659">
        <v>30447.9</v>
      </c>
      <c r="G4659">
        <v>2022</v>
      </c>
      <c r="H4659" t="s">
        <v>928</v>
      </c>
      <c r="I4659" t="s">
        <v>6594</v>
      </c>
      <c r="L4659" t="s">
        <v>197</v>
      </c>
    </row>
    <row r="4660" spans="1:12" x14ac:dyDescent="0.4">
      <c r="A4660" t="s">
        <v>6503</v>
      </c>
      <c r="B4660">
        <v>41.3</v>
      </c>
      <c r="C4660" t="s">
        <v>5692</v>
      </c>
      <c r="D4660">
        <v>3</v>
      </c>
      <c r="E4660">
        <v>0.35599999999999998</v>
      </c>
      <c r="F4660">
        <v>34776.400000000001</v>
      </c>
      <c r="G4660">
        <v>2022</v>
      </c>
      <c r="H4660" t="s">
        <v>928</v>
      </c>
      <c r="I4660" t="s">
        <v>6594</v>
      </c>
      <c r="L4660" t="s">
        <v>197</v>
      </c>
    </row>
    <row r="4661" spans="1:12" x14ac:dyDescent="0.4">
      <c r="A4661" t="s">
        <v>6504</v>
      </c>
      <c r="B4661">
        <v>92.1</v>
      </c>
      <c r="C4661" t="s">
        <v>5740</v>
      </c>
      <c r="D4661">
        <v>5</v>
      </c>
      <c r="E4661">
        <v>1.9990000000000001</v>
      </c>
      <c r="F4661">
        <v>76329.600000000006</v>
      </c>
      <c r="G4661">
        <v>2022</v>
      </c>
      <c r="H4661" t="s">
        <v>928</v>
      </c>
      <c r="I4661" t="s">
        <v>6594</v>
      </c>
      <c r="L4661" t="s">
        <v>197</v>
      </c>
    </row>
    <row r="4662" spans="1:12" x14ac:dyDescent="0.4">
      <c r="A4662" t="s">
        <v>6505</v>
      </c>
      <c r="B4662">
        <v>9.6</v>
      </c>
      <c r="C4662" t="s">
        <v>5735</v>
      </c>
      <c r="D4662">
        <v>1</v>
      </c>
      <c r="E4662">
        <v>-0.67</v>
      </c>
      <c r="F4662">
        <v>8917.7000000000007</v>
      </c>
      <c r="G4662">
        <v>2022</v>
      </c>
      <c r="H4662" t="s">
        <v>928</v>
      </c>
      <c r="I4662" t="s">
        <v>6594</v>
      </c>
      <c r="L4662" t="s">
        <v>197</v>
      </c>
    </row>
    <row r="4663" spans="1:12" x14ac:dyDescent="0.4">
      <c r="A4663" t="s">
        <v>6506</v>
      </c>
      <c r="B4663">
        <v>38.4</v>
      </c>
      <c r="C4663" t="s">
        <v>6579</v>
      </c>
      <c r="D4663">
        <v>2</v>
      </c>
      <c r="E4663">
        <v>0.26200000000000001</v>
      </c>
      <c r="F4663">
        <v>32422.6</v>
      </c>
      <c r="G4663">
        <v>2022</v>
      </c>
      <c r="H4663" t="s">
        <v>928</v>
      </c>
      <c r="I4663" t="s">
        <v>6594</v>
      </c>
      <c r="L4663" t="s">
        <v>197</v>
      </c>
    </row>
    <row r="4664" spans="1:12" x14ac:dyDescent="0.4">
      <c r="A4664" t="s">
        <v>6507</v>
      </c>
      <c r="B4664">
        <v>14.3</v>
      </c>
      <c r="C4664" t="s">
        <v>6592</v>
      </c>
      <c r="D4664">
        <v>1</v>
      </c>
      <c r="E4664">
        <v>-0.51800000000000002</v>
      </c>
      <c r="F4664">
        <v>12720.2</v>
      </c>
      <c r="G4664">
        <v>2022</v>
      </c>
      <c r="H4664" t="s">
        <v>928</v>
      </c>
      <c r="I4664" t="s">
        <v>6594</v>
      </c>
      <c r="L4664" t="s">
        <v>197</v>
      </c>
    </row>
    <row r="4665" spans="1:12" x14ac:dyDescent="0.4">
      <c r="A4665" t="s">
        <v>6508</v>
      </c>
      <c r="B4665">
        <v>100</v>
      </c>
      <c r="C4665" t="s">
        <v>2479</v>
      </c>
      <c r="D4665">
        <v>5</v>
      </c>
      <c r="E4665">
        <v>2.2549999999999999</v>
      </c>
      <c r="F4665">
        <v>82807.600000000006</v>
      </c>
      <c r="G4665">
        <v>2022</v>
      </c>
      <c r="H4665" t="s">
        <v>928</v>
      </c>
      <c r="I4665" t="s">
        <v>6594</v>
      </c>
      <c r="L4665" t="s">
        <v>197</v>
      </c>
    </row>
    <row r="4666" spans="1:12" x14ac:dyDescent="0.4">
      <c r="A4666" t="s">
        <v>6509</v>
      </c>
      <c r="B4666">
        <v>78.3</v>
      </c>
      <c r="C4666" t="s">
        <v>6583</v>
      </c>
      <c r="D4666">
        <v>4</v>
      </c>
      <c r="E4666">
        <v>1.5529999999999999</v>
      </c>
      <c r="F4666">
        <v>65099.8</v>
      </c>
      <c r="G4666">
        <v>2022</v>
      </c>
      <c r="H4666" t="s">
        <v>928</v>
      </c>
      <c r="I4666" t="s">
        <v>6594</v>
      </c>
      <c r="L4666" t="s">
        <v>197</v>
      </c>
    </row>
    <row r="4667" spans="1:12" x14ac:dyDescent="0.4">
      <c r="A4667" t="s">
        <v>6510</v>
      </c>
      <c r="B4667">
        <v>40.299999999999997</v>
      </c>
      <c r="C4667" t="s">
        <v>5718</v>
      </c>
      <c r="D4667">
        <v>3</v>
      </c>
      <c r="E4667">
        <v>0.32300000000000001</v>
      </c>
      <c r="F4667">
        <v>34017.300000000003</v>
      </c>
      <c r="G4667">
        <v>2022</v>
      </c>
      <c r="H4667" t="s">
        <v>928</v>
      </c>
      <c r="I4667" t="s">
        <v>6594</v>
      </c>
      <c r="L4667" t="s">
        <v>197</v>
      </c>
    </row>
    <row r="4668" spans="1:12" x14ac:dyDescent="0.4">
      <c r="A4668" t="s">
        <v>6511</v>
      </c>
      <c r="B4668">
        <v>66.599999999999994</v>
      </c>
      <c r="C4668" t="s">
        <v>2483</v>
      </c>
      <c r="D4668">
        <v>4</v>
      </c>
      <c r="E4668">
        <v>1.1739999999999999</v>
      </c>
      <c r="F4668">
        <v>55522.400000000001</v>
      </c>
      <c r="G4668">
        <v>2022</v>
      </c>
      <c r="H4668" t="s">
        <v>928</v>
      </c>
      <c r="I4668" t="s">
        <v>6594</v>
      </c>
      <c r="L4668" t="s">
        <v>197</v>
      </c>
    </row>
    <row r="4669" spans="1:12" x14ac:dyDescent="0.4">
      <c r="A4669" t="s">
        <v>6512</v>
      </c>
      <c r="B4669">
        <v>62.4</v>
      </c>
      <c r="C4669" t="s">
        <v>2484</v>
      </c>
      <c r="D4669">
        <v>4</v>
      </c>
      <c r="E4669">
        <v>1.038</v>
      </c>
      <c r="F4669">
        <v>52084.7</v>
      </c>
      <c r="G4669">
        <v>2022</v>
      </c>
      <c r="H4669" t="s">
        <v>928</v>
      </c>
      <c r="I4669" t="s">
        <v>6594</v>
      </c>
      <c r="L4669" t="s">
        <v>197</v>
      </c>
    </row>
    <row r="4670" spans="1:12" x14ac:dyDescent="0.4">
      <c r="A4670" t="s">
        <v>6513</v>
      </c>
      <c r="B4670">
        <v>14.3</v>
      </c>
      <c r="C4670" t="s">
        <v>6592</v>
      </c>
      <c r="D4670">
        <v>1</v>
      </c>
      <c r="E4670">
        <v>-0.51800000000000002</v>
      </c>
      <c r="F4670">
        <v>12720.2</v>
      </c>
      <c r="G4670">
        <v>2022</v>
      </c>
      <c r="H4670" t="s">
        <v>928</v>
      </c>
      <c r="I4670" t="s">
        <v>6594</v>
      </c>
      <c r="L4670" t="s">
        <v>197</v>
      </c>
    </row>
    <row r="4671" spans="1:12" x14ac:dyDescent="0.4">
      <c r="A4671" t="s">
        <v>6514</v>
      </c>
      <c r="B4671">
        <v>0.1</v>
      </c>
      <c r="C4671" t="s">
        <v>6035</v>
      </c>
      <c r="D4671">
        <v>1</v>
      </c>
      <c r="E4671">
        <v>-0.97699999999999998</v>
      </c>
      <c r="F4671">
        <v>1149.2</v>
      </c>
      <c r="G4671">
        <v>2022</v>
      </c>
      <c r="H4671" t="s">
        <v>928</v>
      </c>
      <c r="I4671" t="s">
        <v>6594</v>
      </c>
      <c r="L4671" t="s">
        <v>197</v>
      </c>
    </row>
    <row r="4672" spans="1:12" x14ac:dyDescent="0.4">
      <c r="A4672" t="s">
        <v>6515</v>
      </c>
      <c r="B4672">
        <v>30.3</v>
      </c>
      <c r="C4672" t="s">
        <v>197</v>
      </c>
      <c r="D4672">
        <v>2</v>
      </c>
    </row>
    <row r="4673" spans="1:4" x14ac:dyDescent="0.4">
      <c r="A4673" t="s">
        <v>6516</v>
      </c>
      <c r="B4673">
        <v>2.8</v>
      </c>
      <c r="C4673" t="s">
        <v>197</v>
      </c>
      <c r="D4673">
        <v>1</v>
      </c>
    </row>
    <row r="4674" spans="1:4" x14ac:dyDescent="0.4">
      <c r="A4674" t="s">
        <v>6517</v>
      </c>
      <c r="B4674">
        <v>53.2</v>
      </c>
      <c r="C4674" t="s">
        <v>197</v>
      </c>
      <c r="D4674">
        <v>3</v>
      </c>
    </row>
    <row r="4675" spans="1:4" x14ac:dyDescent="0.4">
      <c r="A4675" t="s">
        <v>6518</v>
      </c>
      <c r="B4675">
        <v>38.4</v>
      </c>
      <c r="C4675" t="s">
        <v>197</v>
      </c>
      <c r="D4675">
        <v>2</v>
      </c>
    </row>
    <row r="4676" spans="1:4" x14ac:dyDescent="0.4">
      <c r="A4676" t="s">
        <v>6519</v>
      </c>
      <c r="B4676">
        <v>41.2</v>
      </c>
      <c r="C4676" t="s">
        <v>197</v>
      </c>
      <c r="D4676">
        <v>3</v>
      </c>
    </row>
    <row r="4677" spans="1:4" x14ac:dyDescent="0.4">
      <c r="A4677" t="s">
        <v>6520</v>
      </c>
      <c r="B4677">
        <v>2.2999999999999998</v>
      </c>
      <c r="C4677" t="s">
        <v>197</v>
      </c>
      <c r="D4677">
        <v>1</v>
      </c>
    </row>
    <row r="4678" spans="1:4" x14ac:dyDescent="0.4">
      <c r="A4678" t="s">
        <v>6521</v>
      </c>
      <c r="B4678">
        <v>38.799999999999997</v>
      </c>
      <c r="C4678" t="s">
        <v>197</v>
      </c>
      <c r="D4678">
        <v>2</v>
      </c>
    </row>
    <row r="4679" spans="1:4" x14ac:dyDescent="0.4">
      <c r="A4679" t="s">
        <v>7471</v>
      </c>
      <c r="B4679">
        <v>1.9</v>
      </c>
      <c r="C4679" t="s">
        <v>197</v>
      </c>
      <c r="D4679">
        <v>1</v>
      </c>
    </row>
    <row r="4680" spans="1:4" x14ac:dyDescent="0.4">
      <c r="A4680" t="s">
        <v>7472</v>
      </c>
      <c r="B4680">
        <v>10.9</v>
      </c>
      <c r="C4680" t="s">
        <v>197</v>
      </c>
      <c r="D4680">
        <v>1</v>
      </c>
    </row>
    <row r="4681" spans="1:4" x14ac:dyDescent="0.4">
      <c r="A4681" t="s">
        <v>7473</v>
      </c>
      <c r="B4681">
        <v>59.4</v>
      </c>
      <c r="C4681" t="s">
        <v>197</v>
      </c>
      <c r="D4681">
        <v>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27EE5-6328-43BC-99E1-D81C4068067B}">
  <sheetPr codeName="Sheet30">
    <tabColor theme="9"/>
  </sheetPr>
  <dimension ref="A1:F6"/>
  <sheetViews>
    <sheetView workbookViewId="0">
      <selection activeCell="T29" sqref="T29"/>
    </sheetView>
  </sheetViews>
  <sheetFormatPr defaultColWidth="9.15234375" defaultRowHeight="14.6" x14ac:dyDescent="0.4"/>
  <sheetData>
    <row r="1" spans="1:6" x14ac:dyDescent="0.4">
      <c r="A1" t="s">
        <v>200</v>
      </c>
      <c r="B1" t="s">
        <v>201</v>
      </c>
      <c r="C1" t="s">
        <v>202</v>
      </c>
    </row>
    <row r="2" spans="1:6" x14ac:dyDescent="0.4">
      <c r="A2">
        <v>1</v>
      </c>
      <c r="B2" t="s">
        <v>193</v>
      </c>
      <c r="C2" t="s">
        <v>203</v>
      </c>
    </row>
    <row r="3" spans="1:6" x14ac:dyDescent="0.4">
      <c r="A3">
        <v>2</v>
      </c>
      <c r="B3" t="s">
        <v>194</v>
      </c>
      <c r="C3" t="s">
        <v>204</v>
      </c>
      <c r="F3" t="s">
        <v>1159</v>
      </c>
    </row>
    <row r="4" spans="1:6" x14ac:dyDescent="0.4">
      <c r="A4">
        <v>3</v>
      </c>
      <c r="B4" t="s">
        <v>195</v>
      </c>
      <c r="C4" t="s">
        <v>205</v>
      </c>
    </row>
    <row r="5" spans="1:6" x14ac:dyDescent="0.4">
      <c r="A5">
        <v>4</v>
      </c>
      <c r="B5" t="s">
        <v>196</v>
      </c>
      <c r="C5" t="s">
        <v>206</v>
      </c>
    </row>
    <row r="6" spans="1:6" x14ac:dyDescent="0.4">
      <c r="A6">
        <v>5</v>
      </c>
      <c r="B6" t="s">
        <v>198</v>
      </c>
      <c r="C6" t="s">
        <v>212</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7185F-23A4-417F-97B2-FB946455A830}">
  <sheetPr codeName="Sheet35">
    <tabColor rgb="FF7030A0"/>
  </sheetPr>
  <dimension ref="A1:Y80"/>
  <sheetViews>
    <sheetView workbookViewId="0">
      <selection activeCell="E7" sqref="E7"/>
    </sheetView>
  </sheetViews>
  <sheetFormatPr defaultColWidth="9.15234375" defaultRowHeight="14.6" x14ac:dyDescent="0.4"/>
  <cols>
    <col min="3" max="3" width="24" customWidth="1"/>
    <col min="4" max="4" width="13.15234375" bestFit="1" customWidth="1"/>
    <col min="5" max="5" width="6.3828125" bestFit="1" customWidth="1"/>
    <col min="6" max="6" width="10.53515625" customWidth="1"/>
    <col min="7" max="7" width="14.15234375" customWidth="1"/>
    <col min="8" max="9" width="6.53515625" customWidth="1"/>
    <col min="10" max="10" width="14.84375" bestFit="1" customWidth="1"/>
    <col min="11" max="19" width="7" customWidth="1"/>
    <col min="21" max="21" width="61.15234375" customWidth="1"/>
    <col min="22" max="22" width="21.84375" customWidth="1"/>
    <col min="25" max="25" width="11.53515625" customWidth="1"/>
  </cols>
  <sheetData>
    <row r="1" spans="1:25" x14ac:dyDescent="0.4">
      <c r="A1" t="s">
        <v>462</v>
      </c>
      <c r="B1" t="s">
        <v>136</v>
      </c>
      <c r="C1" t="s">
        <v>136</v>
      </c>
      <c r="D1" t="s">
        <v>136</v>
      </c>
      <c r="E1" t="s">
        <v>136</v>
      </c>
    </row>
    <row r="2" spans="1:25" x14ac:dyDescent="0.4">
      <c r="B2" t="s">
        <v>463</v>
      </c>
      <c r="C2">
        <f>uxbGlobals!$B$312</f>
        <v>1</v>
      </c>
    </row>
    <row r="3" spans="1:25" x14ac:dyDescent="0.4">
      <c r="B3" t="s">
        <v>669</v>
      </c>
      <c r="C3">
        <f>uxbGlobals!$B$227</f>
        <v>63</v>
      </c>
    </row>
    <row r="5" spans="1:25" x14ac:dyDescent="0.4">
      <c r="B5" t="s">
        <v>464</v>
      </c>
      <c r="C5" t="s">
        <v>465</v>
      </c>
      <c r="D5" t="s">
        <v>466</v>
      </c>
      <c r="E5" t="s">
        <v>467</v>
      </c>
    </row>
    <row r="6" spans="1:25" x14ac:dyDescent="0.4">
      <c r="B6">
        <v>1</v>
      </c>
      <c r="C6" t="s">
        <v>468</v>
      </c>
      <c r="D6" t="s">
        <v>1529</v>
      </c>
      <c r="E6" t="s">
        <v>7620</v>
      </c>
    </row>
    <row r="7" spans="1:25" x14ac:dyDescent="0.4">
      <c r="B7">
        <v>2</v>
      </c>
      <c r="C7" t="s">
        <v>468</v>
      </c>
      <c r="D7" t="s">
        <v>2517</v>
      </c>
      <c r="E7" t="s">
        <v>7619</v>
      </c>
    </row>
    <row r="8" spans="1:25" x14ac:dyDescent="0.4">
      <c r="B8">
        <v>3</v>
      </c>
      <c r="C8" t="s">
        <v>469</v>
      </c>
      <c r="D8" t="s">
        <v>1553</v>
      </c>
      <c r="E8" t="s">
        <v>470</v>
      </c>
    </row>
    <row r="9" spans="1:25" x14ac:dyDescent="0.4">
      <c r="B9">
        <v>4</v>
      </c>
      <c r="C9" t="s">
        <v>469</v>
      </c>
      <c r="D9" t="s">
        <v>471</v>
      </c>
      <c r="E9" t="s">
        <v>470</v>
      </c>
    </row>
    <row r="10" spans="1:25" x14ac:dyDescent="0.4">
      <c r="B10">
        <v>5</v>
      </c>
      <c r="C10" t="s">
        <v>469</v>
      </c>
      <c r="D10" t="s">
        <v>2518</v>
      </c>
      <c r="E10" t="s">
        <v>470</v>
      </c>
    </row>
    <row r="11" spans="1:25" x14ac:dyDescent="0.4">
      <c r="B11">
        <v>6</v>
      </c>
      <c r="C11" t="s">
        <v>469</v>
      </c>
      <c r="D11" t="s">
        <v>2519</v>
      </c>
      <c r="E11" t="s">
        <v>470</v>
      </c>
    </row>
    <row r="15" spans="1:25" x14ac:dyDescent="0.4">
      <c r="X15" t="s">
        <v>1276</v>
      </c>
    </row>
    <row r="16" spans="1:25" x14ac:dyDescent="0.4">
      <c r="H16" t="s">
        <v>1274</v>
      </c>
      <c r="Y16" t="s">
        <v>1277</v>
      </c>
    </row>
    <row r="17" spans="1:25" x14ac:dyDescent="0.4">
      <c r="A17" t="s">
        <v>1278</v>
      </c>
      <c r="B17" t="s">
        <v>5</v>
      </c>
      <c r="C17" t="s">
        <v>472</v>
      </c>
      <c r="D17" t="s">
        <v>473</v>
      </c>
      <c r="E17" t="s">
        <v>108</v>
      </c>
      <c r="F17" t="s">
        <v>474</v>
      </c>
      <c r="G17" t="s">
        <v>475</v>
      </c>
      <c r="H17" t="s">
        <v>476</v>
      </c>
      <c r="I17" t="s">
        <v>477</v>
      </c>
      <c r="J17" t="s">
        <v>478</v>
      </c>
      <c r="K17">
        <v>2</v>
      </c>
      <c r="L17">
        <v>3</v>
      </c>
      <c r="M17">
        <v>4</v>
      </c>
      <c r="N17">
        <v>5</v>
      </c>
      <c r="O17">
        <v>6</v>
      </c>
      <c r="P17">
        <v>7</v>
      </c>
      <c r="Q17">
        <v>8</v>
      </c>
      <c r="R17">
        <v>9</v>
      </c>
      <c r="S17">
        <v>10</v>
      </c>
      <c r="U17" t="s">
        <v>1279</v>
      </c>
      <c r="V17" t="s">
        <v>1280</v>
      </c>
      <c r="X17" t="s">
        <v>1275</v>
      </c>
      <c r="Y17" t="s">
        <v>1277</v>
      </c>
    </row>
    <row r="18" spans="1:25" x14ac:dyDescent="0.4">
      <c r="B18" cm="1">
        <f t="array" aca="1" ref="B18" ca="1">INDEX(OFFSET(auto_ss_All_Scoring,0,1,500,1),X18)</f>
        <v>1</v>
      </c>
      <c r="C18" t="str" cm="1">
        <f t="array" aca="1" ref="C18" ca="1">IF(B18=0,"",INDEX(auto_Series_Code,B18))</f>
        <v>OVERALL</v>
      </c>
      <c r="D18" cm="1">
        <f t="array" aca="1" ref="D18" ca="1">IF(B18=0,"",INDEX(auto_Series_ParentCode,B18))</f>
        <v>0</v>
      </c>
      <c r="E18" cm="1">
        <f t="array" aca="1" ref="E18" ca="1">IF(B18=0,"",INDEX(auto_Series_Depth,B18))</f>
        <v>0</v>
      </c>
      <c r="F18" cm="1">
        <f t="array" aca="1" ref="F18" ca="1">IF(B18=0,0,INDEX($J18:$S18,$C$2))</f>
        <v>1</v>
      </c>
      <c r="G18">
        <f ca="1">IF(F18=0,0,F18/SUMIF(OFFSET($D$18,0,0,$C$3,1),$D18,OFFSET(F$18,0,0,$C$3,1)))</f>
        <v>1</v>
      </c>
      <c r="H18">
        <f ca="1">IFERROR(INDEX(OFFSET(Weights!$M$25,0,0,500,1),MATCH($B18,OFFSET(Weights!$G$25,0,0,500,1),0)),1)</f>
        <v>1</v>
      </c>
      <c r="I18">
        <f ca="1">IF(H18=0,0,H18/SUMIF(OFFSET($D$18,0,0,$C$3,1),$D18,OFFSET(H$18,0,0,$C$3,1)))</f>
        <v>1</v>
      </c>
      <c r="J18">
        <v>1</v>
      </c>
      <c r="K18">
        <v>1</v>
      </c>
      <c r="L18">
        <v>1</v>
      </c>
      <c r="M18">
        <v>1</v>
      </c>
      <c r="N18">
        <v>1</v>
      </c>
      <c r="O18">
        <f t="shared" ref="O18:S80" si="0">$K18</f>
        <v>1</v>
      </c>
      <c r="P18">
        <f t="shared" si="0"/>
        <v>1</v>
      </c>
      <c r="Q18">
        <f t="shared" si="0"/>
        <v>1</v>
      </c>
      <c r="R18">
        <f t="shared" si="0"/>
        <v>1</v>
      </c>
      <c r="S18">
        <f t="shared" si="0"/>
        <v>1</v>
      </c>
      <c r="U18" cm="1">
        <f t="array" aca="1" ref="U18" ca="1">IF($B18=0,0,IF($E18=0,0,IF($F18=0,0,IF($E18=1,$F18/SUMIF(OFFSET($E$18,0,0,$C$3,$E18),$E18,OFFSET($F$18,0,0,$C$3,$E18)),$G18*INDEX(OFFSET(U$18,0,0,$C$3,1),$Y18)))))</f>
        <v>0</v>
      </c>
      <c r="V18" cm="1">
        <f t="array" aca="1" ref="V18" ca="1">IF($B18=0,0,IF($E18=0,0,IF($H18=0,0,IF($E18=1,$H18/SUMIF(OFFSET($E$18,0,0,$C$3,$E18),$E18,OFFSET($H$18,0,0,$C$3,$E18)),$I18*INDEX(OFFSET(V$18,0,0,$C$3,1),$Y18)))))</f>
        <v>0</v>
      </c>
      <c r="X18">
        <v>1</v>
      </c>
      <c r="Y18">
        <f ca="1">IFERROR(IF(B18=0,0,MATCH($D18,OFFSET($C$18,0,0,$C$3,1),0)),0)</f>
        <v>0</v>
      </c>
    </row>
    <row r="19" spans="1:25" x14ac:dyDescent="0.4">
      <c r="B19" cm="1">
        <f t="array" aca="1" ref="B19" ca="1">INDEX(OFFSET(auto_ss_All_Scoring,0,1,500,1),X19)</f>
        <v>2</v>
      </c>
      <c r="C19" t="str" cm="1">
        <f t="array" aca="1" ref="C19" ca="1">IF(B19=0,"",INDEX(auto_Series_Code,B19))</f>
        <v>DOMAIN_001</v>
      </c>
      <c r="D19" t="str" cm="1">
        <f t="array" aca="1" ref="D19" ca="1">IF(B19=0,"",INDEX(auto_Series_ParentCode,B19))</f>
        <v>OVERALL</v>
      </c>
      <c r="E19" cm="1">
        <f t="array" aca="1" ref="E19" ca="1">IF(B19=0,"",INDEX(auto_Series_Depth,B19))</f>
        <v>1</v>
      </c>
      <c r="F19" cm="1">
        <f t="array" aca="1" ref="F19" ca="1">IF(B19=0,0,INDEX($J19:$S19,$C$2))</f>
        <v>5</v>
      </c>
      <c r="G19">
        <f t="shared" ref="G19:G20" ca="1" si="1">IF(F19=0,0,F19/SUMIF(OFFSET($D$18,0,0,$C$3,1),$D19,OFFSET(F$18,0,0,$C$3,1)))</f>
        <v>0.16129032258064516</v>
      </c>
      <c r="H19">
        <f ca="1">IFERROR(INDEX(OFFSET(Weights!$M$25,0,0,500,1),MATCH($B19,OFFSET(Weights!$G$25,0,0,500,1),0)),1)</f>
        <v>5</v>
      </c>
      <c r="I19">
        <f t="shared" ref="I19:I20" ca="1" si="2">IF(H19=0,0,H19/SUMIF(OFFSET($D$18,0,0,$C$3,1),$D19,OFFSET(H$18,0,0,$C$3,1)))</f>
        <v>0.16129032258064516</v>
      </c>
      <c r="J19">
        <v>5</v>
      </c>
      <c r="K19">
        <v>1</v>
      </c>
      <c r="L19">
        <v>1</v>
      </c>
      <c r="M19">
        <v>1</v>
      </c>
      <c r="N19">
        <v>1</v>
      </c>
      <c r="O19">
        <f t="shared" si="0"/>
        <v>1</v>
      </c>
      <c r="P19">
        <f t="shared" si="0"/>
        <v>1</v>
      </c>
      <c r="Q19">
        <f t="shared" si="0"/>
        <v>1</v>
      </c>
      <c r="R19">
        <f t="shared" si="0"/>
        <v>1</v>
      </c>
      <c r="S19">
        <f t="shared" si="0"/>
        <v>1</v>
      </c>
      <c r="U19" cm="1">
        <f t="array" aca="1" ref="U19" ca="1">IF($B19=0,0,IF($E19=0,0,IF($F19=0,0,IF($E19=1,$F19/SUMIF(OFFSET($E$18,0,0,$C$3,$E19),$E19,OFFSET($F$18,0,0,$C$3,$E19)),$G19*INDEX(OFFSET(U$18,0,0,$C$3,1),$Y19)))))</f>
        <v>0.16129032258064516</v>
      </c>
      <c r="V19" cm="1">
        <f t="array" aca="1" ref="V19" ca="1">IF($B19=0,0,IF($E19=0,0,IF($H19=0,0,IF($E19=1,$H19/SUMIF(OFFSET($E$18,0,0,$C$3,$E19),$E19,OFFSET($H$18,0,0,$C$3,$E19)),$I19*INDEX(OFFSET(V$18,0,0,$C$3,1),$Y19)))))</f>
        <v>0.16129032258064516</v>
      </c>
      <c r="X19">
        <v>2</v>
      </c>
      <c r="Y19">
        <f t="shared" ref="Y19:Y20" ca="1" si="3">IFERROR(IF(B19=0,0,MATCH($D19,OFFSET($C$18,0,0,$C$3,1),0)),0)</f>
        <v>1</v>
      </c>
    </row>
    <row r="20" spans="1:25" x14ac:dyDescent="0.4">
      <c r="B20" cm="1">
        <f t="array" aca="1" ref="B20" ca="1">INDEX(OFFSET(auto_ss_All_Scoring,0,1,500,1),X20)</f>
        <v>3</v>
      </c>
      <c r="C20" t="str" cm="1">
        <f t="array" aca="1" ref="C20" ca="1">IF(B20=0,"",INDEX(auto_Series_Code,B20))</f>
        <v>INDI_001</v>
      </c>
      <c r="D20" t="str" cm="1">
        <f t="array" aca="1" ref="D20" ca="1">IF(B20=0,"",INDEX(auto_Series_ParentCode,B20))</f>
        <v>DOMAIN_001</v>
      </c>
      <c r="E20" cm="1">
        <f t="array" aca="1" ref="E20" ca="1">IF(B20=0,"",INDEX(auto_Series_Depth,B20))</f>
        <v>2</v>
      </c>
      <c r="F20" cm="1">
        <f t="array" aca="1" ref="F20" ca="1">IF(B20=0,0,INDEX($J20:$S20,$C$2))</f>
        <v>1</v>
      </c>
      <c r="G20">
        <f t="shared" ca="1" si="1"/>
        <v>0.2</v>
      </c>
      <c r="H20">
        <f ca="1">IFERROR(INDEX(OFFSET(Weights!$M$25,0,0,500,1),MATCH($B20,OFFSET(Weights!$G$25,0,0,500,1),0)),1)</f>
        <v>1</v>
      </c>
      <c r="I20">
        <f t="shared" ca="1" si="2"/>
        <v>0.2</v>
      </c>
      <c r="J20">
        <v>1</v>
      </c>
      <c r="K20">
        <v>1</v>
      </c>
      <c r="L20">
        <v>1</v>
      </c>
      <c r="M20">
        <v>1</v>
      </c>
      <c r="N20">
        <v>1</v>
      </c>
      <c r="O20">
        <f t="shared" ref="O20:S32" si="4">$K20</f>
        <v>1</v>
      </c>
      <c r="P20">
        <f t="shared" si="4"/>
        <v>1</v>
      </c>
      <c r="Q20">
        <f t="shared" si="4"/>
        <v>1</v>
      </c>
      <c r="R20">
        <f t="shared" si="4"/>
        <v>1</v>
      </c>
      <c r="S20">
        <f t="shared" si="4"/>
        <v>1</v>
      </c>
      <c r="U20" cm="1">
        <f t="array" aca="1" ref="U20" ca="1">IF($B20=0,0,IF($E20=0,0,IF($F20=0,0,IF($E20=1,$F20/SUMIF(OFFSET($E$18,0,0,$C$3,$E20),$E20,OFFSET($F$18,0,0,$C$3,$E20)),$G20*INDEX(OFFSET(U$18,0,0,$C$3,1),$Y20)))))</f>
        <v>3.2258064516129031E-2</v>
      </c>
      <c r="V20" cm="1">
        <f t="array" aca="1" ref="V20" ca="1">IF($B20=0,0,IF($E20=0,0,IF($H20=0,0,IF($E20=1,$H20/SUMIF(OFFSET($E$18,0,0,$C$3,$E20),$E20,OFFSET($H$18,0,0,$C$3,$E20)),$I20*INDEX(OFFSET(V$18,0,0,$C$3,1),$Y20)))))</f>
        <v>3.2258064516129031E-2</v>
      </c>
      <c r="X20">
        <v>3</v>
      </c>
      <c r="Y20">
        <f t="shared" ca="1" si="3"/>
        <v>2</v>
      </c>
    </row>
    <row r="21" spans="1:25" x14ac:dyDescent="0.4">
      <c r="B21" cm="1">
        <f t="array" aca="1" ref="B21" ca="1">INDEX(OFFSET(auto_ss_All_Scoring,0,1,500,1),X21)</f>
        <v>4</v>
      </c>
      <c r="C21" t="str" cm="1">
        <f t="array" aca="1" ref="C21" ca="1">IF(B21=0,"",INDEX(auto_Series_Code,B21))</f>
        <v>SUBINDI_001</v>
      </c>
      <c r="D21" t="str" cm="1">
        <f t="array" aca="1" ref="D21" ca="1">IF(B21=0,"",INDEX(auto_Series_ParentCode,B21))</f>
        <v>INDI_001</v>
      </c>
      <c r="E21" cm="1">
        <f t="array" aca="1" ref="E21" ca="1">IF(B21=0,"",INDEX(auto_Series_Depth,B21))</f>
        <v>3</v>
      </c>
      <c r="F21" cm="1">
        <f t="array" aca="1" ref="F21" ca="1">IF(B21=0,0,INDEX($J21:$S21,$C$2))</f>
        <v>1</v>
      </c>
      <c r="G21">
        <f t="shared" ref="G21:G80" ca="1" si="5">IF(F21=0,0,F21/SUMIF(OFFSET($D$18,0,0,$C$3,1),$D21,OFFSET(F$18,0,0,$C$3,1)))</f>
        <v>0.5</v>
      </c>
      <c r="H21">
        <f ca="1">IFERROR(INDEX(OFFSET(Weights!$M$25,0,0,500,1),MATCH($B21,OFFSET(Weights!$G$25,0,0,500,1),0)),1)</f>
        <v>1</v>
      </c>
      <c r="I21">
        <f t="shared" ref="I21:I80" ca="1" si="6">IF(H21=0,0,H21/SUMIF(OFFSET($D$18,0,0,$C$3,1),$D21,OFFSET(H$18,0,0,$C$3,1)))</f>
        <v>0.5</v>
      </c>
      <c r="J21">
        <v>1</v>
      </c>
      <c r="K21">
        <v>1</v>
      </c>
      <c r="L21">
        <v>1</v>
      </c>
      <c r="M21">
        <v>1</v>
      </c>
      <c r="N21">
        <v>1</v>
      </c>
      <c r="O21">
        <f t="shared" si="4"/>
        <v>1</v>
      </c>
      <c r="P21">
        <f t="shared" si="4"/>
        <v>1</v>
      </c>
      <c r="Q21">
        <f t="shared" si="4"/>
        <v>1</v>
      </c>
      <c r="R21">
        <f t="shared" si="4"/>
        <v>1</v>
      </c>
      <c r="S21">
        <f t="shared" si="4"/>
        <v>1</v>
      </c>
      <c r="U21" cm="1">
        <f t="array" aca="1" ref="U21" ca="1">IF($B21=0,0,IF($E21=0,0,IF($F21=0,0,IF($E21=1,$F21/SUMIF(OFFSET($E$18,0,0,$C$3,$E21),$E21,OFFSET($F$18,0,0,$C$3,$E21)),$G21*INDEX(OFFSET(U$18,0,0,$C$3,1),$Y21)))))</f>
        <v>1.6129032258064516E-2</v>
      </c>
      <c r="V21" cm="1">
        <f t="array" aca="1" ref="V21" ca="1">IF($B21=0,0,IF($E21=0,0,IF($H21=0,0,IF($E21=1,$H21/SUMIF(OFFSET($E$18,0,0,$C$3,$E21),$E21,OFFSET($H$18,0,0,$C$3,$E21)),$I21*INDEX(OFFSET(V$18,0,0,$C$3,1),$Y21)))))</f>
        <v>1.6129032258064516E-2</v>
      </c>
      <c r="X21">
        <v>4</v>
      </c>
      <c r="Y21">
        <f t="shared" ref="Y21:Y80" ca="1" si="7">IFERROR(IF(B21=0,0,MATCH($D21,OFFSET($C$18,0,0,$C$3,1),0)),0)</f>
        <v>3</v>
      </c>
    </row>
    <row r="22" spans="1:25" x14ac:dyDescent="0.4">
      <c r="B22" cm="1">
        <f t="array" aca="1" ref="B22" ca="1">INDEX(OFFSET(auto_ss_All_Scoring,0,1,500,1),X22)</f>
        <v>5</v>
      </c>
      <c r="C22" t="str" cm="1">
        <f t="array" aca="1" ref="C22" ca="1">IF(B22=0,"",INDEX(auto_Series_Code,B22))</f>
        <v>SUBINDI_002</v>
      </c>
      <c r="D22" t="str" cm="1">
        <f t="array" aca="1" ref="D22" ca="1">IF(B22=0,"",INDEX(auto_Series_ParentCode,B22))</f>
        <v>INDI_001</v>
      </c>
      <c r="E22" cm="1">
        <f t="array" aca="1" ref="E22" ca="1">IF(B22=0,"",INDEX(auto_Series_Depth,B22))</f>
        <v>3</v>
      </c>
      <c r="F22" cm="1">
        <f t="array" aca="1" ref="F22" ca="1">IF(B22=0,0,INDEX($J22:$S22,$C$2))</f>
        <v>1</v>
      </c>
      <c r="G22">
        <f t="shared" ca="1" si="5"/>
        <v>0.5</v>
      </c>
      <c r="H22">
        <f ca="1">IFERROR(INDEX(OFFSET(Weights!$M$25,0,0,500,1),MATCH($B22,OFFSET(Weights!$G$25,0,0,500,1),0)),1)</f>
        <v>1</v>
      </c>
      <c r="I22">
        <f t="shared" ca="1" si="6"/>
        <v>0.5</v>
      </c>
      <c r="J22">
        <v>1</v>
      </c>
      <c r="K22">
        <v>1</v>
      </c>
      <c r="L22">
        <v>1</v>
      </c>
      <c r="M22">
        <v>1</v>
      </c>
      <c r="N22">
        <v>1</v>
      </c>
      <c r="O22">
        <f t="shared" si="4"/>
        <v>1</v>
      </c>
      <c r="P22">
        <f t="shared" si="4"/>
        <v>1</v>
      </c>
      <c r="Q22">
        <f t="shared" si="4"/>
        <v>1</v>
      </c>
      <c r="R22">
        <f t="shared" si="4"/>
        <v>1</v>
      </c>
      <c r="S22">
        <f t="shared" si="4"/>
        <v>1</v>
      </c>
      <c r="U22" cm="1">
        <f t="array" aca="1" ref="U22" ca="1">IF($B22=0,0,IF($E22=0,0,IF($F22=0,0,IF($E22=1,$F22/SUMIF(OFFSET($E$18,0,0,$C$3,$E22),$E22,OFFSET($F$18,0,0,$C$3,$E22)),$G22*INDEX(OFFSET(U$18,0,0,$C$3,1),$Y22)))))</f>
        <v>1.6129032258064516E-2</v>
      </c>
      <c r="V22" cm="1">
        <f t="array" aca="1" ref="V22" ca="1">IF($B22=0,0,IF($E22=0,0,IF($H22=0,0,IF($E22=1,$H22/SUMIF(OFFSET($E$18,0,0,$C$3,$E22),$E22,OFFSET($H$18,0,0,$C$3,$E22)),$I22*INDEX(OFFSET(V$18,0,0,$C$3,1),$Y22)))))</f>
        <v>1.6129032258064516E-2</v>
      </c>
      <c r="X22">
        <v>5</v>
      </c>
      <c r="Y22">
        <f t="shared" ca="1" si="7"/>
        <v>3</v>
      </c>
    </row>
    <row r="23" spans="1:25" x14ac:dyDescent="0.4">
      <c r="B23" cm="1">
        <f t="array" aca="1" ref="B23" ca="1">INDEX(OFFSET(auto_ss_All_Scoring,0,1,500,1),X23)</f>
        <v>6</v>
      </c>
      <c r="C23" t="str" cm="1">
        <f t="array" aca="1" ref="C23" ca="1">IF(B23=0,"",INDEX(auto_Series_Code,B23))</f>
        <v>INDI_002</v>
      </c>
      <c r="D23" t="str" cm="1">
        <f t="array" aca="1" ref="D23" ca="1">IF(B23=0,"",INDEX(auto_Series_ParentCode,B23))</f>
        <v>DOMAIN_001</v>
      </c>
      <c r="E23" cm="1">
        <f t="array" aca="1" ref="E23" ca="1">IF(B23=0,"",INDEX(auto_Series_Depth,B23))</f>
        <v>2</v>
      </c>
      <c r="F23" cm="1">
        <f t="array" aca="1" ref="F23" ca="1">IF(B23=0,0,INDEX($J23:$S23,$C$2))</f>
        <v>1</v>
      </c>
      <c r="G23">
        <f t="shared" ca="1" si="5"/>
        <v>0.2</v>
      </c>
      <c r="H23">
        <f ca="1">IFERROR(INDEX(OFFSET(Weights!$M$25,0,0,500,1),MATCH($B23,OFFSET(Weights!$G$25,0,0,500,1),0)),1)</f>
        <v>1</v>
      </c>
      <c r="I23">
        <f t="shared" ca="1" si="6"/>
        <v>0.2</v>
      </c>
      <c r="J23">
        <v>1</v>
      </c>
      <c r="K23">
        <v>1</v>
      </c>
      <c r="L23">
        <v>1</v>
      </c>
      <c r="M23">
        <v>1</v>
      </c>
      <c r="N23">
        <v>1</v>
      </c>
      <c r="O23">
        <f t="shared" si="4"/>
        <v>1</v>
      </c>
      <c r="P23">
        <f t="shared" si="4"/>
        <v>1</v>
      </c>
      <c r="Q23">
        <f t="shared" si="4"/>
        <v>1</v>
      </c>
      <c r="R23">
        <f t="shared" si="4"/>
        <v>1</v>
      </c>
      <c r="S23">
        <f t="shared" si="4"/>
        <v>1</v>
      </c>
      <c r="U23" cm="1">
        <f t="array" aca="1" ref="U23" ca="1">IF($B23=0,0,IF($E23=0,0,IF($F23=0,0,IF($E23=1,$F23/SUMIF(OFFSET($E$18,0,0,$C$3,$E23),$E23,OFFSET($F$18,0,0,$C$3,$E23)),$G23*INDEX(OFFSET(U$18,0,0,$C$3,1),$Y23)))))</f>
        <v>3.2258064516129031E-2</v>
      </c>
      <c r="V23" cm="1">
        <f t="array" aca="1" ref="V23" ca="1">IF($B23=0,0,IF($E23=0,0,IF($H23=0,0,IF($E23=1,$H23/SUMIF(OFFSET($E$18,0,0,$C$3,$E23),$E23,OFFSET($H$18,0,0,$C$3,$E23)),$I23*INDEX(OFFSET(V$18,0,0,$C$3,1),$Y23)))))</f>
        <v>3.2258064516129031E-2</v>
      </c>
      <c r="X23">
        <v>6</v>
      </c>
      <c r="Y23">
        <f t="shared" ca="1" si="7"/>
        <v>2</v>
      </c>
    </row>
    <row r="24" spans="1:25" x14ac:dyDescent="0.4">
      <c r="B24" cm="1">
        <f t="array" aca="1" ref="B24" ca="1">INDEX(OFFSET(auto_ss_All_Scoring,0,1,500,1),X24)</f>
        <v>7</v>
      </c>
      <c r="C24" t="str" cm="1">
        <f t="array" aca="1" ref="C24" ca="1">IF(B24=0,"",INDEX(auto_Series_Code,B24))</f>
        <v>SUBINDI_003</v>
      </c>
      <c r="D24" t="str" cm="1">
        <f t="array" aca="1" ref="D24" ca="1">IF(B24=0,"",INDEX(auto_Series_ParentCode,B24))</f>
        <v>INDI_002</v>
      </c>
      <c r="E24" cm="1">
        <f t="array" aca="1" ref="E24" ca="1">IF(B24=0,"",INDEX(auto_Series_Depth,B24))</f>
        <v>3</v>
      </c>
      <c r="F24" cm="1">
        <f t="array" aca="1" ref="F24" ca="1">IF(B24=0,0,INDEX($J24:$S24,$C$2))</f>
        <v>1</v>
      </c>
      <c r="G24">
        <f t="shared" ca="1" si="5"/>
        <v>0.5</v>
      </c>
      <c r="H24">
        <f ca="1">IFERROR(INDEX(OFFSET(Weights!$M$25,0,0,500,1),MATCH($B24,OFFSET(Weights!$G$25,0,0,500,1),0)),1)</f>
        <v>1</v>
      </c>
      <c r="I24">
        <f t="shared" ca="1" si="6"/>
        <v>0.5</v>
      </c>
      <c r="J24">
        <v>1</v>
      </c>
      <c r="K24">
        <v>1</v>
      </c>
      <c r="L24">
        <v>1</v>
      </c>
      <c r="M24">
        <v>1</v>
      </c>
      <c r="N24">
        <v>1</v>
      </c>
      <c r="O24">
        <f t="shared" si="4"/>
        <v>1</v>
      </c>
      <c r="P24">
        <f t="shared" si="4"/>
        <v>1</v>
      </c>
      <c r="Q24">
        <f t="shared" si="4"/>
        <v>1</v>
      </c>
      <c r="R24">
        <f t="shared" si="4"/>
        <v>1</v>
      </c>
      <c r="S24">
        <f t="shared" si="4"/>
        <v>1</v>
      </c>
      <c r="U24" cm="1">
        <f t="array" aca="1" ref="U24" ca="1">IF($B24=0,0,IF($E24=0,0,IF($F24=0,0,IF($E24=1,$F24/SUMIF(OFFSET($E$18,0,0,$C$3,$E24),$E24,OFFSET($F$18,0,0,$C$3,$E24)),$G24*INDEX(OFFSET(U$18,0,0,$C$3,1),$Y24)))))</f>
        <v>1.6129032258064516E-2</v>
      </c>
      <c r="V24" cm="1">
        <f t="array" aca="1" ref="V24" ca="1">IF($B24=0,0,IF($E24=0,0,IF($H24=0,0,IF($E24=1,$H24/SUMIF(OFFSET($E$18,0,0,$C$3,$E24),$E24,OFFSET($H$18,0,0,$C$3,$E24)),$I24*INDEX(OFFSET(V$18,0,0,$C$3,1),$Y24)))))</f>
        <v>1.6129032258064516E-2</v>
      </c>
      <c r="X24">
        <v>7</v>
      </c>
      <c r="Y24">
        <f t="shared" ca="1" si="7"/>
        <v>6</v>
      </c>
    </row>
    <row r="25" spans="1:25" x14ac:dyDescent="0.4">
      <c r="B25" cm="1">
        <f t="array" aca="1" ref="B25" ca="1">INDEX(OFFSET(auto_ss_All_Scoring,0,1,500,1),X25)</f>
        <v>8</v>
      </c>
      <c r="C25" t="str" cm="1">
        <f t="array" aca="1" ref="C25" ca="1">IF(B25=0,"",INDEX(auto_Series_Code,B25))</f>
        <v>SUBINDI_004</v>
      </c>
      <c r="D25" t="str" cm="1">
        <f t="array" aca="1" ref="D25" ca="1">IF(B25=0,"",INDEX(auto_Series_ParentCode,B25))</f>
        <v>INDI_002</v>
      </c>
      <c r="E25" cm="1">
        <f t="array" aca="1" ref="E25" ca="1">IF(B25=0,"",INDEX(auto_Series_Depth,B25))</f>
        <v>3</v>
      </c>
      <c r="F25" cm="1">
        <f t="array" aca="1" ref="F25" ca="1">IF(B25=0,0,INDEX($J25:$S25,$C$2))</f>
        <v>1</v>
      </c>
      <c r="G25">
        <f t="shared" ca="1" si="5"/>
        <v>0.5</v>
      </c>
      <c r="H25">
        <f ca="1">IFERROR(INDEX(OFFSET(Weights!$M$25,0,0,500,1),MATCH($B25,OFFSET(Weights!$G$25,0,0,500,1),0)),1)</f>
        <v>1</v>
      </c>
      <c r="I25">
        <f t="shared" ca="1" si="6"/>
        <v>0.5</v>
      </c>
      <c r="J25">
        <v>1</v>
      </c>
      <c r="K25">
        <v>1</v>
      </c>
      <c r="L25">
        <v>1</v>
      </c>
      <c r="M25">
        <v>1</v>
      </c>
      <c r="N25">
        <v>1</v>
      </c>
      <c r="O25">
        <f t="shared" si="4"/>
        <v>1</v>
      </c>
      <c r="P25">
        <f t="shared" si="4"/>
        <v>1</v>
      </c>
      <c r="Q25">
        <f t="shared" si="4"/>
        <v>1</v>
      </c>
      <c r="R25">
        <f t="shared" si="4"/>
        <v>1</v>
      </c>
      <c r="S25">
        <f t="shared" si="4"/>
        <v>1</v>
      </c>
      <c r="U25" cm="1">
        <f t="array" aca="1" ref="U25" ca="1">IF($B25=0,0,IF($E25=0,0,IF($F25=0,0,IF($E25=1,$F25/SUMIF(OFFSET($E$18,0,0,$C$3,$E25),$E25,OFFSET($F$18,0,0,$C$3,$E25)),$G25*INDEX(OFFSET(U$18,0,0,$C$3,1),$Y25)))))</f>
        <v>1.6129032258064516E-2</v>
      </c>
      <c r="V25" cm="1">
        <f t="array" aca="1" ref="V25" ca="1">IF($B25=0,0,IF($E25=0,0,IF($H25=0,0,IF($E25=1,$H25/SUMIF(OFFSET($E$18,0,0,$C$3,$E25),$E25,OFFSET($H$18,0,0,$C$3,$E25)),$I25*INDEX(OFFSET(V$18,0,0,$C$3,1),$Y25)))))</f>
        <v>1.6129032258064516E-2</v>
      </c>
      <c r="X25">
        <v>8</v>
      </c>
      <c r="Y25">
        <f t="shared" ca="1" si="7"/>
        <v>6</v>
      </c>
    </row>
    <row r="26" spans="1:25" x14ac:dyDescent="0.4">
      <c r="B26" cm="1">
        <f t="array" aca="1" ref="B26" ca="1">INDEX(OFFSET(auto_ss_All_Scoring,0,1,500,1),X26)</f>
        <v>9</v>
      </c>
      <c r="C26" t="str" cm="1">
        <f t="array" aca="1" ref="C26" ca="1">IF(B26=0,"",INDEX(auto_Series_Code,B26))</f>
        <v>INDI_003</v>
      </c>
      <c r="D26" t="str" cm="1">
        <f t="array" aca="1" ref="D26" ca="1">IF(B26=0,"",INDEX(auto_Series_ParentCode,B26))</f>
        <v>DOMAIN_001</v>
      </c>
      <c r="E26" cm="1">
        <f t="array" aca="1" ref="E26" ca="1">IF(B26=0,"",INDEX(auto_Series_Depth,B26))</f>
        <v>2</v>
      </c>
      <c r="F26" cm="1">
        <f t="array" aca="1" ref="F26" ca="1">IF(B26=0,0,INDEX($J26:$S26,$C$2))</f>
        <v>1</v>
      </c>
      <c r="G26">
        <f t="shared" ca="1" si="5"/>
        <v>0.2</v>
      </c>
      <c r="H26">
        <f ca="1">IFERROR(INDEX(OFFSET(Weights!$M$25,0,0,500,1),MATCH($B26,OFFSET(Weights!$G$25,0,0,500,1),0)),1)</f>
        <v>1</v>
      </c>
      <c r="I26">
        <f t="shared" ca="1" si="6"/>
        <v>0.2</v>
      </c>
      <c r="J26">
        <v>1</v>
      </c>
      <c r="K26">
        <v>1</v>
      </c>
      <c r="L26">
        <v>1</v>
      </c>
      <c r="M26">
        <v>1</v>
      </c>
      <c r="N26">
        <v>1</v>
      </c>
      <c r="O26">
        <f t="shared" si="4"/>
        <v>1</v>
      </c>
      <c r="P26">
        <f t="shared" si="4"/>
        <v>1</v>
      </c>
      <c r="Q26">
        <f t="shared" si="4"/>
        <v>1</v>
      </c>
      <c r="R26">
        <f t="shared" si="4"/>
        <v>1</v>
      </c>
      <c r="S26">
        <f t="shared" si="4"/>
        <v>1</v>
      </c>
      <c r="U26" cm="1">
        <f t="array" aca="1" ref="U26" ca="1">IF($B26=0,0,IF($E26=0,0,IF($F26=0,0,IF($E26=1,$F26/SUMIF(OFFSET($E$18,0,0,$C$3,$E26),$E26,OFFSET($F$18,0,0,$C$3,$E26)),$G26*INDEX(OFFSET(U$18,0,0,$C$3,1),$Y26)))))</f>
        <v>3.2258064516129031E-2</v>
      </c>
      <c r="V26" cm="1">
        <f t="array" aca="1" ref="V26" ca="1">IF($B26=0,0,IF($E26=0,0,IF($H26=0,0,IF($E26=1,$H26/SUMIF(OFFSET($E$18,0,0,$C$3,$E26),$E26,OFFSET($H$18,0,0,$C$3,$E26)),$I26*INDEX(OFFSET(V$18,0,0,$C$3,1),$Y26)))))</f>
        <v>3.2258064516129031E-2</v>
      </c>
      <c r="X26">
        <v>9</v>
      </c>
      <c r="Y26">
        <f t="shared" ca="1" si="7"/>
        <v>2</v>
      </c>
    </row>
    <row r="27" spans="1:25" x14ac:dyDescent="0.4">
      <c r="B27" cm="1">
        <f t="array" aca="1" ref="B27" ca="1">INDEX(OFFSET(auto_ss_All_Scoring,0,1,500,1),X27)</f>
        <v>10</v>
      </c>
      <c r="C27" t="str" cm="1">
        <f t="array" aca="1" ref="C27" ca="1">IF(B27=0,"",INDEX(auto_Series_Code,B27))</f>
        <v>SUBINDI_005</v>
      </c>
      <c r="D27" t="str" cm="1">
        <f t="array" aca="1" ref="D27" ca="1">IF(B27=0,"",INDEX(auto_Series_ParentCode,B27))</f>
        <v>INDI_003</v>
      </c>
      <c r="E27" cm="1">
        <f t="array" aca="1" ref="E27" ca="1">IF(B27=0,"",INDEX(auto_Series_Depth,B27))</f>
        <v>3</v>
      </c>
      <c r="F27" cm="1">
        <f t="array" aca="1" ref="F27" ca="1">IF(B27=0,0,INDEX($J27:$S27,$C$2))</f>
        <v>1</v>
      </c>
      <c r="G27">
        <f t="shared" ca="1" si="5"/>
        <v>0.5</v>
      </c>
      <c r="H27">
        <f ca="1">IFERROR(INDEX(OFFSET(Weights!$M$25,0,0,500,1),MATCH($B27,OFFSET(Weights!$G$25,0,0,500,1),0)),1)</f>
        <v>1</v>
      </c>
      <c r="I27">
        <f t="shared" ca="1" si="6"/>
        <v>0.5</v>
      </c>
      <c r="J27">
        <v>1</v>
      </c>
      <c r="K27">
        <v>1</v>
      </c>
      <c r="L27">
        <v>1</v>
      </c>
      <c r="M27">
        <v>1</v>
      </c>
      <c r="N27">
        <v>1</v>
      </c>
      <c r="O27">
        <f t="shared" si="4"/>
        <v>1</v>
      </c>
      <c r="P27">
        <f t="shared" si="4"/>
        <v>1</v>
      </c>
      <c r="Q27">
        <f t="shared" si="4"/>
        <v>1</v>
      </c>
      <c r="R27">
        <f t="shared" si="4"/>
        <v>1</v>
      </c>
      <c r="S27">
        <f t="shared" si="4"/>
        <v>1</v>
      </c>
      <c r="U27" cm="1">
        <f t="array" aca="1" ref="U27" ca="1">IF($B27=0,0,IF($E27=0,0,IF($F27=0,0,IF($E27=1,$F27/SUMIF(OFFSET($E$18,0,0,$C$3,$E27),$E27,OFFSET($F$18,0,0,$C$3,$E27)),$G27*INDEX(OFFSET(U$18,0,0,$C$3,1),$Y27)))))</f>
        <v>1.6129032258064516E-2</v>
      </c>
      <c r="V27" cm="1">
        <f t="array" aca="1" ref="V27" ca="1">IF($B27=0,0,IF($E27=0,0,IF($H27=0,0,IF($E27=1,$H27/SUMIF(OFFSET($E$18,0,0,$C$3,$E27),$E27,OFFSET($H$18,0,0,$C$3,$E27)),$I27*INDEX(OFFSET(V$18,0,0,$C$3,1),$Y27)))))</f>
        <v>1.6129032258064516E-2</v>
      </c>
      <c r="X27">
        <v>10</v>
      </c>
      <c r="Y27">
        <f t="shared" ca="1" si="7"/>
        <v>9</v>
      </c>
    </row>
    <row r="28" spans="1:25" x14ac:dyDescent="0.4">
      <c r="B28" cm="1">
        <f t="array" aca="1" ref="B28" ca="1">INDEX(OFFSET(auto_ss_All_Scoring,0,1,500,1),X28)</f>
        <v>11</v>
      </c>
      <c r="C28" t="str" cm="1">
        <f t="array" aca="1" ref="C28" ca="1">IF(B28=0,"",INDEX(auto_Series_Code,B28))</f>
        <v>SUBINDI_006</v>
      </c>
      <c r="D28" t="str" cm="1">
        <f t="array" aca="1" ref="D28" ca="1">IF(B28=0,"",INDEX(auto_Series_ParentCode,B28))</f>
        <v>INDI_003</v>
      </c>
      <c r="E28" cm="1">
        <f t="array" aca="1" ref="E28" ca="1">IF(B28=0,"",INDEX(auto_Series_Depth,B28))</f>
        <v>3</v>
      </c>
      <c r="F28" cm="1">
        <f t="array" aca="1" ref="F28" ca="1">IF(B28=0,0,INDEX($J28:$S28,$C$2))</f>
        <v>1</v>
      </c>
      <c r="G28">
        <f t="shared" ca="1" si="5"/>
        <v>0.5</v>
      </c>
      <c r="H28">
        <f ca="1">IFERROR(INDEX(OFFSET(Weights!$M$25,0,0,500,1),MATCH($B28,OFFSET(Weights!$G$25,0,0,500,1),0)),1)</f>
        <v>1</v>
      </c>
      <c r="I28">
        <f t="shared" ca="1" si="6"/>
        <v>0.5</v>
      </c>
      <c r="J28">
        <v>1</v>
      </c>
      <c r="K28">
        <v>1</v>
      </c>
      <c r="L28">
        <v>1</v>
      </c>
      <c r="M28">
        <v>1</v>
      </c>
      <c r="N28">
        <v>1</v>
      </c>
      <c r="O28">
        <f t="shared" si="4"/>
        <v>1</v>
      </c>
      <c r="P28">
        <f t="shared" si="4"/>
        <v>1</v>
      </c>
      <c r="Q28">
        <f t="shared" si="4"/>
        <v>1</v>
      </c>
      <c r="R28">
        <f t="shared" si="4"/>
        <v>1</v>
      </c>
      <c r="S28">
        <f t="shared" si="4"/>
        <v>1</v>
      </c>
      <c r="U28" cm="1">
        <f t="array" aca="1" ref="U28" ca="1">IF($B28=0,0,IF($E28=0,0,IF($F28=0,0,IF($E28=1,$F28/SUMIF(OFFSET($E$18,0,0,$C$3,$E28),$E28,OFFSET($F$18,0,0,$C$3,$E28)),$G28*INDEX(OFFSET(U$18,0,0,$C$3,1),$Y28)))))</f>
        <v>1.6129032258064516E-2</v>
      </c>
      <c r="V28" cm="1">
        <f t="array" aca="1" ref="V28" ca="1">IF($B28=0,0,IF($E28=0,0,IF($H28=0,0,IF($E28=1,$H28/SUMIF(OFFSET($E$18,0,0,$C$3,$E28),$E28,OFFSET($H$18,0,0,$C$3,$E28)),$I28*INDEX(OFFSET(V$18,0,0,$C$3,1),$Y28)))))</f>
        <v>1.6129032258064516E-2</v>
      </c>
      <c r="X28">
        <v>11</v>
      </c>
      <c r="Y28">
        <f t="shared" ca="1" si="7"/>
        <v>9</v>
      </c>
    </row>
    <row r="29" spans="1:25" x14ac:dyDescent="0.4">
      <c r="B29" cm="1">
        <f t="array" aca="1" ref="B29" ca="1">INDEX(OFFSET(auto_ss_All_Scoring,0,1,500,1),X29)</f>
        <v>12</v>
      </c>
      <c r="C29" t="str" cm="1">
        <f t="array" aca="1" ref="C29" ca="1">IF(B29=0,"",INDEX(auto_Series_Code,B29))</f>
        <v>INDI_004</v>
      </c>
      <c r="D29" t="str" cm="1">
        <f t="array" aca="1" ref="D29" ca="1">IF(B29=0,"",INDEX(auto_Series_ParentCode,B29))</f>
        <v>DOMAIN_001</v>
      </c>
      <c r="E29" cm="1">
        <f t="array" aca="1" ref="E29" ca="1">IF(B29=0,"",INDEX(auto_Series_Depth,B29))</f>
        <v>2</v>
      </c>
      <c r="F29" cm="1">
        <f t="array" aca="1" ref="F29" ca="1">IF(B29=0,0,INDEX($J29:$S29,$C$2))</f>
        <v>1</v>
      </c>
      <c r="G29">
        <f t="shared" ca="1" si="5"/>
        <v>0.2</v>
      </c>
      <c r="H29">
        <f ca="1">IFERROR(INDEX(OFFSET(Weights!$M$25,0,0,500,1),MATCH($B29,OFFSET(Weights!$G$25,0,0,500,1),0)),1)</f>
        <v>1</v>
      </c>
      <c r="I29">
        <f t="shared" ca="1" si="6"/>
        <v>0.2</v>
      </c>
      <c r="J29">
        <v>1</v>
      </c>
      <c r="K29">
        <v>1</v>
      </c>
      <c r="L29">
        <v>1</v>
      </c>
      <c r="M29">
        <v>1</v>
      </c>
      <c r="N29">
        <v>1</v>
      </c>
      <c r="O29">
        <f t="shared" si="4"/>
        <v>1</v>
      </c>
      <c r="P29">
        <f t="shared" si="4"/>
        <v>1</v>
      </c>
      <c r="Q29">
        <f t="shared" si="4"/>
        <v>1</v>
      </c>
      <c r="R29">
        <f t="shared" si="4"/>
        <v>1</v>
      </c>
      <c r="S29">
        <f t="shared" si="4"/>
        <v>1</v>
      </c>
      <c r="U29" cm="1">
        <f t="array" aca="1" ref="U29" ca="1">IF($B29=0,0,IF($E29=0,0,IF($F29=0,0,IF($E29=1,$F29/SUMIF(OFFSET($E$18,0,0,$C$3,$E29),$E29,OFFSET($F$18,0,0,$C$3,$E29)),$G29*INDEX(OFFSET(U$18,0,0,$C$3,1),$Y29)))))</f>
        <v>3.2258064516129031E-2</v>
      </c>
      <c r="V29" cm="1">
        <f t="array" aca="1" ref="V29" ca="1">IF($B29=0,0,IF($E29=0,0,IF($H29=0,0,IF($E29=1,$H29/SUMIF(OFFSET($E$18,0,0,$C$3,$E29),$E29,OFFSET($H$18,0,0,$C$3,$E29)),$I29*INDEX(OFFSET(V$18,0,0,$C$3,1),$Y29)))))</f>
        <v>3.2258064516129031E-2</v>
      </c>
      <c r="X29">
        <v>12</v>
      </c>
      <c r="Y29">
        <f t="shared" ca="1" si="7"/>
        <v>2</v>
      </c>
    </row>
    <row r="30" spans="1:25" x14ac:dyDescent="0.4">
      <c r="B30" cm="1">
        <f t="array" aca="1" ref="B30" ca="1">INDEX(OFFSET(auto_ss_All_Scoring,0,1,500,1),X30)</f>
        <v>13</v>
      </c>
      <c r="C30" t="str" cm="1">
        <f t="array" aca="1" ref="C30" ca="1">IF(B30=0,"",INDEX(auto_Series_Code,B30))</f>
        <v>INDI_005</v>
      </c>
      <c r="D30" t="str" cm="1">
        <f t="array" aca="1" ref="D30" ca="1">IF(B30=0,"",INDEX(auto_Series_ParentCode,B30))</f>
        <v>DOMAIN_001</v>
      </c>
      <c r="E30" cm="1">
        <f t="array" aca="1" ref="E30" ca="1">IF(B30=0,"",INDEX(auto_Series_Depth,B30))</f>
        <v>2</v>
      </c>
      <c r="F30" cm="1">
        <f t="array" aca="1" ref="F30" ca="1">IF(B30=0,0,INDEX($J30:$S30,$C$2))</f>
        <v>1</v>
      </c>
      <c r="G30">
        <f t="shared" ca="1" si="5"/>
        <v>0.2</v>
      </c>
      <c r="H30">
        <f ca="1">IFERROR(INDEX(OFFSET(Weights!$M$25,0,0,500,1),MATCH($B30,OFFSET(Weights!$G$25,0,0,500,1),0)),1)</f>
        <v>1</v>
      </c>
      <c r="I30">
        <f t="shared" ca="1" si="6"/>
        <v>0.2</v>
      </c>
      <c r="J30">
        <v>1</v>
      </c>
      <c r="K30">
        <v>1</v>
      </c>
      <c r="L30">
        <v>1</v>
      </c>
      <c r="M30">
        <v>1</v>
      </c>
      <c r="N30">
        <v>1</v>
      </c>
      <c r="O30">
        <f t="shared" si="4"/>
        <v>1</v>
      </c>
      <c r="P30">
        <f t="shared" si="4"/>
        <v>1</v>
      </c>
      <c r="Q30">
        <f t="shared" si="4"/>
        <v>1</v>
      </c>
      <c r="R30">
        <f t="shared" si="4"/>
        <v>1</v>
      </c>
      <c r="S30">
        <f t="shared" si="4"/>
        <v>1</v>
      </c>
      <c r="U30" cm="1">
        <f t="array" aca="1" ref="U30" ca="1">IF($B30=0,0,IF($E30=0,0,IF($F30=0,0,IF($E30=1,$F30/SUMIF(OFFSET($E$18,0,0,$C$3,$E30),$E30,OFFSET($F$18,0,0,$C$3,$E30)),$G30*INDEX(OFFSET(U$18,0,0,$C$3,1),$Y30)))))</f>
        <v>3.2258064516129031E-2</v>
      </c>
      <c r="V30" cm="1">
        <f t="array" aca="1" ref="V30" ca="1">IF($B30=0,0,IF($E30=0,0,IF($H30=0,0,IF($E30=1,$H30/SUMIF(OFFSET($E$18,0,0,$C$3,$E30),$E30,OFFSET($H$18,0,0,$C$3,$E30)),$I30*INDEX(OFFSET(V$18,0,0,$C$3,1),$Y30)))))</f>
        <v>3.2258064516129031E-2</v>
      </c>
      <c r="X30">
        <v>13</v>
      </c>
      <c r="Y30">
        <f t="shared" ca="1" si="7"/>
        <v>2</v>
      </c>
    </row>
    <row r="31" spans="1:25" x14ac:dyDescent="0.4">
      <c r="B31" cm="1">
        <f t="array" aca="1" ref="B31" ca="1">INDEX(OFFSET(auto_ss_All_Scoring,0,1,500,1),X31)</f>
        <v>14</v>
      </c>
      <c r="C31" t="str" cm="1">
        <f t="array" aca="1" ref="C31" ca="1">IF(B31=0,"",INDEX(auto_Series_Code,B31))</f>
        <v>DOMAIN_002</v>
      </c>
      <c r="D31" t="str" cm="1">
        <f t="array" aca="1" ref="D31" ca="1">IF(B31=0,"",INDEX(auto_Series_ParentCode,B31))</f>
        <v>OVERALL</v>
      </c>
      <c r="E31" cm="1">
        <f t="array" aca="1" ref="E31" ca="1">IF(B31=0,"",INDEX(auto_Series_Depth,B31))</f>
        <v>1</v>
      </c>
      <c r="F31" cm="1">
        <f t="array" aca="1" ref="F31" ca="1">IF(B31=0,0,INDEX($J31:$S31,$C$2))</f>
        <v>5</v>
      </c>
      <c r="G31">
        <f t="shared" ca="1" si="5"/>
        <v>0.16129032258064516</v>
      </c>
      <c r="H31">
        <f ca="1">IFERROR(INDEX(OFFSET(Weights!$M$25,0,0,500,1),MATCH($B31,OFFSET(Weights!$G$25,0,0,500,1),0)),1)</f>
        <v>5</v>
      </c>
      <c r="I31">
        <f t="shared" ca="1" si="6"/>
        <v>0.16129032258064516</v>
      </c>
      <c r="J31">
        <v>5</v>
      </c>
      <c r="K31">
        <v>1</v>
      </c>
      <c r="L31">
        <v>1</v>
      </c>
      <c r="M31">
        <v>1</v>
      </c>
      <c r="N31">
        <v>1</v>
      </c>
      <c r="O31">
        <f t="shared" si="4"/>
        <v>1</v>
      </c>
      <c r="P31">
        <f t="shared" si="4"/>
        <v>1</v>
      </c>
      <c r="Q31">
        <f t="shared" si="4"/>
        <v>1</v>
      </c>
      <c r="R31">
        <f t="shared" si="4"/>
        <v>1</v>
      </c>
      <c r="S31">
        <f t="shared" si="4"/>
        <v>1</v>
      </c>
      <c r="U31" cm="1">
        <f t="array" aca="1" ref="U31" ca="1">IF($B31=0,0,IF($E31=0,0,IF($F31=0,0,IF($E31=1,$F31/SUMIF(OFFSET($E$18,0,0,$C$3,$E31),$E31,OFFSET($F$18,0,0,$C$3,$E31)),$G31*INDEX(OFFSET(U$18,0,0,$C$3,1),$Y31)))))</f>
        <v>0.16129032258064516</v>
      </c>
      <c r="V31" cm="1">
        <f t="array" aca="1" ref="V31" ca="1">IF($B31=0,0,IF($E31=0,0,IF($H31=0,0,IF($E31=1,$H31/SUMIF(OFFSET($E$18,0,0,$C$3,$E31),$E31,OFFSET($H$18,0,0,$C$3,$E31)),$I31*INDEX(OFFSET(V$18,0,0,$C$3,1),$Y31)))))</f>
        <v>0.16129032258064516</v>
      </c>
      <c r="X31">
        <v>14</v>
      </c>
      <c r="Y31">
        <f t="shared" ca="1" si="7"/>
        <v>1</v>
      </c>
    </row>
    <row r="32" spans="1:25" x14ac:dyDescent="0.4">
      <c r="B32" cm="1">
        <f t="array" aca="1" ref="B32" ca="1">INDEX(OFFSET(auto_ss_All_Scoring,0,1,500,1),X32)</f>
        <v>15</v>
      </c>
      <c r="C32" t="str" cm="1">
        <f t="array" aca="1" ref="C32" ca="1">IF(B32=0,"",INDEX(auto_Series_Code,B32))</f>
        <v>INDI_006</v>
      </c>
      <c r="D32" t="str" cm="1">
        <f t="array" aca="1" ref="D32" ca="1">IF(B32=0,"",INDEX(auto_Series_ParentCode,B32))</f>
        <v>DOMAIN_002</v>
      </c>
      <c r="E32" cm="1">
        <f t="array" aca="1" ref="E32" ca="1">IF(B32=0,"",INDEX(auto_Series_Depth,B32))</f>
        <v>2</v>
      </c>
      <c r="F32" cm="1">
        <f t="array" aca="1" ref="F32" ca="1">IF(B32=0,0,INDEX($J32:$S32,$C$2))</f>
        <v>1</v>
      </c>
      <c r="G32">
        <f t="shared" ca="1" si="5"/>
        <v>0.2</v>
      </c>
      <c r="H32">
        <f ca="1">IFERROR(INDEX(OFFSET(Weights!$M$25,0,0,500,1),MATCH($B32,OFFSET(Weights!$G$25,0,0,500,1),0)),1)</f>
        <v>1</v>
      </c>
      <c r="I32">
        <f t="shared" ca="1" si="6"/>
        <v>0.2</v>
      </c>
      <c r="J32">
        <v>1</v>
      </c>
      <c r="K32">
        <v>1</v>
      </c>
      <c r="L32">
        <v>1</v>
      </c>
      <c r="M32">
        <v>1</v>
      </c>
      <c r="N32">
        <v>1</v>
      </c>
      <c r="O32">
        <f t="shared" si="4"/>
        <v>1</v>
      </c>
      <c r="P32">
        <f t="shared" si="4"/>
        <v>1</v>
      </c>
      <c r="Q32">
        <f t="shared" si="4"/>
        <v>1</v>
      </c>
      <c r="R32">
        <f t="shared" si="4"/>
        <v>1</v>
      </c>
      <c r="S32">
        <f t="shared" si="4"/>
        <v>1</v>
      </c>
      <c r="U32" cm="1">
        <f t="array" aca="1" ref="U32" ca="1">IF($B32=0,0,IF($E32=0,0,IF($F32=0,0,IF($E32=1,$F32/SUMIF(OFFSET($E$18,0,0,$C$3,$E32),$E32,OFFSET($F$18,0,0,$C$3,$E32)),$G32*INDEX(OFFSET(U$18,0,0,$C$3,1),$Y32)))))</f>
        <v>3.2258064516129031E-2</v>
      </c>
      <c r="V32" cm="1">
        <f t="array" aca="1" ref="V32" ca="1">IF($B32=0,0,IF($E32=0,0,IF($H32=0,0,IF($E32=1,$H32/SUMIF(OFFSET($E$18,0,0,$C$3,$E32),$E32,OFFSET($H$18,0,0,$C$3,$E32)),$I32*INDEX(OFFSET(V$18,0,0,$C$3,1),$Y32)))))</f>
        <v>3.2258064516129031E-2</v>
      </c>
      <c r="X32">
        <v>15</v>
      </c>
      <c r="Y32">
        <f t="shared" ca="1" si="7"/>
        <v>14</v>
      </c>
    </row>
    <row r="33" spans="2:25" x14ac:dyDescent="0.4">
      <c r="B33" cm="1">
        <f t="array" aca="1" ref="B33" ca="1">INDEX(OFFSET(auto_ss_All_Scoring,0,1,500,1),X33)</f>
        <v>16</v>
      </c>
      <c r="C33" t="str" cm="1">
        <f t="array" aca="1" ref="C33" ca="1">IF(B33=0,"",INDEX(auto_Series_Code,B33))</f>
        <v>INDI_007</v>
      </c>
      <c r="D33" t="str" cm="1">
        <f t="array" aca="1" ref="D33" ca="1">IF(B33=0,"",INDEX(auto_Series_ParentCode,B33))</f>
        <v>DOMAIN_002</v>
      </c>
      <c r="E33" cm="1">
        <f t="array" aca="1" ref="E33" ca="1">IF(B33=0,"",INDEX(auto_Series_Depth,B33))</f>
        <v>2</v>
      </c>
      <c r="F33" cm="1">
        <f t="array" aca="1" ref="F33" ca="1">IF(B33=0,0,INDEX($J33:$S33,$C$2))</f>
        <v>1</v>
      </c>
      <c r="G33">
        <f t="shared" ca="1" si="5"/>
        <v>0.2</v>
      </c>
      <c r="H33">
        <f ca="1">IFERROR(INDEX(OFFSET(Weights!$M$25,0,0,500,1),MATCH($B33,OFFSET(Weights!$G$25,0,0,500,1),0)),1)</f>
        <v>1</v>
      </c>
      <c r="I33">
        <f t="shared" ca="1" si="6"/>
        <v>0.2</v>
      </c>
      <c r="J33">
        <v>1</v>
      </c>
      <c r="K33">
        <v>1</v>
      </c>
      <c r="L33">
        <v>1</v>
      </c>
      <c r="M33">
        <v>1</v>
      </c>
      <c r="N33">
        <v>1</v>
      </c>
      <c r="O33">
        <f t="shared" si="0"/>
        <v>1</v>
      </c>
      <c r="P33">
        <f t="shared" si="0"/>
        <v>1</v>
      </c>
      <c r="Q33">
        <f t="shared" si="0"/>
        <v>1</v>
      </c>
      <c r="R33">
        <f t="shared" si="0"/>
        <v>1</v>
      </c>
      <c r="S33">
        <f t="shared" si="0"/>
        <v>1</v>
      </c>
      <c r="U33" cm="1">
        <f t="array" aca="1" ref="U33" ca="1">IF($B33=0,0,IF($E33=0,0,IF($F33=0,0,IF($E33=1,$F33/SUMIF(OFFSET($E$18,0,0,$C$3,$E33),$E33,OFFSET($F$18,0,0,$C$3,$E33)),$G33*INDEX(OFFSET(U$18,0,0,$C$3,1),$Y33)))))</f>
        <v>3.2258064516129031E-2</v>
      </c>
      <c r="V33" cm="1">
        <f t="array" aca="1" ref="V33" ca="1">IF($B33=0,0,IF($E33=0,0,IF($H33=0,0,IF($E33=1,$H33/SUMIF(OFFSET($E$18,0,0,$C$3,$E33),$E33,OFFSET($H$18,0,0,$C$3,$E33)),$I33*INDEX(OFFSET(V$18,0,0,$C$3,1),$Y33)))))</f>
        <v>3.2258064516129031E-2</v>
      </c>
      <c r="X33">
        <v>16</v>
      </c>
      <c r="Y33">
        <f t="shared" ca="1" si="7"/>
        <v>14</v>
      </c>
    </row>
    <row r="34" spans="2:25" x14ac:dyDescent="0.4">
      <c r="B34" cm="1">
        <f t="array" aca="1" ref="B34" ca="1">INDEX(OFFSET(auto_ss_All_Scoring,0,1,500,1),X34)</f>
        <v>17</v>
      </c>
      <c r="C34" t="str" cm="1">
        <f t="array" aca="1" ref="C34" ca="1">IF(B34=0,"",INDEX(auto_Series_Code,B34))</f>
        <v>INDI_008</v>
      </c>
      <c r="D34" t="str" cm="1">
        <f t="array" aca="1" ref="D34" ca="1">IF(B34=0,"",INDEX(auto_Series_ParentCode,B34))</f>
        <v>DOMAIN_002</v>
      </c>
      <c r="E34" cm="1">
        <f t="array" aca="1" ref="E34" ca="1">IF(B34=0,"",INDEX(auto_Series_Depth,B34))</f>
        <v>2</v>
      </c>
      <c r="F34" cm="1">
        <f t="array" aca="1" ref="F34" ca="1">IF(B34=0,0,INDEX($J34:$S34,$C$2))</f>
        <v>1</v>
      </c>
      <c r="G34">
        <f t="shared" ca="1" si="5"/>
        <v>0.2</v>
      </c>
      <c r="H34">
        <f ca="1">IFERROR(INDEX(OFFSET(Weights!$M$25,0,0,500,1),MATCH($B34,OFFSET(Weights!$G$25,0,0,500,1),0)),1)</f>
        <v>1</v>
      </c>
      <c r="I34">
        <f t="shared" ca="1" si="6"/>
        <v>0.2</v>
      </c>
      <c r="J34">
        <v>1</v>
      </c>
      <c r="K34">
        <v>1</v>
      </c>
      <c r="L34">
        <v>1</v>
      </c>
      <c r="M34">
        <v>1</v>
      </c>
      <c r="N34">
        <v>1</v>
      </c>
      <c r="O34">
        <f t="shared" si="0"/>
        <v>1</v>
      </c>
      <c r="P34">
        <f t="shared" si="0"/>
        <v>1</v>
      </c>
      <c r="Q34">
        <f t="shared" si="0"/>
        <v>1</v>
      </c>
      <c r="R34">
        <f t="shared" si="0"/>
        <v>1</v>
      </c>
      <c r="S34">
        <f t="shared" si="0"/>
        <v>1</v>
      </c>
      <c r="U34" cm="1">
        <f t="array" aca="1" ref="U34" ca="1">IF($B34=0,0,IF($E34=0,0,IF($F34=0,0,IF($E34=1,$F34/SUMIF(OFFSET($E$18,0,0,$C$3,$E34),$E34,OFFSET($F$18,0,0,$C$3,$E34)),$G34*INDEX(OFFSET(U$18,0,0,$C$3,1),$Y34)))))</f>
        <v>3.2258064516129031E-2</v>
      </c>
      <c r="V34" cm="1">
        <f t="array" aca="1" ref="V34" ca="1">IF($B34=0,0,IF($E34=0,0,IF($H34=0,0,IF($E34=1,$H34/SUMIF(OFFSET($E$18,0,0,$C$3,$E34),$E34,OFFSET($H$18,0,0,$C$3,$E34)),$I34*INDEX(OFFSET(V$18,0,0,$C$3,1),$Y34)))))</f>
        <v>3.2258064516129031E-2</v>
      </c>
      <c r="X34">
        <v>17</v>
      </c>
      <c r="Y34">
        <f t="shared" ca="1" si="7"/>
        <v>14</v>
      </c>
    </row>
    <row r="35" spans="2:25" x14ac:dyDescent="0.4">
      <c r="B35" cm="1">
        <f t="array" aca="1" ref="B35" ca="1">INDEX(OFFSET(auto_ss_All_Scoring,0,1,500,1),X35)</f>
        <v>18</v>
      </c>
      <c r="C35" t="str" cm="1">
        <f t="array" aca="1" ref="C35" ca="1">IF(B35=0,"",INDEX(auto_Series_Code,B35))</f>
        <v>INDI_009</v>
      </c>
      <c r="D35" t="str" cm="1">
        <f t="array" aca="1" ref="D35" ca="1">IF(B35=0,"",INDEX(auto_Series_ParentCode,B35))</f>
        <v>DOMAIN_002</v>
      </c>
      <c r="E35" cm="1">
        <f t="array" aca="1" ref="E35" ca="1">IF(B35=0,"",INDEX(auto_Series_Depth,B35))</f>
        <v>2</v>
      </c>
      <c r="F35" cm="1">
        <f t="array" aca="1" ref="F35" ca="1">IF(B35=0,0,INDEX($J35:$S35,$C$2))</f>
        <v>1</v>
      </c>
      <c r="G35">
        <f t="shared" ca="1" si="5"/>
        <v>0.2</v>
      </c>
      <c r="H35">
        <f ca="1">IFERROR(INDEX(OFFSET(Weights!$M$25,0,0,500,1),MATCH($B35,OFFSET(Weights!$G$25,0,0,500,1),0)),1)</f>
        <v>1</v>
      </c>
      <c r="I35">
        <f t="shared" ca="1" si="6"/>
        <v>0.2</v>
      </c>
      <c r="J35">
        <v>1</v>
      </c>
      <c r="K35">
        <v>1</v>
      </c>
      <c r="L35">
        <v>1</v>
      </c>
      <c r="M35">
        <v>1</v>
      </c>
      <c r="N35">
        <v>1</v>
      </c>
      <c r="O35">
        <f t="shared" si="0"/>
        <v>1</v>
      </c>
      <c r="P35">
        <f t="shared" si="0"/>
        <v>1</v>
      </c>
      <c r="Q35">
        <f t="shared" si="0"/>
        <v>1</v>
      </c>
      <c r="R35">
        <f t="shared" si="0"/>
        <v>1</v>
      </c>
      <c r="S35">
        <f t="shared" si="0"/>
        <v>1</v>
      </c>
      <c r="U35" cm="1">
        <f t="array" aca="1" ref="U35" ca="1">IF($B35=0,0,IF($E35=0,0,IF($F35=0,0,IF($E35=1,$F35/SUMIF(OFFSET($E$18,0,0,$C$3,$E35),$E35,OFFSET($F$18,0,0,$C$3,$E35)),$G35*INDEX(OFFSET(U$18,0,0,$C$3,1),$Y35)))))</f>
        <v>3.2258064516129031E-2</v>
      </c>
      <c r="V35" cm="1">
        <f t="array" aca="1" ref="V35" ca="1">IF($B35=0,0,IF($E35=0,0,IF($H35=0,0,IF($E35=1,$H35/SUMIF(OFFSET($E$18,0,0,$C$3,$E35),$E35,OFFSET($H$18,0,0,$C$3,$E35)),$I35*INDEX(OFFSET(V$18,0,0,$C$3,1),$Y35)))))</f>
        <v>3.2258064516129031E-2</v>
      </c>
      <c r="X35">
        <v>18</v>
      </c>
      <c r="Y35">
        <f t="shared" ca="1" si="7"/>
        <v>14</v>
      </c>
    </row>
    <row r="36" spans="2:25" x14ac:dyDescent="0.4">
      <c r="B36" cm="1">
        <f t="array" aca="1" ref="B36" ca="1">INDEX(OFFSET(auto_ss_All_Scoring,0,1,500,1),X36)</f>
        <v>19</v>
      </c>
      <c r="C36" t="str" cm="1">
        <f t="array" aca="1" ref="C36" ca="1">IF(B36=0,"",INDEX(auto_Series_Code,B36))</f>
        <v>SUBINDI_007</v>
      </c>
      <c r="D36" t="str" cm="1">
        <f t="array" aca="1" ref="D36" ca="1">IF(B36=0,"",INDEX(auto_Series_ParentCode,B36))</f>
        <v>INDI_009</v>
      </c>
      <c r="E36" cm="1">
        <f t="array" aca="1" ref="E36" ca="1">IF(B36=0,"",INDEX(auto_Series_Depth,B36))</f>
        <v>3</v>
      </c>
      <c r="F36" cm="1">
        <f t="array" aca="1" ref="F36" ca="1">IF(B36=0,0,INDEX($J36:$S36,$C$2))</f>
        <v>1</v>
      </c>
      <c r="G36">
        <f t="shared" ca="1" si="5"/>
        <v>0.5</v>
      </c>
      <c r="H36">
        <f ca="1">IFERROR(INDEX(OFFSET(Weights!$M$25,0,0,500,1),MATCH($B36,OFFSET(Weights!$G$25,0,0,500,1),0)),1)</f>
        <v>1</v>
      </c>
      <c r="I36">
        <f t="shared" ca="1" si="6"/>
        <v>0.5</v>
      </c>
      <c r="J36">
        <v>1</v>
      </c>
      <c r="K36">
        <v>1</v>
      </c>
      <c r="L36">
        <v>1</v>
      </c>
      <c r="M36">
        <v>1</v>
      </c>
      <c r="N36">
        <v>1</v>
      </c>
      <c r="O36">
        <f t="shared" si="0"/>
        <v>1</v>
      </c>
      <c r="P36">
        <f t="shared" si="0"/>
        <v>1</v>
      </c>
      <c r="Q36">
        <f t="shared" si="0"/>
        <v>1</v>
      </c>
      <c r="R36">
        <f t="shared" si="0"/>
        <v>1</v>
      </c>
      <c r="S36">
        <f t="shared" si="0"/>
        <v>1</v>
      </c>
      <c r="U36" cm="1">
        <f t="array" aca="1" ref="U36" ca="1">IF($B36=0,0,IF($E36=0,0,IF($F36=0,0,IF($E36=1,$F36/SUMIF(OFFSET($E$18,0,0,$C$3,$E36),$E36,OFFSET($F$18,0,0,$C$3,$E36)),$G36*INDEX(OFFSET(U$18,0,0,$C$3,1),$Y36)))))</f>
        <v>1.6129032258064516E-2</v>
      </c>
      <c r="V36" cm="1">
        <f t="array" aca="1" ref="V36" ca="1">IF($B36=0,0,IF($E36=0,0,IF($H36=0,0,IF($E36=1,$H36/SUMIF(OFFSET($E$18,0,0,$C$3,$E36),$E36,OFFSET($H$18,0,0,$C$3,$E36)),$I36*INDEX(OFFSET(V$18,0,0,$C$3,1),$Y36)))))</f>
        <v>1.6129032258064516E-2</v>
      </c>
      <c r="X36">
        <v>19</v>
      </c>
      <c r="Y36">
        <f t="shared" ca="1" si="7"/>
        <v>18</v>
      </c>
    </row>
    <row r="37" spans="2:25" x14ac:dyDescent="0.4">
      <c r="B37" cm="1">
        <f t="array" aca="1" ref="B37" ca="1">INDEX(OFFSET(auto_ss_All_Scoring,0,1,500,1),X37)</f>
        <v>20</v>
      </c>
      <c r="C37" t="str" cm="1">
        <f t="array" aca="1" ref="C37" ca="1">IF(B37=0,"",INDEX(auto_Series_Code,B37))</f>
        <v>SUBINDI_008</v>
      </c>
      <c r="D37" t="str" cm="1">
        <f t="array" aca="1" ref="D37" ca="1">IF(B37=0,"",INDEX(auto_Series_ParentCode,B37))</f>
        <v>INDI_009</v>
      </c>
      <c r="E37" cm="1">
        <f t="array" aca="1" ref="E37" ca="1">IF(B37=0,"",INDEX(auto_Series_Depth,B37))</f>
        <v>3</v>
      </c>
      <c r="F37" cm="1">
        <f t="array" aca="1" ref="F37" ca="1">IF(B37=0,0,INDEX($J37:$S37,$C$2))</f>
        <v>1</v>
      </c>
      <c r="G37">
        <f t="shared" ca="1" si="5"/>
        <v>0.5</v>
      </c>
      <c r="H37">
        <f ca="1">IFERROR(INDEX(OFFSET(Weights!$M$25,0,0,500,1),MATCH($B37,OFFSET(Weights!$G$25,0,0,500,1),0)),1)</f>
        <v>1</v>
      </c>
      <c r="I37">
        <f t="shared" ca="1" si="6"/>
        <v>0.5</v>
      </c>
      <c r="J37">
        <v>1</v>
      </c>
      <c r="K37">
        <v>1</v>
      </c>
      <c r="L37">
        <v>1</v>
      </c>
      <c r="M37">
        <v>1</v>
      </c>
      <c r="N37">
        <v>1</v>
      </c>
      <c r="O37">
        <f t="shared" si="0"/>
        <v>1</v>
      </c>
      <c r="P37">
        <f t="shared" si="0"/>
        <v>1</v>
      </c>
      <c r="Q37">
        <f t="shared" si="0"/>
        <v>1</v>
      </c>
      <c r="R37">
        <f t="shared" si="0"/>
        <v>1</v>
      </c>
      <c r="S37">
        <f t="shared" si="0"/>
        <v>1</v>
      </c>
      <c r="U37" cm="1">
        <f t="array" aca="1" ref="U37" ca="1">IF($B37=0,0,IF($E37=0,0,IF($F37=0,0,IF($E37=1,$F37/SUMIF(OFFSET($E$18,0,0,$C$3,$E37),$E37,OFFSET($F$18,0,0,$C$3,$E37)),$G37*INDEX(OFFSET(U$18,0,0,$C$3,1),$Y37)))))</f>
        <v>1.6129032258064516E-2</v>
      </c>
      <c r="V37" cm="1">
        <f t="array" aca="1" ref="V37" ca="1">IF($B37=0,0,IF($E37=0,0,IF($H37=0,0,IF($E37=1,$H37/SUMIF(OFFSET($E$18,0,0,$C$3,$E37),$E37,OFFSET($H$18,0,0,$C$3,$E37)),$I37*INDEX(OFFSET(V$18,0,0,$C$3,1),$Y37)))))</f>
        <v>1.6129032258064516E-2</v>
      </c>
      <c r="X37">
        <v>20</v>
      </c>
      <c r="Y37">
        <f t="shared" ca="1" si="7"/>
        <v>18</v>
      </c>
    </row>
    <row r="38" spans="2:25" x14ac:dyDescent="0.4">
      <c r="B38" cm="1">
        <f t="array" aca="1" ref="B38" ca="1">INDEX(OFFSET(auto_ss_All_Scoring,0,1,500,1),X38)</f>
        <v>21</v>
      </c>
      <c r="C38" t="str" cm="1">
        <f t="array" aca="1" ref="C38" ca="1">IF(B38=0,"",INDEX(auto_Series_Code,B38))</f>
        <v>INDI_010</v>
      </c>
      <c r="D38" t="str" cm="1">
        <f t="array" aca="1" ref="D38" ca="1">IF(B38=0,"",INDEX(auto_Series_ParentCode,B38))</f>
        <v>DOMAIN_002</v>
      </c>
      <c r="E38" cm="1">
        <f t="array" aca="1" ref="E38" ca="1">IF(B38=0,"",INDEX(auto_Series_Depth,B38))</f>
        <v>2</v>
      </c>
      <c r="F38" cm="1">
        <f t="array" aca="1" ref="F38" ca="1">IF(B38=0,0,INDEX($J38:$S38,$C$2))</f>
        <v>1</v>
      </c>
      <c r="G38">
        <f t="shared" ca="1" si="5"/>
        <v>0.2</v>
      </c>
      <c r="H38">
        <f ca="1">IFERROR(INDEX(OFFSET(Weights!$M$25,0,0,500,1),MATCH($B38,OFFSET(Weights!$G$25,0,0,500,1),0)),1)</f>
        <v>1</v>
      </c>
      <c r="I38">
        <f t="shared" ca="1" si="6"/>
        <v>0.2</v>
      </c>
      <c r="J38">
        <v>1</v>
      </c>
      <c r="K38">
        <v>1</v>
      </c>
      <c r="L38">
        <v>1</v>
      </c>
      <c r="M38">
        <v>1</v>
      </c>
      <c r="N38">
        <v>1</v>
      </c>
      <c r="O38">
        <f t="shared" si="0"/>
        <v>1</v>
      </c>
      <c r="P38">
        <f t="shared" si="0"/>
        <v>1</v>
      </c>
      <c r="Q38">
        <f t="shared" si="0"/>
        <v>1</v>
      </c>
      <c r="R38">
        <f t="shared" si="0"/>
        <v>1</v>
      </c>
      <c r="S38">
        <f t="shared" si="0"/>
        <v>1</v>
      </c>
      <c r="U38" cm="1">
        <f t="array" aca="1" ref="U38" ca="1">IF($B38=0,0,IF($E38=0,0,IF($F38=0,0,IF($E38=1,$F38/SUMIF(OFFSET($E$18,0,0,$C$3,$E38),$E38,OFFSET($F$18,0,0,$C$3,$E38)),$G38*INDEX(OFFSET(U$18,0,0,$C$3,1),$Y38)))))</f>
        <v>3.2258064516129031E-2</v>
      </c>
      <c r="V38" cm="1">
        <f t="array" aca="1" ref="V38" ca="1">IF($B38=0,0,IF($E38=0,0,IF($H38=0,0,IF($E38=1,$H38/SUMIF(OFFSET($E$18,0,0,$C$3,$E38),$E38,OFFSET($H$18,0,0,$C$3,$E38)),$I38*INDEX(OFFSET(V$18,0,0,$C$3,1),$Y38)))))</f>
        <v>3.2258064516129031E-2</v>
      </c>
      <c r="X38">
        <v>21</v>
      </c>
      <c r="Y38">
        <f t="shared" ca="1" si="7"/>
        <v>14</v>
      </c>
    </row>
    <row r="39" spans="2:25" x14ac:dyDescent="0.4">
      <c r="B39" cm="1">
        <f t="array" aca="1" ref="B39" ca="1">INDEX(OFFSET(auto_ss_All_Scoring,0,1,500,1),X39)</f>
        <v>22</v>
      </c>
      <c r="C39" t="str" cm="1">
        <f t="array" aca="1" ref="C39" ca="1">IF(B39=0,"",INDEX(auto_Series_Code,B39))</f>
        <v>DOMAIN_003</v>
      </c>
      <c r="D39" t="str" cm="1">
        <f t="array" aca="1" ref="D39" ca="1">IF(B39=0,"",INDEX(auto_Series_ParentCode,B39))</f>
        <v>OVERALL</v>
      </c>
      <c r="E39" cm="1">
        <f t="array" aca="1" ref="E39" ca="1">IF(B39=0,"",INDEX(auto_Series_Depth,B39))</f>
        <v>1</v>
      </c>
      <c r="F39" cm="1">
        <f t="array" aca="1" ref="F39" ca="1">IF(B39=0,0,INDEX($J39:$S39,$C$2))</f>
        <v>8</v>
      </c>
      <c r="G39">
        <f t="shared" ca="1" si="5"/>
        <v>0.25806451612903225</v>
      </c>
      <c r="H39">
        <f ca="1">IFERROR(INDEX(OFFSET(Weights!$M$25,0,0,500,1),MATCH($B39,OFFSET(Weights!$G$25,0,0,500,1),0)),1)</f>
        <v>8</v>
      </c>
      <c r="I39">
        <f t="shared" ca="1" si="6"/>
        <v>0.25806451612903225</v>
      </c>
      <c r="J39">
        <v>8</v>
      </c>
      <c r="K39">
        <v>1</v>
      </c>
      <c r="L39">
        <v>1</v>
      </c>
      <c r="M39">
        <v>1</v>
      </c>
      <c r="N39">
        <v>1</v>
      </c>
      <c r="O39">
        <f t="shared" si="0"/>
        <v>1</v>
      </c>
      <c r="P39">
        <f t="shared" si="0"/>
        <v>1</v>
      </c>
      <c r="Q39">
        <f t="shared" si="0"/>
        <v>1</v>
      </c>
      <c r="R39">
        <f t="shared" si="0"/>
        <v>1</v>
      </c>
      <c r="S39">
        <f t="shared" si="0"/>
        <v>1</v>
      </c>
      <c r="U39" cm="1">
        <f t="array" aca="1" ref="U39" ca="1">IF($B39=0,0,IF($E39=0,0,IF($F39=0,0,IF($E39=1,$F39/SUMIF(OFFSET($E$18,0,0,$C$3,$E39),$E39,OFFSET($F$18,0,0,$C$3,$E39)),$G39*INDEX(OFFSET(U$18,0,0,$C$3,1),$Y39)))))</f>
        <v>0.25806451612903225</v>
      </c>
      <c r="V39" cm="1">
        <f t="array" aca="1" ref="V39" ca="1">IF($B39=0,0,IF($E39=0,0,IF($H39=0,0,IF($E39=1,$H39/SUMIF(OFFSET($E$18,0,0,$C$3,$E39),$E39,OFFSET($H$18,0,0,$C$3,$E39)),$I39*INDEX(OFFSET(V$18,0,0,$C$3,1),$Y39)))))</f>
        <v>0.25806451612903225</v>
      </c>
      <c r="X39">
        <v>22</v>
      </c>
      <c r="Y39">
        <f t="shared" ca="1" si="7"/>
        <v>1</v>
      </c>
    </row>
    <row r="40" spans="2:25" x14ac:dyDescent="0.4">
      <c r="B40" cm="1">
        <f t="array" aca="1" ref="B40" ca="1">INDEX(OFFSET(auto_ss_All_Scoring,0,1,500,1),X40)</f>
        <v>23</v>
      </c>
      <c r="C40" t="str" cm="1">
        <f t="array" aca="1" ref="C40" ca="1">IF(B40=0,"",INDEX(auto_Series_Code,B40))</f>
        <v>INDI_011</v>
      </c>
      <c r="D40" t="str" cm="1">
        <f t="array" aca="1" ref="D40" ca="1">IF(B40=0,"",INDEX(auto_Series_ParentCode,B40))</f>
        <v>DOMAIN_003</v>
      </c>
      <c r="E40" cm="1">
        <f t="array" aca="1" ref="E40" ca="1">IF(B40=0,"",INDEX(auto_Series_Depth,B40))</f>
        <v>2</v>
      </c>
      <c r="F40" cm="1">
        <f t="array" aca="1" ref="F40" ca="1">IF(B40=0,0,INDEX($J40:$S40,$C$2))</f>
        <v>1</v>
      </c>
      <c r="G40">
        <f t="shared" ca="1" si="5"/>
        <v>0.125</v>
      </c>
      <c r="H40">
        <f ca="1">IFERROR(INDEX(OFFSET(Weights!$M$25,0,0,500,1),MATCH($B40,OFFSET(Weights!$G$25,0,0,500,1),0)),1)</f>
        <v>1</v>
      </c>
      <c r="I40">
        <f t="shared" ca="1" si="6"/>
        <v>0.125</v>
      </c>
      <c r="J40">
        <v>1</v>
      </c>
      <c r="K40">
        <v>1</v>
      </c>
      <c r="L40">
        <v>1</v>
      </c>
      <c r="M40">
        <v>1</v>
      </c>
      <c r="N40">
        <v>1</v>
      </c>
      <c r="O40">
        <f t="shared" si="0"/>
        <v>1</v>
      </c>
      <c r="P40">
        <f t="shared" si="0"/>
        <v>1</v>
      </c>
      <c r="Q40">
        <f t="shared" si="0"/>
        <v>1</v>
      </c>
      <c r="R40">
        <f t="shared" si="0"/>
        <v>1</v>
      </c>
      <c r="S40">
        <f t="shared" si="0"/>
        <v>1</v>
      </c>
      <c r="U40" cm="1">
        <f t="array" aca="1" ref="U40" ca="1">IF($B40=0,0,IF($E40=0,0,IF($F40=0,0,IF($E40=1,$F40/SUMIF(OFFSET($E$18,0,0,$C$3,$E40),$E40,OFFSET($F$18,0,0,$C$3,$E40)),$G40*INDEX(OFFSET(U$18,0,0,$C$3,1),$Y40)))))</f>
        <v>3.2258064516129031E-2</v>
      </c>
      <c r="V40" cm="1">
        <f t="array" aca="1" ref="V40" ca="1">IF($B40=0,0,IF($E40=0,0,IF($H40=0,0,IF($E40=1,$H40/SUMIF(OFFSET($E$18,0,0,$C$3,$E40),$E40,OFFSET($H$18,0,0,$C$3,$E40)),$I40*INDEX(OFFSET(V$18,0,0,$C$3,1),$Y40)))))</f>
        <v>3.2258064516129031E-2</v>
      </c>
      <c r="X40">
        <v>23</v>
      </c>
      <c r="Y40">
        <f t="shared" ca="1" si="7"/>
        <v>22</v>
      </c>
    </row>
    <row r="41" spans="2:25" x14ac:dyDescent="0.4">
      <c r="B41" cm="1">
        <f t="array" aca="1" ref="B41" ca="1">INDEX(OFFSET(auto_ss_All_Scoring,0,1,500,1),X41)</f>
        <v>24</v>
      </c>
      <c r="C41" t="str" cm="1">
        <f t="array" aca="1" ref="C41" ca="1">IF(B41=0,"",INDEX(auto_Series_Code,B41))</f>
        <v>SUBINDI_009</v>
      </c>
      <c r="D41" t="str" cm="1">
        <f t="array" aca="1" ref="D41" ca="1">IF(B41=0,"",INDEX(auto_Series_ParentCode,B41))</f>
        <v>INDI_011</v>
      </c>
      <c r="E41" cm="1">
        <f t="array" aca="1" ref="E41" ca="1">IF(B41=0,"",INDEX(auto_Series_Depth,B41))</f>
        <v>3</v>
      </c>
      <c r="F41" cm="1">
        <f t="array" aca="1" ref="F41" ca="1">IF(B41=0,0,INDEX($J41:$S41,$C$2))</f>
        <v>1</v>
      </c>
      <c r="G41">
        <f t="shared" ca="1" si="5"/>
        <v>0.5</v>
      </c>
      <c r="H41">
        <f ca="1">IFERROR(INDEX(OFFSET(Weights!$M$25,0,0,500,1),MATCH($B41,OFFSET(Weights!$G$25,0,0,500,1),0)),1)</f>
        <v>1</v>
      </c>
      <c r="I41">
        <f t="shared" ca="1" si="6"/>
        <v>0.5</v>
      </c>
      <c r="J41">
        <v>1</v>
      </c>
      <c r="K41">
        <v>1</v>
      </c>
      <c r="L41">
        <v>1</v>
      </c>
      <c r="M41">
        <v>1</v>
      </c>
      <c r="N41">
        <v>1</v>
      </c>
      <c r="O41">
        <f t="shared" si="0"/>
        <v>1</v>
      </c>
      <c r="P41">
        <f t="shared" si="0"/>
        <v>1</v>
      </c>
      <c r="Q41">
        <f t="shared" si="0"/>
        <v>1</v>
      </c>
      <c r="R41">
        <f t="shared" si="0"/>
        <v>1</v>
      </c>
      <c r="S41">
        <f t="shared" si="0"/>
        <v>1</v>
      </c>
      <c r="U41" cm="1">
        <f t="array" aca="1" ref="U41" ca="1">IF($B41=0,0,IF($E41=0,0,IF($F41=0,0,IF($E41=1,$F41/SUMIF(OFFSET($E$18,0,0,$C$3,$E41),$E41,OFFSET($F$18,0,0,$C$3,$E41)),$G41*INDEX(OFFSET(U$18,0,0,$C$3,1),$Y41)))))</f>
        <v>1.6129032258064516E-2</v>
      </c>
      <c r="V41" cm="1">
        <f t="array" aca="1" ref="V41" ca="1">IF($B41=0,0,IF($E41=0,0,IF($H41=0,0,IF($E41=1,$H41/SUMIF(OFFSET($E$18,0,0,$C$3,$E41),$E41,OFFSET($H$18,0,0,$C$3,$E41)),$I41*INDEX(OFFSET(V$18,0,0,$C$3,1),$Y41)))))</f>
        <v>1.6129032258064516E-2</v>
      </c>
      <c r="X41">
        <v>24</v>
      </c>
      <c r="Y41">
        <f t="shared" ca="1" si="7"/>
        <v>23</v>
      </c>
    </row>
    <row r="42" spans="2:25" x14ac:dyDescent="0.4">
      <c r="B42" cm="1">
        <f t="array" aca="1" ref="B42" ca="1">INDEX(OFFSET(auto_ss_All_Scoring,0,1,500,1),X42)</f>
        <v>25</v>
      </c>
      <c r="C42" t="str" cm="1">
        <f t="array" aca="1" ref="C42" ca="1">IF(B42=0,"",INDEX(auto_Series_Code,B42))</f>
        <v>SUBINDI_010</v>
      </c>
      <c r="D42" t="str" cm="1">
        <f t="array" aca="1" ref="D42" ca="1">IF(B42=0,"",INDEX(auto_Series_ParentCode,B42))</f>
        <v>INDI_011</v>
      </c>
      <c r="E42" cm="1">
        <f t="array" aca="1" ref="E42" ca="1">IF(B42=0,"",INDEX(auto_Series_Depth,B42))</f>
        <v>3</v>
      </c>
      <c r="F42" cm="1">
        <f t="array" aca="1" ref="F42" ca="1">IF(B42=0,0,INDEX($J42:$S42,$C$2))</f>
        <v>1</v>
      </c>
      <c r="G42">
        <f t="shared" ca="1" si="5"/>
        <v>0.5</v>
      </c>
      <c r="H42">
        <f ca="1">IFERROR(INDEX(OFFSET(Weights!$M$25,0,0,500,1),MATCH($B42,OFFSET(Weights!$G$25,0,0,500,1),0)),1)</f>
        <v>1</v>
      </c>
      <c r="I42">
        <f t="shared" ca="1" si="6"/>
        <v>0.5</v>
      </c>
      <c r="J42">
        <v>1</v>
      </c>
      <c r="K42">
        <v>1</v>
      </c>
      <c r="L42">
        <v>1</v>
      </c>
      <c r="M42">
        <v>1</v>
      </c>
      <c r="N42">
        <v>1</v>
      </c>
      <c r="O42">
        <f t="shared" si="0"/>
        <v>1</v>
      </c>
      <c r="P42">
        <f t="shared" si="0"/>
        <v>1</v>
      </c>
      <c r="Q42">
        <f t="shared" si="0"/>
        <v>1</v>
      </c>
      <c r="R42">
        <f t="shared" si="0"/>
        <v>1</v>
      </c>
      <c r="S42">
        <f t="shared" si="0"/>
        <v>1</v>
      </c>
      <c r="U42" cm="1">
        <f t="array" aca="1" ref="U42" ca="1">IF($B42=0,0,IF($E42=0,0,IF($F42=0,0,IF($E42=1,$F42/SUMIF(OFFSET($E$18,0,0,$C$3,$E42),$E42,OFFSET($F$18,0,0,$C$3,$E42)),$G42*INDEX(OFFSET(U$18,0,0,$C$3,1),$Y42)))))</f>
        <v>1.6129032258064516E-2</v>
      </c>
      <c r="V42" cm="1">
        <f t="array" aca="1" ref="V42" ca="1">IF($B42=0,0,IF($E42=0,0,IF($H42=0,0,IF($E42=1,$H42/SUMIF(OFFSET($E$18,0,0,$C$3,$E42),$E42,OFFSET($H$18,0,0,$C$3,$E42)),$I42*INDEX(OFFSET(V$18,0,0,$C$3,1),$Y42)))))</f>
        <v>1.6129032258064516E-2</v>
      </c>
      <c r="X42">
        <v>25</v>
      </c>
      <c r="Y42">
        <f t="shared" ca="1" si="7"/>
        <v>23</v>
      </c>
    </row>
    <row r="43" spans="2:25" x14ac:dyDescent="0.4">
      <c r="B43" cm="1">
        <f t="array" aca="1" ref="B43" ca="1">INDEX(OFFSET(auto_ss_All_Scoring,0,1,500,1),X43)</f>
        <v>26</v>
      </c>
      <c r="C43" t="str" cm="1">
        <f t="array" aca="1" ref="C43" ca="1">IF(B43=0,"",INDEX(auto_Series_Code,B43))</f>
        <v>INDI_012</v>
      </c>
      <c r="D43" t="str" cm="1">
        <f t="array" aca="1" ref="D43" ca="1">IF(B43=0,"",INDEX(auto_Series_ParentCode,B43))</f>
        <v>DOMAIN_003</v>
      </c>
      <c r="E43" cm="1">
        <f t="array" aca="1" ref="E43" ca="1">IF(B43=0,"",INDEX(auto_Series_Depth,B43))</f>
        <v>2</v>
      </c>
      <c r="F43" cm="1">
        <f t="array" aca="1" ref="F43" ca="1">IF(B43=0,0,INDEX($J43:$S43,$C$2))</f>
        <v>1</v>
      </c>
      <c r="G43">
        <f t="shared" ca="1" si="5"/>
        <v>0.125</v>
      </c>
      <c r="H43">
        <f ca="1">IFERROR(INDEX(OFFSET(Weights!$M$25,0,0,500,1),MATCH($B43,OFFSET(Weights!$G$25,0,0,500,1),0)),1)</f>
        <v>1</v>
      </c>
      <c r="I43">
        <f t="shared" ca="1" si="6"/>
        <v>0.125</v>
      </c>
      <c r="J43">
        <v>1</v>
      </c>
      <c r="K43">
        <v>1</v>
      </c>
      <c r="L43">
        <v>1</v>
      </c>
      <c r="M43">
        <v>1</v>
      </c>
      <c r="N43">
        <v>1</v>
      </c>
      <c r="O43">
        <f t="shared" si="0"/>
        <v>1</v>
      </c>
      <c r="P43">
        <f t="shared" si="0"/>
        <v>1</v>
      </c>
      <c r="Q43">
        <f t="shared" si="0"/>
        <v>1</v>
      </c>
      <c r="R43">
        <f t="shared" si="0"/>
        <v>1</v>
      </c>
      <c r="S43">
        <f t="shared" si="0"/>
        <v>1</v>
      </c>
      <c r="U43" cm="1">
        <f t="array" aca="1" ref="U43" ca="1">IF($B43=0,0,IF($E43=0,0,IF($F43=0,0,IF($E43=1,$F43/SUMIF(OFFSET($E$18,0,0,$C$3,$E43),$E43,OFFSET($F$18,0,0,$C$3,$E43)),$G43*INDEX(OFFSET(U$18,0,0,$C$3,1),$Y43)))))</f>
        <v>3.2258064516129031E-2</v>
      </c>
      <c r="V43" cm="1">
        <f t="array" aca="1" ref="V43" ca="1">IF($B43=0,0,IF($E43=0,0,IF($H43=0,0,IF($E43=1,$H43/SUMIF(OFFSET($E$18,0,0,$C$3,$E43),$E43,OFFSET($H$18,0,0,$C$3,$E43)),$I43*INDEX(OFFSET(V$18,0,0,$C$3,1),$Y43)))))</f>
        <v>3.2258064516129031E-2</v>
      </c>
      <c r="X43">
        <v>26</v>
      </c>
      <c r="Y43">
        <f t="shared" ca="1" si="7"/>
        <v>22</v>
      </c>
    </row>
    <row r="44" spans="2:25" x14ac:dyDescent="0.4">
      <c r="B44" cm="1">
        <f t="array" aca="1" ref="B44" ca="1">INDEX(OFFSET(auto_ss_All_Scoring,0,1,500,1),X44)</f>
        <v>27</v>
      </c>
      <c r="C44" t="str" cm="1">
        <f t="array" aca="1" ref="C44" ca="1">IF(B44=0,"",INDEX(auto_Series_Code,B44))</f>
        <v>SUBINDI_011</v>
      </c>
      <c r="D44" t="str" cm="1">
        <f t="array" aca="1" ref="D44" ca="1">IF(B44=0,"",INDEX(auto_Series_ParentCode,B44))</f>
        <v>INDI_012</v>
      </c>
      <c r="E44" cm="1">
        <f t="array" aca="1" ref="E44" ca="1">IF(B44=0,"",INDEX(auto_Series_Depth,B44))</f>
        <v>3</v>
      </c>
      <c r="F44" cm="1">
        <f t="array" aca="1" ref="F44" ca="1">IF(B44=0,0,INDEX($J44:$S44,$C$2))</f>
        <v>1</v>
      </c>
      <c r="G44">
        <f t="shared" ca="1" si="5"/>
        <v>0.5</v>
      </c>
      <c r="H44">
        <f ca="1">IFERROR(INDEX(OFFSET(Weights!$M$25,0,0,500,1),MATCH($B44,OFFSET(Weights!$G$25,0,0,500,1),0)),1)</f>
        <v>1</v>
      </c>
      <c r="I44">
        <f t="shared" ca="1" si="6"/>
        <v>0.5</v>
      </c>
      <c r="J44">
        <v>1</v>
      </c>
      <c r="K44">
        <v>1</v>
      </c>
      <c r="L44">
        <v>1</v>
      </c>
      <c r="M44">
        <v>1</v>
      </c>
      <c r="N44">
        <v>1</v>
      </c>
      <c r="O44">
        <f t="shared" si="0"/>
        <v>1</v>
      </c>
      <c r="P44">
        <f t="shared" si="0"/>
        <v>1</v>
      </c>
      <c r="Q44">
        <f t="shared" si="0"/>
        <v>1</v>
      </c>
      <c r="R44">
        <f t="shared" si="0"/>
        <v>1</v>
      </c>
      <c r="S44">
        <f t="shared" si="0"/>
        <v>1</v>
      </c>
      <c r="U44" cm="1">
        <f t="array" aca="1" ref="U44" ca="1">IF($B44=0,0,IF($E44=0,0,IF($F44=0,0,IF($E44=1,$F44/SUMIF(OFFSET($E$18,0,0,$C$3,$E44),$E44,OFFSET($F$18,0,0,$C$3,$E44)),$G44*INDEX(OFFSET(U$18,0,0,$C$3,1),$Y44)))))</f>
        <v>1.6129032258064516E-2</v>
      </c>
      <c r="V44" cm="1">
        <f t="array" aca="1" ref="V44" ca="1">IF($B44=0,0,IF($E44=0,0,IF($H44=0,0,IF($E44=1,$H44/SUMIF(OFFSET($E$18,0,0,$C$3,$E44),$E44,OFFSET($H$18,0,0,$C$3,$E44)),$I44*INDEX(OFFSET(V$18,0,0,$C$3,1),$Y44)))))</f>
        <v>1.6129032258064516E-2</v>
      </c>
      <c r="X44">
        <v>27</v>
      </c>
      <c r="Y44">
        <f t="shared" ca="1" si="7"/>
        <v>26</v>
      </c>
    </row>
    <row r="45" spans="2:25" x14ac:dyDescent="0.4">
      <c r="B45" cm="1">
        <f t="array" aca="1" ref="B45" ca="1">INDEX(OFFSET(auto_ss_All_Scoring,0,1,500,1),X45)</f>
        <v>28</v>
      </c>
      <c r="C45" t="str" cm="1">
        <f t="array" aca="1" ref="C45" ca="1">IF(B45=0,"",INDEX(auto_Series_Code,B45))</f>
        <v>SUBINDI_012</v>
      </c>
      <c r="D45" t="str" cm="1">
        <f t="array" aca="1" ref="D45" ca="1">IF(B45=0,"",INDEX(auto_Series_ParentCode,B45))</f>
        <v>INDI_012</v>
      </c>
      <c r="E45" cm="1">
        <f t="array" aca="1" ref="E45" ca="1">IF(B45=0,"",INDEX(auto_Series_Depth,B45))</f>
        <v>3</v>
      </c>
      <c r="F45" cm="1">
        <f t="array" aca="1" ref="F45" ca="1">IF(B45=0,0,INDEX($J45:$S45,$C$2))</f>
        <v>1</v>
      </c>
      <c r="G45">
        <f t="shared" ca="1" si="5"/>
        <v>0.5</v>
      </c>
      <c r="H45">
        <f ca="1">IFERROR(INDEX(OFFSET(Weights!$M$25,0,0,500,1),MATCH($B45,OFFSET(Weights!$G$25,0,0,500,1),0)),1)</f>
        <v>1</v>
      </c>
      <c r="I45">
        <f t="shared" ca="1" si="6"/>
        <v>0.5</v>
      </c>
      <c r="J45">
        <v>1</v>
      </c>
      <c r="K45">
        <v>1</v>
      </c>
      <c r="L45">
        <v>1</v>
      </c>
      <c r="M45">
        <v>1</v>
      </c>
      <c r="N45">
        <v>1</v>
      </c>
      <c r="O45">
        <f t="shared" si="0"/>
        <v>1</v>
      </c>
      <c r="P45">
        <f t="shared" si="0"/>
        <v>1</v>
      </c>
      <c r="Q45">
        <f t="shared" si="0"/>
        <v>1</v>
      </c>
      <c r="R45">
        <f t="shared" si="0"/>
        <v>1</v>
      </c>
      <c r="S45">
        <f t="shared" si="0"/>
        <v>1</v>
      </c>
      <c r="U45" cm="1">
        <f t="array" aca="1" ref="U45" ca="1">IF($B45=0,0,IF($E45=0,0,IF($F45=0,0,IF($E45=1,$F45/SUMIF(OFFSET($E$18,0,0,$C$3,$E45),$E45,OFFSET($F$18,0,0,$C$3,$E45)),$G45*INDEX(OFFSET(U$18,0,0,$C$3,1),$Y45)))))</f>
        <v>1.6129032258064516E-2</v>
      </c>
      <c r="V45" cm="1">
        <f t="array" aca="1" ref="V45" ca="1">IF($B45=0,0,IF($E45=0,0,IF($H45=0,0,IF($E45=1,$H45/SUMIF(OFFSET($E$18,0,0,$C$3,$E45),$E45,OFFSET($H$18,0,0,$C$3,$E45)),$I45*INDEX(OFFSET(V$18,0,0,$C$3,1),$Y45)))))</f>
        <v>1.6129032258064516E-2</v>
      </c>
      <c r="X45">
        <v>28</v>
      </c>
      <c r="Y45">
        <f t="shared" ca="1" si="7"/>
        <v>26</v>
      </c>
    </row>
    <row r="46" spans="2:25" x14ac:dyDescent="0.4">
      <c r="B46" cm="1">
        <f t="array" aca="1" ref="B46" ca="1">INDEX(OFFSET(auto_ss_All_Scoring,0,1,500,1),X46)</f>
        <v>29</v>
      </c>
      <c r="C46" t="str" cm="1">
        <f t="array" aca="1" ref="C46" ca="1">IF(B46=0,"",INDEX(auto_Series_Code,B46))</f>
        <v>INDI_013</v>
      </c>
      <c r="D46" t="str" cm="1">
        <f t="array" aca="1" ref="D46" ca="1">IF(B46=0,"",INDEX(auto_Series_ParentCode,B46))</f>
        <v>DOMAIN_003</v>
      </c>
      <c r="E46" cm="1">
        <f t="array" aca="1" ref="E46" ca="1">IF(B46=0,"",INDEX(auto_Series_Depth,B46))</f>
        <v>2</v>
      </c>
      <c r="F46" cm="1">
        <f t="array" aca="1" ref="F46" ca="1">IF(B46=0,0,INDEX($J46:$S46,$C$2))</f>
        <v>1</v>
      </c>
      <c r="G46">
        <f t="shared" ca="1" si="5"/>
        <v>0.125</v>
      </c>
      <c r="H46">
        <f ca="1">IFERROR(INDEX(OFFSET(Weights!$M$25,0,0,500,1),MATCH($B46,OFFSET(Weights!$G$25,0,0,500,1),0)),1)</f>
        <v>1</v>
      </c>
      <c r="I46">
        <f t="shared" ca="1" si="6"/>
        <v>0.125</v>
      </c>
      <c r="J46">
        <v>1</v>
      </c>
      <c r="K46">
        <v>1</v>
      </c>
      <c r="L46">
        <v>1</v>
      </c>
      <c r="M46">
        <v>1</v>
      </c>
      <c r="N46">
        <v>1</v>
      </c>
      <c r="O46">
        <f t="shared" si="0"/>
        <v>1</v>
      </c>
      <c r="P46">
        <f t="shared" si="0"/>
        <v>1</v>
      </c>
      <c r="Q46">
        <f t="shared" si="0"/>
        <v>1</v>
      </c>
      <c r="R46">
        <f t="shared" si="0"/>
        <v>1</v>
      </c>
      <c r="S46">
        <f t="shared" si="0"/>
        <v>1</v>
      </c>
      <c r="U46" cm="1">
        <f t="array" aca="1" ref="U46" ca="1">IF($B46=0,0,IF($E46=0,0,IF($F46=0,0,IF($E46=1,$F46/SUMIF(OFFSET($E$18,0,0,$C$3,$E46),$E46,OFFSET($F$18,0,0,$C$3,$E46)),$G46*INDEX(OFFSET(U$18,0,0,$C$3,1),$Y46)))))</f>
        <v>3.2258064516129031E-2</v>
      </c>
      <c r="V46" cm="1">
        <f t="array" aca="1" ref="V46" ca="1">IF($B46=0,0,IF($E46=0,0,IF($H46=0,0,IF($E46=1,$H46/SUMIF(OFFSET($E$18,0,0,$C$3,$E46),$E46,OFFSET($H$18,0,0,$C$3,$E46)),$I46*INDEX(OFFSET(V$18,0,0,$C$3,1),$Y46)))))</f>
        <v>3.2258064516129031E-2</v>
      </c>
      <c r="X46">
        <v>29</v>
      </c>
      <c r="Y46">
        <f t="shared" ca="1" si="7"/>
        <v>22</v>
      </c>
    </row>
    <row r="47" spans="2:25" x14ac:dyDescent="0.4">
      <c r="B47" cm="1">
        <f t="array" aca="1" ref="B47" ca="1">INDEX(OFFSET(auto_ss_All_Scoring,0,1,500,1),X47)</f>
        <v>30</v>
      </c>
      <c r="C47" t="str" cm="1">
        <f t="array" aca="1" ref="C47" ca="1">IF(B47=0,"",INDEX(auto_Series_Code,B47))</f>
        <v>SUBINDI_013</v>
      </c>
      <c r="D47" t="str" cm="1">
        <f t="array" aca="1" ref="D47" ca="1">IF(B47=0,"",INDEX(auto_Series_ParentCode,B47))</f>
        <v>INDI_013</v>
      </c>
      <c r="E47" cm="1">
        <f t="array" aca="1" ref="E47" ca="1">IF(B47=0,"",INDEX(auto_Series_Depth,B47))</f>
        <v>3</v>
      </c>
      <c r="F47" cm="1">
        <f t="array" aca="1" ref="F47" ca="1">IF(B47=0,0,INDEX($J47:$S47,$C$2))</f>
        <v>1</v>
      </c>
      <c r="G47">
        <f t="shared" ca="1" si="5"/>
        <v>0.5</v>
      </c>
      <c r="H47">
        <f ca="1">IFERROR(INDEX(OFFSET(Weights!$M$25,0,0,500,1),MATCH($B47,OFFSET(Weights!$G$25,0,0,500,1),0)),1)</f>
        <v>1</v>
      </c>
      <c r="I47">
        <f t="shared" ca="1" si="6"/>
        <v>0.5</v>
      </c>
      <c r="J47">
        <v>1</v>
      </c>
      <c r="K47">
        <v>1</v>
      </c>
      <c r="L47">
        <v>1</v>
      </c>
      <c r="M47">
        <v>1</v>
      </c>
      <c r="N47">
        <v>1</v>
      </c>
      <c r="O47">
        <f t="shared" si="0"/>
        <v>1</v>
      </c>
      <c r="P47">
        <f t="shared" si="0"/>
        <v>1</v>
      </c>
      <c r="Q47">
        <f t="shared" si="0"/>
        <v>1</v>
      </c>
      <c r="R47">
        <f t="shared" si="0"/>
        <v>1</v>
      </c>
      <c r="S47">
        <f t="shared" si="0"/>
        <v>1</v>
      </c>
      <c r="U47" cm="1">
        <f t="array" aca="1" ref="U47" ca="1">IF($B47=0,0,IF($E47=0,0,IF($F47=0,0,IF($E47=1,$F47/SUMIF(OFFSET($E$18,0,0,$C$3,$E47),$E47,OFFSET($F$18,0,0,$C$3,$E47)),$G47*INDEX(OFFSET(U$18,0,0,$C$3,1),$Y47)))))</f>
        <v>1.6129032258064516E-2</v>
      </c>
      <c r="V47" cm="1">
        <f t="array" aca="1" ref="V47" ca="1">IF($B47=0,0,IF($E47=0,0,IF($H47=0,0,IF($E47=1,$H47/SUMIF(OFFSET($E$18,0,0,$C$3,$E47),$E47,OFFSET($H$18,0,0,$C$3,$E47)),$I47*INDEX(OFFSET(V$18,0,0,$C$3,1),$Y47)))))</f>
        <v>1.6129032258064516E-2</v>
      </c>
      <c r="X47">
        <v>30</v>
      </c>
      <c r="Y47">
        <f t="shared" ca="1" si="7"/>
        <v>29</v>
      </c>
    </row>
    <row r="48" spans="2:25" x14ac:dyDescent="0.4">
      <c r="B48" cm="1">
        <f t="array" aca="1" ref="B48" ca="1">INDEX(OFFSET(auto_ss_All_Scoring,0,1,500,1),X48)</f>
        <v>31</v>
      </c>
      <c r="C48" t="str" cm="1">
        <f t="array" aca="1" ref="C48" ca="1">IF(B48=0,"",INDEX(auto_Series_Code,B48))</f>
        <v>SUBINDI_014</v>
      </c>
      <c r="D48" t="str" cm="1">
        <f t="array" aca="1" ref="D48" ca="1">IF(B48=0,"",INDEX(auto_Series_ParentCode,B48))</f>
        <v>INDI_013</v>
      </c>
      <c r="E48" cm="1">
        <f t="array" aca="1" ref="E48" ca="1">IF(B48=0,"",INDEX(auto_Series_Depth,B48))</f>
        <v>3</v>
      </c>
      <c r="F48" cm="1">
        <f t="array" aca="1" ref="F48" ca="1">IF(B48=0,0,INDEX($J48:$S48,$C$2))</f>
        <v>1</v>
      </c>
      <c r="G48">
        <f t="shared" ca="1" si="5"/>
        <v>0.5</v>
      </c>
      <c r="H48">
        <f ca="1">IFERROR(INDEX(OFFSET(Weights!$M$25,0,0,500,1),MATCH($B48,OFFSET(Weights!$G$25,0,0,500,1),0)),1)</f>
        <v>1</v>
      </c>
      <c r="I48">
        <f t="shared" ca="1" si="6"/>
        <v>0.5</v>
      </c>
      <c r="J48">
        <v>1</v>
      </c>
      <c r="K48">
        <v>1</v>
      </c>
      <c r="L48">
        <v>1</v>
      </c>
      <c r="M48">
        <v>1</v>
      </c>
      <c r="N48">
        <v>1</v>
      </c>
      <c r="O48">
        <f t="shared" si="0"/>
        <v>1</v>
      </c>
      <c r="P48">
        <f t="shared" si="0"/>
        <v>1</v>
      </c>
      <c r="Q48">
        <f t="shared" si="0"/>
        <v>1</v>
      </c>
      <c r="R48">
        <f t="shared" si="0"/>
        <v>1</v>
      </c>
      <c r="S48">
        <f t="shared" si="0"/>
        <v>1</v>
      </c>
      <c r="U48" cm="1">
        <f t="array" aca="1" ref="U48" ca="1">IF($B48=0,0,IF($E48=0,0,IF($F48=0,0,IF($E48=1,$F48/SUMIF(OFFSET($E$18,0,0,$C$3,$E48),$E48,OFFSET($F$18,0,0,$C$3,$E48)),$G48*INDEX(OFFSET(U$18,0,0,$C$3,1),$Y48)))))</f>
        <v>1.6129032258064516E-2</v>
      </c>
      <c r="V48" cm="1">
        <f t="array" aca="1" ref="V48" ca="1">IF($B48=0,0,IF($E48=0,0,IF($H48=0,0,IF($E48=1,$H48/SUMIF(OFFSET($E$18,0,0,$C$3,$E48),$E48,OFFSET($H$18,0,0,$C$3,$E48)),$I48*INDEX(OFFSET(V$18,0,0,$C$3,1),$Y48)))))</f>
        <v>1.6129032258064516E-2</v>
      </c>
      <c r="X48">
        <v>31</v>
      </c>
      <c r="Y48">
        <f t="shared" ca="1" si="7"/>
        <v>29</v>
      </c>
    </row>
    <row r="49" spans="2:25" x14ac:dyDescent="0.4">
      <c r="B49" cm="1">
        <f t="array" aca="1" ref="B49" ca="1">INDEX(OFFSET(auto_ss_All_Scoring,0,1,500,1),X49)</f>
        <v>32</v>
      </c>
      <c r="C49" t="str" cm="1">
        <f t="array" aca="1" ref="C49" ca="1">IF(B49=0,"",INDEX(auto_Series_Code,B49))</f>
        <v>INDI_014</v>
      </c>
      <c r="D49" t="str" cm="1">
        <f t="array" aca="1" ref="D49" ca="1">IF(B49=0,"",INDEX(auto_Series_ParentCode,B49))</f>
        <v>DOMAIN_003</v>
      </c>
      <c r="E49" cm="1">
        <f t="array" aca="1" ref="E49" ca="1">IF(B49=0,"",INDEX(auto_Series_Depth,B49))</f>
        <v>2</v>
      </c>
      <c r="F49" cm="1">
        <f t="array" aca="1" ref="F49" ca="1">IF(B49=0,0,INDEX($J49:$S49,$C$2))</f>
        <v>1</v>
      </c>
      <c r="G49">
        <f t="shared" ca="1" si="5"/>
        <v>0.125</v>
      </c>
      <c r="H49">
        <f ca="1">IFERROR(INDEX(OFFSET(Weights!$M$25,0,0,500,1),MATCH($B49,OFFSET(Weights!$G$25,0,0,500,1),0)),1)</f>
        <v>1</v>
      </c>
      <c r="I49">
        <f t="shared" ca="1" si="6"/>
        <v>0.125</v>
      </c>
      <c r="J49">
        <v>1</v>
      </c>
      <c r="K49">
        <v>1</v>
      </c>
      <c r="L49">
        <v>1</v>
      </c>
      <c r="M49">
        <v>1</v>
      </c>
      <c r="N49">
        <v>1</v>
      </c>
      <c r="O49">
        <f t="shared" si="0"/>
        <v>1</v>
      </c>
      <c r="P49">
        <f t="shared" si="0"/>
        <v>1</v>
      </c>
      <c r="Q49">
        <f t="shared" si="0"/>
        <v>1</v>
      </c>
      <c r="R49">
        <f t="shared" si="0"/>
        <v>1</v>
      </c>
      <c r="S49">
        <f t="shared" si="0"/>
        <v>1</v>
      </c>
      <c r="U49" cm="1">
        <f t="array" aca="1" ref="U49" ca="1">IF($B49=0,0,IF($E49=0,0,IF($F49=0,0,IF($E49=1,$F49/SUMIF(OFFSET($E$18,0,0,$C$3,$E49),$E49,OFFSET($F$18,0,0,$C$3,$E49)),$G49*INDEX(OFFSET(U$18,0,0,$C$3,1),$Y49)))))</f>
        <v>3.2258064516129031E-2</v>
      </c>
      <c r="V49" cm="1">
        <f t="array" aca="1" ref="V49" ca="1">IF($B49=0,0,IF($E49=0,0,IF($H49=0,0,IF($E49=1,$H49/SUMIF(OFFSET($E$18,0,0,$C$3,$E49),$E49,OFFSET($H$18,0,0,$C$3,$E49)),$I49*INDEX(OFFSET(V$18,0,0,$C$3,1),$Y49)))))</f>
        <v>3.2258064516129031E-2</v>
      </c>
      <c r="X49">
        <v>32</v>
      </c>
      <c r="Y49">
        <f t="shared" ca="1" si="7"/>
        <v>22</v>
      </c>
    </row>
    <row r="50" spans="2:25" x14ac:dyDescent="0.4">
      <c r="B50" cm="1">
        <f t="array" aca="1" ref="B50" ca="1">INDEX(OFFSET(auto_ss_All_Scoring,0,1,500,1),X50)</f>
        <v>33</v>
      </c>
      <c r="C50" t="str" cm="1">
        <f t="array" aca="1" ref="C50" ca="1">IF(B50=0,"",INDEX(auto_Series_Code,B50))</f>
        <v>SUBINDI_015</v>
      </c>
      <c r="D50" t="str" cm="1">
        <f t="array" aca="1" ref="D50" ca="1">IF(B50=0,"",INDEX(auto_Series_ParentCode,B50))</f>
        <v>INDI_014</v>
      </c>
      <c r="E50" cm="1">
        <f t="array" aca="1" ref="E50" ca="1">IF(B50=0,"",INDEX(auto_Series_Depth,B50))</f>
        <v>3</v>
      </c>
      <c r="F50" cm="1">
        <f t="array" aca="1" ref="F50" ca="1">IF(B50=0,0,INDEX($J50:$S50,$C$2))</f>
        <v>1</v>
      </c>
      <c r="G50">
        <f t="shared" ca="1" si="5"/>
        <v>0.5</v>
      </c>
      <c r="H50">
        <f ca="1">IFERROR(INDEX(OFFSET(Weights!$M$25,0,0,500,1),MATCH($B50,OFFSET(Weights!$G$25,0,0,500,1),0)),1)</f>
        <v>1</v>
      </c>
      <c r="I50">
        <f t="shared" ca="1" si="6"/>
        <v>0.5</v>
      </c>
      <c r="J50">
        <v>1</v>
      </c>
      <c r="K50">
        <v>1</v>
      </c>
      <c r="L50">
        <v>1</v>
      </c>
      <c r="M50">
        <v>1</v>
      </c>
      <c r="N50">
        <v>1</v>
      </c>
      <c r="O50">
        <f t="shared" si="0"/>
        <v>1</v>
      </c>
      <c r="P50">
        <f t="shared" si="0"/>
        <v>1</v>
      </c>
      <c r="Q50">
        <f t="shared" si="0"/>
        <v>1</v>
      </c>
      <c r="R50">
        <f t="shared" si="0"/>
        <v>1</v>
      </c>
      <c r="S50">
        <f t="shared" si="0"/>
        <v>1</v>
      </c>
      <c r="U50" cm="1">
        <f t="array" aca="1" ref="U50" ca="1">IF($B50=0,0,IF($E50=0,0,IF($F50=0,0,IF($E50=1,$F50/SUMIF(OFFSET($E$18,0,0,$C$3,$E50),$E50,OFFSET($F$18,0,0,$C$3,$E50)),$G50*INDEX(OFFSET(U$18,0,0,$C$3,1),$Y50)))))</f>
        <v>1.6129032258064516E-2</v>
      </c>
      <c r="V50" cm="1">
        <f t="array" aca="1" ref="V50" ca="1">IF($B50=0,0,IF($E50=0,0,IF($H50=0,0,IF($E50=1,$H50/SUMIF(OFFSET($E$18,0,0,$C$3,$E50),$E50,OFFSET($H$18,0,0,$C$3,$E50)),$I50*INDEX(OFFSET(V$18,0,0,$C$3,1),$Y50)))))</f>
        <v>1.6129032258064516E-2</v>
      </c>
      <c r="X50">
        <v>33</v>
      </c>
      <c r="Y50">
        <f t="shared" ca="1" si="7"/>
        <v>32</v>
      </c>
    </row>
    <row r="51" spans="2:25" x14ac:dyDescent="0.4">
      <c r="B51" cm="1">
        <f t="array" aca="1" ref="B51" ca="1">INDEX(OFFSET(auto_ss_All_Scoring,0,1,500,1),X51)</f>
        <v>34</v>
      </c>
      <c r="C51" t="str" cm="1">
        <f t="array" aca="1" ref="C51" ca="1">IF(B51=0,"",INDEX(auto_Series_Code,B51))</f>
        <v>SUBINDI_016</v>
      </c>
      <c r="D51" t="str" cm="1">
        <f t="array" aca="1" ref="D51" ca="1">IF(B51=0,"",INDEX(auto_Series_ParentCode,B51))</f>
        <v>INDI_014</v>
      </c>
      <c r="E51" cm="1">
        <f t="array" aca="1" ref="E51" ca="1">IF(B51=0,"",INDEX(auto_Series_Depth,B51))</f>
        <v>3</v>
      </c>
      <c r="F51" cm="1">
        <f t="array" aca="1" ref="F51" ca="1">IF(B51=0,0,INDEX($J51:$S51,$C$2))</f>
        <v>1</v>
      </c>
      <c r="G51">
        <f t="shared" ca="1" si="5"/>
        <v>0.5</v>
      </c>
      <c r="H51">
        <f ca="1">IFERROR(INDEX(OFFSET(Weights!$M$25,0,0,500,1),MATCH($B51,OFFSET(Weights!$G$25,0,0,500,1),0)),1)</f>
        <v>1</v>
      </c>
      <c r="I51">
        <f t="shared" ca="1" si="6"/>
        <v>0.5</v>
      </c>
      <c r="J51">
        <v>1</v>
      </c>
      <c r="K51">
        <v>1</v>
      </c>
      <c r="L51">
        <v>1</v>
      </c>
      <c r="M51">
        <v>1</v>
      </c>
      <c r="N51">
        <v>1</v>
      </c>
      <c r="O51">
        <f t="shared" si="0"/>
        <v>1</v>
      </c>
      <c r="P51">
        <f t="shared" si="0"/>
        <v>1</v>
      </c>
      <c r="Q51">
        <f t="shared" si="0"/>
        <v>1</v>
      </c>
      <c r="R51">
        <f t="shared" si="0"/>
        <v>1</v>
      </c>
      <c r="S51">
        <f t="shared" si="0"/>
        <v>1</v>
      </c>
      <c r="U51" cm="1">
        <f t="array" aca="1" ref="U51" ca="1">IF($B51=0,0,IF($E51=0,0,IF($F51=0,0,IF($E51=1,$F51/SUMIF(OFFSET($E$18,0,0,$C$3,$E51),$E51,OFFSET($F$18,0,0,$C$3,$E51)),$G51*INDEX(OFFSET(U$18,0,0,$C$3,1),$Y51)))))</f>
        <v>1.6129032258064516E-2</v>
      </c>
      <c r="V51" cm="1">
        <f t="array" aca="1" ref="V51" ca="1">IF($B51=0,0,IF($E51=0,0,IF($H51=0,0,IF($E51=1,$H51/SUMIF(OFFSET($E$18,0,0,$C$3,$E51),$E51,OFFSET($H$18,0,0,$C$3,$E51)),$I51*INDEX(OFFSET(V$18,0,0,$C$3,1),$Y51)))))</f>
        <v>1.6129032258064516E-2</v>
      </c>
      <c r="X51">
        <v>34</v>
      </c>
      <c r="Y51">
        <f t="shared" ca="1" si="7"/>
        <v>32</v>
      </c>
    </row>
    <row r="52" spans="2:25" x14ac:dyDescent="0.4">
      <c r="B52" cm="1">
        <f t="array" aca="1" ref="B52" ca="1">INDEX(OFFSET(auto_ss_All_Scoring,0,1,500,1),X52)</f>
        <v>35</v>
      </c>
      <c r="C52" t="str" cm="1">
        <f t="array" aca="1" ref="C52" ca="1">IF(B52=0,"",INDEX(auto_Series_Code,B52))</f>
        <v>INDI_015</v>
      </c>
      <c r="D52" t="str" cm="1">
        <f t="array" aca="1" ref="D52" ca="1">IF(B52=0,"",INDEX(auto_Series_ParentCode,B52))</f>
        <v>DOMAIN_003</v>
      </c>
      <c r="E52" cm="1">
        <f t="array" aca="1" ref="E52" ca="1">IF(B52=0,"",INDEX(auto_Series_Depth,B52))</f>
        <v>2</v>
      </c>
      <c r="F52" cm="1">
        <f t="array" aca="1" ref="F52" ca="1">IF(B52=0,0,INDEX($J52:$S52,$C$2))</f>
        <v>1</v>
      </c>
      <c r="G52">
        <f t="shared" ca="1" si="5"/>
        <v>0.125</v>
      </c>
      <c r="H52">
        <f ca="1">IFERROR(INDEX(OFFSET(Weights!$M$25,0,0,500,1),MATCH($B52,OFFSET(Weights!$G$25,0,0,500,1),0)),1)</f>
        <v>1</v>
      </c>
      <c r="I52">
        <f t="shared" ca="1" si="6"/>
        <v>0.125</v>
      </c>
      <c r="J52">
        <v>1</v>
      </c>
      <c r="K52">
        <v>1</v>
      </c>
      <c r="L52">
        <v>1</v>
      </c>
      <c r="M52">
        <v>1</v>
      </c>
      <c r="N52">
        <v>1</v>
      </c>
      <c r="O52">
        <f t="shared" si="0"/>
        <v>1</v>
      </c>
      <c r="P52">
        <f t="shared" si="0"/>
        <v>1</v>
      </c>
      <c r="Q52">
        <f t="shared" si="0"/>
        <v>1</v>
      </c>
      <c r="R52">
        <f t="shared" si="0"/>
        <v>1</v>
      </c>
      <c r="S52">
        <f t="shared" si="0"/>
        <v>1</v>
      </c>
      <c r="U52" cm="1">
        <f t="array" aca="1" ref="U52" ca="1">IF($B52=0,0,IF($E52=0,0,IF($F52=0,0,IF($E52=1,$F52/SUMIF(OFFSET($E$18,0,0,$C$3,$E52),$E52,OFFSET($F$18,0,0,$C$3,$E52)),$G52*INDEX(OFFSET(U$18,0,0,$C$3,1),$Y52)))))</f>
        <v>3.2258064516129031E-2</v>
      </c>
      <c r="V52" cm="1">
        <f t="array" aca="1" ref="V52" ca="1">IF($B52=0,0,IF($E52=0,0,IF($H52=0,0,IF($E52=1,$H52/SUMIF(OFFSET($E$18,0,0,$C$3,$E52),$E52,OFFSET($H$18,0,0,$C$3,$E52)),$I52*INDEX(OFFSET(V$18,0,0,$C$3,1),$Y52)))))</f>
        <v>3.2258064516129031E-2</v>
      </c>
      <c r="X52">
        <v>35</v>
      </c>
      <c r="Y52">
        <f t="shared" ca="1" si="7"/>
        <v>22</v>
      </c>
    </row>
    <row r="53" spans="2:25" x14ac:dyDescent="0.4">
      <c r="B53" cm="1">
        <f t="array" aca="1" ref="B53" ca="1">INDEX(OFFSET(auto_ss_All_Scoring,0,1,500,1),X53)</f>
        <v>36</v>
      </c>
      <c r="C53" t="str" cm="1">
        <f t="array" aca="1" ref="C53" ca="1">IF(B53=0,"",INDEX(auto_Series_Code,B53))</f>
        <v>SUBINDI_017</v>
      </c>
      <c r="D53" t="str" cm="1">
        <f t="array" aca="1" ref="D53" ca="1">IF(B53=0,"",INDEX(auto_Series_ParentCode,B53))</f>
        <v>INDI_015</v>
      </c>
      <c r="E53" cm="1">
        <f t="array" aca="1" ref="E53" ca="1">IF(B53=0,"",INDEX(auto_Series_Depth,B53))</f>
        <v>3</v>
      </c>
      <c r="F53" cm="1">
        <f t="array" aca="1" ref="F53" ca="1">IF(B53=0,0,INDEX($J53:$S53,$C$2))</f>
        <v>1</v>
      </c>
      <c r="G53">
        <f t="shared" ca="1" si="5"/>
        <v>0.5</v>
      </c>
      <c r="H53">
        <f ca="1">IFERROR(INDEX(OFFSET(Weights!$M$25,0,0,500,1),MATCH($B53,OFFSET(Weights!$G$25,0,0,500,1),0)),1)</f>
        <v>1</v>
      </c>
      <c r="I53">
        <f t="shared" ca="1" si="6"/>
        <v>0.5</v>
      </c>
      <c r="J53">
        <v>1</v>
      </c>
      <c r="K53">
        <v>1</v>
      </c>
      <c r="L53">
        <v>1</v>
      </c>
      <c r="M53">
        <v>1</v>
      </c>
      <c r="N53">
        <v>1</v>
      </c>
      <c r="O53">
        <f t="shared" si="0"/>
        <v>1</v>
      </c>
      <c r="P53">
        <f t="shared" si="0"/>
        <v>1</v>
      </c>
      <c r="Q53">
        <f t="shared" si="0"/>
        <v>1</v>
      </c>
      <c r="R53">
        <f t="shared" si="0"/>
        <v>1</v>
      </c>
      <c r="S53">
        <f t="shared" si="0"/>
        <v>1</v>
      </c>
      <c r="U53" cm="1">
        <f t="array" aca="1" ref="U53" ca="1">IF($B53=0,0,IF($E53=0,0,IF($F53=0,0,IF($E53=1,$F53/SUMIF(OFFSET($E$18,0,0,$C$3,$E53),$E53,OFFSET($F$18,0,0,$C$3,$E53)),$G53*INDEX(OFFSET(U$18,0,0,$C$3,1),$Y53)))))</f>
        <v>1.6129032258064516E-2</v>
      </c>
      <c r="V53" cm="1">
        <f t="array" aca="1" ref="V53" ca="1">IF($B53=0,0,IF($E53=0,0,IF($H53=0,0,IF($E53=1,$H53/SUMIF(OFFSET($E$18,0,0,$C$3,$E53),$E53,OFFSET($H$18,0,0,$C$3,$E53)),$I53*INDEX(OFFSET(V$18,0,0,$C$3,1),$Y53)))))</f>
        <v>1.6129032258064516E-2</v>
      </c>
      <c r="X53">
        <v>36</v>
      </c>
      <c r="Y53">
        <f t="shared" ca="1" si="7"/>
        <v>35</v>
      </c>
    </row>
    <row r="54" spans="2:25" x14ac:dyDescent="0.4">
      <c r="B54" cm="1">
        <f t="array" aca="1" ref="B54" ca="1">INDEX(OFFSET(auto_ss_All_Scoring,0,1,500,1),X54)</f>
        <v>37</v>
      </c>
      <c r="C54" t="str" cm="1">
        <f t="array" aca="1" ref="C54" ca="1">IF(B54=0,"",INDEX(auto_Series_Code,B54))</f>
        <v>SUBINDI_018</v>
      </c>
      <c r="D54" t="str" cm="1">
        <f t="array" aca="1" ref="D54" ca="1">IF(B54=0,"",INDEX(auto_Series_ParentCode,B54))</f>
        <v>INDI_015</v>
      </c>
      <c r="E54" cm="1">
        <f t="array" aca="1" ref="E54" ca="1">IF(B54=0,"",INDEX(auto_Series_Depth,B54))</f>
        <v>3</v>
      </c>
      <c r="F54" cm="1">
        <f t="array" aca="1" ref="F54" ca="1">IF(B54=0,0,INDEX($J54:$S54,$C$2))</f>
        <v>1</v>
      </c>
      <c r="G54">
        <f t="shared" ca="1" si="5"/>
        <v>0.5</v>
      </c>
      <c r="H54">
        <f ca="1">IFERROR(INDEX(OFFSET(Weights!$M$25,0,0,500,1),MATCH($B54,OFFSET(Weights!$G$25,0,0,500,1),0)),1)</f>
        <v>1</v>
      </c>
      <c r="I54">
        <f t="shared" ca="1" si="6"/>
        <v>0.5</v>
      </c>
      <c r="J54">
        <v>1</v>
      </c>
      <c r="K54">
        <v>1</v>
      </c>
      <c r="L54">
        <v>1</v>
      </c>
      <c r="M54">
        <v>1</v>
      </c>
      <c r="N54">
        <v>1</v>
      </c>
      <c r="O54">
        <f t="shared" si="0"/>
        <v>1</v>
      </c>
      <c r="P54">
        <f t="shared" si="0"/>
        <v>1</v>
      </c>
      <c r="Q54">
        <f t="shared" si="0"/>
        <v>1</v>
      </c>
      <c r="R54">
        <f t="shared" si="0"/>
        <v>1</v>
      </c>
      <c r="S54">
        <f t="shared" si="0"/>
        <v>1</v>
      </c>
      <c r="U54" cm="1">
        <f t="array" aca="1" ref="U54" ca="1">IF($B54=0,0,IF($E54=0,0,IF($F54=0,0,IF($E54=1,$F54/SUMIF(OFFSET($E$18,0,0,$C$3,$E54),$E54,OFFSET($F$18,0,0,$C$3,$E54)),$G54*INDEX(OFFSET(U$18,0,0,$C$3,1),$Y54)))))</f>
        <v>1.6129032258064516E-2</v>
      </c>
      <c r="V54" cm="1">
        <f t="array" aca="1" ref="V54" ca="1">IF($B54=0,0,IF($E54=0,0,IF($H54=0,0,IF($E54=1,$H54/SUMIF(OFFSET($E$18,0,0,$C$3,$E54),$E54,OFFSET($H$18,0,0,$C$3,$E54)),$I54*INDEX(OFFSET(V$18,0,0,$C$3,1),$Y54)))))</f>
        <v>1.6129032258064516E-2</v>
      </c>
      <c r="X54">
        <v>37</v>
      </c>
      <c r="Y54">
        <f t="shared" ca="1" si="7"/>
        <v>35</v>
      </c>
    </row>
    <row r="55" spans="2:25" x14ac:dyDescent="0.4">
      <c r="B55" cm="1">
        <f t="array" aca="1" ref="B55" ca="1">INDEX(OFFSET(auto_ss_All_Scoring,0,1,500,1),X55)</f>
        <v>38</v>
      </c>
      <c r="C55" t="str" cm="1">
        <f t="array" aca="1" ref="C55" ca="1">IF(B55=0,"",INDEX(auto_Series_Code,B55))</f>
        <v>INDI_016</v>
      </c>
      <c r="D55" t="str" cm="1">
        <f t="array" aca="1" ref="D55" ca="1">IF(B55=0,"",INDEX(auto_Series_ParentCode,B55))</f>
        <v>DOMAIN_003</v>
      </c>
      <c r="E55" cm="1">
        <f t="array" aca="1" ref="E55" ca="1">IF(B55=0,"",INDEX(auto_Series_Depth,B55))</f>
        <v>2</v>
      </c>
      <c r="F55" cm="1">
        <f t="array" aca="1" ref="F55" ca="1">IF(B55=0,0,INDEX($J55:$S55,$C$2))</f>
        <v>1</v>
      </c>
      <c r="G55">
        <f t="shared" ca="1" si="5"/>
        <v>0.125</v>
      </c>
      <c r="H55">
        <f ca="1">IFERROR(INDEX(OFFSET(Weights!$M$25,0,0,500,1),MATCH($B55,OFFSET(Weights!$G$25,0,0,500,1),0)),1)</f>
        <v>1</v>
      </c>
      <c r="I55">
        <f t="shared" ca="1" si="6"/>
        <v>0.125</v>
      </c>
      <c r="J55">
        <v>1</v>
      </c>
      <c r="K55">
        <v>1</v>
      </c>
      <c r="L55">
        <v>1</v>
      </c>
      <c r="M55">
        <v>1</v>
      </c>
      <c r="N55">
        <v>1</v>
      </c>
      <c r="O55">
        <f t="shared" si="0"/>
        <v>1</v>
      </c>
      <c r="P55">
        <f t="shared" si="0"/>
        <v>1</v>
      </c>
      <c r="Q55">
        <f t="shared" si="0"/>
        <v>1</v>
      </c>
      <c r="R55">
        <f t="shared" si="0"/>
        <v>1</v>
      </c>
      <c r="S55">
        <f t="shared" si="0"/>
        <v>1</v>
      </c>
      <c r="U55" cm="1">
        <f t="array" aca="1" ref="U55" ca="1">IF($B55=0,0,IF($E55=0,0,IF($F55=0,0,IF($E55=1,$F55/SUMIF(OFFSET($E$18,0,0,$C$3,$E55),$E55,OFFSET($F$18,0,0,$C$3,$E55)),$G55*INDEX(OFFSET(U$18,0,0,$C$3,1),$Y55)))))</f>
        <v>3.2258064516129031E-2</v>
      </c>
      <c r="V55" cm="1">
        <f t="array" aca="1" ref="V55" ca="1">IF($B55=0,0,IF($E55=0,0,IF($H55=0,0,IF($E55=1,$H55/SUMIF(OFFSET($E$18,0,0,$C$3,$E55),$E55,OFFSET($H$18,0,0,$C$3,$E55)),$I55*INDEX(OFFSET(V$18,0,0,$C$3,1),$Y55)))))</f>
        <v>3.2258064516129031E-2</v>
      </c>
      <c r="X55">
        <v>38</v>
      </c>
      <c r="Y55">
        <f t="shared" ca="1" si="7"/>
        <v>22</v>
      </c>
    </row>
    <row r="56" spans="2:25" x14ac:dyDescent="0.4">
      <c r="B56" cm="1">
        <f t="array" aca="1" ref="B56" ca="1">INDEX(OFFSET(auto_ss_All_Scoring,0,1,500,1),X56)</f>
        <v>39</v>
      </c>
      <c r="C56" t="str" cm="1">
        <f t="array" aca="1" ref="C56" ca="1">IF(B56=0,"",INDEX(auto_Series_Code,B56))</f>
        <v>SUBINDI_019</v>
      </c>
      <c r="D56" t="str" cm="1">
        <f t="array" aca="1" ref="D56" ca="1">IF(B56=0,"",INDEX(auto_Series_ParentCode,B56))</f>
        <v>INDI_016</v>
      </c>
      <c r="E56" cm="1">
        <f t="array" aca="1" ref="E56" ca="1">IF(B56=0,"",INDEX(auto_Series_Depth,B56))</f>
        <v>3</v>
      </c>
      <c r="F56" cm="1">
        <f t="array" aca="1" ref="F56" ca="1">IF(B56=0,0,INDEX($J56:$S56,$C$2))</f>
        <v>1</v>
      </c>
      <c r="G56">
        <f t="shared" ca="1" si="5"/>
        <v>0.5</v>
      </c>
      <c r="H56">
        <f ca="1">IFERROR(INDEX(OFFSET(Weights!$M$25,0,0,500,1),MATCH($B56,OFFSET(Weights!$G$25,0,0,500,1),0)),1)</f>
        <v>1</v>
      </c>
      <c r="I56">
        <f t="shared" ca="1" si="6"/>
        <v>0.5</v>
      </c>
      <c r="J56">
        <v>1</v>
      </c>
      <c r="K56">
        <v>1</v>
      </c>
      <c r="L56">
        <v>1</v>
      </c>
      <c r="M56">
        <v>1</v>
      </c>
      <c r="N56">
        <v>1</v>
      </c>
      <c r="O56">
        <f t="shared" si="0"/>
        <v>1</v>
      </c>
      <c r="P56">
        <f t="shared" si="0"/>
        <v>1</v>
      </c>
      <c r="Q56">
        <f t="shared" si="0"/>
        <v>1</v>
      </c>
      <c r="R56">
        <f t="shared" si="0"/>
        <v>1</v>
      </c>
      <c r="S56">
        <f t="shared" si="0"/>
        <v>1</v>
      </c>
      <c r="U56" cm="1">
        <f t="array" aca="1" ref="U56" ca="1">IF($B56=0,0,IF($E56=0,0,IF($F56=0,0,IF($E56=1,$F56/SUMIF(OFFSET($E$18,0,0,$C$3,$E56),$E56,OFFSET($F$18,0,0,$C$3,$E56)),$G56*INDEX(OFFSET(U$18,0,0,$C$3,1),$Y56)))))</f>
        <v>1.6129032258064516E-2</v>
      </c>
      <c r="V56" cm="1">
        <f t="array" aca="1" ref="V56" ca="1">IF($B56=0,0,IF($E56=0,0,IF($H56=0,0,IF($E56=1,$H56/SUMIF(OFFSET($E$18,0,0,$C$3,$E56),$E56,OFFSET($H$18,0,0,$C$3,$E56)),$I56*INDEX(OFFSET(V$18,0,0,$C$3,1),$Y56)))))</f>
        <v>1.6129032258064516E-2</v>
      </c>
      <c r="X56">
        <v>39</v>
      </c>
      <c r="Y56">
        <f t="shared" ca="1" si="7"/>
        <v>38</v>
      </c>
    </row>
    <row r="57" spans="2:25" x14ac:dyDescent="0.4">
      <c r="B57" cm="1">
        <f t="array" aca="1" ref="B57" ca="1">INDEX(OFFSET(auto_ss_All_Scoring,0,1,500,1),X57)</f>
        <v>40</v>
      </c>
      <c r="C57" t="str" cm="1">
        <f t="array" aca="1" ref="C57" ca="1">IF(B57=0,"",INDEX(auto_Series_Code,B57))</f>
        <v>SUBINDI_020</v>
      </c>
      <c r="D57" t="str" cm="1">
        <f t="array" aca="1" ref="D57" ca="1">IF(B57=0,"",INDEX(auto_Series_ParentCode,B57))</f>
        <v>INDI_016</v>
      </c>
      <c r="E57" cm="1">
        <f t="array" aca="1" ref="E57" ca="1">IF(B57=0,"",INDEX(auto_Series_Depth,B57))</f>
        <v>3</v>
      </c>
      <c r="F57" cm="1">
        <f t="array" aca="1" ref="F57" ca="1">IF(B57=0,0,INDEX($J57:$S57,$C$2))</f>
        <v>1</v>
      </c>
      <c r="G57">
        <f t="shared" ca="1" si="5"/>
        <v>0.5</v>
      </c>
      <c r="H57">
        <f ca="1">IFERROR(INDEX(OFFSET(Weights!$M$25,0,0,500,1),MATCH($B57,OFFSET(Weights!$G$25,0,0,500,1),0)),1)</f>
        <v>1</v>
      </c>
      <c r="I57">
        <f t="shared" ca="1" si="6"/>
        <v>0.5</v>
      </c>
      <c r="J57">
        <v>1</v>
      </c>
      <c r="K57">
        <v>1</v>
      </c>
      <c r="L57">
        <v>1</v>
      </c>
      <c r="M57">
        <v>1</v>
      </c>
      <c r="N57">
        <v>1</v>
      </c>
      <c r="O57">
        <f t="shared" si="0"/>
        <v>1</v>
      </c>
      <c r="P57">
        <f t="shared" si="0"/>
        <v>1</v>
      </c>
      <c r="Q57">
        <f t="shared" si="0"/>
        <v>1</v>
      </c>
      <c r="R57">
        <f t="shared" si="0"/>
        <v>1</v>
      </c>
      <c r="S57">
        <f t="shared" si="0"/>
        <v>1</v>
      </c>
      <c r="U57" cm="1">
        <f t="array" aca="1" ref="U57" ca="1">IF($B57=0,0,IF($E57=0,0,IF($F57=0,0,IF($E57=1,$F57/SUMIF(OFFSET($E$18,0,0,$C$3,$E57),$E57,OFFSET($F$18,0,0,$C$3,$E57)),$G57*INDEX(OFFSET(U$18,0,0,$C$3,1),$Y57)))))</f>
        <v>1.6129032258064516E-2</v>
      </c>
      <c r="V57" cm="1">
        <f t="array" aca="1" ref="V57" ca="1">IF($B57=0,0,IF($E57=0,0,IF($H57=0,0,IF($E57=1,$H57/SUMIF(OFFSET($E$18,0,0,$C$3,$E57),$E57,OFFSET($H$18,0,0,$C$3,$E57)),$I57*INDEX(OFFSET(V$18,0,0,$C$3,1),$Y57)))))</f>
        <v>1.6129032258064516E-2</v>
      </c>
      <c r="X57">
        <v>40</v>
      </c>
      <c r="Y57">
        <f t="shared" ca="1" si="7"/>
        <v>38</v>
      </c>
    </row>
    <row r="58" spans="2:25" x14ac:dyDescent="0.4">
      <c r="B58" cm="1">
        <f t="array" aca="1" ref="B58" ca="1">INDEX(OFFSET(auto_ss_All_Scoring,0,1,500,1),X58)</f>
        <v>41</v>
      </c>
      <c r="C58" t="str" cm="1">
        <f t="array" aca="1" ref="C58" ca="1">IF(B58=0,"",INDEX(auto_Series_Code,B58))</f>
        <v>INDI_017</v>
      </c>
      <c r="D58" t="str" cm="1">
        <f t="array" aca="1" ref="D58" ca="1">IF(B58=0,"",INDEX(auto_Series_ParentCode,B58))</f>
        <v>DOMAIN_003</v>
      </c>
      <c r="E58" cm="1">
        <f t="array" aca="1" ref="E58" ca="1">IF(B58=0,"",INDEX(auto_Series_Depth,B58))</f>
        <v>2</v>
      </c>
      <c r="F58" cm="1">
        <f t="array" aca="1" ref="F58" ca="1">IF(B58=0,0,INDEX($J58:$S58,$C$2))</f>
        <v>1</v>
      </c>
      <c r="G58">
        <f t="shared" ca="1" si="5"/>
        <v>0.125</v>
      </c>
      <c r="H58">
        <f ca="1">IFERROR(INDEX(OFFSET(Weights!$M$25,0,0,500,1),MATCH($B58,OFFSET(Weights!$G$25,0,0,500,1),0)),1)</f>
        <v>1</v>
      </c>
      <c r="I58">
        <f t="shared" ca="1" si="6"/>
        <v>0.125</v>
      </c>
      <c r="J58">
        <v>1</v>
      </c>
      <c r="K58">
        <v>1</v>
      </c>
      <c r="L58">
        <v>1</v>
      </c>
      <c r="M58">
        <v>1</v>
      </c>
      <c r="N58">
        <v>1</v>
      </c>
      <c r="O58">
        <f t="shared" si="0"/>
        <v>1</v>
      </c>
      <c r="P58">
        <f t="shared" si="0"/>
        <v>1</v>
      </c>
      <c r="Q58">
        <f t="shared" si="0"/>
        <v>1</v>
      </c>
      <c r="R58">
        <f t="shared" si="0"/>
        <v>1</v>
      </c>
      <c r="S58">
        <f t="shared" si="0"/>
        <v>1</v>
      </c>
      <c r="U58" cm="1">
        <f t="array" aca="1" ref="U58" ca="1">IF($B58=0,0,IF($E58=0,0,IF($F58=0,0,IF($E58=1,$F58/SUMIF(OFFSET($E$18,0,0,$C$3,$E58),$E58,OFFSET($F$18,0,0,$C$3,$E58)),$G58*INDEX(OFFSET(U$18,0,0,$C$3,1),$Y58)))))</f>
        <v>3.2258064516129031E-2</v>
      </c>
      <c r="V58" cm="1">
        <f t="array" aca="1" ref="V58" ca="1">IF($B58=0,0,IF($E58=0,0,IF($H58=0,0,IF($E58=1,$H58/SUMIF(OFFSET($E$18,0,0,$C$3,$E58),$E58,OFFSET($H$18,0,0,$C$3,$E58)),$I58*INDEX(OFFSET(V$18,0,0,$C$3,1),$Y58)))))</f>
        <v>3.2258064516129031E-2</v>
      </c>
      <c r="X58">
        <v>41</v>
      </c>
      <c r="Y58">
        <f t="shared" ca="1" si="7"/>
        <v>22</v>
      </c>
    </row>
    <row r="59" spans="2:25" x14ac:dyDescent="0.4">
      <c r="B59" cm="1">
        <f t="array" aca="1" ref="B59" ca="1">INDEX(OFFSET(auto_ss_All_Scoring,0,1,500,1),X59)</f>
        <v>42</v>
      </c>
      <c r="C59" t="str" cm="1">
        <f t="array" aca="1" ref="C59" ca="1">IF(B59=0,"",INDEX(auto_Series_Code,B59))</f>
        <v>SUBINDI_021</v>
      </c>
      <c r="D59" t="str" cm="1">
        <f t="array" aca="1" ref="D59" ca="1">IF(B59=0,"",INDEX(auto_Series_ParentCode,B59))</f>
        <v>INDI_017</v>
      </c>
      <c r="E59" cm="1">
        <f t="array" aca="1" ref="E59" ca="1">IF(B59=0,"",INDEX(auto_Series_Depth,B59))</f>
        <v>3</v>
      </c>
      <c r="F59" cm="1">
        <f t="array" aca="1" ref="F59" ca="1">IF(B59=0,0,INDEX($J59:$S59,$C$2))</f>
        <v>1</v>
      </c>
      <c r="G59">
        <f t="shared" ca="1" si="5"/>
        <v>0.5</v>
      </c>
      <c r="H59">
        <f ca="1">IFERROR(INDEX(OFFSET(Weights!$M$25,0,0,500,1),MATCH($B59,OFFSET(Weights!$G$25,0,0,500,1),0)),1)</f>
        <v>1</v>
      </c>
      <c r="I59">
        <f t="shared" ca="1" si="6"/>
        <v>0.5</v>
      </c>
      <c r="J59">
        <v>1</v>
      </c>
      <c r="K59">
        <v>1</v>
      </c>
      <c r="L59">
        <v>1</v>
      </c>
      <c r="M59">
        <v>1</v>
      </c>
      <c r="N59">
        <v>1</v>
      </c>
      <c r="O59">
        <f t="shared" si="0"/>
        <v>1</v>
      </c>
      <c r="P59">
        <f t="shared" si="0"/>
        <v>1</v>
      </c>
      <c r="Q59">
        <f t="shared" si="0"/>
        <v>1</v>
      </c>
      <c r="R59">
        <f t="shared" si="0"/>
        <v>1</v>
      </c>
      <c r="S59">
        <f t="shared" si="0"/>
        <v>1</v>
      </c>
      <c r="U59" cm="1">
        <f t="array" aca="1" ref="U59" ca="1">IF($B59=0,0,IF($E59=0,0,IF($F59=0,0,IF($E59=1,$F59/SUMIF(OFFSET($E$18,0,0,$C$3,$E59),$E59,OFFSET($F$18,0,0,$C$3,$E59)),$G59*INDEX(OFFSET(U$18,0,0,$C$3,1),$Y59)))))</f>
        <v>1.6129032258064516E-2</v>
      </c>
      <c r="V59" cm="1">
        <f t="array" aca="1" ref="V59" ca="1">IF($B59=0,0,IF($E59=0,0,IF($H59=0,0,IF($E59=1,$H59/SUMIF(OFFSET($E$18,0,0,$C$3,$E59),$E59,OFFSET($H$18,0,0,$C$3,$E59)),$I59*INDEX(OFFSET(V$18,0,0,$C$3,1),$Y59)))))</f>
        <v>1.6129032258064516E-2</v>
      </c>
      <c r="X59">
        <v>42</v>
      </c>
      <c r="Y59">
        <f t="shared" ca="1" si="7"/>
        <v>41</v>
      </c>
    </row>
    <row r="60" spans="2:25" x14ac:dyDescent="0.4">
      <c r="B60" cm="1">
        <f t="array" aca="1" ref="B60" ca="1">INDEX(OFFSET(auto_ss_All_Scoring,0,1,500,1),X60)</f>
        <v>43</v>
      </c>
      <c r="C60" t="str" cm="1">
        <f t="array" aca="1" ref="C60" ca="1">IF(B60=0,"",INDEX(auto_Series_Code,B60))</f>
        <v>SUBINDI_022</v>
      </c>
      <c r="D60" t="str" cm="1">
        <f t="array" aca="1" ref="D60" ca="1">IF(B60=0,"",INDEX(auto_Series_ParentCode,B60))</f>
        <v>INDI_017</v>
      </c>
      <c r="E60" cm="1">
        <f t="array" aca="1" ref="E60" ca="1">IF(B60=0,"",INDEX(auto_Series_Depth,B60))</f>
        <v>3</v>
      </c>
      <c r="F60" cm="1">
        <f t="array" aca="1" ref="F60" ca="1">IF(B60=0,0,INDEX($J60:$S60,$C$2))</f>
        <v>1</v>
      </c>
      <c r="G60">
        <f t="shared" ca="1" si="5"/>
        <v>0.5</v>
      </c>
      <c r="H60">
        <f ca="1">IFERROR(INDEX(OFFSET(Weights!$M$25,0,0,500,1),MATCH($B60,OFFSET(Weights!$G$25,0,0,500,1),0)),1)</f>
        <v>1</v>
      </c>
      <c r="I60">
        <f t="shared" ca="1" si="6"/>
        <v>0.5</v>
      </c>
      <c r="J60">
        <v>1</v>
      </c>
      <c r="K60">
        <v>1</v>
      </c>
      <c r="L60">
        <v>1</v>
      </c>
      <c r="M60">
        <v>1</v>
      </c>
      <c r="N60">
        <v>1</v>
      </c>
      <c r="O60">
        <f t="shared" si="0"/>
        <v>1</v>
      </c>
      <c r="P60">
        <f t="shared" si="0"/>
        <v>1</v>
      </c>
      <c r="Q60">
        <f t="shared" si="0"/>
        <v>1</v>
      </c>
      <c r="R60">
        <f t="shared" si="0"/>
        <v>1</v>
      </c>
      <c r="S60">
        <f t="shared" si="0"/>
        <v>1</v>
      </c>
      <c r="U60" cm="1">
        <f t="array" aca="1" ref="U60" ca="1">IF($B60=0,0,IF($E60=0,0,IF($F60=0,0,IF($E60=1,$F60/SUMIF(OFFSET($E$18,0,0,$C$3,$E60),$E60,OFFSET($F$18,0,0,$C$3,$E60)),$G60*INDEX(OFFSET(U$18,0,0,$C$3,1),$Y60)))))</f>
        <v>1.6129032258064516E-2</v>
      </c>
      <c r="V60" cm="1">
        <f t="array" aca="1" ref="V60" ca="1">IF($B60=0,0,IF($E60=0,0,IF($H60=0,0,IF($E60=1,$H60/SUMIF(OFFSET($E$18,0,0,$C$3,$E60),$E60,OFFSET($H$18,0,0,$C$3,$E60)),$I60*INDEX(OFFSET(V$18,0,0,$C$3,1),$Y60)))))</f>
        <v>1.6129032258064516E-2</v>
      </c>
      <c r="X60">
        <v>43</v>
      </c>
      <c r="Y60">
        <f t="shared" ca="1" si="7"/>
        <v>41</v>
      </c>
    </row>
    <row r="61" spans="2:25" x14ac:dyDescent="0.4">
      <c r="B61" cm="1">
        <f t="array" aca="1" ref="B61" ca="1">INDEX(OFFSET(auto_ss_All_Scoring,0,1,500,1),X61)</f>
        <v>44</v>
      </c>
      <c r="C61" t="str" cm="1">
        <f t="array" aca="1" ref="C61" ca="1">IF(B61=0,"",INDEX(auto_Series_Code,B61))</f>
        <v>INDI_018</v>
      </c>
      <c r="D61" t="str" cm="1">
        <f t="array" aca="1" ref="D61" ca="1">IF(B61=0,"",INDEX(auto_Series_ParentCode,B61))</f>
        <v>DOMAIN_003</v>
      </c>
      <c r="E61" cm="1">
        <f t="array" aca="1" ref="E61" ca="1">IF(B61=0,"",INDEX(auto_Series_Depth,B61))</f>
        <v>2</v>
      </c>
      <c r="F61" cm="1">
        <f t="array" aca="1" ref="F61" ca="1">IF(B61=0,0,INDEX($J61:$S61,$C$2))</f>
        <v>1</v>
      </c>
      <c r="G61">
        <f t="shared" ca="1" si="5"/>
        <v>0.125</v>
      </c>
      <c r="H61">
        <f ca="1">IFERROR(INDEX(OFFSET(Weights!$M$25,0,0,500,1),MATCH($B61,OFFSET(Weights!$G$25,0,0,500,1),0)),1)</f>
        <v>1</v>
      </c>
      <c r="I61">
        <f t="shared" ca="1" si="6"/>
        <v>0.125</v>
      </c>
      <c r="J61">
        <v>1</v>
      </c>
      <c r="K61">
        <v>1</v>
      </c>
      <c r="L61">
        <v>1</v>
      </c>
      <c r="M61">
        <v>1</v>
      </c>
      <c r="N61">
        <v>1</v>
      </c>
      <c r="O61">
        <f t="shared" si="0"/>
        <v>1</v>
      </c>
      <c r="P61">
        <f t="shared" si="0"/>
        <v>1</v>
      </c>
      <c r="Q61">
        <f t="shared" si="0"/>
        <v>1</v>
      </c>
      <c r="R61">
        <f t="shared" si="0"/>
        <v>1</v>
      </c>
      <c r="S61">
        <f t="shared" si="0"/>
        <v>1</v>
      </c>
      <c r="U61" cm="1">
        <f t="array" aca="1" ref="U61" ca="1">IF($B61=0,0,IF($E61=0,0,IF($F61=0,0,IF($E61=1,$F61/SUMIF(OFFSET($E$18,0,0,$C$3,$E61),$E61,OFFSET($F$18,0,0,$C$3,$E61)),$G61*INDEX(OFFSET(U$18,0,0,$C$3,1),$Y61)))))</f>
        <v>3.2258064516129031E-2</v>
      </c>
      <c r="V61" cm="1">
        <f t="array" aca="1" ref="V61" ca="1">IF($B61=0,0,IF($E61=0,0,IF($H61=0,0,IF($E61=1,$H61/SUMIF(OFFSET($E$18,0,0,$C$3,$E61),$E61,OFFSET($H$18,0,0,$C$3,$E61)),$I61*INDEX(OFFSET(V$18,0,0,$C$3,1),$Y61)))))</f>
        <v>3.2258064516129031E-2</v>
      </c>
      <c r="X61">
        <v>44</v>
      </c>
      <c r="Y61">
        <f t="shared" ca="1" si="7"/>
        <v>22</v>
      </c>
    </row>
    <row r="62" spans="2:25" x14ac:dyDescent="0.4">
      <c r="B62" cm="1">
        <f t="array" aca="1" ref="B62" ca="1">INDEX(OFFSET(auto_ss_All_Scoring,0,1,500,1),X62)</f>
        <v>45</v>
      </c>
      <c r="C62" t="str" cm="1">
        <f t="array" aca="1" ref="C62" ca="1">IF(B62=0,"",INDEX(auto_Series_Code,B62))</f>
        <v>SUBINDI_023</v>
      </c>
      <c r="D62" t="str" cm="1">
        <f t="array" aca="1" ref="D62" ca="1">IF(B62=0,"",INDEX(auto_Series_ParentCode,B62))</f>
        <v>INDI_018</v>
      </c>
      <c r="E62" cm="1">
        <f t="array" aca="1" ref="E62" ca="1">IF(B62=0,"",INDEX(auto_Series_Depth,B62))</f>
        <v>3</v>
      </c>
      <c r="F62" cm="1">
        <f t="array" aca="1" ref="F62" ca="1">IF(B62=0,0,INDEX($J62:$S62,$C$2))</f>
        <v>1</v>
      </c>
      <c r="G62">
        <f t="shared" ca="1" si="5"/>
        <v>0.5</v>
      </c>
      <c r="H62">
        <f ca="1">IFERROR(INDEX(OFFSET(Weights!$M$25,0,0,500,1),MATCH($B62,OFFSET(Weights!$G$25,0,0,500,1),0)),1)</f>
        <v>1</v>
      </c>
      <c r="I62">
        <f t="shared" ca="1" si="6"/>
        <v>0.5</v>
      </c>
      <c r="J62">
        <v>1</v>
      </c>
      <c r="K62">
        <v>1</v>
      </c>
      <c r="L62">
        <v>1</v>
      </c>
      <c r="M62">
        <v>1</v>
      </c>
      <c r="N62">
        <v>1</v>
      </c>
      <c r="O62">
        <f t="shared" si="0"/>
        <v>1</v>
      </c>
      <c r="P62">
        <f t="shared" si="0"/>
        <v>1</v>
      </c>
      <c r="Q62">
        <f t="shared" si="0"/>
        <v>1</v>
      </c>
      <c r="R62">
        <f t="shared" si="0"/>
        <v>1</v>
      </c>
      <c r="S62">
        <f t="shared" si="0"/>
        <v>1</v>
      </c>
      <c r="U62" cm="1">
        <f t="array" aca="1" ref="U62" ca="1">IF($B62=0,0,IF($E62=0,0,IF($F62=0,0,IF($E62=1,$F62/SUMIF(OFFSET($E$18,0,0,$C$3,$E62),$E62,OFFSET($F$18,0,0,$C$3,$E62)),$G62*INDEX(OFFSET(U$18,0,0,$C$3,1),$Y62)))))</f>
        <v>1.6129032258064516E-2</v>
      </c>
      <c r="V62" cm="1">
        <f t="array" aca="1" ref="V62" ca="1">IF($B62=0,0,IF($E62=0,0,IF($H62=0,0,IF($E62=1,$H62/SUMIF(OFFSET($E$18,0,0,$C$3,$E62),$E62,OFFSET($H$18,0,0,$C$3,$E62)),$I62*INDEX(OFFSET(V$18,0,0,$C$3,1),$Y62)))))</f>
        <v>1.6129032258064516E-2</v>
      </c>
      <c r="X62">
        <v>45</v>
      </c>
      <c r="Y62">
        <f t="shared" ca="1" si="7"/>
        <v>44</v>
      </c>
    </row>
    <row r="63" spans="2:25" x14ac:dyDescent="0.4">
      <c r="B63" cm="1">
        <f t="array" aca="1" ref="B63" ca="1">INDEX(OFFSET(auto_ss_All_Scoring,0,1,500,1),X63)</f>
        <v>46</v>
      </c>
      <c r="C63" t="str" cm="1">
        <f t="array" aca="1" ref="C63" ca="1">IF(B63=0,"",INDEX(auto_Series_Code,B63))</f>
        <v>SUBINDI_024</v>
      </c>
      <c r="D63" t="str" cm="1">
        <f t="array" aca="1" ref="D63" ca="1">IF(B63=0,"",INDEX(auto_Series_ParentCode,B63))</f>
        <v>INDI_018</v>
      </c>
      <c r="E63" cm="1">
        <f t="array" aca="1" ref="E63" ca="1">IF(B63=0,"",INDEX(auto_Series_Depth,B63))</f>
        <v>3</v>
      </c>
      <c r="F63" cm="1">
        <f t="array" aca="1" ref="F63" ca="1">IF(B63=0,0,INDEX($J63:$S63,$C$2))</f>
        <v>1</v>
      </c>
      <c r="G63">
        <f t="shared" ca="1" si="5"/>
        <v>0.5</v>
      </c>
      <c r="H63">
        <f ca="1">IFERROR(INDEX(OFFSET(Weights!$M$25,0,0,500,1),MATCH($B63,OFFSET(Weights!$G$25,0,0,500,1),0)),1)</f>
        <v>1</v>
      </c>
      <c r="I63">
        <f t="shared" ca="1" si="6"/>
        <v>0.5</v>
      </c>
      <c r="J63">
        <v>1</v>
      </c>
      <c r="K63">
        <v>1</v>
      </c>
      <c r="L63">
        <v>1</v>
      </c>
      <c r="M63">
        <v>1</v>
      </c>
      <c r="N63">
        <v>1</v>
      </c>
      <c r="O63">
        <f t="shared" si="0"/>
        <v>1</v>
      </c>
      <c r="P63">
        <f t="shared" si="0"/>
        <v>1</v>
      </c>
      <c r="Q63">
        <f t="shared" si="0"/>
        <v>1</v>
      </c>
      <c r="R63">
        <f t="shared" si="0"/>
        <v>1</v>
      </c>
      <c r="S63">
        <f t="shared" si="0"/>
        <v>1</v>
      </c>
      <c r="U63" cm="1">
        <f t="array" aca="1" ref="U63" ca="1">IF($B63=0,0,IF($E63=0,0,IF($F63=0,0,IF($E63=1,$F63/SUMIF(OFFSET($E$18,0,0,$C$3,$E63),$E63,OFFSET($F$18,0,0,$C$3,$E63)),$G63*INDEX(OFFSET(U$18,0,0,$C$3,1),$Y63)))))</f>
        <v>1.6129032258064516E-2</v>
      </c>
      <c r="V63" cm="1">
        <f t="array" aca="1" ref="V63" ca="1">IF($B63=0,0,IF($E63=0,0,IF($H63=0,0,IF($E63=1,$H63/SUMIF(OFFSET($E$18,0,0,$C$3,$E63),$E63,OFFSET($H$18,0,0,$C$3,$E63)),$I63*INDEX(OFFSET(V$18,0,0,$C$3,1),$Y63)))))</f>
        <v>1.6129032258064516E-2</v>
      </c>
      <c r="X63">
        <v>46</v>
      </c>
      <c r="Y63">
        <f t="shared" ca="1" si="7"/>
        <v>44</v>
      </c>
    </row>
    <row r="64" spans="2:25" x14ac:dyDescent="0.4">
      <c r="B64" cm="1">
        <f t="array" aca="1" ref="B64" ca="1">INDEX(OFFSET(auto_ss_All_Scoring,0,1,500,1),X64)</f>
        <v>47</v>
      </c>
      <c r="C64" t="str" cm="1">
        <f t="array" aca="1" ref="C64" ca="1">IF(B64=0,"",INDEX(auto_Series_Code,B64))</f>
        <v>DOMAIN_004</v>
      </c>
      <c r="D64" t="str" cm="1">
        <f t="array" aca="1" ref="D64" ca="1">IF(B64=0,"",INDEX(auto_Series_ParentCode,B64))</f>
        <v>OVERALL</v>
      </c>
      <c r="E64" cm="1">
        <f t="array" aca="1" ref="E64" ca="1">IF(B64=0,"",INDEX(auto_Series_Depth,B64))</f>
        <v>1</v>
      </c>
      <c r="F64" cm="1">
        <f t="array" aca="1" ref="F64" ca="1">IF(B64=0,0,INDEX($J64:$S64,$C$2))</f>
        <v>4</v>
      </c>
      <c r="G64">
        <f t="shared" ca="1" si="5"/>
        <v>0.12903225806451613</v>
      </c>
      <c r="H64">
        <f ca="1">IFERROR(INDEX(OFFSET(Weights!$M$25,0,0,500,1),MATCH($B64,OFFSET(Weights!$G$25,0,0,500,1),0)),1)</f>
        <v>4</v>
      </c>
      <c r="I64">
        <f t="shared" ca="1" si="6"/>
        <v>0.12903225806451613</v>
      </c>
      <c r="J64">
        <v>4</v>
      </c>
      <c r="K64">
        <v>1</v>
      </c>
      <c r="L64">
        <v>1</v>
      </c>
      <c r="M64">
        <v>1</v>
      </c>
      <c r="N64">
        <v>1</v>
      </c>
      <c r="O64">
        <f t="shared" si="0"/>
        <v>1</v>
      </c>
      <c r="P64">
        <f t="shared" si="0"/>
        <v>1</v>
      </c>
      <c r="Q64">
        <f t="shared" si="0"/>
        <v>1</v>
      </c>
      <c r="R64">
        <f t="shared" si="0"/>
        <v>1</v>
      </c>
      <c r="S64">
        <f t="shared" si="0"/>
        <v>1</v>
      </c>
      <c r="U64" cm="1">
        <f t="array" aca="1" ref="U64" ca="1">IF($B64=0,0,IF($E64=0,0,IF($F64=0,0,IF($E64=1,$F64/SUMIF(OFFSET($E$18,0,0,$C$3,$E64),$E64,OFFSET($F$18,0,0,$C$3,$E64)),$G64*INDEX(OFFSET(U$18,0,0,$C$3,1),$Y64)))))</f>
        <v>0.12903225806451613</v>
      </c>
      <c r="V64" cm="1">
        <f t="array" aca="1" ref="V64" ca="1">IF($B64=0,0,IF($E64=0,0,IF($H64=0,0,IF($E64=1,$H64/SUMIF(OFFSET($E$18,0,0,$C$3,$E64),$E64,OFFSET($H$18,0,0,$C$3,$E64)),$I64*INDEX(OFFSET(V$18,0,0,$C$3,1),$Y64)))))</f>
        <v>0.12903225806451613</v>
      </c>
      <c r="X64">
        <v>47</v>
      </c>
      <c r="Y64">
        <f t="shared" ca="1" si="7"/>
        <v>1</v>
      </c>
    </row>
    <row r="65" spans="2:25" x14ac:dyDescent="0.4">
      <c r="B65" cm="1">
        <f t="array" aca="1" ref="B65" ca="1">INDEX(OFFSET(auto_ss_All_Scoring,0,1,500,1),X65)</f>
        <v>48</v>
      </c>
      <c r="C65" t="str" cm="1">
        <f t="array" aca="1" ref="C65" ca="1">IF(B65=0,"",INDEX(auto_Series_Code,B65))</f>
        <v>INDI_019</v>
      </c>
      <c r="D65" t="str" cm="1">
        <f t="array" aca="1" ref="D65" ca="1">IF(B65=0,"",INDEX(auto_Series_ParentCode,B65))</f>
        <v>DOMAIN_004</v>
      </c>
      <c r="E65" cm="1">
        <f t="array" aca="1" ref="E65" ca="1">IF(B65=0,"",INDEX(auto_Series_Depth,B65))</f>
        <v>2</v>
      </c>
      <c r="F65" cm="1">
        <f t="array" aca="1" ref="F65" ca="1">IF(B65=0,0,INDEX($J65:$S65,$C$2))</f>
        <v>1</v>
      </c>
      <c r="G65">
        <f t="shared" ca="1" si="5"/>
        <v>0.25</v>
      </c>
      <c r="H65">
        <f ca="1">IFERROR(INDEX(OFFSET(Weights!$M$25,0,0,500,1),MATCH($B65,OFFSET(Weights!$G$25,0,0,500,1),0)),1)</f>
        <v>1</v>
      </c>
      <c r="I65">
        <f t="shared" ca="1" si="6"/>
        <v>0.25</v>
      </c>
      <c r="J65">
        <v>1</v>
      </c>
      <c r="K65">
        <v>1</v>
      </c>
      <c r="L65">
        <v>1</v>
      </c>
      <c r="M65">
        <v>1</v>
      </c>
      <c r="N65">
        <v>1</v>
      </c>
      <c r="O65">
        <f t="shared" si="0"/>
        <v>1</v>
      </c>
      <c r="P65">
        <f t="shared" si="0"/>
        <v>1</v>
      </c>
      <c r="Q65">
        <f t="shared" si="0"/>
        <v>1</v>
      </c>
      <c r="R65">
        <f t="shared" si="0"/>
        <v>1</v>
      </c>
      <c r="S65">
        <f t="shared" si="0"/>
        <v>1</v>
      </c>
      <c r="U65" cm="1">
        <f t="array" aca="1" ref="U65" ca="1">IF($B65=0,0,IF($E65=0,0,IF($F65=0,0,IF($E65=1,$F65/SUMIF(OFFSET($E$18,0,0,$C$3,$E65),$E65,OFFSET($F$18,0,0,$C$3,$E65)),$G65*INDEX(OFFSET(U$18,0,0,$C$3,1),$Y65)))))</f>
        <v>3.2258064516129031E-2</v>
      </c>
      <c r="V65" cm="1">
        <f t="array" aca="1" ref="V65" ca="1">IF($B65=0,0,IF($E65=0,0,IF($H65=0,0,IF($E65=1,$H65/SUMIF(OFFSET($E$18,0,0,$C$3,$E65),$E65,OFFSET($H$18,0,0,$C$3,$E65)),$I65*INDEX(OFFSET(V$18,0,0,$C$3,1),$Y65)))))</f>
        <v>3.2258064516129031E-2</v>
      </c>
      <c r="X65">
        <v>48</v>
      </c>
      <c r="Y65">
        <f t="shared" ca="1" si="7"/>
        <v>47</v>
      </c>
    </row>
    <row r="66" spans="2:25" x14ac:dyDescent="0.4">
      <c r="B66" cm="1">
        <f t="array" aca="1" ref="B66" ca="1">INDEX(OFFSET(auto_ss_All_Scoring,0,1,500,1),X66)</f>
        <v>49</v>
      </c>
      <c r="C66" t="str" cm="1">
        <f t="array" aca="1" ref="C66" ca="1">IF(B66=0,"",INDEX(auto_Series_Code,B66))</f>
        <v>INDI_020</v>
      </c>
      <c r="D66" t="str" cm="1">
        <f t="array" aca="1" ref="D66" ca="1">IF(B66=0,"",INDEX(auto_Series_ParentCode,B66))</f>
        <v>DOMAIN_004</v>
      </c>
      <c r="E66" cm="1">
        <f t="array" aca="1" ref="E66" ca="1">IF(B66=0,"",INDEX(auto_Series_Depth,B66))</f>
        <v>2</v>
      </c>
      <c r="F66" cm="1">
        <f t="array" aca="1" ref="F66" ca="1">IF(B66=0,0,INDEX($J66:$S66,$C$2))</f>
        <v>1</v>
      </c>
      <c r="G66">
        <f t="shared" ca="1" si="5"/>
        <v>0.25</v>
      </c>
      <c r="H66">
        <f ca="1">IFERROR(INDEX(OFFSET(Weights!$M$25,0,0,500,1),MATCH($B66,OFFSET(Weights!$G$25,0,0,500,1),0)),1)</f>
        <v>1</v>
      </c>
      <c r="I66">
        <f t="shared" ca="1" si="6"/>
        <v>0.25</v>
      </c>
      <c r="J66">
        <v>1</v>
      </c>
      <c r="K66">
        <v>1</v>
      </c>
      <c r="L66">
        <v>1</v>
      </c>
      <c r="M66">
        <v>1</v>
      </c>
      <c r="N66">
        <v>1</v>
      </c>
      <c r="O66">
        <f t="shared" si="0"/>
        <v>1</v>
      </c>
      <c r="P66">
        <f t="shared" si="0"/>
        <v>1</v>
      </c>
      <c r="Q66">
        <f t="shared" si="0"/>
        <v>1</v>
      </c>
      <c r="R66">
        <f t="shared" si="0"/>
        <v>1</v>
      </c>
      <c r="S66">
        <f t="shared" si="0"/>
        <v>1</v>
      </c>
      <c r="U66" cm="1">
        <f t="array" aca="1" ref="U66" ca="1">IF($B66=0,0,IF($E66=0,0,IF($F66=0,0,IF($E66=1,$F66/SUMIF(OFFSET($E$18,0,0,$C$3,$E66),$E66,OFFSET($F$18,0,0,$C$3,$E66)),$G66*INDEX(OFFSET(U$18,0,0,$C$3,1),$Y66)))))</f>
        <v>3.2258064516129031E-2</v>
      </c>
      <c r="V66" cm="1">
        <f t="array" aca="1" ref="V66" ca="1">IF($B66=0,0,IF($E66=0,0,IF($H66=0,0,IF($E66=1,$H66/SUMIF(OFFSET($E$18,0,0,$C$3,$E66),$E66,OFFSET($H$18,0,0,$C$3,$E66)),$I66*INDEX(OFFSET(V$18,0,0,$C$3,1),$Y66)))))</f>
        <v>3.2258064516129031E-2</v>
      </c>
      <c r="X66">
        <v>49</v>
      </c>
      <c r="Y66">
        <f t="shared" ca="1" si="7"/>
        <v>47</v>
      </c>
    </row>
    <row r="67" spans="2:25" x14ac:dyDescent="0.4">
      <c r="B67" cm="1">
        <f t="array" aca="1" ref="B67" ca="1">INDEX(OFFSET(auto_ss_All_Scoring,0,1,500,1),X67)</f>
        <v>50</v>
      </c>
      <c r="C67" t="str" cm="1">
        <f t="array" aca="1" ref="C67" ca="1">IF(B67=0,"",INDEX(auto_Series_Code,B67))</f>
        <v>INDI_021</v>
      </c>
      <c r="D67" t="str" cm="1">
        <f t="array" aca="1" ref="D67" ca="1">IF(B67=0,"",INDEX(auto_Series_ParentCode,B67))</f>
        <v>DOMAIN_004</v>
      </c>
      <c r="E67" cm="1">
        <f t="array" aca="1" ref="E67" ca="1">IF(B67=0,"",INDEX(auto_Series_Depth,B67))</f>
        <v>2</v>
      </c>
      <c r="F67" cm="1">
        <f t="array" aca="1" ref="F67" ca="1">IF(B67=0,0,INDEX($J67:$S67,$C$2))</f>
        <v>1</v>
      </c>
      <c r="G67">
        <f t="shared" ca="1" si="5"/>
        <v>0.25</v>
      </c>
      <c r="H67">
        <f ca="1">IFERROR(INDEX(OFFSET(Weights!$M$25,0,0,500,1),MATCH($B67,OFFSET(Weights!$G$25,0,0,500,1),0)),1)</f>
        <v>1</v>
      </c>
      <c r="I67">
        <f t="shared" ca="1" si="6"/>
        <v>0.25</v>
      </c>
      <c r="J67">
        <v>1</v>
      </c>
      <c r="K67">
        <v>1</v>
      </c>
      <c r="L67">
        <v>1</v>
      </c>
      <c r="M67">
        <v>1</v>
      </c>
      <c r="N67">
        <v>1</v>
      </c>
      <c r="O67">
        <f t="shared" si="0"/>
        <v>1</v>
      </c>
      <c r="P67">
        <f t="shared" si="0"/>
        <v>1</v>
      </c>
      <c r="Q67">
        <f t="shared" si="0"/>
        <v>1</v>
      </c>
      <c r="R67">
        <f t="shared" si="0"/>
        <v>1</v>
      </c>
      <c r="S67">
        <f t="shared" si="0"/>
        <v>1</v>
      </c>
      <c r="U67" cm="1">
        <f t="array" aca="1" ref="U67" ca="1">IF($B67=0,0,IF($E67=0,0,IF($F67=0,0,IF($E67=1,$F67/SUMIF(OFFSET($E$18,0,0,$C$3,$E67),$E67,OFFSET($F$18,0,0,$C$3,$E67)),$G67*INDEX(OFFSET(U$18,0,0,$C$3,1),$Y67)))))</f>
        <v>3.2258064516129031E-2</v>
      </c>
      <c r="V67" cm="1">
        <f t="array" aca="1" ref="V67" ca="1">IF($B67=0,0,IF($E67=0,0,IF($H67=0,0,IF($E67=1,$H67/SUMIF(OFFSET($E$18,0,0,$C$3,$E67),$E67,OFFSET($H$18,0,0,$C$3,$E67)),$I67*INDEX(OFFSET(V$18,0,0,$C$3,1),$Y67)))))</f>
        <v>3.2258064516129031E-2</v>
      </c>
      <c r="X67">
        <v>50</v>
      </c>
      <c r="Y67">
        <f t="shared" ca="1" si="7"/>
        <v>47</v>
      </c>
    </row>
    <row r="68" spans="2:25" x14ac:dyDescent="0.4">
      <c r="B68" cm="1">
        <f t="array" aca="1" ref="B68" ca="1">INDEX(OFFSET(auto_ss_All_Scoring,0,1,500,1),X68)</f>
        <v>51</v>
      </c>
      <c r="C68" t="str" cm="1">
        <f t="array" aca="1" ref="C68" ca="1">IF(B68=0,"",INDEX(auto_Series_Code,B68))</f>
        <v>INDI_022</v>
      </c>
      <c r="D68" t="str" cm="1">
        <f t="array" aca="1" ref="D68" ca="1">IF(B68=0,"",INDEX(auto_Series_ParentCode,B68))</f>
        <v>DOMAIN_004</v>
      </c>
      <c r="E68" cm="1">
        <f t="array" aca="1" ref="E68" ca="1">IF(B68=0,"",INDEX(auto_Series_Depth,B68))</f>
        <v>2</v>
      </c>
      <c r="F68" cm="1">
        <f t="array" aca="1" ref="F68" ca="1">IF(B68=0,0,INDEX($J68:$S68,$C$2))</f>
        <v>1</v>
      </c>
      <c r="G68">
        <f t="shared" ca="1" si="5"/>
        <v>0.25</v>
      </c>
      <c r="H68">
        <f ca="1">IFERROR(INDEX(OFFSET(Weights!$M$25,0,0,500,1),MATCH($B68,OFFSET(Weights!$G$25,0,0,500,1),0)),1)</f>
        <v>1</v>
      </c>
      <c r="I68">
        <f t="shared" ca="1" si="6"/>
        <v>0.25</v>
      </c>
      <c r="J68">
        <v>1</v>
      </c>
      <c r="K68">
        <v>1</v>
      </c>
      <c r="L68">
        <v>1</v>
      </c>
      <c r="M68">
        <v>1</v>
      </c>
      <c r="N68">
        <v>1</v>
      </c>
      <c r="O68">
        <f t="shared" si="0"/>
        <v>1</v>
      </c>
      <c r="P68">
        <f t="shared" si="0"/>
        <v>1</v>
      </c>
      <c r="Q68">
        <f t="shared" si="0"/>
        <v>1</v>
      </c>
      <c r="R68">
        <f t="shared" si="0"/>
        <v>1</v>
      </c>
      <c r="S68">
        <f t="shared" si="0"/>
        <v>1</v>
      </c>
      <c r="U68" cm="1">
        <f t="array" aca="1" ref="U68" ca="1">IF($B68=0,0,IF($E68=0,0,IF($F68=0,0,IF($E68=1,$F68/SUMIF(OFFSET($E$18,0,0,$C$3,$E68),$E68,OFFSET($F$18,0,0,$C$3,$E68)),$G68*INDEX(OFFSET(U$18,0,0,$C$3,1),$Y68)))))</f>
        <v>3.2258064516129031E-2</v>
      </c>
      <c r="V68" cm="1">
        <f t="array" aca="1" ref="V68" ca="1">IF($B68=0,0,IF($E68=0,0,IF($H68=0,0,IF($E68=1,$H68/SUMIF(OFFSET($E$18,0,0,$C$3,$E68),$E68,OFFSET($H$18,0,0,$C$3,$E68)),$I68*INDEX(OFFSET(V$18,0,0,$C$3,1),$Y68)))))</f>
        <v>3.2258064516129031E-2</v>
      </c>
      <c r="X68">
        <v>51</v>
      </c>
      <c r="Y68">
        <f t="shared" ca="1" si="7"/>
        <v>47</v>
      </c>
    </row>
    <row r="69" spans="2:25" x14ac:dyDescent="0.4">
      <c r="B69" cm="1">
        <f t="array" aca="1" ref="B69" ca="1">INDEX(OFFSET(auto_ss_All_Scoring,0,1,500,1),X69)</f>
        <v>52</v>
      </c>
      <c r="C69" t="str" cm="1">
        <f t="array" aca="1" ref="C69" ca="1">IF(B69=0,"",INDEX(auto_Series_Code,B69))</f>
        <v>DOMAIN_005</v>
      </c>
      <c r="D69" t="str" cm="1">
        <f t="array" aca="1" ref="D69" ca="1">IF(B69=0,"",INDEX(auto_Series_ParentCode,B69))</f>
        <v>OVERALL</v>
      </c>
      <c r="E69" cm="1">
        <f t="array" aca="1" ref="E69" ca="1">IF(B69=0,"",INDEX(auto_Series_Depth,B69))</f>
        <v>1</v>
      </c>
      <c r="F69" cm="1">
        <f t="array" aca="1" ref="F69" ca="1">IF(B69=0,0,INDEX($J69:$S69,$C$2))</f>
        <v>9</v>
      </c>
      <c r="G69">
        <f t="shared" ca="1" si="5"/>
        <v>0.29032258064516131</v>
      </c>
      <c r="H69">
        <f ca="1">IFERROR(INDEX(OFFSET(Weights!$M$25,0,0,500,1),MATCH($B69,OFFSET(Weights!$G$25,0,0,500,1),0)),1)</f>
        <v>9</v>
      </c>
      <c r="I69">
        <f t="shared" ca="1" si="6"/>
        <v>0.29032258064516131</v>
      </c>
      <c r="J69">
        <v>9</v>
      </c>
      <c r="K69">
        <v>1</v>
      </c>
      <c r="L69">
        <v>1</v>
      </c>
      <c r="M69">
        <v>1</v>
      </c>
      <c r="N69">
        <v>1</v>
      </c>
      <c r="O69">
        <f t="shared" si="0"/>
        <v>1</v>
      </c>
      <c r="P69">
        <f t="shared" si="0"/>
        <v>1</v>
      </c>
      <c r="Q69">
        <f t="shared" si="0"/>
        <v>1</v>
      </c>
      <c r="R69">
        <f t="shared" si="0"/>
        <v>1</v>
      </c>
      <c r="S69">
        <f t="shared" si="0"/>
        <v>1</v>
      </c>
      <c r="U69" cm="1">
        <f t="array" aca="1" ref="U69" ca="1">IF($B69=0,0,IF($E69=0,0,IF($F69=0,0,IF($E69=1,$F69/SUMIF(OFFSET($E$18,0,0,$C$3,$E69),$E69,OFFSET($F$18,0,0,$C$3,$E69)),$G69*INDEX(OFFSET(U$18,0,0,$C$3,1),$Y69)))))</f>
        <v>0.29032258064516131</v>
      </c>
      <c r="V69" cm="1">
        <f t="array" aca="1" ref="V69" ca="1">IF($B69=0,0,IF($E69=0,0,IF($H69=0,0,IF($E69=1,$H69/SUMIF(OFFSET($E$18,0,0,$C$3,$E69),$E69,OFFSET($H$18,0,0,$C$3,$E69)),$I69*INDEX(OFFSET(V$18,0,0,$C$3,1),$Y69)))))</f>
        <v>0.29032258064516131</v>
      </c>
      <c r="X69">
        <v>52</v>
      </c>
      <c r="Y69">
        <f t="shared" ca="1" si="7"/>
        <v>1</v>
      </c>
    </row>
    <row r="70" spans="2:25" x14ac:dyDescent="0.4">
      <c r="B70" cm="1">
        <f t="array" aca="1" ref="B70" ca="1">INDEX(OFFSET(auto_ss_All_Scoring,0,1,500,1),X70)</f>
        <v>53</v>
      </c>
      <c r="C70" t="str" cm="1">
        <f t="array" aca="1" ref="C70" ca="1">IF(B70=0,"",INDEX(auto_Series_Code,B70))</f>
        <v>INDI_024</v>
      </c>
      <c r="D70" t="str" cm="1">
        <f t="array" aca="1" ref="D70" ca="1">IF(B70=0,"",INDEX(auto_Series_ParentCode,B70))</f>
        <v>DOMAIN_005</v>
      </c>
      <c r="E70" cm="1">
        <f t="array" aca="1" ref="E70" ca="1">IF(B70=0,"",INDEX(auto_Series_Depth,B70))</f>
        <v>2</v>
      </c>
      <c r="F70" cm="1">
        <f t="array" aca="1" ref="F70" ca="1">IF(B70=0,0,INDEX($J70:$S70,$C$2))</f>
        <v>1</v>
      </c>
      <c r="G70">
        <f t="shared" ca="1" si="5"/>
        <v>0.1111111111111111</v>
      </c>
      <c r="H70">
        <f ca="1">IFERROR(INDEX(OFFSET(Weights!$M$25,0,0,500,1),MATCH($B70,OFFSET(Weights!$G$25,0,0,500,1),0)),1)</f>
        <v>1</v>
      </c>
      <c r="I70">
        <f t="shared" ca="1" si="6"/>
        <v>0.1111111111111111</v>
      </c>
      <c r="J70">
        <v>1</v>
      </c>
      <c r="K70">
        <v>1</v>
      </c>
      <c r="L70">
        <v>1</v>
      </c>
      <c r="M70">
        <v>1</v>
      </c>
      <c r="N70">
        <v>1</v>
      </c>
      <c r="O70">
        <f t="shared" si="0"/>
        <v>1</v>
      </c>
      <c r="P70">
        <f t="shared" si="0"/>
        <v>1</v>
      </c>
      <c r="Q70">
        <f t="shared" si="0"/>
        <v>1</v>
      </c>
      <c r="R70">
        <f t="shared" si="0"/>
        <v>1</v>
      </c>
      <c r="S70">
        <f t="shared" si="0"/>
        <v>1</v>
      </c>
      <c r="U70" cm="1">
        <f t="array" aca="1" ref="U70" ca="1">IF($B70=0,0,IF($E70=0,0,IF($F70=0,0,IF($E70=1,$F70/SUMIF(OFFSET($E$18,0,0,$C$3,$E70),$E70,OFFSET($F$18,0,0,$C$3,$E70)),$G70*INDEX(OFFSET(U$18,0,0,$C$3,1),$Y70)))))</f>
        <v>3.2258064516129031E-2</v>
      </c>
      <c r="V70" cm="1">
        <f t="array" aca="1" ref="V70" ca="1">IF($B70=0,0,IF($E70=0,0,IF($H70=0,0,IF($E70=1,$H70/SUMIF(OFFSET($E$18,0,0,$C$3,$E70),$E70,OFFSET($H$18,0,0,$C$3,$E70)),$I70*INDEX(OFFSET(V$18,0,0,$C$3,1),$Y70)))))</f>
        <v>3.2258064516129031E-2</v>
      </c>
      <c r="X70">
        <v>53</v>
      </c>
      <c r="Y70">
        <f t="shared" ca="1" si="7"/>
        <v>52</v>
      </c>
    </row>
    <row r="71" spans="2:25" x14ac:dyDescent="0.4">
      <c r="B71" cm="1">
        <f t="array" aca="1" ref="B71" ca="1">INDEX(OFFSET(auto_ss_All_Scoring,0,1,500,1),X71)</f>
        <v>54</v>
      </c>
      <c r="C71" t="str" cm="1">
        <f t="array" aca="1" ref="C71" ca="1">IF(B71=0,"",INDEX(auto_Series_Code,B71))</f>
        <v>INDI_025</v>
      </c>
      <c r="D71" t="str" cm="1">
        <f t="array" aca="1" ref="D71" ca="1">IF(B71=0,"",INDEX(auto_Series_ParentCode,B71))</f>
        <v>DOMAIN_005</v>
      </c>
      <c r="E71" cm="1">
        <f t="array" aca="1" ref="E71" ca="1">IF(B71=0,"",INDEX(auto_Series_Depth,B71))</f>
        <v>2</v>
      </c>
      <c r="F71" cm="1">
        <f t="array" aca="1" ref="F71" ca="1">IF(B71=0,0,INDEX($J71:$S71,$C$2))</f>
        <v>1</v>
      </c>
      <c r="G71">
        <f t="shared" ca="1" si="5"/>
        <v>0.1111111111111111</v>
      </c>
      <c r="H71">
        <f ca="1">IFERROR(INDEX(OFFSET(Weights!$M$25,0,0,500,1),MATCH($B71,OFFSET(Weights!$G$25,0,0,500,1),0)),1)</f>
        <v>1</v>
      </c>
      <c r="I71">
        <f t="shared" ca="1" si="6"/>
        <v>0.1111111111111111</v>
      </c>
      <c r="J71">
        <v>1</v>
      </c>
      <c r="K71">
        <v>1</v>
      </c>
      <c r="L71">
        <v>1</v>
      </c>
      <c r="M71">
        <v>1</v>
      </c>
      <c r="N71">
        <v>1</v>
      </c>
      <c r="O71">
        <f t="shared" si="0"/>
        <v>1</v>
      </c>
      <c r="P71">
        <f t="shared" si="0"/>
        <v>1</v>
      </c>
      <c r="Q71">
        <f t="shared" si="0"/>
        <v>1</v>
      </c>
      <c r="R71">
        <f t="shared" si="0"/>
        <v>1</v>
      </c>
      <c r="S71">
        <f t="shared" si="0"/>
        <v>1</v>
      </c>
      <c r="U71" cm="1">
        <f t="array" aca="1" ref="U71" ca="1">IF($B71=0,0,IF($E71=0,0,IF($F71=0,0,IF($E71=1,$F71/SUMIF(OFFSET($E$18,0,0,$C$3,$E71),$E71,OFFSET($F$18,0,0,$C$3,$E71)),$G71*INDEX(OFFSET(U$18,0,0,$C$3,1),$Y71)))))</f>
        <v>3.2258064516129031E-2</v>
      </c>
      <c r="V71" cm="1">
        <f t="array" aca="1" ref="V71" ca="1">IF($B71=0,0,IF($E71=0,0,IF($H71=0,0,IF($E71=1,$H71/SUMIF(OFFSET($E$18,0,0,$C$3,$E71),$E71,OFFSET($H$18,0,0,$C$3,$E71)),$I71*INDEX(OFFSET(V$18,0,0,$C$3,1),$Y71)))))</f>
        <v>3.2258064516129031E-2</v>
      </c>
      <c r="X71">
        <v>54</v>
      </c>
      <c r="Y71">
        <f t="shared" ca="1" si="7"/>
        <v>52</v>
      </c>
    </row>
    <row r="72" spans="2:25" x14ac:dyDescent="0.4">
      <c r="B72" cm="1">
        <f t="array" aca="1" ref="B72" ca="1">INDEX(OFFSET(auto_ss_All_Scoring,0,1,500,1),X72)</f>
        <v>55</v>
      </c>
      <c r="C72" t="str" cm="1">
        <f t="array" aca="1" ref="C72" ca="1">IF(B72=0,"",INDEX(auto_Series_Code,B72))</f>
        <v>INDI_026</v>
      </c>
      <c r="D72" t="str" cm="1">
        <f t="array" aca="1" ref="D72" ca="1">IF(B72=0,"",INDEX(auto_Series_ParentCode,B72))</f>
        <v>DOMAIN_005</v>
      </c>
      <c r="E72" cm="1">
        <f t="array" aca="1" ref="E72" ca="1">IF(B72=0,"",INDEX(auto_Series_Depth,B72))</f>
        <v>2</v>
      </c>
      <c r="F72" cm="1">
        <f t="array" aca="1" ref="F72" ca="1">IF(B72=0,0,INDEX($J72:$S72,$C$2))</f>
        <v>1</v>
      </c>
      <c r="G72">
        <f t="shared" ca="1" si="5"/>
        <v>0.1111111111111111</v>
      </c>
      <c r="H72">
        <f ca="1">IFERROR(INDEX(OFFSET(Weights!$M$25,0,0,500,1),MATCH($B72,OFFSET(Weights!$G$25,0,0,500,1),0)),1)</f>
        <v>1</v>
      </c>
      <c r="I72">
        <f t="shared" ca="1" si="6"/>
        <v>0.1111111111111111</v>
      </c>
      <c r="J72">
        <v>1</v>
      </c>
      <c r="K72">
        <v>1</v>
      </c>
      <c r="L72">
        <v>1</v>
      </c>
      <c r="M72">
        <v>1</v>
      </c>
      <c r="N72">
        <v>1</v>
      </c>
      <c r="O72">
        <f t="shared" si="0"/>
        <v>1</v>
      </c>
      <c r="P72">
        <f t="shared" si="0"/>
        <v>1</v>
      </c>
      <c r="Q72">
        <f t="shared" si="0"/>
        <v>1</v>
      </c>
      <c r="R72">
        <f t="shared" si="0"/>
        <v>1</v>
      </c>
      <c r="S72">
        <f t="shared" si="0"/>
        <v>1</v>
      </c>
      <c r="U72" cm="1">
        <f t="array" aca="1" ref="U72" ca="1">IF($B72=0,0,IF($E72=0,0,IF($F72=0,0,IF($E72=1,$F72/SUMIF(OFFSET($E$18,0,0,$C$3,$E72),$E72,OFFSET($F$18,0,0,$C$3,$E72)),$G72*INDEX(OFFSET(U$18,0,0,$C$3,1),$Y72)))))</f>
        <v>3.2258064516129031E-2</v>
      </c>
      <c r="V72" cm="1">
        <f t="array" aca="1" ref="V72" ca="1">IF($B72=0,0,IF($E72=0,0,IF($H72=0,0,IF($E72=1,$H72/SUMIF(OFFSET($E$18,0,0,$C$3,$E72),$E72,OFFSET($H$18,0,0,$C$3,$E72)),$I72*INDEX(OFFSET(V$18,0,0,$C$3,1),$Y72)))))</f>
        <v>3.2258064516129031E-2</v>
      </c>
      <c r="X72">
        <v>55</v>
      </c>
      <c r="Y72">
        <f t="shared" ca="1" si="7"/>
        <v>52</v>
      </c>
    </row>
    <row r="73" spans="2:25" x14ac:dyDescent="0.4">
      <c r="B73" cm="1">
        <f t="array" aca="1" ref="B73" ca="1">INDEX(OFFSET(auto_ss_All_Scoring,0,1,500,1),X73)</f>
        <v>56</v>
      </c>
      <c r="C73" t="str" cm="1">
        <f t="array" aca="1" ref="C73" ca="1">IF(B73=0,"",INDEX(auto_Series_Code,B73))</f>
        <v>SUBINDI_025</v>
      </c>
      <c r="D73" t="str" cm="1">
        <f t="array" aca="1" ref="D73" ca="1">IF(B73=0,"",INDEX(auto_Series_ParentCode,B73))</f>
        <v>INDI_026</v>
      </c>
      <c r="E73" cm="1">
        <f t="array" aca="1" ref="E73" ca="1">IF(B73=0,"",INDEX(auto_Series_Depth,B73))</f>
        <v>3</v>
      </c>
      <c r="F73" cm="1">
        <f t="array" aca="1" ref="F73" ca="1">IF(B73=0,0,INDEX($J73:$S73,$C$2))</f>
        <v>1</v>
      </c>
      <c r="G73">
        <f t="shared" ca="1" si="5"/>
        <v>0.5</v>
      </c>
      <c r="H73">
        <f ca="1">IFERROR(INDEX(OFFSET(Weights!$M$25,0,0,500,1),MATCH($B73,OFFSET(Weights!$G$25,0,0,500,1),0)),1)</f>
        <v>1</v>
      </c>
      <c r="I73">
        <f t="shared" ca="1" si="6"/>
        <v>0.5</v>
      </c>
      <c r="J73">
        <v>1</v>
      </c>
      <c r="K73">
        <v>1</v>
      </c>
      <c r="L73">
        <v>1</v>
      </c>
      <c r="M73">
        <v>1</v>
      </c>
      <c r="N73">
        <v>1</v>
      </c>
      <c r="O73">
        <f t="shared" si="0"/>
        <v>1</v>
      </c>
      <c r="P73">
        <f t="shared" si="0"/>
        <v>1</v>
      </c>
      <c r="Q73">
        <f t="shared" si="0"/>
        <v>1</v>
      </c>
      <c r="R73">
        <f t="shared" si="0"/>
        <v>1</v>
      </c>
      <c r="S73">
        <f t="shared" si="0"/>
        <v>1</v>
      </c>
      <c r="U73" cm="1">
        <f t="array" aca="1" ref="U73" ca="1">IF($B73=0,0,IF($E73=0,0,IF($F73=0,0,IF($E73=1,$F73/SUMIF(OFFSET($E$18,0,0,$C$3,$E73),$E73,OFFSET($F$18,0,0,$C$3,$E73)),$G73*INDEX(OFFSET(U$18,0,0,$C$3,1),$Y73)))))</f>
        <v>1.6129032258064516E-2</v>
      </c>
      <c r="V73" cm="1">
        <f t="array" aca="1" ref="V73" ca="1">IF($B73=0,0,IF($E73=0,0,IF($H73=0,0,IF($E73=1,$H73/SUMIF(OFFSET($E$18,0,0,$C$3,$E73),$E73,OFFSET($H$18,0,0,$C$3,$E73)),$I73*INDEX(OFFSET(V$18,0,0,$C$3,1),$Y73)))))</f>
        <v>1.6129032258064516E-2</v>
      </c>
      <c r="X73">
        <v>56</v>
      </c>
      <c r="Y73">
        <f t="shared" ca="1" si="7"/>
        <v>55</v>
      </c>
    </row>
    <row r="74" spans="2:25" x14ac:dyDescent="0.4">
      <c r="B74" cm="1">
        <f t="array" aca="1" ref="B74" ca="1">INDEX(OFFSET(auto_ss_All_Scoring,0,1,500,1),X74)</f>
        <v>57</v>
      </c>
      <c r="C74" t="str" cm="1">
        <f t="array" aca="1" ref="C74" ca="1">IF(B74=0,"",INDEX(auto_Series_Code,B74))</f>
        <v>SUBINDI_026</v>
      </c>
      <c r="D74" t="str" cm="1">
        <f t="array" aca="1" ref="D74" ca="1">IF(B74=0,"",INDEX(auto_Series_ParentCode,B74))</f>
        <v>INDI_026</v>
      </c>
      <c r="E74" cm="1">
        <f t="array" aca="1" ref="E74" ca="1">IF(B74=0,"",INDEX(auto_Series_Depth,B74))</f>
        <v>3</v>
      </c>
      <c r="F74" cm="1">
        <f t="array" aca="1" ref="F74" ca="1">IF(B74=0,0,INDEX($J74:$S74,$C$2))</f>
        <v>1</v>
      </c>
      <c r="G74">
        <f t="shared" ca="1" si="5"/>
        <v>0.5</v>
      </c>
      <c r="H74">
        <f ca="1">IFERROR(INDEX(OFFSET(Weights!$M$25,0,0,500,1),MATCH($B74,OFFSET(Weights!$G$25,0,0,500,1),0)),1)</f>
        <v>1</v>
      </c>
      <c r="I74">
        <f t="shared" ca="1" si="6"/>
        <v>0.5</v>
      </c>
      <c r="J74">
        <v>1</v>
      </c>
      <c r="K74">
        <v>1</v>
      </c>
      <c r="L74">
        <v>1</v>
      </c>
      <c r="M74">
        <v>1</v>
      </c>
      <c r="N74">
        <v>1</v>
      </c>
      <c r="O74">
        <f t="shared" si="0"/>
        <v>1</v>
      </c>
      <c r="P74">
        <f t="shared" si="0"/>
        <v>1</v>
      </c>
      <c r="Q74">
        <f t="shared" si="0"/>
        <v>1</v>
      </c>
      <c r="R74">
        <f t="shared" si="0"/>
        <v>1</v>
      </c>
      <c r="S74">
        <f t="shared" si="0"/>
        <v>1</v>
      </c>
      <c r="U74" cm="1">
        <f t="array" aca="1" ref="U74" ca="1">IF($B74=0,0,IF($E74=0,0,IF($F74=0,0,IF($E74=1,$F74/SUMIF(OFFSET($E$18,0,0,$C$3,$E74),$E74,OFFSET($F$18,0,0,$C$3,$E74)),$G74*INDEX(OFFSET(U$18,0,0,$C$3,1),$Y74)))))</f>
        <v>1.6129032258064516E-2</v>
      </c>
      <c r="V74" cm="1">
        <f t="array" aca="1" ref="V74" ca="1">IF($B74=0,0,IF($E74=0,0,IF($H74=0,0,IF($E74=1,$H74/SUMIF(OFFSET($E$18,0,0,$C$3,$E74),$E74,OFFSET($H$18,0,0,$C$3,$E74)),$I74*INDEX(OFFSET(V$18,0,0,$C$3,1),$Y74)))))</f>
        <v>1.6129032258064516E-2</v>
      </c>
      <c r="X74">
        <v>57</v>
      </c>
      <c r="Y74">
        <f t="shared" ca="1" si="7"/>
        <v>55</v>
      </c>
    </row>
    <row r="75" spans="2:25" x14ac:dyDescent="0.4">
      <c r="B75" cm="1">
        <f t="array" aca="1" ref="B75" ca="1">INDEX(OFFSET(auto_ss_All_Scoring,0,1,500,1),X75)</f>
        <v>58</v>
      </c>
      <c r="C75" t="str" cm="1">
        <f t="array" aca="1" ref="C75" ca="1">IF(B75=0,"",INDEX(auto_Series_Code,B75))</f>
        <v>INDI_027</v>
      </c>
      <c r="D75" t="str" cm="1">
        <f t="array" aca="1" ref="D75" ca="1">IF(B75=0,"",INDEX(auto_Series_ParentCode,B75))</f>
        <v>DOMAIN_005</v>
      </c>
      <c r="E75" cm="1">
        <f t="array" aca="1" ref="E75" ca="1">IF(B75=0,"",INDEX(auto_Series_Depth,B75))</f>
        <v>2</v>
      </c>
      <c r="F75" cm="1">
        <f t="array" aca="1" ref="F75" ca="1">IF(B75=0,0,INDEX($J75:$S75,$C$2))</f>
        <v>1</v>
      </c>
      <c r="G75">
        <f t="shared" ca="1" si="5"/>
        <v>0.1111111111111111</v>
      </c>
      <c r="H75">
        <f ca="1">IFERROR(INDEX(OFFSET(Weights!$M$25,0,0,500,1),MATCH($B75,OFFSET(Weights!$G$25,0,0,500,1),0)),1)</f>
        <v>1</v>
      </c>
      <c r="I75">
        <f t="shared" ca="1" si="6"/>
        <v>0.1111111111111111</v>
      </c>
      <c r="J75">
        <v>1</v>
      </c>
      <c r="K75">
        <v>1</v>
      </c>
      <c r="L75">
        <v>1</v>
      </c>
      <c r="M75">
        <v>1</v>
      </c>
      <c r="N75">
        <v>1</v>
      </c>
      <c r="O75">
        <f t="shared" si="0"/>
        <v>1</v>
      </c>
      <c r="P75">
        <f t="shared" si="0"/>
        <v>1</v>
      </c>
      <c r="Q75">
        <f t="shared" si="0"/>
        <v>1</v>
      </c>
      <c r="R75">
        <f t="shared" si="0"/>
        <v>1</v>
      </c>
      <c r="S75">
        <f t="shared" si="0"/>
        <v>1</v>
      </c>
      <c r="U75" cm="1">
        <f t="array" aca="1" ref="U75" ca="1">IF($B75=0,0,IF($E75=0,0,IF($F75=0,0,IF($E75=1,$F75/SUMIF(OFFSET($E$18,0,0,$C$3,$E75),$E75,OFFSET($F$18,0,0,$C$3,$E75)),$G75*INDEX(OFFSET(U$18,0,0,$C$3,1),$Y75)))))</f>
        <v>3.2258064516129031E-2</v>
      </c>
      <c r="V75" cm="1">
        <f t="array" aca="1" ref="V75" ca="1">IF($B75=0,0,IF($E75=0,0,IF($H75=0,0,IF($E75=1,$H75/SUMIF(OFFSET($E$18,0,0,$C$3,$E75),$E75,OFFSET($H$18,0,0,$C$3,$E75)),$I75*INDEX(OFFSET(V$18,0,0,$C$3,1),$Y75)))))</f>
        <v>3.2258064516129031E-2</v>
      </c>
      <c r="X75">
        <v>58</v>
      </c>
      <c r="Y75">
        <f t="shared" ca="1" si="7"/>
        <v>52</v>
      </c>
    </row>
    <row r="76" spans="2:25" x14ac:dyDescent="0.4">
      <c r="B76" cm="1">
        <f t="array" aca="1" ref="B76" ca="1">INDEX(OFFSET(auto_ss_All_Scoring,0,1,500,1),X76)</f>
        <v>59</v>
      </c>
      <c r="C76" t="str" cm="1">
        <f t="array" aca="1" ref="C76" ca="1">IF(B76=0,"",INDEX(auto_Series_Code,B76))</f>
        <v>INDI_028</v>
      </c>
      <c r="D76" t="str" cm="1">
        <f t="array" aca="1" ref="D76" ca="1">IF(B76=0,"",INDEX(auto_Series_ParentCode,B76))</f>
        <v>DOMAIN_005</v>
      </c>
      <c r="E76" cm="1">
        <f t="array" aca="1" ref="E76" ca="1">IF(B76=0,"",INDEX(auto_Series_Depth,B76))</f>
        <v>2</v>
      </c>
      <c r="F76" cm="1">
        <f t="array" aca="1" ref="F76" ca="1">IF(B76=0,0,INDEX($J76:$S76,$C$2))</f>
        <v>1</v>
      </c>
      <c r="G76">
        <f t="shared" ca="1" si="5"/>
        <v>0.1111111111111111</v>
      </c>
      <c r="H76">
        <f ca="1">IFERROR(INDEX(OFFSET(Weights!$M$25,0,0,500,1),MATCH($B76,OFFSET(Weights!$G$25,0,0,500,1),0)),1)</f>
        <v>1</v>
      </c>
      <c r="I76">
        <f t="shared" ca="1" si="6"/>
        <v>0.1111111111111111</v>
      </c>
      <c r="J76">
        <v>1</v>
      </c>
      <c r="K76">
        <v>1</v>
      </c>
      <c r="L76">
        <v>1</v>
      </c>
      <c r="M76">
        <v>1</v>
      </c>
      <c r="N76">
        <v>1</v>
      </c>
      <c r="O76">
        <f t="shared" si="0"/>
        <v>1</v>
      </c>
      <c r="P76">
        <f t="shared" si="0"/>
        <v>1</v>
      </c>
      <c r="Q76">
        <f t="shared" si="0"/>
        <v>1</v>
      </c>
      <c r="R76">
        <f t="shared" si="0"/>
        <v>1</v>
      </c>
      <c r="S76">
        <f t="shared" si="0"/>
        <v>1</v>
      </c>
      <c r="U76" cm="1">
        <f t="array" aca="1" ref="U76" ca="1">IF($B76=0,0,IF($E76=0,0,IF($F76=0,0,IF($E76=1,$F76/SUMIF(OFFSET($E$18,0,0,$C$3,$E76),$E76,OFFSET($F$18,0,0,$C$3,$E76)),$G76*INDEX(OFFSET(U$18,0,0,$C$3,1),$Y76)))))</f>
        <v>3.2258064516129031E-2</v>
      </c>
      <c r="V76" cm="1">
        <f t="array" aca="1" ref="V76" ca="1">IF($B76=0,0,IF($E76=0,0,IF($H76=0,0,IF($E76=1,$H76/SUMIF(OFFSET($E$18,0,0,$C$3,$E76),$E76,OFFSET($H$18,0,0,$C$3,$E76)),$I76*INDEX(OFFSET(V$18,0,0,$C$3,1),$Y76)))))</f>
        <v>3.2258064516129031E-2</v>
      </c>
      <c r="X76">
        <v>59</v>
      </c>
      <c r="Y76">
        <f t="shared" ca="1" si="7"/>
        <v>52</v>
      </c>
    </row>
    <row r="77" spans="2:25" x14ac:dyDescent="0.4">
      <c r="B77" cm="1">
        <f t="array" aca="1" ref="B77" ca="1">INDEX(OFFSET(auto_ss_All_Scoring,0,1,500,1),X77)</f>
        <v>60</v>
      </c>
      <c r="C77" t="str" cm="1">
        <f t="array" aca="1" ref="C77" ca="1">IF(B77=0,"",INDEX(auto_Series_Code,B77))</f>
        <v>INDI_029</v>
      </c>
      <c r="D77" t="str" cm="1">
        <f t="array" aca="1" ref="D77" ca="1">IF(B77=0,"",INDEX(auto_Series_ParentCode,B77))</f>
        <v>DOMAIN_005</v>
      </c>
      <c r="E77" cm="1">
        <f t="array" aca="1" ref="E77" ca="1">IF(B77=0,"",INDEX(auto_Series_Depth,B77))</f>
        <v>2</v>
      </c>
      <c r="F77" cm="1">
        <f t="array" aca="1" ref="F77" ca="1">IF(B77=0,0,INDEX($J77:$S77,$C$2))</f>
        <v>1</v>
      </c>
      <c r="G77">
        <f t="shared" ca="1" si="5"/>
        <v>0.1111111111111111</v>
      </c>
      <c r="H77">
        <f ca="1">IFERROR(INDEX(OFFSET(Weights!$M$25,0,0,500,1),MATCH($B77,OFFSET(Weights!$G$25,0,0,500,1),0)),1)</f>
        <v>1</v>
      </c>
      <c r="I77">
        <f t="shared" ca="1" si="6"/>
        <v>0.1111111111111111</v>
      </c>
      <c r="J77">
        <v>1</v>
      </c>
      <c r="K77">
        <v>1</v>
      </c>
      <c r="L77">
        <v>1</v>
      </c>
      <c r="M77">
        <v>1</v>
      </c>
      <c r="N77">
        <v>1</v>
      </c>
      <c r="O77">
        <f t="shared" si="0"/>
        <v>1</v>
      </c>
      <c r="P77">
        <f t="shared" si="0"/>
        <v>1</v>
      </c>
      <c r="Q77">
        <f t="shared" si="0"/>
        <v>1</v>
      </c>
      <c r="R77">
        <f t="shared" si="0"/>
        <v>1</v>
      </c>
      <c r="S77">
        <f t="shared" si="0"/>
        <v>1</v>
      </c>
      <c r="U77" cm="1">
        <f t="array" aca="1" ref="U77" ca="1">IF($B77=0,0,IF($E77=0,0,IF($F77=0,0,IF($E77=1,$F77/SUMIF(OFFSET($E$18,0,0,$C$3,$E77),$E77,OFFSET($F$18,0,0,$C$3,$E77)),$G77*INDEX(OFFSET(U$18,0,0,$C$3,1),$Y77)))))</f>
        <v>3.2258064516129031E-2</v>
      </c>
      <c r="V77" cm="1">
        <f t="array" aca="1" ref="V77" ca="1">IF($B77=0,0,IF($E77=0,0,IF($H77=0,0,IF($E77=1,$H77/SUMIF(OFFSET($E$18,0,0,$C$3,$E77),$E77,OFFSET($H$18,0,0,$C$3,$E77)),$I77*INDEX(OFFSET(V$18,0,0,$C$3,1),$Y77)))))</f>
        <v>3.2258064516129031E-2</v>
      </c>
      <c r="X77">
        <v>60</v>
      </c>
      <c r="Y77">
        <f t="shared" ca="1" si="7"/>
        <v>52</v>
      </c>
    </row>
    <row r="78" spans="2:25" x14ac:dyDescent="0.4">
      <c r="B78" cm="1">
        <f t="array" aca="1" ref="B78" ca="1">INDEX(OFFSET(auto_ss_All_Scoring,0,1,500,1),X78)</f>
        <v>61</v>
      </c>
      <c r="C78" t="str" cm="1">
        <f t="array" aca="1" ref="C78" ca="1">IF(B78=0,"",INDEX(auto_Series_Code,B78))</f>
        <v>INDI_030</v>
      </c>
      <c r="D78" t="str" cm="1">
        <f t="array" aca="1" ref="D78" ca="1">IF(B78=0,"",INDEX(auto_Series_ParentCode,B78))</f>
        <v>DOMAIN_005</v>
      </c>
      <c r="E78" cm="1">
        <f t="array" aca="1" ref="E78" ca="1">IF(B78=0,"",INDEX(auto_Series_Depth,B78))</f>
        <v>2</v>
      </c>
      <c r="F78" cm="1">
        <f t="array" aca="1" ref="F78" ca="1">IF(B78=0,0,INDEX($J78:$S78,$C$2))</f>
        <v>1</v>
      </c>
      <c r="G78">
        <f t="shared" ca="1" si="5"/>
        <v>0.1111111111111111</v>
      </c>
      <c r="H78">
        <f ca="1">IFERROR(INDEX(OFFSET(Weights!$M$25,0,0,500,1),MATCH($B78,OFFSET(Weights!$G$25,0,0,500,1),0)),1)</f>
        <v>1</v>
      </c>
      <c r="I78">
        <f t="shared" ca="1" si="6"/>
        <v>0.1111111111111111</v>
      </c>
      <c r="J78">
        <v>1</v>
      </c>
      <c r="K78">
        <v>1</v>
      </c>
      <c r="L78">
        <v>1</v>
      </c>
      <c r="M78">
        <v>1</v>
      </c>
      <c r="N78">
        <v>1</v>
      </c>
      <c r="O78">
        <f t="shared" si="0"/>
        <v>1</v>
      </c>
      <c r="P78">
        <f t="shared" si="0"/>
        <v>1</v>
      </c>
      <c r="Q78">
        <f t="shared" si="0"/>
        <v>1</v>
      </c>
      <c r="R78">
        <f t="shared" si="0"/>
        <v>1</v>
      </c>
      <c r="S78">
        <f t="shared" si="0"/>
        <v>1</v>
      </c>
      <c r="U78" cm="1">
        <f t="array" aca="1" ref="U78" ca="1">IF($B78=0,0,IF($E78=0,0,IF($F78=0,0,IF($E78=1,$F78/SUMIF(OFFSET($E$18,0,0,$C$3,$E78),$E78,OFFSET($F$18,0,0,$C$3,$E78)),$G78*INDEX(OFFSET(U$18,0,0,$C$3,1),$Y78)))))</f>
        <v>3.2258064516129031E-2</v>
      </c>
      <c r="V78" cm="1">
        <f t="array" aca="1" ref="V78" ca="1">IF($B78=0,0,IF($E78=0,0,IF($H78=0,0,IF($E78=1,$H78/SUMIF(OFFSET($E$18,0,0,$C$3,$E78),$E78,OFFSET($H$18,0,0,$C$3,$E78)),$I78*INDEX(OFFSET(V$18,0,0,$C$3,1),$Y78)))))</f>
        <v>3.2258064516129031E-2</v>
      </c>
      <c r="X78">
        <v>61</v>
      </c>
      <c r="Y78">
        <f t="shared" ca="1" si="7"/>
        <v>52</v>
      </c>
    </row>
    <row r="79" spans="2:25" x14ac:dyDescent="0.4">
      <c r="B79" cm="1">
        <f t="array" aca="1" ref="B79" ca="1">INDEX(OFFSET(auto_ss_All_Scoring,0,1,500,1),X79)</f>
        <v>62</v>
      </c>
      <c r="C79" t="str" cm="1">
        <f t="array" aca="1" ref="C79" ca="1">IF(B79=0,"",INDEX(auto_Series_Code,B79))</f>
        <v>INDI_031</v>
      </c>
      <c r="D79" t="str" cm="1">
        <f t="array" aca="1" ref="D79" ca="1">IF(B79=0,"",INDEX(auto_Series_ParentCode,B79))</f>
        <v>DOMAIN_005</v>
      </c>
      <c r="E79" cm="1">
        <f t="array" aca="1" ref="E79" ca="1">IF(B79=0,"",INDEX(auto_Series_Depth,B79))</f>
        <v>2</v>
      </c>
      <c r="F79" cm="1">
        <f t="array" aca="1" ref="F79" ca="1">IF(B79=0,0,INDEX($J79:$S79,$C$2))</f>
        <v>1</v>
      </c>
      <c r="G79">
        <f t="shared" ca="1" si="5"/>
        <v>0.1111111111111111</v>
      </c>
      <c r="H79">
        <f ca="1">IFERROR(INDEX(OFFSET(Weights!$M$25,0,0,500,1),MATCH($B79,OFFSET(Weights!$G$25,0,0,500,1),0)),1)</f>
        <v>1</v>
      </c>
      <c r="I79">
        <f t="shared" ca="1" si="6"/>
        <v>0.1111111111111111</v>
      </c>
      <c r="J79">
        <v>1</v>
      </c>
      <c r="K79">
        <v>1</v>
      </c>
      <c r="L79">
        <v>1</v>
      </c>
      <c r="M79">
        <v>1</v>
      </c>
      <c r="N79">
        <v>1</v>
      </c>
      <c r="O79">
        <f t="shared" si="0"/>
        <v>1</v>
      </c>
      <c r="P79">
        <f t="shared" si="0"/>
        <v>1</v>
      </c>
      <c r="Q79">
        <f t="shared" si="0"/>
        <v>1</v>
      </c>
      <c r="R79">
        <f t="shared" si="0"/>
        <v>1</v>
      </c>
      <c r="S79">
        <f t="shared" si="0"/>
        <v>1</v>
      </c>
      <c r="U79" cm="1">
        <f t="array" aca="1" ref="U79" ca="1">IF($B79=0,0,IF($E79=0,0,IF($F79=0,0,IF($E79=1,$F79/SUMIF(OFFSET($E$18,0,0,$C$3,$E79),$E79,OFFSET($F$18,0,0,$C$3,$E79)),$G79*INDEX(OFFSET(U$18,0,0,$C$3,1),$Y79)))))</f>
        <v>3.2258064516129031E-2</v>
      </c>
      <c r="V79" cm="1">
        <f t="array" aca="1" ref="V79" ca="1">IF($B79=0,0,IF($E79=0,0,IF($H79=0,0,IF($E79=1,$H79/SUMIF(OFFSET($E$18,0,0,$C$3,$E79),$E79,OFFSET($H$18,0,0,$C$3,$E79)),$I79*INDEX(OFFSET(V$18,0,0,$C$3,1),$Y79)))))</f>
        <v>3.2258064516129031E-2</v>
      </c>
      <c r="X79">
        <v>62</v>
      </c>
      <c r="Y79">
        <f t="shared" ca="1" si="7"/>
        <v>52</v>
      </c>
    </row>
    <row r="80" spans="2:25" x14ac:dyDescent="0.4">
      <c r="B80" cm="1">
        <f t="array" aca="1" ref="B80" ca="1">INDEX(OFFSET(auto_ss_All_Scoring,0,1,500,1),X80)</f>
        <v>63</v>
      </c>
      <c r="C80" t="str" cm="1">
        <f t="array" aca="1" ref="C80" ca="1">IF(B80=0,"",INDEX(auto_Series_Code,B80))</f>
        <v>INDI_032</v>
      </c>
      <c r="D80" t="str" cm="1">
        <f t="array" aca="1" ref="D80" ca="1">IF(B80=0,"",INDEX(auto_Series_ParentCode,B80))</f>
        <v>DOMAIN_005</v>
      </c>
      <c r="E80" cm="1">
        <f t="array" aca="1" ref="E80" ca="1">IF(B80=0,"",INDEX(auto_Series_Depth,B80))</f>
        <v>2</v>
      </c>
      <c r="F80" cm="1">
        <f t="array" aca="1" ref="F80" ca="1">IF(B80=0,0,INDEX($J80:$S80,$C$2))</f>
        <v>1</v>
      </c>
      <c r="G80">
        <f t="shared" ca="1" si="5"/>
        <v>0.1111111111111111</v>
      </c>
      <c r="H80">
        <f ca="1">IFERROR(INDEX(OFFSET(Weights!$M$25,0,0,500,1),MATCH($B80,OFFSET(Weights!$G$25,0,0,500,1),0)),1)</f>
        <v>1</v>
      </c>
      <c r="I80">
        <f t="shared" ca="1" si="6"/>
        <v>0.1111111111111111</v>
      </c>
      <c r="J80">
        <v>1</v>
      </c>
      <c r="K80">
        <v>1</v>
      </c>
      <c r="L80">
        <v>1</v>
      </c>
      <c r="M80">
        <v>1</v>
      </c>
      <c r="N80">
        <v>1</v>
      </c>
      <c r="O80">
        <f t="shared" si="0"/>
        <v>1</v>
      </c>
      <c r="P80">
        <f t="shared" si="0"/>
        <v>1</v>
      </c>
      <c r="Q80">
        <f t="shared" si="0"/>
        <v>1</v>
      </c>
      <c r="R80">
        <f t="shared" si="0"/>
        <v>1</v>
      </c>
      <c r="S80">
        <f t="shared" si="0"/>
        <v>1</v>
      </c>
      <c r="U80" cm="1">
        <f t="array" aca="1" ref="U80" ca="1">IF($B80=0,0,IF($E80=0,0,IF($F80=0,0,IF($E80=1,$F80/SUMIF(OFFSET($E$18,0,0,$C$3,$E80),$E80,OFFSET($F$18,0,0,$C$3,$E80)),$G80*INDEX(OFFSET(U$18,0,0,$C$3,1),$Y80)))))</f>
        <v>3.2258064516129031E-2</v>
      </c>
      <c r="V80" cm="1">
        <f t="array" aca="1" ref="V80" ca="1">IF($B80=0,0,IF($E80=0,0,IF($H80=0,0,IF($E80=1,$H80/SUMIF(OFFSET($E$18,0,0,$C$3,$E80),$E80,OFFSET($H$18,0,0,$C$3,$E80)),$I80*INDEX(OFFSET(V$18,0,0,$C$3,1),$Y80)))))</f>
        <v>3.2258064516129031E-2</v>
      </c>
      <c r="X80">
        <v>63</v>
      </c>
      <c r="Y80">
        <f t="shared" ca="1" si="7"/>
        <v>52</v>
      </c>
    </row>
  </sheetData>
  <phoneticPr fontId="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45765-AA28-4D61-9A18-2750DE7D29C8}">
  <sheetPr codeName="Sheet37">
    <tabColor theme="9"/>
  </sheetPr>
  <dimension ref="A1:BI79"/>
  <sheetViews>
    <sheetView zoomScaleNormal="100" workbookViewId="0">
      <pane ySplit="1" topLeftCell="A2" activePane="bottomLeft" state="frozen"/>
      <selection activeCell="T29" sqref="T29"/>
      <selection pane="bottomLeft" activeCell="T29" sqref="T29"/>
    </sheetView>
  </sheetViews>
  <sheetFormatPr defaultColWidth="9.15234375" defaultRowHeight="14.6" x14ac:dyDescent="0.4"/>
  <cols>
    <col min="1" max="1" width="3.3046875" customWidth="1"/>
    <col min="2" max="2" width="20.53515625" customWidth="1"/>
    <col min="3" max="3" width="15.69140625" customWidth="1"/>
    <col min="4" max="4" width="3" customWidth="1"/>
    <col min="5" max="5" width="3.3828125" customWidth="1"/>
    <col min="6" max="6" width="3.15234375" customWidth="1"/>
    <col min="7" max="7" width="9.3828125" customWidth="1"/>
    <col min="8" max="8" width="5.15234375" customWidth="1"/>
    <col min="9" max="9" width="7.69140625" bestFit="1" customWidth="1"/>
    <col min="10" max="10" width="18.53515625" customWidth="1"/>
    <col min="11" max="11" width="18.3046875" customWidth="1"/>
    <col min="12" max="12" width="26.15234375" customWidth="1"/>
    <col min="13" max="13" width="7.3828125" bestFit="1" customWidth="1"/>
    <col min="14" max="14" width="7.69140625" bestFit="1" customWidth="1"/>
  </cols>
  <sheetData>
    <row r="1" spans="1:61" x14ac:dyDescent="0.4">
      <c r="A1" t="s">
        <v>32</v>
      </c>
      <c r="B1" t="s">
        <v>33</v>
      </c>
      <c r="C1" t="s">
        <v>34</v>
      </c>
      <c r="D1" t="s">
        <v>29</v>
      </c>
      <c r="E1" t="s">
        <v>35</v>
      </c>
      <c r="F1" t="s">
        <v>85</v>
      </c>
      <c r="G1" t="s">
        <v>153</v>
      </c>
      <c r="H1" t="s">
        <v>91</v>
      </c>
      <c r="I1" t="s">
        <v>1325</v>
      </c>
      <c r="J1" t="s">
        <v>36</v>
      </c>
      <c r="K1" t="s">
        <v>37</v>
      </c>
      <c r="L1" t="s">
        <v>15</v>
      </c>
      <c r="M1" t="s">
        <v>4</v>
      </c>
      <c r="N1" t="s">
        <v>1</v>
      </c>
      <c r="O1" t="s">
        <v>88</v>
      </c>
      <c r="P1" t="s">
        <v>38</v>
      </c>
      <c r="Q1" t="s">
        <v>2525</v>
      </c>
      <c r="R1" t="s">
        <v>2675</v>
      </c>
      <c r="S1" t="s">
        <v>1236</v>
      </c>
      <c r="T1" t="s">
        <v>45</v>
      </c>
      <c r="U1" t="s">
        <v>39</v>
      </c>
      <c r="V1" t="s">
        <v>81</v>
      </c>
      <c r="W1" t="s">
        <v>86</v>
      </c>
      <c r="X1" t="s">
        <v>87</v>
      </c>
      <c r="Y1" t="s">
        <v>151</v>
      </c>
      <c r="Z1" t="s">
        <v>40</v>
      </c>
      <c r="AA1" t="s">
        <v>41</v>
      </c>
      <c r="AB1" t="s">
        <v>42</v>
      </c>
      <c r="AC1" t="s">
        <v>43</v>
      </c>
      <c r="AD1" t="s">
        <v>44</v>
      </c>
      <c r="AE1" t="s">
        <v>1371</v>
      </c>
      <c r="AF1" t="s">
        <v>1372</v>
      </c>
      <c r="AG1" t="s">
        <v>78</v>
      </c>
      <c r="AH1" t="s">
        <v>69</v>
      </c>
      <c r="AI1" t="s">
        <v>46</v>
      </c>
      <c r="AJ1" t="s">
        <v>47</v>
      </c>
      <c r="AK1" t="s">
        <v>48</v>
      </c>
      <c r="AL1" t="s">
        <v>49</v>
      </c>
      <c r="AM1" t="s">
        <v>50</v>
      </c>
      <c r="AN1" t="s">
        <v>51</v>
      </c>
      <c r="AO1" t="s">
        <v>52</v>
      </c>
      <c r="AP1" t="s">
        <v>74</v>
      </c>
      <c r="AQ1" t="s">
        <v>75</v>
      </c>
      <c r="AR1" t="s">
        <v>1346</v>
      </c>
      <c r="AS1" t="s">
        <v>93</v>
      </c>
      <c r="AT1" t="s">
        <v>1080</v>
      </c>
      <c r="AU1" t="s">
        <v>82</v>
      </c>
      <c r="AV1" t="s">
        <v>83</v>
      </c>
      <c r="AW1" t="s">
        <v>84</v>
      </c>
      <c r="AX1" t="s">
        <v>53</v>
      </c>
      <c r="AY1" t="s">
        <v>54</v>
      </c>
      <c r="AZ1" t="s">
        <v>57</v>
      </c>
      <c r="BA1" t="s">
        <v>55</v>
      </c>
      <c r="BB1" t="s">
        <v>56</v>
      </c>
      <c r="BC1" t="s">
        <v>79</v>
      </c>
      <c r="BD1" t="s">
        <v>80</v>
      </c>
      <c r="BE1" t="s">
        <v>58</v>
      </c>
      <c r="BF1" t="s">
        <v>89</v>
      </c>
      <c r="BG1" t="s">
        <v>90</v>
      </c>
      <c r="BH1" t="s">
        <v>1526</v>
      </c>
      <c r="BI1" t="s">
        <v>2523</v>
      </c>
    </row>
    <row r="2" spans="1:61" x14ac:dyDescent="0.4">
      <c r="A2">
        <v>1</v>
      </c>
      <c r="B2" t="s">
        <v>68</v>
      </c>
      <c r="D2">
        <v>0</v>
      </c>
      <c r="E2">
        <v>0</v>
      </c>
      <c r="G2">
        <v>0</v>
      </c>
      <c r="H2">
        <v>0</v>
      </c>
      <c r="I2">
        <v>0</v>
      </c>
      <c r="K2" t="s">
        <v>68</v>
      </c>
      <c r="L2" t="s">
        <v>2718</v>
      </c>
      <c r="M2" t="s">
        <v>1012</v>
      </c>
      <c r="T2" t="s">
        <v>92</v>
      </c>
      <c r="V2">
        <v>1</v>
      </c>
      <c r="Z2" t="s">
        <v>65</v>
      </c>
      <c r="AA2" t="s">
        <v>73</v>
      </c>
      <c r="AG2">
        <v>1</v>
      </c>
      <c r="AS2">
        <v>0</v>
      </c>
      <c r="AT2">
        <v>0</v>
      </c>
      <c r="AU2">
        <v>2</v>
      </c>
      <c r="AV2">
        <v>1</v>
      </c>
      <c r="AW2">
        <v>1</v>
      </c>
      <c r="AX2" t="s">
        <v>68</v>
      </c>
      <c r="AY2" t="s">
        <v>77</v>
      </c>
      <c r="AZ2" t="s">
        <v>1401</v>
      </c>
      <c r="BA2" t="s">
        <v>4816</v>
      </c>
      <c r="BF2" t="s">
        <v>7609</v>
      </c>
      <c r="BG2" t="s">
        <v>7610</v>
      </c>
      <c r="BH2" t="s">
        <v>7609</v>
      </c>
      <c r="BI2" t="s">
        <v>68</v>
      </c>
    </row>
    <row r="3" spans="1:61" x14ac:dyDescent="0.4">
      <c r="A3">
        <v>2</v>
      </c>
      <c r="B3" t="s">
        <v>1769</v>
      </c>
      <c r="C3" t="s">
        <v>68</v>
      </c>
      <c r="D3">
        <v>1</v>
      </c>
      <c r="E3">
        <v>0</v>
      </c>
      <c r="G3">
        <v>0</v>
      </c>
      <c r="H3">
        <v>0</v>
      </c>
      <c r="I3">
        <v>0</v>
      </c>
      <c r="J3">
        <v>1</v>
      </c>
      <c r="K3" t="s">
        <v>4717</v>
      </c>
      <c r="L3" t="s">
        <v>2718</v>
      </c>
      <c r="M3" t="s">
        <v>1012</v>
      </c>
      <c r="T3" t="s">
        <v>92</v>
      </c>
      <c r="V3">
        <v>1</v>
      </c>
      <c r="Z3" t="s">
        <v>65</v>
      </c>
      <c r="AA3" t="s">
        <v>73</v>
      </c>
      <c r="AG3">
        <v>5</v>
      </c>
      <c r="AS3">
        <v>1</v>
      </c>
      <c r="AT3">
        <v>0</v>
      </c>
      <c r="AU3">
        <v>2</v>
      </c>
      <c r="AV3">
        <v>1</v>
      </c>
      <c r="AW3">
        <v>1</v>
      </c>
      <c r="AX3" t="s">
        <v>4718</v>
      </c>
      <c r="AY3" t="s">
        <v>77</v>
      </c>
      <c r="AZ3" t="s">
        <v>7608</v>
      </c>
      <c r="BA3" t="s">
        <v>6909</v>
      </c>
      <c r="BF3" t="s">
        <v>6912</v>
      </c>
      <c r="BG3" t="s">
        <v>6913</v>
      </c>
      <c r="BH3" t="s">
        <v>6912</v>
      </c>
      <c r="BI3" t="s">
        <v>4718</v>
      </c>
    </row>
    <row r="4" spans="1:61" x14ac:dyDescent="0.4">
      <c r="A4">
        <v>3</v>
      </c>
      <c r="B4" t="s">
        <v>1409</v>
      </c>
      <c r="C4" t="s">
        <v>1769</v>
      </c>
      <c r="D4">
        <v>2</v>
      </c>
      <c r="E4">
        <v>0</v>
      </c>
      <c r="G4">
        <v>0</v>
      </c>
      <c r="H4">
        <v>0</v>
      </c>
      <c r="I4">
        <v>0</v>
      </c>
      <c r="J4" t="s">
        <v>6959</v>
      </c>
      <c r="K4" t="s">
        <v>6859</v>
      </c>
      <c r="L4" t="s">
        <v>2718</v>
      </c>
      <c r="M4" t="s">
        <v>1012</v>
      </c>
      <c r="T4" t="s">
        <v>92</v>
      </c>
      <c r="V4">
        <v>1</v>
      </c>
      <c r="Z4" t="s">
        <v>65</v>
      </c>
      <c r="AA4" t="s">
        <v>73</v>
      </c>
      <c r="AG4">
        <v>1</v>
      </c>
      <c r="AS4">
        <v>1</v>
      </c>
      <c r="AT4">
        <v>1</v>
      </c>
      <c r="AU4">
        <v>2</v>
      </c>
      <c r="AV4">
        <v>1</v>
      </c>
      <c r="AW4">
        <v>1</v>
      </c>
      <c r="AX4" t="s">
        <v>6867</v>
      </c>
      <c r="AY4" t="s">
        <v>77</v>
      </c>
      <c r="AZ4" t="s">
        <v>1407</v>
      </c>
      <c r="BA4" t="s">
        <v>7661</v>
      </c>
      <c r="BB4" t="s">
        <v>4717</v>
      </c>
      <c r="BF4" t="s">
        <v>7664</v>
      </c>
      <c r="BG4" t="s">
        <v>7665</v>
      </c>
      <c r="BH4" t="s">
        <v>7664</v>
      </c>
      <c r="BI4" t="s">
        <v>6868</v>
      </c>
    </row>
    <row r="5" spans="1:61" x14ac:dyDescent="0.4">
      <c r="A5">
        <v>4</v>
      </c>
      <c r="B5" t="s">
        <v>1770</v>
      </c>
      <c r="C5" t="s">
        <v>1409</v>
      </c>
      <c r="D5">
        <v>3</v>
      </c>
      <c r="E5">
        <v>1</v>
      </c>
      <c r="F5">
        <v>0</v>
      </c>
      <c r="G5">
        <v>0</v>
      </c>
      <c r="H5">
        <v>0</v>
      </c>
      <c r="I5">
        <v>0</v>
      </c>
      <c r="J5" t="s">
        <v>6929</v>
      </c>
      <c r="K5" t="s">
        <v>7631</v>
      </c>
      <c r="L5" t="s">
        <v>6694</v>
      </c>
      <c r="M5" t="s">
        <v>6930</v>
      </c>
      <c r="N5" t="s">
        <v>7634</v>
      </c>
      <c r="R5">
        <v>2021</v>
      </c>
      <c r="T5" t="s">
        <v>244</v>
      </c>
      <c r="U5">
        <v>1</v>
      </c>
      <c r="V5">
        <v>1</v>
      </c>
      <c r="W5">
        <v>0</v>
      </c>
      <c r="X5">
        <v>100</v>
      </c>
      <c r="Z5" t="s">
        <v>133</v>
      </c>
      <c r="AA5" t="s">
        <v>247</v>
      </c>
      <c r="AB5">
        <v>0</v>
      </c>
      <c r="AC5">
        <v>100</v>
      </c>
      <c r="AF5" t="s">
        <v>7505</v>
      </c>
      <c r="AG5">
        <v>1</v>
      </c>
      <c r="AS5">
        <v>1</v>
      </c>
      <c r="AT5">
        <v>1</v>
      </c>
      <c r="AU5">
        <v>5</v>
      </c>
      <c r="AV5">
        <v>2</v>
      </c>
      <c r="AW5">
        <v>2</v>
      </c>
      <c r="AX5" t="s">
        <v>7648</v>
      </c>
      <c r="AY5" t="s">
        <v>77</v>
      </c>
      <c r="AZ5" t="s">
        <v>1408</v>
      </c>
      <c r="BB5" t="s">
        <v>6886</v>
      </c>
      <c r="BE5" t="s">
        <v>6967</v>
      </c>
      <c r="BF5" t="s">
        <v>7524</v>
      </c>
      <c r="BG5" t="s">
        <v>7666</v>
      </c>
      <c r="BH5" t="s">
        <v>7667</v>
      </c>
      <c r="BI5" t="s">
        <v>7649</v>
      </c>
    </row>
    <row r="6" spans="1:61" x14ac:dyDescent="0.4">
      <c r="A6">
        <v>5</v>
      </c>
      <c r="B6" t="s">
        <v>1771</v>
      </c>
      <c r="C6" t="s">
        <v>1409</v>
      </c>
      <c r="D6">
        <v>3</v>
      </c>
      <c r="E6">
        <v>1</v>
      </c>
      <c r="F6">
        <v>1</v>
      </c>
      <c r="G6">
        <v>0</v>
      </c>
      <c r="H6">
        <v>0</v>
      </c>
      <c r="I6">
        <v>1</v>
      </c>
      <c r="J6" t="s">
        <v>4592</v>
      </c>
      <c r="K6" t="s">
        <v>4617</v>
      </c>
      <c r="L6" t="s">
        <v>5656</v>
      </c>
      <c r="M6" t="s">
        <v>6063</v>
      </c>
      <c r="N6" t="s">
        <v>4653</v>
      </c>
      <c r="R6">
        <v>2024</v>
      </c>
      <c r="T6" t="s">
        <v>245</v>
      </c>
      <c r="U6">
        <v>0</v>
      </c>
      <c r="V6">
        <v>0</v>
      </c>
      <c r="W6">
        <v>0</v>
      </c>
      <c r="X6">
        <v>1</v>
      </c>
      <c r="Z6" t="s">
        <v>65</v>
      </c>
      <c r="AA6" t="s">
        <v>247</v>
      </c>
      <c r="AB6">
        <v>0</v>
      </c>
      <c r="AC6">
        <v>1</v>
      </c>
      <c r="AG6">
        <v>1</v>
      </c>
      <c r="AH6" t="s">
        <v>4676</v>
      </c>
      <c r="AI6" t="s">
        <v>468</v>
      </c>
      <c r="AJ6" t="s">
        <v>469</v>
      </c>
      <c r="AS6">
        <v>1</v>
      </c>
      <c r="AT6">
        <v>1</v>
      </c>
      <c r="AU6">
        <v>3</v>
      </c>
      <c r="AV6">
        <v>1</v>
      </c>
      <c r="AW6">
        <v>2</v>
      </c>
      <c r="AX6" t="s">
        <v>4720</v>
      </c>
      <c r="AY6" t="s">
        <v>2488</v>
      </c>
      <c r="AZ6" t="s">
        <v>1408</v>
      </c>
      <c r="BB6" t="s">
        <v>6886</v>
      </c>
      <c r="BC6" t="s">
        <v>4722</v>
      </c>
      <c r="BD6" t="s">
        <v>4723</v>
      </c>
      <c r="BE6" t="s">
        <v>5661</v>
      </c>
      <c r="BF6" t="s">
        <v>5678</v>
      </c>
      <c r="BG6" t="s">
        <v>6934</v>
      </c>
      <c r="BH6" t="s">
        <v>5666</v>
      </c>
      <c r="BI6" t="s">
        <v>4721</v>
      </c>
    </row>
    <row r="7" spans="1:61" x14ac:dyDescent="0.4">
      <c r="A7">
        <v>6</v>
      </c>
      <c r="B7" t="s">
        <v>1410</v>
      </c>
      <c r="C7" t="s">
        <v>1769</v>
      </c>
      <c r="D7">
        <v>2</v>
      </c>
      <c r="E7">
        <v>0</v>
      </c>
      <c r="G7">
        <v>0</v>
      </c>
      <c r="H7">
        <v>0</v>
      </c>
      <c r="I7">
        <v>0</v>
      </c>
      <c r="J7">
        <v>1.2</v>
      </c>
      <c r="K7" t="s">
        <v>6903</v>
      </c>
      <c r="L7" t="s">
        <v>2718</v>
      </c>
      <c r="M7" t="s">
        <v>1012</v>
      </c>
      <c r="T7" t="s">
        <v>92</v>
      </c>
      <c r="V7">
        <v>1</v>
      </c>
      <c r="Z7" t="s">
        <v>65</v>
      </c>
      <c r="AA7" t="s">
        <v>73</v>
      </c>
      <c r="AG7">
        <v>1</v>
      </c>
      <c r="AS7">
        <v>1</v>
      </c>
      <c r="AT7">
        <v>2</v>
      </c>
      <c r="AU7">
        <v>2</v>
      </c>
      <c r="AV7">
        <v>1</v>
      </c>
      <c r="AW7">
        <v>1</v>
      </c>
      <c r="AX7" t="s">
        <v>6905</v>
      </c>
      <c r="AY7" t="s">
        <v>77</v>
      </c>
      <c r="AZ7" t="s">
        <v>1407</v>
      </c>
      <c r="BA7" t="s">
        <v>4817</v>
      </c>
      <c r="BB7" t="s">
        <v>4717</v>
      </c>
      <c r="BF7" t="s">
        <v>4827</v>
      </c>
      <c r="BG7" t="s">
        <v>4828</v>
      </c>
      <c r="BH7" t="s">
        <v>4827</v>
      </c>
      <c r="BI7" t="s">
        <v>6906</v>
      </c>
    </row>
    <row r="8" spans="1:61" x14ac:dyDescent="0.4">
      <c r="A8">
        <v>7</v>
      </c>
      <c r="B8" t="s">
        <v>1772</v>
      </c>
      <c r="C8" t="s">
        <v>1410</v>
      </c>
      <c r="D8">
        <v>3</v>
      </c>
      <c r="E8">
        <v>1</v>
      </c>
      <c r="F8">
        <v>0</v>
      </c>
      <c r="G8">
        <v>0</v>
      </c>
      <c r="H8">
        <v>0</v>
      </c>
      <c r="I8">
        <v>0</v>
      </c>
      <c r="J8" t="s">
        <v>4593</v>
      </c>
      <c r="K8" t="s">
        <v>4618</v>
      </c>
      <c r="L8" t="s">
        <v>4652</v>
      </c>
      <c r="M8" t="s">
        <v>6930</v>
      </c>
      <c r="N8" t="s">
        <v>4677</v>
      </c>
      <c r="R8" t="s">
        <v>6610</v>
      </c>
      <c r="T8" t="s">
        <v>244</v>
      </c>
      <c r="U8">
        <v>1</v>
      </c>
      <c r="V8">
        <v>1</v>
      </c>
      <c r="W8">
        <v>0</v>
      </c>
      <c r="X8">
        <v>100</v>
      </c>
      <c r="Z8" t="s">
        <v>65</v>
      </c>
      <c r="AA8" t="s">
        <v>247</v>
      </c>
      <c r="AB8">
        <v>0</v>
      </c>
      <c r="AC8">
        <v>100</v>
      </c>
      <c r="AF8" t="s">
        <v>7505</v>
      </c>
      <c r="AG8">
        <v>1</v>
      </c>
      <c r="AS8">
        <v>1</v>
      </c>
      <c r="AT8">
        <v>2</v>
      </c>
      <c r="AU8">
        <v>5</v>
      </c>
      <c r="AV8">
        <v>1</v>
      </c>
      <c r="AW8">
        <v>2</v>
      </c>
      <c r="AX8" t="s">
        <v>4724</v>
      </c>
      <c r="AY8" t="s">
        <v>77</v>
      </c>
      <c r="AZ8" t="s">
        <v>1408</v>
      </c>
      <c r="BB8" t="s">
        <v>6910</v>
      </c>
      <c r="BE8" t="s">
        <v>4719</v>
      </c>
      <c r="BF8" t="s">
        <v>7525</v>
      </c>
      <c r="BG8" t="s">
        <v>7526</v>
      </c>
      <c r="BH8" t="s">
        <v>7527</v>
      </c>
      <c r="BI8" t="s">
        <v>4725</v>
      </c>
    </row>
    <row r="9" spans="1:61" x14ac:dyDescent="0.4">
      <c r="A9">
        <v>8</v>
      </c>
      <c r="B9" t="s">
        <v>1773</v>
      </c>
      <c r="C9" t="s">
        <v>1410</v>
      </c>
      <c r="D9">
        <v>3</v>
      </c>
      <c r="E9">
        <v>1</v>
      </c>
      <c r="F9">
        <v>1</v>
      </c>
      <c r="G9">
        <v>0</v>
      </c>
      <c r="H9">
        <v>0</v>
      </c>
      <c r="I9">
        <v>1</v>
      </c>
      <c r="J9" t="s">
        <v>4594</v>
      </c>
      <c r="K9" t="s">
        <v>4619</v>
      </c>
      <c r="L9" t="s">
        <v>5656</v>
      </c>
      <c r="M9" t="s">
        <v>6063</v>
      </c>
      <c r="N9" t="s">
        <v>7606</v>
      </c>
      <c r="R9">
        <v>2024</v>
      </c>
      <c r="T9" t="s">
        <v>245</v>
      </c>
      <c r="U9">
        <v>0</v>
      </c>
      <c r="V9">
        <v>0</v>
      </c>
      <c r="W9">
        <v>0</v>
      </c>
      <c r="X9">
        <v>1</v>
      </c>
      <c r="Z9" t="s">
        <v>65</v>
      </c>
      <c r="AA9" t="s">
        <v>247</v>
      </c>
      <c r="AB9">
        <v>0</v>
      </c>
      <c r="AC9">
        <v>1</v>
      </c>
      <c r="AG9">
        <v>1</v>
      </c>
      <c r="AH9" t="s">
        <v>7641</v>
      </c>
      <c r="AI9" t="s">
        <v>468</v>
      </c>
      <c r="AJ9" t="s">
        <v>469</v>
      </c>
      <c r="AS9">
        <v>1</v>
      </c>
      <c r="AT9">
        <v>2</v>
      </c>
      <c r="AU9">
        <v>3</v>
      </c>
      <c r="AV9">
        <v>1</v>
      </c>
      <c r="AW9">
        <v>2</v>
      </c>
      <c r="AX9" t="s">
        <v>4726</v>
      </c>
      <c r="AY9" t="s">
        <v>2488</v>
      </c>
      <c r="AZ9" t="s">
        <v>1408</v>
      </c>
      <c r="BB9" t="s">
        <v>6910</v>
      </c>
      <c r="BC9" t="s">
        <v>4722</v>
      </c>
      <c r="BD9" t="s">
        <v>7650</v>
      </c>
      <c r="BE9" t="s">
        <v>5661</v>
      </c>
      <c r="BF9" t="s">
        <v>5678</v>
      </c>
      <c r="BG9" t="s">
        <v>7668</v>
      </c>
      <c r="BH9" t="s">
        <v>7669</v>
      </c>
      <c r="BI9" t="s">
        <v>4727</v>
      </c>
    </row>
    <row r="10" spans="1:61" x14ac:dyDescent="0.4">
      <c r="A10">
        <v>9</v>
      </c>
      <c r="B10" t="s">
        <v>1411</v>
      </c>
      <c r="C10" t="s">
        <v>1769</v>
      </c>
      <c r="D10">
        <v>2</v>
      </c>
      <c r="E10">
        <v>0</v>
      </c>
      <c r="G10">
        <v>0</v>
      </c>
      <c r="H10">
        <v>0</v>
      </c>
      <c r="I10">
        <v>0</v>
      </c>
      <c r="J10">
        <v>1.3</v>
      </c>
      <c r="K10" t="s">
        <v>6904</v>
      </c>
      <c r="L10" t="s">
        <v>2718</v>
      </c>
      <c r="M10" t="s">
        <v>1012</v>
      </c>
      <c r="T10" t="s">
        <v>92</v>
      </c>
      <c r="V10">
        <v>1</v>
      </c>
      <c r="Z10" t="s">
        <v>65</v>
      </c>
      <c r="AA10" t="s">
        <v>73</v>
      </c>
      <c r="AG10">
        <v>1</v>
      </c>
      <c r="AS10">
        <v>1</v>
      </c>
      <c r="AT10">
        <v>3</v>
      </c>
      <c r="AU10">
        <v>2</v>
      </c>
      <c r="AV10">
        <v>1</v>
      </c>
      <c r="AW10">
        <v>1</v>
      </c>
      <c r="AX10" t="s">
        <v>6907</v>
      </c>
      <c r="AY10" t="s">
        <v>77</v>
      </c>
      <c r="AZ10" t="s">
        <v>1407</v>
      </c>
      <c r="BA10" t="s">
        <v>4818</v>
      </c>
      <c r="BB10" t="s">
        <v>4717</v>
      </c>
      <c r="BF10" t="s">
        <v>4829</v>
      </c>
      <c r="BG10" t="s">
        <v>4830</v>
      </c>
      <c r="BH10" t="s">
        <v>4829</v>
      </c>
      <c r="BI10" t="s">
        <v>6908</v>
      </c>
    </row>
    <row r="11" spans="1:61" x14ac:dyDescent="0.4">
      <c r="A11">
        <v>10</v>
      </c>
      <c r="B11" t="s">
        <v>1774</v>
      </c>
      <c r="C11" t="s">
        <v>1411</v>
      </c>
      <c r="D11">
        <v>3</v>
      </c>
      <c r="E11">
        <v>1</v>
      </c>
      <c r="F11">
        <v>0</v>
      </c>
      <c r="G11">
        <v>0</v>
      </c>
      <c r="H11">
        <v>0</v>
      </c>
      <c r="I11">
        <v>0</v>
      </c>
      <c r="J11" t="s">
        <v>4595</v>
      </c>
      <c r="K11" t="s">
        <v>4620</v>
      </c>
      <c r="L11" t="s">
        <v>4652</v>
      </c>
      <c r="M11" t="s">
        <v>6595</v>
      </c>
      <c r="N11" t="s">
        <v>7607</v>
      </c>
      <c r="R11">
        <v>2022</v>
      </c>
      <c r="T11" t="s">
        <v>244</v>
      </c>
      <c r="U11">
        <v>2</v>
      </c>
      <c r="V11">
        <v>2</v>
      </c>
      <c r="W11">
        <v>0</v>
      </c>
      <c r="Z11" t="s">
        <v>133</v>
      </c>
      <c r="AA11" t="s">
        <v>247</v>
      </c>
      <c r="AB11">
        <v>0</v>
      </c>
      <c r="AC11">
        <v>100</v>
      </c>
      <c r="AF11" t="s">
        <v>7505</v>
      </c>
      <c r="AG11">
        <v>1</v>
      </c>
      <c r="AS11">
        <v>1</v>
      </c>
      <c r="AT11">
        <v>3</v>
      </c>
      <c r="AU11">
        <v>5</v>
      </c>
      <c r="AV11">
        <v>2</v>
      </c>
      <c r="AW11">
        <v>2</v>
      </c>
      <c r="AX11" t="s">
        <v>4728</v>
      </c>
      <c r="AY11" t="s">
        <v>6611</v>
      </c>
      <c r="AZ11" t="s">
        <v>1408</v>
      </c>
      <c r="BB11" t="s">
        <v>6911</v>
      </c>
      <c r="BE11" t="s">
        <v>6013</v>
      </c>
      <c r="BF11" t="s">
        <v>7524</v>
      </c>
      <c r="BG11" t="s">
        <v>7611</v>
      </c>
      <c r="BH11" t="s">
        <v>7612</v>
      </c>
      <c r="BI11" t="s">
        <v>4729</v>
      </c>
    </row>
    <row r="12" spans="1:61" x14ac:dyDescent="0.4">
      <c r="A12">
        <v>11</v>
      </c>
      <c r="B12" t="s">
        <v>1775</v>
      </c>
      <c r="C12" t="s">
        <v>1411</v>
      </c>
      <c r="D12">
        <v>3</v>
      </c>
      <c r="E12">
        <v>1</v>
      </c>
      <c r="F12">
        <v>1</v>
      </c>
      <c r="G12">
        <v>0</v>
      </c>
      <c r="H12">
        <v>0</v>
      </c>
      <c r="I12">
        <v>1</v>
      </c>
      <c r="J12" t="s">
        <v>4596</v>
      </c>
      <c r="K12" t="s">
        <v>4621</v>
      </c>
      <c r="L12" t="s">
        <v>5656</v>
      </c>
      <c r="M12" t="s">
        <v>6063</v>
      </c>
      <c r="N12" t="s">
        <v>4654</v>
      </c>
      <c r="R12">
        <v>2024</v>
      </c>
      <c r="T12" t="s">
        <v>245</v>
      </c>
      <c r="U12">
        <v>0</v>
      </c>
      <c r="V12">
        <v>0</v>
      </c>
      <c r="W12">
        <v>0</v>
      </c>
      <c r="X12">
        <v>1</v>
      </c>
      <c r="Z12" t="s">
        <v>65</v>
      </c>
      <c r="AA12" t="s">
        <v>247</v>
      </c>
      <c r="AB12">
        <v>0</v>
      </c>
      <c r="AC12">
        <v>1</v>
      </c>
      <c r="AG12">
        <v>1</v>
      </c>
      <c r="AH12" t="s">
        <v>4678</v>
      </c>
      <c r="AI12" t="s">
        <v>468</v>
      </c>
      <c r="AJ12" t="s">
        <v>469</v>
      </c>
      <c r="AS12">
        <v>1</v>
      </c>
      <c r="AT12">
        <v>3</v>
      </c>
      <c r="AU12">
        <v>3</v>
      </c>
      <c r="AV12">
        <v>1</v>
      </c>
      <c r="AW12">
        <v>2</v>
      </c>
      <c r="AX12" t="s">
        <v>4730</v>
      </c>
      <c r="AY12" t="s">
        <v>2488</v>
      </c>
      <c r="AZ12" t="s">
        <v>1408</v>
      </c>
      <c r="BB12" t="s">
        <v>6911</v>
      </c>
      <c r="BC12" t="s">
        <v>4722</v>
      </c>
      <c r="BD12" t="s">
        <v>4732</v>
      </c>
      <c r="BE12" t="s">
        <v>5661</v>
      </c>
      <c r="BF12" t="s">
        <v>5678</v>
      </c>
      <c r="BG12" t="s">
        <v>6935</v>
      </c>
      <c r="BH12" t="s">
        <v>5667</v>
      </c>
      <c r="BI12" t="s">
        <v>4731</v>
      </c>
    </row>
    <row r="13" spans="1:61" x14ac:dyDescent="0.4">
      <c r="A13">
        <v>12</v>
      </c>
      <c r="B13" t="s">
        <v>1412</v>
      </c>
      <c r="C13" t="s">
        <v>1769</v>
      </c>
      <c r="D13">
        <v>2</v>
      </c>
      <c r="E13">
        <v>1</v>
      </c>
      <c r="F13">
        <v>0</v>
      </c>
      <c r="G13">
        <v>0</v>
      </c>
      <c r="H13">
        <v>0</v>
      </c>
      <c r="I13">
        <v>0</v>
      </c>
      <c r="J13">
        <v>1.4</v>
      </c>
      <c r="K13" t="s">
        <v>4622</v>
      </c>
      <c r="L13" t="s">
        <v>5657</v>
      </c>
      <c r="M13" t="s">
        <v>6931</v>
      </c>
      <c r="N13" t="s">
        <v>7635</v>
      </c>
      <c r="R13">
        <v>2021</v>
      </c>
      <c r="T13" t="s">
        <v>244</v>
      </c>
      <c r="U13">
        <v>2</v>
      </c>
      <c r="V13">
        <v>2</v>
      </c>
      <c r="W13">
        <v>0</v>
      </c>
      <c r="X13">
        <v>100</v>
      </c>
      <c r="Z13" t="s">
        <v>65</v>
      </c>
      <c r="AA13" t="s">
        <v>247</v>
      </c>
      <c r="AB13">
        <v>0</v>
      </c>
      <c r="AC13">
        <v>100</v>
      </c>
      <c r="AF13" t="s">
        <v>7505</v>
      </c>
      <c r="AG13">
        <v>1</v>
      </c>
      <c r="AS13">
        <v>1</v>
      </c>
      <c r="AT13">
        <v>4</v>
      </c>
      <c r="AU13">
        <v>5</v>
      </c>
      <c r="AV13">
        <v>1</v>
      </c>
      <c r="AW13">
        <v>2</v>
      </c>
      <c r="AX13" t="s">
        <v>4733</v>
      </c>
      <c r="AY13" t="s">
        <v>6611</v>
      </c>
      <c r="AZ13" t="s">
        <v>4735</v>
      </c>
      <c r="BB13" t="s">
        <v>4717</v>
      </c>
      <c r="BE13" t="s">
        <v>5662</v>
      </c>
      <c r="BF13" t="s">
        <v>7525</v>
      </c>
      <c r="BG13" t="s">
        <v>7670</v>
      </c>
      <c r="BH13" t="s">
        <v>7671</v>
      </c>
      <c r="BI13" t="s">
        <v>4734</v>
      </c>
    </row>
    <row r="14" spans="1:61" x14ac:dyDescent="0.4">
      <c r="A14">
        <v>13</v>
      </c>
      <c r="B14" t="s">
        <v>1413</v>
      </c>
      <c r="C14" t="s">
        <v>1769</v>
      </c>
      <c r="D14">
        <v>2</v>
      </c>
      <c r="E14">
        <v>1</v>
      </c>
      <c r="F14">
        <v>0</v>
      </c>
      <c r="G14">
        <v>0</v>
      </c>
      <c r="H14">
        <v>0</v>
      </c>
      <c r="I14">
        <v>0</v>
      </c>
      <c r="J14">
        <v>1.5</v>
      </c>
      <c r="K14" t="s">
        <v>4623</v>
      </c>
      <c r="L14" t="s">
        <v>4652</v>
      </c>
      <c r="M14" t="s">
        <v>6931</v>
      </c>
      <c r="N14" t="s">
        <v>4679</v>
      </c>
      <c r="R14" t="s">
        <v>6914</v>
      </c>
      <c r="S14" t="s">
        <v>6963</v>
      </c>
      <c r="T14" t="s">
        <v>244</v>
      </c>
      <c r="U14">
        <v>2</v>
      </c>
      <c r="V14">
        <v>2</v>
      </c>
      <c r="W14">
        <v>0</v>
      </c>
      <c r="Z14" t="s">
        <v>133</v>
      </c>
      <c r="AA14" t="s">
        <v>247</v>
      </c>
      <c r="AB14">
        <v>0.1</v>
      </c>
      <c r="AC14">
        <v>8.4499999999999993</v>
      </c>
      <c r="AF14" t="s">
        <v>1389</v>
      </c>
      <c r="AG14">
        <v>1</v>
      </c>
      <c r="AS14">
        <v>1</v>
      </c>
      <c r="AT14">
        <v>5</v>
      </c>
      <c r="AU14">
        <v>5</v>
      </c>
      <c r="AV14">
        <v>2</v>
      </c>
      <c r="AW14">
        <v>2</v>
      </c>
      <c r="AX14" t="s">
        <v>4736</v>
      </c>
      <c r="AY14" t="s">
        <v>6611</v>
      </c>
      <c r="AZ14" t="s">
        <v>4735</v>
      </c>
      <c r="BB14" t="s">
        <v>4717</v>
      </c>
      <c r="BE14" t="s">
        <v>6013</v>
      </c>
      <c r="BF14" t="s">
        <v>6857</v>
      </c>
      <c r="BG14" t="s">
        <v>6968</v>
      </c>
      <c r="BH14" t="s">
        <v>6858</v>
      </c>
      <c r="BI14" t="s">
        <v>4737</v>
      </c>
    </row>
    <row r="15" spans="1:61" x14ac:dyDescent="0.4">
      <c r="A15">
        <v>14</v>
      </c>
      <c r="B15" t="s">
        <v>1781</v>
      </c>
      <c r="C15" t="s">
        <v>68</v>
      </c>
      <c r="D15">
        <v>1</v>
      </c>
      <c r="E15">
        <v>0</v>
      </c>
      <c r="G15">
        <v>0</v>
      </c>
      <c r="H15">
        <v>0</v>
      </c>
      <c r="I15">
        <v>0</v>
      </c>
      <c r="J15">
        <v>2</v>
      </c>
      <c r="K15" t="s">
        <v>4738</v>
      </c>
      <c r="L15" t="s">
        <v>2718</v>
      </c>
      <c r="M15" t="s">
        <v>1012</v>
      </c>
      <c r="T15" t="s">
        <v>92</v>
      </c>
      <c r="V15">
        <v>1</v>
      </c>
      <c r="Z15" t="s">
        <v>65</v>
      </c>
      <c r="AA15" t="s">
        <v>73</v>
      </c>
      <c r="AG15">
        <v>5</v>
      </c>
      <c r="AS15">
        <v>2</v>
      </c>
      <c r="AT15">
        <v>5</v>
      </c>
      <c r="AU15">
        <v>2</v>
      </c>
      <c r="AV15">
        <v>1</v>
      </c>
      <c r="AW15">
        <v>1</v>
      </c>
      <c r="AX15" t="s">
        <v>4739</v>
      </c>
      <c r="AY15" t="s">
        <v>77</v>
      </c>
      <c r="AZ15" t="s">
        <v>7608</v>
      </c>
      <c r="BA15" t="s">
        <v>6883</v>
      </c>
      <c r="BF15" t="s">
        <v>6891</v>
      </c>
      <c r="BG15" t="s">
        <v>6892</v>
      </c>
      <c r="BH15" t="s">
        <v>6891</v>
      </c>
      <c r="BI15" t="s">
        <v>4739</v>
      </c>
    </row>
    <row r="16" spans="1:61" x14ac:dyDescent="0.4">
      <c r="A16">
        <v>15</v>
      </c>
      <c r="B16" t="s">
        <v>1569</v>
      </c>
      <c r="C16" t="s">
        <v>1781</v>
      </c>
      <c r="D16">
        <v>2</v>
      </c>
      <c r="E16">
        <v>1</v>
      </c>
      <c r="F16">
        <v>0</v>
      </c>
      <c r="G16">
        <v>0</v>
      </c>
      <c r="H16">
        <v>0</v>
      </c>
      <c r="I16">
        <v>0</v>
      </c>
      <c r="J16" t="s">
        <v>6960</v>
      </c>
      <c r="K16" t="s">
        <v>1797</v>
      </c>
      <c r="L16" t="s">
        <v>2521</v>
      </c>
      <c r="M16" t="s">
        <v>6597</v>
      </c>
      <c r="N16" t="s">
        <v>7636</v>
      </c>
      <c r="R16">
        <v>2019</v>
      </c>
      <c r="T16" t="s">
        <v>244</v>
      </c>
      <c r="U16">
        <v>1</v>
      </c>
      <c r="V16">
        <v>1</v>
      </c>
      <c r="W16">
        <v>0</v>
      </c>
      <c r="Z16" t="s">
        <v>133</v>
      </c>
      <c r="AA16" t="s">
        <v>247</v>
      </c>
      <c r="AB16">
        <v>5</v>
      </c>
      <c r="AC16">
        <v>5.0999999999999996</v>
      </c>
      <c r="AF16" t="s">
        <v>7505</v>
      </c>
      <c r="AG16">
        <v>1</v>
      </c>
      <c r="AS16">
        <v>2</v>
      </c>
      <c r="AT16">
        <v>6</v>
      </c>
      <c r="AU16">
        <v>5</v>
      </c>
      <c r="AV16">
        <v>2</v>
      </c>
      <c r="AW16">
        <v>2</v>
      </c>
      <c r="AX16" t="s">
        <v>4740</v>
      </c>
      <c r="AY16" t="s">
        <v>77</v>
      </c>
      <c r="AZ16" t="s">
        <v>4735</v>
      </c>
      <c r="BB16" t="s">
        <v>4738</v>
      </c>
      <c r="BE16" t="s">
        <v>6612</v>
      </c>
      <c r="BF16" t="s">
        <v>8975</v>
      </c>
      <c r="BG16" t="s">
        <v>8976</v>
      </c>
      <c r="BH16" t="s">
        <v>8977</v>
      </c>
      <c r="BI16" t="s">
        <v>4741</v>
      </c>
    </row>
    <row r="17" spans="1:61" x14ac:dyDescent="0.4">
      <c r="A17">
        <v>16</v>
      </c>
      <c r="B17" t="s">
        <v>1414</v>
      </c>
      <c r="C17" t="s">
        <v>1781</v>
      </c>
      <c r="D17">
        <v>2</v>
      </c>
      <c r="E17">
        <v>1</v>
      </c>
      <c r="F17">
        <v>0</v>
      </c>
      <c r="G17">
        <v>0</v>
      </c>
      <c r="H17">
        <v>0</v>
      </c>
      <c r="I17">
        <v>0</v>
      </c>
      <c r="J17" t="s">
        <v>6961</v>
      </c>
      <c r="K17" t="s">
        <v>4624</v>
      </c>
      <c r="L17" t="s">
        <v>4652</v>
      </c>
      <c r="M17" t="s">
        <v>7501</v>
      </c>
      <c r="N17" t="s">
        <v>4680</v>
      </c>
      <c r="R17">
        <v>2020</v>
      </c>
      <c r="S17" t="s">
        <v>6962</v>
      </c>
      <c r="T17" t="s">
        <v>244</v>
      </c>
      <c r="U17">
        <v>1</v>
      </c>
      <c r="V17">
        <v>1</v>
      </c>
      <c r="W17">
        <v>0</v>
      </c>
      <c r="X17">
        <v>100</v>
      </c>
      <c r="Z17" t="s">
        <v>65</v>
      </c>
      <c r="AA17" t="s">
        <v>247</v>
      </c>
      <c r="AB17">
        <v>6.9</v>
      </c>
      <c r="AC17">
        <v>89.1</v>
      </c>
      <c r="AF17" t="s">
        <v>1389</v>
      </c>
      <c r="AG17">
        <v>1</v>
      </c>
      <c r="AS17">
        <v>2</v>
      </c>
      <c r="AT17">
        <v>7</v>
      </c>
      <c r="AU17">
        <v>5</v>
      </c>
      <c r="AV17">
        <v>1</v>
      </c>
      <c r="AW17">
        <v>2</v>
      </c>
      <c r="AX17" t="s">
        <v>4742</v>
      </c>
      <c r="AY17" t="s">
        <v>77</v>
      </c>
      <c r="AZ17" t="s">
        <v>4735</v>
      </c>
      <c r="BB17" t="s">
        <v>4738</v>
      </c>
      <c r="BE17" t="s">
        <v>4719</v>
      </c>
      <c r="BF17" t="s">
        <v>7613</v>
      </c>
      <c r="BG17" t="s">
        <v>7614</v>
      </c>
      <c r="BH17" t="s">
        <v>7615</v>
      </c>
      <c r="BI17" t="s">
        <v>4743</v>
      </c>
    </row>
    <row r="18" spans="1:61" x14ac:dyDescent="0.4">
      <c r="A18">
        <v>17</v>
      </c>
      <c r="B18" t="s">
        <v>1415</v>
      </c>
      <c r="C18" t="s">
        <v>1781</v>
      </c>
      <c r="D18">
        <v>2</v>
      </c>
      <c r="E18">
        <v>1</v>
      </c>
      <c r="F18">
        <v>1</v>
      </c>
      <c r="G18">
        <v>0</v>
      </c>
      <c r="H18">
        <v>0</v>
      </c>
      <c r="I18">
        <v>1</v>
      </c>
      <c r="J18">
        <v>2.2999999999999998</v>
      </c>
      <c r="K18" t="s">
        <v>4625</v>
      </c>
      <c r="L18" t="s">
        <v>5658</v>
      </c>
      <c r="M18" t="s">
        <v>6063</v>
      </c>
      <c r="N18" t="s">
        <v>4655</v>
      </c>
      <c r="R18">
        <v>2024</v>
      </c>
      <c r="T18" t="s">
        <v>245</v>
      </c>
      <c r="U18">
        <v>0</v>
      </c>
      <c r="V18">
        <v>0</v>
      </c>
      <c r="W18">
        <v>0</v>
      </c>
      <c r="X18">
        <v>2</v>
      </c>
      <c r="Z18" t="s">
        <v>65</v>
      </c>
      <c r="AA18" t="s">
        <v>247</v>
      </c>
      <c r="AB18">
        <v>0</v>
      </c>
      <c r="AC18">
        <v>2</v>
      </c>
      <c r="AG18">
        <v>1</v>
      </c>
      <c r="AH18" t="s">
        <v>4681</v>
      </c>
      <c r="AI18" t="s">
        <v>4701</v>
      </c>
      <c r="AJ18" t="s">
        <v>6695</v>
      </c>
      <c r="AK18" t="s">
        <v>6701</v>
      </c>
      <c r="AS18">
        <v>2</v>
      </c>
      <c r="AT18">
        <v>8</v>
      </c>
      <c r="AU18">
        <v>3</v>
      </c>
      <c r="AV18">
        <v>1</v>
      </c>
      <c r="AW18">
        <v>2</v>
      </c>
      <c r="AX18" t="s">
        <v>4744</v>
      </c>
      <c r="AY18" t="s">
        <v>2488</v>
      </c>
      <c r="AZ18" t="s">
        <v>4735</v>
      </c>
      <c r="BB18" t="s">
        <v>4738</v>
      </c>
      <c r="BC18" t="s">
        <v>6707</v>
      </c>
      <c r="BD18" t="s">
        <v>6708</v>
      </c>
      <c r="BE18" t="s">
        <v>5663</v>
      </c>
      <c r="BF18" t="s">
        <v>5679</v>
      </c>
      <c r="BG18" t="s">
        <v>6936</v>
      </c>
      <c r="BH18" t="s">
        <v>6718</v>
      </c>
      <c r="BI18" t="s">
        <v>4745</v>
      </c>
    </row>
    <row r="19" spans="1:61" x14ac:dyDescent="0.4">
      <c r="A19">
        <v>18</v>
      </c>
      <c r="B19" t="s">
        <v>1416</v>
      </c>
      <c r="C19" t="s">
        <v>1781</v>
      </c>
      <c r="D19">
        <v>2</v>
      </c>
      <c r="E19">
        <v>0</v>
      </c>
      <c r="G19">
        <v>0</v>
      </c>
      <c r="H19">
        <v>0</v>
      </c>
      <c r="I19">
        <v>0</v>
      </c>
      <c r="J19">
        <v>2.4</v>
      </c>
      <c r="K19" t="s">
        <v>6860</v>
      </c>
      <c r="L19" t="s">
        <v>2718</v>
      </c>
      <c r="M19" t="s">
        <v>1012</v>
      </c>
      <c r="T19" t="s">
        <v>92</v>
      </c>
      <c r="V19">
        <v>1</v>
      </c>
      <c r="Z19" t="s">
        <v>65</v>
      </c>
      <c r="AA19" t="s">
        <v>73</v>
      </c>
      <c r="AG19">
        <v>1</v>
      </c>
      <c r="AS19">
        <v>2</v>
      </c>
      <c r="AT19">
        <v>9</v>
      </c>
      <c r="AU19">
        <v>2</v>
      </c>
      <c r="AV19">
        <v>1</v>
      </c>
      <c r="AW19">
        <v>1</v>
      </c>
      <c r="AX19" t="s">
        <v>6869</v>
      </c>
      <c r="AY19" t="s">
        <v>77</v>
      </c>
      <c r="AZ19" t="s">
        <v>1407</v>
      </c>
      <c r="BA19" t="s">
        <v>6884</v>
      </c>
      <c r="BB19" t="s">
        <v>4738</v>
      </c>
      <c r="BF19" t="s">
        <v>6893</v>
      </c>
      <c r="BG19" t="s">
        <v>6894</v>
      </c>
      <c r="BH19" t="s">
        <v>6893</v>
      </c>
      <c r="BI19" t="s">
        <v>6870</v>
      </c>
    </row>
    <row r="20" spans="1:61" x14ac:dyDescent="0.4">
      <c r="A20">
        <v>19</v>
      </c>
      <c r="B20" t="s">
        <v>1776</v>
      </c>
      <c r="C20" t="s">
        <v>1416</v>
      </c>
      <c r="D20">
        <v>3</v>
      </c>
      <c r="E20">
        <v>1</v>
      </c>
      <c r="F20">
        <v>0</v>
      </c>
      <c r="G20">
        <v>0</v>
      </c>
      <c r="H20">
        <v>0</v>
      </c>
      <c r="I20">
        <v>0</v>
      </c>
      <c r="J20" t="s">
        <v>4597</v>
      </c>
      <c r="K20" t="s">
        <v>6861</v>
      </c>
      <c r="L20" t="s">
        <v>4652</v>
      </c>
      <c r="M20" t="s">
        <v>6932</v>
      </c>
      <c r="N20" t="s">
        <v>4682</v>
      </c>
      <c r="R20">
        <v>2021</v>
      </c>
      <c r="T20" t="s">
        <v>244</v>
      </c>
      <c r="U20">
        <v>1</v>
      </c>
      <c r="V20">
        <v>1</v>
      </c>
      <c r="W20">
        <v>0</v>
      </c>
      <c r="X20">
        <v>100</v>
      </c>
      <c r="Z20" t="s">
        <v>133</v>
      </c>
      <c r="AA20" t="s">
        <v>247</v>
      </c>
      <c r="AB20">
        <v>0</v>
      </c>
      <c r="AC20">
        <v>100</v>
      </c>
      <c r="AF20" t="s">
        <v>7505</v>
      </c>
      <c r="AG20">
        <v>1</v>
      </c>
      <c r="AS20">
        <v>2</v>
      </c>
      <c r="AT20">
        <v>9</v>
      </c>
      <c r="AU20">
        <v>5</v>
      </c>
      <c r="AV20">
        <v>2</v>
      </c>
      <c r="AW20">
        <v>2</v>
      </c>
      <c r="AX20" t="s">
        <v>6871</v>
      </c>
      <c r="AY20" t="s">
        <v>77</v>
      </c>
      <c r="AZ20" t="s">
        <v>1408</v>
      </c>
      <c r="BB20" t="s">
        <v>6887</v>
      </c>
      <c r="BE20" t="s">
        <v>6013</v>
      </c>
      <c r="BF20" t="s">
        <v>7524</v>
      </c>
      <c r="BG20" t="s">
        <v>7528</v>
      </c>
      <c r="BH20" t="s">
        <v>7529</v>
      </c>
      <c r="BI20" t="s">
        <v>6872</v>
      </c>
    </row>
    <row r="21" spans="1:61" x14ac:dyDescent="0.4">
      <c r="A21">
        <v>20</v>
      </c>
      <c r="B21" t="s">
        <v>1777</v>
      </c>
      <c r="C21" t="s">
        <v>1416</v>
      </c>
      <c r="D21">
        <v>3</v>
      </c>
      <c r="E21">
        <v>1</v>
      </c>
      <c r="F21">
        <v>1</v>
      </c>
      <c r="G21">
        <v>0</v>
      </c>
      <c r="H21">
        <v>0</v>
      </c>
      <c r="I21">
        <v>1</v>
      </c>
      <c r="J21" t="s">
        <v>4598</v>
      </c>
      <c r="K21" t="s">
        <v>6862</v>
      </c>
      <c r="L21" t="s">
        <v>5656</v>
      </c>
      <c r="M21" t="s">
        <v>6063</v>
      </c>
      <c r="N21" t="s">
        <v>4656</v>
      </c>
      <c r="R21">
        <v>2024</v>
      </c>
      <c r="T21" t="s">
        <v>245</v>
      </c>
      <c r="U21">
        <v>0</v>
      </c>
      <c r="V21">
        <v>0</v>
      </c>
      <c r="W21">
        <v>0</v>
      </c>
      <c r="X21">
        <v>1</v>
      </c>
      <c r="Z21" t="s">
        <v>65</v>
      </c>
      <c r="AA21" t="s">
        <v>247</v>
      </c>
      <c r="AB21">
        <v>0</v>
      </c>
      <c r="AC21">
        <v>1</v>
      </c>
      <c r="AG21">
        <v>1</v>
      </c>
      <c r="AH21" t="s">
        <v>4683</v>
      </c>
      <c r="AI21" t="s">
        <v>468</v>
      </c>
      <c r="AJ21" t="s">
        <v>469</v>
      </c>
      <c r="AS21">
        <v>2</v>
      </c>
      <c r="AT21">
        <v>9</v>
      </c>
      <c r="AU21">
        <v>3</v>
      </c>
      <c r="AV21">
        <v>1</v>
      </c>
      <c r="AW21">
        <v>2</v>
      </c>
      <c r="AX21" t="s">
        <v>6873</v>
      </c>
      <c r="AY21" t="s">
        <v>2488</v>
      </c>
      <c r="AZ21" t="s">
        <v>1408</v>
      </c>
      <c r="BB21" t="s">
        <v>6887</v>
      </c>
      <c r="BC21" t="s">
        <v>4722</v>
      </c>
      <c r="BD21" t="s">
        <v>4746</v>
      </c>
      <c r="BE21" t="s">
        <v>5661</v>
      </c>
      <c r="BF21" t="s">
        <v>5678</v>
      </c>
      <c r="BG21" t="s">
        <v>6937</v>
      </c>
      <c r="BH21" t="s">
        <v>5668</v>
      </c>
      <c r="BI21" t="s">
        <v>6874</v>
      </c>
    </row>
    <row r="22" spans="1:61" x14ac:dyDescent="0.4">
      <c r="A22">
        <v>21</v>
      </c>
      <c r="B22" t="s">
        <v>1570</v>
      </c>
      <c r="C22" t="s">
        <v>1781</v>
      </c>
      <c r="D22">
        <v>2</v>
      </c>
      <c r="E22">
        <v>1</v>
      </c>
      <c r="F22">
        <v>0</v>
      </c>
      <c r="G22">
        <v>0</v>
      </c>
      <c r="H22">
        <v>0</v>
      </c>
      <c r="I22">
        <v>0</v>
      </c>
      <c r="J22">
        <v>2.5</v>
      </c>
      <c r="K22" t="s">
        <v>4626</v>
      </c>
      <c r="L22" t="s">
        <v>4652</v>
      </c>
      <c r="M22" t="s">
        <v>7501</v>
      </c>
      <c r="N22" t="s">
        <v>4684</v>
      </c>
      <c r="R22">
        <v>2020</v>
      </c>
      <c r="T22" t="s">
        <v>244</v>
      </c>
      <c r="U22">
        <v>1</v>
      </c>
      <c r="V22">
        <v>1</v>
      </c>
      <c r="W22">
        <v>0</v>
      </c>
      <c r="X22">
        <v>100</v>
      </c>
      <c r="Z22" t="s">
        <v>65</v>
      </c>
      <c r="AA22" t="s">
        <v>247</v>
      </c>
      <c r="AB22">
        <v>0</v>
      </c>
      <c r="AC22">
        <v>100</v>
      </c>
      <c r="AF22" t="s">
        <v>7505</v>
      </c>
      <c r="AG22">
        <v>1</v>
      </c>
      <c r="AS22">
        <v>2</v>
      </c>
      <c r="AT22">
        <v>10</v>
      </c>
      <c r="AU22">
        <v>5</v>
      </c>
      <c r="AV22">
        <v>1</v>
      </c>
      <c r="AW22">
        <v>2</v>
      </c>
      <c r="AX22" t="s">
        <v>4747</v>
      </c>
      <c r="AY22" t="s">
        <v>77</v>
      </c>
      <c r="AZ22" t="s">
        <v>4735</v>
      </c>
      <c r="BB22" t="s">
        <v>4738</v>
      </c>
      <c r="BE22" t="s">
        <v>4719</v>
      </c>
      <c r="BF22" t="s">
        <v>7525</v>
      </c>
      <c r="BG22" t="s">
        <v>7530</v>
      </c>
      <c r="BH22" t="s">
        <v>7531</v>
      </c>
      <c r="BI22" t="s">
        <v>4748</v>
      </c>
    </row>
    <row r="23" spans="1:61" x14ac:dyDescent="0.4">
      <c r="A23">
        <v>22</v>
      </c>
      <c r="B23" t="s">
        <v>1795</v>
      </c>
      <c r="C23" t="s">
        <v>68</v>
      </c>
      <c r="D23">
        <v>1</v>
      </c>
      <c r="E23">
        <v>0</v>
      </c>
      <c r="G23">
        <v>0</v>
      </c>
      <c r="H23">
        <v>0</v>
      </c>
      <c r="I23">
        <v>0</v>
      </c>
      <c r="J23">
        <v>3</v>
      </c>
      <c r="K23" t="s">
        <v>4749</v>
      </c>
      <c r="L23" t="s">
        <v>2718</v>
      </c>
      <c r="M23" t="s">
        <v>1012</v>
      </c>
      <c r="T23" t="s">
        <v>92</v>
      </c>
      <c r="V23">
        <v>1</v>
      </c>
      <c r="Z23" t="s">
        <v>65</v>
      </c>
      <c r="AA23" t="s">
        <v>73</v>
      </c>
      <c r="AG23">
        <v>8</v>
      </c>
      <c r="AS23">
        <v>3</v>
      </c>
      <c r="AT23">
        <v>10</v>
      </c>
      <c r="AU23">
        <v>2</v>
      </c>
      <c r="AV23">
        <v>1</v>
      </c>
      <c r="AW23">
        <v>1</v>
      </c>
      <c r="AX23" t="s">
        <v>4750</v>
      </c>
      <c r="AY23" t="s">
        <v>77</v>
      </c>
      <c r="AZ23" t="s">
        <v>7608</v>
      </c>
      <c r="BA23" t="s">
        <v>7520</v>
      </c>
      <c r="BF23" t="s">
        <v>7532</v>
      </c>
      <c r="BG23" t="s">
        <v>7533</v>
      </c>
      <c r="BH23" t="s">
        <v>7532</v>
      </c>
      <c r="BI23" t="s">
        <v>4750</v>
      </c>
    </row>
    <row r="24" spans="1:61" x14ac:dyDescent="0.4">
      <c r="A24">
        <v>23</v>
      </c>
      <c r="B24" t="s">
        <v>1417</v>
      </c>
      <c r="C24" t="s">
        <v>1795</v>
      </c>
      <c r="D24">
        <v>2</v>
      </c>
      <c r="E24">
        <v>0</v>
      </c>
      <c r="G24">
        <v>0</v>
      </c>
      <c r="H24">
        <v>0</v>
      </c>
      <c r="I24">
        <v>0</v>
      </c>
      <c r="J24">
        <v>3.1</v>
      </c>
      <c r="K24" t="s">
        <v>4627</v>
      </c>
      <c r="L24" t="s">
        <v>2718</v>
      </c>
      <c r="M24" t="s">
        <v>1012</v>
      </c>
      <c r="T24" t="s">
        <v>92</v>
      </c>
      <c r="V24">
        <v>1</v>
      </c>
      <c r="Z24" t="s">
        <v>65</v>
      </c>
      <c r="AA24" t="s">
        <v>73</v>
      </c>
      <c r="AG24">
        <v>1</v>
      </c>
      <c r="AS24">
        <v>3</v>
      </c>
      <c r="AT24">
        <v>11</v>
      </c>
      <c r="AU24">
        <v>2</v>
      </c>
      <c r="AV24">
        <v>1</v>
      </c>
      <c r="AW24">
        <v>1</v>
      </c>
      <c r="AX24" t="s">
        <v>4751</v>
      </c>
      <c r="AY24" t="s">
        <v>77</v>
      </c>
      <c r="AZ24" t="s">
        <v>1407</v>
      </c>
      <c r="BA24" t="s">
        <v>7662</v>
      </c>
      <c r="BB24" t="s">
        <v>4749</v>
      </c>
      <c r="BF24" t="s">
        <v>7672</v>
      </c>
      <c r="BG24" t="s">
        <v>7673</v>
      </c>
      <c r="BH24" t="s">
        <v>7672</v>
      </c>
      <c r="BI24" t="s">
        <v>4752</v>
      </c>
    </row>
    <row r="25" spans="1:61" x14ac:dyDescent="0.4">
      <c r="A25">
        <v>24</v>
      </c>
      <c r="B25" t="s">
        <v>1778</v>
      </c>
      <c r="C25" t="s">
        <v>1417</v>
      </c>
      <c r="D25">
        <v>3</v>
      </c>
      <c r="E25">
        <v>1</v>
      </c>
      <c r="F25">
        <v>0</v>
      </c>
      <c r="G25">
        <v>0</v>
      </c>
      <c r="H25">
        <v>0</v>
      </c>
      <c r="I25">
        <v>0</v>
      </c>
      <c r="J25" t="s">
        <v>4599</v>
      </c>
      <c r="K25" t="s">
        <v>4628</v>
      </c>
      <c r="L25" t="s">
        <v>4652</v>
      </c>
      <c r="M25" t="s">
        <v>6931</v>
      </c>
      <c r="N25" t="s">
        <v>7637</v>
      </c>
      <c r="R25">
        <v>2022</v>
      </c>
      <c r="T25" t="s">
        <v>244</v>
      </c>
      <c r="U25">
        <v>1</v>
      </c>
      <c r="V25">
        <v>1</v>
      </c>
      <c r="W25">
        <v>0</v>
      </c>
      <c r="Z25" t="s">
        <v>133</v>
      </c>
      <c r="AA25" t="s">
        <v>247</v>
      </c>
      <c r="AB25">
        <v>0</v>
      </c>
      <c r="AC25">
        <v>100</v>
      </c>
      <c r="AF25" t="s">
        <v>7505</v>
      </c>
      <c r="AG25">
        <v>1</v>
      </c>
      <c r="AS25">
        <v>3</v>
      </c>
      <c r="AT25">
        <v>11</v>
      </c>
      <c r="AU25">
        <v>5</v>
      </c>
      <c r="AV25">
        <v>2</v>
      </c>
      <c r="AW25">
        <v>2</v>
      </c>
      <c r="AX25" t="s">
        <v>4753</v>
      </c>
      <c r="AY25" t="s">
        <v>77</v>
      </c>
      <c r="AZ25" t="s">
        <v>1408</v>
      </c>
      <c r="BB25" t="s">
        <v>4822</v>
      </c>
      <c r="BE25" t="s">
        <v>6013</v>
      </c>
      <c r="BF25" t="s">
        <v>7524</v>
      </c>
      <c r="BG25" t="s">
        <v>7674</v>
      </c>
      <c r="BH25" t="s">
        <v>7675</v>
      </c>
      <c r="BI25" t="s">
        <v>4754</v>
      </c>
    </row>
    <row r="26" spans="1:61" x14ac:dyDescent="0.4">
      <c r="A26">
        <v>25</v>
      </c>
      <c r="B26" t="s">
        <v>1779</v>
      </c>
      <c r="C26" t="s">
        <v>1417</v>
      </c>
      <c r="D26">
        <v>3</v>
      </c>
      <c r="E26">
        <v>1</v>
      </c>
      <c r="F26">
        <v>1</v>
      </c>
      <c r="G26">
        <v>0</v>
      </c>
      <c r="H26">
        <v>0</v>
      </c>
      <c r="I26">
        <v>1</v>
      </c>
      <c r="J26" t="s">
        <v>4600</v>
      </c>
      <c r="K26" t="s">
        <v>7632</v>
      </c>
      <c r="L26" t="s">
        <v>5656</v>
      </c>
      <c r="M26" t="s">
        <v>6063</v>
      </c>
      <c r="N26" t="s">
        <v>4657</v>
      </c>
      <c r="R26">
        <v>2024</v>
      </c>
      <c r="T26" t="s">
        <v>245</v>
      </c>
      <c r="U26">
        <v>0</v>
      </c>
      <c r="V26">
        <v>0</v>
      </c>
      <c r="W26">
        <v>0</v>
      </c>
      <c r="X26">
        <v>1</v>
      </c>
      <c r="Z26" t="s">
        <v>65</v>
      </c>
      <c r="AA26" t="s">
        <v>247</v>
      </c>
      <c r="AB26">
        <v>0</v>
      </c>
      <c r="AC26">
        <v>1</v>
      </c>
      <c r="AG26">
        <v>1</v>
      </c>
      <c r="AH26" t="s">
        <v>4685</v>
      </c>
      <c r="AI26" t="s">
        <v>468</v>
      </c>
      <c r="AJ26" t="s">
        <v>469</v>
      </c>
      <c r="AS26">
        <v>3</v>
      </c>
      <c r="AT26">
        <v>11</v>
      </c>
      <c r="AU26">
        <v>3</v>
      </c>
      <c r="AV26">
        <v>1</v>
      </c>
      <c r="AW26">
        <v>2</v>
      </c>
      <c r="AX26" t="s">
        <v>7651</v>
      </c>
      <c r="AY26" t="s">
        <v>2488</v>
      </c>
      <c r="AZ26" t="s">
        <v>1408</v>
      </c>
      <c r="BB26" t="s">
        <v>4822</v>
      </c>
      <c r="BC26" t="s">
        <v>4722</v>
      </c>
      <c r="BD26" t="s">
        <v>4755</v>
      </c>
      <c r="BE26" t="s">
        <v>5661</v>
      </c>
      <c r="BF26" t="s">
        <v>5678</v>
      </c>
      <c r="BG26" t="s">
        <v>6938</v>
      </c>
      <c r="BH26" t="s">
        <v>5669</v>
      </c>
      <c r="BI26" t="s">
        <v>7652</v>
      </c>
    </row>
    <row r="27" spans="1:61" x14ac:dyDescent="0.4">
      <c r="A27">
        <v>26</v>
      </c>
      <c r="B27" t="s">
        <v>1418</v>
      </c>
      <c r="C27" t="s">
        <v>1795</v>
      </c>
      <c r="D27">
        <v>2</v>
      </c>
      <c r="E27">
        <v>0</v>
      </c>
      <c r="G27">
        <v>0</v>
      </c>
      <c r="H27">
        <v>0</v>
      </c>
      <c r="I27">
        <v>0</v>
      </c>
      <c r="J27">
        <v>3.2</v>
      </c>
      <c r="K27" t="s">
        <v>6863</v>
      </c>
      <c r="L27" t="s">
        <v>2718</v>
      </c>
      <c r="M27" t="s">
        <v>1012</v>
      </c>
      <c r="T27" t="s">
        <v>92</v>
      </c>
      <c r="V27">
        <v>1</v>
      </c>
      <c r="Z27" t="s">
        <v>65</v>
      </c>
      <c r="AA27" t="s">
        <v>73</v>
      </c>
      <c r="AG27">
        <v>1</v>
      </c>
      <c r="AS27">
        <v>3</v>
      </c>
      <c r="AT27">
        <v>12</v>
      </c>
      <c r="AU27">
        <v>2</v>
      </c>
      <c r="AV27">
        <v>1</v>
      </c>
      <c r="AW27">
        <v>1</v>
      </c>
      <c r="AX27" t="s">
        <v>6875</v>
      </c>
      <c r="AY27" t="s">
        <v>77</v>
      </c>
      <c r="AZ27" t="s">
        <v>1407</v>
      </c>
      <c r="BA27" t="s">
        <v>7221</v>
      </c>
      <c r="BB27" t="s">
        <v>4749</v>
      </c>
      <c r="BF27" t="s">
        <v>7223</v>
      </c>
      <c r="BG27" t="s">
        <v>7224</v>
      </c>
      <c r="BH27" t="s">
        <v>7223</v>
      </c>
      <c r="BI27" t="s">
        <v>6876</v>
      </c>
    </row>
    <row r="28" spans="1:61" x14ac:dyDescent="0.4">
      <c r="A28">
        <v>27</v>
      </c>
      <c r="B28" t="s">
        <v>1780</v>
      </c>
      <c r="C28" t="s">
        <v>1418</v>
      </c>
      <c r="D28">
        <v>3</v>
      </c>
      <c r="E28">
        <v>1</v>
      </c>
      <c r="F28">
        <v>0</v>
      </c>
      <c r="G28">
        <v>0</v>
      </c>
      <c r="H28">
        <v>0</v>
      </c>
      <c r="I28">
        <v>0</v>
      </c>
      <c r="J28" t="s">
        <v>4601</v>
      </c>
      <c r="K28" t="s">
        <v>7209</v>
      </c>
      <c r="L28" t="s">
        <v>6681</v>
      </c>
      <c r="M28" t="s">
        <v>6615</v>
      </c>
      <c r="N28" t="s">
        <v>6685</v>
      </c>
      <c r="P28" t="s">
        <v>7491</v>
      </c>
      <c r="T28" t="s">
        <v>244</v>
      </c>
      <c r="U28">
        <v>2</v>
      </c>
      <c r="V28">
        <v>2</v>
      </c>
      <c r="W28">
        <v>0</v>
      </c>
      <c r="Z28" t="s">
        <v>65</v>
      </c>
      <c r="AA28" t="s">
        <v>247</v>
      </c>
      <c r="AB28">
        <v>0</v>
      </c>
      <c r="AC28">
        <v>400</v>
      </c>
      <c r="AF28" t="s">
        <v>7505</v>
      </c>
      <c r="AG28">
        <v>1</v>
      </c>
      <c r="AS28">
        <v>3</v>
      </c>
      <c r="AT28">
        <v>12</v>
      </c>
      <c r="AU28">
        <v>5</v>
      </c>
      <c r="AV28">
        <v>1</v>
      </c>
      <c r="AW28">
        <v>2</v>
      </c>
      <c r="AX28" t="s">
        <v>7213</v>
      </c>
      <c r="AY28" t="s">
        <v>6611</v>
      </c>
      <c r="AZ28" t="s">
        <v>1408</v>
      </c>
      <c r="BB28" t="s">
        <v>6888</v>
      </c>
      <c r="BE28" t="s">
        <v>6689</v>
      </c>
      <c r="BF28" t="s">
        <v>7492</v>
      </c>
      <c r="BG28" t="s">
        <v>7534</v>
      </c>
      <c r="BH28" t="s">
        <v>7493</v>
      </c>
      <c r="BI28" t="s">
        <v>7214</v>
      </c>
    </row>
    <row r="29" spans="1:61" x14ac:dyDescent="0.4">
      <c r="A29">
        <v>28</v>
      </c>
      <c r="B29" t="s">
        <v>1782</v>
      </c>
      <c r="C29" t="s">
        <v>1418</v>
      </c>
      <c r="D29">
        <v>3</v>
      </c>
      <c r="E29">
        <v>1</v>
      </c>
      <c r="F29">
        <v>1</v>
      </c>
      <c r="G29">
        <v>0</v>
      </c>
      <c r="H29">
        <v>0</v>
      </c>
      <c r="I29">
        <v>1</v>
      </c>
      <c r="J29" t="s">
        <v>4602</v>
      </c>
      <c r="K29" t="s">
        <v>7210</v>
      </c>
      <c r="L29" t="s">
        <v>5656</v>
      </c>
      <c r="M29" t="s">
        <v>6063</v>
      </c>
      <c r="N29" t="s">
        <v>4658</v>
      </c>
      <c r="R29">
        <v>2024</v>
      </c>
      <c r="T29" t="s">
        <v>245</v>
      </c>
      <c r="U29">
        <v>0</v>
      </c>
      <c r="V29">
        <v>0</v>
      </c>
      <c r="W29">
        <v>0</v>
      </c>
      <c r="X29">
        <v>1</v>
      </c>
      <c r="Z29" t="s">
        <v>65</v>
      </c>
      <c r="AA29" t="s">
        <v>247</v>
      </c>
      <c r="AB29">
        <v>0</v>
      </c>
      <c r="AC29">
        <v>1</v>
      </c>
      <c r="AG29">
        <v>1</v>
      </c>
      <c r="AH29" t="s">
        <v>4686</v>
      </c>
      <c r="AI29" t="s">
        <v>468</v>
      </c>
      <c r="AJ29" t="s">
        <v>469</v>
      </c>
      <c r="AS29">
        <v>3</v>
      </c>
      <c r="AT29">
        <v>12</v>
      </c>
      <c r="AU29">
        <v>3</v>
      </c>
      <c r="AV29">
        <v>1</v>
      </c>
      <c r="AW29">
        <v>2</v>
      </c>
      <c r="AX29" t="s">
        <v>7215</v>
      </c>
      <c r="AY29" t="s">
        <v>2488</v>
      </c>
      <c r="AZ29" t="s">
        <v>1408</v>
      </c>
      <c r="BB29" t="s">
        <v>6888</v>
      </c>
      <c r="BC29" t="s">
        <v>4722</v>
      </c>
      <c r="BD29" t="s">
        <v>4756</v>
      </c>
      <c r="BE29" t="s">
        <v>5661</v>
      </c>
      <c r="BF29" t="s">
        <v>5678</v>
      </c>
      <c r="BG29" t="s">
        <v>6939</v>
      </c>
      <c r="BH29" t="s">
        <v>5670</v>
      </c>
      <c r="BI29" t="s">
        <v>7216</v>
      </c>
    </row>
    <row r="30" spans="1:61" x14ac:dyDescent="0.4">
      <c r="A30">
        <v>29</v>
      </c>
      <c r="B30" t="s">
        <v>1419</v>
      </c>
      <c r="C30" t="s">
        <v>1795</v>
      </c>
      <c r="D30">
        <v>2</v>
      </c>
      <c r="E30">
        <v>0</v>
      </c>
      <c r="G30">
        <v>0</v>
      </c>
      <c r="H30">
        <v>0</v>
      </c>
      <c r="I30">
        <v>0</v>
      </c>
      <c r="J30">
        <v>3.3</v>
      </c>
      <c r="K30" t="s">
        <v>6864</v>
      </c>
      <c r="L30" t="s">
        <v>2718</v>
      </c>
      <c r="M30" t="s">
        <v>1012</v>
      </c>
      <c r="T30" t="s">
        <v>92</v>
      </c>
      <c r="V30">
        <v>1</v>
      </c>
      <c r="Z30" t="s">
        <v>65</v>
      </c>
      <c r="AA30" t="s">
        <v>73</v>
      </c>
      <c r="AG30">
        <v>1</v>
      </c>
      <c r="AS30">
        <v>3</v>
      </c>
      <c r="AT30">
        <v>13</v>
      </c>
      <c r="AU30">
        <v>2</v>
      </c>
      <c r="AV30">
        <v>1</v>
      </c>
      <c r="AW30">
        <v>1</v>
      </c>
      <c r="AX30" t="s">
        <v>6877</v>
      </c>
      <c r="AY30" t="s">
        <v>77</v>
      </c>
      <c r="AZ30" t="s">
        <v>1407</v>
      </c>
      <c r="BA30" t="s">
        <v>7222</v>
      </c>
      <c r="BB30" t="s">
        <v>4749</v>
      </c>
      <c r="BF30" t="s">
        <v>7225</v>
      </c>
      <c r="BG30" t="s">
        <v>7226</v>
      </c>
      <c r="BH30" t="s">
        <v>7225</v>
      </c>
      <c r="BI30" t="s">
        <v>6878</v>
      </c>
    </row>
    <row r="31" spans="1:61" x14ac:dyDescent="0.4">
      <c r="A31">
        <v>30</v>
      </c>
      <c r="B31" t="s">
        <v>1783</v>
      </c>
      <c r="C31" t="s">
        <v>1419</v>
      </c>
      <c r="D31">
        <v>3</v>
      </c>
      <c r="E31">
        <v>1</v>
      </c>
      <c r="F31">
        <v>0</v>
      </c>
      <c r="G31">
        <v>0</v>
      </c>
      <c r="H31">
        <v>0</v>
      </c>
      <c r="I31">
        <v>0</v>
      </c>
      <c r="J31" t="s">
        <v>4603</v>
      </c>
      <c r="K31" t="s">
        <v>7211</v>
      </c>
      <c r="L31" t="s">
        <v>6682</v>
      </c>
      <c r="M31" t="s">
        <v>6615</v>
      </c>
      <c r="N31" t="s">
        <v>6686</v>
      </c>
      <c r="P31" t="s">
        <v>6737</v>
      </c>
      <c r="R31">
        <v>2019</v>
      </c>
      <c r="T31" t="s">
        <v>244</v>
      </c>
      <c r="U31">
        <v>1</v>
      </c>
      <c r="V31">
        <v>1</v>
      </c>
      <c r="W31">
        <v>0</v>
      </c>
      <c r="Z31" t="s">
        <v>133</v>
      </c>
      <c r="AA31" t="s">
        <v>247</v>
      </c>
      <c r="AB31">
        <v>1</v>
      </c>
      <c r="AC31">
        <v>2</v>
      </c>
      <c r="AG31">
        <v>1</v>
      </c>
      <c r="AS31">
        <v>3</v>
      </c>
      <c r="AT31">
        <v>13</v>
      </c>
      <c r="AU31">
        <v>5</v>
      </c>
      <c r="AV31">
        <v>2</v>
      </c>
      <c r="AW31">
        <v>2</v>
      </c>
      <c r="AX31" t="s">
        <v>7217</v>
      </c>
      <c r="AY31" t="s">
        <v>77</v>
      </c>
      <c r="AZ31" t="s">
        <v>1408</v>
      </c>
      <c r="BB31" t="s">
        <v>6889</v>
      </c>
      <c r="BE31" t="s">
        <v>6690</v>
      </c>
      <c r="BF31" t="s">
        <v>6744</v>
      </c>
      <c r="BG31" t="s">
        <v>6915</v>
      </c>
      <c r="BH31" t="s">
        <v>6745</v>
      </c>
      <c r="BI31" t="s">
        <v>7218</v>
      </c>
    </row>
    <row r="32" spans="1:61" x14ac:dyDescent="0.4">
      <c r="A32">
        <v>31</v>
      </c>
      <c r="B32" t="s">
        <v>1784</v>
      </c>
      <c r="C32" t="s">
        <v>1419</v>
      </c>
      <c r="D32">
        <v>3</v>
      </c>
      <c r="E32">
        <v>1</v>
      </c>
      <c r="F32">
        <v>1</v>
      </c>
      <c r="G32">
        <v>0</v>
      </c>
      <c r="H32">
        <v>0</v>
      </c>
      <c r="I32">
        <v>1</v>
      </c>
      <c r="J32" t="s">
        <v>4604</v>
      </c>
      <c r="K32" t="s">
        <v>7212</v>
      </c>
      <c r="L32" t="s">
        <v>5656</v>
      </c>
      <c r="M32" t="s">
        <v>6063</v>
      </c>
      <c r="N32" t="s">
        <v>4659</v>
      </c>
      <c r="R32">
        <v>2024</v>
      </c>
      <c r="T32" t="s">
        <v>245</v>
      </c>
      <c r="U32">
        <v>0</v>
      </c>
      <c r="V32">
        <v>0</v>
      </c>
      <c r="W32">
        <v>0</v>
      </c>
      <c r="X32">
        <v>1</v>
      </c>
      <c r="Z32" t="s">
        <v>65</v>
      </c>
      <c r="AA32" t="s">
        <v>247</v>
      </c>
      <c r="AB32">
        <v>0</v>
      </c>
      <c r="AC32">
        <v>1</v>
      </c>
      <c r="AG32">
        <v>1</v>
      </c>
      <c r="AH32" t="s">
        <v>4687</v>
      </c>
      <c r="AI32" t="s">
        <v>468</v>
      </c>
      <c r="AJ32" t="s">
        <v>469</v>
      </c>
      <c r="AS32">
        <v>3</v>
      </c>
      <c r="AT32">
        <v>13</v>
      </c>
      <c r="AU32">
        <v>3</v>
      </c>
      <c r="AV32">
        <v>1</v>
      </c>
      <c r="AW32">
        <v>2</v>
      </c>
      <c r="AX32" t="s">
        <v>7219</v>
      </c>
      <c r="AY32" t="s">
        <v>2488</v>
      </c>
      <c r="AZ32" t="s">
        <v>1408</v>
      </c>
      <c r="BB32" t="s">
        <v>6889</v>
      </c>
      <c r="BC32" t="s">
        <v>4722</v>
      </c>
      <c r="BD32" t="s">
        <v>4757</v>
      </c>
      <c r="BE32" t="s">
        <v>5661</v>
      </c>
      <c r="BF32" t="s">
        <v>5678</v>
      </c>
      <c r="BG32" t="s">
        <v>6940</v>
      </c>
      <c r="BH32" t="s">
        <v>5671</v>
      </c>
      <c r="BI32" t="s">
        <v>7220</v>
      </c>
    </row>
    <row r="33" spans="1:61" x14ac:dyDescent="0.4">
      <c r="A33">
        <v>32</v>
      </c>
      <c r="B33" t="s">
        <v>1420</v>
      </c>
      <c r="C33" t="s">
        <v>1795</v>
      </c>
      <c r="D33">
        <v>2</v>
      </c>
      <c r="E33">
        <v>0</v>
      </c>
      <c r="G33">
        <v>0</v>
      </c>
      <c r="H33">
        <v>0</v>
      </c>
      <c r="I33">
        <v>0</v>
      </c>
      <c r="J33">
        <v>3.4</v>
      </c>
      <c r="K33" t="s">
        <v>6865</v>
      </c>
      <c r="L33" t="s">
        <v>2718</v>
      </c>
      <c r="M33" t="s">
        <v>1012</v>
      </c>
      <c r="T33" t="s">
        <v>92</v>
      </c>
      <c r="V33">
        <v>1</v>
      </c>
      <c r="Z33" t="s">
        <v>65</v>
      </c>
      <c r="AA33" t="s">
        <v>73</v>
      </c>
      <c r="AG33">
        <v>1</v>
      </c>
      <c r="AS33">
        <v>3</v>
      </c>
      <c r="AT33">
        <v>14</v>
      </c>
      <c r="AU33">
        <v>2</v>
      </c>
      <c r="AV33">
        <v>1</v>
      </c>
      <c r="AW33">
        <v>1</v>
      </c>
      <c r="AX33" t="s">
        <v>6879</v>
      </c>
      <c r="AY33" t="s">
        <v>77</v>
      </c>
      <c r="AZ33" t="s">
        <v>1407</v>
      </c>
      <c r="BA33" t="s">
        <v>7521</v>
      </c>
      <c r="BB33" t="s">
        <v>4749</v>
      </c>
      <c r="BF33" t="s">
        <v>7535</v>
      </c>
      <c r="BG33" t="s">
        <v>7536</v>
      </c>
      <c r="BH33" t="s">
        <v>7535</v>
      </c>
      <c r="BI33" t="s">
        <v>6880</v>
      </c>
    </row>
    <row r="34" spans="1:61" x14ac:dyDescent="0.4">
      <c r="A34">
        <v>33</v>
      </c>
      <c r="B34" t="s">
        <v>4578</v>
      </c>
      <c r="C34" t="s">
        <v>1420</v>
      </c>
      <c r="D34">
        <v>3</v>
      </c>
      <c r="E34">
        <v>1</v>
      </c>
      <c r="F34">
        <v>0</v>
      </c>
      <c r="G34">
        <v>0</v>
      </c>
      <c r="H34">
        <v>0</v>
      </c>
      <c r="I34">
        <v>0</v>
      </c>
      <c r="J34" t="s">
        <v>4605</v>
      </c>
      <c r="K34" t="s">
        <v>4629</v>
      </c>
      <c r="L34" t="s">
        <v>4652</v>
      </c>
      <c r="M34" t="s">
        <v>6931</v>
      </c>
      <c r="N34" t="s">
        <v>7638</v>
      </c>
      <c r="R34">
        <v>2016</v>
      </c>
      <c r="T34" t="s">
        <v>244</v>
      </c>
      <c r="U34">
        <v>2</v>
      </c>
      <c r="V34">
        <v>2</v>
      </c>
      <c r="W34">
        <v>0</v>
      </c>
      <c r="Z34" t="s">
        <v>133</v>
      </c>
      <c r="AA34" t="s">
        <v>247</v>
      </c>
      <c r="AB34">
        <v>0</v>
      </c>
      <c r="AC34">
        <v>100</v>
      </c>
      <c r="AF34" t="s">
        <v>7505</v>
      </c>
      <c r="AG34">
        <v>1</v>
      </c>
      <c r="AS34">
        <v>3</v>
      </c>
      <c r="AT34">
        <v>14</v>
      </c>
      <c r="AU34">
        <v>5</v>
      </c>
      <c r="AV34">
        <v>2</v>
      </c>
      <c r="AW34">
        <v>2</v>
      </c>
      <c r="AX34" t="s">
        <v>4758</v>
      </c>
      <c r="AY34" t="s">
        <v>6611</v>
      </c>
      <c r="AZ34" t="s">
        <v>1408</v>
      </c>
      <c r="BB34" t="s">
        <v>6890</v>
      </c>
      <c r="BE34" t="s">
        <v>6013</v>
      </c>
      <c r="BF34" t="s">
        <v>7524</v>
      </c>
      <c r="BG34" t="s">
        <v>7676</v>
      </c>
      <c r="BH34" t="s">
        <v>7677</v>
      </c>
      <c r="BI34" t="s">
        <v>4759</v>
      </c>
    </row>
    <row r="35" spans="1:61" x14ac:dyDescent="0.4">
      <c r="A35">
        <v>34</v>
      </c>
      <c r="B35" t="s">
        <v>1785</v>
      </c>
      <c r="C35" t="s">
        <v>1420</v>
      </c>
      <c r="D35">
        <v>3</v>
      </c>
      <c r="E35">
        <v>1</v>
      </c>
      <c r="F35">
        <v>1</v>
      </c>
      <c r="G35">
        <v>0</v>
      </c>
      <c r="H35">
        <v>0</v>
      </c>
      <c r="I35">
        <v>1</v>
      </c>
      <c r="J35" t="s">
        <v>4606</v>
      </c>
      <c r="K35" t="s">
        <v>7495</v>
      </c>
      <c r="L35" t="s">
        <v>5656</v>
      </c>
      <c r="M35" t="s">
        <v>6063</v>
      </c>
      <c r="N35" t="s">
        <v>4660</v>
      </c>
      <c r="R35">
        <v>2024</v>
      </c>
      <c r="T35" t="s">
        <v>245</v>
      </c>
      <c r="U35">
        <v>0</v>
      </c>
      <c r="V35">
        <v>0</v>
      </c>
      <c r="W35">
        <v>0</v>
      </c>
      <c r="X35">
        <v>1</v>
      </c>
      <c r="Z35" t="s">
        <v>65</v>
      </c>
      <c r="AA35" t="s">
        <v>247</v>
      </c>
      <c r="AB35">
        <v>0</v>
      </c>
      <c r="AC35">
        <v>1</v>
      </c>
      <c r="AG35">
        <v>1</v>
      </c>
      <c r="AH35" t="s">
        <v>4688</v>
      </c>
      <c r="AI35" t="s">
        <v>468</v>
      </c>
      <c r="AJ35" t="s">
        <v>469</v>
      </c>
      <c r="AS35">
        <v>3</v>
      </c>
      <c r="AT35">
        <v>14</v>
      </c>
      <c r="AU35">
        <v>3</v>
      </c>
      <c r="AV35">
        <v>1</v>
      </c>
      <c r="AW35">
        <v>2</v>
      </c>
      <c r="AX35" t="s">
        <v>7507</v>
      </c>
      <c r="AY35" t="s">
        <v>2488</v>
      </c>
      <c r="AZ35" t="s">
        <v>1408</v>
      </c>
      <c r="BB35" t="s">
        <v>6890</v>
      </c>
      <c r="BC35" t="s">
        <v>4722</v>
      </c>
      <c r="BD35" t="s">
        <v>4760</v>
      </c>
      <c r="BE35" t="s">
        <v>5661</v>
      </c>
      <c r="BF35" t="s">
        <v>5678</v>
      </c>
      <c r="BG35" t="s">
        <v>6941</v>
      </c>
      <c r="BH35" t="s">
        <v>5672</v>
      </c>
      <c r="BI35" t="s">
        <v>7508</v>
      </c>
    </row>
    <row r="36" spans="1:61" x14ac:dyDescent="0.4">
      <c r="A36">
        <v>35</v>
      </c>
      <c r="B36" t="s">
        <v>1421</v>
      </c>
      <c r="C36" t="s">
        <v>1795</v>
      </c>
      <c r="D36">
        <v>2</v>
      </c>
      <c r="E36">
        <v>0</v>
      </c>
      <c r="G36">
        <v>0</v>
      </c>
      <c r="H36">
        <v>0</v>
      </c>
      <c r="I36">
        <v>0</v>
      </c>
      <c r="J36">
        <v>3.5</v>
      </c>
      <c r="K36" t="s">
        <v>4630</v>
      </c>
      <c r="L36" t="s">
        <v>2718</v>
      </c>
      <c r="M36" t="s">
        <v>1012</v>
      </c>
      <c r="T36" t="s">
        <v>92</v>
      </c>
      <c r="V36">
        <v>1</v>
      </c>
      <c r="Z36" t="s">
        <v>65</v>
      </c>
      <c r="AA36" t="s">
        <v>73</v>
      </c>
      <c r="AG36">
        <v>1</v>
      </c>
      <c r="AS36">
        <v>3</v>
      </c>
      <c r="AT36">
        <v>15</v>
      </c>
      <c r="AU36">
        <v>2</v>
      </c>
      <c r="AV36">
        <v>1</v>
      </c>
      <c r="AW36">
        <v>1</v>
      </c>
      <c r="AX36" t="s">
        <v>4761</v>
      </c>
      <c r="AY36" t="s">
        <v>77</v>
      </c>
      <c r="AZ36" t="s">
        <v>1407</v>
      </c>
      <c r="BA36" t="s">
        <v>7663</v>
      </c>
      <c r="BB36" t="s">
        <v>4749</v>
      </c>
      <c r="BF36" t="s">
        <v>7678</v>
      </c>
      <c r="BG36" t="s">
        <v>7679</v>
      </c>
      <c r="BH36" t="s">
        <v>7678</v>
      </c>
      <c r="BI36" t="s">
        <v>4762</v>
      </c>
    </row>
    <row r="37" spans="1:61" x14ac:dyDescent="0.4">
      <c r="A37">
        <v>36</v>
      </c>
      <c r="B37" t="s">
        <v>4579</v>
      </c>
      <c r="C37" t="s">
        <v>1421</v>
      </c>
      <c r="D37">
        <v>3</v>
      </c>
      <c r="E37">
        <v>1</v>
      </c>
      <c r="F37">
        <v>0</v>
      </c>
      <c r="G37">
        <v>0</v>
      </c>
      <c r="H37">
        <v>0</v>
      </c>
      <c r="I37">
        <v>0</v>
      </c>
      <c r="J37" t="s">
        <v>4607</v>
      </c>
      <c r="K37" t="s">
        <v>4631</v>
      </c>
      <c r="L37" t="s">
        <v>4652</v>
      </c>
      <c r="M37" t="s">
        <v>6931</v>
      </c>
      <c r="N37" t="s">
        <v>4689</v>
      </c>
      <c r="R37">
        <v>2019</v>
      </c>
      <c r="T37" t="s">
        <v>244</v>
      </c>
      <c r="U37">
        <v>1</v>
      </c>
      <c r="V37">
        <v>1</v>
      </c>
      <c r="W37">
        <v>0</v>
      </c>
      <c r="Z37" t="s">
        <v>133</v>
      </c>
      <c r="AA37" t="s">
        <v>247</v>
      </c>
      <c r="AB37">
        <v>0</v>
      </c>
      <c r="AC37">
        <v>100</v>
      </c>
      <c r="AF37" t="s">
        <v>7505</v>
      </c>
      <c r="AG37">
        <v>1</v>
      </c>
      <c r="AS37">
        <v>3</v>
      </c>
      <c r="AT37">
        <v>15</v>
      </c>
      <c r="AU37">
        <v>5</v>
      </c>
      <c r="AV37">
        <v>2</v>
      </c>
      <c r="AW37">
        <v>2</v>
      </c>
      <c r="AX37" t="s">
        <v>4763</v>
      </c>
      <c r="AY37" t="s">
        <v>77</v>
      </c>
      <c r="AZ37" t="s">
        <v>1408</v>
      </c>
      <c r="BB37" t="s">
        <v>4823</v>
      </c>
      <c r="BE37" t="s">
        <v>6013</v>
      </c>
      <c r="BF37" t="s">
        <v>7524</v>
      </c>
      <c r="BG37" t="s">
        <v>7537</v>
      </c>
      <c r="BH37" t="s">
        <v>7538</v>
      </c>
      <c r="BI37" t="s">
        <v>4764</v>
      </c>
    </row>
    <row r="38" spans="1:61" x14ac:dyDescent="0.4">
      <c r="A38">
        <v>37</v>
      </c>
      <c r="B38" t="s">
        <v>1786</v>
      </c>
      <c r="C38" t="s">
        <v>1421</v>
      </c>
      <c r="D38">
        <v>3</v>
      </c>
      <c r="E38">
        <v>1</v>
      </c>
      <c r="F38">
        <v>1</v>
      </c>
      <c r="G38">
        <v>0</v>
      </c>
      <c r="H38">
        <v>0</v>
      </c>
      <c r="I38">
        <v>1</v>
      </c>
      <c r="J38" t="s">
        <v>4608</v>
      </c>
      <c r="K38" t="s">
        <v>7633</v>
      </c>
      <c r="L38" t="s">
        <v>5658</v>
      </c>
      <c r="M38" t="s">
        <v>6063</v>
      </c>
      <c r="N38" t="s">
        <v>4661</v>
      </c>
      <c r="R38">
        <v>2024</v>
      </c>
      <c r="T38" t="s">
        <v>245</v>
      </c>
      <c r="U38">
        <v>0</v>
      </c>
      <c r="V38">
        <v>0</v>
      </c>
      <c r="W38">
        <v>0</v>
      </c>
      <c r="X38">
        <v>2</v>
      </c>
      <c r="Z38" t="s">
        <v>65</v>
      </c>
      <c r="AA38" t="s">
        <v>247</v>
      </c>
      <c r="AB38">
        <v>0</v>
      </c>
      <c r="AC38">
        <v>2</v>
      </c>
      <c r="AG38">
        <v>1</v>
      </c>
      <c r="AH38" t="s">
        <v>7642</v>
      </c>
      <c r="AI38" t="s">
        <v>4702</v>
      </c>
      <c r="AJ38" t="s">
        <v>6696</v>
      </c>
      <c r="AK38" t="s">
        <v>6702</v>
      </c>
      <c r="AS38">
        <v>3</v>
      </c>
      <c r="AT38">
        <v>15</v>
      </c>
      <c r="AU38">
        <v>3</v>
      </c>
      <c r="AV38">
        <v>1</v>
      </c>
      <c r="AW38">
        <v>2</v>
      </c>
      <c r="AX38" t="s">
        <v>7653</v>
      </c>
      <c r="AY38" t="s">
        <v>2488</v>
      </c>
      <c r="AZ38" t="s">
        <v>1408</v>
      </c>
      <c r="BB38" t="s">
        <v>4823</v>
      </c>
      <c r="BC38" t="s">
        <v>6709</v>
      </c>
      <c r="BD38" t="s">
        <v>7655</v>
      </c>
      <c r="BE38" t="s">
        <v>5663</v>
      </c>
      <c r="BF38" t="s">
        <v>5679</v>
      </c>
      <c r="BG38" t="s">
        <v>7680</v>
      </c>
      <c r="BH38" t="s">
        <v>7681</v>
      </c>
      <c r="BI38" t="s">
        <v>7654</v>
      </c>
    </row>
    <row r="39" spans="1:61" x14ac:dyDescent="0.4">
      <c r="A39">
        <v>38</v>
      </c>
      <c r="B39" t="s">
        <v>1422</v>
      </c>
      <c r="C39" t="s">
        <v>1795</v>
      </c>
      <c r="D39">
        <v>2</v>
      </c>
      <c r="E39">
        <v>0</v>
      </c>
      <c r="G39">
        <v>0</v>
      </c>
      <c r="H39">
        <v>0</v>
      </c>
      <c r="I39">
        <v>0</v>
      </c>
      <c r="J39">
        <v>3.6</v>
      </c>
      <c r="K39" t="s">
        <v>4632</v>
      </c>
      <c r="L39" t="s">
        <v>2718</v>
      </c>
      <c r="M39" t="s">
        <v>1012</v>
      </c>
      <c r="T39" t="s">
        <v>92</v>
      </c>
      <c r="V39">
        <v>1</v>
      </c>
      <c r="Z39" t="s">
        <v>65</v>
      </c>
      <c r="AA39" t="s">
        <v>73</v>
      </c>
      <c r="AG39">
        <v>1</v>
      </c>
      <c r="AS39">
        <v>3</v>
      </c>
      <c r="AT39">
        <v>16</v>
      </c>
      <c r="AU39">
        <v>2</v>
      </c>
      <c r="AV39">
        <v>1</v>
      </c>
      <c r="AW39">
        <v>1</v>
      </c>
      <c r="AX39" t="s">
        <v>4765</v>
      </c>
      <c r="AY39" t="s">
        <v>77</v>
      </c>
      <c r="AZ39" t="s">
        <v>1407</v>
      </c>
      <c r="BA39" t="s">
        <v>4819</v>
      </c>
      <c r="BB39" t="s">
        <v>4749</v>
      </c>
      <c r="BF39" t="s">
        <v>4831</v>
      </c>
      <c r="BG39" t="s">
        <v>4832</v>
      </c>
      <c r="BH39" t="s">
        <v>4831</v>
      </c>
      <c r="BI39" t="s">
        <v>4766</v>
      </c>
    </row>
    <row r="40" spans="1:61" x14ac:dyDescent="0.4">
      <c r="A40">
        <v>39</v>
      </c>
      <c r="B40" t="s">
        <v>1787</v>
      </c>
      <c r="C40" t="s">
        <v>1422</v>
      </c>
      <c r="D40">
        <v>3</v>
      </c>
      <c r="E40">
        <v>1</v>
      </c>
      <c r="F40">
        <v>0</v>
      </c>
      <c r="G40">
        <v>0</v>
      </c>
      <c r="H40">
        <v>0</v>
      </c>
      <c r="I40">
        <v>0</v>
      </c>
      <c r="J40" t="s">
        <v>4609</v>
      </c>
      <c r="K40" t="s">
        <v>4633</v>
      </c>
      <c r="L40" t="s">
        <v>4652</v>
      </c>
      <c r="M40" t="s">
        <v>6684</v>
      </c>
      <c r="N40" t="s">
        <v>6687</v>
      </c>
      <c r="R40">
        <v>2021</v>
      </c>
      <c r="T40" t="s">
        <v>244</v>
      </c>
      <c r="U40">
        <v>1</v>
      </c>
      <c r="V40">
        <v>1</v>
      </c>
      <c r="W40">
        <v>0</v>
      </c>
      <c r="Z40" t="s">
        <v>133</v>
      </c>
      <c r="AA40" t="s">
        <v>247</v>
      </c>
      <c r="AB40">
        <v>0</v>
      </c>
      <c r="AC40">
        <v>100</v>
      </c>
      <c r="AF40" t="s">
        <v>7505</v>
      </c>
      <c r="AG40">
        <v>1</v>
      </c>
      <c r="AS40">
        <v>3</v>
      </c>
      <c r="AT40">
        <v>16</v>
      </c>
      <c r="AU40">
        <v>5</v>
      </c>
      <c r="AV40">
        <v>2</v>
      </c>
      <c r="AW40">
        <v>2</v>
      </c>
      <c r="AX40" t="s">
        <v>4767</v>
      </c>
      <c r="AY40" t="s">
        <v>77</v>
      </c>
      <c r="AZ40" t="s">
        <v>1408</v>
      </c>
      <c r="BB40" t="s">
        <v>4824</v>
      </c>
      <c r="BE40" t="s">
        <v>6013</v>
      </c>
      <c r="BF40" t="s">
        <v>7524</v>
      </c>
      <c r="BG40" t="s">
        <v>7539</v>
      </c>
      <c r="BH40" t="s">
        <v>7540</v>
      </c>
      <c r="BI40" t="s">
        <v>4768</v>
      </c>
    </row>
    <row r="41" spans="1:61" x14ac:dyDescent="0.4">
      <c r="A41">
        <v>40</v>
      </c>
      <c r="B41" t="s">
        <v>1788</v>
      </c>
      <c r="C41" t="s">
        <v>1422</v>
      </c>
      <c r="D41">
        <v>3</v>
      </c>
      <c r="E41">
        <v>1</v>
      </c>
      <c r="F41">
        <v>1</v>
      </c>
      <c r="G41">
        <v>0</v>
      </c>
      <c r="H41">
        <v>0</v>
      </c>
      <c r="I41">
        <v>1</v>
      </c>
      <c r="J41" t="s">
        <v>4610</v>
      </c>
      <c r="K41" t="s">
        <v>4634</v>
      </c>
      <c r="L41" t="s">
        <v>5656</v>
      </c>
      <c r="M41" t="s">
        <v>6063</v>
      </c>
      <c r="N41" t="s">
        <v>4662</v>
      </c>
      <c r="R41">
        <v>2024</v>
      </c>
      <c r="T41" t="s">
        <v>245</v>
      </c>
      <c r="U41">
        <v>0</v>
      </c>
      <c r="V41">
        <v>0</v>
      </c>
      <c r="W41">
        <v>0</v>
      </c>
      <c r="X41">
        <v>1</v>
      </c>
      <c r="Z41" t="s">
        <v>65</v>
      </c>
      <c r="AA41" t="s">
        <v>247</v>
      </c>
      <c r="AB41">
        <v>0</v>
      </c>
      <c r="AC41">
        <v>1</v>
      </c>
      <c r="AG41">
        <v>1</v>
      </c>
      <c r="AH41" t="s">
        <v>4690</v>
      </c>
      <c r="AI41" t="s">
        <v>468</v>
      </c>
      <c r="AJ41" t="s">
        <v>469</v>
      </c>
      <c r="AS41">
        <v>3</v>
      </c>
      <c r="AT41">
        <v>16</v>
      </c>
      <c r="AU41">
        <v>3</v>
      </c>
      <c r="AV41">
        <v>1</v>
      </c>
      <c r="AW41">
        <v>2</v>
      </c>
      <c r="AX41" t="s">
        <v>4769</v>
      </c>
      <c r="AY41" t="s">
        <v>2488</v>
      </c>
      <c r="AZ41" t="s">
        <v>1408</v>
      </c>
      <c r="BB41" t="s">
        <v>4824</v>
      </c>
      <c r="BC41" t="s">
        <v>4722</v>
      </c>
      <c r="BD41" t="s">
        <v>4771</v>
      </c>
      <c r="BE41" t="s">
        <v>5661</v>
      </c>
      <c r="BF41" t="s">
        <v>5678</v>
      </c>
      <c r="BG41" t="s">
        <v>6942</v>
      </c>
      <c r="BH41" t="s">
        <v>5673</v>
      </c>
      <c r="BI41" t="s">
        <v>4770</v>
      </c>
    </row>
    <row r="42" spans="1:61" x14ac:dyDescent="0.4">
      <c r="A42">
        <v>41</v>
      </c>
      <c r="B42" t="s">
        <v>1423</v>
      </c>
      <c r="C42" t="s">
        <v>1795</v>
      </c>
      <c r="D42">
        <v>2</v>
      </c>
      <c r="E42">
        <v>0</v>
      </c>
      <c r="G42">
        <v>0</v>
      </c>
      <c r="H42">
        <v>0</v>
      </c>
      <c r="I42">
        <v>0</v>
      </c>
      <c r="J42">
        <v>3.7</v>
      </c>
      <c r="K42" t="s">
        <v>4635</v>
      </c>
      <c r="L42" t="s">
        <v>2718</v>
      </c>
      <c r="M42" t="s">
        <v>1012</v>
      </c>
      <c r="T42" t="s">
        <v>92</v>
      </c>
      <c r="V42">
        <v>1</v>
      </c>
      <c r="Z42" t="s">
        <v>65</v>
      </c>
      <c r="AA42" t="s">
        <v>73</v>
      </c>
      <c r="AG42">
        <v>1</v>
      </c>
      <c r="AS42">
        <v>3</v>
      </c>
      <c r="AT42">
        <v>17</v>
      </c>
      <c r="AU42">
        <v>2</v>
      </c>
      <c r="AV42">
        <v>1</v>
      </c>
      <c r="AW42">
        <v>1</v>
      </c>
      <c r="AX42" t="s">
        <v>4772</v>
      </c>
      <c r="AY42" t="s">
        <v>77</v>
      </c>
      <c r="AZ42" t="s">
        <v>1407</v>
      </c>
      <c r="BA42" t="s">
        <v>4820</v>
      </c>
      <c r="BB42" t="s">
        <v>4749</v>
      </c>
      <c r="BF42" t="s">
        <v>4833</v>
      </c>
      <c r="BG42" t="s">
        <v>4834</v>
      </c>
      <c r="BH42" t="s">
        <v>4833</v>
      </c>
      <c r="BI42" t="s">
        <v>4773</v>
      </c>
    </row>
    <row r="43" spans="1:61" x14ac:dyDescent="0.4">
      <c r="A43">
        <v>42</v>
      </c>
      <c r="B43" t="s">
        <v>1789</v>
      </c>
      <c r="C43" t="s">
        <v>1423</v>
      </c>
      <c r="D43">
        <v>3</v>
      </c>
      <c r="E43">
        <v>1</v>
      </c>
      <c r="F43">
        <v>0</v>
      </c>
      <c r="G43">
        <v>0</v>
      </c>
      <c r="H43">
        <v>0</v>
      </c>
      <c r="I43">
        <v>0</v>
      </c>
      <c r="J43" t="s">
        <v>4611</v>
      </c>
      <c r="K43" t="s">
        <v>4636</v>
      </c>
      <c r="L43" t="s">
        <v>4652</v>
      </c>
      <c r="M43" t="s">
        <v>6931</v>
      </c>
      <c r="N43" t="s">
        <v>7639</v>
      </c>
      <c r="R43">
        <v>2022</v>
      </c>
      <c r="T43" t="s">
        <v>244</v>
      </c>
      <c r="U43">
        <v>2</v>
      </c>
      <c r="V43">
        <v>2</v>
      </c>
      <c r="W43">
        <v>0</v>
      </c>
      <c r="Z43" t="s">
        <v>133</v>
      </c>
      <c r="AA43" t="s">
        <v>247</v>
      </c>
      <c r="AB43">
        <v>0</v>
      </c>
      <c r="AC43">
        <v>100</v>
      </c>
      <c r="AF43" t="s">
        <v>7505</v>
      </c>
      <c r="AG43">
        <v>1</v>
      </c>
      <c r="AS43">
        <v>3</v>
      </c>
      <c r="AT43">
        <v>17</v>
      </c>
      <c r="AU43">
        <v>5</v>
      </c>
      <c r="AV43">
        <v>2</v>
      </c>
      <c r="AW43">
        <v>2</v>
      </c>
      <c r="AX43" t="s">
        <v>4774</v>
      </c>
      <c r="AY43" t="s">
        <v>6611</v>
      </c>
      <c r="AZ43" t="s">
        <v>1408</v>
      </c>
      <c r="BB43" t="s">
        <v>4825</v>
      </c>
      <c r="BE43" t="s">
        <v>6013</v>
      </c>
      <c r="BF43" t="s">
        <v>7524</v>
      </c>
      <c r="BG43" t="s">
        <v>7682</v>
      </c>
      <c r="BH43" t="s">
        <v>7683</v>
      </c>
      <c r="BI43" t="s">
        <v>4775</v>
      </c>
    </row>
    <row r="44" spans="1:61" x14ac:dyDescent="0.4">
      <c r="A44">
        <v>43</v>
      </c>
      <c r="B44" t="s">
        <v>1790</v>
      </c>
      <c r="C44" t="s">
        <v>1423</v>
      </c>
      <c r="D44">
        <v>3</v>
      </c>
      <c r="E44">
        <v>1</v>
      </c>
      <c r="F44">
        <v>1</v>
      </c>
      <c r="G44">
        <v>0</v>
      </c>
      <c r="H44">
        <v>0</v>
      </c>
      <c r="I44">
        <v>1</v>
      </c>
      <c r="J44" t="s">
        <v>4612</v>
      </c>
      <c r="K44" t="s">
        <v>4637</v>
      </c>
      <c r="L44" t="s">
        <v>5656</v>
      </c>
      <c r="M44" t="s">
        <v>6063</v>
      </c>
      <c r="N44" t="s">
        <v>4663</v>
      </c>
      <c r="R44">
        <v>2024</v>
      </c>
      <c r="T44" t="s">
        <v>245</v>
      </c>
      <c r="U44">
        <v>0</v>
      </c>
      <c r="V44">
        <v>0</v>
      </c>
      <c r="W44">
        <v>0</v>
      </c>
      <c r="X44">
        <v>1</v>
      </c>
      <c r="Z44" t="s">
        <v>65</v>
      </c>
      <c r="AA44" t="s">
        <v>247</v>
      </c>
      <c r="AB44">
        <v>0</v>
      </c>
      <c r="AC44">
        <v>1</v>
      </c>
      <c r="AG44">
        <v>1</v>
      </c>
      <c r="AH44" t="s">
        <v>4691</v>
      </c>
      <c r="AI44" t="s">
        <v>468</v>
      </c>
      <c r="AJ44" t="s">
        <v>469</v>
      </c>
      <c r="AS44">
        <v>3</v>
      </c>
      <c r="AT44">
        <v>17</v>
      </c>
      <c r="AU44">
        <v>3</v>
      </c>
      <c r="AV44">
        <v>1</v>
      </c>
      <c r="AW44">
        <v>2</v>
      </c>
      <c r="AX44" t="s">
        <v>4776</v>
      </c>
      <c r="AY44" t="s">
        <v>2488</v>
      </c>
      <c r="AZ44" t="s">
        <v>1408</v>
      </c>
      <c r="BB44" t="s">
        <v>4825</v>
      </c>
      <c r="BC44" t="s">
        <v>4722</v>
      </c>
      <c r="BD44" t="s">
        <v>4778</v>
      </c>
      <c r="BE44" t="s">
        <v>5661</v>
      </c>
      <c r="BF44" t="s">
        <v>5678</v>
      </c>
      <c r="BG44" t="s">
        <v>6943</v>
      </c>
      <c r="BH44" t="s">
        <v>5674</v>
      </c>
      <c r="BI44" t="s">
        <v>4777</v>
      </c>
    </row>
    <row r="45" spans="1:61" x14ac:dyDescent="0.4">
      <c r="A45">
        <v>44</v>
      </c>
      <c r="B45" t="s">
        <v>1424</v>
      </c>
      <c r="C45" t="s">
        <v>1795</v>
      </c>
      <c r="D45">
        <v>2</v>
      </c>
      <c r="E45">
        <v>0</v>
      </c>
      <c r="G45">
        <v>0</v>
      </c>
      <c r="H45">
        <v>0</v>
      </c>
      <c r="I45">
        <v>0</v>
      </c>
      <c r="J45">
        <v>3.8</v>
      </c>
      <c r="K45" t="s">
        <v>7496</v>
      </c>
      <c r="L45" t="s">
        <v>2718</v>
      </c>
      <c r="M45" t="s">
        <v>1012</v>
      </c>
      <c r="T45" t="s">
        <v>92</v>
      </c>
      <c r="V45">
        <v>1</v>
      </c>
      <c r="Z45" t="s">
        <v>65</v>
      </c>
      <c r="AA45" t="s">
        <v>73</v>
      </c>
      <c r="AG45">
        <v>1</v>
      </c>
      <c r="AS45">
        <v>3</v>
      </c>
      <c r="AT45">
        <v>18</v>
      </c>
      <c r="AU45">
        <v>2</v>
      </c>
      <c r="AV45">
        <v>1</v>
      </c>
      <c r="AW45">
        <v>1</v>
      </c>
      <c r="AX45" t="s">
        <v>7509</v>
      </c>
      <c r="AY45" t="s">
        <v>77</v>
      </c>
      <c r="AZ45" t="s">
        <v>1407</v>
      </c>
      <c r="BA45" t="s">
        <v>7522</v>
      </c>
      <c r="BB45" t="s">
        <v>4749</v>
      </c>
      <c r="BF45" t="s">
        <v>7541</v>
      </c>
      <c r="BG45" t="s">
        <v>7542</v>
      </c>
      <c r="BH45" t="s">
        <v>7541</v>
      </c>
      <c r="BI45" t="s">
        <v>7510</v>
      </c>
    </row>
    <row r="46" spans="1:61" x14ac:dyDescent="0.4">
      <c r="A46">
        <v>45</v>
      </c>
      <c r="B46" t="s">
        <v>1791</v>
      </c>
      <c r="C46" t="s">
        <v>1424</v>
      </c>
      <c r="D46">
        <v>3</v>
      </c>
      <c r="E46">
        <v>1</v>
      </c>
      <c r="F46">
        <v>0</v>
      </c>
      <c r="G46">
        <v>0</v>
      </c>
      <c r="H46">
        <v>0</v>
      </c>
      <c r="I46">
        <v>0</v>
      </c>
      <c r="J46" t="s">
        <v>4613</v>
      </c>
      <c r="K46" t="s">
        <v>7497</v>
      </c>
      <c r="L46" t="s">
        <v>6683</v>
      </c>
      <c r="M46" t="s">
        <v>6615</v>
      </c>
      <c r="N46" t="s">
        <v>6688</v>
      </c>
      <c r="R46">
        <v>2019</v>
      </c>
      <c r="T46" t="s">
        <v>244</v>
      </c>
      <c r="U46">
        <v>2</v>
      </c>
      <c r="V46">
        <v>2</v>
      </c>
      <c r="W46">
        <v>0</v>
      </c>
      <c r="Z46" t="s">
        <v>133</v>
      </c>
      <c r="AA46" t="s">
        <v>247</v>
      </c>
      <c r="AB46">
        <v>0</v>
      </c>
      <c r="AC46">
        <v>5.2</v>
      </c>
      <c r="AF46" t="s">
        <v>7505</v>
      </c>
      <c r="AG46">
        <v>1</v>
      </c>
      <c r="AS46">
        <v>3</v>
      </c>
      <c r="AT46">
        <v>18</v>
      </c>
      <c r="AU46">
        <v>5</v>
      </c>
      <c r="AV46">
        <v>2</v>
      </c>
      <c r="AW46">
        <v>2</v>
      </c>
      <c r="AX46" t="s">
        <v>7511</v>
      </c>
      <c r="AY46" t="s">
        <v>6611</v>
      </c>
      <c r="AZ46" t="s">
        <v>1408</v>
      </c>
      <c r="BB46" t="s">
        <v>7523</v>
      </c>
      <c r="BE46" t="s">
        <v>6691</v>
      </c>
      <c r="BF46" t="s">
        <v>7543</v>
      </c>
      <c r="BG46" t="s">
        <v>7544</v>
      </c>
      <c r="BH46" t="s">
        <v>7545</v>
      </c>
      <c r="BI46" t="s">
        <v>7512</v>
      </c>
    </row>
    <row r="47" spans="1:61" x14ac:dyDescent="0.4">
      <c r="A47">
        <v>46</v>
      </c>
      <c r="B47" t="s">
        <v>1792</v>
      </c>
      <c r="C47" t="s">
        <v>1424</v>
      </c>
      <c r="D47">
        <v>3</v>
      </c>
      <c r="E47">
        <v>1</v>
      </c>
      <c r="F47">
        <v>1</v>
      </c>
      <c r="G47">
        <v>0</v>
      </c>
      <c r="H47">
        <v>0</v>
      </c>
      <c r="I47">
        <v>1</v>
      </c>
      <c r="J47" t="s">
        <v>4614</v>
      </c>
      <c r="K47" t="s">
        <v>7498</v>
      </c>
      <c r="L47" t="s">
        <v>5656</v>
      </c>
      <c r="M47" t="s">
        <v>6063</v>
      </c>
      <c r="N47" t="s">
        <v>4664</v>
      </c>
      <c r="R47">
        <v>2024</v>
      </c>
      <c r="T47" t="s">
        <v>245</v>
      </c>
      <c r="U47">
        <v>0</v>
      </c>
      <c r="V47">
        <v>0</v>
      </c>
      <c r="W47">
        <v>0</v>
      </c>
      <c r="X47">
        <v>1</v>
      </c>
      <c r="Z47" t="s">
        <v>65</v>
      </c>
      <c r="AA47" t="s">
        <v>247</v>
      </c>
      <c r="AB47">
        <v>0</v>
      </c>
      <c r="AC47">
        <v>1</v>
      </c>
      <c r="AG47">
        <v>1</v>
      </c>
      <c r="AH47" t="s">
        <v>4692</v>
      </c>
      <c r="AI47" t="s">
        <v>468</v>
      </c>
      <c r="AJ47" t="s">
        <v>469</v>
      </c>
      <c r="AS47">
        <v>3</v>
      </c>
      <c r="AT47">
        <v>18</v>
      </c>
      <c r="AU47">
        <v>3</v>
      </c>
      <c r="AV47">
        <v>1</v>
      </c>
      <c r="AW47">
        <v>2</v>
      </c>
      <c r="AX47" t="s">
        <v>7513</v>
      </c>
      <c r="AY47" t="s">
        <v>2488</v>
      </c>
      <c r="AZ47" t="s">
        <v>1408</v>
      </c>
      <c r="BB47" t="s">
        <v>7523</v>
      </c>
      <c r="BC47" t="s">
        <v>4722</v>
      </c>
      <c r="BD47" t="s">
        <v>4779</v>
      </c>
      <c r="BE47" t="s">
        <v>5661</v>
      </c>
      <c r="BF47" t="s">
        <v>5678</v>
      </c>
      <c r="BG47" t="s">
        <v>6944</v>
      </c>
      <c r="BH47" t="s">
        <v>5675</v>
      </c>
      <c r="BI47" t="s">
        <v>7514</v>
      </c>
    </row>
    <row r="48" spans="1:61" x14ac:dyDescent="0.4">
      <c r="A48">
        <v>47</v>
      </c>
      <c r="B48" t="s">
        <v>1796</v>
      </c>
      <c r="C48" t="s">
        <v>68</v>
      </c>
      <c r="D48">
        <v>1</v>
      </c>
      <c r="E48">
        <v>0</v>
      </c>
      <c r="G48">
        <v>0</v>
      </c>
      <c r="H48">
        <v>0</v>
      </c>
      <c r="I48">
        <v>0</v>
      </c>
      <c r="J48">
        <v>4</v>
      </c>
      <c r="K48" t="s">
        <v>4780</v>
      </c>
      <c r="L48" t="s">
        <v>2718</v>
      </c>
      <c r="M48" t="s">
        <v>1012</v>
      </c>
      <c r="T48" t="s">
        <v>92</v>
      </c>
      <c r="V48">
        <v>1</v>
      </c>
      <c r="Z48" t="s">
        <v>65</v>
      </c>
      <c r="AA48" t="s">
        <v>73</v>
      </c>
      <c r="AG48">
        <v>4</v>
      </c>
      <c r="AS48">
        <v>4</v>
      </c>
      <c r="AT48">
        <v>18</v>
      </c>
      <c r="AU48">
        <v>2</v>
      </c>
      <c r="AV48">
        <v>1</v>
      </c>
      <c r="AW48">
        <v>1</v>
      </c>
      <c r="AX48" t="s">
        <v>4781</v>
      </c>
      <c r="AY48" t="s">
        <v>77</v>
      </c>
      <c r="AZ48" t="s">
        <v>7608</v>
      </c>
      <c r="BA48" t="s">
        <v>6743</v>
      </c>
      <c r="BF48" t="s">
        <v>6746</v>
      </c>
      <c r="BG48" t="s">
        <v>6747</v>
      </c>
      <c r="BH48" t="s">
        <v>6746</v>
      </c>
      <c r="BI48" t="s">
        <v>4781</v>
      </c>
    </row>
    <row r="49" spans="1:61" x14ac:dyDescent="0.4">
      <c r="A49">
        <v>48</v>
      </c>
      <c r="B49" t="s">
        <v>1425</v>
      </c>
      <c r="C49" t="s">
        <v>1796</v>
      </c>
      <c r="D49">
        <v>2</v>
      </c>
      <c r="E49">
        <v>1</v>
      </c>
      <c r="F49">
        <v>1</v>
      </c>
      <c r="G49">
        <v>0</v>
      </c>
      <c r="H49">
        <v>0</v>
      </c>
      <c r="I49">
        <v>1</v>
      </c>
      <c r="J49">
        <v>4.0999999999999996</v>
      </c>
      <c r="K49" t="s">
        <v>4638</v>
      </c>
      <c r="L49" t="s">
        <v>5658</v>
      </c>
      <c r="M49" t="s">
        <v>6063</v>
      </c>
      <c r="N49" t="s">
        <v>7640</v>
      </c>
      <c r="R49">
        <v>2024</v>
      </c>
      <c r="T49" t="s">
        <v>245</v>
      </c>
      <c r="U49">
        <v>0</v>
      </c>
      <c r="V49">
        <v>0</v>
      </c>
      <c r="W49">
        <v>0</v>
      </c>
      <c r="X49">
        <v>2</v>
      </c>
      <c r="Z49" t="s">
        <v>65</v>
      </c>
      <c r="AA49" t="s">
        <v>247</v>
      </c>
      <c r="AB49">
        <v>0</v>
      </c>
      <c r="AC49">
        <v>2</v>
      </c>
      <c r="AG49">
        <v>1</v>
      </c>
      <c r="AH49" t="s">
        <v>4693</v>
      </c>
      <c r="AI49" t="s">
        <v>4703</v>
      </c>
      <c r="AJ49" t="s">
        <v>6697</v>
      </c>
      <c r="AK49" t="s">
        <v>6703</v>
      </c>
      <c r="AS49">
        <v>4</v>
      </c>
      <c r="AT49">
        <v>19</v>
      </c>
      <c r="AU49">
        <v>3</v>
      </c>
      <c r="AV49">
        <v>1</v>
      </c>
      <c r="AW49">
        <v>2</v>
      </c>
      <c r="AX49" t="s">
        <v>4782</v>
      </c>
      <c r="AY49" t="s">
        <v>2488</v>
      </c>
      <c r="AZ49" t="s">
        <v>4735</v>
      </c>
      <c r="BB49" t="s">
        <v>4780</v>
      </c>
      <c r="BC49" t="s">
        <v>6710</v>
      </c>
      <c r="BD49" t="s">
        <v>6711</v>
      </c>
      <c r="BE49" t="s">
        <v>5663</v>
      </c>
      <c r="BF49" t="s">
        <v>5679</v>
      </c>
      <c r="BG49" t="s">
        <v>7684</v>
      </c>
      <c r="BH49" t="s">
        <v>6719</v>
      </c>
      <c r="BI49" t="s">
        <v>4783</v>
      </c>
    </row>
    <row r="50" spans="1:61" x14ac:dyDescent="0.4">
      <c r="A50">
        <v>49</v>
      </c>
      <c r="B50" t="s">
        <v>4580</v>
      </c>
      <c r="C50" t="s">
        <v>1796</v>
      </c>
      <c r="D50">
        <v>2</v>
      </c>
      <c r="E50">
        <v>1</v>
      </c>
      <c r="F50">
        <v>0</v>
      </c>
      <c r="G50">
        <v>0</v>
      </c>
      <c r="H50">
        <v>0</v>
      </c>
      <c r="I50">
        <v>0</v>
      </c>
      <c r="J50">
        <v>4.2</v>
      </c>
      <c r="K50" t="s">
        <v>4639</v>
      </c>
      <c r="L50" t="s">
        <v>4652</v>
      </c>
      <c r="M50" t="s">
        <v>6931</v>
      </c>
      <c r="N50" t="s">
        <v>4665</v>
      </c>
      <c r="R50">
        <v>2023</v>
      </c>
      <c r="T50" t="s">
        <v>244</v>
      </c>
      <c r="U50">
        <v>0</v>
      </c>
      <c r="V50">
        <v>0</v>
      </c>
      <c r="W50">
        <v>0</v>
      </c>
      <c r="Z50" t="s">
        <v>65</v>
      </c>
      <c r="AA50" t="s">
        <v>247</v>
      </c>
      <c r="AB50">
        <v>0</v>
      </c>
      <c r="AC50">
        <v>100</v>
      </c>
      <c r="AF50" t="s">
        <v>7505</v>
      </c>
      <c r="AG50">
        <v>1</v>
      </c>
      <c r="AS50">
        <v>4</v>
      </c>
      <c r="AT50">
        <v>20</v>
      </c>
      <c r="AU50">
        <v>5</v>
      </c>
      <c r="AV50">
        <v>1</v>
      </c>
      <c r="AW50">
        <v>2</v>
      </c>
      <c r="AX50" t="s">
        <v>4784</v>
      </c>
      <c r="AY50" t="s">
        <v>2488</v>
      </c>
      <c r="AZ50" t="s">
        <v>4735</v>
      </c>
      <c r="BB50" t="s">
        <v>4780</v>
      </c>
      <c r="BE50" t="s">
        <v>4719</v>
      </c>
      <c r="BF50" t="s">
        <v>7525</v>
      </c>
      <c r="BG50" t="s">
        <v>7546</v>
      </c>
      <c r="BH50" t="s">
        <v>7547</v>
      </c>
      <c r="BI50" t="s">
        <v>4785</v>
      </c>
    </row>
    <row r="51" spans="1:61" x14ac:dyDescent="0.4">
      <c r="A51">
        <v>50</v>
      </c>
      <c r="B51" t="s">
        <v>4581</v>
      </c>
      <c r="C51" t="s">
        <v>1796</v>
      </c>
      <c r="D51">
        <v>2</v>
      </c>
      <c r="E51">
        <v>1</v>
      </c>
      <c r="F51">
        <v>0</v>
      </c>
      <c r="G51">
        <v>0</v>
      </c>
      <c r="H51">
        <v>0</v>
      </c>
      <c r="I51">
        <v>0</v>
      </c>
      <c r="J51">
        <v>4.3</v>
      </c>
      <c r="K51" t="s">
        <v>4640</v>
      </c>
      <c r="L51" t="s">
        <v>4652</v>
      </c>
      <c r="M51" t="s">
        <v>6616</v>
      </c>
      <c r="N51" t="s">
        <v>4694</v>
      </c>
      <c r="R51">
        <v>2021</v>
      </c>
      <c r="T51" t="s">
        <v>244</v>
      </c>
      <c r="U51">
        <v>1</v>
      </c>
      <c r="V51">
        <v>1</v>
      </c>
      <c r="W51">
        <v>0</v>
      </c>
      <c r="Z51" t="s">
        <v>133</v>
      </c>
      <c r="AA51" t="s">
        <v>247</v>
      </c>
      <c r="AB51">
        <v>0</v>
      </c>
      <c r="AC51">
        <v>100</v>
      </c>
      <c r="AF51" t="s">
        <v>7505</v>
      </c>
      <c r="AG51">
        <v>1</v>
      </c>
      <c r="AS51">
        <v>4</v>
      </c>
      <c r="AT51">
        <v>21</v>
      </c>
      <c r="AU51">
        <v>5</v>
      </c>
      <c r="AV51">
        <v>2</v>
      </c>
      <c r="AW51">
        <v>2</v>
      </c>
      <c r="AX51" t="s">
        <v>4786</v>
      </c>
      <c r="AY51" t="s">
        <v>77</v>
      </c>
      <c r="AZ51" t="s">
        <v>4735</v>
      </c>
      <c r="BB51" t="s">
        <v>4780</v>
      </c>
      <c r="BE51" t="s">
        <v>6013</v>
      </c>
      <c r="BF51" t="s">
        <v>7524</v>
      </c>
      <c r="BG51" t="s">
        <v>7548</v>
      </c>
      <c r="BH51" t="s">
        <v>7549</v>
      </c>
      <c r="BI51" t="s">
        <v>4787</v>
      </c>
    </row>
    <row r="52" spans="1:61" x14ac:dyDescent="0.4">
      <c r="A52">
        <v>51</v>
      </c>
      <c r="B52" t="s">
        <v>4582</v>
      </c>
      <c r="C52" t="s">
        <v>1796</v>
      </c>
      <c r="D52">
        <v>2</v>
      </c>
      <c r="E52">
        <v>1</v>
      </c>
      <c r="F52">
        <v>1</v>
      </c>
      <c r="G52">
        <v>0</v>
      </c>
      <c r="H52">
        <v>0</v>
      </c>
      <c r="I52">
        <v>1</v>
      </c>
      <c r="J52">
        <v>4.4000000000000004</v>
      </c>
      <c r="K52" t="s">
        <v>4641</v>
      </c>
      <c r="L52" t="s">
        <v>5656</v>
      </c>
      <c r="M52" t="s">
        <v>6063</v>
      </c>
      <c r="N52" t="s">
        <v>5677</v>
      </c>
      <c r="R52">
        <v>2024</v>
      </c>
      <c r="T52" t="s">
        <v>245</v>
      </c>
      <c r="U52">
        <v>0</v>
      </c>
      <c r="V52">
        <v>0</v>
      </c>
      <c r="W52">
        <v>0</v>
      </c>
      <c r="X52">
        <v>1</v>
      </c>
      <c r="Z52" t="s">
        <v>65</v>
      </c>
      <c r="AA52" t="s">
        <v>247</v>
      </c>
      <c r="AB52">
        <v>0</v>
      </c>
      <c r="AC52">
        <v>1</v>
      </c>
      <c r="AG52">
        <v>1</v>
      </c>
      <c r="AH52" t="s">
        <v>7643</v>
      </c>
      <c r="AI52" t="s">
        <v>4704</v>
      </c>
      <c r="AJ52" t="s">
        <v>4712</v>
      </c>
      <c r="AS52">
        <v>4</v>
      </c>
      <c r="AT52">
        <v>22</v>
      </c>
      <c r="AU52">
        <v>3</v>
      </c>
      <c r="AV52">
        <v>1</v>
      </c>
      <c r="AW52">
        <v>2</v>
      </c>
      <c r="AX52" t="s">
        <v>4788</v>
      </c>
      <c r="AY52" t="s">
        <v>2488</v>
      </c>
      <c r="AZ52" t="s">
        <v>4735</v>
      </c>
      <c r="BB52" t="s">
        <v>4780</v>
      </c>
      <c r="BC52" t="s">
        <v>4790</v>
      </c>
      <c r="BD52" t="s">
        <v>7656</v>
      </c>
      <c r="BE52" t="s">
        <v>5661</v>
      </c>
      <c r="BF52" t="s">
        <v>5678</v>
      </c>
      <c r="BG52" t="s">
        <v>7685</v>
      </c>
      <c r="BH52" t="s">
        <v>7686</v>
      </c>
      <c r="BI52" t="s">
        <v>4789</v>
      </c>
    </row>
    <row r="53" spans="1:61" x14ac:dyDescent="0.4">
      <c r="A53">
        <v>52</v>
      </c>
      <c r="B53" t="s">
        <v>4583</v>
      </c>
      <c r="C53" t="s">
        <v>68</v>
      </c>
      <c r="D53">
        <v>1</v>
      </c>
      <c r="E53">
        <v>0</v>
      </c>
      <c r="G53">
        <v>0</v>
      </c>
      <c r="H53">
        <v>0</v>
      </c>
      <c r="I53">
        <v>0</v>
      </c>
      <c r="J53">
        <v>5</v>
      </c>
      <c r="K53" t="s">
        <v>4791</v>
      </c>
      <c r="L53" t="s">
        <v>2718</v>
      </c>
      <c r="M53" t="s">
        <v>1012</v>
      </c>
      <c r="T53" t="s">
        <v>92</v>
      </c>
      <c r="V53">
        <v>1</v>
      </c>
      <c r="Z53" t="s">
        <v>65</v>
      </c>
      <c r="AA53" t="s">
        <v>73</v>
      </c>
      <c r="AG53">
        <v>9</v>
      </c>
      <c r="AS53">
        <v>5</v>
      </c>
      <c r="AT53">
        <v>22</v>
      </c>
      <c r="AU53">
        <v>2</v>
      </c>
      <c r="AV53">
        <v>1</v>
      </c>
      <c r="AW53">
        <v>1</v>
      </c>
      <c r="AX53" t="s">
        <v>4792</v>
      </c>
      <c r="AY53" t="s">
        <v>77</v>
      </c>
      <c r="AZ53" t="s">
        <v>7608</v>
      </c>
      <c r="BA53" t="s">
        <v>6885</v>
      </c>
      <c r="BF53" t="s">
        <v>6895</v>
      </c>
      <c r="BG53" t="s">
        <v>6896</v>
      </c>
      <c r="BH53" t="s">
        <v>6895</v>
      </c>
      <c r="BI53" t="s">
        <v>4792</v>
      </c>
    </row>
    <row r="54" spans="1:61" x14ac:dyDescent="0.4">
      <c r="A54">
        <v>53</v>
      </c>
      <c r="B54" t="s">
        <v>4584</v>
      </c>
      <c r="C54" t="s">
        <v>4583</v>
      </c>
      <c r="D54">
        <v>2</v>
      </c>
      <c r="E54">
        <v>1</v>
      </c>
      <c r="F54">
        <v>1</v>
      </c>
      <c r="G54">
        <v>0</v>
      </c>
      <c r="H54">
        <v>0</v>
      </c>
      <c r="I54">
        <v>1</v>
      </c>
      <c r="J54">
        <v>5.0999999999999996</v>
      </c>
      <c r="K54" t="s">
        <v>4642</v>
      </c>
      <c r="L54" t="s">
        <v>5656</v>
      </c>
      <c r="M54" t="s">
        <v>6063</v>
      </c>
      <c r="N54" t="s">
        <v>4666</v>
      </c>
      <c r="R54">
        <v>2024</v>
      </c>
      <c r="T54" t="s">
        <v>245</v>
      </c>
      <c r="U54">
        <v>0</v>
      </c>
      <c r="V54">
        <v>0</v>
      </c>
      <c r="W54">
        <v>0</v>
      </c>
      <c r="X54">
        <v>1</v>
      </c>
      <c r="Z54" t="s">
        <v>65</v>
      </c>
      <c r="AA54" t="s">
        <v>247</v>
      </c>
      <c r="AB54">
        <v>0</v>
      </c>
      <c r="AC54">
        <v>1</v>
      </c>
      <c r="AG54">
        <v>1</v>
      </c>
      <c r="AH54" t="s">
        <v>4695</v>
      </c>
      <c r="AI54" t="s">
        <v>4705</v>
      </c>
      <c r="AJ54" t="s">
        <v>4713</v>
      </c>
      <c r="AS54">
        <v>5</v>
      </c>
      <c r="AT54">
        <v>23</v>
      </c>
      <c r="AU54">
        <v>3</v>
      </c>
      <c r="AV54">
        <v>1</v>
      </c>
      <c r="AW54">
        <v>2</v>
      </c>
      <c r="AX54" t="s">
        <v>4793</v>
      </c>
      <c r="AY54" t="s">
        <v>2488</v>
      </c>
      <c r="AZ54" t="s">
        <v>4735</v>
      </c>
      <c r="BB54" t="s">
        <v>4791</v>
      </c>
      <c r="BC54" t="s">
        <v>4795</v>
      </c>
      <c r="BD54" t="s">
        <v>4796</v>
      </c>
      <c r="BE54" t="s">
        <v>5661</v>
      </c>
      <c r="BF54" t="s">
        <v>5678</v>
      </c>
      <c r="BG54" t="s">
        <v>6945</v>
      </c>
      <c r="BH54" t="s">
        <v>5676</v>
      </c>
      <c r="BI54" t="s">
        <v>4794</v>
      </c>
    </row>
    <row r="55" spans="1:61" x14ac:dyDescent="0.4">
      <c r="A55">
        <v>54</v>
      </c>
      <c r="B55" t="s">
        <v>4585</v>
      </c>
      <c r="C55" t="s">
        <v>4583</v>
      </c>
      <c r="D55">
        <v>2</v>
      </c>
      <c r="E55">
        <v>1</v>
      </c>
      <c r="F55">
        <v>1</v>
      </c>
      <c r="G55">
        <v>0</v>
      </c>
      <c r="H55">
        <v>0</v>
      </c>
      <c r="I55">
        <v>1</v>
      </c>
      <c r="J55">
        <v>5.2</v>
      </c>
      <c r="K55" t="s">
        <v>4643</v>
      </c>
      <c r="L55" t="s">
        <v>5659</v>
      </c>
      <c r="M55" t="s">
        <v>6063</v>
      </c>
      <c r="N55" t="s">
        <v>4667</v>
      </c>
      <c r="R55">
        <v>2024</v>
      </c>
      <c r="T55" t="s">
        <v>245</v>
      </c>
      <c r="U55">
        <v>0</v>
      </c>
      <c r="V55">
        <v>0</v>
      </c>
      <c r="W55">
        <v>0</v>
      </c>
      <c r="X55">
        <v>3</v>
      </c>
      <c r="Z55" t="s">
        <v>65</v>
      </c>
      <c r="AA55" t="s">
        <v>247</v>
      </c>
      <c r="AB55">
        <v>0</v>
      </c>
      <c r="AC55">
        <v>3</v>
      </c>
      <c r="AG55">
        <v>1</v>
      </c>
      <c r="AH55" t="s">
        <v>7506</v>
      </c>
      <c r="AI55" t="s">
        <v>4706</v>
      </c>
      <c r="AJ55" t="s">
        <v>7565</v>
      </c>
      <c r="AK55" t="s">
        <v>7568</v>
      </c>
      <c r="AL55" t="s">
        <v>7571</v>
      </c>
      <c r="AS55">
        <v>5</v>
      </c>
      <c r="AT55">
        <v>24</v>
      </c>
      <c r="AU55">
        <v>3</v>
      </c>
      <c r="AV55">
        <v>1</v>
      </c>
      <c r="AW55">
        <v>2</v>
      </c>
      <c r="AX55" t="s">
        <v>4797</v>
      </c>
      <c r="AY55" t="s">
        <v>2488</v>
      </c>
      <c r="AZ55" t="s">
        <v>4735</v>
      </c>
      <c r="BB55" t="s">
        <v>4791</v>
      </c>
      <c r="BC55" t="s">
        <v>7574</v>
      </c>
      <c r="BD55" t="s">
        <v>7575</v>
      </c>
      <c r="BE55" t="s">
        <v>5664</v>
      </c>
      <c r="BF55" t="s">
        <v>5680</v>
      </c>
      <c r="BG55" t="s">
        <v>7580</v>
      </c>
      <c r="BH55" t="s">
        <v>7581</v>
      </c>
      <c r="BI55" t="s">
        <v>4798</v>
      </c>
    </row>
    <row r="56" spans="1:61" x14ac:dyDescent="0.4">
      <c r="A56">
        <v>55</v>
      </c>
      <c r="B56" t="s">
        <v>4586</v>
      </c>
      <c r="C56" t="s">
        <v>4583</v>
      </c>
      <c r="D56">
        <v>2</v>
      </c>
      <c r="E56">
        <v>0</v>
      </c>
      <c r="G56">
        <v>0</v>
      </c>
      <c r="H56">
        <v>0</v>
      </c>
      <c r="I56">
        <v>0</v>
      </c>
      <c r="J56">
        <v>5.3</v>
      </c>
      <c r="K56" t="s">
        <v>4644</v>
      </c>
      <c r="L56" t="s">
        <v>2718</v>
      </c>
      <c r="M56" t="s">
        <v>1012</v>
      </c>
      <c r="T56" t="s">
        <v>92</v>
      </c>
      <c r="V56">
        <v>1</v>
      </c>
      <c r="Z56" t="s">
        <v>65</v>
      </c>
      <c r="AA56" t="s">
        <v>73</v>
      </c>
      <c r="AG56">
        <v>1</v>
      </c>
      <c r="AS56">
        <v>5</v>
      </c>
      <c r="AT56">
        <v>25</v>
      </c>
      <c r="AU56">
        <v>2</v>
      </c>
      <c r="AV56">
        <v>1</v>
      </c>
      <c r="AW56">
        <v>1</v>
      </c>
      <c r="AX56" t="s">
        <v>4799</v>
      </c>
      <c r="AY56" t="s">
        <v>77</v>
      </c>
      <c r="AZ56" t="s">
        <v>1407</v>
      </c>
      <c r="BA56" t="s">
        <v>4821</v>
      </c>
      <c r="BB56" t="s">
        <v>4791</v>
      </c>
      <c r="BF56" t="s">
        <v>4835</v>
      </c>
      <c r="BG56" t="s">
        <v>4836</v>
      </c>
      <c r="BH56" t="s">
        <v>4835</v>
      </c>
      <c r="BI56" t="s">
        <v>4800</v>
      </c>
    </row>
    <row r="57" spans="1:61" x14ac:dyDescent="0.4">
      <c r="A57">
        <v>56</v>
      </c>
      <c r="B57" t="s">
        <v>1793</v>
      </c>
      <c r="C57" t="s">
        <v>4586</v>
      </c>
      <c r="D57">
        <v>3</v>
      </c>
      <c r="E57">
        <v>1</v>
      </c>
      <c r="F57">
        <v>1</v>
      </c>
      <c r="G57">
        <v>0</v>
      </c>
      <c r="H57">
        <v>0</v>
      </c>
      <c r="I57">
        <v>1</v>
      </c>
      <c r="J57" t="s">
        <v>4615</v>
      </c>
      <c r="K57" t="s">
        <v>4645</v>
      </c>
      <c r="L57" t="s">
        <v>5659</v>
      </c>
      <c r="M57" t="s">
        <v>6063</v>
      </c>
      <c r="N57" t="s">
        <v>4668</v>
      </c>
      <c r="R57">
        <v>2024</v>
      </c>
      <c r="T57" t="s">
        <v>245</v>
      </c>
      <c r="U57">
        <v>0</v>
      </c>
      <c r="V57">
        <v>0</v>
      </c>
      <c r="W57">
        <v>0</v>
      </c>
      <c r="X57">
        <v>3</v>
      </c>
      <c r="Z57" t="s">
        <v>65</v>
      </c>
      <c r="AA57" t="s">
        <v>247</v>
      </c>
      <c r="AB57">
        <v>0</v>
      </c>
      <c r="AC57">
        <v>3</v>
      </c>
      <c r="AG57">
        <v>1</v>
      </c>
      <c r="AH57" t="s">
        <v>4696</v>
      </c>
      <c r="AI57" t="s">
        <v>4707</v>
      </c>
      <c r="AJ57" t="s">
        <v>7566</v>
      </c>
      <c r="AK57" t="s">
        <v>7569</v>
      </c>
      <c r="AL57" t="s">
        <v>7572</v>
      </c>
      <c r="AS57">
        <v>5</v>
      </c>
      <c r="AT57">
        <v>25</v>
      </c>
      <c r="AU57">
        <v>3</v>
      </c>
      <c r="AV57">
        <v>1</v>
      </c>
      <c r="AW57">
        <v>2</v>
      </c>
      <c r="AX57" t="s">
        <v>4801</v>
      </c>
      <c r="AY57" t="s">
        <v>2488</v>
      </c>
      <c r="AZ57" t="s">
        <v>1408</v>
      </c>
      <c r="BB57" t="s">
        <v>4826</v>
      </c>
      <c r="BC57" t="s">
        <v>7576</v>
      </c>
      <c r="BD57" t="s">
        <v>7577</v>
      </c>
      <c r="BE57" t="s">
        <v>5664</v>
      </c>
      <c r="BF57" t="s">
        <v>5680</v>
      </c>
      <c r="BG57" t="s">
        <v>7582</v>
      </c>
      <c r="BH57" t="s">
        <v>7583</v>
      </c>
      <c r="BI57" t="s">
        <v>4802</v>
      </c>
    </row>
    <row r="58" spans="1:61" x14ac:dyDescent="0.4">
      <c r="A58">
        <v>57</v>
      </c>
      <c r="B58" t="s">
        <v>1794</v>
      </c>
      <c r="C58" t="s">
        <v>4586</v>
      </c>
      <c r="D58">
        <v>3</v>
      </c>
      <c r="E58">
        <v>1</v>
      </c>
      <c r="F58">
        <v>1</v>
      </c>
      <c r="G58">
        <v>0</v>
      </c>
      <c r="H58">
        <v>0</v>
      </c>
      <c r="I58">
        <v>1</v>
      </c>
      <c r="J58" t="s">
        <v>4616</v>
      </c>
      <c r="K58" t="s">
        <v>4646</v>
      </c>
      <c r="L58" t="s">
        <v>5656</v>
      </c>
      <c r="M58" t="s">
        <v>6063</v>
      </c>
      <c r="N58" t="s">
        <v>4669</v>
      </c>
      <c r="R58">
        <v>2024</v>
      </c>
      <c r="T58" t="s">
        <v>245</v>
      </c>
      <c r="U58">
        <v>0</v>
      </c>
      <c r="V58">
        <v>0</v>
      </c>
      <c r="W58">
        <v>0</v>
      </c>
      <c r="X58">
        <v>1</v>
      </c>
      <c r="Z58" t="s">
        <v>65</v>
      </c>
      <c r="AA58" t="s">
        <v>247</v>
      </c>
      <c r="AB58">
        <v>0</v>
      </c>
      <c r="AC58">
        <v>1</v>
      </c>
      <c r="AG58">
        <v>1</v>
      </c>
      <c r="AH58" t="s">
        <v>7644</v>
      </c>
      <c r="AI58" t="s">
        <v>4708</v>
      </c>
      <c r="AJ58" t="s">
        <v>4714</v>
      </c>
      <c r="AS58">
        <v>5</v>
      </c>
      <c r="AT58">
        <v>25</v>
      </c>
      <c r="AU58">
        <v>3</v>
      </c>
      <c r="AV58">
        <v>1</v>
      </c>
      <c r="AW58">
        <v>2</v>
      </c>
      <c r="AX58" t="s">
        <v>4803</v>
      </c>
      <c r="AY58" t="s">
        <v>2488</v>
      </c>
      <c r="AZ58" t="s">
        <v>1408</v>
      </c>
      <c r="BB58" t="s">
        <v>4826</v>
      </c>
      <c r="BC58" t="s">
        <v>4805</v>
      </c>
      <c r="BD58" t="s">
        <v>7657</v>
      </c>
      <c r="BE58" t="s">
        <v>5661</v>
      </c>
      <c r="BF58" t="s">
        <v>5678</v>
      </c>
      <c r="BG58" t="s">
        <v>7687</v>
      </c>
      <c r="BH58" t="s">
        <v>7688</v>
      </c>
      <c r="BI58" t="s">
        <v>4804</v>
      </c>
    </row>
    <row r="59" spans="1:61" x14ac:dyDescent="0.4">
      <c r="A59">
        <v>58</v>
      </c>
      <c r="B59" t="s">
        <v>4587</v>
      </c>
      <c r="C59" t="s">
        <v>4583</v>
      </c>
      <c r="D59">
        <v>2</v>
      </c>
      <c r="E59">
        <v>1</v>
      </c>
      <c r="F59">
        <v>1</v>
      </c>
      <c r="G59">
        <v>0</v>
      </c>
      <c r="H59">
        <v>0</v>
      </c>
      <c r="I59">
        <v>1</v>
      </c>
      <c r="J59">
        <v>5.4</v>
      </c>
      <c r="K59" t="s">
        <v>6866</v>
      </c>
      <c r="L59" t="s">
        <v>5658</v>
      </c>
      <c r="M59" t="s">
        <v>6063</v>
      </c>
      <c r="N59" t="s">
        <v>4670</v>
      </c>
      <c r="R59">
        <v>2024</v>
      </c>
      <c r="T59" t="s">
        <v>245</v>
      </c>
      <c r="U59">
        <v>0</v>
      </c>
      <c r="V59">
        <v>0</v>
      </c>
      <c r="W59">
        <v>0</v>
      </c>
      <c r="X59">
        <v>2</v>
      </c>
      <c r="Z59" t="s">
        <v>65</v>
      </c>
      <c r="AA59" t="s">
        <v>247</v>
      </c>
      <c r="AB59">
        <v>0</v>
      </c>
      <c r="AC59">
        <v>2</v>
      </c>
      <c r="AG59">
        <v>1</v>
      </c>
      <c r="AH59" t="s">
        <v>5682</v>
      </c>
      <c r="AI59" t="s">
        <v>4709</v>
      </c>
      <c r="AJ59" t="s">
        <v>6698</v>
      </c>
      <c r="AK59" t="s">
        <v>6704</v>
      </c>
      <c r="AS59">
        <v>5</v>
      </c>
      <c r="AT59">
        <v>26</v>
      </c>
      <c r="AU59">
        <v>3</v>
      </c>
      <c r="AV59">
        <v>1</v>
      </c>
      <c r="AW59">
        <v>2</v>
      </c>
      <c r="AX59" t="s">
        <v>6881</v>
      </c>
      <c r="AY59" t="s">
        <v>2488</v>
      </c>
      <c r="AZ59" t="s">
        <v>4735</v>
      </c>
      <c r="BB59" t="s">
        <v>4791</v>
      </c>
      <c r="BC59" t="s">
        <v>6712</v>
      </c>
      <c r="BD59" t="s">
        <v>6713</v>
      </c>
      <c r="BE59" t="s">
        <v>5663</v>
      </c>
      <c r="BF59" t="s">
        <v>5679</v>
      </c>
      <c r="BG59" t="s">
        <v>6946</v>
      </c>
      <c r="BH59" t="s">
        <v>6720</v>
      </c>
      <c r="BI59" t="s">
        <v>6882</v>
      </c>
    </row>
    <row r="60" spans="1:61" x14ac:dyDescent="0.4">
      <c r="A60">
        <v>59</v>
      </c>
      <c r="B60" t="s">
        <v>4588</v>
      </c>
      <c r="C60" t="s">
        <v>4583</v>
      </c>
      <c r="D60">
        <v>2</v>
      </c>
      <c r="E60">
        <v>1</v>
      </c>
      <c r="F60">
        <v>1</v>
      </c>
      <c r="G60">
        <v>0</v>
      </c>
      <c r="H60">
        <v>0</v>
      </c>
      <c r="I60">
        <v>0</v>
      </c>
      <c r="J60">
        <v>5.5</v>
      </c>
      <c r="K60" t="s">
        <v>4647</v>
      </c>
      <c r="L60" t="s">
        <v>5656</v>
      </c>
      <c r="M60" t="s">
        <v>6063</v>
      </c>
      <c r="N60" t="s">
        <v>4671</v>
      </c>
      <c r="R60">
        <v>2024</v>
      </c>
      <c r="T60" t="s">
        <v>245</v>
      </c>
      <c r="U60">
        <v>0</v>
      </c>
      <c r="V60">
        <v>0</v>
      </c>
      <c r="W60">
        <v>0</v>
      </c>
      <c r="X60">
        <v>1</v>
      </c>
      <c r="Z60" t="s">
        <v>65</v>
      </c>
      <c r="AA60" t="s">
        <v>247</v>
      </c>
      <c r="AB60">
        <v>0</v>
      </c>
      <c r="AC60">
        <v>1</v>
      </c>
      <c r="AG60">
        <v>1</v>
      </c>
      <c r="AH60" t="s">
        <v>4697</v>
      </c>
      <c r="AI60" t="s">
        <v>468</v>
      </c>
      <c r="AJ60" t="s">
        <v>469</v>
      </c>
      <c r="AS60">
        <v>5</v>
      </c>
      <c r="AT60">
        <v>27</v>
      </c>
      <c r="AU60">
        <v>3</v>
      </c>
      <c r="AV60">
        <v>1</v>
      </c>
      <c r="AW60">
        <v>2</v>
      </c>
      <c r="AX60" t="s">
        <v>4806</v>
      </c>
      <c r="AY60" t="s">
        <v>2488</v>
      </c>
      <c r="AZ60" t="s">
        <v>4735</v>
      </c>
      <c r="BB60" t="s">
        <v>4791</v>
      </c>
      <c r="BC60" t="s">
        <v>4722</v>
      </c>
      <c r="BD60" t="s">
        <v>5685</v>
      </c>
      <c r="BE60" t="s">
        <v>5661</v>
      </c>
      <c r="BF60" t="s">
        <v>5678</v>
      </c>
      <c r="BG60" t="s">
        <v>6947</v>
      </c>
      <c r="BH60" t="s">
        <v>5686</v>
      </c>
      <c r="BI60" t="s">
        <v>4807</v>
      </c>
    </row>
    <row r="61" spans="1:61" x14ac:dyDescent="0.4">
      <c r="A61">
        <v>60</v>
      </c>
      <c r="B61" t="s">
        <v>4589</v>
      </c>
      <c r="C61" t="s">
        <v>4583</v>
      </c>
      <c r="D61">
        <v>2</v>
      </c>
      <c r="E61">
        <v>1</v>
      </c>
      <c r="F61">
        <v>1</v>
      </c>
      <c r="G61">
        <v>0</v>
      </c>
      <c r="H61">
        <v>0</v>
      </c>
      <c r="I61">
        <v>1</v>
      </c>
      <c r="J61">
        <v>5.6</v>
      </c>
      <c r="K61" t="s">
        <v>4648</v>
      </c>
      <c r="L61" t="s">
        <v>5658</v>
      </c>
      <c r="M61" t="s">
        <v>6063</v>
      </c>
      <c r="N61" t="s">
        <v>4672</v>
      </c>
      <c r="R61">
        <v>2024</v>
      </c>
      <c r="T61" t="s">
        <v>245</v>
      </c>
      <c r="U61">
        <v>0</v>
      </c>
      <c r="V61">
        <v>0</v>
      </c>
      <c r="W61">
        <v>0</v>
      </c>
      <c r="X61">
        <v>2</v>
      </c>
      <c r="Z61" t="s">
        <v>65</v>
      </c>
      <c r="AA61" t="s">
        <v>247</v>
      </c>
      <c r="AB61">
        <v>0</v>
      </c>
      <c r="AC61">
        <v>2</v>
      </c>
      <c r="AG61">
        <v>1</v>
      </c>
      <c r="AH61" t="s">
        <v>4698</v>
      </c>
      <c r="AI61" t="s">
        <v>4710</v>
      </c>
      <c r="AJ61" t="s">
        <v>6699</v>
      </c>
      <c r="AK61" t="s">
        <v>6705</v>
      </c>
      <c r="AS61">
        <v>5</v>
      </c>
      <c r="AT61">
        <v>28</v>
      </c>
      <c r="AU61">
        <v>3</v>
      </c>
      <c r="AV61">
        <v>1</v>
      </c>
      <c r="AW61">
        <v>2</v>
      </c>
      <c r="AX61" t="s">
        <v>4808</v>
      </c>
      <c r="AY61" t="s">
        <v>2488</v>
      </c>
      <c r="AZ61" t="s">
        <v>4735</v>
      </c>
      <c r="BB61" t="s">
        <v>4791</v>
      </c>
      <c r="BC61" t="s">
        <v>6714</v>
      </c>
      <c r="BD61" t="s">
        <v>6715</v>
      </c>
      <c r="BE61" t="s">
        <v>5663</v>
      </c>
      <c r="BF61" t="s">
        <v>5679</v>
      </c>
      <c r="BG61" t="s">
        <v>6948</v>
      </c>
      <c r="BH61" t="s">
        <v>6721</v>
      </c>
      <c r="BI61" t="s">
        <v>4809</v>
      </c>
    </row>
    <row r="62" spans="1:61" x14ac:dyDescent="0.4">
      <c r="A62">
        <v>61</v>
      </c>
      <c r="B62" t="s">
        <v>1426</v>
      </c>
      <c r="C62" t="s">
        <v>4583</v>
      </c>
      <c r="D62">
        <v>2</v>
      </c>
      <c r="E62">
        <v>1</v>
      </c>
      <c r="F62">
        <v>1</v>
      </c>
      <c r="G62">
        <v>0</v>
      </c>
      <c r="H62">
        <v>0</v>
      </c>
      <c r="I62">
        <v>0</v>
      </c>
      <c r="J62">
        <v>5.7</v>
      </c>
      <c r="K62" t="s">
        <v>4649</v>
      </c>
      <c r="L62" t="s">
        <v>5660</v>
      </c>
      <c r="M62" t="s">
        <v>6063</v>
      </c>
      <c r="N62" t="s">
        <v>4673</v>
      </c>
      <c r="R62">
        <v>2022</v>
      </c>
      <c r="T62" t="s">
        <v>245</v>
      </c>
      <c r="U62">
        <v>0</v>
      </c>
      <c r="V62">
        <v>0</v>
      </c>
      <c r="W62">
        <v>0</v>
      </c>
      <c r="X62">
        <v>4</v>
      </c>
      <c r="Z62" t="s">
        <v>65</v>
      </c>
      <c r="AA62" t="s">
        <v>247</v>
      </c>
      <c r="AB62">
        <v>0</v>
      </c>
      <c r="AC62">
        <v>4</v>
      </c>
      <c r="AG62">
        <v>1</v>
      </c>
      <c r="AH62" t="s">
        <v>4699</v>
      </c>
      <c r="AI62" t="s">
        <v>7645</v>
      </c>
      <c r="AJ62" t="s">
        <v>7646</v>
      </c>
      <c r="AK62" t="s">
        <v>7647</v>
      </c>
      <c r="AL62" t="s">
        <v>4715</v>
      </c>
      <c r="AM62" t="s">
        <v>4716</v>
      </c>
      <c r="AS62">
        <v>5</v>
      </c>
      <c r="AT62">
        <v>29</v>
      </c>
      <c r="AU62">
        <v>3</v>
      </c>
      <c r="AV62">
        <v>1</v>
      </c>
      <c r="AW62">
        <v>2</v>
      </c>
      <c r="AX62" t="s">
        <v>4810</v>
      </c>
      <c r="AY62" t="s">
        <v>2488</v>
      </c>
      <c r="AZ62" t="s">
        <v>4735</v>
      </c>
      <c r="BB62" t="s">
        <v>4791</v>
      </c>
      <c r="BC62" t="s">
        <v>7658</v>
      </c>
      <c r="BD62" t="s">
        <v>7659</v>
      </c>
      <c r="BE62" t="s">
        <v>5665</v>
      </c>
      <c r="BF62" t="s">
        <v>5681</v>
      </c>
      <c r="BG62" t="s">
        <v>7689</v>
      </c>
      <c r="BH62" t="s">
        <v>7690</v>
      </c>
      <c r="BI62" t="s">
        <v>4811</v>
      </c>
    </row>
    <row r="63" spans="1:61" x14ac:dyDescent="0.4">
      <c r="A63">
        <v>62</v>
      </c>
      <c r="B63" t="s">
        <v>4590</v>
      </c>
      <c r="C63" t="s">
        <v>4583</v>
      </c>
      <c r="D63">
        <v>2</v>
      </c>
      <c r="E63">
        <v>1</v>
      </c>
      <c r="F63">
        <v>1</v>
      </c>
      <c r="G63">
        <v>0</v>
      </c>
      <c r="H63">
        <v>0</v>
      </c>
      <c r="I63">
        <v>1</v>
      </c>
      <c r="J63">
        <v>5.8</v>
      </c>
      <c r="K63" t="s">
        <v>4650</v>
      </c>
      <c r="L63" t="s">
        <v>5659</v>
      </c>
      <c r="M63" t="s">
        <v>6063</v>
      </c>
      <c r="N63" t="s">
        <v>4674</v>
      </c>
      <c r="R63">
        <v>2024</v>
      </c>
      <c r="T63" t="s">
        <v>245</v>
      </c>
      <c r="U63">
        <v>0</v>
      </c>
      <c r="V63">
        <v>0</v>
      </c>
      <c r="W63">
        <v>0</v>
      </c>
      <c r="X63">
        <v>3</v>
      </c>
      <c r="Z63" t="s">
        <v>65</v>
      </c>
      <c r="AA63" t="s">
        <v>247</v>
      </c>
      <c r="AB63">
        <v>0</v>
      </c>
      <c r="AC63">
        <v>3</v>
      </c>
      <c r="AG63">
        <v>1</v>
      </c>
      <c r="AH63" t="s">
        <v>5683</v>
      </c>
      <c r="AI63" t="s">
        <v>5684</v>
      </c>
      <c r="AJ63" t="s">
        <v>7567</v>
      </c>
      <c r="AK63" t="s">
        <v>7570</v>
      </c>
      <c r="AL63" t="s">
        <v>7573</v>
      </c>
      <c r="AS63">
        <v>5</v>
      </c>
      <c r="AT63">
        <v>30</v>
      </c>
      <c r="AU63">
        <v>3</v>
      </c>
      <c r="AV63">
        <v>1</v>
      </c>
      <c r="AW63">
        <v>2</v>
      </c>
      <c r="AX63" t="s">
        <v>4812</v>
      </c>
      <c r="AY63" t="s">
        <v>2488</v>
      </c>
      <c r="AZ63" t="s">
        <v>4735</v>
      </c>
      <c r="BB63" t="s">
        <v>4791</v>
      </c>
      <c r="BC63" t="s">
        <v>7578</v>
      </c>
      <c r="BD63" t="s">
        <v>7579</v>
      </c>
      <c r="BE63" t="s">
        <v>5664</v>
      </c>
      <c r="BF63" t="s">
        <v>5680</v>
      </c>
      <c r="BG63" t="s">
        <v>7584</v>
      </c>
      <c r="BH63" t="s">
        <v>7585</v>
      </c>
      <c r="BI63" t="s">
        <v>4813</v>
      </c>
    </row>
    <row r="64" spans="1:61" x14ac:dyDescent="0.4">
      <c r="A64">
        <v>63</v>
      </c>
      <c r="B64" t="s">
        <v>4591</v>
      </c>
      <c r="C64" t="s">
        <v>4583</v>
      </c>
      <c r="D64">
        <v>2</v>
      </c>
      <c r="E64">
        <v>1</v>
      </c>
      <c r="F64">
        <v>1</v>
      </c>
      <c r="G64">
        <v>0</v>
      </c>
      <c r="H64">
        <v>0</v>
      </c>
      <c r="I64">
        <v>1</v>
      </c>
      <c r="J64">
        <v>5.9</v>
      </c>
      <c r="K64" t="s">
        <v>4651</v>
      </c>
      <c r="L64" t="s">
        <v>5658</v>
      </c>
      <c r="M64" t="s">
        <v>6063</v>
      </c>
      <c r="N64" t="s">
        <v>4675</v>
      </c>
      <c r="R64">
        <v>2024</v>
      </c>
      <c r="T64" t="s">
        <v>245</v>
      </c>
      <c r="U64">
        <v>0</v>
      </c>
      <c r="V64">
        <v>0</v>
      </c>
      <c r="W64">
        <v>0</v>
      </c>
      <c r="X64">
        <v>2</v>
      </c>
      <c r="Z64" t="s">
        <v>65</v>
      </c>
      <c r="AA64" t="s">
        <v>247</v>
      </c>
      <c r="AB64">
        <v>0</v>
      </c>
      <c r="AC64">
        <v>2</v>
      </c>
      <c r="AG64">
        <v>1</v>
      </c>
      <c r="AH64" t="s">
        <v>4700</v>
      </c>
      <c r="AI64" t="s">
        <v>4711</v>
      </c>
      <c r="AJ64" t="s">
        <v>6700</v>
      </c>
      <c r="AK64" t="s">
        <v>6706</v>
      </c>
      <c r="AS64">
        <v>5</v>
      </c>
      <c r="AT64">
        <v>31</v>
      </c>
      <c r="AU64">
        <v>3</v>
      </c>
      <c r="AV64">
        <v>1</v>
      </c>
      <c r="AW64">
        <v>2</v>
      </c>
      <c r="AX64" t="s">
        <v>4814</v>
      </c>
      <c r="AY64" t="s">
        <v>2488</v>
      </c>
      <c r="AZ64" t="s">
        <v>4735</v>
      </c>
      <c r="BB64" t="s">
        <v>4791</v>
      </c>
      <c r="BC64" t="s">
        <v>6716</v>
      </c>
      <c r="BD64" t="s">
        <v>6717</v>
      </c>
      <c r="BE64" t="s">
        <v>5663</v>
      </c>
      <c r="BF64" t="s">
        <v>5679</v>
      </c>
      <c r="BG64" t="s">
        <v>6949</v>
      </c>
      <c r="BH64" t="s">
        <v>6722</v>
      </c>
      <c r="BI64" t="s">
        <v>4815</v>
      </c>
    </row>
    <row r="65" spans="1:61" x14ac:dyDescent="0.4">
      <c r="A65">
        <v>64</v>
      </c>
      <c r="B65" t="s">
        <v>1534</v>
      </c>
      <c r="D65">
        <v>0</v>
      </c>
      <c r="E65">
        <v>0</v>
      </c>
      <c r="F65">
        <v>0</v>
      </c>
      <c r="G65">
        <v>1</v>
      </c>
      <c r="H65">
        <v>1</v>
      </c>
      <c r="I65">
        <v>0</v>
      </c>
      <c r="J65" t="s">
        <v>2705</v>
      </c>
      <c r="K65" t="s">
        <v>7660</v>
      </c>
      <c r="T65" t="s">
        <v>132</v>
      </c>
      <c r="V65">
        <v>1</v>
      </c>
      <c r="Z65" t="s">
        <v>65</v>
      </c>
      <c r="AG65">
        <v>0</v>
      </c>
      <c r="AS65">
        <v>6</v>
      </c>
      <c r="AT65">
        <v>31</v>
      </c>
      <c r="AU65">
        <v>1</v>
      </c>
      <c r="AV65">
        <v>1</v>
      </c>
      <c r="AW65">
        <v>1</v>
      </c>
      <c r="AX65" t="s">
        <v>7660</v>
      </c>
      <c r="AY65" t="s">
        <v>77</v>
      </c>
      <c r="AZ65" t="s">
        <v>2628</v>
      </c>
      <c r="BA65" t="s">
        <v>7600</v>
      </c>
      <c r="BB65" t="s">
        <v>2627</v>
      </c>
      <c r="BH65" t="s">
        <v>7616</v>
      </c>
      <c r="BI65" t="s">
        <v>7660</v>
      </c>
    </row>
    <row r="66" spans="1:61" x14ac:dyDescent="0.4">
      <c r="A66">
        <v>65</v>
      </c>
      <c r="B66" t="s">
        <v>6046</v>
      </c>
      <c r="C66" t="s">
        <v>1534</v>
      </c>
      <c r="D66">
        <v>1</v>
      </c>
      <c r="E66">
        <v>1</v>
      </c>
      <c r="F66">
        <v>0</v>
      </c>
      <c r="G66">
        <v>1</v>
      </c>
      <c r="H66">
        <v>0</v>
      </c>
      <c r="I66">
        <v>0</v>
      </c>
      <c r="J66" t="s">
        <v>1535</v>
      </c>
      <c r="K66" t="s">
        <v>6056</v>
      </c>
      <c r="L66" t="s">
        <v>4652</v>
      </c>
      <c r="M66" t="s">
        <v>6596</v>
      </c>
      <c r="N66" t="s">
        <v>6729</v>
      </c>
      <c r="R66" t="s">
        <v>7557</v>
      </c>
      <c r="S66" t="s">
        <v>7227</v>
      </c>
      <c r="T66" t="s">
        <v>244</v>
      </c>
      <c r="U66">
        <v>1</v>
      </c>
      <c r="V66">
        <v>1</v>
      </c>
      <c r="W66">
        <v>0</v>
      </c>
      <c r="Z66" t="s">
        <v>133</v>
      </c>
      <c r="AA66" t="s">
        <v>247</v>
      </c>
      <c r="AB66">
        <v>15.1</v>
      </c>
      <c r="AC66">
        <v>52.1</v>
      </c>
      <c r="AF66" t="s">
        <v>1389</v>
      </c>
      <c r="AS66">
        <v>6</v>
      </c>
      <c r="AT66">
        <v>31</v>
      </c>
      <c r="AU66">
        <v>5</v>
      </c>
      <c r="AV66">
        <v>2</v>
      </c>
      <c r="AW66">
        <v>2</v>
      </c>
      <c r="AX66" t="s">
        <v>7586</v>
      </c>
      <c r="AY66" t="s">
        <v>77</v>
      </c>
      <c r="AZ66" t="s">
        <v>2628</v>
      </c>
      <c r="BB66" t="s">
        <v>2627</v>
      </c>
      <c r="BE66" t="s">
        <v>6013</v>
      </c>
      <c r="BF66" t="s">
        <v>2674</v>
      </c>
      <c r="BG66" t="s">
        <v>7559</v>
      </c>
      <c r="BH66" t="s">
        <v>6920</v>
      </c>
      <c r="BI66" t="s">
        <v>7586</v>
      </c>
    </row>
    <row r="67" spans="1:61" x14ac:dyDescent="0.4">
      <c r="A67">
        <v>66</v>
      </c>
      <c r="B67" t="s">
        <v>6047</v>
      </c>
      <c r="C67" t="s">
        <v>1534</v>
      </c>
      <c r="D67">
        <v>1</v>
      </c>
      <c r="E67">
        <v>1</v>
      </c>
      <c r="F67">
        <v>0</v>
      </c>
      <c r="G67">
        <v>1</v>
      </c>
      <c r="H67">
        <v>0</v>
      </c>
      <c r="I67">
        <v>0</v>
      </c>
      <c r="J67" t="s">
        <v>6916</v>
      </c>
      <c r="K67" t="s">
        <v>6057</v>
      </c>
      <c r="L67" t="s">
        <v>6725</v>
      </c>
      <c r="M67" t="s">
        <v>6854</v>
      </c>
      <c r="N67" t="s">
        <v>6730</v>
      </c>
      <c r="R67">
        <v>2022</v>
      </c>
      <c r="S67" t="s">
        <v>6965</v>
      </c>
      <c r="T67" t="s">
        <v>244</v>
      </c>
      <c r="U67">
        <v>1</v>
      </c>
      <c r="V67">
        <v>1</v>
      </c>
      <c r="W67">
        <v>0</v>
      </c>
      <c r="Z67" t="s">
        <v>133</v>
      </c>
      <c r="AA67" t="s">
        <v>247</v>
      </c>
      <c r="AB67">
        <v>63.8</v>
      </c>
      <c r="AC67">
        <v>491.6</v>
      </c>
      <c r="AF67" t="s">
        <v>1389</v>
      </c>
      <c r="AS67">
        <v>6</v>
      </c>
      <c r="AT67">
        <v>31</v>
      </c>
      <c r="AU67">
        <v>5</v>
      </c>
      <c r="AV67">
        <v>2</v>
      </c>
      <c r="AW67">
        <v>2</v>
      </c>
      <c r="AX67" t="s">
        <v>7587</v>
      </c>
      <c r="AY67" t="s">
        <v>77</v>
      </c>
      <c r="AZ67" t="s">
        <v>2628</v>
      </c>
      <c r="BB67" t="s">
        <v>2627</v>
      </c>
      <c r="BE67" t="s">
        <v>6738</v>
      </c>
      <c r="BF67" t="s">
        <v>2674</v>
      </c>
      <c r="BG67" t="s">
        <v>6951</v>
      </c>
      <c r="BH67" t="s">
        <v>6921</v>
      </c>
      <c r="BI67" t="s">
        <v>7587</v>
      </c>
    </row>
    <row r="68" spans="1:61" x14ac:dyDescent="0.4">
      <c r="A68">
        <v>67</v>
      </c>
      <c r="B68" t="s">
        <v>6048</v>
      </c>
      <c r="C68" t="s">
        <v>1534</v>
      </c>
      <c r="D68">
        <v>1</v>
      </c>
      <c r="E68">
        <v>1</v>
      </c>
      <c r="F68">
        <v>0</v>
      </c>
      <c r="G68">
        <v>1</v>
      </c>
      <c r="H68">
        <v>0</v>
      </c>
      <c r="I68">
        <v>0</v>
      </c>
      <c r="J68" t="s">
        <v>6046</v>
      </c>
      <c r="K68" t="s">
        <v>6058</v>
      </c>
      <c r="L68" t="s">
        <v>4652</v>
      </c>
      <c r="M68" t="s">
        <v>6596</v>
      </c>
      <c r="N68" t="s">
        <v>6731</v>
      </c>
      <c r="R68">
        <v>2019</v>
      </c>
      <c r="S68" t="s">
        <v>6962</v>
      </c>
      <c r="T68" t="s">
        <v>244</v>
      </c>
      <c r="U68">
        <v>1</v>
      </c>
      <c r="V68">
        <v>1</v>
      </c>
      <c r="W68">
        <v>0</v>
      </c>
      <c r="Z68" t="s">
        <v>133</v>
      </c>
      <c r="AA68" t="s">
        <v>247</v>
      </c>
      <c r="AB68">
        <v>7.3</v>
      </c>
      <c r="AC68">
        <v>29.4</v>
      </c>
      <c r="AF68" t="s">
        <v>1389</v>
      </c>
      <c r="AS68">
        <v>6</v>
      </c>
      <c r="AT68">
        <v>31</v>
      </c>
      <c r="AU68">
        <v>5</v>
      </c>
      <c r="AV68">
        <v>2</v>
      </c>
      <c r="AW68">
        <v>2</v>
      </c>
      <c r="AX68" t="s">
        <v>7588</v>
      </c>
      <c r="AY68" t="s">
        <v>77</v>
      </c>
      <c r="AZ68" t="s">
        <v>2628</v>
      </c>
      <c r="BB68" t="s">
        <v>2627</v>
      </c>
      <c r="BE68" t="s">
        <v>6013</v>
      </c>
      <c r="BF68" t="s">
        <v>2674</v>
      </c>
      <c r="BG68" t="s">
        <v>7550</v>
      </c>
      <c r="BH68" t="s">
        <v>6922</v>
      </c>
      <c r="BI68" t="s">
        <v>7588</v>
      </c>
    </row>
    <row r="69" spans="1:61" x14ac:dyDescent="0.4">
      <c r="A69">
        <v>68</v>
      </c>
      <c r="B69" t="s">
        <v>6049</v>
      </c>
      <c r="C69" t="s">
        <v>1534</v>
      </c>
      <c r="D69">
        <v>1</v>
      </c>
      <c r="E69">
        <v>1</v>
      </c>
      <c r="F69">
        <v>0</v>
      </c>
      <c r="G69">
        <v>1</v>
      </c>
      <c r="H69">
        <v>0</v>
      </c>
      <c r="I69">
        <v>0</v>
      </c>
      <c r="J69" t="s">
        <v>6047</v>
      </c>
      <c r="K69" t="s">
        <v>6059</v>
      </c>
      <c r="L69" t="s">
        <v>6725</v>
      </c>
      <c r="M69" t="s">
        <v>6854</v>
      </c>
      <c r="N69" t="s">
        <v>6732</v>
      </c>
      <c r="R69">
        <v>2022</v>
      </c>
      <c r="S69" t="s">
        <v>6966</v>
      </c>
      <c r="T69" t="s">
        <v>244</v>
      </c>
      <c r="U69">
        <v>1</v>
      </c>
      <c r="V69">
        <v>1</v>
      </c>
      <c r="W69">
        <v>0</v>
      </c>
      <c r="Z69" t="s">
        <v>133</v>
      </c>
      <c r="AA69" t="s">
        <v>247</v>
      </c>
      <c r="AB69">
        <v>363.2</v>
      </c>
      <c r="AC69">
        <v>1777.4</v>
      </c>
      <c r="AF69" t="s">
        <v>1389</v>
      </c>
      <c r="AS69">
        <v>6</v>
      </c>
      <c r="AT69">
        <v>31</v>
      </c>
      <c r="AU69">
        <v>5</v>
      </c>
      <c r="AV69">
        <v>2</v>
      </c>
      <c r="AW69">
        <v>2</v>
      </c>
      <c r="AX69" t="s">
        <v>7589</v>
      </c>
      <c r="AY69" t="s">
        <v>77</v>
      </c>
      <c r="AZ69" t="s">
        <v>2628</v>
      </c>
      <c r="BB69" t="s">
        <v>2627</v>
      </c>
      <c r="BE69" t="s">
        <v>6738</v>
      </c>
      <c r="BF69" t="s">
        <v>2674</v>
      </c>
      <c r="BG69" t="s">
        <v>6952</v>
      </c>
      <c r="BH69" t="s">
        <v>6923</v>
      </c>
      <c r="BI69" t="s">
        <v>7589</v>
      </c>
    </row>
    <row r="70" spans="1:61" x14ac:dyDescent="0.4">
      <c r="A70">
        <v>69</v>
      </c>
      <c r="B70" t="s">
        <v>6050</v>
      </c>
      <c r="C70" t="s">
        <v>1534</v>
      </c>
      <c r="D70">
        <v>1</v>
      </c>
      <c r="E70">
        <v>1</v>
      </c>
      <c r="F70">
        <v>0</v>
      </c>
      <c r="G70">
        <v>1</v>
      </c>
      <c r="H70">
        <v>0</v>
      </c>
      <c r="I70">
        <v>0</v>
      </c>
      <c r="J70" t="s">
        <v>6048</v>
      </c>
      <c r="K70" t="s">
        <v>6060</v>
      </c>
      <c r="L70" t="s">
        <v>6725</v>
      </c>
      <c r="M70" t="s">
        <v>6854</v>
      </c>
      <c r="N70" t="s">
        <v>6733</v>
      </c>
      <c r="R70">
        <v>2022</v>
      </c>
      <c r="S70" t="s">
        <v>6962</v>
      </c>
      <c r="T70" t="s">
        <v>244</v>
      </c>
      <c r="U70">
        <v>1</v>
      </c>
      <c r="V70">
        <v>1</v>
      </c>
      <c r="W70">
        <v>0</v>
      </c>
      <c r="Z70" t="s">
        <v>133</v>
      </c>
      <c r="AA70" t="s">
        <v>247</v>
      </c>
      <c r="AB70">
        <v>3809.4</v>
      </c>
      <c r="AC70">
        <v>17490.3</v>
      </c>
      <c r="AF70" t="s">
        <v>1389</v>
      </c>
      <c r="AS70">
        <v>6</v>
      </c>
      <c r="AT70">
        <v>31</v>
      </c>
      <c r="AU70">
        <v>5</v>
      </c>
      <c r="AV70">
        <v>2</v>
      </c>
      <c r="AW70">
        <v>2</v>
      </c>
      <c r="AX70" t="s">
        <v>7590</v>
      </c>
      <c r="AY70" t="s">
        <v>77</v>
      </c>
      <c r="AZ70" t="s">
        <v>2628</v>
      </c>
      <c r="BB70" t="s">
        <v>2627</v>
      </c>
      <c r="BE70" t="s">
        <v>6738</v>
      </c>
      <c r="BF70" t="s">
        <v>2674</v>
      </c>
      <c r="BG70" t="s">
        <v>6953</v>
      </c>
      <c r="BH70" t="s">
        <v>6924</v>
      </c>
      <c r="BI70" t="s">
        <v>7590</v>
      </c>
    </row>
    <row r="71" spans="1:61" x14ac:dyDescent="0.4">
      <c r="A71">
        <v>70</v>
      </c>
      <c r="B71" t="s">
        <v>6621</v>
      </c>
      <c r="C71" t="s">
        <v>1534</v>
      </c>
      <c r="D71">
        <v>1</v>
      </c>
      <c r="E71">
        <v>1</v>
      </c>
      <c r="F71">
        <v>0</v>
      </c>
      <c r="G71">
        <v>1</v>
      </c>
      <c r="H71">
        <v>0</v>
      </c>
      <c r="I71">
        <v>0</v>
      </c>
      <c r="J71" t="s">
        <v>6917</v>
      </c>
      <c r="K71" t="s">
        <v>7515</v>
      </c>
      <c r="L71" t="s">
        <v>6725</v>
      </c>
      <c r="M71" t="s">
        <v>6854</v>
      </c>
      <c r="N71" t="s">
        <v>7502</v>
      </c>
      <c r="R71" t="s">
        <v>7558</v>
      </c>
      <c r="S71" t="s">
        <v>6962</v>
      </c>
      <c r="T71" t="s">
        <v>244</v>
      </c>
      <c r="U71">
        <v>1</v>
      </c>
      <c r="V71">
        <v>1</v>
      </c>
      <c r="W71">
        <v>0</v>
      </c>
      <c r="Z71" t="s">
        <v>65</v>
      </c>
      <c r="AA71" t="s">
        <v>247</v>
      </c>
      <c r="AB71">
        <v>212.9</v>
      </c>
      <c r="AC71">
        <v>1060.7</v>
      </c>
      <c r="AF71" t="s">
        <v>1389</v>
      </c>
      <c r="AS71">
        <v>6</v>
      </c>
      <c r="AT71">
        <v>31</v>
      </c>
      <c r="AU71">
        <v>5</v>
      </c>
      <c r="AV71">
        <v>1</v>
      </c>
      <c r="AW71">
        <v>2</v>
      </c>
      <c r="AX71" t="s">
        <v>7591</v>
      </c>
      <c r="AY71" t="s">
        <v>77</v>
      </c>
      <c r="AZ71" t="s">
        <v>2628</v>
      </c>
      <c r="BB71" t="s">
        <v>2627</v>
      </c>
      <c r="BE71" t="s">
        <v>7516</v>
      </c>
      <c r="BF71" t="s">
        <v>2674</v>
      </c>
      <c r="BG71" t="s">
        <v>7561</v>
      </c>
      <c r="BH71" t="s">
        <v>7553</v>
      </c>
      <c r="BI71" t="s">
        <v>7591</v>
      </c>
    </row>
    <row r="72" spans="1:61" x14ac:dyDescent="0.4">
      <c r="A72">
        <v>71</v>
      </c>
      <c r="B72" t="s">
        <v>6622</v>
      </c>
      <c r="C72" t="s">
        <v>1534</v>
      </c>
      <c r="D72">
        <v>1</v>
      </c>
      <c r="E72">
        <v>1</v>
      </c>
      <c r="F72">
        <v>0</v>
      </c>
      <c r="G72">
        <v>1</v>
      </c>
      <c r="H72">
        <v>0</v>
      </c>
      <c r="I72">
        <v>0</v>
      </c>
      <c r="J72" t="s">
        <v>6918</v>
      </c>
      <c r="K72" t="s">
        <v>7517</v>
      </c>
      <c r="L72" t="s">
        <v>6725</v>
      </c>
      <c r="M72" t="s">
        <v>6854</v>
      </c>
      <c r="N72" t="s">
        <v>7503</v>
      </c>
      <c r="R72">
        <v>2022</v>
      </c>
      <c r="S72" t="s">
        <v>7504</v>
      </c>
      <c r="T72" t="s">
        <v>244</v>
      </c>
      <c r="U72">
        <v>1</v>
      </c>
      <c r="V72">
        <v>1</v>
      </c>
      <c r="W72">
        <v>0</v>
      </c>
      <c r="Z72" t="s">
        <v>65</v>
      </c>
      <c r="AA72" t="s">
        <v>247</v>
      </c>
      <c r="AB72">
        <v>1605.7</v>
      </c>
      <c r="AC72">
        <v>8457.5</v>
      </c>
      <c r="AF72" t="s">
        <v>1389</v>
      </c>
      <c r="AS72">
        <v>6</v>
      </c>
      <c r="AT72">
        <v>31</v>
      </c>
      <c r="AU72">
        <v>5</v>
      </c>
      <c r="AV72">
        <v>1</v>
      </c>
      <c r="AW72">
        <v>2</v>
      </c>
      <c r="AX72" t="s">
        <v>7592</v>
      </c>
      <c r="AY72" t="s">
        <v>77</v>
      </c>
      <c r="AZ72" t="s">
        <v>2628</v>
      </c>
      <c r="BB72" t="s">
        <v>2627</v>
      </c>
      <c r="BE72" t="s">
        <v>7516</v>
      </c>
      <c r="BF72" t="s">
        <v>2674</v>
      </c>
      <c r="BG72" t="s">
        <v>7562</v>
      </c>
      <c r="BH72" t="s">
        <v>7554</v>
      </c>
      <c r="BI72" t="s">
        <v>7592</v>
      </c>
    </row>
    <row r="73" spans="1:61" x14ac:dyDescent="0.4">
      <c r="A73">
        <v>72</v>
      </c>
      <c r="B73" t="s">
        <v>6051</v>
      </c>
      <c r="C73" t="s">
        <v>1534</v>
      </c>
      <c r="D73">
        <v>1</v>
      </c>
      <c r="E73">
        <v>1</v>
      </c>
      <c r="F73">
        <v>0</v>
      </c>
      <c r="G73">
        <v>1</v>
      </c>
      <c r="H73">
        <v>0</v>
      </c>
      <c r="I73">
        <v>0</v>
      </c>
      <c r="J73" t="s">
        <v>6049</v>
      </c>
      <c r="K73" t="s">
        <v>6970</v>
      </c>
      <c r="L73" t="s">
        <v>6726</v>
      </c>
      <c r="M73" t="s">
        <v>6596</v>
      </c>
      <c r="R73">
        <v>2019</v>
      </c>
      <c r="S73" t="s">
        <v>6962</v>
      </c>
      <c r="T73" t="s">
        <v>244</v>
      </c>
      <c r="U73">
        <v>1</v>
      </c>
      <c r="V73">
        <v>1</v>
      </c>
      <c r="W73">
        <v>0</v>
      </c>
      <c r="Z73" t="s">
        <v>65</v>
      </c>
      <c r="AA73" t="s">
        <v>247</v>
      </c>
      <c r="AB73">
        <v>62.6</v>
      </c>
      <c r="AC73">
        <v>84.3</v>
      </c>
      <c r="AF73" t="s">
        <v>1389</v>
      </c>
      <c r="AS73">
        <v>6</v>
      </c>
      <c r="AT73">
        <v>31</v>
      </c>
      <c r="AU73">
        <v>5</v>
      </c>
      <c r="AV73">
        <v>1</v>
      </c>
      <c r="AW73">
        <v>2</v>
      </c>
      <c r="AX73" t="s">
        <v>7593</v>
      </c>
      <c r="AY73" t="s">
        <v>77</v>
      </c>
      <c r="AZ73" t="s">
        <v>2628</v>
      </c>
      <c r="BB73" t="s">
        <v>2627</v>
      </c>
      <c r="BE73" t="s">
        <v>6739</v>
      </c>
      <c r="BF73" t="s">
        <v>2674</v>
      </c>
      <c r="BG73" t="s">
        <v>7551</v>
      </c>
      <c r="BH73" t="s">
        <v>6971</v>
      </c>
      <c r="BI73" t="s">
        <v>7593</v>
      </c>
    </row>
    <row r="74" spans="1:61" x14ac:dyDescent="0.4">
      <c r="A74">
        <v>73</v>
      </c>
      <c r="B74" t="s">
        <v>6052</v>
      </c>
      <c r="C74" t="s">
        <v>1534</v>
      </c>
      <c r="D74">
        <v>1</v>
      </c>
      <c r="E74">
        <v>1</v>
      </c>
      <c r="F74">
        <v>0</v>
      </c>
      <c r="G74">
        <v>1</v>
      </c>
      <c r="H74">
        <v>0</v>
      </c>
      <c r="I74">
        <v>0</v>
      </c>
      <c r="J74" t="s">
        <v>6050</v>
      </c>
      <c r="K74" t="s">
        <v>6061</v>
      </c>
      <c r="L74" t="s">
        <v>6726</v>
      </c>
      <c r="M74" t="s">
        <v>6596</v>
      </c>
      <c r="N74" t="s">
        <v>6734</v>
      </c>
      <c r="R74">
        <v>2019</v>
      </c>
      <c r="S74" t="s">
        <v>6962</v>
      </c>
      <c r="T74" t="s">
        <v>244</v>
      </c>
      <c r="U74">
        <v>1</v>
      </c>
      <c r="V74">
        <v>1</v>
      </c>
      <c r="W74">
        <v>0</v>
      </c>
      <c r="Z74" t="s">
        <v>65</v>
      </c>
      <c r="AA74" t="s">
        <v>247</v>
      </c>
      <c r="AB74">
        <v>54.4</v>
      </c>
      <c r="AC74">
        <v>74.099999999999994</v>
      </c>
      <c r="AF74" t="s">
        <v>1389</v>
      </c>
      <c r="AS74">
        <v>6</v>
      </c>
      <c r="AT74">
        <v>31</v>
      </c>
      <c r="AU74">
        <v>5</v>
      </c>
      <c r="AV74">
        <v>1</v>
      </c>
      <c r="AW74">
        <v>2</v>
      </c>
      <c r="AX74" t="s">
        <v>7594</v>
      </c>
      <c r="AY74" t="s">
        <v>77</v>
      </c>
      <c r="AZ74" t="s">
        <v>2628</v>
      </c>
      <c r="BB74" t="s">
        <v>2627</v>
      </c>
      <c r="BE74" t="s">
        <v>6739</v>
      </c>
      <c r="BF74" t="s">
        <v>2674</v>
      </c>
      <c r="BG74" t="s">
        <v>7560</v>
      </c>
      <c r="BH74" t="s">
        <v>6925</v>
      </c>
      <c r="BI74" t="s">
        <v>7594</v>
      </c>
    </row>
    <row r="75" spans="1:61" x14ac:dyDescent="0.4">
      <c r="A75">
        <v>74</v>
      </c>
      <c r="B75" t="s">
        <v>6623</v>
      </c>
      <c r="C75" t="s">
        <v>1534</v>
      </c>
      <c r="D75">
        <v>1</v>
      </c>
      <c r="E75">
        <v>1</v>
      </c>
      <c r="F75">
        <v>0</v>
      </c>
      <c r="G75">
        <v>1</v>
      </c>
      <c r="H75">
        <v>0</v>
      </c>
      <c r="I75">
        <v>0</v>
      </c>
      <c r="J75" t="s">
        <v>6919</v>
      </c>
      <c r="K75" t="s">
        <v>7518</v>
      </c>
      <c r="L75" t="s">
        <v>6726</v>
      </c>
      <c r="M75" t="s">
        <v>6596</v>
      </c>
      <c r="N75" t="s">
        <v>7499</v>
      </c>
      <c r="R75">
        <v>2022</v>
      </c>
      <c r="S75" t="s">
        <v>6962</v>
      </c>
      <c r="T75" t="s">
        <v>244</v>
      </c>
      <c r="U75">
        <v>1</v>
      </c>
      <c r="V75">
        <v>1</v>
      </c>
      <c r="W75">
        <v>0</v>
      </c>
      <c r="Z75" t="s">
        <v>65</v>
      </c>
      <c r="AA75" t="s">
        <v>247</v>
      </c>
      <c r="AB75">
        <v>17.3</v>
      </c>
      <c r="AC75">
        <v>26.4</v>
      </c>
      <c r="AF75" t="s">
        <v>1389</v>
      </c>
      <c r="AS75">
        <v>6</v>
      </c>
      <c r="AT75">
        <v>31</v>
      </c>
      <c r="AU75">
        <v>5</v>
      </c>
      <c r="AV75">
        <v>1</v>
      </c>
      <c r="AW75">
        <v>2</v>
      </c>
      <c r="AX75" t="s">
        <v>7595</v>
      </c>
      <c r="AY75" t="s">
        <v>77</v>
      </c>
      <c r="AZ75" t="s">
        <v>2628</v>
      </c>
      <c r="BB75" t="s">
        <v>2627</v>
      </c>
      <c r="BE75" t="s">
        <v>6739</v>
      </c>
      <c r="BF75" t="s">
        <v>2674</v>
      </c>
      <c r="BG75" t="s">
        <v>7563</v>
      </c>
      <c r="BH75" t="s">
        <v>7555</v>
      </c>
      <c r="BI75" t="s">
        <v>7595</v>
      </c>
    </row>
    <row r="76" spans="1:61" x14ac:dyDescent="0.4">
      <c r="A76">
        <v>75</v>
      </c>
      <c r="B76" t="s">
        <v>6624</v>
      </c>
      <c r="C76" t="s">
        <v>1534</v>
      </c>
      <c r="D76">
        <v>1</v>
      </c>
      <c r="E76">
        <v>1</v>
      </c>
      <c r="F76">
        <v>0</v>
      </c>
      <c r="G76">
        <v>1</v>
      </c>
      <c r="H76">
        <v>0</v>
      </c>
      <c r="I76">
        <v>0</v>
      </c>
      <c r="J76" t="s">
        <v>6051</v>
      </c>
      <c r="K76" t="s">
        <v>7519</v>
      </c>
      <c r="L76" t="s">
        <v>6726</v>
      </c>
      <c r="M76" t="s">
        <v>6596</v>
      </c>
      <c r="N76" t="s">
        <v>7500</v>
      </c>
      <c r="R76">
        <v>2019</v>
      </c>
      <c r="S76" t="s">
        <v>6962</v>
      </c>
      <c r="T76" t="s">
        <v>244</v>
      </c>
      <c r="U76">
        <v>1</v>
      </c>
      <c r="V76">
        <v>1</v>
      </c>
      <c r="W76">
        <v>0</v>
      </c>
      <c r="Z76" t="s">
        <v>65</v>
      </c>
      <c r="AA76" t="s">
        <v>247</v>
      </c>
      <c r="AB76">
        <v>12.6</v>
      </c>
      <c r="AC76">
        <v>20.399999999999999</v>
      </c>
      <c r="AF76" t="s">
        <v>1389</v>
      </c>
      <c r="AS76">
        <v>6</v>
      </c>
      <c r="AT76">
        <v>31</v>
      </c>
      <c r="AU76">
        <v>5</v>
      </c>
      <c r="AV76">
        <v>1</v>
      </c>
      <c r="AW76">
        <v>2</v>
      </c>
      <c r="AX76" t="s">
        <v>7596</v>
      </c>
      <c r="AY76" t="s">
        <v>77</v>
      </c>
      <c r="AZ76" t="s">
        <v>2628</v>
      </c>
      <c r="BB76" t="s">
        <v>2627</v>
      </c>
      <c r="BE76" t="s">
        <v>6739</v>
      </c>
      <c r="BF76" t="s">
        <v>2674</v>
      </c>
      <c r="BG76" t="s">
        <v>7564</v>
      </c>
      <c r="BH76" t="s">
        <v>7556</v>
      </c>
      <c r="BI76" t="s">
        <v>7596</v>
      </c>
    </row>
    <row r="77" spans="1:61" x14ac:dyDescent="0.4">
      <c r="A77">
        <v>76</v>
      </c>
      <c r="B77" t="s">
        <v>6054</v>
      </c>
      <c r="C77" t="s">
        <v>1534</v>
      </c>
      <c r="D77">
        <v>1</v>
      </c>
      <c r="E77">
        <v>1</v>
      </c>
      <c r="F77">
        <v>0</v>
      </c>
      <c r="G77">
        <v>1</v>
      </c>
      <c r="H77">
        <v>0</v>
      </c>
      <c r="I77">
        <v>0</v>
      </c>
      <c r="J77" t="s">
        <v>6052</v>
      </c>
      <c r="K77" t="s">
        <v>6741</v>
      </c>
      <c r="L77" t="s">
        <v>6728</v>
      </c>
      <c r="M77" t="s">
        <v>6594</v>
      </c>
      <c r="N77" t="s">
        <v>6736</v>
      </c>
      <c r="R77">
        <v>2020</v>
      </c>
      <c r="S77" t="s">
        <v>6962</v>
      </c>
      <c r="T77" t="s">
        <v>244</v>
      </c>
      <c r="U77">
        <v>1</v>
      </c>
      <c r="V77">
        <v>1</v>
      </c>
      <c r="W77">
        <v>0</v>
      </c>
      <c r="Z77" t="s">
        <v>65</v>
      </c>
      <c r="AA77" t="s">
        <v>247</v>
      </c>
      <c r="AB77">
        <v>2.6</v>
      </c>
      <c r="AC77">
        <v>18.8</v>
      </c>
      <c r="AF77" t="s">
        <v>1389</v>
      </c>
      <c r="AS77">
        <v>6</v>
      </c>
      <c r="AT77">
        <v>31</v>
      </c>
      <c r="AU77">
        <v>5</v>
      </c>
      <c r="AV77">
        <v>1</v>
      </c>
      <c r="AW77">
        <v>2</v>
      </c>
      <c r="AX77" t="s">
        <v>7597</v>
      </c>
      <c r="AY77" t="s">
        <v>77</v>
      </c>
      <c r="AZ77" t="s">
        <v>2628</v>
      </c>
      <c r="BB77" t="s">
        <v>2627</v>
      </c>
      <c r="BE77" t="s">
        <v>6742</v>
      </c>
      <c r="BF77" t="s">
        <v>2674</v>
      </c>
      <c r="BG77" t="s">
        <v>7552</v>
      </c>
      <c r="BH77" t="s">
        <v>6928</v>
      </c>
      <c r="BI77" t="s">
        <v>7597</v>
      </c>
    </row>
    <row r="78" spans="1:61" x14ac:dyDescent="0.4">
      <c r="A78">
        <v>77</v>
      </c>
      <c r="B78" t="s">
        <v>1535</v>
      </c>
      <c r="C78" t="s">
        <v>1534</v>
      </c>
      <c r="D78">
        <v>1</v>
      </c>
      <c r="E78">
        <v>1</v>
      </c>
      <c r="F78">
        <v>0</v>
      </c>
      <c r="G78">
        <v>1</v>
      </c>
      <c r="H78">
        <v>0</v>
      </c>
      <c r="I78">
        <v>0</v>
      </c>
      <c r="J78" t="s">
        <v>6053</v>
      </c>
      <c r="K78" t="s">
        <v>2629</v>
      </c>
      <c r="L78" t="s">
        <v>2670</v>
      </c>
      <c r="M78" t="s">
        <v>6933</v>
      </c>
      <c r="N78" t="s">
        <v>2677</v>
      </c>
      <c r="Q78" t="s">
        <v>2527</v>
      </c>
      <c r="R78">
        <v>2024</v>
      </c>
      <c r="S78" t="s">
        <v>6964</v>
      </c>
      <c r="T78" t="s">
        <v>244</v>
      </c>
      <c r="U78">
        <v>0</v>
      </c>
      <c r="V78">
        <v>0</v>
      </c>
      <c r="W78">
        <v>50000</v>
      </c>
      <c r="Z78" t="s">
        <v>65</v>
      </c>
      <c r="AA78" t="s">
        <v>247</v>
      </c>
      <c r="AB78">
        <v>498715</v>
      </c>
      <c r="AC78">
        <v>33332691</v>
      </c>
      <c r="AF78" t="s">
        <v>1389</v>
      </c>
      <c r="AS78">
        <v>6</v>
      </c>
      <c r="AT78">
        <v>31</v>
      </c>
      <c r="AU78">
        <v>5</v>
      </c>
      <c r="AV78">
        <v>1</v>
      </c>
      <c r="AW78">
        <v>2</v>
      </c>
      <c r="AX78" t="s">
        <v>7598</v>
      </c>
      <c r="AY78" t="s">
        <v>2488</v>
      </c>
      <c r="AZ78" t="s">
        <v>2628</v>
      </c>
      <c r="BB78" t="s">
        <v>2627</v>
      </c>
      <c r="BE78" t="s">
        <v>2671</v>
      </c>
      <c r="BF78" t="s">
        <v>2674</v>
      </c>
      <c r="BG78" t="s">
        <v>6950</v>
      </c>
      <c r="BH78" t="s">
        <v>2678</v>
      </c>
      <c r="BI78" t="s">
        <v>7598</v>
      </c>
    </row>
    <row r="79" spans="1:61" x14ac:dyDescent="0.4">
      <c r="A79">
        <v>78</v>
      </c>
      <c r="B79" t="s">
        <v>6053</v>
      </c>
      <c r="C79" t="s">
        <v>1534</v>
      </c>
      <c r="D79">
        <v>1</v>
      </c>
      <c r="E79">
        <v>1</v>
      </c>
      <c r="F79">
        <v>0</v>
      </c>
      <c r="G79">
        <v>1</v>
      </c>
      <c r="H79">
        <v>0</v>
      </c>
      <c r="I79">
        <v>0</v>
      </c>
      <c r="J79" t="s">
        <v>6054</v>
      </c>
      <c r="K79" t="s">
        <v>6062</v>
      </c>
      <c r="L79" t="s">
        <v>6727</v>
      </c>
      <c r="M79" t="s">
        <v>6594</v>
      </c>
      <c r="N79" t="s">
        <v>6735</v>
      </c>
      <c r="R79">
        <v>2022</v>
      </c>
      <c r="S79" t="s">
        <v>6962</v>
      </c>
      <c r="T79" t="s">
        <v>244</v>
      </c>
      <c r="U79">
        <v>1</v>
      </c>
      <c r="V79">
        <v>1</v>
      </c>
      <c r="W79">
        <v>0</v>
      </c>
      <c r="Z79" t="s">
        <v>65</v>
      </c>
      <c r="AA79" t="s">
        <v>247</v>
      </c>
      <c r="AB79">
        <v>1027.5999999999999</v>
      </c>
      <c r="AC79">
        <v>82807.600000000006</v>
      </c>
      <c r="AF79" t="s">
        <v>1389</v>
      </c>
      <c r="AS79">
        <v>6</v>
      </c>
      <c r="AT79">
        <v>31</v>
      </c>
      <c r="AU79">
        <v>5</v>
      </c>
      <c r="AV79">
        <v>1</v>
      </c>
      <c r="AW79">
        <v>2</v>
      </c>
      <c r="AX79" t="s">
        <v>7599</v>
      </c>
      <c r="AY79" t="s">
        <v>77</v>
      </c>
      <c r="AZ79" t="s">
        <v>2628</v>
      </c>
      <c r="BB79" t="s">
        <v>2627</v>
      </c>
      <c r="BE79" t="s">
        <v>6740</v>
      </c>
      <c r="BF79" t="s">
        <v>2674</v>
      </c>
      <c r="BG79" t="s">
        <v>6926</v>
      </c>
      <c r="BH79" t="s">
        <v>6927</v>
      </c>
      <c r="BI79" t="s">
        <v>7599</v>
      </c>
    </row>
  </sheetData>
  <pageMargins left="0.7" right="0.7" top="0.75" bottom="0.75" header="0.3" footer="0.3"/>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BE610-9852-4415-81E9-FAD6C4A1B09D}">
  <sheetPr codeName="Sheet33">
    <tabColor rgb="FF7030A0"/>
  </sheetPr>
  <dimension ref="A1:AW144"/>
  <sheetViews>
    <sheetView topLeftCell="C77" workbookViewId="0">
      <selection activeCell="AO95" sqref="AO95:AP144"/>
    </sheetView>
  </sheetViews>
  <sheetFormatPr defaultColWidth="9.15234375" defaultRowHeight="14.6" x14ac:dyDescent="0.4"/>
  <cols>
    <col min="1" max="1" width="18.53515625" customWidth="1"/>
    <col min="6" max="6" width="8.53515625" customWidth="1"/>
    <col min="7" max="7" width="4.3046875" customWidth="1"/>
    <col min="8" max="8" width="2.69140625" customWidth="1"/>
    <col min="9" max="9" width="4.53515625" customWidth="1"/>
    <col min="10" max="11" width="2.69140625" customWidth="1"/>
    <col min="12" max="12" width="3.69140625" customWidth="1"/>
    <col min="13" max="13" width="2.69140625" customWidth="1"/>
    <col min="14" max="14" width="6.3828125" customWidth="1"/>
    <col min="15" max="15" width="4" customWidth="1"/>
    <col min="16" max="16" width="2.69140625" customWidth="1"/>
    <col min="17" max="17" width="6" customWidth="1"/>
    <col min="18" max="18" width="5.84375" customWidth="1"/>
    <col min="19" max="20" width="2.69140625" customWidth="1"/>
    <col min="21" max="21" width="7.69140625" customWidth="1"/>
    <col min="22" max="22" width="5.3046875" customWidth="1"/>
    <col min="23" max="29" width="2.69140625" customWidth="1"/>
    <col min="30" max="30" width="4.3046875" customWidth="1"/>
    <col min="31" max="31" width="4.3828125" customWidth="1"/>
    <col min="43" max="43" width="5.53515625" customWidth="1"/>
  </cols>
  <sheetData>
    <row r="1" spans="1:8" x14ac:dyDescent="0.4">
      <c r="B1" t="s">
        <v>233</v>
      </c>
      <c r="C1" t="s">
        <v>1</v>
      </c>
      <c r="D1" t="s">
        <v>15</v>
      </c>
      <c r="F1" t="s">
        <v>446</v>
      </c>
      <c r="H1" t="s">
        <v>35</v>
      </c>
    </row>
    <row r="2" spans="1:8" x14ac:dyDescent="0.4">
      <c r="A2" t="s">
        <v>234</v>
      </c>
      <c r="B2">
        <f ca="1">uxbGlobals!$B$577</f>
        <v>1</v>
      </c>
      <c r="C2" t="str">
        <f ca="1">uxbGlobals!$B$585</f>
        <v>OVERALL</v>
      </c>
      <c r="D2" t="str">
        <f ca="1">uxbGlobals!$B$588</f>
        <v>Score 0-100 where 100=most healthy environment</v>
      </c>
      <c r="F2">
        <f ca="1">uxbGlobals!$B$579</f>
        <v>0</v>
      </c>
      <c r="G2" t="str">
        <f ca="1">CONCATENATE(C2,": ",D2)</f>
        <v>OVERALL: Score 0-100 where 100=most healthy environment</v>
      </c>
      <c r="H2">
        <f ca="1">uxbGlobals!$B$578</f>
        <v>0</v>
      </c>
    </row>
    <row r="3" spans="1:8" x14ac:dyDescent="0.4">
      <c r="A3" t="s">
        <v>235</v>
      </c>
      <c r="B3">
        <f ca="1">uxbGlobals!$B$602</f>
        <v>2</v>
      </c>
      <c r="C3" t="str">
        <f ca="1">uxbGlobals!$B$610</f>
        <v>SOCIAL DETERMINANTS</v>
      </c>
      <c r="D3" t="str">
        <f ca="1">uxbGlobals!$B$613</f>
        <v>Score 0-100 where 100=most healthy environment</v>
      </c>
      <c r="F3">
        <f ca="1">uxbGlobals!$B$579</f>
        <v>0</v>
      </c>
      <c r="G3" t="str">
        <f ca="1">CONCATENATE(C3,": ",D3)</f>
        <v>SOCIAL DETERMINANTS: Score 0-100 where 100=most healthy environment</v>
      </c>
      <c r="H3">
        <f ca="1">uxbGlobals!$B$603</f>
        <v>0</v>
      </c>
    </row>
    <row r="4" spans="1:8" x14ac:dyDescent="0.4">
      <c r="A4" t="s">
        <v>447</v>
      </c>
      <c r="B4">
        <f>uxbGlobals!$B$387</f>
        <v>0</v>
      </c>
    </row>
    <row r="5" spans="1:8" x14ac:dyDescent="0.4">
      <c r="A5" t="s">
        <v>448</v>
      </c>
      <c r="B5" t="b">
        <v>1</v>
      </c>
    </row>
    <row r="6" spans="1:8" x14ac:dyDescent="0.4">
      <c r="A6" t="s">
        <v>449</v>
      </c>
      <c r="B6" t="b">
        <v>0</v>
      </c>
    </row>
    <row r="8" spans="1:8" x14ac:dyDescent="0.4">
      <c r="A8" t="s">
        <v>237</v>
      </c>
      <c r="B8">
        <f>uxbGlobals!$B$321</f>
        <v>1</v>
      </c>
    </row>
    <row r="9" spans="1:8" x14ac:dyDescent="0.4">
      <c r="A9" t="s">
        <v>1175</v>
      </c>
      <c r="B9" t="str">
        <f>uxbGlobals!$B$389</f>
        <v>XXX</v>
      </c>
    </row>
    <row r="11" spans="1:8" x14ac:dyDescent="0.4">
      <c r="A11" t="s">
        <v>262</v>
      </c>
    </row>
    <row r="12" spans="1:8" x14ac:dyDescent="0.4">
      <c r="A12" t="s">
        <v>450</v>
      </c>
      <c r="B12" t="str">
        <f ca="1">C2</f>
        <v>OVERALL</v>
      </c>
    </row>
    <row r="13" spans="1:8" x14ac:dyDescent="0.4">
      <c r="A13" t="s">
        <v>451</v>
      </c>
      <c r="B13" t="str">
        <f ca="1">C3</f>
        <v>SOCIAL DETERMINANTS</v>
      </c>
    </row>
    <row r="14" spans="1:8" x14ac:dyDescent="0.4">
      <c r="A14" t="s">
        <v>452</v>
      </c>
      <c r="B14" t="str">
        <f ca="1">CONCATENATE(B12,"  ↔ ",B13, " ")</f>
        <v xml:space="preserve">OVERALL  ↔ SOCIAL DETERMINANTS </v>
      </c>
    </row>
    <row r="15" spans="1:8" x14ac:dyDescent="0.4">
      <c r="A15" t="s">
        <v>453</v>
      </c>
      <c r="B15" t="str">
        <f ca="1">CONCATENATE(C2,", ",D2)</f>
        <v>OVERALL, Score 0-100 where 100=most healthy environment</v>
      </c>
    </row>
    <row r="16" spans="1:8" x14ac:dyDescent="0.4">
      <c r="A16" t="s">
        <v>454</v>
      </c>
      <c r="B16" t="str">
        <f ca="1">CONCATENATE(C3,", ",D3)</f>
        <v>SOCIAL DETERMINANTS, Score 0-100 where 100=most healthy environment</v>
      </c>
    </row>
    <row r="17" spans="1:2" x14ac:dyDescent="0.4">
      <c r="A17" t="s">
        <v>1028</v>
      </c>
      <c r="B17" t="str">
        <f ca="1">CONCATENATE(B12,CHAR(10),"&lt;---- BELOW AVERAGE          -          ABOVE AVERAGE ----&gt;")</f>
        <v>OVERALL
&lt;---- BELOW AVERAGE          -          ABOVE AVERAGE ----&gt;</v>
      </c>
    </row>
    <row r="18" spans="1:2" x14ac:dyDescent="0.4">
      <c r="A18" t="s">
        <v>1152</v>
      </c>
      <c r="B18" t="str">
        <f ca="1">IF($H$2=1,"higher value","better environment")</f>
        <v>better environment</v>
      </c>
    </row>
    <row r="19" spans="1:2" x14ac:dyDescent="0.4">
      <c r="A19" t="s">
        <v>1029</v>
      </c>
      <c r="B19" t="str">
        <f ca="1">CONCATENATE(B12,CHAR(10),"          ",B18," ---------&gt;")</f>
        <v>OVERALL
          better environment ---------&gt;</v>
      </c>
    </row>
    <row r="20" spans="1:2" x14ac:dyDescent="0.4">
      <c r="A20" t="s">
        <v>1030</v>
      </c>
      <c r="B20" t="str">
        <f ca="1">CONCATENATE(B13,CHAR(10),"&lt;---- BELOW AVERAGE          -          ABOVE AVERAGE ----&gt;")</f>
        <v>SOCIAL DETERMINANTS
&lt;---- BELOW AVERAGE          -          ABOVE AVERAGE ----&gt;</v>
      </c>
    </row>
    <row r="21" spans="1:2" x14ac:dyDescent="0.4">
      <c r="A21" t="s">
        <v>1153</v>
      </c>
      <c r="B21" t="str">
        <f ca="1">IF($H$3=1,"higher value","better environment")</f>
        <v>better environment</v>
      </c>
    </row>
    <row r="22" spans="1:2" x14ac:dyDescent="0.4">
      <c r="A22" t="s">
        <v>1031</v>
      </c>
      <c r="B22" t="str">
        <f ca="1">CONCATENATE(B13,CHAR(10),"          ",B21," ---------&gt;")</f>
        <v>SOCIAL DETERMINANTS
          better environment ---------&gt;</v>
      </c>
    </row>
    <row r="26" spans="1:2" x14ac:dyDescent="0.4">
      <c r="A26" t="s">
        <v>665</v>
      </c>
      <c r="B26">
        <f>uxbGlobals!$B$224</f>
        <v>50</v>
      </c>
    </row>
    <row r="27" spans="1:2" x14ac:dyDescent="0.4">
      <c r="A27" t="s">
        <v>1306</v>
      </c>
      <c r="B27">
        <f>uxbGlobals!$B$352</f>
        <v>50</v>
      </c>
    </row>
    <row r="28" spans="1:2" x14ac:dyDescent="0.4">
      <c r="A28" t="s">
        <v>1262</v>
      </c>
      <c r="B28" t="str">
        <f>uxbGlobals!$B$180</f>
        <v>more healthy environment</v>
      </c>
    </row>
    <row r="30" spans="1:2" x14ac:dyDescent="0.4">
      <c r="A30" t="s">
        <v>1287</v>
      </c>
      <c r="B30" t="str">
        <f>CONCATENATE("          ",$B$28," ---------&gt;")</f>
        <v xml:space="preserve">          more healthy environment ---------&gt;</v>
      </c>
    </row>
    <row r="33" spans="1:2" x14ac:dyDescent="0.4">
      <c r="A33" t="s">
        <v>1265</v>
      </c>
      <c r="B33" t="str">
        <f>CONCATENATE("&lt;---- BELOW ",$B$27," COUNTRY AVERAGE          -          ABOVE ",$B$27," COUNTRY AVERAGE ----&gt;")</f>
        <v>&lt;---- BELOW 50 COUNTRY AVERAGE          -          ABOVE 50 COUNTRY AVERAGE ----&gt;</v>
      </c>
    </row>
    <row r="35" spans="1:2" x14ac:dyDescent="0.4">
      <c r="A35" t="s">
        <v>1163</v>
      </c>
      <c r="B35">
        <f>uxbGlobals!$B$564</f>
        <v>1</v>
      </c>
    </row>
    <row r="37" spans="1:2" x14ac:dyDescent="0.4">
      <c r="A37" t="s">
        <v>1263</v>
      </c>
      <c r="B37" t="str">
        <f ca="1">uxbGlobals!$B$585</f>
        <v>OVERALL</v>
      </c>
    </row>
    <row r="38" spans="1:2" x14ac:dyDescent="0.4">
      <c r="A38" t="s">
        <v>1264</v>
      </c>
      <c r="B38" t="str">
        <f ca="1">uxbGlobals!$B$610</f>
        <v>SOCIAL DETERMINANTS</v>
      </c>
    </row>
    <row r="40" spans="1:2" x14ac:dyDescent="0.4">
      <c r="A40" t="s">
        <v>1166</v>
      </c>
      <c r="B40">
        <f ca="1">uxbGlobals!$B$578</f>
        <v>0</v>
      </c>
    </row>
    <row r="41" spans="1:2" x14ac:dyDescent="0.4">
      <c r="A41" t="s">
        <v>1167</v>
      </c>
      <c r="B41">
        <f ca="1">uxbGlobals!$B$603</f>
        <v>0</v>
      </c>
    </row>
    <row r="43" spans="1:2" x14ac:dyDescent="0.4">
      <c r="A43" t="s">
        <v>1190</v>
      </c>
      <c r="B43" t="str">
        <f>CHOOSE($B$35,"SCORE",IF($B40=1,"DATA","SCORE"),"Z-SCORE")</f>
        <v>SCORE</v>
      </c>
    </row>
    <row r="44" spans="1:2" x14ac:dyDescent="0.4">
      <c r="A44" t="s">
        <v>1191</v>
      </c>
      <c r="B44" t="str">
        <f>CHOOSE($B$35,"SCORE",IF($B41=1,"DATA","SCORE"),"Z-SCORE")</f>
        <v>SCORE</v>
      </c>
    </row>
    <row r="46" spans="1:2" x14ac:dyDescent="0.4">
      <c r="A46" t="s">
        <v>2666</v>
      </c>
      <c r="B46">
        <f ca="1">uxbGlobals!$B$599</f>
        <v>0</v>
      </c>
    </row>
    <row r="47" spans="1:2" x14ac:dyDescent="0.4">
      <c r="A47" t="s">
        <v>2667</v>
      </c>
      <c r="B47">
        <f ca="1">uxbGlobals!$B$624</f>
        <v>0</v>
      </c>
    </row>
    <row r="49" spans="1:2" x14ac:dyDescent="0.4">
      <c r="A49" t="s">
        <v>1199</v>
      </c>
      <c r="B49">
        <f ca="1">IF(uxbGlobals!$B$592=2,0,1)</f>
        <v>1</v>
      </c>
    </row>
    <row r="50" spans="1:2" x14ac:dyDescent="0.4">
      <c r="A50" t="s">
        <v>1200</v>
      </c>
      <c r="B50">
        <f ca="1">IF(uxbGlobals!$B$617=2,0,1)</f>
        <v>1</v>
      </c>
    </row>
    <row r="52" spans="1:2" x14ac:dyDescent="0.4">
      <c r="A52" t="s">
        <v>1267</v>
      </c>
      <c r="B52" t="str">
        <f ca="1">IF($B$46=1,"",IF($B$49=0,CONCATENATE("&lt;------- ",$B$28,"                    "),CONCATENATE("                    ",$B$28," --------&gt;")))</f>
        <v xml:space="preserve">                    more healthy environment --------&gt;</v>
      </c>
    </row>
    <row r="53" spans="1:2" x14ac:dyDescent="0.4">
      <c r="A53" t="s">
        <v>1268</v>
      </c>
      <c r="B53" t="str">
        <f ca="1">IF($B$47=1,"",IF($B$50=0,CONCATENATE("&lt;------- ",$B$28,"                    "),CONCATENATE("                    ",$B$28," --------&gt;")))</f>
        <v xml:space="preserve">                    more healthy environment --------&gt;</v>
      </c>
    </row>
    <row r="55" spans="1:2" x14ac:dyDescent="0.4">
      <c r="A55" t="s">
        <v>1566</v>
      </c>
      <c r="B55" t="str" cm="1">
        <f t="array" aca="1" ref="B55" ca="1">INDEX(auto_Series_Code,$B$2)</f>
        <v>OVERALL</v>
      </c>
    </row>
    <row r="56" spans="1:2" x14ac:dyDescent="0.4">
      <c r="A56" t="s">
        <v>1564</v>
      </c>
      <c r="B56">
        <f ca="1">IF(LEFT(B55,2)="BG",1,0)</f>
        <v>0</v>
      </c>
    </row>
    <row r="57" spans="1:2" x14ac:dyDescent="0.4">
      <c r="A57" t="s">
        <v>1194</v>
      </c>
      <c r="B57" t="str">
        <f ca="1">IF($B$43="SCORE",IF(B56=1,"Score 0-100 where 100=highest data value",uxbGlobals!$B$202),IF($B$43="DATA",IF(iScatter!$B$40=0,uxbGlobals!$B$202,uxbGlobals!$B$588),IF($B$43="Z-SCORE","Z-score calculated on normalised scores")))</f>
        <v>Score 0-100 where 100=most healthy environment</v>
      </c>
    </row>
    <row r="58" spans="1:2" x14ac:dyDescent="0.4">
      <c r="A58" t="s">
        <v>1195</v>
      </c>
      <c r="B58" t="str">
        <f ca="1">IF($B$46=1,"",IF(B56=1,"",IF($B$43="SCORE","",IF($B$43="DATA",IF($B$40=0,"",CONCATENATE(IF($B$49=1,"Higher values represent ","LOWER values represent "),uxbGlobals!$B$180)),IF($B$43="Z-SCORE",CONCATENATE("Values above zero represent ",uxbGlobals!$B$182))))))</f>
        <v/>
      </c>
    </row>
    <row r="59" spans="1:2" x14ac:dyDescent="0.4">
      <c r="A59" t="s">
        <v>1261</v>
      </c>
      <c r="B59" t="str">
        <f ca="1">CONCATENATE($B$37,CHAR(10),$B$60)</f>
        <v>OVERALL
          more healthy environment ---------&gt;</v>
      </c>
    </row>
    <row r="60" spans="1:2" x14ac:dyDescent="0.4">
      <c r="A60" t="s">
        <v>1286</v>
      </c>
      <c r="B60" t="str">
        <f ca="1">IF(B56=1,"",IF($B$43="SCORE",$B$30,IF($B$43="DATA",$B$52,IF($B$43="Z-SCORE",$B$33))))</f>
        <v xml:space="preserve">          more healthy environment ---------&gt;</v>
      </c>
    </row>
    <row r="62" spans="1:2" x14ac:dyDescent="0.4">
      <c r="A62" t="s">
        <v>1565</v>
      </c>
      <c r="B62" t="str" cm="1">
        <f t="array" aca="1" ref="B62" ca="1">INDEX(auto_Series_Code,$B$3)</f>
        <v>DOMAIN_001</v>
      </c>
    </row>
    <row r="63" spans="1:2" x14ac:dyDescent="0.4">
      <c r="A63" t="s">
        <v>1564</v>
      </c>
      <c r="B63">
        <f ca="1">IF(LEFT(B62,2)="BG",1,0)</f>
        <v>0</v>
      </c>
    </row>
    <row r="64" spans="1:2" x14ac:dyDescent="0.4">
      <c r="A64" t="s">
        <v>1201</v>
      </c>
      <c r="B64" t="str">
        <f ca="1">IF($B$44="SCORE",IF(B63=1,"Score 0-100 where 100=highest data value",uxbGlobals!$B$202),IF($B$44="DATA",IF(iScatter!$B$41=0,uxbGlobals!$B$202,uxbGlobals!$B$613),IF($B$44="Z-SCORE","Z-score calculated on normalised scores")))</f>
        <v>Score 0-100 where 100=most healthy environment</v>
      </c>
    </row>
    <row r="65" spans="1:3" x14ac:dyDescent="0.4">
      <c r="A65" t="s">
        <v>1202</v>
      </c>
      <c r="B65" t="str">
        <f ca="1">IF($B$47=1,"",IF(B63=1,"",IF($B$44="SCORE","",IF($B$44="DATA",IF($B$41=0,"",CONCATENATE(IF($B$50=1,"Higher values represent ","LOWER values represent "),uxbGlobals!$B$180)),IF($B$44="Z-SCORE",CONCATENATE("Values above zero represent ",uxbGlobals!$B$182))))))</f>
        <v/>
      </c>
    </row>
    <row r="66" spans="1:3" x14ac:dyDescent="0.4">
      <c r="A66" t="s">
        <v>1266</v>
      </c>
      <c r="B66" t="str">
        <f ca="1">CONCATENATE($B$38,CHAR(10),$B$67)</f>
        <v>SOCIAL DETERMINANTS
          more healthy environment ---------&gt;</v>
      </c>
    </row>
    <row r="67" spans="1:3" x14ac:dyDescent="0.4">
      <c r="A67" t="s">
        <v>1288</v>
      </c>
      <c r="B67" t="str">
        <f ca="1">IF(B63=1,"",IF($B$44="SCORE",$B$30,IF($B$44="DATA",$B$53,IF($B$44="Z-SCORE",$B$33))))</f>
        <v xml:space="preserve">          more healthy environment ---------&gt;</v>
      </c>
    </row>
    <row r="70" spans="1:3" x14ac:dyDescent="0.4">
      <c r="A70" t="s">
        <v>1183</v>
      </c>
      <c r="B70">
        <f ca="1">MAX(OFFSET($X$95,0,0,$B$26,1))</f>
        <v>83.2</v>
      </c>
    </row>
    <row r="71" spans="1:3" x14ac:dyDescent="0.4">
      <c r="A71" t="s">
        <v>1186</v>
      </c>
      <c r="B71">
        <f ca="1">MAX(OFFSET($U$95,0,0,$B$26,1))</f>
        <v>83.2</v>
      </c>
    </row>
    <row r="72" spans="1:3" x14ac:dyDescent="0.4">
      <c r="A72" t="s">
        <v>1187</v>
      </c>
      <c r="B72">
        <f ca="1">MIN(OFFSET($U$95,0,0,$B$26,1))</f>
        <v>40.6</v>
      </c>
    </row>
    <row r="73" spans="1:3" x14ac:dyDescent="0.4">
      <c r="A73" t="s">
        <v>1188</v>
      </c>
      <c r="B73">
        <f ca="1">MAX(OFFSET($V$95,0,0,$B$26,1))</f>
        <v>89.9</v>
      </c>
    </row>
    <row r="74" spans="1:3" x14ac:dyDescent="0.4">
      <c r="A74" t="s">
        <v>1189</v>
      </c>
      <c r="B74">
        <f ca="1">MIN(OFFSET($V$95,0,0,$B$26,1))</f>
        <v>34.200000000000003</v>
      </c>
    </row>
    <row r="75" spans="1:3" x14ac:dyDescent="0.4">
      <c r="A75" t="s">
        <v>1561</v>
      </c>
      <c r="B75">
        <f ca="1">MAX(OFFSET($X$95,0,0,$B$26,1))</f>
        <v>83.2</v>
      </c>
    </row>
    <row r="76" spans="1:3" x14ac:dyDescent="0.4">
      <c r="A76" t="s">
        <v>1560</v>
      </c>
      <c r="B76">
        <f ca="1">MAX(OFFSET($Y$95,0,0,$B$26,1))</f>
        <v>89.9</v>
      </c>
    </row>
    <row r="78" spans="1:3" x14ac:dyDescent="0.4">
      <c r="A78" t="s">
        <v>1184</v>
      </c>
      <c r="B78">
        <f>IF($B$43="SCORE",0,IF($B$43="DATA",$B$75,-$B$70))</f>
        <v>0</v>
      </c>
      <c r="C78">
        <f>IF($B$43="SCORE",100,IF($B$43="DATA",-$B$75,$B$70))</f>
        <v>100</v>
      </c>
    </row>
    <row r="79" spans="1:3" x14ac:dyDescent="0.4">
      <c r="A79" t="s">
        <v>1185</v>
      </c>
      <c r="B79">
        <f>IF($B$44="SCORE",0,IF($B$44="DATA",$B$76,-$B$70))</f>
        <v>0</v>
      </c>
      <c r="C79">
        <f>IF($B$44="SCORE",100,IF($B$44="DATA",-$B$76,$B$70))</f>
        <v>100</v>
      </c>
    </row>
    <row r="81" spans="1:49" x14ac:dyDescent="0.4">
      <c r="A81" t="s">
        <v>1176</v>
      </c>
      <c r="B81">
        <f>uxbGlobals!$B$387</f>
        <v>0</v>
      </c>
    </row>
    <row r="82" spans="1:49" x14ac:dyDescent="0.4">
      <c r="A82" t="s">
        <v>1177</v>
      </c>
      <c r="B82" t="e" cm="1">
        <f t="array" aca="1" ref="B82" ca="1">IF($B$81=0,NA(),INDEX(OFFSET($U$95,0,0,$B$26,1),$B$81))</f>
        <v>#N/A</v>
      </c>
    </row>
    <row r="83" spans="1:49" x14ac:dyDescent="0.4">
      <c r="A83" t="s">
        <v>1178</v>
      </c>
      <c r="B83" t="e" cm="1">
        <f t="array" aca="1" ref="B83" ca="1">IF($B$81=0,NA(),INDEX(OFFSET($V$95,0,0,$B$26,1),$B$81))</f>
        <v>#N/A</v>
      </c>
    </row>
    <row r="85" spans="1:49" x14ac:dyDescent="0.4">
      <c r="A85" t="s">
        <v>455</v>
      </c>
      <c r="B85">
        <f ca="1">SLOPE(OFFSET($N$95,0,0,$B$26,1),OFFSET($O$95,0,0,$B$26,1))</f>
        <v>0.61000626798090174</v>
      </c>
    </row>
    <row r="86" spans="1:49" x14ac:dyDescent="0.4">
      <c r="A86" t="s">
        <v>456</v>
      </c>
      <c r="B86">
        <f ca="1">INTERCEPT(OFFSET($N$95,0,0,$B$26,1),OFFSET($O$95,0,0,$B$26,1))</f>
        <v>19.712401517128029</v>
      </c>
    </row>
    <row r="87" spans="1:49" x14ac:dyDescent="0.4">
      <c r="A87" t="s">
        <v>457</v>
      </c>
      <c r="B87">
        <f ca="1">CORREL(OFFSET($N$95,0,0,$B$26,1),OFFSET($O$95,0,0,$B$26,1))</f>
        <v>0.8083558973065319</v>
      </c>
    </row>
    <row r="88" spans="1:49" x14ac:dyDescent="0.4">
      <c r="A88" t="s">
        <v>458</v>
      </c>
      <c r="B88" t="b">
        <f ca="1">IF(ISERROR(B87),FALSE,TRUE)</f>
        <v>1</v>
      </c>
    </row>
    <row r="91" spans="1:49" x14ac:dyDescent="0.4">
      <c r="U91" t="s">
        <v>1180</v>
      </c>
      <c r="AF91" t="s">
        <v>302</v>
      </c>
      <c r="AJ91" t="s">
        <v>1305</v>
      </c>
      <c r="AQ91" t="s">
        <v>2679</v>
      </c>
      <c r="AT91" t="s">
        <v>7494</v>
      </c>
    </row>
    <row r="92" spans="1:49" x14ac:dyDescent="0.4">
      <c r="E92" t="s">
        <v>1302</v>
      </c>
      <c r="U92" t="s">
        <v>1181</v>
      </c>
      <c r="X92" t="s">
        <v>1182</v>
      </c>
      <c r="AF92" t="s">
        <v>1298</v>
      </c>
    </row>
    <row r="93" spans="1:49" x14ac:dyDescent="0.4">
      <c r="F93" t="s">
        <v>1247</v>
      </c>
      <c r="N93" t="s">
        <v>1170</v>
      </c>
      <c r="Q93" t="s">
        <v>1297</v>
      </c>
      <c r="U93" t="s">
        <v>1246</v>
      </c>
      <c r="AB93" t="s">
        <v>1172</v>
      </c>
      <c r="AF93" t="s">
        <v>1299</v>
      </c>
    </row>
    <row r="94" spans="1:49" x14ac:dyDescent="0.4">
      <c r="A94" t="s">
        <v>1165</v>
      </c>
      <c r="D94" t="s">
        <v>1300</v>
      </c>
      <c r="E94" t="s">
        <v>1300</v>
      </c>
      <c r="F94" t="s">
        <v>1179</v>
      </c>
      <c r="H94" t="s">
        <v>1168</v>
      </c>
      <c r="I94" t="s">
        <v>1169</v>
      </c>
      <c r="K94" t="s">
        <v>164</v>
      </c>
      <c r="L94" t="s">
        <v>459</v>
      </c>
      <c r="N94" t="s">
        <v>164</v>
      </c>
      <c r="O94" t="s">
        <v>459</v>
      </c>
      <c r="Q94" t="s">
        <v>164</v>
      </c>
      <c r="R94" t="s">
        <v>459</v>
      </c>
      <c r="U94" t="s">
        <v>164</v>
      </c>
      <c r="V94" t="s">
        <v>459</v>
      </c>
      <c r="X94" t="s">
        <v>164</v>
      </c>
      <c r="Y94" t="s">
        <v>459</v>
      </c>
      <c r="AB94" t="s">
        <v>460</v>
      </c>
      <c r="AC94" t="s">
        <v>1173</v>
      </c>
      <c r="AF94" t="s">
        <v>1301</v>
      </c>
      <c r="AG94" t="s">
        <v>175</v>
      </c>
      <c r="AH94" t="s">
        <v>1303</v>
      </c>
      <c r="AI94" t="s">
        <v>1304</v>
      </c>
    </row>
    <row r="95" spans="1:49" x14ac:dyDescent="0.4">
      <c r="A95">
        <v>1</v>
      </c>
      <c r="B95" t="str" cm="1">
        <f t="array" ref="B95">SUBSTITUTE(INDEX(auto_Country_ISO,A95),"US-","")</f>
        <v>ADD</v>
      </c>
      <c r="C95" t="str" cm="1">
        <f t="array" ref="C95">INDEX(auto_ddCountry,A95)</f>
        <v>Addis Ababa</v>
      </c>
      <c r="D95" cm="1">
        <f t="array" ref="D95">INDEX(auto_Country_Status,A95)</f>
        <v>1</v>
      </c>
      <c r="E95">
        <f>D95</f>
        <v>1</v>
      </c>
      <c r="F95">
        <f>2</f>
        <v>2</v>
      </c>
      <c r="H95" cm="1">
        <f t="array" aca="1" ref="H95" ca="1">INDEX(sys_DataFlat_LU_Grid,$B$2,$A95)</f>
        <v>1</v>
      </c>
      <c r="I95" cm="1">
        <f t="array" aca="1" ref="I95" ca="1">INDEX(sys_DataFlat_LU_Grid,$B$3,$A95)</f>
        <v>61</v>
      </c>
      <c r="K95" cm="1">
        <f t="array" aca="1" ref="K95" ca="1">INDEX(IF($B$43="SCORE",auto_DataFlat_Score,IF($B$43="DATA",auto_DataFlat_DataValue,IF($B$43="Z-SCORE",auto_DataFlat_ZScore))),H95)</f>
        <v>49.6</v>
      </c>
      <c r="L95" cm="1">
        <f t="array" aca="1" ref="L95" ca="1">INDEX(IF($B$44="SCORE",auto_DataFlat_Score,IF($B$44="DATA",auto_DataFlat_DataValue,IF($B$44="Z-SCORE",auto_DataFlat_ZScore))),I95)</f>
        <v>65.900000000000006</v>
      </c>
      <c r="N95">
        <f ca="1">IF($AW95="EXCLUDE","",IF(AND(ISNUMBER(K95),ISNUMBER(L95)),K95,""))</f>
        <v>49.6</v>
      </c>
      <c r="O95">
        <f ca="1">IF($AW95="EXCLUDE","",IF(AND(ISNUMBER(K95),ISNUMBER(L95)),L95,""))</f>
        <v>65.900000000000006</v>
      </c>
      <c r="Q95">
        <f ca="1">IF($D95=0,"{filtered}",N95)</f>
        <v>49.6</v>
      </c>
      <c r="R95">
        <f ca="1">IF($D95=0,"{filtered}",O95)</f>
        <v>65.900000000000006</v>
      </c>
      <c r="U95">
        <f ca="1">IF(AND(ISNUMBER(Q95),ISNUMBER(R95)),Q95,NA())</f>
        <v>49.6</v>
      </c>
      <c r="V95">
        <f ca="1">IF(AND(ISNUMBER(Q95),ISNUMBER(R95)),R95,NA())</f>
        <v>65.900000000000006</v>
      </c>
      <c r="X95">
        <f ca="1">IFERROR(ABS(U95),"n/a")</f>
        <v>49.6</v>
      </c>
      <c r="Y95">
        <f ca="1">IFERROR(ABS(V95),"n/a")</f>
        <v>65.900000000000006</v>
      </c>
      <c r="AB95" t="str">
        <f t="shared" ref="AB95:AB96" si="0">B95</f>
        <v>ADD</v>
      </c>
      <c r="AC95">
        <f>IF(E95=3,1,IF(E95=2,2,0))</f>
        <v>0</v>
      </c>
      <c r="AF95">
        <f>IF(E95=0,0,1)</f>
        <v>1</v>
      </c>
      <c r="AG95">
        <f ca="1">RANK(AF95,OFFSET(AF$95,0,0,$B$26,1))+COUNTIF(AF$95:AF95,AF95)-1</f>
        <v>1</v>
      </c>
      <c r="AH95">
        <f ca="1">MATCH(A95,OFFSET(AG$95,0,0,$B$26,1),0)</f>
        <v>1</v>
      </c>
      <c r="AI95">
        <f ca="1">AH95</f>
        <v>1</v>
      </c>
      <c r="AJ95" cm="1">
        <f t="array" aca="1" ref="AJ95" ca="1">INDEX(auto_Country_Status,AI95)</f>
        <v>1</v>
      </c>
      <c r="AK95" t="str" cm="1">
        <f t="array" aca="1" ref="AK95" ca="1">IF($AJ95=0,"",INDEX(auto_Country_ISO,AI95))</f>
        <v>ADD</v>
      </c>
      <c r="AL95" t="str" cm="1">
        <f t="array" aca="1" ref="AL95" ca="1">IF($AJ95=0,"",INDEX(auto_ddCountry,AI95))</f>
        <v>Addis Ababa</v>
      </c>
      <c r="AM95" cm="1">
        <f t="array" aca="1" ref="AM95" ca="1">IF($AJ95=0,"",INDEX(OFFSET(Q$95,0,0,$B$26,1),AI95))</f>
        <v>49.6</v>
      </c>
      <c r="AN95" cm="1">
        <f t="array" aca="1" ref="AN95" ca="1">IF($AJ95=0,"",INDEX(OFFSET(R$95,0,0,$B$26,1),AI95))</f>
        <v>65.900000000000006</v>
      </c>
      <c r="AO95">
        <f ca="1">IF(AM95="","n/a",AM95)</f>
        <v>49.6</v>
      </c>
      <c r="AP95">
        <f ca="1">IF(AN95="","n/a",AN95)</f>
        <v>65.900000000000006</v>
      </c>
      <c r="AQ95" t="e">
        <f>IF($A95=$B$4,$B95,NA())</f>
        <v>#N/A</v>
      </c>
      <c r="AR95" t="e">
        <f>IF($A95=$B$4,$N95,NA())</f>
        <v>#N/A</v>
      </c>
      <c r="AS95" t="e">
        <f>IF($A95=$B$4,$O95,NA())</f>
        <v>#N/A</v>
      </c>
      <c r="AU95" t="str" cm="1">
        <f t="array" aca="1" ref="AU95" ca="1">IF(AND($H$2=1,NOT(ISNUMBER(INDEX(auto_DataFlat_DataValue,H95)))),"EXCLUDE","")</f>
        <v/>
      </c>
      <c r="AV95" t="str" cm="1">
        <f t="array" aca="1" ref="AV95" ca="1">IF(AND($H$3=1,NOT(ISNUMBER(INDEX(auto_DataFlat_DataValue,I95)))),"EXCLUDE","")</f>
        <v/>
      </c>
      <c r="AW95" t="str">
        <f ca="1">IF(OR(AU95="EXCLUDE",AV95="EXCLUDE"),"EXCLUDE","")</f>
        <v/>
      </c>
    </row>
    <row r="96" spans="1:49" x14ac:dyDescent="0.4">
      <c r="A96">
        <v>2</v>
      </c>
      <c r="B96" t="str" cm="1">
        <f t="array" ref="B96">SUBSTITUTE(INDEX(auto_Country_ISO,A96),"US-","")</f>
        <v>UAY</v>
      </c>
      <c r="C96" t="str" cm="1">
        <f t="array" ref="C96">INDEX(auto_ddCountry,A96)</f>
        <v>Algiers</v>
      </c>
      <c r="D96" cm="1">
        <f t="array" ref="D96">INDEX(auto_Country_Status,A96)</f>
        <v>1</v>
      </c>
      <c r="E96">
        <f t="shared" ref="E96:E97" si="1">D96</f>
        <v>1</v>
      </c>
      <c r="F96">
        <f>2</f>
        <v>2</v>
      </c>
      <c r="H96" cm="1">
        <f t="array" aca="1" ref="H96" ca="1">INDEX(sys_DataFlat_LU_Grid,$B$2,$A96)</f>
        <v>2</v>
      </c>
      <c r="I96" cm="1">
        <f t="array" aca="1" ref="I96" ca="1">INDEX(sys_DataFlat_LU_Grid,$B$3,$A96)</f>
        <v>62</v>
      </c>
      <c r="K96" cm="1">
        <f t="array" aca="1" ref="K96" ca="1">INDEX(IF($B$43="SCORE",auto_DataFlat_Score,IF($B$43="DATA",auto_DataFlat_DataValue,IF($B$43="Z-SCORE",auto_DataFlat_ZScore))),H96)</f>
        <v>41</v>
      </c>
      <c r="L96" cm="1">
        <f t="array" aca="1" ref="L96" ca="1">INDEX(IF($B$44="SCORE",auto_DataFlat_Score,IF($B$44="DATA",auto_DataFlat_DataValue,IF($B$44="Z-SCORE",auto_DataFlat_ZScore))),I96)</f>
        <v>54.3</v>
      </c>
      <c r="N96">
        <f t="shared" ref="N96:N97" ca="1" si="2">IF($AW96="EXCLUDE","",IF(AND(ISNUMBER(K96),ISNUMBER(L96)),K96,""))</f>
        <v>41</v>
      </c>
      <c r="O96">
        <f t="shared" ref="O96:O97" ca="1" si="3">IF($AW96="EXCLUDE","",IF(AND(ISNUMBER(K96),ISNUMBER(L96)),L96,""))</f>
        <v>54.3</v>
      </c>
      <c r="Q96">
        <f t="shared" ref="Q96:Q97" ca="1" si="4">IF($D96=0,"{filtered}",N96)</f>
        <v>41</v>
      </c>
      <c r="R96">
        <f t="shared" ref="R96:R97" ca="1" si="5">IF($D96=0,"{filtered}",O96)</f>
        <v>54.3</v>
      </c>
      <c r="U96">
        <f t="shared" ref="U96:U97" ca="1" si="6">IF(AND(ISNUMBER(Q96),ISNUMBER(R96)),Q96,NA())</f>
        <v>41</v>
      </c>
      <c r="V96">
        <f t="shared" ref="V96:V97" ca="1" si="7">IF(AND(ISNUMBER(Q96),ISNUMBER(R96)),R96,NA())</f>
        <v>54.3</v>
      </c>
      <c r="X96">
        <f t="shared" ref="X96:X97" ca="1" si="8">IFERROR(ABS(U96),"n/a")</f>
        <v>41</v>
      </c>
      <c r="Y96">
        <f t="shared" ref="Y96:Y97" ca="1" si="9">IFERROR(ABS(V96),"n/a")</f>
        <v>54.3</v>
      </c>
      <c r="AB96" t="str">
        <f t="shared" si="0"/>
        <v>UAY</v>
      </c>
      <c r="AC96">
        <f t="shared" ref="AC96:AC97" si="10">IF(E96=3,1,IF(E96=2,2,0))</f>
        <v>0</v>
      </c>
      <c r="AF96">
        <f t="shared" ref="AF96:AF97" si="11">IF(E96=0,0,1)</f>
        <v>1</v>
      </c>
      <c r="AG96">
        <f ca="1">RANK(AF96,OFFSET(AF$95,0,0,$B$26,1))+COUNTIF(AF$95:AF96,AF96)-1</f>
        <v>2</v>
      </c>
      <c r="AH96">
        <f t="shared" ref="AH96:AH97" ca="1" si="12">MATCH(A96,OFFSET(AG$95,0,0,$B$26,1),0)</f>
        <v>2</v>
      </c>
      <c r="AI96">
        <f t="shared" ref="AI96:AI97" ca="1" si="13">AH96</f>
        <v>2</v>
      </c>
      <c r="AJ96" cm="1">
        <f t="array" aca="1" ref="AJ96" ca="1">INDEX(auto_Country_Status,AI96)</f>
        <v>1</v>
      </c>
      <c r="AK96" t="str" cm="1">
        <f t="array" aca="1" ref="AK96" ca="1">IF($AJ96=0,"",INDEX(auto_Country_ISO,AI96))</f>
        <v>UAY</v>
      </c>
      <c r="AL96" t="str" cm="1">
        <f t="array" aca="1" ref="AL96" ca="1">IF($AJ96=0,"",INDEX(auto_ddCountry,AI96))</f>
        <v>Algiers</v>
      </c>
      <c r="AM96" cm="1">
        <f t="array" aca="1" ref="AM96" ca="1">IF($AJ96=0,"",INDEX(OFFSET(Q$95,0,0,$B$26,1),AI96))</f>
        <v>41</v>
      </c>
      <c r="AN96" cm="1">
        <f t="array" aca="1" ref="AN96" ca="1">IF($AJ96=0,"",INDEX(OFFSET(R$95,0,0,$B$26,1),AI96))</f>
        <v>54.3</v>
      </c>
      <c r="AO96">
        <f t="shared" ref="AO96:AO97" ca="1" si="14">IF(AM96="","n/a",AM96)</f>
        <v>41</v>
      </c>
      <c r="AP96">
        <f t="shared" ref="AP96:AP97" ca="1" si="15">IF(AN96="","n/a",AN96)</f>
        <v>54.3</v>
      </c>
      <c r="AQ96" t="e">
        <f t="shared" ref="AQ96:AQ144" si="16">IF($A96=$B$4,$B96,NA())</f>
        <v>#N/A</v>
      </c>
      <c r="AR96" t="e">
        <f t="shared" ref="AR96:AR144" si="17">IF($A96=$B$4,$N96,NA())</f>
        <v>#N/A</v>
      </c>
      <c r="AS96" t="e">
        <f t="shared" ref="AS96:AS144" si="18">IF($A96=$B$4,$O96,NA())</f>
        <v>#N/A</v>
      </c>
      <c r="AU96" t="str" cm="1">
        <f t="array" aca="1" ref="AU96" ca="1">IF(AND($H$2=1,NOT(ISNUMBER(INDEX(auto_DataFlat_DataValue,H96)))),"EXCLUDE","")</f>
        <v/>
      </c>
      <c r="AV96" t="str" cm="1">
        <f t="array" aca="1" ref="AV96" ca="1">IF(AND($H$3=1,NOT(ISNUMBER(INDEX(auto_DataFlat_DataValue,I96)))),"EXCLUDE","")</f>
        <v/>
      </c>
      <c r="AW96" t="str">
        <f t="shared" ref="AW96:AW97" ca="1" si="19">IF(OR(AU96="EXCLUDE",AV96="EXCLUDE"),"EXCLUDE","")</f>
        <v/>
      </c>
    </row>
    <row r="97" spans="1:49" x14ac:dyDescent="0.4">
      <c r="A97">
        <v>3</v>
      </c>
      <c r="B97" t="str" cm="1">
        <f t="array" ref="B97">SUBSTITUTE(INDEX(auto_Country_ISO,A97),"US-","")</f>
        <v>A2N</v>
      </c>
      <c r="C97" t="str" cm="1">
        <f t="array" ref="C97">INDEX(auto_ddCountry,A97)</f>
        <v>Atlanta</v>
      </c>
      <c r="D97" cm="1">
        <f t="array" ref="D97">INDEX(auto_Country_Status,A97)</f>
        <v>1</v>
      </c>
      <c r="E97">
        <f t="shared" si="1"/>
        <v>1</v>
      </c>
      <c r="F97">
        <f>2</f>
        <v>2</v>
      </c>
      <c r="H97" cm="1">
        <f t="array" aca="1" ref="H97" ca="1">INDEX(sys_DataFlat_LU_Grid,$B$2,$A97)</f>
        <v>3</v>
      </c>
      <c r="I97" cm="1">
        <f t="array" aca="1" ref="I97" ca="1">INDEX(sys_DataFlat_LU_Grid,$B$3,$A97)</f>
        <v>63</v>
      </c>
      <c r="K97" cm="1">
        <f t="array" aca="1" ref="K97" ca="1">INDEX(IF($B$43="SCORE",auto_DataFlat_Score,IF($B$43="DATA",auto_DataFlat_DataValue,IF($B$43="Z-SCORE",auto_DataFlat_ZScore))),H97)</f>
        <v>63.1</v>
      </c>
      <c r="L97" cm="1">
        <f t="array" aca="1" ref="L97" ca="1">INDEX(IF($B$44="SCORE",auto_DataFlat_Score,IF($B$44="DATA",auto_DataFlat_DataValue,IF($B$44="Z-SCORE",auto_DataFlat_ZScore))),I97)</f>
        <v>86.8</v>
      </c>
      <c r="N97">
        <f t="shared" ca="1" si="2"/>
        <v>63.1</v>
      </c>
      <c r="O97">
        <f t="shared" ca="1" si="3"/>
        <v>86.8</v>
      </c>
      <c r="Q97">
        <f t="shared" ca="1" si="4"/>
        <v>63.1</v>
      </c>
      <c r="R97">
        <f t="shared" ca="1" si="5"/>
        <v>86.8</v>
      </c>
      <c r="U97">
        <f t="shared" ca="1" si="6"/>
        <v>63.1</v>
      </c>
      <c r="V97">
        <f t="shared" ca="1" si="7"/>
        <v>86.8</v>
      </c>
      <c r="X97">
        <f t="shared" ca="1" si="8"/>
        <v>63.1</v>
      </c>
      <c r="Y97">
        <f t="shared" ca="1" si="9"/>
        <v>86.8</v>
      </c>
      <c r="AB97" t="str">
        <f t="shared" ref="AB97:AB144" si="20">B97</f>
        <v>A2N</v>
      </c>
      <c r="AC97">
        <f t="shared" si="10"/>
        <v>0</v>
      </c>
      <c r="AF97">
        <f t="shared" si="11"/>
        <v>1</v>
      </c>
      <c r="AG97">
        <f ca="1">RANK(AF97,OFFSET(AF$95,0,0,$B$26,1))+COUNTIF(AF$95:AF97,AF97)-1</f>
        <v>3</v>
      </c>
      <c r="AH97">
        <f t="shared" ca="1" si="12"/>
        <v>3</v>
      </c>
      <c r="AI97">
        <f t="shared" ca="1" si="13"/>
        <v>3</v>
      </c>
      <c r="AJ97" cm="1">
        <f t="array" aca="1" ref="AJ97" ca="1">INDEX(auto_Country_Status,AI97)</f>
        <v>1</v>
      </c>
      <c r="AK97" t="str" cm="1">
        <f t="array" aca="1" ref="AK97" ca="1">IF($AJ97=0,"",INDEX(auto_Country_ISO,AI97))</f>
        <v>A2N</v>
      </c>
      <c r="AL97" t="str" cm="1">
        <f t="array" aca="1" ref="AL97" ca="1">IF($AJ97=0,"",INDEX(auto_ddCountry,AI97))</f>
        <v>Atlanta</v>
      </c>
      <c r="AM97" cm="1">
        <f t="array" aca="1" ref="AM97" ca="1">IF($AJ97=0,"",INDEX(OFFSET(Q$95,0,0,$B$26,1),AI97))</f>
        <v>63.1</v>
      </c>
      <c r="AN97" cm="1">
        <f t="array" aca="1" ref="AN97" ca="1">IF($AJ97=0,"",INDEX(OFFSET(R$95,0,0,$B$26,1),AI97))</f>
        <v>86.8</v>
      </c>
      <c r="AO97">
        <f t="shared" ca="1" si="14"/>
        <v>63.1</v>
      </c>
      <c r="AP97">
        <f t="shared" ca="1" si="15"/>
        <v>86.8</v>
      </c>
      <c r="AQ97" t="e">
        <f t="shared" si="16"/>
        <v>#N/A</v>
      </c>
      <c r="AR97" t="e">
        <f t="shared" si="17"/>
        <v>#N/A</v>
      </c>
      <c r="AS97" t="e">
        <f t="shared" si="18"/>
        <v>#N/A</v>
      </c>
      <c r="AU97" t="str" cm="1">
        <f t="array" aca="1" ref="AU97" ca="1">IF(AND($H$2=1,NOT(ISNUMBER(INDEX(auto_DataFlat_DataValue,H97)))),"EXCLUDE","")</f>
        <v/>
      </c>
      <c r="AV97" t="str" cm="1">
        <f t="array" aca="1" ref="AV97" ca="1">IF(AND($H$3=1,NOT(ISNUMBER(INDEX(auto_DataFlat_DataValue,I97)))),"EXCLUDE","")</f>
        <v/>
      </c>
      <c r="AW97" t="str">
        <f t="shared" ca="1" si="19"/>
        <v/>
      </c>
    </row>
    <row r="98" spans="1:49" x14ac:dyDescent="0.4">
      <c r="A98">
        <v>4</v>
      </c>
      <c r="B98" t="str" cm="1">
        <f t="array" ref="B98">SUBSTITUTE(INDEX(auto_Country_ISO,A98),"US-","")</f>
        <v>AKL</v>
      </c>
      <c r="C98" t="str" cm="1">
        <f t="array" ref="C98">INDEX(auto_ddCountry,A98)</f>
        <v>Auckland</v>
      </c>
      <c r="D98" cm="1">
        <f t="array" ref="D98">INDEX(auto_Country_Status,A98)</f>
        <v>1</v>
      </c>
      <c r="E98">
        <f t="shared" ref="E98:E144" si="21">D98</f>
        <v>1</v>
      </c>
      <c r="F98">
        <f>2</f>
        <v>2</v>
      </c>
      <c r="H98" cm="1">
        <f t="array" aca="1" ref="H98" ca="1">INDEX(sys_DataFlat_LU_Grid,$B$2,$A98)</f>
        <v>4</v>
      </c>
      <c r="I98" cm="1">
        <f t="array" aca="1" ref="I98" ca="1">INDEX(sys_DataFlat_LU_Grid,$B$3,$A98)</f>
        <v>64</v>
      </c>
      <c r="K98" cm="1">
        <f t="array" aca="1" ref="K98" ca="1">INDEX(IF($B$43="SCORE",auto_DataFlat_Score,IF($B$43="DATA",auto_DataFlat_DataValue,IF($B$43="Z-SCORE",auto_DataFlat_ZScore))),H98)</f>
        <v>71</v>
      </c>
      <c r="L98" cm="1">
        <f t="array" aca="1" ref="L98" ca="1">INDEX(IF($B$44="SCORE",auto_DataFlat_Score,IF($B$44="DATA",auto_DataFlat_DataValue,IF($B$44="Z-SCORE",auto_DataFlat_ZScore))),I98)</f>
        <v>75.7</v>
      </c>
      <c r="N98">
        <f t="shared" ref="N98:N144" ca="1" si="22">IF($AW98="EXCLUDE","",IF(AND(ISNUMBER(K98),ISNUMBER(L98)),K98,""))</f>
        <v>71</v>
      </c>
      <c r="O98">
        <f t="shared" ref="O98:O144" ca="1" si="23">IF($AW98="EXCLUDE","",IF(AND(ISNUMBER(K98),ISNUMBER(L98)),L98,""))</f>
        <v>75.7</v>
      </c>
      <c r="Q98">
        <f t="shared" ref="Q98:Q144" ca="1" si="24">IF($D98=0,"{filtered}",N98)</f>
        <v>71</v>
      </c>
      <c r="R98">
        <f t="shared" ref="R98:R144" ca="1" si="25">IF($D98=0,"{filtered}",O98)</f>
        <v>75.7</v>
      </c>
      <c r="U98">
        <f t="shared" ref="U98:U144" ca="1" si="26">IF(AND(ISNUMBER(Q98),ISNUMBER(R98)),Q98,NA())</f>
        <v>71</v>
      </c>
      <c r="V98">
        <f t="shared" ref="V98:V144" ca="1" si="27">IF(AND(ISNUMBER(Q98),ISNUMBER(R98)),R98,NA())</f>
        <v>75.7</v>
      </c>
      <c r="X98">
        <f t="shared" ref="X98:X144" ca="1" si="28">IFERROR(ABS(U98),"n/a")</f>
        <v>71</v>
      </c>
      <c r="Y98">
        <f t="shared" ref="Y98:Y144" ca="1" si="29">IFERROR(ABS(V98),"n/a")</f>
        <v>75.7</v>
      </c>
      <c r="AB98" t="str">
        <f t="shared" si="20"/>
        <v>AKL</v>
      </c>
      <c r="AC98">
        <f t="shared" ref="AC98:AC144" si="30">IF(E98=3,1,IF(E98=2,2,0))</f>
        <v>0</v>
      </c>
      <c r="AF98">
        <f t="shared" ref="AF98:AF144" si="31">IF(E98=0,0,1)</f>
        <v>1</v>
      </c>
      <c r="AG98">
        <f ca="1">RANK(AF98,OFFSET(AF$95,0,0,$B$26,1))+COUNTIF(AF$95:AF98,AF98)-1</f>
        <v>4</v>
      </c>
      <c r="AH98">
        <f t="shared" ref="AH98:AH144" ca="1" si="32">MATCH(A98,OFFSET(AG$95,0,0,$B$26,1),0)</f>
        <v>4</v>
      </c>
      <c r="AI98">
        <f t="shared" ref="AI98:AI144" ca="1" si="33">AH98</f>
        <v>4</v>
      </c>
      <c r="AJ98" cm="1">
        <f t="array" aca="1" ref="AJ98" ca="1">INDEX(auto_Country_Status,AI98)</f>
        <v>1</v>
      </c>
      <c r="AK98" t="str" cm="1">
        <f t="array" aca="1" ref="AK98" ca="1">IF($AJ98=0,"",INDEX(auto_Country_ISO,AI98))</f>
        <v>AKL</v>
      </c>
      <c r="AL98" t="str" cm="1">
        <f t="array" aca="1" ref="AL98" ca="1">IF($AJ98=0,"",INDEX(auto_ddCountry,AI98))</f>
        <v>Auckland</v>
      </c>
      <c r="AM98" cm="1">
        <f t="array" aca="1" ref="AM98" ca="1">IF($AJ98=0,"",INDEX(OFFSET(Q$95,0,0,$B$26,1),AI98))</f>
        <v>71</v>
      </c>
      <c r="AN98" cm="1">
        <f t="array" aca="1" ref="AN98" ca="1">IF($AJ98=0,"",INDEX(OFFSET(R$95,0,0,$B$26,1),AI98))</f>
        <v>75.7</v>
      </c>
      <c r="AO98">
        <f t="shared" ref="AO98:AO144" ca="1" si="34">IF(AM98="","n/a",AM98)</f>
        <v>71</v>
      </c>
      <c r="AP98">
        <f t="shared" ref="AP98:AP144" ca="1" si="35">IF(AN98="","n/a",AN98)</f>
        <v>75.7</v>
      </c>
      <c r="AQ98" t="e">
        <f t="shared" si="16"/>
        <v>#N/A</v>
      </c>
      <c r="AR98" t="e">
        <f t="shared" si="17"/>
        <v>#N/A</v>
      </c>
      <c r="AS98" t="e">
        <f t="shared" si="18"/>
        <v>#N/A</v>
      </c>
      <c r="AU98" t="str" cm="1">
        <f t="array" aca="1" ref="AU98" ca="1">IF(AND($H$2=1,NOT(ISNUMBER(INDEX(auto_DataFlat_DataValue,H98)))),"EXCLUDE","")</f>
        <v/>
      </c>
      <c r="AV98" t="str" cm="1">
        <f t="array" aca="1" ref="AV98" ca="1">IF(AND($H$3=1,NOT(ISNUMBER(INDEX(auto_DataFlat_DataValue,I98)))),"EXCLUDE","")</f>
        <v/>
      </c>
      <c r="AW98" t="str">
        <f t="shared" ref="AW98:AW144" ca="1" si="36">IF(OR(AU98="EXCLUDE",AV98="EXCLUDE"),"EXCLUDE","")</f>
        <v/>
      </c>
    </row>
    <row r="99" spans="1:49" x14ac:dyDescent="0.4">
      <c r="A99">
        <v>5</v>
      </c>
      <c r="B99" t="str" cm="1">
        <f t="array" ref="B99">SUBSTITUTE(INDEX(auto_Country_ISO,A99),"US-","")</f>
        <v>BKK</v>
      </c>
      <c r="C99" t="str" cm="1">
        <f t="array" ref="C99">INDEX(auto_ddCountry,A99)</f>
        <v>Bangkok</v>
      </c>
      <c r="D99" cm="1">
        <f t="array" ref="D99">INDEX(auto_Country_Status,A99)</f>
        <v>1</v>
      </c>
      <c r="E99">
        <f t="shared" si="21"/>
        <v>1</v>
      </c>
      <c r="F99">
        <f>2</f>
        <v>2</v>
      </c>
      <c r="H99" cm="1">
        <f t="array" aca="1" ref="H99" ca="1">INDEX(sys_DataFlat_LU_Grid,$B$2,$A99)</f>
        <v>5</v>
      </c>
      <c r="I99" cm="1">
        <f t="array" aca="1" ref="I99" ca="1">INDEX(sys_DataFlat_LU_Grid,$B$3,$A99)</f>
        <v>65</v>
      </c>
      <c r="K99" cm="1">
        <f t="array" aca="1" ref="K99" ca="1">INDEX(IF($B$43="SCORE",auto_DataFlat_Score,IF($B$43="DATA",auto_DataFlat_DataValue,IF($B$43="Z-SCORE",auto_DataFlat_ZScore))),H99)</f>
        <v>68.8</v>
      </c>
      <c r="L99" cm="1">
        <f t="array" aca="1" ref="L99" ca="1">INDEX(IF($B$44="SCORE",auto_DataFlat_Score,IF($B$44="DATA",auto_DataFlat_DataValue,IF($B$44="Z-SCORE",auto_DataFlat_ZScore))),I99)</f>
        <v>72.8</v>
      </c>
      <c r="N99">
        <f t="shared" ca="1" si="22"/>
        <v>68.8</v>
      </c>
      <c r="O99">
        <f t="shared" ca="1" si="23"/>
        <v>72.8</v>
      </c>
      <c r="Q99">
        <f t="shared" ca="1" si="24"/>
        <v>68.8</v>
      </c>
      <c r="R99">
        <f t="shared" ca="1" si="25"/>
        <v>72.8</v>
      </c>
      <c r="U99">
        <f t="shared" ca="1" si="26"/>
        <v>68.8</v>
      </c>
      <c r="V99">
        <f t="shared" ca="1" si="27"/>
        <v>72.8</v>
      </c>
      <c r="X99">
        <f t="shared" ca="1" si="28"/>
        <v>68.8</v>
      </c>
      <c r="Y99">
        <f t="shared" ca="1" si="29"/>
        <v>72.8</v>
      </c>
      <c r="AB99" t="str">
        <f t="shared" si="20"/>
        <v>BKK</v>
      </c>
      <c r="AC99">
        <f t="shared" si="30"/>
        <v>0</v>
      </c>
      <c r="AF99">
        <f t="shared" si="31"/>
        <v>1</v>
      </c>
      <c r="AG99">
        <f ca="1">RANK(AF99,OFFSET(AF$95,0,0,$B$26,1))+COUNTIF(AF$95:AF99,AF99)-1</f>
        <v>5</v>
      </c>
      <c r="AH99">
        <f t="shared" ca="1" si="32"/>
        <v>5</v>
      </c>
      <c r="AI99">
        <f t="shared" ca="1" si="33"/>
        <v>5</v>
      </c>
      <c r="AJ99" cm="1">
        <f t="array" aca="1" ref="AJ99" ca="1">INDEX(auto_Country_Status,AI99)</f>
        <v>1</v>
      </c>
      <c r="AK99" t="str" cm="1">
        <f t="array" aca="1" ref="AK99" ca="1">IF($AJ99=0,"",INDEX(auto_Country_ISO,AI99))</f>
        <v>BKK</v>
      </c>
      <c r="AL99" t="str" cm="1">
        <f t="array" aca="1" ref="AL99" ca="1">IF($AJ99=0,"",INDEX(auto_ddCountry,AI99))</f>
        <v>Bangkok</v>
      </c>
      <c r="AM99" cm="1">
        <f t="array" aca="1" ref="AM99" ca="1">IF($AJ99=0,"",INDEX(OFFSET(Q$95,0,0,$B$26,1),AI99))</f>
        <v>68.8</v>
      </c>
      <c r="AN99" cm="1">
        <f t="array" aca="1" ref="AN99" ca="1">IF($AJ99=0,"",INDEX(OFFSET(R$95,0,0,$B$26,1),AI99))</f>
        <v>72.8</v>
      </c>
      <c r="AO99">
        <f t="shared" ca="1" si="34"/>
        <v>68.8</v>
      </c>
      <c r="AP99">
        <f t="shared" ca="1" si="35"/>
        <v>72.8</v>
      </c>
      <c r="AQ99" t="e">
        <f t="shared" si="16"/>
        <v>#N/A</v>
      </c>
      <c r="AR99" t="e">
        <f t="shared" si="17"/>
        <v>#N/A</v>
      </c>
      <c r="AS99" t="e">
        <f t="shared" si="18"/>
        <v>#N/A</v>
      </c>
      <c r="AU99" t="str" cm="1">
        <f t="array" aca="1" ref="AU99" ca="1">IF(AND($H$2=1,NOT(ISNUMBER(INDEX(auto_DataFlat_DataValue,H99)))),"EXCLUDE","")</f>
        <v/>
      </c>
      <c r="AV99" t="str" cm="1">
        <f t="array" aca="1" ref="AV99" ca="1">IF(AND($H$3=1,NOT(ISNUMBER(INDEX(auto_DataFlat_DataValue,I99)))),"EXCLUDE","")</f>
        <v/>
      </c>
      <c r="AW99" t="str">
        <f t="shared" ca="1" si="36"/>
        <v/>
      </c>
    </row>
    <row r="100" spans="1:49" x14ac:dyDescent="0.4">
      <c r="A100">
        <v>6</v>
      </c>
      <c r="B100" t="str" cm="1">
        <f t="array" ref="B100">SUBSTITUTE(INDEX(auto_Country_ISO,A100),"US-","")</f>
        <v>BJS</v>
      </c>
      <c r="C100" t="str" cm="1">
        <f t="array" ref="C100">INDEX(auto_ddCountry,A100)</f>
        <v>Beijing</v>
      </c>
      <c r="D100" cm="1">
        <f t="array" ref="D100">INDEX(auto_Country_Status,A100)</f>
        <v>1</v>
      </c>
      <c r="E100">
        <f t="shared" si="21"/>
        <v>1</v>
      </c>
      <c r="F100">
        <f>2</f>
        <v>2</v>
      </c>
      <c r="H100" cm="1">
        <f t="array" aca="1" ref="H100" ca="1">INDEX(sys_DataFlat_LU_Grid,$B$2,$A100)</f>
        <v>6</v>
      </c>
      <c r="I100" cm="1">
        <f t="array" aca="1" ref="I100" ca="1">INDEX(sys_DataFlat_LU_Grid,$B$3,$A100)</f>
        <v>66</v>
      </c>
      <c r="K100" cm="1">
        <f t="array" aca="1" ref="K100" ca="1">INDEX(IF($B$43="SCORE",auto_DataFlat_Score,IF($B$43="DATA",auto_DataFlat_DataValue,IF($B$43="Z-SCORE",auto_DataFlat_ZScore))),H100)</f>
        <v>63.4</v>
      </c>
      <c r="L100" cm="1">
        <f t="array" aca="1" ref="L100" ca="1">INDEX(IF($B$44="SCORE",auto_DataFlat_Score,IF($B$44="DATA",auto_DataFlat_DataValue,IF($B$44="Z-SCORE",auto_DataFlat_ZScore))),I100)</f>
        <v>54.3</v>
      </c>
      <c r="N100">
        <f t="shared" ca="1" si="22"/>
        <v>63.4</v>
      </c>
      <c r="O100">
        <f t="shared" ca="1" si="23"/>
        <v>54.3</v>
      </c>
      <c r="Q100">
        <f t="shared" ca="1" si="24"/>
        <v>63.4</v>
      </c>
      <c r="R100">
        <f t="shared" ca="1" si="25"/>
        <v>54.3</v>
      </c>
      <c r="U100">
        <f t="shared" ca="1" si="26"/>
        <v>63.4</v>
      </c>
      <c r="V100">
        <f t="shared" ca="1" si="27"/>
        <v>54.3</v>
      </c>
      <c r="X100">
        <f t="shared" ca="1" si="28"/>
        <v>63.4</v>
      </c>
      <c r="Y100">
        <f t="shared" ca="1" si="29"/>
        <v>54.3</v>
      </c>
      <c r="AB100" t="str">
        <f t="shared" si="20"/>
        <v>BJS</v>
      </c>
      <c r="AC100">
        <f t="shared" si="30"/>
        <v>0</v>
      </c>
      <c r="AF100">
        <f t="shared" si="31"/>
        <v>1</v>
      </c>
      <c r="AG100">
        <f ca="1">RANK(AF100,OFFSET(AF$95,0,0,$B$26,1))+COUNTIF(AF$95:AF100,AF100)-1</f>
        <v>6</v>
      </c>
      <c r="AH100">
        <f t="shared" ca="1" si="32"/>
        <v>6</v>
      </c>
      <c r="AI100">
        <f t="shared" ca="1" si="33"/>
        <v>6</v>
      </c>
      <c r="AJ100" cm="1">
        <f t="array" aca="1" ref="AJ100" ca="1">INDEX(auto_Country_Status,AI100)</f>
        <v>1</v>
      </c>
      <c r="AK100" t="str" cm="1">
        <f t="array" aca="1" ref="AK100" ca="1">IF($AJ100=0,"",INDEX(auto_Country_ISO,AI100))</f>
        <v>BJS</v>
      </c>
      <c r="AL100" t="str" cm="1">
        <f t="array" aca="1" ref="AL100" ca="1">IF($AJ100=0,"",INDEX(auto_ddCountry,AI100))</f>
        <v>Beijing</v>
      </c>
      <c r="AM100" cm="1">
        <f t="array" aca="1" ref="AM100" ca="1">IF($AJ100=0,"",INDEX(OFFSET(Q$95,0,0,$B$26,1),AI100))</f>
        <v>63.4</v>
      </c>
      <c r="AN100" cm="1">
        <f t="array" aca="1" ref="AN100" ca="1">IF($AJ100=0,"",INDEX(OFFSET(R$95,0,0,$B$26,1),AI100))</f>
        <v>54.3</v>
      </c>
      <c r="AO100">
        <f t="shared" ca="1" si="34"/>
        <v>63.4</v>
      </c>
      <c r="AP100">
        <f t="shared" ca="1" si="35"/>
        <v>54.3</v>
      </c>
      <c r="AQ100" t="e">
        <f t="shared" si="16"/>
        <v>#N/A</v>
      </c>
      <c r="AR100" t="e">
        <f t="shared" si="17"/>
        <v>#N/A</v>
      </c>
      <c r="AS100" t="e">
        <f t="shared" si="18"/>
        <v>#N/A</v>
      </c>
      <c r="AU100" t="str" cm="1">
        <f t="array" aca="1" ref="AU100" ca="1">IF(AND($H$2=1,NOT(ISNUMBER(INDEX(auto_DataFlat_DataValue,H100)))),"EXCLUDE","")</f>
        <v/>
      </c>
      <c r="AV100" t="str" cm="1">
        <f t="array" aca="1" ref="AV100" ca="1">IF(AND($H$3=1,NOT(ISNUMBER(INDEX(auto_DataFlat_DataValue,I100)))),"EXCLUDE","")</f>
        <v/>
      </c>
      <c r="AW100" t="str">
        <f t="shared" ca="1" si="36"/>
        <v/>
      </c>
    </row>
    <row r="101" spans="1:49" x14ac:dyDescent="0.4">
      <c r="A101">
        <v>7</v>
      </c>
      <c r="B101" t="str" cm="1">
        <f t="array" ref="B101">SUBSTITUTE(INDEX(auto_Country_ISO,A101),"US-","")</f>
        <v>BER</v>
      </c>
      <c r="C101" t="str" cm="1">
        <f t="array" ref="C101">INDEX(auto_ddCountry,A101)</f>
        <v>Berlin</v>
      </c>
      <c r="D101" cm="1">
        <f t="array" ref="D101">INDEX(auto_Country_Status,A101)</f>
        <v>1</v>
      </c>
      <c r="E101">
        <f t="shared" si="21"/>
        <v>1</v>
      </c>
      <c r="F101">
        <f>2</f>
        <v>2</v>
      </c>
      <c r="H101" cm="1">
        <f t="array" aca="1" ref="H101" ca="1">INDEX(sys_DataFlat_LU_Grid,$B$2,$A101)</f>
        <v>7</v>
      </c>
      <c r="I101" cm="1">
        <f t="array" aca="1" ref="I101" ca="1">INDEX(sys_DataFlat_LU_Grid,$B$3,$A101)</f>
        <v>67</v>
      </c>
      <c r="K101" cm="1">
        <f t="array" aca="1" ref="K101" ca="1">INDEX(IF($B$43="SCORE",auto_DataFlat_Score,IF($B$43="DATA",auto_DataFlat_DataValue,IF($B$43="Z-SCORE",auto_DataFlat_ZScore))),H101)</f>
        <v>77.400000000000006</v>
      </c>
      <c r="L101" cm="1">
        <f t="array" aca="1" ref="L101" ca="1">INDEX(IF($B$44="SCORE",auto_DataFlat_Score,IF($B$44="DATA",auto_DataFlat_DataValue,IF($B$44="Z-SCORE",auto_DataFlat_ZScore))),I101)</f>
        <v>89.6</v>
      </c>
      <c r="N101">
        <f t="shared" ca="1" si="22"/>
        <v>77.400000000000006</v>
      </c>
      <c r="O101">
        <f t="shared" ca="1" si="23"/>
        <v>89.6</v>
      </c>
      <c r="Q101">
        <f t="shared" ca="1" si="24"/>
        <v>77.400000000000006</v>
      </c>
      <c r="R101">
        <f t="shared" ca="1" si="25"/>
        <v>89.6</v>
      </c>
      <c r="U101">
        <f t="shared" ca="1" si="26"/>
        <v>77.400000000000006</v>
      </c>
      <c r="V101">
        <f t="shared" ca="1" si="27"/>
        <v>89.6</v>
      </c>
      <c r="X101">
        <f t="shared" ca="1" si="28"/>
        <v>77.400000000000006</v>
      </c>
      <c r="Y101">
        <f t="shared" ca="1" si="29"/>
        <v>89.6</v>
      </c>
      <c r="AB101" t="str">
        <f t="shared" si="20"/>
        <v>BER</v>
      </c>
      <c r="AC101">
        <f t="shared" si="30"/>
        <v>0</v>
      </c>
      <c r="AF101">
        <f t="shared" si="31"/>
        <v>1</v>
      </c>
      <c r="AG101">
        <f ca="1">RANK(AF101,OFFSET(AF$95,0,0,$B$26,1))+COUNTIF(AF$95:AF101,AF101)-1</f>
        <v>7</v>
      </c>
      <c r="AH101">
        <f t="shared" ca="1" si="32"/>
        <v>7</v>
      </c>
      <c r="AI101">
        <f t="shared" ca="1" si="33"/>
        <v>7</v>
      </c>
      <c r="AJ101" cm="1">
        <f t="array" aca="1" ref="AJ101" ca="1">INDEX(auto_Country_Status,AI101)</f>
        <v>1</v>
      </c>
      <c r="AK101" t="str" cm="1">
        <f t="array" aca="1" ref="AK101" ca="1">IF($AJ101=0,"",INDEX(auto_Country_ISO,AI101))</f>
        <v>BER</v>
      </c>
      <c r="AL101" t="str" cm="1">
        <f t="array" aca="1" ref="AL101" ca="1">IF($AJ101=0,"",INDEX(auto_ddCountry,AI101))</f>
        <v>Berlin</v>
      </c>
      <c r="AM101" cm="1">
        <f t="array" aca="1" ref="AM101" ca="1">IF($AJ101=0,"",INDEX(OFFSET(Q$95,0,0,$B$26,1),AI101))</f>
        <v>77.400000000000006</v>
      </c>
      <c r="AN101" cm="1">
        <f t="array" aca="1" ref="AN101" ca="1">IF($AJ101=0,"",INDEX(OFFSET(R$95,0,0,$B$26,1),AI101))</f>
        <v>89.6</v>
      </c>
      <c r="AO101">
        <f t="shared" ca="1" si="34"/>
        <v>77.400000000000006</v>
      </c>
      <c r="AP101">
        <f t="shared" ca="1" si="35"/>
        <v>89.6</v>
      </c>
      <c r="AQ101" t="e">
        <f t="shared" si="16"/>
        <v>#N/A</v>
      </c>
      <c r="AR101" t="e">
        <f t="shared" si="17"/>
        <v>#N/A</v>
      </c>
      <c r="AS101" t="e">
        <f t="shared" si="18"/>
        <v>#N/A</v>
      </c>
      <c r="AU101" t="str" cm="1">
        <f t="array" aca="1" ref="AU101" ca="1">IF(AND($H$2=1,NOT(ISNUMBER(INDEX(auto_DataFlat_DataValue,H101)))),"EXCLUDE","")</f>
        <v/>
      </c>
      <c r="AV101" t="str" cm="1">
        <f t="array" aca="1" ref="AV101" ca="1">IF(AND($H$3=1,NOT(ISNUMBER(INDEX(auto_DataFlat_DataValue,I101)))),"EXCLUDE","")</f>
        <v/>
      </c>
      <c r="AW101" t="str">
        <f t="shared" ca="1" si="36"/>
        <v/>
      </c>
    </row>
    <row r="102" spans="1:49" x14ac:dyDescent="0.4">
      <c r="A102">
        <v>8</v>
      </c>
      <c r="B102" t="str" cm="1">
        <f t="array" ref="B102">SUBSTITUTE(INDEX(auto_Country_ISO,A102),"US-","")</f>
        <v>B6Y</v>
      </c>
      <c r="C102" t="str" cm="1">
        <f t="array" ref="C102">INDEX(auto_ddCountry,A102)</f>
        <v>Bogotá</v>
      </c>
      <c r="D102" cm="1">
        <f t="array" ref="D102">INDEX(auto_Country_Status,A102)</f>
        <v>1</v>
      </c>
      <c r="E102">
        <f t="shared" si="21"/>
        <v>1</v>
      </c>
      <c r="F102">
        <f>2</f>
        <v>2</v>
      </c>
      <c r="H102" cm="1">
        <f t="array" aca="1" ref="H102" ca="1">INDEX(sys_DataFlat_LU_Grid,$B$2,$A102)</f>
        <v>8</v>
      </c>
      <c r="I102" cm="1">
        <f t="array" aca="1" ref="I102" ca="1">INDEX(sys_DataFlat_LU_Grid,$B$3,$A102)</f>
        <v>68</v>
      </c>
      <c r="K102" cm="1">
        <f t="array" aca="1" ref="K102" ca="1">INDEX(IF($B$43="SCORE",auto_DataFlat_Score,IF($B$43="DATA",auto_DataFlat_DataValue,IF($B$43="Z-SCORE",auto_DataFlat_ZScore))),H102)</f>
        <v>69.7</v>
      </c>
      <c r="L102" cm="1">
        <f t="array" aca="1" ref="L102" ca="1">INDEX(IF($B$44="SCORE",auto_DataFlat_Score,IF($B$44="DATA",auto_DataFlat_DataValue,IF($B$44="Z-SCORE",auto_DataFlat_ZScore))),I102)</f>
        <v>68.900000000000006</v>
      </c>
      <c r="N102">
        <f t="shared" ca="1" si="22"/>
        <v>69.7</v>
      </c>
      <c r="O102">
        <f t="shared" ca="1" si="23"/>
        <v>68.900000000000006</v>
      </c>
      <c r="Q102">
        <f t="shared" ca="1" si="24"/>
        <v>69.7</v>
      </c>
      <c r="R102">
        <f t="shared" ca="1" si="25"/>
        <v>68.900000000000006</v>
      </c>
      <c r="U102">
        <f t="shared" ca="1" si="26"/>
        <v>69.7</v>
      </c>
      <c r="V102">
        <f t="shared" ca="1" si="27"/>
        <v>68.900000000000006</v>
      </c>
      <c r="X102">
        <f t="shared" ca="1" si="28"/>
        <v>69.7</v>
      </c>
      <c r="Y102">
        <f t="shared" ca="1" si="29"/>
        <v>68.900000000000006</v>
      </c>
      <c r="AB102" t="str">
        <f t="shared" si="20"/>
        <v>B6Y</v>
      </c>
      <c r="AC102">
        <f t="shared" si="30"/>
        <v>0</v>
      </c>
      <c r="AF102">
        <f t="shared" si="31"/>
        <v>1</v>
      </c>
      <c r="AG102">
        <f ca="1">RANK(AF102,OFFSET(AF$95,0,0,$B$26,1))+COUNTIF(AF$95:AF102,AF102)-1</f>
        <v>8</v>
      </c>
      <c r="AH102">
        <f t="shared" ca="1" si="32"/>
        <v>8</v>
      </c>
      <c r="AI102">
        <f t="shared" ca="1" si="33"/>
        <v>8</v>
      </c>
      <c r="AJ102" cm="1">
        <f t="array" aca="1" ref="AJ102" ca="1">INDEX(auto_Country_Status,AI102)</f>
        <v>1</v>
      </c>
      <c r="AK102" t="str" cm="1">
        <f t="array" aca="1" ref="AK102" ca="1">IF($AJ102=0,"",INDEX(auto_Country_ISO,AI102))</f>
        <v>B6Y</v>
      </c>
      <c r="AL102" t="str" cm="1">
        <f t="array" aca="1" ref="AL102" ca="1">IF($AJ102=0,"",INDEX(auto_ddCountry,AI102))</f>
        <v>Bogotá</v>
      </c>
      <c r="AM102" cm="1">
        <f t="array" aca="1" ref="AM102" ca="1">IF($AJ102=0,"",INDEX(OFFSET(Q$95,0,0,$B$26,1),AI102))</f>
        <v>69.7</v>
      </c>
      <c r="AN102" cm="1">
        <f t="array" aca="1" ref="AN102" ca="1">IF($AJ102=0,"",INDEX(OFFSET(R$95,0,0,$B$26,1),AI102))</f>
        <v>68.900000000000006</v>
      </c>
      <c r="AO102">
        <f t="shared" ca="1" si="34"/>
        <v>69.7</v>
      </c>
      <c r="AP102">
        <f t="shared" ca="1" si="35"/>
        <v>68.900000000000006</v>
      </c>
      <c r="AQ102" t="e">
        <f t="shared" si="16"/>
        <v>#N/A</v>
      </c>
      <c r="AR102" t="e">
        <f t="shared" si="17"/>
        <v>#N/A</v>
      </c>
      <c r="AS102" t="e">
        <f t="shared" si="18"/>
        <v>#N/A</v>
      </c>
      <c r="AU102" t="str" cm="1">
        <f t="array" aca="1" ref="AU102" ca="1">IF(AND($H$2=1,NOT(ISNUMBER(INDEX(auto_DataFlat_DataValue,H102)))),"EXCLUDE","")</f>
        <v/>
      </c>
      <c r="AV102" t="str" cm="1">
        <f t="array" aca="1" ref="AV102" ca="1">IF(AND($H$3=1,NOT(ISNUMBER(INDEX(auto_DataFlat_DataValue,I102)))),"EXCLUDE","")</f>
        <v/>
      </c>
      <c r="AW102" t="str">
        <f t="shared" ca="1" si="36"/>
        <v/>
      </c>
    </row>
    <row r="103" spans="1:49" x14ac:dyDescent="0.4">
      <c r="A103">
        <v>9</v>
      </c>
      <c r="B103" t="str" cm="1">
        <f t="array" ref="B103">SUBSTITUTE(INDEX(auto_Country_ISO,A103),"US-","")</f>
        <v>BUD</v>
      </c>
      <c r="C103" t="str" cm="1">
        <f t="array" ref="C103">INDEX(auto_ddCountry,A103)</f>
        <v>Budapest</v>
      </c>
      <c r="D103" cm="1">
        <f t="array" ref="D103">INDEX(auto_Country_Status,A103)</f>
        <v>1</v>
      </c>
      <c r="E103">
        <f t="shared" si="21"/>
        <v>1</v>
      </c>
      <c r="F103">
        <f>2</f>
        <v>2</v>
      </c>
      <c r="H103" cm="1">
        <f t="array" aca="1" ref="H103" ca="1">INDEX(sys_DataFlat_LU_Grid,$B$2,$A103)</f>
        <v>9</v>
      </c>
      <c r="I103" cm="1">
        <f t="array" aca="1" ref="I103" ca="1">INDEX(sys_DataFlat_LU_Grid,$B$3,$A103)</f>
        <v>69</v>
      </c>
      <c r="K103" cm="1">
        <f t="array" aca="1" ref="K103" ca="1">INDEX(IF($B$43="SCORE",auto_DataFlat_Score,IF($B$43="DATA",auto_DataFlat_DataValue,IF($B$43="Z-SCORE",auto_DataFlat_ZScore))),H103)</f>
        <v>69.5</v>
      </c>
      <c r="L103" cm="1">
        <f t="array" aca="1" ref="L103" ca="1">INDEX(IF($B$44="SCORE",auto_DataFlat_Score,IF($B$44="DATA",auto_DataFlat_DataValue,IF($B$44="Z-SCORE",auto_DataFlat_ZScore))),I103)</f>
        <v>85.6</v>
      </c>
      <c r="N103">
        <f t="shared" ca="1" si="22"/>
        <v>69.5</v>
      </c>
      <c r="O103">
        <f t="shared" ca="1" si="23"/>
        <v>85.6</v>
      </c>
      <c r="Q103">
        <f t="shared" ca="1" si="24"/>
        <v>69.5</v>
      </c>
      <c r="R103">
        <f t="shared" ca="1" si="25"/>
        <v>85.6</v>
      </c>
      <c r="U103">
        <f t="shared" ca="1" si="26"/>
        <v>69.5</v>
      </c>
      <c r="V103">
        <f t="shared" ca="1" si="27"/>
        <v>85.6</v>
      </c>
      <c r="X103">
        <f t="shared" ca="1" si="28"/>
        <v>69.5</v>
      </c>
      <c r="Y103">
        <f t="shared" ca="1" si="29"/>
        <v>85.6</v>
      </c>
      <c r="AB103" t="str">
        <f t="shared" si="20"/>
        <v>BUD</v>
      </c>
      <c r="AC103">
        <f t="shared" si="30"/>
        <v>0</v>
      </c>
      <c r="AF103">
        <f t="shared" si="31"/>
        <v>1</v>
      </c>
      <c r="AG103">
        <f ca="1">RANK(AF103,OFFSET(AF$95,0,0,$B$26,1))+COUNTIF(AF$95:AF103,AF103)-1</f>
        <v>9</v>
      </c>
      <c r="AH103">
        <f t="shared" ca="1" si="32"/>
        <v>9</v>
      </c>
      <c r="AI103">
        <f t="shared" ca="1" si="33"/>
        <v>9</v>
      </c>
      <c r="AJ103" cm="1">
        <f t="array" aca="1" ref="AJ103" ca="1">INDEX(auto_Country_Status,AI103)</f>
        <v>1</v>
      </c>
      <c r="AK103" t="str" cm="1">
        <f t="array" aca="1" ref="AK103" ca="1">IF($AJ103=0,"",INDEX(auto_Country_ISO,AI103))</f>
        <v>BUD</v>
      </c>
      <c r="AL103" t="str" cm="1">
        <f t="array" aca="1" ref="AL103" ca="1">IF($AJ103=0,"",INDEX(auto_ddCountry,AI103))</f>
        <v>Budapest</v>
      </c>
      <c r="AM103" cm="1">
        <f t="array" aca="1" ref="AM103" ca="1">IF($AJ103=0,"",INDEX(OFFSET(Q$95,0,0,$B$26,1),AI103))</f>
        <v>69.5</v>
      </c>
      <c r="AN103" cm="1">
        <f t="array" aca="1" ref="AN103" ca="1">IF($AJ103=0,"",INDEX(OFFSET(R$95,0,0,$B$26,1),AI103))</f>
        <v>85.6</v>
      </c>
      <c r="AO103">
        <f t="shared" ca="1" si="34"/>
        <v>69.5</v>
      </c>
      <c r="AP103">
        <f t="shared" ca="1" si="35"/>
        <v>85.6</v>
      </c>
      <c r="AQ103" t="e">
        <f t="shared" si="16"/>
        <v>#N/A</v>
      </c>
      <c r="AR103" t="e">
        <f t="shared" si="17"/>
        <v>#N/A</v>
      </c>
      <c r="AS103" t="e">
        <f t="shared" si="18"/>
        <v>#N/A</v>
      </c>
      <c r="AU103" t="str" cm="1">
        <f t="array" aca="1" ref="AU103" ca="1">IF(AND($H$2=1,NOT(ISNUMBER(INDEX(auto_DataFlat_DataValue,H103)))),"EXCLUDE","")</f>
        <v/>
      </c>
      <c r="AV103" t="str" cm="1">
        <f t="array" aca="1" ref="AV103" ca="1">IF(AND($H$3=1,NOT(ISNUMBER(INDEX(auto_DataFlat_DataValue,I103)))),"EXCLUDE","")</f>
        <v/>
      </c>
      <c r="AW103" t="str">
        <f t="shared" ca="1" si="36"/>
        <v/>
      </c>
    </row>
    <row r="104" spans="1:49" x14ac:dyDescent="0.4">
      <c r="A104">
        <v>10</v>
      </c>
      <c r="B104" t="str" cm="1">
        <f t="array" ref="B104">SUBSTITUTE(INDEX(auto_Country_ISO,A104),"US-","")</f>
        <v>CJR</v>
      </c>
      <c r="C104" t="str" cm="1">
        <f t="array" ref="C104">INDEX(auto_ddCountry,A104)</f>
        <v>Cairo</v>
      </c>
      <c r="D104" cm="1">
        <f t="array" ref="D104">INDEX(auto_Country_Status,A104)</f>
        <v>1</v>
      </c>
      <c r="E104">
        <f t="shared" si="21"/>
        <v>1</v>
      </c>
      <c r="F104">
        <f>2</f>
        <v>2</v>
      </c>
      <c r="H104" cm="1">
        <f t="array" aca="1" ref="H104" ca="1">INDEX(sys_DataFlat_LU_Grid,$B$2,$A104)</f>
        <v>10</v>
      </c>
      <c r="I104" cm="1">
        <f t="array" aca="1" ref="I104" ca="1">INDEX(sys_DataFlat_LU_Grid,$B$3,$A104)</f>
        <v>70</v>
      </c>
      <c r="K104" cm="1">
        <f t="array" aca="1" ref="K104" ca="1">INDEX(IF($B$43="SCORE",auto_DataFlat_Score,IF($B$43="DATA",auto_DataFlat_DataValue,IF($B$43="Z-SCORE",auto_DataFlat_ZScore))),H104)</f>
        <v>40.6</v>
      </c>
      <c r="L104" cm="1">
        <f t="array" aca="1" ref="L104" ca="1">INDEX(IF($B$44="SCORE",auto_DataFlat_Score,IF($B$44="DATA",auto_DataFlat_DataValue,IF($B$44="Z-SCORE",auto_DataFlat_ZScore))),I104)</f>
        <v>40.9</v>
      </c>
      <c r="N104">
        <f t="shared" ca="1" si="22"/>
        <v>40.6</v>
      </c>
      <c r="O104">
        <f t="shared" ca="1" si="23"/>
        <v>40.9</v>
      </c>
      <c r="Q104">
        <f t="shared" ca="1" si="24"/>
        <v>40.6</v>
      </c>
      <c r="R104">
        <f t="shared" ca="1" si="25"/>
        <v>40.9</v>
      </c>
      <c r="U104">
        <f t="shared" ca="1" si="26"/>
        <v>40.6</v>
      </c>
      <c r="V104">
        <f t="shared" ca="1" si="27"/>
        <v>40.9</v>
      </c>
      <c r="X104">
        <f t="shared" ca="1" si="28"/>
        <v>40.6</v>
      </c>
      <c r="Y104">
        <f t="shared" ca="1" si="29"/>
        <v>40.9</v>
      </c>
      <c r="AB104" t="str">
        <f t="shared" si="20"/>
        <v>CJR</v>
      </c>
      <c r="AC104">
        <f t="shared" si="30"/>
        <v>0</v>
      </c>
      <c r="AF104">
        <f t="shared" si="31"/>
        <v>1</v>
      </c>
      <c r="AG104">
        <f ca="1">RANK(AF104,OFFSET(AF$95,0,0,$B$26,1))+COUNTIF(AF$95:AF104,AF104)-1</f>
        <v>10</v>
      </c>
      <c r="AH104">
        <f t="shared" ca="1" si="32"/>
        <v>10</v>
      </c>
      <c r="AI104">
        <f t="shared" ca="1" si="33"/>
        <v>10</v>
      </c>
      <c r="AJ104" cm="1">
        <f t="array" aca="1" ref="AJ104" ca="1">INDEX(auto_Country_Status,AI104)</f>
        <v>1</v>
      </c>
      <c r="AK104" t="str" cm="1">
        <f t="array" aca="1" ref="AK104" ca="1">IF($AJ104=0,"",INDEX(auto_Country_ISO,AI104))</f>
        <v>CJR</v>
      </c>
      <c r="AL104" t="str" cm="1">
        <f t="array" aca="1" ref="AL104" ca="1">IF($AJ104=0,"",INDEX(auto_ddCountry,AI104))</f>
        <v>Cairo</v>
      </c>
      <c r="AM104" cm="1">
        <f t="array" aca="1" ref="AM104" ca="1">IF($AJ104=0,"",INDEX(OFFSET(Q$95,0,0,$B$26,1),AI104))</f>
        <v>40.6</v>
      </c>
      <c r="AN104" cm="1">
        <f t="array" aca="1" ref="AN104" ca="1">IF($AJ104=0,"",INDEX(OFFSET(R$95,0,0,$B$26,1),AI104))</f>
        <v>40.9</v>
      </c>
      <c r="AO104">
        <f t="shared" ca="1" si="34"/>
        <v>40.6</v>
      </c>
      <c r="AP104">
        <f t="shared" ca="1" si="35"/>
        <v>40.9</v>
      </c>
      <c r="AQ104" t="e">
        <f t="shared" si="16"/>
        <v>#N/A</v>
      </c>
      <c r="AR104" t="e">
        <f t="shared" si="17"/>
        <v>#N/A</v>
      </c>
      <c r="AS104" t="e">
        <f t="shared" si="18"/>
        <v>#N/A</v>
      </c>
      <c r="AU104" t="str" cm="1">
        <f t="array" aca="1" ref="AU104" ca="1">IF(AND($H$2=1,NOT(ISNUMBER(INDEX(auto_DataFlat_DataValue,H104)))),"EXCLUDE","")</f>
        <v/>
      </c>
      <c r="AV104" t="str" cm="1">
        <f t="array" aca="1" ref="AV104" ca="1">IF(AND($H$3=1,NOT(ISNUMBER(INDEX(auto_DataFlat_DataValue,I104)))),"EXCLUDE","")</f>
        <v/>
      </c>
      <c r="AW104" t="str">
        <f t="shared" ca="1" si="36"/>
        <v/>
      </c>
    </row>
    <row r="105" spans="1:49" x14ac:dyDescent="0.4">
      <c r="A105">
        <v>11</v>
      </c>
      <c r="B105" t="str" cm="1">
        <f t="array" ref="B105">SUBSTITUTE(INDEX(auto_Country_ISO,A105),"US-","")</f>
        <v>COX</v>
      </c>
      <c r="C105" t="str" cm="1">
        <f t="array" ref="C105">INDEX(auto_ddCountry,A105)</f>
        <v>Colombo</v>
      </c>
      <c r="D105" cm="1">
        <f t="array" ref="D105">INDEX(auto_Country_Status,A105)</f>
        <v>1</v>
      </c>
      <c r="E105">
        <f t="shared" si="21"/>
        <v>1</v>
      </c>
      <c r="F105">
        <f>2</f>
        <v>2</v>
      </c>
      <c r="H105" cm="1">
        <f t="array" aca="1" ref="H105" ca="1">INDEX(sys_DataFlat_LU_Grid,$B$2,$A105)</f>
        <v>11</v>
      </c>
      <c r="I105" cm="1">
        <f t="array" aca="1" ref="I105" ca="1">INDEX(sys_DataFlat_LU_Grid,$B$3,$A105)</f>
        <v>71</v>
      </c>
      <c r="K105" cm="1">
        <f t="array" aca="1" ref="K105" ca="1">INDEX(IF($B$43="SCORE",auto_DataFlat_Score,IF($B$43="DATA",auto_DataFlat_DataValue,IF($B$43="Z-SCORE",auto_DataFlat_ZScore))),H105)</f>
        <v>50.1</v>
      </c>
      <c r="L105" cm="1">
        <f t="array" aca="1" ref="L105" ca="1">INDEX(IF($B$44="SCORE",auto_DataFlat_Score,IF($B$44="DATA",auto_DataFlat_DataValue,IF($B$44="Z-SCORE",auto_DataFlat_ZScore))),I105)</f>
        <v>51.9</v>
      </c>
      <c r="N105">
        <f t="shared" ca="1" si="22"/>
        <v>50.1</v>
      </c>
      <c r="O105">
        <f t="shared" ca="1" si="23"/>
        <v>51.9</v>
      </c>
      <c r="Q105">
        <f t="shared" ca="1" si="24"/>
        <v>50.1</v>
      </c>
      <c r="R105">
        <f t="shared" ca="1" si="25"/>
        <v>51.9</v>
      </c>
      <c r="U105">
        <f t="shared" ca="1" si="26"/>
        <v>50.1</v>
      </c>
      <c r="V105">
        <f t="shared" ca="1" si="27"/>
        <v>51.9</v>
      </c>
      <c r="X105">
        <f t="shared" ca="1" si="28"/>
        <v>50.1</v>
      </c>
      <c r="Y105">
        <f t="shared" ca="1" si="29"/>
        <v>51.9</v>
      </c>
      <c r="AB105" t="str">
        <f t="shared" si="20"/>
        <v>COX</v>
      </c>
      <c r="AC105">
        <f t="shared" si="30"/>
        <v>0</v>
      </c>
      <c r="AF105">
        <f t="shared" si="31"/>
        <v>1</v>
      </c>
      <c r="AG105">
        <f ca="1">RANK(AF105,OFFSET(AF$95,0,0,$B$26,1))+COUNTIF(AF$95:AF105,AF105)-1</f>
        <v>11</v>
      </c>
      <c r="AH105">
        <f t="shared" ca="1" si="32"/>
        <v>11</v>
      </c>
      <c r="AI105">
        <f t="shared" ca="1" si="33"/>
        <v>11</v>
      </c>
      <c r="AJ105" cm="1">
        <f t="array" aca="1" ref="AJ105" ca="1">INDEX(auto_Country_Status,AI105)</f>
        <v>1</v>
      </c>
      <c r="AK105" t="str" cm="1">
        <f t="array" aca="1" ref="AK105" ca="1">IF($AJ105=0,"",INDEX(auto_Country_ISO,AI105))</f>
        <v>COX</v>
      </c>
      <c r="AL105" t="str" cm="1">
        <f t="array" aca="1" ref="AL105" ca="1">IF($AJ105=0,"",INDEX(auto_ddCountry,AI105))</f>
        <v>Colombo</v>
      </c>
      <c r="AM105" cm="1">
        <f t="array" aca="1" ref="AM105" ca="1">IF($AJ105=0,"",INDEX(OFFSET(Q$95,0,0,$B$26,1),AI105))</f>
        <v>50.1</v>
      </c>
      <c r="AN105" cm="1">
        <f t="array" aca="1" ref="AN105" ca="1">IF($AJ105=0,"",INDEX(OFFSET(R$95,0,0,$B$26,1),AI105))</f>
        <v>51.9</v>
      </c>
      <c r="AO105">
        <f t="shared" ca="1" si="34"/>
        <v>50.1</v>
      </c>
      <c r="AP105">
        <f t="shared" ca="1" si="35"/>
        <v>51.9</v>
      </c>
      <c r="AQ105" t="e">
        <f t="shared" si="16"/>
        <v>#N/A</v>
      </c>
      <c r="AR105" t="e">
        <f t="shared" si="17"/>
        <v>#N/A</v>
      </c>
      <c r="AS105" t="e">
        <f t="shared" si="18"/>
        <v>#N/A</v>
      </c>
      <c r="AU105" t="str" cm="1">
        <f t="array" aca="1" ref="AU105" ca="1">IF(AND($H$2=1,NOT(ISNUMBER(INDEX(auto_DataFlat_DataValue,H105)))),"EXCLUDE","")</f>
        <v/>
      </c>
      <c r="AV105" t="str" cm="1">
        <f t="array" aca="1" ref="AV105" ca="1">IF(AND($H$3=1,NOT(ISNUMBER(INDEX(auto_DataFlat_DataValue,I105)))),"EXCLUDE","")</f>
        <v/>
      </c>
      <c r="AW105" t="str">
        <f t="shared" ca="1" si="36"/>
        <v/>
      </c>
    </row>
    <row r="106" spans="1:49" x14ac:dyDescent="0.4">
      <c r="A106">
        <v>12</v>
      </c>
      <c r="B106" t="str" cm="1">
        <f t="array" ref="B106">SUBSTITUTE(INDEX(auto_Country_ISO,A106),"US-","")</f>
        <v>DLI</v>
      </c>
      <c r="C106" t="str" cm="1">
        <f t="array" ref="C106">INDEX(auto_ddCountry,A106)</f>
        <v>Delhi</v>
      </c>
      <c r="D106" cm="1">
        <f t="array" ref="D106">INDEX(auto_Country_Status,A106)</f>
        <v>1</v>
      </c>
      <c r="E106">
        <f t="shared" si="21"/>
        <v>1</v>
      </c>
      <c r="F106">
        <f>2</f>
        <v>2</v>
      </c>
      <c r="H106" cm="1">
        <f t="array" aca="1" ref="H106" ca="1">INDEX(sys_DataFlat_LU_Grid,$B$2,$A106)</f>
        <v>12</v>
      </c>
      <c r="I106" cm="1">
        <f t="array" aca="1" ref="I106" ca="1">INDEX(sys_DataFlat_LU_Grid,$B$3,$A106)</f>
        <v>72</v>
      </c>
      <c r="K106" cm="1">
        <f t="array" aca="1" ref="K106" ca="1">INDEX(IF($B$43="SCORE",auto_DataFlat_Score,IF($B$43="DATA",auto_DataFlat_DataValue,IF($B$43="Z-SCORE",auto_DataFlat_ZScore))),H106)</f>
        <v>56.8</v>
      </c>
      <c r="L106" cm="1">
        <f t="array" aca="1" ref="L106" ca="1">INDEX(IF($B$44="SCORE",auto_DataFlat_Score,IF($B$44="DATA",auto_DataFlat_DataValue,IF($B$44="Z-SCORE",auto_DataFlat_ZScore))),I106)</f>
        <v>44.2</v>
      </c>
      <c r="N106">
        <f t="shared" ca="1" si="22"/>
        <v>56.8</v>
      </c>
      <c r="O106">
        <f t="shared" ca="1" si="23"/>
        <v>44.2</v>
      </c>
      <c r="Q106">
        <f t="shared" ca="1" si="24"/>
        <v>56.8</v>
      </c>
      <c r="R106">
        <f t="shared" ca="1" si="25"/>
        <v>44.2</v>
      </c>
      <c r="U106">
        <f t="shared" ca="1" si="26"/>
        <v>56.8</v>
      </c>
      <c r="V106">
        <f t="shared" ca="1" si="27"/>
        <v>44.2</v>
      </c>
      <c r="X106">
        <f t="shared" ca="1" si="28"/>
        <v>56.8</v>
      </c>
      <c r="Y106">
        <f t="shared" ca="1" si="29"/>
        <v>44.2</v>
      </c>
      <c r="AB106" t="str">
        <f t="shared" si="20"/>
        <v>DLI</v>
      </c>
      <c r="AC106">
        <f t="shared" si="30"/>
        <v>0</v>
      </c>
      <c r="AF106">
        <f t="shared" si="31"/>
        <v>1</v>
      </c>
      <c r="AG106">
        <f ca="1">RANK(AF106,OFFSET(AF$95,0,0,$B$26,1))+COUNTIF(AF$95:AF106,AF106)-1</f>
        <v>12</v>
      </c>
      <c r="AH106">
        <f t="shared" ca="1" si="32"/>
        <v>12</v>
      </c>
      <c r="AI106">
        <f t="shared" ca="1" si="33"/>
        <v>12</v>
      </c>
      <c r="AJ106" cm="1">
        <f t="array" aca="1" ref="AJ106" ca="1">INDEX(auto_Country_Status,AI106)</f>
        <v>1</v>
      </c>
      <c r="AK106" t="str" cm="1">
        <f t="array" aca="1" ref="AK106" ca="1">IF($AJ106=0,"",INDEX(auto_Country_ISO,AI106))</f>
        <v>DLI</v>
      </c>
      <c r="AL106" t="str" cm="1">
        <f t="array" aca="1" ref="AL106" ca="1">IF($AJ106=0,"",INDEX(auto_ddCountry,AI106))</f>
        <v>Delhi</v>
      </c>
      <c r="AM106" cm="1">
        <f t="array" aca="1" ref="AM106" ca="1">IF($AJ106=0,"",INDEX(OFFSET(Q$95,0,0,$B$26,1),AI106))</f>
        <v>56.8</v>
      </c>
      <c r="AN106" cm="1">
        <f t="array" aca="1" ref="AN106" ca="1">IF($AJ106=0,"",INDEX(OFFSET(R$95,0,0,$B$26,1),AI106))</f>
        <v>44.2</v>
      </c>
      <c r="AO106">
        <f t="shared" ca="1" si="34"/>
        <v>56.8</v>
      </c>
      <c r="AP106">
        <f t="shared" ca="1" si="35"/>
        <v>44.2</v>
      </c>
      <c r="AQ106" t="e">
        <f t="shared" si="16"/>
        <v>#N/A</v>
      </c>
      <c r="AR106" t="e">
        <f t="shared" si="17"/>
        <v>#N/A</v>
      </c>
      <c r="AS106" t="e">
        <f t="shared" si="18"/>
        <v>#N/A</v>
      </c>
      <c r="AU106" t="str" cm="1">
        <f t="array" aca="1" ref="AU106" ca="1">IF(AND($H$2=1,NOT(ISNUMBER(INDEX(auto_DataFlat_DataValue,H106)))),"EXCLUDE","")</f>
        <v/>
      </c>
      <c r="AV106" t="str" cm="1">
        <f t="array" aca="1" ref="AV106" ca="1">IF(AND($H$3=1,NOT(ISNUMBER(INDEX(auto_DataFlat_DataValue,I106)))),"EXCLUDE","")</f>
        <v/>
      </c>
      <c r="AW106" t="str">
        <f t="shared" ca="1" si="36"/>
        <v/>
      </c>
    </row>
    <row r="107" spans="1:49" x14ac:dyDescent="0.4">
      <c r="A107">
        <v>13</v>
      </c>
      <c r="B107" t="str" cm="1">
        <f t="array" ref="B107">SUBSTITUTE(INDEX(auto_Country_ISO,A107),"US-","")</f>
        <v>DAC</v>
      </c>
      <c r="C107" t="str" cm="1">
        <f t="array" ref="C107">INDEX(auto_ddCountry,A107)</f>
        <v>Dhaka</v>
      </c>
      <c r="D107" cm="1">
        <f t="array" ref="D107">INDEX(auto_Country_Status,A107)</f>
        <v>1</v>
      </c>
      <c r="E107">
        <f t="shared" si="21"/>
        <v>1</v>
      </c>
      <c r="F107">
        <f>2</f>
        <v>2</v>
      </c>
      <c r="H107" cm="1">
        <f t="array" aca="1" ref="H107" ca="1">INDEX(sys_DataFlat_LU_Grid,$B$2,$A107)</f>
        <v>13</v>
      </c>
      <c r="I107" cm="1">
        <f t="array" aca="1" ref="I107" ca="1">INDEX(sys_DataFlat_LU_Grid,$B$3,$A107)</f>
        <v>73</v>
      </c>
      <c r="K107" cm="1">
        <f t="array" aca="1" ref="K107" ca="1">INDEX(IF($B$43="SCORE",auto_DataFlat_Score,IF($B$43="DATA",auto_DataFlat_DataValue,IF($B$43="Z-SCORE",auto_DataFlat_ZScore))),H107)</f>
        <v>41.8</v>
      </c>
      <c r="L107" cm="1">
        <f t="array" aca="1" ref="L107" ca="1">INDEX(IF($B$44="SCORE",auto_DataFlat_Score,IF($B$44="DATA",auto_DataFlat_DataValue,IF($B$44="Z-SCORE",auto_DataFlat_ZScore))),I107)</f>
        <v>39.5</v>
      </c>
      <c r="N107">
        <f t="shared" ca="1" si="22"/>
        <v>41.8</v>
      </c>
      <c r="O107">
        <f t="shared" ca="1" si="23"/>
        <v>39.5</v>
      </c>
      <c r="Q107">
        <f t="shared" ca="1" si="24"/>
        <v>41.8</v>
      </c>
      <c r="R107">
        <f t="shared" ca="1" si="25"/>
        <v>39.5</v>
      </c>
      <c r="U107">
        <f t="shared" ca="1" si="26"/>
        <v>41.8</v>
      </c>
      <c r="V107">
        <f t="shared" ca="1" si="27"/>
        <v>39.5</v>
      </c>
      <c r="X107">
        <f t="shared" ca="1" si="28"/>
        <v>41.8</v>
      </c>
      <c r="Y107">
        <f t="shared" ca="1" si="29"/>
        <v>39.5</v>
      </c>
      <c r="AB107" t="str">
        <f t="shared" si="20"/>
        <v>DAC</v>
      </c>
      <c r="AC107">
        <f t="shared" si="30"/>
        <v>0</v>
      </c>
      <c r="AF107">
        <f t="shared" si="31"/>
        <v>1</v>
      </c>
      <c r="AG107">
        <f ca="1">RANK(AF107,OFFSET(AF$95,0,0,$B$26,1))+COUNTIF(AF$95:AF107,AF107)-1</f>
        <v>13</v>
      </c>
      <c r="AH107">
        <f t="shared" ca="1" si="32"/>
        <v>13</v>
      </c>
      <c r="AI107">
        <f t="shared" ca="1" si="33"/>
        <v>13</v>
      </c>
      <c r="AJ107" cm="1">
        <f t="array" aca="1" ref="AJ107" ca="1">INDEX(auto_Country_Status,AI107)</f>
        <v>1</v>
      </c>
      <c r="AK107" t="str" cm="1">
        <f t="array" aca="1" ref="AK107" ca="1">IF($AJ107=0,"",INDEX(auto_Country_ISO,AI107))</f>
        <v>DAC</v>
      </c>
      <c r="AL107" t="str" cm="1">
        <f t="array" aca="1" ref="AL107" ca="1">IF($AJ107=0,"",INDEX(auto_ddCountry,AI107))</f>
        <v>Dhaka</v>
      </c>
      <c r="AM107" cm="1">
        <f t="array" aca="1" ref="AM107" ca="1">IF($AJ107=0,"",INDEX(OFFSET(Q$95,0,0,$B$26,1),AI107))</f>
        <v>41.8</v>
      </c>
      <c r="AN107" cm="1">
        <f t="array" aca="1" ref="AN107" ca="1">IF($AJ107=0,"",INDEX(OFFSET(R$95,0,0,$B$26,1),AI107))</f>
        <v>39.5</v>
      </c>
      <c r="AO107">
        <f t="shared" ca="1" si="34"/>
        <v>41.8</v>
      </c>
      <c r="AP107">
        <f t="shared" ca="1" si="35"/>
        <v>39.5</v>
      </c>
      <c r="AQ107" t="e">
        <f t="shared" si="16"/>
        <v>#N/A</v>
      </c>
      <c r="AR107" t="e">
        <f t="shared" si="17"/>
        <v>#N/A</v>
      </c>
      <c r="AS107" t="e">
        <f t="shared" si="18"/>
        <v>#N/A</v>
      </c>
      <c r="AU107" t="str" cm="1">
        <f t="array" aca="1" ref="AU107" ca="1">IF(AND($H$2=1,NOT(ISNUMBER(INDEX(auto_DataFlat_DataValue,H107)))),"EXCLUDE","")</f>
        <v/>
      </c>
      <c r="AV107" t="str" cm="1">
        <f t="array" aca="1" ref="AV107" ca="1">IF(AND($H$3=1,NOT(ISNUMBER(INDEX(auto_DataFlat_DataValue,I107)))),"EXCLUDE","")</f>
        <v/>
      </c>
      <c r="AW107" t="str">
        <f t="shared" ca="1" si="36"/>
        <v/>
      </c>
    </row>
    <row r="108" spans="1:49" x14ac:dyDescent="0.4">
      <c r="A108">
        <v>14</v>
      </c>
      <c r="B108" t="str" cm="1">
        <f t="array" ref="B108">SUBSTITUTE(INDEX(auto_Country_ISO,A108),"US-","")</f>
        <v>DXB</v>
      </c>
      <c r="C108" t="str" cm="1">
        <f t="array" ref="C108">INDEX(auto_ddCountry,A108)</f>
        <v>Dubai</v>
      </c>
      <c r="D108" cm="1">
        <f t="array" ref="D108">INDEX(auto_Country_Status,A108)</f>
        <v>1</v>
      </c>
      <c r="E108">
        <f t="shared" si="21"/>
        <v>1</v>
      </c>
      <c r="F108">
        <f>2</f>
        <v>2</v>
      </c>
      <c r="H108" cm="1">
        <f t="array" aca="1" ref="H108" ca="1">INDEX(sys_DataFlat_LU_Grid,$B$2,$A108)</f>
        <v>14</v>
      </c>
      <c r="I108" cm="1">
        <f t="array" aca="1" ref="I108" ca="1">INDEX(sys_DataFlat_LU_Grid,$B$3,$A108)</f>
        <v>74</v>
      </c>
      <c r="K108" cm="1">
        <f t="array" aca="1" ref="K108" ca="1">INDEX(IF($B$43="SCORE",auto_DataFlat_Score,IF($B$43="DATA",auto_DataFlat_DataValue,IF($B$43="Z-SCORE",auto_DataFlat_ZScore))),H108)</f>
        <v>65</v>
      </c>
      <c r="L108" cm="1">
        <f t="array" aca="1" ref="L108" ca="1">INDEX(IF($B$44="SCORE",auto_DataFlat_Score,IF($B$44="DATA",auto_DataFlat_DataValue,IF($B$44="Z-SCORE",auto_DataFlat_ZScore))),I108)</f>
        <v>74.3</v>
      </c>
      <c r="N108">
        <f t="shared" ca="1" si="22"/>
        <v>65</v>
      </c>
      <c r="O108">
        <f t="shared" ca="1" si="23"/>
        <v>74.3</v>
      </c>
      <c r="Q108">
        <f t="shared" ca="1" si="24"/>
        <v>65</v>
      </c>
      <c r="R108">
        <f t="shared" ca="1" si="25"/>
        <v>74.3</v>
      </c>
      <c r="U108">
        <f t="shared" ca="1" si="26"/>
        <v>65</v>
      </c>
      <c r="V108">
        <f t="shared" ca="1" si="27"/>
        <v>74.3</v>
      </c>
      <c r="X108">
        <f t="shared" ca="1" si="28"/>
        <v>65</v>
      </c>
      <c r="Y108">
        <f t="shared" ca="1" si="29"/>
        <v>74.3</v>
      </c>
      <c r="AB108" t="str">
        <f t="shared" si="20"/>
        <v>DXB</v>
      </c>
      <c r="AC108">
        <f t="shared" si="30"/>
        <v>0</v>
      </c>
      <c r="AF108">
        <f t="shared" si="31"/>
        <v>1</v>
      </c>
      <c r="AG108">
        <f ca="1">RANK(AF108,OFFSET(AF$95,0,0,$B$26,1))+COUNTIF(AF$95:AF108,AF108)-1</f>
        <v>14</v>
      </c>
      <c r="AH108">
        <f t="shared" ca="1" si="32"/>
        <v>14</v>
      </c>
      <c r="AI108">
        <f t="shared" ca="1" si="33"/>
        <v>14</v>
      </c>
      <c r="AJ108" cm="1">
        <f t="array" aca="1" ref="AJ108" ca="1">INDEX(auto_Country_Status,AI108)</f>
        <v>1</v>
      </c>
      <c r="AK108" t="str" cm="1">
        <f t="array" aca="1" ref="AK108" ca="1">IF($AJ108=0,"",INDEX(auto_Country_ISO,AI108))</f>
        <v>DXB</v>
      </c>
      <c r="AL108" t="str" cm="1">
        <f t="array" aca="1" ref="AL108" ca="1">IF($AJ108=0,"",INDEX(auto_ddCountry,AI108))</f>
        <v>Dubai</v>
      </c>
      <c r="AM108" cm="1">
        <f t="array" aca="1" ref="AM108" ca="1">IF($AJ108=0,"",INDEX(OFFSET(Q$95,0,0,$B$26,1),AI108))</f>
        <v>65</v>
      </c>
      <c r="AN108" cm="1">
        <f t="array" aca="1" ref="AN108" ca="1">IF($AJ108=0,"",INDEX(OFFSET(R$95,0,0,$B$26,1),AI108))</f>
        <v>74.3</v>
      </c>
      <c r="AO108">
        <f t="shared" ca="1" si="34"/>
        <v>65</v>
      </c>
      <c r="AP108">
        <f t="shared" ca="1" si="35"/>
        <v>74.3</v>
      </c>
      <c r="AQ108" t="e">
        <f t="shared" si="16"/>
        <v>#N/A</v>
      </c>
      <c r="AR108" t="e">
        <f t="shared" si="17"/>
        <v>#N/A</v>
      </c>
      <c r="AS108" t="e">
        <f t="shared" si="18"/>
        <v>#N/A</v>
      </c>
      <c r="AU108" t="str" cm="1">
        <f t="array" aca="1" ref="AU108" ca="1">IF(AND($H$2=1,NOT(ISNUMBER(INDEX(auto_DataFlat_DataValue,H108)))),"EXCLUDE","")</f>
        <v/>
      </c>
      <c r="AV108" t="str" cm="1">
        <f t="array" aca="1" ref="AV108" ca="1">IF(AND($H$3=1,NOT(ISNUMBER(INDEX(auto_DataFlat_DataValue,I108)))),"EXCLUDE","")</f>
        <v/>
      </c>
      <c r="AW108" t="str">
        <f t="shared" ca="1" si="36"/>
        <v/>
      </c>
    </row>
    <row r="109" spans="1:49" x14ac:dyDescent="0.4">
      <c r="A109">
        <v>15</v>
      </c>
      <c r="B109" t="str" cm="1">
        <f t="array" ref="B109">SUBSTITUTE(INDEX(auto_Country_ISO,A109),"US-","")</f>
        <v>HEL</v>
      </c>
      <c r="C109" t="str" cm="1">
        <f t="array" ref="C109">INDEX(auto_ddCountry,A109)</f>
        <v>Helsinki</v>
      </c>
      <c r="D109" cm="1">
        <f t="array" ref="D109">INDEX(auto_Country_Status,A109)</f>
        <v>1</v>
      </c>
      <c r="E109">
        <f t="shared" si="21"/>
        <v>1</v>
      </c>
      <c r="F109">
        <f>2</f>
        <v>2</v>
      </c>
      <c r="H109" cm="1">
        <f t="array" aca="1" ref="H109" ca="1">INDEX(sys_DataFlat_LU_Grid,$B$2,$A109)</f>
        <v>15</v>
      </c>
      <c r="I109" cm="1">
        <f t="array" aca="1" ref="I109" ca="1">INDEX(sys_DataFlat_LU_Grid,$B$3,$A109)</f>
        <v>75</v>
      </c>
      <c r="K109" cm="1">
        <f t="array" aca="1" ref="K109" ca="1">INDEX(IF($B$43="SCORE",auto_DataFlat_Score,IF($B$43="DATA",auto_DataFlat_DataValue,IF($B$43="Z-SCORE",auto_DataFlat_ZScore))),H109)</f>
        <v>75.5</v>
      </c>
      <c r="L109" cm="1">
        <f t="array" aca="1" ref="L109" ca="1">INDEX(IF($B$44="SCORE",auto_DataFlat_Score,IF($B$44="DATA",auto_DataFlat_DataValue,IF($B$44="Z-SCORE",auto_DataFlat_ZScore))),I109)</f>
        <v>86.4</v>
      </c>
      <c r="N109">
        <f t="shared" ca="1" si="22"/>
        <v>75.5</v>
      </c>
      <c r="O109">
        <f t="shared" ca="1" si="23"/>
        <v>86.4</v>
      </c>
      <c r="Q109">
        <f t="shared" ca="1" si="24"/>
        <v>75.5</v>
      </c>
      <c r="R109">
        <f t="shared" ca="1" si="25"/>
        <v>86.4</v>
      </c>
      <c r="U109">
        <f t="shared" ca="1" si="26"/>
        <v>75.5</v>
      </c>
      <c r="V109">
        <f t="shared" ca="1" si="27"/>
        <v>86.4</v>
      </c>
      <c r="X109">
        <f t="shared" ca="1" si="28"/>
        <v>75.5</v>
      </c>
      <c r="Y109">
        <f t="shared" ca="1" si="29"/>
        <v>86.4</v>
      </c>
      <c r="AB109" t="str">
        <f t="shared" si="20"/>
        <v>HEL</v>
      </c>
      <c r="AC109">
        <f t="shared" si="30"/>
        <v>0</v>
      </c>
      <c r="AF109">
        <f t="shared" si="31"/>
        <v>1</v>
      </c>
      <c r="AG109">
        <f ca="1">RANK(AF109,OFFSET(AF$95,0,0,$B$26,1))+COUNTIF(AF$95:AF109,AF109)-1</f>
        <v>15</v>
      </c>
      <c r="AH109">
        <f t="shared" ca="1" si="32"/>
        <v>15</v>
      </c>
      <c r="AI109">
        <f t="shared" ca="1" si="33"/>
        <v>15</v>
      </c>
      <c r="AJ109" cm="1">
        <f t="array" aca="1" ref="AJ109" ca="1">INDEX(auto_Country_Status,AI109)</f>
        <v>1</v>
      </c>
      <c r="AK109" t="str" cm="1">
        <f t="array" aca="1" ref="AK109" ca="1">IF($AJ109=0,"",INDEX(auto_Country_ISO,AI109))</f>
        <v>HEL</v>
      </c>
      <c r="AL109" t="str" cm="1">
        <f t="array" aca="1" ref="AL109" ca="1">IF($AJ109=0,"",INDEX(auto_ddCountry,AI109))</f>
        <v>Helsinki</v>
      </c>
      <c r="AM109" cm="1">
        <f t="array" aca="1" ref="AM109" ca="1">IF($AJ109=0,"",INDEX(OFFSET(Q$95,0,0,$B$26,1),AI109))</f>
        <v>75.5</v>
      </c>
      <c r="AN109" cm="1">
        <f t="array" aca="1" ref="AN109" ca="1">IF($AJ109=0,"",INDEX(OFFSET(R$95,0,0,$B$26,1),AI109))</f>
        <v>86.4</v>
      </c>
      <c r="AO109">
        <f t="shared" ca="1" si="34"/>
        <v>75.5</v>
      </c>
      <c r="AP109">
        <f t="shared" ca="1" si="35"/>
        <v>86.4</v>
      </c>
      <c r="AQ109" t="e">
        <f t="shared" si="16"/>
        <v>#N/A</v>
      </c>
      <c r="AR109" t="e">
        <f t="shared" si="17"/>
        <v>#N/A</v>
      </c>
      <c r="AS109" t="e">
        <f t="shared" si="18"/>
        <v>#N/A</v>
      </c>
      <c r="AU109" t="str" cm="1">
        <f t="array" aca="1" ref="AU109" ca="1">IF(AND($H$2=1,NOT(ISNUMBER(INDEX(auto_DataFlat_DataValue,H109)))),"EXCLUDE","")</f>
        <v/>
      </c>
      <c r="AV109" t="str" cm="1">
        <f t="array" aca="1" ref="AV109" ca="1">IF(AND($H$3=1,NOT(ISNUMBER(INDEX(auto_DataFlat_DataValue,I109)))),"EXCLUDE","")</f>
        <v/>
      </c>
      <c r="AW109" t="str">
        <f t="shared" ca="1" si="36"/>
        <v/>
      </c>
    </row>
    <row r="110" spans="1:49" x14ac:dyDescent="0.4">
      <c r="A110">
        <v>16</v>
      </c>
      <c r="B110" t="str" cm="1">
        <f t="array" ref="B110">SUBSTITUTE(INDEX(auto_Country_ISO,A110),"US-","")</f>
        <v>SGN</v>
      </c>
      <c r="C110" t="str" cm="1">
        <f t="array" ref="C110">INDEX(auto_ddCountry,A110)</f>
        <v>Ho Chi Minh City</v>
      </c>
      <c r="D110" cm="1">
        <f t="array" ref="D110">INDEX(auto_Country_Status,A110)</f>
        <v>1</v>
      </c>
      <c r="E110">
        <f t="shared" si="21"/>
        <v>1</v>
      </c>
      <c r="F110">
        <f>2</f>
        <v>2</v>
      </c>
      <c r="H110" cm="1">
        <f t="array" aca="1" ref="H110" ca="1">INDEX(sys_DataFlat_LU_Grid,$B$2,$A110)</f>
        <v>16</v>
      </c>
      <c r="I110" cm="1">
        <f t="array" aca="1" ref="I110" ca="1">INDEX(sys_DataFlat_LU_Grid,$B$3,$A110)</f>
        <v>76</v>
      </c>
      <c r="K110" cm="1">
        <f t="array" aca="1" ref="K110" ca="1">INDEX(IF($B$43="SCORE",auto_DataFlat_Score,IF($B$43="DATA",auto_DataFlat_DataValue,IF($B$43="Z-SCORE",auto_DataFlat_ZScore))),H110)</f>
        <v>66</v>
      </c>
      <c r="L110" cm="1">
        <f t="array" aca="1" ref="L110" ca="1">INDEX(IF($B$44="SCORE",auto_DataFlat_Score,IF($B$44="DATA",auto_DataFlat_DataValue,IF($B$44="Z-SCORE",auto_DataFlat_ZScore))),I110)</f>
        <v>77</v>
      </c>
      <c r="N110">
        <f t="shared" ca="1" si="22"/>
        <v>66</v>
      </c>
      <c r="O110">
        <f t="shared" ca="1" si="23"/>
        <v>77</v>
      </c>
      <c r="Q110">
        <f t="shared" ca="1" si="24"/>
        <v>66</v>
      </c>
      <c r="R110">
        <f t="shared" ca="1" si="25"/>
        <v>77</v>
      </c>
      <c r="U110">
        <f t="shared" ca="1" si="26"/>
        <v>66</v>
      </c>
      <c r="V110">
        <f t="shared" ca="1" si="27"/>
        <v>77</v>
      </c>
      <c r="X110">
        <f t="shared" ca="1" si="28"/>
        <v>66</v>
      </c>
      <c r="Y110">
        <f t="shared" ca="1" si="29"/>
        <v>77</v>
      </c>
      <c r="AB110" t="str">
        <f t="shared" si="20"/>
        <v>SGN</v>
      </c>
      <c r="AC110">
        <f t="shared" si="30"/>
        <v>0</v>
      </c>
      <c r="AF110">
        <f t="shared" si="31"/>
        <v>1</v>
      </c>
      <c r="AG110">
        <f ca="1">RANK(AF110,OFFSET(AF$95,0,0,$B$26,1))+COUNTIF(AF$95:AF110,AF110)-1</f>
        <v>16</v>
      </c>
      <c r="AH110">
        <f t="shared" ca="1" si="32"/>
        <v>16</v>
      </c>
      <c r="AI110">
        <f t="shared" ca="1" si="33"/>
        <v>16</v>
      </c>
      <c r="AJ110" cm="1">
        <f t="array" aca="1" ref="AJ110" ca="1">INDEX(auto_Country_Status,AI110)</f>
        <v>1</v>
      </c>
      <c r="AK110" t="str" cm="1">
        <f t="array" aca="1" ref="AK110" ca="1">IF($AJ110=0,"",INDEX(auto_Country_ISO,AI110))</f>
        <v>SGN</v>
      </c>
      <c r="AL110" t="str" cm="1">
        <f t="array" aca="1" ref="AL110" ca="1">IF($AJ110=0,"",INDEX(auto_ddCountry,AI110))</f>
        <v>Ho Chi Minh City</v>
      </c>
      <c r="AM110" cm="1">
        <f t="array" aca="1" ref="AM110" ca="1">IF($AJ110=0,"",INDEX(OFFSET(Q$95,0,0,$B$26,1),AI110))</f>
        <v>66</v>
      </c>
      <c r="AN110" cm="1">
        <f t="array" aca="1" ref="AN110" ca="1">IF($AJ110=0,"",INDEX(OFFSET(R$95,0,0,$B$26,1),AI110))</f>
        <v>77</v>
      </c>
      <c r="AO110">
        <f t="shared" ca="1" si="34"/>
        <v>66</v>
      </c>
      <c r="AP110">
        <f t="shared" ca="1" si="35"/>
        <v>77</v>
      </c>
      <c r="AQ110" t="e">
        <f t="shared" si="16"/>
        <v>#N/A</v>
      </c>
      <c r="AR110" t="e">
        <f t="shared" si="17"/>
        <v>#N/A</v>
      </c>
      <c r="AS110" t="e">
        <f t="shared" si="18"/>
        <v>#N/A</v>
      </c>
      <c r="AU110" t="str" cm="1">
        <f t="array" aca="1" ref="AU110" ca="1">IF(AND($H$2=1,NOT(ISNUMBER(INDEX(auto_DataFlat_DataValue,H110)))),"EXCLUDE","")</f>
        <v/>
      </c>
      <c r="AV110" t="str" cm="1">
        <f t="array" aca="1" ref="AV110" ca="1">IF(AND($H$3=1,NOT(ISNUMBER(INDEX(auto_DataFlat_DataValue,I110)))),"EXCLUDE","")</f>
        <v/>
      </c>
      <c r="AW110" t="str">
        <f t="shared" ca="1" si="36"/>
        <v/>
      </c>
    </row>
    <row r="111" spans="1:49" x14ac:dyDescent="0.4">
      <c r="A111">
        <v>17</v>
      </c>
      <c r="B111" t="str" cm="1">
        <f t="array" ref="B111">SUBSTITUTE(INDEX(auto_Country_ISO,A111),"US-","")</f>
        <v>HKG</v>
      </c>
      <c r="C111" t="str" cm="1">
        <f t="array" ref="C111">INDEX(auto_ddCountry,A111)</f>
        <v>Hong Kong</v>
      </c>
      <c r="D111" cm="1">
        <f t="array" ref="D111">INDEX(auto_Country_Status,A111)</f>
        <v>1</v>
      </c>
      <c r="E111">
        <f t="shared" si="21"/>
        <v>1</v>
      </c>
      <c r="F111">
        <f>2</f>
        <v>2</v>
      </c>
      <c r="H111" cm="1">
        <f t="array" aca="1" ref="H111" ca="1">INDEX(sys_DataFlat_LU_Grid,$B$2,$A111)</f>
        <v>17</v>
      </c>
      <c r="I111" cm="1">
        <f t="array" aca="1" ref="I111" ca="1">INDEX(sys_DataFlat_LU_Grid,$B$3,$A111)</f>
        <v>77</v>
      </c>
      <c r="K111" cm="1">
        <f t="array" aca="1" ref="K111" ca="1">INDEX(IF($B$43="SCORE",auto_DataFlat_Score,IF($B$43="DATA",auto_DataFlat_DataValue,IF($B$43="Z-SCORE",auto_DataFlat_ZScore))),H111)</f>
        <v>83.2</v>
      </c>
      <c r="L111" cm="1">
        <f t="array" aca="1" ref="L111" ca="1">INDEX(IF($B$44="SCORE",auto_DataFlat_Score,IF($B$44="DATA",auto_DataFlat_DataValue,IF($B$44="Z-SCORE",auto_DataFlat_ZScore))),I111)</f>
        <v>84.3</v>
      </c>
      <c r="N111">
        <f t="shared" ca="1" si="22"/>
        <v>83.2</v>
      </c>
      <c r="O111">
        <f t="shared" ca="1" si="23"/>
        <v>84.3</v>
      </c>
      <c r="Q111">
        <f t="shared" ca="1" si="24"/>
        <v>83.2</v>
      </c>
      <c r="R111">
        <f t="shared" ca="1" si="25"/>
        <v>84.3</v>
      </c>
      <c r="U111">
        <f t="shared" ca="1" si="26"/>
        <v>83.2</v>
      </c>
      <c r="V111">
        <f t="shared" ca="1" si="27"/>
        <v>84.3</v>
      </c>
      <c r="X111">
        <f t="shared" ca="1" si="28"/>
        <v>83.2</v>
      </c>
      <c r="Y111">
        <f t="shared" ca="1" si="29"/>
        <v>84.3</v>
      </c>
      <c r="AB111" t="str">
        <f t="shared" si="20"/>
        <v>HKG</v>
      </c>
      <c r="AC111">
        <f t="shared" si="30"/>
        <v>0</v>
      </c>
      <c r="AF111">
        <f t="shared" si="31"/>
        <v>1</v>
      </c>
      <c r="AG111">
        <f ca="1">RANK(AF111,OFFSET(AF$95,0,0,$B$26,1))+COUNTIF(AF$95:AF111,AF111)-1</f>
        <v>17</v>
      </c>
      <c r="AH111">
        <f t="shared" ca="1" si="32"/>
        <v>17</v>
      </c>
      <c r="AI111">
        <f t="shared" ca="1" si="33"/>
        <v>17</v>
      </c>
      <c r="AJ111" cm="1">
        <f t="array" aca="1" ref="AJ111" ca="1">INDEX(auto_Country_Status,AI111)</f>
        <v>1</v>
      </c>
      <c r="AK111" t="str" cm="1">
        <f t="array" aca="1" ref="AK111" ca="1">IF($AJ111=0,"",INDEX(auto_Country_ISO,AI111))</f>
        <v>HKG</v>
      </c>
      <c r="AL111" t="str" cm="1">
        <f t="array" aca="1" ref="AL111" ca="1">IF($AJ111=0,"",INDEX(auto_ddCountry,AI111))</f>
        <v>Hong Kong</v>
      </c>
      <c r="AM111" cm="1">
        <f t="array" aca="1" ref="AM111" ca="1">IF($AJ111=0,"",INDEX(OFFSET(Q$95,0,0,$B$26,1),AI111))</f>
        <v>83.2</v>
      </c>
      <c r="AN111" cm="1">
        <f t="array" aca="1" ref="AN111" ca="1">IF($AJ111=0,"",INDEX(OFFSET(R$95,0,0,$B$26,1),AI111))</f>
        <v>84.3</v>
      </c>
      <c r="AO111">
        <f t="shared" ca="1" si="34"/>
        <v>83.2</v>
      </c>
      <c r="AP111">
        <f t="shared" ca="1" si="35"/>
        <v>84.3</v>
      </c>
      <c r="AQ111" t="e">
        <f t="shared" si="16"/>
        <v>#N/A</v>
      </c>
      <c r="AR111" t="e">
        <f t="shared" si="17"/>
        <v>#N/A</v>
      </c>
      <c r="AS111" t="e">
        <f t="shared" si="18"/>
        <v>#N/A</v>
      </c>
      <c r="AU111" t="str" cm="1">
        <f t="array" aca="1" ref="AU111" ca="1">IF(AND($H$2=1,NOT(ISNUMBER(INDEX(auto_DataFlat_DataValue,H111)))),"EXCLUDE","")</f>
        <v/>
      </c>
      <c r="AV111" t="str" cm="1">
        <f t="array" aca="1" ref="AV111" ca="1">IF(AND($H$3=1,NOT(ISNUMBER(INDEX(auto_DataFlat_DataValue,I111)))),"EXCLUDE","")</f>
        <v/>
      </c>
      <c r="AW111" t="str">
        <f t="shared" ca="1" si="36"/>
        <v/>
      </c>
    </row>
    <row r="112" spans="1:49" x14ac:dyDescent="0.4">
      <c r="A112">
        <v>18</v>
      </c>
      <c r="B112" t="str" cm="1">
        <f t="array" ref="B112">SUBSTITUTE(INDEX(auto_Country_ISO,A112),"US-","")</f>
        <v>IST</v>
      </c>
      <c r="C112" t="str" cm="1">
        <f t="array" ref="C112">INDEX(auto_ddCountry,A112)</f>
        <v>Istanbul</v>
      </c>
      <c r="D112" cm="1">
        <f t="array" ref="D112">INDEX(auto_Country_Status,A112)</f>
        <v>1</v>
      </c>
      <c r="E112">
        <f t="shared" si="21"/>
        <v>1</v>
      </c>
      <c r="F112">
        <f>2</f>
        <v>2</v>
      </c>
      <c r="H112" cm="1">
        <f t="array" aca="1" ref="H112" ca="1">INDEX(sys_DataFlat_LU_Grid,$B$2,$A112)</f>
        <v>18</v>
      </c>
      <c r="I112" cm="1">
        <f t="array" aca="1" ref="I112" ca="1">INDEX(sys_DataFlat_LU_Grid,$B$3,$A112)</f>
        <v>78</v>
      </c>
      <c r="K112" cm="1">
        <f t="array" aca="1" ref="K112" ca="1">INDEX(IF($B$43="SCORE",auto_DataFlat_Score,IF($B$43="DATA",auto_DataFlat_DataValue,IF($B$43="Z-SCORE",auto_DataFlat_ZScore))),H112)</f>
        <v>60.4</v>
      </c>
      <c r="L112" cm="1">
        <f t="array" aca="1" ref="L112" ca="1">INDEX(IF($B$44="SCORE",auto_DataFlat_Score,IF($B$44="DATA",auto_DataFlat_DataValue,IF($B$44="Z-SCORE",auto_DataFlat_ZScore))),I112)</f>
        <v>80.599999999999994</v>
      </c>
      <c r="N112">
        <f t="shared" ca="1" si="22"/>
        <v>60.4</v>
      </c>
      <c r="O112">
        <f t="shared" ca="1" si="23"/>
        <v>80.599999999999994</v>
      </c>
      <c r="Q112">
        <f t="shared" ca="1" si="24"/>
        <v>60.4</v>
      </c>
      <c r="R112">
        <f t="shared" ca="1" si="25"/>
        <v>80.599999999999994</v>
      </c>
      <c r="U112">
        <f t="shared" ca="1" si="26"/>
        <v>60.4</v>
      </c>
      <c r="V112">
        <f t="shared" ca="1" si="27"/>
        <v>80.599999999999994</v>
      </c>
      <c r="X112">
        <f t="shared" ca="1" si="28"/>
        <v>60.4</v>
      </c>
      <c r="Y112">
        <f t="shared" ca="1" si="29"/>
        <v>80.599999999999994</v>
      </c>
      <c r="AB112" t="str">
        <f t="shared" si="20"/>
        <v>IST</v>
      </c>
      <c r="AC112">
        <f t="shared" si="30"/>
        <v>0</v>
      </c>
      <c r="AF112">
        <f t="shared" si="31"/>
        <v>1</v>
      </c>
      <c r="AG112">
        <f ca="1">RANK(AF112,OFFSET(AF$95,0,0,$B$26,1))+COUNTIF(AF$95:AF112,AF112)-1</f>
        <v>18</v>
      </c>
      <c r="AH112">
        <f t="shared" ca="1" si="32"/>
        <v>18</v>
      </c>
      <c r="AI112">
        <f t="shared" ca="1" si="33"/>
        <v>18</v>
      </c>
      <c r="AJ112" cm="1">
        <f t="array" aca="1" ref="AJ112" ca="1">INDEX(auto_Country_Status,AI112)</f>
        <v>1</v>
      </c>
      <c r="AK112" t="str" cm="1">
        <f t="array" aca="1" ref="AK112" ca="1">IF($AJ112=0,"",INDEX(auto_Country_ISO,AI112))</f>
        <v>IST</v>
      </c>
      <c r="AL112" t="str" cm="1">
        <f t="array" aca="1" ref="AL112" ca="1">IF($AJ112=0,"",INDEX(auto_ddCountry,AI112))</f>
        <v>Istanbul</v>
      </c>
      <c r="AM112" cm="1">
        <f t="array" aca="1" ref="AM112" ca="1">IF($AJ112=0,"",INDEX(OFFSET(Q$95,0,0,$B$26,1),AI112))</f>
        <v>60.4</v>
      </c>
      <c r="AN112" cm="1">
        <f t="array" aca="1" ref="AN112" ca="1">IF($AJ112=0,"",INDEX(OFFSET(R$95,0,0,$B$26,1),AI112))</f>
        <v>80.599999999999994</v>
      </c>
      <c r="AO112">
        <f t="shared" ca="1" si="34"/>
        <v>60.4</v>
      </c>
      <c r="AP112">
        <f t="shared" ca="1" si="35"/>
        <v>80.599999999999994</v>
      </c>
      <c r="AQ112" t="e">
        <f t="shared" si="16"/>
        <v>#N/A</v>
      </c>
      <c r="AR112" t="e">
        <f t="shared" si="17"/>
        <v>#N/A</v>
      </c>
      <c r="AS112" t="e">
        <f t="shared" si="18"/>
        <v>#N/A</v>
      </c>
      <c r="AU112" t="str" cm="1">
        <f t="array" aca="1" ref="AU112" ca="1">IF(AND($H$2=1,NOT(ISNUMBER(INDEX(auto_DataFlat_DataValue,H112)))),"EXCLUDE","")</f>
        <v/>
      </c>
      <c r="AV112" t="str" cm="1">
        <f t="array" aca="1" ref="AV112" ca="1">IF(AND($H$3=1,NOT(ISNUMBER(INDEX(auto_DataFlat_DataValue,I112)))),"EXCLUDE","")</f>
        <v/>
      </c>
      <c r="AW112" t="str">
        <f t="shared" ca="1" si="36"/>
        <v/>
      </c>
    </row>
    <row r="113" spans="1:49" x14ac:dyDescent="0.4">
      <c r="A113">
        <v>19</v>
      </c>
      <c r="B113" t="str" cm="1">
        <f t="array" ref="B113">SUBSTITUTE(INDEX(auto_Country_ISO,A113),"US-","")</f>
        <v>JKT</v>
      </c>
      <c r="C113" t="str" cm="1">
        <f t="array" ref="C113">INDEX(auto_ddCountry,A113)</f>
        <v>Jakarta</v>
      </c>
      <c r="D113" cm="1">
        <f t="array" ref="D113">INDEX(auto_Country_Status,A113)</f>
        <v>1</v>
      </c>
      <c r="E113">
        <f t="shared" si="21"/>
        <v>1</v>
      </c>
      <c r="F113">
        <f>2</f>
        <v>2</v>
      </c>
      <c r="H113" cm="1">
        <f t="array" aca="1" ref="H113" ca="1">INDEX(sys_DataFlat_LU_Grid,$B$2,$A113)</f>
        <v>19</v>
      </c>
      <c r="I113" cm="1">
        <f t="array" aca="1" ref="I113" ca="1">INDEX(sys_DataFlat_LU_Grid,$B$3,$A113)</f>
        <v>79</v>
      </c>
      <c r="K113" cm="1">
        <f t="array" aca="1" ref="K113" ca="1">INDEX(IF($B$43="SCORE",auto_DataFlat_Score,IF($B$43="DATA",auto_DataFlat_DataValue,IF($B$43="Z-SCORE",auto_DataFlat_ZScore))),H113)</f>
        <v>71.7</v>
      </c>
      <c r="L113" cm="1">
        <f t="array" aca="1" ref="L113" ca="1">INDEX(IF($B$44="SCORE",auto_DataFlat_Score,IF($B$44="DATA",auto_DataFlat_DataValue,IF($B$44="Z-SCORE",auto_DataFlat_ZScore))),I113)</f>
        <v>77.8</v>
      </c>
      <c r="N113">
        <f t="shared" ca="1" si="22"/>
        <v>71.7</v>
      </c>
      <c r="O113">
        <f t="shared" ca="1" si="23"/>
        <v>77.8</v>
      </c>
      <c r="Q113">
        <f t="shared" ca="1" si="24"/>
        <v>71.7</v>
      </c>
      <c r="R113">
        <f t="shared" ca="1" si="25"/>
        <v>77.8</v>
      </c>
      <c r="U113">
        <f t="shared" ca="1" si="26"/>
        <v>71.7</v>
      </c>
      <c r="V113">
        <f t="shared" ca="1" si="27"/>
        <v>77.8</v>
      </c>
      <c r="X113">
        <f t="shared" ca="1" si="28"/>
        <v>71.7</v>
      </c>
      <c r="Y113">
        <f t="shared" ca="1" si="29"/>
        <v>77.8</v>
      </c>
      <c r="AB113" t="str">
        <f t="shared" si="20"/>
        <v>JKT</v>
      </c>
      <c r="AC113">
        <f t="shared" si="30"/>
        <v>0</v>
      </c>
      <c r="AF113">
        <f t="shared" si="31"/>
        <v>1</v>
      </c>
      <c r="AG113">
        <f ca="1">RANK(AF113,OFFSET(AF$95,0,0,$B$26,1))+COUNTIF(AF$95:AF113,AF113)-1</f>
        <v>19</v>
      </c>
      <c r="AH113">
        <f t="shared" ca="1" si="32"/>
        <v>19</v>
      </c>
      <c r="AI113">
        <f t="shared" ca="1" si="33"/>
        <v>19</v>
      </c>
      <c r="AJ113" cm="1">
        <f t="array" aca="1" ref="AJ113" ca="1">INDEX(auto_Country_Status,AI113)</f>
        <v>1</v>
      </c>
      <c r="AK113" t="str" cm="1">
        <f t="array" aca="1" ref="AK113" ca="1">IF($AJ113=0,"",INDEX(auto_Country_ISO,AI113))</f>
        <v>JKT</v>
      </c>
      <c r="AL113" t="str" cm="1">
        <f t="array" aca="1" ref="AL113" ca="1">IF($AJ113=0,"",INDEX(auto_ddCountry,AI113))</f>
        <v>Jakarta</v>
      </c>
      <c r="AM113" cm="1">
        <f t="array" aca="1" ref="AM113" ca="1">IF($AJ113=0,"",INDEX(OFFSET(Q$95,0,0,$B$26,1),AI113))</f>
        <v>71.7</v>
      </c>
      <c r="AN113" cm="1">
        <f t="array" aca="1" ref="AN113" ca="1">IF($AJ113=0,"",INDEX(OFFSET(R$95,0,0,$B$26,1),AI113))</f>
        <v>77.8</v>
      </c>
      <c r="AO113">
        <f t="shared" ca="1" si="34"/>
        <v>71.7</v>
      </c>
      <c r="AP113">
        <f t="shared" ca="1" si="35"/>
        <v>77.8</v>
      </c>
      <c r="AQ113" t="e">
        <f t="shared" si="16"/>
        <v>#N/A</v>
      </c>
      <c r="AR113" t="e">
        <f t="shared" si="17"/>
        <v>#N/A</v>
      </c>
      <c r="AS113" t="e">
        <f t="shared" si="18"/>
        <v>#N/A</v>
      </c>
      <c r="AU113" t="str" cm="1">
        <f t="array" aca="1" ref="AU113" ca="1">IF(AND($H$2=1,NOT(ISNUMBER(INDEX(auto_DataFlat_DataValue,H113)))),"EXCLUDE","")</f>
        <v/>
      </c>
      <c r="AV113" t="str" cm="1">
        <f t="array" aca="1" ref="AV113" ca="1">IF(AND($H$3=1,NOT(ISNUMBER(INDEX(auto_DataFlat_DataValue,I113)))),"EXCLUDE","")</f>
        <v/>
      </c>
      <c r="AW113" t="str">
        <f t="shared" ca="1" si="36"/>
        <v/>
      </c>
    </row>
    <row r="114" spans="1:49" x14ac:dyDescent="0.4">
      <c r="A114">
        <v>20</v>
      </c>
      <c r="B114" t="str" cm="1">
        <f t="array" ref="B114">SUBSTITUTE(INDEX(auto_Country_ISO,A114),"US-","")</f>
        <v>JNB</v>
      </c>
      <c r="C114" t="str" cm="1">
        <f t="array" ref="C114">INDEX(auto_ddCountry,A114)</f>
        <v>Johannesburg</v>
      </c>
      <c r="D114" cm="1">
        <f t="array" ref="D114">INDEX(auto_Country_Status,A114)</f>
        <v>1</v>
      </c>
      <c r="E114">
        <f t="shared" si="21"/>
        <v>1</v>
      </c>
      <c r="F114">
        <f>2</f>
        <v>2</v>
      </c>
      <c r="H114" cm="1">
        <f t="array" aca="1" ref="H114" ca="1">INDEX(sys_DataFlat_LU_Grid,$B$2,$A114)</f>
        <v>20</v>
      </c>
      <c r="I114" cm="1">
        <f t="array" aca="1" ref="I114" ca="1">INDEX(sys_DataFlat_LU_Grid,$B$3,$A114)</f>
        <v>80</v>
      </c>
      <c r="K114" cm="1">
        <f t="array" aca="1" ref="K114" ca="1">INDEX(IF($B$43="SCORE",auto_DataFlat_Score,IF($B$43="DATA",auto_DataFlat_DataValue,IF($B$43="Z-SCORE",auto_DataFlat_ZScore))),H114)</f>
        <v>52.5</v>
      </c>
      <c r="L114" cm="1">
        <f t="array" aca="1" ref="L114" ca="1">INDEX(IF($B$44="SCORE",auto_DataFlat_Score,IF($B$44="DATA",auto_DataFlat_DataValue,IF($B$44="Z-SCORE",auto_DataFlat_ZScore))),I114)</f>
        <v>80.099999999999994</v>
      </c>
      <c r="N114">
        <f t="shared" ca="1" si="22"/>
        <v>52.5</v>
      </c>
      <c r="O114">
        <f t="shared" ca="1" si="23"/>
        <v>80.099999999999994</v>
      </c>
      <c r="Q114">
        <f t="shared" ca="1" si="24"/>
        <v>52.5</v>
      </c>
      <c r="R114">
        <f t="shared" ca="1" si="25"/>
        <v>80.099999999999994</v>
      </c>
      <c r="U114">
        <f t="shared" ca="1" si="26"/>
        <v>52.5</v>
      </c>
      <c r="V114">
        <f t="shared" ca="1" si="27"/>
        <v>80.099999999999994</v>
      </c>
      <c r="X114">
        <f t="shared" ca="1" si="28"/>
        <v>52.5</v>
      </c>
      <c r="Y114">
        <f t="shared" ca="1" si="29"/>
        <v>80.099999999999994</v>
      </c>
      <c r="AB114" t="str">
        <f t="shared" si="20"/>
        <v>JNB</v>
      </c>
      <c r="AC114">
        <f t="shared" si="30"/>
        <v>0</v>
      </c>
      <c r="AF114">
        <f t="shared" si="31"/>
        <v>1</v>
      </c>
      <c r="AG114">
        <f ca="1">RANK(AF114,OFFSET(AF$95,0,0,$B$26,1))+COUNTIF(AF$95:AF114,AF114)-1</f>
        <v>20</v>
      </c>
      <c r="AH114">
        <f t="shared" ca="1" si="32"/>
        <v>20</v>
      </c>
      <c r="AI114">
        <f t="shared" ca="1" si="33"/>
        <v>20</v>
      </c>
      <c r="AJ114" cm="1">
        <f t="array" aca="1" ref="AJ114" ca="1">INDEX(auto_Country_Status,AI114)</f>
        <v>1</v>
      </c>
      <c r="AK114" t="str" cm="1">
        <f t="array" aca="1" ref="AK114" ca="1">IF($AJ114=0,"",INDEX(auto_Country_ISO,AI114))</f>
        <v>JNB</v>
      </c>
      <c r="AL114" t="str" cm="1">
        <f t="array" aca="1" ref="AL114" ca="1">IF($AJ114=0,"",INDEX(auto_ddCountry,AI114))</f>
        <v>Johannesburg</v>
      </c>
      <c r="AM114" cm="1">
        <f t="array" aca="1" ref="AM114" ca="1">IF($AJ114=0,"",INDEX(OFFSET(Q$95,0,0,$B$26,1),AI114))</f>
        <v>52.5</v>
      </c>
      <c r="AN114" cm="1">
        <f t="array" aca="1" ref="AN114" ca="1">IF($AJ114=0,"",INDEX(OFFSET(R$95,0,0,$B$26,1),AI114))</f>
        <v>80.099999999999994</v>
      </c>
      <c r="AO114">
        <f t="shared" ca="1" si="34"/>
        <v>52.5</v>
      </c>
      <c r="AP114">
        <f t="shared" ca="1" si="35"/>
        <v>80.099999999999994</v>
      </c>
      <c r="AQ114" t="e">
        <f t="shared" si="16"/>
        <v>#N/A</v>
      </c>
      <c r="AR114" t="e">
        <f t="shared" si="17"/>
        <v>#N/A</v>
      </c>
      <c r="AS114" t="e">
        <f t="shared" si="18"/>
        <v>#N/A</v>
      </c>
      <c r="AU114" t="str" cm="1">
        <f t="array" aca="1" ref="AU114" ca="1">IF(AND($H$2=1,NOT(ISNUMBER(INDEX(auto_DataFlat_DataValue,H114)))),"EXCLUDE","")</f>
        <v/>
      </c>
      <c r="AV114" t="str" cm="1">
        <f t="array" aca="1" ref="AV114" ca="1">IF(AND($H$3=1,NOT(ISNUMBER(INDEX(auto_DataFlat_DataValue,I114)))),"EXCLUDE","")</f>
        <v/>
      </c>
      <c r="AW114" t="str">
        <f t="shared" ca="1" si="36"/>
        <v/>
      </c>
    </row>
    <row r="115" spans="1:49" x14ac:dyDescent="0.4">
      <c r="A115">
        <v>21</v>
      </c>
      <c r="B115" t="str" cm="1">
        <f t="array" ref="B115">SUBSTITUTE(INDEX(auto_Country_ISO,A115),"US-","")</f>
        <v>KHI</v>
      </c>
      <c r="C115" t="str" cm="1">
        <f t="array" ref="C115">INDEX(auto_ddCountry,A115)</f>
        <v>Karachi</v>
      </c>
      <c r="D115" cm="1">
        <f t="array" ref="D115">INDEX(auto_Country_Status,A115)</f>
        <v>1</v>
      </c>
      <c r="E115">
        <f t="shared" si="21"/>
        <v>1</v>
      </c>
      <c r="F115">
        <f>2</f>
        <v>2</v>
      </c>
      <c r="H115" cm="1">
        <f t="array" aca="1" ref="H115" ca="1">INDEX(sys_DataFlat_LU_Grid,$B$2,$A115)</f>
        <v>21</v>
      </c>
      <c r="I115" cm="1">
        <f t="array" aca="1" ref="I115" ca="1">INDEX(sys_DataFlat_LU_Grid,$B$3,$A115)</f>
        <v>81</v>
      </c>
      <c r="K115" cm="1">
        <f t="array" aca="1" ref="K115" ca="1">INDEX(IF($B$43="SCORE",auto_DataFlat_Score,IF($B$43="DATA",auto_DataFlat_DataValue,IF($B$43="Z-SCORE",auto_DataFlat_ZScore))),H115)</f>
        <v>44.3</v>
      </c>
      <c r="L115" cm="1">
        <f t="array" aca="1" ref="L115" ca="1">INDEX(IF($B$44="SCORE",auto_DataFlat_Score,IF($B$44="DATA",auto_DataFlat_DataValue,IF($B$44="Z-SCORE",auto_DataFlat_ZScore))),I115)</f>
        <v>56.4</v>
      </c>
      <c r="N115">
        <f t="shared" ca="1" si="22"/>
        <v>44.3</v>
      </c>
      <c r="O115">
        <f t="shared" ca="1" si="23"/>
        <v>56.4</v>
      </c>
      <c r="Q115">
        <f t="shared" ca="1" si="24"/>
        <v>44.3</v>
      </c>
      <c r="R115">
        <f t="shared" ca="1" si="25"/>
        <v>56.4</v>
      </c>
      <c r="U115">
        <f t="shared" ca="1" si="26"/>
        <v>44.3</v>
      </c>
      <c r="V115">
        <f t="shared" ca="1" si="27"/>
        <v>56.4</v>
      </c>
      <c r="X115">
        <f t="shared" ca="1" si="28"/>
        <v>44.3</v>
      </c>
      <c r="Y115">
        <f t="shared" ca="1" si="29"/>
        <v>56.4</v>
      </c>
      <c r="AB115" t="str">
        <f t="shared" si="20"/>
        <v>KHI</v>
      </c>
      <c r="AC115">
        <f t="shared" si="30"/>
        <v>0</v>
      </c>
      <c r="AF115">
        <f t="shared" si="31"/>
        <v>1</v>
      </c>
      <c r="AG115">
        <f ca="1">RANK(AF115,OFFSET(AF$95,0,0,$B$26,1))+COUNTIF(AF$95:AF115,AF115)-1</f>
        <v>21</v>
      </c>
      <c r="AH115">
        <f t="shared" ca="1" si="32"/>
        <v>21</v>
      </c>
      <c r="AI115">
        <f t="shared" ca="1" si="33"/>
        <v>21</v>
      </c>
      <c r="AJ115" cm="1">
        <f t="array" aca="1" ref="AJ115" ca="1">INDEX(auto_Country_Status,AI115)</f>
        <v>1</v>
      </c>
      <c r="AK115" t="str" cm="1">
        <f t="array" aca="1" ref="AK115" ca="1">IF($AJ115=0,"",INDEX(auto_Country_ISO,AI115))</f>
        <v>KHI</v>
      </c>
      <c r="AL115" t="str" cm="1">
        <f t="array" aca="1" ref="AL115" ca="1">IF($AJ115=0,"",INDEX(auto_ddCountry,AI115))</f>
        <v>Karachi</v>
      </c>
      <c r="AM115" cm="1">
        <f t="array" aca="1" ref="AM115" ca="1">IF($AJ115=0,"",INDEX(OFFSET(Q$95,0,0,$B$26,1),AI115))</f>
        <v>44.3</v>
      </c>
      <c r="AN115" cm="1">
        <f t="array" aca="1" ref="AN115" ca="1">IF($AJ115=0,"",INDEX(OFFSET(R$95,0,0,$B$26,1),AI115))</f>
        <v>56.4</v>
      </c>
      <c r="AO115">
        <f t="shared" ca="1" si="34"/>
        <v>44.3</v>
      </c>
      <c r="AP115">
        <f t="shared" ca="1" si="35"/>
        <v>56.4</v>
      </c>
      <c r="AQ115" t="e">
        <f t="shared" si="16"/>
        <v>#N/A</v>
      </c>
      <c r="AR115" t="e">
        <f t="shared" si="17"/>
        <v>#N/A</v>
      </c>
      <c r="AS115" t="e">
        <f t="shared" si="18"/>
        <v>#N/A</v>
      </c>
      <c r="AU115" t="str" cm="1">
        <f t="array" aca="1" ref="AU115" ca="1">IF(AND($H$2=1,NOT(ISNUMBER(INDEX(auto_DataFlat_DataValue,H115)))),"EXCLUDE","")</f>
        <v/>
      </c>
      <c r="AV115" t="str" cm="1">
        <f t="array" aca="1" ref="AV115" ca="1">IF(AND($H$3=1,NOT(ISNUMBER(INDEX(auto_DataFlat_DataValue,I115)))),"EXCLUDE","")</f>
        <v/>
      </c>
      <c r="AW115" t="str">
        <f t="shared" ca="1" si="36"/>
        <v/>
      </c>
    </row>
    <row r="116" spans="1:49" x14ac:dyDescent="0.4">
      <c r="A116">
        <v>22</v>
      </c>
      <c r="B116" t="str" cm="1">
        <f t="array" ref="B116">SUBSTITUTE(INDEX(auto_Country_ISO,A116),"US-","")</f>
        <v>KTM</v>
      </c>
      <c r="C116" t="str" cm="1">
        <f t="array" ref="C116">INDEX(auto_ddCountry,A116)</f>
        <v>Kathmandu</v>
      </c>
      <c r="D116" cm="1">
        <f t="array" ref="D116">INDEX(auto_Country_Status,A116)</f>
        <v>1</v>
      </c>
      <c r="E116">
        <f t="shared" si="21"/>
        <v>1</v>
      </c>
      <c r="F116">
        <f>2</f>
        <v>2</v>
      </c>
      <c r="H116" cm="1">
        <f t="array" aca="1" ref="H116" ca="1">INDEX(sys_DataFlat_LU_Grid,$B$2,$A116)</f>
        <v>22</v>
      </c>
      <c r="I116" cm="1">
        <f t="array" aca="1" ref="I116" ca="1">INDEX(sys_DataFlat_LU_Grid,$B$3,$A116)</f>
        <v>82</v>
      </c>
      <c r="K116" cm="1">
        <f t="array" aca="1" ref="K116" ca="1">INDEX(IF($B$43="SCORE",auto_DataFlat_Score,IF($B$43="DATA",auto_DataFlat_DataValue,IF($B$43="Z-SCORE",auto_DataFlat_ZScore))),H116)</f>
        <v>40.9</v>
      </c>
      <c r="L116" cm="1">
        <f t="array" aca="1" ref="L116" ca="1">INDEX(IF($B$44="SCORE",auto_DataFlat_Score,IF($B$44="DATA",auto_DataFlat_DataValue,IF($B$44="Z-SCORE",auto_DataFlat_ZScore))),I116)</f>
        <v>41.3</v>
      </c>
      <c r="N116">
        <f t="shared" ca="1" si="22"/>
        <v>40.9</v>
      </c>
      <c r="O116">
        <f t="shared" ca="1" si="23"/>
        <v>41.3</v>
      </c>
      <c r="Q116">
        <f t="shared" ca="1" si="24"/>
        <v>40.9</v>
      </c>
      <c r="R116">
        <f t="shared" ca="1" si="25"/>
        <v>41.3</v>
      </c>
      <c r="U116">
        <f t="shared" ca="1" si="26"/>
        <v>40.9</v>
      </c>
      <c r="V116">
        <f t="shared" ca="1" si="27"/>
        <v>41.3</v>
      </c>
      <c r="X116">
        <f t="shared" ca="1" si="28"/>
        <v>40.9</v>
      </c>
      <c r="Y116">
        <f t="shared" ca="1" si="29"/>
        <v>41.3</v>
      </c>
      <c r="AB116" t="str">
        <f t="shared" si="20"/>
        <v>KTM</v>
      </c>
      <c r="AC116">
        <f t="shared" si="30"/>
        <v>0</v>
      </c>
      <c r="AF116">
        <f t="shared" si="31"/>
        <v>1</v>
      </c>
      <c r="AG116">
        <f ca="1">RANK(AF116,OFFSET(AF$95,0,0,$B$26,1))+COUNTIF(AF$95:AF116,AF116)-1</f>
        <v>22</v>
      </c>
      <c r="AH116">
        <f t="shared" ca="1" si="32"/>
        <v>22</v>
      </c>
      <c r="AI116">
        <f t="shared" ca="1" si="33"/>
        <v>22</v>
      </c>
      <c r="AJ116" cm="1">
        <f t="array" aca="1" ref="AJ116" ca="1">INDEX(auto_Country_Status,AI116)</f>
        <v>1</v>
      </c>
      <c r="AK116" t="str" cm="1">
        <f t="array" aca="1" ref="AK116" ca="1">IF($AJ116=0,"",INDEX(auto_Country_ISO,AI116))</f>
        <v>KTM</v>
      </c>
      <c r="AL116" t="str" cm="1">
        <f t="array" aca="1" ref="AL116" ca="1">IF($AJ116=0,"",INDEX(auto_ddCountry,AI116))</f>
        <v>Kathmandu</v>
      </c>
      <c r="AM116" cm="1">
        <f t="array" aca="1" ref="AM116" ca="1">IF($AJ116=0,"",INDEX(OFFSET(Q$95,0,0,$B$26,1),AI116))</f>
        <v>40.9</v>
      </c>
      <c r="AN116" cm="1">
        <f t="array" aca="1" ref="AN116" ca="1">IF($AJ116=0,"",INDEX(OFFSET(R$95,0,0,$B$26,1),AI116))</f>
        <v>41.3</v>
      </c>
      <c r="AO116">
        <f t="shared" ca="1" si="34"/>
        <v>40.9</v>
      </c>
      <c r="AP116">
        <f t="shared" ca="1" si="35"/>
        <v>41.3</v>
      </c>
      <c r="AQ116" t="e">
        <f t="shared" si="16"/>
        <v>#N/A</v>
      </c>
      <c r="AR116" t="e">
        <f t="shared" si="17"/>
        <v>#N/A</v>
      </c>
      <c r="AS116" t="e">
        <f t="shared" si="18"/>
        <v>#N/A</v>
      </c>
      <c r="AU116" t="str" cm="1">
        <f t="array" aca="1" ref="AU116" ca="1">IF(AND($H$2=1,NOT(ISNUMBER(INDEX(auto_DataFlat_DataValue,H116)))),"EXCLUDE","")</f>
        <v/>
      </c>
      <c r="AV116" t="str" cm="1">
        <f t="array" aca="1" ref="AV116" ca="1">IF(AND($H$3=1,NOT(ISNUMBER(INDEX(auto_DataFlat_DataValue,I116)))),"EXCLUDE","")</f>
        <v/>
      </c>
      <c r="AW116" t="str">
        <f t="shared" ca="1" si="36"/>
        <v/>
      </c>
    </row>
    <row r="117" spans="1:49" x14ac:dyDescent="0.4">
      <c r="A117">
        <v>23</v>
      </c>
      <c r="B117" t="str" cm="1">
        <f t="array" ref="B117">SUBSTITUTE(INDEX(auto_Country_ISO,A117),"US-","")</f>
        <v>CCU</v>
      </c>
      <c r="C117" t="str" cm="1">
        <f t="array" ref="C117">INDEX(auto_ddCountry,A117)</f>
        <v>Kolkata</v>
      </c>
      <c r="D117" cm="1">
        <f t="array" ref="D117">INDEX(auto_Country_Status,A117)</f>
        <v>1</v>
      </c>
      <c r="E117">
        <f t="shared" si="21"/>
        <v>1</v>
      </c>
      <c r="F117">
        <f>2</f>
        <v>2</v>
      </c>
      <c r="H117" cm="1">
        <f t="array" aca="1" ref="H117" ca="1">INDEX(sys_DataFlat_LU_Grid,$B$2,$A117)</f>
        <v>23</v>
      </c>
      <c r="I117" cm="1">
        <f t="array" aca="1" ref="I117" ca="1">INDEX(sys_DataFlat_LU_Grid,$B$3,$A117)</f>
        <v>83</v>
      </c>
      <c r="K117" cm="1">
        <f t="array" aca="1" ref="K117" ca="1">INDEX(IF($B$43="SCORE",auto_DataFlat_Score,IF($B$43="DATA",auto_DataFlat_DataValue,IF($B$43="Z-SCORE",auto_DataFlat_ZScore))),H117)</f>
        <v>51.8</v>
      </c>
      <c r="L117" cm="1">
        <f t="array" aca="1" ref="L117" ca="1">INDEX(IF($B$44="SCORE",auto_DataFlat_Score,IF($B$44="DATA",auto_DataFlat_DataValue,IF($B$44="Z-SCORE",auto_DataFlat_ZScore))),I117)</f>
        <v>34.200000000000003</v>
      </c>
      <c r="N117">
        <f t="shared" ca="1" si="22"/>
        <v>51.8</v>
      </c>
      <c r="O117">
        <f t="shared" ca="1" si="23"/>
        <v>34.200000000000003</v>
      </c>
      <c r="Q117">
        <f t="shared" ca="1" si="24"/>
        <v>51.8</v>
      </c>
      <c r="R117">
        <f t="shared" ca="1" si="25"/>
        <v>34.200000000000003</v>
      </c>
      <c r="U117">
        <f t="shared" ca="1" si="26"/>
        <v>51.8</v>
      </c>
      <c r="V117">
        <f t="shared" ca="1" si="27"/>
        <v>34.200000000000003</v>
      </c>
      <c r="X117">
        <f t="shared" ca="1" si="28"/>
        <v>51.8</v>
      </c>
      <c r="Y117">
        <f t="shared" ca="1" si="29"/>
        <v>34.200000000000003</v>
      </c>
      <c r="AB117" t="str">
        <f t="shared" si="20"/>
        <v>CCU</v>
      </c>
      <c r="AC117">
        <f t="shared" si="30"/>
        <v>0</v>
      </c>
      <c r="AF117">
        <f t="shared" si="31"/>
        <v>1</v>
      </c>
      <c r="AG117">
        <f ca="1">RANK(AF117,OFFSET(AF$95,0,0,$B$26,1))+COUNTIF(AF$95:AF117,AF117)-1</f>
        <v>23</v>
      </c>
      <c r="AH117">
        <f t="shared" ca="1" si="32"/>
        <v>23</v>
      </c>
      <c r="AI117">
        <f t="shared" ca="1" si="33"/>
        <v>23</v>
      </c>
      <c r="AJ117" cm="1">
        <f t="array" aca="1" ref="AJ117" ca="1">INDEX(auto_Country_Status,AI117)</f>
        <v>1</v>
      </c>
      <c r="AK117" t="str" cm="1">
        <f t="array" aca="1" ref="AK117" ca="1">IF($AJ117=0,"",INDEX(auto_Country_ISO,AI117))</f>
        <v>CCU</v>
      </c>
      <c r="AL117" t="str" cm="1">
        <f t="array" aca="1" ref="AL117" ca="1">IF($AJ117=0,"",INDEX(auto_ddCountry,AI117))</f>
        <v>Kolkata</v>
      </c>
      <c r="AM117" cm="1">
        <f t="array" aca="1" ref="AM117" ca="1">IF($AJ117=0,"",INDEX(OFFSET(Q$95,0,0,$B$26,1),AI117))</f>
        <v>51.8</v>
      </c>
      <c r="AN117" cm="1">
        <f t="array" aca="1" ref="AN117" ca="1">IF($AJ117=0,"",INDEX(OFFSET(R$95,0,0,$B$26,1),AI117))</f>
        <v>34.200000000000003</v>
      </c>
      <c r="AO117">
        <f t="shared" ca="1" si="34"/>
        <v>51.8</v>
      </c>
      <c r="AP117">
        <f t="shared" ca="1" si="35"/>
        <v>34.200000000000003</v>
      </c>
      <c r="AQ117" t="e">
        <f t="shared" si="16"/>
        <v>#N/A</v>
      </c>
      <c r="AR117" t="e">
        <f t="shared" si="17"/>
        <v>#N/A</v>
      </c>
      <c r="AS117" t="e">
        <f t="shared" si="18"/>
        <v>#N/A</v>
      </c>
      <c r="AU117" t="str" cm="1">
        <f t="array" aca="1" ref="AU117" ca="1">IF(AND($H$2=1,NOT(ISNUMBER(INDEX(auto_DataFlat_DataValue,H117)))),"EXCLUDE","")</f>
        <v/>
      </c>
      <c r="AV117" t="str" cm="1">
        <f t="array" aca="1" ref="AV117" ca="1">IF(AND($H$3=1,NOT(ISNUMBER(INDEX(auto_DataFlat_DataValue,I117)))),"EXCLUDE","")</f>
        <v/>
      </c>
      <c r="AW117" t="str">
        <f t="shared" ca="1" si="36"/>
        <v/>
      </c>
    </row>
    <row r="118" spans="1:49" x14ac:dyDescent="0.4">
      <c r="A118">
        <v>24</v>
      </c>
      <c r="B118" t="str" cm="1">
        <f t="array" ref="B118">SUBSTITUTE(INDEX(auto_Country_ISO,A118),"US-","")</f>
        <v>KWI</v>
      </c>
      <c r="C118" t="str" cm="1">
        <f t="array" ref="C118">INDEX(auto_ddCountry,A118)</f>
        <v>Kuwait City</v>
      </c>
      <c r="D118" cm="1">
        <f t="array" ref="D118">INDEX(auto_Country_Status,A118)</f>
        <v>1</v>
      </c>
      <c r="E118">
        <f t="shared" si="21"/>
        <v>1</v>
      </c>
      <c r="F118">
        <f>2</f>
        <v>2</v>
      </c>
      <c r="H118" cm="1">
        <f t="array" aca="1" ref="H118" ca="1">INDEX(sys_DataFlat_LU_Grid,$B$2,$A118)</f>
        <v>24</v>
      </c>
      <c r="I118" cm="1">
        <f t="array" aca="1" ref="I118" ca="1">INDEX(sys_DataFlat_LU_Grid,$B$3,$A118)</f>
        <v>84</v>
      </c>
      <c r="K118" cm="1">
        <f t="array" aca="1" ref="K118" ca="1">INDEX(IF($B$43="SCORE",auto_DataFlat_Score,IF($B$43="DATA",auto_DataFlat_DataValue,IF($B$43="Z-SCORE",auto_DataFlat_ZScore))),H118)</f>
        <v>42.1</v>
      </c>
      <c r="L118" cm="1">
        <f t="array" aca="1" ref="L118" ca="1">INDEX(IF($B$44="SCORE",auto_DataFlat_Score,IF($B$44="DATA",auto_DataFlat_DataValue,IF($B$44="Z-SCORE",auto_DataFlat_ZScore))),I118)</f>
        <v>49.5</v>
      </c>
      <c r="N118">
        <f t="shared" ca="1" si="22"/>
        <v>42.1</v>
      </c>
      <c r="O118">
        <f t="shared" ca="1" si="23"/>
        <v>49.5</v>
      </c>
      <c r="Q118">
        <f t="shared" ca="1" si="24"/>
        <v>42.1</v>
      </c>
      <c r="R118">
        <f t="shared" ca="1" si="25"/>
        <v>49.5</v>
      </c>
      <c r="U118">
        <f t="shared" ca="1" si="26"/>
        <v>42.1</v>
      </c>
      <c r="V118">
        <f t="shared" ca="1" si="27"/>
        <v>49.5</v>
      </c>
      <c r="X118">
        <f t="shared" ca="1" si="28"/>
        <v>42.1</v>
      </c>
      <c r="Y118">
        <f t="shared" ca="1" si="29"/>
        <v>49.5</v>
      </c>
      <c r="AB118" t="str">
        <f t="shared" si="20"/>
        <v>KWI</v>
      </c>
      <c r="AC118">
        <f t="shared" si="30"/>
        <v>0</v>
      </c>
      <c r="AF118">
        <f t="shared" si="31"/>
        <v>1</v>
      </c>
      <c r="AG118">
        <f ca="1">RANK(AF118,OFFSET(AF$95,0,0,$B$26,1))+COUNTIF(AF$95:AF118,AF118)-1</f>
        <v>24</v>
      </c>
      <c r="AH118">
        <f t="shared" ca="1" si="32"/>
        <v>24</v>
      </c>
      <c r="AI118">
        <f t="shared" ca="1" si="33"/>
        <v>24</v>
      </c>
      <c r="AJ118" cm="1">
        <f t="array" aca="1" ref="AJ118" ca="1">INDEX(auto_Country_Status,AI118)</f>
        <v>1</v>
      </c>
      <c r="AK118" t="str" cm="1">
        <f t="array" aca="1" ref="AK118" ca="1">IF($AJ118=0,"",INDEX(auto_Country_ISO,AI118))</f>
        <v>KWI</v>
      </c>
      <c r="AL118" t="str" cm="1">
        <f t="array" aca="1" ref="AL118" ca="1">IF($AJ118=0,"",INDEX(auto_ddCountry,AI118))</f>
        <v>Kuwait City</v>
      </c>
      <c r="AM118" cm="1">
        <f t="array" aca="1" ref="AM118" ca="1">IF($AJ118=0,"",INDEX(OFFSET(Q$95,0,0,$B$26,1),AI118))</f>
        <v>42.1</v>
      </c>
      <c r="AN118" cm="1">
        <f t="array" aca="1" ref="AN118" ca="1">IF($AJ118=0,"",INDEX(OFFSET(R$95,0,0,$B$26,1),AI118))</f>
        <v>49.5</v>
      </c>
      <c r="AO118">
        <f t="shared" ca="1" si="34"/>
        <v>42.1</v>
      </c>
      <c r="AP118">
        <f t="shared" ca="1" si="35"/>
        <v>49.5</v>
      </c>
      <c r="AQ118" t="e">
        <f t="shared" si="16"/>
        <v>#N/A</v>
      </c>
      <c r="AR118" t="e">
        <f t="shared" si="17"/>
        <v>#N/A</v>
      </c>
      <c r="AS118" t="e">
        <f t="shared" si="18"/>
        <v>#N/A</v>
      </c>
      <c r="AU118" t="str" cm="1">
        <f t="array" aca="1" ref="AU118" ca="1">IF(AND($H$2=1,NOT(ISNUMBER(INDEX(auto_DataFlat_DataValue,H118)))),"EXCLUDE","")</f>
        <v/>
      </c>
      <c r="AV118" t="str" cm="1">
        <f t="array" aca="1" ref="AV118" ca="1">IF(AND($H$3=1,NOT(ISNUMBER(INDEX(auto_DataFlat_DataValue,I118)))),"EXCLUDE","")</f>
        <v/>
      </c>
      <c r="AW118" t="str">
        <f t="shared" ca="1" si="36"/>
        <v/>
      </c>
    </row>
    <row r="119" spans="1:49" x14ac:dyDescent="0.4">
      <c r="A119">
        <v>25</v>
      </c>
      <c r="B119" t="str" cm="1">
        <f t="array" ref="B119">SUBSTITUTE(INDEX(auto_Country_ISO,A119),"US-","")</f>
        <v>ZGM</v>
      </c>
      <c r="C119" t="str" cm="1">
        <f t="array" ref="C119">INDEX(auto_ddCountry,A119)</f>
        <v>Lagos</v>
      </c>
      <c r="D119" cm="1">
        <f t="array" ref="D119">INDEX(auto_Country_Status,A119)</f>
        <v>1</v>
      </c>
      <c r="E119">
        <f t="shared" si="21"/>
        <v>1</v>
      </c>
      <c r="F119">
        <f>2</f>
        <v>2</v>
      </c>
      <c r="H119" cm="1">
        <f t="array" aca="1" ref="H119" ca="1">INDEX(sys_DataFlat_LU_Grid,$B$2,$A119)</f>
        <v>25</v>
      </c>
      <c r="I119" cm="1">
        <f t="array" aca="1" ref="I119" ca="1">INDEX(sys_DataFlat_LU_Grid,$B$3,$A119)</f>
        <v>85</v>
      </c>
      <c r="K119" cm="1">
        <f t="array" aca="1" ref="K119" ca="1">INDEX(IF($B$43="SCORE",auto_DataFlat_Score,IF($B$43="DATA",auto_DataFlat_DataValue,IF($B$43="Z-SCORE",auto_DataFlat_ZScore))),H119)</f>
        <v>51.6</v>
      </c>
      <c r="L119" cm="1">
        <f t="array" aca="1" ref="L119" ca="1">INDEX(IF($B$44="SCORE",auto_DataFlat_Score,IF($B$44="DATA",auto_DataFlat_DataValue,IF($B$44="Z-SCORE",auto_DataFlat_ZScore))),I119)</f>
        <v>73.3</v>
      </c>
      <c r="N119">
        <f t="shared" ca="1" si="22"/>
        <v>51.6</v>
      </c>
      <c r="O119">
        <f t="shared" ca="1" si="23"/>
        <v>73.3</v>
      </c>
      <c r="Q119">
        <f t="shared" ca="1" si="24"/>
        <v>51.6</v>
      </c>
      <c r="R119">
        <f t="shared" ca="1" si="25"/>
        <v>73.3</v>
      </c>
      <c r="U119">
        <f t="shared" ca="1" si="26"/>
        <v>51.6</v>
      </c>
      <c r="V119">
        <f t="shared" ca="1" si="27"/>
        <v>73.3</v>
      </c>
      <c r="X119">
        <f t="shared" ca="1" si="28"/>
        <v>51.6</v>
      </c>
      <c r="Y119">
        <f t="shared" ca="1" si="29"/>
        <v>73.3</v>
      </c>
      <c r="AB119" t="str">
        <f t="shared" si="20"/>
        <v>ZGM</v>
      </c>
      <c r="AC119">
        <f t="shared" si="30"/>
        <v>0</v>
      </c>
      <c r="AF119">
        <f t="shared" si="31"/>
        <v>1</v>
      </c>
      <c r="AG119">
        <f ca="1">RANK(AF119,OFFSET(AF$95,0,0,$B$26,1))+COUNTIF(AF$95:AF119,AF119)-1</f>
        <v>25</v>
      </c>
      <c r="AH119">
        <f t="shared" ca="1" si="32"/>
        <v>25</v>
      </c>
      <c r="AI119">
        <f t="shared" ca="1" si="33"/>
        <v>25</v>
      </c>
      <c r="AJ119" cm="1">
        <f t="array" aca="1" ref="AJ119" ca="1">INDEX(auto_Country_Status,AI119)</f>
        <v>1</v>
      </c>
      <c r="AK119" t="str" cm="1">
        <f t="array" aca="1" ref="AK119" ca="1">IF($AJ119=0,"",INDEX(auto_Country_ISO,AI119))</f>
        <v>ZGM</v>
      </c>
      <c r="AL119" t="str" cm="1">
        <f t="array" aca="1" ref="AL119" ca="1">IF($AJ119=0,"",INDEX(auto_ddCountry,AI119))</f>
        <v>Lagos</v>
      </c>
      <c r="AM119" cm="1">
        <f t="array" aca="1" ref="AM119" ca="1">IF($AJ119=0,"",INDEX(OFFSET(Q$95,0,0,$B$26,1),AI119))</f>
        <v>51.6</v>
      </c>
      <c r="AN119" cm="1">
        <f t="array" aca="1" ref="AN119" ca="1">IF($AJ119=0,"",INDEX(OFFSET(R$95,0,0,$B$26,1),AI119))</f>
        <v>73.3</v>
      </c>
      <c r="AO119">
        <f t="shared" ca="1" si="34"/>
        <v>51.6</v>
      </c>
      <c r="AP119">
        <f t="shared" ca="1" si="35"/>
        <v>73.3</v>
      </c>
      <c r="AQ119" t="e">
        <f t="shared" si="16"/>
        <v>#N/A</v>
      </c>
      <c r="AR119" t="e">
        <f t="shared" si="17"/>
        <v>#N/A</v>
      </c>
      <c r="AS119" t="e">
        <f t="shared" si="18"/>
        <v>#N/A</v>
      </c>
      <c r="AU119" t="str" cm="1">
        <f t="array" aca="1" ref="AU119" ca="1">IF(AND($H$2=1,NOT(ISNUMBER(INDEX(auto_DataFlat_DataValue,H119)))),"EXCLUDE","")</f>
        <v/>
      </c>
      <c r="AV119" t="str" cm="1">
        <f t="array" aca="1" ref="AV119" ca="1">IF(AND($H$3=1,NOT(ISNUMBER(INDEX(auto_DataFlat_DataValue,I119)))),"EXCLUDE","")</f>
        <v/>
      </c>
      <c r="AW119" t="str">
        <f t="shared" ca="1" si="36"/>
        <v/>
      </c>
    </row>
    <row r="120" spans="1:49" x14ac:dyDescent="0.4">
      <c r="A120">
        <v>26</v>
      </c>
      <c r="B120" t="str" cm="1">
        <f t="array" ref="B120">SUBSTITUTE(INDEX(auto_Country_ISO,A120),"US-","")</f>
        <v>LOD</v>
      </c>
      <c r="C120" t="str" cm="1">
        <f t="array" ref="C120">INDEX(auto_ddCountry,A120)</f>
        <v>London</v>
      </c>
      <c r="D120" cm="1">
        <f t="array" ref="D120">INDEX(auto_Country_Status,A120)</f>
        <v>1</v>
      </c>
      <c r="E120">
        <f t="shared" si="21"/>
        <v>1</v>
      </c>
      <c r="F120">
        <f>2</f>
        <v>2</v>
      </c>
      <c r="H120" cm="1">
        <f t="array" aca="1" ref="H120" ca="1">INDEX(sys_DataFlat_LU_Grid,$B$2,$A120)</f>
        <v>26</v>
      </c>
      <c r="I120" cm="1">
        <f t="array" aca="1" ref="I120" ca="1">INDEX(sys_DataFlat_LU_Grid,$B$3,$A120)</f>
        <v>86</v>
      </c>
      <c r="K120" cm="1">
        <f t="array" aca="1" ref="K120" ca="1">INDEX(IF($B$43="SCORE",auto_DataFlat_Score,IF($B$43="DATA",auto_DataFlat_DataValue,IF($B$43="Z-SCORE",auto_DataFlat_ZScore))),H120)</f>
        <v>82.6</v>
      </c>
      <c r="L120" cm="1">
        <f t="array" aca="1" ref="L120" ca="1">INDEX(IF($B$44="SCORE",auto_DataFlat_Score,IF($B$44="DATA",auto_DataFlat_DataValue,IF($B$44="Z-SCORE",auto_DataFlat_ZScore))),I120)</f>
        <v>86.9</v>
      </c>
      <c r="N120">
        <f t="shared" ca="1" si="22"/>
        <v>82.6</v>
      </c>
      <c r="O120">
        <f t="shared" ca="1" si="23"/>
        <v>86.9</v>
      </c>
      <c r="Q120">
        <f t="shared" ca="1" si="24"/>
        <v>82.6</v>
      </c>
      <c r="R120">
        <f t="shared" ca="1" si="25"/>
        <v>86.9</v>
      </c>
      <c r="U120">
        <f t="shared" ca="1" si="26"/>
        <v>82.6</v>
      </c>
      <c r="V120">
        <f t="shared" ca="1" si="27"/>
        <v>86.9</v>
      </c>
      <c r="X120">
        <f t="shared" ca="1" si="28"/>
        <v>82.6</v>
      </c>
      <c r="Y120">
        <f t="shared" ca="1" si="29"/>
        <v>86.9</v>
      </c>
      <c r="AB120" t="str">
        <f t="shared" si="20"/>
        <v>LOD</v>
      </c>
      <c r="AC120">
        <f t="shared" si="30"/>
        <v>0</v>
      </c>
      <c r="AF120">
        <f t="shared" si="31"/>
        <v>1</v>
      </c>
      <c r="AG120">
        <f ca="1">RANK(AF120,OFFSET(AF$95,0,0,$B$26,1))+COUNTIF(AF$95:AF120,AF120)-1</f>
        <v>26</v>
      </c>
      <c r="AH120">
        <f t="shared" ca="1" si="32"/>
        <v>26</v>
      </c>
      <c r="AI120">
        <f t="shared" ca="1" si="33"/>
        <v>26</v>
      </c>
      <c r="AJ120" cm="1">
        <f t="array" aca="1" ref="AJ120" ca="1">INDEX(auto_Country_Status,AI120)</f>
        <v>1</v>
      </c>
      <c r="AK120" t="str" cm="1">
        <f t="array" aca="1" ref="AK120" ca="1">IF($AJ120=0,"",INDEX(auto_Country_ISO,AI120))</f>
        <v>LOD</v>
      </c>
      <c r="AL120" t="str" cm="1">
        <f t="array" aca="1" ref="AL120" ca="1">IF($AJ120=0,"",INDEX(auto_ddCountry,AI120))</f>
        <v>London</v>
      </c>
      <c r="AM120" cm="1">
        <f t="array" aca="1" ref="AM120" ca="1">IF($AJ120=0,"",INDEX(OFFSET(Q$95,0,0,$B$26,1),AI120))</f>
        <v>82.6</v>
      </c>
      <c r="AN120" cm="1">
        <f t="array" aca="1" ref="AN120" ca="1">IF($AJ120=0,"",INDEX(OFFSET(R$95,0,0,$B$26,1),AI120))</f>
        <v>86.9</v>
      </c>
      <c r="AO120">
        <f t="shared" ca="1" si="34"/>
        <v>82.6</v>
      </c>
      <c r="AP120">
        <f t="shared" ca="1" si="35"/>
        <v>86.9</v>
      </c>
      <c r="AQ120" t="e">
        <f t="shared" si="16"/>
        <v>#N/A</v>
      </c>
      <c r="AR120" t="e">
        <f t="shared" si="17"/>
        <v>#N/A</v>
      </c>
      <c r="AS120" t="e">
        <f t="shared" si="18"/>
        <v>#N/A</v>
      </c>
      <c r="AU120" t="str" cm="1">
        <f t="array" aca="1" ref="AU120" ca="1">IF(AND($H$2=1,NOT(ISNUMBER(INDEX(auto_DataFlat_DataValue,H120)))),"EXCLUDE","")</f>
        <v/>
      </c>
      <c r="AV120" t="str" cm="1">
        <f t="array" aca="1" ref="AV120" ca="1">IF(AND($H$3=1,NOT(ISNUMBER(INDEX(auto_DataFlat_DataValue,I120)))),"EXCLUDE","")</f>
        <v/>
      </c>
      <c r="AW120" t="str">
        <f t="shared" ca="1" si="36"/>
        <v/>
      </c>
    </row>
    <row r="121" spans="1:49" x14ac:dyDescent="0.4">
      <c r="A121">
        <v>27</v>
      </c>
      <c r="B121" t="str" cm="1">
        <f t="array" ref="B121">SUBSTITUTE(INDEX(auto_Country_ISO,A121),"US-","")</f>
        <v>MDD</v>
      </c>
      <c r="C121" t="str" cm="1">
        <f t="array" ref="C121">INDEX(auto_ddCountry,A121)</f>
        <v>Madrid</v>
      </c>
      <c r="D121" cm="1">
        <f t="array" ref="D121">INDEX(auto_Country_Status,A121)</f>
        <v>1</v>
      </c>
      <c r="E121">
        <f t="shared" si="21"/>
        <v>1</v>
      </c>
      <c r="F121">
        <f>2</f>
        <v>2</v>
      </c>
      <c r="H121" cm="1">
        <f t="array" aca="1" ref="H121" ca="1">INDEX(sys_DataFlat_LU_Grid,$B$2,$A121)</f>
        <v>27</v>
      </c>
      <c r="I121" cm="1">
        <f t="array" aca="1" ref="I121" ca="1">INDEX(sys_DataFlat_LU_Grid,$B$3,$A121)</f>
        <v>87</v>
      </c>
      <c r="K121" cm="1">
        <f t="array" aca="1" ref="K121" ca="1">INDEX(IF($B$43="SCORE",auto_DataFlat_Score,IF($B$43="DATA",auto_DataFlat_DataValue,IF($B$43="Z-SCORE",auto_DataFlat_ZScore))),H121)</f>
        <v>79.599999999999994</v>
      </c>
      <c r="L121" cm="1">
        <f t="array" aca="1" ref="L121" ca="1">INDEX(IF($B$44="SCORE",auto_DataFlat_Score,IF($B$44="DATA",auto_DataFlat_DataValue,IF($B$44="Z-SCORE",auto_DataFlat_ZScore))),I121)</f>
        <v>81.900000000000006</v>
      </c>
      <c r="N121">
        <f t="shared" ca="1" si="22"/>
        <v>79.599999999999994</v>
      </c>
      <c r="O121">
        <f t="shared" ca="1" si="23"/>
        <v>81.900000000000006</v>
      </c>
      <c r="Q121">
        <f t="shared" ca="1" si="24"/>
        <v>79.599999999999994</v>
      </c>
      <c r="R121">
        <f t="shared" ca="1" si="25"/>
        <v>81.900000000000006</v>
      </c>
      <c r="U121">
        <f t="shared" ca="1" si="26"/>
        <v>79.599999999999994</v>
      </c>
      <c r="V121">
        <f t="shared" ca="1" si="27"/>
        <v>81.900000000000006</v>
      </c>
      <c r="X121">
        <f t="shared" ca="1" si="28"/>
        <v>79.599999999999994</v>
      </c>
      <c r="Y121">
        <f t="shared" ca="1" si="29"/>
        <v>81.900000000000006</v>
      </c>
      <c r="AB121" t="str">
        <f t="shared" si="20"/>
        <v>MDD</v>
      </c>
      <c r="AC121">
        <f t="shared" si="30"/>
        <v>0</v>
      </c>
      <c r="AF121">
        <f t="shared" si="31"/>
        <v>1</v>
      </c>
      <c r="AG121">
        <f ca="1">RANK(AF121,OFFSET(AF$95,0,0,$B$26,1))+COUNTIF(AF$95:AF121,AF121)-1</f>
        <v>27</v>
      </c>
      <c r="AH121">
        <f t="shared" ca="1" si="32"/>
        <v>27</v>
      </c>
      <c r="AI121">
        <f t="shared" ca="1" si="33"/>
        <v>27</v>
      </c>
      <c r="AJ121" cm="1">
        <f t="array" aca="1" ref="AJ121" ca="1">INDEX(auto_Country_Status,AI121)</f>
        <v>1</v>
      </c>
      <c r="AK121" t="str" cm="1">
        <f t="array" aca="1" ref="AK121" ca="1">IF($AJ121=0,"",INDEX(auto_Country_ISO,AI121))</f>
        <v>MDD</v>
      </c>
      <c r="AL121" t="str" cm="1">
        <f t="array" aca="1" ref="AL121" ca="1">IF($AJ121=0,"",INDEX(auto_ddCountry,AI121))</f>
        <v>Madrid</v>
      </c>
      <c r="AM121" cm="1">
        <f t="array" aca="1" ref="AM121" ca="1">IF($AJ121=0,"",INDEX(OFFSET(Q$95,0,0,$B$26,1),AI121))</f>
        <v>79.599999999999994</v>
      </c>
      <c r="AN121" cm="1">
        <f t="array" aca="1" ref="AN121" ca="1">IF($AJ121=0,"",INDEX(OFFSET(R$95,0,0,$B$26,1),AI121))</f>
        <v>81.900000000000006</v>
      </c>
      <c r="AO121">
        <f t="shared" ca="1" si="34"/>
        <v>79.599999999999994</v>
      </c>
      <c r="AP121">
        <f t="shared" ca="1" si="35"/>
        <v>81.900000000000006</v>
      </c>
      <c r="AQ121" t="e">
        <f t="shared" si="16"/>
        <v>#N/A</v>
      </c>
      <c r="AR121" t="e">
        <f t="shared" si="17"/>
        <v>#N/A</v>
      </c>
      <c r="AS121" t="e">
        <f t="shared" si="18"/>
        <v>#N/A</v>
      </c>
      <c r="AU121" t="str" cm="1">
        <f t="array" aca="1" ref="AU121" ca="1">IF(AND($H$2=1,NOT(ISNUMBER(INDEX(auto_DataFlat_DataValue,H121)))),"EXCLUDE","")</f>
        <v/>
      </c>
      <c r="AV121" t="str" cm="1">
        <f t="array" aca="1" ref="AV121" ca="1">IF(AND($H$3=1,NOT(ISNUMBER(INDEX(auto_DataFlat_DataValue,I121)))),"EXCLUDE","")</f>
        <v/>
      </c>
      <c r="AW121" t="str">
        <f t="shared" ca="1" si="36"/>
        <v/>
      </c>
    </row>
    <row r="122" spans="1:49" x14ac:dyDescent="0.4">
      <c r="A122">
        <v>28</v>
      </c>
      <c r="B122" t="str" cm="1">
        <f t="array" ref="B122">SUBSTITUTE(INDEX(auto_Country_ISO,A122),"US-","")</f>
        <v>MNL</v>
      </c>
      <c r="C122" t="str" cm="1">
        <f t="array" ref="C122">INDEX(auto_ddCountry,A122)</f>
        <v>Manila</v>
      </c>
      <c r="D122" cm="1">
        <f t="array" ref="D122">INDEX(auto_Country_Status,A122)</f>
        <v>1</v>
      </c>
      <c r="E122">
        <f t="shared" si="21"/>
        <v>1</v>
      </c>
      <c r="F122">
        <f>2</f>
        <v>2</v>
      </c>
      <c r="H122" cm="1">
        <f t="array" aca="1" ref="H122" ca="1">INDEX(sys_DataFlat_LU_Grid,$B$2,$A122)</f>
        <v>28</v>
      </c>
      <c r="I122" cm="1">
        <f t="array" aca="1" ref="I122" ca="1">INDEX(sys_DataFlat_LU_Grid,$B$3,$A122)</f>
        <v>88</v>
      </c>
      <c r="K122" cm="1">
        <f t="array" aca="1" ref="K122" ca="1">INDEX(IF($B$43="SCORE",auto_DataFlat_Score,IF($B$43="DATA",auto_DataFlat_DataValue,IF($B$43="Z-SCORE",auto_DataFlat_ZScore))),H122)</f>
        <v>48.8</v>
      </c>
      <c r="L122" cm="1">
        <f t="array" aca="1" ref="L122" ca="1">INDEX(IF($B$44="SCORE",auto_DataFlat_Score,IF($B$44="DATA",auto_DataFlat_DataValue,IF($B$44="Z-SCORE",auto_DataFlat_ZScore))),I122)</f>
        <v>58</v>
      </c>
      <c r="N122">
        <f t="shared" ca="1" si="22"/>
        <v>48.8</v>
      </c>
      <c r="O122">
        <f t="shared" ca="1" si="23"/>
        <v>58</v>
      </c>
      <c r="Q122">
        <f t="shared" ca="1" si="24"/>
        <v>48.8</v>
      </c>
      <c r="R122">
        <f t="shared" ca="1" si="25"/>
        <v>58</v>
      </c>
      <c r="U122">
        <f t="shared" ca="1" si="26"/>
        <v>48.8</v>
      </c>
      <c r="V122">
        <f t="shared" ca="1" si="27"/>
        <v>58</v>
      </c>
      <c r="X122">
        <f t="shared" ca="1" si="28"/>
        <v>48.8</v>
      </c>
      <c r="Y122">
        <f t="shared" ca="1" si="29"/>
        <v>58</v>
      </c>
      <c r="AB122" t="str">
        <f t="shared" si="20"/>
        <v>MNL</v>
      </c>
      <c r="AC122">
        <f t="shared" si="30"/>
        <v>0</v>
      </c>
      <c r="AF122">
        <f t="shared" si="31"/>
        <v>1</v>
      </c>
      <c r="AG122">
        <f ca="1">RANK(AF122,OFFSET(AF$95,0,0,$B$26,1))+COUNTIF(AF$95:AF122,AF122)-1</f>
        <v>28</v>
      </c>
      <c r="AH122">
        <f t="shared" ca="1" si="32"/>
        <v>28</v>
      </c>
      <c r="AI122">
        <f t="shared" ca="1" si="33"/>
        <v>28</v>
      </c>
      <c r="AJ122" cm="1">
        <f t="array" aca="1" ref="AJ122" ca="1">INDEX(auto_Country_Status,AI122)</f>
        <v>1</v>
      </c>
      <c r="AK122" t="str" cm="1">
        <f t="array" aca="1" ref="AK122" ca="1">IF($AJ122=0,"",INDEX(auto_Country_ISO,AI122))</f>
        <v>MNL</v>
      </c>
      <c r="AL122" t="str" cm="1">
        <f t="array" aca="1" ref="AL122" ca="1">IF($AJ122=0,"",INDEX(auto_ddCountry,AI122))</f>
        <v>Manila</v>
      </c>
      <c r="AM122" cm="1">
        <f t="array" aca="1" ref="AM122" ca="1">IF($AJ122=0,"",INDEX(OFFSET(Q$95,0,0,$B$26,1),AI122))</f>
        <v>48.8</v>
      </c>
      <c r="AN122" cm="1">
        <f t="array" aca="1" ref="AN122" ca="1">IF($AJ122=0,"",INDEX(OFFSET(R$95,0,0,$B$26,1),AI122))</f>
        <v>58</v>
      </c>
      <c r="AO122">
        <f t="shared" ca="1" si="34"/>
        <v>48.8</v>
      </c>
      <c r="AP122">
        <f t="shared" ca="1" si="35"/>
        <v>58</v>
      </c>
      <c r="AQ122" t="e">
        <f t="shared" si="16"/>
        <v>#N/A</v>
      </c>
      <c r="AR122" t="e">
        <f t="shared" si="17"/>
        <v>#N/A</v>
      </c>
      <c r="AS122" t="e">
        <f t="shared" si="18"/>
        <v>#N/A</v>
      </c>
      <c r="AU122" t="str" cm="1">
        <f t="array" aca="1" ref="AU122" ca="1">IF(AND($H$2=1,NOT(ISNUMBER(INDEX(auto_DataFlat_DataValue,H122)))),"EXCLUDE","")</f>
        <v/>
      </c>
      <c r="AV122" t="str" cm="1">
        <f t="array" aca="1" ref="AV122" ca="1">IF(AND($H$3=1,NOT(ISNUMBER(INDEX(auto_DataFlat_DataValue,I122)))),"EXCLUDE","")</f>
        <v/>
      </c>
      <c r="AW122" t="str">
        <f t="shared" ca="1" si="36"/>
        <v/>
      </c>
    </row>
    <row r="123" spans="1:49" x14ac:dyDescent="0.4">
      <c r="A123">
        <v>29</v>
      </c>
      <c r="B123" t="str" cm="1">
        <f t="array" ref="B123">SUBSTITUTE(INDEX(auto_Country_ISO,A123),"US-","")</f>
        <v>MEL</v>
      </c>
      <c r="C123" t="str" cm="1">
        <f t="array" ref="C123">INDEX(auto_ddCountry,A123)</f>
        <v>Melbourne</v>
      </c>
      <c r="D123" cm="1">
        <f t="array" ref="D123">INDEX(auto_Country_Status,A123)</f>
        <v>1</v>
      </c>
      <c r="E123">
        <f t="shared" si="21"/>
        <v>1</v>
      </c>
      <c r="F123">
        <f>2</f>
        <v>2</v>
      </c>
      <c r="H123" cm="1">
        <f t="array" aca="1" ref="H123" ca="1">INDEX(sys_DataFlat_LU_Grid,$B$2,$A123)</f>
        <v>29</v>
      </c>
      <c r="I123" cm="1">
        <f t="array" aca="1" ref="I123" ca="1">INDEX(sys_DataFlat_LU_Grid,$B$3,$A123)</f>
        <v>89</v>
      </c>
      <c r="K123" cm="1">
        <f t="array" aca="1" ref="K123" ca="1">INDEX(IF($B$43="SCORE",auto_DataFlat_Score,IF($B$43="DATA",auto_DataFlat_DataValue,IF($B$43="Z-SCORE",auto_DataFlat_ZScore))),H123)</f>
        <v>75.8</v>
      </c>
      <c r="L123" cm="1">
        <f t="array" aca="1" ref="L123" ca="1">INDEX(IF($B$44="SCORE",auto_DataFlat_Score,IF($B$44="DATA",auto_DataFlat_DataValue,IF($B$44="Z-SCORE",auto_DataFlat_ZScore))),I123)</f>
        <v>87.9</v>
      </c>
      <c r="N123">
        <f t="shared" ca="1" si="22"/>
        <v>75.8</v>
      </c>
      <c r="O123">
        <f t="shared" ca="1" si="23"/>
        <v>87.9</v>
      </c>
      <c r="Q123">
        <f t="shared" ca="1" si="24"/>
        <v>75.8</v>
      </c>
      <c r="R123">
        <f t="shared" ca="1" si="25"/>
        <v>87.9</v>
      </c>
      <c r="U123">
        <f t="shared" ca="1" si="26"/>
        <v>75.8</v>
      </c>
      <c r="V123">
        <f t="shared" ca="1" si="27"/>
        <v>87.9</v>
      </c>
      <c r="X123">
        <f t="shared" ca="1" si="28"/>
        <v>75.8</v>
      </c>
      <c r="Y123">
        <f t="shared" ca="1" si="29"/>
        <v>87.9</v>
      </c>
      <c r="AB123" t="str">
        <f t="shared" si="20"/>
        <v>MEL</v>
      </c>
      <c r="AC123">
        <f t="shared" si="30"/>
        <v>0</v>
      </c>
      <c r="AF123">
        <f t="shared" si="31"/>
        <v>1</v>
      </c>
      <c r="AG123">
        <f ca="1">RANK(AF123,OFFSET(AF$95,0,0,$B$26,1))+COUNTIF(AF$95:AF123,AF123)-1</f>
        <v>29</v>
      </c>
      <c r="AH123">
        <f t="shared" ca="1" si="32"/>
        <v>29</v>
      </c>
      <c r="AI123">
        <f t="shared" ca="1" si="33"/>
        <v>29</v>
      </c>
      <c r="AJ123" cm="1">
        <f t="array" aca="1" ref="AJ123" ca="1">INDEX(auto_Country_Status,AI123)</f>
        <v>1</v>
      </c>
      <c r="AK123" t="str" cm="1">
        <f t="array" aca="1" ref="AK123" ca="1">IF($AJ123=0,"",INDEX(auto_Country_ISO,AI123))</f>
        <v>MEL</v>
      </c>
      <c r="AL123" t="str" cm="1">
        <f t="array" aca="1" ref="AL123" ca="1">IF($AJ123=0,"",INDEX(auto_ddCountry,AI123))</f>
        <v>Melbourne</v>
      </c>
      <c r="AM123" cm="1">
        <f t="array" aca="1" ref="AM123" ca="1">IF($AJ123=0,"",INDEX(OFFSET(Q$95,0,0,$B$26,1),AI123))</f>
        <v>75.8</v>
      </c>
      <c r="AN123" cm="1">
        <f t="array" aca="1" ref="AN123" ca="1">IF($AJ123=0,"",INDEX(OFFSET(R$95,0,0,$B$26,1),AI123))</f>
        <v>87.9</v>
      </c>
      <c r="AO123">
        <f t="shared" ca="1" si="34"/>
        <v>75.8</v>
      </c>
      <c r="AP123">
        <f t="shared" ca="1" si="35"/>
        <v>87.9</v>
      </c>
      <c r="AQ123" t="e">
        <f t="shared" si="16"/>
        <v>#N/A</v>
      </c>
      <c r="AR123" t="e">
        <f t="shared" si="17"/>
        <v>#N/A</v>
      </c>
      <c r="AS123" t="e">
        <f t="shared" si="18"/>
        <v>#N/A</v>
      </c>
      <c r="AU123" t="str" cm="1">
        <f t="array" aca="1" ref="AU123" ca="1">IF(AND($H$2=1,NOT(ISNUMBER(INDEX(auto_DataFlat_DataValue,H123)))),"EXCLUDE","")</f>
        <v/>
      </c>
      <c r="AV123" t="str" cm="1">
        <f t="array" aca="1" ref="AV123" ca="1">IF(AND($H$3=1,NOT(ISNUMBER(INDEX(auto_DataFlat_DataValue,I123)))),"EXCLUDE","")</f>
        <v/>
      </c>
      <c r="AW123" t="str">
        <f t="shared" ca="1" si="36"/>
        <v/>
      </c>
    </row>
    <row r="124" spans="1:49" x14ac:dyDescent="0.4">
      <c r="A124">
        <v>30</v>
      </c>
      <c r="B124" t="str" cm="1">
        <f t="array" ref="B124">SUBSTITUTE(INDEX(auto_Country_ISO,A124),"US-","")</f>
        <v>MEX</v>
      </c>
      <c r="C124" t="str" cm="1">
        <f t="array" ref="C124">INDEX(auto_ddCountry,A124)</f>
        <v>Mexico City</v>
      </c>
      <c r="D124" cm="1">
        <f t="array" ref="D124">INDEX(auto_Country_Status,A124)</f>
        <v>1</v>
      </c>
      <c r="E124">
        <f t="shared" si="21"/>
        <v>1</v>
      </c>
      <c r="F124">
        <f>2</f>
        <v>2</v>
      </c>
      <c r="H124" cm="1">
        <f t="array" aca="1" ref="H124" ca="1">INDEX(sys_DataFlat_LU_Grid,$B$2,$A124)</f>
        <v>30</v>
      </c>
      <c r="I124" cm="1">
        <f t="array" aca="1" ref="I124" ca="1">INDEX(sys_DataFlat_LU_Grid,$B$3,$A124)</f>
        <v>90</v>
      </c>
      <c r="K124" cm="1">
        <f t="array" aca="1" ref="K124" ca="1">INDEX(IF($B$43="SCORE",auto_DataFlat_Score,IF($B$43="DATA",auto_DataFlat_DataValue,IF($B$43="Z-SCORE",auto_DataFlat_ZScore))),H124)</f>
        <v>60.9</v>
      </c>
      <c r="L124" cm="1">
        <f t="array" aca="1" ref="L124" ca="1">INDEX(IF($B$44="SCORE",auto_DataFlat_Score,IF($B$44="DATA",auto_DataFlat_DataValue,IF($B$44="Z-SCORE",auto_DataFlat_ZScore))),I124)</f>
        <v>79.8</v>
      </c>
      <c r="N124">
        <f t="shared" ca="1" si="22"/>
        <v>60.9</v>
      </c>
      <c r="O124">
        <f t="shared" ca="1" si="23"/>
        <v>79.8</v>
      </c>
      <c r="Q124">
        <f t="shared" ca="1" si="24"/>
        <v>60.9</v>
      </c>
      <c r="R124">
        <f t="shared" ca="1" si="25"/>
        <v>79.8</v>
      </c>
      <c r="U124">
        <f t="shared" ca="1" si="26"/>
        <v>60.9</v>
      </c>
      <c r="V124">
        <f t="shared" ca="1" si="27"/>
        <v>79.8</v>
      </c>
      <c r="X124">
        <f t="shared" ca="1" si="28"/>
        <v>60.9</v>
      </c>
      <c r="Y124">
        <f t="shared" ca="1" si="29"/>
        <v>79.8</v>
      </c>
      <c r="AB124" t="str">
        <f t="shared" si="20"/>
        <v>MEX</v>
      </c>
      <c r="AC124">
        <f t="shared" si="30"/>
        <v>0</v>
      </c>
      <c r="AF124">
        <f t="shared" si="31"/>
        <v>1</v>
      </c>
      <c r="AG124">
        <f ca="1">RANK(AF124,OFFSET(AF$95,0,0,$B$26,1))+COUNTIF(AF$95:AF124,AF124)-1</f>
        <v>30</v>
      </c>
      <c r="AH124">
        <f t="shared" ca="1" si="32"/>
        <v>30</v>
      </c>
      <c r="AI124">
        <f t="shared" ca="1" si="33"/>
        <v>30</v>
      </c>
      <c r="AJ124" cm="1">
        <f t="array" aca="1" ref="AJ124" ca="1">INDEX(auto_Country_Status,AI124)</f>
        <v>1</v>
      </c>
      <c r="AK124" t="str" cm="1">
        <f t="array" aca="1" ref="AK124" ca="1">IF($AJ124=0,"",INDEX(auto_Country_ISO,AI124))</f>
        <v>MEX</v>
      </c>
      <c r="AL124" t="str" cm="1">
        <f t="array" aca="1" ref="AL124" ca="1">IF($AJ124=0,"",INDEX(auto_ddCountry,AI124))</f>
        <v>Mexico City</v>
      </c>
      <c r="AM124" cm="1">
        <f t="array" aca="1" ref="AM124" ca="1">IF($AJ124=0,"",INDEX(OFFSET(Q$95,0,0,$B$26,1),AI124))</f>
        <v>60.9</v>
      </c>
      <c r="AN124" cm="1">
        <f t="array" aca="1" ref="AN124" ca="1">IF($AJ124=0,"",INDEX(OFFSET(R$95,0,0,$B$26,1),AI124))</f>
        <v>79.8</v>
      </c>
      <c r="AO124">
        <f t="shared" ca="1" si="34"/>
        <v>60.9</v>
      </c>
      <c r="AP124">
        <f t="shared" ca="1" si="35"/>
        <v>79.8</v>
      </c>
      <c r="AQ124" t="e">
        <f t="shared" si="16"/>
        <v>#N/A</v>
      </c>
      <c r="AR124" t="e">
        <f t="shared" si="17"/>
        <v>#N/A</v>
      </c>
      <c r="AS124" t="e">
        <f t="shared" si="18"/>
        <v>#N/A</v>
      </c>
      <c r="AU124" t="str" cm="1">
        <f t="array" aca="1" ref="AU124" ca="1">IF(AND($H$2=1,NOT(ISNUMBER(INDEX(auto_DataFlat_DataValue,H124)))),"EXCLUDE","")</f>
        <v/>
      </c>
      <c r="AV124" t="str" cm="1">
        <f t="array" aca="1" ref="AV124" ca="1">IF(AND($H$3=1,NOT(ISNUMBER(INDEX(auto_DataFlat_DataValue,I124)))),"EXCLUDE","")</f>
        <v/>
      </c>
      <c r="AW124" t="str">
        <f t="shared" ca="1" si="36"/>
        <v/>
      </c>
    </row>
    <row r="125" spans="1:49" x14ac:dyDescent="0.4">
      <c r="A125">
        <v>31</v>
      </c>
      <c r="B125" t="str" cm="1">
        <f t="array" ref="B125">SUBSTITUTE(INDEX(auto_Country_ISO,A125),"US-","")</f>
        <v>MW3</v>
      </c>
      <c r="C125" t="str" cm="1">
        <f t="array" ref="C125">INDEX(auto_ddCountry,A125)</f>
        <v>Moscow</v>
      </c>
      <c r="D125" cm="1">
        <f t="array" ref="D125">INDEX(auto_Country_Status,A125)</f>
        <v>1</v>
      </c>
      <c r="E125">
        <f t="shared" si="21"/>
        <v>1</v>
      </c>
      <c r="F125">
        <f>2</f>
        <v>2</v>
      </c>
      <c r="H125" cm="1">
        <f t="array" aca="1" ref="H125" ca="1">INDEX(sys_DataFlat_LU_Grid,$B$2,$A125)</f>
        <v>31</v>
      </c>
      <c r="I125" cm="1">
        <f t="array" aca="1" ref="I125" ca="1">INDEX(sys_DataFlat_LU_Grid,$B$3,$A125)</f>
        <v>91</v>
      </c>
      <c r="K125" cm="1">
        <f t="array" aca="1" ref="K125" ca="1">INDEX(IF($B$43="SCORE",auto_DataFlat_Score,IF($B$43="DATA",auto_DataFlat_DataValue,IF($B$43="Z-SCORE",auto_DataFlat_ZScore))),H125)</f>
        <v>65.900000000000006</v>
      </c>
      <c r="L125" cm="1">
        <f t="array" aca="1" ref="L125" ca="1">INDEX(IF($B$44="SCORE",auto_DataFlat_Score,IF($B$44="DATA",auto_DataFlat_DataValue,IF($B$44="Z-SCORE",auto_DataFlat_ZScore))),I125)</f>
        <v>75.7</v>
      </c>
      <c r="N125">
        <f t="shared" ca="1" si="22"/>
        <v>65.900000000000006</v>
      </c>
      <c r="O125">
        <f t="shared" ca="1" si="23"/>
        <v>75.7</v>
      </c>
      <c r="Q125">
        <f t="shared" ca="1" si="24"/>
        <v>65.900000000000006</v>
      </c>
      <c r="R125">
        <f t="shared" ca="1" si="25"/>
        <v>75.7</v>
      </c>
      <c r="U125">
        <f t="shared" ca="1" si="26"/>
        <v>65.900000000000006</v>
      </c>
      <c r="V125">
        <f t="shared" ca="1" si="27"/>
        <v>75.7</v>
      </c>
      <c r="X125">
        <f t="shared" ca="1" si="28"/>
        <v>65.900000000000006</v>
      </c>
      <c r="Y125">
        <f t="shared" ca="1" si="29"/>
        <v>75.7</v>
      </c>
      <c r="AB125" t="str">
        <f t="shared" si="20"/>
        <v>MW3</v>
      </c>
      <c r="AC125">
        <f t="shared" si="30"/>
        <v>0</v>
      </c>
      <c r="AF125">
        <f t="shared" si="31"/>
        <v>1</v>
      </c>
      <c r="AG125">
        <f ca="1">RANK(AF125,OFFSET(AF$95,0,0,$B$26,1))+COUNTIF(AF$95:AF125,AF125)-1</f>
        <v>31</v>
      </c>
      <c r="AH125">
        <f t="shared" ca="1" si="32"/>
        <v>31</v>
      </c>
      <c r="AI125">
        <f t="shared" ca="1" si="33"/>
        <v>31</v>
      </c>
      <c r="AJ125" cm="1">
        <f t="array" aca="1" ref="AJ125" ca="1">INDEX(auto_Country_Status,AI125)</f>
        <v>1</v>
      </c>
      <c r="AK125" t="str" cm="1">
        <f t="array" aca="1" ref="AK125" ca="1">IF($AJ125=0,"",INDEX(auto_Country_ISO,AI125))</f>
        <v>MW3</v>
      </c>
      <c r="AL125" t="str" cm="1">
        <f t="array" aca="1" ref="AL125" ca="1">IF($AJ125=0,"",INDEX(auto_ddCountry,AI125))</f>
        <v>Moscow</v>
      </c>
      <c r="AM125" cm="1">
        <f t="array" aca="1" ref="AM125" ca="1">IF($AJ125=0,"",INDEX(OFFSET(Q$95,0,0,$B$26,1),AI125))</f>
        <v>65.900000000000006</v>
      </c>
      <c r="AN125" cm="1">
        <f t="array" aca="1" ref="AN125" ca="1">IF($AJ125=0,"",INDEX(OFFSET(R$95,0,0,$B$26,1),AI125))</f>
        <v>75.7</v>
      </c>
      <c r="AO125">
        <f t="shared" ca="1" si="34"/>
        <v>65.900000000000006</v>
      </c>
      <c r="AP125">
        <f t="shared" ca="1" si="35"/>
        <v>75.7</v>
      </c>
      <c r="AQ125" t="e">
        <f t="shared" si="16"/>
        <v>#N/A</v>
      </c>
      <c r="AR125" t="e">
        <f t="shared" si="17"/>
        <v>#N/A</v>
      </c>
      <c r="AS125" t="e">
        <f t="shared" si="18"/>
        <v>#N/A</v>
      </c>
      <c r="AU125" t="str" cm="1">
        <f t="array" aca="1" ref="AU125" ca="1">IF(AND($H$2=1,NOT(ISNUMBER(INDEX(auto_DataFlat_DataValue,H125)))),"EXCLUDE","")</f>
        <v/>
      </c>
      <c r="AV125" t="str" cm="1">
        <f t="array" aca="1" ref="AV125" ca="1">IF(AND($H$3=1,NOT(ISNUMBER(INDEX(auto_DataFlat_DataValue,I125)))),"EXCLUDE","")</f>
        <v/>
      </c>
      <c r="AW125" t="str">
        <f t="shared" ca="1" si="36"/>
        <v/>
      </c>
    </row>
    <row r="126" spans="1:49" x14ac:dyDescent="0.4">
      <c r="A126">
        <v>32</v>
      </c>
      <c r="B126" t="str" cm="1">
        <f t="array" ref="B126">SUBSTITUTE(INDEX(auto_Country_ISO,A126),"US-","")</f>
        <v>BOM</v>
      </c>
      <c r="C126" t="str" cm="1">
        <f t="array" ref="C126">INDEX(auto_ddCountry,A126)</f>
        <v>Mumbai</v>
      </c>
      <c r="D126" cm="1">
        <f t="array" ref="D126">INDEX(auto_Country_Status,A126)</f>
        <v>1</v>
      </c>
      <c r="E126">
        <f t="shared" si="21"/>
        <v>1</v>
      </c>
      <c r="F126">
        <f>2</f>
        <v>2</v>
      </c>
      <c r="H126" cm="1">
        <f t="array" aca="1" ref="H126" ca="1">INDEX(sys_DataFlat_LU_Grid,$B$2,$A126)</f>
        <v>32</v>
      </c>
      <c r="I126" cm="1">
        <f t="array" aca="1" ref="I126" ca="1">INDEX(sys_DataFlat_LU_Grid,$B$3,$A126)</f>
        <v>92</v>
      </c>
      <c r="K126" cm="1">
        <f t="array" aca="1" ref="K126" ca="1">INDEX(IF($B$43="SCORE",auto_DataFlat_Score,IF($B$43="DATA",auto_DataFlat_DataValue,IF($B$43="Z-SCORE",auto_DataFlat_ZScore))),H126)</f>
        <v>53.2</v>
      </c>
      <c r="L126" cm="1">
        <f t="array" aca="1" ref="L126" ca="1">INDEX(IF($B$44="SCORE",auto_DataFlat_Score,IF($B$44="DATA",auto_DataFlat_DataValue,IF($B$44="Z-SCORE",auto_DataFlat_ZScore))),I126)</f>
        <v>34.200000000000003</v>
      </c>
      <c r="N126">
        <f t="shared" ca="1" si="22"/>
        <v>53.2</v>
      </c>
      <c r="O126">
        <f t="shared" ca="1" si="23"/>
        <v>34.200000000000003</v>
      </c>
      <c r="Q126">
        <f t="shared" ca="1" si="24"/>
        <v>53.2</v>
      </c>
      <c r="R126">
        <f t="shared" ca="1" si="25"/>
        <v>34.200000000000003</v>
      </c>
      <c r="U126">
        <f t="shared" ca="1" si="26"/>
        <v>53.2</v>
      </c>
      <c r="V126">
        <f t="shared" ca="1" si="27"/>
        <v>34.200000000000003</v>
      </c>
      <c r="X126">
        <f t="shared" ca="1" si="28"/>
        <v>53.2</v>
      </c>
      <c r="Y126">
        <f t="shared" ca="1" si="29"/>
        <v>34.200000000000003</v>
      </c>
      <c r="AB126" t="str">
        <f t="shared" si="20"/>
        <v>BOM</v>
      </c>
      <c r="AC126">
        <f t="shared" si="30"/>
        <v>0</v>
      </c>
      <c r="AF126">
        <f t="shared" si="31"/>
        <v>1</v>
      </c>
      <c r="AG126">
        <f ca="1">RANK(AF126,OFFSET(AF$95,0,0,$B$26,1))+COUNTIF(AF$95:AF126,AF126)-1</f>
        <v>32</v>
      </c>
      <c r="AH126">
        <f t="shared" ca="1" si="32"/>
        <v>32</v>
      </c>
      <c r="AI126">
        <f t="shared" ca="1" si="33"/>
        <v>32</v>
      </c>
      <c r="AJ126" cm="1">
        <f t="array" aca="1" ref="AJ126" ca="1">INDEX(auto_Country_Status,AI126)</f>
        <v>1</v>
      </c>
      <c r="AK126" t="str" cm="1">
        <f t="array" aca="1" ref="AK126" ca="1">IF($AJ126=0,"",INDEX(auto_Country_ISO,AI126))</f>
        <v>BOM</v>
      </c>
      <c r="AL126" t="str" cm="1">
        <f t="array" aca="1" ref="AL126" ca="1">IF($AJ126=0,"",INDEX(auto_ddCountry,AI126))</f>
        <v>Mumbai</v>
      </c>
      <c r="AM126" cm="1">
        <f t="array" aca="1" ref="AM126" ca="1">IF($AJ126=0,"",INDEX(OFFSET(Q$95,0,0,$B$26,1),AI126))</f>
        <v>53.2</v>
      </c>
      <c r="AN126" cm="1">
        <f t="array" aca="1" ref="AN126" ca="1">IF($AJ126=0,"",INDEX(OFFSET(R$95,0,0,$B$26,1),AI126))</f>
        <v>34.200000000000003</v>
      </c>
      <c r="AO126">
        <f t="shared" ca="1" si="34"/>
        <v>53.2</v>
      </c>
      <c r="AP126">
        <f t="shared" ca="1" si="35"/>
        <v>34.200000000000003</v>
      </c>
      <c r="AQ126" t="e">
        <f t="shared" si="16"/>
        <v>#N/A</v>
      </c>
      <c r="AR126" t="e">
        <f t="shared" si="17"/>
        <v>#N/A</v>
      </c>
      <c r="AS126" t="e">
        <f t="shared" si="18"/>
        <v>#N/A</v>
      </c>
      <c r="AU126" t="str" cm="1">
        <f t="array" aca="1" ref="AU126" ca="1">IF(AND($H$2=1,NOT(ISNUMBER(INDEX(auto_DataFlat_DataValue,H126)))),"EXCLUDE","")</f>
        <v/>
      </c>
      <c r="AV126" t="str" cm="1">
        <f t="array" aca="1" ref="AV126" ca="1">IF(AND($H$3=1,NOT(ISNUMBER(INDEX(auto_DataFlat_DataValue,I126)))),"EXCLUDE","")</f>
        <v/>
      </c>
      <c r="AW126" t="str">
        <f t="shared" ca="1" si="36"/>
        <v/>
      </c>
    </row>
    <row r="127" spans="1:49" x14ac:dyDescent="0.4">
      <c r="A127">
        <v>33</v>
      </c>
      <c r="B127" t="str" cm="1">
        <f t="array" ref="B127">SUBSTITUTE(INDEX(auto_Country_ISO,A127),"US-","")</f>
        <v>NBO</v>
      </c>
      <c r="C127" t="str" cm="1">
        <f t="array" ref="C127">INDEX(auto_ddCountry,A127)</f>
        <v>Nairobi</v>
      </c>
      <c r="D127" cm="1">
        <f t="array" ref="D127">INDEX(auto_Country_Status,A127)</f>
        <v>1</v>
      </c>
      <c r="E127">
        <f t="shared" si="21"/>
        <v>1</v>
      </c>
      <c r="F127">
        <f>2</f>
        <v>2</v>
      </c>
      <c r="H127" cm="1">
        <f t="array" aca="1" ref="H127" ca="1">INDEX(sys_DataFlat_LU_Grid,$B$2,$A127)</f>
        <v>33</v>
      </c>
      <c r="I127" cm="1">
        <f t="array" aca="1" ref="I127" ca="1">INDEX(sys_DataFlat_LU_Grid,$B$3,$A127)</f>
        <v>93</v>
      </c>
      <c r="K127" cm="1">
        <f t="array" aca="1" ref="K127" ca="1">INDEX(IF($B$43="SCORE",auto_DataFlat_Score,IF($B$43="DATA",auto_DataFlat_DataValue,IF($B$43="Z-SCORE",auto_DataFlat_ZScore))),H127)</f>
        <v>52.2</v>
      </c>
      <c r="L127" cm="1">
        <f t="array" aca="1" ref="L127" ca="1">INDEX(IF($B$44="SCORE",auto_DataFlat_Score,IF($B$44="DATA",auto_DataFlat_DataValue,IF($B$44="Z-SCORE",auto_DataFlat_ZScore))),I127)</f>
        <v>55.6</v>
      </c>
      <c r="N127">
        <f t="shared" ca="1" si="22"/>
        <v>52.2</v>
      </c>
      <c r="O127">
        <f t="shared" ca="1" si="23"/>
        <v>55.6</v>
      </c>
      <c r="Q127">
        <f t="shared" ca="1" si="24"/>
        <v>52.2</v>
      </c>
      <c r="R127">
        <f t="shared" ca="1" si="25"/>
        <v>55.6</v>
      </c>
      <c r="U127">
        <f t="shared" ca="1" si="26"/>
        <v>52.2</v>
      </c>
      <c r="V127">
        <f t="shared" ca="1" si="27"/>
        <v>55.6</v>
      </c>
      <c r="X127">
        <f t="shared" ca="1" si="28"/>
        <v>52.2</v>
      </c>
      <c r="Y127">
        <f t="shared" ca="1" si="29"/>
        <v>55.6</v>
      </c>
      <c r="AB127" t="str">
        <f t="shared" si="20"/>
        <v>NBO</v>
      </c>
      <c r="AC127">
        <f t="shared" si="30"/>
        <v>0</v>
      </c>
      <c r="AF127">
        <f t="shared" si="31"/>
        <v>1</v>
      </c>
      <c r="AG127">
        <f ca="1">RANK(AF127,OFFSET(AF$95,0,0,$B$26,1))+COUNTIF(AF$95:AF127,AF127)-1</f>
        <v>33</v>
      </c>
      <c r="AH127">
        <f t="shared" ca="1" si="32"/>
        <v>33</v>
      </c>
      <c r="AI127">
        <f t="shared" ca="1" si="33"/>
        <v>33</v>
      </c>
      <c r="AJ127" cm="1">
        <f t="array" aca="1" ref="AJ127" ca="1">INDEX(auto_Country_Status,AI127)</f>
        <v>1</v>
      </c>
      <c r="AK127" t="str" cm="1">
        <f t="array" aca="1" ref="AK127" ca="1">IF($AJ127=0,"",INDEX(auto_Country_ISO,AI127))</f>
        <v>NBO</v>
      </c>
      <c r="AL127" t="str" cm="1">
        <f t="array" aca="1" ref="AL127" ca="1">IF($AJ127=0,"",INDEX(auto_ddCountry,AI127))</f>
        <v>Nairobi</v>
      </c>
      <c r="AM127" cm="1">
        <f t="array" aca="1" ref="AM127" ca="1">IF($AJ127=0,"",INDEX(OFFSET(Q$95,0,0,$B$26,1),AI127))</f>
        <v>52.2</v>
      </c>
      <c r="AN127" cm="1">
        <f t="array" aca="1" ref="AN127" ca="1">IF($AJ127=0,"",INDEX(OFFSET(R$95,0,0,$B$26,1),AI127))</f>
        <v>55.6</v>
      </c>
      <c r="AO127">
        <f t="shared" ca="1" si="34"/>
        <v>52.2</v>
      </c>
      <c r="AP127">
        <f t="shared" ca="1" si="35"/>
        <v>55.6</v>
      </c>
      <c r="AQ127" t="e">
        <f t="shared" si="16"/>
        <v>#N/A</v>
      </c>
      <c r="AR127" t="e">
        <f t="shared" si="17"/>
        <v>#N/A</v>
      </c>
      <c r="AS127" t="e">
        <f t="shared" si="18"/>
        <v>#N/A</v>
      </c>
      <c r="AU127" t="str" cm="1">
        <f t="array" aca="1" ref="AU127" ca="1">IF(AND($H$2=1,NOT(ISNUMBER(INDEX(auto_DataFlat_DataValue,H127)))),"EXCLUDE","")</f>
        <v/>
      </c>
      <c r="AV127" t="str" cm="1">
        <f t="array" aca="1" ref="AV127" ca="1">IF(AND($H$3=1,NOT(ISNUMBER(INDEX(auto_DataFlat_DataValue,I127)))),"EXCLUDE","")</f>
        <v/>
      </c>
      <c r="AW127" t="str">
        <f t="shared" ca="1" si="36"/>
        <v/>
      </c>
    </row>
    <row r="128" spans="1:49" x14ac:dyDescent="0.4">
      <c r="A128">
        <v>34</v>
      </c>
      <c r="B128" t="str" cm="1">
        <f t="array" ref="B128">SUBSTITUTE(INDEX(auto_Country_ISO,A128),"US-","")</f>
        <v>NYC</v>
      </c>
      <c r="C128" t="str" cm="1">
        <f t="array" ref="C128">INDEX(auto_ddCountry,A128)</f>
        <v>New York City</v>
      </c>
      <c r="D128" cm="1">
        <f t="array" ref="D128">INDEX(auto_Country_Status,A128)</f>
        <v>1</v>
      </c>
      <c r="E128">
        <f t="shared" si="21"/>
        <v>1</v>
      </c>
      <c r="F128">
        <f>2</f>
        <v>2</v>
      </c>
      <c r="H128" cm="1">
        <f t="array" aca="1" ref="H128" ca="1">INDEX(sys_DataFlat_LU_Grid,$B$2,$A128)</f>
        <v>34</v>
      </c>
      <c r="I128" cm="1">
        <f t="array" aca="1" ref="I128" ca="1">INDEX(sys_DataFlat_LU_Grid,$B$3,$A128)</f>
        <v>94</v>
      </c>
      <c r="K128" cm="1">
        <f t="array" aca="1" ref="K128" ca="1">INDEX(IF($B$43="SCORE",auto_DataFlat_Score,IF($B$43="DATA",auto_DataFlat_DataValue,IF($B$43="Z-SCORE",auto_DataFlat_ZScore))),H128)</f>
        <v>79.099999999999994</v>
      </c>
      <c r="L128" cm="1">
        <f t="array" aca="1" ref="L128" ca="1">INDEX(IF($B$44="SCORE",auto_DataFlat_Score,IF($B$44="DATA",auto_DataFlat_DataValue,IF($B$44="Z-SCORE",auto_DataFlat_ZScore))),I128)</f>
        <v>86.8</v>
      </c>
      <c r="N128">
        <f t="shared" ca="1" si="22"/>
        <v>79.099999999999994</v>
      </c>
      <c r="O128">
        <f t="shared" ca="1" si="23"/>
        <v>86.8</v>
      </c>
      <c r="Q128">
        <f t="shared" ca="1" si="24"/>
        <v>79.099999999999994</v>
      </c>
      <c r="R128">
        <f t="shared" ca="1" si="25"/>
        <v>86.8</v>
      </c>
      <c r="U128">
        <f t="shared" ca="1" si="26"/>
        <v>79.099999999999994</v>
      </c>
      <c r="V128">
        <f t="shared" ca="1" si="27"/>
        <v>86.8</v>
      </c>
      <c r="X128">
        <f t="shared" ca="1" si="28"/>
        <v>79.099999999999994</v>
      </c>
      <c r="Y128">
        <f t="shared" ca="1" si="29"/>
        <v>86.8</v>
      </c>
      <c r="AB128" t="str">
        <f t="shared" si="20"/>
        <v>NYC</v>
      </c>
      <c r="AC128">
        <f t="shared" si="30"/>
        <v>0</v>
      </c>
      <c r="AF128">
        <f t="shared" si="31"/>
        <v>1</v>
      </c>
      <c r="AG128">
        <f ca="1">RANK(AF128,OFFSET(AF$95,0,0,$B$26,1))+COUNTIF(AF$95:AF128,AF128)-1</f>
        <v>34</v>
      </c>
      <c r="AH128">
        <f t="shared" ca="1" si="32"/>
        <v>34</v>
      </c>
      <c r="AI128">
        <f t="shared" ca="1" si="33"/>
        <v>34</v>
      </c>
      <c r="AJ128" cm="1">
        <f t="array" aca="1" ref="AJ128" ca="1">INDEX(auto_Country_Status,AI128)</f>
        <v>1</v>
      </c>
      <c r="AK128" t="str" cm="1">
        <f t="array" aca="1" ref="AK128" ca="1">IF($AJ128=0,"",INDEX(auto_Country_ISO,AI128))</f>
        <v>NYC</v>
      </c>
      <c r="AL128" t="str" cm="1">
        <f t="array" aca="1" ref="AL128" ca="1">IF($AJ128=0,"",INDEX(auto_ddCountry,AI128))</f>
        <v>New York City</v>
      </c>
      <c r="AM128" cm="1">
        <f t="array" aca="1" ref="AM128" ca="1">IF($AJ128=0,"",INDEX(OFFSET(Q$95,0,0,$B$26,1),AI128))</f>
        <v>79.099999999999994</v>
      </c>
      <c r="AN128" cm="1">
        <f t="array" aca="1" ref="AN128" ca="1">IF($AJ128=0,"",INDEX(OFFSET(R$95,0,0,$B$26,1),AI128))</f>
        <v>86.8</v>
      </c>
      <c r="AO128">
        <f t="shared" ca="1" si="34"/>
        <v>79.099999999999994</v>
      </c>
      <c r="AP128">
        <f t="shared" ca="1" si="35"/>
        <v>86.8</v>
      </c>
      <c r="AQ128" t="e">
        <f t="shared" si="16"/>
        <v>#N/A</v>
      </c>
      <c r="AR128" t="e">
        <f t="shared" si="17"/>
        <v>#N/A</v>
      </c>
      <c r="AS128" t="e">
        <f t="shared" si="18"/>
        <v>#N/A</v>
      </c>
      <c r="AU128" t="str" cm="1">
        <f t="array" aca="1" ref="AU128" ca="1">IF(AND($H$2=1,NOT(ISNUMBER(INDEX(auto_DataFlat_DataValue,H128)))),"EXCLUDE","")</f>
        <v/>
      </c>
      <c r="AV128" t="str" cm="1">
        <f t="array" aca="1" ref="AV128" ca="1">IF(AND($H$3=1,NOT(ISNUMBER(INDEX(auto_DataFlat_DataValue,I128)))),"EXCLUDE","")</f>
        <v/>
      </c>
      <c r="AW128" t="str">
        <f t="shared" ca="1" si="36"/>
        <v/>
      </c>
    </row>
    <row r="129" spans="1:49" x14ac:dyDescent="0.4">
      <c r="A129">
        <v>35</v>
      </c>
      <c r="B129" t="str" cm="1">
        <f t="array" ref="B129">SUBSTITUTE(INDEX(auto_Country_ISO,A129),"US-","")</f>
        <v>OSA</v>
      </c>
      <c r="C129" t="str" cm="1">
        <f t="array" ref="C129">INDEX(auto_ddCountry,A129)</f>
        <v>Osaka</v>
      </c>
      <c r="D129" cm="1">
        <f t="array" ref="D129">INDEX(auto_Country_Status,A129)</f>
        <v>1</v>
      </c>
      <c r="E129">
        <f t="shared" si="21"/>
        <v>1</v>
      </c>
      <c r="F129">
        <f>2</f>
        <v>2</v>
      </c>
      <c r="H129" cm="1">
        <f t="array" aca="1" ref="H129" ca="1">INDEX(sys_DataFlat_LU_Grid,$B$2,$A129)</f>
        <v>35</v>
      </c>
      <c r="I129" cm="1">
        <f t="array" aca="1" ref="I129" ca="1">INDEX(sys_DataFlat_LU_Grid,$B$3,$A129)</f>
        <v>95</v>
      </c>
      <c r="K129" cm="1">
        <f t="array" aca="1" ref="K129" ca="1">INDEX(IF($B$43="SCORE",auto_DataFlat_Score,IF($B$43="DATA",auto_DataFlat_DataValue,IF($B$43="Z-SCORE",auto_DataFlat_ZScore))),H129)</f>
        <v>74.2</v>
      </c>
      <c r="L129" cm="1">
        <f t="array" aca="1" ref="L129" ca="1">INDEX(IF($B$44="SCORE",auto_DataFlat_Score,IF($B$44="DATA",auto_DataFlat_DataValue,IF($B$44="Z-SCORE",auto_DataFlat_ZScore))),I129)</f>
        <v>84.2</v>
      </c>
      <c r="N129">
        <f t="shared" ca="1" si="22"/>
        <v>74.2</v>
      </c>
      <c r="O129">
        <f t="shared" ca="1" si="23"/>
        <v>84.2</v>
      </c>
      <c r="Q129">
        <f t="shared" ca="1" si="24"/>
        <v>74.2</v>
      </c>
      <c r="R129">
        <f t="shared" ca="1" si="25"/>
        <v>84.2</v>
      </c>
      <c r="U129">
        <f t="shared" ca="1" si="26"/>
        <v>74.2</v>
      </c>
      <c r="V129">
        <f t="shared" ca="1" si="27"/>
        <v>84.2</v>
      </c>
      <c r="X129">
        <f t="shared" ca="1" si="28"/>
        <v>74.2</v>
      </c>
      <c r="Y129">
        <f t="shared" ca="1" si="29"/>
        <v>84.2</v>
      </c>
      <c r="AB129" t="str">
        <f t="shared" si="20"/>
        <v>OSA</v>
      </c>
      <c r="AC129">
        <f t="shared" si="30"/>
        <v>0</v>
      </c>
      <c r="AF129">
        <f t="shared" si="31"/>
        <v>1</v>
      </c>
      <c r="AG129">
        <f ca="1">RANK(AF129,OFFSET(AF$95,0,0,$B$26,1))+COUNTIF(AF$95:AF129,AF129)-1</f>
        <v>35</v>
      </c>
      <c r="AH129">
        <f t="shared" ca="1" si="32"/>
        <v>35</v>
      </c>
      <c r="AI129">
        <f t="shared" ca="1" si="33"/>
        <v>35</v>
      </c>
      <c r="AJ129" cm="1">
        <f t="array" aca="1" ref="AJ129" ca="1">INDEX(auto_Country_Status,AI129)</f>
        <v>1</v>
      </c>
      <c r="AK129" t="str" cm="1">
        <f t="array" aca="1" ref="AK129" ca="1">IF($AJ129=0,"",INDEX(auto_Country_ISO,AI129))</f>
        <v>OSA</v>
      </c>
      <c r="AL129" t="str" cm="1">
        <f t="array" aca="1" ref="AL129" ca="1">IF($AJ129=0,"",INDEX(auto_ddCountry,AI129))</f>
        <v>Osaka</v>
      </c>
      <c r="AM129" cm="1">
        <f t="array" aca="1" ref="AM129" ca="1">IF($AJ129=0,"",INDEX(OFFSET(Q$95,0,0,$B$26,1),AI129))</f>
        <v>74.2</v>
      </c>
      <c r="AN129" cm="1">
        <f t="array" aca="1" ref="AN129" ca="1">IF($AJ129=0,"",INDEX(OFFSET(R$95,0,0,$B$26,1),AI129))</f>
        <v>84.2</v>
      </c>
      <c r="AO129">
        <f t="shared" ca="1" si="34"/>
        <v>74.2</v>
      </c>
      <c r="AP129">
        <f t="shared" ca="1" si="35"/>
        <v>84.2</v>
      </c>
      <c r="AQ129" t="e">
        <f t="shared" si="16"/>
        <v>#N/A</v>
      </c>
      <c r="AR129" t="e">
        <f t="shared" si="17"/>
        <v>#N/A</v>
      </c>
      <c r="AS129" t="e">
        <f t="shared" si="18"/>
        <v>#N/A</v>
      </c>
      <c r="AU129" t="str" cm="1">
        <f t="array" aca="1" ref="AU129" ca="1">IF(AND($H$2=1,NOT(ISNUMBER(INDEX(auto_DataFlat_DataValue,H129)))),"EXCLUDE","")</f>
        <v/>
      </c>
      <c r="AV129" t="str" cm="1">
        <f t="array" aca="1" ref="AV129" ca="1">IF(AND($H$3=1,NOT(ISNUMBER(INDEX(auto_DataFlat_DataValue,I129)))),"EXCLUDE","")</f>
        <v/>
      </c>
      <c r="AW129" t="str">
        <f t="shared" ca="1" si="36"/>
        <v/>
      </c>
    </row>
    <row r="130" spans="1:49" x14ac:dyDescent="0.4">
      <c r="A130">
        <v>36</v>
      </c>
      <c r="B130" t="str" cm="1">
        <f t="array" ref="B130">SUBSTITUTE(INDEX(auto_Country_ISO,A130),"US-","")</f>
        <v>PAR</v>
      </c>
      <c r="C130" t="str" cm="1">
        <f t="array" ref="C130">INDEX(auto_ddCountry,A130)</f>
        <v>Paris</v>
      </c>
      <c r="D130" cm="1">
        <f t="array" ref="D130">INDEX(auto_Country_Status,A130)</f>
        <v>1</v>
      </c>
      <c r="E130">
        <f t="shared" si="21"/>
        <v>1</v>
      </c>
      <c r="F130">
        <f>2</f>
        <v>2</v>
      </c>
      <c r="H130" cm="1">
        <f t="array" aca="1" ref="H130" ca="1">INDEX(sys_DataFlat_LU_Grid,$B$2,$A130)</f>
        <v>36</v>
      </c>
      <c r="I130" cm="1">
        <f t="array" aca="1" ref="I130" ca="1">INDEX(sys_DataFlat_LU_Grid,$B$3,$A130)</f>
        <v>96</v>
      </c>
      <c r="K130" cm="1">
        <f t="array" aca="1" ref="K130" ca="1">INDEX(IF($B$43="SCORE",auto_DataFlat_Score,IF($B$43="DATA",auto_DataFlat_DataValue,IF($B$43="Z-SCORE",auto_DataFlat_ZScore))),H130)</f>
        <v>64.5</v>
      </c>
      <c r="L130" cm="1">
        <f t="array" aca="1" ref="L130" ca="1">INDEX(IF($B$44="SCORE",auto_DataFlat_Score,IF($B$44="DATA",auto_DataFlat_DataValue,IF($B$44="Z-SCORE",auto_DataFlat_ZScore))),I130)</f>
        <v>84</v>
      </c>
      <c r="N130">
        <f t="shared" ca="1" si="22"/>
        <v>64.5</v>
      </c>
      <c r="O130">
        <f t="shared" ca="1" si="23"/>
        <v>84</v>
      </c>
      <c r="Q130">
        <f t="shared" ca="1" si="24"/>
        <v>64.5</v>
      </c>
      <c r="R130">
        <f t="shared" ca="1" si="25"/>
        <v>84</v>
      </c>
      <c r="U130">
        <f t="shared" ca="1" si="26"/>
        <v>64.5</v>
      </c>
      <c r="V130">
        <f t="shared" ca="1" si="27"/>
        <v>84</v>
      </c>
      <c r="X130">
        <f t="shared" ca="1" si="28"/>
        <v>64.5</v>
      </c>
      <c r="Y130">
        <f t="shared" ca="1" si="29"/>
        <v>84</v>
      </c>
      <c r="AB130" t="str">
        <f t="shared" si="20"/>
        <v>PAR</v>
      </c>
      <c r="AC130">
        <f t="shared" si="30"/>
        <v>0</v>
      </c>
      <c r="AF130">
        <f t="shared" si="31"/>
        <v>1</v>
      </c>
      <c r="AG130">
        <f ca="1">RANK(AF130,OFFSET(AF$95,0,0,$B$26,1))+COUNTIF(AF$95:AF130,AF130)-1</f>
        <v>36</v>
      </c>
      <c r="AH130">
        <f t="shared" ca="1" si="32"/>
        <v>36</v>
      </c>
      <c r="AI130">
        <f t="shared" ca="1" si="33"/>
        <v>36</v>
      </c>
      <c r="AJ130" cm="1">
        <f t="array" aca="1" ref="AJ130" ca="1">INDEX(auto_Country_Status,AI130)</f>
        <v>1</v>
      </c>
      <c r="AK130" t="str" cm="1">
        <f t="array" aca="1" ref="AK130" ca="1">IF($AJ130=0,"",INDEX(auto_Country_ISO,AI130))</f>
        <v>PAR</v>
      </c>
      <c r="AL130" t="str" cm="1">
        <f t="array" aca="1" ref="AL130" ca="1">IF($AJ130=0,"",INDEX(auto_ddCountry,AI130))</f>
        <v>Paris</v>
      </c>
      <c r="AM130" cm="1">
        <f t="array" aca="1" ref="AM130" ca="1">IF($AJ130=0,"",INDEX(OFFSET(Q$95,0,0,$B$26,1),AI130))</f>
        <v>64.5</v>
      </c>
      <c r="AN130" cm="1">
        <f t="array" aca="1" ref="AN130" ca="1">IF($AJ130=0,"",INDEX(OFFSET(R$95,0,0,$B$26,1),AI130))</f>
        <v>84</v>
      </c>
      <c r="AO130">
        <f t="shared" ca="1" si="34"/>
        <v>64.5</v>
      </c>
      <c r="AP130">
        <f t="shared" ca="1" si="35"/>
        <v>84</v>
      </c>
      <c r="AQ130" t="e">
        <f t="shared" si="16"/>
        <v>#N/A</v>
      </c>
      <c r="AR130" t="e">
        <f t="shared" si="17"/>
        <v>#N/A</v>
      </c>
      <c r="AS130" t="e">
        <f t="shared" si="18"/>
        <v>#N/A</v>
      </c>
      <c r="AU130" t="str" cm="1">
        <f t="array" aca="1" ref="AU130" ca="1">IF(AND($H$2=1,NOT(ISNUMBER(INDEX(auto_DataFlat_DataValue,H130)))),"EXCLUDE","")</f>
        <v/>
      </c>
      <c r="AV130" t="str" cm="1">
        <f t="array" aca="1" ref="AV130" ca="1">IF(AND($H$3=1,NOT(ISNUMBER(INDEX(auto_DataFlat_DataValue,I130)))),"EXCLUDE","")</f>
        <v/>
      </c>
      <c r="AW130" t="str">
        <f t="shared" ca="1" si="36"/>
        <v/>
      </c>
    </row>
    <row r="131" spans="1:49" x14ac:dyDescent="0.4">
      <c r="A131">
        <v>37</v>
      </c>
      <c r="B131" t="str" cm="1">
        <f t="array" ref="B131">SUBSTITUTE(INDEX(auto_Country_ISO,A131),"US-","")</f>
        <v>PNH</v>
      </c>
      <c r="C131" t="str" cm="1">
        <f t="array" ref="C131">INDEX(auto_ddCountry,A131)</f>
        <v>Phnom Penh</v>
      </c>
      <c r="D131" cm="1">
        <f t="array" ref="D131">INDEX(auto_Country_Status,A131)</f>
        <v>1</v>
      </c>
      <c r="E131">
        <f t="shared" si="21"/>
        <v>1</v>
      </c>
      <c r="F131">
        <f>2</f>
        <v>2</v>
      </c>
      <c r="H131" cm="1">
        <f t="array" aca="1" ref="H131" ca="1">INDEX(sys_DataFlat_LU_Grid,$B$2,$A131)</f>
        <v>37</v>
      </c>
      <c r="I131" cm="1">
        <f t="array" aca="1" ref="I131" ca="1">INDEX(sys_DataFlat_LU_Grid,$B$3,$A131)</f>
        <v>97</v>
      </c>
      <c r="K131" cm="1">
        <f t="array" aca="1" ref="K131" ca="1">INDEX(IF($B$43="SCORE",auto_DataFlat_Score,IF($B$43="DATA",auto_DataFlat_DataValue,IF($B$43="Z-SCORE",auto_DataFlat_ZScore))),H131)</f>
        <v>51.4</v>
      </c>
      <c r="L131" cm="1">
        <f t="array" aca="1" ref="L131" ca="1">INDEX(IF($B$44="SCORE",auto_DataFlat_Score,IF($B$44="DATA",auto_DataFlat_DataValue,IF($B$44="Z-SCORE",auto_DataFlat_ZScore))),I131)</f>
        <v>58.5</v>
      </c>
      <c r="N131">
        <f t="shared" ca="1" si="22"/>
        <v>51.4</v>
      </c>
      <c r="O131">
        <f t="shared" ca="1" si="23"/>
        <v>58.5</v>
      </c>
      <c r="Q131">
        <f t="shared" ca="1" si="24"/>
        <v>51.4</v>
      </c>
      <c r="R131">
        <f t="shared" ca="1" si="25"/>
        <v>58.5</v>
      </c>
      <c r="U131">
        <f t="shared" ca="1" si="26"/>
        <v>51.4</v>
      </c>
      <c r="V131">
        <f t="shared" ca="1" si="27"/>
        <v>58.5</v>
      </c>
      <c r="X131">
        <f t="shared" ca="1" si="28"/>
        <v>51.4</v>
      </c>
      <c r="Y131">
        <f t="shared" ca="1" si="29"/>
        <v>58.5</v>
      </c>
      <c r="AB131" t="str">
        <f t="shared" si="20"/>
        <v>PNH</v>
      </c>
      <c r="AC131">
        <f t="shared" si="30"/>
        <v>0</v>
      </c>
      <c r="AF131">
        <f t="shared" si="31"/>
        <v>1</v>
      </c>
      <c r="AG131">
        <f ca="1">RANK(AF131,OFFSET(AF$95,0,0,$B$26,1))+COUNTIF(AF$95:AF131,AF131)-1</f>
        <v>37</v>
      </c>
      <c r="AH131">
        <f t="shared" ca="1" si="32"/>
        <v>37</v>
      </c>
      <c r="AI131">
        <f t="shared" ca="1" si="33"/>
        <v>37</v>
      </c>
      <c r="AJ131" cm="1">
        <f t="array" aca="1" ref="AJ131" ca="1">INDEX(auto_Country_Status,AI131)</f>
        <v>1</v>
      </c>
      <c r="AK131" t="str" cm="1">
        <f t="array" aca="1" ref="AK131" ca="1">IF($AJ131=0,"",INDEX(auto_Country_ISO,AI131))</f>
        <v>PNH</v>
      </c>
      <c r="AL131" t="str" cm="1">
        <f t="array" aca="1" ref="AL131" ca="1">IF($AJ131=0,"",INDEX(auto_ddCountry,AI131))</f>
        <v>Phnom Penh</v>
      </c>
      <c r="AM131" cm="1">
        <f t="array" aca="1" ref="AM131" ca="1">IF($AJ131=0,"",INDEX(OFFSET(Q$95,0,0,$B$26,1),AI131))</f>
        <v>51.4</v>
      </c>
      <c r="AN131" cm="1">
        <f t="array" aca="1" ref="AN131" ca="1">IF($AJ131=0,"",INDEX(OFFSET(R$95,0,0,$B$26,1),AI131))</f>
        <v>58.5</v>
      </c>
      <c r="AO131">
        <f t="shared" ca="1" si="34"/>
        <v>51.4</v>
      </c>
      <c r="AP131">
        <f t="shared" ca="1" si="35"/>
        <v>58.5</v>
      </c>
      <c r="AQ131" t="e">
        <f t="shared" si="16"/>
        <v>#N/A</v>
      </c>
      <c r="AR131" t="e">
        <f t="shared" si="17"/>
        <v>#N/A</v>
      </c>
      <c r="AS131" t="e">
        <f t="shared" si="18"/>
        <v>#N/A</v>
      </c>
      <c r="AU131" t="str" cm="1">
        <f t="array" aca="1" ref="AU131" ca="1">IF(AND($H$2=1,NOT(ISNUMBER(INDEX(auto_DataFlat_DataValue,H131)))),"EXCLUDE","")</f>
        <v/>
      </c>
      <c r="AV131" t="str" cm="1">
        <f t="array" aca="1" ref="AV131" ca="1">IF(AND($H$3=1,NOT(ISNUMBER(INDEX(auto_DataFlat_DataValue,I131)))),"EXCLUDE","")</f>
        <v/>
      </c>
      <c r="AW131" t="str">
        <f t="shared" ca="1" si="36"/>
        <v/>
      </c>
    </row>
    <row r="132" spans="1:49" x14ac:dyDescent="0.4">
      <c r="A132">
        <v>38</v>
      </c>
      <c r="B132" t="str" cm="1">
        <f t="array" ref="B132">SUBSTITUTE(INDEX(auto_Country_ISO,A132),"US-","")</f>
        <v>RUH</v>
      </c>
      <c r="C132" t="str" cm="1">
        <f t="array" ref="C132">INDEX(auto_ddCountry,A132)</f>
        <v>Riyadh</v>
      </c>
      <c r="D132" cm="1">
        <f t="array" ref="D132">INDEX(auto_Country_Status,A132)</f>
        <v>1</v>
      </c>
      <c r="E132">
        <f t="shared" si="21"/>
        <v>1</v>
      </c>
      <c r="F132">
        <f>2</f>
        <v>2</v>
      </c>
      <c r="H132" cm="1">
        <f t="array" aca="1" ref="H132" ca="1">INDEX(sys_DataFlat_LU_Grid,$B$2,$A132)</f>
        <v>38</v>
      </c>
      <c r="I132" cm="1">
        <f t="array" aca="1" ref="I132" ca="1">INDEX(sys_DataFlat_LU_Grid,$B$3,$A132)</f>
        <v>98</v>
      </c>
      <c r="K132" cm="1">
        <f t="array" aca="1" ref="K132" ca="1">INDEX(IF($B$43="SCORE",auto_DataFlat_Score,IF($B$43="DATA",auto_DataFlat_DataValue,IF($B$43="Z-SCORE",auto_DataFlat_ZScore))),H132)</f>
        <v>44.2</v>
      </c>
      <c r="L132" cm="1">
        <f t="array" aca="1" ref="L132" ca="1">INDEX(IF($B$44="SCORE",auto_DataFlat_Score,IF($B$44="DATA",auto_DataFlat_DataValue,IF($B$44="Z-SCORE",auto_DataFlat_ZScore))),I132)</f>
        <v>61</v>
      </c>
      <c r="N132">
        <f t="shared" ca="1" si="22"/>
        <v>44.2</v>
      </c>
      <c r="O132">
        <f t="shared" ca="1" si="23"/>
        <v>61</v>
      </c>
      <c r="Q132">
        <f t="shared" ca="1" si="24"/>
        <v>44.2</v>
      </c>
      <c r="R132">
        <f t="shared" ca="1" si="25"/>
        <v>61</v>
      </c>
      <c r="U132">
        <f t="shared" ca="1" si="26"/>
        <v>44.2</v>
      </c>
      <c r="V132">
        <f t="shared" ca="1" si="27"/>
        <v>61</v>
      </c>
      <c r="X132">
        <f t="shared" ca="1" si="28"/>
        <v>44.2</v>
      </c>
      <c r="Y132">
        <f t="shared" ca="1" si="29"/>
        <v>61</v>
      </c>
      <c r="AB132" t="str">
        <f t="shared" si="20"/>
        <v>RUH</v>
      </c>
      <c r="AC132">
        <f t="shared" si="30"/>
        <v>0</v>
      </c>
      <c r="AF132">
        <f t="shared" si="31"/>
        <v>1</v>
      </c>
      <c r="AG132">
        <f ca="1">RANK(AF132,OFFSET(AF$95,0,0,$B$26,1))+COUNTIF(AF$95:AF132,AF132)-1</f>
        <v>38</v>
      </c>
      <c r="AH132">
        <f t="shared" ca="1" si="32"/>
        <v>38</v>
      </c>
      <c r="AI132">
        <f t="shared" ca="1" si="33"/>
        <v>38</v>
      </c>
      <c r="AJ132" cm="1">
        <f t="array" aca="1" ref="AJ132" ca="1">INDEX(auto_Country_Status,AI132)</f>
        <v>1</v>
      </c>
      <c r="AK132" t="str" cm="1">
        <f t="array" aca="1" ref="AK132" ca="1">IF($AJ132=0,"",INDEX(auto_Country_ISO,AI132))</f>
        <v>RUH</v>
      </c>
      <c r="AL132" t="str" cm="1">
        <f t="array" aca="1" ref="AL132" ca="1">IF($AJ132=0,"",INDEX(auto_ddCountry,AI132))</f>
        <v>Riyadh</v>
      </c>
      <c r="AM132" cm="1">
        <f t="array" aca="1" ref="AM132" ca="1">IF($AJ132=0,"",INDEX(OFFSET(Q$95,0,0,$B$26,1),AI132))</f>
        <v>44.2</v>
      </c>
      <c r="AN132" cm="1">
        <f t="array" aca="1" ref="AN132" ca="1">IF($AJ132=0,"",INDEX(OFFSET(R$95,0,0,$B$26,1),AI132))</f>
        <v>61</v>
      </c>
      <c r="AO132">
        <f t="shared" ca="1" si="34"/>
        <v>44.2</v>
      </c>
      <c r="AP132">
        <f t="shared" ca="1" si="35"/>
        <v>61</v>
      </c>
      <c r="AQ132" t="e">
        <f t="shared" si="16"/>
        <v>#N/A</v>
      </c>
      <c r="AR132" t="e">
        <f t="shared" si="17"/>
        <v>#N/A</v>
      </c>
      <c r="AS132" t="e">
        <f t="shared" si="18"/>
        <v>#N/A</v>
      </c>
      <c r="AU132" t="str" cm="1">
        <f t="array" aca="1" ref="AU132" ca="1">IF(AND($H$2=1,NOT(ISNUMBER(INDEX(auto_DataFlat_DataValue,H132)))),"EXCLUDE","")</f>
        <v/>
      </c>
      <c r="AV132" t="str" cm="1">
        <f t="array" aca="1" ref="AV132" ca="1">IF(AND($H$3=1,NOT(ISNUMBER(INDEX(auto_DataFlat_DataValue,I132)))),"EXCLUDE","")</f>
        <v/>
      </c>
      <c r="AW132" t="str">
        <f t="shared" ca="1" si="36"/>
        <v/>
      </c>
    </row>
    <row r="133" spans="1:49" x14ac:dyDescent="0.4">
      <c r="A133">
        <v>39</v>
      </c>
      <c r="B133" t="str" cm="1">
        <f t="array" ref="B133">SUBSTITUTE(INDEX(auto_Country_ISO,A133),"US-","")</f>
        <v>RMG</v>
      </c>
      <c r="C133" t="str" cm="1">
        <f t="array" ref="C133">INDEX(auto_ddCountry,A133)</f>
        <v>Rome</v>
      </c>
      <c r="D133" cm="1">
        <f t="array" ref="D133">INDEX(auto_Country_Status,A133)</f>
        <v>1</v>
      </c>
      <c r="E133">
        <f t="shared" si="21"/>
        <v>1</v>
      </c>
      <c r="F133">
        <f>2</f>
        <v>2</v>
      </c>
      <c r="H133" cm="1">
        <f t="array" aca="1" ref="H133" ca="1">INDEX(sys_DataFlat_LU_Grid,$B$2,$A133)</f>
        <v>39</v>
      </c>
      <c r="I133" cm="1">
        <f t="array" aca="1" ref="I133" ca="1">INDEX(sys_DataFlat_LU_Grid,$B$3,$A133)</f>
        <v>99</v>
      </c>
      <c r="K133" cm="1">
        <f t="array" aca="1" ref="K133" ca="1">INDEX(IF($B$43="SCORE",auto_DataFlat_Score,IF($B$43="DATA",auto_DataFlat_DataValue,IF($B$43="Z-SCORE",auto_DataFlat_ZScore))),H133)</f>
        <v>63.5</v>
      </c>
      <c r="L133" cm="1">
        <f t="array" aca="1" ref="L133" ca="1">INDEX(IF($B$44="SCORE",auto_DataFlat_Score,IF($B$44="DATA",auto_DataFlat_DataValue,IF($B$44="Z-SCORE",auto_DataFlat_ZScore))),I133)</f>
        <v>82.8</v>
      </c>
      <c r="N133">
        <f t="shared" ca="1" si="22"/>
        <v>63.5</v>
      </c>
      <c r="O133">
        <f t="shared" ca="1" si="23"/>
        <v>82.8</v>
      </c>
      <c r="Q133">
        <f t="shared" ca="1" si="24"/>
        <v>63.5</v>
      </c>
      <c r="R133">
        <f t="shared" ca="1" si="25"/>
        <v>82.8</v>
      </c>
      <c r="U133">
        <f t="shared" ca="1" si="26"/>
        <v>63.5</v>
      </c>
      <c r="V133">
        <f t="shared" ca="1" si="27"/>
        <v>82.8</v>
      </c>
      <c r="X133">
        <f t="shared" ca="1" si="28"/>
        <v>63.5</v>
      </c>
      <c r="Y133">
        <f t="shared" ca="1" si="29"/>
        <v>82.8</v>
      </c>
      <c r="AB133" t="str">
        <f t="shared" si="20"/>
        <v>RMG</v>
      </c>
      <c r="AC133">
        <f t="shared" si="30"/>
        <v>0</v>
      </c>
      <c r="AF133">
        <f t="shared" si="31"/>
        <v>1</v>
      </c>
      <c r="AG133">
        <f ca="1">RANK(AF133,OFFSET(AF$95,0,0,$B$26,1))+COUNTIF(AF$95:AF133,AF133)-1</f>
        <v>39</v>
      </c>
      <c r="AH133">
        <f t="shared" ca="1" si="32"/>
        <v>39</v>
      </c>
      <c r="AI133">
        <f t="shared" ca="1" si="33"/>
        <v>39</v>
      </c>
      <c r="AJ133" cm="1">
        <f t="array" aca="1" ref="AJ133" ca="1">INDEX(auto_Country_Status,AI133)</f>
        <v>1</v>
      </c>
      <c r="AK133" t="str" cm="1">
        <f t="array" aca="1" ref="AK133" ca="1">IF($AJ133=0,"",INDEX(auto_Country_ISO,AI133))</f>
        <v>RMG</v>
      </c>
      <c r="AL133" t="str" cm="1">
        <f t="array" aca="1" ref="AL133" ca="1">IF($AJ133=0,"",INDEX(auto_ddCountry,AI133))</f>
        <v>Rome</v>
      </c>
      <c r="AM133" cm="1">
        <f t="array" aca="1" ref="AM133" ca="1">IF($AJ133=0,"",INDEX(OFFSET(Q$95,0,0,$B$26,1),AI133))</f>
        <v>63.5</v>
      </c>
      <c r="AN133" cm="1">
        <f t="array" aca="1" ref="AN133" ca="1">IF($AJ133=0,"",INDEX(OFFSET(R$95,0,0,$B$26,1),AI133))</f>
        <v>82.8</v>
      </c>
      <c r="AO133">
        <f t="shared" ca="1" si="34"/>
        <v>63.5</v>
      </c>
      <c r="AP133">
        <f t="shared" ca="1" si="35"/>
        <v>82.8</v>
      </c>
      <c r="AQ133" t="e">
        <f t="shared" si="16"/>
        <v>#N/A</v>
      </c>
      <c r="AR133" t="e">
        <f t="shared" si="17"/>
        <v>#N/A</v>
      </c>
      <c r="AS133" t="e">
        <f t="shared" si="18"/>
        <v>#N/A</v>
      </c>
      <c r="AU133" t="str" cm="1">
        <f t="array" aca="1" ref="AU133" ca="1">IF(AND($H$2=1,NOT(ISNUMBER(INDEX(auto_DataFlat_DataValue,H133)))),"EXCLUDE","")</f>
        <v/>
      </c>
      <c r="AV133" t="str" cm="1">
        <f t="array" aca="1" ref="AV133" ca="1">IF(AND($H$3=1,NOT(ISNUMBER(INDEX(auto_DataFlat_DataValue,I133)))),"EXCLUDE","")</f>
        <v/>
      </c>
      <c r="AW133" t="str">
        <f t="shared" ca="1" si="36"/>
        <v/>
      </c>
    </row>
    <row r="134" spans="1:49" x14ac:dyDescent="0.4">
      <c r="A134">
        <v>40</v>
      </c>
      <c r="B134" t="str" cm="1">
        <f t="array" ref="B134">SUBSTITUTE(INDEX(auto_Country_ISO,A134),"US-","")</f>
        <v>SFO</v>
      </c>
      <c r="C134" t="str" cm="1">
        <f t="array" ref="C134">INDEX(auto_ddCountry,A134)</f>
        <v>San Francisco</v>
      </c>
      <c r="D134" cm="1">
        <f t="array" ref="D134">INDEX(auto_Country_Status,A134)</f>
        <v>1</v>
      </c>
      <c r="E134">
        <f t="shared" si="21"/>
        <v>1</v>
      </c>
      <c r="F134">
        <f>2</f>
        <v>2</v>
      </c>
      <c r="H134" cm="1">
        <f t="array" aca="1" ref="H134" ca="1">INDEX(sys_DataFlat_LU_Grid,$B$2,$A134)</f>
        <v>40</v>
      </c>
      <c r="I134" cm="1">
        <f t="array" aca="1" ref="I134" ca="1">INDEX(sys_DataFlat_LU_Grid,$B$3,$A134)</f>
        <v>100</v>
      </c>
      <c r="K134" cm="1">
        <f t="array" aca="1" ref="K134" ca="1">INDEX(IF($B$43="SCORE",auto_DataFlat_Score,IF($B$43="DATA",auto_DataFlat_DataValue,IF($B$43="Z-SCORE",auto_DataFlat_ZScore))),H134)</f>
        <v>72</v>
      </c>
      <c r="L134" cm="1">
        <f t="array" aca="1" ref="L134" ca="1">INDEX(IF($B$44="SCORE",auto_DataFlat_Score,IF($B$44="DATA",auto_DataFlat_DataValue,IF($B$44="Z-SCORE",auto_DataFlat_ZScore))),I134)</f>
        <v>86.8</v>
      </c>
      <c r="N134">
        <f t="shared" ca="1" si="22"/>
        <v>72</v>
      </c>
      <c r="O134">
        <f t="shared" ca="1" si="23"/>
        <v>86.8</v>
      </c>
      <c r="Q134">
        <f t="shared" ca="1" si="24"/>
        <v>72</v>
      </c>
      <c r="R134">
        <f t="shared" ca="1" si="25"/>
        <v>86.8</v>
      </c>
      <c r="U134">
        <f t="shared" ca="1" si="26"/>
        <v>72</v>
      </c>
      <c r="V134">
        <f t="shared" ca="1" si="27"/>
        <v>86.8</v>
      </c>
      <c r="X134">
        <f t="shared" ca="1" si="28"/>
        <v>72</v>
      </c>
      <c r="Y134">
        <f t="shared" ca="1" si="29"/>
        <v>86.8</v>
      </c>
      <c r="AB134" t="str">
        <f t="shared" si="20"/>
        <v>SFO</v>
      </c>
      <c r="AC134">
        <f t="shared" si="30"/>
        <v>0</v>
      </c>
      <c r="AF134">
        <f t="shared" si="31"/>
        <v>1</v>
      </c>
      <c r="AG134">
        <f ca="1">RANK(AF134,OFFSET(AF$95,0,0,$B$26,1))+COUNTIF(AF$95:AF134,AF134)-1</f>
        <v>40</v>
      </c>
      <c r="AH134">
        <f t="shared" ca="1" si="32"/>
        <v>40</v>
      </c>
      <c r="AI134">
        <f t="shared" ca="1" si="33"/>
        <v>40</v>
      </c>
      <c r="AJ134" cm="1">
        <f t="array" aca="1" ref="AJ134" ca="1">INDEX(auto_Country_Status,AI134)</f>
        <v>1</v>
      </c>
      <c r="AK134" t="str" cm="1">
        <f t="array" aca="1" ref="AK134" ca="1">IF($AJ134=0,"",INDEX(auto_Country_ISO,AI134))</f>
        <v>SFO</v>
      </c>
      <c r="AL134" t="str" cm="1">
        <f t="array" aca="1" ref="AL134" ca="1">IF($AJ134=0,"",INDEX(auto_ddCountry,AI134))</f>
        <v>San Francisco</v>
      </c>
      <c r="AM134" cm="1">
        <f t="array" aca="1" ref="AM134" ca="1">IF($AJ134=0,"",INDEX(OFFSET(Q$95,0,0,$B$26,1),AI134))</f>
        <v>72</v>
      </c>
      <c r="AN134" cm="1">
        <f t="array" aca="1" ref="AN134" ca="1">IF($AJ134=0,"",INDEX(OFFSET(R$95,0,0,$B$26,1),AI134))</f>
        <v>86.8</v>
      </c>
      <c r="AO134">
        <f t="shared" ca="1" si="34"/>
        <v>72</v>
      </c>
      <c r="AP134">
        <f t="shared" ca="1" si="35"/>
        <v>86.8</v>
      </c>
      <c r="AQ134" t="e">
        <f t="shared" si="16"/>
        <v>#N/A</v>
      </c>
      <c r="AR134" t="e">
        <f t="shared" si="17"/>
        <v>#N/A</v>
      </c>
      <c r="AS134" t="e">
        <f t="shared" si="18"/>
        <v>#N/A</v>
      </c>
      <c r="AU134" t="str" cm="1">
        <f t="array" aca="1" ref="AU134" ca="1">IF(AND($H$2=1,NOT(ISNUMBER(INDEX(auto_DataFlat_DataValue,H134)))),"EXCLUDE","")</f>
        <v/>
      </c>
      <c r="AV134" t="str" cm="1">
        <f t="array" aca="1" ref="AV134" ca="1">IF(AND($H$3=1,NOT(ISNUMBER(INDEX(auto_DataFlat_DataValue,I134)))),"EXCLUDE","")</f>
        <v/>
      </c>
      <c r="AW134" t="str">
        <f t="shared" ca="1" si="36"/>
        <v/>
      </c>
    </row>
    <row r="135" spans="1:49" x14ac:dyDescent="0.4">
      <c r="A135">
        <v>41</v>
      </c>
      <c r="B135" t="str" cm="1">
        <f t="array" ref="B135">SUBSTITUTE(INDEX(auto_Country_ISO,A135),"US-","")</f>
        <v>SPF</v>
      </c>
      <c r="C135" t="str" cm="1">
        <f t="array" ref="C135">INDEX(auto_ddCountry,A135)</f>
        <v>São Paulo</v>
      </c>
      <c r="D135" cm="1">
        <f t="array" ref="D135">INDEX(auto_Country_Status,A135)</f>
        <v>1</v>
      </c>
      <c r="E135">
        <f t="shared" si="21"/>
        <v>1</v>
      </c>
      <c r="F135">
        <f>2</f>
        <v>2</v>
      </c>
      <c r="H135" cm="1">
        <f t="array" aca="1" ref="H135" ca="1">INDEX(sys_DataFlat_LU_Grid,$B$2,$A135)</f>
        <v>41</v>
      </c>
      <c r="I135" cm="1">
        <f t="array" aca="1" ref="I135" ca="1">INDEX(sys_DataFlat_LU_Grid,$B$3,$A135)</f>
        <v>101</v>
      </c>
      <c r="K135" cm="1">
        <f t="array" aca="1" ref="K135" ca="1">INDEX(IF($B$43="SCORE",auto_DataFlat_Score,IF($B$43="DATA",auto_DataFlat_DataValue,IF($B$43="Z-SCORE",auto_DataFlat_ZScore))),H135)</f>
        <v>67.099999999999994</v>
      </c>
      <c r="L135" cm="1">
        <f t="array" aca="1" ref="L135" ca="1">INDEX(IF($B$44="SCORE",auto_DataFlat_Score,IF($B$44="DATA",auto_DataFlat_DataValue,IF($B$44="Z-SCORE",auto_DataFlat_ZScore))),I135)</f>
        <v>70.099999999999994</v>
      </c>
      <c r="N135">
        <f t="shared" ca="1" si="22"/>
        <v>67.099999999999994</v>
      </c>
      <c r="O135">
        <f t="shared" ca="1" si="23"/>
        <v>70.099999999999994</v>
      </c>
      <c r="Q135">
        <f t="shared" ca="1" si="24"/>
        <v>67.099999999999994</v>
      </c>
      <c r="R135">
        <f t="shared" ca="1" si="25"/>
        <v>70.099999999999994</v>
      </c>
      <c r="U135">
        <f t="shared" ca="1" si="26"/>
        <v>67.099999999999994</v>
      </c>
      <c r="V135">
        <f t="shared" ca="1" si="27"/>
        <v>70.099999999999994</v>
      </c>
      <c r="X135">
        <f t="shared" ca="1" si="28"/>
        <v>67.099999999999994</v>
      </c>
      <c r="Y135">
        <f t="shared" ca="1" si="29"/>
        <v>70.099999999999994</v>
      </c>
      <c r="AB135" t="str">
        <f t="shared" si="20"/>
        <v>SPF</v>
      </c>
      <c r="AC135">
        <f t="shared" si="30"/>
        <v>0</v>
      </c>
      <c r="AF135">
        <f t="shared" si="31"/>
        <v>1</v>
      </c>
      <c r="AG135">
        <f ca="1">RANK(AF135,OFFSET(AF$95,0,0,$B$26,1))+COUNTIF(AF$95:AF135,AF135)-1</f>
        <v>41</v>
      </c>
      <c r="AH135">
        <f t="shared" ca="1" si="32"/>
        <v>41</v>
      </c>
      <c r="AI135">
        <f t="shared" ca="1" si="33"/>
        <v>41</v>
      </c>
      <c r="AJ135" cm="1">
        <f t="array" aca="1" ref="AJ135" ca="1">INDEX(auto_Country_Status,AI135)</f>
        <v>1</v>
      </c>
      <c r="AK135" t="str" cm="1">
        <f t="array" aca="1" ref="AK135" ca="1">IF($AJ135=0,"",INDEX(auto_Country_ISO,AI135))</f>
        <v>SPF</v>
      </c>
      <c r="AL135" t="str" cm="1">
        <f t="array" aca="1" ref="AL135" ca="1">IF($AJ135=0,"",INDEX(auto_ddCountry,AI135))</f>
        <v>São Paulo</v>
      </c>
      <c r="AM135" cm="1">
        <f t="array" aca="1" ref="AM135" ca="1">IF($AJ135=0,"",INDEX(OFFSET(Q$95,0,0,$B$26,1),AI135))</f>
        <v>67.099999999999994</v>
      </c>
      <c r="AN135" cm="1">
        <f t="array" aca="1" ref="AN135" ca="1">IF($AJ135=0,"",INDEX(OFFSET(R$95,0,0,$B$26,1),AI135))</f>
        <v>70.099999999999994</v>
      </c>
      <c r="AO135">
        <f t="shared" ca="1" si="34"/>
        <v>67.099999999999994</v>
      </c>
      <c r="AP135">
        <f t="shared" ca="1" si="35"/>
        <v>70.099999999999994</v>
      </c>
      <c r="AQ135" t="e">
        <f t="shared" si="16"/>
        <v>#N/A</v>
      </c>
      <c r="AR135" t="e">
        <f t="shared" si="17"/>
        <v>#N/A</v>
      </c>
      <c r="AS135" t="e">
        <f t="shared" si="18"/>
        <v>#N/A</v>
      </c>
      <c r="AU135" t="str" cm="1">
        <f t="array" aca="1" ref="AU135" ca="1">IF(AND($H$2=1,NOT(ISNUMBER(INDEX(auto_DataFlat_DataValue,H135)))),"EXCLUDE","")</f>
        <v/>
      </c>
      <c r="AV135" t="str" cm="1">
        <f t="array" aca="1" ref="AV135" ca="1">IF(AND($H$3=1,NOT(ISNUMBER(INDEX(auto_DataFlat_DataValue,I135)))),"EXCLUDE","")</f>
        <v/>
      </c>
      <c r="AW135" t="str">
        <f t="shared" ca="1" si="36"/>
        <v/>
      </c>
    </row>
    <row r="136" spans="1:49" x14ac:dyDescent="0.4">
      <c r="A136">
        <v>42</v>
      </c>
      <c r="B136" t="str" cm="1">
        <f t="array" ref="B136">SUBSTITUTE(INDEX(auto_Country_ISO,A136),"US-","")</f>
        <v>SEL</v>
      </c>
      <c r="C136" t="str" cm="1">
        <f t="array" ref="C136">INDEX(auto_ddCountry,A136)</f>
        <v>Seoul</v>
      </c>
      <c r="D136" cm="1">
        <f t="array" ref="D136">INDEX(auto_Country_Status,A136)</f>
        <v>1</v>
      </c>
      <c r="E136">
        <f t="shared" si="21"/>
        <v>1</v>
      </c>
      <c r="F136">
        <f>2</f>
        <v>2</v>
      </c>
      <c r="H136" cm="1">
        <f t="array" aca="1" ref="H136" ca="1">INDEX(sys_DataFlat_LU_Grid,$B$2,$A136)</f>
        <v>42</v>
      </c>
      <c r="I136" cm="1">
        <f t="array" aca="1" ref="I136" ca="1">INDEX(sys_DataFlat_LU_Grid,$B$3,$A136)</f>
        <v>102</v>
      </c>
      <c r="K136" cm="1">
        <f t="array" aca="1" ref="K136" ca="1">INDEX(IF($B$43="SCORE",auto_DataFlat_Score,IF($B$43="DATA",auto_DataFlat_DataValue,IF($B$43="Z-SCORE",auto_DataFlat_ZScore))),H136)</f>
        <v>75.599999999999994</v>
      </c>
      <c r="L136" cm="1">
        <f t="array" aca="1" ref="L136" ca="1">INDEX(IF($B$44="SCORE",auto_DataFlat_Score,IF($B$44="DATA",auto_DataFlat_DataValue,IF($B$44="Z-SCORE",auto_DataFlat_ZScore))),I136)</f>
        <v>82.8</v>
      </c>
      <c r="N136">
        <f t="shared" ca="1" si="22"/>
        <v>75.599999999999994</v>
      </c>
      <c r="O136">
        <f t="shared" ca="1" si="23"/>
        <v>82.8</v>
      </c>
      <c r="Q136">
        <f t="shared" ca="1" si="24"/>
        <v>75.599999999999994</v>
      </c>
      <c r="R136">
        <f t="shared" ca="1" si="25"/>
        <v>82.8</v>
      </c>
      <c r="U136">
        <f t="shared" ca="1" si="26"/>
        <v>75.599999999999994</v>
      </c>
      <c r="V136">
        <f t="shared" ca="1" si="27"/>
        <v>82.8</v>
      </c>
      <c r="X136">
        <f t="shared" ca="1" si="28"/>
        <v>75.599999999999994</v>
      </c>
      <c r="Y136">
        <f t="shared" ca="1" si="29"/>
        <v>82.8</v>
      </c>
      <c r="AB136" t="str">
        <f t="shared" si="20"/>
        <v>SEL</v>
      </c>
      <c r="AC136">
        <f t="shared" si="30"/>
        <v>0</v>
      </c>
      <c r="AF136">
        <f t="shared" si="31"/>
        <v>1</v>
      </c>
      <c r="AG136">
        <f ca="1">RANK(AF136,OFFSET(AF$95,0,0,$B$26,1))+COUNTIF(AF$95:AF136,AF136)-1</f>
        <v>42</v>
      </c>
      <c r="AH136">
        <f t="shared" ca="1" si="32"/>
        <v>42</v>
      </c>
      <c r="AI136">
        <f t="shared" ca="1" si="33"/>
        <v>42</v>
      </c>
      <c r="AJ136" cm="1">
        <f t="array" aca="1" ref="AJ136" ca="1">INDEX(auto_Country_Status,AI136)</f>
        <v>1</v>
      </c>
      <c r="AK136" t="str" cm="1">
        <f t="array" aca="1" ref="AK136" ca="1">IF($AJ136=0,"",INDEX(auto_Country_ISO,AI136))</f>
        <v>SEL</v>
      </c>
      <c r="AL136" t="str" cm="1">
        <f t="array" aca="1" ref="AL136" ca="1">IF($AJ136=0,"",INDEX(auto_ddCountry,AI136))</f>
        <v>Seoul</v>
      </c>
      <c r="AM136" cm="1">
        <f t="array" aca="1" ref="AM136" ca="1">IF($AJ136=0,"",INDEX(OFFSET(Q$95,0,0,$B$26,1),AI136))</f>
        <v>75.599999999999994</v>
      </c>
      <c r="AN136" cm="1">
        <f t="array" aca="1" ref="AN136" ca="1">IF($AJ136=0,"",INDEX(OFFSET(R$95,0,0,$B$26,1),AI136))</f>
        <v>82.8</v>
      </c>
      <c r="AO136">
        <f t="shared" ca="1" si="34"/>
        <v>75.599999999999994</v>
      </c>
      <c r="AP136">
        <f t="shared" ca="1" si="35"/>
        <v>82.8</v>
      </c>
      <c r="AQ136" t="e">
        <f t="shared" si="16"/>
        <v>#N/A</v>
      </c>
      <c r="AR136" t="e">
        <f t="shared" si="17"/>
        <v>#N/A</v>
      </c>
      <c r="AS136" t="e">
        <f t="shared" si="18"/>
        <v>#N/A</v>
      </c>
      <c r="AU136" t="str" cm="1">
        <f t="array" aca="1" ref="AU136" ca="1">IF(AND($H$2=1,NOT(ISNUMBER(INDEX(auto_DataFlat_DataValue,H136)))),"EXCLUDE","")</f>
        <v/>
      </c>
      <c r="AV136" t="str" cm="1">
        <f t="array" aca="1" ref="AV136" ca="1">IF(AND($H$3=1,NOT(ISNUMBER(INDEX(auto_DataFlat_DataValue,I136)))),"EXCLUDE","")</f>
        <v/>
      </c>
      <c r="AW136" t="str">
        <f t="shared" ca="1" si="36"/>
        <v/>
      </c>
    </row>
    <row r="137" spans="1:49" x14ac:dyDescent="0.4">
      <c r="A137">
        <v>43</v>
      </c>
      <c r="B137" t="str" cm="1">
        <f t="array" ref="B137">SUBSTITUTE(INDEX(auto_Country_ISO,A137),"US-","")</f>
        <v>SGH</v>
      </c>
      <c r="C137" t="str" cm="1">
        <f t="array" ref="C137">INDEX(auto_ddCountry,A137)</f>
        <v>Shanghai</v>
      </c>
      <c r="D137" cm="1">
        <f t="array" ref="D137">INDEX(auto_Country_Status,A137)</f>
        <v>1</v>
      </c>
      <c r="E137">
        <f t="shared" si="21"/>
        <v>1</v>
      </c>
      <c r="F137">
        <f>2</f>
        <v>2</v>
      </c>
      <c r="H137" cm="1">
        <f t="array" aca="1" ref="H137" ca="1">INDEX(sys_DataFlat_LU_Grid,$B$2,$A137)</f>
        <v>43</v>
      </c>
      <c r="I137" cm="1">
        <f t="array" aca="1" ref="I137" ca="1">INDEX(sys_DataFlat_LU_Grid,$B$3,$A137)</f>
        <v>103</v>
      </c>
      <c r="K137" cm="1">
        <f t="array" aca="1" ref="K137" ca="1">INDEX(IF($B$43="SCORE",auto_DataFlat_Score,IF($B$43="DATA",auto_DataFlat_DataValue,IF($B$43="Z-SCORE",auto_DataFlat_ZScore))),H137)</f>
        <v>65.3</v>
      </c>
      <c r="L137" cm="1">
        <f t="array" aca="1" ref="L137" ca="1">INDEX(IF($B$44="SCORE",auto_DataFlat_Score,IF($B$44="DATA",auto_DataFlat_DataValue,IF($B$44="Z-SCORE",auto_DataFlat_ZScore))),I137)</f>
        <v>54.3</v>
      </c>
      <c r="N137">
        <f t="shared" ca="1" si="22"/>
        <v>65.3</v>
      </c>
      <c r="O137">
        <f t="shared" ca="1" si="23"/>
        <v>54.3</v>
      </c>
      <c r="Q137">
        <f t="shared" ca="1" si="24"/>
        <v>65.3</v>
      </c>
      <c r="R137">
        <f t="shared" ca="1" si="25"/>
        <v>54.3</v>
      </c>
      <c r="U137">
        <f t="shared" ca="1" si="26"/>
        <v>65.3</v>
      </c>
      <c r="V137">
        <f t="shared" ca="1" si="27"/>
        <v>54.3</v>
      </c>
      <c r="X137">
        <f t="shared" ca="1" si="28"/>
        <v>65.3</v>
      </c>
      <c r="Y137">
        <f t="shared" ca="1" si="29"/>
        <v>54.3</v>
      </c>
      <c r="AB137" t="str">
        <f t="shared" si="20"/>
        <v>SGH</v>
      </c>
      <c r="AC137">
        <f t="shared" si="30"/>
        <v>0</v>
      </c>
      <c r="AF137">
        <f t="shared" si="31"/>
        <v>1</v>
      </c>
      <c r="AG137">
        <f ca="1">RANK(AF137,OFFSET(AF$95,0,0,$B$26,1))+COUNTIF(AF$95:AF137,AF137)-1</f>
        <v>43</v>
      </c>
      <c r="AH137">
        <f t="shared" ca="1" si="32"/>
        <v>43</v>
      </c>
      <c r="AI137">
        <f t="shared" ca="1" si="33"/>
        <v>43</v>
      </c>
      <c r="AJ137" cm="1">
        <f t="array" aca="1" ref="AJ137" ca="1">INDEX(auto_Country_Status,AI137)</f>
        <v>1</v>
      </c>
      <c r="AK137" t="str" cm="1">
        <f t="array" aca="1" ref="AK137" ca="1">IF($AJ137=0,"",INDEX(auto_Country_ISO,AI137))</f>
        <v>SGH</v>
      </c>
      <c r="AL137" t="str" cm="1">
        <f t="array" aca="1" ref="AL137" ca="1">IF($AJ137=0,"",INDEX(auto_ddCountry,AI137))</f>
        <v>Shanghai</v>
      </c>
      <c r="AM137" cm="1">
        <f t="array" aca="1" ref="AM137" ca="1">IF($AJ137=0,"",INDEX(OFFSET(Q$95,0,0,$B$26,1),AI137))</f>
        <v>65.3</v>
      </c>
      <c r="AN137" cm="1">
        <f t="array" aca="1" ref="AN137" ca="1">IF($AJ137=0,"",INDEX(OFFSET(R$95,0,0,$B$26,1),AI137))</f>
        <v>54.3</v>
      </c>
      <c r="AO137">
        <f t="shared" ca="1" si="34"/>
        <v>65.3</v>
      </c>
      <c r="AP137">
        <f t="shared" ca="1" si="35"/>
        <v>54.3</v>
      </c>
      <c r="AQ137" t="e">
        <f t="shared" si="16"/>
        <v>#N/A</v>
      </c>
      <c r="AR137" t="e">
        <f t="shared" si="17"/>
        <v>#N/A</v>
      </c>
      <c r="AS137" t="e">
        <f t="shared" si="18"/>
        <v>#N/A</v>
      </c>
      <c r="AU137" t="str" cm="1">
        <f t="array" aca="1" ref="AU137" ca="1">IF(AND($H$2=1,NOT(ISNUMBER(INDEX(auto_DataFlat_DataValue,H137)))),"EXCLUDE","")</f>
        <v/>
      </c>
      <c r="AV137" t="str" cm="1">
        <f t="array" aca="1" ref="AV137" ca="1">IF(AND($H$3=1,NOT(ISNUMBER(INDEX(auto_DataFlat_DataValue,I137)))),"EXCLUDE","")</f>
        <v/>
      </c>
      <c r="AW137" t="str">
        <f t="shared" ca="1" si="36"/>
        <v/>
      </c>
    </row>
    <row r="138" spans="1:49" x14ac:dyDescent="0.4">
      <c r="A138">
        <v>44</v>
      </c>
      <c r="B138" t="str" cm="1">
        <f t="array" ref="B138">SUBSTITUTE(INDEX(auto_Country_ISO,A138),"US-","")</f>
        <v>SIN</v>
      </c>
      <c r="C138" t="str" cm="1">
        <f t="array" ref="C138">INDEX(auto_ddCountry,A138)</f>
        <v>Singapore</v>
      </c>
      <c r="D138" cm="1">
        <f t="array" ref="D138">INDEX(auto_Country_Status,A138)</f>
        <v>1</v>
      </c>
      <c r="E138">
        <f t="shared" si="21"/>
        <v>1</v>
      </c>
      <c r="F138">
        <f>2</f>
        <v>2</v>
      </c>
      <c r="H138" cm="1">
        <f t="array" aca="1" ref="H138" ca="1">INDEX(sys_DataFlat_LU_Grid,$B$2,$A138)</f>
        <v>44</v>
      </c>
      <c r="I138" cm="1">
        <f t="array" aca="1" ref="I138" ca="1">INDEX(sys_DataFlat_LU_Grid,$B$3,$A138)</f>
        <v>104</v>
      </c>
      <c r="K138" cm="1">
        <f t="array" aca="1" ref="K138" ca="1">INDEX(IF($B$43="SCORE",auto_DataFlat_Score,IF($B$43="DATA",auto_DataFlat_DataValue,IF($B$43="Z-SCORE",auto_DataFlat_ZScore))),H138)</f>
        <v>76.099999999999994</v>
      </c>
      <c r="L138" cm="1">
        <f t="array" aca="1" ref="L138" ca="1">INDEX(IF($B$44="SCORE",auto_DataFlat_Score,IF($B$44="DATA",auto_DataFlat_DataValue,IF($B$44="Z-SCORE",auto_DataFlat_ZScore))),I138)</f>
        <v>86.2</v>
      </c>
      <c r="N138">
        <f t="shared" ca="1" si="22"/>
        <v>76.099999999999994</v>
      </c>
      <c r="O138">
        <f t="shared" ca="1" si="23"/>
        <v>86.2</v>
      </c>
      <c r="Q138">
        <f t="shared" ca="1" si="24"/>
        <v>76.099999999999994</v>
      </c>
      <c r="R138">
        <f t="shared" ca="1" si="25"/>
        <v>86.2</v>
      </c>
      <c r="U138">
        <f t="shared" ca="1" si="26"/>
        <v>76.099999999999994</v>
      </c>
      <c r="V138">
        <f t="shared" ca="1" si="27"/>
        <v>86.2</v>
      </c>
      <c r="X138">
        <f t="shared" ca="1" si="28"/>
        <v>76.099999999999994</v>
      </c>
      <c r="Y138">
        <f t="shared" ca="1" si="29"/>
        <v>86.2</v>
      </c>
      <c r="AB138" t="str">
        <f t="shared" si="20"/>
        <v>SIN</v>
      </c>
      <c r="AC138">
        <f t="shared" si="30"/>
        <v>0</v>
      </c>
      <c r="AF138">
        <f t="shared" si="31"/>
        <v>1</v>
      </c>
      <c r="AG138">
        <f ca="1">RANK(AF138,OFFSET(AF$95,0,0,$B$26,1))+COUNTIF(AF$95:AF138,AF138)-1</f>
        <v>44</v>
      </c>
      <c r="AH138">
        <f t="shared" ca="1" si="32"/>
        <v>44</v>
      </c>
      <c r="AI138">
        <f t="shared" ca="1" si="33"/>
        <v>44</v>
      </c>
      <c r="AJ138" cm="1">
        <f t="array" aca="1" ref="AJ138" ca="1">INDEX(auto_Country_Status,AI138)</f>
        <v>1</v>
      </c>
      <c r="AK138" t="str" cm="1">
        <f t="array" aca="1" ref="AK138" ca="1">IF($AJ138=0,"",INDEX(auto_Country_ISO,AI138))</f>
        <v>SIN</v>
      </c>
      <c r="AL138" t="str" cm="1">
        <f t="array" aca="1" ref="AL138" ca="1">IF($AJ138=0,"",INDEX(auto_ddCountry,AI138))</f>
        <v>Singapore</v>
      </c>
      <c r="AM138" cm="1">
        <f t="array" aca="1" ref="AM138" ca="1">IF($AJ138=0,"",INDEX(OFFSET(Q$95,0,0,$B$26,1),AI138))</f>
        <v>76.099999999999994</v>
      </c>
      <c r="AN138" cm="1">
        <f t="array" aca="1" ref="AN138" ca="1">IF($AJ138=0,"",INDEX(OFFSET(R$95,0,0,$B$26,1),AI138))</f>
        <v>86.2</v>
      </c>
      <c r="AO138">
        <f t="shared" ca="1" si="34"/>
        <v>76.099999999999994</v>
      </c>
      <c r="AP138">
        <f t="shared" ca="1" si="35"/>
        <v>86.2</v>
      </c>
      <c r="AQ138" t="e">
        <f t="shared" si="16"/>
        <v>#N/A</v>
      </c>
      <c r="AR138" t="e">
        <f t="shared" si="17"/>
        <v>#N/A</v>
      </c>
      <c r="AS138" t="e">
        <f t="shared" si="18"/>
        <v>#N/A</v>
      </c>
      <c r="AU138" t="str" cm="1">
        <f t="array" aca="1" ref="AU138" ca="1">IF(AND($H$2=1,NOT(ISNUMBER(INDEX(auto_DataFlat_DataValue,H138)))),"EXCLUDE","")</f>
        <v/>
      </c>
      <c r="AV138" t="str" cm="1">
        <f t="array" aca="1" ref="AV138" ca="1">IF(AND($H$3=1,NOT(ISNUMBER(INDEX(auto_DataFlat_DataValue,I138)))),"EXCLUDE","")</f>
        <v/>
      </c>
      <c r="AW138" t="str">
        <f t="shared" ca="1" si="36"/>
        <v/>
      </c>
    </row>
    <row r="139" spans="1:49" x14ac:dyDescent="0.4">
      <c r="A139">
        <v>45</v>
      </c>
      <c r="B139" t="str" cm="1">
        <f t="array" ref="B139">SUBSTITUTE(INDEX(auto_Country_ISO,A139),"US-","")</f>
        <v>SYD</v>
      </c>
      <c r="C139" t="str" cm="1">
        <f t="array" ref="C139">INDEX(auto_ddCountry,A139)</f>
        <v>Sydney</v>
      </c>
      <c r="D139" cm="1">
        <f t="array" ref="D139">INDEX(auto_Country_Status,A139)</f>
        <v>1</v>
      </c>
      <c r="E139">
        <f t="shared" si="21"/>
        <v>1</v>
      </c>
      <c r="F139">
        <f>2</f>
        <v>2</v>
      </c>
      <c r="H139" cm="1">
        <f t="array" aca="1" ref="H139" ca="1">INDEX(sys_DataFlat_LU_Grid,$B$2,$A139)</f>
        <v>45</v>
      </c>
      <c r="I139" cm="1">
        <f t="array" aca="1" ref="I139" ca="1">INDEX(sys_DataFlat_LU_Grid,$B$3,$A139)</f>
        <v>105</v>
      </c>
      <c r="K139" cm="1">
        <f t="array" aca="1" ref="K139" ca="1">INDEX(IF($B$43="SCORE",auto_DataFlat_Score,IF($B$43="DATA",auto_DataFlat_DataValue,IF($B$43="Z-SCORE",auto_DataFlat_ZScore))),H139)</f>
        <v>70.5</v>
      </c>
      <c r="L139" cm="1">
        <f t="array" aca="1" ref="L139" ca="1">INDEX(IF($B$44="SCORE",auto_DataFlat_Score,IF($B$44="DATA",auto_DataFlat_DataValue,IF($B$44="Z-SCORE",auto_DataFlat_ZScore))),I139)</f>
        <v>87.9</v>
      </c>
      <c r="N139">
        <f t="shared" ca="1" si="22"/>
        <v>70.5</v>
      </c>
      <c r="O139">
        <f t="shared" ca="1" si="23"/>
        <v>87.9</v>
      </c>
      <c r="Q139">
        <f t="shared" ca="1" si="24"/>
        <v>70.5</v>
      </c>
      <c r="R139">
        <f t="shared" ca="1" si="25"/>
        <v>87.9</v>
      </c>
      <c r="U139">
        <f t="shared" ca="1" si="26"/>
        <v>70.5</v>
      </c>
      <c r="V139">
        <f t="shared" ca="1" si="27"/>
        <v>87.9</v>
      </c>
      <c r="X139">
        <f t="shared" ca="1" si="28"/>
        <v>70.5</v>
      </c>
      <c r="Y139">
        <f t="shared" ca="1" si="29"/>
        <v>87.9</v>
      </c>
      <c r="AB139" t="str">
        <f t="shared" si="20"/>
        <v>SYD</v>
      </c>
      <c r="AC139">
        <f t="shared" si="30"/>
        <v>0</v>
      </c>
      <c r="AF139">
        <f t="shared" si="31"/>
        <v>1</v>
      </c>
      <c r="AG139">
        <f ca="1">RANK(AF139,OFFSET(AF$95,0,0,$B$26,1))+COUNTIF(AF$95:AF139,AF139)-1</f>
        <v>45</v>
      </c>
      <c r="AH139">
        <f t="shared" ca="1" si="32"/>
        <v>45</v>
      </c>
      <c r="AI139">
        <f t="shared" ca="1" si="33"/>
        <v>45</v>
      </c>
      <c r="AJ139" cm="1">
        <f t="array" aca="1" ref="AJ139" ca="1">INDEX(auto_Country_Status,AI139)</f>
        <v>1</v>
      </c>
      <c r="AK139" t="str" cm="1">
        <f t="array" aca="1" ref="AK139" ca="1">IF($AJ139=0,"",INDEX(auto_Country_ISO,AI139))</f>
        <v>SYD</v>
      </c>
      <c r="AL139" t="str" cm="1">
        <f t="array" aca="1" ref="AL139" ca="1">IF($AJ139=0,"",INDEX(auto_ddCountry,AI139))</f>
        <v>Sydney</v>
      </c>
      <c r="AM139" cm="1">
        <f t="array" aca="1" ref="AM139" ca="1">IF($AJ139=0,"",INDEX(OFFSET(Q$95,0,0,$B$26,1),AI139))</f>
        <v>70.5</v>
      </c>
      <c r="AN139" cm="1">
        <f t="array" aca="1" ref="AN139" ca="1">IF($AJ139=0,"",INDEX(OFFSET(R$95,0,0,$B$26,1),AI139))</f>
        <v>87.9</v>
      </c>
      <c r="AO139">
        <f t="shared" ca="1" si="34"/>
        <v>70.5</v>
      </c>
      <c r="AP139">
        <f t="shared" ca="1" si="35"/>
        <v>87.9</v>
      </c>
      <c r="AQ139" t="e">
        <f t="shared" si="16"/>
        <v>#N/A</v>
      </c>
      <c r="AR139" t="e">
        <f t="shared" si="17"/>
        <v>#N/A</v>
      </c>
      <c r="AS139" t="e">
        <f t="shared" si="18"/>
        <v>#N/A</v>
      </c>
      <c r="AU139" t="str" cm="1">
        <f t="array" aca="1" ref="AU139" ca="1">IF(AND($H$2=1,NOT(ISNUMBER(INDEX(auto_DataFlat_DataValue,H139)))),"EXCLUDE","")</f>
        <v/>
      </c>
      <c r="AV139" t="str" cm="1">
        <f t="array" aca="1" ref="AV139" ca="1">IF(AND($H$3=1,NOT(ISNUMBER(INDEX(auto_DataFlat_DataValue,I139)))),"EXCLUDE","")</f>
        <v/>
      </c>
      <c r="AW139" t="str">
        <f t="shared" ca="1" si="36"/>
        <v/>
      </c>
    </row>
    <row r="140" spans="1:49" x14ac:dyDescent="0.4">
      <c r="A140">
        <v>46</v>
      </c>
      <c r="B140" t="str" cm="1">
        <f t="array" ref="B140">SUBSTITUTE(INDEX(auto_Country_ISO,A140),"US-","")</f>
        <v>TYO</v>
      </c>
      <c r="C140" t="str" cm="1">
        <f t="array" ref="C140">INDEX(auto_ddCountry,A140)</f>
        <v>Tokyo</v>
      </c>
      <c r="D140" cm="1">
        <f t="array" ref="D140">INDEX(auto_Country_Status,A140)</f>
        <v>1</v>
      </c>
      <c r="E140">
        <f t="shared" si="21"/>
        <v>1</v>
      </c>
      <c r="F140">
        <f>2</f>
        <v>2</v>
      </c>
      <c r="H140" cm="1">
        <f t="array" aca="1" ref="H140" ca="1">INDEX(sys_DataFlat_LU_Grid,$B$2,$A140)</f>
        <v>46</v>
      </c>
      <c r="I140" cm="1">
        <f t="array" aca="1" ref="I140" ca="1">INDEX(sys_DataFlat_LU_Grid,$B$3,$A140)</f>
        <v>106</v>
      </c>
      <c r="K140" cm="1">
        <f t="array" aca="1" ref="K140" ca="1">INDEX(IF($B$43="SCORE",auto_DataFlat_Score,IF($B$43="DATA",auto_DataFlat_DataValue,IF($B$43="Z-SCORE",auto_DataFlat_ZScore))),H140)</f>
        <v>76.099999999999994</v>
      </c>
      <c r="L140" cm="1">
        <f t="array" aca="1" ref="L140" ca="1">INDEX(IF($B$44="SCORE",auto_DataFlat_Score,IF($B$44="DATA",auto_DataFlat_DataValue,IF($B$44="Z-SCORE",auto_DataFlat_ZScore))),I140)</f>
        <v>84.2</v>
      </c>
      <c r="N140">
        <f t="shared" ca="1" si="22"/>
        <v>76.099999999999994</v>
      </c>
      <c r="O140">
        <f t="shared" ca="1" si="23"/>
        <v>84.2</v>
      </c>
      <c r="Q140">
        <f t="shared" ca="1" si="24"/>
        <v>76.099999999999994</v>
      </c>
      <c r="R140">
        <f t="shared" ca="1" si="25"/>
        <v>84.2</v>
      </c>
      <c r="U140">
        <f t="shared" ca="1" si="26"/>
        <v>76.099999999999994</v>
      </c>
      <c r="V140">
        <f t="shared" ca="1" si="27"/>
        <v>84.2</v>
      </c>
      <c r="X140">
        <f t="shared" ca="1" si="28"/>
        <v>76.099999999999994</v>
      </c>
      <c r="Y140">
        <f t="shared" ca="1" si="29"/>
        <v>84.2</v>
      </c>
      <c r="AB140" t="str">
        <f t="shared" si="20"/>
        <v>TYO</v>
      </c>
      <c r="AC140">
        <f t="shared" si="30"/>
        <v>0</v>
      </c>
      <c r="AF140">
        <f t="shared" si="31"/>
        <v>1</v>
      </c>
      <c r="AG140">
        <f ca="1">RANK(AF140,OFFSET(AF$95,0,0,$B$26,1))+COUNTIF(AF$95:AF140,AF140)-1</f>
        <v>46</v>
      </c>
      <c r="AH140">
        <f t="shared" ca="1" si="32"/>
        <v>46</v>
      </c>
      <c r="AI140">
        <f t="shared" ca="1" si="33"/>
        <v>46</v>
      </c>
      <c r="AJ140" cm="1">
        <f t="array" aca="1" ref="AJ140" ca="1">INDEX(auto_Country_Status,AI140)</f>
        <v>1</v>
      </c>
      <c r="AK140" t="str" cm="1">
        <f t="array" aca="1" ref="AK140" ca="1">IF($AJ140=0,"",INDEX(auto_Country_ISO,AI140))</f>
        <v>TYO</v>
      </c>
      <c r="AL140" t="str" cm="1">
        <f t="array" aca="1" ref="AL140" ca="1">IF($AJ140=0,"",INDEX(auto_ddCountry,AI140))</f>
        <v>Tokyo</v>
      </c>
      <c r="AM140" cm="1">
        <f t="array" aca="1" ref="AM140" ca="1">IF($AJ140=0,"",INDEX(OFFSET(Q$95,0,0,$B$26,1),AI140))</f>
        <v>76.099999999999994</v>
      </c>
      <c r="AN140" cm="1">
        <f t="array" aca="1" ref="AN140" ca="1">IF($AJ140=0,"",INDEX(OFFSET(R$95,0,0,$B$26,1),AI140))</f>
        <v>84.2</v>
      </c>
      <c r="AO140">
        <f t="shared" ca="1" si="34"/>
        <v>76.099999999999994</v>
      </c>
      <c r="AP140">
        <f t="shared" ca="1" si="35"/>
        <v>84.2</v>
      </c>
      <c r="AQ140" t="e">
        <f t="shared" si="16"/>
        <v>#N/A</v>
      </c>
      <c r="AR140" t="e">
        <f t="shared" si="17"/>
        <v>#N/A</v>
      </c>
      <c r="AS140" t="e">
        <f t="shared" si="18"/>
        <v>#N/A</v>
      </c>
      <c r="AU140" t="str" cm="1">
        <f t="array" aca="1" ref="AU140" ca="1">IF(AND($H$2=1,NOT(ISNUMBER(INDEX(auto_DataFlat_DataValue,H140)))),"EXCLUDE","")</f>
        <v/>
      </c>
      <c r="AV140" t="str" cm="1">
        <f t="array" aca="1" ref="AV140" ca="1">IF(AND($H$3=1,NOT(ISNUMBER(INDEX(auto_DataFlat_DataValue,I140)))),"EXCLUDE","")</f>
        <v/>
      </c>
      <c r="AW140" t="str">
        <f t="shared" ca="1" si="36"/>
        <v/>
      </c>
    </row>
    <row r="141" spans="1:49" x14ac:dyDescent="0.4">
      <c r="A141">
        <v>47</v>
      </c>
      <c r="B141" t="str" cm="1">
        <f t="array" ref="B141">SUBSTITUTE(INDEX(auto_Country_ISO,A141),"US-","")</f>
        <v>TOR</v>
      </c>
      <c r="C141" t="str" cm="1">
        <f t="array" ref="C141">INDEX(auto_ddCountry,A141)</f>
        <v>Toronto</v>
      </c>
      <c r="D141" cm="1">
        <f t="array" ref="D141">INDEX(auto_Country_Status,A141)</f>
        <v>1</v>
      </c>
      <c r="E141">
        <f t="shared" si="21"/>
        <v>1</v>
      </c>
      <c r="F141">
        <f>2</f>
        <v>2</v>
      </c>
      <c r="H141" cm="1">
        <f t="array" aca="1" ref="H141" ca="1">INDEX(sys_DataFlat_LU_Grid,$B$2,$A141)</f>
        <v>47</v>
      </c>
      <c r="I141" cm="1">
        <f t="array" aca="1" ref="I141" ca="1">INDEX(sys_DataFlat_LU_Grid,$B$3,$A141)</f>
        <v>107</v>
      </c>
      <c r="K141" cm="1">
        <f t="array" aca="1" ref="K141" ca="1">INDEX(IF($B$43="SCORE",auto_DataFlat_Score,IF($B$43="DATA",auto_DataFlat_DataValue,IF($B$43="Z-SCORE",auto_DataFlat_ZScore))),H141)</f>
        <v>77</v>
      </c>
      <c r="L141" cm="1">
        <f t="array" aca="1" ref="L141" ca="1">INDEX(IF($B$44="SCORE",auto_DataFlat_Score,IF($B$44="DATA",auto_DataFlat_DataValue,IF($B$44="Z-SCORE",auto_DataFlat_ZScore))),I141)</f>
        <v>89.9</v>
      </c>
      <c r="N141">
        <f t="shared" ca="1" si="22"/>
        <v>77</v>
      </c>
      <c r="O141">
        <f t="shared" ca="1" si="23"/>
        <v>89.9</v>
      </c>
      <c r="Q141">
        <f t="shared" ca="1" si="24"/>
        <v>77</v>
      </c>
      <c r="R141">
        <f t="shared" ca="1" si="25"/>
        <v>89.9</v>
      </c>
      <c r="U141">
        <f t="shared" ca="1" si="26"/>
        <v>77</v>
      </c>
      <c r="V141">
        <f t="shared" ca="1" si="27"/>
        <v>89.9</v>
      </c>
      <c r="X141">
        <f t="shared" ca="1" si="28"/>
        <v>77</v>
      </c>
      <c r="Y141">
        <f t="shared" ca="1" si="29"/>
        <v>89.9</v>
      </c>
      <c r="AB141" t="str">
        <f t="shared" si="20"/>
        <v>TOR</v>
      </c>
      <c r="AC141">
        <f t="shared" si="30"/>
        <v>0</v>
      </c>
      <c r="AF141">
        <f t="shared" si="31"/>
        <v>1</v>
      </c>
      <c r="AG141">
        <f ca="1">RANK(AF141,OFFSET(AF$95,0,0,$B$26,1))+COUNTIF(AF$95:AF141,AF141)-1</f>
        <v>47</v>
      </c>
      <c r="AH141">
        <f t="shared" ca="1" si="32"/>
        <v>47</v>
      </c>
      <c r="AI141">
        <f t="shared" ca="1" si="33"/>
        <v>47</v>
      </c>
      <c r="AJ141" cm="1">
        <f t="array" aca="1" ref="AJ141" ca="1">INDEX(auto_Country_Status,AI141)</f>
        <v>1</v>
      </c>
      <c r="AK141" t="str" cm="1">
        <f t="array" aca="1" ref="AK141" ca="1">IF($AJ141=0,"",INDEX(auto_Country_ISO,AI141))</f>
        <v>TOR</v>
      </c>
      <c r="AL141" t="str" cm="1">
        <f t="array" aca="1" ref="AL141" ca="1">IF($AJ141=0,"",INDEX(auto_ddCountry,AI141))</f>
        <v>Toronto</v>
      </c>
      <c r="AM141" cm="1">
        <f t="array" aca="1" ref="AM141" ca="1">IF($AJ141=0,"",INDEX(OFFSET(Q$95,0,0,$B$26,1),AI141))</f>
        <v>77</v>
      </c>
      <c r="AN141" cm="1">
        <f t="array" aca="1" ref="AN141" ca="1">IF($AJ141=0,"",INDEX(OFFSET(R$95,0,0,$B$26,1),AI141))</f>
        <v>89.9</v>
      </c>
      <c r="AO141">
        <f t="shared" ca="1" si="34"/>
        <v>77</v>
      </c>
      <c r="AP141">
        <f t="shared" ca="1" si="35"/>
        <v>89.9</v>
      </c>
      <c r="AQ141" t="e">
        <f t="shared" si="16"/>
        <v>#N/A</v>
      </c>
      <c r="AR141" t="e">
        <f t="shared" si="17"/>
        <v>#N/A</v>
      </c>
      <c r="AS141" t="e">
        <f t="shared" si="18"/>
        <v>#N/A</v>
      </c>
      <c r="AU141" t="str" cm="1">
        <f t="array" aca="1" ref="AU141" ca="1">IF(AND($H$2=1,NOT(ISNUMBER(INDEX(auto_DataFlat_DataValue,H141)))),"EXCLUDE","")</f>
        <v/>
      </c>
      <c r="AV141" t="str" cm="1">
        <f t="array" aca="1" ref="AV141" ca="1">IF(AND($H$3=1,NOT(ISNUMBER(INDEX(auto_DataFlat_DataValue,I141)))),"EXCLUDE","")</f>
        <v/>
      </c>
      <c r="AW141" t="str">
        <f t="shared" ca="1" si="36"/>
        <v/>
      </c>
    </row>
    <row r="142" spans="1:49" x14ac:dyDescent="0.4">
      <c r="A142">
        <v>48</v>
      </c>
      <c r="B142" t="str" cm="1">
        <f t="array" ref="B142">SUBSTITUTE(INDEX(auto_Country_ISO,A142),"US-","")</f>
        <v>VIE</v>
      </c>
      <c r="C142" t="str" cm="1">
        <f t="array" ref="C142">INDEX(auto_ddCountry,A142)</f>
        <v>Vienna</v>
      </c>
      <c r="D142" cm="1">
        <f t="array" ref="D142">INDEX(auto_Country_Status,A142)</f>
        <v>1</v>
      </c>
      <c r="E142">
        <f t="shared" si="21"/>
        <v>1</v>
      </c>
      <c r="F142">
        <f>2</f>
        <v>2</v>
      </c>
      <c r="H142" cm="1">
        <f t="array" aca="1" ref="H142" ca="1">INDEX(sys_DataFlat_LU_Grid,$B$2,$A142)</f>
        <v>48</v>
      </c>
      <c r="I142" cm="1">
        <f t="array" aca="1" ref="I142" ca="1">INDEX(sys_DataFlat_LU_Grid,$B$3,$A142)</f>
        <v>108</v>
      </c>
      <c r="K142" cm="1">
        <f t="array" aca="1" ref="K142" ca="1">INDEX(IF($B$43="SCORE",auto_DataFlat_Score,IF($B$43="DATA",auto_DataFlat_DataValue,IF($B$43="Z-SCORE",auto_DataFlat_ZScore))),H142)</f>
        <v>75.099999999999994</v>
      </c>
      <c r="L142" cm="1">
        <f t="array" aca="1" ref="L142" ca="1">INDEX(IF($B$44="SCORE",auto_DataFlat_Score,IF($B$44="DATA",auto_DataFlat_DataValue,IF($B$44="Z-SCORE",auto_DataFlat_ZScore))),I142)</f>
        <v>87.3</v>
      </c>
      <c r="N142">
        <f t="shared" ca="1" si="22"/>
        <v>75.099999999999994</v>
      </c>
      <c r="O142">
        <f t="shared" ca="1" si="23"/>
        <v>87.3</v>
      </c>
      <c r="Q142">
        <f t="shared" ca="1" si="24"/>
        <v>75.099999999999994</v>
      </c>
      <c r="R142">
        <f t="shared" ca="1" si="25"/>
        <v>87.3</v>
      </c>
      <c r="U142">
        <f t="shared" ca="1" si="26"/>
        <v>75.099999999999994</v>
      </c>
      <c r="V142">
        <f t="shared" ca="1" si="27"/>
        <v>87.3</v>
      </c>
      <c r="X142">
        <f t="shared" ca="1" si="28"/>
        <v>75.099999999999994</v>
      </c>
      <c r="Y142">
        <f t="shared" ca="1" si="29"/>
        <v>87.3</v>
      </c>
      <c r="AB142" t="str">
        <f t="shared" si="20"/>
        <v>VIE</v>
      </c>
      <c r="AC142">
        <f t="shared" si="30"/>
        <v>0</v>
      </c>
      <c r="AF142">
        <f t="shared" si="31"/>
        <v>1</v>
      </c>
      <c r="AG142">
        <f ca="1">RANK(AF142,OFFSET(AF$95,0,0,$B$26,1))+COUNTIF(AF$95:AF142,AF142)-1</f>
        <v>48</v>
      </c>
      <c r="AH142">
        <f t="shared" ca="1" si="32"/>
        <v>48</v>
      </c>
      <c r="AI142">
        <f t="shared" ca="1" si="33"/>
        <v>48</v>
      </c>
      <c r="AJ142" cm="1">
        <f t="array" aca="1" ref="AJ142" ca="1">INDEX(auto_Country_Status,AI142)</f>
        <v>1</v>
      </c>
      <c r="AK142" t="str" cm="1">
        <f t="array" aca="1" ref="AK142" ca="1">IF($AJ142=0,"",INDEX(auto_Country_ISO,AI142))</f>
        <v>VIE</v>
      </c>
      <c r="AL142" t="str" cm="1">
        <f t="array" aca="1" ref="AL142" ca="1">IF($AJ142=0,"",INDEX(auto_ddCountry,AI142))</f>
        <v>Vienna</v>
      </c>
      <c r="AM142" cm="1">
        <f t="array" aca="1" ref="AM142" ca="1">IF($AJ142=0,"",INDEX(OFFSET(Q$95,0,0,$B$26,1),AI142))</f>
        <v>75.099999999999994</v>
      </c>
      <c r="AN142" cm="1">
        <f t="array" aca="1" ref="AN142" ca="1">IF($AJ142=0,"",INDEX(OFFSET(R$95,0,0,$B$26,1),AI142))</f>
        <v>87.3</v>
      </c>
      <c r="AO142">
        <f t="shared" ca="1" si="34"/>
        <v>75.099999999999994</v>
      </c>
      <c r="AP142">
        <f t="shared" ca="1" si="35"/>
        <v>87.3</v>
      </c>
      <c r="AQ142" t="e">
        <f t="shared" si="16"/>
        <v>#N/A</v>
      </c>
      <c r="AR142" t="e">
        <f t="shared" si="17"/>
        <v>#N/A</v>
      </c>
      <c r="AS142" t="e">
        <f t="shared" si="18"/>
        <v>#N/A</v>
      </c>
      <c r="AU142" t="str" cm="1">
        <f t="array" aca="1" ref="AU142" ca="1">IF(AND($H$2=1,NOT(ISNUMBER(INDEX(auto_DataFlat_DataValue,H142)))),"EXCLUDE","")</f>
        <v/>
      </c>
      <c r="AV142" t="str" cm="1">
        <f t="array" aca="1" ref="AV142" ca="1">IF(AND($H$3=1,NOT(ISNUMBER(INDEX(auto_DataFlat_DataValue,I142)))),"EXCLUDE","")</f>
        <v/>
      </c>
      <c r="AW142" t="str">
        <f t="shared" ca="1" si="36"/>
        <v/>
      </c>
    </row>
    <row r="143" spans="1:49" x14ac:dyDescent="0.4">
      <c r="A143">
        <v>49</v>
      </c>
      <c r="B143" t="str" cm="1">
        <f t="array" ref="B143">SUBSTITUTE(INDEX(auto_Country_ISO,A143),"US-","")</f>
        <v>NHN</v>
      </c>
      <c r="C143" t="str" cm="1">
        <f t="array" ref="C143">INDEX(auto_ddCountry,A143)</f>
        <v>Wuhan</v>
      </c>
      <c r="D143" cm="1">
        <f t="array" ref="D143">INDEX(auto_Country_Status,A143)</f>
        <v>1</v>
      </c>
      <c r="E143">
        <f t="shared" si="21"/>
        <v>1</v>
      </c>
      <c r="F143">
        <f>2</f>
        <v>2</v>
      </c>
      <c r="H143" cm="1">
        <f t="array" aca="1" ref="H143" ca="1">INDEX(sys_DataFlat_LU_Grid,$B$2,$A143)</f>
        <v>49</v>
      </c>
      <c r="I143" cm="1">
        <f t="array" aca="1" ref="I143" ca="1">INDEX(sys_DataFlat_LU_Grid,$B$3,$A143)</f>
        <v>109</v>
      </c>
      <c r="K143" cm="1">
        <f t="array" aca="1" ref="K143" ca="1">INDEX(IF($B$43="SCORE",auto_DataFlat_Score,IF($B$43="DATA",auto_DataFlat_DataValue,IF($B$43="Z-SCORE",auto_DataFlat_ZScore))),H143)</f>
        <v>57.3</v>
      </c>
      <c r="L143" cm="1">
        <f t="array" aca="1" ref="L143" ca="1">INDEX(IF($B$44="SCORE",auto_DataFlat_Score,IF($B$44="DATA",auto_DataFlat_DataValue,IF($B$44="Z-SCORE",auto_DataFlat_ZScore))),I143)</f>
        <v>54.3</v>
      </c>
      <c r="N143">
        <f t="shared" ca="1" si="22"/>
        <v>57.3</v>
      </c>
      <c r="O143">
        <f t="shared" ca="1" si="23"/>
        <v>54.3</v>
      </c>
      <c r="Q143">
        <f t="shared" ca="1" si="24"/>
        <v>57.3</v>
      </c>
      <c r="R143">
        <f t="shared" ca="1" si="25"/>
        <v>54.3</v>
      </c>
      <c r="U143">
        <f t="shared" ca="1" si="26"/>
        <v>57.3</v>
      </c>
      <c r="V143">
        <f t="shared" ca="1" si="27"/>
        <v>54.3</v>
      </c>
      <c r="X143">
        <f t="shared" ca="1" si="28"/>
        <v>57.3</v>
      </c>
      <c r="Y143">
        <f t="shared" ca="1" si="29"/>
        <v>54.3</v>
      </c>
      <c r="AB143" t="str">
        <f t="shared" si="20"/>
        <v>NHN</v>
      </c>
      <c r="AC143">
        <f t="shared" si="30"/>
        <v>0</v>
      </c>
      <c r="AF143">
        <f t="shared" si="31"/>
        <v>1</v>
      </c>
      <c r="AG143">
        <f ca="1">RANK(AF143,OFFSET(AF$95,0,0,$B$26,1))+COUNTIF(AF$95:AF143,AF143)-1</f>
        <v>49</v>
      </c>
      <c r="AH143">
        <f t="shared" ca="1" si="32"/>
        <v>49</v>
      </c>
      <c r="AI143">
        <f t="shared" ca="1" si="33"/>
        <v>49</v>
      </c>
      <c r="AJ143" cm="1">
        <f t="array" aca="1" ref="AJ143" ca="1">INDEX(auto_Country_Status,AI143)</f>
        <v>1</v>
      </c>
      <c r="AK143" t="str" cm="1">
        <f t="array" aca="1" ref="AK143" ca="1">IF($AJ143=0,"",INDEX(auto_Country_ISO,AI143))</f>
        <v>NHN</v>
      </c>
      <c r="AL143" t="str" cm="1">
        <f t="array" aca="1" ref="AL143" ca="1">IF($AJ143=0,"",INDEX(auto_ddCountry,AI143))</f>
        <v>Wuhan</v>
      </c>
      <c r="AM143" cm="1">
        <f t="array" aca="1" ref="AM143" ca="1">IF($AJ143=0,"",INDEX(OFFSET(Q$95,0,0,$B$26,1),AI143))</f>
        <v>57.3</v>
      </c>
      <c r="AN143" cm="1">
        <f t="array" aca="1" ref="AN143" ca="1">IF($AJ143=0,"",INDEX(OFFSET(R$95,0,0,$B$26,1),AI143))</f>
        <v>54.3</v>
      </c>
      <c r="AO143">
        <f t="shared" ca="1" si="34"/>
        <v>57.3</v>
      </c>
      <c r="AP143">
        <f t="shared" ca="1" si="35"/>
        <v>54.3</v>
      </c>
      <c r="AQ143" t="e">
        <f t="shared" si="16"/>
        <v>#N/A</v>
      </c>
      <c r="AR143" t="e">
        <f t="shared" si="17"/>
        <v>#N/A</v>
      </c>
      <c r="AS143" t="e">
        <f t="shared" si="18"/>
        <v>#N/A</v>
      </c>
      <c r="AU143" t="str" cm="1">
        <f t="array" aca="1" ref="AU143" ca="1">IF(AND($H$2=1,NOT(ISNUMBER(INDEX(auto_DataFlat_DataValue,H143)))),"EXCLUDE","")</f>
        <v/>
      </c>
      <c r="AV143" t="str" cm="1">
        <f t="array" aca="1" ref="AV143" ca="1">IF(AND($H$3=1,NOT(ISNUMBER(INDEX(auto_DataFlat_DataValue,I143)))),"EXCLUDE","")</f>
        <v/>
      </c>
      <c r="AW143" t="str">
        <f t="shared" ca="1" si="36"/>
        <v/>
      </c>
    </row>
    <row r="144" spans="1:49" x14ac:dyDescent="0.4">
      <c r="A144">
        <v>50</v>
      </c>
      <c r="B144" t="str" cm="1">
        <f t="array" ref="B144">SUBSTITUTE(INDEX(auto_Country_ISO,A144),"US-","")</f>
        <v>RGN</v>
      </c>
      <c r="C144" t="str" cm="1">
        <f t="array" ref="C144">INDEX(auto_ddCountry,A144)</f>
        <v>Yangon</v>
      </c>
      <c r="D144" cm="1">
        <f t="array" ref="D144">INDEX(auto_Country_Status,A144)</f>
        <v>1</v>
      </c>
      <c r="E144">
        <f t="shared" si="21"/>
        <v>1</v>
      </c>
      <c r="F144">
        <f>2</f>
        <v>2</v>
      </c>
      <c r="H144" cm="1">
        <f t="array" aca="1" ref="H144" ca="1">INDEX(sys_DataFlat_LU_Grid,$B$2,$A144)</f>
        <v>50</v>
      </c>
      <c r="I144" cm="1">
        <f t="array" aca="1" ref="I144" ca="1">INDEX(sys_DataFlat_LU_Grid,$B$3,$A144)</f>
        <v>110</v>
      </c>
      <c r="K144" cm="1">
        <f t="array" aca="1" ref="K144" ca="1">INDEX(IF($B$43="SCORE",auto_DataFlat_Score,IF($B$43="DATA",auto_DataFlat_DataValue,IF($B$43="Z-SCORE",auto_DataFlat_ZScore))),H144)</f>
        <v>43.5</v>
      </c>
      <c r="L144" cm="1">
        <f t="array" aca="1" ref="L144" ca="1">INDEX(IF($B$44="SCORE",auto_DataFlat_Score,IF($B$44="DATA",auto_DataFlat_DataValue,IF($B$44="Z-SCORE",auto_DataFlat_ZScore))),I144)</f>
        <v>51.1</v>
      </c>
      <c r="N144">
        <f t="shared" ca="1" si="22"/>
        <v>43.5</v>
      </c>
      <c r="O144">
        <f t="shared" ca="1" si="23"/>
        <v>51.1</v>
      </c>
      <c r="Q144">
        <f t="shared" ca="1" si="24"/>
        <v>43.5</v>
      </c>
      <c r="R144">
        <f t="shared" ca="1" si="25"/>
        <v>51.1</v>
      </c>
      <c r="U144">
        <f t="shared" ca="1" si="26"/>
        <v>43.5</v>
      </c>
      <c r="V144">
        <f t="shared" ca="1" si="27"/>
        <v>51.1</v>
      </c>
      <c r="X144">
        <f t="shared" ca="1" si="28"/>
        <v>43.5</v>
      </c>
      <c r="Y144">
        <f t="shared" ca="1" si="29"/>
        <v>51.1</v>
      </c>
      <c r="AB144" t="str">
        <f t="shared" si="20"/>
        <v>RGN</v>
      </c>
      <c r="AC144">
        <f t="shared" si="30"/>
        <v>0</v>
      </c>
      <c r="AF144">
        <f t="shared" si="31"/>
        <v>1</v>
      </c>
      <c r="AG144">
        <f ca="1">RANK(AF144,OFFSET(AF$95,0,0,$B$26,1))+COUNTIF(AF$95:AF144,AF144)-1</f>
        <v>50</v>
      </c>
      <c r="AH144">
        <f t="shared" ca="1" si="32"/>
        <v>50</v>
      </c>
      <c r="AI144">
        <f t="shared" ca="1" si="33"/>
        <v>50</v>
      </c>
      <c r="AJ144" cm="1">
        <f t="array" aca="1" ref="AJ144" ca="1">INDEX(auto_Country_Status,AI144)</f>
        <v>1</v>
      </c>
      <c r="AK144" t="str" cm="1">
        <f t="array" aca="1" ref="AK144" ca="1">IF($AJ144=0,"",INDEX(auto_Country_ISO,AI144))</f>
        <v>RGN</v>
      </c>
      <c r="AL144" t="str" cm="1">
        <f t="array" aca="1" ref="AL144" ca="1">IF($AJ144=0,"",INDEX(auto_ddCountry,AI144))</f>
        <v>Yangon</v>
      </c>
      <c r="AM144" cm="1">
        <f t="array" aca="1" ref="AM144" ca="1">IF($AJ144=0,"",INDEX(OFFSET(Q$95,0,0,$B$26,1),AI144))</f>
        <v>43.5</v>
      </c>
      <c r="AN144" cm="1">
        <f t="array" aca="1" ref="AN144" ca="1">IF($AJ144=0,"",INDEX(OFFSET(R$95,0,0,$B$26,1),AI144))</f>
        <v>51.1</v>
      </c>
      <c r="AO144">
        <f t="shared" ca="1" si="34"/>
        <v>43.5</v>
      </c>
      <c r="AP144">
        <f t="shared" ca="1" si="35"/>
        <v>51.1</v>
      </c>
      <c r="AQ144" t="e">
        <f t="shared" si="16"/>
        <v>#N/A</v>
      </c>
      <c r="AR144" t="e">
        <f t="shared" si="17"/>
        <v>#N/A</v>
      </c>
      <c r="AS144" t="e">
        <f t="shared" si="18"/>
        <v>#N/A</v>
      </c>
      <c r="AU144" t="str" cm="1">
        <f t="array" aca="1" ref="AU144" ca="1">IF(AND($H$2=1,NOT(ISNUMBER(INDEX(auto_DataFlat_DataValue,H144)))),"EXCLUDE","")</f>
        <v/>
      </c>
      <c r="AV144" t="str" cm="1">
        <f t="array" aca="1" ref="AV144" ca="1">IF(AND($H$3=1,NOT(ISNUMBER(INDEX(auto_DataFlat_DataValue,I144)))),"EXCLUDE","")</f>
        <v/>
      </c>
      <c r="AW144" t="str">
        <f t="shared" ca="1" si="36"/>
        <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37E86-6FF4-42D2-8379-52E7B2A93CF8}">
  <sheetPr codeName="Sheet34">
    <tabColor theme="4"/>
  </sheetPr>
  <dimension ref="A1:BJ62"/>
  <sheetViews>
    <sheetView workbookViewId="0">
      <selection activeCell="E13" sqref="E13:E62"/>
    </sheetView>
  </sheetViews>
  <sheetFormatPr defaultRowHeight="14.6" x14ac:dyDescent="0.4"/>
  <cols>
    <col min="1" max="1" width="18.53515625" customWidth="1"/>
    <col min="2" max="2" width="9.15234375"/>
    <col min="4" max="5" width="9.15234375"/>
    <col min="6" max="7" width="4.53515625" customWidth="1"/>
    <col min="8" max="8" width="5.3046875" customWidth="1"/>
    <col min="9" max="25" width="2.3046875" customWidth="1"/>
    <col min="28" max="28" width="3" customWidth="1"/>
    <col min="29" max="29" width="8.15234375" customWidth="1"/>
    <col min="30" max="30" width="5.53515625" customWidth="1"/>
    <col min="31" max="31" width="6.15234375" customWidth="1"/>
    <col min="32" max="48" width="3" customWidth="1"/>
  </cols>
  <sheetData>
    <row r="1" spans="1:62" x14ac:dyDescent="0.4">
      <c r="B1" t="s">
        <v>233</v>
      </c>
      <c r="C1" t="s">
        <v>35</v>
      </c>
    </row>
    <row r="2" spans="1:62" x14ac:dyDescent="0.4">
      <c r="A2" t="s">
        <v>234</v>
      </c>
      <c r="B2">
        <f ca="1">uxbGlobals!$B$577</f>
        <v>1</v>
      </c>
      <c r="C2">
        <f ca="1">uxbGlobals!$B$578</f>
        <v>0</v>
      </c>
    </row>
    <row r="3" spans="1:62" x14ac:dyDescent="0.4">
      <c r="A3" t="s">
        <v>235</v>
      </c>
      <c r="B3">
        <f ca="1">uxbGlobals!$B$602</f>
        <v>2</v>
      </c>
      <c r="C3">
        <f ca="1">uxbGlobals!$B$603</f>
        <v>0</v>
      </c>
    </row>
    <row r="4" spans="1:62" x14ac:dyDescent="0.4">
      <c r="A4" t="s">
        <v>237</v>
      </c>
      <c r="B4">
        <f>uxbGlobals!$B$321</f>
        <v>1</v>
      </c>
    </row>
    <row r="5" spans="1:62" x14ac:dyDescent="0.4">
      <c r="A5" t="s">
        <v>7490</v>
      </c>
      <c r="E5" t="str">
        <f ca="1">CONCATENATE(E10," (",E8,")")</f>
        <v>All cities (50)</v>
      </c>
      <c r="F5" t="str">
        <f t="shared" ref="F5:Y5" ca="1" si="0">CONCATENATE(F10," (",F8,")")</f>
        <v>Africa (5)</v>
      </c>
      <c r="G5" t="str">
        <f t="shared" ca="1" si="0"/>
        <v>Americas (7)</v>
      </c>
      <c r="H5" t="str">
        <f t="shared" ca="1" si="0"/>
        <v>Eastern Mediterranean (4)</v>
      </c>
      <c r="I5" t="str">
        <f t="shared" ca="1" si="0"/>
        <v>Europe (10)</v>
      </c>
      <c r="J5" t="str">
        <f t="shared" ca="1" si="0"/>
        <v>SE Asia (10)</v>
      </c>
      <c r="K5" t="str">
        <f t="shared" ca="1" si="0"/>
        <v>Western Pacific (14)</v>
      </c>
      <c r="L5" t="str">
        <f t="shared" ca="1" si="0"/>
        <v>Low and lower middle income (16)</v>
      </c>
      <c r="M5" t="str">
        <f t="shared" ca="1" si="0"/>
        <v>Upper middle income (11)</v>
      </c>
      <c r="N5" t="str">
        <f t="shared" ca="1" si="0"/>
        <v>High income (23)</v>
      </c>
      <c r="O5" t="e">
        <f t="shared" ca="1" si="0"/>
        <v>#REF!</v>
      </c>
      <c r="P5" t="e">
        <f t="shared" si="0"/>
        <v>#REF!</v>
      </c>
      <c r="Q5" t="e">
        <f t="shared" si="0"/>
        <v>#REF!</v>
      </c>
      <c r="R5" t="e">
        <f t="shared" si="0"/>
        <v>#REF!</v>
      </c>
      <c r="S5" t="e">
        <f t="shared" si="0"/>
        <v>#REF!</v>
      </c>
      <c r="T5" t="e">
        <f t="shared" si="0"/>
        <v>#REF!</v>
      </c>
      <c r="U5" t="e">
        <f t="shared" si="0"/>
        <v>#REF!</v>
      </c>
      <c r="V5" t="e">
        <f t="shared" si="0"/>
        <v>#REF!</v>
      </c>
      <c r="W5" t="e">
        <f t="shared" si="0"/>
        <v>#REF!</v>
      </c>
      <c r="X5" t="e">
        <f t="shared" si="0"/>
        <v>#REF!</v>
      </c>
      <c r="Y5" t="e">
        <f t="shared" si="0"/>
        <v>#REF!</v>
      </c>
    </row>
    <row r="6" spans="1:62" x14ac:dyDescent="0.4">
      <c r="A6" t="s">
        <v>1190</v>
      </c>
      <c r="B6" t="str">
        <f>iScatter!$B$43</f>
        <v>SCORE</v>
      </c>
      <c r="E6">
        <f ca="1">IF(ISERROR(E7),"n/a",E7)</f>
        <v>0.8083558973065319</v>
      </c>
      <c r="F6">
        <f t="shared" ref="F6:Y6" ca="1" si="1">IF(ISERROR(F7),"n/a",F7)</f>
        <v>0.59987494098479277</v>
      </c>
      <c r="G6">
        <f t="shared" ca="1" si="1"/>
        <v>0.38043413845189183</v>
      </c>
      <c r="H6">
        <f t="shared" ca="1" si="1"/>
        <v>0.88915480569244532</v>
      </c>
      <c r="I6">
        <f t="shared" ca="1" si="1"/>
        <v>0.58144229892333865</v>
      </c>
      <c r="J6">
        <f t="shared" ca="1" si="1"/>
        <v>0.69716985353850447</v>
      </c>
      <c r="K6">
        <f t="shared" ca="1" si="1"/>
        <v>0.82523818443759289</v>
      </c>
      <c r="L6">
        <f t="shared" ca="1" si="1"/>
        <v>0.42792682665323545</v>
      </c>
      <c r="M6">
        <f t="shared" ca="1" si="1"/>
        <v>-1.9856525946527526E-2</v>
      </c>
      <c r="N6">
        <f t="shared" ca="1" si="1"/>
        <v>0.83634584640718612</v>
      </c>
      <c r="O6" t="str">
        <f t="shared" ca="1" si="1"/>
        <v>n/a</v>
      </c>
      <c r="P6" t="str">
        <f t="shared" si="1"/>
        <v>n/a</v>
      </c>
      <c r="Q6" t="str">
        <f t="shared" si="1"/>
        <v>n/a</v>
      </c>
      <c r="R6" t="str">
        <f t="shared" si="1"/>
        <v>n/a</v>
      </c>
      <c r="S6" t="str">
        <f t="shared" si="1"/>
        <v>n/a</v>
      </c>
      <c r="T6" t="str">
        <f t="shared" si="1"/>
        <v>n/a</v>
      </c>
      <c r="U6" t="str">
        <f t="shared" si="1"/>
        <v>n/a</v>
      </c>
      <c r="V6" t="str">
        <f t="shared" si="1"/>
        <v>n/a</v>
      </c>
      <c r="W6" t="str">
        <f t="shared" si="1"/>
        <v>n/a</v>
      </c>
      <c r="X6" t="str">
        <f t="shared" si="1"/>
        <v>n/a</v>
      </c>
      <c r="Y6" t="str">
        <f t="shared" si="1"/>
        <v>n/a</v>
      </c>
    </row>
    <row r="7" spans="1:62" x14ac:dyDescent="0.4">
      <c r="A7" t="s">
        <v>1191</v>
      </c>
      <c r="B7" t="str">
        <f>iScatter!$B$44</f>
        <v>SCORE</v>
      </c>
      <c r="E7">
        <f ca="1">IF(E8&lt;=2,NA(),E9)</f>
        <v>0.8083558973065319</v>
      </c>
      <c r="F7">
        <f t="shared" ref="F7:Y7" ca="1" si="2">IF(F8&lt;=2,NA(),F9)</f>
        <v>0.59987494098479277</v>
      </c>
      <c r="G7">
        <f t="shared" ca="1" si="2"/>
        <v>0.38043413845189183</v>
      </c>
      <c r="H7">
        <f t="shared" ca="1" si="2"/>
        <v>0.88915480569244532</v>
      </c>
      <c r="I7">
        <f t="shared" ca="1" si="2"/>
        <v>0.58144229892333865</v>
      </c>
      <c r="J7">
        <f t="shared" ca="1" si="2"/>
        <v>0.69716985353850447</v>
      </c>
      <c r="K7">
        <f t="shared" ca="1" si="2"/>
        <v>0.82523818443759289</v>
      </c>
      <c r="L7">
        <f t="shared" ca="1" si="2"/>
        <v>0.42792682665323545</v>
      </c>
      <c r="M7">
        <f t="shared" ca="1" si="2"/>
        <v>-1.9856525946527526E-2</v>
      </c>
      <c r="N7">
        <f t="shared" ca="1" si="2"/>
        <v>0.83634584640718612</v>
      </c>
      <c r="O7" t="e">
        <f t="shared" ca="1" si="2"/>
        <v>#N/A</v>
      </c>
      <c r="P7" t="e">
        <f t="shared" si="2"/>
        <v>#N/A</v>
      </c>
      <c r="Q7" t="e">
        <f t="shared" si="2"/>
        <v>#N/A</v>
      </c>
      <c r="R7" t="e">
        <f t="shared" si="2"/>
        <v>#N/A</v>
      </c>
      <c r="S7" t="e">
        <f t="shared" si="2"/>
        <v>#N/A</v>
      </c>
      <c r="T7" t="e">
        <f t="shared" si="2"/>
        <v>#N/A</v>
      </c>
      <c r="U7" t="e">
        <f t="shared" si="2"/>
        <v>#N/A</v>
      </c>
      <c r="V7" t="e">
        <f t="shared" si="2"/>
        <v>#N/A</v>
      </c>
      <c r="W7" t="e">
        <f t="shared" si="2"/>
        <v>#N/A</v>
      </c>
      <c r="X7" t="e">
        <f t="shared" si="2"/>
        <v>#N/A</v>
      </c>
      <c r="Y7" t="e">
        <f t="shared" si="2"/>
        <v>#N/A</v>
      </c>
    </row>
    <row r="8" spans="1:62" x14ac:dyDescent="0.4">
      <c r="E8">
        <f ca="1">AZ8</f>
        <v>50</v>
      </c>
      <c r="F8">
        <f t="shared" ref="F8:Y8" ca="1" si="3">BA8</f>
        <v>5</v>
      </c>
      <c r="G8">
        <f t="shared" ca="1" si="3"/>
        <v>7</v>
      </c>
      <c r="H8">
        <f t="shared" ca="1" si="3"/>
        <v>4</v>
      </c>
      <c r="I8">
        <f t="shared" ca="1" si="3"/>
        <v>10</v>
      </c>
      <c r="J8">
        <f t="shared" ca="1" si="3"/>
        <v>10</v>
      </c>
      <c r="K8">
        <f t="shared" ca="1" si="3"/>
        <v>14</v>
      </c>
      <c r="L8">
        <f t="shared" ca="1" si="3"/>
        <v>16</v>
      </c>
      <c r="M8">
        <f t="shared" ca="1" si="3"/>
        <v>11</v>
      </c>
      <c r="N8">
        <f t="shared" ca="1" si="3"/>
        <v>23</v>
      </c>
      <c r="O8">
        <f t="shared" ca="1" si="3"/>
        <v>0</v>
      </c>
      <c r="P8">
        <f t="shared" si="3"/>
        <v>0</v>
      </c>
      <c r="Q8">
        <f t="shared" si="3"/>
        <v>0</v>
      </c>
      <c r="R8">
        <f t="shared" si="3"/>
        <v>0</v>
      </c>
      <c r="S8">
        <f t="shared" si="3"/>
        <v>0</v>
      </c>
      <c r="T8">
        <f t="shared" si="3"/>
        <v>0</v>
      </c>
      <c r="U8">
        <f t="shared" si="3"/>
        <v>0</v>
      </c>
      <c r="V8">
        <f t="shared" si="3"/>
        <v>0</v>
      </c>
      <c r="W8">
        <f t="shared" si="3"/>
        <v>0</v>
      </c>
      <c r="X8">
        <f t="shared" si="3"/>
        <v>0</v>
      </c>
      <c r="Y8">
        <f t="shared" si="3"/>
        <v>0</v>
      </c>
      <c r="AZ8">
        <f t="shared" ref="AZ8:BJ8" ca="1" si="4">SUM(AZ13:AZ62)</f>
        <v>50</v>
      </c>
      <c r="BA8">
        <f t="shared" ca="1" si="4"/>
        <v>5</v>
      </c>
      <c r="BB8">
        <f t="shared" ca="1" si="4"/>
        <v>7</v>
      </c>
      <c r="BC8">
        <f t="shared" ca="1" si="4"/>
        <v>4</v>
      </c>
      <c r="BD8">
        <f t="shared" ca="1" si="4"/>
        <v>10</v>
      </c>
      <c r="BE8">
        <f t="shared" ca="1" si="4"/>
        <v>10</v>
      </c>
      <c r="BF8">
        <f t="shared" ca="1" si="4"/>
        <v>14</v>
      </c>
      <c r="BG8">
        <f t="shared" ca="1" si="4"/>
        <v>16</v>
      </c>
      <c r="BH8">
        <f t="shared" ca="1" si="4"/>
        <v>11</v>
      </c>
      <c r="BI8">
        <f t="shared" ca="1" si="4"/>
        <v>23</v>
      </c>
      <c r="BJ8">
        <f t="shared" ca="1" si="4"/>
        <v>0</v>
      </c>
    </row>
    <row r="9" spans="1:62" x14ac:dyDescent="0.4">
      <c r="E9">
        <f t="shared" ref="E9:Y9" ca="1" si="5">CORREL(E13:E62,AB13:AB62)</f>
        <v>0.8083558973065319</v>
      </c>
      <c r="F9">
        <f t="shared" ca="1" si="5"/>
        <v>0.59987494098479277</v>
      </c>
      <c r="G9">
        <f t="shared" ca="1" si="5"/>
        <v>0.38043413845189183</v>
      </c>
      <c r="H9">
        <f t="shared" ca="1" si="5"/>
        <v>0.88915480569244532</v>
      </c>
      <c r="I9">
        <f t="shared" ca="1" si="5"/>
        <v>0.58144229892333865</v>
      </c>
      <c r="J9">
        <f t="shared" ca="1" si="5"/>
        <v>0.69716985353850447</v>
      </c>
      <c r="K9">
        <f t="shared" ca="1" si="5"/>
        <v>0.82523818443759289</v>
      </c>
      <c r="L9">
        <f t="shared" ca="1" si="5"/>
        <v>0.42792682665323545</v>
      </c>
      <c r="M9">
        <f t="shared" ca="1" si="5"/>
        <v>-1.9856525946527526E-2</v>
      </c>
      <c r="N9">
        <f t="shared" ca="1" si="5"/>
        <v>0.83634584640718612</v>
      </c>
      <c r="O9" t="e">
        <f t="shared" ca="1" si="5"/>
        <v>#DIV/0!</v>
      </c>
      <c r="P9" t="e">
        <f t="shared" ca="1" si="5"/>
        <v>#DIV/0!</v>
      </c>
      <c r="Q9" t="e">
        <f t="shared" ca="1" si="5"/>
        <v>#DIV/0!</v>
      </c>
      <c r="R9" t="e">
        <f t="shared" ca="1" si="5"/>
        <v>#DIV/0!</v>
      </c>
      <c r="S9" t="e">
        <f t="shared" ca="1" si="5"/>
        <v>#DIV/0!</v>
      </c>
      <c r="T9" t="e">
        <f t="shared" ca="1" si="5"/>
        <v>#DIV/0!</v>
      </c>
      <c r="U9" t="e">
        <f t="shared" ca="1" si="5"/>
        <v>#DIV/0!</v>
      </c>
      <c r="V9" t="e">
        <f t="shared" ca="1" si="5"/>
        <v>#DIV/0!</v>
      </c>
      <c r="W9" t="e">
        <f t="shared" ca="1" si="5"/>
        <v>#DIV/0!</v>
      </c>
      <c r="X9" t="e">
        <f t="shared" ca="1" si="5"/>
        <v>#DIV/0!</v>
      </c>
      <c r="Y9" t="e">
        <f t="shared" ca="1" si="5"/>
        <v>#DIV/0!</v>
      </c>
    </row>
    <row r="10" spans="1:62" x14ac:dyDescent="0.4">
      <c r="E10" t="str" cm="1">
        <f t="array" ref="E10">INDEX(auto_ddGroup_Filter,E11)</f>
        <v>All cities</v>
      </c>
      <c r="F10" t="str" cm="1">
        <f t="array" ref="F10">INDEX(auto_ddGroup_Filter,F11)</f>
        <v>Africa</v>
      </c>
      <c r="G10" t="str" cm="1">
        <f t="array" ref="G10">INDEX(auto_ddGroup_Filter,G11)</f>
        <v>Americas</v>
      </c>
      <c r="H10" t="str" cm="1">
        <f t="array" ref="H10">INDEX(auto_ddGroup_Filter,H11)</f>
        <v>Eastern Mediterranean</v>
      </c>
      <c r="I10" t="str" cm="1">
        <f t="array" ref="I10">INDEX(auto_ddGroup_Filter,I11)</f>
        <v>Europe</v>
      </c>
      <c r="J10" t="str" cm="1">
        <f t="array" ref="J10">INDEX(auto_ddGroup_Filter,J11)</f>
        <v>SE Asia</v>
      </c>
      <c r="K10" t="str" cm="1">
        <f t="array" ref="K10">INDEX(auto_ddGroup_Filter,K11)</f>
        <v>Western Pacific</v>
      </c>
      <c r="L10" t="str" cm="1">
        <f t="array" ref="L10">INDEX(auto_ddGroup_Filter,L11)</f>
        <v>Low and lower middle income</v>
      </c>
      <c r="M10" t="str" cm="1">
        <f t="array" ref="M10">INDEX(auto_ddGroup_Filter,M11)</f>
        <v>Upper middle income</v>
      </c>
      <c r="N10" t="str" cm="1">
        <f t="array" ref="N10">INDEX(auto_ddGroup_Filter,N11)</f>
        <v>High income</v>
      </c>
      <c r="O10" t="e" cm="1">
        <f t="array" ref="O10">INDEX(auto_ddGroup_Filter,O11)</f>
        <v>#REF!</v>
      </c>
      <c r="P10" t="e" cm="1">
        <f t="array" ref="P10">INDEX(auto_ddGroup_Filter,P11)</f>
        <v>#REF!</v>
      </c>
      <c r="Q10" t="e" cm="1">
        <f t="array" ref="Q10">INDEX(auto_ddGroup_Filter,Q11)</f>
        <v>#REF!</v>
      </c>
      <c r="R10" t="e" cm="1">
        <f t="array" ref="R10">INDEX(auto_ddGroup_Filter,R11)</f>
        <v>#REF!</v>
      </c>
      <c r="S10" t="e" cm="1">
        <f t="array" ref="S10">INDEX(auto_ddGroup_Filter,S11)</f>
        <v>#REF!</v>
      </c>
      <c r="T10" t="e" cm="1">
        <f t="array" ref="T10">INDEX(auto_ddGroup_Filter,T11)</f>
        <v>#REF!</v>
      </c>
      <c r="U10" t="e" cm="1">
        <f t="array" ref="U10">INDEX(auto_ddGroup_Filter,U11)</f>
        <v>#REF!</v>
      </c>
      <c r="V10" t="e" cm="1">
        <f t="array" ref="V10">INDEX(auto_ddGroup_Filter,V11)</f>
        <v>#REF!</v>
      </c>
      <c r="W10" t="e" cm="1">
        <f t="array" ref="W10">INDEX(auto_ddGroup_Filter,W11)</f>
        <v>#REF!</v>
      </c>
      <c r="X10" t="e" cm="1">
        <f t="array" ref="X10">INDEX(auto_ddGroup_Filter,X11)</f>
        <v>#REF!</v>
      </c>
      <c r="Y10" t="e" cm="1">
        <f t="array" ref="Y10">INDEX(auto_ddGroup_Filter,Y11)</f>
        <v>#REF!</v>
      </c>
      <c r="AB10" t="str">
        <f>E10</f>
        <v>All cities</v>
      </c>
      <c r="AC10" t="str">
        <f t="shared" ref="AC10:AW10" si="6">F10</f>
        <v>Africa</v>
      </c>
      <c r="AD10" t="str">
        <f t="shared" si="6"/>
        <v>Americas</v>
      </c>
      <c r="AE10" t="str">
        <f t="shared" si="6"/>
        <v>Eastern Mediterranean</v>
      </c>
      <c r="AF10" t="str">
        <f t="shared" si="6"/>
        <v>Europe</v>
      </c>
      <c r="AG10" t="str">
        <f t="shared" si="6"/>
        <v>SE Asia</v>
      </c>
      <c r="AH10" t="str">
        <f t="shared" si="6"/>
        <v>Western Pacific</v>
      </c>
      <c r="AI10" t="str">
        <f t="shared" si="6"/>
        <v>Low and lower middle income</v>
      </c>
      <c r="AJ10" t="str">
        <f t="shared" si="6"/>
        <v>Upper middle income</v>
      </c>
      <c r="AK10" t="str">
        <f t="shared" si="6"/>
        <v>High income</v>
      </c>
      <c r="AL10" t="e">
        <f t="shared" si="6"/>
        <v>#REF!</v>
      </c>
      <c r="AM10" t="e">
        <f t="shared" si="6"/>
        <v>#REF!</v>
      </c>
      <c r="AN10" t="e">
        <f t="shared" si="6"/>
        <v>#REF!</v>
      </c>
      <c r="AO10" t="e">
        <f t="shared" si="6"/>
        <v>#REF!</v>
      </c>
      <c r="AP10" t="e">
        <f t="shared" si="6"/>
        <v>#REF!</v>
      </c>
      <c r="AQ10" t="e">
        <f t="shared" si="6"/>
        <v>#REF!</v>
      </c>
      <c r="AR10" t="e">
        <f t="shared" si="6"/>
        <v>#REF!</v>
      </c>
      <c r="AS10" t="e">
        <f t="shared" si="6"/>
        <v>#REF!</v>
      </c>
      <c r="AT10" t="e">
        <f t="shared" si="6"/>
        <v>#REF!</v>
      </c>
      <c r="AU10" t="e">
        <f t="shared" si="6"/>
        <v>#REF!</v>
      </c>
      <c r="AV10" t="e">
        <f t="shared" si="6"/>
        <v>#REF!</v>
      </c>
      <c r="AW10">
        <f t="shared" si="6"/>
        <v>0</v>
      </c>
      <c r="AZ10" t="str">
        <f>AB10</f>
        <v>All cities</v>
      </c>
      <c r="BA10" t="str">
        <f t="shared" ref="BA10:BJ10" si="7">AD10</f>
        <v>Americas</v>
      </c>
      <c r="BB10" t="str">
        <f t="shared" si="7"/>
        <v>Eastern Mediterranean</v>
      </c>
      <c r="BC10" t="str">
        <f t="shared" si="7"/>
        <v>Europe</v>
      </c>
      <c r="BD10" t="str">
        <f t="shared" si="7"/>
        <v>SE Asia</v>
      </c>
      <c r="BE10" t="str">
        <f t="shared" si="7"/>
        <v>Western Pacific</v>
      </c>
      <c r="BF10" t="str">
        <f t="shared" si="7"/>
        <v>Low and lower middle income</v>
      </c>
      <c r="BG10" t="str">
        <f t="shared" si="7"/>
        <v>Upper middle income</v>
      </c>
      <c r="BH10" t="str">
        <f t="shared" si="7"/>
        <v>High income</v>
      </c>
      <c r="BI10" t="e">
        <f t="shared" si="7"/>
        <v>#REF!</v>
      </c>
      <c r="BJ10" t="e">
        <f t="shared" si="7"/>
        <v>#REF!</v>
      </c>
    </row>
    <row r="11" spans="1:62" x14ac:dyDescent="0.4">
      <c r="E11">
        <v>1</v>
      </c>
      <c r="F11">
        <v>2</v>
      </c>
      <c r="G11">
        <v>3</v>
      </c>
      <c r="H11">
        <v>4</v>
      </c>
      <c r="I11">
        <v>5</v>
      </c>
      <c r="J11">
        <v>6</v>
      </c>
      <c r="K11">
        <v>7</v>
      </c>
      <c r="L11">
        <v>8</v>
      </c>
      <c r="M11">
        <v>9</v>
      </c>
      <c r="N11">
        <v>10</v>
      </c>
      <c r="O11">
        <v>11</v>
      </c>
      <c r="P11">
        <v>12</v>
      </c>
      <c r="Q11">
        <v>13</v>
      </c>
      <c r="R11">
        <v>14</v>
      </c>
      <c r="S11">
        <v>15</v>
      </c>
      <c r="T11">
        <v>16</v>
      </c>
      <c r="U11">
        <v>17</v>
      </c>
      <c r="V11">
        <v>18</v>
      </c>
      <c r="W11">
        <v>19</v>
      </c>
      <c r="X11">
        <v>20</v>
      </c>
      <c r="Y11">
        <v>21</v>
      </c>
      <c r="AB11">
        <v>1</v>
      </c>
      <c r="AC11">
        <v>2</v>
      </c>
      <c r="AD11">
        <v>3</v>
      </c>
      <c r="AE11">
        <v>4</v>
      </c>
      <c r="AF11">
        <v>5</v>
      </c>
      <c r="AG11">
        <v>6</v>
      </c>
      <c r="AH11">
        <v>7</v>
      </c>
      <c r="AI11">
        <v>8</v>
      </c>
      <c r="AJ11">
        <v>9</v>
      </c>
      <c r="AK11">
        <v>10</v>
      </c>
      <c r="AL11">
        <v>11</v>
      </c>
      <c r="AM11">
        <v>12</v>
      </c>
      <c r="AN11">
        <v>13</v>
      </c>
      <c r="AO11">
        <v>14</v>
      </c>
      <c r="AP11">
        <v>15</v>
      </c>
      <c r="AQ11">
        <v>16</v>
      </c>
      <c r="AR11">
        <v>17</v>
      </c>
      <c r="AS11">
        <v>18</v>
      </c>
      <c r="AT11">
        <v>19</v>
      </c>
      <c r="AU11">
        <v>20</v>
      </c>
      <c r="AV11">
        <v>21</v>
      </c>
    </row>
    <row r="12" spans="1:62" x14ac:dyDescent="0.4">
      <c r="A12" t="s">
        <v>16</v>
      </c>
      <c r="B12" t="s">
        <v>236</v>
      </c>
      <c r="E12" t="s">
        <v>240</v>
      </c>
    </row>
    <row r="13" spans="1:62" x14ac:dyDescent="0.4">
      <c r="A13">
        <v>1</v>
      </c>
      <c r="B13" t="str">
        <f>tblCountries!H3</f>
        <v>Addis Ababa, Ethiopia</v>
      </c>
      <c r="C13" t="str" cm="1">
        <f t="array" aca="1" ref="C13" ca="1">IF(AND($C$2=1,NOT(ISNUMBER(INDEX(auto_DataFlat_DataValue,$D13,$B$4)))),"EXCLUDE","")</f>
        <v/>
      </c>
      <c r="D13" cm="1">
        <f t="array" aca="1" ref="D13" ca="1">INDEX(sys_DataFlat_LU_Grid,$B$2,$A13)</f>
        <v>1</v>
      </c>
      <c r="E13" cm="1">
        <f t="array" aca="1" ref="E13" ca="1">IF(C13="EXCLUDE","n/a",IF($B$6="DATA",INDEX(auto_DataFlat_DataValue,$D13,$B$4),INDEX(auto_DataFlat_Score,$D13,$B$4)))</f>
        <v>49.6</v>
      </c>
      <c r="F13" cm="1">
        <f t="array" aca="1" ref="F13" ca="1">IF(INDEX(OFFSET(tblCountries!$T$3:$T$52,0,F$11,120,1),$A13)=0,"",$E13)</f>
        <v>49.6</v>
      </c>
      <c r="G13" t="str" cm="1">
        <f t="array" aca="1" ref="G13" ca="1">IF(INDEX(OFFSET(tblCountries!$T$3:$T$52,0,G$11,120,1),$A13)=0,"",$E13)</f>
        <v/>
      </c>
      <c r="H13" t="str" cm="1">
        <f t="array" aca="1" ref="H13" ca="1">IF(INDEX(OFFSET(tblCountries!$T$3:$T$52,0,H$11,120,1),$A13)=0,"",$E13)</f>
        <v/>
      </c>
      <c r="I13" t="str" cm="1">
        <f t="array" aca="1" ref="I13" ca="1">IF(INDEX(OFFSET(tblCountries!$T$3:$T$52,0,I$11,120,1),$A13)=0,"",$E13)</f>
        <v/>
      </c>
      <c r="J13" t="str" cm="1">
        <f t="array" aca="1" ref="J13" ca="1">IF(INDEX(OFFSET(tblCountries!$T$3:$T$52,0,J$11,120,1),$A13)=0,"",$E13)</f>
        <v/>
      </c>
      <c r="K13" t="str" cm="1">
        <f t="array" aca="1" ref="K13" ca="1">IF(INDEX(OFFSET(tblCountries!$T$3:$T$52,0,K$11,120,1),$A13)=0,"",$E13)</f>
        <v/>
      </c>
      <c r="L13" cm="1">
        <f t="array" aca="1" ref="L13" ca="1">IF(INDEX(OFFSET(tblCountries!$T$3:$T$52,0,L$11,120,1),$A13)=0,"",$E13)</f>
        <v>49.6</v>
      </c>
      <c r="M13" t="str" cm="1">
        <f t="array" aca="1" ref="M13" ca="1">IF(INDEX(OFFSET(tblCountries!$T$3:$T$52,0,M$11,120,1),$A13)=0,"",$E13)</f>
        <v/>
      </c>
      <c r="N13" t="str" cm="1">
        <f t="array" aca="1" ref="N13" ca="1">IF(INDEX(OFFSET(tblCountries!$T$3:$T$52,0,N$11,120,1),$A13)=0,"",$E13)</f>
        <v/>
      </c>
      <c r="O13" t="str" cm="1">
        <f t="array" aca="1" ref="O13" ca="1">IF(INDEX(OFFSET(tblCountries!$T$3:$T$52,0,O$11,120,1),$A13)=0,"",$E13)</f>
        <v/>
      </c>
      <c r="P13" t="str" cm="1">
        <f t="array" aca="1" ref="P13" ca="1">IF(INDEX(OFFSET(tblCountries!$T$3:$T$52,0,P$11,120,1),$A13)=0,"",$E13)</f>
        <v/>
      </c>
      <c r="Q13" t="str" cm="1">
        <f t="array" aca="1" ref="Q13" ca="1">IF(INDEX(OFFSET(tblCountries!$T$3:$T$52,0,Q$11,120,1),$A13)=0,"",$E13)</f>
        <v/>
      </c>
      <c r="R13" t="str" cm="1">
        <f t="array" aca="1" ref="R13" ca="1">IF(INDEX(OFFSET(tblCountries!$T$3:$T$52,0,R$11,120,1),$A13)=0,"",$E13)</f>
        <v/>
      </c>
      <c r="S13" t="str" cm="1">
        <f t="array" aca="1" ref="S13" ca="1">IF(INDEX(OFFSET(tblCountries!$T$3:$T$52,0,S$11,120,1),$A13)=0,"",$E13)</f>
        <v/>
      </c>
      <c r="T13" t="str" cm="1">
        <f t="array" aca="1" ref="T13" ca="1">IF(INDEX(OFFSET(tblCountries!$T$3:$T$52,0,T$11,120,1),$A13)=0,"",$E13)</f>
        <v/>
      </c>
      <c r="U13" t="str" cm="1">
        <f t="array" aca="1" ref="U13" ca="1">IF(INDEX(OFFSET(tblCountries!$T$3:$T$52,0,U$11,120,1),$A13)=0,"",$E13)</f>
        <v/>
      </c>
      <c r="V13" t="str" cm="1">
        <f t="array" aca="1" ref="V13" ca="1">IF(INDEX(OFFSET(tblCountries!$T$3:$T$52,0,V$11,120,1),$A13)=0,"",$E13)</f>
        <v/>
      </c>
      <c r="W13" t="str" cm="1">
        <f t="array" aca="1" ref="W13" ca="1">IF(INDEX(OFFSET(tblCountries!$T$3:$T$52,0,W$11,120,1),$A13)=0,"",$E13)</f>
        <v/>
      </c>
      <c r="X13" t="str" cm="1">
        <f t="array" aca="1" ref="X13" ca="1">IF(INDEX(OFFSET(tblCountries!$T$3:$T$52,0,X$11,120,1),$A13)=0,"",$E13)</f>
        <v/>
      </c>
      <c r="Y13" t="str" cm="1">
        <f t="array" aca="1" ref="Y13" ca="1">IF(INDEX(OFFSET(tblCountries!$T$3:$T$52,0,Y$11,120,1),$A13)=0,"",$E13)</f>
        <v/>
      </c>
      <c r="Z13" t="str" cm="1">
        <f t="array" aca="1" ref="Z13" ca="1">IF(AND($C$3=1,NOT(ISNUMBER(INDEX(auto_DataFlat_DataValue,$AA13,$B$4)))),"EXCLUDE","")</f>
        <v/>
      </c>
      <c r="AA13" cm="1">
        <f t="array" aca="1" ref="AA13" ca="1">INDEX(sys_DataFlat_LU_Grid,$B$3,$A13)</f>
        <v>61</v>
      </c>
      <c r="AB13" cm="1">
        <f t="array" aca="1" ref="AB13" ca="1">IF(Z13="EXCLUDE","n/a",IF($B$7="DATA",INDEX(auto_DataFlat_DataValue,$AA13,$B$4),INDEX(auto_DataFlat_Score,$AA13,$B$4)))</f>
        <v>65.900000000000006</v>
      </c>
      <c r="AC13" cm="1">
        <f t="array" aca="1" ref="AC13" ca="1">IF(INDEX(OFFSET(tblCountries!$T$3:$T$52,0,AC$11,120,1),$A13)=0,"",$AB13)</f>
        <v>65.900000000000006</v>
      </c>
      <c r="AD13" t="str" cm="1">
        <f t="array" aca="1" ref="AD13" ca="1">IF(INDEX(OFFSET(tblCountries!$T$3:$T$52,0,AD$11,120,1),$A13)=0,"",$AB13)</f>
        <v/>
      </c>
      <c r="AE13" t="str" cm="1">
        <f t="array" aca="1" ref="AE13" ca="1">IF(INDEX(OFFSET(tblCountries!$T$3:$T$52,0,AE$11,120,1),$A13)=0,"",$AB13)</f>
        <v/>
      </c>
      <c r="AF13" t="str" cm="1">
        <f t="array" aca="1" ref="AF13" ca="1">IF(INDEX(OFFSET(tblCountries!$T$3:$T$52,0,AF$11,120,1),$A13)=0,"",$AB13)</f>
        <v/>
      </c>
      <c r="AG13" t="str" cm="1">
        <f t="array" aca="1" ref="AG13" ca="1">IF(INDEX(OFFSET(tblCountries!$T$3:$T$52,0,AG$11,120,1),$A13)=0,"",$AB13)</f>
        <v/>
      </c>
      <c r="AH13" t="str" cm="1">
        <f t="array" aca="1" ref="AH13" ca="1">IF(INDEX(OFFSET(tblCountries!$T$3:$T$52,0,AH$11,120,1),$A13)=0,"",$AB13)</f>
        <v/>
      </c>
      <c r="AI13" cm="1">
        <f t="array" aca="1" ref="AI13" ca="1">IF(INDEX(OFFSET(tblCountries!$T$3:$T$52,0,AI$11,120,1),$A13)=0,"",$AB13)</f>
        <v>65.900000000000006</v>
      </c>
      <c r="AJ13" t="str" cm="1">
        <f t="array" aca="1" ref="AJ13" ca="1">IF(INDEX(OFFSET(tblCountries!$T$3:$T$52,0,AJ$11,120,1),$A13)=0,"",$AB13)</f>
        <v/>
      </c>
      <c r="AK13" t="str" cm="1">
        <f t="array" aca="1" ref="AK13" ca="1">IF(INDEX(OFFSET(tblCountries!$T$3:$T$52,0,AK$11,120,1),$A13)=0,"",$AB13)</f>
        <v/>
      </c>
      <c r="AL13" t="str" cm="1">
        <f t="array" aca="1" ref="AL13" ca="1">IF(INDEX(OFFSET(tblCountries!$T$3:$T$52,0,AL$11,120,1),$A13)=0,"",$AB13)</f>
        <v/>
      </c>
      <c r="AM13" t="str" cm="1">
        <f t="array" aca="1" ref="AM13" ca="1">IF(INDEX(OFFSET(tblCountries!$T$3:$T$52,0,AM$11,120,1),$A13)=0,"",$AB13)</f>
        <v/>
      </c>
      <c r="AN13" t="str" cm="1">
        <f t="array" aca="1" ref="AN13" ca="1">IF(INDEX(OFFSET(tblCountries!$T$3:$T$52,0,AN$11,120,1),$A13)=0,"",$AB13)</f>
        <v/>
      </c>
      <c r="AO13" t="str" cm="1">
        <f t="array" aca="1" ref="AO13" ca="1">IF(INDEX(OFFSET(tblCountries!$T$3:$T$52,0,AO$11,120,1),$A13)=0,"",$AB13)</f>
        <v/>
      </c>
      <c r="AP13" t="str" cm="1">
        <f t="array" aca="1" ref="AP13" ca="1">IF(INDEX(OFFSET(tblCountries!$T$3:$T$52,0,AP$11,120,1),$A13)=0,"",$AB13)</f>
        <v/>
      </c>
      <c r="AQ13" t="str" cm="1">
        <f t="array" aca="1" ref="AQ13" ca="1">IF(INDEX(OFFSET(tblCountries!$T$3:$T$52,0,AQ$11,120,1),$A13)=0,"",$AB13)</f>
        <v/>
      </c>
      <c r="AR13" t="str" cm="1">
        <f t="array" aca="1" ref="AR13" ca="1">IF(INDEX(OFFSET(tblCountries!$T$3:$T$52,0,AR$11,120,1),$A13)=0,"",$AB13)</f>
        <v/>
      </c>
      <c r="AS13" t="str" cm="1">
        <f t="array" aca="1" ref="AS13" ca="1">IF(INDEX(OFFSET(tblCountries!$T$3:$T$52,0,AS$11,120,1),$A13)=0,"",$AB13)</f>
        <v/>
      </c>
      <c r="AT13" t="str" cm="1">
        <f t="array" aca="1" ref="AT13" ca="1">IF(INDEX(OFFSET(tblCountries!$T$3:$T$52,0,AT$11,120,1),$A13)=0,"",$AB13)</f>
        <v/>
      </c>
      <c r="AU13" t="str" cm="1">
        <f t="array" aca="1" ref="AU13" ca="1">IF(INDEX(OFFSET(tblCountries!$T$3:$T$52,0,AU$11,120,1),$A13)=0,"",$AB13)</f>
        <v/>
      </c>
      <c r="AV13" t="str" cm="1">
        <f t="array" aca="1" ref="AV13" ca="1">IF(INDEX(OFFSET(tblCountries!$T$3:$T$52,0,AV$11,120,1),$A13)=0,"",$AB13)</f>
        <v/>
      </c>
      <c r="AZ13">
        <f ca="1">IF(AND(ISNUMBER(E13),ISNUMBER(AB13)),1,0)</f>
        <v>1</v>
      </c>
      <c r="BA13">
        <f t="shared" ref="BA13:BJ13" ca="1" si="8">IF(AND(ISNUMBER(F13),ISNUMBER(AC13)),1,0)</f>
        <v>1</v>
      </c>
      <c r="BB13">
        <f t="shared" ca="1" si="8"/>
        <v>0</v>
      </c>
      <c r="BC13">
        <f t="shared" ca="1" si="8"/>
        <v>0</v>
      </c>
      <c r="BD13">
        <f t="shared" ca="1" si="8"/>
        <v>0</v>
      </c>
      <c r="BE13">
        <f t="shared" ca="1" si="8"/>
        <v>0</v>
      </c>
      <c r="BF13">
        <f t="shared" ca="1" si="8"/>
        <v>0</v>
      </c>
      <c r="BG13">
        <f t="shared" ca="1" si="8"/>
        <v>1</v>
      </c>
      <c r="BH13">
        <f t="shared" ca="1" si="8"/>
        <v>0</v>
      </c>
      <c r="BI13">
        <f t="shared" ca="1" si="8"/>
        <v>0</v>
      </c>
      <c r="BJ13">
        <f t="shared" ca="1" si="8"/>
        <v>0</v>
      </c>
    </row>
    <row r="14" spans="1:62" x14ac:dyDescent="0.4">
      <c r="A14">
        <v>2</v>
      </c>
      <c r="B14" t="str">
        <f>tblCountries!H4</f>
        <v>Algiers, Algeria</v>
      </c>
      <c r="C14" t="str" cm="1">
        <f t="array" aca="1" ref="C14" ca="1">IF(AND($C$2=1,NOT(ISNUMBER(INDEX(auto_DataFlat_DataValue,$D14,$B$4)))),"EXCLUDE","")</f>
        <v/>
      </c>
      <c r="D14" cm="1">
        <f t="array" aca="1" ref="D14" ca="1">INDEX(sys_DataFlat_LU_Grid,$B$2,$A14)</f>
        <v>2</v>
      </c>
      <c r="E14" cm="1">
        <f t="array" aca="1" ref="E14" ca="1">IF(C14="EXCLUDE","n/a",IF($B$6="DATA",INDEX(auto_DataFlat_DataValue,$D14,$B$4),INDEX(auto_DataFlat_Score,$D14,$B$4)))</f>
        <v>41</v>
      </c>
      <c r="F14" cm="1">
        <f t="array" aca="1" ref="F14" ca="1">IF(INDEX(OFFSET(tblCountries!$T$3:$T$52,0,F$11,120,1),$A14)=0,"",$E14)</f>
        <v>41</v>
      </c>
      <c r="G14" t="str" cm="1">
        <f t="array" aca="1" ref="G14" ca="1">IF(INDEX(OFFSET(tblCountries!$T$3:$T$52,0,G$11,120,1),$A14)=0,"",$E14)</f>
        <v/>
      </c>
      <c r="H14" t="str" cm="1">
        <f t="array" aca="1" ref="H14" ca="1">IF(INDEX(OFFSET(tblCountries!$T$3:$T$52,0,H$11,120,1),$A14)=0,"",$E14)</f>
        <v/>
      </c>
      <c r="I14" t="str" cm="1">
        <f t="array" aca="1" ref="I14" ca="1">IF(INDEX(OFFSET(tblCountries!$T$3:$T$52,0,I$11,120,1),$A14)=0,"",$E14)</f>
        <v/>
      </c>
      <c r="J14" t="str" cm="1">
        <f t="array" aca="1" ref="J14" ca="1">IF(INDEX(OFFSET(tblCountries!$T$3:$T$52,0,J$11,120,1),$A14)=0,"",$E14)</f>
        <v/>
      </c>
      <c r="K14" t="str" cm="1">
        <f t="array" aca="1" ref="K14" ca="1">IF(INDEX(OFFSET(tblCountries!$T$3:$T$52,0,K$11,120,1),$A14)=0,"",$E14)</f>
        <v/>
      </c>
      <c r="L14" cm="1">
        <f t="array" aca="1" ref="L14" ca="1">IF(INDEX(OFFSET(tblCountries!$T$3:$T$52,0,L$11,120,1),$A14)=0,"",$E14)</f>
        <v>41</v>
      </c>
      <c r="M14" t="str" cm="1">
        <f t="array" aca="1" ref="M14" ca="1">IF(INDEX(OFFSET(tblCountries!$T$3:$T$52,0,M$11,120,1),$A14)=0,"",$E14)</f>
        <v/>
      </c>
      <c r="N14" t="str" cm="1">
        <f t="array" aca="1" ref="N14" ca="1">IF(INDEX(OFFSET(tblCountries!$T$3:$T$52,0,N$11,120,1),$A14)=0,"",$E14)</f>
        <v/>
      </c>
      <c r="O14" t="str" cm="1">
        <f t="array" aca="1" ref="O14" ca="1">IF(INDEX(OFFSET(tblCountries!$T$3:$T$52,0,O$11,120,1),$A14)=0,"",$E14)</f>
        <v/>
      </c>
      <c r="P14" t="str" cm="1">
        <f t="array" aca="1" ref="P14" ca="1">IF(INDEX(OFFSET(tblCountries!$T$3:$T$52,0,P$11,120,1),$A14)=0,"",$E14)</f>
        <v/>
      </c>
      <c r="Q14" t="str" cm="1">
        <f t="array" aca="1" ref="Q14" ca="1">IF(INDEX(OFFSET(tblCountries!$T$3:$T$52,0,Q$11,120,1),$A14)=0,"",$E14)</f>
        <v/>
      </c>
      <c r="R14" t="str" cm="1">
        <f t="array" aca="1" ref="R14" ca="1">IF(INDEX(OFFSET(tblCountries!$T$3:$T$52,0,R$11,120,1),$A14)=0,"",$E14)</f>
        <v/>
      </c>
      <c r="S14" t="str" cm="1">
        <f t="array" aca="1" ref="S14" ca="1">IF(INDEX(OFFSET(tblCountries!$T$3:$T$52,0,S$11,120,1),$A14)=0,"",$E14)</f>
        <v/>
      </c>
      <c r="T14" t="str" cm="1">
        <f t="array" aca="1" ref="T14" ca="1">IF(INDEX(OFFSET(tblCountries!$T$3:$T$52,0,T$11,120,1),$A14)=0,"",$E14)</f>
        <v/>
      </c>
      <c r="U14" t="str" cm="1">
        <f t="array" aca="1" ref="U14" ca="1">IF(INDEX(OFFSET(tblCountries!$T$3:$T$52,0,U$11,120,1),$A14)=0,"",$E14)</f>
        <v/>
      </c>
      <c r="V14" t="str" cm="1">
        <f t="array" aca="1" ref="V14" ca="1">IF(INDEX(OFFSET(tblCountries!$T$3:$T$52,0,V$11,120,1),$A14)=0,"",$E14)</f>
        <v/>
      </c>
      <c r="W14" t="str" cm="1">
        <f t="array" aca="1" ref="W14" ca="1">IF(INDEX(OFFSET(tblCountries!$T$3:$T$52,0,W$11,120,1),$A14)=0,"",$E14)</f>
        <v/>
      </c>
      <c r="X14" t="str" cm="1">
        <f t="array" aca="1" ref="X14" ca="1">IF(INDEX(OFFSET(tblCountries!$T$3:$T$52,0,X$11,120,1),$A14)=0,"",$E14)</f>
        <v/>
      </c>
      <c r="Y14" t="str" cm="1">
        <f t="array" aca="1" ref="Y14" ca="1">IF(INDEX(OFFSET(tblCountries!$T$3:$T$52,0,Y$11,120,1),$A14)=0,"",$E14)</f>
        <v/>
      </c>
      <c r="Z14" t="str" cm="1">
        <f t="array" aca="1" ref="Z14" ca="1">IF(AND($C$3=1,NOT(ISNUMBER(INDEX(auto_DataFlat_DataValue,$AA14,$B$4)))),"EXCLUDE","")</f>
        <v/>
      </c>
      <c r="AA14" cm="1">
        <f t="array" aca="1" ref="AA14" ca="1">INDEX(sys_DataFlat_LU_Grid,$B$3,$A14)</f>
        <v>62</v>
      </c>
      <c r="AB14" cm="1">
        <f t="array" aca="1" ref="AB14" ca="1">IF(Z14="EXCLUDE","n/a",IF($B$7="DATA",INDEX(auto_DataFlat_DataValue,$AA14,$B$4),INDEX(auto_DataFlat_Score,$AA14,$B$4)))</f>
        <v>54.3</v>
      </c>
      <c r="AC14" cm="1">
        <f t="array" aca="1" ref="AC14" ca="1">IF(INDEX(OFFSET(tblCountries!$T$3:$T$52,0,AC$11,120,1),$A14)=0,"",$AB14)</f>
        <v>54.3</v>
      </c>
      <c r="AD14" t="str" cm="1">
        <f t="array" aca="1" ref="AD14" ca="1">IF(INDEX(OFFSET(tblCountries!$T$3:$T$52,0,AD$11,120,1),$A14)=0,"",$AB14)</f>
        <v/>
      </c>
      <c r="AE14" t="str" cm="1">
        <f t="array" aca="1" ref="AE14" ca="1">IF(INDEX(OFFSET(tblCountries!$T$3:$T$52,0,AE$11,120,1),$A14)=0,"",$AB14)</f>
        <v/>
      </c>
      <c r="AF14" t="str" cm="1">
        <f t="array" aca="1" ref="AF14" ca="1">IF(INDEX(OFFSET(tblCountries!$T$3:$T$52,0,AF$11,120,1),$A14)=0,"",$AB14)</f>
        <v/>
      </c>
      <c r="AG14" t="str" cm="1">
        <f t="array" aca="1" ref="AG14" ca="1">IF(INDEX(OFFSET(tblCountries!$T$3:$T$52,0,AG$11,120,1),$A14)=0,"",$AB14)</f>
        <v/>
      </c>
      <c r="AH14" t="str" cm="1">
        <f t="array" aca="1" ref="AH14" ca="1">IF(INDEX(OFFSET(tblCountries!$T$3:$T$52,0,AH$11,120,1),$A14)=0,"",$AB14)</f>
        <v/>
      </c>
      <c r="AI14" cm="1">
        <f t="array" aca="1" ref="AI14" ca="1">IF(INDEX(OFFSET(tblCountries!$T$3:$T$52,0,AI$11,120,1),$A14)=0,"",$AB14)</f>
        <v>54.3</v>
      </c>
      <c r="AJ14" t="str" cm="1">
        <f t="array" aca="1" ref="AJ14" ca="1">IF(INDEX(OFFSET(tblCountries!$T$3:$T$52,0,AJ$11,120,1),$A14)=0,"",$AB14)</f>
        <v/>
      </c>
      <c r="AK14" t="str" cm="1">
        <f t="array" aca="1" ref="AK14" ca="1">IF(INDEX(OFFSET(tblCountries!$T$3:$T$52,0,AK$11,120,1),$A14)=0,"",$AB14)</f>
        <v/>
      </c>
      <c r="AL14" t="str" cm="1">
        <f t="array" aca="1" ref="AL14" ca="1">IF(INDEX(OFFSET(tblCountries!$T$3:$T$52,0,AL$11,120,1),$A14)=0,"",$AB14)</f>
        <v/>
      </c>
      <c r="AM14" t="str" cm="1">
        <f t="array" aca="1" ref="AM14" ca="1">IF(INDEX(OFFSET(tblCountries!$T$3:$T$52,0,AM$11,120,1),$A14)=0,"",$AB14)</f>
        <v/>
      </c>
      <c r="AN14" t="str" cm="1">
        <f t="array" aca="1" ref="AN14" ca="1">IF(INDEX(OFFSET(tblCountries!$T$3:$T$52,0,AN$11,120,1),$A14)=0,"",$AB14)</f>
        <v/>
      </c>
      <c r="AO14" t="str" cm="1">
        <f t="array" aca="1" ref="AO14" ca="1">IF(INDEX(OFFSET(tblCountries!$T$3:$T$52,0,AO$11,120,1),$A14)=0,"",$AB14)</f>
        <v/>
      </c>
      <c r="AP14" t="str" cm="1">
        <f t="array" aca="1" ref="AP14" ca="1">IF(INDEX(OFFSET(tblCountries!$T$3:$T$52,0,AP$11,120,1),$A14)=0,"",$AB14)</f>
        <v/>
      </c>
      <c r="AQ14" t="str" cm="1">
        <f t="array" aca="1" ref="AQ14" ca="1">IF(INDEX(OFFSET(tblCountries!$T$3:$T$52,0,AQ$11,120,1),$A14)=0,"",$AB14)</f>
        <v/>
      </c>
      <c r="AR14" t="str" cm="1">
        <f t="array" aca="1" ref="AR14" ca="1">IF(INDEX(OFFSET(tblCountries!$T$3:$T$52,0,AR$11,120,1),$A14)=0,"",$AB14)</f>
        <v/>
      </c>
      <c r="AS14" t="str" cm="1">
        <f t="array" aca="1" ref="AS14" ca="1">IF(INDEX(OFFSET(tblCountries!$T$3:$T$52,0,AS$11,120,1),$A14)=0,"",$AB14)</f>
        <v/>
      </c>
      <c r="AT14" t="str" cm="1">
        <f t="array" aca="1" ref="AT14" ca="1">IF(INDEX(OFFSET(tblCountries!$T$3:$T$52,0,AT$11,120,1),$A14)=0,"",$AB14)</f>
        <v/>
      </c>
      <c r="AU14" t="str" cm="1">
        <f t="array" aca="1" ref="AU14" ca="1">IF(INDEX(OFFSET(tblCountries!$T$3:$T$52,0,AU$11,120,1),$A14)=0,"",$AB14)</f>
        <v/>
      </c>
      <c r="AV14" t="str" cm="1">
        <f t="array" aca="1" ref="AV14" ca="1">IF(INDEX(OFFSET(tblCountries!$T$3:$T$52,0,AV$11,120,1),$A14)=0,"",$AB14)</f>
        <v/>
      </c>
      <c r="AZ14">
        <f t="shared" ref="AZ14:AZ62" ca="1" si="9">IF(AND(ISNUMBER(E14),ISNUMBER(AB14)),1,0)</f>
        <v>1</v>
      </c>
      <c r="BA14">
        <f t="shared" ref="BA14:BA62" ca="1" si="10">IF(AND(ISNUMBER(F14),ISNUMBER(AC14)),1,0)</f>
        <v>1</v>
      </c>
      <c r="BB14">
        <f t="shared" ref="BB14:BB62" ca="1" si="11">IF(AND(ISNUMBER(G14),ISNUMBER(AD14)),1,0)</f>
        <v>0</v>
      </c>
      <c r="BC14">
        <f t="shared" ref="BC14:BC62" ca="1" si="12">IF(AND(ISNUMBER(H14),ISNUMBER(AE14)),1,0)</f>
        <v>0</v>
      </c>
      <c r="BD14">
        <f t="shared" ref="BD14:BD62" ca="1" si="13">IF(AND(ISNUMBER(I14),ISNUMBER(AF14)),1,0)</f>
        <v>0</v>
      </c>
      <c r="BE14">
        <f t="shared" ref="BE14:BE62" ca="1" si="14">IF(AND(ISNUMBER(J14),ISNUMBER(AG14)),1,0)</f>
        <v>0</v>
      </c>
      <c r="BF14">
        <f t="shared" ref="BF14:BF62" ca="1" si="15">IF(AND(ISNUMBER(K14),ISNUMBER(AH14)),1,0)</f>
        <v>0</v>
      </c>
      <c r="BG14">
        <f t="shared" ref="BG14:BG62" ca="1" si="16">IF(AND(ISNUMBER(L14),ISNUMBER(AI14)),1,0)</f>
        <v>1</v>
      </c>
      <c r="BH14">
        <f t="shared" ref="BH14:BH62" ca="1" si="17">IF(AND(ISNUMBER(M14),ISNUMBER(AJ14)),1,0)</f>
        <v>0</v>
      </c>
      <c r="BI14">
        <f t="shared" ref="BI14:BI62" ca="1" si="18">IF(AND(ISNUMBER(N14),ISNUMBER(AK14)),1,0)</f>
        <v>0</v>
      </c>
      <c r="BJ14">
        <f t="shared" ref="BJ14:BJ62" ca="1" si="19">IF(AND(ISNUMBER(O14),ISNUMBER(AL14)),1,0)</f>
        <v>0</v>
      </c>
    </row>
    <row r="15" spans="1:62" x14ac:dyDescent="0.4">
      <c r="A15">
        <v>3</v>
      </c>
      <c r="B15" t="str">
        <f>tblCountries!H5</f>
        <v>Atlanta, United States</v>
      </c>
      <c r="C15" t="str" cm="1">
        <f t="array" aca="1" ref="C15" ca="1">IF(AND($C$2=1,NOT(ISNUMBER(INDEX(auto_DataFlat_DataValue,$D15,$B$4)))),"EXCLUDE","")</f>
        <v/>
      </c>
      <c r="D15" cm="1">
        <f t="array" aca="1" ref="D15" ca="1">INDEX(sys_DataFlat_LU_Grid,$B$2,$A15)</f>
        <v>3</v>
      </c>
      <c r="E15" cm="1">
        <f t="array" aca="1" ref="E15" ca="1">IF(C15="EXCLUDE","n/a",IF($B$6="DATA",INDEX(auto_DataFlat_DataValue,$D15,$B$4),INDEX(auto_DataFlat_Score,$D15,$B$4)))</f>
        <v>63.1</v>
      </c>
      <c r="F15" t="str" cm="1">
        <f t="array" aca="1" ref="F15" ca="1">IF(INDEX(OFFSET(tblCountries!$T$3:$T$52,0,F$11,120,1),$A15)=0,"",$E15)</f>
        <v/>
      </c>
      <c r="G15" cm="1">
        <f t="array" aca="1" ref="G15" ca="1">IF(INDEX(OFFSET(tblCountries!$T$3:$T$52,0,G$11,120,1),$A15)=0,"",$E15)</f>
        <v>63.1</v>
      </c>
      <c r="H15" t="str" cm="1">
        <f t="array" aca="1" ref="H15" ca="1">IF(INDEX(OFFSET(tblCountries!$T$3:$T$52,0,H$11,120,1),$A15)=0,"",$E15)</f>
        <v/>
      </c>
      <c r="I15" t="str" cm="1">
        <f t="array" aca="1" ref="I15" ca="1">IF(INDEX(OFFSET(tblCountries!$T$3:$T$52,0,I$11,120,1),$A15)=0,"",$E15)</f>
        <v/>
      </c>
      <c r="J15" t="str" cm="1">
        <f t="array" aca="1" ref="J15" ca="1">IF(INDEX(OFFSET(tblCountries!$T$3:$T$52,0,J$11,120,1),$A15)=0,"",$E15)</f>
        <v/>
      </c>
      <c r="K15" t="str" cm="1">
        <f t="array" aca="1" ref="K15" ca="1">IF(INDEX(OFFSET(tblCountries!$T$3:$T$52,0,K$11,120,1),$A15)=0,"",$E15)</f>
        <v/>
      </c>
      <c r="L15" t="str" cm="1">
        <f t="array" aca="1" ref="L15" ca="1">IF(INDEX(OFFSET(tblCountries!$T$3:$T$52,0,L$11,120,1),$A15)=0,"",$E15)</f>
        <v/>
      </c>
      <c r="M15" t="str" cm="1">
        <f t="array" aca="1" ref="M15" ca="1">IF(INDEX(OFFSET(tblCountries!$T$3:$T$52,0,M$11,120,1),$A15)=0,"",$E15)</f>
        <v/>
      </c>
      <c r="N15" cm="1">
        <f t="array" aca="1" ref="N15" ca="1">IF(INDEX(OFFSET(tblCountries!$T$3:$T$52,0,N$11,120,1),$A15)=0,"",$E15)</f>
        <v>63.1</v>
      </c>
      <c r="O15" t="str" cm="1">
        <f t="array" aca="1" ref="O15" ca="1">IF(INDEX(OFFSET(tblCountries!$T$3:$T$52,0,O$11,120,1),$A15)=0,"",$E15)</f>
        <v/>
      </c>
      <c r="P15" t="str" cm="1">
        <f t="array" aca="1" ref="P15" ca="1">IF(INDEX(OFFSET(tblCountries!$T$3:$T$52,0,P$11,120,1),$A15)=0,"",$E15)</f>
        <v/>
      </c>
      <c r="Q15" t="str" cm="1">
        <f t="array" aca="1" ref="Q15" ca="1">IF(INDEX(OFFSET(tblCountries!$T$3:$T$52,0,Q$11,120,1),$A15)=0,"",$E15)</f>
        <v/>
      </c>
      <c r="R15" t="str" cm="1">
        <f t="array" aca="1" ref="R15" ca="1">IF(INDEX(OFFSET(tblCountries!$T$3:$T$52,0,R$11,120,1),$A15)=0,"",$E15)</f>
        <v/>
      </c>
      <c r="S15" t="str" cm="1">
        <f t="array" aca="1" ref="S15" ca="1">IF(INDEX(OFFSET(tblCountries!$T$3:$T$52,0,S$11,120,1),$A15)=0,"",$E15)</f>
        <v/>
      </c>
      <c r="T15" t="str" cm="1">
        <f t="array" aca="1" ref="T15" ca="1">IF(INDEX(OFFSET(tblCountries!$T$3:$T$52,0,T$11,120,1),$A15)=0,"",$E15)</f>
        <v/>
      </c>
      <c r="U15" t="str" cm="1">
        <f t="array" aca="1" ref="U15" ca="1">IF(INDEX(OFFSET(tblCountries!$T$3:$T$52,0,U$11,120,1),$A15)=0,"",$E15)</f>
        <v/>
      </c>
      <c r="V15" t="str" cm="1">
        <f t="array" aca="1" ref="V15" ca="1">IF(INDEX(OFFSET(tblCountries!$T$3:$T$52,0,V$11,120,1),$A15)=0,"",$E15)</f>
        <v/>
      </c>
      <c r="W15" t="str" cm="1">
        <f t="array" aca="1" ref="W15" ca="1">IF(INDEX(OFFSET(tblCountries!$T$3:$T$52,0,W$11,120,1),$A15)=0,"",$E15)</f>
        <v/>
      </c>
      <c r="X15" t="str" cm="1">
        <f t="array" aca="1" ref="X15" ca="1">IF(INDEX(OFFSET(tblCountries!$T$3:$T$52,0,X$11,120,1),$A15)=0,"",$E15)</f>
        <v/>
      </c>
      <c r="Y15" t="str" cm="1">
        <f t="array" aca="1" ref="Y15" ca="1">IF(INDEX(OFFSET(tblCountries!$T$3:$T$52,0,Y$11,120,1),$A15)=0,"",$E15)</f>
        <v/>
      </c>
      <c r="Z15" t="str" cm="1">
        <f t="array" aca="1" ref="Z15" ca="1">IF(AND($C$3=1,NOT(ISNUMBER(INDEX(auto_DataFlat_DataValue,$AA15,$B$4)))),"EXCLUDE","")</f>
        <v/>
      </c>
      <c r="AA15" cm="1">
        <f t="array" aca="1" ref="AA15" ca="1">INDEX(sys_DataFlat_LU_Grid,$B$3,$A15)</f>
        <v>63</v>
      </c>
      <c r="AB15" cm="1">
        <f t="array" aca="1" ref="AB15" ca="1">IF(Z15="EXCLUDE","n/a",IF($B$7="DATA",INDEX(auto_DataFlat_DataValue,$AA15,$B$4),INDEX(auto_DataFlat_Score,$AA15,$B$4)))</f>
        <v>86.8</v>
      </c>
      <c r="AC15" t="str" cm="1">
        <f t="array" aca="1" ref="AC15" ca="1">IF(INDEX(OFFSET(tblCountries!$T$3:$T$52,0,AC$11,120,1),$A15)=0,"",$AB15)</f>
        <v/>
      </c>
      <c r="AD15" cm="1">
        <f t="array" aca="1" ref="AD15" ca="1">IF(INDEX(OFFSET(tblCountries!$T$3:$T$52,0,AD$11,120,1),$A15)=0,"",$AB15)</f>
        <v>86.8</v>
      </c>
      <c r="AE15" t="str" cm="1">
        <f t="array" aca="1" ref="AE15" ca="1">IF(INDEX(OFFSET(tblCountries!$T$3:$T$52,0,AE$11,120,1),$A15)=0,"",$AB15)</f>
        <v/>
      </c>
      <c r="AF15" t="str" cm="1">
        <f t="array" aca="1" ref="AF15" ca="1">IF(INDEX(OFFSET(tblCountries!$T$3:$T$52,0,AF$11,120,1),$A15)=0,"",$AB15)</f>
        <v/>
      </c>
      <c r="AG15" t="str" cm="1">
        <f t="array" aca="1" ref="AG15" ca="1">IF(INDEX(OFFSET(tblCountries!$T$3:$T$52,0,AG$11,120,1),$A15)=0,"",$AB15)</f>
        <v/>
      </c>
      <c r="AH15" t="str" cm="1">
        <f t="array" aca="1" ref="AH15" ca="1">IF(INDEX(OFFSET(tblCountries!$T$3:$T$52,0,AH$11,120,1),$A15)=0,"",$AB15)</f>
        <v/>
      </c>
      <c r="AI15" t="str" cm="1">
        <f t="array" aca="1" ref="AI15" ca="1">IF(INDEX(OFFSET(tblCountries!$T$3:$T$52,0,AI$11,120,1),$A15)=0,"",$AB15)</f>
        <v/>
      </c>
      <c r="AJ15" t="str" cm="1">
        <f t="array" aca="1" ref="AJ15" ca="1">IF(INDEX(OFFSET(tblCountries!$T$3:$T$52,0,AJ$11,120,1),$A15)=0,"",$AB15)</f>
        <v/>
      </c>
      <c r="AK15" cm="1">
        <f t="array" aca="1" ref="AK15" ca="1">IF(INDEX(OFFSET(tblCountries!$T$3:$T$52,0,AK$11,120,1),$A15)=0,"",$AB15)</f>
        <v>86.8</v>
      </c>
      <c r="AL15" t="str" cm="1">
        <f t="array" aca="1" ref="AL15" ca="1">IF(INDEX(OFFSET(tblCountries!$T$3:$T$52,0,AL$11,120,1),$A15)=0,"",$AB15)</f>
        <v/>
      </c>
      <c r="AM15" t="str" cm="1">
        <f t="array" aca="1" ref="AM15" ca="1">IF(INDEX(OFFSET(tblCountries!$T$3:$T$52,0,AM$11,120,1),$A15)=0,"",$AB15)</f>
        <v/>
      </c>
      <c r="AN15" t="str" cm="1">
        <f t="array" aca="1" ref="AN15" ca="1">IF(INDEX(OFFSET(tblCountries!$T$3:$T$52,0,AN$11,120,1),$A15)=0,"",$AB15)</f>
        <v/>
      </c>
      <c r="AO15" t="str" cm="1">
        <f t="array" aca="1" ref="AO15" ca="1">IF(INDEX(OFFSET(tblCountries!$T$3:$T$52,0,AO$11,120,1),$A15)=0,"",$AB15)</f>
        <v/>
      </c>
      <c r="AP15" t="str" cm="1">
        <f t="array" aca="1" ref="AP15" ca="1">IF(INDEX(OFFSET(tblCountries!$T$3:$T$52,0,AP$11,120,1),$A15)=0,"",$AB15)</f>
        <v/>
      </c>
      <c r="AQ15" t="str" cm="1">
        <f t="array" aca="1" ref="AQ15" ca="1">IF(INDEX(OFFSET(tblCountries!$T$3:$T$52,0,AQ$11,120,1),$A15)=0,"",$AB15)</f>
        <v/>
      </c>
      <c r="AR15" t="str" cm="1">
        <f t="array" aca="1" ref="AR15" ca="1">IF(INDEX(OFFSET(tblCountries!$T$3:$T$52,0,AR$11,120,1),$A15)=0,"",$AB15)</f>
        <v/>
      </c>
      <c r="AS15" t="str" cm="1">
        <f t="array" aca="1" ref="AS15" ca="1">IF(INDEX(OFFSET(tblCountries!$T$3:$T$52,0,AS$11,120,1),$A15)=0,"",$AB15)</f>
        <v/>
      </c>
      <c r="AT15" t="str" cm="1">
        <f t="array" aca="1" ref="AT15" ca="1">IF(INDEX(OFFSET(tblCountries!$T$3:$T$52,0,AT$11,120,1),$A15)=0,"",$AB15)</f>
        <v/>
      </c>
      <c r="AU15" t="str" cm="1">
        <f t="array" aca="1" ref="AU15" ca="1">IF(INDEX(OFFSET(tblCountries!$T$3:$T$52,0,AU$11,120,1),$A15)=0,"",$AB15)</f>
        <v/>
      </c>
      <c r="AV15" t="str" cm="1">
        <f t="array" aca="1" ref="AV15" ca="1">IF(INDEX(OFFSET(tblCountries!$T$3:$T$52,0,AV$11,120,1),$A15)=0,"",$AB15)</f>
        <v/>
      </c>
      <c r="AZ15">
        <f t="shared" ca="1" si="9"/>
        <v>1</v>
      </c>
      <c r="BA15">
        <f t="shared" ca="1" si="10"/>
        <v>0</v>
      </c>
      <c r="BB15">
        <f t="shared" ca="1" si="11"/>
        <v>1</v>
      </c>
      <c r="BC15">
        <f t="shared" ca="1" si="12"/>
        <v>0</v>
      </c>
      <c r="BD15">
        <f t="shared" ca="1" si="13"/>
        <v>0</v>
      </c>
      <c r="BE15">
        <f t="shared" ca="1" si="14"/>
        <v>0</v>
      </c>
      <c r="BF15">
        <f t="shared" ca="1" si="15"/>
        <v>0</v>
      </c>
      <c r="BG15">
        <f t="shared" ca="1" si="16"/>
        <v>0</v>
      </c>
      <c r="BH15">
        <f t="shared" ca="1" si="17"/>
        <v>0</v>
      </c>
      <c r="BI15">
        <f t="shared" ca="1" si="18"/>
        <v>1</v>
      </c>
      <c r="BJ15">
        <f t="shared" ca="1" si="19"/>
        <v>0</v>
      </c>
    </row>
    <row r="16" spans="1:62" x14ac:dyDescent="0.4">
      <c r="A16">
        <v>4</v>
      </c>
      <c r="B16" t="str">
        <f>tblCountries!H6</f>
        <v>Auckland, New Zealand</v>
      </c>
      <c r="C16" t="str" cm="1">
        <f t="array" aca="1" ref="C16" ca="1">IF(AND($C$2=1,NOT(ISNUMBER(INDEX(auto_DataFlat_DataValue,$D16,$B$4)))),"EXCLUDE","")</f>
        <v/>
      </c>
      <c r="D16" cm="1">
        <f t="array" aca="1" ref="D16" ca="1">INDEX(sys_DataFlat_LU_Grid,$B$2,$A16)</f>
        <v>4</v>
      </c>
      <c r="E16" cm="1">
        <f t="array" aca="1" ref="E16" ca="1">IF(C16="EXCLUDE","n/a",IF($B$6="DATA",INDEX(auto_DataFlat_DataValue,$D16,$B$4),INDEX(auto_DataFlat_Score,$D16,$B$4)))</f>
        <v>71</v>
      </c>
      <c r="F16" t="str" cm="1">
        <f t="array" aca="1" ref="F16" ca="1">IF(INDEX(OFFSET(tblCountries!$T$3:$T$52,0,F$11,120,1),$A16)=0,"",$E16)</f>
        <v/>
      </c>
      <c r="G16" t="str" cm="1">
        <f t="array" aca="1" ref="G16" ca="1">IF(INDEX(OFFSET(tblCountries!$T$3:$T$52,0,G$11,120,1),$A16)=0,"",$E16)</f>
        <v/>
      </c>
      <c r="H16" t="str" cm="1">
        <f t="array" aca="1" ref="H16" ca="1">IF(INDEX(OFFSET(tblCountries!$T$3:$T$52,0,H$11,120,1),$A16)=0,"",$E16)</f>
        <v/>
      </c>
      <c r="I16" t="str" cm="1">
        <f t="array" aca="1" ref="I16" ca="1">IF(INDEX(OFFSET(tblCountries!$T$3:$T$52,0,I$11,120,1),$A16)=0,"",$E16)</f>
        <v/>
      </c>
      <c r="J16" t="str" cm="1">
        <f t="array" aca="1" ref="J16" ca="1">IF(INDEX(OFFSET(tblCountries!$T$3:$T$52,0,J$11,120,1),$A16)=0,"",$E16)</f>
        <v/>
      </c>
      <c r="K16" cm="1">
        <f t="array" aca="1" ref="K16" ca="1">IF(INDEX(OFFSET(tblCountries!$T$3:$T$52,0,K$11,120,1),$A16)=0,"",$E16)</f>
        <v>71</v>
      </c>
      <c r="L16" t="str" cm="1">
        <f t="array" aca="1" ref="L16" ca="1">IF(INDEX(OFFSET(tblCountries!$T$3:$T$52,0,L$11,120,1),$A16)=0,"",$E16)</f>
        <v/>
      </c>
      <c r="M16" t="str" cm="1">
        <f t="array" aca="1" ref="M16" ca="1">IF(INDEX(OFFSET(tblCountries!$T$3:$T$52,0,M$11,120,1),$A16)=0,"",$E16)</f>
        <v/>
      </c>
      <c r="N16" cm="1">
        <f t="array" aca="1" ref="N16" ca="1">IF(INDEX(OFFSET(tblCountries!$T$3:$T$52,0,N$11,120,1),$A16)=0,"",$E16)</f>
        <v>71</v>
      </c>
      <c r="O16" t="str" cm="1">
        <f t="array" aca="1" ref="O16" ca="1">IF(INDEX(OFFSET(tblCountries!$T$3:$T$52,0,O$11,120,1),$A16)=0,"",$E16)</f>
        <v/>
      </c>
      <c r="P16" t="str" cm="1">
        <f t="array" aca="1" ref="P16" ca="1">IF(INDEX(OFFSET(tblCountries!$T$3:$T$52,0,P$11,120,1),$A16)=0,"",$E16)</f>
        <v/>
      </c>
      <c r="Q16" t="str" cm="1">
        <f t="array" aca="1" ref="Q16" ca="1">IF(INDEX(OFFSET(tblCountries!$T$3:$T$52,0,Q$11,120,1),$A16)=0,"",$E16)</f>
        <v/>
      </c>
      <c r="R16" t="str" cm="1">
        <f t="array" aca="1" ref="R16" ca="1">IF(INDEX(OFFSET(tblCountries!$T$3:$T$52,0,R$11,120,1),$A16)=0,"",$E16)</f>
        <v/>
      </c>
      <c r="S16" t="str" cm="1">
        <f t="array" aca="1" ref="S16" ca="1">IF(INDEX(OFFSET(tblCountries!$T$3:$T$52,0,S$11,120,1),$A16)=0,"",$E16)</f>
        <v/>
      </c>
      <c r="T16" t="str" cm="1">
        <f t="array" aca="1" ref="T16" ca="1">IF(INDEX(OFFSET(tblCountries!$T$3:$T$52,0,T$11,120,1),$A16)=0,"",$E16)</f>
        <v/>
      </c>
      <c r="U16" t="str" cm="1">
        <f t="array" aca="1" ref="U16" ca="1">IF(INDEX(OFFSET(tblCountries!$T$3:$T$52,0,U$11,120,1),$A16)=0,"",$E16)</f>
        <v/>
      </c>
      <c r="V16" t="str" cm="1">
        <f t="array" aca="1" ref="V16" ca="1">IF(INDEX(OFFSET(tblCountries!$T$3:$T$52,0,V$11,120,1),$A16)=0,"",$E16)</f>
        <v/>
      </c>
      <c r="W16" t="str" cm="1">
        <f t="array" aca="1" ref="W16" ca="1">IF(INDEX(OFFSET(tblCountries!$T$3:$T$52,0,W$11,120,1),$A16)=0,"",$E16)</f>
        <v/>
      </c>
      <c r="X16" t="str" cm="1">
        <f t="array" aca="1" ref="X16" ca="1">IF(INDEX(OFFSET(tblCountries!$T$3:$T$52,0,X$11,120,1),$A16)=0,"",$E16)</f>
        <v/>
      </c>
      <c r="Y16" t="str" cm="1">
        <f t="array" aca="1" ref="Y16" ca="1">IF(INDEX(OFFSET(tblCountries!$T$3:$T$52,0,Y$11,120,1),$A16)=0,"",$E16)</f>
        <v/>
      </c>
      <c r="Z16" t="str" cm="1">
        <f t="array" aca="1" ref="Z16" ca="1">IF(AND($C$3=1,NOT(ISNUMBER(INDEX(auto_DataFlat_DataValue,$AA16,$B$4)))),"EXCLUDE","")</f>
        <v/>
      </c>
      <c r="AA16" cm="1">
        <f t="array" aca="1" ref="AA16" ca="1">INDEX(sys_DataFlat_LU_Grid,$B$3,$A16)</f>
        <v>64</v>
      </c>
      <c r="AB16" cm="1">
        <f t="array" aca="1" ref="AB16" ca="1">IF(Z16="EXCLUDE","n/a",IF($B$7="DATA",INDEX(auto_DataFlat_DataValue,$AA16,$B$4),INDEX(auto_DataFlat_Score,$AA16,$B$4)))</f>
        <v>75.7</v>
      </c>
      <c r="AC16" t="str" cm="1">
        <f t="array" aca="1" ref="AC16" ca="1">IF(INDEX(OFFSET(tblCountries!$T$3:$T$52,0,AC$11,120,1),$A16)=0,"",$AB16)</f>
        <v/>
      </c>
      <c r="AD16" t="str" cm="1">
        <f t="array" aca="1" ref="AD16" ca="1">IF(INDEX(OFFSET(tblCountries!$T$3:$T$52,0,AD$11,120,1),$A16)=0,"",$AB16)</f>
        <v/>
      </c>
      <c r="AE16" t="str" cm="1">
        <f t="array" aca="1" ref="AE16" ca="1">IF(INDEX(OFFSET(tblCountries!$T$3:$T$52,0,AE$11,120,1),$A16)=0,"",$AB16)</f>
        <v/>
      </c>
      <c r="AF16" t="str" cm="1">
        <f t="array" aca="1" ref="AF16" ca="1">IF(INDEX(OFFSET(tblCountries!$T$3:$T$52,0,AF$11,120,1),$A16)=0,"",$AB16)</f>
        <v/>
      </c>
      <c r="AG16" t="str" cm="1">
        <f t="array" aca="1" ref="AG16" ca="1">IF(INDEX(OFFSET(tblCountries!$T$3:$T$52,0,AG$11,120,1),$A16)=0,"",$AB16)</f>
        <v/>
      </c>
      <c r="AH16" cm="1">
        <f t="array" aca="1" ref="AH16" ca="1">IF(INDEX(OFFSET(tblCountries!$T$3:$T$52,0,AH$11,120,1),$A16)=0,"",$AB16)</f>
        <v>75.7</v>
      </c>
      <c r="AI16" t="str" cm="1">
        <f t="array" aca="1" ref="AI16" ca="1">IF(INDEX(OFFSET(tblCountries!$T$3:$T$52,0,AI$11,120,1),$A16)=0,"",$AB16)</f>
        <v/>
      </c>
      <c r="AJ16" t="str" cm="1">
        <f t="array" aca="1" ref="AJ16" ca="1">IF(INDEX(OFFSET(tblCountries!$T$3:$T$52,0,AJ$11,120,1),$A16)=0,"",$AB16)</f>
        <v/>
      </c>
      <c r="AK16" cm="1">
        <f t="array" aca="1" ref="AK16" ca="1">IF(INDEX(OFFSET(tblCountries!$T$3:$T$52,0,AK$11,120,1),$A16)=0,"",$AB16)</f>
        <v>75.7</v>
      </c>
      <c r="AL16" t="str" cm="1">
        <f t="array" aca="1" ref="AL16" ca="1">IF(INDEX(OFFSET(tblCountries!$T$3:$T$52,0,AL$11,120,1),$A16)=0,"",$AB16)</f>
        <v/>
      </c>
      <c r="AM16" t="str" cm="1">
        <f t="array" aca="1" ref="AM16" ca="1">IF(INDEX(OFFSET(tblCountries!$T$3:$T$52,0,AM$11,120,1),$A16)=0,"",$AB16)</f>
        <v/>
      </c>
      <c r="AN16" t="str" cm="1">
        <f t="array" aca="1" ref="AN16" ca="1">IF(INDEX(OFFSET(tblCountries!$T$3:$T$52,0,AN$11,120,1),$A16)=0,"",$AB16)</f>
        <v/>
      </c>
      <c r="AO16" t="str" cm="1">
        <f t="array" aca="1" ref="AO16" ca="1">IF(INDEX(OFFSET(tblCountries!$T$3:$T$52,0,AO$11,120,1),$A16)=0,"",$AB16)</f>
        <v/>
      </c>
      <c r="AP16" t="str" cm="1">
        <f t="array" aca="1" ref="AP16" ca="1">IF(INDEX(OFFSET(tblCountries!$T$3:$T$52,0,AP$11,120,1),$A16)=0,"",$AB16)</f>
        <v/>
      </c>
      <c r="AQ16" t="str" cm="1">
        <f t="array" aca="1" ref="AQ16" ca="1">IF(INDEX(OFFSET(tblCountries!$T$3:$T$52,0,AQ$11,120,1),$A16)=0,"",$AB16)</f>
        <v/>
      </c>
      <c r="AR16" t="str" cm="1">
        <f t="array" aca="1" ref="AR16" ca="1">IF(INDEX(OFFSET(tblCountries!$T$3:$T$52,0,AR$11,120,1),$A16)=0,"",$AB16)</f>
        <v/>
      </c>
      <c r="AS16" t="str" cm="1">
        <f t="array" aca="1" ref="AS16" ca="1">IF(INDEX(OFFSET(tblCountries!$T$3:$T$52,0,AS$11,120,1),$A16)=0,"",$AB16)</f>
        <v/>
      </c>
      <c r="AT16" t="str" cm="1">
        <f t="array" aca="1" ref="AT16" ca="1">IF(INDEX(OFFSET(tblCountries!$T$3:$T$52,0,AT$11,120,1),$A16)=0,"",$AB16)</f>
        <v/>
      </c>
      <c r="AU16" t="str" cm="1">
        <f t="array" aca="1" ref="AU16" ca="1">IF(INDEX(OFFSET(tblCountries!$T$3:$T$52,0,AU$11,120,1),$A16)=0,"",$AB16)</f>
        <v/>
      </c>
      <c r="AV16" t="str" cm="1">
        <f t="array" aca="1" ref="AV16" ca="1">IF(INDEX(OFFSET(tblCountries!$T$3:$T$52,0,AV$11,120,1),$A16)=0,"",$AB16)</f>
        <v/>
      </c>
      <c r="AZ16">
        <f t="shared" ca="1" si="9"/>
        <v>1</v>
      </c>
      <c r="BA16">
        <f t="shared" ca="1" si="10"/>
        <v>0</v>
      </c>
      <c r="BB16">
        <f t="shared" ca="1" si="11"/>
        <v>0</v>
      </c>
      <c r="BC16">
        <f t="shared" ca="1" si="12"/>
        <v>0</v>
      </c>
      <c r="BD16">
        <f t="shared" ca="1" si="13"/>
        <v>0</v>
      </c>
      <c r="BE16">
        <f t="shared" ca="1" si="14"/>
        <v>0</v>
      </c>
      <c r="BF16">
        <f t="shared" ca="1" si="15"/>
        <v>1</v>
      </c>
      <c r="BG16">
        <f t="shared" ca="1" si="16"/>
        <v>0</v>
      </c>
      <c r="BH16">
        <f t="shared" ca="1" si="17"/>
        <v>0</v>
      </c>
      <c r="BI16">
        <f t="shared" ca="1" si="18"/>
        <v>1</v>
      </c>
      <c r="BJ16">
        <f t="shared" ca="1" si="19"/>
        <v>0</v>
      </c>
    </row>
    <row r="17" spans="1:62" x14ac:dyDescent="0.4">
      <c r="A17">
        <v>5</v>
      </c>
      <c r="B17" t="str">
        <f>tblCountries!H7</f>
        <v>Bangkok, Thailand</v>
      </c>
      <c r="C17" t="str" cm="1">
        <f t="array" aca="1" ref="C17" ca="1">IF(AND($C$2=1,NOT(ISNUMBER(INDEX(auto_DataFlat_DataValue,$D17,$B$4)))),"EXCLUDE","")</f>
        <v/>
      </c>
      <c r="D17" cm="1">
        <f t="array" aca="1" ref="D17" ca="1">INDEX(sys_DataFlat_LU_Grid,$B$2,$A17)</f>
        <v>5</v>
      </c>
      <c r="E17" cm="1">
        <f t="array" aca="1" ref="E17" ca="1">IF(C17="EXCLUDE","n/a",IF($B$6="DATA",INDEX(auto_DataFlat_DataValue,$D17,$B$4),INDEX(auto_DataFlat_Score,$D17,$B$4)))</f>
        <v>68.8</v>
      </c>
      <c r="F17" t="str" cm="1">
        <f t="array" aca="1" ref="F17" ca="1">IF(INDEX(OFFSET(tblCountries!$T$3:$T$52,0,F$11,120,1),$A17)=0,"",$E17)</f>
        <v/>
      </c>
      <c r="G17" t="str" cm="1">
        <f t="array" aca="1" ref="G17" ca="1">IF(INDEX(OFFSET(tblCountries!$T$3:$T$52,0,G$11,120,1),$A17)=0,"",$E17)</f>
        <v/>
      </c>
      <c r="H17" t="str" cm="1">
        <f t="array" aca="1" ref="H17" ca="1">IF(INDEX(OFFSET(tblCountries!$T$3:$T$52,0,H$11,120,1),$A17)=0,"",$E17)</f>
        <v/>
      </c>
      <c r="I17" t="str" cm="1">
        <f t="array" aca="1" ref="I17" ca="1">IF(INDEX(OFFSET(tblCountries!$T$3:$T$52,0,I$11,120,1),$A17)=0,"",$E17)</f>
        <v/>
      </c>
      <c r="J17" cm="1">
        <f t="array" aca="1" ref="J17" ca="1">IF(INDEX(OFFSET(tblCountries!$T$3:$T$52,0,J$11,120,1),$A17)=0,"",$E17)</f>
        <v>68.8</v>
      </c>
      <c r="K17" t="str" cm="1">
        <f t="array" aca="1" ref="K17" ca="1">IF(INDEX(OFFSET(tblCountries!$T$3:$T$52,0,K$11,120,1),$A17)=0,"",$E17)</f>
        <v/>
      </c>
      <c r="L17" t="str" cm="1">
        <f t="array" aca="1" ref="L17" ca="1">IF(INDEX(OFFSET(tblCountries!$T$3:$T$52,0,L$11,120,1),$A17)=0,"",$E17)</f>
        <v/>
      </c>
      <c r="M17" cm="1">
        <f t="array" aca="1" ref="M17" ca="1">IF(INDEX(OFFSET(tblCountries!$T$3:$T$52,0,M$11,120,1),$A17)=0,"",$E17)</f>
        <v>68.8</v>
      </c>
      <c r="N17" t="str" cm="1">
        <f t="array" aca="1" ref="N17" ca="1">IF(INDEX(OFFSET(tblCountries!$T$3:$T$52,0,N$11,120,1),$A17)=0,"",$E17)</f>
        <v/>
      </c>
      <c r="O17" t="str" cm="1">
        <f t="array" aca="1" ref="O17" ca="1">IF(INDEX(OFFSET(tblCountries!$T$3:$T$52,0,O$11,120,1),$A17)=0,"",$E17)</f>
        <v/>
      </c>
      <c r="P17" t="str" cm="1">
        <f t="array" aca="1" ref="P17" ca="1">IF(INDEX(OFFSET(tblCountries!$T$3:$T$52,0,P$11,120,1),$A17)=0,"",$E17)</f>
        <v/>
      </c>
      <c r="Q17" t="str" cm="1">
        <f t="array" aca="1" ref="Q17" ca="1">IF(INDEX(OFFSET(tblCountries!$T$3:$T$52,0,Q$11,120,1),$A17)=0,"",$E17)</f>
        <v/>
      </c>
      <c r="R17" t="str" cm="1">
        <f t="array" aca="1" ref="R17" ca="1">IF(INDEX(OFFSET(tblCountries!$T$3:$T$52,0,R$11,120,1),$A17)=0,"",$E17)</f>
        <v/>
      </c>
      <c r="S17" t="str" cm="1">
        <f t="array" aca="1" ref="S17" ca="1">IF(INDEX(OFFSET(tblCountries!$T$3:$T$52,0,S$11,120,1),$A17)=0,"",$E17)</f>
        <v/>
      </c>
      <c r="T17" t="str" cm="1">
        <f t="array" aca="1" ref="T17" ca="1">IF(INDEX(OFFSET(tblCountries!$T$3:$T$52,0,T$11,120,1),$A17)=0,"",$E17)</f>
        <v/>
      </c>
      <c r="U17" t="str" cm="1">
        <f t="array" aca="1" ref="U17" ca="1">IF(INDEX(OFFSET(tblCountries!$T$3:$T$52,0,U$11,120,1),$A17)=0,"",$E17)</f>
        <v/>
      </c>
      <c r="V17" t="str" cm="1">
        <f t="array" aca="1" ref="V17" ca="1">IF(INDEX(OFFSET(tblCountries!$T$3:$T$52,0,V$11,120,1),$A17)=0,"",$E17)</f>
        <v/>
      </c>
      <c r="W17" t="str" cm="1">
        <f t="array" aca="1" ref="W17" ca="1">IF(INDEX(OFFSET(tblCountries!$T$3:$T$52,0,W$11,120,1),$A17)=0,"",$E17)</f>
        <v/>
      </c>
      <c r="X17" t="str" cm="1">
        <f t="array" aca="1" ref="X17" ca="1">IF(INDEX(OFFSET(tblCountries!$T$3:$T$52,0,X$11,120,1),$A17)=0,"",$E17)</f>
        <v/>
      </c>
      <c r="Y17" t="str" cm="1">
        <f t="array" aca="1" ref="Y17" ca="1">IF(INDEX(OFFSET(tblCountries!$T$3:$T$52,0,Y$11,120,1),$A17)=0,"",$E17)</f>
        <v/>
      </c>
      <c r="Z17" t="str" cm="1">
        <f t="array" aca="1" ref="Z17" ca="1">IF(AND($C$3=1,NOT(ISNUMBER(INDEX(auto_DataFlat_DataValue,$AA17,$B$4)))),"EXCLUDE","")</f>
        <v/>
      </c>
      <c r="AA17" cm="1">
        <f t="array" aca="1" ref="AA17" ca="1">INDEX(sys_DataFlat_LU_Grid,$B$3,$A17)</f>
        <v>65</v>
      </c>
      <c r="AB17" cm="1">
        <f t="array" aca="1" ref="AB17" ca="1">IF(Z17="EXCLUDE","n/a",IF($B$7="DATA",INDEX(auto_DataFlat_DataValue,$AA17,$B$4),INDEX(auto_DataFlat_Score,$AA17,$B$4)))</f>
        <v>72.8</v>
      </c>
      <c r="AC17" t="str" cm="1">
        <f t="array" aca="1" ref="AC17" ca="1">IF(INDEX(OFFSET(tblCountries!$T$3:$T$52,0,AC$11,120,1),$A17)=0,"",$AB17)</f>
        <v/>
      </c>
      <c r="AD17" t="str" cm="1">
        <f t="array" aca="1" ref="AD17" ca="1">IF(INDEX(OFFSET(tblCountries!$T$3:$T$52,0,AD$11,120,1),$A17)=0,"",$AB17)</f>
        <v/>
      </c>
      <c r="AE17" t="str" cm="1">
        <f t="array" aca="1" ref="AE17" ca="1">IF(INDEX(OFFSET(tblCountries!$T$3:$T$52,0,AE$11,120,1),$A17)=0,"",$AB17)</f>
        <v/>
      </c>
      <c r="AF17" t="str" cm="1">
        <f t="array" aca="1" ref="AF17" ca="1">IF(INDEX(OFFSET(tblCountries!$T$3:$T$52,0,AF$11,120,1),$A17)=0,"",$AB17)</f>
        <v/>
      </c>
      <c r="AG17" cm="1">
        <f t="array" aca="1" ref="AG17" ca="1">IF(INDEX(OFFSET(tblCountries!$T$3:$T$52,0,AG$11,120,1),$A17)=0,"",$AB17)</f>
        <v>72.8</v>
      </c>
      <c r="AH17" t="str" cm="1">
        <f t="array" aca="1" ref="AH17" ca="1">IF(INDEX(OFFSET(tblCountries!$T$3:$T$52,0,AH$11,120,1),$A17)=0,"",$AB17)</f>
        <v/>
      </c>
      <c r="AI17" t="str" cm="1">
        <f t="array" aca="1" ref="AI17" ca="1">IF(INDEX(OFFSET(tblCountries!$T$3:$T$52,0,AI$11,120,1),$A17)=0,"",$AB17)</f>
        <v/>
      </c>
      <c r="AJ17" cm="1">
        <f t="array" aca="1" ref="AJ17" ca="1">IF(INDEX(OFFSET(tblCountries!$T$3:$T$52,0,AJ$11,120,1),$A17)=0,"",$AB17)</f>
        <v>72.8</v>
      </c>
      <c r="AK17" t="str" cm="1">
        <f t="array" aca="1" ref="AK17" ca="1">IF(INDEX(OFFSET(tblCountries!$T$3:$T$52,0,AK$11,120,1),$A17)=0,"",$AB17)</f>
        <v/>
      </c>
      <c r="AL17" t="str" cm="1">
        <f t="array" aca="1" ref="AL17" ca="1">IF(INDEX(OFFSET(tblCountries!$T$3:$T$52,0,AL$11,120,1),$A17)=0,"",$AB17)</f>
        <v/>
      </c>
      <c r="AM17" t="str" cm="1">
        <f t="array" aca="1" ref="AM17" ca="1">IF(INDEX(OFFSET(tblCountries!$T$3:$T$52,0,AM$11,120,1),$A17)=0,"",$AB17)</f>
        <v/>
      </c>
      <c r="AN17" t="str" cm="1">
        <f t="array" aca="1" ref="AN17" ca="1">IF(INDEX(OFFSET(tblCountries!$T$3:$T$52,0,AN$11,120,1),$A17)=0,"",$AB17)</f>
        <v/>
      </c>
      <c r="AO17" t="str" cm="1">
        <f t="array" aca="1" ref="AO17" ca="1">IF(INDEX(OFFSET(tblCountries!$T$3:$T$52,0,AO$11,120,1),$A17)=0,"",$AB17)</f>
        <v/>
      </c>
      <c r="AP17" t="str" cm="1">
        <f t="array" aca="1" ref="AP17" ca="1">IF(INDEX(OFFSET(tblCountries!$T$3:$T$52,0,AP$11,120,1),$A17)=0,"",$AB17)</f>
        <v/>
      </c>
      <c r="AQ17" t="str" cm="1">
        <f t="array" aca="1" ref="AQ17" ca="1">IF(INDEX(OFFSET(tblCountries!$T$3:$T$52,0,AQ$11,120,1),$A17)=0,"",$AB17)</f>
        <v/>
      </c>
      <c r="AR17" t="str" cm="1">
        <f t="array" aca="1" ref="AR17" ca="1">IF(INDEX(OFFSET(tblCountries!$T$3:$T$52,0,AR$11,120,1),$A17)=0,"",$AB17)</f>
        <v/>
      </c>
      <c r="AS17" t="str" cm="1">
        <f t="array" aca="1" ref="AS17" ca="1">IF(INDEX(OFFSET(tblCountries!$T$3:$T$52,0,AS$11,120,1),$A17)=0,"",$AB17)</f>
        <v/>
      </c>
      <c r="AT17" t="str" cm="1">
        <f t="array" aca="1" ref="AT17" ca="1">IF(INDEX(OFFSET(tblCountries!$T$3:$T$52,0,AT$11,120,1),$A17)=0,"",$AB17)</f>
        <v/>
      </c>
      <c r="AU17" t="str" cm="1">
        <f t="array" aca="1" ref="AU17" ca="1">IF(INDEX(OFFSET(tblCountries!$T$3:$T$52,0,AU$11,120,1),$A17)=0,"",$AB17)</f>
        <v/>
      </c>
      <c r="AV17" t="str" cm="1">
        <f t="array" aca="1" ref="AV17" ca="1">IF(INDEX(OFFSET(tblCountries!$T$3:$T$52,0,AV$11,120,1),$A17)=0,"",$AB17)</f>
        <v/>
      </c>
      <c r="AZ17">
        <f t="shared" ca="1" si="9"/>
        <v>1</v>
      </c>
      <c r="BA17">
        <f t="shared" ca="1" si="10"/>
        <v>0</v>
      </c>
      <c r="BB17">
        <f t="shared" ca="1" si="11"/>
        <v>0</v>
      </c>
      <c r="BC17">
        <f t="shared" ca="1" si="12"/>
        <v>0</v>
      </c>
      <c r="BD17">
        <f t="shared" ca="1" si="13"/>
        <v>0</v>
      </c>
      <c r="BE17">
        <f t="shared" ca="1" si="14"/>
        <v>1</v>
      </c>
      <c r="BF17">
        <f t="shared" ca="1" si="15"/>
        <v>0</v>
      </c>
      <c r="BG17">
        <f t="shared" ca="1" si="16"/>
        <v>0</v>
      </c>
      <c r="BH17">
        <f t="shared" ca="1" si="17"/>
        <v>1</v>
      </c>
      <c r="BI17">
        <f t="shared" ca="1" si="18"/>
        <v>0</v>
      </c>
      <c r="BJ17">
        <f t="shared" ca="1" si="19"/>
        <v>0</v>
      </c>
    </row>
    <row r="18" spans="1:62" x14ac:dyDescent="0.4">
      <c r="A18">
        <v>6</v>
      </c>
      <c r="B18" t="str">
        <f>tblCountries!H8</f>
        <v>Beijing, China</v>
      </c>
      <c r="C18" t="str" cm="1">
        <f t="array" aca="1" ref="C18" ca="1">IF(AND($C$2=1,NOT(ISNUMBER(INDEX(auto_DataFlat_DataValue,$D18,$B$4)))),"EXCLUDE","")</f>
        <v/>
      </c>
      <c r="D18" cm="1">
        <f t="array" aca="1" ref="D18" ca="1">INDEX(sys_DataFlat_LU_Grid,$B$2,$A18)</f>
        <v>6</v>
      </c>
      <c r="E18" cm="1">
        <f t="array" aca="1" ref="E18" ca="1">IF(C18="EXCLUDE","n/a",IF($B$6="DATA",INDEX(auto_DataFlat_DataValue,$D18,$B$4),INDEX(auto_DataFlat_Score,$D18,$B$4)))</f>
        <v>63.4</v>
      </c>
      <c r="F18" t="str" cm="1">
        <f t="array" aca="1" ref="F18" ca="1">IF(INDEX(OFFSET(tblCountries!$T$3:$T$52,0,F$11,120,1),$A18)=0,"",$E18)</f>
        <v/>
      </c>
      <c r="G18" t="str" cm="1">
        <f t="array" aca="1" ref="G18" ca="1">IF(INDEX(OFFSET(tblCountries!$T$3:$T$52,0,G$11,120,1),$A18)=0,"",$E18)</f>
        <v/>
      </c>
      <c r="H18" t="str" cm="1">
        <f t="array" aca="1" ref="H18" ca="1">IF(INDEX(OFFSET(tblCountries!$T$3:$T$52,0,H$11,120,1),$A18)=0,"",$E18)</f>
        <v/>
      </c>
      <c r="I18" t="str" cm="1">
        <f t="array" aca="1" ref="I18" ca="1">IF(INDEX(OFFSET(tblCountries!$T$3:$T$52,0,I$11,120,1),$A18)=0,"",$E18)</f>
        <v/>
      </c>
      <c r="J18" t="str" cm="1">
        <f t="array" aca="1" ref="J18" ca="1">IF(INDEX(OFFSET(tblCountries!$T$3:$T$52,0,J$11,120,1),$A18)=0,"",$E18)</f>
        <v/>
      </c>
      <c r="K18" cm="1">
        <f t="array" aca="1" ref="K18" ca="1">IF(INDEX(OFFSET(tblCountries!$T$3:$T$52,0,K$11,120,1),$A18)=0,"",$E18)</f>
        <v>63.4</v>
      </c>
      <c r="L18" t="str" cm="1">
        <f t="array" aca="1" ref="L18" ca="1">IF(INDEX(OFFSET(tblCountries!$T$3:$T$52,0,L$11,120,1),$A18)=0,"",$E18)</f>
        <v/>
      </c>
      <c r="M18" cm="1">
        <f t="array" aca="1" ref="M18" ca="1">IF(INDEX(OFFSET(tblCountries!$T$3:$T$52,0,M$11,120,1),$A18)=0,"",$E18)</f>
        <v>63.4</v>
      </c>
      <c r="N18" t="str" cm="1">
        <f t="array" aca="1" ref="N18" ca="1">IF(INDEX(OFFSET(tblCountries!$T$3:$T$52,0,N$11,120,1),$A18)=0,"",$E18)</f>
        <v/>
      </c>
      <c r="O18" t="str" cm="1">
        <f t="array" aca="1" ref="O18" ca="1">IF(INDEX(OFFSET(tblCountries!$T$3:$T$52,0,O$11,120,1),$A18)=0,"",$E18)</f>
        <v/>
      </c>
      <c r="P18" t="str" cm="1">
        <f t="array" aca="1" ref="P18" ca="1">IF(INDEX(OFFSET(tblCountries!$T$3:$T$52,0,P$11,120,1),$A18)=0,"",$E18)</f>
        <v/>
      </c>
      <c r="Q18" t="str" cm="1">
        <f t="array" aca="1" ref="Q18" ca="1">IF(INDEX(OFFSET(tblCountries!$T$3:$T$52,0,Q$11,120,1),$A18)=0,"",$E18)</f>
        <v/>
      </c>
      <c r="R18" t="str" cm="1">
        <f t="array" aca="1" ref="R18" ca="1">IF(INDEX(OFFSET(tblCountries!$T$3:$T$52,0,R$11,120,1),$A18)=0,"",$E18)</f>
        <v/>
      </c>
      <c r="S18" t="str" cm="1">
        <f t="array" aca="1" ref="S18" ca="1">IF(INDEX(OFFSET(tblCountries!$T$3:$T$52,0,S$11,120,1),$A18)=0,"",$E18)</f>
        <v/>
      </c>
      <c r="T18" t="str" cm="1">
        <f t="array" aca="1" ref="T18" ca="1">IF(INDEX(OFFSET(tblCountries!$T$3:$T$52,0,T$11,120,1),$A18)=0,"",$E18)</f>
        <v/>
      </c>
      <c r="U18" t="str" cm="1">
        <f t="array" aca="1" ref="U18" ca="1">IF(INDEX(OFFSET(tblCountries!$T$3:$T$52,0,U$11,120,1),$A18)=0,"",$E18)</f>
        <v/>
      </c>
      <c r="V18" t="str" cm="1">
        <f t="array" aca="1" ref="V18" ca="1">IF(INDEX(OFFSET(tblCountries!$T$3:$T$52,0,V$11,120,1),$A18)=0,"",$E18)</f>
        <v/>
      </c>
      <c r="W18" t="str" cm="1">
        <f t="array" aca="1" ref="W18" ca="1">IF(INDEX(OFFSET(tblCountries!$T$3:$T$52,0,W$11,120,1),$A18)=0,"",$E18)</f>
        <v/>
      </c>
      <c r="X18" t="str" cm="1">
        <f t="array" aca="1" ref="X18" ca="1">IF(INDEX(OFFSET(tblCountries!$T$3:$T$52,0,X$11,120,1),$A18)=0,"",$E18)</f>
        <v/>
      </c>
      <c r="Y18" t="str" cm="1">
        <f t="array" aca="1" ref="Y18" ca="1">IF(INDEX(OFFSET(tblCountries!$T$3:$T$52,0,Y$11,120,1),$A18)=0,"",$E18)</f>
        <v/>
      </c>
      <c r="Z18" t="str" cm="1">
        <f t="array" aca="1" ref="Z18" ca="1">IF(AND($C$3=1,NOT(ISNUMBER(INDEX(auto_DataFlat_DataValue,$AA18,$B$4)))),"EXCLUDE","")</f>
        <v/>
      </c>
      <c r="AA18" cm="1">
        <f t="array" aca="1" ref="AA18" ca="1">INDEX(sys_DataFlat_LU_Grid,$B$3,$A18)</f>
        <v>66</v>
      </c>
      <c r="AB18" cm="1">
        <f t="array" aca="1" ref="AB18" ca="1">IF(Z18="EXCLUDE","n/a",IF($B$7="DATA",INDEX(auto_DataFlat_DataValue,$AA18,$B$4),INDEX(auto_DataFlat_Score,$AA18,$B$4)))</f>
        <v>54.3</v>
      </c>
      <c r="AC18" t="str" cm="1">
        <f t="array" aca="1" ref="AC18" ca="1">IF(INDEX(OFFSET(tblCountries!$T$3:$T$52,0,AC$11,120,1),$A18)=0,"",$AB18)</f>
        <v/>
      </c>
      <c r="AD18" t="str" cm="1">
        <f t="array" aca="1" ref="AD18" ca="1">IF(INDEX(OFFSET(tblCountries!$T$3:$T$52,0,AD$11,120,1),$A18)=0,"",$AB18)</f>
        <v/>
      </c>
      <c r="AE18" t="str" cm="1">
        <f t="array" aca="1" ref="AE18" ca="1">IF(INDEX(OFFSET(tblCountries!$T$3:$T$52,0,AE$11,120,1),$A18)=0,"",$AB18)</f>
        <v/>
      </c>
      <c r="AF18" t="str" cm="1">
        <f t="array" aca="1" ref="AF18" ca="1">IF(INDEX(OFFSET(tblCountries!$T$3:$T$52,0,AF$11,120,1),$A18)=0,"",$AB18)</f>
        <v/>
      </c>
      <c r="AG18" t="str" cm="1">
        <f t="array" aca="1" ref="AG18" ca="1">IF(INDEX(OFFSET(tblCountries!$T$3:$T$52,0,AG$11,120,1),$A18)=0,"",$AB18)</f>
        <v/>
      </c>
      <c r="AH18" cm="1">
        <f t="array" aca="1" ref="AH18" ca="1">IF(INDEX(OFFSET(tblCountries!$T$3:$T$52,0,AH$11,120,1),$A18)=0,"",$AB18)</f>
        <v>54.3</v>
      </c>
      <c r="AI18" t="str" cm="1">
        <f t="array" aca="1" ref="AI18" ca="1">IF(INDEX(OFFSET(tblCountries!$T$3:$T$52,0,AI$11,120,1),$A18)=0,"",$AB18)</f>
        <v/>
      </c>
      <c r="AJ18" cm="1">
        <f t="array" aca="1" ref="AJ18" ca="1">IF(INDEX(OFFSET(tblCountries!$T$3:$T$52,0,AJ$11,120,1),$A18)=0,"",$AB18)</f>
        <v>54.3</v>
      </c>
      <c r="AK18" t="str" cm="1">
        <f t="array" aca="1" ref="AK18" ca="1">IF(INDEX(OFFSET(tblCountries!$T$3:$T$52,0,AK$11,120,1),$A18)=0,"",$AB18)</f>
        <v/>
      </c>
      <c r="AL18" t="str" cm="1">
        <f t="array" aca="1" ref="AL18" ca="1">IF(INDEX(OFFSET(tblCountries!$T$3:$T$52,0,AL$11,120,1),$A18)=0,"",$AB18)</f>
        <v/>
      </c>
      <c r="AM18" t="str" cm="1">
        <f t="array" aca="1" ref="AM18" ca="1">IF(INDEX(OFFSET(tblCountries!$T$3:$T$52,0,AM$11,120,1),$A18)=0,"",$AB18)</f>
        <v/>
      </c>
      <c r="AN18" t="str" cm="1">
        <f t="array" aca="1" ref="AN18" ca="1">IF(INDEX(OFFSET(tblCountries!$T$3:$T$52,0,AN$11,120,1),$A18)=0,"",$AB18)</f>
        <v/>
      </c>
      <c r="AO18" t="str" cm="1">
        <f t="array" aca="1" ref="AO18" ca="1">IF(INDEX(OFFSET(tblCountries!$T$3:$T$52,0,AO$11,120,1),$A18)=0,"",$AB18)</f>
        <v/>
      </c>
      <c r="AP18" t="str" cm="1">
        <f t="array" aca="1" ref="AP18" ca="1">IF(INDEX(OFFSET(tblCountries!$T$3:$T$52,0,AP$11,120,1),$A18)=0,"",$AB18)</f>
        <v/>
      </c>
      <c r="AQ18" t="str" cm="1">
        <f t="array" aca="1" ref="AQ18" ca="1">IF(INDEX(OFFSET(tblCountries!$T$3:$T$52,0,AQ$11,120,1),$A18)=0,"",$AB18)</f>
        <v/>
      </c>
      <c r="AR18" t="str" cm="1">
        <f t="array" aca="1" ref="AR18" ca="1">IF(INDEX(OFFSET(tblCountries!$T$3:$T$52,0,AR$11,120,1),$A18)=0,"",$AB18)</f>
        <v/>
      </c>
      <c r="AS18" t="str" cm="1">
        <f t="array" aca="1" ref="AS18" ca="1">IF(INDEX(OFFSET(tblCountries!$T$3:$T$52,0,AS$11,120,1),$A18)=0,"",$AB18)</f>
        <v/>
      </c>
      <c r="AT18" t="str" cm="1">
        <f t="array" aca="1" ref="AT18" ca="1">IF(INDEX(OFFSET(tblCountries!$T$3:$T$52,0,AT$11,120,1),$A18)=0,"",$AB18)</f>
        <v/>
      </c>
      <c r="AU18" t="str" cm="1">
        <f t="array" aca="1" ref="AU18" ca="1">IF(INDEX(OFFSET(tblCountries!$T$3:$T$52,0,AU$11,120,1),$A18)=0,"",$AB18)</f>
        <v/>
      </c>
      <c r="AV18" t="str" cm="1">
        <f t="array" aca="1" ref="AV18" ca="1">IF(INDEX(OFFSET(tblCountries!$T$3:$T$52,0,AV$11,120,1),$A18)=0,"",$AB18)</f>
        <v/>
      </c>
      <c r="AZ18">
        <f t="shared" ca="1" si="9"/>
        <v>1</v>
      </c>
      <c r="BA18">
        <f t="shared" ca="1" si="10"/>
        <v>0</v>
      </c>
      <c r="BB18">
        <f t="shared" ca="1" si="11"/>
        <v>0</v>
      </c>
      <c r="BC18">
        <f t="shared" ca="1" si="12"/>
        <v>0</v>
      </c>
      <c r="BD18">
        <f t="shared" ca="1" si="13"/>
        <v>0</v>
      </c>
      <c r="BE18">
        <f t="shared" ca="1" si="14"/>
        <v>0</v>
      </c>
      <c r="BF18">
        <f t="shared" ca="1" si="15"/>
        <v>1</v>
      </c>
      <c r="BG18">
        <f t="shared" ca="1" si="16"/>
        <v>0</v>
      </c>
      <c r="BH18">
        <f t="shared" ca="1" si="17"/>
        <v>1</v>
      </c>
      <c r="BI18">
        <f t="shared" ca="1" si="18"/>
        <v>0</v>
      </c>
      <c r="BJ18">
        <f t="shared" ca="1" si="19"/>
        <v>0</v>
      </c>
    </row>
    <row r="19" spans="1:62" x14ac:dyDescent="0.4">
      <c r="A19">
        <v>7</v>
      </c>
      <c r="B19" t="str">
        <f>tblCountries!H9</f>
        <v>Berlin, Germany</v>
      </c>
      <c r="C19" t="str" cm="1">
        <f t="array" aca="1" ref="C19" ca="1">IF(AND($C$2=1,NOT(ISNUMBER(INDEX(auto_DataFlat_DataValue,$D19,$B$4)))),"EXCLUDE","")</f>
        <v/>
      </c>
      <c r="D19" cm="1">
        <f t="array" aca="1" ref="D19" ca="1">INDEX(sys_DataFlat_LU_Grid,$B$2,$A19)</f>
        <v>7</v>
      </c>
      <c r="E19" cm="1">
        <f t="array" aca="1" ref="E19" ca="1">IF(C19="EXCLUDE","n/a",IF($B$6="DATA",INDEX(auto_DataFlat_DataValue,$D19,$B$4),INDEX(auto_DataFlat_Score,$D19,$B$4)))</f>
        <v>77.400000000000006</v>
      </c>
      <c r="F19" t="str" cm="1">
        <f t="array" aca="1" ref="F19" ca="1">IF(INDEX(OFFSET(tblCountries!$T$3:$T$52,0,F$11,120,1),$A19)=0,"",$E19)</f>
        <v/>
      </c>
      <c r="G19" t="str" cm="1">
        <f t="array" aca="1" ref="G19" ca="1">IF(INDEX(OFFSET(tblCountries!$T$3:$T$52,0,G$11,120,1),$A19)=0,"",$E19)</f>
        <v/>
      </c>
      <c r="H19" t="str" cm="1">
        <f t="array" aca="1" ref="H19" ca="1">IF(INDEX(OFFSET(tblCountries!$T$3:$T$52,0,H$11,120,1),$A19)=0,"",$E19)</f>
        <v/>
      </c>
      <c r="I19" cm="1">
        <f t="array" aca="1" ref="I19" ca="1">IF(INDEX(OFFSET(tblCountries!$T$3:$T$52,0,I$11,120,1),$A19)=0,"",$E19)</f>
        <v>77.400000000000006</v>
      </c>
      <c r="J19" t="str" cm="1">
        <f t="array" aca="1" ref="J19" ca="1">IF(INDEX(OFFSET(tblCountries!$T$3:$T$52,0,J$11,120,1),$A19)=0,"",$E19)</f>
        <v/>
      </c>
      <c r="K19" t="str" cm="1">
        <f t="array" aca="1" ref="K19" ca="1">IF(INDEX(OFFSET(tblCountries!$T$3:$T$52,0,K$11,120,1),$A19)=0,"",$E19)</f>
        <v/>
      </c>
      <c r="L19" t="str" cm="1">
        <f t="array" aca="1" ref="L19" ca="1">IF(INDEX(OFFSET(tblCountries!$T$3:$T$52,0,L$11,120,1),$A19)=0,"",$E19)</f>
        <v/>
      </c>
      <c r="M19" t="str" cm="1">
        <f t="array" aca="1" ref="M19" ca="1">IF(INDEX(OFFSET(tblCountries!$T$3:$T$52,0,M$11,120,1),$A19)=0,"",$E19)</f>
        <v/>
      </c>
      <c r="N19" cm="1">
        <f t="array" aca="1" ref="N19" ca="1">IF(INDEX(OFFSET(tblCountries!$T$3:$T$52,0,N$11,120,1),$A19)=0,"",$E19)</f>
        <v>77.400000000000006</v>
      </c>
      <c r="O19" t="str" cm="1">
        <f t="array" aca="1" ref="O19" ca="1">IF(INDEX(OFFSET(tblCountries!$T$3:$T$52,0,O$11,120,1),$A19)=0,"",$E19)</f>
        <v/>
      </c>
      <c r="P19" t="str" cm="1">
        <f t="array" aca="1" ref="P19" ca="1">IF(INDEX(OFFSET(tblCountries!$T$3:$T$52,0,P$11,120,1),$A19)=0,"",$E19)</f>
        <v/>
      </c>
      <c r="Q19" t="str" cm="1">
        <f t="array" aca="1" ref="Q19" ca="1">IF(INDEX(OFFSET(tblCountries!$T$3:$T$52,0,Q$11,120,1),$A19)=0,"",$E19)</f>
        <v/>
      </c>
      <c r="R19" t="str" cm="1">
        <f t="array" aca="1" ref="R19" ca="1">IF(INDEX(OFFSET(tblCountries!$T$3:$T$52,0,R$11,120,1),$A19)=0,"",$E19)</f>
        <v/>
      </c>
      <c r="S19" t="str" cm="1">
        <f t="array" aca="1" ref="S19" ca="1">IF(INDEX(OFFSET(tblCountries!$T$3:$T$52,0,S$11,120,1),$A19)=0,"",$E19)</f>
        <v/>
      </c>
      <c r="T19" t="str" cm="1">
        <f t="array" aca="1" ref="T19" ca="1">IF(INDEX(OFFSET(tblCountries!$T$3:$T$52,0,T$11,120,1),$A19)=0,"",$E19)</f>
        <v/>
      </c>
      <c r="U19" t="str" cm="1">
        <f t="array" aca="1" ref="U19" ca="1">IF(INDEX(OFFSET(tblCountries!$T$3:$T$52,0,U$11,120,1),$A19)=0,"",$E19)</f>
        <v/>
      </c>
      <c r="V19" t="str" cm="1">
        <f t="array" aca="1" ref="V19" ca="1">IF(INDEX(OFFSET(tblCountries!$T$3:$T$52,0,V$11,120,1),$A19)=0,"",$E19)</f>
        <v/>
      </c>
      <c r="W19" t="str" cm="1">
        <f t="array" aca="1" ref="W19" ca="1">IF(INDEX(OFFSET(tblCountries!$T$3:$T$52,0,W$11,120,1),$A19)=0,"",$E19)</f>
        <v/>
      </c>
      <c r="X19" t="str" cm="1">
        <f t="array" aca="1" ref="X19" ca="1">IF(INDEX(OFFSET(tblCountries!$T$3:$T$52,0,X$11,120,1),$A19)=0,"",$E19)</f>
        <v/>
      </c>
      <c r="Y19" t="str" cm="1">
        <f t="array" aca="1" ref="Y19" ca="1">IF(INDEX(OFFSET(tblCountries!$T$3:$T$52,0,Y$11,120,1),$A19)=0,"",$E19)</f>
        <v/>
      </c>
      <c r="Z19" t="str" cm="1">
        <f t="array" aca="1" ref="Z19" ca="1">IF(AND($C$3=1,NOT(ISNUMBER(INDEX(auto_DataFlat_DataValue,$AA19,$B$4)))),"EXCLUDE","")</f>
        <v/>
      </c>
      <c r="AA19" cm="1">
        <f t="array" aca="1" ref="AA19" ca="1">INDEX(sys_DataFlat_LU_Grid,$B$3,$A19)</f>
        <v>67</v>
      </c>
      <c r="AB19" cm="1">
        <f t="array" aca="1" ref="AB19" ca="1">IF(Z19="EXCLUDE","n/a",IF($B$7="DATA",INDEX(auto_DataFlat_DataValue,$AA19,$B$4),INDEX(auto_DataFlat_Score,$AA19,$B$4)))</f>
        <v>89.6</v>
      </c>
      <c r="AC19" t="str" cm="1">
        <f t="array" aca="1" ref="AC19" ca="1">IF(INDEX(OFFSET(tblCountries!$T$3:$T$52,0,AC$11,120,1),$A19)=0,"",$AB19)</f>
        <v/>
      </c>
      <c r="AD19" t="str" cm="1">
        <f t="array" aca="1" ref="AD19" ca="1">IF(INDEX(OFFSET(tblCountries!$T$3:$T$52,0,AD$11,120,1),$A19)=0,"",$AB19)</f>
        <v/>
      </c>
      <c r="AE19" t="str" cm="1">
        <f t="array" aca="1" ref="AE19" ca="1">IF(INDEX(OFFSET(tblCountries!$T$3:$T$52,0,AE$11,120,1),$A19)=0,"",$AB19)</f>
        <v/>
      </c>
      <c r="AF19" cm="1">
        <f t="array" aca="1" ref="AF19" ca="1">IF(INDEX(OFFSET(tblCountries!$T$3:$T$52,0,AF$11,120,1),$A19)=0,"",$AB19)</f>
        <v>89.6</v>
      </c>
      <c r="AG19" t="str" cm="1">
        <f t="array" aca="1" ref="AG19" ca="1">IF(INDEX(OFFSET(tblCountries!$T$3:$T$52,0,AG$11,120,1),$A19)=0,"",$AB19)</f>
        <v/>
      </c>
      <c r="AH19" t="str" cm="1">
        <f t="array" aca="1" ref="AH19" ca="1">IF(INDEX(OFFSET(tblCountries!$T$3:$T$52,0,AH$11,120,1),$A19)=0,"",$AB19)</f>
        <v/>
      </c>
      <c r="AI19" t="str" cm="1">
        <f t="array" aca="1" ref="AI19" ca="1">IF(INDEX(OFFSET(tblCountries!$T$3:$T$52,0,AI$11,120,1),$A19)=0,"",$AB19)</f>
        <v/>
      </c>
      <c r="AJ19" t="str" cm="1">
        <f t="array" aca="1" ref="AJ19" ca="1">IF(INDEX(OFFSET(tblCountries!$T$3:$T$52,0,AJ$11,120,1),$A19)=0,"",$AB19)</f>
        <v/>
      </c>
      <c r="AK19" cm="1">
        <f t="array" aca="1" ref="AK19" ca="1">IF(INDEX(OFFSET(tblCountries!$T$3:$T$52,0,AK$11,120,1),$A19)=0,"",$AB19)</f>
        <v>89.6</v>
      </c>
      <c r="AL19" t="str" cm="1">
        <f t="array" aca="1" ref="AL19" ca="1">IF(INDEX(OFFSET(tblCountries!$T$3:$T$52,0,AL$11,120,1),$A19)=0,"",$AB19)</f>
        <v/>
      </c>
      <c r="AM19" t="str" cm="1">
        <f t="array" aca="1" ref="AM19" ca="1">IF(INDEX(OFFSET(tblCountries!$T$3:$T$52,0,AM$11,120,1),$A19)=0,"",$AB19)</f>
        <v/>
      </c>
      <c r="AN19" t="str" cm="1">
        <f t="array" aca="1" ref="AN19" ca="1">IF(INDEX(OFFSET(tblCountries!$T$3:$T$52,0,AN$11,120,1),$A19)=0,"",$AB19)</f>
        <v/>
      </c>
      <c r="AO19" t="str" cm="1">
        <f t="array" aca="1" ref="AO19" ca="1">IF(INDEX(OFFSET(tblCountries!$T$3:$T$52,0,AO$11,120,1),$A19)=0,"",$AB19)</f>
        <v/>
      </c>
      <c r="AP19" t="str" cm="1">
        <f t="array" aca="1" ref="AP19" ca="1">IF(INDEX(OFFSET(tblCountries!$T$3:$T$52,0,AP$11,120,1),$A19)=0,"",$AB19)</f>
        <v/>
      </c>
      <c r="AQ19" t="str" cm="1">
        <f t="array" aca="1" ref="AQ19" ca="1">IF(INDEX(OFFSET(tblCountries!$T$3:$T$52,0,AQ$11,120,1),$A19)=0,"",$AB19)</f>
        <v/>
      </c>
      <c r="AR19" t="str" cm="1">
        <f t="array" aca="1" ref="AR19" ca="1">IF(INDEX(OFFSET(tblCountries!$T$3:$T$52,0,AR$11,120,1),$A19)=0,"",$AB19)</f>
        <v/>
      </c>
      <c r="AS19" t="str" cm="1">
        <f t="array" aca="1" ref="AS19" ca="1">IF(INDEX(OFFSET(tblCountries!$T$3:$T$52,0,AS$11,120,1),$A19)=0,"",$AB19)</f>
        <v/>
      </c>
      <c r="AT19" t="str" cm="1">
        <f t="array" aca="1" ref="AT19" ca="1">IF(INDEX(OFFSET(tblCountries!$T$3:$T$52,0,AT$11,120,1),$A19)=0,"",$AB19)</f>
        <v/>
      </c>
      <c r="AU19" t="str" cm="1">
        <f t="array" aca="1" ref="AU19" ca="1">IF(INDEX(OFFSET(tblCountries!$T$3:$T$52,0,AU$11,120,1),$A19)=0,"",$AB19)</f>
        <v/>
      </c>
      <c r="AV19" t="str" cm="1">
        <f t="array" aca="1" ref="AV19" ca="1">IF(INDEX(OFFSET(tblCountries!$T$3:$T$52,0,AV$11,120,1),$A19)=0,"",$AB19)</f>
        <v/>
      </c>
      <c r="AZ19">
        <f t="shared" ca="1" si="9"/>
        <v>1</v>
      </c>
      <c r="BA19">
        <f t="shared" ca="1" si="10"/>
        <v>0</v>
      </c>
      <c r="BB19">
        <f t="shared" ca="1" si="11"/>
        <v>0</v>
      </c>
      <c r="BC19">
        <f t="shared" ca="1" si="12"/>
        <v>0</v>
      </c>
      <c r="BD19">
        <f t="shared" ca="1" si="13"/>
        <v>1</v>
      </c>
      <c r="BE19">
        <f t="shared" ca="1" si="14"/>
        <v>0</v>
      </c>
      <c r="BF19">
        <f t="shared" ca="1" si="15"/>
        <v>0</v>
      </c>
      <c r="BG19">
        <f t="shared" ca="1" si="16"/>
        <v>0</v>
      </c>
      <c r="BH19">
        <f t="shared" ca="1" si="17"/>
        <v>0</v>
      </c>
      <c r="BI19">
        <f t="shared" ca="1" si="18"/>
        <v>1</v>
      </c>
      <c r="BJ19">
        <f t="shared" ca="1" si="19"/>
        <v>0</v>
      </c>
    </row>
    <row r="20" spans="1:62" x14ac:dyDescent="0.4">
      <c r="A20">
        <v>8</v>
      </c>
      <c r="B20" t="str">
        <f>tblCountries!H10</f>
        <v>Bogotá, Colombia</v>
      </c>
      <c r="C20" t="str" cm="1">
        <f t="array" aca="1" ref="C20" ca="1">IF(AND($C$2=1,NOT(ISNUMBER(INDEX(auto_DataFlat_DataValue,$D20,$B$4)))),"EXCLUDE","")</f>
        <v/>
      </c>
      <c r="D20" cm="1">
        <f t="array" aca="1" ref="D20" ca="1">INDEX(sys_DataFlat_LU_Grid,$B$2,$A20)</f>
        <v>8</v>
      </c>
      <c r="E20" cm="1">
        <f t="array" aca="1" ref="E20" ca="1">IF(C20="EXCLUDE","n/a",IF($B$6="DATA",INDEX(auto_DataFlat_DataValue,$D20,$B$4),INDEX(auto_DataFlat_Score,$D20,$B$4)))</f>
        <v>69.7</v>
      </c>
      <c r="F20" t="str" cm="1">
        <f t="array" aca="1" ref="F20" ca="1">IF(INDEX(OFFSET(tblCountries!$T$3:$T$52,0,F$11,120,1),$A20)=0,"",$E20)</f>
        <v/>
      </c>
      <c r="G20" cm="1">
        <f t="array" aca="1" ref="G20" ca="1">IF(INDEX(OFFSET(tblCountries!$T$3:$T$52,0,G$11,120,1),$A20)=0,"",$E20)</f>
        <v>69.7</v>
      </c>
      <c r="H20" t="str" cm="1">
        <f t="array" aca="1" ref="H20" ca="1">IF(INDEX(OFFSET(tblCountries!$T$3:$T$52,0,H$11,120,1),$A20)=0,"",$E20)</f>
        <v/>
      </c>
      <c r="I20" t="str" cm="1">
        <f t="array" aca="1" ref="I20" ca="1">IF(INDEX(OFFSET(tblCountries!$T$3:$T$52,0,I$11,120,1),$A20)=0,"",$E20)</f>
        <v/>
      </c>
      <c r="J20" t="str" cm="1">
        <f t="array" aca="1" ref="J20" ca="1">IF(INDEX(OFFSET(tblCountries!$T$3:$T$52,0,J$11,120,1),$A20)=0,"",$E20)</f>
        <v/>
      </c>
      <c r="K20" t="str" cm="1">
        <f t="array" aca="1" ref="K20" ca="1">IF(INDEX(OFFSET(tblCountries!$T$3:$T$52,0,K$11,120,1),$A20)=0,"",$E20)</f>
        <v/>
      </c>
      <c r="L20" t="str" cm="1">
        <f t="array" aca="1" ref="L20" ca="1">IF(INDEX(OFFSET(tblCountries!$T$3:$T$52,0,L$11,120,1),$A20)=0,"",$E20)</f>
        <v/>
      </c>
      <c r="M20" cm="1">
        <f t="array" aca="1" ref="M20" ca="1">IF(INDEX(OFFSET(tblCountries!$T$3:$T$52,0,M$11,120,1),$A20)=0,"",$E20)</f>
        <v>69.7</v>
      </c>
      <c r="N20" t="str" cm="1">
        <f t="array" aca="1" ref="N20" ca="1">IF(INDEX(OFFSET(tblCountries!$T$3:$T$52,0,N$11,120,1),$A20)=0,"",$E20)</f>
        <v/>
      </c>
      <c r="O20" t="str" cm="1">
        <f t="array" aca="1" ref="O20" ca="1">IF(INDEX(OFFSET(tblCountries!$T$3:$T$52,0,O$11,120,1),$A20)=0,"",$E20)</f>
        <v/>
      </c>
      <c r="P20" t="str" cm="1">
        <f t="array" aca="1" ref="P20" ca="1">IF(INDEX(OFFSET(tblCountries!$T$3:$T$52,0,P$11,120,1),$A20)=0,"",$E20)</f>
        <v/>
      </c>
      <c r="Q20" t="str" cm="1">
        <f t="array" aca="1" ref="Q20" ca="1">IF(INDEX(OFFSET(tblCountries!$T$3:$T$52,0,Q$11,120,1),$A20)=0,"",$E20)</f>
        <v/>
      </c>
      <c r="R20" t="str" cm="1">
        <f t="array" aca="1" ref="R20" ca="1">IF(INDEX(OFFSET(tblCountries!$T$3:$T$52,0,R$11,120,1),$A20)=0,"",$E20)</f>
        <v/>
      </c>
      <c r="S20" t="str" cm="1">
        <f t="array" aca="1" ref="S20" ca="1">IF(INDEX(OFFSET(tblCountries!$T$3:$T$52,0,S$11,120,1),$A20)=0,"",$E20)</f>
        <v/>
      </c>
      <c r="T20" t="str" cm="1">
        <f t="array" aca="1" ref="T20" ca="1">IF(INDEX(OFFSET(tblCountries!$T$3:$T$52,0,T$11,120,1),$A20)=0,"",$E20)</f>
        <v/>
      </c>
      <c r="U20" t="str" cm="1">
        <f t="array" aca="1" ref="U20" ca="1">IF(INDEX(OFFSET(tblCountries!$T$3:$T$52,0,U$11,120,1),$A20)=0,"",$E20)</f>
        <v/>
      </c>
      <c r="V20" t="str" cm="1">
        <f t="array" aca="1" ref="V20" ca="1">IF(INDEX(OFFSET(tblCountries!$T$3:$T$52,0,V$11,120,1),$A20)=0,"",$E20)</f>
        <v/>
      </c>
      <c r="W20" t="str" cm="1">
        <f t="array" aca="1" ref="W20" ca="1">IF(INDEX(OFFSET(tblCountries!$T$3:$T$52,0,W$11,120,1),$A20)=0,"",$E20)</f>
        <v/>
      </c>
      <c r="X20" t="str" cm="1">
        <f t="array" aca="1" ref="X20" ca="1">IF(INDEX(OFFSET(tblCountries!$T$3:$T$52,0,X$11,120,1),$A20)=0,"",$E20)</f>
        <v/>
      </c>
      <c r="Y20" t="str" cm="1">
        <f t="array" aca="1" ref="Y20" ca="1">IF(INDEX(OFFSET(tblCountries!$T$3:$T$52,0,Y$11,120,1),$A20)=0,"",$E20)</f>
        <v/>
      </c>
      <c r="Z20" t="str" cm="1">
        <f t="array" aca="1" ref="Z20" ca="1">IF(AND($C$3=1,NOT(ISNUMBER(INDEX(auto_DataFlat_DataValue,$AA20,$B$4)))),"EXCLUDE","")</f>
        <v/>
      </c>
      <c r="AA20" cm="1">
        <f t="array" aca="1" ref="AA20" ca="1">INDEX(sys_DataFlat_LU_Grid,$B$3,$A20)</f>
        <v>68</v>
      </c>
      <c r="AB20" cm="1">
        <f t="array" aca="1" ref="AB20" ca="1">IF(Z20="EXCLUDE","n/a",IF($B$7="DATA",INDEX(auto_DataFlat_DataValue,$AA20,$B$4),INDEX(auto_DataFlat_Score,$AA20,$B$4)))</f>
        <v>68.900000000000006</v>
      </c>
      <c r="AC20" t="str" cm="1">
        <f t="array" aca="1" ref="AC20" ca="1">IF(INDEX(OFFSET(tblCountries!$T$3:$T$52,0,AC$11,120,1),$A20)=0,"",$AB20)</f>
        <v/>
      </c>
      <c r="AD20" cm="1">
        <f t="array" aca="1" ref="AD20" ca="1">IF(INDEX(OFFSET(tblCountries!$T$3:$T$52,0,AD$11,120,1),$A20)=0,"",$AB20)</f>
        <v>68.900000000000006</v>
      </c>
      <c r="AE20" t="str" cm="1">
        <f t="array" aca="1" ref="AE20" ca="1">IF(INDEX(OFFSET(tblCountries!$T$3:$T$52,0,AE$11,120,1),$A20)=0,"",$AB20)</f>
        <v/>
      </c>
      <c r="AF20" t="str" cm="1">
        <f t="array" aca="1" ref="AF20" ca="1">IF(INDEX(OFFSET(tblCountries!$T$3:$T$52,0,AF$11,120,1),$A20)=0,"",$AB20)</f>
        <v/>
      </c>
      <c r="AG20" t="str" cm="1">
        <f t="array" aca="1" ref="AG20" ca="1">IF(INDEX(OFFSET(tblCountries!$T$3:$T$52,0,AG$11,120,1),$A20)=0,"",$AB20)</f>
        <v/>
      </c>
      <c r="AH20" t="str" cm="1">
        <f t="array" aca="1" ref="AH20" ca="1">IF(INDEX(OFFSET(tblCountries!$T$3:$T$52,0,AH$11,120,1),$A20)=0,"",$AB20)</f>
        <v/>
      </c>
      <c r="AI20" t="str" cm="1">
        <f t="array" aca="1" ref="AI20" ca="1">IF(INDEX(OFFSET(tblCountries!$T$3:$T$52,0,AI$11,120,1),$A20)=0,"",$AB20)</f>
        <v/>
      </c>
      <c r="AJ20" cm="1">
        <f t="array" aca="1" ref="AJ20" ca="1">IF(INDEX(OFFSET(tblCountries!$T$3:$T$52,0,AJ$11,120,1),$A20)=0,"",$AB20)</f>
        <v>68.900000000000006</v>
      </c>
      <c r="AK20" t="str" cm="1">
        <f t="array" aca="1" ref="AK20" ca="1">IF(INDEX(OFFSET(tblCountries!$T$3:$T$52,0,AK$11,120,1),$A20)=0,"",$AB20)</f>
        <v/>
      </c>
      <c r="AL20" t="str" cm="1">
        <f t="array" aca="1" ref="AL20" ca="1">IF(INDEX(OFFSET(tblCountries!$T$3:$T$52,0,AL$11,120,1),$A20)=0,"",$AB20)</f>
        <v/>
      </c>
      <c r="AM20" t="str" cm="1">
        <f t="array" aca="1" ref="AM20" ca="1">IF(INDEX(OFFSET(tblCountries!$T$3:$T$52,0,AM$11,120,1),$A20)=0,"",$AB20)</f>
        <v/>
      </c>
      <c r="AN20" t="str" cm="1">
        <f t="array" aca="1" ref="AN20" ca="1">IF(INDEX(OFFSET(tblCountries!$T$3:$T$52,0,AN$11,120,1),$A20)=0,"",$AB20)</f>
        <v/>
      </c>
      <c r="AO20" t="str" cm="1">
        <f t="array" aca="1" ref="AO20" ca="1">IF(INDEX(OFFSET(tblCountries!$T$3:$T$52,0,AO$11,120,1),$A20)=0,"",$AB20)</f>
        <v/>
      </c>
      <c r="AP20" t="str" cm="1">
        <f t="array" aca="1" ref="AP20" ca="1">IF(INDEX(OFFSET(tblCountries!$T$3:$T$52,0,AP$11,120,1),$A20)=0,"",$AB20)</f>
        <v/>
      </c>
      <c r="AQ20" t="str" cm="1">
        <f t="array" aca="1" ref="AQ20" ca="1">IF(INDEX(OFFSET(tblCountries!$T$3:$T$52,0,AQ$11,120,1),$A20)=0,"",$AB20)</f>
        <v/>
      </c>
      <c r="AR20" t="str" cm="1">
        <f t="array" aca="1" ref="AR20" ca="1">IF(INDEX(OFFSET(tblCountries!$T$3:$T$52,0,AR$11,120,1),$A20)=0,"",$AB20)</f>
        <v/>
      </c>
      <c r="AS20" t="str" cm="1">
        <f t="array" aca="1" ref="AS20" ca="1">IF(INDEX(OFFSET(tblCountries!$T$3:$T$52,0,AS$11,120,1),$A20)=0,"",$AB20)</f>
        <v/>
      </c>
      <c r="AT20" t="str" cm="1">
        <f t="array" aca="1" ref="AT20" ca="1">IF(INDEX(OFFSET(tblCountries!$T$3:$T$52,0,AT$11,120,1),$A20)=0,"",$AB20)</f>
        <v/>
      </c>
      <c r="AU20" t="str" cm="1">
        <f t="array" aca="1" ref="AU20" ca="1">IF(INDEX(OFFSET(tblCountries!$T$3:$T$52,0,AU$11,120,1),$A20)=0,"",$AB20)</f>
        <v/>
      </c>
      <c r="AV20" t="str" cm="1">
        <f t="array" aca="1" ref="AV20" ca="1">IF(INDEX(OFFSET(tblCountries!$T$3:$T$52,0,AV$11,120,1),$A20)=0,"",$AB20)</f>
        <v/>
      </c>
      <c r="AZ20">
        <f t="shared" ca="1" si="9"/>
        <v>1</v>
      </c>
      <c r="BA20">
        <f t="shared" ca="1" si="10"/>
        <v>0</v>
      </c>
      <c r="BB20">
        <f t="shared" ca="1" si="11"/>
        <v>1</v>
      </c>
      <c r="BC20">
        <f t="shared" ca="1" si="12"/>
        <v>0</v>
      </c>
      <c r="BD20">
        <f t="shared" ca="1" si="13"/>
        <v>0</v>
      </c>
      <c r="BE20">
        <f t="shared" ca="1" si="14"/>
        <v>0</v>
      </c>
      <c r="BF20">
        <f t="shared" ca="1" si="15"/>
        <v>0</v>
      </c>
      <c r="BG20">
        <f t="shared" ca="1" si="16"/>
        <v>0</v>
      </c>
      <c r="BH20">
        <f t="shared" ca="1" si="17"/>
        <v>1</v>
      </c>
      <c r="BI20">
        <f t="shared" ca="1" si="18"/>
        <v>0</v>
      </c>
      <c r="BJ20">
        <f t="shared" ca="1" si="19"/>
        <v>0</v>
      </c>
    </row>
    <row r="21" spans="1:62" x14ac:dyDescent="0.4">
      <c r="A21">
        <v>9</v>
      </c>
      <c r="B21" t="str">
        <f>tblCountries!H11</f>
        <v>Budapest, Hungary</v>
      </c>
      <c r="C21" t="str" cm="1">
        <f t="array" aca="1" ref="C21" ca="1">IF(AND($C$2=1,NOT(ISNUMBER(INDEX(auto_DataFlat_DataValue,$D21,$B$4)))),"EXCLUDE","")</f>
        <v/>
      </c>
      <c r="D21" cm="1">
        <f t="array" aca="1" ref="D21" ca="1">INDEX(sys_DataFlat_LU_Grid,$B$2,$A21)</f>
        <v>9</v>
      </c>
      <c r="E21" cm="1">
        <f t="array" aca="1" ref="E21" ca="1">IF(C21="EXCLUDE","n/a",IF($B$6="DATA",INDEX(auto_DataFlat_DataValue,$D21,$B$4),INDEX(auto_DataFlat_Score,$D21,$B$4)))</f>
        <v>69.5</v>
      </c>
      <c r="F21" t="str" cm="1">
        <f t="array" aca="1" ref="F21" ca="1">IF(INDEX(OFFSET(tblCountries!$T$3:$T$52,0,F$11,120,1),$A21)=0,"",$E21)</f>
        <v/>
      </c>
      <c r="G21" t="str" cm="1">
        <f t="array" aca="1" ref="G21" ca="1">IF(INDEX(OFFSET(tblCountries!$T$3:$T$52,0,G$11,120,1),$A21)=0,"",$E21)</f>
        <v/>
      </c>
      <c r="H21" t="str" cm="1">
        <f t="array" aca="1" ref="H21" ca="1">IF(INDEX(OFFSET(tblCountries!$T$3:$T$52,0,H$11,120,1),$A21)=0,"",$E21)</f>
        <v/>
      </c>
      <c r="I21" cm="1">
        <f t="array" aca="1" ref="I21" ca="1">IF(INDEX(OFFSET(tblCountries!$T$3:$T$52,0,I$11,120,1),$A21)=0,"",$E21)</f>
        <v>69.5</v>
      </c>
      <c r="J21" t="str" cm="1">
        <f t="array" aca="1" ref="J21" ca="1">IF(INDEX(OFFSET(tblCountries!$T$3:$T$52,0,J$11,120,1),$A21)=0,"",$E21)</f>
        <v/>
      </c>
      <c r="K21" t="str" cm="1">
        <f t="array" aca="1" ref="K21" ca="1">IF(INDEX(OFFSET(tblCountries!$T$3:$T$52,0,K$11,120,1),$A21)=0,"",$E21)</f>
        <v/>
      </c>
      <c r="L21" t="str" cm="1">
        <f t="array" aca="1" ref="L21" ca="1">IF(INDEX(OFFSET(tblCountries!$T$3:$T$52,0,L$11,120,1),$A21)=0,"",$E21)</f>
        <v/>
      </c>
      <c r="M21" t="str" cm="1">
        <f t="array" aca="1" ref="M21" ca="1">IF(INDEX(OFFSET(tblCountries!$T$3:$T$52,0,M$11,120,1),$A21)=0,"",$E21)</f>
        <v/>
      </c>
      <c r="N21" cm="1">
        <f t="array" aca="1" ref="N21" ca="1">IF(INDEX(OFFSET(tblCountries!$T$3:$T$52,0,N$11,120,1),$A21)=0,"",$E21)</f>
        <v>69.5</v>
      </c>
      <c r="O21" t="str" cm="1">
        <f t="array" aca="1" ref="O21" ca="1">IF(INDEX(OFFSET(tblCountries!$T$3:$T$52,0,O$11,120,1),$A21)=0,"",$E21)</f>
        <v/>
      </c>
      <c r="P21" t="str" cm="1">
        <f t="array" aca="1" ref="P21" ca="1">IF(INDEX(OFFSET(tblCountries!$T$3:$T$52,0,P$11,120,1),$A21)=0,"",$E21)</f>
        <v/>
      </c>
      <c r="Q21" t="str" cm="1">
        <f t="array" aca="1" ref="Q21" ca="1">IF(INDEX(OFFSET(tblCountries!$T$3:$T$52,0,Q$11,120,1),$A21)=0,"",$E21)</f>
        <v/>
      </c>
      <c r="R21" t="str" cm="1">
        <f t="array" aca="1" ref="R21" ca="1">IF(INDEX(OFFSET(tblCountries!$T$3:$T$52,0,R$11,120,1),$A21)=0,"",$E21)</f>
        <v/>
      </c>
      <c r="S21" t="str" cm="1">
        <f t="array" aca="1" ref="S21" ca="1">IF(INDEX(OFFSET(tblCountries!$T$3:$T$52,0,S$11,120,1),$A21)=0,"",$E21)</f>
        <v/>
      </c>
      <c r="T21" t="str" cm="1">
        <f t="array" aca="1" ref="T21" ca="1">IF(INDEX(OFFSET(tblCountries!$T$3:$T$52,0,T$11,120,1),$A21)=0,"",$E21)</f>
        <v/>
      </c>
      <c r="U21" t="str" cm="1">
        <f t="array" aca="1" ref="U21" ca="1">IF(INDEX(OFFSET(tblCountries!$T$3:$T$52,0,U$11,120,1),$A21)=0,"",$E21)</f>
        <v/>
      </c>
      <c r="V21" t="str" cm="1">
        <f t="array" aca="1" ref="V21" ca="1">IF(INDEX(OFFSET(tblCountries!$T$3:$T$52,0,V$11,120,1),$A21)=0,"",$E21)</f>
        <v/>
      </c>
      <c r="W21" t="str" cm="1">
        <f t="array" aca="1" ref="W21" ca="1">IF(INDEX(OFFSET(tblCountries!$T$3:$T$52,0,W$11,120,1),$A21)=0,"",$E21)</f>
        <v/>
      </c>
      <c r="X21" t="str" cm="1">
        <f t="array" aca="1" ref="X21" ca="1">IF(INDEX(OFFSET(tblCountries!$T$3:$T$52,0,X$11,120,1),$A21)=0,"",$E21)</f>
        <v/>
      </c>
      <c r="Y21" t="str" cm="1">
        <f t="array" aca="1" ref="Y21" ca="1">IF(INDEX(OFFSET(tblCountries!$T$3:$T$52,0,Y$11,120,1),$A21)=0,"",$E21)</f>
        <v/>
      </c>
      <c r="Z21" t="str" cm="1">
        <f t="array" aca="1" ref="Z21" ca="1">IF(AND($C$3=1,NOT(ISNUMBER(INDEX(auto_DataFlat_DataValue,$AA21,$B$4)))),"EXCLUDE","")</f>
        <v/>
      </c>
      <c r="AA21" cm="1">
        <f t="array" aca="1" ref="AA21" ca="1">INDEX(sys_DataFlat_LU_Grid,$B$3,$A21)</f>
        <v>69</v>
      </c>
      <c r="AB21" cm="1">
        <f t="array" aca="1" ref="AB21" ca="1">IF(Z21="EXCLUDE","n/a",IF($B$7="DATA",INDEX(auto_DataFlat_DataValue,$AA21,$B$4),INDEX(auto_DataFlat_Score,$AA21,$B$4)))</f>
        <v>85.6</v>
      </c>
      <c r="AC21" t="str" cm="1">
        <f t="array" aca="1" ref="AC21" ca="1">IF(INDEX(OFFSET(tblCountries!$T$3:$T$52,0,AC$11,120,1),$A21)=0,"",$AB21)</f>
        <v/>
      </c>
      <c r="AD21" t="str" cm="1">
        <f t="array" aca="1" ref="AD21" ca="1">IF(INDEX(OFFSET(tblCountries!$T$3:$T$52,0,AD$11,120,1),$A21)=0,"",$AB21)</f>
        <v/>
      </c>
      <c r="AE21" t="str" cm="1">
        <f t="array" aca="1" ref="AE21" ca="1">IF(INDEX(OFFSET(tblCountries!$T$3:$T$52,0,AE$11,120,1),$A21)=0,"",$AB21)</f>
        <v/>
      </c>
      <c r="AF21" cm="1">
        <f t="array" aca="1" ref="AF21" ca="1">IF(INDEX(OFFSET(tblCountries!$T$3:$T$52,0,AF$11,120,1),$A21)=0,"",$AB21)</f>
        <v>85.6</v>
      </c>
      <c r="AG21" t="str" cm="1">
        <f t="array" aca="1" ref="AG21" ca="1">IF(INDEX(OFFSET(tblCountries!$T$3:$T$52,0,AG$11,120,1),$A21)=0,"",$AB21)</f>
        <v/>
      </c>
      <c r="AH21" t="str" cm="1">
        <f t="array" aca="1" ref="AH21" ca="1">IF(INDEX(OFFSET(tblCountries!$T$3:$T$52,0,AH$11,120,1),$A21)=0,"",$AB21)</f>
        <v/>
      </c>
      <c r="AI21" t="str" cm="1">
        <f t="array" aca="1" ref="AI21" ca="1">IF(INDEX(OFFSET(tblCountries!$T$3:$T$52,0,AI$11,120,1),$A21)=0,"",$AB21)</f>
        <v/>
      </c>
      <c r="AJ21" t="str" cm="1">
        <f t="array" aca="1" ref="AJ21" ca="1">IF(INDEX(OFFSET(tblCountries!$T$3:$T$52,0,AJ$11,120,1),$A21)=0,"",$AB21)</f>
        <v/>
      </c>
      <c r="AK21" cm="1">
        <f t="array" aca="1" ref="AK21" ca="1">IF(INDEX(OFFSET(tblCountries!$T$3:$T$52,0,AK$11,120,1),$A21)=0,"",$AB21)</f>
        <v>85.6</v>
      </c>
      <c r="AL21" t="str" cm="1">
        <f t="array" aca="1" ref="AL21" ca="1">IF(INDEX(OFFSET(tblCountries!$T$3:$T$52,0,AL$11,120,1),$A21)=0,"",$AB21)</f>
        <v/>
      </c>
      <c r="AM21" t="str" cm="1">
        <f t="array" aca="1" ref="AM21" ca="1">IF(INDEX(OFFSET(tblCountries!$T$3:$T$52,0,AM$11,120,1),$A21)=0,"",$AB21)</f>
        <v/>
      </c>
      <c r="AN21" t="str" cm="1">
        <f t="array" aca="1" ref="AN21" ca="1">IF(INDEX(OFFSET(tblCountries!$T$3:$T$52,0,AN$11,120,1),$A21)=0,"",$AB21)</f>
        <v/>
      </c>
      <c r="AO21" t="str" cm="1">
        <f t="array" aca="1" ref="AO21" ca="1">IF(INDEX(OFFSET(tblCountries!$T$3:$T$52,0,AO$11,120,1),$A21)=0,"",$AB21)</f>
        <v/>
      </c>
      <c r="AP21" t="str" cm="1">
        <f t="array" aca="1" ref="AP21" ca="1">IF(INDEX(OFFSET(tblCountries!$T$3:$T$52,0,AP$11,120,1),$A21)=0,"",$AB21)</f>
        <v/>
      </c>
      <c r="AQ21" t="str" cm="1">
        <f t="array" aca="1" ref="AQ21" ca="1">IF(INDEX(OFFSET(tblCountries!$T$3:$T$52,0,AQ$11,120,1),$A21)=0,"",$AB21)</f>
        <v/>
      </c>
      <c r="AR21" t="str" cm="1">
        <f t="array" aca="1" ref="AR21" ca="1">IF(INDEX(OFFSET(tblCountries!$T$3:$T$52,0,AR$11,120,1),$A21)=0,"",$AB21)</f>
        <v/>
      </c>
      <c r="AS21" t="str" cm="1">
        <f t="array" aca="1" ref="AS21" ca="1">IF(INDEX(OFFSET(tblCountries!$T$3:$T$52,0,AS$11,120,1),$A21)=0,"",$AB21)</f>
        <v/>
      </c>
      <c r="AT21" t="str" cm="1">
        <f t="array" aca="1" ref="AT21" ca="1">IF(INDEX(OFFSET(tblCountries!$T$3:$T$52,0,AT$11,120,1),$A21)=0,"",$AB21)</f>
        <v/>
      </c>
      <c r="AU21" t="str" cm="1">
        <f t="array" aca="1" ref="AU21" ca="1">IF(INDEX(OFFSET(tblCountries!$T$3:$T$52,0,AU$11,120,1),$A21)=0,"",$AB21)</f>
        <v/>
      </c>
      <c r="AV21" t="str" cm="1">
        <f t="array" aca="1" ref="AV21" ca="1">IF(INDEX(OFFSET(tblCountries!$T$3:$T$52,0,AV$11,120,1),$A21)=0,"",$AB21)</f>
        <v/>
      </c>
      <c r="AZ21">
        <f t="shared" ca="1" si="9"/>
        <v>1</v>
      </c>
      <c r="BA21">
        <f t="shared" ca="1" si="10"/>
        <v>0</v>
      </c>
      <c r="BB21">
        <f t="shared" ca="1" si="11"/>
        <v>0</v>
      </c>
      <c r="BC21">
        <f t="shared" ca="1" si="12"/>
        <v>0</v>
      </c>
      <c r="BD21">
        <f t="shared" ca="1" si="13"/>
        <v>1</v>
      </c>
      <c r="BE21">
        <f t="shared" ca="1" si="14"/>
        <v>0</v>
      </c>
      <c r="BF21">
        <f t="shared" ca="1" si="15"/>
        <v>0</v>
      </c>
      <c r="BG21">
        <f t="shared" ca="1" si="16"/>
        <v>0</v>
      </c>
      <c r="BH21">
        <f t="shared" ca="1" si="17"/>
        <v>0</v>
      </c>
      <c r="BI21">
        <f t="shared" ca="1" si="18"/>
        <v>1</v>
      </c>
      <c r="BJ21">
        <f t="shared" ca="1" si="19"/>
        <v>0</v>
      </c>
    </row>
    <row r="22" spans="1:62" x14ac:dyDescent="0.4">
      <c r="A22">
        <v>10</v>
      </c>
      <c r="B22" t="str">
        <f>tblCountries!H12</f>
        <v>Cairo, Egypt</v>
      </c>
      <c r="C22" t="str" cm="1">
        <f t="array" aca="1" ref="C22" ca="1">IF(AND($C$2=1,NOT(ISNUMBER(INDEX(auto_DataFlat_DataValue,$D22,$B$4)))),"EXCLUDE","")</f>
        <v/>
      </c>
      <c r="D22" cm="1">
        <f t="array" aca="1" ref="D22" ca="1">INDEX(sys_DataFlat_LU_Grid,$B$2,$A22)</f>
        <v>10</v>
      </c>
      <c r="E22" cm="1">
        <f t="array" aca="1" ref="E22" ca="1">IF(C22="EXCLUDE","n/a",IF($B$6="DATA",INDEX(auto_DataFlat_DataValue,$D22,$B$4),INDEX(auto_DataFlat_Score,$D22,$B$4)))</f>
        <v>40.6</v>
      </c>
      <c r="F22" t="str" cm="1">
        <f t="array" aca="1" ref="F22" ca="1">IF(INDEX(OFFSET(tblCountries!$T$3:$T$52,0,F$11,120,1),$A22)=0,"",$E22)</f>
        <v/>
      </c>
      <c r="G22" t="str" cm="1">
        <f t="array" aca="1" ref="G22" ca="1">IF(INDEX(OFFSET(tblCountries!$T$3:$T$52,0,G$11,120,1),$A22)=0,"",$E22)</f>
        <v/>
      </c>
      <c r="H22" cm="1">
        <f t="array" aca="1" ref="H22" ca="1">IF(INDEX(OFFSET(tblCountries!$T$3:$T$52,0,H$11,120,1),$A22)=0,"",$E22)</f>
        <v>40.6</v>
      </c>
      <c r="I22" t="str" cm="1">
        <f t="array" aca="1" ref="I22" ca="1">IF(INDEX(OFFSET(tblCountries!$T$3:$T$52,0,I$11,120,1),$A22)=0,"",$E22)</f>
        <v/>
      </c>
      <c r="J22" t="str" cm="1">
        <f t="array" aca="1" ref="J22" ca="1">IF(INDEX(OFFSET(tblCountries!$T$3:$T$52,0,J$11,120,1),$A22)=0,"",$E22)</f>
        <v/>
      </c>
      <c r="K22" t="str" cm="1">
        <f t="array" aca="1" ref="K22" ca="1">IF(INDEX(OFFSET(tblCountries!$T$3:$T$52,0,K$11,120,1),$A22)=0,"",$E22)</f>
        <v/>
      </c>
      <c r="L22" cm="1">
        <f t="array" aca="1" ref="L22" ca="1">IF(INDEX(OFFSET(tblCountries!$T$3:$T$52,0,L$11,120,1),$A22)=0,"",$E22)</f>
        <v>40.6</v>
      </c>
      <c r="M22" t="str" cm="1">
        <f t="array" aca="1" ref="M22" ca="1">IF(INDEX(OFFSET(tblCountries!$T$3:$T$52,0,M$11,120,1),$A22)=0,"",$E22)</f>
        <v/>
      </c>
      <c r="N22" t="str" cm="1">
        <f t="array" aca="1" ref="N22" ca="1">IF(INDEX(OFFSET(tblCountries!$T$3:$T$52,0,N$11,120,1),$A22)=0,"",$E22)</f>
        <v/>
      </c>
      <c r="O22" t="str" cm="1">
        <f t="array" aca="1" ref="O22" ca="1">IF(INDEX(OFFSET(tblCountries!$T$3:$T$52,0,O$11,120,1),$A22)=0,"",$E22)</f>
        <v/>
      </c>
      <c r="P22" t="str" cm="1">
        <f t="array" aca="1" ref="P22" ca="1">IF(INDEX(OFFSET(tblCountries!$T$3:$T$52,0,P$11,120,1),$A22)=0,"",$E22)</f>
        <v/>
      </c>
      <c r="Q22" t="str" cm="1">
        <f t="array" aca="1" ref="Q22" ca="1">IF(INDEX(OFFSET(tblCountries!$T$3:$T$52,0,Q$11,120,1),$A22)=0,"",$E22)</f>
        <v/>
      </c>
      <c r="R22" t="str" cm="1">
        <f t="array" aca="1" ref="R22" ca="1">IF(INDEX(OFFSET(tblCountries!$T$3:$T$52,0,R$11,120,1),$A22)=0,"",$E22)</f>
        <v/>
      </c>
      <c r="S22" t="str" cm="1">
        <f t="array" aca="1" ref="S22" ca="1">IF(INDEX(OFFSET(tblCountries!$T$3:$T$52,0,S$11,120,1),$A22)=0,"",$E22)</f>
        <v/>
      </c>
      <c r="T22" t="str" cm="1">
        <f t="array" aca="1" ref="T22" ca="1">IF(INDEX(OFFSET(tblCountries!$T$3:$T$52,0,T$11,120,1),$A22)=0,"",$E22)</f>
        <v/>
      </c>
      <c r="U22" t="str" cm="1">
        <f t="array" aca="1" ref="U22" ca="1">IF(INDEX(OFFSET(tblCountries!$T$3:$T$52,0,U$11,120,1),$A22)=0,"",$E22)</f>
        <v/>
      </c>
      <c r="V22" t="str" cm="1">
        <f t="array" aca="1" ref="V22" ca="1">IF(INDEX(OFFSET(tblCountries!$T$3:$T$52,0,V$11,120,1),$A22)=0,"",$E22)</f>
        <v/>
      </c>
      <c r="W22" t="str" cm="1">
        <f t="array" aca="1" ref="W22" ca="1">IF(INDEX(OFFSET(tblCountries!$T$3:$T$52,0,W$11,120,1),$A22)=0,"",$E22)</f>
        <v/>
      </c>
      <c r="X22" t="str" cm="1">
        <f t="array" aca="1" ref="X22" ca="1">IF(INDEX(OFFSET(tblCountries!$T$3:$T$52,0,X$11,120,1),$A22)=0,"",$E22)</f>
        <v/>
      </c>
      <c r="Y22" t="str" cm="1">
        <f t="array" aca="1" ref="Y22" ca="1">IF(INDEX(OFFSET(tblCountries!$T$3:$T$52,0,Y$11,120,1),$A22)=0,"",$E22)</f>
        <v/>
      </c>
      <c r="Z22" t="str" cm="1">
        <f t="array" aca="1" ref="Z22" ca="1">IF(AND($C$3=1,NOT(ISNUMBER(INDEX(auto_DataFlat_DataValue,$AA22,$B$4)))),"EXCLUDE","")</f>
        <v/>
      </c>
      <c r="AA22" cm="1">
        <f t="array" aca="1" ref="AA22" ca="1">INDEX(sys_DataFlat_LU_Grid,$B$3,$A22)</f>
        <v>70</v>
      </c>
      <c r="AB22" cm="1">
        <f t="array" aca="1" ref="AB22" ca="1">IF(Z22="EXCLUDE","n/a",IF($B$7="DATA",INDEX(auto_DataFlat_DataValue,$AA22,$B$4),INDEX(auto_DataFlat_Score,$AA22,$B$4)))</f>
        <v>40.9</v>
      </c>
      <c r="AC22" t="str" cm="1">
        <f t="array" aca="1" ref="AC22" ca="1">IF(INDEX(OFFSET(tblCountries!$T$3:$T$52,0,AC$11,120,1),$A22)=0,"",$AB22)</f>
        <v/>
      </c>
      <c r="AD22" t="str" cm="1">
        <f t="array" aca="1" ref="AD22" ca="1">IF(INDEX(OFFSET(tblCountries!$T$3:$T$52,0,AD$11,120,1),$A22)=0,"",$AB22)</f>
        <v/>
      </c>
      <c r="AE22" cm="1">
        <f t="array" aca="1" ref="AE22" ca="1">IF(INDEX(OFFSET(tblCountries!$T$3:$T$52,0,AE$11,120,1),$A22)=0,"",$AB22)</f>
        <v>40.9</v>
      </c>
      <c r="AF22" t="str" cm="1">
        <f t="array" aca="1" ref="AF22" ca="1">IF(INDEX(OFFSET(tblCountries!$T$3:$T$52,0,AF$11,120,1),$A22)=0,"",$AB22)</f>
        <v/>
      </c>
      <c r="AG22" t="str" cm="1">
        <f t="array" aca="1" ref="AG22" ca="1">IF(INDEX(OFFSET(tblCountries!$T$3:$T$52,0,AG$11,120,1),$A22)=0,"",$AB22)</f>
        <v/>
      </c>
      <c r="AH22" t="str" cm="1">
        <f t="array" aca="1" ref="AH22" ca="1">IF(INDEX(OFFSET(tblCountries!$T$3:$T$52,0,AH$11,120,1),$A22)=0,"",$AB22)</f>
        <v/>
      </c>
      <c r="AI22" cm="1">
        <f t="array" aca="1" ref="AI22" ca="1">IF(INDEX(OFFSET(tblCountries!$T$3:$T$52,0,AI$11,120,1),$A22)=0,"",$AB22)</f>
        <v>40.9</v>
      </c>
      <c r="AJ22" t="str" cm="1">
        <f t="array" aca="1" ref="AJ22" ca="1">IF(INDEX(OFFSET(tblCountries!$T$3:$T$52,0,AJ$11,120,1),$A22)=0,"",$AB22)</f>
        <v/>
      </c>
      <c r="AK22" t="str" cm="1">
        <f t="array" aca="1" ref="AK22" ca="1">IF(INDEX(OFFSET(tblCountries!$T$3:$T$52,0,AK$11,120,1),$A22)=0,"",$AB22)</f>
        <v/>
      </c>
      <c r="AL22" t="str" cm="1">
        <f t="array" aca="1" ref="AL22" ca="1">IF(INDEX(OFFSET(tblCountries!$T$3:$T$52,0,AL$11,120,1),$A22)=0,"",$AB22)</f>
        <v/>
      </c>
      <c r="AM22" t="str" cm="1">
        <f t="array" aca="1" ref="AM22" ca="1">IF(INDEX(OFFSET(tblCountries!$T$3:$T$52,0,AM$11,120,1),$A22)=0,"",$AB22)</f>
        <v/>
      </c>
      <c r="AN22" t="str" cm="1">
        <f t="array" aca="1" ref="AN22" ca="1">IF(INDEX(OFFSET(tblCountries!$T$3:$T$52,0,AN$11,120,1),$A22)=0,"",$AB22)</f>
        <v/>
      </c>
      <c r="AO22" t="str" cm="1">
        <f t="array" aca="1" ref="AO22" ca="1">IF(INDEX(OFFSET(tblCountries!$T$3:$T$52,0,AO$11,120,1),$A22)=0,"",$AB22)</f>
        <v/>
      </c>
      <c r="AP22" t="str" cm="1">
        <f t="array" aca="1" ref="AP22" ca="1">IF(INDEX(OFFSET(tblCountries!$T$3:$T$52,0,AP$11,120,1),$A22)=0,"",$AB22)</f>
        <v/>
      </c>
      <c r="AQ22" t="str" cm="1">
        <f t="array" aca="1" ref="AQ22" ca="1">IF(INDEX(OFFSET(tblCountries!$T$3:$T$52,0,AQ$11,120,1),$A22)=0,"",$AB22)</f>
        <v/>
      </c>
      <c r="AR22" t="str" cm="1">
        <f t="array" aca="1" ref="AR22" ca="1">IF(INDEX(OFFSET(tblCountries!$T$3:$T$52,0,AR$11,120,1),$A22)=0,"",$AB22)</f>
        <v/>
      </c>
      <c r="AS22" t="str" cm="1">
        <f t="array" aca="1" ref="AS22" ca="1">IF(INDEX(OFFSET(tblCountries!$T$3:$T$52,0,AS$11,120,1),$A22)=0,"",$AB22)</f>
        <v/>
      </c>
      <c r="AT22" t="str" cm="1">
        <f t="array" aca="1" ref="AT22" ca="1">IF(INDEX(OFFSET(tblCountries!$T$3:$T$52,0,AT$11,120,1),$A22)=0,"",$AB22)</f>
        <v/>
      </c>
      <c r="AU22" t="str" cm="1">
        <f t="array" aca="1" ref="AU22" ca="1">IF(INDEX(OFFSET(tblCountries!$T$3:$T$52,0,AU$11,120,1),$A22)=0,"",$AB22)</f>
        <v/>
      </c>
      <c r="AV22" t="str" cm="1">
        <f t="array" aca="1" ref="AV22" ca="1">IF(INDEX(OFFSET(tblCountries!$T$3:$T$52,0,AV$11,120,1),$A22)=0,"",$AB22)</f>
        <v/>
      </c>
      <c r="AZ22">
        <f t="shared" ca="1" si="9"/>
        <v>1</v>
      </c>
      <c r="BA22">
        <f t="shared" ca="1" si="10"/>
        <v>0</v>
      </c>
      <c r="BB22">
        <f t="shared" ca="1" si="11"/>
        <v>0</v>
      </c>
      <c r="BC22">
        <f t="shared" ca="1" si="12"/>
        <v>1</v>
      </c>
      <c r="BD22">
        <f t="shared" ca="1" si="13"/>
        <v>0</v>
      </c>
      <c r="BE22">
        <f t="shared" ca="1" si="14"/>
        <v>0</v>
      </c>
      <c r="BF22">
        <f t="shared" ca="1" si="15"/>
        <v>0</v>
      </c>
      <c r="BG22">
        <f t="shared" ca="1" si="16"/>
        <v>1</v>
      </c>
      <c r="BH22">
        <f t="shared" ca="1" si="17"/>
        <v>0</v>
      </c>
      <c r="BI22">
        <f t="shared" ca="1" si="18"/>
        <v>0</v>
      </c>
      <c r="BJ22">
        <f t="shared" ca="1" si="19"/>
        <v>0</v>
      </c>
    </row>
    <row r="23" spans="1:62" x14ac:dyDescent="0.4">
      <c r="A23">
        <v>11</v>
      </c>
      <c r="B23" t="str">
        <f>tblCountries!H13</f>
        <v>Colombo, Sri Lanka</v>
      </c>
      <c r="C23" t="str" cm="1">
        <f t="array" aca="1" ref="C23" ca="1">IF(AND($C$2=1,NOT(ISNUMBER(INDEX(auto_DataFlat_DataValue,$D23,$B$4)))),"EXCLUDE","")</f>
        <v/>
      </c>
      <c r="D23" cm="1">
        <f t="array" aca="1" ref="D23" ca="1">INDEX(sys_DataFlat_LU_Grid,$B$2,$A23)</f>
        <v>11</v>
      </c>
      <c r="E23" cm="1">
        <f t="array" aca="1" ref="E23" ca="1">IF(C23="EXCLUDE","n/a",IF($B$6="DATA",INDEX(auto_DataFlat_DataValue,$D23,$B$4),INDEX(auto_DataFlat_Score,$D23,$B$4)))</f>
        <v>50.1</v>
      </c>
      <c r="F23" t="str" cm="1">
        <f t="array" aca="1" ref="F23" ca="1">IF(INDEX(OFFSET(tblCountries!$T$3:$T$52,0,F$11,120,1),$A23)=0,"",$E23)</f>
        <v/>
      </c>
      <c r="G23" t="str" cm="1">
        <f t="array" aca="1" ref="G23" ca="1">IF(INDEX(OFFSET(tblCountries!$T$3:$T$52,0,G$11,120,1),$A23)=0,"",$E23)</f>
        <v/>
      </c>
      <c r="H23" t="str" cm="1">
        <f t="array" aca="1" ref="H23" ca="1">IF(INDEX(OFFSET(tblCountries!$T$3:$T$52,0,H$11,120,1),$A23)=0,"",$E23)</f>
        <v/>
      </c>
      <c r="I23" t="str" cm="1">
        <f t="array" aca="1" ref="I23" ca="1">IF(INDEX(OFFSET(tblCountries!$T$3:$T$52,0,I$11,120,1),$A23)=0,"",$E23)</f>
        <v/>
      </c>
      <c r="J23" cm="1">
        <f t="array" aca="1" ref="J23" ca="1">IF(INDEX(OFFSET(tblCountries!$T$3:$T$52,0,J$11,120,1),$A23)=0,"",$E23)</f>
        <v>50.1</v>
      </c>
      <c r="K23" t="str" cm="1">
        <f t="array" aca="1" ref="K23" ca="1">IF(INDEX(OFFSET(tblCountries!$T$3:$T$52,0,K$11,120,1),$A23)=0,"",$E23)</f>
        <v/>
      </c>
      <c r="L23" cm="1">
        <f t="array" aca="1" ref="L23" ca="1">IF(INDEX(OFFSET(tblCountries!$T$3:$T$52,0,L$11,120,1),$A23)=0,"",$E23)</f>
        <v>50.1</v>
      </c>
      <c r="M23" t="str" cm="1">
        <f t="array" aca="1" ref="M23" ca="1">IF(INDEX(OFFSET(tblCountries!$T$3:$T$52,0,M$11,120,1),$A23)=0,"",$E23)</f>
        <v/>
      </c>
      <c r="N23" t="str" cm="1">
        <f t="array" aca="1" ref="N23" ca="1">IF(INDEX(OFFSET(tblCountries!$T$3:$T$52,0,N$11,120,1),$A23)=0,"",$E23)</f>
        <v/>
      </c>
      <c r="O23" t="str" cm="1">
        <f t="array" aca="1" ref="O23" ca="1">IF(INDEX(OFFSET(tblCountries!$T$3:$T$52,0,O$11,120,1),$A23)=0,"",$E23)</f>
        <v/>
      </c>
      <c r="P23" t="str" cm="1">
        <f t="array" aca="1" ref="P23" ca="1">IF(INDEX(OFFSET(tblCountries!$T$3:$T$52,0,P$11,120,1),$A23)=0,"",$E23)</f>
        <v/>
      </c>
      <c r="Q23" t="str" cm="1">
        <f t="array" aca="1" ref="Q23" ca="1">IF(INDEX(OFFSET(tblCountries!$T$3:$T$52,0,Q$11,120,1),$A23)=0,"",$E23)</f>
        <v/>
      </c>
      <c r="R23" t="str" cm="1">
        <f t="array" aca="1" ref="R23" ca="1">IF(INDEX(OFFSET(tblCountries!$T$3:$T$52,0,R$11,120,1),$A23)=0,"",$E23)</f>
        <v/>
      </c>
      <c r="S23" t="str" cm="1">
        <f t="array" aca="1" ref="S23" ca="1">IF(INDEX(OFFSET(tblCountries!$T$3:$T$52,0,S$11,120,1),$A23)=0,"",$E23)</f>
        <v/>
      </c>
      <c r="T23" t="str" cm="1">
        <f t="array" aca="1" ref="T23" ca="1">IF(INDEX(OFFSET(tblCountries!$T$3:$T$52,0,T$11,120,1),$A23)=0,"",$E23)</f>
        <v/>
      </c>
      <c r="U23" t="str" cm="1">
        <f t="array" aca="1" ref="U23" ca="1">IF(INDEX(OFFSET(tblCountries!$T$3:$T$52,0,U$11,120,1),$A23)=0,"",$E23)</f>
        <v/>
      </c>
      <c r="V23" t="str" cm="1">
        <f t="array" aca="1" ref="V23" ca="1">IF(INDEX(OFFSET(tblCountries!$T$3:$T$52,0,V$11,120,1),$A23)=0,"",$E23)</f>
        <v/>
      </c>
      <c r="W23" t="str" cm="1">
        <f t="array" aca="1" ref="W23" ca="1">IF(INDEX(OFFSET(tblCountries!$T$3:$T$52,0,W$11,120,1),$A23)=0,"",$E23)</f>
        <v/>
      </c>
      <c r="X23" t="str" cm="1">
        <f t="array" aca="1" ref="X23" ca="1">IF(INDEX(OFFSET(tblCountries!$T$3:$T$52,0,X$11,120,1),$A23)=0,"",$E23)</f>
        <v/>
      </c>
      <c r="Y23" t="str" cm="1">
        <f t="array" aca="1" ref="Y23" ca="1">IF(INDEX(OFFSET(tblCountries!$T$3:$T$52,0,Y$11,120,1),$A23)=0,"",$E23)</f>
        <v/>
      </c>
      <c r="Z23" t="str" cm="1">
        <f t="array" aca="1" ref="Z23" ca="1">IF(AND($C$3=1,NOT(ISNUMBER(INDEX(auto_DataFlat_DataValue,$AA23,$B$4)))),"EXCLUDE","")</f>
        <v/>
      </c>
      <c r="AA23" cm="1">
        <f t="array" aca="1" ref="AA23" ca="1">INDEX(sys_DataFlat_LU_Grid,$B$3,$A23)</f>
        <v>71</v>
      </c>
      <c r="AB23" cm="1">
        <f t="array" aca="1" ref="AB23" ca="1">IF(Z23="EXCLUDE","n/a",IF($B$7="DATA",INDEX(auto_DataFlat_DataValue,$AA23,$B$4),INDEX(auto_DataFlat_Score,$AA23,$B$4)))</f>
        <v>51.9</v>
      </c>
      <c r="AC23" t="str" cm="1">
        <f t="array" aca="1" ref="AC23" ca="1">IF(INDEX(OFFSET(tblCountries!$T$3:$T$52,0,AC$11,120,1),$A23)=0,"",$AB23)</f>
        <v/>
      </c>
      <c r="AD23" t="str" cm="1">
        <f t="array" aca="1" ref="AD23" ca="1">IF(INDEX(OFFSET(tblCountries!$T$3:$T$52,0,AD$11,120,1),$A23)=0,"",$AB23)</f>
        <v/>
      </c>
      <c r="AE23" t="str" cm="1">
        <f t="array" aca="1" ref="AE23" ca="1">IF(INDEX(OFFSET(tblCountries!$T$3:$T$52,0,AE$11,120,1),$A23)=0,"",$AB23)</f>
        <v/>
      </c>
      <c r="AF23" t="str" cm="1">
        <f t="array" aca="1" ref="AF23" ca="1">IF(INDEX(OFFSET(tblCountries!$T$3:$T$52,0,AF$11,120,1),$A23)=0,"",$AB23)</f>
        <v/>
      </c>
      <c r="AG23" cm="1">
        <f t="array" aca="1" ref="AG23" ca="1">IF(INDEX(OFFSET(tblCountries!$T$3:$T$52,0,AG$11,120,1),$A23)=0,"",$AB23)</f>
        <v>51.9</v>
      </c>
      <c r="AH23" t="str" cm="1">
        <f t="array" aca="1" ref="AH23" ca="1">IF(INDEX(OFFSET(tblCountries!$T$3:$T$52,0,AH$11,120,1),$A23)=0,"",$AB23)</f>
        <v/>
      </c>
      <c r="AI23" cm="1">
        <f t="array" aca="1" ref="AI23" ca="1">IF(INDEX(OFFSET(tblCountries!$T$3:$T$52,0,AI$11,120,1),$A23)=0,"",$AB23)</f>
        <v>51.9</v>
      </c>
      <c r="AJ23" t="str" cm="1">
        <f t="array" aca="1" ref="AJ23" ca="1">IF(INDEX(OFFSET(tblCountries!$T$3:$T$52,0,AJ$11,120,1),$A23)=0,"",$AB23)</f>
        <v/>
      </c>
      <c r="AK23" t="str" cm="1">
        <f t="array" aca="1" ref="AK23" ca="1">IF(INDEX(OFFSET(tblCountries!$T$3:$T$52,0,AK$11,120,1),$A23)=0,"",$AB23)</f>
        <v/>
      </c>
      <c r="AL23" t="str" cm="1">
        <f t="array" aca="1" ref="AL23" ca="1">IF(INDEX(OFFSET(tblCountries!$T$3:$T$52,0,AL$11,120,1),$A23)=0,"",$AB23)</f>
        <v/>
      </c>
      <c r="AM23" t="str" cm="1">
        <f t="array" aca="1" ref="AM23" ca="1">IF(INDEX(OFFSET(tblCountries!$T$3:$T$52,0,AM$11,120,1),$A23)=0,"",$AB23)</f>
        <v/>
      </c>
      <c r="AN23" t="str" cm="1">
        <f t="array" aca="1" ref="AN23" ca="1">IF(INDEX(OFFSET(tblCountries!$T$3:$T$52,0,AN$11,120,1),$A23)=0,"",$AB23)</f>
        <v/>
      </c>
      <c r="AO23" t="str" cm="1">
        <f t="array" aca="1" ref="AO23" ca="1">IF(INDEX(OFFSET(tblCountries!$T$3:$T$52,0,AO$11,120,1),$A23)=0,"",$AB23)</f>
        <v/>
      </c>
      <c r="AP23" t="str" cm="1">
        <f t="array" aca="1" ref="AP23" ca="1">IF(INDEX(OFFSET(tblCountries!$T$3:$T$52,0,AP$11,120,1),$A23)=0,"",$AB23)</f>
        <v/>
      </c>
      <c r="AQ23" t="str" cm="1">
        <f t="array" aca="1" ref="AQ23" ca="1">IF(INDEX(OFFSET(tblCountries!$T$3:$T$52,0,AQ$11,120,1),$A23)=0,"",$AB23)</f>
        <v/>
      </c>
      <c r="AR23" t="str" cm="1">
        <f t="array" aca="1" ref="AR23" ca="1">IF(INDEX(OFFSET(tblCountries!$T$3:$T$52,0,AR$11,120,1),$A23)=0,"",$AB23)</f>
        <v/>
      </c>
      <c r="AS23" t="str" cm="1">
        <f t="array" aca="1" ref="AS23" ca="1">IF(INDEX(OFFSET(tblCountries!$T$3:$T$52,0,AS$11,120,1),$A23)=0,"",$AB23)</f>
        <v/>
      </c>
      <c r="AT23" t="str" cm="1">
        <f t="array" aca="1" ref="AT23" ca="1">IF(INDEX(OFFSET(tblCountries!$T$3:$T$52,0,AT$11,120,1),$A23)=0,"",$AB23)</f>
        <v/>
      </c>
      <c r="AU23" t="str" cm="1">
        <f t="array" aca="1" ref="AU23" ca="1">IF(INDEX(OFFSET(tblCountries!$T$3:$T$52,0,AU$11,120,1),$A23)=0,"",$AB23)</f>
        <v/>
      </c>
      <c r="AV23" t="str" cm="1">
        <f t="array" aca="1" ref="AV23" ca="1">IF(INDEX(OFFSET(tblCountries!$T$3:$T$52,0,AV$11,120,1),$A23)=0,"",$AB23)</f>
        <v/>
      </c>
      <c r="AZ23">
        <f t="shared" ca="1" si="9"/>
        <v>1</v>
      </c>
      <c r="BA23">
        <f t="shared" ca="1" si="10"/>
        <v>0</v>
      </c>
      <c r="BB23">
        <f t="shared" ca="1" si="11"/>
        <v>0</v>
      </c>
      <c r="BC23">
        <f t="shared" ca="1" si="12"/>
        <v>0</v>
      </c>
      <c r="BD23">
        <f t="shared" ca="1" si="13"/>
        <v>0</v>
      </c>
      <c r="BE23">
        <f t="shared" ca="1" si="14"/>
        <v>1</v>
      </c>
      <c r="BF23">
        <f t="shared" ca="1" si="15"/>
        <v>0</v>
      </c>
      <c r="BG23">
        <f t="shared" ca="1" si="16"/>
        <v>1</v>
      </c>
      <c r="BH23">
        <f t="shared" ca="1" si="17"/>
        <v>0</v>
      </c>
      <c r="BI23">
        <f t="shared" ca="1" si="18"/>
        <v>0</v>
      </c>
      <c r="BJ23">
        <f t="shared" ca="1" si="19"/>
        <v>0</v>
      </c>
    </row>
    <row r="24" spans="1:62" x14ac:dyDescent="0.4">
      <c r="A24">
        <v>12</v>
      </c>
      <c r="B24" t="str">
        <f>tblCountries!H14</f>
        <v>Delhi, India</v>
      </c>
      <c r="C24" t="str" cm="1">
        <f t="array" aca="1" ref="C24" ca="1">IF(AND($C$2=1,NOT(ISNUMBER(INDEX(auto_DataFlat_DataValue,$D24,$B$4)))),"EXCLUDE","")</f>
        <v/>
      </c>
      <c r="D24" cm="1">
        <f t="array" aca="1" ref="D24" ca="1">INDEX(sys_DataFlat_LU_Grid,$B$2,$A24)</f>
        <v>12</v>
      </c>
      <c r="E24" cm="1">
        <f t="array" aca="1" ref="E24" ca="1">IF(C24="EXCLUDE","n/a",IF($B$6="DATA",INDEX(auto_DataFlat_DataValue,$D24,$B$4),INDEX(auto_DataFlat_Score,$D24,$B$4)))</f>
        <v>56.8</v>
      </c>
      <c r="F24" t="str" cm="1">
        <f t="array" aca="1" ref="F24" ca="1">IF(INDEX(OFFSET(tblCountries!$T$3:$T$52,0,F$11,120,1),$A24)=0,"",$E24)</f>
        <v/>
      </c>
      <c r="G24" t="str" cm="1">
        <f t="array" aca="1" ref="G24" ca="1">IF(INDEX(OFFSET(tblCountries!$T$3:$T$52,0,G$11,120,1),$A24)=0,"",$E24)</f>
        <v/>
      </c>
      <c r="H24" t="str" cm="1">
        <f t="array" aca="1" ref="H24" ca="1">IF(INDEX(OFFSET(tblCountries!$T$3:$T$52,0,H$11,120,1),$A24)=0,"",$E24)</f>
        <v/>
      </c>
      <c r="I24" t="str" cm="1">
        <f t="array" aca="1" ref="I24" ca="1">IF(INDEX(OFFSET(tblCountries!$T$3:$T$52,0,I$11,120,1),$A24)=0,"",$E24)</f>
        <v/>
      </c>
      <c r="J24" cm="1">
        <f t="array" aca="1" ref="J24" ca="1">IF(INDEX(OFFSET(tblCountries!$T$3:$T$52,0,J$11,120,1),$A24)=0,"",$E24)</f>
        <v>56.8</v>
      </c>
      <c r="K24" t="str" cm="1">
        <f t="array" aca="1" ref="K24" ca="1">IF(INDEX(OFFSET(tblCountries!$T$3:$T$52,0,K$11,120,1),$A24)=0,"",$E24)</f>
        <v/>
      </c>
      <c r="L24" cm="1">
        <f t="array" aca="1" ref="L24" ca="1">IF(INDEX(OFFSET(tblCountries!$T$3:$T$52,0,L$11,120,1),$A24)=0,"",$E24)</f>
        <v>56.8</v>
      </c>
      <c r="M24" t="str" cm="1">
        <f t="array" aca="1" ref="M24" ca="1">IF(INDEX(OFFSET(tblCountries!$T$3:$T$52,0,M$11,120,1),$A24)=0,"",$E24)</f>
        <v/>
      </c>
      <c r="N24" t="str" cm="1">
        <f t="array" aca="1" ref="N24" ca="1">IF(INDEX(OFFSET(tblCountries!$T$3:$T$52,0,N$11,120,1),$A24)=0,"",$E24)</f>
        <v/>
      </c>
      <c r="O24" t="str" cm="1">
        <f t="array" aca="1" ref="O24" ca="1">IF(INDEX(OFFSET(tblCountries!$T$3:$T$52,0,O$11,120,1),$A24)=0,"",$E24)</f>
        <v/>
      </c>
      <c r="P24" t="str" cm="1">
        <f t="array" aca="1" ref="P24" ca="1">IF(INDEX(OFFSET(tblCountries!$T$3:$T$52,0,P$11,120,1),$A24)=0,"",$E24)</f>
        <v/>
      </c>
      <c r="Q24" t="str" cm="1">
        <f t="array" aca="1" ref="Q24" ca="1">IF(INDEX(OFFSET(tblCountries!$T$3:$T$52,0,Q$11,120,1),$A24)=0,"",$E24)</f>
        <v/>
      </c>
      <c r="R24" t="str" cm="1">
        <f t="array" aca="1" ref="R24" ca="1">IF(INDEX(OFFSET(tblCountries!$T$3:$T$52,0,R$11,120,1),$A24)=0,"",$E24)</f>
        <v/>
      </c>
      <c r="S24" t="str" cm="1">
        <f t="array" aca="1" ref="S24" ca="1">IF(INDEX(OFFSET(tblCountries!$T$3:$T$52,0,S$11,120,1),$A24)=0,"",$E24)</f>
        <v/>
      </c>
      <c r="T24" t="str" cm="1">
        <f t="array" aca="1" ref="T24" ca="1">IF(INDEX(OFFSET(tblCountries!$T$3:$T$52,0,T$11,120,1),$A24)=0,"",$E24)</f>
        <v/>
      </c>
      <c r="U24" t="str" cm="1">
        <f t="array" aca="1" ref="U24" ca="1">IF(INDEX(OFFSET(tblCountries!$T$3:$T$52,0,U$11,120,1),$A24)=0,"",$E24)</f>
        <v/>
      </c>
      <c r="V24" t="str" cm="1">
        <f t="array" aca="1" ref="V24" ca="1">IF(INDEX(OFFSET(tblCountries!$T$3:$T$52,0,V$11,120,1),$A24)=0,"",$E24)</f>
        <v/>
      </c>
      <c r="W24" t="str" cm="1">
        <f t="array" aca="1" ref="W24" ca="1">IF(INDEX(OFFSET(tblCountries!$T$3:$T$52,0,W$11,120,1),$A24)=0,"",$E24)</f>
        <v/>
      </c>
      <c r="X24" t="str" cm="1">
        <f t="array" aca="1" ref="X24" ca="1">IF(INDEX(OFFSET(tblCountries!$T$3:$T$52,0,X$11,120,1),$A24)=0,"",$E24)</f>
        <v/>
      </c>
      <c r="Y24" t="str" cm="1">
        <f t="array" aca="1" ref="Y24" ca="1">IF(INDEX(OFFSET(tblCountries!$T$3:$T$52,0,Y$11,120,1),$A24)=0,"",$E24)</f>
        <v/>
      </c>
      <c r="Z24" t="str" cm="1">
        <f t="array" aca="1" ref="Z24" ca="1">IF(AND($C$3=1,NOT(ISNUMBER(INDEX(auto_DataFlat_DataValue,$AA24,$B$4)))),"EXCLUDE","")</f>
        <v/>
      </c>
      <c r="AA24" cm="1">
        <f t="array" aca="1" ref="AA24" ca="1">INDEX(sys_DataFlat_LU_Grid,$B$3,$A24)</f>
        <v>72</v>
      </c>
      <c r="AB24" cm="1">
        <f t="array" aca="1" ref="AB24" ca="1">IF(Z24="EXCLUDE","n/a",IF($B$7="DATA",INDEX(auto_DataFlat_DataValue,$AA24,$B$4),INDEX(auto_DataFlat_Score,$AA24,$B$4)))</f>
        <v>44.2</v>
      </c>
      <c r="AC24" t="str" cm="1">
        <f t="array" aca="1" ref="AC24" ca="1">IF(INDEX(OFFSET(tblCountries!$T$3:$T$52,0,AC$11,120,1),$A24)=0,"",$AB24)</f>
        <v/>
      </c>
      <c r="AD24" t="str" cm="1">
        <f t="array" aca="1" ref="AD24" ca="1">IF(INDEX(OFFSET(tblCountries!$T$3:$T$52,0,AD$11,120,1),$A24)=0,"",$AB24)</f>
        <v/>
      </c>
      <c r="AE24" t="str" cm="1">
        <f t="array" aca="1" ref="AE24" ca="1">IF(INDEX(OFFSET(tblCountries!$T$3:$T$52,0,AE$11,120,1),$A24)=0,"",$AB24)</f>
        <v/>
      </c>
      <c r="AF24" t="str" cm="1">
        <f t="array" aca="1" ref="AF24" ca="1">IF(INDEX(OFFSET(tblCountries!$T$3:$T$52,0,AF$11,120,1),$A24)=0,"",$AB24)</f>
        <v/>
      </c>
      <c r="AG24" cm="1">
        <f t="array" aca="1" ref="AG24" ca="1">IF(INDEX(OFFSET(tblCountries!$T$3:$T$52,0,AG$11,120,1),$A24)=0,"",$AB24)</f>
        <v>44.2</v>
      </c>
      <c r="AH24" t="str" cm="1">
        <f t="array" aca="1" ref="AH24" ca="1">IF(INDEX(OFFSET(tblCountries!$T$3:$T$52,0,AH$11,120,1),$A24)=0,"",$AB24)</f>
        <v/>
      </c>
      <c r="AI24" cm="1">
        <f t="array" aca="1" ref="AI24" ca="1">IF(INDEX(OFFSET(tblCountries!$T$3:$T$52,0,AI$11,120,1),$A24)=0,"",$AB24)</f>
        <v>44.2</v>
      </c>
      <c r="AJ24" t="str" cm="1">
        <f t="array" aca="1" ref="AJ24" ca="1">IF(INDEX(OFFSET(tblCountries!$T$3:$T$52,0,AJ$11,120,1),$A24)=0,"",$AB24)</f>
        <v/>
      </c>
      <c r="AK24" t="str" cm="1">
        <f t="array" aca="1" ref="AK24" ca="1">IF(INDEX(OFFSET(tblCountries!$T$3:$T$52,0,AK$11,120,1),$A24)=0,"",$AB24)</f>
        <v/>
      </c>
      <c r="AL24" t="str" cm="1">
        <f t="array" aca="1" ref="AL24" ca="1">IF(INDEX(OFFSET(tblCountries!$T$3:$T$52,0,AL$11,120,1),$A24)=0,"",$AB24)</f>
        <v/>
      </c>
      <c r="AM24" t="str" cm="1">
        <f t="array" aca="1" ref="AM24" ca="1">IF(INDEX(OFFSET(tblCountries!$T$3:$T$52,0,AM$11,120,1),$A24)=0,"",$AB24)</f>
        <v/>
      </c>
      <c r="AN24" t="str" cm="1">
        <f t="array" aca="1" ref="AN24" ca="1">IF(INDEX(OFFSET(tblCountries!$T$3:$T$52,0,AN$11,120,1),$A24)=0,"",$AB24)</f>
        <v/>
      </c>
      <c r="AO24" t="str" cm="1">
        <f t="array" aca="1" ref="AO24" ca="1">IF(INDEX(OFFSET(tblCountries!$T$3:$T$52,0,AO$11,120,1),$A24)=0,"",$AB24)</f>
        <v/>
      </c>
      <c r="AP24" t="str" cm="1">
        <f t="array" aca="1" ref="AP24" ca="1">IF(INDEX(OFFSET(tblCountries!$T$3:$T$52,0,AP$11,120,1),$A24)=0,"",$AB24)</f>
        <v/>
      </c>
      <c r="AQ24" t="str" cm="1">
        <f t="array" aca="1" ref="AQ24" ca="1">IF(INDEX(OFFSET(tblCountries!$T$3:$T$52,0,AQ$11,120,1),$A24)=0,"",$AB24)</f>
        <v/>
      </c>
      <c r="AR24" t="str" cm="1">
        <f t="array" aca="1" ref="AR24" ca="1">IF(INDEX(OFFSET(tblCountries!$T$3:$T$52,0,AR$11,120,1),$A24)=0,"",$AB24)</f>
        <v/>
      </c>
      <c r="AS24" t="str" cm="1">
        <f t="array" aca="1" ref="AS24" ca="1">IF(INDEX(OFFSET(tblCountries!$T$3:$T$52,0,AS$11,120,1),$A24)=0,"",$AB24)</f>
        <v/>
      </c>
      <c r="AT24" t="str" cm="1">
        <f t="array" aca="1" ref="AT24" ca="1">IF(INDEX(OFFSET(tblCountries!$T$3:$T$52,0,AT$11,120,1),$A24)=0,"",$AB24)</f>
        <v/>
      </c>
      <c r="AU24" t="str" cm="1">
        <f t="array" aca="1" ref="AU24" ca="1">IF(INDEX(OFFSET(tblCountries!$T$3:$T$52,0,AU$11,120,1),$A24)=0,"",$AB24)</f>
        <v/>
      </c>
      <c r="AV24" t="str" cm="1">
        <f t="array" aca="1" ref="AV24" ca="1">IF(INDEX(OFFSET(tblCountries!$T$3:$T$52,0,AV$11,120,1),$A24)=0,"",$AB24)</f>
        <v/>
      </c>
      <c r="AZ24">
        <f t="shared" ca="1" si="9"/>
        <v>1</v>
      </c>
      <c r="BA24">
        <f t="shared" ca="1" si="10"/>
        <v>0</v>
      </c>
      <c r="BB24">
        <f t="shared" ca="1" si="11"/>
        <v>0</v>
      </c>
      <c r="BC24">
        <f t="shared" ca="1" si="12"/>
        <v>0</v>
      </c>
      <c r="BD24">
        <f t="shared" ca="1" si="13"/>
        <v>0</v>
      </c>
      <c r="BE24">
        <f t="shared" ca="1" si="14"/>
        <v>1</v>
      </c>
      <c r="BF24">
        <f t="shared" ca="1" si="15"/>
        <v>0</v>
      </c>
      <c r="BG24">
        <f t="shared" ca="1" si="16"/>
        <v>1</v>
      </c>
      <c r="BH24">
        <f t="shared" ca="1" si="17"/>
        <v>0</v>
      </c>
      <c r="BI24">
        <f t="shared" ca="1" si="18"/>
        <v>0</v>
      </c>
      <c r="BJ24">
        <f t="shared" ca="1" si="19"/>
        <v>0</v>
      </c>
    </row>
    <row r="25" spans="1:62" x14ac:dyDescent="0.4">
      <c r="A25">
        <v>13</v>
      </c>
      <c r="B25" t="str">
        <f>tblCountries!H15</f>
        <v>Dhaka, Bangladesh</v>
      </c>
      <c r="C25" t="str" cm="1">
        <f t="array" aca="1" ref="C25" ca="1">IF(AND($C$2=1,NOT(ISNUMBER(INDEX(auto_DataFlat_DataValue,$D25,$B$4)))),"EXCLUDE","")</f>
        <v/>
      </c>
      <c r="D25" cm="1">
        <f t="array" aca="1" ref="D25" ca="1">INDEX(sys_DataFlat_LU_Grid,$B$2,$A25)</f>
        <v>13</v>
      </c>
      <c r="E25" cm="1">
        <f t="array" aca="1" ref="E25" ca="1">IF(C25="EXCLUDE","n/a",IF($B$6="DATA",INDEX(auto_DataFlat_DataValue,$D25,$B$4),INDEX(auto_DataFlat_Score,$D25,$B$4)))</f>
        <v>41.8</v>
      </c>
      <c r="F25" t="str" cm="1">
        <f t="array" aca="1" ref="F25" ca="1">IF(INDEX(OFFSET(tblCountries!$T$3:$T$52,0,F$11,120,1),$A25)=0,"",$E25)</f>
        <v/>
      </c>
      <c r="G25" t="str" cm="1">
        <f t="array" aca="1" ref="G25" ca="1">IF(INDEX(OFFSET(tblCountries!$T$3:$T$52,0,G$11,120,1),$A25)=0,"",$E25)</f>
        <v/>
      </c>
      <c r="H25" t="str" cm="1">
        <f t="array" aca="1" ref="H25" ca="1">IF(INDEX(OFFSET(tblCountries!$T$3:$T$52,0,H$11,120,1),$A25)=0,"",$E25)</f>
        <v/>
      </c>
      <c r="I25" t="str" cm="1">
        <f t="array" aca="1" ref="I25" ca="1">IF(INDEX(OFFSET(tblCountries!$T$3:$T$52,0,I$11,120,1),$A25)=0,"",$E25)</f>
        <v/>
      </c>
      <c r="J25" cm="1">
        <f t="array" aca="1" ref="J25" ca="1">IF(INDEX(OFFSET(tblCountries!$T$3:$T$52,0,J$11,120,1),$A25)=0,"",$E25)</f>
        <v>41.8</v>
      </c>
      <c r="K25" t="str" cm="1">
        <f t="array" aca="1" ref="K25" ca="1">IF(INDEX(OFFSET(tblCountries!$T$3:$T$52,0,K$11,120,1),$A25)=0,"",$E25)</f>
        <v/>
      </c>
      <c r="L25" cm="1">
        <f t="array" aca="1" ref="L25" ca="1">IF(INDEX(OFFSET(tblCountries!$T$3:$T$52,0,L$11,120,1),$A25)=0,"",$E25)</f>
        <v>41.8</v>
      </c>
      <c r="M25" t="str" cm="1">
        <f t="array" aca="1" ref="M25" ca="1">IF(INDEX(OFFSET(tblCountries!$T$3:$T$52,0,M$11,120,1),$A25)=0,"",$E25)</f>
        <v/>
      </c>
      <c r="N25" t="str" cm="1">
        <f t="array" aca="1" ref="N25" ca="1">IF(INDEX(OFFSET(tblCountries!$T$3:$T$52,0,N$11,120,1),$A25)=0,"",$E25)</f>
        <v/>
      </c>
      <c r="O25" t="str" cm="1">
        <f t="array" aca="1" ref="O25" ca="1">IF(INDEX(OFFSET(tblCountries!$T$3:$T$52,0,O$11,120,1),$A25)=0,"",$E25)</f>
        <v/>
      </c>
      <c r="P25" t="str" cm="1">
        <f t="array" aca="1" ref="P25" ca="1">IF(INDEX(OFFSET(tblCountries!$T$3:$T$52,0,P$11,120,1),$A25)=0,"",$E25)</f>
        <v/>
      </c>
      <c r="Q25" t="str" cm="1">
        <f t="array" aca="1" ref="Q25" ca="1">IF(INDEX(OFFSET(tblCountries!$T$3:$T$52,0,Q$11,120,1),$A25)=0,"",$E25)</f>
        <v/>
      </c>
      <c r="R25" t="str" cm="1">
        <f t="array" aca="1" ref="R25" ca="1">IF(INDEX(OFFSET(tblCountries!$T$3:$T$52,0,R$11,120,1),$A25)=0,"",$E25)</f>
        <v/>
      </c>
      <c r="S25" t="str" cm="1">
        <f t="array" aca="1" ref="S25" ca="1">IF(INDEX(OFFSET(tblCountries!$T$3:$T$52,0,S$11,120,1),$A25)=0,"",$E25)</f>
        <v/>
      </c>
      <c r="T25" t="str" cm="1">
        <f t="array" aca="1" ref="T25" ca="1">IF(INDEX(OFFSET(tblCountries!$T$3:$T$52,0,T$11,120,1),$A25)=0,"",$E25)</f>
        <v/>
      </c>
      <c r="U25" t="str" cm="1">
        <f t="array" aca="1" ref="U25" ca="1">IF(INDEX(OFFSET(tblCountries!$T$3:$T$52,0,U$11,120,1),$A25)=0,"",$E25)</f>
        <v/>
      </c>
      <c r="V25" t="str" cm="1">
        <f t="array" aca="1" ref="V25" ca="1">IF(INDEX(OFFSET(tblCountries!$T$3:$T$52,0,V$11,120,1),$A25)=0,"",$E25)</f>
        <v/>
      </c>
      <c r="W25" t="str" cm="1">
        <f t="array" aca="1" ref="W25" ca="1">IF(INDEX(OFFSET(tblCountries!$T$3:$T$52,0,W$11,120,1),$A25)=0,"",$E25)</f>
        <v/>
      </c>
      <c r="X25" t="str" cm="1">
        <f t="array" aca="1" ref="X25" ca="1">IF(INDEX(OFFSET(tblCountries!$T$3:$T$52,0,X$11,120,1),$A25)=0,"",$E25)</f>
        <v/>
      </c>
      <c r="Y25" t="str" cm="1">
        <f t="array" aca="1" ref="Y25" ca="1">IF(INDEX(OFFSET(tblCountries!$T$3:$T$52,0,Y$11,120,1),$A25)=0,"",$E25)</f>
        <v/>
      </c>
      <c r="Z25" t="str" cm="1">
        <f t="array" aca="1" ref="Z25" ca="1">IF(AND($C$3=1,NOT(ISNUMBER(INDEX(auto_DataFlat_DataValue,$AA25,$B$4)))),"EXCLUDE","")</f>
        <v/>
      </c>
      <c r="AA25" cm="1">
        <f t="array" aca="1" ref="AA25" ca="1">INDEX(sys_DataFlat_LU_Grid,$B$3,$A25)</f>
        <v>73</v>
      </c>
      <c r="AB25" cm="1">
        <f t="array" aca="1" ref="AB25" ca="1">IF(Z25="EXCLUDE","n/a",IF($B$7="DATA",INDEX(auto_DataFlat_DataValue,$AA25,$B$4),INDEX(auto_DataFlat_Score,$AA25,$B$4)))</f>
        <v>39.5</v>
      </c>
      <c r="AC25" t="str" cm="1">
        <f t="array" aca="1" ref="AC25" ca="1">IF(INDEX(OFFSET(tblCountries!$T$3:$T$52,0,AC$11,120,1),$A25)=0,"",$AB25)</f>
        <v/>
      </c>
      <c r="AD25" t="str" cm="1">
        <f t="array" aca="1" ref="AD25" ca="1">IF(INDEX(OFFSET(tblCountries!$T$3:$T$52,0,AD$11,120,1),$A25)=0,"",$AB25)</f>
        <v/>
      </c>
      <c r="AE25" t="str" cm="1">
        <f t="array" aca="1" ref="AE25" ca="1">IF(INDEX(OFFSET(tblCountries!$T$3:$T$52,0,AE$11,120,1),$A25)=0,"",$AB25)</f>
        <v/>
      </c>
      <c r="AF25" t="str" cm="1">
        <f t="array" aca="1" ref="AF25" ca="1">IF(INDEX(OFFSET(tblCountries!$T$3:$T$52,0,AF$11,120,1),$A25)=0,"",$AB25)</f>
        <v/>
      </c>
      <c r="AG25" cm="1">
        <f t="array" aca="1" ref="AG25" ca="1">IF(INDEX(OFFSET(tblCountries!$T$3:$T$52,0,AG$11,120,1),$A25)=0,"",$AB25)</f>
        <v>39.5</v>
      </c>
      <c r="AH25" t="str" cm="1">
        <f t="array" aca="1" ref="AH25" ca="1">IF(INDEX(OFFSET(tblCountries!$T$3:$T$52,0,AH$11,120,1),$A25)=0,"",$AB25)</f>
        <v/>
      </c>
      <c r="AI25" cm="1">
        <f t="array" aca="1" ref="AI25" ca="1">IF(INDEX(OFFSET(tblCountries!$T$3:$T$52,0,AI$11,120,1),$A25)=0,"",$AB25)</f>
        <v>39.5</v>
      </c>
      <c r="AJ25" t="str" cm="1">
        <f t="array" aca="1" ref="AJ25" ca="1">IF(INDEX(OFFSET(tblCountries!$T$3:$T$52,0,AJ$11,120,1),$A25)=0,"",$AB25)</f>
        <v/>
      </c>
      <c r="AK25" t="str" cm="1">
        <f t="array" aca="1" ref="AK25" ca="1">IF(INDEX(OFFSET(tblCountries!$T$3:$T$52,0,AK$11,120,1),$A25)=0,"",$AB25)</f>
        <v/>
      </c>
      <c r="AL25" t="str" cm="1">
        <f t="array" aca="1" ref="AL25" ca="1">IF(INDEX(OFFSET(tblCountries!$T$3:$T$52,0,AL$11,120,1),$A25)=0,"",$AB25)</f>
        <v/>
      </c>
      <c r="AM25" t="str" cm="1">
        <f t="array" aca="1" ref="AM25" ca="1">IF(INDEX(OFFSET(tblCountries!$T$3:$T$52,0,AM$11,120,1),$A25)=0,"",$AB25)</f>
        <v/>
      </c>
      <c r="AN25" t="str" cm="1">
        <f t="array" aca="1" ref="AN25" ca="1">IF(INDEX(OFFSET(tblCountries!$T$3:$T$52,0,AN$11,120,1),$A25)=0,"",$AB25)</f>
        <v/>
      </c>
      <c r="AO25" t="str" cm="1">
        <f t="array" aca="1" ref="AO25" ca="1">IF(INDEX(OFFSET(tblCountries!$T$3:$T$52,0,AO$11,120,1),$A25)=0,"",$AB25)</f>
        <v/>
      </c>
      <c r="AP25" t="str" cm="1">
        <f t="array" aca="1" ref="AP25" ca="1">IF(INDEX(OFFSET(tblCountries!$T$3:$T$52,0,AP$11,120,1),$A25)=0,"",$AB25)</f>
        <v/>
      </c>
      <c r="AQ25" t="str" cm="1">
        <f t="array" aca="1" ref="AQ25" ca="1">IF(INDEX(OFFSET(tblCountries!$T$3:$T$52,0,AQ$11,120,1),$A25)=0,"",$AB25)</f>
        <v/>
      </c>
      <c r="AR25" t="str" cm="1">
        <f t="array" aca="1" ref="AR25" ca="1">IF(INDEX(OFFSET(tblCountries!$T$3:$T$52,0,AR$11,120,1),$A25)=0,"",$AB25)</f>
        <v/>
      </c>
      <c r="AS25" t="str" cm="1">
        <f t="array" aca="1" ref="AS25" ca="1">IF(INDEX(OFFSET(tblCountries!$T$3:$T$52,0,AS$11,120,1),$A25)=0,"",$AB25)</f>
        <v/>
      </c>
      <c r="AT25" t="str" cm="1">
        <f t="array" aca="1" ref="AT25" ca="1">IF(INDEX(OFFSET(tblCountries!$T$3:$T$52,0,AT$11,120,1),$A25)=0,"",$AB25)</f>
        <v/>
      </c>
      <c r="AU25" t="str" cm="1">
        <f t="array" aca="1" ref="AU25" ca="1">IF(INDEX(OFFSET(tblCountries!$T$3:$T$52,0,AU$11,120,1),$A25)=0,"",$AB25)</f>
        <v/>
      </c>
      <c r="AV25" t="str" cm="1">
        <f t="array" aca="1" ref="AV25" ca="1">IF(INDEX(OFFSET(tblCountries!$T$3:$T$52,0,AV$11,120,1),$A25)=0,"",$AB25)</f>
        <v/>
      </c>
      <c r="AZ25">
        <f t="shared" ca="1" si="9"/>
        <v>1</v>
      </c>
      <c r="BA25">
        <f t="shared" ca="1" si="10"/>
        <v>0</v>
      </c>
      <c r="BB25">
        <f t="shared" ca="1" si="11"/>
        <v>0</v>
      </c>
      <c r="BC25">
        <f t="shared" ca="1" si="12"/>
        <v>0</v>
      </c>
      <c r="BD25">
        <f t="shared" ca="1" si="13"/>
        <v>0</v>
      </c>
      <c r="BE25">
        <f t="shared" ca="1" si="14"/>
        <v>1</v>
      </c>
      <c r="BF25">
        <f t="shared" ca="1" si="15"/>
        <v>0</v>
      </c>
      <c r="BG25">
        <f t="shared" ca="1" si="16"/>
        <v>1</v>
      </c>
      <c r="BH25">
        <f t="shared" ca="1" si="17"/>
        <v>0</v>
      </c>
      <c r="BI25">
        <f t="shared" ca="1" si="18"/>
        <v>0</v>
      </c>
      <c r="BJ25">
        <f t="shared" ca="1" si="19"/>
        <v>0</v>
      </c>
    </row>
    <row r="26" spans="1:62" x14ac:dyDescent="0.4">
      <c r="A26">
        <v>14</v>
      </c>
      <c r="B26" t="str">
        <f>tblCountries!H16</f>
        <v>Dubai, UAE</v>
      </c>
      <c r="C26" t="str" cm="1">
        <f t="array" aca="1" ref="C26" ca="1">IF(AND($C$2=1,NOT(ISNUMBER(INDEX(auto_DataFlat_DataValue,$D26,$B$4)))),"EXCLUDE","")</f>
        <v/>
      </c>
      <c r="D26" cm="1">
        <f t="array" aca="1" ref="D26" ca="1">INDEX(sys_DataFlat_LU_Grid,$B$2,$A26)</f>
        <v>14</v>
      </c>
      <c r="E26" cm="1">
        <f t="array" aca="1" ref="E26" ca="1">IF(C26="EXCLUDE","n/a",IF($B$6="DATA",INDEX(auto_DataFlat_DataValue,$D26,$B$4),INDEX(auto_DataFlat_Score,$D26,$B$4)))</f>
        <v>65</v>
      </c>
      <c r="F26" t="str" cm="1">
        <f t="array" aca="1" ref="F26" ca="1">IF(INDEX(OFFSET(tblCountries!$T$3:$T$52,0,F$11,120,1),$A26)=0,"",$E26)</f>
        <v/>
      </c>
      <c r="G26" t="str" cm="1">
        <f t="array" aca="1" ref="G26" ca="1">IF(INDEX(OFFSET(tblCountries!$T$3:$T$52,0,G$11,120,1),$A26)=0,"",$E26)</f>
        <v/>
      </c>
      <c r="H26" cm="1">
        <f t="array" aca="1" ref="H26" ca="1">IF(INDEX(OFFSET(tblCountries!$T$3:$T$52,0,H$11,120,1),$A26)=0,"",$E26)</f>
        <v>65</v>
      </c>
      <c r="I26" t="str" cm="1">
        <f t="array" aca="1" ref="I26" ca="1">IF(INDEX(OFFSET(tblCountries!$T$3:$T$52,0,I$11,120,1),$A26)=0,"",$E26)</f>
        <v/>
      </c>
      <c r="J26" t="str" cm="1">
        <f t="array" aca="1" ref="J26" ca="1">IF(INDEX(OFFSET(tblCountries!$T$3:$T$52,0,J$11,120,1),$A26)=0,"",$E26)</f>
        <v/>
      </c>
      <c r="K26" t="str" cm="1">
        <f t="array" aca="1" ref="K26" ca="1">IF(INDEX(OFFSET(tblCountries!$T$3:$T$52,0,K$11,120,1),$A26)=0,"",$E26)</f>
        <v/>
      </c>
      <c r="L26" t="str" cm="1">
        <f t="array" aca="1" ref="L26" ca="1">IF(INDEX(OFFSET(tblCountries!$T$3:$T$52,0,L$11,120,1),$A26)=0,"",$E26)</f>
        <v/>
      </c>
      <c r="M26" t="str" cm="1">
        <f t="array" aca="1" ref="M26" ca="1">IF(INDEX(OFFSET(tblCountries!$T$3:$T$52,0,M$11,120,1),$A26)=0,"",$E26)</f>
        <v/>
      </c>
      <c r="N26" cm="1">
        <f t="array" aca="1" ref="N26" ca="1">IF(INDEX(OFFSET(tblCountries!$T$3:$T$52,0,N$11,120,1),$A26)=0,"",$E26)</f>
        <v>65</v>
      </c>
      <c r="O26" t="str" cm="1">
        <f t="array" aca="1" ref="O26" ca="1">IF(INDEX(OFFSET(tblCountries!$T$3:$T$52,0,O$11,120,1),$A26)=0,"",$E26)</f>
        <v/>
      </c>
      <c r="P26" t="str" cm="1">
        <f t="array" aca="1" ref="P26" ca="1">IF(INDEX(OFFSET(tblCountries!$T$3:$T$52,0,P$11,120,1),$A26)=0,"",$E26)</f>
        <v/>
      </c>
      <c r="Q26" t="str" cm="1">
        <f t="array" aca="1" ref="Q26" ca="1">IF(INDEX(OFFSET(tblCountries!$T$3:$T$52,0,Q$11,120,1),$A26)=0,"",$E26)</f>
        <v/>
      </c>
      <c r="R26" t="str" cm="1">
        <f t="array" aca="1" ref="R26" ca="1">IF(INDEX(OFFSET(tblCountries!$T$3:$T$52,0,R$11,120,1),$A26)=0,"",$E26)</f>
        <v/>
      </c>
      <c r="S26" t="str" cm="1">
        <f t="array" aca="1" ref="S26" ca="1">IF(INDEX(OFFSET(tblCountries!$T$3:$T$52,0,S$11,120,1),$A26)=0,"",$E26)</f>
        <v/>
      </c>
      <c r="T26" t="str" cm="1">
        <f t="array" aca="1" ref="T26" ca="1">IF(INDEX(OFFSET(tblCountries!$T$3:$T$52,0,T$11,120,1),$A26)=0,"",$E26)</f>
        <v/>
      </c>
      <c r="U26" t="str" cm="1">
        <f t="array" aca="1" ref="U26" ca="1">IF(INDEX(OFFSET(tblCountries!$T$3:$T$52,0,U$11,120,1),$A26)=0,"",$E26)</f>
        <v/>
      </c>
      <c r="V26" t="str" cm="1">
        <f t="array" aca="1" ref="V26" ca="1">IF(INDEX(OFFSET(tblCountries!$T$3:$T$52,0,V$11,120,1),$A26)=0,"",$E26)</f>
        <v/>
      </c>
      <c r="W26" t="str" cm="1">
        <f t="array" aca="1" ref="W26" ca="1">IF(INDEX(OFFSET(tblCountries!$T$3:$T$52,0,W$11,120,1),$A26)=0,"",$E26)</f>
        <v/>
      </c>
      <c r="X26" t="str" cm="1">
        <f t="array" aca="1" ref="X26" ca="1">IF(INDEX(OFFSET(tblCountries!$T$3:$T$52,0,X$11,120,1),$A26)=0,"",$E26)</f>
        <v/>
      </c>
      <c r="Y26" t="str" cm="1">
        <f t="array" aca="1" ref="Y26" ca="1">IF(INDEX(OFFSET(tblCountries!$T$3:$T$52,0,Y$11,120,1),$A26)=0,"",$E26)</f>
        <v/>
      </c>
      <c r="Z26" t="str" cm="1">
        <f t="array" aca="1" ref="Z26" ca="1">IF(AND($C$3=1,NOT(ISNUMBER(INDEX(auto_DataFlat_DataValue,$AA26,$B$4)))),"EXCLUDE","")</f>
        <v/>
      </c>
      <c r="AA26" cm="1">
        <f t="array" aca="1" ref="AA26" ca="1">INDEX(sys_DataFlat_LU_Grid,$B$3,$A26)</f>
        <v>74</v>
      </c>
      <c r="AB26" cm="1">
        <f t="array" aca="1" ref="AB26" ca="1">IF(Z26="EXCLUDE","n/a",IF($B$7="DATA",INDEX(auto_DataFlat_DataValue,$AA26,$B$4),INDEX(auto_DataFlat_Score,$AA26,$B$4)))</f>
        <v>74.3</v>
      </c>
      <c r="AC26" t="str" cm="1">
        <f t="array" aca="1" ref="AC26" ca="1">IF(INDEX(OFFSET(tblCountries!$T$3:$T$52,0,AC$11,120,1),$A26)=0,"",$AB26)</f>
        <v/>
      </c>
      <c r="AD26" t="str" cm="1">
        <f t="array" aca="1" ref="AD26" ca="1">IF(INDEX(OFFSET(tblCountries!$T$3:$T$52,0,AD$11,120,1),$A26)=0,"",$AB26)</f>
        <v/>
      </c>
      <c r="AE26" cm="1">
        <f t="array" aca="1" ref="AE26" ca="1">IF(INDEX(OFFSET(tblCountries!$T$3:$T$52,0,AE$11,120,1),$A26)=0,"",$AB26)</f>
        <v>74.3</v>
      </c>
      <c r="AF26" t="str" cm="1">
        <f t="array" aca="1" ref="AF26" ca="1">IF(INDEX(OFFSET(tblCountries!$T$3:$T$52,0,AF$11,120,1),$A26)=0,"",$AB26)</f>
        <v/>
      </c>
      <c r="AG26" t="str" cm="1">
        <f t="array" aca="1" ref="AG26" ca="1">IF(INDEX(OFFSET(tblCountries!$T$3:$T$52,0,AG$11,120,1),$A26)=0,"",$AB26)</f>
        <v/>
      </c>
      <c r="AH26" t="str" cm="1">
        <f t="array" aca="1" ref="AH26" ca="1">IF(INDEX(OFFSET(tblCountries!$T$3:$T$52,0,AH$11,120,1),$A26)=0,"",$AB26)</f>
        <v/>
      </c>
      <c r="AI26" t="str" cm="1">
        <f t="array" aca="1" ref="AI26" ca="1">IF(INDEX(OFFSET(tblCountries!$T$3:$T$52,0,AI$11,120,1),$A26)=0,"",$AB26)</f>
        <v/>
      </c>
      <c r="AJ26" t="str" cm="1">
        <f t="array" aca="1" ref="AJ26" ca="1">IF(INDEX(OFFSET(tblCountries!$T$3:$T$52,0,AJ$11,120,1),$A26)=0,"",$AB26)</f>
        <v/>
      </c>
      <c r="AK26" cm="1">
        <f t="array" aca="1" ref="AK26" ca="1">IF(INDEX(OFFSET(tblCountries!$T$3:$T$52,0,AK$11,120,1),$A26)=0,"",$AB26)</f>
        <v>74.3</v>
      </c>
      <c r="AL26" t="str" cm="1">
        <f t="array" aca="1" ref="AL26" ca="1">IF(INDEX(OFFSET(tblCountries!$T$3:$T$52,0,AL$11,120,1),$A26)=0,"",$AB26)</f>
        <v/>
      </c>
      <c r="AM26" t="str" cm="1">
        <f t="array" aca="1" ref="AM26" ca="1">IF(INDEX(OFFSET(tblCountries!$T$3:$T$52,0,AM$11,120,1),$A26)=0,"",$AB26)</f>
        <v/>
      </c>
      <c r="AN26" t="str" cm="1">
        <f t="array" aca="1" ref="AN26" ca="1">IF(INDEX(OFFSET(tblCountries!$T$3:$T$52,0,AN$11,120,1),$A26)=0,"",$AB26)</f>
        <v/>
      </c>
      <c r="AO26" t="str" cm="1">
        <f t="array" aca="1" ref="AO26" ca="1">IF(INDEX(OFFSET(tblCountries!$T$3:$T$52,0,AO$11,120,1),$A26)=0,"",$AB26)</f>
        <v/>
      </c>
      <c r="AP26" t="str" cm="1">
        <f t="array" aca="1" ref="AP26" ca="1">IF(INDEX(OFFSET(tblCountries!$T$3:$T$52,0,AP$11,120,1),$A26)=0,"",$AB26)</f>
        <v/>
      </c>
      <c r="AQ26" t="str" cm="1">
        <f t="array" aca="1" ref="AQ26" ca="1">IF(INDEX(OFFSET(tblCountries!$T$3:$T$52,0,AQ$11,120,1),$A26)=0,"",$AB26)</f>
        <v/>
      </c>
      <c r="AR26" t="str" cm="1">
        <f t="array" aca="1" ref="AR26" ca="1">IF(INDEX(OFFSET(tblCountries!$T$3:$T$52,0,AR$11,120,1),$A26)=0,"",$AB26)</f>
        <v/>
      </c>
      <c r="AS26" t="str" cm="1">
        <f t="array" aca="1" ref="AS26" ca="1">IF(INDEX(OFFSET(tblCountries!$T$3:$T$52,0,AS$11,120,1),$A26)=0,"",$AB26)</f>
        <v/>
      </c>
      <c r="AT26" t="str" cm="1">
        <f t="array" aca="1" ref="AT26" ca="1">IF(INDEX(OFFSET(tblCountries!$T$3:$T$52,0,AT$11,120,1),$A26)=0,"",$AB26)</f>
        <v/>
      </c>
      <c r="AU26" t="str" cm="1">
        <f t="array" aca="1" ref="AU26" ca="1">IF(INDEX(OFFSET(tblCountries!$T$3:$T$52,0,AU$11,120,1),$A26)=0,"",$AB26)</f>
        <v/>
      </c>
      <c r="AV26" t="str" cm="1">
        <f t="array" aca="1" ref="AV26" ca="1">IF(INDEX(OFFSET(tblCountries!$T$3:$T$52,0,AV$11,120,1),$A26)=0,"",$AB26)</f>
        <v/>
      </c>
      <c r="AZ26">
        <f t="shared" ca="1" si="9"/>
        <v>1</v>
      </c>
      <c r="BA26">
        <f t="shared" ca="1" si="10"/>
        <v>0</v>
      </c>
      <c r="BB26">
        <f t="shared" ca="1" si="11"/>
        <v>0</v>
      </c>
      <c r="BC26">
        <f t="shared" ca="1" si="12"/>
        <v>1</v>
      </c>
      <c r="BD26">
        <f t="shared" ca="1" si="13"/>
        <v>0</v>
      </c>
      <c r="BE26">
        <f t="shared" ca="1" si="14"/>
        <v>0</v>
      </c>
      <c r="BF26">
        <f t="shared" ca="1" si="15"/>
        <v>0</v>
      </c>
      <c r="BG26">
        <f t="shared" ca="1" si="16"/>
        <v>0</v>
      </c>
      <c r="BH26">
        <f t="shared" ca="1" si="17"/>
        <v>0</v>
      </c>
      <c r="BI26">
        <f t="shared" ca="1" si="18"/>
        <v>1</v>
      </c>
      <c r="BJ26">
        <f t="shared" ca="1" si="19"/>
        <v>0</v>
      </c>
    </row>
    <row r="27" spans="1:62" x14ac:dyDescent="0.4">
      <c r="A27">
        <v>15</v>
      </c>
      <c r="B27" t="str">
        <f>tblCountries!H17</f>
        <v>Helsinki, Finland</v>
      </c>
      <c r="C27" t="str" cm="1">
        <f t="array" aca="1" ref="C27" ca="1">IF(AND($C$2=1,NOT(ISNUMBER(INDEX(auto_DataFlat_DataValue,$D27,$B$4)))),"EXCLUDE","")</f>
        <v/>
      </c>
      <c r="D27" cm="1">
        <f t="array" aca="1" ref="D27" ca="1">INDEX(sys_DataFlat_LU_Grid,$B$2,$A27)</f>
        <v>15</v>
      </c>
      <c r="E27" cm="1">
        <f t="array" aca="1" ref="E27" ca="1">IF(C27="EXCLUDE","n/a",IF($B$6="DATA",INDEX(auto_DataFlat_DataValue,$D27,$B$4),INDEX(auto_DataFlat_Score,$D27,$B$4)))</f>
        <v>75.5</v>
      </c>
      <c r="F27" t="str" cm="1">
        <f t="array" aca="1" ref="F27" ca="1">IF(INDEX(OFFSET(tblCountries!$T$3:$T$52,0,F$11,120,1),$A27)=0,"",$E27)</f>
        <v/>
      </c>
      <c r="G27" t="str" cm="1">
        <f t="array" aca="1" ref="G27" ca="1">IF(INDEX(OFFSET(tblCountries!$T$3:$T$52,0,G$11,120,1),$A27)=0,"",$E27)</f>
        <v/>
      </c>
      <c r="H27" t="str" cm="1">
        <f t="array" aca="1" ref="H27" ca="1">IF(INDEX(OFFSET(tblCountries!$T$3:$T$52,0,H$11,120,1),$A27)=0,"",$E27)</f>
        <v/>
      </c>
      <c r="I27" cm="1">
        <f t="array" aca="1" ref="I27" ca="1">IF(INDEX(OFFSET(tblCountries!$T$3:$T$52,0,I$11,120,1),$A27)=0,"",$E27)</f>
        <v>75.5</v>
      </c>
      <c r="J27" t="str" cm="1">
        <f t="array" aca="1" ref="J27" ca="1">IF(INDEX(OFFSET(tblCountries!$T$3:$T$52,0,J$11,120,1),$A27)=0,"",$E27)</f>
        <v/>
      </c>
      <c r="K27" t="str" cm="1">
        <f t="array" aca="1" ref="K27" ca="1">IF(INDEX(OFFSET(tblCountries!$T$3:$T$52,0,K$11,120,1),$A27)=0,"",$E27)</f>
        <v/>
      </c>
      <c r="L27" t="str" cm="1">
        <f t="array" aca="1" ref="L27" ca="1">IF(INDEX(OFFSET(tblCountries!$T$3:$T$52,0,L$11,120,1),$A27)=0,"",$E27)</f>
        <v/>
      </c>
      <c r="M27" t="str" cm="1">
        <f t="array" aca="1" ref="M27" ca="1">IF(INDEX(OFFSET(tblCountries!$T$3:$T$52,0,M$11,120,1),$A27)=0,"",$E27)</f>
        <v/>
      </c>
      <c r="N27" cm="1">
        <f t="array" aca="1" ref="N27" ca="1">IF(INDEX(OFFSET(tblCountries!$T$3:$T$52,0,N$11,120,1),$A27)=0,"",$E27)</f>
        <v>75.5</v>
      </c>
      <c r="O27" t="str" cm="1">
        <f t="array" aca="1" ref="O27" ca="1">IF(INDEX(OFFSET(tblCountries!$T$3:$T$52,0,O$11,120,1),$A27)=0,"",$E27)</f>
        <v/>
      </c>
      <c r="P27" t="str" cm="1">
        <f t="array" aca="1" ref="P27" ca="1">IF(INDEX(OFFSET(tblCountries!$T$3:$T$52,0,P$11,120,1),$A27)=0,"",$E27)</f>
        <v/>
      </c>
      <c r="Q27" t="str" cm="1">
        <f t="array" aca="1" ref="Q27" ca="1">IF(INDEX(OFFSET(tblCountries!$T$3:$T$52,0,Q$11,120,1),$A27)=0,"",$E27)</f>
        <v/>
      </c>
      <c r="R27" t="str" cm="1">
        <f t="array" aca="1" ref="R27" ca="1">IF(INDEX(OFFSET(tblCountries!$T$3:$T$52,0,R$11,120,1),$A27)=0,"",$E27)</f>
        <v/>
      </c>
      <c r="S27" t="str" cm="1">
        <f t="array" aca="1" ref="S27" ca="1">IF(INDEX(OFFSET(tblCountries!$T$3:$T$52,0,S$11,120,1),$A27)=0,"",$E27)</f>
        <v/>
      </c>
      <c r="T27" t="str" cm="1">
        <f t="array" aca="1" ref="T27" ca="1">IF(INDEX(OFFSET(tblCountries!$T$3:$T$52,0,T$11,120,1),$A27)=0,"",$E27)</f>
        <v/>
      </c>
      <c r="U27" t="str" cm="1">
        <f t="array" aca="1" ref="U27" ca="1">IF(INDEX(OFFSET(tblCountries!$T$3:$T$52,0,U$11,120,1),$A27)=0,"",$E27)</f>
        <v/>
      </c>
      <c r="V27" t="str" cm="1">
        <f t="array" aca="1" ref="V27" ca="1">IF(INDEX(OFFSET(tblCountries!$T$3:$T$52,0,V$11,120,1),$A27)=0,"",$E27)</f>
        <v/>
      </c>
      <c r="W27" t="str" cm="1">
        <f t="array" aca="1" ref="W27" ca="1">IF(INDEX(OFFSET(tblCountries!$T$3:$T$52,0,W$11,120,1),$A27)=0,"",$E27)</f>
        <v/>
      </c>
      <c r="X27" t="str" cm="1">
        <f t="array" aca="1" ref="X27" ca="1">IF(INDEX(OFFSET(tblCountries!$T$3:$T$52,0,X$11,120,1),$A27)=0,"",$E27)</f>
        <v/>
      </c>
      <c r="Y27" t="str" cm="1">
        <f t="array" aca="1" ref="Y27" ca="1">IF(INDEX(OFFSET(tblCountries!$T$3:$T$52,0,Y$11,120,1),$A27)=0,"",$E27)</f>
        <v/>
      </c>
      <c r="Z27" t="str" cm="1">
        <f t="array" aca="1" ref="Z27" ca="1">IF(AND($C$3=1,NOT(ISNUMBER(INDEX(auto_DataFlat_DataValue,$AA27,$B$4)))),"EXCLUDE","")</f>
        <v/>
      </c>
      <c r="AA27" cm="1">
        <f t="array" aca="1" ref="AA27" ca="1">INDEX(sys_DataFlat_LU_Grid,$B$3,$A27)</f>
        <v>75</v>
      </c>
      <c r="AB27" cm="1">
        <f t="array" aca="1" ref="AB27" ca="1">IF(Z27="EXCLUDE","n/a",IF($B$7="DATA",INDEX(auto_DataFlat_DataValue,$AA27,$B$4),INDEX(auto_DataFlat_Score,$AA27,$B$4)))</f>
        <v>86.4</v>
      </c>
      <c r="AC27" t="str" cm="1">
        <f t="array" aca="1" ref="AC27" ca="1">IF(INDEX(OFFSET(tblCountries!$T$3:$T$52,0,AC$11,120,1),$A27)=0,"",$AB27)</f>
        <v/>
      </c>
      <c r="AD27" t="str" cm="1">
        <f t="array" aca="1" ref="AD27" ca="1">IF(INDEX(OFFSET(tblCountries!$T$3:$T$52,0,AD$11,120,1),$A27)=0,"",$AB27)</f>
        <v/>
      </c>
      <c r="AE27" t="str" cm="1">
        <f t="array" aca="1" ref="AE27" ca="1">IF(INDEX(OFFSET(tblCountries!$T$3:$T$52,0,AE$11,120,1),$A27)=0,"",$AB27)</f>
        <v/>
      </c>
      <c r="AF27" cm="1">
        <f t="array" aca="1" ref="AF27" ca="1">IF(INDEX(OFFSET(tblCountries!$T$3:$T$52,0,AF$11,120,1),$A27)=0,"",$AB27)</f>
        <v>86.4</v>
      </c>
      <c r="AG27" t="str" cm="1">
        <f t="array" aca="1" ref="AG27" ca="1">IF(INDEX(OFFSET(tblCountries!$T$3:$T$52,0,AG$11,120,1),$A27)=0,"",$AB27)</f>
        <v/>
      </c>
      <c r="AH27" t="str" cm="1">
        <f t="array" aca="1" ref="AH27" ca="1">IF(INDEX(OFFSET(tblCountries!$T$3:$T$52,0,AH$11,120,1),$A27)=0,"",$AB27)</f>
        <v/>
      </c>
      <c r="AI27" t="str" cm="1">
        <f t="array" aca="1" ref="AI27" ca="1">IF(INDEX(OFFSET(tblCountries!$T$3:$T$52,0,AI$11,120,1),$A27)=0,"",$AB27)</f>
        <v/>
      </c>
      <c r="AJ27" t="str" cm="1">
        <f t="array" aca="1" ref="AJ27" ca="1">IF(INDEX(OFFSET(tblCountries!$T$3:$T$52,0,AJ$11,120,1),$A27)=0,"",$AB27)</f>
        <v/>
      </c>
      <c r="AK27" cm="1">
        <f t="array" aca="1" ref="AK27" ca="1">IF(INDEX(OFFSET(tblCountries!$T$3:$T$52,0,AK$11,120,1),$A27)=0,"",$AB27)</f>
        <v>86.4</v>
      </c>
      <c r="AL27" t="str" cm="1">
        <f t="array" aca="1" ref="AL27" ca="1">IF(INDEX(OFFSET(tblCountries!$T$3:$T$52,0,AL$11,120,1),$A27)=0,"",$AB27)</f>
        <v/>
      </c>
      <c r="AM27" t="str" cm="1">
        <f t="array" aca="1" ref="AM27" ca="1">IF(INDEX(OFFSET(tblCountries!$T$3:$T$52,0,AM$11,120,1),$A27)=0,"",$AB27)</f>
        <v/>
      </c>
      <c r="AN27" t="str" cm="1">
        <f t="array" aca="1" ref="AN27" ca="1">IF(INDEX(OFFSET(tblCountries!$T$3:$T$52,0,AN$11,120,1),$A27)=0,"",$AB27)</f>
        <v/>
      </c>
      <c r="AO27" t="str" cm="1">
        <f t="array" aca="1" ref="AO27" ca="1">IF(INDEX(OFFSET(tblCountries!$T$3:$T$52,0,AO$11,120,1),$A27)=0,"",$AB27)</f>
        <v/>
      </c>
      <c r="AP27" t="str" cm="1">
        <f t="array" aca="1" ref="AP27" ca="1">IF(INDEX(OFFSET(tblCountries!$T$3:$T$52,0,AP$11,120,1),$A27)=0,"",$AB27)</f>
        <v/>
      </c>
      <c r="AQ27" t="str" cm="1">
        <f t="array" aca="1" ref="AQ27" ca="1">IF(INDEX(OFFSET(tblCountries!$T$3:$T$52,0,AQ$11,120,1),$A27)=0,"",$AB27)</f>
        <v/>
      </c>
      <c r="AR27" t="str" cm="1">
        <f t="array" aca="1" ref="AR27" ca="1">IF(INDEX(OFFSET(tblCountries!$T$3:$T$52,0,AR$11,120,1),$A27)=0,"",$AB27)</f>
        <v/>
      </c>
      <c r="AS27" t="str" cm="1">
        <f t="array" aca="1" ref="AS27" ca="1">IF(INDEX(OFFSET(tblCountries!$T$3:$T$52,0,AS$11,120,1),$A27)=0,"",$AB27)</f>
        <v/>
      </c>
      <c r="AT27" t="str" cm="1">
        <f t="array" aca="1" ref="AT27" ca="1">IF(INDEX(OFFSET(tblCountries!$T$3:$T$52,0,AT$11,120,1),$A27)=0,"",$AB27)</f>
        <v/>
      </c>
      <c r="AU27" t="str" cm="1">
        <f t="array" aca="1" ref="AU27" ca="1">IF(INDEX(OFFSET(tblCountries!$T$3:$T$52,0,AU$11,120,1),$A27)=0,"",$AB27)</f>
        <v/>
      </c>
      <c r="AV27" t="str" cm="1">
        <f t="array" aca="1" ref="AV27" ca="1">IF(INDEX(OFFSET(tblCountries!$T$3:$T$52,0,AV$11,120,1),$A27)=0,"",$AB27)</f>
        <v/>
      </c>
      <c r="AZ27">
        <f t="shared" ca="1" si="9"/>
        <v>1</v>
      </c>
      <c r="BA27">
        <f t="shared" ca="1" si="10"/>
        <v>0</v>
      </c>
      <c r="BB27">
        <f t="shared" ca="1" si="11"/>
        <v>0</v>
      </c>
      <c r="BC27">
        <f t="shared" ca="1" si="12"/>
        <v>0</v>
      </c>
      <c r="BD27">
        <f t="shared" ca="1" si="13"/>
        <v>1</v>
      </c>
      <c r="BE27">
        <f t="shared" ca="1" si="14"/>
        <v>0</v>
      </c>
      <c r="BF27">
        <f t="shared" ca="1" si="15"/>
        <v>0</v>
      </c>
      <c r="BG27">
        <f t="shared" ca="1" si="16"/>
        <v>0</v>
      </c>
      <c r="BH27">
        <f t="shared" ca="1" si="17"/>
        <v>0</v>
      </c>
      <c r="BI27">
        <f t="shared" ca="1" si="18"/>
        <v>1</v>
      </c>
      <c r="BJ27">
        <f t="shared" ca="1" si="19"/>
        <v>0</v>
      </c>
    </row>
    <row r="28" spans="1:62" x14ac:dyDescent="0.4">
      <c r="A28">
        <v>16</v>
      </c>
      <c r="B28" t="str">
        <f>tblCountries!H18</f>
        <v>Ho Chi Minh City, Vietnam</v>
      </c>
      <c r="C28" t="str" cm="1">
        <f t="array" aca="1" ref="C28" ca="1">IF(AND($C$2=1,NOT(ISNUMBER(INDEX(auto_DataFlat_DataValue,$D28,$B$4)))),"EXCLUDE","")</f>
        <v/>
      </c>
      <c r="D28" cm="1">
        <f t="array" aca="1" ref="D28" ca="1">INDEX(sys_DataFlat_LU_Grid,$B$2,$A28)</f>
        <v>16</v>
      </c>
      <c r="E28" cm="1">
        <f t="array" aca="1" ref="E28" ca="1">IF(C28="EXCLUDE","n/a",IF($B$6="DATA",INDEX(auto_DataFlat_DataValue,$D28,$B$4),INDEX(auto_DataFlat_Score,$D28,$B$4)))</f>
        <v>66</v>
      </c>
      <c r="F28" t="str" cm="1">
        <f t="array" aca="1" ref="F28" ca="1">IF(INDEX(OFFSET(tblCountries!$T$3:$T$52,0,F$11,120,1),$A28)=0,"",$E28)</f>
        <v/>
      </c>
      <c r="G28" t="str" cm="1">
        <f t="array" aca="1" ref="G28" ca="1">IF(INDEX(OFFSET(tblCountries!$T$3:$T$52,0,G$11,120,1),$A28)=0,"",$E28)</f>
        <v/>
      </c>
      <c r="H28" t="str" cm="1">
        <f t="array" aca="1" ref="H28" ca="1">IF(INDEX(OFFSET(tblCountries!$T$3:$T$52,0,H$11,120,1),$A28)=0,"",$E28)</f>
        <v/>
      </c>
      <c r="I28" t="str" cm="1">
        <f t="array" aca="1" ref="I28" ca="1">IF(INDEX(OFFSET(tblCountries!$T$3:$T$52,0,I$11,120,1),$A28)=0,"",$E28)</f>
        <v/>
      </c>
      <c r="J28" t="str" cm="1">
        <f t="array" aca="1" ref="J28" ca="1">IF(INDEX(OFFSET(tblCountries!$T$3:$T$52,0,J$11,120,1),$A28)=0,"",$E28)</f>
        <v/>
      </c>
      <c r="K28" cm="1">
        <f t="array" aca="1" ref="K28" ca="1">IF(INDEX(OFFSET(tblCountries!$T$3:$T$52,0,K$11,120,1),$A28)=0,"",$E28)</f>
        <v>66</v>
      </c>
      <c r="L28" cm="1">
        <f t="array" aca="1" ref="L28" ca="1">IF(INDEX(OFFSET(tblCountries!$T$3:$T$52,0,L$11,120,1),$A28)=0,"",$E28)</f>
        <v>66</v>
      </c>
      <c r="M28" t="str" cm="1">
        <f t="array" aca="1" ref="M28" ca="1">IF(INDEX(OFFSET(tblCountries!$T$3:$T$52,0,M$11,120,1),$A28)=0,"",$E28)</f>
        <v/>
      </c>
      <c r="N28" t="str" cm="1">
        <f t="array" aca="1" ref="N28" ca="1">IF(INDEX(OFFSET(tblCountries!$T$3:$T$52,0,N$11,120,1),$A28)=0,"",$E28)</f>
        <v/>
      </c>
      <c r="O28" t="str" cm="1">
        <f t="array" aca="1" ref="O28" ca="1">IF(INDEX(OFFSET(tblCountries!$T$3:$T$52,0,O$11,120,1),$A28)=0,"",$E28)</f>
        <v/>
      </c>
      <c r="P28" t="str" cm="1">
        <f t="array" aca="1" ref="P28" ca="1">IF(INDEX(OFFSET(tblCountries!$T$3:$T$52,0,P$11,120,1),$A28)=0,"",$E28)</f>
        <v/>
      </c>
      <c r="Q28" t="str" cm="1">
        <f t="array" aca="1" ref="Q28" ca="1">IF(INDEX(OFFSET(tblCountries!$T$3:$T$52,0,Q$11,120,1),$A28)=0,"",$E28)</f>
        <v/>
      </c>
      <c r="R28" t="str" cm="1">
        <f t="array" aca="1" ref="R28" ca="1">IF(INDEX(OFFSET(tblCountries!$T$3:$T$52,0,R$11,120,1),$A28)=0,"",$E28)</f>
        <v/>
      </c>
      <c r="S28" t="str" cm="1">
        <f t="array" aca="1" ref="S28" ca="1">IF(INDEX(OFFSET(tblCountries!$T$3:$T$52,0,S$11,120,1),$A28)=0,"",$E28)</f>
        <v/>
      </c>
      <c r="T28" t="str" cm="1">
        <f t="array" aca="1" ref="T28" ca="1">IF(INDEX(OFFSET(tblCountries!$T$3:$T$52,0,T$11,120,1),$A28)=0,"",$E28)</f>
        <v/>
      </c>
      <c r="U28" t="str" cm="1">
        <f t="array" aca="1" ref="U28" ca="1">IF(INDEX(OFFSET(tblCountries!$T$3:$T$52,0,U$11,120,1),$A28)=0,"",$E28)</f>
        <v/>
      </c>
      <c r="V28" t="str" cm="1">
        <f t="array" aca="1" ref="V28" ca="1">IF(INDEX(OFFSET(tblCountries!$T$3:$T$52,0,V$11,120,1),$A28)=0,"",$E28)</f>
        <v/>
      </c>
      <c r="W28" t="str" cm="1">
        <f t="array" aca="1" ref="W28" ca="1">IF(INDEX(OFFSET(tblCountries!$T$3:$T$52,0,W$11,120,1),$A28)=0,"",$E28)</f>
        <v/>
      </c>
      <c r="X28" t="str" cm="1">
        <f t="array" aca="1" ref="X28" ca="1">IF(INDEX(OFFSET(tblCountries!$T$3:$T$52,0,X$11,120,1),$A28)=0,"",$E28)</f>
        <v/>
      </c>
      <c r="Y28" t="str" cm="1">
        <f t="array" aca="1" ref="Y28" ca="1">IF(INDEX(OFFSET(tblCountries!$T$3:$T$52,0,Y$11,120,1),$A28)=0,"",$E28)</f>
        <v/>
      </c>
      <c r="Z28" t="str" cm="1">
        <f t="array" aca="1" ref="Z28" ca="1">IF(AND($C$3=1,NOT(ISNUMBER(INDEX(auto_DataFlat_DataValue,$AA28,$B$4)))),"EXCLUDE","")</f>
        <v/>
      </c>
      <c r="AA28" cm="1">
        <f t="array" aca="1" ref="AA28" ca="1">INDEX(sys_DataFlat_LU_Grid,$B$3,$A28)</f>
        <v>76</v>
      </c>
      <c r="AB28" cm="1">
        <f t="array" aca="1" ref="AB28" ca="1">IF(Z28="EXCLUDE","n/a",IF($B$7="DATA",INDEX(auto_DataFlat_DataValue,$AA28,$B$4),INDEX(auto_DataFlat_Score,$AA28,$B$4)))</f>
        <v>77</v>
      </c>
      <c r="AC28" t="str" cm="1">
        <f t="array" aca="1" ref="AC28" ca="1">IF(INDEX(OFFSET(tblCountries!$T$3:$T$52,0,AC$11,120,1),$A28)=0,"",$AB28)</f>
        <v/>
      </c>
      <c r="AD28" t="str" cm="1">
        <f t="array" aca="1" ref="AD28" ca="1">IF(INDEX(OFFSET(tblCountries!$T$3:$T$52,0,AD$11,120,1),$A28)=0,"",$AB28)</f>
        <v/>
      </c>
      <c r="AE28" t="str" cm="1">
        <f t="array" aca="1" ref="AE28" ca="1">IF(INDEX(OFFSET(tblCountries!$T$3:$T$52,0,AE$11,120,1),$A28)=0,"",$AB28)</f>
        <v/>
      </c>
      <c r="AF28" t="str" cm="1">
        <f t="array" aca="1" ref="AF28" ca="1">IF(INDEX(OFFSET(tblCountries!$T$3:$T$52,0,AF$11,120,1),$A28)=0,"",$AB28)</f>
        <v/>
      </c>
      <c r="AG28" t="str" cm="1">
        <f t="array" aca="1" ref="AG28" ca="1">IF(INDEX(OFFSET(tblCountries!$T$3:$T$52,0,AG$11,120,1),$A28)=0,"",$AB28)</f>
        <v/>
      </c>
      <c r="AH28" cm="1">
        <f t="array" aca="1" ref="AH28" ca="1">IF(INDEX(OFFSET(tblCountries!$T$3:$T$52,0,AH$11,120,1),$A28)=0,"",$AB28)</f>
        <v>77</v>
      </c>
      <c r="AI28" cm="1">
        <f t="array" aca="1" ref="AI28" ca="1">IF(INDEX(OFFSET(tblCountries!$T$3:$T$52,0,AI$11,120,1),$A28)=0,"",$AB28)</f>
        <v>77</v>
      </c>
      <c r="AJ28" t="str" cm="1">
        <f t="array" aca="1" ref="AJ28" ca="1">IF(INDEX(OFFSET(tblCountries!$T$3:$T$52,0,AJ$11,120,1),$A28)=0,"",$AB28)</f>
        <v/>
      </c>
      <c r="AK28" t="str" cm="1">
        <f t="array" aca="1" ref="AK28" ca="1">IF(INDEX(OFFSET(tblCountries!$T$3:$T$52,0,AK$11,120,1),$A28)=0,"",$AB28)</f>
        <v/>
      </c>
      <c r="AL28" t="str" cm="1">
        <f t="array" aca="1" ref="AL28" ca="1">IF(INDEX(OFFSET(tblCountries!$T$3:$T$52,0,AL$11,120,1),$A28)=0,"",$AB28)</f>
        <v/>
      </c>
      <c r="AM28" t="str" cm="1">
        <f t="array" aca="1" ref="AM28" ca="1">IF(INDEX(OFFSET(tblCountries!$T$3:$T$52,0,AM$11,120,1),$A28)=0,"",$AB28)</f>
        <v/>
      </c>
      <c r="AN28" t="str" cm="1">
        <f t="array" aca="1" ref="AN28" ca="1">IF(INDEX(OFFSET(tblCountries!$T$3:$T$52,0,AN$11,120,1),$A28)=0,"",$AB28)</f>
        <v/>
      </c>
      <c r="AO28" t="str" cm="1">
        <f t="array" aca="1" ref="AO28" ca="1">IF(INDEX(OFFSET(tblCountries!$T$3:$T$52,0,AO$11,120,1),$A28)=0,"",$AB28)</f>
        <v/>
      </c>
      <c r="AP28" t="str" cm="1">
        <f t="array" aca="1" ref="AP28" ca="1">IF(INDEX(OFFSET(tblCountries!$T$3:$T$52,0,AP$11,120,1),$A28)=0,"",$AB28)</f>
        <v/>
      </c>
      <c r="AQ28" t="str" cm="1">
        <f t="array" aca="1" ref="AQ28" ca="1">IF(INDEX(OFFSET(tblCountries!$T$3:$T$52,0,AQ$11,120,1),$A28)=0,"",$AB28)</f>
        <v/>
      </c>
      <c r="AR28" t="str" cm="1">
        <f t="array" aca="1" ref="AR28" ca="1">IF(INDEX(OFFSET(tblCountries!$T$3:$T$52,0,AR$11,120,1),$A28)=0,"",$AB28)</f>
        <v/>
      </c>
      <c r="AS28" t="str" cm="1">
        <f t="array" aca="1" ref="AS28" ca="1">IF(INDEX(OFFSET(tblCountries!$T$3:$T$52,0,AS$11,120,1),$A28)=0,"",$AB28)</f>
        <v/>
      </c>
      <c r="AT28" t="str" cm="1">
        <f t="array" aca="1" ref="AT28" ca="1">IF(INDEX(OFFSET(tblCountries!$T$3:$T$52,0,AT$11,120,1),$A28)=0,"",$AB28)</f>
        <v/>
      </c>
      <c r="AU28" t="str" cm="1">
        <f t="array" aca="1" ref="AU28" ca="1">IF(INDEX(OFFSET(tblCountries!$T$3:$T$52,0,AU$11,120,1),$A28)=0,"",$AB28)</f>
        <v/>
      </c>
      <c r="AV28" t="str" cm="1">
        <f t="array" aca="1" ref="AV28" ca="1">IF(INDEX(OFFSET(tblCountries!$T$3:$T$52,0,AV$11,120,1),$A28)=0,"",$AB28)</f>
        <v/>
      </c>
      <c r="AZ28">
        <f t="shared" ca="1" si="9"/>
        <v>1</v>
      </c>
      <c r="BA28">
        <f t="shared" ca="1" si="10"/>
        <v>0</v>
      </c>
      <c r="BB28">
        <f t="shared" ca="1" si="11"/>
        <v>0</v>
      </c>
      <c r="BC28">
        <f t="shared" ca="1" si="12"/>
        <v>0</v>
      </c>
      <c r="BD28">
        <f t="shared" ca="1" si="13"/>
        <v>0</v>
      </c>
      <c r="BE28">
        <f t="shared" ca="1" si="14"/>
        <v>0</v>
      </c>
      <c r="BF28">
        <f t="shared" ca="1" si="15"/>
        <v>1</v>
      </c>
      <c r="BG28">
        <f t="shared" ca="1" si="16"/>
        <v>1</v>
      </c>
      <c r="BH28">
        <f t="shared" ca="1" si="17"/>
        <v>0</v>
      </c>
      <c r="BI28">
        <f t="shared" ca="1" si="18"/>
        <v>0</v>
      </c>
      <c r="BJ28">
        <f t="shared" ca="1" si="19"/>
        <v>0</v>
      </c>
    </row>
    <row r="29" spans="1:62" x14ac:dyDescent="0.4">
      <c r="A29">
        <v>17</v>
      </c>
      <c r="B29" t="str">
        <f>tblCountries!H19</f>
        <v>Hong Kong, Hong Kong</v>
      </c>
      <c r="C29" t="str" cm="1">
        <f t="array" aca="1" ref="C29" ca="1">IF(AND($C$2=1,NOT(ISNUMBER(INDEX(auto_DataFlat_DataValue,$D29,$B$4)))),"EXCLUDE","")</f>
        <v/>
      </c>
      <c r="D29" cm="1">
        <f t="array" aca="1" ref="D29" ca="1">INDEX(sys_DataFlat_LU_Grid,$B$2,$A29)</f>
        <v>17</v>
      </c>
      <c r="E29" cm="1">
        <f t="array" aca="1" ref="E29" ca="1">IF(C29="EXCLUDE","n/a",IF($B$6="DATA",INDEX(auto_DataFlat_DataValue,$D29,$B$4),INDEX(auto_DataFlat_Score,$D29,$B$4)))</f>
        <v>83.2</v>
      </c>
      <c r="F29" t="str" cm="1">
        <f t="array" aca="1" ref="F29" ca="1">IF(INDEX(OFFSET(tblCountries!$T$3:$T$52,0,F$11,120,1),$A29)=0,"",$E29)</f>
        <v/>
      </c>
      <c r="G29" t="str" cm="1">
        <f t="array" aca="1" ref="G29" ca="1">IF(INDEX(OFFSET(tblCountries!$T$3:$T$52,0,G$11,120,1),$A29)=0,"",$E29)</f>
        <v/>
      </c>
      <c r="H29" t="str" cm="1">
        <f t="array" aca="1" ref="H29" ca="1">IF(INDEX(OFFSET(tblCountries!$T$3:$T$52,0,H$11,120,1),$A29)=0,"",$E29)</f>
        <v/>
      </c>
      <c r="I29" t="str" cm="1">
        <f t="array" aca="1" ref="I29" ca="1">IF(INDEX(OFFSET(tblCountries!$T$3:$T$52,0,I$11,120,1),$A29)=0,"",$E29)</f>
        <v/>
      </c>
      <c r="J29" t="str" cm="1">
        <f t="array" aca="1" ref="J29" ca="1">IF(INDEX(OFFSET(tblCountries!$T$3:$T$52,0,J$11,120,1),$A29)=0,"",$E29)</f>
        <v/>
      </c>
      <c r="K29" cm="1">
        <f t="array" aca="1" ref="K29" ca="1">IF(INDEX(OFFSET(tblCountries!$T$3:$T$52,0,K$11,120,1),$A29)=0,"",$E29)</f>
        <v>83.2</v>
      </c>
      <c r="L29" t="str" cm="1">
        <f t="array" aca="1" ref="L29" ca="1">IF(INDEX(OFFSET(tblCountries!$T$3:$T$52,0,L$11,120,1),$A29)=0,"",$E29)</f>
        <v/>
      </c>
      <c r="M29" t="str" cm="1">
        <f t="array" aca="1" ref="M29" ca="1">IF(INDEX(OFFSET(tblCountries!$T$3:$T$52,0,M$11,120,1),$A29)=0,"",$E29)</f>
        <v/>
      </c>
      <c r="N29" cm="1">
        <f t="array" aca="1" ref="N29" ca="1">IF(INDEX(OFFSET(tblCountries!$T$3:$T$52,0,N$11,120,1),$A29)=0,"",$E29)</f>
        <v>83.2</v>
      </c>
      <c r="O29" t="str" cm="1">
        <f t="array" aca="1" ref="O29" ca="1">IF(INDEX(OFFSET(tblCountries!$T$3:$T$52,0,O$11,120,1),$A29)=0,"",$E29)</f>
        <v/>
      </c>
      <c r="P29" t="str" cm="1">
        <f t="array" aca="1" ref="P29" ca="1">IF(INDEX(OFFSET(tblCountries!$T$3:$T$52,0,P$11,120,1),$A29)=0,"",$E29)</f>
        <v/>
      </c>
      <c r="Q29" t="str" cm="1">
        <f t="array" aca="1" ref="Q29" ca="1">IF(INDEX(OFFSET(tblCountries!$T$3:$T$52,0,Q$11,120,1),$A29)=0,"",$E29)</f>
        <v/>
      </c>
      <c r="R29" t="str" cm="1">
        <f t="array" aca="1" ref="R29" ca="1">IF(INDEX(OFFSET(tblCountries!$T$3:$T$52,0,R$11,120,1),$A29)=0,"",$E29)</f>
        <v/>
      </c>
      <c r="S29" t="str" cm="1">
        <f t="array" aca="1" ref="S29" ca="1">IF(INDEX(OFFSET(tblCountries!$T$3:$T$52,0,S$11,120,1),$A29)=0,"",$E29)</f>
        <v/>
      </c>
      <c r="T29" t="str" cm="1">
        <f t="array" aca="1" ref="T29" ca="1">IF(INDEX(OFFSET(tblCountries!$T$3:$T$52,0,T$11,120,1),$A29)=0,"",$E29)</f>
        <v/>
      </c>
      <c r="U29" t="str" cm="1">
        <f t="array" aca="1" ref="U29" ca="1">IF(INDEX(OFFSET(tblCountries!$T$3:$T$52,0,U$11,120,1),$A29)=0,"",$E29)</f>
        <v/>
      </c>
      <c r="V29" t="str" cm="1">
        <f t="array" aca="1" ref="V29" ca="1">IF(INDEX(OFFSET(tblCountries!$T$3:$T$52,0,V$11,120,1),$A29)=0,"",$E29)</f>
        <v/>
      </c>
      <c r="W29" t="str" cm="1">
        <f t="array" aca="1" ref="W29" ca="1">IF(INDEX(OFFSET(tblCountries!$T$3:$T$52,0,W$11,120,1),$A29)=0,"",$E29)</f>
        <v/>
      </c>
      <c r="X29" t="str" cm="1">
        <f t="array" aca="1" ref="X29" ca="1">IF(INDEX(OFFSET(tblCountries!$T$3:$T$52,0,X$11,120,1),$A29)=0,"",$E29)</f>
        <v/>
      </c>
      <c r="Y29" t="str" cm="1">
        <f t="array" aca="1" ref="Y29" ca="1">IF(INDEX(OFFSET(tblCountries!$T$3:$T$52,0,Y$11,120,1),$A29)=0,"",$E29)</f>
        <v/>
      </c>
      <c r="Z29" t="str" cm="1">
        <f t="array" aca="1" ref="Z29" ca="1">IF(AND($C$3=1,NOT(ISNUMBER(INDEX(auto_DataFlat_DataValue,$AA29,$B$4)))),"EXCLUDE","")</f>
        <v/>
      </c>
      <c r="AA29" cm="1">
        <f t="array" aca="1" ref="AA29" ca="1">INDEX(sys_DataFlat_LU_Grid,$B$3,$A29)</f>
        <v>77</v>
      </c>
      <c r="AB29" cm="1">
        <f t="array" aca="1" ref="AB29" ca="1">IF(Z29="EXCLUDE","n/a",IF($B$7="DATA",INDEX(auto_DataFlat_DataValue,$AA29,$B$4),INDEX(auto_DataFlat_Score,$AA29,$B$4)))</f>
        <v>84.3</v>
      </c>
      <c r="AC29" t="str" cm="1">
        <f t="array" aca="1" ref="AC29" ca="1">IF(INDEX(OFFSET(tblCountries!$T$3:$T$52,0,AC$11,120,1),$A29)=0,"",$AB29)</f>
        <v/>
      </c>
      <c r="AD29" t="str" cm="1">
        <f t="array" aca="1" ref="AD29" ca="1">IF(INDEX(OFFSET(tblCountries!$T$3:$T$52,0,AD$11,120,1),$A29)=0,"",$AB29)</f>
        <v/>
      </c>
      <c r="AE29" t="str" cm="1">
        <f t="array" aca="1" ref="AE29" ca="1">IF(INDEX(OFFSET(tblCountries!$T$3:$T$52,0,AE$11,120,1),$A29)=0,"",$AB29)</f>
        <v/>
      </c>
      <c r="AF29" t="str" cm="1">
        <f t="array" aca="1" ref="AF29" ca="1">IF(INDEX(OFFSET(tblCountries!$T$3:$T$52,0,AF$11,120,1),$A29)=0,"",$AB29)</f>
        <v/>
      </c>
      <c r="AG29" t="str" cm="1">
        <f t="array" aca="1" ref="AG29" ca="1">IF(INDEX(OFFSET(tblCountries!$T$3:$T$52,0,AG$11,120,1),$A29)=0,"",$AB29)</f>
        <v/>
      </c>
      <c r="AH29" cm="1">
        <f t="array" aca="1" ref="AH29" ca="1">IF(INDEX(OFFSET(tblCountries!$T$3:$T$52,0,AH$11,120,1),$A29)=0,"",$AB29)</f>
        <v>84.3</v>
      </c>
      <c r="AI29" t="str" cm="1">
        <f t="array" aca="1" ref="AI29" ca="1">IF(INDEX(OFFSET(tblCountries!$T$3:$T$52,0,AI$11,120,1),$A29)=0,"",$AB29)</f>
        <v/>
      </c>
      <c r="AJ29" t="str" cm="1">
        <f t="array" aca="1" ref="AJ29" ca="1">IF(INDEX(OFFSET(tblCountries!$T$3:$T$52,0,AJ$11,120,1),$A29)=0,"",$AB29)</f>
        <v/>
      </c>
      <c r="AK29" cm="1">
        <f t="array" aca="1" ref="AK29" ca="1">IF(INDEX(OFFSET(tblCountries!$T$3:$T$52,0,AK$11,120,1),$A29)=0,"",$AB29)</f>
        <v>84.3</v>
      </c>
      <c r="AL29" t="str" cm="1">
        <f t="array" aca="1" ref="AL29" ca="1">IF(INDEX(OFFSET(tblCountries!$T$3:$T$52,0,AL$11,120,1),$A29)=0,"",$AB29)</f>
        <v/>
      </c>
      <c r="AM29" t="str" cm="1">
        <f t="array" aca="1" ref="AM29" ca="1">IF(INDEX(OFFSET(tblCountries!$T$3:$T$52,0,AM$11,120,1),$A29)=0,"",$AB29)</f>
        <v/>
      </c>
      <c r="AN29" t="str" cm="1">
        <f t="array" aca="1" ref="AN29" ca="1">IF(INDEX(OFFSET(tblCountries!$T$3:$T$52,0,AN$11,120,1),$A29)=0,"",$AB29)</f>
        <v/>
      </c>
      <c r="AO29" t="str" cm="1">
        <f t="array" aca="1" ref="AO29" ca="1">IF(INDEX(OFFSET(tblCountries!$T$3:$T$52,0,AO$11,120,1),$A29)=0,"",$AB29)</f>
        <v/>
      </c>
      <c r="AP29" t="str" cm="1">
        <f t="array" aca="1" ref="AP29" ca="1">IF(INDEX(OFFSET(tblCountries!$T$3:$T$52,0,AP$11,120,1),$A29)=0,"",$AB29)</f>
        <v/>
      </c>
      <c r="AQ29" t="str" cm="1">
        <f t="array" aca="1" ref="AQ29" ca="1">IF(INDEX(OFFSET(tblCountries!$T$3:$T$52,0,AQ$11,120,1),$A29)=0,"",$AB29)</f>
        <v/>
      </c>
      <c r="AR29" t="str" cm="1">
        <f t="array" aca="1" ref="AR29" ca="1">IF(INDEX(OFFSET(tblCountries!$T$3:$T$52,0,AR$11,120,1),$A29)=0,"",$AB29)</f>
        <v/>
      </c>
      <c r="AS29" t="str" cm="1">
        <f t="array" aca="1" ref="AS29" ca="1">IF(INDEX(OFFSET(tblCountries!$T$3:$T$52,0,AS$11,120,1),$A29)=0,"",$AB29)</f>
        <v/>
      </c>
      <c r="AT29" t="str" cm="1">
        <f t="array" aca="1" ref="AT29" ca="1">IF(INDEX(OFFSET(tblCountries!$T$3:$T$52,0,AT$11,120,1),$A29)=0,"",$AB29)</f>
        <v/>
      </c>
      <c r="AU29" t="str" cm="1">
        <f t="array" aca="1" ref="AU29" ca="1">IF(INDEX(OFFSET(tblCountries!$T$3:$T$52,0,AU$11,120,1),$A29)=0,"",$AB29)</f>
        <v/>
      </c>
      <c r="AV29" t="str" cm="1">
        <f t="array" aca="1" ref="AV29" ca="1">IF(INDEX(OFFSET(tblCountries!$T$3:$T$52,0,AV$11,120,1),$A29)=0,"",$AB29)</f>
        <v/>
      </c>
      <c r="AZ29">
        <f t="shared" ca="1" si="9"/>
        <v>1</v>
      </c>
      <c r="BA29">
        <f t="shared" ca="1" si="10"/>
        <v>0</v>
      </c>
      <c r="BB29">
        <f t="shared" ca="1" si="11"/>
        <v>0</v>
      </c>
      <c r="BC29">
        <f t="shared" ca="1" si="12"/>
        <v>0</v>
      </c>
      <c r="BD29">
        <f t="shared" ca="1" si="13"/>
        <v>0</v>
      </c>
      <c r="BE29">
        <f t="shared" ca="1" si="14"/>
        <v>0</v>
      </c>
      <c r="BF29">
        <f t="shared" ca="1" si="15"/>
        <v>1</v>
      </c>
      <c r="BG29">
        <f t="shared" ca="1" si="16"/>
        <v>0</v>
      </c>
      <c r="BH29">
        <f t="shared" ca="1" si="17"/>
        <v>0</v>
      </c>
      <c r="BI29">
        <f t="shared" ca="1" si="18"/>
        <v>1</v>
      </c>
      <c r="BJ29">
        <f t="shared" ca="1" si="19"/>
        <v>0</v>
      </c>
    </row>
    <row r="30" spans="1:62" x14ac:dyDescent="0.4">
      <c r="A30">
        <v>18</v>
      </c>
      <c r="B30" t="str">
        <f>tblCountries!H20</f>
        <v>Istanbul, Turkey</v>
      </c>
      <c r="C30" t="str" cm="1">
        <f t="array" aca="1" ref="C30" ca="1">IF(AND($C$2=1,NOT(ISNUMBER(INDEX(auto_DataFlat_DataValue,$D30,$B$4)))),"EXCLUDE","")</f>
        <v/>
      </c>
      <c r="D30" cm="1">
        <f t="array" aca="1" ref="D30" ca="1">INDEX(sys_DataFlat_LU_Grid,$B$2,$A30)</f>
        <v>18</v>
      </c>
      <c r="E30" cm="1">
        <f t="array" aca="1" ref="E30" ca="1">IF(C30="EXCLUDE","n/a",IF($B$6="DATA",INDEX(auto_DataFlat_DataValue,$D30,$B$4),INDEX(auto_DataFlat_Score,$D30,$B$4)))</f>
        <v>60.4</v>
      </c>
      <c r="F30" t="str" cm="1">
        <f t="array" aca="1" ref="F30" ca="1">IF(INDEX(OFFSET(tblCountries!$T$3:$T$52,0,F$11,120,1),$A30)=0,"",$E30)</f>
        <v/>
      </c>
      <c r="G30" t="str" cm="1">
        <f t="array" aca="1" ref="G30" ca="1">IF(INDEX(OFFSET(tblCountries!$T$3:$T$52,0,G$11,120,1),$A30)=0,"",$E30)</f>
        <v/>
      </c>
      <c r="H30" t="str" cm="1">
        <f t="array" aca="1" ref="H30" ca="1">IF(INDEX(OFFSET(tblCountries!$T$3:$T$52,0,H$11,120,1),$A30)=0,"",$E30)</f>
        <v/>
      </c>
      <c r="I30" cm="1">
        <f t="array" aca="1" ref="I30" ca="1">IF(INDEX(OFFSET(tblCountries!$T$3:$T$52,0,I$11,120,1),$A30)=0,"",$E30)</f>
        <v>60.4</v>
      </c>
      <c r="J30" t="str" cm="1">
        <f t="array" aca="1" ref="J30" ca="1">IF(INDEX(OFFSET(tblCountries!$T$3:$T$52,0,J$11,120,1),$A30)=0,"",$E30)</f>
        <v/>
      </c>
      <c r="K30" t="str" cm="1">
        <f t="array" aca="1" ref="K30" ca="1">IF(INDEX(OFFSET(tblCountries!$T$3:$T$52,0,K$11,120,1),$A30)=0,"",$E30)</f>
        <v/>
      </c>
      <c r="L30" t="str" cm="1">
        <f t="array" aca="1" ref="L30" ca="1">IF(INDEX(OFFSET(tblCountries!$T$3:$T$52,0,L$11,120,1),$A30)=0,"",$E30)</f>
        <v/>
      </c>
      <c r="M30" cm="1">
        <f t="array" aca="1" ref="M30" ca="1">IF(INDEX(OFFSET(tblCountries!$T$3:$T$52,0,M$11,120,1),$A30)=0,"",$E30)</f>
        <v>60.4</v>
      </c>
      <c r="N30" t="str" cm="1">
        <f t="array" aca="1" ref="N30" ca="1">IF(INDEX(OFFSET(tblCountries!$T$3:$T$52,0,N$11,120,1),$A30)=0,"",$E30)</f>
        <v/>
      </c>
      <c r="O30" t="str" cm="1">
        <f t="array" aca="1" ref="O30" ca="1">IF(INDEX(OFFSET(tblCountries!$T$3:$T$52,0,O$11,120,1),$A30)=0,"",$E30)</f>
        <v/>
      </c>
      <c r="P30" t="str" cm="1">
        <f t="array" aca="1" ref="P30" ca="1">IF(INDEX(OFFSET(tblCountries!$T$3:$T$52,0,P$11,120,1),$A30)=0,"",$E30)</f>
        <v/>
      </c>
      <c r="Q30" t="str" cm="1">
        <f t="array" aca="1" ref="Q30" ca="1">IF(INDEX(OFFSET(tblCountries!$T$3:$T$52,0,Q$11,120,1),$A30)=0,"",$E30)</f>
        <v/>
      </c>
      <c r="R30" t="str" cm="1">
        <f t="array" aca="1" ref="R30" ca="1">IF(INDEX(OFFSET(tblCountries!$T$3:$T$52,0,R$11,120,1),$A30)=0,"",$E30)</f>
        <v/>
      </c>
      <c r="S30" t="str" cm="1">
        <f t="array" aca="1" ref="S30" ca="1">IF(INDEX(OFFSET(tblCountries!$T$3:$T$52,0,S$11,120,1),$A30)=0,"",$E30)</f>
        <v/>
      </c>
      <c r="T30" t="str" cm="1">
        <f t="array" aca="1" ref="T30" ca="1">IF(INDEX(OFFSET(tblCountries!$T$3:$T$52,0,T$11,120,1),$A30)=0,"",$E30)</f>
        <v/>
      </c>
      <c r="U30" t="str" cm="1">
        <f t="array" aca="1" ref="U30" ca="1">IF(INDEX(OFFSET(tblCountries!$T$3:$T$52,0,U$11,120,1),$A30)=0,"",$E30)</f>
        <v/>
      </c>
      <c r="V30" t="str" cm="1">
        <f t="array" aca="1" ref="V30" ca="1">IF(INDEX(OFFSET(tblCountries!$T$3:$T$52,0,V$11,120,1),$A30)=0,"",$E30)</f>
        <v/>
      </c>
      <c r="W30" t="str" cm="1">
        <f t="array" aca="1" ref="W30" ca="1">IF(INDEX(OFFSET(tblCountries!$T$3:$T$52,0,W$11,120,1),$A30)=0,"",$E30)</f>
        <v/>
      </c>
      <c r="X30" t="str" cm="1">
        <f t="array" aca="1" ref="X30" ca="1">IF(INDEX(OFFSET(tblCountries!$T$3:$T$52,0,X$11,120,1),$A30)=0,"",$E30)</f>
        <v/>
      </c>
      <c r="Y30" t="str" cm="1">
        <f t="array" aca="1" ref="Y30" ca="1">IF(INDEX(OFFSET(tblCountries!$T$3:$T$52,0,Y$11,120,1),$A30)=0,"",$E30)</f>
        <v/>
      </c>
      <c r="Z30" t="str" cm="1">
        <f t="array" aca="1" ref="Z30" ca="1">IF(AND($C$3=1,NOT(ISNUMBER(INDEX(auto_DataFlat_DataValue,$AA30,$B$4)))),"EXCLUDE","")</f>
        <v/>
      </c>
      <c r="AA30" cm="1">
        <f t="array" aca="1" ref="AA30" ca="1">INDEX(sys_DataFlat_LU_Grid,$B$3,$A30)</f>
        <v>78</v>
      </c>
      <c r="AB30" cm="1">
        <f t="array" aca="1" ref="AB30" ca="1">IF(Z30="EXCLUDE","n/a",IF($B$7="DATA",INDEX(auto_DataFlat_DataValue,$AA30,$B$4),INDEX(auto_DataFlat_Score,$AA30,$B$4)))</f>
        <v>80.599999999999994</v>
      </c>
      <c r="AC30" t="str" cm="1">
        <f t="array" aca="1" ref="AC30" ca="1">IF(INDEX(OFFSET(tblCountries!$T$3:$T$52,0,AC$11,120,1),$A30)=0,"",$AB30)</f>
        <v/>
      </c>
      <c r="AD30" t="str" cm="1">
        <f t="array" aca="1" ref="AD30" ca="1">IF(INDEX(OFFSET(tblCountries!$T$3:$T$52,0,AD$11,120,1),$A30)=0,"",$AB30)</f>
        <v/>
      </c>
      <c r="AE30" t="str" cm="1">
        <f t="array" aca="1" ref="AE30" ca="1">IF(INDEX(OFFSET(tblCountries!$T$3:$T$52,0,AE$11,120,1),$A30)=0,"",$AB30)</f>
        <v/>
      </c>
      <c r="AF30" cm="1">
        <f t="array" aca="1" ref="AF30" ca="1">IF(INDEX(OFFSET(tblCountries!$T$3:$T$52,0,AF$11,120,1),$A30)=0,"",$AB30)</f>
        <v>80.599999999999994</v>
      </c>
      <c r="AG30" t="str" cm="1">
        <f t="array" aca="1" ref="AG30" ca="1">IF(INDEX(OFFSET(tblCountries!$T$3:$T$52,0,AG$11,120,1),$A30)=0,"",$AB30)</f>
        <v/>
      </c>
      <c r="AH30" t="str" cm="1">
        <f t="array" aca="1" ref="AH30" ca="1">IF(INDEX(OFFSET(tblCountries!$T$3:$T$52,0,AH$11,120,1),$A30)=0,"",$AB30)</f>
        <v/>
      </c>
      <c r="AI30" t="str" cm="1">
        <f t="array" aca="1" ref="AI30" ca="1">IF(INDEX(OFFSET(tblCountries!$T$3:$T$52,0,AI$11,120,1),$A30)=0,"",$AB30)</f>
        <v/>
      </c>
      <c r="AJ30" cm="1">
        <f t="array" aca="1" ref="AJ30" ca="1">IF(INDEX(OFFSET(tblCountries!$T$3:$T$52,0,AJ$11,120,1),$A30)=0,"",$AB30)</f>
        <v>80.599999999999994</v>
      </c>
      <c r="AK30" t="str" cm="1">
        <f t="array" aca="1" ref="AK30" ca="1">IF(INDEX(OFFSET(tblCountries!$T$3:$T$52,0,AK$11,120,1),$A30)=0,"",$AB30)</f>
        <v/>
      </c>
      <c r="AL30" t="str" cm="1">
        <f t="array" aca="1" ref="AL30" ca="1">IF(INDEX(OFFSET(tblCountries!$T$3:$T$52,0,AL$11,120,1),$A30)=0,"",$AB30)</f>
        <v/>
      </c>
      <c r="AM30" t="str" cm="1">
        <f t="array" aca="1" ref="AM30" ca="1">IF(INDEX(OFFSET(tblCountries!$T$3:$T$52,0,AM$11,120,1),$A30)=0,"",$AB30)</f>
        <v/>
      </c>
      <c r="AN30" t="str" cm="1">
        <f t="array" aca="1" ref="AN30" ca="1">IF(INDEX(OFFSET(tblCountries!$T$3:$T$52,0,AN$11,120,1),$A30)=0,"",$AB30)</f>
        <v/>
      </c>
      <c r="AO30" t="str" cm="1">
        <f t="array" aca="1" ref="AO30" ca="1">IF(INDEX(OFFSET(tblCountries!$T$3:$T$52,0,AO$11,120,1),$A30)=0,"",$AB30)</f>
        <v/>
      </c>
      <c r="AP30" t="str" cm="1">
        <f t="array" aca="1" ref="AP30" ca="1">IF(INDEX(OFFSET(tblCountries!$T$3:$T$52,0,AP$11,120,1),$A30)=0,"",$AB30)</f>
        <v/>
      </c>
      <c r="AQ30" t="str" cm="1">
        <f t="array" aca="1" ref="AQ30" ca="1">IF(INDEX(OFFSET(tblCountries!$T$3:$T$52,0,AQ$11,120,1),$A30)=0,"",$AB30)</f>
        <v/>
      </c>
      <c r="AR30" t="str" cm="1">
        <f t="array" aca="1" ref="AR30" ca="1">IF(INDEX(OFFSET(tblCountries!$T$3:$T$52,0,AR$11,120,1),$A30)=0,"",$AB30)</f>
        <v/>
      </c>
      <c r="AS30" t="str" cm="1">
        <f t="array" aca="1" ref="AS30" ca="1">IF(INDEX(OFFSET(tblCountries!$T$3:$T$52,0,AS$11,120,1),$A30)=0,"",$AB30)</f>
        <v/>
      </c>
      <c r="AT30" t="str" cm="1">
        <f t="array" aca="1" ref="AT30" ca="1">IF(INDEX(OFFSET(tblCountries!$T$3:$T$52,0,AT$11,120,1),$A30)=0,"",$AB30)</f>
        <v/>
      </c>
      <c r="AU30" t="str" cm="1">
        <f t="array" aca="1" ref="AU30" ca="1">IF(INDEX(OFFSET(tblCountries!$T$3:$T$52,0,AU$11,120,1),$A30)=0,"",$AB30)</f>
        <v/>
      </c>
      <c r="AV30" t="str" cm="1">
        <f t="array" aca="1" ref="AV30" ca="1">IF(INDEX(OFFSET(tblCountries!$T$3:$T$52,0,AV$11,120,1),$A30)=0,"",$AB30)</f>
        <v/>
      </c>
      <c r="AZ30">
        <f t="shared" ca="1" si="9"/>
        <v>1</v>
      </c>
      <c r="BA30">
        <f t="shared" ca="1" si="10"/>
        <v>0</v>
      </c>
      <c r="BB30">
        <f t="shared" ca="1" si="11"/>
        <v>0</v>
      </c>
      <c r="BC30">
        <f t="shared" ca="1" si="12"/>
        <v>0</v>
      </c>
      <c r="BD30">
        <f t="shared" ca="1" si="13"/>
        <v>1</v>
      </c>
      <c r="BE30">
        <f t="shared" ca="1" si="14"/>
        <v>0</v>
      </c>
      <c r="BF30">
        <f t="shared" ca="1" si="15"/>
        <v>0</v>
      </c>
      <c r="BG30">
        <f t="shared" ca="1" si="16"/>
        <v>0</v>
      </c>
      <c r="BH30">
        <f t="shared" ca="1" si="17"/>
        <v>1</v>
      </c>
      <c r="BI30">
        <f t="shared" ca="1" si="18"/>
        <v>0</v>
      </c>
      <c r="BJ30">
        <f t="shared" ca="1" si="19"/>
        <v>0</v>
      </c>
    </row>
    <row r="31" spans="1:62" x14ac:dyDescent="0.4">
      <c r="A31">
        <v>19</v>
      </c>
      <c r="B31" t="str">
        <f>tblCountries!H21</f>
        <v>Jakarta, Indonesia</v>
      </c>
      <c r="C31" t="str" cm="1">
        <f t="array" aca="1" ref="C31" ca="1">IF(AND($C$2=1,NOT(ISNUMBER(INDEX(auto_DataFlat_DataValue,$D31,$B$4)))),"EXCLUDE","")</f>
        <v/>
      </c>
      <c r="D31" cm="1">
        <f t="array" aca="1" ref="D31" ca="1">INDEX(sys_DataFlat_LU_Grid,$B$2,$A31)</f>
        <v>19</v>
      </c>
      <c r="E31" cm="1">
        <f t="array" aca="1" ref="E31" ca="1">IF(C31="EXCLUDE","n/a",IF($B$6="DATA",INDEX(auto_DataFlat_DataValue,$D31,$B$4),INDEX(auto_DataFlat_Score,$D31,$B$4)))</f>
        <v>71.7</v>
      </c>
      <c r="F31" t="str" cm="1">
        <f t="array" aca="1" ref="F31" ca="1">IF(INDEX(OFFSET(tblCountries!$T$3:$T$52,0,F$11,120,1),$A31)=0,"",$E31)</f>
        <v/>
      </c>
      <c r="G31" t="str" cm="1">
        <f t="array" aca="1" ref="G31" ca="1">IF(INDEX(OFFSET(tblCountries!$T$3:$T$52,0,G$11,120,1),$A31)=0,"",$E31)</f>
        <v/>
      </c>
      <c r="H31" t="str" cm="1">
        <f t="array" aca="1" ref="H31" ca="1">IF(INDEX(OFFSET(tblCountries!$T$3:$T$52,0,H$11,120,1),$A31)=0,"",$E31)</f>
        <v/>
      </c>
      <c r="I31" t="str" cm="1">
        <f t="array" aca="1" ref="I31" ca="1">IF(INDEX(OFFSET(tblCountries!$T$3:$T$52,0,I$11,120,1),$A31)=0,"",$E31)</f>
        <v/>
      </c>
      <c r="J31" cm="1">
        <f t="array" aca="1" ref="J31" ca="1">IF(INDEX(OFFSET(tblCountries!$T$3:$T$52,0,J$11,120,1),$A31)=0,"",$E31)</f>
        <v>71.7</v>
      </c>
      <c r="K31" t="str" cm="1">
        <f t="array" aca="1" ref="K31" ca="1">IF(INDEX(OFFSET(tblCountries!$T$3:$T$52,0,K$11,120,1),$A31)=0,"",$E31)</f>
        <v/>
      </c>
      <c r="L31" t="str" cm="1">
        <f t="array" aca="1" ref="L31" ca="1">IF(INDEX(OFFSET(tblCountries!$T$3:$T$52,0,L$11,120,1),$A31)=0,"",$E31)</f>
        <v/>
      </c>
      <c r="M31" cm="1">
        <f t="array" aca="1" ref="M31" ca="1">IF(INDEX(OFFSET(tblCountries!$T$3:$T$52,0,M$11,120,1),$A31)=0,"",$E31)</f>
        <v>71.7</v>
      </c>
      <c r="N31" t="str" cm="1">
        <f t="array" aca="1" ref="N31" ca="1">IF(INDEX(OFFSET(tblCountries!$T$3:$T$52,0,N$11,120,1),$A31)=0,"",$E31)</f>
        <v/>
      </c>
      <c r="O31" t="str" cm="1">
        <f t="array" aca="1" ref="O31" ca="1">IF(INDEX(OFFSET(tblCountries!$T$3:$T$52,0,O$11,120,1),$A31)=0,"",$E31)</f>
        <v/>
      </c>
      <c r="P31" t="str" cm="1">
        <f t="array" aca="1" ref="P31" ca="1">IF(INDEX(OFFSET(tblCountries!$T$3:$T$52,0,P$11,120,1),$A31)=0,"",$E31)</f>
        <v/>
      </c>
      <c r="Q31" t="str" cm="1">
        <f t="array" aca="1" ref="Q31" ca="1">IF(INDEX(OFFSET(tblCountries!$T$3:$T$52,0,Q$11,120,1),$A31)=0,"",$E31)</f>
        <v/>
      </c>
      <c r="R31" t="str" cm="1">
        <f t="array" aca="1" ref="R31" ca="1">IF(INDEX(OFFSET(tblCountries!$T$3:$T$52,0,R$11,120,1),$A31)=0,"",$E31)</f>
        <v/>
      </c>
      <c r="S31" t="str" cm="1">
        <f t="array" aca="1" ref="S31" ca="1">IF(INDEX(OFFSET(tblCountries!$T$3:$T$52,0,S$11,120,1),$A31)=0,"",$E31)</f>
        <v/>
      </c>
      <c r="T31" t="str" cm="1">
        <f t="array" aca="1" ref="T31" ca="1">IF(INDEX(OFFSET(tblCountries!$T$3:$T$52,0,T$11,120,1),$A31)=0,"",$E31)</f>
        <v/>
      </c>
      <c r="U31" t="str" cm="1">
        <f t="array" aca="1" ref="U31" ca="1">IF(INDEX(OFFSET(tblCountries!$T$3:$T$52,0,U$11,120,1),$A31)=0,"",$E31)</f>
        <v/>
      </c>
      <c r="V31" t="str" cm="1">
        <f t="array" aca="1" ref="V31" ca="1">IF(INDEX(OFFSET(tblCountries!$T$3:$T$52,0,V$11,120,1),$A31)=0,"",$E31)</f>
        <v/>
      </c>
      <c r="W31" t="str" cm="1">
        <f t="array" aca="1" ref="W31" ca="1">IF(INDEX(OFFSET(tblCountries!$T$3:$T$52,0,W$11,120,1),$A31)=0,"",$E31)</f>
        <v/>
      </c>
      <c r="X31" t="str" cm="1">
        <f t="array" aca="1" ref="X31" ca="1">IF(INDEX(OFFSET(tblCountries!$T$3:$T$52,0,X$11,120,1),$A31)=0,"",$E31)</f>
        <v/>
      </c>
      <c r="Y31" t="str" cm="1">
        <f t="array" aca="1" ref="Y31" ca="1">IF(INDEX(OFFSET(tblCountries!$T$3:$T$52,0,Y$11,120,1),$A31)=0,"",$E31)</f>
        <v/>
      </c>
      <c r="Z31" t="str" cm="1">
        <f t="array" aca="1" ref="Z31" ca="1">IF(AND($C$3=1,NOT(ISNUMBER(INDEX(auto_DataFlat_DataValue,$AA31,$B$4)))),"EXCLUDE","")</f>
        <v/>
      </c>
      <c r="AA31" cm="1">
        <f t="array" aca="1" ref="AA31" ca="1">INDEX(sys_DataFlat_LU_Grid,$B$3,$A31)</f>
        <v>79</v>
      </c>
      <c r="AB31" cm="1">
        <f t="array" aca="1" ref="AB31" ca="1">IF(Z31="EXCLUDE","n/a",IF($B$7="DATA",INDEX(auto_DataFlat_DataValue,$AA31,$B$4),INDEX(auto_DataFlat_Score,$AA31,$B$4)))</f>
        <v>77.8</v>
      </c>
      <c r="AC31" t="str" cm="1">
        <f t="array" aca="1" ref="AC31" ca="1">IF(INDEX(OFFSET(tblCountries!$T$3:$T$52,0,AC$11,120,1),$A31)=0,"",$AB31)</f>
        <v/>
      </c>
      <c r="AD31" t="str" cm="1">
        <f t="array" aca="1" ref="AD31" ca="1">IF(INDEX(OFFSET(tblCountries!$T$3:$T$52,0,AD$11,120,1),$A31)=0,"",$AB31)</f>
        <v/>
      </c>
      <c r="AE31" t="str" cm="1">
        <f t="array" aca="1" ref="AE31" ca="1">IF(INDEX(OFFSET(tblCountries!$T$3:$T$52,0,AE$11,120,1),$A31)=0,"",$AB31)</f>
        <v/>
      </c>
      <c r="AF31" t="str" cm="1">
        <f t="array" aca="1" ref="AF31" ca="1">IF(INDEX(OFFSET(tblCountries!$T$3:$T$52,0,AF$11,120,1),$A31)=0,"",$AB31)</f>
        <v/>
      </c>
      <c r="AG31" cm="1">
        <f t="array" aca="1" ref="AG31" ca="1">IF(INDEX(OFFSET(tblCountries!$T$3:$T$52,0,AG$11,120,1),$A31)=0,"",$AB31)</f>
        <v>77.8</v>
      </c>
      <c r="AH31" t="str" cm="1">
        <f t="array" aca="1" ref="AH31" ca="1">IF(INDEX(OFFSET(tblCountries!$T$3:$T$52,0,AH$11,120,1),$A31)=0,"",$AB31)</f>
        <v/>
      </c>
      <c r="AI31" t="str" cm="1">
        <f t="array" aca="1" ref="AI31" ca="1">IF(INDEX(OFFSET(tblCountries!$T$3:$T$52,0,AI$11,120,1),$A31)=0,"",$AB31)</f>
        <v/>
      </c>
      <c r="AJ31" cm="1">
        <f t="array" aca="1" ref="AJ31" ca="1">IF(INDEX(OFFSET(tblCountries!$T$3:$T$52,0,AJ$11,120,1),$A31)=0,"",$AB31)</f>
        <v>77.8</v>
      </c>
      <c r="AK31" t="str" cm="1">
        <f t="array" aca="1" ref="AK31" ca="1">IF(INDEX(OFFSET(tblCountries!$T$3:$T$52,0,AK$11,120,1),$A31)=0,"",$AB31)</f>
        <v/>
      </c>
      <c r="AL31" t="str" cm="1">
        <f t="array" aca="1" ref="AL31" ca="1">IF(INDEX(OFFSET(tblCountries!$T$3:$T$52,0,AL$11,120,1),$A31)=0,"",$AB31)</f>
        <v/>
      </c>
      <c r="AM31" t="str" cm="1">
        <f t="array" aca="1" ref="AM31" ca="1">IF(INDEX(OFFSET(tblCountries!$T$3:$T$52,0,AM$11,120,1),$A31)=0,"",$AB31)</f>
        <v/>
      </c>
      <c r="AN31" t="str" cm="1">
        <f t="array" aca="1" ref="AN31" ca="1">IF(INDEX(OFFSET(tblCountries!$T$3:$T$52,0,AN$11,120,1),$A31)=0,"",$AB31)</f>
        <v/>
      </c>
      <c r="AO31" t="str" cm="1">
        <f t="array" aca="1" ref="AO31" ca="1">IF(INDEX(OFFSET(tblCountries!$T$3:$T$52,0,AO$11,120,1),$A31)=0,"",$AB31)</f>
        <v/>
      </c>
      <c r="AP31" t="str" cm="1">
        <f t="array" aca="1" ref="AP31" ca="1">IF(INDEX(OFFSET(tblCountries!$T$3:$T$52,0,AP$11,120,1),$A31)=0,"",$AB31)</f>
        <v/>
      </c>
      <c r="AQ31" t="str" cm="1">
        <f t="array" aca="1" ref="AQ31" ca="1">IF(INDEX(OFFSET(tblCountries!$T$3:$T$52,0,AQ$11,120,1),$A31)=0,"",$AB31)</f>
        <v/>
      </c>
      <c r="AR31" t="str" cm="1">
        <f t="array" aca="1" ref="AR31" ca="1">IF(INDEX(OFFSET(tblCountries!$T$3:$T$52,0,AR$11,120,1),$A31)=0,"",$AB31)</f>
        <v/>
      </c>
      <c r="AS31" t="str" cm="1">
        <f t="array" aca="1" ref="AS31" ca="1">IF(INDEX(OFFSET(tblCountries!$T$3:$T$52,0,AS$11,120,1),$A31)=0,"",$AB31)</f>
        <v/>
      </c>
      <c r="AT31" t="str" cm="1">
        <f t="array" aca="1" ref="AT31" ca="1">IF(INDEX(OFFSET(tblCountries!$T$3:$T$52,0,AT$11,120,1),$A31)=0,"",$AB31)</f>
        <v/>
      </c>
      <c r="AU31" t="str" cm="1">
        <f t="array" aca="1" ref="AU31" ca="1">IF(INDEX(OFFSET(tblCountries!$T$3:$T$52,0,AU$11,120,1),$A31)=0,"",$AB31)</f>
        <v/>
      </c>
      <c r="AV31" t="str" cm="1">
        <f t="array" aca="1" ref="AV31" ca="1">IF(INDEX(OFFSET(tblCountries!$T$3:$T$52,0,AV$11,120,1),$A31)=0,"",$AB31)</f>
        <v/>
      </c>
      <c r="AZ31">
        <f t="shared" ca="1" si="9"/>
        <v>1</v>
      </c>
      <c r="BA31">
        <f t="shared" ca="1" si="10"/>
        <v>0</v>
      </c>
      <c r="BB31">
        <f t="shared" ca="1" si="11"/>
        <v>0</v>
      </c>
      <c r="BC31">
        <f t="shared" ca="1" si="12"/>
        <v>0</v>
      </c>
      <c r="BD31">
        <f t="shared" ca="1" si="13"/>
        <v>0</v>
      </c>
      <c r="BE31">
        <f t="shared" ca="1" si="14"/>
        <v>1</v>
      </c>
      <c r="BF31">
        <f t="shared" ca="1" si="15"/>
        <v>0</v>
      </c>
      <c r="BG31">
        <f t="shared" ca="1" si="16"/>
        <v>0</v>
      </c>
      <c r="BH31">
        <f t="shared" ca="1" si="17"/>
        <v>1</v>
      </c>
      <c r="BI31">
        <f t="shared" ca="1" si="18"/>
        <v>0</v>
      </c>
      <c r="BJ31">
        <f t="shared" ca="1" si="19"/>
        <v>0</v>
      </c>
    </row>
    <row r="32" spans="1:62" x14ac:dyDescent="0.4">
      <c r="A32">
        <v>20</v>
      </c>
      <c r="B32" t="str">
        <f>tblCountries!H22</f>
        <v>Johannesburg, South Africa</v>
      </c>
      <c r="C32" t="str" cm="1">
        <f t="array" aca="1" ref="C32" ca="1">IF(AND($C$2=1,NOT(ISNUMBER(INDEX(auto_DataFlat_DataValue,$D32,$B$4)))),"EXCLUDE","")</f>
        <v/>
      </c>
      <c r="D32" cm="1">
        <f t="array" aca="1" ref="D32" ca="1">INDEX(sys_DataFlat_LU_Grid,$B$2,$A32)</f>
        <v>20</v>
      </c>
      <c r="E32" cm="1">
        <f t="array" aca="1" ref="E32" ca="1">IF(C32="EXCLUDE","n/a",IF($B$6="DATA",INDEX(auto_DataFlat_DataValue,$D32,$B$4),INDEX(auto_DataFlat_Score,$D32,$B$4)))</f>
        <v>52.5</v>
      </c>
      <c r="F32" cm="1">
        <f t="array" aca="1" ref="F32" ca="1">IF(INDEX(OFFSET(tblCountries!$T$3:$T$52,0,F$11,120,1),$A32)=0,"",$E32)</f>
        <v>52.5</v>
      </c>
      <c r="G32" t="str" cm="1">
        <f t="array" aca="1" ref="G32" ca="1">IF(INDEX(OFFSET(tblCountries!$T$3:$T$52,0,G$11,120,1),$A32)=0,"",$E32)</f>
        <v/>
      </c>
      <c r="H32" t="str" cm="1">
        <f t="array" aca="1" ref="H32" ca="1">IF(INDEX(OFFSET(tblCountries!$T$3:$T$52,0,H$11,120,1),$A32)=0,"",$E32)</f>
        <v/>
      </c>
      <c r="I32" t="str" cm="1">
        <f t="array" aca="1" ref="I32" ca="1">IF(INDEX(OFFSET(tblCountries!$T$3:$T$52,0,I$11,120,1),$A32)=0,"",$E32)</f>
        <v/>
      </c>
      <c r="J32" t="str" cm="1">
        <f t="array" aca="1" ref="J32" ca="1">IF(INDEX(OFFSET(tblCountries!$T$3:$T$52,0,J$11,120,1),$A32)=0,"",$E32)</f>
        <v/>
      </c>
      <c r="K32" t="str" cm="1">
        <f t="array" aca="1" ref="K32" ca="1">IF(INDEX(OFFSET(tblCountries!$T$3:$T$52,0,K$11,120,1),$A32)=0,"",$E32)</f>
        <v/>
      </c>
      <c r="L32" t="str" cm="1">
        <f t="array" aca="1" ref="L32" ca="1">IF(INDEX(OFFSET(tblCountries!$T$3:$T$52,0,L$11,120,1),$A32)=0,"",$E32)</f>
        <v/>
      </c>
      <c r="M32" cm="1">
        <f t="array" aca="1" ref="M32" ca="1">IF(INDEX(OFFSET(tblCountries!$T$3:$T$52,0,M$11,120,1),$A32)=0,"",$E32)</f>
        <v>52.5</v>
      </c>
      <c r="N32" t="str" cm="1">
        <f t="array" aca="1" ref="N32" ca="1">IF(INDEX(OFFSET(tblCountries!$T$3:$T$52,0,N$11,120,1),$A32)=0,"",$E32)</f>
        <v/>
      </c>
      <c r="O32" t="str" cm="1">
        <f t="array" aca="1" ref="O32" ca="1">IF(INDEX(OFFSET(tblCountries!$T$3:$T$52,0,O$11,120,1),$A32)=0,"",$E32)</f>
        <v/>
      </c>
      <c r="P32" t="str" cm="1">
        <f t="array" aca="1" ref="P32" ca="1">IF(INDEX(OFFSET(tblCountries!$T$3:$T$52,0,P$11,120,1),$A32)=0,"",$E32)</f>
        <v/>
      </c>
      <c r="Q32" t="str" cm="1">
        <f t="array" aca="1" ref="Q32" ca="1">IF(INDEX(OFFSET(tblCountries!$T$3:$T$52,0,Q$11,120,1),$A32)=0,"",$E32)</f>
        <v/>
      </c>
      <c r="R32" t="str" cm="1">
        <f t="array" aca="1" ref="R32" ca="1">IF(INDEX(OFFSET(tblCountries!$T$3:$T$52,0,R$11,120,1),$A32)=0,"",$E32)</f>
        <v/>
      </c>
      <c r="S32" t="str" cm="1">
        <f t="array" aca="1" ref="S32" ca="1">IF(INDEX(OFFSET(tblCountries!$T$3:$T$52,0,S$11,120,1),$A32)=0,"",$E32)</f>
        <v/>
      </c>
      <c r="T32" t="str" cm="1">
        <f t="array" aca="1" ref="T32" ca="1">IF(INDEX(OFFSET(tblCountries!$T$3:$T$52,0,T$11,120,1),$A32)=0,"",$E32)</f>
        <v/>
      </c>
      <c r="U32" t="str" cm="1">
        <f t="array" aca="1" ref="U32" ca="1">IF(INDEX(OFFSET(tblCountries!$T$3:$T$52,0,U$11,120,1),$A32)=0,"",$E32)</f>
        <v/>
      </c>
      <c r="V32" t="str" cm="1">
        <f t="array" aca="1" ref="V32" ca="1">IF(INDEX(OFFSET(tblCountries!$T$3:$T$52,0,V$11,120,1),$A32)=0,"",$E32)</f>
        <v/>
      </c>
      <c r="W32" t="str" cm="1">
        <f t="array" aca="1" ref="W32" ca="1">IF(INDEX(OFFSET(tblCountries!$T$3:$T$52,0,W$11,120,1),$A32)=0,"",$E32)</f>
        <v/>
      </c>
      <c r="X32" t="str" cm="1">
        <f t="array" aca="1" ref="X32" ca="1">IF(INDEX(OFFSET(tblCountries!$T$3:$T$52,0,X$11,120,1),$A32)=0,"",$E32)</f>
        <v/>
      </c>
      <c r="Y32" t="str" cm="1">
        <f t="array" aca="1" ref="Y32" ca="1">IF(INDEX(OFFSET(tblCountries!$T$3:$T$52,0,Y$11,120,1),$A32)=0,"",$E32)</f>
        <v/>
      </c>
      <c r="Z32" t="str" cm="1">
        <f t="array" aca="1" ref="Z32" ca="1">IF(AND($C$3=1,NOT(ISNUMBER(INDEX(auto_DataFlat_DataValue,$AA32,$B$4)))),"EXCLUDE","")</f>
        <v/>
      </c>
      <c r="AA32" cm="1">
        <f t="array" aca="1" ref="AA32" ca="1">INDEX(sys_DataFlat_LU_Grid,$B$3,$A32)</f>
        <v>80</v>
      </c>
      <c r="AB32" cm="1">
        <f t="array" aca="1" ref="AB32" ca="1">IF(Z32="EXCLUDE","n/a",IF($B$7="DATA",INDEX(auto_DataFlat_DataValue,$AA32,$B$4),INDEX(auto_DataFlat_Score,$AA32,$B$4)))</f>
        <v>80.099999999999994</v>
      </c>
      <c r="AC32" cm="1">
        <f t="array" aca="1" ref="AC32" ca="1">IF(INDEX(OFFSET(tblCountries!$T$3:$T$52,0,AC$11,120,1),$A32)=0,"",$AB32)</f>
        <v>80.099999999999994</v>
      </c>
      <c r="AD32" t="str" cm="1">
        <f t="array" aca="1" ref="AD32" ca="1">IF(INDEX(OFFSET(tblCountries!$T$3:$T$52,0,AD$11,120,1),$A32)=0,"",$AB32)</f>
        <v/>
      </c>
      <c r="AE32" t="str" cm="1">
        <f t="array" aca="1" ref="AE32" ca="1">IF(INDEX(OFFSET(tblCountries!$T$3:$T$52,0,AE$11,120,1),$A32)=0,"",$AB32)</f>
        <v/>
      </c>
      <c r="AF32" t="str" cm="1">
        <f t="array" aca="1" ref="AF32" ca="1">IF(INDEX(OFFSET(tblCountries!$T$3:$T$52,0,AF$11,120,1),$A32)=0,"",$AB32)</f>
        <v/>
      </c>
      <c r="AG32" t="str" cm="1">
        <f t="array" aca="1" ref="AG32" ca="1">IF(INDEX(OFFSET(tblCountries!$T$3:$T$52,0,AG$11,120,1),$A32)=0,"",$AB32)</f>
        <v/>
      </c>
      <c r="AH32" t="str" cm="1">
        <f t="array" aca="1" ref="AH32" ca="1">IF(INDEX(OFFSET(tblCountries!$T$3:$T$52,0,AH$11,120,1),$A32)=0,"",$AB32)</f>
        <v/>
      </c>
      <c r="AI32" t="str" cm="1">
        <f t="array" aca="1" ref="AI32" ca="1">IF(INDEX(OFFSET(tblCountries!$T$3:$T$52,0,AI$11,120,1),$A32)=0,"",$AB32)</f>
        <v/>
      </c>
      <c r="AJ32" cm="1">
        <f t="array" aca="1" ref="AJ32" ca="1">IF(INDEX(OFFSET(tblCountries!$T$3:$T$52,0,AJ$11,120,1),$A32)=0,"",$AB32)</f>
        <v>80.099999999999994</v>
      </c>
      <c r="AK32" t="str" cm="1">
        <f t="array" aca="1" ref="AK32" ca="1">IF(INDEX(OFFSET(tblCountries!$T$3:$T$52,0,AK$11,120,1),$A32)=0,"",$AB32)</f>
        <v/>
      </c>
      <c r="AL32" t="str" cm="1">
        <f t="array" aca="1" ref="AL32" ca="1">IF(INDEX(OFFSET(tblCountries!$T$3:$T$52,0,AL$11,120,1),$A32)=0,"",$AB32)</f>
        <v/>
      </c>
      <c r="AM32" t="str" cm="1">
        <f t="array" aca="1" ref="AM32" ca="1">IF(INDEX(OFFSET(tblCountries!$T$3:$T$52,0,AM$11,120,1),$A32)=0,"",$AB32)</f>
        <v/>
      </c>
      <c r="AN32" t="str" cm="1">
        <f t="array" aca="1" ref="AN32" ca="1">IF(INDEX(OFFSET(tblCountries!$T$3:$T$52,0,AN$11,120,1),$A32)=0,"",$AB32)</f>
        <v/>
      </c>
      <c r="AO32" t="str" cm="1">
        <f t="array" aca="1" ref="AO32" ca="1">IF(INDEX(OFFSET(tblCountries!$T$3:$T$52,0,AO$11,120,1),$A32)=0,"",$AB32)</f>
        <v/>
      </c>
      <c r="AP32" t="str" cm="1">
        <f t="array" aca="1" ref="AP32" ca="1">IF(INDEX(OFFSET(tblCountries!$T$3:$T$52,0,AP$11,120,1),$A32)=0,"",$AB32)</f>
        <v/>
      </c>
      <c r="AQ32" t="str" cm="1">
        <f t="array" aca="1" ref="AQ32" ca="1">IF(INDEX(OFFSET(tblCountries!$T$3:$T$52,0,AQ$11,120,1),$A32)=0,"",$AB32)</f>
        <v/>
      </c>
      <c r="AR32" t="str" cm="1">
        <f t="array" aca="1" ref="AR32" ca="1">IF(INDEX(OFFSET(tblCountries!$T$3:$T$52,0,AR$11,120,1),$A32)=0,"",$AB32)</f>
        <v/>
      </c>
      <c r="AS32" t="str" cm="1">
        <f t="array" aca="1" ref="AS32" ca="1">IF(INDEX(OFFSET(tblCountries!$T$3:$T$52,0,AS$11,120,1),$A32)=0,"",$AB32)</f>
        <v/>
      </c>
      <c r="AT32" t="str" cm="1">
        <f t="array" aca="1" ref="AT32" ca="1">IF(INDEX(OFFSET(tblCountries!$T$3:$T$52,0,AT$11,120,1),$A32)=0,"",$AB32)</f>
        <v/>
      </c>
      <c r="AU32" t="str" cm="1">
        <f t="array" aca="1" ref="AU32" ca="1">IF(INDEX(OFFSET(tblCountries!$T$3:$T$52,0,AU$11,120,1),$A32)=0,"",$AB32)</f>
        <v/>
      </c>
      <c r="AV32" t="str" cm="1">
        <f t="array" aca="1" ref="AV32" ca="1">IF(INDEX(OFFSET(tblCountries!$T$3:$T$52,0,AV$11,120,1),$A32)=0,"",$AB32)</f>
        <v/>
      </c>
      <c r="AZ32">
        <f t="shared" ca="1" si="9"/>
        <v>1</v>
      </c>
      <c r="BA32">
        <f t="shared" ca="1" si="10"/>
        <v>1</v>
      </c>
      <c r="BB32">
        <f t="shared" ca="1" si="11"/>
        <v>0</v>
      </c>
      <c r="BC32">
        <f t="shared" ca="1" si="12"/>
        <v>0</v>
      </c>
      <c r="BD32">
        <f t="shared" ca="1" si="13"/>
        <v>0</v>
      </c>
      <c r="BE32">
        <f t="shared" ca="1" si="14"/>
        <v>0</v>
      </c>
      <c r="BF32">
        <f t="shared" ca="1" si="15"/>
        <v>0</v>
      </c>
      <c r="BG32">
        <f t="shared" ca="1" si="16"/>
        <v>0</v>
      </c>
      <c r="BH32">
        <f t="shared" ca="1" si="17"/>
        <v>1</v>
      </c>
      <c r="BI32">
        <f t="shared" ca="1" si="18"/>
        <v>0</v>
      </c>
      <c r="BJ32">
        <f t="shared" ca="1" si="19"/>
        <v>0</v>
      </c>
    </row>
    <row r="33" spans="1:62" x14ac:dyDescent="0.4">
      <c r="A33">
        <v>21</v>
      </c>
      <c r="B33" t="str">
        <f>tblCountries!H23</f>
        <v>Karachi, Pakistan</v>
      </c>
      <c r="C33" t="str" cm="1">
        <f t="array" aca="1" ref="C33" ca="1">IF(AND($C$2=1,NOT(ISNUMBER(INDEX(auto_DataFlat_DataValue,$D33,$B$4)))),"EXCLUDE","")</f>
        <v/>
      </c>
      <c r="D33" cm="1">
        <f t="array" aca="1" ref="D33" ca="1">INDEX(sys_DataFlat_LU_Grid,$B$2,$A33)</f>
        <v>21</v>
      </c>
      <c r="E33" cm="1">
        <f t="array" aca="1" ref="E33" ca="1">IF(C33="EXCLUDE","n/a",IF($B$6="DATA",INDEX(auto_DataFlat_DataValue,$D33,$B$4),INDEX(auto_DataFlat_Score,$D33,$B$4)))</f>
        <v>44.3</v>
      </c>
      <c r="F33" t="str" cm="1">
        <f t="array" aca="1" ref="F33" ca="1">IF(INDEX(OFFSET(tblCountries!$T$3:$T$52,0,F$11,120,1),$A33)=0,"",$E33)</f>
        <v/>
      </c>
      <c r="G33" t="str" cm="1">
        <f t="array" aca="1" ref="G33" ca="1">IF(INDEX(OFFSET(tblCountries!$T$3:$T$52,0,G$11,120,1),$A33)=0,"",$E33)</f>
        <v/>
      </c>
      <c r="H33" t="str" cm="1">
        <f t="array" aca="1" ref="H33" ca="1">IF(INDEX(OFFSET(tblCountries!$T$3:$T$52,0,H$11,120,1),$A33)=0,"",$E33)</f>
        <v/>
      </c>
      <c r="I33" t="str" cm="1">
        <f t="array" aca="1" ref="I33" ca="1">IF(INDEX(OFFSET(tblCountries!$T$3:$T$52,0,I$11,120,1),$A33)=0,"",$E33)</f>
        <v/>
      </c>
      <c r="J33" cm="1">
        <f t="array" aca="1" ref="J33" ca="1">IF(INDEX(OFFSET(tblCountries!$T$3:$T$52,0,J$11,120,1),$A33)=0,"",$E33)</f>
        <v>44.3</v>
      </c>
      <c r="K33" t="str" cm="1">
        <f t="array" aca="1" ref="K33" ca="1">IF(INDEX(OFFSET(tblCountries!$T$3:$T$52,0,K$11,120,1),$A33)=0,"",$E33)</f>
        <v/>
      </c>
      <c r="L33" cm="1">
        <f t="array" aca="1" ref="L33" ca="1">IF(INDEX(OFFSET(tblCountries!$T$3:$T$52,0,L$11,120,1),$A33)=0,"",$E33)</f>
        <v>44.3</v>
      </c>
      <c r="M33" t="str" cm="1">
        <f t="array" aca="1" ref="M33" ca="1">IF(INDEX(OFFSET(tblCountries!$T$3:$T$52,0,M$11,120,1),$A33)=0,"",$E33)</f>
        <v/>
      </c>
      <c r="N33" t="str" cm="1">
        <f t="array" aca="1" ref="N33" ca="1">IF(INDEX(OFFSET(tblCountries!$T$3:$T$52,0,N$11,120,1),$A33)=0,"",$E33)</f>
        <v/>
      </c>
      <c r="O33" t="str" cm="1">
        <f t="array" aca="1" ref="O33" ca="1">IF(INDEX(OFFSET(tblCountries!$T$3:$T$52,0,O$11,120,1),$A33)=0,"",$E33)</f>
        <v/>
      </c>
      <c r="P33" t="str" cm="1">
        <f t="array" aca="1" ref="P33" ca="1">IF(INDEX(OFFSET(tblCountries!$T$3:$T$52,0,P$11,120,1),$A33)=0,"",$E33)</f>
        <v/>
      </c>
      <c r="Q33" t="str" cm="1">
        <f t="array" aca="1" ref="Q33" ca="1">IF(INDEX(OFFSET(tblCountries!$T$3:$T$52,0,Q$11,120,1),$A33)=0,"",$E33)</f>
        <v/>
      </c>
      <c r="R33" t="str" cm="1">
        <f t="array" aca="1" ref="R33" ca="1">IF(INDEX(OFFSET(tblCountries!$T$3:$T$52,0,R$11,120,1),$A33)=0,"",$E33)</f>
        <v/>
      </c>
      <c r="S33" t="str" cm="1">
        <f t="array" aca="1" ref="S33" ca="1">IF(INDEX(OFFSET(tblCountries!$T$3:$T$52,0,S$11,120,1),$A33)=0,"",$E33)</f>
        <v/>
      </c>
      <c r="T33" t="str" cm="1">
        <f t="array" aca="1" ref="T33" ca="1">IF(INDEX(OFFSET(tblCountries!$T$3:$T$52,0,T$11,120,1),$A33)=0,"",$E33)</f>
        <v/>
      </c>
      <c r="U33" t="str" cm="1">
        <f t="array" aca="1" ref="U33" ca="1">IF(INDEX(OFFSET(tblCountries!$T$3:$T$52,0,U$11,120,1),$A33)=0,"",$E33)</f>
        <v/>
      </c>
      <c r="V33" t="str" cm="1">
        <f t="array" aca="1" ref="V33" ca="1">IF(INDEX(OFFSET(tblCountries!$T$3:$T$52,0,V$11,120,1),$A33)=0,"",$E33)</f>
        <v/>
      </c>
      <c r="W33" t="str" cm="1">
        <f t="array" aca="1" ref="W33" ca="1">IF(INDEX(OFFSET(tblCountries!$T$3:$T$52,0,W$11,120,1),$A33)=0,"",$E33)</f>
        <v/>
      </c>
      <c r="X33" t="str" cm="1">
        <f t="array" aca="1" ref="X33" ca="1">IF(INDEX(OFFSET(tblCountries!$T$3:$T$52,0,X$11,120,1),$A33)=0,"",$E33)</f>
        <v/>
      </c>
      <c r="Y33" t="str" cm="1">
        <f t="array" aca="1" ref="Y33" ca="1">IF(INDEX(OFFSET(tblCountries!$T$3:$T$52,0,Y$11,120,1),$A33)=0,"",$E33)</f>
        <v/>
      </c>
      <c r="Z33" t="str" cm="1">
        <f t="array" aca="1" ref="Z33" ca="1">IF(AND($C$3=1,NOT(ISNUMBER(INDEX(auto_DataFlat_DataValue,$AA33,$B$4)))),"EXCLUDE","")</f>
        <v/>
      </c>
      <c r="AA33" cm="1">
        <f t="array" aca="1" ref="AA33" ca="1">INDEX(sys_DataFlat_LU_Grid,$B$3,$A33)</f>
        <v>81</v>
      </c>
      <c r="AB33" cm="1">
        <f t="array" aca="1" ref="AB33" ca="1">IF(Z33="EXCLUDE","n/a",IF($B$7="DATA",INDEX(auto_DataFlat_DataValue,$AA33,$B$4),INDEX(auto_DataFlat_Score,$AA33,$B$4)))</f>
        <v>56.4</v>
      </c>
      <c r="AC33" t="str" cm="1">
        <f t="array" aca="1" ref="AC33" ca="1">IF(INDEX(OFFSET(tblCountries!$T$3:$T$52,0,AC$11,120,1),$A33)=0,"",$AB33)</f>
        <v/>
      </c>
      <c r="AD33" t="str" cm="1">
        <f t="array" aca="1" ref="AD33" ca="1">IF(INDEX(OFFSET(tblCountries!$T$3:$T$52,0,AD$11,120,1),$A33)=0,"",$AB33)</f>
        <v/>
      </c>
      <c r="AE33" t="str" cm="1">
        <f t="array" aca="1" ref="AE33" ca="1">IF(INDEX(OFFSET(tblCountries!$T$3:$T$52,0,AE$11,120,1),$A33)=0,"",$AB33)</f>
        <v/>
      </c>
      <c r="AF33" t="str" cm="1">
        <f t="array" aca="1" ref="AF33" ca="1">IF(INDEX(OFFSET(tblCountries!$T$3:$T$52,0,AF$11,120,1),$A33)=0,"",$AB33)</f>
        <v/>
      </c>
      <c r="AG33" cm="1">
        <f t="array" aca="1" ref="AG33" ca="1">IF(INDEX(OFFSET(tblCountries!$T$3:$T$52,0,AG$11,120,1),$A33)=0,"",$AB33)</f>
        <v>56.4</v>
      </c>
      <c r="AH33" t="str" cm="1">
        <f t="array" aca="1" ref="AH33" ca="1">IF(INDEX(OFFSET(tblCountries!$T$3:$T$52,0,AH$11,120,1),$A33)=0,"",$AB33)</f>
        <v/>
      </c>
      <c r="AI33" cm="1">
        <f t="array" aca="1" ref="AI33" ca="1">IF(INDEX(OFFSET(tblCountries!$T$3:$T$52,0,AI$11,120,1),$A33)=0,"",$AB33)</f>
        <v>56.4</v>
      </c>
      <c r="AJ33" t="str" cm="1">
        <f t="array" aca="1" ref="AJ33" ca="1">IF(INDEX(OFFSET(tblCountries!$T$3:$T$52,0,AJ$11,120,1),$A33)=0,"",$AB33)</f>
        <v/>
      </c>
      <c r="AK33" t="str" cm="1">
        <f t="array" aca="1" ref="AK33" ca="1">IF(INDEX(OFFSET(tblCountries!$T$3:$T$52,0,AK$11,120,1),$A33)=0,"",$AB33)</f>
        <v/>
      </c>
      <c r="AL33" t="str" cm="1">
        <f t="array" aca="1" ref="AL33" ca="1">IF(INDEX(OFFSET(tblCountries!$T$3:$T$52,0,AL$11,120,1),$A33)=0,"",$AB33)</f>
        <v/>
      </c>
      <c r="AM33" t="str" cm="1">
        <f t="array" aca="1" ref="AM33" ca="1">IF(INDEX(OFFSET(tblCountries!$T$3:$T$52,0,AM$11,120,1),$A33)=0,"",$AB33)</f>
        <v/>
      </c>
      <c r="AN33" t="str" cm="1">
        <f t="array" aca="1" ref="AN33" ca="1">IF(INDEX(OFFSET(tblCountries!$T$3:$T$52,0,AN$11,120,1),$A33)=0,"",$AB33)</f>
        <v/>
      </c>
      <c r="AO33" t="str" cm="1">
        <f t="array" aca="1" ref="AO33" ca="1">IF(INDEX(OFFSET(tblCountries!$T$3:$T$52,0,AO$11,120,1),$A33)=0,"",$AB33)</f>
        <v/>
      </c>
      <c r="AP33" t="str" cm="1">
        <f t="array" aca="1" ref="AP33" ca="1">IF(INDEX(OFFSET(tblCountries!$T$3:$T$52,0,AP$11,120,1),$A33)=0,"",$AB33)</f>
        <v/>
      </c>
      <c r="AQ33" t="str" cm="1">
        <f t="array" aca="1" ref="AQ33" ca="1">IF(INDEX(OFFSET(tblCountries!$T$3:$T$52,0,AQ$11,120,1),$A33)=0,"",$AB33)</f>
        <v/>
      </c>
      <c r="AR33" t="str" cm="1">
        <f t="array" aca="1" ref="AR33" ca="1">IF(INDEX(OFFSET(tblCountries!$T$3:$T$52,0,AR$11,120,1),$A33)=0,"",$AB33)</f>
        <v/>
      </c>
      <c r="AS33" t="str" cm="1">
        <f t="array" aca="1" ref="AS33" ca="1">IF(INDEX(OFFSET(tblCountries!$T$3:$T$52,0,AS$11,120,1),$A33)=0,"",$AB33)</f>
        <v/>
      </c>
      <c r="AT33" t="str" cm="1">
        <f t="array" aca="1" ref="AT33" ca="1">IF(INDEX(OFFSET(tblCountries!$T$3:$T$52,0,AT$11,120,1),$A33)=0,"",$AB33)</f>
        <v/>
      </c>
      <c r="AU33" t="str" cm="1">
        <f t="array" aca="1" ref="AU33" ca="1">IF(INDEX(OFFSET(tblCountries!$T$3:$T$52,0,AU$11,120,1),$A33)=0,"",$AB33)</f>
        <v/>
      </c>
      <c r="AV33" t="str" cm="1">
        <f t="array" aca="1" ref="AV33" ca="1">IF(INDEX(OFFSET(tblCountries!$T$3:$T$52,0,AV$11,120,1),$A33)=0,"",$AB33)</f>
        <v/>
      </c>
      <c r="AZ33">
        <f t="shared" ca="1" si="9"/>
        <v>1</v>
      </c>
      <c r="BA33">
        <f t="shared" ca="1" si="10"/>
        <v>0</v>
      </c>
      <c r="BB33">
        <f t="shared" ca="1" si="11"/>
        <v>0</v>
      </c>
      <c r="BC33">
        <f t="shared" ca="1" si="12"/>
        <v>0</v>
      </c>
      <c r="BD33">
        <f t="shared" ca="1" si="13"/>
        <v>0</v>
      </c>
      <c r="BE33">
        <f t="shared" ca="1" si="14"/>
        <v>1</v>
      </c>
      <c r="BF33">
        <f t="shared" ca="1" si="15"/>
        <v>0</v>
      </c>
      <c r="BG33">
        <f t="shared" ca="1" si="16"/>
        <v>1</v>
      </c>
      <c r="BH33">
        <f t="shared" ca="1" si="17"/>
        <v>0</v>
      </c>
      <c r="BI33">
        <f t="shared" ca="1" si="18"/>
        <v>0</v>
      </c>
      <c r="BJ33">
        <f t="shared" ca="1" si="19"/>
        <v>0</v>
      </c>
    </row>
    <row r="34" spans="1:62" x14ac:dyDescent="0.4">
      <c r="A34">
        <v>22</v>
      </c>
      <c r="B34" t="str">
        <f>tblCountries!H24</f>
        <v>Kathmandu, Nepal</v>
      </c>
      <c r="C34" t="str" cm="1">
        <f t="array" aca="1" ref="C34" ca="1">IF(AND($C$2=1,NOT(ISNUMBER(INDEX(auto_DataFlat_DataValue,$D34,$B$4)))),"EXCLUDE","")</f>
        <v/>
      </c>
      <c r="D34" cm="1">
        <f t="array" aca="1" ref="D34" ca="1">INDEX(sys_DataFlat_LU_Grid,$B$2,$A34)</f>
        <v>22</v>
      </c>
      <c r="E34" cm="1">
        <f t="array" aca="1" ref="E34" ca="1">IF(C34="EXCLUDE","n/a",IF($B$6="DATA",INDEX(auto_DataFlat_DataValue,$D34,$B$4),INDEX(auto_DataFlat_Score,$D34,$B$4)))</f>
        <v>40.9</v>
      </c>
      <c r="F34" t="str" cm="1">
        <f t="array" aca="1" ref="F34" ca="1">IF(INDEX(OFFSET(tblCountries!$T$3:$T$52,0,F$11,120,1),$A34)=0,"",$E34)</f>
        <v/>
      </c>
      <c r="G34" t="str" cm="1">
        <f t="array" aca="1" ref="G34" ca="1">IF(INDEX(OFFSET(tblCountries!$T$3:$T$52,0,G$11,120,1),$A34)=0,"",$E34)</f>
        <v/>
      </c>
      <c r="H34" t="str" cm="1">
        <f t="array" aca="1" ref="H34" ca="1">IF(INDEX(OFFSET(tblCountries!$T$3:$T$52,0,H$11,120,1),$A34)=0,"",$E34)</f>
        <v/>
      </c>
      <c r="I34" t="str" cm="1">
        <f t="array" aca="1" ref="I34" ca="1">IF(INDEX(OFFSET(tblCountries!$T$3:$T$52,0,I$11,120,1),$A34)=0,"",$E34)</f>
        <v/>
      </c>
      <c r="J34" cm="1">
        <f t="array" aca="1" ref="J34" ca="1">IF(INDEX(OFFSET(tblCountries!$T$3:$T$52,0,J$11,120,1),$A34)=0,"",$E34)</f>
        <v>40.9</v>
      </c>
      <c r="K34" t="str" cm="1">
        <f t="array" aca="1" ref="K34" ca="1">IF(INDEX(OFFSET(tblCountries!$T$3:$T$52,0,K$11,120,1),$A34)=0,"",$E34)</f>
        <v/>
      </c>
      <c r="L34" cm="1">
        <f t="array" aca="1" ref="L34" ca="1">IF(INDEX(OFFSET(tblCountries!$T$3:$T$52,0,L$11,120,1),$A34)=0,"",$E34)</f>
        <v>40.9</v>
      </c>
      <c r="M34" t="str" cm="1">
        <f t="array" aca="1" ref="M34" ca="1">IF(INDEX(OFFSET(tblCountries!$T$3:$T$52,0,M$11,120,1),$A34)=0,"",$E34)</f>
        <v/>
      </c>
      <c r="N34" t="str" cm="1">
        <f t="array" aca="1" ref="N34" ca="1">IF(INDEX(OFFSET(tblCountries!$T$3:$T$52,0,N$11,120,1),$A34)=0,"",$E34)</f>
        <v/>
      </c>
      <c r="O34" t="str" cm="1">
        <f t="array" aca="1" ref="O34" ca="1">IF(INDEX(OFFSET(tblCountries!$T$3:$T$52,0,O$11,120,1),$A34)=0,"",$E34)</f>
        <v/>
      </c>
      <c r="P34" t="str" cm="1">
        <f t="array" aca="1" ref="P34" ca="1">IF(INDEX(OFFSET(tblCountries!$T$3:$T$52,0,P$11,120,1),$A34)=0,"",$E34)</f>
        <v/>
      </c>
      <c r="Q34" t="str" cm="1">
        <f t="array" aca="1" ref="Q34" ca="1">IF(INDEX(OFFSET(tblCountries!$T$3:$T$52,0,Q$11,120,1),$A34)=0,"",$E34)</f>
        <v/>
      </c>
      <c r="R34" t="str" cm="1">
        <f t="array" aca="1" ref="R34" ca="1">IF(INDEX(OFFSET(tblCountries!$T$3:$T$52,0,R$11,120,1),$A34)=0,"",$E34)</f>
        <v/>
      </c>
      <c r="S34" t="str" cm="1">
        <f t="array" aca="1" ref="S34" ca="1">IF(INDEX(OFFSET(tblCountries!$T$3:$T$52,0,S$11,120,1),$A34)=0,"",$E34)</f>
        <v/>
      </c>
      <c r="T34" t="str" cm="1">
        <f t="array" aca="1" ref="T34" ca="1">IF(INDEX(OFFSET(tblCountries!$T$3:$T$52,0,T$11,120,1),$A34)=0,"",$E34)</f>
        <v/>
      </c>
      <c r="U34" t="str" cm="1">
        <f t="array" aca="1" ref="U34" ca="1">IF(INDEX(OFFSET(tblCountries!$T$3:$T$52,0,U$11,120,1),$A34)=0,"",$E34)</f>
        <v/>
      </c>
      <c r="V34" t="str" cm="1">
        <f t="array" aca="1" ref="V34" ca="1">IF(INDEX(OFFSET(tblCountries!$T$3:$T$52,0,V$11,120,1),$A34)=0,"",$E34)</f>
        <v/>
      </c>
      <c r="W34" t="str" cm="1">
        <f t="array" aca="1" ref="W34" ca="1">IF(INDEX(OFFSET(tblCountries!$T$3:$T$52,0,W$11,120,1),$A34)=0,"",$E34)</f>
        <v/>
      </c>
      <c r="X34" t="str" cm="1">
        <f t="array" aca="1" ref="X34" ca="1">IF(INDEX(OFFSET(tblCountries!$T$3:$T$52,0,X$11,120,1),$A34)=0,"",$E34)</f>
        <v/>
      </c>
      <c r="Y34" t="str" cm="1">
        <f t="array" aca="1" ref="Y34" ca="1">IF(INDEX(OFFSET(tblCountries!$T$3:$T$52,0,Y$11,120,1),$A34)=0,"",$E34)</f>
        <v/>
      </c>
      <c r="Z34" t="str" cm="1">
        <f t="array" aca="1" ref="Z34" ca="1">IF(AND($C$3=1,NOT(ISNUMBER(INDEX(auto_DataFlat_DataValue,$AA34,$B$4)))),"EXCLUDE","")</f>
        <v/>
      </c>
      <c r="AA34" cm="1">
        <f t="array" aca="1" ref="AA34" ca="1">INDEX(sys_DataFlat_LU_Grid,$B$3,$A34)</f>
        <v>82</v>
      </c>
      <c r="AB34" cm="1">
        <f t="array" aca="1" ref="AB34" ca="1">IF(Z34="EXCLUDE","n/a",IF($B$7="DATA",INDEX(auto_DataFlat_DataValue,$AA34,$B$4),INDEX(auto_DataFlat_Score,$AA34,$B$4)))</f>
        <v>41.3</v>
      </c>
      <c r="AC34" t="str" cm="1">
        <f t="array" aca="1" ref="AC34" ca="1">IF(INDEX(OFFSET(tblCountries!$T$3:$T$52,0,AC$11,120,1),$A34)=0,"",$AB34)</f>
        <v/>
      </c>
      <c r="AD34" t="str" cm="1">
        <f t="array" aca="1" ref="AD34" ca="1">IF(INDEX(OFFSET(tblCountries!$T$3:$T$52,0,AD$11,120,1),$A34)=0,"",$AB34)</f>
        <v/>
      </c>
      <c r="AE34" t="str" cm="1">
        <f t="array" aca="1" ref="AE34" ca="1">IF(INDEX(OFFSET(tblCountries!$T$3:$T$52,0,AE$11,120,1),$A34)=0,"",$AB34)</f>
        <v/>
      </c>
      <c r="AF34" t="str" cm="1">
        <f t="array" aca="1" ref="AF34" ca="1">IF(INDEX(OFFSET(tblCountries!$T$3:$T$52,0,AF$11,120,1),$A34)=0,"",$AB34)</f>
        <v/>
      </c>
      <c r="AG34" cm="1">
        <f t="array" aca="1" ref="AG34" ca="1">IF(INDEX(OFFSET(tblCountries!$T$3:$T$52,0,AG$11,120,1),$A34)=0,"",$AB34)</f>
        <v>41.3</v>
      </c>
      <c r="AH34" t="str" cm="1">
        <f t="array" aca="1" ref="AH34" ca="1">IF(INDEX(OFFSET(tblCountries!$T$3:$T$52,0,AH$11,120,1),$A34)=0,"",$AB34)</f>
        <v/>
      </c>
      <c r="AI34" cm="1">
        <f t="array" aca="1" ref="AI34" ca="1">IF(INDEX(OFFSET(tblCountries!$T$3:$T$52,0,AI$11,120,1),$A34)=0,"",$AB34)</f>
        <v>41.3</v>
      </c>
      <c r="AJ34" t="str" cm="1">
        <f t="array" aca="1" ref="AJ34" ca="1">IF(INDEX(OFFSET(tblCountries!$T$3:$T$52,0,AJ$11,120,1),$A34)=0,"",$AB34)</f>
        <v/>
      </c>
      <c r="AK34" t="str" cm="1">
        <f t="array" aca="1" ref="AK34" ca="1">IF(INDEX(OFFSET(tblCountries!$T$3:$T$52,0,AK$11,120,1),$A34)=0,"",$AB34)</f>
        <v/>
      </c>
      <c r="AL34" t="str" cm="1">
        <f t="array" aca="1" ref="AL34" ca="1">IF(INDEX(OFFSET(tblCountries!$T$3:$T$52,0,AL$11,120,1),$A34)=0,"",$AB34)</f>
        <v/>
      </c>
      <c r="AM34" t="str" cm="1">
        <f t="array" aca="1" ref="AM34" ca="1">IF(INDEX(OFFSET(tblCountries!$T$3:$T$52,0,AM$11,120,1),$A34)=0,"",$AB34)</f>
        <v/>
      </c>
      <c r="AN34" t="str" cm="1">
        <f t="array" aca="1" ref="AN34" ca="1">IF(INDEX(OFFSET(tblCountries!$T$3:$T$52,0,AN$11,120,1),$A34)=0,"",$AB34)</f>
        <v/>
      </c>
      <c r="AO34" t="str" cm="1">
        <f t="array" aca="1" ref="AO34" ca="1">IF(INDEX(OFFSET(tblCountries!$T$3:$T$52,0,AO$11,120,1),$A34)=0,"",$AB34)</f>
        <v/>
      </c>
      <c r="AP34" t="str" cm="1">
        <f t="array" aca="1" ref="AP34" ca="1">IF(INDEX(OFFSET(tblCountries!$T$3:$T$52,0,AP$11,120,1),$A34)=0,"",$AB34)</f>
        <v/>
      </c>
      <c r="AQ34" t="str" cm="1">
        <f t="array" aca="1" ref="AQ34" ca="1">IF(INDEX(OFFSET(tblCountries!$T$3:$T$52,0,AQ$11,120,1),$A34)=0,"",$AB34)</f>
        <v/>
      </c>
      <c r="AR34" t="str" cm="1">
        <f t="array" aca="1" ref="AR34" ca="1">IF(INDEX(OFFSET(tblCountries!$T$3:$T$52,0,AR$11,120,1),$A34)=0,"",$AB34)</f>
        <v/>
      </c>
      <c r="AS34" t="str" cm="1">
        <f t="array" aca="1" ref="AS34" ca="1">IF(INDEX(OFFSET(tblCountries!$T$3:$T$52,0,AS$11,120,1),$A34)=0,"",$AB34)</f>
        <v/>
      </c>
      <c r="AT34" t="str" cm="1">
        <f t="array" aca="1" ref="AT34" ca="1">IF(INDEX(OFFSET(tblCountries!$T$3:$T$52,0,AT$11,120,1),$A34)=0,"",$AB34)</f>
        <v/>
      </c>
      <c r="AU34" t="str" cm="1">
        <f t="array" aca="1" ref="AU34" ca="1">IF(INDEX(OFFSET(tblCountries!$T$3:$T$52,0,AU$11,120,1),$A34)=0,"",$AB34)</f>
        <v/>
      </c>
      <c r="AV34" t="str" cm="1">
        <f t="array" aca="1" ref="AV34" ca="1">IF(INDEX(OFFSET(tblCountries!$T$3:$T$52,0,AV$11,120,1),$A34)=0,"",$AB34)</f>
        <v/>
      </c>
      <c r="AZ34">
        <f t="shared" ca="1" si="9"/>
        <v>1</v>
      </c>
      <c r="BA34">
        <f t="shared" ca="1" si="10"/>
        <v>0</v>
      </c>
      <c r="BB34">
        <f t="shared" ca="1" si="11"/>
        <v>0</v>
      </c>
      <c r="BC34">
        <f t="shared" ca="1" si="12"/>
        <v>0</v>
      </c>
      <c r="BD34">
        <f t="shared" ca="1" si="13"/>
        <v>0</v>
      </c>
      <c r="BE34">
        <f t="shared" ca="1" si="14"/>
        <v>1</v>
      </c>
      <c r="BF34">
        <f t="shared" ca="1" si="15"/>
        <v>0</v>
      </c>
      <c r="BG34">
        <f t="shared" ca="1" si="16"/>
        <v>1</v>
      </c>
      <c r="BH34">
        <f t="shared" ca="1" si="17"/>
        <v>0</v>
      </c>
      <c r="BI34">
        <f t="shared" ca="1" si="18"/>
        <v>0</v>
      </c>
      <c r="BJ34">
        <f t="shared" ca="1" si="19"/>
        <v>0</v>
      </c>
    </row>
    <row r="35" spans="1:62" x14ac:dyDescent="0.4">
      <c r="A35">
        <v>23</v>
      </c>
      <c r="B35" t="str">
        <f>tblCountries!H25</f>
        <v>Kolkata, India</v>
      </c>
      <c r="C35" t="str" cm="1">
        <f t="array" aca="1" ref="C35" ca="1">IF(AND($C$2=1,NOT(ISNUMBER(INDEX(auto_DataFlat_DataValue,$D35,$B$4)))),"EXCLUDE","")</f>
        <v/>
      </c>
      <c r="D35" cm="1">
        <f t="array" aca="1" ref="D35" ca="1">INDEX(sys_DataFlat_LU_Grid,$B$2,$A35)</f>
        <v>23</v>
      </c>
      <c r="E35" cm="1">
        <f t="array" aca="1" ref="E35" ca="1">IF(C35="EXCLUDE","n/a",IF($B$6="DATA",INDEX(auto_DataFlat_DataValue,$D35,$B$4),INDEX(auto_DataFlat_Score,$D35,$B$4)))</f>
        <v>51.8</v>
      </c>
      <c r="F35" t="str" cm="1">
        <f t="array" aca="1" ref="F35" ca="1">IF(INDEX(OFFSET(tblCountries!$T$3:$T$52,0,F$11,120,1),$A35)=0,"",$E35)</f>
        <v/>
      </c>
      <c r="G35" t="str" cm="1">
        <f t="array" aca="1" ref="G35" ca="1">IF(INDEX(OFFSET(tblCountries!$T$3:$T$52,0,G$11,120,1),$A35)=0,"",$E35)</f>
        <v/>
      </c>
      <c r="H35" t="str" cm="1">
        <f t="array" aca="1" ref="H35" ca="1">IF(INDEX(OFFSET(tblCountries!$T$3:$T$52,0,H$11,120,1),$A35)=0,"",$E35)</f>
        <v/>
      </c>
      <c r="I35" t="str" cm="1">
        <f t="array" aca="1" ref="I35" ca="1">IF(INDEX(OFFSET(tblCountries!$T$3:$T$52,0,I$11,120,1),$A35)=0,"",$E35)</f>
        <v/>
      </c>
      <c r="J35" cm="1">
        <f t="array" aca="1" ref="J35" ca="1">IF(INDEX(OFFSET(tblCountries!$T$3:$T$52,0,J$11,120,1),$A35)=0,"",$E35)</f>
        <v>51.8</v>
      </c>
      <c r="K35" t="str" cm="1">
        <f t="array" aca="1" ref="K35" ca="1">IF(INDEX(OFFSET(tblCountries!$T$3:$T$52,0,K$11,120,1),$A35)=0,"",$E35)</f>
        <v/>
      </c>
      <c r="L35" cm="1">
        <f t="array" aca="1" ref="L35" ca="1">IF(INDEX(OFFSET(tblCountries!$T$3:$T$52,0,L$11,120,1),$A35)=0,"",$E35)</f>
        <v>51.8</v>
      </c>
      <c r="M35" t="str" cm="1">
        <f t="array" aca="1" ref="M35" ca="1">IF(INDEX(OFFSET(tblCountries!$T$3:$T$52,0,M$11,120,1),$A35)=0,"",$E35)</f>
        <v/>
      </c>
      <c r="N35" t="str" cm="1">
        <f t="array" aca="1" ref="N35" ca="1">IF(INDEX(OFFSET(tblCountries!$T$3:$T$52,0,N$11,120,1),$A35)=0,"",$E35)</f>
        <v/>
      </c>
      <c r="O35" t="str" cm="1">
        <f t="array" aca="1" ref="O35" ca="1">IF(INDEX(OFFSET(tblCountries!$T$3:$T$52,0,O$11,120,1),$A35)=0,"",$E35)</f>
        <v/>
      </c>
      <c r="P35" t="str" cm="1">
        <f t="array" aca="1" ref="P35" ca="1">IF(INDEX(OFFSET(tblCountries!$T$3:$T$52,0,P$11,120,1),$A35)=0,"",$E35)</f>
        <v/>
      </c>
      <c r="Q35" t="str" cm="1">
        <f t="array" aca="1" ref="Q35" ca="1">IF(INDEX(OFFSET(tblCountries!$T$3:$T$52,0,Q$11,120,1),$A35)=0,"",$E35)</f>
        <v/>
      </c>
      <c r="R35" t="str" cm="1">
        <f t="array" aca="1" ref="R35" ca="1">IF(INDEX(OFFSET(tblCountries!$T$3:$T$52,0,R$11,120,1),$A35)=0,"",$E35)</f>
        <v/>
      </c>
      <c r="S35" t="str" cm="1">
        <f t="array" aca="1" ref="S35" ca="1">IF(INDEX(OFFSET(tblCountries!$T$3:$T$52,0,S$11,120,1),$A35)=0,"",$E35)</f>
        <v/>
      </c>
      <c r="T35" t="str" cm="1">
        <f t="array" aca="1" ref="T35" ca="1">IF(INDEX(OFFSET(tblCountries!$T$3:$T$52,0,T$11,120,1),$A35)=0,"",$E35)</f>
        <v/>
      </c>
      <c r="U35" t="str" cm="1">
        <f t="array" aca="1" ref="U35" ca="1">IF(INDEX(OFFSET(tblCountries!$T$3:$T$52,0,U$11,120,1),$A35)=0,"",$E35)</f>
        <v/>
      </c>
      <c r="V35" t="str" cm="1">
        <f t="array" aca="1" ref="V35" ca="1">IF(INDEX(OFFSET(tblCountries!$T$3:$T$52,0,V$11,120,1),$A35)=0,"",$E35)</f>
        <v/>
      </c>
      <c r="W35" t="str" cm="1">
        <f t="array" aca="1" ref="W35" ca="1">IF(INDEX(OFFSET(tblCountries!$T$3:$T$52,0,W$11,120,1),$A35)=0,"",$E35)</f>
        <v/>
      </c>
      <c r="X35" t="str" cm="1">
        <f t="array" aca="1" ref="X35" ca="1">IF(INDEX(OFFSET(tblCountries!$T$3:$T$52,0,X$11,120,1),$A35)=0,"",$E35)</f>
        <v/>
      </c>
      <c r="Y35" t="str" cm="1">
        <f t="array" aca="1" ref="Y35" ca="1">IF(INDEX(OFFSET(tblCountries!$T$3:$T$52,0,Y$11,120,1),$A35)=0,"",$E35)</f>
        <v/>
      </c>
      <c r="Z35" t="str" cm="1">
        <f t="array" aca="1" ref="Z35" ca="1">IF(AND($C$3=1,NOT(ISNUMBER(INDEX(auto_DataFlat_DataValue,$AA35,$B$4)))),"EXCLUDE","")</f>
        <v/>
      </c>
      <c r="AA35" cm="1">
        <f t="array" aca="1" ref="AA35" ca="1">INDEX(sys_DataFlat_LU_Grid,$B$3,$A35)</f>
        <v>83</v>
      </c>
      <c r="AB35" cm="1">
        <f t="array" aca="1" ref="AB35" ca="1">IF(Z35="EXCLUDE","n/a",IF($B$7="DATA",INDEX(auto_DataFlat_DataValue,$AA35,$B$4),INDEX(auto_DataFlat_Score,$AA35,$B$4)))</f>
        <v>34.200000000000003</v>
      </c>
      <c r="AC35" t="str" cm="1">
        <f t="array" aca="1" ref="AC35" ca="1">IF(INDEX(OFFSET(tblCountries!$T$3:$T$52,0,AC$11,120,1),$A35)=0,"",$AB35)</f>
        <v/>
      </c>
      <c r="AD35" t="str" cm="1">
        <f t="array" aca="1" ref="AD35" ca="1">IF(INDEX(OFFSET(tblCountries!$T$3:$T$52,0,AD$11,120,1),$A35)=0,"",$AB35)</f>
        <v/>
      </c>
      <c r="AE35" t="str" cm="1">
        <f t="array" aca="1" ref="AE35" ca="1">IF(INDEX(OFFSET(tblCountries!$T$3:$T$52,0,AE$11,120,1),$A35)=0,"",$AB35)</f>
        <v/>
      </c>
      <c r="AF35" t="str" cm="1">
        <f t="array" aca="1" ref="AF35" ca="1">IF(INDEX(OFFSET(tblCountries!$T$3:$T$52,0,AF$11,120,1),$A35)=0,"",$AB35)</f>
        <v/>
      </c>
      <c r="AG35" cm="1">
        <f t="array" aca="1" ref="AG35" ca="1">IF(INDEX(OFFSET(tblCountries!$T$3:$T$52,0,AG$11,120,1),$A35)=0,"",$AB35)</f>
        <v>34.200000000000003</v>
      </c>
      <c r="AH35" t="str" cm="1">
        <f t="array" aca="1" ref="AH35" ca="1">IF(INDEX(OFFSET(tblCountries!$T$3:$T$52,0,AH$11,120,1),$A35)=0,"",$AB35)</f>
        <v/>
      </c>
      <c r="AI35" cm="1">
        <f t="array" aca="1" ref="AI35" ca="1">IF(INDEX(OFFSET(tblCountries!$T$3:$T$52,0,AI$11,120,1),$A35)=0,"",$AB35)</f>
        <v>34.200000000000003</v>
      </c>
      <c r="AJ35" t="str" cm="1">
        <f t="array" aca="1" ref="AJ35" ca="1">IF(INDEX(OFFSET(tblCountries!$T$3:$T$52,0,AJ$11,120,1),$A35)=0,"",$AB35)</f>
        <v/>
      </c>
      <c r="AK35" t="str" cm="1">
        <f t="array" aca="1" ref="AK35" ca="1">IF(INDEX(OFFSET(tblCountries!$T$3:$T$52,0,AK$11,120,1),$A35)=0,"",$AB35)</f>
        <v/>
      </c>
      <c r="AL35" t="str" cm="1">
        <f t="array" aca="1" ref="AL35" ca="1">IF(INDEX(OFFSET(tblCountries!$T$3:$T$52,0,AL$11,120,1),$A35)=0,"",$AB35)</f>
        <v/>
      </c>
      <c r="AM35" t="str" cm="1">
        <f t="array" aca="1" ref="AM35" ca="1">IF(INDEX(OFFSET(tblCountries!$T$3:$T$52,0,AM$11,120,1),$A35)=0,"",$AB35)</f>
        <v/>
      </c>
      <c r="AN35" t="str" cm="1">
        <f t="array" aca="1" ref="AN35" ca="1">IF(INDEX(OFFSET(tblCountries!$T$3:$T$52,0,AN$11,120,1),$A35)=0,"",$AB35)</f>
        <v/>
      </c>
      <c r="AO35" t="str" cm="1">
        <f t="array" aca="1" ref="AO35" ca="1">IF(INDEX(OFFSET(tblCountries!$T$3:$T$52,0,AO$11,120,1),$A35)=0,"",$AB35)</f>
        <v/>
      </c>
      <c r="AP35" t="str" cm="1">
        <f t="array" aca="1" ref="AP35" ca="1">IF(INDEX(OFFSET(tblCountries!$T$3:$T$52,0,AP$11,120,1),$A35)=0,"",$AB35)</f>
        <v/>
      </c>
      <c r="AQ35" t="str" cm="1">
        <f t="array" aca="1" ref="AQ35" ca="1">IF(INDEX(OFFSET(tblCountries!$T$3:$T$52,0,AQ$11,120,1),$A35)=0,"",$AB35)</f>
        <v/>
      </c>
      <c r="AR35" t="str" cm="1">
        <f t="array" aca="1" ref="AR35" ca="1">IF(INDEX(OFFSET(tblCountries!$T$3:$T$52,0,AR$11,120,1),$A35)=0,"",$AB35)</f>
        <v/>
      </c>
      <c r="AS35" t="str" cm="1">
        <f t="array" aca="1" ref="AS35" ca="1">IF(INDEX(OFFSET(tblCountries!$T$3:$T$52,0,AS$11,120,1),$A35)=0,"",$AB35)</f>
        <v/>
      </c>
      <c r="AT35" t="str" cm="1">
        <f t="array" aca="1" ref="AT35" ca="1">IF(INDEX(OFFSET(tblCountries!$T$3:$T$52,0,AT$11,120,1),$A35)=0,"",$AB35)</f>
        <v/>
      </c>
      <c r="AU35" t="str" cm="1">
        <f t="array" aca="1" ref="AU35" ca="1">IF(INDEX(OFFSET(tblCountries!$T$3:$T$52,0,AU$11,120,1),$A35)=0,"",$AB35)</f>
        <v/>
      </c>
      <c r="AV35" t="str" cm="1">
        <f t="array" aca="1" ref="AV35" ca="1">IF(INDEX(OFFSET(tblCountries!$T$3:$T$52,0,AV$11,120,1),$A35)=0,"",$AB35)</f>
        <v/>
      </c>
      <c r="AZ35">
        <f t="shared" ca="1" si="9"/>
        <v>1</v>
      </c>
      <c r="BA35">
        <f t="shared" ca="1" si="10"/>
        <v>0</v>
      </c>
      <c r="BB35">
        <f t="shared" ca="1" si="11"/>
        <v>0</v>
      </c>
      <c r="BC35">
        <f t="shared" ca="1" si="12"/>
        <v>0</v>
      </c>
      <c r="BD35">
        <f t="shared" ca="1" si="13"/>
        <v>0</v>
      </c>
      <c r="BE35">
        <f t="shared" ca="1" si="14"/>
        <v>1</v>
      </c>
      <c r="BF35">
        <f t="shared" ca="1" si="15"/>
        <v>0</v>
      </c>
      <c r="BG35">
        <f t="shared" ca="1" si="16"/>
        <v>1</v>
      </c>
      <c r="BH35">
        <f t="shared" ca="1" si="17"/>
        <v>0</v>
      </c>
      <c r="BI35">
        <f t="shared" ca="1" si="18"/>
        <v>0</v>
      </c>
      <c r="BJ35">
        <f t="shared" ca="1" si="19"/>
        <v>0</v>
      </c>
    </row>
    <row r="36" spans="1:62" x14ac:dyDescent="0.4">
      <c r="A36">
        <v>24</v>
      </c>
      <c r="B36" t="str">
        <f>tblCountries!H26</f>
        <v>Kuwait City, Kuwait</v>
      </c>
      <c r="C36" t="str" cm="1">
        <f t="array" aca="1" ref="C36" ca="1">IF(AND($C$2=1,NOT(ISNUMBER(INDEX(auto_DataFlat_DataValue,$D36,$B$4)))),"EXCLUDE","")</f>
        <v/>
      </c>
      <c r="D36" cm="1">
        <f t="array" aca="1" ref="D36" ca="1">INDEX(sys_DataFlat_LU_Grid,$B$2,$A36)</f>
        <v>24</v>
      </c>
      <c r="E36" cm="1">
        <f t="array" aca="1" ref="E36" ca="1">IF(C36="EXCLUDE","n/a",IF($B$6="DATA",INDEX(auto_DataFlat_DataValue,$D36,$B$4),INDEX(auto_DataFlat_Score,$D36,$B$4)))</f>
        <v>42.1</v>
      </c>
      <c r="F36" t="str" cm="1">
        <f t="array" aca="1" ref="F36" ca="1">IF(INDEX(OFFSET(tblCountries!$T$3:$T$52,0,F$11,120,1),$A36)=0,"",$E36)</f>
        <v/>
      </c>
      <c r="G36" t="str" cm="1">
        <f t="array" aca="1" ref="G36" ca="1">IF(INDEX(OFFSET(tblCountries!$T$3:$T$52,0,G$11,120,1),$A36)=0,"",$E36)</f>
        <v/>
      </c>
      <c r="H36" cm="1">
        <f t="array" aca="1" ref="H36" ca="1">IF(INDEX(OFFSET(tblCountries!$T$3:$T$52,0,H$11,120,1),$A36)=0,"",$E36)</f>
        <v>42.1</v>
      </c>
      <c r="I36" t="str" cm="1">
        <f t="array" aca="1" ref="I36" ca="1">IF(INDEX(OFFSET(tblCountries!$T$3:$T$52,0,I$11,120,1),$A36)=0,"",$E36)</f>
        <v/>
      </c>
      <c r="J36" t="str" cm="1">
        <f t="array" aca="1" ref="J36" ca="1">IF(INDEX(OFFSET(tblCountries!$T$3:$T$52,0,J$11,120,1),$A36)=0,"",$E36)</f>
        <v/>
      </c>
      <c r="K36" t="str" cm="1">
        <f t="array" aca="1" ref="K36" ca="1">IF(INDEX(OFFSET(tblCountries!$T$3:$T$52,0,K$11,120,1),$A36)=0,"",$E36)</f>
        <v/>
      </c>
      <c r="L36" t="str" cm="1">
        <f t="array" aca="1" ref="L36" ca="1">IF(INDEX(OFFSET(tblCountries!$T$3:$T$52,0,L$11,120,1),$A36)=0,"",$E36)</f>
        <v/>
      </c>
      <c r="M36" t="str" cm="1">
        <f t="array" aca="1" ref="M36" ca="1">IF(INDEX(OFFSET(tblCountries!$T$3:$T$52,0,M$11,120,1),$A36)=0,"",$E36)</f>
        <v/>
      </c>
      <c r="N36" cm="1">
        <f t="array" aca="1" ref="N36" ca="1">IF(INDEX(OFFSET(tblCountries!$T$3:$T$52,0,N$11,120,1),$A36)=0,"",$E36)</f>
        <v>42.1</v>
      </c>
      <c r="O36" t="str" cm="1">
        <f t="array" aca="1" ref="O36" ca="1">IF(INDEX(OFFSET(tblCountries!$T$3:$T$52,0,O$11,120,1),$A36)=0,"",$E36)</f>
        <v/>
      </c>
      <c r="P36" t="str" cm="1">
        <f t="array" aca="1" ref="P36" ca="1">IF(INDEX(OFFSET(tblCountries!$T$3:$T$52,0,P$11,120,1),$A36)=0,"",$E36)</f>
        <v/>
      </c>
      <c r="Q36" t="str" cm="1">
        <f t="array" aca="1" ref="Q36" ca="1">IF(INDEX(OFFSET(tblCountries!$T$3:$T$52,0,Q$11,120,1),$A36)=0,"",$E36)</f>
        <v/>
      </c>
      <c r="R36" t="str" cm="1">
        <f t="array" aca="1" ref="R36" ca="1">IF(INDEX(OFFSET(tblCountries!$T$3:$T$52,0,R$11,120,1),$A36)=0,"",$E36)</f>
        <v/>
      </c>
      <c r="S36" t="str" cm="1">
        <f t="array" aca="1" ref="S36" ca="1">IF(INDEX(OFFSET(tblCountries!$T$3:$T$52,0,S$11,120,1),$A36)=0,"",$E36)</f>
        <v/>
      </c>
      <c r="T36" t="str" cm="1">
        <f t="array" aca="1" ref="T36" ca="1">IF(INDEX(OFFSET(tblCountries!$T$3:$T$52,0,T$11,120,1),$A36)=0,"",$E36)</f>
        <v/>
      </c>
      <c r="U36" t="str" cm="1">
        <f t="array" aca="1" ref="U36" ca="1">IF(INDEX(OFFSET(tblCountries!$T$3:$T$52,0,U$11,120,1),$A36)=0,"",$E36)</f>
        <v/>
      </c>
      <c r="V36" t="str" cm="1">
        <f t="array" aca="1" ref="V36" ca="1">IF(INDEX(OFFSET(tblCountries!$T$3:$T$52,0,V$11,120,1),$A36)=0,"",$E36)</f>
        <v/>
      </c>
      <c r="W36" t="str" cm="1">
        <f t="array" aca="1" ref="W36" ca="1">IF(INDEX(OFFSET(tblCountries!$T$3:$T$52,0,W$11,120,1),$A36)=0,"",$E36)</f>
        <v/>
      </c>
      <c r="X36" t="str" cm="1">
        <f t="array" aca="1" ref="X36" ca="1">IF(INDEX(OFFSET(tblCountries!$T$3:$T$52,0,X$11,120,1),$A36)=0,"",$E36)</f>
        <v/>
      </c>
      <c r="Y36" t="str" cm="1">
        <f t="array" aca="1" ref="Y36" ca="1">IF(INDEX(OFFSET(tblCountries!$T$3:$T$52,0,Y$11,120,1),$A36)=0,"",$E36)</f>
        <v/>
      </c>
      <c r="Z36" t="str" cm="1">
        <f t="array" aca="1" ref="Z36" ca="1">IF(AND($C$3=1,NOT(ISNUMBER(INDEX(auto_DataFlat_DataValue,$AA36,$B$4)))),"EXCLUDE","")</f>
        <v/>
      </c>
      <c r="AA36" cm="1">
        <f t="array" aca="1" ref="AA36" ca="1">INDEX(sys_DataFlat_LU_Grid,$B$3,$A36)</f>
        <v>84</v>
      </c>
      <c r="AB36" cm="1">
        <f t="array" aca="1" ref="AB36" ca="1">IF(Z36="EXCLUDE","n/a",IF($B$7="DATA",INDEX(auto_DataFlat_DataValue,$AA36,$B$4),INDEX(auto_DataFlat_Score,$AA36,$B$4)))</f>
        <v>49.5</v>
      </c>
      <c r="AC36" t="str" cm="1">
        <f t="array" aca="1" ref="AC36" ca="1">IF(INDEX(OFFSET(tblCountries!$T$3:$T$52,0,AC$11,120,1),$A36)=0,"",$AB36)</f>
        <v/>
      </c>
      <c r="AD36" t="str" cm="1">
        <f t="array" aca="1" ref="AD36" ca="1">IF(INDEX(OFFSET(tblCountries!$T$3:$T$52,0,AD$11,120,1),$A36)=0,"",$AB36)</f>
        <v/>
      </c>
      <c r="AE36" cm="1">
        <f t="array" aca="1" ref="AE36" ca="1">IF(INDEX(OFFSET(tblCountries!$T$3:$T$52,0,AE$11,120,1),$A36)=0,"",$AB36)</f>
        <v>49.5</v>
      </c>
      <c r="AF36" t="str" cm="1">
        <f t="array" aca="1" ref="AF36" ca="1">IF(INDEX(OFFSET(tblCountries!$T$3:$T$52,0,AF$11,120,1),$A36)=0,"",$AB36)</f>
        <v/>
      </c>
      <c r="AG36" t="str" cm="1">
        <f t="array" aca="1" ref="AG36" ca="1">IF(INDEX(OFFSET(tblCountries!$T$3:$T$52,0,AG$11,120,1),$A36)=0,"",$AB36)</f>
        <v/>
      </c>
      <c r="AH36" t="str" cm="1">
        <f t="array" aca="1" ref="AH36" ca="1">IF(INDEX(OFFSET(tblCountries!$T$3:$T$52,0,AH$11,120,1),$A36)=0,"",$AB36)</f>
        <v/>
      </c>
      <c r="AI36" t="str" cm="1">
        <f t="array" aca="1" ref="AI36" ca="1">IF(INDEX(OFFSET(tblCountries!$T$3:$T$52,0,AI$11,120,1),$A36)=0,"",$AB36)</f>
        <v/>
      </c>
      <c r="AJ36" t="str" cm="1">
        <f t="array" aca="1" ref="AJ36" ca="1">IF(INDEX(OFFSET(tblCountries!$T$3:$T$52,0,AJ$11,120,1),$A36)=0,"",$AB36)</f>
        <v/>
      </c>
      <c r="AK36" cm="1">
        <f t="array" aca="1" ref="AK36" ca="1">IF(INDEX(OFFSET(tblCountries!$T$3:$T$52,0,AK$11,120,1),$A36)=0,"",$AB36)</f>
        <v>49.5</v>
      </c>
      <c r="AL36" t="str" cm="1">
        <f t="array" aca="1" ref="AL36" ca="1">IF(INDEX(OFFSET(tblCountries!$T$3:$T$52,0,AL$11,120,1),$A36)=0,"",$AB36)</f>
        <v/>
      </c>
      <c r="AM36" t="str" cm="1">
        <f t="array" aca="1" ref="AM36" ca="1">IF(INDEX(OFFSET(tblCountries!$T$3:$T$52,0,AM$11,120,1),$A36)=0,"",$AB36)</f>
        <v/>
      </c>
      <c r="AN36" t="str" cm="1">
        <f t="array" aca="1" ref="AN36" ca="1">IF(INDEX(OFFSET(tblCountries!$T$3:$T$52,0,AN$11,120,1),$A36)=0,"",$AB36)</f>
        <v/>
      </c>
      <c r="AO36" t="str" cm="1">
        <f t="array" aca="1" ref="AO36" ca="1">IF(INDEX(OFFSET(tblCountries!$T$3:$T$52,0,AO$11,120,1),$A36)=0,"",$AB36)</f>
        <v/>
      </c>
      <c r="AP36" t="str" cm="1">
        <f t="array" aca="1" ref="AP36" ca="1">IF(INDEX(OFFSET(tblCountries!$T$3:$T$52,0,AP$11,120,1),$A36)=0,"",$AB36)</f>
        <v/>
      </c>
      <c r="AQ36" t="str" cm="1">
        <f t="array" aca="1" ref="AQ36" ca="1">IF(INDEX(OFFSET(tblCountries!$T$3:$T$52,0,AQ$11,120,1),$A36)=0,"",$AB36)</f>
        <v/>
      </c>
      <c r="AR36" t="str" cm="1">
        <f t="array" aca="1" ref="AR36" ca="1">IF(INDEX(OFFSET(tblCountries!$T$3:$T$52,0,AR$11,120,1),$A36)=0,"",$AB36)</f>
        <v/>
      </c>
      <c r="AS36" t="str" cm="1">
        <f t="array" aca="1" ref="AS36" ca="1">IF(INDEX(OFFSET(tblCountries!$T$3:$T$52,0,AS$11,120,1),$A36)=0,"",$AB36)</f>
        <v/>
      </c>
      <c r="AT36" t="str" cm="1">
        <f t="array" aca="1" ref="AT36" ca="1">IF(INDEX(OFFSET(tblCountries!$T$3:$T$52,0,AT$11,120,1),$A36)=0,"",$AB36)</f>
        <v/>
      </c>
      <c r="AU36" t="str" cm="1">
        <f t="array" aca="1" ref="AU36" ca="1">IF(INDEX(OFFSET(tblCountries!$T$3:$T$52,0,AU$11,120,1),$A36)=0,"",$AB36)</f>
        <v/>
      </c>
      <c r="AV36" t="str" cm="1">
        <f t="array" aca="1" ref="AV36" ca="1">IF(INDEX(OFFSET(tblCountries!$T$3:$T$52,0,AV$11,120,1),$A36)=0,"",$AB36)</f>
        <v/>
      </c>
      <c r="AZ36">
        <f t="shared" ca="1" si="9"/>
        <v>1</v>
      </c>
      <c r="BA36">
        <f t="shared" ca="1" si="10"/>
        <v>0</v>
      </c>
      <c r="BB36">
        <f t="shared" ca="1" si="11"/>
        <v>0</v>
      </c>
      <c r="BC36">
        <f t="shared" ca="1" si="12"/>
        <v>1</v>
      </c>
      <c r="BD36">
        <f t="shared" ca="1" si="13"/>
        <v>0</v>
      </c>
      <c r="BE36">
        <f t="shared" ca="1" si="14"/>
        <v>0</v>
      </c>
      <c r="BF36">
        <f t="shared" ca="1" si="15"/>
        <v>0</v>
      </c>
      <c r="BG36">
        <f t="shared" ca="1" si="16"/>
        <v>0</v>
      </c>
      <c r="BH36">
        <f t="shared" ca="1" si="17"/>
        <v>0</v>
      </c>
      <c r="BI36">
        <f t="shared" ca="1" si="18"/>
        <v>1</v>
      </c>
      <c r="BJ36">
        <f t="shared" ca="1" si="19"/>
        <v>0</v>
      </c>
    </row>
    <row r="37" spans="1:62" x14ac:dyDescent="0.4">
      <c r="A37">
        <v>25</v>
      </c>
      <c r="B37" t="str">
        <f>tblCountries!H27</f>
        <v>Lagos, Nigeria</v>
      </c>
      <c r="C37" t="str" cm="1">
        <f t="array" aca="1" ref="C37" ca="1">IF(AND($C$2=1,NOT(ISNUMBER(INDEX(auto_DataFlat_DataValue,$D37,$B$4)))),"EXCLUDE","")</f>
        <v/>
      </c>
      <c r="D37" cm="1">
        <f t="array" aca="1" ref="D37" ca="1">INDEX(sys_DataFlat_LU_Grid,$B$2,$A37)</f>
        <v>25</v>
      </c>
      <c r="E37" cm="1">
        <f t="array" aca="1" ref="E37" ca="1">IF(C37="EXCLUDE","n/a",IF($B$6="DATA",INDEX(auto_DataFlat_DataValue,$D37,$B$4),INDEX(auto_DataFlat_Score,$D37,$B$4)))</f>
        <v>51.6</v>
      </c>
      <c r="F37" cm="1">
        <f t="array" aca="1" ref="F37" ca="1">IF(INDEX(OFFSET(tblCountries!$T$3:$T$52,0,F$11,120,1),$A37)=0,"",$E37)</f>
        <v>51.6</v>
      </c>
      <c r="G37" t="str" cm="1">
        <f t="array" aca="1" ref="G37" ca="1">IF(INDEX(OFFSET(tblCountries!$T$3:$T$52,0,G$11,120,1),$A37)=0,"",$E37)</f>
        <v/>
      </c>
      <c r="H37" t="str" cm="1">
        <f t="array" aca="1" ref="H37" ca="1">IF(INDEX(OFFSET(tblCountries!$T$3:$T$52,0,H$11,120,1),$A37)=0,"",$E37)</f>
        <v/>
      </c>
      <c r="I37" t="str" cm="1">
        <f t="array" aca="1" ref="I37" ca="1">IF(INDEX(OFFSET(tblCountries!$T$3:$T$52,0,I$11,120,1),$A37)=0,"",$E37)</f>
        <v/>
      </c>
      <c r="J37" t="str" cm="1">
        <f t="array" aca="1" ref="J37" ca="1">IF(INDEX(OFFSET(tblCountries!$T$3:$T$52,0,J$11,120,1),$A37)=0,"",$E37)</f>
        <v/>
      </c>
      <c r="K37" t="str" cm="1">
        <f t="array" aca="1" ref="K37" ca="1">IF(INDEX(OFFSET(tblCountries!$T$3:$T$52,0,K$11,120,1),$A37)=0,"",$E37)</f>
        <v/>
      </c>
      <c r="L37" cm="1">
        <f t="array" aca="1" ref="L37" ca="1">IF(INDEX(OFFSET(tblCountries!$T$3:$T$52,0,L$11,120,1),$A37)=0,"",$E37)</f>
        <v>51.6</v>
      </c>
      <c r="M37" t="str" cm="1">
        <f t="array" aca="1" ref="M37" ca="1">IF(INDEX(OFFSET(tblCountries!$T$3:$T$52,0,M$11,120,1),$A37)=0,"",$E37)</f>
        <v/>
      </c>
      <c r="N37" t="str" cm="1">
        <f t="array" aca="1" ref="N37" ca="1">IF(INDEX(OFFSET(tblCountries!$T$3:$T$52,0,N$11,120,1),$A37)=0,"",$E37)</f>
        <v/>
      </c>
      <c r="O37" t="str" cm="1">
        <f t="array" aca="1" ref="O37" ca="1">IF(INDEX(OFFSET(tblCountries!$T$3:$T$52,0,O$11,120,1),$A37)=0,"",$E37)</f>
        <v/>
      </c>
      <c r="P37" t="str" cm="1">
        <f t="array" aca="1" ref="P37" ca="1">IF(INDEX(OFFSET(tblCountries!$T$3:$T$52,0,P$11,120,1),$A37)=0,"",$E37)</f>
        <v/>
      </c>
      <c r="Q37" t="str" cm="1">
        <f t="array" aca="1" ref="Q37" ca="1">IF(INDEX(OFFSET(tblCountries!$T$3:$T$52,0,Q$11,120,1),$A37)=0,"",$E37)</f>
        <v/>
      </c>
      <c r="R37" t="str" cm="1">
        <f t="array" aca="1" ref="R37" ca="1">IF(INDEX(OFFSET(tblCountries!$T$3:$T$52,0,R$11,120,1),$A37)=0,"",$E37)</f>
        <v/>
      </c>
      <c r="S37" t="str" cm="1">
        <f t="array" aca="1" ref="S37" ca="1">IF(INDEX(OFFSET(tblCountries!$T$3:$T$52,0,S$11,120,1),$A37)=0,"",$E37)</f>
        <v/>
      </c>
      <c r="T37" t="str" cm="1">
        <f t="array" aca="1" ref="T37" ca="1">IF(INDEX(OFFSET(tblCountries!$T$3:$T$52,0,T$11,120,1),$A37)=0,"",$E37)</f>
        <v/>
      </c>
      <c r="U37" t="str" cm="1">
        <f t="array" aca="1" ref="U37" ca="1">IF(INDEX(OFFSET(tblCountries!$T$3:$T$52,0,U$11,120,1),$A37)=0,"",$E37)</f>
        <v/>
      </c>
      <c r="V37" t="str" cm="1">
        <f t="array" aca="1" ref="V37" ca="1">IF(INDEX(OFFSET(tblCountries!$T$3:$T$52,0,V$11,120,1),$A37)=0,"",$E37)</f>
        <v/>
      </c>
      <c r="W37" t="str" cm="1">
        <f t="array" aca="1" ref="W37" ca="1">IF(INDEX(OFFSET(tblCountries!$T$3:$T$52,0,W$11,120,1),$A37)=0,"",$E37)</f>
        <v/>
      </c>
      <c r="X37" t="str" cm="1">
        <f t="array" aca="1" ref="X37" ca="1">IF(INDEX(OFFSET(tblCountries!$T$3:$T$52,0,X$11,120,1),$A37)=0,"",$E37)</f>
        <v/>
      </c>
      <c r="Y37" t="str" cm="1">
        <f t="array" aca="1" ref="Y37" ca="1">IF(INDEX(OFFSET(tblCountries!$T$3:$T$52,0,Y$11,120,1),$A37)=0,"",$E37)</f>
        <v/>
      </c>
      <c r="Z37" t="str" cm="1">
        <f t="array" aca="1" ref="Z37" ca="1">IF(AND($C$3=1,NOT(ISNUMBER(INDEX(auto_DataFlat_DataValue,$AA37,$B$4)))),"EXCLUDE","")</f>
        <v/>
      </c>
      <c r="AA37" cm="1">
        <f t="array" aca="1" ref="AA37" ca="1">INDEX(sys_DataFlat_LU_Grid,$B$3,$A37)</f>
        <v>85</v>
      </c>
      <c r="AB37" cm="1">
        <f t="array" aca="1" ref="AB37" ca="1">IF(Z37="EXCLUDE","n/a",IF($B$7="DATA",INDEX(auto_DataFlat_DataValue,$AA37,$B$4),INDEX(auto_DataFlat_Score,$AA37,$B$4)))</f>
        <v>73.3</v>
      </c>
      <c r="AC37" cm="1">
        <f t="array" aca="1" ref="AC37" ca="1">IF(INDEX(OFFSET(tblCountries!$T$3:$T$52,0,AC$11,120,1),$A37)=0,"",$AB37)</f>
        <v>73.3</v>
      </c>
      <c r="AD37" t="str" cm="1">
        <f t="array" aca="1" ref="AD37" ca="1">IF(INDEX(OFFSET(tblCountries!$T$3:$T$52,0,AD$11,120,1),$A37)=0,"",$AB37)</f>
        <v/>
      </c>
      <c r="AE37" t="str" cm="1">
        <f t="array" aca="1" ref="AE37" ca="1">IF(INDEX(OFFSET(tblCountries!$T$3:$T$52,0,AE$11,120,1),$A37)=0,"",$AB37)</f>
        <v/>
      </c>
      <c r="AF37" t="str" cm="1">
        <f t="array" aca="1" ref="AF37" ca="1">IF(INDEX(OFFSET(tblCountries!$T$3:$T$52,0,AF$11,120,1),$A37)=0,"",$AB37)</f>
        <v/>
      </c>
      <c r="AG37" t="str" cm="1">
        <f t="array" aca="1" ref="AG37" ca="1">IF(INDEX(OFFSET(tblCountries!$T$3:$T$52,0,AG$11,120,1),$A37)=0,"",$AB37)</f>
        <v/>
      </c>
      <c r="AH37" t="str" cm="1">
        <f t="array" aca="1" ref="AH37" ca="1">IF(INDEX(OFFSET(tblCountries!$T$3:$T$52,0,AH$11,120,1),$A37)=0,"",$AB37)</f>
        <v/>
      </c>
      <c r="AI37" cm="1">
        <f t="array" aca="1" ref="AI37" ca="1">IF(INDEX(OFFSET(tblCountries!$T$3:$T$52,0,AI$11,120,1),$A37)=0,"",$AB37)</f>
        <v>73.3</v>
      </c>
      <c r="AJ37" t="str" cm="1">
        <f t="array" aca="1" ref="AJ37" ca="1">IF(INDEX(OFFSET(tblCountries!$T$3:$T$52,0,AJ$11,120,1),$A37)=0,"",$AB37)</f>
        <v/>
      </c>
      <c r="AK37" t="str" cm="1">
        <f t="array" aca="1" ref="AK37" ca="1">IF(INDEX(OFFSET(tblCountries!$T$3:$T$52,0,AK$11,120,1),$A37)=0,"",$AB37)</f>
        <v/>
      </c>
      <c r="AL37" t="str" cm="1">
        <f t="array" aca="1" ref="AL37" ca="1">IF(INDEX(OFFSET(tblCountries!$T$3:$T$52,0,AL$11,120,1),$A37)=0,"",$AB37)</f>
        <v/>
      </c>
      <c r="AM37" t="str" cm="1">
        <f t="array" aca="1" ref="AM37" ca="1">IF(INDEX(OFFSET(tblCountries!$T$3:$T$52,0,AM$11,120,1),$A37)=0,"",$AB37)</f>
        <v/>
      </c>
      <c r="AN37" t="str" cm="1">
        <f t="array" aca="1" ref="AN37" ca="1">IF(INDEX(OFFSET(tblCountries!$T$3:$T$52,0,AN$11,120,1),$A37)=0,"",$AB37)</f>
        <v/>
      </c>
      <c r="AO37" t="str" cm="1">
        <f t="array" aca="1" ref="AO37" ca="1">IF(INDEX(OFFSET(tblCountries!$T$3:$T$52,0,AO$11,120,1),$A37)=0,"",$AB37)</f>
        <v/>
      </c>
      <c r="AP37" t="str" cm="1">
        <f t="array" aca="1" ref="AP37" ca="1">IF(INDEX(OFFSET(tblCountries!$T$3:$T$52,0,AP$11,120,1),$A37)=0,"",$AB37)</f>
        <v/>
      </c>
      <c r="AQ37" t="str" cm="1">
        <f t="array" aca="1" ref="AQ37" ca="1">IF(INDEX(OFFSET(tblCountries!$T$3:$T$52,0,AQ$11,120,1),$A37)=0,"",$AB37)</f>
        <v/>
      </c>
      <c r="AR37" t="str" cm="1">
        <f t="array" aca="1" ref="AR37" ca="1">IF(INDEX(OFFSET(tblCountries!$T$3:$T$52,0,AR$11,120,1),$A37)=0,"",$AB37)</f>
        <v/>
      </c>
      <c r="AS37" t="str" cm="1">
        <f t="array" aca="1" ref="AS37" ca="1">IF(INDEX(OFFSET(tblCountries!$T$3:$T$52,0,AS$11,120,1),$A37)=0,"",$AB37)</f>
        <v/>
      </c>
      <c r="AT37" t="str" cm="1">
        <f t="array" aca="1" ref="AT37" ca="1">IF(INDEX(OFFSET(tblCountries!$T$3:$T$52,0,AT$11,120,1),$A37)=0,"",$AB37)</f>
        <v/>
      </c>
      <c r="AU37" t="str" cm="1">
        <f t="array" aca="1" ref="AU37" ca="1">IF(INDEX(OFFSET(tblCountries!$T$3:$T$52,0,AU$11,120,1),$A37)=0,"",$AB37)</f>
        <v/>
      </c>
      <c r="AV37" t="str" cm="1">
        <f t="array" aca="1" ref="AV37" ca="1">IF(INDEX(OFFSET(tblCountries!$T$3:$T$52,0,AV$11,120,1),$A37)=0,"",$AB37)</f>
        <v/>
      </c>
      <c r="AZ37">
        <f t="shared" ca="1" si="9"/>
        <v>1</v>
      </c>
      <c r="BA37">
        <f t="shared" ca="1" si="10"/>
        <v>1</v>
      </c>
      <c r="BB37">
        <f t="shared" ca="1" si="11"/>
        <v>0</v>
      </c>
      <c r="BC37">
        <f t="shared" ca="1" si="12"/>
        <v>0</v>
      </c>
      <c r="BD37">
        <f t="shared" ca="1" si="13"/>
        <v>0</v>
      </c>
      <c r="BE37">
        <f t="shared" ca="1" si="14"/>
        <v>0</v>
      </c>
      <c r="BF37">
        <f t="shared" ca="1" si="15"/>
        <v>0</v>
      </c>
      <c r="BG37">
        <f t="shared" ca="1" si="16"/>
        <v>1</v>
      </c>
      <c r="BH37">
        <f t="shared" ca="1" si="17"/>
        <v>0</v>
      </c>
      <c r="BI37">
        <f t="shared" ca="1" si="18"/>
        <v>0</v>
      </c>
      <c r="BJ37">
        <f t="shared" ca="1" si="19"/>
        <v>0</v>
      </c>
    </row>
    <row r="38" spans="1:62" x14ac:dyDescent="0.4">
      <c r="A38">
        <v>26</v>
      </c>
      <c r="B38" t="str">
        <f>tblCountries!H28</f>
        <v>London, United Kingdom</v>
      </c>
      <c r="C38" t="str" cm="1">
        <f t="array" aca="1" ref="C38" ca="1">IF(AND($C$2=1,NOT(ISNUMBER(INDEX(auto_DataFlat_DataValue,$D38,$B$4)))),"EXCLUDE","")</f>
        <v/>
      </c>
      <c r="D38" cm="1">
        <f t="array" aca="1" ref="D38" ca="1">INDEX(sys_DataFlat_LU_Grid,$B$2,$A38)</f>
        <v>26</v>
      </c>
      <c r="E38" cm="1">
        <f t="array" aca="1" ref="E38" ca="1">IF(C38="EXCLUDE","n/a",IF($B$6="DATA",INDEX(auto_DataFlat_DataValue,$D38,$B$4),INDEX(auto_DataFlat_Score,$D38,$B$4)))</f>
        <v>82.6</v>
      </c>
      <c r="F38" t="str" cm="1">
        <f t="array" aca="1" ref="F38" ca="1">IF(INDEX(OFFSET(tblCountries!$T$3:$T$52,0,F$11,120,1),$A38)=0,"",$E38)</f>
        <v/>
      </c>
      <c r="G38" t="str" cm="1">
        <f t="array" aca="1" ref="G38" ca="1">IF(INDEX(OFFSET(tblCountries!$T$3:$T$52,0,G$11,120,1),$A38)=0,"",$E38)</f>
        <v/>
      </c>
      <c r="H38" t="str" cm="1">
        <f t="array" aca="1" ref="H38" ca="1">IF(INDEX(OFFSET(tblCountries!$T$3:$T$52,0,H$11,120,1),$A38)=0,"",$E38)</f>
        <v/>
      </c>
      <c r="I38" cm="1">
        <f t="array" aca="1" ref="I38" ca="1">IF(INDEX(OFFSET(tblCountries!$T$3:$T$52,0,I$11,120,1),$A38)=0,"",$E38)</f>
        <v>82.6</v>
      </c>
      <c r="J38" t="str" cm="1">
        <f t="array" aca="1" ref="J38" ca="1">IF(INDEX(OFFSET(tblCountries!$T$3:$T$52,0,J$11,120,1),$A38)=0,"",$E38)</f>
        <v/>
      </c>
      <c r="K38" t="str" cm="1">
        <f t="array" aca="1" ref="K38" ca="1">IF(INDEX(OFFSET(tblCountries!$T$3:$T$52,0,K$11,120,1),$A38)=0,"",$E38)</f>
        <v/>
      </c>
      <c r="L38" t="str" cm="1">
        <f t="array" aca="1" ref="L38" ca="1">IF(INDEX(OFFSET(tblCountries!$T$3:$T$52,0,L$11,120,1),$A38)=0,"",$E38)</f>
        <v/>
      </c>
      <c r="M38" t="str" cm="1">
        <f t="array" aca="1" ref="M38" ca="1">IF(INDEX(OFFSET(tblCountries!$T$3:$T$52,0,M$11,120,1),$A38)=0,"",$E38)</f>
        <v/>
      </c>
      <c r="N38" cm="1">
        <f t="array" aca="1" ref="N38" ca="1">IF(INDEX(OFFSET(tblCountries!$T$3:$T$52,0,N$11,120,1),$A38)=0,"",$E38)</f>
        <v>82.6</v>
      </c>
      <c r="O38" t="str" cm="1">
        <f t="array" aca="1" ref="O38" ca="1">IF(INDEX(OFFSET(tblCountries!$T$3:$T$52,0,O$11,120,1),$A38)=0,"",$E38)</f>
        <v/>
      </c>
      <c r="P38" t="str" cm="1">
        <f t="array" aca="1" ref="P38" ca="1">IF(INDEX(OFFSET(tblCountries!$T$3:$T$52,0,P$11,120,1),$A38)=0,"",$E38)</f>
        <v/>
      </c>
      <c r="Q38" t="str" cm="1">
        <f t="array" aca="1" ref="Q38" ca="1">IF(INDEX(OFFSET(tblCountries!$T$3:$T$52,0,Q$11,120,1),$A38)=0,"",$E38)</f>
        <v/>
      </c>
      <c r="R38" t="str" cm="1">
        <f t="array" aca="1" ref="R38" ca="1">IF(INDEX(OFFSET(tblCountries!$T$3:$T$52,0,R$11,120,1),$A38)=0,"",$E38)</f>
        <v/>
      </c>
      <c r="S38" t="str" cm="1">
        <f t="array" aca="1" ref="S38" ca="1">IF(INDEX(OFFSET(tblCountries!$T$3:$T$52,0,S$11,120,1),$A38)=0,"",$E38)</f>
        <v/>
      </c>
      <c r="T38" t="str" cm="1">
        <f t="array" aca="1" ref="T38" ca="1">IF(INDEX(OFFSET(tblCountries!$T$3:$T$52,0,T$11,120,1),$A38)=0,"",$E38)</f>
        <v/>
      </c>
      <c r="U38" t="str" cm="1">
        <f t="array" aca="1" ref="U38" ca="1">IF(INDEX(OFFSET(tblCountries!$T$3:$T$52,0,U$11,120,1),$A38)=0,"",$E38)</f>
        <v/>
      </c>
      <c r="V38" t="str" cm="1">
        <f t="array" aca="1" ref="V38" ca="1">IF(INDEX(OFFSET(tblCountries!$T$3:$T$52,0,V$11,120,1),$A38)=0,"",$E38)</f>
        <v/>
      </c>
      <c r="W38" t="str" cm="1">
        <f t="array" aca="1" ref="W38" ca="1">IF(INDEX(OFFSET(tblCountries!$T$3:$T$52,0,W$11,120,1),$A38)=0,"",$E38)</f>
        <v/>
      </c>
      <c r="X38" t="str" cm="1">
        <f t="array" aca="1" ref="X38" ca="1">IF(INDEX(OFFSET(tblCountries!$T$3:$T$52,0,X$11,120,1),$A38)=0,"",$E38)</f>
        <v/>
      </c>
      <c r="Y38" t="str" cm="1">
        <f t="array" aca="1" ref="Y38" ca="1">IF(INDEX(OFFSET(tblCountries!$T$3:$T$52,0,Y$11,120,1),$A38)=0,"",$E38)</f>
        <v/>
      </c>
      <c r="Z38" t="str" cm="1">
        <f t="array" aca="1" ref="Z38" ca="1">IF(AND($C$3=1,NOT(ISNUMBER(INDEX(auto_DataFlat_DataValue,$AA38,$B$4)))),"EXCLUDE","")</f>
        <v/>
      </c>
      <c r="AA38" cm="1">
        <f t="array" aca="1" ref="AA38" ca="1">INDEX(sys_DataFlat_LU_Grid,$B$3,$A38)</f>
        <v>86</v>
      </c>
      <c r="AB38" cm="1">
        <f t="array" aca="1" ref="AB38" ca="1">IF(Z38="EXCLUDE","n/a",IF($B$7="DATA",INDEX(auto_DataFlat_DataValue,$AA38,$B$4),INDEX(auto_DataFlat_Score,$AA38,$B$4)))</f>
        <v>86.9</v>
      </c>
      <c r="AC38" t="str" cm="1">
        <f t="array" aca="1" ref="AC38" ca="1">IF(INDEX(OFFSET(tblCountries!$T$3:$T$52,0,AC$11,120,1),$A38)=0,"",$AB38)</f>
        <v/>
      </c>
      <c r="AD38" t="str" cm="1">
        <f t="array" aca="1" ref="AD38" ca="1">IF(INDEX(OFFSET(tblCountries!$T$3:$T$52,0,AD$11,120,1),$A38)=0,"",$AB38)</f>
        <v/>
      </c>
      <c r="AE38" t="str" cm="1">
        <f t="array" aca="1" ref="AE38" ca="1">IF(INDEX(OFFSET(tblCountries!$T$3:$T$52,0,AE$11,120,1),$A38)=0,"",$AB38)</f>
        <v/>
      </c>
      <c r="AF38" cm="1">
        <f t="array" aca="1" ref="AF38" ca="1">IF(INDEX(OFFSET(tblCountries!$T$3:$T$52,0,AF$11,120,1),$A38)=0,"",$AB38)</f>
        <v>86.9</v>
      </c>
      <c r="AG38" t="str" cm="1">
        <f t="array" aca="1" ref="AG38" ca="1">IF(INDEX(OFFSET(tblCountries!$T$3:$T$52,0,AG$11,120,1),$A38)=0,"",$AB38)</f>
        <v/>
      </c>
      <c r="AH38" t="str" cm="1">
        <f t="array" aca="1" ref="AH38" ca="1">IF(INDEX(OFFSET(tblCountries!$T$3:$T$52,0,AH$11,120,1),$A38)=0,"",$AB38)</f>
        <v/>
      </c>
      <c r="AI38" t="str" cm="1">
        <f t="array" aca="1" ref="AI38" ca="1">IF(INDEX(OFFSET(tblCountries!$T$3:$T$52,0,AI$11,120,1),$A38)=0,"",$AB38)</f>
        <v/>
      </c>
      <c r="AJ38" t="str" cm="1">
        <f t="array" aca="1" ref="AJ38" ca="1">IF(INDEX(OFFSET(tblCountries!$T$3:$T$52,0,AJ$11,120,1),$A38)=0,"",$AB38)</f>
        <v/>
      </c>
      <c r="AK38" cm="1">
        <f t="array" aca="1" ref="AK38" ca="1">IF(INDEX(OFFSET(tblCountries!$T$3:$T$52,0,AK$11,120,1),$A38)=0,"",$AB38)</f>
        <v>86.9</v>
      </c>
      <c r="AL38" t="str" cm="1">
        <f t="array" aca="1" ref="AL38" ca="1">IF(INDEX(OFFSET(tblCountries!$T$3:$T$52,0,AL$11,120,1),$A38)=0,"",$AB38)</f>
        <v/>
      </c>
      <c r="AM38" t="str" cm="1">
        <f t="array" aca="1" ref="AM38" ca="1">IF(INDEX(OFFSET(tblCountries!$T$3:$T$52,0,AM$11,120,1),$A38)=0,"",$AB38)</f>
        <v/>
      </c>
      <c r="AN38" t="str" cm="1">
        <f t="array" aca="1" ref="AN38" ca="1">IF(INDEX(OFFSET(tblCountries!$T$3:$T$52,0,AN$11,120,1),$A38)=0,"",$AB38)</f>
        <v/>
      </c>
      <c r="AO38" t="str" cm="1">
        <f t="array" aca="1" ref="AO38" ca="1">IF(INDEX(OFFSET(tblCountries!$T$3:$T$52,0,AO$11,120,1),$A38)=0,"",$AB38)</f>
        <v/>
      </c>
      <c r="AP38" t="str" cm="1">
        <f t="array" aca="1" ref="AP38" ca="1">IF(INDEX(OFFSET(tblCountries!$T$3:$T$52,0,AP$11,120,1),$A38)=0,"",$AB38)</f>
        <v/>
      </c>
      <c r="AQ38" t="str" cm="1">
        <f t="array" aca="1" ref="AQ38" ca="1">IF(INDEX(OFFSET(tblCountries!$T$3:$T$52,0,AQ$11,120,1),$A38)=0,"",$AB38)</f>
        <v/>
      </c>
      <c r="AR38" t="str" cm="1">
        <f t="array" aca="1" ref="AR38" ca="1">IF(INDEX(OFFSET(tblCountries!$T$3:$T$52,0,AR$11,120,1),$A38)=0,"",$AB38)</f>
        <v/>
      </c>
      <c r="AS38" t="str" cm="1">
        <f t="array" aca="1" ref="AS38" ca="1">IF(INDEX(OFFSET(tblCountries!$T$3:$T$52,0,AS$11,120,1),$A38)=0,"",$AB38)</f>
        <v/>
      </c>
      <c r="AT38" t="str" cm="1">
        <f t="array" aca="1" ref="AT38" ca="1">IF(INDEX(OFFSET(tblCountries!$T$3:$T$52,0,AT$11,120,1),$A38)=0,"",$AB38)</f>
        <v/>
      </c>
      <c r="AU38" t="str" cm="1">
        <f t="array" aca="1" ref="AU38" ca="1">IF(INDEX(OFFSET(tblCountries!$T$3:$T$52,0,AU$11,120,1),$A38)=0,"",$AB38)</f>
        <v/>
      </c>
      <c r="AV38" t="str" cm="1">
        <f t="array" aca="1" ref="AV38" ca="1">IF(INDEX(OFFSET(tblCountries!$T$3:$T$52,0,AV$11,120,1),$A38)=0,"",$AB38)</f>
        <v/>
      </c>
      <c r="AZ38">
        <f t="shared" ca="1" si="9"/>
        <v>1</v>
      </c>
      <c r="BA38">
        <f t="shared" ca="1" si="10"/>
        <v>0</v>
      </c>
      <c r="BB38">
        <f t="shared" ca="1" si="11"/>
        <v>0</v>
      </c>
      <c r="BC38">
        <f t="shared" ca="1" si="12"/>
        <v>0</v>
      </c>
      <c r="BD38">
        <f t="shared" ca="1" si="13"/>
        <v>1</v>
      </c>
      <c r="BE38">
        <f t="shared" ca="1" si="14"/>
        <v>0</v>
      </c>
      <c r="BF38">
        <f t="shared" ca="1" si="15"/>
        <v>0</v>
      </c>
      <c r="BG38">
        <f t="shared" ca="1" si="16"/>
        <v>0</v>
      </c>
      <c r="BH38">
        <f t="shared" ca="1" si="17"/>
        <v>0</v>
      </c>
      <c r="BI38">
        <f t="shared" ca="1" si="18"/>
        <v>1</v>
      </c>
      <c r="BJ38">
        <f t="shared" ca="1" si="19"/>
        <v>0</v>
      </c>
    </row>
    <row r="39" spans="1:62" x14ac:dyDescent="0.4">
      <c r="A39">
        <v>27</v>
      </c>
      <c r="B39" t="str">
        <f>tblCountries!H29</f>
        <v>Madrid, Spain</v>
      </c>
      <c r="C39" t="str" cm="1">
        <f t="array" aca="1" ref="C39" ca="1">IF(AND($C$2=1,NOT(ISNUMBER(INDEX(auto_DataFlat_DataValue,$D39,$B$4)))),"EXCLUDE","")</f>
        <v/>
      </c>
      <c r="D39" cm="1">
        <f t="array" aca="1" ref="D39" ca="1">INDEX(sys_DataFlat_LU_Grid,$B$2,$A39)</f>
        <v>27</v>
      </c>
      <c r="E39" cm="1">
        <f t="array" aca="1" ref="E39" ca="1">IF(C39="EXCLUDE","n/a",IF($B$6="DATA",INDEX(auto_DataFlat_DataValue,$D39,$B$4),INDEX(auto_DataFlat_Score,$D39,$B$4)))</f>
        <v>79.599999999999994</v>
      </c>
      <c r="F39" t="str" cm="1">
        <f t="array" aca="1" ref="F39" ca="1">IF(INDEX(OFFSET(tblCountries!$T$3:$T$52,0,F$11,120,1),$A39)=0,"",$E39)</f>
        <v/>
      </c>
      <c r="G39" t="str" cm="1">
        <f t="array" aca="1" ref="G39" ca="1">IF(INDEX(OFFSET(tblCountries!$T$3:$T$52,0,G$11,120,1),$A39)=0,"",$E39)</f>
        <v/>
      </c>
      <c r="H39" t="str" cm="1">
        <f t="array" aca="1" ref="H39" ca="1">IF(INDEX(OFFSET(tblCountries!$T$3:$T$52,0,H$11,120,1),$A39)=0,"",$E39)</f>
        <v/>
      </c>
      <c r="I39" cm="1">
        <f t="array" aca="1" ref="I39" ca="1">IF(INDEX(OFFSET(tblCountries!$T$3:$T$52,0,I$11,120,1),$A39)=0,"",$E39)</f>
        <v>79.599999999999994</v>
      </c>
      <c r="J39" t="str" cm="1">
        <f t="array" aca="1" ref="J39" ca="1">IF(INDEX(OFFSET(tblCountries!$T$3:$T$52,0,J$11,120,1),$A39)=0,"",$E39)</f>
        <v/>
      </c>
      <c r="K39" t="str" cm="1">
        <f t="array" aca="1" ref="K39" ca="1">IF(INDEX(OFFSET(tblCountries!$T$3:$T$52,0,K$11,120,1),$A39)=0,"",$E39)</f>
        <v/>
      </c>
      <c r="L39" t="str" cm="1">
        <f t="array" aca="1" ref="L39" ca="1">IF(INDEX(OFFSET(tblCountries!$T$3:$T$52,0,L$11,120,1),$A39)=0,"",$E39)</f>
        <v/>
      </c>
      <c r="M39" t="str" cm="1">
        <f t="array" aca="1" ref="M39" ca="1">IF(INDEX(OFFSET(tblCountries!$T$3:$T$52,0,M$11,120,1),$A39)=0,"",$E39)</f>
        <v/>
      </c>
      <c r="N39" cm="1">
        <f t="array" aca="1" ref="N39" ca="1">IF(INDEX(OFFSET(tblCountries!$T$3:$T$52,0,N$11,120,1),$A39)=0,"",$E39)</f>
        <v>79.599999999999994</v>
      </c>
      <c r="O39" t="str" cm="1">
        <f t="array" aca="1" ref="O39" ca="1">IF(INDEX(OFFSET(tblCountries!$T$3:$T$52,0,O$11,120,1),$A39)=0,"",$E39)</f>
        <v/>
      </c>
      <c r="P39" t="str" cm="1">
        <f t="array" aca="1" ref="P39" ca="1">IF(INDEX(OFFSET(tblCountries!$T$3:$T$52,0,P$11,120,1),$A39)=0,"",$E39)</f>
        <v/>
      </c>
      <c r="Q39" t="str" cm="1">
        <f t="array" aca="1" ref="Q39" ca="1">IF(INDEX(OFFSET(tblCountries!$T$3:$T$52,0,Q$11,120,1),$A39)=0,"",$E39)</f>
        <v/>
      </c>
      <c r="R39" t="str" cm="1">
        <f t="array" aca="1" ref="R39" ca="1">IF(INDEX(OFFSET(tblCountries!$T$3:$T$52,0,R$11,120,1),$A39)=0,"",$E39)</f>
        <v/>
      </c>
      <c r="S39" t="str" cm="1">
        <f t="array" aca="1" ref="S39" ca="1">IF(INDEX(OFFSET(tblCountries!$T$3:$T$52,0,S$11,120,1),$A39)=0,"",$E39)</f>
        <v/>
      </c>
      <c r="T39" t="str" cm="1">
        <f t="array" aca="1" ref="T39" ca="1">IF(INDEX(OFFSET(tblCountries!$T$3:$T$52,0,T$11,120,1),$A39)=0,"",$E39)</f>
        <v/>
      </c>
      <c r="U39" t="str" cm="1">
        <f t="array" aca="1" ref="U39" ca="1">IF(INDEX(OFFSET(tblCountries!$T$3:$T$52,0,U$11,120,1),$A39)=0,"",$E39)</f>
        <v/>
      </c>
      <c r="V39" t="str" cm="1">
        <f t="array" aca="1" ref="V39" ca="1">IF(INDEX(OFFSET(tblCountries!$T$3:$T$52,0,V$11,120,1),$A39)=0,"",$E39)</f>
        <v/>
      </c>
      <c r="W39" t="str" cm="1">
        <f t="array" aca="1" ref="W39" ca="1">IF(INDEX(OFFSET(tblCountries!$T$3:$T$52,0,W$11,120,1),$A39)=0,"",$E39)</f>
        <v/>
      </c>
      <c r="X39" t="str" cm="1">
        <f t="array" aca="1" ref="X39" ca="1">IF(INDEX(OFFSET(tblCountries!$T$3:$T$52,0,X$11,120,1),$A39)=0,"",$E39)</f>
        <v/>
      </c>
      <c r="Y39" t="str" cm="1">
        <f t="array" aca="1" ref="Y39" ca="1">IF(INDEX(OFFSET(tblCountries!$T$3:$T$52,0,Y$11,120,1),$A39)=0,"",$E39)</f>
        <v/>
      </c>
      <c r="Z39" t="str" cm="1">
        <f t="array" aca="1" ref="Z39" ca="1">IF(AND($C$3=1,NOT(ISNUMBER(INDEX(auto_DataFlat_DataValue,$AA39,$B$4)))),"EXCLUDE","")</f>
        <v/>
      </c>
      <c r="AA39" cm="1">
        <f t="array" aca="1" ref="AA39" ca="1">INDEX(sys_DataFlat_LU_Grid,$B$3,$A39)</f>
        <v>87</v>
      </c>
      <c r="AB39" cm="1">
        <f t="array" aca="1" ref="AB39" ca="1">IF(Z39="EXCLUDE","n/a",IF($B$7="DATA",INDEX(auto_DataFlat_DataValue,$AA39,$B$4),INDEX(auto_DataFlat_Score,$AA39,$B$4)))</f>
        <v>81.900000000000006</v>
      </c>
      <c r="AC39" t="str" cm="1">
        <f t="array" aca="1" ref="AC39" ca="1">IF(INDEX(OFFSET(tblCountries!$T$3:$T$52,0,AC$11,120,1),$A39)=0,"",$AB39)</f>
        <v/>
      </c>
      <c r="AD39" t="str" cm="1">
        <f t="array" aca="1" ref="AD39" ca="1">IF(INDEX(OFFSET(tblCountries!$T$3:$T$52,0,AD$11,120,1),$A39)=0,"",$AB39)</f>
        <v/>
      </c>
      <c r="AE39" t="str" cm="1">
        <f t="array" aca="1" ref="AE39" ca="1">IF(INDEX(OFFSET(tblCountries!$T$3:$T$52,0,AE$11,120,1),$A39)=0,"",$AB39)</f>
        <v/>
      </c>
      <c r="AF39" cm="1">
        <f t="array" aca="1" ref="AF39" ca="1">IF(INDEX(OFFSET(tblCountries!$T$3:$T$52,0,AF$11,120,1),$A39)=0,"",$AB39)</f>
        <v>81.900000000000006</v>
      </c>
      <c r="AG39" t="str" cm="1">
        <f t="array" aca="1" ref="AG39" ca="1">IF(INDEX(OFFSET(tblCountries!$T$3:$T$52,0,AG$11,120,1),$A39)=0,"",$AB39)</f>
        <v/>
      </c>
      <c r="AH39" t="str" cm="1">
        <f t="array" aca="1" ref="AH39" ca="1">IF(INDEX(OFFSET(tblCountries!$T$3:$T$52,0,AH$11,120,1),$A39)=0,"",$AB39)</f>
        <v/>
      </c>
      <c r="AI39" t="str" cm="1">
        <f t="array" aca="1" ref="AI39" ca="1">IF(INDEX(OFFSET(tblCountries!$T$3:$T$52,0,AI$11,120,1),$A39)=0,"",$AB39)</f>
        <v/>
      </c>
      <c r="AJ39" t="str" cm="1">
        <f t="array" aca="1" ref="AJ39" ca="1">IF(INDEX(OFFSET(tblCountries!$T$3:$T$52,0,AJ$11,120,1),$A39)=0,"",$AB39)</f>
        <v/>
      </c>
      <c r="AK39" cm="1">
        <f t="array" aca="1" ref="AK39" ca="1">IF(INDEX(OFFSET(tblCountries!$T$3:$T$52,0,AK$11,120,1),$A39)=0,"",$AB39)</f>
        <v>81.900000000000006</v>
      </c>
      <c r="AL39" t="str" cm="1">
        <f t="array" aca="1" ref="AL39" ca="1">IF(INDEX(OFFSET(tblCountries!$T$3:$T$52,0,AL$11,120,1),$A39)=0,"",$AB39)</f>
        <v/>
      </c>
      <c r="AM39" t="str" cm="1">
        <f t="array" aca="1" ref="AM39" ca="1">IF(INDEX(OFFSET(tblCountries!$T$3:$T$52,0,AM$11,120,1),$A39)=0,"",$AB39)</f>
        <v/>
      </c>
      <c r="AN39" t="str" cm="1">
        <f t="array" aca="1" ref="AN39" ca="1">IF(INDEX(OFFSET(tblCountries!$T$3:$T$52,0,AN$11,120,1),$A39)=0,"",$AB39)</f>
        <v/>
      </c>
      <c r="AO39" t="str" cm="1">
        <f t="array" aca="1" ref="AO39" ca="1">IF(INDEX(OFFSET(tblCountries!$T$3:$T$52,0,AO$11,120,1),$A39)=0,"",$AB39)</f>
        <v/>
      </c>
      <c r="AP39" t="str" cm="1">
        <f t="array" aca="1" ref="AP39" ca="1">IF(INDEX(OFFSET(tblCountries!$T$3:$T$52,0,AP$11,120,1),$A39)=0,"",$AB39)</f>
        <v/>
      </c>
      <c r="AQ39" t="str" cm="1">
        <f t="array" aca="1" ref="AQ39" ca="1">IF(INDEX(OFFSET(tblCountries!$T$3:$T$52,0,AQ$11,120,1),$A39)=0,"",$AB39)</f>
        <v/>
      </c>
      <c r="AR39" t="str" cm="1">
        <f t="array" aca="1" ref="AR39" ca="1">IF(INDEX(OFFSET(tblCountries!$T$3:$T$52,0,AR$11,120,1),$A39)=0,"",$AB39)</f>
        <v/>
      </c>
      <c r="AS39" t="str" cm="1">
        <f t="array" aca="1" ref="AS39" ca="1">IF(INDEX(OFFSET(tblCountries!$T$3:$T$52,0,AS$11,120,1),$A39)=0,"",$AB39)</f>
        <v/>
      </c>
      <c r="AT39" t="str" cm="1">
        <f t="array" aca="1" ref="AT39" ca="1">IF(INDEX(OFFSET(tblCountries!$T$3:$T$52,0,AT$11,120,1),$A39)=0,"",$AB39)</f>
        <v/>
      </c>
      <c r="AU39" t="str" cm="1">
        <f t="array" aca="1" ref="AU39" ca="1">IF(INDEX(OFFSET(tblCountries!$T$3:$T$52,0,AU$11,120,1),$A39)=0,"",$AB39)</f>
        <v/>
      </c>
      <c r="AV39" t="str" cm="1">
        <f t="array" aca="1" ref="AV39" ca="1">IF(INDEX(OFFSET(tblCountries!$T$3:$T$52,0,AV$11,120,1),$A39)=0,"",$AB39)</f>
        <v/>
      </c>
      <c r="AZ39">
        <f t="shared" ca="1" si="9"/>
        <v>1</v>
      </c>
      <c r="BA39">
        <f t="shared" ca="1" si="10"/>
        <v>0</v>
      </c>
      <c r="BB39">
        <f t="shared" ca="1" si="11"/>
        <v>0</v>
      </c>
      <c r="BC39">
        <f t="shared" ca="1" si="12"/>
        <v>0</v>
      </c>
      <c r="BD39">
        <f t="shared" ca="1" si="13"/>
        <v>1</v>
      </c>
      <c r="BE39">
        <f t="shared" ca="1" si="14"/>
        <v>0</v>
      </c>
      <c r="BF39">
        <f t="shared" ca="1" si="15"/>
        <v>0</v>
      </c>
      <c r="BG39">
        <f t="shared" ca="1" si="16"/>
        <v>0</v>
      </c>
      <c r="BH39">
        <f t="shared" ca="1" si="17"/>
        <v>0</v>
      </c>
      <c r="BI39">
        <f t="shared" ca="1" si="18"/>
        <v>1</v>
      </c>
      <c r="BJ39">
        <f t="shared" ca="1" si="19"/>
        <v>0</v>
      </c>
    </row>
    <row r="40" spans="1:62" x14ac:dyDescent="0.4">
      <c r="A40">
        <v>28</v>
      </c>
      <c r="B40" t="str">
        <f>tblCountries!H30</f>
        <v>Manila, Philippines</v>
      </c>
      <c r="C40" t="str" cm="1">
        <f t="array" aca="1" ref="C40" ca="1">IF(AND($C$2=1,NOT(ISNUMBER(INDEX(auto_DataFlat_DataValue,$D40,$B$4)))),"EXCLUDE","")</f>
        <v/>
      </c>
      <c r="D40" cm="1">
        <f t="array" aca="1" ref="D40" ca="1">INDEX(sys_DataFlat_LU_Grid,$B$2,$A40)</f>
        <v>28</v>
      </c>
      <c r="E40" cm="1">
        <f t="array" aca="1" ref="E40" ca="1">IF(C40="EXCLUDE","n/a",IF($B$6="DATA",INDEX(auto_DataFlat_DataValue,$D40,$B$4),INDEX(auto_DataFlat_Score,$D40,$B$4)))</f>
        <v>48.8</v>
      </c>
      <c r="F40" t="str" cm="1">
        <f t="array" aca="1" ref="F40" ca="1">IF(INDEX(OFFSET(tblCountries!$T$3:$T$52,0,F$11,120,1),$A40)=0,"",$E40)</f>
        <v/>
      </c>
      <c r="G40" t="str" cm="1">
        <f t="array" aca="1" ref="G40" ca="1">IF(INDEX(OFFSET(tblCountries!$T$3:$T$52,0,G$11,120,1),$A40)=0,"",$E40)</f>
        <v/>
      </c>
      <c r="H40" t="str" cm="1">
        <f t="array" aca="1" ref="H40" ca="1">IF(INDEX(OFFSET(tblCountries!$T$3:$T$52,0,H$11,120,1),$A40)=0,"",$E40)</f>
        <v/>
      </c>
      <c r="I40" t="str" cm="1">
        <f t="array" aca="1" ref="I40" ca="1">IF(INDEX(OFFSET(tblCountries!$T$3:$T$52,0,I$11,120,1),$A40)=0,"",$E40)</f>
        <v/>
      </c>
      <c r="J40" t="str" cm="1">
        <f t="array" aca="1" ref="J40" ca="1">IF(INDEX(OFFSET(tblCountries!$T$3:$T$52,0,J$11,120,1),$A40)=0,"",$E40)</f>
        <v/>
      </c>
      <c r="K40" cm="1">
        <f t="array" aca="1" ref="K40" ca="1">IF(INDEX(OFFSET(tblCountries!$T$3:$T$52,0,K$11,120,1),$A40)=0,"",$E40)</f>
        <v>48.8</v>
      </c>
      <c r="L40" cm="1">
        <f t="array" aca="1" ref="L40" ca="1">IF(INDEX(OFFSET(tblCountries!$T$3:$T$52,0,L$11,120,1),$A40)=0,"",$E40)</f>
        <v>48.8</v>
      </c>
      <c r="M40" t="str" cm="1">
        <f t="array" aca="1" ref="M40" ca="1">IF(INDEX(OFFSET(tblCountries!$T$3:$T$52,0,M$11,120,1),$A40)=0,"",$E40)</f>
        <v/>
      </c>
      <c r="N40" t="str" cm="1">
        <f t="array" aca="1" ref="N40" ca="1">IF(INDEX(OFFSET(tblCountries!$T$3:$T$52,0,N$11,120,1),$A40)=0,"",$E40)</f>
        <v/>
      </c>
      <c r="O40" t="str" cm="1">
        <f t="array" aca="1" ref="O40" ca="1">IF(INDEX(OFFSET(tblCountries!$T$3:$T$52,0,O$11,120,1),$A40)=0,"",$E40)</f>
        <v/>
      </c>
      <c r="P40" t="str" cm="1">
        <f t="array" aca="1" ref="P40" ca="1">IF(INDEX(OFFSET(tblCountries!$T$3:$T$52,0,P$11,120,1),$A40)=0,"",$E40)</f>
        <v/>
      </c>
      <c r="Q40" t="str" cm="1">
        <f t="array" aca="1" ref="Q40" ca="1">IF(INDEX(OFFSET(tblCountries!$T$3:$T$52,0,Q$11,120,1),$A40)=0,"",$E40)</f>
        <v/>
      </c>
      <c r="R40" t="str" cm="1">
        <f t="array" aca="1" ref="R40" ca="1">IF(INDEX(OFFSET(tblCountries!$T$3:$T$52,0,R$11,120,1),$A40)=0,"",$E40)</f>
        <v/>
      </c>
      <c r="S40" t="str" cm="1">
        <f t="array" aca="1" ref="S40" ca="1">IF(INDEX(OFFSET(tblCountries!$T$3:$T$52,0,S$11,120,1),$A40)=0,"",$E40)</f>
        <v/>
      </c>
      <c r="T40" t="str" cm="1">
        <f t="array" aca="1" ref="T40" ca="1">IF(INDEX(OFFSET(tblCountries!$T$3:$T$52,0,T$11,120,1),$A40)=0,"",$E40)</f>
        <v/>
      </c>
      <c r="U40" t="str" cm="1">
        <f t="array" aca="1" ref="U40" ca="1">IF(INDEX(OFFSET(tblCountries!$T$3:$T$52,0,U$11,120,1),$A40)=0,"",$E40)</f>
        <v/>
      </c>
      <c r="V40" t="str" cm="1">
        <f t="array" aca="1" ref="V40" ca="1">IF(INDEX(OFFSET(tblCountries!$T$3:$T$52,0,V$11,120,1),$A40)=0,"",$E40)</f>
        <v/>
      </c>
      <c r="W40" t="str" cm="1">
        <f t="array" aca="1" ref="W40" ca="1">IF(INDEX(OFFSET(tblCountries!$T$3:$T$52,0,W$11,120,1),$A40)=0,"",$E40)</f>
        <v/>
      </c>
      <c r="X40" t="str" cm="1">
        <f t="array" aca="1" ref="X40" ca="1">IF(INDEX(OFFSET(tblCountries!$T$3:$T$52,0,X$11,120,1),$A40)=0,"",$E40)</f>
        <v/>
      </c>
      <c r="Y40" t="str" cm="1">
        <f t="array" aca="1" ref="Y40" ca="1">IF(INDEX(OFFSET(tblCountries!$T$3:$T$52,0,Y$11,120,1),$A40)=0,"",$E40)</f>
        <v/>
      </c>
      <c r="Z40" t="str" cm="1">
        <f t="array" aca="1" ref="Z40" ca="1">IF(AND($C$3=1,NOT(ISNUMBER(INDEX(auto_DataFlat_DataValue,$AA40,$B$4)))),"EXCLUDE","")</f>
        <v/>
      </c>
      <c r="AA40" cm="1">
        <f t="array" aca="1" ref="AA40" ca="1">INDEX(sys_DataFlat_LU_Grid,$B$3,$A40)</f>
        <v>88</v>
      </c>
      <c r="AB40" cm="1">
        <f t="array" aca="1" ref="AB40" ca="1">IF(Z40="EXCLUDE","n/a",IF($B$7="DATA",INDEX(auto_DataFlat_DataValue,$AA40,$B$4),INDEX(auto_DataFlat_Score,$AA40,$B$4)))</f>
        <v>58</v>
      </c>
      <c r="AC40" t="str" cm="1">
        <f t="array" aca="1" ref="AC40" ca="1">IF(INDEX(OFFSET(tblCountries!$T$3:$T$52,0,AC$11,120,1),$A40)=0,"",$AB40)</f>
        <v/>
      </c>
      <c r="AD40" t="str" cm="1">
        <f t="array" aca="1" ref="AD40" ca="1">IF(INDEX(OFFSET(tblCountries!$T$3:$T$52,0,AD$11,120,1),$A40)=0,"",$AB40)</f>
        <v/>
      </c>
      <c r="AE40" t="str" cm="1">
        <f t="array" aca="1" ref="AE40" ca="1">IF(INDEX(OFFSET(tblCountries!$T$3:$T$52,0,AE$11,120,1),$A40)=0,"",$AB40)</f>
        <v/>
      </c>
      <c r="AF40" t="str" cm="1">
        <f t="array" aca="1" ref="AF40" ca="1">IF(INDEX(OFFSET(tblCountries!$T$3:$T$52,0,AF$11,120,1),$A40)=0,"",$AB40)</f>
        <v/>
      </c>
      <c r="AG40" t="str" cm="1">
        <f t="array" aca="1" ref="AG40" ca="1">IF(INDEX(OFFSET(tblCountries!$T$3:$T$52,0,AG$11,120,1),$A40)=0,"",$AB40)</f>
        <v/>
      </c>
      <c r="AH40" cm="1">
        <f t="array" aca="1" ref="AH40" ca="1">IF(INDEX(OFFSET(tblCountries!$T$3:$T$52,0,AH$11,120,1),$A40)=0,"",$AB40)</f>
        <v>58</v>
      </c>
      <c r="AI40" cm="1">
        <f t="array" aca="1" ref="AI40" ca="1">IF(INDEX(OFFSET(tblCountries!$T$3:$T$52,0,AI$11,120,1),$A40)=0,"",$AB40)</f>
        <v>58</v>
      </c>
      <c r="AJ40" t="str" cm="1">
        <f t="array" aca="1" ref="AJ40" ca="1">IF(INDEX(OFFSET(tblCountries!$T$3:$T$52,0,AJ$11,120,1),$A40)=0,"",$AB40)</f>
        <v/>
      </c>
      <c r="AK40" t="str" cm="1">
        <f t="array" aca="1" ref="AK40" ca="1">IF(INDEX(OFFSET(tblCountries!$T$3:$T$52,0,AK$11,120,1),$A40)=0,"",$AB40)</f>
        <v/>
      </c>
      <c r="AL40" t="str" cm="1">
        <f t="array" aca="1" ref="AL40" ca="1">IF(INDEX(OFFSET(tblCountries!$T$3:$T$52,0,AL$11,120,1),$A40)=0,"",$AB40)</f>
        <v/>
      </c>
      <c r="AM40" t="str" cm="1">
        <f t="array" aca="1" ref="AM40" ca="1">IF(INDEX(OFFSET(tblCountries!$T$3:$T$52,0,AM$11,120,1),$A40)=0,"",$AB40)</f>
        <v/>
      </c>
      <c r="AN40" t="str" cm="1">
        <f t="array" aca="1" ref="AN40" ca="1">IF(INDEX(OFFSET(tblCountries!$T$3:$T$52,0,AN$11,120,1),$A40)=0,"",$AB40)</f>
        <v/>
      </c>
      <c r="AO40" t="str" cm="1">
        <f t="array" aca="1" ref="AO40" ca="1">IF(INDEX(OFFSET(tblCountries!$T$3:$T$52,0,AO$11,120,1),$A40)=0,"",$AB40)</f>
        <v/>
      </c>
      <c r="AP40" t="str" cm="1">
        <f t="array" aca="1" ref="AP40" ca="1">IF(INDEX(OFFSET(tblCountries!$T$3:$T$52,0,AP$11,120,1),$A40)=0,"",$AB40)</f>
        <v/>
      </c>
      <c r="AQ40" t="str" cm="1">
        <f t="array" aca="1" ref="AQ40" ca="1">IF(INDEX(OFFSET(tblCountries!$T$3:$T$52,0,AQ$11,120,1),$A40)=0,"",$AB40)</f>
        <v/>
      </c>
      <c r="AR40" t="str" cm="1">
        <f t="array" aca="1" ref="AR40" ca="1">IF(INDEX(OFFSET(tblCountries!$T$3:$T$52,0,AR$11,120,1),$A40)=0,"",$AB40)</f>
        <v/>
      </c>
      <c r="AS40" t="str" cm="1">
        <f t="array" aca="1" ref="AS40" ca="1">IF(INDEX(OFFSET(tblCountries!$T$3:$T$52,0,AS$11,120,1),$A40)=0,"",$AB40)</f>
        <v/>
      </c>
      <c r="AT40" t="str" cm="1">
        <f t="array" aca="1" ref="AT40" ca="1">IF(INDEX(OFFSET(tblCountries!$T$3:$T$52,0,AT$11,120,1),$A40)=0,"",$AB40)</f>
        <v/>
      </c>
      <c r="AU40" t="str" cm="1">
        <f t="array" aca="1" ref="AU40" ca="1">IF(INDEX(OFFSET(tblCountries!$T$3:$T$52,0,AU$11,120,1),$A40)=0,"",$AB40)</f>
        <v/>
      </c>
      <c r="AV40" t="str" cm="1">
        <f t="array" aca="1" ref="AV40" ca="1">IF(INDEX(OFFSET(tblCountries!$T$3:$T$52,0,AV$11,120,1),$A40)=0,"",$AB40)</f>
        <v/>
      </c>
      <c r="AZ40">
        <f t="shared" ca="1" si="9"/>
        <v>1</v>
      </c>
      <c r="BA40">
        <f t="shared" ca="1" si="10"/>
        <v>0</v>
      </c>
      <c r="BB40">
        <f t="shared" ca="1" si="11"/>
        <v>0</v>
      </c>
      <c r="BC40">
        <f t="shared" ca="1" si="12"/>
        <v>0</v>
      </c>
      <c r="BD40">
        <f t="shared" ca="1" si="13"/>
        <v>0</v>
      </c>
      <c r="BE40">
        <f t="shared" ca="1" si="14"/>
        <v>0</v>
      </c>
      <c r="BF40">
        <f t="shared" ca="1" si="15"/>
        <v>1</v>
      </c>
      <c r="BG40">
        <f t="shared" ca="1" si="16"/>
        <v>1</v>
      </c>
      <c r="BH40">
        <f t="shared" ca="1" si="17"/>
        <v>0</v>
      </c>
      <c r="BI40">
        <f t="shared" ca="1" si="18"/>
        <v>0</v>
      </c>
      <c r="BJ40">
        <f t="shared" ca="1" si="19"/>
        <v>0</v>
      </c>
    </row>
    <row r="41" spans="1:62" x14ac:dyDescent="0.4">
      <c r="A41">
        <v>29</v>
      </c>
      <c r="B41" t="str">
        <f>tblCountries!H31</f>
        <v>Melbourne, Australia</v>
      </c>
      <c r="C41" t="str" cm="1">
        <f t="array" aca="1" ref="C41" ca="1">IF(AND($C$2=1,NOT(ISNUMBER(INDEX(auto_DataFlat_DataValue,$D41,$B$4)))),"EXCLUDE","")</f>
        <v/>
      </c>
      <c r="D41" cm="1">
        <f t="array" aca="1" ref="D41" ca="1">INDEX(sys_DataFlat_LU_Grid,$B$2,$A41)</f>
        <v>29</v>
      </c>
      <c r="E41" cm="1">
        <f t="array" aca="1" ref="E41" ca="1">IF(C41="EXCLUDE","n/a",IF($B$6="DATA",INDEX(auto_DataFlat_DataValue,$D41,$B$4),INDEX(auto_DataFlat_Score,$D41,$B$4)))</f>
        <v>75.8</v>
      </c>
      <c r="F41" t="str" cm="1">
        <f t="array" aca="1" ref="F41" ca="1">IF(INDEX(OFFSET(tblCountries!$T$3:$T$52,0,F$11,120,1),$A41)=0,"",$E41)</f>
        <v/>
      </c>
      <c r="G41" t="str" cm="1">
        <f t="array" aca="1" ref="G41" ca="1">IF(INDEX(OFFSET(tblCountries!$T$3:$T$52,0,G$11,120,1),$A41)=0,"",$E41)</f>
        <v/>
      </c>
      <c r="H41" t="str" cm="1">
        <f t="array" aca="1" ref="H41" ca="1">IF(INDEX(OFFSET(tblCountries!$T$3:$T$52,0,H$11,120,1),$A41)=0,"",$E41)</f>
        <v/>
      </c>
      <c r="I41" t="str" cm="1">
        <f t="array" aca="1" ref="I41" ca="1">IF(INDEX(OFFSET(tblCountries!$T$3:$T$52,0,I$11,120,1),$A41)=0,"",$E41)</f>
        <v/>
      </c>
      <c r="J41" t="str" cm="1">
        <f t="array" aca="1" ref="J41" ca="1">IF(INDEX(OFFSET(tblCountries!$T$3:$T$52,0,J$11,120,1),$A41)=0,"",$E41)</f>
        <v/>
      </c>
      <c r="K41" cm="1">
        <f t="array" aca="1" ref="K41" ca="1">IF(INDEX(OFFSET(tblCountries!$T$3:$T$52,0,K$11,120,1),$A41)=0,"",$E41)</f>
        <v>75.8</v>
      </c>
      <c r="L41" t="str" cm="1">
        <f t="array" aca="1" ref="L41" ca="1">IF(INDEX(OFFSET(tblCountries!$T$3:$T$52,0,L$11,120,1),$A41)=0,"",$E41)</f>
        <v/>
      </c>
      <c r="M41" t="str" cm="1">
        <f t="array" aca="1" ref="M41" ca="1">IF(INDEX(OFFSET(tblCountries!$T$3:$T$52,0,M$11,120,1),$A41)=0,"",$E41)</f>
        <v/>
      </c>
      <c r="N41" cm="1">
        <f t="array" aca="1" ref="N41" ca="1">IF(INDEX(OFFSET(tblCountries!$T$3:$T$52,0,N$11,120,1),$A41)=0,"",$E41)</f>
        <v>75.8</v>
      </c>
      <c r="O41" t="str" cm="1">
        <f t="array" aca="1" ref="O41" ca="1">IF(INDEX(OFFSET(tblCountries!$T$3:$T$52,0,O$11,120,1),$A41)=0,"",$E41)</f>
        <v/>
      </c>
      <c r="P41" t="str" cm="1">
        <f t="array" aca="1" ref="P41" ca="1">IF(INDEX(OFFSET(tblCountries!$T$3:$T$52,0,P$11,120,1),$A41)=0,"",$E41)</f>
        <v/>
      </c>
      <c r="Q41" t="str" cm="1">
        <f t="array" aca="1" ref="Q41" ca="1">IF(INDEX(OFFSET(tblCountries!$T$3:$T$52,0,Q$11,120,1),$A41)=0,"",$E41)</f>
        <v/>
      </c>
      <c r="R41" t="str" cm="1">
        <f t="array" aca="1" ref="R41" ca="1">IF(INDEX(OFFSET(tblCountries!$T$3:$T$52,0,R$11,120,1),$A41)=0,"",$E41)</f>
        <v/>
      </c>
      <c r="S41" t="str" cm="1">
        <f t="array" aca="1" ref="S41" ca="1">IF(INDEX(OFFSET(tblCountries!$T$3:$T$52,0,S$11,120,1),$A41)=0,"",$E41)</f>
        <v/>
      </c>
      <c r="T41" t="str" cm="1">
        <f t="array" aca="1" ref="T41" ca="1">IF(INDEX(OFFSET(tblCountries!$T$3:$T$52,0,T$11,120,1),$A41)=0,"",$E41)</f>
        <v/>
      </c>
      <c r="U41" t="str" cm="1">
        <f t="array" aca="1" ref="U41" ca="1">IF(INDEX(OFFSET(tblCountries!$T$3:$T$52,0,U$11,120,1),$A41)=0,"",$E41)</f>
        <v/>
      </c>
      <c r="V41" t="str" cm="1">
        <f t="array" aca="1" ref="V41" ca="1">IF(INDEX(OFFSET(tblCountries!$T$3:$T$52,0,V$11,120,1),$A41)=0,"",$E41)</f>
        <v/>
      </c>
      <c r="W41" t="str" cm="1">
        <f t="array" aca="1" ref="W41" ca="1">IF(INDEX(OFFSET(tblCountries!$T$3:$T$52,0,W$11,120,1),$A41)=0,"",$E41)</f>
        <v/>
      </c>
      <c r="X41" t="str" cm="1">
        <f t="array" aca="1" ref="X41" ca="1">IF(INDEX(OFFSET(tblCountries!$T$3:$T$52,0,X$11,120,1),$A41)=0,"",$E41)</f>
        <v/>
      </c>
      <c r="Y41" t="str" cm="1">
        <f t="array" aca="1" ref="Y41" ca="1">IF(INDEX(OFFSET(tblCountries!$T$3:$T$52,0,Y$11,120,1),$A41)=0,"",$E41)</f>
        <v/>
      </c>
      <c r="Z41" t="str" cm="1">
        <f t="array" aca="1" ref="Z41" ca="1">IF(AND($C$3=1,NOT(ISNUMBER(INDEX(auto_DataFlat_DataValue,$AA41,$B$4)))),"EXCLUDE","")</f>
        <v/>
      </c>
      <c r="AA41" cm="1">
        <f t="array" aca="1" ref="AA41" ca="1">INDEX(sys_DataFlat_LU_Grid,$B$3,$A41)</f>
        <v>89</v>
      </c>
      <c r="AB41" cm="1">
        <f t="array" aca="1" ref="AB41" ca="1">IF(Z41="EXCLUDE","n/a",IF($B$7="DATA",INDEX(auto_DataFlat_DataValue,$AA41,$B$4),INDEX(auto_DataFlat_Score,$AA41,$B$4)))</f>
        <v>87.9</v>
      </c>
      <c r="AC41" t="str" cm="1">
        <f t="array" aca="1" ref="AC41" ca="1">IF(INDEX(OFFSET(tblCountries!$T$3:$T$52,0,AC$11,120,1),$A41)=0,"",$AB41)</f>
        <v/>
      </c>
      <c r="AD41" t="str" cm="1">
        <f t="array" aca="1" ref="AD41" ca="1">IF(INDEX(OFFSET(tblCountries!$T$3:$T$52,0,AD$11,120,1),$A41)=0,"",$AB41)</f>
        <v/>
      </c>
      <c r="AE41" t="str" cm="1">
        <f t="array" aca="1" ref="AE41" ca="1">IF(INDEX(OFFSET(tblCountries!$T$3:$T$52,0,AE$11,120,1),$A41)=0,"",$AB41)</f>
        <v/>
      </c>
      <c r="AF41" t="str" cm="1">
        <f t="array" aca="1" ref="AF41" ca="1">IF(INDEX(OFFSET(tblCountries!$T$3:$T$52,0,AF$11,120,1),$A41)=0,"",$AB41)</f>
        <v/>
      </c>
      <c r="AG41" t="str" cm="1">
        <f t="array" aca="1" ref="AG41" ca="1">IF(INDEX(OFFSET(tblCountries!$T$3:$T$52,0,AG$11,120,1),$A41)=0,"",$AB41)</f>
        <v/>
      </c>
      <c r="AH41" cm="1">
        <f t="array" aca="1" ref="AH41" ca="1">IF(INDEX(OFFSET(tblCountries!$T$3:$T$52,0,AH$11,120,1),$A41)=0,"",$AB41)</f>
        <v>87.9</v>
      </c>
      <c r="AI41" t="str" cm="1">
        <f t="array" aca="1" ref="AI41" ca="1">IF(INDEX(OFFSET(tblCountries!$T$3:$T$52,0,AI$11,120,1),$A41)=0,"",$AB41)</f>
        <v/>
      </c>
      <c r="AJ41" t="str" cm="1">
        <f t="array" aca="1" ref="AJ41" ca="1">IF(INDEX(OFFSET(tblCountries!$T$3:$T$52,0,AJ$11,120,1),$A41)=0,"",$AB41)</f>
        <v/>
      </c>
      <c r="AK41" cm="1">
        <f t="array" aca="1" ref="AK41" ca="1">IF(INDEX(OFFSET(tblCountries!$T$3:$T$52,0,AK$11,120,1),$A41)=0,"",$AB41)</f>
        <v>87.9</v>
      </c>
      <c r="AL41" t="str" cm="1">
        <f t="array" aca="1" ref="AL41" ca="1">IF(INDEX(OFFSET(tblCountries!$T$3:$T$52,0,AL$11,120,1),$A41)=0,"",$AB41)</f>
        <v/>
      </c>
      <c r="AM41" t="str" cm="1">
        <f t="array" aca="1" ref="AM41" ca="1">IF(INDEX(OFFSET(tblCountries!$T$3:$T$52,0,AM$11,120,1),$A41)=0,"",$AB41)</f>
        <v/>
      </c>
      <c r="AN41" t="str" cm="1">
        <f t="array" aca="1" ref="AN41" ca="1">IF(INDEX(OFFSET(tblCountries!$T$3:$T$52,0,AN$11,120,1),$A41)=0,"",$AB41)</f>
        <v/>
      </c>
      <c r="AO41" t="str" cm="1">
        <f t="array" aca="1" ref="AO41" ca="1">IF(INDEX(OFFSET(tblCountries!$T$3:$T$52,0,AO$11,120,1),$A41)=0,"",$AB41)</f>
        <v/>
      </c>
      <c r="AP41" t="str" cm="1">
        <f t="array" aca="1" ref="AP41" ca="1">IF(INDEX(OFFSET(tblCountries!$T$3:$T$52,0,AP$11,120,1),$A41)=0,"",$AB41)</f>
        <v/>
      </c>
      <c r="AQ41" t="str" cm="1">
        <f t="array" aca="1" ref="AQ41" ca="1">IF(INDEX(OFFSET(tblCountries!$T$3:$T$52,0,AQ$11,120,1),$A41)=0,"",$AB41)</f>
        <v/>
      </c>
      <c r="AR41" t="str" cm="1">
        <f t="array" aca="1" ref="AR41" ca="1">IF(INDEX(OFFSET(tblCountries!$T$3:$T$52,0,AR$11,120,1),$A41)=0,"",$AB41)</f>
        <v/>
      </c>
      <c r="AS41" t="str" cm="1">
        <f t="array" aca="1" ref="AS41" ca="1">IF(INDEX(OFFSET(tblCountries!$T$3:$T$52,0,AS$11,120,1),$A41)=0,"",$AB41)</f>
        <v/>
      </c>
      <c r="AT41" t="str" cm="1">
        <f t="array" aca="1" ref="AT41" ca="1">IF(INDEX(OFFSET(tblCountries!$T$3:$T$52,0,AT$11,120,1),$A41)=0,"",$AB41)</f>
        <v/>
      </c>
      <c r="AU41" t="str" cm="1">
        <f t="array" aca="1" ref="AU41" ca="1">IF(INDEX(OFFSET(tblCountries!$T$3:$T$52,0,AU$11,120,1),$A41)=0,"",$AB41)</f>
        <v/>
      </c>
      <c r="AV41" t="str" cm="1">
        <f t="array" aca="1" ref="AV41" ca="1">IF(INDEX(OFFSET(tblCountries!$T$3:$T$52,0,AV$11,120,1),$A41)=0,"",$AB41)</f>
        <v/>
      </c>
      <c r="AZ41">
        <f t="shared" ca="1" si="9"/>
        <v>1</v>
      </c>
      <c r="BA41">
        <f t="shared" ca="1" si="10"/>
        <v>0</v>
      </c>
      <c r="BB41">
        <f t="shared" ca="1" si="11"/>
        <v>0</v>
      </c>
      <c r="BC41">
        <f t="shared" ca="1" si="12"/>
        <v>0</v>
      </c>
      <c r="BD41">
        <f t="shared" ca="1" si="13"/>
        <v>0</v>
      </c>
      <c r="BE41">
        <f t="shared" ca="1" si="14"/>
        <v>0</v>
      </c>
      <c r="BF41">
        <f t="shared" ca="1" si="15"/>
        <v>1</v>
      </c>
      <c r="BG41">
        <f t="shared" ca="1" si="16"/>
        <v>0</v>
      </c>
      <c r="BH41">
        <f t="shared" ca="1" si="17"/>
        <v>0</v>
      </c>
      <c r="BI41">
        <f t="shared" ca="1" si="18"/>
        <v>1</v>
      </c>
      <c r="BJ41">
        <f t="shared" ca="1" si="19"/>
        <v>0</v>
      </c>
    </row>
    <row r="42" spans="1:62" x14ac:dyDescent="0.4">
      <c r="A42">
        <v>30</v>
      </c>
      <c r="B42" t="str">
        <f>tblCountries!H32</f>
        <v>Mexico City, Mexico</v>
      </c>
      <c r="C42" t="str" cm="1">
        <f t="array" aca="1" ref="C42" ca="1">IF(AND($C$2=1,NOT(ISNUMBER(INDEX(auto_DataFlat_DataValue,$D42,$B$4)))),"EXCLUDE","")</f>
        <v/>
      </c>
      <c r="D42" cm="1">
        <f t="array" aca="1" ref="D42" ca="1">INDEX(sys_DataFlat_LU_Grid,$B$2,$A42)</f>
        <v>30</v>
      </c>
      <c r="E42" cm="1">
        <f t="array" aca="1" ref="E42" ca="1">IF(C42="EXCLUDE","n/a",IF($B$6="DATA",INDEX(auto_DataFlat_DataValue,$D42,$B$4),INDEX(auto_DataFlat_Score,$D42,$B$4)))</f>
        <v>60.9</v>
      </c>
      <c r="F42" t="str" cm="1">
        <f t="array" aca="1" ref="F42" ca="1">IF(INDEX(OFFSET(tblCountries!$T$3:$T$52,0,F$11,120,1),$A42)=0,"",$E42)</f>
        <v/>
      </c>
      <c r="G42" cm="1">
        <f t="array" aca="1" ref="G42" ca="1">IF(INDEX(OFFSET(tblCountries!$T$3:$T$52,0,G$11,120,1),$A42)=0,"",$E42)</f>
        <v>60.9</v>
      </c>
      <c r="H42" t="str" cm="1">
        <f t="array" aca="1" ref="H42" ca="1">IF(INDEX(OFFSET(tblCountries!$T$3:$T$52,0,H$11,120,1),$A42)=0,"",$E42)</f>
        <v/>
      </c>
      <c r="I42" t="str" cm="1">
        <f t="array" aca="1" ref="I42" ca="1">IF(INDEX(OFFSET(tblCountries!$T$3:$T$52,0,I$11,120,1),$A42)=0,"",$E42)</f>
        <v/>
      </c>
      <c r="J42" t="str" cm="1">
        <f t="array" aca="1" ref="J42" ca="1">IF(INDEX(OFFSET(tblCountries!$T$3:$T$52,0,J$11,120,1),$A42)=0,"",$E42)</f>
        <v/>
      </c>
      <c r="K42" t="str" cm="1">
        <f t="array" aca="1" ref="K42" ca="1">IF(INDEX(OFFSET(tblCountries!$T$3:$T$52,0,K$11,120,1),$A42)=0,"",$E42)</f>
        <v/>
      </c>
      <c r="L42" t="str" cm="1">
        <f t="array" aca="1" ref="L42" ca="1">IF(INDEX(OFFSET(tblCountries!$T$3:$T$52,0,L$11,120,1),$A42)=0,"",$E42)</f>
        <v/>
      </c>
      <c r="M42" cm="1">
        <f t="array" aca="1" ref="M42" ca="1">IF(INDEX(OFFSET(tblCountries!$T$3:$T$52,0,M$11,120,1),$A42)=0,"",$E42)</f>
        <v>60.9</v>
      </c>
      <c r="N42" t="str" cm="1">
        <f t="array" aca="1" ref="N42" ca="1">IF(INDEX(OFFSET(tblCountries!$T$3:$T$52,0,N$11,120,1),$A42)=0,"",$E42)</f>
        <v/>
      </c>
      <c r="O42" t="str" cm="1">
        <f t="array" aca="1" ref="O42" ca="1">IF(INDEX(OFFSET(tblCountries!$T$3:$T$52,0,O$11,120,1),$A42)=0,"",$E42)</f>
        <v/>
      </c>
      <c r="P42" t="str" cm="1">
        <f t="array" aca="1" ref="P42" ca="1">IF(INDEX(OFFSET(tblCountries!$T$3:$T$52,0,P$11,120,1),$A42)=0,"",$E42)</f>
        <v/>
      </c>
      <c r="Q42" t="str" cm="1">
        <f t="array" aca="1" ref="Q42" ca="1">IF(INDEX(OFFSET(tblCountries!$T$3:$T$52,0,Q$11,120,1),$A42)=0,"",$E42)</f>
        <v/>
      </c>
      <c r="R42" t="str" cm="1">
        <f t="array" aca="1" ref="R42" ca="1">IF(INDEX(OFFSET(tblCountries!$T$3:$T$52,0,R$11,120,1),$A42)=0,"",$E42)</f>
        <v/>
      </c>
      <c r="S42" t="str" cm="1">
        <f t="array" aca="1" ref="S42" ca="1">IF(INDEX(OFFSET(tblCountries!$T$3:$T$52,0,S$11,120,1),$A42)=0,"",$E42)</f>
        <v/>
      </c>
      <c r="T42" t="str" cm="1">
        <f t="array" aca="1" ref="T42" ca="1">IF(INDEX(OFFSET(tblCountries!$T$3:$T$52,0,T$11,120,1),$A42)=0,"",$E42)</f>
        <v/>
      </c>
      <c r="U42" t="str" cm="1">
        <f t="array" aca="1" ref="U42" ca="1">IF(INDEX(OFFSET(tblCountries!$T$3:$T$52,0,U$11,120,1),$A42)=0,"",$E42)</f>
        <v/>
      </c>
      <c r="V42" t="str" cm="1">
        <f t="array" aca="1" ref="V42" ca="1">IF(INDEX(OFFSET(tblCountries!$T$3:$T$52,0,V$11,120,1),$A42)=0,"",$E42)</f>
        <v/>
      </c>
      <c r="W42" t="str" cm="1">
        <f t="array" aca="1" ref="W42" ca="1">IF(INDEX(OFFSET(tblCountries!$T$3:$T$52,0,W$11,120,1),$A42)=0,"",$E42)</f>
        <v/>
      </c>
      <c r="X42" t="str" cm="1">
        <f t="array" aca="1" ref="X42" ca="1">IF(INDEX(OFFSET(tblCountries!$T$3:$T$52,0,X$11,120,1),$A42)=0,"",$E42)</f>
        <v/>
      </c>
      <c r="Y42" t="str" cm="1">
        <f t="array" aca="1" ref="Y42" ca="1">IF(INDEX(OFFSET(tblCountries!$T$3:$T$52,0,Y$11,120,1),$A42)=0,"",$E42)</f>
        <v/>
      </c>
      <c r="Z42" t="str" cm="1">
        <f t="array" aca="1" ref="Z42" ca="1">IF(AND($C$3=1,NOT(ISNUMBER(INDEX(auto_DataFlat_DataValue,$AA42,$B$4)))),"EXCLUDE","")</f>
        <v/>
      </c>
      <c r="AA42" cm="1">
        <f t="array" aca="1" ref="AA42" ca="1">INDEX(sys_DataFlat_LU_Grid,$B$3,$A42)</f>
        <v>90</v>
      </c>
      <c r="AB42" cm="1">
        <f t="array" aca="1" ref="AB42" ca="1">IF(Z42="EXCLUDE","n/a",IF($B$7="DATA",INDEX(auto_DataFlat_DataValue,$AA42,$B$4),INDEX(auto_DataFlat_Score,$AA42,$B$4)))</f>
        <v>79.8</v>
      </c>
      <c r="AC42" t="str" cm="1">
        <f t="array" aca="1" ref="AC42" ca="1">IF(INDEX(OFFSET(tblCountries!$T$3:$T$52,0,AC$11,120,1),$A42)=0,"",$AB42)</f>
        <v/>
      </c>
      <c r="AD42" cm="1">
        <f t="array" aca="1" ref="AD42" ca="1">IF(INDEX(OFFSET(tblCountries!$T$3:$T$52,0,AD$11,120,1),$A42)=0,"",$AB42)</f>
        <v>79.8</v>
      </c>
      <c r="AE42" t="str" cm="1">
        <f t="array" aca="1" ref="AE42" ca="1">IF(INDEX(OFFSET(tblCountries!$T$3:$T$52,0,AE$11,120,1),$A42)=0,"",$AB42)</f>
        <v/>
      </c>
      <c r="AF42" t="str" cm="1">
        <f t="array" aca="1" ref="AF42" ca="1">IF(INDEX(OFFSET(tblCountries!$T$3:$T$52,0,AF$11,120,1),$A42)=0,"",$AB42)</f>
        <v/>
      </c>
      <c r="AG42" t="str" cm="1">
        <f t="array" aca="1" ref="AG42" ca="1">IF(INDEX(OFFSET(tblCountries!$T$3:$T$52,0,AG$11,120,1),$A42)=0,"",$AB42)</f>
        <v/>
      </c>
      <c r="AH42" t="str" cm="1">
        <f t="array" aca="1" ref="AH42" ca="1">IF(INDEX(OFFSET(tblCountries!$T$3:$T$52,0,AH$11,120,1),$A42)=0,"",$AB42)</f>
        <v/>
      </c>
      <c r="AI42" t="str" cm="1">
        <f t="array" aca="1" ref="AI42" ca="1">IF(INDEX(OFFSET(tblCountries!$T$3:$T$52,0,AI$11,120,1),$A42)=0,"",$AB42)</f>
        <v/>
      </c>
      <c r="AJ42" cm="1">
        <f t="array" aca="1" ref="AJ42" ca="1">IF(INDEX(OFFSET(tblCountries!$T$3:$T$52,0,AJ$11,120,1),$A42)=0,"",$AB42)</f>
        <v>79.8</v>
      </c>
      <c r="AK42" t="str" cm="1">
        <f t="array" aca="1" ref="AK42" ca="1">IF(INDEX(OFFSET(tblCountries!$T$3:$T$52,0,AK$11,120,1),$A42)=0,"",$AB42)</f>
        <v/>
      </c>
      <c r="AL42" t="str" cm="1">
        <f t="array" aca="1" ref="AL42" ca="1">IF(INDEX(OFFSET(tblCountries!$T$3:$T$52,0,AL$11,120,1),$A42)=0,"",$AB42)</f>
        <v/>
      </c>
      <c r="AM42" t="str" cm="1">
        <f t="array" aca="1" ref="AM42" ca="1">IF(INDEX(OFFSET(tblCountries!$T$3:$T$52,0,AM$11,120,1),$A42)=0,"",$AB42)</f>
        <v/>
      </c>
      <c r="AN42" t="str" cm="1">
        <f t="array" aca="1" ref="AN42" ca="1">IF(INDEX(OFFSET(tblCountries!$T$3:$T$52,0,AN$11,120,1),$A42)=0,"",$AB42)</f>
        <v/>
      </c>
      <c r="AO42" t="str" cm="1">
        <f t="array" aca="1" ref="AO42" ca="1">IF(INDEX(OFFSET(tblCountries!$T$3:$T$52,0,AO$11,120,1),$A42)=0,"",$AB42)</f>
        <v/>
      </c>
      <c r="AP42" t="str" cm="1">
        <f t="array" aca="1" ref="AP42" ca="1">IF(INDEX(OFFSET(tblCountries!$T$3:$T$52,0,AP$11,120,1),$A42)=0,"",$AB42)</f>
        <v/>
      </c>
      <c r="AQ42" t="str" cm="1">
        <f t="array" aca="1" ref="AQ42" ca="1">IF(INDEX(OFFSET(tblCountries!$T$3:$T$52,0,AQ$11,120,1),$A42)=0,"",$AB42)</f>
        <v/>
      </c>
      <c r="AR42" t="str" cm="1">
        <f t="array" aca="1" ref="AR42" ca="1">IF(INDEX(OFFSET(tblCountries!$T$3:$T$52,0,AR$11,120,1),$A42)=0,"",$AB42)</f>
        <v/>
      </c>
      <c r="AS42" t="str" cm="1">
        <f t="array" aca="1" ref="AS42" ca="1">IF(INDEX(OFFSET(tblCountries!$T$3:$T$52,0,AS$11,120,1),$A42)=0,"",$AB42)</f>
        <v/>
      </c>
      <c r="AT42" t="str" cm="1">
        <f t="array" aca="1" ref="AT42" ca="1">IF(INDEX(OFFSET(tblCountries!$T$3:$T$52,0,AT$11,120,1),$A42)=0,"",$AB42)</f>
        <v/>
      </c>
      <c r="AU42" t="str" cm="1">
        <f t="array" aca="1" ref="AU42" ca="1">IF(INDEX(OFFSET(tblCountries!$T$3:$T$52,0,AU$11,120,1),$A42)=0,"",$AB42)</f>
        <v/>
      </c>
      <c r="AV42" t="str" cm="1">
        <f t="array" aca="1" ref="AV42" ca="1">IF(INDEX(OFFSET(tblCountries!$T$3:$T$52,0,AV$11,120,1),$A42)=0,"",$AB42)</f>
        <v/>
      </c>
      <c r="AZ42">
        <f t="shared" ca="1" si="9"/>
        <v>1</v>
      </c>
      <c r="BA42">
        <f t="shared" ca="1" si="10"/>
        <v>0</v>
      </c>
      <c r="BB42">
        <f t="shared" ca="1" si="11"/>
        <v>1</v>
      </c>
      <c r="BC42">
        <f t="shared" ca="1" si="12"/>
        <v>0</v>
      </c>
      <c r="BD42">
        <f t="shared" ca="1" si="13"/>
        <v>0</v>
      </c>
      <c r="BE42">
        <f t="shared" ca="1" si="14"/>
        <v>0</v>
      </c>
      <c r="BF42">
        <f t="shared" ca="1" si="15"/>
        <v>0</v>
      </c>
      <c r="BG42">
        <f t="shared" ca="1" si="16"/>
        <v>0</v>
      </c>
      <c r="BH42">
        <f t="shared" ca="1" si="17"/>
        <v>1</v>
      </c>
      <c r="BI42">
        <f t="shared" ca="1" si="18"/>
        <v>0</v>
      </c>
      <c r="BJ42">
        <f t="shared" ca="1" si="19"/>
        <v>0</v>
      </c>
    </row>
    <row r="43" spans="1:62" x14ac:dyDescent="0.4">
      <c r="A43">
        <v>31</v>
      </c>
      <c r="B43" t="str">
        <f>tblCountries!H33</f>
        <v>Moscow, Russia</v>
      </c>
      <c r="C43" t="str" cm="1">
        <f t="array" aca="1" ref="C43" ca="1">IF(AND($C$2=1,NOT(ISNUMBER(INDEX(auto_DataFlat_DataValue,$D43,$B$4)))),"EXCLUDE","")</f>
        <v/>
      </c>
      <c r="D43" cm="1">
        <f t="array" aca="1" ref="D43" ca="1">INDEX(sys_DataFlat_LU_Grid,$B$2,$A43)</f>
        <v>31</v>
      </c>
      <c r="E43" cm="1">
        <f t="array" aca="1" ref="E43" ca="1">IF(C43="EXCLUDE","n/a",IF($B$6="DATA",INDEX(auto_DataFlat_DataValue,$D43,$B$4),INDEX(auto_DataFlat_Score,$D43,$B$4)))</f>
        <v>65.900000000000006</v>
      </c>
      <c r="F43" t="str" cm="1">
        <f t="array" aca="1" ref="F43" ca="1">IF(INDEX(OFFSET(tblCountries!$T$3:$T$52,0,F$11,120,1),$A43)=0,"",$E43)</f>
        <v/>
      </c>
      <c r="G43" t="str" cm="1">
        <f t="array" aca="1" ref="G43" ca="1">IF(INDEX(OFFSET(tblCountries!$T$3:$T$52,0,G$11,120,1),$A43)=0,"",$E43)</f>
        <v/>
      </c>
      <c r="H43" t="str" cm="1">
        <f t="array" aca="1" ref="H43" ca="1">IF(INDEX(OFFSET(tblCountries!$T$3:$T$52,0,H$11,120,1),$A43)=0,"",$E43)</f>
        <v/>
      </c>
      <c r="I43" cm="1">
        <f t="array" aca="1" ref="I43" ca="1">IF(INDEX(OFFSET(tblCountries!$T$3:$T$52,0,I$11,120,1),$A43)=0,"",$E43)</f>
        <v>65.900000000000006</v>
      </c>
      <c r="J43" t="str" cm="1">
        <f t="array" aca="1" ref="J43" ca="1">IF(INDEX(OFFSET(tblCountries!$T$3:$T$52,0,J$11,120,1),$A43)=0,"",$E43)</f>
        <v/>
      </c>
      <c r="K43" t="str" cm="1">
        <f t="array" aca="1" ref="K43" ca="1">IF(INDEX(OFFSET(tblCountries!$T$3:$T$52,0,K$11,120,1),$A43)=0,"",$E43)</f>
        <v/>
      </c>
      <c r="L43" t="str" cm="1">
        <f t="array" aca="1" ref="L43" ca="1">IF(INDEX(OFFSET(tblCountries!$T$3:$T$52,0,L$11,120,1),$A43)=0,"",$E43)</f>
        <v/>
      </c>
      <c r="M43" cm="1">
        <f t="array" aca="1" ref="M43" ca="1">IF(INDEX(OFFSET(tblCountries!$T$3:$T$52,0,M$11,120,1),$A43)=0,"",$E43)</f>
        <v>65.900000000000006</v>
      </c>
      <c r="N43" t="str" cm="1">
        <f t="array" aca="1" ref="N43" ca="1">IF(INDEX(OFFSET(tblCountries!$T$3:$T$52,0,N$11,120,1),$A43)=0,"",$E43)</f>
        <v/>
      </c>
      <c r="O43" t="str" cm="1">
        <f t="array" aca="1" ref="O43" ca="1">IF(INDEX(OFFSET(tblCountries!$T$3:$T$52,0,O$11,120,1),$A43)=0,"",$E43)</f>
        <v/>
      </c>
      <c r="P43" t="str" cm="1">
        <f t="array" aca="1" ref="P43" ca="1">IF(INDEX(OFFSET(tblCountries!$T$3:$T$52,0,P$11,120,1),$A43)=0,"",$E43)</f>
        <v/>
      </c>
      <c r="Q43" t="str" cm="1">
        <f t="array" aca="1" ref="Q43" ca="1">IF(INDEX(OFFSET(tblCountries!$T$3:$T$52,0,Q$11,120,1),$A43)=0,"",$E43)</f>
        <v/>
      </c>
      <c r="R43" t="str" cm="1">
        <f t="array" aca="1" ref="R43" ca="1">IF(INDEX(OFFSET(tblCountries!$T$3:$T$52,0,R$11,120,1),$A43)=0,"",$E43)</f>
        <v/>
      </c>
      <c r="S43" t="str" cm="1">
        <f t="array" aca="1" ref="S43" ca="1">IF(INDEX(OFFSET(tblCountries!$T$3:$T$52,0,S$11,120,1),$A43)=0,"",$E43)</f>
        <v/>
      </c>
      <c r="T43" t="str" cm="1">
        <f t="array" aca="1" ref="T43" ca="1">IF(INDEX(OFFSET(tblCountries!$T$3:$T$52,0,T$11,120,1),$A43)=0,"",$E43)</f>
        <v/>
      </c>
      <c r="U43" t="str" cm="1">
        <f t="array" aca="1" ref="U43" ca="1">IF(INDEX(OFFSET(tblCountries!$T$3:$T$52,0,U$11,120,1),$A43)=0,"",$E43)</f>
        <v/>
      </c>
      <c r="V43" t="str" cm="1">
        <f t="array" aca="1" ref="V43" ca="1">IF(INDEX(OFFSET(tblCountries!$T$3:$T$52,0,V$11,120,1),$A43)=0,"",$E43)</f>
        <v/>
      </c>
      <c r="W43" t="str" cm="1">
        <f t="array" aca="1" ref="W43" ca="1">IF(INDEX(OFFSET(tblCountries!$T$3:$T$52,0,W$11,120,1),$A43)=0,"",$E43)</f>
        <v/>
      </c>
      <c r="X43" t="str" cm="1">
        <f t="array" aca="1" ref="X43" ca="1">IF(INDEX(OFFSET(tblCountries!$T$3:$T$52,0,X$11,120,1),$A43)=0,"",$E43)</f>
        <v/>
      </c>
      <c r="Y43" t="str" cm="1">
        <f t="array" aca="1" ref="Y43" ca="1">IF(INDEX(OFFSET(tblCountries!$T$3:$T$52,0,Y$11,120,1),$A43)=0,"",$E43)</f>
        <v/>
      </c>
      <c r="Z43" t="str" cm="1">
        <f t="array" aca="1" ref="Z43" ca="1">IF(AND($C$3=1,NOT(ISNUMBER(INDEX(auto_DataFlat_DataValue,$AA43,$B$4)))),"EXCLUDE","")</f>
        <v/>
      </c>
      <c r="AA43" cm="1">
        <f t="array" aca="1" ref="AA43" ca="1">INDEX(sys_DataFlat_LU_Grid,$B$3,$A43)</f>
        <v>91</v>
      </c>
      <c r="AB43" cm="1">
        <f t="array" aca="1" ref="AB43" ca="1">IF(Z43="EXCLUDE","n/a",IF($B$7="DATA",INDEX(auto_DataFlat_DataValue,$AA43,$B$4),INDEX(auto_DataFlat_Score,$AA43,$B$4)))</f>
        <v>75.7</v>
      </c>
      <c r="AC43" t="str" cm="1">
        <f t="array" aca="1" ref="AC43" ca="1">IF(INDEX(OFFSET(tblCountries!$T$3:$T$52,0,AC$11,120,1),$A43)=0,"",$AB43)</f>
        <v/>
      </c>
      <c r="AD43" t="str" cm="1">
        <f t="array" aca="1" ref="AD43" ca="1">IF(INDEX(OFFSET(tblCountries!$T$3:$T$52,0,AD$11,120,1),$A43)=0,"",$AB43)</f>
        <v/>
      </c>
      <c r="AE43" t="str" cm="1">
        <f t="array" aca="1" ref="AE43" ca="1">IF(INDEX(OFFSET(tblCountries!$T$3:$T$52,0,AE$11,120,1),$A43)=0,"",$AB43)</f>
        <v/>
      </c>
      <c r="AF43" cm="1">
        <f t="array" aca="1" ref="AF43" ca="1">IF(INDEX(OFFSET(tblCountries!$T$3:$T$52,0,AF$11,120,1),$A43)=0,"",$AB43)</f>
        <v>75.7</v>
      </c>
      <c r="AG43" t="str" cm="1">
        <f t="array" aca="1" ref="AG43" ca="1">IF(INDEX(OFFSET(tblCountries!$T$3:$T$52,0,AG$11,120,1),$A43)=0,"",$AB43)</f>
        <v/>
      </c>
      <c r="AH43" t="str" cm="1">
        <f t="array" aca="1" ref="AH43" ca="1">IF(INDEX(OFFSET(tblCountries!$T$3:$T$52,0,AH$11,120,1),$A43)=0,"",$AB43)</f>
        <v/>
      </c>
      <c r="AI43" t="str" cm="1">
        <f t="array" aca="1" ref="AI43" ca="1">IF(INDEX(OFFSET(tblCountries!$T$3:$T$52,0,AI$11,120,1),$A43)=0,"",$AB43)</f>
        <v/>
      </c>
      <c r="AJ43" cm="1">
        <f t="array" aca="1" ref="AJ43" ca="1">IF(INDEX(OFFSET(tblCountries!$T$3:$T$52,0,AJ$11,120,1),$A43)=0,"",$AB43)</f>
        <v>75.7</v>
      </c>
      <c r="AK43" t="str" cm="1">
        <f t="array" aca="1" ref="AK43" ca="1">IF(INDEX(OFFSET(tblCountries!$T$3:$T$52,0,AK$11,120,1),$A43)=0,"",$AB43)</f>
        <v/>
      </c>
      <c r="AL43" t="str" cm="1">
        <f t="array" aca="1" ref="AL43" ca="1">IF(INDEX(OFFSET(tblCountries!$T$3:$T$52,0,AL$11,120,1),$A43)=0,"",$AB43)</f>
        <v/>
      </c>
      <c r="AM43" t="str" cm="1">
        <f t="array" aca="1" ref="AM43" ca="1">IF(INDEX(OFFSET(tblCountries!$T$3:$T$52,0,AM$11,120,1),$A43)=0,"",$AB43)</f>
        <v/>
      </c>
      <c r="AN43" t="str" cm="1">
        <f t="array" aca="1" ref="AN43" ca="1">IF(INDEX(OFFSET(tblCountries!$T$3:$T$52,0,AN$11,120,1),$A43)=0,"",$AB43)</f>
        <v/>
      </c>
      <c r="AO43" t="str" cm="1">
        <f t="array" aca="1" ref="AO43" ca="1">IF(INDEX(OFFSET(tblCountries!$T$3:$T$52,0,AO$11,120,1),$A43)=0,"",$AB43)</f>
        <v/>
      </c>
      <c r="AP43" t="str" cm="1">
        <f t="array" aca="1" ref="AP43" ca="1">IF(INDEX(OFFSET(tblCountries!$T$3:$T$52,0,AP$11,120,1),$A43)=0,"",$AB43)</f>
        <v/>
      </c>
      <c r="AQ43" t="str" cm="1">
        <f t="array" aca="1" ref="AQ43" ca="1">IF(INDEX(OFFSET(tblCountries!$T$3:$T$52,0,AQ$11,120,1),$A43)=0,"",$AB43)</f>
        <v/>
      </c>
      <c r="AR43" t="str" cm="1">
        <f t="array" aca="1" ref="AR43" ca="1">IF(INDEX(OFFSET(tblCountries!$T$3:$T$52,0,AR$11,120,1),$A43)=0,"",$AB43)</f>
        <v/>
      </c>
      <c r="AS43" t="str" cm="1">
        <f t="array" aca="1" ref="AS43" ca="1">IF(INDEX(OFFSET(tblCountries!$T$3:$T$52,0,AS$11,120,1),$A43)=0,"",$AB43)</f>
        <v/>
      </c>
      <c r="AT43" t="str" cm="1">
        <f t="array" aca="1" ref="AT43" ca="1">IF(INDEX(OFFSET(tblCountries!$T$3:$T$52,0,AT$11,120,1),$A43)=0,"",$AB43)</f>
        <v/>
      </c>
      <c r="AU43" t="str" cm="1">
        <f t="array" aca="1" ref="AU43" ca="1">IF(INDEX(OFFSET(tblCountries!$T$3:$T$52,0,AU$11,120,1),$A43)=0,"",$AB43)</f>
        <v/>
      </c>
      <c r="AV43" t="str" cm="1">
        <f t="array" aca="1" ref="AV43" ca="1">IF(INDEX(OFFSET(tblCountries!$T$3:$T$52,0,AV$11,120,1),$A43)=0,"",$AB43)</f>
        <v/>
      </c>
      <c r="AZ43">
        <f t="shared" ca="1" si="9"/>
        <v>1</v>
      </c>
      <c r="BA43">
        <f t="shared" ca="1" si="10"/>
        <v>0</v>
      </c>
      <c r="BB43">
        <f t="shared" ca="1" si="11"/>
        <v>0</v>
      </c>
      <c r="BC43">
        <f t="shared" ca="1" si="12"/>
        <v>0</v>
      </c>
      <c r="BD43">
        <f t="shared" ca="1" si="13"/>
        <v>1</v>
      </c>
      <c r="BE43">
        <f t="shared" ca="1" si="14"/>
        <v>0</v>
      </c>
      <c r="BF43">
        <f t="shared" ca="1" si="15"/>
        <v>0</v>
      </c>
      <c r="BG43">
        <f t="shared" ca="1" si="16"/>
        <v>0</v>
      </c>
      <c r="BH43">
        <f t="shared" ca="1" si="17"/>
        <v>1</v>
      </c>
      <c r="BI43">
        <f t="shared" ca="1" si="18"/>
        <v>0</v>
      </c>
      <c r="BJ43">
        <f t="shared" ca="1" si="19"/>
        <v>0</v>
      </c>
    </row>
    <row r="44" spans="1:62" x14ac:dyDescent="0.4">
      <c r="A44">
        <v>32</v>
      </c>
      <c r="B44" t="str">
        <f>tblCountries!H34</f>
        <v>Mumbai, India</v>
      </c>
      <c r="C44" t="str" cm="1">
        <f t="array" aca="1" ref="C44" ca="1">IF(AND($C$2=1,NOT(ISNUMBER(INDEX(auto_DataFlat_DataValue,$D44,$B$4)))),"EXCLUDE","")</f>
        <v/>
      </c>
      <c r="D44" cm="1">
        <f t="array" aca="1" ref="D44" ca="1">INDEX(sys_DataFlat_LU_Grid,$B$2,$A44)</f>
        <v>32</v>
      </c>
      <c r="E44" cm="1">
        <f t="array" aca="1" ref="E44" ca="1">IF(C44="EXCLUDE","n/a",IF($B$6="DATA",INDEX(auto_DataFlat_DataValue,$D44,$B$4),INDEX(auto_DataFlat_Score,$D44,$B$4)))</f>
        <v>53.2</v>
      </c>
      <c r="F44" t="str" cm="1">
        <f t="array" aca="1" ref="F44" ca="1">IF(INDEX(OFFSET(tblCountries!$T$3:$T$52,0,F$11,120,1),$A44)=0,"",$E44)</f>
        <v/>
      </c>
      <c r="G44" t="str" cm="1">
        <f t="array" aca="1" ref="G44" ca="1">IF(INDEX(OFFSET(tblCountries!$T$3:$T$52,0,G$11,120,1),$A44)=0,"",$E44)</f>
        <v/>
      </c>
      <c r="H44" t="str" cm="1">
        <f t="array" aca="1" ref="H44" ca="1">IF(INDEX(OFFSET(tblCountries!$T$3:$T$52,0,H$11,120,1),$A44)=0,"",$E44)</f>
        <v/>
      </c>
      <c r="I44" t="str" cm="1">
        <f t="array" aca="1" ref="I44" ca="1">IF(INDEX(OFFSET(tblCountries!$T$3:$T$52,0,I$11,120,1),$A44)=0,"",$E44)</f>
        <v/>
      </c>
      <c r="J44" cm="1">
        <f t="array" aca="1" ref="J44" ca="1">IF(INDEX(OFFSET(tblCountries!$T$3:$T$52,0,J$11,120,1),$A44)=0,"",$E44)</f>
        <v>53.2</v>
      </c>
      <c r="K44" t="str" cm="1">
        <f t="array" aca="1" ref="K44" ca="1">IF(INDEX(OFFSET(tblCountries!$T$3:$T$52,0,K$11,120,1),$A44)=0,"",$E44)</f>
        <v/>
      </c>
      <c r="L44" cm="1">
        <f t="array" aca="1" ref="L44" ca="1">IF(INDEX(OFFSET(tblCountries!$T$3:$T$52,0,L$11,120,1),$A44)=0,"",$E44)</f>
        <v>53.2</v>
      </c>
      <c r="M44" t="str" cm="1">
        <f t="array" aca="1" ref="M44" ca="1">IF(INDEX(OFFSET(tblCountries!$T$3:$T$52,0,M$11,120,1),$A44)=0,"",$E44)</f>
        <v/>
      </c>
      <c r="N44" t="str" cm="1">
        <f t="array" aca="1" ref="N44" ca="1">IF(INDEX(OFFSET(tblCountries!$T$3:$T$52,0,N$11,120,1),$A44)=0,"",$E44)</f>
        <v/>
      </c>
      <c r="O44" t="str" cm="1">
        <f t="array" aca="1" ref="O44" ca="1">IF(INDEX(OFFSET(tblCountries!$T$3:$T$52,0,O$11,120,1),$A44)=0,"",$E44)</f>
        <v/>
      </c>
      <c r="P44" t="str" cm="1">
        <f t="array" aca="1" ref="P44" ca="1">IF(INDEX(OFFSET(tblCountries!$T$3:$T$52,0,P$11,120,1),$A44)=0,"",$E44)</f>
        <v/>
      </c>
      <c r="Q44" t="str" cm="1">
        <f t="array" aca="1" ref="Q44" ca="1">IF(INDEX(OFFSET(tblCountries!$T$3:$T$52,0,Q$11,120,1),$A44)=0,"",$E44)</f>
        <v/>
      </c>
      <c r="R44" t="str" cm="1">
        <f t="array" aca="1" ref="R44" ca="1">IF(INDEX(OFFSET(tblCountries!$T$3:$T$52,0,R$11,120,1),$A44)=0,"",$E44)</f>
        <v/>
      </c>
      <c r="S44" t="str" cm="1">
        <f t="array" aca="1" ref="S44" ca="1">IF(INDEX(OFFSET(tblCountries!$T$3:$T$52,0,S$11,120,1),$A44)=0,"",$E44)</f>
        <v/>
      </c>
      <c r="T44" t="str" cm="1">
        <f t="array" aca="1" ref="T44" ca="1">IF(INDEX(OFFSET(tblCountries!$T$3:$T$52,0,T$11,120,1),$A44)=0,"",$E44)</f>
        <v/>
      </c>
      <c r="U44" t="str" cm="1">
        <f t="array" aca="1" ref="U44" ca="1">IF(INDEX(OFFSET(tblCountries!$T$3:$T$52,0,U$11,120,1),$A44)=0,"",$E44)</f>
        <v/>
      </c>
      <c r="V44" t="str" cm="1">
        <f t="array" aca="1" ref="V44" ca="1">IF(INDEX(OFFSET(tblCountries!$T$3:$T$52,0,V$11,120,1),$A44)=0,"",$E44)</f>
        <v/>
      </c>
      <c r="W44" t="str" cm="1">
        <f t="array" aca="1" ref="W44" ca="1">IF(INDEX(OFFSET(tblCountries!$T$3:$T$52,0,W$11,120,1),$A44)=0,"",$E44)</f>
        <v/>
      </c>
      <c r="X44" t="str" cm="1">
        <f t="array" aca="1" ref="X44" ca="1">IF(INDEX(OFFSET(tblCountries!$T$3:$T$52,0,X$11,120,1),$A44)=0,"",$E44)</f>
        <v/>
      </c>
      <c r="Y44" t="str" cm="1">
        <f t="array" aca="1" ref="Y44" ca="1">IF(INDEX(OFFSET(tblCountries!$T$3:$T$52,0,Y$11,120,1),$A44)=0,"",$E44)</f>
        <v/>
      </c>
      <c r="Z44" t="str" cm="1">
        <f t="array" aca="1" ref="Z44" ca="1">IF(AND($C$3=1,NOT(ISNUMBER(INDEX(auto_DataFlat_DataValue,$AA44,$B$4)))),"EXCLUDE","")</f>
        <v/>
      </c>
      <c r="AA44" cm="1">
        <f t="array" aca="1" ref="AA44" ca="1">INDEX(sys_DataFlat_LU_Grid,$B$3,$A44)</f>
        <v>92</v>
      </c>
      <c r="AB44" cm="1">
        <f t="array" aca="1" ref="AB44" ca="1">IF(Z44="EXCLUDE","n/a",IF($B$7="DATA",INDEX(auto_DataFlat_DataValue,$AA44,$B$4),INDEX(auto_DataFlat_Score,$AA44,$B$4)))</f>
        <v>34.200000000000003</v>
      </c>
      <c r="AC44" t="str" cm="1">
        <f t="array" aca="1" ref="AC44" ca="1">IF(INDEX(OFFSET(tblCountries!$T$3:$T$52,0,AC$11,120,1),$A44)=0,"",$AB44)</f>
        <v/>
      </c>
      <c r="AD44" t="str" cm="1">
        <f t="array" aca="1" ref="AD44" ca="1">IF(INDEX(OFFSET(tblCountries!$T$3:$T$52,0,AD$11,120,1),$A44)=0,"",$AB44)</f>
        <v/>
      </c>
      <c r="AE44" t="str" cm="1">
        <f t="array" aca="1" ref="AE44" ca="1">IF(INDEX(OFFSET(tblCountries!$T$3:$T$52,0,AE$11,120,1),$A44)=0,"",$AB44)</f>
        <v/>
      </c>
      <c r="AF44" t="str" cm="1">
        <f t="array" aca="1" ref="AF44" ca="1">IF(INDEX(OFFSET(tblCountries!$T$3:$T$52,0,AF$11,120,1),$A44)=0,"",$AB44)</f>
        <v/>
      </c>
      <c r="AG44" cm="1">
        <f t="array" aca="1" ref="AG44" ca="1">IF(INDEX(OFFSET(tblCountries!$T$3:$T$52,0,AG$11,120,1),$A44)=0,"",$AB44)</f>
        <v>34.200000000000003</v>
      </c>
      <c r="AH44" t="str" cm="1">
        <f t="array" aca="1" ref="AH44" ca="1">IF(INDEX(OFFSET(tblCountries!$T$3:$T$52,0,AH$11,120,1),$A44)=0,"",$AB44)</f>
        <v/>
      </c>
      <c r="AI44" cm="1">
        <f t="array" aca="1" ref="AI44" ca="1">IF(INDEX(OFFSET(tblCountries!$T$3:$T$52,0,AI$11,120,1),$A44)=0,"",$AB44)</f>
        <v>34.200000000000003</v>
      </c>
      <c r="AJ44" t="str" cm="1">
        <f t="array" aca="1" ref="AJ44" ca="1">IF(INDEX(OFFSET(tblCountries!$T$3:$T$52,0,AJ$11,120,1),$A44)=0,"",$AB44)</f>
        <v/>
      </c>
      <c r="AK44" t="str" cm="1">
        <f t="array" aca="1" ref="AK44" ca="1">IF(INDEX(OFFSET(tblCountries!$T$3:$T$52,0,AK$11,120,1),$A44)=0,"",$AB44)</f>
        <v/>
      </c>
      <c r="AL44" t="str" cm="1">
        <f t="array" aca="1" ref="AL44" ca="1">IF(INDEX(OFFSET(tblCountries!$T$3:$T$52,0,AL$11,120,1),$A44)=0,"",$AB44)</f>
        <v/>
      </c>
      <c r="AM44" t="str" cm="1">
        <f t="array" aca="1" ref="AM44" ca="1">IF(INDEX(OFFSET(tblCountries!$T$3:$T$52,0,AM$11,120,1),$A44)=0,"",$AB44)</f>
        <v/>
      </c>
      <c r="AN44" t="str" cm="1">
        <f t="array" aca="1" ref="AN44" ca="1">IF(INDEX(OFFSET(tblCountries!$T$3:$T$52,0,AN$11,120,1),$A44)=0,"",$AB44)</f>
        <v/>
      </c>
      <c r="AO44" t="str" cm="1">
        <f t="array" aca="1" ref="AO44" ca="1">IF(INDEX(OFFSET(tblCountries!$T$3:$T$52,0,AO$11,120,1),$A44)=0,"",$AB44)</f>
        <v/>
      </c>
      <c r="AP44" t="str" cm="1">
        <f t="array" aca="1" ref="AP44" ca="1">IF(INDEX(OFFSET(tblCountries!$T$3:$T$52,0,AP$11,120,1),$A44)=0,"",$AB44)</f>
        <v/>
      </c>
      <c r="AQ44" t="str" cm="1">
        <f t="array" aca="1" ref="AQ44" ca="1">IF(INDEX(OFFSET(tblCountries!$T$3:$T$52,0,AQ$11,120,1),$A44)=0,"",$AB44)</f>
        <v/>
      </c>
      <c r="AR44" t="str" cm="1">
        <f t="array" aca="1" ref="AR44" ca="1">IF(INDEX(OFFSET(tblCountries!$T$3:$T$52,0,AR$11,120,1),$A44)=0,"",$AB44)</f>
        <v/>
      </c>
      <c r="AS44" t="str" cm="1">
        <f t="array" aca="1" ref="AS44" ca="1">IF(INDEX(OFFSET(tblCountries!$T$3:$T$52,0,AS$11,120,1),$A44)=0,"",$AB44)</f>
        <v/>
      </c>
      <c r="AT44" t="str" cm="1">
        <f t="array" aca="1" ref="AT44" ca="1">IF(INDEX(OFFSET(tblCountries!$T$3:$T$52,0,AT$11,120,1),$A44)=0,"",$AB44)</f>
        <v/>
      </c>
      <c r="AU44" t="str" cm="1">
        <f t="array" aca="1" ref="AU44" ca="1">IF(INDEX(OFFSET(tblCountries!$T$3:$T$52,0,AU$11,120,1),$A44)=0,"",$AB44)</f>
        <v/>
      </c>
      <c r="AV44" t="str" cm="1">
        <f t="array" aca="1" ref="AV44" ca="1">IF(INDEX(OFFSET(tblCountries!$T$3:$T$52,0,AV$11,120,1),$A44)=0,"",$AB44)</f>
        <v/>
      </c>
      <c r="AZ44">
        <f t="shared" ca="1" si="9"/>
        <v>1</v>
      </c>
      <c r="BA44">
        <f t="shared" ca="1" si="10"/>
        <v>0</v>
      </c>
      <c r="BB44">
        <f t="shared" ca="1" si="11"/>
        <v>0</v>
      </c>
      <c r="BC44">
        <f t="shared" ca="1" si="12"/>
        <v>0</v>
      </c>
      <c r="BD44">
        <f t="shared" ca="1" si="13"/>
        <v>0</v>
      </c>
      <c r="BE44">
        <f t="shared" ca="1" si="14"/>
        <v>1</v>
      </c>
      <c r="BF44">
        <f t="shared" ca="1" si="15"/>
        <v>0</v>
      </c>
      <c r="BG44">
        <f t="shared" ca="1" si="16"/>
        <v>1</v>
      </c>
      <c r="BH44">
        <f t="shared" ca="1" si="17"/>
        <v>0</v>
      </c>
      <c r="BI44">
        <f t="shared" ca="1" si="18"/>
        <v>0</v>
      </c>
      <c r="BJ44">
        <f t="shared" ca="1" si="19"/>
        <v>0</v>
      </c>
    </row>
    <row r="45" spans="1:62" x14ac:dyDescent="0.4">
      <c r="A45">
        <v>33</v>
      </c>
      <c r="B45" t="str">
        <f>tblCountries!H35</f>
        <v>Nairobi, Kenya</v>
      </c>
      <c r="C45" t="str" cm="1">
        <f t="array" aca="1" ref="C45" ca="1">IF(AND($C$2=1,NOT(ISNUMBER(INDEX(auto_DataFlat_DataValue,$D45,$B$4)))),"EXCLUDE","")</f>
        <v/>
      </c>
      <c r="D45" cm="1">
        <f t="array" aca="1" ref="D45" ca="1">INDEX(sys_DataFlat_LU_Grid,$B$2,$A45)</f>
        <v>33</v>
      </c>
      <c r="E45" cm="1">
        <f t="array" aca="1" ref="E45" ca="1">IF(C45="EXCLUDE","n/a",IF($B$6="DATA",INDEX(auto_DataFlat_DataValue,$D45,$B$4),INDEX(auto_DataFlat_Score,$D45,$B$4)))</f>
        <v>52.2</v>
      </c>
      <c r="F45" cm="1">
        <f t="array" aca="1" ref="F45" ca="1">IF(INDEX(OFFSET(tblCountries!$T$3:$T$52,0,F$11,120,1),$A45)=0,"",$E45)</f>
        <v>52.2</v>
      </c>
      <c r="G45" t="str" cm="1">
        <f t="array" aca="1" ref="G45" ca="1">IF(INDEX(OFFSET(tblCountries!$T$3:$T$52,0,G$11,120,1),$A45)=0,"",$E45)</f>
        <v/>
      </c>
      <c r="H45" t="str" cm="1">
        <f t="array" aca="1" ref="H45" ca="1">IF(INDEX(OFFSET(tblCountries!$T$3:$T$52,0,H$11,120,1),$A45)=0,"",$E45)</f>
        <v/>
      </c>
      <c r="I45" t="str" cm="1">
        <f t="array" aca="1" ref="I45" ca="1">IF(INDEX(OFFSET(tblCountries!$T$3:$T$52,0,I$11,120,1),$A45)=0,"",$E45)</f>
        <v/>
      </c>
      <c r="J45" t="str" cm="1">
        <f t="array" aca="1" ref="J45" ca="1">IF(INDEX(OFFSET(tblCountries!$T$3:$T$52,0,J$11,120,1),$A45)=0,"",$E45)</f>
        <v/>
      </c>
      <c r="K45" t="str" cm="1">
        <f t="array" aca="1" ref="K45" ca="1">IF(INDEX(OFFSET(tblCountries!$T$3:$T$52,0,K$11,120,1),$A45)=0,"",$E45)</f>
        <v/>
      </c>
      <c r="L45" cm="1">
        <f t="array" aca="1" ref="L45" ca="1">IF(INDEX(OFFSET(tblCountries!$T$3:$T$52,0,L$11,120,1),$A45)=0,"",$E45)</f>
        <v>52.2</v>
      </c>
      <c r="M45" t="str" cm="1">
        <f t="array" aca="1" ref="M45" ca="1">IF(INDEX(OFFSET(tblCountries!$T$3:$T$52,0,M$11,120,1),$A45)=0,"",$E45)</f>
        <v/>
      </c>
      <c r="N45" t="str" cm="1">
        <f t="array" aca="1" ref="N45" ca="1">IF(INDEX(OFFSET(tblCountries!$T$3:$T$52,0,N$11,120,1),$A45)=0,"",$E45)</f>
        <v/>
      </c>
      <c r="O45" t="str" cm="1">
        <f t="array" aca="1" ref="O45" ca="1">IF(INDEX(OFFSET(tblCountries!$T$3:$T$52,0,O$11,120,1),$A45)=0,"",$E45)</f>
        <v/>
      </c>
      <c r="P45" t="str" cm="1">
        <f t="array" aca="1" ref="P45" ca="1">IF(INDEX(OFFSET(tblCountries!$T$3:$T$52,0,P$11,120,1),$A45)=0,"",$E45)</f>
        <v/>
      </c>
      <c r="Q45" t="str" cm="1">
        <f t="array" aca="1" ref="Q45" ca="1">IF(INDEX(OFFSET(tblCountries!$T$3:$T$52,0,Q$11,120,1),$A45)=0,"",$E45)</f>
        <v/>
      </c>
      <c r="R45" t="str" cm="1">
        <f t="array" aca="1" ref="R45" ca="1">IF(INDEX(OFFSET(tblCountries!$T$3:$T$52,0,R$11,120,1),$A45)=0,"",$E45)</f>
        <v/>
      </c>
      <c r="S45" t="str" cm="1">
        <f t="array" aca="1" ref="S45" ca="1">IF(INDEX(OFFSET(tblCountries!$T$3:$T$52,0,S$11,120,1),$A45)=0,"",$E45)</f>
        <v/>
      </c>
      <c r="T45" t="str" cm="1">
        <f t="array" aca="1" ref="T45" ca="1">IF(INDEX(OFFSET(tblCountries!$T$3:$T$52,0,T$11,120,1),$A45)=0,"",$E45)</f>
        <v/>
      </c>
      <c r="U45" t="str" cm="1">
        <f t="array" aca="1" ref="U45" ca="1">IF(INDEX(OFFSET(tblCountries!$T$3:$T$52,0,U$11,120,1),$A45)=0,"",$E45)</f>
        <v/>
      </c>
      <c r="V45" t="str" cm="1">
        <f t="array" aca="1" ref="V45" ca="1">IF(INDEX(OFFSET(tblCountries!$T$3:$T$52,0,V$11,120,1),$A45)=0,"",$E45)</f>
        <v/>
      </c>
      <c r="W45" t="str" cm="1">
        <f t="array" aca="1" ref="W45" ca="1">IF(INDEX(OFFSET(tblCountries!$T$3:$T$52,0,W$11,120,1),$A45)=0,"",$E45)</f>
        <v/>
      </c>
      <c r="X45" t="str" cm="1">
        <f t="array" aca="1" ref="X45" ca="1">IF(INDEX(OFFSET(tblCountries!$T$3:$T$52,0,X$11,120,1),$A45)=0,"",$E45)</f>
        <v/>
      </c>
      <c r="Y45" t="str" cm="1">
        <f t="array" aca="1" ref="Y45" ca="1">IF(INDEX(OFFSET(tblCountries!$T$3:$T$52,0,Y$11,120,1),$A45)=0,"",$E45)</f>
        <v/>
      </c>
      <c r="Z45" t="str" cm="1">
        <f t="array" aca="1" ref="Z45" ca="1">IF(AND($C$3=1,NOT(ISNUMBER(INDEX(auto_DataFlat_DataValue,$AA45,$B$4)))),"EXCLUDE","")</f>
        <v/>
      </c>
      <c r="AA45" cm="1">
        <f t="array" aca="1" ref="AA45" ca="1">INDEX(sys_DataFlat_LU_Grid,$B$3,$A45)</f>
        <v>93</v>
      </c>
      <c r="AB45" cm="1">
        <f t="array" aca="1" ref="AB45" ca="1">IF(Z45="EXCLUDE","n/a",IF($B$7="DATA",INDEX(auto_DataFlat_DataValue,$AA45,$B$4),INDEX(auto_DataFlat_Score,$AA45,$B$4)))</f>
        <v>55.6</v>
      </c>
      <c r="AC45" cm="1">
        <f t="array" aca="1" ref="AC45" ca="1">IF(INDEX(OFFSET(tblCountries!$T$3:$T$52,0,AC$11,120,1),$A45)=0,"",$AB45)</f>
        <v>55.6</v>
      </c>
      <c r="AD45" t="str" cm="1">
        <f t="array" aca="1" ref="AD45" ca="1">IF(INDEX(OFFSET(tblCountries!$T$3:$T$52,0,AD$11,120,1),$A45)=0,"",$AB45)</f>
        <v/>
      </c>
      <c r="AE45" t="str" cm="1">
        <f t="array" aca="1" ref="AE45" ca="1">IF(INDEX(OFFSET(tblCountries!$T$3:$T$52,0,AE$11,120,1),$A45)=0,"",$AB45)</f>
        <v/>
      </c>
      <c r="AF45" t="str" cm="1">
        <f t="array" aca="1" ref="AF45" ca="1">IF(INDEX(OFFSET(tblCountries!$T$3:$T$52,0,AF$11,120,1),$A45)=0,"",$AB45)</f>
        <v/>
      </c>
      <c r="AG45" t="str" cm="1">
        <f t="array" aca="1" ref="AG45" ca="1">IF(INDEX(OFFSET(tblCountries!$T$3:$T$52,0,AG$11,120,1),$A45)=0,"",$AB45)</f>
        <v/>
      </c>
      <c r="AH45" t="str" cm="1">
        <f t="array" aca="1" ref="AH45" ca="1">IF(INDEX(OFFSET(tblCountries!$T$3:$T$52,0,AH$11,120,1),$A45)=0,"",$AB45)</f>
        <v/>
      </c>
      <c r="AI45" cm="1">
        <f t="array" aca="1" ref="AI45" ca="1">IF(INDEX(OFFSET(tblCountries!$T$3:$T$52,0,AI$11,120,1),$A45)=0,"",$AB45)</f>
        <v>55.6</v>
      </c>
      <c r="AJ45" t="str" cm="1">
        <f t="array" aca="1" ref="AJ45" ca="1">IF(INDEX(OFFSET(tblCountries!$T$3:$T$52,0,AJ$11,120,1),$A45)=0,"",$AB45)</f>
        <v/>
      </c>
      <c r="AK45" t="str" cm="1">
        <f t="array" aca="1" ref="AK45" ca="1">IF(INDEX(OFFSET(tblCountries!$T$3:$T$52,0,AK$11,120,1),$A45)=0,"",$AB45)</f>
        <v/>
      </c>
      <c r="AL45" t="str" cm="1">
        <f t="array" aca="1" ref="AL45" ca="1">IF(INDEX(OFFSET(tblCountries!$T$3:$T$52,0,AL$11,120,1),$A45)=0,"",$AB45)</f>
        <v/>
      </c>
      <c r="AM45" t="str" cm="1">
        <f t="array" aca="1" ref="AM45" ca="1">IF(INDEX(OFFSET(tblCountries!$T$3:$T$52,0,AM$11,120,1),$A45)=0,"",$AB45)</f>
        <v/>
      </c>
      <c r="AN45" t="str" cm="1">
        <f t="array" aca="1" ref="AN45" ca="1">IF(INDEX(OFFSET(tblCountries!$T$3:$T$52,0,AN$11,120,1),$A45)=0,"",$AB45)</f>
        <v/>
      </c>
      <c r="AO45" t="str" cm="1">
        <f t="array" aca="1" ref="AO45" ca="1">IF(INDEX(OFFSET(tblCountries!$T$3:$T$52,0,AO$11,120,1),$A45)=0,"",$AB45)</f>
        <v/>
      </c>
      <c r="AP45" t="str" cm="1">
        <f t="array" aca="1" ref="AP45" ca="1">IF(INDEX(OFFSET(tblCountries!$T$3:$T$52,0,AP$11,120,1),$A45)=0,"",$AB45)</f>
        <v/>
      </c>
      <c r="AQ45" t="str" cm="1">
        <f t="array" aca="1" ref="AQ45" ca="1">IF(INDEX(OFFSET(tblCountries!$T$3:$T$52,0,AQ$11,120,1),$A45)=0,"",$AB45)</f>
        <v/>
      </c>
      <c r="AR45" t="str" cm="1">
        <f t="array" aca="1" ref="AR45" ca="1">IF(INDEX(OFFSET(tblCountries!$T$3:$T$52,0,AR$11,120,1),$A45)=0,"",$AB45)</f>
        <v/>
      </c>
      <c r="AS45" t="str" cm="1">
        <f t="array" aca="1" ref="AS45" ca="1">IF(INDEX(OFFSET(tblCountries!$T$3:$T$52,0,AS$11,120,1),$A45)=0,"",$AB45)</f>
        <v/>
      </c>
      <c r="AT45" t="str" cm="1">
        <f t="array" aca="1" ref="AT45" ca="1">IF(INDEX(OFFSET(tblCountries!$T$3:$T$52,0,AT$11,120,1),$A45)=0,"",$AB45)</f>
        <v/>
      </c>
      <c r="AU45" t="str" cm="1">
        <f t="array" aca="1" ref="AU45" ca="1">IF(INDEX(OFFSET(tblCountries!$T$3:$T$52,0,AU$11,120,1),$A45)=0,"",$AB45)</f>
        <v/>
      </c>
      <c r="AV45" t="str" cm="1">
        <f t="array" aca="1" ref="AV45" ca="1">IF(INDEX(OFFSET(tblCountries!$T$3:$T$52,0,AV$11,120,1),$A45)=0,"",$AB45)</f>
        <v/>
      </c>
      <c r="AZ45">
        <f t="shared" ca="1" si="9"/>
        <v>1</v>
      </c>
      <c r="BA45">
        <f t="shared" ca="1" si="10"/>
        <v>1</v>
      </c>
      <c r="BB45">
        <f t="shared" ca="1" si="11"/>
        <v>0</v>
      </c>
      <c r="BC45">
        <f t="shared" ca="1" si="12"/>
        <v>0</v>
      </c>
      <c r="BD45">
        <f t="shared" ca="1" si="13"/>
        <v>0</v>
      </c>
      <c r="BE45">
        <f t="shared" ca="1" si="14"/>
        <v>0</v>
      </c>
      <c r="BF45">
        <f t="shared" ca="1" si="15"/>
        <v>0</v>
      </c>
      <c r="BG45">
        <f t="shared" ca="1" si="16"/>
        <v>1</v>
      </c>
      <c r="BH45">
        <f t="shared" ca="1" si="17"/>
        <v>0</v>
      </c>
      <c r="BI45">
        <f t="shared" ca="1" si="18"/>
        <v>0</v>
      </c>
      <c r="BJ45">
        <f t="shared" ca="1" si="19"/>
        <v>0</v>
      </c>
    </row>
    <row r="46" spans="1:62" x14ac:dyDescent="0.4">
      <c r="A46">
        <v>34</v>
      </c>
      <c r="B46" t="str">
        <f>tblCountries!H36</f>
        <v>New York City, United States</v>
      </c>
      <c r="C46" t="str" cm="1">
        <f t="array" aca="1" ref="C46" ca="1">IF(AND($C$2=1,NOT(ISNUMBER(INDEX(auto_DataFlat_DataValue,$D46,$B$4)))),"EXCLUDE","")</f>
        <v/>
      </c>
      <c r="D46" cm="1">
        <f t="array" aca="1" ref="D46" ca="1">INDEX(sys_DataFlat_LU_Grid,$B$2,$A46)</f>
        <v>34</v>
      </c>
      <c r="E46" cm="1">
        <f t="array" aca="1" ref="E46" ca="1">IF(C46="EXCLUDE","n/a",IF($B$6="DATA",INDEX(auto_DataFlat_DataValue,$D46,$B$4),INDEX(auto_DataFlat_Score,$D46,$B$4)))</f>
        <v>79.099999999999994</v>
      </c>
      <c r="F46" t="str" cm="1">
        <f t="array" aca="1" ref="F46" ca="1">IF(INDEX(OFFSET(tblCountries!$T$3:$T$52,0,F$11,120,1),$A46)=0,"",$E46)</f>
        <v/>
      </c>
      <c r="G46" cm="1">
        <f t="array" aca="1" ref="G46" ca="1">IF(INDEX(OFFSET(tblCountries!$T$3:$T$52,0,G$11,120,1),$A46)=0,"",$E46)</f>
        <v>79.099999999999994</v>
      </c>
      <c r="H46" t="str" cm="1">
        <f t="array" aca="1" ref="H46" ca="1">IF(INDEX(OFFSET(tblCountries!$T$3:$T$52,0,H$11,120,1),$A46)=0,"",$E46)</f>
        <v/>
      </c>
      <c r="I46" t="str" cm="1">
        <f t="array" aca="1" ref="I46" ca="1">IF(INDEX(OFFSET(tblCountries!$T$3:$T$52,0,I$11,120,1),$A46)=0,"",$E46)</f>
        <v/>
      </c>
      <c r="J46" t="str" cm="1">
        <f t="array" aca="1" ref="J46" ca="1">IF(INDEX(OFFSET(tblCountries!$T$3:$T$52,0,J$11,120,1),$A46)=0,"",$E46)</f>
        <v/>
      </c>
      <c r="K46" t="str" cm="1">
        <f t="array" aca="1" ref="K46" ca="1">IF(INDEX(OFFSET(tblCountries!$T$3:$T$52,0,K$11,120,1),$A46)=0,"",$E46)</f>
        <v/>
      </c>
      <c r="L46" t="str" cm="1">
        <f t="array" aca="1" ref="L46" ca="1">IF(INDEX(OFFSET(tblCountries!$T$3:$T$52,0,L$11,120,1),$A46)=0,"",$E46)</f>
        <v/>
      </c>
      <c r="M46" t="str" cm="1">
        <f t="array" aca="1" ref="M46" ca="1">IF(INDEX(OFFSET(tblCountries!$T$3:$T$52,0,M$11,120,1),$A46)=0,"",$E46)</f>
        <v/>
      </c>
      <c r="N46" cm="1">
        <f t="array" aca="1" ref="N46" ca="1">IF(INDEX(OFFSET(tblCountries!$T$3:$T$52,0,N$11,120,1),$A46)=0,"",$E46)</f>
        <v>79.099999999999994</v>
      </c>
      <c r="O46" t="str" cm="1">
        <f t="array" aca="1" ref="O46" ca="1">IF(INDEX(OFFSET(tblCountries!$T$3:$T$52,0,O$11,120,1),$A46)=0,"",$E46)</f>
        <v/>
      </c>
      <c r="P46" t="str" cm="1">
        <f t="array" aca="1" ref="P46" ca="1">IF(INDEX(OFFSET(tblCountries!$T$3:$T$52,0,P$11,120,1),$A46)=0,"",$E46)</f>
        <v/>
      </c>
      <c r="Q46" t="str" cm="1">
        <f t="array" aca="1" ref="Q46" ca="1">IF(INDEX(OFFSET(tblCountries!$T$3:$T$52,0,Q$11,120,1),$A46)=0,"",$E46)</f>
        <v/>
      </c>
      <c r="R46" t="str" cm="1">
        <f t="array" aca="1" ref="R46" ca="1">IF(INDEX(OFFSET(tblCountries!$T$3:$T$52,0,R$11,120,1),$A46)=0,"",$E46)</f>
        <v/>
      </c>
      <c r="S46" t="str" cm="1">
        <f t="array" aca="1" ref="S46" ca="1">IF(INDEX(OFFSET(tblCountries!$T$3:$T$52,0,S$11,120,1),$A46)=0,"",$E46)</f>
        <v/>
      </c>
      <c r="T46" t="str" cm="1">
        <f t="array" aca="1" ref="T46" ca="1">IF(INDEX(OFFSET(tblCountries!$T$3:$T$52,0,T$11,120,1),$A46)=0,"",$E46)</f>
        <v/>
      </c>
      <c r="U46" t="str" cm="1">
        <f t="array" aca="1" ref="U46" ca="1">IF(INDEX(OFFSET(tblCountries!$T$3:$T$52,0,U$11,120,1),$A46)=0,"",$E46)</f>
        <v/>
      </c>
      <c r="V46" t="str" cm="1">
        <f t="array" aca="1" ref="V46" ca="1">IF(INDEX(OFFSET(tblCountries!$T$3:$T$52,0,V$11,120,1),$A46)=0,"",$E46)</f>
        <v/>
      </c>
      <c r="W46" t="str" cm="1">
        <f t="array" aca="1" ref="W46" ca="1">IF(INDEX(OFFSET(tblCountries!$T$3:$T$52,0,W$11,120,1),$A46)=0,"",$E46)</f>
        <v/>
      </c>
      <c r="X46" t="str" cm="1">
        <f t="array" aca="1" ref="X46" ca="1">IF(INDEX(OFFSET(tblCountries!$T$3:$T$52,0,X$11,120,1),$A46)=0,"",$E46)</f>
        <v/>
      </c>
      <c r="Y46" t="str" cm="1">
        <f t="array" aca="1" ref="Y46" ca="1">IF(INDEX(OFFSET(tblCountries!$T$3:$T$52,0,Y$11,120,1),$A46)=0,"",$E46)</f>
        <v/>
      </c>
      <c r="Z46" t="str" cm="1">
        <f t="array" aca="1" ref="Z46" ca="1">IF(AND($C$3=1,NOT(ISNUMBER(INDEX(auto_DataFlat_DataValue,$AA46,$B$4)))),"EXCLUDE","")</f>
        <v/>
      </c>
      <c r="AA46" cm="1">
        <f t="array" aca="1" ref="AA46" ca="1">INDEX(sys_DataFlat_LU_Grid,$B$3,$A46)</f>
        <v>94</v>
      </c>
      <c r="AB46" cm="1">
        <f t="array" aca="1" ref="AB46" ca="1">IF(Z46="EXCLUDE","n/a",IF($B$7="DATA",INDEX(auto_DataFlat_DataValue,$AA46,$B$4),INDEX(auto_DataFlat_Score,$AA46,$B$4)))</f>
        <v>86.8</v>
      </c>
      <c r="AC46" t="str" cm="1">
        <f t="array" aca="1" ref="AC46" ca="1">IF(INDEX(OFFSET(tblCountries!$T$3:$T$52,0,AC$11,120,1),$A46)=0,"",$AB46)</f>
        <v/>
      </c>
      <c r="AD46" cm="1">
        <f t="array" aca="1" ref="AD46" ca="1">IF(INDEX(OFFSET(tblCountries!$T$3:$T$52,0,AD$11,120,1),$A46)=0,"",$AB46)</f>
        <v>86.8</v>
      </c>
      <c r="AE46" t="str" cm="1">
        <f t="array" aca="1" ref="AE46" ca="1">IF(INDEX(OFFSET(tblCountries!$T$3:$T$52,0,AE$11,120,1),$A46)=0,"",$AB46)</f>
        <v/>
      </c>
      <c r="AF46" t="str" cm="1">
        <f t="array" aca="1" ref="AF46" ca="1">IF(INDEX(OFFSET(tblCountries!$T$3:$T$52,0,AF$11,120,1),$A46)=0,"",$AB46)</f>
        <v/>
      </c>
      <c r="AG46" t="str" cm="1">
        <f t="array" aca="1" ref="AG46" ca="1">IF(INDEX(OFFSET(tblCountries!$T$3:$T$52,0,AG$11,120,1),$A46)=0,"",$AB46)</f>
        <v/>
      </c>
      <c r="AH46" t="str" cm="1">
        <f t="array" aca="1" ref="AH46" ca="1">IF(INDEX(OFFSET(tblCountries!$T$3:$T$52,0,AH$11,120,1),$A46)=0,"",$AB46)</f>
        <v/>
      </c>
      <c r="AI46" t="str" cm="1">
        <f t="array" aca="1" ref="AI46" ca="1">IF(INDEX(OFFSET(tblCountries!$T$3:$T$52,0,AI$11,120,1),$A46)=0,"",$AB46)</f>
        <v/>
      </c>
      <c r="AJ46" t="str" cm="1">
        <f t="array" aca="1" ref="AJ46" ca="1">IF(INDEX(OFFSET(tblCountries!$T$3:$T$52,0,AJ$11,120,1),$A46)=0,"",$AB46)</f>
        <v/>
      </c>
      <c r="AK46" cm="1">
        <f t="array" aca="1" ref="AK46" ca="1">IF(INDEX(OFFSET(tblCountries!$T$3:$T$52,0,AK$11,120,1),$A46)=0,"",$AB46)</f>
        <v>86.8</v>
      </c>
      <c r="AL46" t="str" cm="1">
        <f t="array" aca="1" ref="AL46" ca="1">IF(INDEX(OFFSET(tblCountries!$T$3:$T$52,0,AL$11,120,1),$A46)=0,"",$AB46)</f>
        <v/>
      </c>
      <c r="AM46" t="str" cm="1">
        <f t="array" aca="1" ref="AM46" ca="1">IF(INDEX(OFFSET(tblCountries!$T$3:$T$52,0,AM$11,120,1),$A46)=0,"",$AB46)</f>
        <v/>
      </c>
      <c r="AN46" t="str" cm="1">
        <f t="array" aca="1" ref="AN46" ca="1">IF(INDEX(OFFSET(tblCountries!$T$3:$T$52,0,AN$11,120,1),$A46)=0,"",$AB46)</f>
        <v/>
      </c>
      <c r="AO46" t="str" cm="1">
        <f t="array" aca="1" ref="AO46" ca="1">IF(INDEX(OFFSET(tblCountries!$T$3:$T$52,0,AO$11,120,1),$A46)=0,"",$AB46)</f>
        <v/>
      </c>
      <c r="AP46" t="str" cm="1">
        <f t="array" aca="1" ref="AP46" ca="1">IF(INDEX(OFFSET(tblCountries!$T$3:$T$52,0,AP$11,120,1),$A46)=0,"",$AB46)</f>
        <v/>
      </c>
      <c r="AQ46" t="str" cm="1">
        <f t="array" aca="1" ref="AQ46" ca="1">IF(INDEX(OFFSET(tblCountries!$T$3:$T$52,0,AQ$11,120,1),$A46)=0,"",$AB46)</f>
        <v/>
      </c>
      <c r="AR46" t="str" cm="1">
        <f t="array" aca="1" ref="AR46" ca="1">IF(INDEX(OFFSET(tblCountries!$T$3:$T$52,0,AR$11,120,1),$A46)=0,"",$AB46)</f>
        <v/>
      </c>
      <c r="AS46" t="str" cm="1">
        <f t="array" aca="1" ref="AS46" ca="1">IF(INDEX(OFFSET(tblCountries!$T$3:$T$52,0,AS$11,120,1),$A46)=0,"",$AB46)</f>
        <v/>
      </c>
      <c r="AT46" t="str" cm="1">
        <f t="array" aca="1" ref="AT46" ca="1">IF(INDEX(OFFSET(tblCountries!$T$3:$T$52,0,AT$11,120,1),$A46)=0,"",$AB46)</f>
        <v/>
      </c>
      <c r="AU46" t="str" cm="1">
        <f t="array" aca="1" ref="AU46" ca="1">IF(INDEX(OFFSET(tblCountries!$T$3:$T$52,0,AU$11,120,1),$A46)=0,"",$AB46)</f>
        <v/>
      </c>
      <c r="AV46" t="str" cm="1">
        <f t="array" aca="1" ref="AV46" ca="1">IF(INDEX(OFFSET(tblCountries!$T$3:$T$52,0,AV$11,120,1),$A46)=0,"",$AB46)</f>
        <v/>
      </c>
      <c r="AZ46">
        <f t="shared" ca="1" si="9"/>
        <v>1</v>
      </c>
      <c r="BA46">
        <f t="shared" ca="1" si="10"/>
        <v>0</v>
      </c>
      <c r="BB46">
        <f t="shared" ca="1" si="11"/>
        <v>1</v>
      </c>
      <c r="BC46">
        <f t="shared" ca="1" si="12"/>
        <v>0</v>
      </c>
      <c r="BD46">
        <f t="shared" ca="1" si="13"/>
        <v>0</v>
      </c>
      <c r="BE46">
        <f t="shared" ca="1" si="14"/>
        <v>0</v>
      </c>
      <c r="BF46">
        <f t="shared" ca="1" si="15"/>
        <v>0</v>
      </c>
      <c r="BG46">
        <f t="shared" ca="1" si="16"/>
        <v>0</v>
      </c>
      <c r="BH46">
        <f t="shared" ca="1" si="17"/>
        <v>0</v>
      </c>
      <c r="BI46">
        <f t="shared" ca="1" si="18"/>
        <v>1</v>
      </c>
      <c r="BJ46">
        <f t="shared" ca="1" si="19"/>
        <v>0</v>
      </c>
    </row>
    <row r="47" spans="1:62" x14ac:dyDescent="0.4">
      <c r="A47">
        <v>35</v>
      </c>
      <c r="B47" t="str">
        <f>tblCountries!H37</f>
        <v>Osaka, Japan</v>
      </c>
      <c r="C47" t="str" cm="1">
        <f t="array" aca="1" ref="C47" ca="1">IF(AND($C$2=1,NOT(ISNUMBER(INDEX(auto_DataFlat_DataValue,$D47,$B$4)))),"EXCLUDE","")</f>
        <v/>
      </c>
      <c r="D47" cm="1">
        <f t="array" aca="1" ref="D47" ca="1">INDEX(sys_DataFlat_LU_Grid,$B$2,$A47)</f>
        <v>35</v>
      </c>
      <c r="E47" cm="1">
        <f t="array" aca="1" ref="E47" ca="1">IF(C47="EXCLUDE","n/a",IF($B$6="DATA",INDEX(auto_DataFlat_DataValue,$D47,$B$4),INDEX(auto_DataFlat_Score,$D47,$B$4)))</f>
        <v>74.2</v>
      </c>
      <c r="F47" t="str" cm="1">
        <f t="array" aca="1" ref="F47" ca="1">IF(INDEX(OFFSET(tblCountries!$T$3:$T$52,0,F$11,120,1),$A47)=0,"",$E47)</f>
        <v/>
      </c>
      <c r="G47" t="str" cm="1">
        <f t="array" aca="1" ref="G47" ca="1">IF(INDEX(OFFSET(tblCountries!$T$3:$T$52,0,G$11,120,1),$A47)=0,"",$E47)</f>
        <v/>
      </c>
      <c r="H47" t="str" cm="1">
        <f t="array" aca="1" ref="H47" ca="1">IF(INDEX(OFFSET(tblCountries!$T$3:$T$52,0,H$11,120,1),$A47)=0,"",$E47)</f>
        <v/>
      </c>
      <c r="I47" t="str" cm="1">
        <f t="array" aca="1" ref="I47" ca="1">IF(INDEX(OFFSET(tblCountries!$T$3:$T$52,0,I$11,120,1),$A47)=0,"",$E47)</f>
        <v/>
      </c>
      <c r="J47" t="str" cm="1">
        <f t="array" aca="1" ref="J47" ca="1">IF(INDEX(OFFSET(tblCountries!$T$3:$T$52,0,J$11,120,1),$A47)=0,"",$E47)</f>
        <v/>
      </c>
      <c r="K47" cm="1">
        <f t="array" aca="1" ref="K47" ca="1">IF(INDEX(OFFSET(tblCountries!$T$3:$T$52,0,K$11,120,1),$A47)=0,"",$E47)</f>
        <v>74.2</v>
      </c>
      <c r="L47" t="str" cm="1">
        <f t="array" aca="1" ref="L47" ca="1">IF(INDEX(OFFSET(tblCountries!$T$3:$T$52,0,L$11,120,1),$A47)=0,"",$E47)</f>
        <v/>
      </c>
      <c r="M47" t="str" cm="1">
        <f t="array" aca="1" ref="M47" ca="1">IF(INDEX(OFFSET(tblCountries!$T$3:$T$52,0,M$11,120,1),$A47)=0,"",$E47)</f>
        <v/>
      </c>
      <c r="N47" cm="1">
        <f t="array" aca="1" ref="N47" ca="1">IF(INDEX(OFFSET(tblCountries!$T$3:$T$52,0,N$11,120,1),$A47)=0,"",$E47)</f>
        <v>74.2</v>
      </c>
      <c r="O47" t="str" cm="1">
        <f t="array" aca="1" ref="O47" ca="1">IF(INDEX(OFFSET(tblCountries!$T$3:$T$52,0,O$11,120,1),$A47)=0,"",$E47)</f>
        <v/>
      </c>
      <c r="P47" t="str" cm="1">
        <f t="array" aca="1" ref="P47" ca="1">IF(INDEX(OFFSET(tblCountries!$T$3:$T$52,0,P$11,120,1),$A47)=0,"",$E47)</f>
        <v/>
      </c>
      <c r="Q47" t="str" cm="1">
        <f t="array" aca="1" ref="Q47" ca="1">IF(INDEX(OFFSET(tblCountries!$T$3:$T$52,0,Q$11,120,1),$A47)=0,"",$E47)</f>
        <v/>
      </c>
      <c r="R47" t="str" cm="1">
        <f t="array" aca="1" ref="R47" ca="1">IF(INDEX(OFFSET(tblCountries!$T$3:$T$52,0,R$11,120,1),$A47)=0,"",$E47)</f>
        <v/>
      </c>
      <c r="S47" t="str" cm="1">
        <f t="array" aca="1" ref="S47" ca="1">IF(INDEX(OFFSET(tblCountries!$T$3:$T$52,0,S$11,120,1),$A47)=0,"",$E47)</f>
        <v/>
      </c>
      <c r="T47" t="str" cm="1">
        <f t="array" aca="1" ref="T47" ca="1">IF(INDEX(OFFSET(tblCountries!$T$3:$T$52,0,T$11,120,1),$A47)=0,"",$E47)</f>
        <v/>
      </c>
      <c r="U47" t="str" cm="1">
        <f t="array" aca="1" ref="U47" ca="1">IF(INDEX(OFFSET(tblCountries!$T$3:$T$52,0,U$11,120,1),$A47)=0,"",$E47)</f>
        <v/>
      </c>
      <c r="V47" t="str" cm="1">
        <f t="array" aca="1" ref="V47" ca="1">IF(INDEX(OFFSET(tblCountries!$T$3:$T$52,0,V$11,120,1),$A47)=0,"",$E47)</f>
        <v/>
      </c>
      <c r="W47" t="str" cm="1">
        <f t="array" aca="1" ref="W47" ca="1">IF(INDEX(OFFSET(tblCountries!$T$3:$T$52,0,W$11,120,1),$A47)=0,"",$E47)</f>
        <v/>
      </c>
      <c r="X47" t="str" cm="1">
        <f t="array" aca="1" ref="X47" ca="1">IF(INDEX(OFFSET(tblCountries!$T$3:$T$52,0,X$11,120,1),$A47)=0,"",$E47)</f>
        <v/>
      </c>
      <c r="Y47" t="str" cm="1">
        <f t="array" aca="1" ref="Y47" ca="1">IF(INDEX(OFFSET(tblCountries!$T$3:$T$52,0,Y$11,120,1),$A47)=0,"",$E47)</f>
        <v/>
      </c>
      <c r="Z47" t="str" cm="1">
        <f t="array" aca="1" ref="Z47" ca="1">IF(AND($C$3=1,NOT(ISNUMBER(INDEX(auto_DataFlat_DataValue,$AA47,$B$4)))),"EXCLUDE","")</f>
        <v/>
      </c>
      <c r="AA47" cm="1">
        <f t="array" aca="1" ref="AA47" ca="1">INDEX(sys_DataFlat_LU_Grid,$B$3,$A47)</f>
        <v>95</v>
      </c>
      <c r="AB47" cm="1">
        <f t="array" aca="1" ref="AB47" ca="1">IF(Z47="EXCLUDE","n/a",IF($B$7="DATA",INDEX(auto_DataFlat_DataValue,$AA47,$B$4),INDEX(auto_DataFlat_Score,$AA47,$B$4)))</f>
        <v>84.2</v>
      </c>
      <c r="AC47" t="str" cm="1">
        <f t="array" aca="1" ref="AC47" ca="1">IF(INDEX(OFFSET(tblCountries!$T$3:$T$52,0,AC$11,120,1),$A47)=0,"",$AB47)</f>
        <v/>
      </c>
      <c r="AD47" t="str" cm="1">
        <f t="array" aca="1" ref="AD47" ca="1">IF(INDEX(OFFSET(tblCountries!$T$3:$T$52,0,AD$11,120,1),$A47)=0,"",$AB47)</f>
        <v/>
      </c>
      <c r="AE47" t="str" cm="1">
        <f t="array" aca="1" ref="AE47" ca="1">IF(INDEX(OFFSET(tblCountries!$T$3:$T$52,0,AE$11,120,1),$A47)=0,"",$AB47)</f>
        <v/>
      </c>
      <c r="AF47" t="str" cm="1">
        <f t="array" aca="1" ref="AF47" ca="1">IF(INDEX(OFFSET(tblCountries!$T$3:$T$52,0,AF$11,120,1),$A47)=0,"",$AB47)</f>
        <v/>
      </c>
      <c r="AG47" t="str" cm="1">
        <f t="array" aca="1" ref="AG47" ca="1">IF(INDEX(OFFSET(tblCountries!$T$3:$T$52,0,AG$11,120,1),$A47)=0,"",$AB47)</f>
        <v/>
      </c>
      <c r="AH47" cm="1">
        <f t="array" aca="1" ref="AH47" ca="1">IF(INDEX(OFFSET(tblCountries!$T$3:$T$52,0,AH$11,120,1),$A47)=0,"",$AB47)</f>
        <v>84.2</v>
      </c>
      <c r="AI47" t="str" cm="1">
        <f t="array" aca="1" ref="AI47" ca="1">IF(INDEX(OFFSET(tblCountries!$T$3:$T$52,0,AI$11,120,1),$A47)=0,"",$AB47)</f>
        <v/>
      </c>
      <c r="AJ47" t="str" cm="1">
        <f t="array" aca="1" ref="AJ47" ca="1">IF(INDEX(OFFSET(tblCountries!$T$3:$T$52,0,AJ$11,120,1),$A47)=0,"",$AB47)</f>
        <v/>
      </c>
      <c r="AK47" cm="1">
        <f t="array" aca="1" ref="AK47" ca="1">IF(INDEX(OFFSET(tblCountries!$T$3:$T$52,0,AK$11,120,1),$A47)=0,"",$AB47)</f>
        <v>84.2</v>
      </c>
      <c r="AL47" t="str" cm="1">
        <f t="array" aca="1" ref="AL47" ca="1">IF(INDEX(OFFSET(tblCountries!$T$3:$T$52,0,AL$11,120,1),$A47)=0,"",$AB47)</f>
        <v/>
      </c>
      <c r="AM47" t="str" cm="1">
        <f t="array" aca="1" ref="AM47" ca="1">IF(INDEX(OFFSET(tblCountries!$T$3:$T$52,0,AM$11,120,1),$A47)=0,"",$AB47)</f>
        <v/>
      </c>
      <c r="AN47" t="str" cm="1">
        <f t="array" aca="1" ref="AN47" ca="1">IF(INDEX(OFFSET(tblCountries!$T$3:$T$52,0,AN$11,120,1),$A47)=0,"",$AB47)</f>
        <v/>
      </c>
      <c r="AO47" t="str" cm="1">
        <f t="array" aca="1" ref="AO47" ca="1">IF(INDEX(OFFSET(tblCountries!$T$3:$T$52,0,AO$11,120,1),$A47)=0,"",$AB47)</f>
        <v/>
      </c>
      <c r="AP47" t="str" cm="1">
        <f t="array" aca="1" ref="AP47" ca="1">IF(INDEX(OFFSET(tblCountries!$T$3:$T$52,0,AP$11,120,1),$A47)=0,"",$AB47)</f>
        <v/>
      </c>
      <c r="AQ47" t="str" cm="1">
        <f t="array" aca="1" ref="AQ47" ca="1">IF(INDEX(OFFSET(tblCountries!$T$3:$T$52,0,AQ$11,120,1),$A47)=0,"",$AB47)</f>
        <v/>
      </c>
      <c r="AR47" t="str" cm="1">
        <f t="array" aca="1" ref="AR47" ca="1">IF(INDEX(OFFSET(tblCountries!$T$3:$T$52,0,AR$11,120,1),$A47)=0,"",$AB47)</f>
        <v/>
      </c>
      <c r="AS47" t="str" cm="1">
        <f t="array" aca="1" ref="AS47" ca="1">IF(INDEX(OFFSET(tblCountries!$T$3:$T$52,0,AS$11,120,1),$A47)=0,"",$AB47)</f>
        <v/>
      </c>
      <c r="AT47" t="str" cm="1">
        <f t="array" aca="1" ref="AT47" ca="1">IF(INDEX(OFFSET(tblCountries!$T$3:$T$52,0,AT$11,120,1),$A47)=0,"",$AB47)</f>
        <v/>
      </c>
      <c r="AU47" t="str" cm="1">
        <f t="array" aca="1" ref="AU47" ca="1">IF(INDEX(OFFSET(tblCountries!$T$3:$T$52,0,AU$11,120,1),$A47)=0,"",$AB47)</f>
        <v/>
      </c>
      <c r="AV47" t="str" cm="1">
        <f t="array" aca="1" ref="AV47" ca="1">IF(INDEX(OFFSET(tblCountries!$T$3:$T$52,0,AV$11,120,1),$A47)=0,"",$AB47)</f>
        <v/>
      </c>
      <c r="AZ47">
        <f t="shared" ca="1" si="9"/>
        <v>1</v>
      </c>
      <c r="BA47">
        <f t="shared" ca="1" si="10"/>
        <v>0</v>
      </c>
      <c r="BB47">
        <f t="shared" ca="1" si="11"/>
        <v>0</v>
      </c>
      <c r="BC47">
        <f t="shared" ca="1" si="12"/>
        <v>0</v>
      </c>
      <c r="BD47">
        <f t="shared" ca="1" si="13"/>
        <v>0</v>
      </c>
      <c r="BE47">
        <f t="shared" ca="1" si="14"/>
        <v>0</v>
      </c>
      <c r="BF47">
        <f t="shared" ca="1" si="15"/>
        <v>1</v>
      </c>
      <c r="BG47">
        <f t="shared" ca="1" si="16"/>
        <v>0</v>
      </c>
      <c r="BH47">
        <f t="shared" ca="1" si="17"/>
        <v>0</v>
      </c>
      <c r="BI47">
        <f t="shared" ca="1" si="18"/>
        <v>1</v>
      </c>
      <c r="BJ47">
        <f t="shared" ca="1" si="19"/>
        <v>0</v>
      </c>
    </row>
    <row r="48" spans="1:62" x14ac:dyDescent="0.4">
      <c r="A48">
        <v>36</v>
      </c>
      <c r="B48" t="str">
        <f>tblCountries!H38</f>
        <v>Paris, France</v>
      </c>
      <c r="C48" t="str" cm="1">
        <f t="array" aca="1" ref="C48" ca="1">IF(AND($C$2=1,NOT(ISNUMBER(INDEX(auto_DataFlat_DataValue,$D48,$B$4)))),"EXCLUDE","")</f>
        <v/>
      </c>
      <c r="D48" cm="1">
        <f t="array" aca="1" ref="D48" ca="1">INDEX(sys_DataFlat_LU_Grid,$B$2,$A48)</f>
        <v>36</v>
      </c>
      <c r="E48" cm="1">
        <f t="array" aca="1" ref="E48" ca="1">IF(C48="EXCLUDE","n/a",IF($B$6="DATA",INDEX(auto_DataFlat_DataValue,$D48,$B$4),INDEX(auto_DataFlat_Score,$D48,$B$4)))</f>
        <v>64.5</v>
      </c>
      <c r="F48" t="str" cm="1">
        <f t="array" aca="1" ref="F48" ca="1">IF(INDEX(OFFSET(tblCountries!$T$3:$T$52,0,F$11,120,1),$A48)=0,"",$E48)</f>
        <v/>
      </c>
      <c r="G48" t="str" cm="1">
        <f t="array" aca="1" ref="G48" ca="1">IF(INDEX(OFFSET(tblCountries!$T$3:$T$52,0,G$11,120,1),$A48)=0,"",$E48)</f>
        <v/>
      </c>
      <c r="H48" t="str" cm="1">
        <f t="array" aca="1" ref="H48" ca="1">IF(INDEX(OFFSET(tblCountries!$T$3:$T$52,0,H$11,120,1),$A48)=0,"",$E48)</f>
        <v/>
      </c>
      <c r="I48" cm="1">
        <f t="array" aca="1" ref="I48" ca="1">IF(INDEX(OFFSET(tblCountries!$T$3:$T$52,0,I$11,120,1),$A48)=0,"",$E48)</f>
        <v>64.5</v>
      </c>
      <c r="J48" t="str" cm="1">
        <f t="array" aca="1" ref="J48" ca="1">IF(INDEX(OFFSET(tblCountries!$T$3:$T$52,0,J$11,120,1),$A48)=0,"",$E48)</f>
        <v/>
      </c>
      <c r="K48" t="str" cm="1">
        <f t="array" aca="1" ref="K48" ca="1">IF(INDEX(OFFSET(tblCountries!$T$3:$T$52,0,K$11,120,1),$A48)=0,"",$E48)</f>
        <v/>
      </c>
      <c r="L48" t="str" cm="1">
        <f t="array" aca="1" ref="L48" ca="1">IF(INDEX(OFFSET(tblCountries!$T$3:$T$52,0,L$11,120,1),$A48)=0,"",$E48)</f>
        <v/>
      </c>
      <c r="M48" t="str" cm="1">
        <f t="array" aca="1" ref="M48" ca="1">IF(INDEX(OFFSET(tblCountries!$T$3:$T$52,0,M$11,120,1),$A48)=0,"",$E48)</f>
        <v/>
      </c>
      <c r="N48" cm="1">
        <f t="array" aca="1" ref="N48" ca="1">IF(INDEX(OFFSET(tblCountries!$T$3:$T$52,0,N$11,120,1),$A48)=0,"",$E48)</f>
        <v>64.5</v>
      </c>
      <c r="O48" t="str" cm="1">
        <f t="array" aca="1" ref="O48" ca="1">IF(INDEX(OFFSET(tblCountries!$T$3:$T$52,0,O$11,120,1),$A48)=0,"",$E48)</f>
        <v/>
      </c>
      <c r="P48" t="str" cm="1">
        <f t="array" aca="1" ref="P48" ca="1">IF(INDEX(OFFSET(tblCountries!$T$3:$T$52,0,P$11,120,1),$A48)=0,"",$E48)</f>
        <v/>
      </c>
      <c r="Q48" t="str" cm="1">
        <f t="array" aca="1" ref="Q48" ca="1">IF(INDEX(OFFSET(tblCountries!$T$3:$T$52,0,Q$11,120,1),$A48)=0,"",$E48)</f>
        <v/>
      </c>
      <c r="R48" t="str" cm="1">
        <f t="array" aca="1" ref="R48" ca="1">IF(INDEX(OFFSET(tblCountries!$T$3:$T$52,0,R$11,120,1),$A48)=0,"",$E48)</f>
        <v/>
      </c>
      <c r="S48" t="str" cm="1">
        <f t="array" aca="1" ref="S48" ca="1">IF(INDEX(OFFSET(tblCountries!$T$3:$T$52,0,S$11,120,1),$A48)=0,"",$E48)</f>
        <v/>
      </c>
      <c r="T48" t="str" cm="1">
        <f t="array" aca="1" ref="T48" ca="1">IF(INDEX(OFFSET(tblCountries!$T$3:$T$52,0,T$11,120,1),$A48)=0,"",$E48)</f>
        <v/>
      </c>
      <c r="U48" t="str" cm="1">
        <f t="array" aca="1" ref="U48" ca="1">IF(INDEX(OFFSET(tblCountries!$T$3:$T$52,0,U$11,120,1),$A48)=0,"",$E48)</f>
        <v/>
      </c>
      <c r="V48" t="str" cm="1">
        <f t="array" aca="1" ref="V48" ca="1">IF(INDEX(OFFSET(tblCountries!$T$3:$T$52,0,V$11,120,1),$A48)=0,"",$E48)</f>
        <v/>
      </c>
      <c r="W48" t="str" cm="1">
        <f t="array" aca="1" ref="W48" ca="1">IF(INDEX(OFFSET(tblCountries!$T$3:$T$52,0,W$11,120,1),$A48)=0,"",$E48)</f>
        <v/>
      </c>
      <c r="X48" t="str" cm="1">
        <f t="array" aca="1" ref="X48" ca="1">IF(INDEX(OFFSET(tblCountries!$T$3:$T$52,0,X$11,120,1),$A48)=0,"",$E48)</f>
        <v/>
      </c>
      <c r="Y48" t="str" cm="1">
        <f t="array" aca="1" ref="Y48" ca="1">IF(INDEX(OFFSET(tblCountries!$T$3:$T$52,0,Y$11,120,1),$A48)=0,"",$E48)</f>
        <v/>
      </c>
      <c r="Z48" t="str" cm="1">
        <f t="array" aca="1" ref="Z48" ca="1">IF(AND($C$3=1,NOT(ISNUMBER(INDEX(auto_DataFlat_DataValue,$AA48,$B$4)))),"EXCLUDE","")</f>
        <v/>
      </c>
      <c r="AA48" cm="1">
        <f t="array" aca="1" ref="AA48" ca="1">INDEX(sys_DataFlat_LU_Grid,$B$3,$A48)</f>
        <v>96</v>
      </c>
      <c r="AB48" cm="1">
        <f t="array" aca="1" ref="AB48" ca="1">IF(Z48="EXCLUDE","n/a",IF($B$7="DATA",INDEX(auto_DataFlat_DataValue,$AA48,$B$4),INDEX(auto_DataFlat_Score,$AA48,$B$4)))</f>
        <v>84</v>
      </c>
      <c r="AC48" t="str" cm="1">
        <f t="array" aca="1" ref="AC48" ca="1">IF(INDEX(OFFSET(tblCountries!$T$3:$T$52,0,AC$11,120,1),$A48)=0,"",$AB48)</f>
        <v/>
      </c>
      <c r="AD48" t="str" cm="1">
        <f t="array" aca="1" ref="AD48" ca="1">IF(INDEX(OFFSET(tblCountries!$T$3:$T$52,0,AD$11,120,1),$A48)=0,"",$AB48)</f>
        <v/>
      </c>
      <c r="AE48" t="str" cm="1">
        <f t="array" aca="1" ref="AE48" ca="1">IF(INDEX(OFFSET(tblCountries!$T$3:$T$52,0,AE$11,120,1),$A48)=0,"",$AB48)</f>
        <v/>
      </c>
      <c r="AF48" cm="1">
        <f t="array" aca="1" ref="AF48" ca="1">IF(INDEX(OFFSET(tblCountries!$T$3:$T$52,0,AF$11,120,1),$A48)=0,"",$AB48)</f>
        <v>84</v>
      </c>
      <c r="AG48" t="str" cm="1">
        <f t="array" aca="1" ref="AG48" ca="1">IF(INDEX(OFFSET(tblCountries!$T$3:$T$52,0,AG$11,120,1),$A48)=0,"",$AB48)</f>
        <v/>
      </c>
      <c r="AH48" t="str" cm="1">
        <f t="array" aca="1" ref="AH48" ca="1">IF(INDEX(OFFSET(tblCountries!$T$3:$T$52,0,AH$11,120,1),$A48)=0,"",$AB48)</f>
        <v/>
      </c>
      <c r="AI48" t="str" cm="1">
        <f t="array" aca="1" ref="AI48" ca="1">IF(INDEX(OFFSET(tblCountries!$T$3:$T$52,0,AI$11,120,1),$A48)=0,"",$AB48)</f>
        <v/>
      </c>
      <c r="AJ48" t="str" cm="1">
        <f t="array" aca="1" ref="AJ48" ca="1">IF(INDEX(OFFSET(tblCountries!$T$3:$T$52,0,AJ$11,120,1),$A48)=0,"",$AB48)</f>
        <v/>
      </c>
      <c r="AK48" cm="1">
        <f t="array" aca="1" ref="AK48" ca="1">IF(INDEX(OFFSET(tblCountries!$T$3:$T$52,0,AK$11,120,1),$A48)=0,"",$AB48)</f>
        <v>84</v>
      </c>
      <c r="AL48" t="str" cm="1">
        <f t="array" aca="1" ref="AL48" ca="1">IF(INDEX(OFFSET(tblCountries!$T$3:$T$52,0,AL$11,120,1),$A48)=0,"",$AB48)</f>
        <v/>
      </c>
      <c r="AM48" t="str" cm="1">
        <f t="array" aca="1" ref="AM48" ca="1">IF(INDEX(OFFSET(tblCountries!$T$3:$T$52,0,AM$11,120,1),$A48)=0,"",$AB48)</f>
        <v/>
      </c>
      <c r="AN48" t="str" cm="1">
        <f t="array" aca="1" ref="AN48" ca="1">IF(INDEX(OFFSET(tblCountries!$T$3:$T$52,0,AN$11,120,1),$A48)=0,"",$AB48)</f>
        <v/>
      </c>
      <c r="AO48" t="str" cm="1">
        <f t="array" aca="1" ref="AO48" ca="1">IF(INDEX(OFFSET(tblCountries!$T$3:$T$52,0,AO$11,120,1),$A48)=0,"",$AB48)</f>
        <v/>
      </c>
      <c r="AP48" t="str" cm="1">
        <f t="array" aca="1" ref="AP48" ca="1">IF(INDEX(OFFSET(tblCountries!$T$3:$T$52,0,AP$11,120,1),$A48)=0,"",$AB48)</f>
        <v/>
      </c>
      <c r="AQ48" t="str" cm="1">
        <f t="array" aca="1" ref="AQ48" ca="1">IF(INDEX(OFFSET(tblCountries!$T$3:$T$52,0,AQ$11,120,1),$A48)=0,"",$AB48)</f>
        <v/>
      </c>
      <c r="AR48" t="str" cm="1">
        <f t="array" aca="1" ref="AR48" ca="1">IF(INDEX(OFFSET(tblCountries!$T$3:$T$52,0,AR$11,120,1),$A48)=0,"",$AB48)</f>
        <v/>
      </c>
      <c r="AS48" t="str" cm="1">
        <f t="array" aca="1" ref="AS48" ca="1">IF(INDEX(OFFSET(tblCountries!$T$3:$T$52,0,AS$11,120,1),$A48)=0,"",$AB48)</f>
        <v/>
      </c>
      <c r="AT48" t="str" cm="1">
        <f t="array" aca="1" ref="AT48" ca="1">IF(INDEX(OFFSET(tblCountries!$T$3:$T$52,0,AT$11,120,1),$A48)=0,"",$AB48)</f>
        <v/>
      </c>
      <c r="AU48" t="str" cm="1">
        <f t="array" aca="1" ref="AU48" ca="1">IF(INDEX(OFFSET(tblCountries!$T$3:$T$52,0,AU$11,120,1),$A48)=0,"",$AB48)</f>
        <v/>
      </c>
      <c r="AV48" t="str" cm="1">
        <f t="array" aca="1" ref="AV48" ca="1">IF(INDEX(OFFSET(tblCountries!$T$3:$T$52,0,AV$11,120,1),$A48)=0,"",$AB48)</f>
        <v/>
      </c>
      <c r="AZ48">
        <f t="shared" ca="1" si="9"/>
        <v>1</v>
      </c>
      <c r="BA48">
        <f t="shared" ca="1" si="10"/>
        <v>0</v>
      </c>
      <c r="BB48">
        <f t="shared" ca="1" si="11"/>
        <v>0</v>
      </c>
      <c r="BC48">
        <f t="shared" ca="1" si="12"/>
        <v>0</v>
      </c>
      <c r="BD48">
        <f t="shared" ca="1" si="13"/>
        <v>1</v>
      </c>
      <c r="BE48">
        <f t="shared" ca="1" si="14"/>
        <v>0</v>
      </c>
      <c r="BF48">
        <f t="shared" ca="1" si="15"/>
        <v>0</v>
      </c>
      <c r="BG48">
        <f t="shared" ca="1" si="16"/>
        <v>0</v>
      </c>
      <c r="BH48">
        <f t="shared" ca="1" si="17"/>
        <v>0</v>
      </c>
      <c r="BI48">
        <f t="shared" ca="1" si="18"/>
        <v>1</v>
      </c>
      <c r="BJ48">
        <f t="shared" ca="1" si="19"/>
        <v>0</v>
      </c>
    </row>
    <row r="49" spans="1:62" x14ac:dyDescent="0.4">
      <c r="A49">
        <v>37</v>
      </c>
      <c r="B49" t="str">
        <f>tblCountries!H39</f>
        <v>Phnom Penh, Cambodia</v>
      </c>
      <c r="C49" t="str" cm="1">
        <f t="array" aca="1" ref="C49" ca="1">IF(AND($C$2=1,NOT(ISNUMBER(INDEX(auto_DataFlat_DataValue,$D49,$B$4)))),"EXCLUDE","")</f>
        <v/>
      </c>
      <c r="D49" cm="1">
        <f t="array" aca="1" ref="D49" ca="1">INDEX(sys_DataFlat_LU_Grid,$B$2,$A49)</f>
        <v>37</v>
      </c>
      <c r="E49" cm="1">
        <f t="array" aca="1" ref="E49" ca="1">IF(C49="EXCLUDE","n/a",IF($B$6="DATA",INDEX(auto_DataFlat_DataValue,$D49,$B$4),INDEX(auto_DataFlat_Score,$D49,$B$4)))</f>
        <v>51.4</v>
      </c>
      <c r="F49" t="str" cm="1">
        <f t="array" aca="1" ref="F49" ca="1">IF(INDEX(OFFSET(tblCountries!$T$3:$T$52,0,F$11,120,1),$A49)=0,"",$E49)</f>
        <v/>
      </c>
      <c r="G49" t="str" cm="1">
        <f t="array" aca="1" ref="G49" ca="1">IF(INDEX(OFFSET(tblCountries!$T$3:$T$52,0,G$11,120,1),$A49)=0,"",$E49)</f>
        <v/>
      </c>
      <c r="H49" t="str" cm="1">
        <f t="array" aca="1" ref="H49" ca="1">IF(INDEX(OFFSET(tblCountries!$T$3:$T$52,0,H$11,120,1),$A49)=0,"",$E49)</f>
        <v/>
      </c>
      <c r="I49" t="str" cm="1">
        <f t="array" aca="1" ref="I49" ca="1">IF(INDEX(OFFSET(tblCountries!$T$3:$T$52,0,I$11,120,1),$A49)=0,"",$E49)</f>
        <v/>
      </c>
      <c r="J49" t="str" cm="1">
        <f t="array" aca="1" ref="J49" ca="1">IF(INDEX(OFFSET(tblCountries!$T$3:$T$52,0,J$11,120,1),$A49)=0,"",$E49)</f>
        <v/>
      </c>
      <c r="K49" cm="1">
        <f t="array" aca="1" ref="K49" ca="1">IF(INDEX(OFFSET(tblCountries!$T$3:$T$52,0,K$11,120,1),$A49)=0,"",$E49)</f>
        <v>51.4</v>
      </c>
      <c r="L49" cm="1">
        <f t="array" aca="1" ref="L49" ca="1">IF(INDEX(OFFSET(tblCountries!$T$3:$T$52,0,L$11,120,1),$A49)=0,"",$E49)</f>
        <v>51.4</v>
      </c>
      <c r="M49" t="str" cm="1">
        <f t="array" aca="1" ref="M49" ca="1">IF(INDEX(OFFSET(tblCountries!$T$3:$T$52,0,M$11,120,1),$A49)=0,"",$E49)</f>
        <v/>
      </c>
      <c r="N49" t="str" cm="1">
        <f t="array" aca="1" ref="N49" ca="1">IF(INDEX(OFFSET(tblCountries!$T$3:$T$52,0,N$11,120,1),$A49)=0,"",$E49)</f>
        <v/>
      </c>
      <c r="O49" t="str" cm="1">
        <f t="array" aca="1" ref="O49" ca="1">IF(INDEX(OFFSET(tblCountries!$T$3:$T$52,0,O$11,120,1),$A49)=0,"",$E49)</f>
        <v/>
      </c>
      <c r="P49" t="str" cm="1">
        <f t="array" aca="1" ref="P49" ca="1">IF(INDEX(OFFSET(tblCountries!$T$3:$T$52,0,P$11,120,1),$A49)=0,"",$E49)</f>
        <v/>
      </c>
      <c r="Q49" t="str" cm="1">
        <f t="array" aca="1" ref="Q49" ca="1">IF(INDEX(OFFSET(tblCountries!$T$3:$T$52,0,Q$11,120,1),$A49)=0,"",$E49)</f>
        <v/>
      </c>
      <c r="R49" t="str" cm="1">
        <f t="array" aca="1" ref="R49" ca="1">IF(INDEX(OFFSET(tblCountries!$T$3:$T$52,0,R$11,120,1),$A49)=0,"",$E49)</f>
        <v/>
      </c>
      <c r="S49" t="str" cm="1">
        <f t="array" aca="1" ref="S49" ca="1">IF(INDEX(OFFSET(tblCountries!$T$3:$T$52,0,S$11,120,1),$A49)=0,"",$E49)</f>
        <v/>
      </c>
      <c r="T49" t="str" cm="1">
        <f t="array" aca="1" ref="T49" ca="1">IF(INDEX(OFFSET(tblCountries!$T$3:$T$52,0,T$11,120,1),$A49)=0,"",$E49)</f>
        <v/>
      </c>
      <c r="U49" t="str" cm="1">
        <f t="array" aca="1" ref="U49" ca="1">IF(INDEX(OFFSET(tblCountries!$T$3:$T$52,0,U$11,120,1),$A49)=0,"",$E49)</f>
        <v/>
      </c>
      <c r="V49" t="str" cm="1">
        <f t="array" aca="1" ref="V49" ca="1">IF(INDEX(OFFSET(tblCountries!$T$3:$T$52,0,V$11,120,1),$A49)=0,"",$E49)</f>
        <v/>
      </c>
      <c r="W49" t="str" cm="1">
        <f t="array" aca="1" ref="W49" ca="1">IF(INDEX(OFFSET(tblCountries!$T$3:$T$52,0,W$11,120,1),$A49)=0,"",$E49)</f>
        <v/>
      </c>
      <c r="X49" t="str" cm="1">
        <f t="array" aca="1" ref="X49" ca="1">IF(INDEX(OFFSET(tblCountries!$T$3:$T$52,0,X$11,120,1),$A49)=0,"",$E49)</f>
        <v/>
      </c>
      <c r="Y49" t="str" cm="1">
        <f t="array" aca="1" ref="Y49" ca="1">IF(INDEX(OFFSET(tblCountries!$T$3:$T$52,0,Y$11,120,1),$A49)=0,"",$E49)</f>
        <v/>
      </c>
      <c r="Z49" t="str" cm="1">
        <f t="array" aca="1" ref="Z49" ca="1">IF(AND($C$3=1,NOT(ISNUMBER(INDEX(auto_DataFlat_DataValue,$AA49,$B$4)))),"EXCLUDE","")</f>
        <v/>
      </c>
      <c r="AA49" cm="1">
        <f t="array" aca="1" ref="AA49" ca="1">INDEX(sys_DataFlat_LU_Grid,$B$3,$A49)</f>
        <v>97</v>
      </c>
      <c r="AB49" cm="1">
        <f t="array" aca="1" ref="AB49" ca="1">IF(Z49="EXCLUDE","n/a",IF($B$7="DATA",INDEX(auto_DataFlat_DataValue,$AA49,$B$4),INDEX(auto_DataFlat_Score,$AA49,$B$4)))</f>
        <v>58.5</v>
      </c>
      <c r="AC49" t="str" cm="1">
        <f t="array" aca="1" ref="AC49" ca="1">IF(INDEX(OFFSET(tblCountries!$T$3:$T$52,0,AC$11,120,1),$A49)=0,"",$AB49)</f>
        <v/>
      </c>
      <c r="AD49" t="str" cm="1">
        <f t="array" aca="1" ref="AD49" ca="1">IF(INDEX(OFFSET(tblCountries!$T$3:$T$52,0,AD$11,120,1),$A49)=0,"",$AB49)</f>
        <v/>
      </c>
      <c r="AE49" t="str" cm="1">
        <f t="array" aca="1" ref="AE49" ca="1">IF(INDEX(OFFSET(tblCountries!$T$3:$T$52,0,AE$11,120,1),$A49)=0,"",$AB49)</f>
        <v/>
      </c>
      <c r="AF49" t="str" cm="1">
        <f t="array" aca="1" ref="AF49" ca="1">IF(INDEX(OFFSET(tblCountries!$T$3:$T$52,0,AF$11,120,1),$A49)=0,"",$AB49)</f>
        <v/>
      </c>
      <c r="AG49" t="str" cm="1">
        <f t="array" aca="1" ref="AG49" ca="1">IF(INDEX(OFFSET(tblCountries!$T$3:$T$52,0,AG$11,120,1),$A49)=0,"",$AB49)</f>
        <v/>
      </c>
      <c r="AH49" cm="1">
        <f t="array" aca="1" ref="AH49" ca="1">IF(INDEX(OFFSET(tblCountries!$T$3:$T$52,0,AH$11,120,1),$A49)=0,"",$AB49)</f>
        <v>58.5</v>
      </c>
      <c r="AI49" cm="1">
        <f t="array" aca="1" ref="AI49" ca="1">IF(INDEX(OFFSET(tblCountries!$T$3:$T$52,0,AI$11,120,1),$A49)=0,"",$AB49)</f>
        <v>58.5</v>
      </c>
      <c r="AJ49" t="str" cm="1">
        <f t="array" aca="1" ref="AJ49" ca="1">IF(INDEX(OFFSET(tblCountries!$T$3:$T$52,0,AJ$11,120,1),$A49)=0,"",$AB49)</f>
        <v/>
      </c>
      <c r="AK49" t="str" cm="1">
        <f t="array" aca="1" ref="AK49" ca="1">IF(INDEX(OFFSET(tblCountries!$T$3:$T$52,0,AK$11,120,1),$A49)=0,"",$AB49)</f>
        <v/>
      </c>
      <c r="AL49" t="str" cm="1">
        <f t="array" aca="1" ref="AL49" ca="1">IF(INDEX(OFFSET(tblCountries!$T$3:$T$52,0,AL$11,120,1),$A49)=0,"",$AB49)</f>
        <v/>
      </c>
      <c r="AM49" t="str" cm="1">
        <f t="array" aca="1" ref="AM49" ca="1">IF(INDEX(OFFSET(tblCountries!$T$3:$T$52,0,AM$11,120,1),$A49)=0,"",$AB49)</f>
        <v/>
      </c>
      <c r="AN49" t="str" cm="1">
        <f t="array" aca="1" ref="AN49" ca="1">IF(INDEX(OFFSET(tblCountries!$T$3:$T$52,0,AN$11,120,1),$A49)=0,"",$AB49)</f>
        <v/>
      </c>
      <c r="AO49" t="str" cm="1">
        <f t="array" aca="1" ref="AO49" ca="1">IF(INDEX(OFFSET(tblCountries!$T$3:$T$52,0,AO$11,120,1),$A49)=0,"",$AB49)</f>
        <v/>
      </c>
      <c r="AP49" t="str" cm="1">
        <f t="array" aca="1" ref="AP49" ca="1">IF(INDEX(OFFSET(tblCountries!$T$3:$T$52,0,AP$11,120,1),$A49)=0,"",$AB49)</f>
        <v/>
      </c>
      <c r="AQ49" t="str" cm="1">
        <f t="array" aca="1" ref="AQ49" ca="1">IF(INDEX(OFFSET(tblCountries!$T$3:$T$52,0,AQ$11,120,1),$A49)=0,"",$AB49)</f>
        <v/>
      </c>
      <c r="AR49" t="str" cm="1">
        <f t="array" aca="1" ref="AR49" ca="1">IF(INDEX(OFFSET(tblCountries!$T$3:$T$52,0,AR$11,120,1),$A49)=0,"",$AB49)</f>
        <v/>
      </c>
      <c r="AS49" t="str" cm="1">
        <f t="array" aca="1" ref="AS49" ca="1">IF(INDEX(OFFSET(tblCountries!$T$3:$T$52,0,AS$11,120,1),$A49)=0,"",$AB49)</f>
        <v/>
      </c>
      <c r="AT49" t="str" cm="1">
        <f t="array" aca="1" ref="AT49" ca="1">IF(INDEX(OFFSET(tblCountries!$T$3:$T$52,0,AT$11,120,1),$A49)=0,"",$AB49)</f>
        <v/>
      </c>
      <c r="AU49" t="str" cm="1">
        <f t="array" aca="1" ref="AU49" ca="1">IF(INDEX(OFFSET(tblCountries!$T$3:$T$52,0,AU$11,120,1),$A49)=0,"",$AB49)</f>
        <v/>
      </c>
      <c r="AV49" t="str" cm="1">
        <f t="array" aca="1" ref="AV49" ca="1">IF(INDEX(OFFSET(tblCountries!$T$3:$T$52,0,AV$11,120,1),$A49)=0,"",$AB49)</f>
        <v/>
      </c>
      <c r="AZ49">
        <f t="shared" ca="1" si="9"/>
        <v>1</v>
      </c>
      <c r="BA49">
        <f t="shared" ca="1" si="10"/>
        <v>0</v>
      </c>
      <c r="BB49">
        <f t="shared" ca="1" si="11"/>
        <v>0</v>
      </c>
      <c r="BC49">
        <f t="shared" ca="1" si="12"/>
        <v>0</v>
      </c>
      <c r="BD49">
        <f t="shared" ca="1" si="13"/>
        <v>0</v>
      </c>
      <c r="BE49">
        <f t="shared" ca="1" si="14"/>
        <v>0</v>
      </c>
      <c r="BF49">
        <f t="shared" ca="1" si="15"/>
        <v>1</v>
      </c>
      <c r="BG49">
        <f t="shared" ca="1" si="16"/>
        <v>1</v>
      </c>
      <c r="BH49">
        <f t="shared" ca="1" si="17"/>
        <v>0</v>
      </c>
      <c r="BI49">
        <f t="shared" ca="1" si="18"/>
        <v>0</v>
      </c>
      <c r="BJ49">
        <f t="shared" ca="1" si="19"/>
        <v>0</v>
      </c>
    </row>
    <row r="50" spans="1:62" x14ac:dyDescent="0.4">
      <c r="A50">
        <v>38</v>
      </c>
      <c r="B50" t="str">
        <f>tblCountries!H40</f>
        <v>Riyadh, Saudi Arabia</v>
      </c>
      <c r="C50" t="str" cm="1">
        <f t="array" aca="1" ref="C50" ca="1">IF(AND($C$2=1,NOT(ISNUMBER(INDEX(auto_DataFlat_DataValue,$D50,$B$4)))),"EXCLUDE","")</f>
        <v/>
      </c>
      <c r="D50" cm="1">
        <f t="array" aca="1" ref="D50" ca="1">INDEX(sys_DataFlat_LU_Grid,$B$2,$A50)</f>
        <v>38</v>
      </c>
      <c r="E50" cm="1">
        <f t="array" aca="1" ref="E50" ca="1">IF(C50="EXCLUDE","n/a",IF($B$6="DATA",INDEX(auto_DataFlat_DataValue,$D50,$B$4),INDEX(auto_DataFlat_Score,$D50,$B$4)))</f>
        <v>44.2</v>
      </c>
      <c r="F50" t="str" cm="1">
        <f t="array" aca="1" ref="F50" ca="1">IF(INDEX(OFFSET(tblCountries!$T$3:$T$52,0,F$11,120,1),$A50)=0,"",$E50)</f>
        <v/>
      </c>
      <c r="G50" t="str" cm="1">
        <f t="array" aca="1" ref="G50" ca="1">IF(INDEX(OFFSET(tblCountries!$T$3:$T$52,0,G$11,120,1),$A50)=0,"",$E50)</f>
        <v/>
      </c>
      <c r="H50" cm="1">
        <f t="array" aca="1" ref="H50" ca="1">IF(INDEX(OFFSET(tblCountries!$T$3:$T$52,0,H$11,120,1),$A50)=0,"",$E50)</f>
        <v>44.2</v>
      </c>
      <c r="I50" t="str" cm="1">
        <f t="array" aca="1" ref="I50" ca="1">IF(INDEX(OFFSET(tblCountries!$T$3:$T$52,0,I$11,120,1),$A50)=0,"",$E50)</f>
        <v/>
      </c>
      <c r="J50" t="str" cm="1">
        <f t="array" aca="1" ref="J50" ca="1">IF(INDEX(OFFSET(tblCountries!$T$3:$T$52,0,J$11,120,1),$A50)=0,"",$E50)</f>
        <v/>
      </c>
      <c r="K50" t="str" cm="1">
        <f t="array" aca="1" ref="K50" ca="1">IF(INDEX(OFFSET(tblCountries!$T$3:$T$52,0,K$11,120,1),$A50)=0,"",$E50)</f>
        <v/>
      </c>
      <c r="L50" t="str" cm="1">
        <f t="array" aca="1" ref="L50" ca="1">IF(INDEX(OFFSET(tblCountries!$T$3:$T$52,0,L$11,120,1),$A50)=0,"",$E50)</f>
        <v/>
      </c>
      <c r="M50" t="str" cm="1">
        <f t="array" aca="1" ref="M50" ca="1">IF(INDEX(OFFSET(tblCountries!$T$3:$T$52,0,M$11,120,1),$A50)=0,"",$E50)</f>
        <v/>
      </c>
      <c r="N50" cm="1">
        <f t="array" aca="1" ref="N50" ca="1">IF(INDEX(OFFSET(tblCountries!$T$3:$T$52,0,N$11,120,1),$A50)=0,"",$E50)</f>
        <v>44.2</v>
      </c>
      <c r="O50" t="str" cm="1">
        <f t="array" aca="1" ref="O50" ca="1">IF(INDEX(OFFSET(tblCountries!$T$3:$T$52,0,O$11,120,1),$A50)=0,"",$E50)</f>
        <v/>
      </c>
      <c r="P50" t="str" cm="1">
        <f t="array" aca="1" ref="P50" ca="1">IF(INDEX(OFFSET(tblCountries!$T$3:$T$52,0,P$11,120,1),$A50)=0,"",$E50)</f>
        <v/>
      </c>
      <c r="Q50" t="str" cm="1">
        <f t="array" aca="1" ref="Q50" ca="1">IF(INDEX(OFFSET(tblCountries!$T$3:$T$52,0,Q$11,120,1),$A50)=0,"",$E50)</f>
        <v/>
      </c>
      <c r="R50" t="str" cm="1">
        <f t="array" aca="1" ref="R50" ca="1">IF(INDEX(OFFSET(tblCountries!$T$3:$T$52,0,R$11,120,1),$A50)=0,"",$E50)</f>
        <v/>
      </c>
      <c r="S50" t="str" cm="1">
        <f t="array" aca="1" ref="S50" ca="1">IF(INDEX(OFFSET(tblCountries!$T$3:$T$52,0,S$11,120,1),$A50)=0,"",$E50)</f>
        <v/>
      </c>
      <c r="T50" t="str" cm="1">
        <f t="array" aca="1" ref="T50" ca="1">IF(INDEX(OFFSET(tblCountries!$T$3:$T$52,0,T$11,120,1),$A50)=0,"",$E50)</f>
        <v/>
      </c>
      <c r="U50" t="str" cm="1">
        <f t="array" aca="1" ref="U50" ca="1">IF(INDEX(OFFSET(tblCountries!$T$3:$T$52,0,U$11,120,1),$A50)=0,"",$E50)</f>
        <v/>
      </c>
      <c r="V50" t="str" cm="1">
        <f t="array" aca="1" ref="V50" ca="1">IF(INDEX(OFFSET(tblCountries!$T$3:$T$52,0,V$11,120,1),$A50)=0,"",$E50)</f>
        <v/>
      </c>
      <c r="W50" t="str" cm="1">
        <f t="array" aca="1" ref="W50" ca="1">IF(INDEX(OFFSET(tblCountries!$T$3:$T$52,0,W$11,120,1),$A50)=0,"",$E50)</f>
        <v/>
      </c>
      <c r="X50" t="str" cm="1">
        <f t="array" aca="1" ref="X50" ca="1">IF(INDEX(OFFSET(tblCountries!$T$3:$T$52,0,X$11,120,1),$A50)=0,"",$E50)</f>
        <v/>
      </c>
      <c r="Y50" t="str" cm="1">
        <f t="array" aca="1" ref="Y50" ca="1">IF(INDEX(OFFSET(tblCountries!$T$3:$T$52,0,Y$11,120,1),$A50)=0,"",$E50)</f>
        <v/>
      </c>
      <c r="Z50" t="str" cm="1">
        <f t="array" aca="1" ref="Z50" ca="1">IF(AND($C$3=1,NOT(ISNUMBER(INDEX(auto_DataFlat_DataValue,$AA50,$B$4)))),"EXCLUDE","")</f>
        <v/>
      </c>
      <c r="AA50" cm="1">
        <f t="array" aca="1" ref="AA50" ca="1">INDEX(sys_DataFlat_LU_Grid,$B$3,$A50)</f>
        <v>98</v>
      </c>
      <c r="AB50" cm="1">
        <f t="array" aca="1" ref="AB50" ca="1">IF(Z50="EXCLUDE","n/a",IF($B$7="DATA",INDEX(auto_DataFlat_DataValue,$AA50,$B$4),INDEX(auto_DataFlat_Score,$AA50,$B$4)))</f>
        <v>61</v>
      </c>
      <c r="AC50" t="str" cm="1">
        <f t="array" aca="1" ref="AC50" ca="1">IF(INDEX(OFFSET(tblCountries!$T$3:$T$52,0,AC$11,120,1),$A50)=0,"",$AB50)</f>
        <v/>
      </c>
      <c r="AD50" t="str" cm="1">
        <f t="array" aca="1" ref="AD50" ca="1">IF(INDEX(OFFSET(tblCountries!$T$3:$T$52,0,AD$11,120,1),$A50)=0,"",$AB50)</f>
        <v/>
      </c>
      <c r="AE50" cm="1">
        <f t="array" aca="1" ref="AE50" ca="1">IF(INDEX(OFFSET(tblCountries!$T$3:$T$52,0,AE$11,120,1),$A50)=0,"",$AB50)</f>
        <v>61</v>
      </c>
      <c r="AF50" t="str" cm="1">
        <f t="array" aca="1" ref="AF50" ca="1">IF(INDEX(OFFSET(tblCountries!$T$3:$T$52,0,AF$11,120,1),$A50)=0,"",$AB50)</f>
        <v/>
      </c>
      <c r="AG50" t="str" cm="1">
        <f t="array" aca="1" ref="AG50" ca="1">IF(INDEX(OFFSET(tblCountries!$T$3:$T$52,0,AG$11,120,1),$A50)=0,"",$AB50)</f>
        <v/>
      </c>
      <c r="AH50" t="str" cm="1">
        <f t="array" aca="1" ref="AH50" ca="1">IF(INDEX(OFFSET(tblCountries!$T$3:$T$52,0,AH$11,120,1),$A50)=0,"",$AB50)</f>
        <v/>
      </c>
      <c r="AI50" t="str" cm="1">
        <f t="array" aca="1" ref="AI50" ca="1">IF(INDEX(OFFSET(tblCountries!$T$3:$T$52,0,AI$11,120,1),$A50)=0,"",$AB50)</f>
        <v/>
      </c>
      <c r="AJ50" t="str" cm="1">
        <f t="array" aca="1" ref="AJ50" ca="1">IF(INDEX(OFFSET(tblCountries!$T$3:$T$52,0,AJ$11,120,1),$A50)=0,"",$AB50)</f>
        <v/>
      </c>
      <c r="AK50" cm="1">
        <f t="array" aca="1" ref="AK50" ca="1">IF(INDEX(OFFSET(tblCountries!$T$3:$T$52,0,AK$11,120,1),$A50)=0,"",$AB50)</f>
        <v>61</v>
      </c>
      <c r="AL50" t="str" cm="1">
        <f t="array" aca="1" ref="AL50" ca="1">IF(INDEX(OFFSET(tblCountries!$T$3:$T$52,0,AL$11,120,1),$A50)=0,"",$AB50)</f>
        <v/>
      </c>
      <c r="AM50" t="str" cm="1">
        <f t="array" aca="1" ref="AM50" ca="1">IF(INDEX(OFFSET(tblCountries!$T$3:$T$52,0,AM$11,120,1),$A50)=0,"",$AB50)</f>
        <v/>
      </c>
      <c r="AN50" t="str" cm="1">
        <f t="array" aca="1" ref="AN50" ca="1">IF(INDEX(OFFSET(tblCountries!$T$3:$T$52,0,AN$11,120,1),$A50)=0,"",$AB50)</f>
        <v/>
      </c>
      <c r="AO50" t="str" cm="1">
        <f t="array" aca="1" ref="AO50" ca="1">IF(INDEX(OFFSET(tblCountries!$T$3:$T$52,0,AO$11,120,1),$A50)=0,"",$AB50)</f>
        <v/>
      </c>
      <c r="AP50" t="str" cm="1">
        <f t="array" aca="1" ref="AP50" ca="1">IF(INDEX(OFFSET(tblCountries!$T$3:$T$52,0,AP$11,120,1),$A50)=0,"",$AB50)</f>
        <v/>
      </c>
      <c r="AQ50" t="str" cm="1">
        <f t="array" aca="1" ref="AQ50" ca="1">IF(INDEX(OFFSET(tblCountries!$T$3:$T$52,0,AQ$11,120,1),$A50)=0,"",$AB50)</f>
        <v/>
      </c>
      <c r="AR50" t="str" cm="1">
        <f t="array" aca="1" ref="AR50" ca="1">IF(INDEX(OFFSET(tblCountries!$T$3:$T$52,0,AR$11,120,1),$A50)=0,"",$AB50)</f>
        <v/>
      </c>
      <c r="AS50" t="str" cm="1">
        <f t="array" aca="1" ref="AS50" ca="1">IF(INDEX(OFFSET(tblCountries!$T$3:$T$52,0,AS$11,120,1),$A50)=0,"",$AB50)</f>
        <v/>
      </c>
      <c r="AT50" t="str" cm="1">
        <f t="array" aca="1" ref="AT50" ca="1">IF(INDEX(OFFSET(tblCountries!$T$3:$T$52,0,AT$11,120,1),$A50)=0,"",$AB50)</f>
        <v/>
      </c>
      <c r="AU50" t="str" cm="1">
        <f t="array" aca="1" ref="AU50" ca="1">IF(INDEX(OFFSET(tblCountries!$T$3:$T$52,0,AU$11,120,1),$A50)=0,"",$AB50)</f>
        <v/>
      </c>
      <c r="AV50" t="str" cm="1">
        <f t="array" aca="1" ref="AV50" ca="1">IF(INDEX(OFFSET(tblCountries!$T$3:$T$52,0,AV$11,120,1),$A50)=0,"",$AB50)</f>
        <v/>
      </c>
      <c r="AZ50">
        <f t="shared" ca="1" si="9"/>
        <v>1</v>
      </c>
      <c r="BA50">
        <f t="shared" ca="1" si="10"/>
        <v>0</v>
      </c>
      <c r="BB50">
        <f t="shared" ca="1" si="11"/>
        <v>0</v>
      </c>
      <c r="BC50">
        <f t="shared" ca="1" si="12"/>
        <v>1</v>
      </c>
      <c r="BD50">
        <f t="shared" ca="1" si="13"/>
        <v>0</v>
      </c>
      <c r="BE50">
        <f t="shared" ca="1" si="14"/>
        <v>0</v>
      </c>
      <c r="BF50">
        <f t="shared" ca="1" si="15"/>
        <v>0</v>
      </c>
      <c r="BG50">
        <f t="shared" ca="1" si="16"/>
        <v>0</v>
      </c>
      <c r="BH50">
        <f t="shared" ca="1" si="17"/>
        <v>0</v>
      </c>
      <c r="BI50">
        <f t="shared" ca="1" si="18"/>
        <v>1</v>
      </c>
      <c r="BJ50">
        <f t="shared" ca="1" si="19"/>
        <v>0</v>
      </c>
    </row>
    <row r="51" spans="1:62" x14ac:dyDescent="0.4">
      <c r="A51">
        <v>39</v>
      </c>
      <c r="B51" t="str">
        <f>tblCountries!H41</f>
        <v>Rome, Italy</v>
      </c>
      <c r="C51" t="str" cm="1">
        <f t="array" aca="1" ref="C51" ca="1">IF(AND($C$2=1,NOT(ISNUMBER(INDEX(auto_DataFlat_DataValue,$D51,$B$4)))),"EXCLUDE","")</f>
        <v/>
      </c>
      <c r="D51" cm="1">
        <f t="array" aca="1" ref="D51" ca="1">INDEX(sys_DataFlat_LU_Grid,$B$2,$A51)</f>
        <v>39</v>
      </c>
      <c r="E51" cm="1">
        <f t="array" aca="1" ref="E51" ca="1">IF(C51="EXCLUDE","n/a",IF($B$6="DATA",INDEX(auto_DataFlat_DataValue,$D51,$B$4),INDEX(auto_DataFlat_Score,$D51,$B$4)))</f>
        <v>63.5</v>
      </c>
      <c r="F51" t="str" cm="1">
        <f t="array" aca="1" ref="F51" ca="1">IF(INDEX(OFFSET(tblCountries!$T$3:$T$52,0,F$11,120,1),$A51)=0,"",$E51)</f>
        <v/>
      </c>
      <c r="G51" t="str" cm="1">
        <f t="array" aca="1" ref="G51" ca="1">IF(INDEX(OFFSET(tblCountries!$T$3:$T$52,0,G$11,120,1),$A51)=0,"",$E51)</f>
        <v/>
      </c>
      <c r="H51" t="str" cm="1">
        <f t="array" aca="1" ref="H51" ca="1">IF(INDEX(OFFSET(tblCountries!$T$3:$T$52,0,H$11,120,1),$A51)=0,"",$E51)</f>
        <v/>
      </c>
      <c r="I51" cm="1">
        <f t="array" aca="1" ref="I51" ca="1">IF(INDEX(OFFSET(tblCountries!$T$3:$T$52,0,I$11,120,1),$A51)=0,"",$E51)</f>
        <v>63.5</v>
      </c>
      <c r="J51" t="str" cm="1">
        <f t="array" aca="1" ref="J51" ca="1">IF(INDEX(OFFSET(tblCountries!$T$3:$T$52,0,J$11,120,1),$A51)=0,"",$E51)</f>
        <v/>
      </c>
      <c r="K51" t="str" cm="1">
        <f t="array" aca="1" ref="K51" ca="1">IF(INDEX(OFFSET(tblCountries!$T$3:$T$52,0,K$11,120,1),$A51)=0,"",$E51)</f>
        <v/>
      </c>
      <c r="L51" t="str" cm="1">
        <f t="array" aca="1" ref="L51" ca="1">IF(INDEX(OFFSET(tblCountries!$T$3:$T$52,0,L$11,120,1),$A51)=0,"",$E51)</f>
        <v/>
      </c>
      <c r="M51" t="str" cm="1">
        <f t="array" aca="1" ref="M51" ca="1">IF(INDEX(OFFSET(tblCountries!$T$3:$T$52,0,M$11,120,1),$A51)=0,"",$E51)</f>
        <v/>
      </c>
      <c r="N51" cm="1">
        <f t="array" aca="1" ref="N51" ca="1">IF(INDEX(OFFSET(tblCountries!$T$3:$T$52,0,N$11,120,1),$A51)=0,"",$E51)</f>
        <v>63.5</v>
      </c>
      <c r="O51" t="str" cm="1">
        <f t="array" aca="1" ref="O51" ca="1">IF(INDEX(OFFSET(tblCountries!$T$3:$T$52,0,O$11,120,1),$A51)=0,"",$E51)</f>
        <v/>
      </c>
      <c r="P51" t="str" cm="1">
        <f t="array" aca="1" ref="P51" ca="1">IF(INDEX(OFFSET(tblCountries!$T$3:$T$52,0,P$11,120,1),$A51)=0,"",$E51)</f>
        <v/>
      </c>
      <c r="Q51" t="str" cm="1">
        <f t="array" aca="1" ref="Q51" ca="1">IF(INDEX(OFFSET(tblCountries!$T$3:$T$52,0,Q$11,120,1),$A51)=0,"",$E51)</f>
        <v/>
      </c>
      <c r="R51" t="str" cm="1">
        <f t="array" aca="1" ref="R51" ca="1">IF(INDEX(OFFSET(tblCountries!$T$3:$T$52,0,R$11,120,1),$A51)=0,"",$E51)</f>
        <v/>
      </c>
      <c r="S51" t="str" cm="1">
        <f t="array" aca="1" ref="S51" ca="1">IF(INDEX(OFFSET(tblCountries!$T$3:$T$52,0,S$11,120,1),$A51)=0,"",$E51)</f>
        <v/>
      </c>
      <c r="T51" t="str" cm="1">
        <f t="array" aca="1" ref="T51" ca="1">IF(INDEX(OFFSET(tblCountries!$T$3:$T$52,0,T$11,120,1),$A51)=0,"",$E51)</f>
        <v/>
      </c>
      <c r="U51" t="str" cm="1">
        <f t="array" aca="1" ref="U51" ca="1">IF(INDEX(OFFSET(tblCountries!$T$3:$T$52,0,U$11,120,1),$A51)=0,"",$E51)</f>
        <v/>
      </c>
      <c r="V51" t="str" cm="1">
        <f t="array" aca="1" ref="V51" ca="1">IF(INDEX(OFFSET(tblCountries!$T$3:$T$52,0,V$11,120,1),$A51)=0,"",$E51)</f>
        <v/>
      </c>
      <c r="W51" t="str" cm="1">
        <f t="array" aca="1" ref="W51" ca="1">IF(INDEX(OFFSET(tblCountries!$T$3:$T$52,0,W$11,120,1),$A51)=0,"",$E51)</f>
        <v/>
      </c>
      <c r="X51" t="str" cm="1">
        <f t="array" aca="1" ref="X51" ca="1">IF(INDEX(OFFSET(tblCountries!$T$3:$T$52,0,X$11,120,1),$A51)=0,"",$E51)</f>
        <v/>
      </c>
      <c r="Y51" t="str" cm="1">
        <f t="array" aca="1" ref="Y51" ca="1">IF(INDEX(OFFSET(tblCountries!$T$3:$T$52,0,Y$11,120,1),$A51)=0,"",$E51)</f>
        <v/>
      </c>
      <c r="Z51" t="str" cm="1">
        <f t="array" aca="1" ref="Z51" ca="1">IF(AND($C$3=1,NOT(ISNUMBER(INDEX(auto_DataFlat_DataValue,$AA51,$B$4)))),"EXCLUDE","")</f>
        <v/>
      </c>
      <c r="AA51" cm="1">
        <f t="array" aca="1" ref="AA51" ca="1">INDEX(sys_DataFlat_LU_Grid,$B$3,$A51)</f>
        <v>99</v>
      </c>
      <c r="AB51" cm="1">
        <f t="array" aca="1" ref="AB51" ca="1">IF(Z51="EXCLUDE","n/a",IF($B$7="DATA",INDEX(auto_DataFlat_DataValue,$AA51,$B$4),INDEX(auto_DataFlat_Score,$AA51,$B$4)))</f>
        <v>82.8</v>
      </c>
      <c r="AC51" t="str" cm="1">
        <f t="array" aca="1" ref="AC51" ca="1">IF(INDEX(OFFSET(tblCountries!$T$3:$T$52,0,AC$11,120,1),$A51)=0,"",$AB51)</f>
        <v/>
      </c>
      <c r="AD51" t="str" cm="1">
        <f t="array" aca="1" ref="AD51" ca="1">IF(INDEX(OFFSET(tblCountries!$T$3:$T$52,0,AD$11,120,1),$A51)=0,"",$AB51)</f>
        <v/>
      </c>
      <c r="AE51" t="str" cm="1">
        <f t="array" aca="1" ref="AE51" ca="1">IF(INDEX(OFFSET(tblCountries!$T$3:$T$52,0,AE$11,120,1),$A51)=0,"",$AB51)</f>
        <v/>
      </c>
      <c r="AF51" cm="1">
        <f t="array" aca="1" ref="AF51" ca="1">IF(INDEX(OFFSET(tblCountries!$T$3:$T$52,0,AF$11,120,1),$A51)=0,"",$AB51)</f>
        <v>82.8</v>
      </c>
      <c r="AG51" t="str" cm="1">
        <f t="array" aca="1" ref="AG51" ca="1">IF(INDEX(OFFSET(tblCountries!$T$3:$T$52,0,AG$11,120,1),$A51)=0,"",$AB51)</f>
        <v/>
      </c>
      <c r="AH51" t="str" cm="1">
        <f t="array" aca="1" ref="AH51" ca="1">IF(INDEX(OFFSET(tblCountries!$T$3:$T$52,0,AH$11,120,1),$A51)=0,"",$AB51)</f>
        <v/>
      </c>
      <c r="AI51" t="str" cm="1">
        <f t="array" aca="1" ref="AI51" ca="1">IF(INDEX(OFFSET(tblCountries!$T$3:$T$52,0,AI$11,120,1),$A51)=0,"",$AB51)</f>
        <v/>
      </c>
      <c r="AJ51" t="str" cm="1">
        <f t="array" aca="1" ref="AJ51" ca="1">IF(INDEX(OFFSET(tblCountries!$T$3:$T$52,0,AJ$11,120,1),$A51)=0,"",$AB51)</f>
        <v/>
      </c>
      <c r="AK51" cm="1">
        <f t="array" aca="1" ref="AK51" ca="1">IF(INDEX(OFFSET(tblCountries!$T$3:$T$52,0,AK$11,120,1),$A51)=0,"",$AB51)</f>
        <v>82.8</v>
      </c>
      <c r="AL51" t="str" cm="1">
        <f t="array" aca="1" ref="AL51" ca="1">IF(INDEX(OFFSET(tblCountries!$T$3:$T$52,0,AL$11,120,1),$A51)=0,"",$AB51)</f>
        <v/>
      </c>
      <c r="AM51" t="str" cm="1">
        <f t="array" aca="1" ref="AM51" ca="1">IF(INDEX(OFFSET(tblCountries!$T$3:$T$52,0,AM$11,120,1),$A51)=0,"",$AB51)</f>
        <v/>
      </c>
      <c r="AN51" t="str" cm="1">
        <f t="array" aca="1" ref="AN51" ca="1">IF(INDEX(OFFSET(tblCountries!$T$3:$T$52,0,AN$11,120,1),$A51)=0,"",$AB51)</f>
        <v/>
      </c>
      <c r="AO51" t="str" cm="1">
        <f t="array" aca="1" ref="AO51" ca="1">IF(INDEX(OFFSET(tblCountries!$T$3:$T$52,0,AO$11,120,1),$A51)=0,"",$AB51)</f>
        <v/>
      </c>
      <c r="AP51" t="str" cm="1">
        <f t="array" aca="1" ref="AP51" ca="1">IF(INDEX(OFFSET(tblCountries!$T$3:$T$52,0,AP$11,120,1),$A51)=0,"",$AB51)</f>
        <v/>
      </c>
      <c r="AQ51" t="str" cm="1">
        <f t="array" aca="1" ref="AQ51" ca="1">IF(INDEX(OFFSET(tblCountries!$T$3:$T$52,0,AQ$11,120,1),$A51)=0,"",$AB51)</f>
        <v/>
      </c>
      <c r="AR51" t="str" cm="1">
        <f t="array" aca="1" ref="AR51" ca="1">IF(INDEX(OFFSET(tblCountries!$T$3:$T$52,0,AR$11,120,1),$A51)=0,"",$AB51)</f>
        <v/>
      </c>
      <c r="AS51" t="str" cm="1">
        <f t="array" aca="1" ref="AS51" ca="1">IF(INDEX(OFFSET(tblCountries!$T$3:$T$52,0,AS$11,120,1),$A51)=0,"",$AB51)</f>
        <v/>
      </c>
      <c r="AT51" t="str" cm="1">
        <f t="array" aca="1" ref="AT51" ca="1">IF(INDEX(OFFSET(tblCountries!$T$3:$T$52,0,AT$11,120,1),$A51)=0,"",$AB51)</f>
        <v/>
      </c>
      <c r="AU51" t="str" cm="1">
        <f t="array" aca="1" ref="AU51" ca="1">IF(INDEX(OFFSET(tblCountries!$T$3:$T$52,0,AU$11,120,1),$A51)=0,"",$AB51)</f>
        <v/>
      </c>
      <c r="AV51" t="str" cm="1">
        <f t="array" aca="1" ref="AV51" ca="1">IF(INDEX(OFFSET(tblCountries!$T$3:$T$52,0,AV$11,120,1),$A51)=0,"",$AB51)</f>
        <v/>
      </c>
      <c r="AZ51">
        <f t="shared" ca="1" si="9"/>
        <v>1</v>
      </c>
      <c r="BA51">
        <f t="shared" ca="1" si="10"/>
        <v>0</v>
      </c>
      <c r="BB51">
        <f t="shared" ca="1" si="11"/>
        <v>0</v>
      </c>
      <c r="BC51">
        <f t="shared" ca="1" si="12"/>
        <v>0</v>
      </c>
      <c r="BD51">
        <f t="shared" ca="1" si="13"/>
        <v>1</v>
      </c>
      <c r="BE51">
        <f t="shared" ca="1" si="14"/>
        <v>0</v>
      </c>
      <c r="BF51">
        <f t="shared" ca="1" si="15"/>
        <v>0</v>
      </c>
      <c r="BG51">
        <f t="shared" ca="1" si="16"/>
        <v>0</v>
      </c>
      <c r="BH51">
        <f t="shared" ca="1" si="17"/>
        <v>0</v>
      </c>
      <c r="BI51">
        <f t="shared" ca="1" si="18"/>
        <v>1</v>
      </c>
      <c r="BJ51">
        <f t="shared" ca="1" si="19"/>
        <v>0</v>
      </c>
    </row>
    <row r="52" spans="1:62" x14ac:dyDescent="0.4">
      <c r="A52">
        <v>40</v>
      </c>
      <c r="B52" t="str">
        <f>tblCountries!H42</f>
        <v>San Francisco, United States</v>
      </c>
      <c r="C52" t="str" cm="1">
        <f t="array" aca="1" ref="C52" ca="1">IF(AND($C$2=1,NOT(ISNUMBER(INDEX(auto_DataFlat_DataValue,$D52,$B$4)))),"EXCLUDE","")</f>
        <v/>
      </c>
      <c r="D52" cm="1">
        <f t="array" aca="1" ref="D52" ca="1">INDEX(sys_DataFlat_LU_Grid,$B$2,$A52)</f>
        <v>40</v>
      </c>
      <c r="E52" cm="1">
        <f t="array" aca="1" ref="E52" ca="1">IF(C52="EXCLUDE","n/a",IF($B$6="DATA",INDEX(auto_DataFlat_DataValue,$D52,$B$4),INDEX(auto_DataFlat_Score,$D52,$B$4)))</f>
        <v>72</v>
      </c>
      <c r="F52" t="str" cm="1">
        <f t="array" aca="1" ref="F52" ca="1">IF(INDEX(OFFSET(tblCountries!$T$3:$T$52,0,F$11,120,1),$A52)=0,"",$E52)</f>
        <v/>
      </c>
      <c r="G52" cm="1">
        <f t="array" aca="1" ref="G52" ca="1">IF(INDEX(OFFSET(tblCountries!$T$3:$T$52,0,G$11,120,1),$A52)=0,"",$E52)</f>
        <v>72</v>
      </c>
      <c r="H52" t="str" cm="1">
        <f t="array" aca="1" ref="H52" ca="1">IF(INDEX(OFFSET(tblCountries!$T$3:$T$52,0,H$11,120,1),$A52)=0,"",$E52)</f>
        <v/>
      </c>
      <c r="I52" t="str" cm="1">
        <f t="array" aca="1" ref="I52" ca="1">IF(INDEX(OFFSET(tblCountries!$T$3:$T$52,0,I$11,120,1),$A52)=0,"",$E52)</f>
        <v/>
      </c>
      <c r="J52" t="str" cm="1">
        <f t="array" aca="1" ref="J52" ca="1">IF(INDEX(OFFSET(tblCountries!$T$3:$T$52,0,J$11,120,1),$A52)=0,"",$E52)</f>
        <v/>
      </c>
      <c r="K52" t="str" cm="1">
        <f t="array" aca="1" ref="K52" ca="1">IF(INDEX(OFFSET(tblCountries!$T$3:$T$52,0,K$11,120,1),$A52)=0,"",$E52)</f>
        <v/>
      </c>
      <c r="L52" t="str" cm="1">
        <f t="array" aca="1" ref="L52" ca="1">IF(INDEX(OFFSET(tblCountries!$T$3:$T$52,0,L$11,120,1),$A52)=0,"",$E52)</f>
        <v/>
      </c>
      <c r="M52" t="str" cm="1">
        <f t="array" aca="1" ref="M52" ca="1">IF(INDEX(OFFSET(tblCountries!$T$3:$T$52,0,M$11,120,1),$A52)=0,"",$E52)</f>
        <v/>
      </c>
      <c r="N52" cm="1">
        <f t="array" aca="1" ref="N52" ca="1">IF(INDEX(OFFSET(tblCountries!$T$3:$T$52,0,N$11,120,1),$A52)=0,"",$E52)</f>
        <v>72</v>
      </c>
      <c r="O52" t="str" cm="1">
        <f t="array" aca="1" ref="O52" ca="1">IF(INDEX(OFFSET(tblCountries!$T$3:$T$52,0,O$11,120,1),$A52)=0,"",$E52)</f>
        <v/>
      </c>
      <c r="P52" t="str" cm="1">
        <f t="array" aca="1" ref="P52" ca="1">IF(INDEX(OFFSET(tblCountries!$T$3:$T$52,0,P$11,120,1),$A52)=0,"",$E52)</f>
        <v/>
      </c>
      <c r="Q52" t="str" cm="1">
        <f t="array" aca="1" ref="Q52" ca="1">IF(INDEX(OFFSET(tblCountries!$T$3:$T$52,0,Q$11,120,1),$A52)=0,"",$E52)</f>
        <v/>
      </c>
      <c r="R52" t="str" cm="1">
        <f t="array" aca="1" ref="R52" ca="1">IF(INDEX(OFFSET(tblCountries!$T$3:$T$52,0,R$11,120,1),$A52)=0,"",$E52)</f>
        <v/>
      </c>
      <c r="S52" t="str" cm="1">
        <f t="array" aca="1" ref="S52" ca="1">IF(INDEX(OFFSET(tblCountries!$T$3:$T$52,0,S$11,120,1),$A52)=0,"",$E52)</f>
        <v/>
      </c>
      <c r="T52" t="str" cm="1">
        <f t="array" aca="1" ref="T52" ca="1">IF(INDEX(OFFSET(tblCountries!$T$3:$T$52,0,T$11,120,1),$A52)=0,"",$E52)</f>
        <v/>
      </c>
      <c r="U52" t="str" cm="1">
        <f t="array" aca="1" ref="U52" ca="1">IF(INDEX(OFFSET(tblCountries!$T$3:$T$52,0,U$11,120,1),$A52)=0,"",$E52)</f>
        <v/>
      </c>
      <c r="V52" t="str" cm="1">
        <f t="array" aca="1" ref="V52" ca="1">IF(INDEX(OFFSET(tblCountries!$T$3:$T$52,0,V$11,120,1),$A52)=0,"",$E52)</f>
        <v/>
      </c>
      <c r="W52" t="str" cm="1">
        <f t="array" aca="1" ref="W52" ca="1">IF(INDEX(OFFSET(tblCountries!$T$3:$T$52,0,W$11,120,1),$A52)=0,"",$E52)</f>
        <v/>
      </c>
      <c r="X52" t="str" cm="1">
        <f t="array" aca="1" ref="X52" ca="1">IF(INDEX(OFFSET(tblCountries!$T$3:$T$52,0,X$11,120,1),$A52)=0,"",$E52)</f>
        <v/>
      </c>
      <c r="Y52" t="str" cm="1">
        <f t="array" aca="1" ref="Y52" ca="1">IF(INDEX(OFFSET(tblCountries!$T$3:$T$52,0,Y$11,120,1),$A52)=0,"",$E52)</f>
        <v/>
      </c>
      <c r="Z52" t="str" cm="1">
        <f t="array" aca="1" ref="Z52" ca="1">IF(AND($C$3=1,NOT(ISNUMBER(INDEX(auto_DataFlat_DataValue,$AA52,$B$4)))),"EXCLUDE","")</f>
        <v/>
      </c>
      <c r="AA52" cm="1">
        <f t="array" aca="1" ref="AA52" ca="1">INDEX(sys_DataFlat_LU_Grid,$B$3,$A52)</f>
        <v>100</v>
      </c>
      <c r="AB52" cm="1">
        <f t="array" aca="1" ref="AB52" ca="1">IF(Z52="EXCLUDE","n/a",IF($B$7="DATA",INDEX(auto_DataFlat_DataValue,$AA52,$B$4),INDEX(auto_DataFlat_Score,$AA52,$B$4)))</f>
        <v>86.8</v>
      </c>
      <c r="AC52" t="str" cm="1">
        <f t="array" aca="1" ref="AC52" ca="1">IF(INDEX(OFFSET(tblCountries!$T$3:$T$52,0,AC$11,120,1),$A52)=0,"",$AB52)</f>
        <v/>
      </c>
      <c r="AD52" cm="1">
        <f t="array" aca="1" ref="AD52" ca="1">IF(INDEX(OFFSET(tblCountries!$T$3:$T$52,0,AD$11,120,1),$A52)=0,"",$AB52)</f>
        <v>86.8</v>
      </c>
      <c r="AE52" t="str" cm="1">
        <f t="array" aca="1" ref="AE52" ca="1">IF(INDEX(OFFSET(tblCountries!$T$3:$T$52,0,AE$11,120,1),$A52)=0,"",$AB52)</f>
        <v/>
      </c>
      <c r="AF52" t="str" cm="1">
        <f t="array" aca="1" ref="AF52" ca="1">IF(INDEX(OFFSET(tblCountries!$T$3:$T$52,0,AF$11,120,1),$A52)=0,"",$AB52)</f>
        <v/>
      </c>
      <c r="AG52" t="str" cm="1">
        <f t="array" aca="1" ref="AG52" ca="1">IF(INDEX(OFFSET(tblCountries!$T$3:$T$52,0,AG$11,120,1),$A52)=0,"",$AB52)</f>
        <v/>
      </c>
      <c r="AH52" t="str" cm="1">
        <f t="array" aca="1" ref="AH52" ca="1">IF(INDEX(OFFSET(tblCountries!$T$3:$T$52,0,AH$11,120,1),$A52)=0,"",$AB52)</f>
        <v/>
      </c>
      <c r="AI52" t="str" cm="1">
        <f t="array" aca="1" ref="AI52" ca="1">IF(INDEX(OFFSET(tblCountries!$T$3:$T$52,0,AI$11,120,1),$A52)=0,"",$AB52)</f>
        <v/>
      </c>
      <c r="AJ52" t="str" cm="1">
        <f t="array" aca="1" ref="AJ52" ca="1">IF(INDEX(OFFSET(tblCountries!$T$3:$T$52,0,AJ$11,120,1),$A52)=0,"",$AB52)</f>
        <v/>
      </c>
      <c r="AK52" cm="1">
        <f t="array" aca="1" ref="AK52" ca="1">IF(INDEX(OFFSET(tblCountries!$T$3:$T$52,0,AK$11,120,1),$A52)=0,"",$AB52)</f>
        <v>86.8</v>
      </c>
      <c r="AL52" t="str" cm="1">
        <f t="array" aca="1" ref="AL52" ca="1">IF(INDEX(OFFSET(tblCountries!$T$3:$T$52,0,AL$11,120,1),$A52)=0,"",$AB52)</f>
        <v/>
      </c>
      <c r="AM52" t="str" cm="1">
        <f t="array" aca="1" ref="AM52" ca="1">IF(INDEX(OFFSET(tblCountries!$T$3:$T$52,0,AM$11,120,1),$A52)=0,"",$AB52)</f>
        <v/>
      </c>
      <c r="AN52" t="str" cm="1">
        <f t="array" aca="1" ref="AN52" ca="1">IF(INDEX(OFFSET(tblCountries!$T$3:$T$52,0,AN$11,120,1),$A52)=0,"",$AB52)</f>
        <v/>
      </c>
      <c r="AO52" t="str" cm="1">
        <f t="array" aca="1" ref="AO52" ca="1">IF(INDEX(OFFSET(tblCountries!$T$3:$T$52,0,AO$11,120,1),$A52)=0,"",$AB52)</f>
        <v/>
      </c>
      <c r="AP52" t="str" cm="1">
        <f t="array" aca="1" ref="AP52" ca="1">IF(INDEX(OFFSET(tblCountries!$T$3:$T$52,0,AP$11,120,1),$A52)=0,"",$AB52)</f>
        <v/>
      </c>
      <c r="AQ52" t="str" cm="1">
        <f t="array" aca="1" ref="AQ52" ca="1">IF(INDEX(OFFSET(tblCountries!$T$3:$T$52,0,AQ$11,120,1),$A52)=0,"",$AB52)</f>
        <v/>
      </c>
      <c r="AR52" t="str" cm="1">
        <f t="array" aca="1" ref="AR52" ca="1">IF(INDEX(OFFSET(tblCountries!$T$3:$T$52,0,AR$11,120,1),$A52)=0,"",$AB52)</f>
        <v/>
      </c>
      <c r="AS52" t="str" cm="1">
        <f t="array" aca="1" ref="AS52" ca="1">IF(INDEX(OFFSET(tblCountries!$T$3:$T$52,0,AS$11,120,1),$A52)=0,"",$AB52)</f>
        <v/>
      </c>
      <c r="AT52" t="str" cm="1">
        <f t="array" aca="1" ref="AT52" ca="1">IF(INDEX(OFFSET(tblCountries!$T$3:$T$52,0,AT$11,120,1),$A52)=0,"",$AB52)</f>
        <v/>
      </c>
      <c r="AU52" t="str" cm="1">
        <f t="array" aca="1" ref="AU52" ca="1">IF(INDEX(OFFSET(tblCountries!$T$3:$T$52,0,AU$11,120,1),$A52)=0,"",$AB52)</f>
        <v/>
      </c>
      <c r="AV52" t="str" cm="1">
        <f t="array" aca="1" ref="AV52" ca="1">IF(INDEX(OFFSET(tblCountries!$T$3:$T$52,0,AV$11,120,1),$A52)=0,"",$AB52)</f>
        <v/>
      </c>
      <c r="AZ52">
        <f t="shared" ca="1" si="9"/>
        <v>1</v>
      </c>
      <c r="BA52">
        <f t="shared" ca="1" si="10"/>
        <v>0</v>
      </c>
      <c r="BB52">
        <f t="shared" ca="1" si="11"/>
        <v>1</v>
      </c>
      <c r="BC52">
        <f t="shared" ca="1" si="12"/>
        <v>0</v>
      </c>
      <c r="BD52">
        <f t="shared" ca="1" si="13"/>
        <v>0</v>
      </c>
      <c r="BE52">
        <f t="shared" ca="1" si="14"/>
        <v>0</v>
      </c>
      <c r="BF52">
        <f t="shared" ca="1" si="15"/>
        <v>0</v>
      </c>
      <c r="BG52">
        <f t="shared" ca="1" si="16"/>
        <v>0</v>
      </c>
      <c r="BH52">
        <f t="shared" ca="1" si="17"/>
        <v>0</v>
      </c>
      <c r="BI52">
        <f t="shared" ca="1" si="18"/>
        <v>1</v>
      </c>
      <c r="BJ52">
        <f t="shared" ca="1" si="19"/>
        <v>0</v>
      </c>
    </row>
    <row r="53" spans="1:62" x14ac:dyDescent="0.4">
      <c r="A53">
        <v>41</v>
      </c>
      <c r="B53" t="str">
        <f>tblCountries!H43</f>
        <v>São Paulo, Brazil</v>
      </c>
      <c r="C53" t="str" cm="1">
        <f t="array" aca="1" ref="C53" ca="1">IF(AND($C$2=1,NOT(ISNUMBER(INDEX(auto_DataFlat_DataValue,$D53,$B$4)))),"EXCLUDE","")</f>
        <v/>
      </c>
      <c r="D53" cm="1">
        <f t="array" aca="1" ref="D53" ca="1">INDEX(sys_DataFlat_LU_Grid,$B$2,$A53)</f>
        <v>41</v>
      </c>
      <c r="E53" cm="1">
        <f t="array" aca="1" ref="E53" ca="1">IF(C53="EXCLUDE","n/a",IF($B$6="DATA",INDEX(auto_DataFlat_DataValue,$D53,$B$4),INDEX(auto_DataFlat_Score,$D53,$B$4)))</f>
        <v>67.099999999999994</v>
      </c>
      <c r="F53" t="str" cm="1">
        <f t="array" aca="1" ref="F53" ca="1">IF(INDEX(OFFSET(tblCountries!$T$3:$T$52,0,F$11,120,1),$A53)=0,"",$E53)</f>
        <v/>
      </c>
      <c r="G53" cm="1">
        <f t="array" aca="1" ref="G53" ca="1">IF(INDEX(OFFSET(tblCountries!$T$3:$T$52,0,G$11,120,1),$A53)=0,"",$E53)</f>
        <v>67.099999999999994</v>
      </c>
      <c r="H53" t="str" cm="1">
        <f t="array" aca="1" ref="H53" ca="1">IF(INDEX(OFFSET(tblCountries!$T$3:$T$52,0,H$11,120,1),$A53)=0,"",$E53)</f>
        <v/>
      </c>
      <c r="I53" t="str" cm="1">
        <f t="array" aca="1" ref="I53" ca="1">IF(INDEX(OFFSET(tblCountries!$T$3:$T$52,0,I$11,120,1),$A53)=0,"",$E53)</f>
        <v/>
      </c>
      <c r="J53" t="str" cm="1">
        <f t="array" aca="1" ref="J53" ca="1">IF(INDEX(OFFSET(tblCountries!$T$3:$T$52,0,J$11,120,1),$A53)=0,"",$E53)</f>
        <v/>
      </c>
      <c r="K53" t="str" cm="1">
        <f t="array" aca="1" ref="K53" ca="1">IF(INDEX(OFFSET(tblCountries!$T$3:$T$52,0,K$11,120,1),$A53)=0,"",$E53)</f>
        <v/>
      </c>
      <c r="L53" t="str" cm="1">
        <f t="array" aca="1" ref="L53" ca="1">IF(INDEX(OFFSET(tblCountries!$T$3:$T$52,0,L$11,120,1),$A53)=0,"",$E53)</f>
        <v/>
      </c>
      <c r="M53" cm="1">
        <f t="array" aca="1" ref="M53" ca="1">IF(INDEX(OFFSET(tblCountries!$T$3:$T$52,0,M$11,120,1),$A53)=0,"",$E53)</f>
        <v>67.099999999999994</v>
      </c>
      <c r="N53" t="str" cm="1">
        <f t="array" aca="1" ref="N53" ca="1">IF(INDEX(OFFSET(tblCountries!$T$3:$T$52,0,N$11,120,1),$A53)=0,"",$E53)</f>
        <v/>
      </c>
      <c r="O53" t="str" cm="1">
        <f t="array" aca="1" ref="O53" ca="1">IF(INDEX(OFFSET(tblCountries!$T$3:$T$52,0,O$11,120,1),$A53)=0,"",$E53)</f>
        <v/>
      </c>
      <c r="P53" t="str" cm="1">
        <f t="array" aca="1" ref="P53" ca="1">IF(INDEX(OFFSET(tblCountries!$T$3:$T$52,0,P$11,120,1),$A53)=0,"",$E53)</f>
        <v/>
      </c>
      <c r="Q53" t="str" cm="1">
        <f t="array" aca="1" ref="Q53" ca="1">IF(INDEX(OFFSET(tblCountries!$T$3:$T$52,0,Q$11,120,1),$A53)=0,"",$E53)</f>
        <v/>
      </c>
      <c r="R53" t="str" cm="1">
        <f t="array" aca="1" ref="R53" ca="1">IF(INDEX(OFFSET(tblCountries!$T$3:$T$52,0,R$11,120,1),$A53)=0,"",$E53)</f>
        <v/>
      </c>
      <c r="S53" t="str" cm="1">
        <f t="array" aca="1" ref="S53" ca="1">IF(INDEX(OFFSET(tblCountries!$T$3:$T$52,0,S$11,120,1),$A53)=0,"",$E53)</f>
        <v/>
      </c>
      <c r="T53" t="str" cm="1">
        <f t="array" aca="1" ref="T53" ca="1">IF(INDEX(OFFSET(tblCountries!$T$3:$T$52,0,T$11,120,1),$A53)=0,"",$E53)</f>
        <v/>
      </c>
      <c r="U53" t="str" cm="1">
        <f t="array" aca="1" ref="U53" ca="1">IF(INDEX(OFFSET(tblCountries!$T$3:$T$52,0,U$11,120,1),$A53)=0,"",$E53)</f>
        <v/>
      </c>
      <c r="V53" t="str" cm="1">
        <f t="array" aca="1" ref="V53" ca="1">IF(INDEX(OFFSET(tblCountries!$T$3:$T$52,0,V$11,120,1),$A53)=0,"",$E53)</f>
        <v/>
      </c>
      <c r="W53" t="str" cm="1">
        <f t="array" aca="1" ref="W53" ca="1">IF(INDEX(OFFSET(tblCountries!$T$3:$T$52,0,W$11,120,1),$A53)=0,"",$E53)</f>
        <v/>
      </c>
      <c r="X53" t="str" cm="1">
        <f t="array" aca="1" ref="X53" ca="1">IF(INDEX(OFFSET(tblCountries!$T$3:$T$52,0,X$11,120,1),$A53)=0,"",$E53)</f>
        <v/>
      </c>
      <c r="Y53" t="str" cm="1">
        <f t="array" aca="1" ref="Y53" ca="1">IF(INDEX(OFFSET(tblCountries!$T$3:$T$52,0,Y$11,120,1),$A53)=0,"",$E53)</f>
        <v/>
      </c>
      <c r="Z53" t="str" cm="1">
        <f t="array" aca="1" ref="Z53" ca="1">IF(AND($C$3=1,NOT(ISNUMBER(INDEX(auto_DataFlat_DataValue,$AA53,$B$4)))),"EXCLUDE","")</f>
        <v/>
      </c>
      <c r="AA53" cm="1">
        <f t="array" aca="1" ref="AA53" ca="1">INDEX(sys_DataFlat_LU_Grid,$B$3,$A53)</f>
        <v>101</v>
      </c>
      <c r="AB53" cm="1">
        <f t="array" aca="1" ref="AB53" ca="1">IF(Z53="EXCLUDE","n/a",IF($B$7="DATA",INDEX(auto_DataFlat_DataValue,$AA53,$B$4),INDEX(auto_DataFlat_Score,$AA53,$B$4)))</f>
        <v>70.099999999999994</v>
      </c>
      <c r="AC53" t="str" cm="1">
        <f t="array" aca="1" ref="AC53" ca="1">IF(INDEX(OFFSET(tblCountries!$T$3:$T$52,0,AC$11,120,1),$A53)=0,"",$AB53)</f>
        <v/>
      </c>
      <c r="AD53" cm="1">
        <f t="array" aca="1" ref="AD53" ca="1">IF(INDEX(OFFSET(tblCountries!$T$3:$T$52,0,AD$11,120,1),$A53)=0,"",$AB53)</f>
        <v>70.099999999999994</v>
      </c>
      <c r="AE53" t="str" cm="1">
        <f t="array" aca="1" ref="AE53" ca="1">IF(INDEX(OFFSET(tblCountries!$T$3:$T$52,0,AE$11,120,1),$A53)=0,"",$AB53)</f>
        <v/>
      </c>
      <c r="AF53" t="str" cm="1">
        <f t="array" aca="1" ref="AF53" ca="1">IF(INDEX(OFFSET(tblCountries!$T$3:$T$52,0,AF$11,120,1),$A53)=0,"",$AB53)</f>
        <v/>
      </c>
      <c r="AG53" t="str" cm="1">
        <f t="array" aca="1" ref="AG53" ca="1">IF(INDEX(OFFSET(tblCountries!$T$3:$T$52,0,AG$11,120,1),$A53)=0,"",$AB53)</f>
        <v/>
      </c>
      <c r="AH53" t="str" cm="1">
        <f t="array" aca="1" ref="AH53" ca="1">IF(INDEX(OFFSET(tblCountries!$T$3:$T$52,0,AH$11,120,1),$A53)=0,"",$AB53)</f>
        <v/>
      </c>
      <c r="AI53" t="str" cm="1">
        <f t="array" aca="1" ref="AI53" ca="1">IF(INDEX(OFFSET(tblCountries!$T$3:$T$52,0,AI$11,120,1),$A53)=0,"",$AB53)</f>
        <v/>
      </c>
      <c r="AJ53" cm="1">
        <f t="array" aca="1" ref="AJ53" ca="1">IF(INDEX(OFFSET(tblCountries!$T$3:$T$52,0,AJ$11,120,1),$A53)=0,"",$AB53)</f>
        <v>70.099999999999994</v>
      </c>
      <c r="AK53" t="str" cm="1">
        <f t="array" aca="1" ref="AK53" ca="1">IF(INDEX(OFFSET(tblCountries!$T$3:$T$52,0,AK$11,120,1),$A53)=0,"",$AB53)</f>
        <v/>
      </c>
      <c r="AL53" t="str" cm="1">
        <f t="array" aca="1" ref="AL53" ca="1">IF(INDEX(OFFSET(tblCountries!$T$3:$T$52,0,AL$11,120,1),$A53)=0,"",$AB53)</f>
        <v/>
      </c>
      <c r="AM53" t="str" cm="1">
        <f t="array" aca="1" ref="AM53" ca="1">IF(INDEX(OFFSET(tblCountries!$T$3:$T$52,0,AM$11,120,1),$A53)=0,"",$AB53)</f>
        <v/>
      </c>
      <c r="AN53" t="str" cm="1">
        <f t="array" aca="1" ref="AN53" ca="1">IF(INDEX(OFFSET(tblCountries!$T$3:$T$52,0,AN$11,120,1),$A53)=0,"",$AB53)</f>
        <v/>
      </c>
      <c r="AO53" t="str" cm="1">
        <f t="array" aca="1" ref="AO53" ca="1">IF(INDEX(OFFSET(tblCountries!$T$3:$T$52,0,AO$11,120,1),$A53)=0,"",$AB53)</f>
        <v/>
      </c>
      <c r="AP53" t="str" cm="1">
        <f t="array" aca="1" ref="AP53" ca="1">IF(INDEX(OFFSET(tblCountries!$T$3:$T$52,0,AP$11,120,1),$A53)=0,"",$AB53)</f>
        <v/>
      </c>
      <c r="AQ53" t="str" cm="1">
        <f t="array" aca="1" ref="AQ53" ca="1">IF(INDEX(OFFSET(tblCountries!$T$3:$T$52,0,AQ$11,120,1),$A53)=0,"",$AB53)</f>
        <v/>
      </c>
      <c r="AR53" t="str" cm="1">
        <f t="array" aca="1" ref="AR53" ca="1">IF(INDEX(OFFSET(tblCountries!$T$3:$T$52,0,AR$11,120,1),$A53)=0,"",$AB53)</f>
        <v/>
      </c>
      <c r="AS53" t="str" cm="1">
        <f t="array" aca="1" ref="AS53" ca="1">IF(INDEX(OFFSET(tblCountries!$T$3:$T$52,0,AS$11,120,1),$A53)=0,"",$AB53)</f>
        <v/>
      </c>
      <c r="AT53" t="str" cm="1">
        <f t="array" aca="1" ref="AT53" ca="1">IF(INDEX(OFFSET(tblCountries!$T$3:$T$52,0,AT$11,120,1),$A53)=0,"",$AB53)</f>
        <v/>
      </c>
      <c r="AU53" t="str" cm="1">
        <f t="array" aca="1" ref="AU53" ca="1">IF(INDEX(OFFSET(tblCountries!$T$3:$T$52,0,AU$11,120,1),$A53)=0,"",$AB53)</f>
        <v/>
      </c>
      <c r="AV53" t="str" cm="1">
        <f t="array" aca="1" ref="AV53" ca="1">IF(INDEX(OFFSET(tblCountries!$T$3:$T$52,0,AV$11,120,1),$A53)=0,"",$AB53)</f>
        <v/>
      </c>
      <c r="AZ53">
        <f t="shared" ca="1" si="9"/>
        <v>1</v>
      </c>
      <c r="BA53">
        <f t="shared" ca="1" si="10"/>
        <v>0</v>
      </c>
      <c r="BB53">
        <f t="shared" ca="1" si="11"/>
        <v>1</v>
      </c>
      <c r="BC53">
        <f t="shared" ca="1" si="12"/>
        <v>0</v>
      </c>
      <c r="BD53">
        <f t="shared" ca="1" si="13"/>
        <v>0</v>
      </c>
      <c r="BE53">
        <f t="shared" ca="1" si="14"/>
        <v>0</v>
      </c>
      <c r="BF53">
        <f t="shared" ca="1" si="15"/>
        <v>0</v>
      </c>
      <c r="BG53">
        <f t="shared" ca="1" si="16"/>
        <v>0</v>
      </c>
      <c r="BH53">
        <f t="shared" ca="1" si="17"/>
        <v>1</v>
      </c>
      <c r="BI53">
        <f t="shared" ca="1" si="18"/>
        <v>0</v>
      </c>
      <c r="BJ53">
        <f t="shared" ca="1" si="19"/>
        <v>0</v>
      </c>
    </row>
    <row r="54" spans="1:62" x14ac:dyDescent="0.4">
      <c r="A54">
        <v>42</v>
      </c>
      <c r="B54" t="str">
        <f>tblCountries!H44</f>
        <v>Seoul, Korea</v>
      </c>
      <c r="C54" t="str" cm="1">
        <f t="array" aca="1" ref="C54" ca="1">IF(AND($C$2=1,NOT(ISNUMBER(INDEX(auto_DataFlat_DataValue,$D54,$B$4)))),"EXCLUDE","")</f>
        <v/>
      </c>
      <c r="D54" cm="1">
        <f t="array" aca="1" ref="D54" ca="1">INDEX(sys_DataFlat_LU_Grid,$B$2,$A54)</f>
        <v>42</v>
      </c>
      <c r="E54" cm="1">
        <f t="array" aca="1" ref="E54" ca="1">IF(C54="EXCLUDE","n/a",IF($B$6="DATA",INDEX(auto_DataFlat_DataValue,$D54,$B$4),INDEX(auto_DataFlat_Score,$D54,$B$4)))</f>
        <v>75.599999999999994</v>
      </c>
      <c r="F54" t="str" cm="1">
        <f t="array" aca="1" ref="F54" ca="1">IF(INDEX(OFFSET(tblCountries!$T$3:$T$52,0,F$11,120,1),$A54)=0,"",$E54)</f>
        <v/>
      </c>
      <c r="G54" t="str" cm="1">
        <f t="array" aca="1" ref="G54" ca="1">IF(INDEX(OFFSET(tblCountries!$T$3:$T$52,0,G$11,120,1),$A54)=0,"",$E54)</f>
        <v/>
      </c>
      <c r="H54" t="str" cm="1">
        <f t="array" aca="1" ref="H54" ca="1">IF(INDEX(OFFSET(tblCountries!$T$3:$T$52,0,H$11,120,1),$A54)=0,"",$E54)</f>
        <v/>
      </c>
      <c r="I54" t="str" cm="1">
        <f t="array" aca="1" ref="I54" ca="1">IF(INDEX(OFFSET(tblCountries!$T$3:$T$52,0,I$11,120,1),$A54)=0,"",$E54)</f>
        <v/>
      </c>
      <c r="J54" t="str" cm="1">
        <f t="array" aca="1" ref="J54" ca="1">IF(INDEX(OFFSET(tblCountries!$T$3:$T$52,0,J$11,120,1),$A54)=0,"",$E54)</f>
        <v/>
      </c>
      <c r="K54" cm="1">
        <f t="array" aca="1" ref="K54" ca="1">IF(INDEX(OFFSET(tblCountries!$T$3:$T$52,0,K$11,120,1),$A54)=0,"",$E54)</f>
        <v>75.599999999999994</v>
      </c>
      <c r="L54" t="str" cm="1">
        <f t="array" aca="1" ref="L54" ca="1">IF(INDEX(OFFSET(tblCountries!$T$3:$T$52,0,L$11,120,1),$A54)=0,"",$E54)</f>
        <v/>
      </c>
      <c r="M54" t="str" cm="1">
        <f t="array" aca="1" ref="M54" ca="1">IF(INDEX(OFFSET(tblCountries!$T$3:$T$52,0,M$11,120,1),$A54)=0,"",$E54)</f>
        <v/>
      </c>
      <c r="N54" cm="1">
        <f t="array" aca="1" ref="N54" ca="1">IF(INDEX(OFFSET(tblCountries!$T$3:$T$52,0,N$11,120,1),$A54)=0,"",$E54)</f>
        <v>75.599999999999994</v>
      </c>
      <c r="O54" t="str" cm="1">
        <f t="array" aca="1" ref="O54" ca="1">IF(INDEX(OFFSET(tblCountries!$T$3:$T$52,0,O$11,120,1),$A54)=0,"",$E54)</f>
        <v/>
      </c>
      <c r="P54" t="str" cm="1">
        <f t="array" aca="1" ref="P54" ca="1">IF(INDEX(OFFSET(tblCountries!$T$3:$T$52,0,P$11,120,1),$A54)=0,"",$E54)</f>
        <v/>
      </c>
      <c r="Q54" t="str" cm="1">
        <f t="array" aca="1" ref="Q54" ca="1">IF(INDEX(OFFSET(tblCountries!$T$3:$T$52,0,Q$11,120,1),$A54)=0,"",$E54)</f>
        <v/>
      </c>
      <c r="R54" t="str" cm="1">
        <f t="array" aca="1" ref="R54" ca="1">IF(INDEX(OFFSET(tblCountries!$T$3:$T$52,0,R$11,120,1),$A54)=0,"",$E54)</f>
        <v/>
      </c>
      <c r="S54" t="str" cm="1">
        <f t="array" aca="1" ref="S54" ca="1">IF(INDEX(OFFSET(tblCountries!$T$3:$T$52,0,S$11,120,1),$A54)=0,"",$E54)</f>
        <v/>
      </c>
      <c r="T54" t="str" cm="1">
        <f t="array" aca="1" ref="T54" ca="1">IF(INDEX(OFFSET(tblCountries!$T$3:$T$52,0,T$11,120,1),$A54)=0,"",$E54)</f>
        <v/>
      </c>
      <c r="U54" t="str" cm="1">
        <f t="array" aca="1" ref="U54" ca="1">IF(INDEX(OFFSET(tblCountries!$T$3:$T$52,0,U$11,120,1),$A54)=0,"",$E54)</f>
        <v/>
      </c>
      <c r="V54" t="str" cm="1">
        <f t="array" aca="1" ref="V54" ca="1">IF(INDEX(OFFSET(tblCountries!$T$3:$T$52,0,V$11,120,1),$A54)=0,"",$E54)</f>
        <v/>
      </c>
      <c r="W54" t="str" cm="1">
        <f t="array" aca="1" ref="W54" ca="1">IF(INDEX(OFFSET(tblCountries!$T$3:$T$52,0,W$11,120,1),$A54)=0,"",$E54)</f>
        <v/>
      </c>
      <c r="X54" t="str" cm="1">
        <f t="array" aca="1" ref="X54" ca="1">IF(INDEX(OFFSET(tblCountries!$T$3:$T$52,0,X$11,120,1),$A54)=0,"",$E54)</f>
        <v/>
      </c>
      <c r="Y54" t="str" cm="1">
        <f t="array" aca="1" ref="Y54" ca="1">IF(INDEX(OFFSET(tblCountries!$T$3:$T$52,0,Y$11,120,1),$A54)=0,"",$E54)</f>
        <v/>
      </c>
      <c r="Z54" t="str" cm="1">
        <f t="array" aca="1" ref="Z54" ca="1">IF(AND($C$3=1,NOT(ISNUMBER(INDEX(auto_DataFlat_DataValue,$AA54,$B$4)))),"EXCLUDE","")</f>
        <v/>
      </c>
      <c r="AA54" cm="1">
        <f t="array" aca="1" ref="AA54" ca="1">INDEX(sys_DataFlat_LU_Grid,$B$3,$A54)</f>
        <v>102</v>
      </c>
      <c r="AB54" cm="1">
        <f t="array" aca="1" ref="AB54" ca="1">IF(Z54="EXCLUDE","n/a",IF($B$7="DATA",INDEX(auto_DataFlat_DataValue,$AA54,$B$4),INDEX(auto_DataFlat_Score,$AA54,$B$4)))</f>
        <v>82.8</v>
      </c>
      <c r="AC54" t="str" cm="1">
        <f t="array" aca="1" ref="AC54" ca="1">IF(INDEX(OFFSET(tblCountries!$T$3:$T$52,0,AC$11,120,1),$A54)=0,"",$AB54)</f>
        <v/>
      </c>
      <c r="AD54" t="str" cm="1">
        <f t="array" aca="1" ref="AD54" ca="1">IF(INDEX(OFFSET(tblCountries!$T$3:$T$52,0,AD$11,120,1),$A54)=0,"",$AB54)</f>
        <v/>
      </c>
      <c r="AE54" t="str" cm="1">
        <f t="array" aca="1" ref="AE54" ca="1">IF(INDEX(OFFSET(tblCountries!$T$3:$T$52,0,AE$11,120,1),$A54)=0,"",$AB54)</f>
        <v/>
      </c>
      <c r="AF54" t="str" cm="1">
        <f t="array" aca="1" ref="AF54" ca="1">IF(INDEX(OFFSET(tblCountries!$T$3:$T$52,0,AF$11,120,1),$A54)=0,"",$AB54)</f>
        <v/>
      </c>
      <c r="AG54" t="str" cm="1">
        <f t="array" aca="1" ref="AG54" ca="1">IF(INDEX(OFFSET(tblCountries!$T$3:$T$52,0,AG$11,120,1),$A54)=0,"",$AB54)</f>
        <v/>
      </c>
      <c r="AH54" cm="1">
        <f t="array" aca="1" ref="AH54" ca="1">IF(INDEX(OFFSET(tblCountries!$T$3:$T$52,0,AH$11,120,1),$A54)=0,"",$AB54)</f>
        <v>82.8</v>
      </c>
      <c r="AI54" t="str" cm="1">
        <f t="array" aca="1" ref="AI54" ca="1">IF(INDEX(OFFSET(tblCountries!$T$3:$T$52,0,AI$11,120,1),$A54)=0,"",$AB54)</f>
        <v/>
      </c>
      <c r="AJ54" t="str" cm="1">
        <f t="array" aca="1" ref="AJ54" ca="1">IF(INDEX(OFFSET(tblCountries!$T$3:$T$52,0,AJ$11,120,1),$A54)=0,"",$AB54)</f>
        <v/>
      </c>
      <c r="AK54" cm="1">
        <f t="array" aca="1" ref="AK54" ca="1">IF(INDEX(OFFSET(tblCountries!$T$3:$T$52,0,AK$11,120,1),$A54)=0,"",$AB54)</f>
        <v>82.8</v>
      </c>
      <c r="AL54" t="str" cm="1">
        <f t="array" aca="1" ref="AL54" ca="1">IF(INDEX(OFFSET(tblCountries!$T$3:$T$52,0,AL$11,120,1),$A54)=0,"",$AB54)</f>
        <v/>
      </c>
      <c r="AM54" t="str" cm="1">
        <f t="array" aca="1" ref="AM54" ca="1">IF(INDEX(OFFSET(tblCountries!$T$3:$T$52,0,AM$11,120,1),$A54)=0,"",$AB54)</f>
        <v/>
      </c>
      <c r="AN54" t="str" cm="1">
        <f t="array" aca="1" ref="AN54" ca="1">IF(INDEX(OFFSET(tblCountries!$T$3:$T$52,0,AN$11,120,1),$A54)=0,"",$AB54)</f>
        <v/>
      </c>
      <c r="AO54" t="str" cm="1">
        <f t="array" aca="1" ref="AO54" ca="1">IF(INDEX(OFFSET(tblCountries!$T$3:$T$52,0,AO$11,120,1),$A54)=0,"",$AB54)</f>
        <v/>
      </c>
      <c r="AP54" t="str" cm="1">
        <f t="array" aca="1" ref="AP54" ca="1">IF(INDEX(OFFSET(tblCountries!$T$3:$T$52,0,AP$11,120,1),$A54)=0,"",$AB54)</f>
        <v/>
      </c>
      <c r="AQ54" t="str" cm="1">
        <f t="array" aca="1" ref="AQ54" ca="1">IF(INDEX(OFFSET(tblCountries!$T$3:$T$52,0,AQ$11,120,1),$A54)=0,"",$AB54)</f>
        <v/>
      </c>
      <c r="AR54" t="str" cm="1">
        <f t="array" aca="1" ref="AR54" ca="1">IF(INDEX(OFFSET(tblCountries!$T$3:$T$52,0,AR$11,120,1),$A54)=0,"",$AB54)</f>
        <v/>
      </c>
      <c r="AS54" t="str" cm="1">
        <f t="array" aca="1" ref="AS54" ca="1">IF(INDEX(OFFSET(tblCountries!$T$3:$T$52,0,AS$11,120,1),$A54)=0,"",$AB54)</f>
        <v/>
      </c>
      <c r="AT54" t="str" cm="1">
        <f t="array" aca="1" ref="AT54" ca="1">IF(INDEX(OFFSET(tblCountries!$T$3:$T$52,0,AT$11,120,1),$A54)=0,"",$AB54)</f>
        <v/>
      </c>
      <c r="AU54" t="str" cm="1">
        <f t="array" aca="1" ref="AU54" ca="1">IF(INDEX(OFFSET(tblCountries!$T$3:$T$52,0,AU$11,120,1),$A54)=0,"",$AB54)</f>
        <v/>
      </c>
      <c r="AV54" t="str" cm="1">
        <f t="array" aca="1" ref="AV54" ca="1">IF(INDEX(OFFSET(tblCountries!$T$3:$T$52,0,AV$11,120,1),$A54)=0,"",$AB54)</f>
        <v/>
      </c>
      <c r="AZ54">
        <f t="shared" ca="1" si="9"/>
        <v>1</v>
      </c>
      <c r="BA54">
        <f t="shared" ca="1" si="10"/>
        <v>0</v>
      </c>
      <c r="BB54">
        <f t="shared" ca="1" si="11"/>
        <v>0</v>
      </c>
      <c r="BC54">
        <f t="shared" ca="1" si="12"/>
        <v>0</v>
      </c>
      <c r="BD54">
        <f t="shared" ca="1" si="13"/>
        <v>0</v>
      </c>
      <c r="BE54">
        <f t="shared" ca="1" si="14"/>
        <v>0</v>
      </c>
      <c r="BF54">
        <f t="shared" ca="1" si="15"/>
        <v>1</v>
      </c>
      <c r="BG54">
        <f t="shared" ca="1" si="16"/>
        <v>0</v>
      </c>
      <c r="BH54">
        <f t="shared" ca="1" si="17"/>
        <v>0</v>
      </c>
      <c r="BI54">
        <f t="shared" ca="1" si="18"/>
        <v>1</v>
      </c>
      <c r="BJ54">
        <f t="shared" ca="1" si="19"/>
        <v>0</v>
      </c>
    </row>
    <row r="55" spans="1:62" x14ac:dyDescent="0.4">
      <c r="A55">
        <v>43</v>
      </c>
      <c r="B55" t="str">
        <f>tblCountries!H45</f>
        <v>Shanghai, China</v>
      </c>
      <c r="C55" t="str" cm="1">
        <f t="array" aca="1" ref="C55" ca="1">IF(AND($C$2=1,NOT(ISNUMBER(INDEX(auto_DataFlat_DataValue,$D55,$B$4)))),"EXCLUDE","")</f>
        <v/>
      </c>
      <c r="D55" cm="1">
        <f t="array" aca="1" ref="D55" ca="1">INDEX(sys_DataFlat_LU_Grid,$B$2,$A55)</f>
        <v>43</v>
      </c>
      <c r="E55" cm="1">
        <f t="array" aca="1" ref="E55" ca="1">IF(C55="EXCLUDE","n/a",IF($B$6="DATA",INDEX(auto_DataFlat_DataValue,$D55,$B$4),INDEX(auto_DataFlat_Score,$D55,$B$4)))</f>
        <v>65.3</v>
      </c>
      <c r="F55" t="str" cm="1">
        <f t="array" aca="1" ref="F55" ca="1">IF(INDEX(OFFSET(tblCountries!$T$3:$T$52,0,F$11,120,1),$A55)=0,"",$E55)</f>
        <v/>
      </c>
      <c r="G55" t="str" cm="1">
        <f t="array" aca="1" ref="G55" ca="1">IF(INDEX(OFFSET(tblCountries!$T$3:$T$52,0,G$11,120,1),$A55)=0,"",$E55)</f>
        <v/>
      </c>
      <c r="H55" t="str" cm="1">
        <f t="array" aca="1" ref="H55" ca="1">IF(INDEX(OFFSET(tblCountries!$T$3:$T$52,0,H$11,120,1),$A55)=0,"",$E55)</f>
        <v/>
      </c>
      <c r="I55" t="str" cm="1">
        <f t="array" aca="1" ref="I55" ca="1">IF(INDEX(OFFSET(tblCountries!$T$3:$T$52,0,I$11,120,1),$A55)=0,"",$E55)</f>
        <v/>
      </c>
      <c r="J55" t="str" cm="1">
        <f t="array" aca="1" ref="J55" ca="1">IF(INDEX(OFFSET(tblCountries!$T$3:$T$52,0,J$11,120,1),$A55)=0,"",$E55)</f>
        <v/>
      </c>
      <c r="K55" cm="1">
        <f t="array" aca="1" ref="K55" ca="1">IF(INDEX(OFFSET(tblCountries!$T$3:$T$52,0,K$11,120,1),$A55)=0,"",$E55)</f>
        <v>65.3</v>
      </c>
      <c r="L55" t="str" cm="1">
        <f t="array" aca="1" ref="L55" ca="1">IF(INDEX(OFFSET(tblCountries!$T$3:$T$52,0,L$11,120,1),$A55)=0,"",$E55)</f>
        <v/>
      </c>
      <c r="M55" cm="1">
        <f t="array" aca="1" ref="M55" ca="1">IF(INDEX(OFFSET(tblCountries!$T$3:$T$52,0,M$11,120,1),$A55)=0,"",$E55)</f>
        <v>65.3</v>
      </c>
      <c r="N55" t="str" cm="1">
        <f t="array" aca="1" ref="N55" ca="1">IF(INDEX(OFFSET(tblCountries!$T$3:$T$52,0,N$11,120,1),$A55)=0,"",$E55)</f>
        <v/>
      </c>
      <c r="O55" t="str" cm="1">
        <f t="array" aca="1" ref="O55" ca="1">IF(INDEX(OFFSET(tblCountries!$T$3:$T$52,0,O$11,120,1),$A55)=0,"",$E55)</f>
        <v/>
      </c>
      <c r="P55" t="str" cm="1">
        <f t="array" aca="1" ref="P55" ca="1">IF(INDEX(OFFSET(tblCountries!$T$3:$T$52,0,P$11,120,1),$A55)=0,"",$E55)</f>
        <v/>
      </c>
      <c r="Q55" t="str" cm="1">
        <f t="array" aca="1" ref="Q55" ca="1">IF(INDEX(OFFSET(tblCountries!$T$3:$T$52,0,Q$11,120,1),$A55)=0,"",$E55)</f>
        <v/>
      </c>
      <c r="R55" t="str" cm="1">
        <f t="array" aca="1" ref="R55" ca="1">IF(INDEX(OFFSET(tblCountries!$T$3:$T$52,0,R$11,120,1),$A55)=0,"",$E55)</f>
        <v/>
      </c>
      <c r="S55" t="str" cm="1">
        <f t="array" aca="1" ref="S55" ca="1">IF(INDEX(OFFSET(tblCountries!$T$3:$T$52,0,S$11,120,1),$A55)=0,"",$E55)</f>
        <v/>
      </c>
      <c r="T55" t="str" cm="1">
        <f t="array" aca="1" ref="T55" ca="1">IF(INDEX(OFFSET(tblCountries!$T$3:$T$52,0,T$11,120,1),$A55)=0,"",$E55)</f>
        <v/>
      </c>
      <c r="U55" t="str" cm="1">
        <f t="array" aca="1" ref="U55" ca="1">IF(INDEX(OFFSET(tblCountries!$T$3:$T$52,0,U$11,120,1),$A55)=0,"",$E55)</f>
        <v/>
      </c>
      <c r="V55" t="str" cm="1">
        <f t="array" aca="1" ref="V55" ca="1">IF(INDEX(OFFSET(tblCountries!$T$3:$T$52,0,V$11,120,1),$A55)=0,"",$E55)</f>
        <v/>
      </c>
      <c r="W55" t="str" cm="1">
        <f t="array" aca="1" ref="W55" ca="1">IF(INDEX(OFFSET(tblCountries!$T$3:$T$52,0,W$11,120,1),$A55)=0,"",$E55)</f>
        <v/>
      </c>
      <c r="X55" t="str" cm="1">
        <f t="array" aca="1" ref="X55" ca="1">IF(INDEX(OFFSET(tblCountries!$T$3:$T$52,0,X$11,120,1),$A55)=0,"",$E55)</f>
        <v/>
      </c>
      <c r="Y55" t="str" cm="1">
        <f t="array" aca="1" ref="Y55" ca="1">IF(INDEX(OFFSET(tblCountries!$T$3:$T$52,0,Y$11,120,1),$A55)=0,"",$E55)</f>
        <v/>
      </c>
      <c r="Z55" t="str" cm="1">
        <f t="array" aca="1" ref="Z55" ca="1">IF(AND($C$3=1,NOT(ISNUMBER(INDEX(auto_DataFlat_DataValue,$AA55,$B$4)))),"EXCLUDE","")</f>
        <v/>
      </c>
      <c r="AA55" cm="1">
        <f t="array" aca="1" ref="AA55" ca="1">INDEX(sys_DataFlat_LU_Grid,$B$3,$A55)</f>
        <v>103</v>
      </c>
      <c r="AB55" cm="1">
        <f t="array" aca="1" ref="AB55" ca="1">IF(Z55="EXCLUDE","n/a",IF($B$7="DATA",INDEX(auto_DataFlat_DataValue,$AA55,$B$4),INDEX(auto_DataFlat_Score,$AA55,$B$4)))</f>
        <v>54.3</v>
      </c>
      <c r="AC55" t="str" cm="1">
        <f t="array" aca="1" ref="AC55" ca="1">IF(INDEX(OFFSET(tblCountries!$T$3:$T$52,0,AC$11,120,1),$A55)=0,"",$AB55)</f>
        <v/>
      </c>
      <c r="AD55" t="str" cm="1">
        <f t="array" aca="1" ref="AD55" ca="1">IF(INDEX(OFFSET(tblCountries!$T$3:$T$52,0,AD$11,120,1),$A55)=0,"",$AB55)</f>
        <v/>
      </c>
      <c r="AE55" t="str" cm="1">
        <f t="array" aca="1" ref="AE55" ca="1">IF(INDEX(OFFSET(tblCountries!$T$3:$T$52,0,AE$11,120,1),$A55)=0,"",$AB55)</f>
        <v/>
      </c>
      <c r="AF55" t="str" cm="1">
        <f t="array" aca="1" ref="AF55" ca="1">IF(INDEX(OFFSET(tblCountries!$T$3:$T$52,0,AF$11,120,1),$A55)=0,"",$AB55)</f>
        <v/>
      </c>
      <c r="AG55" t="str" cm="1">
        <f t="array" aca="1" ref="AG55" ca="1">IF(INDEX(OFFSET(tblCountries!$T$3:$T$52,0,AG$11,120,1),$A55)=0,"",$AB55)</f>
        <v/>
      </c>
      <c r="AH55" cm="1">
        <f t="array" aca="1" ref="AH55" ca="1">IF(INDEX(OFFSET(tblCountries!$T$3:$T$52,0,AH$11,120,1),$A55)=0,"",$AB55)</f>
        <v>54.3</v>
      </c>
      <c r="AI55" t="str" cm="1">
        <f t="array" aca="1" ref="AI55" ca="1">IF(INDEX(OFFSET(tblCountries!$T$3:$T$52,0,AI$11,120,1),$A55)=0,"",$AB55)</f>
        <v/>
      </c>
      <c r="AJ55" cm="1">
        <f t="array" aca="1" ref="AJ55" ca="1">IF(INDEX(OFFSET(tblCountries!$T$3:$T$52,0,AJ$11,120,1),$A55)=0,"",$AB55)</f>
        <v>54.3</v>
      </c>
      <c r="AK55" t="str" cm="1">
        <f t="array" aca="1" ref="AK55" ca="1">IF(INDEX(OFFSET(tblCountries!$T$3:$T$52,0,AK$11,120,1),$A55)=0,"",$AB55)</f>
        <v/>
      </c>
      <c r="AL55" t="str" cm="1">
        <f t="array" aca="1" ref="AL55" ca="1">IF(INDEX(OFFSET(tblCountries!$T$3:$T$52,0,AL$11,120,1),$A55)=0,"",$AB55)</f>
        <v/>
      </c>
      <c r="AM55" t="str" cm="1">
        <f t="array" aca="1" ref="AM55" ca="1">IF(INDEX(OFFSET(tblCountries!$T$3:$T$52,0,AM$11,120,1),$A55)=0,"",$AB55)</f>
        <v/>
      </c>
      <c r="AN55" t="str" cm="1">
        <f t="array" aca="1" ref="AN55" ca="1">IF(INDEX(OFFSET(tblCountries!$T$3:$T$52,0,AN$11,120,1),$A55)=0,"",$AB55)</f>
        <v/>
      </c>
      <c r="AO55" t="str" cm="1">
        <f t="array" aca="1" ref="AO55" ca="1">IF(INDEX(OFFSET(tblCountries!$T$3:$T$52,0,AO$11,120,1),$A55)=0,"",$AB55)</f>
        <v/>
      </c>
      <c r="AP55" t="str" cm="1">
        <f t="array" aca="1" ref="AP55" ca="1">IF(INDEX(OFFSET(tblCountries!$T$3:$T$52,0,AP$11,120,1),$A55)=0,"",$AB55)</f>
        <v/>
      </c>
      <c r="AQ55" t="str" cm="1">
        <f t="array" aca="1" ref="AQ55" ca="1">IF(INDEX(OFFSET(tblCountries!$T$3:$T$52,0,AQ$11,120,1),$A55)=0,"",$AB55)</f>
        <v/>
      </c>
      <c r="AR55" t="str" cm="1">
        <f t="array" aca="1" ref="AR55" ca="1">IF(INDEX(OFFSET(tblCountries!$T$3:$T$52,0,AR$11,120,1),$A55)=0,"",$AB55)</f>
        <v/>
      </c>
      <c r="AS55" t="str" cm="1">
        <f t="array" aca="1" ref="AS55" ca="1">IF(INDEX(OFFSET(tblCountries!$T$3:$T$52,0,AS$11,120,1),$A55)=0,"",$AB55)</f>
        <v/>
      </c>
      <c r="AT55" t="str" cm="1">
        <f t="array" aca="1" ref="AT55" ca="1">IF(INDEX(OFFSET(tblCountries!$T$3:$T$52,0,AT$11,120,1),$A55)=0,"",$AB55)</f>
        <v/>
      </c>
      <c r="AU55" t="str" cm="1">
        <f t="array" aca="1" ref="AU55" ca="1">IF(INDEX(OFFSET(tblCountries!$T$3:$T$52,0,AU$11,120,1),$A55)=0,"",$AB55)</f>
        <v/>
      </c>
      <c r="AV55" t="str" cm="1">
        <f t="array" aca="1" ref="AV55" ca="1">IF(INDEX(OFFSET(tblCountries!$T$3:$T$52,0,AV$11,120,1),$A55)=0,"",$AB55)</f>
        <v/>
      </c>
      <c r="AZ55">
        <f t="shared" ca="1" si="9"/>
        <v>1</v>
      </c>
      <c r="BA55">
        <f t="shared" ca="1" si="10"/>
        <v>0</v>
      </c>
      <c r="BB55">
        <f t="shared" ca="1" si="11"/>
        <v>0</v>
      </c>
      <c r="BC55">
        <f t="shared" ca="1" si="12"/>
        <v>0</v>
      </c>
      <c r="BD55">
        <f t="shared" ca="1" si="13"/>
        <v>0</v>
      </c>
      <c r="BE55">
        <f t="shared" ca="1" si="14"/>
        <v>0</v>
      </c>
      <c r="BF55">
        <f t="shared" ca="1" si="15"/>
        <v>1</v>
      </c>
      <c r="BG55">
        <f t="shared" ca="1" si="16"/>
        <v>0</v>
      </c>
      <c r="BH55">
        <f t="shared" ca="1" si="17"/>
        <v>1</v>
      </c>
      <c r="BI55">
        <f t="shared" ca="1" si="18"/>
        <v>0</v>
      </c>
      <c r="BJ55">
        <f t="shared" ca="1" si="19"/>
        <v>0</v>
      </c>
    </row>
    <row r="56" spans="1:62" x14ac:dyDescent="0.4">
      <c r="A56">
        <v>44</v>
      </c>
      <c r="B56" t="str">
        <f>tblCountries!H46</f>
        <v>Singapore, Singapore</v>
      </c>
      <c r="C56" t="str" cm="1">
        <f t="array" aca="1" ref="C56" ca="1">IF(AND($C$2=1,NOT(ISNUMBER(INDEX(auto_DataFlat_DataValue,$D56,$B$4)))),"EXCLUDE","")</f>
        <v/>
      </c>
      <c r="D56" cm="1">
        <f t="array" aca="1" ref="D56" ca="1">INDEX(sys_DataFlat_LU_Grid,$B$2,$A56)</f>
        <v>44</v>
      </c>
      <c r="E56" cm="1">
        <f t="array" aca="1" ref="E56" ca="1">IF(C56="EXCLUDE","n/a",IF($B$6="DATA",INDEX(auto_DataFlat_DataValue,$D56,$B$4),INDEX(auto_DataFlat_Score,$D56,$B$4)))</f>
        <v>76.099999999999994</v>
      </c>
      <c r="F56" t="str" cm="1">
        <f t="array" aca="1" ref="F56" ca="1">IF(INDEX(OFFSET(tblCountries!$T$3:$T$52,0,F$11,120,1),$A56)=0,"",$E56)</f>
        <v/>
      </c>
      <c r="G56" t="str" cm="1">
        <f t="array" aca="1" ref="G56" ca="1">IF(INDEX(OFFSET(tblCountries!$T$3:$T$52,0,G$11,120,1),$A56)=0,"",$E56)</f>
        <v/>
      </c>
      <c r="H56" t="str" cm="1">
        <f t="array" aca="1" ref="H56" ca="1">IF(INDEX(OFFSET(tblCountries!$T$3:$T$52,0,H$11,120,1),$A56)=0,"",$E56)</f>
        <v/>
      </c>
      <c r="I56" t="str" cm="1">
        <f t="array" aca="1" ref="I56" ca="1">IF(INDEX(OFFSET(tblCountries!$T$3:$T$52,0,I$11,120,1),$A56)=0,"",$E56)</f>
        <v/>
      </c>
      <c r="J56" t="str" cm="1">
        <f t="array" aca="1" ref="J56" ca="1">IF(INDEX(OFFSET(tblCountries!$T$3:$T$52,0,J$11,120,1),$A56)=0,"",$E56)</f>
        <v/>
      </c>
      <c r="K56" cm="1">
        <f t="array" aca="1" ref="K56" ca="1">IF(INDEX(OFFSET(tblCountries!$T$3:$T$52,0,K$11,120,1),$A56)=0,"",$E56)</f>
        <v>76.099999999999994</v>
      </c>
      <c r="L56" t="str" cm="1">
        <f t="array" aca="1" ref="L56" ca="1">IF(INDEX(OFFSET(tblCountries!$T$3:$T$52,0,L$11,120,1),$A56)=0,"",$E56)</f>
        <v/>
      </c>
      <c r="M56" t="str" cm="1">
        <f t="array" aca="1" ref="M56" ca="1">IF(INDEX(OFFSET(tblCountries!$T$3:$T$52,0,M$11,120,1),$A56)=0,"",$E56)</f>
        <v/>
      </c>
      <c r="N56" cm="1">
        <f t="array" aca="1" ref="N56" ca="1">IF(INDEX(OFFSET(tblCountries!$T$3:$T$52,0,N$11,120,1),$A56)=0,"",$E56)</f>
        <v>76.099999999999994</v>
      </c>
      <c r="O56" t="str" cm="1">
        <f t="array" aca="1" ref="O56" ca="1">IF(INDEX(OFFSET(tblCountries!$T$3:$T$52,0,O$11,120,1),$A56)=0,"",$E56)</f>
        <v/>
      </c>
      <c r="P56" t="str" cm="1">
        <f t="array" aca="1" ref="P56" ca="1">IF(INDEX(OFFSET(tblCountries!$T$3:$T$52,0,P$11,120,1),$A56)=0,"",$E56)</f>
        <v/>
      </c>
      <c r="Q56" t="str" cm="1">
        <f t="array" aca="1" ref="Q56" ca="1">IF(INDEX(OFFSET(tblCountries!$T$3:$T$52,0,Q$11,120,1),$A56)=0,"",$E56)</f>
        <v/>
      </c>
      <c r="R56" t="str" cm="1">
        <f t="array" aca="1" ref="R56" ca="1">IF(INDEX(OFFSET(tblCountries!$T$3:$T$52,0,R$11,120,1),$A56)=0,"",$E56)</f>
        <v/>
      </c>
      <c r="S56" t="str" cm="1">
        <f t="array" aca="1" ref="S56" ca="1">IF(INDEX(OFFSET(tblCountries!$T$3:$T$52,0,S$11,120,1),$A56)=0,"",$E56)</f>
        <v/>
      </c>
      <c r="T56" t="str" cm="1">
        <f t="array" aca="1" ref="T56" ca="1">IF(INDEX(OFFSET(tblCountries!$T$3:$T$52,0,T$11,120,1),$A56)=0,"",$E56)</f>
        <v/>
      </c>
      <c r="U56" t="str" cm="1">
        <f t="array" aca="1" ref="U56" ca="1">IF(INDEX(OFFSET(tblCountries!$T$3:$T$52,0,U$11,120,1),$A56)=0,"",$E56)</f>
        <v/>
      </c>
      <c r="V56" t="str" cm="1">
        <f t="array" aca="1" ref="V56" ca="1">IF(INDEX(OFFSET(tblCountries!$T$3:$T$52,0,V$11,120,1),$A56)=0,"",$E56)</f>
        <v/>
      </c>
      <c r="W56" t="str" cm="1">
        <f t="array" aca="1" ref="W56" ca="1">IF(INDEX(OFFSET(tblCountries!$T$3:$T$52,0,W$11,120,1),$A56)=0,"",$E56)</f>
        <v/>
      </c>
      <c r="X56" t="str" cm="1">
        <f t="array" aca="1" ref="X56" ca="1">IF(INDEX(OFFSET(tblCountries!$T$3:$T$52,0,X$11,120,1),$A56)=0,"",$E56)</f>
        <v/>
      </c>
      <c r="Y56" t="str" cm="1">
        <f t="array" aca="1" ref="Y56" ca="1">IF(INDEX(OFFSET(tblCountries!$T$3:$T$52,0,Y$11,120,1),$A56)=0,"",$E56)</f>
        <v/>
      </c>
      <c r="Z56" t="str" cm="1">
        <f t="array" aca="1" ref="Z56" ca="1">IF(AND($C$3=1,NOT(ISNUMBER(INDEX(auto_DataFlat_DataValue,$AA56,$B$4)))),"EXCLUDE","")</f>
        <v/>
      </c>
      <c r="AA56" cm="1">
        <f t="array" aca="1" ref="AA56" ca="1">INDEX(sys_DataFlat_LU_Grid,$B$3,$A56)</f>
        <v>104</v>
      </c>
      <c r="AB56" cm="1">
        <f t="array" aca="1" ref="AB56" ca="1">IF(Z56="EXCLUDE","n/a",IF($B$7="DATA",INDEX(auto_DataFlat_DataValue,$AA56,$B$4),INDEX(auto_DataFlat_Score,$AA56,$B$4)))</f>
        <v>86.2</v>
      </c>
      <c r="AC56" t="str" cm="1">
        <f t="array" aca="1" ref="AC56" ca="1">IF(INDEX(OFFSET(tblCountries!$T$3:$T$52,0,AC$11,120,1),$A56)=0,"",$AB56)</f>
        <v/>
      </c>
      <c r="AD56" t="str" cm="1">
        <f t="array" aca="1" ref="AD56" ca="1">IF(INDEX(OFFSET(tblCountries!$T$3:$T$52,0,AD$11,120,1),$A56)=0,"",$AB56)</f>
        <v/>
      </c>
      <c r="AE56" t="str" cm="1">
        <f t="array" aca="1" ref="AE56" ca="1">IF(INDEX(OFFSET(tblCountries!$T$3:$T$52,0,AE$11,120,1),$A56)=0,"",$AB56)</f>
        <v/>
      </c>
      <c r="AF56" t="str" cm="1">
        <f t="array" aca="1" ref="AF56" ca="1">IF(INDEX(OFFSET(tblCountries!$T$3:$T$52,0,AF$11,120,1),$A56)=0,"",$AB56)</f>
        <v/>
      </c>
      <c r="AG56" t="str" cm="1">
        <f t="array" aca="1" ref="AG56" ca="1">IF(INDEX(OFFSET(tblCountries!$T$3:$T$52,0,AG$11,120,1),$A56)=0,"",$AB56)</f>
        <v/>
      </c>
      <c r="AH56" cm="1">
        <f t="array" aca="1" ref="AH56" ca="1">IF(INDEX(OFFSET(tblCountries!$T$3:$T$52,0,AH$11,120,1),$A56)=0,"",$AB56)</f>
        <v>86.2</v>
      </c>
      <c r="AI56" t="str" cm="1">
        <f t="array" aca="1" ref="AI56" ca="1">IF(INDEX(OFFSET(tblCountries!$T$3:$T$52,0,AI$11,120,1),$A56)=0,"",$AB56)</f>
        <v/>
      </c>
      <c r="AJ56" t="str" cm="1">
        <f t="array" aca="1" ref="AJ56" ca="1">IF(INDEX(OFFSET(tblCountries!$T$3:$T$52,0,AJ$11,120,1),$A56)=0,"",$AB56)</f>
        <v/>
      </c>
      <c r="AK56" cm="1">
        <f t="array" aca="1" ref="AK56" ca="1">IF(INDEX(OFFSET(tblCountries!$T$3:$T$52,0,AK$11,120,1),$A56)=0,"",$AB56)</f>
        <v>86.2</v>
      </c>
      <c r="AL56" t="str" cm="1">
        <f t="array" aca="1" ref="AL56" ca="1">IF(INDEX(OFFSET(tblCountries!$T$3:$T$52,0,AL$11,120,1),$A56)=0,"",$AB56)</f>
        <v/>
      </c>
      <c r="AM56" t="str" cm="1">
        <f t="array" aca="1" ref="AM56" ca="1">IF(INDEX(OFFSET(tblCountries!$T$3:$T$52,0,AM$11,120,1),$A56)=0,"",$AB56)</f>
        <v/>
      </c>
      <c r="AN56" t="str" cm="1">
        <f t="array" aca="1" ref="AN56" ca="1">IF(INDEX(OFFSET(tblCountries!$T$3:$T$52,0,AN$11,120,1),$A56)=0,"",$AB56)</f>
        <v/>
      </c>
      <c r="AO56" t="str" cm="1">
        <f t="array" aca="1" ref="AO56" ca="1">IF(INDEX(OFFSET(tblCountries!$T$3:$T$52,0,AO$11,120,1),$A56)=0,"",$AB56)</f>
        <v/>
      </c>
      <c r="AP56" t="str" cm="1">
        <f t="array" aca="1" ref="AP56" ca="1">IF(INDEX(OFFSET(tblCountries!$T$3:$T$52,0,AP$11,120,1),$A56)=0,"",$AB56)</f>
        <v/>
      </c>
      <c r="AQ56" t="str" cm="1">
        <f t="array" aca="1" ref="AQ56" ca="1">IF(INDEX(OFFSET(tblCountries!$T$3:$T$52,0,AQ$11,120,1),$A56)=0,"",$AB56)</f>
        <v/>
      </c>
      <c r="AR56" t="str" cm="1">
        <f t="array" aca="1" ref="AR56" ca="1">IF(INDEX(OFFSET(tblCountries!$T$3:$T$52,0,AR$11,120,1),$A56)=0,"",$AB56)</f>
        <v/>
      </c>
      <c r="AS56" t="str" cm="1">
        <f t="array" aca="1" ref="AS56" ca="1">IF(INDEX(OFFSET(tblCountries!$T$3:$T$52,0,AS$11,120,1),$A56)=0,"",$AB56)</f>
        <v/>
      </c>
      <c r="AT56" t="str" cm="1">
        <f t="array" aca="1" ref="AT56" ca="1">IF(INDEX(OFFSET(tblCountries!$T$3:$T$52,0,AT$11,120,1),$A56)=0,"",$AB56)</f>
        <v/>
      </c>
      <c r="AU56" t="str" cm="1">
        <f t="array" aca="1" ref="AU56" ca="1">IF(INDEX(OFFSET(tblCountries!$T$3:$T$52,0,AU$11,120,1),$A56)=0,"",$AB56)</f>
        <v/>
      </c>
      <c r="AV56" t="str" cm="1">
        <f t="array" aca="1" ref="AV56" ca="1">IF(INDEX(OFFSET(tblCountries!$T$3:$T$52,0,AV$11,120,1),$A56)=0,"",$AB56)</f>
        <v/>
      </c>
      <c r="AZ56">
        <f t="shared" ca="1" si="9"/>
        <v>1</v>
      </c>
      <c r="BA56">
        <f t="shared" ca="1" si="10"/>
        <v>0</v>
      </c>
      <c r="BB56">
        <f t="shared" ca="1" si="11"/>
        <v>0</v>
      </c>
      <c r="BC56">
        <f t="shared" ca="1" si="12"/>
        <v>0</v>
      </c>
      <c r="BD56">
        <f t="shared" ca="1" si="13"/>
        <v>0</v>
      </c>
      <c r="BE56">
        <f t="shared" ca="1" si="14"/>
        <v>0</v>
      </c>
      <c r="BF56">
        <f t="shared" ca="1" si="15"/>
        <v>1</v>
      </c>
      <c r="BG56">
        <f t="shared" ca="1" si="16"/>
        <v>0</v>
      </c>
      <c r="BH56">
        <f t="shared" ca="1" si="17"/>
        <v>0</v>
      </c>
      <c r="BI56">
        <f t="shared" ca="1" si="18"/>
        <v>1</v>
      </c>
      <c r="BJ56">
        <f t="shared" ca="1" si="19"/>
        <v>0</v>
      </c>
    </row>
    <row r="57" spans="1:62" x14ac:dyDescent="0.4">
      <c r="A57">
        <v>45</v>
      </c>
      <c r="B57" t="str">
        <f>tblCountries!H47</f>
        <v>Sydney, Australia</v>
      </c>
      <c r="C57" t="str" cm="1">
        <f t="array" aca="1" ref="C57" ca="1">IF(AND($C$2=1,NOT(ISNUMBER(INDEX(auto_DataFlat_DataValue,$D57,$B$4)))),"EXCLUDE","")</f>
        <v/>
      </c>
      <c r="D57" cm="1">
        <f t="array" aca="1" ref="D57" ca="1">INDEX(sys_DataFlat_LU_Grid,$B$2,$A57)</f>
        <v>45</v>
      </c>
      <c r="E57" cm="1">
        <f t="array" aca="1" ref="E57" ca="1">IF(C57="EXCLUDE","n/a",IF($B$6="DATA",INDEX(auto_DataFlat_DataValue,$D57,$B$4),INDEX(auto_DataFlat_Score,$D57,$B$4)))</f>
        <v>70.5</v>
      </c>
      <c r="F57" t="str" cm="1">
        <f t="array" aca="1" ref="F57" ca="1">IF(INDEX(OFFSET(tblCountries!$T$3:$T$52,0,F$11,120,1),$A57)=0,"",$E57)</f>
        <v/>
      </c>
      <c r="G57" t="str" cm="1">
        <f t="array" aca="1" ref="G57" ca="1">IF(INDEX(OFFSET(tblCountries!$T$3:$T$52,0,G$11,120,1),$A57)=0,"",$E57)</f>
        <v/>
      </c>
      <c r="H57" t="str" cm="1">
        <f t="array" aca="1" ref="H57" ca="1">IF(INDEX(OFFSET(tblCountries!$T$3:$T$52,0,H$11,120,1),$A57)=0,"",$E57)</f>
        <v/>
      </c>
      <c r="I57" t="str" cm="1">
        <f t="array" aca="1" ref="I57" ca="1">IF(INDEX(OFFSET(tblCountries!$T$3:$T$52,0,I$11,120,1),$A57)=0,"",$E57)</f>
        <v/>
      </c>
      <c r="J57" t="str" cm="1">
        <f t="array" aca="1" ref="J57" ca="1">IF(INDEX(OFFSET(tblCountries!$T$3:$T$52,0,J$11,120,1),$A57)=0,"",$E57)</f>
        <v/>
      </c>
      <c r="K57" cm="1">
        <f t="array" aca="1" ref="K57" ca="1">IF(INDEX(OFFSET(tblCountries!$T$3:$T$52,0,K$11,120,1),$A57)=0,"",$E57)</f>
        <v>70.5</v>
      </c>
      <c r="L57" t="str" cm="1">
        <f t="array" aca="1" ref="L57" ca="1">IF(INDEX(OFFSET(tblCountries!$T$3:$T$52,0,L$11,120,1),$A57)=0,"",$E57)</f>
        <v/>
      </c>
      <c r="M57" t="str" cm="1">
        <f t="array" aca="1" ref="M57" ca="1">IF(INDEX(OFFSET(tblCountries!$T$3:$T$52,0,M$11,120,1),$A57)=0,"",$E57)</f>
        <v/>
      </c>
      <c r="N57" cm="1">
        <f t="array" aca="1" ref="N57" ca="1">IF(INDEX(OFFSET(tblCountries!$T$3:$T$52,0,N$11,120,1),$A57)=0,"",$E57)</f>
        <v>70.5</v>
      </c>
      <c r="O57" t="str" cm="1">
        <f t="array" aca="1" ref="O57" ca="1">IF(INDEX(OFFSET(tblCountries!$T$3:$T$52,0,O$11,120,1),$A57)=0,"",$E57)</f>
        <v/>
      </c>
      <c r="P57" t="str" cm="1">
        <f t="array" aca="1" ref="P57" ca="1">IF(INDEX(OFFSET(tblCountries!$T$3:$T$52,0,P$11,120,1),$A57)=0,"",$E57)</f>
        <v/>
      </c>
      <c r="Q57" t="str" cm="1">
        <f t="array" aca="1" ref="Q57" ca="1">IF(INDEX(OFFSET(tblCountries!$T$3:$T$52,0,Q$11,120,1),$A57)=0,"",$E57)</f>
        <v/>
      </c>
      <c r="R57" t="str" cm="1">
        <f t="array" aca="1" ref="R57" ca="1">IF(INDEX(OFFSET(tblCountries!$T$3:$T$52,0,R$11,120,1),$A57)=0,"",$E57)</f>
        <v/>
      </c>
      <c r="S57" t="str" cm="1">
        <f t="array" aca="1" ref="S57" ca="1">IF(INDEX(OFFSET(tblCountries!$T$3:$T$52,0,S$11,120,1),$A57)=0,"",$E57)</f>
        <v/>
      </c>
      <c r="T57" t="str" cm="1">
        <f t="array" aca="1" ref="T57" ca="1">IF(INDEX(OFFSET(tblCountries!$T$3:$T$52,0,T$11,120,1),$A57)=0,"",$E57)</f>
        <v/>
      </c>
      <c r="U57" t="str" cm="1">
        <f t="array" aca="1" ref="U57" ca="1">IF(INDEX(OFFSET(tblCountries!$T$3:$T$52,0,U$11,120,1),$A57)=0,"",$E57)</f>
        <v/>
      </c>
      <c r="V57" t="str" cm="1">
        <f t="array" aca="1" ref="V57" ca="1">IF(INDEX(OFFSET(tblCountries!$T$3:$T$52,0,V$11,120,1),$A57)=0,"",$E57)</f>
        <v/>
      </c>
      <c r="W57" t="str" cm="1">
        <f t="array" aca="1" ref="W57" ca="1">IF(INDEX(OFFSET(tblCountries!$T$3:$T$52,0,W$11,120,1),$A57)=0,"",$E57)</f>
        <v/>
      </c>
      <c r="X57" t="str" cm="1">
        <f t="array" aca="1" ref="X57" ca="1">IF(INDEX(OFFSET(tblCountries!$T$3:$T$52,0,X$11,120,1),$A57)=0,"",$E57)</f>
        <v/>
      </c>
      <c r="Y57" t="str" cm="1">
        <f t="array" aca="1" ref="Y57" ca="1">IF(INDEX(OFFSET(tblCountries!$T$3:$T$52,0,Y$11,120,1),$A57)=0,"",$E57)</f>
        <v/>
      </c>
      <c r="Z57" t="str" cm="1">
        <f t="array" aca="1" ref="Z57" ca="1">IF(AND($C$3=1,NOT(ISNUMBER(INDEX(auto_DataFlat_DataValue,$AA57,$B$4)))),"EXCLUDE","")</f>
        <v/>
      </c>
      <c r="AA57" cm="1">
        <f t="array" aca="1" ref="AA57" ca="1">INDEX(sys_DataFlat_LU_Grid,$B$3,$A57)</f>
        <v>105</v>
      </c>
      <c r="AB57" cm="1">
        <f t="array" aca="1" ref="AB57" ca="1">IF(Z57="EXCLUDE","n/a",IF($B$7="DATA",INDEX(auto_DataFlat_DataValue,$AA57,$B$4),INDEX(auto_DataFlat_Score,$AA57,$B$4)))</f>
        <v>87.9</v>
      </c>
      <c r="AC57" t="str" cm="1">
        <f t="array" aca="1" ref="AC57" ca="1">IF(INDEX(OFFSET(tblCountries!$T$3:$T$52,0,AC$11,120,1),$A57)=0,"",$AB57)</f>
        <v/>
      </c>
      <c r="AD57" t="str" cm="1">
        <f t="array" aca="1" ref="AD57" ca="1">IF(INDEX(OFFSET(tblCountries!$T$3:$T$52,0,AD$11,120,1),$A57)=0,"",$AB57)</f>
        <v/>
      </c>
      <c r="AE57" t="str" cm="1">
        <f t="array" aca="1" ref="AE57" ca="1">IF(INDEX(OFFSET(tblCountries!$T$3:$T$52,0,AE$11,120,1),$A57)=0,"",$AB57)</f>
        <v/>
      </c>
      <c r="AF57" t="str" cm="1">
        <f t="array" aca="1" ref="AF57" ca="1">IF(INDEX(OFFSET(tblCountries!$T$3:$T$52,0,AF$11,120,1),$A57)=0,"",$AB57)</f>
        <v/>
      </c>
      <c r="AG57" t="str" cm="1">
        <f t="array" aca="1" ref="AG57" ca="1">IF(INDEX(OFFSET(tblCountries!$T$3:$T$52,0,AG$11,120,1),$A57)=0,"",$AB57)</f>
        <v/>
      </c>
      <c r="AH57" cm="1">
        <f t="array" aca="1" ref="AH57" ca="1">IF(INDEX(OFFSET(tblCountries!$T$3:$T$52,0,AH$11,120,1),$A57)=0,"",$AB57)</f>
        <v>87.9</v>
      </c>
      <c r="AI57" t="str" cm="1">
        <f t="array" aca="1" ref="AI57" ca="1">IF(INDEX(OFFSET(tblCountries!$T$3:$T$52,0,AI$11,120,1),$A57)=0,"",$AB57)</f>
        <v/>
      </c>
      <c r="AJ57" t="str" cm="1">
        <f t="array" aca="1" ref="AJ57" ca="1">IF(INDEX(OFFSET(tblCountries!$T$3:$T$52,0,AJ$11,120,1),$A57)=0,"",$AB57)</f>
        <v/>
      </c>
      <c r="AK57" cm="1">
        <f t="array" aca="1" ref="AK57" ca="1">IF(INDEX(OFFSET(tblCountries!$T$3:$T$52,0,AK$11,120,1),$A57)=0,"",$AB57)</f>
        <v>87.9</v>
      </c>
      <c r="AL57" t="str" cm="1">
        <f t="array" aca="1" ref="AL57" ca="1">IF(INDEX(OFFSET(tblCountries!$T$3:$T$52,0,AL$11,120,1),$A57)=0,"",$AB57)</f>
        <v/>
      </c>
      <c r="AM57" t="str" cm="1">
        <f t="array" aca="1" ref="AM57" ca="1">IF(INDEX(OFFSET(tblCountries!$T$3:$T$52,0,AM$11,120,1),$A57)=0,"",$AB57)</f>
        <v/>
      </c>
      <c r="AN57" t="str" cm="1">
        <f t="array" aca="1" ref="AN57" ca="1">IF(INDEX(OFFSET(tblCountries!$T$3:$T$52,0,AN$11,120,1),$A57)=0,"",$AB57)</f>
        <v/>
      </c>
      <c r="AO57" t="str" cm="1">
        <f t="array" aca="1" ref="AO57" ca="1">IF(INDEX(OFFSET(tblCountries!$T$3:$T$52,0,AO$11,120,1),$A57)=0,"",$AB57)</f>
        <v/>
      </c>
      <c r="AP57" t="str" cm="1">
        <f t="array" aca="1" ref="AP57" ca="1">IF(INDEX(OFFSET(tblCountries!$T$3:$T$52,0,AP$11,120,1),$A57)=0,"",$AB57)</f>
        <v/>
      </c>
      <c r="AQ57" t="str" cm="1">
        <f t="array" aca="1" ref="AQ57" ca="1">IF(INDEX(OFFSET(tblCountries!$T$3:$T$52,0,AQ$11,120,1),$A57)=0,"",$AB57)</f>
        <v/>
      </c>
      <c r="AR57" t="str" cm="1">
        <f t="array" aca="1" ref="AR57" ca="1">IF(INDEX(OFFSET(tblCountries!$T$3:$T$52,0,AR$11,120,1),$A57)=0,"",$AB57)</f>
        <v/>
      </c>
      <c r="AS57" t="str" cm="1">
        <f t="array" aca="1" ref="AS57" ca="1">IF(INDEX(OFFSET(tblCountries!$T$3:$T$52,0,AS$11,120,1),$A57)=0,"",$AB57)</f>
        <v/>
      </c>
      <c r="AT57" t="str" cm="1">
        <f t="array" aca="1" ref="AT57" ca="1">IF(INDEX(OFFSET(tblCountries!$T$3:$T$52,0,AT$11,120,1),$A57)=0,"",$AB57)</f>
        <v/>
      </c>
      <c r="AU57" t="str" cm="1">
        <f t="array" aca="1" ref="AU57" ca="1">IF(INDEX(OFFSET(tblCountries!$T$3:$T$52,0,AU$11,120,1),$A57)=0,"",$AB57)</f>
        <v/>
      </c>
      <c r="AV57" t="str" cm="1">
        <f t="array" aca="1" ref="AV57" ca="1">IF(INDEX(OFFSET(tblCountries!$T$3:$T$52,0,AV$11,120,1),$A57)=0,"",$AB57)</f>
        <v/>
      </c>
      <c r="AZ57">
        <f t="shared" ca="1" si="9"/>
        <v>1</v>
      </c>
      <c r="BA57">
        <f t="shared" ca="1" si="10"/>
        <v>0</v>
      </c>
      <c r="BB57">
        <f t="shared" ca="1" si="11"/>
        <v>0</v>
      </c>
      <c r="BC57">
        <f t="shared" ca="1" si="12"/>
        <v>0</v>
      </c>
      <c r="BD57">
        <f t="shared" ca="1" si="13"/>
        <v>0</v>
      </c>
      <c r="BE57">
        <f t="shared" ca="1" si="14"/>
        <v>0</v>
      </c>
      <c r="BF57">
        <f t="shared" ca="1" si="15"/>
        <v>1</v>
      </c>
      <c r="BG57">
        <f t="shared" ca="1" si="16"/>
        <v>0</v>
      </c>
      <c r="BH57">
        <f t="shared" ca="1" si="17"/>
        <v>0</v>
      </c>
      <c r="BI57">
        <f t="shared" ca="1" si="18"/>
        <v>1</v>
      </c>
      <c r="BJ57">
        <f t="shared" ca="1" si="19"/>
        <v>0</v>
      </c>
    </row>
    <row r="58" spans="1:62" x14ac:dyDescent="0.4">
      <c r="A58">
        <v>46</v>
      </c>
      <c r="B58" t="str">
        <f>tblCountries!H48</f>
        <v>Tokyo, Japan</v>
      </c>
      <c r="C58" t="str" cm="1">
        <f t="array" aca="1" ref="C58" ca="1">IF(AND($C$2=1,NOT(ISNUMBER(INDEX(auto_DataFlat_DataValue,$D58,$B$4)))),"EXCLUDE","")</f>
        <v/>
      </c>
      <c r="D58" cm="1">
        <f t="array" aca="1" ref="D58" ca="1">INDEX(sys_DataFlat_LU_Grid,$B$2,$A58)</f>
        <v>46</v>
      </c>
      <c r="E58" cm="1">
        <f t="array" aca="1" ref="E58" ca="1">IF(C58="EXCLUDE","n/a",IF($B$6="DATA",INDEX(auto_DataFlat_DataValue,$D58,$B$4),INDEX(auto_DataFlat_Score,$D58,$B$4)))</f>
        <v>76.099999999999994</v>
      </c>
      <c r="F58" t="str" cm="1">
        <f t="array" aca="1" ref="F58" ca="1">IF(INDEX(OFFSET(tblCountries!$T$3:$T$52,0,F$11,120,1),$A58)=0,"",$E58)</f>
        <v/>
      </c>
      <c r="G58" t="str" cm="1">
        <f t="array" aca="1" ref="G58" ca="1">IF(INDEX(OFFSET(tblCountries!$T$3:$T$52,0,G$11,120,1),$A58)=0,"",$E58)</f>
        <v/>
      </c>
      <c r="H58" t="str" cm="1">
        <f t="array" aca="1" ref="H58" ca="1">IF(INDEX(OFFSET(tblCountries!$T$3:$T$52,0,H$11,120,1),$A58)=0,"",$E58)</f>
        <v/>
      </c>
      <c r="I58" t="str" cm="1">
        <f t="array" aca="1" ref="I58" ca="1">IF(INDEX(OFFSET(tblCountries!$T$3:$T$52,0,I$11,120,1),$A58)=0,"",$E58)</f>
        <v/>
      </c>
      <c r="J58" t="str" cm="1">
        <f t="array" aca="1" ref="J58" ca="1">IF(INDEX(OFFSET(tblCountries!$T$3:$T$52,0,J$11,120,1),$A58)=0,"",$E58)</f>
        <v/>
      </c>
      <c r="K58" cm="1">
        <f t="array" aca="1" ref="K58" ca="1">IF(INDEX(OFFSET(tblCountries!$T$3:$T$52,0,K$11,120,1),$A58)=0,"",$E58)</f>
        <v>76.099999999999994</v>
      </c>
      <c r="L58" t="str" cm="1">
        <f t="array" aca="1" ref="L58" ca="1">IF(INDEX(OFFSET(tblCountries!$T$3:$T$52,0,L$11,120,1),$A58)=0,"",$E58)</f>
        <v/>
      </c>
      <c r="M58" t="str" cm="1">
        <f t="array" aca="1" ref="M58" ca="1">IF(INDEX(OFFSET(tblCountries!$T$3:$T$52,0,M$11,120,1),$A58)=0,"",$E58)</f>
        <v/>
      </c>
      <c r="N58" cm="1">
        <f t="array" aca="1" ref="N58" ca="1">IF(INDEX(OFFSET(tblCountries!$T$3:$T$52,0,N$11,120,1),$A58)=0,"",$E58)</f>
        <v>76.099999999999994</v>
      </c>
      <c r="O58" t="str" cm="1">
        <f t="array" aca="1" ref="O58" ca="1">IF(INDEX(OFFSET(tblCountries!$T$3:$T$52,0,O$11,120,1),$A58)=0,"",$E58)</f>
        <v/>
      </c>
      <c r="P58" t="str" cm="1">
        <f t="array" aca="1" ref="P58" ca="1">IF(INDEX(OFFSET(tblCountries!$T$3:$T$52,0,P$11,120,1),$A58)=0,"",$E58)</f>
        <v/>
      </c>
      <c r="Q58" t="str" cm="1">
        <f t="array" aca="1" ref="Q58" ca="1">IF(INDEX(OFFSET(tblCountries!$T$3:$T$52,0,Q$11,120,1),$A58)=0,"",$E58)</f>
        <v/>
      </c>
      <c r="R58" t="str" cm="1">
        <f t="array" aca="1" ref="R58" ca="1">IF(INDEX(OFFSET(tblCountries!$T$3:$T$52,0,R$11,120,1),$A58)=0,"",$E58)</f>
        <v/>
      </c>
      <c r="S58" t="str" cm="1">
        <f t="array" aca="1" ref="S58" ca="1">IF(INDEX(OFFSET(tblCountries!$T$3:$T$52,0,S$11,120,1),$A58)=0,"",$E58)</f>
        <v/>
      </c>
      <c r="T58" t="str" cm="1">
        <f t="array" aca="1" ref="T58" ca="1">IF(INDEX(OFFSET(tblCountries!$T$3:$T$52,0,T$11,120,1),$A58)=0,"",$E58)</f>
        <v/>
      </c>
      <c r="U58" t="str" cm="1">
        <f t="array" aca="1" ref="U58" ca="1">IF(INDEX(OFFSET(tblCountries!$T$3:$T$52,0,U$11,120,1),$A58)=0,"",$E58)</f>
        <v/>
      </c>
      <c r="V58" t="str" cm="1">
        <f t="array" aca="1" ref="V58" ca="1">IF(INDEX(OFFSET(tblCountries!$T$3:$T$52,0,V$11,120,1),$A58)=0,"",$E58)</f>
        <v/>
      </c>
      <c r="W58" t="str" cm="1">
        <f t="array" aca="1" ref="W58" ca="1">IF(INDEX(OFFSET(tblCountries!$T$3:$T$52,0,W$11,120,1),$A58)=0,"",$E58)</f>
        <v/>
      </c>
      <c r="X58" t="str" cm="1">
        <f t="array" aca="1" ref="X58" ca="1">IF(INDEX(OFFSET(tblCountries!$T$3:$T$52,0,X$11,120,1),$A58)=0,"",$E58)</f>
        <v/>
      </c>
      <c r="Y58" t="str" cm="1">
        <f t="array" aca="1" ref="Y58" ca="1">IF(INDEX(OFFSET(tblCountries!$T$3:$T$52,0,Y$11,120,1),$A58)=0,"",$E58)</f>
        <v/>
      </c>
      <c r="Z58" t="str" cm="1">
        <f t="array" aca="1" ref="Z58" ca="1">IF(AND($C$3=1,NOT(ISNUMBER(INDEX(auto_DataFlat_DataValue,$AA58,$B$4)))),"EXCLUDE","")</f>
        <v/>
      </c>
      <c r="AA58" cm="1">
        <f t="array" aca="1" ref="AA58" ca="1">INDEX(sys_DataFlat_LU_Grid,$B$3,$A58)</f>
        <v>106</v>
      </c>
      <c r="AB58" cm="1">
        <f t="array" aca="1" ref="AB58" ca="1">IF(Z58="EXCLUDE","n/a",IF($B$7="DATA",INDEX(auto_DataFlat_DataValue,$AA58,$B$4),INDEX(auto_DataFlat_Score,$AA58,$B$4)))</f>
        <v>84.2</v>
      </c>
      <c r="AC58" t="str" cm="1">
        <f t="array" aca="1" ref="AC58" ca="1">IF(INDEX(OFFSET(tblCountries!$T$3:$T$52,0,AC$11,120,1),$A58)=0,"",$AB58)</f>
        <v/>
      </c>
      <c r="AD58" t="str" cm="1">
        <f t="array" aca="1" ref="AD58" ca="1">IF(INDEX(OFFSET(tblCountries!$T$3:$T$52,0,AD$11,120,1),$A58)=0,"",$AB58)</f>
        <v/>
      </c>
      <c r="AE58" t="str" cm="1">
        <f t="array" aca="1" ref="AE58" ca="1">IF(INDEX(OFFSET(tblCountries!$T$3:$T$52,0,AE$11,120,1),$A58)=0,"",$AB58)</f>
        <v/>
      </c>
      <c r="AF58" t="str" cm="1">
        <f t="array" aca="1" ref="AF58" ca="1">IF(INDEX(OFFSET(tblCountries!$T$3:$T$52,0,AF$11,120,1),$A58)=0,"",$AB58)</f>
        <v/>
      </c>
      <c r="AG58" t="str" cm="1">
        <f t="array" aca="1" ref="AG58" ca="1">IF(INDEX(OFFSET(tblCountries!$T$3:$T$52,0,AG$11,120,1),$A58)=0,"",$AB58)</f>
        <v/>
      </c>
      <c r="AH58" cm="1">
        <f t="array" aca="1" ref="AH58" ca="1">IF(INDEX(OFFSET(tblCountries!$T$3:$T$52,0,AH$11,120,1),$A58)=0,"",$AB58)</f>
        <v>84.2</v>
      </c>
      <c r="AI58" t="str" cm="1">
        <f t="array" aca="1" ref="AI58" ca="1">IF(INDEX(OFFSET(tblCountries!$T$3:$T$52,0,AI$11,120,1),$A58)=0,"",$AB58)</f>
        <v/>
      </c>
      <c r="AJ58" t="str" cm="1">
        <f t="array" aca="1" ref="AJ58" ca="1">IF(INDEX(OFFSET(tblCountries!$T$3:$T$52,0,AJ$11,120,1),$A58)=0,"",$AB58)</f>
        <v/>
      </c>
      <c r="AK58" cm="1">
        <f t="array" aca="1" ref="AK58" ca="1">IF(INDEX(OFFSET(tblCountries!$T$3:$T$52,0,AK$11,120,1),$A58)=0,"",$AB58)</f>
        <v>84.2</v>
      </c>
      <c r="AL58" t="str" cm="1">
        <f t="array" aca="1" ref="AL58" ca="1">IF(INDEX(OFFSET(tblCountries!$T$3:$T$52,0,AL$11,120,1),$A58)=0,"",$AB58)</f>
        <v/>
      </c>
      <c r="AM58" t="str" cm="1">
        <f t="array" aca="1" ref="AM58" ca="1">IF(INDEX(OFFSET(tblCountries!$T$3:$T$52,0,AM$11,120,1),$A58)=0,"",$AB58)</f>
        <v/>
      </c>
      <c r="AN58" t="str" cm="1">
        <f t="array" aca="1" ref="AN58" ca="1">IF(INDEX(OFFSET(tblCountries!$T$3:$T$52,0,AN$11,120,1),$A58)=0,"",$AB58)</f>
        <v/>
      </c>
      <c r="AO58" t="str" cm="1">
        <f t="array" aca="1" ref="AO58" ca="1">IF(INDEX(OFFSET(tblCountries!$T$3:$T$52,0,AO$11,120,1),$A58)=0,"",$AB58)</f>
        <v/>
      </c>
      <c r="AP58" t="str" cm="1">
        <f t="array" aca="1" ref="AP58" ca="1">IF(INDEX(OFFSET(tblCountries!$T$3:$T$52,0,AP$11,120,1),$A58)=0,"",$AB58)</f>
        <v/>
      </c>
      <c r="AQ58" t="str" cm="1">
        <f t="array" aca="1" ref="AQ58" ca="1">IF(INDEX(OFFSET(tblCountries!$T$3:$T$52,0,AQ$11,120,1),$A58)=0,"",$AB58)</f>
        <v/>
      </c>
      <c r="AR58" t="str" cm="1">
        <f t="array" aca="1" ref="AR58" ca="1">IF(INDEX(OFFSET(tblCountries!$T$3:$T$52,0,AR$11,120,1),$A58)=0,"",$AB58)</f>
        <v/>
      </c>
      <c r="AS58" t="str" cm="1">
        <f t="array" aca="1" ref="AS58" ca="1">IF(INDEX(OFFSET(tblCountries!$T$3:$T$52,0,AS$11,120,1),$A58)=0,"",$AB58)</f>
        <v/>
      </c>
      <c r="AT58" t="str" cm="1">
        <f t="array" aca="1" ref="AT58" ca="1">IF(INDEX(OFFSET(tblCountries!$T$3:$T$52,0,AT$11,120,1),$A58)=0,"",$AB58)</f>
        <v/>
      </c>
      <c r="AU58" t="str" cm="1">
        <f t="array" aca="1" ref="AU58" ca="1">IF(INDEX(OFFSET(tblCountries!$T$3:$T$52,0,AU$11,120,1),$A58)=0,"",$AB58)</f>
        <v/>
      </c>
      <c r="AV58" t="str" cm="1">
        <f t="array" aca="1" ref="AV58" ca="1">IF(INDEX(OFFSET(tblCountries!$T$3:$T$52,0,AV$11,120,1),$A58)=0,"",$AB58)</f>
        <v/>
      </c>
      <c r="AZ58">
        <f t="shared" ca="1" si="9"/>
        <v>1</v>
      </c>
      <c r="BA58">
        <f t="shared" ca="1" si="10"/>
        <v>0</v>
      </c>
      <c r="BB58">
        <f t="shared" ca="1" si="11"/>
        <v>0</v>
      </c>
      <c r="BC58">
        <f t="shared" ca="1" si="12"/>
        <v>0</v>
      </c>
      <c r="BD58">
        <f t="shared" ca="1" si="13"/>
        <v>0</v>
      </c>
      <c r="BE58">
        <f t="shared" ca="1" si="14"/>
        <v>0</v>
      </c>
      <c r="BF58">
        <f t="shared" ca="1" si="15"/>
        <v>1</v>
      </c>
      <c r="BG58">
        <f t="shared" ca="1" si="16"/>
        <v>0</v>
      </c>
      <c r="BH58">
        <f t="shared" ca="1" si="17"/>
        <v>0</v>
      </c>
      <c r="BI58">
        <f t="shared" ca="1" si="18"/>
        <v>1</v>
      </c>
      <c r="BJ58">
        <f t="shared" ca="1" si="19"/>
        <v>0</v>
      </c>
    </row>
    <row r="59" spans="1:62" x14ac:dyDescent="0.4">
      <c r="A59">
        <v>47</v>
      </c>
      <c r="B59" t="str">
        <f>tblCountries!H49</f>
        <v>Toronto, Canada</v>
      </c>
      <c r="C59" t="str" cm="1">
        <f t="array" aca="1" ref="C59" ca="1">IF(AND($C$2=1,NOT(ISNUMBER(INDEX(auto_DataFlat_DataValue,$D59,$B$4)))),"EXCLUDE","")</f>
        <v/>
      </c>
      <c r="D59" cm="1">
        <f t="array" aca="1" ref="D59" ca="1">INDEX(sys_DataFlat_LU_Grid,$B$2,$A59)</f>
        <v>47</v>
      </c>
      <c r="E59" cm="1">
        <f t="array" aca="1" ref="E59" ca="1">IF(C59="EXCLUDE","n/a",IF($B$6="DATA",INDEX(auto_DataFlat_DataValue,$D59,$B$4),INDEX(auto_DataFlat_Score,$D59,$B$4)))</f>
        <v>77</v>
      </c>
      <c r="F59" t="str" cm="1">
        <f t="array" aca="1" ref="F59" ca="1">IF(INDEX(OFFSET(tblCountries!$T$3:$T$52,0,F$11,120,1),$A59)=0,"",$E59)</f>
        <v/>
      </c>
      <c r="G59" cm="1">
        <f t="array" aca="1" ref="G59" ca="1">IF(INDEX(OFFSET(tblCountries!$T$3:$T$52,0,G$11,120,1),$A59)=0,"",$E59)</f>
        <v>77</v>
      </c>
      <c r="H59" t="str" cm="1">
        <f t="array" aca="1" ref="H59" ca="1">IF(INDEX(OFFSET(tblCountries!$T$3:$T$52,0,H$11,120,1),$A59)=0,"",$E59)</f>
        <v/>
      </c>
      <c r="I59" t="str" cm="1">
        <f t="array" aca="1" ref="I59" ca="1">IF(INDEX(OFFSET(tblCountries!$T$3:$T$52,0,I$11,120,1),$A59)=0,"",$E59)</f>
        <v/>
      </c>
      <c r="J59" t="str" cm="1">
        <f t="array" aca="1" ref="J59" ca="1">IF(INDEX(OFFSET(tblCountries!$T$3:$T$52,0,J$11,120,1),$A59)=0,"",$E59)</f>
        <v/>
      </c>
      <c r="K59" t="str" cm="1">
        <f t="array" aca="1" ref="K59" ca="1">IF(INDEX(OFFSET(tblCountries!$T$3:$T$52,0,K$11,120,1),$A59)=0,"",$E59)</f>
        <v/>
      </c>
      <c r="L59" t="str" cm="1">
        <f t="array" aca="1" ref="L59" ca="1">IF(INDEX(OFFSET(tblCountries!$T$3:$T$52,0,L$11,120,1),$A59)=0,"",$E59)</f>
        <v/>
      </c>
      <c r="M59" t="str" cm="1">
        <f t="array" aca="1" ref="M59" ca="1">IF(INDEX(OFFSET(tblCountries!$T$3:$T$52,0,M$11,120,1),$A59)=0,"",$E59)</f>
        <v/>
      </c>
      <c r="N59" cm="1">
        <f t="array" aca="1" ref="N59" ca="1">IF(INDEX(OFFSET(tblCountries!$T$3:$T$52,0,N$11,120,1),$A59)=0,"",$E59)</f>
        <v>77</v>
      </c>
      <c r="O59" t="str" cm="1">
        <f t="array" aca="1" ref="O59" ca="1">IF(INDEX(OFFSET(tblCountries!$T$3:$T$52,0,O$11,120,1),$A59)=0,"",$E59)</f>
        <v/>
      </c>
      <c r="P59" t="str" cm="1">
        <f t="array" aca="1" ref="P59" ca="1">IF(INDEX(OFFSET(tblCountries!$T$3:$T$52,0,P$11,120,1),$A59)=0,"",$E59)</f>
        <v/>
      </c>
      <c r="Q59" t="str" cm="1">
        <f t="array" aca="1" ref="Q59" ca="1">IF(INDEX(OFFSET(tblCountries!$T$3:$T$52,0,Q$11,120,1),$A59)=0,"",$E59)</f>
        <v/>
      </c>
      <c r="R59" t="str" cm="1">
        <f t="array" aca="1" ref="R59" ca="1">IF(INDEX(OFFSET(tblCountries!$T$3:$T$52,0,R$11,120,1),$A59)=0,"",$E59)</f>
        <v/>
      </c>
      <c r="S59" t="str" cm="1">
        <f t="array" aca="1" ref="S59" ca="1">IF(INDEX(OFFSET(tblCountries!$T$3:$T$52,0,S$11,120,1),$A59)=0,"",$E59)</f>
        <v/>
      </c>
      <c r="T59" t="str" cm="1">
        <f t="array" aca="1" ref="T59" ca="1">IF(INDEX(OFFSET(tblCountries!$T$3:$T$52,0,T$11,120,1),$A59)=0,"",$E59)</f>
        <v/>
      </c>
      <c r="U59" t="str" cm="1">
        <f t="array" aca="1" ref="U59" ca="1">IF(INDEX(OFFSET(tblCountries!$T$3:$T$52,0,U$11,120,1),$A59)=0,"",$E59)</f>
        <v/>
      </c>
      <c r="V59" t="str" cm="1">
        <f t="array" aca="1" ref="V59" ca="1">IF(INDEX(OFFSET(tblCountries!$T$3:$T$52,0,V$11,120,1),$A59)=0,"",$E59)</f>
        <v/>
      </c>
      <c r="W59" t="str" cm="1">
        <f t="array" aca="1" ref="W59" ca="1">IF(INDEX(OFFSET(tblCountries!$T$3:$T$52,0,W$11,120,1),$A59)=0,"",$E59)</f>
        <v/>
      </c>
      <c r="X59" t="str" cm="1">
        <f t="array" aca="1" ref="X59" ca="1">IF(INDEX(OFFSET(tblCountries!$T$3:$T$52,0,X$11,120,1),$A59)=0,"",$E59)</f>
        <v/>
      </c>
      <c r="Y59" t="str" cm="1">
        <f t="array" aca="1" ref="Y59" ca="1">IF(INDEX(OFFSET(tblCountries!$T$3:$T$52,0,Y$11,120,1),$A59)=0,"",$E59)</f>
        <v/>
      </c>
      <c r="Z59" t="str" cm="1">
        <f t="array" aca="1" ref="Z59" ca="1">IF(AND($C$3=1,NOT(ISNUMBER(INDEX(auto_DataFlat_DataValue,$AA59,$B$4)))),"EXCLUDE","")</f>
        <v/>
      </c>
      <c r="AA59" cm="1">
        <f t="array" aca="1" ref="AA59" ca="1">INDEX(sys_DataFlat_LU_Grid,$B$3,$A59)</f>
        <v>107</v>
      </c>
      <c r="AB59" cm="1">
        <f t="array" aca="1" ref="AB59" ca="1">IF(Z59="EXCLUDE","n/a",IF($B$7="DATA",INDEX(auto_DataFlat_DataValue,$AA59,$B$4),INDEX(auto_DataFlat_Score,$AA59,$B$4)))</f>
        <v>89.9</v>
      </c>
      <c r="AC59" t="str" cm="1">
        <f t="array" aca="1" ref="AC59" ca="1">IF(INDEX(OFFSET(tblCountries!$T$3:$T$52,0,AC$11,120,1),$A59)=0,"",$AB59)</f>
        <v/>
      </c>
      <c r="AD59" cm="1">
        <f t="array" aca="1" ref="AD59" ca="1">IF(INDEX(OFFSET(tblCountries!$T$3:$T$52,0,AD$11,120,1),$A59)=0,"",$AB59)</f>
        <v>89.9</v>
      </c>
      <c r="AE59" t="str" cm="1">
        <f t="array" aca="1" ref="AE59" ca="1">IF(INDEX(OFFSET(tblCountries!$T$3:$T$52,0,AE$11,120,1),$A59)=0,"",$AB59)</f>
        <v/>
      </c>
      <c r="AF59" t="str" cm="1">
        <f t="array" aca="1" ref="AF59" ca="1">IF(INDEX(OFFSET(tblCountries!$T$3:$T$52,0,AF$11,120,1),$A59)=0,"",$AB59)</f>
        <v/>
      </c>
      <c r="AG59" t="str" cm="1">
        <f t="array" aca="1" ref="AG59" ca="1">IF(INDEX(OFFSET(tblCountries!$T$3:$T$52,0,AG$11,120,1),$A59)=0,"",$AB59)</f>
        <v/>
      </c>
      <c r="AH59" t="str" cm="1">
        <f t="array" aca="1" ref="AH59" ca="1">IF(INDEX(OFFSET(tblCountries!$T$3:$T$52,0,AH$11,120,1),$A59)=0,"",$AB59)</f>
        <v/>
      </c>
      <c r="AI59" t="str" cm="1">
        <f t="array" aca="1" ref="AI59" ca="1">IF(INDEX(OFFSET(tblCountries!$T$3:$T$52,0,AI$11,120,1),$A59)=0,"",$AB59)</f>
        <v/>
      </c>
      <c r="AJ59" t="str" cm="1">
        <f t="array" aca="1" ref="AJ59" ca="1">IF(INDEX(OFFSET(tblCountries!$T$3:$T$52,0,AJ$11,120,1),$A59)=0,"",$AB59)</f>
        <v/>
      </c>
      <c r="AK59" cm="1">
        <f t="array" aca="1" ref="AK59" ca="1">IF(INDEX(OFFSET(tblCountries!$T$3:$T$52,0,AK$11,120,1),$A59)=0,"",$AB59)</f>
        <v>89.9</v>
      </c>
      <c r="AL59" t="str" cm="1">
        <f t="array" aca="1" ref="AL59" ca="1">IF(INDEX(OFFSET(tblCountries!$T$3:$T$52,0,AL$11,120,1),$A59)=0,"",$AB59)</f>
        <v/>
      </c>
      <c r="AM59" t="str" cm="1">
        <f t="array" aca="1" ref="AM59" ca="1">IF(INDEX(OFFSET(tblCountries!$T$3:$T$52,0,AM$11,120,1),$A59)=0,"",$AB59)</f>
        <v/>
      </c>
      <c r="AN59" t="str" cm="1">
        <f t="array" aca="1" ref="AN59" ca="1">IF(INDEX(OFFSET(tblCountries!$T$3:$T$52,0,AN$11,120,1),$A59)=0,"",$AB59)</f>
        <v/>
      </c>
      <c r="AO59" t="str" cm="1">
        <f t="array" aca="1" ref="AO59" ca="1">IF(INDEX(OFFSET(tblCountries!$T$3:$T$52,0,AO$11,120,1),$A59)=0,"",$AB59)</f>
        <v/>
      </c>
      <c r="AP59" t="str" cm="1">
        <f t="array" aca="1" ref="AP59" ca="1">IF(INDEX(OFFSET(tblCountries!$T$3:$T$52,0,AP$11,120,1),$A59)=0,"",$AB59)</f>
        <v/>
      </c>
      <c r="AQ59" t="str" cm="1">
        <f t="array" aca="1" ref="AQ59" ca="1">IF(INDEX(OFFSET(tblCountries!$T$3:$T$52,0,AQ$11,120,1),$A59)=0,"",$AB59)</f>
        <v/>
      </c>
      <c r="AR59" t="str" cm="1">
        <f t="array" aca="1" ref="AR59" ca="1">IF(INDEX(OFFSET(tblCountries!$T$3:$T$52,0,AR$11,120,1),$A59)=0,"",$AB59)</f>
        <v/>
      </c>
      <c r="AS59" t="str" cm="1">
        <f t="array" aca="1" ref="AS59" ca="1">IF(INDEX(OFFSET(tblCountries!$T$3:$T$52,0,AS$11,120,1),$A59)=0,"",$AB59)</f>
        <v/>
      </c>
      <c r="AT59" t="str" cm="1">
        <f t="array" aca="1" ref="AT59" ca="1">IF(INDEX(OFFSET(tblCountries!$T$3:$T$52,0,AT$11,120,1),$A59)=0,"",$AB59)</f>
        <v/>
      </c>
      <c r="AU59" t="str" cm="1">
        <f t="array" aca="1" ref="AU59" ca="1">IF(INDEX(OFFSET(tblCountries!$T$3:$T$52,0,AU$11,120,1),$A59)=0,"",$AB59)</f>
        <v/>
      </c>
      <c r="AV59" t="str" cm="1">
        <f t="array" aca="1" ref="AV59" ca="1">IF(INDEX(OFFSET(tblCountries!$T$3:$T$52,0,AV$11,120,1),$A59)=0,"",$AB59)</f>
        <v/>
      </c>
      <c r="AZ59">
        <f t="shared" ca="1" si="9"/>
        <v>1</v>
      </c>
      <c r="BA59">
        <f t="shared" ca="1" si="10"/>
        <v>0</v>
      </c>
      <c r="BB59">
        <f t="shared" ca="1" si="11"/>
        <v>1</v>
      </c>
      <c r="BC59">
        <f t="shared" ca="1" si="12"/>
        <v>0</v>
      </c>
      <c r="BD59">
        <f t="shared" ca="1" si="13"/>
        <v>0</v>
      </c>
      <c r="BE59">
        <f t="shared" ca="1" si="14"/>
        <v>0</v>
      </c>
      <c r="BF59">
        <f t="shared" ca="1" si="15"/>
        <v>0</v>
      </c>
      <c r="BG59">
        <f t="shared" ca="1" si="16"/>
        <v>0</v>
      </c>
      <c r="BH59">
        <f t="shared" ca="1" si="17"/>
        <v>0</v>
      </c>
      <c r="BI59">
        <f t="shared" ca="1" si="18"/>
        <v>1</v>
      </c>
      <c r="BJ59">
        <f t="shared" ca="1" si="19"/>
        <v>0</v>
      </c>
    </row>
    <row r="60" spans="1:62" x14ac:dyDescent="0.4">
      <c r="A60">
        <v>48</v>
      </c>
      <c r="B60" t="str">
        <f>tblCountries!H50</f>
        <v>Vienna, Austria</v>
      </c>
      <c r="C60" t="str" cm="1">
        <f t="array" aca="1" ref="C60" ca="1">IF(AND($C$2=1,NOT(ISNUMBER(INDEX(auto_DataFlat_DataValue,$D60,$B$4)))),"EXCLUDE","")</f>
        <v/>
      </c>
      <c r="D60" cm="1">
        <f t="array" aca="1" ref="D60" ca="1">INDEX(sys_DataFlat_LU_Grid,$B$2,$A60)</f>
        <v>48</v>
      </c>
      <c r="E60" cm="1">
        <f t="array" aca="1" ref="E60" ca="1">IF(C60="EXCLUDE","n/a",IF($B$6="DATA",INDEX(auto_DataFlat_DataValue,$D60,$B$4),INDEX(auto_DataFlat_Score,$D60,$B$4)))</f>
        <v>75.099999999999994</v>
      </c>
      <c r="F60" t="str" cm="1">
        <f t="array" aca="1" ref="F60" ca="1">IF(INDEX(OFFSET(tblCountries!$T$3:$T$52,0,F$11,120,1),$A60)=0,"",$E60)</f>
        <v/>
      </c>
      <c r="G60" t="str" cm="1">
        <f t="array" aca="1" ref="G60" ca="1">IF(INDEX(OFFSET(tblCountries!$T$3:$T$52,0,G$11,120,1),$A60)=0,"",$E60)</f>
        <v/>
      </c>
      <c r="H60" t="str" cm="1">
        <f t="array" aca="1" ref="H60" ca="1">IF(INDEX(OFFSET(tblCountries!$T$3:$T$52,0,H$11,120,1),$A60)=0,"",$E60)</f>
        <v/>
      </c>
      <c r="I60" cm="1">
        <f t="array" aca="1" ref="I60" ca="1">IF(INDEX(OFFSET(tblCountries!$T$3:$T$52,0,I$11,120,1),$A60)=0,"",$E60)</f>
        <v>75.099999999999994</v>
      </c>
      <c r="J60" t="str" cm="1">
        <f t="array" aca="1" ref="J60" ca="1">IF(INDEX(OFFSET(tblCountries!$T$3:$T$52,0,J$11,120,1),$A60)=0,"",$E60)</f>
        <v/>
      </c>
      <c r="K60" t="str" cm="1">
        <f t="array" aca="1" ref="K60" ca="1">IF(INDEX(OFFSET(tblCountries!$T$3:$T$52,0,K$11,120,1),$A60)=0,"",$E60)</f>
        <v/>
      </c>
      <c r="L60" t="str" cm="1">
        <f t="array" aca="1" ref="L60" ca="1">IF(INDEX(OFFSET(tblCountries!$T$3:$T$52,0,L$11,120,1),$A60)=0,"",$E60)</f>
        <v/>
      </c>
      <c r="M60" t="str" cm="1">
        <f t="array" aca="1" ref="M60" ca="1">IF(INDEX(OFFSET(tblCountries!$T$3:$T$52,0,M$11,120,1),$A60)=0,"",$E60)</f>
        <v/>
      </c>
      <c r="N60" cm="1">
        <f t="array" aca="1" ref="N60" ca="1">IF(INDEX(OFFSET(tblCountries!$T$3:$T$52,0,N$11,120,1),$A60)=0,"",$E60)</f>
        <v>75.099999999999994</v>
      </c>
      <c r="O60" t="str" cm="1">
        <f t="array" aca="1" ref="O60" ca="1">IF(INDEX(OFFSET(tblCountries!$T$3:$T$52,0,O$11,120,1),$A60)=0,"",$E60)</f>
        <v/>
      </c>
      <c r="P60" t="str" cm="1">
        <f t="array" aca="1" ref="P60" ca="1">IF(INDEX(OFFSET(tblCountries!$T$3:$T$52,0,P$11,120,1),$A60)=0,"",$E60)</f>
        <v/>
      </c>
      <c r="Q60" t="str" cm="1">
        <f t="array" aca="1" ref="Q60" ca="1">IF(INDEX(OFFSET(tblCountries!$T$3:$T$52,0,Q$11,120,1),$A60)=0,"",$E60)</f>
        <v/>
      </c>
      <c r="R60" t="str" cm="1">
        <f t="array" aca="1" ref="R60" ca="1">IF(INDEX(OFFSET(tblCountries!$T$3:$T$52,0,R$11,120,1),$A60)=0,"",$E60)</f>
        <v/>
      </c>
      <c r="S60" t="str" cm="1">
        <f t="array" aca="1" ref="S60" ca="1">IF(INDEX(OFFSET(tblCountries!$T$3:$T$52,0,S$11,120,1),$A60)=0,"",$E60)</f>
        <v/>
      </c>
      <c r="T60" t="str" cm="1">
        <f t="array" aca="1" ref="T60" ca="1">IF(INDEX(OFFSET(tblCountries!$T$3:$T$52,0,T$11,120,1),$A60)=0,"",$E60)</f>
        <v/>
      </c>
      <c r="U60" t="str" cm="1">
        <f t="array" aca="1" ref="U60" ca="1">IF(INDEX(OFFSET(tblCountries!$T$3:$T$52,0,U$11,120,1),$A60)=0,"",$E60)</f>
        <v/>
      </c>
      <c r="V60" t="str" cm="1">
        <f t="array" aca="1" ref="V60" ca="1">IF(INDEX(OFFSET(tblCountries!$T$3:$T$52,0,V$11,120,1),$A60)=0,"",$E60)</f>
        <v/>
      </c>
      <c r="W60" t="str" cm="1">
        <f t="array" aca="1" ref="W60" ca="1">IF(INDEX(OFFSET(tblCountries!$T$3:$T$52,0,W$11,120,1),$A60)=0,"",$E60)</f>
        <v/>
      </c>
      <c r="X60" t="str" cm="1">
        <f t="array" aca="1" ref="X60" ca="1">IF(INDEX(OFFSET(tblCountries!$T$3:$T$52,0,X$11,120,1),$A60)=0,"",$E60)</f>
        <v/>
      </c>
      <c r="Y60" t="str" cm="1">
        <f t="array" aca="1" ref="Y60" ca="1">IF(INDEX(OFFSET(tblCountries!$T$3:$T$52,0,Y$11,120,1),$A60)=0,"",$E60)</f>
        <v/>
      </c>
      <c r="Z60" t="str" cm="1">
        <f t="array" aca="1" ref="Z60" ca="1">IF(AND($C$3=1,NOT(ISNUMBER(INDEX(auto_DataFlat_DataValue,$AA60,$B$4)))),"EXCLUDE","")</f>
        <v/>
      </c>
      <c r="AA60" cm="1">
        <f t="array" aca="1" ref="AA60" ca="1">INDEX(sys_DataFlat_LU_Grid,$B$3,$A60)</f>
        <v>108</v>
      </c>
      <c r="AB60" cm="1">
        <f t="array" aca="1" ref="AB60" ca="1">IF(Z60="EXCLUDE","n/a",IF($B$7="DATA",INDEX(auto_DataFlat_DataValue,$AA60,$B$4),INDEX(auto_DataFlat_Score,$AA60,$B$4)))</f>
        <v>87.3</v>
      </c>
      <c r="AC60" t="str" cm="1">
        <f t="array" aca="1" ref="AC60" ca="1">IF(INDEX(OFFSET(tblCountries!$T$3:$T$52,0,AC$11,120,1),$A60)=0,"",$AB60)</f>
        <v/>
      </c>
      <c r="AD60" t="str" cm="1">
        <f t="array" aca="1" ref="AD60" ca="1">IF(INDEX(OFFSET(tblCountries!$T$3:$T$52,0,AD$11,120,1),$A60)=0,"",$AB60)</f>
        <v/>
      </c>
      <c r="AE60" t="str" cm="1">
        <f t="array" aca="1" ref="AE60" ca="1">IF(INDEX(OFFSET(tblCountries!$T$3:$T$52,0,AE$11,120,1),$A60)=0,"",$AB60)</f>
        <v/>
      </c>
      <c r="AF60" cm="1">
        <f t="array" aca="1" ref="AF60" ca="1">IF(INDEX(OFFSET(tblCountries!$T$3:$T$52,0,AF$11,120,1),$A60)=0,"",$AB60)</f>
        <v>87.3</v>
      </c>
      <c r="AG60" t="str" cm="1">
        <f t="array" aca="1" ref="AG60" ca="1">IF(INDEX(OFFSET(tblCountries!$T$3:$T$52,0,AG$11,120,1),$A60)=0,"",$AB60)</f>
        <v/>
      </c>
      <c r="AH60" t="str" cm="1">
        <f t="array" aca="1" ref="AH60" ca="1">IF(INDEX(OFFSET(tblCountries!$T$3:$T$52,0,AH$11,120,1),$A60)=0,"",$AB60)</f>
        <v/>
      </c>
      <c r="AI60" t="str" cm="1">
        <f t="array" aca="1" ref="AI60" ca="1">IF(INDEX(OFFSET(tblCountries!$T$3:$T$52,0,AI$11,120,1),$A60)=0,"",$AB60)</f>
        <v/>
      </c>
      <c r="AJ60" t="str" cm="1">
        <f t="array" aca="1" ref="AJ60" ca="1">IF(INDEX(OFFSET(tblCountries!$T$3:$T$52,0,AJ$11,120,1),$A60)=0,"",$AB60)</f>
        <v/>
      </c>
      <c r="AK60" cm="1">
        <f t="array" aca="1" ref="AK60" ca="1">IF(INDEX(OFFSET(tblCountries!$T$3:$T$52,0,AK$11,120,1),$A60)=0,"",$AB60)</f>
        <v>87.3</v>
      </c>
      <c r="AL60" t="str" cm="1">
        <f t="array" aca="1" ref="AL60" ca="1">IF(INDEX(OFFSET(tblCountries!$T$3:$T$52,0,AL$11,120,1),$A60)=0,"",$AB60)</f>
        <v/>
      </c>
      <c r="AM60" t="str" cm="1">
        <f t="array" aca="1" ref="AM60" ca="1">IF(INDEX(OFFSET(tblCountries!$T$3:$T$52,0,AM$11,120,1),$A60)=0,"",$AB60)</f>
        <v/>
      </c>
      <c r="AN60" t="str" cm="1">
        <f t="array" aca="1" ref="AN60" ca="1">IF(INDEX(OFFSET(tblCountries!$T$3:$T$52,0,AN$11,120,1),$A60)=0,"",$AB60)</f>
        <v/>
      </c>
      <c r="AO60" t="str" cm="1">
        <f t="array" aca="1" ref="AO60" ca="1">IF(INDEX(OFFSET(tblCountries!$T$3:$T$52,0,AO$11,120,1),$A60)=0,"",$AB60)</f>
        <v/>
      </c>
      <c r="AP60" t="str" cm="1">
        <f t="array" aca="1" ref="AP60" ca="1">IF(INDEX(OFFSET(tblCountries!$T$3:$T$52,0,AP$11,120,1),$A60)=0,"",$AB60)</f>
        <v/>
      </c>
      <c r="AQ60" t="str" cm="1">
        <f t="array" aca="1" ref="AQ60" ca="1">IF(INDEX(OFFSET(tblCountries!$T$3:$T$52,0,AQ$11,120,1),$A60)=0,"",$AB60)</f>
        <v/>
      </c>
      <c r="AR60" t="str" cm="1">
        <f t="array" aca="1" ref="AR60" ca="1">IF(INDEX(OFFSET(tblCountries!$T$3:$T$52,0,AR$11,120,1),$A60)=0,"",$AB60)</f>
        <v/>
      </c>
      <c r="AS60" t="str" cm="1">
        <f t="array" aca="1" ref="AS60" ca="1">IF(INDEX(OFFSET(tblCountries!$T$3:$T$52,0,AS$11,120,1),$A60)=0,"",$AB60)</f>
        <v/>
      </c>
      <c r="AT60" t="str" cm="1">
        <f t="array" aca="1" ref="AT60" ca="1">IF(INDEX(OFFSET(tblCountries!$T$3:$T$52,0,AT$11,120,1),$A60)=0,"",$AB60)</f>
        <v/>
      </c>
      <c r="AU60" t="str" cm="1">
        <f t="array" aca="1" ref="AU60" ca="1">IF(INDEX(OFFSET(tblCountries!$T$3:$T$52,0,AU$11,120,1),$A60)=0,"",$AB60)</f>
        <v/>
      </c>
      <c r="AV60" t="str" cm="1">
        <f t="array" aca="1" ref="AV60" ca="1">IF(INDEX(OFFSET(tblCountries!$T$3:$T$52,0,AV$11,120,1),$A60)=0,"",$AB60)</f>
        <v/>
      </c>
      <c r="AZ60">
        <f t="shared" ca="1" si="9"/>
        <v>1</v>
      </c>
      <c r="BA60">
        <f t="shared" ca="1" si="10"/>
        <v>0</v>
      </c>
      <c r="BB60">
        <f t="shared" ca="1" si="11"/>
        <v>0</v>
      </c>
      <c r="BC60">
        <f t="shared" ca="1" si="12"/>
        <v>0</v>
      </c>
      <c r="BD60">
        <f t="shared" ca="1" si="13"/>
        <v>1</v>
      </c>
      <c r="BE60">
        <f t="shared" ca="1" si="14"/>
        <v>0</v>
      </c>
      <c r="BF60">
        <f t="shared" ca="1" si="15"/>
        <v>0</v>
      </c>
      <c r="BG60">
        <f t="shared" ca="1" si="16"/>
        <v>0</v>
      </c>
      <c r="BH60">
        <f t="shared" ca="1" si="17"/>
        <v>0</v>
      </c>
      <c r="BI60">
        <f t="shared" ca="1" si="18"/>
        <v>1</v>
      </c>
      <c r="BJ60">
        <f t="shared" ca="1" si="19"/>
        <v>0</v>
      </c>
    </row>
    <row r="61" spans="1:62" x14ac:dyDescent="0.4">
      <c r="A61">
        <v>49</v>
      </c>
      <c r="B61" t="str">
        <f>tblCountries!H51</f>
        <v>Wuhan, China</v>
      </c>
      <c r="C61" t="str" cm="1">
        <f t="array" aca="1" ref="C61" ca="1">IF(AND($C$2=1,NOT(ISNUMBER(INDEX(auto_DataFlat_DataValue,$D61,$B$4)))),"EXCLUDE","")</f>
        <v/>
      </c>
      <c r="D61" cm="1">
        <f t="array" aca="1" ref="D61" ca="1">INDEX(sys_DataFlat_LU_Grid,$B$2,$A61)</f>
        <v>49</v>
      </c>
      <c r="E61" cm="1">
        <f t="array" aca="1" ref="E61" ca="1">IF(C61="EXCLUDE","n/a",IF($B$6="DATA",INDEX(auto_DataFlat_DataValue,$D61,$B$4),INDEX(auto_DataFlat_Score,$D61,$B$4)))</f>
        <v>57.3</v>
      </c>
      <c r="F61" t="str" cm="1">
        <f t="array" aca="1" ref="F61" ca="1">IF(INDEX(OFFSET(tblCountries!$T$3:$T$52,0,F$11,120,1),$A61)=0,"",$E61)</f>
        <v/>
      </c>
      <c r="G61" t="str" cm="1">
        <f t="array" aca="1" ref="G61" ca="1">IF(INDEX(OFFSET(tblCountries!$T$3:$T$52,0,G$11,120,1),$A61)=0,"",$E61)</f>
        <v/>
      </c>
      <c r="H61" t="str" cm="1">
        <f t="array" aca="1" ref="H61" ca="1">IF(INDEX(OFFSET(tblCountries!$T$3:$T$52,0,H$11,120,1),$A61)=0,"",$E61)</f>
        <v/>
      </c>
      <c r="I61" t="str" cm="1">
        <f t="array" aca="1" ref="I61" ca="1">IF(INDEX(OFFSET(tblCountries!$T$3:$T$52,0,I$11,120,1),$A61)=0,"",$E61)</f>
        <v/>
      </c>
      <c r="J61" t="str" cm="1">
        <f t="array" aca="1" ref="J61" ca="1">IF(INDEX(OFFSET(tblCountries!$T$3:$T$52,0,J$11,120,1),$A61)=0,"",$E61)</f>
        <v/>
      </c>
      <c r="K61" cm="1">
        <f t="array" aca="1" ref="K61" ca="1">IF(INDEX(OFFSET(tblCountries!$T$3:$T$52,0,K$11,120,1),$A61)=0,"",$E61)</f>
        <v>57.3</v>
      </c>
      <c r="L61" t="str" cm="1">
        <f t="array" aca="1" ref="L61" ca="1">IF(INDEX(OFFSET(tblCountries!$T$3:$T$52,0,L$11,120,1),$A61)=0,"",$E61)</f>
        <v/>
      </c>
      <c r="M61" cm="1">
        <f t="array" aca="1" ref="M61" ca="1">IF(INDEX(OFFSET(tblCountries!$T$3:$T$52,0,M$11,120,1),$A61)=0,"",$E61)</f>
        <v>57.3</v>
      </c>
      <c r="N61" t="str" cm="1">
        <f t="array" aca="1" ref="N61" ca="1">IF(INDEX(OFFSET(tblCountries!$T$3:$T$52,0,N$11,120,1),$A61)=0,"",$E61)</f>
        <v/>
      </c>
      <c r="O61" t="str" cm="1">
        <f t="array" aca="1" ref="O61" ca="1">IF(INDEX(OFFSET(tblCountries!$T$3:$T$52,0,O$11,120,1),$A61)=0,"",$E61)</f>
        <v/>
      </c>
      <c r="P61" t="str" cm="1">
        <f t="array" aca="1" ref="P61" ca="1">IF(INDEX(OFFSET(tblCountries!$T$3:$T$52,0,P$11,120,1),$A61)=0,"",$E61)</f>
        <v/>
      </c>
      <c r="Q61" t="str" cm="1">
        <f t="array" aca="1" ref="Q61" ca="1">IF(INDEX(OFFSET(tblCountries!$T$3:$T$52,0,Q$11,120,1),$A61)=0,"",$E61)</f>
        <v/>
      </c>
      <c r="R61" t="str" cm="1">
        <f t="array" aca="1" ref="R61" ca="1">IF(INDEX(OFFSET(tblCountries!$T$3:$T$52,0,R$11,120,1),$A61)=0,"",$E61)</f>
        <v/>
      </c>
      <c r="S61" t="str" cm="1">
        <f t="array" aca="1" ref="S61" ca="1">IF(INDEX(OFFSET(tblCountries!$T$3:$T$52,0,S$11,120,1),$A61)=0,"",$E61)</f>
        <v/>
      </c>
      <c r="T61" t="str" cm="1">
        <f t="array" aca="1" ref="T61" ca="1">IF(INDEX(OFFSET(tblCountries!$T$3:$T$52,0,T$11,120,1),$A61)=0,"",$E61)</f>
        <v/>
      </c>
      <c r="U61" t="str" cm="1">
        <f t="array" aca="1" ref="U61" ca="1">IF(INDEX(OFFSET(tblCountries!$T$3:$T$52,0,U$11,120,1),$A61)=0,"",$E61)</f>
        <v/>
      </c>
      <c r="V61" t="str" cm="1">
        <f t="array" aca="1" ref="V61" ca="1">IF(INDEX(OFFSET(tblCountries!$T$3:$T$52,0,V$11,120,1),$A61)=0,"",$E61)</f>
        <v/>
      </c>
      <c r="W61" t="str" cm="1">
        <f t="array" aca="1" ref="W61" ca="1">IF(INDEX(OFFSET(tblCountries!$T$3:$T$52,0,W$11,120,1),$A61)=0,"",$E61)</f>
        <v/>
      </c>
      <c r="X61" t="str" cm="1">
        <f t="array" aca="1" ref="X61" ca="1">IF(INDEX(OFFSET(tblCountries!$T$3:$T$52,0,X$11,120,1),$A61)=0,"",$E61)</f>
        <v/>
      </c>
      <c r="Y61" t="str" cm="1">
        <f t="array" aca="1" ref="Y61" ca="1">IF(INDEX(OFFSET(tblCountries!$T$3:$T$52,0,Y$11,120,1),$A61)=0,"",$E61)</f>
        <v/>
      </c>
      <c r="Z61" t="str" cm="1">
        <f t="array" aca="1" ref="Z61" ca="1">IF(AND($C$3=1,NOT(ISNUMBER(INDEX(auto_DataFlat_DataValue,$AA61,$B$4)))),"EXCLUDE","")</f>
        <v/>
      </c>
      <c r="AA61" cm="1">
        <f t="array" aca="1" ref="AA61" ca="1">INDEX(sys_DataFlat_LU_Grid,$B$3,$A61)</f>
        <v>109</v>
      </c>
      <c r="AB61" cm="1">
        <f t="array" aca="1" ref="AB61" ca="1">IF(Z61="EXCLUDE","n/a",IF($B$7="DATA",INDEX(auto_DataFlat_DataValue,$AA61,$B$4),INDEX(auto_DataFlat_Score,$AA61,$B$4)))</f>
        <v>54.3</v>
      </c>
      <c r="AC61" t="str" cm="1">
        <f t="array" aca="1" ref="AC61" ca="1">IF(INDEX(OFFSET(tblCountries!$T$3:$T$52,0,AC$11,120,1),$A61)=0,"",$AB61)</f>
        <v/>
      </c>
      <c r="AD61" t="str" cm="1">
        <f t="array" aca="1" ref="AD61" ca="1">IF(INDEX(OFFSET(tblCountries!$T$3:$T$52,0,AD$11,120,1),$A61)=0,"",$AB61)</f>
        <v/>
      </c>
      <c r="AE61" t="str" cm="1">
        <f t="array" aca="1" ref="AE61" ca="1">IF(INDEX(OFFSET(tblCountries!$T$3:$T$52,0,AE$11,120,1),$A61)=0,"",$AB61)</f>
        <v/>
      </c>
      <c r="AF61" t="str" cm="1">
        <f t="array" aca="1" ref="AF61" ca="1">IF(INDEX(OFFSET(tblCountries!$T$3:$T$52,0,AF$11,120,1),$A61)=0,"",$AB61)</f>
        <v/>
      </c>
      <c r="AG61" t="str" cm="1">
        <f t="array" aca="1" ref="AG61" ca="1">IF(INDEX(OFFSET(tblCountries!$T$3:$T$52,0,AG$11,120,1),$A61)=0,"",$AB61)</f>
        <v/>
      </c>
      <c r="AH61" cm="1">
        <f t="array" aca="1" ref="AH61" ca="1">IF(INDEX(OFFSET(tblCountries!$T$3:$T$52,0,AH$11,120,1),$A61)=0,"",$AB61)</f>
        <v>54.3</v>
      </c>
      <c r="AI61" t="str" cm="1">
        <f t="array" aca="1" ref="AI61" ca="1">IF(INDEX(OFFSET(tblCountries!$T$3:$T$52,0,AI$11,120,1),$A61)=0,"",$AB61)</f>
        <v/>
      </c>
      <c r="AJ61" cm="1">
        <f t="array" aca="1" ref="AJ61" ca="1">IF(INDEX(OFFSET(tblCountries!$T$3:$T$52,0,AJ$11,120,1),$A61)=0,"",$AB61)</f>
        <v>54.3</v>
      </c>
      <c r="AK61" t="str" cm="1">
        <f t="array" aca="1" ref="AK61" ca="1">IF(INDEX(OFFSET(tblCountries!$T$3:$T$52,0,AK$11,120,1),$A61)=0,"",$AB61)</f>
        <v/>
      </c>
      <c r="AL61" t="str" cm="1">
        <f t="array" aca="1" ref="AL61" ca="1">IF(INDEX(OFFSET(tblCountries!$T$3:$T$52,0,AL$11,120,1),$A61)=0,"",$AB61)</f>
        <v/>
      </c>
      <c r="AM61" t="str" cm="1">
        <f t="array" aca="1" ref="AM61" ca="1">IF(INDEX(OFFSET(tblCountries!$T$3:$T$52,0,AM$11,120,1),$A61)=0,"",$AB61)</f>
        <v/>
      </c>
      <c r="AN61" t="str" cm="1">
        <f t="array" aca="1" ref="AN61" ca="1">IF(INDEX(OFFSET(tblCountries!$T$3:$T$52,0,AN$11,120,1),$A61)=0,"",$AB61)</f>
        <v/>
      </c>
      <c r="AO61" t="str" cm="1">
        <f t="array" aca="1" ref="AO61" ca="1">IF(INDEX(OFFSET(tblCountries!$T$3:$T$52,0,AO$11,120,1),$A61)=0,"",$AB61)</f>
        <v/>
      </c>
      <c r="AP61" t="str" cm="1">
        <f t="array" aca="1" ref="AP61" ca="1">IF(INDEX(OFFSET(tblCountries!$T$3:$T$52,0,AP$11,120,1),$A61)=0,"",$AB61)</f>
        <v/>
      </c>
      <c r="AQ61" t="str" cm="1">
        <f t="array" aca="1" ref="AQ61" ca="1">IF(INDEX(OFFSET(tblCountries!$T$3:$T$52,0,AQ$11,120,1),$A61)=0,"",$AB61)</f>
        <v/>
      </c>
      <c r="AR61" t="str" cm="1">
        <f t="array" aca="1" ref="AR61" ca="1">IF(INDEX(OFFSET(tblCountries!$T$3:$T$52,0,AR$11,120,1),$A61)=0,"",$AB61)</f>
        <v/>
      </c>
      <c r="AS61" t="str" cm="1">
        <f t="array" aca="1" ref="AS61" ca="1">IF(INDEX(OFFSET(tblCountries!$T$3:$T$52,0,AS$11,120,1),$A61)=0,"",$AB61)</f>
        <v/>
      </c>
      <c r="AT61" t="str" cm="1">
        <f t="array" aca="1" ref="AT61" ca="1">IF(INDEX(OFFSET(tblCountries!$T$3:$T$52,0,AT$11,120,1),$A61)=0,"",$AB61)</f>
        <v/>
      </c>
      <c r="AU61" t="str" cm="1">
        <f t="array" aca="1" ref="AU61" ca="1">IF(INDEX(OFFSET(tblCountries!$T$3:$T$52,0,AU$11,120,1),$A61)=0,"",$AB61)</f>
        <v/>
      </c>
      <c r="AV61" t="str" cm="1">
        <f t="array" aca="1" ref="AV61" ca="1">IF(INDEX(OFFSET(tblCountries!$T$3:$T$52,0,AV$11,120,1),$A61)=0,"",$AB61)</f>
        <v/>
      </c>
      <c r="AZ61">
        <f t="shared" ca="1" si="9"/>
        <v>1</v>
      </c>
      <c r="BA61">
        <f t="shared" ca="1" si="10"/>
        <v>0</v>
      </c>
      <c r="BB61">
        <f t="shared" ca="1" si="11"/>
        <v>0</v>
      </c>
      <c r="BC61">
        <f t="shared" ca="1" si="12"/>
        <v>0</v>
      </c>
      <c r="BD61">
        <f t="shared" ca="1" si="13"/>
        <v>0</v>
      </c>
      <c r="BE61">
        <f t="shared" ca="1" si="14"/>
        <v>0</v>
      </c>
      <c r="BF61">
        <f t="shared" ca="1" si="15"/>
        <v>1</v>
      </c>
      <c r="BG61">
        <f t="shared" ca="1" si="16"/>
        <v>0</v>
      </c>
      <c r="BH61">
        <f t="shared" ca="1" si="17"/>
        <v>1</v>
      </c>
      <c r="BI61">
        <f t="shared" ca="1" si="18"/>
        <v>0</v>
      </c>
      <c r="BJ61">
        <f t="shared" ca="1" si="19"/>
        <v>0</v>
      </c>
    </row>
    <row r="62" spans="1:62" x14ac:dyDescent="0.4">
      <c r="A62">
        <v>50</v>
      </c>
      <c r="B62" t="str">
        <f>tblCountries!H52</f>
        <v>Yangon (FKA Rangoon), Myanmar</v>
      </c>
      <c r="C62" t="str" cm="1">
        <f t="array" aca="1" ref="C62" ca="1">IF(AND($C$2=1,NOT(ISNUMBER(INDEX(auto_DataFlat_DataValue,$D62,$B$4)))),"EXCLUDE","")</f>
        <v/>
      </c>
      <c r="D62" cm="1">
        <f t="array" aca="1" ref="D62" ca="1">INDEX(sys_DataFlat_LU_Grid,$B$2,$A62)</f>
        <v>50</v>
      </c>
      <c r="E62" cm="1">
        <f t="array" aca="1" ref="E62" ca="1">IF(C62="EXCLUDE","n/a",IF($B$6="DATA",INDEX(auto_DataFlat_DataValue,$D62,$B$4),INDEX(auto_DataFlat_Score,$D62,$B$4)))</f>
        <v>43.5</v>
      </c>
      <c r="F62" t="str" cm="1">
        <f t="array" aca="1" ref="F62" ca="1">IF(INDEX(OFFSET(tblCountries!$T$3:$T$52,0,F$11,120,1),$A62)=0,"",$E62)</f>
        <v/>
      </c>
      <c r="G62" t="str" cm="1">
        <f t="array" aca="1" ref="G62" ca="1">IF(INDEX(OFFSET(tblCountries!$T$3:$T$52,0,G$11,120,1),$A62)=0,"",$E62)</f>
        <v/>
      </c>
      <c r="H62" t="str" cm="1">
        <f t="array" aca="1" ref="H62" ca="1">IF(INDEX(OFFSET(tblCountries!$T$3:$T$52,0,H$11,120,1),$A62)=0,"",$E62)</f>
        <v/>
      </c>
      <c r="I62" t="str" cm="1">
        <f t="array" aca="1" ref="I62" ca="1">IF(INDEX(OFFSET(tblCountries!$T$3:$T$52,0,I$11,120,1),$A62)=0,"",$E62)</f>
        <v/>
      </c>
      <c r="J62" cm="1">
        <f t="array" aca="1" ref="J62" ca="1">IF(INDEX(OFFSET(tblCountries!$T$3:$T$52,0,J$11,120,1),$A62)=0,"",$E62)</f>
        <v>43.5</v>
      </c>
      <c r="K62" t="str" cm="1">
        <f t="array" aca="1" ref="K62" ca="1">IF(INDEX(OFFSET(tblCountries!$T$3:$T$52,0,K$11,120,1),$A62)=0,"",$E62)</f>
        <v/>
      </c>
      <c r="L62" cm="1">
        <f t="array" aca="1" ref="L62" ca="1">IF(INDEX(OFFSET(tblCountries!$T$3:$T$52,0,L$11,120,1),$A62)=0,"",$E62)</f>
        <v>43.5</v>
      </c>
      <c r="M62" t="str" cm="1">
        <f t="array" aca="1" ref="M62" ca="1">IF(INDEX(OFFSET(tblCountries!$T$3:$T$52,0,M$11,120,1),$A62)=0,"",$E62)</f>
        <v/>
      </c>
      <c r="N62" t="str" cm="1">
        <f t="array" aca="1" ref="N62" ca="1">IF(INDEX(OFFSET(tblCountries!$T$3:$T$52,0,N$11,120,1),$A62)=0,"",$E62)</f>
        <v/>
      </c>
      <c r="O62" t="str" cm="1">
        <f t="array" aca="1" ref="O62" ca="1">IF(INDEX(OFFSET(tblCountries!$T$3:$T$52,0,O$11,120,1),$A62)=0,"",$E62)</f>
        <v/>
      </c>
      <c r="P62" t="str" cm="1">
        <f t="array" aca="1" ref="P62" ca="1">IF(INDEX(OFFSET(tblCountries!$T$3:$T$52,0,P$11,120,1),$A62)=0,"",$E62)</f>
        <v/>
      </c>
      <c r="Q62" t="str" cm="1">
        <f t="array" aca="1" ref="Q62" ca="1">IF(INDEX(OFFSET(tblCountries!$T$3:$T$52,0,Q$11,120,1),$A62)=0,"",$E62)</f>
        <v/>
      </c>
      <c r="R62" t="str" cm="1">
        <f t="array" aca="1" ref="R62" ca="1">IF(INDEX(OFFSET(tblCountries!$T$3:$T$52,0,R$11,120,1),$A62)=0,"",$E62)</f>
        <v/>
      </c>
      <c r="S62" t="str" cm="1">
        <f t="array" aca="1" ref="S62" ca="1">IF(INDEX(OFFSET(tblCountries!$T$3:$T$52,0,S$11,120,1),$A62)=0,"",$E62)</f>
        <v/>
      </c>
      <c r="T62" t="str" cm="1">
        <f t="array" aca="1" ref="T62" ca="1">IF(INDEX(OFFSET(tblCountries!$T$3:$T$52,0,T$11,120,1),$A62)=0,"",$E62)</f>
        <v/>
      </c>
      <c r="U62" t="str" cm="1">
        <f t="array" aca="1" ref="U62" ca="1">IF(INDEX(OFFSET(tblCountries!$T$3:$T$52,0,U$11,120,1),$A62)=0,"",$E62)</f>
        <v/>
      </c>
      <c r="V62" t="str" cm="1">
        <f t="array" aca="1" ref="V62" ca="1">IF(INDEX(OFFSET(tblCountries!$T$3:$T$52,0,V$11,120,1),$A62)=0,"",$E62)</f>
        <v/>
      </c>
      <c r="W62" t="str" cm="1">
        <f t="array" aca="1" ref="W62" ca="1">IF(INDEX(OFFSET(tblCountries!$T$3:$T$52,0,W$11,120,1),$A62)=0,"",$E62)</f>
        <v/>
      </c>
      <c r="X62" t="str" cm="1">
        <f t="array" aca="1" ref="X62" ca="1">IF(INDEX(OFFSET(tblCountries!$T$3:$T$52,0,X$11,120,1),$A62)=0,"",$E62)</f>
        <v/>
      </c>
      <c r="Y62" t="str" cm="1">
        <f t="array" aca="1" ref="Y62" ca="1">IF(INDEX(OFFSET(tblCountries!$T$3:$T$52,0,Y$11,120,1),$A62)=0,"",$E62)</f>
        <v/>
      </c>
      <c r="Z62" t="str" cm="1">
        <f t="array" aca="1" ref="Z62" ca="1">IF(AND($C$3=1,NOT(ISNUMBER(INDEX(auto_DataFlat_DataValue,$AA62,$B$4)))),"EXCLUDE","")</f>
        <v/>
      </c>
      <c r="AA62" cm="1">
        <f t="array" aca="1" ref="AA62" ca="1">INDEX(sys_DataFlat_LU_Grid,$B$3,$A62)</f>
        <v>110</v>
      </c>
      <c r="AB62" cm="1">
        <f t="array" aca="1" ref="AB62" ca="1">IF(Z62="EXCLUDE","n/a",IF($B$7="DATA",INDEX(auto_DataFlat_DataValue,$AA62,$B$4),INDEX(auto_DataFlat_Score,$AA62,$B$4)))</f>
        <v>51.1</v>
      </c>
      <c r="AC62" t="str" cm="1">
        <f t="array" aca="1" ref="AC62" ca="1">IF(INDEX(OFFSET(tblCountries!$T$3:$T$52,0,AC$11,120,1),$A62)=0,"",$AB62)</f>
        <v/>
      </c>
      <c r="AD62" t="str" cm="1">
        <f t="array" aca="1" ref="AD62" ca="1">IF(INDEX(OFFSET(tblCountries!$T$3:$T$52,0,AD$11,120,1),$A62)=0,"",$AB62)</f>
        <v/>
      </c>
      <c r="AE62" t="str" cm="1">
        <f t="array" aca="1" ref="AE62" ca="1">IF(INDEX(OFFSET(tblCountries!$T$3:$T$52,0,AE$11,120,1),$A62)=0,"",$AB62)</f>
        <v/>
      </c>
      <c r="AF62" t="str" cm="1">
        <f t="array" aca="1" ref="AF62" ca="1">IF(INDEX(OFFSET(tblCountries!$T$3:$T$52,0,AF$11,120,1),$A62)=0,"",$AB62)</f>
        <v/>
      </c>
      <c r="AG62" cm="1">
        <f t="array" aca="1" ref="AG62" ca="1">IF(INDEX(OFFSET(tblCountries!$T$3:$T$52,0,AG$11,120,1),$A62)=0,"",$AB62)</f>
        <v>51.1</v>
      </c>
      <c r="AH62" t="str" cm="1">
        <f t="array" aca="1" ref="AH62" ca="1">IF(INDEX(OFFSET(tblCountries!$T$3:$T$52,0,AH$11,120,1),$A62)=0,"",$AB62)</f>
        <v/>
      </c>
      <c r="AI62" cm="1">
        <f t="array" aca="1" ref="AI62" ca="1">IF(INDEX(OFFSET(tblCountries!$T$3:$T$52,0,AI$11,120,1),$A62)=0,"",$AB62)</f>
        <v>51.1</v>
      </c>
      <c r="AJ62" t="str" cm="1">
        <f t="array" aca="1" ref="AJ62" ca="1">IF(INDEX(OFFSET(tblCountries!$T$3:$T$52,0,AJ$11,120,1),$A62)=0,"",$AB62)</f>
        <v/>
      </c>
      <c r="AK62" t="str" cm="1">
        <f t="array" aca="1" ref="AK62" ca="1">IF(INDEX(OFFSET(tblCountries!$T$3:$T$52,0,AK$11,120,1),$A62)=0,"",$AB62)</f>
        <v/>
      </c>
      <c r="AL62" t="str" cm="1">
        <f t="array" aca="1" ref="AL62" ca="1">IF(INDEX(OFFSET(tblCountries!$T$3:$T$52,0,AL$11,120,1),$A62)=0,"",$AB62)</f>
        <v/>
      </c>
      <c r="AM62" t="str" cm="1">
        <f t="array" aca="1" ref="AM62" ca="1">IF(INDEX(OFFSET(tblCountries!$T$3:$T$52,0,AM$11,120,1),$A62)=0,"",$AB62)</f>
        <v/>
      </c>
      <c r="AN62" t="str" cm="1">
        <f t="array" aca="1" ref="AN62" ca="1">IF(INDEX(OFFSET(tblCountries!$T$3:$T$52,0,AN$11,120,1),$A62)=0,"",$AB62)</f>
        <v/>
      </c>
      <c r="AO62" t="str" cm="1">
        <f t="array" aca="1" ref="AO62" ca="1">IF(INDEX(OFFSET(tblCountries!$T$3:$T$52,0,AO$11,120,1),$A62)=0,"",$AB62)</f>
        <v/>
      </c>
      <c r="AP62" t="str" cm="1">
        <f t="array" aca="1" ref="AP62" ca="1">IF(INDEX(OFFSET(tblCountries!$T$3:$T$52,0,AP$11,120,1),$A62)=0,"",$AB62)</f>
        <v/>
      </c>
      <c r="AQ62" t="str" cm="1">
        <f t="array" aca="1" ref="AQ62" ca="1">IF(INDEX(OFFSET(tblCountries!$T$3:$T$52,0,AQ$11,120,1),$A62)=0,"",$AB62)</f>
        <v/>
      </c>
      <c r="AR62" t="str" cm="1">
        <f t="array" aca="1" ref="AR62" ca="1">IF(INDEX(OFFSET(tblCountries!$T$3:$T$52,0,AR$11,120,1),$A62)=0,"",$AB62)</f>
        <v/>
      </c>
      <c r="AS62" t="str" cm="1">
        <f t="array" aca="1" ref="AS62" ca="1">IF(INDEX(OFFSET(tblCountries!$T$3:$T$52,0,AS$11,120,1),$A62)=0,"",$AB62)</f>
        <v/>
      </c>
      <c r="AT62" t="str" cm="1">
        <f t="array" aca="1" ref="AT62" ca="1">IF(INDEX(OFFSET(tblCountries!$T$3:$T$52,0,AT$11,120,1),$A62)=0,"",$AB62)</f>
        <v/>
      </c>
      <c r="AU62" t="str" cm="1">
        <f t="array" aca="1" ref="AU62" ca="1">IF(INDEX(OFFSET(tblCountries!$T$3:$T$52,0,AU$11,120,1),$A62)=0,"",$AB62)</f>
        <v/>
      </c>
      <c r="AV62" t="str" cm="1">
        <f t="array" aca="1" ref="AV62" ca="1">IF(INDEX(OFFSET(tblCountries!$T$3:$T$52,0,AV$11,120,1),$A62)=0,"",$AB62)</f>
        <v/>
      </c>
      <c r="AZ62">
        <f t="shared" ca="1" si="9"/>
        <v>1</v>
      </c>
      <c r="BA62">
        <f t="shared" ca="1" si="10"/>
        <v>0</v>
      </c>
      <c r="BB62">
        <f t="shared" ca="1" si="11"/>
        <v>0</v>
      </c>
      <c r="BC62">
        <f t="shared" ca="1" si="12"/>
        <v>0</v>
      </c>
      <c r="BD62">
        <f t="shared" ca="1" si="13"/>
        <v>0</v>
      </c>
      <c r="BE62">
        <f t="shared" ca="1" si="14"/>
        <v>1</v>
      </c>
      <c r="BF62">
        <f t="shared" ca="1" si="15"/>
        <v>0</v>
      </c>
      <c r="BG62">
        <f t="shared" ca="1" si="16"/>
        <v>1</v>
      </c>
      <c r="BH62">
        <f t="shared" ca="1" si="17"/>
        <v>0</v>
      </c>
      <c r="BI62">
        <f t="shared" ca="1" si="18"/>
        <v>0</v>
      </c>
      <c r="BJ62">
        <f t="shared" ca="1" si="19"/>
        <v>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78F23-C64E-4433-B751-9B5C97093455}">
  <sheetPr codeName="Sheet81">
    <tabColor rgb="FF7030A0"/>
  </sheetPr>
  <dimension ref="A1:CG162"/>
  <sheetViews>
    <sheetView topLeftCell="AQ4" workbookViewId="0">
      <selection activeCell="BS31" sqref="BS31"/>
    </sheetView>
  </sheetViews>
  <sheetFormatPr defaultColWidth="9.15234375" defaultRowHeight="14.6" x14ac:dyDescent="0.4"/>
  <cols>
    <col min="3" max="3" width="13.3828125" bestFit="1" customWidth="1"/>
    <col min="4" max="4" width="8.69140625" customWidth="1"/>
    <col min="5" max="8" width="5.3828125" customWidth="1"/>
    <col min="9" max="9" width="10" bestFit="1" customWidth="1"/>
    <col min="11" max="11" width="10.53515625" customWidth="1"/>
    <col min="12" max="12" width="15.53515625" customWidth="1"/>
    <col min="13" max="19" width="5" customWidth="1"/>
    <col min="20" max="30" width="4.84375" customWidth="1"/>
    <col min="32" max="65" width="4.3046875" customWidth="1"/>
  </cols>
  <sheetData>
    <row r="1" spans="1:75" x14ac:dyDescent="0.4">
      <c r="A1" t="s">
        <v>163</v>
      </c>
      <c r="C1" t="s">
        <v>957</v>
      </c>
      <c r="D1" t="s">
        <v>958</v>
      </c>
    </row>
    <row r="2" spans="1:75" x14ac:dyDescent="0.4">
      <c r="B2" t="s">
        <v>488</v>
      </c>
      <c r="C2">
        <f>uxbGlobals!$B$361</f>
        <v>1</v>
      </c>
      <c r="D2">
        <f>uxbGlobals!$B$374</f>
        <v>1</v>
      </c>
    </row>
    <row r="3" spans="1:75" x14ac:dyDescent="0.4">
      <c r="B3" t="s">
        <v>489</v>
      </c>
      <c r="C3" t="str">
        <f>uxbGlobals!$B$362</f>
        <v>ADD</v>
      </c>
      <c r="D3" t="str">
        <f>uxbGlobals!$B$375</f>
        <v>ADD</v>
      </c>
    </row>
    <row r="4" spans="1:75" x14ac:dyDescent="0.4">
      <c r="B4" t="s">
        <v>445</v>
      </c>
      <c r="C4" t="str">
        <f>uxbGlobals!$B$364</f>
        <v>Addis Ababa</v>
      </c>
      <c r="D4" t="str">
        <f>uxbGlobals!$B$377</f>
        <v>Addis Ababa</v>
      </c>
    </row>
    <row r="5" spans="1:75" x14ac:dyDescent="0.4">
      <c r="B5" t="s">
        <v>490</v>
      </c>
      <c r="C5">
        <f>uxbGlobals!$B$368</f>
        <v>2</v>
      </c>
      <c r="D5">
        <f>uxbGlobals!$B$381</f>
        <v>2</v>
      </c>
      <c r="M5" t="s">
        <v>1308</v>
      </c>
    </row>
    <row r="6" spans="1:75" x14ac:dyDescent="0.4">
      <c r="B6" t="s">
        <v>491</v>
      </c>
      <c r="C6" t="str">
        <f>uxbGlobals!$B$370</f>
        <v>Americas</v>
      </c>
      <c r="D6" t="str">
        <f>uxbGlobals!$B$371</f>
        <v>UK national score</v>
      </c>
    </row>
    <row r="7" spans="1:75" x14ac:dyDescent="0.4">
      <c r="B7" t="s">
        <v>492</v>
      </c>
      <c r="C7" t="str">
        <f>uxbGlobals!$B$369</f>
        <v>GBR</v>
      </c>
      <c r="P7">
        <v>0.5</v>
      </c>
      <c r="Q7">
        <v>0.5</v>
      </c>
      <c r="R7">
        <v>0.5</v>
      </c>
      <c r="S7">
        <v>0.5</v>
      </c>
      <c r="T7">
        <v>0.5</v>
      </c>
      <c r="U7">
        <v>0.5</v>
      </c>
      <c r="V7">
        <v>0.5</v>
      </c>
      <c r="W7">
        <v>0.5</v>
      </c>
      <c r="X7">
        <v>0.5</v>
      </c>
      <c r="Y7">
        <v>0.5</v>
      </c>
      <c r="Z7">
        <v>0.5</v>
      </c>
      <c r="AA7">
        <v>0.5</v>
      </c>
      <c r="AB7">
        <v>0.5</v>
      </c>
      <c r="AC7">
        <v>0.5</v>
      </c>
      <c r="AD7">
        <v>0.5</v>
      </c>
      <c r="AE7">
        <v>0.5</v>
      </c>
      <c r="AF7">
        <v>0.5</v>
      </c>
      <c r="AG7">
        <v>0.5</v>
      </c>
      <c r="AH7">
        <v>0.5</v>
      </c>
      <c r="AI7">
        <v>0.5</v>
      </c>
      <c r="AJ7">
        <v>0.5</v>
      </c>
      <c r="AK7">
        <v>0.5</v>
      </c>
      <c r="AL7">
        <v>0.5</v>
      </c>
      <c r="AM7">
        <v>0.5</v>
      </c>
      <c r="AN7">
        <v>0.5</v>
      </c>
      <c r="AO7">
        <v>0.5</v>
      </c>
      <c r="AP7">
        <v>0.5</v>
      </c>
      <c r="AQ7">
        <v>0.5</v>
      </c>
      <c r="AR7">
        <v>0.5</v>
      </c>
      <c r="AS7">
        <v>0.5</v>
      </c>
      <c r="AT7">
        <v>0.5</v>
      </c>
      <c r="AU7">
        <v>0.5</v>
      </c>
      <c r="AV7">
        <v>0.5</v>
      </c>
      <c r="AW7">
        <v>0.5</v>
      </c>
      <c r="AX7">
        <v>0.5</v>
      </c>
      <c r="AY7">
        <v>0.5</v>
      </c>
      <c r="AZ7">
        <v>0.5</v>
      </c>
      <c r="BA7">
        <v>0.5</v>
      </c>
      <c r="BB7">
        <v>0.5</v>
      </c>
      <c r="BC7">
        <v>0.5</v>
      </c>
      <c r="BD7">
        <v>0.5</v>
      </c>
      <c r="BE7">
        <v>0.5</v>
      </c>
      <c r="BF7">
        <v>0.5</v>
      </c>
      <c r="BG7">
        <v>0.5</v>
      </c>
      <c r="BH7">
        <v>0.5</v>
      </c>
      <c r="BI7">
        <v>0.5</v>
      </c>
      <c r="BJ7">
        <v>0.5</v>
      </c>
      <c r="BK7">
        <v>0.5</v>
      </c>
      <c r="BL7">
        <v>0.5</v>
      </c>
      <c r="BM7">
        <v>0.5</v>
      </c>
    </row>
    <row r="8" spans="1:75" x14ac:dyDescent="0.4">
      <c r="B8" t="s">
        <v>758</v>
      </c>
      <c r="C8">
        <f>uxbGlobals!$B$387</f>
        <v>0</v>
      </c>
      <c r="P8">
        <f ca="1">IF(ISERROR(P13),NA(),2)</f>
        <v>2</v>
      </c>
      <c r="Q8">
        <f t="shared" ref="Q8:R8" ca="1" si="0">IF(ISERROR(Q13),NA(),2)</f>
        <v>2</v>
      </c>
      <c r="R8">
        <f t="shared" ca="1" si="0"/>
        <v>2</v>
      </c>
      <c r="S8">
        <f t="shared" ref="S8:BM8" ca="1" si="1">IF(ISERROR(S13),NA(),2)</f>
        <v>2</v>
      </c>
      <c r="T8">
        <f t="shared" ca="1" si="1"/>
        <v>2</v>
      </c>
      <c r="U8">
        <f t="shared" ca="1" si="1"/>
        <v>2</v>
      </c>
      <c r="V8">
        <f t="shared" ca="1" si="1"/>
        <v>2</v>
      </c>
      <c r="W8">
        <f t="shared" ca="1" si="1"/>
        <v>2</v>
      </c>
      <c r="X8">
        <f t="shared" ca="1" si="1"/>
        <v>2</v>
      </c>
      <c r="Y8">
        <f t="shared" ca="1" si="1"/>
        <v>2</v>
      </c>
      <c r="Z8">
        <f t="shared" ca="1" si="1"/>
        <v>2</v>
      </c>
      <c r="AA8">
        <f t="shared" ca="1" si="1"/>
        <v>2</v>
      </c>
      <c r="AB8">
        <f t="shared" ca="1" si="1"/>
        <v>2</v>
      </c>
      <c r="AC8">
        <f t="shared" ca="1" si="1"/>
        <v>2</v>
      </c>
      <c r="AD8">
        <f t="shared" ca="1" si="1"/>
        <v>2</v>
      </c>
      <c r="AE8">
        <f t="shared" ca="1" si="1"/>
        <v>2</v>
      </c>
      <c r="AF8">
        <f t="shared" ca="1" si="1"/>
        <v>2</v>
      </c>
      <c r="AG8">
        <f t="shared" ca="1" si="1"/>
        <v>2</v>
      </c>
      <c r="AH8">
        <f t="shared" ca="1" si="1"/>
        <v>2</v>
      </c>
      <c r="AI8">
        <f t="shared" ca="1" si="1"/>
        <v>2</v>
      </c>
      <c r="AJ8">
        <f t="shared" ca="1" si="1"/>
        <v>2</v>
      </c>
      <c r="AK8">
        <f t="shared" ca="1" si="1"/>
        <v>2</v>
      </c>
      <c r="AL8">
        <f t="shared" ca="1" si="1"/>
        <v>2</v>
      </c>
      <c r="AM8">
        <f t="shared" ca="1" si="1"/>
        <v>2</v>
      </c>
      <c r="AN8">
        <f t="shared" ca="1" si="1"/>
        <v>2</v>
      </c>
      <c r="AO8">
        <f t="shared" ca="1" si="1"/>
        <v>2</v>
      </c>
      <c r="AP8">
        <f t="shared" ca="1" si="1"/>
        <v>2</v>
      </c>
      <c r="AQ8">
        <f t="shared" ca="1" si="1"/>
        <v>2</v>
      </c>
      <c r="AR8">
        <f t="shared" ca="1" si="1"/>
        <v>2</v>
      </c>
      <c r="AS8">
        <f t="shared" ca="1" si="1"/>
        <v>2</v>
      </c>
      <c r="AT8">
        <f t="shared" ca="1" si="1"/>
        <v>2</v>
      </c>
      <c r="AU8">
        <f t="shared" ca="1" si="1"/>
        <v>2</v>
      </c>
      <c r="AV8">
        <f t="shared" ca="1" si="1"/>
        <v>2</v>
      </c>
      <c r="AW8">
        <f t="shared" ca="1" si="1"/>
        <v>2</v>
      </c>
      <c r="AX8">
        <f t="shared" ca="1" si="1"/>
        <v>2</v>
      </c>
      <c r="AY8">
        <f t="shared" ca="1" si="1"/>
        <v>2</v>
      </c>
      <c r="AZ8">
        <f t="shared" ca="1" si="1"/>
        <v>2</v>
      </c>
      <c r="BA8">
        <f t="shared" ca="1" si="1"/>
        <v>2</v>
      </c>
      <c r="BB8">
        <f t="shared" ca="1" si="1"/>
        <v>2</v>
      </c>
      <c r="BC8">
        <f t="shared" ca="1" si="1"/>
        <v>2</v>
      </c>
      <c r="BD8">
        <f t="shared" ca="1" si="1"/>
        <v>2</v>
      </c>
      <c r="BE8">
        <f t="shared" ca="1" si="1"/>
        <v>2</v>
      </c>
      <c r="BF8">
        <f t="shared" ca="1" si="1"/>
        <v>2</v>
      </c>
      <c r="BG8">
        <f t="shared" ca="1" si="1"/>
        <v>2</v>
      </c>
      <c r="BH8">
        <f t="shared" ca="1" si="1"/>
        <v>2</v>
      </c>
      <c r="BI8">
        <f t="shared" ca="1" si="1"/>
        <v>2</v>
      </c>
      <c r="BJ8">
        <f t="shared" ca="1" si="1"/>
        <v>2</v>
      </c>
      <c r="BK8">
        <f t="shared" ca="1" si="1"/>
        <v>2</v>
      </c>
      <c r="BL8">
        <f t="shared" ca="1" si="1"/>
        <v>2</v>
      </c>
      <c r="BM8">
        <f t="shared" ca="1" si="1"/>
        <v>2</v>
      </c>
    </row>
    <row r="9" spans="1:75" x14ac:dyDescent="0.4">
      <c r="B9" t="s">
        <v>1311</v>
      </c>
      <c r="C9">
        <f>uxbGlobals!$B$276</f>
        <v>1</v>
      </c>
    </row>
    <row r="10" spans="1:75" x14ac:dyDescent="0.4">
      <c r="B10" t="s">
        <v>1315</v>
      </c>
      <c r="C10" t="str">
        <f>uxbGlobals!$B$351</f>
        <v>All cities (average)</v>
      </c>
      <c r="BQ10" t="s">
        <v>391</v>
      </c>
    </row>
    <row r="11" spans="1:75" x14ac:dyDescent="0.4">
      <c r="B11" t="s">
        <v>1150</v>
      </c>
      <c r="P11">
        <v>1</v>
      </c>
      <c r="Q11">
        <v>2</v>
      </c>
      <c r="R11">
        <v>3</v>
      </c>
      <c r="S11">
        <v>4</v>
      </c>
      <c r="T11">
        <v>5</v>
      </c>
      <c r="U11">
        <v>6</v>
      </c>
      <c r="V11">
        <v>7</v>
      </c>
      <c r="W11">
        <v>8</v>
      </c>
      <c r="X11">
        <v>9</v>
      </c>
      <c r="Y11">
        <v>10</v>
      </c>
      <c r="Z11">
        <v>11</v>
      </c>
      <c r="AA11">
        <v>12</v>
      </c>
      <c r="AB11">
        <v>13</v>
      </c>
      <c r="AC11">
        <v>14</v>
      </c>
      <c r="AD11">
        <v>15</v>
      </c>
      <c r="AE11">
        <v>16</v>
      </c>
      <c r="AF11">
        <v>17</v>
      </c>
      <c r="AG11">
        <v>18</v>
      </c>
      <c r="AH11">
        <v>19</v>
      </c>
      <c r="AI11">
        <v>20</v>
      </c>
      <c r="AJ11">
        <v>21</v>
      </c>
      <c r="AK11">
        <v>22</v>
      </c>
      <c r="AL11">
        <v>23</v>
      </c>
      <c r="AM11">
        <v>24</v>
      </c>
      <c r="AN11">
        <v>25</v>
      </c>
      <c r="AO11">
        <v>26</v>
      </c>
      <c r="AP11">
        <v>27</v>
      </c>
      <c r="AQ11">
        <v>28</v>
      </c>
      <c r="AR11">
        <v>29</v>
      </c>
      <c r="AS11">
        <v>30</v>
      </c>
      <c r="AT11">
        <v>31</v>
      </c>
      <c r="AU11">
        <v>32</v>
      </c>
      <c r="AV11">
        <v>33</v>
      </c>
      <c r="AW11">
        <v>34</v>
      </c>
      <c r="AX11">
        <v>35</v>
      </c>
      <c r="AY11">
        <v>36</v>
      </c>
      <c r="AZ11">
        <v>37</v>
      </c>
      <c r="BA11">
        <v>38</v>
      </c>
      <c r="BB11">
        <v>39</v>
      </c>
      <c r="BC11">
        <v>40</v>
      </c>
      <c r="BD11">
        <v>41</v>
      </c>
      <c r="BE11">
        <v>42</v>
      </c>
      <c r="BF11">
        <v>43</v>
      </c>
      <c r="BG11">
        <v>44</v>
      </c>
      <c r="BH11">
        <v>45</v>
      </c>
      <c r="BI11">
        <v>46</v>
      </c>
      <c r="BJ11">
        <v>47</v>
      </c>
      <c r="BK11">
        <v>48</v>
      </c>
      <c r="BL11">
        <v>49</v>
      </c>
      <c r="BM11">
        <v>50</v>
      </c>
      <c r="BQ11" t="str" cm="1">
        <f t="array" ref="BQ11">INDEX(auto_ddGroup_Filter,BQ12)</f>
        <v>SE Asia</v>
      </c>
      <c r="BR11" t="str" cm="1">
        <f t="array" ref="BR11">INDEX(auto_ddGroup_Filter,BR12)</f>
        <v>Upper middle income</v>
      </c>
    </row>
    <row r="12" spans="1:75" x14ac:dyDescent="0.4">
      <c r="C12" t="s">
        <v>1312</v>
      </c>
      <c r="D12" t="s">
        <v>1313</v>
      </c>
      <c r="E12" t="s">
        <v>1314</v>
      </c>
      <c r="H12" t="s">
        <v>1070</v>
      </c>
      <c r="I12" t="s">
        <v>1092</v>
      </c>
      <c r="K12" t="s">
        <v>1072</v>
      </c>
      <c r="L12" t="s">
        <v>175</v>
      </c>
      <c r="M12" t="s">
        <v>1073</v>
      </c>
      <c r="N12" t="s">
        <v>1074</v>
      </c>
      <c r="O12" t="s">
        <v>959</v>
      </c>
      <c r="P12" cm="1">
        <f t="array" ref="P12">INDEX(auto_Country_Level_ID,P11)</f>
        <v>2</v>
      </c>
      <c r="Q12" cm="1">
        <f t="array" ref="Q12">INDEX(auto_Country_Level_ID,Q11)</f>
        <v>2</v>
      </c>
      <c r="R12" cm="1">
        <f t="array" ref="R12">INDEX(auto_Country_Level_ID,R11)</f>
        <v>2</v>
      </c>
      <c r="S12" cm="1">
        <f t="array" ref="S12">INDEX(auto_Country_Level_ID,S11)</f>
        <v>2</v>
      </c>
      <c r="T12" cm="1">
        <f t="array" ref="T12">INDEX(auto_Country_Level_ID,T11)</f>
        <v>2</v>
      </c>
      <c r="U12" cm="1">
        <f t="array" ref="U12">INDEX(auto_Country_Level_ID,U11)</f>
        <v>2</v>
      </c>
      <c r="V12" cm="1">
        <f t="array" ref="V12">INDEX(auto_Country_Level_ID,V11)</f>
        <v>2</v>
      </c>
      <c r="W12" cm="1">
        <f t="array" ref="W12">INDEX(auto_Country_Level_ID,W11)</f>
        <v>2</v>
      </c>
      <c r="X12" cm="1">
        <f t="array" ref="X12">INDEX(auto_Country_Level_ID,X11)</f>
        <v>2</v>
      </c>
      <c r="Y12" cm="1">
        <f t="array" ref="Y12">INDEX(auto_Country_Level_ID,Y11)</f>
        <v>2</v>
      </c>
      <c r="Z12" cm="1">
        <f t="array" ref="Z12">INDEX(auto_Country_Level_ID,Z11)</f>
        <v>2</v>
      </c>
      <c r="AA12" cm="1">
        <f t="array" ref="AA12">INDEX(auto_Country_Level_ID,AA11)</f>
        <v>2</v>
      </c>
      <c r="AB12" cm="1">
        <f t="array" ref="AB12">INDEX(auto_Country_Level_ID,AB11)</f>
        <v>2</v>
      </c>
      <c r="AC12" cm="1">
        <f t="array" ref="AC12">INDEX(auto_Country_Level_ID,AC11)</f>
        <v>2</v>
      </c>
      <c r="AD12" cm="1">
        <f t="array" ref="AD12">INDEX(auto_Country_Level_ID,AD11)</f>
        <v>2</v>
      </c>
      <c r="AE12" cm="1">
        <f t="array" ref="AE12">INDEX(auto_Country_Level_ID,AE11)</f>
        <v>2</v>
      </c>
      <c r="AF12" cm="1">
        <f t="array" ref="AF12">INDEX(auto_Country_Level_ID,AF11)</f>
        <v>2</v>
      </c>
      <c r="AG12" cm="1">
        <f t="array" ref="AG12">INDEX(auto_Country_Level_ID,AG11)</f>
        <v>2</v>
      </c>
      <c r="AH12" cm="1">
        <f t="array" ref="AH12">INDEX(auto_Country_Level_ID,AH11)</f>
        <v>2</v>
      </c>
      <c r="AI12" cm="1">
        <f t="array" ref="AI12">INDEX(auto_Country_Level_ID,AI11)</f>
        <v>2</v>
      </c>
      <c r="AJ12" cm="1">
        <f t="array" ref="AJ12">INDEX(auto_Country_Level_ID,AJ11)</f>
        <v>2</v>
      </c>
      <c r="AK12" cm="1">
        <f t="array" ref="AK12">INDEX(auto_Country_Level_ID,AK11)</f>
        <v>2</v>
      </c>
      <c r="AL12" cm="1">
        <f t="array" ref="AL12">INDEX(auto_Country_Level_ID,AL11)</f>
        <v>2</v>
      </c>
      <c r="AM12" cm="1">
        <f t="array" ref="AM12">INDEX(auto_Country_Level_ID,AM11)</f>
        <v>2</v>
      </c>
      <c r="AN12" cm="1">
        <f t="array" ref="AN12">INDEX(auto_Country_Level_ID,AN11)</f>
        <v>2</v>
      </c>
      <c r="AO12" cm="1">
        <f t="array" ref="AO12">INDEX(auto_Country_Level_ID,AO11)</f>
        <v>2</v>
      </c>
      <c r="AP12" cm="1">
        <f t="array" ref="AP12">INDEX(auto_Country_Level_ID,AP11)</f>
        <v>2</v>
      </c>
      <c r="AQ12" cm="1">
        <f t="array" ref="AQ12">INDEX(auto_Country_Level_ID,AQ11)</f>
        <v>2</v>
      </c>
      <c r="AR12" cm="1">
        <f t="array" ref="AR12">INDEX(auto_Country_Level_ID,AR11)</f>
        <v>2</v>
      </c>
      <c r="AS12" cm="1">
        <f t="array" ref="AS12">INDEX(auto_Country_Level_ID,AS11)</f>
        <v>2</v>
      </c>
      <c r="AT12" cm="1">
        <f t="array" ref="AT12">INDEX(auto_Country_Level_ID,AT11)</f>
        <v>2</v>
      </c>
      <c r="AU12" cm="1">
        <f t="array" ref="AU12">INDEX(auto_Country_Level_ID,AU11)</f>
        <v>2</v>
      </c>
      <c r="AV12" cm="1">
        <f t="array" ref="AV12">INDEX(auto_Country_Level_ID,AV11)</f>
        <v>2</v>
      </c>
      <c r="AW12" cm="1">
        <f t="array" ref="AW12">INDEX(auto_Country_Level_ID,AW11)</f>
        <v>2</v>
      </c>
      <c r="AX12" cm="1">
        <f t="array" ref="AX12">INDEX(auto_Country_Level_ID,AX11)</f>
        <v>2</v>
      </c>
      <c r="AY12" cm="1">
        <f t="array" ref="AY12">INDEX(auto_Country_Level_ID,AY11)</f>
        <v>2</v>
      </c>
      <c r="AZ12" cm="1">
        <f t="array" ref="AZ12">INDEX(auto_Country_Level_ID,AZ11)</f>
        <v>2</v>
      </c>
      <c r="BA12" cm="1">
        <f t="array" ref="BA12">INDEX(auto_Country_Level_ID,BA11)</f>
        <v>2</v>
      </c>
      <c r="BB12" cm="1">
        <f t="array" ref="BB12">INDEX(auto_Country_Level_ID,BB11)</f>
        <v>2</v>
      </c>
      <c r="BC12" cm="1">
        <f t="array" ref="BC12">INDEX(auto_Country_Level_ID,BC11)</f>
        <v>2</v>
      </c>
      <c r="BD12" cm="1">
        <f t="array" ref="BD12">INDEX(auto_Country_Level_ID,BD11)</f>
        <v>2</v>
      </c>
      <c r="BE12" cm="1">
        <f t="array" ref="BE12">INDEX(auto_Country_Level_ID,BE11)</f>
        <v>2</v>
      </c>
      <c r="BF12" cm="1">
        <f t="array" ref="BF12">INDEX(auto_Country_Level_ID,BF11)</f>
        <v>2</v>
      </c>
      <c r="BG12" cm="1">
        <f t="array" ref="BG12">INDEX(auto_Country_Level_ID,BG11)</f>
        <v>2</v>
      </c>
      <c r="BH12" cm="1">
        <f t="array" ref="BH12">INDEX(auto_Country_Level_ID,BH11)</f>
        <v>2</v>
      </c>
      <c r="BI12" cm="1">
        <f t="array" ref="BI12">INDEX(auto_Country_Level_ID,BI11)</f>
        <v>2</v>
      </c>
      <c r="BJ12" cm="1">
        <f t="array" ref="BJ12">INDEX(auto_Country_Level_ID,BJ11)</f>
        <v>2</v>
      </c>
      <c r="BK12" cm="1">
        <f t="array" ref="BK12">INDEX(auto_Country_Level_ID,BK11)</f>
        <v>2</v>
      </c>
      <c r="BL12" cm="1">
        <f t="array" ref="BL12">INDEX(auto_Country_Level_ID,BL11)</f>
        <v>2</v>
      </c>
      <c r="BM12" cm="1">
        <f t="array" ref="BM12">INDEX(auto_Country_Level_ID,BM11)</f>
        <v>2</v>
      </c>
      <c r="BO12" t="s">
        <v>30</v>
      </c>
      <c r="BP12" t="s">
        <v>31</v>
      </c>
      <c r="BQ12">
        <v>6</v>
      </c>
      <c r="BR12">
        <v>9</v>
      </c>
      <c r="BU12">
        <f>BQ12</f>
        <v>6</v>
      </c>
      <c r="BV12">
        <f>BR12</f>
        <v>9</v>
      </c>
      <c r="BW12" t="s">
        <v>2689</v>
      </c>
    </row>
    <row r="13" spans="1:75" x14ac:dyDescent="0.4">
      <c r="B13">
        <v>1</v>
      </c>
      <c r="C13" cm="1">
        <f t="array" aca="1" ref="C13" ca="1">INDEX(OFFSET(auto_ss_TopLevel,0,1,300,1),B13)</f>
        <v>1</v>
      </c>
      <c r="D13" cm="1">
        <f t="array" aca="1" ref="D13" ca="1">IF(C13=0,0,INDEX(sys_DataFlat_LU_Grid_Groups,$C13,$C$9))</f>
        <v>51</v>
      </c>
      <c r="E13" cm="1">
        <f t="array" aca="1" ref="E13" ca="1">IF(D13=0,"",INDEX(auto_DataFlat_Score,D13))</f>
        <v>62.4</v>
      </c>
      <c r="G13">
        <f t="shared" ref="G13:G22" ca="1" si="2">ROUND(AVERAGE(P13:BM13),1)</f>
        <v>62.4</v>
      </c>
      <c r="H13" t="e" cm="1">
        <f t="array" ref="H13">IF($C$8=0,NA(),INDEX($P13:$BM13,$C$8))</f>
        <v>#N/A</v>
      </c>
      <c r="I13" cm="1">
        <f t="array" aca="1" ref="I13" ca="1">IF(C13=0,0,INDEX(sys_DataFlat_LU_Grid,$C13,$C$2))</f>
        <v>1</v>
      </c>
      <c r="J13" t="str" cm="1">
        <f t="array" aca="1" ref="J13" ca="1">IF(C13=0,"",INDEX(auto_Series_NameNoNumber,C13))</f>
        <v>OVERALL</v>
      </c>
      <c r="K13" cm="1">
        <f t="array" aca="1" ref="K13" ca="1">IF(C13=0,"",INDEX(K$94:K$162,$C13))</f>
        <v>49.6</v>
      </c>
      <c r="L13" t="str" cm="1">
        <f t="array" aca="1" ref="L13" ca="1">IF(C13=0,"",INDEX(L$94:L$162,$C13))</f>
        <v>41</v>
      </c>
      <c r="M13">
        <f ca="1">IF(C13=0,"",STANDARDIZE(K13,AVERAGE(P13:AA13),STDEV((P13:AA13))))</f>
        <v>-0.85327655164063909</v>
      </c>
      <c r="N13" cm="1">
        <f t="array" aca="1" ref="N13" ca="1">IF(C13=0,"",INDEX($N$94:$N$162,$C13))</f>
        <v>3</v>
      </c>
      <c r="O13" t="e" cm="1">
        <f t="array" aca="1" ref="O13" ca="1">IF(C13=0,"",INDEX(#REF!,$C13))</f>
        <v>#REF!</v>
      </c>
      <c r="P13" cm="1">
        <f t="array" aca="1" ref="P13" ca="1">IF($C13=0,"",IF(P$12&lt;&gt;$C$5,NA(),INDEX(auto_DataFlat_Score,INDEX(sys_DataFlat_LU_Grid,$C13,P$11))))</f>
        <v>49.6</v>
      </c>
      <c r="Q13" cm="1">
        <f t="array" aca="1" ref="Q13" ca="1">IF($C13=0,"",IF(Q$12&lt;&gt;$C$5,NA(),INDEX(auto_DataFlat_Score,INDEX(sys_DataFlat_LU_Grid,$C13,Q$11))))</f>
        <v>41</v>
      </c>
      <c r="R13" cm="1">
        <f t="array" aca="1" ref="R13" ca="1">IF($C13=0,"",IF(R$12&lt;&gt;$C$5,NA(),INDEX(auto_DataFlat_Score,INDEX(sys_DataFlat_LU_Grid,$C13,R$11))))</f>
        <v>63.1</v>
      </c>
      <c r="S13" cm="1">
        <f t="array" aca="1" ref="S13" ca="1">IF($C13=0,"",IF(S$12&lt;&gt;$C$5,NA(),INDEX(auto_DataFlat_Score,INDEX(sys_DataFlat_LU_Grid,$C13,S$11))))</f>
        <v>71</v>
      </c>
      <c r="T13" cm="1">
        <f t="array" aca="1" ref="T13" ca="1">IF($C13=0,"",IF(T$12&lt;&gt;$C$5,NA(),INDEX(auto_DataFlat_Score,INDEX(sys_DataFlat_LU_Grid,$C13,T$11))))</f>
        <v>68.8</v>
      </c>
      <c r="U13" cm="1">
        <f t="array" aca="1" ref="U13" ca="1">IF($C13=0,"",IF(U$12&lt;&gt;$C$5,NA(),INDEX(auto_DataFlat_Score,INDEX(sys_DataFlat_LU_Grid,$C13,U$11))))</f>
        <v>63.4</v>
      </c>
      <c r="V13" cm="1">
        <f t="array" aca="1" ref="V13" ca="1">IF($C13=0,"",IF(V$12&lt;&gt;$C$5,NA(),INDEX(auto_DataFlat_Score,INDEX(sys_DataFlat_LU_Grid,$C13,V$11))))</f>
        <v>77.400000000000006</v>
      </c>
      <c r="W13" cm="1">
        <f t="array" aca="1" ref="W13" ca="1">IF($C13=0,"",IF(W$12&lt;&gt;$C$5,NA(),INDEX(auto_DataFlat_Score,INDEX(sys_DataFlat_LU_Grid,$C13,W$11))))</f>
        <v>69.7</v>
      </c>
      <c r="X13" cm="1">
        <f t="array" aca="1" ref="X13" ca="1">IF($C13=0,"",IF(X$12&lt;&gt;$C$5,NA(),INDEX(auto_DataFlat_Score,INDEX(sys_DataFlat_LU_Grid,$C13,X$11))))</f>
        <v>69.5</v>
      </c>
      <c r="Y13" cm="1">
        <f t="array" aca="1" ref="Y13" ca="1">IF($C13=0,"",IF(Y$12&lt;&gt;$C$5,NA(),INDEX(auto_DataFlat_Score,INDEX(sys_DataFlat_LU_Grid,$C13,Y$11))))</f>
        <v>40.6</v>
      </c>
      <c r="Z13" cm="1">
        <f t="array" aca="1" ref="Z13" ca="1">IF($C13=0,"",IF(Z$12&lt;&gt;$C$5,NA(),INDEX(auto_DataFlat_Score,INDEX(sys_DataFlat_LU_Grid,$C13,Z$11))))</f>
        <v>50.1</v>
      </c>
      <c r="AA13" cm="1">
        <f t="array" aca="1" ref="AA13" ca="1">IF($C13=0,"",IF(AA$12&lt;&gt;$C$5,NA(),INDEX(auto_DataFlat_Score,INDEX(sys_DataFlat_LU_Grid,$C13,AA$11))))</f>
        <v>56.8</v>
      </c>
      <c r="AB13" cm="1">
        <f t="array" aca="1" ref="AB13" ca="1">IF($C13=0,"",IF(AB$12&lt;&gt;$C$5,NA(),INDEX(auto_DataFlat_Score,INDEX(sys_DataFlat_LU_Grid,$C13,AB$11))))</f>
        <v>41.8</v>
      </c>
      <c r="AC13" cm="1">
        <f t="array" aca="1" ref="AC13" ca="1">IF($C13=0,"",IF(AC$12&lt;&gt;$C$5,NA(),INDEX(auto_DataFlat_Score,INDEX(sys_DataFlat_LU_Grid,$C13,AC$11))))</f>
        <v>65</v>
      </c>
      <c r="AD13" cm="1">
        <f t="array" aca="1" ref="AD13" ca="1">IF($C13=0,"",IF(AD$12&lt;&gt;$C$5,NA(),INDEX(auto_DataFlat_Score,INDEX(sys_DataFlat_LU_Grid,$C13,AD$11))))</f>
        <v>75.5</v>
      </c>
      <c r="AE13" cm="1">
        <f t="array" aca="1" ref="AE13" ca="1">IF($C13=0,"",IF(AE$12&lt;&gt;$C$5,NA(),INDEX(auto_DataFlat_Score,INDEX(sys_DataFlat_LU_Grid,$C13,AE$11))))</f>
        <v>66</v>
      </c>
      <c r="AF13" cm="1">
        <f t="array" aca="1" ref="AF13" ca="1">IF($C13=0,"",IF(AF$12&lt;&gt;$C$5,NA(),INDEX(auto_DataFlat_Score,INDEX(sys_DataFlat_LU_Grid,$C13,AF$11))))</f>
        <v>83.2</v>
      </c>
      <c r="AG13" cm="1">
        <f t="array" aca="1" ref="AG13" ca="1">IF($C13=0,"",IF(AG$12&lt;&gt;$C$5,NA(),INDEX(auto_DataFlat_Score,INDEX(sys_DataFlat_LU_Grid,$C13,AG$11))))</f>
        <v>60.4</v>
      </c>
      <c r="AH13" cm="1">
        <f t="array" aca="1" ref="AH13" ca="1">IF($C13=0,"",IF(AH$12&lt;&gt;$C$5,NA(),INDEX(auto_DataFlat_Score,INDEX(sys_DataFlat_LU_Grid,$C13,AH$11))))</f>
        <v>71.7</v>
      </c>
      <c r="AI13" cm="1">
        <f t="array" aca="1" ref="AI13" ca="1">IF($C13=0,"",IF(AI$12&lt;&gt;$C$5,NA(),INDEX(auto_DataFlat_Score,INDEX(sys_DataFlat_LU_Grid,$C13,AI$11))))</f>
        <v>52.5</v>
      </c>
      <c r="AJ13" cm="1">
        <f t="array" aca="1" ref="AJ13" ca="1">IF($C13=0,"",IF(AJ$12&lt;&gt;$C$5,NA(),INDEX(auto_DataFlat_Score,INDEX(sys_DataFlat_LU_Grid,$C13,AJ$11))))</f>
        <v>44.3</v>
      </c>
      <c r="AK13" cm="1">
        <f t="array" aca="1" ref="AK13" ca="1">IF($C13=0,"",IF(AK$12&lt;&gt;$C$5,NA(),INDEX(auto_DataFlat_Score,INDEX(sys_DataFlat_LU_Grid,$C13,AK$11))))</f>
        <v>40.9</v>
      </c>
      <c r="AL13" cm="1">
        <f t="array" aca="1" ref="AL13" ca="1">IF($C13=0,"",IF(AL$12&lt;&gt;$C$5,NA(),INDEX(auto_DataFlat_Score,INDEX(sys_DataFlat_LU_Grid,$C13,AL$11))))</f>
        <v>51.8</v>
      </c>
      <c r="AM13" cm="1">
        <f t="array" aca="1" ref="AM13" ca="1">IF($C13=0,"",IF(AM$12&lt;&gt;$C$5,NA(),INDEX(auto_DataFlat_Score,INDEX(sys_DataFlat_LU_Grid,$C13,AM$11))))</f>
        <v>42.1</v>
      </c>
      <c r="AN13" cm="1">
        <f t="array" aca="1" ref="AN13" ca="1">IF($C13=0,"",IF(AN$12&lt;&gt;$C$5,NA(),INDEX(auto_DataFlat_Score,INDEX(sys_DataFlat_LU_Grid,$C13,AN$11))))</f>
        <v>51.6</v>
      </c>
      <c r="AO13" cm="1">
        <f t="array" aca="1" ref="AO13" ca="1">IF($C13=0,"",IF(AO$12&lt;&gt;$C$5,NA(),INDEX(auto_DataFlat_Score,INDEX(sys_DataFlat_LU_Grid,$C13,AO$11))))</f>
        <v>82.6</v>
      </c>
      <c r="AP13" cm="1">
        <f t="array" aca="1" ref="AP13" ca="1">IF($C13=0,"",IF(AP$12&lt;&gt;$C$5,NA(),INDEX(auto_DataFlat_Score,INDEX(sys_DataFlat_LU_Grid,$C13,AP$11))))</f>
        <v>79.599999999999994</v>
      </c>
      <c r="AQ13" cm="1">
        <f t="array" aca="1" ref="AQ13" ca="1">IF($C13=0,"",IF(AQ$12&lt;&gt;$C$5,NA(),INDEX(auto_DataFlat_Score,INDEX(sys_DataFlat_LU_Grid,$C13,AQ$11))))</f>
        <v>48.8</v>
      </c>
      <c r="AR13" cm="1">
        <f t="array" aca="1" ref="AR13" ca="1">IF($C13=0,"",IF(AR$12&lt;&gt;$C$5,NA(),INDEX(auto_DataFlat_Score,INDEX(sys_DataFlat_LU_Grid,$C13,AR$11))))</f>
        <v>75.8</v>
      </c>
      <c r="AS13" cm="1">
        <f t="array" aca="1" ref="AS13" ca="1">IF($C13=0,"",IF(AS$12&lt;&gt;$C$5,NA(),INDEX(auto_DataFlat_Score,INDEX(sys_DataFlat_LU_Grid,$C13,AS$11))))</f>
        <v>60.9</v>
      </c>
      <c r="AT13" cm="1">
        <f t="array" aca="1" ref="AT13" ca="1">IF($C13=0,"",IF(AT$12&lt;&gt;$C$5,NA(),INDEX(auto_DataFlat_Score,INDEX(sys_DataFlat_LU_Grid,$C13,AT$11))))</f>
        <v>65.900000000000006</v>
      </c>
      <c r="AU13" cm="1">
        <f t="array" aca="1" ref="AU13" ca="1">IF($C13=0,"",IF(AU$12&lt;&gt;$C$5,NA(),INDEX(auto_DataFlat_Score,INDEX(sys_DataFlat_LU_Grid,$C13,AU$11))))</f>
        <v>53.2</v>
      </c>
      <c r="AV13" cm="1">
        <f t="array" aca="1" ref="AV13" ca="1">IF($C13=0,"",IF(AV$12&lt;&gt;$C$5,NA(),INDEX(auto_DataFlat_Score,INDEX(sys_DataFlat_LU_Grid,$C13,AV$11))))</f>
        <v>52.2</v>
      </c>
      <c r="AW13" cm="1">
        <f t="array" aca="1" ref="AW13" ca="1">IF($C13=0,"",IF(AW$12&lt;&gt;$C$5,NA(),INDEX(auto_DataFlat_Score,INDEX(sys_DataFlat_LU_Grid,$C13,AW$11))))</f>
        <v>79.099999999999994</v>
      </c>
      <c r="AX13" cm="1">
        <f t="array" aca="1" ref="AX13" ca="1">IF($C13=0,"",IF(AX$12&lt;&gt;$C$5,NA(),INDEX(auto_DataFlat_Score,INDEX(sys_DataFlat_LU_Grid,$C13,AX$11))))</f>
        <v>74.2</v>
      </c>
      <c r="AY13" cm="1">
        <f t="array" aca="1" ref="AY13" ca="1">IF($C13=0,"",IF(AY$12&lt;&gt;$C$5,NA(),INDEX(auto_DataFlat_Score,INDEX(sys_DataFlat_LU_Grid,$C13,AY$11))))</f>
        <v>64.5</v>
      </c>
      <c r="AZ13" cm="1">
        <f t="array" aca="1" ref="AZ13" ca="1">IF($C13=0,"",IF(AZ$12&lt;&gt;$C$5,NA(),INDEX(auto_DataFlat_Score,INDEX(sys_DataFlat_LU_Grid,$C13,AZ$11))))</f>
        <v>51.4</v>
      </c>
      <c r="BA13" cm="1">
        <f t="array" aca="1" ref="BA13" ca="1">IF($C13=0,"",IF(BA$12&lt;&gt;$C$5,NA(),INDEX(auto_DataFlat_Score,INDEX(sys_DataFlat_LU_Grid,$C13,BA$11))))</f>
        <v>44.2</v>
      </c>
      <c r="BB13" cm="1">
        <f t="array" aca="1" ref="BB13" ca="1">IF($C13=0,"",IF(BB$12&lt;&gt;$C$5,NA(),INDEX(auto_DataFlat_Score,INDEX(sys_DataFlat_LU_Grid,$C13,BB$11))))</f>
        <v>63.5</v>
      </c>
      <c r="BC13" cm="1">
        <f t="array" aca="1" ref="BC13" ca="1">IF($C13=0,"",IF(BC$12&lt;&gt;$C$5,NA(),INDEX(auto_DataFlat_Score,INDEX(sys_DataFlat_LU_Grid,$C13,BC$11))))</f>
        <v>72</v>
      </c>
      <c r="BD13" cm="1">
        <f t="array" aca="1" ref="BD13" ca="1">IF($C13=0,"",IF(BD$12&lt;&gt;$C$5,NA(),INDEX(auto_DataFlat_Score,INDEX(sys_DataFlat_LU_Grid,$C13,BD$11))))</f>
        <v>67.099999999999994</v>
      </c>
      <c r="BE13" cm="1">
        <f t="array" aca="1" ref="BE13" ca="1">IF($C13=0,"",IF(BE$12&lt;&gt;$C$5,NA(),INDEX(auto_DataFlat_Score,INDEX(sys_DataFlat_LU_Grid,$C13,BE$11))))</f>
        <v>75.599999999999994</v>
      </c>
      <c r="BF13" cm="1">
        <f t="array" aca="1" ref="BF13" ca="1">IF($C13=0,"",IF(BF$12&lt;&gt;$C$5,NA(),INDEX(auto_DataFlat_Score,INDEX(sys_DataFlat_LU_Grid,$C13,BF$11))))</f>
        <v>65.3</v>
      </c>
      <c r="BG13" cm="1">
        <f t="array" aca="1" ref="BG13" ca="1">IF($C13=0,"",IF(BG$12&lt;&gt;$C$5,NA(),INDEX(auto_DataFlat_Score,INDEX(sys_DataFlat_LU_Grid,$C13,BG$11))))</f>
        <v>76.099999999999994</v>
      </c>
      <c r="BH13" cm="1">
        <f t="array" aca="1" ref="BH13" ca="1">IF($C13=0,"",IF(BH$12&lt;&gt;$C$5,NA(),INDEX(auto_DataFlat_Score,INDEX(sys_DataFlat_LU_Grid,$C13,BH$11))))</f>
        <v>70.5</v>
      </c>
      <c r="BI13" cm="1">
        <f t="array" aca="1" ref="BI13" ca="1">IF($C13=0,"",IF(BI$12&lt;&gt;$C$5,NA(),INDEX(auto_DataFlat_Score,INDEX(sys_DataFlat_LU_Grid,$C13,BI$11))))</f>
        <v>76.099999999999994</v>
      </c>
      <c r="BJ13" cm="1">
        <f t="array" aca="1" ref="BJ13" ca="1">IF($C13=0,"",IF(BJ$12&lt;&gt;$C$5,NA(),INDEX(auto_DataFlat_Score,INDEX(sys_DataFlat_LU_Grid,$C13,BJ$11))))</f>
        <v>77</v>
      </c>
      <c r="BK13" cm="1">
        <f t="array" aca="1" ref="BK13" ca="1">IF($C13=0,"",IF(BK$12&lt;&gt;$C$5,NA(),INDEX(auto_DataFlat_Score,INDEX(sys_DataFlat_LU_Grid,$C13,BK$11))))</f>
        <v>75.099999999999994</v>
      </c>
      <c r="BL13" cm="1">
        <f t="array" aca="1" ref="BL13" ca="1">IF($C13=0,"",IF(BL$12&lt;&gt;$C$5,NA(),INDEX(auto_DataFlat_Score,INDEX(sys_DataFlat_LU_Grid,$C13,BL$11))))</f>
        <v>57.3</v>
      </c>
      <c r="BM13" cm="1">
        <f t="array" aca="1" ref="BM13" ca="1">IF($C13=0,"",IF(BM$12&lt;&gt;$C$5,NA(),INDEX(auto_DataFlat_Score,INDEX(sys_DataFlat_LU_Grid,$C13,BM$11))))</f>
        <v>43.5</v>
      </c>
      <c r="BO13">
        <f t="shared" ref="BO13:BO19" ca="1" si="3">MIN(P13:BM13)</f>
        <v>40.6</v>
      </c>
      <c r="BP13">
        <f t="shared" ref="BP13:BP19" ca="1" si="4">MAX(P13:BM13)</f>
        <v>83.2</v>
      </c>
      <c r="BQ13" cm="1">
        <f t="array" aca="1" ref="BQ13" ca="1">IF(C13=0,0,INDEX(sys_DataFlat_LU_Grid_Groups,$C13,BQ$12))</f>
        <v>56</v>
      </c>
      <c r="BR13" cm="1">
        <f t="array" aca="1" ref="BR13" ca="1">IF(D13=0,0,INDEX(sys_DataFlat_LU_Grid_Groups,$C13,BR$12))</f>
        <v>59</v>
      </c>
      <c r="BU13" cm="1">
        <f t="array" aca="1" ref="BU13" ca="1">INDEX(auto_DataFlat_Score,BQ13)</f>
        <v>52.3</v>
      </c>
      <c r="BV13" cm="1">
        <f t="array" aca="1" ref="BV13" ca="1">INDEX(auto_DataFlat_Score,BR13)</f>
        <v>63.9</v>
      </c>
      <c r="BW13">
        <f ca="1">G13</f>
        <v>62.4</v>
      </c>
    </row>
    <row r="14" spans="1:75" x14ac:dyDescent="0.4">
      <c r="B14">
        <v>2</v>
      </c>
      <c r="C14" cm="1">
        <f t="array" aca="1" ref="C14" ca="1">INDEX(OFFSET(auto_ss_TopLevel,0,1,300,1),B14)</f>
        <v>2</v>
      </c>
      <c r="D14" cm="1">
        <f t="array" aca="1" ref="D14" ca="1">IF(C14=0,0,INDEX(sys_DataFlat_LU_Grid_Groups,$C14,$C$9))</f>
        <v>111</v>
      </c>
      <c r="E14" cm="1">
        <f t="array" aca="1" ref="E14" ca="1">IF(D14=0,"",INDEX(auto_DataFlat_Score,D14))</f>
        <v>70</v>
      </c>
      <c r="G14">
        <f t="shared" ca="1" si="2"/>
        <v>70</v>
      </c>
      <c r="H14" t="e" cm="1">
        <f t="array" ref="H14">IF($C$8=0,NA(),INDEX($P14:$BM14,$C$8))</f>
        <v>#N/A</v>
      </c>
      <c r="I14" cm="1">
        <f t="array" aca="1" ref="I14" ca="1">IF(C14=0,0,INDEX(sys_DataFlat_LU_Grid,$C14,$C$2))</f>
        <v>61</v>
      </c>
      <c r="J14" t="str" cm="1">
        <f t="array" aca="1" ref="J14" ca="1">IF(C14=0,"",INDEX(auto_Series_NameNoNumber,C14))</f>
        <v>SOCIAL DETERMINANTS</v>
      </c>
      <c r="K14" cm="1">
        <f t="array" aca="1" ref="K14" ca="1">IF(C14=0,"",INDEX(K$94:K$162,$C14))</f>
        <v>65.900000000000006</v>
      </c>
      <c r="L14" t="str" cm="1">
        <f t="array" aca="1" ref="L14" ca="1">IF(C14=0,"",INDEX(L$94:L$162,$C14))</f>
        <v>32</v>
      </c>
      <c r="M14">
        <f t="shared" ref="M14:M22" ca="1" si="5">IF(C14=0,"",STANDARDIZE(K14,AVERAGE(P14:AA14),STDEV((P14:AA14))))</f>
        <v>-4.9638288266408805E-4</v>
      </c>
      <c r="N14" cm="1">
        <f t="array" aca="1" ref="N14" ca="1">IF(C14=0,"",INDEX($N$94:$N$162,$C14))</f>
        <v>4</v>
      </c>
      <c r="O14" t="e" cm="1">
        <f t="array" aca="1" ref="O14" ca="1">IF(C14=0,"",INDEX(#REF!,$C14))</f>
        <v>#REF!</v>
      </c>
      <c r="P14" cm="1">
        <f t="array" aca="1" ref="P14" ca="1">IF($C14=0,"",IF(P$12&lt;&gt;$C$5,NA(),INDEX(auto_DataFlat_Score,INDEX(sys_DataFlat_LU_Grid,$C14,P$11))))</f>
        <v>65.900000000000006</v>
      </c>
      <c r="Q14" cm="1">
        <f t="array" aca="1" ref="Q14" ca="1">IF($C14=0,"",IF(Q$12&lt;&gt;$C$5,NA(),INDEX(auto_DataFlat_Score,INDEX(sys_DataFlat_LU_Grid,$C14,Q$11))))</f>
        <v>54.3</v>
      </c>
      <c r="R14" cm="1">
        <f t="array" aca="1" ref="R14" ca="1">IF($C14=0,"",IF(R$12&lt;&gt;$C$5,NA(),INDEX(auto_DataFlat_Score,INDEX(sys_DataFlat_LU_Grid,$C14,R$11))))</f>
        <v>86.8</v>
      </c>
      <c r="S14" cm="1">
        <f t="array" aca="1" ref="S14" ca="1">IF($C14=0,"",IF(S$12&lt;&gt;$C$5,NA(),INDEX(auto_DataFlat_Score,INDEX(sys_DataFlat_LU_Grid,$C14,S$11))))</f>
        <v>75.7</v>
      </c>
      <c r="T14" cm="1">
        <f t="array" aca="1" ref="T14" ca="1">IF($C14=0,"",IF(T$12&lt;&gt;$C$5,NA(),INDEX(auto_DataFlat_Score,INDEX(sys_DataFlat_LU_Grid,$C14,T$11))))</f>
        <v>72.8</v>
      </c>
      <c r="U14" cm="1">
        <f t="array" aca="1" ref="U14" ca="1">IF($C14=0,"",IF(U$12&lt;&gt;$C$5,NA(),INDEX(auto_DataFlat_Score,INDEX(sys_DataFlat_LU_Grid,$C14,U$11))))</f>
        <v>54.3</v>
      </c>
      <c r="V14" cm="1">
        <f t="array" aca="1" ref="V14" ca="1">IF($C14=0,"",IF(V$12&lt;&gt;$C$5,NA(),INDEX(auto_DataFlat_Score,INDEX(sys_DataFlat_LU_Grid,$C14,V$11))))</f>
        <v>89.6</v>
      </c>
      <c r="W14" cm="1">
        <f t="array" aca="1" ref="W14" ca="1">IF($C14=0,"",IF(W$12&lt;&gt;$C$5,NA(),INDEX(auto_DataFlat_Score,INDEX(sys_DataFlat_LU_Grid,$C14,W$11))))</f>
        <v>68.900000000000006</v>
      </c>
      <c r="X14" cm="1">
        <f t="array" aca="1" ref="X14" ca="1">IF($C14=0,"",IF(X$12&lt;&gt;$C$5,NA(),INDEX(auto_DataFlat_Score,INDEX(sys_DataFlat_LU_Grid,$C14,X$11))))</f>
        <v>85.6</v>
      </c>
      <c r="Y14" cm="1">
        <f t="array" aca="1" ref="Y14" ca="1">IF($C14=0,"",IF(Y$12&lt;&gt;$C$5,NA(),INDEX(auto_DataFlat_Score,INDEX(sys_DataFlat_LU_Grid,$C14,Y$11))))</f>
        <v>40.9</v>
      </c>
      <c r="Z14" cm="1">
        <f t="array" aca="1" ref="Z14" ca="1">IF($C14=0,"",IF(Z$12&lt;&gt;$C$5,NA(),INDEX(auto_DataFlat_Score,INDEX(sys_DataFlat_LU_Grid,$C14,Z$11))))</f>
        <v>51.9</v>
      </c>
      <c r="AA14" cm="1">
        <f t="array" aca="1" ref="AA14" ca="1">IF($C14=0,"",IF(AA$12&lt;&gt;$C$5,NA(),INDEX(auto_DataFlat_Score,INDEX(sys_DataFlat_LU_Grid,$C14,AA$11))))</f>
        <v>44.2</v>
      </c>
      <c r="AB14" cm="1">
        <f t="array" aca="1" ref="AB14" ca="1">IF($C14=0,"",IF(AB$12&lt;&gt;$C$5,NA(),INDEX(auto_DataFlat_Score,INDEX(sys_DataFlat_LU_Grid,$C14,AB$11))))</f>
        <v>39.5</v>
      </c>
      <c r="AC14" cm="1">
        <f t="array" aca="1" ref="AC14" ca="1">IF($C14=0,"",IF(AC$12&lt;&gt;$C$5,NA(),INDEX(auto_DataFlat_Score,INDEX(sys_DataFlat_LU_Grid,$C14,AC$11))))</f>
        <v>74.3</v>
      </c>
      <c r="AD14" cm="1">
        <f t="array" aca="1" ref="AD14" ca="1">IF($C14=0,"",IF(AD$12&lt;&gt;$C$5,NA(),INDEX(auto_DataFlat_Score,INDEX(sys_DataFlat_LU_Grid,$C14,AD$11))))</f>
        <v>86.4</v>
      </c>
      <c r="AE14" cm="1">
        <f t="array" aca="1" ref="AE14" ca="1">IF($C14=0,"",IF(AE$12&lt;&gt;$C$5,NA(),INDEX(auto_DataFlat_Score,INDEX(sys_DataFlat_LU_Grid,$C14,AE$11))))</f>
        <v>77</v>
      </c>
      <c r="AF14" cm="1">
        <f t="array" aca="1" ref="AF14" ca="1">IF($C14=0,"",IF(AF$12&lt;&gt;$C$5,NA(),INDEX(auto_DataFlat_Score,INDEX(sys_DataFlat_LU_Grid,$C14,AF$11))))</f>
        <v>84.3</v>
      </c>
      <c r="AG14" cm="1">
        <f t="array" aca="1" ref="AG14" ca="1">IF($C14=0,"",IF(AG$12&lt;&gt;$C$5,NA(),INDEX(auto_DataFlat_Score,INDEX(sys_DataFlat_LU_Grid,$C14,AG$11))))</f>
        <v>80.599999999999994</v>
      </c>
      <c r="AH14" cm="1">
        <f t="array" aca="1" ref="AH14" ca="1">IF($C14=0,"",IF(AH$12&lt;&gt;$C$5,NA(),INDEX(auto_DataFlat_Score,INDEX(sys_DataFlat_LU_Grid,$C14,AH$11))))</f>
        <v>77.8</v>
      </c>
      <c r="AI14" cm="1">
        <f t="array" aca="1" ref="AI14" ca="1">IF($C14=0,"",IF(AI$12&lt;&gt;$C$5,NA(),INDEX(auto_DataFlat_Score,INDEX(sys_DataFlat_LU_Grid,$C14,AI$11))))</f>
        <v>80.099999999999994</v>
      </c>
      <c r="AJ14" cm="1">
        <f t="array" aca="1" ref="AJ14" ca="1">IF($C14=0,"",IF(AJ$12&lt;&gt;$C$5,NA(),INDEX(auto_DataFlat_Score,INDEX(sys_DataFlat_LU_Grid,$C14,AJ$11))))</f>
        <v>56.4</v>
      </c>
      <c r="AK14" cm="1">
        <f t="array" aca="1" ref="AK14" ca="1">IF($C14=0,"",IF(AK$12&lt;&gt;$C$5,NA(),INDEX(auto_DataFlat_Score,INDEX(sys_DataFlat_LU_Grid,$C14,AK$11))))</f>
        <v>41.3</v>
      </c>
      <c r="AL14" cm="1">
        <f t="array" aca="1" ref="AL14" ca="1">IF($C14=0,"",IF(AL$12&lt;&gt;$C$5,NA(),INDEX(auto_DataFlat_Score,INDEX(sys_DataFlat_LU_Grid,$C14,AL$11))))</f>
        <v>34.200000000000003</v>
      </c>
      <c r="AM14" cm="1">
        <f t="array" aca="1" ref="AM14" ca="1">IF($C14=0,"",IF(AM$12&lt;&gt;$C$5,NA(),INDEX(auto_DataFlat_Score,INDEX(sys_DataFlat_LU_Grid,$C14,AM$11))))</f>
        <v>49.5</v>
      </c>
      <c r="AN14" cm="1">
        <f t="array" aca="1" ref="AN14" ca="1">IF($C14=0,"",IF(AN$12&lt;&gt;$C$5,NA(),INDEX(auto_DataFlat_Score,INDEX(sys_DataFlat_LU_Grid,$C14,AN$11))))</f>
        <v>73.3</v>
      </c>
      <c r="AO14" cm="1">
        <f t="array" aca="1" ref="AO14" ca="1">IF($C14=0,"",IF(AO$12&lt;&gt;$C$5,NA(),INDEX(auto_DataFlat_Score,INDEX(sys_DataFlat_LU_Grid,$C14,AO$11))))</f>
        <v>86.9</v>
      </c>
      <c r="AP14" cm="1">
        <f t="array" aca="1" ref="AP14" ca="1">IF($C14=0,"",IF(AP$12&lt;&gt;$C$5,NA(),INDEX(auto_DataFlat_Score,INDEX(sys_DataFlat_LU_Grid,$C14,AP$11))))</f>
        <v>81.900000000000006</v>
      </c>
      <c r="AQ14" cm="1">
        <f t="array" aca="1" ref="AQ14" ca="1">IF($C14=0,"",IF(AQ$12&lt;&gt;$C$5,NA(),INDEX(auto_DataFlat_Score,INDEX(sys_DataFlat_LU_Grid,$C14,AQ$11))))</f>
        <v>58</v>
      </c>
      <c r="AR14" cm="1">
        <f t="array" aca="1" ref="AR14" ca="1">IF($C14=0,"",IF(AR$12&lt;&gt;$C$5,NA(),INDEX(auto_DataFlat_Score,INDEX(sys_DataFlat_LU_Grid,$C14,AR$11))))</f>
        <v>87.9</v>
      </c>
      <c r="AS14" cm="1">
        <f t="array" aca="1" ref="AS14" ca="1">IF($C14=0,"",IF(AS$12&lt;&gt;$C$5,NA(),INDEX(auto_DataFlat_Score,INDEX(sys_DataFlat_LU_Grid,$C14,AS$11))))</f>
        <v>79.8</v>
      </c>
      <c r="AT14" cm="1">
        <f t="array" aca="1" ref="AT14" ca="1">IF($C14=0,"",IF(AT$12&lt;&gt;$C$5,NA(),INDEX(auto_DataFlat_Score,INDEX(sys_DataFlat_LU_Grid,$C14,AT$11))))</f>
        <v>75.7</v>
      </c>
      <c r="AU14" cm="1">
        <f t="array" aca="1" ref="AU14" ca="1">IF($C14=0,"",IF(AU$12&lt;&gt;$C$5,NA(),INDEX(auto_DataFlat_Score,INDEX(sys_DataFlat_LU_Grid,$C14,AU$11))))</f>
        <v>34.200000000000003</v>
      </c>
      <c r="AV14" cm="1">
        <f t="array" aca="1" ref="AV14" ca="1">IF($C14=0,"",IF(AV$12&lt;&gt;$C$5,NA(),INDEX(auto_DataFlat_Score,INDEX(sys_DataFlat_LU_Grid,$C14,AV$11))))</f>
        <v>55.6</v>
      </c>
      <c r="AW14" cm="1">
        <f t="array" aca="1" ref="AW14" ca="1">IF($C14=0,"",IF(AW$12&lt;&gt;$C$5,NA(),INDEX(auto_DataFlat_Score,INDEX(sys_DataFlat_LU_Grid,$C14,AW$11))))</f>
        <v>86.8</v>
      </c>
      <c r="AX14" cm="1">
        <f t="array" aca="1" ref="AX14" ca="1">IF($C14=0,"",IF(AX$12&lt;&gt;$C$5,NA(),INDEX(auto_DataFlat_Score,INDEX(sys_DataFlat_LU_Grid,$C14,AX$11))))</f>
        <v>84.2</v>
      </c>
      <c r="AY14" cm="1">
        <f t="array" aca="1" ref="AY14" ca="1">IF($C14=0,"",IF(AY$12&lt;&gt;$C$5,NA(),INDEX(auto_DataFlat_Score,INDEX(sys_DataFlat_LU_Grid,$C14,AY$11))))</f>
        <v>84</v>
      </c>
      <c r="AZ14" cm="1">
        <f t="array" aca="1" ref="AZ14" ca="1">IF($C14=0,"",IF(AZ$12&lt;&gt;$C$5,NA(),INDEX(auto_DataFlat_Score,INDEX(sys_DataFlat_LU_Grid,$C14,AZ$11))))</f>
        <v>58.5</v>
      </c>
      <c r="BA14" cm="1">
        <f t="array" aca="1" ref="BA14" ca="1">IF($C14=0,"",IF(BA$12&lt;&gt;$C$5,NA(),INDEX(auto_DataFlat_Score,INDEX(sys_DataFlat_LU_Grid,$C14,BA$11))))</f>
        <v>61</v>
      </c>
      <c r="BB14" cm="1">
        <f t="array" aca="1" ref="BB14" ca="1">IF($C14=0,"",IF(BB$12&lt;&gt;$C$5,NA(),INDEX(auto_DataFlat_Score,INDEX(sys_DataFlat_LU_Grid,$C14,BB$11))))</f>
        <v>82.8</v>
      </c>
      <c r="BC14" cm="1">
        <f t="array" aca="1" ref="BC14" ca="1">IF($C14=0,"",IF(BC$12&lt;&gt;$C$5,NA(),INDEX(auto_DataFlat_Score,INDEX(sys_DataFlat_LU_Grid,$C14,BC$11))))</f>
        <v>86.8</v>
      </c>
      <c r="BD14" cm="1">
        <f t="array" aca="1" ref="BD14" ca="1">IF($C14=0,"",IF(BD$12&lt;&gt;$C$5,NA(),INDEX(auto_DataFlat_Score,INDEX(sys_DataFlat_LU_Grid,$C14,BD$11))))</f>
        <v>70.099999999999994</v>
      </c>
      <c r="BE14" cm="1">
        <f t="array" aca="1" ref="BE14" ca="1">IF($C14=0,"",IF(BE$12&lt;&gt;$C$5,NA(),INDEX(auto_DataFlat_Score,INDEX(sys_DataFlat_LU_Grid,$C14,BE$11))))</f>
        <v>82.8</v>
      </c>
      <c r="BF14" cm="1">
        <f t="array" aca="1" ref="BF14" ca="1">IF($C14=0,"",IF(BF$12&lt;&gt;$C$5,NA(),INDEX(auto_DataFlat_Score,INDEX(sys_DataFlat_LU_Grid,$C14,BF$11))))</f>
        <v>54.3</v>
      </c>
      <c r="BG14" cm="1">
        <f t="array" aca="1" ref="BG14" ca="1">IF($C14=0,"",IF(BG$12&lt;&gt;$C$5,NA(),INDEX(auto_DataFlat_Score,INDEX(sys_DataFlat_LU_Grid,$C14,BG$11))))</f>
        <v>86.2</v>
      </c>
      <c r="BH14" cm="1">
        <f t="array" aca="1" ref="BH14" ca="1">IF($C14=0,"",IF(BH$12&lt;&gt;$C$5,NA(),INDEX(auto_DataFlat_Score,INDEX(sys_DataFlat_LU_Grid,$C14,BH$11))))</f>
        <v>87.9</v>
      </c>
      <c r="BI14" cm="1">
        <f t="array" aca="1" ref="BI14" ca="1">IF($C14=0,"",IF(BI$12&lt;&gt;$C$5,NA(),INDEX(auto_DataFlat_Score,INDEX(sys_DataFlat_LU_Grid,$C14,BI$11))))</f>
        <v>84.2</v>
      </c>
      <c r="BJ14" cm="1">
        <f t="array" aca="1" ref="BJ14" ca="1">IF($C14=0,"",IF(BJ$12&lt;&gt;$C$5,NA(),INDEX(auto_DataFlat_Score,INDEX(sys_DataFlat_LU_Grid,$C14,BJ$11))))</f>
        <v>89.9</v>
      </c>
      <c r="BK14" cm="1">
        <f t="array" aca="1" ref="BK14" ca="1">IF($C14=0,"",IF(BK$12&lt;&gt;$C$5,NA(),INDEX(auto_DataFlat_Score,INDEX(sys_DataFlat_LU_Grid,$C14,BK$11))))</f>
        <v>87.3</v>
      </c>
      <c r="BL14" cm="1">
        <f t="array" aca="1" ref="BL14" ca="1">IF($C14=0,"",IF(BL$12&lt;&gt;$C$5,NA(),INDEX(auto_DataFlat_Score,INDEX(sys_DataFlat_LU_Grid,$C14,BL$11))))</f>
        <v>54.3</v>
      </c>
      <c r="BM14" cm="1">
        <f t="array" aca="1" ref="BM14" ca="1">IF($C14=0,"",IF(BM$12&lt;&gt;$C$5,NA(),INDEX(auto_DataFlat_Score,INDEX(sys_DataFlat_LU_Grid,$C14,BM$11))))</f>
        <v>51.1</v>
      </c>
      <c r="BO14">
        <f t="shared" ca="1" si="3"/>
        <v>34.200000000000003</v>
      </c>
      <c r="BP14">
        <f t="shared" ca="1" si="4"/>
        <v>89.9</v>
      </c>
      <c r="BQ14" cm="1">
        <f t="array" aca="1" ref="BQ14" ca="1">IF(C14=0,0,INDEX(sys_DataFlat_LU_Grid_Groups,$C14,BQ$12))</f>
        <v>116</v>
      </c>
      <c r="BR14" cm="1">
        <f t="array" aca="1" ref="BR14" ca="1">IF(D14=0,0,INDEX(sys_DataFlat_LU_Grid_Groups,$C14,BR$12))</f>
        <v>119</v>
      </c>
      <c r="BU14" cm="1">
        <f t="array" aca="1" ref="BU14" ca="1">INDEX(auto_DataFlat_Score,BQ14)</f>
        <v>50.3</v>
      </c>
      <c r="BV14" cm="1">
        <f t="array" aca="1" ref="BV14" ca="1">INDEX(auto_DataFlat_Score,BR14)</f>
        <v>69.900000000000006</v>
      </c>
      <c r="BW14">
        <f t="shared" ref="BW14:BW17" ca="1" si="6">G14</f>
        <v>70</v>
      </c>
    </row>
    <row r="15" spans="1:75" x14ac:dyDescent="0.4">
      <c r="B15">
        <v>3</v>
      </c>
      <c r="C15" cm="1">
        <f t="array" aca="1" ref="C15" ca="1">INDEX(OFFSET(auto_ss_TopLevel,0,1,300,1),B15)</f>
        <v>14</v>
      </c>
      <c r="D15" cm="1">
        <f t="array" aca="1" ref="D15" ca="1">IF(C15=0,0,INDEX(sys_DataFlat_LU_Grid_Groups,$C15,$C$9))</f>
        <v>831</v>
      </c>
      <c r="E15" cm="1">
        <f t="array" aca="1" ref="E15" ca="1">IF(D15=0,"",INDEX(auto_DataFlat_Score,D15))</f>
        <v>48.8</v>
      </c>
      <c r="G15">
        <f t="shared" ca="1" si="2"/>
        <v>48.8</v>
      </c>
      <c r="H15" t="e" cm="1">
        <f t="array" ref="H15">IF($C$8=0,NA(),INDEX($P15:$BM15,$C$8))</f>
        <v>#N/A</v>
      </c>
      <c r="I15" cm="1">
        <f t="array" aca="1" ref="I15" ca="1">IF(C15=0,0,INDEX(sys_DataFlat_LU_Grid,$C15,$C$2))</f>
        <v>781</v>
      </c>
      <c r="J15" t="str" cm="1">
        <f t="array" aca="1" ref="J15" ca="1">IF(C15=0,"",INDEX(auto_Series_NameNoNumber,C15))</f>
        <v>PHYSICAL ENVIRONMENT</v>
      </c>
      <c r="K15" cm="1">
        <f t="array" aca="1" ref="K15" ca="1">IF(C15=0,"",INDEX(K$94:K$162,$C15))</f>
        <v>29</v>
      </c>
      <c r="L15" t="str" cm="1">
        <f t="array" aca="1" ref="L15" ca="1">IF(C15=0,"",INDEX(L$94:L$162,$C15))</f>
        <v>41</v>
      </c>
      <c r="M15">
        <f t="shared" ca="1" si="5"/>
        <v>-0.60417210675148569</v>
      </c>
      <c r="N15" cm="1">
        <f t="array" aca="1" ref="N15" ca="1">IF(C15=0,"",INDEX($N$94:$N$162,$C15))</f>
        <v>2</v>
      </c>
      <c r="O15" t="e" cm="1">
        <f t="array" aca="1" ref="O15" ca="1">IF(C15=0,"",INDEX(#REF!,$C15))</f>
        <v>#REF!</v>
      </c>
      <c r="P15" cm="1">
        <f t="array" aca="1" ref="P15" ca="1">IF($C15=0,"",IF(P$12&lt;&gt;$C$5,NA(),INDEX(auto_DataFlat_Score,INDEX(sys_DataFlat_LU_Grid,$C15,P$11))))</f>
        <v>29</v>
      </c>
      <c r="Q15" cm="1">
        <f t="array" aca="1" ref="Q15" ca="1">IF($C15=0,"",IF(Q$12&lt;&gt;$C$5,NA(),INDEX(auto_DataFlat_Score,INDEX(sys_DataFlat_LU_Grid,$C15,Q$11))))</f>
        <v>26</v>
      </c>
      <c r="R15" cm="1">
        <f t="array" aca="1" ref="R15" ca="1">IF($C15=0,"",IF(R$12&lt;&gt;$C$5,NA(),INDEX(auto_DataFlat_Score,INDEX(sys_DataFlat_LU_Grid,$C15,R$11))))</f>
        <v>37.700000000000003</v>
      </c>
      <c r="S15" cm="1">
        <f t="array" aca="1" ref="S15" ca="1">IF($C15=0,"",IF(S$12&lt;&gt;$C$5,NA(),INDEX(auto_DataFlat_Score,INDEX(sys_DataFlat_LU_Grid,$C15,S$11))))</f>
        <v>67.2</v>
      </c>
      <c r="T15" cm="1">
        <f t="array" aca="1" ref="T15" ca="1">IF($C15=0,"",IF(T$12&lt;&gt;$C$5,NA(),INDEX(auto_DataFlat_Score,INDEX(sys_DataFlat_LU_Grid,$C15,T$11))))</f>
        <v>35.700000000000003</v>
      </c>
      <c r="U15" cm="1">
        <f t="array" aca="1" ref="U15" ca="1">IF($C15=0,"",IF(U$12&lt;&gt;$C$5,NA(),INDEX(auto_DataFlat_Score,INDEX(sys_DataFlat_LU_Grid,$C15,U$11))))</f>
        <v>46.5</v>
      </c>
      <c r="V15" cm="1">
        <f t="array" aca="1" ref="V15" ca="1">IF($C15=0,"",IF(V$12&lt;&gt;$C$5,NA(),INDEX(auto_DataFlat_Score,INDEX(sys_DataFlat_LU_Grid,$C15,V$11))))</f>
        <v>63.1</v>
      </c>
      <c r="W15" cm="1">
        <f t="array" aca="1" ref="W15" ca="1">IF($C15=0,"",IF(W$12&lt;&gt;$C$5,NA(),INDEX(auto_DataFlat_Score,INDEX(sys_DataFlat_LU_Grid,$C15,W$11))))</f>
        <v>74.3</v>
      </c>
      <c r="X15" cm="1">
        <f t="array" aca="1" ref="X15" ca="1">IF($C15=0,"",IF(X$12&lt;&gt;$C$5,NA(),INDEX(auto_DataFlat_Score,INDEX(sys_DataFlat_LU_Grid,$C15,X$11))))</f>
        <v>60.7</v>
      </c>
      <c r="Y15" cm="1">
        <f t="array" aca="1" ref="Y15" ca="1">IF($C15=0,"",IF(Y$12&lt;&gt;$C$5,NA(),INDEX(auto_DataFlat_Score,INDEX(sys_DataFlat_LU_Grid,$C15,Y$11))))</f>
        <v>12.4</v>
      </c>
      <c r="Z15" cm="1">
        <f t="array" aca="1" ref="Z15" ca="1">IF($C15=0,"",IF(Z$12&lt;&gt;$C$5,NA(),INDEX(auto_DataFlat_Score,INDEX(sys_DataFlat_LU_Grid,$C15,Z$11))))</f>
        <v>23.4</v>
      </c>
      <c r="AA15" cm="1">
        <f t="array" aca="1" ref="AA15" ca="1">IF($C15=0,"",IF(AA$12&lt;&gt;$C$5,NA(),INDEX(auto_DataFlat_Score,INDEX(sys_DataFlat_LU_Grid,$C15,AA$11))))</f>
        <v>20.9</v>
      </c>
      <c r="AB15" cm="1">
        <f t="array" aca="1" ref="AB15" ca="1">IF($C15=0,"",IF(AB$12&lt;&gt;$C$5,NA(),INDEX(auto_DataFlat_Score,INDEX(sys_DataFlat_LU_Grid,$C15,AB$11))))</f>
        <v>41.8</v>
      </c>
      <c r="AC15" cm="1">
        <f t="array" aca="1" ref="AC15" ca="1">IF($C15=0,"",IF(AC$12&lt;&gt;$C$5,NA(),INDEX(auto_DataFlat_Score,INDEX(sys_DataFlat_LU_Grid,$C15,AC$11))))</f>
        <v>45.5</v>
      </c>
      <c r="AD15" cm="1">
        <f t="array" aca="1" ref="AD15" ca="1">IF($C15=0,"",IF(AD$12&lt;&gt;$C$5,NA(),INDEX(auto_DataFlat_Score,INDEX(sys_DataFlat_LU_Grid,$C15,AD$11))))</f>
        <v>54.5</v>
      </c>
      <c r="AE15" cm="1">
        <f t="array" aca="1" ref="AE15" ca="1">IF($C15=0,"",IF(AE$12&lt;&gt;$C$5,NA(),INDEX(auto_DataFlat_Score,INDEX(sys_DataFlat_LU_Grid,$C15,AE$11))))</f>
        <v>38.5</v>
      </c>
      <c r="AF15" cm="1">
        <f t="array" aca="1" ref="AF15" ca="1">IF($C15=0,"",IF(AF$12&lt;&gt;$C$5,NA(),INDEX(auto_DataFlat_Score,INDEX(sys_DataFlat_LU_Grid,$C15,AF$11))))</f>
        <v>69.2</v>
      </c>
      <c r="AG15" cm="1">
        <f t="array" aca="1" ref="AG15" ca="1">IF($C15=0,"",IF(AG$12&lt;&gt;$C$5,NA(),INDEX(auto_DataFlat_Score,INDEX(sys_DataFlat_LU_Grid,$C15,AG$11))))</f>
        <v>60.3</v>
      </c>
      <c r="AH15" cm="1">
        <f t="array" aca="1" ref="AH15" ca="1">IF($C15=0,"",IF(AH$12&lt;&gt;$C$5,NA(),INDEX(auto_DataFlat_Score,INDEX(sys_DataFlat_LU_Grid,$C15,AH$11))))</f>
        <v>51.1</v>
      </c>
      <c r="AI15" cm="1">
        <f t="array" aca="1" ref="AI15" ca="1">IF($C15=0,"",IF(AI$12&lt;&gt;$C$5,NA(),INDEX(auto_DataFlat_Score,INDEX(sys_DataFlat_LU_Grid,$C15,AI$11))))</f>
        <v>34.200000000000003</v>
      </c>
      <c r="AJ15" cm="1">
        <f t="array" aca="1" ref="AJ15" ca="1">IF($C15=0,"",IF(AJ$12&lt;&gt;$C$5,NA(),INDEX(auto_DataFlat_Score,INDEX(sys_DataFlat_LU_Grid,$C15,AJ$11))))</f>
        <v>38.700000000000003</v>
      </c>
      <c r="AK15" cm="1">
        <f t="array" aca="1" ref="AK15" ca="1">IF($C15=0,"",IF(AK$12&lt;&gt;$C$5,NA(),INDEX(auto_DataFlat_Score,INDEX(sys_DataFlat_LU_Grid,$C15,AK$11))))</f>
        <v>46.8</v>
      </c>
      <c r="AL15" cm="1">
        <f t="array" aca="1" ref="AL15" ca="1">IF($C15=0,"",IF(AL$12&lt;&gt;$C$5,NA(),INDEX(auto_DataFlat_Score,INDEX(sys_DataFlat_LU_Grid,$C15,AL$11))))</f>
        <v>23.2</v>
      </c>
      <c r="AM15" cm="1">
        <f t="array" aca="1" ref="AM15" ca="1">IF($C15=0,"",IF(AM$12&lt;&gt;$C$5,NA(),INDEX(auto_DataFlat_Score,INDEX(sys_DataFlat_LU_Grid,$C15,AM$11))))</f>
        <v>27.1</v>
      </c>
      <c r="AN15" cm="1">
        <f t="array" aca="1" ref="AN15" ca="1">IF($C15=0,"",IF(AN$12&lt;&gt;$C$5,NA(),INDEX(auto_DataFlat_Score,INDEX(sys_DataFlat_LU_Grid,$C15,AN$11))))</f>
        <v>20.7</v>
      </c>
      <c r="AO15" cm="1">
        <f t="array" aca="1" ref="AO15" ca="1">IF($C15=0,"",IF(AO$12&lt;&gt;$C$5,NA(),INDEX(auto_DataFlat_Score,INDEX(sys_DataFlat_LU_Grid,$C15,AO$11))))</f>
        <v>76.7</v>
      </c>
      <c r="AP15" cm="1">
        <f t="array" aca="1" ref="AP15" ca="1">IF($C15=0,"",IF(AP$12&lt;&gt;$C$5,NA(),INDEX(auto_DataFlat_Score,INDEX(sys_DataFlat_LU_Grid,$C15,AP$11))))</f>
        <v>72.599999999999994</v>
      </c>
      <c r="AQ15" cm="1">
        <f t="array" aca="1" ref="AQ15" ca="1">IF($C15=0,"",IF(AQ$12&lt;&gt;$C$5,NA(),INDEX(auto_DataFlat_Score,INDEX(sys_DataFlat_LU_Grid,$C15,AQ$11))))</f>
        <v>47.3</v>
      </c>
      <c r="AR15" cm="1">
        <f t="array" aca="1" ref="AR15" ca="1">IF($C15=0,"",IF(AR$12&lt;&gt;$C$5,NA(),INDEX(auto_DataFlat_Score,INDEX(sys_DataFlat_LU_Grid,$C15,AR$11))))</f>
        <v>75.5</v>
      </c>
      <c r="AS15" cm="1">
        <f t="array" aca="1" ref="AS15" ca="1">IF($C15=0,"",IF(AS$12&lt;&gt;$C$5,NA(),INDEX(auto_DataFlat_Score,INDEX(sys_DataFlat_LU_Grid,$C15,AS$11))))</f>
        <v>54.9</v>
      </c>
      <c r="AT15" cm="1">
        <f t="array" aca="1" ref="AT15" ca="1">IF($C15=0,"",IF(AT$12&lt;&gt;$C$5,NA(),INDEX(auto_DataFlat_Score,INDEX(sys_DataFlat_LU_Grid,$C15,AT$11))))</f>
        <v>65.3</v>
      </c>
      <c r="AU15" cm="1">
        <f t="array" aca="1" ref="AU15" ca="1">IF($C15=0,"",IF(AU$12&lt;&gt;$C$5,NA(),INDEX(auto_DataFlat_Score,INDEX(sys_DataFlat_LU_Grid,$C15,AU$11))))</f>
        <v>30.3</v>
      </c>
      <c r="AV15" cm="1">
        <f t="array" aca="1" ref="AV15" ca="1">IF($C15=0,"",IF(AV$12&lt;&gt;$C$5,NA(),INDEX(auto_DataFlat_Score,INDEX(sys_DataFlat_LU_Grid,$C15,AV$11))))</f>
        <v>37</v>
      </c>
      <c r="AW15" cm="1">
        <f t="array" aca="1" ref="AW15" ca="1">IF($C15=0,"",IF(AW$12&lt;&gt;$C$5,NA(),INDEX(auto_DataFlat_Score,INDEX(sys_DataFlat_LU_Grid,$C15,AW$11))))</f>
        <v>68.8</v>
      </c>
      <c r="AX15" cm="1">
        <f t="array" aca="1" ref="AX15" ca="1">IF($C15=0,"",IF(AX$12&lt;&gt;$C$5,NA(),INDEX(auto_DataFlat_Score,INDEX(sys_DataFlat_LU_Grid,$C15,AX$11))))</f>
        <v>59.3</v>
      </c>
      <c r="AY15" cm="1">
        <f t="array" aca="1" ref="AY15" ca="1">IF($C15=0,"",IF(AY$12&lt;&gt;$C$5,NA(),INDEX(auto_DataFlat_Score,INDEX(sys_DataFlat_LU_Grid,$C15,AY$11))))</f>
        <v>69.8</v>
      </c>
      <c r="AZ15" cm="1">
        <f t="array" aca="1" ref="AZ15" ca="1">IF($C15=0,"",IF(AZ$12&lt;&gt;$C$5,NA(),INDEX(auto_DataFlat_Score,INDEX(sys_DataFlat_LU_Grid,$C15,AZ$11))))</f>
        <v>27</v>
      </c>
      <c r="BA15" cm="1">
        <f t="array" aca="1" ref="BA15" ca="1">IF($C15=0,"",IF(BA$12&lt;&gt;$C$5,NA(),INDEX(auto_DataFlat_Score,INDEX(sys_DataFlat_LU_Grid,$C15,BA$11))))</f>
        <v>9.8000000000000007</v>
      </c>
      <c r="BB15" cm="1">
        <f t="array" aca="1" ref="BB15" ca="1">IF($C15=0,"",IF(BB$12&lt;&gt;$C$5,NA(),INDEX(auto_DataFlat_Score,INDEX(sys_DataFlat_LU_Grid,$C15,BB$11))))</f>
        <v>71.400000000000006</v>
      </c>
      <c r="BC15" cm="1">
        <f t="array" aca="1" ref="BC15" ca="1">IF($C15=0,"",IF(BC$12&lt;&gt;$C$5,NA(),INDEX(auto_DataFlat_Score,INDEX(sys_DataFlat_LU_Grid,$C15,BC$11))))</f>
        <v>57.7</v>
      </c>
      <c r="BD15" cm="1">
        <f t="array" aca="1" ref="BD15" ca="1">IF($C15=0,"",IF(BD$12&lt;&gt;$C$5,NA(),INDEX(auto_DataFlat_Score,INDEX(sys_DataFlat_LU_Grid,$C15,BD$11))))</f>
        <v>65.8</v>
      </c>
      <c r="BE15" cm="1">
        <f t="array" aca="1" ref="BE15" ca="1">IF($C15=0,"",IF(BE$12&lt;&gt;$C$5,NA(),INDEX(auto_DataFlat_Score,INDEX(sys_DataFlat_LU_Grid,$C15,BE$11))))</f>
        <v>53.8</v>
      </c>
      <c r="BF15" cm="1">
        <f t="array" aca="1" ref="BF15" ca="1">IF($C15=0,"",IF(BF$12&lt;&gt;$C$5,NA(),INDEX(auto_DataFlat_Score,INDEX(sys_DataFlat_LU_Grid,$C15,BF$11))))</f>
        <v>46.5</v>
      </c>
      <c r="BG15" cm="1">
        <f t="array" aca="1" ref="BG15" ca="1">IF($C15=0,"",IF(BG$12&lt;&gt;$C$5,NA(),INDEX(auto_DataFlat_Score,INDEX(sys_DataFlat_LU_Grid,$C15,BG$11))))</f>
        <v>74.599999999999994</v>
      </c>
      <c r="BH15" cm="1">
        <f t="array" aca="1" ref="BH15" ca="1">IF($C15=0,"",IF(BH$12&lt;&gt;$C$5,NA(),INDEX(auto_DataFlat_Score,INDEX(sys_DataFlat_LU_Grid,$C15,BH$11))))</f>
        <v>49.2</v>
      </c>
      <c r="BI15" cm="1">
        <f t="array" aca="1" ref="BI15" ca="1">IF($C15=0,"",IF(BI$12&lt;&gt;$C$5,NA(),INDEX(auto_DataFlat_Score,INDEX(sys_DataFlat_LU_Grid,$C15,BI$11))))</f>
        <v>60.9</v>
      </c>
      <c r="BJ15" cm="1">
        <f t="array" aca="1" ref="BJ15" ca="1">IF($C15=0,"",IF(BJ$12&lt;&gt;$C$5,NA(),INDEX(auto_DataFlat_Score,INDEX(sys_DataFlat_LU_Grid,$C15,BJ$11))))</f>
        <v>77.5</v>
      </c>
      <c r="BK15" cm="1">
        <f t="array" aca="1" ref="BK15" ca="1">IF($C15=0,"",IF(BK$12&lt;&gt;$C$5,NA(),INDEX(auto_DataFlat_Score,INDEX(sys_DataFlat_LU_Grid,$C15,BK$11))))</f>
        <v>65</v>
      </c>
      <c r="BL15" cm="1">
        <f t="array" aca="1" ref="BL15" ca="1">IF($C15=0,"",IF(BL$12&lt;&gt;$C$5,NA(),INDEX(auto_DataFlat_Score,INDEX(sys_DataFlat_LU_Grid,$C15,BL$11))))</f>
        <v>43.6</v>
      </c>
      <c r="BM15" cm="1">
        <f t="array" aca="1" ref="BM15" ca="1">IF($C15=0,"",IF(BM$12&lt;&gt;$C$5,NA(),INDEX(auto_DataFlat_Score,INDEX(sys_DataFlat_LU_Grid,$C15,BM$11))))</f>
        <v>33.4</v>
      </c>
      <c r="BO15">
        <f t="shared" ca="1" si="3"/>
        <v>9.8000000000000007</v>
      </c>
      <c r="BP15">
        <f t="shared" ca="1" si="4"/>
        <v>77.5</v>
      </c>
      <c r="BQ15" cm="1">
        <f t="array" aca="1" ref="BQ15" ca="1">IF(C15=0,0,INDEX(sys_DataFlat_LU_Grid_Groups,$C15,BQ$12))</f>
        <v>836</v>
      </c>
      <c r="BR15" cm="1">
        <f t="array" aca="1" ref="BR15" ca="1">IF(D15=0,0,INDEX(sys_DataFlat_LU_Grid_Groups,$C15,BR$12))</f>
        <v>839</v>
      </c>
      <c r="BU15" cm="1">
        <f t="array" aca="1" ref="BU15" ca="1">INDEX(auto_DataFlat_Score,BQ15)</f>
        <v>34.5</v>
      </c>
      <c r="BV15" cm="1">
        <f t="array" aca="1" ref="BV15" ca="1">INDEX(auto_DataFlat_Score,BR15)</f>
        <v>52.6</v>
      </c>
      <c r="BW15">
        <f t="shared" ca="1" si="6"/>
        <v>48.8</v>
      </c>
    </row>
    <row r="16" spans="1:75" x14ac:dyDescent="0.4">
      <c r="B16">
        <v>4</v>
      </c>
      <c r="C16" cm="1">
        <f t="array" aca="1" ref="C16" ca="1">INDEX(OFFSET(auto_ss_TopLevel,0,1,300,1),B16)</f>
        <v>22</v>
      </c>
      <c r="D16" cm="1">
        <f t="array" aca="1" ref="D16" ca="1">IF(C16=0,0,INDEX(sys_DataFlat_LU_Grid_Groups,$C16,$C$9))</f>
        <v>1311</v>
      </c>
      <c r="E16" cm="1">
        <f t="array" aca="1" ref="E16" ca="1">IF(D16=0,"",INDEX(auto_DataFlat_Score,D16))</f>
        <v>57.9</v>
      </c>
      <c r="G16">
        <f t="shared" ca="1" si="2"/>
        <v>57.9</v>
      </c>
      <c r="H16" t="e" cm="1">
        <f t="array" ref="H16">IF($C$8=0,NA(),INDEX($P16:$BM16,$C$8))</f>
        <v>#N/A</v>
      </c>
      <c r="I16" cm="1">
        <f t="array" aca="1" ref="I16" ca="1">IF(C16=0,0,INDEX(sys_DataFlat_LU_Grid,$C16,$C$2))</f>
        <v>1261</v>
      </c>
      <c r="J16" t="str" cm="1">
        <f t="array" aca="1" ref="J16" ca="1">IF(C16=0,"",INDEX(auto_Series_NameNoNumber,C16))</f>
        <v>HEALTH RISKS</v>
      </c>
      <c r="K16" cm="1">
        <f t="array" aca="1" ref="K16" ca="1">IF(C16=0,"",INDEX(K$94:K$162,$C16))</f>
        <v>47.2</v>
      </c>
      <c r="L16" t="str" cm="1">
        <f t="array" aca="1" ref="L16" ca="1">IF(C16=0,"",INDEX(L$94:L$162,$C16))</f>
        <v>32</v>
      </c>
      <c r="M16">
        <f t="shared" ca="1" si="5"/>
        <v>-0.80467817279107312</v>
      </c>
      <c r="N16" cm="1">
        <f t="array" aca="1" ref="N16" ca="1">IF(C16=0,"",INDEX($N$94:$N$162,$C16))</f>
        <v>3</v>
      </c>
      <c r="O16" t="e" cm="1">
        <f t="array" aca="1" ref="O16" ca="1">IF(C16=0,"",INDEX(#REF!,$C16))</f>
        <v>#REF!</v>
      </c>
      <c r="P16" cm="1">
        <f t="array" aca="1" ref="P16" ca="1">IF($C16=0,"",IF(P$12&lt;&gt;$C$5,NA(),INDEX(auto_DataFlat_Score,INDEX(sys_DataFlat_LU_Grid,$C16,P$11))))</f>
        <v>47.2</v>
      </c>
      <c r="Q16" cm="1">
        <f t="array" aca="1" ref="Q16" ca="1">IF($C16=0,"",IF(Q$12&lt;&gt;$C$5,NA(),INDEX(auto_DataFlat_Score,INDEX(sys_DataFlat_LU_Grid,$C16,Q$11))))</f>
        <v>39.6</v>
      </c>
      <c r="R16" cm="1">
        <f t="array" aca="1" ref="R16" ca="1">IF($C16=0,"",IF(R$12&lt;&gt;$C$5,NA(),INDEX(auto_DataFlat_Score,INDEX(sys_DataFlat_LU_Grid,$C16,R$11))))</f>
        <v>56.1</v>
      </c>
      <c r="S16" cm="1">
        <f t="array" aca="1" ref="S16" ca="1">IF($C16=0,"",IF(S$12&lt;&gt;$C$5,NA(),INDEX(auto_DataFlat_Score,INDEX(sys_DataFlat_LU_Grid,$C16,S$11))))</f>
        <v>60.5</v>
      </c>
      <c r="T16" cm="1">
        <f t="array" aca="1" ref="T16" ca="1">IF($C16=0,"",IF(T$12&lt;&gt;$C$5,NA(),INDEX(auto_DataFlat_Score,INDEX(sys_DataFlat_LU_Grid,$C16,T$11))))</f>
        <v>74.099999999999994</v>
      </c>
      <c r="U16" cm="1">
        <f t="array" aca="1" ref="U16" ca="1">IF($C16=0,"",IF(U$12&lt;&gt;$C$5,NA(),INDEX(auto_DataFlat_Score,INDEX(sys_DataFlat_LU_Grid,$C16,U$11))))</f>
        <v>80.599999999999994</v>
      </c>
      <c r="V16" cm="1">
        <f t="array" aca="1" ref="V16" ca="1">IF($C16=0,"",IF(V$12&lt;&gt;$C$5,NA(),INDEX(auto_DataFlat_Score,INDEX(sys_DataFlat_LU_Grid,$C16,V$11))))</f>
        <v>70</v>
      </c>
      <c r="W16" cm="1">
        <f t="array" aca="1" ref="W16" ca="1">IF($C16=0,"",IF(W$12&lt;&gt;$C$5,NA(),INDEX(auto_DataFlat_Score,INDEX(sys_DataFlat_LU_Grid,$C16,W$11))))</f>
        <v>56.9</v>
      </c>
      <c r="X16" cm="1">
        <f t="array" aca="1" ref="X16" ca="1">IF($C16=0,"",IF(X$12&lt;&gt;$C$5,NA(),INDEX(auto_DataFlat_Score,INDEX(sys_DataFlat_LU_Grid,$C16,X$11))))</f>
        <v>72.599999999999994</v>
      </c>
      <c r="Y16" cm="1">
        <f t="array" aca="1" ref="Y16" ca="1">IF($C16=0,"",IF(Y$12&lt;&gt;$C$5,NA(),INDEX(auto_DataFlat_Score,INDEX(sys_DataFlat_LU_Grid,$C16,Y$11))))</f>
        <v>39.700000000000003</v>
      </c>
      <c r="Z16" cm="1">
        <f t="array" aca="1" ref="Z16" ca="1">IF($C16=0,"",IF(Z$12&lt;&gt;$C$5,NA(),INDEX(auto_DataFlat_Score,INDEX(sys_DataFlat_LU_Grid,$C16,Z$11))))</f>
        <v>45.6</v>
      </c>
      <c r="AA16" cm="1">
        <f t="array" aca="1" ref="AA16" ca="1">IF($C16=0,"",IF(AA$12&lt;&gt;$C$5,NA(),INDEX(auto_DataFlat_Score,INDEX(sys_DataFlat_LU_Grid,$C16,AA$11))))</f>
        <v>56.4</v>
      </c>
      <c r="AB16" cm="1">
        <f t="array" aca="1" ref="AB16" ca="1">IF($C16=0,"",IF(AB$12&lt;&gt;$C$5,NA(),INDEX(auto_DataFlat_Score,INDEX(sys_DataFlat_LU_Grid,$C16,AB$11))))</f>
        <v>39.700000000000003</v>
      </c>
      <c r="AC16" cm="1">
        <f t="array" aca="1" ref="AC16" ca="1">IF($C16=0,"",IF(AC$12&lt;&gt;$C$5,NA(),INDEX(auto_DataFlat_Score,INDEX(sys_DataFlat_LU_Grid,$C16,AC$11))))</f>
        <v>63</v>
      </c>
      <c r="AD16" cm="1">
        <f t="array" aca="1" ref="AD16" ca="1">IF($C16=0,"",IF(AD$12&lt;&gt;$C$5,NA(),INDEX(auto_DataFlat_Score,INDEX(sys_DataFlat_LU_Grid,$C16,AD$11))))</f>
        <v>77.400000000000006</v>
      </c>
      <c r="AE16" cm="1">
        <f t="array" aca="1" ref="AE16" ca="1">IF($C16=0,"",IF(AE$12&lt;&gt;$C$5,NA(),INDEX(auto_DataFlat_Score,INDEX(sys_DataFlat_LU_Grid,$C16,AE$11))))</f>
        <v>68.5</v>
      </c>
      <c r="AF16" cm="1">
        <f t="array" aca="1" ref="AF16" ca="1">IF($C16=0,"",IF(AF$12&lt;&gt;$C$5,NA(),INDEX(auto_DataFlat_Score,INDEX(sys_DataFlat_LU_Grid,$C16,AF$11))))</f>
        <v>86</v>
      </c>
      <c r="AG16" cm="1">
        <f t="array" aca="1" ref="AG16" ca="1">IF($C16=0,"",IF(AG$12&lt;&gt;$C$5,NA(),INDEX(auto_DataFlat_Score,INDEX(sys_DataFlat_LU_Grid,$C16,AG$11))))</f>
        <v>45.7</v>
      </c>
      <c r="AH16" cm="1">
        <f t="array" aca="1" ref="AH16" ca="1">IF($C16=0,"",IF(AH$12&lt;&gt;$C$5,NA(),INDEX(auto_DataFlat_Score,INDEX(sys_DataFlat_LU_Grid,$C16,AH$11))))</f>
        <v>83.3</v>
      </c>
      <c r="AI16" cm="1">
        <f t="array" aca="1" ref="AI16" ca="1">IF($C16=0,"",IF(AI$12&lt;&gt;$C$5,NA(),INDEX(auto_DataFlat_Score,INDEX(sys_DataFlat_LU_Grid,$C16,AI$11))))</f>
        <v>45.6</v>
      </c>
      <c r="AJ16" cm="1">
        <f t="array" aca="1" ref="AJ16" ca="1">IF($C16=0,"",IF(AJ$12&lt;&gt;$C$5,NA(),INDEX(auto_DataFlat_Score,INDEX(sys_DataFlat_LU_Grid,$C16,AJ$11))))</f>
        <v>35</v>
      </c>
      <c r="AK16" cm="1">
        <f t="array" aca="1" ref="AK16" ca="1">IF($C16=0,"",IF(AK$12&lt;&gt;$C$5,NA(),INDEX(auto_DataFlat_Score,INDEX(sys_DataFlat_LU_Grid,$C16,AK$11))))</f>
        <v>38.1</v>
      </c>
      <c r="AL16" cm="1">
        <f t="array" aca="1" ref="AL16" ca="1">IF($C16=0,"",IF(AL$12&lt;&gt;$C$5,NA(),INDEX(auto_DataFlat_Score,INDEX(sys_DataFlat_LU_Grid,$C16,AL$11))))</f>
        <v>43.9</v>
      </c>
      <c r="AM16" cm="1">
        <f t="array" aca="1" ref="AM16" ca="1">IF($C16=0,"",IF(AM$12&lt;&gt;$C$5,NA(),INDEX(auto_DataFlat_Score,INDEX(sys_DataFlat_LU_Grid,$C16,AM$11))))</f>
        <v>37.1</v>
      </c>
      <c r="AN16" cm="1">
        <f t="array" aca="1" ref="AN16" ca="1">IF($C16=0,"",IF(AN$12&lt;&gt;$C$5,NA(),INDEX(auto_DataFlat_Score,INDEX(sys_DataFlat_LU_Grid,$C16,AN$11))))</f>
        <v>48.4</v>
      </c>
      <c r="AO16" cm="1">
        <f t="array" aca="1" ref="AO16" ca="1">IF($C16=0,"",IF(AO$12&lt;&gt;$C$5,NA(),INDEX(auto_DataFlat_Score,INDEX(sys_DataFlat_LU_Grid,$C16,AO$11))))</f>
        <v>67.7</v>
      </c>
      <c r="AP16" cm="1">
        <f t="array" aca="1" ref="AP16" ca="1">IF($C16=0,"",IF(AP$12&lt;&gt;$C$5,NA(),INDEX(auto_DataFlat_Score,INDEX(sys_DataFlat_LU_Grid,$C16,AP$11))))</f>
        <v>78.599999999999994</v>
      </c>
      <c r="AQ16" cm="1">
        <f t="array" aca="1" ref="AQ16" ca="1">IF($C16=0,"",IF(AQ$12&lt;&gt;$C$5,NA(),INDEX(auto_DataFlat_Score,INDEX(sys_DataFlat_LU_Grid,$C16,AQ$11))))</f>
        <v>42.8</v>
      </c>
      <c r="AR16" cm="1">
        <f t="array" aca="1" ref="AR16" ca="1">IF($C16=0,"",IF(AR$12&lt;&gt;$C$5,NA(),INDEX(auto_DataFlat_Score,INDEX(sys_DataFlat_LU_Grid,$C16,AR$11))))</f>
        <v>67.7</v>
      </c>
      <c r="AS16" cm="1">
        <f t="array" aca="1" ref="AS16" ca="1">IF($C16=0,"",IF(AS$12&lt;&gt;$C$5,NA(),INDEX(auto_DataFlat_Score,INDEX(sys_DataFlat_LU_Grid,$C16,AS$11))))</f>
        <v>41.2</v>
      </c>
      <c r="AT16" cm="1">
        <f t="array" aca="1" ref="AT16" ca="1">IF($C16=0,"",IF(AT$12&lt;&gt;$C$5,NA(),INDEX(auto_DataFlat_Score,INDEX(sys_DataFlat_LU_Grid,$C16,AT$11))))</f>
        <v>54.7</v>
      </c>
      <c r="AU16" cm="1">
        <f t="array" aca="1" ref="AU16" ca="1">IF($C16=0,"",IF(AU$12&lt;&gt;$C$5,NA(),INDEX(auto_DataFlat_Score,INDEX(sys_DataFlat_LU_Grid,$C16,AU$11))))</f>
        <v>40.799999999999997</v>
      </c>
      <c r="AV16" cm="1">
        <f t="array" aca="1" ref="AV16" ca="1">IF($C16=0,"",IF(AV$12&lt;&gt;$C$5,NA(),INDEX(auto_DataFlat_Score,INDEX(sys_DataFlat_LU_Grid,$C16,AV$11))))</f>
        <v>36.4</v>
      </c>
      <c r="AW16" cm="1">
        <f t="array" aca="1" ref="AW16" ca="1">IF($C16=0,"",IF(AW$12&lt;&gt;$C$5,NA(),INDEX(auto_DataFlat_Score,INDEX(sys_DataFlat_LU_Grid,$C16,AW$11))))</f>
        <v>65.5</v>
      </c>
      <c r="AX16" cm="1">
        <f t="array" aca="1" ref="AX16" ca="1">IF($C16=0,"",IF(AX$12&lt;&gt;$C$5,NA(),INDEX(auto_DataFlat_Score,INDEX(sys_DataFlat_LU_Grid,$C16,AX$11))))</f>
        <v>80.7</v>
      </c>
      <c r="AY16" cm="1">
        <f t="array" aca="1" ref="AY16" ca="1">IF($C16=0,"",IF(AY$12&lt;&gt;$C$5,NA(),INDEX(auto_DataFlat_Score,INDEX(sys_DataFlat_LU_Grid,$C16,AY$11))))</f>
        <v>33.4</v>
      </c>
      <c r="AZ16" cm="1">
        <f t="array" aca="1" ref="AZ16" ca="1">IF($C16=0,"",IF(AZ$12&lt;&gt;$C$5,NA(),INDEX(auto_DataFlat_Score,INDEX(sys_DataFlat_LU_Grid,$C16,AZ$11))))</f>
        <v>64.099999999999994</v>
      </c>
      <c r="BA16" cm="1">
        <f t="array" aca="1" ref="BA16" ca="1">IF($C16=0,"",IF(BA$12&lt;&gt;$C$5,NA(),INDEX(auto_DataFlat_Score,INDEX(sys_DataFlat_LU_Grid,$C16,BA$11))))</f>
        <v>37.6</v>
      </c>
      <c r="BB16" cm="1">
        <f t="array" aca="1" ref="BB16" ca="1">IF($C16=0,"",IF(BB$12&lt;&gt;$C$5,NA(),INDEX(auto_DataFlat_Score,INDEX(sys_DataFlat_LU_Grid,$C16,BB$11))))</f>
        <v>33.700000000000003</v>
      </c>
      <c r="BC16" cm="1">
        <f t="array" aca="1" ref="BC16" ca="1">IF($C16=0,"",IF(BC$12&lt;&gt;$C$5,NA(),INDEX(auto_DataFlat_Score,INDEX(sys_DataFlat_LU_Grid,$C16,BC$11))))</f>
        <v>53</v>
      </c>
      <c r="BD16" cm="1">
        <f t="array" aca="1" ref="BD16" ca="1">IF($C16=0,"",IF(BD$12&lt;&gt;$C$5,NA(),INDEX(auto_DataFlat_Score,INDEX(sys_DataFlat_LU_Grid,$C16,BD$11))))</f>
        <v>52.1</v>
      </c>
      <c r="BE16" cm="1">
        <f t="array" aca="1" ref="BE16" ca="1">IF($C16=0,"",IF(BE$12&lt;&gt;$C$5,NA(),INDEX(auto_DataFlat_Score,INDEX(sys_DataFlat_LU_Grid,$C16,BE$11))))</f>
        <v>80.5</v>
      </c>
      <c r="BF16" cm="1">
        <f t="array" aca="1" ref="BF16" ca="1">IF($C16=0,"",IF(BF$12&lt;&gt;$C$5,NA(),INDEX(auto_DataFlat_Score,INDEX(sys_DataFlat_LU_Grid,$C16,BF$11))))</f>
        <v>77.5</v>
      </c>
      <c r="BG16" cm="1">
        <f t="array" aca="1" ref="BG16" ca="1">IF($C16=0,"",IF(BG$12&lt;&gt;$C$5,NA(),INDEX(auto_DataFlat_Score,INDEX(sys_DataFlat_LU_Grid,$C16,BG$11))))</f>
        <v>82.1</v>
      </c>
      <c r="BH16" cm="1">
        <f t="array" aca="1" ref="BH16" ca="1">IF($C16=0,"",IF(BH$12&lt;&gt;$C$5,NA(),INDEX(auto_DataFlat_Score,INDEX(sys_DataFlat_LU_Grid,$C16,BH$11))))</f>
        <v>67.7</v>
      </c>
      <c r="BI16" cm="1">
        <f t="array" aca="1" ref="BI16" ca="1">IF($C16=0,"",IF(BI$12&lt;&gt;$C$5,NA(),INDEX(auto_DataFlat_Score,INDEX(sys_DataFlat_LU_Grid,$C16,BI$11))))</f>
        <v>80.7</v>
      </c>
      <c r="BJ16" cm="1">
        <f t="array" aca="1" ref="BJ16" ca="1">IF($C16=0,"",IF(BJ$12&lt;&gt;$C$5,NA(),INDEX(auto_DataFlat_Score,INDEX(sys_DataFlat_LU_Grid,$C16,BJ$11))))</f>
        <v>67.7</v>
      </c>
      <c r="BK16" cm="1">
        <f t="array" aca="1" ref="BK16" ca="1">IF($C16=0,"",IF(BK$12&lt;&gt;$C$5,NA(),INDEX(auto_DataFlat_Score,INDEX(sys_DataFlat_LU_Grid,$C16,BK$11))))</f>
        <v>74.2</v>
      </c>
      <c r="BL16" cm="1">
        <f t="array" aca="1" ref="BL16" ca="1">IF($C16=0,"",IF(BL$12&lt;&gt;$C$5,NA(),INDEX(auto_DataFlat_Score,INDEX(sys_DataFlat_LU_Grid,$C16,BL$11))))</f>
        <v>58.7</v>
      </c>
      <c r="BM16" cm="1">
        <f t="array" aca="1" ref="BM16" ca="1">IF($C16=0,"",IF(BM$12&lt;&gt;$C$5,NA(),INDEX(auto_DataFlat_Score,INDEX(sys_DataFlat_LU_Grid,$C16,BM$11))))</f>
        <v>44</v>
      </c>
      <c r="BO16">
        <f t="shared" ca="1" si="3"/>
        <v>33.4</v>
      </c>
      <c r="BP16">
        <f t="shared" ca="1" si="4"/>
        <v>86</v>
      </c>
      <c r="BQ16" cm="1">
        <f t="array" aca="1" ref="BQ16" ca="1">IF(C16=0,0,INDEX(sys_DataFlat_LU_Grid_Groups,$C16,BQ$12))</f>
        <v>1316</v>
      </c>
      <c r="BR16" cm="1">
        <f t="array" aca="1" ref="BR16" ca="1">IF(D16=0,0,INDEX(sys_DataFlat_LU_Grid_Groups,$C16,BR$12))</f>
        <v>1319</v>
      </c>
      <c r="BU16" cm="1">
        <f t="array" aca="1" ref="BU16" ca="1">INDEX(auto_DataFlat_Score,BQ16)</f>
        <v>50.1</v>
      </c>
      <c r="BV16" cm="1">
        <f t="array" aca="1" ref="BV16" ca="1">INDEX(auto_DataFlat_Score,BR16)</f>
        <v>60.9</v>
      </c>
      <c r="BW16">
        <f t="shared" ca="1" si="6"/>
        <v>57.9</v>
      </c>
    </row>
    <row r="17" spans="2:75" x14ac:dyDescent="0.4">
      <c r="B17">
        <v>5</v>
      </c>
      <c r="C17" cm="1">
        <f t="array" aca="1" ref="C17" ca="1">INDEX(OFFSET(auto_ss_TopLevel,0,1,300,1),B17)</f>
        <v>47</v>
      </c>
      <c r="D17" cm="1">
        <f t="array" aca="1" ref="D17" ca="1">IF(C17=0,0,INDEX(sys_DataFlat_LU_Grid_Groups,$C17,$C$9))</f>
        <v>2811</v>
      </c>
      <c r="E17" cm="1">
        <f t="array" aca="1" ref="E17" ca="1">IF(D17=0,"",INDEX(auto_DataFlat_Score,D17))</f>
        <v>64.3</v>
      </c>
      <c r="G17">
        <f t="shared" ca="1" si="2"/>
        <v>64.3</v>
      </c>
      <c r="H17" t="e" cm="1">
        <f t="array" ref="H17">IF($C$8=0,NA(),INDEX($P17:$BM17,$C$8))</f>
        <v>#N/A</v>
      </c>
      <c r="I17" cm="1">
        <f t="array" aca="1" ref="I17" ca="1">IF(C17=0,0,INDEX(sys_DataFlat_LU_Grid,$C17,$C$2))</f>
        <v>2761</v>
      </c>
      <c r="J17" t="str" cm="1">
        <f t="array" aca="1" ref="J17" ca="1">IF(C17=0,"",INDEX(auto_Series_NameNoNumber,C17))</f>
        <v>HEALTH SERVICES</v>
      </c>
      <c r="K17" cm="1">
        <f t="array" aca="1" ref="K17" ca="1">IF(C17=0,"",INDEX(K$94:K$162,$C17))</f>
        <v>19.100000000000001</v>
      </c>
      <c r="L17" t="str" cm="1">
        <f t="array" aca="1" ref="L17" ca="1">IF(C17=0,"",INDEX(L$94:L$162,$C17))</f>
        <v>50</v>
      </c>
      <c r="M17">
        <f t="shared" ca="1" si="5"/>
        <v>-2.1726863586912195</v>
      </c>
      <c r="N17" cm="1">
        <f t="array" aca="1" ref="N17" ca="1">IF(C17=0,"",INDEX($N$94:$N$162,$C17))</f>
        <v>1</v>
      </c>
      <c r="O17" t="e" cm="1">
        <f t="array" aca="1" ref="O17" ca="1">IF(C17=0,"",INDEX(#REF!,$C17))</f>
        <v>#REF!</v>
      </c>
      <c r="P17" cm="1">
        <f t="array" aca="1" ref="P17" ca="1">IF($C17=0,"",IF(P$12&lt;&gt;$C$5,NA(),INDEX(auto_DataFlat_Score,INDEX(sys_DataFlat_LU_Grid,$C17,P$11))))</f>
        <v>19.100000000000001</v>
      </c>
      <c r="Q17" cm="1">
        <f t="array" aca="1" ref="Q17" ca="1">IF($C17=0,"",IF(Q$12&lt;&gt;$C$5,NA(),INDEX(auto_DataFlat_Score,INDEX(sys_DataFlat_LU_Grid,$C17,Q$11))))</f>
        <v>52.5</v>
      </c>
      <c r="R17" cm="1">
        <f t="array" aca="1" ref="R17" ca="1">IF($C17=0,"",IF(R$12&lt;&gt;$C$5,NA(),INDEX(auto_DataFlat_Score,INDEX(sys_DataFlat_LU_Grid,$C17,R$11))))</f>
        <v>66.900000000000006</v>
      </c>
      <c r="S17" cm="1">
        <f t="array" aca="1" ref="S17" ca="1">IF($C17=0,"",IF(S$12&lt;&gt;$C$5,NA(),INDEX(auto_DataFlat_Score,INDEX(sys_DataFlat_LU_Grid,$C17,S$11))))</f>
        <v>79.400000000000006</v>
      </c>
      <c r="T17" cm="1">
        <f t="array" aca="1" ref="T17" ca="1">IF($C17=0,"",IF(T$12&lt;&gt;$C$5,NA(),INDEX(auto_DataFlat_Score,INDEX(sys_DataFlat_LU_Grid,$C17,T$11))))</f>
        <v>78.3</v>
      </c>
      <c r="U17" cm="1">
        <f t="array" aca="1" ref="U17" ca="1">IF($C17=0,"",IF(U$12&lt;&gt;$C$5,NA(),INDEX(auto_DataFlat_Score,INDEX(sys_DataFlat_LU_Grid,$C17,U$11))))</f>
        <v>37.6</v>
      </c>
      <c r="V17" cm="1">
        <f t="array" aca="1" ref="V17" ca="1">IF($C17=0,"",IF(V$12&lt;&gt;$C$5,NA(),INDEX(auto_DataFlat_Score,INDEX(sys_DataFlat_LU_Grid,$C17,V$11))))</f>
        <v>87.6</v>
      </c>
      <c r="W17" cm="1">
        <f t="array" aca="1" ref="W17" ca="1">IF($C17=0,"",IF(W$12&lt;&gt;$C$5,NA(),INDEX(auto_DataFlat_Score,INDEX(sys_DataFlat_LU_Grid,$C17,W$11))))</f>
        <v>70.8</v>
      </c>
      <c r="X17" cm="1">
        <f t="array" aca="1" ref="X17" ca="1">IF($C17=0,"",IF(X$12&lt;&gt;$C$5,NA(),INDEX(auto_DataFlat_Score,INDEX(sys_DataFlat_LU_Grid,$C17,X$11))))</f>
        <v>60.8</v>
      </c>
      <c r="Y17" cm="1">
        <f t="array" aca="1" ref="Y17" ca="1">IF($C17=0,"",IF(Y$12&lt;&gt;$C$5,NA(),INDEX(auto_DataFlat_Score,INDEX(sys_DataFlat_LU_Grid,$C17,Y$11))))</f>
        <v>47.8</v>
      </c>
      <c r="Z17" cm="1">
        <f t="array" aca="1" ref="Z17" ca="1">IF($C17=0,"",IF(Z$12&lt;&gt;$C$5,NA(),INDEX(auto_DataFlat_Score,INDEX(sys_DataFlat_LU_Grid,$C17,Z$11))))</f>
        <v>77.8</v>
      </c>
      <c r="AA17" cm="1">
        <f t="array" aca="1" ref="AA17" ca="1">IF($C17=0,"",IF(AA$12&lt;&gt;$C$5,NA(),INDEX(auto_DataFlat_Score,INDEX(sys_DataFlat_LU_Grid,$C17,AA$11))))</f>
        <v>71</v>
      </c>
      <c r="AB17" cm="1">
        <f t="array" aca="1" ref="AB17" ca="1">IF($C17=0,"",IF(AB$12&lt;&gt;$C$5,NA(),INDEX(auto_DataFlat_Score,INDEX(sys_DataFlat_LU_Grid,$C17,AB$11))))</f>
        <v>39.1</v>
      </c>
      <c r="AC17" cm="1">
        <f t="array" aca="1" ref="AC17" ca="1">IF($C17=0,"",IF(AC$12&lt;&gt;$C$5,NA(),INDEX(auto_DataFlat_Score,INDEX(sys_DataFlat_LU_Grid,$C17,AC$11))))</f>
        <v>44.8</v>
      </c>
      <c r="AD17" cm="1">
        <f t="array" aca="1" ref="AD17" ca="1">IF($C17=0,"",IF(AD$12&lt;&gt;$C$5,NA(),INDEX(auto_DataFlat_Score,INDEX(sys_DataFlat_LU_Grid,$C17,AD$11))))</f>
        <v>87.3</v>
      </c>
      <c r="AE17" cm="1">
        <f t="array" aca="1" ref="AE17" ca="1">IF($C17=0,"",IF(AE$12&lt;&gt;$C$5,NA(),INDEX(auto_DataFlat_Score,INDEX(sys_DataFlat_LU_Grid,$C17,AE$11))))</f>
        <v>48.9</v>
      </c>
      <c r="AF17" cm="1">
        <f t="array" aca="1" ref="AF17" ca="1">IF($C17=0,"",IF(AF$12&lt;&gt;$C$5,NA(),INDEX(auto_DataFlat_Score,INDEX(sys_DataFlat_LU_Grid,$C17,AF$11))))</f>
        <v>76.5</v>
      </c>
      <c r="AG17" cm="1">
        <f t="array" aca="1" ref="AG17" ca="1">IF($C17=0,"",IF(AG$12&lt;&gt;$C$5,NA(),INDEX(auto_DataFlat_Score,INDEX(sys_DataFlat_LU_Grid,$C17,AG$11))))</f>
        <v>80.099999999999994</v>
      </c>
      <c r="AH17" cm="1">
        <f t="array" aca="1" ref="AH17" ca="1">IF($C17=0,"",IF(AH$12&lt;&gt;$C$5,NA(),INDEX(auto_DataFlat_Score,INDEX(sys_DataFlat_LU_Grid,$C17,AH$11))))</f>
        <v>40.6</v>
      </c>
      <c r="AI17" cm="1">
        <f t="array" aca="1" ref="AI17" ca="1">IF($C17=0,"",IF(AI$12&lt;&gt;$C$5,NA(),INDEX(auto_DataFlat_Score,INDEX(sys_DataFlat_LU_Grid,$C17,AI$11))))</f>
        <v>51.9</v>
      </c>
      <c r="AJ17" cm="1">
        <f t="array" aca="1" ref="AJ17" ca="1">IF($C17=0,"",IF(AJ$12&lt;&gt;$C$5,NA(),INDEX(auto_DataFlat_Score,INDEX(sys_DataFlat_LU_Grid,$C17,AJ$11))))</f>
        <v>29.3</v>
      </c>
      <c r="AK17" cm="1">
        <f t="array" aca="1" ref="AK17" ca="1">IF($C17=0,"",IF(AK$12&lt;&gt;$C$5,NA(),INDEX(auto_DataFlat_Score,INDEX(sys_DataFlat_LU_Grid,$C17,AK$11))))</f>
        <v>47.4</v>
      </c>
      <c r="AL17" cm="1">
        <f t="array" aca="1" ref="AL17" ca="1">IF($C17=0,"",IF(AL$12&lt;&gt;$C$5,NA(),INDEX(auto_DataFlat_Score,INDEX(sys_DataFlat_LU_Grid,$C17,AL$11))))</f>
        <v>71</v>
      </c>
      <c r="AM17" cm="1">
        <f t="array" aca="1" ref="AM17" ca="1">IF($C17=0,"",IF(AM$12&lt;&gt;$C$5,NA(),INDEX(auto_DataFlat_Score,INDEX(sys_DataFlat_LU_Grid,$C17,AM$11))))</f>
        <v>43.9</v>
      </c>
      <c r="AN17" cm="1">
        <f t="array" aca="1" ref="AN17" ca="1">IF($C17=0,"",IF(AN$12&lt;&gt;$C$5,NA(),INDEX(auto_DataFlat_Score,INDEX(sys_DataFlat_LU_Grid,$C17,AN$11))))</f>
        <v>48.4</v>
      </c>
      <c r="AO17" cm="1">
        <f t="array" aca="1" ref="AO17" ca="1">IF($C17=0,"",IF(AO$12&lt;&gt;$C$5,NA(),INDEX(auto_DataFlat_Score,INDEX(sys_DataFlat_LU_Grid,$C17,AO$11))))</f>
        <v>84</v>
      </c>
      <c r="AP17" cm="1">
        <f t="array" aca="1" ref="AP17" ca="1">IF($C17=0,"",IF(AP$12&lt;&gt;$C$5,NA(),INDEX(auto_DataFlat_Score,INDEX(sys_DataFlat_LU_Grid,$C17,AP$11))))</f>
        <v>83.7</v>
      </c>
      <c r="AQ17" cm="1">
        <f t="array" aca="1" ref="AQ17" ca="1">IF($C17=0,"",IF(AQ$12&lt;&gt;$C$5,NA(),INDEX(auto_DataFlat_Score,INDEX(sys_DataFlat_LU_Grid,$C17,AQ$11))))</f>
        <v>46.3</v>
      </c>
      <c r="AR17" cm="1">
        <f t="array" aca="1" ref="AR17" ca="1">IF($C17=0,"",IF(AR$12&lt;&gt;$C$5,NA(),INDEX(auto_DataFlat_Score,INDEX(sys_DataFlat_LU_Grid,$C17,AR$11))))</f>
        <v>83.5</v>
      </c>
      <c r="AS17" cm="1">
        <f t="array" aca="1" ref="AS17" ca="1">IF($C17=0,"",IF(AS$12&lt;&gt;$C$5,NA(),INDEX(auto_DataFlat_Score,INDEX(sys_DataFlat_LU_Grid,$C17,AS$11))))</f>
        <v>77.599999999999994</v>
      </c>
      <c r="AT17" cm="1">
        <f t="array" aca="1" ref="AT17" ca="1">IF($C17=0,"",IF(AT$12&lt;&gt;$C$5,NA(),INDEX(auto_DataFlat_Score,INDEX(sys_DataFlat_LU_Grid,$C17,AT$11))))</f>
        <v>58.3</v>
      </c>
      <c r="AU17" cm="1">
        <f t="array" aca="1" ref="AU17" ca="1">IF($C17=0,"",IF(AU$12&lt;&gt;$C$5,NA(),INDEX(auto_DataFlat_Score,INDEX(sys_DataFlat_LU_Grid,$C17,AU$11))))</f>
        <v>71</v>
      </c>
      <c r="AV17" cm="1">
        <f t="array" aca="1" ref="AV17" ca="1">IF($C17=0,"",IF(AV$12&lt;&gt;$C$5,NA(),INDEX(auto_DataFlat_Score,INDEX(sys_DataFlat_LU_Grid,$C17,AV$11))))</f>
        <v>36.6</v>
      </c>
      <c r="AW17" cm="1">
        <f t="array" aca="1" ref="AW17" ca="1">IF($C17=0,"",IF(AW$12&lt;&gt;$C$5,NA(),INDEX(auto_DataFlat_Score,INDEX(sys_DataFlat_LU_Grid,$C17,AW$11))))</f>
        <v>91.9</v>
      </c>
      <c r="AX17" cm="1">
        <f t="array" aca="1" ref="AX17" ca="1">IF($C17=0,"",IF(AX$12&lt;&gt;$C$5,NA(),INDEX(auto_DataFlat_Score,INDEX(sys_DataFlat_LU_Grid,$C17,AX$11))))</f>
        <v>80.400000000000006</v>
      </c>
      <c r="AY17" cm="1">
        <f t="array" aca="1" ref="AY17" ca="1">IF($C17=0,"",IF(AY$12&lt;&gt;$C$5,NA(),INDEX(auto_DataFlat_Score,INDEX(sys_DataFlat_LU_Grid,$C17,AY$11))))</f>
        <v>84.3</v>
      </c>
      <c r="AZ17" cm="1">
        <f t="array" aca="1" ref="AZ17" ca="1">IF($C17=0,"",IF(AZ$12&lt;&gt;$C$5,NA(),INDEX(auto_DataFlat_Score,INDEX(sys_DataFlat_LU_Grid,$C17,AZ$11))))</f>
        <v>48.7</v>
      </c>
      <c r="BA17" cm="1">
        <f t="array" aca="1" ref="BA17" ca="1">IF($C17=0,"",IF(BA$12&lt;&gt;$C$5,NA(),INDEX(auto_DataFlat_Score,INDEX(sys_DataFlat_LU_Grid,$C17,BA$11))))</f>
        <v>51.9</v>
      </c>
      <c r="BB17" cm="1">
        <f t="array" aca="1" ref="BB17" ca="1">IF($C17=0,"",IF(BB$12&lt;&gt;$C$5,NA(),INDEX(auto_DataFlat_Score,INDEX(sys_DataFlat_LU_Grid,$C17,BB$11))))</f>
        <v>82.1</v>
      </c>
      <c r="BC17" cm="1">
        <f t="array" aca="1" ref="BC17" ca="1">IF($C17=0,"",IF(BC$12&lt;&gt;$C$5,NA(),INDEX(auto_DataFlat_Score,INDEX(sys_DataFlat_LU_Grid,$C17,BC$11))))</f>
        <v>91.9</v>
      </c>
      <c r="BD17" cm="1">
        <f t="array" aca="1" ref="BD17" ca="1">IF($C17=0,"",IF(BD$12&lt;&gt;$C$5,NA(),INDEX(auto_DataFlat_Score,INDEX(sys_DataFlat_LU_Grid,$C17,BD$11))))</f>
        <v>83.8</v>
      </c>
      <c r="BE17" cm="1">
        <f t="array" aca="1" ref="BE17" ca="1">IF($C17=0,"",IF(BE$12&lt;&gt;$C$5,NA(),INDEX(auto_DataFlat_Score,INDEX(sys_DataFlat_LU_Grid,$C17,BE$11))))</f>
        <v>83.8</v>
      </c>
      <c r="BF17" cm="1">
        <f t="array" aca="1" ref="BF17" ca="1">IF($C17=0,"",IF(BF$12&lt;&gt;$C$5,NA(),INDEX(auto_DataFlat_Score,INDEX(sys_DataFlat_LU_Grid,$C17,BF$11))))</f>
        <v>50.1</v>
      </c>
      <c r="BG17" cm="1">
        <f t="array" aca="1" ref="BG17" ca="1">IF($C17=0,"",IF(BG$12&lt;&gt;$C$5,NA(),INDEX(auto_DataFlat_Score,INDEX(sys_DataFlat_LU_Grid,$C17,BG$11))))</f>
        <v>53.9</v>
      </c>
      <c r="BH17" cm="1">
        <f t="array" aca="1" ref="BH17" ca="1">IF($C17=0,"",IF(BH$12&lt;&gt;$C$5,NA(),INDEX(auto_DataFlat_Score,INDEX(sys_DataFlat_LU_Grid,$C17,BH$11))))</f>
        <v>83.5</v>
      </c>
      <c r="BI17" cm="1">
        <f t="array" aca="1" ref="BI17" ca="1">IF($C17=0,"",IF(BI$12&lt;&gt;$C$5,NA(),INDEX(auto_DataFlat_Score,INDEX(sys_DataFlat_LU_Grid,$C17,BI$11))))</f>
        <v>80.400000000000006</v>
      </c>
      <c r="BJ17" cm="1">
        <f t="array" aca="1" ref="BJ17" ca="1">IF($C17=0,"",IF(BJ$12&lt;&gt;$C$5,NA(),INDEX(auto_DataFlat_Score,INDEX(sys_DataFlat_LU_Grid,$C17,BJ$11))))</f>
        <v>60.1</v>
      </c>
      <c r="BK17" cm="1">
        <f t="array" aca="1" ref="BK17" ca="1">IF($C17=0,"",IF(BK$12&lt;&gt;$C$5,NA(),INDEX(auto_DataFlat_Score,INDEX(sys_DataFlat_LU_Grid,$C17,BK$11))))</f>
        <v>84.5</v>
      </c>
      <c r="BL17" cm="1">
        <f t="array" aca="1" ref="BL17" ca="1">IF($C17=0,"",IF(BL$12&lt;&gt;$C$5,NA(),INDEX(auto_DataFlat_Score,INDEX(sys_DataFlat_LU_Grid,$C17,BL$11))))</f>
        <v>50.1</v>
      </c>
      <c r="BM17" cm="1">
        <f t="array" aca="1" ref="BM17" ca="1">IF($C17=0,"",IF(BM$12&lt;&gt;$C$5,NA(),INDEX(auto_DataFlat_Score,INDEX(sys_DataFlat_LU_Grid,$C17,BM$11))))</f>
        <v>51.6</v>
      </c>
      <c r="BO17">
        <f t="shared" ca="1" si="3"/>
        <v>19.100000000000001</v>
      </c>
      <c r="BP17">
        <f t="shared" ca="1" si="4"/>
        <v>91.9</v>
      </c>
      <c r="BQ17" cm="1">
        <f t="array" aca="1" ref="BQ17" ca="1">IF(C17=0,0,INDEX(sys_DataFlat_LU_Grid_Groups,$C17,BQ$12))</f>
        <v>2816</v>
      </c>
      <c r="BR17" cm="1">
        <f t="array" aca="1" ref="BR17" ca="1">IF(D17=0,0,INDEX(sys_DataFlat_LU_Grid_Groups,$C17,BR$12))</f>
        <v>2819</v>
      </c>
      <c r="BU17" cm="1">
        <f t="array" aca="1" ref="BU17" ca="1">INDEX(auto_DataFlat_Score,BQ17)</f>
        <v>57.7</v>
      </c>
      <c r="BV17" cm="1">
        <f t="array" aca="1" ref="BV17" ca="1">INDEX(auto_DataFlat_Score,BR17)</f>
        <v>61.7</v>
      </c>
      <c r="BW17">
        <f t="shared" ca="1" si="6"/>
        <v>64.3</v>
      </c>
    </row>
    <row r="18" spans="2:75" x14ac:dyDescent="0.4">
      <c r="B18">
        <v>6</v>
      </c>
      <c r="C18" cm="1">
        <f t="array" aca="1" ref="C18" ca="1">INDEX(OFFSET(auto_ss_TopLevel,0,1,300,1),B18)</f>
        <v>52</v>
      </c>
      <c r="D18" cm="1">
        <f t="array" aca="1" ref="D18" ca="1">IF(C18=0,0,INDEX(sys_DataFlat_LU_Grid_Groups,$C18,$C$9))</f>
        <v>3111</v>
      </c>
      <c r="E18" cm="1">
        <f t="array" aca="1" ref="E18" ca="1">IF(D18=0,"",INDEX(auto_DataFlat_Score,D18))</f>
        <v>68.900000000000006</v>
      </c>
      <c r="G18">
        <f t="shared" ca="1" si="2"/>
        <v>68.900000000000006</v>
      </c>
      <c r="H18" t="e" cm="1">
        <f t="array" ref="H18">IF($C$8=0,NA(),INDEX($P18:$BM18,$C$8))</f>
        <v>#N/A</v>
      </c>
      <c r="I18" cm="1">
        <f t="array" aca="1" ref="I18" ca="1">IF(C18=0,0,INDEX(sys_DataFlat_LU_Grid,$C18,$C$2))</f>
        <v>3061</v>
      </c>
      <c r="J18" t="str" cm="1">
        <f t="array" aca="1" ref="J18" ca="1">IF(C18=0,"",INDEX(auto_Series_NameNoNumber,C18))</f>
        <v>GOVERNANCE</v>
      </c>
      <c r="K18" cm="1">
        <f t="array" aca="1" ref="K18" ca="1">IF(C18=0,"",INDEX(K$94:K$162,$C18))</f>
        <v>67.599999999999994</v>
      </c>
      <c r="L18" t="str" cm="1">
        <f t="array" aca="1" ref="L18" ca="1">IF(C18=0,"",INDEX(L$94:L$162,$C18))</f>
        <v>33</v>
      </c>
      <c r="M18">
        <f t="shared" ca="1" si="5"/>
        <v>-1.2408653084837382E-2</v>
      </c>
      <c r="N18" cm="1">
        <f t="array" aca="1" ref="N18" ca="1">IF(C18=0,"",INDEX($N$94:$N$162,$C18))</f>
        <v>4</v>
      </c>
      <c r="O18" t="e" cm="1">
        <f t="array" aca="1" ref="O18" ca="1">IF(C18=0,"",INDEX(#REF!,$C18))</f>
        <v>#REF!</v>
      </c>
      <c r="P18" cm="1">
        <f t="array" aca="1" ref="P18" ca="1">IF($C18=0,"",IF(P$12&lt;&gt;$C$5,NA(),INDEX(auto_DataFlat_Score,INDEX(sys_DataFlat_LU_Grid,$C18,P$11))))</f>
        <v>67.599999999999994</v>
      </c>
      <c r="Q18" cm="1">
        <f t="array" aca="1" ref="Q18" ca="1">IF($C18=0,"",IF(Q$12&lt;&gt;$C$5,NA(),INDEX(auto_DataFlat_Score,INDEX(sys_DataFlat_LU_Grid,$C18,Q$11))))</f>
        <v>38</v>
      </c>
      <c r="R18" cm="1">
        <f t="array" aca="1" ref="R18" ca="1">IF($C18=0,"",IF(R$12&lt;&gt;$C$5,NA(),INDEX(auto_DataFlat_Score,INDEX(sys_DataFlat_LU_Grid,$C18,R$11))))</f>
        <v>68.5</v>
      </c>
      <c r="S18" cm="1">
        <f t="array" aca="1" ref="S18" ca="1">IF($C18=0,"",IF(S$12&lt;&gt;$C$5,NA(),INDEX(auto_DataFlat_Score,INDEX(sys_DataFlat_LU_Grid,$C18,S$11))))</f>
        <v>75.900000000000006</v>
      </c>
      <c r="T18" cm="1">
        <f t="array" aca="1" ref="T18" ca="1">IF($C18=0,"",IF(T$12&lt;&gt;$C$5,NA(),INDEX(auto_DataFlat_Score,INDEX(sys_DataFlat_LU_Grid,$C18,T$11))))</f>
        <v>75.900000000000006</v>
      </c>
      <c r="U18" cm="1">
        <f t="array" aca="1" ref="U18" ca="1">IF($C18=0,"",IF(U$12&lt;&gt;$C$5,NA(),INDEX(auto_DataFlat_Score,INDEX(sys_DataFlat_LU_Grid,$C18,U$11))))</f>
        <v>74.099999999999994</v>
      </c>
      <c r="V18" cm="1">
        <f t="array" aca="1" ref="V18" ca="1">IF($C18=0,"",IF(V$12&lt;&gt;$C$5,NA(),INDEX(auto_DataFlat_Score,INDEX(sys_DataFlat_LU_Grid,$C18,V$11))))</f>
        <v>80.599999999999994</v>
      </c>
      <c r="W18" cm="1">
        <f t="array" aca="1" ref="W18" ca="1">IF($C18=0,"",IF(W$12&lt;&gt;$C$5,NA(),INDEX(auto_DataFlat_Score,INDEX(sys_DataFlat_LU_Grid,$C18,W$11))))</f>
        <v>78.7</v>
      </c>
      <c r="X18" cm="1">
        <f t="array" aca="1" ref="X18" ca="1">IF($C18=0,"",IF(X$12&lt;&gt;$C$5,NA(),INDEX(auto_DataFlat_Score,INDEX(sys_DataFlat_LU_Grid,$C18,X$11))))</f>
        <v>66.7</v>
      </c>
      <c r="Y18" cm="1">
        <f t="array" aca="1" ref="Y18" ca="1">IF($C18=0,"",IF(Y$12&lt;&gt;$C$5,NA(),INDEX(auto_DataFlat_Score,INDEX(sys_DataFlat_LU_Grid,$C18,Y$11))))</f>
        <v>53.7</v>
      </c>
      <c r="Z18" cm="1">
        <f t="array" aca="1" ref="Z18" ca="1">IF($C18=0,"",IF(Z$12&lt;&gt;$C$5,NA(),INDEX(auto_DataFlat_Score,INDEX(sys_DataFlat_LU_Grid,$C18,Z$11))))</f>
        <v>55.6</v>
      </c>
      <c r="AA18" cm="1">
        <f t="array" aca="1" ref="AA18" ca="1">IF($C18=0,"",IF(AA$12&lt;&gt;$C$5,NA(),INDEX(auto_DataFlat_Score,INDEX(sys_DataFlat_LU_Grid,$C18,AA$11))))</f>
        <v>77.8</v>
      </c>
      <c r="AB18" cm="1">
        <f t="array" aca="1" ref="AB18" ca="1">IF($C18=0,"",IF(AB$12&lt;&gt;$C$5,NA(),INDEX(auto_DataFlat_Score,INDEX(sys_DataFlat_LU_Grid,$C18,AB$11))))</f>
        <v>46.3</v>
      </c>
      <c r="AC18" cm="1">
        <f t="array" aca="1" ref="AC18" ca="1">IF($C18=0,"",IF(AC$12&lt;&gt;$C$5,NA(),INDEX(auto_DataFlat_Score,INDEX(sys_DataFlat_LU_Grid,$C18,AC$11))))</f>
        <v>81.5</v>
      </c>
      <c r="AD18" cm="1">
        <f t="array" aca="1" ref="AD18" ca="1">IF($C18=0,"",IF(AD$12&lt;&gt;$C$5,NA(),INDEX(auto_DataFlat_Score,INDEX(sys_DataFlat_LU_Grid,$C18,AD$11))))</f>
        <v>74.099999999999994</v>
      </c>
      <c r="AE18" cm="1">
        <f t="array" aca="1" ref="AE18" ca="1">IF($C18=0,"",IF(AE$12&lt;&gt;$C$5,NA(),INDEX(auto_DataFlat_Score,INDEX(sys_DataFlat_LU_Grid,$C18,AE$11))))</f>
        <v>80.599999999999994</v>
      </c>
      <c r="AF18" cm="1">
        <f t="array" aca="1" ref="AF18" ca="1">IF($C18=0,"",IF(AF$12&lt;&gt;$C$5,NA(),INDEX(auto_DataFlat_Score,INDEX(sys_DataFlat_LU_Grid,$C18,AF$11))))</f>
        <v>90.7</v>
      </c>
      <c r="AG18" cm="1">
        <f t="array" aca="1" ref="AG18" ca="1">IF($C18=0,"",IF(AG$12&lt;&gt;$C$5,NA(),INDEX(auto_DataFlat_Score,INDEX(sys_DataFlat_LU_Grid,$C18,AG$11))))</f>
        <v>53.7</v>
      </c>
      <c r="AH18" cm="1">
        <f t="array" aca="1" ref="AH18" ca="1">IF($C18=0,"",IF(AH$12&lt;&gt;$C$5,NA(),INDEX(auto_DataFlat_Score,INDEX(sys_DataFlat_LU_Grid,$C18,AH$11))))</f>
        <v>83.3</v>
      </c>
      <c r="AI18" cm="1">
        <f t="array" aca="1" ref="AI18" ca="1">IF($C18=0,"",IF(AI$12&lt;&gt;$C$5,NA(),INDEX(auto_DataFlat_Score,INDEX(sys_DataFlat_LU_Grid,$C18,AI$11))))</f>
        <v>53.7</v>
      </c>
      <c r="AJ18" cm="1">
        <f t="array" aca="1" ref="AJ18" ca="1">IF($C18=0,"",IF(AJ$12&lt;&gt;$C$5,NA(),INDEX(auto_DataFlat_Score,INDEX(sys_DataFlat_LU_Grid,$C18,AJ$11))))</f>
        <v>55.6</v>
      </c>
      <c r="AK18" cm="1">
        <f t="array" aca="1" ref="AK18" ca="1">IF($C18=0,"",IF(AK$12&lt;&gt;$C$5,NA(),INDEX(auto_DataFlat_Score,INDEX(sys_DataFlat_LU_Grid,$C18,AK$11))))</f>
        <v>37</v>
      </c>
      <c r="AL18" cm="1">
        <f t="array" aca="1" ref="AL18" ca="1">IF($C18=0,"",IF(AL$12&lt;&gt;$C$5,NA(),INDEX(auto_DataFlat_Score,INDEX(sys_DataFlat_LU_Grid,$C18,AL$11))))</f>
        <v>75.900000000000006</v>
      </c>
      <c r="AM18" cm="1">
        <f t="array" aca="1" ref="AM18" ca="1">IF($C18=0,"",IF(AM$12&lt;&gt;$C$5,NA(),INDEX(auto_DataFlat_Score,INDEX(sys_DataFlat_LU_Grid,$C18,AM$11))))</f>
        <v>50</v>
      </c>
      <c r="AN18" cm="1">
        <f t="array" aca="1" ref="AN18" ca="1">IF($C18=0,"",IF(AN$12&lt;&gt;$C$5,NA(),INDEX(auto_DataFlat_Score,INDEX(sys_DataFlat_LU_Grid,$C18,AN$11))))</f>
        <v>61.1</v>
      </c>
      <c r="AO18" cm="1">
        <f t="array" aca="1" ref="AO18" ca="1">IF($C18=0,"",IF(AO$12&lt;&gt;$C$5,NA(),INDEX(auto_DataFlat_Score,INDEX(sys_DataFlat_LU_Grid,$C18,AO$11))))</f>
        <v>96.3</v>
      </c>
      <c r="AP18" cm="1">
        <f t="array" aca="1" ref="AP18" ca="1">IF($C18=0,"",IF(AP$12&lt;&gt;$C$5,NA(),INDEX(auto_DataFlat_Score,INDEX(sys_DataFlat_LU_Grid,$C18,AP$11))))</f>
        <v>81.5</v>
      </c>
      <c r="AQ18" cm="1">
        <f t="array" aca="1" ref="AQ18" ca="1">IF($C18=0,"",IF(AQ$12&lt;&gt;$C$5,NA(),INDEX(auto_DataFlat_Score,INDEX(sys_DataFlat_LU_Grid,$C18,AQ$11))))</f>
        <v>50.9</v>
      </c>
      <c r="AR18" cm="1">
        <f t="array" aca="1" ref="AR18" ca="1">IF($C18=0,"",IF(AR$12&lt;&gt;$C$5,NA(),INDEX(auto_DataFlat_Score,INDEX(sys_DataFlat_LU_Grid,$C18,AR$11))))</f>
        <v>73.099999999999994</v>
      </c>
      <c r="AS18" cm="1">
        <f t="array" aca="1" ref="AS18" ca="1">IF($C18=0,"",IF(AS$12&lt;&gt;$C$5,NA(),INDEX(auto_DataFlat_Score,INDEX(sys_DataFlat_LU_Grid,$C18,AS$11))))</f>
        <v>63.9</v>
      </c>
      <c r="AT18" cm="1">
        <f t="array" aca="1" ref="AT18" ca="1">IF($C18=0,"",IF(AT$12&lt;&gt;$C$5,NA(),INDEX(auto_DataFlat_Score,INDEX(sys_DataFlat_LU_Grid,$C18,AT$11))))</f>
        <v>74.099999999999994</v>
      </c>
      <c r="AU18" cm="1">
        <f t="array" aca="1" ref="AU18" ca="1">IF($C18=0,"",IF(AU$12&lt;&gt;$C$5,NA(),INDEX(auto_DataFlat_Score,INDEX(sys_DataFlat_LU_Grid,$C18,AU$11))))</f>
        <v>79.599999999999994</v>
      </c>
      <c r="AV18" cm="1">
        <f t="array" aca="1" ref="AV18" ca="1">IF($C18=0,"",IF(AV$12&lt;&gt;$C$5,NA(),INDEX(auto_DataFlat_Score,INDEX(sys_DataFlat_LU_Grid,$C18,AV$11))))</f>
        <v>79.599999999999994</v>
      </c>
      <c r="AW18" cm="1">
        <f t="array" aca="1" ref="AW18" ca="1">IF($C18=0,"",IF(AW$12&lt;&gt;$C$5,NA(),INDEX(auto_DataFlat_Score,INDEX(sys_DataFlat_LU_Grid,$C18,AW$11))))</f>
        <v>87</v>
      </c>
      <c r="AX18" cm="1">
        <f t="array" aca="1" ref="AX18" ca="1">IF($C18=0,"",IF(AX$12&lt;&gt;$C$5,NA(),INDEX(auto_DataFlat_Score,INDEX(sys_DataFlat_LU_Grid,$C18,AX$11))))</f>
        <v>68.5</v>
      </c>
      <c r="AY18" cm="1">
        <f t="array" aca="1" ref="AY18" ca="1">IF($C18=0,"",IF(AY$12&lt;&gt;$C$5,NA(),INDEX(auto_DataFlat_Score,INDEX(sys_DataFlat_LU_Grid,$C18,AY$11))))</f>
        <v>69.400000000000006</v>
      </c>
      <c r="AZ18" cm="1">
        <f t="array" aca="1" ref="AZ18" ca="1">IF($C18=0,"",IF(AZ$12&lt;&gt;$C$5,NA(),INDEX(auto_DataFlat_Score,INDEX(sys_DataFlat_LU_Grid,$C18,AZ$11))))</f>
        <v>50.9</v>
      </c>
      <c r="BA18" cm="1">
        <f t="array" aca="1" ref="BA18" ca="1">IF($C18=0,"",IF(BA$12&lt;&gt;$C$5,NA(),INDEX(auto_DataFlat_Score,INDEX(sys_DataFlat_LU_Grid,$C18,BA$11))))</f>
        <v>56.5</v>
      </c>
      <c r="BB18" cm="1">
        <f t="array" aca="1" ref="BB18" ca="1">IF($C18=0,"",IF(BB$12&lt;&gt;$C$5,NA(),INDEX(auto_DataFlat_Score,INDEX(sys_DataFlat_LU_Grid,$C18,BB$11))))</f>
        <v>66.7</v>
      </c>
      <c r="BC18" cm="1">
        <f t="array" aca="1" ref="BC18" ca="1">IF($C18=0,"",IF(BC$12&lt;&gt;$C$5,NA(),INDEX(auto_DataFlat_Score,INDEX(sys_DataFlat_LU_Grid,$C18,BC$11))))</f>
        <v>79.599999999999994</v>
      </c>
      <c r="BD18" cm="1">
        <f t="array" aca="1" ref="BD18" ca="1">IF($C18=0,"",IF(BD$12&lt;&gt;$C$5,NA(),INDEX(auto_DataFlat_Score,INDEX(sys_DataFlat_LU_Grid,$C18,BD$11))))</f>
        <v>72.2</v>
      </c>
      <c r="BE18" cm="1">
        <f t="array" aca="1" ref="BE18" ca="1">IF($C18=0,"",IF(BE$12&lt;&gt;$C$5,NA(),INDEX(auto_DataFlat_Score,INDEX(sys_DataFlat_LU_Grid,$C18,BE$11))))</f>
        <v>75.900000000000006</v>
      </c>
      <c r="BF18" cm="1">
        <f t="array" aca="1" ref="BF18" ca="1">IF($C18=0,"",IF(BF$12&lt;&gt;$C$5,NA(),INDEX(auto_DataFlat_Score,INDEX(sys_DataFlat_LU_Grid,$C18,BF$11))))</f>
        <v>77.8</v>
      </c>
      <c r="BG18" cm="1">
        <f t="array" aca="1" ref="BG18" ca="1">IF($C18=0,"",IF(BG$12&lt;&gt;$C$5,NA(),INDEX(auto_DataFlat_Score,INDEX(sys_DataFlat_LU_Grid,$C18,BG$11))))</f>
        <v>75.900000000000006</v>
      </c>
      <c r="BH18" cm="1">
        <f t="array" aca="1" ref="BH18" ca="1">IF($C18=0,"",IF(BH$12&lt;&gt;$C$5,NA(),INDEX(auto_DataFlat_Score,INDEX(sys_DataFlat_LU_Grid,$C18,BH$11))))</f>
        <v>69.400000000000006</v>
      </c>
      <c r="BI18" cm="1">
        <f t="array" aca="1" ref="BI18" ca="1">IF($C18=0,"",IF(BI$12&lt;&gt;$C$5,NA(),INDEX(auto_DataFlat_Score,INDEX(sys_DataFlat_LU_Grid,$C18,BI$11))))</f>
        <v>74.099999999999994</v>
      </c>
      <c r="BJ18" cm="1">
        <f t="array" aca="1" ref="BJ18" ca="1">IF($C18=0,"",IF(BJ$12&lt;&gt;$C$5,NA(),INDEX(auto_DataFlat_Score,INDEX(sys_DataFlat_LU_Grid,$C18,BJ$11))))</f>
        <v>85.2</v>
      </c>
      <c r="BK18" cm="1">
        <f t="array" aca="1" ref="BK18" ca="1">IF($C18=0,"",IF(BK$12&lt;&gt;$C$5,NA(),INDEX(auto_DataFlat_Score,INDEX(sys_DataFlat_LU_Grid,$C18,BK$11))))</f>
        <v>70.400000000000006</v>
      </c>
      <c r="BL18" cm="1">
        <f t="array" aca="1" ref="BL18" ca="1">IF($C18=0,"",IF(BL$12&lt;&gt;$C$5,NA(),INDEX(auto_DataFlat_Score,INDEX(sys_DataFlat_LU_Grid,$C18,BL$11))))</f>
        <v>68.5</v>
      </c>
      <c r="BM18" cm="1">
        <f t="array" aca="1" ref="BM18" ca="1">IF($C18=0,"",IF(BM$12&lt;&gt;$C$5,NA(),INDEX(auto_DataFlat_Score,INDEX(sys_DataFlat_LU_Grid,$C18,BM$11))))</f>
        <v>40.700000000000003</v>
      </c>
      <c r="BO18">
        <f t="shared" ca="1" si="3"/>
        <v>37</v>
      </c>
      <c r="BP18">
        <f t="shared" ca="1" si="4"/>
        <v>96.3</v>
      </c>
      <c r="BQ18" cm="1">
        <f t="array" aca="1" ref="BQ18" ca="1">IF(C18=0,0,INDEX(sys_DataFlat_LU_Grid_Groups,$C18,BQ$12))</f>
        <v>3116</v>
      </c>
      <c r="BR18" cm="1">
        <f t="array" aca="1" ref="BR18" ca="1">IF(D18=0,0,INDEX(sys_DataFlat_LU_Grid_Groups,$C18,BR$12))</f>
        <v>3119</v>
      </c>
      <c r="BU18" cm="1">
        <f t="array" aca="1" ref="BU18" ca="1">INDEX(auto_DataFlat_Score,BQ18)</f>
        <v>62.8</v>
      </c>
      <c r="BV18" cm="1">
        <f t="array" aca="1" ref="BV18" ca="1">INDEX(auto_DataFlat_Score,BR18)</f>
        <v>70.5</v>
      </c>
      <c r="BW18">
        <f t="shared" ref="BW18" ca="1" si="7">G18</f>
        <v>68.900000000000006</v>
      </c>
    </row>
    <row r="19" spans="2:75" x14ac:dyDescent="0.4">
      <c r="B19">
        <v>7</v>
      </c>
      <c r="C19" cm="1">
        <f t="array" aca="1" ref="C19" ca="1">INDEX(OFFSET(auto_ss_TopLevel,0,1,300,1),B19)</f>
        <v>0</v>
      </c>
      <c r="D19" cm="1">
        <f t="array" aca="1" ref="D19" ca="1">IF(C19=0,0,INDEX(sys_DataFlat_LU_Grid_Groups,$C19,$C$9))</f>
        <v>0</v>
      </c>
      <c r="E19" t="str" cm="1">
        <f t="array" aca="1" ref="E19" ca="1">IF(D19=0,"",INDEX(auto_DataFlat_Score,D19))</f>
        <v/>
      </c>
      <c r="G19" t="e">
        <f t="shared" ca="1" si="2"/>
        <v>#DIV/0!</v>
      </c>
      <c r="H19" t="e" cm="1">
        <f t="array" ref="H19">IF($C$8=0,NA(),INDEX($P19:$BM19,$C$8))</f>
        <v>#N/A</v>
      </c>
      <c r="I19" cm="1">
        <f t="array" aca="1" ref="I19" ca="1">IF(C19=0,0,INDEX(sys_DataFlat_LU_Grid,$C19,$C$2))</f>
        <v>0</v>
      </c>
      <c r="J19" t="str" cm="1">
        <f t="array" aca="1" ref="J19" ca="1">IF(C19=0,"",INDEX(auto_Series_NameNoNumber,C19))</f>
        <v/>
      </c>
      <c r="K19" t="str" cm="1">
        <f t="array" aca="1" ref="K19" ca="1">IF(C19=0,"",INDEX(K$94:K$162,$C19))</f>
        <v/>
      </c>
      <c r="L19" t="str" cm="1">
        <f t="array" aca="1" ref="L19" ca="1">IF(C19=0,"",INDEX(L$94:L$162,$C19))</f>
        <v/>
      </c>
      <c r="M19" t="str">
        <f t="shared" ca="1" si="5"/>
        <v/>
      </c>
      <c r="N19" t="str" cm="1">
        <f t="array" aca="1" ref="N19" ca="1">IF(C19=0,"",INDEX($N$94:$N$162,$C19))</f>
        <v/>
      </c>
      <c r="O19" t="str" cm="1">
        <f t="array" aca="1" ref="O19" ca="1">IF(C19=0,"",INDEX(#REF!,$C19))</f>
        <v/>
      </c>
      <c r="P19" t="str" cm="1">
        <f t="array" aca="1" ref="P19" ca="1">IF($C19=0,"",IF(P$12&lt;&gt;$C$5,NA(),INDEX(auto_DataFlat_Score,INDEX(sys_DataFlat_LU_Grid,$C19,P$11))))</f>
        <v/>
      </c>
      <c r="Q19" t="str" cm="1">
        <f t="array" aca="1" ref="Q19" ca="1">IF($C19=0,"",IF(Q$12&lt;&gt;$C$5,NA(),INDEX(auto_DataFlat_Score,INDEX(sys_DataFlat_LU_Grid,$C19,Q$11))))</f>
        <v/>
      </c>
      <c r="R19" t="str" cm="1">
        <f t="array" aca="1" ref="R19" ca="1">IF($C19=0,"",IF(R$12&lt;&gt;$C$5,NA(),INDEX(auto_DataFlat_Score,INDEX(sys_DataFlat_LU_Grid,$C19,R$11))))</f>
        <v/>
      </c>
      <c r="S19" t="str" cm="1">
        <f t="array" aca="1" ref="S19" ca="1">IF($C19=0,"",IF(S$12&lt;&gt;$C$5,NA(),INDEX(auto_DataFlat_Score,INDEX(sys_DataFlat_LU_Grid,$C19,S$11))))</f>
        <v/>
      </c>
      <c r="T19" t="str" cm="1">
        <f t="array" aca="1" ref="T19" ca="1">IF($C19=0,"",IF(T$12&lt;&gt;$C$5,NA(),INDEX(auto_DataFlat_Score,INDEX(sys_DataFlat_LU_Grid,$C19,T$11))))</f>
        <v/>
      </c>
      <c r="U19" t="str" cm="1">
        <f t="array" aca="1" ref="U19" ca="1">IF($C19=0,"",IF(U$12&lt;&gt;$C$5,NA(),INDEX(auto_DataFlat_Score,INDEX(sys_DataFlat_LU_Grid,$C19,U$11))))</f>
        <v/>
      </c>
      <c r="V19" t="str" cm="1">
        <f t="array" aca="1" ref="V19" ca="1">IF($C19=0,"",IF(V$12&lt;&gt;$C$5,NA(),INDEX(auto_DataFlat_Score,INDEX(sys_DataFlat_LU_Grid,$C19,V$11))))</f>
        <v/>
      </c>
      <c r="W19" t="str" cm="1">
        <f t="array" aca="1" ref="W19" ca="1">IF($C19=0,"",IF(W$12&lt;&gt;$C$5,NA(),INDEX(auto_DataFlat_Score,INDEX(sys_DataFlat_LU_Grid,$C19,W$11))))</f>
        <v/>
      </c>
      <c r="X19" t="str" cm="1">
        <f t="array" aca="1" ref="X19" ca="1">IF($C19=0,"",IF(X$12&lt;&gt;$C$5,NA(),INDEX(auto_DataFlat_Score,INDEX(sys_DataFlat_LU_Grid,$C19,X$11))))</f>
        <v/>
      </c>
      <c r="Y19" t="str" cm="1">
        <f t="array" aca="1" ref="Y19" ca="1">IF($C19=0,"",IF(Y$12&lt;&gt;$C$5,NA(),INDEX(auto_DataFlat_Score,INDEX(sys_DataFlat_LU_Grid,$C19,Y$11))))</f>
        <v/>
      </c>
      <c r="Z19" t="str" cm="1">
        <f t="array" aca="1" ref="Z19" ca="1">IF($C19=0,"",IF(Z$12&lt;&gt;$C$5,NA(),INDEX(auto_DataFlat_Score,INDEX(sys_DataFlat_LU_Grid,$C19,Z$11))))</f>
        <v/>
      </c>
      <c r="AA19" t="str" cm="1">
        <f t="array" aca="1" ref="AA19" ca="1">IF($C19=0,"",IF(AA$12&lt;&gt;$C$5,NA(),INDEX(auto_DataFlat_Score,INDEX(sys_DataFlat_LU_Grid,$C19,AA$11))))</f>
        <v/>
      </c>
      <c r="AB19" t="str" cm="1">
        <f t="array" aca="1" ref="AB19" ca="1">IF($C19=0,"",IF(AB$12&lt;&gt;$C$5,NA(),INDEX(auto_DataFlat_Score,INDEX(sys_DataFlat_LU_Grid,$C19,AB$11))))</f>
        <v/>
      </c>
      <c r="AC19" t="str" cm="1">
        <f t="array" aca="1" ref="AC19" ca="1">IF($C19=0,"",IF(AC$12&lt;&gt;$C$5,NA(),INDEX(auto_DataFlat_Score,INDEX(sys_DataFlat_LU_Grid,$C19,AC$11))))</f>
        <v/>
      </c>
      <c r="AD19" t="str" cm="1">
        <f t="array" aca="1" ref="AD19" ca="1">IF($C19=0,"",IF(AD$12&lt;&gt;$C$5,NA(),INDEX(auto_DataFlat_Score,INDEX(sys_DataFlat_LU_Grid,$C19,AD$11))))</f>
        <v/>
      </c>
      <c r="AE19" t="str" cm="1">
        <f t="array" aca="1" ref="AE19" ca="1">IF($C19=0,"",IF(AE$12&lt;&gt;$C$5,NA(),INDEX(auto_DataFlat_Score,INDEX(sys_DataFlat_LU_Grid,$C19,AE$11))))</f>
        <v/>
      </c>
      <c r="AF19" t="str" cm="1">
        <f t="array" aca="1" ref="AF19" ca="1">IF($C19=0,"",IF(AF$12&lt;&gt;$C$5,NA(),INDEX(auto_DataFlat_Score,INDEX(sys_DataFlat_LU_Grid,$C19,AF$11))))</f>
        <v/>
      </c>
      <c r="AG19" t="str" cm="1">
        <f t="array" aca="1" ref="AG19" ca="1">IF($C19=0,"",IF(AG$12&lt;&gt;$C$5,NA(),INDEX(auto_DataFlat_Score,INDEX(sys_DataFlat_LU_Grid,$C19,AG$11))))</f>
        <v/>
      </c>
      <c r="AH19" t="str" cm="1">
        <f t="array" aca="1" ref="AH19" ca="1">IF($C19=0,"",IF(AH$12&lt;&gt;$C$5,NA(),INDEX(auto_DataFlat_Score,INDEX(sys_DataFlat_LU_Grid,$C19,AH$11))))</f>
        <v/>
      </c>
      <c r="AI19" t="str" cm="1">
        <f t="array" aca="1" ref="AI19" ca="1">IF($C19=0,"",IF(AI$12&lt;&gt;$C$5,NA(),INDEX(auto_DataFlat_Score,INDEX(sys_DataFlat_LU_Grid,$C19,AI$11))))</f>
        <v/>
      </c>
      <c r="AJ19" t="str" cm="1">
        <f t="array" aca="1" ref="AJ19" ca="1">IF($C19=0,"",IF(AJ$12&lt;&gt;$C$5,NA(),INDEX(auto_DataFlat_Score,INDEX(sys_DataFlat_LU_Grid,$C19,AJ$11))))</f>
        <v/>
      </c>
      <c r="AK19" t="str" cm="1">
        <f t="array" aca="1" ref="AK19" ca="1">IF($C19=0,"",IF(AK$12&lt;&gt;$C$5,NA(),INDEX(auto_DataFlat_Score,INDEX(sys_DataFlat_LU_Grid,$C19,AK$11))))</f>
        <v/>
      </c>
      <c r="AL19" t="str" cm="1">
        <f t="array" aca="1" ref="AL19" ca="1">IF($C19=0,"",IF(AL$12&lt;&gt;$C$5,NA(),INDEX(auto_DataFlat_Score,INDEX(sys_DataFlat_LU_Grid,$C19,AL$11))))</f>
        <v/>
      </c>
      <c r="AM19" t="str" cm="1">
        <f t="array" aca="1" ref="AM19" ca="1">IF($C19=0,"",IF(AM$12&lt;&gt;$C$5,NA(),INDEX(auto_DataFlat_Score,INDEX(sys_DataFlat_LU_Grid,$C19,AM$11))))</f>
        <v/>
      </c>
      <c r="AN19" t="str" cm="1">
        <f t="array" aca="1" ref="AN19" ca="1">IF($C19=0,"",IF(AN$12&lt;&gt;$C$5,NA(),INDEX(auto_DataFlat_Score,INDEX(sys_DataFlat_LU_Grid,$C19,AN$11))))</f>
        <v/>
      </c>
      <c r="AO19" t="str" cm="1">
        <f t="array" aca="1" ref="AO19" ca="1">IF($C19=0,"",IF(AO$12&lt;&gt;$C$5,NA(),INDEX(auto_DataFlat_Score,INDEX(sys_DataFlat_LU_Grid,$C19,AO$11))))</f>
        <v/>
      </c>
      <c r="AP19" t="str" cm="1">
        <f t="array" aca="1" ref="AP19" ca="1">IF($C19=0,"",IF(AP$12&lt;&gt;$C$5,NA(),INDEX(auto_DataFlat_Score,INDEX(sys_DataFlat_LU_Grid,$C19,AP$11))))</f>
        <v/>
      </c>
      <c r="AQ19" t="str" cm="1">
        <f t="array" aca="1" ref="AQ19" ca="1">IF($C19=0,"",IF(AQ$12&lt;&gt;$C$5,NA(),INDEX(auto_DataFlat_Score,INDEX(sys_DataFlat_LU_Grid,$C19,AQ$11))))</f>
        <v/>
      </c>
      <c r="AR19" t="str" cm="1">
        <f t="array" aca="1" ref="AR19" ca="1">IF($C19=0,"",IF(AR$12&lt;&gt;$C$5,NA(),INDEX(auto_DataFlat_Score,INDEX(sys_DataFlat_LU_Grid,$C19,AR$11))))</f>
        <v/>
      </c>
      <c r="AS19" t="str" cm="1">
        <f t="array" aca="1" ref="AS19" ca="1">IF($C19=0,"",IF(AS$12&lt;&gt;$C$5,NA(),INDEX(auto_DataFlat_Score,INDEX(sys_DataFlat_LU_Grid,$C19,AS$11))))</f>
        <v/>
      </c>
      <c r="AT19" t="str" cm="1">
        <f t="array" aca="1" ref="AT19" ca="1">IF($C19=0,"",IF(AT$12&lt;&gt;$C$5,NA(),INDEX(auto_DataFlat_Score,INDEX(sys_DataFlat_LU_Grid,$C19,AT$11))))</f>
        <v/>
      </c>
      <c r="AU19" t="str" cm="1">
        <f t="array" aca="1" ref="AU19" ca="1">IF($C19=0,"",IF(AU$12&lt;&gt;$C$5,NA(),INDEX(auto_DataFlat_Score,INDEX(sys_DataFlat_LU_Grid,$C19,AU$11))))</f>
        <v/>
      </c>
      <c r="AV19" t="str" cm="1">
        <f t="array" aca="1" ref="AV19" ca="1">IF($C19=0,"",IF(AV$12&lt;&gt;$C$5,NA(),INDEX(auto_DataFlat_Score,INDEX(sys_DataFlat_LU_Grid,$C19,AV$11))))</f>
        <v/>
      </c>
      <c r="AW19" t="str" cm="1">
        <f t="array" aca="1" ref="AW19" ca="1">IF($C19=0,"",IF(AW$12&lt;&gt;$C$5,NA(),INDEX(auto_DataFlat_Score,INDEX(sys_DataFlat_LU_Grid,$C19,AW$11))))</f>
        <v/>
      </c>
      <c r="AX19" t="str" cm="1">
        <f t="array" aca="1" ref="AX19" ca="1">IF($C19=0,"",IF(AX$12&lt;&gt;$C$5,NA(),INDEX(auto_DataFlat_Score,INDEX(sys_DataFlat_LU_Grid,$C19,AX$11))))</f>
        <v/>
      </c>
      <c r="AY19" t="str" cm="1">
        <f t="array" aca="1" ref="AY19" ca="1">IF($C19=0,"",IF(AY$12&lt;&gt;$C$5,NA(),INDEX(auto_DataFlat_Score,INDEX(sys_DataFlat_LU_Grid,$C19,AY$11))))</f>
        <v/>
      </c>
      <c r="AZ19" t="str" cm="1">
        <f t="array" aca="1" ref="AZ19" ca="1">IF($C19=0,"",IF(AZ$12&lt;&gt;$C$5,NA(),INDEX(auto_DataFlat_Score,INDEX(sys_DataFlat_LU_Grid,$C19,AZ$11))))</f>
        <v/>
      </c>
      <c r="BA19" t="str" cm="1">
        <f t="array" aca="1" ref="BA19" ca="1">IF($C19=0,"",IF(BA$12&lt;&gt;$C$5,NA(),INDEX(auto_DataFlat_Score,INDEX(sys_DataFlat_LU_Grid,$C19,BA$11))))</f>
        <v/>
      </c>
      <c r="BB19" t="str" cm="1">
        <f t="array" aca="1" ref="BB19" ca="1">IF($C19=0,"",IF(BB$12&lt;&gt;$C$5,NA(),INDEX(auto_DataFlat_Score,INDEX(sys_DataFlat_LU_Grid,$C19,BB$11))))</f>
        <v/>
      </c>
      <c r="BC19" t="str" cm="1">
        <f t="array" aca="1" ref="BC19" ca="1">IF($C19=0,"",IF(BC$12&lt;&gt;$C$5,NA(),INDEX(auto_DataFlat_Score,INDEX(sys_DataFlat_LU_Grid,$C19,BC$11))))</f>
        <v/>
      </c>
      <c r="BD19" t="str" cm="1">
        <f t="array" aca="1" ref="BD19" ca="1">IF($C19=0,"",IF(BD$12&lt;&gt;$C$5,NA(),INDEX(auto_DataFlat_Score,INDEX(sys_DataFlat_LU_Grid,$C19,BD$11))))</f>
        <v/>
      </c>
      <c r="BE19" t="str" cm="1">
        <f t="array" aca="1" ref="BE19" ca="1">IF($C19=0,"",IF(BE$12&lt;&gt;$C$5,NA(),INDEX(auto_DataFlat_Score,INDEX(sys_DataFlat_LU_Grid,$C19,BE$11))))</f>
        <v/>
      </c>
      <c r="BF19" t="str" cm="1">
        <f t="array" aca="1" ref="BF19" ca="1">IF($C19=0,"",IF(BF$12&lt;&gt;$C$5,NA(),INDEX(auto_DataFlat_Score,INDEX(sys_DataFlat_LU_Grid,$C19,BF$11))))</f>
        <v/>
      </c>
      <c r="BG19" t="str" cm="1">
        <f t="array" aca="1" ref="BG19" ca="1">IF($C19=0,"",IF(BG$12&lt;&gt;$C$5,NA(),INDEX(auto_DataFlat_Score,INDEX(sys_DataFlat_LU_Grid,$C19,BG$11))))</f>
        <v/>
      </c>
      <c r="BH19" t="str" cm="1">
        <f t="array" aca="1" ref="BH19" ca="1">IF($C19=0,"",IF(BH$12&lt;&gt;$C$5,NA(),INDEX(auto_DataFlat_Score,INDEX(sys_DataFlat_LU_Grid,$C19,BH$11))))</f>
        <v/>
      </c>
      <c r="BI19" t="str" cm="1">
        <f t="array" aca="1" ref="BI19" ca="1">IF($C19=0,"",IF(BI$12&lt;&gt;$C$5,NA(),INDEX(auto_DataFlat_Score,INDEX(sys_DataFlat_LU_Grid,$C19,BI$11))))</f>
        <v/>
      </c>
      <c r="BJ19" t="str" cm="1">
        <f t="array" aca="1" ref="BJ19" ca="1">IF($C19=0,"",IF(BJ$12&lt;&gt;$C$5,NA(),INDEX(auto_DataFlat_Score,INDEX(sys_DataFlat_LU_Grid,$C19,BJ$11))))</f>
        <v/>
      </c>
      <c r="BK19" t="str" cm="1">
        <f t="array" aca="1" ref="BK19" ca="1">IF($C19=0,"",IF(BK$12&lt;&gt;$C$5,NA(),INDEX(auto_DataFlat_Score,INDEX(sys_DataFlat_LU_Grid,$C19,BK$11))))</f>
        <v/>
      </c>
      <c r="BL19" t="str" cm="1">
        <f t="array" aca="1" ref="BL19" ca="1">IF($C19=0,"",IF(BL$12&lt;&gt;$C$5,NA(),INDEX(auto_DataFlat_Score,INDEX(sys_DataFlat_LU_Grid,$C19,BL$11))))</f>
        <v/>
      </c>
      <c r="BM19" t="str" cm="1">
        <f t="array" aca="1" ref="BM19" ca="1">IF($C19=0,"",IF(BM$12&lt;&gt;$C$5,NA(),INDEX(auto_DataFlat_Score,INDEX(sys_DataFlat_LU_Grid,$C19,BM$11))))</f>
        <v/>
      </c>
      <c r="BO19">
        <f t="shared" ca="1" si="3"/>
        <v>0</v>
      </c>
      <c r="BP19">
        <f t="shared" ca="1" si="4"/>
        <v>0</v>
      </c>
    </row>
    <row r="20" spans="2:75" x14ac:dyDescent="0.4">
      <c r="B20">
        <v>8</v>
      </c>
      <c r="C20" cm="1">
        <f t="array" aca="1" ref="C20" ca="1">INDEX(OFFSET(auto_ss_TopLevel,0,1,300,1),B20)</f>
        <v>0</v>
      </c>
      <c r="D20" cm="1">
        <f t="array" aca="1" ref="D20" ca="1">IF(C20=0,0,INDEX(sys_DataFlat_LU_Grid_Groups,$C20,$C$9))</f>
        <v>0</v>
      </c>
      <c r="E20" t="str" cm="1">
        <f t="array" aca="1" ref="E20" ca="1">IF(D20=0,"",INDEX(auto_DataFlat_Score,D20))</f>
        <v/>
      </c>
      <c r="G20" t="e">
        <f t="shared" ca="1" si="2"/>
        <v>#DIV/0!</v>
      </c>
      <c r="H20" t="e" cm="1">
        <f t="array" ref="H20">IF($C$8=0,NA(),INDEX($P20:$BM20,$C$8))</f>
        <v>#N/A</v>
      </c>
      <c r="I20" cm="1">
        <f t="array" aca="1" ref="I20" ca="1">IF(C20=0,0,INDEX(sys_DataFlat_LU_Grid,$C20,$C$2))</f>
        <v>0</v>
      </c>
      <c r="J20" t="str" cm="1">
        <f t="array" aca="1" ref="J20" ca="1">IF(C20=0,"",INDEX(auto_Series_NameNoNumber,C20))</f>
        <v/>
      </c>
      <c r="K20" t="str" cm="1">
        <f t="array" aca="1" ref="K20" ca="1">IF(C20=0,"",INDEX(K$94:K$162,$C20))</f>
        <v/>
      </c>
      <c r="L20" t="str" cm="1">
        <f t="array" aca="1" ref="L20" ca="1">IF(C20=0,"",INDEX(L$94:L$162,$C20))</f>
        <v/>
      </c>
      <c r="M20" t="str">
        <f t="shared" ca="1" si="5"/>
        <v/>
      </c>
      <c r="N20" t="str" cm="1">
        <f t="array" aca="1" ref="N20" ca="1">IF(C20=0,"",INDEX($N$94:$N$162,$C20))</f>
        <v/>
      </c>
      <c r="O20" t="str" cm="1">
        <f t="array" aca="1" ref="O20" ca="1">IF(C20=0,"",INDEX(#REF!,$C20))</f>
        <v/>
      </c>
      <c r="P20" t="str" cm="1">
        <f t="array" aca="1" ref="P20" ca="1">IF($C20=0,"",IF(P$12&lt;&gt;$C$5,NA(),INDEX(auto_DataFlat_Score,INDEX(sys_DataFlat_LU_Grid,$C20,P$11))))</f>
        <v/>
      </c>
      <c r="Q20" t="str" cm="1">
        <f t="array" aca="1" ref="Q20" ca="1">IF($C20=0,"",IF(Q$12&lt;&gt;$C$5,NA(),INDEX(auto_DataFlat_Score,INDEX(sys_DataFlat_LU_Grid,$C20,Q$11))))</f>
        <v/>
      </c>
      <c r="R20" t="str" cm="1">
        <f t="array" aca="1" ref="R20" ca="1">IF($C20=0,"",IF(R$12&lt;&gt;$C$5,NA(),INDEX(auto_DataFlat_Score,INDEX(sys_DataFlat_LU_Grid,$C20,R$11))))</f>
        <v/>
      </c>
      <c r="S20" t="str" cm="1">
        <f t="array" aca="1" ref="S20" ca="1">IF($C20=0,"",IF(S$12&lt;&gt;$C$5,NA(),INDEX(auto_DataFlat_Score,INDEX(sys_DataFlat_LU_Grid,$C20,S$11))))</f>
        <v/>
      </c>
      <c r="T20" t="str" cm="1">
        <f t="array" aca="1" ref="T20" ca="1">IF($C20=0,"",IF(T$12&lt;&gt;$C$5,NA(),INDEX(auto_DataFlat_Score,INDEX(sys_DataFlat_LU_Grid,$C20,T$11))))</f>
        <v/>
      </c>
      <c r="U20" t="str" cm="1">
        <f t="array" aca="1" ref="U20" ca="1">IF($C20=0,"",IF(U$12&lt;&gt;$C$5,NA(),INDEX(auto_DataFlat_Score,INDEX(sys_DataFlat_LU_Grid,$C20,U$11))))</f>
        <v/>
      </c>
      <c r="V20" t="str" cm="1">
        <f t="array" aca="1" ref="V20" ca="1">IF($C20=0,"",IF(V$12&lt;&gt;$C$5,NA(),INDEX(auto_DataFlat_Score,INDEX(sys_DataFlat_LU_Grid,$C20,V$11))))</f>
        <v/>
      </c>
      <c r="W20" t="str" cm="1">
        <f t="array" aca="1" ref="W20" ca="1">IF($C20=0,"",IF(W$12&lt;&gt;$C$5,NA(),INDEX(auto_DataFlat_Score,INDEX(sys_DataFlat_LU_Grid,$C20,W$11))))</f>
        <v/>
      </c>
      <c r="X20" t="str" cm="1">
        <f t="array" aca="1" ref="X20" ca="1">IF($C20=0,"",IF(X$12&lt;&gt;$C$5,NA(),INDEX(auto_DataFlat_Score,INDEX(sys_DataFlat_LU_Grid,$C20,X$11))))</f>
        <v/>
      </c>
      <c r="Y20" t="str" cm="1">
        <f t="array" aca="1" ref="Y20" ca="1">IF($C20=0,"",IF(Y$12&lt;&gt;$C$5,NA(),INDEX(auto_DataFlat_Score,INDEX(sys_DataFlat_LU_Grid,$C20,Y$11))))</f>
        <v/>
      </c>
      <c r="Z20" t="str" cm="1">
        <f t="array" aca="1" ref="Z20" ca="1">IF($C20=0,"",IF(Z$12&lt;&gt;$C$5,NA(),INDEX(auto_DataFlat_Score,INDEX(sys_DataFlat_LU_Grid,$C20,Z$11))))</f>
        <v/>
      </c>
      <c r="AA20" t="str" cm="1">
        <f t="array" aca="1" ref="AA20" ca="1">IF($C20=0,"",IF(AA$12&lt;&gt;$C$5,NA(),INDEX(auto_DataFlat_Score,INDEX(sys_DataFlat_LU_Grid,$C20,AA$11))))</f>
        <v/>
      </c>
      <c r="AB20" t="str" cm="1">
        <f t="array" aca="1" ref="AB20" ca="1">IF($C20=0,"",IF(AB$12&lt;&gt;$C$5,NA(),INDEX(auto_DataFlat_Score,INDEX(sys_DataFlat_LU_Grid,$C20,AB$11))))</f>
        <v/>
      </c>
      <c r="AC20" t="str" cm="1">
        <f t="array" aca="1" ref="AC20" ca="1">IF($C20=0,"",IF(AC$12&lt;&gt;$C$5,NA(),INDEX(auto_DataFlat_Score,INDEX(sys_DataFlat_LU_Grid,$C20,AC$11))))</f>
        <v/>
      </c>
      <c r="AD20" t="str" cm="1">
        <f t="array" aca="1" ref="AD20" ca="1">IF($C20=0,"",IF(AD$12&lt;&gt;$C$5,NA(),INDEX(auto_DataFlat_Score,INDEX(sys_DataFlat_LU_Grid,$C20,AD$11))))</f>
        <v/>
      </c>
      <c r="AE20" t="str" cm="1">
        <f t="array" aca="1" ref="AE20" ca="1">IF($C20=0,"",IF(AE$12&lt;&gt;$C$5,NA(),INDEX(auto_DataFlat_Score,INDEX(sys_DataFlat_LU_Grid,$C20,AE$11))))</f>
        <v/>
      </c>
      <c r="AF20" t="str" cm="1">
        <f t="array" aca="1" ref="AF20" ca="1">IF($C20=0,"",IF(AF$12&lt;&gt;$C$5,NA(),INDEX(auto_DataFlat_Score,INDEX(sys_DataFlat_LU_Grid,$C20,AF$11))))</f>
        <v/>
      </c>
      <c r="AG20" t="str" cm="1">
        <f t="array" aca="1" ref="AG20" ca="1">IF($C20=0,"",IF(AG$12&lt;&gt;$C$5,NA(),INDEX(auto_DataFlat_Score,INDEX(sys_DataFlat_LU_Grid,$C20,AG$11))))</f>
        <v/>
      </c>
      <c r="AH20" t="str" cm="1">
        <f t="array" aca="1" ref="AH20" ca="1">IF($C20=0,"",IF(AH$12&lt;&gt;$C$5,NA(),INDEX(auto_DataFlat_Score,INDEX(sys_DataFlat_LU_Grid,$C20,AH$11))))</f>
        <v/>
      </c>
      <c r="AI20" t="str" cm="1">
        <f t="array" aca="1" ref="AI20" ca="1">IF($C20=0,"",IF(AI$12&lt;&gt;$C$5,NA(),INDEX(auto_DataFlat_Score,INDEX(sys_DataFlat_LU_Grid,$C20,AI$11))))</f>
        <v/>
      </c>
      <c r="AJ20" t="str" cm="1">
        <f t="array" aca="1" ref="AJ20" ca="1">IF($C20=0,"",IF(AJ$12&lt;&gt;$C$5,NA(),INDEX(auto_DataFlat_Score,INDEX(sys_DataFlat_LU_Grid,$C20,AJ$11))))</f>
        <v/>
      </c>
      <c r="AK20" t="str" cm="1">
        <f t="array" aca="1" ref="AK20" ca="1">IF($C20=0,"",IF(AK$12&lt;&gt;$C$5,NA(),INDEX(auto_DataFlat_Score,INDEX(sys_DataFlat_LU_Grid,$C20,AK$11))))</f>
        <v/>
      </c>
      <c r="AL20" t="str" cm="1">
        <f t="array" aca="1" ref="AL20" ca="1">IF($C20=0,"",IF(AL$12&lt;&gt;$C$5,NA(),INDEX(auto_DataFlat_Score,INDEX(sys_DataFlat_LU_Grid,$C20,AL$11))))</f>
        <v/>
      </c>
      <c r="AM20" t="str" cm="1">
        <f t="array" aca="1" ref="AM20" ca="1">IF($C20=0,"",IF(AM$12&lt;&gt;$C$5,NA(),INDEX(auto_DataFlat_Score,INDEX(sys_DataFlat_LU_Grid,$C20,AM$11))))</f>
        <v/>
      </c>
      <c r="AN20" t="str" cm="1">
        <f t="array" aca="1" ref="AN20" ca="1">IF($C20=0,"",IF(AN$12&lt;&gt;$C$5,NA(),INDEX(auto_DataFlat_Score,INDEX(sys_DataFlat_LU_Grid,$C20,AN$11))))</f>
        <v/>
      </c>
      <c r="AO20" t="str" cm="1">
        <f t="array" aca="1" ref="AO20" ca="1">IF($C20=0,"",IF(AO$12&lt;&gt;$C$5,NA(),INDEX(auto_DataFlat_Score,INDEX(sys_DataFlat_LU_Grid,$C20,AO$11))))</f>
        <v/>
      </c>
      <c r="AP20" t="str" cm="1">
        <f t="array" aca="1" ref="AP20" ca="1">IF($C20=0,"",IF(AP$12&lt;&gt;$C$5,NA(),INDEX(auto_DataFlat_Score,INDEX(sys_DataFlat_LU_Grid,$C20,AP$11))))</f>
        <v/>
      </c>
      <c r="AQ20" t="str" cm="1">
        <f t="array" aca="1" ref="AQ20" ca="1">IF($C20=0,"",IF(AQ$12&lt;&gt;$C$5,NA(),INDEX(auto_DataFlat_Score,INDEX(sys_DataFlat_LU_Grid,$C20,AQ$11))))</f>
        <v/>
      </c>
      <c r="AR20" t="str" cm="1">
        <f t="array" aca="1" ref="AR20" ca="1">IF($C20=0,"",IF(AR$12&lt;&gt;$C$5,NA(),INDEX(auto_DataFlat_Score,INDEX(sys_DataFlat_LU_Grid,$C20,AR$11))))</f>
        <v/>
      </c>
      <c r="AS20" t="str" cm="1">
        <f t="array" aca="1" ref="AS20" ca="1">IF($C20=0,"",IF(AS$12&lt;&gt;$C$5,NA(),INDEX(auto_DataFlat_Score,INDEX(sys_DataFlat_LU_Grid,$C20,AS$11))))</f>
        <v/>
      </c>
      <c r="AT20" t="str" cm="1">
        <f t="array" aca="1" ref="AT20" ca="1">IF($C20=0,"",IF(AT$12&lt;&gt;$C$5,NA(),INDEX(auto_DataFlat_Score,INDEX(sys_DataFlat_LU_Grid,$C20,AT$11))))</f>
        <v/>
      </c>
      <c r="AU20" t="str" cm="1">
        <f t="array" aca="1" ref="AU20" ca="1">IF($C20=0,"",IF(AU$12&lt;&gt;$C$5,NA(),INDEX(auto_DataFlat_Score,INDEX(sys_DataFlat_LU_Grid,$C20,AU$11))))</f>
        <v/>
      </c>
      <c r="AV20" t="str" cm="1">
        <f t="array" aca="1" ref="AV20" ca="1">IF($C20=0,"",IF(AV$12&lt;&gt;$C$5,NA(),INDEX(auto_DataFlat_Score,INDEX(sys_DataFlat_LU_Grid,$C20,AV$11))))</f>
        <v/>
      </c>
      <c r="AW20" t="str" cm="1">
        <f t="array" aca="1" ref="AW20" ca="1">IF($C20=0,"",IF(AW$12&lt;&gt;$C$5,NA(),INDEX(auto_DataFlat_Score,INDEX(sys_DataFlat_LU_Grid,$C20,AW$11))))</f>
        <v/>
      </c>
      <c r="AX20" t="str" cm="1">
        <f t="array" aca="1" ref="AX20" ca="1">IF($C20=0,"",IF(AX$12&lt;&gt;$C$5,NA(),INDEX(auto_DataFlat_Score,INDEX(sys_DataFlat_LU_Grid,$C20,AX$11))))</f>
        <v/>
      </c>
      <c r="AY20" t="str" cm="1">
        <f t="array" aca="1" ref="AY20" ca="1">IF($C20=0,"",IF(AY$12&lt;&gt;$C$5,NA(),INDEX(auto_DataFlat_Score,INDEX(sys_DataFlat_LU_Grid,$C20,AY$11))))</f>
        <v/>
      </c>
      <c r="AZ20" t="str" cm="1">
        <f t="array" aca="1" ref="AZ20" ca="1">IF($C20=0,"",IF(AZ$12&lt;&gt;$C$5,NA(),INDEX(auto_DataFlat_Score,INDEX(sys_DataFlat_LU_Grid,$C20,AZ$11))))</f>
        <v/>
      </c>
      <c r="BA20" t="str" cm="1">
        <f t="array" aca="1" ref="BA20" ca="1">IF($C20=0,"",IF(BA$12&lt;&gt;$C$5,NA(),INDEX(auto_DataFlat_Score,INDEX(sys_DataFlat_LU_Grid,$C20,BA$11))))</f>
        <v/>
      </c>
      <c r="BB20" t="str" cm="1">
        <f t="array" aca="1" ref="BB20" ca="1">IF($C20=0,"",IF(BB$12&lt;&gt;$C$5,NA(),INDEX(auto_DataFlat_Score,INDEX(sys_DataFlat_LU_Grid,$C20,BB$11))))</f>
        <v/>
      </c>
      <c r="BC20" t="str" cm="1">
        <f t="array" aca="1" ref="BC20" ca="1">IF($C20=0,"",IF(BC$12&lt;&gt;$C$5,NA(),INDEX(auto_DataFlat_Score,INDEX(sys_DataFlat_LU_Grid,$C20,BC$11))))</f>
        <v/>
      </c>
      <c r="BD20" t="str" cm="1">
        <f t="array" aca="1" ref="BD20" ca="1">IF($C20=0,"",IF(BD$12&lt;&gt;$C$5,NA(),INDEX(auto_DataFlat_Score,INDEX(sys_DataFlat_LU_Grid,$C20,BD$11))))</f>
        <v/>
      </c>
      <c r="BE20" t="str" cm="1">
        <f t="array" aca="1" ref="BE20" ca="1">IF($C20=0,"",IF(BE$12&lt;&gt;$C$5,NA(),INDEX(auto_DataFlat_Score,INDEX(sys_DataFlat_LU_Grid,$C20,BE$11))))</f>
        <v/>
      </c>
      <c r="BF20" t="str" cm="1">
        <f t="array" aca="1" ref="BF20" ca="1">IF($C20=0,"",IF(BF$12&lt;&gt;$C$5,NA(),INDEX(auto_DataFlat_Score,INDEX(sys_DataFlat_LU_Grid,$C20,BF$11))))</f>
        <v/>
      </c>
      <c r="BG20" t="str" cm="1">
        <f t="array" aca="1" ref="BG20" ca="1">IF($C20=0,"",IF(BG$12&lt;&gt;$C$5,NA(),INDEX(auto_DataFlat_Score,INDEX(sys_DataFlat_LU_Grid,$C20,BG$11))))</f>
        <v/>
      </c>
      <c r="BH20" t="str" cm="1">
        <f t="array" aca="1" ref="BH20" ca="1">IF($C20=0,"",IF(BH$12&lt;&gt;$C$5,NA(),INDEX(auto_DataFlat_Score,INDEX(sys_DataFlat_LU_Grid,$C20,BH$11))))</f>
        <v/>
      </c>
      <c r="BI20" t="str" cm="1">
        <f t="array" aca="1" ref="BI20" ca="1">IF($C20=0,"",IF(BI$12&lt;&gt;$C$5,NA(),INDEX(auto_DataFlat_Score,INDEX(sys_DataFlat_LU_Grid,$C20,BI$11))))</f>
        <v/>
      </c>
      <c r="BJ20" t="str" cm="1">
        <f t="array" aca="1" ref="BJ20" ca="1">IF($C20=0,"",IF(BJ$12&lt;&gt;$C$5,NA(),INDEX(auto_DataFlat_Score,INDEX(sys_DataFlat_LU_Grid,$C20,BJ$11))))</f>
        <v/>
      </c>
      <c r="BK20" t="str" cm="1">
        <f t="array" aca="1" ref="BK20" ca="1">IF($C20=0,"",IF(BK$12&lt;&gt;$C$5,NA(),INDEX(auto_DataFlat_Score,INDEX(sys_DataFlat_LU_Grid,$C20,BK$11))))</f>
        <v/>
      </c>
      <c r="BL20" t="str" cm="1">
        <f t="array" aca="1" ref="BL20" ca="1">IF($C20=0,"",IF(BL$12&lt;&gt;$C$5,NA(),INDEX(auto_DataFlat_Score,INDEX(sys_DataFlat_LU_Grid,$C20,BL$11))))</f>
        <v/>
      </c>
      <c r="BM20" t="str" cm="1">
        <f t="array" aca="1" ref="BM20" ca="1">IF($C20=0,"",IF(BM$12&lt;&gt;$C$5,NA(),INDEX(auto_DataFlat_Score,INDEX(sys_DataFlat_LU_Grid,$C20,BM$11))))</f>
        <v/>
      </c>
    </row>
    <row r="21" spans="2:75" x14ac:dyDescent="0.4">
      <c r="B21">
        <v>9</v>
      </c>
      <c r="C21" cm="1">
        <f t="array" aca="1" ref="C21" ca="1">INDEX(OFFSET(auto_ss_TopLevel,0,1,300,1),B21)</f>
        <v>0</v>
      </c>
      <c r="D21" cm="1">
        <f t="array" aca="1" ref="D21" ca="1">IF(C21=0,0,INDEX(sys_DataFlat_LU_Grid_Groups,$C21,$C$9))</f>
        <v>0</v>
      </c>
      <c r="E21" t="str" cm="1">
        <f t="array" aca="1" ref="E21" ca="1">IF(D21=0,"",INDEX(auto_DataFlat_Score,D21))</f>
        <v/>
      </c>
      <c r="G21" t="e">
        <f t="shared" ca="1" si="2"/>
        <v>#DIV/0!</v>
      </c>
      <c r="H21" t="e" cm="1">
        <f t="array" ref="H21">IF($C$8=0,NA(),INDEX($P21:$BM21,$C$8))</f>
        <v>#N/A</v>
      </c>
      <c r="I21" cm="1">
        <f t="array" aca="1" ref="I21" ca="1">IF(C21=0,0,INDEX(sys_DataFlat_LU_Grid,$C21,$C$2))</f>
        <v>0</v>
      </c>
      <c r="J21" t="str" cm="1">
        <f t="array" aca="1" ref="J21" ca="1">IF(C21=0,"",INDEX(auto_Series_NameNoNumber,C21))</f>
        <v/>
      </c>
      <c r="K21" t="str" cm="1">
        <f t="array" aca="1" ref="K21" ca="1">IF(C21=0,"",INDEX(K$94:K$162,$C21))</f>
        <v/>
      </c>
      <c r="L21" t="str" cm="1">
        <f t="array" aca="1" ref="L21" ca="1">IF(C21=0,"",INDEX(L$94:L$162,$C21))</f>
        <v/>
      </c>
      <c r="M21" t="str">
        <f t="shared" ca="1" si="5"/>
        <v/>
      </c>
      <c r="N21" t="str" cm="1">
        <f t="array" aca="1" ref="N21" ca="1">IF(C21=0,"",INDEX($N$94:$N$162,$C21))</f>
        <v/>
      </c>
      <c r="O21" t="str" cm="1">
        <f t="array" aca="1" ref="O21" ca="1">IF(C21=0,"",INDEX(#REF!,$C21))</f>
        <v/>
      </c>
      <c r="P21" t="str" cm="1">
        <f t="array" aca="1" ref="P21" ca="1">IF($C21=0,"",IF(P$12&lt;&gt;$C$5,NA(),INDEX(auto_DataFlat_Score,INDEX(sys_DataFlat_LU_Grid,$C21,P$11))))</f>
        <v/>
      </c>
      <c r="Q21" t="str" cm="1">
        <f t="array" aca="1" ref="Q21" ca="1">IF($C21=0,"",IF(Q$12&lt;&gt;$C$5,NA(),INDEX(auto_DataFlat_Score,INDEX(sys_DataFlat_LU_Grid,$C21,Q$11))))</f>
        <v/>
      </c>
      <c r="R21" t="str" cm="1">
        <f t="array" aca="1" ref="R21" ca="1">IF($C21=0,"",IF(R$12&lt;&gt;$C$5,NA(),INDEX(auto_DataFlat_Score,INDEX(sys_DataFlat_LU_Grid,$C21,R$11))))</f>
        <v/>
      </c>
      <c r="S21" t="str" cm="1">
        <f t="array" aca="1" ref="S21" ca="1">IF($C21=0,"",IF(S$12&lt;&gt;$C$5,NA(),INDEX(auto_DataFlat_Score,INDEX(sys_DataFlat_LU_Grid,$C21,S$11))))</f>
        <v/>
      </c>
      <c r="T21" t="str" cm="1">
        <f t="array" aca="1" ref="T21" ca="1">IF($C21=0,"",IF(T$12&lt;&gt;$C$5,NA(),INDEX(auto_DataFlat_Score,INDEX(sys_DataFlat_LU_Grid,$C21,T$11))))</f>
        <v/>
      </c>
      <c r="U21" t="str" cm="1">
        <f t="array" aca="1" ref="U21" ca="1">IF($C21=0,"",IF(U$12&lt;&gt;$C$5,NA(),INDEX(auto_DataFlat_Score,INDEX(sys_DataFlat_LU_Grid,$C21,U$11))))</f>
        <v/>
      </c>
      <c r="V21" t="str" cm="1">
        <f t="array" aca="1" ref="V21" ca="1">IF($C21=0,"",IF(V$12&lt;&gt;$C$5,NA(),INDEX(auto_DataFlat_Score,INDEX(sys_DataFlat_LU_Grid,$C21,V$11))))</f>
        <v/>
      </c>
      <c r="W21" t="str" cm="1">
        <f t="array" aca="1" ref="W21" ca="1">IF($C21=0,"",IF(W$12&lt;&gt;$C$5,NA(),INDEX(auto_DataFlat_Score,INDEX(sys_DataFlat_LU_Grid,$C21,W$11))))</f>
        <v/>
      </c>
      <c r="X21" t="str" cm="1">
        <f t="array" aca="1" ref="X21" ca="1">IF($C21=0,"",IF(X$12&lt;&gt;$C$5,NA(),INDEX(auto_DataFlat_Score,INDEX(sys_DataFlat_LU_Grid,$C21,X$11))))</f>
        <v/>
      </c>
      <c r="Y21" t="str" cm="1">
        <f t="array" aca="1" ref="Y21" ca="1">IF($C21=0,"",IF(Y$12&lt;&gt;$C$5,NA(),INDEX(auto_DataFlat_Score,INDEX(sys_DataFlat_LU_Grid,$C21,Y$11))))</f>
        <v/>
      </c>
      <c r="Z21" t="str" cm="1">
        <f t="array" aca="1" ref="Z21" ca="1">IF($C21=0,"",IF(Z$12&lt;&gt;$C$5,NA(),INDEX(auto_DataFlat_Score,INDEX(sys_DataFlat_LU_Grid,$C21,Z$11))))</f>
        <v/>
      </c>
      <c r="AA21" t="str" cm="1">
        <f t="array" aca="1" ref="AA21" ca="1">IF($C21=0,"",IF(AA$12&lt;&gt;$C$5,NA(),INDEX(auto_DataFlat_Score,INDEX(sys_DataFlat_LU_Grid,$C21,AA$11))))</f>
        <v/>
      </c>
      <c r="AB21" t="str" cm="1">
        <f t="array" aca="1" ref="AB21" ca="1">IF($C21=0,"",IF(AB$12&lt;&gt;$C$5,NA(),INDEX(auto_DataFlat_Score,INDEX(sys_DataFlat_LU_Grid,$C21,AB$11))))</f>
        <v/>
      </c>
      <c r="AC21" t="str" cm="1">
        <f t="array" aca="1" ref="AC21" ca="1">IF($C21=0,"",IF(AC$12&lt;&gt;$C$5,NA(),INDEX(auto_DataFlat_Score,INDEX(sys_DataFlat_LU_Grid,$C21,AC$11))))</f>
        <v/>
      </c>
      <c r="AD21" t="str" cm="1">
        <f t="array" aca="1" ref="AD21" ca="1">IF($C21=0,"",IF(AD$12&lt;&gt;$C$5,NA(),INDEX(auto_DataFlat_Score,INDEX(sys_DataFlat_LU_Grid,$C21,AD$11))))</f>
        <v/>
      </c>
      <c r="AE21" t="str" cm="1">
        <f t="array" aca="1" ref="AE21" ca="1">IF($C21=0,"",IF(AE$12&lt;&gt;$C$5,NA(),INDEX(auto_DataFlat_Score,INDEX(sys_DataFlat_LU_Grid,$C21,AE$11))))</f>
        <v/>
      </c>
      <c r="AF21" t="str" cm="1">
        <f t="array" aca="1" ref="AF21" ca="1">IF($C21=0,"",IF(AF$12&lt;&gt;$C$5,NA(),INDEX(auto_DataFlat_Score,INDEX(sys_DataFlat_LU_Grid,$C21,AF$11))))</f>
        <v/>
      </c>
      <c r="AG21" t="str" cm="1">
        <f t="array" aca="1" ref="AG21" ca="1">IF($C21=0,"",IF(AG$12&lt;&gt;$C$5,NA(),INDEX(auto_DataFlat_Score,INDEX(sys_DataFlat_LU_Grid,$C21,AG$11))))</f>
        <v/>
      </c>
      <c r="AH21" t="str" cm="1">
        <f t="array" aca="1" ref="AH21" ca="1">IF($C21=0,"",IF(AH$12&lt;&gt;$C$5,NA(),INDEX(auto_DataFlat_Score,INDEX(sys_DataFlat_LU_Grid,$C21,AH$11))))</f>
        <v/>
      </c>
      <c r="AI21" t="str" cm="1">
        <f t="array" aca="1" ref="AI21" ca="1">IF($C21=0,"",IF(AI$12&lt;&gt;$C$5,NA(),INDEX(auto_DataFlat_Score,INDEX(sys_DataFlat_LU_Grid,$C21,AI$11))))</f>
        <v/>
      </c>
      <c r="AJ21" t="str" cm="1">
        <f t="array" aca="1" ref="AJ21" ca="1">IF($C21=0,"",IF(AJ$12&lt;&gt;$C$5,NA(),INDEX(auto_DataFlat_Score,INDEX(sys_DataFlat_LU_Grid,$C21,AJ$11))))</f>
        <v/>
      </c>
      <c r="AK21" t="str" cm="1">
        <f t="array" aca="1" ref="AK21" ca="1">IF($C21=0,"",IF(AK$12&lt;&gt;$C$5,NA(),INDEX(auto_DataFlat_Score,INDEX(sys_DataFlat_LU_Grid,$C21,AK$11))))</f>
        <v/>
      </c>
      <c r="AL21" t="str" cm="1">
        <f t="array" aca="1" ref="AL21" ca="1">IF($C21=0,"",IF(AL$12&lt;&gt;$C$5,NA(),INDEX(auto_DataFlat_Score,INDEX(sys_DataFlat_LU_Grid,$C21,AL$11))))</f>
        <v/>
      </c>
      <c r="AM21" t="str" cm="1">
        <f t="array" aca="1" ref="AM21" ca="1">IF($C21=0,"",IF(AM$12&lt;&gt;$C$5,NA(),INDEX(auto_DataFlat_Score,INDEX(sys_DataFlat_LU_Grid,$C21,AM$11))))</f>
        <v/>
      </c>
      <c r="AN21" t="str" cm="1">
        <f t="array" aca="1" ref="AN21" ca="1">IF($C21=0,"",IF(AN$12&lt;&gt;$C$5,NA(),INDEX(auto_DataFlat_Score,INDEX(sys_DataFlat_LU_Grid,$C21,AN$11))))</f>
        <v/>
      </c>
      <c r="AO21" t="str" cm="1">
        <f t="array" aca="1" ref="AO21" ca="1">IF($C21=0,"",IF(AO$12&lt;&gt;$C$5,NA(),INDEX(auto_DataFlat_Score,INDEX(sys_DataFlat_LU_Grid,$C21,AO$11))))</f>
        <v/>
      </c>
      <c r="AP21" t="str" cm="1">
        <f t="array" aca="1" ref="AP21" ca="1">IF($C21=0,"",IF(AP$12&lt;&gt;$C$5,NA(),INDEX(auto_DataFlat_Score,INDEX(sys_DataFlat_LU_Grid,$C21,AP$11))))</f>
        <v/>
      </c>
      <c r="AQ21" t="str" cm="1">
        <f t="array" aca="1" ref="AQ21" ca="1">IF($C21=0,"",IF(AQ$12&lt;&gt;$C$5,NA(),INDEX(auto_DataFlat_Score,INDEX(sys_DataFlat_LU_Grid,$C21,AQ$11))))</f>
        <v/>
      </c>
      <c r="AR21" t="str" cm="1">
        <f t="array" aca="1" ref="AR21" ca="1">IF($C21=0,"",IF(AR$12&lt;&gt;$C$5,NA(),INDEX(auto_DataFlat_Score,INDEX(sys_DataFlat_LU_Grid,$C21,AR$11))))</f>
        <v/>
      </c>
      <c r="AS21" t="str" cm="1">
        <f t="array" aca="1" ref="AS21" ca="1">IF($C21=0,"",IF(AS$12&lt;&gt;$C$5,NA(),INDEX(auto_DataFlat_Score,INDEX(sys_DataFlat_LU_Grid,$C21,AS$11))))</f>
        <v/>
      </c>
      <c r="AT21" t="str" cm="1">
        <f t="array" aca="1" ref="AT21" ca="1">IF($C21=0,"",IF(AT$12&lt;&gt;$C$5,NA(),INDEX(auto_DataFlat_Score,INDEX(sys_DataFlat_LU_Grid,$C21,AT$11))))</f>
        <v/>
      </c>
      <c r="AU21" t="str" cm="1">
        <f t="array" aca="1" ref="AU21" ca="1">IF($C21=0,"",IF(AU$12&lt;&gt;$C$5,NA(),INDEX(auto_DataFlat_Score,INDEX(sys_DataFlat_LU_Grid,$C21,AU$11))))</f>
        <v/>
      </c>
      <c r="AV21" t="str" cm="1">
        <f t="array" aca="1" ref="AV21" ca="1">IF($C21=0,"",IF(AV$12&lt;&gt;$C$5,NA(),INDEX(auto_DataFlat_Score,INDEX(sys_DataFlat_LU_Grid,$C21,AV$11))))</f>
        <v/>
      </c>
      <c r="AW21" t="str" cm="1">
        <f t="array" aca="1" ref="AW21" ca="1">IF($C21=0,"",IF(AW$12&lt;&gt;$C$5,NA(),INDEX(auto_DataFlat_Score,INDEX(sys_DataFlat_LU_Grid,$C21,AW$11))))</f>
        <v/>
      </c>
      <c r="AX21" t="str" cm="1">
        <f t="array" aca="1" ref="AX21" ca="1">IF($C21=0,"",IF(AX$12&lt;&gt;$C$5,NA(),INDEX(auto_DataFlat_Score,INDEX(sys_DataFlat_LU_Grid,$C21,AX$11))))</f>
        <v/>
      </c>
      <c r="AY21" t="str" cm="1">
        <f t="array" aca="1" ref="AY21" ca="1">IF($C21=0,"",IF(AY$12&lt;&gt;$C$5,NA(),INDEX(auto_DataFlat_Score,INDEX(sys_DataFlat_LU_Grid,$C21,AY$11))))</f>
        <v/>
      </c>
      <c r="AZ21" t="str" cm="1">
        <f t="array" aca="1" ref="AZ21" ca="1">IF($C21=0,"",IF(AZ$12&lt;&gt;$C$5,NA(),INDEX(auto_DataFlat_Score,INDEX(sys_DataFlat_LU_Grid,$C21,AZ$11))))</f>
        <v/>
      </c>
      <c r="BA21" t="str" cm="1">
        <f t="array" aca="1" ref="BA21" ca="1">IF($C21=0,"",IF(BA$12&lt;&gt;$C$5,NA(),INDEX(auto_DataFlat_Score,INDEX(sys_DataFlat_LU_Grid,$C21,BA$11))))</f>
        <v/>
      </c>
      <c r="BB21" t="str" cm="1">
        <f t="array" aca="1" ref="BB21" ca="1">IF($C21=0,"",IF(BB$12&lt;&gt;$C$5,NA(),INDEX(auto_DataFlat_Score,INDEX(sys_DataFlat_LU_Grid,$C21,BB$11))))</f>
        <v/>
      </c>
      <c r="BC21" t="str" cm="1">
        <f t="array" aca="1" ref="BC21" ca="1">IF($C21=0,"",IF(BC$12&lt;&gt;$C$5,NA(),INDEX(auto_DataFlat_Score,INDEX(sys_DataFlat_LU_Grid,$C21,BC$11))))</f>
        <v/>
      </c>
      <c r="BD21" t="str" cm="1">
        <f t="array" aca="1" ref="BD21" ca="1">IF($C21=0,"",IF(BD$12&lt;&gt;$C$5,NA(),INDEX(auto_DataFlat_Score,INDEX(sys_DataFlat_LU_Grid,$C21,BD$11))))</f>
        <v/>
      </c>
      <c r="BE21" t="str" cm="1">
        <f t="array" aca="1" ref="BE21" ca="1">IF($C21=0,"",IF(BE$12&lt;&gt;$C$5,NA(),INDEX(auto_DataFlat_Score,INDEX(sys_DataFlat_LU_Grid,$C21,BE$11))))</f>
        <v/>
      </c>
      <c r="BF21" t="str" cm="1">
        <f t="array" aca="1" ref="BF21" ca="1">IF($C21=0,"",IF(BF$12&lt;&gt;$C$5,NA(),INDEX(auto_DataFlat_Score,INDEX(sys_DataFlat_LU_Grid,$C21,BF$11))))</f>
        <v/>
      </c>
      <c r="BG21" t="str" cm="1">
        <f t="array" aca="1" ref="BG21" ca="1">IF($C21=0,"",IF(BG$12&lt;&gt;$C$5,NA(),INDEX(auto_DataFlat_Score,INDEX(sys_DataFlat_LU_Grid,$C21,BG$11))))</f>
        <v/>
      </c>
      <c r="BH21" t="str" cm="1">
        <f t="array" aca="1" ref="BH21" ca="1">IF($C21=0,"",IF(BH$12&lt;&gt;$C$5,NA(),INDEX(auto_DataFlat_Score,INDEX(sys_DataFlat_LU_Grid,$C21,BH$11))))</f>
        <v/>
      </c>
      <c r="BI21" t="str" cm="1">
        <f t="array" aca="1" ref="BI21" ca="1">IF($C21=0,"",IF(BI$12&lt;&gt;$C$5,NA(),INDEX(auto_DataFlat_Score,INDEX(sys_DataFlat_LU_Grid,$C21,BI$11))))</f>
        <v/>
      </c>
      <c r="BJ21" t="str" cm="1">
        <f t="array" aca="1" ref="BJ21" ca="1">IF($C21=0,"",IF(BJ$12&lt;&gt;$C$5,NA(),INDEX(auto_DataFlat_Score,INDEX(sys_DataFlat_LU_Grid,$C21,BJ$11))))</f>
        <v/>
      </c>
      <c r="BK21" t="str" cm="1">
        <f t="array" aca="1" ref="BK21" ca="1">IF($C21=0,"",IF(BK$12&lt;&gt;$C$5,NA(),INDEX(auto_DataFlat_Score,INDEX(sys_DataFlat_LU_Grid,$C21,BK$11))))</f>
        <v/>
      </c>
      <c r="BL21" t="str" cm="1">
        <f t="array" aca="1" ref="BL21" ca="1">IF($C21=0,"",IF(BL$12&lt;&gt;$C$5,NA(),INDEX(auto_DataFlat_Score,INDEX(sys_DataFlat_LU_Grid,$C21,BL$11))))</f>
        <v/>
      </c>
      <c r="BM21" t="str" cm="1">
        <f t="array" aca="1" ref="BM21" ca="1">IF($C21=0,"",IF(BM$12&lt;&gt;$C$5,NA(),INDEX(auto_DataFlat_Score,INDEX(sys_DataFlat_LU_Grid,$C21,BM$11))))</f>
        <v/>
      </c>
    </row>
    <row r="22" spans="2:75" x14ac:dyDescent="0.4">
      <c r="B22">
        <v>10</v>
      </c>
      <c r="C22" cm="1">
        <f t="array" aca="1" ref="C22" ca="1">INDEX(OFFSET(auto_ss_TopLevel,0,1,300,1),B22)</f>
        <v>0</v>
      </c>
      <c r="D22" cm="1">
        <f t="array" aca="1" ref="D22" ca="1">IF(C22=0,0,INDEX(sys_DataFlat_LU_Grid_Groups,$C22,$C$9))</f>
        <v>0</v>
      </c>
      <c r="E22" t="str" cm="1">
        <f t="array" aca="1" ref="E22" ca="1">IF(D22=0,"",INDEX(auto_DataFlat_Score,D22))</f>
        <v/>
      </c>
      <c r="G22" t="e">
        <f t="shared" ca="1" si="2"/>
        <v>#DIV/0!</v>
      </c>
      <c r="H22" t="e" cm="1">
        <f t="array" ref="H22">IF($C$8=0,NA(),INDEX($P22:$BM22,$C$8))</f>
        <v>#N/A</v>
      </c>
      <c r="I22" cm="1">
        <f t="array" aca="1" ref="I22" ca="1">IF(C22=0,0,INDEX(sys_DataFlat_LU_Grid,$C22,$C$2))</f>
        <v>0</v>
      </c>
      <c r="J22" t="str" cm="1">
        <f t="array" aca="1" ref="J22" ca="1">IF(C22=0,"",INDEX(auto_Series_NameNoNumber,C22))</f>
        <v/>
      </c>
      <c r="K22" t="str" cm="1">
        <f t="array" aca="1" ref="K22" ca="1">IF(C22=0,"",INDEX(K$94:K$162,$C22))</f>
        <v/>
      </c>
      <c r="L22" t="str" cm="1">
        <f t="array" aca="1" ref="L22" ca="1">IF(C22=0,"",INDEX(L$94:L$162,$C22))</f>
        <v/>
      </c>
      <c r="M22" t="str">
        <f t="shared" ca="1" si="5"/>
        <v/>
      </c>
      <c r="N22" t="str" cm="1">
        <f t="array" aca="1" ref="N22" ca="1">IF(C22=0,"",INDEX($N$94:$N$162,$C22))</f>
        <v/>
      </c>
      <c r="O22" t="str" cm="1">
        <f t="array" aca="1" ref="O22" ca="1">IF(C22=0,"",INDEX(#REF!,$C22))</f>
        <v/>
      </c>
      <c r="P22" t="str" cm="1">
        <f t="array" aca="1" ref="P22" ca="1">IF($C22=0,"",IF(P$12&lt;&gt;$C$5,NA(),INDEX(auto_DataFlat_Score,INDEX(sys_DataFlat_LU_Grid,$C22,P$11))))</f>
        <v/>
      </c>
      <c r="Q22" t="str" cm="1">
        <f t="array" aca="1" ref="Q22" ca="1">IF($C22=0,"",IF(Q$12&lt;&gt;$C$5,NA(),INDEX(auto_DataFlat_Score,INDEX(sys_DataFlat_LU_Grid,$C22,Q$11))))</f>
        <v/>
      </c>
      <c r="R22" t="str" cm="1">
        <f t="array" aca="1" ref="R22" ca="1">IF($C22=0,"",IF(R$12&lt;&gt;$C$5,NA(),INDEX(auto_DataFlat_Score,INDEX(sys_DataFlat_LU_Grid,$C22,R$11))))</f>
        <v/>
      </c>
      <c r="S22" t="str" cm="1">
        <f t="array" aca="1" ref="S22" ca="1">IF($C22=0,"",IF(S$12&lt;&gt;$C$5,NA(),INDEX(auto_DataFlat_Score,INDEX(sys_DataFlat_LU_Grid,$C22,S$11))))</f>
        <v/>
      </c>
      <c r="T22" t="str" cm="1">
        <f t="array" aca="1" ref="T22" ca="1">IF($C22=0,"",IF(T$12&lt;&gt;$C$5,NA(),INDEX(auto_DataFlat_Score,INDEX(sys_DataFlat_LU_Grid,$C22,T$11))))</f>
        <v/>
      </c>
      <c r="U22" t="str" cm="1">
        <f t="array" aca="1" ref="U22" ca="1">IF($C22=0,"",IF(U$12&lt;&gt;$C$5,NA(),INDEX(auto_DataFlat_Score,INDEX(sys_DataFlat_LU_Grid,$C22,U$11))))</f>
        <v/>
      </c>
      <c r="V22" t="str" cm="1">
        <f t="array" aca="1" ref="V22" ca="1">IF($C22=0,"",IF(V$12&lt;&gt;$C$5,NA(),INDEX(auto_DataFlat_Score,INDEX(sys_DataFlat_LU_Grid,$C22,V$11))))</f>
        <v/>
      </c>
      <c r="W22" t="str" cm="1">
        <f t="array" aca="1" ref="W22" ca="1">IF($C22=0,"",IF(W$12&lt;&gt;$C$5,NA(),INDEX(auto_DataFlat_Score,INDEX(sys_DataFlat_LU_Grid,$C22,W$11))))</f>
        <v/>
      </c>
      <c r="X22" t="str" cm="1">
        <f t="array" aca="1" ref="X22" ca="1">IF($C22=0,"",IF(X$12&lt;&gt;$C$5,NA(),INDEX(auto_DataFlat_Score,INDEX(sys_DataFlat_LU_Grid,$C22,X$11))))</f>
        <v/>
      </c>
      <c r="Y22" t="str" cm="1">
        <f t="array" aca="1" ref="Y22" ca="1">IF($C22=0,"",IF(Y$12&lt;&gt;$C$5,NA(),INDEX(auto_DataFlat_Score,INDEX(sys_DataFlat_LU_Grid,$C22,Y$11))))</f>
        <v/>
      </c>
      <c r="Z22" t="str" cm="1">
        <f t="array" aca="1" ref="Z22" ca="1">IF($C22=0,"",IF(Z$12&lt;&gt;$C$5,NA(),INDEX(auto_DataFlat_Score,INDEX(sys_DataFlat_LU_Grid,$C22,Z$11))))</f>
        <v/>
      </c>
      <c r="AA22" t="str" cm="1">
        <f t="array" aca="1" ref="AA22" ca="1">IF($C22=0,"",IF(AA$12&lt;&gt;$C$5,NA(),INDEX(auto_DataFlat_Score,INDEX(sys_DataFlat_LU_Grid,$C22,AA$11))))</f>
        <v/>
      </c>
      <c r="AB22" t="str" cm="1">
        <f t="array" aca="1" ref="AB22" ca="1">IF($C22=0,"",IF(AB$12&lt;&gt;$C$5,NA(),INDEX(auto_DataFlat_Score,INDEX(sys_DataFlat_LU_Grid,$C22,AB$11))))</f>
        <v/>
      </c>
      <c r="AC22" t="str" cm="1">
        <f t="array" aca="1" ref="AC22" ca="1">IF($C22=0,"",IF(AC$12&lt;&gt;$C$5,NA(),INDEX(auto_DataFlat_Score,INDEX(sys_DataFlat_LU_Grid,$C22,AC$11))))</f>
        <v/>
      </c>
      <c r="AD22" t="str" cm="1">
        <f t="array" aca="1" ref="AD22" ca="1">IF($C22=0,"",IF(AD$12&lt;&gt;$C$5,NA(),INDEX(auto_DataFlat_Score,INDEX(sys_DataFlat_LU_Grid,$C22,AD$11))))</f>
        <v/>
      </c>
      <c r="AE22" t="str" cm="1">
        <f t="array" aca="1" ref="AE22" ca="1">IF($C22=0,"",IF(AE$12&lt;&gt;$C$5,NA(),INDEX(auto_DataFlat_Score,INDEX(sys_DataFlat_LU_Grid,$C22,AE$11))))</f>
        <v/>
      </c>
      <c r="AF22" t="str" cm="1">
        <f t="array" aca="1" ref="AF22" ca="1">IF($C22=0,"",IF(AF$12&lt;&gt;$C$5,NA(),INDEX(auto_DataFlat_Score,INDEX(sys_DataFlat_LU_Grid,$C22,AF$11))))</f>
        <v/>
      </c>
      <c r="AG22" t="str" cm="1">
        <f t="array" aca="1" ref="AG22" ca="1">IF($C22=0,"",IF(AG$12&lt;&gt;$C$5,NA(),INDEX(auto_DataFlat_Score,INDEX(sys_DataFlat_LU_Grid,$C22,AG$11))))</f>
        <v/>
      </c>
      <c r="AH22" t="str" cm="1">
        <f t="array" aca="1" ref="AH22" ca="1">IF($C22=0,"",IF(AH$12&lt;&gt;$C$5,NA(),INDEX(auto_DataFlat_Score,INDEX(sys_DataFlat_LU_Grid,$C22,AH$11))))</f>
        <v/>
      </c>
      <c r="AI22" t="str" cm="1">
        <f t="array" aca="1" ref="AI22" ca="1">IF($C22=0,"",IF(AI$12&lt;&gt;$C$5,NA(),INDEX(auto_DataFlat_Score,INDEX(sys_DataFlat_LU_Grid,$C22,AI$11))))</f>
        <v/>
      </c>
      <c r="AJ22" t="str" cm="1">
        <f t="array" aca="1" ref="AJ22" ca="1">IF($C22=0,"",IF(AJ$12&lt;&gt;$C$5,NA(),INDEX(auto_DataFlat_Score,INDEX(sys_DataFlat_LU_Grid,$C22,AJ$11))))</f>
        <v/>
      </c>
      <c r="AK22" t="str" cm="1">
        <f t="array" aca="1" ref="AK22" ca="1">IF($C22=0,"",IF(AK$12&lt;&gt;$C$5,NA(),INDEX(auto_DataFlat_Score,INDEX(sys_DataFlat_LU_Grid,$C22,AK$11))))</f>
        <v/>
      </c>
      <c r="AL22" t="str" cm="1">
        <f t="array" aca="1" ref="AL22" ca="1">IF($C22=0,"",IF(AL$12&lt;&gt;$C$5,NA(),INDEX(auto_DataFlat_Score,INDEX(sys_DataFlat_LU_Grid,$C22,AL$11))))</f>
        <v/>
      </c>
      <c r="AM22" t="str" cm="1">
        <f t="array" aca="1" ref="AM22" ca="1">IF($C22=0,"",IF(AM$12&lt;&gt;$C$5,NA(),INDEX(auto_DataFlat_Score,INDEX(sys_DataFlat_LU_Grid,$C22,AM$11))))</f>
        <v/>
      </c>
      <c r="AN22" t="str" cm="1">
        <f t="array" aca="1" ref="AN22" ca="1">IF($C22=0,"",IF(AN$12&lt;&gt;$C$5,NA(),INDEX(auto_DataFlat_Score,INDEX(sys_DataFlat_LU_Grid,$C22,AN$11))))</f>
        <v/>
      </c>
      <c r="AO22" t="str" cm="1">
        <f t="array" aca="1" ref="AO22" ca="1">IF($C22=0,"",IF(AO$12&lt;&gt;$C$5,NA(),INDEX(auto_DataFlat_Score,INDEX(sys_DataFlat_LU_Grid,$C22,AO$11))))</f>
        <v/>
      </c>
      <c r="AP22" t="str" cm="1">
        <f t="array" aca="1" ref="AP22" ca="1">IF($C22=0,"",IF(AP$12&lt;&gt;$C$5,NA(),INDEX(auto_DataFlat_Score,INDEX(sys_DataFlat_LU_Grid,$C22,AP$11))))</f>
        <v/>
      </c>
      <c r="AQ22" t="str" cm="1">
        <f t="array" aca="1" ref="AQ22" ca="1">IF($C22=0,"",IF(AQ$12&lt;&gt;$C$5,NA(),INDEX(auto_DataFlat_Score,INDEX(sys_DataFlat_LU_Grid,$C22,AQ$11))))</f>
        <v/>
      </c>
      <c r="AR22" t="str" cm="1">
        <f t="array" aca="1" ref="AR22" ca="1">IF($C22=0,"",IF(AR$12&lt;&gt;$C$5,NA(),INDEX(auto_DataFlat_Score,INDEX(sys_DataFlat_LU_Grid,$C22,AR$11))))</f>
        <v/>
      </c>
      <c r="AS22" t="str" cm="1">
        <f t="array" aca="1" ref="AS22" ca="1">IF($C22=0,"",IF(AS$12&lt;&gt;$C$5,NA(),INDEX(auto_DataFlat_Score,INDEX(sys_DataFlat_LU_Grid,$C22,AS$11))))</f>
        <v/>
      </c>
      <c r="AT22" t="str" cm="1">
        <f t="array" aca="1" ref="AT22" ca="1">IF($C22=0,"",IF(AT$12&lt;&gt;$C$5,NA(),INDEX(auto_DataFlat_Score,INDEX(sys_DataFlat_LU_Grid,$C22,AT$11))))</f>
        <v/>
      </c>
      <c r="AU22" t="str" cm="1">
        <f t="array" aca="1" ref="AU22" ca="1">IF($C22=0,"",IF(AU$12&lt;&gt;$C$5,NA(),INDEX(auto_DataFlat_Score,INDEX(sys_DataFlat_LU_Grid,$C22,AU$11))))</f>
        <v/>
      </c>
      <c r="AV22" t="str" cm="1">
        <f t="array" aca="1" ref="AV22" ca="1">IF($C22=0,"",IF(AV$12&lt;&gt;$C$5,NA(),INDEX(auto_DataFlat_Score,INDEX(sys_DataFlat_LU_Grid,$C22,AV$11))))</f>
        <v/>
      </c>
      <c r="AW22" t="str" cm="1">
        <f t="array" aca="1" ref="AW22" ca="1">IF($C22=0,"",IF(AW$12&lt;&gt;$C$5,NA(),INDEX(auto_DataFlat_Score,INDEX(sys_DataFlat_LU_Grid,$C22,AW$11))))</f>
        <v/>
      </c>
      <c r="AX22" t="str" cm="1">
        <f t="array" aca="1" ref="AX22" ca="1">IF($C22=0,"",IF(AX$12&lt;&gt;$C$5,NA(),INDEX(auto_DataFlat_Score,INDEX(sys_DataFlat_LU_Grid,$C22,AX$11))))</f>
        <v/>
      </c>
      <c r="AY22" t="str" cm="1">
        <f t="array" aca="1" ref="AY22" ca="1">IF($C22=0,"",IF(AY$12&lt;&gt;$C$5,NA(),INDEX(auto_DataFlat_Score,INDEX(sys_DataFlat_LU_Grid,$C22,AY$11))))</f>
        <v/>
      </c>
      <c r="AZ22" t="str" cm="1">
        <f t="array" aca="1" ref="AZ22" ca="1">IF($C22=0,"",IF(AZ$12&lt;&gt;$C$5,NA(),INDEX(auto_DataFlat_Score,INDEX(sys_DataFlat_LU_Grid,$C22,AZ$11))))</f>
        <v/>
      </c>
      <c r="BA22" t="str" cm="1">
        <f t="array" aca="1" ref="BA22" ca="1">IF($C22=0,"",IF(BA$12&lt;&gt;$C$5,NA(),INDEX(auto_DataFlat_Score,INDEX(sys_DataFlat_LU_Grid,$C22,BA$11))))</f>
        <v/>
      </c>
      <c r="BB22" t="str" cm="1">
        <f t="array" aca="1" ref="BB22" ca="1">IF($C22=0,"",IF(BB$12&lt;&gt;$C$5,NA(),INDEX(auto_DataFlat_Score,INDEX(sys_DataFlat_LU_Grid,$C22,BB$11))))</f>
        <v/>
      </c>
      <c r="BC22" t="str" cm="1">
        <f t="array" aca="1" ref="BC22" ca="1">IF($C22=0,"",IF(BC$12&lt;&gt;$C$5,NA(),INDEX(auto_DataFlat_Score,INDEX(sys_DataFlat_LU_Grid,$C22,BC$11))))</f>
        <v/>
      </c>
      <c r="BD22" t="str" cm="1">
        <f t="array" aca="1" ref="BD22" ca="1">IF($C22=0,"",IF(BD$12&lt;&gt;$C$5,NA(),INDEX(auto_DataFlat_Score,INDEX(sys_DataFlat_LU_Grid,$C22,BD$11))))</f>
        <v/>
      </c>
      <c r="BE22" t="str" cm="1">
        <f t="array" aca="1" ref="BE22" ca="1">IF($C22=0,"",IF(BE$12&lt;&gt;$C$5,NA(),INDEX(auto_DataFlat_Score,INDEX(sys_DataFlat_LU_Grid,$C22,BE$11))))</f>
        <v/>
      </c>
      <c r="BF22" t="str" cm="1">
        <f t="array" aca="1" ref="BF22" ca="1">IF($C22=0,"",IF(BF$12&lt;&gt;$C$5,NA(),INDEX(auto_DataFlat_Score,INDEX(sys_DataFlat_LU_Grid,$C22,BF$11))))</f>
        <v/>
      </c>
      <c r="BG22" t="str" cm="1">
        <f t="array" aca="1" ref="BG22" ca="1">IF($C22=0,"",IF(BG$12&lt;&gt;$C$5,NA(),INDEX(auto_DataFlat_Score,INDEX(sys_DataFlat_LU_Grid,$C22,BG$11))))</f>
        <v/>
      </c>
      <c r="BH22" t="str" cm="1">
        <f t="array" aca="1" ref="BH22" ca="1">IF($C22=0,"",IF(BH$12&lt;&gt;$C$5,NA(),INDEX(auto_DataFlat_Score,INDEX(sys_DataFlat_LU_Grid,$C22,BH$11))))</f>
        <v/>
      </c>
      <c r="BI22" t="str" cm="1">
        <f t="array" aca="1" ref="BI22" ca="1">IF($C22=0,"",IF(BI$12&lt;&gt;$C$5,NA(),INDEX(auto_DataFlat_Score,INDEX(sys_DataFlat_LU_Grid,$C22,BI$11))))</f>
        <v/>
      </c>
      <c r="BJ22" t="str" cm="1">
        <f t="array" aca="1" ref="BJ22" ca="1">IF($C22=0,"",IF(BJ$12&lt;&gt;$C$5,NA(),INDEX(auto_DataFlat_Score,INDEX(sys_DataFlat_LU_Grid,$C22,BJ$11))))</f>
        <v/>
      </c>
      <c r="BK22" t="str" cm="1">
        <f t="array" aca="1" ref="BK22" ca="1">IF($C22=0,"",IF(BK$12&lt;&gt;$C$5,NA(),INDEX(auto_DataFlat_Score,INDEX(sys_DataFlat_LU_Grid,$C22,BK$11))))</f>
        <v/>
      </c>
      <c r="BL22" t="str" cm="1">
        <f t="array" aca="1" ref="BL22" ca="1">IF($C22=0,"",IF(BL$12&lt;&gt;$C$5,NA(),INDEX(auto_DataFlat_Score,INDEX(sys_DataFlat_LU_Grid,$C22,BL$11))))</f>
        <v/>
      </c>
      <c r="BM22" t="str" cm="1">
        <f t="array" aca="1" ref="BM22" ca="1">IF($C22=0,"",IF(BM$12&lt;&gt;$C$5,NA(),INDEX(auto_DataFlat_Score,INDEX(sys_DataFlat_LU_Grid,$C22,BM$11))))</f>
        <v/>
      </c>
    </row>
    <row r="24" spans="2:75" x14ac:dyDescent="0.4">
      <c r="B24" t="s">
        <v>1639</v>
      </c>
    </row>
    <row r="25" spans="2:75" x14ac:dyDescent="0.4">
      <c r="B25">
        <v>1</v>
      </c>
      <c r="C25" cm="1">
        <f t="array" aca="1" ref="C25" ca="1">INDEX(OFFSET(auto_ss_depth_2,0,1,300,1),B25)</f>
        <v>3</v>
      </c>
      <c r="D25" cm="1">
        <f t="array" aca="1" ref="D25" ca="1">IF(C25=0,0,INDEX(sys_DataFlat_LU_Grid_Groups,$C25,$C$9))</f>
        <v>171</v>
      </c>
      <c r="E25" cm="1">
        <f t="array" aca="1" ref="E25" ca="1">IF(D25=0,"",INDEX(auto_DataFlat_Score,D25))</f>
        <v>67.2</v>
      </c>
      <c r="G25">
        <f ca="1">ROUND(AVERAGE(P25:BM25),1)</f>
        <v>67.2</v>
      </c>
      <c r="H25" t="e" cm="1">
        <f t="array" ref="H25">IF($C$8=0,NA(),INDEX($P25:$BM25,$C$8))</f>
        <v>#N/A</v>
      </c>
      <c r="I25" cm="1">
        <f t="array" aca="1" ref="I25" ca="1">IF(C25=0,0,INDEX(sys_DataFlat_LU_Grid,$C25,$C$2))</f>
        <v>121</v>
      </c>
      <c r="J25" t="str" cm="1">
        <f t="array" aca="1" ref="J25" ca="1">IF(C25=0,"",INDEX(auto_Series_NameNoNumber,C25))</f>
        <v>Poverty and inequality</v>
      </c>
      <c r="K25" cm="1">
        <f t="array" aca="1" ref="K25" ca="1">IF(C25=0,"",INDEX(K$94:K$162,$C25))</f>
        <v>82.5</v>
      </c>
      <c r="L25" t="str" cm="1">
        <f t="array" aca="1" ref="L25" ca="1">IF(C25=0,"",INDEX(L$94:L$162,$C25))</f>
        <v>=21</v>
      </c>
      <c r="M25">
        <f ca="1">IF(C25=0,"",STANDARDIZE(K25,AVERAGE(P25:AA25),STDEV((P25:AA25))))</f>
        <v>0.99927060753729413</v>
      </c>
      <c r="N25" cm="1">
        <f t="array" aca="1" ref="N25" ca="1">IF(C25=0,"",INDEX($N$94:$N$162,$C25))</f>
        <v>5</v>
      </c>
      <c r="O25" t="e" cm="1">
        <f t="array" aca="1" ref="O25" ca="1">IF(C25=0,"",INDEX(#REF!,$C25))</f>
        <v>#REF!</v>
      </c>
      <c r="P25" cm="1">
        <f t="array" aca="1" ref="P25" ca="1">IF($C25=0,"",IF(P$12&lt;&gt;$C$5,NA(),INDEX(auto_DataFlat_Score,INDEX(sys_DataFlat_LU_Grid,$C25,P$11))))</f>
        <v>82.5</v>
      </c>
      <c r="Q25" cm="1">
        <f t="array" aca="1" ref="Q25" ca="1">IF($C25=0,"",IF(Q$12&lt;&gt;$C$5,NA(),INDEX(auto_DataFlat_Score,INDEX(sys_DataFlat_LU_Grid,$C25,Q$11))))</f>
        <v>36.200000000000003</v>
      </c>
      <c r="R25" cm="1">
        <f t="array" aca="1" ref="R25" ca="1">IF($C25=0,"",IF(R$12&lt;&gt;$C$5,NA(),INDEX(auto_DataFlat_Score,INDEX(sys_DataFlat_LU_Grid,$C25,R$11))))</f>
        <v>80.099999999999994</v>
      </c>
      <c r="S25" cm="1">
        <f t="array" aca="1" ref="S25" ca="1">IF($C25=0,"",IF(S$12&lt;&gt;$C$5,NA(),INDEX(auto_DataFlat_Score,INDEX(sys_DataFlat_LU_Grid,$C25,S$11))))</f>
        <v>34</v>
      </c>
      <c r="T25" cm="1">
        <f t="array" aca="1" ref="T25" ca="1">IF($C25=0,"",IF(T$12&lt;&gt;$C$5,NA(),INDEX(auto_DataFlat_Score,INDEX(sys_DataFlat_LU_Grid,$C25,T$11))))</f>
        <v>82.6</v>
      </c>
      <c r="U25" cm="1">
        <f t="array" aca="1" ref="U25" ca="1">IF($C25=0,"",IF(U$12&lt;&gt;$C$5,NA(),INDEX(auto_DataFlat_Score,INDEX(sys_DataFlat_LU_Grid,$C25,U$11))))</f>
        <v>31.5</v>
      </c>
      <c r="V25" cm="1">
        <f t="array" aca="1" ref="V25" ca="1">IF($C25=0,"",IF(V$12&lt;&gt;$C$5,NA(),INDEX(auto_DataFlat_Score,INDEX(sys_DataFlat_LU_Grid,$C25,V$11))))</f>
        <v>84.2</v>
      </c>
      <c r="W25" cm="1">
        <f t="array" aca="1" ref="W25" ca="1">IF($C25=0,"",IF(W$12&lt;&gt;$C$5,NA(),INDEX(auto_DataFlat_Score,INDEX(sys_DataFlat_LU_Grid,$C25,W$11))))</f>
        <v>72.599999999999994</v>
      </c>
      <c r="X25" cm="1">
        <f t="array" aca="1" ref="X25" ca="1">IF($C25=0,"",IF(X$12&lt;&gt;$C$5,NA(),INDEX(auto_DataFlat_Score,INDEX(sys_DataFlat_LU_Grid,$C25,X$11))))</f>
        <v>85.4</v>
      </c>
      <c r="Y25" cm="1">
        <f t="array" aca="1" ref="Y25" ca="1">IF($C25=0,"",IF(Y$12&lt;&gt;$C$5,NA(),INDEX(auto_DataFlat_Score,INDEX(sys_DataFlat_LU_Grid,$C25,Y$11))))</f>
        <v>34.1</v>
      </c>
      <c r="Z25" cm="1">
        <f t="array" aca="1" ref="Z25" ca="1">IF($C25=0,"",IF(Z$12&lt;&gt;$C$5,NA(),INDEX(auto_DataFlat_Score,INDEX(sys_DataFlat_LU_Grid,$C25,Z$11))))</f>
        <v>31.2</v>
      </c>
      <c r="AA25" cm="1">
        <f t="array" aca="1" ref="AA25" ca="1">IF($C25=0,"",IF(AA$12&lt;&gt;$C$5,NA(),INDEX(auto_DataFlat_Score,INDEX(sys_DataFlat_LU_Grid,$C25,AA$11))))</f>
        <v>33.6</v>
      </c>
      <c r="AB25" cm="1">
        <f t="array" aca="1" ref="AB25" ca="1">IF($C25=0,"",IF(AB$12&lt;&gt;$C$5,NA(),INDEX(auto_DataFlat_Score,INDEX(sys_DataFlat_LU_Grid,$C25,AB$11))))</f>
        <v>83.3</v>
      </c>
      <c r="AC25" cm="1">
        <f t="array" aca="1" ref="AC25" ca="1">IF($C25=0,"",IF(AC$12&lt;&gt;$C$5,NA(),INDEX(auto_DataFlat_Score,INDEX(sys_DataFlat_LU_Grid,$C25,AC$11))))</f>
        <v>87</v>
      </c>
      <c r="AD25" cm="1">
        <f t="array" aca="1" ref="AD25" ca="1">IF($C25=0,"",IF(AD$12&lt;&gt;$C$5,NA(),INDEX(auto_DataFlat_Score,INDEX(sys_DataFlat_LU_Grid,$C25,AD$11))))</f>
        <v>86.2</v>
      </c>
      <c r="AE25" cm="1">
        <f t="array" aca="1" ref="AE25" ca="1">IF($C25=0,"",IF(AE$12&lt;&gt;$C$5,NA(),INDEX(auto_DataFlat_Score,INDEX(sys_DataFlat_LU_Grid,$C25,AE$11))))</f>
        <v>82</v>
      </c>
      <c r="AF25" cm="1">
        <f t="array" aca="1" ref="AF25" ca="1">IF($C25=0,"",IF(AF$12&lt;&gt;$C$5,NA(),INDEX(auto_DataFlat_Score,INDEX(sys_DataFlat_LU_Grid,$C25,AF$11))))</f>
        <v>84</v>
      </c>
      <c r="AG25" cm="1">
        <f t="array" aca="1" ref="AG25" ca="1">IF($C25=0,"",IF(AG$12&lt;&gt;$C$5,NA(),INDEX(auto_DataFlat_Score,INDEX(sys_DataFlat_LU_Grid,$C25,AG$11))))</f>
        <v>77.8</v>
      </c>
      <c r="AH25" cm="1">
        <f t="array" aca="1" ref="AH25" ca="1">IF($C25=0,"",IF(AH$12&lt;&gt;$C$5,NA(),INDEX(auto_DataFlat_Score,INDEX(sys_DataFlat_LU_Grid,$C25,AH$11))))</f>
        <v>80.900000000000006</v>
      </c>
      <c r="AI25" cm="1">
        <f t="array" aca="1" ref="AI25" ca="1">IF($C25=0,"",IF(AI$12&lt;&gt;$C$5,NA(),INDEX(auto_DataFlat_Score,INDEX(sys_DataFlat_LU_Grid,$C25,AI$11))))</f>
        <v>68.5</v>
      </c>
      <c r="AJ25" cm="1">
        <f t="array" aca="1" ref="AJ25" ca="1">IF($C25=0,"",IF(AJ$12&lt;&gt;$C$5,NA(),INDEX(auto_DataFlat_Score,INDEX(sys_DataFlat_LU_Grid,$C25,AJ$11))))</f>
        <v>35.200000000000003</v>
      </c>
      <c r="AK25" cm="1">
        <f t="array" aca="1" ref="AK25" ca="1">IF($C25=0,"",IF(AK$12&lt;&gt;$C$5,NA(),INDEX(auto_DataFlat_Score,INDEX(sys_DataFlat_LU_Grid,$C25,AK$11))))</f>
        <v>33.6</v>
      </c>
      <c r="AL25" cm="1">
        <f t="array" aca="1" ref="AL25" ca="1">IF($C25=0,"",IF(AL$12&lt;&gt;$C$5,NA(),INDEX(auto_DataFlat_Score,INDEX(sys_DataFlat_LU_Grid,$C25,AL$11))))</f>
        <v>33.6</v>
      </c>
      <c r="AM25" cm="1">
        <f t="array" aca="1" ref="AM25" ca="1">IF($C25=0,"",IF(AM$12&lt;&gt;$C$5,NA(),INDEX(auto_DataFlat_Score,INDEX(sys_DataFlat_LU_Grid,$C25,AM$11))))</f>
        <v>34</v>
      </c>
      <c r="AN25" cm="1">
        <f t="array" aca="1" ref="AN25" ca="1">IF($C25=0,"",IF(AN$12&lt;&gt;$C$5,NA(),INDEX(auto_DataFlat_Score,INDEX(sys_DataFlat_LU_Grid,$C25,AN$11))))</f>
        <v>82.5</v>
      </c>
      <c r="AO25" cm="1">
        <f t="array" aca="1" ref="AO25" ca="1">IF($C25=0,"",IF(AO$12&lt;&gt;$C$5,NA(),INDEX(auto_DataFlat_Score,INDEX(sys_DataFlat_LU_Grid,$C25,AO$11))))</f>
        <v>83.8</v>
      </c>
      <c r="AP25" cm="1">
        <f t="array" aca="1" ref="AP25" ca="1">IF($C25=0,"",IF(AP$12&lt;&gt;$C$5,NA(),INDEX(auto_DataFlat_Score,INDEX(sys_DataFlat_LU_Grid,$C25,AP$11))))</f>
        <v>83.1</v>
      </c>
      <c r="AQ25" cm="1">
        <f t="array" aca="1" ref="AQ25" ca="1">IF($C25=0,"",IF(AQ$12&lt;&gt;$C$5,NA(),INDEX(auto_DataFlat_Score,INDEX(sys_DataFlat_LU_Grid,$C25,AQ$11))))</f>
        <v>79.7</v>
      </c>
      <c r="AR25" cm="1">
        <f t="array" aca="1" ref="AR25" ca="1">IF($C25=0,"",IF(AR$12&lt;&gt;$C$5,NA(),INDEX(auto_DataFlat_Score,INDEX(sys_DataFlat_LU_Grid,$C25,AR$11))))</f>
        <v>82.9</v>
      </c>
      <c r="AS25" cm="1">
        <f t="array" aca="1" ref="AS25" ca="1">IF($C25=0,"",IF(AS$12&lt;&gt;$C$5,NA(),INDEX(auto_DataFlat_Score,INDEX(sys_DataFlat_LU_Grid,$C25,AS$11))))</f>
        <v>78.3</v>
      </c>
      <c r="AT25" cm="1">
        <f t="array" aca="1" ref="AT25" ca="1">IF($C25=0,"",IF(AT$12&lt;&gt;$C$5,NA(),INDEX(auto_DataFlat_Score,INDEX(sys_DataFlat_LU_Grid,$C25,AT$11))))</f>
        <v>82</v>
      </c>
      <c r="AU25" cm="1">
        <f t="array" aca="1" ref="AU25" ca="1">IF($C25=0,"",IF(AU$12&lt;&gt;$C$5,NA(),INDEX(auto_DataFlat_Score,INDEX(sys_DataFlat_LU_Grid,$C25,AU$11))))</f>
        <v>33.6</v>
      </c>
      <c r="AV25" cm="1">
        <f t="array" aca="1" ref="AV25" ca="1">IF($C25=0,"",IF(AV$12&lt;&gt;$C$5,NA(),INDEX(auto_DataFlat_Score,INDEX(sys_DataFlat_LU_Grid,$C25,AV$11))))</f>
        <v>80.7</v>
      </c>
      <c r="AW25" cm="1">
        <f t="array" aca="1" ref="AW25" ca="1">IF($C25=0,"",IF(AW$12&lt;&gt;$C$5,NA(),INDEX(auto_DataFlat_Score,INDEX(sys_DataFlat_LU_Grid,$C25,AW$11))))</f>
        <v>80.099999999999994</v>
      </c>
      <c r="AX25" cm="1">
        <f t="array" aca="1" ref="AX25" ca="1">IF($C25=0,"",IF(AX$12&lt;&gt;$C$5,NA(),INDEX(auto_DataFlat_Score,INDEX(sys_DataFlat_LU_Grid,$C25,AX$11))))</f>
        <v>83.6</v>
      </c>
      <c r="AY25" cm="1">
        <f t="array" aca="1" ref="AY25" ca="1">IF($C25=0,"",IF(AY$12&lt;&gt;$C$5,NA(),INDEX(auto_DataFlat_Score,INDEX(sys_DataFlat_LU_Grid,$C25,AY$11))))</f>
        <v>84.3</v>
      </c>
      <c r="AZ25" cm="1">
        <f t="array" aca="1" ref="AZ25" ca="1">IF($C25=0,"",IF(AZ$12&lt;&gt;$C$5,NA(),INDEX(auto_DataFlat_Score,INDEX(sys_DataFlat_LU_Grid,$C25,AZ$11))))</f>
        <v>31.3</v>
      </c>
      <c r="BA25" cm="1">
        <f t="array" aca="1" ref="BA25" ca="1">IF($C25=0,"",IF(BA$12&lt;&gt;$C$5,NA(),INDEX(auto_DataFlat_Score,INDEX(sys_DataFlat_LU_Grid,$C25,BA$11))))</f>
        <v>34</v>
      </c>
      <c r="BB25" cm="1">
        <f t="array" aca="1" ref="BB25" ca="1">IF($C25=0,"",IF(BB$12&lt;&gt;$C$5,NA(),INDEX(auto_DataFlat_Score,INDEX(sys_DataFlat_LU_Grid,$C25,BB$11))))</f>
        <v>82.6</v>
      </c>
      <c r="BC25" cm="1">
        <f t="array" aca="1" ref="BC25" ca="1">IF($C25=0,"",IF(BC$12&lt;&gt;$C$5,NA(),INDEX(auto_DataFlat_Score,INDEX(sys_DataFlat_LU_Grid,$C25,BC$11))))</f>
        <v>80.099999999999994</v>
      </c>
      <c r="BD25" cm="1">
        <f t="array" aca="1" ref="BD25" ca="1">IF($C25=0,"",IF(BD$12&lt;&gt;$C$5,NA(),INDEX(auto_DataFlat_Score,INDEX(sys_DataFlat_LU_Grid,$C25,BD$11))))</f>
        <v>74</v>
      </c>
      <c r="BE25" cm="1">
        <f t="array" aca="1" ref="BE25" ca="1">IF($C25=0,"",IF(BE$12&lt;&gt;$C$5,NA(),INDEX(auto_DataFlat_Score,INDEX(sys_DataFlat_LU_Grid,$C25,BE$11))))</f>
        <v>84.3</v>
      </c>
      <c r="BF25" cm="1">
        <f t="array" aca="1" ref="BF25" ca="1">IF($C25=0,"",IF(BF$12&lt;&gt;$C$5,NA(),INDEX(auto_DataFlat_Score,INDEX(sys_DataFlat_LU_Grid,$C25,BF$11))))</f>
        <v>31.5</v>
      </c>
      <c r="BG25" cm="1">
        <f t="array" aca="1" ref="BG25" ca="1">IF($C25=0,"",IF(BG$12&lt;&gt;$C$5,NA(),INDEX(auto_DataFlat_Score,INDEX(sys_DataFlat_LU_Grid,$C25,BG$11))))</f>
        <v>84</v>
      </c>
      <c r="BH25" cm="1">
        <f t="array" aca="1" ref="BH25" ca="1">IF($C25=0,"",IF(BH$12&lt;&gt;$C$5,NA(),INDEX(auto_DataFlat_Score,INDEX(sys_DataFlat_LU_Grid,$C25,BH$11))))</f>
        <v>82.9</v>
      </c>
      <c r="BI25" cm="1">
        <f t="array" aca="1" ref="BI25" ca="1">IF($C25=0,"",IF(BI$12&lt;&gt;$C$5,NA(),INDEX(auto_DataFlat_Score,INDEX(sys_DataFlat_LU_Grid,$C25,BI$11))))</f>
        <v>83.6</v>
      </c>
      <c r="BJ25" cm="1">
        <f t="array" aca="1" ref="BJ25" ca="1">IF($C25=0,"",IF(BJ$12&lt;&gt;$C$5,NA(),INDEX(auto_DataFlat_Score,INDEX(sys_DataFlat_LU_Grid,$C25,BJ$11))))</f>
        <v>84.2</v>
      </c>
      <c r="BK25" cm="1">
        <f t="array" aca="1" ref="BK25" ca="1">IF($C25=0,"",IF(BK$12&lt;&gt;$C$5,NA(),INDEX(auto_DataFlat_Score,INDEX(sys_DataFlat_LU_Grid,$C25,BK$11))))</f>
        <v>84.7</v>
      </c>
      <c r="BL25" cm="1">
        <f t="array" aca="1" ref="BL25" ca="1">IF($C25=0,"",IF(BL$12&lt;&gt;$C$5,NA(),INDEX(auto_DataFlat_Score,INDEX(sys_DataFlat_LU_Grid,$C25,BL$11))))</f>
        <v>31.5</v>
      </c>
      <c r="BM25" cm="1">
        <f t="array" aca="1" ref="BM25" ca="1">IF($C25=0,"",IF(BM$12&lt;&gt;$C$5,NA(),INDEX(auto_DataFlat_Score,INDEX(sys_DataFlat_LU_Grid,$C25,BM$11))))</f>
        <v>84.7</v>
      </c>
      <c r="BO25">
        <f ca="1">MIN(P25:BM25)</f>
        <v>31.2</v>
      </c>
      <c r="BP25">
        <f ca="1">MAX(P25:BM25)</f>
        <v>87</v>
      </c>
    </row>
    <row r="26" spans="2:75" x14ac:dyDescent="0.4">
      <c r="B26">
        <v>2</v>
      </c>
      <c r="C26" cm="1">
        <f t="array" aca="1" ref="C26" ca="1">INDEX(OFFSET(auto_ss_depth_2,0,1,300,1),B26)</f>
        <v>6</v>
      </c>
      <c r="D26" cm="1">
        <f t="array" aca="1" ref="D26" ca="1">IF(C26=0,0,INDEX(sys_DataFlat_LU_Grid_Groups,$C26,$C$9))</f>
        <v>351</v>
      </c>
      <c r="E26" cm="1">
        <f t="array" aca="1" ref="E26" ca="1">IF(D26=0,"",INDEX(auto_DataFlat_Score,D26))</f>
        <v>59.4</v>
      </c>
      <c r="G26">
        <f ca="1">ROUND(AVERAGE(P26:BM26),1)</f>
        <v>59.4</v>
      </c>
      <c r="H26" t="e" cm="1">
        <f t="array" ref="H26">IF($C$8=0,NA(),INDEX($P26:$BM26,$C$8))</f>
        <v>#N/A</v>
      </c>
      <c r="I26" cm="1">
        <f t="array" aca="1" ref="I26" ca="1">IF(C26=0,0,INDEX(sys_DataFlat_LU_Grid,$C26,$C$2))</f>
        <v>301</v>
      </c>
      <c r="J26" t="str" cm="1">
        <f t="array" aca="1" ref="J26" ca="1">IF(C26=0,"",INDEX(auto_Series_NameNoNumber,C26))</f>
        <v>Education</v>
      </c>
      <c r="K26" cm="1">
        <f t="array" aca="1" ref="K26" ca="1">IF(C26=0,"",INDEX(K$94:K$162,$C26))</f>
        <v>2.2999999999999998</v>
      </c>
      <c r="L26" t="str" cm="1">
        <f t="array" aca="1" ref="L26" ca="1">IF(C26=0,"",INDEX(L$94:L$162,$C26))</f>
        <v>50</v>
      </c>
      <c r="M26">
        <f t="shared" ref="M26" ca="1" si="8">IF(C26=0,"",STANDARDIZE(K26,AVERAGE(P26:AA26),STDEV((P26:AA26))))</f>
        <v>-1.6210844428565165</v>
      </c>
      <c r="N26" cm="1">
        <f t="array" aca="1" ref="N26" ca="1">IF(C26=0,"",INDEX($N$94:$N$162,$C26))</f>
        <v>1</v>
      </c>
      <c r="O26" t="e" cm="1">
        <f t="array" aca="1" ref="O26" ca="1">IF(C26=0,"",INDEX(#REF!,$C26))</f>
        <v>#REF!</v>
      </c>
      <c r="P26" cm="1">
        <f t="array" aca="1" ref="P26" ca="1">IF($C26=0,"",IF(P$12&lt;&gt;$C$5,NA(),INDEX(auto_DataFlat_Score,INDEX(sys_DataFlat_LU_Grid,$C26,P$11))))</f>
        <v>2.2999999999999998</v>
      </c>
      <c r="Q26" cm="1">
        <f t="array" aca="1" ref="Q26" ca="1">IF($C26=0,"",IF(Q$12&lt;&gt;$C$5,NA(),INDEX(auto_DataFlat_Score,INDEX(sys_DataFlat_LU_Grid,$C26,Q$11))))</f>
        <v>12.1</v>
      </c>
      <c r="R26" cm="1">
        <f t="array" aca="1" ref="R26" ca="1">IF($C26=0,"",IF(R$12&lt;&gt;$C$5,NA(),INDEX(auto_DataFlat_Score,INDEX(sys_DataFlat_LU_Grid,$C26,R$11))))</f>
        <v>95.7</v>
      </c>
      <c r="S26" cm="1">
        <f t="array" aca="1" ref="S26" ca="1">IF($C26=0,"",IF(S$12&lt;&gt;$C$5,NA(),INDEX(auto_DataFlat_Score,INDEX(sys_DataFlat_LU_Grid,$C26,S$11))))</f>
        <v>87.6</v>
      </c>
      <c r="T26" cm="1">
        <f t="array" aca="1" ref="T26" ca="1">IF($C26=0,"",IF(T$12&lt;&gt;$C$5,NA(),INDEX(auto_DataFlat_Score,INDEX(sys_DataFlat_LU_Grid,$C26,T$11))))</f>
        <v>67.7</v>
      </c>
      <c r="U26" cm="1">
        <f t="array" aca="1" ref="U26" ca="1">IF($C26=0,"",IF(U$12&lt;&gt;$C$5,NA(),INDEX(auto_DataFlat_Score,INDEX(sys_DataFlat_LU_Grid,$C26,U$11))))</f>
        <v>68</v>
      </c>
      <c r="V26" cm="1">
        <f t="array" aca="1" ref="V26" ca="1">IF($C26=0,"",IF(V$12&lt;&gt;$C$5,NA(),INDEX(auto_DataFlat_Score,INDEX(sys_DataFlat_LU_Grid,$C26,V$11))))</f>
        <v>91.9</v>
      </c>
      <c r="W26" cm="1">
        <f t="array" aca="1" ref="W26" ca="1">IF($C26=0,"",IF(W$12&lt;&gt;$C$5,NA(),INDEX(auto_DataFlat_Score,INDEX(sys_DataFlat_LU_Grid,$C26,W$11))))</f>
        <v>27</v>
      </c>
      <c r="X26" cm="1">
        <f t="array" aca="1" ref="X26" ca="1">IF($C26=0,"",IF(X$12&lt;&gt;$C$5,NA(),INDEX(auto_DataFlat_Score,INDEX(sys_DataFlat_LU_Grid,$C26,X$11))))</f>
        <v>90</v>
      </c>
      <c r="Y26" cm="1">
        <f t="array" aca="1" ref="Y26" ca="1">IF($C26=0,"",IF(Y$12&lt;&gt;$C$5,NA(),INDEX(auto_DataFlat_Score,INDEX(sys_DataFlat_LU_Grid,$C26,Y$11))))</f>
        <v>33.6</v>
      </c>
      <c r="Z26" cm="1">
        <f t="array" aca="1" ref="Z26" ca="1">IF($C26=0,"",IF(Z$12&lt;&gt;$C$5,NA(),INDEX(auto_DataFlat_Score,INDEX(sys_DataFlat_LU_Grid,$C26,Z$11))))</f>
        <v>31.9</v>
      </c>
      <c r="AA26" cm="1">
        <f t="array" aca="1" ref="AA26" ca="1">IF($C26=0,"",IF(AA$12&lt;&gt;$C$5,NA(),INDEX(auto_DataFlat_Score,INDEX(sys_DataFlat_LU_Grid,$C26,AA$11))))</f>
        <v>65.8</v>
      </c>
      <c r="AB26" cm="1">
        <f t="array" aca="1" ref="AB26" ca="1">IF($C26=0,"",IF(AB$12&lt;&gt;$C$5,NA(),INDEX(auto_DataFlat_Score,INDEX(sys_DataFlat_LU_Grid,$C26,AB$11))))</f>
        <v>15.7</v>
      </c>
      <c r="AC26" cm="1">
        <f t="array" aca="1" ref="AC26" ca="1">IF($C26=0,"",IF(AC$12&lt;&gt;$C$5,NA(),INDEX(auto_DataFlat_Score,INDEX(sys_DataFlat_LU_Grid,$C26,AC$11))))</f>
        <v>36.799999999999997</v>
      </c>
      <c r="AD26" cm="1">
        <f t="array" aca="1" ref="AD26" ca="1">IF($C26=0,"",IF(AD$12&lt;&gt;$C$5,NA(),INDEX(auto_DataFlat_Score,INDEX(sys_DataFlat_LU_Grid,$C26,AD$11))))</f>
        <v>88.8</v>
      </c>
      <c r="AE26" cm="1">
        <f t="array" aca="1" ref="AE26" ca="1">IF($C26=0,"",IF(AE$12&lt;&gt;$C$5,NA(),INDEX(auto_DataFlat_Score,INDEX(sys_DataFlat_LU_Grid,$C26,AE$11))))</f>
        <v>66</v>
      </c>
      <c r="AF26" cm="1">
        <f t="array" aca="1" ref="AF26" ca="1">IF($C26=0,"",IF(AF$12&lt;&gt;$C$5,NA(),INDEX(auto_DataFlat_Score,INDEX(sys_DataFlat_LU_Grid,$C26,AF$11))))</f>
        <v>82.6</v>
      </c>
      <c r="AG26" cm="1">
        <f t="array" aca="1" ref="AG26" ca="1">IF($C26=0,"",IF(AG$12&lt;&gt;$C$5,NA(),INDEX(auto_DataFlat_Score,INDEX(sys_DataFlat_LU_Grid,$C26,AG$11))))</f>
        <v>71.099999999999994</v>
      </c>
      <c r="AH26" cm="1">
        <f t="array" aca="1" ref="AH26" ca="1">IF($C26=0,"",IF(AH$12&lt;&gt;$C$5,NA(),INDEX(auto_DataFlat_Score,INDEX(sys_DataFlat_LU_Grid,$C26,AH$11))))</f>
        <v>69.099999999999994</v>
      </c>
      <c r="AI26" cm="1">
        <f t="array" aca="1" ref="AI26" ca="1">IF($C26=0,"",IF(AI$12&lt;&gt;$C$5,NA(),INDEX(auto_DataFlat_Score,INDEX(sys_DataFlat_LU_Grid,$C26,AI$11))))</f>
        <v>86.7</v>
      </c>
      <c r="AJ26" cm="1">
        <f t="array" aca="1" ref="AJ26" ca="1">IF($C26=0,"",IF(AJ$12&lt;&gt;$C$5,NA(),INDEX(auto_DataFlat_Score,INDEX(sys_DataFlat_LU_Grid,$C26,AJ$11))))</f>
        <v>5.8</v>
      </c>
      <c r="AK26" cm="1">
        <f t="array" aca="1" ref="AK26" ca="1">IF($C26=0,"",IF(AK$12&lt;&gt;$C$5,NA(),INDEX(auto_DataFlat_Score,INDEX(sys_DataFlat_LU_Grid,$C26,AK$11))))</f>
        <v>6.1</v>
      </c>
      <c r="AL26" cm="1">
        <f t="array" aca="1" ref="AL26" ca="1">IF($C26=0,"",IF(AL$12&lt;&gt;$C$5,NA(),INDEX(auto_DataFlat_Score,INDEX(sys_DataFlat_LU_Grid,$C26,AL$11))))</f>
        <v>15.8</v>
      </c>
      <c r="AM26" cm="1">
        <f t="array" aca="1" ref="AM26" ca="1">IF($C26=0,"",IF(AM$12&lt;&gt;$C$5,NA(),INDEX(auto_DataFlat_Score,INDEX(sys_DataFlat_LU_Grid,$C26,AM$11))))</f>
        <v>15.6</v>
      </c>
      <c r="AN26" cm="1">
        <f t="array" aca="1" ref="AN26" ca="1">IF($C26=0,"",IF(AN$12&lt;&gt;$C$5,NA(),INDEX(auto_DataFlat_Score,INDEX(sys_DataFlat_LU_Grid,$C26,AN$11))))</f>
        <v>72</v>
      </c>
      <c r="AO26" cm="1">
        <f t="array" aca="1" ref="AO26" ca="1">IF($C26=0,"",IF(AO$12&lt;&gt;$C$5,NA(),INDEX(auto_DataFlat_Score,INDEX(sys_DataFlat_LU_Grid,$C26,AO$11))))</f>
        <v>90</v>
      </c>
      <c r="AP26" cm="1">
        <f t="array" aca="1" ref="AP26" ca="1">IF($C26=0,"",IF(AP$12&lt;&gt;$C$5,NA(),INDEX(auto_DataFlat_Score,INDEX(sys_DataFlat_LU_Grid,$C26,AP$11))))</f>
        <v>76.7</v>
      </c>
      <c r="AQ26" cm="1">
        <f t="array" aca="1" ref="AQ26" ca="1">IF($C26=0,"",IF(AQ$12&lt;&gt;$C$5,NA(),INDEX(auto_DataFlat_Score,INDEX(sys_DataFlat_LU_Grid,$C26,AQ$11))))</f>
        <v>15.3</v>
      </c>
      <c r="AR26" cm="1">
        <f t="array" aca="1" ref="AR26" ca="1">IF($C26=0,"",IF(AR$12&lt;&gt;$C$5,NA(),INDEX(auto_DataFlat_Score,INDEX(sys_DataFlat_LU_Grid,$C26,AR$11))))</f>
        <v>90.1</v>
      </c>
      <c r="AS26" cm="1">
        <f t="array" aca="1" ref="AS26" ca="1">IF($C26=0,"",IF(AS$12&lt;&gt;$C$5,NA(),INDEX(auto_DataFlat_Score,INDEX(sys_DataFlat_LU_Grid,$C26,AS$11))))</f>
        <v>68.2</v>
      </c>
      <c r="AT26" cm="1">
        <f t="array" aca="1" ref="AT26" ca="1">IF($C26=0,"",IF(AT$12&lt;&gt;$C$5,NA(),INDEX(auto_DataFlat_Score,INDEX(sys_DataFlat_LU_Grid,$C26,AT$11))))</f>
        <v>46.1</v>
      </c>
      <c r="AU26" cm="1">
        <f t="array" aca="1" ref="AU26" ca="1">IF($C26=0,"",IF(AU$12&lt;&gt;$C$5,NA(),INDEX(auto_DataFlat_Score,INDEX(sys_DataFlat_LU_Grid,$C26,AU$11))))</f>
        <v>15.8</v>
      </c>
      <c r="AV26" cm="1">
        <f t="array" aca="1" ref="AV26" ca="1">IF($C26=0,"",IF(AV$12&lt;&gt;$C$5,NA(),INDEX(auto_DataFlat_Score,INDEX(sys_DataFlat_LU_Grid,$C26,AV$11))))</f>
        <v>14.7</v>
      </c>
      <c r="AW26" cm="1">
        <f t="array" aca="1" ref="AW26" ca="1">IF($C26=0,"",IF(AW$12&lt;&gt;$C$5,NA(),INDEX(auto_DataFlat_Score,INDEX(sys_DataFlat_LU_Grid,$C26,AW$11))))</f>
        <v>95.7</v>
      </c>
      <c r="AX26" cm="1">
        <f t="array" aca="1" ref="AX26" ca="1">IF($C26=0,"",IF(AX$12&lt;&gt;$C$5,NA(),INDEX(auto_DataFlat_Score,INDEX(sys_DataFlat_LU_Grid,$C26,AX$11))))</f>
        <v>92.6</v>
      </c>
      <c r="AY26" cm="1">
        <f t="array" aca="1" ref="AY26" ca="1">IF($C26=0,"",IF(AY$12&lt;&gt;$C$5,NA(),INDEX(auto_DataFlat_Score,INDEX(sys_DataFlat_LU_Grid,$C26,AY$11))))</f>
        <v>86.1</v>
      </c>
      <c r="AZ26" cm="1">
        <f t="array" aca="1" ref="AZ26" ca="1">IF($C26=0,"",IF(AZ$12&lt;&gt;$C$5,NA(),INDEX(auto_DataFlat_Score,INDEX(sys_DataFlat_LU_Grid,$C26,AZ$11))))</f>
        <v>55.8</v>
      </c>
      <c r="BA26" cm="1">
        <f t="array" aca="1" ref="BA26" ca="1">IF($C26=0,"",IF(BA$12&lt;&gt;$C$5,NA(),INDEX(auto_DataFlat_Score,INDEX(sys_DataFlat_LU_Grid,$C26,BA$11))))</f>
        <v>31.2</v>
      </c>
      <c r="BB26" cm="1">
        <f t="array" aca="1" ref="BB26" ca="1">IF($C26=0,"",IF(BB$12&lt;&gt;$C$5,NA(),INDEX(auto_DataFlat_Score,INDEX(sys_DataFlat_LU_Grid,$C26,BB$11))))</f>
        <v>76.3</v>
      </c>
      <c r="BC26" cm="1">
        <f t="array" aca="1" ref="BC26" ca="1">IF($C26=0,"",IF(BC$12&lt;&gt;$C$5,NA(),INDEX(auto_DataFlat_Score,INDEX(sys_DataFlat_LU_Grid,$C26,BC$11))))</f>
        <v>95.7</v>
      </c>
      <c r="BD26" cm="1">
        <f t="array" aca="1" ref="BD26" ca="1">IF($C26=0,"",IF(BD$12&lt;&gt;$C$5,NA(),INDEX(auto_DataFlat_Score,INDEX(sys_DataFlat_LU_Grid,$C26,BD$11))))</f>
        <v>26.8</v>
      </c>
      <c r="BE26" cm="1">
        <f t="array" aca="1" ref="BE26" ca="1">IF($C26=0,"",IF(BE$12&lt;&gt;$C$5,NA(),INDEX(auto_DataFlat_Score,INDEX(sys_DataFlat_LU_Grid,$C26,BE$11))))</f>
        <v>88.2</v>
      </c>
      <c r="BF26" cm="1">
        <f t="array" aca="1" ref="BF26" ca="1">IF($C26=0,"",IF(BF$12&lt;&gt;$C$5,NA(),INDEX(auto_DataFlat_Score,INDEX(sys_DataFlat_LU_Grid,$C26,BF$11))))</f>
        <v>68</v>
      </c>
      <c r="BG26" cm="1">
        <f t="array" aca="1" ref="BG26" ca="1">IF($C26=0,"",IF(BG$12&lt;&gt;$C$5,NA(),INDEX(auto_DataFlat_Score,INDEX(sys_DataFlat_LU_Grid,$C26,BG$11))))</f>
        <v>87.3</v>
      </c>
      <c r="BH26" cm="1">
        <f t="array" aca="1" ref="BH26" ca="1">IF($C26=0,"",IF(BH$12&lt;&gt;$C$5,NA(),INDEX(auto_DataFlat_Score,INDEX(sys_DataFlat_LU_Grid,$C26,BH$11))))</f>
        <v>90.1</v>
      </c>
      <c r="BI26" cm="1">
        <f t="array" aca="1" ref="BI26" ca="1">IF($C26=0,"",IF(BI$12&lt;&gt;$C$5,NA(),INDEX(auto_DataFlat_Score,INDEX(sys_DataFlat_LU_Grid,$C26,BI$11))))</f>
        <v>92.6</v>
      </c>
      <c r="BJ26" cm="1">
        <f t="array" aca="1" ref="BJ26" ca="1">IF($C26=0,"",IF(BJ$12&lt;&gt;$C$5,NA(),INDEX(auto_DataFlat_Score,INDEX(sys_DataFlat_LU_Grid,$C26,BJ$11))))</f>
        <v>92.3</v>
      </c>
      <c r="BK26" cm="1">
        <f t="array" aca="1" ref="BK26" ca="1">IF($C26=0,"",IF(BK$12&lt;&gt;$C$5,NA(),INDEX(auto_DataFlat_Score,INDEX(sys_DataFlat_LU_Grid,$C26,BK$11))))</f>
        <v>90.4</v>
      </c>
      <c r="BL26" cm="1">
        <f t="array" aca="1" ref="BL26" ca="1">IF($C26=0,"",IF(BL$12&lt;&gt;$C$5,NA(),INDEX(auto_DataFlat_Score,INDEX(sys_DataFlat_LU_Grid,$C26,BL$11))))</f>
        <v>68</v>
      </c>
      <c r="BM26" cm="1">
        <f t="array" aca="1" ref="BM26" ca="1">IF($C26=0,"",IF(BM$12&lt;&gt;$C$5,NA(),INDEX(auto_DataFlat_Score,INDEX(sys_DataFlat_LU_Grid,$C26,BM$11))))</f>
        <v>11.4</v>
      </c>
      <c r="BO26">
        <f ca="1">MIN(P26:BM26)</f>
        <v>2.2999999999999998</v>
      </c>
      <c r="BP26">
        <f ca="1">MAX(P26:BM26)</f>
        <v>95.7</v>
      </c>
    </row>
    <row r="27" spans="2:75" x14ac:dyDescent="0.4">
      <c r="B27">
        <v>3</v>
      </c>
      <c r="C27" cm="1">
        <f t="array" aca="1" ref="C27" ca="1">INDEX(OFFSET(auto_ss_depth_2,0,1,300,1),B27)</f>
        <v>9</v>
      </c>
      <c r="D27" cm="1">
        <f t="array" aca="1" ref="D27" ca="1">IF(C27=0,0,INDEX(sys_DataFlat_LU_Grid_Groups,$C27,$C$9))</f>
        <v>531</v>
      </c>
      <c r="E27" cm="1">
        <f t="array" aca="1" ref="E27" ca="1">IF(D27=0,"",INDEX(auto_DataFlat_Score,D27))</f>
        <v>85.2</v>
      </c>
      <c r="G27">
        <f ca="1">ROUND(AVERAGE(P27:BM27),1)</f>
        <v>85.2</v>
      </c>
      <c r="H27" t="e" cm="1">
        <f t="array" ref="H27">IF($C$8=0,NA(),INDEX($P27:$BM27,$C$8))</f>
        <v>#N/A</v>
      </c>
      <c r="I27" cm="1">
        <f t="array" aca="1" ref="I27" ca="1">IF(C27=0,0,INDEX(sys_DataFlat_LU_Grid,$C27,$C$2))</f>
        <v>481</v>
      </c>
      <c r="J27" t="str" cm="1">
        <f t="array" aca="1" ref="J27" ca="1">IF(C27=0,"",INDEX(auto_Series_NameNoNumber,C27))</f>
        <v>Employment</v>
      </c>
      <c r="K27" cm="1">
        <f t="array" aca="1" ref="K27" ca="1">IF(C27=0,"",INDEX(K$94:K$162,$C27))</f>
        <v>98</v>
      </c>
      <c r="L27" t="str" cm="1">
        <f t="array" aca="1" ref="L27" ca="1">IF(C27=0,"",INDEX(L$94:L$162,$C27))</f>
        <v>19</v>
      </c>
      <c r="M27">
        <f ca="1">IF(C27=0,"",STANDARDIZE(K27,AVERAGE(P27:AA27),STDEV((P27:AA27))))</f>
        <v>0.7069459707536595</v>
      </c>
      <c r="N27" cm="1">
        <f t="array" aca="1" ref="N27" ca="1">IF(C27=0,"",INDEX($N$94:$N$162,$C27))</f>
        <v>5</v>
      </c>
      <c r="O27" t="e" cm="1">
        <f t="array" aca="1" ref="O27" ca="1">IF(C27=0,"",INDEX(#REF!,$C27))</f>
        <v>#REF!</v>
      </c>
      <c r="P27" cm="1">
        <f t="array" aca="1" ref="P27" ca="1">IF($C27=0,"",IF(P$12&lt;&gt;$C$5,NA(),INDEX(auto_DataFlat_Score,INDEX(sys_DataFlat_LU_Grid,$C27,P$11))))</f>
        <v>98</v>
      </c>
      <c r="Q27" cm="1">
        <f t="array" aca="1" ref="Q27" ca="1">IF($C27=0,"",IF(Q$12&lt;&gt;$C$5,NA(),INDEX(auto_DataFlat_Score,INDEX(sys_DataFlat_LU_Grid,$C27,Q$11))))</f>
        <v>94.2</v>
      </c>
      <c r="R27" cm="1">
        <f t="array" aca="1" ref="R27" ca="1">IF($C27=0,"",IF(R$12&lt;&gt;$C$5,NA(),INDEX(auto_DataFlat_Score,INDEX(sys_DataFlat_LU_Grid,$C27,R$11))))</f>
        <v>98.2</v>
      </c>
      <c r="S27" cm="1">
        <f t="array" aca="1" ref="S27" ca="1">IF($C27=0,"",IF(S$12&lt;&gt;$C$5,NA(),INDEX(auto_DataFlat_Score,INDEX(sys_DataFlat_LU_Grid,$C27,S$11))))</f>
        <v>98.4</v>
      </c>
      <c r="T27" cm="1">
        <f t="array" aca="1" ref="T27" ca="1">IF($C27=0,"",IF(T$12&lt;&gt;$C$5,NA(),INDEX(auto_DataFlat_Score,INDEX(sys_DataFlat_LU_Grid,$C27,T$11))))</f>
        <v>49.6</v>
      </c>
      <c r="U27" cm="1">
        <f t="array" aca="1" ref="U27" ca="1">IF($C27=0,"",IF(U$12&lt;&gt;$C$5,NA(),INDEX(auto_DataFlat_Score,INDEX(sys_DataFlat_LU_Grid,$C27,U$11))))</f>
        <v>97.6</v>
      </c>
      <c r="V27" cm="1">
        <f t="array" aca="1" ref="V27" ca="1">IF($C27=0,"",IF(V$12&lt;&gt;$C$5,NA(),INDEX(auto_DataFlat_Score,INDEX(sys_DataFlat_LU_Grid,$C27,V$11))))</f>
        <v>98.5</v>
      </c>
      <c r="W27" cm="1">
        <f t="array" aca="1" ref="W27" ca="1">IF($C27=0,"",IF(W$12&lt;&gt;$C$5,NA(),INDEX(auto_DataFlat_Score,INDEX(sys_DataFlat_LU_Grid,$C27,W$11))))</f>
        <v>94.6</v>
      </c>
      <c r="X27" cm="1">
        <f t="array" aca="1" ref="X27" ca="1">IF($C27=0,"",IF(X$12&lt;&gt;$C$5,NA(),INDEX(auto_DataFlat_Score,INDEX(sys_DataFlat_LU_Grid,$C27,X$11))))</f>
        <v>98.3</v>
      </c>
      <c r="Y27" cm="1">
        <f t="array" aca="1" ref="Y27" ca="1">IF($C27=0,"",IF(Y$12&lt;&gt;$C$5,NA(),INDEX(auto_DataFlat_Score,INDEX(sys_DataFlat_LU_Grid,$C27,Y$11))))</f>
        <v>46.5</v>
      </c>
      <c r="Z27" cm="1">
        <f t="array" aca="1" ref="Z27" ca="1">IF($C27=0,"",IF(Z$12&lt;&gt;$C$5,NA(),INDEX(auto_DataFlat_Score,INDEX(sys_DataFlat_LU_Grid,$C27,Z$11))))</f>
        <v>46.6</v>
      </c>
      <c r="AA27" cm="1">
        <f t="array" aca="1" ref="AA27" ca="1">IF($C27=0,"",IF(AA$12&lt;&gt;$C$5,NA(),INDEX(auto_DataFlat_Score,INDEX(sys_DataFlat_LU_Grid,$C27,AA$11))))</f>
        <v>46.3</v>
      </c>
      <c r="AB27" cm="1">
        <f t="array" aca="1" ref="AB27" ca="1">IF($C27=0,"",IF(AB$12&lt;&gt;$C$5,NA(),INDEX(auto_DataFlat_Score,INDEX(sys_DataFlat_LU_Grid,$C27,AB$11))))</f>
        <v>47.7</v>
      </c>
      <c r="AC27" cm="1">
        <f t="array" aca="1" ref="AC27" ca="1">IF($C27=0,"",IF(AC$12&lt;&gt;$C$5,NA(),INDEX(auto_DataFlat_Score,INDEX(sys_DataFlat_LU_Grid,$C27,AC$11))))</f>
        <v>98.6</v>
      </c>
      <c r="AD27" cm="1">
        <f t="array" aca="1" ref="AD27" ca="1">IF($C27=0,"",IF(AD$12&lt;&gt;$C$5,NA(),INDEX(auto_DataFlat_Score,INDEX(sys_DataFlat_LU_Grid,$C27,AD$11))))</f>
        <v>96.6</v>
      </c>
      <c r="AE27" cm="1">
        <f t="array" aca="1" ref="AE27" ca="1">IF($C27=0,"",IF(AE$12&lt;&gt;$C$5,NA(),INDEX(auto_DataFlat_Score,INDEX(sys_DataFlat_LU_Grid,$C27,AE$11))))</f>
        <v>99</v>
      </c>
      <c r="AF27" cm="1">
        <f t="array" aca="1" ref="AF27" ca="1">IF($C27=0,"",IF(AF$12&lt;&gt;$C$5,NA(),INDEX(auto_DataFlat_Score,INDEX(sys_DataFlat_LU_Grid,$C27,AF$11))))</f>
        <v>97.5</v>
      </c>
      <c r="AG27" cm="1">
        <f t="array" aca="1" ref="AG27" ca="1">IF($C27=0,"",IF(AG$12&lt;&gt;$C$5,NA(),INDEX(auto_DataFlat_Score,INDEX(sys_DataFlat_LU_Grid,$C27,AG$11))))</f>
        <v>95</v>
      </c>
      <c r="AH27" cm="1">
        <f t="array" aca="1" ref="AH27" ca="1">IF($C27=0,"",IF(AH$12&lt;&gt;$C$5,NA(),INDEX(auto_DataFlat_Score,INDEX(sys_DataFlat_LU_Grid,$C27,AH$11))))</f>
        <v>98.2</v>
      </c>
      <c r="AI27" cm="1">
        <f t="array" aca="1" ref="AI27" ca="1">IF($C27=0,"",IF(AI$12&lt;&gt;$C$5,NA(),INDEX(auto_DataFlat_Score,INDEX(sys_DataFlat_LU_Grid,$C27,AI$11))))</f>
        <v>85.1</v>
      </c>
      <c r="AJ27" cm="1">
        <f t="array" aca="1" ref="AJ27" ca="1">IF($C27=0,"",IF(AJ$12&lt;&gt;$C$5,NA(),INDEX(auto_DataFlat_Score,INDEX(sys_DataFlat_LU_Grid,$C27,AJ$11))))</f>
        <v>96.8</v>
      </c>
      <c r="AK27" cm="1">
        <f t="array" aca="1" ref="AK27" ca="1">IF($C27=0,"",IF(AK$12&lt;&gt;$C$5,NA(),INDEX(auto_DataFlat_Score,INDEX(sys_DataFlat_LU_Grid,$C27,AK$11))))</f>
        <v>44.4</v>
      </c>
      <c r="AL27" cm="1">
        <f t="array" aca="1" ref="AL27" ca="1">IF($C27=0,"",IF(AL$12&lt;&gt;$C$5,NA(),INDEX(auto_DataFlat_Score,INDEX(sys_DataFlat_LU_Grid,$C27,AL$11))))</f>
        <v>46.3</v>
      </c>
      <c r="AM27" cm="1">
        <f t="array" aca="1" ref="AM27" ca="1">IF($C27=0,"",IF(AM$12&lt;&gt;$C$5,NA(),INDEX(auto_DataFlat_Score,INDEX(sys_DataFlat_LU_Grid,$C27,AM$11))))</f>
        <v>48.8</v>
      </c>
      <c r="AN27" cm="1">
        <f t="array" aca="1" ref="AN27" ca="1">IF($C27=0,"",IF(AN$12&lt;&gt;$C$5,NA(),INDEX(auto_DataFlat_Score,INDEX(sys_DataFlat_LU_Grid,$C27,AN$11))))</f>
        <v>97.1</v>
      </c>
      <c r="AO27" cm="1">
        <f t="array" aca="1" ref="AO27" ca="1">IF($C27=0,"",IF(AO$12&lt;&gt;$C$5,NA(),INDEX(auto_DataFlat_Score,INDEX(sys_DataFlat_LU_Grid,$C27,AO$11))))</f>
        <v>98.2</v>
      </c>
      <c r="AP27" cm="1">
        <f t="array" aca="1" ref="AP27" ca="1">IF($C27=0,"",IF(AP$12&lt;&gt;$C$5,NA(),INDEX(auto_DataFlat_Score,INDEX(sys_DataFlat_LU_Grid,$C27,AP$11))))</f>
        <v>93.5</v>
      </c>
      <c r="AQ27" cm="1">
        <f t="array" aca="1" ref="AQ27" ca="1">IF($C27=0,"",IF(AQ$12&lt;&gt;$C$5,NA(),INDEX(auto_DataFlat_Score,INDEX(sys_DataFlat_LU_Grid,$C27,AQ$11))))</f>
        <v>48.9</v>
      </c>
      <c r="AR27" cm="1">
        <f t="array" aca="1" ref="AR27" ca="1">IF($C27=0,"",IF(AR$12&lt;&gt;$C$5,NA(),INDEX(auto_DataFlat_Score,INDEX(sys_DataFlat_LU_Grid,$C27,AR$11))))</f>
        <v>98.2</v>
      </c>
      <c r="AS27" cm="1">
        <f t="array" aca="1" ref="AS27" ca="1">IF($C27=0,"",IF(AS$12&lt;&gt;$C$5,NA(),INDEX(auto_DataFlat_Score,INDEX(sys_DataFlat_LU_Grid,$C27,AS$11))))</f>
        <v>98.3</v>
      </c>
      <c r="AT27" cm="1">
        <f t="array" aca="1" ref="AT27" ca="1">IF($C27=0,"",IF(AT$12&lt;&gt;$C$5,NA(),INDEX(auto_DataFlat_Score,INDEX(sys_DataFlat_LU_Grid,$C27,AT$11))))</f>
        <v>97.6</v>
      </c>
      <c r="AU27" cm="1">
        <f t="array" aca="1" ref="AU27" ca="1">IF($C27=0,"",IF(AU$12&lt;&gt;$C$5,NA(),INDEX(auto_DataFlat_Score,INDEX(sys_DataFlat_LU_Grid,$C27,AU$11))))</f>
        <v>46.3</v>
      </c>
      <c r="AV27" cm="1">
        <f t="array" aca="1" ref="AV27" ca="1">IF($C27=0,"",IF(AV$12&lt;&gt;$C$5,NA(),INDEX(auto_DataFlat_Score,INDEX(sys_DataFlat_LU_Grid,$C27,AV$11))))</f>
        <v>47.3</v>
      </c>
      <c r="AW27" cm="1">
        <f t="array" aca="1" ref="AW27" ca="1">IF($C27=0,"",IF(AW$12&lt;&gt;$C$5,NA(),INDEX(auto_DataFlat_Score,INDEX(sys_DataFlat_LU_Grid,$C27,AW$11))))</f>
        <v>98.2</v>
      </c>
      <c r="AX27" cm="1">
        <f t="array" aca="1" ref="AX27" ca="1">IF($C27=0,"",IF(AX$12&lt;&gt;$C$5,NA(),INDEX(auto_DataFlat_Score,INDEX(sys_DataFlat_LU_Grid,$C27,AX$11))))</f>
        <v>98.7</v>
      </c>
      <c r="AY27" cm="1">
        <f t="array" aca="1" ref="AY27" ca="1">IF($C27=0,"",IF(AY$12&lt;&gt;$C$5,NA(),INDEX(auto_DataFlat_Score,INDEX(sys_DataFlat_LU_Grid,$C27,AY$11))))</f>
        <v>96.3</v>
      </c>
      <c r="AZ27" cm="1">
        <f t="array" aca="1" ref="AZ27" ca="1">IF($C27=0,"",IF(AZ$12&lt;&gt;$C$5,NA(),INDEX(auto_DataFlat_Score,INDEX(sys_DataFlat_LU_Grid,$C27,AZ$11))))</f>
        <v>99.8</v>
      </c>
      <c r="BA27" cm="1">
        <f t="array" aca="1" ref="BA27" ca="1">IF($C27=0,"",IF(BA$12&lt;&gt;$C$5,NA(),INDEX(auto_DataFlat_Score,INDEX(sys_DataFlat_LU_Grid,$C27,BA$11))))</f>
        <v>97.2</v>
      </c>
      <c r="BB27" cm="1">
        <f t="array" aca="1" ref="BB27" ca="1">IF($C27=0,"",IF(BB$12&lt;&gt;$C$5,NA(),INDEX(auto_DataFlat_Score,INDEX(sys_DataFlat_LU_Grid,$C27,BB$11))))</f>
        <v>96</v>
      </c>
      <c r="BC27" cm="1">
        <f t="array" aca="1" ref="BC27" ca="1">IF($C27=0,"",IF(BC$12&lt;&gt;$C$5,NA(),INDEX(auto_DataFlat_Score,INDEX(sys_DataFlat_LU_Grid,$C27,BC$11))))</f>
        <v>98.2</v>
      </c>
      <c r="BD27" cm="1">
        <f t="array" aca="1" ref="BD27" ca="1">IF($C27=0,"",IF(BD$12&lt;&gt;$C$5,NA(),INDEX(auto_DataFlat_Score,INDEX(sys_DataFlat_LU_Grid,$C27,BD$11))))</f>
        <v>95.3</v>
      </c>
      <c r="BE27" cm="1">
        <f t="array" aca="1" ref="BE27" ca="1">IF($C27=0,"",IF(BE$12&lt;&gt;$C$5,NA(),INDEX(auto_DataFlat_Score,INDEX(sys_DataFlat_LU_Grid,$C27,BE$11))))</f>
        <v>98.6</v>
      </c>
      <c r="BF27" cm="1">
        <f t="array" aca="1" ref="BF27" ca="1">IF($C27=0,"",IF(BF$12&lt;&gt;$C$5,NA(),INDEX(auto_DataFlat_Score,INDEX(sys_DataFlat_LU_Grid,$C27,BF$11))))</f>
        <v>97.6</v>
      </c>
      <c r="BG27" cm="1">
        <f t="array" aca="1" ref="BG27" ca="1">IF($C27=0,"",IF(BG$12&lt;&gt;$C$5,NA(),INDEX(auto_DataFlat_Score,INDEX(sys_DataFlat_LU_Grid,$C27,BG$11))))</f>
        <v>98.6</v>
      </c>
      <c r="BH27" cm="1">
        <f t="array" aca="1" ref="BH27" ca="1">IF($C27=0,"",IF(BH$12&lt;&gt;$C$5,NA(),INDEX(auto_DataFlat_Score,INDEX(sys_DataFlat_LU_Grid,$C27,BH$11))))</f>
        <v>98.2</v>
      </c>
      <c r="BI27" cm="1">
        <f t="array" aca="1" ref="BI27" ca="1">IF($C27=0,"",IF(BI$12&lt;&gt;$C$5,NA(),INDEX(auto_DataFlat_Score,INDEX(sys_DataFlat_LU_Grid,$C27,BI$11))))</f>
        <v>98.7</v>
      </c>
      <c r="BJ27" cm="1">
        <f t="array" aca="1" ref="BJ27" ca="1">IF($C27=0,"",IF(BJ$12&lt;&gt;$C$5,NA(),INDEX(auto_DataFlat_Score,INDEX(sys_DataFlat_LU_Grid,$C27,BJ$11))))</f>
        <v>97.4</v>
      </c>
      <c r="BK27" cm="1">
        <f t="array" aca="1" ref="BK27" ca="1">IF($C27=0,"",IF(BK$12&lt;&gt;$C$5,NA(),INDEX(auto_DataFlat_Score,INDEX(sys_DataFlat_LU_Grid,$C27,BK$11))))</f>
        <v>97.6</v>
      </c>
      <c r="BL27" cm="1">
        <f t="array" aca="1" ref="BL27" ca="1">IF($C27=0,"",IF(BL$12&lt;&gt;$C$5,NA(),INDEX(auto_DataFlat_Score,INDEX(sys_DataFlat_LU_Grid,$C27,BL$11))))</f>
        <v>97.6</v>
      </c>
      <c r="BM27" cm="1">
        <f t="array" aca="1" ref="BM27" ca="1">IF($C27=0,"",IF(BM$12&lt;&gt;$C$5,NA(),INDEX(auto_DataFlat_Score,INDEX(sys_DataFlat_LU_Grid,$C27,BM$11))))</f>
        <v>49.3</v>
      </c>
      <c r="BO27">
        <f ca="1">MIN(P27:BM27)</f>
        <v>44.4</v>
      </c>
      <c r="BP27">
        <f ca="1">MAX(P27:BM27)</f>
        <v>99.8</v>
      </c>
    </row>
    <row r="28" spans="2:75" x14ac:dyDescent="0.4">
      <c r="B28">
        <v>4</v>
      </c>
      <c r="C28" cm="1">
        <f t="array" aca="1" ref="C28" ca="1">INDEX(OFFSET(auto_ss_depth_2,0,1,300,1),B28)</f>
        <v>12</v>
      </c>
      <c r="D28" cm="1">
        <f t="array" aca="1" ref="D28" ca="1">IF(C28=0,0,INDEX(sys_DataFlat_LU_Grid_Groups,$C28,$C$9))</f>
        <v>711</v>
      </c>
      <c r="E28" cm="1">
        <f t="array" aca="1" ref="E28" ca="1">IF(D28=0,"",INDEX(auto_DataFlat_Score,D28))</f>
        <v>63.3</v>
      </c>
      <c r="G28">
        <f ca="1">ROUND(AVERAGE(P28:BM28),1)</f>
        <v>63.3</v>
      </c>
      <c r="H28" t="e" cm="1">
        <f t="array" ref="H28">IF($C$8=0,NA(),INDEX($P28:$BM28,$C$8))</f>
        <v>#N/A</v>
      </c>
      <c r="I28" cm="1">
        <f t="array" aca="1" ref="I28" ca="1">IF(C28=0,0,INDEX(sys_DataFlat_LU_Grid,$C28,$C$2))</f>
        <v>661</v>
      </c>
      <c r="J28" t="str" cm="1">
        <f t="array" aca="1" ref="J28" ca="1">IF(C28=0,"",INDEX(auto_Series_NameNoNumber,C28))</f>
        <v>Access to healthcare</v>
      </c>
      <c r="K28" cm="1">
        <f t="array" aca="1" ref="K28" ca="1">IF(C28=0,"",INDEX(K$94:K$162,$C28))</f>
        <v>52.5</v>
      </c>
      <c r="L28" t="str" cm="1">
        <f t="array" aca="1" ref="L28" ca="1">IF(C28=0,"",INDEX(L$94:L$162,$C28))</f>
        <v>44</v>
      </c>
      <c r="M28">
        <f t="shared" ref="M28" ca="1" si="9">IF(C28=0,"",STANDARDIZE(K28,AVERAGE(P28:AA28),STDEV((P28:AA28))))</f>
        <v>-1.4847453628268414</v>
      </c>
      <c r="N28" cm="1">
        <f t="array" aca="1" ref="N28" ca="1">IF(C28=0,"",INDEX($N$94:$N$162,$C28))</f>
        <v>3</v>
      </c>
      <c r="O28" t="e" cm="1">
        <f t="array" aca="1" ref="O28" ca="1">IF(C28=0,"",INDEX(#REF!,$C28))</f>
        <v>#REF!</v>
      </c>
      <c r="P28" cm="1">
        <f t="array" aca="1" ref="P28" ca="1">IF($C28=0,"",IF(P$12&lt;&gt;$C$5,NA(),INDEX(auto_DataFlat_Score,INDEX(sys_DataFlat_LU_Grid,$C28,P$11))))</f>
        <v>52.5</v>
      </c>
      <c r="Q28" cm="1">
        <f t="array" aca="1" ref="Q28" ca="1">IF($C28=0,"",IF(Q$12&lt;&gt;$C$5,NA(),INDEX(auto_DataFlat_Score,INDEX(sys_DataFlat_LU_Grid,$C28,Q$11))))</f>
        <v>60.7</v>
      </c>
      <c r="R28" cm="1">
        <f t="array" aca="1" ref="R28" ca="1">IF($C28=0,"",IF(R$12&lt;&gt;$C$5,NA(),INDEX(auto_DataFlat_Score,INDEX(sys_DataFlat_LU_Grid,$C28,R$11))))</f>
        <v>69.7</v>
      </c>
      <c r="S28" cm="1">
        <f t="array" aca="1" ref="S28" ca="1">IF($C28=0,"",IF(S$12&lt;&gt;$C$5,NA(),INDEX(auto_DataFlat_Score,INDEX(sys_DataFlat_LU_Grid,$C28,S$11))))</f>
        <v>70.3</v>
      </c>
      <c r="T28" cm="1">
        <f t="array" aca="1" ref="T28" ca="1">IF($C28=0,"",IF(T$12&lt;&gt;$C$5,NA(),INDEX(auto_DataFlat_Score,INDEX(sys_DataFlat_LU_Grid,$C28,T$11))))</f>
        <v>67.2</v>
      </c>
      <c r="U28" cm="1">
        <f t="array" aca="1" ref="U28" ca="1">IF($C28=0,"",IF(U$12&lt;&gt;$C$5,NA(),INDEX(auto_DataFlat_Score,INDEX(sys_DataFlat_LU_Grid,$C28,U$11))))</f>
        <v>56.3</v>
      </c>
      <c r="V28" cm="1">
        <f t="array" aca="1" ref="V28" ca="1">IF($C28=0,"",IF(V$12&lt;&gt;$C$5,NA(),INDEX(auto_DataFlat_Score,INDEX(sys_DataFlat_LU_Grid,$C28,V$11))))</f>
        <v>73.5</v>
      </c>
      <c r="W28" cm="1">
        <f t="array" aca="1" ref="W28" ca="1">IF($C28=0,"",IF(W$12&lt;&gt;$C$5,NA(),INDEX(auto_DataFlat_Score,INDEX(sys_DataFlat_LU_Grid,$C28,W$11))))</f>
        <v>75.8</v>
      </c>
      <c r="X28" cm="1">
        <f t="array" aca="1" ref="X28" ca="1">IF($C28=0,"",IF(X$12&lt;&gt;$C$5,NA(),INDEX(auto_DataFlat_Score,INDEX(sys_DataFlat_LU_Grid,$C28,X$11))))</f>
        <v>63.9</v>
      </c>
      <c r="Y28" cm="1">
        <f t="array" aca="1" ref="Y28" ca="1">IF($C28=0,"",IF(Y$12&lt;&gt;$C$5,NA(),INDEX(auto_DataFlat_Score,INDEX(sys_DataFlat_LU_Grid,$C28,Y$11))))</f>
        <v>62.4</v>
      </c>
      <c r="Z28" cm="1">
        <f t="array" aca="1" ref="Z28" ca="1">IF($C28=0,"",IF(Z$12&lt;&gt;$C$5,NA(),INDEX(auto_DataFlat_Score,INDEX(sys_DataFlat_LU_Grid,$C28,Z$11))))</f>
        <v>59.7</v>
      </c>
      <c r="AA28" cm="1">
        <f t="array" aca="1" ref="AA28" ca="1">IF($C28=0,"",IF(AA$12&lt;&gt;$C$5,NA(),INDEX(auto_DataFlat_Score,INDEX(sys_DataFlat_LU_Grid,$C28,AA$11))))</f>
        <v>53.8</v>
      </c>
      <c r="AB28" cm="1">
        <f t="array" aca="1" ref="AB28" ca="1">IF($C28=0,"",IF(AB$12&lt;&gt;$C$5,NA(),INDEX(auto_DataFlat_Score,INDEX(sys_DataFlat_LU_Grid,$C28,AB$11))))</f>
        <v>51.1</v>
      </c>
      <c r="AC28" cm="1">
        <f t="array" aca="1" ref="AC28" ca="1">IF($C28=0,"",IF(AC$12&lt;&gt;$C$5,NA(),INDEX(auto_DataFlat_Score,INDEX(sys_DataFlat_LU_Grid,$C28,AC$11))))</f>
        <v>60.6</v>
      </c>
      <c r="AD28" cm="1">
        <f t="array" aca="1" ref="AD28" ca="1">IF($C28=0,"",IF(AD$12&lt;&gt;$C$5,NA(),INDEX(auto_DataFlat_Score,INDEX(sys_DataFlat_LU_Grid,$C28,AD$11))))</f>
        <v>67</v>
      </c>
      <c r="AE28" cm="1">
        <f t="array" aca="1" ref="AE28" ca="1">IF($C28=0,"",IF(AE$12&lt;&gt;$C$5,NA(),INDEX(auto_DataFlat_Score,INDEX(sys_DataFlat_LU_Grid,$C28,AE$11))))</f>
        <v>57.6</v>
      </c>
      <c r="AF28" cm="1">
        <f t="array" aca="1" ref="AF28" ca="1">IF($C28=0,"",IF(AF$12&lt;&gt;$C$5,NA(),INDEX(auto_DataFlat_Score,INDEX(sys_DataFlat_LU_Grid,$C28,AF$11))))</f>
        <v>69</v>
      </c>
      <c r="AG28" cm="1">
        <f t="array" aca="1" ref="AG28" ca="1">IF($C28=0,"",IF(AG$12&lt;&gt;$C$5,NA(),INDEX(auto_DataFlat_Score,INDEX(sys_DataFlat_LU_Grid,$C28,AG$11))))</f>
        <v>66</v>
      </c>
      <c r="AH28" cm="1">
        <f t="array" aca="1" ref="AH28" ca="1">IF($C28=0,"",IF(AH$12&lt;&gt;$C$5,NA(),INDEX(auto_DataFlat_Score,INDEX(sys_DataFlat_LU_Grid,$C28,AH$11))))</f>
        <v>44.1</v>
      </c>
      <c r="AI28" cm="1">
        <f t="array" aca="1" ref="AI28" ca="1">IF($C28=0,"",IF(AI$12&lt;&gt;$C$5,NA(),INDEX(auto_DataFlat_Score,INDEX(sys_DataFlat_LU_Grid,$C28,AI$11))))</f>
        <v>60.7</v>
      </c>
      <c r="AJ28" cm="1">
        <f t="array" aca="1" ref="AJ28" ca="1">IF($C28=0,"",IF(AJ$12&lt;&gt;$C$5,NA(),INDEX(auto_DataFlat_Score,INDEX(sys_DataFlat_LU_Grid,$C28,AJ$11))))</f>
        <v>55.1</v>
      </c>
      <c r="AK28" cm="1">
        <f t="array" aca="1" ref="AK28" ca="1">IF($C28=0,"",IF(AK$12&lt;&gt;$C$5,NA(),INDEX(auto_DataFlat_Score,INDEX(sys_DataFlat_LU_Grid,$C28,AK$11))))</f>
        <v>46.4</v>
      </c>
      <c r="AL28" cm="1">
        <f t="array" aca="1" ref="AL28" ca="1">IF($C28=0,"",IF(AL$12&lt;&gt;$C$5,NA(),INDEX(auto_DataFlat_Score,INDEX(sys_DataFlat_LU_Grid,$C28,AL$11))))</f>
        <v>53.8</v>
      </c>
      <c r="AM28" cm="1">
        <f t="array" aca="1" ref="AM28" ca="1">IF($C28=0,"",IF(AM$12&lt;&gt;$C$5,NA(),INDEX(auto_DataFlat_Score,INDEX(sys_DataFlat_LU_Grid,$C28,AM$11))))</f>
        <v>60.4</v>
      </c>
      <c r="AN28" cm="1">
        <f t="array" aca="1" ref="AN28" ca="1">IF($C28=0,"",IF(AN$12&lt;&gt;$C$5,NA(),INDEX(auto_DataFlat_Score,INDEX(sys_DataFlat_LU_Grid,$C28,AN$11))))</f>
        <v>62.7</v>
      </c>
      <c r="AO28" cm="1">
        <f t="array" aca="1" ref="AO28" ca="1">IF($C28=0,"",IF(AO$12&lt;&gt;$C$5,NA(),INDEX(auto_DataFlat_Score,INDEX(sys_DataFlat_LU_Grid,$C28,AO$11))))</f>
        <v>68.2</v>
      </c>
      <c r="AP28" cm="1">
        <f t="array" aca="1" ref="AP28" ca="1">IF($C28=0,"",IF(AP$12&lt;&gt;$C$5,NA(),INDEX(auto_DataFlat_Score,INDEX(sys_DataFlat_LU_Grid,$C28,AP$11))))</f>
        <v>68.400000000000006</v>
      </c>
      <c r="AQ28" cm="1">
        <f t="array" aca="1" ref="AQ28" ca="1">IF($C28=0,"",IF(AQ$12&lt;&gt;$C$5,NA(),INDEX(auto_DataFlat_Score,INDEX(sys_DataFlat_LU_Grid,$C28,AQ$11))))</f>
        <v>62.1</v>
      </c>
      <c r="AR28" cm="1">
        <f t="array" aca="1" ref="AR28" ca="1">IF($C28=0,"",IF(AR$12&lt;&gt;$C$5,NA(),INDEX(auto_DataFlat_Score,INDEX(sys_DataFlat_LU_Grid,$C28,AR$11))))</f>
        <v>71.900000000000006</v>
      </c>
      <c r="AS28" cm="1">
        <f t="array" aca="1" ref="AS28" ca="1">IF($C28=0,"",IF(AS$12&lt;&gt;$C$5,NA(),INDEX(auto_DataFlat_Score,INDEX(sys_DataFlat_LU_Grid,$C28,AS$11))))</f>
        <v>67.400000000000006</v>
      </c>
      <c r="AT28" cm="1">
        <f t="array" aca="1" ref="AT28" ca="1">IF($C28=0,"",IF(AT$12&lt;&gt;$C$5,NA(),INDEX(auto_DataFlat_Score,INDEX(sys_DataFlat_LU_Grid,$C28,AT$11))))</f>
        <v>62.5</v>
      </c>
      <c r="AU28" cm="1">
        <f t="array" aca="1" ref="AU28" ca="1">IF($C28=0,"",IF(AU$12&lt;&gt;$C$5,NA(),INDEX(auto_DataFlat_Score,INDEX(sys_DataFlat_LU_Grid,$C28,AU$11))))</f>
        <v>53.8</v>
      </c>
      <c r="AV28" cm="1">
        <f t="array" aca="1" ref="AV28" ca="1">IF($C28=0,"",IF(AV$12&lt;&gt;$C$5,NA(),INDEX(auto_DataFlat_Score,INDEX(sys_DataFlat_LU_Grid,$C28,AV$11))))</f>
        <v>50.9</v>
      </c>
      <c r="AW28" cm="1">
        <f t="array" aca="1" ref="AW28" ca="1">IF($C28=0,"",IF(AW$12&lt;&gt;$C$5,NA(),INDEX(auto_DataFlat_Score,INDEX(sys_DataFlat_LU_Grid,$C28,AW$11))))</f>
        <v>69.7</v>
      </c>
      <c r="AX28" cm="1">
        <f t="array" aca="1" ref="AX28" ca="1">IF($C28=0,"",IF(AX$12&lt;&gt;$C$5,NA(),INDEX(auto_DataFlat_Score,INDEX(sys_DataFlat_LU_Grid,$C28,AX$11))))</f>
        <v>68.7</v>
      </c>
      <c r="AY28" cm="1">
        <f t="array" aca="1" ref="AY28" ca="1">IF($C28=0,"",IF(AY$12&lt;&gt;$C$5,NA(),INDEX(auto_DataFlat_Score,INDEX(sys_DataFlat_LU_Grid,$C28,AY$11))))</f>
        <v>64.900000000000006</v>
      </c>
      <c r="AZ28" cm="1">
        <f t="array" aca="1" ref="AZ28" ca="1">IF($C28=0,"",IF(AZ$12&lt;&gt;$C$5,NA(),INDEX(auto_DataFlat_Score,INDEX(sys_DataFlat_LU_Grid,$C28,AZ$11))))</f>
        <v>63.6</v>
      </c>
      <c r="BA28" cm="1">
        <f t="array" aca="1" ref="BA28" ca="1">IF($C28=0,"",IF(BA$12&lt;&gt;$C$5,NA(),INDEX(auto_DataFlat_Score,INDEX(sys_DataFlat_LU_Grid,$C28,BA$11))))</f>
        <v>48.6</v>
      </c>
      <c r="BB28" cm="1">
        <f t="array" aca="1" ref="BB28" ca="1">IF($C28=0,"",IF(BB$12&lt;&gt;$C$5,NA(),INDEX(auto_DataFlat_Score,INDEX(sys_DataFlat_LU_Grid,$C28,BB$11))))</f>
        <v>70.900000000000006</v>
      </c>
      <c r="BC28" cm="1">
        <f t="array" aca="1" ref="BC28" ca="1">IF($C28=0,"",IF(BC$12&lt;&gt;$C$5,NA(),INDEX(auto_DataFlat_Score,INDEX(sys_DataFlat_LU_Grid,$C28,BC$11))))</f>
        <v>69.7</v>
      </c>
      <c r="BD28" cm="1">
        <f t="array" aca="1" ref="BD28" ca="1">IF($C28=0,"",IF(BD$12&lt;&gt;$C$5,NA(),INDEX(auto_DataFlat_Score,INDEX(sys_DataFlat_LU_Grid,$C28,BD$11))))</f>
        <v>75.900000000000006</v>
      </c>
      <c r="BE28" cm="1">
        <f t="array" aca="1" ref="BE28" ca="1">IF($C28=0,"",IF(BE$12&lt;&gt;$C$5,NA(),INDEX(auto_DataFlat_Score,INDEX(sys_DataFlat_LU_Grid,$C28,BE$11))))</f>
        <v>76</v>
      </c>
      <c r="BF28" cm="1">
        <f t="array" aca="1" ref="BF28" ca="1">IF($C28=0,"",IF(BF$12&lt;&gt;$C$5,NA(),INDEX(auto_DataFlat_Score,INDEX(sys_DataFlat_LU_Grid,$C28,BF$11))))</f>
        <v>56.3</v>
      </c>
      <c r="BG28" cm="1">
        <f t="array" aca="1" ref="BG28" ca="1">IF($C28=0,"",IF(BG$12&lt;&gt;$C$5,NA(),INDEX(auto_DataFlat_Score,INDEX(sys_DataFlat_LU_Grid,$C28,BG$11))))</f>
        <v>77.400000000000006</v>
      </c>
      <c r="BH28" cm="1">
        <f t="array" aca="1" ref="BH28" ca="1">IF($C28=0,"",IF(BH$12&lt;&gt;$C$5,NA(),INDEX(auto_DataFlat_Score,INDEX(sys_DataFlat_LU_Grid,$C28,BH$11))))</f>
        <v>71.900000000000006</v>
      </c>
      <c r="BI28" cm="1">
        <f t="array" aca="1" ref="BI28" ca="1">IF($C28=0,"",IF(BI$12&lt;&gt;$C$5,NA(),INDEX(auto_DataFlat_Score,INDEX(sys_DataFlat_LU_Grid,$C28,BI$11))))</f>
        <v>68.7</v>
      </c>
      <c r="BJ28" cm="1">
        <f t="array" aca="1" ref="BJ28" ca="1">IF($C28=0,"",IF(BJ$12&lt;&gt;$C$5,NA(),INDEX(auto_DataFlat_Score,INDEX(sys_DataFlat_LU_Grid,$C28,BJ$11))))</f>
        <v>84.1</v>
      </c>
      <c r="BK28" cm="1">
        <f t="array" aca="1" ref="BK28" ca="1">IF($C28=0,"",IF(BK$12&lt;&gt;$C$5,NA(),INDEX(auto_DataFlat_Score,INDEX(sys_DataFlat_LU_Grid,$C28,BK$11))))</f>
        <v>68.8</v>
      </c>
      <c r="BL28" cm="1">
        <f t="array" aca="1" ref="BL28" ca="1">IF($C28=0,"",IF(BL$12&lt;&gt;$C$5,NA(),INDEX(auto_DataFlat_Score,INDEX(sys_DataFlat_LU_Grid,$C28,BL$11))))</f>
        <v>56.3</v>
      </c>
      <c r="BM28" cm="1">
        <f t="array" aca="1" ref="BM28" ca="1">IF($C28=0,"",IF(BM$12&lt;&gt;$C$5,NA(),INDEX(auto_DataFlat_Score,INDEX(sys_DataFlat_LU_Grid,$C28,BM$11))))</f>
        <v>50.3</v>
      </c>
      <c r="BO28">
        <f ca="1">MIN(P28:BM28)</f>
        <v>44.1</v>
      </c>
      <c r="BP28">
        <f ca="1">MAX(P28:BM28)</f>
        <v>84.1</v>
      </c>
    </row>
    <row r="29" spans="2:75" x14ac:dyDescent="0.4">
      <c r="G29" t="e">
        <f t="shared" ref="G29:G34" si="10">ROUND(AVERAGE(P29:AD29),1)</f>
        <v>#DIV/0!</v>
      </c>
    </row>
    <row r="30" spans="2:75" x14ac:dyDescent="0.4">
      <c r="G30" t="e">
        <f t="shared" si="10"/>
        <v>#DIV/0!</v>
      </c>
    </row>
    <row r="31" spans="2:75" x14ac:dyDescent="0.4">
      <c r="G31" t="e">
        <f t="shared" si="10"/>
        <v>#DIV/0!</v>
      </c>
    </row>
    <row r="32" spans="2:75" x14ac:dyDescent="0.4">
      <c r="G32" t="e">
        <f t="shared" si="10"/>
        <v>#DIV/0!</v>
      </c>
    </row>
    <row r="33" spans="2:65" x14ac:dyDescent="0.4">
      <c r="G33" t="e">
        <f t="shared" si="10"/>
        <v>#DIV/0!</v>
      </c>
    </row>
    <row r="34" spans="2:65" x14ac:dyDescent="0.4">
      <c r="G34" t="e">
        <f t="shared" si="10"/>
        <v>#DIV/0!</v>
      </c>
    </row>
    <row r="39" spans="2:65" x14ac:dyDescent="0.4">
      <c r="B39" t="s">
        <v>1149</v>
      </c>
      <c r="C39" t="s">
        <v>1312</v>
      </c>
      <c r="D39" t="s">
        <v>1309</v>
      </c>
      <c r="E39" t="s">
        <v>1310</v>
      </c>
    </row>
    <row r="40" spans="2:65" x14ac:dyDescent="0.4">
      <c r="D40">
        <v>1</v>
      </c>
      <c r="E40">
        <f>$C$9</f>
        <v>1</v>
      </c>
    </row>
    <row r="41" spans="2:65" x14ac:dyDescent="0.4">
      <c r="B41">
        <v>1</v>
      </c>
      <c r="C41" cm="1">
        <f t="array" aca="1" ref="C41" ca="1">INDEX(OFFSET(auto_ss_OverallAndCategory,0,1,300,1),B41)</f>
        <v>1</v>
      </c>
      <c r="D41" cm="1">
        <f t="array" aca="1" ref="D41" ca="1">IF(C41=0,0,INDEX(sys_DataFlat_LU_Grid_Groups,$C41,D$40))</f>
        <v>51</v>
      </c>
      <c r="E41" cm="1">
        <f t="array" aca="1" ref="E41" ca="1">IF(C41=0,0,INDEX(sys_DataFlat_LU_Grid_Groups,$C41,E$40))</f>
        <v>51</v>
      </c>
      <c r="G41">
        <f t="shared" ref="G41:G50" ca="1" si="11">ROUND(AVERAGE(P41:BM41),1)</f>
        <v>62.4</v>
      </c>
      <c r="H41" t="e" cm="1">
        <f t="array" ref="H41">IF($C$8=0,NA(),INDEX($P41:$BM41,$C$8))</f>
        <v>#N/A</v>
      </c>
      <c r="I41" cm="1">
        <f t="array" aca="1" ref="I41" ca="1">IF(C41=0,0,INDEX(sys_DataFlat_LU_Grid,$C41,$C$2))</f>
        <v>1</v>
      </c>
      <c r="J41" t="str" cm="1">
        <f t="array" aca="1" ref="J41" ca="1">IF(C41=0,"-",INDEX(auto_Series_NameNoNumber,C41))</f>
        <v>OVERALL</v>
      </c>
      <c r="K41" cm="1">
        <f t="array" aca="1" ref="K41" ca="1">IF(C41=0,"-",INDEX(K$94:K$162,$C41))</f>
        <v>49.6</v>
      </c>
      <c r="L41" t="str" cm="1">
        <f t="array" aca="1" ref="L41" ca="1">IF(C41=0,"-",INDEX(L$94:L$162,$C41))</f>
        <v>41</v>
      </c>
      <c r="M41">
        <f ca="1">IF(C41=0,"-",STANDARDIZE(K41,AVERAGE(P41:AA41),STDEV((P41:AA41))))</f>
        <v>-0.85327655164063909</v>
      </c>
      <c r="N41" cm="1">
        <f t="array" aca="1" ref="N41" ca="1">IF(C41=0,"-",INDEX($N$94:$N$162,$C41))</f>
        <v>3</v>
      </c>
      <c r="O41" t="e" cm="1">
        <f t="array" aca="1" ref="O41" ca="1">IF(C41=0,"-",INDEX(#REF!,$C41))</f>
        <v>#REF!</v>
      </c>
      <c r="P41" cm="1">
        <f t="array" aca="1" ref="P41" ca="1">IF($C41=0,"",IF(P$12&lt;&gt;$C$5,NA(),INDEX(auto_DataFlat_Score,INDEX(sys_DataFlat_LU_Grid,$C41,P$11))))</f>
        <v>49.6</v>
      </c>
      <c r="Q41" cm="1">
        <f t="array" aca="1" ref="Q41" ca="1">IF($C41=0,"",IF(Q$12&lt;&gt;$C$5,NA(),INDEX(auto_DataFlat_Score,INDEX(sys_DataFlat_LU_Grid,$C41,Q$11))))</f>
        <v>41</v>
      </c>
      <c r="R41" cm="1">
        <f t="array" aca="1" ref="R41" ca="1">IF($C41=0,"",IF(R$12&lt;&gt;$C$5,NA(),INDEX(auto_DataFlat_Score,INDEX(sys_DataFlat_LU_Grid,$C41,R$11))))</f>
        <v>63.1</v>
      </c>
      <c r="S41" cm="1">
        <f t="array" aca="1" ref="S41" ca="1">IF($C41=0,"",IF(S$12&lt;&gt;$C$5,NA(),INDEX(auto_DataFlat_Score,INDEX(sys_DataFlat_LU_Grid,$C41,S$11))))</f>
        <v>71</v>
      </c>
      <c r="T41" cm="1">
        <f t="array" aca="1" ref="T41" ca="1">IF($C41=0,"",IF(T$12&lt;&gt;$C$5,NA(),INDEX(auto_DataFlat_Score,INDEX(sys_DataFlat_LU_Grid,$C41,T$11))))</f>
        <v>68.8</v>
      </c>
      <c r="U41" cm="1">
        <f t="array" aca="1" ref="U41" ca="1">IF($C41=0,"",IF(U$12&lt;&gt;$C$5,NA(),INDEX(auto_DataFlat_Score,INDEX(sys_DataFlat_LU_Grid,$C41,U$11))))</f>
        <v>63.4</v>
      </c>
      <c r="V41" cm="1">
        <f t="array" aca="1" ref="V41" ca="1">IF($C41=0,"",IF(V$12&lt;&gt;$C$5,NA(),INDEX(auto_DataFlat_Score,INDEX(sys_DataFlat_LU_Grid,$C41,V$11))))</f>
        <v>77.400000000000006</v>
      </c>
      <c r="W41" cm="1">
        <f t="array" aca="1" ref="W41" ca="1">IF($C41=0,"",IF(W$12&lt;&gt;$C$5,NA(),INDEX(auto_DataFlat_Score,INDEX(sys_DataFlat_LU_Grid,$C41,W$11))))</f>
        <v>69.7</v>
      </c>
      <c r="X41" cm="1">
        <f t="array" aca="1" ref="X41" ca="1">IF($C41=0,"",IF(X$12&lt;&gt;$C$5,NA(),INDEX(auto_DataFlat_Score,INDEX(sys_DataFlat_LU_Grid,$C41,X$11))))</f>
        <v>69.5</v>
      </c>
      <c r="Y41" cm="1">
        <f t="array" aca="1" ref="Y41" ca="1">IF($C41=0,"",IF(Y$12&lt;&gt;$C$5,NA(),INDEX(auto_DataFlat_Score,INDEX(sys_DataFlat_LU_Grid,$C41,Y$11))))</f>
        <v>40.6</v>
      </c>
      <c r="Z41" cm="1">
        <f t="array" aca="1" ref="Z41" ca="1">IF($C41=0,"",IF(Z$12&lt;&gt;$C$5,NA(),INDEX(auto_DataFlat_Score,INDEX(sys_DataFlat_LU_Grid,$C41,Z$11))))</f>
        <v>50.1</v>
      </c>
      <c r="AA41" cm="1">
        <f t="array" aca="1" ref="AA41" ca="1">IF($C41=0,"",IF(AA$12&lt;&gt;$C$5,NA(),INDEX(auto_DataFlat_Score,INDEX(sys_DataFlat_LU_Grid,$C41,AA$11))))</f>
        <v>56.8</v>
      </c>
      <c r="AB41" cm="1">
        <f t="array" aca="1" ref="AB41" ca="1">IF($C41=0,"",IF(AB$12&lt;&gt;$C$5,NA(),INDEX(auto_DataFlat_Score,INDEX(sys_DataFlat_LU_Grid,$C41,AB$11))))</f>
        <v>41.8</v>
      </c>
      <c r="AC41" cm="1">
        <f t="array" aca="1" ref="AC41" ca="1">IF($C41=0,"",IF(AC$12&lt;&gt;$C$5,NA(),INDEX(auto_DataFlat_Score,INDEX(sys_DataFlat_LU_Grid,$C41,AC$11))))</f>
        <v>65</v>
      </c>
      <c r="AD41" cm="1">
        <f t="array" aca="1" ref="AD41" ca="1">IF($C41=0,"",IF(AD$12&lt;&gt;$C$5,NA(),INDEX(auto_DataFlat_Score,INDEX(sys_DataFlat_LU_Grid,$C41,AD$11))))</f>
        <v>75.5</v>
      </c>
      <c r="AE41" cm="1">
        <f t="array" aca="1" ref="AE41" ca="1">IF($C41=0,"",IF(AE$12&lt;&gt;$C$5,NA(),INDEX(auto_DataFlat_Score,INDEX(sys_DataFlat_LU_Grid,$C41,AE$11))))</f>
        <v>66</v>
      </c>
      <c r="AF41" cm="1">
        <f t="array" aca="1" ref="AF41" ca="1">IF($C41=0,"",IF(AF$12&lt;&gt;$C$5,NA(),INDEX(auto_DataFlat_Score,INDEX(sys_DataFlat_LU_Grid,$C41,AF$11))))</f>
        <v>83.2</v>
      </c>
      <c r="AG41" cm="1">
        <f t="array" aca="1" ref="AG41" ca="1">IF($C41=0,"",IF(AG$12&lt;&gt;$C$5,NA(),INDEX(auto_DataFlat_Score,INDEX(sys_DataFlat_LU_Grid,$C41,AG$11))))</f>
        <v>60.4</v>
      </c>
      <c r="AH41" cm="1">
        <f t="array" aca="1" ref="AH41" ca="1">IF($C41=0,"",IF(AH$12&lt;&gt;$C$5,NA(),INDEX(auto_DataFlat_Score,INDEX(sys_DataFlat_LU_Grid,$C41,AH$11))))</f>
        <v>71.7</v>
      </c>
      <c r="AI41" cm="1">
        <f t="array" aca="1" ref="AI41" ca="1">IF($C41=0,"",IF(AI$12&lt;&gt;$C$5,NA(),INDEX(auto_DataFlat_Score,INDEX(sys_DataFlat_LU_Grid,$C41,AI$11))))</f>
        <v>52.5</v>
      </c>
      <c r="AJ41" cm="1">
        <f t="array" aca="1" ref="AJ41" ca="1">IF($C41=0,"",IF(AJ$12&lt;&gt;$C$5,NA(),INDEX(auto_DataFlat_Score,INDEX(sys_DataFlat_LU_Grid,$C41,AJ$11))))</f>
        <v>44.3</v>
      </c>
      <c r="AK41" cm="1">
        <f t="array" aca="1" ref="AK41" ca="1">IF($C41=0,"",IF(AK$12&lt;&gt;$C$5,NA(),INDEX(auto_DataFlat_Score,INDEX(sys_DataFlat_LU_Grid,$C41,AK$11))))</f>
        <v>40.9</v>
      </c>
      <c r="AL41" cm="1">
        <f t="array" aca="1" ref="AL41" ca="1">IF($C41=0,"",IF(AL$12&lt;&gt;$C$5,NA(),INDEX(auto_DataFlat_Score,INDEX(sys_DataFlat_LU_Grid,$C41,AL$11))))</f>
        <v>51.8</v>
      </c>
      <c r="AM41" cm="1">
        <f t="array" aca="1" ref="AM41" ca="1">IF($C41=0,"",IF(AM$12&lt;&gt;$C$5,NA(),INDEX(auto_DataFlat_Score,INDEX(sys_DataFlat_LU_Grid,$C41,AM$11))))</f>
        <v>42.1</v>
      </c>
      <c r="AN41" cm="1">
        <f t="array" aca="1" ref="AN41" ca="1">IF($C41=0,"",IF(AN$12&lt;&gt;$C$5,NA(),INDEX(auto_DataFlat_Score,INDEX(sys_DataFlat_LU_Grid,$C41,AN$11))))</f>
        <v>51.6</v>
      </c>
      <c r="AO41" cm="1">
        <f t="array" aca="1" ref="AO41" ca="1">IF($C41=0,"",IF(AO$12&lt;&gt;$C$5,NA(),INDEX(auto_DataFlat_Score,INDEX(sys_DataFlat_LU_Grid,$C41,AO$11))))</f>
        <v>82.6</v>
      </c>
      <c r="AP41" cm="1">
        <f t="array" aca="1" ref="AP41" ca="1">IF($C41=0,"",IF(AP$12&lt;&gt;$C$5,NA(),INDEX(auto_DataFlat_Score,INDEX(sys_DataFlat_LU_Grid,$C41,AP$11))))</f>
        <v>79.599999999999994</v>
      </c>
      <c r="AQ41" cm="1">
        <f t="array" aca="1" ref="AQ41" ca="1">IF($C41=0,"",IF(AQ$12&lt;&gt;$C$5,NA(),INDEX(auto_DataFlat_Score,INDEX(sys_DataFlat_LU_Grid,$C41,AQ$11))))</f>
        <v>48.8</v>
      </c>
      <c r="AR41" cm="1">
        <f t="array" aca="1" ref="AR41" ca="1">IF($C41=0,"",IF(AR$12&lt;&gt;$C$5,NA(),INDEX(auto_DataFlat_Score,INDEX(sys_DataFlat_LU_Grid,$C41,AR$11))))</f>
        <v>75.8</v>
      </c>
      <c r="AS41" cm="1">
        <f t="array" aca="1" ref="AS41" ca="1">IF($C41=0,"",IF(AS$12&lt;&gt;$C$5,NA(),INDEX(auto_DataFlat_Score,INDEX(sys_DataFlat_LU_Grid,$C41,AS$11))))</f>
        <v>60.9</v>
      </c>
      <c r="AT41" cm="1">
        <f t="array" aca="1" ref="AT41" ca="1">IF($C41=0,"",IF(AT$12&lt;&gt;$C$5,NA(),INDEX(auto_DataFlat_Score,INDEX(sys_DataFlat_LU_Grid,$C41,AT$11))))</f>
        <v>65.900000000000006</v>
      </c>
      <c r="AU41" cm="1">
        <f t="array" aca="1" ref="AU41" ca="1">IF($C41=0,"",IF(AU$12&lt;&gt;$C$5,NA(),INDEX(auto_DataFlat_Score,INDEX(sys_DataFlat_LU_Grid,$C41,AU$11))))</f>
        <v>53.2</v>
      </c>
      <c r="AV41" cm="1">
        <f t="array" aca="1" ref="AV41" ca="1">IF($C41=0,"",IF(AV$12&lt;&gt;$C$5,NA(),INDEX(auto_DataFlat_Score,INDEX(sys_DataFlat_LU_Grid,$C41,AV$11))))</f>
        <v>52.2</v>
      </c>
      <c r="AW41" cm="1">
        <f t="array" aca="1" ref="AW41" ca="1">IF($C41=0,"",IF(AW$12&lt;&gt;$C$5,NA(),INDEX(auto_DataFlat_Score,INDEX(sys_DataFlat_LU_Grid,$C41,AW$11))))</f>
        <v>79.099999999999994</v>
      </c>
      <c r="AX41" cm="1">
        <f t="array" aca="1" ref="AX41" ca="1">IF($C41=0,"",IF(AX$12&lt;&gt;$C$5,NA(),INDEX(auto_DataFlat_Score,INDEX(sys_DataFlat_LU_Grid,$C41,AX$11))))</f>
        <v>74.2</v>
      </c>
      <c r="AY41" cm="1">
        <f t="array" aca="1" ref="AY41" ca="1">IF($C41=0,"",IF(AY$12&lt;&gt;$C$5,NA(),INDEX(auto_DataFlat_Score,INDEX(sys_DataFlat_LU_Grid,$C41,AY$11))))</f>
        <v>64.5</v>
      </c>
      <c r="AZ41" cm="1">
        <f t="array" aca="1" ref="AZ41" ca="1">IF($C41=0,"",IF(AZ$12&lt;&gt;$C$5,NA(),INDEX(auto_DataFlat_Score,INDEX(sys_DataFlat_LU_Grid,$C41,AZ$11))))</f>
        <v>51.4</v>
      </c>
      <c r="BA41" cm="1">
        <f t="array" aca="1" ref="BA41" ca="1">IF($C41=0,"",IF(BA$12&lt;&gt;$C$5,NA(),INDEX(auto_DataFlat_Score,INDEX(sys_DataFlat_LU_Grid,$C41,BA$11))))</f>
        <v>44.2</v>
      </c>
      <c r="BB41" cm="1">
        <f t="array" aca="1" ref="BB41" ca="1">IF($C41=0,"",IF(BB$12&lt;&gt;$C$5,NA(),INDEX(auto_DataFlat_Score,INDEX(sys_DataFlat_LU_Grid,$C41,BB$11))))</f>
        <v>63.5</v>
      </c>
      <c r="BC41" cm="1">
        <f t="array" aca="1" ref="BC41" ca="1">IF($C41=0,"",IF(BC$12&lt;&gt;$C$5,NA(),INDEX(auto_DataFlat_Score,INDEX(sys_DataFlat_LU_Grid,$C41,BC$11))))</f>
        <v>72</v>
      </c>
      <c r="BD41" cm="1">
        <f t="array" aca="1" ref="BD41" ca="1">IF($C41=0,"",IF(BD$12&lt;&gt;$C$5,NA(),INDEX(auto_DataFlat_Score,INDEX(sys_DataFlat_LU_Grid,$C41,BD$11))))</f>
        <v>67.099999999999994</v>
      </c>
      <c r="BE41" cm="1">
        <f t="array" aca="1" ref="BE41" ca="1">IF($C41=0,"",IF(BE$12&lt;&gt;$C$5,NA(),INDEX(auto_DataFlat_Score,INDEX(sys_DataFlat_LU_Grid,$C41,BE$11))))</f>
        <v>75.599999999999994</v>
      </c>
      <c r="BF41" cm="1">
        <f t="array" aca="1" ref="BF41" ca="1">IF($C41=0,"",IF(BF$12&lt;&gt;$C$5,NA(),INDEX(auto_DataFlat_Score,INDEX(sys_DataFlat_LU_Grid,$C41,BF$11))))</f>
        <v>65.3</v>
      </c>
      <c r="BG41" cm="1">
        <f t="array" aca="1" ref="BG41" ca="1">IF($C41=0,"",IF(BG$12&lt;&gt;$C$5,NA(),INDEX(auto_DataFlat_Score,INDEX(sys_DataFlat_LU_Grid,$C41,BG$11))))</f>
        <v>76.099999999999994</v>
      </c>
      <c r="BH41" cm="1">
        <f t="array" aca="1" ref="BH41" ca="1">IF($C41=0,"",IF(BH$12&lt;&gt;$C$5,NA(),INDEX(auto_DataFlat_Score,INDEX(sys_DataFlat_LU_Grid,$C41,BH$11))))</f>
        <v>70.5</v>
      </c>
      <c r="BI41" cm="1">
        <f t="array" aca="1" ref="BI41" ca="1">IF($C41=0,"",IF(BI$12&lt;&gt;$C$5,NA(),INDEX(auto_DataFlat_Score,INDEX(sys_DataFlat_LU_Grid,$C41,BI$11))))</f>
        <v>76.099999999999994</v>
      </c>
      <c r="BJ41" cm="1">
        <f t="array" aca="1" ref="BJ41" ca="1">IF($C41=0,"",IF(BJ$12&lt;&gt;$C$5,NA(),INDEX(auto_DataFlat_Score,INDEX(sys_DataFlat_LU_Grid,$C41,BJ$11))))</f>
        <v>77</v>
      </c>
      <c r="BK41" cm="1">
        <f t="array" aca="1" ref="BK41" ca="1">IF($C41=0,"",IF(BK$12&lt;&gt;$C$5,NA(),INDEX(auto_DataFlat_Score,INDEX(sys_DataFlat_LU_Grid,$C41,BK$11))))</f>
        <v>75.099999999999994</v>
      </c>
      <c r="BL41" cm="1">
        <f t="array" aca="1" ref="BL41" ca="1">IF($C41=0,"",IF(BL$12&lt;&gt;$C$5,NA(),INDEX(auto_DataFlat_Score,INDEX(sys_DataFlat_LU_Grid,$C41,BL$11))))</f>
        <v>57.3</v>
      </c>
      <c r="BM41" cm="1">
        <f t="array" aca="1" ref="BM41" ca="1">IF($C41=0,"",IF(BM$12&lt;&gt;$C$5,NA(),INDEX(auto_DataFlat_Score,INDEX(sys_DataFlat_LU_Grid,$C41,BM$11))))</f>
        <v>43.5</v>
      </c>
    </row>
    <row r="42" spans="2:65" x14ac:dyDescent="0.4">
      <c r="B42">
        <v>2</v>
      </c>
      <c r="C42" cm="1">
        <f t="array" aca="1" ref="C42" ca="1">INDEX(OFFSET(auto_ss_OverallAndCategory,0,1,300,1),B42)</f>
        <v>2</v>
      </c>
      <c r="D42" cm="1">
        <f t="array" aca="1" ref="D42" ca="1">IF(C42=0,0,INDEX(sys_DataFlat_LU_Grid_Groups,$C42,D$40))</f>
        <v>111</v>
      </c>
      <c r="E42" cm="1">
        <f t="array" aca="1" ref="E42" ca="1">IF(C42=0,0,INDEX(sys_DataFlat_LU_Grid_Groups,$C42,E$40))</f>
        <v>111</v>
      </c>
      <c r="G42">
        <f t="shared" ca="1" si="11"/>
        <v>70</v>
      </c>
      <c r="H42" t="e" cm="1">
        <f t="array" ref="H42">IF($C$8=0,NA(),INDEX($P42:$BM42,$C$8))</f>
        <v>#N/A</v>
      </c>
      <c r="I42" cm="1">
        <f t="array" aca="1" ref="I42" ca="1">IF(C42=0,0,INDEX(sys_DataFlat_LU_Grid,$C42,$C$2))</f>
        <v>61</v>
      </c>
      <c r="J42" t="str" cm="1">
        <f t="array" aca="1" ref="J42" ca="1">IF(C42=0,"-",INDEX(auto_Series_NameNoNumber,C42))</f>
        <v>SOCIAL DETERMINANTS</v>
      </c>
      <c r="K42" cm="1">
        <f t="array" aca="1" ref="K42" ca="1">IF(C42=0,"-",INDEX(K$94:K$162,$C42))</f>
        <v>65.900000000000006</v>
      </c>
      <c r="L42" t="str" cm="1">
        <f t="array" aca="1" ref="L42" ca="1">IF(C42=0,"-",INDEX(L$94:L$162,$C42))</f>
        <v>32</v>
      </c>
      <c r="M42">
        <f t="shared" ref="M42:M50" ca="1" si="12">IF(C42=0,"-",STANDARDIZE(K42,AVERAGE(P42:AA42),STDEV((P42:AA42))))</f>
        <v>-4.9638288266408805E-4</v>
      </c>
      <c r="N42" cm="1">
        <f t="array" aca="1" ref="N42" ca="1">IF(C42=0,"-",INDEX($N$94:$N$162,$C42))</f>
        <v>4</v>
      </c>
      <c r="O42" t="e" cm="1">
        <f t="array" aca="1" ref="O42" ca="1">IF(C42=0,"-",INDEX(#REF!,$C42))</f>
        <v>#REF!</v>
      </c>
      <c r="P42" cm="1">
        <f t="array" aca="1" ref="P42" ca="1">IF($C42=0,"",IF(P$12&lt;&gt;$C$5,NA(),INDEX(auto_DataFlat_Score,INDEX(sys_DataFlat_LU_Grid,$C42,P$11))))</f>
        <v>65.900000000000006</v>
      </c>
      <c r="Q42" cm="1">
        <f t="array" aca="1" ref="Q42" ca="1">IF($C42=0,"",IF(Q$12&lt;&gt;$C$5,NA(),INDEX(auto_DataFlat_Score,INDEX(sys_DataFlat_LU_Grid,$C42,Q$11))))</f>
        <v>54.3</v>
      </c>
      <c r="R42" cm="1">
        <f t="array" aca="1" ref="R42" ca="1">IF($C42=0,"",IF(R$12&lt;&gt;$C$5,NA(),INDEX(auto_DataFlat_Score,INDEX(sys_DataFlat_LU_Grid,$C42,R$11))))</f>
        <v>86.8</v>
      </c>
      <c r="S42" cm="1">
        <f t="array" aca="1" ref="S42" ca="1">IF($C42=0,"",IF(S$12&lt;&gt;$C$5,NA(),INDEX(auto_DataFlat_Score,INDEX(sys_DataFlat_LU_Grid,$C42,S$11))))</f>
        <v>75.7</v>
      </c>
      <c r="T42" cm="1">
        <f t="array" aca="1" ref="T42" ca="1">IF($C42=0,"",IF(T$12&lt;&gt;$C$5,NA(),INDEX(auto_DataFlat_Score,INDEX(sys_DataFlat_LU_Grid,$C42,T$11))))</f>
        <v>72.8</v>
      </c>
      <c r="U42" cm="1">
        <f t="array" aca="1" ref="U42" ca="1">IF($C42=0,"",IF(U$12&lt;&gt;$C$5,NA(),INDEX(auto_DataFlat_Score,INDEX(sys_DataFlat_LU_Grid,$C42,U$11))))</f>
        <v>54.3</v>
      </c>
      <c r="V42" cm="1">
        <f t="array" aca="1" ref="V42" ca="1">IF($C42=0,"",IF(V$12&lt;&gt;$C$5,NA(),INDEX(auto_DataFlat_Score,INDEX(sys_DataFlat_LU_Grid,$C42,V$11))))</f>
        <v>89.6</v>
      </c>
      <c r="W42" cm="1">
        <f t="array" aca="1" ref="W42" ca="1">IF($C42=0,"",IF(W$12&lt;&gt;$C$5,NA(),INDEX(auto_DataFlat_Score,INDEX(sys_DataFlat_LU_Grid,$C42,W$11))))</f>
        <v>68.900000000000006</v>
      </c>
      <c r="X42" cm="1">
        <f t="array" aca="1" ref="X42" ca="1">IF($C42=0,"",IF(X$12&lt;&gt;$C$5,NA(),INDEX(auto_DataFlat_Score,INDEX(sys_DataFlat_LU_Grid,$C42,X$11))))</f>
        <v>85.6</v>
      </c>
      <c r="Y42" cm="1">
        <f t="array" aca="1" ref="Y42" ca="1">IF($C42=0,"",IF(Y$12&lt;&gt;$C$5,NA(),INDEX(auto_DataFlat_Score,INDEX(sys_DataFlat_LU_Grid,$C42,Y$11))))</f>
        <v>40.9</v>
      </c>
      <c r="Z42" cm="1">
        <f t="array" aca="1" ref="Z42" ca="1">IF($C42=0,"",IF(Z$12&lt;&gt;$C$5,NA(),INDEX(auto_DataFlat_Score,INDEX(sys_DataFlat_LU_Grid,$C42,Z$11))))</f>
        <v>51.9</v>
      </c>
      <c r="AA42" cm="1">
        <f t="array" aca="1" ref="AA42" ca="1">IF($C42=0,"",IF(AA$12&lt;&gt;$C$5,NA(),INDEX(auto_DataFlat_Score,INDEX(sys_DataFlat_LU_Grid,$C42,AA$11))))</f>
        <v>44.2</v>
      </c>
      <c r="AB42" cm="1">
        <f t="array" aca="1" ref="AB42" ca="1">IF($C42=0,"",IF(AB$12&lt;&gt;$C$5,NA(),INDEX(auto_DataFlat_Score,INDEX(sys_DataFlat_LU_Grid,$C42,AB$11))))</f>
        <v>39.5</v>
      </c>
      <c r="AC42" cm="1">
        <f t="array" aca="1" ref="AC42" ca="1">IF($C42=0,"",IF(AC$12&lt;&gt;$C$5,NA(),INDEX(auto_DataFlat_Score,INDEX(sys_DataFlat_LU_Grid,$C42,AC$11))))</f>
        <v>74.3</v>
      </c>
      <c r="AD42" cm="1">
        <f t="array" aca="1" ref="AD42" ca="1">IF($C42=0,"",IF(AD$12&lt;&gt;$C$5,NA(),INDEX(auto_DataFlat_Score,INDEX(sys_DataFlat_LU_Grid,$C42,AD$11))))</f>
        <v>86.4</v>
      </c>
      <c r="AE42" cm="1">
        <f t="array" aca="1" ref="AE42" ca="1">IF($C42=0,"",IF(AE$12&lt;&gt;$C$5,NA(),INDEX(auto_DataFlat_Score,INDEX(sys_DataFlat_LU_Grid,$C42,AE$11))))</f>
        <v>77</v>
      </c>
      <c r="AF42" cm="1">
        <f t="array" aca="1" ref="AF42" ca="1">IF($C42=0,"",IF(AF$12&lt;&gt;$C$5,NA(),INDEX(auto_DataFlat_Score,INDEX(sys_DataFlat_LU_Grid,$C42,AF$11))))</f>
        <v>84.3</v>
      </c>
      <c r="AG42" cm="1">
        <f t="array" aca="1" ref="AG42" ca="1">IF($C42=0,"",IF(AG$12&lt;&gt;$C$5,NA(),INDEX(auto_DataFlat_Score,INDEX(sys_DataFlat_LU_Grid,$C42,AG$11))))</f>
        <v>80.599999999999994</v>
      </c>
      <c r="AH42" cm="1">
        <f t="array" aca="1" ref="AH42" ca="1">IF($C42=0,"",IF(AH$12&lt;&gt;$C$5,NA(),INDEX(auto_DataFlat_Score,INDEX(sys_DataFlat_LU_Grid,$C42,AH$11))))</f>
        <v>77.8</v>
      </c>
      <c r="AI42" cm="1">
        <f t="array" aca="1" ref="AI42" ca="1">IF($C42=0,"",IF(AI$12&lt;&gt;$C$5,NA(),INDEX(auto_DataFlat_Score,INDEX(sys_DataFlat_LU_Grid,$C42,AI$11))))</f>
        <v>80.099999999999994</v>
      </c>
      <c r="AJ42" cm="1">
        <f t="array" aca="1" ref="AJ42" ca="1">IF($C42=0,"",IF(AJ$12&lt;&gt;$C$5,NA(),INDEX(auto_DataFlat_Score,INDEX(sys_DataFlat_LU_Grid,$C42,AJ$11))))</f>
        <v>56.4</v>
      </c>
      <c r="AK42" cm="1">
        <f t="array" aca="1" ref="AK42" ca="1">IF($C42=0,"",IF(AK$12&lt;&gt;$C$5,NA(),INDEX(auto_DataFlat_Score,INDEX(sys_DataFlat_LU_Grid,$C42,AK$11))))</f>
        <v>41.3</v>
      </c>
      <c r="AL42" cm="1">
        <f t="array" aca="1" ref="AL42" ca="1">IF($C42=0,"",IF(AL$12&lt;&gt;$C$5,NA(),INDEX(auto_DataFlat_Score,INDEX(sys_DataFlat_LU_Grid,$C42,AL$11))))</f>
        <v>34.200000000000003</v>
      </c>
      <c r="AM42" cm="1">
        <f t="array" aca="1" ref="AM42" ca="1">IF($C42=0,"",IF(AM$12&lt;&gt;$C$5,NA(),INDEX(auto_DataFlat_Score,INDEX(sys_DataFlat_LU_Grid,$C42,AM$11))))</f>
        <v>49.5</v>
      </c>
      <c r="AN42" cm="1">
        <f t="array" aca="1" ref="AN42" ca="1">IF($C42=0,"",IF(AN$12&lt;&gt;$C$5,NA(),INDEX(auto_DataFlat_Score,INDEX(sys_DataFlat_LU_Grid,$C42,AN$11))))</f>
        <v>73.3</v>
      </c>
      <c r="AO42" cm="1">
        <f t="array" aca="1" ref="AO42" ca="1">IF($C42=0,"",IF(AO$12&lt;&gt;$C$5,NA(),INDEX(auto_DataFlat_Score,INDEX(sys_DataFlat_LU_Grid,$C42,AO$11))))</f>
        <v>86.9</v>
      </c>
      <c r="AP42" cm="1">
        <f t="array" aca="1" ref="AP42" ca="1">IF($C42=0,"",IF(AP$12&lt;&gt;$C$5,NA(),INDEX(auto_DataFlat_Score,INDEX(sys_DataFlat_LU_Grid,$C42,AP$11))))</f>
        <v>81.900000000000006</v>
      </c>
      <c r="AQ42" cm="1">
        <f t="array" aca="1" ref="AQ42" ca="1">IF($C42=0,"",IF(AQ$12&lt;&gt;$C$5,NA(),INDEX(auto_DataFlat_Score,INDEX(sys_DataFlat_LU_Grid,$C42,AQ$11))))</f>
        <v>58</v>
      </c>
      <c r="AR42" cm="1">
        <f t="array" aca="1" ref="AR42" ca="1">IF($C42=0,"",IF(AR$12&lt;&gt;$C$5,NA(),INDEX(auto_DataFlat_Score,INDEX(sys_DataFlat_LU_Grid,$C42,AR$11))))</f>
        <v>87.9</v>
      </c>
      <c r="AS42" cm="1">
        <f t="array" aca="1" ref="AS42" ca="1">IF($C42=0,"",IF(AS$12&lt;&gt;$C$5,NA(),INDEX(auto_DataFlat_Score,INDEX(sys_DataFlat_LU_Grid,$C42,AS$11))))</f>
        <v>79.8</v>
      </c>
      <c r="AT42" cm="1">
        <f t="array" aca="1" ref="AT42" ca="1">IF($C42=0,"",IF(AT$12&lt;&gt;$C$5,NA(),INDEX(auto_DataFlat_Score,INDEX(sys_DataFlat_LU_Grid,$C42,AT$11))))</f>
        <v>75.7</v>
      </c>
      <c r="AU42" cm="1">
        <f t="array" aca="1" ref="AU42" ca="1">IF($C42=0,"",IF(AU$12&lt;&gt;$C$5,NA(),INDEX(auto_DataFlat_Score,INDEX(sys_DataFlat_LU_Grid,$C42,AU$11))))</f>
        <v>34.200000000000003</v>
      </c>
      <c r="AV42" cm="1">
        <f t="array" aca="1" ref="AV42" ca="1">IF($C42=0,"",IF(AV$12&lt;&gt;$C$5,NA(),INDEX(auto_DataFlat_Score,INDEX(sys_DataFlat_LU_Grid,$C42,AV$11))))</f>
        <v>55.6</v>
      </c>
      <c r="AW42" cm="1">
        <f t="array" aca="1" ref="AW42" ca="1">IF($C42=0,"",IF(AW$12&lt;&gt;$C$5,NA(),INDEX(auto_DataFlat_Score,INDEX(sys_DataFlat_LU_Grid,$C42,AW$11))))</f>
        <v>86.8</v>
      </c>
      <c r="AX42" cm="1">
        <f t="array" aca="1" ref="AX42" ca="1">IF($C42=0,"",IF(AX$12&lt;&gt;$C$5,NA(),INDEX(auto_DataFlat_Score,INDEX(sys_DataFlat_LU_Grid,$C42,AX$11))))</f>
        <v>84.2</v>
      </c>
      <c r="AY42" cm="1">
        <f t="array" aca="1" ref="AY42" ca="1">IF($C42=0,"",IF(AY$12&lt;&gt;$C$5,NA(),INDEX(auto_DataFlat_Score,INDEX(sys_DataFlat_LU_Grid,$C42,AY$11))))</f>
        <v>84</v>
      </c>
      <c r="AZ42" cm="1">
        <f t="array" aca="1" ref="AZ42" ca="1">IF($C42=0,"",IF(AZ$12&lt;&gt;$C$5,NA(),INDEX(auto_DataFlat_Score,INDEX(sys_DataFlat_LU_Grid,$C42,AZ$11))))</f>
        <v>58.5</v>
      </c>
      <c r="BA42" cm="1">
        <f t="array" aca="1" ref="BA42" ca="1">IF($C42=0,"",IF(BA$12&lt;&gt;$C$5,NA(),INDEX(auto_DataFlat_Score,INDEX(sys_DataFlat_LU_Grid,$C42,BA$11))))</f>
        <v>61</v>
      </c>
      <c r="BB42" cm="1">
        <f t="array" aca="1" ref="BB42" ca="1">IF($C42=0,"",IF(BB$12&lt;&gt;$C$5,NA(),INDEX(auto_DataFlat_Score,INDEX(sys_DataFlat_LU_Grid,$C42,BB$11))))</f>
        <v>82.8</v>
      </c>
      <c r="BC42" cm="1">
        <f t="array" aca="1" ref="BC42" ca="1">IF($C42=0,"",IF(BC$12&lt;&gt;$C$5,NA(),INDEX(auto_DataFlat_Score,INDEX(sys_DataFlat_LU_Grid,$C42,BC$11))))</f>
        <v>86.8</v>
      </c>
      <c r="BD42" cm="1">
        <f t="array" aca="1" ref="BD42" ca="1">IF($C42=0,"",IF(BD$12&lt;&gt;$C$5,NA(),INDEX(auto_DataFlat_Score,INDEX(sys_DataFlat_LU_Grid,$C42,BD$11))))</f>
        <v>70.099999999999994</v>
      </c>
      <c r="BE42" cm="1">
        <f t="array" aca="1" ref="BE42" ca="1">IF($C42=0,"",IF(BE$12&lt;&gt;$C$5,NA(),INDEX(auto_DataFlat_Score,INDEX(sys_DataFlat_LU_Grid,$C42,BE$11))))</f>
        <v>82.8</v>
      </c>
      <c r="BF42" cm="1">
        <f t="array" aca="1" ref="BF42" ca="1">IF($C42=0,"",IF(BF$12&lt;&gt;$C$5,NA(),INDEX(auto_DataFlat_Score,INDEX(sys_DataFlat_LU_Grid,$C42,BF$11))))</f>
        <v>54.3</v>
      </c>
      <c r="BG42" cm="1">
        <f t="array" aca="1" ref="BG42" ca="1">IF($C42=0,"",IF(BG$12&lt;&gt;$C$5,NA(),INDEX(auto_DataFlat_Score,INDEX(sys_DataFlat_LU_Grid,$C42,BG$11))))</f>
        <v>86.2</v>
      </c>
      <c r="BH42" cm="1">
        <f t="array" aca="1" ref="BH42" ca="1">IF($C42=0,"",IF(BH$12&lt;&gt;$C$5,NA(),INDEX(auto_DataFlat_Score,INDEX(sys_DataFlat_LU_Grid,$C42,BH$11))))</f>
        <v>87.9</v>
      </c>
      <c r="BI42" cm="1">
        <f t="array" aca="1" ref="BI42" ca="1">IF($C42=0,"",IF(BI$12&lt;&gt;$C$5,NA(),INDEX(auto_DataFlat_Score,INDEX(sys_DataFlat_LU_Grid,$C42,BI$11))))</f>
        <v>84.2</v>
      </c>
      <c r="BJ42" cm="1">
        <f t="array" aca="1" ref="BJ42" ca="1">IF($C42=0,"",IF(BJ$12&lt;&gt;$C$5,NA(),INDEX(auto_DataFlat_Score,INDEX(sys_DataFlat_LU_Grid,$C42,BJ$11))))</f>
        <v>89.9</v>
      </c>
      <c r="BK42" cm="1">
        <f t="array" aca="1" ref="BK42" ca="1">IF($C42=0,"",IF(BK$12&lt;&gt;$C$5,NA(),INDEX(auto_DataFlat_Score,INDEX(sys_DataFlat_LU_Grid,$C42,BK$11))))</f>
        <v>87.3</v>
      </c>
      <c r="BL42" cm="1">
        <f t="array" aca="1" ref="BL42" ca="1">IF($C42=0,"",IF(BL$12&lt;&gt;$C$5,NA(),INDEX(auto_DataFlat_Score,INDEX(sys_DataFlat_LU_Grid,$C42,BL$11))))</f>
        <v>54.3</v>
      </c>
      <c r="BM42" cm="1">
        <f t="array" aca="1" ref="BM42" ca="1">IF($C42=0,"",IF(BM$12&lt;&gt;$C$5,NA(),INDEX(auto_DataFlat_Score,INDEX(sys_DataFlat_LU_Grid,$C42,BM$11))))</f>
        <v>51.1</v>
      </c>
    </row>
    <row r="43" spans="2:65" x14ac:dyDescent="0.4">
      <c r="B43">
        <v>3</v>
      </c>
      <c r="C43" cm="1">
        <f t="array" aca="1" ref="C43" ca="1">INDEX(OFFSET(auto_ss_OverallAndCategory,0,1,300,1),B43)</f>
        <v>14</v>
      </c>
      <c r="D43" cm="1">
        <f t="array" aca="1" ref="D43" ca="1">IF(C43=0,0,INDEX(sys_DataFlat_LU_Grid_Groups,$C43,D$40))</f>
        <v>831</v>
      </c>
      <c r="E43" cm="1">
        <f t="array" aca="1" ref="E43" ca="1">IF(C43=0,0,INDEX(sys_DataFlat_LU_Grid_Groups,$C43,E$40))</f>
        <v>831</v>
      </c>
      <c r="G43">
        <f t="shared" ca="1" si="11"/>
        <v>48.8</v>
      </c>
      <c r="H43" t="e" cm="1">
        <f t="array" ref="H43">IF($C$8=0,NA(),INDEX($P43:$BM43,$C$8))</f>
        <v>#N/A</v>
      </c>
      <c r="I43" cm="1">
        <f t="array" aca="1" ref="I43" ca="1">IF(C43=0,0,INDEX(sys_DataFlat_LU_Grid,$C43,$C$2))</f>
        <v>781</v>
      </c>
      <c r="J43" t="str" cm="1">
        <f t="array" aca="1" ref="J43" ca="1">IF(C43=0,"-",INDEX(auto_Series_NameNoNumber,C43))</f>
        <v>PHYSICAL ENVIRONMENT</v>
      </c>
      <c r="K43" cm="1">
        <f t="array" aca="1" ref="K43" ca="1">IF(C43=0,"-",INDEX(K$94:K$162,$C43))</f>
        <v>29</v>
      </c>
      <c r="L43" t="str" cm="1">
        <f t="array" aca="1" ref="L43" ca="1">IF(C43=0,"-",INDEX(L$94:L$162,$C43))</f>
        <v>41</v>
      </c>
      <c r="M43">
        <f t="shared" ca="1" si="12"/>
        <v>-0.60417210675148569</v>
      </c>
      <c r="N43" cm="1">
        <f t="array" aca="1" ref="N43" ca="1">IF(C43=0,"-",INDEX($N$94:$N$162,$C43))</f>
        <v>2</v>
      </c>
      <c r="O43" t="e" cm="1">
        <f t="array" aca="1" ref="O43" ca="1">IF(C43=0,"-",INDEX(#REF!,$C43))</f>
        <v>#REF!</v>
      </c>
      <c r="P43" cm="1">
        <f t="array" aca="1" ref="P43" ca="1">IF($C43=0,"",IF(P$12&lt;&gt;$C$5,NA(),INDEX(auto_DataFlat_Score,INDEX(sys_DataFlat_LU_Grid,$C43,P$11))))</f>
        <v>29</v>
      </c>
      <c r="Q43" cm="1">
        <f t="array" aca="1" ref="Q43" ca="1">IF($C43=0,"",IF(Q$12&lt;&gt;$C$5,NA(),INDEX(auto_DataFlat_Score,INDEX(sys_DataFlat_LU_Grid,$C43,Q$11))))</f>
        <v>26</v>
      </c>
      <c r="R43" cm="1">
        <f t="array" aca="1" ref="R43" ca="1">IF($C43=0,"",IF(R$12&lt;&gt;$C$5,NA(),INDEX(auto_DataFlat_Score,INDEX(sys_DataFlat_LU_Grid,$C43,R$11))))</f>
        <v>37.700000000000003</v>
      </c>
      <c r="S43" cm="1">
        <f t="array" aca="1" ref="S43" ca="1">IF($C43=0,"",IF(S$12&lt;&gt;$C$5,NA(),INDEX(auto_DataFlat_Score,INDEX(sys_DataFlat_LU_Grid,$C43,S$11))))</f>
        <v>67.2</v>
      </c>
      <c r="T43" cm="1">
        <f t="array" aca="1" ref="T43" ca="1">IF($C43=0,"",IF(T$12&lt;&gt;$C$5,NA(),INDEX(auto_DataFlat_Score,INDEX(sys_DataFlat_LU_Grid,$C43,T$11))))</f>
        <v>35.700000000000003</v>
      </c>
      <c r="U43" cm="1">
        <f t="array" aca="1" ref="U43" ca="1">IF($C43=0,"",IF(U$12&lt;&gt;$C$5,NA(),INDEX(auto_DataFlat_Score,INDEX(sys_DataFlat_LU_Grid,$C43,U$11))))</f>
        <v>46.5</v>
      </c>
      <c r="V43" cm="1">
        <f t="array" aca="1" ref="V43" ca="1">IF($C43=0,"",IF(V$12&lt;&gt;$C$5,NA(),INDEX(auto_DataFlat_Score,INDEX(sys_DataFlat_LU_Grid,$C43,V$11))))</f>
        <v>63.1</v>
      </c>
      <c r="W43" cm="1">
        <f t="array" aca="1" ref="W43" ca="1">IF($C43=0,"",IF(W$12&lt;&gt;$C$5,NA(),INDEX(auto_DataFlat_Score,INDEX(sys_DataFlat_LU_Grid,$C43,W$11))))</f>
        <v>74.3</v>
      </c>
      <c r="X43" cm="1">
        <f t="array" aca="1" ref="X43" ca="1">IF($C43=0,"",IF(X$12&lt;&gt;$C$5,NA(),INDEX(auto_DataFlat_Score,INDEX(sys_DataFlat_LU_Grid,$C43,X$11))))</f>
        <v>60.7</v>
      </c>
      <c r="Y43" cm="1">
        <f t="array" aca="1" ref="Y43" ca="1">IF($C43=0,"",IF(Y$12&lt;&gt;$C$5,NA(),INDEX(auto_DataFlat_Score,INDEX(sys_DataFlat_LU_Grid,$C43,Y$11))))</f>
        <v>12.4</v>
      </c>
      <c r="Z43" cm="1">
        <f t="array" aca="1" ref="Z43" ca="1">IF($C43=0,"",IF(Z$12&lt;&gt;$C$5,NA(),INDEX(auto_DataFlat_Score,INDEX(sys_DataFlat_LU_Grid,$C43,Z$11))))</f>
        <v>23.4</v>
      </c>
      <c r="AA43" cm="1">
        <f t="array" aca="1" ref="AA43" ca="1">IF($C43=0,"",IF(AA$12&lt;&gt;$C$5,NA(),INDEX(auto_DataFlat_Score,INDEX(sys_DataFlat_LU_Grid,$C43,AA$11))))</f>
        <v>20.9</v>
      </c>
      <c r="AB43" cm="1">
        <f t="array" aca="1" ref="AB43" ca="1">IF($C43=0,"",IF(AB$12&lt;&gt;$C$5,NA(),INDEX(auto_DataFlat_Score,INDEX(sys_DataFlat_LU_Grid,$C43,AB$11))))</f>
        <v>41.8</v>
      </c>
      <c r="AC43" cm="1">
        <f t="array" aca="1" ref="AC43" ca="1">IF($C43=0,"",IF(AC$12&lt;&gt;$C$5,NA(),INDEX(auto_DataFlat_Score,INDEX(sys_DataFlat_LU_Grid,$C43,AC$11))))</f>
        <v>45.5</v>
      </c>
      <c r="AD43" cm="1">
        <f t="array" aca="1" ref="AD43" ca="1">IF($C43=0,"",IF(AD$12&lt;&gt;$C$5,NA(),INDEX(auto_DataFlat_Score,INDEX(sys_DataFlat_LU_Grid,$C43,AD$11))))</f>
        <v>54.5</v>
      </c>
      <c r="AE43" cm="1">
        <f t="array" aca="1" ref="AE43" ca="1">IF($C43=0,"",IF(AE$12&lt;&gt;$C$5,NA(),INDEX(auto_DataFlat_Score,INDEX(sys_DataFlat_LU_Grid,$C43,AE$11))))</f>
        <v>38.5</v>
      </c>
      <c r="AF43" cm="1">
        <f t="array" aca="1" ref="AF43" ca="1">IF($C43=0,"",IF(AF$12&lt;&gt;$C$5,NA(),INDEX(auto_DataFlat_Score,INDEX(sys_DataFlat_LU_Grid,$C43,AF$11))))</f>
        <v>69.2</v>
      </c>
      <c r="AG43" cm="1">
        <f t="array" aca="1" ref="AG43" ca="1">IF($C43=0,"",IF(AG$12&lt;&gt;$C$5,NA(),INDEX(auto_DataFlat_Score,INDEX(sys_DataFlat_LU_Grid,$C43,AG$11))))</f>
        <v>60.3</v>
      </c>
      <c r="AH43" cm="1">
        <f t="array" aca="1" ref="AH43" ca="1">IF($C43=0,"",IF(AH$12&lt;&gt;$C$5,NA(),INDEX(auto_DataFlat_Score,INDEX(sys_DataFlat_LU_Grid,$C43,AH$11))))</f>
        <v>51.1</v>
      </c>
      <c r="AI43" cm="1">
        <f t="array" aca="1" ref="AI43" ca="1">IF($C43=0,"",IF(AI$12&lt;&gt;$C$5,NA(),INDEX(auto_DataFlat_Score,INDEX(sys_DataFlat_LU_Grid,$C43,AI$11))))</f>
        <v>34.200000000000003</v>
      </c>
      <c r="AJ43" cm="1">
        <f t="array" aca="1" ref="AJ43" ca="1">IF($C43=0,"",IF(AJ$12&lt;&gt;$C$5,NA(),INDEX(auto_DataFlat_Score,INDEX(sys_DataFlat_LU_Grid,$C43,AJ$11))))</f>
        <v>38.700000000000003</v>
      </c>
      <c r="AK43" cm="1">
        <f t="array" aca="1" ref="AK43" ca="1">IF($C43=0,"",IF(AK$12&lt;&gt;$C$5,NA(),INDEX(auto_DataFlat_Score,INDEX(sys_DataFlat_LU_Grid,$C43,AK$11))))</f>
        <v>46.8</v>
      </c>
      <c r="AL43" cm="1">
        <f t="array" aca="1" ref="AL43" ca="1">IF($C43=0,"",IF(AL$12&lt;&gt;$C$5,NA(),INDEX(auto_DataFlat_Score,INDEX(sys_DataFlat_LU_Grid,$C43,AL$11))))</f>
        <v>23.2</v>
      </c>
      <c r="AM43" cm="1">
        <f t="array" aca="1" ref="AM43" ca="1">IF($C43=0,"",IF(AM$12&lt;&gt;$C$5,NA(),INDEX(auto_DataFlat_Score,INDEX(sys_DataFlat_LU_Grid,$C43,AM$11))))</f>
        <v>27.1</v>
      </c>
      <c r="AN43" cm="1">
        <f t="array" aca="1" ref="AN43" ca="1">IF($C43=0,"",IF(AN$12&lt;&gt;$C$5,NA(),INDEX(auto_DataFlat_Score,INDEX(sys_DataFlat_LU_Grid,$C43,AN$11))))</f>
        <v>20.7</v>
      </c>
      <c r="AO43" cm="1">
        <f t="array" aca="1" ref="AO43" ca="1">IF($C43=0,"",IF(AO$12&lt;&gt;$C$5,NA(),INDEX(auto_DataFlat_Score,INDEX(sys_DataFlat_LU_Grid,$C43,AO$11))))</f>
        <v>76.7</v>
      </c>
      <c r="AP43" cm="1">
        <f t="array" aca="1" ref="AP43" ca="1">IF($C43=0,"",IF(AP$12&lt;&gt;$C$5,NA(),INDEX(auto_DataFlat_Score,INDEX(sys_DataFlat_LU_Grid,$C43,AP$11))))</f>
        <v>72.599999999999994</v>
      </c>
      <c r="AQ43" cm="1">
        <f t="array" aca="1" ref="AQ43" ca="1">IF($C43=0,"",IF(AQ$12&lt;&gt;$C$5,NA(),INDEX(auto_DataFlat_Score,INDEX(sys_DataFlat_LU_Grid,$C43,AQ$11))))</f>
        <v>47.3</v>
      </c>
      <c r="AR43" cm="1">
        <f t="array" aca="1" ref="AR43" ca="1">IF($C43=0,"",IF(AR$12&lt;&gt;$C$5,NA(),INDEX(auto_DataFlat_Score,INDEX(sys_DataFlat_LU_Grid,$C43,AR$11))))</f>
        <v>75.5</v>
      </c>
      <c r="AS43" cm="1">
        <f t="array" aca="1" ref="AS43" ca="1">IF($C43=0,"",IF(AS$12&lt;&gt;$C$5,NA(),INDEX(auto_DataFlat_Score,INDEX(sys_DataFlat_LU_Grid,$C43,AS$11))))</f>
        <v>54.9</v>
      </c>
      <c r="AT43" cm="1">
        <f t="array" aca="1" ref="AT43" ca="1">IF($C43=0,"",IF(AT$12&lt;&gt;$C$5,NA(),INDEX(auto_DataFlat_Score,INDEX(sys_DataFlat_LU_Grid,$C43,AT$11))))</f>
        <v>65.3</v>
      </c>
      <c r="AU43" cm="1">
        <f t="array" aca="1" ref="AU43" ca="1">IF($C43=0,"",IF(AU$12&lt;&gt;$C$5,NA(),INDEX(auto_DataFlat_Score,INDEX(sys_DataFlat_LU_Grid,$C43,AU$11))))</f>
        <v>30.3</v>
      </c>
      <c r="AV43" cm="1">
        <f t="array" aca="1" ref="AV43" ca="1">IF($C43=0,"",IF(AV$12&lt;&gt;$C$5,NA(),INDEX(auto_DataFlat_Score,INDEX(sys_DataFlat_LU_Grid,$C43,AV$11))))</f>
        <v>37</v>
      </c>
      <c r="AW43" cm="1">
        <f t="array" aca="1" ref="AW43" ca="1">IF($C43=0,"",IF(AW$12&lt;&gt;$C$5,NA(),INDEX(auto_DataFlat_Score,INDEX(sys_DataFlat_LU_Grid,$C43,AW$11))))</f>
        <v>68.8</v>
      </c>
      <c r="AX43" cm="1">
        <f t="array" aca="1" ref="AX43" ca="1">IF($C43=0,"",IF(AX$12&lt;&gt;$C$5,NA(),INDEX(auto_DataFlat_Score,INDEX(sys_DataFlat_LU_Grid,$C43,AX$11))))</f>
        <v>59.3</v>
      </c>
      <c r="AY43" cm="1">
        <f t="array" aca="1" ref="AY43" ca="1">IF($C43=0,"",IF(AY$12&lt;&gt;$C$5,NA(),INDEX(auto_DataFlat_Score,INDEX(sys_DataFlat_LU_Grid,$C43,AY$11))))</f>
        <v>69.8</v>
      </c>
      <c r="AZ43" cm="1">
        <f t="array" aca="1" ref="AZ43" ca="1">IF($C43=0,"",IF(AZ$12&lt;&gt;$C$5,NA(),INDEX(auto_DataFlat_Score,INDEX(sys_DataFlat_LU_Grid,$C43,AZ$11))))</f>
        <v>27</v>
      </c>
      <c r="BA43" cm="1">
        <f t="array" aca="1" ref="BA43" ca="1">IF($C43=0,"",IF(BA$12&lt;&gt;$C$5,NA(),INDEX(auto_DataFlat_Score,INDEX(sys_DataFlat_LU_Grid,$C43,BA$11))))</f>
        <v>9.8000000000000007</v>
      </c>
      <c r="BB43" cm="1">
        <f t="array" aca="1" ref="BB43" ca="1">IF($C43=0,"",IF(BB$12&lt;&gt;$C$5,NA(),INDEX(auto_DataFlat_Score,INDEX(sys_DataFlat_LU_Grid,$C43,BB$11))))</f>
        <v>71.400000000000006</v>
      </c>
      <c r="BC43" cm="1">
        <f t="array" aca="1" ref="BC43" ca="1">IF($C43=0,"",IF(BC$12&lt;&gt;$C$5,NA(),INDEX(auto_DataFlat_Score,INDEX(sys_DataFlat_LU_Grid,$C43,BC$11))))</f>
        <v>57.7</v>
      </c>
      <c r="BD43" cm="1">
        <f t="array" aca="1" ref="BD43" ca="1">IF($C43=0,"",IF(BD$12&lt;&gt;$C$5,NA(),INDEX(auto_DataFlat_Score,INDEX(sys_DataFlat_LU_Grid,$C43,BD$11))))</f>
        <v>65.8</v>
      </c>
      <c r="BE43" cm="1">
        <f t="array" aca="1" ref="BE43" ca="1">IF($C43=0,"",IF(BE$12&lt;&gt;$C$5,NA(),INDEX(auto_DataFlat_Score,INDEX(sys_DataFlat_LU_Grid,$C43,BE$11))))</f>
        <v>53.8</v>
      </c>
      <c r="BF43" cm="1">
        <f t="array" aca="1" ref="BF43" ca="1">IF($C43=0,"",IF(BF$12&lt;&gt;$C$5,NA(),INDEX(auto_DataFlat_Score,INDEX(sys_DataFlat_LU_Grid,$C43,BF$11))))</f>
        <v>46.5</v>
      </c>
      <c r="BG43" cm="1">
        <f t="array" aca="1" ref="BG43" ca="1">IF($C43=0,"",IF(BG$12&lt;&gt;$C$5,NA(),INDEX(auto_DataFlat_Score,INDEX(sys_DataFlat_LU_Grid,$C43,BG$11))))</f>
        <v>74.599999999999994</v>
      </c>
      <c r="BH43" cm="1">
        <f t="array" aca="1" ref="BH43" ca="1">IF($C43=0,"",IF(BH$12&lt;&gt;$C$5,NA(),INDEX(auto_DataFlat_Score,INDEX(sys_DataFlat_LU_Grid,$C43,BH$11))))</f>
        <v>49.2</v>
      </c>
      <c r="BI43" cm="1">
        <f t="array" aca="1" ref="BI43" ca="1">IF($C43=0,"",IF(BI$12&lt;&gt;$C$5,NA(),INDEX(auto_DataFlat_Score,INDEX(sys_DataFlat_LU_Grid,$C43,BI$11))))</f>
        <v>60.9</v>
      </c>
      <c r="BJ43" cm="1">
        <f t="array" aca="1" ref="BJ43" ca="1">IF($C43=0,"",IF(BJ$12&lt;&gt;$C$5,NA(),INDEX(auto_DataFlat_Score,INDEX(sys_DataFlat_LU_Grid,$C43,BJ$11))))</f>
        <v>77.5</v>
      </c>
      <c r="BK43" cm="1">
        <f t="array" aca="1" ref="BK43" ca="1">IF($C43=0,"",IF(BK$12&lt;&gt;$C$5,NA(),INDEX(auto_DataFlat_Score,INDEX(sys_DataFlat_LU_Grid,$C43,BK$11))))</f>
        <v>65</v>
      </c>
      <c r="BL43" cm="1">
        <f t="array" aca="1" ref="BL43" ca="1">IF($C43=0,"",IF(BL$12&lt;&gt;$C$5,NA(),INDEX(auto_DataFlat_Score,INDEX(sys_DataFlat_LU_Grid,$C43,BL$11))))</f>
        <v>43.6</v>
      </c>
      <c r="BM43" cm="1">
        <f t="array" aca="1" ref="BM43" ca="1">IF($C43=0,"",IF(BM$12&lt;&gt;$C$5,NA(),INDEX(auto_DataFlat_Score,INDEX(sys_DataFlat_LU_Grid,$C43,BM$11))))</f>
        <v>33.4</v>
      </c>
    </row>
    <row r="44" spans="2:65" x14ac:dyDescent="0.4">
      <c r="B44">
        <v>4</v>
      </c>
      <c r="C44" cm="1">
        <f t="array" aca="1" ref="C44" ca="1">INDEX(OFFSET(auto_ss_OverallAndCategory,0,1,300,1),B44)</f>
        <v>22</v>
      </c>
      <c r="D44" cm="1">
        <f t="array" aca="1" ref="D44" ca="1">IF(C44=0,0,INDEX(sys_DataFlat_LU_Grid_Groups,$C44,D$40))</f>
        <v>1311</v>
      </c>
      <c r="E44" cm="1">
        <f t="array" aca="1" ref="E44" ca="1">IF(C44=0,0,INDEX(sys_DataFlat_LU_Grid_Groups,$C44,E$40))</f>
        <v>1311</v>
      </c>
      <c r="G44">
        <f t="shared" ca="1" si="11"/>
        <v>57.9</v>
      </c>
      <c r="H44" t="e" cm="1">
        <f t="array" ref="H44">IF($C$8=0,NA(),INDEX($P44:$BM44,$C$8))</f>
        <v>#N/A</v>
      </c>
      <c r="I44" cm="1">
        <f t="array" aca="1" ref="I44" ca="1">IF(C44=0,0,INDEX(sys_DataFlat_LU_Grid,$C44,$C$2))</f>
        <v>1261</v>
      </c>
      <c r="J44" t="str" cm="1">
        <f t="array" aca="1" ref="J44" ca="1">IF(C44=0,"-",INDEX(auto_Series_NameNoNumber,C44))</f>
        <v>HEALTH RISKS</v>
      </c>
      <c r="K44" cm="1">
        <f t="array" aca="1" ref="K44" ca="1">IF(C44=0,"-",INDEX(K$94:K$162,$C44))</f>
        <v>47.2</v>
      </c>
      <c r="L44" t="str" cm="1">
        <f t="array" aca="1" ref="L44" ca="1">IF(C44=0,"-",INDEX(L$94:L$162,$C44))</f>
        <v>32</v>
      </c>
      <c r="M44">
        <f t="shared" ca="1" si="12"/>
        <v>-0.80467817279107312</v>
      </c>
      <c r="N44" cm="1">
        <f t="array" aca="1" ref="N44" ca="1">IF(C44=0,"-",INDEX($N$94:$N$162,$C44))</f>
        <v>3</v>
      </c>
      <c r="O44" t="e" cm="1">
        <f t="array" aca="1" ref="O44" ca="1">IF(C44=0,"-",INDEX(#REF!,$C44))</f>
        <v>#REF!</v>
      </c>
      <c r="P44" cm="1">
        <f t="array" aca="1" ref="P44" ca="1">IF($C44=0,"",IF(P$12&lt;&gt;$C$5,NA(),INDEX(auto_DataFlat_Score,INDEX(sys_DataFlat_LU_Grid,$C44,P$11))))</f>
        <v>47.2</v>
      </c>
      <c r="Q44" cm="1">
        <f t="array" aca="1" ref="Q44" ca="1">IF($C44=0,"",IF(Q$12&lt;&gt;$C$5,NA(),INDEX(auto_DataFlat_Score,INDEX(sys_DataFlat_LU_Grid,$C44,Q$11))))</f>
        <v>39.6</v>
      </c>
      <c r="R44" cm="1">
        <f t="array" aca="1" ref="R44" ca="1">IF($C44=0,"",IF(R$12&lt;&gt;$C$5,NA(),INDEX(auto_DataFlat_Score,INDEX(sys_DataFlat_LU_Grid,$C44,R$11))))</f>
        <v>56.1</v>
      </c>
      <c r="S44" cm="1">
        <f t="array" aca="1" ref="S44" ca="1">IF($C44=0,"",IF(S$12&lt;&gt;$C$5,NA(),INDEX(auto_DataFlat_Score,INDEX(sys_DataFlat_LU_Grid,$C44,S$11))))</f>
        <v>60.5</v>
      </c>
      <c r="T44" cm="1">
        <f t="array" aca="1" ref="T44" ca="1">IF($C44=0,"",IF(T$12&lt;&gt;$C$5,NA(),INDEX(auto_DataFlat_Score,INDEX(sys_DataFlat_LU_Grid,$C44,T$11))))</f>
        <v>74.099999999999994</v>
      </c>
      <c r="U44" cm="1">
        <f t="array" aca="1" ref="U44" ca="1">IF($C44=0,"",IF(U$12&lt;&gt;$C$5,NA(),INDEX(auto_DataFlat_Score,INDEX(sys_DataFlat_LU_Grid,$C44,U$11))))</f>
        <v>80.599999999999994</v>
      </c>
      <c r="V44" cm="1">
        <f t="array" aca="1" ref="V44" ca="1">IF($C44=0,"",IF(V$12&lt;&gt;$C$5,NA(),INDEX(auto_DataFlat_Score,INDEX(sys_DataFlat_LU_Grid,$C44,V$11))))</f>
        <v>70</v>
      </c>
      <c r="W44" cm="1">
        <f t="array" aca="1" ref="W44" ca="1">IF($C44=0,"",IF(W$12&lt;&gt;$C$5,NA(),INDEX(auto_DataFlat_Score,INDEX(sys_DataFlat_LU_Grid,$C44,W$11))))</f>
        <v>56.9</v>
      </c>
      <c r="X44" cm="1">
        <f t="array" aca="1" ref="X44" ca="1">IF($C44=0,"",IF(X$12&lt;&gt;$C$5,NA(),INDEX(auto_DataFlat_Score,INDEX(sys_DataFlat_LU_Grid,$C44,X$11))))</f>
        <v>72.599999999999994</v>
      </c>
      <c r="Y44" cm="1">
        <f t="array" aca="1" ref="Y44" ca="1">IF($C44=0,"",IF(Y$12&lt;&gt;$C$5,NA(),INDEX(auto_DataFlat_Score,INDEX(sys_DataFlat_LU_Grid,$C44,Y$11))))</f>
        <v>39.700000000000003</v>
      </c>
      <c r="Z44" cm="1">
        <f t="array" aca="1" ref="Z44" ca="1">IF($C44=0,"",IF(Z$12&lt;&gt;$C$5,NA(),INDEX(auto_DataFlat_Score,INDEX(sys_DataFlat_LU_Grid,$C44,Z$11))))</f>
        <v>45.6</v>
      </c>
      <c r="AA44" cm="1">
        <f t="array" aca="1" ref="AA44" ca="1">IF($C44=0,"",IF(AA$12&lt;&gt;$C$5,NA(),INDEX(auto_DataFlat_Score,INDEX(sys_DataFlat_LU_Grid,$C44,AA$11))))</f>
        <v>56.4</v>
      </c>
      <c r="AB44" cm="1">
        <f t="array" aca="1" ref="AB44" ca="1">IF($C44=0,"",IF(AB$12&lt;&gt;$C$5,NA(),INDEX(auto_DataFlat_Score,INDEX(sys_DataFlat_LU_Grid,$C44,AB$11))))</f>
        <v>39.700000000000003</v>
      </c>
      <c r="AC44" cm="1">
        <f t="array" aca="1" ref="AC44" ca="1">IF($C44=0,"",IF(AC$12&lt;&gt;$C$5,NA(),INDEX(auto_DataFlat_Score,INDEX(sys_DataFlat_LU_Grid,$C44,AC$11))))</f>
        <v>63</v>
      </c>
      <c r="AD44" cm="1">
        <f t="array" aca="1" ref="AD44" ca="1">IF($C44=0,"",IF(AD$12&lt;&gt;$C$5,NA(),INDEX(auto_DataFlat_Score,INDEX(sys_DataFlat_LU_Grid,$C44,AD$11))))</f>
        <v>77.400000000000006</v>
      </c>
      <c r="AE44" cm="1">
        <f t="array" aca="1" ref="AE44" ca="1">IF($C44=0,"",IF(AE$12&lt;&gt;$C$5,NA(),INDEX(auto_DataFlat_Score,INDEX(sys_DataFlat_LU_Grid,$C44,AE$11))))</f>
        <v>68.5</v>
      </c>
      <c r="AF44" cm="1">
        <f t="array" aca="1" ref="AF44" ca="1">IF($C44=0,"",IF(AF$12&lt;&gt;$C$5,NA(),INDEX(auto_DataFlat_Score,INDEX(sys_DataFlat_LU_Grid,$C44,AF$11))))</f>
        <v>86</v>
      </c>
      <c r="AG44" cm="1">
        <f t="array" aca="1" ref="AG44" ca="1">IF($C44=0,"",IF(AG$12&lt;&gt;$C$5,NA(),INDEX(auto_DataFlat_Score,INDEX(sys_DataFlat_LU_Grid,$C44,AG$11))))</f>
        <v>45.7</v>
      </c>
      <c r="AH44" cm="1">
        <f t="array" aca="1" ref="AH44" ca="1">IF($C44=0,"",IF(AH$12&lt;&gt;$C$5,NA(),INDEX(auto_DataFlat_Score,INDEX(sys_DataFlat_LU_Grid,$C44,AH$11))))</f>
        <v>83.3</v>
      </c>
      <c r="AI44" cm="1">
        <f t="array" aca="1" ref="AI44" ca="1">IF($C44=0,"",IF(AI$12&lt;&gt;$C$5,NA(),INDEX(auto_DataFlat_Score,INDEX(sys_DataFlat_LU_Grid,$C44,AI$11))))</f>
        <v>45.6</v>
      </c>
      <c r="AJ44" cm="1">
        <f t="array" aca="1" ref="AJ44" ca="1">IF($C44=0,"",IF(AJ$12&lt;&gt;$C$5,NA(),INDEX(auto_DataFlat_Score,INDEX(sys_DataFlat_LU_Grid,$C44,AJ$11))))</f>
        <v>35</v>
      </c>
      <c r="AK44" cm="1">
        <f t="array" aca="1" ref="AK44" ca="1">IF($C44=0,"",IF(AK$12&lt;&gt;$C$5,NA(),INDEX(auto_DataFlat_Score,INDEX(sys_DataFlat_LU_Grid,$C44,AK$11))))</f>
        <v>38.1</v>
      </c>
      <c r="AL44" cm="1">
        <f t="array" aca="1" ref="AL44" ca="1">IF($C44=0,"",IF(AL$12&lt;&gt;$C$5,NA(),INDEX(auto_DataFlat_Score,INDEX(sys_DataFlat_LU_Grid,$C44,AL$11))))</f>
        <v>43.9</v>
      </c>
      <c r="AM44" cm="1">
        <f t="array" aca="1" ref="AM44" ca="1">IF($C44=0,"",IF(AM$12&lt;&gt;$C$5,NA(),INDEX(auto_DataFlat_Score,INDEX(sys_DataFlat_LU_Grid,$C44,AM$11))))</f>
        <v>37.1</v>
      </c>
      <c r="AN44" cm="1">
        <f t="array" aca="1" ref="AN44" ca="1">IF($C44=0,"",IF(AN$12&lt;&gt;$C$5,NA(),INDEX(auto_DataFlat_Score,INDEX(sys_DataFlat_LU_Grid,$C44,AN$11))))</f>
        <v>48.4</v>
      </c>
      <c r="AO44" cm="1">
        <f t="array" aca="1" ref="AO44" ca="1">IF($C44=0,"",IF(AO$12&lt;&gt;$C$5,NA(),INDEX(auto_DataFlat_Score,INDEX(sys_DataFlat_LU_Grid,$C44,AO$11))))</f>
        <v>67.7</v>
      </c>
      <c r="AP44" cm="1">
        <f t="array" aca="1" ref="AP44" ca="1">IF($C44=0,"",IF(AP$12&lt;&gt;$C$5,NA(),INDEX(auto_DataFlat_Score,INDEX(sys_DataFlat_LU_Grid,$C44,AP$11))))</f>
        <v>78.599999999999994</v>
      </c>
      <c r="AQ44" cm="1">
        <f t="array" aca="1" ref="AQ44" ca="1">IF($C44=0,"",IF(AQ$12&lt;&gt;$C$5,NA(),INDEX(auto_DataFlat_Score,INDEX(sys_DataFlat_LU_Grid,$C44,AQ$11))))</f>
        <v>42.8</v>
      </c>
      <c r="AR44" cm="1">
        <f t="array" aca="1" ref="AR44" ca="1">IF($C44=0,"",IF(AR$12&lt;&gt;$C$5,NA(),INDEX(auto_DataFlat_Score,INDEX(sys_DataFlat_LU_Grid,$C44,AR$11))))</f>
        <v>67.7</v>
      </c>
      <c r="AS44" cm="1">
        <f t="array" aca="1" ref="AS44" ca="1">IF($C44=0,"",IF(AS$12&lt;&gt;$C$5,NA(),INDEX(auto_DataFlat_Score,INDEX(sys_DataFlat_LU_Grid,$C44,AS$11))))</f>
        <v>41.2</v>
      </c>
      <c r="AT44" cm="1">
        <f t="array" aca="1" ref="AT44" ca="1">IF($C44=0,"",IF(AT$12&lt;&gt;$C$5,NA(),INDEX(auto_DataFlat_Score,INDEX(sys_DataFlat_LU_Grid,$C44,AT$11))))</f>
        <v>54.7</v>
      </c>
      <c r="AU44" cm="1">
        <f t="array" aca="1" ref="AU44" ca="1">IF($C44=0,"",IF(AU$12&lt;&gt;$C$5,NA(),INDEX(auto_DataFlat_Score,INDEX(sys_DataFlat_LU_Grid,$C44,AU$11))))</f>
        <v>40.799999999999997</v>
      </c>
      <c r="AV44" cm="1">
        <f t="array" aca="1" ref="AV44" ca="1">IF($C44=0,"",IF(AV$12&lt;&gt;$C$5,NA(),INDEX(auto_DataFlat_Score,INDEX(sys_DataFlat_LU_Grid,$C44,AV$11))))</f>
        <v>36.4</v>
      </c>
      <c r="AW44" cm="1">
        <f t="array" aca="1" ref="AW44" ca="1">IF($C44=0,"",IF(AW$12&lt;&gt;$C$5,NA(),INDEX(auto_DataFlat_Score,INDEX(sys_DataFlat_LU_Grid,$C44,AW$11))))</f>
        <v>65.5</v>
      </c>
      <c r="AX44" cm="1">
        <f t="array" aca="1" ref="AX44" ca="1">IF($C44=0,"",IF(AX$12&lt;&gt;$C$5,NA(),INDEX(auto_DataFlat_Score,INDEX(sys_DataFlat_LU_Grid,$C44,AX$11))))</f>
        <v>80.7</v>
      </c>
      <c r="AY44" cm="1">
        <f t="array" aca="1" ref="AY44" ca="1">IF($C44=0,"",IF(AY$12&lt;&gt;$C$5,NA(),INDEX(auto_DataFlat_Score,INDEX(sys_DataFlat_LU_Grid,$C44,AY$11))))</f>
        <v>33.4</v>
      </c>
      <c r="AZ44" cm="1">
        <f t="array" aca="1" ref="AZ44" ca="1">IF($C44=0,"",IF(AZ$12&lt;&gt;$C$5,NA(),INDEX(auto_DataFlat_Score,INDEX(sys_DataFlat_LU_Grid,$C44,AZ$11))))</f>
        <v>64.099999999999994</v>
      </c>
      <c r="BA44" cm="1">
        <f t="array" aca="1" ref="BA44" ca="1">IF($C44=0,"",IF(BA$12&lt;&gt;$C$5,NA(),INDEX(auto_DataFlat_Score,INDEX(sys_DataFlat_LU_Grid,$C44,BA$11))))</f>
        <v>37.6</v>
      </c>
      <c r="BB44" cm="1">
        <f t="array" aca="1" ref="BB44" ca="1">IF($C44=0,"",IF(BB$12&lt;&gt;$C$5,NA(),INDEX(auto_DataFlat_Score,INDEX(sys_DataFlat_LU_Grid,$C44,BB$11))))</f>
        <v>33.700000000000003</v>
      </c>
      <c r="BC44" cm="1">
        <f t="array" aca="1" ref="BC44" ca="1">IF($C44=0,"",IF(BC$12&lt;&gt;$C$5,NA(),INDEX(auto_DataFlat_Score,INDEX(sys_DataFlat_LU_Grid,$C44,BC$11))))</f>
        <v>53</v>
      </c>
      <c r="BD44" cm="1">
        <f t="array" aca="1" ref="BD44" ca="1">IF($C44=0,"",IF(BD$12&lt;&gt;$C$5,NA(),INDEX(auto_DataFlat_Score,INDEX(sys_DataFlat_LU_Grid,$C44,BD$11))))</f>
        <v>52.1</v>
      </c>
      <c r="BE44" cm="1">
        <f t="array" aca="1" ref="BE44" ca="1">IF($C44=0,"",IF(BE$12&lt;&gt;$C$5,NA(),INDEX(auto_DataFlat_Score,INDEX(sys_DataFlat_LU_Grid,$C44,BE$11))))</f>
        <v>80.5</v>
      </c>
      <c r="BF44" cm="1">
        <f t="array" aca="1" ref="BF44" ca="1">IF($C44=0,"",IF(BF$12&lt;&gt;$C$5,NA(),INDEX(auto_DataFlat_Score,INDEX(sys_DataFlat_LU_Grid,$C44,BF$11))))</f>
        <v>77.5</v>
      </c>
      <c r="BG44" cm="1">
        <f t="array" aca="1" ref="BG44" ca="1">IF($C44=0,"",IF(BG$12&lt;&gt;$C$5,NA(),INDEX(auto_DataFlat_Score,INDEX(sys_DataFlat_LU_Grid,$C44,BG$11))))</f>
        <v>82.1</v>
      </c>
      <c r="BH44" cm="1">
        <f t="array" aca="1" ref="BH44" ca="1">IF($C44=0,"",IF(BH$12&lt;&gt;$C$5,NA(),INDEX(auto_DataFlat_Score,INDEX(sys_DataFlat_LU_Grid,$C44,BH$11))))</f>
        <v>67.7</v>
      </c>
      <c r="BI44" cm="1">
        <f t="array" aca="1" ref="BI44" ca="1">IF($C44=0,"",IF(BI$12&lt;&gt;$C$5,NA(),INDEX(auto_DataFlat_Score,INDEX(sys_DataFlat_LU_Grid,$C44,BI$11))))</f>
        <v>80.7</v>
      </c>
      <c r="BJ44" cm="1">
        <f t="array" aca="1" ref="BJ44" ca="1">IF($C44=0,"",IF(BJ$12&lt;&gt;$C$5,NA(),INDEX(auto_DataFlat_Score,INDEX(sys_DataFlat_LU_Grid,$C44,BJ$11))))</f>
        <v>67.7</v>
      </c>
      <c r="BK44" cm="1">
        <f t="array" aca="1" ref="BK44" ca="1">IF($C44=0,"",IF(BK$12&lt;&gt;$C$5,NA(),INDEX(auto_DataFlat_Score,INDEX(sys_DataFlat_LU_Grid,$C44,BK$11))))</f>
        <v>74.2</v>
      </c>
      <c r="BL44" cm="1">
        <f t="array" aca="1" ref="BL44" ca="1">IF($C44=0,"",IF(BL$12&lt;&gt;$C$5,NA(),INDEX(auto_DataFlat_Score,INDEX(sys_DataFlat_LU_Grid,$C44,BL$11))))</f>
        <v>58.7</v>
      </c>
      <c r="BM44" cm="1">
        <f t="array" aca="1" ref="BM44" ca="1">IF($C44=0,"",IF(BM$12&lt;&gt;$C$5,NA(),INDEX(auto_DataFlat_Score,INDEX(sys_DataFlat_LU_Grid,$C44,BM$11))))</f>
        <v>44</v>
      </c>
    </row>
    <row r="45" spans="2:65" x14ac:dyDescent="0.4">
      <c r="B45">
        <v>5</v>
      </c>
      <c r="C45" cm="1">
        <f t="array" aca="1" ref="C45" ca="1">INDEX(OFFSET(auto_ss_OverallAndCategory,0,1,300,1),B45)</f>
        <v>47</v>
      </c>
      <c r="D45" cm="1">
        <f t="array" aca="1" ref="D45" ca="1">IF(C45=0,0,INDEX(sys_DataFlat_LU_Grid_Groups,$C45,D$40))</f>
        <v>2811</v>
      </c>
      <c r="E45" cm="1">
        <f t="array" aca="1" ref="E45" ca="1">IF(C45=0,0,INDEX(sys_DataFlat_LU_Grid_Groups,$C45,E$40))</f>
        <v>2811</v>
      </c>
      <c r="G45">
        <f t="shared" ca="1" si="11"/>
        <v>64.3</v>
      </c>
      <c r="H45" t="e" cm="1">
        <f t="array" ref="H45">IF($C$8=0,NA(),INDEX($P45:$BM45,$C$8))</f>
        <v>#N/A</v>
      </c>
      <c r="I45" cm="1">
        <f t="array" aca="1" ref="I45" ca="1">IF(C45=0,0,INDEX(sys_DataFlat_LU_Grid,$C45,$C$2))</f>
        <v>2761</v>
      </c>
      <c r="J45" t="str" cm="1">
        <f t="array" aca="1" ref="J45" ca="1">IF(C45=0,"-",INDEX(auto_Series_NameNoNumber,C45))</f>
        <v>HEALTH SERVICES</v>
      </c>
      <c r="K45" cm="1">
        <f t="array" aca="1" ref="K45" ca="1">IF(C45=0,"-",INDEX(K$94:K$162,$C45))</f>
        <v>19.100000000000001</v>
      </c>
      <c r="L45" t="str" cm="1">
        <f t="array" aca="1" ref="L45" ca="1">IF(C45=0,"-",INDEX(L$94:L$162,$C45))</f>
        <v>50</v>
      </c>
      <c r="M45">
        <f t="shared" ca="1" si="12"/>
        <v>-2.1726863586912195</v>
      </c>
      <c r="N45" cm="1">
        <f t="array" aca="1" ref="N45" ca="1">IF(C45=0,"-",INDEX($N$94:$N$162,$C45))</f>
        <v>1</v>
      </c>
      <c r="O45" t="e" cm="1">
        <f t="array" aca="1" ref="O45" ca="1">IF(C45=0,"-",INDEX(#REF!,$C45))</f>
        <v>#REF!</v>
      </c>
      <c r="P45" cm="1">
        <f t="array" aca="1" ref="P45" ca="1">IF($C45=0,"",IF(P$12&lt;&gt;$C$5,NA(),INDEX(auto_DataFlat_Score,INDEX(sys_DataFlat_LU_Grid,$C45,P$11))))</f>
        <v>19.100000000000001</v>
      </c>
      <c r="Q45" cm="1">
        <f t="array" aca="1" ref="Q45" ca="1">IF($C45=0,"",IF(Q$12&lt;&gt;$C$5,NA(),INDEX(auto_DataFlat_Score,INDEX(sys_DataFlat_LU_Grid,$C45,Q$11))))</f>
        <v>52.5</v>
      </c>
      <c r="R45" cm="1">
        <f t="array" aca="1" ref="R45" ca="1">IF($C45=0,"",IF(R$12&lt;&gt;$C$5,NA(),INDEX(auto_DataFlat_Score,INDEX(sys_DataFlat_LU_Grid,$C45,R$11))))</f>
        <v>66.900000000000006</v>
      </c>
      <c r="S45" cm="1">
        <f t="array" aca="1" ref="S45" ca="1">IF($C45=0,"",IF(S$12&lt;&gt;$C$5,NA(),INDEX(auto_DataFlat_Score,INDEX(sys_DataFlat_LU_Grid,$C45,S$11))))</f>
        <v>79.400000000000006</v>
      </c>
      <c r="T45" cm="1">
        <f t="array" aca="1" ref="T45" ca="1">IF($C45=0,"",IF(T$12&lt;&gt;$C$5,NA(),INDEX(auto_DataFlat_Score,INDEX(sys_DataFlat_LU_Grid,$C45,T$11))))</f>
        <v>78.3</v>
      </c>
      <c r="U45" cm="1">
        <f t="array" aca="1" ref="U45" ca="1">IF($C45=0,"",IF(U$12&lt;&gt;$C$5,NA(),INDEX(auto_DataFlat_Score,INDEX(sys_DataFlat_LU_Grid,$C45,U$11))))</f>
        <v>37.6</v>
      </c>
      <c r="V45" cm="1">
        <f t="array" aca="1" ref="V45" ca="1">IF($C45=0,"",IF(V$12&lt;&gt;$C$5,NA(),INDEX(auto_DataFlat_Score,INDEX(sys_DataFlat_LU_Grid,$C45,V$11))))</f>
        <v>87.6</v>
      </c>
      <c r="W45" cm="1">
        <f t="array" aca="1" ref="W45" ca="1">IF($C45=0,"",IF(W$12&lt;&gt;$C$5,NA(),INDEX(auto_DataFlat_Score,INDEX(sys_DataFlat_LU_Grid,$C45,W$11))))</f>
        <v>70.8</v>
      </c>
      <c r="X45" cm="1">
        <f t="array" aca="1" ref="X45" ca="1">IF($C45=0,"",IF(X$12&lt;&gt;$C$5,NA(),INDEX(auto_DataFlat_Score,INDEX(sys_DataFlat_LU_Grid,$C45,X$11))))</f>
        <v>60.8</v>
      </c>
      <c r="Y45" cm="1">
        <f t="array" aca="1" ref="Y45" ca="1">IF($C45=0,"",IF(Y$12&lt;&gt;$C$5,NA(),INDEX(auto_DataFlat_Score,INDEX(sys_DataFlat_LU_Grid,$C45,Y$11))))</f>
        <v>47.8</v>
      </c>
      <c r="Z45" cm="1">
        <f t="array" aca="1" ref="Z45" ca="1">IF($C45=0,"",IF(Z$12&lt;&gt;$C$5,NA(),INDEX(auto_DataFlat_Score,INDEX(sys_DataFlat_LU_Grid,$C45,Z$11))))</f>
        <v>77.8</v>
      </c>
      <c r="AA45" cm="1">
        <f t="array" aca="1" ref="AA45" ca="1">IF($C45=0,"",IF(AA$12&lt;&gt;$C$5,NA(),INDEX(auto_DataFlat_Score,INDEX(sys_DataFlat_LU_Grid,$C45,AA$11))))</f>
        <v>71</v>
      </c>
      <c r="AB45" cm="1">
        <f t="array" aca="1" ref="AB45" ca="1">IF($C45=0,"",IF(AB$12&lt;&gt;$C$5,NA(),INDEX(auto_DataFlat_Score,INDEX(sys_DataFlat_LU_Grid,$C45,AB$11))))</f>
        <v>39.1</v>
      </c>
      <c r="AC45" cm="1">
        <f t="array" aca="1" ref="AC45" ca="1">IF($C45=0,"",IF(AC$12&lt;&gt;$C$5,NA(),INDEX(auto_DataFlat_Score,INDEX(sys_DataFlat_LU_Grid,$C45,AC$11))))</f>
        <v>44.8</v>
      </c>
      <c r="AD45" cm="1">
        <f t="array" aca="1" ref="AD45" ca="1">IF($C45=0,"",IF(AD$12&lt;&gt;$C$5,NA(),INDEX(auto_DataFlat_Score,INDEX(sys_DataFlat_LU_Grid,$C45,AD$11))))</f>
        <v>87.3</v>
      </c>
      <c r="AE45" cm="1">
        <f t="array" aca="1" ref="AE45" ca="1">IF($C45=0,"",IF(AE$12&lt;&gt;$C$5,NA(),INDEX(auto_DataFlat_Score,INDEX(sys_DataFlat_LU_Grid,$C45,AE$11))))</f>
        <v>48.9</v>
      </c>
      <c r="AF45" cm="1">
        <f t="array" aca="1" ref="AF45" ca="1">IF($C45=0,"",IF(AF$12&lt;&gt;$C$5,NA(),INDEX(auto_DataFlat_Score,INDEX(sys_DataFlat_LU_Grid,$C45,AF$11))))</f>
        <v>76.5</v>
      </c>
      <c r="AG45" cm="1">
        <f t="array" aca="1" ref="AG45" ca="1">IF($C45=0,"",IF(AG$12&lt;&gt;$C$5,NA(),INDEX(auto_DataFlat_Score,INDEX(sys_DataFlat_LU_Grid,$C45,AG$11))))</f>
        <v>80.099999999999994</v>
      </c>
      <c r="AH45" cm="1">
        <f t="array" aca="1" ref="AH45" ca="1">IF($C45=0,"",IF(AH$12&lt;&gt;$C$5,NA(),INDEX(auto_DataFlat_Score,INDEX(sys_DataFlat_LU_Grid,$C45,AH$11))))</f>
        <v>40.6</v>
      </c>
      <c r="AI45" cm="1">
        <f t="array" aca="1" ref="AI45" ca="1">IF($C45=0,"",IF(AI$12&lt;&gt;$C$5,NA(),INDEX(auto_DataFlat_Score,INDEX(sys_DataFlat_LU_Grid,$C45,AI$11))))</f>
        <v>51.9</v>
      </c>
      <c r="AJ45" cm="1">
        <f t="array" aca="1" ref="AJ45" ca="1">IF($C45=0,"",IF(AJ$12&lt;&gt;$C$5,NA(),INDEX(auto_DataFlat_Score,INDEX(sys_DataFlat_LU_Grid,$C45,AJ$11))))</f>
        <v>29.3</v>
      </c>
      <c r="AK45" cm="1">
        <f t="array" aca="1" ref="AK45" ca="1">IF($C45=0,"",IF(AK$12&lt;&gt;$C$5,NA(),INDEX(auto_DataFlat_Score,INDEX(sys_DataFlat_LU_Grid,$C45,AK$11))))</f>
        <v>47.4</v>
      </c>
      <c r="AL45" cm="1">
        <f t="array" aca="1" ref="AL45" ca="1">IF($C45=0,"",IF(AL$12&lt;&gt;$C$5,NA(),INDEX(auto_DataFlat_Score,INDEX(sys_DataFlat_LU_Grid,$C45,AL$11))))</f>
        <v>71</v>
      </c>
      <c r="AM45" cm="1">
        <f t="array" aca="1" ref="AM45" ca="1">IF($C45=0,"",IF(AM$12&lt;&gt;$C$5,NA(),INDEX(auto_DataFlat_Score,INDEX(sys_DataFlat_LU_Grid,$C45,AM$11))))</f>
        <v>43.9</v>
      </c>
      <c r="AN45" cm="1">
        <f t="array" aca="1" ref="AN45" ca="1">IF($C45=0,"",IF(AN$12&lt;&gt;$C$5,NA(),INDEX(auto_DataFlat_Score,INDEX(sys_DataFlat_LU_Grid,$C45,AN$11))))</f>
        <v>48.4</v>
      </c>
      <c r="AO45" cm="1">
        <f t="array" aca="1" ref="AO45" ca="1">IF($C45=0,"",IF(AO$12&lt;&gt;$C$5,NA(),INDEX(auto_DataFlat_Score,INDEX(sys_DataFlat_LU_Grid,$C45,AO$11))))</f>
        <v>84</v>
      </c>
      <c r="AP45" cm="1">
        <f t="array" aca="1" ref="AP45" ca="1">IF($C45=0,"",IF(AP$12&lt;&gt;$C$5,NA(),INDEX(auto_DataFlat_Score,INDEX(sys_DataFlat_LU_Grid,$C45,AP$11))))</f>
        <v>83.7</v>
      </c>
      <c r="AQ45" cm="1">
        <f t="array" aca="1" ref="AQ45" ca="1">IF($C45=0,"",IF(AQ$12&lt;&gt;$C$5,NA(),INDEX(auto_DataFlat_Score,INDEX(sys_DataFlat_LU_Grid,$C45,AQ$11))))</f>
        <v>46.3</v>
      </c>
      <c r="AR45" cm="1">
        <f t="array" aca="1" ref="AR45" ca="1">IF($C45=0,"",IF(AR$12&lt;&gt;$C$5,NA(),INDEX(auto_DataFlat_Score,INDEX(sys_DataFlat_LU_Grid,$C45,AR$11))))</f>
        <v>83.5</v>
      </c>
      <c r="AS45" cm="1">
        <f t="array" aca="1" ref="AS45" ca="1">IF($C45=0,"",IF(AS$12&lt;&gt;$C$5,NA(),INDEX(auto_DataFlat_Score,INDEX(sys_DataFlat_LU_Grid,$C45,AS$11))))</f>
        <v>77.599999999999994</v>
      </c>
      <c r="AT45" cm="1">
        <f t="array" aca="1" ref="AT45" ca="1">IF($C45=0,"",IF(AT$12&lt;&gt;$C$5,NA(),INDEX(auto_DataFlat_Score,INDEX(sys_DataFlat_LU_Grid,$C45,AT$11))))</f>
        <v>58.3</v>
      </c>
      <c r="AU45" cm="1">
        <f t="array" aca="1" ref="AU45" ca="1">IF($C45=0,"",IF(AU$12&lt;&gt;$C$5,NA(),INDEX(auto_DataFlat_Score,INDEX(sys_DataFlat_LU_Grid,$C45,AU$11))))</f>
        <v>71</v>
      </c>
      <c r="AV45" cm="1">
        <f t="array" aca="1" ref="AV45" ca="1">IF($C45=0,"",IF(AV$12&lt;&gt;$C$5,NA(),INDEX(auto_DataFlat_Score,INDEX(sys_DataFlat_LU_Grid,$C45,AV$11))))</f>
        <v>36.6</v>
      </c>
      <c r="AW45" cm="1">
        <f t="array" aca="1" ref="AW45" ca="1">IF($C45=0,"",IF(AW$12&lt;&gt;$C$5,NA(),INDEX(auto_DataFlat_Score,INDEX(sys_DataFlat_LU_Grid,$C45,AW$11))))</f>
        <v>91.9</v>
      </c>
      <c r="AX45" cm="1">
        <f t="array" aca="1" ref="AX45" ca="1">IF($C45=0,"",IF(AX$12&lt;&gt;$C$5,NA(),INDEX(auto_DataFlat_Score,INDEX(sys_DataFlat_LU_Grid,$C45,AX$11))))</f>
        <v>80.400000000000006</v>
      </c>
      <c r="AY45" cm="1">
        <f t="array" aca="1" ref="AY45" ca="1">IF($C45=0,"",IF(AY$12&lt;&gt;$C$5,NA(),INDEX(auto_DataFlat_Score,INDEX(sys_DataFlat_LU_Grid,$C45,AY$11))))</f>
        <v>84.3</v>
      </c>
      <c r="AZ45" cm="1">
        <f t="array" aca="1" ref="AZ45" ca="1">IF($C45=0,"",IF(AZ$12&lt;&gt;$C$5,NA(),INDEX(auto_DataFlat_Score,INDEX(sys_DataFlat_LU_Grid,$C45,AZ$11))))</f>
        <v>48.7</v>
      </c>
      <c r="BA45" cm="1">
        <f t="array" aca="1" ref="BA45" ca="1">IF($C45=0,"",IF(BA$12&lt;&gt;$C$5,NA(),INDEX(auto_DataFlat_Score,INDEX(sys_DataFlat_LU_Grid,$C45,BA$11))))</f>
        <v>51.9</v>
      </c>
      <c r="BB45" cm="1">
        <f t="array" aca="1" ref="BB45" ca="1">IF($C45=0,"",IF(BB$12&lt;&gt;$C$5,NA(),INDEX(auto_DataFlat_Score,INDEX(sys_DataFlat_LU_Grid,$C45,BB$11))))</f>
        <v>82.1</v>
      </c>
      <c r="BC45" cm="1">
        <f t="array" aca="1" ref="BC45" ca="1">IF($C45=0,"",IF(BC$12&lt;&gt;$C$5,NA(),INDEX(auto_DataFlat_Score,INDEX(sys_DataFlat_LU_Grid,$C45,BC$11))))</f>
        <v>91.9</v>
      </c>
      <c r="BD45" cm="1">
        <f t="array" aca="1" ref="BD45" ca="1">IF($C45=0,"",IF(BD$12&lt;&gt;$C$5,NA(),INDEX(auto_DataFlat_Score,INDEX(sys_DataFlat_LU_Grid,$C45,BD$11))))</f>
        <v>83.8</v>
      </c>
      <c r="BE45" cm="1">
        <f t="array" aca="1" ref="BE45" ca="1">IF($C45=0,"",IF(BE$12&lt;&gt;$C$5,NA(),INDEX(auto_DataFlat_Score,INDEX(sys_DataFlat_LU_Grid,$C45,BE$11))))</f>
        <v>83.8</v>
      </c>
      <c r="BF45" cm="1">
        <f t="array" aca="1" ref="BF45" ca="1">IF($C45=0,"",IF(BF$12&lt;&gt;$C$5,NA(),INDEX(auto_DataFlat_Score,INDEX(sys_DataFlat_LU_Grid,$C45,BF$11))))</f>
        <v>50.1</v>
      </c>
      <c r="BG45" cm="1">
        <f t="array" aca="1" ref="BG45" ca="1">IF($C45=0,"",IF(BG$12&lt;&gt;$C$5,NA(),INDEX(auto_DataFlat_Score,INDEX(sys_DataFlat_LU_Grid,$C45,BG$11))))</f>
        <v>53.9</v>
      </c>
      <c r="BH45" cm="1">
        <f t="array" aca="1" ref="BH45" ca="1">IF($C45=0,"",IF(BH$12&lt;&gt;$C$5,NA(),INDEX(auto_DataFlat_Score,INDEX(sys_DataFlat_LU_Grid,$C45,BH$11))))</f>
        <v>83.5</v>
      </c>
      <c r="BI45" cm="1">
        <f t="array" aca="1" ref="BI45" ca="1">IF($C45=0,"",IF(BI$12&lt;&gt;$C$5,NA(),INDEX(auto_DataFlat_Score,INDEX(sys_DataFlat_LU_Grid,$C45,BI$11))))</f>
        <v>80.400000000000006</v>
      </c>
      <c r="BJ45" cm="1">
        <f t="array" aca="1" ref="BJ45" ca="1">IF($C45=0,"",IF(BJ$12&lt;&gt;$C$5,NA(),INDEX(auto_DataFlat_Score,INDEX(sys_DataFlat_LU_Grid,$C45,BJ$11))))</f>
        <v>60.1</v>
      </c>
      <c r="BK45" cm="1">
        <f t="array" aca="1" ref="BK45" ca="1">IF($C45=0,"",IF(BK$12&lt;&gt;$C$5,NA(),INDEX(auto_DataFlat_Score,INDEX(sys_DataFlat_LU_Grid,$C45,BK$11))))</f>
        <v>84.5</v>
      </c>
      <c r="BL45" cm="1">
        <f t="array" aca="1" ref="BL45" ca="1">IF($C45=0,"",IF(BL$12&lt;&gt;$C$5,NA(),INDEX(auto_DataFlat_Score,INDEX(sys_DataFlat_LU_Grid,$C45,BL$11))))</f>
        <v>50.1</v>
      </c>
      <c r="BM45" cm="1">
        <f t="array" aca="1" ref="BM45" ca="1">IF($C45=0,"",IF(BM$12&lt;&gt;$C$5,NA(),INDEX(auto_DataFlat_Score,INDEX(sys_DataFlat_LU_Grid,$C45,BM$11))))</f>
        <v>51.6</v>
      </c>
    </row>
    <row r="46" spans="2:65" x14ac:dyDescent="0.4">
      <c r="B46">
        <v>6</v>
      </c>
      <c r="C46" cm="1">
        <f t="array" aca="1" ref="C46" ca="1">INDEX(OFFSET(auto_ss_OverallAndCategory,0,1,300,1),B46)</f>
        <v>52</v>
      </c>
      <c r="D46" cm="1">
        <f t="array" aca="1" ref="D46" ca="1">IF(C46=0,0,INDEX(sys_DataFlat_LU_Grid_Groups,$C46,D$40))</f>
        <v>3111</v>
      </c>
      <c r="E46" cm="1">
        <f t="array" aca="1" ref="E46" ca="1">IF(C46=0,0,INDEX(sys_DataFlat_LU_Grid_Groups,$C46,E$40))</f>
        <v>3111</v>
      </c>
      <c r="G46">
        <f t="shared" ca="1" si="11"/>
        <v>68.900000000000006</v>
      </c>
      <c r="H46" t="e" cm="1">
        <f t="array" ref="H46">IF($C$8=0,NA(),INDEX($P46:$BM46,$C$8))</f>
        <v>#N/A</v>
      </c>
      <c r="I46" cm="1">
        <f t="array" aca="1" ref="I46" ca="1">IF(C46=0,0,INDEX(sys_DataFlat_LU_Grid,$C46,$C$2))</f>
        <v>3061</v>
      </c>
      <c r="J46" t="str" cm="1">
        <f t="array" aca="1" ref="J46" ca="1">IF(C46=0,"-",INDEX(auto_Series_NameNoNumber,C46))</f>
        <v>GOVERNANCE</v>
      </c>
      <c r="K46" cm="1">
        <f t="array" aca="1" ref="K46" ca="1">IF(C46=0,"-",INDEX(K$94:K$162,$C46))</f>
        <v>67.599999999999994</v>
      </c>
      <c r="L46" t="str" cm="1">
        <f t="array" aca="1" ref="L46" ca="1">IF(C46=0,"-",INDEX(L$94:L$162,$C46))</f>
        <v>33</v>
      </c>
      <c r="M46">
        <f t="shared" ca="1" si="12"/>
        <v>-1.2408653084837382E-2</v>
      </c>
      <c r="N46" cm="1">
        <f t="array" aca="1" ref="N46" ca="1">IF(C46=0,"-",INDEX($N$94:$N$162,$C46))</f>
        <v>4</v>
      </c>
      <c r="O46" t="e" cm="1">
        <f t="array" aca="1" ref="O46" ca="1">IF(C46=0,"-",INDEX(#REF!,$C46))</f>
        <v>#REF!</v>
      </c>
      <c r="P46" cm="1">
        <f t="array" aca="1" ref="P46" ca="1">IF($C46=0,"",IF(P$12&lt;&gt;$C$5,NA(),INDEX(auto_DataFlat_Score,INDEX(sys_DataFlat_LU_Grid,$C46,P$11))))</f>
        <v>67.599999999999994</v>
      </c>
      <c r="Q46" cm="1">
        <f t="array" aca="1" ref="Q46" ca="1">IF($C46=0,"",IF(Q$12&lt;&gt;$C$5,NA(),INDEX(auto_DataFlat_Score,INDEX(sys_DataFlat_LU_Grid,$C46,Q$11))))</f>
        <v>38</v>
      </c>
      <c r="R46" cm="1">
        <f t="array" aca="1" ref="R46" ca="1">IF($C46=0,"",IF(R$12&lt;&gt;$C$5,NA(),INDEX(auto_DataFlat_Score,INDEX(sys_DataFlat_LU_Grid,$C46,R$11))))</f>
        <v>68.5</v>
      </c>
      <c r="S46" cm="1">
        <f t="array" aca="1" ref="S46" ca="1">IF($C46=0,"",IF(S$12&lt;&gt;$C$5,NA(),INDEX(auto_DataFlat_Score,INDEX(sys_DataFlat_LU_Grid,$C46,S$11))))</f>
        <v>75.900000000000006</v>
      </c>
      <c r="T46" cm="1">
        <f t="array" aca="1" ref="T46" ca="1">IF($C46=0,"",IF(T$12&lt;&gt;$C$5,NA(),INDEX(auto_DataFlat_Score,INDEX(sys_DataFlat_LU_Grid,$C46,T$11))))</f>
        <v>75.900000000000006</v>
      </c>
      <c r="U46" cm="1">
        <f t="array" aca="1" ref="U46" ca="1">IF($C46=0,"",IF(U$12&lt;&gt;$C$5,NA(),INDEX(auto_DataFlat_Score,INDEX(sys_DataFlat_LU_Grid,$C46,U$11))))</f>
        <v>74.099999999999994</v>
      </c>
      <c r="V46" cm="1">
        <f t="array" aca="1" ref="V46" ca="1">IF($C46=0,"",IF(V$12&lt;&gt;$C$5,NA(),INDEX(auto_DataFlat_Score,INDEX(sys_DataFlat_LU_Grid,$C46,V$11))))</f>
        <v>80.599999999999994</v>
      </c>
      <c r="W46" cm="1">
        <f t="array" aca="1" ref="W46" ca="1">IF($C46=0,"",IF(W$12&lt;&gt;$C$5,NA(),INDEX(auto_DataFlat_Score,INDEX(sys_DataFlat_LU_Grid,$C46,W$11))))</f>
        <v>78.7</v>
      </c>
      <c r="X46" cm="1">
        <f t="array" aca="1" ref="X46" ca="1">IF($C46=0,"",IF(X$12&lt;&gt;$C$5,NA(),INDEX(auto_DataFlat_Score,INDEX(sys_DataFlat_LU_Grid,$C46,X$11))))</f>
        <v>66.7</v>
      </c>
      <c r="Y46" cm="1">
        <f t="array" aca="1" ref="Y46" ca="1">IF($C46=0,"",IF(Y$12&lt;&gt;$C$5,NA(),INDEX(auto_DataFlat_Score,INDEX(sys_DataFlat_LU_Grid,$C46,Y$11))))</f>
        <v>53.7</v>
      </c>
      <c r="Z46" cm="1">
        <f t="array" aca="1" ref="Z46" ca="1">IF($C46=0,"",IF(Z$12&lt;&gt;$C$5,NA(),INDEX(auto_DataFlat_Score,INDEX(sys_DataFlat_LU_Grid,$C46,Z$11))))</f>
        <v>55.6</v>
      </c>
      <c r="AA46" cm="1">
        <f t="array" aca="1" ref="AA46" ca="1">IF($C46=0,"",IF(AA$12&lt;&gt;$C$5,NA(),INDEX(auto_DataFlat_Score,INDEX(sys_DataFlat_LU_Grid,$C46,AA$11))))</f>
        <v>77.8</v>
      </c>
      <c r="AB46" cm="1">
        <f t="array" aca="1" ref="AB46" ca="1">IF($C46=0,"",IF(AB$12&lt;&gt;$C$5,NA(),INDEX(auto_DataFlat_Score,INDEX(sys_DataFlat_LU_Grid,$C46,AB$11))))</f>
        <v>46.3</v>
      </c>
      <c r="AC46" cm="1">
        <f t="array" aca="1" ref="AC46" ca="1">IF($C46=0,"",IF(AC$12&lt;&gt;$C$5,NA(),INDEX(auto_DataFlat_Score,INDEX(sys_DataFlat_LU_Grid,$C46,AC$11))))</f>
        <v>81.5</v>
      </c>
      <c r="AD46" cm="1">
        <f t="array" aca="1" ref="AD46" ca="1">IF($C46=0,"",IF(AD$12&lt;&gt;$C$5,NA(),INDEX(auto_DataFlat_Score,INDEX(sys_DataFlat_LU_Grid,$C46,AD$11))))</f>
        <v>74.099999999999994</v>
      </c>
      <c r="AE46" cm="1">
        <f t="array" aca="1" ref="AE46" ca="1">IF($C46=0,"",IF(AE$12&lt;&gt;$C$5,NA(),INDEX(auto_DataFlat_Score,INDEX(sys_DataFlat_LU_Grid,$C46,AE$11))))</f>
        <v>80.599999999999994</v>
      </c>
      <c r="AF46" cm="1">
        <f t="array" aca="1" ref="AF46" ca="1">IF($C46=0,"",IF(AF$12&lt;&gt;$C$5,NA(),INDEX(auto_DataFlat_Score,INDEX(sys_DataFlat_LU_Grid,$C46,AF$11))))</f>
        <v>90.7</v>
      </c>
      <c r="AG46" cm="1">
        <f t="array" aca="1" ref="AG46" ca="1">IF($C46=0,"",IF(AG$12&lt;&gt;$C$5,NA(),INDEX(auto_DataFlat_Score,INDEX(sys_DataFlat_LU_Grid,$C46,AG$11))))</f>
        <v>53.7</v>
      </c>
      <c r="AH46" cm="1">
        <f t="array" aca="1" ref="AH46" ca="1">IF($C46=0,"",IF(AH$12&lt;&gt;$C$5,NA(),INDEX(auto_DataFlat_Score,INDEX(sys_DataFlat_LU_Grid,$C46,AH$11))))</f>
        <v>83.3</v>
      </c>
      <c r="AI46" cm="1">
        <f t="array" aca="1" ref="AI46" ca="1">IF($C46=0,"",IF(AI$12&lt;&gt;$C$5,NA(),INDEX(auto_DataFlat_Score,INDEX(sys_DataFlat_LU_Grid,$C46,AI$11))))</f>
        <v>53.7</v>
      </c>
      <c r="AJ46" cm="1">
        <f t="array" aca="1" ref="AJ46" ca="1">IF($C46=0,"",IF(AJ$12&lt;&gt;$C$5,NA(),INDEX(auto_DataFlat_Score,INDEX(sys_DataFlat_LU_Grid,$C46,AJ$11))))</f>
        <v>55.6</v>
      </c>
      <c r="AK46" cm="1">
        <f t="array" aca="1" ref="AK46" ca="1">IF($C46=0,"",IF(AK$12&lt;&gt;$C$5,NA(),INDEX(auto_DataFlat_Score,INDEX(sys_DataFlat_LU_Grid,$C46,AK$11))))</f>
        <v>37</v>
      </c>
      <c r="AL46" cm="1">
        <f t="array" aca="1" ref="AL46" ca="1">IF($C46=0,"",IF(AL$12&lt;&gt;$C$5,NA(),INDEX(auto_DataFlat_Score,INDEX(sys_DataFlat_LU_Grid,$C46,AL$11))))</f>
        <v>75.900000000000006</v>
      </c>
      <c r="AM46" cm="1">
        <f t="array" aca="1" ref="AM46" ca="1">IF($C46=0,"",IF(AM$12&lt;&gt;$C$5,NA(),INDEX(auto_DataFlat_Score,INDEX(sys_DataFlat_LU_Grid,$C46,AM$11))))</f>
        <v>50</v>
      </c>
      <c r="AN46" cm="1">
        <f t="array" aca="1" ref="AN46" ca="1">IF($C46=0,"",IF(AN$12&lt;&gt;$C$5,NA(),INDEX(auto_DataFlat_Score,INDEX(sys_DataFlat_LU_Grid,$C46,AN$11))))</f>
        <v>61.1</v>
      </c>
      <c r="AO46" cm="1">
        <f t="array" aca="1" ref="AO46" ca="1">IF($C46=0,"",IF(AO$12&lt;&gt;$C$5,NA(),INDEX(auto_DataFlat_Score,INDEX(sys_DataFlat_LU_Grid,$C46,AO$11))))</f>
        <v>96.3</v>
      </c>
      <c r="AP46" cm="1">
        <f t="array" aca="1" ref="AP46" ca="1">IF($C46=0,"",IF(AP$12&lt;&gt;$C$5,NA(),INDEX(auto_DataFlat_Score,INDEX(sys_DataFlat_LU_Grid,$C46,AP$11))))</f>
        <v>81.5</v>
      </c>
      <c r="AQ46" cm="1">
        <f t="array" aca="1" ref="AQ46" ca="1">IF($C46=0,"",IF(AQ$12&lt;&gt;$C$5,NA(),INDEX(auto_DataFlat_Score,INDEX(sys_DataFlat_LU_Grid,$C46,AQ$11))))</f>
        <v>50.9</v>
      </c>
      <c r="AR46" cm="1">
        <f t="array" aca="1" ref="AR46" ca="1">IF($C46=0,"",IF(AR$12&lt;&gt;$C$5,NA(),INDEX(auto_DataFlat_Score,INDEX(sys_DataFlat_LU_Grid,$C46,AR$11))))</f>
        <v>73.099999999999994</v>
      </c>
      <c r="AS46" cm="1">
        <f t="array" aca="1" ref="AS46" ca="1">IF($C46=0,"",IF(AS$12&lt;&gt;$C$5,NA(),INDEX(auto_DataFlat_Score,INDEX(sys_DataFlat_LU_Grid,$C46,AS$11))))</f>
        <v>63.9</v>
      </c>
      <c r="AT46" cm="1">
        <f t="array" aca="1" ref="AT46" ca="1">IF($C46=0,"",IF(AT$12&lt;&gt;$C$5,NA(),INDEX(auto_DataFlat_Score,INDEX(sys_DataFlat_LU_Grid,$C46,AT$11))))</f>
        <v>74.099999999999994</v>
      </c>
      <c r="AU46" cm="1">
        <f t="array" aca="1" ref="AU46" ca="1">IF($C46=0,"",IF(AU$12&lt;&gt;$C$5,NA(),INDEX(auto_DataFlat_Score,INDEX(sys_DataFlat_LU_Grid,$C46,AU$11))))</f>
        <v>79.599999999999994</v>
      </c>
      <c r="AV46" cm="1">
        <f t="array" aca="1" ref="AV46" ca="1">IF($C46=0,"",IF(AV$12&lt;&gt;$C$5,NA(),INDEX(auto_DataFlat_Score,INDEX(sys_DataFlat_LU_Grid,$C46,AV$11))))</f>
        <v>79.599999999999994</v>
      </c>
      <c r="AW46" cm="1">
        <f t="array" aca="1" ref="AW46" ca="1">IF($C46=0,"",IF(AW$12&lt;&gt;$C$5,NA(),INDEX(auto_DataFlat_Score,INDEX(sys_DataFlat_LU_Grid,$C46,AW$11))))</f>
        <v>87</v>
      </c>
      <c r="AX46" cm="1">
        <f t="array" aca="1" ref="AX46" ca="1">IF($C46=0,"",IF(AX$12&lt;&gt;$C$5,NA(),INDEX(auto_DataFlat_Score,INDEX(sys_DataFlat_LU_Grid,$C46,AX$11))))</f>
        <v>68.5</v>
      </c>
      <c r="AY46" cm="1">
        <f t="array" aca="1" ref="AY46" ca="1">IF($C46=0,"",IF(AY$12&lt;&gt;$C$5,NA(),INDEX(auto_DataFlat_Score,INDEX(sys_DataFlat_LU_Grid,$C46,AY$11))))</f>
        <v>69.400000000000006</v>
      </c>
      <c r="AZ46" cm="1">
        <f t="array" aca="1" ref="AZ46" ca="1">IF($C46=0,"",IF(AZ$12&lt;&gt;$C$5,NA(),INDEX(auto_DataFlat_Score,INDEX(sys_DataFlat_LU_Grid,$C46,AZ$11))))</f>
        <v>50.9</v>
      </c>
      <c r="BA46" cm="1">
        <f t="array" aca="1" ref="BA46" ca="1">IF($C46=0,"",IF(BA$12&lt;&gt;$C$5,NA(),INDEX(auto_DataFlat_Score,INDEX(sys_DataFlat_LU_Grid,$C46,BA$11))))</f>
        <v>56.5</v>
      </c>
      <c r="BB46" cm="1">
        <f t="array" aca="1" ref="BB46" ca="1">IF($C46=0,"",IF(BB$12&lt;&gt;$C$5,NA(),INDEX(auto_DataFlat_Score,INDEX(sys_DataFlat_LU_Grid,$C46,BB$11))))</f>
        <v>66.7</v>
      </c>
      <c r="BC46" cm="1">
        <f t="array" aca="1" ref="BC46" ca="1">IF($C46=0,"",IF(BC$12&lt;&gt;$C$5,NA(),INDEX(auto_DataFlat_Score,INDEX(sys_DataFlat_LU_Grid,$C46,BC$11))))</f>
        <v>79.599999999999994</v>
      </c>
      <c r="BD46" cm="1">
        <f t="array" aca="1" ref="BD46" ca="1">IF($C46=0,"",IF(BD$12&lt;&gt;$C$5,NA(),INDEX(auto_DataFlat_Score,INDEX(sys_DataFlat_LU_Grid,$C46,BD$11))))</f>
        <v>72.2</v>
      </c>
      <c r="BE46" cm="1">
        <f t="array" aca="1" ref="BE46" ca="1">IF($C46=0,"",IF(BE$12&lt;&gt;$C$5,NA(),INDEX(auto_DataFlat_Score,INDEX(sys_DataFlat_LU_Grid,$C46,BE$11))))</f>
        <v>75.900000000000006</v>
      </c>
      <c r="BF46" cm="1">
        <f t="array" aca="1" ref="BF46" ca="1">IF($C46=0,"",IF(BF$12&lt;&gt;$C$5,NA(),INDEX(auto_DataFlat_Score,INDEX(sys_DataFlat_LU_Grid,$C46,BF$11))))</f>
        <v>77.8</v>
      </c>
      <c r="BG46" cm="1">
        <f t="array" aca="1" ref="BG46" ca="1">IF($C46=0,"",IF(BG$12&lt;&gt;$C$5,NA(),INDEX(auto_DataFlat_Score,INDEX(sys_DataFlat_LU_Grid,$C46,BG$11))))</f>
        <v>75.900000000000006</v>
      </c>
      <c r="BH46" cm="1">
        <f t="array" aca="1" ref="BH46" ca="1">IF($C46=0,"",IF(BH$12&lt;&gt;$C$5,NA(),INDEX(auto_DataFlat_Score,INDEX(sys_DataFlat_LU_Grid,$C46,BH$11))))</f>
        <v>69.400000000000006</v>
      </c>
      <c r="BI46" cm="1">
        <f t="array" aca="1" ref="BI46" ca="1">IF($C46=0,"",IF(BI$12&lt;&gt;$C$5,NA(),INDEX(auto_DataFlat_Score,INDEX(sys_DataFlat_LU_Grid,$C46,BI$11))))</f>
        <v>74.099999999999994</v>
      </c>
      <c r="BJ46" cm="1">
        <f t="array" aca="1" ref="BJ46" ca="1">IF($C46=0,"",IF(BJ$12&lt;&gt;$C$5,NA(),INDEX(auto_DataFlat_Score,INDEX(sys_DataFlat_LU_Grid,$C46,BJ$11))))</f>
        <v>85.2</v>
      </c>
      <c r="BK46" cm="1">
        <f t="array" aca="1" ref="BK46" ca="1">IF($C46=0,"",IF(BK$12&lt;&gt;$C$5,NA(),INDEX(auto_DataFlat_Score,INDEX(sys_DataFlat_LU_Grid,$C46,BK$11))))</f>
        <v>70.400000000000006</v>
      </c>
      <c r="BL46" cm="1">
        <f t="array" aca="1" ref="BL46" ca="1">IF($C46=0,"",IF(BL$12&lt;&gt;$C$5,NA(),INDEX(auto_DataFlat_Score,INDEX(sys_DataFlat_LU_Grid,$C46,BL$11))))</f>
        <v>68.5</v>
      </c>
      <c r="BM46" cm="1">
        <f t="array" aca="1" ref="BM46" ca="1">IF($C46=0,"",IF(BM$12&lt;&gt;$C$5,NA(),INDEX(auto_DataFlat_Score,INDEX(sys_DataFlat_LU_Grid,$C46,BM$11))))</f>
        <v>40.700000000000003</v>
      </c>
    </row>
    <row r="47" spans="2:65" x14ac:dyDescent="0.4">
      <c r="B47">
        <v>7</v>
      </c>
      <c r="C47" cm="1">
        <f t="array" aca="1" ref="C47" ca="1">INDEX(OFFSET(auto_ss_OverallAndCategory,0,1,300,1),B47)</f>
        <v>0</v>
      </c>
      <c r="D47" cm="1">
        <f t="array" aca="1" ref="D47" ca="1">IF(C47=0,0,INDEX(sys_DataFlat_LU_Grid_Groups,$C47,D$40))</f>
        <v>0</v>
      </c>
      <c r="E47" cm="1">
        <f t="array" aca="1" ref="E47" ca="1">IF(C47=0,0,INDEX(sys_DataFlat_LU_Grid_Groups,$C47,E$40))</f>
        <v>0</v>
      </c>
      <c r="G47" t="e">
        <f t="shared" ca="1" si="11"/>
        <v>#DIV/0!</v>
      </c>
      <c r="H47" t="e" cm="1">
        <f t="array" ref="H47">IF($C$8=0,NA(),INDEX($P47:$BM47,$C$8))</f>
        <v>#N/A</v>
      </c>
      <c r="I47" cm="1">
        <f t="array" aca="1" ref="I47" ca="1">IF(C47=0,0,INDEX(sys_DataFlat_LU_Grid,$C47,$C$2))</f>
        <v>0</v>
      </c>
      <c r="J47" t="str" cm="1">
        <f t="array" aca="1" ref="J47" ca="1">IF(C47=0,"-",INDEX(auto_Series_NameNoNumber,C47))</f>
        <v>-</v>
      </c>
      <c r="K47" t="str" cm="1">
        <f t="array" aca="1" ref="K47" ca="1">IF(C47=0,"-",INDEX(K$94:K$162,$C47))</f>
        <v>-</v>
      </c>
      <c r="L47" t="str" cm="1">
        <f t="array" aca="1" ref="L47" ca="1">IF(C47=0,"-",INDEX(L$94:L$162,$C47))</f>
        <v>-</v>
      </c>
      <c r="M47" t="str">
        <f t="shared" ca="1" si="12"/>
        <v>-</v>
      </c>
      <c r="N47" t="str" cm="1">
        <f t="array" aca="1" ref="N47" ca="1">IF(C47=0,"-",INDEX($N$94:$N$162,$C47))</f>
        <v>-</v>
      </c>
      <c r="O47" t="str" cm="1">
        <f t="array" aca="1" ref="O47" ca="1">IF(C47=0,"-",INDEX(#REF!,$C47))</f>
        <v>-</v>
      </c>
      <c r="P47" t="str" cm="1">
        <f t="array" aca="1" ref="P47" ca="1">IF($C47=0,"",IF(P$12&lt;&gt;$C$5,NA(),INDEX(auto_DataFlat_Score,INDEX(sys_DataFlat_LU_Grid,$C47,P$11))))</f>
        <v/>
      </c>
      <c r="Q47" t="str" cm="1">
        <f t="array" aca="1" ref="Q47" ca="1">IF($C47=0,"",IF(Q$12&lt;&gt;$C$5,NA(),INDEX(auto_DataFlat_Score,INDEX(sys_DataFlat_LU_Grid,$C47,Q$11))))</f>
        <v/>
      </c>
      <c r="R47" t="str" cm="1">
        <f t="array" aca="1" ref="R47" ca="1">IF($C47=0,"",IF(R$12&lt;&gt;$C$5,NA(),INDEX(auto_DataFlat_Score,INDEX(sys_DataFlat_LU_Grid,$C47,R$11))))</f>
        <v/>
      </c>
      <c r="S47" t="str" cm="1">
        <f t="array" aca="1" ref="S47" ca="1">IF($C47=0,"",IF(S$12&lt;&gt;$C$5,NA(),INDEX(auto_DataFlat_Score,INDEX(sys_DataFlat_LU_Grid,$C47,S$11))))</f>
        <v/>
      </c>
      <c r="T47" t="str" cm="1">
        <f t="array" aca="1" ref="T47" ca="1">IF($C47=0,"",IF(T$12&lt;&gt;$C$5,NA(),INDEX(auto_DataFlat_Score,INDEX(sys_DataFlat_LU_Grid,$C47,T$11))))</f>
        <v/>
      </c>
      <c r="U47" t="str" cm="1">
        <f t="array" aca="1" ref="U47" ca="1">IF($C47=0,"",IF(U$12&lt;&gt;$C$5,NA(),INDEX(auto_DataFlat_Score,INDEX(sys_DataFlat_LU_Grid,$C47,U$11))))</f>
        <v/>
      </c>
      <c r="V47" t="str" cm="1">
        <f t="array" aca="1" ref="V47" ca="1">IF($C47=0,"",IF(V$12&lt;&gt;$C$5,NA(),INDEX(auto_DataFlat_Score,INDEX(sys_DataFlat_LU_Grid,$C47,V$11))))</f>
        <v/>
      </c>
      <c r="W47" t="str" cm="1">
        <f t="array" aca="1" ref="W47" ca="1">IF($C47=0,"",IF(W$12&lt;&gt;$C$5,NA(),INDEX(auto_DataFlat_Score,INDEX(sys_DataFlat_LU_Grid,$C47,W$11))))</f>
        <v/>
      </c>
      <c r="X47" t="str" cm="1">
        <f t="array" aca="1" ref="X47" ca="1">IF($C47=0,"",IF(X$12&lt;&gt;$C$5,NA(),INDEX(auto_DataFlat_Score,INDEX(sys_DataFlat_LU_Grid,$C47,X$11))))</f>
        <v/>
      </c>
      <c r="Y47" t="str" cm="1">
        <f t="array" aca="1" ref="Y47" ca="1">IF($C47=0,"",IF(Y$12&lt;&gt;$C$5,NA(),INDEX(auto_DataFlat_Score,INDEX(sys_DataFlat_LU_Grid,$C47,Y$11))))</f>
        <v/>
      </c>
      <c r="Z47" t="str" cm="1">
        <f t="array" aca="1" ref="Z47" ca="1">IF($C47=0,"",IF(Z$12&lt;&gt;$C$5,NA(),INDEX(auto_DataFlat_Score,INDEX(sys_DataFlat_LU_Grid,$C47,Z$11))))</f>
        <v/>
      </c>
      <c r="AA47" t="str" cm="1">
        <f t="array" aca="1" ref="AA47" ca="1">IF($C47=0,"",IF(AA$12&lt;&gt;$C$5,NA(),INDEX(auto_DataFlat_Score,INDEX(sys_DataFlat_LU_Grid,$C47,AA$11))))</f>
        <v/>
      </c>
      <c r="AB47" t="str" cm="1">
        <f t="array" aca="1" ref="AB47" ca="1">IF($C47=0,"",IF(AB$12&lt;&gt;$C$5,NA(),INDEX(auto_DataFlat_Score,INDEX(sys_DataFlat_LU_Grid,$C47,AB$11))))</f>
        <v/>
      </c>
      <c r="AC47" t="str" cm="1">
        <f t="array" aca="1" ref="AC47" ca="1">IF($C47=0,"",IF(AC$12&lt;&gt;$C$5,NA(),INDEX(auto_DataFlat_Score,INDEX(sys_DataFlat_LU_Grid,$C47,AC$11))))</f>
        <v/>
      </c>
      <c r="AD47" t="str" cm="1">
        <f t="array" aca="1" ref="AD47" ca="1">IF($C47=0,"",IF(AD$12&lt;&gt;$C$5,NA(),INDEX(auto_DataFlat_Score,INDEX(sys_DataFlat_LU_Grid,$C47,AD$11))))</f>
        <v/>
      </c>
      <c r="AE47" t="str" cm="1">
        <f t="array" aca="1" ref="AE47" ca="1">IF($C47=0,"",IF(AE$12&lt;&gt;$C$5,NA(),INDEX(auto_DataFlat_Score,INDEX(sys_DataFlat_LU_Grid,$C47,AE$11))))</f>
        <v/>
      </c>
      <c r="AF47" t="str" cm="1">
        <f t="array" aca="1" ref="AF47" ca="1">IF($C47=0,"",IF(AF$12&lt;&gt;$C$5,NA(),INDEX(auto_DataFlat_Score,INDEX(sys_DataFlat_LU_Grid,$C47,AF$11))))</f>
        <v/>
      </c>
      <c r="AG47" t="str" cm="1">
        <f t="array" aca="1" ref="AG47" ca="1">IF($C47=0,"",IF(AG$12&lt;&gt;$C$5,NA(),INDEX(auto_DataFlat_Score,INDEX(sys_DataFlat_LU_Grid,$C47,AG$11))))</f>
        <v/>
      </c>
      <c r="AH47" t="str" cm="1">
        <f t="array" aca="1" ref="AH47" ca="1">IF($C47=0,"",IF(AH$12&lt;&gt;$C$5,NA(),INDEX(auto_DataFlat_Score,INDEX(sys_DataFlat_LU_Grid,$C47,AH$11))))</f>
        <v/>
      </c>
      <c r="AI47" t="str" cm="1">
        <f t="array" aca="1" ref="AI47" ca="1">IF($C47=0,"",IF(AI$12&lt;&gt;$C$5,NA(),INDEX(auto_DataFlat_Score,INDEX(sys_DataFlat_LU_Grid,$C47,AI$11))))</f>
        <v/>
      </c>
      <c r="AJ47" t="str" cm="1">
        <f t="array" aca="1" ref="AJ47" ca="1">IF($C47=0,"",IF(AJ$12&lt;&gt;$C$5,NA(),INDEX(auto_DataFlat_Score,INDEX(sys_DataFlat_LU_Grid,$C47,AJ$11))))</f>
        <v/>
      </c>
      <c r="AK47" t="str" cm="1">
        <f t="array" aca="1" ref="AK47" ca="1">IF($C47=0,"",IF(AK$12&lt;&gt;$C$5,NA(),INDEX(auto_DataFlat_Score,INDEX(sys_DataFlat_LU_Grid,$C47,AK$11))))</f>
        <v/>
      </c>
      <c r="AL47" t="str" cm="1">
        <f t="array" aca="1" ref="AL47" ca="1">IF($C47=0,"",IF(AL$12&lt;&gt;$C$5,NA(),INDEX(auto_DataFlat_Score,INDEX(sys_DataFlat_LU_Grid,$C47,AL$11))))</f>
        <v/>
      </c>
      <c r="AM47" t="str" cm="1">
        <f t="array" aca="1" ref="AM47" ca="1">IF($C47=0,"",IF(AM$12&lt;&gt;$C$5,NA(),INDEX(auto_DataFlat_Score,INDEX(sys_DataFlat_LU_Grid,$C47,AM$11))))</f>
        <v/>
      </c>
      <c r="AN47" t="str" cm="1">
        <f t="array" aca="1" ref="AN47" ca="1">IF($C47=0,"",IF(AN$12&lt;&gt;$C$5,NA(),INDEX(auto_DataFlat_Score,INDEX(sys_DataFlat_LU_Grid,$C47,AN$11))))</f>
        <v/>
      </c>
      <c r="AO47" t="str" cm="1">
        <f t="array" aca="1" ref="AO47" ca="1">IF($C47=0,"",IF(AO$12&lt;&gt;$C$5,NA(),INDEX(auto_DataFlat_Score,INDEX(sys_DataFlat_LU_Grid,$C47,AO$11))))</f>
        <v/>
      </c>
      <c r="AP47" t="str" cm="1">
        <f t="array" aca="1" ref="AP47" ca="1">IF($C47=0,"",IF(AP$12&lt;&gt;$C$5,NA(),INDEX(auto_DataFlat_Score,INDEX(sys_DataFlat_LU_Grid,$C47,AP$11))))</f>
        <v/>
      </c>
      <c r="AQ47" t="str" cm="1">
        <f t="array" aca="1" ref="AQ47" ca="1">IF($C47=0,"",IF(AQ$12&lt;&gt;$C$5,NA(),INDEX(auto_DataFlat_Score,INDEX(sys_DataFlat_LU_Grid,$C47,AQ$11))))</f>
        <v/>
      </c>
      <c r="AR47" t="str" cm="1">
        <f t="array" aca="1" ref="AR47" ca="1">IF($C47=0,"",IF(AR$12&lt;&gt;$C$5,NA(),INDEX(auto_DataFlat_Score,INDEX(sys_DataFlat_LU_Grid,$C47,AR$11))))</f>
        <v/>
      </c>
      <c r="AS47" t="str" cm="1">
        <f t="array" aca="1" ref="AS47" ca="1">IF($C47=0,"",IF(AS$12&lt;&gt;$C$5,NA(),INDEX(auto_DataFlat_Score,INDEX(sys_DataFlat_LU_Grid,$C47,AS$11))))</f>
        <v/>
      </c>
      <c r="AT47" t="str" cm="1">
        <f t="array" aca="1" ref="AT47" ca="1">IF($C47=0,"",IF(AT$12&lt;&gt;$C$5,NA(),INDEX(auto_DataFlat_Score,INDEX(sys_DataFlat_LU_Grid,$C47,AT$11))))</f>
        <v/>
      </c>
      <c r="AU47" t="str" cm="1">
        <f t="array" aca="1" ref="AU47" ca="1">IF($C47=0,"",IF(AU$12&lt;&gt;$C$5,NA(),INDEX(auto_DataFlat_Score,INDEX(sys_DataFlat_LU_Grid,$C47,AU$11))))</f>
        <v/>
      </c>
      <c r="AV47" t="str" cm="1">
        <f t="array" aca="1" ref="AV47" ca="1">IF($C47=0,"",IF(AV$12&lt;&gt;$C$5,NA(),INDEX(auto_DataFlat_Score,INDEX(sys_DataFlat_LU_Grid,$C47,AV$11))))</f>
        <v/>
      </c>
      <c r="AW47" t="str" cm="1">
        <f t="array" aca="1" ref="AW47" ca="1">IF($C47=0,"",IF(AW$12&lt;&gt;$C$5,NA(),INDEX(auto_DataFlat_Score,INDEX(sys_DataFlat_LU_Grid,$C47,AW$11))))</f>
        <v/>
      </c>
      <c r="AX47" t="str" cm="1">
        <f t="array" aca="1" ref="AX47" ca="1">IF($C47=0,"",IF(AX$12&lt;&gt;$C$5,NA(),INDEX(auto_DataFlat_Score,INDEX(sys_DataFlat_LU_Grid,$C47,AX$11))))</f>
        <v/>
      </c>
      <c r="AY47" t="str" cm="1">
        <f t="array" aca="1" ref="AY47" ca="1">IF($C47=0,"",IF(AY$12&lt;&gt;$C$5,NA(),INDEX(auto_DataFlat_Score,INDEX(sys_DataFlat_LU_Grid,$C47,AY$11))))</f>
        <v/>
      </c>
      <c r="AZ47" t="str" cm="1">
        <f t="array" aca="1" ref="AZ47" ca="1">IF($C47=0,"",IF(AZ$12&lt;&gt;$C$5,NA(),INDEX(auto_DataFlat_Score,INDEX(sys_DataFlat_LU_Grid,$C47,AZ$11))))</f>
        <v/>
      </c>
      <c r="BA47" t="str" cm="1">
        <f t="array" aca="1" ref="BA47" ca="1">IF($C47=0,"",IF(BA$12&lt;&gt;$C$5,NA(),INDEX(auto_DataFlat_Score,INDEX(sys_DataFlat_LU_Grid,$C47,BA$11))))</f>
        <v/>
      </c>
      <c r="BB47" t="str" cm="1">
        <f t="array" aca="1" ref="BB47" ca="1">IF($C47=0,"",IF(BB$12&lt;&gt;$C$5,NA(),INDEX(auto_DataFlat_Score,INDEX(sys_DataFlat_LU_Grid,$C47,BB$11))))</f>
        <v/>
      </c>
      <c r="BC47" t="str" cm="1">
        <f t="array" aca="1" ref="BC47" ca="1">IF($C47=0,"",IF(BC$12&lt;&gt;$C$5,NA(),INDEX(auto_DataFlat_Score,INDEX(sys_DataFlat_LU_Grid,$C47,BC$11))))</f>
        <v/>
      </c>
      <c r="BD47" t="str" cm="1">
        <f t="array" aca="1" ref="BD47" ca="1">IF($C47=0,"",IF(BD$12&lt;&gt;$C$5,NA(),INDEX(auto_DataFlat_Score,INDEX(sys_DataFlat_LU_Grid,$C47,BD$11))))</f>
        <v/>
      </c>
      <c r="BE47" t="str" cm="1">
        <f t="array" aca="1" ref="BE47" ca="1">IF($C47=0,"",IF(BE$12&lt;&gt;$C$5,NA(),INDEX(auto_DataFlat_Score,INDEX(sys_DataFlat_LU_Grid,$C47,BE$11))))</f>
        <v/>
      </c>
      <c r="BF47" t="str" cm="1">
        <f t="array" aca="1" ref="BF47" ca="1">IF($C47=0,"",IF(BF$12&lt;&gt;$C$5,NA(),INDEX(auto_DataFlat_Score,INDEX(sys_DataFlat_LU_Grid,$C47,BF$11))))</f>
        <v/>
      </c>
      <c r="BG47" t="str" cm="1">
        <f t="array" aca="1" ref="BG47" ca="1">IF($C47=0,"",IF(BG$12&lt;&gt;$C$5,NA(),INDEX(auto_DataFlat_Score,INDEX(sys_DataFlat_LU_Grid,$C47,BG$11))))</f>
        <v/>
      </c>
      <c r="BH47" t="str" cm="1">
        <f t="array" aca="1" ref="BH47" ca="1">IF($C47=0,"",IF(BH$12&lt;&gt;$C$5,NA(),INDEX(auto_DataFlat_Score,INDEX(sys_DataFlat_LU_Grid,$C47,BH$11))))</f>
        <v/>
      </c>
      <c r="BI47" t="str" cm="1">
        <f t="array" aca="1" ref="BI47" ca="1">IF($C47=0,"",IF(BI$12&lt;&gt;$C$5,NA(),INDEX(auto_DataFlat_Score,INDEX(sys_DataFlat_LU_Grid,$C47,BI$11))))</f>
        <v/>
      </c>
      <c r="BJ47" t="str" cm="1">
        <f t="array" aca="1" ref="BJ47" ca="1">IF($C47=0,"",IF(BJ$12&lt;&gt;$C$5,NA(),INDEX(auto_DataFlat_Score,INDEX(sys_DataFlat_LU_Grid,$C47,BJ$11))))</f>
        <v/>
      </c>
      <c r="BK47" t="str" cm="1">
        <f t="array" aca="1" ref="BK47" ca="1">IF($C47=0,"",IF(BK$12&lt;&gt;$C$5,NA(),INDEX(auto_DataFlat_Score,INDEX(sys_DataFlat_LU_Grid,$C47,BK$11))))</f>
        <v/>
      </c>
      <c r="BL47" t="str" cm="1">
        <f t="array" aca="1" ref="BL47" ca="1">IF($C47=0,"",IF(BL$12&lt;&gt;$C$5,NA(),INDEX(auto_DataFlat_Score,INDEX(sys_DataFlat_LU_Grid,$C47,BL$11))))</f>
        <v/>
      </c>
      <c r="BM47" t="str" cm="1">
        <f t="array" aca="1" ref="BM47" ca="1">IF($C47=0,"",IF(BM$12&lt;&gt;$C$5,NA(),INDEX(auto_DataFlat_Score,INDEX(sys_DataFlat_LU_Grid,$C47,BM$11))))</f>
        <v/>
      </c>
    </row>
    <row r="48" spans="2:65" x14ac:dyDescent="0.4">
      <c r="B48">
        <v>8</v>
      </c>
      <c r="C48" cm="1">
        <f t="array" aca="1" ref="C48" ca="1">INDEX(OFFSET(auto_ss_OverallAndCategory,0,1,300,1),B48)</f>
        <v>0</v>
      </c>
      <c r="D48" cm="1">
        <f t="array" aca="1" ref="D48" ca="1">IF(C48=0,0,INDEX(sys_DataFlat_LU_Grid_Groups,$C48,D$40))</f>
        <v>0</v>
      </c>
      <c r="E48" cm="1">
        <f t="array" aca="1" ref="E48" ca="1">IF(C48=0,0,INDEX(sys_DataFlat_LU_Grid_Groups,$C48,E$40))</f>
        <v>0</v>
      </c>
      <c r="G48" t="e">
        <f t="shared" ca="1" si="11"/>
        <v>#DIV/0!</v>
      </c>
      <c r="H48" t="e" cm="1">
        <f t="array" ref="H48">IF($C$8=0,NA(),INDEX($P48:$BM48,$C$8))</f>
        <v>#N/A</v>
      </c>
      <c r="I48" cm="1">
        <f t="array" aca="1" ref="I48" ca="1">IF(C48=0,0,INDEX(sys_DataFlat_LU_Grid,$C48,$C$2))</f>
        <v>0</v>
      </c>
      <c r="J48" t="str" cm="1">
        <f t="array" aca="1" ref="J48" ca="1">IF(C48=0,"-",INDEX(auto_Series_NameNoNumber,C48))</f>
        <v>-</v>
      </c>
      <c r="K48" t="str" cm="1">
        <f t="array" aca="1" ref="K48" ca="1">IF(C48=0,"-",INDEX(K$94:K$162,$C48))</f>
        <v>-</v>
      </c>
      <c r="L48" t="str" cm="1">
        <f t="array" aca="1" ref="L48" ca="1">IF(C48=0,"-",INDEX(L$94:L$162,$C48))</f>
        <v>-</v>
      </c>
      <c r="M48" t="str">
        <f t="shared" ca="1" si="12"/>
        <v>-</v>
      </c>
      <c r="N48" t="str" cm="1">
        <f t="array" aca="1" ref="N48" ca="1">IF(C48=0,"-",INDEX($N$94:$N$162,$C48))</f>
        <v>-</v>
      </c>
      <c r="O48" t="str" cm="1">
        <f t="array" aca="1" ref="O48" ca="1">IF(C48=0,"-",INDEX(#REF!,$C48))</f>
        <v>-</v>
      </c>
      <c r="P48" t="str" cm="1">
        <f t="array" aca="1" ref="P48" ca="1">IF($C48=0,"",IF(P$12&lt;&gt;$C$5,NA(),INDEX(auto_DataFlat_Score,INDEX(sys_DataFlat_LU_Grid,$C48,P$11))))</f>
        <v/>
      </c>
      <c r="Q48" t="str" cm="1">
        <f t="array" aca="1" ref="Q48" ca="1">IF($C48=0,"",IF(Q$12&lt;&gt;$C$5,NA(),INDEX(auto_DataFlat_Score,INDEX(sys_DataFlat_LU_Grid,$C48,Q$11))))</f>
        <v/>
      </c>
      <c r="R48" t="str" cm="1">
        <f t="array" aca="1" ref="R48" ca="1">IF($C48=0,"",IF(R$12&lt;&gt;$C$5,NA(),INDEX(auto_DataFlat_Score,INDEX(sys_DataFlat_LU_Grid,$C48,R$11))))</f>
        <v/>
      </c>
      <c r="S48" t="str" cm="1">
        <f t="array" aca="1" ref="S48" ca="1">IF($C48=0,"",IF(S$12&lt;&gt;$C$5,NA(),INDEX(auto_DataFlat_Score,INDEX(sys_DataFlat_LU_Grid,$C48,S$11))))</f>
        <v/>
      </c>
      <c r="T48" t="str" cm="1">
        <f t="array" aca="1" ref="T48" ca="1">IF($C48=0,"",IF(T$12&lt;&gt;$C$5,NA(),INDEX(auto_DataFlat_Score,INDEX(sys_DataFlat_LU_Grid,$C48,T$11))))</f>
        <v/>
      </c>
      <c r="U48" t="str" cm="1">
        <f t="array" aca="1" ref="U48" ca="1">IF($C48=0,"",IF(U$12&lt;&gt;$C$5,NA(),INDEX(auto_DataFlat_Score,INDEX(sys_DataFlat_LU_Grid,$C48,U$11))))</f>
        <v/>
      </c>
      <c r="V48" t="str" cm="1">
        <f t="array" aca="1" ref="V48" ca="1">IF($C48=0,"",IF(V$12&lt;&gt;$C$5,NA(),INDEX(auto_DataFlat_Score,INDEX(sys_DataFlat_LU_Grid,$C48,V$11))))</f>
        <v/>
      </c>
      <c r="W48" t="str" cm="1">
        <f t="array" aca="1" ref="W48" ca="1">IF($C48=0,"",IF(W$12&lt;&gt;$C$5,NA(),INDEX(auto_DataFlat_Score,INDEX(sys_DataFlat_LU_Grid,$C48,W$11))))</f>
        <v/>
      </c>
      <c r="X48" t="str" cm="1">
        <f t="array" aca="1" ref="X48" ca="1">IF($C48=0,"",IF(X$12&lt;&gt;$C$5,NA(),INDEX(auto_DataFlat_Score,INDEX(sys_DataFlat_LU_Grid,$C48,X$11))))</f>
        <v/>
      </c>
      <c r="Y48" t="str" cm="1">
        <f t="array" aca="1" ref="Y48" ca="1">IF($C48=0,"",IF(Y$12&lt;&gt;$C$5,NA(),INDEX(auto_DataFlat_Score,INDEX(sys_DataFlat_LU_Grid,$C48,Y$11))))</f>
        <v/>
      </c>
      <c r="Z48" t="str" cm="1">
        <f t="array" aca="1" ref="Z48" ca="1">IF($C48=0,"",IF(Z$12&lt;&gt;$C$5,NA(),INDEX(auto_DataFlat_Score,INDEX(sys_DataFlat_LU_Grid,$C48,Z$11))))</f>
        <v/>
      </c>
      <c r="AA48" t="str" cm="1">
        <f t="array" aca="1" ref="AA48" ca="1">IF($C48=0,"",IF(AA$12&lt;&gt;$C$5,NA(),INDEX(auto_DataFlat_Score,INDEX(sys_DataFlat_LU_Grid,$C48,AA$11))))</f>
        <v/>
      </c>
      <c r="AB48" t="str" cm="1">
        <f t="array" aca="1" ref="AB48" ca="1">IF($C48=0,"",IF(AB$12&lt;&gt;$C$5,NA(),INDEX(auto_DataFlat_Score,INDEX(sys_DataFlat_LU_Grid,$C48,AB$11))))</f>
        <v/>
      </c>
      <c r="AC48" t="str" cm="1">
        <f t="array" aca="1" ref="AC48" ca="1">IF($C48=0,"",IF(AC$12&lt;&gt;$C$5,NA(),INDEX(auto_DataFlat_Score,INDEX(sys_DataFlat_LU_Grid,$C48,AC$11))))</f>
        <v/>
      </c>
      <c r="AD48" t="str" cm="1">
        <f t="array" aca="1" ref="AD48" ca="1">IF($C48=0,"",IF(AD$12&lt;&gt;$C$5,NA(),INDEX(auto_DataFlat_Score,INDEX(sys_DataFlat_LU_Grid,$C48,AD$11))))</f>
        <v/>
      </c>
      <c r="AE48" t="str" cm="1">
        <f t="array" aca="1" ref="AE48" ca="1">IF($C48=0,"",IF(AE$12&lt;&gt;$C$5,NA(),INDEX(auto_DataFlat_Score,INDEX(sys_DataFlat_LU_Grid,$C48,AE$11))))</f>
        <v/>
      </c>
      <c r="AF48" t="str" cm="1">
        <f t="array" aca="1" ref="AF48" ca="1">IF($C48=0,"",IF(AF$12&lt;&gt;$C$5,NA(),INDEX(auto_DataFlat_Score,INDEX(sys_DataFlat_LU_Grid,$C48,AF$11))))</f>
        <v/>
      </c>
      <c r="AG48" t="str" cm="1">
        <f t="array" aca="1" ref="AG48" ca="1">IF($C48=0,"",IF(AG$12&lt;&gt;$C$5,NA(),INDEX(auto_DataFlat_Score,INDEX(sys_DataFlat_LU_Grid,$C48,AG$11))))</f>
        <v/>
      </c>
      <c r="AH48" t="str" cm="1">
        <f t="array" aca="1" ref="AH48" ca="1">IF($C48=0,"",IF(AH$12&lt;&gt;$C$5,NA(),INDEX(auto_DataFlat_Score,INDEX(sys_DataFlat_LU_Grid,$C48,AH$11))))</f>
        <v/>
      </c>
      <c r="AI48" t="str" cm="1">
        <f t="array" aca="1" ref="AI48" ca="1">IF($C48=0,"",IF(AI$12&lt;&gt;$C$5,NA(),INDEX(auto_DataFlat_Score,INDEX(sys_DataFlat_LU_Grid,$C48,AI$11))))</f>
        <v/>
      </c>
      <c r="AJ48" t="str" cm="1">
        <f t="array" aca="1" ref="AJ48" ca="1">IF($C48=0,"",IF(AJ$12&lt;&gt;$C$5,NA(),INDEX(auto_DataFlat_Score,INDEX(sys_DataFlat_LU_Grid,$C48,AJ$11))))</f>
        <v/>
      </c>
      <c r="AK48" t="str" cm="1">
        <f t="array" aca="1" ref="AK48" ca="1">IF($C48=0,"",IF(AK$12&lt;&gt;$C$5,NA(),INDEX(auto_DataFlat_Score,INDEX(sys_DataFlat_LU_Grid,$C48,AK$11))))</f>
        <v/>
      </c>
      <c r="AL48" t="str" cm="1">
        <f t="array" aca="1" ref="AL48" ca="1">IF($C48=0,"",IF(AL$12&lt;&gt;$C$5,NA(),INDEX(auto_DataFlat_Score,INDEX(sys_DataFlat_LU_Grid,$C48,AL$11))))</f>
        <v/>
      </c>
      <c r="AM48" t="str" cm="1">
        <f t="array" aca="1" ref="AM48" ca="1">IF($C48=0,"",IF(AM$12&lt;&gt;$C$5,NA(),INDEX(auto_DataFlat_Score,INDEX(sys_DataFlat_LU_Grid,$C48,AM$11))))</f>
        <v/>
      </c>
      <c r="AN48" t="str" cm="1">
        <f t="array" aca="1" ref="AN48" ca="1">IF($C48=0,"",IF(AN$12&lt;&gt;$C$5,NA(),INDEX(auto_DataFlat_Score,INDEX(sys_DataFlat_LU_Grid,$C48,AN$11))))</f>
        <v/>
      </c>
      <c r="AO48" t="str" cm="1">
        <f t="array" aca="1" ref="AO48" ca="1">IF($C48=0,"",IF(AO$12&lt;&gt;$C$5,NA(),INDEX(auto_DataFlat_Score,INDEX(sys_DataFlat_LU_Grid,$C48,AO$11))))</f>
        <v/>
      </c>
      <c r="AP48" t="str" cm="1">
        <f t="array" aca="1" ref="AP48" ca="1">IF($C48=0,"",IF(AP$12&lt;&gt;$C$5,NA(),INDEX(auto_DataFlat_Score,INDEX(sys_DataFlat_LU_Grid,$C48,AP$11))))</f>
        <v/>
      </c>
      <c r="AQ48" t="str" cm="1">
        <f t="array" aca="1" ref="AQ48" ca="1">IF($C48=0,"",IF(AQ$12&lt;&gt;$C$5,NA(),INDEX(auto_DataFlat_Score,INDEX(sys_DataFlat_LU_Grid,$C48,AQ$11))))</f>
        <v/>
      </c>
      <c r="AR48" t="str" cm="1">
        <f t="array" aca="1" ref="AR48" ca="1">IF($C48=0,"",IF(AR$12&lt;&gt;$C$5,NA(),INDEX(auto_DataFlat_Score,INDEX(sys_DataFlat_LU_Grid,$C48,AR$11))))</f>
        <v/>
      </c>
      <c r="AS48" t="str" cm="1">
        <f t="array" aca="1" ref="AS48" ca="1">IF($C48=0,"",IF(AS$12&lt;&gt;$C$5,NA(),INDEX(auto_DataFlat_Score,INDEX(sys_DataFlat_LU_Grid,$C48,AS$11))))</f>
        <v/>
      </c>
      <c r="AT48" t="str" cm="1">
        <f t="array" aca="1" ref="AT48" ca="1">IF($C48=0,"",IF(AT$12&lt;&gt;$C$5,NA(),INDEX(auto_DataFlat_Score,INDEX(sys_DataFlat_LU_Grid,$C48,AT$11))))</f>
        <v/>
      </c>
      <c r="AU48" t="str" cm="1">
        <f t="array" aca="1" ref="AU48" ca="1">IF($C48=0,"",IF(AU$12&lt;&gt;$C$5,NA(),INDEX(auto_DataFlat_Score,INDEX(sys_DataFlat_LU_Grid,$C48,AU$11))))</f>
        <v/>
      </c>
      <c r="AV48" t="str" cm="1">
        <f t="array" aca="1" ref="AV48" ca="1">IF($C48=0,"",IF(AV$12&lt;&gt;$C$5,NA(),INDEX(auto_DataFlat_Score,INDEX(sys_DataFlat_LU_Grid,$C48,AV$11))))</f>
        <v/>
      </c>
      <c r="AW48" t="str" cm="1">
        <f t="array" aca="1" ref="AW48" ca="1">IF($C48=0,"",IF(AW$12&lt;&gt;$C$5,NA(),INDEX(auto_DataFlat_Score,INDEX(sys_DataFlat_LU_Grid,$C48,AW$11))))</f>
        <v/>
      </c>
      <c r="AX48" t="str" cm="1">
        <f t="array" aca="1" ref="AX48" ca="1">IF($C48=0,"",IF(AX$12&lt;&gt;$C$5,NA(),INDEX(auto_DataFlat_Score,INDEX(sys_DataFlat_LU_Grid,$C48,AX$11))))</f>
        <v/>
      </c>
      <c r="AY48" t="str" cm="1">
        <f t="array" aca="1" ref="AY48" ca="1">IF($C48=0,"",IF(AY$12&lt;&gt;$C$5,NA(),INDEX(auto_DataFlat_Score,INDEX(sys_DataFlat_LU_Grid,$C48,AY$11))))</f>
        <v/>
      </c>
      <c r="AZ48" t="str" cm="1">
        <f t="array" aca="1" ref="AZ48" ca="1">IF($C48=0,"",IF(AZ$12&lt;&gt;$C$5,NA(),INDEX(auto_DataFlat_Score,INDEX(sys_DataFlat_LU_Grid,$C48,AZ$11))))</f>
        <v/>
      </c>
      <c r="BA48" t="str" cm="1">
        <f t="array" aca="1" ref="BA48" ca="1">IF($C48=0,"",IF(BA$12&lt;&gt;$C$5,NA(),INDEX(auto_DataFlat_Score,INDEX(sys_DataFlat_LU_Grid,$C48,BA$11))))</f>
        <v/>
      </c>
      <c r="BB48" t="str" cm="1">
        <f t="array" aca="1" ref="BB48" ca="1">IF($C48=0,"",IF(BB$12&lt;&gt;$C$5,NA(),INDEX(auto_DataFlat_Score,INDEX(sys_DataFlat_LU_Grid,$C48,BB$11))))</f>
        <v/>
      </c>
      <c r="BC48" t="str" cm="1">
        <f t="array" aca="1" ref="BC48" ca="1">IF($C48=0,"",IF(BC$12&lt;&gt;$C$5,NA(),INDEX(auto_DataFlat_Score,INDEX(sys_DataFlat_LU_Grid,$C48,BC$11))))</f>
        <v/>
      </c>
      <c r="BD48" t="str" cm="1">
        <f t="array" aca="1" ref="BD48" ca="1">IF($C48=0,"",IF(BD$12&lt;&gt;$C$5,NA(),INDEX(auto_DataFlat_Score,INDEX(sys_DataFlat_LU_Grid,$C48,BD$11))))</f>
        <v/>
      </c>
      <c r="BE48" t="str" cm="1">
        <f t="array" aca="1" ref="BE48" ca="1">IF($C48=0,"",IF(BE$12&lt;&gt;$C$5,NA(),INDEX(auto_DataFlat_Score,INDEX(sys_DataFlat_LU_Grid,$C48,BE$11))))</f>
        <v/>
      </c>
      <c r="BF48" t="str" cm="1">
        <f t="array" aca="1" ref="BF48" ca="1">IF($C48=0,"",IF(BF$12&lt;&gt;$C$5,NA(),INDEX(auto_DataFlat_Score,INDEX(sys_DataFlat_LU_Grid,$C48,BF$11))))</f>
        <v/>
      </c>
      <c r="BG48" t="str" cm="1">
        <f t="array" aca="1" ref="BG48" ca="1">IF($C48=0,"",IF(BG$12&lt;&gt;$C$5,NA(),INDEX(auto_DataFlat_Score,INDEX(sys_DataFlat_LU_Grid,$C48,BG$11))))</f>
        <v/>
      </c>
      <c r="BH48" t="str" cm="1">
        <f t="array" aca="1" ref="BH48" ca="1">IF($C48=0,"",IF(BH$12&lt;&gt;$C$5,NA(),INDEX(auto_DataFlat_Score,INDEX(sys_DataFlat_LU_Grid,$C48,BH$11))))</f>
        <v/>
      </c>
      <c r="BI48" t="str" cm="1">
        <f t="array" aca="1" ref="BI48" ca="1">IF($C48=0,"",IF(BI$12&lt;&gt;$C$5,NA(),INDEX(auto_DataFlat_Score,INDEX(sys_DataFlat_LU_Grid,$C48,BI$11))))</f>
        <v/>
      </c>
      <c r="BJ48" t="str" cm="1">
        <f t="array" aca="1" ref="BJ48" ca="1">IF($C48=0,"",IF(BJ$12&lt;&gt;$C$5,NA(),INDEX(auto_DataFlat_Score,INDEX(sys_DataFlat_LU_Grid,$C48,BJ$11))))</f>
        <v/>
      </c>
      <c r="BK48" t="str" cm="1">
        <f t="array" aca="1" ref="BK48" ca="1">IF($C48=0,"",IF(BK$12&lt;&gt;$C$5,NA(),INDEX(auto_DataFlat_Score,INDEX(sys_DataFlat_LU_Grid,$C48,BK$11))))</f>
        <v/>
      </c>
      <c r="BL48" t="str" cm="1">
        <f t="array" aca="1" ref="BL48" ca="1">IF($C48=0,"",IF(BL$12&lt;&gt;$C$5,NA(),INDEX(auto_DataFlat_Score,INDEX(sys_DataFlat_LU_Grid,$C48,BL$11))))</f>
        <v/>
      </c>
      <c r="BM48" t="str" cm="1">
        <f t="array" aca="1" ref="BM48" ca="1">IF($C48=0,"",IF(BM$12&lt;&gt;$C$5,NA(),INDEX(auto_DataFlat_Score,INDEX(sys_DataFlat_LU_Grid,$C48,BM$11))))</f>
        <v/>
      </c>
    </row>
    <row r="49" spans="2:75" x14ac:dyDescent="0.4">
      <c r="B49">
        <v>9</v>
      </c>
      <c r="C49" cm="1">
        <f t="array" aca="1" ref="C49" ca="1">INDEX(OFFSET(auto_ss_OverallAndCategory,0,1,300,1),B49)</f>
        <v>0</v>
      </c>
      <c r="D49" cm="1">
        <f t="array" aca="1" ref="D49" ca="1">IF(C49=0,0,INDEX(sys_DataFlat_LU_Grid_Groups,$C49,D$40))</f>
        <v>0</v>
      </c>
      <c r="E49" cm="1">
        <f t="array" aca="1" ref="E49" ca="1">IF(C49=0,0,INDEX(sys_DataFlat_LU_Grid_Groups,$C49,E$40))</f>
        <v>0</v>
      </c>
      <c r="G49" t="e">
        <f t="shared" ca="1" si="11"/>
        <v>#DIV/0!</v>
      </c>
      <c r="H49" t="e" cm="1">
        <f t="array" ref="H49">IF($C$8=0,NA(),INDEX($P49:$BM49,$C$8))</f>
        <v>#N/A</v>
      </c>
      <c r="I49" cm="1">
        <f t="array" aca="1" ref="I49" ca="1">IF(C49=0,0,INDEX(sys_DataFlat_LU_Grid,$C49,$C$2))</f>
        <v>0</v>
      </c>
      <c r="J49" t="str" cm="1">
        <f t="array" aca="1" ref="J49" ca="1">IF(C49=0,"-",INDEX(auto_Series_NameNoNumber,C49))</f>
        <v>-</v>
      </c>
      <c r="K49" t="str" cm="1">
        <f t="array" aca="1" ref="K49" ca="1">IF(C49=0,"-",INDEX(K$94:K$162,$C49))</f>
        <v>-</v>
      </c>
      <c r="L49" t="str" cm="1">
        <f t="array" aca="1" ref="L49" ca="1">IF(C49=0,"-",INDEX(L$94:L$162,$C49))</f>
        <v>-</v>
      </c>
      <c r="M49" t="str">
        <f t="shared" ca="1" si="12"/>
        <v>-</v>
      </c>
      <c r="N49" t="str" cm="1">
        <f t="array" aca="1" ref="N49" ca="1">IF(C49=0,"-",INDEX($N$94:$N$162,$C49))</f>
        <v>-</v>
      </c>
      <c r="O49" t="str" cm="1">
        <f t="array" aca="1" ref="O49" ca="1">IF(C49=0,"-",INDEX(#REF!,$C49))</f>
        <v>-</v>
      </c>
      <c r="P49" t="str" cm="1">
        <f t="array" aca="1" ref="P49" ca="1">IF($C49=0,"",IF(P$12&lt;&gt;$C$5,NA(),INDEX(auto_DataFlat_Score,INDEX(sys_DataFlat_LU_Grid,$C49,P$11))))</f>
        <v/>
      </c>
      <c r="Q49" t="str" cm="1">
        <f t="array" aca="1" ref="Q49" ca="1">IF($C49=0,"",IF(Q$12&lt;&gt;$C$5,NA(),INDEX(auto_DataFlat_Score,INDEX(sys_DataFlat_LU_Grid,$C49,Q$11))))</f>
        <v/>
      </c>
      <c r="R49" t="str" cm="1">
        <f t="array" aca="1" ref="R49" ca="1">IF($C49=0,"",IF(R$12&lt;&gt;$C$5,NA(),INDEX(auto_DataFlat_Score,INDEX(sys_DataFlat_LU_Grid,$C49,R$11))))</f>
        <v/>
      </c>
      <c r="S49" t="str" cm="1">
        <f t="array" aca="1" ref="S49" ca="1">IF($C49=0,"",IF(S$12&lt;&gt;$C$5,NA(),INDEX(auto_DataFlat_Score,INDEX(sys_DataFlat_LU_Grid,$C49,S$11))))</f>
        <v/>
      </c>
      <c r="T49" t="str" cm="1">
        <f t="array" aca="1" ref="T49" ca="1">IF($C49=0,"",IF(T$12&lt;&gt;$C$5,NA(),INDEX(auto_DataFlat_Score,INDEX(sys_DataFlat_LU_Grid,$C49,T$11))))</f>
        <v/>
      </c>
      <c r="U49" t="str" cm="1">
        <f t="array" aca="1" ref="U49" ca="1">IF($C49=0,"",IF(U$12&lt;&gt;$C$5,NA(),INDEX(auto_DataFlat_Score,INDEX(sys_DataFlat_LU_Grid,$C49,U$11))))</f>
        <v/>
      </c>
      <c r="V49" t="str" cm="1">
        <f t="array" aca="1" ref="V49" ca="1">IF($C49=0,"",IF(V$12&lt;&gt;$C$5,NA(),INDEX(auto_DataFlat_Score,INDEX(sys_DataFlat_LU_Grid,$C49,V$11))))</f>
        <v/>
      </c>
      <c r="W49" t="str" cm="1">
        <f t="array" aca="1" ref="W49" ca="1">IF($C49=0,"",IF(W$12&lt;&gt;$C$5,NA(),INDEX(auto_DataFlat_Score,INDEX(sys_DataFlat_LU_Grid,$C49,W$11))))</f>
        <v/>
      </c>
      <c r="X49" t="str" cm="1">
        <f t="array" aca="1" ref="X49" ca="1">IF($C49=0,"",IF(X$12&lt;&gt;$C$5,NA(),INDEX(auto_DataFlat_Score,INDEX(sys_DataFlat_LU_Grid,$C49,X$11))))</f>
        <v/>
      </c>
      <c r="Y49" t="str" cm="1">
        <f t="array" aca="1" ref="Y49" ca="1">IF($C49=0,"",IF(Y$12&lt;&gt;$C$5,NA(),INDEX(auto_DataFlat_Score,INDEX(sys_DataFlat_LU_Grid,$C49,Y$11))))</f>
        <v/>
      </c>
      <c r="Z49" t="str" cm="1">
        <f t="array" aca="1" ref="Z49" ca="1">IF($C49=0,"",IF(Z$12&lt;&gt;$C$5,NA(),INDEX(auto_DataFlat_Score,INDEX(sys_DataFlat_LU_Grid,$C49,Z$11))))</f>
        <v/>
      </c>
      <c r="AA49" t="str" cm="1">
        <f t="array" aca="1" ref="AA49" ca="1">IF($C49=0,"",IF(AA$12&lt;&gt;$C$5,NA(),INDEX(auto_DataFlat_Score,INDEX(sys_DataFlat_LU_Grid,$C49,AA$11))))</f>
        <v/>
      </c>
      <c r="AB49" t="str" cm="1">
        <f t="array" aca="1" ref="AB49" ca="1">IF($C49=0,"",IF(AB$12&lt;&gt;$C$5,NA(),INDEX(auto_DataFlat_Score,INDEX(sys_DataFlat_LU_Grid,$C49,AB$11))))</f>
        <v/>
      </c>
      <c r="AC49" t="str" cm="1">
        <f t="array" aca="1" ref="AC49" ca="1">IF($C49=0,"",IF(AC$12&lt;&gt;$C$5,NA(),INDEX(auto_DataFlat_Score,INDEX(sys_DataFlat_LU_Grid,$C49,AC$11))))</f>
        <v/>
      </c>
      <c r="AD49" t="str" cm="1">
        <f t="array" aca="1" ref="AD49" ca="1">IF($C49=0,"",IF(AD$12&lt;&gt;$C$5,NA(),INDEX(auto_DataFlat_Score,INDEX(sys_DataFlat_LU_Grid,$C49,AD$11))))</f>
        <v/>
      </c>
      <c r="AE49" t="str" cm="1">
        <f t="array" aca="1" ref="AE49" ca="1">IF($C49=0,"",IF(AE$12&lt;&gt;$C$5,NA(),INDEX(auto_DataFlat_Score,INDEX(sys_DataFlat_LU_Grid,$C49,AE$11))))</f>
        <v/>
      </c>
      <c r="AF49" t="str" cm="1">
        <f t="array" aca="1" ref="AF49" ca="1">IF($C49=0,"",IF(AF$12&lt;&gt;$C$5,NA(),INDEX(auto_DataFlat_Score,INDEX(sys_DataFlat_LU_Grid,$C49,AF$11))))</f>
        <v/>
      </c>
      <c r="AG49" t="str" cm="1">
        <f t="array" aca="1" ref="AG49" ca="1">IF($C49=0,"",IF(AG$12&lt;&gt;$C$5,NA(),INDEX(auto_DataFlat_Score,INDEX(sys_DataFlat_LU_Grid,$C49,AG$11))))</f>
        <v/>
      </c>
      <c r="AH49" t="str" cm="1">
        <f t="array" aca="1" ref="AH49" ca="1">IF($C49=0,"",IF(AH$12&lt;&gt;$C$5,NA(),INDEX(auto_DataFlat_Score,INDEX(sys_DataFlat_LU_Grid,$C49,AH$11))))</f>
        <v/>
      </c>
      <c r="AI49" t="str" cm="1">
        <f t="array" aca="1" ref="AI49" ca="1">IF($C49=0,"",IF(AI$12&lt;&gt;$C$5,NA(),INDEX(auto_DataFlat_Score,INDEX(sys_DataFlat_LU_Grid,$C49,AI$11))))</f>
        <v/>
      </c>
      <c r="AJ49" t="str" cm="1">
        <f t="array" aca="1" ref="AJ49" ca="1">IF($C49=0,"",IF(AJ$12&lt;&gt;$C$5,NA(),INDEX(auto_DataFlat_Score,INDEX(sys_DataFlat_LU_Grid,$C49,AJ$11))))</f>
        <v/>
      </c>
      <c r="AK49" t="str" cm="1">
        <f t="array" aca="1" ref="AK49" ca="1">IF($C49=0,"",IF(AK$12&lt;&gt;$C$5,NA(),INDEX(auto_DataFlat_Score,INDEX(sys_DataFlat_LU_Grid,$C49,AK$11))))</f>
        <v/>
      </c>
      <c r="AL49" t="str" cm="1">
        <f t="array" aca="1" ref="AL49" ca="1">IF($C49=0,"",IF(AL$12&lt;&gt;$C$5,NA(),INDEX(auto_DataFlat_Score,INDEX(sys_DataFlat_LU_Grid,$C49,AL$11))))</f>
        <v/>
      </c>
      <c r="AM49" t="str" cm="1">
        <f t="array" aca="1" ref="AM49" ca="1">IF($C49=0,"",IF(AM$12&lt;&gt;$C$5,NA(),INDEX(auto_DataFlat_Score,INDEX(sys_DataFlat_LU_Grid,$C49,AM$11))))</f>
        <v/>
      </c>
      <c r="AN49" t="str" cm="1">
        <f t="array" aca="1" ref="AN49" ca="1">IF($C49=0,"",IF(AN$12&lt;&gt;$C$5,NA(),INDEX(auto_DataFlat_Score,INDEX(sys_DataFlat_LU_Grid,$C49,AN$11))))</f>
        <v/>
      </c>
      <c r="AO49" t="str" cm="1">
        <f t="array" aca="1" ref="AO49" ca="1">IF($C49=0,"",IF(AO$12&lt;&gt;$C$5,NA(),INDEX(auto_DataFlat_Score,INDEX(sys_DataFlat_LU_Grid,$C49,AO$11))))</f>
        <v/>
      </c>
      <c r="AP49" t="str" cm="1">
        <f t="array" aca="1" ref="AP49" ca="1">IF($C49=0,"",IF(AP$12&lt;&gt;$C$5,NA(),INDEX(auto_DataFlat_Score,INDEX(sys_DataFlat_LU_Grid,$C49,AP$11))))</f>
        <v/>
      </c>
      <c r="AQ49" t="str" cm="1">
        <f t="array" aca="1" ref="AQ49" ca="1">IF($C49=0,"",IF(AQ$12&lt;&gt;$C$5,NA(),INDEX(auto_DataFlat_Score,INDEX(sys_DataFlat_LU_Grid,$C49,AQ$11))))</f>
        <v/>
      </c>
      <c r="AR49" t="str" cm="1">
        <f t="array" aca="1" ref="AR49" ca="1">IF($C49=0,"",IF(AR$12&lt;&gt;$C$5,NA(),INDEX(auto_DataFlat_Score,INDEX(sys_DataFlat_LU_Grid,$C49,AR$11))))</f>
        <v/>
      </c>
      <c r="AS49" t="str" cm="1">
        <f t="array" aca="1" ref="AS49" ca="1">IF($C49=0,"",IF(AS$12&lt;&gt;$C$5,NA(),INDEX(auto_DataFlat_Score,INDEX(sys_DataFlat_LU_Grid,$C49,AS$11))))</f>
        <v/>
      </c>
      <c r="AT49" t="str" cm="1">
        <f t="array" aca="1" ref="AT49" ca="1">IF($C49=0,"",IF(AT$12&lt;&gt;$C$5,NA(),INDEX(auto_DataFlat_Score,INDEX(sys_DataFlat_LU_Grid,$C49,AT$11))))</f>
        <v/>
      </c>
      <c r="AU49" t="str" cm="1">
        <f t="array" aca="1" ref="AU49" ca="1">IF($C49=0,"",IF(AU$12&lt;&gt;$C$5,NA(),INDEX(auto_DataFlat_Score,INDEX(sys_DataFlat_LU_Grid,$C49,AU$11))))</f>
        <v/>
      </c>
      <c r="AV49" t="str" cm="1">
        <f t="array" aca="1" ref="AV49" ca="1">IF($C49=0,"",IF(AV$12&lt;&gt;$C$5,NA(),INDEX(auto_DataFlat_Score,INDEX(sys_DataFlat_LU_Grid,$C49,AV$11))))</f>
        <v/>
      </c>
      <c r="AW49" t="str" cm="1">
        <f t="array" aca="1" ref="AW49" ca="1">IF($C49=0,"",IF(AW$12&lt;&gt;$C$5,NA(),INDEX(auto_DataFlat_Score,INDEX(sys_DataFlat_LU_Grid,$C49,AW$11))))</f>
        <v/>
      </c>
      <c r="AX49" t="str" cm="1">
        <f t="array" aca="1" ref="AX49" ca="1">IF($C49=0,"",IF(AX$12&lt;&gt;$C$5,NA(),INDEX(auto_DataFlat_Score,INDEX(sys_DataFlat_LU_Grid,$C49,AX$11))))</f>
        <v/>
      </c>
      <c r="AY49" t="str" cm="1">
        <f t="array" aca="1" ref="AY49" ca="1">IF($C49=0,"",IF(AY$12&lt;&gt;$C$5,NA(),INDEX(auto_DataFlat_Score,INDEX(sys_DataFlat_LU_Grid,$C49,AY$11))))</f>
        <v/>
      </c>
      <c r="AZ49" t="str" cm="1">
        <f t="array" aca="1" ref="AZ49" ca="1">IF($C49=0,"",IF(AZ$12&lt;&gt;$C$5,NA(),INDEX(auto_DataFlat_Score,INDEX(sys_DataFlat_LU_Grid,$C49,AZ$11))))</f>
        <v/>
      </c>
      <c r="BA49" t="str" cm="1">
        <f t="array" aca="1" ref="BA49" ca="1">IF($C49=0,"",IF(BA$12&lt;&gt;$C$5,NA(),INDEX(auto_DataFlat_Score,INDEX(sys_DataFlat_LU_Grid,$C49,BA$11))))</f>
        <v/>
      </c>
      <c r="BB49" t="str" cm="1">
        <f t="array" aca="1" ref="BB49" ca="1">IF($C49=0,"",IF(BB$12&lt;&gt;$C$5,NA(),INDEX(auto_DataFlat_Score,INDEX(sys_DataFlat_LU_Grid,$C49,BB$11))))</f>
        <v/>
      </c>
      <c r="BC49" t="str" cm="1">
        <f t="array" aca="1" ref="BC49" ca="1">IF($C49=0,"",IF(BC$12&lt;&gt;$C$5,NA(),INDEX(auto_DataFlat_Score,INDEX(sys_DataFlat_LU_Grid,$C49,BC$11))))</f>
        <v/>
      </c>
      <c r="BD49" t="str" cm="1">
        <f t="array" aca="1" ref="BD49" ca="1">IF($C49=0,"",IF(BD$12&lt;&gt;$C$5,NA(),INDEX(auto_DataFlat_Score,INDEX(sys_DataFlat_LU_Grid,$C49,BD$11))))</f>
        <v/>
      </c>
      <c r="BE49" t="str" cm="1">
        <f t="array" aca="1" ref="BE49" ca="1">IF($C49=0,"",IF(BE$12&lt;&gt;$C$5,NA(),INDEX(auto_DataFlat_Score,INDEX(sys_DataFlat_LU_Grid,$C49,BE$11))))</f>
        <v/>
      </c>
      <c r="BF49" t="str" cm="1">
        <f t="array" aca="1" ref="BF49" ca="1">IF($C49=0,"",IF(BF$12&lt;&gt;$C$5,NA(),INDEX(auto_DataFlat_Score,INDEX(sys_DataFlat_LU_Grid,$C49,BF$11))))</f>
        <v/>
      </c>
      <c r="BG49" t="str" cm="1">
        <f t="array" aca="1" ref="BG49" ca="1">IF($C49=0,"",IF(BG$12&lt;&gt;$C$5,NA(),INDEX(auto_DataFlat_Score,INDEX(sys_DataFlat_LU_Grid,$C49,BG$11))))</f>
        <v/>
      </c>
      <c r="BH49" t="str" cm="1">
        <f t="array" aca="1" ref="BH49" ca="1">IF($C49=0,"",IF(BH$12&lt;&gt;$C$5,NA(),INDEX(auto_DataFlat_Score,INDEX(sys_DataFlat_LU_Grid,$C49,BH$11))))</f>
        <v/>
      </c>
      <c r="BI49" t="str" cm="1">
        <f t="array" aca="1" ref="BI49" ca="1">IF($C49=0,"",IF(BI$12&lt;&gt;$C$5,NA(),INDEX(auto_DataFlat_Score,INDEX(sys_DataFlat_LU_Grid,$C49,BI$11))))</f>
        <v/>
      </c>
      <c r="BJ49" t="str" cm="1">
        <f t="array" aca="1" ref="BJ49" ca="1">IF($C49=0,"",IF(BJ$12&lt;&gt;$C$5,NA(),INDEX(auto_DataFlat_Score,INDEX(sys_DataFlat_LU_Grid,$C49,BJ$11))))</f>
        <v/>
      </c>
      <c r="BK49" t="str" cm="1">
        <f t="array" aca="1" ref="BK49" ca="1">IF($C49=0,"",IF(BK$12&lt;&gt;$C$5,NA(),INDEX(auto_DataFlat_Score,INDEX(sys_DataFlat_LU_Grid,$C49,BK$11))))</f>
        <v/>
      </c>
      <c r="BL49" t="str" cm="1">
        <f t="array" aca="1" ref="BL49" ca="1">IF($C49=0,"",IF(BL$12&lt;&gt;$C$5,NA(),INDEX(auto_DataFlat_Score,INDEX(sys_DataFlat_LU_Grid,$C49,BL$11))))</f>
        <v/>
      </c>
      <c r="BM49" t="str" cm="1">
        <f t="array" aca="1" ref="BM49" ca="1">IF($C49=0,"",IF(BM$12&lt;&gt;$C$5,NA(),INDEX(auto_DataFlat_Score,INDEX(sys_DataFlat_LU_Grid,$C49,BM$11))))</f>
        <v/>
      </c>
    </row>
    <row r="50" spans="2:75" x14ac:dyDescent="0.4">
      <c r="B50">
        <v>10</v>
      </c>
      <c r="C50" cm="1">
        <f t="array" aca="1" ref="C50" ca="1">INDEX(OFFSET(auto_ss_OverallAndCategory,0,1,300,1),B50)</f>
        <v>0</v>
      </c>
      <c r="D50" cm="1">
        <f t="array" aca="1" ref="D50" ca="1">IF(C50=0,0,INDEX(sys_DataFlat_LU_Grid_Groups,$C50,D$40))</f>
        <v>0</v>
      </c>
      <c r="E50" cm="1">
        <f t="array" aca="1" ref="E50" ca="1">IF(C50=0,0,INDEX(sys_DataFlat_LU_Grid_Groups,$C50,E$40))</f>
        <v>0</v>
      </c>
      <c r="G50" t="e">
        <f t="shared" ca="1" si="11"/>
        <v>#DIV/0!</v>
      </c>
      <c r="H50" t="e" cm="1">
        <f t="array" ref="H50">IF($C$8=0,NA(),INDEX($P50:$BM50,$C$8))</f>
        <v>#N/A</v>
      </c>
      <c r="I50" cm="1">
        <f t="array" aca="1" ref="I50" ca="1">IF(C50=0,0,INDEX(sys_DataFlat_LU_Grid,$C50,$C$2))</f>
        <v>0</v>
      </c>
      <c r="J50" t="str" cm="1">
        <f t="array" aca="1" ref="J50" ca="1">IF(C50=0,"-",INDEX(auto_Series_NameNoNumber,C50))</f>
        <v>-</v>
      </c>
      <c r="K50" t="str" cm="1">
        <f t="array" aca="1" ref="K50" ca="1">IF(C50=0,"-",INDEX(K$94:K$162,$C50))</f>
        <v>-</v>
      </c>
      <c r="L50" t="str" cm="1">
        <f t="array" aca="1" ref="L50" ca="1">IF(C50=0,"-",INDEX(L$94:L$162,$C50))</f>
        <v>-</v>
      </c>
      <c r="M50" t="str">
        <f t="shared" ca="1" si="12"/>
        <v>-</v>
      </c>
      <c r="N50" t="str" cm="1">
        <f t="array" aca="1" ref="N50" ca="1">IF(C50=0,"-",INDEX($N$94:$N$162,$C50))</f>
        <v>-</v>
      </c>
      <c r="O50" t="str" cm="1">
        <f t="array" aca="1" ref="O50" ca="1">IF(C50=0,"-",INDEX(#REF!,$C50))</f>
        <v>-</v>
      </c>
      <c r="P50" t="str" cm="1">
        <f t="array" aca="1" ref="P50" ca="1">IF($C50=0,"",IF(P$12&lt;&gt;$C$5,NA(),INDEX(auto_DataFlat_Score,INDEX(sys_DataFlat_LU_Grid,$C50,P$11))))</f>
        <v/>
      </c>
      <c r="Q50" t="str" cm="1">
        <f t="array" aca="1" ref="Q50" ca="1">IF($C50=0,"",IF(Q$12&lt;&gt;$C$5,NA(),INDEX(auto_DataFlat_Score,INDEX(sys_DataFlat_LU_Grid,$C50,Q$11))))</f>
        <v/>
      </c>
      <c r="R50" t="str" cm="1">
        <f t="array" aca="1" ref="R50" ca="1">IF($C50=0,"",IF(R$12&lt;&gt;$C$5,NA(),INDEX(auto_DataFlat_Score,INDEX(sys_DataFlat_LU_Grid,$C50,R$11))))</f>
        <v/>
      </c>
      <c r="S50" t="str" cm="1">
        <f t="array" aca="1" ref="S50" ca="1">IF($C50=0,"",IF(S$12&lt;&gt;$C$5,NA(),INDEX(auto_DataFlat_Score,INDEX(sys_DataFlat_LU_Grid,$C50,S$11))))</f>
        <v/>
      </c>
      <c r="T50" t="str" cm="1">
        <f t="array" aca="1" ref="T50" ca="1">IF($C50=0,"",IF(T$12&lt;&gt;$C$5,NA(),INDEX(auto_DataFlat_Score,INDEX(sys_DataFlat_LU_Grid,$C50,T$11))))</f>
        <v/>
      </c>
      <c r="U50" t="str" cm="1">
        <f t="array" aca="1" ref="U50" ca="1">IF($C50=0,"",IF(U$12&lt;&gt;$C$5,NA(),INDEX(auto_DataFlat_Score,INDEX(sys_DataFlat_LU_Grid,$C50,U$11))))</f>
        <v/>
      </c>
      <c r="V50" t="str" cm="1">
        <f t="array" aca="1" ref="V50" ca="1">IF($C50=0,"",IF(V$12&lt;&gt;$C$5,NA(),INDEX(auto_DataFlat_Score,INDEX(sys_DataFlat_LU_Grid,$C50,V$11))))</f>
        <v/>
      </c>
      <c r="W50" t="str" cm="1">
        <f t="array" aca="1" ref="W50" ca="1">IF($C50=0,"",IF(W$12&lt;&gt;$C$5,NA(),INDEX(auto_DataFlat_Score,INDEX(sys_DataFlat_LU_Grid,$C50,W$11))))</f>
        <v/>
      </c>
      <c r="X50" t="str" cm="1">
        <f t="array" aca="1" ref="X50" ca="1">IF($C50=0,"",IF(X$12&lt;&gt;$C$5,NA(),INDEX(auto_DataFlat_Score,INDEX(sys_DataFlat_LU_Grid,$C50,X$11))))</f>
        <v/>
      </c>
      <c r="Y50" t="str" cm="1">
        <f t="array" aca="1" ref="Y50" ca="1">IF($C50=0,"",IF(Y$12&lt;&gt;$C$5,NA(),INDEX(auto_DataFlat_Score,INDEX(sys_DataFlat_LU_Grid,$C50,Y$11))))</f>
        <v/>
      </c>
      <c r="Z50" t="str" cm="1">
        <f t="array" aca="1" ref="Z50" ca="1">IF($C50=0,"",IF(Z$12&lt;&gt;$C$5,NA(),INDEX(auto_DataFlat_Score,INDEX(sys_DataFlat_LU_Grid,$C50,Z$11))))</f>
        <v/>
      </c>
      <c r="AA50" t="str" cm="1">
        <f t="array" aca="1" ref="AA50" ca="1">IF($C50=0,"",IF(AA$12&lt;&gt;$C$5,NA(),INDEX(auto_DataFlat_Score,INDEX(sys_DataFlat_LU_Grid,$C50,AA$11))))</f>
        <v/>
      </c>
      <c r="AB50" t="str" cm="1">
        <f t="array" aca="1" ref="AB50" ca="1">IF($C50=0,"",IF(AB$12&lt;&gt;$C$5,NA(),INDEX(auto_DataFlat_Score,INDEX(sys_DataFlat_LU_Grid,$C50,AB$11))))</f>
        <v/>
      </c>
      <c r="AC50" t="str" cm="1">
        <f t="array" aca="1" ref="AC50" ca="1">IF($C50=0,"",IF(AC$12&lt;&gt;$C$5,NA(),INDEX(auto_DataFlat_Score,INDEX(sys_DataFlat_LU_Grid,$C50,AC$11))))</f>
        <v/>
      </c>
      <c r="AD50" t="str" cm="1">
        <f t="array" aca="1" ref="AD50" ca="1">IF($C50=0,"",IF(AD$12&lt;&gt;$C$5,NA(),INDEX(auto_DataFlat_Score,INDEX(sys_DataFlat_LU_Grid,$C50,AD$11))))</f>
        <v/>
      </c>
      <c r="AE50" t="str" cm="1">
        <f t="array" aca="1" ref="AE50" ca="1">IF($C50=0,"",IF(AE$12&lt;&gt;$C$5,NA(),INDEX(auto_DataFlat_Score,INDEX(sys_DataFlat_LU_Grid,$C50,AE$11))))</f>
        <v/>
      </c>
      <c r="AF50" t="str" cm="1">
        <f t="array" aca="1" ref="AF50" ca="1">IF($C50=0,"",IF(AF$12&lt;&gt;$C$5,NA(),INDEX(auto_DataFlat_Score,INDEX(sys_DataFlat_LU_Grid,$C50,AF$11))))</f>
        <v/>
      </c>
      <c r="AG50" t="str" cm="1">
        <f t="array" aca="1" ref="AG50" ca="1">IF($C50=0,"",IF(AG$12&lt;&gt;$C$5,NA(),INDEX(auto_DataFlat_Score,INDEX(sys_DataFlat_LU_Grid,$C50,AG$11))))</f>
        <v/>
      </c>
      <c r="AH50" t="str" cm="1">
        <f t="array" aca="1" ref="AH50" ca="1">IF($C50=0,"",IF(AH$12&lt;&gt;$C$5,NA(),INDEX(auto_DataFlat_Score,INDEX(sys_DataFlat_LU_Grid,$C50,AH$11))))</f>
        <v/>
      </c>
      <c r="AI50" t="str" cm="1">
        <f t="array" aca="1" ref="AI50" ca="1">IF($C50=0,"",IF(AI$12&lt;&gt;$C$5,NA(),INDEX(auto_DataFlat_Score,INDEX(sys_DataFlat_LU_Grid,$C50,AI$11))))</f>
        <v/>
      </c>
      <c r="AJ50" t="str" cm="1">
        <f t="array" aca="1" ref="AJ50" ca="1">IF($C50=0,"",IF(AJ$12&lt;&gt;$C$5,NA(),INDEX(auto_DataFlat_Score,INDEX(sys_DataFlat_LU_Grid,$C50,AJ$11))))</f>
        <v/>
      </c>
      <c r="AK50" t="str" cm="1">
        <f t="array" aca="1" ref="AK50" ca="1">IF($C50=0,"",IF(AK$12&lt;&gt;$C$5,NA(),INDEX(auto_DataFlat_Score,INDEX(sys_DataFlat_LU_Grid,$C50,AK$11))))</f>
        <v/>
      </c>
      <c r="AL50" t="str" cm="1">
        <f t="array" aca="1" ref="AL50" ca="1">IF($C50=0,"",IF(AL$12&lt;&gt;$C$5,NA(),INDEX(auto_DataFlat_Score,INDEX(sys_DataFlat_LU_Grid,$C50,AL$11))))</f>
        <v/>
      </c>
      <c r="AM50" t="str" cm="1">
        <f t="array" aca="1" ref="AM50" ca="1">IF($C50=0,"",IF(AM$12&lt;&gt;$C$5,NA(),INDEX(auto_DataFlat_Score,INDEX(sys_DataFlat_LU_Grid,$C50,AM$11))))</f>
        <v/>
      </c>
      <c r="AN50" t="str" cm="1">
        <f t="array" aca="1" ref="AN50" ca="1">IF($C50=0,"",IF(AN$12&lt;&gt;$C$5,NA(),INDEX(auto_DataFlat_Score,INDEX(sys_DataFlat_LU_Grid,$C50,AN$11))))</f>
        <v/>
      </c>
      <c r="AO50" t="str" cm="1">
        <f t="array" aca="1" ref="AO50" ca="1">IF($C50=0,"",IF(AO$12&lt;&gt;$C$5,NA(),INDEX(auto_DataFlat_Score,INDEX(sys_DataFlat_LU_Grid,$C50,AO$11))))</f>
        <v/>
      </c>
      <c r="AP50" t="str" cm="1">
        <f t="array" aca="1" ref="AP50" ca="1">IF($C50=0,"",IF(AP$12&lt;&gt;$C$5,NA(),INDEX(auto_DataFlat_Score,INDEX(sys_DataFlat_LU_Grid,$C50,AP$11))))</f>
        <v/>
      </c>
      <c r="AQ50" t="str" cm="1">
        <f t="array" aca="1" ref="AQ50" ca="1">IF($C50=0,"",IF(AQ$12&lt;&gt;$C$5,NA(),INDEX(auto_DataFlat_Score,INDEX(sys_DataFlat_LU_Grid,$C50,AQ$11))))</f>
        <v/>
      </c>
      <c r="AR50" t="str" cm="1">
        <f t="array" aca="1" ref="AR50" ca="1">IF($C50=0,"",IF(AR$12&lt;&gt;$C$5,NA(),INDEX(auto_DataFlat_Score,INDEX(sys_DataFlat_LU_Grid,$C50,AR$11))))</f>
        <v/>
      </c>
      <c r="AS50" t="str" cm="1">
        <f t="array" aca="1" ref="AS50" ca="1">IF($C50=0,"",IF(AS$12&lt;&gt;$C$5,NA(),INDEX(auto_DataFlat_Score,INDEX(sys_DataFlat_LU_Grid,$C50,AS$11))))</f>
        <v/>
      </c>
      <c r="AT50" t="str" cm="1">
        <f t="array" aca="1" ref="AT50" ca="1">IF($C50=0,"",IF(AT$12&lt;&gt;$C$5,NA(),INDEX(auto_DataFlat_Score,INDEX(sys_DataFlat_LU_Grid,$C50,AT$11))))</f>
        <v/>
      </c>
      <c r="AU50" t="str" cm="1">
        <f t="array" aca="1" ref="AU50" ca="1">IF($C50=0,"",IF(AU$12&lt;&gt;$C$5,NA(),INDEX(auto_DataFlat_Score,INDEX(sys_DataFlat_LU_Grid,$C50,AU$11))))</f>
        <v/>
      </c>
      <c r="AV50" t="str" cm="1">
        <f t="array" aca="1" ref="AV50" ca="1">IF($C50=0,"",IF(AV$12&lt;&gt;$C$5,NA(),INDEX(auto_DataFlat_Score,INDEX(sys_DataFlat_LU_Grid,$C50,AV$11))))</f>
        <v/>
      </c>
      <c r="AW50" t="str" cm="1">
        <f t="array" aca="1" ref="AW50" ca="1">IF($C50=0,"",IF(AW$12&lt;&gt;$C$5,NA(),INDEX(auto_DataFlat_Score,INDEX(sys_DataFlat_LU_Grid,$C50,AW$11))))</f>
        <v/>
      </c>
      <c r="AX50" t="str" cm="1">
        <f t="array" aca="1" ref="AX50" ca="1">IF($C50=0,"",IF(AX$12&lt;&gt;$C$5,NA(),INDEX(auto_DataFlat_Score,INDEX(sys_DataFlat_LU_Grid,$C50,AX$11))))</f>
        <v/>
      </c>
      <c r="AY50" t="str" cm="1">
        <f t="array" aca="1" ref="AY50" ca="1">IF($C50=0,"",IF(AY$12&lt;&gt;$C$5,NA(),INDEX(auto_DataFlat_Score,INDEX(sys_DataFlat_LU_Grid,$C50,AY$11))))</f>
        <v/>
      </c>
      <c r="AZ50" t="str" cm="1">
        <f t="array" aca="1" ref="AZ50" ca="1">IF($C50=0,"",IF(AZ$12&lt;&gt;$C$5,NA(),INDEX(auto_DataFlat_Score,INDEX(sys_DataFlat_LU_Grid,$C50,AZ$11))))</f>
        <v/>
      </c>
      <c r="BA50" t="str" cm="1">
        <f t="array" aca="1" ref="BA50" ca="1">IF($C50=0,"",IF(BA$12&lt;&gt;$C$5,NA(),INDEX(auto_DataFlat_Score,INDEX(sys_DataFlat_LU_Grid,$C50,BA$11))))</f>
        <v/>
      </c>
      <c r="BB50" t="str" cm="1">
        <f t="array" aca="1" ref="BB50" ca="1">IF($C50=0,"",IF(BB$12&lt;&gt;$C$5,NA(),INDEX(auto_DataFlat_Score,INDEX(sys_DataFlat_LU_Grid,$C50,BB$11))))</f>
        <v/>
      </c>
      <c r="BC50" t="str" cm="1">
        <f t="array" aca="1" ref="BC50" ca="1">IF($C50=0,"",IF(BC$12&lt;&gt;$C$5,NA(),INDEX(auto_DataFlat_Score,INDEX(sys_DataFlat_LU_Grid,$C50,BC$11))))</f>
        <v/>
      </c>
      <c r="BD50" t="str" cm="1">
        <f t="array" aca="1" ref="BD50" ca="1">IF($C50=0,"",IF(BD$12&lt;&gt;$C$5,NA(),INDEX(auto_DataFlat_Score,INDEX(sys_DataFlat_LU_Grid,$C50,BD$11))))</f>
        <v/>
      </c>
      <c r="BE50" t="str" cm="1">
        <f t="array" aca="1" ref="BE50" ca="1">IF($C50=0,"",IF(BE$12&lt;&gt;$C$5,NA(),INDEX(auto_DataFlat_Score,INDEX(sys_DataFlat_LU_Grid,$C50,BE$11))))</f>
        <v/>
      </c>
      <c r="BF50" t="str" cm="1">
        <f t="array" aca="1" ref="BF50" ca="1">IF($C50=0,"",IF(BF$12&lt;&gt;$C$5,NA(),INDEX(auto_DataFlat_Score,INDEX(sys_DataFlat_LU_Grid,$C50,BF$11))))</f>
        <v/>
      </c>
      <c r="BG50" t="str" cm="1">
        <f t="array" aca="1" ref="BG50" ca="1">IF($C50=0,"",IF(BG$12&lt;&gt;$C$5,NA(),INDEX(auto_DataFlat_Score,INDEX(sys_DataFlat_LU_Grid,$C50,BG$11))))</f>
        <v/>
      </c>
      <c r="BH50" t="str" cm="1">
        <f t="array" aca="1" ref="BH50" ca="1">IF($C50=0,"",IF(BH$12&lt;&gt;$C$5,NA(),INDEX(auto_DataFlat_Score,INDEX(sys_DataFlat_LU_Grid,$C50,BH$11))))</f>
        <v/>
      </c>
      <c r="BI50" t="str" cm="1">
        <f t="array" aca="1" ref="BI50" ca="1">IF($C50=0,"",IF(BI$12&lt;&gt;$C$5,NA(),INDEX(auto_DataFlat_Score,INDEX(sys_DataFlat_LU_Grid,$C50,BI$11))))</f>
        <v/>
      </c>
      <c r="BJ50" t="str" cm="1">
        <f t="array" aca="1" ref="BJ50" ca="1">IF($C50=0,"",IF(BJ$12&lt;&gt;$C$5,NA(),INDEX(auto_DataFlat_Score,INDEX(sys_DataFlat_LU_Grid,$C50,BJ$11))))</f>
        <v/>
      </c>
      <c r="BK50" t="str" cm="1">
        <f t="array" aca="1" ref="BK50" ca="1">IF($C50=0,"",IF(BK$12&lt;&gt;$C$5,NA(),INDEX(auto_DataFlat_Score,INDEX(sys_DataFlat_LU_Grid,$C50,BK$11))))</f>
        <v/>
      </c>
      <c r="BL50" t="str" cm="1">
        <f t="array" aca="1" ref="BL50" ca="1">IF($C50=0,"",IF(BL$12&lt;&gt;$C$5,NA(),INDEX(auto_DataFlat_Score,INDEX(sys_DataFlat_LU_Grid,$C50,BL$11))))</f>
        <v/>
      </c>
      <c r="BM50" t="str" cm="1">
        <f t="array" aca="1" ref="BM50" ca="1">IF($C50=0,"",IF(BM$12&lt;&gt;$C$5,NA(),INDEX(auto_DataFlat_Score,INDEX(sys_DataFlat_LU_Grid,$C50,BM$11))))</f>
        <v/>
      </c>
    </row>
    <row r="51" spans="2:75" x14ac:dyDescent="0.4">
      <c r="BQ51" t="s">
        <v>391</v>
      </c>
    </row>
    <row r="52" spans="2:75" x14ac:dyDescent="0.4">
      <c r="B52" t="s">
        <v>1642</v>
      </c>
      <c r="BQ52" t="str" cm="1">
        <f t="array" ref="BQ52">INDEX(auto_ddGroup_Filter,BQ53)</f>
        <v>SE Asia</v>
      </c>
      <c r="BR52" t="str" cm="1">
        <f t="array" ref="BR52">INDEX(auto_ddGroup_Filter,BR53)</f>
        <v>Upper middle income</v>
      </c>
    </row>
    <row r="53" spans="2:75" x14ac:dyDescent="0.4">
      <c r="D53">
        <v>1</v>
      </c>
      <c r="E53">
        <f>$C$9</f>
        <v>1</v>
      </c>
      <c r="G53" t="s">
        <v>1467</v>
      </c>
      <c r="BO53" t="s">
        <v>30</v>
      </c>
      <c r="BP53" t="s">
        <v>31</v>
      </c>
      <c r="BQ53">
        <v>6</v>
      </c>
      <c r="BR53">
        <v>9</v>
      </c>
      <c r="BU53">
        <f>BQ53</f>
        <v>6</v>
      </c>
      <c r="BV53">
        <f>BR53</f>
        <v>9</v>
      </c>
      <c r="BW53" t="s">
        <v>2689</v>
      </c>
    </row>
    <row r="54" spans="2:75" x14ac:dyDescent="0.4">
      <c r="B54">
        <v>1</v>
      </c>
      <c r="C54" cm="1">
        <f t="array" aca="1" ref="C54" ca="1">INDEX(OFFSET(auto_ss_depth_2,0,1,300,1),B54)</f>
        <v>3</v>
      </c>
      <c r="D54" cm="1">
        <f t="array" aca="1" ref="D54" ca="1">IF(C54=0,0,INDEX(sys_DataFlat_LU_Grid_Groups,$C54,D$40))</f>
        <v>171</v>
      </c>
      <c r="E54" cm="1">
        <f t="array" aca="1" ref="E54" ca="1">IF(C54=0,0,INDEX(sys_DataFlat_LU_Grid_Groups,$C54,E$40))</f>
        <v>171</v>
      </c>
      <c r="F54">
        <v>1</v>
      </c>
      <c r="G54">
        <f t="shared" ref="G54:G76" ca="1" si="13">ROUND(AVERAGE(P54:BM54),1)</f>
        <v>67.2</v>
      </c>
      <c r="H54" t="e" cm="1">
        <f t="array" ref="H54">IF($C$8=0,NA(),INDEX($P54:$BM54,$C$8))</f>
        <v>#N/A</v>
      </c>
      <c r="I54" cm="1">
        <f t="array" aca="1" ref="I54" ca="1">IF(C54=0,0,INDEX(sys_DataFlat_LU_Grid,$C54,$C$2))</f>
        <v>121</v>
      </c>
      <c r="J54" t="str" cm="1">
        <f t="array" aca="1" ref="J54" ca="1">IF(C54=0,"-",INDEX(auto_Series_NameNoNumber,C54))</f>
        <v>Poverty and inequality</v>
      </c>
      <c r="K54" cm="1">
        <f t="array" aca="1" ref="K54" ca="1">IF(C54=0,"-",INDEX(K$94:K$162,$C54))</f>
        <v>82.5</v>
      </c>
      <c r="L54" t="str" cm="1">
        <f t="array" aca="1" ref="L54" ca="1">IF(C54=0,"-",INDEX(L$94:L$162,$C54))</f>
        <v>=21</v>
      </c>
      <c r="M54">
        <f ca="1">IF(C54=0,"-",STANDARDIZE(K54,AVERAGE(P54:AA54),STDEV((P54:AA54))))</f>
        <v>0.99927060753729413</v>
      </c>
      <c r="N54" cm="1">
        <f t="array" aca="1" ref="N54" ca="1">IF(C54=0,"-",INDEX($N$94:$N$162,$C54))</f>
        <v>5</v>
      </c>
      <c r="O54" t="e" cm="1">
        <f t="array" aca="1" ref="O54" ca="1">IF(C54=0,"-",INDEX(#REF!,$C54))</f>
        <v>#REF!</v>
      </c>
      <c r="P54" cm="1">
        <f t="array" aca="1" ref="P54" ca="1">IF($C54=0,"",IF(P$12&lt;&gt;$C$5,NA(),INDEX(auto_DataFlat_Score,INDEX(sys_DataFlat_LU_Grid,$C54,P$11))))</f>
        <v>82.5</v>
      </c>
      <c r="Q54" cm="1">
        <f t="array" aca="1" ref="Q54" ca="1">IF($C54=0,"",IF(Q$12&lt;&gt;$C$5,NA(),INDEX(auto_DataFlat_Score,INDEX(sys_DataFlat_LU_Grid,$C54,Q$11))))</f>
        <v>36.200000000000003</v>
      </c>
      <c r="R54" cm="1">
        <f t="array" aca="1" ref="R54" ca="1">IF($C54=0,"",IF(R$12&lt;&gt;$C$5,NA(),INDEX(auto_DataFlat_Score,INDEX(sys_DataFlat_LU_Grid,$C54,R$11))))</f>
        <v>80.099999999999994</v>
      </c>
      <c r="S54" cm="1">
        <f t="array" aca="1" ref="S54" ca="1">IF($C54=0,"",IF(S$12&lt;&gt;$C$5,NA(),INDEX(auto_DataFlat_Score,INDEX(sys_DataFlat_LU_Grid,$C54,S$11))))</f>
        <v>34</v>
      </c>
      <c r="T54" cm="1">
        <f t="array" aca="1" ref="T54" ca="1">IF($C54=0,"",IF(T$12&lt;&gt;$C$5,NA(),INDEX(auto_DataFlat_Score,INDEX(sys_DataFlat_LU_Grid,$C54,T$11))))</f>
        <v>82.6</v>
      </c>
      <c r="U54" cm="1">
        <f t="array" aca="1" ref="U54" ca="1">IF($C54=0,"",IF(U$12&lt;&gt;$C$5,NA(),INDEX(auto_DataFlat_Score,INDEX(sys_DataFlat_LU_Grid,$C54,U$11))))</f>
        <v>31.5</v>
      </c>
      <c r="V54" cm="1">
        <f t="array" aca="1" ref="V54" ca="1">IF($C54=0,"",IF(V$12&lt;&gt;$C$5,NA(),INDEX(auto_DataFlat_Score,INDEX(sys_DataFlat_LU_Grid,$C54,V$11))))</f>
        <v>84.2</v>
      </c>
      <c r="W54" cm="1">
        <f t="array" aca="1" ref="W54" ca="1">IF($C54=0,"",IF(W$12&lt;&gt;$C$5,NA(),INDEX(auto_DataFlat_Score,INDEX(sys_DataFlat_LU_Grid,$C54,W$11))))</f>
        <v>72.599999999999994</v>
      </c>
      <c r="X54" cm="1">
        <f t="array" aca="1" ref="X54" ca="1">IF($C54=0,"",IF(X$12&lt;&gt;$C$5,NA(),INDEX(auto_DataFlat_Score,INDEX(sys_DataFlat_LU_Grid,$C54,X$11))))</f>
        <v>85.4</v>
      </c>
      <c r="Y54" cm="1">
        <f t="array" aca="1" ref="Y54" ca="1">IF($C54=0,"",IF(Y$12&lt;&gt;$C$5,NA(),INDEX(auto_DataFlat_Score,INDEX(sys_DataFlat_LU_Grid,$C54,Y$11))))</f>
        <v>34.1</v>
      </c>
      <c r="Z54" cm="1">
        <f t="array" aca="1" ref="Z54" ca="1">IF($C54=0,"",IF(Z$12&lt;&gt;$C$5,NA(),INDEX(auto_DataFlat_Score,INDEX(sys_DataFlat_LU_Grid,$C54,Z$11))))</f>
        <v>31.2</v>
      </c>
      <c r="AA54" cm="1">
        <f t="array" aca="1" ref="AA54" ca="1">IF($C54=0,"",IF(AA$12&lt;&gt;$C$5,NA(),INDEX(auto_DataFlat_Score,INDEX(sys_DataFlat_LU_Grid,$C54,AA$11))))</f>
        <v>33.6</v>
      </c>
      <c r="AB54" cm="1">
        <f t="array" aca="1" ref="AB54" ca="1">IF($C54=0,"",IF(AB$12&lt;&gt;$C$5,NA(),INDEX(auto_DataFlat_Score,INDEX(sys_DataFlat_LU_Grid,$C54,AB$11))))</f>
        <v>83.3</v>
      </c>
      <c r="AC54" cm="1">
        <f t="array" aca="1" ref="AC54" ca="1">IF($C54=0,"",IF(AC$12&lt;&gt;$C$5,NA(),INDEX(auto_DataFlat_Score,INDEX(sys_DataFlat_LU_Grid,$C54,AC$11))))</f>
        <v>87</v>
      </c>
      <c r="AD54" cm="1">
        <f t="array" aca="1" ref="AD54" ca="1">IF($C54=0,"",IF(AD$12&lt;&gt;$C$5,NA(),INDEX(auto_DataFlat_Score,INDEX(sys_DataFlat_LU_Grid,$C54,AD$11))))</f>
        <v>86.2</v>
      </c>
      <c r="AE54" cm="1">
        <f t="array" aca="1" ref="AE54" ca="1">IF($C54=0,"",IF(AE$12&lt;&gt;$C$5,NA(),INDEX(auto_DataFlat_Score,INDEX(sys_DataFlat_LU_Grid,$C54,AE$11))))</f>
        <v>82</v>
      </c>
      <c r="AF54" cm="1">
        <f t="array" aca="1" ref="AF54" ca="1">IF($C54=0,"",IF(AF$12&lt;&gt;$C$5,NA(),INDEX(auto_DataFlat_Score,INDEX(sys_DataFlat_LU_Grid,$C54,AF$11))))</f>
        <v>84</v>
      </c>
      <c r="AG54" cm="1">
        <f t="array" aca="1" ref="AG54" ca="1">IF($C54=0,"",IF(AG$12&lt;&gt;$C$5,NA(),INDEX(auto_DataFlat_Score,INDEX(sys_DataFlat_LU_Grid,$C54,AG$11))))</f>
        <v>77.8</v>
      </c>
      <c r="AH54" cm="1">
        <f t="array" aca="1" ref="AH54" ca="1">IF($C54=0,"",IF(AH$12&lt;&gt;$C$5,NA(),INDEX(auto_DataFlat_Score,INDEX(sys_DataFlat_LU_Grid,$C54,AH$11))))</f>
        <v>80.900000000000006</v>
      </c>
      <c r="AI54" cm="1">
        <f t="array" aca="1" ref="AI54" ca="1">IF($C54=0,"",IF(AI$12&lt;&gt;$C$5,NA(),INDEX(auto_DataFlat_Score,INDEX(sys_DataFlat_LU_Grid,$C54,AI$11))))</f>
        <v>68.5</v>
      </c>
      <c r="AJ54" cm="1">
        <f t="array" aca="1" ref="AJ54" ca="1">IF($C54=0,"",IF(AJ$12&lt;&gt;$C$5,NA(),INDEX(auto_DataFlat_Score,INDEX(sys_DataFlat_LU_Grid,$C54,AJ$11))))</f>
        <v>35.200000000000003</v>
      </c>
      <c r="AK54" cm="1">
        <f t="array" aca="1" ref="AK54" ca="1">IF($C54=0,"",IF(AK$12&lt;&gt;$C$5,NA(),INDEX(auto_DataFlat_Score,INDEX(sys_DataFlat_LU_Grid,$C54,AK$11))))</f>
        <v>33.6</v>
      </c>
      <c r="AL54" cm="1">
        <f t="array" aca="1" ref="AL54" ca="1">IF($C54=0,"",IF(AL$12&lt;&gt;$C$5,NA(),INDEX(auto_DataFlat_Score,INDEX(sys_DataFlat_LU_Grid,$C54,AL$11))))</f>
        <v>33.6</v>
      </c>
      <c r="AM54" cm="1">
        <f t="array" aca="1" ref="AM54" ca="1">IF($C54=0,"",IF(AM$12&lt;&gt;$C$5,NA(),INDEX(auto_DataFlat_Score,INDEX(sys_DataFlat_LU_Grid,$C54,AM$11))))</f>
        <v>34</v>
      </c>
      <c r="AN54" cm="1">
        <f t="array" aca="1" ref="AN54" ca="1">IF($C54=0,"",IF(AN$12&lt;&gt;$C$5,NA(),INDEX(auto_DataFlat_Score,INDEX(sys_DataFlat_LU_Grid,$C54,AN$11))))</f>
        <v>82.5</v>
      </c>
      <c r="AO54" cm="1">
        <f t="array" aca="1" ref="AO54" ca="1">IF($C54=0,"",IF(AO$12&lt;&gt;$C$5,NA(),INDEX(auto_DataFlat_Score,INDEX(sys_DataFlat_LU_Grid,$C54,AO$11))))</f>
        <v>83.8</v>
      </c>
      <c r="AP54" cm="1">
        <f t="array" aca="1" ref="AP54" ca="1">IF($C54=0,"",IF(AP$12&lt;&gt;$C$5,NA(),INDEX(auto_DataFlat_Score,INDEX(sys_DataFlat_LU_Grid,$C54,AP$11))))</f>
        <v>83.1</v>
      </c>
      <c r="AQ54" cm="1">
        <f t="array" aca="1" ref="AQ54" ca="1">IF($C54=0,"",IF(AQ$12&lt;&gt;$C$5,NA(),INDEX(auto_DataFlat_Score,INDEX(sys_DataFlat_LU_Grid,$C54,AQ$11))))</f>
        <v>79.7</v>
      </c>
      <c r="AR54" cm="1">
        <f t="array" aca="1" ref="AR54" ca="1">IF($C54=0,"",IF(AR$12&lt;&gt;$C$5,NA(),INDEX(auto_DataFlat_Score,INDEX(sys_DataFlat_LU_Grid,$C54,AR$11))))</f>
        <v>82.9</v>
      </c>
      <c r="AS54" cm="1">
        <f t="array" aca="1" ref="AS54" ca="1">IF($C54=0,"",IF(AS$12&lt;&gt;$C$5,NA(),INDEX(auto_DataFlat_Score,INDEX(sys_DataFlat_LU_Grid,$C54,AS$11))))</f>
        <v>78.3</v>
      </c>
      <c r="AT54" cm="1">
        <f t="array" aca="1" ref="AT54" ca="1">IF($C54=0,"",IF(AT$12&lt;&gt;$C$5,NA(),INDEX(auto_DataFlat_Score,INDEX(sys_DataFlat_LU_Grid,$C54,AT$11))))</f>
        <v>82</v>
      </c>
      <c r="AU54" cm="1">
        <f t="array" aca="1" ref="AU54" ca="1">IF($C54=0,"",IF(AU$12&lt;&gt;$C$5,NA(),INDEX(auto_DataFlat_Score,INDEX(sys_DataFlat_LU_Grid,$C54,AU$11))))</f>
        <v>33.6</v>
      </c>
      <c r="AV54" cm="1">
        <f t="array" aca="1" ref="AV54" ca="1">IF($C54=0,"",IF(AV$12&lt;&gt;$C$5,NA(),INDEX(auto_DataFlat_Score,INDEX(sys_DataFlat_LU_Grid,$C54,AV$11))))</f>
        <v>80.7</v>
      </c>
      <c r="AW54" cm="1">
        <f t="array" aca="1" ref="AW54" ca="1">IF($C54=0,"",IF(AW$12&lt;&gt;$C$5,NA(),INDEX(auto_DataFlat_Score,INDEX(sys_DataFlat_LU_Grid,$C54,AW$11))))</f>
        <v>80.099999999999994</v>
      </c>
      <c r="AX54" cm="1">
        <f t="array" aca="1" ref="AX54" ca="1">IF($C54=0,"",IF(AX$12&lt;&gt;$C$5,NA(),INDEX(auto_DataFlat_Score,INDEX(sys_DataFlat_LU_Grid,$C54,AX$11))))</f>
        <v>83.6</v>
      </c>
      <c r="AY54" cm="1">
        <f t="array" aca="1" ref="AY54" ca="1">IF($C54=0,"",IF(AY$12&lt;&gt;$C$5,NA(),INDEX(auto_DataFlat_Score,INDEX(sys_DataFlat_LU_Grid,$C54,AY$11))))</f>
        <v>84.3</v>
      </c>
      <c r="AZ54" cm="1">
        <f t="array" aca="1" ref="AZ54" ca="1">IF($C54=0,"",IF(AZ$12&lt;&gt;$C$5,NA(),INDEX(auto_DataFlat_Score,INDEX(sys_DataFlat_LU_Grid,$C54,AZ$11))))</f>
        <v>31.3</v>
      </c>
      <c r="BA54" cm="1">
        <f t="array" aca="1" ref="BA54" ca="1">IF($C54=0,"",IF(BA$12&lt;&gt;$C$5,NA(),INDEX(auto_DataFlat_Score,INDEX(sys_DataFlat_LU_Grid,$C54,BA$11))))</f>
        <v>34</v>
      </c>
      <c r="BB54" cm="1">
        <f t="array" aca="1" ref="BB54" ca="1">IF($C54=0,"",IF(BB$12&lt;&gt;$C$5,NA(),INDEX(auto_DataFlat_Score,INDEX(sys_DataFlat_LU_Grid,$C54,BB$11))))</f>
        <v>82.6</v>
      </c>
      <c r="BC54" cm="1">
        <f t="array" aca="1" ref="BC54" ca="1">IF($C54=0,"",IF(BC$12&lt;&gt;$C$5,NA(),INDEX(auto_DataFlat_Score,INDEX(sys_DataFlat_LU_Grid,$C54,BC$11))))</f>
        <v>80.099999999999994</v>
      </c>
      <c r="BD54" cm="1">
        <f t="array" aca="1" ref="BD54" ca="1">IF($C54=0,"",IF(BD$12&lt;&gt;$C$5,NA(),INDEX(auto_DataFlat_Score,INDEX(sys_DataFlat_LU_Grid,$C54,BD$11))))</f>
        <v>74</v>
      </c>
      <c r="BE54" cm="1">
        <f t="array" aca="1" ref="BE54" ca="1">IF($C54=0,"",IF(BE$12&lt;&gt;$C$5,NA(),INDEX(auto_DataFlat_Score,INDEX(sys_DataFlat_LU_Grid,$C54,BE$11))))</f>
        <v>84.3</v>
      </c>
      <c r="BF54" cm="1">
        <f t="array" aca="1" ref="BF54" ca="1">IF($C54=0,"",IF(BF$12&lt;&gt;$C$5,NA(),INDEX(auto_DataFlat_Score,INDEX(sys_DataFlat_LU_Grid,$C54,BF$11))))</f>
        <v>31.5</v>
      </c>
      <c r="BG54" cm="1">
        <f t="array" aca="1" ref="BG54" ca="1">IF($C54=0,"",IF(BG$12&lt;&gt;$C$5,NA(),INDEX(auto_DataFlat_Score,INDEX(sys_DataFlat_LU_Grid,$C54,BG$11))))</f>
        <v>84</v>
      </c>
      <c r="BH54" cm="1">
        <f t="array" aca="1" ref="BH54" ca="1">IF($C54=0,"",IF(BH$12&lt;&gt;$C$5,NA(),INDEX(auto_DataFlat_Score,INDEX(sys_DataFlat_LU_Grid,$C54,BH$11))))</f>
        <v>82.9</v>
      </c>
      <c r="BI54" cm="1">
        <f t="array" aca="1" ref="BI54" ca="1">IF($C54=0,"",IF(BI$12&lt;&gt;$C$5,NA(),INDEX(auto_DataFlat_Score,INDEX(sys_DataFlat_LU_Grid,$C54,BI$11))))</f>
        <v>83.6</v>
      </c>
      <c r="BJ54" cm="1">
        <f t="array" aca="1" ref="BJ54" ca="1">IF($C54=0,"",IF(BJ$12&lt;&gt;$C$5,NA(),INDEX(auto_DataFlat_Score,INDEX(sys_DataFlat_LU_Grid,$C54,BJ$11))))</f>
        <v>84.2</v>
      </c>
      <c r="BK54" cm="1">
        <f t="array" aca="1" ref="BK54" ca="1">IF($C54=0,"",IF(BK$12&lt;&gt;$C$5,NA(),INDEX(auto_DataFlat_Score,INDEX(sys_DataFlat_LU_Grid,$C54,BK$11))))</f>
        <v>84.7</v>
      </c>
      <c r="BL54" cm="1">
        <f t="array" aca="1" ref="BL54" ca="1">IF($C54=0,"",IF(BL$12&lt;&gt;$C$5,NA(),INDEX(auto_DataFlat_Score,INDEX(sys_DataFlat_LU_Grid,$C54,BL$11))))</f>
        <v>31.5</v>
      </c>
      <c r="BM54" cm="1">
        <f t="array" aca="1" ref="BM54" ca="1">IF($C54=0,"",IF(BM$12&lt;&gt;$C$5,NA(),INDEX(auto_DataFlat_Score,INDEX(sys_DataFlat_LU_Grid,$C54,BM$11))))</f>
        <v>84.7</v>
      </c>
      <c r="BO54">
        <f t="shared" ref="BO54:BO58" ca="1" si="14">MIN(P54:BM54)</f>
        <v>31.2</v>
      </c>
      <c r="BP54">
        <f t="shared" ref="BP54:BP58" ca="1" si="15">MAX(P54:BM54)</f>
        <v>87</v>
      </c>
      <c r="BQ54" cm="1">
        <f t="array" aca="1" ref="BQ54" ca="1">IF(C54=0,0,INDEX(sys_DataFlat_LU_Grid_Groups,$C54,BQ$12))</f>
        <v>176</v>
      </c>
      <c r="BR54" cm="1">
        <f t="array" aca="1" ref="BR54" ca="1">IF(D54=0,0,INDEX(sys_DataFlat_LU_Grid_Groups,$C54,BR$12))</f>
        <v>179</v>
      </c>
      <c r="BU54" cm="1">
        <f t="array" aca="1" ref="BU54" ca="1">INDEX(auto_DataFlat_Score,BQ54)</f>
        <v>53.2</v>
      </c>
      <c r="BV54" cm="1">
        <f t="array" aca="1" ref="BV54" ca="1">INDEX(auto_DataFlat_Score,BR54)</f>
        <v>64.7</v>
      </c>
      <c r="BW54">
        <f ca="1">G54</f>
        <v>67.2</v>
      </c>
    </row>
    <row r="55" spans="2:75" x14ac:dyDescent="0.4">
      <c r="B55">
        <v>2</v>
      </c>
      <c r="C55" cm="1">
        <f t="array" aca="1" ref="C55" ca="1">INDEX(OFFSET(auto_ss_depth_2,0,1,300,1),B55)</f>
        <v>6</v>
      </c>
      <c r="D55" cm="1">
        <f t="array" aca="1" ref="D55" ca="1">IF(C55=0,0,INDEX(sys_DataFlat_LU_Grid_Groups,$C55,D$40))</f>
        <v>351</v>
      </c>
      <c r="E55" cm="1">
        <f t="array" aca="1" ref="E55" ca="1">IF(C55=0,0,INDEX(sys_DataFlat_LU_Grid_Groups,$C55,E$40))</f>
        <v>351</v>
      </c>
      <c r="F55">
        <v>2</v>
      </c>
      <c r="G55">
        <f t="shared" ca="1" si="13"/>
        <v>59.4</v>
      </c>
      <c r="H55" t="e" cm="1">
        <f t="array" ref="H55">IF($C$8=0,NA(),INDEX($P55:$BM55,$C$8))</f>
        <v>#N/A</v>
      </c>
      <c r="I55" cm="1">
        <f t="array" aca="1" ref="I55" ca="1">IF(C55=0,0,INDEX(sys_DataFlat_LU_Grid,$C55,$C$2))</f>
        <v>301</v>
      </c>
      <c r="J55" t="str" cm="1">
        <f t="array" aca="1" ref="J55" ca="1">IF(C55=0,"-",CONCATENATE(INDEX(auto_Series_NameNoNumber,C55),CHAR(10),CHAR(10)))</f>
        <v xml:space="preserve">Education
</v>
      </c>
      <c r="K55" cm="1">
        <f t="array" aca="1" ref="K55" ca="1">IF(C55=0,"-",INDEX(K$94:K$162,$C55))</f>
        <v>2.2999999999999998</v>
      </c>
      <c r="L55" t="str" cm="1">
        <f t="array" aca="1" ref="L55" ca="1">IF(C55=0,"-",INDEX(L$94:L$162,$C55))</f>
        <v>50</v>
      </c>
      <c r="M55">
        <f t="shared" ref="M55:M61" ca="1" si="16">IF(C55=0,"-",STANDARDIZE(K55,AVERAGE(P55:AA55),STDEV((P55:AA55))))</f>
        <v>-1.6210844428565165</v>
      </c>
      <c r="N55" cm="1">
        <f t="array" aca="1" ref="N55" ca="1">IF(C55=0,"-",INDEX($N$94:$N$162,$C55))</f>
        <v>1</v>
      </c>
      <c r="O55" t="e" cm="1">
        <f t="array" aca="1" ref="O55" ca="1">IF(C55=0,"-",INDEX(#REF!,$C55))</f>
        <v>#REF!</v>
      </c>
      <c r="P55" cm="1">
        <f t="array" aca="1" ref="P55" ca="1">IF($C55=0,"",IF(P$12&lt;&gt;$C$5,NA(),INDEX(auto_DataFlat_Score,INDEX(sys_DataFlat_LU_Grid,$C55,P$11))))</f>
        <v>2.2999999999999998</v>
      </c>
      <c r="Q55" cm="1">
        <f t="array" aca="1" ref="Q55" ca="1">IF($C55=0,"",IF(Q$12&lt;&gt;$C$5,NA(),INDEX(auto_DataFlat_Score,INDEX(sys_DataFlat_LU_Grid,$C55,Q$11))))</f>
        <v>12.1</v>
      </c>
      <c r="R55" cm="1">
        <f t="array" aca="1" ref="R55" ca="1">IF($C55=0,"",IF(R$12&lt;&gt;$C$5,NA(),INDEX(auto_DataFlat_Score,INDEX(sys_DataFlat_LU_Grid,$C55,R$11))))</f>
        <v>95.7</v>
      </c>
      <c r="S55" cm="1">
        <f t="array" aca="1" ref="S55" ca="1">IF($C55=0,"",IF(S$12&lt;&gt;$C$5,NA(),INDEX(auto_DataFlat_Score,INDEX(sys_DataFlat_LU_Grid,$C55,S$11))))</f>
        <v>87.6</v>
      </c>
      <c r="T55" cm="1">
        <f t="array" aca="1" ref="T55" ca="1">IF($C55=0,"",IF(T$12&lt;&gt;$C$5,NA(),INDEX(auto_DataFlat_Score,INDEX(sys_DataFlat_LU_Grid,$C55,T$11))))</f>
        <v>67.7</v>
      </c>
      <c r="U55" cm="1">
        <f t="array" aca="1" ref="U55" ca="1">IF($C55=0,"",IF(U$12&lt;&gt;$C$5,NA(),INDEX(auto_DataFlat_Score,INDEX(sys_DataFlat_LU_Grid,$C55,U$11))))</f>
        <v>68</v>
      </c>
      <c r="V55" cm="1">
        <f t="array" aca="1" ref="V55" ca="1">IF($C55=0,"",IF(V$12&lt;&gt;$C$5,NA(),INDEX(auto_DataFlat_Score,INDEX(sys_DataFlat_LU_Grid,$C55,V$11))))</f>
        <v>91.9</v>
      </c>
      <c r="W55" cm="1">
        <f t="array" aca="1" ref="W55" ca="1">IF($C55=0,"",IF(W$12&lt;&gt;$C$5,NA(),INDEX(auto_DataFlat_Score,INDEX(sys_DataFlat_LU_Grid,$C55,W$11))))</f>
        <v>27</v>
      </c>
      <c r="X55" cm="1">
        <f t="array" aca="1" ref="X55" ca="1">IF($C55=0,"",IF(X$12&lt;&gt;$C$5,NA(),INDEX(auto_DataFlat_Score,INDEX(sys_DataFlat_LU_Grid,$C55,X$11))))</f>
        <v>90</v>
      </c>
      <c r="Y55" cm="1">
        <f t="array" aca="1" ref="Y55" ca="1">IF($C55=0,"",IF(Y$12&lt;&gt;$C$5,NA(),INDEX(auto_DataFlat_Score,INDEX(sys_DataFlat_LU_Grid,$C55,Y$11))))</f>
        <v>33.6</v>
      </c>
      <c r="Z55" cm="1">
        <f t="array" aca="1" ref="Z55" ca="1">IF($C55=0,"",IF(Z$12&lt;&gt;$C$5,NA(),INDEX(auto_DataFlat_Score,INDEX(sys_DataFlat_LU_Grid,$C55,Z$11))))</f>
        <v>31.9</v>
      </c>
      <c r="AA55" cm="1">
        <f t="array" aca="1" ref="AA55" ca="1">IF($C55=0,"",IF(AA$12&lt;&gt;$C$5,NA(),INDEX(auto_DataFlat_Score,INDEX(sys_DataFlat_LU_Grid,$C55,AA$11))))</f>
        <v>65.8</v>
      </c>
      <c r="AB55" cm="1">
        <f t="array" aca="1" ref="AB55" ca="1">IF($C55=0,"",IF(AB$12&lt;&gt;$C$5,NA(),INDEX(auto_DataFlat_Score,INDEX(sys_DataFlat_LU_Grid,$C55,AB$11))))</f>
        <v>15.7</v>
      </c>
      <c r="AC55" cm="1">
        <f t="array" aca="1" ref="AC55" ca="1">IF($C55=0,"",IF(AC$12&lt;&gt;$C$5,NA(),INDEX(auto_DataFlat_Score,INDEX(sys_DataFlat_LU_Grid,$C55,AC$11))))</f>
        <v>36.799999999999997</v>
      </c>
      <c r="AD55" cm="1">
        <f t="array" aca="1" ref="AD55" ca="1">IF($C55=0,"",IF(AD$12&lt;&gt;$C$5,NA(),INDEX(auto_DataFlat_Score,INDEX(sys_DataFlat_LU_Grid,$C55,AD$11))))</f>
        <v>88.8</v>
      </c>
      <c r="AE55" cm="1">
        <f t="array" aca="1" ref="AE55" ca="1">IF($C55=0,"",IF(AE$12&lt;&gt;$C$5,NA(),INDEX(auto_DataFlat_Score,INDEX(sys_DataFlat_LU_Grid,$C55,AE$11))))</f>
        <v>66</v>
      </c>
      <c r="AF55" cm="1">
        <f t="array" aca="1" ref="AF55" ca="1">IF($C55=0,"",IF(AF$12&lt;&gt;$C$5,NA(),INDEX(auto_DataFlat_Score,INDEX(sys_DataFlat_LU_Grid,$C55,AF$11))))</f>
        <v>82.6</v>
      </c>
      <c r="AG55" cm="1">
        <f t="array" aca="1" ref="AG55" ca="1">IF($C55=0,"",IF(AG$12&lt;&gt;$C$5,NA(),INDEX(auto_DataFlat_Score,INDEX(sys_DataFlat_LU_Grid,$C55,AG$11))))</f>
        <v>71.099999999999994</v>
      </c>
      <c r="AH55" cm="1">
        <f t="array" aca="1" ref="AH55" ca="1">IF($C55=0,"",IF(AH$12&lt;&gt;$C$5,NA(),INDEX(auto_DataFlat_Score,INDEX(sys_DataFlat_LU_Grid,$C55,AH$11))))</f>
        <v>69.099999999999994</v>
      </c>
      <c r="AI55" cm="1">
        <f t="array" aca="1" ref="AI55" ca="1">IF($C55=0,"",IF(AI$12&lt;&gt;$C$5,NA(),INDEX(auto_DataFlat_Score,INDEX(sys_DataFlat_LU_Grid,$C55,AI$11))))</f>
        <v>86.7</v>
      </c>
      <c r="AJ55" cm="1">
        <f t="array" aca="1" ref="AJ55" ca="1">IF($C55=0,"",IF(AJ$12&lt;&gt;$C$5,NA(),INDEX(auto_DataFlat_Score,INDEX(sys_DataFlat_LU_Grid,$C55,AJ$11))))</f>
        <v>5.8</v>
      </c>
      <c r="AK55" cm="1">
        <f t="array" aca="1" ref="AK55" ca="1">IF($C55=0,"",IF(AK$12&lt;&gt;$C$5,NA(),INDEX(auto_DataFlat_Score,INDEX(sys_DataFlat_LU_Grid,$C55,AK$11))))</f>
        <v>6.1</v>
      </c>
      <c r="AL55" cm="1">
        <f t="array" aca="1" ref="AL55" ca="1">IF($C55=0,"",IF(AL$12&lt;&gt;$C$5,NA(),INDEX(auto_DataFlat_Score,INDEX(sys_DataFlat_LU_Grid,$C55,AL$11))))</f>
        <v>15.8</v>
      </c>
      <c r="AM55" cm="1">
        <f t="array" aca="1" ref="AM55" ca="1">IF($C55=0,"",IF(AM$12&lt;&gt;$C$5,NA(),INDEX(auto_DataFlat_Score,INDEX(sys_DataFlat_LU_Grid,$C55,AM$11))))</f>
        <v>15.6</v>
      </c>
      <c r="AN55" cm="1">
        <f t="array" aca="1" ref="AN55" ca="1">IF($C55=0,"",IF(AN$12&lt;&gt;$C$5,NA(),INDEX(auto_DataFlat_Score,INDEX(sys_DataFlat_LU_Grid,$C55,AN$11))))</f>
        <v>72</v>
      </c>
      <c r="AO55" cm="1">
        <f t="array" aca="1" ref="AO55" ca="1">IF($C55=0,"",IF(AO$12&lt;&gt;$C$5,NA(),INDEX(auto_DataFlat_Score,INDEX(sys_DataFlat_LU_Grid,$C55,AO$11))))</f>
        <v>90</v>
      </c>
      <c r="AP55" cm="1">
        <f t="array" aca="1" ref="AP55" ca="1">IF($C55=0,"",IF(AP$12&lt;&gt;$C$5,NA(),INDEX(auto_DataFlat_Score,INDEX(sys_DataFlat_LU_Grid,$C55,AP$11))))</f>
        <v>76.7</v>
      </c>
      <c r="AQ55" cm="1">
        <f t="array" aca="1" ref="AQ55" ca="1">IF($C55=0,"",IF(AQ$12&lt;&gt;$C$5,NA(),INDEX(auto_DataFlat_Score,INDEX(sys_DataFlat_LU_Grid,$C55,AQ$11))))</f>
        <v>15.3</v>
      </c>
      <c r="AR55" cm="1">
        <f t="array" aca="1" ref="AR55" ca="1">IF($C55=0,"",IF(AR$12&lt;&gt;$C$5,NA(),INDEX(auto_DataFlat_Score,INDEX(sys_DataFlat_LU_Grid,$C55,AR$11))))</f>
        <v>90.1</v>
      </c>
      <c r="AS55" cm="1">
        <f t="array" aca="1" ref="AS55" ca="1">IF($C55=0,"",IF(AS$12&lt;&gt;$C$5,NA(),INDEX(auto_DataFlat_Score,INDEX(sys_DataFlat_LU_Grid,$C55,AS$11))))</f>
        <v>68.2</v>
      </c>
      <c r="AT55" cm="1">
        <f t="array" aca="1" ref="AT55" ca="1">IF($C55=0,"",IF(AT$12&lt;&gt;$C$5,NA(),INDEX(auto_DataFlat_Score,INDEX(sys_DataFlat_LU_Grid,$C55,AT$11))))</f>
        <v>46.1</v>
      </c>
      <c r="AU55" cm="1">
        <f t="array" aca="1" ref="AU55" ca="1">IF($C55=0,"",IF(AU$12&lt;&gt;$C$5,NA(),INDEX(auto_DataFlat_Score,INDEX(sys_DataFlat_LU_Grid,$C55,AU$11))))</f>
        <v>15.8</v>
      </c>
      <c r="AV55" cm="1">
        <f t="array" aca="1" ref="AV55" ca="1">IF($C55=0,"",IF(AV$12&lt;&gt;$C$5,NA(),INDEX(auto_DataFlat_Score,INDEX(sys_DataFlat_LU_Grid,$C55,AV$11))))</f>
        <v>14.7</v>
      </c>
      <c r="AW55" cm="1">
        <f t="array" aca="1" ref="AW55" ca="1">IF($C55=0,"",IF(AW$12&lt;&gt;$C$5,NA(),INDEX(auto_DataFlat_Score,INDEX(sys_DataFlat_LU_Grid,$C55,AW$11))))</f>
        <v>95.7</v>
      </c>
      <c r="AX55" cm="1">
        <f t="array" aca="1" ref="AX55" ca="1">IF($C55=0,"",IF(AX$12&lt;&gt;$C$5,NA(),INDEX(auto_DataFlat_Score,INDEX(sys_DataFlat_LU_Grid,$C55,AX$11))))</f>
        <v>92.6</v>
      </c>
      <c r="AY55" cm="1">
        <f t="array" aca="1" ref="AY55" ca="1">IF($C55=0,"",IF(AY$12&lt;&gt;$C$5,NA(),INDEX(auto_DataFlat_Score,INDEX(sys_DataFlat_LU_Grid,$C55,AY$11))))</f>
        <v>86.1</v>
      </c>
      <c r="AZ55" cm="1">
        <f t="array" aca="1" ref="AZ55" ca="1">IF($C55=0,"",IF(AZ$12&lt;&gt;$C$5,NA(),INDEX(auto_DataFlat_Score,INDEX(sys_DataFlat_LU_Grid,$C55,AZ$11))))</f>
        <v>55.8</v>
      </c>
      <c r="BA55" cm="1">
        <f t="array" aca="1" ref="BA55" ca="1">IF($C55=0,"",IF(BA$12&lt;&gt;$C$5,NA(),INDEX(auto_DataFlat_Score,INDEX(sys_DataFlat_LU_Grid,$C55,BA$11))))</f>
        <v>31.2</v>
      </c>
      <c r="BB55" cm="1">
        <f t="array" aca="1" ref="BB55" ca="1">IF($C55=0,"",IF(BB$12&lt;&gt;$C$5,NA(),INDEX(auto_DataFlat_Score,INDEX(sys_DataFlat_LU_Grid,$C55,BB$11))))</f>
        <v>76.3</v>
      </c>
      <c r="BC55" cm="1">
        <f t="array" aca="1" ref="BC55" ca="1">IF($C55=0,"",IF(BC$12&lt;&gt;$C$5,NA(),INDEX(auto_DataFlat_Score,INDEX(sys_DataFlat_LU_Grid,$C55,BC$11))))</f>
        <v>95.7</v>
      </c>
      <c r="BD55" cm="1">
        <f t="array" aca="1" ref="BD55" ca="1">IF($C55=0,"",IF(BD$12&lt;&gt;$C$5,NA(),INDEX(auto_DataFlat_Score,INDEX(sys_DataFlat_LU_Grid,$C55,BD$11))))</f>
        <v>26.8</v>
      </c>
      <c r="BE55" cm="1">
        <f t="array" aca="1" ref="BE55" ca="1">IF($C55=0,"",IF(BE$12&lt;&gt;$C$5,NA(),INDEX(auto_DataFlat_Score,INDEX(sys_DataFlat_LU_Grid,$C55,BE$11))))</f>
        <v>88.2</v>
      </c>
      <c r="BF55" cm="1">
        <f t="array" aca="1" ref="BF55" ca="1">IF($C55=0,"",IF(BF$12&lt;&gt;$C$5,NA(),INDEX(auto_DataFlat_Score,INDEX(sys_DataFlat_LU_Grid,$C55,BF$11))))</f>
        <v>68</v>
      </c>
      <c r="BG55" cm="1">
        <f t="array" aca="1" ref="BG55" ca="1">IF($C55=0,"",IF(BG$12&lt;&gt;$C$5,NA(),INDEX(auto_DataFlat_Score,INDEX(sys_DataFlat_LU_Grid,$C55,BG$11))))</f>
        <v>87.3</v>
      </c>
      <c r="BH55" cm="1">
        <f t="array" aca="1" ref="BH55" ca="1">IF($C55=0,"",IF(BH$12&lt;&gt;$C$5,NA(),INDEX(auto_DataFlat_Score,INDEX(sys_DataFlat_LU_Grid,$C55,BH$11))))</f>
        <v>90.1</v>
      </c>
      <c r="BI55" cm="1">
        <f t="array" aca="1" ref="BI55" ca="1">IF($C55=0,"",IF(BI$12&lt;&gt;$C$5,NA(),INDEX(auto_DataFlat_Score,INDEX(sys_DataFlat_LU_Grid,$C55,BI$11))))</f>
        <v>92.6</v>
      </c>
      <c r="BJ55" cm="1">
        <f t="array" aca="1" ref="BJ55" ca="1">IF($C55=0,"",IF(BJ$12&lt;&gt;$C$5,NA(),INDEX(auto_DataFlat_Score,INDEX(sys_DataFlat_LU_Grid,$C55,BJ$11))))</f>
        <v>92.3</v>
      </c>
      <c r="BK55" cm="1">
        <f t="array" aca="1" ref="BK55" ca="1">IF($C55=0,"",IF(BK$12&lt;&gt;$C$5,NA(),INDEX(auto_DataFlat_Score,INDEX(sys_DataFlat_LU_Grid,$C55,BK$11))))</f>
        <v>90.4</v>
      </c>
      <c r="BL55" cm="1">
        <f t="array" aca="1" ref="BL55" ca="1">IF($C55=0,"",IF(BL$12&lt;&gt;$C$5,NA(),INDEX(auto_DataFlat_Score,INDEX(sys_DataFlat_LU_Grid,$C55,BL$11))))</f>
        <v>68</v>
      </c>
      <c r="BM55" cm="1">
        <f t="array" aca="1" ref="BM55" ca="1">IF($C55=0,"",IF(BM$12&lt;&gt;$C$5,NA(),INDEX(auto_DataFlat_Score,INDEX(sys_DataFlat_LU_Grid,$C55,BM$11))))</f>
        <v>11.4</v>
      </c>
      <c r="BO55">
        <f t="shared" ca="1" si="14"/>
        <v>2.2999999999999998</v>
      </c>
      <c r="BP55">
        <f t="shared" ca="1" si="15"/>
        <v>95.7</v>
      </c>
      <c r="BQ55" cm="1">
        <f t="array" aca="1" ref="BQ55" ca="1">IF(C55=0,0,INDEX(sys_DataFlat_LU_Grid_Groups,$C55,BQ$12))</f>
        <v>356</v>
      </c>
      <c r="BR55" cm="1">
        <f t="array" aca="1" ref="BR55" ca="1">IF(D55=0,0,INDEX(sys_DataFlat_LU_Grid_Groups,$C55,BR$12))</f>
        <v>359</v>
      </c>
      <c r="BU55" cm="1">
        <f t="array" aca="1" ref="BU55" ca="1">INDEX(auto_DataFlat_Score,BQ55)</f>
        <v>30.5</v>
      </c>
      <c r="BV55" cm="1">
        <f t="array" aca="1" ref="BV55" ca="1">INDEX(auto_DataFlat_Score,BR55)</f>
        <v>60.6</v>
      </c>
      <c r="BW55">
        <f t="shared" ref="BW55:BW58" ca="1" si="17">G55</f>
        <v>59.4</v>
      </c>
    </row>
    <row r="56" spans="2:75" x14ac:dyDescent="0.4">
      <c r="B56">
        <v>3</v>
      </c>
      <c r="C56" cm="1">
        <f t="array" aca="1" ref="C56" ca="1">INDEX(OFFSET(auto_ss_depth_2,0,1,300,1),B56)</f>
        <v>9</v>
      </c>
      <c r="D56" cm="1">
        <f t="array" aca="1" ref="D56" ca="1">IF(C56=0,0,INDEX(sys_DataFlat_LU_Grid_Groups,$C56,D$40))</f>
        <v>531</v>
      </c>
      <c r="E56" cm="1">
        <f t="array" aca="1" ref="E56" ca="1">IF(C56=0,0,INDEX(sys_DataFlat_LU_Grid_Groups,$C56,E$40))</f>
        <v>531</v>
      </c>
      <c r="F56">
        <v>3</v>
      </c>
      <c r="G56">
        <f t="shared" ca="1" si="13"/>
        <v>85.2</v>
      </c>
      <c r="H56" t="e" cm="1">
        <f t="array" ref="H56">IF($C$8=0,NA(),INDEX($P56:$BM56,$C$8))</f>
        <v>#N/A</v>
      </c>
      <c r="I56" cm="1">
        <f t="array" aca="1" ref="I56" ca="1">IF(C56=0,0,INDEX(sys_DataFlat_LU_Grid,$C56,$C$2))</f>
        <v>481</v>
      </c>
      <c r="J56" t="str" cm="1">
        <f t="array" aca="1" ref="J56" ca="1">IF(C56=0,"-",CONCATENATE(INDEX(auto_Series_NameNoNumber,C56),CHAR(10),CHAR(10)))</f>
        <v xml:space="preserve">Employment
</v>
      </c>
      <c r="K56" cm="1">
        <f t="array" aca="1" ref="K56" ca="1">IF(C56=0,"-",INDEX(K$94:K$162,$C56))</f>
        <v>98</v>
      </c>
      <c r="L56" t="str" cm="1">
        <f t="array" aca="1" ref="L56" ca="1">IF(C56=0,"-",INDEX(L$94:L$162,$C56))</f>
        <v>19</v>
      </c>
      <c r="M56">
        <f t="shared" ca="1" si="16"/>
        <v>0.7069459707536595</v>
      </c>
      <c r="N56" cm="1">
        <f t="array" aca="1" ref="N56" ca="1">IF(C56=0,"-",INDEX($N$94:$N$162,$C56))</f>
        <v>5</v>
      </c>
      <c r="O56" t="e" cm="1">
        <f t="array" aca="1" ref="O56" ca="1">IF(C56=0,"-",INDEX(#REF!,$C56))</f>
        <v>#REF!</v>
      </c>
      <c r="P56" cm="1">
        <f t="array" aca="1" ref="P56" ca="1">IF($C56=0,"",IF(P$12&lt;&gt;$C$5,NA(),INDEX(auto_DataFlat_Score,INDEX(sys_DataFlat_LU_Grid,$C56,P$11))))</f>
        <v>98</v>
      </c>
      <c r="Q56" cm="1">
        <f t="array" aca="1" ref="Q56" ca="1">IF($C56=0,"",IF(Q$12&lt;&gt;$C$5,NA(),INDEX(auto_DataFlat_Score,INDEX(sys_DataFlat_LU_Grid,$C56,Q$11))))</f>
        <v>94.2</v>
      </c>
      <c r="R56" cm="1">
        <f t="array" aca="1" ref="R56" ca="1">IF($C56=0,"",IF(R$12&lt;&gt;$C$5,NA(),INDEX(auto_DataFlat_Score,INDEX(sys_DataFlat_LU_Grid,$C56,R$11))))</f>
        <v>98.2</v>
      </c>
      <c r="S56" cm="1">
        <f t="array" aca="1" ref="S56" ca="1">IF($C56=0,"",IF(S$12&lt;&gt;$C$5,NA(),INDEX(auto_DataFlat_Score,INDEX(sys_DataFlat_LU_Grid,$C56,S$11))))</f>
        <v>98.4</v>
      </c>
      <c r="T56" cm="1">
        <f t="array" aca="1" ref="T56" ca="1">IF($C56=0,"",IF(T$12&lt;&gt;$C$5,NA(),INDEX(auto_DataFlat_Score,INDEX(sys_DataFlat_LU_Grid,$C56,T$11))))</f>
        <v>49.6</v>
      </c>
      <c r="U56" cm="1">
        <f t="array" aca="1" ref="U56" ca="1">IF($C56=0,"",IF(U$12&lt;&gt;$C$5,NA(),INDEX(auto_DataFlat_Score,INDEX(sys_DataFlat_LU_Grid,$C56,U$11))))</f>
        <v>97.6</v>
      </c>
      <c r="V56" cm="1">
        <f t="array" aca="1" ref="V56" ca="1">IF($C56=0,"",IF(V$12&lt;&gt;$C$5,NA(),INDEX(auto_DataFlat_Score,INDEX(sys_DataFlat_LU_Grid,$C56,V$11))))</f>
        <v>98.5</v>
      </c>
      <c r="W56" cm="1">
        <f t="array" aca="1" ref="W56" ca="1">IF($C56=0,"",IF(W$12&lt;&gt;$C$5,NA(),INDEX(auto_DataFlat_Score,INDEX(sys_DataFlat_LU_Grid,$C56,W$11))))</f>
        <v>94.6</v>
      </c>
      <c r="X56" cm="1">
        <f t="array" aca="1" ref="X56" ca="1">IF($C56=0,"",IF(X$12&lt;&gt;$C$5,NA(),INDEX(auto_DataFlat_Score,INDEX(sys_DataFlat_LU_Grid,$C56,X$11))))</f>
        <v>98.3</v>
      </c>
      <c r="Y56" cm="1">
        <f t="array" aca="1" ref="Y56" ca="1">IF($C56=0,"",IF(Y$12&lt;&gt;$C$5,NA(),INDEX(auto_DataFlat_Score,INDEX(sys_DataFlat_LU_Grid,$C56,Y$11))))</f>
        <v>46.5</v>
      </c>
      <c r="Z56" cm="1">
        <f t="array" aca="1" ref="Z56" ca="1">IF($C56=0,"",IF(Z$12&lt;&gt;$C$5,NA(),INDEX(auto_DataFlat_Score,INDEX(sys_DataFlat_LU_Grid,$C56,Z$11))))</f>
        <v>46.6</v>
      </c>
      <c r="AA56" cm="1">
        <f t="array" aca="1" ref="AA56" ca="1">IF($C56=0,"",IF(AA$12&lt;&gt;$C$5,NA(),INDEX(auto_DataFlat_Score,INDEX(sys_DataFlat_LU_Grid,$C56,AA$11))))</f>
        <v>46.3</v>
      </c>
      <c r="AB56" cm="1">
        <f t="array" aca="1" ref="AB56" ca="1">IF($C56=0,"",IF(AB$12&lt;&gt;$C$5,NA(),INDEX(auto_DataFlat_Score,INDEX(sys_DataFlat_LU_Grid,$C56,AB$11))))</f>
        <v>47.7</v>
      </c>
      <c r="AC56" cm="1">
        <f t="array" aca="1" ref="AC56" ca="1">IF($C56=0,"",IF(AC$12&lt;&gt;$C$5,NA(),INDEX(auto_DataFlat_Score,INDEX(sys_DataFlat_LU_Grid,$C56,AC$11))))</f>
        <v>98.6</v>
      </c>
      <c r="AD56" cm="1">
        <f t="array" aca="1" ref="AD56" ca="1">IF($C56=0,"",IF(AD$12&lt;&gt;$C$5,NA(),INDEX(auto_DataFlat_Score,INDEX(sys_DataFlat_LU_Grid,$C56,AD$11))))</f>
        <v>96.6</v>
      </c>
      <c r="AE56" cm="1">
        <f t="array" aca="1" ref="AE56" ca="1">IF($C56=0,"",IF(AE$12&lt;&gt;$C$5,NA(),INDEX(auto_DataFlat_Score,INDEX(sys_DataFlat_LU_Grid,$C56,AE$11))))</f>
        <v>99</v>
      </c>
      <c r="AF56" cm="1">
        <f t="array" aca="1" ref="AF56" ca="1">IF($C56=0,"",IF(AF$12&lt;&gt;$C$5,NA(),INDEX(auto_DataFlat_Score,INDEX(sys_DataFlat_LU_Grid,$C56,AF$11))))</f>
        <v>97.5</v>
      </c>
      <c r="AG56" cm="1">
        <f t="array" aca="1" ref="AG56" ca="1">IF($C56=0,"",IF(AG$12&lt;&gt;$C$5,NA(),INDEX(auto_DataFlat_Score,INDEX(sys_DataFlat_LU_Grid,$C56,AG$11))))</f>
        <v>95</v>
      </c>
      <c r="AH56" cm="1">
        <f t="array" aca="1" ref="AH56" ca="1">IF($C56=0,"",IF(AH$12&lt;&gt;$C$5,NA(),INDEX(auto_DataFlat_Score,INDEX(sys_DataFlat_LU_Grid,$C56,AH$11))))</f>
        <v>98.2</v>
      </c>
      <c r="AI56" cm="1">
        <f t="array" aca="1" ref="AI56" ca="1">IF($C56=0,"",IF(AI$12&lt;&gt;$C$5,NA(),INDEX(auto_DataFlat_Score,INDEX(sys_DataFlat_LU_Grid,$C56,AI$11))))</f>
        <v>85.1</v>
      </c>
      <c r="AJ56" cm="1">
        <f t="array" aca="1" ref="AJ56" ca="1">IF($C56=0,"",IF(AJ$12&lt;&gt;$C$5,NA(),INDEX(auto_DataFlat_Score,INDEX(sys_DataFlat_LU_Grid,$C56,AJ$11))))</f>
        <v>96.8</v>
      </c>
      <c r="AK56" cm="1">
        <f t="array" aca="1" ref="AK56" ca="1">IF($C56=0,"",IF(AK$12&lt;&gt;$C$5,NA(),INDEX(auto_DataFlat_Score,INDEX(sys_DataFlat_LU_Grid,$C56,AK$11))))</f>
        <v>44.4</v>
      </c>
      <c r="AL56" cm="1">
        <f t="array" aca="1" ref="AL56" ca="1">IF($C56=0,"",IF(AL$12&lt;&gt;$C$5,NA(),INDEX(auto_DataFlat_Score,INDEX(sys_DataFlat_LU_Grid,$C56,AL$11))))</f>
        <v>46.3</v>
      </c>
      <c r="AM56" cm="1">
        <f t="array" aca="1" ref="AM56" ca="1">IF($C56=0,"",IF(AM$12&lt;&gt;$C$5,NA(),INDEX(auto_DataFlat_Score,INDEX(sys_DataFlat_LU_Grid,$C56,AM$11))))</f>
        <v>48.8</v>
      </c>
      <c r="AN56" cm="1">
        <f t="array" aca="1" ref="AN56" ca="1">IF($C56=0,"",IF(AN$12&lt;&gt;$C$5,NA(),INDEX(auto_DataFlat_Score,INDEX(sys_DataFlat_LU_Grid,$C56,AN$11))))</f>
        <v>97.1</v>
      </c>
      <c r="AO56" cm="1">
        <f t="array" aca="1" ref="AO56" ca="1">IF($C56=0,"",IF(AO$12&lt;&gt;$C$5,NA(),INDEX(auto_DataFlat_Score,INDEX(sys_DataFlat_LU_Grid,$C56,AO$11))))</f>
        <v>98.2</v>
      </c>
      <c r="AP56" cm="1">
        <f t="array" aca="1" ref="AP56" ca="1">IF($C56=0,"",IF(AP$12&lt;&gt;$C$5,NA(),INDEX(auto_DataFlat_Score,INDEX(sys_DataFlat_LU_Grid,$C56,AP$11))))</f>
        <v>93.5</v>
      </c>
      <c r="AQ56" cm="1">
        <f t="array" aca="1" ref="AQ56" ca="1">IF($C56=0,"",IF(AQ$12&lt;&gt;$C$5,NA(),INDEX(auto_DataFlat_Score,INDEX(sys_DataFlat_LU_Grid,$C56,AQ$11))))</f>
        <v>48.9</v>
      </c>
      <c r="AR56" cm="1">
        <f t="array" aca="1" ref="AR56" ca="1">IF($C56=0,"",IF(AR$12&lt;&gt;$C$5,NA(),INDEX(auto_DataFlat_Score,INDEX(sys_DataFlat_LU_Grid,$C56,AR$11))))</f>
        <v>98.2</v>
      </c>
      <c r="AS56" cm="1">
        <f t="array" aca="1" ref="AS56" ca="1">IF($C56=0,"",IF(AS$12&lt;&gt;$C$5,NA(),INDEX(auto_DataFlat_Score,INDEX(sys_DataFlat_LU_Grid,$C56,AS$11))))</f>
        <v>98.3</v>
      </c>
      <c r="AT56" cm="1">
        <f t="array" aca="1" ref="AT56" ca="1">IF($C56=0,"",IF(AT$12&lt;&gt;$C$5,NA(),INDEX(auto_DataFlat_Score,INDEX(sys_DataFlat_LU_Grid,$C56,AT$11))))</f>
        <v>97.6</v>
      </c>
      <c r="AU56" cm="1">
        <f t="array" aca="1" ref="AU56" ca="1">IF($C56=0,"",IF(AU$12&lt;&gt;$C$5,NA(),INDEX(auto_DataFlat_Score,INDEX(sys_DataFlat_LU_Grid,$C56,AU$11))))</f>
        <v>46.3</v>
      </c>
      <c r="AV56" cm="1">
        <f t="array" aca="1" ref="AV56" ca="1">IF($C56=0,"",IF(AV$12&lt;&gt;$C$5,NA(),INDEX(auto_DataFlat_Score,INDEX(sys_DataFlat_LU_Grid,$C56,AV$11))))</f>
        <v>47.3</v>
      </c>
      <c r="AW56" cm="1">
        <f t="array" aca="1" ref="AW56" ca="1">IF($C56=0,"",IF(AW$12&lt;&gt;$C$5,NA(),INDEX(auto_DataFlat_Score,INDEX(sys_DataFlat_LU_Grid,$C56,AW$11))))</f>
        <v>98.2</v>
      </c>
      <c r="AX56" cm="1">
        <f t="array" aca="1" ref="AX56" ca="1">IF($C56=0,"",IF(AX$12&lt;&gt;$C$5,NA(),INDEX(auto_DataFlat_Score,INDEX(sys_DataFlat_LU_Grid,$C56,AX$11))))</f>
        <v>98.7</v>
      </c>
      <c r="AY56" cm="1">
        <f t="array" aca="1" ref="AY56" ca="1">IF($C56=0,"",IF(AY$12&lt;&gt;$C$5,NA(),INDEX(auto_DataFlat_Score,INDEX(sys_DataFlat_LU_Grid,$C56,AY$11))))</f>
        <v>96.3</v>
      </c>
      <c r="AZ56" cm="1">
        <f t="array" aca="1" ref="AZ56" ca="1">IF($C56=0,"",IF(AZ$12&lt;&gt;$C$5,NA(),INDEX(auto_DataFlat_Score,INDEX(sys_DataFlat_LU_Grid,$C56,AZ$11))))</f>
        <v>99.8</v>
      </c>
      <c r="BA56" cm="1">
        <f t="array" aca="1" ref="BA56" ca="1">IF($C56=0,"",IF(BA$12&lt;&gt;$C$5,NA(),INDEX(auto_DataFlat_Score,INDEX(sys_DataFlat_LU_Grid,$C56,BA$11))))</f>
        <v>97.2</v>
      </c>
      <c r="BB56" cm="1">
        <f t="array" aca="1" ref="BB56" ca="1">IF($C56=0,"",IF(BB$12&lt;&gt;$C$5,NA(),INDEX(auto_DataFlat_Score,INDEX(sys_DataFlat_LU_Grid,$C56,BB$11))))</f>
        <v>96</v>
      </c>
      <c r="BC56" cm="1">
        <f t="array" aca="1" ref="BC56" ca="1">IF($C56=0,"",IF(BC$12&lt;&gt;$C$5,NA(),INDEX(auto_DataFlat_Score,INDEX(sys_DataFlat_LU_Grid,$C56,BC$11))))</f>
        <v>98.2</v>
      </c>
      <c r="BD56" cm="1">
        <f t="array" aca="1" ref="BD56" ca="1">IF($C56=0,"",IF(BD$12&lt;&gt;$C$5,NA(),INDEX(auto_DataFlat_Score,INDEX(sys_DataFlat_LU_Grid,$C56,BD$11))))</f>
        <v>95.3</v>
      </c>
      <c r="BE56" cm="1">
        <f t="array" aca="1" ref="BE56" ca="1">IF($C56=0,"",IF(BE$12&lt;&gt;$C$5,NA(),INDEX(auto_DataFlat_Score,INDEX(sys_DataFlat_LU_Grid,$C56,BE$11))))</f>
        <v>98.6</v>
      </c>
      <c r="BF56" cm="1">
        <f t="array" aca="1" ref="BF56" ca="1">IF($C56=0,"",IF(BF$12&lt;&gt;$C$5,NA(),INDEX(auto_DataFlat_Score,INDEX(sys_DataFlat_LU_Grid,$C56,BF$11))))</f>
        <v>97.6</v>
      </c>
      <c r="BG56" cm="1">
        <f t="array" aca="1" ref="BG56" ca="1">IF($C56=0,"",IF(BG$12&lt;&gt;$C$5,NA(),INDEX(auto_DataFlat_Score,INDEX(sys_DataFlat_LU_Grid,$C56,BG$11))))</f>
        <v>98.6</v>
      </c>
      <c r="BH56" cm="1">
        <f t="array" aca="1" ref="BH56" ca="1">IF($C56=0,"",IF(BH$12&lt;&gt;$C$5,NA(),INDEX(auto_DataFlat_Score,INDEX(sys_DataFlat_LU_Grid,$C56,BH$11))))</f>
        <v>98.2</v>
      </c>
      <c r="BI56" cm="1">
        <f t="array" aca="1" ref="BI56" ca="1">IF($C56=0,"",IF(BI$12&lt;&gt;$C$5,NA(),INDEX(auto_DataFlat_Score,INDEX(sys_DataFlat_LU_Grid,$C56,BI$11))))</f>
        <v>98.7</v>
      </c>
      <c r="BJ56" cm="1">
        <f t="array" aca="1" ref="BJ56" ca="1">IF($C56=0,"",IF(BJ$12&lt;&gt;$C$5,NA(),INDEX(auto_DataFlat_Score,INDEX(sys_DataFlat_LU_Grid,$C56,BJ$11))))</f>
        <v>97.4</v>
      </c>
      <c r="BK56" cm="1">
        <f t="array" aca="1" ref="BK56" ca="1">IF($C56=0,"",IF(BK$12&lt;&gt;$C$5,NA(),INDEX(auto_DataFlat_Score,INDEX(sys_DataFlat_LU_Grid,$C56,BK$11))))</f>
        <v>97.6</v>
      </c>
      <c r="BL56" cm="1">
        <f t="array" aca="1" ref="BL56" ca="1">IF($C56=0,"",IF(BL$12&lt;&gt;$C$5,NA(),INDEX(auto_DataFlat_Score,INDEX(sys_DataFlat_LU_Grid,$C56,BL$11))))</f>
        <v>97.6</v>
      </c>
      <c r="BM56" cm="1">
        <f t="array" aca="1" ref="BM56" ca="1">IF($C56=0,"",IF(BM$12&lt;&gt;$C$5,NA(),INDEX(auto_DataFlat_Score,INDEX(sys_DataFlat_LU_Grid,$C56,BM$11))))</f>
        <v>49.3</v>
      </c>
      <c r="BO56">
        <f t="shared" ca="1" si="14"/>
        <v>44.4</v>
      </c>
      <c r="BP56">
        <f t="shared" ca="1" si="15"/>
        <v>99.8</v>
      </c>
      <c r="BQ56" cm="1">
        <f t="array" aca="1" ref="BQ56" ca="1">IF(C56=0,0,INDEX(sys_DataFlat_LU_Grid_Groups,$C56,BQ$12))</f>
        <v>536</v>
      </c>
      <c r="BR56" cm="1">
        <f t="array" aca="1" ref="BR56" ca="1">IF(D56=0,0,INDEX(sys_DataFlat_LU_Grid_Groups,$C56,BR$12))</f>
        <v>539</v>
      </c>
      <c r="BU56" cm="1">
        <f t="array" aca="1" ref="BU56" ca="1">INDEX(auto_DataFlat_Score,BQ56)</f>
        <v>57.2</v>
      </c>
      <c r="BV56" cm="1">
        <f t="array" aca="1" ref="BV56" ca="1">INDEX(auto_DataFlat_Score,BR56)</f>
        <v>91.5</v>
      </c>
      <c r="BW56">
        <f t="shared" ca="1" si="17"/>
        <v>85.2</v>
      </c>
    </row>
    <row r="57" spans="2:75" x14ac:dyDescent="0.4">
      <c r="B57">
        <v>4</v>
      </c>
      <c r="C57" cm="1">
        <f t="array" aca="1" ref="C57" ca="1">INDEX(OFFSET(auto_ss_depth_2,0,1,300,1),B57)</f>
        <v>12</v>
      </c>
      <c r="D57" cm="1">
        <f t="array" aca="1" ref="D57" ca="1">IF(C57=0,0,INDEX(sys_DataFlat_LU_Grid_Groups,$C57,D$40))</f>
        <v>711</v>
      </c>
      <c r="E57" cm="1">
        <f t="array" aca="1" ref="E57" ca="1">IF(C57=0,0,INDEX(sys_DataFlat_LU_Grid_Groups,$C57,E$40))</f>
        <v>711</v>
      </c>
      <c r="F57">
        <v>4</v>
      </c>
      <c r="G57">
        <f t="shared" ca="1" si="13"/>
        <v>63.3</v>
      </c>
      <c r="H57" t="e" cm="1">
        <f t="array" ref="H57">IF($C$8=0,NA(),INDEX($P57:$BM57,$C$8))</f>
        <v>#N/A</v>
      </c>
      <c r="I57" cm="1">
        <f t="array" aca="1" ref="I57" ca="1">IF(C57=0,0,INDEX(sys_DataFlat_LU_Grid,$C57,$C$2))</f>
        <v>661</v>
      </c>
      <c r="J57" t="str" cm="1">
        <f t="array" aca="1" ref="J57" ca="1">IF(C57=0,"-",CONCATENATE(INDEX(auto_Series_NameNoNumber,C57),CHAR(10),CHAR(10)))</f>
        <v xml:space="preserve">Access to healthcare
</v>
      </c>
      <c r="K57" cm="1">
        <f t="array" aca="1" ref="K57" ca="1">IF(C57=0,"-",INDEX(K$94:K$162,$C57))</f>
        <v>52.5</v>
      </c>
      <c r="L57" t="str" cm="1">
        <f t="array" aca="1" ref="L57" ca="1">IF(C57=0,"-",INDEX(L$94:L$162,$C57))</f>
        <v>44</v>
      </c>
      <c r="M57">
        <f t="shared" ca="1" si="16"/>
        <v>-1.4847453628268414</v>
      </c>
      <c r="N57" cm="1">
        <f t="array" aca="1" ref="N57" ca="1">IF(C57=0,"-",INDEX($N$94:$N$162,$C57))</f>
        <v>3</v>
      </c>
      <c r="O57" t="e" cm="1">
        <f t="array" aca="1" ref="O57" ca="1">IF(C57=0,"-",INDEX(#REF!,$C57))</f>
        <v>#REF!</v>
      </c>
      <c r="P57" cm="1">
        <f t="array" aca="1" ref="P57" ca="1">IF($C57=0,"",IF(P$12&lt;&gt;$C$5,NA(),INDEX(auto_DataFlat_Score,INDEX(sys_DataFlat_LU_Grid,$C57,P$11))))</f>
        <v>52.5</v>
      </c>
      <c r="Q57" cm="1">
        <f t="array" aca="1" ref="Q57" ca="1">IF($C57=0,"",IF(Q$12&lt;&gt;$C$5,NA(),INDEX(auto_DataFlat_Score,INDEX(sys_DataFlat_LU_Grid,$C57,Q$11))))</f>
        <v>60.7</v>
      </c>
      <c r="R57" cm="1">
        <f t="array" aca="1" ref="R57" ca="1">IF($C57=0,"",IF(R$12&lt;&gt;$C$5,NA(),INDEX(auto_DataFlat_Score,INDEX(sys_DataFlat_LU_Grid,$C57,R$11))))</f>
        <v>69.7</v>
      </c>
      <c r="S57" cm="1">
        <f t="array" aca="1" ref="S57" ca="1">IF($C57=0,"",IF(S$12&lt;&gt;$C$5,NA(),INDEX(auto_DataFlat_Score,INDEX(sys_DataFlat_LU_Grid,$C57,S$11))))</f>
        <v>70.3</v>
      </c>
      <c r="T57" cm="1">
        <f t="array" aca="1" ref="T57" ca="1">IF($C57=0,"",IF(T$12&lt;&gt;$C$5,NA(),INDEX(auto_DataFlat_Score,INDEX(sys_DataFlat_LU_Grid,$C57,T$11))))</f>
        <v>67.2</v>
      </c>
      <c r="U57" cm="1">
        <f t="array" aca="1" ref="U57" ca="1">IF($C57=0,"",IF(U$12&lt;&gt;$C$5,NA(),INDEX(auto_DataFlat_Score,INDEX(sys_DataFlat_LU_Grid,$C57,U$11))))</f>
        <v>56.3</v>
      </c>
      <c r="V57" cm="1">
        <f t="array" aca="1" ref="V57" ca="1">IF($C57=0,"",IF(V$12&lt;&gt;$C$5,NA(),INDEX(auto_DataFlat_Score,INDEX(sys_DataFlat_LU_Grid,$C57,V$11))))</f>
        <v>73.5</v>
      </c>
      <c r="W57" cm="1">
        <f t="array" aca="1" ref="W57" ca="1">IF($C57=0,"",IF(W$12&lt;&gt;$C$5,NA(),INDEX(auto_DataFlat_Score,INDEX(sys_DataFlat_LU_Grid,$C57,W$11))))</f>
        <v>75.8</v>
      </c>
      <c r="X57" cm="1">
        <f t="array" aca="1" ref="X57" ca="1">IF($C57=0,"",IF(X$12&lt;&gt;$C$5,NA(),INDEX(auto_DataFlat_Score,INDEX(sys_DataFlat_LU_Grid,$C57,X$11))))</f>
        <v>63.9</v>
      </c>
      <c r="Y57" cm="1">
        <f t="array" aca="1" ref="Y57" ca="1">IF($C57=0,"",IF(Y$12&lt;&gt;$C$5,NA(),INDEX(auto_DataFlat_Score,INDEX(sys_DataFlat_LU_Grid,$C57,Y$11))))</f>
        <v>62.4</v>
      </c>
      <c r="Z57" cm="1">
        <f t="array" aca="1" ref="Z57" ca="1">IF($C57=0,"",IF(Z$12&lt;&gt;$C$5,NA(),INDEX(auto_DataFlat_Score,INDEX(sys_DataFlat_LU_Grid,$C57,Z$11))))</f>
        <v>59.7</v>
      </c>
      <c r="AA57" cm="1">
        <f t="array" aca="1" ref="AA57" ca="1">IF($C57=0,"",IF(AA$12&lt;&gt;$C$5,NA(),INDEX(auto_DataFlat_Score,INDEX(sys_DataFlat_LU_Grid,$C57,AA$11))))</f>
        <v>53.8</v>
      </c>
      <c r="AB57" cm="1">
        <f t="array" aca="1" ref="AB57" ca="1">IF($C57=0,"",IF(AB$12&lt;&gt;$C$5,NA(),INDEX(auto_DataFlat_Score,INDEX(sys_DataFlat_LU_Grid,$C57,AB$11))))</f>
        <v>51.1</v>
      </c>
      <c r="AC57" cm="1">
        <f t="array" aca="1" ref="AC57" ca="1">IF($C57=0,"",IF(AC$12&lt;&gt;$C$5,NA(),INDEX(auto_DataFlat_Score,INDEX(sys_DataFlat_LU_Grid,$C57,AC$11))))</f>
        <v>60.6</v>
      </c>
      <c r="AD57" cm="1">
        <f t="array" aca="1" ref="AD57" ca="1">IF($C57=0,"",IF(AD$12&lt;&gt;$C$5,NA(),INDEX(auto_DataFlat_Score,INDEX(sys_DataFlat_LU_Grid,$C57,AD$11))))</f>
        <v>67</v>
      </c>
      <c r="AE57" cm="1">
        <f t="array" aca="1" ref="AE57" ca="1">IF($C57=0,"",IF(AE$12&lt;&gt;$C$5,NA(),INDEX(auto_DataFlat_Score,INDEX(sys_DataFlat_LU_Grid,$C57,AE$11))))</f>
        <v>57.6</v>
      </c>
      <c r="AF57" cm="1">
        <f t="array" aca="1" ref="AF57" ca="1">IF($C57=0,"",IF(AF$12&lt;&gt;$C$5,NA(),INDEX(auto_DataFlat_Score,INDEX(sys_DataFlat_LU_Grid,$C57,AF$11))))</f>
        <v>69</v>
      </c>
      <c r="AG57" cm="1">
        <f t="array" aca="1" ref="AG57" ca="1">IF($C57=0,"",IF(AG$12&lt;&gt;$C$5,NA(),INDEX(auto_DataFlat_Score,INDEX(sys_DataFlat_LU_Grid,$C57,AG$11))))</f>
        <v>66</v>
      </c>
      <c r="AH57" cm="1">
        <f t="array" aca="1" ref="AH57" ca="1">IF($C57=0,"",IF(AH$12&lt;&gt;$C$5,NA(),INDEX(auto_DataFlat_Score,INDEX(sys_DataFlat_LU_Grid,$C57,AH$11))))</f>
        <v>44.1</v>
      </c>
      <c r="AI57" cm="1">
        <f t="array" aca="1" ref="AI57" ca="1">IF($C57=0,"",IF(AI$12&lt;&gt;$C$5,NA(),INDEX(auto_DataFlat_Score,INDEX(sys_DataFlat_LU_Grid,$C57,AI$11))))</f>
        <v>60.7</v>
      </c>
      <c r="AJ57" cm="1">
        <f t="array" aca="1" ref="AJ57" ca="1">IF($C57=0,"",IF(AJ$12&lt;&gt;$C$5,NA(),INDEX(auto_DataFlat_Score,INDEX(sys_DataFlat_LU_Grid,$C57,AJ$11))))</f>
        <v>55.1</v>
      </c>
      <c r="AK57" cm="1">
        <f t="array" aca="1" ref="AK57" ca="1">IF($C57=0,"",IF(AK$12&lt;&gt;$C$5,NA(),INDEX(auto_DataFlat_Score,INDEX(sys_DataFlat_LU_Grid,$C57,AK$11))))</f>
        <v>46.4</v>
      </c>
      <c r="AL57" cm="1">
        <f t="array" aca="1" ref="AL57" ca="1">IF($C57=0,"",IF(AL$12&lt;&gt;$C$5,NA(),INDEX(auto_DataFlat_Score,INDEX(sys_DataFlat_LU_Grid,$C57,AL$11))))</f>
        <v>53.8</v>
      </c>
      <c r="AM57" cm="1">
        <f t="array" aca="1" ref="AM57" ca="1">IF($C57=0,"",IF(AM$12&lt;&gt;$C$5,NA(),INDEX(auto_DataFlat_Score,INDEX(sys_DataFlat_LU_Grid,$C57,AM$11))))</f>
        <v>60.4</v>
      </c>
      <c r="AN57" cm="1">
        <f t="array" aca="1" ref="AN57" ca="1">IF($C57=0,"",IF(AN$12&lt;&gt;$C$5,NA(),INDEX(auto_DataFlat_Score,INDEX(sys_DataFlat_LU_Grid,$C57,AN$11))))</f>
        <v>62.7</v>
      </c>
      <c r="AO57" cm="1">
        <f t="array" aca="1" ref="AO57" ca="1">IF($C57=0,"",IF(AO$12&lt;&gt;$C$5,NA(),INDEX(auto_DataFlat_Score,INDEX(sys_DataFlat_LU_Grid,$C57,AO$11))))</f>
        <v>68.2</v>
      </c>
      <c r="AP57" cm="1">
        <f t="array" aca="1" ref="AP57" ca="1">IF($C57=0,"",IF(AP$12&lt;&gt;$C$5,NA(),INDEX(auto_DataFlat_Score,INDEX(sys_DataFlat_LU_Grid,$C57,AP$11))))</f>
        <v>68.400000000000006</v>
      </c>
      <c r="AQ57" cm="1">
        <f t="array" aca="1" ref="AQ57" ca="1">IF($C57=0,"",IF(AQ$12&lt;&gt;$C$5,NA(),INDEX(auto_DataFlat_Score,INDEX(sys_DataFlat_LU_Grid,$C57,AQ$11))))</f>
        <v>62.1</v>
      </c>
      <c r="AR57" cm="1">
        <f t="array" aca="1" ref="AR57" ca="1">IF($C57=0,"",IF(AR$12&lt;&gt;$C$5,NA(),INDEX(auto_DataFlat_Score,INDEX(sys_DataFlat_LU_Grid,$C57,AR$11))))</f>
        <v>71.900000000000006</v>
      </c>
      <c r="AS57" cm="1">
        <f t="array" aca="1" ref="AS57" ca="1">IF($C57=0,"",IF(AS$12&lt;&gt;$C$5,NA(),INDEX(auto_DataFlat_Score,INDEX(sys_DataFlat_LU_Grid,$C57,AS$11))))</f>
        <v>67.400000000000006</v>
      </c>
      <c r="AT57" cm="1">
        <f t="array" aca="1" ref="AT57" ca="1">IF($C57=0,"",IF(AT$12&lt;&gt;$C$5,NA(),INDEX(auto_DataFlat_Score,INDEX(sys_DataFlat_LU_Grid,$C57,AT$11))))</f>
        <v>62.5</v>
      </c>
      <c r="AU57" cm="1">
        <f t="array" aca="1" ref="AU57" ca="1">IF($C57=0,"",IF(AU$12&lt;&gt;$C$5,NA(),INDEX(auto_DataFlat_Score,INDEX(sys_DataFlat_LU_Grid,$C57,AU$11))))</f>
        <v>53.8</v>
      </c>
      <c r="AV57" cm="1">
        <f t="array" aca="1" ref="AV57" ca="1">IF($C57=0,"",IF(AV$12&lt;&gt;$C$5,NA(),INDEX(auto_DataFlat_Score,INDEX(sys_DataFlat_LU_Grid,$C57,AV$11))))</f>
        <v>50.9</v>
      </c>
      <c r="AW57" cm="1">
        <f t="array" aca="1" ref="AW57" ca="1">IF($C57=0,"",IF(AW$12&lt;&gt;$C$5,NA(),INDEX(auto_DataFlat_Score,INDEX(sys_DataFlat_LU_Grid,$C57,AW$11))))</f>
        <v>69.7</v>
      </c>
      <c r="AX57" cm="1">
        <f t="array" aca="1" ref="AX57" ca="1">IF($C57=0,"",IF(AX$12&lt;&gt;$C$5,NA(),INDEX(auto_DataFlat_Score,INDEX(sys_DataFlat_LU_Grid,$C57,AX$11))))</f>
        <v>68.7</v>
      </c>
      <c r="AY57" cm="1">
        <f t="array" aca="1" ref="AY57" ca="1">IF($C57=0,"",IF(AY$12&lt;&gt;$C$5,NA(),INDEX(auto_DataFlat_Score,INDEX(sys_DataFlat_LU_Grid,$C57,AY$11))))</f>
        <v>64.900000000000006</v>
      </c>
      <c r="AZ57" cm="1">
        <f t="array" aca="1" ref="AZ57" ca="1">IF($C57=0,"",IF(AZ$12&lt;&gt;$C$5,NA(),INDEX(auto_DataFlat_Score,INDEX(sys_DataFlat_LU_Grid,$C57,AZ$11))))</f>
        <v>63.6</v>
      </c>
      <c r="BA57" cm="1">
        <f t="array" aca="1" ref="BA57" ca="1">IF($C57=0,"",IF(BA$12&lt;&gt;$C$5,NA(),INDEX(auto_DataFlat_Score,INDEX(sys_DataFlat_LU_Grid,$C57,BA$11))))</f>
        <v>48.6</v>
      </c>
      <c r="BB57" cm="1">
        <f t="array" aca="1" ref="BB57" ca="1">IF($C57=0,"",IF(BB$12&lt;&gt;$C$5,NA(),INDEX(auto_DataFlat_Score,INDEX(sys_DataFlat_LU_Grid,$C57,BB$11))))</f>
        <v>70.900000000000006</v>
      </c>
      <c r="BC57" cm="1">
        <f t="array" aca="1" ref="BC57" ca="1">IF($C57=0,"",IF(BC$12&lt;&gt;$C$5,NA(),INDEX(auto_DataFlat_Score,INDEX(sys_DataFlat_LU_Grid,$C57,BC$11))))</f>
        <v>69.7</v>
      </c>
      <c r="BD57" cm="1">
        <f t="array" aca="1" ref="BD57" ca="1">IF($C57=0,"",IF(BD$12&lt;&gt;$C$5,NA(),INDEX(auto_DataFlat_Score,INDEX(sys_DataFlat_LU_Grid,$C57,BD$11))))</f>
        <v>75.900000000000006</v>
      </c>
      <c r="BE57" cm="1">
        <f t="array" aca="1" ref="BE57" ca="1">IF($C57=0,"",IF(BE$12&lt;&gt;$C$5,NA(),INDEX(auto_DataFlat_Score,INDEX(sys_DataFlat_LU_Grid,$C57,BE$11))))</f>
        <v>76</v>
      </c>
      <c r="BF57" cm="1">
        <f t="array" aca="1" ref="BF57" ca="1">IF($C57=0,"",IF(BF$12&lt;&gt;$C$5,NA(),INDEX(auto_DataFlat_Score,INDEX(sys_DataFlat_LU_Grid,$C57,BF$11))))</f>
        <v>56.3</v>
      </c>
      <c r="BG57" cm="1">
        <f t="array" aca="1" ref="BG57" ca="1">IF($C57=0,"",IF(BG$12&lt;&gt;$C$5,NA(),INDEX(auto_DataFlat_Score,INDEX(sys_DataFlat_LU_Grid,$C57,BG$11))))</f>
        <v>77.400000000000006</v>
      </c>
      <c r="BH57" cm="1">
        <f t="array" aca="1" ref="BH57" ca="1">IF($C57=0,"",IF(BH$12&lt;&gt;$C$5,NA(),INDEX(auto_DataFlat_Score,INDEX(sys_DataFlat_LU_Grid,$C57,BH$11))))</f>
        <v>71.900000000000006</v>
      </c>
      <c r="BI57" cm="1">
        <f t="array" aca="1" ref="BI57" ca="1">IF($C57=0,"",IF(BI$12&lt;&gt;$C$5,NA(),INDEX(auto_DataFlat_Score,INDEX(sys_DataFlat_LU_Grid,$C57,BI$11))))</f>
        <v>68.7</v>
      </c>
      <c r="BJ57" cm="1">
        <f t="array" aca="1" ref="BJ57" ca="1">IF($C57=0,"",IF(BJ$12&lt;&gt;$C$5,NA(),INDEX(auto_DataFlat_Score,INDEX(sys_DataFlat_LU_Grid,$C57,BJ$11))))</f>
        <v>84.1</v>
      </c>
      <c r="BK57" cm="1">
        <f t="array" aca="1" ref="BK57" ca="1">IF($C57=0,"",IF(BK$12&lt;&gt;$C$5,NA(),INDEX(auto_DataFlat_Score,INDEX(sys_DataFlat_LU_Grid,$C57,BK$11))))</f>
        <v>68.8</v>
      </c>
      <c r="BL57" cm="1">
        <f t="array" aca="1" ref="BL57" ca="1">IF($C57=0,"",IF(BL$12&lt;&gt;$C$5,NA(),INDEX(auto_DataFlat_Score,INDEX(sys_DataFlat_LU_Grid,$C57,BL$11))))</f>
        <v>56.3</v>
      </c>
      <c r="BM57" cm="1">
        <f t="array" aca="1" ref="BM57" ca="1">IF($C57=0,"",IF(BM$12&lt;&gt;$C$5,NA(),INDEX(auto_DataFlat_Score,INDEX(sys_DataFlat_LU_Grid,$C57,BM$11))))</f>
        <v>50.3</v>
      </c>
      <c r="BO57">
        <f t="shared" ca="1" si="14"/>
        <v>44.1</v>
      </c>
      <c r="BP57">
        <f t="shared" ca="1" si="15"/>
        <v>84.1</v>
      </c>
      <c r="BQ57" cm="1">
        <f t="array" aca="1" ref="BQ57" ca="1">IF(C57=0,0,INDEX(sys_DataFlat_LU_Grid_Groups,$C57,BQ$12))</f>
        <v>716</v>
      </c>
      <c r="BR57" cm="1">
        <f t="array" aca="1" ref="BR57" ca="1">IF(D57=0,0,INDEX(sys_DataFlat_LU_Grid_Groups,$C57,BR$12))</f>
        <v>719</v>
      </c>
      <c r="BU57" cm="1">
        <f t="array" aca="1" ref="BU57" ca="1">INDEX(auto_DataFlat_Score,BQ57)</f>
        <v>53.5</v>
      </c>
      <c r="BV57" cm="1">
        <f t="array" aca="1" ref="BV57" ca="1">INDEX(auto_DataFlat_Score,BR57)</f>
        <v>62.6</v>
      </c>
      <c r="BW57">
        <f t="shared" ca="1" si="17"/>
        <v>63.3</v>
      </c>
    </row>
    <row r="58" spans="2:75" x14ac:dyDescent="0.4">
      <c r="B58">
        <v>5</v>
      </c>
      <c r="C58" cm="1">
        <f t="array" aca="1" ref="C58" ca="1">INDEX(OFFSET(auto_ss_depth_2,0,1,300,1),B58)</f>
        <v>13</v>
      </c>
      <c r="D58" cm="1">
        <f t="array" aca="1" ref="D58" ca="1">IF(C58=0,0,INDEX(sys_DataFlat_LU_Grid_Groups,$C58,D$40))</f>
        <v>771</v>
      </c>
      <c r="E58" cm="1">
        <f t="array" aca="1" ref="E58" ca="1">IF(C58=0,0,INDEX(sys_DataFlat_LU_Grid_Groups,$C58,E$40))</f>
        <v>771</v>
      </c>
      <c r="F58">
        <v>1</v>
      </c>
      <c r="G58">
        <f t="shared" ca="1" si="13"/>
        <v>74.599999999999994</v>
      </c>
      <c r="H58" t="e" cm="1">
        <f t="array" ref="H58">IF($C$8=0,NA(),INDEX($P58:$BM58,$C$8))</f>
        <v>#N/A</v>
      </c>
      <c r="I58" cm="1">
        <f t="array" aca="1" ref="I58" ca="1">IF(C58=0,0,INDEX(sys_DataFlat_LU_Grid,$C58,$C$2))</f>
        <v>721</v>
      </c>
      <c r="J58" t="str" cm="1">
        <f t="array" aca="1" ref="J58" ca="1">IF(C58=0,"-",CONCATENATE(INDEX(auto_Series_NameNoNumber,C58),CHAR(10),CHAR(10)))</f>
        <v xml:space="preserve">Household health expenditure
</v>
      </c>
      <c r="K58" cm="1">
        <f t="array" aca="1" ref="K58" ca="1">IF(C58=0,"-",INDEX(K$94:K$162,$C58))</f>
        <v>94.4</v>
      </c>
      <c r="L58" t="str" cm="1">
        <f t="array" aca="1" ref="L58" ca="1">IF(C58=0,"-",INDEX(L$94:L$162,$C58))</f>
        <v>9</v>
      </c>
      <c r="M58">
        <f t="shared" ca="1" si="16"/>
        <v>0.72672351830811988</v>
      </c>
      <c r="N58" cm="1">
        <f t="array" aca="1" ref="N58" ca="1">IF(C58=0,"-",INDEX($N$94:$N$162,$C58))</f>
        <v>5</v>
      </c>
      <c r="O58" t="e" cm="1">
        <f t="array" aca="1" ref="O58" ca="1">IF(C58=0,"-",INDEX(#REF!,$C58))</f>
        <v>#REF!</v>
      </c>
      <c r="P58" cm="1">
        <f t="array" aca="1" ref="P58" ca="1">IF($C58=0,"",IF(P$12&lt;&gt;$C$5,NA(),INDEX(auto_DataFlat_Score,INDEX(sys_DataFlat_LU_Grid,$C58,P$11))))</f>
        <v>94.4</v>
      </c>
      <c r="Q58" cm="1">
        <f t="array" aca="1" ref="Q58" ca="1">IF($C58=0,"",IF(Q$12&lt;&gt;$C$5,NA(),INDEX(auto_DataFlat_Score,INDEX(sys_DataFlat_LU_Grid,$C58,Q$11))))</f>
        <v>68.400000000000006</v>
      </c>
      <c r="R58" cm="1">
        <f t="array" aca="1" ref="R58" ca="1">IF($C58=0,"",IF(R$12&lt;&gt;$C$5,NA(),INDEX(auto_DataFlat_Score,INDEX(sys_DataFlat_LU_Grid,$C58,R$11))))</f>
        <v>90.5</v>
      </c>
      <c r="S58" cm="1">
        <f t="array" aca="1" ref="S58" ca="1">IF($C58=0,"",IF(S$12&lt;&gt;$C$5,NA(),INDEX(auto_DataFlat_Score,INDEX(sys_DataFlat_LU_Grid,$C58,S$11))))</f>
        <v>88.5</v>
      </c>
      <c r="T58" cm="1">
        <f t="array" aca="1" ref="T58" ca="1">IF($C58=0,"",IF(T$12&lt;&gt;$C$5,NA(),INDEX(auto_DataFlat_Score,INDEX(sys_DataFlat_LU_Grid,$C58,T$11))))</f>
        <v>97.2</v>
      </c>
      <c r="U58" cm="1">
        <f t="array" aca="1" ref="U58" ca="1">IF($C58=0,"",IF(U$12&lt;&gt;$C$5,NA(),INDEX(auto_DataFlat_Score,INDEX(sys_DataFlat_LU_Grid,$C58,U$11))))</f>
        <v>18.100000000000001</v>
      </c>
      <c r="V58" cm="1">
        <f t="array" aca="1" ref="V58" ca="1">IF($C58=0,"",IF(V$12&lt;&gt;$C$5,NA(),INDEX(auto_DataFlat_Score,INDEX(sys_DataFlat_LU_Grid,$C58,V$11))))</f>
        <v>100</v>
      </c>
      <c r="W58" cm="1">
        <f t="array" aca="1" ref="W58" ca="1">IF($C58=0,"",IF(W$12&lt;&gt;$C$5,NA(),INDEX(auto_DataFlat_Score,INDEX(sys_DataFlat_LU_Grid,$C58,W$11))))</f>
        <v>74.5</v>
      </c>
      <c r="X58" cm="1">
        <f t="array" aca="1" ref="X58" ca="1">IF($C58=0,"",IF(X$12&lt;&gt;$C$5,NA(),INDEX(auto_DataFlat_Score,INDEX(sys_DataFlat_LU_Grid,$C58,X$11))))</f>
        <v>90.3</v>
      </c>
      <c r="Y58" cm="1">
        <f t="array" aca="1" ref="Y58" ca="1">IF($C58=0,"",IF(Y$12&lt;&gt;$C$5,NA(),INDEX(auto_DataFlat_Score,INDEX(sys_DataFlat_LU_Grid,$C58,Y$11))))</f>
        <v>28.1</v>
      </c>
      <c r="Z58" cm="1">
        <f t="array" aca="1" ref="Z58" ca="1">IF($C58=0,"",IF(Z$12&lt;&gt;$C$5,NA(),INDEX(auto_DataFlat_Score,INDEX(sys_DataFlat_LU_Grid,$C58,Z$11))))</f>
        <v>90.4</v>
      </c>
      <c r="AA58" cm="1">
        <f t="array" aca="1" ref="AA58" ca="1">IF($C58=0,"",IF(AA$12&lt;&gt;$C$5,NA(),INDEX(auto_DataFlat_Score,INDEX(sys_DataFlat_LU_Grid,$C58,AA$11))))</f>
        <v>21.3</v>
      </c>
      <c r="AB58" cm="1">
        <f t="array" aca="1" ref="AB58" ca="1">IF($C58=0,"",IF(AB$12&lt;&gt;$C$5,NA(),INDEX(auto_DataFlat_Score,INDEX(sys_DataFlat_LU_Grid,$C58,AB$11))))</f>
        <v>0</v>
      </c>
      <c r="AC58" cm="1">
        <f t="array" aca="1" ref="AC58" ca="1">IF($C58=0,"",IF(AC$12&lt;&gt;$C$5,NA(),INDEX(auto_DataFlat_Score,INDEX(sys_DataFlat_LU_Grid,$C58,AC$11))))</f>
        <v>88.5</v>
      </c>
      <c r="AD58" cm="1">
        <f t="array" aca="1" ref="AD58" ca="1">IF($C58=0,"",IF(AD$12&lt;&gt;$C$5,NA(),INDEX(auto_DataFlat_Score,INDEX(sys_DataFlat_LU_Grid,$C58,AD$11))))</f>
        <v>93.3</v>
      </c>
      <c r="AE58" cm="1">
        <f t="array" aca="1" ref="AE58" ca="1">IF($C58=0,"",IF(AE$12&lt;&gt;$C$5,NA(),INDEX(auto_DataFlat_Score,INDEX(sys_DataFlat_LU_Grid,$C58,AE$11))))</f>
        <v>80.5</v>
      </c>
      <c r="AF58" cm="1">
        <f t="array" aca="1" ref="AF58" ca="1">IF($C58=0,"",IF(AF$12&lt;&gt;$C$5,NA(),INDEX(auto_DataFlat_Score,INDEX(sys_DataFlat_LU_Grid,$C58,AF$11))))</f>
        <v>88.5</v>
      </c>
      <c r="AG58" cm="1">
        <f t="array" aca="1" ref="AG58" ca="1">IF($C58=0,"",IF(AG$12&lt;&gt;$C$5,NA(),INDEX(auto_DataFlat_Score,INDEX(sys_DataFlat_LU_Grid,$C58,AG$11))))</f>
        <v>93.2</v>
      </c>
      <c r="AH58" cm="1">
        <f t="array" aca="1" ref="AH58" ca="1">IF($C58=0,"",IF(AH$12&lt;&gt;$C$5,NA(),INDEX(auto_DataFlat_Score,INDEX(sys_DataFlat_LU_Grid,$C58,AH$11))))</f>
        <v>97</v>
      </c>
      <c r="AI58" cm="1">
        <f t="array" aca="1" ref="AI58" ca="1">IF($C58=0,"",IF(AI$12&lt;&gt;$C$5,NA(),INDEX(auto_DataFlat_Score,INDEX(sys_DataFlat_LU_Grid,$C58,AI$11))))</f>
        <v>99.8</v>
      </c>
      <c r="AJ58" cm="1">
        <f t="array" aca="1" ref="AJ58" ca="1">IF($C58=0,"",IF(AJ$12&lt;&gt;$C$5,NA(),INDEX(auto_DataFlat_Score,INDEX(sys_DataFlat_LU_Grid,$C58,AJ$11))))</f>
        <v>89</v>
      </c>
      <c r="AK58" cm="1">
        <f t="array" aca="1" ref="AK58" ca="1">IF($C58=0,"",IF(AK$12&lt;&gt;$C$5,NA(),INDEX(auto_DataFlat_Score,INDEX(sys_DataFlat_LU_Grid,$C58,AK$11))))</f>
        <v>76</v>
      </c>
      <c r="AL58" cm="1">
        <f t="array" aca="1" ref="AL58" ca="1">IF($C58=0,"",IF(AL$12&lt;&gt;$C$5,NA(),INDEX(auto_DataFlat_Score,INDEX(sys_DataFlat_LU_Grid,$C58,AL$11))))</f>
        <v>21.3</v>
      </c>
      <c r="AM58" cm="1">
        <f t="array" aca="1" ref="AM58" ca="1">IF($C58=0,"",IF(AM$12&lt;&gt;$C$5,NA(),INDEX(auto_DataFlat_Score,INDEX(sys_DataFlat_LU_Grid,$C58,AM$11))))</f>
        <v>88.5</v>
      </c>
      <c r="AN58" cm="1">
        <f t="array" aca="1" ref="AN58" ca="1">IF($C58=0,"",IF(AN$12&lt;&gt;$C$5,NA(),INDEX(auto_DataFlat_Score,INDEX(sys_DataFlat_LU_Grid,$C58,AN$11))))</f>
        <v>52.2</v>
      </c>
      <c r="AO58" cm="1">
        <f t="array" aca="1" ref="AO58" ca="1">IF($C58=0,"",IF(AO$12&lt;&gt;$C$5,NA(),INDEX(auto_DataFlat_Score,INDEX(sys_DataFlat_LU_Grid,$C58,AO$11))))</f>
        <v>94.5</v>
      </c>
      <c r="AP58" cm="1">
        <f t="array" aca="1" ref="AP58" ca="1">IF($C58=0,"",IF(AP$12&lt;&gt;$C$5,NA(),INDEX(auto_DataFlat_Score,INDEX(sys_DataFlat_LU_Grid,$C58,AP$11))))</f>
        <v>87.8</v>
      </c>
      <c r="AQ58" cm="1">
        <f t="array" aca="1" ref="AQ58" ca="1">IF($C58=0,"",IF(AQ$12&lt;&gt;$C$5,NA(),INDEX(auto_DataFlat_Score,INDEX(sys_DataFlat_LU_Grid,$C58,AQ$11))))</f>
        <v>84.3</v>
      </c>
      <c r="AR58" cm="1">
        <f t="array" aca="1" ref="AR58" ca="1">IF($C58=0,"",IF(AR$12&lt;&gt;$C$5,NA(),INDEX(auto_DataFlat_Score,INDEX(sys_DataFlat_LU_Grid,$C58,AR$11))))</f>
        <v>96.4</v>
      </c>
      <c r="AS58" cm="1">
        <f t="array" aca="1" ref="AS58" ca="1">IF($C58=0,"",IF(AS$12&lt;&gt;$C$5,NA(),INDEX(auto_DataFlat_Score,INDEX(sys_DataFlat_LU_Grid,$C58,AS$11))))</f>
        <v>86.6</v>
      </c>
      <c r="AT58" cm="1">
        <f t="array" aca="1" ref="AT58" ca="1">IF($C58=0,"",IF(AT$12&lt;&gt;$C$5,NA(),INDEX(auto_DataFlat_Score,INDEX(sys_DataFlat_LU_Grid,$C58,AT$11))))</f>
        <v>90.4</v>
      </c>
      <c r="AU58" cm="1">
        <f t="array" aca="1" ref="AU58" ca="1">IF($C58=0,"",IF(AU$12&lt;&gt;$C$5,NA(),INDEX(auto_DataFlat_Score,INDEX(sys_DataFlat_LU_Grid,$C58,AU$11))))</f>
        <v>21.3</v>
      </c>
      <c r="AV58" cm="1">
        <f t="array" aca="1" ref="AV58" ca="1">IF($C58=0,"",IF(AV$12&lt;&gt;$C$5,NA(),INDEX(auto_DataFlat_Score,INDEX(sys_DataFlat_LU_Grid,$C58,AV$11))))</f>
        <v>84.4</v>
      </c>
      <c r="AW58" cm="1">
        <f t="array" aca="1" ref="AW58" ca="1">IF($C58=0,"",IF(AW$12&lt;&gt;$C$5,NA(),INDEX(auto_DataFlat_Score,INDEX(sys_DataFlat_LU_Grid,$C58,AW$11))))</f>
        <v>90.5</v>
      </c>
      <c r="AX58" cm="1">
        <f t="array" aca="1" ref="AX58" ca="1">IF($C58=0,"",IF(AX$12&lt;&gt;$C$5,NA(),INDEX(auto_DataFlat_Score,INDEX(sys_DataFlat_LU_Grid,$C58,AX$11))))</f>
        <v>77.2</v>
      </c>
      <c r="AY58" cm="1">
        <f t="array" aca="1" ref="AY58" ca="1">IF($C58=0,"",IF(AY$12&lt;&gt;$C$5,NA(),INDEX(auto_DataFlat_Score,INDEX(sys_DataFlat_LU_Grid,$C58,AY$11))))</f>
        <v>88.5</v>
      </c>
      <c r="AZ58" cm="1">
        <f t="array" aca="1" ref="AZ58" ca="1">IF($C58=0,"",IF(AZ$12&lt;&gt;$C$5,NA(),INDEX(auto_DataFlat_Score,INDEX(sys_DataFlat_LU_Grid,$C58,AZ$11))))</f>
        <v>42.3</v>
      </c>
      <c r="BA58" cm="1">
        <f t="array" aca="1" ref="BA58" ca="1">IF($C58=0,"",IF(BA$12&lt;&gt;$C$5,NA(),INDEX(auto_DataFlat_Score,INDEX(sys_DataFlat_LU_Grid,$C58,BA$11))))</f>
        <v>94.3</v>
      </c>
      <c r="BB58" cm="1">
        <f t="array" aca="1" ref="BB58" ca="1">IF($C58=0,"",IF(BB$12&lt;&gt;$C$5,NA(),INDEX(auto_DataFlat_Score,INDEX(sys_DataFlat_LU_Grid,$C58,BB$11))))</f>
        <v>88.3</v>
      </c>
      <c r="BC58" cm="1">
        <f t="array" aca="1" ref="BC58" ca="1">IF($C58=0,"",IF(BC$12&lt;&gt;$C$5,NA(),INDEX(auto_DataFlat_Score,INDEX(sys_DataFlat_LU_Grid,$C58,BC$11))))</f>
        <v>90.5</v>
      </c>
      <c r="BD58" cm="1">
        <f t="array" aca="1" ref="BD58" ca="1">IF($C58=0,"",IF(BD$12&lt;&gt;$C$5,NA(),INDEX(auto_DataFlat_Score,INDEX(sys_DataFlat_LU_Grid,$C58,BD$11))))</f>
        <v>78.7</v>
      </c>
      <c r="BE58" cm="1">
        <f t="array" aca="1" ref="BE58" ca="1">IF($C58=0,"",IF(BE$12&lt;&gt;$C$5,NA(),INDEX(auto_DataFlat_Score,INDEX(sys_DataFlat_LU_Grid,$C58,BE$11))))</f>
        <v>66.8</v>
      </c>
      <c r="BF58" cm="1">
        <f t="array" aca="1" ref="BF58" ca="1">IF($C58=0,"",IF(BF$12&lt;&gt;$C$5,NA(),INDEX(auto_DataFlat_Score,INDEX(sys_DataFlat_LU_Grid,$C58,BF$11))))</f>
        <v>18.100000000000001</v>
      </c>
      <c r="BG58" cm="1">
        <f t="array" aca="1" ref="BG58" ca="1">IF($C58=0,"",IF(BG$12&lt;&gt;$C$5,NA(),INDEX(auto_DataFlat_Score,INDEX(sys_DataFlat_LU_Grid,$C58,BG$11))))</f>
        <v>83.6</v>
      </c>
      <c r="BH58" cm="1">
        <f t="array" aca="1" ref="BH58" ca="1">IF($C58=0,"",IF(BH$12&lt;&gt;$C$5,NA(),INDEX(auto_DataFlat_Score,INDEX(sys_DataFlat_LU_Grid,$C58,BH$11))))</f>
        <v>96.4</v>
      </c>
      <c r="BI58" cm="1">
        <f t="array" aca="1" ref="BI58" ca="1">IF($C58=0,"",IF(BI$12&lt;&gt;$C$5,NA(),INDEX(auto_DataFlat_Score,INDEX(sys_DataFlat_LU_Grid,$C58,BI$11))))</f>
        <v>77.2</v>
      </c>
      <c r="BJ58" cm="1">
        <f t="array" aca="1" ref="BJ58" ca="1">IF($C58=0,"",IF(BJ$12&lt;&gt;$C$5,NA(),INDEX(auto_DataFlat_Score,INDEX(sys_DataFlat_LU_Grid,$C58,BJ$11))))</f>
        <v>91.6</v>
      </c>
      <c r="BK58" cm="1">
        <f t="array" aca="1" ref="BK58" ca="1">IF($C58=0,"",IF(BK$12&lt;&gt;$C$5,NA(),INDEX(auto_DataFlat_Score,INDEX(sys_DataFlat_LU_Grid,$C58,BK$11))))</f>
        <v>95.2</v>
      </c>
      <c r="BL58" cm="1">
        <f t="array" aca="1" ref="BL58" ca="1">IF($C58=0,"",IF(BL$12&lt;&gt;$C$5,NA(),INDEX(auto_DataFlat_Score,INDEX(sys_DataFlat_LU_Grid,$C58,BL$11))))</f>
        <v>18.100000000000001</v>
      </c>
      <c r="BM58" cm="1">
        <f t="array" aca="1" ref="BM58" ca="1">IF($C58=0,"",IF(BM$12&lt;&gt;$C$5,NA(),INDEX(auto_DataFlat_Score,INDEX(sys_DataFlat_LU_Grid,$C58,BM$11))))</f>
        <v>59.6</v>
      </c>
      <c r="BO58">
        <f t="shared" ca="1" si="14"/>
        <v>0</v>
      </c>
      <c r="BP58">
        <f t="shared" ca="1" si="15"/>
        <v>100</v>
      </c>
      <c r="BQ58" cm="1">
        <f t="array" aca="1" ref="BQ58" ca="1">IF(C58=0,0,INDEX(sys_DataFlat_LU_Grid_Groups,$C58,BQ$12))</f>
        <v>776</v>
      </c>
      <c r="BR58" cm="1">
        <f t="array" aca="1" ref="BR58" ca="1">IF(D58=0,0,INDEX(sys_DataFlat_LU_Grid_Groups,$C58,BR$12))</f>
        <v>779</v>
      </c>
      <c r="BU58" cm="1">
        <f t="array" aca="1" ref="BU58" ca="1">INDEX(auto_DataFlat_Score,BQ58)</f>
        <v>57.3</v>
      </c>
      <c r="BV58" cm="1">
        <f t="array" aca="1" ref="BV58" ca="1">INDEX(auto_DataFlat_Score,BR58)</f>
        <v>70.2</v>
      </c>
      <c r="BW58">
        <f t="shared" ca="1" si="17"/>
        <v>74.599999999999994</v>
      </c>
    </row>
    <row r="59" spans="2:75" x14ac:dyDescent="0.4">
      <c r="B59">
        <v>6</v>
      </c>
      <c r="C59" cm="1">
        <f t="array" aca="1" ref="C59" ca="1">INDEX(OFFSET(auto_ss_depth_2,0,1,300,1),B59)</f>
        <v>15</v>
      </c>
      <c r="D59" cm="1">
        <f t="array" aca="1" ref="D59" ca="1">IF(C59=0,0,INDEX(sys_DataFlat_LU_Grid_Groups,$C59,D$40))</f>
        <v>891</v>
      </c>
      <c r="E59" cm="1">
        <f t="array" aca="1" ref="E59" ca="1">IF(C59=0,0,INDEX(sys_DataFlat_LU_Grid_Groups,$C59,E$40))</f>
        <v>891</v>
      </c>
      <c r="F59">
        <v>2</v>
      </c>
      <c r="G59">
        <f t="shared" ca="1" si="13"/>
        <v>0</v>
      </c>
      <c r="H59" t="e" cm="1">
        <f t="array" ref="H59">IF($C$8=0,NA(),INDEX($P59:$BM59,$C$8))</f>
        <v>#N/A</v>
      </c>
      <c r="I59" cm="1">
        <f t="array" aca="1" ref="I59" ca="1">IF(C59=0,0,INDEX(sys_DataFlat_LU_Grid,$C59,$C$2))</f>
        <v>841</v>
      </c>
      <c r="J59" t="str" cm="1">
        <f t="array" aca="1" ref="J59" ca="1">IF(C59=0,"-",INDEX(auto_Series_NameNoNumber,C59))</f>
        <v>Air quality</v>
      </c>
      <c r="K59" cm="1">
        <f t="array" aca="1" ref="K59" ca="1">IF(C59=0,"-",INDEX(K$94:K$162,$C59))</f>
        <v>0</v>
      </c>
      <c r="L59" t="str" cm="1">
        <f t="array" aca="1" ref="L59" ca="1">IF(C59=0,"-",INDEX(L$94:L$162,$C59))</f>
        <v>=1</v>
      </c>
      <c r="M59" t="e">
        <f t="shared" ca="1" si="16"/>
        <v>#NUM!</v>
      </c>
      <c r="N59" cm="1">
        <f t="array" aca="1" ref="N59" ca="1">IF(C59=0,"-",INDEX($N$94:$N$162,$C59))</f>
        <v>1</v>
      </c>
      <c r="O59" t="e" cm="1">
        <f t="array" aca="1" ref="O59" ca="1">IF(C59=0,"-",INDEX(#REF!,$C59))</f>
        <v>#REF!</v>
      </c>
      <c r="P59" cm="1">
        <f t="array" aca="1" ref="P59" ca="1">IF($C59=0,"",IF(P$12&lt;&gt;$C$5,NA(),INDEX(auto_DataFlat_Score,INDEX(sys_DataFlat_LU_Grid,$C59,P$11))))</f>
        <v>0</v>
      </c>
      <c r="Q59" cm="1">
        <f t="array" aca="1" ref="Q59" ca="1">IF($C59=0,"",IF(Q$12&lt;&gt;$C$5,NA(),INDEX(auto_DataFlat_Score,INDEX(sys_DataFlat_LU_Grid,$C59,Q$11))))</f>
        <v>0</v>
      </c>
      <c r="R59" cm="1">
        <f t="array" aca="1" ref="R59" ca="1">IF($C59=0,"",IF(R$12&lt;&gt;$C$5,NA(),INDEX(auto_DataFlat_Score,INDEX(sys_DataFlat_LU_Grid,$C59,R$11))))</f>
        <v>0</v>
      </c>
      <c r="S59" cm="1">
        <f t="array" aca="1" ref="S59" ca="1">IF($C59=0,"",IF(S$12&lt;&gt;$C$5,NA(),INDEX(auto_DataFlat_Score,INDEX(sys_DataFlat_LU_Grid,$C59,S$11))))</f>
        <v>0</v>
      </c>
      <c r="T59" cm="1">
        <f t="array" aca="1" ref="T59" ca="1">IF($C59=0,"",IF(T$12&lt;&gt;$C$5,NA(),INDEX(auto_DataFlat_Score,INDEX(sys_DataFlat_LU_Grid,$C59,T$11))))</f>
        <v>0</v>
      </c>
      <c r="U59" cm="1">
        <f t="array" aca="1" ref="U59" ca="1">IF($C59=0,"",IF(U$12&lt;&gt;$C$5,NA(),INDEX(auto_DataFlat_Score,INDEX(sys_DataFlat_LU_Grid,$C59,U$11))))</f>
        <v>0</v>
      </c>
      <c r="V59" cm="1">
        <f t="array" aca="1" ref="V59" ca="1">IF($C59=0,"",IF(V$12&lt;&gt;$C$5,NA(),INDEX(auto_DataFlat_Score,INDEX(sys_DataFlat_LU_Grid,$C59,V$11))))</f>
        <v>0</v>
      </c>
      <c r="W59" cm="1">
        <f t="array" aca="1" ref="W59" ca="1">IF($C59=0,"",IF(W$12&lt;&gt;$C$5,NA(),INDEX(auto_DataFlat_Score,INDEX(sys_DataFlat_LU_Grid,$C59,W$11))))</f>
        <v>0</v>
      </c>
      <c r="X59" cm="1">
        <f t="array" aca="1" ref="X59" ca="1">IF($C59=0,"",IF(X$12&lt;&gt;$C$5,NA(),INDEX(auto_DataFlat_Score,INDEX(sys_DataFlat_LU_Grid,$C59,X$11))))</f>
        <v>0</v>
      </c>
      <c r="Y59" cm="1">
        <f t="array" aca="1" ref="Y59" ca="1">IF($C59=0,"",IF(Y$12&lt;&gt;$C$5,NA(),INDEX(auto_DataFlat_Score,INDEX(sys_DataFlat_LU_Grid,$C59,Y$11))))</f>
        <v>0</v>
      </c>
      <c r="Z59" cm="1">
        <f t="array" aca="1" ref="Z59" ca="1">IF($C59=0,"",IF(Z$12&lt;&gt;$C$5,NA(),INDEX(auto_DataFlat_Score,INDEX(sys_DataFlat_LU_Grid,$C59,Z$11))))</f>
        <v>0</v>
      </c>
      <c r="AA59" cm="1">
        <f t="array" aca="1" ref="AA59" ca="1">IF($C59=0,"",IF(AA$12&lt;&gt;$C$5,NA(),INDEX(auto_DataFlat_Score,INDEX(sys_DataFlat_LU_Grid,$C59,AA$11))))</f>
        <v>0</v>
      </c>
      <c r="AB59" cm="1">
        <f t="array" aca="1" ref="AB59" ca="1">IF($C59=0,"",IF(AB$12&lt;&gt;$C$5,NA(),INDEX(auto_DataFlat_Score,INDEX(sys_DataFlat_LU_Grid,$C59,AB$11))))</f>
        <v>0</v>
      </c>
      <c r="AC59" cm="1">
        <f t="array" aca="1" ref="AC59" ca="1">IF($C59=0,"",IF(AC$12&lt;&gt;$C$5,NA(),INDEX(auto_DataFlat_Score,INDEX(sys_DataFlat_LU_Grid,$C59,AC$11))))</f>
        <v>0</v>
      </c>
      <c r="AD59" cm="1">
        <f t="array" aca="1" ref="AD59" ca="1">IF($C59=0,"",IF(AD$12&lt;&gt;$C$5,NA(),INDEX(auto_DataFlat_Score,INDEX(sys_DataFlat_LU_Grid,$C59,AD$11))))</f>
        <v>0</v>
      </c>
      <c r="AE59" cm="1">
        <f t="array" aca="1" ref="AE59" ca="1">IF($C59=0,"",IF(AE$12&lt;&gt;$C$5,NA(),INDEX(auto_DataFlat_Score,INDEX(sys_DataFlat_LU_Grid,$C59,AE$11))))</f>
        <v>0</v>
      </c>
      <c r="AF59" cm="1">
        <f t="array" aca="1" ref="AF59" ca="1">IF($C59=0,"",IF(AF$12&lt;&gt;$C$5,NA(),INDEX(auto_DataFlat_Score,INDEX(sys_DataFlat_LU_Grid,$C59,AF$11))))</f>
        <v>0</v>
      </c>
      <c r="AG59" cm="1">
        <f t="array" aca="1" ref="AG59" ca="1">IF($C59=0,"",IF(AG$12&lt;&gt;$C$5,NA(),INDEX(auto_DataFlat_Score,INDEX(sys_DataFlat_LU_Grid,$C59,AG$11))))</f>
        <v>0</v>
      </c>
      <c r="AH59" cm="1">
        <f t="array" aca="1" ref="AH59" ca="1">IF($C59=0,"",IF(AH$12&lt;&gt;$C$5,NA(),INDEX(auto_DataFlat_Score,INDEX(sys_DataFlat_LU_Grid,$C59,AH$11))))</f>
        <v>0</v>
      </c>
      <c r="AI59" cm="1">
        <f t="array" aca="1" ref="AI59" ca="1">IF($C59=0,"",IF(AI$12&lt;&gt;$C$5,NA(),INDEX(auto_DataFlat_Score,INDEX(sys_DataFlat_LU_Grid,$C59,AI$11))))</f>
        <v>0</v>
      </c>
      <c r="AJ59" cm="1">
        <f t="array" aca="1" ref="AJ59" ca="1">IF($C59=0,"",IF(AJ$12&lt;&gt;$C$5,NA(),INDEX(auto_DataFlat_Score,INDEX(sys_DataFlat_LU_Grid,$C59,AJ$11))))</f>
        <v>0</v>
      </c>
      <c r="AK59" cm="1">
        <f t="array" aca="1" ref="AK59" ca="1">IF($C59=0,"",IF(AK$12&lt;&gt;$C$5,NA(),INDEX(auto_DataFlat_Score,INDEX(sys_DataFlat_LU_Grid,$C59,AK$11))))</f>
        <v>0</v>
      </c>
      <c r="AL59" cm="1">
        <f t="array" aca="1" ref="AL59" ca="1">IF($C59=0,"",IF(AL$12&lt;&gt;$C$5,NA(),INDEX(auto_DataFlat_Score,INDEX(sys_DataFlat_LU_Grid,$C59,AL$11))))</f>
        <v>0</v>
      </c>
      <c r="AM59" cm="1">
        <f t="array" aca="1" ref="AM59" ca="1">IF($C59=0,"",IF(AM$12&lt;&gt;$C$5,NA(),INDEX(auto_DataFlat_Score,INDEX(sys_DataFlat_LU_Grid,$C59,AM$11))))</f>
        <v>0</v>
      </c>
      <c r="AN59" cm="1">
        <f t="array" aca="1" ref="AN59" ca="1">IF($C59=0,"",IF(AN$12&lt;&gt;$C$5,NA(),INDEX(auto_DataFlat_Score,INDEX(sys_DataFlat_LU_Grid,$C59,AN$11))))</f>
        <v>0</v>
      </c>
      <c r="AO59" cm="1">
        <f t="array" aca="1" ref="AO59" ca="1">IF($C59=0,"",IF(AO$12&lt;&gt;$C$5,NA(),INDEX(auto_DataFlat_Score,INDEX(sys_DataFlat_LU_Grid,$C59,AO$11))))</f>
        <v>0</v>
      </c>
      <c r="AP59" cm="1">
        <f t="array" aca="1" ref="AP59" ca="1">IF($C59=0,"",IF(AP$12&lt;&gt;$C$5,NA(),INDEX(auto_DataFlat_Score,INDEX(sys_DataFlat_LU_Grid,$C59,AP$11))))</f>
        <v>0</v>
      </c>
      <c r="AQ59" cm="1">
        <f t="array" aca="1" ref="AQ59" ca="1">IF($C59=0,"",IF(AQ$12&lt;&gt;$C$5,NA(),INDEX(auto_DataFlat_Score,INDEX(sys_DataFlat_LU_Grid,$C59,AQ$11))))</f>
        <v>0</v>
      </c>
      <c r="AR59" cm="1">
        <f t="array" aca="1" ref="AR59" ca="1">IF($C59=0,"",IF(AR$12&lt;&gt;$C$5,NA(),INDEX(auto_DataFlat_Score,INDEX(sys_DataFlat_LU_Grid,$C59,AR$11))))</f>
        <v>0</v>
      </c>
      <c r="AS59" cm="1">
        <f t="array" aca="1" ref="AS59" ca="1">IF($C59=0,"",IF(AS$12&lt;&gt;$C$5,NA(),INDEX(auto_DataFlat_Score,INDEX(sys_DataFlat_LU_Grid,$C59,AS$11))))</f>
        <v>0</v>
      </c>
      <c r="AT59" cm="1">
        <f t="array" aca="1" ref="AT59" ca="1">IF($C59=0,"",IF(AT$12&lt;&gt;$C$5,NA(),INDEX(auto_DataFlat_Score,INDEX(sys_DataFlat_LU_Grid,$C59,AT$11))))</f>
        <v>0</v>
      </c>
      <c r="AU59" cm="1">
        <f t="array" aca="1" ref="AU59" ca="1">IF($C59=0,"",IF(AU$12&lt;&gt;$C$5,NA(),INDEX(auto_DataFlat_Score,INDEX(sys_DataFlat_LU_Grid,$C59,AU$11))))</f>
        <v>0</v>
      </c>
      <c r="AV59" cm="1">
        <f t="array" aca="1" ref="AV59" ca="1">IF($C59=0,"",IF(AV$12&lt;&gt;$C$5,NA(),INDEX(auto_DataFlat_Score,INDEX(sys_DataFlat_LU_Grid,$C59,AV$11))))</f>
        <v>0</v>
      </c>
      <c r="AW59" cm="1">
        <f t="array" aca="1" ref="AW59" ca="1">IF($C59=0,"",IF(AW$12&lt;&gt;$C$5,NA(),INDEX(auto_DataFlat_Score,INDEX(sys_DataFlat_LU_Grid,$C59,AW$11))))</f>
        <v>0</v>
      </c>
      <c r="AX59" cm="1">
        <f t="array" aca="1" ref="AX59" ca="1">IF($C59=0,"",IF(AX$12&lt;&gt;$C$5,NA(),INDEX(auto_DataFlat_Score,INDEX(sys_DataFlat_LU_Grid,$C59,AX$11))))</f>
        <v>0</v>
      </c>
      <c r="AY59" cm="1">
        <f t="array" aca="1" ref="AY59" ca="1">IF($C59=0,"",IF(AY$12&lt;&gt;$C$5,NA(),INDEX(auto_DataFlat_Score,INDEX(sys_DataFlat_LU_Grid,$C59,AY$11))))</f>
        <v>0</v>
      </c>
      <c r="AZ59" cm="1">
        <f t="array" aca="1" ref="AZ59" ca="1">IF($C59=0,"",IF(AZ$12&lt;&gt;$C$5,NA(),INDEX(auto_DataFlat_Score,INDEX(sys_DataFlat_LU_Grid,$C59,AZ$11))))</f>
        <v>0</v>
      </c>
      <c r="BA59" cm="1">
        <f t="array" aca="1" ref="BA59" ca="1">IF($C59=0,"",IF(BA$12&lt;&gt;$C$5,NA(),INDEX(auto_DataFlat_Score,INDEX(sys_DataFlat_LU_Grid,$C59,BA$11))))</f>
        <v>0</v>
      </c>
      <c r="BB59" cm="1">
        <f t="array" aca="1" ref="BB59" ca="1">IF($C59=0,"",IF(BB$12&lt;&gt;$C$5,NA(),INDEX(auto_DataFlat_Score,INDEX(sys_DataFlat_LU_Grid,$C59,BB$11))))</f>
        <v>0</v>
      </c>
      <c r="BC59" cm="1">
        <f t="array" aca="1" ref="BC59" ca="1">IF($C59=0,"",IF(BC$12&lt;&gt;$C$5,NA(),INDEX(auto_DataFlat_Score,INDEX(sys_DataFlat_LU_Grid,$C59,BC$11))))</f>
        <v>0</v>
      </c>
      <c r="BD59" cm="1">
        <f t="array" aca="1" ref="BD59" ca="1">IF($C59=0,"",IF(BD$12&lt;&gt;$C$5,NA(),INDEX(auto_DataFlat_Score,INDEX(sys_DataFlat_LU_Grid,$C59,BD$11))))</f>
        <v>0</v>
      </c>
      <c r="BE59" cm="1">
        <f t="array" aca="1" ref="BE59" ca="1">IF($C59=0,"",IF(BE$12&lt;&gt;$C$5,NA(),INDEX(auto_DataFlat_Score,INDEX(sys_DataFlat_LU_Grid,$C59,BE$11))))</f>
        <v>0</v>
      </c>
      <c r="BF59" cm="1">
        <f t="array" aca="1" ref="BF59" ca="1">IF($C59=0,"",IF(BF$12&lt;&gt;$C$5,NA(),INDEX(auto_DataFlat_Score,INDEX(sys_DataFlat_LU_Grid,$C59,BF$11))))</f>
        <v>0</v>
      </c>
      <c r="BG59" cm="1">
        <f t="array" aca="1" ref="BG59" ca="1">IF($C59=0,"",IF(BG$12&lt;&gt;$C$5,NA(),INDEX(auto_DataFlat_Score,INDEX(sys_DataFlat_LU_Grid,$C59,BG$11))))</f>
        <v>0</v>
      </c>
      <c r="BH59" cm="1">
        <f t="array" aca="1" ref="BH59" ca="1">IF($C59=0,"",IF(BH$12&lt;&gt;$C$5,NA(),INDEX(auto_DataFlat_Score,INDEX(sys_DataFlat_LU_Grid,$C59,BH$11))))</f>
        <v>0</v>
      </c>
      <c r="BI59" cm="1">
        <f t="array" aca="1" ref="BI59" ca="1">IF($C59=0,"",IF(BI$12&lt;&gt;$C$5,NA(),INDEX(auto_DataFlat_Score,INDEX(sys_DataFlat_LU_Grid,$C59,BI$11))))</f>
        <v>0</v>
      </c>
      <c r="BJ59" cm="1">
        <f t="array" aca="1" ref="BJ59" ca="1">IF($C59=0,"",IF(BJ$12&lt;&gt;$C$5,NA(),INDEX(auto_DataFlat_Score,INDEX(sys_DataFlat_LU_Grid,$C59,BJ$11))))</f>
        <v>0</v>
      </c>
      <c r="BK59" cm="1">
        <f t="array" aca="1" ref="BK59" ca="1">IF($C59=0,"",IF(BK$12&lt;&gt;$C$5,NA(),INDEX(auto_DataFlat_Score,INDEX(sys_DataFlat_LU_Grid,$C59,BK$11))))</f>
        <v>0</v>
      </c>
      <c r="BL59" cm="1">
        <f t="array" aca="1" ref="BL59" ca="1">IF($C59=0,"",IF(BL$12&lt;&gt;$C$5,NA(),INDEX(auto_DataFlat_Score,INDEX(sys_DataFlat_LU_Grid,$C59,BL$11))))</f>
        <v>0</v>
      </c>
      <c r="BM59" cm="1">
        <f t="array" aca="1" ref="BM59" ca="1">IF($C59=0,"",IF(BM$12&lt;&gt;$C$5,NA(),INDEX(auto_DataFlat_Score,INDEX(sys_DataFlat_LU_Grid,$C59,BM$11))))</f>
        <v>0</v>
      </c>
      <c r="BO59">
        <f t="shared" ref="BO59:BO72" ca="1" si="18">MIN(P59:BM59)</f>
        <v>0</v>
      </c>
      <c r="BP59">
        <f t="shared" ref="BP59:BP72" ca="1" si="19">MAX(P59:BM59)</f>
        <v>0</v>
      </c>
      <c r="BQ59" cm="1">
        <f t="array" aca="1" ref="BQ59" ca="1">IF(C59=0,0,INDEX(sys_DataFlat_LU_Grid_Groups,$C59,BQ$12))</f>
        <v>896</v>
      </c>
      <c r="BR59" cm="1">
        <f t="array" aca="1" ref="BR59" ca="1">IF(D59=0,0,INDEX(sys_DataFlat_LU_Grid_Groups,$C59,BR$12))</f>
        <v>899</v>
      </c>
      <c r="BU59" cm="1">
        <f t="array" aca="1" ref="BU59" ca="1">INDEX(auto_DataFlat_Score,BQ59)</f>
        <v>0</v>
      </c>
      <c r="BV59" cm="1">
        <f t="array" aca="1" ref="BV59" ca="1">INDEX(auto_DataFlat_Score,BR59)</f>
        <v>0</v>
      </c>
      <c r="BW59">
        <f t="shared" ref="BW59:BW72" ca="1" si="20">G59</f>
        <v>0</v>
      </c>
    </row>
    <row r="60" spans="2:75" x14ac:dyDescent="0.4">
      <c r="B60">
        <v>7</v>
      </c>
      <c r="C60" cm="1">
        <f t="array" aca="1" ref="C60" ca="1">INDEX(OFFSET(auto_ss_depth_2,0,1,300,1),B60)</f>
        <v>16</v>
      </c>
      <c r="D60" cm="1">
        <f t="array" aca="1" ref="D60" ca="1">IF(C60=0,0,INDEX(sys_DataFlat_LU_Grid_Groups,$C60,D$40))</f>
        <v>951</v>
      </c>
      <c r="E60" cm="1">
        <f t="array" aca="1" ref="E60" ca="1">IF(C60=0,0,INDEX(sys_DataFlat_LU_Grid_Groups,$C60,E$40))</f>
        <v>951</v>
      </c>
      <c r="F60">
        <v>3</v>
      </c>
      <c r="G60">
        <f t="shared" ca="1" si="13"/>
        <v>47.8</v>
      </c>
      <c r="H60" t="e" cm="1">
        <f t="array" ref="H60">IF($C$8=0,NA(),INDEX($P60:$BM60,$C$8))</f>
        <v>#N/A</v>
      </c>
      <c r="I60" cm="1">
        <f t="array" aca="1" ref="I60" ca="1">IF(C60=0,0,INDEX(sys_DataFlat_LU_Grid,$C60,$C$2))</f>
        <v>901</v>
      </c>
      <c r="J60" t="str" cm="1">
        <f t="array" aca="1" ref="J60" ca="1">IF(C60=0,"-",INDEX(auto_Series_NameNoNumber,C60))</f>
        <v>Open spaces and green areas</v>
      </c>
      <c r="K60" cm="1">
        <f t="array" aca="1" ref="K60" ca="1">IF(C60=0,"-",INDEX(K$94:K$162,$C60))</f>
        <v>42.5</v>
      </c>
      <c r="L60" t="str" cm="1">
        <f t="array" aca="1" ref="L60" ca="1">IF(C60=0,"-",INDEX(L$94:L$162,$C60))</f>
        <v>25</v>
      </c>
      <c r="M60">
        <f t="shared" ca="1" si="16"/>
        <v>-8.0265565403710756E-2</v>
      </c>
      <c r="N60" cm="1">
        <f t="array" aca="1" ref="N60" ca="1">IF(C60=0,"-",INDEX($N$94:$N$162,$C60))</f>
        <v>3</v>
      </c>
      <c r="O60" t="e" cm="1">
        <f t="array" aca="1" ref="O60" ca="1">IF(C60=0,"-",INDEX(#REF!,$C60))</f>
        <v>#REF!</v>
      </c>
      <c r="P60" cm="1">
        <f t="array" aca="1" ref="P60" ca="1">IF($C60=0,"",IF(P$12&lt;&gt;$C$5,NA(),INDEX(auto_DataFlat_Score,INDEX(sys_DataFlat_LU_Grid,$C60,P$11))))</f>
        <v>42.5</v>
      </c>
      <c r="Q60" cm="1">
        <f t="array" aca="1" ref="Q60" ca="1">IF($C60=0,"",IF(Q$12&lt;&gt;$C$5,NA(),INDEX(auto_DataFlat_Score,INDEX(sys_DataFlat_LU_Grid,$C60,Q$11))))</f>
        <v>41.7</v>
      </c>
      <c r="R60" cm="1">
        <f t="array" aca="1" ref="R60" ca="1">IF($C60=0,"",IF(R$12&lt;&gt;$C$5,NA(),INDEX(auto_DataFlat_Score,INDEX(sys_DataFlat_LU_Grid,$C60,R$11))))</f>
        <v>41.5</v>
      </c>
      <c r="S60" cm="1">
        <f t="array" aca="1" ref="S60" ca="1">IF($C60=0,"",IF(S$12&lt;&gt;$C$5,NA(),INDEX(auto_DataFlat_Score,INDEX(sys_DataFlat_LU_Grid,$C60,S$11))))</f>
        <v>99.1</v>
      </c>
      <c r="T60" cm="1">
        <f t="array" aca="1" ref="T60" ca="1">IF($C60=0,"",IF(T$12&lt;&gt;$C$5,NA(),INDEX(auto_DataFlat_Score,INDEX(sys_DataFlat_LU_Grid,$C60,T$11))))</f>
        <v>6</v>
      </c>
      <c r="U60" cm="1">
        <f t="array" aca="1" ref="U60" ca="1">IF($C60=0,"",IF(U$12&lt;&gt;$C$5,NA(),INDEX(auto_DataFlat_Score,INDEX(sys_DataFlat_LU_Grid,$C60,U$11))))</f>
        <v>30.3</v>
      </c>
      <c r="V60" cm="1">
        <f t="array" aca="1" ref="V60" ca="1">IF($C60=0,"",IF(V$12&lt;&gt;$C$5,NA(),INDEX(auto_DataFlat_Score,INDEX(sys_DataFlat_LU_Grid,$C60,V$11))))</f>
        <v>74.599999999999994</v>
      </c>
      <c r="W60" cm="1">
        <f t="array" aca="1" ref="W60" ca="1">IF($C60=0,"",IF(W$12&lt;&gt;$C$5,NA(),INDEX(auto_DataFlat_Score,INDEX(sys_DataFlat_LU_Grid,$C60,W$11))))</f>
        <v>98.1</v>
      </c>
      <c r="X60" cm="1">
        <f t="array" aca="1" ref="X60" ca="1">IF($C60=0,"",IF(X$12&lt;&gt;$C$5,NA(),INDEX(auto_DataFlat_Score,INDEX(sys_DataFlat_LU_Grid,$C60,X$11))))</f>
        <v>63.1</v>
      </c>
      <c r="Y60" cm="1">
        <f t="array" aca="1" ref="Y60" ca="1">IF($C60=0,"",IF(Y$12&lt;&gt;$C$5,NA(),INDEX(auto_DataFlat_Score,INDEX(sys_DataFlat_LU_Grid,$C60,Y$11))))</f>
        <v>5.2</v>
      </c>
      <c r="Z60" cm="1">
        <f t="array" aca="1" ref="Z60" ca="1">IF($C60=0,"",IF(Z$12&lt;&gt;$C$5,NA(),INDEX(auto_DataFlat_Score,INDEX(sys_DataFlat_LU_Grid,$C60,Z$11))))</f>
        <v>10.1</v>
      </c>
      <c r="AA60" cm="1">
        <f t="array" aca="1" ref="AA60" ca="1">IF($C60=0,"",IF(AA$12&lt;&gt;$C$5,NA(),INDEX(auto_DataFlat_Score,INDEX(sys_DataFlat_LU_Grid,$C60,AA$11))))</f>
        <v>29.3</v>
      </c>
      <c r="AB60" cm="1">
        <f t="array" aca="1" ref="AB60" ca="1">IF($C60=0,"",IF(AB$12&lt;&gt;$C$5,NA(),INDEX(auto_DataFlat_Score,INDEX(sys_DataFlat_LU_Grid,$C60,AB$11))))</f>
        <v>29.8</v>
      </c>
      <c r="AC60" cm="1">
        <f t="array" aca="1" ref="AC60" ca="1">IF($C60=0,"",IF(AC$12&lt;&gt;$C$5,NA(),INDEX(auto_DataFlat_Score,INDEX(sys_DataFlat_LU_Grid,$C60,AC$11))))</f>
        <v>41</v>
      </c>
      <c r="AD60" cm="1">
        <f t="array" aca="1" ref="AD60" ca="1">IF($C60=0,"",IF(AD$12&lt;&gt;$C$5,NA(),INDEX(auto_DataFlat_Score,INDEX(sys_DataFlat_LU_Grid,$C60,AD$11))))</f>
        <v>31.8</v>
      </c>
      <c r="AE60" cm="1">
        <f t="array" aca="1" ref="AE60" ca="1">IF($C60=0,"",IF(AE$12&lt;&gt;$C$5,NA(),INDEX(auto_DataFlat_Score,INDEX(sys_DataFlat_LU_Grid,$C60,AE$11))))</f>
        <v>28.1</v>
      </c>
      <c r="AF60" cm="1">
        <f t="array" aca="1" ref="AF60" ca="1">IF($C60=0,"",IF(AF$12&lt;&gt;$C$5,NA(),INDEX(auto_DataFlat_Score,INDEX(sys_DataFlat_LU_Grid,$C60,AF$11))))</f>
        <v>100</v>
      </c>
      <c r="AG60" cm="1">
        <f t="array" aca="1" ref="AG60" ca="1">IF($C60=0,"",IF(AG$12&lt;&gt;$C$5,NA(),INDEX(auto_DataFlat_Score,INDEX(sys_DataFlat_LU_Grid,$C60,AG$11))))</f>
        <v>64.400000000000006</v>
      </c>
      <c r="AH60" cm="1">
        <f t="array" aca="1" ref="AH60" ca="1">IF($C60=0,"",IF(AH$12&lt;&gt;$C$5,NA(),INDEX(auto_DataFlat_Score,INDEX(sys_DataFlat_LU_Grid,$C60,AH$11))))</f>
        <v>25.2</v>
      </c>
      <c r="AI60" cm="1">
        <f t="array" aca="1" ref="AI60" ca="1">IF($C60=0,"",IF(AI$12&lt;&gt;$C$5,NA(),INDEX(auto_DataFlat_Score,INDEX(sys_DataFlat_LU_Grid,$C60,AI$11))))</f>
        <v>10.3</v>
      </c>
      <c r="AJ60" cm="1">
        <f t="array" aca="1" ref="AJ60" ca="1">IF($C60=0,"",IF(AJ$12&lt;&gt;$C$5,NA(),INDEX(auto_DataFlat_Score,INDEX(sys_DataFlat_LU_Grid,$C60,AJ$11))))</f>
        <v>46.8</v>
      </c>
      <c r="AK60" cm="1">
        <f t="array" aca="1" ref="AK60" ca="1">IF($C60=0,"",IF(AK$12&lt;&gt;$C$5,NA(),INDEX(auto_DataFlat_Score,INDEX(sys_DataFlat_LU_Grid,$C60,AK$11))))</f>
        <v>46.5</v>
      </c>
      <c r="AL60" cm="1">
        <f t="array" aca="1" ref="AL60" ca="1">IF($C60=0,"",IF(AL$12&lt;&gt;$C$5,NA(),INDEX(auto_DataFlat_Score,INDEX(sys_DataFlat_LU_Grid,$C60,AL$11))))</f>
        <v>25.3</v>
      </c>
      <c r="AM60" cm="1">
        <f t="array" aca="1" ref="AM60" ca="1">IF($C60=0,"",IF(AM$12&lt;&gt;$C$5,NA(),INDEX(auto_DataFlat_Score,INDEX(sys_DataFlat_LU_Grid,$C60,AM$11))))</f>
        <v>51.7</v>
      </c>
      <c r="AN60" cm="1">
        <f t="array" aca="1" ref="AN60" ca="1">IF($C60=0,"",IF(AN$12&lt;&gt;$C$5,NA(),INDEX(auto_DataFlat_Score,INDEX(sys_DataFlat_LU_Grid,$C60,AN$11))))</f>
        <v>0</v>
      </c>
      <c r="AO60" cm="1">
        <f t="array" aca="1" ref="AO60" ca="1">IF($C60=0,"",IF(AO$12&lt;&gt;$C$5,NA(),INDEX(auto_DataFlat_Score,INDEX(sys_DataFlat_LU_Grid,$C60,AO$11))))</f>
        <v>90.5</v>
      </c>
      <c r="AP60" cm="1">
        <f t="array" aca="1" ref="AP60" ca="1">IF($C60=0,"",IF(AP$12&lt;&gt;$C$5,NA(),INDEX(auto_DataFlat_Score,INDEX(sys_DataFlat_LU_Grid,$C60,AP$11))))</f>
        <v>68.400000000000006</v>
      </c>
      <c r="AQ60" cm="1">
        <f t="array" aca="1" ref="AQ60" ca="1">IF($C60=0,"",IF(AQ$12&lt;&gt;$C$5,NA(),INDEX(auto_DataFlat_Score,INDEX(sys_DataFlat_LU_Grid,$C60,AQ$11))))</f>
        <v>26.5</v>
      </c>
      <c r="AR60" cm="1">
        <f t="array" aca="1" ref="AR60" ca="1">IF($C60=0,"",IF(AR$12&lt;&gt;$C$5,NA(),INDEX(auto_DataFlat_Score,INDEX(sys_DataFlat_LU_Grid,$C60,AR$11))))</f>
        <v>94.3</v>
      </c>
      <c r="AS60" cm="1">
        <f t="array" aca="1" ref="AS60" ca="1">IF($C60=0,"",IF(AS$12&lt;&gt;$C$5,NA(),INDEX(auto_DataFlat_Score,INDEX(sys_DataFlat_LU_Grid,$C60,AS$11))))</f>
        <v>47.9</v>
      </c>
      <c r="AT60" cm="1">
        <f t="array" aca="1" ref="AT60" ca="1">IF($C60=0,"",IF(AT$12&lt;&gt;$C$5,NA(),INDEX(auto_DataFlat_Score,INDEX(sys_DataFlat_LU_Grid,$C60,AT$11))))</f>
        <v>92.9</v>
      </c>
      <c r="AU60" cm="1">
        <f t="array" aca="1" ref="AU60" ca="1">IF($C60=0,"",IF(AU$12&lt;&gt;$C$5,NA(),INDEX(auto_DataFlat_Score,INDEX(sys_DataFlat_LU_Grid,$C60,AU$11))))</f>
        <v>34.5</v>
      </c>
      <c r="AV60" cm="1">
        <f t="array" aca="1" ref="AV60" ca="1">IF($C60=0,"",IF(AV$12&lt;&gt;$C$5,NA(),INDEX(auto_DataFlat_Score,INDEX(sys_DataFlat_LU_Grid,$C60,AV$11))))</f>
        <v>13.4</v>
      </c>
      <c r="AW60" cm="1">
        <f t="array" aca="1" ref="AW60" ca="1">IF($C60=0,"",IF(AW$12&lt;&gt;$C$5,NA(),INDEX(auto_DataFlat_Score,INDEX(sys_DataFlat_LU_Grid,$C60,AW$11))))</f>
        <v>78</v>
      </c>
      <c r="AX60" cm="1">
        <f t="array" aca="1" ref="AX60" ca="1">IF($C60=0,"",IF(AX$12&lt;&gt;$C$5,NA(),INDEX(auto_DataFlat_Score,INDEX(sys_DataFlat_LU_Grid,$C60,AX$11))))</f>
        <v>79.400000000000006</v>
      </c>
      <c r="AY60" cm="1">
        <f t="array" aca="1" ref="AY60" ca="1">IF($C60=0,"",IF(AY$12&lt;&gt;$C$5,NA(),INDEX(auto_DataFlat_Score,INDEX(sys_DataFlat_LU_Grid,$C60,AY$11))))</f>
        <v>54.4</v>
      </c>
      <c r="AZ60" cm="1">
        <f t="array" aca="1" ref="AZ60" ca="1">IF($C60=0,"",IF(AZ$12&lt;&gt;$C$5,NA(),INDEX(auto_DataFlat_Score,INDEX(sys_DataFlat_LU_Grid,$C60,AZ$11))))</f>
        <v>25.7</v>
      </c>
      <c r="BA60" cm="1">
        <f t="array" aca="1" ref="BA60" ca="1">IF($C60=0,"",IF(BA$12&lt;&gt;$C$5,NA(),INDEX(auto_DataFlat_Score,INDEX(sys_DataFlat_LU_Grid,$C60,BA$11))))</f>
        <v>4.0999999999999996</v>
      </c>
      <c r="BB60" cm="1">
        <f t="array" aca="1" ref="BB60" ca="1">IF($C60=0,"",IF(BB$12&lt;&gt;$C$5,NA(),INDEX(auto_DataFlat_Score,INDEX(sys_DataFlat_LU_Grid,$C60,BB$11))))</f>
        <v>63.6</v>
      </c>
      <c r="BC60" cm="1">
        <f t="array" aca="1" ref="BC60" ca="1">IF($C60=0,"",IF(BC$12&lt;&gt;$C$5,NA(),INDEX(auto_DataFlat_Score,INDEX(sys_DataFlat_LU_Grid,$C60,BC$11))))</f>
        <v>41.5</v>
      </c>
      <c r="BD60" cm="1">
        <f t="array" aca="1" ref="BD60" ca="1">IF($C60=0,"",IF(BD$12&lt;&gt;$C$5,NA(),INDEX(auto_DataFlat_Score,INDEX(sys_DataFlat_LU_Grid,$C60,BD$11))))</f>
        <v>57.1</v>
      </c>
      <c r="BE60" cm="1">
        <f t="array" aca="1" ref="BE60" ca="1">IF($C60=0,"",IF(BE$12&lt;&gt;$C$5,NA(),INDEX(auto_DataFlat_Score,INDEX(sys_DataFlat_LU_Grid,$C60,BE$11))))</f>
        <v>51</v>
      </c>
      <c r="BF60" cm="1">
        <f t="array" aca="1" ref="BF60" ca="1">IF($C60=0,"",IF(BF$12&lt;&gt;$C$5,NA(),INDEX(auto_DataFlat_Score,INDEX(sys_DataFlat_LU_Grid,$C60,BF$11))))</f>
        <v>30.3</v>
      </c>
      <c r="BG60" cm="1">
        <f t="array" aca="1" ref="BG60" ca="1">IF($C60=0,"",IF(BG$12&lt;&gt;$C$5,NA(),INDEX(auto_DataFlat_Score,INDEX(sys_DataFlat_LU_Grid,$C60,BG$11))))</f>
        <v>77.099999999999994</v>
      </c>
      <c r="BH60" cm="1">
        <f t="array" aca="1" ref="BH60" ca="1">IF($C60=0,"",IF(BH$12&lt;&gt;$C$5,NA(),INDEX(auto_DataFlat_Score,INDEX(sys_DataFlat_LU_Grid,$C60,BH$11))))</f>
        <v>32.200000000000003</v>
      </c>
      <c r="BI60" cm="1">
        <f t="array" aca="1" ref="BI60" ca="1">IF($C60=0,"",IF(BI$12&lt;&gt;$C$5,NA(),INDEX(auto_DataFlat_Score,INDEX(sys_DataFlat_LU_Grid,$C60,BI$11))))</f>
        <v>82.6</v>
      </c>
      <c r="BJ60" cm="1">
        <f t="array" aca="1" ref="BJ60" ca="1">IF($C60=0,"",IF(BJ$12&lt;&gt;$C$5,NA(),INDEX(auto_DataFlat_Score,INDEX(sys_DataFlat_LU_Grid,$C60,BJ$11))))</f>
        <v>98.2</v>
      </c>
      <c r="BK60" cm="1">
        <f t="array" aca="1" ref="BK60" ca="1">IF($C60=0,"",IF(BK$12&lt;&gt;$C$5,NA(),INDEX(auto_DataFlat_Score,INDEX(sys_DataFlat_LU_Grid,$C60,BK$11))))</f>
        <v>79.7</v>
      </c>
      <c r="BL60" cm="1">
        <f t="array" aca="1" ref="BL60" ca="1">IF($C60=0,"",IF(BL$12&lt;&gt;$C$5,NA(),INDEX(auto_DataFlat_Score,INDEX(sys_DataFlat_LU_Grid,$C60,BL$11))))</f>
        <v>11.1</v>
      </c>
      <c r="BM60" cm="1">
        <f t="array" aca="1" ref="BM60" ca="1">IF($C60=0,"",IF(BM$12&lt;&gt;$C$5,NA(),INDEX(auto_DataFlat_Score,INDEX(sys_DataFlat_LU_Grid,$C60,BM$11))))</f>
        <v>11.3</v>
      </c>
      <c r="BO60">
        <f t="shared" ca="1" si="18"/>
        <v>0</v>
      </c>
      <c r="BP60">
        <f t="shared" ca="1" si="19"/>
        <v>100</v>
      </c>
      <c r="BQ60" cm="1">
        <f t="array" aca="1" ref="BQ60" ca="1">IF(C60=0,0,INDEX(sys_DataFlat_LU_Grid_Groups,$C60,BQ$12))</f>
        <v>956</v>
      </c>
      <c r="BR60" cm="1">
        <f t="array" aca="1" ref="BR60" ca="1">IF(D60=0,0,INDEX(sys_DataFlat_LU_Grid_Groups,$C60,BR$12))</f>
        <v>959</v>
      </c>
      <c r="BU60" cm="1">
        <f t="array" aca="1" ref="BU60" ca="1">INDEX(auto_DataFlat_Score,BQ60)</f>
        <v>26.5</v>
      </c>
      <c r="BV60" cm="1">
        <f t="array" aca="1" ref="BV60" ca="1">INDEX(auto_DataFlat_Score,BR60)</f>
        <v>43.1</v>
      </c>
      <c r="BW60">
        <f t="shared" ca="1" si="20"/>
        <v>47.8</v>
      </c>
    </row>
    <row r="61" spans="2:75" x14ac:dyDescent="0.4">
      <c r="B61">
        <v>8</v>
      </c>
      <c r="C61" cm="1">
        <f t="array" aca="1" ref="C61" ca="1">INDEX(OFFSET(auto_ss_depth_2,0,1,300,1),B61)</f>
        <v>17</v>
      </c>
      <c r="D61" cm="1">
        <f t="array" aca="1" ref="D61" ca="1">IF(C61=0,0,INDEX(sys_DataFlat_LU_Grid_Groups,$C61,D$40))</f>
        <v>1011</v>
      </c>
      <c r="E61" cm="1">
        <f t="array" aca="1" ref="E61" ca="1">IF(C61=0,0,INDEX(sys_DataFlat_LU_Grid_Groups,$C61,E$40))</f>
        <v>1011</v>
      </c>
      <c r="F61">
        <v>4</v>
      </c>
      <c r="G61">
        <f t="shared" ca="1" si="13"/>
        <v>70</v>
      </c>
      <c r="H61" t="e" cm="1">
        <f t="array" ref="H61">IF($C$8=0,NA(),INDEX($P61:$BM61,$C$8))</f>
        <v>#N/A</v>
      </c>
      <c r="I61" cm="1">
        <f t="array" aca="1" ref="I61" ca="1">IF(C61=0,0,INDEX(sys_DataFlat_LU_Grid,$C61,$C$2))</f>
        <v>961</v>
      </c>
      <c r="J61" t="str" cm="1">
        <f t="array" aca="1" ref="J61" ca="1">IF(C61=0,"-",INDEX(auto_Series_NameNoNumber,C61))</f>
        <v>Active transport</v>
      </c>
      <c r="K61" cm="1">
        <f t="array" aca="1" ref="K61" ca="1">IF(C61=0,"-",INDEX(K$94:K$162,$C61))</f>
        <v>0</v>
      </c>
      <c r="L61" t="str" cm="1">
        <f t="array" aca="1" ref="L61" ca="1">IF(C61=0,"-",INDEX(L$94:L$162,$C61))</f>
        <v>=38</v>
      </c>
      <c r="M61">
        <f t="shared" ca="1" si="16"/>
        <v>-1.0874603324051446</v>
      </c>
      <c r="N61" cm="1">
        <f t="array" aca="1" ref="N61" ca="1">IF(C61=0,"-",INDEX($N$94:$N$162,$C61))</f>
        <v>1</v>
      </c>
      <c r="O61" t="e" cm="1">
        <f t="array" aca="1" ref="O61" ca="1">IF(C61=0,"-",INDEX(#REF!,$C61))</f>
        <v>#REF!</v>
      </c>
      <c r="P61" cm="1">
        <f t="array" aca="1" ref="P61" ca="1">IF($C61=0,"",IF(P$12&lt;&gt;$C$5,NA(),INDEX(auto_DataFlat_Score,INDEX(sys_DataFlat_LU_Grid,$C61,P$11))))</f>
        <v>0</v>
      </c>
      <c r="Q61" cm="1">
        <f t="array" aca="1" ref="Q61" ca="1">IF($C61=0,"",IF(Q$12&lt;&gt;$C$5,NA(),INDEX(auto_DataFlat_Score,INDEX(sys_DataFlat_LU_Grid,$C61,Q$11))))</f>
        <v>0</v>
      </c>
      <c r="R61" cm="1">
        <f t="array" aca="1" ref="R61" ca="1">IF($C61=0,"",IF(R$12&lt;&gt;$C$5,NA(),INDEX(auto_DataFlat_Score,INDEX(sys_DataFlat_LU_Grid,$C61,R$11))))</f>
        <v>50</v>
      </c>
      <c r="S61" cm="1">
        <f t="array" aca="1" ref="S61" ca="1">IF($C61=0,"",IF(S$12&lt;&gt;$C$5,NA(),INDEX(auto_DataFlat_Score,INDEX(sys_DataFlat_LU_Grid,$C61,S$11))))</f>
        <v>100</v>
      </c>
      <c r="T61" cm="1">
        <f t="array" aca="1" ref="T61" ca="1">IF($C61=0,"",IF(T$12&lt;&gt;$C$5,NA(),INDEX(auto_DataFlat_Score,INDEX(sys_DataFlat_LU_Grid,$C61,T$11))))</f>
        <v>100</v>
      </c>
      <c r="U61" cm="1">
        <f t="array" aca="1" ref="U61" ca="1">IF($C61=0,"",IF(U$12&lt;&gt;$C$5,NA(),INDEX(auto_DataFlat_Score,INDEX(sys_DataFlat_LU_Grid,$C61,U$11))))</f>
        <v>100</v>
      </c>
      <c r="V61" cm="1">
        <f t="array" aca="1" ref="V61" ca="1">IF($C61=0,"",IF(V$12&lt;&gt;$C$5,NA(),INDEX(auto_DataFlat_Score,INDEX(sys_DataFlat_LU_Grid,$C61,V$11))))</f>
        <v>100</v>
      </c>
      <c r="W61" cm="1">
        <f t="array" aca="1" ref="W61" ca="1">IF($C61=0,"",IF(W$12&lt;&gt;$C$5,NA(),INDEX(auto_DataFlat_Score,INDEX(sys_DataFlat_LU_Grid,$C61,W$11))))</f>
        <v>100</v>
      </c>
      <c r="X61" cm="1">
        <f t="array" aca="1" ref="X61" ca="1">IF($C61=0,"",IF(X$12&lt;&gt;$C$5,NA(),INDEX(auto_DataFlat_Score,INDEX(sys_DataFlat_LU_Grid,$C61,X$11))))</f>
        <v>100</v>
      </c>
      <c r="Y61" cm="1">
        <f t="array" aca="1" ref="Y61" ca="1">IF($C61=0,"",IF(Y$12&lt;&gt;$C$5,NA(),INDEX(auto_DataFlat_Score,INDEX(sys_DataFlat_LU_Grid,$C61,Y$11))))</f>
        <v>0</v>
      </c>
      <c r="Z61" cm="1">
        <f t="array" aca="1" ref="Z61" ca="1">IF($C61=0,"",IF(Z$12&lt;&gt;$C$5,NA(),INDEX(auto_DataFlat_Score,INDEX(sys_DataFlat_LU_Grid,$C61,Z$11))))</f>
        <v>0</v>
      </c>
      <c r="AA61" cm="1">
        <f t="array" aca="1" ref="AA61" ca="1">IF($C61=0,"",IF(AA$12&lt;&gt;$C$5,NA(),INDEX(auto_DataFlat_Score,INDEX(sys_DataFlat_LU_Grid,$C61,AA$11))))</f>
        <v>0</v>
      </c>
      <c r="AB61" cm="1">
        <f t="array" aca="1" ref="AB61" ca="1">IF($C61=0,"",IF(AB$12&lt;&gt;$C$5,NA(),INDEX(auto_DataFlat_Score,INDEX(sys_DataFlat_LU_Grid,$C61,AB$11))))</f>
        <v>50</v>
      </c>
      <c r="AC61" cm="1">
        <f t="array" aca="1" ref="AC61" ca="1">IF($C61=0,"",IF(AC$12&lt;&gt;$C$5,NA(),INDEX(auto_DataFlat_Score,INDEX(sys_DataFlat_LU_Grid,$C61,AC$11))))</f>
        <v>100</v>
      </c>
      <c r="AD61" cm="1">
        <f t="array" aca="1" ref="AD61" ca="1">IF($C61=0,"",IF(AD$12&lt;&gt;$C$5,NA(),INDEX(auto_DataFlat_Score,INDEX(sys_DataFlat_LU_Grid,$C61,AD$11))))</f>
        <v>100</v>
      </c>
      <c r="AE61" cm="1">
        <f t="array" aca="1" ref="AE61" ca="1">IF($C61=0,"",IF(AE$12&lt;&gt;$C$5,NA(),INDEX(auto_DataFlat_Score,INDEX(sys_DataFlat_LU_Grid,$C61,AE$11))))</f>
        <v>50</v>
      </c>
      <c r="AF61" cm="1">
        <f t="array" aca="1" ref="AF61" ca="1">IF($C61=0,"",IF(AF$12&lt;&gt;$C$5,NA(),INDEX(auto_DataFlat_Score,INDEX(sys_DataFlat_LU_Grid,$C61,AF$11))))</f>
        <v>100</v>
      </c>
      <c r="AG61" cm="1">
        <f t="array" aca="1" ref="AG61" ca="1">IF($C61=0,"",IF(AG$12&lt;&gt;$C$5,NA(),INDEX(auto_DataFlat_Score,INDEX(sys_DataFlat_LU_Grid,$C61,AG$11))))</f>
        <v>100</v>
      </c>
      <c r="AH61" cm="1">
        <f t="array" aca="1" ref="AH61" ca="1">IF($C61=0,"",IF(AH$12&lt;&gt;$C$5,NA(),INDEX(auto_DataFlat_Score,INDEX(sys_DataFlat_LU_Grid,$C61,AH$11))))</f>
        <v>100</v>
      </c>
      <c r="AI61" cm="1">
        <f t="array" aca="1" ref="AI61" ca="1">IF($C61=0,"",IF(AI$12&lt;&gt;$C$5,NA(),INDEX(auto_DataFlat_Score,INDEX(sys_DataFlat_LU_Grid,$C61,AI$11))))</f>
        <v>50</v>
      </c>
      <c r="AJ61" cm="1">
        <f t="array" aca="1" ref="AJ61" ca="1">IF($C61=0,"",IF(AJ$12&lt;&gt;$C$5,NA(),INDEX(auto_DataFlat_Score,INDEX(sys_DataFlat_LU_Grid,$C61,AJ$11))))</f>
        <v>0</v>
      </c>
      <c r="AK61" cm="1">
        <f t="array" aca="1" ref="AK61" ca="1">IF($C61=0,"",IF(AK$12&lt;&gt;$C$5,NA(),INDEX(auto_DataFlat_Score,INDEX(sys_DataFlat_LU_Grid,$C61,AK$11))))</f>
        <v>100</v>
      </c>
      <c r="AL61" cm="1">
        <f t="array" aca="1" ref="AL61" ca="1">IF($C61=0,"",IF(AL$12&lt;&gt;$C$5,NA(),INDEX(auto_DataFlat_Score,INDEX(sys_DataFlat_LU_Grid,$C61,AL$11))))</f>
        <v>0</v>
      </c>
      <c r="AM61" cm="1">
        <f t="array" aca="1" ref="AM61" ca="1">IF($C61=0,"",IF(AM$12&lt;&gt;$C$5,NA(),INDEX(auto_DataFlat_Score,INDEX(sys_DataFlat_LU_Grid,$C61,AM$11))))</f>
        <v>0</v>
      </c>
      <c r="AN61" cm="1">
        <f t="array" aca="1" ref="AN61" ca="1">IF($C61=0,"",IF(AN$12&lt;&gt;$C$5,NA(),INDEX(auto_DataFlat_Score,INDEX(sys_DataFlat_LU_Grid,$C61,AN$11))))</f>
        <v>0</v>
      </c>
      <c r="AO61" cm="1">
        <f t="array" aca="1" ref="AO61" ca="1">IF($C61=0,"",IF(AO$12&lt;&gt;$C$5,NA(),INDEX(auto_DataFlat_Score,INDEX(sys_DataFlat_LU_Grid,$C61,AO$11))))</f>
        <v>100</v>
      </c>
      <c r="AP61" cm="1">
        <f t="array" aca="1" ref="AP61" ca="1">IF($C61=0,"",IF(AP$12&lt;&gt;$C$5,NA(),INDEX(auto_DataFlat_Score,INDEX(sys_DataFlat_LU_Grid,$C61,AP$11))))</f>
        <v>100</v>
      </c>
      <c r="AQ61" cm="1">
        <f t="array" aca="1" ref="AQ61" ca="1">IF($C61=0,"",IF(AQ$12&lt;&gt;$C$5,NA(),INDEX(auto_DataFlat_Score,INDEX(sys_DataFlat_LU_Grid,$C61,AQ$11))))</f>
        <v>100</v>
      </c>
      <c r="AR61" cm="1">
        <f t="array" aca="1" ref="AR61" ca="1">IF($C61=0,"",IF(AR$12&lt;&gt;$C$5,NA(),INDEX(auto_DataFlat_Score,INDEX(sys_DataFlat_LU_Grid,$C61,AR$11))))</f>
        <v>100</v>
      </c>
      <c r="AS61" cm="1">
        <f t="array" aca="1" ref="AS61" ca="1">IF($C61=0,"",IF(AS$12&lt;&gt;$C$5,NA(),INDEX(auto_DataFlat_Score,INDEX(sys_DataFlat_LU_Grid,$C61,AS$11))))</f>
        <v>100</v>
      </c>
      <c r="AT61" cm="1">
        <f t="array" aca="1" ref="AT61" ca="1">IF($C61=0,"",IF(AT$12&lt;&gt;$C$5,NA(),INDEX(auto_DataFlat_Score,INDEX(sys_DataFlat_LU_Grid,$C61,AT$11))))</f>
        <v>100</v>
      </c>
      <c r="AU61" cm="1">
        <f t="array" aca="1" ref="AU61" ca="1">IF($C61=0,"",IF(AU$12&lt;&gt;$C$5,NA(),INDEX(auto_DataFlat_Score,INDEX(sys_DataFlat_LU_Grid,$C61,AU$11))))</f>
        <v>0</v>
      </c>
      <c r="AV61" cm="1">
        <f t="array" aca="1" ref="AV61" ca="1">IF($C61=0,"",IF(AV$12&lt;&gt;$C$5,NA(),INDEX(auto_DataFlat_Score,INDEX(sys_DataFlat_LU_Grid,$C61,AV$11))))</f>
        <v>100</v>
      </c>
      <c r="AW61" cm="1">
        <f t="array" aca="1" ref="AW61" ca="1">IF($C61=0,"",IF(AW$12&lt;&gt;$C$5,NA(),INDEX(auto_DataFlat_Score,INDEX(sys_DataFlat_LU_Grid,$C61,AW$11))))</f>
        <v>100</v>
      </c>
      <c r="AX61" cm="1">
        <f t="array" aca="1" ref="AX61" ca="1">IF($C61=0,"",IF(AX$12&lt;&gt;$C$5,NA(),INDEX(auto_DataFlat_Score,INDEX(sys_DataFlat_LU_Grid,$C61,AX$11))))</f>
        <v>100</v>
      </c>
      <c r="AY61" cm="1">
        <f t="array" aca="1" ref="AY61" ca="1">IF($C61=0,"",IF(AY$12&lt;&gt;$C$5,NA(),INDEX(auto_DataFlat_Score,INDEX(sys_DataFlat_LU_Grid,$C61,AY$11))))</f>
        <v>100</v>
      </c>
      <c r="AZ61" cm="1">
        <f t="array" aca="1" ref="AZ61" ca="1">IF($C61=0,"",IF(AZ$12&lt;&gt;$C$5,NA(),INDEX(auto_DataFlat_Score,INDEX(sys_DataFlat_LU_Grid,$C61,AZ$11))))</f>
        <v>0</v>
      </c>
      <c r="BA61" cm="1">
        <f t="array" aca="1" ref="BA61" ca="1">IF($C61=0,"",IF(BA$12&lt;&gt;$C$5,NA(),INDEX(auto_DataFlat_Score,INDEX(sys_DataFlat_LU_Grid,$C61,BA$11))))</f>
        <v>0</v>
      </c>
      <c r="BB61" cm="1">
        <f t="array" aca="1" ref="BB61" ca="1">IF($C61=0,"",IF(BB$12&lt;&gt;$C$5,NA(),INDEX(auto_DataFlat_Score,INDEX(sys_DataFlat_LU_Grid,$C61,BB$11))))</f>
        <v>100</v>
      </c>
      <c r="BC61" cm="1">
        <f t="array" aca="1" ref="BC61" ca="1">IF($C61=0,"",IF(BC$12&lt;&gt;$C$5,NA(),INDEX(auto_DataFlat_Score,INDEX(sys_DataFlat_LU_Grid,$C61,BC$11))))</f>
        <v>100</v>
      </c>
      <c r="BD61" cm="1">
        <f t="array" aca="1" ref="BD61" ca="1">IF($C61=0,"",IF(BD$12&lt;&gt;$C$5,NA(),INDEX(auto_DataFlat_Score,INDEX(sys_DataFlat_LU_Grid,$C61,BD$11))))</f>
        <v>100</v>
      </c>
      <c r="BE61" cm="1">
        <f t="array" aca="1" ref="BE61" ca="1">IF($C61=0,"",IF(BE$12&lt;&gt;$C$5,NA(),INDEX(auto_DataFlat_Score,INDEX(sys_DataFlat_LU_Grid,$C61,BE$11))))</f>
        <v>100</v>
      </c>
      <c r="BF61" cm="1">
        <f t="array" aca="1" ref="BF61" ca="1">IF($C61=0,"",IF(BF$12&lt;&gt;$C$5,NA(),INDEX(auto_DataFlat_Score,INDEX(sys_DataFlat_LU_Grid,$C61,BF$11))))</f>
        <v>100</v>
      </c>
      <c r="BG61" cm="1">
        <f t="array" aca="1" ref="BG61" ca="1">IF($C61=0,"",IF(BG$12&lt;&gt;$C$5,NA(),INDEX(auto_DataFlat_Score,INDEX(sys_DataFlat_LU_Grid,$C61,BG$11))))</f>
        <v>100</v>
      </c>
      <c r="BH61" cm="1">
        <f t="array" aca="1" ref="BH61" ca="1">IF($C61=0,"",IF(BH$12&lt;&gt;$C$5,NA(),INDEX(auto_DataFlat_Score,INDEX(sys_DataFlat_LU_Grid,$C61,BH$11))))</f>
        <v>100</v>
      </c>
      <c r="BI61" cm="1">
        <f t="array" aca="1" ref="BI61" ca="1">IF($C61=0,"",IF(BI$12&lt;&gt;$C$5,NA(),INDEX(auto_DataFlat_Score,INDEX(sys_DataFlat_LU_Grid,$C61,BI$11))))</f>
        <v>100</v>
      </c>
      <c r="BJ61" cm="1">
        <f t="array" aca="1" ref="BJ61" ca="1">IF($C61=0,"",IF(BJ$12&lt;&gt;$C$5,NA(),INDEX(auto_DataFlat_Score,INDEX(sys_DataFlat_LU_Grid,$C61,BJ$11))))</f>
        <v>100</v>
      </c>
      <c r="BK61" cm="1">
        <f t="array" aca="1" ref="BK61" ca="1">IF($C61=0,"",IF(BK$12&lt;&gt;$C$5,NA(),INDEX(auto_DataFlat_Score,INDEX(sys_DataFlat_LU_Grid,$C61,BK$11))))</f>
        <v>100</v>
      </c>
      <c r="BL61" cm="1">
        <f t="array" aca="1" ref="BL61" ca="1">IF($C61=0,"",IF(BL$12&lt;&gt;$C$5,NA(),INDEX(auto_DataFlat_Score,INDEX(sys_DataFlat_LU_Grid,$C61,BL$11))))</f>
        <v>100</v>
      </c>
      <c r="BM61" cm="1">
        <f t="array" aca="1" ref="BM61" ca="1">IF($C61=0,"",IF(BM$12&lt;&gt;$C$5,NA(),INDEX(auto_DataFlat_Score,INDEX(sys_DataFlat_LU_Grid,$C61,BM$11))))</f>
        <v>0</v>
      </c>
      <c r="BO61">
        <f t="shared" ca="1" si="18"/>
        <v>0</v>
      </c>
      <c r="BP61">
        <f t="shared" ca="1" si="19"/>
        <v>100</v>
      </c>
      <c r="BQ61" cm="1">
        <f t="array" aca="1" ref="BQ61" ca="1">IF(C61=0,0,INDEX(sys_DataFlat_LU_Grid_Groups,$C61,BQ$12))</f>
        <v>1016</v>
      </c>
      <c r="BR61" cm="1">
        <f t="array" aca="1" ref="BR61" ca="1">IF(D61=0,0,INDEX(sys_DataFlat_LU_Grid_Groups,$C61,BR$12))</f>
        <v>1019</v>
      </c>
      <c r="BU61" cm="1">
        <f t="array" aca="1" ref="BU61" ca="1">INDEX(auto_DataFlat_Score,BQ61)</f>
        <v>35</v>
      </c>
      <c r="BV61" cm="1">
        <f t="array" aca="1" ref="BV61" ca="1">INDEX(auto_DataFlat_Score,BR61)</f>
        <v>95.5</v>
      </c>
      <c r="BW61">
        <f t="shared" ca="1" si="20"/>
        <v>70</v>
      </c>
    </row>
    <row r="62" spans="2:75" x14ac:dyDescent="0.4">
      <c r="B62">
        <v>9</v>
      </c>
      <c r="C62" cm="1">
        <f t="array" aca="1" ref="C62" ca="1">INDEX(OFFSET(auto_ss_depth_2,0,1,300,1),B62)</f>
        <v>18</v>
      </c>
      <c r="D62" cm="1">
        <f t="array" aca="1" ref="D62" ca="1">IF(C62=0,0,INDEX(sys_DataFlat_LU_Grid_Groups,$C62,D$40))</f>
        <v>1071</v>
      </c>
      <c r="E62" cm="1">
        <f t="array" aca="1" ref="E62" ca="1">IF(C62=0,0,INDEX(sys_DataFlat_LU_Grid_Groups,$C62,E$40))</f>
        <v>1071</v>
      </c>
      <c r="F62">
        <v>1</v>
      </c>
      <c r="G62">
        <f t="shared" ca="1" si="13"/>
        <v>61.6</v>
      </c>
      <c r="H62" t="e" cm="1">
        <f t="array" ref="H62">IF($C$8=0,NA(),INDEX($P62:$BM62,$C$8))</f>
        <v>#N/A</v>
      </c>
      <c r="I62" cm="1">
        <f t="array" aca="1" ref="I62" ca="1">IF(C62=0,0,INDEX(sys_DataFlat_LU_Grid,$C62,$C$2))</f>
        <v>1021</v>
      </c>
      <c r="J62" t="str" cm="1">
        <f t="array" aca="1" ref="J62" ca="1">IF(C62=0,"-",INDEX(auto_Series_NameNoNumber,C62))</f>
        <v>Food security</v>
      </c>
      <c r="K62" cm="1">
        <f t="array" aca="1" ref="K62" ca="1">IF(C62=0,"-",INDEX(K$94:K$162,$C62))</f>
        <v>71</v>
      </c>
      <c r="L62" t="str" cm="1">
        <f t="array" aca="1" ref="L62" ca="1">IF(C62=0,"-",INDEX(L$94:L$162,$C62))</f>
        <v>20</v>
      </c>
      <c r="M62">
        <f t="shared" ref="M62:M76" ca="1" si="21">IF(C62=0,"-",STANDARDIZE(K62,AVERAGE(P62:AA62),STDEV((P62:AA62))))</f>
        <v>1.6256066557838271</v>
      </c>
      <c r="N62" cm="1">
        <f t="array" aca="1" ref="N62" ca="1">IF(C62=0,"-",INDEX($N$94:$N$162,$C62))</f>
        <v>4</v>
      </c>
      <c r="O62" t="e" cm="1">
        <f t="array" aca="1" ref="O62" ca="1">IF(C62=0,"-",INDEX(#REF!,$C62))</f>
        <v>#REF!</v>
      </c>
      <c r="P62" cm="1">
        <f t="array" aca="1" ref="P62" ca="1">IF($C62=0,"",IF(P$12&lt;&gt;$C$5,NA(),INDEX(auto_DataFlat_Score,INDEX(sys_DataFlat_LU_Grid,$C62,P$11))))</f>
        <v>71</v>
      </c>
      <c r="Q62" cm="1">
        <f t="array" aca="1" ref="Q62" ca="1">IF($C62=0,"",IF(Q$12&lt;&gt;$C$5,NA(),INDEX(auto_DataFlat_Score,INDEX(sys_DataFlat_LU_Grid,$C62,Q$11))))</f>
        <v>40.299999999999997</v>
      </c>
      <c r="R62" cm="1">
        <f t="array" aca="1" ref="R62" ca="1">IF($C62=0,"",IF(R$12&lt;&gt;$C$5,NA(),INDEX(auto_DataFlat_Score,INDEX(sys_DataFlat_LU_Grid,$C62,R$11))))</f>
        <v>46.1</v>
      </c>
      <c r="S62" cm="1">
        <f t="array" aca="1" ref="S62" ca="1">IF($C62=0,"",IF(S$12&lt;&gt;$C$5,NA(),INDEX(auto_DataFlat_Score,INDEX(sys_DataFlat_LU_Grid,$C62,S$11))))</f>
        <v>42.5</v>
      </c>
      <c r="T62" cm="1">
        <f t="array" aca="1" ref="T62" ca="1">IF($C62=0,"",IF(T$12&lt;&gt;$C$5,NA(),INDEX(auto_DataFlat_Score,INDEX(sys_DataFlat_LU_Grid,$C62,T$11))))</f>
        <v>46.5</v>
      </c>
      <c r="U62" cm="1">
        <f t="array" aca="1" ref="U62" ca="1">IF($C62=0,"",IF(U$12&lt;&gt;$C$5,NA(),INDEX(auto_DataFlat_Score,INDEX(sys_DataFlat_LU_Grid,$C62,U$11))))</f>
        <v>47.1</v>
      </c>
      <c r="V62" cm="1">
        <f t="array" aca="1" ref="V62" ca="1">IF($C62=0,"",IF(V$12&lt;&gt;$C$5,NA(),INDEX(auto_DataFlat_Score,INDEX(sys_DataFlat_LU_Grid,$C62,V$11))))</f>
        <v>48.1</v>
      </c>
      <c r="W62" cm="1">
        <f t="array" aca="1" ref="W62" ca="1">IF($C62=0,"",IF(W$12&lt;&gt;$C$5,NA(),INDEX(auto_DataFlat_Score,INDEX(sys_DataFlat_LU_Grid,$C62,W$11))))</f>
        <v>81.8</v>
      </c>
      <c r="X62" cm="1">
        <f t="array" aca="1" ref="X62" ca="1">IF($C62=0,"",IF(X$12&lt;&gt;$C$5,NA(),INDEX(auto_DataFlat_Score,INDEX(sys_DataFlat_LU_Grid,$C62,X$11))))</f>
        <v>43.7</v>
      </c>
      <c r="Y62" cm="1">
        <f t="array" aca="1" ref="Y62" ca="1">IF($C62=0,"",IF(Y$12&lt;&gt;$C$5,NA(),INDEX(auto_DataFlat_Score,INDEX(sys_DataFlat_LU_Grid,$C62,Y$11))))</f>
        <v>35.799999999999997</v>
      </c>
      <c r="Z62" cm="1">
        <f t="array" aca="1" ref="Z62" ca="1">IF($C62=0,"",IF(Z$12&lt;&gt;$C$5,NA(),INDEX(auto_DataFlat_Score,INDEX(sys_DataFlat_LU_Grid,$C62,Z$11))))</f>
        <v>44.6</v>
      </c>
      <c r="AA62" cm="1">
        <f t="array" aca="1" ref="AA62" ca="1">IF($C62=0,"",IF(AA$12&lt;&gt;$C$5,NA(),INDEX(auto_DataFlat_Score,INDEX(sys_DataFlat_LU_Grid,$C62,AA$11))))</f>
        <v>36.200000000000003</v>
      </c>
      <c r="AB62" cm="1">
        <f t="array" aca="1" ref="AB62" ca="1">IF($C62=0,"",IF(AB$12&lt;&gt;$C$5,NA(),INDEX(auto_DataFlat_Score,INDEX(sys_DataFlat_LU_Grid,$C62,AB$11))))</f>
        <v>84.5</v>
      </c>
      <c r="AC62" cm="1">
        <f t="array" aca="1" ref="AC62" ca="1">IF($C62=0,"",IF(AC$12&lt;&gt;$C$5,NA(),INDEX(auto_DataFlat_Score,INDEX(sys_DataFlat_LU_Grid,$C62,AC$11))))</f>
        <v>45.1</v>
      </c>
      <c r="AD62" cm="1">
        <f t="array" aca="1" ref="AD62" ca="1">IF($C62=0,"",IF(AD$12&lt;&gt;$C$5,NA(),INDEX(auto_DataFlat_Score,INDEX(sys_DataFlat_LU_Grid,$C62,AD$11))))</f>
        <v>44.8</v>
      </c>
      <c r="AE62" cm="1">
        <f t="array" aca="1" ref="AE62" ca="1">IF($C62=0,"",IF(AE$12&lt;&gt;$C$5,NA(),INDEX(auto_DataFlat_Score,INDEX(sys_DataFlat_LU_Grid,$C62,AE$11))))</f>
        <v>45.5</v>
      </c>
      <c r="AF62" cm="1">
        <f t="array" aca="1" ref="AF62" ca="1">IF($C62=0,"",IF(AF$12&lt;&gt;$C$5,NA(),INDEX(auto_DataFlat_Score,INDEX(sys_DataFlat_LU_Grid,$C62,AF$11))))</f>
        <v>47.1</v>
      </c>
      <c r="AG62" cm="1">
        <f t="array" aca="1" ref="AG62" ca="1">IF($C62=0,"",IF(AG$12&lt;&gt;$C$5,NA(),INDEX(auto_DataFlat_Score,INDEX(sys_DataFlat_LU_Grid,$C62,AG$11))))</f>
        <v>46</v>
      </c>
      <c r="AH62" cm="1">
        <f t="array" aca="1" ref="AH62" ca="1">IF($C62=0,"",IF(AH$12&lt;&gt;$C$5,NA(),INDEX(auto_DataFlat_Score,INDEX(sys_DataFlat_LU_Grid,$C62,AH$11))))</f>
        <v>97.6</v>
      </c>
      <c r="AI62" cm="1">
        <f t="array" aca="1" ref="AI62" ca="1">IF($C62=0,"",IF(AI$12&lt;&gt;$C$5,NA(),INDEX(auto_DataFlat_Score,INDEX(sys_DataFlat_LU_Grid,$C62,AI$11))))</f>
        <v>89.9</v>
      </c>
      <c r="AJ62" cm="1">
        <f t="array" aca="1" ref="AJ62" ca="1">IF($C62=0,"",IF(AJ$12&lt;&gt;$C$5,NA(),INDEX(auto_DataFlat_Score,INDEX(sys_DataFlat_LU_Grid,$C62,AJ$11))))</f>
        <v>78.900000000000006</v>
      </c>
      <c r="AK62" cm="1">
        <f t="array" aca="1" ref="AK62" ca="1">IF($C62=0,"",IF(AK$12&lt;&gt;$C$5,NA(),INDEX(auto_DataFlat_Score,INDEX(sys_DataFlat_LU_Grid,$C62,AK$11))))</f>
        <v>31.3</v>
      </c>
      <c r="AL62" cm="1">
        <f t="array" aca="1" ref="AL62" ca="1">IF($C62=0,"",IF(AL$12&lt;&gt;$C$5,NA(),INDEX(auto_DataFlat_Score,INDEX(sys_DataFlat_LU_Grid,$C62,AL$11))))</f>
        <v>36.200000000000003</v>
      </c>
      <c r="AM62" cm="1">
        <f t="array" aca="1" ref="AM62" ca="1">IF($C62=0,"",IF(AM$12&lt;&gt;$C$5,NA(),INDEX(auto_DataFlat_Score,INDEX(sys_DataFlat_LU_Grid,$C62,AM$11))))</f>
        <v>44.6</v>
      </c>
      <c r="AN62" cm="1">
        <f t="array" aca="1" ref="AN62" ca="1">IF($C62=0,"",IF(AN$12&lt;&gt;$C$5,NA(),INDEX(auto_DataFlat_Score,INDEX(sys_DataFlat_LU_Grid,$C62,AN$11))))</f>
        <v>65.2</v>
      </c>
      <c r="AO62" cm="1">
        <f t="array" aca="1" ref="AO62" ca="1">IF($C62=0,"",IF(AO$12&lt;&gt;$C$5,NA(),INDEX(auto_DataFlat_Score,INDEX(sys_DataFlat_LU_Grid,$C62,AO$11))))</f>
        <v>98</v>
      </c>
      <c r="AP62" cm="1">
        <f t="array" aca="1" ref="AP62" ca="1">IF($C62=0,"",IF(AP$12&lt;&gt;$C$5,NA(),INDEX(auto_DataFlat_Score,INDEX(sys_DataFlat_LU_Grid,$C62,AP$11))))</f>
        <v>96</v>
      </c>
      <c r="AQ62" cm="1">
        <f t="array" aca="1" ref="AQ62" ca="1">IF($C62=0,"",IF(AQ$12&lt;&gt;$C$5,NA(),INDEX(auto_DataFlat_Score,INDEX(sys_DataFlat_LU_Grid,$C62,AQ$11))))</f>
        <v>77.7</v>
      </c>
      <c r="AR62" cm="1">
        <f t="array" aca="1" ref="AR62" ca="1">IF($C62=0,"",IF(AR$12&lt;&gt;$C$5,NA(),INDEX(auto_DataFlat_Score,INDEX(sys_DataFlat_LU_Grid,$C62,AR$11))))</f>
        <v>94.3</v>
      </c>
      <c r="AS62" cm="1">
        <f t="array" aca="1" ref="AS62" ca="1">IF($C62=0,"",IF(AS$12&lt;&gt;$C$5,NA(),INDEX(auto_DataFlat_Score,INDEX(sys_DataFlat_LU_Grid,$C62,AS$11))))</f>
        <v>86.2</v>
      </c>
      <c r="AT62" cm="1">
        <f t="array" aca="1" ref="AT62" ca="1">IF($C62=0,"",IF(AT$12&lt;&gt;$C$5,NA(),INDEX(auto_DataFlat_Score,INDEX(sys_DataFlat_LU_Grid,$C62,AT$11))))</f>
        <v>47.5</v>
      </c>
      <c r="AU62" cm="1">
        <f t="array" aca="1" ref="AU62" ca="1">IF($C62=0,"",IF(AU$12&lt;&gt;$C$5,NA(),INDEX(auto_DataFlat_Score,INDEX(sys_DataFlat_LU_Grid,$C62,AU$11))))</f>
        <v>36.200000000000003</v>
      </c>
      <c r="AV62" cm="1">
        <f t="array" aca="1" ref="AV62" ca="1">IF($C62=0,"",IF(AV$12&lt;&gt;$C$5,NA(),INDEX(auto_DataFlat_Score,INDEX(sys_DataFlat_LU_Grid,$C62,AV$11))))</f>
        <v>13.9</v>
      </c>
      <c r="AW62" cm="1">
        <f t="array" aca="1" ref="AW62" ca="1">IF($C62=0,"",IF(AW$12&lt;&gt;$C$5,NA(),INDEX(auto_DataFlat_Score,INDEX(sys_DataFlat_LU_Grid,$C62,AW$11))))</f>
        <v>96.1</v>
      </c>
      <c r="AX62" cm="1">
        <f t="array" aca="1" ref="AX62" ca="1">IF($C62=0,"",IF(AX$12&lt;&gt;$C$5,NA(),INDEX(auto_DataFlat_Score,INDEX(sys_DataFlat_LU_Grid,$C62,AX$11))))</f>
        <v>47.8</v>
      </c>
      <c r="AY62" cm="1">
        <f t="array" aca="1" ref="AY62" ca="1">IF($C62=0,"",IF(AY$12&lt;&gt;$C$5,NA(),INDEX(auto_DataFlat_Score,INDEX(sys_DataFlat_LU_Grid,$C62,AY$11))))</f>
        <v>96.7</v>
      </c>
      <c r="AZ62" cm="1">
        <f t="array" aca="1" ref="AZ62" ca="1">IF($C62=0,"",IF(AZ$12&lt;&gt;$C$5,NA(),INDEX(auto_DataFlat_Score,INDEX(sys_DataFlat_LU_Grid,$C62,AZ$11))))</f>
        <v>74.5</v>
      </c>
      <c r="BA62" cm="1">
        <f t="array" aca="1" ref="BA62" ca="1">IF($C62=0,"",IF(BA$12&lt;&gt;$C$5,NA(),INDEX(auto_DataFlat_Score,INDEX(sys_DataFlat_LU_Grid,$C62,BA$11))))</f>
        <v>36.299999999999997</v>
      </c>
      <c r="BB62" cm="1">
        <f t="array" aca="1" ref="BB62" ca="1">IF($C62=0,"",IF(BB$12&lt;&gt;$C$5,NA(),INDEX(auto_DataFlat_Score,INDEX(sys_DataFlat_LU_Grid,$C62,BB$11))))</f>
        <v>97.2</v>
      </c>
      <c r="BC62" cm="1">
        <f t="array" aca="1" ref="BC62" ca="1">IF($C62=0,"",IF(BC$12&lt;&gt;$C$5,NA(),INDEX(auto_DataFlat_Score,INDEX(sys_DataFlat_LU_Grid,$C62,BC$11))))</f>
        <v>96.1</v>
      </c>
      <c r="BD62" cm="1">
        <f t="array" aca="1" ref="BD62" ca="1">IF($C62=0,"",IF(BD$12&lt;&gt;$C$5,NA(),INDEX(auto_DataFlat_Score,INDEX(sys_DataFlat_LU_Grid,$C62,BD$11))))</f>
        <v>83.6</v>
      </c>
      <c r="BE62" cm="1">
        <f t="array" aca="1" ref="BE62" ca="1">IF($C62=0,"",IF(BE$12&lt;&gt;$C$5,NA(),INDEX(auto_DataFlat_Score,INDEX(sys_DataFlat_LU_Grid,$C62,BE$11))))</f>
        <v>47.2</v>
      </c>
      <c r="BF62" cm="1">
        <f t="array" aca="1" ref="BF62" ca="1">IF($C62=0,"",IF(BF$12&lt;&gt;$C$5,NA(),INDEX(auto_DataFlat_Score,INDEX(sys_DataFlat_LU_Grid,$C62,BF$11))))</f>
        <v>47.1</v>
      </c>
      <c r="BG62" cm="1">
        <f t="array" aca="1" ref="BG62" ca="1">IF($C62=0,"",IF(BG$12&lt;&gt;$C$5,NA(),INDEX(auto_DataFlat_Score,INDEX(sys_DataFlat_LU_Grid,$C62,BG$11))))</f>
        <v>96.7</v>
      </c>
      <c r="BH62" cm="1">
        <f t="array" aca="1" ref="BH62" ca="1">IF($C62=0,"",IF(BH$12&lt;&gt;$C$5,NA(),INDEX(auto_DataFlat_Score,INDEX(sys_DataFlat_LU_Grid,$C62,BH$11))))</f>
        <v>44.3</v>
      </c>
      <c r="BI62" cm="1">
        <f t="array" aca="1" ref="BI62" ca="1">IF($C62=0,"",IF(BI$12&lt;&gt;$C$5,NA(),INDEX(auto_DataFlat_Score,INDEX(sys_DataFlat_LU_Grid,$C62,BI$11))))</f>
        <v>47.8</v>
      </c>
      <c r="BJ62" cm="1">
        <f t="array" aca="1" ref="BJ62" ca="1">IF($C62=0,"",IF(BJ$12&lt;&gt;$C$5,NA(),INDEX(auto_DataFlat_Score,INDEX(sys_DataFlat_LU_Grid,$C62,BJ$11))))</f>
        <v>96.2</v>
      </c>
      <c r="BK62" cm="1">
        <f t="array" aca="1" ref="BK62" ca="1">IF($C62=0,"",IF(BK$12&lt;&gt;$C$5,NA(),INDEX(auto_DataFlat_Score,INDEX(sys_DataFlat_LU_Grid,$C62,BK$11))))</f>
        <v>47.9</v>
      </c>
      <c r="BL62" cm="1">
        <f t="array" aca="1" ref="BL62" ca="1">IF($C62=0,"",IF(BL$12&lt;&gt;$C$5,NA(),INDEX(auto_DataFlat_Score,INDEX(sys_DataFlat_LU_Grid,$C62,BL$11))))</f>
        <v>47.1</v>
      </c>
      <c r="BM62" cm="1">
        <f t="array" aca="1" ref="BM62" ca="1">IF($C62=0,"",IF(BM$12&lt;&gt;$C$5,NA(),INDEX(auto_DataFlat_Score,INDEX(sys_DataFlat_LU_Grid,$C62,BM$11))))</f>
        <v>85.4</v>
      </c>
      <c r="BO62">
        <f t="shared" ca="1" si="18"/>
        <v>13.9</v>
      </c>
      <c r="BP62">
        <f t="shared" ca="1" si="19"/>
        <v>98</v>
      </c>
      <c r="BQ62" cm="1">
        <f t="array" aca="1" ref="BQ62" ca="1">IF(C62=0,0,INDEX(sys_DataFlat_LU_Grid_Groups,$C62,BQ$12))</f>
        <v>1076</v>
      </c>
      <c r="BR62" cm="1">
        <f t="array" aca="1" ref="BR62" ca="1">IF(D62=0,0,INDEX(sys_DataFlat_LU_Grid_Groups,$C62,BR$12))</f>
        <v>1079</v>
      </c>
      <c r="BU62" cm="1">
        <f t="array" aca="1" ref="BU62" ca="1">INDEX(auto_DataFlat_Score,BQ62)</f>
        <v>57.7</v>
      </c>
      <c r="BV62" cm="1">
        <f t="array" aca="1" ref="BV62" ca="1">INDEX(auto_DataFlat_Score,BR62)</f>
        <v>65.5</v>
      </c>
      <c r="BW62">
        <f t="shared" ca="1" si="20"/>
        <v>61.6</v>
      </c>
    </row>
    <row r="63" spans="2:75" x14ac:dyDescent="0.4">
      <c r="B63">
        <v>10</v>
      </c>
      <c r="C63" cm="1">
        <f t="array" aca="1" ref="C63" ca="1">INDEX(OFFSET(auto_ss_depth_2,0,1,300,1),B63)</f>
        <v>21</v>
      </c>
      <c r="D63" cm="1">
        <f t="array" aca="1" ref="D63" ca="1">IF(C63=0,0,INDEX(sys_DataFlat_LU_Grid_Groups,$C63,D$40))</f>
        <v>1251</v>
      </c>
      <c r="E63" cm="1">
        <f t="array" aca="1" ref="E63" ca="1">IF(C63=0,0,INDEX(sys_DataFlat_LU_Grid_Groups,$C63,E$40))</f>
        <v>1251</v>
      </c>
      <c r="F63">
        <v>2</v>
      </c>
      <c r="G63">
        <f t="shared" ca="1" si="13"/>
        <v>64.900000000000006</v>
      </c>
      <c r="H63" t="e" cm="1">
        <f t="array" ref="H63">IF($C$8=0,NA(),INDEX($P63:$BM63,$C$8))</f>
        <v>#N/A</v>
      </c>
      <c r="I63" cm="1">
        <f t="array" aca="1" ref="I63" ca="1">IF(C63=0,0,INDEX(sys_DataFlat_LU_Grid,$C63,$C$2))</f>
        <v>1201</v>
      </c>
      <c r="J63" t="str" cm="1">
        <f t="array" aca="1" ref="J63" ca="1">IF(C63=0,"-",INDEX(auto_Series_NameNoNumber,C63))</f>
        <v>Access to public transport</v>
      </c>
      <c r="K63" cm="1">
        <f t="array" aca="1" ref="K63" ca="1">IF(C63=0,"-",INDEX(K$94:K$162,$C63))</f>
        <v>31.5</v>
      </c>
      <c r="L63" t="str" cm="1">
        <f t="array" aca="1" ref="L63" ca="1">IF(C63=0,"-",INDEX(L$94:L$162,$C63))</f>
        <v>46</v>
      </c>
      <c r="M63">
        <f t="shared" ca="1" si="21"/>
        <v>-0.97893866556953868</v>
      </c>
      <c r="N63" cm="1">
        <f t="array" aca="1" ref="N63" ca="1">IF(C63=0,"-",INDEX($N$94:$N$162,$C63))</f>
        <v>2</v>
      </c>
      <c r="O63" t="e" cm="1">
        <f t="array" aca="1" ref="O63" ca="1">IF(C63=0,"-",INDEX(#REF!,$C63))</f>
        <v>#REF!</v>
      </c>
      <c r="P63" cm="1">
        <f t="array" aca="1" ref="P63" ca="1">IF($C63=0,"",IF(P$12&lt;&gt;$C$5,NA(),INDEX(auto_DataFlat_Score,INDEX(sys_DataFlat_LU_Grid,$C63,P$11))))</f>
        <v>31.5</v>
      </c>
      <c r="Q63" cm="1">
        <f t="array" aca="1" ref="Q63" ca="1">IF($C63=0,"",IF(Q$12&lt;&gt;$C$5,NA(),INDEX(auto_DataFlat_Score,INDEX(sys_DataFlat_LU_Grid,$C63,Q$11))))</f>
        <v>48</v>
      </c>
      <c r="R63" cm="1">
        <f t="array" aca="1" ref="R63" ca="1">IF($C63=0,"",IF(R$12&lt;&gt;$C$5,NA(),INDEX(auto_DataFlat_Score,INDEX(sys_DataFlat_LU_Grid,$C63,R$11))))</f>
        <v>50.9</v>
      </c>
      <c r="S63" cm="1">
        <f t="array" aca="1" ref="S63" ca="1">IF($C63=0,"",IF(S$12&lt;&gt;$C$5,NA(),INDEX(auto_DataFlat_Score,INDEX(sys_DataFlat_LU_Grid,$C63,S$11))))</f>
        <v>94.4</v>
      </c>
      <c r="T63" cm="1">
        <f t="array" aca="1" ref="T63" ca="1">IF($C63=0,"",IF(T$12&lt;&gt;$C$5,NA(),INDEX(auto_DataFlat_Score,INDEX(sys_DataFlat_LU_Grid,$C63,T$11))))</f>
        <v>26</v>
      </c>
      <c r="U63" cm="1">
        <f t="array" aca="1" ref="U63" ca="1">IF($C63=0,"",IF(U$12&lt;&gt;$C$5,NA(),INDEX(auto_DataFlat_Score,INDEX(sys_DataFlat_LU_Grid,$C63,U$11))))</f>
        <v>55.2</v>
      </c>
      <c r="V63" cm="1">
        <f t="array" aca="1" ref="V63" ca="1">IF($C63=0,"",IF(V$12&lt;&gt;$C$5,NA(),INDEX(auto_DataFlat_Score,INDEX(sys_DataFlat_LU_Grid,$C63,V$11))))</f>
        <v>92.9</v>
      </c>
      <c r="W63" cm="1">
        <f t="array" aca="1" ref="W63" ca="1">IF($C63=0,"",IF(W$12&lt;&gt;$C$5,NA(),INDEX(auto_DataFlat_Score,INDEX(sys_DataFlat_LU_Grid,$C63,W$11))))</f>
        <v>91.4</v>
      </c>
      <c r="X63" cm="1">
        <f t="array" aca="1" ref="X63" ca="1">IF($C63=0,"",IF(X$12&lt;&gt;$C$5,NA(),INDEX(auto_DataFlat_Score,INDEX(sys_DataFlat_LU_Grid,$C63,X$11))))</f>
        <v>96.5</v>
      </c>
      <c r="Y63" cm="1">
        <f t="array" aca="1" ref="Y63" ca="1">IF($C63=0,"",IF(Y$12&lt;&gt;$C$5,NA(),INDEX(auto_DataFlat_Score,INDEX(sys_DataFlat_LU_Grid,$C63,Y$11))))</f>
        <v>21.2</v>
      </c>
      <c r="Z63" cm="1">
        <f t="array" aca="1" ref="Z63" ca="1">IF($C63=0,"",IF(Z$12&lt;&gt;$C$5,NA(),INDEX(auto_DataFlat_Score,INDEX(sys_DataFlat_LU_Grid,$C63,Z$11))))</f>
        <v>62.6</v>
      </c>
      <c r="AA63" cm="1">
        <f t="array" aca="1" ref="AA63" ca="1">IF($C63=0,"",IF(AA$12&lt;&gt;$C$5,NA(),INDEX(auto_DataFlat_Score,INDEX(sys_DataFlat_LU_Grid,$C63,AA$11))))</f>
        <v>38.799999999999997</v>
      </c>
      <c r="AB63" cm="1">
        <f t="array" aca="1" ref="AB63" ca="1">IF($C63=0,"",IF(AB$12&lt;&gt;$C$5,NA(),INDEX(auto_DataFlat_Score,INDEX(sys_DataFlat_LU_Grid,$C63,AB$11))))</f>
        <v>44.8</v>
      </c>
      <c r="AC63" cm="1">
        <f t="array" aca="1" ref="AC63" ca="1">IF($C63=0,"",IF(AC$12&lt;&gt;$C$5,NA(),INDEX(auto_DataFlat_Score,INDEX(sys_DataFlat_LU_Grid,$C63,AC$11))))</f>
        <v>41.2</v>
      </c>
      <c r="AD63" cm="1">
        <f t="array" aca="1" ref="AD63" ca="1">IF($C63=0,"",IF(AD$12&lt;&gt;$C$5,NA(),INDEX(auto_DataFlat_Score,INDEX(sys_DataFlat_LU_Grid,$C63,AD$11))))</f>
        <v>95.8</v>
      </c>
      <c r="AE63" cm="1">
        <f t="array" aca="1" ref="AE63" ca="1">IF($C63=0,"",IF(AE$12&lt;&gt;$C$5,NA(),INDEX(auto_DataFlat_Score,INDEX(sys_DataFlat_LU_Grid,$C63,AE$11))))</f>
        <v>68.7</v>
      </c>
      <c r="AF63" cm="1">
        <f t="array" aca="1" ref="AF63" ca="1">IF($C63=0,"",IF(AF$12&lt;&gt;$C$5,NA(),INDEX(auto_DataFlat_Score,INDEX(sys_DataFlat_LU_Grid,$C63,AF$11))))</f>
        <v>98.8</v>
      </c>
      <c r="AG63" cm="1">
        <f t="array" aca="1" ref="AG63" ca="1">IF($C63=0,"",IF(AG$12&lt;&gt;$C$5,NA(),INDEX(auto_DataFlat_Score,INDEX(sys_DataFlat_LU_Grid,$C63,AG$11))))</f>
        <v>91.1</v>
      </c>
      <c r="AH63" cm="1">
        <f t="array" aca="1" ref="AH63" ca="1">IF($C63=0,"",IF(AH$12&lt;&gt;$C$5,NA(),INDEX(auto_DataFlat_Score,INDEX(sys_DataFlat_LU_Grid,$C63,AH$11))))</f>
        <v>32.9</v>
      </c>
      <c r="AI63" cm="1">
        <f t="array" aca="1" ref="AI63" ca="1">IF($C63=0,"",IF(AI$12&lt;&gt;$C$5,NA(),INDEX(auto_DataFlat_Score,INDEX(sys_DataFlat_LU_Grid,$C63,AI$11))))</f>
        <v>20.8</v>
      </c>
      <c r="AJ63" cm="1">
        <f t="array" aca="1" ref="AJ63" ca="1">IF($C63=0,"",IF(AJ$12&lt;&gt;$C$5,NA(),INDEX(auto_DataFlat_Score,INDEX(sys_DataFlat_LU_Grid,$C63,AJ$11))))</f>
        <v>67.599999999999994</v>
      </c>
      <c r="AK63" cm="1">
        <f t="array" aca="1" ref="AK63" ca="1">IF($C63=0,"",IF(AK$12&lt;&gt;$C$5,NA(),INDEX(auto_DataFlat_Score,INDEX(sys_DataFlat_LU_Grid,$C63,AK$11))))</f>
        <v>56.4</v>
      </c>
      <c r="AL63" cm="1">
        <f t="array" aca="1" ref="AL63" ca="1">IF($C63=0,"",IF(AL$12&lt;&gt;$C$5,NA(),INDEX(auto_DataFlat_Score,INDEX(sys_DataFlat_LU_Grid,$C63,AL$11))))</f>
        <v>54.3</v>
      </c>
      <c r="AM63" cm="1">
        <f t="array" aca="1" ref="AM63" ca="1">IF($C63=0,"",IF(AM$12&lt;&gt;$C$5,NA(),INDEX(auto_DataFlat_Score,INDEX(sys_DataFlat_LU_Grid,$C63,AM$11))))</f>
        <v>39</v>
      </c>
      <c r="AN63" cm="1">
        <f t="array" aca="1" ref="AN63" ca="1">IF($C63=0,"",IF(AN$12&lt;&gt;$C$5,NA(),INDEX(auto_DataFlat_Score,INDEX(sys_DataFlat_LU_Grid,$C63,AN$11))))</f>
        <v>38.1</v>
      </c>
      <c r="AO63" cm="1">
        <f t="array" aca="1" ref="AO63" ca="1">IF($C63=0,"",IF(AO$12&lt;&gt;$C$5,NA(),INDEX(auto_DataFlat_Score,INDEX(sys_DataFlat_LU_Grid,$C63,AO$11))))</f>
        <v>94.8</v>
      </c>
      <c r="AP63" cm="1">
        <f t="array" aca="1" ref="AP63" ca="1">IF($C63=0,"",IF(AP$12&lt;&gt;$C$5,NA(),INDEX(auto_DataFlat_Score,INDEX(sys_DataFlat_LU_Grid,$C63,AP$11))))</f>
        <v>98.4</v>
      </c>
      <c r="AQ63" cm="1">
        <f t="array" aca="1" ref="AQ63" ca="1">IF($C63=0,"",IF(AQ$12&lt;&gt;$C$5,NA(),INDEX(auto_DataFlat_Score,INDEX(sys_DataFlat_LU_Grid,$C63,AQ$11))))</f>
        <v>32.5</v>
      </c>
      <c r="AR63" cm="1">
        <f t="array" aca="1" ref="AR63" ca="1">IF($C63=0,"",IF(AR$12&lt;&gt;$C$5,NA(),INDEX(auto_DataFlat_Score,INDEX(sys_DataFlat_LU_Grid,$C63,AR$11))))</f>
        <v>88.9</v>
      </c>
      <c r="AS63" cm="1">
        <f t="array" aca="1" ref="AS63" ca="1">IF($C63=0,"",IF(AS$12&lt;&gt;$C$5,NA(),INDEX(auto_DataFlat_Score,INDEX(sys_DataFlat_LU_Grid,$C63,AS$11))))</f>
        <v>40.4</v>
      </c>
      <c r="AT63" cm="1">
        <f t="array" aca="1" ref="AT63" ca="1">IF($C63=0,"",IF(AT$12&lt;&gt;$C$5,NA(),INDEX(auto_DataFlat_Score,INDEX(sys_DataFlat_LU_Grid,$C63,AT$11))))</f>
        <v>85.9</v>
      </c>
      <c r="AU63" cm="1">
        <f t="array" aca="1" ref="AU63" ca="1">IF($C63=0,"",IF(AU$12&lt;&gt;$C$5,NA(),INDEX(auto_DataFlat_Score,INDEX(sys_DataFlat_LU_Grid,$C63,AU$11))))</f>
        <v>80.900000000000006</v>
      </c>
      <c r="AV63" cm="1">
        <f t="array" aca="1" ref="AV63" ca="1">IF($C63=0,"",IF(AV$12&lt;&gt;$C$5,NA(),INDEX(auto_DataFlat_Score,INDEX(sys_DataFlat_LU_Grid,$C63,AV$11))))</f>
        <v>58</v>
      </c>
      <c r="AW63" cm="1">
        <f t="array" aca="1" ref="AW63" ca="1">IF($C63=0,"",IF(AW$12&lt;&gt;$C$5,NA(),INDEX(auto_DataFlat_Score,INDEX(sys_DataFlat_LU_Grid,$C63,AW$11))))</f>
        <v>69.8</v>
      </c>
      <c r="AX63" cm="1">
        <f t="array" aca="1" ref="AX63" ca="1">IF($C63=0,"",IF(AX$12&lt;&gt;$C$5,NA(),INDEX(auto_DataFlat_Score,INDEX(sys_DataFlat_LU_Grid,$C63,AX$11))))</f>
        <v>69.400000000000006</v>
      </c>
      <c r="AY63" cm="1">
        <f t="array" aca="1" ref="AY63" ca="1">IF($C63=0,"",IF(AY$12&lt;&gt;$C$5,NA(),INDEX(auto_DataFlat_Score,INDEX(sys_DataFlat_LU_Grid,$C63,AY$11))))</f>
        <v>97.7</v>
      </c>
      <c r="AZ63" cm="1">
        <f t="array" aca="1" ref="AZ63" ca="1">IF($C63=0,"",IF(AZ$12&lt;&gt;$C$5,NA(),INDEX(auto_DataFlat_Score,INDEX(sys_DataFlat_LU_Grid,$C63,AZ$11))))</f>
        <v>35</v>
      </c>
      <c r="BA63" cm="1">
        <f t="array" aca="1" ref="BA63" ca="1">IF($C63=0,"",IF(BA$12&lt;&gt;$C$5,NA(),INDEX(auto_DataFlat_Score,INDEX(sys_DataFlat_LU_Grid,$C63,BA$11))))</f>
        <v>8.6</v>
      </c>
      <c r="BB63" cm="1">
        <f t="array" aca="1" ref="BB63" ca="1">IF($C63=0,"",IF(BB$12&lt;&gt;$C$5,NA(),INDEX(auto_DataFlat_Score,INDEX(sys_DataFlat_LU_Grid,$C63,BB$11))))</f>
        <v>96.1</v>
      </c>
      <c r="BC63" cm="1">
        <f t="array" aca="1" ref="BC63" ca="1">IF($C63=0,"",IF(BC$12&lt;&gt;$C$5,NA(),INDEX(auto_DataFlat_Score,INDEX(sys_DataFlat_LU_Grid,$C63,BC$11))))</f>
        <v>50.9</v>
      </c>
      <c r="BD63" cm="1">
        <f t="array" aca="1" ref="BD63" ca="1">IF($C63=0,"",IF(BD$12&lt;&gt;$C$5,NA(),INDEX(auto_DataFlat_Score,INDEX(sys_DataFlat_LU_Grid,$C63,BD$11))))</f>
        <v>88.3</v>
      </c>
      <c r="BE63" cm="1">
        <f t="array" aca="1" ref="BE63" ca="1">IF($C63=0,"",IF(BE$12&lt;&gt;$C$5,NA(),INDEX(auto_DataFlat_Score,INDEX(sys_DataFlat_LU_Grid,$C63,BE$11))))</f>
        <v>70.599999999999994</v>
      </c>
      <c r="BF63" cm="1">
        <f t="array" aca="1" ref="BF63" ca="1">IF($C63=0,"",IF(BF$12&lt;&gt;$C$5,NA(),INDEX(auto_DataFlat_Score,INDEX(sys_DataFlat_LU_Grid,$C63,BF$11))))</f>
        <v>55.2</v>
      </c>
      <c r="BG63" cm="1">
        <f t="array" aca="1" ref="BG63" ca="1">IF($C63=0,"",IF(BG$12&lt;&gt;$C$5,NA(),INDEX(auto_DataFlat_Score,INDEX(sys_DataFlat_LU_Grid,$C63,BG$11))))</f>
        <v>99</v>
      </c>
      <c r="BH63" cm="1">
        <f t="array" aca="1" ref="BH63" ca="1">IF($C63=0,"",IF(BH$12&lt;&gt;$C$5,NA(),INDEX(auto_DataFlat_Score,INDEX(sys_DataFlat_LU_Grid,$C63,BH$11))))</f>
        <v>69.599999999999994</v>
      </c>
      <c r="BI63" cm="1">
        <f t="array" aca="1" ref="BI63" ca="1">IF($C63=0,"",IF(BI$12&lt;&gt;$C$5,NA(),INDEX(auto_DataFlat_Score,INDEX(sys_DataFlat_LU_Grid,$C63,BI$11))))</f>
        <v>74</v>
      </c>
      <c r="BJ63" cm="1">
        <f t="array" aca="1" ref="BJ63" ca="1">IF($C63=0,"",IF(BJ$12&lt;&gt;$C$5,NA(),INDEX(auto_DataFlat_Score,INDEX(sys_DataFlat_LU_Grid,$C63,BJ$11))))</f>
        <v>93</v>
      </c>
      <c r="BK63" cm="1">
        <f t="array" aca="1" ref="BK63" ca="1">IF($C63=0,"",IF(BK$12&lt;&gt;$C$5,NA(),INDEX(auto_DataFlat_Score,INDEX(sys_DataFlat_LU_Grid,$C63,BK$11))))</f>
        <v>97.5</v>
      </c>
      <c r="BL63" cm="1">
        <f t="array" aca="1" ref="BL63" ca="1">IF($C63=0,"",IF(BL$12&lt;&gt;$C$5,NA(),INDEX(auto_DataFlat_Score,INDEX(sys_DataFlat_LU_Grid,$C63,BL$11))))</f>
        <v>60</v>
      </c>
      <c r="BM63" cm="1">
        <f t="array" aca="1" ref="BM63" ca="1">IF($C63=0,"",IF(BM$12&lt;&gt;$C$5,NA(),INDEX(auto_DataFlat_Score,INDEX(sys_DataFlat_LU_Grid,$C63,BM$11))))</f>
        <v>70.5</v>
      </c>
      <c r="BO63">
        <f t="shared" ca="1" si="18"/>
        <v>8.6</v>
      </c>
      <c r="BP63">
        <f t="shared" ca="1" si="19"/>
        <v>99</v>
      </c>
      <c r="BQ63" cm="1">
        <f t="array" aca="1" ref="BQ63" ca="1">IF(C63=0,0,INDEX(sys_DataFlat_LU_Grid_Groups,$C63,BQ$12))</f>
        <v>1256</v>
      </c>
      <c r="BR63" cm="1">
        <f t="array" aca="1" ref="BR63" ca="1">IF(D63=0,0,INDEX(sys_DataFlat_LU_Grid_Groups,$C63,BR$12))</f>
        <v>1259</v>
      </c>
      <c r="BU63" cm="1">
        <f t="array" aca="1" ref="BU63" ca="1">INDEX(auto_DataFlat_Score,BQ63)</f>
        <v>53.5</v>
      </c>
      <c r="BV63" cm="1">
        <f t="array" aca="1" ref="BV63" ca="1">INDEX(auto_DataFlat_Score,BR63)</f>
        <v>58.8</v>
      </c>
      <c r="BW63">
        <f t="shared" ca="1" si="20"/>
        <v>64.900000000000006</v>
      </c>
    </row>
    <row r="64" spans="2:75" x14ac:dyDescent="0.4">
      <c r="B64">
        <v>11</v>
      </c>
      <c r="C64" cm="1">
        <f t="array" aca="1" ref="C64" ca="1">INDEX(OFFSET(auto_ss_depth_2,0,1,300,1),B64)</f>
        <v>23</v>
      </c>
      <c r="D64" cm="1">
        <f t="array" aca="1" ref="D64" ca="1">IF(C64=0,0,INDEX(sys_DataFlat_LU_Grid_Groups,$C64,D$40))</f>
        <v>1371</v>
      </c>
      <c r="E64" cm="1">
        <f t="array" aca="1" ref="E64" ca="1">IF(C64=0,0,INDEX(sys_DataFlat_LU_Grid_Groups,$C64,E$40))</f>
        <v>1371</v>
      </c>
      <c r="F64">
        <v>3</v>
      </c>
      <c r="G64">
        <f t="shared" ca="1" si="13"/>
        <v>66.5</v>
      </c>
      <c r="H64" t="e" cm="1">
        <f t="array" ref="H64">IF($C$8=0,NA(),INDEX($P64:$BM64,$C$8))</f>
        <v>#N/A</v>
      </c>
      <c r="I64" cm="1">
        <f t="array" aca="1" ref="I64" ca="1">IF(C64=0,0,INDEX(sys_DataFlat_LU_Grid,$C64,$C$2))</f>
        <v>1321</v>
      </c>
      <c r="J64" t="str" cm="1">
        <f t="array" aca="1" ref="J64" ca="1">IF(C64=0,"-",INDEX(auto_Series_NameNoNumber,C64))</f>
        <v>Tobacco use</v>
      </c>
      <c r="K64" cm="1">
        <f t="array" aca="1" ref="K64" ca="1">IF(C64=0,"-",INDEX(K$94:K$162,$C64))</f>
        <v>47.4</v>
      </c>
      <c r="L64" t="str" cm="1">
        <f t="array" aca="1" ref="L64" ca="1">IF(C64=0,"-",INDEX(L$94:L$162,$C64))</f>
        <v>28</v>
      </c>
      <c r="M64">
        <f t="shared" ca="1" si="21"/>
        <v>-1.0615824207275382</v>
      </c>
      <c r="N64" cm="1">
        <f t="array" aca="1" ref="N64" ca="1">IF(C64=0,"-",INDEX($N$94:$N$162,$C64))</f>
        <v>3</v>
      </c>
      <c r="O64" t="e" cm="1">
        <f t="array" aca="1" ref="O64" ca="1">IF(C64=0,"-",INDEX(#REF!,$C64))</f>
        <v>#REF!</v>
      </c>
      <c r="P64" cm="1">
        <f t="array" aca="1" ref="P64" ca="1">IF($C64=0,"",IF(P$12&lt;&gt;$C$5,NA(),INDEX(auto_DataFlat_Score,INDEX(sys_DataFlat_LU_Grid,$C64,P$11))))</f>
        <v>47.4</v>
      </c>
      <c r="Q64" cm="1">
        <f t="array" aca="1" ref="Q64" ca="1">IF($C64=0,"",IF(Q$12&lt;&gt;$C$5,NA(),INDEX(auto_DataFlat_Score,INDEX(sys_DataFlat_LU_Grid,$C64,Q$11))))</f>
        <v>39.4</v>
      </c>
      <c r="R64" cm="1">
        <f t="array" aca="1" ref="R64" ca="1">IF($C64=0,"",IF(R$12&lt;&gt;$C$5,NA(),INDEX(auto_DataFlat_Score,INDEX(sys_DataFlat_LU_Grid,$C64,R$11))))</f>
        <v>37.9</v>
      </c>
      <c r="S64" cm="1">
        <f t="array" aca="1" ref="S64" ca="1">IF($C64=0,"",IF(S$12&lt;&gt;$C$5,NA(),INDEX(auto_DataFlat_Score,INDEX(sys_DataFlat_LU_Grid,$C64,S$11))))</f>
        <v>93.9</v>
      </c>
      <c r="T64" cm="1">
        <f t="array" aca="1" ref="T64" ca="1">IF($C64=0,"",IF(T$12&lt;&gt;$C$5,NA(),INDEX(auto_DataFlat_Score,INDEX(sys_DataFlat_LU_Grid,$C64,T$11))))</f>
        <v>90.4</v>
      </c>
      <c r="U64" cm="1">
        <f t="array" aca="1" ref="U64" ca="1">IF($C64=0,"",IF(U$12&lt;&gt;$C$5,NA(),INDEX(auto_DataFlat_Score,INDEX(sys_DataFlat_LU_Grid,$C64,U$11))))</f>
        <v>88.3</v>
      </c>
      <c r="V64" cm="1">
        <f t="array" aca="1" ref="V64" ca="1">IF($C64=0,"",IF(V$12&lt;&gt;$C$5,NA(),INDEX(auto_DataFlat_Score,INDEX(sys_DataFlat_LU_Grid,$C64,V$11))))</f>
        <v>89.4</v>
      </c>
      <c r="W64" cm="1">
        <f t="array" aca="1" ref="W64" ca="1">IF($C64=0,"",IF(W$12&lt;&gt;$C$5,NA(),INDEX(auto_DataFlat_Score,INDEX(sys_DataFlat_LU_Grid,$C64,W$11))))</f>
        <v>95.9</v>
      </c>
      <c r="X64" cm="1">
        <f t="array" aca="1" ref="X64" ca="1">IF($C64=0,"",IF(X$12&lt;&gt;$C$5,NA(),INDEX(auto_DataFlat_Score,INDEX(sys_DataFlat_LU_Grid,$C64,X$11))))</f>
        <v>83.9</v>
      </c>
      <c r="Y64" cm="1">
        <f t="array" aca="1" ref="Y64" ca="1">IF($C64=0,"",IF(Y$12&lt;&gt;$C$5,NA(),INDEX(auto_DataFlat_Score,INDEX(sys_DataFlat_LU_Grid,$C64,Y$11))))</f>
        <v>37.700000000000003</v>
      </c>
      <c r="Z64" cm="1">
        <f t="array" aca="1" ref="Z64" ca="1">IF($C64=0,"",IF(Z$12&lt;&gt;$C$5,NA(),INDEX(auto_DataFlat_Score,INDEX(sys_DataFlat_LU_Grid,$C64,Z$11))))</f>
        <v>90.3</v>
      </c>
      <c r="AA64" cm="1">
        <f t="array" aca="1" ref="AA64" ca="1">IF($C64=0,"",IF(AA$12&lt;&gt;$C$5,NA(),INDEX(auto_DataFlat_Score,INDEX(sys_DataFlat_LU_Grid,$C64,AA$11))))</f>
        <v>87.9</v>
      </c>
      <c r="AB64" cm="1">
        <f t="array" aca="1" ref="AB64" ca="1">IF($C64=0,"",IF(AB$12&lt;&gt;$C$5,NA(),INDEX(auto_DataFlat_Score,INDEX(sys_DataFlat_LU_Grid,$C64,AB$11))))</f>
        <v>33.6</v>
      </c>
      <c r="AC64" cm="1">
        <f t="array" aca="1" ref="AC64" ca="1">IF($C64=0,"",IF(AC$12&lt;&gt;$C$5,NA(),INDEX(auto_DataFlat_Score,INDEX(sys_DataFlat_LU_Grid,$C64,AC$11))))</f>
        <v>95.5</v>
      </c>
      <c r="AD64" cm="1">
        <f t="array" aca="1" ref="AD64" ca="1">IF($C64=0,"",IF(AD$12&lt;&gt;$C$5,NA(),INDEX(auto_DataFlat_Score,INDEX(sys_DataFlat_LU_Grid,$C64,AD$11))))</f>
        <v>88.9</v>
      </c>
      <c r="AE64" cm="1">
        <f t="array" aca="1" ref="AE64" ca="1">IF($C64=0,"",IF(AE$12&lt;&gt;$C$5,NA(),INDEX(auto_DataFlat_Score,INDEX(sys_DataFlat_LU_Grid,$C64,AE$11))))</f>
        <v>38.799999999999997</v>
      </c>
      <c r="AF64" cm="1">
        <f t="array" aca="1" ref="AF64" ca="1">IF($C64=0,"",IF(AF$12&lt;&gt;$C$5,NA(),INDEX(auto_DataFlat_Score,INDEX(sys_DataFlat_LU_Grid,$C64,AF$11))))</f>
        <v>88.8</v>
      </c>
      <c r="AG64" cm="1">
        <f t="array" aca="1" ref="AG64" ca="1">IF($C64=0,"",IF(AG$12&lt;&gt;$C$5,NA(),INDEX(auto_DataFlat_Score,INDEX(sys_DataFlat_LU_Grid,$C64,AG$11))))</f>
        <v>34.799999999999997</v>
      </c>
      <c r="AH64" cm="1">
        <f t="array" aca="1" ref="AH64" ca="1">IF($C64=0,"",IF(AH$12&lt;&gt;$C$5,NA(),INDEX(auto_DataFlat_Score,INDEX(sys_DataFlat_LU_Grid,$C64,AH$11))))</f>
        <v>80.900000000000006</v>
      </c>
      <c r="AI64" cm="1">
        <f t="array" aca="1" ref="AI64" ca="1">IF($C64=0,"",IF(AI$12&lt;&gt;$C$5,NA(),INDEX(auto_DataFlat_Score,INDEX(sys_DataFlat_LU_Grid,$C64,AI$11))))</f>
        <v>89.7</v>
      </c>
      <c r="AJ64" cm="1">
        <f t="array" aca="1" ref="AJ64" ca="1">IF($C64=0,"",IF(AJ$12&lt;&gt;$C$5,NA(),INDEX(auto_DataFlat_Score,INDEX(sys_DataFlat_LU_Grid,$C64,AJ$11))))</f>
        <v>40.6</v>
      </c>
      <c r="AK64" cm="1">
        <f t="array" aca="1" ref="AK64" ca="1">IF($C64=0,"",IF(AK$12&lt;&gt;$C$5,NA(),INDEX(auto_DataFlat_Score,INDEX(sys_DataFlat_LU_Grid,$C64,AK$11))))</f>
        <v>35.9</v>
      </c>
      <c r="AL64" cm="1">
        <f t="array" aca="1" ref="AL64" ca="1">IF($C64=0,"",IF(AL$12&lt;&gt;$C$5,NA(),INDEX(auto_DataFlat_Score,INDEX(sys_DataFlat_LU_Grid,$C64,AL$11))))</f>
        <v>37.9</v>
      </c>
      <c r="AM64" cm="1">
        <f t="array" aca="1" ref="AM64" ca="1">IF($C64=0,"",IF(AM$12&lt;&gt;$C$5,NA(),INDEX(auto_DataFlat_Score,INDEX(sys_DataFlat_LU_Grid,$C64,AM$11))))</f>
        <v>40.1</v>
      </c>
      <c r="AN64" cm="1">
        <f t="array" aca="1" ref="AN64" ca="1">IF($C64=0,"",IF(AN$12&lt;&gt;$C$5,NA(),INDEX(auto_DataFlat_Score,INDEX(sys_DataFlat_LU_Grid,$C64,AN$11))))</f>
        <v>98.4</v>
      </c>
      <c r="AO64" cm="1">
        <f t="array" aca="1" ref="AO64" ca="1">IF($C64=0,"",IF(AO$12&lt;&gt;$C$5,NA(),INDEX(auto_DataFlat_Score,INDEX(sys_DataFlat_LU_Grid,$C64,AO$11))))</f>
        <v>92.9</v>
      </c>
      <c r="AP64" cm="1">
        <f t="array" aca="1" ref="AP64" ca="1">IF($C64=0,"",IF(AP$12&lt;&gt;$C$5,NA(),INDEX(auto_DataFlat_Score,INDEX(sys_DataFlat_LU_Grid,$C64,AP$11))))</f>
        <v>85.8</v>
      </c>
      <c r="AQ64" cm="1">
        <f t="array" aca="1" ref="AQ64" ca="1">IF($C64=0,"",IF(AQ$12&lt;&gt;$C$5,NA(),INDEX(auto_DataFlat_Score,INDEX(sys_DataFlat_LU_Grid,$C64,AQ$11))))</f>
        <v>39.799999999999997</v>
      </c>
      <c r="AR64" cm="1">
        <f t="array" aca="1" ref="AR64" ca="1">IF($C64=0,"",IF(AR$12&lt;&gt;$C$5,NA(),INDEX(auto_DataFlat_Score,INDEX(sys_DataFlat_LU_Grid,$C64,AR$11))))</f>
        <v>93.5</v>
      </c>
      <c r="AS64" cm="1">
        <f t="array" aca="1" ref="AS64" ca="1">IF($C64=0,"",IF(AS$12&lt;&gt;$C$5,NA(),INDEX(auto_DataFlat_Score,INDEX(sys_DataFlat_LU_Grid,$C64,AS$11))))</f>
        <v>42.6</v>
      </c>
      <c r="AT64" cm="1">
        <f t="array" aca="1" ref="AT64" ca="1">IF($C64=0,"",IF(AT$12&lt;&gt;$C$5,NA(),INDEX(auto_DataFlat_Score,INDEX(sys_DataFlat_LU_Grid,$C64,AT$11))))</f>
        <v>35.4</v>
      </c>
      <c r="AU64" cm="1">
        <f t="array" aca="1" ref="AU64" ca="1">IF($C64=0,"",IF(AU$12&lt;&gt;$C$5,NA(),INDEX(auto_DataFlat_Score,INDEX(sys_DataFlat_LU_Grid,$C64,AU$11))))</f>
        <v>37.9</v>
      </c>
      <c r="AV64" cm="1">
        <f t="array" aca="1" ref="AV64" ca="1">IF($C64=0,"",IF(AV$12&lt;&gt;$C$5,NA(),INDEX(auto_DataFlat_Score,INDEX(sys_DataFlat_LU_Grid,$C64,AV$11))))</f>
        <v>44.7</v>
      </c>
      <c r="AW64" cm="1">
        <f t="array" aca="1" ref="AW64" ca="1">IF($C64=0,"",IF(AW$12&lt;&gt;$C$5,NA(),INDEX(auto_DataFlat_Score,INDEX(sys_DataFlat_LU_Grid,$C64,AW$11))))</f>
        <v>87.9</v>
      </c>
      <c r="AX64" cm="1">
        <f t="array" aca="1" ref="AX64" ca="1">IF($C64=0,"",IF(AX$12&lt;&gt;$C$5,NA(),INDEX(auto_DataFlat_Score,INDEX(sys_DataFlat_LU_Grid,$C64,AX$11))))</f>
        <v>90.4</v>
      </c>
      <c r="AY64" cm="1">
        <f t="array" aca="1" ref="AY64" ca="1">IF($C64=0,"",IF(AY$12&lt;&gt;$C$5,NA(),INDEX(auto_DataFlat_Score,INDEX(sys_DataFlat_LU_Grid,$C64,AY$11))))</f>
        <v>32.700000000000003</v>
      </c>
      <c r="AZ64" cm="1">
        <f t="array" aca="1" ref="AZ64" ca="1">IF($C64=0,"",IF(AZ$12&lt;&gt;$C$5,NA(),INDEX(auto_DataFlat_Score,INDEX(sys_DataFlat_LU_Grid,$C64,AZ$11))))</f>
        <v>91.4</v>
      </c>
      <c r="BA64" cm="1">
        <f t="array" aca="1" ref="BA64" ca="1">IF($C64=0,"",IF(BA$12&lt;&gt;$C$5,NA(),INDEX(auto_DataFlat_Score,INDEX(sys_DataFlat_LU_Grid,$C64,BA$11))))</f>
        <v>42.6</v>
      </c>
      <c r="BB64" cm="1">
        <f t="array" aca="1" ref="BB64" ca="1">IF($C64=0,"",IF(BB$12&lt;&gt;$C$5,NA(),INDEX(auto_DataFlat_Score,INDEX(sys_DataFlat_LU_Grid,$C64,BB$11))))</f>
        <v>38.799999999999997</v>
      </c>
      <c r="BC64" cm="1">
        <f t="array" aca="1" ref="BC64" ca="1">IF($C64=0,"",IF(BC$12&lt;&gt;$C$5,NA(),INDEX(auto_DataFlat_Score,INDEX(sys_DataFlat_LU_Grid,$C64,BC$11))))</f>
        <v>37.9</v>
      </c>
      <c r="BD64" cm="1">
        <f t="array" aca="1" ref="BD64" ca="1">IF($C64=0,"",IF(BD$12&lt;&gt;$C$5,NA(),INDEX(auto_DataFlat_Score,INDEX(sys_DataFlat_LU_Grid,$C64,BD$11))))</f>
        <v>43.9</v>
      </c>
      <c r="BE64" cm="1">
        <f t="array" aca="1" ref="BE64" ca="1">IF($C64=0,"",IF(BE$12&lt;&gt;$C$5,NA(),INDEX(auto_DataFlat_Score,INDEX(sys_DataFlat_LU_Grid,$C64,BE$11))))</f>
        <v>90</v>
      </c>
      <c r="BF64" cm="1">
        <f t="array" aca="1" ref="BF64" ca="1">IF($C64=0,"",IF(BF$12&lt;&gt;$C$5,NA(),INDEX(auto_DataFlat_Score,INDEX(sys_DataFlat_LU_Grid,$C64,BF$11))))</f>
        <v>88.3</v>
      </c>
      <c r="BG64" cm="1">
        <f t="array" aca="1" ref="BG64" ca="1">IF($C64=0,"",IF(BG$12&lt;&gt;$C$5,NA(),INDEX(auto_DataFlat_Score,INDEX(sys_DataFlat_LU_Grid,$C64,BG$11))))</f>
        <v>91.8</v>
      </c>
      <c r="BH64" cm="1">
        <f t="array" aca="1" ref="BH64" ca="1">IF($C64=0,"",IF(BH$12&lt;&gt;$C$5,NA(),INDEX(auto_DataFlat_Score,INDEX(sys_DataFlat_LU_Grid,$C64,BH$11))))</f>
        <v>93.5</v>
      </c>
      <c r="BI64" cm="1">
        <f t="array" aca="1" ref="BI64" ca="1">IF($C64=0,"",IF(BI$12&lt;&gt;$C$5,NA(),INDEX(auto_DataFlat_Score,INDEX(sys_DataFlat_LU_Grid,$C64,BI$11))))</f>
        <v>90.4</v>
      </c>
      <c r="BJ64" cm="1">
        <f t="array" aca="1" ref="BJ64" ca="1">IF($C64=0,"",IF(BJ$12&lt;&gt;$C$5,NA(),INDEX(auto_DataFlat_Score,INDEX(sys_DataFlat_LU_Grid,$C64,BJ$11))))</f>
        <v>94</v>
      </c>
      <c r="BK64" cm="1">
        <f t="array" aca="1" ref="BK64" ca="1">IF($C64=0,"",IF(BK$12&lt;&gt;$C$5,NA(),INDEX(auto_DataFlat_Score,INDEX(sys_DataFlat_LU_Grid,$C64,BK$11))))</f>
        <v>87.6</v>
      </c>
      <c r="BL64" cm="1">
        <f t="array" aca="1" ref="BL64" ca="1">IF($C64=0,"",IF(BL$12&lt;&gt;$C$5,NA(),INDEX(auto_DataFlat_Score,INDEX(sys_DataFlat_LU_Grid,$C64,BL$11))))</f>
        <v>38.299999999999997</v>
      </c>
      <c r="BM64" cm="1">
        <f t="array" aca="1" ref="BM64" ca="1">IF($C64=0,"",IF(BM$12&lt;&gt;$C$5,NA(),INDEX(auto_DataFlat_Score,INDEX(sys_DataFlat_LU_Grid,$C64,BM$11))))</f>
        <v>27.8</v>
      </c>
      <c r="BO64">
        <f t="shared" ca="1" si="18"/>
        <v>27.8</v>
      </c>
      <c r="BP64">
        <f t="shared" ca="1" si="19"/>
        <v>98.4</v>
      </c>
      <c r="BQ64" cm="1">
        <f t="array" aca="1" ref="BQ64" ca="1">IF(C64=0,0,INDEX(sys_DataFlat_LU_Grid_Groups,$C64,BQ$12))</f>
        <v>1376</v>
      </c>
      <c r="BR64" cm="1">
        <f t="array" aca="1" ref="BR64" ca="1">IF(D64=0,0,INDEX(sys_DataFlat_LU_Grid_Groups,$C64,BR$12))</f>
        <v>1379</v>
      </c>
      <c r="BU64" cm="1">
        <f t="array" aca="1" ref="BU64" ca="1">INDEX(auto_DataFlat_Score,BQ64)</f>
        <v>56.3</v>
      </c>
      <c r="BV64" cm="1">
        <f t="array" aca="1" ref="BV64" ca="1">INDEX(auto_DataFlat_Score,BR64)</f>
        <v>66.2</v>
      </c>
      <c r="BW64">
        <f t="shared" ca="1" si="20"/>
        <v>66.5</v>
      </c>
    </row>
    <row r="65" spans="2:75" x14ac:dyDescent="0.4">
      <c r="B65">
        <v>12</v>
      </c>
      <c r="C65" cm="1">
        <f t="array" aca="1" ref="C65" ca="1">INDEX(OFFSET(auto_ss_depth_2,0,1,300,1),B65)</f>
        <v>26</v>
      </c>
      <c r="D65" cm="1">
        <f t="array" aca="1" ref="D65" ca="1">IF(C65=0,0,INDEX(sys_DataFlat_LU_Grid_Groups,$C65,D$40))</f>
        <v>1551</v>
      </c>
      <c r="E65" cm="1">
        <f t="array" aca="1" ref="E65" ca="1">IF(C65=0,0,INDEX(sys_DataFlat_LU_Grid_Groups,$C65,E$40))</f>
        <v>1551</v>
      </c>
      <c r="F65">
        <v>4</v>
      </c>
      <c r="G65">
        <f t="shared" ca="1" si="13"/>
        <v>45.8</v>
      </c>
      <c r="H65" t="e" cm="1">
        <f t="array" ref="H65">IF($C$8=0,NA(),INDEX($P65:$BM65,$C$8))</f>
        <v>#N/A</v>
      </c>
      <c r="I65" cm="1">
        <f t="array" aca="1" ref="I65" ca="1">IF(C65=0,0,INDEX(sys_DataFlat_LU_Grid,$C65,$C$2))</f>
        <v>1501</v>
      </c>
      <c r="J65" t="str" cm="1">
        <f t="array" aca="1" ref="J65" ca="1">IF(C65=0,"-",INDEX(auto_Series_NameNoNumber,C65))</f>
        <v>Vegetable consumption</v>
      </c>
      <c r="K65" cm="1">
        <f t="array" aca="1" ref="K65" ca="1">IF(C65=0,"-",INDEX(K$94:K$162,$C65))</f>
        <v>4.7</v>
      </c>
      <c r="L65" t="str" cm="1">
        <f t="array" aca="1" ref="L65" ca="1">IF(C65=0,"-",INDEX(L$94:L$162,$C65))</f>
        <v>50</v>
      </c>
      <c r="M65">
        <f t="shared" ca="1" si="21"/>
        <v>-1.0971630722011927</v>
      </c>
      <c r="N65" cm="1">
        <f t="array" aca="1" ref="N65" ca="1">IF(C65=0,"-",INDEX($N$94:$N$162,$C65))</f>
        <v>1</v>
      </c>
      <c r="O65" t="e" cm="1">
        <f t="array" aca="1" ref="O65" ca="1">IF(C65=0,"-",INDEX(#REF!,$C65))</f>
        <v>#REF!</v>
      </c>
      <c r="P65" cm="1">
        <f t="array" aca="1" ref="P65" ca="1">IF($C65=0,"",IF(P$12&lt;&gt;$C$5,NA(),INDEX(auto_DataFlat_Score,INDEX(sys_DataFlat_LU_Grid,$C65,P$11))))</f>
        <v>4.7</v>
      </c>
      <c r="Q65" cm="1">
        <f t="array" aca="1" ref="Q65" ca="1">IF($C65=0,"",IF(Q$12&lt;&gt;$C$5,NA(),INDEX(auto_DataFlat_Score,INDEX(sys_DataFlat_LU_Grid,$C65,Q$11))))</f>
        <v>23.4</v>
      </c>
      <c r="R65" cm="1">
        <f t="array" aca="1" ref="R65" ca="1">IF($C65=0,"",IF(R$12&lt;&gt;$C$5,NA(),INDEX(auto_DataFlat_Score,INDEX(sys_DataFlat_LU_Grid,$C65,R$11))))</f>
        <v>24.7</v>
      </c>
      <c r="S65" cm="1">
        <f t="array" aca="1" ref="S65" ca="1">IF($C65=0,"",IF(S$12&lt;&gt;$C$5,NA(),INDEX(auto_DataFlat_Score,INDEX(sys_DataFlat_LU_Grid,$C65,S$11))))</f>
        <v>21.9</v>
      </c>
      <c r="T65" cm="1">
        <f t="array" aca="1" ref="T65" ca="1">IF($C65=0,"",IF(T$12&lt;&gt;$C$5,NA(),INDEX(auto_DataFlat_Score,INDEX(sys_DataFlat_LU_Grid,$C65,T$11))))</f>
        <v>60.8</v>
      </c>
      <c r="U65" cm="1">
        <f t="array" aca="1" ref="U65" ca="1">IF($C65=0,"",IF(U$12&lt;&gt;$C$5,NA(),INDEX(auto_DataFlat_Score,INDEX(sys_DataFlat_LU_Grid,$C65,U$11))))</f>
        <v>100</v>
      </c>
      <c r="V65" cm="1">
        <f t="array" aca="1" ref="V65" ca="1">IF($C65=0,"",IF(V$12&lt;&gt;$C$5,NA(),INDEX(auto_DataFlat_Score,INDEX(sys_DataFlat_LU_Grid,$C65,V$11))))</f>
        <v>69.5</v>
      </c>
      <c r="W65" cm="1">
        <f t="array" aca="1" ref="W65" ca="1">IF($C65=0,"",IF(W$12&lt;&gt;$C$5,NA(),INDEX(auto_DataFlat_Score,INDEX(sys_DataFlat_LU_Grid,$C65,W$11))))</f>
        <v>12.3</v>
      </c>
      <c r="X65" cm="1">
        <f t="array" aca="1" ref="X65" ca="1">IF($C65=0,"",IF(X$12&lt;&gt;$C$5,NA(),INDEX(auto_DataFlat_Score,INDEX(sys_DataFlat_LU_Grid,$C65,X$11))))</f>
        <v>80.400000000000006</v>
      </c>
      <c r="Y65" cm="1">
        <f t="array" aca="1" ref="Y65" ca="1">IF($C65=0,"",IF(Y$12&lt;&gt;$C$5,NA(),INDEX(auto_DataFlat_Score,INDEX(sys_DataFlat_LU_Grid,$C65,Y$11))))</f>
        <v>50</v>
      </c>
      <c r="Z65" cm="1">
        <f t="array" aca="1" ref="Z65" ca="1">IF($C65=0,"",IF(Z$12&lt;&gt;$C$5,NA(),INDEX(auto_DataFlat_Score,INDEX(sys_DataFlat_LU_Grid,$C65,Z$11))))</f>
        <v>11.1</v>
      </c>
      <c r="AA65" cm="1">
        <f t="array" aca="1" ref="AA65" ca="1">IF($C65=0,"",IF(AA$12&lt;&gt;$C$5,NA(),INDEX(auto_DataFlat_Score,INDEX(sys_DataFlat_LU_Grid,$C65,AA$11))))</f>
        <v>13.9</v>
      </c>
      <c r="AB65" cm="1">
        <f t="array" aca="1" ref="AB65" ca="1">IF($C65=0,"",IF(AB$12&lt;&gt;$C$5,NA(),INDEX(auto_DataFlat_Score,INDEX(sys_DataFlat_LU_Grid,$C65,AB$11))))</f>
        <v>5.7</v>
      </c>
      <c r="AC65" cm="1">
        <f t="array" aca="1" ref="AC65" ca="1">IF($C65=0,"",IF(AC$12&lt;&gt;$C$5,NA(),INDEX(auto_DataFlat_Score,INDEX(sys_DataFlat_LU_Grid,$C65,AC$11))))</f>
        <v>24.1</v>
      </c>
      <c r="AD65" cm="1">
        <f t="array" aca="1" ref="AD65" ca="1">IF($C65=0,"",IF(AD$12&lt;&gt;$C$5,NA(),INDEX(auto_DataFlat_Score,INDEX(sys_DataFlat_LU_Grid,$C65,AD$11))))</f>
        <v>68.3</v>
      </c>
      <c r="AE65" cm="1">
        <f t="array" aca="1" ref="AE65" ca="1">IF($C65=0,"",IF(AE$12&lt;&gt;$C$5,NA(),INDEX(auto_DataFlat_Score,INDEX(sys_DataFlat_LU_Grid,$C65,AE$11))))</f>
        <v>73.900000000000006</v>
      </c>
      <c r="AF65" cm="1">
        <f t="array" aca="1" ref="AF65" ca="1">IF($C65=0,"",IF(AF$12&lt;&gt;$C$5,NA(),INDEX(auto_DataFlat_Score,INDEX(sys_DataFlat_LU_Grid,$C65,AF$11))))</f>
        <v>96.7</v>
      </c>
      <c r="AG65" cm="1">
        <f t="array" aca="1" ref="AG65" ca="1">IF($C65=0,"",IF(AG$12&lt;&gt;$C$5,NA(),INDEX(auto_DataFlat_Score,INDEX(sys_DataFlat_LU_Grid,$C65,AG$11))))</f>
        <v>50</v>
      </c>
      <c r="AH65" cm="1">
        <f t="array" aca="1" ref="AH65" ca="1">IF($C65=0,"",IF(AH$12&lt;&gt;$C$5,NA(),INDEX(auto_DataFlat_Score,INDEX(sys_DataFlat_LU_Grid,$C65,AH$11))))</f>
        <v>61.1</v>
      </c>
      <c r="AI65" cm="1">
        <f t="array" aca="1" ref="AI65" ca="1">IF($C65=0,"",IF(AI$12&lt;&gt;$C$5,NA(),INDEX(auto_DataFlat_Score,INDEX(sys_DataFlat_LU_Grid,$C65,AI$11))))</f>
        <v>10.8</v>
      </c>
      <c r="AJ65" cm="1">
        <f t="array" aca="1" ref="AJ65" ca="1">IF($C65=0,"",IF(AJ$12&lt;&gt;$C$5,NA(),INDEX(auto_DataFlat_Score,INDEX(sys_DataFlat_LU_Grid,$C65,AJ$11))))</f>
        <v>7.2</v>
      </c>
      <c r="AK65" cm="1">
        <f t="array" aca="1" ref="AK65" ca="1">IF($C65=0,"",IF(AK$12&lt;&gt;$C$5,NA(),INDEX(auto_DataFlat_Score,INDEX(sys_DataFlat_LU_Grid,$C65,AK$11))))</f>
        <v>12.1</v>
      </c>
      <c r="AL65" cm="1">
        <f t="array" aca="1" ref="AL65" ca="1">IF($C65=0,"",IF(AL$12&lt;&gt;$C$5,NA(),INDEX(auto_DataFlat_Score,INDEX(sys_DataFlat_LU_Grid,$C65,AL$11))))</f>
        <v>13.9</v>
      </c>
      <c r="AM65" cm="1">
        <f t="array" aca="1" ref="AM65" ca="1">IF($C65=0,"",IF(AM$12&lt;&gt;$C$5,NA(),INDEX(auto_DataFlat_Score,INDEX(sys_DataFlat_LU_Grid,$C65,AM$11))))</f>
        <v>38.799999999999997</v>
      </c>
      <c r="AN65" cm="1">
        <f t="array" aca="1" ref="AN65" ca="1">IF($C65=0,"",IF(AN$12&lt;&gt;$C$5,NA(),INDEX(auto_DataFlat_Score,INDEX(sys_DataFlat_LU_Grid,$C65,AN$11))))</f>
        <v>15.5</v>
      </c>
      <c r="AO65" cm="1">
        <f t="array" aca="1" ref="AO65" ca="1">IF($C65=0,"",IF(AO$12&lt;&gt;$C$5,NA(),INDEX(auto_DataFlat_Score,INDEX(sys_DataFlat_LU_Grid,$C65,AO$11))))</f>
        <v>70.099999999999994</v>
      </c>
      <c r="AP65" cm="1">
        <f t="array" aca="1" ref="AP65" ca="1">IF($C65=0,"",IF(AP$12&lt;&gt;$C$5,NA(),INDEX(auto_DataFlat_Score,INDEX(sys_DataFlat_LU_Grid,$C65,AP$11))))</f>
        <v>77.599999999999994</v>
      </c>
      <c r="AQ65" cm="1">
        <f t="array" aca="1" ref="AQ65" ca="1">IF($C65=0,"",IF(AQ$12&lt;&gt;$C$5,NA(),INDEX(auto_DataFlat_Score,INDEX(sys_DataFlat_LU_Grid,$C65,AQ$11))))</f>
        <v>13.1</v>
      </c>
      <c r="AR65" cm="1">
        <f t="array" aca="1" ref="AR65" ca="1">IF($C65=0,"",IF(AR$12&lt;&gt;$C$5,NA(),INDEX(auto_DataFlat_Score,INDEX(sys_DataFlat_LU_Grid,$C65,AR$11))))</f>
        <v>70.8</v>
      </c>
      <c r="AS65" cm="1">
        <f t="array" aca="1" ref="AS65" ca="1">IF($C65=0,"",IF(AS$12&lt;&gt;$C$5,NA(),INDEX(auto_DataFlat_Score,INDEX(sys_DataFlat_LU_Grid,$C65,AS$11))))</f>
        <v>15.2</v>
      </c>
      <c r="AT65" cm="1">
        <f t="array" aca="1" ref="AT65" ca="1">IF($C65=0,"",IF(AT$12&lt;&gt;$C$5,NA(),INDEX(auto_DataFlat_Score,INDEX(sys_DataFlat_LU_Grid,$C65,AT$11))))</f>
        <v>72.400000000000006</v>
      </c>
      <c r="AU65" cm="1">
        <f t="array" aca="1" ref="AU65" ca="1">IF($C65=0,"",IF(AU$12&lt;&gt;$C$5,NA(),INDEX(auto_DataFlat_Score,INDEX(sys_DataFlat_LU_Grid,$C65,AU$11))))</f>
        <v>13.9</v>
      </c>
      <c r="AV65" cm="1">
        <f t="array" aca="1" ref="AV65" ca="1">IF($C65=0,"",IF(AV$12&lt;&gt;$C$5,NA(),INDEX(auto_DataFlat_Score,INDEX(sys_DataFlat_LU_Grid,$C65,AV$11))))</f>
        <v>11.6</v>
      </c>
      <c r="AW65" cm="1">
        <f t="array" aca="1" ref="AW65" ca="1">IF($C65=0,"",IF(AW$12&lt;&gt;$C$5,NA(),INDEX(auto_DataFlat_Score,INDEX(sys_DataFlat_LU_Grid,$C65,AW$11))))</f>
        <v>74.7</v>
      </c>
      <c r="AX65" cm="1">
        <f t="array" aca="1" ref="AX65" ca="1">IF($C65=0,"",IF(AX$12&lt;&gt;$C$5,NA(),INDEX(auto_DataFlat_Score,INDEX(sys_DataFlat_LU_Grid,$C65,AX$11))))</f>
        <v>84</v>
      </c>
      <c r="AY65" cm="1">
        <f t="array" aca="1" ref="AY65" ca="1">IF($C65=0,"",IF(AY$12&lt;&gt;$C$5,NA(),INDEX(auto_DataFlat_Score,INDEX(sys_DataFlat_LU_Grid,$C65,AY$11))))</f>
        <v>17.5</v>
      </c>
      <c r="AZ65" cm="1">
        <f t="array" aca="1" ref="AZ65" ca="1">IF($C65=0,"",IF(AZ$12&lt;&gt;$C$5,NA(),INDEX(auto_DataFlat_Score,INDEX(sys_DataFlat_LU_Grid,$C65,AZ$11))))</f>
        <v>55</v>
      </c>
      <c r="BA65" cm="1">
        <f t="array" aca="1" ref="BA65" ca="1">IF($C65=0,"",IF(BA$12&lt;&gt;$C$5,NA(),INDEX(auto_DataFlat_Score,INDEX(sys_DataFlat_LU_Grid,$C65,BA$11))))</f>
        <v>21</v>
      </c>
      <c r="BB65" cm="1">
        <f t="array" aca="1" ref="BB65" ca="1">IF($C65=0,"",IF(BB$12&lt;&gt;$C$5,NA(),INDEX(auto_DataFlat_Score,INDEX(sys_DataFlat_LU_Grid,$C65,BB$11))))</f>
        <v>27</v>
      </c>
      <c r="BC65" cm="1">
        <f t="array" aca="1" ref="BC65" ca="1">IF($C65=0,"",IF(BC$12&lt;&gt;$C$5,NA(),INDEX(auto_DataFlat_Score,INDEX(sys_DataFlat_LU_Grid,$C65,BC$11))))</f>
        <v>24.7</v>
      </c>
      <c r="BD65" cm="1">
        <f t="array" aca="1" ref="BD65" ca="1">IF($C65=0,"",IF(BD$12&lt;&gt;$C$5,NA(),INDEX(auto_DataFlat_Score,INDEX(sys_DataFlat_LU_Grid,$C65,BD$11))))</f>
        <v>62.7</v>
      </c>
      <c r="BE65" cm="1">
        <f t="array" aca="1" ref="BE65" ca="1">IF($C65=0,"",IF(BE$12&lt;&gt;$C$5,NA(),INDEX(auto_DataFlat_Score,INDEX(sys_DataFlat_LU_Grid,$C65,BE$11))))</f>
        <v>84.4</v>
      </c>
      <c r="BF65" cm="1">
        <f t="array" aca="1" ref="BF65" ca="1">IF($C65=0,"",IF(BF$12&lt;&gt;$C$5,NA(),INDEX(auto_DataFlat_Score,INDEX(sys_DataFlat_LU_Grid,$C65,BF$11))))</f>
        <v>100</v>
      </c>
      <c r="BG65" cm="1">
        <f t="array" aca="1" ref="BG65" ca="1">IF($C65=0,"",IF(BG$12&lt;&gt;$C$5,NA(),INDEX(auto_DataFlat_Score,INDEX(sys_DataFlat_LU_Grid,$C65,BG$11))))</f>
        <v>79.900000000000006</v>
      </c>
      <c r="BH65" cm="1">
        <f t="array" aca="1" ref="BH65" ca="1">IF($C65=0,"",IF(BH$12&lt;&gt;$C$5,NA(),INDEX(auto_DataFlat_Score,INDEX(sys_DataFlat_LU_Grid,$C65,BH$11))))</f>
        <v>70.8</v>
      </c>
      <c r="BI65" cm="1">
        <f t="array" aca="1" ref="BI65" ca="1">IF($C65=0,"",IF(BI$12&lt;&gt;$C$5,NA(),INDEX(auto_DataFlat_Score,INDEX(sys_DataFlat_LU_Grid,$C65,BI$11))))</f>
        <v>84</v>
      </c>
      <c r="BJ65" cm="1">
        <f t="array" aca="1" ref="BJ65" ca="1">IF($C65=0,"",IF(BJ$12&lt;&gt;$C$5,NA(),INDEX(auto_DataFlat_Score,INDEX(sys_DataFlat_LU_Grid,$C65,BJ$11))))</f>
        <v>72.2</v>
      </c>
      <c r="BK65" cm="1">
        <f t="array" aca="1" ref="BK65" ca="1">IF($C65=0,"",IF(BK$12&lt;&gt;$C$5,NA(),INDEX(auto_DataFlat_Score,INDEX(sys_DataFlat_LU_Grid,$C65,BK$11))))</f>
        <v>72.3</v>
      </c>
      <c r="BL65" cm="1">
        <f t="array" aca="1" ref="BL65" ca="1">IF($C65=0,"",IF(BL$12&lt;&gt;$C$5,NA(),INDEX(auto_DataFlat_Score,INDEX(sys_DataFlat_LU_Grid,$C65,BL$11))))</f>
        <v>50</v>
      </c>
      <c r="BM65" cm="1">
        <f t="array" aca="1" ref="BM65" ca="1">IF($C65=0,"",IF(BM$12&lt;&gt;$C$5,NA(),INDEX(auto_DataFlat_Score,INDEX(sys_DataFlat_LU_Grid,$C65,BM$11))))</f>
        <v>14.9</v>
      </c>
      <c r="BO65">
        <f t="shared" ca="1" si="18"/>
        <v>4.7</v>
      </c>
      <c r="BP65">
        <f t="shared" ca="1" si="19"/>
        <v>100</v>
      </c>
      <c r="BQ65" cm="1">
        <f t="array" aca="1" ref="BQ65" ca="1">IF(C65=0,0,INDEX(sys_DataFlat_LU_Grid_Groups,$C65,BQ$12))</f>
        <v>1556</v>
      </c>
      <c r="BR65" cm="1">
        <f t="array" aca="1" ref="BR65" ca="1">IF(D65=0,0,INDEX(sys_DataFlat_LU_Grid_Groups,$C65,BR$12))</f>
        <v>1559</v>
      </c>
      <c r="BU65" cm="1">
        <f t="array" aca="1" ref="BU65" ca="1">INDEX(auto_DataFlat_Score,BQ65)</f>
        <v>21.5</v>
      </c>
      <c r="BV65" cm="1">
        <f t="array" aca="1" ref="BV65" ca="1">INDEX(auto_DataFlat_Score,BR65)</f>
        <v>54.1</v>
      </c>
      <c r="BW65">
        <f t="shared" ca="1" si="20"/>
        <v>45.8</v>
      </c>
    </row>
    <row r="66" spans="2:75" x14ac:dyDescent="0.4">
      <c r="B66">
        <v>13</v>
      </c>
      <c r="C66" cm="1">
        <f t="array" aca="1" ref="C66" ca="1">INDEX(OFFSET(auto_ss_depth_2,0,1,300,1),B66)</f>
        <v>29</v>
      </c>
      <c r="D66" cm="1">
        <f t="array" aca="1" ref="D66" ca="1">IF(C66=0,0,INDEX(sys_DataFlat_LU_Grid_Groups,$C66,D$40))</f>
        <v>1731</v>
      </c>
      <c r="E66" cm="1">
        <f t="array" aca="1" ref="E66" ca="1">IF(C66=0,0,INDEX(sys_DataFlat_LU_Grid_Groups,$C66,E$40))</f>
        <v>1731</v>
      </c>
      <c r="F66">
        <v>1</v>
      </c>
      <c r="G66">
        <f t="shared" ca="1" si="13"/>
        <v>53.9</v>
      </c>
      <c r="H66" t="e" cm="1">
        <f t="array" ref="H66">IF($C$8=0,NA(),INDEX($P66:$BM66,$C$8))</f>
        <v>#N/A</v>
      </c>
      <c r="I66" cm="1">
        <f t="array" aca="1" ref="I66" ca="1">IF(C66=0,0,INDEX(sys_DataFlat_LU_Grid,$C66,$C$2))</f>
        <v>1681</v>
      </c>
      <c r="J66" t="str" cm="1">
        <f t="array" aca="1" ref="J66" ca="1">IF(C66=0,"-",INDEX(auto_Series_NameNoNumber,C66))</f>
        <v>Trans fats consumption</v>
      </c>
      <c r="K66" cm="1">
        <f t="array" aca="1" ref="K66" ca="1">IF(C66=0,"-",INDEX(K$94:K$162,$C66))</f>
        <v>50</v>
      </c>
      <c r="L66" t="str" cm="1">
        <f t="array" aca="1" ref="L66" ca="1">IF(C66=0,"-",INDEX(L$94:L$162,$C66))</f>
        <v>=8</v>
      </c>
      <c r="M66">
        <f t="shared" ca="1" si="21"/>
        <v>-0.20879519718866901</v>
      </c>
      <c r="N66" cm="1">
        <f t="array" aca="1" ref="N66" ca="1">IF(C66=0,"-",INDEX($N$94:$N$162,$C66))</f>
        <v>3</v>
      </c>
      <c r="O66" t="e" cm="1">
        <f t="array" aca="1" ref="O66" ca="1">IF(C66=0,"-",INDEX(#REF!,$C66))</f>
        <v>#REF!</v>
      </c>
      <c r="P66" cm="1">
        <f t="array" aca="1" ref="P66" ca="1">IF($C66=0,"",IF(P$12&lt;&gt;$C$5,NA(),INDEX(auto_DataFlat_Score,INDEX(sys_DataFlat_LU_Grid,$C66,P$11))))</f>
        <v>50</v>
      </c>
      <c r="Q66" cm="1">
        <f t="array" aca="1" ref="Q66" ca="1">IF($C66=0,"",IF(Q$12&lt;&gt;$C$5,NA(),INDEX(auto_DataFlat_Score,INDEX(sys_DataFlat_LU_Grid,$C66,Q$11))))</f>
        <v>50</v>
      </c>
      <c r="R66" cm="1">
        <f t="array" aca="1" ref="R66" ca="1">IF($C66=0,"",IF(R$12&lt;&gt;$C$5,NA(),INDEX(auto_DataFlat_Score,INDEX(sys_DataFlat_LU_Grid,$C66,R$11))))</f>
        <v>15</v>
      </c>
      <c r="S66" cm="1">
        <f t="array" aca="1" ref="S66" ca="1">IF($C66=0,"",IF(S$12&lt;&gt;$C$5,NA(),INDEX(auto_DataFlat_Score,INDEX(sys_DataFlat_LU_Grid,$C66,S$11))))</f>
        <v>50</v>
      </c>
      <c r="T66" cm="1">
        <f t="array" aca="1" ref="T66" ca="1">IF($C66=0,"",IF(T$12&lt;&gt;$C$5,NA(),INDEX(auto_DataFlat_Score,INDEX(sys_DataFlat_LU_Grid,$C66,T$11))))</f>
        <v>50</v>
      </c>
      <c r="U66" cm="1">
        <f t="array" aca="1" ref="U66" ca="1">IF($C66=0,"",IF(U$12&lt;&gt;$C$5,NA(),INDEX(auto_DataFlat_Score,INDEX(sys_DataFlat_LU_Grid,$C66,U$11))))</f>
        <v>100</v>
      </c>
      <c r="V66" cm="1">
        <f t="array" aca="1" ref="V66" ca="1">IF($C66=0,"",IF(V$12&lt;&gt;$C$5,NA(),INDEX(auto_DataFlat_Score,INDEX(sys_DataFlat_LU_Grid,$C66,V$11))))</f>
        <v>100</v>
      </c>
      <c r="W66" cm="1">
        <f t="array" aca="1" ref="W66" ca="1">IF($C66=0,"",IF(W$12&lt;&gt;$C$5,NA(),INDEX(auto_DataFlat_Score,INDEX(sys_DataFlat_LU_Grid,$C66,W$11))))</f>
        <v>50</v>
      </c>
      <c r="X66" cm="1">
        <f t="array" aca="1" ref="X66" ca="1">IF($C66=0,"",IF(X$12&lt;&gt;$C$5,NA(),INDEX(auto_DataFlat_Score,INDEX(sys_DataFlat_LU_Grid,$C66,X$11))))</f>
        <v>100</v>
      </c>
      <c r="Y66" cm="1">
        <f t="array" aca="1" ref="Y66" ca="1">IF($C66=0,"",IF(Y$12&lt;&gt;$C$5,NA(),INDEX(auto_DataFlat_Score,INDEX(sys_DataFlat_LU_Grid,$C66,Y$11))))</f>
        <v>10</v>
      </c>
      <c r="Z66" cm="1">
        <f t="array" aca="1" ref="Z66" ca="1">IF($C66=0,"",IF(Z$12&lt;&gt;$C$5,NA(),INDEX(auto_DataFlat_Score,INDEX(sys_DataFlat_LU_Grid,$C66,Z$11))))</f>
        <v>50</v>
      </c>
      <c r="AA66" cm="1">
        <f t="array" aca="1" ref="AA66" ca="1">IF($C66=0,"",IF(AA$12&lt;&gt;$C$5,NA(),INDEX(auto_DataFlat_Score,INDEX(sys_DataFlat_LU_Grid,$C66,AA$11))))</f>
        <v>50</v>
      </c>
      <c r="AB66" cm="1">
        <f t="array" aca="1" ref="AB66" ca="1">IF($C66=0,"",IF(AB$12&lt;&gt;$C$5,NA(),INDEX(auto_DataFlat_Score,INDEX(sys_DataFlat_LU_Grid,$C66,AB$11))))</f>
        <v>50</v>
      </c>
      <c r="AC66" cm="1">
        <f t="array" aca="1" ref="AC66" ca="1">IF($C66=0,"",IF(AC$12&lt;&gt;$C$5,NA(),INDEX(auto_DataFlat_Score,INDEX(sys_DataFlat_LU_Grid,$C66,AC$11))))</f>
        <v>50</v>
      </c>
      <c r="AD66" cm="1">
        <f t="array" aca="1" ref="AD66" ca="1">IF($C66=0,"",IF(AD$12&lt;&gt;$C$5,NA(),INDEX(auto_DataFlat_Score,INDEX(sys_DataFlat_LU_Grid,$C66,AD$11))))</f>
        <v>50</v>
      </c>
      <c r="AE66" cm="1">
        <f t="array" aca="1" ref="AE66" ca="1">IF($C66=0,"",IF(AE$12&lt;&gt;$C$5,NA(),INDEX(auto_DataFlat_Score,INDEX(sys_DataFlat_LU_Grid,$C66,AE$11))))</f>
        <v>50</v>
      </c>
      <c r="AF66" cm="1">
        <f t="array" aca="1" ref="AF66" ca="1">IF($C66=0,"",IF(AF$12&lt;&gt;$C$5,NA(),INDEX(auto_DataFlat_Score,INDEX(sys_DataFlat_LU_Grid,$C66,AF$11))))</f>
        <v>100</v>
      </c>
      <c r="AG66" cm="1">
        <f t="array" aca="1" ref="AG66" ca="1">IF($C66=0,"",IF(AG$12&lt;&gt;$C$5,NA(),INDEX(auto_DataFlat_Score,INDEX(sys_DataFlat_LU_Grid,$C66,AG$11))))</f>
        <v>50</v>
      </c>
      <c r="AH66" cm="1">
        <f t="array" aca="1" ref="AH66" ca="1">IF($C66=0,"",IF(AH$12&lt;&gt;$C$5,NA(),INDEX(auto_DataFlat_Score,INDEX(sys_DataFlat_LU_Grid,$C66,AH$11))))</f>
        <v>100</v>
      </c>
      <c r="AI66" cm="1">
        <f t="array" aca="1" ref="AI66" ca="1">IF($C66=0,"",IF(AI$12&lt;&gt;$C$5,NA(),INDEX(auto_DataFlat_Score,INDEX(sys_DataFlat_LU_Grid,$C66,AI$11))))</f>
        <v>50</v>
      </c>
      <c r="AJ66" cm="1">
        <f t="array" aca="1" ref="AJ66" ca="1">IF($C66=0,"",IF(AJ$12&lt;&gt;$C$5,NA(),INDEX(auto_DataFlat_Score,INDEX(sys_DataFlat_LU_Grid,$C66,AJ$11))))</f>
        <v>50</v>
      </c>
      <c r="AK66" cm="1">
        <f t="array" aca="1" ref="AK66" ca="1">IF($C66=0,"",IF(AK$12&lt;&gt;$C$5,NA(),INDEX(auto_DataFlat_Score,INDEX(sys_DataFlat_LU_Grid,$C66,AK$11))))</f>
        <v>50</v>
      </c>
      <c r="AL66" cm="1">
        <f t="array" aca="1" ref="AL66" ca="1">IF($C66=0,"",IF(AL$12&lt;&gt;$C$5,NA(),INDEX(auto_DataFlat_Score,INDEX(sys_DataFlat_LU_Grid,$C66,AL$11))))</f>
        <v>50</v>
      </c>
      <c r="AM66" cm="1">
        <f t="array" aca="1" ref="AM66" ca="1">IF($C66=0,"",IF(AM$12&lt;&gt;$C$5,NA(),INDEX(auto_DataFlat_Score,INDEX(sys_DataFlat_LU_Grid,$C66,AM$11))))</f>
        <v>50</v>
      </c>
      <c r="AN66" cm="1">
        <f t="array" aca="1" ref="AN66" ca="1">IF($C66=0,"",IF(AN$12&lt;&gt;$C$5,NA(),INDEX(auto_DataFlat_Score,INDEX(sys_DataFlat_LU_Grid,$C66,AN$11))))</f>
        <v>50</v>
      </c>
      <c r="AO66" cm="1">
        <f t="array" aca="1" ref="AO66" ca="1">IF($C66=0,"",IF(AO$12&lt;&gt;$C$5,NA(),INDEX(auto_DataFlat_Score,INDEX(sys_DataFlat_LU_Grid,$C66,AO$11))))</f>
        <v>50</v>
      </c>
      <c r="AP66" cm="1">
        <f t="array" aca="1" ref="AP66" ca="1">IF($C66=0,"",IF(AP$12&lt;&gt;$C$5,NA(),INDEX(auto_DataFlat_Score,INDEX(sys_DataFlat_LU_Grid,$C66,AP$11))))</f>
        <v>50</v>
      </c>
      <c r="AQ66" cm="1">
        <f t="array" aca="1" ref="AQ66" ca="1">IF($C66=0,"",IF(AQ$12&lt;&gt;$C$5,NA(),INDEX(auto_DataFlat_Score,INDEX(sys_DataFlat_LU_Grid,$C66,AQ$11))))</f>
        <v>50</v>
      </c>
      <c r="AR66" cm="1">
        <f t="array" aca="1" ref="AR66" ca="1">IF($C66=0,"",IF(AR$12&lt;&gt;$C$5,NA(),INDEX(auto_DataFlat_Score,INDEX(sys_DataFlat_LU_Grid,$C66,AR$11))))</f>
        <v>50</v>
      </c>
      <c r="AS66" cm="1">
        <f t="array" aca="1" ref="AS66" ca="1">IF($C66=0,"",IF(AS$12&lt;&gt;$C$5,NA(),INDEX(auto_DataFlat_Score,INDEX(sys_DataFlat_LU_Grid,$C66,AS$11))))</f>
        <v>50</v>
      </c>
      <c r="AT66" cm="1">
        <f t="array" aca="1" ref="AT66" ca="1">IF($C66=0,"",IF(AT$12&lt;&gt;$C$5,NA(),INDEX(auto_DataFlat_Score,INDEX(sys_DataFlat_LU_Grid,$C66,AT$11))))</f>
        <v>50</v>
      </c>
      <c r="AU66" cm="1">
        <f t="array" aca="1" ref="AU66" ca="1">IF($C66=0,"",IF(AU$12&lt;&gt;$C$5,NA(),INDEX(auto_DataFlat_Score,INDEX(sys_DataFlat_LU_Grid,$C66,AU$11))))</f>
        <v>50</v>
      </c>
      <c r="AV66" cm="1">
        <f t="array" aca="1" ref="AV66" ca="1">IF($C66=0,"",IF(AV$12&lt;&gt;$C$5,NA(),INDEX(auto_DataFlat_Score,INDEX(sys_DataFlat_LU_Grid,$C66,AV$11))))</f>
        <v>50</v>
      </c>
      <c r="AW66" cm="1">
        <f t="array" aca="1" ref="AW66" ca="1">IF($C66=0,"",IF(AW$12&lt;&gt;$C$5,NA(),INDEX(auto_DataFlat_Score,INDEX(sys_DataFlat_LU_Grid,$C66,AW$11))))</f>
        <v>15</v>
      </c>
      <c r="AX66" cm="1">
        <f t="array" aca="1" ref="AX66" ca="1">IF($C66=0,"",IF(AX$12&lt;&gt;$C$5,NA(),INDEX(auto_DataFlat_Score,INDEX(sys_DataFlat_LU_Grid,$C66,AX$11))))</f>
        <v>50</v>
      </c>
      <c r="AY66" cm="1">
        <f t="array" aca="1" ref="AY66" ca="1">IF($C66=0,"",IF(AY$12&lt;&gt;$C$5,NA(),INDEX(auto_DataFlat_Score,INDEX(sys_DataFlat_LU_Grid,$C66,AY$11))))</f>
        <v>50</v>
      </c>
      <c r="AZ66" cm="1">
        <f t="array" aca="1" ref="AZ66" ca="1">IF($C66=0,"",IF(AZ$12&lt;&gt;$C$5,NA(),INDEX(auto_DataFlat_Score,INDEX(sys_DataFlat_LU_Grid,$C66,AZ$11))))</f>
        <v>50</v>
      </c>
      <c r="BA66" cm="1">
        <f t="array" aca="1" ref="BA66" ca="1">IF($C66=0,"",IF(BA$12&lt;&gt;$C$5,NA(),INDEX(auto_DataFlat_Score,INDEX(sys_DataFlat_LU_Grid,$C66,BA$11))))</f>
        <v>50</v>
      </c>
      <c r="BB66" cm="1">
        <f t="array" aca="1" ref="BB66" ca="1">IF($C66=0,"",IF(BB$12&lt;&gt;$C$5,NA(),INDEX(auto_DataFlat_Score,INDEX(sys_DataFlat_LU_Grid,$C66,BB$11))))</f>
        <v>50</v>
      </c>
      <c r="BC66" cm="1">
        <f t="array" aca="1" ref="BC66" ca="1">IF($C66=0,"",IF(BC$12&lt;&gt;$C$5,NA(),INDEX(auto_DataFlat_Score,INDEX(sys_DataFlat_LU_Grid,$C66,BC$11))))</f>
        <v>15</v>
      </c>
      <c r="BD66" cm="1">
        <f t="array" aca="1" ref="BD66" ca="1">IF($C66=0,"",IF(BD$12&lt;&gt;$C$5,NA(),INDEX(auto_DataFlat_Score,INDEX(sys_DataFlat_LU_Grid,$C66,BD$11))))</f>
        <v>50</v>
      </c>
      <c r="BE66" cm="1">
        <f t="array" aca="1" ref="BE66" ca="1">IF($C66=0,"",IF(BE$12&lt;&gt;$C$5,NA(),INDEX(auto_DataFlat_Score,INDEX(sys_DataFlat_LU_Grid,$C66,BE$11))))</f>
        <v>50</v>
      </c>
      <c r="BF66" cm="1">
        <f t="array" aca="1" ref="BF66" ca="1">IF($C66=0,"",IF(BF$12&lt;&gt;$C$5,NA(),INDEX(auto_DataFlat_Score,INDEX(sys_DataFlat_LU_Grid,$C66,BF$11))))</f>
        <v>100</v>
      </c>
      <c r="BG66" cm="1">
        <f t="array" aca="1" ref="BG66" ca="1">IF($C66=0,"",IF(BG$12&lt;&gt;$C$5,NA(),INDEX(auto_DataFlat_Score,INDEX(sys_DataFlat_LU_Grid,$C66,BG$11))))</f>
        <v>100</v>
      </c>
      <c r="BH66" cm="1">
        <f t="array" aca="1" ref="BH66" ca="1">IF($C66=0,"",IF(BH$12&lt;&gt;$C$5,NA(),INDEX(auto_DataFlat_Score,INDEX(sys_DataFlat_LU_Grid,$C66,BH$11))))</f>
        <v>50</v>
      </c>
      <c r="BI66" cm="1">
        <f t="array" aca="1" ref="BI66" ca="1">IF($C66=0,"",IF(BI$12&lt;&gt;$C$5,NA(),INDEX(auto_DataFlat_Score,INDEX(sys_DataFlat_LU_Grid,$C66,BI$11))))</f>
        <v>50</v>
      </c>
      <c r="BJ66" cm="1">
        <f t="array" aca="1" ref="BJ66" ca="1">IF($C66=0,"",IF(BJ$12&lt;&gt;$C$5,NA(),INDEX(auto_DataFlat_Score,INDEX(sys_DataFlat_LU_Grid,$C66,BJ$11))))</f>
        <v>40</v>
      </c>
      <c r="BK66" cm="1">
        <f t="array" aca="1" ref="BK66" ca="1">IF($C66=0,"",IF(BK$12&lt;&gt;$C$5,NA(),INDEX(auto_DataFlat_Score,INDEX(sys_DataFlat_LU_Grid,$C66,BK$11))))</f>
        <v>50</v>
      </c>
      <c r="BL66" cm="1">
        <f t="array" aca="1" ref="BL66" ca="1">IF($C66=0,"",IF(BL$12&lt;&gt;$C$5,NA(),INDEX(auto_DataFlat_Score,INDEX(sys_DataFlat_LU_Grid,$C66,BL$11))))</f>
        <v>50</v>
      </c>
      <c r="BM66" cm="1">
        <f t="array" aca="1" ref="BM66" ca="1">IF($C66=0,"",IF(BM$12&lt;&gt;$C$5,NA(),INDEX(auto_DataFlat_Score,INDEX(sys_DataFlat_LU_Grid,$C66,BM$11))))</f>
        <v>50</v>
      </c>
      <c r="BO66">
        <f t="shared" ca="1" si="18"/>
        <v>10</v>
      </c>
      <c r="BP66">
        <f t="shared" ca="1" si="19"/>
        <v>100</v>
      </c>
      <c r="BQ66" cm="1">
        <f t="array" aca="1" ref="BQ66" ca="1">IF(C66=0,0,INDEX(sys_DataFlat_LU_Grid_Groups,$C66,BQ$12))</f>
        <v>1736</v>
      </c>
      <c r="BR66" cm="1">
        <f t="array" aca="1" ref="BR66" ca="1">IF(D66=0,0,INDEX(sys_DataFlat_LU_Grid_Groups,$C66,BR$12))</f>
        <v>1739</v>
      </c>
      <c r="BU66" cm="1">
        <f t="array" aca="1" ref="BU66" ca="1">INDEX(auto_DataFlat_Score,BQ66)</f>
        <v>55</v>
      </c>
      <c r="BV66" cm="1">
        <f t="array" aca="1" ref="BV66" ca="1">INDEX(auto_DataFlat_Score,BR66)</f>
        <v>63.6</v>
      </c>
      <c r="BW66">
        <f t="shared" ca="1" si="20"/>
        <v>53.9</v>
      </c>
    </row>
    <row r="67" spans="2:75" x14ac:dyDescent="0.4">
      <c r="B67">
        <v>14</v>
      </c>
      <c r="C67" cm="1">
        <f t="array" aca="1" ref="C67" ca="1">INDEX(OFFSET(auto_ss_depth_2,0,1,300,1),B67)</f>
        <v>32</v>
      </c>
      <c r="D67" cm="1">
        <f t="array" aca="1" ref="D67" ca="1">IF(C67=0,0,INDEX(sys_DataFlat_LU_Grid_Groups,$C67,D$40))</f>
        <v>1911</v>
      </c>
      <c r="E67" cm="1">
        <f t="array" aca="1" ref="E67" ca="1">IF(C67=0,0,INDEX(sys_DataFlat_LU_Grid_Groups,$C67,E$40))</f>
        <v>1911</v>
      </c>
      <c r="F67">
        <v>2</v>
      </c>
      <c r="G67">
        <f t="shared" ca="1" si="13"/>
        <v>60.4</v>
      </c>
      <c r="H67" t="e" cm="1">
        <f t="array" ref="H67">IF($C$8=0,NA(),INDEX($P67:$BM67,$C$8))</f>
        <v>#N/A</v>
      </c>
      <c r="I67" cm="1">
        <f t="array" aca="1" ref="I67" ca="1">IF(C67=0,0,INDEX(sys_DataFlat_LU_Grid,$C67,$C$2))</f>
        <v>1861</v>
      </c>
      <c r="J67" t="str" cm="1">
        <f t="array" aca="1" ref="J67" ca="1">IF(C67=0,"-",INDEX(auto_Series_NameNoNumber,C67))</f>
        <v>Physical activity</v>
      </c>
      <c r="K67" cm="1">
        <f t="array" aca="1" ref="K67" ca="1">IF(C67=0,"-",INDEX(K$94:K$162,$C67))</f>
        <v>42.6</v>
      </c>
      <c r="L67" t="str" cm="1">
        <f t="array" aca="1" ref="L67" ca="1">IF(C67=0,"-",INDEX(L$94:L$162,$C67))</f>
        <v>31</v>
      </c>
      <c r="M67">
        <f t="shared" ca="1" si="21"/>
        <v>-0.83173432414182735</v>
      </c>
      <c r="N67" cm="1">
        <f t="array" aca="1" ref="N67" ca="1">IF(C67=0,"-",INDEX($N$94:$N$162,$C67))</f>
        <v>3</v>
      </c>
      <c r="O67" t="e" cm="1">
        <f t="array" aca="1" ref="O67" ca="1">IF(C67=0,"-",INDEX(#REF!,$C67))</f>
        <v>#REF!</v>
      </c>
      <c r="P67" cm="1">
        <f t="array" aca="1" ref="P67" ca="1">IF($C67=0,"",IF(P$12&lt;&gt;$C$5,NA(),INDEX(auto_DataFlat_Score,INDEX(sys_DataFlat_LU_Grid,$C67,P$11))))</f>
        <v>42.6</v>
      </c>
      <c r="Q67" cm="1">
        <f t="array" aca="1" ref="Q67" ca="1">IF($C67=0,"",IF(Q$12&lt;&gt;$C$5,NA(),INDEX(auto_DataFlat_Score,INDEX(sys_DataFlat_LU_Grid,$C67,Q$11))))</f>
        <v>33.200000000000003</v>
      </c>
      <c r="R67" cm="1">
        <f t="array" aca="1" ref="R67" ca="1">IF($C67=0,"",IF(R$12&lt;&gt;$C$5,NA(),INDEX(auto_DataFlat_Score,INDEX(sys_DataFlat_LU_Grid,$C67,R$11))))</f>
        <v>80</v>
      </c>
      <c r="S67" cm="1">
        <f t="array" aca="1" ref="S67" ca="1">IF($C67=0,"",IF(S$12&lt;&gt;$C$5,NA(),INDEX(auto_DataFlat_Score,INDEX(sys_DataFlat_LU_Grid,$C67,S$11))))</f>
        <v>78.8</v>
      </c>
      <c r="T67" cm="1">
        <f t="array" aca="1" ref="T67" ca="1">IF($C67=0,"",IF(T$12&lt;&gt;$C$5,NA(),INDEX(auto_DataFlat_Score,INDEX(sys_DataFlat_LU_Grid,$C67,T$11))))</f>
        <v>87.7</v>
      </c>
      <c r="U67" cm="1">
        <f t="array" aca="1" ref="U67" ca="1">IF($C67=0,"",IF(U$12&lt;&gt;$C$5,NA(),INDEX(auto_DataFlat_Score,INDEX(sys_DataFlat_LU_Grid,$C67,U$11))))</f>
        <v>92.9</v>
      </c>
      <c r="V67" cm="1">
        <f t="array" aca="1" ref="V67" ca="1">IF($C67=0,"",IF(V$12&lt;&gt;$C$5,NA(),INDEX(auto_DataFlat_Score,INDEX(sys_DataFlat_LU_Grid,$C67,V$11))))</f>
        <v>78.900000000000006</v>
      </c>
      <c r="W67" cm="1">
        <f t="array" aca="1" ref="W67" ca="1">IF($C67=0,"",IF(W$12&lt;&gt;$C$5,NA(),INDEX(auto_DataFlat_Score,INDEX(sys_DataFlat_LU_Grid,$C67,W$11))))</f>
        <v>78</v>
      </c>
      <c r="X67" cm="1">
        <f t="array" aca="1" ref="X67" ca="1">IF($C67=0,"",IF(X$12&lt;&gt;$C$5,NA(),INDEX(auto_DataFlat_Score,INDEX(sys_DataFlat_LU_Grid,$C67,X$11))))</f>
        <v>80.7</v>
      </c>
      <c r="Y67" cm="1">
        <f t="array" aca="1" ref="Y67" ca="1">IF($C67=0,"",IF(Y$12&lt;&gt;$C$5,NA(),INDEX(auto_DataFlat_Score,INDEX(sys_DataFlat_LU_Grid,$C67,Y$11))))</f>
        <v>34.5</v>
      </c>
      <c r="Z67" cm="1">
        <f t="array" aca="1" ref="Z67" ca="1">IF($C67=0,"",IF(Z$12&lt;&gt;$C$5,NA(),INDEX(auto_DataFlat_Score,INDEX(sys_DataFlat_LU_Grid,$C67,Z$11))))</f>
        <v>35.5</v>
      </c>
      <c r="AA67" cm="1">
        <f t="array" aca="1" ref="AA67" ca="1">IF($C67=0,"",IF(AA$12&lt;&gt;$C$5,NA(),INDEX(auto_DataFlat_Score,INDEX(sys_DataFlat_LU_Grid,$C67,AA$11))))</f>
        <v>33</v>
      </c>
      <c r="AB67" cm="1">
        <f t="array" aca="1" ref="AB67" ca="1">IF($C67=0,"",IF(AB$12&lt;&gt;$C$5,NA(),INDEX(auto_DataFlat_Score,INDEX(sys_DataFlat_LU_Grid,$C67,AB$11))))</f>
        <v>36.1</v>
      </c>
      <c r="AC67" cm="1">
        <f t="array" aca="1" ref="AC67" ca="1">IF($C67=0,"",IF(AC$12&lt;&gt;$C$5,NA(),INDEX(auto_DataFlat_Score,INDEX(sys_DataFlat_LU_Grid,$C67,AC$11))))</f>
        <v>79.3</v>
      </c>
      <c r="AD67" cm="1">
        <f t="array" aca="1" ref="AD67" ca="1">IF($C67=0,"",IF(AD$12&lt;&gt;$C$5,NA(),INDEX(auto_DataFlat_Score,INDEX(sys_DataFlat_LU_Grid,$C67,AD$11))))</f>
        <v>91.7</v>
      </c>
      <c r="AE67" cm="1">
        <f t="array" aca="1" ref="AE67" ca="1">IF($C67=0,"",IF(AE$12&lt;&gt;$C$5,NA(),INDEX(auto_DataFlat_Score,INDEX(sys_DataFlat_LU_Grid,$C67,AE$11))))</f>
        <v>87.3</v>
      </c>
      <c r="AF67" cm="1">
        <f t="array" aca="1" ref="AF67" ca="1">IF($C67=0,"",IF(AF$12&lt;&gt;$C$5,NA(),INDEX(auto_DataFlat_Score,INDEX(sys_DataFlat_LU_Grid,$C67,AF$11))))</f>
        <v>81.599999999999994</v>
      </c>
      <c r="AG67" cm="1">
        <f t="array" aca="1" ref="AG67" ca="1">IF($C67=0,"",IF(AG$12&lt;&gt;$C$5,NA(),INDEX(auto_DataFlat_Score,INDEX(sys_DataFlat_LU_Grid,$C67,AG$11))))</f>
        <v>34.700000000000003</v>
      </c>
      <c r="AH67" cm="1">
        <f t="array" aca="1" ref="AH67" ca="1">IF($C67=0,"",IF(AH$12&lt;&gt;$C$5,NA(),INDEX(auto_DataFlat_Score,INDEX(sys_DataFlat_LU_Grid,$C67,AH$11))))</f>
        <v>88.7</v>
      </c>
      <c r="AI67" cm="1">
        <f t="array" aca="1" ref="AI67" ca="1">IF($C67=0,"",IF(AI$12&lt;&gt;$C$5,NA(),INDEX(auto_DataFlat_Score,INDEX(sys_DataFlat_LU_Grid,$C67,AI$11))))</f>
        <v>30.9</v>
      </c>
      <c r="AJ67" cm="1">
        <f t="array" aca="1" ref="AJ67" ca="1">IF($C67=0,"",IF(AJ$12&lt;&gt;$C$5,NA(),INDEX(auto_DataFlat_Score,INDEX(sys_DataFlat_LU_Grid,$C67,AJ$11))))</f>
        <v>33.200000000000003</v>
      </c>
      <c r="AK67" cm="1">
        <f t="array" aca="1" ref="AK67" ca="1">IF($C67=0,"",IF(AK$12&lt;&gt;$C$5,NA(),INDEX(auto_DataFlat_Score,INDEX(sys_DataFlat_LU_Grid,$C67,AK$11))))</f>
        <v>43.3</v>
      </c>
      <c r="AL67" cm="1">
        <f t="array" aca="1" ref="AL67" ca="1">IF($C67=0,"",IF(AL$12&lt;&gt;$C$5,NA(),INDEX(auto_DataFlat_Score,INDEX(sys_DataFlat_LU_Grid,$C67,AL$11))))</f>
        <v>33</v>
      </c>
      <c r="AM67" cm="1">
        <f t="array" aca="1" ref="AM67" ca="1">IF($C67=0,"",IF(AM$12&lt;&gt;$C$5,NA(),INDEX(auto_DataFlat_Score,INDEX(sys_DataFlat_LU_Grid,$C67,AM$11))))</f>
        <v>16.5</v>
      </c>
      <c r="AN67" cm="1">
        <f t="array" aca="1" ref="AN67" ca="1">IF($C67=0,"",IF(AN$12&lt;&gt;$C$5,NA(),INDEX(auto_DataFlat_Score,INDEX(sys_DataFlat_LU_Grid,$C67,AN$11))))</f>
        <v>36.5</v>
      </c>
      <c r="AO67" cm="1">
        <f t="array" aca="1" ref="AO67" ca="1">IF($C67=0,"",IF(AO$12&lt;&gt;$C$5,NA(),INDEX(auto_DataFlat_Score,INDEX(sys_DataFlat_LU_Grid,$C67,AO$11))))</f>
        <v>82.1</v>
      </c>
      <c r="AP67" cm="1">
        <f t="array" aca="1" ref="AP67" ca="1">IF($C67=0,"",IF(AP$12&lt;&gt;$C$5,NA(),INDEX(auto_DataFlat_Score,INDEX(sys_DataFlat_LU_Grid,$C67,AP$11))))</f>
        <v>86.6</v>
      </c>
      <c r="AQ67" cm="1">
        <f t="array" aca="1" ref="AQ67" ca="1">IF($C67=0,"",IF(AQ$12&lt;&gt;$C$5,NA(),INDEX(auto_DataFlat_Score,INDEX(sys_DataFlat_LU_Grid,$C67,AQ$11))))</f>
        <v>30.2</v>
      </c>
      <c r="AR67" cm="1">
        <f t="array" aca="1" ref="AR67" ca="1">IF($C67=0,"",IF(AR$12&lt;&gt;$C$5,NA(),INDEX(auto_DataFlat_Score,INDEX(sys_DataFlat_LU_Grid,$C67,AR$11))))</f>
        <v>84.8</v>
      </c>
      <c r="AS67" cm="1">
        <f t="array" aca="1" ref="AS67" ca="1">IF($C67=0,"",IF(AS$12&lt;&gt;$C$5,NA(),INDEX(auto_DataFlat_Score,INDEX(sys_DataFlat_LU_Grid,$C67,AS$11))))</f>
        <v>35.6</v>
      </c>
      <c r="AT67" cm="1">
        <f t="array" aca="1" ref="AT67" ca="1">IF($C67=0,"",IF(AT$12&lt;&gt;$C$5,NA(),INDEX(auto_DataFlat_Score,INDEX(sys_DataFlat_LU_Grid,$C67,AT$11))))</f>
        <v>41.4</v>
      </c>
      <c r="AU67" cm="1">
        <f t="array" aca="1" ref="AU67" ca="1">IF($C67=0,"",IF(AU$12&lt;&gt;$C$5,NA(),INDEX(auto_DataFlat_Score,INDEX(sys_DataFlat_LU_Grid,$C67,AU$11))))</f>
        <v>33</v>
      </c>
      <c r="AV67" cm="1">
        <f t="array" aca="1" ref="AV67" ca="1">IF($C67=0,"",IF(AV$12&lt;&gt;$C$5,NA(),INDEX(auto_DataFlat_Score,INDEX(sys_DataFlat_LU_Grid,$C67,AV$11))))</f>
        <v>42.3</v>
      </c>
      <c r="AW67" cm="1">
        <f t="array" aca="1" ref="AW67" ca="1">IF($C67=0,"",IF(AW$12&lt;&gt;$C$5,NA(),INDEX(auto_DataFlat_Score,INDEX(sys_DataFlat_LU_Grid,$C67,AW$11))))</f>
        <v>80</v>
      </c>
      <c r="AX67" cm="1">
        <f t="array" aca="1" ref="AX67" ca="1">IF($C67=0,"",IF(AX$12&lt;&gt;$C$5,NA(),INDEX(auto_DataFlat_Score,INDEX(sys_DataFlat_LU_Grid,$C67,AX$11))))</f>
        <v>82.3</v>
      </c>
      <c r="AY67" cm="1">
        <f t="array" aca="1" ref="AY67" ca="1">IF($C67=0,"",IF(AY$12&lt;&gt;$C$5,NA(),INDEX(auto_DataFlat_Score,INDEX(sys_DataFlat_LU_Grid,$C67,AY$11))))</f>
        <v>35.299999999999997</v>
      </c>
      <c r="AZ67" cm="1">
        <f t="array" aca="1" ref="AZ67" ca="1">IF($C67=0,"",IF(AZ$12&lt;&gt;$C$5,NA(),INDEX(auto_DataFlat_Score,INDEX(sys_DataFlat_LU_Grid,$C67,AZ$11))))</f>
        <v>44.7</v>
      </c>
      <c r="BA67" cm="1">
        <f t="array" aca="1" ref="BA67" ca="1">IF($C67=0,"",IF(BA$12&lt;&gt;$C$5,NA(),INDEX(auto_DataFlat_Score,INDEX(sys_DataFlat_LU_Grid,$C67,BA$11))))</f>
        <v>23.4</v>
      </c>
      <c r="BB67" cm="1">
        <f t="array" aca="1" ref="BB67" ca="1">IF($C67=0,"",IF(BB$12&lt;&gt;$C$5,NA(),INDEX(auto_DataFlat_Score,INDEX(sys_DataFlat_LU_Grid,$C67,BB$11))))</f>
        <v>29.3</v>
      </c>
      <c r="BC67" cm="1">
        <f t="array" aca="1" ref="BC67" ca="1">IF($C67=0,"",IF(BC$12&lt;&gt;$C$5,NA(),INDEX(auto_DataFlat_Score,INDEX(sys_DataFlat_LU_Grid,$C67,BC$11))))</f>
        <v>80</v>
      </c>
      <c r="BD67" cm="1">
        <f t="array" aca="1" ref="BD67" ca="1">IF($C67=0,"",IF(BD$12&lt;&gt;$C$5,NA(),INDEX(auto_DataFlat_Score,INDEX(sys_DataFlat_LU_Grid,$C67,BD$11))))</f>
        <v>76.5</v>
      </c>
      <c r="BE67" cm="1">
        <f t="array" aca="1" ref="BE67" ca="1">IF($C67=0,"",IF(BE$12&lt;&gt;$C$5,NA(),INDEX(auto_DataFlat_Score,INDEX(sys_DataFlat_LU_Grid,$C67,BE$11))))</f>
        <v>82.3</v>
      </c>
      <c r="BF67" cm="1">
        <f t="array" aca="1" ref="BF67" ca="1">IF($C67=0,"",IF(BF$12&lt;&gt;$C$5,NA(),INDEX(auto_DataFlat_Score,INDEX(sys_DataFlat_LU_Grid,$C67,BF$11))))</f>
        <v>92.9</v>
      </c>
      <c r="BG67" cm="1">
        <f t="array" aca="1" ref="BG67" ca="1">IF($C67=0,"",IF(BG$12&lt;&gt;$C$5,NA(),INDEX(auto_DataFlat_Score,INDEX(sys_DataFlat_LU_Grid,$C67,BG$11))))</f>
        <v>81.8</v>
      </c>
      <c r="BH67" cm="1">
        <f t="array" aca="1" ref="BH67" ca="1">IF($C67=0,"",IF(BH$12&lt;&gt;$C$5,NA(),INDEX(auto_DataFlat_Score,INDEX(sys_DataFlat_LU_Grid,$C67,BH$11))))</f>
        <v>84.8</v>
      </c>
      <c r="BI67" cm="1">
        <f t="array" aca="1" ref="BI67" ca="1">IF($C67=0,"",IF(BI$12&lt;&gt;$C$5,NA(),INDEX(auto_DataFlat_Score,INDEX(sys_DataFlat_LU_Grid,$C67,BI$11))))</f>
        <v>82.3</v>
      </c>
      <c r="BJ67" cm="1">
        <f t="array" aca="1" ref="BJ67" ca="1">IF($C67=0,"",IF(BJ$12&lt;&gt;$C$5,NA(),INDEX(auto_DataFlat_Score,INDEX(sys_DataFlat_LU_Grid,$C67,BJ$11))))</f>
        <v>85.7</v>
      </c>
      <c r="BK67" cm="1">
        <f t="array" aca="1" ref="BK67" ca="1">IF($C67=0,"",IF(BK$12&lt;&gt;$C$5,NA(),INDEX(auto_DataFlat_Score,INDEX(sys_DataFlat_LU_Grid,$C67,BK$11))))</f>
        <v>85</v>
      </c>
      <c r="BL67" cm="1">
        <f t="array" aca="1" ref="BL67" ca="1">IF($C67=0,"",IF(BL$12&lt;&gt;$C$5,NA(),INDEX(auto_DataFlat_Score,INDEX(sys_DataFlat_LU_Grid,$C67,BL$11))))</f>
        <v>42.9</v>
      </c>
      <c r="BM67" cm="1">
        <f t="array" aca="1" ref="BM67" ca="1">IF($C67=0,"",IF(BM$12&lt;&gt;$C$5,NA(),INDEX(auto_DataFlat_Score,INDEX(sys_DataFlat_LU_Grid,$C67,BM$11))))</f>
        <v>44.6</v>
      </c>
      <c r="BO67">
        <f t="shared" ca="1" si="18"/>
        <v>16.5</v>
      </c>
      <c r="BP67">
        <f t="shared" ca="1" si="19"/>
        <v>92.9</v>
      </c>
      <c r="BQ67" cm="1">
        <f t="array" aca="1" ref="BQ67" ca="1">IF(C67=0,0,INDEX(sys_DataFlat_LU_Grid_Groups,$C67,BQ$12))</f>
        <v>1916</v>
      </c>
      <c r="BR67" cm="1">
        <f t="array" aca="1" ref="BR67" ca="1">IF(D67=0,0,INDEX(sys_DataFlat_LU_Grid_Groups,$C67,BR$12))</f>
        <v>1919</v>
      </c>
      <c r="BU67" cm="1">
        <f t="array" aca="1" ref="BU67" ca="1">INDEX(auto_DataFlat_Score,BQ67)</f>
        <v>46.8</v>
      </c>
      <c r="BV67" cm="1">
        <f t="array" aca="1" ref="BV67" ca="1">INDEX(auto_DataFlat_Score,BR67)</f>
        <v>63.8</v>
      </c>
      <c r="BW67">
        <f t="shared" ca="1" si="20"/>
        <v>60.4</v>
      </c>
    </row>
    <row r="68" spans="2:75" x14ac:dyDescent="0.4">
      <c r="B68">
        <v>15</v>
      </c>
      <c r="C68" cm="1">
        <f t="array" aca="1" ref="C68" ca="1">INDEX(OFFSET(auto_ss_depth_2,0,1,300,1),B68)</f>
        <v>35</v>
      </c>
      <c r="D68" cm="1">
        <f t="array" aca="1" ref="D68" ca="1">IF(C68=0,0,INDEX(sys_DataFlat_LU_Grid_Groups,$C68,D$40))</f>
        <v>2091</v>
      </c>
      <c r="E68" cm="1">
        <f t="array" aca="1" ref="E68" ca="1">IF(C68=0,0,INDEX(sys_DataFlat_LU_Grid_Groups,$C68,E$40))</f>
        <v>2091</v>
      </c>
      <c r="F68">
        <v>3</v>
      </c>
      <c r="G68">
        <f t="shared" ca="1" si="13"/>
        <v>63</v>
      </c>
      <c r="H68" t="e" cm="1">
        <f t="array" ref="H68">IF($C$8=0,NA(),INDEX($P68:$BM68,$C$8))</f>
        <v>#N/A</v>
      </c>
      <c r="I68" cm="1">
        <f t="array" aca="1" ref="I68" ca="1">IF(C68=0,0,INDEX(sys_DataFlat_LU_Grid,$C68,$C$2))</f>
        <v>2041</v>
      </c>
      <c r="J68" t="str" cm="1">
        <f t="array" aca="1" ref="J68" ca="1">IF(C68=0,"-",INDEX(auto_Series_NameNoNumber,C68))</f>
        <v>Hypertension</v>
      </c>
      <c r="K68" cm="1">
        <f t="array" aca="1" ref="K68" ca="1">IF(C68=0,"-",INDEX(K$94:K$162,$C68))</f>
        <v>61.3</v>
      </c>
      <c r="L68" t="str" cm="1">
        <f t="array" aca="1" ref="L68" ca="1">IF(C68=0,"-",INDEX(L$94:L$162,$C68))</f>
        <v>22</v>
      </c>
      <c r="M68">
        <f t="shared" ca="1" si="21"/>
        <v>0.48853916248633156</v>
      </c>
      <c r="N68" cm="1">
        <f t="array" aca="1" ref="N68" ca="1">IF(C68=0,"-",INDEX($N$94:$N$162,$C68))</f>
        <v>4</v>
      </c>
      <c r="O68" t="e" cm="1">
        <f t="array" aca="1" ref="O68" ca="1">IF(C68=0,"-",INDEX(#REF!,$C68))</f>
        <v>#REF!</v>
      </c>
      <c r="P68" cm="1">
        <f t="array" aca="1" ref="P68" ca="1">IF($C68=0,"",IF(P$12&lt;&gt;$C$5,NA(),INDEX(auto_DataFlat_Score,INDEX(sys_DataFlat_LU_Grid,$C68,P$11))))</f>
        <v>61.3</v>
      </c>
      <c r="Q68" cm="1">
        <f t="array" aca="1" ref="Q68" ca="1">IF($C68=0,"",IF(Q$12&lt;&gt;$C$5,NA(),INDEX(auto_DataFlat_Score,INDEX(sys_DataFlat_LU_Grid,$C68,Q$11))))</f>
        <v>81.900000000000006</v>
      </c>
      <c r="R68" cm="1">
        <f t="array" aca="1" ref="R68" ca="1">IF($C68=0,"",IF(R$12&lt;&gt;$C$5,NA(),INDEX(auto_DataFlat_Score,INDEX(sys_DataFlat_LU_Grid,$C68,R$11))))</f>
        <v>59.2</v>
      </c>
      <c r="S68" cm="1">
        <f t="array" aca="1" ref="S68" ca="1">IF($C68=0,"",IF(S$12&lt;&gt;$C$5,NA(),INDEX(auto_DataFlat_Score,INDEX(sys_DataFlat_LU_Grid,$C68,S$11))))</f>
        <v>59.6</v>
      </c>
      <c r="T68" cm="1">
        <f t="array" aca="1" ref="T68" ca="1">IF($C68=0,"",IF(T$12&lt;&gt;$C$5,NA(),INDEX(auto_DataFlat_Score,INDEX(sys_DataFlat_LU_Grid,$C68,T$11))))</f>
        <v>60.4</v>
      </c>
      <c r="U68" cm="1">
        <f t="array" aca="1" ref="U68" ca="1">IF($C68=0,"",IF(U$12&lt;&gt;$C$5,NA(),INDEX(auto_DataFlat_Score,INDEX(sys_DataFlat_LU_Grid,$C68,U$11))))</f>
        <v>61.4</v>
      </c>
      <c r="V68" cm="1">
        <f t="array" aca="1" ref="V68" ca="1">IF($C68=0,"",IF(V$12&lt;&gt;$C$5,NA(),INDEX(auto_DataFlat_Score,INDEX(sys_DataFlat_LU_Grid,$C68,V$11))))</f>
        <v>35.200000000000003</v>
      </c>
      <c r="W68" cm="1">
        <f t="array" aca="1" ref="W68" ca="1">IF($C68=0,"",IF(W$12&lt;&gt;$C$5,NA(),INDEX(auto_DataFlat_Score,INDEX(sys_DataFlat_LU_Grid,$C68,W$11))))</f>
        <v>34.5</v>
      </c>
      <c r="X68" cm="1">
        <f t="array" aca="1" ref="X68" ca="1">IF($C68=0,"",IF(X$12&lt;&gt;$C$5,NA(),INDEX(auto_DataFlat_Score,INDEX(sys_DataFlat_LU_Grid,$C68,X$11))))</f>
        <v>50.9</v>
      </c>
      <c r="Y68" cm="1">
        <f t="array" aca="1" ref="Y68" ca="1">IF($C68=0,"",IF(Y$12&lt;&gt;$C$5,NA(),INDEX(auto_DataFlat_Score,INDEX(sys_DataFlat_LU_Grid,$C68,Y$11))))</f>
        <v>55.9</v>
      </c>
      <c r="Z68" cm="1">
        <f t="array" aca="1" ref="Z68" ca="1">IF($C68=0,"",IF(Z$12&lt;&gt;$C$5,NA(),INDEX(auto_DataFlat_Score,INDEX(sys_DataFlat_LU_Grid,$C68,Z$11))))</f>
        <v>32.200000000000003</v>
      </c>
      <c r="AA68" cm="1">
        <f t="array" aca="1" ref="AA68" ca="1">IF($C68=0,"",IF(AA$12&lt;&gt;$C$5,NA(),INDEX(auto_DataFlat_Score,INDEX(sys_DataFlat_LU_Grid,$C68,AA$11))))</f>
        <v>59.5</v>
      </c>
      <c r="AB68" cm="1">
        <f t="array" aca="1" ref="AB68" ca="1">IF($C68=0,"",IF(AB$12&lt;&gt;$C$5,NA(),INDEX(auto_DataFlat_Score,INDEX(sys_DataFlat_LU_Grid,$C68,AB$11))))</f>
        <v>85.6</v>
      </c>
      <c r="AC68" cm="1">
        <f t="array" aca="1" ref="AC68" ca="1">IF($C68=0,"",IF(AC$12&lt;&gt;$C$5,NA(),INDEX(auto_DataFlat_Score,INDEX(sys_DataFlat_LU_Grid,$C68,AC$11))))</f>
        <v>79.3</v>
      </c>
      <c r="AD68" cm="1">
        <f t="array" aca="1" ref="AD68" ca="1">IF($C68=0,"",IF(AD$12&lt;&gt;$C$5,NA(),INDEX(auto_DataFlat_Score,INDEX(sys_DataFlat_LU_Grid,$C68,AD$11))))</f>
        <v>82.1</v>
      </c>
      <c r="AE68" cm="1">
        <f t="array" aca="1" ref="AE68" ca="1">IF($C68=0,"",IF(AE$12&lt;&gt;$C$5,NA(),INDEX(auto_DataFlat_Score,INDEX(sys_DataFlat_LU_Grid,$C68,AE$11))))</f>
        <v>85.2</v>
      </c>
      <c r="AF68" cm="1">
        <f t="array" aca="1" ref="AF68" ca="1">IF($C68=0,"",IF(AF$12&lt;&gt;$C$5,NA(),INDEX(auto_DataFlat_Score,INDEX(sys_DataFlat_LU_Grid,$C68,AF$11))))</f>
        <v>84</v>
      </c>
      <c r="AG68" cm="1">
        <f t="array" aca="1" ref="AG68" ca="1">IF($C68=0,"",IF(AG$12&lt;&gt;$C$5,NA(),INDEX(auto_DataFlat_Score,INDEX(sys_DataFlat_LU_Grid,$C68,AG$11))))</f>
        <v>58.6</v>
      </c>
      <c r="AH68" cm="1">
        <f t="array" aca="1" ref="AH68" ca="1">IF($C68=0,"",IF(AH$12&lt;&gt;$C$5,NA(),INDEX(auto_DataFlat_Score,INDEX(sys_DataFlat_LU_Grid,$C68,AH$11))))</f>
        <v>79.900000000000006</v>
      </c>
      <c r="AI68" cm="1">
        <f t="array" aca="1" ref="AI68" ca="1">IF($C68=0,"",IF(AI$12&lt;&gt;$C$5,NA(),INDEX(auto_DataFlat_Score,INDEX(sys_DataFlat_LU_Grid,$C68,AI$11))))</f>
        <v>53</v>
      </c>
      <c r="AJ68" cm="1">
        <f t="array" aca="1" ref="AJ68" ca="1">IF($C68=0,"",IF(AJ$12&lt;&gt;$C$5,NA(),INDEX(auto_DataFlat_Score,INDEX(sys_DataFlat_LU_Grid,$C68,AJ$11))))</f>
        <v>53.4</v>
      </c>
      <c r="AK68" cm="1">
        <f t="array" aca="1" ref="AK68" ca="1">IF($C68=0,"",IF(AK$12&lt;&gt;$C$5,NA(),INDEX(auto_DataFlat_Score,INDEX(sys_DataFlat_LU_Grid,$C68,AK$11))))</f>
        <v>57</v>
      </c>
      <c r="AL68" cm="1">
        <f t="array" aca="1" ref="AL68" ca="1">IF($C68=0,"",IF(AL$12&lt;&gt;$C$5,NA(),INDEX(auto_DataFlat_Score,INDEX(sys_DataFlat_LU_Grid,$C68,AL$11))))</f>
        <v>59.5</v>
      </c>
      <c r="AM68" cm="1">
        <f t="array" aca="1" ref="AM68" ca="1">IF($C68=0,"",IF(AM$12&lt;&gt;$C$5,NA(),INDEX(auto_DataFlat_Score,INDEX(sys_DataFlat_LU_Grid,$C68,AM$11))))</f>
        <v>29.8</v>
      </c>
      <c r="AN68" cm="1">
        <f t="array" aca="1" ref="AN68" ca="1">IF($C68=0,"",IF(AN$12&lt;&gt;$C$5,NA(),INDEX(auto_DataFlat_Score,INDEX(sys_DataFlat_LU_Grid,$C68,AN$11))))</f>
        <v>32</v>
      </c>
      <c r="AO68" cm="1">
        <f t="array" aca="1" ref="AO68" ca="1">IF($C68=0,"",IF(AO$12&lt;&gt;$C$5,NA(),INDEX(auto_DataFlat_Score,INDEX(sys_DataFlat_LU_Grid,$C68,AO$11))))</f>
        <v>61.8</v>
      </c>
      <c r="AP68" cm="1">
        <f t="array" aca="1" ref="AP68" ca="1">IF($C68=0,"",IF(AP$12&lt;&gt;$C$5,NA(),INDEX(auto_DataFlat_Score,INDEX(sys_DataFlat_LU_Grid,$C68,AP$11))))</f>
        <v>86.4</v>
      </c>
      <c r="AQ68" cm="1">
        <f t="array" aca="1" ref="AQ68" ca="1">IF($C68=0,"",IF(AQ$12&lt;&gt;$C$5,NA(),INDEX(auto_DataFlat_Score,INDEX(sys_DataFlat_LU_Grid,$C68,AQ$11))))</f>
        <v>58.1</v>
      </c>
      <c r="AR68" cm="1">
        <f t="array" aca="1" ref="AR68" ca="1">IF($C68=0,"",IF(AR$12&lt;&gt;$C$5,NA(),INDEX(auto_DataFlat_Score,INDEX(sys_DataFlat_LU_Grid,$C68,AR$11))))</f>
        <v>60.4</v>
      </c>
      <c r="AS68" cm="1">
        <f t="array" aca="1" ref="AS68" ca="1">IF($C68=0,"",IF(AS$12&lt;&gt;$C$5,NA(),INDEX(auto_DataFlat_Score,INDEX(sys_DataFlat_LU_Grid,$C68,AS$11))))</f>
        <v>59</v>
      </c>
      <c r="AT68" cm="1">
        <f t="array" aca="1" ref="AT68" ca="1">IF($C68=0,"",IF(AT$12&lt;&gt;$C$5,NA(),INDEX(auto_DataFlat_Score,INDEX(sys_DataFlat_LU_Grid,$C68,AT$11))))</f>
        <v>52.9</v>
      </c>
      <c r="AU68" cm="1">
        <f t="array" aca="1" ref="AU68" ca="1">IF($C68=0,"",IF(AU$12&lt;&gt;$C$5,NA(),INDEX(auto_DataFlat_Score,INDEX(sys_DataFlat_LU_Grid,$C68,AU$11))))</f>
        <v>84.5</v>
      </c>
      <c r="AV68" cm="1">
        <f t="array" aca="1" ref="AV68" ca="1">IF($C68=0,"",IF(AV$12&lt;&gt;$C$5,NA(),INDEX(auto_DataFlat_Score,INDEX(sys_DataFlat_LU_Grid,$C68,AV$11))))</f>
        <v>33.4</v>
      </c>
      <c r="AW68" cm="1">
        <f t="array" aca="1" ref="AW68" ca="1">IF($C68=0,"",IF(AW$12&lt;&gt;$C$5,NA(),INDEX(auto_DataFlat_Score,INDEX(sys_DataFlat_LU_Grid,$C68,AW$11))))</f>
        <v>84.2</v>
      </c>
      <c r="AX68" cm="1">
        <f t="array" aca="1" ref="AX68" ca="1">IF($C68=0,"",IF(AX$12&lt;&gt;$C$5,NA(),INDEX(auto_DataFlat_Score,INDEX(sys_DataFlat_LU_Grid,$C68,AX$11))))</f>
        <v>84.3</v>
      </c>
      <c r="AY68" cm="1">
        <f t="array" aca="1" ref="AY68" ca="1">IF($C68=0,"",IF(AY$12&lt;&gt;$C$5,NA(),INDEX(auto_DataFlat_Score,INDEX(sys_DataFlat_LU_Grid,$C68,AY$11))))</f>
        <v>35.5</v>
      </c>
      <c r="AZ68" cm="1">
        <f t="array" aca="1" ref="AZ68" ca="1">IF($C68=0,"",IF(AZ$12&lt;&gt;$C$5,NA(),INDEX(auto_DataFlat_Score,INDEX(sys_DataFlat_LU_Grid,$C68,AZ$11))))</f>
        <v>62.2</v>
      </c>
      <c r="BA68" cm="1">
        <f t="array" aca="1" ref="BA68" ca="1">IF($C68=0,"",IF(BA$12&lt;&gt;$C$5,NA(),INDEX(auto_DataFlat_Score,INDEX(sys_DataFlat_LU_Grid,$C68,BA$11))))</f>
        <v>83</v>
      </c>
      <c r="BB68" cm="1">
        <f t="array" aca="1" ref="BB68" ca="1">IF($C68=0,"",IF(BB$12&lt;&gt;$C$5,NA(),INDEX(auto_DataFlat_Score,INDEX(sys_DataFlat_LU_Grid,$C68,BB$11))))</f>
        <v>33.1</v>
      </c>
      <c r="BC68" cm="1">
        <f t="array" aca="1" ref="BC68" ca="1">IF($C68=0,"",IF(BC$12&lt;&gt;$C$5,NA(),INDEX(auto_DataFlat_Score,INDEX(sys_DataFlat_LU_Grid,$C68,BC$11))))</f>
        <v>84.2</v>
      </c>
      <c r="BD68" cm="1">
        <f t="array" aca="1" ref="BD68" ca="1">IF($C68=0,"",IF(BD$12&lt;&gt;$C$5,NA(),INDEX(auto_DataFlat_Score,INDEX(sys_DataFlat_LU_Grid,$C68,BD$11))))</f>
        <v>52.5</v>
      </c>
      <c r="BE68" cm="1">
        <f t="array" aca="1" ref="BE68" ca="1">IF($C68=0,"",IF(BE$12&lt;&gt;$C$5,NA(),INDEX(auto_DataFlat_Score,INDEX(sys_DataFlat_LU_Grid,$C68,BE$11))))</f>
        <v>86.7</v>
      </c>
      <c r="BF68" cm="1">
        <f t="array" aca="1" ref="BF68" ca="1">IF($C68=0,"",IF(BF$12&lt;&gt;$C$5,NA(),INDEX(auto_DataFlat_Score,INDEX(sys_DataFlat_LU_Grid,$C68,BF$11))))</f>
        <v>86.4</v>
      </c>
      <c r="BG68" cm="1">
        <f t="array" aca="1" ref="BG68" ca="1">IF($C68=0,"",IF(BG$12&lt;&gt;$C$5,NA(),INDEX(auto_DataFlat_Score,INDEX(sys_DataFlat_LU_Grid,$C68,BG$11))))</f>
        <v>59.3</v>
      </c>
      <c r="BH68" cm="1">
        <f t="array" aca="1" ref="BH68" ca="1">IF($C68=0,"",IF(BH$12&lt;&gt;$C$5,NA(),INDEX(auto_DataFlat_Score,INDEX(sys_DataFlat_LU_Grid,$C68,BH$11))))</f>
        <v>60.4</v>
      </c>
      <c r="BI68" cm="1">
        <f t="array" aca="1" ref="BI68" ca="1">IF($C68=0,"",IF(BI$12&lt;&gt;$C$5,NA(),INDEX(auto_DataFlat_Score,INDEX(sys_DataFlat_LU_Grid,$C68,BI$11))))</f>
        <v>84.3</v>
      </c>
      <c r="BJ68" cm="1">
        <f t="array" aca="1" ref="BJ68" ca="1">IF($C68=0,"",IF(BJ$12&lt;&gt;$C$5,NA(),INDEX(auto_DataFlat_Score,INDEX(sys_DataFlat_LU_Grid,$C68,BJ$11))))</f>
        <v>64</v>
      </c>
      <c r="BK68" cm="1">
        <f t="array" aca="1" ref="BK68" ca="1">IF($C68=0,"",IF(BK$12&lt;&gt;$C$5,NA(),INDEX(auto_DataFlat_Score,INDEX(sys_DataFlat_LU_Grid,$C68,BK$11))))</f>
        <v>58.1</v>
      </c>
      <c r="BL68" cm="1">
        <f t="array" aca="1" ref="BL68" ca="1">IF($C68=0,"",IF(BL$12&lt;&gt;$C$5,NA(),INDEX(auto_DataFlat_Score,INDEX(sys_DataFlat_LU_Grid,$C68,BL$11))))</f>
        <v>86.4</v>
      </c>
      <c r="BM68" cm="1">
        <f t="array" aca="1" ref="BM68" ca="1">IF($C68=0,"",IF(BM$12&lt;&gt;$C$5,NA(),INDEX(auto_DataFlat_Score,INDEX(sys_DataFlat_LU_Grid,$C68,BM$11))))</f>
        <v>56.1</v>
      </c>
      <c r="BO68">
        <f t="shared" ca="1" si="18"/>
        <v>29.8</v>
      </c>
      <c r="BP68">
        <f t="shared" ca="1" si="19"/>
        <v>86.7</v>
      </c>
      <c r="BQ68" cm="1">
        <f t="array" aca="1" ref="BQ68" ca="1">IF(C68=0,0,INDEX(sys_DataFlat_LU_Grid_Groups,$C68,BQ$12))</f>
        <v>2096</v>
      </c>
      <c r="BR68" cm="1">
        <f t="array" aca="1" ref="BR68" ca="1">IF(D68=0,0,INDEX(sys_DataFlat_LU_Grid_Groups,$C68,BR$12))</f>
        <v>2099</v>
      </c>
      <c r="BU68" cm="1">
        <f t="array" aca="1" ref="BU68" ca="1">INDEX(auto_DataFlat_Score,BQ68)</f>
        <v>62.8</v>
      </c>
      <c r="BV68" cm="1">
        <f t="array" aca="1" ref="BV68" ca="1">INDEX(auto_DataFlat_Score,BR68)</f>
        <v>62.3</v>
      </c>
      <c r="BW68">
        <f t="shared" ca="1" si="20"/>
        <v>63</v>
      </c>
    </row>
    <row r="69" spans="2:75" x14ac:dyDescent="0.4">
      <c r="B69">
        <v>16</v>
      </c>
      <c r="C69" cm="1">
        <f t="array" aca="1" ref="C69" ca="1">INDEX(OFFSET(auto_ss_depth_2,0,1,300,1),B69)</f>
        <v>38</v>
      </c>
      <c r="D69" cm="1">
        <f t="array" aca="1" ref="D69" ca="1">IF(C69=0,0,INDEX(sys_DataFlat_LU_Grid_Groups,$C69,D$40))</f>
        <v>2271</v>
      </c>
      <c r="E69" cm="1">
        <f t="array" aca="1" ref="E69" ca="1">IF(C69=0,0,INDEX(sys_DataFlat_LU_Grid_Groups,$C69,E$40))</f>
        <v>2271</v>
      </c>
      <c r="F69">
        <v>4</v>
      </c>
      <c r="G69">
        <f t="shared" ca="1" si="13"/>
        <v>78.900000000000006</v>
      </c>
      <c r="H69" t="e" cm="1">
        <f t="array" ref="H69">IF($C$8=0,NA(),INDEX($P69:$BM69,$C$8))</f>
        <v>#N/A</v>
      </c>
      <c r="I69" cm="1">
        <f t="array" aca="1" ref="I69" ca="1">IF(C69=0,0,INDEX(sys_DataFlat_LU_Grid,$C69,$C$2))</f>
        <v>2221</v>
      </c>
      <c r="J69" t="str" cm="1">
        <f t="array" aca="1" ref="J69" ca="1">IF(C69=0,"-",INDEX(auto_Series_NameNoNumber,C69))</f>
        <v>Diabetes</v>
      </c>
      <c r="K69" cm="1">
        <f t="array" aca="1" ref="K69" ca="1">IF(C69=0,"-",INDEX(K$94:K$162,$C69))</f>
        <v>46.7</v>
      </c>
      <c r="L69" t="str" cm="1">
        <f t="array" aca="1" ref="L69" ca="1">IF(C69=0,"-",INDEX(L$94:L$162,$C69))</f>
        <v>41</v>
      </c>
      <c r="M69">
        <f t="shared" ca="1" si="21"/>
        <v>-1.3294160859491431</v>
      </c>
      <c r="N69" cm="1">
        <f t="array" aca="1" ref="N69" ca="1">IF(C69=0,"-",INDEX($N$94:$N$162,$C69))</f>
        <v>3</v>
      </c>
      <c r="O69" t="e" cm="1">
        <f t="array" aca="1" ref="O69" ca="1">IF(C69=0,"-",INDEX(#REF!,$C69))</f>
        <v>#REF!</v>
      </c>
      <c r="P69" cm="1">
        <f t="array" aca="1" ref="P69" ca="1">IF($C69=0,"",IF(P$12&lt;&gt;$C$5,NA(),INDEX(auto_DataFlat_Score,INDEX(sys_DataFlat_LU_Grid,$C69,P$11))))</f>
        <v>46.7</v>
      </c>
      <c r="Q69" cm="1">
        <f t="array" aca="1" ref="Q69" ca="1">IF($C69=0,"",IF(Q$12&lt;&gt;$C$5,NA(),INDEX(auto_DataFlat_Score,INDEX(sys_DataFlat_LU_Grid,$C69,Q$11))))</f>
        <v>45.1</v>
      </c>
      <c r="R69" cm="1">
        <f t="array" aca="1" ref="R69" ca="1">IF($C69=0,"",IF(R$12&lt;&gt;$C$5,NA(),INDEX(auto_DataFlat_Score,INDEX(sys_DataFlat_LU_Grid,$C69,R$11))))</f>
        <v>96</v>
      </c>
      <c r="S69" cm="1">
        <f t="array" aca="1" ref="S69" ca="1">IF($C69=0,"",IF(S$12&lt;&gt;$C$5,NA(),INDEX(auto_DataFlat_Score,INDEX(sys_DataFlat_LU_Grid,$C69,S$11))))</f>
        <v>97.8</v>
      </c>
      <c r="T69" cm="1">
        <f t="array" aca="1" ref="T69" ca="1">IF($C69=0,"",IF(T$12&lt;&gt;$C$5,NA(),INDEX(auto_DataFlat_Score,INDEX(sys_DataFlat_LU_Grid,$C69,T$11))))</f>
        <v>98.9</v>
      </c>
      <c r="U69" cm="1">
        <f t="array" aca="1" ref="U69" ca="1">IF($C69=0,"",IF(U$12&lt;&gt;$C$5,NA(),INDEX(auto_DataFlat_Score,INDEX(sys_DataFlat_LU_Grid,$C69,U$11))))</f>
        <v>98.9</v>
      </c>
      <c r="V69" cm="1">
        <f t="array" aca="1" ref="V69" ca="1">IF($C69=0,"",IF(V$12&lt;&gt;$C$5,NA(),INDEX(auto_DataFlat_Score,INDEX(sys_DataFlat_LU_Grid,$C69,V$11))))</f>
        <v>97.6</v>
      </c>
      <c r="W69" cm="1">
        <f t="array" aca="1" ref="W69" ca="1">IF($C69=0,"",IF(W$12&lt;&gt;$C$5,NA(),INDEX(auto_DataFlat_Score,INDEX(sys_DataFlat_LU_Grid,$C69,W$11))))</f>
        <v>95.1</v>
      </c>
      <c r="X69" cm="1">
        <f t="array" aca="1" ref="X69" ca="1">IF($C69=0,"",IF(X$12&lt;&gt;$C$5,NA(),INDEX(auto_DataFlat_Score,INDEX(sys_DataFlat_LU_Grid,$C69,X$11))))</f>
        <v>98.1</v>
      </c>
      <c r="Y69" cm="1">
        <f t="array" aca="1" ref="Y69" ca="1">IF($C69=0,"",IF(Y$12&lt;&gt;$C$5,NA(),INDEX(auto_DataFlat_Score,INDEX(sys_DataFlat_LU_Grid,$C69,Y$11))))</f>
        <v>45.1</v>
      </c>
      <c r="Z69" cm="1">
        <f t="array" aca="1" ref="Z69" ca="1">IF($C69=0,"",IF(Z$12&lt;&gt;$C$5,NA(),INDEX(auto_DataFlat_Score,INDEX(sys_DataFlat_LU_Grid,$C69,Z$11))))</f>
        <v>47.6</v>
      </c>
      <c r="AA69" cm="1">
        <f t="array" aca="1" ref="AA69" ca="1">IF($C69=0,"",IF(AA$12&lt;&gt;$C$5,NA(),INDEX(auto_DataFlat_Score,INDEX(sys_DataFlat_LU_Grid,$C69,AA$11))))</f>
        <v>96.1</v>
      </c>
      <c r="AB69" cm="1">
        <f t="array" aca="1" ref="AB69" ca="1">IF($C69=0,"",IF(AB$12&lt;&gt;$C$5,NA(),INDEX(auto_DataFlat_Score,INDEX(sys_DataFlat_LU_Grid,$C69,AB$11))))</f>
        <v>41</v>
      </c>
      <c r="AC69" cm="1">
        <f t="array" aca="1" ref="AC69" ca="1">IF($C69=0,"",IF(AC$12&lt;&gt;$C$5,NA(),INDEX(auto_DataFlat_Score,INDEX(sys_DataFlat_LU_Grid,$C69,AC$11))))</f>
        <v>95.6</v>
      </c>
      <c r="AD69" cm="1">
        <f t="array" aca="1" ref="AD69" ca="1">IF($C69=0,"",IF(AD$12&lt;&gt;$C$5,NA(),INDEX(auto_DataFlat_Score,INDEX(sys_DataFlat_LU_Grid,$C69,AD$11))))</f>
        <v>97.8</v>
      </c>
      <c r="AE69" cm="1">
        <f t="array" aca="1" ref="AE69" ca="1">IF($C69=0,"",IF(AE$12&lt;&gt;$C$5,NA(),INDEX(auto_DataFlat_Score,INDEX(sys_DataFlat_LU_Grid,$C69,AE$11))))</f>
        <v>98.9</v>
      </c>
      <c r="AF69" cm="1">
        <f t="array" aca="1" ref="AF69" ca="1">IF($C69=0,"",IF(AF$12&lt;&gt;$C$5,NA(),INDEX(auto_DataFlat_Score,INDEX(sys_DataFlat_LU_Grid,$C69,AF$11))))</f>
        <v>96.8</v>
      </c>
      <c r="AG69" cm="1">
        <f t="array" aca="1" ref="AG69" ca="1">IF($C69=0,"",IF(AG$12&lt;&gt;$C$5,NA(),INDEX(auto_DataFlat_Score,INDEX(sys_DataFlat_LU_Grid,$C69,AG$11))))</f>
        <v>49.2</v>
      </c>
      <c r="AH69" cm="1">
        <f t="array" aca="1" ref="AH69" ca="1">IF($C69=0,"",IF(AH$12&lt;&gt;$C$5,NA(),INDEX(auto_DataFlat_Score,INDEX(sys_DataFlat_LU_Grid,$C69,AH$11))))</f>
        <v>98.9</v>
      </c>
      <c r="AI69" cm="1">
        <f t="array" aca="1" ref="AI69" ca="1">IF($C69=0,"",IF(AI$12&lt;&gt;$C$5,NA(),INDEX(auto_DataFlat_Score,INDEX(sys_DataFlat_LU_Grid,$C69,AI$11))))</f>
        <v>83.9</v>
      </c>
      <c r="AJ69" cm="1">
        <f t="array" aca="1" ref="AJ69" ca="1">IF($C69=0,"",IF(AJ$12&lt;&gt;$C$5,NA(),INDEX(auto_DataFlat_Score,INDEX(sys_DataFlat_LU_Grid,$C69,AJ$11))))</f>
        <v>49</v>
      </c>
      <c r="AK69" cm="1">
        <f t="array" aca="1" ref="AK69" ca="1">IF($C69=0,"",IF(AK$12&lt;&gt;$C$5,NA(),INDEX(auto_DataFlat_Score,INDEX(sys_DataFlat_LU_Grid,$C69,AK$11))))</f>
        <v>46.1</v>
      </c>
      <c r="AL69" cm="1">
        <f t="array" aca="1" ref="AL69" ca="1">IF($C69=0,"",IF(AL$12&lt;&gt;$C$5,NA(),INDEX(auto_DataFlat_Score,INDEX(sys_DataFlat_LU_Grid,$C69,AL$11))))</f>
        <v>46.1</v>
      </c>
      <c r="AM69" cm="1">
        <f t="array" aca="1" ref="AM69" ca="1">IF($C69=0,"",IF(AM$12&lt;&gt;$C$5,NA(),INDEX(auto_DataFlat_Score,INDEX(sys_DataFlat_LU_Grid,$C69,AM$11))))</f>
        <v>43.5</v>
      </c>
      <c r="AN69" cm="1">
        <f t="array" aca="1" ref="AN69" ca="1">IF($C69=0,"",IF(AN$12&lt;&gt;$C$5,NA(),INDEX(auto_DataFlat_Score,INDEX(sys_DataFlat_LU_Grid,$C69,AN$11))))</f>
        <v>47.6</v>
      </c>
      <c r="AO69" cm="1">
        <f t="array" aca="1" ref="AO69" ca="1">IF($C69=0,"",IF(AO$12&lt;&gt;$C$5,NA(),INDEX(auto_DataFlat_Score,INDEX(sys_DataFlat_LU_Grid,$C69,AO$11))))</f>
        <v>97.6</v>
      </c>
      <c r="AP69" cm="1">
        <f t="array" aca="1" ref="AP69" ca="1">IF($C69=0,"",IF(AP$12&lt;&gt;$C$5,NA(),INDEX(auto_DataFlat_Score,INDEX(sys_DataFlat_LU_Grid,$C69,AP$11))))</f>
        <v>98.6</v>
      </c>
      <c r="AQ69" cm="1">
        <f t="array" aca="1" ref="AQ69" ca="1">IF($C69=0,"",IF(AQ$12&lt;&gt;$C$5,NA(),INDEX(auto_DataFlat_Score,INDEX(sys_DataFlat_LU_Grid,$C69,AQ$11))))</f>
        <v>48.9</v>
      </c>
      <c r="AR69" cm="1">
        <f t="array" aca="1" ref="AR69" ca="1">IF($C69=0,"",IF(AR$12&lt;&gt;$C$5,NA(),INDEX(auto_DataFlat_Score,INDEX(sys_DataFlat_LU_Grid,$C69,AR$11))))</f>
        <v>97.8</v>
      </c>
      <c r="AS69" cm="1">
        <f t="array" aca="1" ref="AS69" ca="1">IF($C69=0,"",IF(AS$12&lt;&gt;$C$5,NA(),INDEX(auto_DataFlat_Score,INDEX(sys_DataFlat_LU_Grid,$C69,AS$11))))</f>
        <v>95.7</v>
      </c>
      <c r="AT69" cm="1">
        <f t="array" aca="1" ref="AT69" ca="1">IF($C69=0,"",IF(AT$12&lt;&gt;$C$5,NA(),INDEX(auto_DataFlat_Score,INDEX(sys_DataFlat_LU_Grid,$C69,AT$11))))</f>
        <v>98.9</v>
      </c>
      <c r="AU69" cm="1">
        <f t="array" aca="1" ref="AU69" ca="1">IF($C69=0,"",IF(AU$12&lt;&gt;$C$5,NA(),INDEX(auto_DataFlat_Score,INDEX(sys_DataFlat_LU_Grid,$C69,AU$11))))</f>
        <v>46.1</v>
      </c>
      <c r="AV69" cm="1">
        <f t="array" aca="1" ref="AV69" ca="1">IF($C69=0,"",IF(AV$12&lt;&gt;$C$5,NA(),INDEX(auto_DataFlat_Score,INDEX(sys_DataFlat_LU_Grid,$C69,AV$11))))</f>
        <v>47.5</v>
      </c>
      <c r="AW69" cm="1">
        <f t="array" aca="1" ref="AW69" ca="1">IF($C69=0,"",IF(AW$12&lt;&gt;$C$5,NA(),INDEX(auto_DataFlat_Score,INDEX(sys_DataFlat_LU_Grid,$C69,AW$11))))</f>
        <v>96</v>
      </c>
      <c r="AX69" cm="1">
        <f t="array" aca="1" ref="AX69" ca="1">IF($C69=0,"",IF(AX$12&lt;&gt;$C$5,NA(),INDEX(auto_DataFlat_Score,INDEX(sys_DataFlat_LU_Grid,$C69,AX$11))))</f>
        <v>97.8</v>
      </c>
      <c r="AY69" cm="1">
        <f t="array" aca="1" ref="AY69" ca="1">IF($C69=0,"",IF(AY$12&lt;&gt;$C$5,NA(),INDEX(auto_DataFlat_Score,INDEX(sys_DataFlat_LU_Grid,$C69,AY$11))))</f>
        <v>47.6</v>
      </c>
      <c r="AZ69" cm="1">
        <f t="array" aca="1" ref="AZ69" ca="1">IF($C69=0,"",IF(AZ$12&lt;&gt;$C$5,NA(),INDEX(auto_DataFlat_Score,INDEX(sys_DataFlat_LU_Grid,$C69,AZ$11))))</f>
        <v>98.9</v>
      </c>
      <c r="BA69" cm="1">
        <f t="array" aca="1" ref="BA69" ca="1">IF($C69=0,"",IF(BA$12&lt;&gt;$C$5,NA(),INDEX(auto_DataFlat_Score,INDEX(sys_DataFlat_LU_Grid,$C69,BA$11))))</f>
        <v>45.6</v>
      </c>
      <c r="BB69" cm="1">
        <f t="array" aca="1" ref="BB69" ca="1">IF($C69=0,"",IF(BB$12&lt;&gt;$C$5,NA(),INDEX(auto_DataFlat_Score,INDEX(sys_DataFlat_LU_Grid,$C69,BB$11))))</f>
        <v>48.6</v>
      </c>
      <c r="BC69" cm="1">
        <f t="array" aca="1" ref="BC69" ca="1">IF($C69=0,"",IF(BC$12&lt;&gt;$C$5,NA(),INDEX(auto_DataFlat_Score,INDEX(sys_DataFlat_LU_Grid,$C69,BC$11))))</f>
        <v>96</v>
      </c>
      <c r="BD69" cm="1">
        <f t="array" aca="1" ref="BD69" ca="1">IF($C69=0,"",IF(BD$12&lt;&gt;$C$5,NA(),INDEX(auto_DataFlat_Score,INDEX(sys_DataFlat_LU_Grid,$C69,BD$11))))</f>
        <v>45.1</v>
      </c>
      <c r="BE69" cm="1">
        <f t="array" aca="1" ref="BE69" ca="1">IF($C69=0,"",IF(BE$12&lt;&gt;$C$5,NA(),INDEX(auto_DataFlat_Score,INDEX(sys_DataFlat_LU_Grid,$C69,BE$11))))</f>
        <v>97.8</v>
      </c>
      <c r="BF69" cm="1">
        <f t="array" aca="1" ref="BF69" ca="1">IF($C69=0,"",IF(BF$12&lt;&gt;$C$5,NA(),INDEX(auto_DataFlat_Score,INDEX(sys_DataFlat_LU_Grid,$C69,BF$11))))</f>
        <v>98.9</v>
      </c>
      <c r="BG69" cm="1">
        <f t="array" aca="1" ref="BG69" ca="1">IF($C69=0,"",IF(BG$12&lt;&gt;$C$5,NA(),INDEX(auto_DataFlat_Score,INDEX(sys_DataFlat_LU_Grid,$C69,BG$11))))</f>
        <v>96.8</v>
      </c>
      <c r="BH69" cm="1">
        <f t="array" aca="1" ref="BH69" ca="1">IF($C69=0,"",IF(BH$12&lt;&gt;$C$5,NA(),INDEX(auto_DataFlat_Score,INDEX(sys_DataFlat_LU_Grid,$C69,BH$11))))</f>
        <v>97.8</v>
      </c>
      <c r="BI69" cm="1">
        <f t="array" aca="1" ref="BI69" ca="1">IF($C69=0,"",IF(BI$12&lt;&gt;$C$5,NA(),INDEX(auto_DataFlat_Score,INDEX(sys_DataFlat_LU_Grid,$C69,BI$11))))</f>
        <v>97.8</v>
      </c>
      <c r="BJ69" cm="1">
        <f t="array" aca="1" ref="BJ69" ca="1">IF($C69=0,"",IF(BJ$12&lt;&gt;$C$5,NA(),INDEX(auto_DataFlat_Score,INDEX(sys_DataFlat_LU_Grid,$C69,BJ$11))))</f>
        <v>96</v>
      </c>
      <c r="BK69" cm="1">
        <f t="array" aca="1" ref="BK69" ca="1">IF($C69=0,"",IF(BK$12&lt;&gt;$C$5,NA(),INDEX(auto_DataFlat_Score,INDEX(sys_DataFlat_LU_Grid,$C69,BK$11))))</f>
        <v>98.9</v>
      </c>
      <c r="BL69" cm="1">
        <f t="array" aca="1" ref="BL69" ca="1">IF($C69=0,"",IF(BL$12&lt;&gt;$C$5,NA(),INDEX(auto_DataFlat_Score,INDEX(sys_DataFlat_LU_Grid,$C69,BL$11))))</f>
        <v>98.9</v>
      </c>
      <c r="BM69" cm="1">
        <f t="array" aca="1" ref="BM69" ca="1">IF($C69=0,"",IF(BM$12&lt;&gt;$C$5,NA(),INDEX(auto_DataFlat_Score,INDEX(sys_DataFlat_LU_Grid,$C69,BM$11))))</f>
        <v>98.9</v>
      </c>
      <c r="BO69">
        <f t="shared" ca="1" si="18"/>
        <v>41</v>
      </c>
      <c r="BP69">
        <f t="shared" ca="1" si="19"/>
        <v>98.9</v>
      </c>
      <c r="BQ69" cm="1">
        <f t="array" aca="1" ref="BQ69" ca="1">IF(C69=0,0,INDEX(sys_DataFlat_LU_Grid_Groups,$C69,BQ$12))</f>
        <v>2276</v>
      </c>
      <c r="BR69" cm="1">
        <f t="array" aca="1" ref="BR69" ca="1">IF(D69=0,0,INDEX(sys_DataFlat_LU_Grid_Groups,$C69,BR$12))</f>
        <v>2279</v>
      </c>
      <c r="BU69" cm="1">
        <f t="array" aca="1" ref="BU69" ca="1">INDEX(auto_DataFlat_Score,BQ69)</f>
        <v>66.900000000000006</v>
      </c>
      <c r="BV69" cm="1">
        <f t="array" aca="1" ref="BV69" ca="1">INDEX(auto_DataFlat_Score,BR69)</f>
        <v>87.5</v>
      </c>
      <c r="BW69">
        <f t="shared" ca="1" si="20"/>
        <v>78.900000000000006</v>
      </c>
    </row>
    <row r="70" spans="2:75" x14ac:dyDescent="0.4">
      <c r="B70">
        <v>17</v>
      </c>
      <c r="C70" cm="1">
        <f t="array" aca="1" ref="C70" ca="1">INDEX(OFFSET(auto_ss_depth_2,0,1,300,1),B70)</f>
        <v>41</v>
      </c>
      <c r="D70" cm="1">
        <f t="array" aca="1" ref="D70" ca="1">IF(C70=0,0,INDEX(sys_DataFlat_LU_Grid_Groups,$C70,D$40))</f>
        <v>2451</v>
      </c>
      <c r="E70" cm="1">
        <f t="array" aca="1" ref="E70" ca="1">IF(C70=0,0,INDEX(sys_DataFlat_LU_Grid_Groups,$C70,E$40))</f>
        <v>2451</v>
      </c>
      <c r="F70">
        <v>1</v>
      </c>
      <c r="G70">
        <f t="shared" ca="1" si="13"/>
        <v>62.9</v>
      </c>
      <c r="H70" t="e" cm="1">
        <f t="array" ref="H70">IF($C$8=0,NA(),INDEX($P70:$BM70,$C$8))</f>
        <v>#N/A</v>
      </c>
      <c r="I70" cm="1">
        <f t="array" aca="1" ref="I70" ca="1">IF(C70=0,0,INDEX(sys_DataFlat_LU_Grid,$C70,$C$2))</f>
        <v>2401</v>
      </c>
      <c r="J70" t="str" cm="1">
        <f t="array" aca="1" ref="J70" ca="1">IF(C70=0,"-",INDEX(auto_Series_NameNoNumber,C70))</f>
        <v>Obesity</v>
      </c>
      <c r="K70" cm="1">
        <f t="array" aca="1" ref="K70" ca="1">IF(C70=0,"-",INDEX(K$94:K$162,$C70))</f>
        <v>94.6</v>
      </c>
      <c r="L70" t="str" cm="1">
        <f t="array" aca="1" ref="L70" ca="1">IF(C70=0,"-",INDEX(L$94:L$162,$C70))</f>
        <v>1</v>
      </c>
      <c r="M70">
        <f t="shared" ca="1" si="21"/>
        <v>1.330289119955486</v>
      </c>
      <c r="N70" cm="1">
        <f t="array" aca="1" ref="N70" ca="1">IF(C70=0,"-",INDEX($N$94:$N$162,$C70))</f>
        <v>5</v>
      </c>
      <c r="O70" t="e" cm="1">
        <f t="array" aca="1" ref="O70" ca="1">IF(C70=0,"-",INDEX(#REF!,$C70))</f>
        <v>#REF!</v>
      </c>
      <c r="P70" cm="1">
        <f t="array" aca="1" ref="P70" ca="1">IF($C70=0,"",IF(P$12&lt;&gt;$C$5,NA(),INDEX(auto_DataFlat_Score,INDEX(sys_DataFlat_LU_Grid,$C70,P$11))))</f>
        <v>94.6</v>
      </c>
      <c r="Q70" cm="1">
        <f t="array" aca="1" ref="Q70" ca="1">IF($C70=0,"",IF(Q$12&lt;&gt;$C$5,NA(),INDEX(auto_DataFlat_Score,INDEX(sys_DataFlat_LU_Grid,$C70,Q$11))))</f>
        <v>21.2</v>
      </c>
      <c r="R70" cm="1">
        <f t="array" aca="1" ref="R70" ca="1">IF($C70=0,"",IF(R$12&lt;&gt;$C$5,NA(),INDEX(auto_DataFlat_Score,INDEX(sys_DataFlat_LU_Grid,$C70,R$11))))</f>
        <v>63.8</v>
      </c>
      <c r="S70" cm="1">
        <f t="array" aca="1" ref="S70" ca="1">IF($C70=0,"",IF(S$12&lt;&gt;$C$5,NA(),INDEX(auto_DataFlat_Score,INDEX(sys_DataFlat_LU_Grid,$C70,S$11))))</f>
        <v>66.3</v>
      </c>
      <c r="T70" cm="1">
        <f t="array" aca="1" ref="T70" ca="1">IF($C70=0,"",IF(T$12&lt;&gt;$C$5,NA(),INDEX(auto_DataFlat_Score,INDEX(sys_DataFlat_LU_Grid,$C70,T$11))))</f>
        <v>77.2</v>
      </c>
      <c r="U70" cm="1">
        <f t="array" aca="1" ref="U70" ca="1">IF($C70=0,"",IF(U$12&lt;&gt;$C$5,NA(),INDEX(auto_DataFlat_Score,INDEX(sys_DataFlat_LU_Grid,$C70,U$11))))</f>
        <v>81.3</v>
      </c>
      <c r="V70" cm="1">
        <f t="array" aca="1" ref="V70" ca="1">IF($C70=0,"",IF(V$12&lt;&gt;$C$5,NA(),INDEX(auto_DataFlat_Score,INDEX(sys_DataFlat_LU_Grid,$C70,V$11))))</f>
        <v>73.099999999999994</v>
      </c>
      <c r="W70" cm="1">
        <f t="array" aca="1" ref="W70" ca="1">IF($C70=0,"",IF(W$12&lt;&gt;$C$5,NA(),INDEX(auto_DataFlat_Score,INDEX(sys_DataFlat_LU_Grid,$C70,W$11))))</f>
        <v>70.099999999999994</v>
      </c>
      <c r="X70" cm="1">
        <f t="array" aca="1" ref="X70" ca="1">IF($C70=0,"",IF(X$12&lt;&gt;$C$5,NA(),INDEX(auto_DataFlat_Score,INDEX(sys_DataFlat_LU_Grid,$C70,X$11))))</f>
        <v>68.900000000000006</v>
      </c>
      <c r="Y70" cm="1">
        <f t="array" aca="1" ref="Y70" ca="1">IF($C70=0,"",IF(Y$12&lt;&gt;$C$5,NA(),INDEX(auto_DataFlat_Score,INDEX(sys_DataFlat_LU_Grid,$C70,Y$11))))</f>
        <v>63.3</v>
      </c>
      <c r="Z70" cm="1">
        <f t="array" aca="1" ref="Z70" ca="1">IF($C70=0,"",IF(Z$12&lt;&gt;$C$5,NA(),INDEX(auto_DataFlat_Score,INDEX(sys_DataFlat_LU_Grid,$C70,Z$11))))</f>
        <v>80.599999999999994</v>
      </c>
      <c r="AA70" cm="1">
        <f t="array" aca="1" ref="AA70" ca="1">IF($C70=0,"",IF(AA$12&lt;&gt;$C$5,NA(),INDEX(auto_DataFlat_Score,INDEX(sys_DataFlat_LU_Grid,$C70,AA$11))))</f>
        <v>85.3</v>
      </c>
      <c r="AB70" cm="1">
        <f t="array" aca="1" ref="AB70" ca="1">IF($C70=0,"",IF(AB$12&lt;&gt;$C$5,NA(),INDEX(auto_DataFlat_Score,INDEX(sys_DataFlat_LU_Grid,$C70,AB$11))))</f>
        <v>36.5</v>
      </c>
      <c r="AC70" cm="1">
        <f t="array" aca="1" ref="AC70" ca="1">IF($C70=0,"",IF(AC$12&lt;&gt;$C$5,NA(),INDEX(auto_DataFlat_Score,INDEX(sys_DataFlat_LU_Grid,$C70,AC$11))))</f>
        <v>64.3</v>
      </c>
      <c r="AD70" cm="1">
        <f t="array" aca="1" ref="AD70" ca="1">IF($C70=0,"",IF(AD$12&lt;&gt;$C$5,NA(),INDEX(auto_DataFlat_Score,INDEX(sys_DataFlat_LU_Grid,$C70,AD$11))))</f>
        <v>72.400000000000006</v>
      </c>
      <c r="AE70" cm="1">
        <f t="array" aca="1" ref="AE70" ca="1">IF($C70=0,"",IF(AE$12&lt;&gt;$C$5,NA(),INDEX(auto_DataFlat_Score,INDEX(sys_DataFlat_LU_Grid,$C70,AE$11))))</f>
        <v>90.9</v>
      </c>
      <c r="AF70" cm="1">
        <f t="array" aca="1" ref="AF70" ca="1">IF($C70=0,"",IF(AF$12&lt;&gt;$C$5,NA(),INDEX(auto_DataFlat_Score,INDEX(sys_DataFlat_LU_Grid,$C70,AF$11))))</f>
        <v>71.8</v>
      </c>
      <c r="AG70" cm="1">
        <f t="array" aca="1" ref="AG70" ca="1">IF($C70=0,"",IF(AG$12&lt;&gt;$C$5,NA(),INDEX(auto_DataFlat_Score,INDEX(sys_DataFlat_LU_Grid,$C70,AG$11))))</f>
        <v>66.2</v>
      </c>
      <c r="AH70" cm="1">
        <f t="array" aca="1" ref="AH70" ca="1">IF($C70=0,"",IF(AH$12&lt;&gt;$C$5,NA(),INDEX(auto_DataFlat_Score,INDEX(sys_DataFlat_LU_Grid,$C70,AH$11))))</f>
        <v>81</v>
      </c>
      <c r="AI70" cm="1">
        <f t="array" aca="1" ref="AI70" ca="1">IF($C70=0,"",IF(AI$12&lt;&gt;$C$5,NA(),INDEX(auto_DataFlat_Score,INDEX(sys_DataFlat_LU_Grid,$C70,AI$11))))</f>
        <v>22.5</v>
      </c>
      <c r="AJ70" cm="1">
        <f t="array" aca="1" ref="AJ70" ca="1">IF($C70=0,"",IF(AJ$12&lt;&gt;$C$5,NA(),INDEX(auto_DataFlat_Score,INDEX(sys_DataFlat_LU_Grid,$C70,AJ$11))))</f>
        <v>22.6</v>
      </c>
      <c r="AK70" cm="1">
        <f t="array" aca="1" ref="AK70" ca="1">IF($C70=0,"",IF(AK$12&lt;&gt;$C$5,NA(),INDEX(auto_DataFlat_Score,INDEX(sys_DataFlat_LU_Grid,$C70,AK$11))))</f>
        <v>34.6</v>
      </c>
      <c r="AL70" cm="1">
        <f t="array" aca="1" ref="AL70" ca="1">IF($C70=0,"",IF(AL$12&lt;&gt;$C$5,NA(),INDEX(auto_DataFlat_Score,INDEX(sys_DataFlat_LU_Grid,$C70,AL$11))))</f>
        <v>85.3</v>
      </c>
      <c r="AM70" cm="1">
        <f t="array" aca="1" ref="AM70" ca="1">IF($C70=0,"",IF(AM$12&lt;&gt;$C$5,NA(),INDEX(auto_DataFlat_Score,INDEX(sys_DataFlat_LU_Grid,$C70,AM$11))))</f>
        <v>61.1</v>
      </c>
      <c r="AN70" cm="1">
        <f t="array" aca="1" ref="AN70" ca="1">IF($C70=0,"",IF(AN$12&lt;&gt;$C$5,NA(),INDEX(auto_DataFlat_Score,INDEX(sys_DataFlat_LU_Grid,$C70,AN$11))))</f>
        <v>82.9</v>
      </c>
      <c r="AO70" cm="1">
        <f t="array" aca="1" ref="AO70" ca="1">IF($C70=0,"",IF(AO$12&lt;&gt;$C$5,NA(),INDEX(auto_DataFlat_Score,INDEX(sys_DataFlat_LU_Grid,$C70,AO$11))))</f>
        <v>69.3</v>
      </c>
      <c r="AP70" cm="1">
        <f t="array" aca="1" ref="AP70" ca="1">IF($C70=0,"",IF(AP$12&lt;&gt;$C$5,NA(),INDEX(auto_DataFlat_Score,INDEX(sys_DataFlat_LU_Grid,$C70,AP$11))))</f>
        <v>75.099999999999994</v>
      </c>
      <c r="AQ70" cm="1">
        <f t="array" aca="1" ref="AQ70" ca="1">IF($C70=0,"",IF(AQ$12&lt;&gt;$C$5,NA(),INDEX(auto_DataFlat_Score,INDEX(sys_DataFlat_LU_Grid,$C70,AQ$11))))</f>
        <v>82.5</v>
      </c>
      <c r="AR70" cm="1">
        <f t="array" aca="1" ref="AR70" ca="1">IF($C70=0,"",IF(AR$12&lt;&gt;$C$5,NA(),INDEX(auto_DataFlat_Score,INDEX(sys_DataFlat_LU_Grid,$C70,AR$11))))</f>
        <v>68</v>
      </c>
      <c r="AS70" cm="1">
        <f t="array" aca="1" ref="AS70" ca="1">IF($C70=0,"",IF(AS$12&lt;&gt;$C$5,NA(),INDEX(auto_DataFlat_Score,INDEX(sys_DataFlat_LU_Grid,$C70,AS$11))))</f>
        <v>13.3</v>
      </c>
      <c r="AT70" cm="1">
        <f t="array" aca="1" ref="AT70" ca="1">IF($C70=0,"",IF(AT$12&lt;&gt;$C$5,NA(),INDEX(auto_DataFlat_Score,INDEX(sys_DataFlat_LU_Grid,$C70,AT$11))))</f>
        <v>70.599999999999994</v>
      </c>
      <c r="AU70" cm="1">
        <f t="array" aca="1" ref="AU70" ca="1">IF($C70=0,"",IF(AU$12&lt;&gt;$C$5,NA(),INDEX(auto_DataFlat_Score,INDEX(sys_DataFlat_LU_Grid,$C70,AU$11))))</f>
        <v>35.299999999999997</v>
      </c>
      <c r="AV70" cm="1">
        <f t="array" aca="1" ref="AV70" ca="1">IF($C70=0,"",IF(AV$12&lt;&gt;$C$5,NA(),INDEX(auto_DataFlat_Score,INDEX(sys_DataFlat_LU_Grid,$C70,AV$11))))</f>
        <v>33.1</v>
      </c>
      <c r="AW70" cm="1">
        <f t="array" aca="1" ref="AW70" ca="1">IF($C70=0,"",IF(AW$12&lt;&gt;$C$5,NA(),INDEX(auto_DataFlat_Score,INDEX(sys_DataFlat_LU_Grid,$C70,AW$11))))</f>
        <v>63.8</v>
      </c>
      <c r="AX70" cm="1">
        <f t="array" aca="1" ref="AX70" ca="1">IF($C70=0,"",IF(AX$12&lt;&gt;$C$5,NA(),INDEX(auto_DataFlat_Score,INDEX(sys_DataFlat_LU_Grid,$C70,AX$11))))</f>
        <v>88</v>
      </c>
      <c r="AY70" cm="1">
        <f t="array" aca="1" ref="AY70" ca="1">IF($C70=0,"",IF(AY$12&lt;&gt;$C$5,NA(),INDEX(auto_DataFlat_Score,INDEX(sys_DataFlat_LU_Grid,$C70,AY$11))))</f>
        <v>32.9</v>
      </c>
      <c r="AZ70" cm="1">
        <f t="array" aca="1" ref="AZ70" ca="1">IF($C70=0,"",IF(AZ$12&lt;&gt;$C$5,NA(),INDEX(auto_DataFlat_Score,INDEX(sys_DataFlat_LU_Grid,$C70,AZ$11))))</f>
        <v>87.4</v>
      </c>
      <c r="BA70" cm="1">
        <f t="array" aca="1" ref="BA70" ca="1">IF($C70=0,"",IF(BA$12&lt;&gt;$C$5,NA(),INDEX(auto_DataFlat_Score,INDEX(sys_DataFlat_LU_Grid,$C70,BA$11))))</f>
        <v>14.1</v>
      </c>
      <c r="BB70" cm="1">
        <f t="array" aca="1" ref="BB70" ca="1">IF($C70=0,"",IF(BB$12&lt;&gt;$C$5,NA(),INDEX(auto_DataFlat_Score,INDEX(sys_DataFlat_LU_Grid,$C70,BB$11))))</f>
        <v>25.4</v>
      </c>
      <c r="BC70" cm="1">
        <f t="array" aca="1" ref="BC70" ca="1">IF($C70=0,"",IF(BC$12&lt;&gt;$C$5,NA(),INDEX(auto_DataFlat_Score,INDEX(sys_DataFlat_LU_Grid,$C70,BC$11))))</f>
        <v>63.8</v>
      </c>
      <c r="BD70" cm="1">
        <f t="array" aca="1" ref="BD70" ca="1">IF($C70=0,"",IF(BD$12&lt;&gt;$C$5,NA(),INDEX(auto_DataFlat_Score,INDEX(sys_DataFlat_LU_Grid,$C70,BD$11))))</f>
        <v>68.5</v>
      </c>
      <c r="BE70" cm="1">
        <f t="array" aca="1" ref="BE70" ca="1">IF($C70=0,"",IF(BE$12&lt;&gt;$C$5,NA(),INDEX(auto_DataFlat_Score,INDEX(sys_DataFlat_LU_Grid,$C70,BE$11))))</f>
        <v>82.1</v>
      </c>
      <c r="BF70" cm="1">
        <f t="array" aca="1" ref="BF70" ca="1">IF($C70=0,"",IF(BF$12&lt;&gt;$C$5,NA(),INDEX(auto_DataFlat_Score,INDEX(sys_DataFlat_LU_Grid,$C70,BF$11))))</f>
        <v>31.3</v>
      </c>
      <c r="BG70" cm="1">
        <f t="array" aca="1" ref="BG70" ca="1">IF($C70=0,"",IF(BG$12&lt;&gt;$C$5,NA(),INDEX(auto_DataFlat_Score,INDEX(sys_DataFlat_LU_Grid,$C70,BG$11))))</f>
        <v>79.599999999999994</v>
      </c>
      <c r="BH70" cm="1">
        <f t="array" aca="1" ref="BH70" ca="1">IF($C70=0,"",IF(BH$12&lt;&gt;$C$5,NA(),INDEX(auto_DataFlat_Score,INDEX(sys_DataFlat_LU_Grid,$C70,BH$11))))</f>
        <v>68</v>
      </c>
      <c r="BI70" cm="1">
        <f t="array" aca="1" ref="BI70" ca="1">IF($C70=0,"",IF(BI$12&lt;&gt;$C$5,NA(),INDEX(auto_DataFlat_Score,INDEX(sys_DataFlat_LU_Grid,$C70,BI$11))))</f>
        <v>88</v>
      </c>
      <c r="BJ70" cm="1">
        <f t="array" aca="1" ref="BJ70" ca="1">IF($C70=0,"",IF(BJ$12&lt;&gt;$C$5,NA(),INDEX(auto_DataFlat_Score,INDEX(sys_DataFlat_LU_Grid,$C70,BJ$11))))</f>
        <v>70.400000000000006</v>
      </c>
      <c r="BK70" cm="1">
        <f t="array" aca="1" ref="BK70" ca="1">IF($C70=0,"",IF(BK$12&lt;&gt;$C$5,NA(),INDEX(auto_DataFlat_Score,INDEX(sys_DataFlat_LU_Grid,$C70,BK$11))))</f>
        <v>77.5</v>
      </c>
      <c r="BL70" cm="1">
        <f t="array" aca="1" ref="BL70" ca="1">IF($C70=0,"",IF(BL$12&lt;&gt;$C$5,NA(),INDEX(auto_DataFlat_Score,INDEX(sys_DataFlat_LU_Grid,$C70,BL$11))))</f>
        <v>81.3</v>
      </c>
      <c r="BM70" cm="1">
        <f t="array" aca="1" ref="BM70" ca="1">IF($C70=0,"",IF(BM$12&lt;&gt;$C$5,NA(),INDEX(auto_DataFlat_Score,INDEX(sys_DataFlat_LU_Grid,$C70,BM$11))))</f>
        <v>36.5</v>
      </c>
      <c r="BO70">
        <f t="shared" ca="1" si="18"/>
        <v>13.3</v>
      </c>
      <c r="BP70">
        <f t="shared" ca="1" si="19"/>
        <v>94.6</v>
      </c>
      <c r="BQ70" cm="1">
        <f t="array" aca="1" ref="BQ70" ca="1">IF(C70=0,0,INDEX(sys_DataFlat_LU_Grid_Groups,$C70,BQ$12))</f>
        <v>2456</v>
      </c>
      <c r="BR70" cm="1">
        <f t="array" aca="1" ref="BR70" ca="1">IF(D70=0,0,INDEX(sys_DataFlat_LU_Grid_Groups,$C70,BR$12))</f>
        <v>2459</v>
      </c>
      <c r="BU70" cm="1">
        <f t="array" aca="1" ref="BU70" ca="1">INDEX(auto_DataFlat_Score,BQ70)</f>
        <v>57.5</v>
      </c>
      <c r="BV70" cm="1">
        <f t="array" aca="1" ref="BV70" ca="1">INDEX(auto_DataFlat_Score,BR70)</f>
        <v>60.3</v>
      </c>
      <c r="BW70">
        <f t="shared" ca="1" si="20"/>
        <v>62.9</v>
      </c>
    </row>
    <row r="71" spans="2:75" x14ac:dyDescent="0.4">
      <c r="B71">
        <v>18</v>
      </c>
      <c r="C71" cm="1">
        <f t="array" aca="1" ref="C71" ca="1">INDEX(OFFSET(auto_ss_depth_2,0,1,300,1),B71)</f>
        <v>44</v>
      </c>
      <c r="D71" cm="1">
        <f t="array" aca="1" ref="D71" ca="1">IF(C71=0,0,INDEX(sys_DataFlat_LU_Grid_Groups,$C71,D$40))</f>
        <v>2631</v>
      </c>
      <c r="E71" cm="1">
        <f t="array" aca="1" ref="E71" ca="1">IF(C71=0,0,INDEX(sys_DataFlat_LU_Grid_Groups,$C71,E$40))</f>
        <v>2631</v>
      </c>
      <c r="F71">
        <v>2</v>
      </c>
      <c r="G71">
        <f t="shared" ca="1" si="13"/>
        <v>31.8</v>
      </c>
      <c r="H71" t="e" cm="1">
        <f t="array" ref="H71">IF($C$8=0,NA(),INDEX($P71:$BM71,$C$8))</f>
        <v>#N/A</v>
      </c>
      <c r="I71" cm="1">
        <f t="array" aca="1" ref="I71" ca="1">IF(C71=0,0,INDEX(sys_DataFlat_LU_Grid,$C71,$C$2))</f>
        <v>2581</v>
      </c>
      <c r="J71" t="str" cm="1">
        <f t="array" aca="1" ref="J71" ca="1">IF(C71=0,"-",INDEX(auto_Series_NameNoNumber,C71))</f>
        <v>Cholesterol</v>
      </c>
      <c r="K71" cm="1">
        <f t="array" aca="1" ref="K71" ca="1">IF(C71=0,"-",INDEX(K$94:K$162,$C71))</f>
        <v>30.5</v>
      </c>
      <c r="L71" t="str" cm="1">
        <f t="array" aca="1" ref="L71" ca="1">IF(C71=0,"-",INDEX(L$94:L$162,$C71))</f>
        <v>12</v>
      </c>
      <c r="M71">
        <f t="shared" ca="1" si="21"/>
        <v>7.4188907372457091E-2</v>
      </c>
      <c r="N71" cm="1">
        <f t="array" aca="1" ref="N71" ca="1">IF(C71=0,"-",INDEX($N$94:$N$162,$C71))</f>
        <v>2</v>
      </c>
      <c r="O71" t="e" cm="1">
        <f t="array" aca="1" ref="O71" ca="1">IF(C71=0,"-",INDEX(#REF!,$C71))</f>
        <v>#REF!</v>
      </c>
      <c r="P71" cm="1">
        <f t="array" aca="1" ref="P71" ca="1">IF($C71=0,"",IF(P$12&lt;&gt;$C$5,NA(),INDEX(auto_DataFlat_Score,INDEX(sys_DataFlat_LU_Grid,$C71,P$11))))</f>
        <v>30.5</v>
      </c>
      <c r="Q71" cm="1">
        <f t="array" aca="1" ref="Q71" ca="1">IF($C71=0,"",IF(Q$12&lt;&gt;$C$5,NA(),INDEX(auto_DataFlat_Score,INDEX(sys_DataFlat_LU_Grid,$C71,Q$11))))</f>
        <v>22.4</v>
      </c>
      <c r="R71" cm="1">
        <f t="array" aca="1" ref="R71" ca="1">IF($C71=0,"",IF(R$12&lt;&gt;$C$5,NA(),INDEX(auto_DataFlat_Score,INDEX(sys_DataFlat_LU_Grid,$C71,R$11))))</f>
        <v>72.3</v>
      </c>
      <c r="S71" cm="1">
        <f t="array" aca="1" ref="S71" ca="1">IF($C71=0,"",IF(S$12&lt;&gt;$C$5,NA(),INDEX(auto_DataFlat_Score,INDEX(sys_DataFlat_LU_Grid,$C71,S$11))))</f>
        <v>16.2</v>
      </c>
      <c r="T71" cm="1">
        <f t="array" aca="1" ref="T71" ca="1">IF($C71=0,"",IF(T$12&lt;&gt;$C$5,NA(),INDEX(auto_DataFlat_Score,INDEX(sys_DataFlat_LU_Grid,$C71,T$11))))</f>
        <v>67</v>
      </c>
      <c r="U71" cm="1">
        <f t="array" aca="1" ref="U71" ca="1">IF($C71=0,"",IF(U$12&lt;&gt;$C$5,NA(),INDEX(auto_DataFlat_Score,INDEX(sys_DataFlat_LU_Grid,$C71,U$11))))</f>
        <v>22</v>
      </c>
      <c r="V71" cm="1">
        <f t="array" aca="1" ref="V71" ca="1">IF($C71=0,"",IF(V$12&lt;&gt;$C$5,NA(),INDEX(auto_DataFlat_Score,INDEX(sys_DataFlat_LU_Grid,$C71,V$11))))</f>
        <v>16.3</v>
      </c>
      <c r="W71" cm="1">
        <f t="array" aca="1" ref="W71" ca="1">IF($C71=0,"",IF(W$12&lt;&gt;$C$5,NA(),INDEX(auto_DataFlat_Score,INDEX(sys_DataFlat_LU_Grid,$C71,W$11))))</f>
        <v>19.2</v>
      </c>
      <c r="X71" cm="1">
        <f t="array" aca="1" ref="X71" ca="1">IF($C71=0,"",IF(X$12&lt;&gt;$C$5,NA(),INDEX(auto_DataFlat_Score,INDEX(sys_DataFlat_LU_Grid,$C71,X$11))))</f>
        <v>18</v>
      </c>
      <c r="Y71" cm="1">
        <f t="array" aca="1" ref="Y71" ca="1">IF($C71=0,"",IF(Y$12&lt;&gt;$C$5,NA(),INDEX(auto_DataFlat_Score,INDEX(sys_DataFlat_LU_Grid,$C71,Y$11))))</f>
        <v>21.4</v>
      </c>
      <c r="Z71" cm="1">
        <f t="array" aca="1" ref="Z71" ca="1">IF($C71=0,"",IF(Z$12&lt;&gt;$C$5,NA(),INDEX(auto_DataFlat_Score,INDEX(sys_DataFlat_LU_Grid,$C71,Z$11))))</f>
        <v>17.600000000000001</v>
      </c>
      <c r="AA71" cm="1">
        <f t="array" aca="1" ref="AA71" ca="1">IF($C71=0,"",IF(AA$12&lt;&gt;$C$5,NA(),INDEX(auto_DataFlat_Score,INDEX(sys_DataFlat_LU_Grid,$C71,AA$11))))</f>
        <v>25.8</v>
      </c>
      <c r="AB71" cm="1">
        <f t="array" aca="1" ref="AB71" ca="1">IF($C71=0,"",IF(AB$12&lt;&gt;$C$5,NA(),INDEX(auto_DataFlat_Score,INDEX(sys_DataFlat_LU_Grid,$C71,AB$11))))</f>
        <v>28.8</v>
      </c>
      <c r="AC71" cm="1">
        <f t="array" aca="1" ref="AC71" ca="1">IF($C71=0,"",IF(AC$12&lt;&gt;$C$5,NA(),INDEX(auto_DataFlat_Score,INDEX(sys_DataFlat_LU_Grid,$C71,AC$11))))</f>
        <v>15.9</v>
      </c>
      <c r="AD71" cm="1">
        <f t="array" aca="1" ref="AD71" ca="1">IF($C71=0,"",IF(AD$12&lt;&gt;$C$5,NA(),INDEX(auto_DataFlat_Score,INDEX(sys_DataFlat_LU_Grid,$C71,AD$11))))</f>
        <v>68.400000000000006</v>
      </c>
      <c r="AE71" cm="1">
        <f t="array" aca="1" ref="AE71" ca="1">IF($C71=0,"",IF(AE$12&lt;&gt;$C$5,NA(),INDEX(auto_DataFlat_Score,INDEX(sys_DataFlat_LU_Grid,$C71,AE$11))))</f>
        <v>23.3</v>
      </c>
      <c r="AF71" cm="1">
        <f t="array" aca="1" ref="AF71" ca="1">IF($C71=0,"",IF(AF$12&lt;&gt;$C$5,NA(),INDEX(auto_DataFlat_Score,INDEX(sys_DataFlat_LU_Grid,$C71,AF$11))))</f>
        <v>68.5</v>
      </c>
      <c r="AG71" cm="1">
        <f t="array" aca="1" ref="AG71" ca="1">IF($C71=0,"",IF(AG$12&lt;&gt;$C$5,NA(),INDEX(auto_DataFlat_Score,INDEX(sys_DataFlat_LU_Grid,$C71,AG$11))))</f>
        <v>22.5</v>
      </c>
      <c r="AH71" cm="1">
        <f t="array" aca="1" ref="AH71" ca="1">IF($C71=0,"",IF(AH$12&lt;&gt;$C$5,NA(),INDEX(auto_DataFlat_Score,INDEX(sys_DataFlat_LU_Grid,$C71,AH$11))))</f>
        <v>75.7</v>
      </c>
      <c r="AI71" cm="1">
        <f t="array" aca="1" ref="AI71" ca="1">IF($C71=0,"",IF(AI$12&lt;&gt;$C$5,NA(),INDEX(auto_DataFlat_Score,INDEX(sys_DataFlat_LU_Grid,$C71,AI$11))))</f>
        <v>24.1</v>
      </c>
      <c r="AJ71" cm="1">
        <f t="array" aca="1" ref="AJ71" ca="1">IF($C71=0,"",IF(AJ$12&lt;&gt;$C$5,NA(),INDEX(auto_DataFlat_Score,INDEX(sys_DataFlat_LU_Grid,$C71,AJ$11))))</f>
        <v>23.8</v>
      </c>
      <c r="AK71" cm="1">
        <f t="array" aca="1" ref="AK71" ca="1">IF($C71=0,"",IF(AK$12&lt;&gt;$C$5,NA(),INDEX(auto_DataFlat_Score,INDEX(sys_DataFlat_LU_Grid,$C71,AK$11))))</f>
        <v>25.8</v>
      </c>
      <c r="AL71" cm="1">
        <f t="array" aca="1" ref="AL71" ca="1">IF($C71=0,"",IF(AL$12&lt;&gt;$C$5,NA(),INDEX(auto_DataFlat_Score,INDEX(sys_DataFlat_LU_Grid,$C71,AL$11))))</f>
        <v>25.8</v>
      </c>
      <c r="AM71" cm="1">
        <f t="array" aca="1" ref="AM71" ca="1">IF($C71=0,"",IF(AM$12&lt;&gt;$C$5,NA(),INDEX(auto_DataFlat_Score,INDEX(sys_DataFlat_LU_Grid,$C71,AM$11))))</f>
        <v>17.399999999999999</v>
      </c>
      <c r="AN71" cm="1">
        <f t="array" aca="1" ref="AN71" ca="1">IF($C71=0,"",IF(AN$12&lt;&gt;$C$5,NA(),INDEX(auto_DataFlat_Score,INDEX(sys_DataFlat_LU_Grid,$C71,AN$11))))</f>
        <v>24.8</v>
      </c>
      <c r="AO71" cm="1">
        <f t="array" aca="1" ref="AO71" ca="1">IF($C71=0,"",IF(AO$12&lt;&gt;$C$5,NA(),INDEX(auto_DataFlat_Score,INDEX(sys_DataFlat_LU_Grid,$C71,AO$11))))</f>
        <v>17.7</v>
      </c>
      <c r="AP71" cm="1">
        <f t="array" aca="1" ref="AP71" ca="1">IF($C71=0,"",IF(AP$12&lt;&gt;$C$5,NA(),INDEX(auto_DataFlat_Score,INDEX(sys_DataFlat_LU_Grid,$C71,AP$11))))</f>
        <v>68.8</v>
      </c>
      <c r="AQ71" cm="1">
        <f t="array" aca="1" ref="AQ71" ca="1">IF($C71=0,"",IF(AQ$12&lt;&gt;$C$5,NA(),INDEX(auto_DataFlat_Score,INDEX(sys_DataFlat_LU_Grid,$C71,AQ$11))))</f>
        <v>20.2</v>
      </c>
      <c r="AR71" cm="1">
        <f t="array" aca="1" ref="AR71" ca="1">IF($C71=0,"",IF(AR$12&lt;&gt;$C$5,NA(),INDEX(auto_DataFlat_Score,INDEX(sys_DataFlat_LU_Grid,$C71,AR$11))))</f>
        <v>16.2</v>
      </c>
      <c r="AS71" cm="1">
        <f t="array" aca="1" ref="AS71" ca="1">IF($C71=0,"",IF(AS$12&lt;&gt;$C$5,NA(),INDEX(auto_DataFlat_Score,INDEX(sys_DataFlat_LU_Grid,$C71,AS$11))))</f>
        <v>18.7</v>
      </c>
      <c r="AT71" cm="1">
        <f t="array" aca="1" ref="AT71" ca="1">IF($C71=0,"",IF(AT$12&lt;&gt;$C$5,NA(),INDEX(auto_DataFlat_Score,INDEX(sys_DataFlat_LU_Grid,$C71,AT$11))))</f>
        <v>15.9</v>
      </c>
      <c r="AU71" cm="1">
        <f t="array" aca="1" ref="AU71" ca="1">IF($C71=0,"",IF(AU$12&lt;&gt;$C$5,NA(),INDEX(auto_DataFlat_Score,INDEX(sys_DataFlat_LU_Grid,$C71,AU$11))))</f>
        <v>25.8</v>
      </c>
      <c r="AV71" cm="1">
        <f t="array" aca="1" ref="AV71" ca="1">IF($C71=0,"",IF(AV$12&lt;&gt;$C$5,NA(),INDEX(auto_DataFlat_Score,INDEX(sys_DataFlat_LU_Grid,$C71,AV$11))))</f>
        <v>29</v>
      </c>
      <c r="AW71" cm="1">
        <f t="array" aca="1" ref="AW71" ca="1">IF($C71=0,"",IF(AW$12&lt;&gt;$C$5,NA(),INDEX(auto_DataFlat_Score,INDEX(sys_DataFlat_LU_Grid,$C71,AW$11))))</f>
        <v>22.3</v>
      </c>
      <c r="AX71" cm="1">
        <f t="array" aca="1" ref="AX71" ca="1">IF($C71=0,"",IF(AX$12&lt;&gt;$C$5,NA(),INDEX(auto_DataFlat_Score,INDEX(sys_DataFlat_LU_Grid,$C71,AX$11))))</f>
        <v>68.599999999999994</v>
      </c>
      <c r="AY71" cm="1">
        <f t="array" aca="1" ref="AY71" ca="1">IF($C71=0,"",IF(AY$12&lt;&gt;$C$5,NA(),INDEX(auto_DataFlat_Score,INDEX(sys_DataFlat_LU_Grid,$C71,AY$11))))</f>
        <v>16</v>
      </c>
      <c r="AZ71" cm="1">
        <f t="array" aca="1" ref="AZ71" ca="1">IF($C71=0,"",IF(AZ$12&lt;&gt;$C$5,NA(),INDEX(auto_DataFlat_Score,INDEX(sys_DataFlat_LU_Grid,$C71,AZ$11))))</f>
        <v>23.4</v>
      </c>
      <c r="BA71" cm="1">
        <f t="array" aca="1" ref="BA71" ca="1">IF($C71=0,"",IF(BA$12&lt;&gt;$C$5,NA(),INDEX(auto_DataFlat_Score,INDEX(sys_DataFlat_LU_Grid,$C71,BA$11))))</f>
        <v>20.8</v>
      </c>
      <c r="BB71" cm="1">
        <f t="array" aca="1" ref="BB71" ca="1">IF($C71=0,"",IF(BB$12&lt;&gt;$C$5,NA(),INDEX(auto_DataFlat_Score,INDEX(sys_DataFlat_LU_Grid,$C71,BB$11))))</f>
        <v>17.5</v>
      </c>
      <c r="BC71" cm="1">
        <f t="array" aca="1" ref="BC71" ca="1">IF($C71=0,"",IF(BC$12&lt;&gt;$C$5,NA(),INDEX(auto_DataFlat_Score,INDEX(sys_DataFlat_LU_Grid,$C71,BC$11))))</f>
        <v>22.3</v>
      </c>
      <c r="BD71" cm="1">
        <f t="array" aca="1" ref="BD71" ca="1">IF($C71=0,"",IF(BD$12&lt;&gt;$C$5,NA(),INDEX(auto_DataFlat_Score,INDEX(sys_DataFlat_LU_Grid,$C71,BD$11))))</f>
        <v>17.399999999999999</v>
      </c>
      <c r="BE71" cm="1">
        <f t="array" aca="1" ref="BE71" ca="1">IF($C71=0,"",IF(BE$12&lt;&gt;$C$5,NA(),INDEX(auto_DataFlat_Score,INDEX(sys_DataFlat_LU_Grid,$C71,BE$11))))</f>
        <v>70.599999999999994</v>
      </c>
      <c r="BF71" cm="1">
        <f t="array" aca="1" ref="BF71" ca="1">IF($C71=0,"",IF(BF$12&lt;&gt;$C$5,NA(),INDEX(auto_DataFlat_Score,INDEX(sys_DataFlat_LU_Grid,$C71,BF$11))))</f>
        <v>22</v>
      </c>
      <c r="BG71" cm="1">
        <f t="array" aca="1" ref="BG71" ca="1">IF($C71=0,"",IF(BG$12&lt;&gt;$C$5,NA(),INDEX(auto_DataFlat_Score,INDEX(sys_DataFlat_LU_Grid,$C71,BG$11))))</f>
        <v>68</v>
      </c>
      <c r="BH71" cm="1">
        <f t="array" aca="1" ref="BH71" ca="1">IF($C71=0,"",IF(BH$12&lt;&gt;$C$5,NA(),INDEX(auto_DataFlat_Score,INDEX(sys_DataFlat_LU_Grid,$C71,BH$11))))</f>
        <v>16.2</v>
      </c>
      <c r="BI71" cm="1">
        <f t="array" aca="1" ref="BI71" ca="1">IF($C71=0,"",IF(BI$12&lt;&gt;$C$5,NA(),INDEX(auto_DataFlat_Score,INDEX(sys_DataFlat_LU_Grid,$C71,BI$11))))</f>
        <v>68.599999999999994</v>
      </c>
      <c r="BJ71" cm="1">
        <f t="array" aca="1" ref="BJ71" ca="1">IF($C71=0,"",IF(BJ$12&lt;&gt;$C$5,NA(),INDEX(auto_DataFlat_Score,INDEX(sys_DataFlat_LU_Grid,$C71,BJ$11))))</f>
        <v>19.600000000000001</v>
      </c>
      <c r="BK71" cm="1">
        <f t="array" aca="1" ref="BK71" ca="1">IF($C71=0,"",IF(BK$12&lt;&gt;$C$5,NA(),INDEX(auto_DataFlat_Score,INDEX(sys_DataFlat_LU_Grid,$C71,BK$11))))</f>
        <v>64.400000000000006</v>
      </c>
      <c r="BL71" cm="1">
        <f t="array" aca="1" ref="BL71" ca="1">IF($C71=0,"",IF(BL$12&lt;&gt;$C$5,NA(),INDEX(auto_DataFlat_Score,INDEX(sys_DataFlat_LU_Grid,$C71,BL$11))))</f>
        <v>22</v>
      </c>
      <c r="BM71" cm="1">
        <f t="array" aca="1" ref="BM71" ca="1">IF($C71=0,"",IF(BM$12&lt;&gt;$C$5,NA(),INDEX(auto_DataFlat_Score,INDEX(sys_DataFlat_LU_Grid,$C71,BM$11))))</f>
        <v>23.2</v>
      </c>
      <c r="BO71">
        <f t="shared" ca="1" si="18"/>
        <v>15.9</v>
      </c>
      <c r="BP71">
        <f t="shared" ca="1" si="19"/>
        <v>75.7</v>
      </c>
      <c r="BQ71" cm="1">
        <f t="array" aca="1" ref="BQ71" ca="1">IF(C71=0,0,INDEX(sys_DataFlat_LU_Grid_Groups,$C71,BQ$12))</f>
        <v>2636</v>
      </c>
      <c r="BR71" cm="1">
        <f t="array" aca="1" ref="BR71" ca="1">IF(D71=0,0,INDEX(sys_DataFlat_LU_Grid_Groups,$C71,BR$12))</f>
        <v>2639</v>
      </c>
      <c r="BU71" cm="1">
        <f t="array" aca="1" ref="BU71" ca="1">INDEX(auto_DataFlat_Score,BQ71)</f>
        <v>33.9</v>
      </c>
      <c r="BV71" cm="1">
        <f t="array" aca="1" ref="BV71" ca="1">INDEX(auto_DataFlat_Score,BR71)</f>
        <v>29.7</v>
      </c>
      <c r="BW71">
        <f t="shared" ca="1" si="20"/>
        <v>31.8</v>
      </c>
    </row>
    <row r="72" spans="2:75" x14ac:dyDescent="0.4">
      <c r="B72">
        <v>19</v>
      </c>
      <c r="C72" cm="1">
        <f t="array" aca="1" ref="C72" ca="1">INDEX(OFFSET(auto_ss_depth_2,0,1,300,1),B72)</f>
        <v>48</v>
      </c>
      <c r="D72" cm="1">
        <f t="array" aca="1" ref="D72" ca="1">IF(C72=0,0,INDEX(sys_DataFlat_LU_Grid_Groups,$C72,D$40))</f>
        <v>2871</v>
      </c>
      <c r="E72" cm="1">
        <f t="array" aca="1" ref="E72" ca="1">IF(C72=0,0,INDEX(sys_DataFlat_LU_Grid_Groups,$C72,E$40))</f>
        <v>2871</v>
      </c>
      <c r="F72">
        <v>3</v>
      </c>
      <c r="G72">
        <f t="shared" ca="1" si="13"/>
        <v>89</v>
      </c>
      <c r="H72" t="e" cm="1">
        <f t="array" ref="H72">IF($C$8=0,NA(),INDEX($P72:$BM72,$C$8))</f>
        <v>#N/A</v>
      </c>
      <c r="I72" cm="1">
        <f t="array" aca="1" ref="I72" ca="1">IF(C72=0,0,INDEX(sys_DataFlat_LU_Grid,$C72,$C$2))</f>
        <v>2821</v>
      </c>
      <c r="J72" t="str" cm="1">
        <f t="array" aca="1" ref="J72" ca="1">IF(C72=0,"-",INDEX(auto_Series_NameNoNumber,C72))</f>
        <v>Access to medicines</v>
      </c>
      <c r="K72" cm="1">
        <f t="array" aca="1" ref="K72" ca="1">IF(C72=0,"-",INDEX(K$94:K$162,$C72))</f>
        <v>0</v>
      </c>
      <c r="L72" t="str" cm="1">
        <f t="array" aca="1" ref="L72" ca="1">IF(C72=0,"-",INDEX(L$94:L$162,$C72))</f>
        <v>=48</v>
      </c>
      <c r="M72">
        <f t="shared" ca="1" si="21"/>
        <v>-2.5588315785957945</v>
      </c>
      <c r="N72" cm="1">
        <f t="array" aca="1" ref="N72" ca="1">IF(C72=0,"-",INDEX($N$94:$N$162,$C72))</f>
        <v>1</v>
      </c>
      <c r="O72" t="e" cm="1">
        <f t="array" aca="1" ref="O72" ca="1">IF(C72=0,"-",INDEX(#REF!,$C72))</f>
        <v>#REF!</v>
      </c>
      <c r="P72" cm="1">
        <f t="array" aca="1" ref="P72" ca="1">IF($C72=0,"",IF(P$12&lt;&gt;$C$5,NA(),INDEX(auto_DataFlat_Score,INDEX(sys_DataFlat_LU_Grid,$C72,P$11))))</f>
        <v>0</v>
      </c>
      <c r="Q72" cm="1">
        <f t="array" aca="1" ref="Q72" ca="1">IF($C72=0,"",IF(Q$12&lt;&gt;$C$5,NA(),INDEX(auto_DataFlat_Score,INDEX(sys_DataFlat_LU_Grid,$C72,Q$11))))</f>
        <v>100</v>
      </c>
      <c r="R72" cm="1">
        <f t="array" aca="1" ref="R72" ca="1">IF($C72=0,"",IF(R$12&lt;&gt;$C$5,NA(),INDEX(auto_DataFlat_Score,INDEX(sys_DataFlat_LU_Grid,$C72,R$11))))</f>
        <v>100</v>
      </c>
      <c r="S72" cm="1">
        <f t="array" aca="1" ref="S72" ca="1">IF($C72=0,"",IF(S$12&lt;&gt;$C$5,NA(),INDEX(auto_DataFlat_Score,INDEX(sys_DataFlat_LU_Grid,$C72,S$11))))</f>
        <v>100</v>
      </c>
      <c r="T72" cm="1">
        <f t="array" aca="1" ref="T72" ca="1">IF($C72=0,"",IF(T$12&lt;&gt;$C$5,NA(),INDEX(auto_DataFlat_Score,INDEX(sys_DataFlat_LU_Grid,$C72,T$11))))</f>
        <v>100</v>
      </c>
      <c r="U72" cm="1">
        <f t="array" aca="1" ref="U72" ca="1">IF($C72=0,"",IF(U$12&lt;&gt;$C$5,NA(),INDEX(auto_DataFlat_Score,INDEX(sys_DataFlat_LU_Grid,$C72,U$11))))</f>
        <v>50</v>
      </c>
      <c r="V72" cm="1">
        <f t="array" aca="1" ref="V72" ca="1">IF($C72=0,"",IF(V$12&lt;&gt;$C$5,NA(),INDEX(auto_DataFlat_Score,INDEX(sys_DataFlat_LU_Grid,$C72,V$11))))</f>
        <v>100</v>
      </c>
      <c r="W72" cm="1">
        <f t="array" aca="1" ref="W72" ca="1">IF($C72=0,"",IF(W$12&lt;&gt;$C$5,NA(),INDEX(auto_DataFlat_Score,INDEX(sys_DataFlat_LU_Grid,$C72,W$11))))</f>
        <v>50</v>
      </c>
      <c r="X72" cm="1">
        <f t="array" aca="1" ref="X72" ca="1">IF($C72=0,"",IF(X$12&lt;&gt;$C$5,NA(),INDEX(auto_DataFlat_Score,INDEX(sys_DataFlat_LU_Grid,$C72,X$11))))</f>
        <v>100</v>
      </c>
      <c r="Y72" cm="1">
        <f t="array" aca="1" ref="Y72" ca="1">IF($C72=0,"",IF(Y$12&lt;&gt;$C$5,NA(),INDEX(auto_DataFlat_Score,INDEX(sys_DataFlat_LU_Grid,$C72,Y$11))))</f>
        <v>100</v>
      </c>
      <c r="Z72" cm="1">
        <f t="array" aca="1" ref="Z72" ca="1">IF($C72=0,"",IF(Z$12&lt;&gt;$C$5,NA(),INDEX(auto_DataFlat_Score,INDEX(sys_DataFlat_LU_Grid,$C72,Z$11))))</f>
        <v>100</v>
      </c>
      <c r="AA72" cm="1">
        <f t="array" aca="1" ref="AA72" ca="1">IF($C72=0,"",IF(AA$12&lt;&gt;$C$5,NA(),INDEX(auto_DataFlat_Score,INDEX(sys_DataFlat_LU_Grid,$C72,AA$11))))</f>
        <v>100</v>
      </c>
      <c r="AB72" cm="1">
        <f t="array" aca="1" ref="AB72" ca="1">IF($C72=0,"",IF(AB$12&lt;&gt;$C$5,NA(),INDEX(auto_DataFlat_Score,INDEX(sys_DataFlat_LU_Grid,$C72,AB$11))))</f>
        <v>50</v>
      </c>
      <c r="AC72" cm="1">
        <f t="array" aca="1" ref="AC72" ca="1">IF($C72=0,"",IF(AC$12&lt;&gt;$C$5,NA(),INDEX(auto_DataFlat_Score,INDEX(sys_DataFlat_LU_Grid,$C72,AC$11))))</f>
        <v>100</v>
      </c>
      <c r="AD72" cm="1">
        <f t="array" aca="1" ref="AD72" ca="1">IF($C72=0,"",IF(AD$12&lt;&gt;$C$5,NA(),INDEX(auto_DataFlat_Score,INDEX(sys_DataFlat_LU_Grid,$C72,AD$11))))</f>
        <v>100</v>
      </c>
      <c r="AE72" cm="1">
        <f t="array" aca="1" ref="AE72" ca="1">IF($C72=0,"",IF(AE$12&lt;&gt;$C$5,NA(),INDEX(auto_DataFlat_Score,INDEX(sys_DataFlat_LU_Grid,$C72,AE$11))))</f>
        <v>100</v>
      </c>
      <c r="AF72" cm="1">
        <f t="array" aca="1" ref="AF72" ca="1">IF($C72=0,"",IF(AF$12&lt;&gt;$C$5,NA(),INDEX(auto_DataFlat_Score,INDEX(sys_DataFlat_LU_Grid,$C72,AF$11))))</f>
        <v>100</v>
      </c>
      <c r="AG72" cm="1">
        <f t="array" aca="1" ref="AG72" ca="1">IF($C72=0,"",IF(AG$12&lt;&gt;$C$5,NA(),INDEX(auto_DataFlat_Score,INDEX(sys_DataFlat_LU_Grid,$C72,AG$11))))</f>
        <v>100</v>
      </c>
      <c r="AH72" cm="1">
        <f t="array" aca="1" ref="AH72" ca="1">IF($C72=0,"",IF(AH$12&lt;&gt;$C$5,NA(),INDEX(auto_DataFlat_Score,INDEX(sys_DataFlat_LU_Grid,$C72,AH$11))))</f>
        <v>100</v>
      </c>
      <c r="AI72" cm="1">
        <f t="array" aca="1" ref="AI72" ca="1">IF($C72=0,"",IF(AI$12&lt;&gt;$C$5,NA(),INDEX(auto_DataFlat_Score,INDEX(sys_DataFlat_LU_Grid,$C72,AI$11))))</f>
        <v>100</v>
      </c>
      <c r="AJ72" cm="1">
        <f t="array" aca="1" ref="AJ72" ca="1">IF($C72=0,"",IF(AJ$12&lt;&gt;$C$5,NA(),INDEX(auto_DataFlat_Score,INDEX(sys_DataFlat_LU_Grid,$C72,AJ$11))))</f>
        <v>0</v>
      </c>
      <c r="AK72" cm="1">
        <f t="array" aca="1" ref="AK72" ca="1">IF($C72=0,"",IF(AK$12&lt;&gt;$C$5,NA(),INDEX(auto_DataFlat_Score,INDEX(sys_DataFlat_LU_Grid,$C72,AK$11))))</f>
        <v>100</v>
      </c>
      <c r="AL72" cm="1">
        <f t="array" aca="1" ref="AL72" ca="1">IF($C72=0,"",IF(AL$12&lt;&gt;$C$5,NA(),INDEX(auto_DataFlat_Score,INDEX(sys_DataFlat_LU_Grid,$C72,AL$11))))</f>
        <v>100</v>
      </c>
      <c r="AM72" cm="1">
        <f t="array" aca="1" ref="AM72" ca="1">IF($C72=0,"",IF(AM$12&lt;&gt;$C$5,NA(),INDEX(auto_DataFlat_Score,INDEX(sys_DataFlat_LU_Grid,$C72,AM$11))))</f>
        <v>50</v>
      </c>
      <c r="AN72" cm="1">
        <f t="array" aca="1" ref="AN72" ca="1">IF($C72=0,"",IF(AN$12&lt;&gt;$C$5,NA(),INDEX(auto_DataFlat_Score,INDEX(sys_DataFlat_LU_Grid,$C72,AN$11))))</f>
        <v>100</v>
      </c>
      <c r="AO72" cm="1">
        <f t="array" aca="1" ref="AO72" ca="1">IF($C72=0,"",IF(AO$12&lt;&gt;$C$5,NA(),INDEX(auto_DataFlat_Score,INDEX(sys_DataFlat_LU_Grid,$C72,AO$11))))</f>
        <v>100</v>
      </c>
      <c r="AP72" cm="1">
        <f t="array" aca="1" ref="AP72" ca="1">IF($C72=0,"",IF(AP$12&lt;&gt;$C$5,NA(),INDEX(auto_DataFlat_Score,INDEX(sys_DataFlat_LU_Grid,$C72,AP$11))))</f>
        <v>100</v>
      </c>
      <c r="AQ72" cm="1">
        <f t="array" aca="1" ref="AQ72" ca="1">IF($C72=0,"",IF(AQ$12&lt;&gt;$C$5,NA(),INDEX(auto_DataFlat_Score,INDEX(sys_DataFlat_LU_Grid,$C72,AQ$11))))</f>
        <v>100</v>
      </c>
      <c r="AR72" cm="1">
        <f t="array" aca="1" ref="AR72" ca="1">IF($C72=0,"",IF(AR$12&lt;&gt;$C$5,NA(),INDEX(auto_DataFlat_Score,INDEX(sys_DataFlat_LU_Grid,$C72,AR$11))))</f>
        <v>100</v>
      </c>
      <c r="AS72" cm="1">
        <f t="array" aca="1" ref="AS72" ca="1">IF($C72=0,"",IF(AS$12&lt;&gt;$C$5,NA(),INDEX(auto_DataFlat_Score,INDEX(sys_DataFlat_LU_Grid,$C72,AS$11))))</f>
        <v>100</v>
      </c>
      <c r="AT72" cm="1">
        <f t="array" aca="1" ref="AT72" ca="1">IF($C72=0,"",IF(AT$12&lt;&gt;$C$5,NA(),INDEX(auto_DataFlat_Score,INDEX(sys_DataFlat_LU_Grid,$C72,AT$11))))</f>
        <v>100</v>
      </c>
      <c r="AU72" cm="1">
        <f t="array" aca="1" ref="AU72" ca="1">IF($C72=0,"",IF(AU$12&lt;&gt;$C$5,NA(),INDEX(auto_DataFlat_Score,INDEX(sys_DataFlat_LU_Grid,$C72,AU$11))))</f>
        <v>100</v>
      </c>
      <c r="AV72" cm="1">
        <f t="array" aca="1" ref="AV72" ca="1">IF($C72=0,"",IF(AV$12&lt;&gt;$C$5,NA(),INDEX(auto_DataFlat_Score,INDEX(sys_DataFlat_LU_Grid,$C72,AV$11))))</f>
        <v>50</v>
      </c>
      <c r="AW72" cm="1">
        <f t="array" aca="1" ref="AW72" ca="1">IF($C72=0,"",IF(AW$12&lt;&gt;$C$5,NA(),INDEX(auto_DataFlat_Score,INDEX(sys_DataFlat_LU_Grid,$C72,AW$11))))</f>
        <v>100</v>
      </c>
      <c r="AX72" cm="1">
        <f t="array" aca="1" ref="AX72" ca="1">IF($C72=0,"",IF(AX$12&lt;&gt;$C$5,NA(),INDEX(auto_DataFlat_Score,INDEX(sys_DataFlat_LU_Grid,$C72,AX$11))))</f>
        <v>100</v>
      </c>
      <c r="AY72" cm="1">
        <f t="array" aca="1" ref="AY72" ca="1">IF($C72=0,"",IF(AY$12&lt;&gt;$C$5,NA(),INDEX(auto_DataFlat_Score,INDEX(sys_DataFlat_LU_Grid,$C72,AY$11))))</f>
        <v>100</v>
      </c>
      <c r="AZ72" cm="1">
        <f t="array" aca="1" ref="AZ72" ca="1">IF($C72=0,"",IF(AZ$12&lt;&gt;$C$5,NA(),INDEX(auto_DataFlat_Score,INDEX(sys_DataFlat_LU_Grid,$C72,AZ$11))))</f>
        <v>100</v>
      </c>
      <c r="BA72" cm="1">
        <f t="array" aca="1" ref="BA72" ca="1">IF($C72=0,"",IF(BA$12&lt;&gt;$C$5,NA(),INDEX(auto_DataFlat_Score,INDEX(sys_DataFlat_LU_Grid,$C72,BA$11))))</f>
        <v>100</v>
      </c>
      <c r="BB72" cm="1">
        <f t="array" aca="1" ref="BB72" ca="1">IF($C72=0,"",IF(BB$12&lt;&gt;$C$5,NA(),INDEX(auto_DataFlat_Score,INDEX(sys_DataFlat_LU_Grid,$C72,BB$11))))</f>
        <v>100</v>
      </c>
      <c r="BC72" cm="1">
        <f t="array" aca="1" ref="BC72" ca="1">IF($C72=0,"",IF(BC$12&lt;&gt;$C$5,NA(),INDEX(auto_DataFlat_Score,INDEX(sys_DataFlat_LU_Grid,$C72,BC$11))))</f>
        <v>100</v>
      </c>
      <c r="BD72" cm="1">
        <f t="array" aca="1" ref="BD72" ca="1">IF($C72=0,"",IF(BD$12&lt;&gt;$C$5,NA(),INDEX(auto_DataFlat_Score,INDEX(sys_DataFlat_LU_Grid,$C72,BD$11))))</f>
        <v>100</v>
      </c>
      <c r="BE72" cm="1">
        <f t="array" aca="1" ref="BE72" ca="1">IF($C72=0,"",IF(BE$12&lt;&gt;$C$5,NA(),INDEX(auto_DataFlat_Score,INDEX(sys_DataFlat_LU_Grid,$C72,BE$11))))</f>
        <v>100</v>
      </c>
      <c r="BF72" cm="1">
        <f t="array" aca="1" ref="BF72" ca="1">IF($C72=0,"",IF(BF$12&lt;&gt;$C$5,NA(),INDEX(auto_DataFlat_Score,INDEX(sys_DataFlat_LU_Grid,$C72,BF$11))))</f>
        <v>100</v>
      </c>
      <c r="BG72" cm="1">
        <f t="array" aca="1" ref="BG72" ca="1">IF($C72=0,"",IF(BG$12&lt;&gt;$C$5,NA(),INDEX(auto_DataFlat_Score,INDEX(sys_DataFlat_LU_Grid,$C72,BG$11))))</f>
        <v>100</v>
      </c>
      <c r="BH72" cm="1">
        <f t="array" aca="1" ref="BH72" ca="1">IF($C72=0,"",IF(BH$12&lt;&gt;$C$5,NA(),INDEX(auto_DataFlat_Score,INDEX(sys_DataFlat_LU_Grid,$C72,BH$11))))</f>
        <v>100</v>
      </c>
      <c r="BI72" cm="1">
        <f t="array" aca="1" ref="BI72" ca="1">IF($C72=0,"",IF(BI$12&lt;&gt;$C$5,NA(),INDEX(auto_DataFlat_Score,INDEX(sys_DataFlat_LU_Grid,$C72,BI$11))))</f>
        <v>100</v>
      </c>
      <c r="BJ72" cm="1">
        <f t="array" aca="1" ref="BJ72" ca="1">IF($C72=0,"",IF(BJ$12&lt;&gt;$C$5,NA(),INDEX(auto_DataFlat_Score,INDEX(sys_DataFlat_LU_Grid,$C72,BJ$11))))</f>
        <v>100</v>
      </c>
      <c r="BK72" cm="1">
        <f t="array" aca="1" ref="BK72" ca="1">IF($C72=0,"",IF(BK$12&lt;&gt;$C$5,NA(),INDEX(auto_DataFlat_Score,INDEX(sys_DataFlat_LU_Grid,$C72,BK$11))))</f>
        <v>100</v>
      </c>
      <c r="BL72" cm="1">
        <f t="array" aca="1" ref="BL72" ca="1">IF($C72=0,"",IF(BL$12&lt;&gt;$C$5,NA(),INDEX(auto_DataFlat_Score,INDEX(sys_DataFlat_LU_Grid,$C72,BL$11))))</f>
        <v>0</v>
      </c>
      <c r="BM72" cm="1">
        <f t="array" aca="1" ref="BM72" ca="1">IF($C72=0,"",IF(BM$12&lt;&gt;$C$5,NA(),INDEX(auto_DataFlat_Score,INDEX(sys_DataFlat_LU_Grid,$C72,BM$11))))</f>
        <v>100</v>
      </c>
      <c r="BO72">
        <f t="shared" ca="1" si="18"/>
        <v>0</v>
      </c>
      <c r="BP72">
        <f t="shared" ca="1" si="19"/>
        <v>100</v>
      </c>
      <c r="BQ72" cm="1">
        <f t="array" aca="1" ref="BQ72" ca="1">IF(C72=0,0,INDEX(sys_DataFlat_LU_Grid_Groups,$C72,BQ$12))</f>
        <v>2876</v>
      </c>
      <c r="BR72" cm="1">
        <f t="array" aca="1" ref="BR72" ca="1">IF(D72=0,0,INDEX(sys_DataFlat_LU_Grid_Groups,$C72,BR$12))</f>
        <v>2879</v>
      </c>
      <c r="BU72" cm="1">
        <f t="array" aca="1" ref="BU72" ca="1">INDEX(auto_DataFlat_Score,BQ72)</f>
        <v>85</v>
      </c>
      <c r="BV72" cm="1">
        <f t="array" aca="1" ref="BV72" ca="1">INDEX(auto_DataFlat_Score,BR72)</f>
        <v>81.8</v>
      </c>
      <c r="BW72">
        <f t="shared" ca="1" si="20"/>
        <v>89</v>
      </c>
    </row>
    <row r="73" spans="2:75" x14ac:dyDescent="0.4">
      <c r="B73">
        <v>20</v>
      </c>
      <c r="C73" cm="1">
        <f t="array" aca="1" ref="C73" ca="1">INDEX(OFFSET(auto_ss_depth_2,0,1,300,1),B73)</f>
        <v>49</v>
      </c>
      <c r="D73" cm="1">
        <f t="array" aca="1" ref="D73" ca="1">IF(C73=0,0,INDEX(sys_DataFlat_LU_Grid_Groups,$C73,D$40))</f>
        <v>2931</v>
      </c>
      <c r="E73" cm="1">
        <f t="array" aca="1" ref="E73" ca="1">IF(C73=0,0,INDEX(sys_DataFlat_LU_Grid_Groups,$C73,E$40))</f>
        <v>2931</v>
      </c>
      <c r="F73">
        <v>4</v>
      </c>
      <c r="G73">
        <f t="shared" ca="1" si="13"/>
        <v>56.9</v>
      </c>
      <c r="H73" t="e" cm="1">
        <f t="array" ref="H73">IF($C$8=0,NA(),INDEX($P73:$BM73,$C$8))</f>
        <v>#N/A</v>
      </c>
      <c r="I73" cm="1">
        <f t="array" aca="1" ref="I73" ca="1">IF(C73=0,0,INDEX(sys_DataFlat_LU_Grid,$C73,$C$2))</f>
        <v>2881</v>
      </c>
      <c r="J73" t="str" cm="1">
        <f t="array" aca="1" ref="J73" ca="1">IF(C73=0,"-",INDEX(auto_Series_NameNoNumber,C73))</f>
        <v>Hypertension diagnosis coverage</v>
      </c>
      <c r="K73" cm="1">
        <f t="array" aca="1" ref="K73" ca="1">IF(C73=0,"-",INDEX(K$94:K$162,$C73))</f>
        <v>34</v>
      </c>
      <c r="L73" t="str" cm="1">
        <f t="array" aca="1" ref="L73" ca="1">IF(C73=0,"-",INDEX(L$94:L$162,$C73))</f>
        <v>49</v>
      </c>
      <c r="M73">
        <f t="shared" ca="1" si="21"/>
        <v>-1.5948034380224807</v>
      </c>
      <c r="N73" cm="1">
        <f t="array" aca="1" ref="N73" ca="1">IF(C73=0,"-",INDEX($N$94:$N$162,$C73))</f>
        <v>2</v>
      </c>
      <c r="O73" t="e" cm="1">
        <f t="array" aca="1" ref="O73" ca="1">IF(C73=0,"-",INDEX(#REF!,$C73))</f>
        <v>#REF!</v>
      </c>
      <c r="P73" cm="1">
        <f t="array" aca="1" ref="P73" ca="1">IF($C73=0,"",IF(P$12&lt;&gt;$C$5,NA(),INDEX(auto_DataFlat_Score,INDEX(sys_DataFlat_LU_Grid,$C73,P$11))))</f>
        <v>34</v>
      </c>
      <c r="Q73" cm="1">
        <f t="array" aca="1" ref="Q73" ca="1">IF($C73=0,"",IF(Q$12&lt;&gt;$C$5,NA(),INDEX(auto_DataFlat_Score,INDEX(sys_DataFlat_LU_Grid,$C73,Q$11))))</f>
        <v>50</v>
      </c>
      <c r="R73" cm="1">
        <f t="array" aca="1" ref="R73" ca="1">IF($C73=0,"",IF(R$12&lt;&gt;$C$5,NA(),INDEX(auto_DataFlat_Score,INDEX(sys_DataFlat_LU_Grid,$C73,R$11))))</f>
        <v>80</v>
      </c>
      <c r="S73" cm="1">
        <f t="array" aca="1" ref="S73" ca="1">IF($C73=0,"",IF(S$12&lt;&gt;$C$5,NA(),INDEX(auto_DataFlat_Score,INDEX(sys_DataFlat_LU_Grid,$C73,S$11))))</f>
        <v>63</v>
      </c>
      <c r="T73" cm="1">
        <f t="array" aca="1" ref="T73" ca="1">IF($C73=0,"",IF(T$12&lt;&gt;$C$5,NA(),INDEX(auto_DataFlat_Score,INDEX(sys_DataFlat_LU_Grid,$C73,T$11))))</f>
        <v>53</v>
      </c>
      <c r="U73" cm="1">
        <f t="array" aca="1" ref="U73" ca="1">IF($C73=0,"",IF(U$12&lt;&gt;$C$5,NA(),INDEX(auto_DataFlat_Score,INDEX(sys_DataFlat_LU_Grid,$C73,U$11))))</f>
        <v>52</v>
      </c>
      <c r="V73" cm="1">
        <f t="array" aca="1" ref="V73" ca="1">IF($C73=0,"",IF(V$12&lt;&gt;$C$5,NA(),INDEX(auto_DataFlat_Score,INDEX(sys_DataFlat_LU_Grid,$C73,V$11))))</f>
        <v>72</v>
      </c>
      <c r="W73" cm="1">
        <f t="array" aca="1" ref="W73" ca="1">IF($C73=0,"",IF(W$12&lt;&gt;$C$5,NA(),INDEX(auto_DataFlat_Score,INDEX(sys_DataFlat_LU_Grid,$C73,W$11))))</f>
        <v>69</v>
      </c>
      <c r="X73" cm="1">
        <f t="array" aca="1" ref="X73" ca="1">IF($C73=0,"",IF(X$12&lt;&gt;$C$5,NA(),INDEX(auto_DataFlat_Score,INDEX(sys_DataFlat_LU_Grid,$C73,X$11))))</f>
        <v>60</v>
      </c>
      <c r="Y73" cm="1">
        <f t="array" aca="1" ref="Y73" ca="1">IF($C73=0,"",IF(Y$12&lt;&gt;$C$5,NA(),INDEX(auto_DataFlat_Score,INDEX(sys_DataFlat_LU_Grid,$C73,Y$11))))</f>
        <v>53</v>
      </c>
      <c r="Z73" cm="1">
        <f t="array" aca="1" ref="Z73" ca="1">IF($C73=0,"",IF(Z$12&lt;&gt;$C$5,NA(),INDEX(auto_DataFlat_Score,INDEX(sys_DataFlat_LU_Grid,$C73,Z$11))))</f>
        <v>47</v>
      </c>
      <c r="AA73" cm="1">
        <f t="array" aca="1" ref="AA73" ca="1">IF($C73=0,"",IF(AA$12&lt;&gt;$C$5,NA(),INDEX(auto_DataFlat_Score,INDEX(sys_DataFlat_LU_Grid,$C73,AA$11))))</f>
        <v>37</v>
      </c>
      <c r="AB73" cm="1">
        <f t="array" aca="1" ref="AB73" ca="1">IF($C73=0,"",IF(AB$12&lt;&gt;$C$5,NA(),INDEX(auto_DataFlat_Score,INDEX(sys_DataFlat_LU_Grid,$C73,AB$11))))</f>
        <v>50</v>
      </c>
      <c r="AC73" cm="1">
        <f t="array" aca="1" ref="AC73" ca="1">IF($C73=0,"",IF(AC$12&lt;&gt;$C$5,NA(),INDEX(auto_DataFlat_Score,INDEX(sys_DataFlat_LU_Grid,$C73,AC$11))))</f>
        <v>43</v>
      </c>
      <c r="AD73" cm="1">
        <f t="array" aca="1" ref="AD73" ca="1">IF($C73=0,"",IF(AD$12&lt;&gt;$C$5,NA(),INDEX(auto_DataFlat_Score,INDEX(sys_DataFlat_LU_Grid,$C73,AD$11))))</f>
        <v>68</v>
      </c>
      <c r="AE73" cm="1">
        <f t="array" aca="1" ref="AE73" ca="1">IF($C73=0,"",IF(AE$12&lt;&gt;$C$5,NA(),INDEX(auto_DataFlat_Score,INDEX(sys_DataFlat_LU_Grid,$C73,AE$11))))</f>
        <v>47</v>
      </c>
      <c r="AF73" cm="1">
        <f t="array" aca="1" ref="AF73" ca="1">IF($C73=0,"",IF(AF$12&lt;&gt;$C$5,NA(),INDEX(auto_DataFlat_Score,INDEX(sys_DataFlat_LU_Grid,$C73,AF$11))))</f>
        <v>60</v>
      </c>
      <c r="AG73" cm="1">
        <f t="array" aca="1" ref="AG73" ca="1">IF($C73=0,"",IF(AG$12&lt;&gt;$C$5,NA(),INDEX(auto_DataFlat_Score,INDEX(sys_DataFlat_LU_Grid,$C73,AG$11))))</f>
        <v>62</v>
      </c>
      <c r="AH73" cm="1">
        <f t="array" aca="1" ref="AH73" ca="1">IF($C73=0,"",IF(AH$12&lt;&gt;$C$5,NA(),INDEX(auto_DataFlat_Score,INDEX(sys_DataFlat_LU_Grid,$C73,AH$11))))</f>
        <v>36</v>
      </c>
      <c r="AI73" cm="1">
        <f t="array" aca="1" ref="AI73" ca="1">IF($C73=0,"",IF(AI$12&lt;&gt;$C$5,NA(),INDEX(auto_DataFlat_Score,INDEX(sys_DataFlat_LU_Grid,$C73,AI$11))))</f>
        <v>53</v>
      </c>
      <c r="AJ73" cm="1">
        <f t="array" aca="1" ref="AJ73" ca="1">IF($C73=0,"",IF(AJ$12&lt;&gt;$C$5,NA(),INDEX(auto_DataFlat_Score,INDEX(sys_DataFlat_LU_Grid,$C73,AJ$11))))</f>
        <v>44</v>
      </c>
      <c r="AK73" cm="1">
        <f t="array" aca="1" ref="AK73" ca="1">IF($C73=0,"",IF(AK$12&lt;&gt;$C$5,NA(),INDEX(auto_DataFlat_Score,INDEX(sys_DataFlat_LU_Grid,$C73,AK$11))))</f>
        <v>33</v>
      </c>
      <c r="AL73" cm="1">
        <f t="array" aca="1" ref="AL73" ca="1">IF($C73=0,"",IF(AL$12&lt;&gt;$C$5,NA(),INDEX(auto_DataFlat_Score,INDEX(sys_DataFlat_LU_Grid,$C73,AL$11))))</f>
        <v>37</v>
      </c>
      <c r="AM73" cm="1">
        <f t="array" aca="1" ref="AM73" ca="1">IF($C73=0,"",IF(AM$12&lt;&gt;$C$5,NA(),INDEX(auto_DataFlat_Score,INDEX(sys_DataFlat_LU_Grid,$C73,AM$11))))</f>
        <v>63</v>
      </c>
      <c r="AN73" cm="1">
        <f t="array" aca="1" ref="AN73" ca="1">IF($C73=0,"",IF(AN$12&lt;&gt;$C$5,NA(),INDEX(auto_DataFlat_Score,INDEX(sys_DataFlat_LU_Grid,$C73,AN$11))))</f>
        <v>47</v>
      </c>
      <c r="AO73" cm="1">
        <f t="array" aca="1" ref="AO73" ca="1">IF($C73=0,"",IF(AO$12&lt;&gt;$C$5,NA(),INDEX(auto_DataFlat_Score,INDEX(sys_DataFlat_LU_Grid,$C73,AO$11))))</f>
        <v>59</v>
      </c>
      <c r="AP73" cm="1">
        <f t="array" aca="1" ref="AP73" ca="1">IF($C73=0,"",IF(AP$12&lt;&gt;$C$5,NA(),INDEX(auto_DataFlat_Score,INDEX(sys_DataFlat_LU_Grid,$C73,AP$11))))</f>
        <v>65</v>
      </c>
      <c r="AQ73" cm="1">
        <f t="array" aca="1" ref="AQ73" ca="1">IF($C73=0,"",IF(AQ$12&lt;&gt;$C$5,NA(),INDEX(auto_DataFlat_Score,INDEX(sys_DataFlat_LU_Grid,$C73,AQ$11))))</f>
        <v>52</v>
      </c>
      <c r="AR73" cm="1">
        <f t="array" aca="1" ref="AR73" ca="1">IF($C73=0,"",IF(AR$12&lt;&gt;$C$5,NA(),INDEX(auto_DataFlat_Score,INDEX(sys_DataFlat_LU_Grid,$C73,AR$11))))</f>
        <v>59</v>
      </c>
      <c r="AS73" cm="1">
        <f t="array" aca="1" ref="AS73" ca="1">IF($C73=0,"",IF(AS$12&lt;&gt;$C$5,NA(),INDEX(auto_DataFlat_Score,INDEX(sys_DataFlat_LU_Grid,$C73,AS$11))))</f>
        <v>58</v>
      </c>
      <c r="AT73" cm="1">
        <f t="array" aca="1" ref="AT73" ca="1">IF($C73=0,"",IF(AT$12&lt;&gt;$C$5,NA(),INDEX(auto_DataFlat_Score,INDEX(sys_DataFlat_LU_Grid,$C73,AT$11))))</f>
        <v>74</v>
      </c>
      <c r="AU73" cm="1">
        <f t="array" aca="1" ref="AU73" ca="1">IF($C73=0,"",IF(AU$12&lt;&gt;$C$5,NA(),INDEX(auto_DataFlat_Score,INDEX(sys_DataFlat_LU_Grid,$C73,AU$11))))</f>
        <v>37</v>
      </c>
      <c r="AV73" cm="1">
        <f t="array" aca="1" ref="AV73" ca="1">IF($C73=0,"",IF(AV$12&lt;&gt;$C$5,NA(),INDEX(auto_DataFlat_Score,INDEX(sys_DataFlat_LU_Grid,$C73,AV$11))))</f>
        <v>40</v>
      </c>
      <c r="AW73" cm="1">
        <f t="array" aca="1" ref="AW73" ca="1">IF($C73=0,"",IF(AW$12&lt;&gt;$C$5,NA(),INDEX(auto_DataFlat_Score,INDEX(sys_DataFlat_LU_Grid,$C73,AW$11))))</f>
        <v>80</v>
      </c>
      <c r="AX73" cm="1">
        <f t="array" aca="1" ref="AX73" ca="1">IF($C73=0,"",IF(AX$12&lt;&gt;$C$5,NA(),INDEX(auto_DataFlat_Score,INDEX(sys_DataFlat_LU_Grid,$C73,AX$11))))</f>
        <v>67</v>
      </c>
      <c r="AY73" cm="1">
        <f t="array" aca="1" ref="AY73" ca="1">IF($C73=0,"",IF(AY$12&lt;&gt;$C$5,NA(),INDEX(auto_DataFlat_Score,INDEX(sys_DataFlat_LU_Grid,$C73,AY$11))))</f>
        <v>65</v>
      </c>
      <c r="AZ73" cm="1">
        <f t="array" aca="1" ref="AZ73" ca="1">IF($C73=0,"",IF(AZ$12&lt;&gt;$C$5,NA(),INDEX(auto_DataFlat_Score,INDEX(sys_DataFlat_LU_Grid,$C73,AZ$11))))</f>
        <v>51</v>
      </c>
      <c r="BA73" cm="1">
        <f t="array" aca="1" ref="BA73" ca="1">IF($C73=0,"",IF(BA$12&lt;&gt;$C$5,NA(),INDEX(auto_DataFlat_Score,INDEX(sys_DataFlat_LU_Grid,$C73,BA$11))))</f>
        <v>51</v>
      </c>
      <c r="BB73" cm="1">
        <f t="array" aca="1" ref="BB73" ca="1">IF($C73=0,"",IF(BB$12&lt;&gt;$C$5,NA(),INDEX(auto_DataFlat_Score,INDEX(sys_DataFlat_LU_Grid,$C73,BB$11))))</f>
        <v>62</v>
      </c>
      <c r="BC73" cm="1">
        <f t="array" aca="1" ref="BC73" ca="1">IF($C73=0,"",IF(BC$12&lt;&gt;$C$5,NA(),INDEX(auto_DataFlat_Score,INDEX(sys_DataFlat_LU_Grid,$C73,BC$11))))</f>
        <v>80</v>
      </c>
      <c r="BD73" cm="1">
        <f t="array" aca="1" ref="BD73" ca="1">IF($C73=0,"",IF(BD$12&lt;&gt;$C$5,NA(),INDEX(auto_DataFlat_Score,INDEX(sys_DataFlat_LU_Grid,$C73,BD$11))))</f>
        <v>67</v>
      </c>
      <c r="BE73" cm="1">
        <f t="array" aca="1" ref="BE73" ca="1">IF($C73=0,"",IF(BE$12&lt;&gt;$C$5,NA(),INDEX(auto_DataFlat_Score,INDEX(sys_DataFlat_LU_Grid,$C73,BE$11))))</f>
        <v>71</v>
      </c>
      <c r="BF73" cm="1">
        <f t="array" aca="1" ref="BF73" ca="1">IF($C73=0,"",IF(BF$12&lt;&gt;$C$5,NA(),INDEX(auto_DataFlat_Score,INDEX(sys_DataFlat_LU_Grid,$C73,BF$11))))</f>
        <v>52</v>
      </c>
      <c r="BG73" cm="1">
        <f t="array" aca="1" ref="BG73" ca="1">IF($C73=0,"",IF(BG$12&lt;&gt;$C$5,NA(),INDEX(auto_DataFlat_Score,INDEX(sys_DataFlat_LU_Grid,$C73,BG$11))))</f>
        <v>66</v>
      </c>
      <c r="BH73" cm="1">
        <f t="array" aca="1" ref="BH73" ca="1">IF($C73=0,"",IF(BH$12&lt;&gt;$C$5,NA(),INDEX(auto_DataFlat_Score,INDEX(sys_DataFlat_LU_Grid,$C73,BH$11))))</f>
        <v>59</v>
      </c>
      <c r="BI73" cm="1">
        <f t="array" aca="1" ref="BI73" ca="1">IF($C73=0,"",IF(BI$12&lt;&gt;$C$5,NA(),INDEX(auto_DataFlat_Score,INDEX(sys_DataFlat_LU_Grid,$C73,BI$11))))</f>
        <v>67</v>
      </c>
      <c r="BJ73" cm="1">
        <f t="array" aca="1" ref="BJ73" ca="1">IF($C73=0,"",IF(BJ$12&lt;&gt;$C$5,NA(),INDEX(auto_DataFlat_Score,INDEX(sys_DataFlat_LU_Grid,$C73,BJ$11))))</f>
        <v>78</v>
      </c>
      <c r="BK73" cm="1">
        <f t="array" aca="1" ref="BK73" ca="1">IF($C73=0,"",IF(BK$12&lt;&gt;$C$5,NA(),INDEX(auto_DataFlat_Score,INDEX(sys_DataFlat_LU_Grid,$C73,BK$11))))</f>
        <v>63</v>
      </c>
      <c r="BL73" cm="1">
        <f t="array" aca="1" ref="BL73" ca="1">IF($C73=0,"",IF(BL$12&lt;&gt;$C$5,NA(),INDEX(auto_DataFlat_Score,INDEX(sys_DataFlat_LU_Grid,$C73,BL$11))))</f>
        <v>52</v>
      </c>
      <c r="BM73" cm="1">
        <f t="array" aca="1" ref="BM73" ca="1">IF($C73=0,"",IF(BM$12&lt;&gt;$C$5,NA(),INDEX(auto_DataFlat_Score,INDEX(sys_DataFlat_LU_Grid,$C73,BM$11))))</f>
        <v>58</v>
      </c>
      <c r="BO73">
        <f t="shared" ref="BO73:BO85" ca="1" si="22">MIN(P73:BM73)</f>
        <v>33</v>
      </c>
      <c r="BP73">
        <f t="shared" ref="BP73:BP85" ca="1" si="23">MAX(P73:BM73)</f>
        <v>80</v>
      </c>
      <c r="BQ73" cm="1">
        <f t="array" aca="1" ref="BQ73" ca="1">IF(C73=0,0,INDEX(sys_DataFlat_LU_Grid_Groups,$C73,BQ$12))</f>
        <v>2936</v>
      </c>
      <c r="BR73" cm="1">
        <f t="array" aca="1" ref="BR73" ca="1">IF(D73=0,0,INDEX(sys_DataFlat_LU_Grid_Groups,$C73,BR$12))</f>
        <v>2939</v>
      </c>
      <c r="BU73" cm="1">
        <f t="array" aca="1" ref="BU73" ca="1">INDEX(auto_DataFlat_Score,BQ73)</f>
        <v>43.2</v>
      </c>
      <c r="BV73" cm="1">
        <f t="array" aca="1" ref="BV73" ca="1">INDEX(auto_DataFlat_Score,BR73)</f>
        <v>57.1</v>
      </c>
      <c r="BW73">
        <f t="shared" ref="BW73:BW85" ca="1" si="24">G73</f>
        <v>56.9</v>
      </c>
    </row>
    <row r="74" spans="2:75" x14ac:dyDescent="0.4">
      <c r="B74">
        <v>21</v>
      </c>
      <c r="C74" cm="1">
        <f t="array" aca="1" ref="C74" ca="1">INDEX(OFFSET(auto_ss_depth_2,0,1,300,1),B74)</f>
        <v>50</v>
      </c>
      <c r="D74" cm="1">
        <f t="array" aca="1" ref="D74" ca="1">IF(C74=0,0,INDEX(sys_DataFlat_LU_Grid_Groups,$C74,D$40))</f>
        <v>2991</v>
      </c>
      <c r="E74" cm="1">
        <f t="array" aca="1" ref="E74" ca="1">IF(C74=0,0,INDEX(sys_DataFlat_LU_Grid_Groups,$C74,E$40))</f>
        <v>2991</v>
      </c>
      <c r="G74">
        <f t="shared" ca="1" si="13"/>
        <v>59</v>
      </c>
      <c r="H74" t="e" cm="1">
        <f t="array" ref="H74">IF($C$8=0,NA(),INDEX($P74:$BM74,$C$8))</f>
        <v>#N/A</v>
      </c>
      <c r="I74" cm="1">
        <f t="array" aca="1" ref="I74" ca="1">IF(C74=0,0,INDEX(sys_DataFlat_LU_Grid,$C74,$C$2))</f>
        <v>2941</v>
      </c>
      <c r="J74" t="str" cm="1">
        <f t="array" aca="1" ref="J74" ca="1">IF(C74=0,"-",INDEX(auto_Series_NameNoNumber,C74))</f>
        <v>Undiagnosed diabetes</v>
      </c>
      <c r="K74" cm="1">
        <f t="array" aca="1" ref="K74" ca="1">IF(C74=0,"-",INDEX(K$94:K$162,$C74))</f>
        <v>42.4</v>
      </c>
      <c r="L74" t="str" cm="1">
        <f t="array" aca="1" ref="L74" ca="1">IF(C74=0,"-",INDEX(L$94:L$162,$C74))</f>
        <v>46</v>
      </c>
      <c r="M74">
        <f t="shared" ca="1" si="21"/>
        <v>-1.1439778347509557</v>
      </c>
      <c r="N74" cm="1">
        <f t="array" aca="1" ref="N74" ca="1">IF(C74=0,"-",INDEX($N$94:$N$162,$C74))</f>
        <v>3</v>
      </c>
      <c r="O74" t="e" cm="1">
        <f t="array" aca="1" ref="O74" ca="1">IF(C74=0,"-",INDEX(#REF!,$C74))</f>
        <v>#REF!</v>
      </c>
      <c r="P74" cm="1">
        <f t="array" aca="1" ref="P74" ca="1">IF($C74=0,"",IF(P$12&lt;&gt;$C$5,NA(),INDEX(auto_DataFlat_Score,INDEX(sys_DataFlat_LU_Grid,$C74,P$11))))</f>
        <v>42.4</v>
      </c>
      <c r="Q74" cm="1">
        <f t="array" aca="1" ref="Q74" ca="1">IF($C74=0,"",IF(Q$12&lt;&gt;$C$5,NA(),INDEX(auto_DataFlat_Score,INDEX(sys_DataFlat_LU_Grid,$C74,Q$11))))</f>
        <v>59.8</v>
      </c>
      <c r="R74" cm="1">
        <f t="array" aca="1" ref="R74" ca="1">IF($C74=0,"",IF(R$12&lt;&gt;$C$5,NA(),INDEX(auto_DataFlat_Score,INDEX(sys_DataFlat_LU_Grid,$C74,R$11))))</f>
        <v>87.5</v>
      </c>
      <c r="S74" cm="1">
        <f t="array" aca="1" ref="S74" ca="1">IF($C74=0,"",IF(S$12&lt;&gt;$C$5,NA(),INDEX(auto_DataFlat_Score,INDEX(sys_DataFlat_LU_Grid,$C74,S$11))))</f>
        <v>54.6</v>
      </c>
      <c r="T74" cm="1">
        <f t="array" aca="1" ref="T74" ca="1">IF($C74=0,"",IF(T$12&lt;&gt;$C$5,NA(),INDEX(auto_DataFlat_Score,INDEX(sys_DataFlat_LU_Grid,$C74,T$11))))</f>
        <v>60.3</v>
      </c>
      <c r="U74" cm="1">
        <f t="array" aca="1" ref="U74" ca="1">IF($C74=0,"",IF(U$12&lt;&gt;$C$5,NA(),INDEX(auto_DataFlat_Score,INDEX(sys_DataFlat_LU_Grid,$C74,U$11))))</f>
        <v>48.3</v>
      </c>
      <c r="V74" cm="1">
        <f t="array" aca="1" ref="V74" ca="1">IF($C74=0,"",IF(V$12&lt;&gt;$C$5,NA(),INDEX(auto_DataFlat_Score,INDEX(sys_DataFlat_LU_Grid,$C74,V$11))))</f>
        <v>78.3</v>
      </c>
      <c r="W74" cm="1">
        <f t="array" aca="1" ref="W74" ca="1">IF($C74=0,"",IF(W$12&lt;&gt;$C$5,NA(),INDEX(auto_DataFlat_Score,INDEX(sys_DataFlat_LU_Grid,$C74,W$11))))</f>
        <v>64</v>
      </c>
      <c r="X74" cm="1">
        <f t="array" aca="1" ref="X74" ca="1">IF($C74=0,"",IF(X$12&lt;&gt;$C$5,NA(),INDEX(auto_DataFlat_Score,INDEX(sys_DataFlat_LU_Grid,$C74,X$11))))</f>
        <v>83.3</v>
      </c>
      <c r="Y74" cm="1">
        <f t="array" aca="1" ref="Y74" ca="1">IF($C74=0,"",IF(Y$12&lt;&gt;$C$5,NA(),INDEX(auto_DataFlat_Score,INDEX(sys_DataFlat_LU_Grid,$C74,Y$11))))</f>
        <v>38</v>
      </c>
      <c r="Z74" cm="1">
        <f t="array" aca="1" ref="Z74" ca="1">IF($C74=0,"",IF(Z$12&lt;&gt;$C$5,NA(),INDEX(auto_DataFlat_Score,INDEX(sys_DataFlat_LU_Grid,$C74,Z$11))))</f>
        <v>64.2</v>
      </c>
      <c r="AA74" cm="1">
        <f t="array" aca="1" ref="AA74" ca="1">IF($C74=0,"",IF(AA$12&lt;&gt;$C$5,NA(),INDEX(auto_DataFlat_Score,INDEX(sys_DataFlat_LU_Grid,$C74,AA$11))))</f>
        <v>46.9</v>
      </c>
      <c r="AB74" cm="1">
        <f t="array" aca="1" ref="AB74" ca="1">IF($C74=0,"",IF(AB$12&lt;&gt;$C$5,NA(),INDEX(auto_DataFlat_Score,INDEX(sys_DataFlat_LU_Grid,$C74,AB$11))))</f>
        <v>56.5</v>
      </c>
      <c r="AC74" cm="1">
        <f t="array" aca="1" ref="AC74" ca="1">IF($C74=0,"",IF(AC$12&lt;&gt;$C$5,NA(),INDEX(auto_DataFlat_Score,INDEX(sys_DataFlat_LU_Grid,$C74,AC$11))))</f>
        <v>36</v>
      </c>
      <c r="AD74" cm="1">
        <f t="array" aca="1" ref="AD74" ca="1">IF($C74=0,"",IF(AD$12&lt;&gt;$C$5,NA(),INDEX(auto_DataFlat_Score,INDEX(sys_DataFlat_LU_Grid,$C74,AD$11))))</f>
        <v>81.2</v>
      </c>
      <c r="AE74" cm="1">
        <f t="array" aca="1" ref="AE74" ca="1">IF($C74=0,"",IF(AE$12&lt;&gt;$C$5,NA(),INDEX(auto_DataFlat_Score,INDEX(sys_DataFlat_LU_Grid,$C74,AE$11))))</f>
        <v>48.5</v>
      </c>
      <c r="AF74" cm="1">
        <f t="array" aca="1" ref="AF74" ca="1">IF($C74=0,"",IF(AF$12&lt;&gt;$C$5,NA(),INDEX(auto_DataFlat_Score,INDEX(sys_DataFlat_LU_Grid,$C74,AF$11))))</f>
        <v>45.8</v>
      </c>
      <c r="AG74" cm="1">
        <f t="array" aca="1" ref="AG74" ca="1">IF($C74=0,"",IF(AG$12&lt;&gt;$C$5,NA(),INDEX(auto_DataFlat_Score,INDEX(sys_DataFlat_LU_Grid,$C74,AG$11))))</f>
        <v>58.2</v>
      </c>
      <c r="AH74" cm="1">
        <f t="array" aca="1" ref="AH74" ca="1">IF($C74=0,"",IF(AH$12&lt;&gt;$C$5,NA(),INDEX(auto_DataFlat_Score,INDEX(sys_DataFlat_LU_Grid,$C74,AH$11))))</f>
        <v>26.3</v>
      </c>
      <c r="AI74" cm="1">
        <f t="array" aca="1" ref="AI74" ca="1">IF($C74=0,"",IF(AI$12&lt;&gt;$C$5,NA(),INDEX(auto_DataFlat_Score,INDEX(sys_DataFlat_LU_Grid,$C74,AI$11))))</f>
        <v>54.6</v>
      </c>
      <c r="AJ74" cm="1">
        <f t="array" aca="1" ref="AJ74" ca="1">IF($C74=0,"",IF(AJ$12&lt;&gt;$C$5,NA(),INDEX(auto_DataFlat_Score,INDEX(sys_DataFlat_LU_Grid,$C74,AJ$11))))</f>
        <v>73.099999999999994</v>
      </c>
      <c r="AK74" cm="1">
        <f t="array" aca="1" ref="AK74" ca="1">IF($C74=0,"",IF(AK$12&lt;&gt;$C$5,NA(),INDEX(auto_DataFlat_Score,INDEX(sys_DataFlat_LU_Grid,$C74,AK$11))))</f>
        <v>56.5</v>
      </c>
      <c r="AL74" cm="1">
        <f t="array" aca="1" ref="AL74" ca="1">IF($C74=0,"",IF(AL$12&lt;&gt;$C$5,NA(),INDEX(auto_DataFlat_Score,INDEX(sys_DataFlat_LU_Grid,$C74,AL$11))))</f>
        <v>46.9</v>
      </c>
      <c r="AM74" cm="1">
        <f t="array" aca="1" ref="AM74" ca="1">IF($C74=0,"",IF(AM$12&lt;&gt;$C$5,NA(),INDEX(auto_DataFlat_Score,INDEX(sys_DataFlat_LU_Grid,$C74,AM$11))))</f>
        <v>62.7</v>
      </c>
      <c r="AN74" cm="1">
        <f t="array" aca="1" ref="AN74" ca="1">IF($C74=0,"",IF(AN$12&lt;&gt;$C$5,NA(),INDEX(auto_DataFlat_Score,INDEX(sys_DataFlat_LU_Grid,$C74,AN$11))))</f>
        <v>46.7</v>
      </c>
      <c r="AO74" cm="1">
        <f t="array" aca="1" ref="AO74" ca="1">IF($C74=0,"",IF(AO$12&lt;&gt;$C$5,NA(),INDEX(auto_DataFlat_Score,INDEX(sys_DataFlat_LU_Grid,$C74,AO$11))))</f>
        <v>77</v>
      </c>
      <c r="AP74" cm="1">
        <f t="array" aca="1" ref="AP74" ca="1">IF($C74=0,"",IF(AP$12&lt;&gt;$C$5,NA(),INDEX(auto_DataFlat_Score,INDEX(sys_DataFlat_LU_Grid,$C74,AP$11))))</f>
        <v>69.7</v>
      </c>
      <c r="AQ74" cm="1">
        <f t="array" aca="1" ref="AQ74" ca="1">IF($C74=0,"",IF(AQ$12&lt;&gt;$C$5,NA(),INDEX(auto_DataFlat_Score,INDEX(sys_DataFlat_LU_Grid,$C74,AQ$11))))</f>
        <v>33.299999999999997</v>
      </c>
      <c r="AR74" cm="1">
        <f t="array" aca="1" ref="AR74" ca="1">IF($C74=0,"",IF(AR$12&lt;&gt;$C$5,NA(),INDEX(auto_DataFlat_Score,INDEX(sys_DataFlat_LU_Grid,$C74,AR$11))))</f>
        <v>75</v>
      </c>
      <c r="AS74" cm="1">
        <f t="array" aca="1" ref="AS74" ca="1">IF($C74=0,"",IF(AS$12&lt;&gt;$C$5,NA(),INDEX(auto_DataFlat_Score,INDEX(sys_DataFlat_LU_Grid,$C74,AS$11))))</f>
        <v>52.5</v>
      </c>
      <c r="AT74" cm="1">
        <f t="array" aca="1" ref="AT74" ca="1">IF($C74=0,"",IF(AT$12&lt;&gt;$C$5,NA(),INDEX(auto_DataFlat_Score,INDEX(sys_DataFlat_LU_Grid,$C74,AT$11))))</f>
        <v>59</v>
      </c>
      <c r="AU74" cm="1">
        <f t="array" aca="1" ref="AU74" ca="1">IF($C74=0,"",IF(AU$12&lt;&gt;$C$5,NA(),INDEX(auto_DataFlat_Score,INDEX(sys_DataFlat_LU_Grid,$C74,AU$11))))</f>
        <v>46.9</v>
      </c>
      <c r="AV74" cm="1">
        <f t="array" aca="1" ref="AV74" ca="1">IF($C74=0,"",IF(AV$12&lt;&gt;$C$5,NA(),INDEX(auto_DataFlat_Score,INDEX(sys_DataFlat_LU_Grid,$C74,AV$11))))</f>
        <v>56.3</v>
      </c>
      <c r="AW74" cm="1">
        <f t="array" aca="1" ref="AW74" ca="1">IF($C74=0,"",IF(AW$12&lt;&gt;$C$5,NA(),INDEX(auto_DataFlat_Score,INDEX(sys_DataFlat_LU_Grid,$C74,AW$11))))</f>
        <v>87.5</v>
      </c>
      <c r="AX74" cm="1">
        <f t="array" aca="1" ref="AX74" ca="1">IF($C74=0,"",IF(AX$12&lt;&gt;$C$5,NA(),INDEX(auto_DataFlat_Score,INDEX(sys_DataFlat_LU_Grid,$C74,AX$11))))</f>
        <v>54.5</v>
      </c>
      <c r="AY74" cm="1">
        <f t="array" aca="1" ref="AY74" ca="1">IF($C74=0,"",IF(AY$12&lt;&gt;$C$5,NA(),INDEX(auto_DataFlat_Score,INDEX(sys_DataFlat_LU_Grid,$C74,AY$11))))</f>
        <v>72.099999999999994</v>
      </c>
      <c r="AZ74" cm="1">
        <f t="array" aca="1" ref="AZ74" ca="1">IF($C74=0,"",IF(AZ$12&lt;&gt;$C$5,NA(),INDEX(auto_DataFlat_Score,INDEX(sys_DataFlat_LU_Grid,$C74,AZ$11))))</f>
        <v>43.9</v>
      </c>
      <c r="BA74" cm="1">
        <f t="array" aca="1" ref="BA74" ca="1">IF($C74=0,"",IF(BA$12&lt;&gt;$C$5,NA(),INDEX(auto_DataFlat_Score,INDEX(sys_DataFlat_LU_Grid,$C74,BA$11))))</f>
        <v>56.4</v>
      </c>
      <c r="BB74" cm="1">
        <f t="array" aca="1" ref="BB74" ca="1">IF($C74=0,"",IF(BB$12&lt;&gt;$C$5,NA(),INDEX(auto_DataFlat_Score,INDEX(sys_DataFlat_LU_Grid,$C74,BB$11))))</f>
        <v>66.5</v>
      </c>
      <c r="BC74" cm="1">
        <f t="array" aca="1" ref="BC74" ca="1">IF($C74=0,"",IF(BC$12&lt;&gt;$C$5,NA(),INDEX(auto_DataFlat_Score,INDEX(sys_DataFlat_LU_Grid,$C74,BC$11))))</f>
        <v>87.5</v>
      </c>
      <c r="BD74" cm="1">
        <f t="array" aca="1" ref="BD74" ca="1">IF($C74=0,"",IF(BD$12&lt;&gt;$C$5,NA(),INDEX(auto_DataFlat_Score,INDEX(sys_DataFlat_LU_Grid,$C74,BD$11))))</f>
        <v>68.099999999999994</v>
      </c>
      <c r="BE74" cm="1">
        <f t="array" aca="1" ref="BE74" ca="1">IF($C74=0,"",IF(BE$12&lt;&gt;$C$5,NA(),INDEX(auto_DataFlat_Score,INDEX(sys_DataFlat_LU_Grid,$C74,BE$11))))</f>
        <v>64</v>
      </c>
      <c r="BF74" cm="1">
        <f t="array" aca="1" ref="BF74" ca="1">IF($C74=0,"",IF(BF$12&lt;&gt;$C$5,NA(),INDEX(auto_DataFlat_Score,INDEX(sys_DataFlat_LU_Grid,$C74,BF$11))))</f>
        <v>48.3</v>
      </c>
      <c r="BG74" cm="1">
        <f t="array" aca="1" ref="BG74" ca="1">IF($C74=0,"",IF(BG$12&lt;&gt;$C$5,NA(),INDEX(auto_DataFlat_Score,INDEX(sys_DataFlat_LU_Grid,$C74,BG$11))))</f>
        <v>49.6</v>
      </c>
      <c r="BH74" cm="1">
        <f t="array" aca="1" ref="BH74" ca="1">IF($C74=0,"",IF(BH$12&lt;&gt;$C$5,NA(),INDEX(auto_DataFlat_Score,INDEX(sys_DataFlat_LU_Grid,$C74,BH$11))))</f>
        <v>75</v>
      </c>
      <c r="BI74" cm="1">
        <f t="array" aca="1" ref="BI74" ca="1">IF($C74=0,"",IF(BI$12&lt;&gt;$C$5,NA(),INDEX(auto_DataFlat_Score,INDEX(sys_DataFlat_LU_Grid,$C74,BI$11))))</f>
        <v>54.5</v>
      </c>
      <c r="BJ74" cm="1">
        <f t="array" aca="1" ref="BJ74" ca="1">IF($C74=0,"",IF(BJ$12&lt;&gt;$C$5,NA(),INDEX(auto_DataFlat_Score,INDEX(sys_DataFlat_LU_Grid,$C74,BJ$11))))</f>
        <v>62.2</v>
      </c>
      <c r="BK74" cm="1">
        <f t="array" aca="1" ref="BK74" ca="1">IF($C74=0,"",IF(BK$12&lt;&gt;$C$5,NA(),INDEX(auto_DataFlat_Score,INDEX(sys_DataFlat_LU_Grid,$C74,BK$11))))</f>
        <v>75</v>
      </c>
      <c r="BL74" cm="1">
        <f t="array" aca="1" ref="BL74" ca="1">IF($C74=0,"",IF(BL$12&lt;&gt;$C$5,NA(),INDEX(auto_DataFlat_Score,INDEX(sys_DataFlat_LU_Grid,$C74,BL$11))))</f>
        <v>48.3</v>
      </c>
      <c r="BM74" cm="1">
        <f t="array" aca="1" ref="BM74" ca="1">IF($C74=0,"",IF(BM$12&lt;&gt;$C$5,NA(),INDEX(auto_DataFlat_Score,INDEX(sys_DataFlat_LU_Grid,$C74,BM$11))))</f>
        <v>48.3</v>
      </c>
      <c r="BO74">
        <f t="shared" ca="1" si="22"/>
        <v>26.3</v>
      </c>
      <c r="BP74">
        <f t="shared" ca="1" si="23"/>
        <v>87.5</v>
      </c>
      <c r="BQ74" cm="1">
        <f t="array" aca="1" ref="BQ74" ca="1">IF(C74=0,0,INDEX(sys_DataFlat_LU_Grid_Groups,$C74,BQ$12))</f>
        <v>2996</v>
      </c>
      <c r="BR74" cm="1">
        <f t="array" aca="1" ref="BR74" ca="1">IF(D74=0,0,INDEX(sys_DataFlat_LU_Grid_Groups,$C74,BR$12))</f>
        <v>2999</v>
      </c>
      <c r="BU74" cm="1">
        <f t="array" aca="1" ref="BU74" ca="1">INDEX(auto_DataFlat_Score,BQ74)</f>
        <v>52.6</v>
      </c>
      <c r="BV74" cm="1">
        <f t="array" aca="1" ref="BV74" ca="1">INDEX(auto_DataFlat_Score,BR74)</f>
        <v>53.4</v>
      </c>
      <c r="BW74">
        <f t="shared" ca="1" si="24"/>
        <v>59</v>
      </c>
    </row>
    <row r="75" spans="2:75" x14ac:dyDescent="0.4">
      <c r="B75">
        <v>22</v>
      </c>
      <c r="C75" cm="1">
        <f t="array" aca="1" ref="C75" ca="1">INDEX(OFFSET(auto_ss_depth_2,0,1,300,1),B75)</f>
        <v>51</v>
      </c>
      <c r="D75" cm="1">
        <f t="array" aca="1" ref="D75" ca="1">IF(C75=0,0,INDEX(sys_DataFlat_LU_Grid_Groups,$C75,D$40))</f>
        <v>3051</v>
      </c>
      <c r="E75" cm="1">
        <f t="array" aca="1" ref="E75" ca="1">IF(C75=0,0,INDEX(sys_DataFlat_LU_Grid_Groups,$C75,E$40))</f>
        <v>3051</v>
      </c>
      <c r="G75">
        <f t="shared" ca="1" si="13"/>
        <v>52</v>
      </c>
      <c r="H75" t="e" cm="1">
        <f t="array" ref="H75">IF($C$8=0,NA(),INDEX($P75:$BM75,$C$8))</f>
        <v>#N/A</v>
      </c>
      <c r="I75" cm="1">
        <f t="array" aca="1" ref="I75" ca="1">IF(C75=0,0,INDEX(sys_DataFlat_LU_Grid,$C75,$C$2))</f>
        <v>3001</v>
      </c>
      <c r="J75" t="str" cm="1">
        <f t="array" aca="1" ref="J75" ca="1">IF(C75=0,"-",INDEX(auto_Series_NameNoNumber,C75))</f>
        <v>Patient-centred care</v>
      </c>
      <c r="K75" cm="1">
        <f t="array" aca="1" ref="K75" ca="1">IF(C75=0,"-",INDEX(K$94:K$162,$C75))</f>
        <v>0</v>
      </c>
      <c r="L75" t="str" cm="1">
        <f t="array" aca="1" ref="L75" ca="1">IF(C75=0,"-",INDEX(L$94:L$162,$C75))</f>
        <v>=27</v>
      </c>
      <c r="M75">
        <f t="shared" ca="1" si="21"/>
        <v>-0.95742710775633799</v>
      </c>
      <c r="N75" cm="1">
        <f t="array" aca="1" ref="N75" ca="1">IF(C75=0,"-",INDEX($N$94:$N$162,$C75))</f>
        <v>1</v>
      </c>
      <c r="O75" t="e" cm="1">
        <f t="array" aca="1" ref="O75" ca="1">IF(C75=0,"-",INDEX(#REF!,$C75))</f>
        <v>#REF!</v>
      </c>
      <c r="P75" cm="1">
        <f t="array" aca="1" ref="P75" ca="1">IF($C75=0,"",IF(P$12&lt;&gt;$C$5,NA(),INDEX(auto_DataFlat_Score,INDEX(sys_DataFlat_LU_Grid,$C75,P$11))))</f>
        <v>0</v>
      </c>
      <c r="Q75" cm="1">
        <f t="array" aca="1" ref="Q75" ca="1">IF($C75=0,"",IF(Q$12&lt;&gt;$C$5,NA(),INDEX(auto_DataFlat_Score,INDEX(sys_DataFlat_LU_Grid,$C75,Q$11))))</f>
        <v>0</v>
      </c>
      <c r="R75" cm="1">
        <f t="array" aca="1" ref="R75" ca="1">IF($C75=0,"",IF(R$12&lt;&gt;$C$5,NA(),INDEX(auto_DataFlat_Score,INDEX(sys_DataFlat_LU_Grid,$C75,R$11))))</f>
        <v>0</v>
      </c>
      <c r="S75" cm="1">
        <f t="array" aca="1" ref="S75" ca="1">IF($C75=0,"",IF(S$12&lt;&gt;$C$5,NA(),INDEX(auto_DataFlat_Score,INDEX(sys_DataFlat_LU_Grid,$C75,S$11))))</f>
        <v>100</v>
      </c>
      <c r="T75" cm="1">
        <f t="array" aca="1" ref="T75" ca="1">IF($C75=0,"",IF(T$12&lt;&gt;$C$5,NA(),INDEX(auto_DataFlat_Score,INDEX(sys_DataFlat_LU_Grid,$C75,T$11))))</f>
        <v>100</v>
      </c>
      <c r="U75" cm="1">
        <f t="array" aca="1" ref="U75" ca="1">IF($C75=0,"",IF(U$12&lt;&gt;$C$5,NA(),INDEX(auto_DataFlat_Score,INDEX(sys_DataFlat_LU_Grid,$C75,U$11))))</f>
        <v>0</v>
      </c>
      <c r="V75" cm="1">
        <f t="array" aca="1" ref="V75" ca="1">IF($C75=0,"",IF(V$12&lt;&gt;$C$5,NA(),INDEX(auto_DataFlat_Score,INDEX(sys_DataFlat_LU_Grid,$C75,V$11))))</f>
        <v>100</v>
      </c>
      <c r="W75" cm="1">
        <f t="array" aca="1" ref="W75" ca="1">IF($C75=0,"",IF(W$12&lt;&gt;$C$5,NA(),INDEX(auto_DataFlat_Score,INDEX(sys_DataFlat_LU_Grid,$C75,W$11))))</f>
        <v>100</v>
      </c>
      <c r="X75" cm="1">
        <f t="array" aca="1" ref="X75" ca="1">IF($C75=0,"",IF(X$12&lt;&gt;$C$5,NA(),INDEX(auto_DataFlat_Score,INDEX(sys_DataFlat_LU_Grid,$C75,X$11))))</f>
        <v>0</v>
      </c>
      <c r="Y75" cm="1">
        <f t="array" aca="1" ref="Y75" ca="1">IF($C75=0,"",IF(Y$12&lt;&gt;$C$5,NA(),INDEX(auto_DataFlat_Score,INDEX(sys_DataFlat_LU_Grid,$C75,Y$11))))</f>
        <v>0</v>
      </c>
      <c r="Z75" cm="1">
        <f t="array" aca="1" ref="Z75" ca="1">IF($C75=0,"",IF(Z$12&lt;&gt;$C$5,NA(),INDEX(auto_DataFlat_Score,INDEX(sys_DataFlat_LU_Grid,$C75,Z$11))))</f>
        <v>100</v>
      </c>
      <c r="AA75" cm="1">
        <f t="array" aca="1" ref="AA75" ca="1">IF($C75=0,"",IF(AA$12&lt;&gt;$C$5,NA(),INDEX(auto_DataFlat_Score,INDEX(sys_DataFlat_LU_Grid,$C75,AA$11))))</f>
        <v>100</v>
      </c>
      <c r="AB75" cm="1">
        <f t="array" aca="1" ref="AB75" ca="1">IF($C75=0,"",IF(AB$12&lt;&gt;$C$5,NA(),INDEX(auto_DataFlat_Score,INDEX(sys_DataFlat_LU_Grid,$C75,AB$11))))</f>
        <v>0</v>
      </c>
      <c r="AC75" cm="1">
        <f t="array" aca="1" ref="AC75" ca="1">IF($C75=0,"",IF(AC$12&lt;&gt;$C$5,NA(),INDEX(auto_DataFlat_Score,INDEX(sys_DataFlat_LU_Grid,$C75,AC$11))))</f>
        <v>0</v>
      </c>
      <c r="AD75" cm="1">
        <f t="array" aca="1" ref="AD75" ca="1">IF($C75=0,"",IF(AD$12&lt;&gt;$C$5,NA(),INDEX(auto_DataFlat_Score,INDEX(sys_DataFlat_LU_Grid,$C75,AD$11))))</f>
        <v>100</v>
      </c>
      <c r="AE75" cm="1">
        <f t="array" aca="1" ref="AE75" ca="1">IF($C75=0,"",IF(AE$12&lt;&gt;$C$5,NA(),INDEX(auto_DataFlat_Score,INDEX(sys_DataFlat_LU_Grid,$C75,AE$11))))</f>
        <v>0</v>
      </c>
      <c r="AF75" cm="1">
        <f t="array" aca="1" ref="AF75" ca="1">IF($C75=0,"",IF(AF$12&lt;&gt;$C$5,NA(),INDEX(auto_DataFlat_Score,INDEX(sys_DataFlat_LU_Grid,$C75,AF$11))))</f>
        <v>100</v>
      </c>
      <c r="AG75" cm="1">
        <f t="array" aca="1" ref="AG75" ca="1">IF($C75=0,"",IF(AG$12&lt;&gt;$C$5,NA(),INDEX(auto_DataFlat_Score,INDEX(sys_DataFlat_LU_Grid,$C75,AG$11))))</f>
        <v>100</v>
      </c>
      <c r="AH75" cm="1">
        <f t="array" aca="1" ref="AH75" ca="1">IF($C75=0,"",IF(AH$12&lt;&gt;$C$5,NA(),INDEX(auto_DataFlat_Score,INDEX(sys_DataFlat_LU_Grid,$C75,AH$11))))</f>
        <v>0</v>
      </c>
      <c r="AI75" cm="1">
        <f t="array" aca="1" ref="AI75" ca="1">IF($C75=0,"",IF(AI$12&lt;&gt;$C$5,NA(),INDEX(auto_DataFlat_Score,INDEX(sys_DataFlat_LU_Grid,$C75,AI$11))))</f>
        <v>0</v>
      </c>
      <c r="AJ75" cm="1">
        <f t="array" aca="1" ref="AJ75" ca="1">IF($C75=0,"",IF(AJ$12&lt;&gt;$C$5,NA(),INDEX(auto_DataFlat_Score,INDEX(sys_DataFlat_LU_Grid,$C75,AJ$11))))</f>
        <v>0</v>
      </c>
      <c r="AK75" cm="1">
        <f t="array" aca="1" ref="AK75" ca="1">IF($C75=0,"",IF(AK$12&lt;&gt;$C$5,NA(),INDEX(auto_DataFlat_Score,INDEX(sys_DataFlat_LU_Grid,$C75,AK$11))))</f>
        <v>0</v>
      </c>
      <c r="AL75" cm="1">
        <f t="array" aca="1" ref="AL75" ca="1">IF($C75=0,"",IF(AL$12&lt;&gt;$C$5,NA(),INDEX(auto_DataFlat_Score,INDEX(sys_DataFlat_LU_Grid,$C75,AL$11))))</f>
        <v>100</v>
      </c>
      <c r="AM75" cm="1">
        <f t="array" aca="1" ref="AM75" ca="1">IF($C75=0,"",IF(AM$12&lt;&gt;$C$5,NA(),INDEX(auto_DataFlat_Score,INDEX(sys_DataFlat_LU_Grid,$C75,AM$11))))</f>
        <v>0</v>
      </c>
      <c r="AN75" cm="1">
        <f t="array" aca="1" ref="AN75" ca="1">IF($C75=0,"",IF(AN$12&lt;&gt;$C$5,NA(),INDEX(auto_DataFlat_Score,INDEX(sys_DataFlat_LU_Grid,$C75,AN$11))))</f>
        <v>0</v>
      </c>
      <c r="AO75" cm="1">
        <f t="array" aca="1" ref="AO75" ca="1">IF($C75=0,"",IF(AO$12&lt;&gt;$C$5,NA(),INDEX(auto_DataFlat_Score,INDEX(sys_DataFlat_LU_Grid,$C75,AO$11))))</f>
        <v>100</v>
      </c>
      <c r="AP75" cm="1">
        <f t="array" aca="1" ref="AP75" ca="1">IF($C75=0,"",IF(AP$12&lt;&gt;$C$5,NA(),INDEX(auto_DataFlat_Score,INDEX(sys_DataFlat_LU_Grid,$C75,AP$11))))</f>
        <v>100</v>
      </c>
      <c r="AQ75" cm="1">
        <f t="array" aca="1" ref="AQ75" ca="1">IF($C75=0,"",IF(AQ$12&lt;&gt;$C$5,NA(),INDEX(auto_DataFlat_Score,INDEX(sys_DataFlat_LU_Grid,$C75,AQ$11))))</f>
        <v>0</v>
      </c>
      <c r="AR75" cm="1">
        <f t="array" aca="1" ref="AR75" ca="1">IF($C75=0,"",IF(AR$12&lt;&gt;$C$5,NA(),INDEX(auto_DataFlat_Score,INDEX(sys_DataFlat_LU_Grid,$C75,AR$11))))</f>
        <v>100</v>
      </c>
      <c r="AS75" cm="1">
        <f t="array" aca="1" ref="AS75" ca="1">IF($C75=0,"",IF(AS$12&lt;&gt;$C$5,NA(),INDEX(auto_DataFlat_Score,INDEX(sys_DataFlat_LU_Grid,$C75,AS$11))))</f>
        <v>100</v>
      </c>
      <c r="AT75" cm="1">
        <f t="array" aca="1" ref="AT75" ca="1">IF($C75=0,"",IF(AT$12&lt;&gt;$C$5,NA(),INDEX(auto_DataFlat_Score,INDEX(sys_DataFlat_LU_Grid,$C75,AT$11))))</f>
        <v>0</v>
      </c>
      <c r="AU75" cm="1">
        <f t="array" aca="1" ref="AU75" ca="1">IF($C75=0,"",IF(AU$12&lt;&gt;$C$5,NA(),INDEX(auto_DataFlat_Score,INDEX(sys_DataFlat_LU_Grid,$C75,AU$11))))</f>
        <v>100</v>
      </c>
      <c r="AV75" cm="1">
        <f t="array" aca="1" ref="AV75" ca="1">IF($C75=0,"",IF(AV$12&lt;&gt;$C$5,NA(),INDEX(auto_DataFlat_Score,INDEX(sys_DataFlat_LU_Grid,$C75,AV$11))))</f>
        <v>0</v>
      </c>
      <c r="AW75" cm="1">
        <f t="array" aca="1" ref="AW75" ca="1">IF($C75=0,"",IF(AW$12&lt;&gt;$C$5,NA(),INDEX(auto_DataFlat_Score,INDEX(sys_DataFlat_LU_Grid,$C75,AW$11))))</f>
        <v>100</v>
      </c>
      <c r="AX75" cm="1">
        <f t="array" aca="1" ref="AX75" ca="1">IF($C75=0,"",IF(AX$12&lt;&gt;$C$5,NA(),INDEX(auto_DataFlat_Score,INDEX(sys_DataFlat_LU_Grid,$C75,AX$11))))</f>
        <v>100</v>
      </c>
      <c r="AY75" cm="1">
        <f t="array" aca="1" ref="AY75" ca="1">IF($C75=0,"",IF(AY$12&lt;&gt;$C$5,NA(),INDEX(auto_DataFlat_Score,INDEX(sys_DataFlat_LU_Grid,$C75,AY$11))))</f>
        <v>100</v>
      </c>
      <c r="AZ75" cm="1">
        <f t="array" aca="1" ref="AZ75" ca="1">IF($C75=0,"",IF(AZ$12&lt;&gt;$C$5,NA(),INDEX(auto_DataFlat_Score,INDEX(sys_DataFlat_LU_Grid,$C75,AZ$11))))</f>
        <v>0</v>
      </c>
      <c r="BA75" cm="1">
        <f t="array" aca="1" ref="BA75" ca="1">IF($C75=0,"",IF(BA$12&lt;&gt;$C$5,NA(),INDEX(auto_DataFlat_Score,INDEX(sys_DataFlat_LU_Grid,$C75,BA$11))))</f>
        <v>0</v>
      </c>
      <c r="BB75" cm="1">
        <f t="array" aca="1" ref="BB75" ca="1">IF($C75=0,"",IF(BB$12&lt;&gt;$C$5,NA(),INDEX(auto_DataFlat_Score,INDEX(sys_DataFlat_LU_Grid,$C75,BB$11))))</f>
        <v>100</v>
      </c>
      <c r="BC75" cm="1">
        <f t="array" aca="1" ref="BC75" ca="1">IF($C75=0,"",IF(BC$12&lt;&gt;$C$5,NA(),INDEX(auto_DataFlat_Score,INDEX(sys_DataFlat_LU_Grid,$C75,BC$11))))</f>
        <v>100</v>
      </c>
      <c r="BD75" cm="1">
        <f t="array" aca="1" ref="BD75" ca="1">IF($C75=0,"",IF(BD$12&lt;&gt;$C$5,NA(),INDEX(auto_DataFlat_Score,INDEX(sys_DataFlat_LU_Grid,$C75,BD$11))))</f>
        <v>100</v>
      </c>
      <c r="BE75" cm="1">
        <f t="array" aca="1" ref="BE75" ca="1">IF($C75=0,"",IF(BE$12&lt;&gt;$C$5,NA(),INDEX(auto_DataFlat_Score,INDEX(sys_DataFlat_LU_Grid,$C75,BE$11))))</f>
        <v>100</v>
      </c>
      <c r="BF75" cm="1">
        <f t="array" aca="1" ref="BF75" ca="1">IF($C75=0,"",IF(BF$12&lt;&gt;$C$5,NA(),INDEX(auto_DataFlat_Score,INDEX(sys_DataFlat_LU_Grid,$C75,BF$11))))</f>
        <v>0</v>
      </c>
      <c r="BG75" cm="1">
        <f t="array" aca="1" ref="BG75" ca="1">IF($C75=0,"",IF(BG$12&lt;&gt;$C$5,NA(),INDEX(auto_DataFlat_Score,INDEX(sys_DataFlat_LU_Grid,$C75,BG$11))))</f>
        <v>0</v>
      </c>
      <c r="BH75" cm="1">
        <f t="array" aca="1" ref="BH75" ca="1">IF($C75=0,"",IF(BH$12&lt;&gt;$C$5,NA(),INDEX(auto_DataFlat_Score,INDEX(sys_DataFlat_LU_Grid,$C75,BH$11))))</f>
        <v>100</v>
      </c>
      <c r="BI75" cm="1">
        <f t="array" aca="1" ref="BI75" ca="1">IF($C75=0,"",IF(BI$12&lt;&gt;$C$5,NA(),INDEX(auto_DataFlat_Score,INDEX(sys_DataFlat_LU_Grid,$C75,BI$11))))</f>
        <v>100</v>
      </c>
      <c r="BJ75" cm="1">
        <f t="array" aca="1" ref="BJ75" ca="1">IF($C75=0,"",IF(BJ$12&lt;&gt;$C$5,NA(),INDEX(auto_DataFlat_Score,INDEX(sys_DataFlat_LU_Grid,$C75,BJ$11))))</f>
        <v>0</v>
      </c>
      <c r="BK75" cm="1">
        <f t="array" aca="1" ref="BK75" ca="1">IF($C75=0,"",IF(BK$12&lt;&gt;$C$5,NA(),INDEX(auto_DataFlat_Score,INDEX(sys_DataFlat_LU_Grid,$C75,BK$11))))</f>
        <v>100</v>
      </c>
      <c r="BL75" cm="1">
        <f t="array" aca="1" ref="BL75" ca="1">IF($C75=0,"",IF(BL$12&lt;&gt;$C$5,NA(),INDEX(auto_DataFlat_Score,INDEX(sys_DataFlat_LU_Grid,$C75,BL$11))))</f>
        <v>100</v>
      </c>
      <c r="BM75" cm="1">
        <f t="array" aca="1" ref="BM75" ca="1">IF($C75=0,"",IF(BM$12&lt;&gt;$C$5,NA(),INDEX(auto_DataFlat_Score,INDEX(sys_DataFlat_LU_Grid,$C75,BM$11))))</f>
        <v>0</v>
      </c>
      <c r="BO75">
        <f t="shared" ca="1" si="22"/>
        <v>0</v>
      </c>
      <c r="BP75">
        <f t="shared" ca="1" si="23"/>
        <v>100</v>
      </c>
      <c r="BQ75" cm="1">
        <f t="array" aca="1" ref="BQ75" ca="1">IF(C75=0,0,INDEX(sys_DataFlat_LU_Grid_Groups,$C75,BQ$12))</f>
        <v>3056</v>
      </c>
      <c r="BR75" cm="1">
        <f t="array" aca="1" ref="BR75" ca="1">IF(D75=0,0,INDEX(sys_DataFlat_LU_Grid_Groups,$C75,BR$12))</f>
        <v>3059</v>
      </c>
      <c r="BU75" cm="1">
        <f t="array" aca="1" ref="BU75" ca="1">INDEX(auto_DataFlat_Score,BQ75)</f>
        <v>50</v>
      </c>
      <c r="BV75" cm="1">
        <f t="array" aca="1" ref="BV75" ca="1">INDEX(auto_DataFlat_Score,BR75)</f>
        <v>54.5</v>
      </c>
      <c r="BW75">
        <f t="shared" ca="1" si="24"/>
        <v>52</v>
      </c>
    </row>
    <row r="76" spans="2:75" x14ac:dyDescent="0.4">
      <c r="B76">
        <v>23</v>
      </c>
      <c r="C76" cm="1">
        <f t="array" aca="1" ref="C76" ca="1">INDEX(OFFSET(auto_ss_depth_2,0,1,300,1),B76)</f>
        <v>53</v>
      </c>
      <c r="D76" cm="1">
        <f t="array" aca="1" ref="D76" ca="1">IF(C76=0,0,INDEX(sys_DataFlat_LU_Grid_Groups,$C76,D$40))</f>
        <v>3171</v>
      </c>
      <c r="E76" cm="1">
        <f t="array" aca="1" ref="E76" ca="1">IF(C76=0,0,INDEX(sys_DataFlat_LU_Grid_Groups,$C76,E$40))</f>
        <v>3171</v>
      </c>
      <c r="G76">
        <f t="shared" ca="1" si="13"/>
        <v>52</v>
      </c>
      <c r="H76" t="e" cm="1">
        <f t="array" ref="H76">IF($C$8=0,NA(),INDEX($P76:$BM76,$C$8))</f>
        <v>#N/A</v>
      </c>
      <c r="I76" cm="1">
        <f t="array" aca="1" ref="I76" ca="1">IF(C76=0,0,INDEX(sys_DataFlat_LU_Grid,$C76,$C$2))</f>
        <v>3121</v>
      </c>
      <c r="J76" t="str" cm="1">
        <f t="array" aca="1" ref="J76" ca="1">IF(C76=0,"-",INDEX(auto_Series_NameNoNumber,C76))</f>
        <v>Regulatory power</v>
      </c>
      <c r="K76" cm="1">
        <f t="array" aca="1" ref="K76" ca="1">IF(C76=0,"-",INDEX(K$94:K$162,$C76))</f>
        <v>100</v>
      </c>
      <c r="L76" t="str" cm="1">
        <f t="array" aca="1" ref="L76" ca="1">IF(C76=0,"-",INDEX(L$94:L$162,$C76))</f>
        <v>=1</v>
      </c>
      <c r="M76">
        <f t="shared" ca="1" si="21"/>
        <v>1.132843031197762</v>
      </c>
      <c r="N76" cm="1">
        <f t="array" aca="1" ref="N76" ca="1">IF(C76=0,"-",INDEX($N$94:$N$162,$C76))</f>
        <v>5</v>
      </c>
      <c r="O76" t="e" cm="1">
        <f t="array" aca="1" ref="O76" ca="1">IF(C76=0,"-",INDEX(#REF!,$C76))</f>
        <v>#REF!</v>
      </c>
      <c r="P76" cm="1">
        <f t="array" aca="1" ref="P76" ca="1">IF($C76=0,"",IF(P$12&lt;&gt;$C$5,NA(),INDEX(auto_DataFlat_Score,INDEX(sys_DataFlat_LU_Grid,$C76,P$11))))</f>
        <v>100</v>
      </c>
      <c r="Q76" cm="1">
        <f t="array" aca="1" ref="Q76" ca="1">IF($C76=0,"",IF(Q$12&lt;&gt;$C$5,NA(),INDEX(auto_DataFlat_Score,INDEX(sys_DataFlat_LU_Grid,$C76,Q$11))))</f>
        <v>0</v>
      </c>
      <c r="R76" cm="1">
        <f t="array" aca="1" ref="R76" ca="1">IF($C76=0,"",IF(R$12&lt;&gt;$C$5,NA(),INDEX(auto_DataFlat_Score,INDEX(sys_DataFlat_LU_Grid,$C76,R$11))))</f>
        <v>100</v>
      </c>
      <c r="S76" cm="1">
        <f t="array" aca="1" ref="S76" ca="1">IF($C76=0,"",IF(S$12&lt;&gt;$C$5,NA(),INDEX(auto_DataFlat_Score,INDEX(sys_DataFlat_LU_Grid,$C76,S$11))))</f>
        <v>0</v>
      </c>
      <c r="T76" cm="1">
        <f t="array" aca="1" ref="T76" ca="1">IF($C76=0,"",IF(T$12&lt;&gt;$C$5,NA(),INDEX(auto_DataFlat_Score,INDEX(sys_DataFlat_LU_Grid,$C76,T$11))))</f>
        <v>0</v>
      </c>
      <c r="U76" cm="1">
        <f t="array" aca="1" ref="U76" ca="1">IF($C76=0,"",IF(U$12&lt;&gt;$C$5,NA(),INDEX(auto_DataFlat_Score,INDEX(sys_DataFlat_LU_Grid,$C76,U$11))))</f>
        <v>100</v>
      </c>
      <c r="V76" cm="1">
        <f t="array" aca="1" ref="V76" ca="1">IF($C76=0,"",IF(V$12&lt;&gt;$C$5,NA(),INDEX(auto_DataFlat_Score,INDEX(sys_DataFlat_LU_Grid,$C76,V$11))))</f>
        <v>100</v>
      </c>
      <c r="W76" cm="1">
        <f t="array" aca="1" ref="W76" ca="1">IF($C76=0,"",IF(W$12&lt;&gt;$C$5,NA(),INDEX(auto_DataFlat_Score,INDEX(sys_DataFlat_LU_Grid,$C76,W$11))))</f>
        <v>100</v>
      </c>
      <c r="X76" cm="1">
        <f t="array" aca="1" ref="X76" ca="1">IF($C76=0,"",IF(X$12&lt;&gt;$C$5,NA(),INDEX(auto_DataFlat_Score,INDEX(sys_DataFlat_LU_Grid,$C76,X$11))))</f>
        <v>0</v>
      </c>
      <c r="Y76" cm="1">
        <f t="array" aca="1" ref="Y76" ca="1">IF($C76=0,"",IF(Y$12&lt;&gt;$C$5,NA(),INDEX(auto_DataFlat_Score,INDEX(sys_DataFlat_LU_Grid,$C76,Y$11))))</f>
        <v>0</v>
      </c>
      <c r="Z76" cm="1">
        <f t="array" aca="1" ref="Z76" ca="1">IF($C76=0,"",IF(Z$12&lt;&gt;$C$5,NA(),INDEX(auto_DataFlat_Score,INDEX(sys_DataFlat_LU_Grid,$C76,Z$11))))</f>
        <v>0</v>
      </c>
      <c r="AA76" cm="1">
        <f t="array" aca="1" ref="AA76" ca="1">IF($C76=0,"",IF(AA$12&lt;&gt;$C$5,NA(),INDEX(auto_DataFlat_Score,INDEX(sys_DataFlat_LU_Grid,$C76,AA$11))))</f>
        <v>0</v>
      </c>
      <c r="AB76" cm="1">
        <f t="array" aca="1" ref="AB76" ca="1">IF($C76=0,"",IF(AB$12&lt;&gt;$C$5,NA(),INDEX(auto_DataFlat_Score,INDEX(sys_DataFlat_LU_Grid,$C76,AB$11))))</f>
        <v>0</v>
      </c>
      <c r="AC76" cm="1">
        <f t="array" aca="1" ref="AC76" ca="1">IF($C76=0,"",IF(AC$12&lt;&gt;$C$5,NA(),INDEX(auto_DataFlat_Score,INDEX(sys_DataFlat_LU_Grid,$C76,AC$11))))</f>
        <v>100</v>
      </c>
      <c r="AD76" cm="1">
        <f t="array" aca="1" ref="AD76" ca="1">IF($C76=0,"",IF(AD$12&lt;&gt;$C$5,NA(),INDEX(auto_DataFlat_Score,INDEX(sys_DataFlat_LU_Grid,$C76,AD$11))))</f>
        <v>0</v>
      </c>
      <c r="AE76" cm="1">
        <f t="array" aca="1" ref="AE76" ca="1">IF($C76=0,"",IF(AE$12&lt;&gt;$C$5,NA(),INDEX(auto_DataFlat_Score,INDEX(sys_DataFlat_LU_Grid,$C76,AE$11))))</f>
        <v>100</v>
      </c>
      <c r="AF76" cm="1">
        <f t="array" aca="1" ref="AF76" ca="1">IF($C76=0,"",IF(AF$12&lt;&gt;$C$5,NA(),INDEX(auto_DataFlat_Score,INDEX(sys_DataFlat_LU_Grid,$C76,AF$11))))</f>
        <v>100</v>
      </c>
      <c r="AG76" cm="1">
        <f t="array" aca="1" ref="AG76" ca="1">IF($C76=0,"",IF(AG$12&lt;&gt;$C$5,NA(),INDEX(auto_DataFlat_Score,INDEX(sys_DataFlat_LU_Grid,$C76,AG$11))))</f>
        <v>0</v>
      </c>
      <c r="AH76" cm="1">
        <f t="array" aca="1" ref="AH76" ca="1">IF($C76=0,"",IF(AH$12&lt;&gt;$C$5,NA(),INDEX(auto_DataFlat_Score,INDEX(sys_DataFlat_LU_Grid,$C76,AH$11))))</f>
        <v>100</v>
      </c>
      <c r="AI76" cm="1">
        <f t="array" aca="1" ref="AI76" ca="1">IF($C76=0,"",IF(AI$12&lt;&gt;$C$5,NA(),INDEX(auto_DataFlat_Score,INDEX(sys_DataFlat_LU_Grid,$C76,AI$11))))</f>
        <v>0</v>
      </c>
      <c r="AJ76" cm="1">
        <f t="array" aca="1" ref="AJ76" ca="1">IF($C76=0,"",IF(AJ$12&lt;&gt;$C$5,NA(),INDEX(auto_DataFlat_Score,INDEX(sys_DataFlat_LU_Grid,$C76,AJ$11))))</f>
        <v>0</v>
      </c>
      <c r="AK76" cm="1">
        <f t="array" aca="1" ref="AK76" ca="1">IF($C76=0,"",IF(AK$12&lt;&gt;$C$5,NA(),INDEX(auto_DataFlat_Score,INDEX(sys_DataFlat_LU_Grid,$C76,AK$11))))</f>
        <v>100</v>
      </c>
      <c r="AL76" cm="1">
        <f t="array" aca="1" ref="AL76" ca="1">IF($C76=0,"",IF(AL$12&lt;&gt;$C$5,NA(),INDEX(auto_DataFlat_Score,INDEX(sys_DataFlat_LU_Grid,$C76,AL$11))))</f>
        <v>0</v>
      </c>
      <c r="AM76" cm="1">
        <f t="array" aca="1" ref="AM76" ca="1">IF($C76=0,"",IF(AM$12&lt;&gt;$C$5,NA(),INDEX(auto_DataFlat_Score,INDEX(sys_DataFlat_LU_Grid,$C76,AM$11))))</f>
        <v>0</v>
      </c>
      <c r="AN76" cm="1">
        <f t="array" aca="1" ref="AN76" ca="1">IF($C76=0,"",IF(AN$12&lt;&gt;$C$5,NA(),INDEX(auto_DataFlat_Score,INDEX(sys_DataFlat_LU_Grid,$C76,AN$11))))</f>
        <v>100</v>
      </c>
      <c r="AO76" cm="1">
        <f t="array" aca="1" ref="AO76" ca="1">IF($C76=0,"",IF(AO$12&lt;&gt;$C$5,NA(),INDEX(auto_DataFlat_Score,INDEX(sys_DataFlat_LU_Grid,$C76,AO$11))))</f>
        <v>100</v>
      </c>
      <c r="AP76" cm="1">
        <f t="array" aca="1" ref="AP76" ca="1">IF($C76=0,"",IF(AP$12&lt;&gt;$C$5,NA(),INDEX(auto_DataFlat_Score,INDEX(sys_DataFlat_LU_Grid,$C76,AP$11))))</f>
        <v>100</v>
      </c>
      <c r="AQ76" cm="1">
        <f t="array" aca="1" ref="AQ76" ca="1">IF($C76=0,"",IF(AQ$12&lt;&gt;$C$5,NA(),INDEX(auto_DataFlat_Score,INDEX(sys_DataFlat_LU_Grid,$C76,AQ$11))))</f>
        <v>100</v>
      </c>
      <c r="AR76" cm="1">
        <f t="array" aca="1" ref="AR76" ca="1">IF($C76=0,"",IF(AR$12&lt;&gt;$C$5,NA(),INDEX(auto_DataFlat_Score,INDEX(sys_DataFlat_LU_Grid,$C76,AR$11))))</f>
        <v>0</v>
      </c>
      <c r="AS76" cm="1">
        <f t="array" aca="1" ref="AS76" ca="1">IF($C76=0,"",IF(AS$12&lt;&gt;$C$5,NA(),INDEX(auto_DataFlat_Score,INDEX(sys_DataFlat_LU_Grid,$C76,AS$11))))</f>
        <v>0</v>
      </c>
      <c r="AT76" cm="1">
        <f t="array" aca="1" ref="AT76" ca="1">IF($C76=0,"",IF(AT$12&lt;&gt;$C$5,NA(),INDEX(auto_DataFlat_Score,INDEX(sys_DataFlat_LU_Grid,$C76,AT$11))))</f>
        <v>100</v>
      </c>
      <c r="AU76" cm="1">
        <f t="array" aca="1" ref="AU76" ca="1">IF($C76=0,"",IF(AU$12&lt;&gt;$C$5,NA(),INDEX(auto_DataFlat_Score,INDEX(sys_DataFlat_LU_Grid,$C76,AU$11))))</f>
        <v>0</v>
      </c>
      <c r="AV76" cm="1">
        <f t="array" aca="1" ref="AV76" ca="1">IF($C76=0,"",IF(AV$12&lt;&gt;$C$5,NA(),INDEX(auto_DataFlat_Score,INDEX(sys_DataFlat_LU_Grid,$C76,AV$11))))</f>
        <v>100</v>
      </c>
      <c r="AW76" cm="1">
        <f t="array" aca="1" ref="AW76" ca="1">IF($C76=0,"",IF(AW$12&lt;&gt;$C$5,NA(),INDEX(auto_DataFlat_Score,INDEX(sys_DataFlat_LU_Grid,$C76,AW$11))))</f>
        <v>100</v>
      </c>
      <c r="AX76" cm="1">
        <f t="array" aca="1" ref="AX76" ca="1">IF($C76=0,"",IF(AX$12&lt;&gt;$C$5,NA(),INDEX(auto_DataFlat_Score,INDEX(sys_DataFlat_LU_Grid,$C76,AX$11))))</f>
        <v>100</v>
      </c>
      <c r="AY76" cm="1">
        <f t="array" aca="1" ref="AY76" ca="1">IF($C76=0,"",IF(AY$12&lt;&gt;$C$5,NA(),INDEX(auto_DataFlat_Score,INDEX(sys_DataFlat_LU_Grid,$C76,AY$11))))</f>
        <v>100</v>
      </c>
      <c r="AZ76" cm="1">
        <f t="array" aca="1" ref="AZ76" ca="1">IF($C76=0,"",IF(AZ$12&lt;&gt;$C$5,NA(),INDEX(auto_DataFlat_Score,INDEX(sys_DataFlat_LU_Grid,$C76,AZ$11))))</f>
        <v>0</v>
      </c>
      <c r="BA76" cm="1">
        <f t="array" aca="1" ref="BA76" ca="1">IF($C76=0,"",IF(BA$12&lt;&gt;$C$5,NA(),INDEX(auto_DataFlat_Score,INDEX(sys_DataFlat_LU_Grid,$C76,BA$11))))</f>
        <v>0</v>
      </c>
      <c r="BB76" cm="1">
        <f t="array" aca="1" ref="BB76" ca="1">IF($C76=0,"",IF(BB$12&lt;&gt;$C$5,NA(),INDEX(auto_DataFlat_Score,INDEX(sys_DataFlat_LU_Grid,$C76,BB$11))))</f>
        <v>100</v>
      </c>
      <c r="BC76" cm="1">
        <f t="array" aca="1" ref="BC76" ca="1">IF($C76=0,"",IF(BC$12&lt;&gt;$C$5,NA(),INDEX(auto_DataFlat_Score,INDEX(sys_DataFlat_LU_Grid,$C76,BC$11))))</f>
        <v>100</v>
      </c>
      <c r="BD76" cm="1">
        <f t="array" aca="1" ref="BD76" ca="1">IF($C76=0,"",IF(BD$12&lt;&gt;$C$5,NA(),INDEX(auto_DataFlat_Score,INDEX(sys_DataFlat_LU_Grid,$C76,BD$11))))</f>
        <v>0</v>
      </c>
      <c r="BE76" cm="1">
        <f t="array" aca="1" ref="BE76" ca="1">IF($C76=0,"",IF(BE$12&lt;&gt;$C$5,NA(),INDEX(auto_DataFlat_Score,INDEX(sys_DataFlat_LU_Grid,$C76,BE$11))))</f>
        <v>100</v>
      </c>
      <c r="BF76" cm="1">
        <f t="array" aca="1" ref="BF76" ca="1">IF($C76=0,"",IF(BF$12&lt;&gt;$C$5,NA(),INDEX(auto_DataFlat_Score,INDEX(sys_DataFlat_LU_Grid,$C76,BF$11))))</f>
        <v>100</v>
      </c>
      <c r="BG76" cm="1">
        <f t="array" aca="1" ref="BG76" ca="1">IF($C76=0,"",IF(BG$12&lt;&gt;$C$5,NA(),INDEX(auto_DataFlat_Score,INDEX(sys_DataFlat_LU_Grid,$C76,BG$11))))</f>
        <v>0</v>
      </c>
      <c r="BH76" cm="1">
        <f t="array" aca="1" ref="BH76" ca="1">IF($C76=0,"",IF(BH$12&lt;&gt;$C$5,NA(),INDEX(auto_DataFlat_Score,INDEX(sys_DataFlat_LU_Grid,$C76,BH$11))))</f>
        <v>0</v>
      </c>
      <c r="BI76" cm="1">
        <f t="array" aca="1" ref="BI76" ca="1">IF($C76=0,"",IF(BI$12&lt;&gt;$C$5,NA(),INDEX(auto_DataFlat_Score,INDEX(sys_DataFlat_LU_Grid,$C76,BI$11))))</f>
        <v>100</v>
      </c>
      <c r="BJ76" cm="1">
        <f t="array" aca="1" ref="BJ76" ca="1">IF($C76=0,"",IF(BJ$12&lt;&gt;$C$5,NA(),INDEX(auto_DataFlat_Score,INDEX(sys_DataFlat_LU_Grid,$C76,BJ$11))))</f>
        <v>100</v>
      </c>
      <c r="BK76" cm="1">
        <f t="array" aca="1" ref="BK76" ca="1">IF($C76=0,"",IF(BK$12&lt;&gt;$C$5,NA(),INDEX(auto_DataFlat_Score,INDEX(sys_DataFlat_LU_Grid,$C76,BK$11))))</f>
        <v>100</v>
      </c>
      <c r="BL76" cm="1">
        <f t="array" aca="1" ref="BL76" ca="1">IF($C76=0,"",IF(BL$12&lt;&gt;$C$5,NA(),INDEX(auto_DataFlat_Score,INDEX(sys_DataFlat_LU_Grid,$C76,BL$11))))</f>
        <v>0</v>
      </c>
      <c r="BM76" cm="1">
        <f t="array" aca="1" ref="BM76" ca="1">IF($C76=0,"",IF(BM$12&lt;&gt;$C$5,NA(),INDEX(auto_DataFlat_Score,INDEX(sys_DataFlat_LU_Grid,$C76,BM$11))))</f>
        <v>0</v>
      </c>
      <c r="BO76">
        <f t="shared" ca="1" si="22"/>
        <v>0</v>
      </c>
      <c r="BP76">
        <f t="shared" ca="1" si="23"/>
        <v>100</v>
      </c>
      <c r="BQ76" cm="1">
        <f t="array" aca="1" ref="BQ76" ca="1">IF(C76=0,0,INDEX(sys_DataFlat_LU_Grid_Groups,$C76,BQ$12))</f>
        <v>3176</v>
      </c>
      <c r="BR76" cm="1">
        <f t="array" aca="1" ref="BR76" ca="1">IF(D76=0,0,INDEX(sys_DataFlat_LU_Grid_Groups,$C76,BR$12))</f>
        <v>3179</v>
      </c>
      <c r="BU76" cm="1">
        <f t="array" aca="1" ref="BU76" ca="1">INDEX(auto_DataFlat_Score,BQ76)</f>
        <v>20</v>
      </c>
      <c r="BV76" cm="1">
        <f t="array" aca="1" ref="BV76" ca="1">INDEX(auto_DataFlat_Score,BR76)</f>
        <v>45.5</v>
      </c>
      <c r="BW76">
        <f t="shared" ca="1" si="24"/>
        <v>52</v>
      </c>
    </row>
    <row r="77" spans="2:75" x14ac:dyDescent="0.4">
      <c r="B77">
        <v>24</v>
      </c>
      <c r="C77" cm="1">
        <f t="array" aca="1" ref="C77" ca="1">INDEX(OFFSET(auto_ss_depth_2,0,1,300,1),B77)</f>
        <v>54</v>
      </c>
      <c r="D77" cm="1">
        <f t="array" aca="1" ref="D77" ca="1">IF(C77=0,0,INDEX(sys_DataFlat_LU_Grid_Groups,$C77,D$40))</f>
        <v>3231</v>
      </c>
      <c r="E77" cm="1">
        <f t="array" aca="1" ref="E77" ca="1">IF(C77=0,0,INDEX(sys_DataFlat_LU_Grid_Groups,$C77,E$40))</f>
        <v>3231</v>
      </c>
      <c r="G77">
        <f t="shared" ref="G77:G82" ca="1" si="25">ROUND(AVERAGE(P77:BM77),1)</f>
        <v>88.7</v>
      </c>
      <c r="H77" t="e" cm="1">
        <f t="array" ref="H77">IF($C$8=0,NA(),INDEX($P77:$BM77,$C$8))</f>
        <v>#N/A</v>
      </c>
      <c r="I77" cm="1">
        <f t="array" aca="1" ref="I77" ca="1">IF(C77=0,0,INDEX(sys_DataFlat_LU_Grid,$C77,$C$2))</f>
        <v>3181</v>
      </c>
      <c r="J77" t="str" cm="1">
        <f t="array" aca="1" ref="J77" ca="1">IF(C77=0,"-",INDEX(auto_Series_NameNoNumber,C77))</f>
        <v>Political will</v>
      </c>
      <c r="K77" cm="1">
        <f t="array" aca="1" ref="K77" ca="1">IF(C77=0,"-",INDEX(K$94:K$162,$C77))</f>
        <v>100</v>
      </c>
      <c r="L77" t="str" cm="1">
        <f t="array" aca="1" ref="L77" ca="1">IF(C77=0,"-",INDEX(L$94:L$162,$C77))</f>
        <v>=1</v>
      </c>
      <c r="M77">
        <f t="shared" ref="M77:M82" ca="1" si="26">IF(C77=0,"-",STANDARDIZE(K77,AVERAGE(P77:AA77),STDEV((P77:AA77))))</f>
        <v>0.62300355653492734</v>
      </c>
      <c r="N77" cm="1">
        <f t="array" aca="1" ref="N77" ca="1">IF(C77=0,"-",INDEX($N$94:$N$162,$C77))</f>
        <v>5</v>
      </c>
      <c r="O77" t="e" cm="1">
        <f t="array" aca="1" ref="O77" ca="1">IF(C77=0,"-",INDEX(#REF!,$C77))</f>
        <v>#REF!</v>
      </c>
      <c r="P77" cm="1">
        <f t="array" aca="1" ref="P77" ca="1">IF($C77=0,"",IF(P$12&lt;&gt;$C$5,NA(),INDEX(auto_DataFlat_Score,INDEX(sys_DataFlat_LU_Grid,$C77,P$11))))</f>
        <v>100</v>
      </c>
      <c r="Q77" cm="1">
        <f t="array" aca="1" ref="Q77" ca="1">IF($C77=0,"",IF(Q$12&lt;&gt;$C$5,NA(),INDEX(auto_DataFlat_Score,INDEX(sys_DataFlat_LU_Grid,$C77,Q$11))))</f>
        <v>33.299999999999997</v>
      </c>
      <c r="R77" cm="1">
        <f t="array" aca="1" ref="R77" ca="1">IF($C77=0,"",IF(R$12&lt;&gt;$C$5,NA(),INDEX(auto_DataFlat_Score,INDEX(sys_DataFlat_LU_Grid,$C77,R$11))))</f>
        <v>100</v>
      </c>
      <c r="S77" cm="1">
        <f t="array" aca="1" ref="S77" ca="1">IF($C77=0,"",IF(S$12&lt;&gt;$C$5,NA(),INDEX(auto_DataFlat_Score,INDEX(sys_DataFlat_LU_Grid,$C77,S$11))))</f>
        <v>100</v>
      </c>
      <c r="T77" cm="1">
        <f t="array" aca="1" ref="T77" ca="1">IF($C77=0,"",IF(T$12&lt;&gt;$C$5,NA(),INDEX(auto_DataFlat_Score,INDEX(sys_DataFlat_LU_Grid,$C77,T$11))))</f>
        <v>100</v>
      </c>
      <c r="U77" cm="1">
        <f t="array" aca="1" ref="U77" ca="1">IF($C77=0,"",IF(U$12&lt;&gt;$C$5,NA(),INDEX(auto_DataFlat_Score,INDEX(sys_DataFlat_LU_Grid,$C77,U$11))))</f>
        <v>66.7</v>
      </c>
      <c r="V77" cm="1">
        <f t="array" aca="1" ref="V77" ca="1">IF($C77=0,"",IF(V$12&lt;&gt;$C$5,NA(),INDEX(auto_DataFlat_Score,INDEX(sys_DataFlat_LU_Grid,$C77,V$11))))</f>
        <v>100</v>
      </c>
      <c r="W77" cm="1">
        <f t="array" aca="1" ref="W77" ca="1">IF($C77=0,"",IF(W$12&lt;&gt;$C$5,NA(),INDEX(auto_DataFlat_Score,INDEX(sys_DataFlat_LU_Grid,$C77,W$11))))</f>
        <v>100</v>
      </c>
      <c r="X77" cm="1">
        <f t="array" aca="1" ref="X77" ca="1">IF($C77=0,"",IF(X$12&lt;&gt;$C$5,NA(),INDEX(auto_DataFlat_Score,INDEX(sys_DataFlat_LU_Grid,$C77,X$11))))</f>
        <v>100</v>
      </c>
      <c r="Y77" cm="1">
        <f t="array" aca="1" ref="Y77" ca="1">IF($C77=0,"",IF(Y$12&lt;&gt;$C$5,NA(),INDEX(auto_DataFlat_Score,INDEX(sys_DataFlat_LU_Grid,$C77,Y$11))))</f>
        <v>100</v>
      </c>
      <c r="Z77" cm="1">
        <f t="array" aca="1" ref="Z77" ca="1">IF($C77=0,"",IF(Z$12&lt;&gt;$C$5,NA(),INDEX(auto_DataFlat_Score,INDEX(sys_DataFlat_LU_Grid,$C77,Z$11))))</f>
        <v>66.7</v>
      </c>
      <c r="AA77" cm="1">
        <f t="array" aca="1" ref="AA77" ca="1">IF($C77=0,"",IF(AA$12&lt;&gt;$C$5,NA(),INDEX(auto_DataFlat_Score,INDEX(sys_DataFlat_LU_Grid,$C77,AA$11))))</f>
        <v>66.7</v>
      </c>
      <c r="AB77" cm="1">
        <f t="array" aca="1" ref="AB77" ca="1">IF($C77=0,"",IF(AB$12&lt;&gt;$C$5,NA(),INDEX(auto_DataFlat_Score,INDEX(sys_DataFlat_LU_Grid,$C77,AB$11))))</f>
        <v>66.7</v>
      </c>
      <c r="AC77" cm="1">
        <f t="array" aca="1" ref="AC77" ca="1">IF($C77=0,"",IF(AC$12&lt;&gt;$C$5,NA(),INDEX(auto_DataFlat_Score,INDEX(sys_DataFlat_LU_Grid,$C77,AC$11))))</f>
        <v>100</v>
      </c>
      <c r="AD77" cm="1">
        <f t="array" aca="1" ref="AD77" ca="1">IF($C77=0,"",IF(AD$12&lt;&gt;$C$5,NA(),INDEX(auto_DataFlat_Score,INDEX(sys_DataFlat_LU_Grid,$C77,AD$11))))</f>
        <v>100</v>
      </c>
      <c r="AE77" cm="1">
        <f t="array" aca="1" ref="AE77" ca="1">IF($C77=0,"",IF(AE$12&lt;&gt;$C$5,NA(),INDEX(auto_DataFlat_Score,INDEX(sys_DataFlat_LU_Grid,$C77,AE$11))))</f>
        <v>100</v>
      </c>
      <c r="AF77" cm="1">
        <f t="array" aca="1" ref="AF77" ca="1">IF($C77=0,"",IF(AF$12&lt;&gt;$C$5,NA(),INDEX(auto_DataFlat_Score,INDEX(sys_DataFlat_LU_Grid,$C77,AF$11))))</f>
        <v>100</v>
      </c>
      <c r="AG77" cm="1">
        <f t="array" aca="1" ref="AG77" ca="1">IF($C77=0,"",IF(AG$12&lt;&gt;$C$5,NA(),INDEX(auto_DataFlat_Score,INDEX(sys_DataFlat_LU_Grid,$C77,AG$11))))</f>
        <v>66.7</v>
      </c>
      <c r="AH77" cm="1">
        <f t="array" aca="1" ref="AH77" ca="1">IF($C77=0,"",IF(AH$12&lt;&gt;$C$5,NA(),INDEX(auto_DataFlat_Score,INDEX(sys_DataFlat_LU_Grid,$C77,AH$11))))</f>
        <v>100</v>
      </c>
      <c r="AI77" cm="1">
        <f t="array" aca="1" ref="AI77" ca="1">IF($C77=0,"",IF(AI$12&lt;&gt;$C$5,NA(),INDEX(auto_DataFlat_Score,INDEX(sys_DataFlat_LU_Grid,$C77,AI$11))))</f>
        <v>100</v>
      </c>
      <c r="AJ77" cm="1">
        <f t="array" aca="1" ref="AJ77" ca="1">IF($C77=0,"",IF(AJ$12&lt;&gt;$C$5,NA(),INDEX(auto_DataFlat_Score,INDEX(sys_DataFlat_LU_Grid,$C77,AJ$11))))</f>
        <v>66.7</v>
      </c>
      <c r="AK77" cm="1">
        <f t="array" aca="1" ref="AK77" ca="1">IF($C77=0,"",IF(AK$12&lt;&gt;$C$5,NA(),INDEX(auto_DataFlat_Score,INDEX(sys_DataFlat_LU_Grid,$C77,AK$11))))</f>
        <v>100</v>
      </c>
      <c r="AL77" cm="1">
        <f t="array" aca="1" ref="AL77" ca="1">IF($C77=0,"",IF(AL$12&lt;&gt;$C$5,NA(),INDEX(auto_DataFlat_Score,INDEX(sys_DataFlat_LU_Grid,$C77,AL$11))))</f>
        <v>100</v>
      </c>
      <c r="AM77" cm="1">
        <f t="array" aca="1" ref="AM77" ca="1">IF($C77=0,"",IF(AM$12&lt;&gt;$C$5,NA(),INDEX(auto_DataFlat_Score,INDEX(sys_DataFlat_LU_Grid,$C77,AM$11))))</f>
        <v>66.7</v>
      </c>
      <c r="AN77" cm="1">
        <f t="array" aca="1" ref="AN77" ca="1">IF($C77=0,"",IF(AN$12&lt;&gt;$C$5,NA(),INDEX(auto_DataFlat_Score,INDEX(sys_DataFlat_LU_Grid,$C77,AN$11))))</f>
        <v>100</v>
      </c>
      <c r="AO77" cm="1">
        <f t="array" aca="1" ref="AO77" ca="1">IF($C77=0,"",IF(AO$12&lt;&gt;$C$5,NA(),INDEX(auto_DataFlat_Score,INDEX(sys_DataFlat_LU_Grid,$C77,AO$11))))</f>
        <v>100</v>
      </c>
      <c r="AP77" cm="1">
        <f t="array" aca="1" ref="AP77" ca="1">IF($C77=0,"",IF(AP$12&lt;&gt;$C$5,NA(),INDEX(auto_DataFlat_Score,INDEX(sys_DataFlat_LU_Grid,$C77,AP$11))))</f>
        <v>100</v>
      </c>
      <c r="AQ77" cm="1">
        <f t="array" aca="1" ref="AQ77" ca="1">IF($C77=0,"",IF(AQ$12&lt;&gt;$C$5,NA(),INDEX(auto_DataFlat_Score,INDEX(sys_DataFlat_LU_Grid,$C77,AQ$11))))</f>
        <v>66.7</v>
      </c>
      <c r="AR77" cm="1">
        <f t="array" aca="1" ref="AR77" ca="1">IF($C77=0,"",IF(AR$12&lt;&gt;$C$5,NA(),INDEX(auto_DataFlat_Score,INDEX(sys_DataFlat_LU_Grid,$C77,AR$11))))</f>
        <v>100</v>
      </c>
      <c r="AS77" cm="1">
        <f t="array" aca="1" ref="AS77" ca="1">IF($C77=0,"",IF(AS$12&lt;&gt;$C$5,NA(),INDEX(auto_DataFlat_Score,INDEX(sys_DataFlat_LU_Grid,$C77,AS$11))))</f>
        <v>100</v>
      </c>
      <c r="AT77" cm="1">
        <f t="array" aca="1" ref="AT77" ca="1">IF($C77=0,"",IF(AT$12&lt;&gt;$C$5,NA(),INDEX(auto_DataFlat_Score,INDEX(sys_DataFlat_LU_Grid,$C77,AT$11))))</f>
        <v>66.7</v>
      </c>
      <c r="AU77" cm="1">
        <f t="array" aca="1" ref="AU77" ca="1">IF($C77=0,"",IF(AU$12&lt;&gt;$C$5,NA(),INDEX(auto_DataFlat_Score,INDEX(sys_DataFlat_LU_Grid,$C77,AU$11))))</f>
        <v>66.7</v>
      </c>
      <c r="AV77" cm="1">
        <f t="array" aca="1" ref="AV77" ca="1">IF($C77=0,"",IF(AV$12&lt;&gt;$C$5,NA(),INDEX(auto_DataFlat_Score,INDEX(sys_DataFlat_LU_Grid,$C77,AV$11))))</f>
        <v>100</v>
      </c>
      <c r="AW77" cm="1">
        <f t="array" aca="1" ref="AW77" ca="1">IF($C77=0,"",IF(AW$12&lt;&gt;$C$5,NA(),INDEX(auto_DataFlat_Score,INDEX(sys_DataFlat_LU_Grid,$C77,AW$11))))</f>
        <v>100</v>
      </c>
      <c r="AX77" cm="1">
        <f t="array" aca="1" ref="AX77" ca="1">IF($C77=0,"",IF(AX$12&lt;&gt;$C$5,NA(),INDEX(auto_DataFlat_Score,INDEX(sys_DataFlat_LU_Grid,$C77,AX$11))))</f>
        <v>100</v>
      </c>
      <c r="AY77" cm="1">
        <f t="array" aca="1" ref="AY77" ca="1">IF($C77=0,"",IF(AY$12&lt;&gt;$C$5,NA(),INDEX(auto_DataFlat_Score,INDEX(sys_DataFlat_LU_Grid,$C77,AY$11))))</f>
        <v>100</v>
      </c>
      <c r="AZ77" cm="1">
        <f t="array" aca="1" ref="AZ77" ca="1">IF($C77=0,"",IF(AZ$12&lt;&gt;$C$5,NA(),INDEX(auto_DataFlat_Score,INDEX(sys_DataFlat_LU_Grid,$C77,AZ$11))))</f>
        <v>100</v>
      </c>
      <c r="BA77" cm="1">
        <f t="array" aca="1" ref="BA77" ca="1">IF($C77=0,"",IF(BA$12&lt;&gt;$C$5,NA(),INDEX(auto_DataFlat_Score,INDEX(sys_DataFlat_LU_Grid,$C77,BA$11))))</f>
        <v>33.299999999999997</v>
      </c>
      <c r="BB77" cm="1">
        <f t="array" aca="1" ref="BB77" ca="1">IF($C77=0,"",IF(BB$12&lt;&gt;$C$5,NA(),INDEX(auto_DataFlat_Score,INDEX(sys_DataFlat_LU_Grid,$C77,BB$11))))</f>
        <v>66.7</v>
      </c>
      <c r="BC77" cm="1">
        <f t="array" aca="1" ref="BC77" ca="1">IF($C77=0,"",IF(BC$12&lt;&gt;$C$5,NA(),INDEX(auto_DataFlat_Score,INDEX(sys_DataFlat_LU_Grid,$C77,BC$11))))</f>
        <v>100</v>
      </c>
      <c r="BD77" cm="1">
        <f t="array" aca="1" ref="BD77" ca="1">IF($C77=0,"",IF(BD$12&lt;&gt;$C$5,NA(),INDEX(auto_DataFlat_Score,INDEX(sys_DataFlat_LU_Grid,$C77,BD$11))))</f>
        <v>100</v>
      </c>
      <c r="BE77" cm="1">
        <f t="array" aca="1" ref="BE77" ca="1">IF($C77=0,"",IF(BE$12&lt;&gt;$C$5,NA(),INDEX(auto_DataFlat_Score,INDEX(sys_DataFlat_LU_Grid,$C77,BE$11))))</f>
        <v>100</v>
      </c>
      <c r="BF77" cm="1">
        <f t="array" aca="1" ref="BF77" ca="1">IF($C77=0,"",IF(BF$12&lt;&gt;$C$5,NA(),INDEX(auto_DataFlat_Score,INDEX(sys_DataFlat_LU_Grid,$C77,BF$11))))</f>
        <v>100</v>
      </c>
      <c r="BG77" cm="1">
        <f t="array" aca="1" ref="BG77" ca="1">IF($C77=0,"",IF(BG$12&lt;&gt;$C$5,NA(),INDEX(auto_DataFlat_Score,INDEX(sys_DataFlat_LU_Grid,$C77,BG$11))))</f>
        <v>100</v>
      </c>
      <c r="BH77" cm="1">
        <f t="array" aca="1" ref="BH77" ca="1">IF($C77=0,"",IF(BH$12&lt;&gt;$C$5,NA(),INDEX(auto_DataFlat_Score,INDEX(sys_DataFlat_LU_Grid,$C77,BH$11))))</f>
        <v>66.7</v>
      </c>
      <c r="BI77" cm="1">
        <f t="array" aca="1" ref="BI77" ca="1">IF($C77=0,"",IF(BI$12&lt;&gt;$C$5,NA(),INDEX(auto_DataFlat_Score,INDEX(sys_DataFlat_LU_Grid,$C77,BI$11))))</f>
        <v>100</v>
      </c>
      <c r="BJ77" cm="1">
        <f t="array" aca="1" ref="BJ77" ca="1">IF($C77=0,"",IF(BJ$12&lt;&gt;$C$5,NA(),INDEX(auto_DataFlat_Score,INDEX(sys_DataFlat_LU_Grid,$C77,BJ$11))))</f>
        <v>100</v>
      </c>
      <c r="BK77" cm="1">
        <f t="array" aca="1" ref="BK77" ca="1">IF($C77=0,"",IF(BK$12&lt;&gt;$C$5,NA(),INDEX(auto_DataFlat_Score,INDEX(sys_DataFlat_LU_Grid,$C77,BK$11))))</f>
        <v>100</v>
      </c>
      <c r="BL77" cm="1">
        <f t="array" aca="1" ref="BL77" ca="1">IF($C77=0,"",IF(BL$12&lt;&gt;$C$5,NA(),INDEX(auto_DataFlat_Score,INDEX(sys_DataFlat_LU_Grid,$C77,BL$11))))</f>
        <v>100</v>
      </c>
      <c r="BM77" cm="1">
        <f t="array" aca="1" ref="BM77" ca="1">IF($C77=0,"",IF(BM$12&lt;&gt;$C$5,NA(),INDEX(auto_DataFlat_Score,INDEX(sys_DataFlat_LU_Grid,$C77,BM$11))))</f>
        <v>66.7</v>
      </c>
      <c r="BO77">
        <f t="shared" ca="1" si="22"/>
        <v>33.299999999999997</v>
      </c>
      <c r="BP77">
        <f t="shared" ca="1" si="23"/>
        <v>100</v>
      </c>
      <c r="BQ77" cm="1">
        <f t="array" aca="1" ref="BQ77" ca="1">IF(C77=0,0,INDEX(sys_DataFlat_LU_Grid_Groups,$C77,BQ$12))</f>
        <v>3236</v>
      </c>
      <c r="BR77" cm="1">
        <f t="array" aca="1" ref="BR77" ca="1">IF(D77=0,0,INDEX(sys_DataFlat_LU_Grid_Groups,$C77,BR$12))</f>
        <v>3239</v>
      </c>
      <c r="BU77" cm="1">
        <f t="array" aca="1" ref="BU77" ca="1">INDEX(auto_DataFlat_Score,BQ77)</f>
        <v>80</v>
      </c>
      <c r="BV77" cm="1">
        <f t="array" aca="1" ref="BV77" ca="1">INDEX(auto_DataFlat_Score,BR77)</f>
        <v>90.9</v>
      </c>
      <c r="BW77">
        <f t="shared" ca="1" si="24"/>
        <v>88.7</v>
      </c>
    </row>
    <row r="78" spans="2:75" x14ac:dyDescent="0.4">
      <c r="B78">
        <v>25</v>
      </c>
      <c r="C78" cm="1">
        <f t="array" aca="1" ref="C78" ca="1">INDEX(OFFSET(auto_ss_depth_2,0,1,300,1),B78)</f>
        <v>55</v>
      </c>
      <c r="D78" cm="1">
        <f t="array" aca="1" ref="D78" ca="1">IF(C78=0,0,INDEX(sys_DataFlat_LU_Grid_Groups,$C78,D$40))</f>
        <v>3291</v>
      </c>
      <c r="E78" cm="1">
        <f t="array" aca="1" ref="E78" ca="1">IF(C78=0,0,INDEX(sys_DataFlat_LU_Grid_Groups,$C78,E$40))</f>
        <v>3291</v>
      </c>
      <c r="G78">
        <f t="shared" ca="1" si="25"/>
        <v>60.7</v>
      </c>
      <c r="H78" t="e" cm="1">
        <f t="array" ref="H78">IF($C$8=0,NA(),INDEX($P78:$BM78,$C$8))</f>
        <v>#N/A</v>
      </c>
      <c r="I78" cm="1">
        <f t="array" aca="1" ref="I78" ca="1">IF(C78=0,0,INDEX(sys_DataFlat_LU_Grid,$C78,$C$2))</f>
        <v>3241</v>
      </c>
      <c r="J78" t="str" cm="1">
        <f t="array" aca="1" ref="J78" ca="1">IF(C78=0,"-",INDEX(auto_Series_NameNoNumber,C78))</f>
        <v>Urban health plan</v>
      </c>
      <c r="K78" cm="1">
        <f t="array" aca="1" ref="K78" ca="1">IF(C78=0,"-",INDEX(K$94:K$162,$C78))</f>
        <v>66.7</v>
      </c>
      <c r="L78" t="str" cm="1">
        <f t="array" aca="1" ref="L78" ca="1">IF(C78=0,"-",INDEX(L$94:L$162,$C78))</f>
        <v>=28</v>
      </c>
      <c r="M78">
        <f t="shared" ca="1" si="26"/>
        <v>0.40396163085624748</v>
      </c>
      <c r="N78" cm="1">
        <f t="array" aca="1" ref="N78" ca="1">IF(C78=0,"-",INDEX($N$94:$N$162,$C78))</f>
        <v>4</v>
      </c>
      <c r="O78" t="e" cm="1">
        <f t="array" aca="1" ref="O78" ca="1">IF(C78=0,"-",INDEX(#REF!,$C78))</f>
        <v>#REF!</v>
      </c>
      <c r="P78" cm="1">
        <f t="array" aca="1" ref="P78" ca="1">IF($C78=0,"",IF(P$12&lt;&gt;$C$5,NA(),INDEX(auto_DataFlat_Score,INDEX(sys_DataFlat_LU_Grid,$C78,P$11))))</f>
        <v>66.7</v>
      </c>
      <c r="Q78" cm="1">
        <f t="array" aca="1" ref="Q78" ca="1">IF($C78=0,"",IF(Q$12&lt;&gt;$C$5,NA(),INDEX(auto_DataFlat_Score,INDEX(sys_DataFlat_LU_Grid,$C78,Q$11))))</f>
        <v>16.7</v>
      </c>
      <c r="R78" cm="1">
        <f t="array" aca="1" ref="R78" ca="1">IF($C78=0,"",IF(R$12&lt;&gt;$C$5,NA(),INDEX(auto_DataFlat_Score,INDEX(sys_DataFlat_LU_Grid,$C78,R$11))))</f>
        <v>0</v>
      </c>
      <c r="S78" cm="1">
        <f t="array" aca="1" ref="S78" ca="1">IF($C78=0,"",IF(S$12&lt;&gt;$C$5,NA(),INDEX(auto_DataFlat_Score,INDEX(sys_DataFlat_LU_Grid,$C78,S$11))))</f>
        <v>66.7</v>
      </c>
      <c r="T78" cm="1">
        <f t="array" aca="1" ref="T78" ca="1">IF($C78=0,"",IF(T$12&lt;&gt;$C$5,NA(),INDEX(auto_DataFlat_Score,INDEX(sys_DataFlat_LU_Grid,$C78,T$11))))</f>
        <v>83.3</v>
      </c>
      <c r="U78" cm="1">
        <f t="array" aca="1" ref="U78" ca="1">IF($C78=0,"",IF(U$12&lt;&gt;$C$5,NA(),INDEX(auto_DataFlat_Score,INDEX(sys_DataFlat_LU_Grid,$C78,U$11))))</f>
        <v>83.3</v>
      </c>
      <c r="V78" cm="1">
        <f t="array" aca="1" ref="V78" ca="1">IF($C78=0,"",IF(V$12&lt;&gt;$C$5,NA(),INDEX(auto_DataFlat_Score,INDEX(sys_DataFlat_LU_Grid,$C78,V$11))))</f>
        <v>100</v>
      </c>
      <c r="W78" cm="1">
        <f t="array" aca="1" ref="W78" ca="1">IF($C78=0,"",IF(W$12&lt;&gt;$C$5,NA(),INDEX(auto_DataFlat_Score,INDEX(sys_DataFlat_LU_Grid,$C78,W$11))))</f>
        <v>83.3</v>
      </c>
      <c r="X78" cm="1">
        <f t="array" aca="1" ref="X78" ca="1">IF($C78=0,"",IF(X$12&lt;&gt;$C$5,NA(),INDEX(auto_DataFlat_Score,INDEX(sys_DataFlat_LU_Grid,$C78,X$11))))</f>
        <v>0</v>
      </c>
      <c r="Y78" cm="1">
        <f t="array" aca="1" ref="Y78" ca="1">IF($C78=0,"",IF(Y$12&lt;&gt;$C$5,NA(),INDEX(auto_DataFlat_Score,INDEX(sys_DataFlat_LU_Grid,$C78,Y$11))))</f>
        <v>16.7</v>
      </c>
      <c r="Z78" cm="1">
        <f t="array" aca="1" ref="Z78" ca="1">IF($C78=0,"",IF(Z$12&lt;&gt;$C$5,NA(),INDEX(auto_DataFlat_Score,INDEX(sys_DataFlat_LU_Grid,$C78,Z$11))))</f>
        <v>16.7</v>
      </c>
      <c r="AA78" cm="1">
        <f t="array" aca="1" ref="AA78" ca="1">IF($C78=0,"",IF(AA$12&lt;&gt;$C$5,NA(),INDEX(auto_DataFlat_Score,INDEX(sys_DataFlat_LU_Grid,$C78,AA$11))))</f>
        <v>83.3</v>
      </c>
      <c r="AB78" cm="1">
        <f t="array" aca="1" ref="AB78" ca="1">IF($C78=0,"",IF(AB$12&lt;&gt;$C$5,NA(),INDEX(auto_DataFlat_Score,INDEX(sys_DataFlat_LU_Grid,$C78,AB$11))))</f>
        <v>33.299999999999997</v>
      </c>
      <c r="AC78" cm="1">
        <f t="array" aca="1" ref="AC78" ca="1">IF($C78=0,"",IF(AC$12&lt;&gt;$C$5,NA(),INDEX(auto_DataFlat_Score,INDEX(sys_DataFlat_LU_Grid,$C78,AC$11))))</f>
        <v>83.3</v>
      </c>
      <c r="AD78" cm="1">
        <f t="array" aca="1" ref="AD78" ca="1">IF($C78=0,"",IF(AD$12&lt;&gt;$C$5,NA(),INDEX(auto_DataFlat_Score,INDEX(sys_DataFlat_LU_Grid,$C78,AD$11))))</f>
        <v>66.7</v>
      </c>
      <c r="AE78" cm="1">
        <f t="array" aca="1" ref="AE78" ca="1">IF($C78=0,"",IF(AE$12&lt;&gt;$C$5,NA(),INDEX(auto_DataFlat_Score,INDEX(sys_DataFlat_LU_Grid,$C78,AE$11))))</f>
        <v>100</v>
      </c>
      <c r="AF78" cm="1">
        <f t="array" aca="1" ref="AF78" ca="1">IF($C78=0,"",IF(AF$12&lt;&gt;$C$5,NA(),INDEX(auto_DataFlat_Score,INDEX(sys_DataFlat_LU_Grid,$C78,AF$11))))</f>
        <v>100</v>
      </c>
      <c r="AG78" cm="1">
        <f t="array" aca="1" ref="AG78" ca="1">IF($C78=0,"",IF(AG$12&lt;&gt;$C$5,NA(),INDEX(auto_DataFlat_Score,INDEX(sys_DataFlat_LU_Grid,$C78,AG$11))))</f>
        <v>16.7</v>
      </c>
      <c r="AH78" cm="1">
        <f t="array" aca="1" ref="AH78" ca="1">IF($C78=0,"",IF(AH$12&lt;&gt;$C$5,NA(),INDEX(auto_DataFlat_Score,INDEX(sys_DataFlat_LU_Grid,$C78,AH$11))))</f>
        <v>100</v>
      </c>
      <c r="AI78" cm="1">
        <f t="array" aca="1" ref="AI78" ca="1">IF($C78=0,"",IF(AI$12&lt;&gt;$C$5,NA(),INDEX(auto_DataFlat_Score,INDEX(sys_DataFlat_LU_Grid,$C78,AI$11))))</f>
        <v>16.7</v>
      </c>
      <c r="AJ78" cm="1">
        <f t="array" aca="1" ref="AJ78" ca="1">IF($C78=0,"",IF(AJ$12&lt;&gt;$C$5,NA(),INDEX(auto_DataFlat_Score,INDEX(sys_DataFlat_LU_Grid,$C78,AJ$11))))</f>
        <v>83.3</v>
      </c>
      <c r="AK78" cm="1">
        <f t="array" aca="1" ref="AK78" ca="1">IF($C78=0,"",IF(AK$12&lt;&gt;$C$5,NA(),INDEX(auto_DataFlat_Score,INDEX(sys_DataFlat_LU_Grid,$C78,AK$11))))</f>
        <v>0</v>
      </c>
      <c r="AL78" cm="1">
        <f t="array" aca="1" ref="AL78" ca="1">IF($C78=0,"",IF(AL$12&lt;&gt;$C$5,NA(),INDEX(auto_DataFlat_Score,INDEX(sys_DataFlat_LU_Grid,$C78,AL$11))))</f>
        <v>83.3</v>
      </c>
      <c r="AM78" cm="1">
        <f t="array" aca="1" ref="AM78" ca="1">IF($C78=0,"",IF(AM$12&lt;&gt;$C$5,NA(),INDEX(auto_DataFlat_Score,INDEX(sys_DataFlat_LU_Grid,$C78,AM$11))))</f>
        <v>83.3</v>
      </c>
      <c r="AN78" cm="1">
        <f t="array" aca="1" ref="AN78" ca="1">IF($C78=0,"",IF(AN$12&lt;&gt;$C$5,NA(),INDEX(auto_DataFlat_Score,INDEX(sys_DataFlat_LU_Grid,$C78,AN$11))))</f>
        <v>16.7</v>
      </c>
      <c r="AO78" cm="1">
        <f t="array" aca="1" ref="AO78" ca="1">IF($C78=0,"",IF(AO$12&lt;&gt;$C$5,NA(),INDEX(auto_DataFlat_Score,INDEX(sys_DataFlat_LU_Grid,$C78,AO$11))))</f>
        <v>66.7</v>
      </c>
      <c r="AP78" cm="1">
        <f t="array" aca="1" ref="AP78" ca="1">IF($C78=0,"",IF(AP$12&lt;&gt;$C$5,NA(),INDEX(auto_DataFlat_Score,INDEX(sys_DataFlat_LU_Grid,$C78,AP$11))))</f>
        <v>33.299999999999997</v>
      </c>
      <c r="AQ78" cm="1">
        <f t="array" aca="1" ref="AQ78" ca="1">IF($C78=0,"",IF(AQ$12&lt;&gt;$C$5,NA(),INDEX(auto_DataFlat_Score,INDEX(sys_DataFlat_LU_Grid,$C78,AQ$11))))</f>
        <v>0</v>
      </c>
      <c r="AR78" cm="1">
        <f t="array" aca="1" ref="AR78" ca="1">IF($C78=0,"",IF(AR$12&lt;&gt;$C$5,NA(),INDEX(auto_DataFlat_Score,INDEX(sys_DataFlat_LU_Grid,$C78,AR$11))))</f>
        <v>83.3</v>
      </c>
      <c r="AS78" cm="1">
        <f t="array" aca="1" ref="AS78" ca="1">IF($C78=0,"",IF(AS$12&lt;&gt;$C$5,NA(),INDEX(auto_DataFlat_Score,INDEX(sys_DataFlat_LU_Grid,$C78,AS$11))))</f>
        <v>0</v>
      </c>
      <c r="AT78" cm="1">
        <f t="array" aca="1" ref="AT78" ca="1">IF($C78=0,"",IF(AT$12&lt;&gt;$C$5,NA(),INDEX(auto_DataFlat_Score,INDEX(sys_DataFlat_LU_Grid,$C78,AT$11))))</f>
        <v>33.299999999999997</v>
      </c>
      <c r="AU78" cm="1">
        <f t="array" aca="1" ref="AU78" ca="1">IF($C78=0,"",IF(AU$12&lt;&gt;$C$5,NA(),INDEX(auto_DataFlat_Score,INDEX(sys_DataFlat_LU_Grid,$C78,AU$11))))</f>
        <v>100</v>
      </c>
      <c r="AV78" cm="1">
        <f t="array" aca="1" ref="AV78" ca="1">IF($C78=0,"",IF(AV$12&lt;&gt;$C$5,NA(),INDEX(auto_DataFlat_Score,INDEX(sys_DataFlat_LU_Grid,$C78,AV$11))))</f>
        <v>100</v>
      </c>
      <c r="AW78" cm="1">
        <f t="array" aca="1" ref="AW78" ca="1">IF($C78=0,"",IF(AW$12&lt;&gt;$C$5,NA(),INDEX(auto_DataFlat_Score,INDEX(sys_DataFlat_LU_Grid,$C78,AW$11))))</f>
        <v>83.3</v>
      </c>
      <c r="AX78" cm="1">
        <f t="array" aca="1" ref="AX78" ca="1">IF($C78=0,"",IF(AX$12&lt;&gt;$C$5,NA(),INDEX(auto_DataFlat_Score,INDEX(sys_DataFlat_LU_Grid,$C78,AX$11))))</f>
        <v>100</v>
      </c>
      <c r="AY78" cm="1">
        <f t="array" aca="1" ref="AY78" ca="1">IF($C78=0,"",IF(AY$12&lt;&gt;$C$5,NA(),INDEX(auto_DataFlat_Score,INDEX(sys_DataFlat_LU_Grid,$C78,AY$11))))</f>
        <v>83.3</v>
      </c>
      <c r="AZ78" cm="1">
        <f t="array" aca="1" ref="AZ78" ca="1">IF($C78=0,"",IF(AZ$12&lt;&gt;$C$5,NA(),INDEX(auto_DataFlat_Score,INDEX(sys_DataFlat_LU_Grid,$C78,AZ$11))))</f>
        <v>16.7</v>
      </c>
      <c r="BA78" cm="1">
        <f t="array" aca="1" ref="BA78" ca="1">IF($C78=0,"",IF(BA$12&lt;&gt;$C$5,NA(),INDEX(auto_DataFlat_Score,INDEX(sys_DataFlat_LU_Grid,$C78,BA$11))))</f>
        <v>0</v>
      </c>
      <c r="BB78" cm="1">
        <f t="array" aca="1" ref="BB78" ca="1">IF($C78=0,"",IF(BB$12&lt;&gt;$C$5,NA(),INDEX(auto_DataFlat_Score,INDEX(sys_DataFlat_LU_Grid,$C78,BB$11))))</f>
        <v>83.3</v>
      </c>
      <c r="BC78" cm="1">
        <f t="array" aca="1" ref="BC78" ca="1">IF($C78=0,"",IF(BC$12&lt;&gt;$C$5,NA(),INDEX(auto_DataFlat_Score,INDEX(sys_DataFlat_LU_Grid,$C78,BC$11))))</f>
        <v>66.7</v>
      </c>
      <c r="BD78" cm="1">
        <f t="array" aca="1" ref="BD78" ca="1">IF($C78=0,"",IF(BD$12&lt;&gt;$C$5,NA(),INDEX(auto_DataFlat_Score,INDEX(sys_DataFlat_LU_Grid,$C78,BD$11))))</f>
        <v>83.3</v>
      </c>
      <c r="BE78" cm="1">
        <f t="array" aca="1" ref="BE78" ca="1">IF($C78=0,"",IF(BE$12&lt;&gt;$C$5,NA(),INDEX(auto_DataFlat_Score,INDEX(sys_DataFlat_LU_Grid,$C78,BE$11))))</f>
        <v>83.3</v>
      </c>
      <c r="BF78" cm="1">
        <f t="array" aca="1" ref="BF78" ca="1">IF($C78=0,"",IF(BF$12&lt;&gt;$C$5,NA(),INDEX(auto_DataFlat_Score,INDEX(sys_DataFlat_LU_Grid,$C78,BF$11))))</f>
        <v>83.3</v>
      </c>
      <c r="BG78" cm="1">
        <f t="array" aca="1" ref="BG78" ca="1">IF($C78=0,"",IF(BG$12&lt;&gt;$C$5,NA(),INDEX(auto_DataFlat_Score,INDEX(sys_DataFlat_LU_Grid,$C78,BG$11))))</f>
        <v>83.3</v>
      </c>
      <c r="BH78" cm="1">
        <f t="array" aca="1" ref="BH78" ca="1">IF($C78=0,"",IF(BH$12&lt;&gt;$C$5,NA(),INDEX(auto_DataFlat_Score,INDEX(sys_DataFlat_LU_Grid,$C78,BH$11))))</f>
        <v>83.3</v>
      </c>
      <c r="BI78" cm="1">
        <f t="array" aca="1" ref="BI78" ca="1">IF($C78=0,"",IF(BI$12&lt;&gt;$C$5,NA(),INDEX(auto_DataFlat_Score,INDEX(sys_DataFlat_LU_Grid,$C78,BI$11))))</f>
        <v>100</v>
      </c>
      <c r="BJ78" cm="1">
        <f t="array" aca="1" ref="BJ78" ca="1">IF($C78=0,"",IF(BJ$12&lt;&gt;$C$5,NA(),INDEX(auto_DataFlat_Score,INDEX(sys_DataFlat_LU_Grid,$C78,BJ$11))))</f>
        <v>66.7</v>
      </c>
      <c r="BK78" cm="1">
        <f t="array" aca="1" ref="BK78" ca="1">IF($C78=0,"",IF(BK$12&lt;&gt;$C$5,NA(),INDEX(auto_DataFlat_Score,INDEX(sys_DataFlat_LU_Grid,$C78,BK$11))))</f>
        <v>83.3</v>
      </c>
      <c r="BL78" cm="1">
        <f t="array" aca="1" ref="BL78" ca="1">IF($C78=0,"",IF(BL$12&lt;&gt;$C$5,NA(),INDEX(auto_DataFlat_Score,INDEX(sys_DataFlat_LU_Grid,$C78,BL$11))))</f>
        <v>100</v>
      </c>
      <c r="BM78" cm="1">
        <f t="array" aca="1" ref="BM78" ca="1">IF($C78=0,"",IF(BM$12&lt;&gt;$C$5,NA(),INDEX(auto_DataFlat_Score,INDEX(sys_DataFlat_LU_Grid,$C78,BM$11))))</f>
        <v>16.7</v>
      </c>
      <c r="BO78">
        <f t="shared" ca="1" si="22"/>
        <v>0</v>
      </c>
      <c r="BP78">
        <f t="shared" ca="1" si="23"/>
        <v>100</v>
      </c>
      <c r="BQ78" cm="1">
        <f t="array" aca="1" ref="BQ78" ca="1">IF(C78=0,0,INDEX(sys_DataFlat_LU_Grid_Groups,$C78,BQ$12))</f>
        <v>3296</v>
      </c>
      <c r="BR78" cm="1">
        <f t="array" aca="1" ref="BR78" ca="1">IF(D78=0,0,INDEX(sys_DataFlat_LU_Grid_Groups,$C78,BR$12))</f>
        <v>3299</v>
      </c>
      <c r="BU78" cm="1">
        <f t="array" aca="1" ref="BU78" ca="1">INDEX(auto_DataFlat_Score,BQ78)</f>
        <v>60</v>
      </c>
      <c r="BV78" cm="1">
        <f t="array" aca="1" ref="BV78" ca="1">INDEX(auto_DataFlat_Score,BR78)</f>
        <v>62.1</v>
      </c>
      <c r="BW78">
        <f t="shared" ca="1" si="24"/>
        <v>60.7</v>
      </c>
    </row>
    <row r="79" spans="2:75" x14ac:dyDescent="0.4">
      <c r="B79">
        <v>26</v>
      </c>
      <c r="C79" cm="1">
        <f t="array" aca="1" ref="C79" ca="1">INDEX(OFFSET(auto_ss_depth_2,0,1,300,1),B79)</f>
        <v>58</v>
      </c>
      <c r="D79" cm="1">
        <f t="array" aca="1" ref="D79" ca="1">IF(C79=0,0,INDEX(sys_DataFlat_LU_Grid_Groups,$C79,D$40))</f>
        <v>3471</v>
      </c>
      <c r="E79" cm="1">
        <f t="array" aca="1" ref="E79" ca="1">IF(C79=0,0,INDEX(sys_DataFlat_LU_Grid_Groups,$C79,E$40))</f>
        <v>3471</v>
      </c>
      <c r="G79">
        <f t="shared" ca="1" si="25"/>
        <v>55</v>
      </c>
      <c r="H79" t="e" cm="1">
        <f t="array" ref="H79">IF($C$8=0,NA(),INDEX($P79:$BM79,$C$8))</f>
        <v>#N/A</v>
      </c>
      <c r="I79" cm="1">
        <f t="array" aca="1" ref="I79" ca="1">IF(C79=0,0,INDEX(sys_DataFlat_LU_Grid,$C79,$C$2))</f>
        <v>3421</v>
      </c>
      <c r="J79" t="str" cm="1">
        <f t="array" aca="1" ref="J79" ca="1">IF(C79=0,"-",INDEX(auto_Series_NameNoNumber,C79))</f>
        <v>Healthy diet policies</v>
      </c>
      <c r="K79" cm="1">
        <f t="array" aca="1" ref="K79" ca="1">IF(C79=0,"-",INDEX(K$94:K$162,$C79))</f>
        <v>0</v>
      </c>
      <c r="L79" t="str" cm="1">
        <f t="array" aca="1" ref="L79" ca="1">IF(C79=0,"-",INDEX(L$94:L$162,$C79))</f>
        <v>=43</v>
      </c>
      <c r="M79">
        <f t="shared" ca="1" si="26"/>
        <v>-1.2065994998097656</v>
      </c>
      <c r="N79" cm="1">
        <f t="array" aca="1" ref="N79" ca="1">IF(C79=0,"-",INDEX($N$94:$N$162,$C79))</f>
        <v>1</v>
      </c>
      <c r="O79" t="e" cm="1">
        <f t="array" aca="1" ref="O79" ca="1">IF(C79=0,"-",INDEX(#REF!,$C79))</f>
        <v>#REF!</v>
      </c>
      <c r="P79" cm="1">
        <f t="array" aca="1" ref="P79" ca="1">IF($C79=0,"",IF(P$12&lt;&gt;$C$5,NA(),INDEX(auto_DataFlat_Score,INDEX(sys_DataFlat_LU_Grid,$C79,P$11))))</f>
        <v>0</v>
      </c>
      <c r="Q79" cm="1">
        <f t="array" aca="1" ref="Q79" ca="1">IF($C79=0,"",IF(Q$12&lt;&gt;$C$5,NA(),INDEX(auto_DataFlat_Score,INDEX(sys_DataFlat_LU_Grid,$C79,Q$11))))</f>
        <v>50</v>
      </c>
      <c r="R79" cm="1">
        <f t="array" aca="1" ref="R79" ca="1">IF($C79=0,"",IF(R$12&lt;&gt;$C$5,NA(),INDEX(auto_DataFlat_Score,INDEX(sys_DataFlat_LU_Grid,$C79,R$11))))</f>
        <v>50</v>
      </c>
      <c r="S79" cm="1">
        <f t="array" aca="1" ref="S79" ca="1">IF($C79=0,"",IF(S$12&lt;&gt;$C$5,NA(),INDEX(auto_DataFlat_Score,INDEX(sys_DataFlat_LU_Grid,$C79,S$11))))</f>
        <v>50</v>
      </c>
      <c r="T79" cm="1">
        <f t="array" aca="1" ref="T79" ca="1">IF($C79=0,"",IF(T$12&lt;&gt;$C$5,NA(),INDEX(auto_DataFlat_Score,INDEX(sys_DataFlat_LU_Grid,$C79,T$11))))</f>
        <v>50</v>
      </c>
      <c r="U79" cm="1">
        <f t="array" aca="1" ref="U79" ca="1">IF($C79=0,"",IF(U$12&lt;&gt;$C$5,NA(),INDEX(auto_DataFlat_Score,INDEX(sys_DataFlat_LU_Grid,$C79,U$11))))</f>
        <v>50</v>
      </c>
      <c r="V79" cm="1">
        <f t="array" aca="1" ref="V79" ca="1">IF($C79=0,"",IF(V$12&lt;&gt;$C$5,NA(),INDEX(auto_DataFlat_Score,INDEX(sys_DataFlat_LU_Grid,$C79,V$11))))</f>
        <v>0</v>
      </c>
      <c r="W79" cm="1">
        <f t="array" aca="1" ref="W79" ca="1">IF($C79=0,"",IF(W$12&lt;&gt;$C$5,NA(),INDEX(auto_DataFlat_Score,INDEX(sys_DataFlat_LU_Grid,$C79,W$11))))</f>
        <v>0</v>
      </c>
      <c r="X79" cm="1">
        <f t="array" aca="1" ref="X79" ca="1">IF($C79=0,"",IF(X$12&lt;&gt;$C$5,NA(),INDEX(auto_DataFlat_Score,INDEX(sys_DataFlat_LU_Grid,$C79,X$11))))</f>
        <v>50</v>
      </c>
      <c r="Y79" cm="1">
        <f t="array" aca="1" ref="Y79" ca="1">IF($C79=0,"",IF(Y$12&lt;&gt;$C$5,NA(),INDEX(auto_DataFlat_Score,INDEX(sys_DataFlat_LU_Grid,$C79,Y$11))))</f>
        <v>50</v>
      </c>
      <c r="Z79" cm="1">
        <f t="array" aca="1" ref="Z79" ca="1">IF($C79=0,"",IF(Z$12&lt;&gt;$C$5,NA(),INDEX(auto_DataFlat_Score,INDEX(sys_DataFlat_LU_Grid,$C79,Z$11))))</f>
        <v>0</v>
      </c>
      <c r="AA79" cm="1">
        <f t="array" aca="1" ref="AA79" ca="1">IF($C79=0,"",IF(AA$12&lt;&gt;$C$5,NA(),INDEX(auto_DataFlat_Score,INDEX(sys_DataFlat_LU_Grid,$C79,AA$11))))</f>
        <v>100</v>
      </c>
      <c r="AB79" cm="1">
        <f t="array" aca="1" ref="AB79" ca="1">IF($C79=0,"",IF(AB$12&lt;&gt;$C$5,NA(),INDEX(auto_DataFlat_Score,INDEX(sys_DataFlat_LU_Grid,$C79,AB$11))))</f>
        <v>100</v>
      </c>
      <c r="AC79" cm="1">
        <f t="array" aca="1" ref="AC79" ca="1">IF($C79=0,"",IF(AC$12&lt;&gt;$C$5,NA(),INDEX(auto_DataFlat_Score,INDEX(sys_DataFlat_LU_Grid,$C79,AC$11))))</f>
        <v>50</v>
      </c>
      <c r="AD79" cm="1">
        <f t="array" aca="1" ref="AD79" ca="1">IF($C79=0,"",IF(AD$12&lt;&gt;$C$5,NA(),INDEX(auto_DataFlat_Score,INDEX(sys_DataFlat_LU_Grid,$C79,AD$11))))</f>
        <v>50</v>
      </c>
      <c r="AE79" cm="1">
        <f t="array" aca="1" ref="AE79" ca="1">IF($C79=0,"",IF(AE$12&lt;&gt;$C$5,NA(),INDEX(auto_DataFlat_Score,INDEX(sys_DataFlat_LU_Grid,$C79,AE$11))))</f>
        <v>50</v>
      </c>
      <c r="AF79" cm="1">
        <f t="array" aca="1" ref="AF79" ca="1">IF($C79=0,"",IF(AF$12&lt;&gt;$C$5,NA(),INDEX(auto_DataFlat_Score,INDEX(sys_DataFlat_LU_Grid,$C79,AF$11))))</f>
        <v>100</v>
      </c>
      <c r="AG79" cm="1">
        <f t="array" aca="1" ref="AG79" ca="1">IF($C79=0,"",IF(AG$12&lt;&gt;$C$5,NA(),INDEX(auto_DataFlat_Score,INDEX(sys_DataFlat_LU_Grid,$C79,AG$11))))</f>
        <v>0</v>
      </c>
      <c r="AH79" cm="1">
        <f t="array" aca="1" ref="AH79" ca="1">IF($C79=0,"",IF(AH$12&lt;&gt;$C$5,NA(),INDEX(auto_DataFlat_Score,INDEX(sys_DataFlat_LU_Grid,$C79,AH$11))))</f>
        <v>100</v>
      </c>
      <c r="AI79" cm="1">
        <f t="array" aca="1" ref="AI79" ca="1">IF($C79=0,"",IF(AI$12&lt;&gt;$C$5,NA(),INDEX(auto_DataFlat_Score,INDEX(sys_DataFlat_LU_Grid,$C79,AI$11))))</f>
        <v>0</v>
      </c>
      <c r="AJ79" cm="1">
        <f t="array" aca="1" ref="AJ79" ca="1">IF($C79=0,"",IF(AJ$12&lt;&gt;$C$5,NA(),INDEX(auto_DataFlat_Score,INDEX(sys_DataFlat_LU_Grid,$C79,AJ$11))))</f>
        <v>50</v>
      </c>
      <c r="AK79" cm="1">
        <f t="array" aca="1" ref="AK79" ca="1">IF($C79=0,"",IF(AK$12&lt;&gt;$C$5,NA(),INDEX(auto_DataFlat_Score,INDEX(sys_DataFlat_LU_Grid,$C79,AK$11))))</f>
        <v>50</v>
      </c>
      <c r="AL79" cm="1">
        <f t="array" aca="1" ref="AL79" ca="1">IF($C79=0,"",IF(AL$12&lt;&gt;$C$5,NA(),INDEX(auto_DataFlat_Score,INDEX(sys_DataFlat_LU_Grid,$C79,AL$11))))</f>
        <v>100</v>
      </c>
      <c r="AM79" cm="1">
        <f t="array" aca="1" ref="AM79" ca="1">IF($C79=0,"",IF(AM$12&lt;&gt;$C$5,NA(),INDEX(auto_DataFlat_Score,INDEX(sys_DataFlat_LU_Grid,$C79,AM$11))))</f>
        <v>50</v>
      </c>
      <c r="AN79" cm="1">
        <f t="array" aca="1" ref="AN79" ca="1">IF($C79=0,"",IF(AN$12&lt;&gt;$C$5,NA(),INDEX(auto_DataFlat_Score,INDEX(sys_DataFlat_LU_Grid,$C79,AN$11))))</f>
        <v>100</v>
      </c>
      <c r="AO79" cm="1">
        <f t="array" aca="1" ref="AO79" ca="1">IF($C79=0,"",IF(AO$12&lt;&gt;$C$5,NA(),INDEX(auto_DataFlat_Score,INDEX(sys_DataFlat_LU_Grid,$C79,AO$11))))</f>
        <v>100</v>
      </c>
      <c r="AP79" cm="1">
        <f t="array" aca="1" ref="AP79" ca="1">IF($C79=0,"",IF(AP$12&lt;&gt;$C$5,NA(),INDEX(auto_DataFlat_Score,INDEX(sys_DataFlat_LU_Grid,$C79,AP$11))))</f>
        <v>50</v>
      </c>
      <c r="AQ79" cm="1">
        <f t="array" aca="1" ref="AQ79" ca="1">IF($C79=0,"",IF(AQ$12&lt;&gt;$C$5,NA(),INDEX(auto_DataFlat_Score,INDEX(sys_DataFlat_LU_Grid,$C79,AQ$11))))</f>
        <v>50</v>
      </c>
      <c r="AR79" cm="1">
        <f t="array" aca="1" ref="AR79" ca="1">IF($C79=0,"",IF(AR$12&lt;&gt;$C$5,NA(),INDEX(auto_DataFlat_Score,INDEX(sys_DataFlat_LU_Grid,$C79,AR$11))))</f>
        <v>50</v>
      </c>
      <c r="AS79" cm="1">
        <f t="array" aca="1" ref="AS79" ca="1">IF($C79=0,"",IF(AS$12&lt;&gt;$C$5,NA(),INDEX(auto_DataFlat_Score,INDEX(sys_DataFlat_LU_Grid,$C79,AS$11))))</f>
        <v>50</v>
      </c>
      <c r="AT79" cm="1">
        <f t="array" aca="1" ref="AT79" ca="1">IF($C79=0,"",IF(AT$12&lt;&gt;$C$5,NA(),INDEX(auto_DataFlat_Score,INDEX(sys_DataFlat_LU_Grid,$C79,AT$11))))</f>
        <v>50</v>
      </c>
      <c r="AU79" cm="1">
        <f t="array" aca="1" ref="AU79" ca="1">IF($C79=0,"",IF(AU$12&lt;&gt;$C$5,NA(),INDEX(auto_DataFlat_Score,INDEX(sys_DataFlat_LU_Grid,$C79,AU$11))))</f>
        <v>100</v>
      </c>
      <c r="AV79" cm="1">
        <f t="array" aca="1" ref="AV79" ca="1">IF($C79=0,"",IF(AV$12&lt;&gt;$C$5,NA(),INDEX(auto_DataFlat_Score,INDEX(sys_DataFlat_LU_Grid,$C79,AV$11))))</f>
        <v>50</v>
      </c>
      <c r="AW79" cm="1">
        <f t="array" aca="1" ref="AW79" ca="1">IF($C79=0,"",IF(AW$12&lt;&gt;$C$5,NA(),INDEX(auto_DataFlat_Score,INDEX(sys_DataFlat_LU_Grid,$C79,AW$11))))</f>
        <v>50</v>
      </c>
      <c r="AX79" cm="1">
        <f t="array" aca="1" ref="AX79" ca="1">IF($C79=0,"",IF(AX$12&lt;&gt;$C$5,NA(),INDEX(auto_DataFlat_Score,INDEX(sys_DataFlat_LU_Grid,$C79,AX$11))))</f>
        <v>50</v>
      </c>
      <c r="AY79" cm="1">
        <f t="array" aca="1" ref="AY79" ca="1">IF($C79=0,"",IF(AY$12&lt;&gt;$C$5,NA(),INDEX(auto_DataFlat_Score,INDEX(sys_DataFlat_LU_Grid,$C79,AY$11))))</f>
        <v>0</v>
      </c>
      <c r="AZ79" cm="1">
        <f t="array" aca="1" ref="AZ79" ca="1">IF($C79=0,"",IF(AZ$12&lt;&gt;$C$5,NA(),INDEX(auto_DataFlat_Score,INDEX(sys_DataFlat_LU_Grid,$C79,AZ$11))))</f>
        <v>100</v>
      </c>
      <c r="BA79" cm="1">
        <f t="array" aca="1" ref="BA79" ca="1">IF($C79=0,"",IF(BA$12&lt;&gt;$C$5,NA(),INDEX(auto_DataFlat_Score,INDEX(sys_DataFlat_LU_Grid,$C79,BA$11))))</f>
        <v>50</v>
      </c>
      <c r="BB79" cm="1">
        <f t="array" aca="1" ref="BB79" ca="1">IF($C79=0,"",IF(BB$12&lt;&gt;$C$5,NA(),INDEX(auto_DataFlat_Score,INDEX(sys_DataFlat_LU_Grid,$C79,BB$11))))</f>
        <v>100</v>
      </c>
      <c r="BC79" cm="1">
        <f t="array" aca="1" ref="BC79" ca="1">IF($C79=0,"",IF(BC$12&lt;&gt;$C$5,NA(),INDEX(auto_DataFlat_Score,INDEX(sys_DataFlat_LU_Grid,$C79,BC$11))))</f>
        <v>50</v>
      </c>
      <c r="BD79" cm="1">
        <f t="array" aca="1" ref="BD79" ca="1">IF($C79=0,"",IF(BD$12&lt;&gt;$C$5,NA(),INDEX(auto_DataFlat_Score,INDEX(sys_DataFlat_LU_Grid,$C79,BD$11))))</f>
        <v>100</v>
      </c>
      <c r="BE79" cm="1">
        <f t="array" aca="1" ref="BE79" ca="1">IF($C79=0,"",IF(BE$12&lt;&gt;$C$5,NA(),INDEX(auto_DataFlat_Score,INDEX(sys_DataFlat_LU_Grid,$C79,BE$11))))</f>
        <v>100</v>
      </c>
      <c r="BF79" cm="1">
        <f t="array" aca="1" ref="BF79" ca="1">IF($C79=0,"",IF(BF$12&lt;&gt;$C$5,NA(),INDEX(auto_DataFlat_Score,INDEX(sys_DataFlat_LU_Grid,$C79,BF$11))))</f>
        <v>50</v>
      </c>
      <c r="BG79" cm="1">
        <f t="array" aca="1" ref="BG79" ca="1">IF($C79=0,"",IF(BG$12&lt;&gt;$C$5,NA(),INDEX(auto_DataFlat_Score,INDEX(sys_DataFlat_LU_Grid,$C79,BG$11))))</f>
        <v>100</v>
      </c>
      <c r="BH79" cm="1">
        <f t="array" aca="1" ref="BH79" ca="1">IF($C79=0,"",IF(BH$12&lt;&gt;$C$5,NA(),INDEX(auto_DataFlat_Score,INDEX(sys_DataFlat_LU_Grid,$C79,BH$11))))</f>
        <v>50</v>
      </c>
      <c r="BI79" cm="1">
        <f t="array" aca="1" ref="BI79" ca="1">IF($C79=0,"",IF(BI$12&lt;&gt;$C$5,NA(),INDEX(auto_DataFlat_Score,INDEX(sys_DataFlat_LU_Grid,$C79,BI$11))))</f>
        <v>50</v>
      </c>
      <c r="BJ79" cm="1">
        <f t="array" aca="1" ref="BJ79" ca="1">IF($C79=0,"",IF(BJ$12&lt;&gt;$C$5,NA(),INDEX(auto_DataFlat_Score,INDEX(sys_DataFlat_LU_Grid,$C79,BJ$11))))</f>
        <v>50</v>
      </c>
      <c r="BK79" cm="1">
        <f t="array" aca="1" ref="BK79" ca="1">IF($C79=0,"",IF(BK$12&lt;&gt;$C$5,NA(),INDEX(auto_DataFlat_Score,INDEX(sys_DataFlat_LU_Grid,$C79,BK$11))))</f>
        <v>50</v>
      </c>
      <c r="BL79" cm="1">
        <f t="array" aca="1" ref="BL79" ca="1">IF($C79=0,"",IF(BL$12&lt;&gt;$C$5,NA(),INDEX(auto_DataFlat_Score,INDEX(sys_DataFlat_LU_Grid,$C79,BL$11))))</f>
        <v>50</v>
      </c>
      <c r="BM79" cm="1">
        <f t="array" aca="1" ref="BM79" ca="1">IF($C79=0,"",IF(BM$12&lt;&gt;$C$5,NA(),INDEX(auto_DataFlat_Score,INDEX(sys_DataFlat_LU_Grid,$C79,BM$11))))</f>
        <v>0</v>
      </c>
      <c r="BO79">
        <f t="shared" ca="1" si="22"/>
        <v>0</v>
      </c>
      <c r="BP79">
        <f t="shared" ca="1" si="23"/>
        <v>100</v>
      </c>
      <c r="BQ79" cm="1">
        <f t="array" aca="1" ref="BQ79" ca="1">IF(C79=0,0,INDEX(sys_DataFlat_LU_Grid_Groups,$C79,BQ$12))</f>
        <v>3476</v>
      </c>
      <c r="BR79" cm="1">
        <f t="array" aca="1" ref="BR79" ca="1">IF(D79=0,0,INDEX(sys_DataFlat_LU_Grid_Groups,$C79,BR$12))</f>
        <v>3479</v>
      </c>
      <c r="BU79" cm="1">
        <f t="array" aca="1" ref="BU79" ca="1">INDEX(auto_DataFlat_Score,BQ79)</f>
        <v>65</v>
      </c>
      <c r="BV79" cm="1">
        <f t="array" aca="1" ref="BV79" ca="1">INDEX(auto_DataFlat_Score,BR79)</f>
        <v>45.5</v>
      </c>
      <c r="BW79">
        <f t="shared" ca="1" si="24"/>
        <v>55</v>
      </c>
    </row>
    <row r="80" spans="2:75" x14ac:dyDescent="0.4">
      <c r="B80">
        <v>27</v>
      </c>
      <c r="C80" cm="1">
        <f t="array" aca="1" ref="C80" ca="1">INDEX(OFFSET(auto_ss_depth_2,0,1,300,1),B80)</f>
        <v>59</v>
      </c>
      <c r="D80" cm="1">
        <f t="array" aca="1" ref="D80" ca="1">IF(C80=0,0,INDEX(sys_DataFlat_LU_Grid_Groups,$C80,D$40))</f>
        <v>3531</v>
      </c>
      <c r="E80" cm="1">
        <f t="array" aca="1" ref="E80" ca="1">IF(C80=0,0,INDEX(sys_DataFlat_LU_Grid_Groups,$C80,E$40))</f>
        <v>3531</v>
      </c>
      <c r="G80">
        <f t="shared" ca="1" si="25"/>
        <v>78</v>
      </c>
      <c r="H80" t="e" cm="1">
        <f t="array" ref="H80">IF($C$8=0,NA(),INDEX($P80:$BM80,$C$8))</f>
        <v>#N/A</v>
      </c>
      <c r="I80" cm="1">
        <f t="array" aca="1" ref="I80" ca="1">IF(C80=0,0,INDEX(sys_DataFlat_LU_Grid,$C80,$C$2))</f>
        <v>3481</v>
      </c>
      <c r="J80" t="str" cm="1">
        <f t="array" aca="1" ref="J80" ca="1">IF(C80=0,"-",INDEX(auto_Series_NameNoNumber,C80))</f>
        <v>CVD management guidelines</v>
      </c>
      <c r="K80" cm="1">
        <f t="array" aca="1" ref="K80" ca="1">IF(C80=0,"-",INDEX(K$94:K$162,$C80))</f>
        <v>100</v>
      </c>
      <c r="L80" t="str" cm="1">
        <f t="array" aca="1" ref="L80" ca="1">IF(C80=0,"-",INDEX(L$94:L$162,$C80))</f>
        <v>=1</v>
      </c>
      <c r="M80" t="e">
        <f t="shared" ca="1" si="26"/>
        <v>#NUM!</v>
      </c>
      <c r="N80" cm="1">
        <f t="array" aca="1" ref="N80" ca="1">IF(C80=0,"-",INDEX($N$94:$N$162,$C80))</f>
        <v>5</v>
      </c>
      <c r="O80" t="e" cm="1">
        <f t="array" aca="1" ref="O80" ca="1">IF(C80=0,"-",INDEX(#REF!,$C80))</f>
        <v>#REF!</v>
      </c>
      <c r="P80" cm="1">
        <f t="array" aca="1" ref="P80" ca="1">IF($C80=0,"",IF(P$12&lt;&gt;$C$5,NA(),INDEX(auto_DataFlat_Score,INDEX(sys_DataFlat_LU_Grid,$C80,P$11))))</f>
        <v>100</v>
      </c>
      <c r="Q80" cm="1">
        <f t="array" aca="1" ref="Q80" ca="1">IF($C80=0,"",IF(Q$12&lt;&gt;$C$5,NA(),INDEX(auto_DataFlat_Score,INDEX(sys_DataFlat_LU_Grid,$C80,Q$11))))</f>
        <v>100</v>
      </c>
      <c r="R80" cm="1">
        <f t="array" aca="1" ref="R80" ca="1">IF($C80=0,"",IF(R$12&lt;&gt;$C$5,NA(),INDEX(auto_DataFlat_Score,INDEX(sys_DataFlat_LU_Grid,$C80,R$11))))</f>
        <v>100</v>
      </c>
      <c r="S80" cm="1">
        <f t="array" aca="1" ref="S80" ca="1">IF($C80=0,"",IF(S$12&lt;&gt;$C$5,NA(),INDEX(auto_DataFlat_Score,INDEX(sys_DataFlat_LU_Grid,$C80,S$11))))</f>
        <v>100</v>
      </c>
      <c r="T80" cm="1">
        <f t="array" aca="1" ref="T80" ca="1">IF($C80=0,"",IF(T$12&lt;&gt;$C$5,NA(),INDEX(auto_DataFlat_Score,INDEX(sys_DataFlat_LU_Grid,$C80,T$11))))</f>
        <v>100</v>
      </c>
      <c r="U80" cm="1">
        <f t="array" aca="1" ref="U80" ca="1">IF($C80=0,"",IF(U$12&lt;&gt;$C$5,NA(),INDEX(auto_DataFlat_Score,INDEX(sys_DataFlat_LU_Grid,$C80,U$11))))</f>
        <v>100</v>
      </c>
      <c r="V80" cm="1">
        <f t="array" aca="1" ref="V80" ca="1">IF($C80=0,"",IF(V$12&lt;&gt;$C$5,NA(),INDEX(auto_DataFlat_Score,INDEX(sys_DataFlat_LU_Grid,$C80,V$11))))</f>
        <v>100</v>
      </c>
      <c r="W80" cm="1">
        <f t="array" aca="1" ref="W80" ca="1">IF($C80=0,"",IF(W$12&lt;&gt;$C$5,NA(),INDEX(auto_DataFlat_Score,INDEX(sys_DataFlat_LU_Grid,$C80,W$11))))</f>
        <v>100</v>
      </c>
      <c r="X80" cm="1">
        <f t="array" aca="1" ref="X80" ca="1">IF($C80=0,"",IF(X$12&lt;&gt;$C$5,NA(),INDEX(auto_DataFlat_Score,INDEX(sys_DataFlat_LU_Grid,$C80,X$11))))</f>
        <v>100</v>
      </c>
      <c r="Y80" cm="1">
        <f t="array" aca="1" ref="Y80" ca="1">IF($C80=0,"",IF(Y$12&lt;&gt;$C$5,NA(),INDEX(auto_DataFlat_Score,INDEX(sys_DataFlat_LU_Grid,$C80,Y$11))))</f>
        <v>100</v>
      </c>
      <c r="Z80" cm="1">
        <f t="array" aca="1" ref="Z80" ca="1">IF($C80=0,"",IF(Z$12&lt;&gt;$C$5,NA(),INDEX(auto_DataFlat_Score,INDEX(sys_DataFlat_LU_Grid,$C80,Z$11))))</f>
        <v>100</v>
      </c>
      <c r="AA80" cm="1">
        <f t="array" aca="1" ref="AA80" ca="1">IF($C80=0,"",IF(AA$12&lt;&gt;$C$5,NA(),INDEX(auto_DataFlat_Score,INDEX(sys_DataFlat_LU_Grid,$C80,AA$11))))</f>
        <v>100</v>
      </c>
      <c r="AB80" cm="1">
        <f t="array" aca="1" ref="AB80" ca="1">IF($C80=0,"",IF(AB$12&lt;&gt;$C$5,NA(),INDEX(auto_DataFlat_Score,INDEX(sys_DataFlat_LU_Grid,$C80,AB$11))))</f>
        <v>0</v>
      </c>
      <c r="AC80" cm="1">
        <f t="array" aca="1" ref="AC80" ca="1">IF($C80=0,"",IF(AC$12&lt;&gt;$C$5,NA(),INDEX(auto_DataFlat_Score,INDEX(sys_DataFlat_LU_Grid,$C80,AC$11))))</f>
        <v>100</v>
      </c>
      <c r="AD80" cm="1">
        <f t="array" aca="1" ref="AD80" ca="1">IF($C80=0,"",IF(AD$12&lt;&gt;$C$5,NA(),INDEX(auto_DataFlat_Score,INDEX(sys_DataFlat_LU_Grid,$C80,AD$11))))</f>
        <v>100</v>
      </c>
      <c r="AE80" cm="1">
        <f t="array" aca="1" ref="AE80" ca="1">IF($C80=0,"",IF(AE$12&lt;&gt;$C$5,NA(),INDEX(auto_DataFlat_Score,INDEX(sys_DataFlat_LU_Grid,$C80,AE$11))))</f>
        <v>100</v>
      </c>
      <c r="AF80" cm="1">
        <f t="array" aca="1" ref="AF80" ca="1">IF($C80=0,"",IF(AF$12&lt;&gt;$C$5,NA(),INDEX(auto_DataFlat_Score,INDEX(sys_DataFlat_LU_Grid,$C80,AF$11))))</f>
        <v>100</v>
      </c>
      <c r="AG80" cm="1">
        <f t="array" aca="1" ref="AG80" ca="1">IF($C80=0,"",IF(AG$12&lt;&gt;$C$5,NA(),INDEX(auto_DataFlat_Score,INDEX(sys_DataFlat_LU_Grid,$C80,AG$11))))</f>
        <v>100</v>
      </c>
      <c r="AH80" cm="1">
        <f t="array" aca="1" ref="AH80" ca="1">IF($C80=0,"",IF(AH$12&lt;&gt;$C$5,NA(),INDEX(auto_DataFlat_Score,INDEX(sys_DataFlat_LU_Grid,$C80,AH$11))))</f>
        <v>100</v>
      </c>
      <c r="AI80" cm="1">
        <f t="array" aca="1" ref="AI80" ca="1">IF($C80=0,"",IF(AI$12&lt;&gt;$C$5,NA(),INDEX(auto_DataFlat_Score,INDEX(sys_DataFlat_LU_Grid,$C80,AI$11))))</f>
        <v>100</v>
      </c>
      <c r="AJ80" cm="1">
        <f t="array" aca="1" ref="AJ80" ca="1">IF($C80=0,"",IF(AJ$12&lt;&gt;$C$5,NA(),INDEX(auto_DataFlat_Score,INDEX(sys_DataFlat_LU_Grid,$C80,AJ$11))))</f>
        <v>0</v>
      </c>
      <c r="AK80" cm="1">
        <f t="array" aca="1" ref="AK80" ca="1">IF($C80=0,"",IF(AK$12&lt;&gt;$C$5,NA(),INDEX(auto_DataFlat_Score,INDEX(sys_DataFlat_LU_Grid,$C80,AK$11))))</f>
        <v>0</v>
      </c>
      <c r="AL80" cm="1">
        <f t="array" aca="1" ref="AL80" ca="1">IF($C80=0,"",IF(AL$12&lt;&gt;$C$5,NA(),INDEX(auto_DataFlat_Score,INDEX(sys_DataFlat_LU_Grid,$C80,AL$11))))</f>
        <v>100</v>
      </c>
      <c r="AM80" cm="1">
        <f t="array" aca="1" ref="AM80" ca="1">IF($C80=0,"",IF(AM$12&lt;&gt;$C$5,NA(),INDEX(auto_DataFlat_Score,INDEX(sys_DataFlat_LU_Grid,$C80,AM$11))))</f>
        <v>100</v>
      </c>
      <c r="AN80" cm="1">
        <f t="array" aca="1" ref="AN80" ca="1">IF($C80=0,"",IF(AN$12&lt;&gt;$C$5,NA(),INDEX(auto_DataFlat_Score,INDEX(sys_DataFlat_LU_Grid,$C80,AN$11))))</f>
        <v>0</v>
      </c>
      <c r="AO80" cm="1">
        <f t="array" aca="1" ref="AO80" ca="1">IF($C80=0,"",IF(AO$12&lt;&gt;$C$5,NA(),INDEX(auto_DataFlat_Score,INDEX(sys_DataFlat_LU_Grid,$C80,AO$11))))</f>
        <v>100</v>
      </c>
      <c r="AP80" cm="1">
        <f t="array" aca="1" ref="AP80" ca="1">IF($C80=0,"",IF(AP$12&lt;&gt;$C$5,NA(),INDEX(auto_DataFlat_Score,INDEX(sys_DataFlat_LU_Grid,$C80,AP$11))))</f>
        <v>100</v>
      </c>
      <c r="AQ80" cm="1">
        <f t="array" aca="1" ref="AQ80" ca="1">IF($C80=0,"",IF(AQ$12&lt;&gt;$C$5,NA(),INDEX(auto_DataFlat_Score,INDEX(sys_DataFlat_LU_Grid,$C80,AQ$11))))</f>
        <v>0</v>
      </c>
      <c r="AR80" cm="1">
        <f t="array" aca="1" ref="AR80" ca="1">IF($C80=0,"",IF(AR$12&lt;&gt;$C$5,NA(),INDEX(auto_DataFlat_Score,INDEX(sys_DataFlat_LU_Grid,$C80,AR$11))))</f>
        <v>100</v>
      </c>
      <c r="AS80" cm="1">
        <f t="array" aca="1" ref="AS80" ca="1">IF($C80=0,"",IF(AS$12&lt;&gt;$C$5,NA(),INDEX(auto_DataFlat_Score,INDEX(sys_DataFlat_LU_Grid,$C80,AS$11))))</f>
        <v>100</v>
      </c>
      <c r="AT80" cm="1">
        <f t="array" aca="1" ref="AT80" ca="1">IF($C80=0,"",IF(AT$12&lt;&gt;$C$5,NA(),INDEX(auto_DataFlat_Score,INDEX(sys_DataFlat_LU_Grid,$C80,AT$11))))</f>
        <v>100</v>
      </c>
      <c r="AU80" cm="1">
        <f t="array" aca="1" ref="AU80" ca="1">IF($C80=0,"",IF(AU$12&lt;&gt;$C$5,NA(),INDEX(auto_DataFlat_Score,INDEX(sys_DataFlat_LU_Grid,$C80,AU$11))))</f>
        <v>100</v>
      </c>
      <c r="AV80" cm="1">
        <f t="array" aca="1" ref="AV80" ca="1">IF($C80=0,"",IF(AV$12&lt;&gt;$C$5,NA(),INDEX(auto_DataFlat_Score,INDEX(sys_DataFlat_LU_Grid,$C80,AV$11))))</f>
        <v>100</v>
      </c>
      <c r="AW80" cm="1">
        <f t="array" aca="1" ref="AW80" ca="1">IF($C80=0,"",IF(AW$12&lt;&gt;$C$5,NA(),INDEX(auto_DataFlat_Score,INDEX(sys_DataFlat_LU_Grid,$C80,AW$11))))</f>
        <v>100</v>
      </c>
      <c r="AX80" cm="1">
        <f t="array" aca="1" ref="AX80" ca="1">IF($C80=0,"",IF(AX$12&lt;&gt;$C$5,NA(),INDEX(auto_DataFlat_Score,INDEX(sys_DataFlat_LU_Grid,$C80,AX$11))))</f>
        <v>0</v>
      </c>
      <c r="AY80" cm="1">
        <f t="array" aca="1" ref="AY80" ca="1">IF($C80=0,"",IF(AY$12&lt;&gt;$C$5,NA(),INDEX(auto_DataFlat_Score,INDEX(sys_DataFlat_LU_Grid,$C80,AY$11))))</f>
        <v>100</v>
      </c>
      <c r="AZ80" cm="1">
        <f t="array" aca="1" ref="AZ80" ca="1">IF($C80=0,"",IF(AZ$12&lt;&gt;$C$5,NA(),INDEX(auto_DataFlat_Score,INDEX(sys_DataFlat_LU_Grid,$C80,AZ$11))))</f>
        <v>0</v>
      </c>
      <c r="BA80" cm="1">
        <f t="array" aca="1" ref="BA80" ca="1">IF($C80=0,"",IF(BA$12&lt;&gt;$C$5,NA(),INDEX(auto_DataFlat_Score,INDEX(sys_DataFlat_LU_Grid,$C80,BA$11))))</f>
        <v>100</v>
      </c>
      <c r="BB80" cm="1">
        <f t="array" aca="1" ref="BB80" ca="1">IF($C80=0,"",IF(BB$12&lt;&gt;$C$5,NA(),INDEX(auto_DataFlat_Score,INDEX(sys_DataFlat_LU_Grid,$C80,BB$11))))</f>
        <v>0</v>
      </c>
      <c r="BC80" cm="1">
        <f t="array" aca="1" ref="BC80" ca="1">IF($C80=0,"",IF(BC$12&lt;&gt;$C$5,NA(),INDEX(auto_DataFlat_Score,INDEX(sys_DataFlat_LU_Grid,$C80,BC$11))))</f>
        <v>100</v>
      </c>
      <c r="BD80" cm="1">
        <f t="array" aca="1" ref="BD80" ca="1">IF($C80=0,"",IF(BD$12&lt;&gt;$C$5,NA(),INDEX(auto_DataFlat_Score,INDEX(sys_DataFlat_LU_Grid,$C80,BD$11))))</f>
        <v>100</v>
      </c>
      <c r="BE80" cm="1">
        <f t="array" aca="1" ref="BE80" ca="1">IF($C80=0,"",IF(BE$12&lt;&gt;$C$5,NA(),INDEX(auto_DataFlat_Score,INDEX(sys_DataFlat_LU_Grid,$C80,BE$11))))</f>
        <v>0</v>
      </c>
      <c r="BF80" cm="1">
        <f t="array" aca="1" ref="BF80" ca="1">IF($C80=0,"",IF(BF$12&lt;&gt;$C$5,NA(),INDEX(auto_DataFlat_Score,INDEX(sys_DataFlat_LU_Grid,$C80,BF$11))))</f>
        <v>100</v>
      </c>
      <c r="BG80" cm="1">
        <f t="array" aca="1" ref="BG80" ca="1">IF($C80=0,"",IF(BG$12&lt;&gt;$C$5,NA(),INDEX(auto_DataFlat_Score,INDEX(sys_DataFlat_LU_Grid,$C80,BG$11))))</f>
        <v>100</v>
      </c>
      <c r="BH80" cm="1">
        <f t="array" aca="1" ref="BH80" ca="1">IF($C80=0,"",IF(BH$12&lt;&gt;$C$5,NA(),INDEX(auto_DataFlat_Score,INDEX(sys_DataFlat_LU_Grid,$C80,BH$11))))</f>
        <v>100</v>
      </c>
      <c r="BI80" cm="1">
        <f t="array" aca="1" ref="BI80" ca="1">IF($C80=0,"",IF(BI$12&lt;&gt;$C$5,NA(),INDEX(auto_DataFlat_Score,INDEX(sys_DataFlat_LU_Grid,$C80,BI$11))))</f>
        <v>0</v>
      </c>
      <c r="BJ80" cm="1">
        <f t="array" aca="1" ref="BJ80" ca="1">IF($C80=0,"",IF(BJ$12&lt;&gt;$C$5,NA(),INDEX(auto_DataFlat_Score,INDEX(sys_DataFlat_LU_Grid,$C80,BJ$11))))</f>
        <v>100</v>
      </c>
      <c r="BK80" cm="1">
        <f t="array" aca="1" ref="BK80" ca="1">IF($C80=0,"",IF(BK$12&lt;&gt;$C$5,NA(),INDEX(auto_DataFlat_Score,INDEX(sys_DataFlat_LU_Grid,$C80,BK$11))))</f>
        <v>0</v>
      </c>
      <c r="BL80" cm="1">
        <f t="array" aca="1" ref="BL80" ca="1">IF($C80=0,"",IF(BL$12&lt;&gt;$C$5,NA(),INDEX(auto_DataFlat_Score,INDEX(sys_DataFlat_LU_Grid,$C80,BL$11))))</f>
        <v>100</v>
      </c>
      <c r="BM80" cm="1">
        <f t="array" aca="1" ref="BM80" ca="1">IF($C80=0,"",IF(BM$12&lt;&gt;$C$5,NA(),INDEX(auto_DataFlat_Score,INDEX(sys_DataFlat_LU_Grid,$C80,BM$11))))</f>
        <v>100</v>
      </c>
      <c r="BO80">
        <f t="shared" ca="1" si="22"/>
        <v>0</v>
      </c>
      <c r="BP80">
        <f t="shared" ca="1" si="23"/>
        <v>100</v>
      </c>
      <c r="BQ80" cm="1">
        <f t="array" aca="1" ref="BQ80" ca="1">IF(C80=0,0,INDEX(sys_DataFlat_LU_Grid_Groups,$C80,BQ$12))</f>
        <v>3536</v>
      </c>
      <c r="BR80" cm="1">
        <f t="array" aca="1" ref="BR80" ca="1">IF(D80=0,0,INDEX(sys_DataFlat_LU_Grid_Groups,$C80,BR$12))</f>
        <v>3539</v>
      </c>
      <c r="BU80" cm="1">
        <f t="array" aca="1" ref="BU80" ca="1">INDEX(auto_DataFlat_Score,BQ80)</f>
        <v>70</v>
      </c>
      <c r="BV80" cm="1">
        <f t="array" aca="1" ref="BV80" ca="1">INDEX(auto_DataFlat_Score,BR80)</f>
        <v>100</v>
      </c>
      <c r="BW80">
        <f t="shared" ca="1" si="24"/>
        <v>78</v>
      </c>
    </row>
    <row r="81" spans="2:85" x14ac:dyDescent="0.4">
      <c r="B81">
        <v>28</v>
      </c>
      <c r="C81" cm="1">
        <f t="array" aca="1" ref="C81" ca="1">INDEX(OFFSET(auto_ss_depth_2,0,1,300,1),B81)</f>
        <v>60</v>
      </c>
      <c r="D81" cm="1">
        <f t="array" aca="1" ref="D81" ca="1">IF(C81=0,0,INDEX(sys_DataFlat_LU_Grid_Groups,$C81,D$40))</f>
        <v>3591</v>
      </c>
      <c r="E81" cm="1">
        <f t="array" aca="1" ref="E81" ca="1">IF(C81=0,0,INDEX(sys_DataFlat_LU_Grid_Groups,$C81,E$40))</f>
        <v>3591</v>
      </c>
      <c r="G81">
        <f t="shared" ca="1" si="25"/>
        <v>95</v>
      </c>
      <c r="H81" t="e" cm="1">
        <f t="array" ref="H81">IF($C$8=0,NA(),INDEX($P81:$BM81,$C$8))</f>
        <v>#N/A</v>
      </c>
      <c r="I81" cm="1">
        <f t="array" aca="1" ref="I81" ca="1">IF(C81=0,0,INDEX(sys_DataFlat_LU_Grid,$C81,$C$2))</f>
        <v>3541</v>
      </c>
      <c r="J81" t="str" cm="1">
        <f t="array" aca="1" ref="J81" ca="1">IF(C81=0,"-",INDEX(auto_Series_NameNoNumber,C81))</f>
        <v>Treatment guidelines</v>
      </c>
      <c r="K81" cm="1">
        <f t="array" aca="1" ref="K81" ca="1">IF(C81=0,"-",INDEX(K$94:K$162,$C81))</f>
        <v>100</v>
      </c>
      <c r="L81" t="str" cm="1">
        <f t="array" aca="1" ref="L81" ca="1">IF(C81=0,"-",INDEX(L$94:L$162,$C81))</f>
        <v>=1</v>
      </c>
      <c r="M81">
        <f t="shared" ca="1" si="26"/>
        <v>0.28867513459481292</v>
      </c>
      <c r="N81" cm="1">
        <f t="array" aca="1" ref="N81" ca="1">IF(C81=0,"-",INDEX($N$94:$N$162,$C81))</f>
        <v>5</v>
      </c>
      <c r="O81" t="e" cm="1">
        <f t="array" aca="1" ref="O81" ca="1">IF(C81=0,"-",INDEX(#REF!,$C81))</f>
        <v>#REF!</v>
      </c>
      <c r="P81" cm="1">
        <f t="array" aca="1" ref="P81" ca="1">IF($C81=0,"",IF(P$12&lt;&gt;$C$5,NA(),INDEX(auto_DataFlat_Score,INDEX(sys_DataFlat_LU_Grid,$C81,P$11))))</f>
        <v>100</v>
      </c>
      <c r="Q81" cm="1">
        <f t="array" aca="1" ref="Q81" ca="1">IF($C81=0,"",IF(Q$12&lt;&gt;$C$5,NA(),INDEX(auto_DataFlat_Score,INDEX(sys_DataFlat_LU_Grid,$C81,Q$11))))</f>
        <v>50</v>
      </c>
      <c r="R81" cm="1">
        <f t="array" aca="1" ref="R81" ca="1">IF($C81=0,"",IF(R$12&lt;&gt;$C$5,NA(),INDEX(auto_DataFlat_Score,INDEX(sys_DataFlat_LU_Grid,$C81,R$11))))</f>
        <v>100</v>
      </c>
      <c r="S81" cm="1">
        <f t="array" aca="1" ref="S81" ca="1">IF($C81=0,"",IF(S$12&lt;&gt;$C$5,NA(),INDEX(auto_DataFlat_Score,INDEX(sys_DataFlat_LU_Grid,$C81,S$11))))</f>
        <v>100</v>
      </c>
      <c r="T81" cm="1">
        <f t="array" aca="1" ref="T81" ca="1">IF($C81=0,"",IF(T$12&lt;&gt;$C$5,NA(),INDEX(auto_DataFlat_Score,INDEX(sys_DataFlat_LU_Grid,$C81,T$11))))</f>
        <v>100</v>
      </c>
      <c r="U81" cm="1">
        <f t="array" aca="1" ref="U81" ca="1">IF($C81=0,"",IF(U$12&lt;&gt;$C$5,NA(),INDEX(auto_DataFlat_Score,INDEX(sys_DataFlat_LU_Grid,$C81,U$11))))</f>
        <v>100</v>
      </c>
      <c r="V81" cm="1">
        <f t="array" aca="1" ref="V81" ca="1">IF($C81=0,"",IF(V$12&lt;&gt;$C$5,NA(),INDEX(auto_DataFlat_Score,INDEX(sys_DataFlat_LU_Grid,$C81,V$11))))</f>
        <v>100</v>
      </c>
      <c r="W81" cm="1">
        <f t="array" aca="1" ref="W81" ca="1">IF($C81=0,"",IF(W$12&lt;&gt;$C$5,NA(),INDEX(auto_DataFlat_Score,INDEX(sys_DataFlat_LU_Grid,$C81,W$11))))</f>
        <v>100</v>
      </c>
      <c r="X81" cm="1">
        <f t="array" aca="1" ref="X81" ca="1">IF($C81=0,"",IF(X$12&lt;&gt;$C$5,NA(),INDEX(auto_DataFlat_Score,INDEX(sys_DataFlat_LU_Grid,$C81,X$11))))</f>
        <v>100</v>
      </c>
      <c r="Y81" cm="1">
        <f t="array" aca="1" ref="Y81" ca="1">IF($C81=0,"",IF(Y$12&lt;&gt;$C$5,NA(),INDEX(auto_DataFlat_Score,INDEX(sys_DataFlat_LU_Grid,$C81,Y$11))))</f>
        <v>100</v>
      </c>
      <c r="Z81" cm="1">
        <f t="array" aca="1" ref="Z81" ca="1">IF($C81=0,"",IF(Z$12&lt;&gt;$C$5,NA(),INDEX(auto_DataFlat_Score,INDEX(sys_DataFlat_LU_Grid,$C81,Z$11))))</f>
        <v>100</v>
      </c>
      <c r="AA81" cm="1">
        <f t="array" aca="1" ref="AA81" ca="1">IF($C81=0,"",IF(AA$12&lt;&gt;$C$5,NA(),INDEX(auto_DataFlat_Score,INDEX(sys_DataFlat_LU_Grid,$C81,AA$11))))</f>
        <v>100</v>
      </c>
      <c r="AB81" cm="1">
        <f t="array" aca="1" ref="AB81" ca="1">IF($C81=0,"",IF(AB$12&lt;&gt;$C$5,NA(),INDEX(auto_DataFlat_Score,INDEX(sys_DataFlat_LU_Grid,$C81,AB$11))))</f>
        <v>100</v>
      </c>
      <c r="AC81" cm="1">
        <f t="array" aca="1" ref="AC81" ca="1">IF($C81=0,"",IF(AC$12&lt;&gt;$C$5,NA(),INDEX(auto_DataFlat_Score,INDEX(sys_DataFlat_LU_Grid,$C81,AC$11))))</f>
        <v>100</v>
      </c>
      <c r="AD81" cm="1">
        <f t="array" aca="1" ref="AD81" ca="1">IF($C81=0,"",IF(AD$12&lt;&gt;$C$5,NA(),INDEX(auto_DataFlat_Score,INDEX(sys_DataFlat_LU_Grid,$C81,AD$11))))</f>
        <v>100</v>
      </c>
      <c r="AE81" cm="1">
        <f t="array" aca="1" ref="AE81" ca="1">IF($C81=0,"",IF(AE$12&lt;&gt;$C$5,NA(),INDEX(auto_DataFlat_Score,INDEX(sys_DataFlat_LU_Grid,$C81,AE$11))))</f>
        <v>100</v>
      </c>
      <c r="AF81" cm="1">
        <f t="array" aca="1" ref="AF81" ca="1">IF($C81=0,"",IF(AF$12&lt;&gt;$C$5,NA(),INDEX(auto_DataFlat_Score,INDEX(sys_DataFlat_LU_Grid,$C81,AF$11))))</f>
        <v>100</v>
      </c>
      <c r="AG81" cm="1">
        <f t="array" aca="1" ref="AG81" ca="1">IF($C81=0,"",IF(AG$12&lt;&gt;$C$5,NA(),INDEX(auto_DataFlat_Score,INDEX(sys_DataFlat_LU_Grid,$C81,AG$11))))</f>
        <v>100</v>
      </c>
      <c r="AH81" cm="1">
        <f t="array" aca="1" ref="AH81" ca="1">IF($C81=0,"",IF(AH$12&lt;&gt;$C$5,NA(),INDEX(auto_DataFlat_Score,INDEX(sys_DataFlat_LU_Grid,$C81,AH$11))))</f>
        <v>100</v>
      </c>
      <c r="AI81" cm="1">
        <f t="array" aca="1" ref="AI81" ca="1">IF($C81=0,"",IF(AI$12&lt;&gt;$C$5,NA(),INDEX(auto_DataFlat_Score,INDEX(sys_DataFlat_LU_Grid,$C81,AI$11))))</f>
        <v>100</v>
      </c>
      <c r="AJ81" cm="1">
        <f t="array" aca="1" ref="AJ81" ca="1">IF($C81=0,"",IF(AJ$12&lt;&gt;$C$5,NA(),INDEX(auto_DataFlat_Score,INDEX(sys_DataFlat_LU_Grid,$C81,AJ$11))))</f>
        <v>100</v>
      </c>
      <c r="AK81" cm="1">
        <f t="array" aca="1" ref="AK81" ca="1">IF($C81=0,"",IF(AK$12&lt;&gt;$C$5,NA(),INDEX(auto_DataFlat_Score,INDEX(sys_DataFlat_LU_Grid,$C81,AK$11))))</f>
        <v>0</v>
      </c>
      <c r="AL81" cm="1">
        <f t="array" aca="1" ref="AL81" ca="1">IF($C81=0,"",IF(AL$12&lt;&gt;$C$5,NA(),INDEX(auto_DataFlat_Score,INDEX(sys_DataFlat_LU_Grid,$C81,AL$11))))</f>
        <v>100</v>
      </c>
      <c r="AM81" cm="1">
        <f t="array" aca="1" ref="AM81" ca="1">IF($C81=0,"",IF(AM$12&lt;&gt;$C$5,NA(),INDEX(auto_DataFlat_Score,INDEX(sys_DataFlat_LU_Grid,$C81,AM$11))))</f>
        <v>0</v>
      </c>
      <c r="AN81" cm="1">
        <f t="array" aca="1" ref="AN81" ca="1">IF($C81=0,"",IF(AN$12&lt;&gt;$C$5,NA(),INDEX(auto_DataFlat_Score,INDEX(sys_DataFlat_LU_Grid,$C81,AN$11))))</f>
        <v>100</v>
      </c>
      <c r="AO81" cm="1">
        <f t="array" aca="1" ref="AO81" ca="1">IF($C81=0,"",IF(AO$12&lt;&gt;$C$5,NA(),INDEX(auto_DataFlat_Score,INDEX(sys_DataFlat_LU_Grid,$C81,AO$11))))</f>
        <v>100</v>
      </c>
      <c r="AP81" cm="1">
        <f t="array" aca="1" ref="AP81" ca="1">IF($C81=0,"",IF(AP$12&lt;&gt;$C$5,NA(),INDEX(auto_DataFlat_Score,INDEX(sys_DataFlat_LU_Grid,$C81,AP$11))))</f>
        <v>100</v>
      </c>
      <c r="AQ81" cm="1">
        <f t="array" aca="1" ref="AQ81" ca="1">IF($C81=0,"",IF(AQ$12&lt;&gt;$C$5,NA(),INDEX(auto_DataFlat_Score,INDEX(sys_DataFlat_LU_Grid,$C81,AQ$11))))</f>
        <v>100</v>
      </c>
      <c r="AR81" cm="1">
        <f t="array" aca="1" ref="AR81" ca="1">IF($C81=0,"",IF(AR$12&lt;&gt;$C$5,NA(),INDEX(auto_DataFlat_Score,INDEX(sys_DataFlat_LU_Grid,$C81,AR$11))))</f>
        <v>100</v>
      </c>
      <c r="AS81" cm="1">
        <f t="array" aca="1" ref="AS81" ca="1">IF($C81=0,"",IF(AS$12&lt;&gt;$C$5,NA(),INDEX(auto_DataFlat_Score,INDEX(sys_DataFlat_LU_Grid,$C81,AS$11))))</f>
        <v>100</v>
      </c>
      <c r="AT81" cm="1">
        <f t="array" aca="1" ref="AT81" ca="1">IF($C81=0,"",IF(AT$12&lt;&gt;$C$5,NA(),INDEX(auto_DataFlat_Score,INDEX(sys_DataFlat_LU_Grid,$C81,AT$11))))</f>
        <v>100</v>
      </c>
      <c r="AU81" cm="1">
        <f t="array" aca="1" ref="AU81" ca="1">IF($C81=0,"",IF(AU$12&lt;&gt;$C$5,NA(),INDEX(auto_DataFlat_Score,INDEX(sys_DataFlat_LU_Grid,$C81,AU$11))))</f>
        <v>100</v>
      </c>
      <c r="AV81" cm="1">
        <f t="array" aca="1" ref="AV81" ca="1">IF($C81=0,"",IF(AV$12&lt;&gt;$C$5,NA(),INDEX(auto_DataFlat_Score,INDEX(sys_DataFlat_LU_Grid,$C81,AV$11))))</f>
        <v>100</v>
      </c>
      <c r="AW81" cm="1">
        <f t="array" aca="1" ref="AW81" ca="1">IF($C81=0,"",IF(AW$12&lt;&gt;$C$5,NA(),INDEX(auto_DataFlat_Score,INDEX(sys_DataFlat_LU_Grid,$C81,AW$11))))</f>
        <v>100</v>
      </c>
      <c r="AX81" cm="1">
        <f t="array" aca="1" ref="AX81" ca="1">IF($C81=0,"",IF(AX$12&lt;&gt;$C$5,NA(),INDEX(auto_DataFlat_Score,INDEX(sys_DataFlat_LU_Grid,$C81,AX$11))))</f>
        <v>100</v>
      </c>
      <c r="AY81" cm="1">
        <f t="array" aca="1" ref="AY81" ca="1">IF($C81=0,"",IF(AY$12&lt;&gt;$C$5,NA(),INDEX(auto_DataFlat_Score,INDEX(sys_DataFlat_LU_Grid,$C81,AY$11))))</f>
        <v>100</v>
      </c>
      <c r="AZ81" cm="1">
        <f t="array" aca="1" ref="AZ81" ca="1">IF($C81=0,"",IF(AZ$12&lt;&gt;$C$5,NA(),INDEX(auto_DataFlat_Score,INDEX(sys_DataFlat_LU_Grid,$C81,AZ$11))))</f>
        <v>100</v>
      </c>
      <c r="BA81" cm="1">
        <f t="array" aca="1" ref="BA81" ca="1">IF($C81=0,"",IF(BA$12&lt;&gt;$C$5,NA(),INDEX(auto_DataFlat_Score,INDEX(sys_DataFlat_LU_Grid,$C81,BA$11))))</f>
        <v>100</v>
      </c>
      <c r="BB81" cm="1">
        <f t="array" aca="1" ref="BB81" ca="1">IF($C81=0,"",IF(BB$12&lt;&gt;$C$5,NA(),INDEX(auto_DataFlat_Score,INDEX(sys_DataFlat_LU_Grid,$C81,BB$11))))</f>
        <v>100</v>
      </c>
      <c r="BC81" cm="1">
        <f t="array" aca="1" ref="BC81" ca="1">IF($C81=0,"",IF(BC$12&lt;&gt;$C$5,NA(),INDEX(auto_DataFlat_Score,INDEX(sys_DataFlat_LU_Grid,$C81,BC$11))))</f>
        <v>100</v>
      </c>
      <c r="BD81" cm="1">
        <f t="array" aca="1" ref="BD81" ca="1">IF($C81=0,"",IF(BD$12&lt;&gt;$C$5,NA(),INDEX(auto_DataFlat_Score,INDEX(sys_DataFlat_LU_Grid,$C81,BD$11))))</f>
        <v>100</v>
      </c>
      <c r="BE81" cm="1">
        <f t="array" aca="1" ref="BE81" ca="1">IF($C81=0,"",IF(BE$12&lt;&gt;$C$5,NA(),INDEX(auto_DataFlat_Score,INDEX(sys_DataFlat_LU_Grid,$C81,BE$11))))</f>
        <v>100</v>
      </c>
      <c r="BF81" cm="1">
        <f t="array" aca="1" ref="BF81" ca="1">IF($C81=0,"",IF(BF$12&lt;&gt;$C$5,NA(),INDEX(auto_DataFlat_Score,INDEX(sys_DataFlat_LU_Grid,$C81,BF$11))))</f>
        <v>100</v>
      </c>
      <c r="BG81" cm="1">
        <f t="array" aca="1" ref="BG81" ca="1">IF($C81=0,"",IF(BG$12&lt;&gt;$C$5,NA(),INDEX(auto_DataFlat_Score,INDEX(sys_DataFlat_LU_Grid,$C81,BG$11))))</f>
        <v>100</v>
      </c>
      <c r="BH81" cm="1">
        <f t="array" aca="1" ref="BH81" ca="1">IF($C81=0,"",IF(BH$12&lt;&gt;$C$5,NA(),INDEX(auto_DataFlat_Score,INDEX(sys_DataFlat_LU_Grid,$C81,BH$11))))</f>
        <v>100</v>
      </c>
      <c r="BI81" cm="1">
        <f t="array" aca="1" ref="BI81" ca="1">IF($C81=0,"",IF(BI$12&lt;&gt;$C$5,NA(),INDEX(auto_DataFlat_Score,INDEX(sys_DataFlat_LU_Grid,$C81,BI$11))))</f>
        <v>100</v>
      </c>
      <c r="BJ81" cm="1">
        <f t="array" aca="1" ref="BJ81" ca="1">IF($C81=0,"",IF(BJ$12&lt;&gt;$C$5,NA(),INDEX(auto_DataFlat_Score,INDEX(sys_DataFlat_LU_Grid,$C81,BJ$11))))</f>
        <v>100</v>
      </c>
      <c r="BK81" cm="1">
        <f t="array" aca="1" ref="BK81" ca="1">IF($C81=0,"",IF(BK$12&lt;&gt;$C$5,NA(),INDEX(auto_DataFlat_Score,INDEX(sys_DataFlat_LU_Grid,$C81,BK$11))))</f>
        <v>100</v>
      </c>
      <c r="BL81" cm="1">
        <f t="array" aca="1" ref="BL81" ca="1">IF($C81=0,"",IF(BL$12&lt;&gt;$C$5,NA(),INDEX(auto_DataFlat_Score,INDEX(sys_DataFlat_LU_Grid,$C81,BL$11))))</f>
        <v>100</v>
      </c>
      <c r="BM81" cm="1">
        <f t="array" aca="1" ref="BM81" ca="1">IF($C81=0,"",IF(BM$12&lt;&gt;$C$5,NA(),INDEX(auto_DataFlat_Score,INDEX(sys_DataFlat_LU_Grid,$C81,BM$11))))</f>
        <v>100</v>
      </c>
      <c r="BO81">
        <f t="shared" ca="1" si="22"/>
        <v>0</v>
      </c>
      <c r="BP81">
        <f t="shared" ca="1" si="23"/>
        <v>100</v>
      </c>
      <c r="BQ81" cm="1">
        <f t="array" aca="1" ref="BQ81" ca="1">IF(C81=0,0,INDEX(sys_DataFlat_LU_Grid_Groups,$C81,BQ$12))</f>
        <v>3596</v>
      </c>
      <c r="BR81" cm="1">
        <f t="array" aca="1" ref="BR81" ca="1">IF(D81=0,0,INDEX(sys_DataFlat_LU_Grid_Groups,$C81,BR$12))</f>
        <v>3599</v>
      </c>
      <c r="BU81" cm="1">
        <f t="array" aca="1" ref="BU81" ca="1">INDEX(auto_DataFlat_Score,BQ81)</f>
        <v>90</v>
      </c>
      <c r="BV81" cm="1">
        <f t="array" aca="1" ref="BV81" ca="1">INDEX(auto_DataFlat_Score,BR81)</f>
        <v>100</v>
      </c>
      <c r="BW81">
        <f t="shared" ca="1" si="24"/>
        <v>95</v>
      </c>
    </row>
    <row r="82" spans="2:85" x14ac:dyDescent="0.4">
      <c r="B82">
        <v>29</v>
      </c>
      <c r="C82" cm="1">
        <f t="array" aca="1" ref="C82" ca="1">INDEX(OFFSET(auto_ss_depth_2,0,1,300,1),B82)</f>
        <v>61</v>
      </c>
      <c r="D82" cm="1">
        <f t="array" aca="1" ref="D82" ca="1">IF(C82=0,0,INDEX(sys_DataFlat_LU_Grid_Groups,$C82,D$40))</f>
        <v>3651</v>
      </c>
      <c r="E82" cm="1">
        <f t="array" aca="1" ref="E82" ca="1">IF(C82=0,0,INDEX(sys_DataFlat_LU_Grid_Groups,$C82,E$40))</f>
        <v>3651</v>
      </c>
      <c r="G82">
        <f t="shared" ca="1" si="25"/>
        <v>67</v>
      </c>
      <c r="H82" t="e" cm="1">
        <f t="array" ref="H82">IF($C$8=0,NA(),INDEX($P82:$BM82,$C$8))</f>
        <v>#N/A</v>
      </c>
      <c r="I82" cm="1">
        <f t="array" aca="1" ref="I82" ca="1">IF(C82=0,0,INDEX(sys_DataFlat_LU_Grid,$C82,$C$2))</f>
        <v>3601</v>
      </c>
      <c r="J82" t="str" cm="1">
        <f t="array" aca="1" ref="J82" ca="1">IF(C82=0,"-",INDEX(auto_Series_NameNoNumber,C82))</f>
        <v>Tobacco control</v>
      </c>
      <c r="K82" cm="1">
        <f t="array" aca="1" ref="K82" ca="1">IF(C82=0,"-",INDEX(K$94:K$162,$C82))</f>
        <v>75</v>
      </c>
      <c r="L82" t="str" cm="1">
        <f t="array" aca="1" ref="L82" ca="1">IF(C82=0,"-",INDEX(L$94:L$162,$C82))</f>
        <v>=13</v>
      </c>
      <c r="M82">
        <f t="shared" ca="1" si="26"/>
        <v>0</v>
      </c>
      <c r="N82" cm="1">
        <f t="array" aca="1" ref="N82" ca="1">IF(C82=0,"-",INDEX($N$94:$N$162,$C82))</f>
        <v>4</v>
      </c>
      <c r="O82" t="e" cm="1">
        <f t="array" aca="1" ref="O82" ca="1">IF(C82=0,"-",INDEX(#REF!,$C82))</f>
        <v>#REF!</v>
      </c>
      <c r="P82" cm="1">
        <f t="array" aca="1" ref="P82" ca="1">IF($C82=0,"",IF(P$12&lt;&gt;$C$5,NA(),INDEX(auto_DataFlat_Score,INDEX(sys_DataFlat_LU_Grid,$C82,P$11))))</f>
        <v>75</v>
      </c>
      <c r="Q82" cm="1">
        <f t="array" aca="1" ref="Q82" ca="1">IF($C82=0,"",IF(Q$12&lt;&gt;$C$5,NA(),INDEX(auto_DataFlat_Score,INDEX(sys_DataFlat_LU_Grid,$C82,Q$11))))</f>
        <v>25</v>
      </c>
      <c r="R82" cm="1">
        <f t="array" aca="1" ref="R82" ca="1">IF($C82=0,"",IF(R$12&lt;&gt;$C$5,NA(),INDEX(auto_DataFlat_Score,INDEX(sys_DataFlat_LU_Grid,$C82,R$11))))</f>
        <v>50</v>
      </c>
      <c r="S82" cm="1">
        <f t="array" aca="1" ref="S82" ca="1">IF($C82=0,"",IF(S$12&lt;&gt;$C$5,NA(),INDEX(auto_DataFlat_Score,INDEX(sys_DataFlat_LU_Grid,$C82,S$11))))</f>
        <v>100</v>
      </c>
      <c r="T82" cm="1">
        <f t="array" aca="1" ref="T82" ca="1">IF($C82=0,"",IF(T$12&lt;&gt;$C$5,NA(),INDEX(auto_DataFlat_Score,INDEX(sys_DataFlat_LU_Grid,$C82,T$11))))</f>
        <v>100</v>
      </c>
      <c r="U82" cm="1">
        <f t="array" aca="1" ref="U82" ca="1">IF($C82=0,"",IF(U$12&lt;&gt;$C$5,NA(),INDEX(auto_DataFlat_Score,INDEX(sys_DataFlat_LU_Grid,$C82,U$11))))</f>
        <v>50</v>
      </c>
      <c r="V82" cm="1">
        <f t="array" aca="1" ref="V82" ca="1">IF($C82=0,"",IF(V$12&lt;&gt;$C$5,NA(),INDEX(auto_DataFlat_Score,INDEX(sys_DataFlat_LU_Grid,$C82,V$11))))</f>
        <v>75</v>
      </c>
      <c r="W82" cm="1">
        <f t="array" aca="1" ref="W82" ca="1">IF($C82=0,"",IF(W$12&lt;&gt;$C$5,NA(),INDEX(auto_DataFlat_Score,INDEX(sys_DataFlat_LU_Grid,$C82,W$11))))</f>
        <v>75</v>
      </c>
      <c r="X82" cm="1">
        <f t="array" aca="1" ref="X82" ca="1">IF($C82=0,"",IF(X$12&lt;&gt;$C$5,NA(),INDEX(auto_DataFlat_Score,INDEX(sys_DataFlat_LU_Grid,$C82,X$11))))</f>
        <v>100</v>
      </c>
      <c r="Y82" cm="1">
        <f t="array" aca="1" ref="Y82" ca="1">IF($C82=0,"",IF(Y$12&lt;&gt;$C$5,NA(),INDEX(auto_DataFlat_Score,INDEX(sys_DataFlat_LU_Grid,$C82,Y$11))))</f>
        <v>50</v>
      </c>
      <c r="Z82" cm="1">
        <f t="array" aca="1" ref="Z82" ca="1">IF($C82=0,"",IF(Z$12&lt;&gt;$C$5,NA(),INDEX(auto_DataFlat_Score,INDEX(sys_DataFlat_LU_Grid,$C82,Z$11))))</f>
        <v>100</v>
      </c>
      <c r="AA82" cm="1">
        <f t="array" aca="1" ref="AA82" ca="1">IF($C82=0,"",IF(AA$12&lt;&gt;$C$5,NA(),INDEX(auto_DataFlat_Score,INDEX(sys_DataFlat_LU_Grid,$C82,AA$11))))</f>
        <v>100</v>
      </c>
      <c r="AB82" cm="1">
        <f t="array" aca="1" ref="AB82" ca="1">IF($C82=0,"",IF(AB$12&lt;&gt;$C$5,NA(),INDEX(auto_DataFlat_Score,INDEX(sys_DataFlat_LU_Grid,$C82,AB$11))))</f>
        <v>50</v>
      </c>
      <c r="AC82" cm="1">
        <f t="array" aca="1" ref="AC82" ca="1">IF($C82=0,"",IF(AC$12&lt;&gt;$C$5,NA(),INDEX(auto_DataFlat_Score,INDEX(sys_DataFlat_LU_Grid,$C82,AC$11))))</f>
        <v>50</v>
      </c>
      <c r="AD82" cm="1">
        <f t="array" aca="1" ref="AD82" ca="1">IF($C82=0,"",IF(AD$12&lt;&gt;$C$5,NA(),INDEX(auto_DataFlat_Score,INDEX(sys_DataFlat_LU_Grid,$C82,AD$11))))</f>
        <v>50</v>
      </c>
      <c r="AE82" cm="1">
        <f t="array" aca="1" ref="AE82" ca="1">IF($C82=0,"",IF(AE$12&lt;&gt;$C$5,NA(),INDEX(auto_DataFlat_Score,INDEX(sys_DataFlat_LU_Grid,$C82,AE$11))))</f>
        <v>75</v>
      </c>
      <c r="AF82" cm="1">
        <f t="array" aca="1" ref="AF82" ca="1">IF($C82=0,"",IF(AF$12&lt;&gt;$C$5,NA(),INDEX(auto_DataFlat_Score,INDEX(sys_DataFlat_LU_Grid,$C82,AF$11))))</f>
        <v>50</v>
      </c>
      <c r="AG82" cm="1">
        <f t="array" aca="1" ref="AG82" ca="1">IF($C82=0,"",IF(AG$12&lt;&gt;$C$5,NA(),INDEX(auto_DataFlat_Score,INDEX(sys_DataFlat_LU_Grid,$C82,AG$11))))</f>
        <v>100</v>
      </c>
      <c r="AH82" cm="1">
        <f t="array" aca="1" ref="AH82" ca="1">IF($C82=0,"",IF(AH$12&lt;&gt;$C$5,NA(),INDEX(auto_DataFlat_Score,INDEX(sys_DataFlat_LU_Grid,$C82,AH$11))))</f>
        <v>50</v>
      </c>
      <c r="AI82" cm="1">
        <f t="array" aca="1" ref="AI82" ca="1">IF($C82=0,"",IF(AI$12&lt;&gt;$C$5,NA(),INDEX(auto_DataFlat_Score,INDEX(sys_DataFlat_LU_Grid,$C82,AI$11))))</f>
        <v>50</v>
      </c>
      <c r="AJ82" cm="1">
        <f t="array" aca="1" ref="AJ82" ca="1">IF($C82=0,"",IF(AJ$12&lt;&gt;$C$5,NA(),INDEX(auto_DataFlat_Score,INDEX(sys_DataFlat_LU_Grid,$C82,AJ$11))))</f>
        <v>50</v>
      </c>
      <c r="AK82" cm="1">
        <f t="array" aca="1" ref="AK82" ca="1">IF($C82=0,"",IF(AK$12&lt;&gt;$C$5,NA(),INDEX(auto_DataFlat_Score,INDEX(sys_DataFlat_LU_Grid,$C82,AK$11))))</f>
        <v>50</v>
      </c>
      <c r="AL82" cm="1">
        <f t="array" aca="1" ref="AL82" ca="1">IF($C82=0,"",IF(AL$12&lt;&gt;$C$5,NA(),INDEX(auto_DataFlat_Score,INDEX(sys_DataFlat_LU_Grid,$C82,AL$11))))</f>
        <v>100</v>
      </c>
      <c r="AM82" cm="1">
        <f t="array" aca="1" ref="AM82" ca="1">IF($C82=0,"",IF(AM$12&lt;&gt;$C$5,NA(),INDEX(auto_DataFlat_Score,INDEX(sys_DataFlat_LU_Grid,$C82,AM$11))))</f>
        <v>50</v>
      </c>
      <c r="AN82" cm="1">
        <f t="array" aca="1" ref="AN82" ca="1">IF($C82=0,"",IF(AN$12&lt;&gt;$C$5,NA(),INDEX(auto_DataFlat_Score,INDEX(sys_DataFlat_LU_Grid,$C82,AN$11))))</f>
        <v>50</v>
      </c>
      <c r="AO82" cm="1">
        <f t="array" aca="1" ref="AO82" ca="1">IF($C82=0,"",IF(AO$12&lt;&gt;$C$5,NA(),INDEX(auto_DataFlat_Score,INDEX(sys_DataFlat_LU_Grid,$C82,AO$11))))</f>
        <v>100</v>
      </c>
      <c r="AP82" cm="1">
        <f t="array" aca="1" ref="AP82" ca="1">IF($C82=0,"",IF(AP$12&lt;&gt;$C$5,NA(),INDEX(auto_DataFlat_Score,INDEX(sys_DataFlat_LU_Grid,$C82,AP$11))))</f>
        <v>100</v>
      </c>
      <c r="AQ82" cm="1">
        <f t="array" aca="1" ref="AQ82" ca="1">IF($C82=0,"",IF(AQ$12&lt;&gt;$C$5,NA(),INDEX(auto_DataFlat_Score,INDEX(sys_DataFlat_LU_Grid,$C82,AQ$11))))</f>
        <v>75</v>
      </c>
      <c r="AR82" cm="1">
        <f t="array" aca="1" ref="AR82" ca="1">IF($C82=0,"",IF(AR$12&lt;&gt;$C$5,NA(),INDEX(auto_DataFlat_Score,INDEX(sys_DataFlat_LU_Grid,$C82,AR$11))))</f>
        <v>75</v>
      </c>
      <c r="AS82" cm="1">
        <f t="array" aca="1" ref="AS82" ca="1">IF($C82=0,"",IF(AS$12&lt;&gt;$C$5,NA(),INDEX(auto_DataFlat_Score,INDEX(sys_DataFlat_LU_Grid,$C82,AS$11))))</f>
        <v>75</v>
      </c>
      <c r="AT82" cm="1">
        <f t="array" aca="1" ref="AT82" ca="1">IF($C82=0,"",IF(AT$12&lt;&gt;$C$5,NA(),INDEX(auto_DataFlat_Score,INDEX(sys_DataFlat_LU_Grid,$C82,AT$11))))</f>
        <v>100</v>
      </c>
      <c r="AU82" cm="1">
        <f t="array" aca="1" ref="AU82" ca="1">IF($C82=0,"",IF(AU$12&lt;&gt;$C$5,NA(),INDEX(auto_DataFlat_Score,INDEX(sys_DataFlat_LU_Grid,$C82,AU$11))))</f>
        <v>100</v>
      </c>
      <c r="AV82" cm="1">
        <f t="array" aca="1" ref="AV82" ca="1">IF($C82=0,"",IF(AV$12&lt;&gt;$C$5,NA(),INDEX(auto_DataFlat_Score,INDEX(sys_DataFlat_LU_Grid,$C82,AV$11))))</f>
        <v>50</v>
      </c>
      <c r="AW82" cm="1">
        <f t="array" aca="1" ref="AW82" ca="1">IF($C82=0,"",IF(AW$12&lt;&gt;$C$5,NA(),INDEX(auto_DataFlat_Score,INDEX(sys_DataFlat_LU_Grid,$C82,AW$11))))</f>
        <v>50</v>
      </c>
      <c r="AX82" cm="1">
        <f t="array" aca="1" ref="AX82" ca="1">IF($C82=0,"",IF(AX$12&lt;&gt;$C$5,NA(),INDEX(auto_DataFlat_Score,INDEX(sys_DataFlat_LU_Grid,$C82,AX$11))))</f>
        <v>50</v>
      </c>
      <c r="AY82" cm="1">
        <f t="array" aca="1" ref="AY82" ca="1">IF($C82=0,"",IF(AY$12&lt;&gt;$C$5,NA(),INDEX(auto_DataFlat_Score,INDEX(sys_DataFlat_LU_Grid,$C82,AY$11))))</f>
        <v>75</v>
      </c>
      <c r="AZ82" cm="1">
        <f t="array" aca="1" ref="AZ82" ca="1">IF($C82=0,"",IF(AZ$12&lt;&gt;$C$5,NA(),INDEX(auto_DataFlat_Score,INDEX(sys_DataFlat_LU_Grid,$C82,AZ$11))))</f>
        <v>75</v>
      </c>
      <c r="BA82" cm="1">
        <f t="array" aca="1" ref="BA82" ca="1">IF($C82=0,"",IF(BA$12&lt;&gt;$C$5,NA(),INDEX(auto_DataFlat_Score,INDEX(sys_DataFlat_LU_Grid,$C82,BA$11))))</f>
        <v>75</v>
      </c>
      <c r="BB82" cm="1">
        <f t="array" aca="1" ref="BB82" ca="1">IF($C82=0,"",IF(BB$12&lt;&gt;$C$5,NA(),INDEX(auto_DataFlat_Score,INDEX(sys_DataFlat_LU_Grid,$C82,BB$11))))</f>
        <v>50</v>
      </c>
      <c r="BC82" cm="1">
        <f t="array" aca="1" ref="BC82" ca="1">IF($C82=0,"",IF(BC$12&lt;&gt;$C$5,NA(),INDEX(auto_DataFlat_Score,INDEX(sys_DataFlat_LU_Grid,$C82,BC$11))))</f>
        <v>50</v>
      </c>
      <c r="BD82" cm="1">
        <f t="array" aca="1" ref="BD82" ca="1">IF($C82=0,"",IF(BD$12&lt;&gt;$C$5,NA(),INDEX(auto_DataFlat_Score,INDEX(sys_DataFlat_LU_Grid,$C82,BD$11))))</f>
        <v>50</v>
      </c>
      <c r="BE82" cm="1">
        <f t="array" aca="1" ref="BE82" ca="1">IF($C82=0,"",IF(BE$12&lt;&gt;$C$5,NA(),INDEX(auto_DataFlat_Score,INDEX(sys_DataFlat_LU_Grid,$C82,BE$11))))</f>
        <v>50</v>
      </c>
      <c r="BF82" cm="1">
        <f t="array" aca="1" ref="BF82" ca="1">IF($C82=0,"",IF(BF$12&lt;&gt;$C$5,NA(),INDEX(auto_DataFlat_Score,INDEX(sys_DataFlat_LU_Grid,$C82,BF$11))))</f>
        <v>50</v>
      </c>
      <c r="BG82" cm="1">
        <f t="array" aca="1" ref="BG82" ca="1">IF($C82=0,"",IF(BG$12&lt;&gt;$C$5,NA(),INDEX(auto_DataFlat_Score,INDEX(sys_DataFlat_LU_Grid,$C82,BG$11))))</f>
        <v>50</v>
      </c>
      <c r="BH82" cm="1">
        <f t="array" aca="1" ref="BH82" ca="1">IF($C82=0,"",IF(BH$12&lt;&gt;$C$5,NA(),INDEX(auto_DataFlat_Score,INDEX(sys_DataFlat_LU_Grid,$C82,BH$11))))</f>
        <v>75</v>
      </c>
      <c r="BI82" cm="1">
        <f t="array" aca="1" ref="BI82" ca="1">IF($C82=0,"",IF(BI$12&lt;&gt;$C$5,NA(),INDEX(auto_DataFlat_Score,INDEX(sys_DataFlat_LU_Grid,$C82,BI$11))))</f>
        <v>50</v>
      </c>
      <c r="BJ82" cm="1">
        <f t="array" aca="1" ref="BJ82" ca="1">IF($C82=0,"",IF(BJ$12&lt;&gt;$C$5,NA(),INDEX(auto_DataFlat_Score,INDEX(sys_DataFlat_LU_Grid,$C82,BJ$11))))</f>
        <v>100</v>
      </c>
      <c r="BK82" cm="1">
        <f t="array" aca="1" ref="BK82" ca="1">IF($C82=0,"",IF(BK$12&lt;&gt;$C$5,NA(),INDEX(auto_DataFlat_Score,INDEX(sys_DataFlat_LU_Grid,$C82,BK$11))))</f>
        <v>50</v>
      </c>
      <c r="BL82" cm="1">
        <f t="array" aca="1" ref="BL82" ca="1">IF($C82=0,"",IF(BL$12&lt;&gt;$C$5,NA(),INDEX(auto_DataFlat_Score,INDEX(sys_DataFlat_LU_Grid,$C82,BL$11))))</f>
        <v>50</v>
      </c>
      <c r="BM82" cm="1">
        <f t="array" aca="1" ref="BM82" ca="1">IF($C82=0,"",IF(BM$12&lt;&gt;$C$5,NA(),INDEX(auto_DataFlat_Score,INDEX(sys_DataFlat_LU_Grid,$C82,BM$11))))</f>
        <v>50</v>
      </c>
      <c r="BO82">
        <f t="shared" ca="1" si="22"/>
        <v>25</v>
      </c>
      <c r="BP82">
        <f t="shared" ca="1" si="23"/>
        <v>100</v>
      </c>
      <c r="BQ82" cm="1">
        <f t="array" aca="1" ref="BQ82" ca="1">IF(C82=0,0,INDEX(sys_DataFlat_LU_Grid_Groups,$C82,BQ$12))</f>
        <v>3656</v>
      </c>
      <c r="BR82" cm="1">
        <f t="array" aca="1" ref="BR82" ca="1">IF(D82=0,0,INDEX(sys_DataFlat_LU_Grid_Groups,$C82,BR$12))</f>
        <v>3659</v>
      </c>
      <c r="BU82" cm="1">
        <f t="array" aca="1" ref="BU82" ca="1">INDEX(auto_DataFlat_Score,BQ82)</f>
        <v>75</v>
      </c>
      <c r="BV82" cm="1">
        <f t="array" aca="1" ref="BV82" ca="1">INDEX(auto_DataFlat_Score,BR82)</f>
        <v>68.2</v>
      </c>
      <c r="BW82">
        <f t="shared" ca="1" si="24"/>
        <v>67</v>
      </c>
    </row>
    <row r="83" spans="2:85" x14ac:dyDescent="0.4">
      <c r="B83">
        <v>30</v>
      </c>
      <c r="C83" cm="1">
        <f t="array" aca="1" ref="C83" ca="1">INDEX(OFFSET(auto_ss_depth_2,0,1,300,1),B83)</f>
        <v>62</v>
      </c>
      <c r="D83" cm="1">
        <f t="array" aca="1" ref="D83" ca="1">IF(C83=0,0,INDEX(sys_DataFlat_LU_Grid_Groups,$C83,D$40))</f>
        <v>3711</v>
      </c>
      <c r="E83" cm="1">
        <f t="array" aca="1" ref="E83" ca="1">IF(C83=0,0,INDEX(sys_DataFlat_LU_Grid_Groups,$C83,E$40))</f>
        <v>3711</v>
      </c>
      <c r="G83">
        <f t="shared" ref="G83:G85" ca="1" si="27">ROUND(AVERAGE(P83:BM83),1)</f>
        <v>82.7</v>
      </c>
      <c r="H83" t="e" cm="1">
        <f t="array" ref="H83">IF($C$8=0,NA(),INDEX($P83:$BM83,$C$8))</f>
        <v>#N/A</v>
      </c>
      <c r="I83" cm="1">
        <f t="array" aca="1" ref="I83" ca="1">IF(C83=0,0,INDEX(sys_DataFlat_LU_Grid,$C83,$C$2))</f>
        <v>3661</v>
      </c>
      <c r="J83" t="str" cm="1">
        <f t="array" aca="1" ref="J83" ca="1">IF(C83=0,"-",INDEX(auto_Series_NameNoNumber,C83))</f>
        <v>Air pollution control</v>
      </c>
      <c r="K83" cm="1">
        <f t="array" aca="1" ref="K83" ca="1">IF(C83=0,"-",INDEX(K$94:K$162,$C83))</f>
        <v>66.7</v>
      </c>
      <c r="L83" t="str" cm="1">
        <f t="array" aca="1" ref="L83" ca="1">IF(C83=0,"-",INDEX(L$94:L$162,$C83))</f>
        <v>=28</v>
      </c>
      <c r="M83">
        <f t="shared" ref="M83:M85" ca="1" si="28">IF(C83=0,"-",STANDARDIZE(K83,AVERAGE(P83:AA83),STDEV((P83:AA83))))</f>
        <v>-0.80917359371268927</v>
      </c>
      <c r="N83" cm="1">
        <f t="array" aca="1" ref="N83" ca="1">IF(C83=0,"-",INDEX($N$94:$N$162,$C83))</f>
        <v>4</v>
      </c>
      <c r="O83" t="e" cm="1">
        <f t="array" aca="1" ref="O83" ca="1">IF(C83=0,"-",INDEX(#REF!,$C83))</f>
        <v>#REF!</v>
      </c>
      <c r="P83" cm="1">
        <f t="array" aca="1" ref="P83" ca="1">IF($C83=0,"",IF(P$12&lt;&gt;$C$5,NA(),INDEX(auto_DataFlat_Score,INDEX(sys_DataFlat_LU_Grid,$C83,P$11))))</f>
        <v>66.7</v>
      </c>
      <c r="Q83" cm="1">
        <f t="array" aca="1" ref="Q83" ca="1">IF($C83=0,"",IF(Q$12&lt;&gt;$C$5,NA(),INDEX(auto_DataFlat_Score,INDEX(sys_DataFlat_LU_Grid,$C83,Q$11))))</f>
        <v>66.7</v>
      </c>
      <c r="R83" cm="1">
        <f t="array" aca="1" ref="R83" ca="1">IF($C83=0,"",IF(R$12&lt;&gt;$C$5,NA(),INDEX(auto_DataFlat_Score,INDEX(sys_DataFlat_LU_Grid,$C83,R$11))))</f>
        <v>66.7</v>
      </c>
      <c r="S83" cm="1">
        <f t="array" aca="1" ref="S83" ca="1">IF($C83=0,"",IF(S$12&lt;&gt;$C$5,NA(),INDEX(auto_DataFlat_Score,INDEX(sys_DataFlat_LU_Grid,$C83,S$11))))</f>
        <v>66.7</v>
      </c>
      <c r="T83" cm="1">
        <f t="array" aca="1" ref="T83" ca="1">IF($C83=0,"",IF(T$12&lt;&gt;$C$5,NA(),INDEX(auto_DataFlat_Score,INDEX(sys_DataFlat_LU_Grid,$C83,T$11))))</f>
        <v>100</v>
      </c>
      <c r="U83" cm="1">
        <f t="array" aca="1" ref="U83" ca="1">IF($C83=0,"",IF(U$12&lt;&gt;$C$5,NA(),INDEX(auto_DataFlat_Score,INDEX(sys_DataFlat_LU_Grid,$C83,U$11))))</f>
        <v>66.7</v>
      </c>
      <c r="V83" cm="1">
        <f t="array" aca="1" ref="V83" ca="1">IF($C83=0,"",IF(V$12&lt;&gt;$C$5,NA(),INDEX(auto_DataFlat_Score,INDEX(sys_DataFlat_LU_Grid,$C83,V$11))))</f>
        <v>100</v>
      </c>
      <c r="W83" cm="1">
        <f t="array" aca="1" ref="W83" ca="1">IF($C83=0,"",IF(W$12&lt;&gt;$C$5,NA(),INDEX(auto_DataFlat_Score,INDEX(sys_DataFlat_LU_Grid,$C83,W$11))))</f>
        <v>100</v>
      </c>
      <c r="X83" cm="1">
        <f t="array" aca="1" ref="X83" ca="1">IF($C83=0,"",IF(X$12&lt;&gt;$C$5,NA(),INDEX(auto_DataFlat_Score,INDEX(sys_DataFlat_LU_Grid,$C83,X$11))))</f>
        <v>100</v>
      </c>
      <c r="Y83" cm="1">
        <f t="array" aca="1" ref="Y83" ca="1">IF($C83=0,"",IF(Y$12&lt;&gt;$C$5,NA(),INDEX(auto_DataFlat_Score,INDEX(sys_DataFlat_LU_Grid,$C83,Y$11))))</f>
        <v>66.7</v>
      </c>
      <c r="Z83" cm="1">
        <f t="array" aca="1" ref="Z83" ca="1">IF($C83=0,"",IF(Z$12&lt;&gt;$C$5,NA(),INDEX(auto_DataFlat_Score,INDEX(sys_DataFlat_LU_Grid,$C83,Z$11))))</f>
        <v>66.7</v>
      </c>
      <c r="AA83" cm="1">
        <f t="array" aca="1" ref="AA83" ca="1">IF($C83=0,"",IF(AA$12&lt;&gt;$C$5,NA(),INDEX(auto_DataFlat_Score,INDEX(sys_DataFlat_LU_Grid,$C83,AA$11))))</f>
        <v>100</v>
      </c>
      <c r="AB83" cm="1">
        <f t="array" aca="1" ref="AB83" ca="1">IF($C83=0,"",IF(AB$12&lt;&gt;$C$5,NA(),INDEX(auto_DataFlat_Score,INDEX(sys_DataFlat_LU_Grid,$C83,AB$11))))</f>
        <v>66.7</v>
      </c>
      <c r="AC83" cm="1">
        <f t="array" aca="1" ref="AC83" ca="1">IF($C83=0,"",IF(AC$12&lt;&gt;$C$5,NA(),INDEX(auto_DataFlat_Score,INDEX(sys_DataFlat_LU_Grid,$C83,AC$11))))</f>
        <v>100</v>
      </c>
      <c r="AD83" cm="1">
        <f t="array" aca="1" ref="AD83" ca="1">IF($C83=0,"",IF(AD$12&lt;&gt;$C$5,NA(),INDEX(auto_DataFlat_Score,INDEX(sys_DataFlat_LU_Grid,$C83,AD$11))))</f>
        <v>100</v>
      </c>
      <c r="AE83" cm="1">
        <f t="array" aca="1" ref="AE83" ca="1">IF($C83=0,"",IF(AE$12&lt;&gt;$C$5,NA(),INDEX(auto_DataFlat_Score,INDEX(sys_DataFlat_LU_Grid,$C83,AE$11))))</f>
        <v>100</v>
      </c>
      <c r="AF83" cm="1">
        <f t="array" aca="1" ref="AF83" ca="1">IF($C83=0,"",IF(AF$12&lt;&gt;$C$5,NA(),INDEX(auto_DataFlat_Score,INDEX(sys_DataFlat_LU_Grid,$C83,AF$11))))</f>
        <v>66.7</v>
      </c>
      <c r="AG83" cm="1">
        <f t="array" aca="1" ref="AG83" ca="1">IF($C83=0,"",IF(AG$12&lt;&gt;$C$5,NA(),INDEX(auto_DataFlat_Score,INDEX(sys_DataFlat_LU_Grid,$C83,AG$11))))</f>
        <v>100</v>
      </c>
      <c r="AH83" cm="1">
        <f t="array" aca="1" ref="AH83" ca="1">IF($C83=0,"",IF(AH$12&lt;&gt;$C$5,NA(),INDEX(auto_DataFlat_Score,INDEX(sys_DataFlat_LU_Grid,$C83,AH$11))))</f>
        <v>100</v>
      </c>
      <c r="AI83" cm="1">
        <f t="array" aca="1" ref="AI83" ca="1">IF($C83=0,"",IF(AI$12&lt;&gt;$C$5,NA(),INDEX(auto_DataFlat_Score,INDEX(sys_DataFlat_LU_Grid,$C83,AI$11))))</f>
        <v>66.7</v>
      </c>
      <c r="AJ83" cm="1">
        <f t="array" aca="1" ref="AJ83" ca="1">IF($C83=0,"",IF(AJ$12&lt;&gt;$C$5,NA(),INDEX(auto_DataFlat_Score,INDEX(sys_DataFlat_LU_Grid,$C83,AJ$11))))</f>
        <v>100</v>
      </c>
      <c r="AK83" cm="1">
        <f t="array" aca="1" ref="AK83" ca="1">IF($C83=0,"",IF(AK$12&lt;&gt;$C$5,NA(),INDEX(auto_DataFlat_Score,INDEX(sys_DataFlat_LU_Grid,$C83,AK$11))))</f>
        <v>33.299999999999997</v>
      </c>
      <c r="AL83" cm="1">
        <f t="array" aca="1" ref="AL83" ca="1">IF($C83=0,"",IF(AL$12&lt;&gt;$C$5,NA(),INDEX(auto_DataFlat_Score,INDEX(sys_DataFlat_LU_Grid,$C83,AL$11))))</f>
        <v>100</v>
      </c>
      <c r="AM83" cm="1">
        <f t="array" aca="1" ref="AM83" ca="1">IF($C83=0,"",IF(AM$12&lt;&gt;$C$5,NA(),INDEX(auto_DataFlat_Score,INDEX(sys_DataFlat_LU_Grid,$C83,AM$11))))</f>
        <v>100</v>
      </c>
      <c r="AN83" cm="1">
        <f t="array" aca="1" ref="AN83" ca="1">IF($C83=0,"",IF(AN$12&lt;&gt;$C$5,NA(),INDEX(auto_DataFlat_Score,INDEX(sys_DataFlat_LU_Grid,$C83,AN$11))))</f>
        <v>33.299999999999997</v>
      </c>
      <c r="AO83" cm="1">
        <f t="array" aca="1" ref="AO83" ca="1">IF($C83=0,"",IF(AO$12&lt;&gt;$C$5,NA(),INDEX(auto_DataFlat_Score,INDEX(sys_DataFlat_LU_Grid,$C83,AO$11))))</f>
        <v>100</v>
      </c>
      <c r="AP83" cm="1">
        <f t="array" aca="1" ref="AP83" ca="1">IF($C83=0,"",IF(AP$12&lt;&gt;$C$5,NA(),INDEX(auto_DataFlat_Score,INDEX(sys_DataFlat_LU_Grid,$C83,AP$11))))</f>
        <v>100</v>
      </c>
      <c r="AQ83" cm="1">
        <f t="array" aca="1" ref="AQ83" ca="1">IF($C83=0,"",IF(AQ$12&lt;&gt;$C$5,NA(),INDEX(auto_DataFlat_Score,INDEX(sys_DataFlat_LU_Grid,$C83,AQ$11))))</f>
        <v>66.7</v>
      </c>
      <c r="AR83" cm="1">
        <f t="array" aca="1" ref="AR83" ca="1">IF($C83=0,"",IF(AR$12&lt;&gt;$C$5,NA(),INDEX(auto_DataFlat_Score,INDEX(sys_DataFlat_LU_Grid,$C83,AR$11))))</f>
        <v>100</v>
      </c>
      <c r="AS83" cm="1">
        <f t="array" aca="1" ref="AS83" ca="1">IF($C83=0,"",IF(AS$12&lt;&gt;$C$5,NA(),INDEX(auto_DataFlat_Score,INDEX(sys_DataFlat_LU_Grid,$C83,AS$11))))</f>
        <v>100</v>
      </c>
      <c r="AT83" cm="1">
        <f t="array" aca="1" ref="AT83" ca="1">IF($C83=0,"",IF(AT$12&lt;&gt;$C$5,NA(),INDEX(auto_DataFlat_Score,INDEX(sys_DataFlat_LU_Grid,$C83,AT$11))))</f>
        <v>66.7</v>
      </c>
      <c r="AU83" cm="1">
        <f t="array" aca="1" ref="AU83" ca="1">IF($C83=0,"",IF(AU$12&lt;&gt;$C$5,NA(),INDEX(auto_DataFlat_Score,INDEX(sys_DataFlat_LU_Grid,$C83,AU$11))))</f>
        <v>100</v>
      </c>
      <c r="AV83" cm="1">
        <f t="array" aca="1" ref="AV83" ca="1">IF($C83=0,"",IF(AV$12&lt;&gt;$C$5,NA(),INDEX(auto_DataFlat_Score,INDEX(sys_DataFlat_LU_Grid,$C83,AV$11))))</f>
        <v>66.7</v>
      </c>
      <c r="AW83" cm="1">
        <f t="array" aca="1" ref="AW83" ca="1">IF($C83=0,"",IF(AW$12&lt;&gt;$C$5,NA(),INDEX(auto_DataFlat_Score,INDEX(sys_DataFlat_LU_Grid,$C83,AW$11))))</f>
        <v>100</v>
      </c>
      <c r="AX83" cm="1">
        <f t="array" aca="1" ref="AX83" ca="1">IF($C83=0,"",IF(AX$12&lt;&gt;$C$5,NA(),INDEX(auto_DataFlat_Score,INDEX(sys_DataFlat_LU_Grid,$C83,AX$11))))</f>
        <v>66.7</v>
      </c>
      <c r="AY83" cm="1">
        <f t="array" aca="1" ref="AY83" ca="1">IF($C83=0,"",IF(AY$12&lt;&gt;$C$5,NA(),INDEX(auto_DataFlat_Score,INDEX(sys_DataFlat_LU_Grid,$C83,AY$11))))</f>
        <v>66.7</v>
      </c>
      <c r="AZ83" cm="1">
        <f t="array" aca="1" ref="AZ83" ca="1">IF($C83=0,"",IF(AZ$12&lt;&gt;$C$5,NA(),INDEX(auto_DataFlat_Score,INDEX(sys_DataFlat_LU_Grid,$C83,AZ$11))))</f>
        <v>66.7</v>
      </c>
      <c r="BA83" cm="1">
        <f t="array" aca="1" ref="BA83" ca="1">IF($C83=0,"",IF(BA$12&lt;&gt;$C$5,NA(),INDEX(auto_DataFlat_Score,INDEX(sys_DataFlat_LU_Grid,$C83,BA$11))))</f>
        <v>100</v>
      </c>
      <c r="BB83" cm="1">
        <f t="array" aca="1" ref="BB83" ca="1">IF($C83=0,"",IF(BB$12&lt;&gt;$C$5,NA(),INDEX(auto_DataFlat_Score,INDEX(sys_DataFlat_LU_Grid,$C83,BB$11))))</f>
        <v>100</v>
      </c>
      <c r="BC83" cm="1">
        <f t="array" aca="1" ref="BC83" ca="1">IF($C83=0,"",IF(BC$12&lt;&gt;$C$5,NA(),INDEX(auto_DataFlat_Score,INDEX(sys_DataFlat_LU_Grid,$C83,BC$11))))</f>
        <v>100</v>
      </c>
      <c r="BD83" cm="1">
        <f t="array" aca="1" ref="BD83" ca="1">IF($C83=0,"",IF(BD$12&lt;&gt;$C$5,NA(),INDEX(auto_DataFlat_Score,INDEX(sys_DataFlat_LU_Grid,$C83,BD$11))))</f>
        <v>66.7</v>
      </c>
      <c r="BE83" cm="1">
        <f t="array" aca="1" ref="BE83" ca="1">IF($C83=0,"",IF(BE$12&lt;&gt;$C$5,NA(),INDEX(auto_DataFlat_Score,INDEX(sys_DataFlat_LU_Grid,$C83,BE$11))))</f>
        <v>100</v>
      </c>
      <c r="BF83" cm="1">
        <f t="array" aca="1" ref="BF83" ca="1">IF($C83=0,"",IF(BF$12&lt;&gt;$C$5,NA(),INDEX(auto_DataFlat_Score,INDEX(sys_DataFlat_LU_Grid,$C83,BF$11))))</f>
        <v>66.7</v>
      </c>
      <c r="BG83" cm="1">
        <f t="array" aca="1" ref="BG83" ca="1">IF($C83=0,"",IF(BG$12&lt;&gt;$C$5,NA(),INDEX(auto_DataFlat_Score,INDEX(sys_DataFlat_LU_Grid,$C83,BG$11))))</f>
        <v>100</v>
      </c>
      <c r="BH83" cm="1">
        <f t="array" aca="1" ref="BH83" ca="1">IF($C83=0,"",IF(BH$12&lt;&gt;$C$5,NA(),INDEX(auto_DataFlat_Score,INDEX(sys_DataFlat_LU_Grid,$C83,BH$11))))</f>
        <v>100</v>
      </c>
      <c r="BI83" cm="1">
        <f t="array" aca="1" ref="BI83" ca="1">IF($C83=0,"",IF(BI$12&lt;&gt;$C$5,NA(),INDEX(auto_DataFlat_Score,INDEX(sys_DataFlat_LU_Grid,$C83,BI$11))))</f>
        <v>66.7</v>
      </c>
      <c r="BJ83" cm="1">
        <f t="array" aca="1" ref="BJ83" ca="1">IF($C83=0,"",IF(BJ$12&lt;&gt;$C$5,NA(),INDEX(auto_DataFlat_Score,INDEX(sys_DataFlat_LU_Grid,$C83,BJ$11))))</f>
        <v>100</v>
      </c>
      <c r="BK83" cm="1">
        <f t="array" aca="1" ref="BK83" ca="1">IF($C83=0,"",IF(BK$12&lt;&gt;$C$5,NA(),INDEX(auto_DataFlat_Score,INDEX(sys_DataFlat_LU_Grid,$C83,BK$11))))</f>
        <v>100</v>
      </c>
      <c r="BL83" cm="1">
        <f t="array" aca="1" ref="BL83" ca="1">IF($C83=0,"",IF(BL$12&lt;&gt;$C$5,NA(),INDEX(auto_DataFlat_Score,INDEX(sys_DataFlat_LU_Grid,$C83,BL$11))))</f>
        <v>66.7</v>
      </c>
      <c r="BM83" cm="1">
        <f t="array" aca="1" ref="BM83" ca="1">IF($C83=0,"",IF(BM$12&lt;&gt;$C$5,NA(),INDEX(auto_DataFlat_Score,INDEX(sys_DataFlat_LU_Grid,$C83,BM$11))))</f>
        <v>33.299999999999997</v>
      </c>
      <c r="BO83">
        <f t="shared" ca="1" si="22"/>
        <v>33.299999999999997</v>
      </c>
      <c r="BP83">
        <f t="shared" ca="1" si="23"/>
        <v>100</v>
      </c>
      <c r="BQ83" cm="1">
        <f t="array" aca="1" ref="BQ83" ca="1">IF(C83=0,0,INDEX(sys_DataFlat_LU_Grid_Groups,$C83,BQ$12))</f>
        <v>3716</v>
      </c>
      <c r="BR83" cm="1">
        <f t="array" aca="1" ref="BR83" ca="1">IF(D83=0,0,INDEX(sys_DataFlat_LU_Grid_Groups,$C83,BR$12))</f>
        <v>3719</v>
      </c>
      <c r="BU83" cm="1">
        <f t="array" aca="1" ref="BU83" ca="1">INDEX(auto_DataFlat_Score,BQ83)</f>
        <v>80</v>
      </c>
      <c r="BV83" cm="1">
        <f t="array" aca="1" ref="BV83" ca="1">INDEX(auto_DataFlat_Score,BR83)</f>
        <v>81.8</v>
      </c>
      <c r="BW83">
        <f t="shared" ca="1" si="24"/>
        <v>82.7</v>
      </c>
    </row>
    <row r="84" spans="2:85" x14ac:dyDescent="0.4">
      <c r="B84">
        <v>31</v>
      </c>
      <c r="C84" cm="1">
        <f t="array" aca="1" ref="C84" ca="1">INDEX(OFFSET(auto_ss_depth_2,0,1,300,1),B84)</f>
        <v>63</v>
      </c>
      <c r="D84" cm="1">
        <f t="array" aca="1" ref="D84" ca="1">IF(C84=0,0,INDEX(sys_DataFlat_LU_Grid_Groups,$C84,D$40))</f>
        <v>3771</v>
      </c>
      <c r="E84" cm="1">
        <f t="array" aca="1" ref="E84" ca="1">IF(C84=0,0,INDEX(sys_DataFlat_LU_Grid_Groups,$C84,E$40))</f>
        <v>3771</v>
      </c>
      <c r="G84">
        <f t="shared" ca="1" si="27"/>
        <v>41</v>
      </c>
      <c r="H84" t="e" cm="1">
        <f t="array" ref="H84">IF($C$8=0,NA(),INDEX($P84:$BM84,$C$8))</f>
        <v>#N/A</v>
      </c>
      <c r="I84" cm="1">
        <f t="array" aca="1" ref="I84" ca="1">IF(C84=0,0,INDEX(sys_DataFlat_LU_Grid,$C84,$C$2))</f>
        <v>3721</v>
      </c>
      <c r="J84" t="str" cm="1">
        <f t="array" aca="1" ref="J84" ca="1">IF(C84=0,"-",INDEX(auto_Series_NameNoNumber,C84))</f>
        <v>Health promotion</v>
      </c>
      <c r="K84" cm="1">
        <f t="array" aca="1" ref="K84" ca="1">IF(C84=0,"-",INDEX(K$94:K$162,$C84))</f>
        <v>0</v>
      </c>
      <c r="L84" t="str" cm="1">
        <f t="array" aca="1" ref="L84" ca="1">IF(C84=0,"-",INDEX(L$94:L$162,$C84))</f>
        <v>=36</v>
      </c>
      <c r="M84">
        <f t="shared" ca="1" si="28"/>
        <v>-1.4433756729740641</v>
      </c>
      <c r="N84" cm="1">
        <f t="array" aca="1" ref="N84" ca="1">IF(C84=0,"-",INDEX($N$94:$N$162,$C84))</f>
        <v>1</v>
      </c>
      <c r="O84" t="e" cm="1">
        <f t="array" aca="1" ref="O84" ca="1">IF(C84=0,"-",INDEX(#REF!,$C84))</f>
        <v>#REF!</v>
      </c>
      <c r="P84" cm="1">
        <f t="array" aca="1" ref="P84" ca="1">IF($C84=0,"",IF(P$12&lt;&gt;$C$5,NA(),INDEX(auto_DataFlat_Score,INDEX(sys_DataFlat_LU_Grid,$C84,P$11))))</f>
        <v>0</v>
      </c>
      <c r="Q84" cm="1">
        <f t="array" aca="1" ref="Q84" ca="1">IF($C84=0,"",IF(Q$12&lt;&gt;$C$5,NA(),INDEX(auto_DataFlat_Score,INDEX(sys_DataFlat_LU_Grid,$C84,Q$11))))</f>
        <v>0</v>
      </c>
      <c r="R84" cm="1">
        <f t="array" aca="1" ref="R84" ca="1">IF($C84=0,"",IF(R$12&lt;&gt;$C$5,NA(),INDEX(auto_DataFlat_Score,INDEX(sys_DataFlat_LU_Grid,$C84,R$11))))</f>
        <v>50</v>
      </c>
      <c r="S84" cm="1">
        <f t="array" aca="1" ref="S84" ca="1">IF($C84=0,"",IF(S$12&lt;&gt;$C$5,NA(),INDEX(auto_DataFlat_Score,INDEX(sys_DataFlat_LU_Grid,$C84,S$11))))</f>
        <v>100</v>
      </c>
      <c r="T84" cm="1">
        <f t="array" aca="1" ref="T84" ca="1">IF($C84=0,"",IF(T$12&lt;&gt;$C$5,NA(),INDEX(auto_DataFlat_Score,INDEX(sys_DataFlat_LU_Grid,$C84,T$11))))</f>
        <v>50</v>
      </c>
      <c r="U84" cm="1">
        <f t="array" aca="1" ref="U84" ca="1">IF($C84=0,"",IF(U$12&lt;&gt;$C$5,NA(),INDEX(auto_DataFlat_Score,INDEX(sys_DataFlat_LU_Grid,$C84,U$11))))</f>
        <v>50</v>
      </c>
      <c r="V84" cm="1">
        <f t="array" aca="1" ref="V84" ca="1">IF($C84=0,"",IF(V$12&lt;&gt;$C$5,NA(),INDEX(auto_DataFlat_Score,INDEX(sys_DataFlat_LU_Grid,$C84,V$11))))</f>
        <v>50</v>
      </c>
      <c r="W84" cm="1">
        <f t="array" aca="1" ref="W84" ca="1">IF($C84=0,"",IF(W$12&lt;&gt;$C$5,NA(),INDEX(auto_DataFlat_Score,INDEX(sys_DataFlat_LU_Grid,$C84,W$11))))</f>
        <v>50</v>
      </c>
      <c r="X84" cm="1">
        <f t="array" aca="1" ref="X84" ca="1">IF($C84=0,"",IF(X$12&lt;&gt;$C$5,NA(),INDEX(auto_DataFlat_Score,INDEX(sys_DataFlat_LU_Grid,$C84,X$11))))</f>
        <v>50</v>
      </c>
      <c r="Y84" cm="1">
        <f t="array" aca="1" ref="Y84" ca="1">IF($C84=0,"",IF(Y$12&lt;&gt;$C$5,NA(),INDEX(auto_DataFlat_Score,INDEX(sys_DataFlat_LU_Grid,$C84,Y$11))))</f>
        <v>0</v>
      </c>
      <c r="Z84" cm="1">
        <f t="array" aca="1" ref="Z84" ca="1">IF($C84=0,"",IF(Z$12&lt;&gt;$C$5,NA(),INDEX(auto_DataFlat_Score,INDEX(sys_DataFlat_LU_Grid,$C84,Z$11))))</f>
        <v>50</v>
      </c>
      <c r="AA84" cm="1">
        <f t="array" aca="1" ref="AA84" ca="1">IF($C84=0,"",IF(AA$12&lt;&gt;$C$5,NA(),INDEX(auto_DataFlat_Score,INDEX(sys_DataFlat_LU_Grid,$C84,AA$11))))</f>
        <v>50</v>
      </c>
      <c r="AB84" cm="1">
        <f t="array" aca="1" ref="AB84" ca="1">IF($C84=0,"",IF(AB$12&lt;&gt;$C$5,NA(),INDEX(auto_DataFlat_Score,INDEX(sys_DataFlat_LU_Grid,$C84,AB$11))))</f>
        <v>0</v>
      </c>
      <c r="AC84" cm="1">
        <f t="array" aca="1" ref="AC84" ca="1">IF($C84=0,"",IF(AC$12&lt;&gt;$C$5,NA(),INDEX(auto_DataFlat_Score,INDEX(sys_DataFlat_LU_Grid,$C84,AC$11))))</f>
        <v>50</v>
      </c>
      <c r="AD84" cm="1">
        <f t="array" aca="1" ref="AD84" ca="1">IF($C84=0,"",IF(AD$12&lt;&gt;$C$5,NA(),INDEX(auto_DataFlat_Score,INDEX(sys_DataFlat_LU_Grid,$C84,AD$11))))</f>
        <v>100</v>
      </c>
      <c r="AE84" cm="1">
        <f t="array" aca="1" ref="AE84" ca="1">IF($C84=0,"",IF(AE$12&lt;&gt;$C$5,NA(),INDEX(auto_DataFlat_Score,INDEX(sys_DataFlat_LU_Grid,$C84,AE$11))))</f>
        <v>0</v>
      </c>
      <c r="AF84" cm="1">
        <f t="array" aca="1" ref="AF84" ca="1">IF($C84=0,"",IF(AF$12&lt;&gt;$C$5,NA(),INDEX(auto_DataFlat_Score,INDEX(sys_DataFlat_LU_Grid,$C84,AF$11))))</f>
        <v>100</v>
      </c>
      <c r="AG84" cm="1">
        <f t="array" aca="1" ref="AG84" ca="1">IF($C84=0,"",IF(AG$12&lt;&gt;$C$5,NA(),INDEX(auto_DataFlat_Score,INDEX(sys_DataFlat_LU_Grid,$C84,AG$11))))</f>
        <v>0</v>
      </c>
      <c r="AH84" cm="1">
        <f t="array" aca="1" ref="AH84" ca="1">IF($C84=0,"",IF(AH$12&lt;&gt;$C$5,NA(),INDEX(auto_DataFlat_Score,INDEX(sys_DataFlat_LU_Grid,$C84,AH$11))))</f>
        <v>0</v>
      </c>
      <c r="AI84" cm="1">
        <f t="array" aca="1" ref="AI84" ca="1">IF($C84=0,"",IF(AI$12&lt;&gt;$C$5,NA(),INDEX(auto_DataFlat_Score,INDEX(sys_DataFlat_LU_Grid,$C84,AI$11))))</f>
        <v>50</v>
      </c>
      <c r="AJ84" cm="1">
        <f t="array" aca="1" ref="AJ84" ca="1">IF($C84=0,"",IF(AJ$12&lt;&gt;$C$5,NA(),INDEX(auto_DataFlat_Score,INDEX(sys_DataFlat_LU_Grid,$C84,AJ$11))))</f>
        <v>50</v>
      </c>
      <c r="AK84" cm="1">
        <f t="array" aca="1" ref="AK84" ca="1">IF($C84=0,"",IF(AK$12&lt;&gt;$C$5,NA(),INDEX(auto_DataFlat_Score,INDEX(sys_DataFlat_LU_Grid,$C84,AK$11))))</f>
        <v>0</v>
      </c>
      <c r="AL84" cm="1">
        <f t="array" aca="1" ref="AL84" ca="1">IF($C84=0,"",IF(AL$12&lt;&gt;$C$5,NA(),INDEX(auto_DataFlat_Score,INDEX(sys_DataFlat_LU_Grid,$C84,AL$11))))</f>
        <v>0</v>
      </c>
      <c r="AM84" cm="1">
        <f t="array" aca="1" ref="AM84" ca="1">IF($C84=0,"",IF(AM$12&lt;&gt;$C$5,NA(),INDEX(auto_DataFlat_Score,INDEX(sys_DataFlat_LU_Grid,$C84,AM$11))))</f>
        <v>0</v>
      </c>
      <c r="AN84" cm="1">
        <f t="array" aca="1" ref="AN84" ca="1">IF($C84=0,"",IF(AN$12&lt;&gt;$C$5,NA(),INDEX(auto_DataFlat_Score,INDEX(sys_DataFlat_LU_Grid,$C84,AN$11))))</f>
        <v>50</v>
      </c>
      <c r="AO84" cm="1">
        <f t="array" aca="1" ref="AO84" ca="1">IF($C84=0,"",IF(AO$12&lt;&gt;$C$5,NA(),INDEX(auto_DataFlat_Score,INDEX(sys_DataFlat_LU_Grid,$C84,AO$11))))</f>
        <v>100</v>
      </c>
      <c r="AP84" cm="1">
        <f t="array" aca="1" ref="AP84" ca="1">IF($C84=0,"",IF(AP$12&lt;&gt;$C$5,NA(),INDEX(auto_DataFlat_Score,INDEX(sys_DataFlat_LU_Grid,$C84,AP$11))))</f>
        <v>50</v>
      </c>
      <c r="AQ84" cm="1">
        <f t="array" aca="1" ref="AQ84" ca="1">IF($C84=0,"",IF(AQ$12&lt;&gt;$C$5,NA(),INDEX(auto_DataFlat_Score,INDEX(sys_DataFlat_LU_Grid,$C84,AQ$11))))</f>
        <v>0</v>
      </c>
      <c r="AR84" cm="1">
        <f t="array" aca="1" ref="AR84" ca="1">IF($C84=0,"",IF(AR$12&lt;&gt;$C$5,NA(),INDEX(auto_DataFlat_Score,INDEX(sys_DataFlat_LU_Grid,$C84,AR$11))))</f>
        <v>50</v>
      </c>
      <c r="AS84" cm="1">
        <f t="array" aca="1" ref="AS84" ca="1">IF($C84=0,"",IF(AS$12&lt;&gt;$C$5,NA(),INDEX(auto_DataFlat_Score,INDEX(sys_DataFlat_LU_Grid,$C84,AS$11))))</f>
        <v>50</v>
      </c>
      <c r="AT84" cm="1">
        <f t="array" aca="1" ref="AT84" ca="1">IF($C84=0,"",IF(AT$12&lt;&gt;$C$5,NA(),INDEX(auto_DataFlat_Score,INDEX(sys_DataFlat_LU_Grid,$C84,AT$11))))</f>
        <v>50</v>
      </c>
      <c r="AU84" cm="1">
        <f t="array" aca="1" ref="AU84" ca="1">IF($C84=0,"",IF(AU$12&lt;&gt;$C$5,NA(),INDEX(auto_DataFlat_Score,INDEX(sys_DataFlat_LU_Grid,$C84,AU$11))))</f>
        <v>50</v>
      </c>
      <c r="AV84" cm="1">
        <f t="array" aca="1" ref="AV84" ca="1">IF($C84=0,"",IF(AV$12&lt;&gt;$C$5,NA(),INDEX(auto_DataFlat_Score,INDEX(sys_DataFlat_LU_Grid,$C84,AV$11))))</f>
        <v>50</v>
      </c>
      <c r="AW84" cm="1">
        <f t="array" aca="1" ref="AW84" ca="1">IF($C84=0,"",IF(AW$12&lt;&gt;$C$5,NA(),INDEX(auto_DataFlat_Score,INDEX(sys_DataFlat_LU_Grid,$C84,AW$11))))</f>
        <v>100</v>
      </c>
      <c r="AX84" cm="1">
        <f t="array" aca="1" ref="AX84" ca="1">IF($C84=0,"",IF(AX$12&lt;&gt;$C$5,NA(),INDEX(auto_DataFlat_Score,INDEX(sys_DataFlat_LU_Grid,$C84,AX$11))))</f>
        <v>50</v>
      </c>
      <c r="AY84" cm="1">
        <f t="array" aca="1" ref="AY84" ca="1">IF($C84=0,"",IF(AY$12&lt;&gt;$C$5,NA(),INDEX(auto_DataFlat_Score,INDEX(sys_DataFlat_LU_Grid,$C84,AY$11))))</f>
        <v>0</v>
      </c>
      <c r="AZ84" cm="1">
        <f t="array" aca="1" ref="AZ84" ca="1">IF($C84=0,"",IF(AZ$12&lt;&gt;$C$5,NA(),INDEX(auto_DataFlat_Score,INDEX(sys_DataFlat_LU_Grid,$C84,AZ$11))))</f>
        <v>0</v>
      </c>
      <c r="BA84" cm="1">
        <f t="array" aca="1" ref="BA84" ca="1">IF($C84=0,"",IF(BA$12&lt;&gt;$C$5,NA(),INDEX(auto_DataFlat_Score,INDEX(sys_DataFlat_LU_Grid,$C84,BA$11))))</f>
        <v>50</v>
      </c>
      <c r="BB84" cm="1">
        <f t="array" aca="1" ref="BB84" ca="1">IF($C84=0,"",IF(BB$12&lt;&gt;$C$5,NA(),INDEX(auto_DataFlat_Score,INDEX(sys_DataFlat_LU_Grid,$C84,BB$11))))</f>
        <v>0</v>
      </c>
      <c r="BC84" cm="1">
        <f t="array" aca="1" ref="BC84" ca="1">IF($C84=0,"",IF(BC$12&lt;&gt;$C$5,NA(),INDEX(auto_DataFlat_Score,INDEX(sys_DataFlat_LU_Grid,$C84,BC$11))))</f>
        <v>50</v>
      </c>
      <c r="BD84" cm="1">
        <f t="array" aca="1" ref="BD84" ca="1">IF($C84=0,"",IF(BD$12&lt;&gt;$C$5,NA(),INDEX(auto_DataFlat_Score,INDEX(sys_DataFlat_LU_Grid,$C84,BD$11))))</f>
        <v>50</v>
      </c>
      <c r="BE84" cm="1">
        <f t="array" aca="1" ref="BE84" ca="1">IF($C84=0,"",IF(BE$12&lt;&gt;$C$5,NA(),INDEX(auto_DataFlat_Score,INDEX(sys_DataFlat_LU_Grid,$C84,BE$11))))</f>
        <v>50</v>
      </c>
      <c r="BF84" cm="1">
        <f t="array" aca="1" ref="BF84" ca="1">IF($C84=0,"",IF(BF$12&lt;&gt;$C$5,NA(),INDEX(auto_DataFlat_Score,INDEX(sys_DataFlat_LU_Grid,$C84,BF$11))))</f>
        <v>50</v>
      </c>
      <c r="BG84" cm="1">
        <f t="array" aca="1" ref="BG84" ca="1">IF($C84=0,"",IF(BG$12&lt;&gt;$C$5,NA(),INDEX(auto_DataFlat_Score,INDEX(sys_DataFlat_LU_Grid,$C84,BG$11))))</f>
        <v>50</v>
      </c>
      <c r="BH84" cm="1">
        <f t="array" aca="1" ref="BH84" ca="1">IF($C84=0,"",IF(BH$12&lt;&gt;$C$5,NA(),INDEX(auto_DataFlat_Score,INDEX(sys_DataFlat_LU_Grid,$C84,BH$11))))</f>
        <v>50</v>
      </c>
      <c r="BI84" cm="1">
        <f t="array" aca="1" ref="BI84" ca="1">IF($C84=0,"",IF(BI$12&lt;&gt;$C$5,NA(),INDEX(auto_DataFlat_Score,INDEX(sys_DataFlat_LU_Grid,$C84,BI$11))))</f>
        <v>100</v>
      </c>
      <c r="BJ84" cm="1">
        <f t="array" aca="1" ref="BJ84" ca="1">IF($C84=0,"",IF(BJ$12&lt;&gt;$C$5,NA(),INDEX(auto_DataFlat_Score,INDEX(sys_DataFlat_LU_Grid,$C84,BJ$11))))</f>
        <v>50</v>
      </c>
      <c r="BK84" cm="1">
        <f t="array" aca="1" ref="BK84" ca="1">IF($C84=0,"",IF(BK$12&lt;&gt;$C$5,NA(),INDEX(auto_DataFlat_Score,INDEX(sys_DataFlat_LU_Grid,$C84,BK$11))))</f>
        <v>50</v>
      </c>
      <c r="BL84" cm="1">
        <f t="array" aca="1" ref="BL84" ca="1">IF($C84=0,"",IF(BL$12&lt;&gt;$C$5,NA(),INDEX(auto_DataFlat_Score,INDEX(sys_DataFlat_LU_Grid,$C84,BL$11))))</f>
        <v>50</v>
      </c>
      <c r="BM84" cm="1">
        <f t="array" aca="1" ref="BM84" ca="1">IF($C84=0,"",IF(BM$12&lt;&gt;$C$5,NA(),INDEX(auto_DataFlat_Score,INDEX(sys_DataFlat_LU_Grid,$C84,BM$11))))</f>
        <v>0</v>
      </c>
      <c r="BO84">
        <f t="shared" ca="1" si="22"/>
        <v>0</v>
      </c>
      <c r="BP84">
        <f t="shared" ca="1" si="23"/>
        <v>100</v>
      </c>
      <c r="BQ84" cm="1">
        <f t="array" aca="1" ref="BQ84" ca="1">IF(C84=0,0,INDEX(sys_DataFlat_LU_Grid_Groups,$C84,BQ$12))</f>
        <v>3776</v>
      </c>
      <c r="BR84" cm="1">
        <f t="array" aca="1" ref="BR84" ca="1">IF(D84=0,0,INDEX(sys_DataFlat_LU_Grid_Groups,$C84,BR$12))</f>
        <v>3779</v>
      </c>
      <c r="BU84" cm="1">
        <f t="array" aca="1" ref="BU84" ca="1">INDEX(auto_DataFlat_Score,BQ84)</f>
        <v>25</v>
      </c>
      <c r="BV84" cm="1">
        <f t="array" aca="1" ref="BV84" ca="1">INDEX(auto_DataFlat_Score,BR84)</f>
        <v>40.9</v>
      </c>
      <c r="BW84">
        <f t="shared" ca="1" si="24"/>
        <v>41</v>
      </c>
    </row>
    <row r="85" spans="2:85" x14ac:dyDescent="0.4">
      <c r="B85">
        <v>32</v>
      </c>
      <c r="C85" cm="1">
        <f t="array" aca="1" ref="C85" ca="1">INDEX(OFFSET(auto_ss_depth_2,0,1,300,1),B85)</f>
        <v>0</v>
      </c>
      <c r="D85" cm="1">
        <f t="array" aca="1" ref="D85" ca="1">IF(C85=0,0,INDEX(sys_DataFlat_LU_Grid_Groups,$C85,D$40))</f>
        <v>0</v>
      </c>
      <c r="E85" cm="1">
        <f t="array" aca="1" ref="E85" ca="1">IF(C85=0,0,INDEX(sys_DataFlat_LU_Grid_Groups,$C85,E$40))</f>
        <v>0</v>
      </c>
      <c r="G85" t="e">
        <f t="shared" ca="1" si="27"/>
        <v>#DIV/0!</v>
      </c>
      <c r="H85" t="e" cm="1">
        <f t="array" ref="H85">IF($C$8=0,NA(),INDEX($P85:$BM85,$C$8))</f>
        <v>#N/A</v>
      </c>
      <c r="I85" cm="1">
        <f t="array" aca="1" ref="I85" ca="1">IF(C85=0,0,INDEX(sys_DataFlat_LU_Grid,$C85,$C$2))</f>
        <v>0</v>
      </c>
      <c r="J85" t="str" cm="1">
        <f t="array" aca="1" ref="J85" ca="1">IF(C85=0,"-",INDEX(auto_Series_NameNoNumber,C85))</f>
        <v>-</v>
      </c>
      <c r="K85" t="str" cm="1">
        <f t="array" aca="1" ref="K85" ca="1">IF(C85=0,"-",INDEX(K$94:K$162,$C85))</f>
        <v>-</v>
      </c>
      <c r="L85" t="str" cm="1">
        <f t="array" aca="1" ref="L85" ca="1">IF(C85=0,"-",INDEX(L$94:L$162,$C85))</f>
        <v>-</v>
      </c>
      <c r="M85" t="str">
        <f t="shared" ca="1" si="28"/>
        <v>-</v>
      </c>
      <c r="N85" t="str" cm="1">
        <f t="array" aca="1" ref="N85" ca="1">IF(C85=0,"-",INDEX($N$94:$N$162,$C85))</f>
        <v>-</v>
      </c>
      <c r="O85" t="str" cm="1">
        <f t="array" aca="1" ref="O85" ca="1">IF(C85=0,"-",INDEX(#REF!,$C85))</f>
        <v>-</v>
      </c>
      <c r="P85" t="str" cm="1">
        <f t="array" aca="1" ref="P85" ca="1">IF($C85=0,"",IF(P$12&lt;&gt;$C$5,NA(),INDEX(auto_DataFlat_Score,INDEX(sys_DataFlat_LU_Grid,$C85,P$11))))</f>
        <v/>
      </c>
      <c r="Q85" t="str" cm="1">
        <f t="array" aca="1" ref="Q85" ca="1">IF($C85=0,"",IF(Q$12&lt;&gt;$C$5,NA(),INDEX(auto_DataFlat_Score,INDEX(sys_DataFlat_LU_Grid,$C85,Q$11))))</f>
        <v/>
      </c>
      <c r="R85" t="str" cm="1">
        <f t="array" aca="1" ref="R85" ca="1">IF($C85=0,"",IF(R$12&lt;&gt;$C$5,NA(),INDEX(auto_DataFlat_Score,INDEX(sys_DataFlat_LU_Grid,$C85,R$11))))</f>
        <v/>
      </c>
      <c r="S85" t="str" cm="1">
        <f t="array" aca="1" ref="S85" ca="1">IF($C85=0,"",IF(S$12&lt;&gt;$C$5,NA(),INDEX(auto_DataFlat_Score,INDEX(sys_DataFlat_LU_Grid,$C85,S$11))))</f>
        <v/>
      </c>
      <c r="T85" t="str" cm="1">
        <f t="array" aca="1" ref="T85" ca="1">IF($C85=0,"",IF(T$12&lt;&gt;$C$5,NA(),INDEX(auto_DataFlat_Score,INDEX(sys_DataFlat_LU_Grid,$C85,T$11))))</f>
        <v/>
      </c>
      <c r="U85" t="str" cm="1">
        <f t="array" aca="1" ref="U85" ca="1">IF($C85=0,"",IF(U$12&lt;&gt;$C$5,NA(),INDEX(auto_DataFlat_Score,INDEX(sys_DataFlat_LU_Grid,$C85,U$11))))</f>
        <v/>
      </c>
      <c r="V85" t="str" cm="1">
        <f t="array" aca="1" ref="V85" ca="1">IF($C85=0,"",IF(V$12&lt;&gt;$C$5,NA(),INDEX(auto_DataFlat_Score,INDEX(sys_DataFlat_LU_Grid,$C85,V$11))))</f>
        <v/>
      </c>
      <c r="W85" t="str" cm="1">
        <f t="array" aca="1" ref="W85" ca="1">IF($C85=0,"",IF(W$12&lt;&gt;$C$5,NA(),INDEX(auto_DataFlat_Score,INDEX(sys_DataFlat_LU_Grid,$C85,W$11))))</f>
        <v/>
      </c>
      <c r="X85" t="str" cm="1">
        <f t="array" aca="1" ref="X85" ca="1">IF($C85=0,"",IF(X$12&lt;&gt;$C$5,NA(),INDEX(auto_DataFlat_Score,INDEX(sys_DataFlat_LU_Grid,$C85,X$11))))</f>
        <v/>
      </c>
      <c r="Y85" t="str" cm="1">
        <f t="array" aca="1" ref="Y85" ca="1">IF($C85=0,"",IF(Y$12&lt;&gt;$C$5,NA(),INDEX(auto_DataFlat_Score,INDEX(sys_DataFlat_LU_Grid,$C85,Y$11))))</f>
        <v/>
      </c>
      <c r="Z85" t="str" cm="1">
        <f t="array" aca="1" ref="Z85" ca="1">IF($C85=0,"",IF(Z$12&lt;&gt;$C$5,NA(),INDEX(auto_DataFlat_Score,INDEX(sys_DataFlat_LU_Grid,$C85,Z$11))))</f>
        <v/>
      </c>
      <c r="AA85" t="str" cm="1">
        <f t="array" aca="1" ref="AA85" ca="1">IF($C85=0,"",IF(AA$12&lt;&gt;$C$5,NA(),INDEX(auto_DataFlat_Score,INDEX(sys_DataFlat_LU_Grid,$C85,AA$11))))</f>
        <v/>
      </c>
      <c r="AB85" t="str" cm="1">
        <f t="array" aca="1" ref="AB85" ca="1">IF($C85=0,"",IF(AB$12&lt;&gt;$C$5,NA(),INDEX(auto_DataFlat_Score,INDEX(sys_DataFlat_LU_Grid,$C85,AB$11))))</f>
        <v/>
      </c>
      <c r="AC85" t="str" cm="1">
        <f t="array" aca="1" ref="AC85" ca="1">IF($C85=0,"",IF(AC$12&lt;&gt;$C$5,NA(),INDEX(auto_DataFlat_Score,INDEX(sys_DataFlat_LU_Grid,$C85,AC$11))))</f>
        <v/>
      </c>
      <c r="AD85" t="str" cm="1">
        <f t="array" aca="1" ref="AD85" ca="1">IF($C85=0,"",IF(AD$12&lt;&gt;$C$5,NA(),INDEX(auto_DataFlat_Score,INDEX(sys_DataFlat_LU_Grid,$C85,AD$11))))</f>
        <v/>
      </c>
      <c r="AE85" t="str" cm="1">
        <f t="array" aca="1" ref="AE85" ca="1">IF($C85=0,"",IF(AE$12&lt;&gt;$C$5,NA(),INDEX(auto_DataFlat_Score,INDEX(sys_DataFlat_LU_Grid,$C85,AE$11))))</f>
        <v/>
      </c>
      <c r="AF85" t="str" cm="1">
        <f t="array" aca="1" ref="AF85" ca="1">IF($C85=0,"",IF(AF$12&lt;&gt;$C$5,NA(),INDEX(auto_DataFlat_Score,INDEX(sys_DataFlat_LU_Grid,$C85,AF$11))))</f>
        <v/>
      </c>
      <c r="AG85" t="str" cm="1">
        <f t="array" aca="1" ref="AG85" ca="1">IF($C85=0,"",IF(AG$12&lt;&gt;$C$5,NA(),INDEX(auto_DataFlat_Score,INDEX(sys_DataFlat_LU_Grid,$C85,AG$11))))</f>
        <v/>
      </c>
      <c r="AH85" t="str" cm="1">
        <f t="array" aca="1" ref="AH85" ca="1">IF($C85=0,"",IF(AH$12&lt;&gt;$C$5,NA(),INDEX(auto_DataFlat_Score,INDEX(sys_DataFlat_LU_Grid,$C85,AH$11))))</f>
        <v/>
      </c>
      <c r="AI85" t="str" cm="1">
        <f t="array" aca="1" ref="AI85" ca="1">IF($C85=0,"",IF(AI$12&lt;&gt;$C$5,NA(),INDEX(auto_DataFlat_Score,INDEX(sys_DataFlat_LU_Grid,$C85,AI$11))))</f>
        <v/>
      </c>
      <c r="AJ85" t="str" cm="1">
        <f t="array" aca="1" ref="AJ85" ca="1">IF($C85=0,"",IF(AJ$12&lt;&gt;$C$5,NA(),INDEX(auto_DataFlat_Score,INDEX(sys_DataFlat_LU_Grid,$C85,AJ$11))))</f>
        <v/>
      </c>
      <c r="AK85" t="str" cm="1">
        <f t="array" aca="1" ref="AK85" ca="1">IF($C85=0,"",IF(AK$12&lt;&gt;$C$5,NA(),INDEX(auto_DataFlat_Score,INDEX(sys_DataFlat_LU_Grid,$C85,AK$11))))</f>
        <v/>
      </c>
      <c r="AL85" t="str" cm="1">
        <f t="array" aca="1" ref="AL85" ca="1">IF($C85=0,"",IF(AL$12&lt;&gt;$C$5,NA(),INDEX(auto_DataFlat_Score,INDEX(sys_DataFlat_LU_Grid,$C85,AL$11))))</f>
        <v/>
      </c>
      <c r="AM85" t="str" cm="1">
        <f t="array" aca="1" ref="AM85" ca="1">IF($C85=0,"",IF(AM$12&lt;&gt;$C$5,NA(),INDEX(auto_DataFlat_Score,INDEX(sys_DataFlat_LU_Grid,$C85,AM$11))))</f>
        <v/>
      </c>
      <c r="AN85" t="str" cm="1">
        <f t="array" aca="1" ref="AN85" ca="1">IF($C85=0,"",IF(AN$12&lt;&gt;$C$5,NA(),INDEX(auto_DataFlat_Score,INDEX(sys_DataFlat_LU_Grid,$C85,AN$11))))</f>
        <v/>
      </c>
      <c r="AO85" t="str" cm="1">
        <f t="array" aca="1" ref="AO85" ca="1">IF($C85=0,"",IF(AO$12&lt;&gt;$C$5,NA(),INDEX(auto_DataFlat_Score,INDEX(sys_DataFlat_LU_Grid,$C85,AO$11))))</f>
        <v/>
      </c>
      <c r="AP85" t="str" cm="1">
        <f t="array" aca="1" ref="AP85" ca="1">IF($C85=0,"",IF(AP$12&lt;&gt;$C$5,NA(),INDEX(auto_DataFlat_Score,INDEX(sys_DataFlat_LU_Grid,$C85,AP$11))))</f>
        <v/>
      </c>
      <c r="AQ85" t="str" cm="1">
        <f t="array" aca="1" ref="AQ85" ca="1">IF($C85=0,"",IF(AQ$12&lt;&gt;$C$5,NA(),INDEX(auto_DataFlat_Score,INDEX(sys_DataFlat_LU_Grid,$C85,AQ$11))))</f>
        <v/>
      </c>
      <c r="AR85" t="str" cm="1">
        <f t="array" aca="1" ref="AR85" ca="1">IF($C85=0,"",IF(AR$12&lt;&gt;$C$5,NA(),INDEX(auto_DataFlat_Score,INDEX(sys_DataFlat_LU_Grid,$C85,AR$11))))</f>
        <v/>
      </c>
      <c r="AS85" t="str" cm="1">
        <f t="array" aca="1" ref="AS85" ca="1">IF($C85=0,"",IF(AS$12&lt;&gt;$C$5,NA(),INDEX(auto_DataFlat_Score,INDEX(sys_DataFlat_LU_Grid,$C85,AS$11))))</f>
        <v/>
      </c>
      <c r="AT85" t="str" cm="1">
        <f t="array" aca="1" ref="AT85" ca="1">IF($C85=0,"",IF(AT$12&lt;&gt;$C$5,NA(),INDEX(auto_DataFlat_Score,INDEX(sys_DataFlat_LU_Grid,$C85,AT$11))))</f>
        <v/>
      </c>
      <c r="AU85" t="str" cm="1">
        <f t="array" aca="1" ref="AU85" ca="1">IF($C85=0,"",IF(AU$12&lt;&gt;$C$5,NA(),INDEX(auto_DataFlat_Score,INDEX(sys_DataFlat_LU_Grid,$C85,AU$11))))</f>
        <v/>
      </c>
      <c r="AV85" t="str" cm="1">
        <f t="array" aca="1" ref="AV85" ca="1">IF($C85=0,"",IF(AV$12&lt;&gt;$C$5,NA(),INDEX(auto_DataFlat_Score,INDEX(sys_DataFlat_LU_Grid,$C85,AV$11))))</f>
        <v/>
      </c>
      <c r="AW85" t="str" cm="1">
        <f t="array" aca="1" ref="AW85" ca="1">IF($C85=0,"",IF(AW$12&lt;&gt;$C$5,NA(),INDEX(auto_DataFlat_Score,INDEX(sys_DataFlat_LU_Grid,$C85,AW$11))))</f>
        <v/>
      </c>
      <c r="AX85" t="str" cm="1">
        <f t="array" aca="1" ref="AX85" ca="1">IF($C85=0,"",IF(AX$12&lt;&gt;$C$5,NA(),INDEX(auto_DataFlat_Score,INDEX(sys_DataFlat_LU_Grid,$C85,AX$11))))</f>
        <v/>
      </c>
      <c r="AY85" t="str" cm="1">
        <f t="array" aca="1" ref="AY85" ca="1">IF($C85=0,"",IF(AY$12&lt;&gt;$C$5,NA(),INDEX(auto_DataFlat_Score,INDEX(sys_DataFlat_LU_Grid,$C85,AY$11))))</f>
        <v/>
      </c>
      <c r="AZ85" t="str" cm="1">
        <f t="array" aca="1" ref="AZ85" ca="1">IF($C85=0,"",IF(AZ$12&lt;&gt;$C$5,NA(),INDEX(auto_DataFlat_Score,INDEX(sys_DataFlat_LU_Grid,$C85,AZ$11))))</f>
        <v/>
      </c>
      <c r="BA85" t="str" cm="1">
        <f t="array" aca="1" ref="BA85" ca="1">IF($C85=0,"",IF(BA$12&lt;&gt;$C$5,NA(),INDEX(auto_DataFlat_Score,INDEX(sys_DataFlat_LU_Grid,$C85,BA$11))))</f>
        <v/>
      </c>
      <c r="BB85" t="str" cm="1">
        <f t="array" aca="1" ref="BB85" ca="1">IF($C85=0,"",IF(BB$12&lt;&gt;$C$5,NA(),INDEX(auto_DataFlat_Score,INDEX(sys_DataFlat_LU_Grid,$C85,BB$11))))</f>
        <v/>
      </c>
      <c r="BC85" t="str" cm="1">
        <f t="array" aca="1" ref="BC85" ca="1">IF($C85=0,"",IF(BC$12&lt;&gt;$C$5,NA(),INDEX(auto_DataFlat_Score,INDEX(sys_DataFlat_LU_Grid,$C85,BC$11))))</f>
        <v/>
      </c>
      <c r="BD85" t="str" cm="1">
        <f t="array" aca="1" ref="BD85" ca="1">IF($C85=0,"",IF(BD$12&lt;&gt;$C$5,NA(),INDEX(auto_DataFlat_Score,INDEX(sys_DataFlat_LU_Grid,$C85,BD$11))))</f>
        <v/>
      </c>
      <c r="BE85" t="str" cm="1">
        <f t="array" aca="1" ref="BE85" ca="1">IF($C85=0,"",IF(BE$12&lt;&gt;$C$5,NA(),INDEX(auto_DataFlat_Score,INDEX(sys_DataFlat_LU_Grid,$C85,BE$11))))</f>
        <v/>
      </c>
      <c r="BF85" t="str" cm="1">
        <f t="array" aca="1" ref="BF85" ca="1">IF($C85=0,"",IF(BF$12&lt;&gt;$C$5,NA(),INDEX(auto_DataFlat_Score,INDEX(sys_DataFlat_LU_Grid,$C85,BF$11))))</f>
        <v/>
      </c>
      <c r="BG85" t="str" cm="1">
        <f t="array" aca="1" ref="BG85" ca="1">IF($C85=0,"",IF(BG$12&lt;&gt;$C$5,NA(),INDEX(auto_DataFlat_Score,INDEX(sys_DataFlat_LU_Grid,$C85,BG$11))))</f>
        <v/>
      </c>
      <c r="BH85" t="str" cm="1">
        <f t="array" aca="1" ref="BH85" ca="1">IF($C85=0,"",IF(BH$12&lt;&gt;$C$5,NA(),INDEX(auto_DataFlat_Score,INDEX(sys_DataFlat_LU_Grid,$C85,BH$11))))</f>
        <v/>
      </c>
      <c r="BI85" t="str" cm="1">
        <f t="array" aca="1" ref="BI85" ca="1">IF($C85=0,"",IF(BI$12&lt;&gt;$C$5,NA(),INDEX(auto_DataFlat_Score,INDEX(sys_DataFlat_LU_Grid,$C85,BI$11))))</f>
        <v/>
      </c>
      <c r="BJ85" t="str" cm="1">
        <f t="array" aca="1" ref="BJ85" ca="1">IF($C85=0,"",IF(BJ$12&lt;&gt;$C$5,NA(),INDEX(auto_DataFlat_Score,INDEX(sys_DataFlat_LU_Grid,$C85,BJ$11))))</f>
        <v/>
      </c>
      <c r="BK85" t="str" cm="1">
        <f t="array" aca="1" ref="BK85" ca="1">IF($C85=0,"",IF(BK$12&lt;&gt;$C$5,NA(),INDEX(auto_DataFlat_Score,INDEX(sys_DataFlat_LU_Grid,$C85,BK$11))))</f>
        <v/>
      </c>
      <c r="BL85" t="str" cm="1">
        <f t="array" aca="1" ref="BL85" ca="1">IF($C85=0,"",IF(BL$12&lt;&gt;$C$5,NA(),INDEX(auto_DataFlat_Score,INDEX(sys_DataFlat_LU_Grid,$C85,BL$11))))</f>
        <v/>
      </c>
      <c r="BM85" t="str" cm="1">
        <f t="array" aca="1" ref="BM85" ca="1">IF($C85=0,"",IF(BM$12&lt;&gt;$C$5,NA(),INDEX(auto_DataFlat_Score,INDEX(sys_DataFlat_LU_Grid,$C85,BM$11))))</f>
        <v/>
      </c>
      <c r="BO85">
        <f t="shared" ca="1" si="22"/>
        <v>0</v>
      </c>
      <c r="BP85">
        <f t="shared" ca="1" si="23"/>
        <v>0</v>
      </c>
      <c r="BQ85" cm="1">
        <f t="array" aca="1" ref="BQ85" ca="1">IF(C85=0,0,INDEX(sys_DataFlat_LU_Grid_Groups,$C85,BQ$12))</f>
        <v>0</v>
      </c>
      <c r="BR85" cm="1">
        <f t="array" aca="1" ref="BR85" ca="1">IF(D85=0,0,INDEX(sys_DataFlat_LU_Grid_Groups,$C85,BR$12))</f>
        <v>0</v>
      </c>
      <c r="BU85" t="e" cm="1" vm="1">
        <f t="array" aca="1" ref="BU85" ca="1">INDEX(auto_DataFlat_Score,BQ85)</f>
        <v>#VALUE!</v>
      </c>
      <c r="BV85" t="e" cm="1" vm="1">
        <f t="array" aca="1" ref="BV85" ca="1">INDEX(auto_DataFlat_Score,BR85)</f>
        <v>#VALUE!</v>
      </c>
      <c r="BW85" t="e">
        <f t="shared" ca="1" si="24"/>
        <v>#DIV/0!</v>
      </c>
    </row>
    <row r="89" spans="2:85" x14ac:dyDescent="0.4">
      <c r="V89" t="s">
        <v>108</v>
      </c>
      <c r="W89">
        <v>2</v>
      </c>
      <c r="BO89" t="s">
        <v>108</v>
      </c>
      <c r="BP89">
        <v>3</v>
      </c>
    </row>
    <row r="91" spans="2:85" x14ac:dyDescent="0.4">
      <c r="I91" t="s">
        <v>493</v>
      </c>
      <c r="K91" t="s">
        <v>252</v>
      </c>
      <c r="L91" t="s">
        <v>17</v>
      </c>
      <c r="M91" t="s">
        <v>253</v>
      </c>
      <c r="N91" t="s">
        <v>486</v>
      </c>
      <c r="O91" t="s">
        <v>254</v>
      </c>
      <c r="P91" t="s">
        <v>255</v>
      </c>
      <c r="S91" t="s">
        <v>494</v>
      </c>
      <c r="U91" t="s">
        <v>495</v>
      </c>
    </row>
    <row r="92" spans="2:85" x14ac:dyDescent="0.4">
      <c r="D92" t="s">
        <v>29</v>
      </c>
      <c r="E92" t="s">
        <v>153</v>
      </c>
      <c r="F92" t="s">
        <v>35</v>
      </c>
      <c r="G92" t="s">
        <v>151</v>
      </c>
      <c r="H92" t="s">
        <v>81</v>
      </c>
      <c r="I92" t="s">
        <v>960</v>
      </c>
      <c r="K92">
        <v>1</v>
      </c>
      <c r="L92">
        <v>1</v>
      </c>
      <c r="M92">
        <v>1</v>
      </c>
      <c r="N92">
        <v>1</v>
      </c>
      <c r="O92">
        <v>1</v>
      </c>
      <c r="P92">
        <v>1</v>
      </c>
      <c r="S92">
        <v>1</v>
      </c>
      <c r="X92">
        <v>1</v>
      </c>
      <c r="Y92">
        <v>2</v>
      </c>
      <c r="Z92">
        <v>3</v>
      </c>
      <c r="AB92">
        <v>1</v>
      </c>
      <c r="AC92">
        <v>2</v>
      </c>
      <c r="AD92">
        <v>3</v>
      </c>
      <c r="BP92">
        <v>5</v>
      </c>
      <c r="BQ92">
        <v>4</v>
      </c>
      <c r="BR92">
        <v>3</v>
      </c>
      <c r="BS92">
        <v>2</v>
      </c>
      <c r="BT92">
        <v>1</v>
      </c>
      <c r="BU92">
        <v>6</v>
      </c>
      <c r="BV92">
        <v>7</v>
      </c>
      <c r="BW92">
        <v>1</v>
      </c>
      <c r="BX92">
        <v>2</v>
      </c>
      <c r="BY92">
        <v>3</v>
      </c>
      <c r="BZ92">
        <v>7</v>
      </c>
      <c r="CA92">
        <v>1</v>
      </c>
      <c r="CB92">
        <v>2</v>
      </c>
      <c r="CC92">
        <v>3</v>
      </c>
      <c r="CD92">
        <v>4</v>
      </c>
      <c r="CE92">
        <v>5</v>
      </c>
      <c r="CF92">
        <v>6</v>
      </c>
      <c r="CG92">
        <v>7</v>
      </c>
    </row>
    <row r="93" spans="2:85" x14ac:dyDescent="0.4">
      <c r="D93">
        <f>MATCH(D92,auto_tblSeries_Header,0)</f>
        <v>4</v>
      </c>
      <c r="E93">
        <f>MATCH(E92,auto_tblSeries_Header,0)</f>
        <v>7</v>
      </c>
      <c r="F93">
        <f>MATCH(F92,auto_tblSeries_Header,0)</f>
        <v>5</v>
      </c>
      <c r="G93">
        <f>MATCH(G92,auto_tblSeries_Header,0)</f>
        <v>25</v>
      </c>
      <c r="H93">
        <f>MATCH(H92,auto_tblSeries_Header,0)</f>
        <v>22</v>
      </c>
      <c r="K93" t="str">
        <f>O93</f>
        <v>E1</v>
      </c>
      <c r="L93" t="str" cm="1">
        <f t="array" ref="L93">INDEX(auto_TimeSliceCode,L92)</f>
        <v>E1</v>
      </c>
      <c r="M93" t="str" cm="1">
        <f t="array" ref="M93">INDEX(auto_TimeSliceCode,M92)</f>
        <v>E1</v>
      </c>
      <c r="O93" t="str" cm="1">
        <f t="array" ref="O93">INDEX(auto_TimeSliceCode,O92)</f>
        <v>E1</v>
      </c>
      <c r="P93" t="str" cm="1">
        <f t="array" ref="P93">INDEX(auto_TimeSliceCode,P92)</f>
        <v>E1</v>
      </c>
      <c r="R93" t="s">
        <v>20</v>
      </c>
      <c r="S93" t="str" cm="1">
        <f t="array" ref="S93">INDEX(auto_TimeSliceCode,S92)</f>
        <v>E1</v>
      </c>
      <c r="U93" t="s">
        <v>214</v>
      </c>
      <c r="V93" t="s">
        <v>215</v>
      </c>
      <c r="W93" t="s">
        <v>213</v>
      </c>
      <c r="X93">
        <v>0</v>
      </c>
      <c r="Y93">
        <v>0</v>
      </c>
      <c r="Z93">
        <v>0</v>
      </c>
      <c r="BO93" t="s">
        <v>496</v>
      </c>
      <c r="BP93">
        <v>0</v>
      </c>
      <c r="BQ93">
        <v>0</v>
      </c>
      <c r="BR93">
        <v>0</v>
      </c>
      <c r="BS93">
        <v>0</v>
      </c>
      <c r="BT93">
        <v>0</v>
      </c>
      <c r="BU93">
        <v>0</v>
      </c>
      <c r="BV93">
        <v>0</v>
      </c>
      <c r="BZ93">
        <v>0</v>
      </c>
    </row>
    <row r="94" spans="2:85" x14ac:dyDescent="0.4">
      <c r="B94">
        <v>1</v>
      </c>
      <c r="C94" t="str" cm="1">
        <f t="array" ref="C94">INDEX(auto_Series_Code,B94)</f>
        <v>OVERALL</v>
      </c>
      <c r="D94" cm="1">
        <f t="array" ref="D94">INDEX(auto_tblSeries,$B94,D$93)</f>
        <v>0</v>
      </c>
      <c r="E94" cm="1">
        <f t="array" ref="E94">INDEX(auto_tblSeries,$B94,E$93)</f>
        <v>0</v>
      </c>
      <c r="F94" cm="1">
        <f t="array" ref="F94">INDEX(auto_tblSeries,$B94,F$93)</f>
        <v>0</v>
      </c>
      <c r="G94" cm="1">
        <f t="array" ref="G94">INDEX(auto_tblSeries,$B94,G$93)</f>
        <v>0</v>
      </c>
      <c r="H94" cm="1">
        <f t="array" ref="H94">INDEX(auto_tblSeries,$B94,H$93)</f>
        <v>1</v>
      </c>
      <c r="I94">
        <f t="shared" ref="I94" si="29">MATCH(CONCATENATE($C$3,"_",$C94),auto_DataFlat_UID,0)</f>
        <v>1</v>
      </c>
      <c r="K94" cm="1">
        <f t="array" ref="K94">INDEX(auto_DataFlat_Score,$I94,K$92)</f>
        <v>49.6</v>
      </c>
      <c r="L94" t="str" cm="1">
        <f t="array" ref="L94">INDEX(auto_DataFlat_Rank,$I94,L$92)</f>
        <v>41</v>
      </c>
      <c r="M94" cm="1">
        <f t="array" ref="M94">INDEX(auto_DataFlat_DataValue,$I94,M$92)</f>
        <v>0</v>
      </c>
      <c r="N94" cm="1">
        <f t="array" ref="N94">INDEX(auto_DataFlat_Classification,$I94,M$92)</f>
        <v>3</v>
      </c>
      <c r="O94" cm="1">
        <f t="array" ref="O94">INDEX(auto_DataFlat_IsEstimate,$I94,O$92)</f>
        <v>0</v>
      </c>
      <c r="P94" t="str" cm="1">
        <f t="array" ref="P94">IF(INDEX(auto_DataFlat_DataYear,$I94,P$92)=0,"n/a",INDEX(auto_DataFlat_DataYear,$I94,P$92))</f>
        <v>n/a</v>
      </c>
      <c r="R94">
        <f t="shared" ref="R94" si="30">MATCH(CONCATENATE(R$93,"_",$C94),auto_DataFlat_UID,0)</f>
        <v>51</v>
      </c>
      <c r="S94" cm="1">
        <f t="array" ref="S94">INDEX(auto_DataFlat_Score,$R94,S$92)</f>
        <v>62.4</v>
      </c>
      <c r="U94">
        <f>IFERROR(K94-S94,"n/a")</f>
        <v>-12.799999999999997</v>
      </c>
      <c r="V94">
        <f>IFERROR(IF(U94&gt;0,1,IF(U94=0,2,IF(U94&lt;0,3,"???"))),"n/a")</f>
        <v>3</v>
      </c>
      <c r="W94">
        <f>IF(OR($D94&lt;&gt;$W$89,$E94=1),-1,V94)</f>
        <v>-1</v>
      </c>
      <c r="X94">
        <f ca="1">X93+MATCH(X$92,OFFSET($W$94,X93,0,300,1),0)</f>
        <v>3</v>
      </c>
      <c r="Y94">
        <f t="shared" ref="Y94:Z94" ca="1" si="31">Y93+MATCH(Y$92,OFFSET($W$94,Y93,0,300,1),0)</f>
        <v>15</v>
      </c>
      <c r="Z94">
        <f t="shared" ca="1" si="31"/>
        <v>6</v>
      </c>
      <c r="AB94">
        <f ca="1">IFERROR(X94,0)</f>
        <v>3</v>
      </c>
      <c r="AC94">
        <f t="shared" ref="AC94:AD109" ca="1" si="32">IFERROR(Y94,0)</f>
        <v>15</v>
      </c>
      <c r="AD94">
        <f t="shared" ca="1" si="32"/>
        <v>6</v>
      </c>
      <c r="BO94">
        <f t="shared" ref="BO94:BO125" si="33">IF(OR($D94&lt;&gt;$BP$89,$E94=1),-1,N94)</f>
        <v>-1</v>
      </c>
      <c r="BP94">
        <f t="shared" ref="BP94:BP125" ca="1" si="34">IFERROR(BP93+MATCH(BP$92,OFFSET($BO$94,BP93,0,300-BP93,1),0),NA())</f>
        <v>5</v>
      </c>
      <c r="BQ94">
        <f t="shared" ref="BQ94:BQ125" ca="1" si="35">IFERROR(BQ93+MATCH(BQ$92,OFFSET($BO$94,BQ93,0,300-BQ93,1),0),NA())</f>
        <v>4</v>
      </c>
      <c r="BR94">
        <f t="shared" ref="BR94:BR125" ca="1" si="36">IFERROR(BR93+MATCH(BR$92,OFFSET($BO$94,BR93,0,300-BR93,1),0),NA())</f>
        <v>19</v>
      </c>
      <c r="BS94">
        <f t="shared" ref="BS94:BS125" ca="1" si="37">IFERROR(BS93+MATCH(BS$92,OFFSET($BO$94,BS93,0,300-BS93,1),0),NA())</f>
        <v>56</v>
      </c>
      <c r="BT94">
        <f t="shared" ref="BT94:BT125" ca="1" si="38">IFERROR(BT93+MATCH(BT$92,OFFSET($BO$94,BT93,0,300-BT93,1),0),NA())</f>
        <v>7</v>
      </c>
      <c r="BU94" t="e">
        <f t="shared" ref="BU94:BU125" ca="1" si="39">IFERROR(BU93+MATCH(BU$92,OFFSET($BO$94,BU93,0,300-BU93,1),0),NA())</f>
        <v>#N/A</v>
      </c>
      <c r="BV94" t="e">
        <f t="shared" ref="BV94:BV125" ca="1" si="40">IFERROR(BV93+MATCH(BV$92,OFFSET($BO$94,BV93,0,300-BV93,1),0),NA())</f>
        <v>#N/A</v>
      </c>
      <c r="BW94">
        <f>IFERROR(#REF!,0)</f>
        <v>0</v>
      </c>
      <c r="BX94">
        <f>IFERROR(#REF!,0)</f>
        <v>0</v>
      </c>
      <c r="BY94">
        <f>IFERROR(#REF!,0)</f>
        <v>0</v>
      </c>
      <c r="BZ94" t="e">
        <f ca="1">IFERROR(BZ93+MATCH(BZ$92,OFFSET(#REF!,BZ93,0,300-BZ93,1),0),NA())</f>
        <v>#N/A</v>
      </c>
      <c r="CA94">
        <f>IFERROR(#REF!,0)</f>
        <v>0</v>
      </c>
      <c r="CB94">
        <f>IFERROR(#REF!,0)</f>
        <v>0</v>
      </c>
      <c r="CC94">
        <f>IFERROR(#REF!,0)</f>
        <v>0</v>
      </c>
      <c r="CD94">
        <f>IFERROR(#REF!,0)</f>
        <v>0</v>
      </c>
      <c r="CE94">
        <f>IFERROR(#REF!,0)</f>
        <v>0</v>
      </c>
      <c r="CF94">
        <f>IFERROR(#REF!,0)</f>
        <v>0</v>
      </c>
      <c r="CG94">
        <f t="shared" ref="CG94:CG157" ca="1" si="41">IFERROR(BZ94,0)</f>
        <v>0</v>
      </c>
    </row>
    <row r="95" spans="2:85" x14ac:dyDescent="0.4">
      <c r="B95">
        <v>2</v>
      </c>
      <c r="C95" t="str" cm="1">
        <f t="array" ref="C95">INDEX(auto_Series_Code,B95)</f>
        <v>DOMAIN_001</v>
      </c>
      <c r="D95" cm="1">
        <f t="array" ref="D95">INDEX(auto_tblSeries,$B95,D$93)</f>
        <v>1</v>
      </c>
      <c r="E95" cm="1">
        <f t="array" ref="E95">INDEX(auto_tblSeries,$B95,E$93)</f>
        <v>0</v>
      </c>
      <c r="F95" cm="1">
        <f t="array" ref="F95">INDEX(auto_tblSeries,$B95,F$93)</f>
        <v>0</v>
      </c>
      <c r="G95" cm="1">
        <f t="array" ref="G95">INDEX(auto_tblSeries,$B95,G$93)</f>
        <v>0</v>
      </c>
      <c r="H95" cm="1">
        <f t="array" ref="H95">INDEX(auto_tblSeries,$B95,H$93)</f>
        <v>1</v>
      </c>
      <c r="I95">
        <f t="shared" ref="I95" si="42">MATCH(CONCATENATE($C$3,"_",$C95),auto_DataFlat_UID,0)</f>
        <v>61</v>
      </c>
      <c r="K95" cm="1">
        <f t="array" ref="K95">INDEX(auto_DataFlat_Score,$I95,K$92)</f>
        <v>65.900000000000006</v>
      </c>
      <c r="L95" t="str" cm="1">
        <f t="array" ref="L95">INDEX(auto_DataFlat_Rank,$I95,L$92)</f>
        <v>32</v>
      </c>
      <c r="M95" cm="1">
        <f t="array" ref="M95">INDEX(auto_DataFlat_DataValue,$I95,M$92)</f>
        <v>0</v>
      </c>
      <c r="N95" cm="1">
        <f t="array" ref="N95">INDEX(auto_DataFlat_Classification,$I95,M$92)</f>
        <v>4</v>
      </c>
      <c r="O95" cm="1">
        <f t="array" ref="O95">INDEX(auto_DataFlat_IsEstimate,$I95,O$92)</f>
        <v>0</v>
      </c>
      <c r="P95" t="str" cm="1">
        <f t="array" ref="P95">IF(INDEX(auto_DataFlat_DataYear,$I95,P$92)=0,"n/a",INDEX(auto_DataFlat_DataYear,$I95,P$92))</f>
        <v>n/a</v>
      </c>
      <c r="R95">
        <f t="shared" ref="R95" si="43">MATCH(CONCATENATE(R$93,"_",$C95),auto_DataFlat_UID,0)</f>
        <v>111</v>
      </c>
      <c r="S95" cm="1">
        <f t="array" ref="S95">INDEX(auto_DataFlat_Score,$R95,S$92)</f>
        <v>70</v>
      </c>
      <c r="U95">
        <f t="shared" ref="U95:U138" si="44">IFERROR(K95-S95,"n/a")</f>
        <v>-4.0999999999999943</v>
      </c>
      <c r="V95">
        <f t="shared" ref="V95:V138" si="45">IFERROR(IF(U95&gt;0,1,IF(U95=0,2,IF(U95&lt;0,3,"???"))),"n/a")</f>
        <v>3</v>
      </c>
      <c r="W95">
        <f t="shared" ref="W95:W158" si="46">IF(OR($D95&lt;&gt;$W$89,$E95=1),-1,V95)</f>
        <v>-1</v>
      </c>
      <c r="X95">
        <f t="shared" ref="X95:X158" ca="1" si="47">X94+MATCH(X$92,OFFSET($W$94,X94,0,300,1),0)</f>
        <v>9</v>
      </c>
      <c r="Y95" t="e">
        <f t="shared" ref="Y95:Y158" ca="1" si="48">Y94+MATCH(Y$92,OFFSET($W$94,Y94,0,300,1),0)</f>
        <v>#N/A</v>
      </c>
      <c r="Z95">
        <f t="shared" ref="Z95:Z158" ca="1" si="49">Z94+MATCH(Z$92,OFFSET($W$94,Z94,0,300,1),0)</f>
        <v>12</v>
      </c>
      <c r="AB95">
        <f t="shared" ref="AB95:AD138" ca="1" si="50">IFERROR(X95,0)</f>
        <v>9</v>
      </c>
      <c r="AC95">
        <f t="shared" ca="1" si="32"/>
        <v>0</v>
      </c>
      <c r="AD95">
        <f t="shared" ca="1" si="32"/>
        <v>12</v>
      </c>
      <c r="BO95">
        <f t="shared" si="33"/>
        <v>-1</v>
      </c>
      <c r="BP95">
        <f t="shared" ca="1" si="34"/>
        <v>10</v>
      </c>
      <c r="BQ95">
        <f t="shared" ca="1" si="35"/>
        <v>36</v>
      </c>
      <c r="BR95">
        <f t="shared" ca="1" si="36"/>
        <v>37</v>
      </c>
      <c r="BS95" t="e">
        <f t="shared" ca="1" si="37"/>
        <v>#N/A</v>
      </c>
      <c r="BT95">
        <f t="shared" ca="1" si="38"/>
        <v>8</v>
      </c>
      <c r="BU95" t="e">
        <f t="shared" ca="1" si="39"/>
        <v>#N/A</v>
      </c>
      <c r="BV95" t="e">
        <f t="shared" ca="1" si="40"/>
        <v>#N/A</v>
      </c>
      <c r="BW95">
        <f>IFERROR(#REF!,0)</f>
        <v>0</v>
      </c>
      <c r="BX95">
        <f>IFERROR(#REF!,0)</f>
        <v>0</v>
      </c>
      <c r="BY95">
        <f>IFERROR(#REF!,0)</f>
        <v>0</v>
      </c>
      <c r="BZ95" t="e">
        <f ca="1">IFERROR(BZ94+MATCH(BZ$92,OFFSET(#REF!,BZ94,0,300-BZ94,1),0),NA())</f>
        <v>#N/A</v>
      </c>
      <c r="CA95">
        <f>IFERROR(#REF!,0)</f>
        <v>0</v>
      </c>
      <c r="CB95">
        <f>IFERROR(#REF!,0)</f>
        <v>0</v>
      </c>
      <c r="CC95">
        <f>IFERROR(#REF!,0)</f>
        <v>0</v>
      </c>
      <c r="CD95">
        <f>IFERROR(#REF!,0)</f>
        <v>0</v>
      </c>
      <c r="CE95">
        <f>IFERROR(#REF!,0)</f>
        <v>0</v>
      </c>
      <c r="CF95">
        <f>IFERROR(#REF!,0)</f>
        <v>0</v>
      </c>
      <c r="CG95">
        <f t="shared" ca="1" si="41"/>
        <v>0</v>
      </c>
    </row>
    <row r="96" spans="2:85" x14ac:dyDescent="0.4">
      <c r="B96">
        <v>3</v>
      </c>
      <c r="C96" t="str" cm="1">
        <f t="array" ref="C96">INDEX(auto_Series_Code,B96)</f>
        <v>INDI_001</v>
      </c>
      <c r="D96" cm="1">
        <f t="array" ref="D96">INDEX(auto_tblSeries,$B96,D$93)</f>
        <v>2</v>
      </c>
      <c r="E96" cm="1">
        <f t="array" ref="E96">INDEX(auto_tblSeries,$B96,E$93)</f>
        <v>0</v>
      </c>
      <c r="F96" cm="1">
        <f t="array" ref="F96">INDEX(auto_tblSeries,$B96,F$93)</f>
        <v>0</v>
      </c>
      <c r="G96" cm="1">
        <f t="array" ref="G96">INDEX(auto_tblSeries,$B96,G$93)</f>
        <v>0</v>
      </c>
      <c r="H96" cm="1">
        <f t="array" ref="H96">INDEX(auto_tblSeries,$B96,H$93)</f>
        <v>1</v>
      </c>
      <c r="I96">
        <f t="shared" ref="I96" si="51">MATCH(CONCATENATE($C$3,"_",$C96),auto_DataFlat_UID,0)</f>
        <v>121</v>
      </c>
      <c r="K96" cm="1">
        <f t="array" ref="K96">INDEX(auto_DataFlat_Score,$I96,K$92)</f>
        <v>82.5</v>
      </c>
      <c r="L96" t="str" cm="1">
        <f t="array" ref="L96">INDEX(auto_DataFlat_Rank,$I96,L$92)</f>
        <v>=21</v>
      </c>
      <c r="M96" cm="1">
        <f t="array" ref="M96">INDEX(auto_DataFlat_DataValue,$I96,M$92)</f>
        <v>0</v>
      </c>
      <c r="N96" cm="1">
        <f t="array" ref="N96">INDEX(auto_DataFlat_Classification,$I96,M$92)</f>
        <v>5</v>
      </c>
      <c r="O96" cm="1">
        <f t="array" ref="O96">INDEX(auto_DataFlat_IsEstimate,$I96,O$92)</f>
        <v>0</v>
      </c>
      <c r="P96" t="str" cm="1">
        <f t="array" ref="P96">IF(INDEX(auto_DataFlat_DataYear,$I96,P$92)=0,"n/a",INDEX(auto_DataFlat_DataYear,$I96,P$92))</f>
        <v>n/a</v>
      </c>
      <c r="R96">
        <f t="shared" ref="R96" si="52">MATCH(CONCATENATE(R$93,"_",$C96),auto_DataFlat_UID,0)</f>
        <v>171</v>
      </c>
      <c r="S96" cm="1">
        <f t="array" ref="S96">INDEX(auto_DataFlat_Score,$R96,S$92)</f>
        <v>67.2</v>
      </c>
      <c r="U96">
        <f t="shared" si="44"/>
        <v>15.299999999999997</v>
      </c>
      <c r="V96">
        <f t="shared" si="45"/>
        <v>1</v>
      </c>
      <c r="W96">
        <f t="shared" si="46"/>
        <v>1</v>
      </c>
      <c r="X96">
        <f t="shared" ca="1" si="47"/>
        <v>13</v>
      </c>
      <c r="Y96" t="e">
        <f t="shared" ca="1" si="48"/>
        <v>#N/A</v>
      </c>
      <c r="Z96">
        <f t="shared" ca="1" si="49"/>
        <v>16</v>
      </c>
      <c r="AB96">
        <f t="shared" ca="1" si="50"/>
        <v>13</v>
      </c>
      <c r="AC96">
        <f t="shared" ca="1" si="32"/>
        <v>0</v>
      </c>
      <c r="AD96">
        <f t="shared" ca="1" si="32"/>
        <v>16</v>
      </c>
      <c r="BO96">
        <f t="shared" si="33"/>
        <v>-1</v>
      </c>
      <c r="BP96">
        <f t="shared" ca="1" si="34"/>
        <v>11</v>
      </c>
      <c r="BQ96">
        <f t="shared" ca="1" si="35"/>
        <v>45</v>
      </c>
      <c r="BR96" t="e">
        <f t="shared" ca="1" si="36"/>
        <v>#N/A</v>
      </c>
      <c r="BS96" t="e">
        <f t="shared" ca="1" si="37"/>
        <v>#N/A</v>
      </c>
      <c r="BT96">
        <f t="shared" ca="1" si="38"/>
        <v>25</v>
      </c>
      <c r="BU96" t="e">
        <f t="shared" ca="1" si="39"/>
        <v>#N/A</v>
      </c>
      <c r="BV96" t="e">
        <f t="shared" ca="1" si="40"/>
        <v>#N/A</v>
      </c>
      <c r="BW96">
        <f>IFERROR(#REF!,0)</f>
        <v>0</v>
      </c>
      <c r="BX96">
        <f>IFERROR(#REF!,0)</f>
        <v>0</v>
      </c>
      <c r="BY96">
        <f>IFERROR(#REF!,0)</f>
        <v>0</v>
      </c>
      <c r="BZ96" t="e">
        <f ca="1">IFERROR(BZ95+MATCH(BZ$92,OFFSET(#REF!,BZ95,0,300-BZ95,1),0),NA())</f>
        <v>#N/A</v>
      </c>
      <c r="CA96">
        <f>IFERROR(#REF!,0)</f>
        <v>0</v>
      </c>
      <c r="CB96">
        <f>IFERROR(#REF!,0)</f>
        <v>0</v>
      </c>
      <c r="CC96">
        <f>IFERROR(#REF!,0)</f>
        <v>0</v>
      </c>
      <c r="CD96">
        <f>IFERROR(#REF!,0)</f>
        <v>0</v>
      </c>
      <c r="CE96">
        <f>IFERROR(#REF!,0)</f>
        <v>0</v>
      </c>
      <c r="CF96">
        <f>IFERROR(#REF!,0)</f>
        <v>0</v>
      </c>
      <c r="CG96">
        <f t="shared" ca="1" si="41"/>
        <v>0</v>
      </c>
    </row>
    <row r="97" spans="2:85" x14ac:dyDescent="0.4">
      <c r="B97">
        <v>4</v>
      </c>
      <c r="C97" t="str" cm="1">
        <f t="array" ref="C97">INDEX(auto_Series_Code,B97)</f>
        <v>SUBINDI_001</v>
      </c>
      <c r="D97" cm="1">
        <f t="array" ref="D97">INDEX(auto_tblSeries,$B97,D$93)</f>
        <v>3</v>
      </c>
      <c r="E97" cm="1">
        <f t="array" ref="E97">INDEX(auto_tblSeries,$B97,E$93)</f>
        <v>0</v>
      </c>
      <c r="F97" cm="1">
        <f t="array" ref="F97">INDEX(auto_tblSeries,$B97,F$93)</f>
        <v>1</v>
      </c>
      <c r="G97" cm="1">
        <f t="array" ref="G97">INDEX(auto_tblSeries,$B97,G$93)</f>
        <v>0</v>
      </c>
      <c r="H97" cm="1">
        <f t="array" ref="H97">INDEX(auto_tblSeries,$B97,H$93)</f>
        <v>1</v>
      </c>
      <c r="I97">
        <f t="shared" ref="I97" si="53">MATCH(CONCATENATE($C$3,"_",$C97),auto_DataFlat_UID,0)</f>
        <v>181</v>
      </c>
      <c r="K97" cm="1">
        <f t="array" ref="K97">INDEX(auto_DataFlat_Score,$I97,K$92)</f>
        <v>65</v>
      </c>
      <c r="L97" t="str" cm="1">
        <f t="array" ref="L97">INDEX(auto_DataFlat_Rank,$I97,L$92)</f>
        <v>31</v>
      </c>
      <c r="M97" cm="1">
        <f t="array" ref="M97">INDEX(auto_DataFlat_DataValue,$I97,M$92)</f>
        <v>35</v>
      </c>
      <c r="N97" cm="1">
        <f t="array" ref="N97">INDEX(auto_DataFlat_Classification,$I97,M$92)</f>
        <v>4</v>
      </c>
      <c r="O97" t="str" cm="1">
        <f t="array" ref="O97">INDEX(auto_DataFlat_IsEstimate,$I97,O$92)</f>
        <v xml:space="preserve"> </v>
      </c>
      <c r="P97" cm="1">
        <f t="array" ref="P97">IF(INDEX(auto_DataFlat_DataYear,$I97,P$92)=0,"n/a",INDEX(auto_DataFlat_DataYear,$I97,P$92))</f>
        <v>2021</v>
      </c>
      <c r="R97">
        <f t="shared" ref="R97" si="54">MATCH(CONCATENATE(R$93,"_",$C97),auto_DataFlat_UID,0)</f>
        <v>231</v>
      </c>
      <c r="S97" cm="1">
        <f t="array" ref="S97">INDEX(auto_DataFlat_Score,$R97,S$92)</f>
        <v>64.400000000000006</v>
      </c>
      <c r="U97">
        <f t="shared" si="44"/>
        <v>0.59999999999999432</v>
      </c>
      <c r="V97">
        <f t="shared" si="45"/>
        <v>1</v>
      </c>
      <c r="W97">
        <f t="shared" si="46"/>
        <v>-1</v>
      </c>
      <c r="X97">
        <f t="shared" ca="1" si="47"/>
        <v>18</v>
      </c>
      <c r="Y97" t="e">
        <f t="shared" ca="1" si="48"/>
        <v>#N/A</v>
      </c>
      <c r="Z97">
        <f t="shared" ca="1" si="49"/>
        <v>17</v>
      </c>
      <c r="AB97">
        <f t="shared" ca="1" si="50"/>
        <v>18</v>
      </c>
      <c r="AC97">
        <f t="shared" ca="1" si="32"/>
        <v>0</v>
      </c>
      <c r="AD97">
        <f t="shared" ca="1" si="32"/>
        <v>17</v>
      </c>
      <c r="BO97">
        <f t="shared" si="33"/>
        <v>4</v>
      </c>
      <c r="BP97">
        <f t="shared" ca="1" si="34"/>
        <v>20</v>
      </c>
      <c r="BQ97" t="e">
        <f t="shared" ca="1" si="35"/>
        <v>#N/A</v>
      </c>
      <c r="BR97" t="e">
        <f t="shared" ca="1" si="36"/>
        <v>#N/A</v>
      </c>
      <c r="BS97" t="e">
        <f t="shared" ca="1" si="37"/>
        <v>#N/A</v>
      </c>
      <c r="BT97">
        <f t="shared" ca="1" si="38"/>
        <v>27</v>
      </c>
      <c r="BU97" t="e">
        <f t="shared" ca="1" si="39"/>
        <v>#N/A</v>
      </c>
      <c r="BV97" t="e">
        <f t="shared" ca="1" si="40"/>
        <v>#N/A</v>
      </c>
      <c r="BW97">
        <f>IFERROR(#REF!,0)</f>
        <v>0</v>
      </c>
      <c r="BX97">
        <f>IFERROR(#REF!,0)</f>
        <v>0</v>
      </c>
      <c r="BY97">
        <f>IFERROR(#REF!,0)</f>
        <v>0</v>
      </c>
      <c r="BZ97" t="e">
        <f ca="1">IFERROR(BZ96+MATCH(BZ$92,OFFSET(#REF!,BZ96,0,300-BZ96,1),0),NA())</f>
        <v>#N/A</v>
      </c>
      <c r="CA97">
        <f>IFERROR(#REF!,0)</f>
        <v>0</v>
      </c>
      <c r="CB97">
        <f>IFERROR(#REF!,0)</f>
        <v>0</v>
      </c>
      <c r="CC97">
        <f>IFERROR(#REF!,0)</f>
        <v>0</v>
      </c>
      <c r="CD97">
        <f>IFERROR(#REF!,0)</f>
        <v>0</v>
      </c>
      <c r="CE97">
        <f>IFERROR(#REF!,0)</f>
        <v>0</v>
      </c>
      <c r="CF97">
        <f>IFERROR(#REF!,0)</f>
        <v>0</v>
      </c>
      <c r="CG97">
        <f t="shared" ca="1" si="41"/>
        <v>0</v>
      </c>
    </row>
    <row r="98" spans="2:85" x14ac:dyDescent="0.4">
      <c r="B98">
        <v>5</v>
      </c>
      <c r="C98" t="str" cm="1">
        <f t="array" ref="C98">INDEX(auto_Series_Code,B98)</f>
        <v>SUBINDI_002</v>
      </c>
      <c r="D98" cm="1">
        <f t="array" ref="D98">INDEX(auto_tblSeries,$B98,D$93)</f>
        <v>3</v>
      </c>
      <c r="E98" cm="1">
        <f t="array" ref="E98">INDEX(auto_tblSeries,$B98,E$93)</f>
        <v>0</v>
      </c>
      <c r="F98" cm="1">
        <f t="array" ref="F98">INDEX(auto_tblSeries,$B98,F$93)</f>
        <v>1</v>
      </c>
      <c r="G98" cm="1">
        <f t="array" ref="G98">INDEX(auto_tblSeries,$B98,G$93)</f>
        <v>0</v>
      </c>
      <c r="H98" cm="1">
        <f t="array" ref="H98">INDEX(auto_tblSeries,$B98,H$93)</f>
        <v>0</v>
      </c>
      <c r="I98">
        <f t="shared" ref="I98" si="55">MATCH(CONCATENATE($C$3,"_",$C98),auto_DataFlat_UID,0)</f>
        <v>241</v>
      </c>
      <c r="K98" cm="1">
        <f t="array" ref="K98">INDEX(auto_DataFlat_Score,$I98,K$92)</f>
        <v>100</v>
      </c>
      <c r="L98" t="str" cm="1">
        <f t="array" ref="L98">INDEX(auto_DataFlat_Rank,$I98,L$92)</f>
        <v>=1</v>
      </c>
      <c r="M98" cm="1">
        <f t="array" ref="M98">INDEX(auto_DataFlat_DataValue,$I98,M$92)</f>
        <v>1</v>
      </c>
      <c r="N98" cm="1">
        <f t="array" ref="N98">INDEX(auto_DataFlat_Classification,$I98,M$92)</f>
        <v>5</v>
      </c>
      <c r="O98" t="str" cm="1">
        <f t="array" ref="O98">INDEX(auto_DataFlat_IsEstimate,$I98,O$92)</f>
        <v xml:space="preserve"> </v>
      </c>
      <c r="P98" cm="1">
        <f t="array" ref="P98">IF(INDEX(auto_DataFlat_DataYear,$I98,P$92)=0,"n/a",INDEX(auto_DataFlat_DataYear,$I98,P$92))</f>
        <v>2024</v>
      </c>
      <c r="R98">
        <f t="shared" ref="R98" si="56">MATCH(CONCATENATE(R$93,"_",$C98),auto_DataFlat_UID,0)</f>
        <v>291</v>
      </c>
      <c r="S98" cm="1">
        <f t="array" ref="S98">INDEX(auto_DataFlat_Score,$R98,S$92)</f>
        <v>70</v>
      </c>
      <c r="U98">
        <f t="shared" si="44"/>
        <v>30</v>
      </c>
      <c r="V98">
        <f t="shared" si="45"/>
        <v>1</v>
      </c>
      <c r="W98">
        <f t="shared" si="46"/>
        <v>-1</v>
      </c>
      <c r="X98">
        <f t="shared" ca="1" si="47"/>
        <v>41</v>
      </c>
      <c r="Y98" t="e">
        <f t="shared" ca="1" si="48"/>
        <v>#N/A</v>
      </c>
      <c r="Z98">
        <f t="shared" ca="1" si="49"/>
        <v>21</v>
      </c>
      <c r="AB98">
        <f t="shared" ca="1" si="50"/>
        <v>41</v>
      </c>
      <c r="AC98">
        <f t="shared" ca="1" si="32"/>
        <v>0</v>
      </c>
      <c r="AD98">
        <f t="shared" ca="1" si="32"/>
        <v>21</v>
      </c>
      <c r="BO98">
        <f t="shared" si="33"/>
        <v>5</v>
      </c>
      <c r="BP98">
        <f t="shared" ca="1" si="34"/>
        <v>24</v>
      </c>
      <c r="BQ98" t="e">
        <f t="shared" ca="1" si="35"/>
        <v>#N/A</v>
      </c>
      <c r="BR98" t="e">
        <f t="shared" ca="1" si="36"/>
        <v>#N/A</v>
      </c>
      <c r="BS98" t="e">
        <f t="shared" ca="1" si="37"/>
        <v>#N/A</v>
      </c>
      <c r="BT98">
        <f t="shared" ca="1" si="38"/>
        <v>28</v>
      </c>
      <c r="BU98" t="e">
        <f t="shared" ca="1" si="39"/>
        <v>#N/A</v>
      </c>
      <c r="BV98" t="e">
        <f t="shared" ca="1" si="40"/>
        <v>#N/A</v>
      </c>
      <c r="BW98">
        <f>IFERROR(#REF!,0)</f>
        <v>0</v>
      </c>
      <c r="BX98">
        <f>IFERROR(#REF!,0)</f>
        <v>0</v>
      </c>
      <c r="BY98">
        <f>IFERROR(#REF!,0)</f>
        <v>0</v>
      </c>
      <c r="BZ98" t="e">
        <f ca="1">IFERROR(BZ97+MATCH(BZ$92,OFFSET(#REF!,BZ97,0,300-BZ97,1),0),NA())</f>
        <v>#N/A</v>
      </c>
      <c r="CA98">
        <f>IFERROR(#REF!,0)</f>
        <v>0</v>
      </c>
      <c r="CB98">
        <f>IFERROR(#REF!,0)</f>
        <v>0</v>
      </c>
      <c r="CC98">
        <f>IFERROR(#REF!,0)</f>
        <v>0</v>
      </c>
      <c r="CD98">
        <f>IFERROR(#REF!,0)</f>
        <v>0</v>
      </c>
      <c r="CE98">
        <f>IFERROR(#REF!,0)</f>
        <v>0</v>
      </c>
      <c r="CF98">
        <f>IFERROR(#REF!,0)</f>
        <v>0</v>
      </c>
      <c r="CG98">
        <f t="shared" ca="1" si="41"/>
        <v>0</v>
      </c>
    </row>
    <row r="99" spans="2:85" x14ac:dyDescent="0.4">
      <c r="B99">
        <v>6</v>
      </c>
      <c r="C99" t="str" cm="1">
        <f t="array" ref="C99">INDEX(auto_Series_Code,B99)</f>
        <v>INDI_002</v>
      </c>
      <c r="D99" cm="1">
        <f t="array" ref="D99">INDEX(auto_tblSeries,$B99,D$93)</f>
        <v>2</v>
      </c>
      <c r="E99" cm="1">
        <f t="array" ref="E99">INDEX(auto_tblSeries,$B99,E$93)</f>
        <v>0</v>
      </c>
      <c r="F99" cm="1">
        <f t="array" ref="F99">INDEX(auto_tblSeries,$B99,F$93)</f>
        <v>0</v>
      </c>
      <c r="G99" cm="1">
        <f t="array" ref="G99">INDEX(auto_tblSeries,$B99,G$93)</f>
        <v>0</v>
      </c>
      <c r="H99" cm="1">
        <f t="array" ref="H99">INDEX(auto_tblSeries,$B99,H$93)</f>
        <v>1</v>
      </c>
      <c r="I99">
        <f t="shared" ref="I99" si="57">MATCH(CONCATENATE($C$3,"_",$C99),auto_DataFlat_UID,0)</f>
        <v>301</v>
      </c>
      <c r="K99" cm="1">
        <f t="array" ref="K99">INDEX(auto_DataFlat_Score,$I99,K$92)</f>
        <v>2.2999999999999998</v>
      </c>
      <c r="L99" t="str" cm="1">
        <f t="array" ref="L99">INDEX(auto_DataFlat_Rank,$I99,L$92)</f>
        <v>50</v>
      </c>
      <c r="M99" cm="1">
        <f t="array" ref="M99">INDEX(auto_DataFlat_DataValue,$I99,M$92)</f>
        <v>0</v>
      </c>
      <c r="N99" cm="1">
        <f t="array" ref="N99">INDEX(auto_DataFlat_Classification,$I99,M$92)</f>
        <v>1</v>
      </c>
      <c r="O99" cm="1">
        <f t="array" ref="O99">INDEX(auto_DataFlat_IsEstimate,$I99,O$92)</f>
        <v>0</v>
      </c>
      <c r="P99" t="str" cm="1">
        <f t="array" ref="P99">IF(INDEX(auto_DataFlat_DataYear,$I99,P$92)=0,"n/a",INDEX(auto_DataFlat_DataYear,$I99,P$92))</f>
        <v>n/a</v>
      </c>
      <c r="R99">
        <f t="shared" ref="R99" si="58">MATCH(CONCATENATE(R$93,"_",$C99),auto_DataFlat_UID,0)</f>
        <v>351</v>
      </c>
      <c r="S99" cm="1">
        <f t="array" ref="S99">INDEX(auto_DataFlat_Score,$R99,S$92)</f>
        <v>59.4</v>
      </c>
      <c r="U99">
        <f t="shared" si="44"/>
        <v>-57.1</v>
      </c>
      <c r="V99">
        <f t="shared" si="45"/>
        <v>3</v>
      </c>
      <c r="W99">
        <f t="shared" si="46"/>
        <v>3</v>
      </c>
      <c r="X99">
        <f t="shared" ca="1" si="47"/>
        <v>53</v>
      </c>
      <c r="Y99" t="e">
        <f t="shared" ca="1" si="48"/>
        <v>#N/A</v>
      </c>
      <c r="Z99">
        <f t="shared" ca="1" si="49"/>
        <v>23</v>
      </c>
      <c r="AB99">
        <f t="shared" ca="1" si="50"/>
        <v>53</v>
      </c>
      <c r="AC99">
        <f t="shared" ca="1" si="32"/>
        <v>0</v>
      </c>
      <c r="AD99">
        <f t="shared" ca="1" si="32"/>
        <v>23</v>
      </c>
      <c r="BO99">
        <f t="shared" si="33"/>
        <v>-1</v>
      </c>
      <c r="BP99">
        <f t="shared" ca="1" si="34"/>
        <v>30</v>
      </c>
      <c r="BQ99" t="e">
        <f t="shared" ca="1" si="35"/>
        <v>#N/A</v>
      </c>
      <c r="BR99" t="e">
        <f t="shared" ca="1" si="36"/>
        <v>#N/A</v>
      </c>
      <c r="BS99" t="e">
        <f t="shared" ca="1" si="37"/>
        <v>#N/A</v>
      </c>
      <c r="BT99">
        <f t="shared" ca="1" si="38"/>
        <v>31</v>
      </c>
      <c r="BU99" t="e">
        <f t="shared" ca="1" si="39"/>
        <v>#N/A</v>
      </c>
      <c r="BV99" t="e">
        <f t="shared" ca="1" si="40"/>
        <v>#N/A</v>
      </c>
      <c r="BW99">
        <f>IFERROR(#REF!,0)</f>
        <v>0</v>
      </c>
      <c r="BX99">
        <f>IFERROR(#REF!,0)</f>
        <v>0</v>
      </c>
      <c r="BY99">
        <f>IFERROR(#REF!,0)</f>
        <v>0</v>
      </c>
      <c r="BZ99" t="e">
        <f ca="1">IFERROR(BZ98+MATCH(BZ$92,OFFSET(#REF!,BZ98,0,300-BZ98,1),0),NA())</f>
        <v>#N/A</v>
      </c>
      <c r="CA99">
        <f>IFERROR(#REF!,0)</f>
        <v>0</v>
      </c>
      <c r="CB99">
        <f>IFERROR(#REF!,0)</f>
        <v>0</v>
      </c>
      <c r="CC99">
        <f>IFERROR(#REF!,0)</f>
        <v>0</v>
      </c>
      <c r="CD99">
        <f>IFERROR(#REF!,0)</f>
        <v>0</v>
      </c>
      <c r="CE99">
        <f>IFERROR(#REF!,0)</f>
        <v>0</v>
      </c>
      <c r="CF99">
        <f>IFERROR(#REF!,0)</f>
        <v>0</v>
      </c>
      <c r="CG99">
        <f t="shared" ca="1" si="41"/>
        <v>0</v>
      </c>
    </row>
    <row r="100" spans="2:85" x14ac:dyDescent="0.4">
      <c r="B100">
        <v>7</v>
      </c>
      <c r="C100" t="str" cm="1">
        <f t="array" ref="C100">INDEX(auto_Series_Code,B100)</f>
        <v>SUBINDI_003</v>
      </c>
      <c r="D100" cm="1">
        <f t="array" ref="D100">INDEX(auto_tblSeries,$B100,D$93)</f>
        <v>3</v>
      </c>
      <c r="E100" cm="1">
        <f t="array" ref="E100">INDEX(auto_tblSeries,$B100,E$93)</f>
        <v>0</v>
      </c>
      <c r="F100" cm="1">
        <f t="array" ref="F100">INDEX(auto_tblSeries,$B100,F$93)</f>
        <v>1</v>
      </c>
      <c r="G100" cm="1">
        <f t="array" ref="G100">INDEX(auto_tblSeries,$B100,G$93)</f>
        <v>0</v>
      </c>
      <c r="H100" cm="1">
        <f t="array" ref="H100">INDEX(auto_tblSeries,$B100,H$93)</f>
        <v>1</v>
      </c>
      <c r="I100">
        <f t="shared" ref="I100" si="59">MATCH(CONCATENATE($C$3,"_",$C100),auto_DataFlat_UID,0)</f>
        <v>361</v>
      </c>
      <c r="K100" cm="1">
        <f t="array" ref="K100">INDEX(auto_DataFlat_Score,$I100,K$92)</f>
        <v>4.5</v>
      </c>
      <c r="L100" t="str" cm="1">
        <f t="array" ref="L100">INDEX(auto_DataFlat_Rank,$I100,L$92)</f>
        <v>50</v>
      </c>
      <c r="M100" cm="1">
        <f t="array" ref="M100">INDEX(auto_DataFlat_DataValue,$I100,M$92)</f>
        <v>4.5</v>
      </c>
      <c r="N100" cm="1">
        <f t="array" ref="N100">INDEX(auto_DataFlat_Classification,$I100,M$92)</f>
        <v>1</v>
      </c>
      <c r="O100" t="str" cm="1">
        <f t="array" ref="O100">INDEX(auto_DataFlat_IsEstimate,$I100,O$92)</f>
        <v xml:space="preserve"> </v>
      </c>
      <c r="P100" cm="1">
        <f t="array" ref="P100">IF(INDEX(auto_DataFlat_DataYear,$I100,P$92)=0,"n/a",INDEX(auto_DataFlat_DataYear,$I100,P$92))</f>
        <v>2019</v>
      </c>
      <c r="R100">
        <f t="shared" ref="R100" si="60">MATCH(CONCATENATE(R$93,"_",$C100),auto_DataFlat_UID,0)</f>
        <v>411</v>
      </c>
      <c r="S100" cm="1">
        <f t="array" ref="S100">INDEX(auto_DataFlat_Score,$R100,S$92)</f>
        <v>54.8</v>
      </c>
      <c r="U100">
        <f t="shared" si="44"/>
        <v>-50.3</v>
      </c>
      <c r="V100">
        <f t="shared" si="45"/>
        <v>3</v>
      </c>
      <c r="W100">
        <f t="shared" si="46"/>
        <v>-1</v>
      </c>
      <c r="X100">
        <f t="shared" ca="1" si="47"/>
        <v>54</v>
      </c>
      <c r="Y100" t="e">
        <f t="shared" ca="1" si="48"/>
        <v>#N/A</v>
      </c>
      <c r="Z100">
        <f t="shared" ca="1" si="49"/>
        <v>26</v>
      </c>
      <c r="AB100">
        <f t="shared" ca="1" si="50"/>
        <v>54</v>
      </c>
      <c r="AC100">
        <f t="shared" ca="1" si="32"/>
        <v>0</v>
      </c>
      <c r="AD100">
        <f t="shared" ca="1" si="32"/>
        <v>26</v>
      </c>
      <c r="BO100">
        <f t="shared" si="33"/>
        <v>1</v>
      </c>
      <c r="BP100">
        <f t="shared" ca="1" si="34"/>
        <v>33</v>
      </c>
      <c r="BQ100" t="e">
        <f t="shared" ca="1" si="35"/>
        <v>#N/A</v>
      </c>
      <c r="BR100" t="e">
        <f t="shared" ca="1" si="36"/>
        <v>#N/A</v>
      </c>
      <c r="BS100" t="e">
        <f t="shared" ca="1" si="37"/>
        <v>#N/A</v>
      </c>
      <c r="BT100">
        <f t="shared" ca="1" si="38"/>
        <v>34</v>
      </c>
      <c r="BU100" t="e">
        <f t="shared" ca="1" si="39"/>
        <v>#N/A</v>
      </c>
      <c r="BV100" t="e">
        <f t="shared" ca="1" si="40"/>
        <v>#N/A</v>
      </c>
      <c r="BW100">
        <f>IFERROR(#REF!,0)</f>
        <v>0</v>
      </c>
      <c r="BX100">
        <f>IFERROR(#REF!,0)</f>
        <v>0</v>
      </c>
      <c r="BY100">
        <f>IFERROR(#REF!,0)</f>
        <v>0</v>
      </c>
      <c r="BZ100" t="e">
        <f ca="1">IFERROR(BZ99+MATCH(BZ$92,OFFSET(#REF!,BZ99,0,300-BZ99,1),0),NA())</f>
        <v>#N/A</v>
      </c>
      <c r="CA100">
        <f>IFERROR(#REF!,0)</f>
        <v>0</v>
      </c>
      <c r="CB100">
        <f>IFERROR(#REF!,0)</f>
        <v>0</v>
      </c>
      <c r="CC100">
        <f>IFERROR(#REF!,0)</f>
        <v>0</v>
      </c>
      <c r="CD100">
        <f>IFERROR(#REF!,0)</f>
        <v>0</v>
      </c>
      <c r="CE100">
        <f>IFERROR(#REF!,0)</f>
        <v>0</v>
      </c>
      <c r="CF100">
        <f>IFERROR(#REF!,0)</f>
        <v>0</v>
      </c>
      <c r="CG100">
        <f t="shared" ca="1" si="41"/>
        <v>0</v>
      </c>
    </row>
    <row r="101" spans="2:85" x14ac:dyDescent="0.4">
      <c r="B101">
        <v>8</v>
      </c>
      <c r="C101" t="str" cm="1">
        <f t="array" ref="C101">INDEX(auto_Series_Code,B101)</f>
        <v>SUBINDI_004</v>
      </c>
      <c r="D101" cm="1">
        <f t="array" ref="D101">INDEX(auto_tblSeries,$B101,D$93)</f>
        <v>3</v>
      </c>
      <c r="E101" cm="1">
        <f t="array" ref="E101">INDEX(auto_tblSeries,$B101,E$93)</f>
        <v>0</v>
      </c>
      <c r="F101" cm="1">
        <f t="array" ref="F101">INDEX(auto_tblSeries,$B101,F$93)</f>
        <v>1</v>
      </c>
      <c r="G101" cm="1">
        <f t="array" ref="G101">INDEX(auto_tblSeries,$B101,G$93)</f>
        <v>0</v>
      </c>
      <c r="H101" cm="1">
        <f t="array" ref="H101">INDEX(auto_tblSeries,$B101,H$93)</f>
        <v>0</v>
      </c>
      <c r="I101">
        <f t="shared" ref="I101" si="61">MATCH(CONCATENATE($C$3,"_",$C101),auto_DataFlat_UID,0)</f>
        <v>421</v>
      </c>
      <c r="K101" cm="1">
        <f t="array" ref="K101">INDEX(auto_DataFlat_Score,$I101,K$92)</f>
        <v>0</v>
      </c>
      <c r="L101" t="str" cm="1">
        <f t="array" ref="L101">INDEX(auto_DataFlat_Rank,$I101,L$92)</f>
        <v>=33</v>
      </c>
      <c r="M101" cm="1">
        <f t="array" ref="M101">INDEX(auto_DataFlat_DataValue,$I101,M$92)</f>
        <v>0</v>
      </c>
      <c r="N101" cm="1">
        <f t="array" ref="N101">INDEX(auto_DataFlat_Classification,$I101,M$92)</f>
        <v>1</v>
      </c>
      <c r="O101" t="str" cm="1">
        <f t="array" ref="O101">INDEX(auto_DataFlat_IsEstimate,$I101,O$92)</f>
        <v xml:space="preserve"> </v>
      </c>
      <c r="P101" cm="1">
        <f t="array" ref="P101">IF(INDEX(auto_DataFlat_DataYear,$I101,P$92)=0,"n/a",INDEX(auto_DataFlat_DataYear,$I101,P$92))</f>
        <v>2024</v>
      </c>
      <c r="R101">
        <f t="shared" ref="R101" si="62">MATCH(CONCATENATE(R$93,"_",$C101),auto_DataFlat_UID,0)</f>
        <v>471</v>
      </c>
      <c r="S101" cm="1">
        <f t="array" ref="S101">INDEX(auto_DataFlat_Score,$R101,S$92)</f>
        <v>64</v>
      </c>
      <c r="U101">
        <f t="shared" si="44"/>
        <v>-64</v>
      </c>
      <c r="V101">
        <f t="shared" si="45"/>
        <v>3</v>
      </c>
      <c r="W101">
        <f t="shared" si="46"/>
        <v>-1</v>
      </c>
      <c r="X101">
        <f t="shared" ca="1" si="47"/>
        <v>55</v>
      </c>
      <c r="Y101" t="e">
        <f t="shared" ca="1" si="48"/>
        <v>#N/A</v>
      </c>
      <c r="Z101">
        <f t="shared" ca="1" si="49"/>
        <v>29</v>
      </c>
      <c r="AB101">
        <f t="shared" ca="1" si="50"/>
        <v>55</v>
      </c>
      <c r="AC101">
        <f t="shared" ca="1" si="32"/>
        <v>0</v>
      </c>
      <c r="AD101">
        <f t="shared" ca="1" si="32"/>
        <v>29</v>
      </c>
      <c r="BO101">
        <f t="shared" si="33"/>
        <v>1</v>
      </c>
      <c r="BP101">
        <f t="shared" ca="1" si="34"/>
        <v>39</v>
      </c>
      <c r="BQ101" t="e">
        <f t="shared" ca="1" si="35"/>
        <v>#N/A</v>
      </c>
      <c r="BR101" t="e">
        <f t="shared" ca="1" si="36"/>
        <v>#N/A</v>
      </c>
      <c r="BS101" t="e">
        <f t="shared" ca="1" si="37"/>
        <v>#N/A</v>
      </c>
      <c r="BT101">
        <f t="shared" ca="1" si="38"/>
        <v>40</v>
      </c>
      <c r="BU101" t="e">
        <f t="shared" ca="1" si="39"/>
        <v>#N/A</v>
      </c>
      <c r="BV101" t="e">
        <f t="shared" ca="1" si="40"/>
        <v>#N/A</v>
      </c>
      <c r="BW101">
        <f>IFERROR(#REF!,0)</f>
        <v>0</v>
      </c>
      <c r="BX101">
        <f>IFERROR(#REF!,0)</f>
        <v>0</v>
      </c>
      <c r="BY101">
        <f>IFERROR(#REF!,0)</f>
        <v>0</v>
      </c>
      <c r="BZ101" t="e">
        <f ca="1">IFERROR(BZ100+MATCH(BZ$92,OFFSET(#REF!,BZ100,0,300-BZ100,1),0),NA())</f>
        <v>#N/A</v>
      </c>
      <c r="CA101">
        <f>IFERROR(#REF!,0)</f>
        <v>0</v>
      </c>
      <c r="CB101">
        <f>IFERROR(#REF!,0)</f>
        <v>0</v>
      </c>
      <c r="CC101">
        <f>IFERROR(#REF!,0)</f>
        <v>0</v>
      </c>
      <c r="CD101">
        <f>IFERROR(#REF!,0)</f>
        <v>0</v>
      </c>
      <c r="CE101">
        <f>IFERROR(#REF!,0)</f>
        <v>0</v>
      </c>
      <c r="CF101">
        <f>IFERROR(#REF!,0)</f>
        <v>0</v>
      </c>
      <c r="CG101">
        <f t="shared" ca="1" si="41"/>
        <v>0</v>
      </c>
    </row>
    <row r="102" spans="2:85" x14ac:dyDescent="0.4">
      <c r="B102">
        <v>9</v>
      </c>
      <c r="C102" t="str" cm="1">
        <f t="array" ref="C102">INDEX(auto_Series_Code,B102)</f>
        <v>INDI_003</v>
      </c>
      <c r="D102" cm="1">
        <f t="array" ref="D102">INDEX(auto_tblSeries,$B102,D$93)</f>
        <v>2</v>
      </c>
      <c r="E102" cm="1">
        <f t="array" ref="E102">INDEX(auto_tblSeries,$B102,E$93)</f>
        <v>0</v>
      </c>
      <c r="F102" cm="1">
        <f t="array" ref="F102">INDEX(auto_tblSeries,$B102,F$93)</f>
        <v>0</v>
      </c>
      <c r="G102" cm="1">
        <f t="array" ref="G102">INDEX(auto_tblSeries,$B102,G$93)</f>
        <v>0</v>
      </c>
      <c r="H102" cm="1">
        <f t="array" ref="H102">INDEX(auto_tblSeries,$B102,H$93)</f>
        <v>1</v>
      </c>
      <c r="I102">
        <f t="shared" ref="I102" si="63">MATCH(CONCATENATE($C$3,"_",$C102),auto_DataFlat_UID,0)</f>
        <v>481</v>
      </c>
      <c r="K102" cm="1">
        <f t="array" ref="K102">INDEX(auto_DataFlat_Score,$I102,K$92)</f>
        <v>98</v>
      </c>
      <c r="L102" t="str" cm="1">
        <f t="array" ref="L102">INDEX(auto_DataFlat_Rank,$I102,L$92)</f>
        <v>19</v>
      </c>
      <c r="M102" cm="1">
        <f t="array" ref="M102">INDEX(auto_DataFlat_DataValue,$I102,M$92)</f>
        <v>0</v>
      </c>
      <c r="N102" cm="1">
        <f t="array" ref="N102">INDEX(auto_DataFlat_Classification,$I102,M$92)</f>
        <v>5</v>
      </c>
      <c r="O102" cm="1">
        <f t="array" ref="O102">INDEX(auto_DataFlat_IsEstimate,$I102,O$92)</f>
        <v>0</v>
      </c>
      <c r="P102" t="str" cm="1">
        <f t="array" ref="P102">IF(INDEX(auto_DataFlat_DataYear,$I102,P$92)=0,"n/a",INDEX(auto_DataFlat_DataYear,$I102,P$92))</f>
        <v>n/a</v>
      </c>
      <c r="R102">
        <f t="shared" ref="R102" si="64">MATCH(CONCATENATE(R$93,"_",$C102),auto_DataFlat_UID,0)</f>
        <v>531</v>
      </c>
      <c r="S102" cm="1">
        <f t="array" ref="S102">INDEX(auto_DataFlat_Score,$R102,S$92)</f>
        <v>85.2</v>
      </c>
      <c r="U102">
        <f t="shared" si="44"/>
        <v>12.799999999999997</v>
      </c>
      <c r="V102">
        <f t="shared" si="45"/>
        <v>1</v>
      </c>
      <c r="W102">
        <f t="shared" si="46"/>
        <v>1</v>
      </c>
      <c r="X102">
        <f t="shared" ca="1" si="47"/>
        <v>59</v>
      </c>
      <c r="Y102" t="e">
        <f t="shared" ca="1" si="48"/>
        <v>#N/A</v>
      </c>
      <c r="Z102">
        <f t="shared" ca="1" si="49"/>
        <v>32</v>
      </c>
      <c r="AB102">
        <f t="shared" ca="1" si="50"/>
        <v>59</v>
      </c>
      <c r="AC102">
        <f t="shared" ca="1" si="32"/>
        <v>0</v>
      </c>
      <c r="AD102">
        <f t="shared" ca="1" si="32"/>
        <v>32</v>
      </c>
      <c r="BO102">
        <f t="shared" si="33"/>
        <v>-1</v>
      </c>
      <c r="BP102">
        <f t="shared" ca="1" si="34"/>
        <v>42</v>
      </c>
      <c r="BQ102" t="e">
        <f t="shared" ca="1" si="35"/>
        <v>#N/A</v>
      </c>
      <c r="BR102" t="e">
        <f t="shared" ca="1" si="36"/>
        <v>#N/A</v>
      </c>
      <c r="BS102" t="e">
        <f t="shared" ca="1" si="37"/>
        <v>#N/A</v>
      </c>
      <c r="BT102">
        <f t="shared" ca="1" si="38"/>
        <v>46</v>
      </c>
      <c r="BU102" t="e">
        <f t="shared" ca="1" si="39"/>
        <v>#N/A</v>
      </c>
      <c r="BV102" t="e">
        <f t="shared" ca="1" si="40"/>
        <v>#N/A</v>
      </c>
      <c r="BW102">
        <f>IFERROR(#REF!,0)</f>
        <v>0</v>
      </c>
      <c r="BX102">
        <f>IFERROR(#REF!,0)</f>
        <v>0</v>
      </c>
      <c r="BY102">
        <f>IFERROR(#REF!,0)</f>
        <v>0</v>
      </c>
      <c r="BZ102" t="e">
        <f ca="1">IFERROR(BZ101+MATCH(BZ$92,OFFSET(#REF!,BZ101,0,300-BZ101,1),0),NA())</f>
        <v>#N/A</v>
      </c>
      <c r="CA102">
        <f>IFERROR(#REF!,0)</f>
        <v>0</v>
      </c>
      <c r="CB102">
        <f>IFERROR(#REF!,0)</f>
        <v>0</v>
      </c>
      <c r="CC102">
        <f>IFERROR(#REF!,0)</f>
        <v>0</v>
      </c>
      <c r="CD102">
        <f>IFERROR(#REF!,0)</f>
        <v>0</v>
      </c>
      <c r="CE102">
        <f>IFERROR(#REF!,0)</f>
        <v>0</v>
      </c>
      <c r="CF102">
        <f>IFERROR(#REF!,0)</f>
        <v>0</v>
      </c>
      <c r="CG102">
        <f t="shared" ca="1" si="41"/>
        <v>0</v>
      </c>
    </row>
    <row r="103" spans="2:85" x14ac:dyDescent="0.4">
      <c r="B103">
        <v>10</v>
      </c>
      <c r="C103" t="str" cm="1">
        <f t="array" ref="C103">INDEX(auto_Series_Code,B103)</f>
        <v>SUBINDI_005</v>
      </c>
      <c r="D103" cm="1">
        <f t="array" ref="D103">INDEX(auto_tblSeries,$B103,D$93)</f>
        <v>3</v>
      </c>
      <c r="E103" cm="1">
        <f t="array" ref="E103">INDEX(auto_tblSeries,$B103,E$93)</f>
        <v>0</v>
      </c>
      <c r="F103" cm="1">
        <f t="array" ref="F103">INDEX(auto_tblSeries,$B103,F$93)</f>
        <v>1</v>
      </c>
      <c r="G103" cm="1">
        <f t="array" ref="G103">INDEX(auto_tblSeries,$B103,G$93)</f>
        <v>0</v>
      </c>
      <c r="H103" cm="1">
        <f t="array" ref="H103">INDEX(auto_tblSeries,$B103,H$93)</f>
        <v>2</v>
      </c>
      <c r="I103">
        <f t="shared" ref="I103" si="65">MATCH(CONCATENATE($C$3,"_",$C103),auto_DataFlat_UID,0)</f>
        <v>541</v>
      </c>
      <c r="K103" cm="1">
        <f t="array" ref="K103">INDEX(auto_DataFlat_Score,$I103,K$92)</f>
        <v>96</v>
      </c>
      <c r="L103" t="str" cm="1">
        <f t="array" ref="L103">INDEX(auto_DataFlat_Rank,$I103,L$92)</f>
        <v>23</v>
      </c>
      <c r="M103" cm="1">
        <f t="array" ref="M103">INDEX(auto_DataFlat_DataValue,$I103,M$92)</f>
        <v>4.0199999999999996</v>
      </c>
      <c r="N103" cm="1">
        <f t="array" ref="N103">INDEX(auto_DataFlat_Classification,$I103,M$92)</f>
        <v>5</v>
      </c>
      <c r="O103" t="str" cm="1">
        <f t="array" ref="O103">INDEX(auto_DataFlat_IsEstimate,$I103,O$92)</f>
        <v xml:space="preserve"> </v>
      </c>
      <c r="P103" cm="1">
        <f t="array" ref="P103">IF(INDEX(auto_DataFlat_DataYear,$I103,P$92)=0,"n/a",INDEX(auto_DataFlat_DataYear,$I103,P$92))</f>
        <v>2022</v>
      </c>
      <c r="R103">
        <f t="shared" ref="R103" si="66">MATCH(CONCATENATE(R$93,"_",$C103),auto_DataFlat_UID,0)</f>
        <v>591</v>
      </c>
      <c r="S103" cm="1">
        <f t="array" ref="S103">INDEX(auto_DataFlat_Score,$R103,S$92)</f>
        <v>94.4</v>
      </c>
      <c r="U103">
        <f t="shared" si="44"/>
        <v>1.5999999999999943</v>
      </c>
      <c r="V103">
        <f t="shared" si="45"/>
        <v>1</v>
      </c>
      <c r="W103">
        <f t="shared" si="46"/>
        <v>-1</v>
      </c>
      <c r="X103">
        <f t="shared" ca="1" si="47"/>
        <v>60</v>
      </c>
      <c r="Y103" t="e">
        <f t="shared" ca="1" si="48"/>
        <v>#N/A</v>
      </c>
      <c r="Z103">
        <f t="shared" ca="1" si="49"/>
        <v>35</v>
      </c>
      <c r="AB103">
        <f t="shared" ca="1" si="50"/>
        <v>60</v>
      </c>
      <c r="AC103">
        <f t="shared" ca="1" si="32"/>
        <v>0</v>
      </c>
      <c r="AD103">
        <f t="shared" ca="1" si="32"/>
        <v>35</v>
      </c>
      <c r="BO103">
        <f t="shared" si="33"/>
        <v>5</v>
      </c>
      <c r="BP103">
        <f t="shared" ca="1" si="34"/>
        <v>43</v>
      </c>
      <c r="BQ103" t="e">
        <f t="shared" ca="1" si="35"/>
        <v>#N/A</v>
      </c>
      <c r="BR103" t="e">
        <f t="shared" ca="1" si="36"/>
        <v>#N/A</v>
      </c>
      <c r="BS103" t="e">
        <f t="shared" ca="1" si="37"/>
        <v>#N/A</v>
      </c>
      <c r="BT103" t="e">
        <f t="shared" ca="1" si="38"/>
        <v>#N/A</v>
      </c>
      <c r="BU103" t="e">
        <f t="shared" ca="1" si="39"/>
        <v>#N/A</v>
      </c>
      <c r="BV103" t="e">
        <f t="shared" ca="1" si="40"/>
        <v>#N/A</v>
      </c>
      <c r="BW103">
        <f>IFERROR(#REF!,0)</f>
        <v>0</v>
      </c>
      <c r="BX103">
        <f>IFERROR(#REF!,0)</f>
        <v>0</v>
      </c>
      <c r="BY103">
        <f>IFERROR(#REF!,0)</f>
        <v>0</v>
      </c>
      <c r="BZ103" t="e">
        <f ca="1">IFERROR(BZ102+MATCH(BZ$92,OFFSET(#REF!,BZ102,0,300-BZ102,1),0),NA())</f>
        <v>#N/A</v>
      </c>
      <c r="CA103">
        <f>IFERROR(#REF!,0)</f>
        <v>0</v>
      </c>
      <c r="CB103">
        <f>IFERROR(#REF!,0)</f>
        <v>0</v>
      </c>
      <c r="CC103">
        <f>IFERROR(#REF!,0)</f>
        <v>0</v>
      </c>
      <c r="CD103">
        <f>IFERROR(#REF!,0)</f>
        <v>0</v>
      </c>
      <c r="CE103">
        <f>IFERROR(#REF!,0)</f>
        <v>0</v>
      </c>
      <c r="CF103">
        <f>IFERROR(#REF!,0)</f>
        <v>0</v>
      </c>
      <c r="CG103">
        <f t="shared" ca="1" si="41"/>
        <v>0</v>
      </c>
    </row>
    <row r="104" spans="2:85" x14ac:dyDescent="0.4">
      <c r="B104">
        <v>11</v>
      </c>
      <c r="C104" t="str" cm="1">
        <f t="array" ref="C104">INDEX(auto_Series_Code,B104)</f>
        <v>SUBINDI_006</v>
      </c>
      <c r="D104" cm="1">
        <f t="array" ref="D104">INDEX(auto_tblSeries,$B104,D$93)</f>
        <v>3</v>
      </c>
      <c r="E104" cm="1">
        <f t="array" ref="E104">INDEX(auto_tblSeries,$B104,E$93)</f>
        <v>0</v>
      </c>
      <c r="F104" cm="1">
        <f t="array" ref="F104">INDEX(auto_tblSeries,$B104,F$93)</f>
        <v>1</v>
      </c>
      <c r="G104" cm="1">
        <f t="array" ref="G104">INDEX(auto_tblSeries,$B104,G$93)</f>
        <v>0</v>
      </c>
      <c r="H104" cm="1">
        <f t="array" ref="H104">INDEX(auto_tblSeries,$B104,H$93)</f>
        <v>0</v>
      </c>
      <c r="I104">
        <f t="shared" ref="I104" si="67">MATCH(CONCATENATE($C$3,"_",$C104),auto_DataFlat_UID,0)</f>
        <v>601</v>
      </c>
      <c r="K104" cm="1">
        <f t="array" ref="K104">INDEX(auto_DataFlat_Score,$I104,K$92)</f>
        <v>100</v>
      </c>
      <c r="L104" t="str" cm="1">
        <f t="array" ref="L104">INDEX(auto_DataFlat_Rank,$I104,L$92)</f>
        <v>=1</v>
      </c>
      <c r="M104" cm="1">
        <f t="array" ref="M104">INDEX(auto_DataFlat_DataValue,$I104,M$92)</f>
        <v>1</v>
      </c>
      <c r="N104" cm="1">
        <f t="array" ref="N104">INDEX(auto_DataFlat_Classification,$I104,M$92)</f>
        <v>5</v>
      </c>
      <c r="O104" t="str" cm="1">
        <f t="array" ref="O104">INDEX(auto_DataFlat_IsEstimate,$I104,O$92)</f>
        <v xml:space="preserve"> </v>
      </c>
      <c r="P104" cm="1">
        <f t="array" ref="P104">IF(INDEX(auto_DataFlat_DataYear,$I104,P$92)=0,"n/a",INDEX(auto_DataFlat_DataYear,$I104,P$92))</f>
        <v>2024</v>
      </c>
      <c r="R104">
        <f t="shared" ref="R104" si="68">MATCH(CONCATENATE(R$93,"_",$C104),auto_DataFlat_UID,0)</f>
        <v>651</v>
      </c>
      <c r="S104" cm="1">
        <f t="array" ref="S104">INDEX(auto_DataFlat_Score,$R104,S$92)</f>
        <v>76</v>
      </c>
      <c r="U104">
        <f t="shared" si="44"/>
        <v>24</v>
      </c>
      <c r="V104">
        <f t="shared" si="45"/>
        <v>1</v>
      </c>
      <c r="W104">
        <f t="shared" si="46"/>
        <v>-1</v>
      </c>
      <c r="X104">
        <f t="shared" ca="1" si="47"/>
        <v>61</v>
      </c>
      <c r="Y104" t="e">
        <f t="shared" ca="1" si="48"/>
        <v>#N/A</v>
      </c>
      <c r="Z104">
        <f t="shared" ca="1" si="49"/>
        <v>38</v>
      </c>
      <c r="AB104">
        <f t="shared" ca="1" si="50"/>
        <v>61</v>
      </c>
      <c r="AC104">
        <f t="shared" ca="1" si="32"/>
        <v>0</v>
      </c>
      <c r="AD104">
        <f t="shared" ca="1" si="32"/>
        <v>38</v>
      </c>
      <c r="BO104">
        <f t="shared" si="33"/>
        <v>5</v>
      </c>
      <c r="BP104">
        <f t="shared" ca="1" si="34"/>
        <v>57</v>
      </c>
      <c r="BQ104" t="e">
        <f t="shared" ca="1" si="35"/>
        <v>#N/A</v>
      </c>
      <c r="BR104" t="e">
        <f t="shared" ca="1" si="36"/>
        <v>#N/A</v>
      </c>
      <c r="BS104" t="e">
        <f t="shared" ca="1" si="37"/>
        <v>#N/A</v>
      </c>
      <c r="BT104" t="e">
        <f t="shared" ca="1" si="38"/>
        <v>#N/A</v>
      </c>
      <c r="BU104" t="e">
        <f t="shared" ca="1" si="39"/>
        <v>#N/A</v>
      </c>
      <c r="BV104" t="e">
        <f t="shared" ca="1" si="40"/>
        <v>#N/A</v>
      </c>
      <c r="BW104">
        <f>IFERROR(#REF!,0)</f>
        <v>0</v>
      </c>
      <c r="BX104">
        <f>IFERROR(#REF!,0)</f>
        <v>0</v>
      </c>
      <c r="BY104">
        <f>IFERROR(#REF!,0)</f>
        <v>0</v>
      </c>
      <c r="BZ104" t="e">
        <f ca="1">IFERROR(BZ103+MATCH(BZ$92,OFFSET(#REF!,BZ103,0,300-BZ103,1),0),NA())</f>
        <v>#N/A</v>
      </c>
      <c r="CA104">
        <f>IFERROR(#REF!,0)</f>
        <v>0</v>
      </c>
      <c r="CB104">
        <f>IFERROR(#REF!,0)</f>
        <v>0</v>
      </c>
      <c r="CC104">
        <f>IFERROR(#REF!,0)</f>
        <v>0</v>
      </c>
      <c r="CD104">
        <f>IFERROR(#REF!,0)</f>
        <v>0</v>
      </c>
      <c r="CE104">
        <f>IFERROR(#REF!,0)</f>
        <v>0</v>
      </c>
      <c r="CF104">
        <f>IFERROR(#REF!,0)</f>
        <v>0</v>
      </c>
      <c r="CG104">
        <f t="shared" ca="1" si="41"/>
        <v>0</v>
      </c>
    </row>
    <row r="105" spans="2:85" x14ac:dyDescent="0.4">
      <c r="B105">
        <v>12</v>
      </c>
      <c r="C105" t="str" cm="1">
        <f t="array" ref="C105">INDEX(auto_Series_Code,B105)</f>
        <v>INDI_004</v>
      </c>
      <c r="D105" cm="1">
        <f t="array" ref="D105">INDEX(auto_tblSeries,$B105,D$93)</f>
        <v>2</v>
      </c>
      <c r="E105" cm="1">
        <f t="array" ref="E105">INDEX(auto_tblSeries,$B105,E$93)</f>
        <v>0</v>
      </c>
      <c r="F105" cm="1">
        <f t="array" ref="F105">INDEX(auto_tblSeries,$B105,F$93)</f>
        <v>1</v>
      </c>
      <c r="G105" cm="1">
        <f t="array" ref="G105">INDEX(auto_tblSeries,$B105,G$93)</f>
        <v>0</v>
      </c>
      <c r="H105" cm="1">
        <f t="array" ref="H105">INDEX(auto_tblSeries,$B105,H$93)</f>
        <v>2</v>
      </c>
      <c r="I105">
        <f t="shared" ref="I105" si="69">MATCH(CONCATENATE($C$3,"_",$C105),auto_DataFlat_UID,0)</f>
        <v>661</v>
      </c>
      <c r="K105" cm="1">
        <f t="array" ref="K105">INDEX(auto_DataFlat_Score,$I105,K$92)</f>
        <v>52.5</v>
      </c>
      <c r="L105" t="str" cm="1">
        <f t="array" ref="L105">INDEX(auto_DataFlat_Rank,$I105,L$92)</f>
        <v>44</v>
      </c>
      <c r="M105" cm="1">
        <f t="array" ref="M105">INDEX(auto_DataFlat_DataValue,$I105,M$92)</f>
        <v>52.49</v>
      </c>
      <c r="N105" cm="1">
        <f t="array" ref="N105">INDEX(auto_DataFlat_Classification,$I105,M$92)</f>
        <v>3</v>
      </c>
      <c r="O105" t="str" cm="1">
        <f t="array" ref="O105">INDEX(auto_DataFlat_IsEstimate,$I105,O$92)</f>
        <v xml:space="preserve"> </v>
      </c>
      <c r="P105" cm="1">
        <f t="array" ref="P105">IF(INDEX(auto_DataFlat_DataYear,$I105,P$92)=0,"n/a",INDEX(auto_DataFlat_DataYear,$I105,P$92))</f>
        <v>2021</v>
      </c>
      <c r="R105">
        <f t="shared" ref="R105" si="70">MATCH(CONCATENATE(R$93,"_",$C105),auto_DataFlat_UID,0)</f>
        <v>711</v>
      </c>
      <c r="S105" cm="1">
        <f t="array" ref="S105">INDEX(auto_DataFlat_Score,$R105,S$92)</f>
        <v>63.3</v>
      </c>
      <c r="U105">
        <f t="shared" si="44"/>
        <v>-10.799999999999997</v>
      </c>
      <c r="V105">
        <f t="shared" si="45"/>
        <v>3</v>
      </c>
      <c r="W105">
        <f t="shared" si="46"/>
        <v>3</v>
      </c>
      <c r="X105" t="e">
        <f t="shared" ca="1" si="47"/>
        <v>#N/A</v>
      </c>
      <c r="Y105" t="e">
        <f t="shared" ca="1" si="48"/>
        <v>#N/A</v>
      </c>
      <c r="Z105">
        <f t="shared" ca="1" si="49"/>
        <v>44</v>
      </c>
      <c r="AB105">
        <f t="shared" ca="1" si="50"/>
        <v>0</v>
      </c>
      <c r="AC105">
        <f t="shared" ca="1" si="32"/>
        <v>0</v>
      </c>
      <c r="AD105">
        <f t="shared" ca="1" si="32"/>
        <v>44</v>
      </c>
      <c r="BO105">
        <f t="shared" si="33"/>
        <v>-1</v>
      </c>
      <c r="BP105" t="e">
        <f t="shared" ca="1" si="34"/>
        <v>#N/A</v>
      </c>
      <c r="BQ105" t="e">
        <f t="shared" ca="1" si="35"/>
        <v>#N/A</v>
      </c>
      <c r="BR105" t="e">
        <f t="shared" ca="1" si="36"/>
        <v>#N/A</v>
      </c>
      <c r="BS105" t="e">
        <f t="shared" ca="1" si="37"/>
        <v>#N/A</v>
      </c>
      <c r="BT105" t="e">
        <f t="shared" ca="1" si="38"/>
        <v>#N/A</v>
      </c>
      <c r="BU105" t="e">
        <f t="shared" ca="1" si="39"/>
        <v>#N/A</v>
      </c>
      <c r="BV105" t="e">
        <f t="shared" ca="1" si="40"/>
        <v>#N/A</v>
      </c>
      <c r="BW105">
        <f>IFERROR(#REF!,0)</f>
        <v>0</v>
      </c>
      <c r="BX105">
        <f>IFERROR(#REF!,0)</f>
        <v>0</v>
      </c>
      <c r="BY105">
        <f>IFERROR(#REF!,0)</f>
        <v>0</v>
      </c>
      <c r="BZ105" t="e">
        <f ca="1">IFERROR(BZ104+MATCH(BZ$92,OFFSET(#REF!,BZ104,0,300-BZ104,1),0),NA())</f>
        <v>#N/A</v>
      </c>
      <c r="CA105">
        <f>IFERROR(#REF!,0)</f>
        <v>0</v>
      </c>
      <c r="CB105">
        <f>IFERROR(#REF!,0)</f>
        <v>0</v>
      </c>
      <c r="CC105">
        <f>IFERROR(#REF!,0)</f>
        <v>0</v>
      </c>
      <c r="CD105">
        <f>IFERROR(#REF!,0)</f>
        <v>0</v>
      </c>
      <c r="CE105">
        <f>IFERROR(#REF!,0)</f>
        <v>0</v>
      </c>
      <c r="CF105">
        <f>IFERROR(#REF!,0)</f>
        <v>0</v>
      </c>
      <c r="CG105">
        <f t="shared" ca="1" si="41"/>
        <v>0</v>
      </c>
    </row>
    <row r="106" spans="2:85" x14ac:dyDescent="0.4">
      <c r="B106">
        <v>13</v>
      </c>
      <c r="C106" t="str" cm="1">
        <f t="array" ref="C106">INDEX(auto_Series_Code,B106)</f>
        <v>INDI_005</v>
      </c>
      <c r="D106" cm="1">
        <f t="array" ref="D106">INDEX(auto_tblSeries,$B106,D$93)</f>
        <v>2</v>
      </c>
      <c r="E106" cm="1">
        <f t="array" ref="E106">INDEX(auto_tblSeries,$B106,E$93)</f>
        <v>0</v>
      </c>
      <c r="F106" cm="1">
        <f t="array" ref="F106">INDEX(auto_tblSeries,$B106,F$93)</f>
        <v>1</v>
      </c>
      <c r="G106" cm="1">
        <f t="array" ref="G106">INDEX(auto_tblSeries,$B106,G$93)</f>
        <v>0</v>
      </c>
      <c r="H106" cm="1">
        <f t="array" ref="H106">INDEX(auto_tblSeries,$B106,H$93)</f>
        <v>2</v>
      </c>
      <c r="I106">
        <f t="shared" ref="I106" si="71">MATCH(CONCATENATE($C$3,"_",$C106),auto_DataFlat_UID,0)</f>
        <v>721</v>
      </c>
      <c r="K106" cm="1">
        <f t="array" ref="K106">INDEX(auto_DataFlat_Score,$I106,K$92)</f>
        <v>94.4</v>
      </c>
      <c r="L106" t="str" cm="1">
        <f t="array" ref="L106">INDEX(auto_DataFlat_Rank,$I106,L$92)</f>
        <v>9</v>
      </c>
      <c r="M106" cm="1">
        <f t="array" ref="M106">INDEX(auto_DataFlat_DataValue,$I106,M$92)</f>
        <v>0.56999999999999995</v>
      </c>
      <c r="N106" cm="1">
        <f t="array" ref="N106">INDEX(auto_DataFlat_Classification,$I106,M$92)</f>
        <v>5</v>
      </c>
      <c r="O106" t="str" cm="1">
        <f t="array" ref="O106">INDEX(auto_DataFlat_IsEstimate,$I106,O$92)</f>
        <v xml:space="preserve"> </v>
      </c>
      <c r="P106" cm="1">
        <f t="array" ref="P106">IF(INDEX(auto_DataFlat_DataYear,$I106,P$92)=0,"n/a",INDEX(auto_DataFlat_DataYear,$I106,P$92))</f>
        <v>2018</v>
      </c>
      <c r="R106">
        <f t="shared" ref="R106" si="72">MATCH(CONCATENATE(R$93,"_",$C106),auto_DataFlat_UID,0)</f>
        <v>771</v>
      </c>
      <c r="S106" cm="1">
        <f t="array" ref="S106">INDEX(auto_DataFlat_Score,$R106,S$92)</f>
        <v>74.599999999999994</v>
      </c>
      <c r="U106">
        <f t="shared" si="44"/>
        <v>19.800000000000011</v>
      </c>
      <c r="V106">
        <f t="shared" si="45"/>
        <v>1</v>
      </c>
      <c r="W106">
        <f t="shared" si="46"/>
        <v>1</v>
      </c>
      <c r="X106" t="e">
        <f t="shared" ca="1" si="47"/>
        <v>#N/A</v>
      </c>
      <c r="Y106" t="e">
        <f t="shared" ca="1" si="48"/>
        <v>#N/A</v>
      </c>
      <c r="Z106">
        <f t="shared" ca="1" si="49"/>
        <v>48</v>
      </c>
      <c r="AB106">
        <f t="shared" ca="1" si="50"/>
        <v>0</v>
      </c>
      <c r="AC106">
        <f t="shared" ca="1" si="32"/>
        <v>0</v>
      </c>
      <c r="AD106">
        <f t="shared" ca="1" si="32"/>
        <v>48</v>
      </c>
      <c r="BO106">
        <f t="shared" si="33"/>
        <v>-1</v>
      </c>
      <c r="BP106" t="e">
        <f t="shared" ca="1" si="34"/>
        <v>#N/A</v>
      </c>
      <c r="BQ106" t="e">
        <f t="shared" ca="1" si="35"/>
        <v>#N/A</v>
      </c>
      <c r="BR106" t="e">
        <f t="shared" ca="1" si="36"/>
        <v>#N/A</v>
      </c>
      <c r="BS106" t="e">
        <f t="shared" ca="1" si="37"/>
        <v>#N/A</v>
      </c>
      <c r="BT106" t="e">
        <f t="shared" ca="1" si="38"/>
        <v>#N/A</v>
      </c>
      <c r="BU106" t="e">
        <f t="shared" ca="1" si="39"/>
        <v>#N/A</v>
      </c>
      <c r="BV106" t="e">
        <f t="shared" ca="1" si="40"/>
        <v>#N/A</v>
      </c>
      <c r="BW106">
        <f>IFERROR(#REF!,0)</f>
        <v>0</v>
      </c>
      <c r="BX106">
        <f>IFERROR(#REF!,0)</f>
        <v>0</v>
      </c>
      <c r="BY106">
        <f>IFERROR(#REF!,0)</f>
        <v>0</v>
      </c>
      <c r="BZ106" t="e">
        <f ca="1">IFERROR(BZ105+MATCH(BZ$92,OFFSET(#REF!,BZ105,0,300-BZ105,1),0),NA())</f>
        <v>#N/A</v>
      </c>
      <c r="CA106">
        <f>IFERROR(#REF!,0)</f>
        <v>0</v>
      </c>
      <c r="CB106">
        <f>IFERROR(#REF!,0)</f>
        <v>0</v>
      </c>
      <c r="CC106">
        <f>IFERROR(#REF!,0)</f>
        <v>0</v>
      </c>
      <c r="CD106">
        <f>IFERROR(#REF!,0)</f>
        <v>0</v>
      </c>
      <c r="CE106">
        <f>IFERROR(#REF!,0)</f>
        <v>0</v>
      </c>
      <c r="CF106">
        <f>IFERROR(#REF!,0)</f>
        <v>0</v>
      </c>
      <c r="CG106">
        <f t="shared" ca="1" si="41"/>
        <v>0</v>
      </c>
    </row>
    <row r="107" spans="2:85" x14ac:dyDescent="0.4">
      <c r="B107">
        <v>14</v>
      </c>
      <c r="C107" t="str" cm="1">
        <f t="array" ref="C107">INDEX(auto_Series_Code,B107)</f>
        <v>DOMAIN_002</v>
      </c>
      <c r="D107" cm="1">
        <f t="array" ref="D107">INDEX(auto_tblSeries,$B107,D$93)</f>
        <v>1</v>
      </c>
      <c r="E107" cm="1">
        <f t="array" ref="E107">INDEX(auto_tblSeries,$B107,E$93)</f>
        <v>0</v>
      </c>
      <c r="F107" cm="1">
        <f t="array" ref="F107">INDEX(auto_tblSeries,$B107,F$93)</f>
        <v>0</v>
      </c>
      <c r="G107" cm="1">
        <f t="array" ref="G107">INDEX(auto_tblSeries,$B107,G$93)</f>
        <v>0</v>
      </c>
      <c r="H107" cm="1">
        <f t="array" ref="H107">INDEX(auto_tblSeries,$B107,H$93)</f>
        <v>1</v>
      </c>
      <c r="I107">
        <f t="shared" ref="I107" si="73">MATCH(CONCATENATE($C$3,"_",$C107),auto_DataFlat_UID,0)</f>
        <v>781</v>
      </c>
      <c r="K107" cm="1">
        <f t="array" ref="K107">INDEX(auto_DataFlat_Score,$I107,K$92)</f>
        <v>29</v>
      </c>
      <c r="L107" t="str" cm="1">
        <f t="array" ref="L107">INDEX(auto_DataFlat_Rank,$I107,L$92)</f>
        <v>41</v>
      </c>
      <c r="M107" cm="1">
        <f t="array" ref="M107">INDEX(auto_DataFlat_DataValue,$I107,M$92)</f>
        <v>0</v>
      </c>
      <c r="N107" cm="1">
        <f t="array" ref="N107">INDEX(auto_DataFlat_Classification,$I107,M$92)</f>
        <v>2</v>
      </c>
      <c r="O107" cm="1">
        <f t="array" ref="O107">INDEX(auto_DataFlat_IsEstimate,$I107,O$92)</f>
        <v>0</v>
      </c>
      <c r="P107" t="str" cm="1">
        <f t="array" ref="P107">IF(INDEX(auto_DataFlat_DataYear,$I107,P$92)=0,"n/a",INDEX(auto_DataFlat_DataYear,$I107,P$92))</f>
        <v>n/a</v>
      </c>
      <c r="R107">
        <f t="shared" ref="R107" si="74">MATCH(CONCATENATE(R$93,"_",$C107),auto_DataFlat_UID,0)</f>
        <v>831</v>
      </c>
      <c r="S107" cm="1">
        <f t="array" ref="S107">INDEX(auto_DataFlat_Score,$R107,S$92)</f>
        <v>48.8</v>
      </c>
      <c r="U107">
        <f t="shared" si="44"/>
        <v>-19.799999999999997</v>
      </c>
      <c r="V107">
        <f t="shared" si="45"/>
        <v>3</v>
      </c>
      <c r="W107">
        <f t="shared" si="46"/>
        <v>-1</v>
      </c>
      <c r="X107" t="e">
        <f t="shared" ca="1" si="47"/>
        <v>#N/A</v>
      </c>
      <c r="Y107" t="e">
        <f t="shared" ca="1" si="48"/>
        <v>#N/A</v>
      </c>
      <c r="Z107">
        <f t="shared" ca="1" si="49"/>
        <v>49</v>
      </c>
      <c r="AB107">
        <f t="shared" ca="1" si="50"/>
        <v>0</v>
      </c>
      <c r="AC107">
        <f t="shared" ca="1" si="32"/>
        <v>0</v>
      </c>
      <c r="AD107">
        <f t="shared" ca="1" si="32"/>
        <v>49</v>
      </c>
      <c r="BO107">
        <f t="shared" si="33"/>
        <v>-1</v>
      </c>
      <c r="BP107" t="e">
        <f t="shared" ca="1" si="34"/>
        <v>#N/A</v>
      </c>
      <c r="BQ107" t="e">
        <f t="shared" ca="1" si="35"/>
        <v>#N/A</v>
      </c>
      <c r="BR107" t="e">
        <f t="shared" ca="1" si="36"/>
        <v>#N/A</v>
      </c>
      <c r="BS107" t="e">
        <f t="shared" ca="1" si="37"/>
        <v>#N/A</v>
      </c>
      <c r="BT107" t="e">
        <f t="shared" ca="1" si="38"/>
        <v>#N/A</v>
      </c>
      <c r="BU107" t="e">
        <f t="shared" ca="1" si="39"/>
        <v>#N/A</v>
      </c>
      <c r="BV107" t="e">
        <f t="shared" ca="1" si="40"/>
        <v>#N/A</v>
      </c>
      <c r="BW107">
        <f>IFERROR(#REF!,0)</f>
        <v>0</v>
      </c>
      <c r="BX107">
        <f>IFERROR(#REF!,0)</f>
        <v>0</v>
      </c>
      <c r="BY107">
        <f>IFERROR(#REF!,0)</f>
        <v>0</v>
      </c>
      <c r="BZ107" t="e">
        <f ca="1">IFERROR(BZ106+MATCH(BZ$92,OFFSET(#REF!,BZ106,0,300-BZ106,1),0),NA())</f>
        <v>#N/A</v>
      </c>
      <c r="CA107">
        <f>IFERROR(#REF!,0)</f>
        <v>0</v>
      </c>
      <c r="CB107">
        <f>IFERROR(#REF!,0)</f>
        <v>0</v>
      </c>
      <c r="CC107">
        <f>IFERROR(#REF!,0)</f>
        <v>0</v>
      </c>
      <c r="CD107">
        <f>IFERROR(#REF!,0)</f>
        <v>0</v>
      </c>
      <c r="CE107">
        <f>IFERROR(#REF!,0)</f>
        <v>0</v>
      </c>
      <c r="CF107">
        <f>IFERROR(#REF!,0)</f>
        <v>0</v>
      </c>
      <c r="CG107">
        <f t="shared" ca="1" si="41"/>
        <v>0</v>
      </c>
    </row>
    <row r="108" spans="2:85" x14ac:dyDescent="0.4">
      <c r="B108">
        <v>15</v>
      </c>
      <c r="C108" t="str" cm="1">
        <f t="array" ref="C108">INDEX(auto_Series_Code,B108)</f>
        <v>INDI_006</v>
      </c>
      <c r="D108" cm="1">
        <f t="array" ref="D108">INDEX(auto_tblSeries,$B108,D$93)</f>
        <v>2</v>
      </c>
      <c r="E108" cm="1">
        <f t="array" ref="E108">INDEX(auto_tblSeries,$B108,E$93)</f>
        <v>0</v>
      </c>
      <c r="F108" cm="1">
        <f t="array" ref="F108">INDEX(auto_tblSeries,$B108,F$93)</f>
        <v>1</v>
      </c>
      <c r="G108" cm="1">
        <f t="array" ref="G108">INDEX(auto_tblSeries,$B108,G$93)</f>
        <v>0</v>
      </c>
      <c r="H108" cm="1">
        <f t="array" ref="H108">INDEX(auto_tblSeries,$B108,H$93)</f>
        <v>1</v>
      </c>
      <c r="I108">
        <f t="shared" ref="I108" si="75">MATCH(CONCATENATE($C$3,"_",$C108),auto_DataFlat_UID,0)</f>
        <v>841</v>
      </c>
      <c r="K108" cm="1">
        <f t="array" ref="K108">INDEX(auto_DataFlat_Score,$I108,K$92)</f>
        <v>0</v>
      </c>
      <c r="L108" t="str" cm="1">
        <f t="array" ref="L108">INDEX(auto_DataFlat_Rank,$I108,L$92)</f>
        <v>=1</v>
      </c>
      <c r="M108" cm="1">
        <f t="array" ref="M108">INDEX(auto_DataFlat_DataValue,$I108,M$92)</f>
        <v>22.9</v>
      </c>
      <c r="N108" cm="1">
        <f t="array" ref="N108">INDEX(auto_DataFlat_Classification,$I108,M$92)</f>
        <v>1</v>
      </c>
      <c r="O108" t="str" cm="1">
        <f t="array" ref="O108">INDEX(auto_DataFlat_IsEstimate,$I108,O$92)</f>
        <v xml:space="preserve"> </v>
      </c>
      <c r="P108" cm="1">
        <f t="array" ref="P108">IF(INDEX(auto_DataFlat_DataYear,$I108,P$92)=0,"n/a",INDEX(auto_DataFlat_DataYear,$I108,P$92))</f>
        <v>2019</v>
      </c>
      <c r="R108">
        <f t="shared" ref="R108" si="76">MATCH(CONCATENATE(R$93,"_",$C108),auto_DataFlat_UID,0)</f>
        <v>891</v>
      </c>
      <c r="S108" cm="1">
        <f t="array" ref="S108">INDEX(auto_DataFlat_Score,$R108,S$92)</f>
        <v>0</v>
      </c>
      <c r="U108">
        <f t="shared" si="44"/>
        <v>0</v>
      </c>
      <c r="V108">
        <f t="shared" si="45"/>
        <v>2</v>
      </c>
      <c r="W108">
        <f t="shared" si="46"/>
        <v>2</v>
      </c>
      <c r="X108" t="e">
        <f t="shared" ca="1" si="47"/>
        <v>#N/A</v>
      </c>
      <c r="Y108" t="e">
        <f t="shared" ca="1" si="48"/>
        <v>#N/A</v>
      </c>
      <c r="Z108">
        <f t="shared" ca="1" si="49"/>
        <v>50</v>
      </c>
      <c r="AB108">
        <f t="shared" ca="1" si="50"/>
        <v>0</v>
      </c>
      <c r="AC108">
        <f t="shared" ca="1" si="32"/>
        <v>0</v>
      </c>
      <c r="AD108">
        <f t="shared" ca="1" si="32"/>
        <v>50</v>
      </c>
      <c r="BO108">
        <f t="shared" si="33"/>
        <v>-1</v>
      </c>
      <c r="BP108" t="e">
        <f t="shared" ca="1" si="34"/>
        <v>#N/A</v>
      </c>
      <c r="BQ108" t="e">
        <f t="shared" ca="1" si="35"/>
        <v>#N/A</v>
      </c>
      <c r="BR108" t="e">
        <f t="shared" ca="1" si="36"/>
        <v>#N/A</v>
      </c>
      <c r="BS108" t="e">
        <f t="shared" ca="1" si="37"/>
        <v>#N/A</v>
      </c>
      <c r="BT108" t="e">
        <f t="shared" ca="1" si="38"/>
        <v>#N/A</v>
      </c>
      <c r="BU108" t="e">
        <f t="shared" ca="1" si="39"/>
        <v>#N/A</v>
      </c>
      <c r="BV108" t="e">
        <f t="shared" ca="1" si="40"/>
        <v>#N/A</v>
      </c>
      <c r="BW108">
        <f>IFERROR(#REF!,0)</f>
        <v>0</v>
      </c>
      <c r="BX108">
        <f>IFERROR(#REF!,0)</f>
        <v>0</v>
      </c>
      <c r="BY108">
        <f>IFERROR(#REF!,0)</f>
        <v>0</v>
      </c>
      <c r="BZ108" t="e">
        <f ca="1">IFERROR(BZ107+MATCH(BZ$92,OFFSET(#REF!,BZ107,0,300-BZ107,1),0),NA())</f>
        <v>#N/A</v>
      </c>
      <c r="CA108">
        <f>IFERROR(#REF!,0)</f>
        <v>0</v>
      </c>
      <c r="CB108">
        <f>IFERROR(#REF!,0)</f>
        <v>0</v>
      </c>
      <c r="CC108">
        <f>IFERROR(#REF!,0)</f>
        <v>0</v>
      </c>
      <c r="CD108">
        <f>IFERROR(#REF!,0)</f>
        <v>0</v>
      </c>
      <c r="CE108">
        <f>IFERROR(#REF!,0)</f>
        <v>0</v>
      </c>
      <c r="CF108">
        <f>IFERROR(#REF!,0)</f>
        <v>0</v>
      </c>
      <c r="CG108">
        <f t="shared" ca="1" si="41"/>
        <v>0</v>
      </c>
    </row>
    <row r="109" spans="2:85" x14ac:dyDescent="0.4">
      <c r="B109">
        <v>16</v>
      </c>
      <c r="C109" t="str" cm="1">
        <f t="array" ref="C109">INDEX(auto_Series_Code,B109)</f>
        <v>INDI_007</v>
      </c>
      <c r="D109" cm="1">
        <f t="array" ref="D109">INDEX(auto_tblSeries,$B109,D$93)</f>
        <v>2</v>
      </c>
      <c r="E109" cm="1">
        <f t="array" ref="E109">INDEX(auto_tblSeries,$B109,E$93)</f>
        <v>0</v>
      </c>
      <c r="F109" cm="1">
        <f t="array" ref="F109">INDEX(auto_tblSeries,$B109,F$93)</f>
        <v>1</v>
      </c>
      <c r="G109" cm="1">
        <f t="array" ref="G109">INDEX(auto_tblSeries,$B109,G$93)</f>
        <v>0</v>
      </c>
      <c r="H109" cm="1">
        <f t="array" ref="H109">INDEX(auto_tblSeries,$B109,H$93)</f>
        <v>1</v>
      </c>
      <c r="I109">
        <f t="shared" ref="I109" si="77">MATCH(CONCATENATE($C$3,"_",$C109),auto_DataFlat_UID,0)</f>
        <v>901</v>
      </c>
      <c r="K109" cm="1">
        <f t="array" ref="K109">INDEX(auto_DataFlat_Score,$I109,K$92)</f>
        <v>42.5</v>
      </c>
      <c r="L109" t="str" cm="1">
        <f t="array" ref="L109">INDEX(auto_DataFlat_Rank,$I109,L$92)</f>
        <v>25</v>
      </c>
      <c r="M109" cm="1">
        <f t="array" ref="M109">INDEX(auto_DataFlat_DataValue,$I109,M$92)</f>
        <v>41.8</v>
      </c>
      <c r="N109" cm="1">
        <f t="array" ref="N109">INDEX(auto_DataFlat_Classification,$I109,M$92)</f>
        <v>3</v>
      </c>
      <c r="O109" t="str" cm="1">
        <f t="array" ref="O109">INDEX(auto_DataFlat_IsEstimate,$I109,O$92)</f>
        <v xml:space="preserve"> </v>
      </c>
      <c r="P109" cm="1">
        <f t="array" ref="P109">IF(INDEX(auto_DataFlat_DataYear,$I109,P$92)=0,"n/a",INDEX(auto_DataFlat_DataYear,$I109,P$92))</f>
        <v>2020</v>
      </c>
      <c r="R109">
        <f t="shared" ref="R109" si="78">MATCH(CONCATENATE(R$93,"_",$C109),auto_DataFlat_UID,0)</f>
        <v>951</v>
      </c>
      <c r="S109" cm="1">
        <f t="array" ref="S109">INDEX(auto_DataFlat_Score,$R109,S$92)</f>
        <v>47.8</v>
      </c>
      <c r="U109">
        <f t="shared" si="44"/>
        <v>-5.2999999999999972</v>
      </c>
      <c r="V109">
        <f t="shared" si="45"/>
        <v>3</v>
      </c>
      <c r="W109">
        <f t="shared" si="46"/>
        <v>3</v>
      </c>
      <c r="X109" t="e">
        <f t="shared" ca="1" si="47"/>
        <v>#N/A</v>
      </c>
      <c r="Y109" t="e">
        <f t="shared" ca="1" si="48"/>
        <v>#N/A</v>
      </c>
      <c r="Z109">
        <f t="shared" ca="1" si="49"/>
        <v>51</v>
      </c>
      <c r="AB109">
        <f t="shared" ca="1" si="50"/>
        <v>0</v>
      </c>
      <c r="AC109">
        <f t="shared" ca="1" si="32"/>
        <v>0</v>
      </c>
      <c r="AD109">
        <f t="shared" ca="1" si="32"/>
        <v>51</v>
      </c>
      <c r="BO109">
        <f t="shared" si="33"/>
        <v>-1</v>
      </c>
      <c r="BP109" t="e">
        <f t="shared" ca="1" si="34"/>
        <v>#N/A</v>
      </c>
      <c r="BQ109" t="e">
        <f t="shared" ca="1" si="35"/>
        <v>#N/A</v>
      </c>
      <c r="BR109" t="e">
        <f t="shared" ca="1" si="36"/>
        <v>#N/A</v>
      </c>
      <c r="BS109" t="e">
        <f t="shared" ca="1" si="37"/>
        <v>#N/A</v>
      </c>
      <c r="BT109" t="e">
        <f t="shared" ca="1" si="38"/>
        <v>#N/A</v>
      </c>
      <c r="BU109" t="e">
        <f t="shared" ca="1" si="39"/>
        <v>#N/A</v>
      </c>
      <c r="BV109" t="e">
        <f t="shared" ca="1" si="40"/>
        <v>#N/A</v>
      </c>
      <c r="BW109">
        <f>IFERROR(#REF!,0)</f>
        <v>0</v>
      </c>
      <c r="BX109">
        <f>IFERROR(#REF!,0)</f>
        <v>0</v>
      </c>
      <c r="BY109">
        <f>IFERROR(#REF!,0)</f>
        <v>0</v>
      </c>
      <c r="BZ109" t="e">
        <f ca="1">IFERROR(BZ108+MATCH(BZ$92,OFFSET(#REF!,BZ108,0,300-BZ108,1),0),NA())</f>
        <v>#N/A</v>
      </c>
      <c r="CA109">
        <f>IFERROR(#REF!,0)</f>
        <v>0</v>
      </c>
      <c r="CB109">
        <f>IFERROR(#REF!,0)</f>
        <v>0</v>
      </c>
      <c r="CC109">
        <f>IFERROR(#REF!,0)</f>
        <v>0</v>
      </c>
      <c r="CD109">
        <f>IFERROR(#REF!,0)</f>
        <v>0</v>
      </c>
      <c r="CE109">
        <f>IFERROR(#REF!,0)</f>
        <v>0</v>
      </c>
      <c r="CF109">
        <f>IFERROR(#REF!,0)</f>
        <v>0</v>
      </c>
      <c r="CG109">
        <f t="shared" ca="1" si="41"/>
        <v>0</v>
      </c>
    </row>
    <row r="110" spans="2:85" x14ac:dyDescent="0.4">
      <c r="B110">
        <v>17</v>
      </c>
      <c r="C110" t="str" cm="1">
        <f t="array" ref="C110">INDEX(auto_Series_Code,B110)</f>
        <v>INDI_008</v>
      </c>
      <c r="D110" cm="1">
        <f t="array" ref="D110">INDEX(auto_tblSeries,$B110,D$93)</f>
        <v>2</v>
      </c>
      <c r="E110" cm="1">
        <f t="array" ref="E110">INDEX(auto_tblSeries,$B110,E$93)</f>
        <v>0</v>
      </c>
      <c r="F110" cm="1">
        <f t="array" ref="F110">INDEX(auto_tblSeries,$B110,F$93)</f>
        <v>1</v>
      </c>
      <c r="G110" cm="1">
        <f t="array" ref="G110">INDEX(auto_tblSeries,$B110,G$93)</f>
        <v>0</v>
      </c>
      <c r="H110" cm="1">
        <f t="array" ref="H110">INDEX(auto_tblSeries,$B110,H$93)</f>
        <v>0</v>
      </c>
      <c r="I110">
        <f t="shared" ref="I110" si="79">MATCH(CONCATENATE($C$3,"_",$C110),auto_DataFlat_UID,0)</f>
        <v>961</v>
      </c>
      <c r="K110" cm="1">
        <f t="array" ref="K110">INDEX(auto_DataFlat_Score,$I110,K$92)</f>
        <v>0</v>
      </c>
      <c r="L110" t="str" cm="1">
        <f t="array" ref="L110">INDEX(auto_DataFlat_Rank,$I110,L$92)</f>
        <v>=38</v>
      </c>
      <c r="M110" cm="1">
        <f t="array" ref="M110">INDEX(auto_DataFlat_DataValue,$I110,M$92)</f>
        <v>0</v>
      </c>
      <c r="N110" cm="1">
        <f t="array" ref="N110">INDEX(auto_DataFlat_Classification,$I110,M$92)</f>
        <v>1</v>
      </c>
      <c r="O110" t="str" cm="1">
        <f t="array" ref="O110">INDEX(auto_DataFlat_IsEstimate,$I110,O$92)</f>
        <v xml:space="preserve"> </v>
      </c>
      <c r="P110" cm="1">
        <f t="array" ref="P110">IF(INDEX(auto_DataFlat_DataYear,$I110,P$92)=0,"n/a",INDEX(auto_DataFlat_DataYear,$I110,P$92))</f>
        <v>2024</v>
      </c>
      <c r="R110">
        <f t="shared" ref="R110" si="80">MATCH(CONCATENATE(R$93,"_",$C110),auto_DataFlat_UID,0)</f>
        <v>1011</v>
      </c>
      <c r="S110" cm="1">
        <f t="array" ref="S110">INDEX(auto_DataFlat_Score,$R110,S$92)</f>
        <v>70</v>
      </c>
      <c r="U110">
        <f t="shared" si="44"/>
        <v>-70</v>
      </c>
      <c r="V110">
        <f t="shared" si="45"/>
        <v>3</v>
      </c>
      <c r="W110">
        <f t="shared" si="46"/>
        <v>3</v>
      </c>
      <c r="X110" t="e">
        <f t="shared" ca="1" si="47"/>
        <v>#N/A</v>
      </c>
      <c r="Y110" t="e">
        <f t="shared" ca="1" si="48"/>
        <v>#N/A</v>
      </c>
      <c r="Z110">
        <f t="shared" ca="1" si="49"/>
        <v>58</v>
      </c>
      <c r="AB110">
        <f t="shared" ca="1" si="50"/>
        <v>0</v>
      </c>
      <c r="AC110">
        <f t="shared" ca="1" si="50"/>
        <v>0</v>
      </c>
      <c r="AD110">
        <f t="shared" ca="1" si="50"/>
        <v>58</v>
      </c>
      <c r="BO110">
        <f t="shared" si="33"/>
        <v>-1</v>
      </c>
      <c r="BP110" t="e">
        <f t="shared" ca="1" si="34"/>
        <v>#N/A</v>
      </c>
      <c r="BQ110" t="e">
        <f t="shared" ca="1" si="35"/>
        <v>#N/A</v>
      </c>
      <c r="BR110" t="e">
        <f t="shared" ca="1" si="36"/>
        <v>#N/A</v>
      </c>
      <c r="BS110" t="e">
        <f t="shared" ca="1" si="37"/>
        <v>#N/A</v>
      </c>
      <c r="BT110" t="e">
        <f t="shared" ca="1" si="38"/>
        <v>#N/A</v>
      </c>
      <c r="BU110" t="e">
        <f t="shared" ca="1" si="39"/>
        <v>#N/A</v>
      </c>
      <c r="BV110" t="e">
        <f t="shared" ca="1" si="40"/>
        <v>#N/A</v>
      </c>
      <c r="BW110">
        <f>IFERROR(#REF!,0)</f>
        <v>0</v>
      </c>
      <c r="BX110">
        <f>IFERROR(#REF!,0)</f>
        <v>0</v>
      </c>
      <c r="BY110">
        <f>IFERROR(#REF!,0)</f>
        <v>0</v>
      </c>
      <c r="BZ110" t="e">
        <f ca="1">IFERROR(BZ109+MATCH(BZ$92,OFFSET(#REF!,BZ109,0,300-BZ109,1),0),NA())</f>
        <v>#N/A</v>
      </c>
      <c r="CA110">
        <f>IFERROR(#REF!,0)</f>
        <v>0</v>
      </c>
      <c r="CB110">
        <f>IFERROR(#REF!,0)</f>
        <v>0</v>
      </c>
      <c r="CC110">
        <f>IFERROR(#REF!,0)</f>
        <v>0</v>
      </c>
      <c r="CD110">
        <f>IFERROR(#REF!,0)</f>
        <v>0</v>
      </c>
      <c r="CE110">
        <f>IFERROR(#REF!,0)</f>
        <v>0</v>
      </c>
      <c r="CF110">
        <f>IFERROR(#REF!,0)</f>
        <v>0</v>
      </c>
      <c r="CG110">
        <f t="shared" ca="1" si="41"/>
        <v>0</v>
      </c>
    </row>
    <row r="111" spans="2:85" x14ac:dyDescent="0.4">
      <c r="B111">
        <v>18</v>
      </c>
      <c r="C111" t="str" cm="1">
        <f t="array" ref="C111">INDEX(auto_Series_Code,B111)</f>
        <v>INDI_009</v>
      </c>
      <c r="D111" cm="1">
        <f t="array" ref="D111">INDEX(auto_tblSeries,$B111,D$93)</f>
        <v>2</v>
      </c>
      <c r="E111" cm="1">
        <f t="array" ref="E111">INDEX(auto_tblSeries,$B111,E$93)</f>
        <v>0</v>
      </c>
      <c r="F111" cm="1">
        <f t="array" ref="F111">INDEX(auto_tblSeries,$B111,F$93)</f>
        <v>0</v>
      </c>
      <c r="G111" cm="1">
        <f t="array" ref="G111">INDEX(auto_tblSeries,$B111,G$93)</f>
        <v>0</v>
      </c>
      <c r="H111" cm="1">
        <f t="array" ref="H111">INDEX(auto_tblSeries,$B111,H$93)</f>
        <v>1</v>
      </c>
      <c r="I111">
        <f t="shared" ref="I111" si="81">MATCH(CONCATENATE($C$3,"_",$C111),auto_DataFlat_UID,0)</f>
        <v>1021</v>
      </c>
      <c r="K111" cm="1">
        <f t="array" ref="K111">INDEX(auto_DataFlat_Score,$I111,K$92)</f>
        <v>71</v>
      </c>
      <c r="L111" t="str" cm="1">
        <f t="array" ref="L111">INDEX(auto_DataFlat_Rank,$I111,L$92)</f>
        <v>20</v>
      </c>
      <c r="M111" cm="1">
        <f t="array" ref="M111">INDEX(auto_DataFlat_DataValue,$I111,M$92)</f>
        <v>0</v>
      </c>
      <c r="N111" cm="1">
        <f t="array" ref="N111">INDEX(auto_DataFlat_Classification,$I111,M$92)</f>
        <v>4</v>
      </c>
      <c r="O111" cm="1">
        <f t="array" ref="O111">INDEX(auto_DataFlat_IsEstimate,$I111,O$92)</f>
        <v>0</v>
      </c>
      <c r="P111" t="str" cm="1">
        <f t="array" ref="P111">IF(INDEX(auto_DataFlat_DataYear,$I111,P$92)=0,"n/a",INDEX(auto_DataFlat_DataYear,$I111,P$92))</f>
        <v>n/a</v>
      </c>
      <c r="R111">
        <f t="shared" ref="R111" si="82">MATCH(CONCATENATE(R$93,"_",$C111),auto_DataFlat_UID,0)</f>
        <v>1071</v>
      </c>
      <c r="S111" cm="1">
        <f t="array" ref="S111">INDEX(auto_DataFlat_Score,$R111,S$92)</f>
        <v>61.6</v>
      </c>
      <c r="U111">
        <f t="shared" si="44"/>
        <v>9.3999999999999986</v>
      </c>
      <c r="V111">
        <f t="shared" si="45"/>
        <v>1</v>
      </c>
      <c r="W111">
        <f t="shared" si="46"/>
        <v>1</v>
      </c>
      <c r="X111" t="e">
        <f t="shared" ca="1" si="47"/>
        <v>#N/A</v>
      </c>
      <c r="Y111" t="e">
        <f t="shared" ca="1" si="48"/>
        <v>#N/A</v>
      </c>
      <c r="Z111">
        <f t="shared" ca="1" si="49"/>
        <v>62</v>
      </c>
      <c r="AB111">
        <f t="shared" ca="1" si="50"/>
        <v>0</v>
      </c>
      <c r="AC111">
        <f t="shared" ca="1" si="50"/>
        <v>0</v>
      </c>
      <c r="AD111">
        <f t="shared" ca="1" si="50"/>
        <v>62</v>
      </c>
      <c r="BO111">
        <f t="shared" si="33"/>
        <v>-1</v>
      </c>
      <c r="BP111" t="e">
        <f t="shared" ca="1" si="34"/>
        <v>#N/A</v>
      </c>
      <c r="BQ111" t="e">
        <f t="shared" ca="1" si="35"/>
        <v>#N/A</v>
      </c>
      <c r="BR111" t="e">
        <f t="shared" ca="1" si="36"/>
        <v>#N/A</v>
      </c>
      <c r="BS111" t="e">
        <f t="shared" ca="1" si="37"/>
        <v>#N/A</v>
      </c>
      <c r="BT111" t="e">
        <f t="shared" ca="1" si="38"/>
        <v>#N/A</v>
      </c>
      <c r="BU111" t="e">
        <f t="shared" ca="1" si="39"/>
        <v>#N/A</v>
      </c>
      <c r="BV111" t="e">
        <f t="shared" ca="1" si="40"/>
        <v>#N/A</v>
      </c>
      <c r="BW111">
        <f>IFERROR(#REF!,0)</f>
        <v>0</v>
      </c>
      <c r="BX111">
        <f>IFERROR(#REF!,0)</f>
        <v>0</v>
      </c>
      <c r="BY111">
        <f>IFERROR(#REF!,0)</f>
        <v>0</v>
      </c>
      <c r="BZ111" t="e">
        <f ca="1">IFERROR(BZ110+MATCH(BZ$92,OFFSET(#REF!,BZ110,0,300-BZ110,1),0),NA())</f>
        <v>#N/A</v>
      </c>
      <c r="CA111">
        <f>IFERROR(#REF!,0)</f>
        <v>0</v>
      </c>
      <c r="CB111">
        <f>IFERROR(#REF!,0)</f>
        <v>0</v>
      </c>
      <c r="CC111">
        <f>IFERROR(#REF!,0)</f>
        <v>0</v>
      </c>
      <c r="CD111">
        <f>IFERROR(#REF!,0)</f>
        <v>0</v>
      </c>
      <c r="CE111">
        <f>IFERROR(#REF!,0)</f>
        <v>0</v>
      </c>
      <c r="CF111">
        <f>IFERROR(#REF!,0)</f>
        <v>0</v>
      </c>
      <c r="CG111">
        <f t="shared" ca="1" si="41"/>
        <v>0</v>
      </c>
    </row>
    <row r="112" spans="2:85" x14ac:dyDescent="0.4">
      <c r="B112">
        <v>19</v>
      </c>
      <c r="C112" t="str" cm="1">
        <f t="array" ref="C112">INDEX(auto_Series_Code,B112)</f>
        <v>SUBINDI_007</v>
      </c>
      <c r="D112" cm="1">
        <f t="array" ref="D112">INDEX(auto_tblSeries,$B112,D$93)</f>
        <v>3</v>
      </c>
      <c r="E112" cm="1">
        <f t="array" ref="E112">INDEX(auto_tblSeries,$B112,E$93)</f>
        <v>0</v>
      </c>
      <c r="F112" cm="1">
        <f t="array" ref="F112">INDEX(auto_tblSeries,$B112,F$93)</f>
        <v>1</v>
      </c>
      <c r="G112" cm="1">
        <f t="array" ref="G112">INDEX(auto_tblSeries,$B112,G$93)</f>
        <v>0</v>
      </c>
      <c r="H112" cm="1">
        <f t="array" ref="H112">INDEX(auto_tblSeries,$B112,H$93)</f>
        <v>1</v>
      </c>
      <c r="I112">
        <f t="shared" ref="I112" si="83">MATCH(CONCATENATE($C$3,"_",$C112),auto_DataFlat_UID,0)</f>
        <v>1081</v>
      </c>
      <c r="K112" cm="1">
        <f t="array" ref="K112">INDEX(auto_DataFlat_Score,$I112,K$92)</f>
        <v>41.9</v>
      </c>
      <c r="L112" t="str" cm="1">
        <f t="array" ref="L112">INDEX(auto_DataFlat_Rank,$I112,L$92)</f>
        <v>48</v>
      </c>
      <c r="M112" cm="1">
        <f t="array" ref="M112">INDEX(auto_DataFlat_DataValue,$I112,M$92)</f>
        <v>58.1</v>
      </c>
      <c r="N112" cm="1">
        <f t="array" ref="N112">INDEX(auto_DataFlat_Classification,$I112,M$92)</f>
        <v>3</v>
      </c>
      <c r="O112" t="str" cm="1">
        <f t="array" ref="O112">INDEX(auto_DataFlat_IsEstimate,$I112,O$92)</f>
        <v xml:space="preserve"> </v>
      </c>
      <c r="P112" cm="1">
        <f t="array" ref="P112">IF(INDEX(auto_DataFlat_DataYear,$I112,P$92)=0,"n/a",INDEX(auto_DataFlat_DataYear,$I112,P$92))</f>
        <v>2021</v>
      </c>
      <c r="R112">
        <f t="shared" ref="R112" si="84">MATCH(CONCATENATE(R$93,"_",$C112),auto_DataFlat_UID,0)</f>
        <v>1131</v>
      </c>
      <c r="S112" cm="1">
        <f t="array" ref="S112">INDEX(auto_DataFlat_Score,$R112,S$92)</f>
        <v>81.099999999999994</v>
      </c>
      <c r="U112">
        <f t="shared" si="44"/>
        <v>-39.199999999999996</v>
      </c>
      <c r="V112">
        <f t="shared" si="45"/>
        <v>3</v>
      </c>
      <c r="W112">
        <f t="shared" si="46"/>
        <v>-1</v>
      </c>
      <c r="X112" t="e">
        <f t="shared" ca="1" si="47"/>
        <v>#N/A</v>
      </c>
      <c r="Y112" t="e">
        <f t="shared" ca="1" si="48"/>
        <v>#N/A</v>
      </c>
      <c r="Z112">
        <f t="shared" ca="1" si="49"/>
        <v>63</v>
      </c>
      <c r="AB112">
        <f t="shared" ca="1" si="50"/>
        <v>0</v>
      </c>
      <c r="AC112">
        <f t="shared" ca="1" si="50"/>
        <v>0</v>
      </c>
      <c r="AD112">
        <f t="shared" ca="1" si="50"/>
        <v>63</v>
      </c>
      <c r="BO112">
        <f t="shared" si="33"/>
        <v>3</v>
      </c>
      <c r="BP112" t="e">
        <f t="shared" ca="1" si="34"/>
        <v>#N/A</v>
      </c>
      <c r="BQ112" t="e">
        <f t="shared" ca="1" si="35"/>
        <v>#N/A</v>
      </c>
      <c r="BR112" t="e">
        <f t="shared" ca="1" si="36"/>
        <v>#N/A</v>
      </c>
      <c r="BS112" t="e">
        <f t="shared" ca="1" si="37"/>
        <v>#N/A</v>
      </c>
      <c r="BT112" t="e">
        <f t="shared" ca="1" si="38"/>
        <v>#N/A</v>
      </c>
      <c r="BU112" t="e">
        <f t="shared" ca="1" si="39"/>
        <v>#N/A</v>
      </c>
      <c r="BV112" t="e">
        <f t="shared" ca="1" si="40"/>
        <v>#N/A</v>
      </c>
      <c r="BW112">
        <f>IFERROR(#REF!,0)</f>
        <v>0</v>
      </c>
      <c r="BX112">
        <f>IFERROR(#REF!,0)</f>
        <v>0</v>
      </c>
      <c r="BY112">
        <f>IFERROR(#REF!,0)</f>
        <v>0</v>
      </c>
      <c r="BZ112" t="e">
        <f ca="1">IFERROR(BZ111+MATCH(BZ$92,OFFSET(#REF!,BZ111,0,300-BZ111,1),0),NA())</f>
        <v>#N/A</v>
      </c>
      <c r="CA112">
        <f>IFERROR(#REF!,0)</f>
        <v>0</v>
      </c>
      <c r="CB112">
        <f>IFERROR(#REF!,0)</f>
        <v>0</v>
      </c>
      <c r="CC112">
        <f>IFERROR(#REF!,0)</f>
        <v>0</v>
      </c>
      <c r="CD112">
        <f>IFERROR(#REF!,0)</f>
        <v>0</v>
      </c>
      <c r="CE112">
        <f>IFERROR(#REF!,0)</f>
        <v>0</v>
      </c>
      <c r="CF112">
        <f>IFERROR(#REF!,0)</f>
        <v>0</v>
      </c>
      <c r="CG112">
        <f t="shared" ca="1" si="41"/>
        <v>0</v>
      </c>
    </row>
    <row r="113" spans="1:85" x14ac:dyDescent="0.4">
      <c r="B113">
        <v>20</v>
      </c>
      <c r="C113" t="str" cm="1">
        <f t="array" ref="C113">INDEX(auto_Series_Code,B113)</f>
        <v>SUBINDI_008</v>
      </c>
      <c r="D113" cm="1">
        <f t="array" ref="D113">INDEX(auto_tblSeries,$B113,D$93)</f>
        <v>3</v>
      </c>
      <c r="E113" cm="1">
        <f t="array" ref="E113">INDEX(auto_tblSeries,$B113,E$93)</f>
        <v>0</v>
      </c>
      <c r="F113" cm="1">
        <f t="array" ref="F113">INDEX(auto_tblSeries,$B113,F$93)</f>
        <v>1</v>
      </c>
      <c r="G113" cm="1">
        <f t="array" ref="G113">INDEX(auto_tblSeries,$B113,G$93)</f>
        <v>0</v>
      </c>
      <c r="H113" cm="1">
        <f t="array" ref="H113">INDEX(auto_tblSeries,$B113,H$93)</f>
        <v>0</v>
      </c>
      <c r="I113">
        <f t="shared" ref="I113" si="85">MATCH(CONCATENATE($C$3,"_",$C113),auto_DataFlat_UID,0)</f>
        <v>1141</v>
      </c>
      <c r="K113" cm="1">
        <f t="array" ref="K113">INDEX(auto_DataFlat_Score,$I113,K$92)</f>
        <v>100</v>
      </c>
      <c r="L113" t="str" cm="1">
        <f t="array" ref="L113">INDEX(auto_DataFlat_Rank,$I113,L$92)</f>
        <v>=1</v>
      </c>
      <c r="M113" cm="1">
        <f t="array" ref="M113">INDEX(auto_DataFlat_DataValue,$I113,M$92)</f>
        <v>1</v>
      </c>
      <c r="N113" cm="1">
        <f t="array" ref="N113">INDEX(auto_DataFlat_Classification,$I113,M$92)</f>
        <v>5</v>
      </c>
      <c r="O113" t="str" cm="1">
        <f t="array" ref="O113">INDEX(auto_DataFlat_IsEstimate,$I113,O$92)</f>
        <v xml:space="preserve"> </v>
      </c>
      <c r="P113" cm="1">
        <f t="array" ref="P113">IF(INDEX(auto_DataFlat_DataYear,$I113,P$92)=0,"n/a",INDEX(auto_DataFlat_DataYear,$I113,P$92))</f>
        <v>2024</v>
      </c>
      <c r="R113">
        <f t="shared" ref="R113" si="86">MATCH(CONCATENATE(R$93,"_",$C113),auto_DataFlat_UID,0)</f>
        <v>1191</v>
      </c>
      <c r="S113" cm="1">
        <f t="array" ref="S113">INDEX(auto_DataFlat_Score,$R113,S$92)</f>
        <v>42</v>
      </c>
      <c r="U113">
        <f t="shared" si="44"/>
        <v>58</v>
      </c>
      <c r="V113">
        <f t="shared" si="45"/>
        <v>1</v>
      </c>
      <c r="W113">
        <f t="shared" si="46"/>
        <v>-1</v>
      </c>
      <c r="X113" t="e">
        <f t="shared" ca="1" si="47"/>
        <v>#N/A</v>
      </c>
      <c r="Y113" t="e">
        <f t="shared" ca="1" si="48"/>
        <v>#N/A</v>
      </c>
      <c r="Z113" t="e">
        <f t="shared" ca="1" si="49"/>
        <v>#N/A</v>
      </c>
      <c r="AB113">
        <f t="shared" ca="1" si="50"/>
        <v>0</v>
      </c>
      <c r="AC113">
        <f t="shared" ca="1" si="50"/>
        <v>0</v>
      </c>
      <c r="AD113">
        <f t="shared" ca="1" si="50"/>
        <v>0</v>
      </c>
      <c r="BO113">
        <f t="shared" si="33"/>
        <v>5</v>
      </c>
      <c r="BP113" t="e">
        <f t="shared" ca="1" si="34"/>
        <v>#N/A</v>
      </c>
      <c r="BQ113" t="e">
        <f t="shared" ca="1" si="35"/>
        <v>#N/A</v>
      </c>
      <c r="BR113" t="e">
        <f t="shared" ca="1" si="36"/>
        <v>#N/A</v>
      </c>
      <c r="BS113" t="e">
        <f t="shared" ca="1" si="37"/>
        <v>#N/A</v>
      </c>
      <c r="BT113" t="e">
        <f t="shared" ca="1" si="38"/>
        <v>#N/A</v>
      </c>
      <c r="BU113" t="e">
        <f t="shared" ca="1" si="39"/>
        <v>#N/A</v>
      </c>
      <c r="BV113" t="e">
        <f t="shared" ca="1" si="40"/>
        <v>#N/A</v>
      </c>
      <c r="BW113">
        <f>IFERROR(#REF!,0)</f>
        <v>0</v>
      </c>
      <c r="BX113">
        <f>IFERROR(#REF!,0)</f>
        <v>0</v>
      </c>
      <c r="BY113">
        <f>IFERROR(#REF!,0)</f>
        <v>0</v>
      </c>
      <c r="BZ113" t="e">
        <f ca="1">IFERROR(BZ112+MATCH(BZ$92,OFFSET(#REF!,BZ112,0,300-BZ112,1),0),NA())</f>
        <v>#N/A</v>
      </c>
      <c r="CA113">
        <f>IFERROR(#REF!,0)</f>
        <v>0</v>
      </c>
      <c r="CB113">
        <f>IFERROR(#REF!,0)</f>
        <v>0</v>
      </c>
      <c r="CC113">
        <f>IFERROR(#REF!,0)</f>
        <v>0</v>
      </c>
      <c r="CD113">
        <f>IFERROR(#REF!,0)</f>
        <v>0</v>
      </c>
      <c r="CE113">
        <f>IFERROR(#REF!,0)</f>
        <v>0</v>
      </c>
      <c r="CF113">
        <f>IFERROR(#REF!,0)</f>
        <v>0</v>
      </c>
      <c r="CG113">
        <f t="shared" ca="1" si="41"/>
        <v>0</v>
      </c>
    </row>
    <row r="114" spans="1:85" x14ac:dyDescent="0.4">
      <c r="B114">
        <v>21</v>
      </c>
      <c r="C114" t="str" cm="1">
        <f t="array" ref="C114">INDEX(auto_Series_Code,B114)</f>
        <v>INDI_010</v>
      </c>
      <c r="D114" cm="1">
        <f t="array" ref="D114">INDEX(auto_tblSeries,$B114,D$93)</f>
        <v>2</v>
      </c>
      <c r="E114" cm="1">
        <f t="array" ref="E114">INDEX(auto_tblSeries,$B114,E$93)</f>
        <v>0</v>
      </c>
      <c r="F114" cm="1">
        <f t="array" ref="F114">INDEX(auto_tblSeries,$B114,F$93)</f>
        <v>1</v>
      </c>
      <c r="G114" cm="1">
        <f t="array" ref="G114">INDEX(auto_tblSeries,$B114,G$93)</f>
        <v>0</v>
      </c>
      <c r="H114" cm="1">
        <f t="array" ref="H114">INDEX(auto_tblSeries,$B114,H$93)</f>
        <v>1</v>
      </c>
      <c r="I114">
        <f t="shared" ref="I114" si="87">MATCH(CONCATENATE($C$3,"_",$C114),auto_DataFlat_UID,0)</f>
        <v>1201</v>
      </c>
      <c r="K114" cm="1">
        <f t="array" ref="K114">INDEX(auto_DataFlat_Score,$I114,K$92)</f>
        <v>31.5</v>
      </c>
      <c r="L114" t="str" cm="1">
        <f t="array" ref="L114">INDEX(auto_DataFlat_Rank,$I114,L$92)</f>
        <v>46</v>
      </c>
      <c r="M114" cm="1">
        <f t="array" ref="M114">INDEX(auto_DataFlat_DataValue,$I114,M$92)</f>
        <v>31.5</v>
      </c>
      <c r="N114" cm="1">
        <f t="array" ref="N114">INDEX(auto_DataFlat_Classification,$I114,M$92)</f>
        <v>2</v>
      </c>
      <c r="O114" t="str" cm="1">
        <f t="array" ref="O114">INDEX(auto_DataFlat_IsEstimate,$I114,O$92)</f>
        <v xml:space="preserve"> </v>
      </c>
      <c r="P114" cm="1">
        <f t="array" ref="P114">IF(INDEX(auto_DataFlat_DataYear,$I114,P$92)=0,"n/a",INDEX(auto_DataFlat_DataYear,$I114,P$92))</f>
        <v>2020</v>
      </c>
      <c r="R114">
        <f t="shared" ref="R114" si="88">MATCH(CONCATENATE(R$93,"_",$C114),auto_DataFlat_UID,0)</f>
        <v>1251</v>
      </c>
      <c r="S114" cm="1">
        <f t="array" ref="S114">INDEX(auto_DataFlat_Score,$R114,S$92)</f>
        <v>64.900000000000006</v>
      </c>
      <c r="U114">
        <f t="shared" si="44"/>
        <v>-33.400000000000006</v>
      </c>
      <c r="V114">
        <f t="shared" si="45"/>
        <v>3</v>
      </c>
      <c r="W114">
        <f t="shared" si="46"/>
        <v>3</v>
      </c>
      <c r="X114" t="e">
        <f t="shared" ca="1" si="47"/>
        <v>#N/A</v>
      </c>
      <c r="Y114" t="e">
        <f t="shared" ca="1" si="48"/>
        <v>#N/A</v>
      </c>
      <c r="Z114" t="e">
        <f t="shared" ca="1" si="49"/>
        <v>#N/A</v>
      </c>
      <c r="AB114">
        <f t="shared" ca="1" si="50"/>
        <v>0</v>
      </c>
      <c r="AC114">
        <f t="shared" ca="1" si="50"/>
        <v>0</v>
      </c>
      <c r="AD114">
        <f t="shared" ca="1" si="50"/>
        <v>0</v>
      </c>
      <c r="BO114">
        <f t="shared" si="33"/>
        <v>-1</v>
      </c>
      <c r="BP114" t="e">
        <f t="shared" ca="1" si="34"/>
        <v>#N/A</v>
      </c>
      <c r="BQ114" t="e">
        <f t="shared" ca="1" si="35"/>
        <v>#N/A</v>
      </c>
      <c r="BR114" t="e">
        <f t="shared" ca="1" si="36"/>
        <v>#N/A</v>
      </c>
      <c r="BS114" t="e">
        <f t="shared" ca="1" si="37"/>
        <v>#N/A</v>
      </c>
      <c r="BT114" t="e">
        <f t="shared" ca="1" si="38"/>
        <v>#N/A</v>
      </c>
      <c r="BU114" t="e">
        <f t="shared" ca="1" si="39"/>
        <v>#N/A</v>
      </c>
      <c r="BV114" t="e">
        <f t="shared" ca="1" si="40"/>
        <v>#N/A</v>
      </c>
      <c r="BW114">
        <f>IFERROR(#REF!,0)</f>
        <v>0</v>
      </c>
      <c r="BX114">
        <f>IFERROR(#REF!,0)</f>
        <v>0</v>
      </c>
      <c r="BY114">
        <f>IFERROR(#REF!,0)</f>
        <v>0</v>
      </c>
      <c r="BZ114" t="e">
        <f ca="1">IFERROR(BZ113+MATCH(BZ$92,OFFSET(#REF!,BZ113,0,300-BZ113,1),0),NA())</f>
        <v>#N/A</v>
      </c>
      <c r="CA114">
        <f>IFERROR(#REF!,0)</f>
        <v>0</v>
      </c>
      <c r="CB114">
        <f>IFERROR(#REF!,0)</f>
        <v>0</v>
      </c>
      <c r="CC114">
        <f>IFERROR(#REF!,0)</f>
        <v>0</v>
      </c>
      <c r="CD114">
        <f>IFERROR(#REF!,0)</f>
        <v>0</v>
      </c>
      <c r="CE114">
        <f>IFERROR(#REF!,0)</f>
        <v>0</v>
      </c>
      <c r="CF114">
        <f>IFERROR(#REF!,0)</f>
        <v>0</v>
      </c>
      <c r="CG114">
        <f t="shared" ca="1" si="41"/>
        <v>0</v>
      </c>
    </row>
    <row r="115" spans="1:85" x14ac:dyDescent="0.4">
      <c r="B115">
        <v>22</v>
      </c>
      <c r="C115" t="str" cm="1">
        <f t="array" ref="C115">INDEX(auto_Series_Code,B115)</f>
        <v>DOMAIN_003</v>
      </c>
      <c r="D115" cm="1">
        <f t="array" ref="D115">INDEX(auto_tblSeries,$B115,D$93)</f>
        <v>1</v>
      </c>
      <c r="E115" cm="1">
        <f t="array" ref="E115">INDEX(auto_tblSeries,$B115,E$93)</f>
        <v>0</v>
      </c>
      <c r="F115" cm="1">
        <f t="array" ref="F115">INDEX(auto_tblSeries,$B115,F$93)</f>
        <v>0</v>
      </c>
      <c r="G115" cm="1">
        <f t="array" ref="G115">INDEX(auto_tblSeries,$B115,G$93)</f>
        <v>0</v>
      </c>
      <c r="H115" cm="1">
        <f t="array" ref="H115">INDEX(auto_tblSeries,$B115,H$93)</f>
        <v>1</v>
      </c>
      <c r="I115">
        <f t="shared" ref="I115" si="89">MATCH(CONCATENATE($C$3,"_",$C115),auto_DataFlat_UID,0)</f>
        <v>1261</v>
      </c>
      <c r="K115" cm="1">
        <f t="array" ref="K115">INDEX(auto_DataFlat_Score,$I115,K$92)</f>
        <v>47.2</v>
      </c>
      <c r="L115" t="str" cm="1">
        <f t="array" ref="L115">INDEX(auto_DataFlat_Rank,$I115,L$92)</f>
        <v>32</v>
      </c>
      <c r="M115" cm="1">
        <f t="array" ref="M115">INDEX(auto_DataFlat_DataValue,$I115,M$92)</f>
        <v>0</v>
      </c>
      <c r="N115" cm="1">
        <f t="array" ref="N115">INDEX(auto_DataFlat_Classification,$I115,M$92)</f>
        <v>3</v>
      </c>
      <c r="O115" cm="1">
        <f t="array" ref="O115">INDEX(auto_DataFlat_IsEstimate,$I115,O$92)</f>
        <v>0</v>
      </c>
      <c r="P115" t="str" cm="1">
        <f t="array" ref="P115">IF(INDEX(auto_DataFlat_DataYear,$I115,P$92)=0,"n/a",INDEX(auto_DataFlat_DataYear,$I115,P$92))</f>
        <v>n/a</v>
      </c>
      <c r="R115">
        <f t="shared" ref="R115" si="90">MATCH(CONCATENATE(R$93,"_",$C115),auto_DataFlat_UID,0)</f>
        <v>1311</v>
      </c>
      <c r="S115" cm="1">
        <f t="array" ref="S115">INDEX(auto_DataFlat_Score,$R115,S$92)</f>
        <v>57.9</v>
      </c>
      <c r="U115">
        <f t="shared" si="44"/>
        <v>-10.699999999999996</v>
      </c>
      <c r="V115">
        <f t="shared" si="45"/>
        <v>3</v>
      </c>
      <c r="W115">
        <f t="shared" si="46"/>
        <v>-1</v>
      </c>
      <c r="X115" t="e">
        <f t="shared" ca="1" si="47"/>
        <v>#N/A</v>
      </c>
      <c r="Y115" t="e">
        <f t="shared" ca="1" si="48"/>
        <v>#N/A</v>
      </c>
      <c r="Z115" t="e">
        <f t="shared" ca="1" si="49"/>
        <v>#N/A</v>
      </c>
      <c r="AB115">
        <f t="shared" ca="1" si="50"/>
        <v>0</v>
      </c>
      <c r="AC115">
        <f t="shared" ca="1" si="50"/>
        <v>0</v>
      </c>
      <c r="AD115">
        <f t="shared" ca="1" si="50"/>
        <v>0</v>
      </c>
      <c r="BO115">
        <f t="shared" si="33"/>
        <v>-1</v>
      </c>
      <c r="BP115" t="e">
        <f t="shared" ca="1" si="34"/>
        <v>#N/A</v>
      </c>
      <c r="BQ115" t="e">
        <f t="shared" ca="1" si="35"/>
        <v>#N/A</v>
      </c>
      <c r="BR115" t="e">
        <f t="shared" ca="1" si="36"/>
        <v>#N/A</v>
      </c>
      <c r="BS115" t="e">
        <f t="shared" ca="1" si="37"/>
        <v>#N/A</v>
      </c>
      <c r="BT115" t="e">
        <f t="shared" ca="1" si="38"/>
        <v>#N/A</v>
      </c>
      <c r="BU115" t="e">
        <f t="shared" ca="1" si="39"/>
        <v>#N/A</v>
      </c>
      <c r="BV115" t="e">
        <f t="shared" ca="1" si="40"/>
        <v>#N/A</v>
      </c>
      <c r="BW115">
        <f>IFERROR(#REF!,0)</f>
        <v>0</v>
      </c>
      <c r="BX115">
        <f>IFERROR(#REF!,0)</f>
        <v>0</v>
      </c>
      <c r="BY115">
        <f>IFERROR(#REF!,0)</f>
        <v>0</v>
      </c>
      <c r="BZ115" t="e">
        <f ca="1">IFERROR(BZ114+MATCH(BZ$92,OFFSET(#REF!,BZ114,0,300-BZ114,1),0),NA())</f>
        <v>#N/A</v>
      </c>
      <c r="CA115">
        <f>IFERROR(#REF!,0)</f>
        <v>0</v>
      </c>
      <c r="CB115">
        <f>IFERROR(#REF!,0)</f>
        <v>0</v>
      </c>
      <c r="CC115">
        <f>IFERROR(#REF!,0)</f>
        <v>0</v>
      </c>
      <c r="CD115">
        <f>IFERROR(#REF!,0)</f>
        <v>0</v>
      </c>
      <c r="CE115">
        <f>IFERROR(#REF!,0)</f>
        <v>0</v>
      </c>
      <c r="CF115">
        <f>IFERROR(#REF!,0)</f>
        <v>0</v>
      </c>
      <c r="CG115">
        <f t="shared" ca="1" si="41"/>
        <v>0</v>
      </c>
    </row>
    <row r="116" spans="1:85" x14ac:dyDescent="0.4">
      <c r="B116">
        <v>23</v>
      </c>
      <c r="C116" t="str" cm="1">
        <f t="array" ref="C116">INDEX(auto_Series_Code,B116)</f>
        <v>INDI_011</v>
      </c>
      <c r="D116" cm="1">
        <f t="array" ref="D116">INDEX(auto_tblSeries,$B116,D$93)</f>
        <v>2</v>
      </c>
      <c r="E116" cm="1">
        <f t="array" ref="E116">INDEX(auto_tblSeries,$B116,E$93)</f>
        <v>0</v>
      </c>
      <c r="F116" cm="1">
        <f t="array" ref="F116">INDEX(auto_tblSeries,$B116,F$93)</f>
        <v>0</v>
      </c>
      <c r="G116" cm="1">
        <f t="array" ref="G116">INDEX(auto_tblSeries,$B116,G$93)</f>
        <v>0</v>
      </c>
      <c r="H116" cm="1">
        <f t="array" ref="H116">INDEX(auto_tblSeries,$B116,H$93)</f>
        <v>1</v>
      </c>
      <c r="I116">
        <f t="shared" ref="I116" si="91">MATCH(CONCATENATE($C$3,"_",$C116),auto_DataFlat_UID,0)</f>
        <v>1321</v>
      </c>
      <c r="K116" cm="1">
        <f t="array" ref="K116">INDEX(auto_DataFlat_Score,$I116,K$92)</f>
        <v>47.4</v>
      </c>
      <c r="L116" t="str" cm="1">
        <f t="array" ref="L116">INDEX(auto_DataFlat_Rank,$I116,L$92)</f>
        <v>28</v>
      </c>
      <c r="M116" cm="1">
        <f t="array" ref="M116">INDEX(auto_DataFlat_DataValue,$I116,M$92)</f>
        <v>0</v>
      </c>
      <c r="N116" cm="1">
        <f t="array" ref="N116">INDEX(auto_DataFlat_Classification,$I116,M$92)</f>
        <v>3</v>
      </c>
      <c r="O116" cm="1">
        <f t="array" ref="O116">INDEX(auto_DataFlat_IsEstimate,$I116,O$92)</f>
        <v>0</v>
      </c>
      <c r="P116" t="str" cm="1">
        <f t="array" ref="P116">IF(INDEX(auto_DataFlat_DataYear,$I116,P$92)=0,"n/a",INDEX(auto_DataFlat_DataYear,$I116,P$92))</f>
        <v>n/a</v>
      </c>
      <c r="R116">
        <f t="shared" ref="R116" si="92">MATCH(CONCATENATE(R$93,"_",$C116),auto_DataFlat_UID,0)</f>
        <v>1371</v>
      </c>
      <c r="S116" cm="1">
        <f t="array" ref="S116">INDEX(auto_DataFlat_Score,$R116,S$92)</f>
        <v>66.5</v>
      </c>
      <c r="U116">
        <f t="shared" si="44"/>
        <v>-19.100000000000001</v>
      </c>
      <c r="V116">
        <f t="shared" si="45"/>
        <v>3</v>
      </c>
      <c r="W116">
        <f t="shared" si="46"/>
        <v>3</v>
      </c>
      <c r="X116" t="e">
        <f t="shared" ca="1" si="47"/>
        <v>#N/A</v>
      </c>
      <c r="Y116" t="e">
        <f t="shared" ca="1" si="48"/>
        <v>#N/A</v>
      </c>
      <c r="Z116" t="e">
        <f t="shared" ca="1" si="49"/>
        <v>#N/A</v>
      </c>
      <c r="AB116">
        <f t="shared" ca="1" si="50"/>
        <v>0</v>
      </c>
      <c r="AC116">
        <f t="shared" ca="1" si="50"/>
        <v>0</v>
      </c>
      <c r="AD116">
        <f t="shared" ca="1" si="50"/>
        <v>0</v>
      </c>
      <c r="BO116">
        <f t="shared" si="33"/>
        <v>-1</v>
      </c>
      <c r="BP116" t="e">
        <f t="shared" ca="1" si="34"/>
        <v>#N/A</v>
      </c>
      <c r="BQ116" t="e">
        <f t="shared" ca="1" si="35"/>
        <v>#N/A</v>
      </c>
      <c r="BR116" t="e">
        <f t="shared" ca="1" si="36"/>
        <v>#N/A</v>
      </c>
      <c r="BS116" t="e">
        <f t="shared" ca="1" si="37"/>
        <v>#N/A</v>
      </c>
      <c r="BT116" t="e">
        <f t="shared" ca="1" si="38"/>
        <v>#N/A</v>
      </c>
      <c r="BU116" t="e">
        <f t="shared" ca="1" si="39"/>
        <v>#N/A</v>
      </c>
      <c r="BV116" t="e">
        <f t="shared" ca="1" si="40"/>
        <v>#N/A</v>
      </c>
      <c r="BW116">
        <f>IFERROR(#REF!,0)</f>
        <v>0</v>
      </c>
      <c r="BX116">
        <f>IFERROR(#REF!,0)</f>
        <v>0</v>
      </c>
      <c r="BY116">
        <f>IFERROR(#REF!,0)</f>
        <v>0</v>
      </c>
      <c r="BZ116" t="e">
        <f ca="1">IFERROR(BZ115+MATCH(BZ$92,OFFSET(#REF!,BZ115,0,300-BZ115,1),0),NA())</f>
        <v>#N/A</v>
      </c>
      <c r="CA116">
        <f>IFERROR(#REF!,0)</f>
        <v>0</v>
      </c>
      <c r="CB116">
        <f>IFERROR(#REF!,0)</f>
        <v>0</v>
      </c>
      <c r="CC116">
        <f>IFERROR(#REF!,0)</f>
        <v>0</v>
      </c>
      <c r="CD116">
        <f>IFERROR(#REF!,0)</f>
        <v>0</v>
      </c>
      <c r="CE116">
        <f>IFERROR(#REF!,0)</f>
        <v>0</v>
      </c>
      <c r="CF116">
        <f>IFERROR(#REF!,0)</f>
        <v>0</v>
      </c>
      <c r="CG116">
        <f t="shared" ca="1" si="41"/>
        <v>0</v>
      </c>
    </row>
    <row r="117" spans="1:85" x14ac:dyDescent="0.4">
      <c r="B117">
        <v>24</v>
      </c>
      <c r="C117" t="str" cm="1">
        <f t="array" ref="C117">INDEX(auto_Series_Code,B117)</f>
        <v>SUBINDI_009</v>
      </c>
      <c r="D117" cm="1">
        <f t="array" ref="D117">INDEX(auto_tblSeries,$B117,D$93)</f>
        <v>3</v>
      </c>
      <c r="E117" cm="1">
        <f t="array" ref="E117">INDEX(auto_tblSeries,$B117,E$93)</f>
        <v>0</v>
      </c>
      <c r="F117" cm="1">
        <f t="array" ref="F117">INDEX(auto_tblSeries,$B117,F$93)</f>
        <v>1</v>
      </c>
      <c r="G117" cm="1">
        <f t="array" ref="G117">INDEX(auto_tblSeries,$B117,G$93)</f>
        <v>0</v>
      </c>
      <c r="H117" cm="1">
        <f t="array" ref="H117">INDEX(auto_tblSeries,$B117,H$93)</f>
        <v>1</v>
      </c>
      <c r="I117">
        <f t="shared" ref="I117" si="93">MATCH(CONCATENATE($C$3,"_",$C117),auto_DataFlat_UID,0)</f>
        <v>1381</v>
      </c>
      <c r="K117" cm="1">
        <f t="array" ref="K117">INDEX(auto_DataFlat_Score,$I117,K$92)</f>
        <v>94.8</v>
      </c>
      <c r="L117" t="str" cm="1">
        <f t="array" ref="L117">INDEX(auto_DataFlat_Rank,$I117,L$92)</f>
        <v>2</v>
      </c>
      <c r="M117" cm="1">
        <f t="array" ref="M117">INDEX(auto_DataFlat_DataValue,$I117,M$92)</f>
        <v>5.2</v>
      </c>
      <c r="N117" cm="1">
        <f t="array" ref="N117">INDEX(auto_DataFlat_Classification,$I117,M$92)</f>
        <v>5</v>
      </c>
      <c r="O117" t="str" cm="1">
        <f t="array" ref="O117">INDEX(auto_DataFlat_IsEstimate,$I117,O$92)</f>
        <v xml:space="preserve"> </v>
      </c>
      <c r="P117" cm="1">
        <f t="array" ref="P117">IF(INDEX(auto_DataFlat_DataYear,$I117,P$92)=0,"n/a",INDEX(auto_DataFlat_DataYear,$I117,P$92))</f>
        <v>2022</v>
      </c>
      <c r="R117">
        <f t="shared" ref="R117" si="94">MATCH(CONCATENATE(R$93,"_",$C117),auto_DataFlat_UID,0)</f>
        <v>1431</v>
      </c>
      <c r="S117" cm="1">
        <f t="array" ref="S117">INDEX(auto_DataFlat_Score,$R117,S$92)</f>
        <v>79</v>
      </c>
      <c r="U117">
        <f t="shared" si="44"/>
        <v>15.799999999999997</v>
      </c>
      <c r="V117">
        <f t="shared" si="45"/>
        <v>1</v>
      </c>
      <c r="W117">
        <f t="shared" si="46"/>
        <v>-1</v>
      </c>
      <c r="X117" t="e">
        <f t="shared" ca="1" si="47"/>
        <v>#N/A</v>
      </c>
      <c r="Y117" t="e">
        <f t="shared" ca="1" si="48"/>
        <v>#N/A</v>
      </c>
      <c r="Z117" t="e">
        <f t="shared" ca="1" si="49"/>
        <v>#N/A</v>
      </c>
      <c r="AB117">
        <f t="shared" ca="1" si="50"/>
        <v>0</v>
      </c>
      <c r="AC117">
        <f t="shared" ca="1" si="50"/>
        <v>0</v>
      </c>
      <c r="AD117">
        <f t="shared" ca="1" si="50"/>
        <v>0</v>
      </c>
      <c r="BO117">
        <f t="shared" si="33"/>
        <v>5</v>
      </c>
      <c r="BP117" t="e">
        <f t="shared" ca="1" si="34"/>
        <v>#N/A</v>
      </c>
      <c r="BQ117" t="e">
        <f t="shared" ca="1" si="35"/>
        <v>#N/A</v>
      </c>
      <c r="BR117" t="e">
        <f t="shared" ca="1" si="36"/>
        <v>#N/A</v>
      </c>
      <c r="BS117" t="e">
        <f t="shared" ca="1" si="37"/>
        <v>#N/A</v>
      </c>
      <c r="BT117" t="e">
        <f t="shared" ca="1" si="38"/>
        <v>#N/A</v>
      </c>
      <c r="BU117" t="e">
        <f t="shared" ca="1" si="39"/>
        <v>#N/A</v>
      </c>
      <c r="BV117" t="e">
        <f t="shared" ca="1" si="40"/>
        <v>#N/A</v>
      </c>
      <c r="BW117">
        <f>IFERROR(#REF!,0)</f>
        <v>0</v>
      </c>
      <c r="BX117">
        <f>IFERROR(#REF!,0)</f>
        <v>0</v>
      </c>
      <c r="BY117">
        <f>IFERROR(#REF!,0)</f>
        <v>0</v>
      </c>
      <c r="BZ117" t="e">
        <f ca="1">IFERROR(BZ116+MATCH(BZ$92,OFFSET(#REF!,BZ116,0,300-BZ116,1),0),NA())</f>
        <v>#N/A</v>
      </c>
      <c r="CA117">
        <f>IFERROR(#REF!,0)</f>
        <v>0</v>
      </c>
      <c r="CB117">
        <f>IFERROR(#REF!,0)</f>
        <v>0</v>
      </c>
      <c r="CC117">
        <f>IFERROR(#REF!,0)</f>
        <v>0</v>
      </c>
      <c r="CD117">
        <f>IFERROR(#REF!,0)</f>
        <v>0</v>
      </c>
      <c r="CE117">
        <f>IFERROR(#REF!,0)</f>
        <v>0</v>
      </c>
      <c r="CF117">
        <f>IFERROR(#REF!,0)</f>
        <v>0</v>
      </c>
      <c r="CG117">
        <f t="shared" ca="1" si="41"/>
        <v>0</v>
      </c>
    </row>
    <row r="118" spans="1:85" x14ac:dyDescent="0.4">
      <c r="B118">
        <v>25</v>
      </c>
      <c r="C118" t="str" cm="1">
        <f t="array" ref="C118">INDEX(auto_Series_Code,B118)</f>
        <v>SUBINDI_010</v>
      </c>
      <c r="D118" cm="1">
        <f t="array" ref="D118">INDEX(auto_tblSeries,$B118,D$93)</f>
        <v>3</v>
      </c>
      <c r="E118" cm="1">
        <f t="array" ref="E118">INDEX(auto_tblSeries,$B118,E$93)</f>
        <v>0</v>
      </c>
      <c r="F118" cm="1">
        <f t="array" ref="F118">INDEX(auto_tblSeries,$B118,F$93)</f>
        <v>1</v>
      </c>
      <c r="G118" cm="1">
        <f t="array" ref="G118">INDEX(auto_tblSeries,$B118,G$93)</f>
        <v>0</v>
      </c>
      <c r="H118" cm="1">
        <f t="array" ref="H118">INDEX(auto_tblSeries,$B118,H$93)</f>
        <v>0</v>
      </c>
      <c r="I118">
        <f t="shared" ref="I118" si="95">MATCH(CONCATENATE($C$3,"_",$C118),auto_DataFlat_UID,0)</f>
        <v>1441</v>
      </c>
      <c r="K118" cm="1">
        <f t="array" ref="K118">INDEX(auto_DataFlat_Score,$I118,K$92)</f>
        <v>0</v>
      </c>
      <c r="L118" t="str" cm="1">
        <f t="array" ref="L118">INDEX(auto_DataFlat_Rank,$I118,L$92)</f>
        <v>=28</v>
      </c>
      <c r="M118" cm="1">
        <f t="array" ref="M118">INDEX(auto_DataFlat_DataValue,$I118,M$92)</f>
        <v>0</v>
      </c>
      <c r="N118" cm="1">
        <f t="array" ref="N118">INDEX(auto_DataFlat_Classification,$I118,M$92)</f>
        <v>1</v>
      </c>
      <c r="O118" t="str" cm="1">
        <f t="array" ref="O118">INDEX(auto_DataFlat_IsEstimate,$I118,O$92)</f>
        <v xml:space="preserve"> </v>
      </c>
      <c r="P118" cm="1">
        <f t="array" ref="P118">IF(INDEX(auto_DataFlat_DataYear,$I118,P$92)=0,"n/a",INDEX(auto_DataFlat_DataYear,$I118,P$92))</f>
        <v>2024</v>
      </c>
      <c r="R118">
        <f t="shared" ref="R118" si="96">MATCH(CONCATENATE(R$93,"_",$C118),auto_DataFlat_UID,0)</f>
        <v>1491</v>
      </c>
      <c r="S118" cm="1">
        <f t="array" ref="S118">INDEX(auto_DataFlat_Score,$R118,S$92)</f>
        <v>54</v>
      </c>
      <c r="U118">
        <f t="shared" si="44"/>
        <v>-54</v>
      </c>
      <c r="V118">
        <f t="shared" si="45"/>
        <v>3</v>
      </c>
      <c r="W118">
        <f t="shared" si="46"/>
        <v>-1</v>
      </c>
      <c r="X118" t="e">
        <f t="shared" ca="1" si="47"/>
        <v>#N/A</v>
      </c>
      <c r="Y118" t="e">
        <f t="shared" ca="1" si="48"/>
        <v>#N/A</v>
      </c>
      <c r="Z118" t="e">
        <f t="shared" ca="1" si="49"/>
        <v>#N/A</v>
      </c>
      <c r="AB118">
        <f t="shared" ca="1" si="50"/>
        <v>0</v>
      </c>
      <c r="AC118">
        <f t="shared" ca="1" si="50"/>
        <v>0</v>
      </c>
      <c r="AD118">
        <f t="shared" ca="1" si="50"/>
        <v>0</v>
      </c>
      <c r="BO118">
        <f t="shared" si="33"/>
        <v>1</v>
      </c>
      <c r="BP118" t="e">
        <f t="shared" ca="1" si="34"/>
        <v>#N/A</v>
      </c>
      <c r="BQ118" t="e">
        <f t="shared" ca="1" si="35"/>
        <v>#N/A</v>
      </c>
      <c r="BR118" t="e">
        <f t="shared" ca="1" si="36"/>
        <v>#N/A</v>
      </c>
      <c r="BS118" t="e">
        <f t="shared" ca="1" si="37"/>
        <v>#N/A</v>
      </c>
      <c r="BT118" t="e">
        <f t="shared" ca="1" si="38"/>
        <v>#N/A</v>
      </c>
      <c r="BU118" t="e">
        <f t="shared" ca="1" si="39"/>
        <v>#N/A</v>
      </c>
      <c r="BV118" t="e">
        <f t="shared" ca="1" si="40"/>
        <v>#N/A</v>
      </c>
      <c r="BW118">
        <f>IFERROR(#REF!,0)</f>
        <v>0</v>
      </c>
      <c r="BX118">
        <f>IFERROR(#REF!,0)</f>
        <v>0</v>
      </c>
      <c r="BY118">
        <f>IFERROR(#REF!,0)</f>
        <v>0</v>
      </c>
      <c r="BZ118" t="e">
        <f ca="1">IFERROR(BZ117+MATCH(BZ$92,OFFSET(#REF!,BZ117,0,300-BZ117,1),0),NA())</f>
        <v>#N/A</v>
      </c>
      <c r="CA118">
        <f>IFERROR(#REF!,0)</f>
        <v>0</v>
      </c>
      <c r="CB118">
        <f>IFERROR(#REF!,0)</f>
        <v>0</v>
      </c>
      <c r="CC118">
        <f>IFERROR(#REF!,0)</f>
        <v>0</v>
      </c>
      <c r="CD118">
        <f>IFERROR(#REF!,0)</f>
        <v>0</v>
      </c>
      <c r="CE118">
        <f>IFERROR(#REF!,0)</f>
        <v>0</v>
      </c>
      <c r="CF118">
        <f>IFERROR(#REF!,0)</f>
        <v>0</v>
      </c>
      <c r="CG118">
        <f t="shared" ca="1" si="41"/>
        <v>0</v>
      </c>
    </row>
    <row r="119" spans="1:85" x14ac:dyDescent="0.4">
      <c r="B119">
        <v>26</v>
      </c>
      <c r="C119" t="str" cm="1">
        <f t="array" ref="C119">INDEX(auto_Series_Code,B119)</f>
        <v>INDI_012</v>
      </c>
      <c r="D119" cm="1">
        <f t="array" ref="D119">INDEX(auto_tblSeries,$B119,D$93)</f>
        <v>2</v>
      </c>
      <c r="E119" cm="1">
        <f t="array" ref="E119">INDEX(auto_tblSeries,$B119,E$93)</f>
        <v>0</v>
      </c>
      <c r="F119" cm="1">
        <f t="array" ref="F119">INDEX(auto_tblSeries,$B119,F$93)</f>
        <v>0</v>
      </c>
      <c r="G119" cm="1">
        <f t="array" ref="G119">INDEX(auto_tblSeries,$B119,G$93)</f>
        <v>0</v>
      </c>
      <c r="H119" cm="1">
        <f t="array" ref="H119">INDEX(auto_tblSeries,$B119,H$93)</f>
        <v>1</v>
      </c>
      <c r="I119">
        <f t="shared" ref="I119" si="97">MATCH(CONCATENATE($C$3,"_",$C119),auto_DataFlat_UID,0)</f>
        <v>1501</v>
      </c>
      <c r="K119" cm="1">
        <f t="array" ref="K119">INDEX(auto_DataFlat_Score,$I119,K$92)</f>
        <v>4.7</v>
      </c>
      <c r="L119" t="str" cm="1">
        <f t="array" ref="L119">INDEX(auto_DataFlat_Rank,$I119,L$92)</f>
        <v>50</v>
      </c>
      <c r="M119" cm="1">
        <f t="array" ref="M119">INDEX(auto_DataFlat_DataValue,$I119,M$92)</f>
        <v>0</v>
      </c>
      <c r="N119" cm="1">
        <f t="array" ref="N119">INDEX(auto_DataFlat_Classification,$I119,M$92)</f>
        <v>1</v>
      </c>
      <c r="O119" cm="1">
        <f t="array" ref="O119">INDEX(auto_DataFlat_IsEstimate,$I119,O$92)</f>
        <v>0</v>
      </c>
      <c r="P119" t="str" cm="1">
        <f t="array" ref="P119">IF(INDEX(auto_DataFlat_DataYear,$I119,P$92)=0,"n/a",INDEX(auto_DataFlat_DataYear,$I119,P$92))</f>
        <v>n/a</v>
      </c>
      <c r="R119">
        <f t="shared" ref="R119" si="98">MATCH(CONCATENATE(R$93,"_",$C119),auto_DataFlat_UID,0)</f>
        <v>1551</v>
      </c>
      <c r="S119" cm="1">
        <f t="array" ref="S119">INDEX(auto_DataFlat_Score,$R119,S$92)</f>
        <v>45.8</v>
      </c>
      <c r="U119">
        <f t="shared" si="44"/>
        <v>-41.099999999999994</v>
      </c>
      <c r="V119">
        <f t="shared" si="45"/>
        <v>3</v>
      </c>
      <c r="W119">
        <f t="shared" si="46"/>
        <v>3</v>
      </c>
      <c r="X119" t="e">
        <f t="shared" ca="1" si="47"/>
        <v>#N/A</v>
      </c>
      <c r="Y119" t="e">
        <f t="shared" ca="1" si="48"/>
        <v>#N/A</v>
      </c>
      <c r="Z119" t="e">
        <f t="shared" ca="1" si="49"/>
        <v>#N/A</v>
      </c>
      <c r="AB119">
        <f t="shared" ca="1" si="50"/>
        <v>0</v>
      </c>
      <c r="AC119">
        <f t="shared" ca="1" si="50"/>
        <v>0</v>
      </c>
      <c r="AD119">
        <f t="shared" ca="1" si="50"/>
        <v>0</v>
      </c>
      <c r="BO119">
        <f t="shared" si="33"/>
        <v>-1</v>
      </c>
      <c r="BP119" t="e">
        <f t="shared" ca="1" si="34"/>
        <v>#N/A</v>
      </c>
      <c r="BQ119" t="e">
        <f t="shared" ca="1" si="35"/>
        <v>#N/A</v>
      </c>
      <c r="BR119" t="e">
        <f t="shared" ca="1" si="36"/>
        <v>#N/A</v>
      </c>
      <c r="BS119" t="e">
        <f t="shared" ca="1" si="37"/>
        <v>#N/A</v>
      </c>
      <c r="BT119" t="e">
        <f t="shared" ca="1" si="38"/>
        <v>#N/A</v>
      </c>
      <c r="BU119" t="e">
        <f t="shared" ca="1" si="39"/>
        <v>#N/A</v>
      </c>
      <c r="BV119" t="e">
        <f t="shared" ca="1" si="40"/>
        <v>#N/A</v>
      </c>
      <c r="BW119">
        <f>IFERROR(#REF!,0)</f>
        <v>0</v>
      </c>
      <c r="BX119">
        <f>IFERROR(#REF!,0)</f>
        <v>0</v>
      </c>
      <c r="BY119">
        <f>IFERROR(#REF!,0)</f>
        <v>0</v>
      </c>
      <c r="BZ119" t="e">
        <f ca="1">IFERROR(BZ118+MATCH(BZ$92,OFFSET(#REF!,BZ118,0,300-BZ118,1),0),NA())</f>
        <v>#N/A</v>
      </c>
      <c r="CA119">
        <f>IFERROR(#REF!,0)</f>
        <v>0</v>
      </c>
      <c r="CB119">
        <f>IFERROR(#REF!,0)</f>
        <v>0</v>
      </c>
      <c r="CC119">
        <f>IFERROR(#REF!,0)</f>
        <v>0</v>
      </c>
      <c r="CD119">
        <f>IFERROR(#REF!,0)</f>
        <v>0</v>
      </c>
      <c r="CE119">
        <f>IFERROR(#REF!,0)</f>
        <v>0</v>
      </c>
      <c r="CF119">
        <f>IFERROR(#REF!,0)</f>
        <v>0</v>
      </c>
      <c r="CG119">
        <f t="shared" ca="1" si="41"/>
        <v>0</v>
      </c>
    </row>
    <row r="120" spans="1:85" x14ac:dyDescent="0.4">
      <c r="B120">
        <v>27</v>
      </c>
      <c r="C120" t="str" cm="1">
        <f t="array" ref="C120">INDEX(auto_Series_Code,B120)</f>
        <v>SUBINDI_011</v>
      </c>
      <c r="D120" cm="1">
        <f t="array" ref="D120">INDEX(auto_tblSeries,$B120,D$93)</f>
        <v>3</v>
      </c>
      <c r="E120" cm="1">
        <f t="array" ref="E120">INDEX(auto_tblSeries,$B120,E$93)</f>
        <v>0</v>
      </c>
      <c r="F120" cm="1">
        <f t="array" ref="F120">INDEX(auto_tblSeries,$B120,F$93)</f>
        <v>1</v>
      </c>
      <c r="G120" cm="1">
        <f t="array" ref="G120">INDEX(auto_tblSeries,$B120,G$93)</f>
        <v>0</v>
      </c>
      <c r="H120" cm="1">
        <f t="array" ref="H120">INDEX(auto_tblSeries,$B120,H$93)</f>
        <v>2</v>
      </c>
      <c r="I120">
        <f t="shared" ref="I120" si="99">MATCH(CONCATENATE($C$3,"_",$C120),auto_DataFlat_UID,0)</f>
        <v>1561</v>
      </c>
      <c r="K120" cm="1">
        <f t="array" ref="K120">INDEX(auto_DataFlat_Score,$I120,K$92)</f>
        <v>9.5</v>
      </c>
      <c r="L120" t="str" cm="1">
        <f t="array" ref="L120">INDEX(auto_DataFlat_Rank,$I120,L$92)</f>
        <v>50</v>
      </c>
      <c r="M120" cm="1">
        <f t="array" ref="M120">INDEX(auto_DataFlat_DataValue,$I120,M$92)</f>
        <v>37.799999999999997</v>
      </c>
      <c r="N120" cm="1">
        <f t="array" ref="N120">INDEX(auto_DataFlat_Classification,$I120,M$92)</f>
        <v>1</v>
      </c>
      <c r="O120" t="str" cm="1">
        <f t="array" ref="O120">INDEX(auto_DataFlat_IsEstimate,$I120,O$92)</f>
        <v xml:space="preserve"> </v>
      </c>
      <c r="P120" cm="1">
        <f t="array" ref="P120">IF(INDEX(auto_DataFlat_DataYear,$I120,P$92)=0,"n/a",INDEX(auto_DataFlat_DataYear,$I120,P$92))</f>
        <v>2019</v>
      </c>
      <c r="R120">
        <f t="shared" ref="R120" si="100">MATCH(CONCATENATE(R$93,"_",$C120),auto_DataFlat_UID,0)</f>
        <v>1611</v>
      </c>
      <c r="S120" cm="1">
        <f t="array" ref="S120">INDEX(auto_DataFlat_Score,$R120,S$92)</f>
        <v>45.6</v>
      </c>
      <c r="U120">
        <f t="shared" si="44"/>
        <v>-36.1</v>
      </c>
      <c r="V120">
        <f t="shared" si="45"/>
        <v>3</v>
      </c>
      <c r="W120">
        <f t="shared" si="46"/>
        <v>-1</v>
      </c>
      <c r="X120" t="e">
        <f t="shared" ca="1" si="47"/>
        <v>#N/A</v>
      </c>
      <c r="Y120" t="e">
        <f t="shared" ca="1" si="48"/>
        <v>#N/A</v>
      </c>
      <c r="Z120" t="e">
        <f t="shared" ca="1" si="49"/>
        <v>#N/A</v>
      </c>
      <c r="AB120">
        <f t="shared" ca="1" si="50"/>
        <v>0</v>
      </c>
      <c r="AC120">
        <f t="shared" ca="1" si="50"/>
        <v>0</v>
      </c>
      <c r="AD120">
        <f t="shared" ca="1" si="50"/>
        <v>0</v>
      </c>
      <c r="BO120">
        <f t="shared" si="33"/>
        <v>1</v>
      </c>
      <c r="BP120" t="e">
        <f t="shared" ca="1" si="34"/>
        <v>#N/A</v>
      </c>
      <c r="BQ120" t="e">
        <f t="shared" ca="1" si="35"/>
        <v>#N/A</v>
      </c>
      <c r="BR120" t="e">
        <f t="shared" ca="1" si="36"/>
        <v>#N/A</v>
      </c>
      <c r="BS120" t="e">
        <f t="shared" ca="1" si="37"/>
        <v>#N/A</v>
      </c>
      <c r="BT120" t="e">
        <f t="shared" ca="1" si="38"/>
        <v>#N/A</v>
      </c>
      <c r="BU120" t="e">
        <f t="shared" ca="1" si="39"/>
        <v>#N/A</v>
      </c>
      <c r="BV120" t="e">
        <f t="shared" ca="1" si="40"/>
        <v>#N/A</v>
      </c>
      <c r="BW120">
        <f>IFERROR(#REF!,0)</f>
        <v>0</v>
      </c>
      <c r="BX120">
        <f>IFERROR(#REF!,0)</f>
        <v>0</v>
      </c>
      <c r="BY120">
        <f>IFERROR(#REF!,0)</f>
        <v>0</v>
      </c>
      <c r="BZ120" t="e">
        <f ca="1">IFERROR(BZ119+MATCH(BZ$92,OFFSET(#REF!,BZ119,0,300-BZ119,1),0),NA())</f>
        <v>#N/A</v>
      </c>
      <c r="CA120">
        <f>IFERROR(#REF!,0)</f>
        <v>0</v>
      </c>
      <c r="CB120">
        <f>IFERROR(#REF!,0)</f>
        <v>0</v>
      </c>
      <c r="CC120">
        <f>IFERROR(#REF!,0)</f>
        <v>0</v>
      </c>
      <c r="CD120">
        <f>IFERROR(#REF!,0)</f>
        <v>0</v>
      </c>
      <c r="CE120">
        <f>IFERROR(#REF!,0)</f>
        <v>0</v>
      </c>
      <c r="CF120">
        <f>IFERROR(#REF!,0)</f>
        <v>0</v>
      </c>
      <c r="CG120">
        <f t="shared" ca="1" si="41"/>
        <v>0</v>
      </c>
    </row>
    <row r="121" spans="1:85" x14ac:dyDescent="0.4">
      <c r="B121">
        <v>28</v>
      </c>
      <c r="C121" t="str" cm="1">
        <f t="array" ref="C121">INDEX(auto_Series_Code,B121)</f>
        <v>SUBINDI_012</v>
      </c>
      <c r="D121" cm="1">
        <f t="array" ref="D121">INDEX(auto_tblSeries,$B121,D$93)</f>
        <v>3</v>
      </c>
      <c r="E121" cm="1">
        <f t="array" ref="E121">INDEX(auto_tblSeries,$B121,E$93)</f>
        <v>0</v>
      </c>
      <c r="F121" cm="1">
        <f t="array" ref="F121">INDEX(auto_tblSeries,$B121,F$93)</f>
        <v>1</v>
      </c>
      <c r="G121" cm="1">
        <f t="array" ref="G121">INDEX(auto_tblSeries,$B121,G$93)</f>
        <v>0</v>
      </c>
      <c r="H121" cm="1">
        <f t="array" ref="H121">INDEX(auto_tblSeries,$B121,H$93)</f>
        <v>0</v>
      </c>
      <c r="I121">
        <f t="shared" ref="I121" si="101">MATCH(CONCATENATE($C$3,"_",$C121),auto_DataFlat_UID,0)</f>
        <v>1621</v>
      </c>
      <c r="K121" cm="1">
        <f t="array" ref="K121">INDEX(auto_DataFlat_Score,$I121,K$92)</f>
        <v>0</v>
      </c>
      <c r="L121" t="str" cm="1">
        <f t="array" ref="L121">INDEX(auto_DataFlat_Rank,$I121,L$92)</f>
        <v>=24</v>
      </c>
      <c r="M121" cm="1">
        <f t="array" ref="M121">INDEX(auto_DataFlat_DataValue,$I121,M$92)</f>
        <v>0</v>
      </c>
      <c r="N121" cm="1">
        <f t="array" ref="N121">INDEX(auto_DataFlat_Classification,$I121,M$92)</f>
        <v>1</v>
      </c>
      <c r="O121" t="str" cm="1">
        <f t="array" ref="O121">INDEX(auto_DataFlat_IsEstimate,$I121,O$92)</f>
        <v xml:space="preserve"> </v>
      </c>
      <c r="P121" cm="1">
        <f t="array" ref="P121">IF(INDEX(auto_DataFlat_DataYear,$I121,P$92)=0,"n/a",INDEX(auto_DataFlat_DataYear,$I121,P$92))</f>
        <v>2024</v>
      </c>
      <c r="R121">
        <f t="shared" ref="R121" si="102">MATCH(CONCATENATE(R$93,"_",$C121),auto_DataFlat_UID,0)</f>
        <v>1671</v>
      </c>
      <c r="S121" cm="1">
        <f t="array" ref="S121">INDEX(auto_DataFlat_Score,$R121,S$92)</f>
        <v>46</v>
      </c>
      <c r="U121">
        <f t="shared" si="44"/>
        <v>-46</v>
      </c>
      <c r="V121">
        <f t="shared" si="45"/>
        <v>3</v>
      </c>
      <c r="W121">
        <f t="shared" si="46"/>
        <v>-1</v>
      </c>
      <c r="X121" t="e">
        <f t="shared" ca="1" si="47"/>
        <v>#N/A</v>
      </c>
      <c r="Y121" t="e">
        <f t="shared" ca="1" si="48"/>
        <v>#N/A</v>
      </c>
      <c r="Z121" t="e">
        <f t="shared" ca="1" si="49"/>
        <v>#N/A</v>
      </c>
      <c r="AB121">
        <f t="shared" ca="1" si="50"/>
        <v>0</v>
      </c>
      <c r="AC121">
        <f t="shared" ca="1" si="50"/>
        <v>0</v>
      </c>
      <c r="AD121">
        <f t="shared" ca="1" si="50"/>
        <v>0</v>
      </c>
      <c r="BO121">
        <f t="shared" si="33"/>
        <v>1</v>
      </c>
      <c r="BP121" t="e">
        <f t="shared" ca="1" si="34"/>
        <v>#N/A</v>
      </c>
      <c r="BQ121" t="e">
        <f t="shared" ca="1" si="35"/>
        <v>#N/A</v>
      </c>
      <c r="BR121" t="e">
        <f t="shared" ca="1" si="36"/>
        <v>#N/A</v>
      </c>
      <c r="BS121" t="e">
        <f t="shared" ca="1" si="37"/>
        <v>#N/A</v>
      </c>
      <c r="BT121" t="e">
        <f t="shared" ca="1" si="38"/>
        <v>#N/A</v>
      </c>
      <c r="BU121" t="e">
        <f t="shared" ca="1" si="39"/>
        <v>#N/A</v>
      </c>
      <c r="BV121" t="e">
        <f t="shared" ca="1" si="40"/>
        <v>#N/A</v>
      </c>
      <c r="BW121">
        <f>IFERROR(#REF!,0)</f>
        <v>0</v>
      </c>
      <c r="BX121">
        <f>IFERROR(#REF!,0)</f>
        <v>0</v>
      </c>
      <c r="BY121">
        <f>IFERROR(#REF!,0)</f>
        <v>0</v>
      </c>
      <c r="BZ121" t="e">
        <f ca="1">IFERROR(BZ120+MATCH(BZ$92,OFFSET(#REF!,BZ120,0,300-BZ120,1),0),NA())</f>
        <v>#N/A</v>
      </c>
      <c r="CA121">
        <f>IFERROR(#REF!,0)</f>
        <v>0</v>
      </c>
      <c r="CB121">
        <f>IFERROR(#REF!,0)</f>
        <v>0</v>
      </c>
      <c r="CC121">
        <f>IFERROR(#REF!,0)</f>
        <v>0</v>
      </c>
      <c r="CD121">
        <f>IFERROR(#REF!,0)</f>
        <v>0</v>
      </c>
      <c r="CE121">
        <f>IFERROR(#REF!,0)</f>
        <v>0</v>
      </c>
      <c r="CF121">
        <f>IFERROR(#REF!,0)</f>
        <v>0</v>
      </c>
      <c r="CG121">
        <f t="shared" ca="1" si="41"/>
        <v>0</v>
      </c>
    </row>
    <row r="122" spans="1:85" x14ac:dyDescent="0.4">
      <c r="B122">
        <v>29</v>
      </c>
      <c r="C122" t="str" cm="1">
        <f t="array" ref="C122">INDEX(auto_Series_Code,B122)</f>
        <v>INDI_013</v>
      </c>
      <c r="D122" cm="1">
        <f t="array" ref="D122">INDEX(auto_tblSeries,$B122,D$93)</f>
        <v>2</v>
      </c>
      <c r="E122" cm="1">
        <f t="array" ref="E122">INDEX(auto_tblSeries,$B122,E$93)</f>
        <v>0</v>
      </c>
      <c r="F122" cm="1">
        <f t="array" ref="F122">INDEX(auto_tblSeries,$B122,F$93)</f>
        <v>0</v>
      </c>
      <c r="G122" cm="1">
        <f t="array" ref="G122">INDEX(auto_tblSeries,$B122,G$93)</f>
        <v>0</v>
      </c>
      <c r="H122" cm="1">
        <f t="array" ref="H122">INDEX(auto_tblSeries,$B122,H$93)</f>
        <v>1</v>
      </c>
      <c r="I122">
        <f t="shared" ref="I122" si="103">MATCH(CONCATENATE($C$3,"_",$C122),auto_DataFlat_UID,0)</f>
        <v>1681</v>
      </c>
      <c r="K122" cm="1">
        <f t="array" ref="K122">INDEX(auto_DataFlat_Score,$I122,K$92)</f>
        <v>50</v>
      </c>
      <c r="L122" t="str" cm="1">
        <f t="array" ref="L122">INDEX(auto_DataFlat_Rank,$I122,L$92)</f>
        <v>=8</v>
      </c>
      <c r="M122" cm="1">
        <f t="array" ref="M122">INDEX(auto_DataFlat_DataValue,$I122,M$92)</f>
        <v>0</v>
      </c>
      <c r="N122" cm="1">
        <f t="array" ref="N122">INDEX(auto_DataFlat_Classification,$I122,M$92)</f>
        <v>3</v>
      </c>
      <c r="O122" cm="1">
        <f t="array" ref="O122">INDEX(auto_DataFlat_IsEstimate,$I122,O$92)</f>
        <v>0</v>
      </c>
      <c r="P122" t="str" cm="1">
        <f t="array" ref="P122">IF(INDEX(auto_DataFlat_DataYear,$I122,P$92)=0,"n/a",INDEX(auto_DataFlat_DataYear,$I122,P$92))</f>
        <v>n/a</v>
      </c>
      <c r="R122">
        <f t="shared" ref="R122" si="104">MATCH(CONCATENATE(R$93,"_",$C122),auto_DataFlat_UID,0)</f>
        <v>1731</v>
      </c>
      <c r="S122" cm="1">
        <f t="array" ref="S122">INDEX(auto_DataFlat_Score,$R122,S$92)</f>
        <v>53.9</v>
      </c>
      <c r="U122">
        <f t="shared" si="44"/>
        <v>-3.8999999999999986</v>
      </c>
      <c r="V122">
        <f t="shared" si="45"/>
        <v>3</v>
      </c>
      <c r="W122">
        <f t="shared" si="46"/>
        <v>3</v>
      </c>
      <c r="X122" t="e">
        <f t="shared" ca="1" si="47"/>
        <v>#N/A</v>
      </c>
      <c r="Y122" t="e">
        <f t="shared" ca="1" si="48"/>
        <v>#N/A</v>
      </c>
      <c r="Z122" t="e">
        <f t="shared" ca="1" si="49"/>
        <v>#N/A</v>
      </c>
      <c r="AB122">
        <f t="shared" ca="1" si="50"/>
        <v>0</v>
      </c>
      <c r="AC122">
        <f t="shared" ca="1" si="50"/>
        <v>0</v>
      </c>
      <c r="AD122">
        <f t="shared" ca="1" si="50"/>
        <v>0</v>
      </c>
      <c r="BO122">
        <f t="shared" si="33"/>
        <v>-1</v>
      </c>
      <c r="BP122" t="e">
        <f t="shared" ca="1" si="34"/>
        <v>#N/A</v>
      </c>
      <c r="BQ122" t="e">
        <f t="shared" ca="1" si="35"/>
        <v>#N/A</v>
      </c>
      <c r="BR122" t="e">
        <f t="shared" ca="1" si="36"/>
        <v>#N/A</v>
      </c>
      <c r="BS122" t="e">
        <f t="shared" ca="1" si="37"/>
        <v>#N/A</v>
      </c>
      <c r="BT122" t="e">
        <f t="shared" ca="1" si="38"/>
        <v>#N/A</v>
      </c>
      <c r="BU122" t="e">
        <f t="shared" ca="1" si="39"/>
        <v>#N/A</v>
      </c>
      <c r="BV122" t="e">
        <f t="shared" ca="1" si="40"/>
        <v>#N/A</v>
      </c>
      <c r="BW122">
        <f>IFERROR(#REF!,0)</f>
        <v>0</v>
      </c>
      <c r="BX122">
        <f>IFERROR(#REF!,0)</f>
        <v>0</v>
      </c>
      <c r="BY122">
        <f>IFERROR(#REF!,0)</f>
        <v>0</v>
      </c>
      <c r="BZ122" t="e">
        <f ca="1">IFERROR(BZ121+MATCH(BZ$92,OFFSET(#REF!,BZ121,0,300-BZ121,1),0),NA())</f>
        <v>#N/A</v>
      </c>
      <c r="CA122">
        <f>IFERROR(#REF!,0)</f>
        <v>0</v>
      </c>
      <c r="CB122">
        <f>IFERROR(#REF!,0)</f>
        <v>0</v>
      </c>
      <c r="CC122">
        <f>IFERROR(#REF!,0)</f>
        <v>0</v>
      </c>
      <c r="CD122">
        <f>IFERROR(#REF!,0)</f>
        <v>0</v>
      </c>
      <c r="CE122">
        <f>IFERROR(#REF!,0)</f>
        <v>0</v>
      </c>
      <c r="CF122">
        <f>IFERROR(#REF!,0)</f>
        <v>0</v>
      </c>
      <c r="CG122">
        <f t="shared" ca="1" si="41"/>
        <v>0</v>
      </c>
    </row>
    <row r="123" spans="1:85" x14ac:dyDescent="0.4">
      <c r="A123" t="str">
        <f>IF(ISERROR(C123),"X","")</f>
        <v/>
      </c>
      <c r="B123">
        <v>30</v>
      </c>
      <c r="C123" t="str" cm="1">
        <f t="array" ref="C123">INDEX(auto_Series_Code,B123)</f>
        <v>SUBINDI_013</v>
      </c>
      <c r="D123" cm="1">
        <f t="array" ref="D123">INDEX(auto_tblSeries,$B123,D$93)</f>
        <v>3</v>
      </c>
      <c r="E123" cm="1">
        <f t="array" ref="E123">INDEX(auto_tblSeries,$B123,E$93)</f>
        <v>0</v>
      </c>
      <c r="F123" cm="1">
        <f t="array" ref="F123">INDEX(auto_tblSeries,$B123,F$93)</f>
        <v>1</v>
      </c>
      <c r="G123" cm="1">
        <f t="array" ref="G123">INDEX(auto_tblSeries,$B123,G$93)</f>
        <v>0</v>
      </c>
      <c r="H123" cm="1">
        <f t="array" ref="H123">INDEX(auto_tblSeries,$B123,H$93)</f>
        <v>1</v>
      </c>
      <c r="I123">
        <f t="shared" ref="I123" si="105">MATCH(CONCATENATE($C$3,"_",$C123),auto_DataFlat_UID,0)</f>
        <v>1741</v>
      </c>
      <c r="K123" cm="1">
        <f t="array" ref="K123">INDEX(auto_DataFlat_Score,$I123,K$92)</f>
        <v>100</v>
      </c>
      <c r="L123" t="str" cm="1">
        <f t="array" ref="L123">INDEX(auto_DataFlat_Rank,$I123,L$92)</f>
        <v>=1</v>
      </c>
      <c r="M123" cm="1">
        <f t="array" ref="M123">INDEX(auto_DataFlat_DataValue,$I123,M$92)</f>
        <v>0.3</v>
      </c>
      <c r="N123" cm="1">
        <f t="array" ref="N123">INDEX(auto_DataFlat_Classification,$I123,M$92)</f>
        <v>5</v>
      </c>
      <c r="O123" t="str" cm="1">
        <f t="array" ref="O123">INDEX(auto_DataFlat_IsEstimate,$I123,O$92)</f>
        <v xml:space="preserve"> </v>
      </c>
      <c r="P123" cm="1">
        <f t="array" ref="P123">IF(INDEX(auto_DataFlat_DataYear,$I123,P$92)=0,"n/a",INDEX(auto_DataFlat_DataYear,$I123,P$92))</f>
        <v>2019</v>
      </c>
      <c r="R123">
        <f t="shared" ref="R123" si="106">MATCH(CONCATENATE(R$93,"_",$C123),auto_DataFlat_UID,0)</f>
        <v>1791</v>
      </c>
      <c r="S123" cm="1">
        <f t="array" ref="S123">INDEX(auto_DataFlat_Score,$R123,S$92)</f>
        <v>93.8</v>
      </c>
      <c r="U123">
        <f t="shared" si="44"/>
        <v>6.2000000000000028</v>
      </c>
      <c r="V123">
        <f t="shared" si="45"/>
        <v>1</v>
      </c>
      <c r="W123">
        <f t="shared" si="46"/>
        <v>-1</v>
      </c>
      <c r="X123" t="e">
        <f t="shared" ca="1" si="47"/>
        <v>#N/A</v>
      </c>
      <c r="Y123" t="e">
        <f t="shared" ca="1" si="48"/>
        <v>#N/A</v>
      </c>
      <c r="Z123" t="e">
        <f t="shared" ca="1" si="49"/>
        <v>#N/A</v>
      </c>
      <c r="AB123">
        <f t="shared" ca="1" si="50"/>
        <v>0</v>
      </c>
      <c r="AC123">
        <f t="shared" ca="1" si="50"/>
        <v>0</v>
      </c>
      <c r="AD123">
        <f t="shared" ca="1" si="50"/>
        <v>0</v>
      </c>
      <c r="BO123">
        <f t="shared" si="33"/>
        <v>5</v>
      </c>
      <c r="BP123" t="e">
        <f t="shared" ca="1" si="34"/>
        <v>#N/A</v>
      </c>
      <c r="BQ123" t="e">
        <f t="shared" ca="1" si="35"/>
        <v>#N/A</v>
      </c>
      <c r="BR123" t="e">
        <f t="shared" ca="1" si="36"/>
        <v>#N/A</v>
      </c>
      <c r="BS123" t="e">
        <f t="shared" ca="1" si="37"/>
        <v>#N/A</v>
      </c>
      <c r="BT123" t="e">
        <f t="shared" ca="1" si="38"/>
        <v>#N/A</v>
      </c>
      <c r="BU123" t="e">
        <f t="shared" ca="1" si="39"/>
        <v>#N/A</v>
      </c>
      <c r="BV123" t="e">
        <f t="shared" ca="1" si="40"/>
        <v>#N/A</v>
      </c>
      <c r="BW123">
        <f>IFERROR(#REF!,0)</f>
        <v>0</v>
      </c>
      <c r="BX123">
        <f>IFERROR(#REF!,0)</f>
        <v>0</v>
      </c>
      <c r="BY123">
        <f>IFERROR(#REF!,0)</f>
        <v>0</v>
      </c>
      <c r="BZ123" t="e">
        <f ca="1">IFERROR(BZ122+MATCH(BZ$92,OFFSET(#REF!,BZ122,0,300-BZ122,1),0),NA())</f>
        <v>#N/A</v>
      </c>
      <c r="CA123">
        <f>IFERROR(#REF!,0)</f>
        <v>0</v>
      </c>
      <c r="CB123">
        <f>IFERROR(#REF!,0)</f>
        <v>0</v>
      </c>
      <c r="CC123">
        <f>IFERROR(#REF!,0)</f>
        <v>0</v>
      </c>
      <c r="CD123">
        <f>IFERROR(#REF!,0)</f>
        <v>0</v>
      </c>
      <c r="CE123">
        <f>IFERROR(#REF!,0)</f>
        <v>0</v>
      </c>
      <c r="CF123">
        <f>IFERROR(#REF!,0)</f>
        <v>0</v>
      </c>
      <c r="CG123">
        <f t="shared" ca="1" si="41"/>
        <v>0</v>
      </c>
    </row>
    <row r="124" spans="1:85" x14ac:dyDescent="0.4">
      <c r="A124" t="str">
        <f t="shared" ref="A124:A162" si="107">IF(ISERROR(C124),"X","")</f>
        <v/>
      </c>
      <c r="B124">
        <v>31</v>
      </c>
      <c r="C124" t="str" cm="1">
        <f t="array" ref="C124">INDEX(auto_Series_Code,B124)</f>
        <v>SUBINDI_014</v>
      </c>
      <c r="D124" cm="1">
        <f t="array" ref="D124">INDEX(auto_tblSeries,$B124,D$93)</f>
        <v>3</v>
      </c>
      <c r="E124" cm="1">
        <f t="array" ref="E124">INDEX(auto_tblSeries,$B124,E$93)</f>
        <v>0</v>
      </c>
      <c r="F124" cm="1">
        <f t="array" ref="F124">INDEX(auto_tblSeries,$B124,F$93)</f>
        <v>1</v>
      </c>
      <c r="G124" cm="1">
        <f t="array" ref="G124">INDEX(auto_tblSeries,$B124,G$93)</f>
        <v>0</v>
      </c>
      <c r="H124" cm="1">
        <f t="array" ref="H124">INDEX(auto_tblSeries,$B124,H$93)</f>
        <v>0</v>
      </c>
      <c r="I124">
        <f t="shared" ref="I124" si="108">MATCH(CONCATENATE($C$3,"_",$C124),auto_DataFlat_UID,0)</f>
        <v>1801</v>
      </c>
      <c r="K124" cm="1">
        <f t="array" ref="K124">INDEX(auto_DataFlat_Score,$I124,K$92)</f>
        <v>0</v>
      </c>
      <c r="L124" t="str" cm="1">
        <f t="array" ref="L124">INDEX(auto_DataFlat_Rank,$I124,L$92)</f>
        <v>=8</v>
      </c>
      <c r="M124" cm="1">
        <f t="array" ref="M124">INDEX(auto_DataFlat_DataValue,$I124,M$92)</f>
        <v>0</v>
      </c>
      <c r="N124" cm="1">
        <f t="array" ref="N124">INDEX(auto_DataFlat_Classification,$I124,M$92)</f>
        <v>1</v>
      </c>
      <c r="O124" t="str" cm="1">
        <f t="array" ref="O124">INDEX(auto_DataFlat_IsEstimate,$I124,O$92)</f>
        <v xml:space="preserve"> </v>
      </c>
      <c r="P124" cm="1">
        <f t="array" ref="P124">IF(INDEX(auto_DataFlat_DataYear,$I124,P$92)=0,"n/a",INDEX(auto_DataFlat_DataYear,$I124,P$92))</f>
        <v>2024</v>
      </c>
      <c r="R124">
        <f t="shared" ref="R124" si="109">MATCH(CONCATENATE(R$93,"_",$C124),auto_DataFlat_UID,0)</f>
        <v>1851</v>
      </c>
      <c r="S124" cm="1">
        <f t="array" ref="S124">INDEX(auto_DataFlat_Score,$R124,S$92)</f>
        <v>14</v>
      </c>
      <c r="U124">
        <f t="shared" si="44"/>
        <v>-14</v>
      </c>
      <c r="V124">
        <f t="shared" si="45"/>
        <v>3</v>
      </c>
      <c r="W124">
        <f t="shared" si="46"/>
        <v>-1</v>
      </c>
      <c r="X124" t="e">
        <f t="shared" ca="1" si="47"/>
        <v>#N/A</v>
      </c>
      <c r="Y124" t="e">
        <f t="shared" ca="1" si="48"/>
        <v>#N/A</v>
      </c>
      <c r="Z124" t="e">
        <f t="shared" ca="1" si="49"/>
        <v>#N/A</v>
      </c>
      <c r="AB124">
        <f t="shared" ca="1" si="50"/>
        <v>0</v>
      </c>
      <c r="AC124">
        <f t="shared" ca="1" si="50"/>
        <v>0</v>
      </c>
      <c r="AD124">
        <f t="shared" ca="1" si="50"/>
        <v>0</v>
      </c>
      <c r="BO124">
        <f t="shared" si="33"/>
        <v>1</v>
      </c>
      <c r="BP124" t="e">
        <f t="shared" ca="1" si="34"/>
        <v>#N/A</v>
      </c>
      <c r="BQ124" t="e">
        <f t="shared" ca="1" si="35"/>
        <v>#N/A</v>
      </c>
      <c r="BR124" t="e">
        <f t="shared" ca="1" si="36"/>
        <v>#N/A</v>
      </c>
      <c r="BS124" t="e">
        <f t="shared" ca="1" si="37"/>
        <v>#N/A</v>
      </c>
      <c r="BT124" t="e">
        <f t="shared" ca="1" si="38"/>
        <v>#N/A</v>
      </c>
      <c r="BU124" t="e">
        <f t="shared" ca="1" si="39"/>
        <v>#N/A</v>
      </c>
      <c r="BV124" t="e">
        <f t="shared" ca="1" si="40"/>
        <v>#N/A</v>
      </c>
      <c r="BW124">
        <f>IFERROR(#REF!,0)</f>
        <v>0</v>
      </c>
      <c r="BX124">
        <f>IFERROR(#REF!,0)</f>
        <v>0</v>
      </c>
      <c r="BY124">
        <f>IFERROR(#REF!,0)</f>
        <v>0</v>
      </c>
      <c r="BZ124" t="e">
        <f ca="1">IFERROR(BZ123+MATCH(BZ$92,OFFSET(#REF!,BZ123,0,300-BZ123,1),0),NA())</f>
        <v>#N/A</v>
      </c>
      <c r="CA124">
        <f>IFERROR(#REF!,0)</f>
        <v>0</v>
      </c>
      <c r="CB124">
        <f>IFERROR(#REF!,0)</f>
        <v>0</v>
      </c>
      <c r="CC124">
        <f>IFERROR(#REF!,0)</f>
        <v>0</v>
      </c>
      <c r="CD124">
        <f>IFERROR(#REF!,0)</f>
        <v>0</v>
      </c>
      <c r="CE124">
        <f>IFERROR(#REF!,0)</f>
        <v>0</v>
      </c>
      <c r="CF124">
        <f>IFERROR(#REF!,0)</f>
        <v>0</v>
      </c>
      <c r="CG124">
        <f t="shared" ca="1" si="41"/>
        <v>0</v>
      </c>
    </row>
    <row r="125" spans="1:85" x14ac:dyDescent="0.4">
      <c r="A125" t="str">
        <f t="shared" si="107"/>
        <v/>
      </c>
      <c r="B125">
        <v>32</v>
      </c>
      <c r="C125" t="str" cm="1">
        <f t="array" ref="C125">INDEX(auto_Series_Code,B125)</f>
        <v>INDI_014</v>
      </c>
      <c r="D125" cm="1">
        <f t="array" ref="D125">INDEX(auto_tblSeries,$B125,D$93)</f>
        <v>2</v>
      </c>
      <c r="E125" cm="1">
        <f t="array" ref="E125">INDEX(auto_tblSeries,$B125,E$93)</f>
        <v>0</v>
      </c>
      <c r="F125" cm="1">
        <f t="array" ref="F125">INDEX(auto_tblSeries,$B125,F$93)</f>
        <v>0</v>
      </c>
      <c r="G125" cm="1">
        <f t="array" ref="G125">INDEX(auto_tblSeries,$B125,G$93)</f>
        <v>0</v>
      </c>
      <c r="H125" cm="1">
        <f t="array" ref="H125">INDEX(auto_tblSeries,$B125,H$93)</f>
        <v>1</v>
      </c>
      <c r="I125">
        <f t="shared" ref="I125" si="110">MATCH(CONCATENATE($C$3,"_",$C125),auto_DataFlat_UID,0)</f>
        <v>1861</v>
      </c>
      <c r="K125" cm="1">
        <f t="array" ref="K125">INDEX(auto_DataFlat_Score,$I125,K$92)</f>
        <v>42.6</v>
      </c>
      <c r="L125" t="str" cm="1">
        <f t="array" ref="L125">INDEX(auto_DataFlat_Rank,$I125,L$92)</f>
        <v>31</v>
      </c>
      <c r="M125" cm="1">
        <f t="array" ref="M125">INDEX(auto_DataFlat_DataValue,$I125,M$92)</f>
        <v>0</v>
      </c>
      <c r="N125" cm="1">
        <f t="array" ref="N125">INDEX(auto_DataFlat_Classification,$I125,M$92)</f>
        <v>3</v>
      </c>
      <c r="O125" cm="1">
        <f t="array" ref="O125">INDEX(auto_DataFlat_IsEstimate,$I125,O$92)</f>
        <v>0</v>
      </c>
      <c r="P125" t="str" cm="1">
        <f t="array" ref="P125">IF(INDEX(auto_DataFlat_DataYear,$I125,P$92)=0,"n/a",INDEX(auto_DataFlat_DataYear,$I125,P$92))</f>
        <v>n/a</v>
      </c>
      <c r="R125">
        <f t="shared" ref="R125" si="111">MATCH(CONCATENATE(R$93,"_",$C125),auto_DataFlat_UID,0)</f>
        <v>1911</v>
      </c>
      <c r="S125" cm="1">
        <f t="array" ref="S125">INDEX(auto_DataFlat_Score,$R125,S$92)</f>
        <v>60.4</v>
      </c>
      <c r="U125">
        <f t="shared" si="44"/>
        <v>-17.799999999999997</v>
      </c>
      <c r="V125">
        <f t="shared" si="45"/>
        <v>3</v>
      </c>
      <c r="W125">
        <f t="shared" si="46"/>
        <v>3</v>
      </c>
      <c r="X125" t="e">
        <f t="shared" ca="1" si="47"/>
        <v>#N/A</v>
      </c>
      <c r="Y125" t="e">
        <f t="shared" ca="1" si="48"/>
        <v>#N/A</v>
      </c>
      <c r="Z125" t="e">
        <f t="shared" ca="1" si="49"/>
        <v>#N/A</v>
      </c>
      <c r="AB125">
        <f t="shared" ca="1" si="50"/>
        <v>0</v>
      </c>
      <c r="AC125">
        <f t="shared" ca="1" si="50"/>
        <v>0</v>
      </c>
      <c r="AD125">
        <f t="shared" ca="1" si="50"/>
        <v>0</v>
      </c>
      <c r="BO125">
        <f t="shared" si="33"/>
        <v>-1</v>
      </c>
      <c r="BP125" t="e">
        <f t="shared" ca="1" si="34"/>
        <v>#N/A</v>
      </c>
      <c r="BQ125" t="e">
        <f t="shared" ca="1" si="35"/>
        <v>#N/A</v>
      </c>
      <c r="BR125" t="e">
        <f t="shared" ca="1" si="36"/>
        <v>#N/A</v>
      </c>
      <c r="BS125" t="e">
        <f t="shared" ca="1" si="37"/>
        <v>#N/A</v>
      </c>
      <c r="BT125" t="e">
        <f t="shared" ca="1" si="38"/>
        <v>#N/A</v>
      </c>
      <c r="BU125" t="e">
        <f t="shared" ca="1" si="39"/>
        <v>#N/A</v>
      </c>
      <c r="BV125" t="e">
        <f t="shared" ca="1" si="40"/>
        <v>#N/A</v>
      </c>
      <c r="BW125">
        <f>IFERROR(#REF!,0)</f>
        <v>0</v>
      </c>
      <c r="BX125">
        <f>IFERROR(#REF!,0)</f>
        <v>0</v>
      </c>
      <c r="BY125">
        <f>IFERROR(#REF!,0)</f>
        <v>0</v>
      </c>
      <c r="BZ125" t="e">
        <f ca="1">IFERROR(BZ124+MATCH(BZ$92,OFFSET(#REF!,BZ124,0,300-BZ124,1),0),NA())</f>
        <v>#N/A</v>
      </c>
      <c r="CA125">
        <f>IFERROR(#REF!,0)</f>
        <v>0</v>
      </c>
      <c r="CB125">
        <f>IFERROR(#REF!,0)</f>
        <v>0</v>
      </c>
      <c r="CC125">
        <f>IFERROR(#REF!,0)</f>
        <v>0</v>
      </c>
      <c r="CD125">
        <f>IFERROR(#REF!,0)</f>
        <v>0</v>
      </c>
      <c r="CE125">
        <f>IFERROR(#REF!,0)</f>
        <v>0</v>
      </c>
      <c r="CF125">
        <f>IFERROR(#REF!,0)</f>
        <v>0</v>
      </c>
      <c r="CG125">
        <f t="shared" ca="1" si="41"/>
        <v>0</v>
      </c>
    </row>
    <row r="126" spans="1:85" x14ac:dyDescent="0.4">
      <c r="A126" t="str">
        <f t="shared" si="107"/>
        <v/>
      </c>
      <c r="B126">
        <v>33</v>
      </c>
      <c r="C126" t="str" cm="1">
        <f t="array" ref="C126">INDEX(auto_Series_Code,B126)</f>
        <v>SUBINDI_015</v>
      </c>
      <c r="D126" cm="1">
        <f t="array" ref="D126">INDEX(auto_tblSeries,$B126,D$93)</f>
        <v>3</v>
      </c>
      <c r="E126" cm="1">
        <f t="array" ref="E126">INDEX(auto_tblSeries,$B126,E$93)</f>
        <v>0</v>
      </c>
      <c r="F126" cm="1">
        <f t="array" ref="F126">INDEX(auto_tblSeries,$B126,F$93)</f>
        <v>1</v>
      </c>
      <c r="G126" cm="1">
        <f t="array" ref="G126">INDEX(auto_tblSeries,$B126,G$93)</f>
        <v>0</v>
      </c>
      <c r="H126" cm="1">
        <f t="array" ref="H126">INDEX(auto_tblSeries,$B126,H$93)</f>
        <v>2</v>
      </c>
      <c r="I126">
        <f t="shared" ref="I126" si="112">MATCH(CONCATENATE($C$3,"_",$C126),auto_DataFlat_UID,0)</f>
        <v>1921</v>
      </c>
      <c r="K126" cm="1">
        <f t="array" ref="K126">INDEX(auto_DataFlat_Score,$I126,K$92)</f>
        <v>85.1</v>
      </c>
      <c r="L126" t="str" cm="1">
        <f t="array" ref="L126">INDEX(auto_DataFlat_Rank,$I126,L$92)</f>
        <v>7</v>
      </c>
      <c r="M126" cm="1">
        <f t="array" ref="M126">INDEX(auto_DataFlat_DataValue,$I126,M$92)</f>
        <v>14.86</v>
      </c>
      <c r="N126" cm="1">
        <f t="array" ref="N126">INDEX(auto_DataFlat_Classification,$I126,M$92)</f>
        <v>5</v>
      </c>
      <c r="O126" t="str" cm="1">
        <f t="array" ref="O126">INDEX(auto_DataFlat_IsEstimate,$I126,O$92)</f>
        <v xml:space="preserve"> </v>
      </c>
      <c r="P126" cm="1">
        <f t="array" ref="P126">IF(INDEX(auto_DataFlat_DataYear,$I126,P$92)=0,"n/a",INDEX(auto_DataFlat_DataYear,$I126,P$92))</f>
        <v>2016</v>
      </c>
      <c r="R126">
        <f t="shared" ref="R126" si="113">MATCH(CONCATENATE(R$93,"_",$C126),auto_DataFlat_UID,0)</f>
        <v>1971</v>
      </c>
      <c r="S126" cm="1">
        <f t="array" ref="S126">INDEX(auto_DataFlat_Score,$R126,S$92)</f>
        <v>68.7</v>
      </c>
      <c r="U126">
        <f t="shared" si="44"/>
        <v>16.399999999999991</v>
      </c>
      <c r="V126">
        <f t="shared" si="45"/>
        <v>1</v>
      </c>
      <c r="W126">
        <f t="shared" si="46"/>
        <v>-1</v>
      </c>
      <c r="X126" t="e">
        <f t="shared" ca="1" si="47"/>
        <v>#N/A</v>
      </c>
      <c r="Y126" t="e">
        <f t="shared" ca="1" si="48"/>
        <v>#N/A</v>
      </c>
      <c r="Z126" t="e">
        <f t="shared" ca="1" si="49"/>
        <v>#N/A</v>
      </c>
      <c r="AB126">
        <f t="shared" ca="1" si="50"/>
        <v>0</v>
      </c>
      <c r="AC126">
        <f t="shared" ca="1" si="50"/>
        <v>0</v>
      </c>
      <c r="AD126">
        <f t="shared" ca="1" si="50"/>
        <v>0</v>
      </c>
      <c r="BO126">
        <f t="shared" ref="BO126:BO162" si="114">IF(OR($D126&lt;&gt;$BP$89,$E126=1),-1,N126)</f>
        <v>5</v>
      </c>
      <c r="BP126" t="e">
        <f t="shared" ref="BP126:BP162" ca="1" si="115">IFERROR(BP125+MATCH(BP$92,OFFSET($BO$94,BP125,0,300-BP125,1),0),NA())</f>
        <v>#N/A</v>
      </c>
      <c r="BQ126" t="e">
        <f t="shared" ref="BQ126:BQ162" ca="1" si="116">IFERROR(BQ125+MATCH(BQ$92,OFFSET($BO$94,BQ125,0,300-BQ125,1),0),NA())</f>
        <v>#N/A</v>
      </c>
      <c r="BR126" t="e">
        <f t="shared" ref="BR126:BR162" ca="1" si="117">IFERROR(BR125+MATCH(BR$92,OFFSET($BO$94,BR125,0,300-BR125,1),0),NA())</f>
        <v>#N/A</v>
      </c>
      <c r="BS126" t="e">
        <f t="shared" ref="BS126:BS162" ca="1" si="118">IFERROR(BS125+MATCH(BS$92,OFFSET($BO$94,BS125,0,300-BS125,1),0),NA())</f>
        <v>#N/A</v>
      </c>
      <c r="BT126" t="e">
        <f t="shared" ref="BT126:BT162" ca="1" si="119">IFERROR(BT125+MATCH(BT$92,OFFSET($BO$94,BT125,0,300-BT125,1),0),NA())</f>
        <v>#N/A</v>
      </c>
      <c r="BU126" t="e">
        <f t="shared" ref="BU126:BU162" ca="1" si="120">IFERROR(BU125+MATCH(BU$92,OFFSET($BO$94,BU125,0,300-BU125,1),0),NA())</f>
        <v>#N/A</v>
      </c>
      <c r="BV126" t="e">
        <f t="shared" ref="BV126:BV162" ca="1" si="121">IFERROR(BV125+MATCH(BV$92,OFFSET($BO$94,BV125,0,300-BV125,1),0),NA())</f>
        <v>#N/A</v>
      </c>
      <c r="BW126">
        <f>IFERROR(#REF!,0)</f>
        <v>0</v>
      </c>
      <c r="BX126">
        <f>IFERROR(#REF!,0)</f>
        <v>0</v>
      </c>
      <c r="BY126">
        <f>IFERROR(#REF!,0)</f>
        <v>0</v>
      </c>
      <c r="BZ126" t="e">
        <f ca="1">IFERROR(BZ125+MATCH(BZ$92,OFFSET(#REF!,BZ125,0,300-BZ125,1),0),NA())</f>
        <v>#N/A</v>
      </c>
      <c r="CA126">
        <f>IFERROR(#REF!,0)</f>
        <v>0</v>
      </c>
      <c r="CB126">
        <f>IFERROR(#REF!,0)</f>
        <v>0</v>
      </c>
      <c r="CC126">
        <f>IFERROR(#REF!,0)</f>
        <v>0</v>
      </c>
      <c r="CD126">
        <f>IFERROR(#REF!,0)</f>
        <v>0</v>
      </c>
      <c r="CE126">
        <f>IFERROR(#REF!,0)</f>
        <v>0</v>
      </c>
      <c r="CF126">
        <f>IFERROR(#REF!,0)</f>
        <v>0</v>
      </c>
      <c r="CG126">
        <f t="shared" ca="1" si="41"/>
        <v>0</v>
      </c>
    </row>
    <row r="127" spans="1:85" x14ac:dyDescent="0.4">
      <c r="A127" t="str">
        <f t="shared" si="107"/>
        <v/>
      </c>
      <c r="B127">
        <v>34</v>
      </c>
      <c r="C127" t="str" cm="1">
        <f t="array" ref="C127">INDEX(auto_Series_Code,B127)</f>
        <v>SUBINDI_016</v>
      </c>
      <c r="D127" cm="1">
        <f t="array" ref="D127">INDEX(auto_tblSeries,$B127,D$93)</f>
        <v>3</v>
      </c>
      <c r="E127" cm="1">
        <f t="array" ref="E127">INDEX(auto_tblSeries,$B127,E$93)</f>
        <v>0</v>
      </c>
      <c r="F127" cm="1">
        <f t="array" ref="F127">INDEX(auto_tblSeries,$B127,F$93)</f>
        <v>1</v>
      </c>
      <c r="G127" cm="1">
        <f t="array" ref="G127">INDEX(auto_tblSeries,$B127,G$93)</f>
        <v>0</v>
      </c>
      <c r="H127" cm="1">
        <f t="array" ref="H127">INDEX(auto_tblSeries,$B127,H$93)</f>
        <v>0</v>
      </c>
      <c r="I127">
        <f t="shared" ref="I127" si="122">MATCH(CONCATENATE($C$3,"_",$C127),auto_DataFlat_UID,0)</f>
        <v>1981</v>
      </c>
      <c r="K127" cm="1">
        <f t="array" ref="K127">INDEX(auto_DataFlat_Score,$I127,K$92)</f>
        <v>0</v>
      </c>
      <c r="L127" t="str" cm="1">
        <f t="array" ref="L127">INDEX(auto_DataFlat_Rank,$I127,L$92)</f>
        <v>=27</v>
      </c>
      <c r="M127" cm="1">
        <f t="array" ref="M127">INDEX(auto_DataFlat_DataValue,$I127,M$92)</f>
        <v>0</v>
      </c>
      <c r="N127" cm="1">
        <f t="array" ref="N127">INDEX(auto_DataFlat_Classification,$I127,M$92)</f>
        <v>1</v>
      </c>
      <c r="O127" t="str" cm="1">
        <f t="array" ref="O127">INDEX(auto_DataFlat_IsEstimate,$I127,O$92)</f>
        <v xml:space="preserve"> </v>
      </c>
      <c r="P127" cm="1">
        <f t="array" ref="P127">IF(INDEX(auto_DataFlat_DataYear,$I127,P$92)=0,"n/a",INDEX(auto_DataFlat_DataYear,$I127,P$92))</f>
        <v>2024</v>
      </c>
      <c r="R127">
        <f t="shared" ref="R127" si="123">MATCH(CONCATENATE(R$93,"_",$C127),auto_DataFlat_UID,0)</f>
        <v>2031</v>
      </c>
      <c r="S127" cm="1">
        <f t="array" ref="S127">INDEX(auto_DataFlat_Score,$R127,S$92)</f>
        <v>52</v>
      </c>
      <c r="U127">
        <f t="shared" si="44"/>
        <v>-52</v>
      </c>
      <c r="V127">
        <f t="shared" si="45"/>
        <v>3</v>
      </c>
      <c r="W127">
        <f t="shared" si="46"/>
        <v>-1</v>
      </c>
      <c r="X127" t="e">
        <f t="shared" ca="1" si="47"/>
        <v>#N/A</v>
      </c>
      <c r="Y127" t="e">
        <f t="shared" ca="1" si="48"/>
        <v>#N/A</v>
      </c>
      <c r="Z127" t="e">
        <f t="shared" ca="1" si="49"/>
        <v>#N/A</v>
      </c>
      <c r="AB127">
        <f t="shared" ca="1" si="50"/>
        <v>0</v>
      </c>
      <c r="AC127">
        <f t="shared" ca="1" si="50"/>
        <v>0</v>
      </c>
      <c r="AD127">
        <f t="shared" ca="1" si="50"/>
        <v>0</v>
      </c>
      <c r="BO127">
        <f t="shared" si="114"/>
        <v>1</v>
      </c>
      <c r="BP127" t="e">
        <f t="shared" ca="1" si="115"/>
        <v>#N/A</v>
      </c>
      <c r="BQ127" t="e">
        <f t="shared" ca="1" si="116"/>
        <v>#N/A</v>
      </c>
      <c r="BR127" t="e">
        <f t="shared" ca="1" si="117"/>
        <v>#N/A</v>
      </c>
      <c r="BS127" t="e">
        <f t="shared" ca="1" si="118"/>
        <v>#N/A</v>
      </c>
      <c r="BT127" t="e">
        <f t="shared" ca="1" si="119"/>
        <v>#N/A</v>
      </c>
      <c r="BU127" t="e">
        <f t="shared" ca="1" si="120"/>
        <v>#N/A</v>
      </c>
      <c r="BV127" t="e">
        <f t="shared" ca="1" si="121"/>
        <v>#N/A</v>
      </c>
      <c r="BW127">
        <f>IFERROR(#REF!,0)</f>
        <v>0</v>
      </c>
      <c r="BX127">
        <f>IFERROR(#REF!,0)</f>
        <v>0</v>
      </c>
      <c r="BY127">
        <f>IFERROR(#REF!,0)</f>
        <v>0</v>
      </c>
      <c r="BZ127" t="e">
        <f ca="1">IFERROR(BZ126+MATCH(BZ$92,OFFSET(#REF!,BZ126,0,300-BZ126,1),0),NA())</f>
        <v>#N/A</v>
      </c>
      <c r="CA127">
        <f>IFERROR(#REF!,0)</f>
        <v>0</v>
      </c>
      <c r="CB127">
        <f>IFERROR(#REF!,0)</f>
        <v>0</v>
      </c>
      <c r="CC127">
        <f>IFERROR(#REF!,0)</f>
        <v>0</v>
      </c>
      <c r="CD127">
        <f>IFERROR(#REF!,0)</f>
        <v>0</v>
      </c>
      <c r="CE127">
        <f>IFERROR(#REF!,0)</f>
        <v>0</v>
      </c>
      <c r="CF127">
        <f>IFERROR(#REF!,0)</f>
        <v>0</v>
      </c>
      <c r="CG127">
        <f t="shared" ca="1" si="41"/>
        <v>0</v>
      </c>
    </row>
    <row r="128" spans="1:85" x14ac:dyDescent="0.4">
      <c r="A128" t="str">
        <f t="shared" si="107"/>
        <v/>
      </c>
      <c r="B128">
        <v>35</v>
      </c>
      <c r="C128" t="str" cm="1">
        <f t="array" ref="C128">INDEX(auto_Series_Code,B128)</f>
        <v>INDI_015</v>
      </c>
      <c r="D128" cm="1">
        <f t="array" ref="D128">INDEX(auto_tblSeries,$B128,D$93)</f>
        <v>2</v>
      </c>
      <c r="E128" cm="1">
        <f t="array" ref="E128">INDEX(auto_tblSeries,$B128,E$93)</f>
        <v>0</v>
      </c>
      <c r="F128" cm="1">
        <f t="array" ref="F128">INDEX(auto_tblSeries,$B128,F$93)</f>
        <v>0</v>
      </c>
      <c r="G128" cm="1">
        <f t="array" ref="G128">INDEX(auto_tblSeries,$B128,G$93)</f>
        <v>0</v>
      </c>
      <c r="H128" cm="1">
        <f t="array" ref="H128">INDEX(auto_tblSeries,$B128,H$93)</f>
        <v>1</v>
      </c>
      <c r="I128">
        <f t="shared" ref="I128" si="124">MATCH(CONCATENATE($C$3,"_",$C128),auto_DataFlat_UID,0)</f>
        <v>2041</v>
      </c>
      <c r="K128" cm="1">
        <f t="array" ref="K128">INDEX(auto_DataFlat_Score,$I128,K$92)</f>
        <v>61.3</v>
      </c>
      <c r="L128" t="str" cm="1">
        <f t="array" ref="L128">INDEX(auto_DataFlat_Rank,$I128,L$92)</f>
        <v>22</v>
      </c>
      <c r="M128" cm="1">
        <f t="array" ref="M128">INDEX(auto_DataFlat_DataValue,$I128,M$92)</f>
        <v>0</v>
      </c>
      <c r="N128" cm="1">
        <f t="array" ref="N128">INDEX(auto_DataFlat_Classification,$I128,M$92)</f>
        <v>4</v>
      </c>
      <c r="O128" cm="1">
        <f t="array" ref="O128">INDEX(auto_DataFlat_IsEstimate,$I128,O$92)</f>
        <v>0</v>
      </c>
      <c r="P128" t="str" cm="1">
        <f t="array" ref="P128">IF(INDEX(auto_DataFlat_DataYear,$I128,P$92)=0,"n/a",INDEX(auto_DataFlat_DataYear,$I128,P$92))</f>
        <v>n/a</v>
      </c>
      <c r="R128">
        <f t="shared" ref="R128" si="125">MATCH(CONCATENATE(R$93,"_",$C128),auto_DataFlat_UID,0)</f>
        <v>2091</v>
      </c>
      <c r="S128" cm="1">
        <f t="array" ref="S128">INDEX(auto_DataFlat_Score,$R128,S$92)</f>
        <v>63</v>
      </c>
      <c r="U128">
        <f t="shared" si="44"/>
        <v>-1.7000000000000028</v>
      </c>
      <c r="V128">
        <f t="shared" si="45"/>
        <v>3</v>
      </c>
      <c r="W128">
        <f t="shared" si="46"/>
        <v>3</v>
      </c>
      <c r="X128" t="e">
        <f t="shared" ca="1" si="47"/>
        <v>#N/A</v>
      </c>
      <c r="Y128" t="e">
        <f t="shared" ca="1" si="48"/>
        <v>#N/A</v>
      </c>
      <c r="Z128" t="e">
        <f t="shared" ca="1" si="49"/>
        <v>#N/A</v>
      </c>
      <c r="AB128">
        <f t="shared" ca="1" si="50"/>
        <v>0</v>
      </c>
      <c r="AC128">
        <f t="shared" ca="1" si="50"/>
        <v>0</v>
      </c>
      <c r="AD128">
        <f t="shared" ca="1" si="50"/>
        <v>0</v>
      </c>
      <c r="BO128">
        <f t="shared" si="114"/>
        <v>-1</v>
      </c>
      <c r="BP128" t="e">
        <f t="shared" ca="1" si="115"/>
        <v>#N/A</v>
      </c>
      <c r="BQ128" t="e">
        <f t="shared" ca="1" si="116"/>
        <v>#N/A</v>
      </c>
      <c r="BR128" t="e">
        <f t="shared" ca="1" si="117"/>
        <v>#N/A</v>
      </c>
      <c r="BS128" t="e">
        <f t="shared" ca="1" si="118"/>
        <v>#N/A</v>
      </c>
      <c r="BT128" t="e">
        <f t="shared" ca="1" si="119"/>
        <v>#N/A</v>
      </c>
      <c r="BU128" t="e">
        <f t="shared" ca="1" si="120"/>
        <v>#N/A</v>
      </c>
      <c r="BV128" t="e">
        <f t="shared" ca="1" si="121"/>
        <v>#N/A</v>
      </c>
      <c r="BW128">
        <f>IFERROR(#REF!,0)</f>
        <v>0</v>
      </c>
      <c r="BX128">
        <f>IFERROR(#REF!,0)</f>
        <v>0</v>
      </c>
      <c r="BY128">
        <f>IFERROR(#REF!,0)</f>
        <v>0</v>
      </c>
      <c r="BZ128" t="e">
        <f ca="1">IFERROR(BZ127+MATCH(BZ$92,OFFSET(#REF!,BZ127,0,300-BZ127,1),0),NA())</f>
        <v>#N/A</v>
      </c>
      <c r="CA128">
        <f>IFERROR(#REF!,0)</f>
        <v>0</v>
      </c>
      <c r="CB128">
        <f>IFERROR(#REF!,0)</f>
        <v>0</v>
      </c>
      <c r="CC128">
        <f>IFERROR(#REF!,0)</f>
        <v>0</v>
      </c>
      <c r="CD128">
        <f>IFERROR(#REF!,0)</f>
        <v>0</v>
      </c>
      <c r="CE128">
        <f>IFERROR(#REF!,0)</f>
        <v>0</v>
      </c>
      <c r="CF128">
        <f>IFERROR(#REF!,0)</f>
        <v>0</v>
      </c>
      <c r="CG128">
        <f t="shared" ca="1" si="41"/>
        <v>0</v>
      </c>
    </row>
    <row r="129" spans="1:85" x14ac:dyDescent="0.4">
      <c r="A129" t="str">
        <f t="shared" si="107"/>
        <v/>
      </c>
      <c r="B129">
        <v>36</v>
      </c>
      <c r="C129" t="str" cm="1">
        <f t="array" ref="C129">INDEX(auto_Series_Code,B129)</f>
        <v>SUBINDI_017</v>
      </c>
      <c r="D129" cm="1">
        <f t="array" ref="D129">INDEX(auto_tblSeries,$B129,D$93)</f>
        <v>3</v>
      </c>
      <c r="E129" cm="1">
        <f t="array" ref="E129">INDEX(auto_tblSeries,$B129,E$93)</f>
        <v>0</v>
      </c>
      <c r="F129" cm="1">
        <f t="array" ref="F129">INDEX(auto_tblSeries,$B129,F$93)</f>
        <v>1</v>
      </c>
      <c r="G129" cm="1">
        <f t="array" ref="G129">INDEX(auto_tblSeries,$B129,G$93)</f>
        <v>0</v>
      </c>
      <c r="H129" cm="1">
        <f t="array" ref="H129">INDEX(auto_tblSeries,$B129,H$93)</f>
        <v>1</v>
      </c>
      <c r="I129">
        <f t="shared" ref="I129" si="126">MATCH(CONCATENATE($C$3,"_",$C129),auto_DataFlat_UID,0)</f>
        <v>2101</v>
      </c>
      <c r="K129" cm="1">
        <f t="array" ref="K129">INDEX(auto_DataFlat_Score,$I129,K$92)</f>
        <v>72.599999999999994</v>
      </c>
      <c r="L129" t="str" cm="1">
        <f t="array" ref="L129">INDEX(auto_DataFlat_Rank,$I129,L$92)</f>
        <v>9</v>
      </c>
      <c r="M129" cm="1">
        <f t="array" ref="M129">INDEX(auto_DataFlat_DataValue,$I129,M$92)</f>
        <v>27.4</v>
      </c>
      <c r="N129" cm="1">
        <f t="array" ref="N129">INDEX(auto_DataFlat_Classification,$I129,M$92)</f>
        <v>4</v>
      </c>
      <c r="O129" t="str" cm="1">
        <f t="array" ref="O129">INDEX(auto_DataFlat_IsEstimate,$I129,O$92)</f>
        <v xml:space="preserve"> </v>
      </c>
      <c r="P129" cm="1">
        <f t="array" ref="P129">IF(INDEX(auto_DataFlat_DataYear,$I129,P$92)=0,"n/a",INDEX(auto_DataFlat_DataYear,$I129,P$92))</f>
        <v>2019</v>
      </c>
      <c r="R129">
        <f t="shared" ref="R129" si="127">MATCH(CONCATENATE(R$93,"_",$C129),auto_DataFlat_UID,0)</f>
        <v>2151</v>
      </c>
      <c r="S129" cm="1">
        <f t="array" ref="S129">INDEX(auto_DataFlat_Score,$R129,S$92)</f>
        <v>66.900000000000006</v>
      </c>
      <c r="U129">
        <f t="shared" si="44"/>
        <v>5.6999999999999886</v>
      </c>
      <c r="V129">
        <f t="shared" si="45"/>
        <v>1</v>
      </c>
      <c r="W129">
        <f t="shared" si="46"/>
        <v>-1</v>
      </c>
      <c r="X129" t="e">
        <f t="shared" ca="1" si="47"/>
        <v>#N/A</v>
      </c>
      <c r="Y129" t="e">
        <f t="shared" ca="1" si="48"/>
        <v>#N/A</v>
      </c>
      <c r="Z129" t="e">
        <f t="shared" ca="1" si="49"/>
        <v>#N/A</v>
      </c>
      <c r="AB129">
        <f t="shared" ca="1" si="50"/>
        <v>0</v>
      </c>
      <c r="AC129">
        <f t="shared" ca="1" si="50"/>
        <v>0</v>
      </c>
      <c r="AD129">
        <f t="shared" ca="1" si="50"/>
        <v>0</v>
      </c>
      <c r="BO129">
        <f t="shared" si="114"/>
        <v>4</v>
      </c>
      <c r="BP129" t="e">
        <f t="shared" ca="1" si="115"/>
        <v>#N/A</v>
      </c>
      <c r="BQ129" t="e">
        <f t="shared" ca="1" si="116"/>
        <v>#N/A</v>
      </c>
      <c r="BR129" t="e">
        <f t="shared" ca="1" si="117"/>
        <v>#N/A</v>
      </c>
      <c r="BS129" t="e">
        <f t="shared" ca="1" si="118"/>
        <v>#N/A</v>
      </c>
      <c r="BT129" t="e">
        <f t="shared" ca="1" si="119"/>
        <v>#N/A</v>
      </c>
      <c r="BU129" t="e">
        <f t="shared" ca="1" si="120"/>
        <v>#N/A</v>
      </c>
      <c r="BV129" t="e">
        <f t="shared" ca="1" si="121"/>
        <v>#N/A</v>
      </c>
      <c r="BW129">
        <f>IFERROR(#REF!,0)</f>
        <v>0</v>
      </c>
      <c r="BX129">
        <f>IFERROR(#REF!,0)</f>
        <v>0</v>
      </c>
      <c r="BY129">
        <f>IFERROR(#REF!,0)</f>
        <v>0</v>
      </c>
      <c r="BZ129" t="e">
        <f ca="1">IFERROR(BZ128+MATCH(BZ$92,OFFSET(#REF!,BZ128,0,300-BZ128,1),0),NA())</f>
        <v>#N/A</v>
      </c>
      <c r="CA129">
        <f>IFERROR(#REF!,0)</f>
        <v>0</v>
      </c>
      <c r="CB129">
        <f>IFERROR(#REF!,0)</f>
        <v>0</v>
      </c>
      <c r="CC129">
        <f>IFERROR(#REF!,0)</f>
        <v>0</v>
      </c>
      <c r="CD129">
        <f>IFERROR(#REF!,0)</f>
        <v>0</v>
      </c>
      <c r="CE129">
        <f>IFERROR(#REF!,0)</f>
        <v>0</v>
      </c>
      <c r="CF129">
        <f>IFERROR(#REF!,0)</f>
        <v>0</v>
      </c>
      <c r="CG129">
        <f t="shared" ca="1" si="41"/>
        <v>0</v>
      </c>
    </row>
    <row r="130" spans="1:85" x14ac:dyDescent="0.4">
      <c r="A130" t="str">
        <f t="shared" si="107"/>
        <v/>
      </c>
      <c r="B130">
        <v>37</v>
      </c>
      <c r="C130" t="str" cm="1">
        <f t="array" ref="C130">INDEX(auto_Series_Code,B130)</f>
        <v>SUBINDI_018</v>
      </c>
      <c r="D130" cm="1">
        <f t="array" ref="D130">INDEX(auto_tblSeries,$B130,D$93)</f>
        <v>3</v>
      </c>
      <c r="E130" cm="1">
        <f t="array" ref="E130">INDEX(auto_tblSeries,$B130,E$93)</f>
        <v>0</v>
      </c>
      <c r="F130" cm="1">
        <f t="array" ref="F130">INDEX(auto_tblSeries,$B130,F$93)</f>
        <v>1</v>
      </c>
      <c r="G130" cm="1">
        <f t="array" ref="G130">INDEX(auto_tblSeries,$B130,G$93)</f>
        <v>0</v>
      </c>
      <c r="H130" cm="1">
        <f t="array" ref="H130">INDEX(auto_tblSeries,$B130,H$93)</f>
        <v>0</v>
      </c>
      <c r="I130">
        <f t="shared" ref="I130" si="128">MATCH(CONCATENATE($C$3,"_",$C130),auto_DataFlat_UID,0)</f>
        <v>2161</v>
      </c>
      <c r="K130" cm="1">
        <f t="array" ref="K130">INDEX(auto_DataFlat_Score,$I130,K$92)</f>
        <v>50</v>
      </c>
      <c r="L130" t="str" cm="1">
        <f t="array" ref="L130">INDEX(auto_DataFlat_Rank,$I130,L$92)</f>
        <v>=18</v>
      </c>
      <c r="M130" cm="1">
        <f t="array" ref="M130">INDEX(auto_DataFlat_DataValue,$I130,M$92)</f>
        <v>1</v>
      </c>
      <c r="N130" cm="1">
        <f t="array" ref="N130">INDEX(auto_DataFlat_Classification,$I130,M$92)</f>
        <v>3</v>
      </c>
      <c r="O130" t="str" cm="1">
        <f t="array" ref="O130">INDEX(auto_DataFlat_IsEstimate,$I130,O$92)</f>
        <v xml:space="preserve"> </v>
      </c>
      <c r="P130" cm="1">
        <f t="array" ref="P130">IF(INDEX(auto_DataFlat_DataYear,$I130,P$92)=0,"n/a",INDEX(auto_DataFlat_DataYear,$I130,P$92))</f>
        <v>2024</v>
      </c>
      <c r="R130">
        <f t="shared" ref="R130" si="129">MATCH(CONCATENATE(R$93,"_",$C130),auto_DataFlat_UID,0)</f>
        <v>2211</v>
      </c>
      <c r="S130" cm="1">
        <f t="array" ref="S130">INDEX(auto_DataFlat_Score,$R130,S$92)</f>
        <v>59</v>
      </c>
      <c r="U130">
        <f t="shared" si="44"/>
        <v>-9</v>
      </c>
      <c r="V130">
        <f t="shared" si="45"/>
        <v>3</v>
      </c>
      <c r="W130">
        <f t="shared" si="46"/>
        <v>-1</v>
      </c>
      <c r="X130" t="e">
        <f t="shared" ca="1" si="47"/>
        <v>#N/A</v>
      </c>
      <c r="Y130" t="e">
        <f t="shared" ca="1" si="48"/>
        <v>#N/A</v>
      </c>
      <c r="Z130" t="e">
        <f t="shared" ca="1" si="49"/>
        <v>#N/A</v>
      </c>
      <c r="AB130">
        <f t="shared" ca="1" si="50"/>
        <v>0</v>
      </c>
      <c r="AC130">
        <f t="shared" ca="1" si="50"/>
        <v>0</v>
      </c>
      <c r="AD130">
        <f t="shared" ca="1" si="50"/>
        <v>0</v>
      </c>
      <c r="BO130">
        <f t="shared" si="114"/>
        <v>3</v>
      </c>
      <c r="BP130" t="e">
        <f t="shared" ca="1" si="115"/>
        <v>#N/A</v>
      </c>
      <c r="BQ130" t="e">
        <f t="shared" ca="1" si="116"/>
        <v>#N/A</v>
      </c>
      <c r="BR130" t="e">
        <f t="shared" ca="1" si="117"/>
        <v>#N/A</v>
      </c>
      <c r="BS130" t="e">
        <f t="shared" ca="1" si="118"/>
        <v>#N/A</v>
      </c>
      <c r="BT130" t="e">
        <f t="shared" ca="1" si="119"/>
        <v>#N/A</v>
      </c>
      <c r="BU130" t="e">
        <f t="shared" ca="1" si="120"/>
        <v>#N/A</v>
      </c>
      <c r="BV130" t="e">
        <f t="shared" ca="1" si="121"/>
        <v>#N/A</v>
      </c>
      <c r="BW130">
        <f>IFERROR(#REF!,0)</f>
        <v>0</v>
      </c>
      <c r="BX130">
        <f>IFERROR(#REF!,0)</f>
        <v>0</v>
      </c>
      <c r="BY130">
        <f>IFERROR(#REF!,0)</f>
        <v>0</v>
      </c>
      <c r="BZ130" t="e">
        <f ca="1">IFERROR(BZ129+MATCH(BZ$92,OFFSET(#REF!,BZ129,0,300-BZ129,1),0),NA())</f>
        <v>#N/A</v>
      </c>
      <c r="CA130">
        <f>IFERROR(#REF!,0)</f>
        <v>0</v>
      </c>
      <c r="CB130">
        <f>IFERROR(#REF!,0)</f>
        <v>0</v>
      </c>
      <c r="CC130">
        <f>IFERROR(#REF!,0)</f>
        <v>0</v>
      </c>
      <c r="CD130">
        <f>IFERROR(#REF!,0)</f>
        <v>0</v>
      </c>
      <c r="CE130">
        <f>IFERROR(#REF!,0)</f>
        <v>0</v>
      </c>
      <c r="CF130">
        <f>IFERROR(#REF!,0)</f>
        <v>0</v>
      </c>
      <c r="CG130">
        <f t="shared" ca="1" si="41"/>
        <v>0</v>
      </c>
    </row>
    <row r="131" spans="1:85" x14ac:dyDescent="0.4">
      <c r="A131" t="str">
        <f t="shared" si="107"/>
        <v/>
      </c>
      <c r="B131">
        <v>38</v>
      </c>
      <c r="C131" t="str" cm="1">
        <f t="array" ref="C131">INDEX(auto_Series_Code,B131)</f>
        <v>INDI_016</v>
      </c>
      <c r="D131" cm="1">
        <f t="array" ref="D131">INDEX(auto_tblSeries,$B131,D$93)</f>
        <v>2</v>
      </c>
      <c r="E131" cm="1">
        <f t="array" ref="E131">INDEX(auto_tblSeries,$B131,E$93)</f>
        <v>0</v>
      </c>
      <c r="F131" cm="1">
        <f t="array" ref="F131">INDEX(auto_tblSeries,$B131,F$93)</f>
        <v>0</v>
      </c>
      <c r="G131" cm="1">
        <f t="array" ref="G131">INDEX(auto_tblSeries,$B131,G$93)</f>
        <v>0</v>
      </c>
      <c r="H131" cm="1">
        <f t="array" ref="H131">INDEX(auto_tblSeries,$B131,H$93)</f>
        <v>1</v>
      </c>
      <c r="I131">
        <f t="shared" ref="I131" si="130">MATCH(CONCATENATE($C$3,"_",$C131),auto_DataFlat_UID,0)</f>
        <v>2221</v>
      </c>
      <c r="K131" cm="1">
        <f t="array" ref="K131">INDEX(auto_DataFlat_Score,$I131,K$92)</f>
        <v>46.7</v>
      </c>
      <c r="L131" t="str" cm="1">
        <f t="array" ref="L131">INDEX(auto_DataFlat_Rank,$I131,L$92)</f>
        <v>41</v>
      </c>
      <c r="M131" cm="1">
        <f t="array" ref="M131">INDEX(auto_DataFlat_DataValue,$I131,M$92)</f>
        <v>0</v>
      </c>
      <c r="N131" cm="1">
        <f t="array" ref="N131">INDEX(auto_DataFlat_Classification,$I131,M$92)</f>
        <v>3</v>
      </c>
      <c r="O131" cm="1">
        <f t="array" ref="O131">INDEX(auto_DataFlat_IsEstimate,$I131,O$92)</f>
        <v>0</v>
      </c>
      <c r="P131" t="str" cm="1">
        <f t="array" ref="P131">IF(INDEX(auto_DataFlat_DataYear,$I131,P$92)=0,"n/a",INDEX(auto_DataFlat_DataYear,$I131,P$92))</f>
        <v>n/a</v>
      </c>
      <c r="R131">
        <f t="shared" ref="R131" si="131">MATCH(CONCATENATE(R$93,"_",$C131),auto_DataFlat_UID,0)</f>
        <v>2271</v>
      </c>
      <c r="S131" cm="1">
        <f t="array" ref="S131">INDEX(auto_DataFlat_Score,$R131,S$92)</f>
        <v>78.900000000000006</v>
      </c>
      <c r="U131">
        <f t="shared" si="44"/>
        <v>-32.200000000000003</v>
      </c>
      <c r="V131">
        <f t="shared" si="45"/>
        <v>3</v>
      </c>
      <c r="W131">
        <f t="shared" si="46"/>
        <v>3</v>
      </c>
      <c r="X131" t="e">
        <f t="shared" ca="1" si="47"/>
        <v>#N/A</v>
      </c>
      <c r="Y131" t="e">
        <f t="shared" ca="1" si="48"/>
        <v>#N/A</v>
      </c>
      <c r="Z131" t="e">
        <f t="shared" ca="1" si="49"/>
        <v>#N/A</v>
      </c>
      <c r="AB131">
        <f t="shared" ca="1" si="50"/>
        <v>0</v>
      </c>
      <c r="AC131">
        <f t="shared" ca="1" si="50"/>
        <v>0</v>
      </c>
      <c r="AD131">
        <f t="shared" ca="1" si="50"/>
        <v>0</v>
      </c>
      <c r="BO131">
        <f t="shared" si="114"/>
        <v>-1</v>
      </c>
      <c r="BP131" t="e">
        <f t="shared" ca="1" si="115"/>
        <v>#N/A</v>
      </c>
      <c r="BQ131" t="e">
        <f t="shared" ca="1" si="116"/>
        <v>#N/A</v>
      </c>
      <c r="BR131" t="e">
        <f t="shared" ca="1" si="117"/>
        <v>#N/A</v>
      </c>
      <c r="BS131" t="e">
        <f t="shared" ca="1" si="118"/>
        <v>#N/A</v>
      </c>
      <c r="BT131" t="e">
        <f t="shared" ca="1" si="119"/>
        <v>#N/A</v>
      </c>
      <c r="BU131" t="e">
        <f t="shared" ca="1" si="120"/>
        <v>#N/A</v>
      </c>
      <c r="BV131" t="e">
        <f t="shared" ca="1" si="121"/>
        <v>#N/A</v>
      </c>
      <c r="BW131">
        <f>IFERROR(#REF!,0)</f>
        <v>0</v>
      </c>
      <c r="BX131">
        <f>IFERROR(#REF!,0)</f>
        <v>0</v>
      </c>
      <c r="BY131">
        <f>IFERROR(#REF!,0)</f>
        <v>0</v>
      </c>
      <c r="BZ131" t="e">
        <f ca="1">IFERROR(BZ130+MATCH(BZ$92,OFFSET(#REF!,BZ130,0,300-BZ130,1),0),NA())</f>
        <v>#N/A</v>
      </c>
      <c r="CA131">
        <f>IFERROR(#REF!,0)</f>
        <v>0</v>
      </c>
      <c r="CB131">
        <f>IFERROR(#REF!,0)</f>
        <v>0</v>
      </c>
      <c r="CC131">
        <f>IFERROR(#REF!,0)</f>
        <v>0</v>
      </c>
      <c r="CD131">
        <f>IFERROR(#REF!,0)</f>
        <v>0</v>
      </c>
      <c r="CE131">
        <f>IFERROR(#REF!,0)</f>
        <v>0</v>
      </c>
      <c r="CF131">
        <f>IFERROR(#REF!,0)</f>
        <v>0</v>
      </c>
      <c r="CG131">
        <f t="shared" ca="1" si="41"/>
        <v>0</v>
      </c>
    </row>
    <row r="132" spans="1:85" x14ac:dyDescent="0.4">
      <c r="A132" t="str">
        <f t="shared" si="107"/>
        <v/>
      </c>
      <c r="B132">
        <v>39</v>
      </c>
      <c r="C132" t="str" cm="1">
        <f t="array" ref="C132">INDEX(auto_Series_Code,B132)</f>
        <v>SUBINDI_019</v>
      </c>
      <c r="D132" cm="1">
        <f t="array" ref="D132">INDEX(auto_tblSeries,$B132,D$93)</f>
        <v>3</v>
      </c>
      <c r="E132" cm="1">
        <f t="array" ref="E132">INDEX(auto_tblSeries,$B132,E$93)</f>
        <v>0</v>
      </c>
      <c r="F132" cm="1">
        <f t="array" ref="F132">INDEX(auto_tblSeries,$B132,F$93)</f>
        <v>1</v>
      </c>
      <c r="G132" cm="1">
        <f t="array" ref="G132">INDEX(auto_tblSeries,$B132,G$93)</f>
        <v>0</v>
      </c>
      <c r="H132" cm="1">
        <f t="array" ref="H132">INDEX(auto_tblSeries,$B132,H$93)</f>
        <v>1</v>
      </c>
      <c r="I132">
        <f t="shared" ref="I132" si="132">MATCH(CONCATENATE($C$3,"_",$C132),auto_DataFlat_UID,0)</f>
        <v>2281</v>
      </c>
      <c r="K132" cm="1">
        <f t="array" ref="K132">INDEX(auto_DataFlat_Score,$I132,K$92)</f>
        <v>93.3</v>
      </c>
      <c r="L132" t="str" cm="1">
        <f t="array" ref="L132">INDEX(auto_DataFlat_Rank,$I132,L$92)</f>
        <v>32</v>
      </c>
      <c r="M132" cm="1">
        <f t="array" ref="M132">INDEX(auto_DataFlat_DataValue,$I132,M$92)</f>
        <v>6.7</v>
      </c>
      <c r="N132" cm="1">
        <f t="array" ref="N132">INDEX(auto_DataFlat_Classification,$I132,M$92)</f>
        <v>5</v>
      </c>
      <c r="O132" t="str" cm="1">
        <f t="array" ref="O132">INDEX(auto_DataFlat_IsEstimate,$I132,O$92)</f>
        <v xml:space="preserve"> </v>
      </c>
      <c r="P132" cm="1">
        <f t="array" ref="P132">IF(INDEX(auto_DataFlat_DataYear,$I132,P$92)=0,"n/a",INDEX(auto_DataFlat_DataYear,$I132,P$92))</f>
        <v>2021</v>
      </c>
      <c r="R132">
        <f t="shared" ref="R132" si="133">MATCH(CONCATENATE(R$93,"_",$C132),auto_DataFlat_UID,0)</f>
        <v>2331</v>
      </c>
      <c r="S132" cm="1">
        <f t="array" ref="S132">INDEX(auto_DataFlat_Score,$R132,S$92)</f>
        <v>93.8</v>
      </c>
      <c r="U132">
        <f t="shared" si="44"/>
        <v>-0.5</v>
      </c>
      <c r="V132">
        <f t="shared" si="45"/>
        <v>3</v>
      </c>
      <c r="W132">
        <f t="shared" si="46"/>
        <v>-1</v>
      </c>
      <c r="X132" t="e">
        <f t="shared" ca="1" si="47"/>
        <v>#N/A</v>
      </c>
      <c r="Y132" t="e">
        <f t="shared" ca="1" si="48"/>
        <v>#N/A</v>
      </c>
      <c r="Z132" t="e">
        <f t="shared" ca="1" si="49"/>
        <v>#N/A</v>
      </c>
      <c r="AB132">
        <f t="shared" ca="1" si="50"/>
        <v>0</v>
      </c>
      <c r="AC132">
        <f t="shared" ca="1" si="50"/>
        <v>0</v>
      </c>
      <c r="AD132">
        <f t="shared" ca="1" si="50"/>
        <v>0</v>
      </c>
      <c r="BO132">
        <f t="shared" si="114"/>
        <v>5</v>
      </c>
      <c r="BP132" t="e">
        <f t="shared" ca="1" si="115"/>
        <v>#N/A</v>
      </c>
      <c r="BQ132" t="e">
        <f t="shared" ca="1" si="116"/>
        <v>#N/A</v>
      </c>
      <c r="BR132" t="e">
        <f t="shared" ca="1" si="117"/>
        <v>#N/A</v>
      </c>
      <c r="BS132" t="e">
        <f t="shared" ca="1" si="118"/>
        <v>#N/A</v>
      </c>
      <c r="BT132" t="e">
        <f t="shared" ca="1" si="119"/>
        <v>#N/A</v>
      </c>
      <c r="BU132" t="e">
        <f t="shared" ca="1" si="120"/>
        <v>#N/A</v>
      </c>
      <c r="BV132" t="e">
        <f t="shared" ca="1" si="121"/>
        <v>#N/A</v>
      </c>
      <c r="BW132">
        <f>IFERROR(#REF!,0)</f>
        <v>0</v>
      </c>
      <c r="BX132">
        <f>IFERROR(#REF!,0)</f>
        <v>0</v>
      </c>
      <c r="BY132">
        <f>IFERROR(#REF!,0)</f>
        <v>0</v>
      </c>
      <c r="BZ132" t="e">
        <f ca="1">IFERROR(BZ131+MATCH(BZ$92,OFFSET(#REF!,BZ131,0,300-BZ131,1),0),NA())</f>
        <v>#N/A</v>
      </c>
      <c r="CA132">
        <f>IFERROR(#REF!,0)</f>
        <v>0</v>
      </c>
      <c r="CB132">
        <f>IFERROR(#REF!,0)</f>
        <v>0</v>
      </c>
      <c r="CC132">
        <f>IFERROR(#REF!,0)</f>
        <v>0</v>
      </c>
      <c r="CD132">
        <f>IFERROR(#REF!,0)</f>
        <v>0</v>
      </c>
      <c r="CE132">
        <f>IFERROR(#REF!,0)</f>
        <v>0</v>
      </c>
      <c r="CF132">
        <f>IFERROR(#REF!,0)</f>
        <v>0</v>
      </c>
      <c r="CG132">
        <f t="shared" ca="1" si="41"/>
        <v>0</v>
      </c>
    </row>
    <row r="133" spans="1:85" x14ac:dyDescent="0.4">
      <c r="A133" t="str">
        <f t="shared" si="107"/>
        <v/>
      </c>
      <c r="B133">
        <v>40</v>
      </c>
      <c r="C133" t="str" cm="1">
        <f t="array" ref="C133">INDEX(auto_Series_Code,B133)</f>
        <v>SUBINDI_020</v>
      </c>
      <c r="D133" cm="1">
        <f t="array" ref="D133">INDEX(auto_tblSeries,$B133,D$93)</f>
        <v>3</v>
      </c>
      <c r="E133" cm="1">
        <f t="array" ref="E133">INDEX(auto_tblSeries,$B133,E$93)</f>
        <v>0</v>
      </c>
      <c r="F133" cm="1">
        <f t="array" ref="F133">INDEX(auto_tblSeries,$B133,F$93)</f>
        <v>1</v>
      </c>
      <c r="G133" cm="1">
        <f t="array" ref="G133">INDEX(auto_tblSeries,$B133,G$93)</f>
        <v>0</v>
      </c>
      <c r="H133" cm="1">
        <f t="array" ref="H133">INDEX(auto_tblSeries,$B133,H$93)</f>
        <v>0</v>
      </c>
      <c r="I133">
        <f t="shared" ref="I133" si="134">MATCH(CONCATENATE($C$3,"_",$C133),auto_DataFlat_UID,0)</f>
        <v>2341</v>
      </c>
      <c r="K133" cm="1">
        <f t="array" ref="K133">INDEX(auto_DataFlat_Score,$I133,K$92)</f>
        <v>0</v>
      </c>
      <c r="L133" t="str" cm="1">
        <f t="array" ref="L133">INDEX(auto_DataFlat_Rank,$I133,L$92)</f>
        <v>=33</v>
      </c>
      <c r="M133" cm="1">
        <f t="array" ref="M133">INDEX(auto_DataFlat_DataValue,$I133,M$92)</f>
        <v>0</v>
      </c>
      <c r="N133" cm="1">
        <f t="array" ref="N133">INDEX(auto_DataFlat_Classification,$I133,M$92)</f>
        <v>1</v>
      </c>
      <c r="O133" t="str" cm="1">
        <f t="array" ref="O133">INDEX(auto_DataFlat_IsEstimate,$I133,O$92)</f>
        <v xml:space="preserve"> </v>
      </c>
      <c r="P133" cm="1">
        <f t="array" ref="P133">IF(INDEX(auto_DataFlat_DataYear,$I133,P$92)=0,"n/a",INDEX(auto_DataFlat_DataYear,$I133,P$92))</f>
        <v>2024</v>
      </c>
      <c r="R133">
        <f t="shared" ref="R133" si="135">MATCH(CONCATENATE(R$93,"_",$C133),auto_DataFlat_UID,0)</f>
        <v>2391</v>
      </c>
      <c r="S133" cm="1">
        <f t="array" ref="S133">INDEX(auto_DataFlat_Score,$R133,S$92)</f>
        <v>64</v>
      </c>
      <c r="U133">
        <f t="shared" si="44"/>
        <v>-64</v>
      </c>
      <c r="V133">
        <f t="shared" si="45"/>
        <v>3</v>
      </c>
      <c r="W133">
        <f t="shared" si="46"/>
        <v>-1</v>
      </c>
      <c r="X133" t="e">
        <f t="shared" ca="1" si="47"/>
        <v>#N/A</v>
      </c>
      <c r="Y133" t="e">
        <f t="shared" ca="1" si="48"/>
        <v>#N/A</v>
      </c>
      <c r="Z133" t="e">
        <f t="shared" ca="1" si="49"/>
        <v>#N/A</v>
      </c>
      <c r="AB133">
        <f t="shared" ca="1" si="50"/>
        <v>0</v>
      </c>
      <c r="AC133">
        <f t="shared" ca="1" si="50"/>
        <v>0</v>
      </c>
      <c r="AD133">
        <f t="shared" ca="1" si="50"/>
        <v>0</v>
      </c>
      <c r="BO133">
        <f t="shared" si="114"/>
        <v>1</v>
      </c>
      <c r="BP133" t="e">
        <f t="shared" ca="1" si="115"/>
        <v>#N/A</v>
      </c>
      <c r="BQ133" t="e">
        <f t="shared" ca="1" si="116"/>
        <v>#N/A</v>
      </c>
      <c r="BR133" t="e">
        <f t="shared" ca="1" si="117"/>
        <v>#N/A</v>
      </c>
      <c r="BS133" t="e">
        <f t="shared" ca="1" si="118"/>
        <v>#N/A</v>
      </c>
      <c r="BT133" t="e">
        <f t="shared" ca="1" si="119"/>
        <v>#N/A</v>
      </c>
      <c r="BU133" t="e">
        <f t="shared" ca="1" si="120"/>
        <v>#N/A</v>
      </c>
      <c r="BV133" t="e">
        <f t="shared" ca="1" si="121"/>
        <v>#N/A</v>
      </c>
      <c r="BW133">
        <f>IFERROR(#REF!,0)</f>
        <v>0</v>
      </c>
      <c r="BX133">
        <f>IFERROR(#REF!,0)</f>
        <v>0</v>
      </c>
      <c r="BY133">
        <f>IFERROR(#REF!,0)</f>
        <v>0</v>
      </c>
      <c r="BZ133" t="e">
        <f ca="1">IFERROR(BZ132+MATCH(BZ$92,OFFSET(#REF!,BZ132,0,300-BZ132,1),0),NA())</f>
        <v>#N/A</v>
      </c>
      <c r="CA133">
        <f>IFERROR(#REF!,0)</f>
        <v>0</v>
      </c>
      <c r="CB133">
        <f>IFERROR(#REF!,0)</f>
        <v>0</v>
      </c>
      <c r="CC133">
        <f>IFERROR(#REF!,0)</f>
        <v>0</v>
      </c>
      <c r="CD133">
        <f>IFERROR(#REF!,0)</f>
        <v>0</v>
      </c>
      <c r="CE133">
        <f>IFERROR(#REF!,0)</f>
        <v>0</v>
      </c>
      <c r="CF133">
        <f>IFERROR(#REF!,0)</f>
        <v>0</v>
      </c>
      <c r="CG133">
        <f t="shared" ca="1" si="41"/>
        <v>0</v>
      </c>
    </row>
    <row r="134" spans="1:85" x14ac:dyDescent="0.4">
      <c r="A134" t="str">
        <f t="shared" si="107"/>
        <v/>
      </c>
      <c r="B134">
        <v>41</v>
      </c>
      <c r="C134" t="str" cm="1">
        <f t="array" ref="C134">INDEX(auto_Series_Code,B134)</f>
        <v>INDI_017</v>
      </c>
      <c r="D134" cm="1">
        <f t="array" ref="D134">INDEX(auto_tblSeries,$B134,D$93)</f>
        <v>2</v>
      </c>
      <c r="E134" cm="1">
        <f t="array" ref="E134">INDEX(auto_tblSeries,$B134,E$93)</f>
        <v>0</v>
      </c>
      <c r="F134" cm="1">
        <f t="array" ref="F134">INDEX(auto_tblSeries,$B134,F$93)</f>
        <v>0</v>
      </c>
      <c r="G134" cm="1">
        <f t="array" ref="G134">INDEX(auto_tblSeries,$B134,G$93)</f>
        <v>0</v>
      </c>
      <c r="H134" cm="1">
        <f t="array" ref="H134">INDEX(auto_tblSeries,$B134,H$93)</f>
        <v>1</v>
      </c>
      <c r="I134">
        <f t="shared" ref="I134" si="136">MATCH(CONCATENATE($C$3,"_",$C134),auto_DataFlat_UID,0)</f>
        <v>2401</v>
      </c>
      <c r="K134" cm="1">
        <f t="array" ref="K134">INDEX(auto_DataFlat_Score,$I134,K$92)</f>
        <v>94.6</v>
      </c>
      <c r="L134" t="str" cm="1">
        <f t="array" ref="L134">INDEX(auto_DataFlat_Rank,$I134,L$92)</f>
        <v>1</v>
      </c>
      <c r="M134" cm="1">
        <f t="array" ref="M134">INDEX(auto_DataFlat_DataValue,$I134,M$92)</f>
        <v>0</v>
      </c>
      <c r="N134" cm="1">
        <f t="array" ref="N134">INDEX(auto_DataFlat_Classification,$I134,M$92)</f>
        <v>5</v>
      </c>
      <c r="O134" cm="1">
        <f t="array" ref="O134">INDEX(auto_DataFlat_IsEstimate,$I134,O$92)</f>
        <v>0</v>
      </c>
      <c r="P134" t="str" cm="1">
        <f t="array" ref="P134">IF(INDEX(auto_DataFlat_DataYear,$I134,P$92)=0,"n/a",INDEX(auto_DataFlat_DataYear,$I134,P$92))</f>
        <v>n/a</v>
      </c>
      <c r="R134">
        <f t="shared" ref="R134" si="137">MATCH(CONCATENATE(R$93,"_",$C134),auto_DataFlat_UID,0)</f>
        <v>2451</v>
      </c>
      <c r="S134" cm="1">
        <f t="array" ref="S134">INDEX(auto_DataFlat_Score,$R134,S$92)</f>
        <v>62.9</v>
      </c>
      <c r="U134">
        <f t="shared" si="44"/>
        <v>31.699999999999996</v>
      </c>
      <c r="V134">
        <f t="shared" si="45"/>
        <v>1</v>
      </c>
      <c r="W134">
        <f t="shared" si="46"/>
        <v>1</v>
      </c>
      <c r="X134" t="e">
        <f t="shared" ca="1" si="47"/>
        <v>#N/A</v>
      </c>
      <c r="Y134" t="e">
        <f t="shared" ca="1" si="48"/>
        <v>#N/A</v>
      </c>
      <c r="Z134" t="e">
        <f t="shared" ca="1" si="49"/>
        <v>#N/A</v>
      </c>
      <c r="AB134">
        <f t="shared" ca="1" si="50"/>
        <v>0</v>
      </c>
      <c r="AC134">
        <f t="shared" ca="1" si="50"/>
        <v>0</v>
      </c>
      <c r="AD134">
        <f t="shared" ca="1" si="50"/>
        <v>0</v>
      </c>
      <c r="BO134">
        <f t="shared" si="114"/>
        <v>-1</v>
      </c>
      <c r="BP134" t="e">
        <f t="shared" ca="1" si="115"/>
        <v>#N/A</v>
      </c>
      <c r="BQ134" t="e">
        <f t="shared" ca="1" si="116"/>
        <v>#N/A</v>
      </c>
      <c r="BR134" t="e">
        <f t="shared" ca="1" si="117"/>
        <v>#N/A</v>
      </c>
      <c r="BS134" t="e">
        <f t="shared" ca="1" si="118"/>
        <v>#N/A</v>
      </c>
      <c r="BT134" t="e">
        <f t="shared" ca="1" si="119"/>
        <v>#N/A</v>
      </c>
      <c r="BU134" t="e">
        <f t="shared" ca="1" si="120"/>
        <v>#N/A</v>
      </c>
      <c r="BV134" t="e">
        <f t="shared" ca="1" si="121"/>
        <v>#N/A</v>
      </c>
      <c r="BW134">
        <f>IFERROR(#REF!,0)</f>
        <v>0</v>
      </c>
      <c r="BX134">
        <f>IFERROR(#REF!,0)</f>
        <v>0</v>
      </c>
      <c r="BY134">
        <f>IFERROR(#REF!,0)</f>
        <v>0</v>
      </c>
      <c r="BZ134" t="e">
        <f ca="1">IFERROR(BZ133+MATCH(BZ$92,OFFSET(#REF!,BZ133,0,300-BZ133,1),0),NA())</f>
        <v>#N/A</v>
      </c>
      <c r="CA134">
        <f>IFERROR(#REF!,0)</f>
        <v>0</v>
      </c>
      <c r="CB134">
        <f>IFERROR(#REF!,0)</f>
        <v>0</v>
      </c>
      <c r="CC134">
        <f>IFERROR(#REF!,0)</f>
        <v>0</v>
      </c>
      <c r="CD134">
        <f>IFERROR(#REF!,0)</f>
        <v>0</v>
      </c>
      <c r="CE134">
        <f>IFERROR(#REF!,0)</f>
        <v>0</v>
      </c>
      <c r="CF134">
        <f>IFERROR(#REF!,0)</f>
        <v>0</v>
      </c>
      <c r="CG134">
        <f t="shared" ca="1" si="41"/>
        <v>0</v>
      </c>
    </row>
    <row r="135" spans="1:85" x14ac:dyDescent="0.4">
      <c r="A135" t="str">
        <f t="shared" si="107"/>
        <v/>
      </c>
      <c r="B135">
        <v>42</v>
      </c>
      <c r="C135" t="str" cm="1">
        <f t="array" ref="C135">INDEX(auto_Series_Code,B135)</f>
        <v>SUBINDI_021</v>
      </c>
      <c r="D135" cm="1">
        <f t="array" ref="D135">INDEX(auto_tblSeries,$B135,D$93)</f>
        <v>3</v>
      </c>
      <c r="E135" cm="1">
        <f t="array" ref="E135">INDEX(auto_tblSeries,$B135,E$93)</f>
        <v>0</v>
      </c>
      <c r="F135" cm="1">
        <f t="array" ref="F135">INDEX(auto_tblSeries,$B135,F$93)</f>
        <v>1</v>
      </c>
      <c r="G135" cm="1">
        <f t="array" ref="G135">INDEX(auto_tblSeries,$B135,G$93)</f>
        <v>0</v>
      </c>
      <c r="H135" cm="1">
        <f t="array" ref="H135">INDEX(auto_tblSeries,$B135,H$93)</f>
        <v>2</v>
      </c>
      <c r="I135">
        <f t="shared" ref="I135" si="138">MATCH(CONCATENATE($C$3,"_",$C135),auto_DataFlat_UID,0)</f>
        <v>2461</v>
      </c>
      <c r="K135" cm="1">
        <f t="array" ref="K135">INDEX(auto_DataFlat_Score,$I135,K$92)</f>
        <v>89.1</v>
      </c>
      <c r="L135" t="str" cm="1">
        <f t="array" ref="L135">INDEX(auto_DataFlat_Rank,$I135,L$92)</f>
        <v>1</v>
      </c>
      <c r="M135" cm="1">
        <f t="array" ref="M135">INDEX(auto_DataFlat_DataValue,$I135,M$92)</f>
        <v>10.87</v>
      </c>
      <c r="N135" cm="1">
        <f t="array" ref="N135">INDEX(auto_DataFlat_Classification,$I135,M$92)</f>
        <v>5</v>
      </c>
      <c r="O135" t="str" cm="1">
        <f t="array" ref="O135">INDEX(auto_DataFlat_IsEstimate,$I135,O$92)</f>
        <v xml:space="preserve"> </v>
      </c>
      <c r="P135" cm="1">
        <f t="array" ref="P135">IF(INDEX(auto_DataFlat_DataYear,$I135,P$92)=0,"n/a",INDEX(auto_DataFlat_DataYear,$I135,P$92))</f>
        <v>2022</v>
      </c>
      <c r="R135">
        <f t="shared" ref="R135" si="139">MATCH(CONCATENATE(R$93,"_",$C135),auto_DataFlat_UID,0)</f>
        <v>2511</v>
      </c>
      <c r="S135" cm="1">
        <f t="array" ref="S135">INDEX(auto_DataFlat_Score,$R135,S$92)</f>
        <v>51.7</v>
      </c>
      <c r="U135">
        <f t="shared" si="44"/>
        <v>37.399999999999991</v>
      </c>
      <c r="V135">
        <f t="shared" si="45"/>
        <v>1</v>
      </c>
      <c r="W135">
        <f t="shared" si="46"/>
        <v>-1</v>
      </c>
      <c r="X135" t="e">
        <f t="shared" ca="1" si="47"/>
        <v>#N/A</v>
      </c>
      <c r="Y135" t="e">
        <f t="shared" ca="1" si="48"/>
        <v>#N/A</v>
      </c>
      <c r="Z135" t="e">
        <f t="shared" ca="1" si="49"/>
        <v>#N/A</v>
      </c>
      <c r="AB135">
        <f t="shared" ca="1" si="50"/>
        <v>0</v>
      </c>
      <c r="AC135">
        <f t="shared" ca="1" si="50"/>
        <v>0</v>
      </c>
      <c r="AD135">
        <f t="shared" ca="1" si="50"/>
        <v>0</v>
      </c>
      <c r="BO135">
        <f t="shared" si="114"/>
        <v>5</v>
      </c>
      <c r="BP135" t="e">
        <f t="shared" ca="1" si="115"/>
        <v>#N/A</v>
      </c>
      <c r="BQ135" t="e">
        <f t="shared" ca="1" si="116"/>
        <v>#N/A</v>
      </c>
      <c r="BR135" t="e">
        <f t="shared" ca="1" si="117"/>
        <v>#N/A</v>
      </c>
      <c r="BS135" t="e">
        <f t="shared" ca="1" si="118"/>
        <v>#N/A</v>
      </c>
      <c r="BT135" t="e">
        <f t="shared" ca="1" si="119"/>
        <v>#N/A</v>
      </c>
      <c r="BU135" t="e">
        <f t="shared" ca="1" si="120"/>
        <v>#N/A</v>
      </c>
      <c r="BV135" t="e">
        <f t="shared" ca="1" si="121"/>
        <v>#N/A</v>
      </c>
      <c r="BW135">
        <f>IFERROR(#REF!,0)</f>
        <v>0</v>
      </c>
      <c r="BX135">
        <f>IFERROR(#REF!,0)</f>
        <v>0</v>
      </c>
      <c r="BY135">
        <f>IFERROR(#REF!,0)</f>
        <v>0</v>
      </c>
      <c r="BZ135" t="e">
        <f ca="1">IFERROR(BZ134+MATCH(BZ$92,OFFSET(#REF!,BZ134,0,300-BZ134,1),0),NA())</f>
        <v>#N/A</v>
      </c>
      <c r="CA135">
        <f>IFERROR(#REF!,0)</f>
        <v>0</v>
      </c>
      <c r="CB135">
        <f>IFERROR(#REF!,0)</f>
        <v>0</v>
      </c>
      <c r="CC135">
        <f>IFERROR(#REF!,0)</f>
        <v>0</v>
      </c>
      <c r="CD135">
        <f>IFERROR(#REF!,0)</f>
        <v>0</v>
      </c>
      <c r="CE135">
        <f>IFERROR(#REF!,0)</f>
        <v>0</v>
      </c>
      <c r="CF135">
        <f>IFERROR(#REF!,0)</f>
        <v>0</v>
      </c>
      <c r="CG135">
        <f t="shared" ca="1" si="41"/>
        <v>0</v>
      </c>
    </row>
    <row r="136" spans="1:85" x14ac:dyDescent="0.4">
      <c r="A136" t="str">
        <f t="shared" si="107"/>
        <v/>
      </c>
      <c r="B136">
        <v>43</v>
      </c>
      <c r="C136" t="str" cm="1">
        <f t="array" ref="C136">INDEX(auto_Series_Code,B136)</f>
        <v>SUBINDI_022</v>
      </c>
      <c r="D136" cm="1">
        <f t="array" ref="D136">INDEX(auto_tblSeries,$B136,D$93)</f>
        <v>3</v>
      </c>
      <c r="E136" cm="1">
        <f t="array" ref="E136">INDEX(auto_tblSeries,$B136,E$93)</f>
        <v>0</v>
      </c>
      <c r="F136" cm="1">
        <f t="array" ref="F136">INDEX(auto_tblSeries,$B136,F$93)</f>
        <v>1</v>
      </c>
      <c r="G136" cm="1">
        <f t="array" ref="G136">INDEX(auto_tblSeries,$B136,G$93)</f>
        <v>0</v>
      </c>
      <c r="H136" cm="1">
        <f t="array" ref="H136">INDEX(auto_tblSeries,$B136,H$93)</f>
        <v>0</v>
      </c>
      <c r="I136">
        <f t="shared" ref="I136" si="140">MATCH(CONCATENATE($C$3,"_",$C136),auto_DataFlat_UID,0)</f>
        <v>2521</v>
      </c>
      <c r="K136" cm="1">
        <f t="array" ref="K136">INDEX(auto_DataFlat_Score,$I136,K$92)</f>
        <v>100</v>
      </c>
      <c r="L136" t="str" cm="1">
        <f t="array" ref="L136">INDEX(auto_DataFlat_Rank,$I136,L$92)</f>
        <v>=1</v>
      </c>
      <c r="M136" cm="1">
        <f t="array" ref="M136">INDEX(auto_DataFlat_DataValue,$I136,M$92)</f>
        <v>1</v>
      </c>
      <c r="N136" cm="1">
        <f t="array" ref="N136">INDEX(auto_DataFlat_Classification,$I136,M$92)</f>
        <v>5</v>
      </c>
      <c r="O136" t="str" cm="1">
        <f t="array" ref="O136">INDEX(auto_DataFlat_IsEstimate,$I136,O$92)</f>
        <v xml:space="preserve"> </v>
      </c>
      <c r="P136" cm="1">
        <f t="array" ref="P136">IF(INDEX(auto_DataFlat_DataYear,$I136,P$92)=0,"n/a",INDEX(auto_DataFlat_DataYear,$I136,P$92))</f>
        <v>2024</v>
      </c>
      <c r="R136">
        <f t="shared" ref="R136" si="141">MATCH(CONCATENATE(R$93,"_",$C136),auto_DataFlat_UID,0)</f>
        <v>2571</v>
      </c>
      <c r="S136" cm="1">
        <f t="array" ref="S136">INDEX(auto_DataFlat_Score,$R136,S$92)</f>
        <v>74</v>
      </c>
      <c r="U136">
        <f t="shared" si="44"/>
        <v>26</v>
      </c>
      <c r="V136">
        <f t="shared" si="45"/>
        <v>1</v>
      </c>
      <c r="W136">
        <f t="shared" si="46"/>
        <v>-1</v>
      </c>
      <c r="X136" t="e">
        <f t="shared" ca="1" si="47"/>
        <v>#N/A</v>
      </c>
      <c r="Y136" t="e">
        <f t="shared" ca="1" si="48"/>
        <v>#N/A</v>
      </c>
      <c r="Z136" t="e">
        <f t="shared" ca="1" si="49"/>
        <v>#N/A</v>
      </c>
      <c r="AB136">
        <f t="shared" ca="1" si="50"/>
        <v>0</v>
      </c>
      <c r="AC136">
        <f t="shared" ca="1" si="50"/>
        <v>0</v>
      </c>
      <c r="AD136">
        <f t="shared" ca="1" si="50"/>
        <v>0</v>
      </c>
      <c r="BO136">
        <f t="shared" si="114"/>
        <v>5</v>
      </c>
      <c r="BP136" t="e">
        <f t="shared" ca="1" si="115"/>
        <v>#N/A</v>
      </c>
      <c r="BQ136" t="e">
        <f t="shared" ca="1" si="116"/>
        <v>#N/A</v>
      </c>
      <c r="BR136" t="e">
        <f t="shared" ca="1" si="117"/>
        <v>#N/A</v>
      </c>
      <c r="BS136" t="e">
        <f t="shared" ca="1" si="118"/>
        <v>#N/A</v>
      </c>
      <c r="BT136" t="e">
        <f t="shared" ca="1" si="119"/>
        <v>#N/A</v>
      </c>
      <c r="BU136" t="e">
        <f t="shared" ca="1" si="120"/>
        <v>#N/A</v>
      </c>
      <c r="BV136" t="e">
        <f t="shared" ca="1" si="121"/>
        <v>#N/A</v>
      </c>
      <c r="BW136">
        <f>IFERROR(#REF!,0)</f>
        <v>0</v>
      </c>
      <c r="BX136">
        <f>IFERROR(#REF!,0)</f>
        <v>0</v>
      </c>
      <c r="BY136">
        <f>IFERROR(#REF!,0)</f>
        <v>0</v>
      </c>
      <c r="BZ136" t="e">
        <f ca="1">IFERROR(BZ135+MATCH(BZ$92,OFFSET(#REF!,BZ135,0,300-BZ135,1),0),NA())</f>
        <v>#N/A</v>
      </c>
      <c r="CA136">
        <f>IFERROR(#REF!,0)</f>
        <v>0</v>
      </c>
      <c r="CB136">
        <f>IFERROR(#REF!,0)</f>
        <v>0</v>
      </c>
      <c r="CC136">
        <f>IFERROR(#REF!,0)</f>
        <v>0</v>
      </c>
      <c r="CD136">
        <f>IFERROR(#REF!,0)</f>
        <v>0</v>
      </c>
      <c r="CE136">
        <f>IFERROR(#REF!,0)</f>
        <v>0</v>
      </c>
      <c r="CF136">
        <f>IFERROR(#REF!,0)</f>
        <v>0</v>
      </c>
      <c r="CG136">
        <f t="shared" ca="1" si="41"/>
        <v>0</v>
      </c>
    </row>
    <row r="137" spans="1:85" x14ac:dyDescent="0.4">
      <c r="A137" t="str">
        <f t="shared" si="107"/>
        <v/>
      </c>
      <c r="B137">
        <v>44</v>
      </c>
      <c r="C137" t="str" cm="1">
        <f t="array" ref="C137">INDEX(auto_Series_Code,B137)</f>
        <v>INDI_018</v>
      </c>
      <c r="D137" cm="1">
        <f t="array" ref="D137">INDEX(auto_tblSeries,$B137,D$93)</f>
        <v>2</v>
      </c>
      <c r="E137" cm="1">
        <f t="array" ref="E137">INDEX(auto_tblSeries,$B137,E$93)</f>
        <v>0</v>
      </c>
      <c r="F137" cm="1">
        <f t="array" ref="F137">INDEX(auto_tblSeries,$B137,F$93)</f>
        <v>0</v>
      </c>
      <c r="G137" cm="1">
        <f t="array" ref="G137">INDEX(auto_tblSeries,$B137,G$93)</f>
        <v>0</v>
      </c>
      <c r="H137" cm="1">
        <f t="array" ref="H137">INDEX(auto_tblSeries,$B137,H$93)</f>
        <v>1</v>
      </c>
      <c r="I137">
        <f t="shared" ref="I137:I161" si="142">MATCH(CONCATENATE($C$3,"_",$C137),auto_DataFlat_UID,0)</f>
        <v>2581</v>
      </c>
      <c r="K137" cm="1">
        <f t="array" ref="K137">INDEX(auto_DataFlat_Score,$I137,K$92)</f>
        <v>30.5</v>
      </c>
      <c r="L137" t="str" cm="1">
        <f t="array" ref="L137">INDEX(auto_DataFlat_Rank,$I137,L$92)</f>
        <v>12</v>
      </c>
      <c r="M137" cm="1">
        <f t="array" ref="M137">INDEX(auto_DataFlat_DataValue,$I137,M$92)</f>
        <v>0</v>
      </c>
      <c r="N137" cm="1">
        <f t="array" ref="N137">INDEX(auto_DataFlat_Classification,$I137,M$92)</f>
        <v>2</v>
      </c>
      <c r="O137" cm="1">
        <f t="array" ref="O137">INDEX(auto_DataFlat_IsEstimate,$I137,O$92)</f>
        <v>0</v>
      </c>
      <c r="P137" t="str" cm="1">
        <f t="array" ref="P137">IF(INDEX(auto_DataFlat_DataYear,$I137,P$92)=0,"n/a",INDEX(auto_DataFlat_DataYear,$I137,P$92))</f>
        <v>n/a</v>
      </c>
      <c r="R137">
        <f t="shared" ref="R137:R162" si="143">MATCH(CONCATENATE(R$93,"_",$C137),auto_DataFlat_UID,0)</f>
        <v>2631</v>
      </c>
      <c r="S137" cm="1">
        <f t="array" ref="S137">INDEX(auto_DataFlat_Score,$R137,S$92)</f>
        <v>31.8</v>
      </c>
      <c r="U137">
        <f t="shared" si="44"/>
        <v>-1.3000000000000007</v>
      </c>
      <c r="V137">
        <f t="shared" si="45"/>
        <v>3</v>
      </c>
      <c r="W137">
        <f t="shared" si="46"/>
        <v>3</v>
      </c>
      <c r="X137" t="e">
        <f t="shared" ca="1" si="47"/>
        <v>#N/A</v>
      </c>
      <c r="Y137" t="e">
        <f t="shared" ca="1" si="48"/>
        <v>#N/A</v>
      </c>
      <c r="Z137" t="e">
        <f t="shared" ca="1" si="49"/>
        <v>#N/A</v>
      </c>
      <c r="AB137">
        <f t="shared" ca="1" si="50"/>
        <v>0</v>
      </c>
      <c r="AC137">
        <f t="shared" ca="1" si="50"/>
        <v>0</v>
      </c>
      <c r="AD137">
        <f t="shared" ca="1" si="50"/>
        <v>0</v>
      </c>
      <c r="BO137">
        <f t="shared" si="114"/>
        <v>-1</v>
      </c>
      <c r="BP137" t="e">
        <f t="shared" ca="1" si="115"/>
        <v>#N/A</v>
      </c>
      <c r="BQ137" t="e">
        <f t="shared" ca="1" si="116"/>
        <v>#N/A</v>
      </c>
      <c r="BR137" t="e">
        <f t="shared" ca="1" si="117"/>
        <v>#N/A</v>
      </c>
      <c r="BS137" t="e">
        <f t="shared" ca="1" si="118"/>
        <v>#N/A</v>
      </c>
      <c r="BT137" t="e">
        <f t="shared" ca="1" si="119"/>
        <v>#N/A</v>
      </c>
      <c r="BU137" t="e">
        <f t="shared" ca="1" si="120"/>
        <v>#N/A</v>
      </c>
      <c r="BV137" t="e">
        <f t="shared" ca="1" si="121"/>
        <v>#N/A</v>
      </c>
      <c r="BW137">
        <f>IFERROR(#REF!,0)</f>
        <v>0</v>
      </c>
      <c r="BX137">
        <f>IFERROR(#REF!,0)</f>
        <v>0</v>
      </c>
      <c r="BY137">
        <f>IFERROR(#REF!,0)</f>
        <v>0</v>
      </c>
      <c r="BZ137" t="e">
        <f ca="1">IFERROR(BZ136+MATCH(BZ$92,OFFSET(#REF!,BZ136,0,300-BZ136,1),0),NA())</f>
        <v>#N/A</v>
      </c>
      <c r="CA137">
        <f>IFERROR(#REF!,0)</f>
        <v>0</v>
      </c>
      <c r="CB137">
        <f>IFERROR(#REF!,0)</f>
        <v>0</v>
      </c>
      <c r="CC137">
        <f>IFERROR(#REF!,0)</f>
        <v>0</v>
      </c>
      <c r="CD137">
        <f>IFERROR(#REF!,0)</f>
        <v>0</v>
      </c>
      <c r="CE137">
        <f>IFERROR(#REF!,0)</f>
        <v>0</v>
      </c>
      <c r="CF137">
        <f>IFERROR(#REF!,0)</f>
        <v>0</v>
      </c>
      <c r="CG137">
        <f t="shared" ca="1" si="41"/>
        <v>0</v>
      </c>
    </row>
    <row r="138" spans="1:85" x14ac:dyDescent="0.4">
      <c r="A138" t="str">
        <f t="shared" si="107"/>
        <v/>
      </c>
      <c r="B138">
        <v>45</v>
      </c>
      <c r="C138" t="str" cm="1">
        <f t="array" ref="C138">INDEX(auto_Series_Code,B138)</f>
        <v>SUBINDI_023</v>
      </c>
      <c r="D138" cm="1">
        <f t="array" ref="D138">INDEX(auto_tblSeries,$B138,D$93)</f>
        <v>3</v>
      </c>
      <c r="E138" cm="1">
        <f t="array" ref="E138">INDEX(auto_tblSeries,$B138,E$93)</f>
        <v>0</v>
      </c>
      <c r="F138" cm="1">
        <f t="array" ref="F138">INDEX(auto_tblSeries,$B138,F$93)</f>
        <v>1</v>
      </c>
      <c r="G138" cm="1">
        <f t="array" ref="G138">INDEX(auto_tblSeries,$B138,G$93)</f>
        <v>0</v>
      </c>
      <c r="H138" cm="1">
        <f t="array" ref="H138">INDEX(auto_tblSeries,$B138,H$93)</f>
        <v>2</v>
      </c>
      <c r="I138">
        <f t="shared" ref="I138:I162" si="144">MATCH(CONCATENATE($C$3,"_",$C138),auto_DataFlat_UID,0)</f>
        <v>2641</v>
      </c>
      <c r="K138" cm="1">
        <f t="array" ref="K138">INDEX(auto_DataFlat_Score,$I138,K$92)</f>
        <v>61</v>
      </c>
      <c r="L138" t="str" cm="1">
        <f t="array" ref="L138">INDEX(auto_DataFlat_Rank,$I138,L$92)</f>
        <v>1</v>
      </c>
      <c r="M138" cm="1">
        <f t="array" ref="M138">INDEX(auto_DataFlat_DataValue,$I138,M$92)</f>
        <v>2.0299999999999998</v>
      </c>
      <c r="N138" cm="1">
        <f t="array" ref="N138">INDEX(auto_DataFlat_Classification,$I138,M$92)</f>
        <v>4</v>
      </c>
      <c r="O138" t="str" cm="1">
        <f t="array" ref="O138">INDEX(auto_DataFlat_IsEstimate,$I138,O$92)</f>
        <v xml:space="preserve"> </v>
      </c>
      <c r="P138" cm="1">
        <f t="array" ref="P138">IF(INDEX(auto_DataFlat_DataYear,$I138,P$92)=0,"n/a",INDEX(auto_DataFlat_DataYear,$I138,P$92))</f>
        <v>2019</v>
      </c>
      <c r="R138">
        <f t="shared" si="143"/>
        <v>2691</v>
      </c>
      <c r="S138" cm="1">
        <f t="array" ref="S138">INDEX(auto_DataFlat_Score,$R138,S$92)</f>
        <v>41.5</v>
      </c>
      <c r="U138">
        <f t="shared" si="44"/>
        <v>19.5</v>
      </c>
      <c r="V138">
        <f t="shared" si="45"/>
        <v>1</v>
      </c>
      <c r="W138">
        <f t="shared" si="46"/>
        <v>-1</v>
      </c>
      <c r="X138" t="e">
        <f t="shared" ca="1" si="47"/>
        <v>#N/A</v>
      </c>
      <c r="Y138" t="e">
        <f t="shared" ca="1" si="48"/>
        <v>#N/A</v>
      </c>
      <c r="Z138" t="e">
        <f t="shared" ca="1" si="49"/>
        <v>#N/A</v>
      </c>
      <c r="AB138">
        <f t="shared" ca="1" si="50"/>
        <v>0</v>
      </c>
      <c r="AC138">
        <f t="shared" ca="1" si="50"/>
        <v>0</v>
      </c>
      <c r="AD138">
        <f t="shared" ca="1" si="50"/>
        <v>0</v>
      </c>
      <c r="BO138">
        <f t="shared" si="114"/>
        <v>4</v>
      </c>
      <c r="BP138" t="e">
        <f t="shared" ca="1" si="115"/>
        <v>#N/A</v>
      </c>
      <c r="BQ138" t="e">
        <f t="shared" ca="1" si="116"/>
        <v>#N/A</v>
      </c>
      <c r="BR138" t="e">
        <f t="shared" ca="1" si="117"/>
        <v>#N/A</v>
      </c>
      <c r="BS138" t="e">
        <f t="shared" ca="1" si="118"/>
        <v>#N/A</v>
      </c>
      <c r="BT138" t="e">
        <f t="shared" ca="1" si="119"/>
        <v>#N/A</v>
      </c>
      <c r="BU138" t="e">
        <f t="shared" ca="1" si="120"/>
        <v>#N/A</v>
      </c>
      <c r="BV138" t="e">
        <f t="shared" ca="1" si="121"/>
        <v>#N/A</v>
      </c>
      <c r="BW138">
        <f>IFERROR(#REF!,0)</f>
        <v>0</v>
      </c>
      <c r="BX138">
        <f>IFERROR(#REF!,0)</f>
        <v>0</v>
      </c>
      <c r="BY138">
        <f>IFERROR(#REF!,0)</f>
        <v>0</v>
      </c>
      <c r="BZ138" t="e">
        <f ca="1">IFERROR(BZ137+MATCH(BZ$92,OFFSET(#REF!,BZ137,0,300-BZ137,1),0),NA())</f>
        <v>#N/A</v>
      </c>
      <c r="CA138">
        <f>IFERROR(#REF!,0)</f>
        <v>0</v>
      </c>
      <c r="CB138">
        <f>IFERROR(#REF!,0)</f>
        <v>0</v>
      </c>
      <c r="CC138">
        <f>IFERROR(#REF!,0)</f>
        <v>0</v>
      </c>
      <c r="CD138">
        <f>IFERROR(#REF!,0)</f>
        <v>0</v>
      </c>
      <c r="CE138">
        <f>IFERROR(#REF!,0)</f>
        <v>0</v>
      </c>
      <c r="CF138">
        <f>IFERROR(#REF!,0)</f>
        <v>0</v>
      </c>
      <c r="CG138">
        <f t="shared" ca="1" si="41"/>
        <v>0</v>
      </c>
    </row>
    <row r="139" spans="1:85" x14ac:dyDescent="0.4">
      <c r="A139" t="str">
        <f t="shared" si="107"/>
        <v/>
      </c>
      <c r="B139">
        <v>46</v>
      </c>
      <c r="C139" t="str" cm="1">
        <f t="array" ref="C139">INDEX(auto_Series_Code,B139)</f>
        <v>SUBINDI_024</v>
      </c>
      <c r="D139" cm="1">
        <f t="array" ref="D139">INDEX(auto_tblSeries,$B139,D$93)</f>
        <v>3</v>
      </c>
      <c r="E139" cm="1">
        <f t="array" ref="E139">INDEX(auto_tblSeries,$B139,E$93)</f>
        <v>0</v>
      </c>
      <c r="F139" cm="1">
        <f t="array" ref="F139">INDEX(auto_tblSeries,$B139,F$93)</f>
        <v>1</v>
      </c>
      <c r="G139" cm="1">
        <f t="array" ref="G139">INDEX(auto_tblSeries,$B139,G$93)</f>
        <v>0</v>
      </c>
      <c r="H139" cm="1">
        <f t="array" ref="H139">INDEX(auto_tblSeries,$B139,H$93)</f>
        <v>0</v>
      </c>
      <c r="I139">
        <f t="shared" si="142"/>
        <v>2701</v>
      </c>
      <c r="K139" cm="1">
        <f t="array" ref="K139">INDEX(auto_DataFlat_Score,$I139,K$92)</f>
        <v>0</v>
      </c>
      <c r="L139" t="str" cm="1">
        <f t="array" ref="L139">INDEX(auto_DataFlat_Rank,$I139,L$92)</f>
        <v>=12</v>
      </c>
      <c r="M139" cm="1">
        <f t="array" ref="M139">INDEX(auto_DataFlat_DataValue,$I139,M$92)</f>
        <v>0</v>
      </c>
      <c r="N139" cm="1">
        <f t="array" ref="N139">INDEX(auto_DataFlat_Classification,$I139,M$92)</f>
        <v>1</v>
      </c>
      <c r="O139" t="str" cm="1">
        <f t="array" ref="O139">INDEX(auto_DataFlat_IsEstimate,$I139,O$92)</f>
        <v xml:space="preserve"> </v>
      </c>
      <c r="P139" cm="1">
        <f t="array" ref="P139">IF(INDEX(auto_DataFlat_DataYear,$I139,P$92)=0,"n/a",INDEX(auto_DataFlat_DataYear,$I139,P$92))</f>
        <v>2024</v>
      </c>
      <c r="R139">
        <f t="shared" si="143"/>
        <v>2751</v>
      </c>
      <c r="S139" cm="1">
        <f t="array" ref="S139">INDEX(auto_DataFlat_Score,$R139,S$92)</f>
        <v>22</v>
      </c>
      <c r="U139">
        <f t="shared" ref="U139:U162" si="145">IFERROR(K139-S139,"n/a")</f>
        <v>-22</v>
      </c>
      <c r="V139">
        <f t="shared" ref="V139:V162" si="146">IFERROR(IF(U139&gt;0,1,IF(U139=0,2,IF(U139&lt;0,3,"???"))),"n/a")</f>
        <v>3</v>
      </c>
      <c r="W139">
        <f t="shared" si="46"/>
        <v>-1</v>
      </c>
      <c r="X139" t="e">
        <f t="shared" ca="1" si="47"/>
        <v>#N/A</v>
      </c>
      <c r="Y139" t="e">
        <f t="shared" ca="1" si="48"/>
        <v>#N/A</v>
      </c>
      <c r="Z139" t="e">
        <f t="shared" ca="1" si="49"/>
        <v>#N/A</v>
      </c>
      <c r="AB139">
        <f t="shared" ref="AB139:AB162" ca="1" si="147">IFERROR(X139,0)</f>
        <v>0</v>
      </c>
      <c r="AC139">
        <f t="shared" ref="AC139:AC162" ca="1" si="148">IFERROR(Y139,0)</f>
        <v>0</v>
      </c>
      <c r="AD139">
        <f t="shared" ref="AD139:AD162" ca="1" si="149">IFERROR(Z139,0)</f>
        <v>0</v>
      </c>
      <c r="BO139">
        <f t="shared" si="114"/>
        <v>1</v>
      </c>
      <c r="BP139" t="e">
        <f t="shared" ca="1" si="115"/>
        <v>#N/A</v>
      </c>
      <c r="BQ139" t="e">
        <f t="shared" ca="1" si="116"/>
        <v>#N/A</v>
      </c>
      <c r="BR139" t="e">
        <f t="shared" ca="1" si="117"/>
        <v>#N/A</v>
      </c>
      <c r="BS139" t="e">
        <f t="shared" ca="1" si="118"/>
        <v>#N/A</v>
      </c>
      <c r="BT139" t="e">
        <f t="shared" ca="1" si="119"/>
        <v>#N/A</v>
      </c>
      <c r="BU139" t="e">
        <f t="shared" ca="1" si="120"/>
        <v>#N/A</v>
      </c>
      <c r="BV139" t="e">
        <f t="shared" ca="1" si="121"/>
        <v>#N/A</v>
      </c>
      <c r="BW139">
        <f>IFERROR(#REF!,0)</f>
        <v>0</v>
      </c>
      <c r="BX139">
        <f>IFERROR(#REF!,0)</f>
        <v>0</v>
      </c>
      <c r="BY139">
        <f>IFERROR(#REF!,0)</f>
        <v>0</v>
      </c>
      <c r="BZ139" t="e">
        <f ca="1">IFERROR(BZ138+MATCH(BZ$92,OFFSET(#REF!,BZ138,0,300-BZ138,1),0),NA())</f>
        <v>#N/A</v>
      </c>
      <c r="CA139">
        <f>IFERROR(#REF!,0)</f>
        <v>0</v>
      </c>
      <c r="CB139">
        <f>IFERROR(#REF!,0)</f>
        <v>0</v>
      </c>
      <c r="CC139">
        <f>IFERROR(#REF!,0)</f>
        <v>0</v>
      </c>
      <c r="CD139">
        <f>IFERROR(#REF!,0)</f>
        <v>0</v>
      </c>
      <c r="CE139">
        <f>IFERROR(#REF!,0)</f>
        <v>0</v>
      </c>
      <c r="CF139">
        <f>IFERROR(#REF!,0)</f>
        <v>0</v>
      </c>
      <c r="CG139">
        <f t="shared" ca="1" si="41"/>
        <v>0</v>
      </c>
    </row>
    <row r="140" spans="1:85" x14ac:dyDescent="0.4">
      <c r="A140" t="str">
        <f t="shared" si="107"/>
        <v/>
      </c>
      <c r="B140">
        <v>47</v>
      </c>
      <c r="C140" t="str" cm="1">
        <f t="array" ref="C140">INDEX(auto_Series_Code,B140)</f>
        <v>DOMAIN_004</v>
      </c>
      <c r="D140" cm="1">
        <f t="array" ref="D140">INDEX(auto_tblSeries,$B140,D$93)</f>
        <v>1</v>
      </c>
      <c r="E140" cm="1">
        <f t="array" ref="E140">INDEX(auto_tblSeries,$B140,E$93)</f>
        <v>0</v>
      </c>
      <c r="F140" cm="1">
        <f t="array" ref="F140">INDEX(auto_tblSeries,$B140,F$93)</f>
        <v>0</v>
      </c>
      <c r="G140" cm="1">
        <f t="array" ref="G140">INDEX(auto_tblSeries,$B140,G$93)</f>
        <v>0</v>
      </c>
      <c r="H140" cm="1">
        <f t="array" ref="H140">INDEX(auto_tblSeries,$B140,H$93)</f>
        <v>1</v>
      </c>
      <c r="I140">
        <f t="shared" si="144"/>
        <v>2761</v>
      </c>
      <c r="K140" cm="1">
        <f t="array" ref="K140">INDEX(auto_DataFlat_Score,$I140,K$92)</f>
        <v>19.100000000000001</v>
      </c>
      <c r="L140" t="str" cm="1">
        <f t="array" ref="L140">INDEX(auto_DataFlat_Rank,$I140,L$92)</f>
        <v>50</v>
      </c>
      <c r="M140" cm="1">
        <f t="array" ref="M140">INDEX(auto_DataFlat_DataValue,$I140,M$92)</f>
        <v>0</v>
      </c>
      <c r="N140" cm="1">
        <f t="array" ref="N140">INDEX(auto_DataFlat_Classification,$I140,M$92)</f>
        <v>1</v>
      </c>
      <c r="O140" cm="1">
        <f t="array" ref="O140">INDEX(auto_DataFlat_IsEstimate,$I140,O$92)</f>
        <v>0</v>
      </c>
      <c r="P140" t="str" cm="1">
        <f t="array" ref="P140">IF(INDEX(auto_DataFlat_DataYear,$I140,P$92)=0,"n/a",INDEX(auto_DataFlat_DataYear,$I140,P$92))</f>
        <v>n/a</v>
      </c>
      <c r="R140">
        <f t="shared" si="143"/>
        <v>2811</v>
      </c>
      <c r="S140" cm="1">
        <f t="array" ref="S140">INDEX(auto_DataFlat_Score,$R140,S$92)</f>
        <v>64.3</v>
      </c>
      <c r="U140">
        <f t="shared" si="145"/>
        <v>-45.199999999999996</v>
      </c>
      <c r="V140">
        <f t="shared" si="146"/>
        <v>3</v>
      </c>
      <c r="W140">
        <f t="shared" si="46"/>
        <v>-1</v>
      </c>
      <c r="X140" t="e">
        <f t="shared" ca="1" si="47"/>
        <v>#N/A</v>
      </c>
      <c r="Y140" t="e">
        <f t="shared" ca="1" si="48"/>
        <v>#N/A</v>
      </c>
      <c r="Z140" t="e">
        <f t="shared" ca="1" si="49"/>
        <v>#N/A</v>
      </c>
      <c r="AB140">
        <f t="shared" ca="1" si="147"/>
        <v>0</v>
      </c>
      <c r="AC140">
        <f t="shared" ca="1" si="148"/>
        <v>0</v>
      </c>
      <c r="AD140">
        <f t="shared" ca="1" si="149"/>
        <v>0</v>
      </c>
      <c r="BO140">
        <f t="shared" si="114"/>
        <v>-1</v>
      </c>
      <c r="BP140" t="e">
        <f t="shared" ca="1" si="115"/>
        <v>#N/A</v>
      </c>
      <c r="BQ140" t="e">
        <f t="shared" ca="1" si="116"/>
        <v>#N/A</v>
      </c>
      <c r="BR140" t="e">
        <f t="shared" ca="1" si="117"/>
        <v>#N/A</v>
      </c>
      <c r="BS140" t="e">
        <f t="shared" ca="1" si="118"/>
        <v>#N/A</v>
      </c>
      <c r="BT140" t="e">
        <f t="shared" ca="1" si="119"/>
        <v>#N/A</v>
      </c>
      <c r="BU140" t="e">
        <f t="shared" ca="1" si="120"/>
        <v>#N/A</v>
      </c>
      <c r="BV140" t="e">
        <f t="shared" ca="1" si="121"/>
        <v>#N/A</v>
      </c>
      <c r="BW140">
        <f>IFERROR(#REF!,0)</f>
        <v>0</v>
      </c>
      <c r="BX140">
        <f>IFERROR(#REF!,0)</f>
        <v>0</v>
      </c>
      <c r="BY140">
        <f>IFERROR(#REF!,0)</f>
        <v>0</v>
      </c>
      <c r="BZ140" t="e">
        <f ca="1">IFERROR(BZ139+MATCH(BZ$92,OFFSET(#REF!,BZ139,0,300-BZ139,1),0),NA())</f>
        <v>#N/A</v>
      </c>
      <c r="CA140">
        <f>IFERROR(#REF!,0)</f>
        <v>0</v>
      </c>
      <c r="CB140">
        <f>IFERROR(#REF!,0)</f>
        <v>0</v>
      </c>
      <c r="CC140">
        <f>IFERROR(#REF!,0)</f>
        <v>0</v>
      </c>
      <c r="CD140">
        <f>IFERROR(#REF!,0)</f>
        <v>0</v>
      </c>
      <c r="CE140">
        <f>IFERROR(#REF!,0)</f>
        <v>0</v>
      </c>
      <c r="CF140">
        <f>IFERROR(#REF!,0)</f>
        <v>0</v>
      </c>
      <c r="CG140">
        <f t="shared" ca="1" si="41"/>
        <v>0</v>
      </c>
    </row>
    <row r="141" spans="1:85" x14ac:dyDescent="0.4">
      <c r="A141" t="str">
        <f t="shared" si="107"/>
        <v/>
      </c>
      <c r="B141">
        <v>48</v>
      </c>
      <c r="C141" t="str" cm="1">
        <f t="array" ref="C141">INDEX(auto_Series_Code,B141)</f>
        <v>INDI_019</v>
      </c>
      <c r="D141" cm="1">
        <f t="array" ref="D141">INDEX(auto_tblSeries,$B141,D$93)</f>
        <v>2</v>
      </c>
      <c r="E141" cm="1">
        <f t="array" ref="E141">INDEX(auto_tblSeries,$B141,E$93)</f>
        <v>0</v>
      </c>
      <c r="F141" cm="1">
        <f t="array" ref="F141">INDEX(auto_tblSeries,$B141,F$93)</f>
        <v>1</v>
      </c>
      <c r="G141" cm="1">
        <f t="array" ref="G141">INDEX(auto_tblSeries,$B141,G$93)</f>
        <v>0</v>
      </c>
      <c r="H141" cm="1">
        <f t="array" ref="H141">INDEX(auto_tblSeries,$B141,H$93)</f>
        <v>0</v>
      </c>
      <c r="I141">
        <f t="shared" si="142"/>
        <v>2821</v>
      </c>
      <c r="K141" cm="1">
        <f t="array" ref="K141">INDEX(auto_DataFlat_Score,$I141,K$92)</f>
        <v>0</v>
      </c>
      <c r="L141" t="str" cm="1">
        <f t="array" ref="L141">INDEX(auto_DataFlat_Rank,$I141,L$92)</f>
        <v>=48</v>
      </c>
      <c r="M141" cm="1">
        <f t="array" ref="M141">INDEX(auto_DataFlat_DataValue,$I141,M$92)</f>
        <v>0</v>
      </c>
      <c r="N141" cm="1">
        <f t="array" ref="N141">INDEX(auto_DataFlat_Classification,$I141,M$92)</f>
        <v>1</v>
      </c>
      <c r="O141" t="str" cm="1">
        <f t="array" ref="O141">INDEX(auto_DataFlat_IsEstimate,$I141,O$92)</f>
        <v xml:space="preserve"> </v>
      </c>
      <c r="P141" cm="1">
        <f t="array" ref="P141">IF(INDEX(auto_DataFlat_DataYear,$I141,P$92)=0,"n/a",INDEX(auto_DataFlat_DataYear,$I141,P$92))</f>
        <v>2024</v>
      </c>
      <c r="R141">
        <f t="shared" si="143"/>
        <v>2871</v>
      </c>
      <c r="S141" cm="1">
        <f t="array" ref="S141">INDEX(auto_DataFlat_Score,$R141,S$92)</f>
        <v>89</v>
      </c>
      <c r="U141">
        <f t="shared" si="145"/>
        <v>-89</v>
      </c>
      <c r="V141">
        <f t="shared" si="146"/>
        <v>3</v>
      </c>
      <c r="W141">
        <f t="shared" si="46"/>
        <v>3</v>
      </c>
      <c r="X141" t="e">
        <f t="shared" ca="1" si="47"/>
        <v>#N/A</v>
      </c>
      <c r="Y141" t="e">
        <f t="shared" ca="1" si="48"/>
        <v>#N/A</v>
      </c>
      <c r="Z141" t="e">
        <f t="shared" ca="1" si="49"/>
        <v>#N/A</v>
      </c>
      <c r="AB141">
        <f t="shared" ca="1" si="147"/>
        <v>0</v>
      </c>
      <c r="AC141">
        <f t="shared" ca="1" si="148"/>
        <v>0</v>
      </c>
      <c r="AD141">
        <f t="shared" ca="1" si="149"/>
        <v>0</v>
      </c>
      <c r="BO141">
        <f t="shared" si="114"/>
        <v>-1</v>
      </c>
      <c r="BP141" t="e">
        <f t="shared" ca="1" si="115"/>
        <v>#N/A</v>
      </c>
      <c r="BQ141" t="e">
        <f t="shared" ca="1" si="116"/>
        <v>#N/A</v>
      </c>
      <c r="BR141" t="e">
        <f t="shared" ca="1" si="117"/>
        <v>#N/A</v>
      </c>
      <c r="BS141" t="e">
        <f t="shared" ca="1" si="118"/>
        <v>#N/A</v>
      </c>
      <c r="BT141" t="e">
        <f t="shared" ca="1" si="119"/>
        <v>#N/A</v>
      </c>
      <c r="BU141" t="e">
        <f t="shared" ca="1" si="120"/>
        <v>#N/A</v>
      </c>
      <c r="BV141" t="e">
        <f t="shared" ca="1" si="121"/>
        <v>#N/A</v>
      </c>
      <c r="BW141">
        <f>IFERROR(#REF!,0)</f>
        <v>0</v>
      </c>
      <c r="BX141">
        <f>IFERROR(#REF!,0)</f>
        <v>0</v>
      </c>
      <c r="BY141">
        <f>IFERROR(#REF!,0)</f>
        <v>0</v>
      </c>
      <c r="BZ141" t="e">
        <f ca="1">IFERROR(BZ140+MATCH(BZ$92,OFFSET(#REF!,BZ140,0,300-BZ140,1),0),NA())</f>
        <v>#N/A</v>
      </c>
      <c r="CA141">
        <f>IFERROR(#REF!,0)</f>
        <v>0</v>
      </c>
      <c r="CB141">
        <f>IFERROR(#REF!,0)</f>
        <v>0</v>
      </c>
      <c r="CC141">
        <f>IFERROR(#REF!,0)</f>
        <v>0</v>
      </c>
      <c r="CD141">
        <f>IFERROR(#REF!,0)</f>
        <v>0</v>
      </c>
      <c r="CE141">
        <f>IFERROR(#REF!,0)</f>
        <v>0</v>
      </c>
      <c r="CF141">
        <f>IFERROR(#REF!,0)</f>
        <v>0</v>
      </c>
      <c r="CG141">
        <f t="shared" ca="1" si="41"/>
        <v>0</v>
      </c>
    </row>
    <row r="142" spans="1:85" x14ac:dyDescent="0.4">
      <c r="A142" t="str">
        <f t="shared" si="107"/>
        <v/>
      </c>
      <c r="B142">
        <v>49</v>
      </c>
      <c r="C142" t="str" cm="1">
        <f t="array" ref="C142">INDEX(auto_Series_Code,B142)</f>
        <v>INDI_020</v>
      </c>
      <c r="D142" cm="1">
        <f t="array" ref="D142">INDEX(auto_tblSeries,$B142,D$93)</f>
        <v>2</v>
      </c>
      <c r="E142" cm="1">
        <f t="array" ref="E142">INDEX(auto_tblSeries,$B142,E$93)</f>
        <v>0</v>
      </c>
      <c r="F142" cm="1">
        <f t="array" ref="F142">INDEX(auto_tblSeries,$B142,F$93)</f>
        <v>1</v>
      </c>
      <c r="G142" cm="1">
        <f t="array" ref="G142">INDEX(auto_tblSeries,$B142,G$93)</f>
        <v>0</v>
      </c>
      <c r="H142" cm="1">
        <f t="array" ref="H142">INDEX(auto_tblSeries,$B142,H$93)</f>
        <v>0</v>
      </c>
      <c r="I142">
        <f t="shared" si="144"/>
        <v>2881</v>
      </c>
      <c r="K142" cm="1">
        <f t="array" ref="K142">INDEX(auto_DataFlat_Score,$I142,K$92)</f>
        <v>34</v>
      </c>
      <c r="L142" t="str" cm="1">
        <f t="array" ref="L142">INDEX(auto_DataFlat_Rank,$I142,L$92)</f>
        <v>49</v>
      </c>
      <c r="M142" cm="1">
        <f t="array" ref="M142">INDEX(auto_DataFlat_DataValue,$I142,M$92)</f>
        <v>34</v>
      </c>
      <c r="N142" cm="1">
        <f t="array" ref="N142">INDEX(auto_DataFlat_Classification,$I142,M$92)</f>
        <v>2</v>
      </c>
      <c r="O142" t="str" cm="1">
        <f t="array" ref="O142">INDEX(auto_DataFlat_IsEstimate,$I142,O$92)</f>
        <v xml:space="preserve"> </v>
      </c>
      <c r="P142" cm="1">
        <f t="array" ref="P142">IF(INDEX(auto_DataFlat_DataYear,$I142,P$92)=0,"n/a",INDEX(auto_DataFlat_DataYear,$I142,P$92))</f>
        <v>2023</v>
      </c>
      <c r="R142">
        <f t="shared" si="143"/>
        <v>2931</v>
      </c>
      <c r="S142" cm="1">
        <f t="array" ref="S142">INDEX(auto_DataFlat_Score,$R142,S$92)</f>
        <v>56.9</v>
      </c>
      <c r="U142">
        <f t="shared" si="145"/>
        <v>-22.9</v>
      </c>
      <c r="V142">
        <f t="shared" si="146"/>
        <v>3</v>
      </c>
      <c r="W142">
        <f t="shared" si="46"/>
        <v>3</v>
      </c>
      <c r="X142" t="e">
        <f t="shared" ca="1" si="47"/>
        <v>#N/A</v>
      </c>
      <c r="Y142" t="e">
        <f t="shared" ca="1" si="48"/>
        <v>#N/A</v>
      </c>
      <c r="Z142" t="e">
        <f t="shared" ca="1" si="49"/>
        <v>#N/A</v>
      </c>
      <c r="AB142">
        <f t="shared" ca="1" si="147"/>
        <v>0</v>
      </c>
      <c r="AC142">
        <f t="shared" ca="1" si="148"/>
        <v>0</v>
      </c>
      <c r="AD142">
        <f t="shared" ca="1" si="149"/>
        <v>0</v>
      </c>
      <c r="BO142">
        <f t="shared" si="114"/>
        <v>-1</v>
      </c>
      <c r="BP142" t="e">
        <f t="shared" ca="1" si="115"/>
        <v>#N/A</v>
      </c>
      <c r="BQ142" t="e">
        <f t="shared" ca="1" si="116"/>
        <v>#N/A</v>
      </c>
      <c r="BR142" t="e">
        <f t="shared" ca="1" si="117"/>
        <v>#N/A</v>
      </c>
      <c r="BS142" t="e">
        <f t="shared" ca="1" si="118"/>
        <v>#N/A</v>
      </c>
      <c r="BT142" t="e">
        <f t="shared" ca="1" si="119"/>
        <v>#N/A</v>
      </c>
      <c r="BU142" t="e">
        <f t="shared" ca="1" si="120"/>
        <v>#N/A</v>
      </c>
      <c r="BV142" t="e">
        <f t="shared" ca="1" si="121"/>
        <v>#N/A</v>
      </c>
      <c r="BW142">
        <f>IFERROR(#REF!,0)</f>
        <v>0</v>
      </c>
      <c r="BX142">
        <f>IFERROR(#REF!,0)</f>
        <v>0</v>
      </c>
      <c r="BY142">
        <f>IFERROR(#REF!,0)</f>
        <v>0</v>
      </c>
      <c r="BZ142" t="e">
        <f ca="1">IFERROR(BZ141+MATCH(BZ$92,OFFSET(#REF!,BZ141,0,300-BZ141,1),0),NA())</f>
        <v>#N/A</v>
      </c>
      <c r="CA142">
        <f>IFERROR(#REF!,0)</f>
        <v>0</v>
      </c>
      <c r="CB142">
        <f>IFERROR(#REF!,0)</f>
        <v>0</v>
      </c>
      <c r="CC142">
        <f>IFERROR(#REF!,0)</f>
        <v>0</v>
      </c>
      <c r="CD142">
        <f>IFERROR(#REF!,0)</f>
        <v>0</v>
      </c>
      <c r="CE142">
        <f>IFERROR(#REF!,0)</f>
        <v>0</v>
      </c>
      <c r="CF142">
        <f>IFERROR(#REF!,0)</f>
        <v>0</v>
      </c>
      <c r="CG142">
        <f t="shared" ca="1" si="41"/>
        <v>0</v>
      </c>
    </row>
    <row r="143" spans="1:85" x14ac:dyDescent="0.4">
      <c r="A143" t="str">
        <f t="shared" si="107"/>
        <v/>
      </c>
      <c r="B143">
        <v>50</v>
      </c>
      <c r="C143" t="str" cm="1">
        <f t="array" ref="C143">INDEX(auto_Series_Code,B143)</f>
        <v>INDI_021</v>
      </c>
      <c r="D143" cm="1">
        <f t="array" ref="D143">INDEX(auto_tblSeries,$B143,D$93)</f>
        <v>2</v>
      </c>
      <c r="E143" cm="1">
        <f t="array" ref="E143">INDEX(auto_tblSeries,$B143,E$93)</f>
        <v>0</v>
      </c>
      <c r="F143" cm="1">
        <f t="array" ref="F143">INDEX(auto_tblSeries,$B143,F$93)</f>
        <v>1</v>
      </c>
      <c r="G143" cm="1">
        <f t="array" ref="G143">INDEX(auto_tblSeries,$B143,G$93)</f>
        <v>0</v>
      </c>
      <c r="H143" cm="1">
        <f t="array" ref="H143">INDEX(auto_tblSeries,$B143,H$93)</f>
        <v>1</v>
      </c>
      <c r="I143">
        <f t="shared" si="142"/>
        <v>2941</v>
      </c>
      <c r="K143" cm="1">
        <f t="array" ref="K143">INDEX(auto_DataFlat_Score,$I143,K$92)</f>
        <v>42.4</v>
      </c>
      <c r="L143" t="str" cm="1">
        <f t="array" ref="L143">INDEX(auto_DataFlat_Rank,$I143,L$92)</f>
        <v>46</v>
      </c>
      <c r="M143" cm="1">
        <f t="array" ref="M143">INDEX(auto_DataFlat_DataValue,$I143,M$92)</f>
        <v>57.6</v>
      </c>
      <c r="N143" cm="1">
        <f t="array" ref="N143">INDEX(auto_DataFlat_Classification,$I143,M$92)</f>
        <v>3</v>
      </c>
      <c r="O143" t="str" cm="1">
        <f t="array" ref="O143">INDEX(auto_DataFlat_IsEstimate,$I143,O$92)</f>
        <v xml:space="preserve"> </v>
      </c>
      <c r="P143" cm="1">
        <f t="array" ref="P143">IF(INDEX(auto_DataFlat_DataYear,$I143,P$92)=0,"n/a",INDEX(auto_DataFlat_DataYear,$I143,P$92))</f>
        <v>2021</v>
      </c>
      <c r="R143">
        <f t="shared" si="143"/>
        <v>2991</v>
      </c>
      <c r="S143" cm="1">
        <f t="array" ref="S143">INDEX(auto_DataFlat_Score,$R143,S$92)</f>
        <v>59</v>
      </c>
      <c r="U143">
        <f t="shared" si="145"/>
        <v>-16.600000000000001</v>
      </c>
      <c r="V143">
        <f t="shared" si="146"/>
        <v>3</v>
      </c>
      <c r="W143">
        <f t="shared" si="46"/>
        <v>3</v>
      </c>
      <c r="X143" t="e">
        <f t="shared" ca="1" si="47"/>
        <v>#N/A</v>
      </c>
      <c r="Y143" t="e">
        <f t="shared" ca="1" si="48"/>
        <v>#N/A</v>
      </c>
      <c r="Z143" t="e">
        <f t="shared" ca="1" si="49"/>
        <v>#N/A</v>
      </c>
      <c r="AB143">
        <f t="shared" ca="1" si="147"/>
        <v>0</v>
      </c>
      <c r="AC143">
        <f t="shared" ca="1" si="148"/>
        <v>0</v>
      </c>
      <c r="AD143">
        <f t="shared" ca="1" si="149"/>
        <v>0</v>
      </c>
      <c r="BO143">
        <f t="shared" si="114"/>
        <v>-1</v>
      </c>
      <c r="BP143" t="e">
        <f t="shared" ca="1" si="115"/>
        <v>#N/A</v>
      </c>
      <c r="BQ143" t="e">
        <f t="shared" ca="1" si="116"/>
        <v>#N/A</v>
      </c>
      <c r="BR143" t="e">
        <f t="shared" ca="1" si="117"/>
        <v>#N/A</v>
      </c>
      <c r="BS143" t="e">
        <f t="shared" ca="1" si="118"/>
        <v>#N/A</v>
      </c>
      <c r="BT143" t="e">
        <f t="shared" ca="1" si="119"/>
        <v>#N/A</v>
      </c>
      <c r="BU143" t="e">
        <f t="shared" ca="1" si="120"/>
        <v>#N/A</v>
      </c>
      <c r="BV143" t="e">
        <f t="shared" ca="1" si="121"/>
        <v>#N/A</v>
      </c>
      <c r="BW143">
        <f>IFERROR(#REF!,0)</f>
        <v>0</v>
      </c>
      <c r="BX143">
        <f>IFERROR(#REF!,0)</f>
        <v>0</v>
      </c>
      <c r="BY143">
        <f>IFERROR(#REF!,0)</f>
        <v>0</v>
      </c>
      <c r="BZ143" t="e">
        <f ca="1">IFERROR(BZ142+MATCH(BZ$92,OFFSET(#REF!,BZ142,0,300-BZ142,1),0),NA())</f>
        <v>#N/A</v>
      </c>
      <c r="CA143">
        <f>IFERROR(#REF!,0)</f>
        <v>0</v>
      </c>
      <c r="CB143">
        <f>IFERROR(#REF!,0)</f>
        <v>0</v>
      </c>
      <c r="CC143">
        <f>IFERROR(#REF!,0)</f>
        <v>0</v>
      </c>
      <c r="CD143">
        <f>IFERROR(#REF!,0)</f>
        <v>0</v>
      </c>
      <c r="CE143">
        <f>IFERROR(#REF!,0)</f>
        <v>0</v>
      </c>
      <c r="CF143">
        <f>IFERROR(#REF!,0)</f>
        <v>0</v>
      </c>
      <c r="CG143">
        <f t="shared" ca="1" si="41"/>
        <v>0</v>
      </c>
    </row>
    <row r="144" spans="1:85" x14ac:dyDescent="0.4">
      <c r="A144" t="str">
        <f t="shared" si="107"/>
        <v/>
      </c>
      <c r="B144">
        <v>51</v>
      </c>
      <c r="C144" t="str" cm="1">
        <f t="array" ref="C144">INDEX(auto_Series_Code,B144)</f>
        <v>INDI_022</v>
      </c>
      <c r="D144" cm="1">
        <f t="array" ref="D144">INDEX(auto_tblSeries,$B144,D$93)</f>
        <v>2</v>
      </c>
      <c r="E144" cm="1">
        <f t="array" ref="E144">INDEX(auto_tblSeries,$B144,E$93)</f>
        <v>0</v>
      </c>
      <c r="F144" cm="1">
        <f t="array" ref="F144">INDEX(auto_tblSeries,$B144,F$93)</f>
        <v>1</v>
      </c>
      <c r="G144" cm="1">
        <f t="array" ref="G144">INDEX(auto_tblSeries,$B144,G$93)</f>
        <v>0</v>
      </c>
      <c r="H144" cm="1">
        <f t="array" ref="H144">INDEX(auto_tblSeries,$B144,H$93)</f>
        <v>0</v>
      </c>
      <c r="I144">
        <f t="shared" si="144"/>
        <v>3001</v>
      </c>
      <c r="K144" cm="1">
        <f t="array" ref="K144">INDEX(auto_DataFlat_Score,$I144,K$92)</f>
        <v>0</v>
      </c>
      <c r="L144" t="str" cm="1">
        <f t="array" ref="L144">INDEX(auto_DataFlat_Rank,$I144,L$92)</f>
        <v>=27</v>
      </c>
      <c r="M144" cm="1">
        <f t="array" ref="M144">INDEX(auto_DataFlat_DataValue,$I144,M$92)</f>
        <v>0</v>
      </c>
      <c r="N144" cm="1">
        <f t="array" ref="N144">INDEX(auto_DataFlat_Classification,$I144,M$92)</f>
        <v>1</v>
      </c>
      <c r="O144" t="str" cm="1">
        <f t="array" ref="O144">INDEX(auto_DataFlat_IsEstimate,$I144,O$92)</f>
        <v xml:space="preserve"> </v>
      </c>
      <c r="P144" cm="1">
        <f t="array" ref="P144">IF(INDEX(auto_DataFlat_DataYear,$I144,P$92)=0,"n/a",INDEX(auto_DataFlat_DataYear,$I144,P$92))</f>
        <v>2024</v>
      </c>
      <c r="R144">
        <f t="shared" si="143"/>
        <v>3051</v>
      </c>
      <c r="S144" cm="1">
        <f t="array" ref="S144">INDEX(auto_DataFlat_Score,$R144,S$92)</f>
        <v>52</v>
      </c>
      <c r="U144">
        <f t="shared" si="145"/>
        <v>-52</v>
      </c>
      <c r="V144">
        <f t="shared" si="146"/>
        <v>3</v>
      </c>
      <c r="W144">
        <f t="shared" si="46"/>
        <v>3</v>
      </c>
      <c r="X144" t="e">
        <f t="shared" ca="1" si="47"/>
        <v>#N/A</v>
      </c>
      <c r="Y144" t="e">
        <f t="shared" ca="1" si="48"/>
        <v>#N/A</v>
      </c>
      <c r="Z144" t="e">
        <f t="shared" ca="1" si="49"/>
        <v>#N/A</v>
      </c>
      <c r="AB144">
        <f t="shared" ca="1" si="147"/>
        <v>0</v>
      </c>
      <c r="AC144">
        <f t="shared" ca="1" si="148"/>
        <v>0</v>
      </c>
      <c r="AD144">
        <f t="shared" ca="1" si="149"/>
        <v>0</v>
      </c>
      <c r="BO144">
        <f t="shared" si="114"/>
        <v>-1</v>
      </c>
      <c r="BP144" t="e">
        <f t="shared" ca="1" si="115"/>
        <v>#N/A</v>
      </c>
      <c r="BQ144" t="e">
        <f t="shared" ca="1" si="116"/>
        <v>#N/A</v>
      </c>
      <c r="BR144" t="e">
        <f t="shared" ca="1" si="117"/>
        <v>#N/A</v>
      </c>
      <c r="BS144" t="e">
        <f t="shared" ca="1" si="118"/>
        <v>#N/A</v>
      </c>
      <c r="BT144" t="e">
        <f t="shared" ca="1" si="119"/>
        <v>#N/A</v>
      </c>
      <c r="BU144" t="e">
        <f t="shared" ca="1" si="120"/>
        <v>#N/A</v>
      </c>
      <c r="BV144" t="e">
        <f t="shared" ca="1" si="121"/>
        <v>#N/A</v>
      </c>
      <c r="BW144">
        <f>IFERROR(#REF!,0)</f>
        <v>0</v>
      </c>
      <c r="BX144">
        <f>IFERROR(#REF!,0)</f>
        <v>0</v>
      </c>
      <c r="BY144">
        <f>IFERROR(#REF!,0)</f>
        <v>0</v>
      </c>
      <c r="BZ144" t="e">
        <f ca="1">IFERROR(BZ143+MATCH(BZ$92,OFFSET(#REF!,BZ143,0,300-BZ143,1),0),NA())</f>
        <v>#N/A</v>
      </c>
      <c r="CA144">
        <f>IFERROR(#REF!,0)</f>
        <v>0</v>
      </c>
      <c r="CB144">
        <f>IFERROR(#REF!,0)</f>
        <v>0</v>
      </c>
      <c r="CC144">
        <f>IFERROR(#REF!,0)</f>
        <v>0</v>
      </c>
      <c r="CD144">
        <f>IFERROR(#REF!,0)</f>
        <v>0</v>
      </c>
      <c r="CE144">
        <f>IFERROR(#REF!,0)</f>
        <v>0</v>
      </c>
      <c r="CF144">
        <f>IFERROR(#REF!,0)</f>
        <v>0</v>
      </c>
      <c r="CG144">
        <f t="shared" ca="1" si="41"/>
        <v>0</v>
      </c>
    </row>
    <row r="145" spans="1:85" x14ac:dyDescent="0.4">
      <c r="A145" t="str">
        <f t="shared" si="107"/>
        <v/>
      </c>
      <c r="B145">
        <v>52</v>
      </c>
      <c r="C145" t="str" cm="1">
        <f t="array" ref="C145">INDEX(auto_Series_Code,B145)</f>
        <v>DOMAIN_005</v>
      </c>
      <c r="D145" cm="1">
        <f t="array" ref="D145">INDEX(auto_tblSeries,$B145,D$93)</f>
        <v>1</v>
      </c>
      <c r="E145" cm="1">
        <f t="array" ref="E145">INDEX(auto_tblSeries,$B145,E$93)</f>
        <v>0</v>
      </c>
      <c r="F145" cm="1">
        <f t="array" ref="F145">INDEX(auto_tblSeries,$B145,F$93)</f>
        <v>0</v>
      </c>
      <c r="G145" cm="1">
        <f t="array" ref="G145">INDEX(auto_tblSeries,$B145,G$93)</f>
        <v>0</v>
      </c>
      <c r="H145" cm="1">
        <f t="array" ref="H145">INDEX(auto_tblSeries,$B145,H$93)</f>
        <v>1</v>
      </c>
      <c r="I145">
        <f t="shared" si="142"/>
        <v>3061</v>
      </c>
      <c r="K145" cm="1">
        <f t="array" ref="K145">INDEX(auto_DataFlat_Score,$I145,K$92)</f>
        <v>67.599999999999994</v>
      </c>
      <c r="L145" t="str" cm="1">
        <f t="array" ref="L145">INDEX(auto_DataFlat_Rank,$I145,L$92)</f>
        <v>33</v>
      </c>
      <c r="M145" cm="1">
        <f t="array" ref="M145">INDEX(auto_DataFlat_DataValue,$I145,M$92)</f>
        <v>0</v>
      </c>
      <c r="N145" cm="1">
        <f t="array" ref="N145">INDEX(auto_DataFlat_Classification,$I145,M$92)</f>
        <v>4</v>
      </c>
      <c r="O145" cm="1">
        <f t="array" ref="O145">INDEX(auto_DataFlat_IsEstimate,$I145,O$92)</f>
        <v>0</v>
      </c>
      <c r="P145" t="str" cm="1">
        <f t="array" ref="P145">IF(INDEX(auto_DataFlat_DataYear,$I145,P$92)=0,"n/a",INDEX(auto_DataFlat_DataYear,$I145,P$92))</f>
        <v>n/a</v>
      </c>
      <c r="R145">
        <f t="shared" si="143"/>
        <v>3111</v>
      </c>
      <c r="S145" cm="1">
        <f t="array" ref="S145">INDEX(auto_DataFlat_Score,$R145,S$92)</f>
        <v>68.900000000000006</v>
      </c>
      <c r="U145">
        <f t="shared" si="145"/>
        <v>-1.3000000000000114</v>
      </c>
      <c r="V145">
        <f t="shared" si="146"/>
        <v>3</v>
      </c>
      <c r="W145">
        <f t="shared" si="46"/>
        <v>-1</v>
      </c>
      <c r="X145" t="e">
        <f t="shared" ca="1" si="47"/>
        <v>#N/A</v>
      </c>
      <c r="Y145" t="e">
        <f t="shared" ca="1" si="48"/>
        <v>#N/A</v>
      </c>
      <c r="Z145" t="e">
        <f t="shared" ca="1" si="49"/>
        <v>#N/A</v>
      </c>
      <c r="AB145">
        <f t="shared" ca="1" si="147"/>
        <v>0</v>
      </c>
      <c r="AC145">
        <f t="shared" ca="1" si="148"/>
        <v>0</v>
      </c>
      <c r="AD145">
        <f t="shared" ca="1" si="149"/>
        <v>0</v>
      </c>
      <c r="BO145">
        <f t="shared" si="114"/>
        <v>-1</v>
      </c>
      <c r="BP145" t="e">
        <f t="shared" ca="1" si="115"/>
        <v>#N/A</v>
      </c>
      <c r="BQ145" t="e">
        <f t="shared" ca="1" si="116"/>
        <v>#N/A</v>
      </c>
      <c r="BR145" t="e">
        <f t="shared" ca="1" si="117"/>
        <v>#N/A</v>
      </c>
      <c r="BS145" t="e">
        <f t="shared" ca="1" si="118"/>
        <v>#N/A</v>
      </c>
      <c r="BT145" t="e">
        <f t="shared" ca="1" si="119"/>
        <v>#N/A</v>
      </c>
      <c r="BU145" t="e">
        <f t="shared" ca="1" si="120"/>
        <v>#N/A</v>
      </c>
      <c r="BV145" t="e">
        <f t="shared" ca="1" si="121"/>
        <v>#N/A</v>
      </c>
      <c r="BW145">
        <f>IFERROR(#REF!,0)</f>
        <v>0</v>
      </c>
      <c r="BX145">
        <f>IFERROR(#REF!,0)</f>
        <v>0</v>
      </c>
      <c r="BY145">
        <f>IFERROR(#REF!,0)</f>
        <v>0</v>
      </c>
      <c r="BZ145" t="e">
        <f ca="1">IFERROR(BZ144+MATCH(BZ$92,OFFSET(#REF!,BZ144,0,300-BZ144,1),0),NA())</f>
        <v>#N/A</v>
      </c>
      <c r="CA145">
        <f>IFERROR(#REF!,0)</f>
        <v>0</v>
      </c>
      <c r="CB145">
        <f>IFERROR(#REF!,0)</f>
        <v>0</v>
      </c>
      <c r="CC145">
        <f>IFERROR(#REF!,0)</f>
        <v>0</v>
      </c>
      <c r="CD145">
        <f>IFERROR(#REF!,0)</f>
        <v>0</v>
      </c>
      <c r="CE145">
        <f>IFERROR(#REF!,0)</f>
        <v>0</v>
      </c>
      <c r="CF145">
        <f>IFERROR(#REF!,0)</f>
        <v>0</v>
      </c>
      <c r="CG145">
        <f t="shared" ca="1" si="41"/>
        <v>0</v>
      </c>
    </row>
    <row r="146" spans="1:85" x14ac:dyDescent="0.4">
      <c r="A146" t="str">
        <f t="shared" si="107"/>
        <v/>
      </c>
      <c r="B146">
        <v>53</v>
      </c>
      <c r="C146" t="str" cm="1">
        <f t="array" ref="C146">INDEX(auto_Series_Code,B146)</f>
        <v>INDI_024</v>
      </c>
      <c r="D146" cm="1">
        <f t="array" ref="D146">INDEX(auto_tblSeries,$B146,D$93)</f>
        <v>2</v>
      </c>
      <c r="E146" cm="1">
        <f t="array" ref="E146">INDEX(auto_tblSeries,$B146,E$93)</f>
        <v>0</v>
      </c>
      <c r="F146" cm="1">
        <f t="array" ref="F146">INDEX(auto_tblSeries,$B146,F$93)</f>
        <v>1</v>
      </c>
      <c r="G146" cm="1">
        <f t="array" ref="G146">INDEX(auto_tblSeries,$B146,G$93)</f>
        <v>0</v>
      </c>
      <c r="H146" cm="1">
        <f t="array" ref="H146">INDEX(auto_tblSeries,$B146,H$93)</f>
        <v>0</v>
      </c>
      <c r="I146">
        <f t="shared" si="144"/>
        <v>3121</v>
      </c>
      <c r="K146" cm="1">
        <f t="array" ref="K146">INDEX(auto_DataFlat_Score,$I146,K$92)</f>
        <v>100</v>
      </c>
      <c r="L146" t="str" cm="1">
        <f t="array" ref="L146">INDEX(auto_DataFlat_Rank,$I146,L$92)</f>
        <v>=1</v>
      </c>
      <c r="M146" cm="1">
        <f t="array" ref="M146">INDEX(auto_DataFlat_DataValue,$I146,M$92)</f>
        <v>1</v>
      </c>
      <c r="N146" cm="1">
        <f t="array" ref="N146">INDEX(auto_DataFlat_Classification,$I146,M$92)</f>
        <v>5</v>
      </c>
      <c r="O146" t="str" cm="1">
        <f t="array" ref="O146">INDEX(auto_DataFlat_IsEstimate,$I146,O$92)</f>
        <v xml:space="preserve"> </v>
      </c>
      <c r="P146" cm="1">
        <f t="array" ref="P146">IF(INDEX(auto_DataFlat_DataYear,$I146,P$92)=0,"n/a",INDEX(auto_DataFlat_DataYear,$I146,P$92))</f>
        <v>2024</v>
      </c>
      <c r="R146">
        <f t="shared" si="143"/>
        <v>3171</v>
      </c>
      <c r="S146" cm="1">
        <f t="array" ref="S146">INDEX(auto_DataFlat_Score,$R146,S$92)</f>
        <v>52</v>
      </c>
      <c r="U146">
        <f t="shared" si="145"/>
        <v>48</v>
      </c>
      <c r="V146">
        <f t="shared" si="146"/>
        <v>1</v>
      </c>
      <c r="W146">
        <f t="shared" si="46"/>
        <v>1</v>
      </c>
      <c r="X146" t="e">
        <f t="shared" ca="1" si="47"/>
        <v>#N/A</v>
      </c>
      <c r="Y146" t="e">
        <f t="shared" ca="1" si="48"/>
        <v>#N/A</v>
      </c>
      <c r="Z146" t="e">
        <f t="shared" ca="1" si="49"/>
        <v>#N/A</v>
      </c>
      <c r="AB146">
        <f t="shared" ca="1" si="147"/>
        <v>0</v>
      </c>
      <c r="AC146">
        <f t="shared" ca="1" si="148"/>
        <v>0</v>
      </c>
      <c r="AD146">
        <f t="shared" ca="1" si="149"/>
        <v>0</v>
      </c>
      <c r="BO146">
        <f t="shared" si="114"/>
        <v>-1</v>
      </c>
      <c r="BP146" t="e">
        <f t="shared" ca="1" si="115"/>
        <v>#N/A</v>
      </c>
      <c r="BQ146" t="e">
        <f t="shared" ca="1" si="116"/>
        <v>#N/A</v>
      </c>
      <c r="BR146" t="e">
        <f t="shared" ca="1" si="117"/>
        <v>#N/A</v>
      </c>
      <c r="BS146" t="e">
        <f t="shared" ca="1" si="118"/>
        <v>#N/A</v>
      </c>
      <c r="BT146" t="e">
        <f t="shared" ca="1" si="119"/>
        <v>#N/A</v>
      </c>
      <c r="BU146" t="e">
        <f t="shared" ca="1" si="120"/>
        <v>#N/A</v>
      </c>
      <c r="BV146" t="e">
        <f t="shared" ca="1" si="121"/>
        <v>#N/A</v>
      </c>
      <c r="BW146">
        <f>IFERROR(#REF!,0)</f>
        <v>0</v>
      </c>
      <c r="BX146">
        <f>IFERROR(#REF!,0)</f>
        <v>0</v>
      </c>
      <c r="BY146">
        <f>IFERROR(#REF!,0)</f>
        <v>0</v>
      </c>
      <c r="BZ146" t="e">
        <f ca="1">IFERROR(BZ145+MATCH(BZ$92,OFFSET(#REF!,BZ145,0,300-BZ145,1),0),NA())</f>
        <v>#N/A</v>
      </c>
      <c r="CA146">
        <f>IFERROR(#REF!,0)</f>
        <v>0</v>
      </c>
      <c r="CB146">
        <f>IFERROR(#REF!,0)</f>
        <v>0</v>
      </c>
      <c r="CC146">
        <f>IFERROR(#REF!,0)</f>
        <v>0</v>
      </c>
      <c r="CD146">
        <f>IFERROR(#REF!,0)</f>
        <v>0</v>
      </c>
      <c r="CE146">
        <f>IFERROR(#REF!,0)</f>
        <v>0</v>
      </c>
      <c r="CF146">
        <f>IFERROR(#REF!,0)</f>
        <v>0</v>
      </c>
      <c r="CG146">
        <f t="shared" ca="1" si="41"/>
        <v>0</v>
      </c>
    </row>
    <row r="147" spans="1:85" x14ac:dyDescent="0.4">
      <c r="A147" t="str">
        <f t="shared" si="107"/>
        <v/>
      </c>
      <c r="B147">
        <v>54</v>
      </c>
      <c r="C147" t="str" cm="1">
        <f t="array" ref="C147">INDEX(auto_Series_Code,B147)</f>
        <v>INDI_025</v>
      </c>
      <c r="D147" cm="1">
        <f t="array" ref="D147">INDEX(auto_tblSeries,$B147,D$93)</f>
        <v>2</v>
      </c>
      <c r="E147" cm="1">
        <f t="array" ref="E147">INDEX(auto_tblSeries,$B147,E$93)</f>
        <v>0</v>
      </c>
      <c r="F147" cm="1">
        <f t="array" ref="F147">INDEX(auto_tblSeries,$B147,F$93)</f>
        <v>1</v>
      </c>
      <c r="G147" cm="1">
        <f t="array" ref="G147">INDEX(auto_tblSeries,$B147,G$93)</f>
        <v>0</v>
      </c>
      <c r="H147" cm="1">
        <f t="array" ref="H147">INDEX(auto_tblSeries,$B147,H$93)</f>
        <v>0</v>
      </c>
      <c r="I147">
        <f t="shared" si="142"/>
        <v>3181</v>
      </c>
      <c r="K147" cm="1">
        <f t="array" ref="K147">INDEX(auto_DataFlat_Score,$I147,K$92)</f>
        <v>100</v>
      </c>
      <c r="L147" t="str" cm="1">
        <f t="array" ref="L147">INDEX(auto_DataFlat_Rank,$I147,L$92)</f>
        <v>=1</v>
      </c>
      <c r="M147" cm="1">
        <f t="array" ref="M147">INDEX(auto_DataFlat_DataValue,$I147,M$92)</f>
        <v>3</v>
      </c>
      <c r="N147" cm="1">
        <f t="array" ref="N147">INDEX(auto_DataFlat_Classification,$I147,M$92)</f>
        <v>5</v>
      </c>
      <c r="O147" t="str" cm="1">
        <f t="array" ref="O147">INDEX(auto_DataFlat_IsEstimate,$I147,O$92)</f>
        <v xml:space="preserve"> </v>
      </c>
      <c r="P147" cm="1">
        <f t="array" ref="P147">IF(INDEX(auto_DataFlat_DataYear,$I147,P$92)=0,"n/a",INDEX(auto_DataFlat_DataYear,$I147,P$92))</f>
        <v>2024</v>
      </c>
      <c r="R147">
        <f t="shared" si="143"/>
        <v>3231</v>
      </c>
      <c r="S147" cm="1">
        <f t="array" ref="S147">INDEX(auto_DataFlat_Score,$R147,S$92)</f>
        <v>88.7</v>
      </c>
      <c r="U147">
        <f t="shared" si="145"/>
        <v>11.299999999999997</v>
      </c>
      <c r="V147">
        <f t="shared" si="146"/>
        <v>1</v>
      </c>
      <c r="W147">
        <f t="shared" si="46"/>
        <v>1</v>
      </c>
      <c r="X147" t="e">
        <f t="shared" ca="1" si="47"/>
        <v>#N/A</v>
      </c>
      <c r="Y147" t="e">
        <f t="shared" ca="1" si="48"/>
        <v>#N/A</v>
      </c>
      <c r="Z147" t="e">
        <f t="shared" ca="1" si="49"/>
        <v>#N/A</v>
      </c>
      <c r="AB147">
        <f t="shared" ca="1" si="147"/>
        <v>0</v>
      </c>
      <c r="AC147">
        <f t="shared" ca="1" si="148"/>
        <v>0</v>
      </c>
      <c r="AD147">
        <f t="shared" ca="1" si="149"/>
        <v>0</v>
      </c>
      <c r="BO147">
        <f t="shared" si="114"/>
        <v>-1</v>
      </c>
      <c r="BP147" t="e">
        <f t="shared" ca="1" si="115"/>
        <v>#N/A</v>
      </c>
      <c r="BQ147" t="e">
        <f t="shared" ca="1" si="116"/>
        <v>#N/A</v>
      </c>
      <c r="BR147" t="e">
        <f t="shared" ca="1" si="117"/>
        <v>#N/A</v>
      </c>
      <c r="BS147" t="e">
        <f t="shared" ca="1" si="118"/>
        <v>#N/A</v>
      </c>
      <c r="BT147" t="e">
        <f t="shared" ca="1" si="119"/>
        <v>#N/A</v>
      </c>
      <c r="BU147" t="e">
        <f t="shared" ca="1" si="120"/>
        <v>#N/A</v>
      </c>
      <c r="BV147" t="e">
        <f t="shared" ca="1" si="121"/>
        <v>#N/A</v>
      </c>
      <c r="BW147">
        <f>IFERROR(#REF!,0)</f>
        <v>0</v>
      </c>
      <c r="BX147">
        <f>IFERROR(#REF!,0)</f>
        <v>0</v>
      </c>
      <c r="BY147">
        <f>IFERROR(#REF!,0)</f>
        <v>0</v>
      </c>
      <c r="BZ147" t="e">
        <f ca="1">IFERROR(BZ146+MATCH(BZ$92,OFFSET(#REF!,BZ146,0,300-BZ146,1),0),NA())</f>
        <v>#N/A</v>
      </c>
      <c r="CA147">
        <f>IFERROR(#REF!,0)</f>
        <v>0</v>
      </c>
      <c r="CB147">
        <f>IFERROR(#REF!,0)</f>
        <v>0</v>
      </c>
      <c r="CC147">
        <f>IFERROR(#REF!,0)</f>
        <v>0</v>
      </c>
      <c r="CD147">
        <f>IFERROR(#REF!,0)</f>
        <v>0</v>
      </c>
      <c r="CE147">
        <f>IFERROR(#REF!,0)</f>
        <v>0</v>
      </c>
      <c r="CF147">
        <f>IFERROR(#REF!,0)</f>
        <v>0</v>
      </c>
      <c r="CG147">
        <f t="shared" ca="1" si="41"/>
        <v>0</v>
      </c>
    </row>
    <row r="148" spans="1:85" x14ac:dyDescent="0.4">
      <c r="A148" t="str">
        <f t="shared" si="107"/>
        <v/>
      </c>
      <c r="B148">
        <v>55</v>
      </c>
      <c r="C148" t="str" cm="1">
        <f t="array" ref="C148">INDEX(auto_Series_Code,B148)</f>
        <v>INDI_026</v>
      </c>
      <c r="D148" cm="1">
        <f t="array" ref="D148">INDEX(auto_tblSeries,$B148,D$93)</f>
        <v>2</v>
      </c>
      <c r="E148" cm="1">
        <f t="array" ref="E148">INDEX(auto_tblSeries,$B148,E$93)</f>
        <v>0</v>
      </c>
      <c r="F148" cm="1">
        <f t="array" ref="F148">INDEX(auto_tblSeries,$B148,F$93)</f>
        <v>0</v>
      </c>
      <c r="G148" cm="1">
        <f t="array" ref="G148">INDEX(auto_tblSeries,$B148,G$93)</f>
        <v>0</v>
      </c>
      <c r="H148" cm="1">
        <f t="array" ref="H148">INDEX(auto_tblSeries,$B148,H$93)</f>
        <v>1</v>
      </c>
      <c r="I148">
        <f t="shared" si="144"/>
        <v>3241</v>
      </c>
      <c r="K148" cm="1">
        <f t="array" ref="K148">INDEX(auto_DataFlat_Score,$I148,K$92)</f>
        <v>66.7</v>
      </c>
      <c r="L148" t="str" cm="1">
        <f t="array" ref="L148">INDEX(auto_DataFlat_Rank,$I148,L$92)</f>
        <v>=28</v>
      </c>
      <c r="M148" cm="1">
        <f t="array" ref="M148">INDEX(auto_DataFlat_DataValue,$I148,M$92)</f>
        <v>0</v>
      </c>
      <c r="N148" cm="1">
        <f t="array" ref="N148">INDEX(auto_DataFlat_Classification,$I148,M$92)</f>
        <v>4</v>
      </c>
      <c r="O148" cm="1">
        <f t="array" ref="O148">INDEX(auto_DataFlat_IsEstimate,$I148,O$92)</f>
        <v>0</v>
      </c>
      <c r="P148" t="str" cm="1">
        <f t="array" ref="P148">IF(INDEX(auto_DataFlat_DataYear,$I148,P$92)=0,"n/a",INDEX(auto_DataFlat_DataYear,$I148,P$92))</f>
        <v>n/a</v>
      </c>
      <c r="R148">
        <f t="shared" si="143"/>
        <v>3291</v>
      </c>
      <c r="S148" cm="1">
        <f t="array" ref="S148">INDEX(auto_DataFlat_Score,$R148,S$92)</f>
        <v>60.7</v>
      </c>
      <c r="U148">
        <f t="shared" si="145"/>
        <v>6</v>
      </c>
      <c r="V148">
        <f t="shared" si="146"/>
        <v>1</v>
      </c>
      <c r="W148">
        <f t="shared" si="46"/>
        <v>1</v>
      </c>
      <c r="X148" t="e">
        <f t="shared" ca="1" si="47"/>
        <v>#N/A</v>
      </c>
      <c r="Y148" t="e">
        <f t="shared" ca="1" si="48"/>
        <v>#N/A</v>
      </c>
      <c r="Z148" t="e">
        <f t="shared" ca="1" si="49"/>
        <v>#N/A</v>
      </c>
      <c r="AB148">
        <f t="shared" ca="1" si="147"/>
        <v>0</v>
      </c>
      <c r="AC148">
        <f t="shared" ca="1" si="148"/>
        <v>0</v>
      </c>
      <c r="AD148">
        <f t="shared" ca="1" si="149"/>
        <v>0</v>
      </c>
      <c r="BO148">
        <f t="shared" si="114"/>
        <v>-1</v>
      </c>
      <c r="BP148" t="e">
        <f t="shared" ca="1" si="115"/>
        <v>#N/A</v>
      </c>
      <c r="BQ148" t="e">
        <f t="shared" ca="1" si="116"/>
        <v>#N/A</v>
      </c>
      <c r="BR148" t="e">
        <f t="shared" ca="1" si="117"/>
        <v>#N/A</v>
      </c>
      <c r="BS148" t="e">
        <f t="shared" ca="1" si="118"/>
        <v>#N/A</v>
      </c>
      <c r="BT148" t="e">
        <f t="shared" ca="1" si="119"/>
        <v>#N/A</v>
      </c>
      <c r="BU148" t="e">
        <f t="shared" ca="1" si="120"/>
        <v>#N/A</v>
      </c>
      <c r="BV148" t="e">
        <f t="shared" ca="1" si="121"/>
        <v>#N/A</v>
      </c>
      <c r="BW148">
        <f>IFERROR(#REF!,0)</f>
        <v>0</v>
      </c>
      <c r="BX148">
        <f>IFERROR(#REF!,0)</f>
        <v>0</v>
      </c>
      <c r="BY148">
        <f>IFERROR(#REF!,0)</f>
        <v>0</v>
      </c>
      <c r="BZ148" t="e">
        <f ca="1">IFERROR(BZ147+MATCH(BZ$92,OFFSET(#REF!,BZ147,0,300-BZ147,1),0),NA())</f>
        <v>#N/A</v>
      </c>
      <c r="CA148">
        <f>IFERROR(#REF!,0)</f>
        <v>0</v>
      </c>
      <c r="CB148">
        <f>IFERROR(#REF!,0)</f>
        <v>0</v>
      </c>
      <c r="CC148">
        <f>IFERROR(#REF!,0)</f>
        <v>0</v>
      </c>
      <c r="CD148">
        <f>IFERROR(#REF!,0)</f>
        <v>0</v>
      </c>
      <c r="CE148">
        <f>IFERROR(#REF!,0)</f>
        <v>0</v>
      </c>
      <c r="CF148">
        <f>IFERROR(#REF!,0)</f>
        <v>0</v>
      </c>
      <c r="CG148">
        <f t="shared" ca="1" si="41"/>
        <v>0</v>
      </c>
    </row>
    <row r="149" spans="1:85" x14ac:dyDescent="0.4">
      <c r="A149" t="str">
        <f t="shared" si="107"/>
        <v/>
      </c>
      <c r="B149">
        <v>56</v>
      </c>
      <c r="C149" t="str" cm="1">
        <f t="array" ref="C149">INDEX(auto_Series_Code,B149)</f>
        <v>SUBINDI_025</v>
      </c>
      <c r="D149" cm="1">
        <f t="array" ref="D149">INDEX(auto_tblSeries,$B149,D$93)</f>
        <v>3</v>
      </c>
      <c r="E149" cm="1">
        <f t="array" ref="E149">INDEX(auto_tblSeries,$B149,E$93)</f>
        <v>0</v>
      </c>
      <c r="F149" cm="1">
        <f t="array" ref="F149">INDEX(auto_tblSeries,$B149,F$93)</f>
        <v>1</v>
      </c>
      <c r="G149" cm="1">
        <f t="array" ref="G149">INDEX(auto_tblSeries,$B149,G$93)</f>
        <v>0</v>
      </c>
      <c r="H149" cm="1">
        <f t="array" ref="H149">INDEX(auto_tblSeries,$B149,H$93)</f>
        <v>0</v>
      </c>
      <c r="I149">
        <f t="shared" si="142"/>
        <v>3301</v>
      </c>
      <c r="K149" cm="1">
        <f t="array" ref="K149">INDEX(auto_DataFlat_Score,$I149,K$92)</f>
        <v>33.299999999999997</v>
      </c>
      <c r="L149" t="str" cm="1">
        <f t="array" ref="L149">INDEX(auto_DataFlat_Rank,$I149,L$92)</f>
        <v>=31</v>
      </c>
      <c r="M149" cm="1">
        <f t="array" ref="M149">INDEX(auto_DataFlat_DataValue,$I149,M$92)</f>
        <v>1</v>
      </c>
      <c r="N149" cm="1">
        <f t="array" ref="N149">INDEX(auto_DataFlat_Classification,$I149,M$92)</f>
        <v>2</v>
      </c>
      <c r="O149" t="str" cm="1">
        <f t="array" ref="O149">INDEX(auto_DataFlat_IsEstimate,$I149,O$92)</f>
        <v xml:space="preserve"> </v>
      </c>
      <c r="P149" cm="1">
        <f t="array" ref="P149">IF(INDEX(auto_DataFlat_DataYear,$I149,P$92)=0,"n/a",INDEX(auto_DataFlat_DataYear,$I149,P$92))</f>
        <v>2024</v>
      </c>
      <c r="R149">
        <f t="shared" si="143"/>
        <v>3351</v>
      </c>
      <c r="S149" cm="1">
        <f t="array" ref="S149">INDEX(auto_DataFlat_Score,$R149,S$92)</f>
        <v>55.3</v>
      </c>
      <c r="U149">
        <f t="shared" si="145"/>
        <v>-22</v>
      </c>
      <c r="V149">
        <f t="shared" si="146"/>
        <v>3</v>
      </c>
      <c r="W149">
        <f t="shared" si="46"/>
        <v>-1</v>
      </c>
      <c r="X149" t="e">
        <f t="shared" ca="1" si="47"/>
        <v>#N/A</v>
      </c>
      <c r="Y149" t="e">
        <f t="shared" ca="1" si="48"/>
        <v>#N/A</v>
      </c>
      <c r="Z149" t="e">
        <f t="shared" ca="1" si="49"/>
        <v>#N/A</v>
      </c>
      <c r="AB149">
        <f t="shared" ca="1" si="147"/>
        <v>0</v>
      </c>
      <c r="AC149">
        <f t="shared" ca="1" si="148"/>
        <v>0</v>
      </c>
      <c r="AD149">
        <f t="shared" ca="1" si="149"/>
        <v>0</v>
      </c>
      <c r="BO149">
        <f t="shared" si="114"/>
        <v>2</v>
      </c>
      <c r="BP149" t="e">
        <f t="shared" ca="1" si="115"/>
        <v>#N/A</v>
      </c>
      <c r="BQ149" t="e">
        <f t="shared" ca="1" si="116"/>
        <v>#N/A</v>
      </c>
      <c r="BR149" t="e">
        <f t="shared" ca="1" si="117"/>
        <v>#N/A</v>
      </c>
      <c r="BS149" t="e">
        <f t="shared" ca="1" si="118"/>
        <v>#N/A</v>
      </c>
      <c r="BT149" t="e">
        <f t="shared" ca="1" si="119"/>
        <v>#N/A</v>
      </c>
      <c r="BU149" t="e">
        <f t="shared" ca="1" si="120"/>
        <v>#N/A</v>
      </c>
      <c r="BV149" t="e">
        <f t="shared" ca="1" si="121"/>
        <v>#N/A</v>
      </c>
      <c r="BW149">
        <f>IFERROR(#REF!,0)</f>
        <v>0</v>
      </c>
      <c r="BX149">
        <f>IFERROR(#REF!,0)</f>
        <v>0</v>
      </c>
      <c r="BY149">
        <f>IFERROR(#REF!,0)</f>
        <v>0</v>
      </c>
      <c r="BZ149" t="e">
        <f ca="1">IFERROR(BZ148+MATCH(BZ$92,OFFSET(#REF!,BZ148,0,300-BZ148,1),0),NA())</f>
        <v>#N/A</v>
      </c>
      <c r="CA149">
        <f>IFERROR(#REF!,0)</f>
        <v>0</v>
      </c>
      <c r="CB149">
        <f>IFERROR(#REF!,0)</f>
        <v>0</v>
      </c>
      <c r="CC149">
        <f>IFERROR(#REF!,0)</f>
        <v>0</v>
      </c>
      <c r="CD149">
        <f>IFERROR(#REF!,0)</f>
        <v>0</v>
      </c>
      <c r="CE149">
        <f>IFERROR(#REF!,0)</f>
        <v>0</v>
      </c>
      <c r="CF149">
        <f>IFERROR(#REF!,0)</f>
        <v>0</v>
      </c>
      <c r="CG149">
        <f t="shared" ca="1" si="41"/>
        <v>0</v>
      </c>
    </row>
    <row r="150" spans="1:85" x14ac:dyDescent="0.4">
      <c r="A150" t="str">
        <f t="shared" si="107"/>
        <v/>
      </c>
      <c r="B150">
        <v>57</v>
      </c>
      <c r="C150" t="str" cm="1">
        <f t="array" ref="C150">INDEX(auto_Series_Code,B150)</f>
        <v>SUBINDI_026</v>
      </c>
      <c r="D150" cm="1">
        <f t="array" ref="D150">INDEX(auto_tblSeries,$B150,D$93)</f>
        <v>3</v>
      </c>
      <c r="E150" cm="1">
        <f t="array" ref="E150">INDEX(auto_tblSeries,$B150,E$93)</f>
        <v>0</v>
      </c>
      <c r="F150" cm="1">
        <f t="array" ref="F150">INDEX(auto_tblSeries,$B150,F$93)</f>
        <v>1</v>
      </c>
      <c r="G150" cm="1">
        <f t="array" ref="G150">INDEX(auto_tblSeries,$B150,G$93)</f>
        <v>0</v>
      </c>
      <c r="H150" cm="1">
        <f t="array" ref="H150">INDEX(auto_tblSeries,$B150,H$93)</f>
        <v>0</v>
      </c>
      <c r="I150">
        <f t="shared" si="144"/>
        <v>3361</v>
      </c>
      <c r="K150" cm="1">
        <f t="array" ref="K150">INDEX(auto_DataFlat_Score,$I150,K$92)</f>
        <v>100</v>
      </c>
      <c r="L150" t="str" cm="1">
        <f t="array" ref="L150">INDEX(auto_DataFlat_Rank,$I150,L$92)</f>
        <v>=1</v>
      </c>
      <c r="M150" cm="1">
        <f t="array" ref="M150">INDEX(auto_DataFlat_DataValue,$I150,M$92)</f>
        <v>1</v>
      </c>
      <c r="N150" cm="1">
        <f t="array" ref="N150">INDEX(auto_DataFlat_Classification,$I150,M$92)</f>
        <v>5</v>
      </c>
      <c r="O150" t="str" cm="1">
        <f t="array" ref="O150">INDEX(auto_DataFlat_IsEstimate,$I150,O$92)</f>
        <v xml:space="preserve"> </v>
      </c>
      <c r="P150" cm="1">
        <f t="array" ref="P150">IF(INDEX(auto_DataFlat_DataYear,$I150,P$92)=0,"n/a",INDEX(auto_DataFlat_DataYear,$I150,P$92))</f>
        <v>2024</v>
      </c>
      <c r="R150">
        <f t="shared" si="143"/>
        <v>3411</v>
      </c>
      <c r="S150" cm="1">
        <f t="array" ref="S150">INDEX(auto_DataFlat_Score,$R150,S$92)</f>
        <v>66</v>
      </c>
      <c r="U150">
        <f t="shared" si="145"/>
        <v>34</v>
      </c>
      <c r="V150">
        <f t="shared" si="146"/>
        <v>1</v>
      </c>
      <c r="W150">
        <f t="shared" si="46"/>
        <v>-1</v>
      </c>
      <c r="X150" t="e">
        <f t="shared" ca="1" si="47"/>
        <v>#N/A</v>
      </c>
      <c r="Y150" t="e">
        <f t="shared" ca="1" si="48"/>
        <v>#N/A</v>
      </c>
      <c r="Z150" t="e">
        <f t="shared" ca="1" si="49"/>
        <v>#N/A</v>
      </c>
      <c r="AB150">
        <f t="shared" ca="1" si="147"/>
        <v>0</v>
      </c>
      <c r="AC150">
        <f t="shared" ca="1" si="148"/>
        <v>0</v>
      </c>
      <c r="AD150">
        <f t="shared" ca="1" si="149"/>
        <v>0</v>
      </c>
      <c r="BO150">
        <f t="shared" si="114"/>
        <v>5</v>
      </c>
      <c r="BP150" t="e">
        <f t="shared" ca="1" si="115"/>
        <v>#N/A</v>
      </c>
      <c r="BQ150" t="e">
        <f t="shared" ca="1" si="116"/>
        <v>#N/A</v>
      </c>
      <c r="BR150" t="e">
        <f t="shared" ca="1" si="117"/>
        <v>#N/A</v>
      </c>
      <c r="BS150" t="e">
        <f t="shared" ca="1" si="118"/>
        <v>#N/A</v>
      </c>
      <c r="BT150" t="e">
        <f t="shared" ca="1" si="119"/>
        <v>#N/A</v>
      </c>
      <c r="BU150" t="e">
        <f t="shared" ca="1" si="120"/>
        <v>#N/A</v>
      </c>
      <c r="BV150" t="e">
        <f t="shared" ca="1" si="121"/>
        <v>#N/A</v>
      </c>
      <c r="BW150">
        <f>IFERROR(#REF!,0)</f>
        <v>0</v>
      </c>
      <c r="BX150">
        <f>IFERROR(#REF!,0)</f>
        <v>0</v>
      </c>
      <c r="BY150">
        <f>IFERROR(#REF!,0)</f>
        <v>0</v>
      </c>
      <c r="BZ150" t="e">
        <f ca="1">IFERROR(BZ149+MATCH(BZ$92,OFFSET(#REF!,BZ149,0,300-BZ149,1),0),NA())</f>
        <v>#N/A</v>
      </c>
      <c r="CA150">
        <f>IFERROR(#REF!,0)</f>
        <v>0</v>
      </c>
      <c r="CB150">
        <f>IFERROR(#REF!,0)</f>
        <v>0</v>
      </c>
      <c r="CC150">
        <f>IFERROR(#REF!,0)</f>
        <v>0</v>
      </c>
      <c r="CD150">
        <f>IFERROR(#REF!,0)</f>
        <v>0</v>
      </c>
      <c r="CE150">
        <f>IFERROR(#REF!,0)</f>
        <v>0</v>
      </c>
      <c r="CF150">
        <f>IFERROR(#REF!,0)</f>
        <v>0</v>
      </c>
      <c r="CG150">
        <f t="shared" ca="1" si="41"/>
        <v>0</v>
      </c>
    </row>
    <row r="151" spans="1:85" x14ac:dyDescent="0.4">
      <c r="A151" t="str">
        <f t="shared" si="107"/>
        <v/>
      </c>
      <c r="B151">
        <v>58</v>
      </c>
      <c r="C151" t="str" cm="1">
        <f t="array" ref="C151">INDEX(auto_Series_Code,B151)</f>
        <v>INDI_027</v>
      </c>
      <c r="D151" cm="1">
        <f t="array" ref="D151">INDEX(auto_tblSeries,$B151,D$93)</f>
        <v>2</v>
      </c>
      <c r="E151" cm="1">
        <f t="array" ref="E151">INDEX(auto_tblSeries,$B151,E$93)</f>
        <v>0</v>
      </c>
      <c r="F151" cm="1">
        <f t="array" ref="F151">INDEX(auto_tblSeries,$B151,F$93)</f>
        <v>1</v>
      </c>
      <c r="G151" cm="1">
        <f t="array" ref="G151">INDEX(auto_tblSeries,$B151,G$93)</f>
        <v>0</v>
      </c>
      <c r="H151" cm="1">
        <f t="array" ref="H151">INDEX(auto_tblSeries,$B151,H$93)</f>
        <v>0</v>
      </c>
      <c r="I151">
        <f t="shared" si="142"/>
        <v>3421</v>
      </c>
      <c r="K151" cm="1">
        <f t="array" ref="K151">INDEX(auto_DataFlat_Score,$I151,K$92)</f>
        <v>0</v>
      </c>
      <c r="L151" t="str" cm="1">
        <f t="array" ref="L151">INDEX(auto_DataFlat_Rank,$I151,L$92)</f>
        <v>=43</v>
      </c>
      <c r="M151" cm="1">
        <f t="array" ref="M151">INDEX(auto_DataFlat_DataValue,$I151,M$92)</f>
        <v>0</v>
      </c>
      <c r="N151" cm="1">
        <f t="array" ref="N151">INDEX(auto_DataFlat_Classification,$I151,M$92)</f>
        <v>1</v>
      </c>
      <c r="O151" t="str" cm="1">
        <f t="array" ref="O151">INDEX(auto_DataFlat_IsEstimate,$I151,O$92)</f>
        <v xml:space="preserve"> </v>
      </c>
      <c r="P151" cm="1">
        <f t="array" ref="P151">IF(INDEX(auto_DataFlat_DataYear,$I151,P$92)=0,"n/a",INDEX(auto_DataFlat_DataYear,$I151,P$92))</f>
        <v>2024</v>
      </c>
      <c r="R151">
        <f t="shared" si="143"/>
        <v>3471</v>
      </c>
      <c r="S151" cm="1">
        <f t="array" ref="S151">INDEX(auto_DataFlat_Score,$R151,S$92)</f>
        <v>55</v>
      </c>
      <c r="U151">
        <f t="shared" si="145"/>
        <v>-55</v>
      </c>
      <c r="V151">
        <f t="shared" si="146"/>
        <v>3</v>
      </c>
      <c r="W151">
        <f t="shared" si="46"/>
        <v>3</v>
      </c>
      <c r="X151" t="e">
        <f t="shared" ca="1" si="47"/>
        <v>#N/A</v>
      </c>
      <c r="Y151" t="e">
        <f t="shared" ca="1" si="48"/>
        <v>#N/A</v>
      </c>
      <c r="Z151" t="e">
        <f t="shared" ca="1" si="49"/>
        <v>#N/A</v>
      </c>
      <c r="AB151">
        <f t="shared" ca="1" si="147"/>
        <v>0</v>
      </c>
      <c r="AC151">
        <f t="shared" ca="1" si="148"/>
        <v>0</v>
      </c>
      <c r="AD151">
        <f t="shared" ca="1" si="149"/>
        <v>0</v>
      </c>
      <c r="BO151">
        <f t="shared" si="114"/>
        <v>-1</v>
      </c>
      <c r="BP151" t="e">
        <f t="shared" ca="1" si="115"/>
        <v>#N/A</v>
      </c>
      <c r="BQ151" t="e">
        <f t="shared" ca="1" si="116"/>
        <v>#N/A</v>
      </c>
      <c r="BR151" t="e">
        <f t="shared" ca="1" si="117"/>
        <v>#N/A</v>
      </c>
      <c r="BS151" t="e">
        <f t="shared" ca="1" si="118"/>
        <v>#N/A</v>
      </c>
      <c r="BT151" t="e">
        <f t="shared" ca="1" si="119"/>
        <v>#N/A</v>
      </c>
      <c r="BU151" t="e">
        <f t="shared" ca="1" si="120"/>
        <v>#N/A</v>
      </c>
      <c r="BV151" t="e">
        <f t="shared" ca="1" si="121"/>
        <v>#N/A</v>
      </c>
      <c r="BW151">
        <f>IFERROR(#REF!,0)</f>
        <v>0</v>
      </c>
      <c r="BX151">
        <f>IFERROR(#REF!,0)</f>
        <v>0</v>
      </c>
      <c r="BY151">
        <f>IFERROR(#REF!,0)</f>
        <v>0</v>
      </c>
      <c r="BZ151" t="e">
        <f ca="1">IFERROR(BZ150+MATCH(BZ$92,OFFSET(#REF!,BZ150,0,300-BZ150,1),0),NA())</f>
        <v>#N/A</v>
      </c>
      <c r="CA151">
        <f>IFERROR(#REF!,0)</f>
        <v>0</v>
      </c>
      <c r="CB151">
        <f>IFERROR(#REF!,0)</f>
        <v>0</v>
      </c>
      <c r="CC151">
        <f>IFERROR(#REF!,0)</f>
        <v>0</v>
      </c>
      <c r="CD151">
        <f>IFERROR(#REF!,0)</f>
        <v>0</v>
      </c>
      <c r="CE151">
        <f>IFERROR(#REF!,0)</f>
        <v>0</v>
      </c>
      <c r="CF151">
        <f>IFERROR(#REF!,0)</f>
        <v>0</v>
      </c>
      <c r="CG151">
        <f t="shared" ca="1" si="41"/>
        <v>0</v>
      </c>
    </row>
    <row r="152" spans="1:85" x14ac:dyDescent="0.4">
      <c r="A152" t="str">
        <f t="shared" si="107"/>
        <v/>
      </c>
      <c r="B152">
        <v>59</v>
      </c>
      <c r="C152" t="str" cm="1">
        <f t="array" ref="C152">INDEX(auto_Series_Code,B152)</f>
        <v>INDI_028</v>
      </c>
      <c r="D152" cm="1">
        <f t="array" ref="D152">INDEX(auto_tblSeries,$B152,D$93)</f>
        <v>2</v>
      </c>
      <c r="E152" cm="1">
        <f t="array" ref="E152">INDEX(auto_tblSeries,$B152,E$93)</f>
        <v>0</v>
      </c>
      <c r="F152" cm="1">
        <f t="array" ref="F152">INDEX(auto_tblSeries,$B152,F$93)</f>
        <v>1</v>
      </c>
      <c r="G152" cm="1">
        <f t="array" ref="G152">INDEX(auto_tblSeries,$B152,G$93)</f>
        <v>0</v>
      </c>
      <c r="H152" cm="1">
        <f t="array" ref="H152">INDEX(auto_tblSeries,$B152,H$93)</f>
        <v>0</v>
      </c>
      <c r="I152">
        <f t="shared" si="144"/>
        <v>3481</v>
      </c>
      <c r="K152" cm="1">
        <f t="array" ref="K152">INDEX(auto_DataFlat_Score,$I152,K$92)</f>
        <v>100</v>
      </c>
      <c r="L152" t="str" cm="1">
        <f t="array" ref="L152">INDEX(auto_DataFlat_Rank,$I152,L$92)</f>
        <v>=1</v>
      </c>
      <c r="M152" cm="1">
        <f t="array" ref="M152">INDEX(auto_DataFlat_DataValue,$I152,M$92)</f>
        <v>1</v>
      </c>
      <c r="N152" cm="1">
        <f t="array" ref="N152">INDEX(auto_DataFlat_Classification,$I152,M$92)</f>
        <v>5</v>
      </c>
      <c r="O152" t="str" cm="1">
        <f t="array" ref="O152">INDEX(auto_DataFlat_IsEstimate,$I152,O$92)</f>
        <v xml:space="preserve"> </v>
      </c>
      <c r="P152" cm="1">
        <f t="array" ref="P152">IF(INDEX(auto_DataFlat_DataYear,$I152,P$92)=0,"n/a",INDEX(auto_DataFlat_DataYear,$I152,P$92))</f>
        <v>2024</v>
      </c>
      <c r="R152">
        <f t="shared" si="143"/>
        <v>3531</v>
      </c>
      <c r="S152" cm="1">
        <f t="array" ref="S152">INDEX(auto_DataFlat_Score,$R152,S$92)</f>
        <v>78</v>
      </c>
      <c r="U152">
        <f t="shared" si="145"/>
        <v>22</v>
      </c>
      <c r="V152">
        <f t="shared" si="146"/>
        <v>1</v>
      </c>
      <c r="W152">
        <f t="shared" si="46"/>
        <v>1</v>
      </c>
      <c r="X152" t="e">
        <f t="shared" ca="1" si="47"/>
        <v>#N/A</v>
      </c>
      <c r="Y152" t="e">
        <f t="shared" ca="1" si="48"/>
        <v>#N/A</v>
      </c>
      <c r="Z152" t="e">
        <f t="shared" ca="1" si="49"/>
        <v>#N/A</v>
      </c>
      <c r="AB152">
        <f t="shared" ca="1" si="147"/>
        <v>0</v>
      </c>
      <c r="AC152">
        <f t="shared" ca="1" si="148"/>
        <v>0</v>
      </c>
      <c r="AD152">
        <f t="shared" ca="1" si="149"/>
        <v>0</v>
      </c>
      <c r="BO152">
        <f t="shared" si="114"/>
        <v>-1</v>
      </c>
      <c r="BP152" t="e">
        <f t="shared" ca="1" si="115"/>
        <v>#N/A</v>
      </c>
      <c r="BQ152" t="e">
        <f t="shared" ca="1" si="116"/>
        <v>#N/A</v>
      </c>
      <c r="BR152" t="e">
        <f t="shared" ca="1" si="117"/>
        <v>#N/A</v>
      </c>
      <c r="BS152" t="e">
        <f t="shared" ca="1" si="118"/>
        <v>#N/A</v>
      </c>
      <c r="BT152" t="e">
        <f t="shared" ca="1" si="119"/>
        <v>#N/A</v>
      </c>
      <c r="BU152" t="e">
        <f t="shared" ca="1" si="120"/>
        <v>#N/A</v>
      </c>
      <c r="BV152" t="e">
        <f t="shared" ca="1" si="121"/>
        <v>#N/A</v>
      </c>
      <c r="BW152">
        <f>IFERROR(#REF!,0)</f>
        <v>0</v>
      </c>
      <c r="BX152">
        <f>IFERROR(#REF!,0)</f>
        <v>0</v>
      </c>
      <c r="BY152">
        <f>IFERROR(#REF!,0)</f>
        <v>0</v>
      </c>
      <c r="BZ152" t="e">
        <f ca="1">IFERROR(BZ151+MATCH(BZ$92,OFFSET(#REF!,BZ151,0,300-BZ151,1),0),NA())</f>
        <v>#N/A</v>
      </c>
      <c r="CA152">
        <f>IFERROR(#REF!,0)</f>
        <v>0</v>
      </c>
      <c r="CB152">
        <f>IFERROR(#REF!,0)</f>
        <v>0</v>
      </c>
      <c r="CC152">
        <f>IFERROR(#REF!,0)</f>
        <v>0</v>
      </c>
      <c r="CD152">
        <f>IFERROR(#REF!,0)</f>
        <v>0</v>
      </c>
      <c r="CE152">
        <f>IFERROR(#REF!,0)</f>
        <v>0</v>
      </c>
      <c r="CF152">
        <f>IFERROR(#REF!,0)</f>
        <v>0</v>
      </c>
      <c r="CG152">
        <f t="shared" ca="1" si="41"/>
        <v>0</v>
      </c>
    </row>
    <row r="153" spans="1:85" x14ac:dyDescent="0.4">
      <c r="A153" t="str">
        <f t="shared" si="107"/>
        <v/>
      </c>
      <c r="B153">
        <v>60</v>
      </c>
      <c r="C153" t="str" cm="1">
        <f t="array" ref="C153">INDEX(auto_Series_Code,B153)</f>
        <v>INDI_029</v>
      </c>
      <c r="D153" cm="1">
        <f t="array" ref="D153">INDEX(auto_tblSeries,$B153,D$93)</f>
        <v>2</v>
      </c>
      <c r="E153" cm="1">
        <f t="array" ref="E153">INDEX(auto_tblSeries,$B153,E$93)</f>
        <v>0</v>
      </c>
      <c r="F153" cm="1">
        <f t="array" ref="F153">INDEX(auto_tblSeries,$B153,F$93)</f>
        <v>1</v>
      </c>
      <c r="G153" cm="1">
        <f t="array" ref="G153">INDEX(auto_tblSeries,$B153,G$93)</f>
        <v>0</v>
      </c>
      <c r="H153" cm="1">
        <f t="array" ref="H153">INDEX(auto_tblSeries,$B153,H$93)</f>
        <v>0</v>
      </c>
      <c r="I153">
        <f t="shared" si="142"/>
        <v>3541</v>
      </c>
      <c r="K153" cm="1">
        <f t="array" ref="K153">INDEX(auto_DataFlat_Score,$I153,K$92)</f>
        <v>100</v>
      </c>
      <c r="L153" t="str" cm="1">
        <f t="array" ref="L153">INDEX(auto_DataFlat_Rank,$I153,L$92)</f>
        <v>=1</v>
      </c>
      <c r="M153" cm="1">
        <f t="array" ref="M153">INDEX(auto_DataFlat_DataValue,$I153,M$92)</f>
        <v>2</v>
      </c>
      <c r="N153" cm="1">
        <f t="array" ref="N153">INDEX(auto_DataFlat_Classification,$I153,M$92)</f>
        <v>5</v>
      </c>
      <c r="O153" t="str" cm="1">
        <f t="array" ref="O153">INDEX(auto_DataFlat_IsEstimate,$I153,O$92)</f>
        <v xml:space="preserve"> </v>
      </c>
      <c r="P153" cm="1">
        <f t="array" ref="P153">IF(INDEX(auto_DataFlat_DataYear,$I153,P$92)=0,"n/a",INDEX(auto_DataFlat_DataYear,$I153,P$92))</f>
        <v>2024</v>
      </c>
      <c r="R153">
        <f t="shared" si="143"/>
        <v>3591</v>
      </c>
      <c r="S153" cm="1">
        <f t="array" ref="S153">INDEX(auto_DataFlat_Score,$R153,S$92)</f>
        <v>95</v>
      </c>
      <c r="U153">
        <f t="shared" si="145"/>
        <v>5</v>
      </c>
      <c r="V153">
        <f t="shared" si="146"/>
        <v>1</v>
      </c>
      <c r="W153">
        <f t="shared" si="46"/>
        <v>1</v>
      </c>
      <c r="X153" t="e">
        <f t="shared" ca="1" si="47"/>
        <v>#N/A</v>
      </c>
      <c r="Y153" t="e">
        <f t="shared" ca="1" si="48"/>
        <v>#N/A</v>
      </c>
      <c r="Z153" t="e">
        <f t="shared" ca="1" si="49"/>
        <v>#N/A</v>
      </c>
      <c r="AB153">
        <f t="shared" ca="1" si="147"/>
        <v>0</v>
      </c>
      <c r="AC153">
        <f t="shared" ca="1" si="148"/>
        <v>0</v>
      </c>
      <c r="AD153">
        <f t="shared" ca="1" si="149"/>
        <v>0</v>
      </c>
      <c r="BO153">
        <f t="shared" si="114"/>
        <v>-1</v>
      </c>
      <c r="BP153" t="e">
        <f t="shared" ca="1" si="115"/>
        <v>#N/A</v>
      </c>
      <c r="BQ153" t="e">
        <f t="shared" ca="1" si="116"/>
        <v>#N/A</v>
      </c>
      <c r="BR153" t="e">
        <f t="shared" ca="1" si="117"/>
        <v>#N/A</v>
      </c>
      <c r="BS153" t="e">
        <f t="shared" ca="1" si="118"/>
        <v>#N/A</v>
      </c>
      <c r="BT153" t="e">
        <f t="shared" ca="1" si="119"/>
        <v>#N/A</v>
      </c>
      <c r="BU153" t="e">
        <f t="shared" ca="1" si="120"/>
        <v>#N/A</v>
      </c>
      <c r="BV153" t="e">
        <f t="shared" ca="1" si="121"/>
        <v>#N/A</v>
      </c>
      <c r="BW153">
        <f>IFERROR(#REF!,0)</f>
        <v>0</v>
      </c>
      <c r="BX153">
        <f>IFERROR(#REF!,0)</f>
        <v>0</v>
      </c>
      <c r="BY153">
        <f>IFERROR(#REF!,0)</f>
        <v>0</v>
      </c>
      <c r="BZ153" t="e">
        <f ca="1">IFERROR(BZ152+MATCH(BZ$92,OFFSET(#REF!,BZ152,0,300-BZ152,1),0),NA())</f>
        <v>#N/A</v>
      </c>
      <c r="CA153">
        <f>IFERROR(#REF!,0)</f>
        <v>0</v>
      </c>
      <c r="CB153">
        <f>IFERROR(#REF!,0)</f>
        <v>0</v>
      </c>
      <c r="CC153">
        <f>IFERROR(#REF!,0)</f>
        <v>0</v>
      </c>
      <c r="CD153">
        <f>IFERROR(#REF!,0)</f>
        <v>0</v>
      </c>
      <c r="CE153">
        <f>IFERROR(#REF!,0)</f>
        <v>0</v>
      </c>
      <c r="CF153">
        <f>IFERROR(#REF!,0)</f>
        <v>0</v>
      </c>
      <c r="CG153">
        <f t="shared" ca="1" si="41"/>
        <v>0</v>
      </c>
    </row>
    <row r="154" spans="1:85" x14ac:dyDescent="0.4">
      <c r="A154" t="str">
        <f t="shared" si="107"/>
        <v/>
      </c>
      <c r="B154">
        <v>61</v>
      </c>
      <c r="C154" t="str" cm="1">
        <f t="array" ref="C154">INDEX(auto_Series_Code,B154)</f>
        <v>INDI_030</v>
      </c>
      <c r="D154" cm="1">
        <f t="array" ref="D154">INDEX(auto_tblSeries,$B154,D$93)</f>
        <v>2</v>
      </c>
      <c r="E154" cm="1">
        <f t="array" ref="E154">INDEX(auto_tblSeries,$B154,E$93)</f>
        <v>0</v>
      </c>
      <c r="F154" cm="1">
        <f t="array" ref="F154">INDEX(auto_tblSeries,$B154,F$93)</f>
        <v>1</v>
      </c>
      <c r="G154" cm="1">
        <f t="array" ref="G154">INDEX(auto_tblSeries,$B154,G$93)</f>
        <v>0</v>
      </c>
      <c r="H154" cm="1">
        <f t="array" ref="H154">INDEX(auto_tblSeries,$B154,H$93)</f>
        <v>0</v>
      </c>
      <c r="I154">
        <f t="shared" si="144"/>
        <v>3601</v>
      </c>
      <c r="K154" cm="1">
        <f t="array" ref="K154">INDEX(auto_DataFlat_Score,$I154,K$92)</f>
        <v>75</v>
      </c>
      <c r="L154" t="str" cm="1">
        <f t="array" ref="L154">INDEX(auto_DataFlat_Rank,$I154,L$92)</f>
        <v>=13</v>
      </c>
      <c r="M154" cm="1">
        <f t="array" ref="M154">INDEX(auto_DataFlat_DataValue,$I154,M$92)</f>
        <v>3</v>
      </c>
      <c r="N154" cm="1">
        <f t="array" ref="N154">INDEX(auto_DataFlat_Classification,$I154,M$92)</f>
        <v>4</v>
      </c>
      <c r="O154" t="str" cm="1">
        <f t="array" ref="O154">INDEX(auto_DataFlat_IsEstimate,$I154,O$92)</f>
        <v xml:space="preserve"> </v>
      </c>
      <c r="P154" cm="1">
        <f t="array" ref="P154">IF(INDEX(auto_DataFlat_DataYear,$I154,P$92)=0,"n/a",INDEX(auto_DataFlat_DataYear,$I154,P$92))</f>
        <v>2024</v>
      </c>
      <c r="R154">
        <f t="shared" si="143"/>
        <v>3651</v>
      </c>
      <c r="S154" cm="1">
        <f t="array" ref="S154">INDEX(auto_DataFlat_Score,$R154,S$92)</f>
        <v>67</v>
      </c>
      <c r="U154">
        <f t="shared" si="145"/>
        <v>8</v>
      </c>
      <c r="V154">
        <f t="shared" si="146"/>
        <v>1</v>
      </c>
      <c r="W154">
        <f t="shared" si="46"/>
        <v>1</v>
      </c>
      <c r="X154" t="e">
        <f t="shared" ca="1" si="47"/>
        <v>#N/A</v>
      </c>
      <c r="Y154" t="e">
        <f t="shared" ca="1" si="48"/>
        <v>#N/A</v>
      </c>
      <c r="Z154" t="e">
        <f t="shared" ca="1" si="49"/>
        <v>#N/A</v>
      </c>
      <c r="AB154">
        <f t="shared" ca="1" si="147"/>
        <v>0</v>
      </c>
      <c r="AC154">
        <f t="shared" ca="1" si="148"/>
        <v>0</v>
      </c>
      <c r="AD154">
        <f t="shared" ca="1" si="149"/>
        <v>0</v>
      </c>
      <c r="BO154">
        <f t="shared" si="114"/>
        <v>-1</v>
      </c>
      <c r="BP154" t="e">
        <f t="shared" ca="1" si="115"/>
        <v>#N/A</v>
      </c>
      <c r="BQ154" t="e">
        <f t="shared" ca="1" si="116"/>
        <v>#N/A</v>
      </c>
      <c r="BR154" t="e">
        <f t="shared" ca="1" si="117"/>
        <v>#N/A</v>
      </c>
      <c r="BS154" t="e">
        <f t="shared" ca="1" si="118"/>
        <v>#N/A</v>
      </c>
      <c r="BT154" t="e">
        <f t="shared" ca="1" si="119"/>
        <v>#N/A</v>
      </c>
      <c r="BU154" t="e">
        <f t="shared" ca="1" si="120"/>
        <v>#N/A</v>
      </c>
      <c r="BV154" t="e">
        <f t="shared" ca="1" si="121"/>
        <v>#N/A</v>
      </c>
      <c r="BW154">
        <f>IFERROR(#REF!,0)</f>
        <v>0</v>
      </c>
      <c r="BX154">
        <f>IFERROR(#REF!,0)</f>
        <v>0</v>
      </c>
      <c r="BY154">
        <f>IFERROR(#REF!,0)</f>
        <v>0</v>
      </c>
      <c r="BZ154" t="e">
        <f ca="1">IFERROR(BZ153+MATCH(BZ$92,OFFSET(#REF!,BZ153,0,300-BZ153,1),0),NA())</f>
        <v>#N/A</v>
      </c>
      <c r="CA154">
        <f>IFERROR(#REF!,0)</f>
        <v>0</v>
      </c>
      <c r="CB154">
        <f>IFERROR(#REF!,0)</f>
        <v>0</v>
      </c>
      <c r="CC154">
        <f>IFERROR(#REF!,0)</f>
        <v>0</v>
      </c>
      <c r="CD154">
        <f>IFERROR(#REF!,0)</f>
        <v>0</v>
      </c>
      <c r="CE154">
        <f>IFERROR(#REF!,0)</f>
        <v>0</v>
      </c>
      <c r="CF154">
        <f>IFERROR(#REF!,0)</f>
        <v>0</v>
      </c>
      <c r="CG154">
        <f t="shared" ca="1" si="41"/>
        <v>0</v>
      </c>
    </row>
    <row r="155" spans="1:85" x14ac:dyDescent="0.4">
      <c r="A155" t="str">
        <f t="shared" si="107"/>
        <v/>
      </c>
      <c r="B155">
        <v>62</v>
      </c>
      <c r="C155" t="str" cm="1">
        <f t="array" ref="C155">INDEX(auto_Series_Code,B155)</f>
        <v>INDI_031</v>
      </c>
      <c r="D155" cm="1">
        <f t="array" ref="D155">INDEX(auto_tblSeries,$B155,D$93)</f>
        <v>2</v>
      </c>
      <c r="E155" cm="1">
        <f t="array" ref="E155">INDEX(auto_tblSeries,$B155,E$93)</f>
        <v>0</v>
      </c>
      <c r="F155" cm="1">
        <f t="array" ref="F155">INDEX(auto_tblSeries,$B155,F$93)</f>
        <v>1</v>
      </c>
      <c r="G155" cm="1">
        <f t="array" ref="G155">INDEX(auto_tblSeries,$B155,G$93)</f>
        <v>0</v>
      </c>
      <c r="H155" cm="1">
        <f t="array" ref="H155">INDEX(auto_tblSeries,$B155,H$93)</f>
        <v>0</v>
      </c>
      <c r="I155">
        <f t="shared" si="142"/>
        <v>3661</v>
      </c>
      <c r="K155" cm="1">
        <f t="array" ref="K155">INDEX(auto_DataFlat_Score,$I155,K$92)</f>
        <v>66.7</v>
      </c>
      <c r="L155" t="str" cm="1">
        <f t="array" ref="L155">INDEX(auto_DataFlat_Rank,$I155,L$92)</f>
        <v>=28</v>
      </c>
      <c r="M155" cm="1">
        <f t="array" ref="M155">INDEX(auto_DataFlat_DataValue,$I155,M$92)</f>
        <v>2</v>
      </c>
      <c r="N155" cm="1">
        <f t="array" ref="N155">INDEX(auto_DataFlat_Classification,$I155,M$92)</f>
        <v>4</v>
      </c>
      <c r="O155" t="str" cm="1">
        <f t="array" ref="O155">INDEX(auto_DataFlat_IsEstimate,$I155,O$92)</f>
        <v xml:space="preserve"> </v>
      </c>
      <c r="P155" cm="1">
        <f t="array" ref="P155">IF(INDEX(auto_DataFlat_DataYear,$I155,P$92)=0,"n/a",INDEX(auto_DataFlat_DataYear,$I155,P$92))</f>
        <v>2024</v>
      </c>
      <c r="R155">
        <f t="shared" si="143"/>
        <v>3711</v>
      </c>
      <c r="S155" cm="1">
        <f t="array" ref="S155">INDEX(auto_DataFlat_Score,$R155,S$92)</f>
        <v>82.7</v>
      </c>
      <c r="U155">
        <f t="shared" si="145"/>
        <v>-16</v>
      </c>
      <c r="V155">
        <f t="shared" si="146"/>
        <v>3</v>
      </c>
      <c r="W155">
        <f t="shared" si="46"/>
        <v>3</v>
      </c>
      <c r="X155" t="e">
        <f t="shared" ca="1" si="47"/>
        <v>#N/A</v>
      </c>
      <c r="Y155" t="e">
        <f t="shared" ca="1" si="48"/>
        <v>#N/A</v>
      </c>
      <c r="Z155" t="e">
        <f t="shared" ca="1" si="49"/>
        <v>#N/A</v>
      </c>
      <c r="AB155">
        <f t="shared" ca="1" si="147"/>
        <v>0</v>
      </c>
      <c r="AC155">
        <f t="shared" ca="1" si="148"/>
        <v>0</v>
      </c>
      <c r="AD155">
        <f t="shared" ca="1" si="149"/>
        <v>0</v>
      </c>
      <c r="BO155">
        <f t="shared" si="114"/>
        <v>-1</v>
      </c>
      <c r="BP155" t="e">
        <f t="shared" ca="1" si="115"/>
        <v>#N/A</v>
      </c>
      <c r="BQ155" t="e">
        <f t="shared" ca="1" si="116"/>
        <v>#N/A</v>
      </c>
      <c r="BR155" t="e">
        <f t="shared" ca="1" si="117"/>
        <v>#N/A</v>
      </c>
      <c r="BS155" t="e">
        <f t="shared" ca="1" si="118"/>
        <v>#N/A</v>
      </c>
      <c r="BT155" t="e">
        <f t="shared" ca="1" si="119"/>
        <v>#N/A</v>
      </c>
      <c r="BU155" t="e">
        <f t="shared" ca="1" si="120"/>
        <v>#N/A</v>
      </c>
      <c r="BV155" t="e">
        <f t="shared" ca="1" si="121"/>
        <v>#N/A</v>
      </c>
      <c r="BW155">
        <f>IFERROR(#REF!,0)</f>
        <v>0</v>
      </c>
      <c r="BX155">
        <f>IFERROR(#REF!,0)</f>
        <v>0</v>
      </c>
      <c r="BY155">
        <f>IFERROR(#REF!,0)</f>
        <v>0</v>
      </c>
      <c r="BZ155" t="e">
        <f ca="1">IFERROR(BZ154+MATCH(BZ$92,OFFSET(#REF!,BZ154,0,300-BZ154,1),0),NA())</f>
        <v>#N/A</v>
      </c>
      <c r="CA155">
        <f>IFERROR(#REF!,0)</f>
        <v>0</v>
      </c>
      <c r="CB155">
        <f>IFERROR(#REF!,0)</f>
        <v>0</v>
      </c>
      <c r="CC155">
        <f>IFERROR(#REF!,0)</f>
        <v>0</v>
      </c>
      <c r="CD155">
        <f>IFERROR(#REF!,0)</f>
        <v>0</v>
      </c>
      <c r="CE155">
        <f>IFERROR(#REF!,0)</f>
        <v>0</v>
      </c>
      <c r="CF155">
        <f>IFERROR(#REF!,0)</f>
        <v>0</v>
      </c>
      <c r="CG155">
        <f t="shared" ca="1" si="41"/>
        <v>0</v>
      </c>
    </row>
    <row r="156" spans="1:85" x14ac:dyDescent="0.4">
      <c r="A156" t="str">
        <f t="shared" si="107"/>
        <v/>
      </c>
      <c r="B156">
        <v>63</v>
      </c>
      <c r="C156" t="str" cm="1">
        <f t="array" ref="C156">INDEX(auto_Series_Code,B156)</f>
        <v>INDI_032</v>
      </c>
      <c r="D156" cm="1">
        <f t="array" ref="D156">INDEX(auto_tblSeries,$B156,D$93)</f>
        <v>2</v>
      </c>
      <c r="E156" cm="1">
        <f t="array" ref="E156">INDEX(auto_tblSeries,$B156,E$93)</f>
        <v>0</v>
      </c>
      <c r="F156" cm="1">
        <f t="array" ref="F156">INDEX(auto_tblSeries,$B156,F$93)</f>
        <v>1</v>
      </c>
      <c r="G156" cm="1">
        <f t="array" ref="G156">INDEX(auto_tblSeries,$B156,G$93)</f>
        <v>0</v>
      </c>
      <c r="H156" cm="1">
        <f t="array" ref="H156">INDEX(auto_tblSeries,$B156,H$93)</f>
        <v>0</v>
      </c>
      <c r="I156">
        <f t="shared" si="144"/>
        <v>3721</v>
      </c>
      <c r="K156" cm="1">
        <f t="array" ref="K156">INDEX(auto_DataFlat_Score,$I156,K$92)</f>
        <v>0</v>
      </c>
      <c r="L156" t="str" cm="1">
        <f t="array" ref="L156">INDEX(auto_DataFlat_Rank,$I156,L$92)</f>
        <v>=36</v>
      </c>
      <c r="M156" cm="1">
        <f t="array" ref="M156">INDEX(auto_DataFlat_DataValue,$I156,M$92)</f>
        <v>0</v>
      </c>
      <c r="N156" cm="1">
        <f t="array" ref="N156">INDEX(auto_DataFlat_Classification,$I156,M$92)</f>
        <v>1</v>
      </c>
      <c r="O156" t="str" cm="1">
        <f t="array" ref="O156">INDEX(auto_DataFlat_IsEstimate,$I156,O$92)</f>
        <v xml:space="preserve"> </v>
      </c>
      <c r="P156" cm="1">
        <f t="array" ref="P156">IF(INDEX(auto_DataFlat_DataYear,$I156,P$92)=0,"n/a",INDEX(auto_DataFlat_DataYear,$I156,P$92))</f>
        <v>2024</v>
      </c>
      <c r="R156">
        <f t="shared" si="143"/>
        <v>3771</v>
      </c>
      <c r="S156" cm="1">
        <f t="array" ref="S156">INDEX(auto_DataFlat_Score,$R156,S$92)</f>
        <v>41</v>
      </c>
      <c r="U156">
        <f t="shared" si="145"/>
        <v>-41</v>
      </c>
      <c r="V156">
        <f t="shared" si="146"/>
        <v>3</v>
      </c>
      <c r="W156">
        <f t="shared" si="46"/>
        <v>3</v>
      </c>
      <c r="X156" t="e">
        <f t="shared" ca="1" si="47"/>
        <v>#N/A</v>
      </c>
      <c r="Y156" t="e">
        <f t="shared" ca="1" si="48"/>
        <v>#N/A</v>
      </c>
      <c r="Z156" t="e">
        <f t="shared" ca="1" si="49"/>
        <v>#N/A</v>
      </c>
      <c r="AB156">
        <f t="shared" ca="1" si="147"/>
        <v>0</v>
      </c>
      <c r="AC156">
        <f t="shared" ca="1" si="148"/>
        <v>0</v>
      </c>
      <c r="AD156">
        <f t="shared" ca="1" si="149"/>
        <v>0</v>
      </c>
      <c r="BO156">
        <f t="shared" si="114"/>
        <v>-1</v>
      </c>
      <c r="BP156" t="e">
        <f t="shared" ca="1" si="115"/>
        <v>#N/A</v>
      </c>
      <c r="BQ156" t="e">
        <f t="shared" ca="1" si="116"/>
        <v>#N/A</v>
      </c>
      <c r="BR156" t="e">
        <f t="shared" ca="1" si="117"/>
        <v>#N/A</v>
      </c>
      <c r="BS156" t="e">
        <f t="shared" ca="1" si="118"/>
        <v>#N/A</v>
      </c>
      <c r="BT156" t="e">
        <f t="shared" ca="1" si="119"/>
        <v>#N/A</v>
      </c>
      <c r="BU156" t="e">
        <f t="shared" ca="1" si="120"/>
        <v>#N/A</v>
      </c>
      <c r="BV156" t="e">
        <f t="shared" ca="1" si="121"/>
        <v>#N/A</v>
      </c>
      <c r="BW156">
        <f>IFERROR(#REF!,0)</f>
        <v>0</v>
      </c>
      <c r="BX156">
        <f>IFERROR(#REF!,0)</f>
        <v>0</v>
      </c>
      <c r="BY156">
        <f>IFERROR(#REF!,0)</f>
        <v>0</v>
      </c>
      <c r="BZ156" t="e">
        <f ca="1">IFERROR(BZ155+MATCH(BZ$92,OFFSET(#REF!,BZ155,0,300-BZ155,1),0),NA())</f>
        <v>#N/A</v>
      </c>
      <c r="CA156">
        <f>IFERROR(#REF!,0)</f>
        <v>0</v>
      </c>
      <c r="CB156">
        <f>IFERROR(#REF!,0)</f>
        <v>0</v>
      </c>
      <c r="CC156">
        <f>IFERROR(#REF!,0)</f>
        <v>0</v>
      </c>
      <c r="CD156">
        <f>IFERROR(#REF!,0)</f>
        <v>0</v>
      </c>
      <c r="CE156">
        <f>IFERROR(#REF!,0)</f>
        <v>0</v>
      </c>
      <c r="CF156">
        <f>IFERROR(#REF!,0)</f>
        <v>0</v>
      </c>
      <c r="CG156">
        <f t="shared" ca="1" si="41"/>
        <v>0</v>
      </c>
    </row>
    <row r="157" spans="1:85" x14ac:dyDescent="0.4">
      <c r="A157" t="str">
        <f t="shared" si="107"/>
        <v/>
      </c>
      <c r="B157">
        <v>64</v>
      </c>
      <c r="C157" t="str" cm="1">
        <f t="array" ref="C157">INDEX(auto_Series_Code,B157)</f>
        <v>BG</v>
      </c>
      <c r="D157" cm="1">
        <f t="array" ref="D157">INDEX(auto_tblSeries,$B157,D$93)</f>
        <v>0</v>
      </c>
      <c r="E157" cm="1">
        <f t="array" ref="E157">INDEX(auto_tblSeries,$B157,E$93)</f>
        <v>1</v>
      </c>
      <c r="F157" cm="1">
        <f t="array" ref="F157">INDEX(auto_tblSeries,$B157,F$93)</f>
        <v>0</v>
      </c>
      <c r="G157" cm="1">
        <f t="array" ref="G157">INDEX(auto_tblSeries,$B157,G$93)</f>
        <v>0</v>
      </c>
      <c r="H157" cm="1">
        <f t="array" ref="H157">INDEX(auto_tblSeries,$B157,H$93)</f>
        <v>1</v>
      </c>
      <c r="I157">
        <f t="shared" si="142"/>
        <v>3781</v>
      </c>
      <c r="K157" cm="1">
        <f t="array" ref="K157">INDEX(auto_DataFlat_Score,$I157,K$92)</f>
        <v>0</v>
      </c>
      <c r="L157" t="str" cm="1">
        <f t="array" ref="L157">INDEX(auto_DataFlat_Rank,$I157,L$92)</f>
        <v>=1</v>
      </c>
      <c r="M157" cm="1">
        <f t="array" ref="M157">INDEX(auto_DataFlat_DataValue,$I157,M$92)</f>
        <v>0</v>
      </c>
      <c r="N157" cm="1">
        <f t="array" ref="N157">INDEX(auto_DataFlat_Classification,$I157,M$92)</f>
        <v>1</v>
      </c>
      <c r="O157" cm="1">
        <f t="array" ref="O157">INDEX(auto_DataFlat_IsEstimate,$I157,O$92)</f>
        <v>0</v>
      </c>
      <c r="P157" t="str" cm="1">
        <f t="array" ref="P157">IF(INDEX(auto_DataFlat_DataYear,$I157,P$92)=0,"n/a",INDEX(auto_DataFlat_DataYear,$I157,P$92))</f>
        <v>n/a</v>
      </c>
      <c r="R157">
        <f t="shared" si="143"/>
        <v>3831</v>
      </c>
      <c r="S157" cm="1">
        <f t="array" ref="S157">INDEX(auto_DataFlat_Score,$R157,S$92)</f>
        <v>0</v>
      </c>
      <c r="U157">
        <f t="shared" si="145"/>
        <v>0</v>
      </c>
      <c r="V157">
        <f t="shared" si="146"/>
        <v>2</v>
      </c>
      <c r="W157">
        <f t="shared" si="46"/>
        <v>-1</v>
      </c>
      <c r="X157" t="e">
        <f t="shared" ca="1" si="47"/>
        <v>#N/A</v>
      </c>
      <c r="Y157" t="e">
        <f t="shared" ca="1" si="48"/>
        <v>#N/A</v>
      </c>
      <c r="Z157" t="e">
        <f t="shared" ca="1" si="49"/>
        <v>#N/A</v>
      </c>
      <c r="AB157">
        <f t="shared" ca="1" si="147"/>
        <v>0</v>
      </c>
      <c r="AC157">
        <f t="shared" ca="1" si="148"/>
        <v>0</v>
      </c>
      <c r="AD157">
        <f t="shared" ca="1" si="149"/>
        <v>0</v>
      </c>
      <c r="BO157">
        <f t="shared" si="114"/>
        <v>-1</v>
      </c>
      <c r="BP157" t="e">
        <f t="shared" ca="1" si="115"/>
        <v>#N/A</v>
      </c>
      <c r="BQ157" t="e">
        <f t="shared" ca="1" si="116"/>
        <v>#N/A</v>
      </c>
      <c r="BR157" t="e">
        <f t="shared" ca="1" si="117"/>
        <v>#N/A</v>
      </c>
      <c r="BS157" t="e">
        <f t="shared" ca="1" si="118"/>
        <v>#N/A</v>
      </c>
      <c r="BT157" t="e">
        <f t="shared" ca="1" si="119"/>
        <v>#N/A</v>
      </c>
      <c r="BU157" t="e">
        <f t="shared" ca="1" si="120"/>
        <v>#N/A</v>
      </c>
      <c r="BV157" t="e">
        <f t="shared" ca="1" si="121"/>
        <v>#N/A</v>
      </c>
      <c r="BW157">
        <f>IFERROR(#REF!,0)</f>
        <v>0</v>
      </c>
      <c r="BX157">
        <f>IFERROR(#REF!,0)</f>
        <v>0</v>
      </c>
      <c r="BY157">
        <f>IFERROR(#REF!,0)</f>
        <v>0</v>
      </c>
      <c r="BZ157" t="e">
        <f ca="1">IFERROR(BZ156+MATCH(BZ$92,OFFSET(#REF!,BZ156,0,300-BZ156,1),0),NA())</f>
        <v>#N/A</v>
      </c>
      <c r="CA157">
        <f>IFERROR(#REF!,0)</f>
        <v>0</v>
      </c>
      <c r="CB157">
        <f>IFERROR(#REF!,0)</f>
        <v>0</v>
      </c>
      <c r="CC157">
        <f>IFERROR(#REF!,0)</f>
        <v>0</v>
      </c>
      <c r="CD157">
        <f>IFERROR(#REF!,0)</f>
        <v>0</v>
      </c>
      <c r="CE157">
        <f>IFERROR(#REF!,0)</f>
        <v>0</v>
      </c>
      <c r="CF157">
        <f>IFERROR(#REF!,0)</f>
        <v>0</v>
      </c>
      <c r="CG157">
        <f t="shared" ca="1" si="41"/>
        <v>0</v>
      </c>
    </row>
    <row r="158" spans="1:85" x14ac:dyDescent="0.4">
      <c r="A158" t="str">
        <f t="shared" si="107"/>
        <v/>
      </c>
      <c r="B158">
        <v>65</v>
      </c>
      <c r="C158" t="str" cm="1">
        <f t="array" ref="C158">INDEX(auto_Series_Code,B158)</f>
        <v>BG03</v>
      </c>
      <c r="D158" cm="1">
        <f t="array" ref="D158">INDEX(auto_tblSeries,$B158,D$93)</f>
        <v>1</v>
      </c>
      <c r="E158" cm="1">
        <f t="array" ref="E158">INDEX(auto_tblSeries,$B158,E$93)</f>
        <v>1</v>
      </c>
      <c r="F158" cm="1">
        <f t="array" ref="F158">INDEX(auto_tblSeries,$B158,F$93)</f>
        <v>1</v>
      </c>
      <c r="G158" cm="1">
        <f t="array" ref="G158">INDEX(auto_tblSeries,$B158,G$93)</f>
        <v>0</v>
      </c>
      <c r="H158" cm="1">
        <f t="array" ref="H158">INDEX(auto_tblSeries,$B158,H$93)</f>
        <v>1</v>
      </c>
      <c r="I158">
        <f t="shared" si="144"/>
        <v>3841</v>
      </c>
      <c r="K158" cm="1">
        <f t="array" ref="K158">INDEX(auto_DataFlat_Score,$I158,K$92)</f>
        <v>0</v>
      </c>
      <c r="L158" t="str" cm="1">
        <f t="array" ref="L158">INDEX(auto_DataFlat_Rank,$I158,L$92)</f>
        <v>=32</v>
      </c>
      <c r="M158" t="str" cm="1">
        <f t="array" ref="M158">INDEX(auto_DataFlat_DataValue,$I158,M$92)</f>
        <v>n/a</v>
      </c>
      <c r="N158" cm="1">
        <f t="array" ref="N158">INDEX(auto_DataFlat_Classification,$I158,M$92)</f>
        <v>1</v>
      </c>
      <c r="O158" t="str" cm="1">
        <f t="array" ref="O158">INDEX(auto_DataFlat_IsEstimate,$I158,O$92)</f>
        <v xml:space="preserve"> </v>
      </c>
      <c r="P158" t="str" cm="1">
        <f t="array" ref="P158">IF(INDEX(auto_DataFlat_DataYear,$I158,P$92)=0,"n/a",INDEX(auto_DataFlat_DataYear,$I158,P$92))</f>
        <v>n/a</v>
      </c>
      <c r="R158">
        <f t="shared" si="143"/>
        <v>3891</v>
      </c>
      <c r="S158" cm="1">
        <f t="array" ref="S158">INDEX(auto_DataFlat_Score,$R158,S$92)</f>
        <v>39.700000000000003</v>
      </c>
      <c r="U158">
        <f t="shared" si="145"/>
        <v>-39.700000000000003</v>
      </c>
      <c r="V158">
        <f t="shared" si="146"/>
        <v>3</v>
      </c>
      <c r="W158">
        <f t="shared" si="46"/>
        <v>-1</v>
      </c>
      <c r="X158" t="e">
        <f t="shared" ca="1" si="47"/>
        <v>#N/A</v>
      </c>
      <c r="Y158" t="e">
        <f t="shared" ca="1" si="48"/>
        <v>#N/A</v>
      </c>
      <c r="Z158" t="e">
        <f t="shared" ca="1" si="49"/>
        <v>#N/A</v>
      </c>
      <c r="AB158">
        <f t="shared" ca="1" si="147"/>
        <v>0</v>
      </c>
      <c r="AC158">
        <f t="shared" ca="1" si="148"/>
        <v>0</v>
      </c>
      <c r="AD158">
        <f t="shared" ca="1" si="149"/>
        <v>0</v>
      </c>
      <c r="BO158">
        <f t="shared" si="114"/>
        <v>-1</v>
      </c>
      <c r="BP158" t="e">
        <f t="shared" ca="1" si="115"/>
        <v>#N/A</v>
      </c>
      <c r="BQ158" t="e">
        <f t="shared" ca="1" si="116"/>
        <v>#N/A</v>
      </c>
      <c r="BR158" t="e">
        <f t="shared" ca="1" si="117"/>
        <v>#N/A</v>
      </c>
      <c r="BS158" t="e">
        <f t="shared" ca="1" si="118"/>
        <v>#N/A</v>
      </c>
      <c r="BT158" t="e">
        <f t="shared" ca="1" si="119"/>
        <v>#N/A</v>
      </c>
      <c r="BU158" t="e">
        <f t="shared" ca="1" si="120"/>
        <v>#N/A</v>
      </c>
      <c r="BV158" t="e">
        <f t="shared" ca="1" si="121"/>
        <v>#N/A</v>
      </c>
      <c r="BW158">
        <f>IFERROR(#REF!,0)</f>
        <v>0</v>
      </c>
      <c r="BX158">
        <f>IFERROR(#REF!,0)</f>
        <v>0</v>
      </c>
      <c r="BY158">
        <f>IFERROR(#REF!,0)</f>
        <v>0</v>
      </c>
      <c r="BZ158" t="e">
        <f ca="1">IFERROR(BZ157+MATCH(BZ$92,OFFSET(#REF!,BZ157,0,300-BZ157,1),0),NA())</f>
        <v>#N/A</v>
      </c>
      <c r="CA158">
        <f>IFERROR(#REF!,0)</f>
        <v>0</v>
      </c>
      <c r="CB158">
        <f>IFERROR(#REF!,0)</f>
        <v>0</v>
      </c>
      <c r="CC158">
        <f>IFERROR(#REF!,0)</f>
        <v>0</v>
      </c>
      <c r="CD158">
        <f>IFERROR(#REF!,0)</f>
        <v>0</v>
      </c>
      <c r="CE158">
        <f>IFERROR(#REF!,0)</f>
        <v>0</v>
      </c>
      <c r="CF158">
        <f>IFERROR(#REF!,0)</f>
        <v>0</v>
      </c>
      <c r="CG158">
        <f t="shared" ref="CG158:CG162" ca="1" si="150">IFERROR(BZ158,0)</f>
        <v>0</v>
      </c>
    </row>
    <row r="159" spans="1:85" x14ac:dyDescent="0.4">
      <c r="A159" t="str">
        <f t="shared" si="107"/>
        <v/>
      </c>
      <c r="B159">
        <v>66</v>
      </c>
      <c r="C159" t="str" cm="1">
        <f t="array" ref="C159">INDEX(auto_Series_Code,B159)</f>
        <v>BG04</v>
      </c>
      <c r="D159" cm="1">
        <f t="array" ref="D159">INDEX(auto_tblSeries,$B159,D$93)</f>
        <v>1</v>
      </c>
      <c r="E159" cm="1">
        <f t="array" ref="E159">INDEX(auto_tblSeries,$B159,E$93)</f>
        <v>1</v>
      </c>
      <c r="F159" cm="1">
        <f t="array" ref="F159">INDEX(auto_tblSeries,$B159,F$93)</f>
        <v>1</v>
      </c>
      <c r="G159" cm="1">
        <f t="array" ref="G159">INDEX(auto_tblSeries,$B159,G$93)</f>
        <v>0</v>
      </c>
      <c r="H159" cm="1">
        <f t="array" ref="H159">INDEX(auto_tblSeries,$B159,H$93)</f>
        <v>1</v>
      </c>
      <c r="I159">
        <f t="shared" si="142"/>
        <v>3901</v>
      </c>
      <c r="K159" cm="1">
        <f t="array" ref="K159">INDEX(auto_DataFlat_Score,$I159,K$92)</f>
        <v>100</v>
      </c>
      <c r="L159" t="str" cm="1">
        <f t="array" ref="L159">INDEX(auto_DataFlat_Rank,$I159,L$92)</f>
        <v>1</v>
      </c>
      <c r="M159" cm="1">
        <f t="array" ref="M159">INDEX(auto_DataFlat_DataValue,$I159,M$92)</f>
        <v>63.8</v>
      </c>
      <c r="N159" cm="1">
        <f t="array" ref="N159">INDEX(auto_DataFlat_Classification,$I159,M$92)</f>
        <v>5</v>
      </c>
      <c r="O159" t="str" cm="1">
        <f t="array" ref="O159">INDEX(auto_DataFlat_IsEstimate,$I159,O$92)</f>
        <v xml:space="preserve"> </v>
      </c>
      <c r="P159" cm="1">
        <f t="array" ref="P159">IF(INDEX(auto_DataFlat_DataYear,$I159,P$92)=0,"n/a",INDEX(auto_DataFlat_DataYear,$I159,P$92))</f>
        <v>2022</v>
      </c>
      <c r="R159">
        <f t="shared" si="143"/>
        <v>3951</v>
      </c>
      <c r="S159" cm="1">
        <f t="array" ref="S159">INDEX(auto_DataFlat_Score,$R159,S$92)</f>
        <v>59</v>
      </c>
      <c r="U159">
        <f t="shared" si="145"/>
        <v>41</v>
      </c>
      <c r="V159">
        <f t="shared" si="146"/>
        <v>1</v>
      </c>
      <c r="W159">
        <f t="shared" ref="W159:W162" si="151">IF(OR($D159&lt;&gt;$W$89,$E159=1),-1,V159)</f>
        <v>-1</v>
      </c>
      <c r="X159" t="e">
        <f t="shared" ref="X159:X162" ca="1" si="152">X158+MATCH(X$92,OFFSET($W$94,X158,0,300,1),0)</f>
        <v>#N/A</v>
      </c>
      <c r="Y159" t="e">
        <f t="shared" ref="Y159:Y162" ca="1" si="153">Y158+MATCH(Y$92,OFFSET($W$94,Y158,0,300,1),0)</f>
        <v>#N/A</v>
      </c>
      <c r="Z159" t="e">
        <f t="shared" ref="Z159:Z162" ca="1" si="154">Z158+MATCH(Z$92,OFFSET($W$94,Z158,0,300,1),0)</f>
        <v>#N/A</v>
      </c>
      <c r="AB159">
        <f t="shared" ca="1" si="147"/>
        <v>0</v>
      </c>
      <c r="AC159">
        <f t="shared" ca="1" si="148"/>
        <v>0</v>
      </c>
      <c r="AD159">
        <f t="shared" ca="1" si="149"/>
        <v>0</v>
      </c>
      <c r="BO159">
        <f t="shared" si="114"/>
        <v>-1</v>
      </c>
      <c r="BP159" t="e">
        <f t="shared" ca="1" si="115"/>
        <v>#N/A</v>
      </c>
      <c r="BQ159" t="e">
        <f t="shared" ca="1" si="116"/>
        <v>#N/A</v>
      </c>
      <c r="BR159" t="e">
        <f t="shared" ca="1" si="117"/>
        <v>#N/A</v>
      </c>
      <c r="BS159" t="e">
        <f t="shared" ca="1" si="118"/>
        <v>#N/A</v>
      </c>
      <c r="BT159" t="e">
        <f t="shared" ca="1" si="119"/>
        <v>#N/A</v>
      </c>
      <c r="BU159" t="e">
        <f t="shared" ca="1" si="120"/>
        <v>#N/A</v>
      </c>
      <c r="BV159" t="e">
        <f t="shared" ca="1" si="121"/>
        <v>#N/A</v>
      </c>
      <c r="BW159">
        <f>IFERROR(#REF!,0)</f>
        <v>0</v>
      </c>
      <c r="BX159">
        <f>IFERROR(#REF!,0)</f>
        <v>0</v>
      </c>
      <c r="BY159">
        <f>IFERROR(#REF!,0)</f>
        <v>0</v>
      </c>
      <c r="BZ159" t="e">
        <f ca="1">IFERROR(BZ158+MATCH(BZ$92,OFFSET(#REF!,BZ158,0,300-BZ158,1),0),NA())</f>
        <v>#N/A</v>
      </c>
      <c r="CA159">
        <f>IFERROR(#REF!,0)</f>
        <v>0</v>
      </c>
      <c r="CB159">
        <f>IFERROR(#REF!,0)</f>
        <v>0</v>
      </c>
      <c r="CC159">
        <f>IFERROR(#REF!,0)</f>
        <v>0</v>
      </c>
      <c r="CD159">
        <f>IFERROR(#REF!,0)</f>
        <v>0</v>
      </c>
      <c r="CE159">
        <f>IFERROR(#REF!,0)</f>
        <v>0</v>
      </c>
      <c r="CF159">
        <f>IFERROR(#REF!,0)</f>
        <v>0</v>
      </c>
      <c r="CG159">
        <f t="shared" ca="1" si="150"/>
        <v>0</v>
      </c>
    </row>
    <row r="160" spans="1:85" x14ac:dyDescent="0.4">
      <c r="A160" t="str">
        <f t="shared" si="107"/>
        <v/>
      </c>
      <c r="B160">
        <v>67</v>
      </c>
      <c r="C160" t="str" cm="1">
        <f t="array" ref="C160">INDEX(auto_Series_Code,B160)</f>
        <v>BG05</v>
      </c>
      <c r="D160" cm="1">
        <f t="array" ref="D160">INDEX(auto_tblSeries,$B160,D$93)</f>
        <v>1</v>
      </c>
      <c r="E160" cm="1">
        <f t="array" ref="E160">INDEX(auto_tblSeries,$B160,E$93)</f>
        <v>1</v>
      </c>
      <c r="F160" cm="1">
        <f t="array" ref="F160">INDEX(auto_tblSeries,$B160,F$93)</f>
        <v>1</v>
      </c>
      <c r="G160" cm="1">
        <f t="array" ref="G160">INDEX(auto_tblSeries,$B160,G$93)</f>
        <v>0</v>
      </c>
      <c r="H160" cm="1">
        <f t="array" ref="H160">INDEX(auto_tblSeries,$B160,H$93)</f>
        <v>1</v>
      </c>
      <c r="I160">
        <f t="shared" si="144"/>
        <v>3961</v>
      </c>
      <c r="K160" cm="1">
        <f t="array" ref="K160">INDEX(auto_DataFlat_Score,$I160,K$92)</f>
        <v>55.7</v>
      </c>
      <c r="L160" t="str" cm="1">
        <f t="array" ref="L160">INDEX(auto_DataFlat_Rank,$I160,L$92)</f>
        <v>31</v>
      </c>
      <c r="M160" cm="1">
        <f t="array" ref="M160">INDEX(auto_DataFlat_DataValue,$I160,M$92)</f>
        <v>17.100000000000001</v>
      </c>
      <c r="N160" cm="1">
        <f t="array" ref="N160">INDEX(auto_DataFlat_Classification,$I160,M$92)</f>
        <v>3</v>
      </c>
      <c r="O160" t="str" cm="1">
        <f t="array" ref="O160">INDEX(auto_DataFlat_IsEstimate,$I160,O$92)</f>
        <v xml:space="preserve"> </v>
      </c>
      <c r="P160" cm="1">
        <f t="array" ref="P160">IF(INDEX(auto_DataFlat_DataYear,$I160,P$92)=0,"n/a",INDEX(auto_DataFlat_DataYear,$I160,P$92))</f>
        <v>2019</v>
      </c>
      <c r="R160">
        <f t="shared" si="143"/>
        <v>4011</v>
      </c>
      <c r="S160" cm="1">
        <f t="array" ref="S160">INDEX(auto_DataFlat_Score,$R160,S$92)</f>
        <v>59.2</v>
      </c>
      <c r="U160">
        <f t="shared" si="145"/>
        <v>-3.5</v>
      </c>
      <c r="V160">
        <f t="shared" si="146"/>
        <v>3</v>
      </c>
      <c r="W160">
        <f t="shared" si="151"/>
        <v>-1</v>
      </c>
      <c r="X160" t="e">
        <f t="shared" ca="1" si="152"/>
        <v>#N/A</v>
      </c>
      <c r="Y160" t="e">
        <f t="shared" ca="1" si="153"/>
        <v>#N/A</v>
      </c>
      <c r="Z160" t="e">
        <f t="shared" ca="1" si="154"/>
        <v>#N/A</v>
      </c>
      <c r="AB160">
        <f t="shared" ca="1" si="147"/>
        <v>0</v>
      </c>
      <c r="AC160">
        <f t="shared" ca="1" si="148"/>
        <v>0</v>
      </c>
      <c r="AD160">
        <f t="shared" ca="1" si="149"/>
        <v>0</v>
      </c>
      <c r="BO160">
        <f t="shared" si="114"/>
        <v>-1</v>
      </c>
      <c r="BP160" t="e">
        <f t="shared" ca="1" si="115"/>
        <v>#N/A</v>
      </c>
      <c r="BQ160" t="e">
        <f t="shared" ca="1" si="116"/>
        <v>#N/A</v>
      </c>
      <c r="BR160" t="e">
        <f t="shared" ca="1" si="117"/>
        <v>#N/A</v>
      </c>
      <c r="BS160" t="e">
        <f t="shared" ca="1" si="118"/>
        <v>#N/A</v>
      </c>
      <c r="BT160" t="e">
        <f t="shared" ca="1" si="119"/>
        <v>#N/A</v>
      </c>
      <c r="BU160" t="e">
        <f t="shared" ca="1" si="120"/>
        <v>#N/A</v>
      </c>
      <c r="BV160" t="e">
        <f t="shared" ca="1" si="121"/>
        <v>#N/A</v>
      </c>
      <c r="BW160">
        <f>IFERROR(#REF!,0)</f>
        <v>0</v>
      </c>
      <c r="BX160">
        <f>IFERROR(#REF!,0)</f>
        <v>0</v>
      </c>
      <c r="BY160">
        <f>IFERROR(#REF!,0)</f>
        <v>0</v>
      </c>
      <c r="BZ160" t="e">
        <f ca="1">IFERROR(BZ159+MATCH(BZ$92,OFFSET(#REF!,BZ159,0,300-BZ159,1),0),NA())</f>
        <v>#N/A</v>
      </c>
      <c r="CA160">
        <f>IFERROR(#REF!,0)</f>
        <v>0</v>
      </c>
      <c r="CB160">
        <f>IFERROR(#REF!,0)</f>
        <v>0</v>
      </c>
      <c r="CC160">
        <f>IFERROR(#REF!,0)</f>
        <v>0</v>
      </c>
      <c r="CD160">
        <f>IFERROR(#REF!,0)</f>
        <v>0</v>
      </c>
      <c r="CE160">
        <f>IFERROR(#REF!,0)</f>
        <v>0</v>
      </c>
      <c r="CF160">
        <f>IFERROR(#REF!,0)</f>
        <v>0</v>
      </c>
      <c r="CG160">
        <f t="shared" ca="1" si="150"/>
        <v>0</v>
      </c>
    </row>
    <row r="161" spans="1:85" x14ac:dyDescent="0.4">
      <c r="A161" t="str">
        <f t="shared" si="107"/>
        <v/>
      </c>
      <c r="B161">
        <v>68</v>
      </c>
      <c r="C161" t="str" cm="1">
        <f t="array" ref="C161">INDEX(auto_Series_Code,B161)</f>
        <v>BG08</v>
      </c>
      <c r="D161" cm="1">
        <f t="array" ref="D161">INDEX(auto_tblSeries,$B161,D$93)</f>
        <v>1</v>
      </c>
      <c r="E161" cm="1">
        <f t="array" ref="E161">INDEX(auto_tblSeries,$B161,E$93)</f>
        <v>1</v>
      </c>
      <c r="F161" cm="1">
        <f t="array" ref="F161">INDEX(auto_tblSeries,$B161,F$93)</f>
        <v>1</v>
      </c>
      <c r="G161" cm="1">
        <f t="array" ref="G161">INDEX(auto_tblSeries,$B161,G$93)</f>
        <v>0</v>
      </c>
      <c r="H161" cm="1">
        <f t="array" ref="H161">INDEX(auto_tblSeries,$B161,H$93)</f>
        <v>1</v>
      </c>
      <c r="I161">
        <f t="shared" si="142"/>
        <v>4021</v>
      </c>
      <c r="K161" cm="1">
        <f t="array" ref="K161">INDEX(auto_DataFlat_Score,$I161,K$92)</f>
        <v>100</v>
      </c>
      <c r="L161" t="str" cm="1">
        <f t="array" ref="L161">INDEX(auto_DataFlat_Rank,$I161,L$92)</f>
        <v>1</v>
      </c>
      <c r="M161" cm="1">
        <f t="array" ref="M161">INDEX(auto_DataFlat_DataValue,$I161,M$92)</f>
        <v>363.2</v>
      </c>
      <c r="N161" cm="1">
        <f t="array" ref="N161">INDEX(auto_DataFlat_Classification,$I161,M$92)</f>
        <v>5</v>
      </c>
      <c r="O161" t="str" cm="1">
        <f t="array" ref="O161">INDEX(auto_DataFlat_IsEstimate,$I161,O$92)</f>
        <v xml:space="preserve"> </v>
      </c>
      <c r="P161" cm="1">
        <f t="array" ref="P161">IF(INDEX(auto_DataFlat_DataYear,$I161,P$92)=0,"n/a",INDEX(auto_DataFlat_DataYear,$I161,P$92))</f>
        <v>2022</v>
      </c>
      <c r="R161">
        <f t="shared" si="143"/>
        <v>4071</v>
      </c>
      <c r="S161" cm="1">
        <f t="array" ref="S161">INDEX(auto_DataFlat_Score,$R161,S$92)</f>
        <v>60.1</v>
      </c>
      <c r="U161">
        <f t="shared" si="145"/>
        <v>39.9</v>
      </c>
      <c r="V161">
        <f t="shared" si="146"/>
        <v>1</v>
      </c>
      <c r="W161">
        <f t="shared" si="151"/>
        <v>-1</v>
      </c>
      <c r="X161" t="e">
        <f t="shared" ca="1" si="152"/>
        <v>#N/A</v>
      </c>
      <c r="Y161" t="e">
        <f t="shared" ca="1" si="153"/>
        <v>#N/A</v>
      </c>
      <c r="Z161" t="e">
        <f t="shared" ca="1" si="154"/>
        <v>#N/A</v>
      </c>
      <c r="AB161">
        <f t="shared" ca="1" si="147"/>
        <v>0</v>
      </c>
      <c r="AC161">
        <f t="shared" ca="1" si="148"/>
        <v>0</v>
      </c>
      <c r="AD161">
        <f t="shared" ca="1" si="149"/>
        <v>0</v>
      </c>
      <c r="BO161">
        <f t="shared" si="114"/>
        <v>-1</v>
      </c>
      <c r="BP161" t="e">
        <f t="shared" ca="1" si="115"/>
        <v>#N/A</v>
      </c>
      <c r="BQ161" t="e">
        <f t="shared" ca="1" si="116"/>
        <v>#N/A</v>
      </c>
      <c r="BR161" t="e">
        <f t="shared" ca="1" si="117"/>
        <v>#N/A</v>
      </c>
      <c r="BS161" t="e">
        <f t="shared" ca="1" si="118"/>
        <v>#N/A</v>
      </c>
      <c r="BT161" t="e">
        <f t="shared" ca="1" si="119"/>
        <v>#N/A</v>
      </c>
      <c r="BU161" t="e">
        <f t="shared" ca="1" si="120"/>
        <v>#N/A</v>
      </c>
      <c r="BV161" t="e">
        <f t="shared" ca="1" si="121"/>
        <v>#N/A</v>
      </c>
      <c r="BW161">
        <f>IFERROR(#REF!,0)</f>
        <v>0</v>
      </c>
      <c r="BX161">
        <f>IFERROR(#REF!,0)</f>
        <v>0</v>
      </c>
      <c r="BY161">
        <f>IFERROR(#REF!,0)</f>
        <v>0</v>
      </c>
      <c r="BZ161" t="e">
        <f ca="1">IFERROR(BZ160+MATCH(BZ$92,OFFSET(#REF!,BZ160,0,300-BZ160,1),0),NA())</f>
        <v>#N/A</v>
      </c>
      <c r="CA161">
        <f>IFERROR(#REF!,0)</f>
        <v>0</v>
      </c>
      <c r="CB161">
        <f>IFERROR(#REF!,0)</f>
        <v>0</v>
      </c>
      <c r="CC161">
        <f>IFERROR(#REF!,0)</f>
        <v>0</v>
      </c>
      <c r="CD161">
        <f>IFERROR(#REF!,0)</f>
        <v>0</v>
      </c>
      <c r="CE161">
        <f>IFERROR(#REF!,0)</f>
        <v>0</v>
      </c>
      <c r="CF161">
        <f>IFERROR(#REF!,0)</f>
        <v>0</v>
      </c>
      <c r="CG161">
        <f t="shared" ca="1" si="150"/>
        <v>0</v>
      </c>
    </row>
    <row r="162" spans="1:85" x14ac:dyDescent="0.4">
      <c r="A162" t="str">
        <f t="shared" si="107"/>
        <v/>
      </c>
      <c r="B162">
        <v>69</v>
      </c>
      <c r="C162" t="str" cm="1">
        <f t="array" ref="C162">INDEX(auto_Series_Code,B162)</f>
        <v>BG09</v>
      </c>
      <c r="D162" cm="1">
        <f t="array" ref="D162">INDEX(auto_tblSeries,$B162,D$93)</f>
        <v>1</v>
      </c>
      <c r="E162" cm="1">
        <f t="array" ref="E162">INDEX(auto_tblSeries,$B162,E$93)</f>
        <v>1</v>
      </c>
      <c r="F162" cm="1">
        <f t="array" ref="F162">INDEX(auto_tblSeries,$B162,F$93)</f>
        <v>1</v>
      </c>
      <c r="G162" cm="1">
        <f t="array" ref="G162">INDEX(auto_tblSeries,$B162,G$93)</f>
        <v>0</v>
      </c>
      <c r="H162" cm="1">
        <f t="array" ref="H162">INDEX(auto_tblSeries,$B162,H$93)</f>
        <v>1</v>
      </c>
      <c r="I162">
        <f t="shared" si="144"/>
        <v>4081</v>
      </c>
      <c r="K162" cm="1">
        <f t="array" ref="K162">INDEX(auto_DataFlat_Score,$I162,K$92)</f>
        <v>100</v>
      </c>
      <c r="L162" t="str" cm="1">
        <f t="array" ref="L162">INDEX(auto_DataFlat_Rank,$I162,L$92)</f>
        <v>1</v>
      </c>
      <c r="M162" cm="1">
        <f t="array" ref="M162">INDEX(auto_DataFlat_DataValue,$I162,M$92)</f>
        <v>3809.4</v>
      </c>
      <c r="N162" cm="1">
        <f t="array" ref="N162">INDEX(auto_DataFlat_Classification,$I162,M$92)</f>
        <v>5</v>
      </c>
      <c r="O162" t="str" cm="1">
        <f t="array" ref="O162">INDEX(auto_DataFlat_IsEstimate,$I162,O$92)</f>
        <v xml:space="preserve"> </v>
      </c>
      <c r="P162" cm="1">
        <f t="array" ref="P162">IF(INDEX(auto_DataFlat_DataYear,$I162,P$92)=0,"n/a",INDEX(auto_DataFlat_DataYear,$I162,P$92))</f>
        <v>2022</v>
      </c>
      <c r="R162">
        <f t="shared" si="143"/>
        <v>4131</v>
      </c>
      <c r="S162" cm="1">
        <f t="array" ref="S162">INDEX(auto_DataFlat_Score,$R162,S$92)</f>
        <v>60.9</v>
      </c>
      <c r="U162">
        <f t="shared" si="145"/>
        <v>39.1</v>
      </c>
      <c r="V162">
        <f t="shared" si="146"/>
        <v>1</v>
      </c>
      <c r="W162">
        <f t="shared" si="151"/>
        <v>-1</v>
      </c>
      <c r="X162" t="e">
        <f t="shared" ca="1" si="152"/>
        <v>#N/A</v>
      </c>
      <c r="Y162" t="e">
        <f t="shared" ca="1" si="153"/>
        <v>#N/A</v>
      </c>
      <c r="Z162" t="e">
        <f t="shared" ca="1" si="154"/>
        <v>#N/A</v>
      </c>
      <c r="AB162">
        <f t="shared" ca="1" si="147"/>
        <v>0</v>
      </c>
      <c r="AC162">
        <f t="shared" ca="1" si="148"/>
        <v>0</v>
      </c>
      <c r="AD162">
        <f t="shared" ca="1" si="149"/>
        <v>0</v>
      </c>
      <c r="BO162">
        <f t="shared" si="114"/>
        <v>-1</v>
      </c>
      <c r="BP162" t="e">
        <f t="shared" ca="1" si="115"/>
        <v>#N/A</v>
      </c>
      <c r="BQ162" t="e">
        <f t="shared" ca="1" si="116"/>
        <v>#N/A</v>
      </c>
      <c r="BR162" t="e">
        <f t="shared" ca="1" si="117"/>
        <v>#N/A</v>
      </c>
      <c r="BS162" t="e">
        <f t="shared" ca="1" si="118"/>
        <v>#N/A</v>
      </c>
      <c r="BT162" t="e">
        <f t="shared" ca="1" si="119"/>
        <v>#N/A</v>
      </c>
      <c r="BU162" t="e">
        <f t="shared" ca="1" si="120"/>
        <v>#N/A</v>
      </c>
      <c r="BV162" t="e">
        <f t="shared" ca="1" si="121"/>
        <v>#N/A</v>
      </c>
      <c r="BW162">
        <f>IFERROR(#REF!,0)</f>
        <v>0</v>
      </c>
      <c r="BX162">
        <f>IFERROR(#REF!,0)</f>
        <v>0</v>
      </c>
      <c r="BY162">
        <f>IFERROR(#REF!,0)</f>
        <v>0</v>
      </c>
      <c r="BZ162" t="e">
        <f ca="1">IFERROR(BZ161+MATCH(BZ$92,OFFSET(#REF!,BZ161,0,300-BZ161,1),0),NA())</f>
        <v>#N/A</v>
      </c>
      <c r="CA162">
        <f>IFERROR(#REF!,0)</f>
        <v>0</v>
      </c>
      <c r="CB162">
        <f>IFERROR(#REF!,0)</f>
        <v>0</v>
      </c>
      <c r="CC162">
        <f>IFERROR(#REF!,0)</f>
        <v>0</v>
      </c>
      <c r="CD162">
        <f>IFERROR(#REF!,0)</f>
        <v>0</v>
      </c>
      <c r="CE162">
        <f>IFERROR(#REF!,0)</f>
        <v>0</v>
      </c>
      <c r="CF162">
        <f>IFERROR(#REF!,0)</f>
        <v>0</v>
      </c>
      <c r="CG162">
        <f t="shared" ca="1" si="150"/>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44A87-ADF3-4907-859C-6573D0F3B79C}">
  <sheetPr codeName="Sheet76"/>
  <dimension ref="A1:B14"/>
  <sheetViews>
    <sheetView zoomScaleNormal="100" workbookViewId="0">
      <pane ySplit="7" topLeftCell="A8" activePane="bottomLeft" state="frozen"/>
      <selection pane="bottomLeft" activeCell="A8" sqref="A8"/>
    </sheetView>
  </sheetViews>
  <sheetFormatPr defaultRowHeight="14.6" x14ac:dyDescent="0.4"/>
  <cols>
    <col min="1" max="1" width="2.69140625" customWidth="1"/>
    <col min="2" max="2" width="9.15234375" hidden="1" customWidth="1"/>
    <col min="3" max="3" width="4.23046875" customWidth="1"/>
  </cols>
  <sheetData>
    <row r="1" spans="1:2" ht="24" customHeight="1" x14ac:dyDescent="0.4">
      <c r="A1" t="s">
        <v>2</v>
      </c>
    </row>
    <row r="2" spans="1:2" ht="24" customHeight="1" x14ac:dyDescent="0.4"/>
    <row r="3" spans="1:2" ht="26.05" customHeight="1" x14ac:dyDescent="0.4">
      <c r="B3" t="s">
        <v>2706</v>
      </c>
    </row>
    <row r="4" spans="1:2" ht="15" customHeight="1" x14ac:dyDescent="0.4"/>
    <row r="5" spans="1:2" ht="24" customHeight="1" x14ac:dyDescent="0.4">
      <c r="A5" t="s">
        <v>2</v>
      </c>
    </row>
    <row r="6" spans="1:2" ht="24" customHeight="1" x14ac:dyDescent="0.4">
      <c r="A6" t="s">
        <v>2</v>
      </c>
    </row>
    <row r="7" spans="1:2" ht="24" customHeight="1" x14ac:dyDescent="0.4">
      <c r="A7" t="s">
        <v>2</v>
      </c>
    </row>
    <row r="8" spans="1:2" ht="8.0500000000000007" customHeight="1" x14ac:dyDescent="0.4"/>
    <row r="9" spans="1:2" ht="15" customHeight="1" x14ac:dyDescent="0.4">
      <c r="A9" t="s">
        <v>2</v>
      </c>
      <c r="B9" t="s">
        <v>2</v>
      </c>
    </row>
    <row r="10" spans="1:2" ht="15" customHeight="1" x14ac:dyDescent="0.4">
      <c r="A10" t="s">
        <v>2</v>
      </c>
      <c r="B10" t="s">
        <v>2</v>
      </c>
    </row>
    <row r="14" spans="1:2" x14ac:dyDescent="0.4">
      <c r="A14" t="s">
        <v>3</v>
      </c>
    </row>
  </sheetData>
  <pageMargins left="0.28958880139982501" right="0.28958880139982501" top="0.62992125984251945" bottom="0.39370078740157499" header="0.11811023622047251" footer="0.3"/>
  <pageSetup paperSize="9" orientation="portrait" r:id="rId1"/>
  <headerFooter scaleWithDoc="0">
    <oddHeader>&amp;R&amp;"Calibri"&amp;10&amp;K808080City Heartbeat 2024, 50 city index (v0.1)</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B99E9-FE97-43CF-8F96-3A8B20A2C78B}">
  <sheetPr codeName="Sheet38"/>
  <dimension ref="D1:Q11"/>
  <sheetViews>
    <sheetView showGridLines="0" showRowColHeaders="0" zoomScaleNormal="100" workbookViewId="0"/>
  </sheetViews>
  <sheetFormatPr defaultRowHeight="14.6" x14ac:dyDescent="0.4"/>
  <cols>
    <col min="1" max="2" width="9.23046875" customWidth="1"/>
    <col min="3" max="3" width="7.3046875" customWidth="1"/>
    <col min="4" max="17" width="9.69140625" customWidth="1"/>
  </cols>
  <sheetData>
    <row r="1" spans="4:17" ht="26.25" customHeight="1" x14ac:dyDescent="0.4">
      <c r="D1" s="4"/>
      <c r="E1" s="4"/>
      <c r="F1" s="4"/>
      <c r="G1" s="4"/>
      <c r="H1" s="4"/>
      <c r="I1" s="4"/>
      <c r="J1" s="4"/>
      <c r="K1" s="4"/>
      <c r="L1" s="4"/>
      <c r="M1" s="4"/>
      <c r="N1" s="4"/>
      <c r="O1" s="4"/>
      <c r="P1" s="4"/>
      <c r="Q1" s="4"/>
    </row>
    <row r="2" spans="4:17" ht="63.75" customHeight="1" x14ac:dyDescent="0.4">
      <c r="D2" s="4"/>
      <c r="E2" s="4"/>
      <c r="F2" s="4"/>
      <c r="G2" s="4"/>
      <c r="H2" s="4"/>
      <c r="I2" s="4"/>
      <c r="J2" s="4"/>
      <c r="K2" s="4"/>
      <c r="L2" s="4"/>
      <c r="M2" s="4"/>
      <c r="N2" s="4"/>
      <c r="O2" s="4"/>
      <c r="P2" s="4"/>
      <c r="Q2" s="4"/>
    </row>
    <row r="3" spans="4:17" ht="36" customHeight="1" x14ac:dyDescent="0.6">
      <c r="D3" s="4"/>
      <c r="E3" s="4"/>
      <c r="F3" s="4"/>
      <c r="G3" s="4"/>
      <c r="H3" s="4"/>
      <c r="I3" s="4"/>
      <c r="J3" s="5" t="str">
        <f>uxbGlobals!$B$67</f>
        <v>City Heartbeat</v>
      </c>
      <c r="K3" s="4"/>
      <c r="L3" s="4"/>
      <c r="M3" s="4"/>
      <c r="N3" s="4"/>
      <c r="O3" s="4"/>
      <c r="P3" s="4"/>
      <c r="Q3" s="4"/>
    </row>
    <row r="4" spans="4:17" ht="24" customHeight="1" x14ac:dyDescent="0.6">
      <c r="D4" s="4"/>
      <c r="E4" s="4"/>
      <c r="F4" s="4"/>
      <c r="G4" s="4"/>
      <c r="H4" s="4"/>
      <c r="I4" s="4"/>
      <c r="J4" s="6" t="str">
        <f>IF(uxbGlobals!$B$68="","",uxbGlobals!$B$68)</f>
        <v>2024, 50 city index</v>
      </c>
      <c r="K4" s="4"/>
      <c r="L4" s="4"/>
      <c r="M4" s="4"/>
      <c r="N4" s="4"/>
      <c r="O4" s="4"/>
      <c r="P4" s="4"/>
      <c r="Q4" s="4"/>
    </row>
    <row r="5" spans="4:17" ht="22.5" customHeight="1" x14ac:dyDescent="0.4">
      <c r="D5" s="4"/>
      <c r="E5" s="4"/>
      <c r="F5" s="4"/>
      <c r="G5" s="4"/>
      <c r="H5" s="4"/>
      <c r="I5" s="4"/>
      <c r="J5" s="4"/>
      <c r="K5" s="4"/>
      <c r="L5" s="4"/>
      <c r="M5" s="4"/>
      <c r="N5" s="4"/>
      <c r="O5" s="4"/>
      <c r="P5" s="4"/>
      <c r="Q5" s="4"/>
    </row>
    <row r="6" spans="4:17" ht="13.5" customHeight="1" x14ac:dyDescent="0.4">
      <c r="D6" s="4"/>
      <c r="E6" s="4"/>
      <c r="F6" s="4"/>
      <c r="G6" s="4"/>
      <c r="H6" s="4"/>
      <c r="I6" s="4"/>
      <c r="J6" s="7" t="s">
        <v>479</v>
      </c>
      <c r="K6" s="4"/>
      <c r="L6" s="4"/>
      <c r="M6" s="4"/>
      <c r="N6" s="4"/>
      <c r="O6" s="4"/>
      <c r="P6" s="4"/>
      <c r="Q6" s="4"/>
    </row>
    <row r="7" spans="4:17" ht="46.5" customHeight="1" x14ac:dyDescent="0.6">
      <c r="D7" s="4"/>
      <c r="E7" s="4"/>
      <c r="F7" s="4"/>
      <c r="G7" s="4"/>
      <c r="H7" s="4"/>
      <c r="I7" s="4"/>
      <c r="J7" s="8" t="s">
        <v>480</v>
      </c>
      <c r="K7" s="4"/>
      <c r="L7" s="4"/>
      <c r="M7" s="4"/>
      <c r="N7" s="4"/>
      <c r="O7" s="4"/>
      <c r="P7" s="4"/>
      <c r="Q7" s="4"/>
    </row>
    <row r="8" spans="4:17" ht="15.75" customHeight="1" x14ac:dyDescent="0.4">
      <c r="D8" s="4"/>
      <c r="E8" s="4"/>
      <c r="F8" s="4"/>
      <c r="G8" s="4"/>
      <c r="H8" s="4"/>
      <c r="I8" s="4"/>
      <c r="J8" s="4"/>
      <c r="K8" s="4"/>
      <c r="L8" s="4"/>
      <c r="M8" s="4"/>
      <c r="N8" s="4"/>
      <c r="O8" s="4"/>
      <c r="P8" s="4"/>
      <c r="Q8" s="4"/>
    </row>
    <row r="9" spans="4:17" ht="24" customHeight="1" x14ac:dyDescent="0.4">
      <c r="D9" s="4"/>
      <c r="E9" s="4" t="s">
        <v>1396</v>
      </c>
      <c r="F9" s="4"/>
      <c r="G9" s="4"/>
      <c r="H9" s="4"/>
      <c r="I9" s="4"/>
      <c r="J9" s="4"/>
      <c r="K9" s="4"/>
      <c r="L9" s="4"/>
      <c r="M9" s="4"/>
      <c r="N9" s="4"/>
      <c r="O9" s="4"/>
      <c r="P9" s="4"/>
      <c r="Q9" s="4"/>
    </row>
    <row r="10" spans="4:17" ht="7.5" customHeight="1" x14ac:dyDescent="0.4">
      <c r="D10" s="4"/>
      <c r="E10" s="4"/>
      <c r="F10" s="4"/>
      <c r="G10" s="4"/>
      <c r="H10" s="4"/>
      <c r="I10" s="4"/>
      <c r="J10" s="7"/>
      <c r="K10" s="4"/>
      <c r="L10" s="4"/>
      <c r="M10" s="4"/>
      <c r="N10" s="4"/>
      <c r="O10" s="4"/>
      <c r="P10" s="4"/>
      <c r="Q10" s="4"/>
    </row>
    <row r="11" spans="4:17" ht="22.5" customHeight="1" x14ac:dyDescent="0.4">
      <c r="D11" s="339" t="s">
        <v>1397</v>
      </c>
      <c r="E11" s="339"/>
      <c r="F11" s="339"/>
      <c r="G11" s="339"/>
      <c r="H11" s="339"/>
      <c r="I11" s="339"/>
      <c r="J11" s="339"/>
      <c r="K11" s="339"/>
      <c r="L11" s="339"/>
      <c r="M11" s="339"/>
      <c r="N11" s="339"/>
      <c r="O11" s="339"/>
      <c r="P11" s="339"/>
      <c r="Q11" s="339"/>
    </row>
  </sheetData>
  <sheetProtection sheet="1" objects="1" scenarios="1" selectLockedCells="1" selectUnlockedCells="1"/>
  <mergeCells count="1">
    <mergeCell ref="D11:Q11"/>
  </mergeCells>
  <hyperlinks>
    <hyperlink ref="D11" r:id="rId1" xr:uid="{F518609E-2D23-48C1-886F-7AAE98B9A538}"/>
  </hyperlinks>
  <pageMargins left="0.28958880139982501" right="0.28958880139982501" top="0.62992125984251945" bottom="0.39370078740157499" header="0.11811023622047251" footer="0.3"/>
  <pageSetup orientation="portrait" r:id="rId2"/>
  <headerFooter scaleWithDoc="0">
    <oddHeader>&amp;R&amp;"Calibri"&amp;10&amp;K808080City Heartbeat 2024, 50 city index (v1.0)</oddHeader>
  </headerFooter>
  <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11A02-B183-4229-921A-3F2A12F25902}">
  <sheetPr codeName="Sheet51">
    <pageSetUpPr fitToPage="1"/>
  </sheetPr>
  <dimension ref="A1:I25"/>
  <sheetViews>
    <sheetView showGridLines="0" showRowColHeaders="0" zoomScaleNormal="100" workbookViewId="0">
      <selection activeCell="T29" sqref="T29"/>
    </sheetView>
  </sheetViews>
  <sheetFormatPr defaultRowHeight="14.6" x14ac:dyDescent="0.4"/>
  <cols>
    <col min="1" max="1" width="2.69140625" customWidth="1"/>
    <col min="2" max="2" width="3.53515625" customWidth="1"/>
    <col min="3" max="3" width="6.53515625" customWidth="1"/>
    <col min="4" max="4" width="14.84375" customWidth="1"/>
    <col min="5" max="5" width="29.15234375" customWidth="1"/>
    <col min="6" max="6" width="37" customWidth="1"/>
    <col min="7" max="7" width="28.15234375" customWidth="1"/>
    <col min="8" max="8" width="21" customWidth="1"/>
    <col min="9" max="9" width="5.3046875" customWidth="1"/>
  </cols>
  <sheetData>
    <row r="1" spans="1:9" ht="5.25" customHeight="1" x14ac:dyDescent="0.4">
      <c r="A1" s="4"/>
      <c r="B1" s="4"/>
      <c r="C1" s="9"/>
      <c r="D1" s="9"/>
      <c r="E1" s="4"/>
      <c r="F1" s="4"/>
      <c r="G1" s="4"/>
      <c r="H1" s="4"/>
      <c r="I1" s="4"/>
    </row>
    <row r="2" spans="1:9" ht="24" customHeight="1" x14ac:dyDescent="0.4">
      <c r="A2" s="10"/>
      <c r="B2" s="10"/>
      <c r="C2" s="10"/>
      <c r="D2" s="10"/>
      <c r="E2" s="10"/>
      <c r="F2" s="10"/>
      <c r="G2" s="11"/>
      <c r="H2" s="11"/>
      <c r="I2" s="11"/>
    </row>
    <row r="3" spans="1:9" ht="18" customHeight="1" x14ac:dyDescent="0.4">
      <c r="A3" s="4"/>
      <c r="B3" s="4"/>
      <c r="C3" s="4"/>
      <c r="D3" s="4"/>
      <c r="E3" s="4"/>
      <c r="F3" s="4"/>
      <c r="G3" s="4"/>
      <c r="H3" s="4"/>
      <c r="I3" s="4"/>
    </row>
    <row r="4" spans="1:9" ht="50.25" customHeight="1" x14ac:dyDescent="0.4">
      <c r="A4" s="4"/>
      <c r="B4" s="4"/>
      <c r="C4" s="4"/>
      <c r="D4" s="4"/>
      <c r="E4" s="4"/>
      <c r="F4" s="4"/>
      <c r="G4" s="12"/>
      <c r="H4" s="4"/>
      <c r="I4" s="4"/>
    </row>
    <row r="5" spans="1:9" ht="69" customHeight="1" x14ac:dyDescent="0.8">
      <c r="A5" s="13" t="s">
        <v>2</v>
      </c>
      <c r="B5" s="4"/>
      <c r="C5" s="14" t="s">
        <v>1353</v>
      </c>
      <c r="D5" s="15"/>
      <c r="E5" s="16"/>
      <c r="F5" s="16"/>
      <c r="G5" s="16"/>
      <c r="H5" s="16"/>
      <c r="I5" s="17"/>
    </row>
    <row r="6" spans="1:9" ht="17.25" customHeight="1" x14ac:dyDescent="0.8">
      <c r="A6" s="4"/>
      <c r="B6" s="4"/>
      <c r="C6" s="14"/>
      <c r="D6" s="15"/>
      <c r="E6" s="16"/>
      <c r="F6" s="16"/>
      <c r="G6" s="16"/>
      <c r="H6" s="16"/>
      <c r="I6" s="17"/>
    </row>
    <row r="7" spans="1:9" ht="33" customHeight="1" x14ac:dyDescent="0.6">
      <c r="A7" s="4"/>
      <c r="B7" s="4"/>
      <c r="C7" s="18" t="str">
        <f>uxbGlobals!$B$67</f>
        <v>City Heartbeat</v>
      </c>
      <c r="D7" s="15"/>
      <c r="E7" s="16"/>
      <c r="F7" s="19"/>
      <c r="G7" s="16"/>
      <c r="H7" s="16"/>
      <c r="I7" s="17"/>
    </row>
    <row r="8" spans="1:9" ht="24.75" customHeight="1" x14ac:dyDescent="0.6">
      <c r="A8" s="4"/>
      <c r="B8" s="4"/>
      <c r="C8" s="20" t="str">
        <f>uxbGlobals!$B$68</f>
        <v>2024, 50 city index</v>
      </c>
      <c r="D8" s="15"/>
      <c r="E8" s="16"/>
      <c r="F8" s="19"/>
      <c r="G8" s="16"/>
      <c r="H8" s="16"/>
      <c r="I8" s="17"/>
    </row>
    <row r="9" spans="1:9" ht="17.25" customHeight="1" x14ac:dyDescent="0.4">
      <c r="A9" s="4"/>
      <c r="B9" s="4"/>
      <c r="C9" s="4" t="s">
        <v>1354</v>
      </c>
      <c r="D9" s="4"/>
      <c r="E9" s="4"/>
      <c r="F9" s="4"/>
      <c r="G9" s="4"/>
      <c r="H9" s="4"/>
      <c r="I9" s="4"/>
    </row>
    <row r="10" spans="1:9" ht="19.5" customHeight="1" x14ac:dyDescent="0.4">
      <c r="A10" s="4"/>
      <c r="B10" s="4"/>
      <c r="C10" s="4"/>
      <c r="D10" s="4"/>
      <c r="E10" s="4"/>
      <c r="F10" s="4"/>
      <c r="G10" s="4"/>
      <c r="H10" s="4"/>
      <c r="I10" s="4"/>
    </row>
    <row r="11" spans="1:9" ht="18.75" customHeight="1" x14ac:dyDescent="0.4">
      <c r="A11" s="13" t="s">
        <v>2</v>
      </c>
      <c r="B11" s="4"/>
      <c r="C11" s="4"/>
      <c r="D11" s="4"/>
      <c r="E11" s="4"/>
      <c r="F11" s="4"/>
      <c r="G11" s="4"/>
      <c r="H11" s="4"/>
      <c r="I11" s="4"/>
    </row>
    <row r="12" spans="1:9" ht="24.75" customHeight="1" x14ac:dyDescent="0.4">
      <c r="A12" s="13" t="s">
        <v>2</v>
      </c>
      <c r="B12" s="4"/>
      <c r="C12" s="4"/>
      <c r="D12" s="4"/>
      <c r="E12" s="4"/>
      <c r="F12" s="4"/>
      <c r="G12" s="4"/>
      <c r="H12" s="4"/>
      <c r="I12" s="4"/>
    </row>
    <row r="13" spans="1:9" ht="19.5" customHeight="1" x14ac:dyDescent="0.4">
      <c r="A13" s="4"/>
      <c r="B13" s="4"/>
      <c r="C13" s="4"/>
      <c r="D13" s="4"/>
      <c r="E13" s="4"/>
      <c r="F13" s="4"/>
      <c r="G13" s="4"/>
      <c r="H13" s="4"/>
      <c r="I13" s="4"/>
    </row>
    <row r="14" spans="1:9" ht="34.5" customHeight="1" x14ac:dyDescent="0.4">
      <c r="A14" s="4"/>
      <c r="B14" s="4"/>
      <c r="C14" s="4"/>
      <c r="D14" s="4"/>
      <c r="E14" s="4"/>
      <c r="F14" s="4"/>
      <c r="G14" s="4"/>
      <c r="H14" s="4"/>
      <c r="I14" s="4"/>
    </row>
    <row r="15" spans="1:9" ht="15.75" customHeight="1" x14ac:dyDescent="0.4">
      <c r="A15" s="4"/>
      <c r="B15" s="4"/>
      <c r="C15" s="4"/>
      <c r="D15" s="4"/>
      <c r="E15" s="4"/>
      <c r="F15" s="4"/>
      <c r="G15" s="4"/>
      <c r="H15" s="4"/>
      <c r="I15" s="4"/>
    </row>
    <row r="16" spans="1:9" ht="18.75" customHeight="1" x14ac:dyDescent="0.4">
      <c r="A16" s="4"/>
      <c r="B16" s="4"/>
      <c r="C16" s="4"/>
      <c r="D16" s="4"/>
      <c r="E16" s="4"/>
      <c r="F16" s="4"/>
      <c r="G16" s="4"/>
      <c r="H16" s="4"/>
      <c r="I16" s="4"/>
    </row>
    <row r="17" spans="1:9" ht="29.25" customHeight="1" x14ac:dyDescent="0.4">
      <c r="A17" s="4"/>
      <c r="B17" s="4"/>
      <c r="C17" s="9"/>
      <c r="D17" s="9"/>
      <c r="E17" s="4"/>
      <c r="F17" s="4"/>
      <c r="G17" s="4"/>
      <c r="H17" s="4"/>
      <c r="I17" s="4"/>
    </row>
    <row r="18" spans="1:9" ht="29.25" customHeight="1" x14ac:dyDescent="0.4">
      <c r="A18" s="4"/>
      <c r="B18" s="4"/>
      <c r="C18" s="9"/>
      <c r="D18" s="9"/>
      <c r="E18" s="4"/>
      <c r="F18" s="4"/>
      <c r="G18" s="4"/>
      <c r="H18" s="4"/>
      <c r="I18" s="4"/>
    </row>
    <row r="19" spans="1:9" ht="29.25" customHeight="1" x14ac:dyDescent="0.4">
      <c r="A19" s="4"/>
      <c r="B19" s="4"/>
      <c r="C19" s="9"/>
      <c r="D19" s="9"/>
      <c r="E19" s="4"/>
      <c r="F19" s="4"/>
      <c r="G19" s="4"/>
      <c r="H19" s="4"/>
      <c r="I19" s="4"/>
    </row>
    <row r="20" spans="1:9" ht="29.25" customHeight="1" x14ac:dyDescent="0.4">
      <c r="A20" s="4"/>
      <c r="B20" s="4"/>
      <c r="C20" s="9"/>
      <c r="D20" s="9"/>
      <c r="E20" s="4"/>
      <c r="F20" s="4"/>
      <c r="G20" s="4"/>
      <c r="H20" s="4"/>
      <c r="I20" s="4"/>
    </row>
    <row r="21" spans="1:9" ht="29.25" customHeight="1" x14ac:dyDescent="0.4">
      <c r="A21" s="4"/>
      <c r="B21" s="4"/>
      <c r="C21" s="9"/>
      <c r="D21" s="9"/>
      <c r="E21" s="4"/>
      <c r="F21" s="4"/>
      <c r="G21" s="4"/>
      <c r="H21" s="4"/>
      <c r="I21" s="4"/>
    </row>
    <row r="22" spans="1:9" ht="29.25" customHeight="1" x14ac:dyDescent="0.4">
      <c r="A22" s="4"/>
      <c r="B22" s="4"/>
      <c r="C22" s="9"/>
      <c r="D22" s="9"/>
      <c r="E22" s="4"/>
      <c r="F22" s="4"/>
      <c r="G22" s="4"/>
      <c r="H22" s="4"/>
      <c r="I22" s="4"/>
    </row>
    <row r="23" spans="1:9" ht="21" customHeight="1" x14ac:dyDescent="0.4">
      <c r="A23" s="4"/>
      <c r="B23" s="4"/>
      <c r="C23" s="4"/>
      <c r="D23" s="9"/>
      <c r="E23" s="4"/>
      <c r="F23" s="4"/>
      <c r="G23" s="4"/>
      <c r="H23" s="4"/>
      <c r="I23" s="4"/>
    </row>
    <row r="24" spans="1:9" ht="29.25" customHeight="1" x14ac:dyDescent="0.4">
      <c r="A24" s="4"/>
      <c r="B24" s="4"/>
      <c r="C24" s="9"/>
      <c r="D24" s="9"/>
      <c r="E24" s="4"/>
      <c r="F24" s="4"/>
      <c r="G24" s="4"/>
      <c r="H24" s="4"/>
      <c r="I24" s="4"/>
    </row>
    <row r="25" spans="1:9" ht="29.25" customHeight="1" x14ac:dyDescent="0.4">
      <c r="A25" s="4"/>
      <c r="B25" s="4"/>
      <c r="C25" s="9"/>
      <c r="D25" s="9"/>
      <c r="E25" s="4"/>
      <c r="F25" s="4"/>
      <c r="G25" s="4"/>
      <c r="H25" s="4"/>
      <c r="I25" s="4"/>
    </row>
  </sheetData>
  <pageMargins left="0.28958880139982501" right="0.28958880139982501" top="0.62992125984251945" bottom="0.39370078740157499" header="0.11811023622047251" footer="0.3"/>
  <pageSetup scale="71" orientation="portrait" r:id="rId1"/>
  <headerFooter scaleWithDoc="0">
    <oddHeader>&amp;R&amp;"Calibri"&amp;10&amp;K808080City Heartbeat 2024, 50 city index (v1.0)</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941249" r:id="rId5" name="cnt_GlobalZoom">
              <controlPr defaultSize="0" autoFill="0" autoPict="0" macro="[0]!k">
                <anchor moveWithCells="1">
                  <from>
                    <xdr:col>7</xdr:col>
                    <xdr:colOff>1115786</xdr:colOff>
                    <xdr:row>1</xdr:row>
                    <xdr:rowOff>48986</xdr:rowOff>
                  </from>
                  <to>
                    <xdr:col>8</xdr:col>
                    <xdr:colOff>293914</xdr:colOff>
                    <xdr:row>1</xdr:row>
                    <xdr:rowOff>266700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EA656-37C4-4037-B172-AC56E16D5362}">
  <sheetPr codeName="Sheet55">
    <pageSetUpPr fitToPage="1"/>
  </sheetPr>
  <dimension ref="A1:J300"/>
  <sheetViews>
    <sheetView showGridLines="0" showRowColHeaders="0" topLeftCell="B1" zoomScaleNormal="100" workbookViewId="0"/>
  </sheetViews>
  <sheetFormatPr defaultRowHeight="14.6" zeroHeight="1" x14ac:dyDescent="0.4"/>
  <cols>
    <col min="1" max="1" width="2.69140625" hidden="1" customWidth="1"/>
    <col min="2" max="2" width="5" customWidth="1"/>
    <col min="3" max="3" width="6.53515625" customWidth="1"/>
    <col min="4" max="4" width="19.3046875" customWidth="1"/>
    <col min="5" max="5" width="29.15234375" customWidth="1"/>
    <col min="6" max="6" width="37" customWidth="1"/>
    <col min="7" max="7" width="28.15234375" customWidth="1"/>
    <col min="8" max="8" width="22.69140625" customWidth="1"/>
    <col min="9" max="9" width="5.3046875" customWidth="1"/>
    <col min="10" max="10" width="2.3046875" customWidth="1"/>
  </cols>
  <sheetData>
    <row r="1" spans="1:10" ht="5.25" customHeight="1" x14ac:dyDescent="0.4">
      <c r="A1" s="4"/>
      <c r="B1" s="4"/>
      <c r="C1" s="9"/>
      <c r="D1" s="9"/>
      <c r="E1" s="4"/>
      <c r="F1" s="4"/>
      <c r="G1" s="4"/>
      <c r="H1" s="4"/>
      <c r="I1" s="4"/>
      <c r="J1" s="4"/>
    </row>
    <row r="2" spans="1:10" ht="24" customHeight="1" x14ac:dyDescent="0.4">
      <c r="A2" s="10"/>
      <c r="B2" s="10"/>
      <c r="C2" s="10"/>
      <c r="D2" s="10"/>
      <c r="E2" s="10"/>
      <c r="F2" s="10"/>
      <c r="G2" s="11"/>
      <c r="H2" s="11"/>
      <c r="I2" s="11"/>
      <c r="J2" s="10"/>
    </row>
    <row r="3" spans="1:10" ht="11.25" customHeight="1" x14ac:dyDescent="0.4">
      <c r="A3" s="4"/>
      <c r="B3" s="4"/>
      <c r="C3" s="9"/>
      <c r="D3" s="9"/>
      <c r="E3" s="4"/>
      <c r="F3" s="4"/>
      <c r="G3" s="4"/>
      <c r="H3" s="4"/>
      <c r="I3" s="4"/>
      <c r="J3" s="4"/>
    </row>
    <row r="4" spans="1:10" ht="48" hidden="1" customHeight="1" x14ac:dyDescent="0.4">
      <c r="A4" s="21" t="str">
        <f>IF(uxbGlobals!$B$66="NO","H","")</f>
        <v>H</v>
      </c>
      <c r="B4" s="4"/>
      <c r="C4" s="9"/>
      <c r="D4" s="9"/>
      <c r="E4" s="4"/>
      <c r="F4" s="4"/>
      <c r="G4" s="4"/>
      <c r="H4" s="4"/>
      <c r="I4" s="4"/>
      <c r="J4" s="4"/>
    </row>
    <row r="5" spans="1:10" ht="8.25" customHeight="1" x14ac:dyDescent="0.4">
      <c r="A5" s="4"/>
      <c r="B5" s="4"/>
      <c r="C5" s="9"/>
      <c r="D5" s="9"/>
      <c r="E5" s="4"/>
      <c r="F5" s="4"/>
      <c r="G5" s="4"/>
      <c r="H5" s="4"/>
      <c r="I5" s="4"/>
      <c r="J5" s="4"/>
    </row>
    <row r="6" spans="1:10" ht="15" hidden="1" customHeight="1" x14ac:dyDescent="0.4">
      <c r="A6" s="13" t="s">
        <v>2</v>
      </c>
      <c r="B6" s="4"/>
      <c r="C6" s="9"/>
      <c r="D6" s="9"/>
      <c r="E6" s="4"/>
      <c r="F6" s="4"/>
      <c r="G6" s="4"/>
      <c r="H6" s="4"/>
      <c r="I6" s="4"/>
      <c r="J6" s="4"/>
    </row>
    <row r="7" spans="1:10" ht="9.75" hidden="1" customHeight="1" x14ac:dyDescent="0.4">
      <c r="A7" s="13" t="s">
        <v>2</v>
      </c>
      <c r="B7" s="4"/>
      <c r="C7" s="9"/>
      <c r="D7" s="9"/>
      <c r="E7" s="4"/>
      <c r="F7" s="4"/>
      <c r="G7" s="4"/>
      <c r="H7" s="4"/>
      <c r="I7" s="4"/>
      <c r="J7" s="4"/>
    </row>
    <row r="8" spans="1:10" ht="5.25" hidden="1" customHeight="1" x14ac:dyDescent="0.4">
      <c r="A8" s="13" t="s">
        <v>2</v>
      </c>
      <c r="B8" s="4"/>
      <c r="C8" s="9"/>
      <c r="D8" s="9"/>
      <c r="E8" s="4"/>
      <c r="F8" s="4"/>
      <c r="G8" s="4"/>
      <c r="H8" s="4"/>
      <c r="I8" s="4"/>
      <c r="J8" s="4"/>
    </row>
    <row r="9" spans="1:10" hidden="1" x14ac:dyDescent="0.4">
      <c r="A9" s="4" t="s">
        <v>2</v>
      </c>
      <c r="B9" s="4"/>
      <c r="C9" s="4"/>
      <c r="D9" s="4"/>
      <c r="E9" s="4"/>
      <c r="F9" s="4"/>
      <c r="G9" s="4"/>
      <c r="H9" s="4"/>
      <c r="I9" s="4"/>
      <c r="J9" s="4"/>
    </row>
    <row r="10" spans="1:10" ht="9.75" hidden="1" customHeight="1" x14ac:dyDescent="0.4">
      <c r="A10" s="13" t="s">
        <v>2</v>
      </c>
      <c r="B10" s="4"/>
      <c r="C10" s="4"/>
      <c r="D10" s="4"/>
      <c r="E10" s="4"/>
      <c r="F10" s="4"/>
      <c r="G10" s="4"/>
      <c r="H10" s="4"/>
      <c r="I10" s="4"/>
      <c r="J10" s="4"/>
    </row>
    <row r="11" spans="1:10" ht="9" hidden="1" customHeight="1" x14ac:dyDescent="0.4">
      <c r="A11" s="13" t="s">
        <v>2</v>
      </c>
      <c r="B11" s="4"/>
      <c r="C11" s="4"/>
      <c r="D11" s="4"/>
      <c r="E11" s="4"/>
      <c r="F11" s="4"/>
      <c r="G11" s="4"/>
      <c r="H11" s="4"/>
      <c r="I11" s="4"/>
      <c r="J11" s="4"/>
    </row>
    <row r="12" spans="1:10" ht="7.5" hidden="1" customHeight="1" x14ac:dyDescent="0.4">
      <c r="A12" s="13" t="s">
        <v>2</v>
      </c>
      <c r="B12" s="4"/>
      <c r="C12" s="4"/>
      <c r="D12" s="4"/>
      <c r="E12" s="4"/>
      <c r="F12" s="4"/>
      <c r="G12" s="4"/>
      <c r="H12" s="4"/>
      <c r="I12" s="4"/>
      <c r="J12" s="4"/>
    </row>
    <row r="13" spans="1:10" ht="13.5" hidden="1" customHeight="1" x14ac:dyDescent="0.4">
      <c r="A13" s="13" t="s">
        <v>2</v>
      </c>
      <c r="B13" s="4"/>
      <c r="C13" s="4"/>
      <c r="D13" s="4"/>
      <c r="E13" s="4"/>
      <c r="F13" s="4"/>
      <c r="G13" s="12"/>
      <c r="H13" s="4"/>
      <c r="I13" s="4"/>
      <c r="J13" s="4"/>
    </row>
    <row r="14" spans="1:10" ht="22.5" customHeight="1" x14ac:dyDescent="0.4">
      <c r="A14" s="4"/>
      <c r="B14" s="4"/>
      <c r="C14" s="4"/>
      <c r="D14" s="4"/>
      <c r="E14" s="4"/>
      <c r="F14" s="4"/>
      <c r="G14" s="4"/>
      <c r="H14" s="4"/>
      <c r="I14" s="4"/>
      <c r="J14" s="4"/>
    </row>
    <row r="15" spans="1:10" ht="21" customHeight="1" x14ac:dyDescent="0.4">
      <c r="A15" s="4"/>
      <c r="B15" s="4"/>
      <c r="C15" s="4"/>
      <c r="D15" s="4"/>
      <c r="E15" s="4"/>
      <c r="F15" s="4"/>
      <c r="G15" s="4"/>
      <c r="H15" s="4"/>
      <c r="I15" s="4"/>
      <c r="J15" s="4"/>
    </row>
    <row r="16" spans="1:10" ht="12.75" customHeight="1" x14ac:dyDescent="0.4">
      <c r="A16" s="4"/>
      <c r="B16" s="4"/>
      <c r="C16" s="4"/>
      <c r="D16" s="4"/>
      <c r="E16" s="4"/>
      <c r="F16" s="4"/>
      <c r="G16" s="4"/>
      <c r="H16" s="4"/>
      <c r="I16" s="4"/>
      <c r="J16" s="4"/>
    </row>
    <row r="17" spans="1:10" ht="24.75" customHeight="1" x14ac:dyDescent="0.4">
      <c r="A17" s="4"/>
      <c r="B17" s="4"/>
      <c r="C17" s="4"/>
      <c r="D17" s="4"/>
      <c r="E17" s="4"/>
      <c r="F17" s="4"/>
      <c r="G17" s="4"/>
      <c r="H17" s="4"/>
      <c r="I17" s="4"/>
      <c r="J17" s="4"/>
    </row>
    <row r="18" spans="1:10" ht="27" customHeight="1" x14ac:dyDescent="0.75">
      <c r="A18" s="4"/>
      <c r="B18" s="4"/>
      <c r="C18" s="22" t="str">
        <f>uxbGlobals!$B$67</f>
        <v>City Heartbeat</v>
      </c>
      <c r="D18" s="4"/>
      <c r="E18" s="4"/>
      <c r="F18" s="4"/>
      <c r="G18" s="4"/>
      <c r="H18" s="4"/>
      <c r="I18" s="4"/>
      <c r="J18" s="4"/>
    </row>
    <row r="19" spans="1:10" ht="19.5" customHeight="1" x14ac:dyDescent="0.5">
      <c r="A19" s="4"/>
      <c r="B19" s="4"/>
      <c r="C19" s="23" t="str">
        <f>IF(uxbGlobals!$B$68="","",uxbGlobals!$B$68)</f>
        <v>2024, 50 city index</v>
      </c>
      <c r="D19" s="4"/>
      <c r="E19" s="4"/>
      <c r="F19" s="4"/>
      <c r="G19" s="4"/>
      <c r="H19" s="4"/>
      <c r="I19" s="4"/>
      <c r="J19" s="4"/>
    </row>
    <row r="20" spans="1:10" ht="19.5" customHeight="1" x14ac:dyDescent="0.4">
      <c r="A20" s="4"/>
      <c r="B20" s="4"/>
      <c r="C20" s="24" t="s">
        <v>8979</v>
      </c>
      <c r="D20" s="4"/>
      <c r="E20" s="4"/>
      <c r="F20" s="4"/>
      <c r="G20" s="4"/>
      <c r="H20" s="4"/>
      <c r="I20" s="4"/>
      <c r="J20" s="4"/>
    </row>
    <row r="21" spans="1:10" ht="61.75" customHeight="1" x14ac:dyDescent="0.4">
      <c r="A21" s="4"/>
      <c r="B21" s="4"/>
      <c r="C21" s="4"/>
      <c r="D21" s="4"/>
      <c r="E21" s="4"/>
      <c r="F21" s="4"/>
      <c r="G21" s="4"/>
      <c r="H21" s="4"/>
      <c r="I21" s="4"/>
      <c r="J21" s="4"/>
    </row>
    <row r="22" spans="1:10" ht="18" hidden="1" customHeight="1" x14ac:dyDescent="0.45">
      <c r="A22" s="13" t="s">
        <v>2</v>
      </c>
      <c r="B22" s="4"/>
      <c r="C22" s="25"/>
      <c r="D22" s="4"/>
      <c r="E22" s="4"/>
      <c r="F22" s="4"/>
      <c r="G22" s="4"/>
      <c r="H22" s="4"/>
      <c r="I22" s="4"/>
      <c r="J22" s="26"/>
    </row>
    <row r="23" spans="1:10" ht="20.25" customHeight="1" x14ac:dyDescent="0.4">
      <c r="A23" s="4"/>
      <c r="B23" s="4"/>
      <c r="C23" s="27" t="s">
        <v>481</v>
      </c>
      <c r="D23" s="4"/>
      <c r="E23" s="4"/>
      <c r="F23" s="4"/>
      <c r="G23" s="4"/>
      <c r="H23" s="4"/>
      <c r="I23" s="4"/>
      <c r="J23" s="26"/>
    </row>
    <row r="24" spans="1:10" ht="16.5" customHeight="1" x14ac:dyDescent="0.4">
      <c r="A24" s="4"/>
      <c r="B24" s="4"/>
      <c r="C24" s="28"/>
      <c r="D24" s="28"/>
      <c r="E24" s="4"/>
      <c r="F24" s="4"/>
      <c r="G24" s="4"/>
      <c r="H24" s="4"/>
      <c r="I24" s="4"/>
      <c r="J24" s="26"/>
    </row>
    <row r="25" spans="1:10" ht="6" customHeight="1" x14ac:dyDescent="0.4">
      <c r="A25" s="4"/>
      <c r="B25" s="4"/>
      <c r="C25" s="29"/>
      <c r="D25" s="29"/>
      <c r="E25" s="29"/>
      <c r="F25" s="30"/>
      <c r="G25" s="4"/>
      <c r="H25" s="4"/>
      <c r="I25" s="4"/>
      <c r="J25" s="26"/>
    </row>
    <row r="26" spans="1:10" ht="24.75" customHeight="1" x14ac:dyDescent="0.4">
      <c r="A26" s="4"/>
      <c r="B26" s="4"/>
      <c r="C26" s="29"/>
      <c r="D26" s="29"/>
      <c r="E26" s="340" t="s">
        <v>2496</v>
      </c>
      <c r="F26" s="340"/>
      <c r="G26" s="340"/>
      <c r="H26" s="12"/>
      <c r="I26" s="4"/>
      <c r="J26" s="26"/>
    </row>
    <row r="27" spans="1:10" ht="6" customHeight="1" x14ac:dyDescent="0.4">
      <c r="A27" s="4"/>
      <c r="B27" s="4"/>
      <c r="C27" s="4"/>
      <c r="D27" s="4"/>
      <c r="E27" s="29"/>
      <c r="F27" s="30"/>
      <c r="G27" s="4"/>
      <c r="H27" s="4"/>
      <c r="I27" s="4"/>
      <c r="J27" s="26"/>
    </row>
    <row r="28" spans="1:10" ht="24.75" customHeight="1" x14ac:dyDescent="0.4">
      <c r="A28" s="4"/>
      <c r="B28" s="4"/>
      <c r="C28" s="29"/>
      <c r="D28" s="29"/>
      <c r="E28" s="340" t="s">
        <v>2668</v>
      </c>
      <c r="F28" s="340"/>
      <c r="G28" s="340"/>
      <c r="H28" s="4"/>
      <c r="I28" s="4"/>
      <c r="J28" s="26"/>
    </row>
    <row r="29" spans="1:10" ht="6" customHeight="1" x14ac:dyDescent="0.4">
      <c r="A29" s="4"/>
      <c r="B29" s="4"/>
      <c r="C29" s="4"/>
      <c r="D29" s="4"/>
      <c r="E29" s="29"/>
      <c r="F29" s="30"/>
      <c r="G29" s="4"/>
      <c r="H29" s="4"/>
      <c r="I29" s="4"/>
      <c r="J29" s="26"/>
    </row>
    <row r="30" spans="1:10" ht="24.75" customHeight="1" x14ac:dyDescent="0.4">
      <c r="A30" s="4"/>
      <c r="B30" s="4"/>
      <c r="C30" s="29"/>
      <c r="D30" s="29"/>
      <c r="E30" s="340" t="s">
        <v>6954</v>
      </c>
      <c r="F30" s="340"/>
      <c r="G30" s="340"/>
      <c r="H30" s="4"/>
      <c r="I30" s="4"/>
      <c r="J30" s="26"/>
    </row>
    <row r="31" spans="1:10" ht="6" customHeight="1" x14ac:dyDescent="0.4">
      <c r="A31" s="4"/>
      <c r="B31" s="4"/>
      <c r="C31" s="4"/>
      <c r="D31" s="4"/>
      <c r="E31" s="29"/>
      <c r="F31" s="30"/>
      <c r="G31" s="4"/>
      <c r="H31" s="4"/>
      <c r="I31" s="4"/>
      <c r="J31" s="26"/>
    </row>
    <row r="32" spans="1:10" ht="24.75" customHeight="1" x14ac:dyDescent="0.4">
      <c r="A32" s="4"/>
      <c r="B32" s="4"/>
      <c r="C32" s="29"/>
      <c r="D32" s="29"/>
      <c r="E32" s="340" t="s">
        <v>2497</v>
      </c>
      <c r="F32" s="340"/>
      <c r="G32" s="340"/>
      <c r="H32" s="4"/>
      <c r="I32" s="4"/>
      <c r="J32" s="26"/>
    </row>
    <row r="33" spans="1:10" ht="6" customHeight="1" x14ac:dyDescent="0.4">
      <c r="A33" s="4"/>
      <c r="B33" s="4"/>
      <c r="C33" s="4"/>
      <c r="D33" s="4"/>
      <c r="E33" s="29"/>
      <c r="F33" s="30"/>
      <c r="G33" s="4"/>
      <c r="H33" s="4"/>
      <c r="I33" s="4"/>
      <c r="J33" s="4"/>
    </row>
    <row r="34" spans="1:10" ht="24.75" customHeight="1" x14ac:dyDescent="0.4">
      <c r="A34" s="4"/>
      <c r="B34" s="4"/>
      <c r="C34" s="29"/>
      <c r="D34" s="29"/>
      <c r="E34" s="340" t="s">
        <v>7203</v>
      </c>
      <c r="F34" s="340"/>
      <c r="G34" s="340"/>
      <c r="H34" s="4"/>
      <c r="I34" s="4"/>
      <c r="J34" s="26"/>
    </row>
    <row r="35" spans="1:10" ht="6" customHeight="1" x14ac:dyDescent="0.4">
      <c r="A35" s="4"/>
      <c r="B35" s="4"/>
      <c r="C35" s="29"/>
      <c r="D35" s="29"/>
      <c r="E35" s="29"/>
      <c r="F35" s="30"/>
      <c r="G35" s="4"/>
      <c r="H35" s="4"/>
      <c r="I35" s="4"/>
      <c r="J35" s="4"/>
    </row>
    <row r="36" spans="1:10" ht="24.75" customHeight="1" x14ac:dyDescent="0.4">
      <c r="A36" s="4"/>
      <c r="B36" s="4"/>
      <c r="C36" s="29"/>
      <c r="D36" s="29"/>
      <c r="E36" s="340" t="s">
        <v>2499</v>
      </c>
      <c r="F36" s="340"/>
      <c r="G36" s="340"/>
      <c r="H36" s="4"/>
      <c r="I36" s="4"/>
      <c r="J36" s="26"/>
    </row>
    <row r="37" spans="1:10" ht="6" customHeight="1" x14ac:dyDescent="0.4">
      <c r="A37" s="4"/>
      <c r="B37" s="4"/>
      <c r="C37" s="4"/>
      <c r="D37" s="4"/>
      <c r="E37" s="29"/>
      <c r="F37" s="30"/>
      <c r="G37" s="4"/>
      <c r="H37" s="4"/>
      <c r="I37" s="4"/>
      <c r="J37" s="4"/>
    </row>
    <row r="38" spans="1:10" ht="24.75" customHeight="1" x14ac:dyDescent="0.4">
      <c r="A38" s="4"/>
      <c r="B38" s="4"/>
      <c r="C38" s="29"/>
      <c r="D38" s="29"/>
      <c r="E38" s="340" t="s">
        <v>2669</v>
      </c>
      <c r="F38" s="340"/>
      <c r="G38" s="340"/>
      <c r="H38" s="4"/>
      <c r="I38" s="4"/>
      <c r="J38" s="26"/>
    </row>
    <row r="39" spans="1:10" ht="6" customHeight="1" x14ac:dyDescent="0.4">
      <c r="A39" s="4"/>
      <c r="B39" s="4"/>
      <c r="C39" s="4"/>
      <c r="D39" s="4"/>
      <c r="E39" s="29"/>
      <c r="F39" s="30"/>
      <c r="G39" s="4"/>
      <c r="H39" s="4"/>
      <c r="I39" s="4"/>
      <c r="J39" s="4"/>
    </row>
    <row r="40" spans="1:10" ht="24.75" customHeight="1" x14ac:dyDescent="0.4">
      <c r="A40" s="4"/>
      <c r="B40" s="4"/>
      <c r="C40" s="29"/>
      <c r="D40" s="29"/>
      <c r="E40" s="340" t="s">
        <v>1235</v>
      </c>
      <c r="F40" s="340"/>
      <c r="G40" s="340"/>
      <c r="H40" s="4"/>
      <c r="I40" s="4"/>
      <c r="J40" s="26"/>
    </row>
    <row r="41" spans="1:10" ht="6" customHeight="1" x14ac:dyDescent="0.4">
      <c r="A41" s="4"/>
      <c r="B41" s="4"/>
      <c r="C41" s="4"/>
      <c r="D41" s="4"/>
      <c r="E41" s="29"/>
      <c r="F41" s="30"/>
      <c r="G41" s="4"/>
      <c r="H41" s="4"/>
      <c r="I41" s="4"/>
      <c r="J41" s="4"/>
    </row>
    <row r="42" spans="1:10" ht="24.75" customHeight="1" x14ac:dyDescent="0.4">
      <c r="A42" s="4"/>
      <c r="B42" s="4"/>
      <c r="C42" s="29"/>
      <c r="D42" s="29"/>
      <c r="E42" s="340" t="s">
        <v>1552</v>
      </c>
      <c r="F42" s="340"/>
      <c r="G42" s="340"/>
      <c r="H42" s="4"/>
      <c r="I42" s="4"/>
      <c r="J42" s="26"/>
    </row>
    <row r="43" spans="1:10" ht="6" customHeight="1" x14ac:dyDescent="0.4">
      <c r="A43" s="4"/>
      <c r="B43" s="4"/>
      <c r="C43" s="4"/>
      <c r="D43" s="4"/>
      <c r="E43" s="29"/>
      <c r="F43" s="30"/>
      <c r="G43" s="4"/>
      <c r="H43" s="4"/>
      <c r="I43" s="4"/>
      <c r="J43" s="4"/>
    </row>
    <row r="44" spans="1:10" ht="24.75" customHeight="1" x14ac:dyDescent="0.4">
      <c r="A44" s="4"/>
      <c r="B44" s="4"/>
      <c r="C44" s="29"/>
      <c r="D44" s="29"/>
      <c r="E44" s="340" t="s">
        <v>2498</v>
      </c>
      <c r="F44" s="340"/>
      <c r="G44" s="340"/>
      <c r="H44" s="4"/>
      <c r="I44" s="4"/>
      <c r="J44" s="26"/>
    </row>
    <row r="45" spans="1:10" ht="6" customHeight="1" x14ac:dyDescent="0.4">
      <c r="A45" s="4"/>
      <c r="B45" s="4"/>
      <c r="C45" s="4"/>
      <c r="D45" s="4"/>
      <c r="E45" s="29"/>
      <c r="F45" s="30"/>
      <c r="G45" s="4"/>
      <c r="H45" s="4"/>
      <c r="I45" s="4"/>
      <c r="J45" s="4"/>
    </row>
    <row r="46" spans="1:10" ht="24.75" customHeight="1" x14ac:dyDescent="0.4">
      <c r="A46" s="4"/>
      <c r="B46" s="4"/>
      <c r="C46" s="29"/>
      <c r="D46" s="29"/>
      <c r="E46" s="340" t="s">
        <v>2513</v>
      </c>
      <c r="F46" s="340"/>
      <c r="G46" s="340"/>
      <c r="H46" s="4"/>
      <c r="I46" s="4"/>
      <c r="J46" s="26"/>
    </row>
    <row r="47" spans="1:10" ht="6" customHeight="1" x14ac:dyDescent="0.4">
      <c r="A47" s="4"/>
      <c r="B47" s="4"/>
      <c r="C47" s="4"/>
      <c r="D47" s="4"/>
      <c r="E47" s="29"/>
      <c r="F47" s="30"/>
      <c r="G47" s="4"/>
      <c r="H47" s="4"/>
      <c r="I47" s="4"/>
      <c r="J47" s="4"/>
    </row>
    <row r="48" spans="1:10" ht="6" customHeight="1" x14ac:dyDescent="0.4">
      <c r="A48" s="4"/>
      <c r="B48" s="4"/>
      <c r="C48" s="4"/>
      <c r="D48" s="4"/>
      <c r="E48" s="29"/>
      <c r="F48" s="30"/>
      <c r="G48" s="4"/>
      <c r="H48" s="4"/>
      <c r="I48" s="4"/>
      <c r="J48" s="4"/>
    </row>
    <row r="49" spans="1:10" ht="6" customHeight="1" x14ac:dyDescent="0.4">
      <c r="A49" s="4"/>
      <c r="B49" s="4"/>
      <c r="C49" s="4"/>
      <c r="D49" s="4"/>
      <c r="E49" s="29"/>
      <c r="F49" s="30"/>
      <c r="G49" s="4"/>
      <c r="H49" s="4"/>
      <c r="I49" s="4"/>
      <c r="J49" s="4"/>
    </row>
    <row r="50" spans="1:10" ht="15.75" customHeight="1" x14ac:dyDescent="0.4">
      <c r="A50" s="4"/>
      <c r="B50" s="4"/>
      <c r="C50" s="4"/>
      <c r="D50" s="9"/>
      <c r="E50" s="4"/>
      <c r="F50" s="4"/>
      <c r="G50" s="4"/>
      <c r="H50" s="4"/>
      <c r="I50" s="4"/>
      <c r="J50" s="4"/>
    </row>
    <row r="51" spans="1:10" ht="27.75" customHeight="1" x14ac:dyDescent="0.4">
      <c r="A51" s="4"/>
      <c r="B51" s="4"/>
      <c r="C51" s="9"/>
      <c r="D51" s="9"/>
      <c r="E51" s="4"/>
      <c r="F51" s="4"/>
      <c r="G51" s="4"/>
      <c r="H51" s="4"/>
      <c r="I51" s="4"/>
      <c r="J51" s="4"/>
    </row>
    <row r="52" spans="1:10" ht="29.25" customHeight="1" x14ac:dyDescent="0.4">
      <c r="A52" s="4"/>
      <c r="B52" s="4"/>
      <c r="C52" s="9"/>
      <c r="D52" s="9"/>
      <c r="E52" s="4"/>
      <c r="F52" s="4"/>
      <c r="G52" s="4"/>
      <c r="H52" s="4"/>
      <c r="I52" s="4"/>
      <c r="J52" s="4"/>
    </row>
    <row r="53" spans="1:10" ht="23.25" customHeight="1" x14ac:dyDescent="0.4">
      <c r="A53" s="4"/>
      <c r="B53" s="4"/>
      <c r="C53" s="31"/>
      <c r="D53" s="4"/>
      <c r="E53" s="4"/>
      <c r="F53" s="4"/>
      <c r="G53" s="4"/>
      <c r="H53" s="4"/>
      <c r="I53" s="4"/>
      <c r="J53" s="4"/>
    </row>
    <row r="54" spans="1:10" ht="29.25" customHeight="1" x14ac:dyDescent="0.4">
      <c r="A54" s="4"/>
      <c r="B54" s="4"/>
      <c r="C54" s="9"/>
      <c r="D54" s="9"/>
      <c r="E54" s="4"/>
      <c r="F54" s="4"/>
      <c r="G54" s="4"/>
      <c r="H54" s="4"/>
      <c r="I54" s="4"/>
      <c r="J54" s="4"/>
    </row>
    <row r="55" spans="1:10" ht="29.25" customHeight="1" x14ac:dyDescent="0.4">
      <c r="A55" s="4"/>
      <c r="B55" s="4"/>
      <c r="C55" s="9"/>
      <c r="D55" s="9"/>
      <c r="E55" s="4"/>
      <c r="F55" s="4"/>
      <c r="G55" s="4"/>
      <c r="H55" s="4"/>
      <c r="I55" s="4"/>
      <c r="J55" s="4"/>
    </row>
    <row r="56" spans="1:10" ht="29.25" customHeight="1" x14ac:dyDescent="0.4">
      <c r="A56" s="4"/>
      <c r="B56" s="4"/>
      <c r="C56" s="9"/>
      <c r="D56" s="9"/>
      <c r="E56" s="4"/>
      <c r="F56" s="4"/>
      <c r="G56" s="4"/>
      <c r="H56" s="4"/>
      <c r="I56" s="4"/>
      <c r="J56" s="4"/>
    </row>
    <row r="57" spans="1:10" ht="29.25" customHeight="1" x14ac:dyDescent="0.4">
      <c r="A57" s="4"/>
      <c r="B57" s="4"/>
      <c r="C57" s="9"/>
      <c r="D57" s="9"/>
      <c r="E57" s="4"/>
      <c r="F57" s="4"/>
      <c r="G57" s="4"/>
      <c r="H57" s="4"/>
      <c r="I57" s="4"/>
      <c r="J57" s="4"/>
    </row>
    <row r="58" spans="1:10" ht="29.25" customHeight="1" x14ac:dyDescent="0.4">
      <c r="A58" s="4"/>
      <c r="B58" s="4"/>
      <c r="C58" s="9"/>
      <c r="D58" s="9"/>
      <c r="E58" s="4"/>
      <c r="F58" s="4"/>
      <c r="G58" s="4"/>
      <c r="H58" s="4"/>
      <c r="I58" s="4"/>
      <c r="J58" s="4"/>
    </row>
    <row r="59" spans="1:10" ht="29.25" customHeight="1" x14ac:dyDescent="0.4">
      <c r="A59" s="4"/>
      <c r="B59" s="4"/>
      <c r="C59" s="9"/>
      <c r="D59" s="9"/>
      <c r="E59" s="4"/>
      <c r="F59" s="4"/>
      <c r="G59" s="4"/>
      <c r="H59" s="4"/>
      <c r="I59" s="4"/>
      <c r="J59" s="4"/>
    </row>
    <row r="60" spans="1:10" ht="23.25" customHeight="1" x14ac:dyDescent="0.4">
      <c r="A60" s="4"/>
      <c r="B60" s="4"/>
      <c r="C60" s="4"/>
      <c r="D60" s="4"/>
      <c r="E60" s="4"/>
      <c r="F60" s="4"/>
      <c r="G60" s="4"/>
      <c r="H60" s="4"/>
      <c r="I60" s="4"/>
      <c r="J60" s="4"/>
    </row>
    <row r="61" spans="1:10" ht="23.25" customHeight="1" x14ac:dyDescent="0.4">
      <c r="A61" s="4"/>
      <c r="B61" s="4"/>
      <c r="C61" s="4"/>
      <c r="D61" s="4"/>
      <c r="E61" s="4"/>
      <c r="F61" s="4"/>
      <c r="G61" s="4"/>
      <c r="H61" s="4"/>
      <c r="I61" s="4"/>
      <c r="J61" s="4"/>
    </row>
    <row r="62" spans="1:10" ht="23.25" customHeight="1" x14ac:dyDescent="0.4">
      <c r="A62" s="4"/>
      <c r="B62" s="4"/>
      <c r="C62" s="4"/>
      <c r="D62" s="4"/>
      <c r="E62" s="4"/>
      <c r="F62" s="4"/>
      <c r="G62" s="4"/>
      <c r="H62" s="4"/>
      <c r="I62" s="4"/>
      <c r="J62" s="4"/>
    </row>
    <row r="63" spans="1:10" ht="23.25" customHeight="1" x14ac:dyDescent="0.4">
      <c r="A63" s="4"/>
      <c r="B63" s="4"/>
      <c r="C63" s="4"/>
      <c r="D63" s="4"/>
      <c r="E63" s="4"/>
      <c r="F63" s="4"/>
      <c r="G63" s="4"/>
      <c r="H63" s="4"/>
      <c r="I63" s="4"/>
      <c r="J63" s="4"/>
    </row>
    <row r="64" spans="1:10" ht="23.25" customHeight="1" x14ac:dyDescent="0.4">
      <c r="A64" s="4"/>
      <c r="B64" s="4"/>
      <c r="C64" s="4"/>
      <c r="D64" s="4"/>
      <c r="E64" s="4"/>
      <c r="F64" s="4"/>
      <c r="G64" s="4"/>
      <c r="H64" s="4"/>
      <c r="I64" s="4"/>
      <c r="J64" s="4"/>
    </row>
    <row r="65" spans="1:10" x14ac:dyDescent="0.4">
      <c r="A65" s="4"/>
      <c r="B65" s="4"/>
      <c r="C65" s="4"/>
      <c r="D65" s="4"/>
      <c r="E65" s="4"/>
      <c r="F65" s="4"/>
      <c r="G65" s="4"/>
      <c r="H65" s="4"/>
      <c r="I65" s="4"/>
      <c r="J65" s="4"/>
    </row>
    <row r="66" spans="1:10" x14ac:dyDescent="0.4">
      <c r="A66" s="4"/>
      <c r="B66" s="4"/>
      <c r="C66" s="4"/>
      <c r="D66" s="4"/>
      <c r="E66" s="4"/>
      <c r="F66" s="4"/>
      <c r="G66" s="4"/>
      <c r="H66" s="4"/>
      <c r="I66" s="4"/>
      <c r="J66" s="4"/>
    </row>
    <row r="67" spans="1:10" x14ac:dyDescent="0.4">
      <c r="A67" s="4"/>
      <c r="B67" s="4"/>
      <c r="C67" s="4"/>
      <c r="D67" s="4"/>
      <c r="E67" s="4"/>
      <c r="F67" s="4"/>
      <c r="G67" s="4"/>
      <c r="H67" s="4"/>
      <c r="I67" s="4"/>
      <c r="J67" s="4"/>
    </row>
    <row r="68" spans="1:10" x14ac:dyDescent="0.4">
      <c r="A68" s="4"/>
      <c r="B68" s="4"/>
      <c r="C68" s="4"/>
      <c r="D68" s="4"/>
      <c r="E68" s="4"/>
      <c r="F68" s="4"/>
      <c r="G68" s="4"/>
      <c r="H68" s="4"/>
      <c r="I68" s="4"/>
      <c r="J68" s="4"/>
    </row>
    <row r="69" spans="1:10" x14ac:dyDescent="0.4">
      <c r="A69" s="4"/>
      <c r="B69" s="4"/>
      <c r="C69" s="4"/>
      <c r="D69" s="4"/>
      <c r="E69" s="4"/>
      <c r="F69" s="4"/>
      <c r="G69" s="4"/>
      <c r="H69" s="4"/>
      <c r="I69" s="4"/>
      <c r="J69" s="4"/>
    </row>
    <row r="70" spans="1:10" x14ac:dyDescent="0.4">
      <c r="A70" s="4"/>
      <c r="B70" s="4"/>
      <c r="C70" s="4"/>
      <c r="D70" s="4"/>
      <c r="E70" s="4"/>
      <c r="F70" s="4"/>
      <c r="G70" s="4"/>
      <c r="H70" s="4"/>
      <c r="I70" s="4"/>
      <c r="J70" s="4"/>
    </row>
    <row r="71" spans="1:10" x14ac:dyDescent="0.4">
      <c r="A71" s="4"/>
      <c r="B71" s="4"/>
      <c r="C71" s="4"/>
      <c r="D71" s="4"/>
      <c r="E71" s="4"/>
      <c r="F71" s="4"/>
      <c r="G71" s="4"/>
      <c r="H71" s="4"/>
      <c r="I71" s="4"/>
      <c r="J71" s="4"/>
    </row>
    <row r="72" spans="1:10" x14ac:dyDescent="0.4">
      <c r="A72" s="32" t="s">
        <v>3</v>
      </c>
      <c r="B72" s="4"/>
      <c r="C72" s="4"/>
      <c r="D72" s="4"/>
      <c r="E72" s="4"/>
      <c r="F72" s="4"/>
      <c r="G72" s="4"/>
      <c r="H72" s="4"/>
      <c r="I72" s="4"/>
      <c r="J72" s="4"/>
    </row>
    <row r="73" spans="1:10" x14ac:dyDescent="0.4"/>
    <row r="74" spans="1:10" x14ac:dyDescent="0.4"/>
    <row r="75" spans="1:10" x14ac:dyDescent="0.4"/>
    <row r="76" spans="1:10" x14ac:dyDescent="0.4"/>
    <row r="77" spans="1:10" x14ac:dyDescent="0.4"/>
    <row r="78" spans="1:10" x14ac:dyDescent="0.4"/>
    <row r="79" spans="1:10" x14ac:dyDescent="0.4"/>
    <row r="80" spans="1:10" x14ac:dyDescent="0.4"/>
    <row r="81" x14ac:dyDescent="0.4"/>
    <row r="82" x14ac:dyDescent="0.4"/>
    <row r="83" x14ac:dyDescent="0.4"/>
    <row r="84" x14ac:dyDescent="0.4"/>
    <row r="85" x14ac:dyDescent="0.4"/>
    <row r="86" x14ac:dyDescent="0.4"/>
    <row r="87" x14ac:dyDescent="0.4"/>
    <row r="88" x14ac:dyDescent="0.4"/>
    <row r="89" x14ac:dyDescent="0.4"/>
    <row r="90" x14ac:dyDescent="0.4"/>
    <row r="91" x14ac:dyDescent="0.4"/>
    <row r="92" x14ac:dyDescent="0.4"/>
    <row r="93" x14ac:dyDescent="0.4"/>
    <row r="94" x14ac:dyDescent="0.4"/>
    <row r="95" x14ac:dyDescent="0.4"/>
    <row r="96" x14ac:dyDescent="0.4"/>
    <row r="97" x14ac:dyDescent="0.4"/>
    <row r="98" x14ac:dyDescent="0.4"/>
    <row r="99" x14ac:dyDescent="0.4"/>
    <row r="100" x14ac:dyDescent="0.4"/>
    <row r="101" x14ac:dyDescent="0.4"/>
    <row r="102" x14ac:dyDescent="0.4"/>
    <row r="103" x14ac:dyDescent="0.4"/>
    <row r="104" x14ac:dyDescent="0.4"/>
    <row r="105" x14ac:dyDescent="0.4"/>
    <row r="106" x14ac:dyDescent="0.4"/>
    <row r="107" x14ac:dyDescent="0.4"/>
    <row r="108" x14ac:dyDescent="0.4"/>
    <row r="109" x14ac:dyDescent="0.4"/>
    <row r="110" x14ac:dyDescent="0.4"/>
    <row r="111" x14ac:dyDescent="0.4"/>
    <row r="112" x14ac:dyDescent="0.4"/>
    <row r="113" x14ac:dyDescent="0.4"/>
    <row r="114" x14ac:dyDescent="0.4"/>
    <row r="115" x14ac:dyDescent="0.4"/>
    <row r="116" x14ac:dyDescent="0.4"/>
    <row r="117" x14ac:dyDescent="0.4"/>
    <row r="118" x14ac:dyDescent="0.4"/>
    <row r="119" x14ac:dyDescent="0.4"/>
    <row r="120" x14ac:dyDescent="0.4"/>
    <row r="121" x14ac:dyDescent="0.4"/>
    <row r="122" x14ac:dyDescent="0.4"/>
    <row r="123" x14ac:dyDescent="0.4"/>
    <row r="124" x14ac:dyDescent="0.4"/>
    <row r="125" x14ac:dyDescent="0.4"/>
    <row r="126" x14ac:dyDescent="0.4"/>
    <row r="127" x14ac:dyDescent="0.4"/>
    <row r="128" x14ac:dyDescent="0.4"/>
    <row r="129" x14ac:dyDescent="0.4"/>
    <row r="130" x14ac:dyDescent="0.4"/>
    <row r="131" x14ac:dyDescent="0.4"/>
    <row r="132" x14ac:dyDescent="0.4"/>
    <row r="133" x14ac:dyDescent="0.4"/>
    <row r="134" x14ac:dyDescent="0.4"/>
    <row r="135" x14ac:dyDescent="0.4"/>
    <row r="136" x14ac:dyDescent="0.4"/>
    <row r="137" x14ac:dyDescent="0.4"/>
    <row r="138" x14ac:dyDescent="0.4"/>
    <row r="139" x14ac:dyDescent="0.4"/>
    <row r="140" x14ac:dyDescent="0.4"/>
    <row r="141" x14ac:dyDescent="0.4"/>
    <row r="142" x14ac:dyDescent="0.4"/>
    <row r="143" x14ac:dyDescent="0.4"/>
    <row r="144" x14ac:dyDescent="0.4"/>
    <row r="145" x14ac:dyDescent="0.4"/>
    <row r="146" x14ac:dyDescent="0.4"/>
    <row r="147" x14ac:dyDescent="0.4"/>
    <row r="148" x14ac:dyDescent="0.4"/>
    <row r="149" x14ac:dyDescent="0.4"/>
    <row r="150" x14ac:dyDescent="0.4"/>
    <row r="151" x14ac:dyDescent="0.4"/>
    <row r="152" x14ac:dyDescent="0.4"/>
    <row r="153" x14ac:dyDescent="0.4"/>
    <row r="154" x14ac:dyDescent="0.4"/>
    <row r="155" x14ac:dyDescent="0.4"/>
    <row r="156" x14ac:dyDescent="0.4"/>
    <row r="157" x14ac:dyDescent="0.4"/>
    <row r="158" x14ac:dyDescent="0.4"/>
    <row r="159" x14ac:dyDescent="0.4"/>
    <row r="160" x14ac:dyDescent="0.4"/>
    <row r="161" x14ac:dyDescent="0.4"/>
    <row r="162" x14ac:dyDescent="0.4"/>
    <row r="163" x14ac:dyDescent="0.4"/>
    <row r="164" x14ac:dyDescent="0.4"/>
    <row r="165" x14ac:dyDescent="0.4"/>
    <row r="166" x14ac:dyDescent="0.4"/>
    <row r="167" x14ac:dyDescent="0.4"/>
    <row r="168" x14ac:dyDescent="0.4"/>
    <row r="169" x14ac:dyDescent="0.4"/>
    <row r="170" x14ac:dyDescent="0.4"/>
    <row r="171" x14ac:dyDescent="0.4"/>
    <row r="172" x14ac:dyDescent="0.4"/>
    <row r="173" x14ac:dyDescent="0.4"/>
    <row r="174" x14ac:dyDescent="0.4"/>
    <row r="175" x14ac:dyDescent="0.4"/>
    <row r="176" x14ac:dyDescent="0.4"/>
    <row r="177" x14ac:dyDescent="0.4"/>
    <row r="178" x14ac:dyDescent="0.4"/>
    <row r="179" x14ac:dyDescent="0.4"/>
    <row r="180" x14ac:dyDescent="0.4"/>
    <row r="181" x14ac:dyDescent="0.4"/>
    <row r="182" x14ac:dyDescent="0.4"/>
    <row r="183" x14ac:dyDescent="0.4"/>
    <row r="184" x14ac:dyDescent="0.4"/>
    <row r="185" x14ac:dyDescent="0.4"/>
    <row r="186" x14ac:dyDescent="0.4"/>
    <row r="187" x14ac:dyDescent="0.4"/>
    <row r="188" x14ac:dyDescent="0.4"/>
    <row r="189" x14ac:dyDescent="0.4"/>
    <row r="190" x14ac:dyDescent="0.4"/>
    <row r="191" x14ac:dyDescent="0.4"/>
    <row r="192" x14ac:dyDescent="0.4"/>
    <row r="193" x14ac:dyDescent="0.4"/>
    <row r="194" x14ac:dyDescent="0.4"/>
    <row r="195" x14ac:dyDescent="0.4"/>
    <row r="196" x14ac:dyDescent="0.4"/>
    <row r="197" x14ac:dyDescent="0.4"/>
    <row r="198" x14ac:dyDescent="0.4"/>
    <row r="199" x14ac:dyDescent="0.4"/>
    <row r="200" x14ac:dyDescent="0.4"/>
    <row r="201" x14ac:dyDescent="0.4"/>
    <row r="202" x14ac:dyDescent="0.4"/>
    <row r="203" x14ac:dyDescent="0.4"/>
    <row r="204" x14ac:dyDescent="0.4"/>
    <row r="205" x14ac:dyDescent="0.4"/>
    <row r="206" x14ac:dyDescent="0.4"/>
    <row r="207" x14ac:dyDescent="0.4"/>
    <row r="208" x14ac:dyDescent="0.4"/>
    <row r="209" x14ac:dyDescent="0.4"/>
    <row r="210" x14ac:dyDescent="0.4"/>
    <row r="211" x14ac:dyDescent="0.4"/>
    <row r="212" x14ac:dyDescent="0.4"/>
    <row r="213" x14ac:dyDescent="0.4"/>
    <row r="214" x14ac:dyDescent="0.4"/>
    <row r="215" x14ac:dyDescent="0.4"/>
    <row r="216" x14ac:dyDescent="0.4"/>
    <row r="217" x14ac:dyDescent="0.4"/>
    <row r="218" x14ac:dyDescent="0.4"/>
    <row r="219" x14ac:dyDescent="0.4"/>
    <row r="220" x14ac:dyDescent="0.4"/>
    <row r="221" x14ac:dyDescent="0.4"/>
    <row r="222" x14ac:dyDescent="0.4"/>
    <row r="223" x14ac:dyDescent="0.4"/>
    <row r="224" x14ac:dyDescent="0.4"/>
    <row r="225" x14ac:dyDescent="0.4"/>
    <row r="226" x14ac:dyDescent="0.4"/>
    <row r="227" x14ac:dyDescent="0.4"/>
    <row r="228" x14ac:dyDescent="0.4"/>
    <row r="229" x14ac:dyDescent="0.4"/>
    <row r="230" x14ac:dyDescent="0.4"/>
    <row r="231" x14ac:dyDescent="0.4"/>
    <row r="232" x14ac:dyDescent="0.4"/>
    <row r="233" x14ac:dyDescent="0.4"/>
    <row r="234" x14ac:dyDescent="0.4"/>
    <row r="235" x14ac:dyDescent="0.4"/>
    <row r="236" x14ac:dyDescent="0.4"/>
    <row r="237" x14ac:dyDescent="0.4"/>
    <row r="238" x14ac:dyDescent="0.4"/>
    <row r="239" x14ac:dyDescent="0.4"/>
    <row r="240" x14ac:dyDescent="0.4"/>
    <row r="241" x14ac:dyDescent="0.4"/>
    <row r="242" x14ac:dyDescent="0.4"/>
    <row r="243" x14ac:dyDescent="0.4"/>
    <row r="244" x14ac:dyDescent="0.4"/>
    <row r="245" x14ac:dyDescent="0.4"/>
    <row r="246" x14ac:dyDescent="0.4"/>
    <row r="247" x14ac:dyDescent="0.4"/>
    <row r="248" x14ac:dyDescent="0.4"/>
    <row r="249" x14ac:dyDescent="0.4"/>
    <row r="250" x14ac:dyDescent="0.4"/>
    <row r="251" x14ac:dyDescent="0.4"/>
    <row r="252" x14ac:dyDescent="0.4"/>
    <row r="253" x14ac:dyDescent="0.4"/>
    <row r="254" x14ac:dyDescent="0.4"/>
    <row r="255" x14ac:dyDescent="0.4"/>
    <row r="256" x14ac:dyDescent="0.4"/>
    <row r="257" x14ac:dyDescent="0.4"/>
    <row r="258" x14ac:dyDescent="0.4"/>
    <row r="259" x14ac:dyDescent="0.4"/>
    <row r="260" x14ac:dyDescent="0.4"/>
    <row r="261" x14ac:dyDescent="0.4"/>
    <row r="262" x14ac:dyDescent="0.4"/>
    <row r="263" x14ac:dyDescent="0.4"/>
    <row r="264" x14ac:dyDescent="0.4"/>
    <row r="265" x14ac:dyDescent="0.4"/>
    <row r="266" x14ac:dyDescent="0.4"/>
    <row r="267" x14ac:dyDescent="0.4"/>
    <row r="268" x14ac:dyDescent="0.4"/>
    <row r="269" x14ac:dyDescent="0.4"/>
    <row r="270" x14ac:dyDescent="0.4"/>
    <row r="271" x14ac:dyDescent="0.4"/>
    <row r="272" x14ac:dyDescent="0.4"/>
    <row r="273" x14ac:dyDescent="0.4"/>
    <row r="274" x14ac:dyDescent="0.4"/>
    <row r="275" x14ac:dyDescent="0.4"/>
    <row r="276" x14ac:dyDescent="0.4"/>
    <row r="277" x14ac:dyDescent="0.4"/>
    <row r="278" x14ac:dyDescent="0.4"/>
    <row r="279" x14ac:dyDescent="0.4"/>
    <row r="280" x14ac:dyDescent="0.4"/>
    <row r="281" x14ac:dyDescent="0.4"/>
    <row r="282" x14ac:dyDescent="0.4"/>
    <row r="283" x14ac:dyDescent="0.4"/>
    <row r="284" x14ac:dyDescent="0.4"/>
    <row r="285" x14ac:dyDescent="0.4"/>
    <row r="286" x14ac:dyDescent="0.4"/>
    <row r="287" x14ac:dyDescent="0.4"/>
    <row r="288" x14ac:dyDescent="0.4"/>
    <row r="289" x14ac:dyDescent="0.4"/>
    <row r="290" x14ac:dyDescent="0.4"/>
    <row r="291" x14ac:dyDescent="0.4"/>
    <row r="292" x14ac:dyDescent="0.4"/>
    <row r="293" x14ac:dyDescent="0.4"/>
    <row r="294" x14ac:dyDescent="0.4"/>
    <row r="295" x14ac:dyDescent="0.4"/>
    <row r="296" x14ac:dyDescent="0.4"/>
    <row r="297" x14ac:dyDescent="0.4"/>
    <row r="298" x14ac:dyDescent="0.4"/>
    <row r="299" x14ac:dyDescent="0.4"/>
    <row r="300" x14ac:dyDescent="0.4"/>
  </sheetData>
  <sheetProtection sheet="1" objects="1" scenarios="1"/>
  <mergeCells count="11">
    <mergeCell ref="E46:G46"/>
    <mergeCell ref="E26:G26"/>
    <mergeCell ref="E28:G28"/>
    <mergeCell ref="E30:G30"/>
    <mergeCell ref="E32:G32"/>
    <mergeCell ref="E34:G34"/>
    <mergeCell ref="E38:G38"/>
    <mergeCell ref="E42:G42"/>
    <mergeCell ref="E40:G40"/>
    <mergeCell ref="E36:G36"/>
    <mergeCell ref="E44:G44"/>
  </mergeCells>
  <pageMargins left="0.28958880139982501" right="0.28958880139982501" top="0.62992125984251945" bottom="0.39370078740157499" header="0.11811023622047251" footer="0.3"/>
  <pageSetup scale="57" orientation="portrait" r:id="rId1"/>
  <headerFooter scaleWithDoc="0">
    <oddHeader>&amp;R&amp;"Calibri"&amp;10&amp;K808080City Heartbeat 2024, 50 city index (v1.0)</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942273" r:id="rId5" name="cnt_GlobalZoom">
              <controlPr defaultSize="0" autoFill="0" autoPict="0" macro="[0]!k">
                <anchor moveWithCells="1">
                  <from>
                    <xdr:col>7</xdr:col>
                    <xdr:colOff>1230086</xdr:colOff>
                    <xdr:row>1</xdr:row>
                    <xdr:rowOff>38100</xdr:rowOff>
                  </from>
                  <to>
                    <xdr:col>8</xdr:col>
                    <xdr:colOff>293914</xdr:colOff>
                    <xdr:row>1</xdr:row>
                    <xdr:rowOff>255814</xdr:rowOff>
                  </to>
                </anchor>
              </controlPr>
            </control>
          </mc:Choice>
        </mc:AlternateContent>
        <mc:AlternateContent xmlns:mc="http://schemas.openxmlformats.org/markup-compatibility/2006">
          <mc:Choice Requires="x14">
            <control shapeId="5942274" r:id="rId6" name="cnt_PalettePicker">
              <controlPr defaultSize="0" autoFill="0" autoPict="0" macro="[0]!k">
                <anchor moveWithCells="1">
                  <from>
                    <xdr:col>5</xdr:col>
                    <xdr:colOff>598714</xdr:colOff>
                    <xdr:row>1</xdr:row>
                    <xdr:rowOff>48986</xdr:rowOff>
                  </from>
                  <to>
                    <xdr:col>5</xdr:col>
                    <xdr:colOff>2046514</xdr:colOff>
                    <xdr:row>1</xdr:row>
                    <xdr:rowOff>250371</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EE9A-134B-41A9-8C21-2E99FC9749C9}">
  <sheetPr codeName="Sheet62">
    <pageSetUpPr fitToPage="1"/>
  </sheetPr>
  <dimension ref="A1:J300"/>
  <sheetViews>
    <sheetView showGridLines="0" showRowColHeaders="0" zoomScaleNormal="100" workbookViewId="0">
      <selection activeCell="T29" sqref="T29"/>
    </sheetView>
  </sheetViews>
  <sheetFormatPr defaultRowHeight="14.6" zeroHeight="1" x14ac:dyDescent="0.4"/>
  <cols>
    <col min="1" max="1" width="2.69140625" customWidth="1"/>
    <col min="2" max="2" width="5" customWidth="1"/>
    <col min="3" max="3" width="6.53515625" customWidth="1"/>
    <col min="4" max="4" width="28.15234375" customWidth="1"/>
    <col min="5" max="5" width="29.15234375" customWidth="1"/>
    <col min="6" max="6" width="37" customWidth="1"/>
    <col min="7" max="8" width="28.15234375" customWidth="1"/>
    <col min="9" max="9" width="5.3046875" customWidth="1"/>
    <col min="10" max="10" width="5" customWidth="1"/>
  </cols>
  <sheetData>
    <row r="1" spans="1:10" ht="24" customHeight="1" x14ac:dyDescent="0.4">
      <c r="A1" s="4"/>
      <c r="B1" s="4"/>
      <c r="C1" s="4"/>
      <c r="D1" s="4"/>
      <c r="E1" s="4"/>
      <c r="F1" s="4"/>
      <c r="G1" s="4"/>
      <c r="H1" s="4"/>
      <c r="I1" s="4"/>
      <c r="J1" s="4"/>
    </row>
    <row r="2" spans="1:10" ht="32.25" customHeight="1" x14ac:dyDescent="0.75">
      <c r="A2" s="4"/>
      <c r="B2" s="4"/>
      <c r="C2" s="22" t="str">
        <f>uxbGlobals!$B$67</f>
        <v>City Heartbeat</v>
      </c>
      <c r="D2" s="33"/>
      <c r="E2" s="4"/>
      <c r="F2" s="4"/>
      <c r="G2" s="4"/>
      <c r="H2" s="4"/>
      <c r="I2" s="34"/>
      <c r="J2" s="4"/>
    </row>
    <row r="3" spans="1:10" ht="18.899999999999999" customHeight="1" x14ac:dyDescent="0.6">
      <c r="A3" s="4"/>
      <c r="B3" s="4"/>
      <c r="C3" s="23" t="str">
        <f>IF(uxbGlobals!$B$68="","",uxbGlobals!$B$68)</f>
        <v>2024, 50 city index</v>
      </c>
      <c r="D3" s="33"/>
      <c r="E3" s="4"/>
      <c r="F3" s="4"/>
      <c r="G3" s="4"/>
      <c r="H3" s="4"/>
      <c r="I3" s="34"/>
      <c r="J3" s="4"/>
    </row>
    <row r="4" spans="1:10" ht="7.5" customHeight="1" x14ac:dyDescent="0.4">
      <c r="A4" s="4"/>
      <c r="B4" s="35" t="s">
        <v>1660</v>
      </c>
      <c r="C4" s="9"/>
      <c r="D4" s="9"/>
      <c r="E4" s="4"/>
      <c r="F4" s="4"/>
      <c r="G4" s="4"/>
      <c r="H4" s="4"/>
      <c r="I4" s="4"/>
      <c r="J4" s="4"/>
    </row>
    <row r="5" spans="1:10" ht="6.75" customHeight="1" x14ac:dyDescent="0.4">
      <c r="A5" s="4"/>
      <c r="B5" s="4"/>
      <c r="C5" s="10"/>
      <c r="D5" s="10"/>
      <c r="E5" s="10"/>
      <c r="F5" s="10"/>
      <c r="G5" s="10"/>
      <c r="H5" s="10"/>
      <c r="I5" s="10"/>
      <c r="J5" s="4"/>
    </row>
    <row r="6" spans="1:10" ht="6.75" customHeight="1" x14ac:dyDescent="0.4">
      <c r="A6" s="4"/>
      <c r="B6" s="4"/>
      <c r="C6" s="4"/>
      <c r="D6" s="4"/>
      <c r="E6" s="4"/>
      <c r="F6" s="4"/>
      <c r="G6" s="4"/>
      <c r="H6" s="4"/>
      <c r="I6" s="4"/>
      <c r="J6" s="4"/>
    </row>
    <row r="7" spans="1:10" x14ac:dyDescent="0.4">
      <c r="A7" s="9"/>
      <c r="B7" s="9"/>
      <c r="C7" s="9"/>
      <c r="D7" s="9"/>
      <c r="E7" s="9"/>
      <c r="F7" s="9"/>
      <c r="G7" s="9"/>
      <c r="H7" s="9"/>
      <c r="I7" s="9"/>
      <c r="J7" s="9"/>
    </row>
    <row r="8" spans="1:10" ht="15.75" customHeight="1" x14ac:dyDescent="0.4">
      <c r="A8" s="13" t="s">
        <v>2</v>
      </c>
      <c r="B8" s="4"/>
      <c r="C8" s="9"/>
      <c r="D8" s="9"/>
      <c r="E8" s="4"/>
      <c r="F8" s="4"/>
      <c r="G8" s="4"/>
      <c r="H8" s="4"/>
      <c r="I8" s="4"/>
      <c r="J8" s="4"/>
    </row>
    <row r="9" spans="1:10" ht="17.25" customHeight="1" x14ac:dyDescent="0.4">
      <c r="A9" s="4" t="s">
        <v>2</v>
      </c>
      <c r="B9" s="4"/>
      <c r="C9" s="4"/>
      <c r="D9" s="4"/>
      <c r="E9" s="4"/>
      <c r="F9" s="4"/>
      <c r="G9" s="4"/>
      <c r="H9" s="4"/>
      <c r="I9" s="4"/>
      <c r="J9" s="4"/>
    </row>
    <row r="10" spans="1:10" ht="17.25" customHeight="1" x14ac:dyDescent="0.4">
      <c r="A10" s="13" t="s">
        <v>2</v>
      </c>
      <c r="B10" s="4"/>
      <c r="C10" s="9"/>
      <c r="D10" s="9"/>
      <c r="E10" s="4"/>
      <c r="F10" s="4"/>
      <c r="G10" s="4"/>
      <c r="H10" s="4"/>
      <c r="I10" s="4"/>
      <c r="J10" s="4"/>
    </row>
    <row r="11" spans="1:10" ht="17.25" customHeight="1" x14ac:dyDescent="0.4">
      <c r="A11" s="13" t="s">
        <v>2</v>
      </c>
      <c r="B11" s="4"/>
      <c r="C11" s="4"/>
      <c r="D11" s="9"/>
      <c r="E11" s="4"/>
      <c r="F11" s="4"/>
      <c r="G11" s="4"/>
      <c r="H11" s="4"/>
      <c r="I11" s="4"/>
      <c r="J11" s="4"/>
    </row>
    <row r="12" spans="1:10" ht="17.25" customHeight="1" x14ac:dyDescent="0.4">
      <c r="A12" s="13" t="s">
        <v>2</v>
      </c>
      <c r="B12" s="4"/>
      <c r="C12" s="4"/>
      <c r="D12" s="9"/>
      <c r="E12" s="4"/>
      <c r="F12" s="4"/>
      <c r="G12" s="4"/>
      <c r="H12" s="4"/>
      <c r="I12" s="4"/>
      <c r="J12" s="4"/>
    </row>
    <row r="13" spans="1:10" ht="17.25" customHeight="1" x14ac:dyDescent="0.4">
      <c r="A13" s="9"/>
      <c r="B13" s="4"/>
      <c r="C13" s="36" t="s">
        <v>258</v>
      </c>
      <c r="D13" s="31"/>
      <c r="E13" s="4"/>
      <c r="F13" s="4"/>
      <c r="G13" s="4"/>
      <c r="H13" s="4"/>
      <c r="I13" s="4"/>
      <c r="J13" s="4"/>
    </row>
    <row r="14" spans="1:10" ht="22.5" customHeight="1" x14ac:dyDescent="0.4">
      <c r="A14" s="9"/>
      <c r="B14" s="4"/>
      <c r="C14" s="37" t="s">
        <v>1355</v>
      </c>
      <c r="D14" s="31"/>
      <c r="E14" s="4"/>
      <c r="F14" s="4"/>
      <c r="G14" s="4"/>
      <c r="H14" s="4"/>
      <c r="I14" s="4"/>
      <c r="J14" s="4"/>
    </row>
    <row r="15" spans="1:10" ht="17.25" customHeight="1" x14ac:dyDescent="0.4">
      <c r="A15" s="9"/>
      <c r="B15" s="4"/>
      <c r="C15" s="37"/>
      <c r="D15" s="31"/>
      <c r="E15" s="4"/>
      <c r="F15" s="4"/>
      <c r="G15" s="4"/>
      <c r="H15" s="4"/>
      <c r="I15" s="4"/>
      <c r="J15" s="4"/>
    </row>
    <row r="16" spans="1:10" ht="17.25" customHeight="1" x14ac:dyDescent="0.4">
      <c r="A16" s="4"/>
      <c r="B16" s="4"/>
      <c r="C16" s="36" t="s">
        <v>1356</v>
      </c>
      <c r="D16" s="31"/>
      <c r="E16" s="4"/>
      <c r="F16" s="4"/>
      <c r="G16" s="4"/>
      <c r="H16" s="4"/>
      <c r="I16" s="4"/>
      <c r="J16" s="4"/>
    </row>
    <row r="17" spans="1:10" ht="26.25" customHeight="1" x14ac:dyDescent="0.4">
      <c r="A17" s="4"/>
      <c r="B17" s="4"/>
      <c r="C17" s="37" t="s">
        <v>1357</v>
      </c>
      <c r="D17" s="31"/>
      <c r="E17" s="4"/>
      <c r="F17" s="4"/>
      <c r="G17" s="4"/>
      <c r="H17" s="4"/>
      <c r="I17" s="4"/>
      <c r="J17" s="4"/>
    </row>
    <row r="18" spans="1:10" ht="17.25" customHeight="1" x14ac:dyDescent="0.4">
      <c r="A18" s="4"/>
      <c r="B18" s="4"/>
      <c r="C18" s="36"/>
      <c r="D18" s="31"/>
      <c r="E18" s="4"/>
      <c r="F18" s="4"/>
      <c r="G18" s="4"/>
      <c r="H18" s="4"/>
      <c r="I18" s="4"/>
      <c r="J18" s="4"/>
    </row>
    <row r="19" spans="1:10" ht="62.25" customHeight="1" x14ac:dyDescent="0.4">
      <c r="A19" s="4"/>
      <c r="B19" s="4"/>
      <c r="C19" s="31"/>
      <c r="D19" s="31"/>
      <c r="E19" s="4"/>
      <c r="F19" s="4"/>
      <c r="G19" s="4"/>
      <c r="H19" s="4"/>
      <c r="I19" s="4"/>
      <c r="J19" s="4"/>
    </row>
    <row r="20" spans="1:10" ht="35.25" customHeight="1" x14ac:dyDescent="0.4">
      <c r="A20" s="4"/>
      <c r="B20" s="4"/>
      <c r="C20" s="31"/>
      <c r="D20" s="31"/>
      <c r="E20" s="4"/>
      <c r="F20" s="4"/>
      <c r="G20" s="4"/>
      <c r="H20" s="4"/>
      <c r="I20" s="4"/>
      <c r="J20" s="4"/>
    </row>
    <row r="21" spans="1:10" ht="17.25" customHeight="1" x14ac:dyDescent="0.4">
      <c r="A21" s="4"/>
      <c r="B21" s="4"/>
      <c r="C21" s="31"/>
      <c r="D21" s="31"/>
      <c r="E21" s="4"/>
      <c r="F21" s="4"/>
      <c r="G21" s="4"/>
      <c r="H21" s="4"/>
      <c r="I21" s="4"/>
      <c r="J21" s="4"/>
    </row>
    <row r="22" spans="1:10" ht="17.25" customHeight="1" x14ac:dyDescent="0.4">
      <c r="A22" s="4"/>
      <c r="B22" s="4"/>
      <c r="C22" s="31"/>
      <c r="D22" s="31"/>
      <c r="E22" s="4"/>
      <c r="F22" s="4"/>
      <c r="G22" s="4"/>
      <c r="H22" s="4"/>
      <c r="I22" s="4"/>
      <c r="J22" s="4"/>
    </row>
    <row r="23" spans="1:10" ht="17.25" customHeight="1" x14ac:dyDescent="0.4">
      <c r="A23" s="4"/>
      <c r="B23" s="4"/>
      <c r="C23" s="31"/>
      <c r="D23" s="31"/>
      <c r="E23" s="4"/>
      <c r="F23" s="4"/>
      <c r="G23" s="4"/>
      <c r="H23" s="4"/>
      <c r="I23" s="4"/>
      <c r="J23" s="4"/>
    </row>
    <row r="24" spans="1:10" ht="17.25" customHeight="1" x14ac:dyDescent="0.4">
      <c r="A24" s="4"/>
      <c r="B24" s="4"/>
      <c r="C24" s="31"/>
      <c r="D24" s="31"/>
      <c r="E24" s="4"/>
      <c r="F24" s="4"/>
      <c r="G24" s="4"/>
      <c r="H24" s="4"/>
      <c r="I24" s="4"/>
      <c r="J24" s="4"/>
    </row>
    <row r="25" spans="1:10" ht="25.5" customHeight="1" x14ac:dyDescent="0.4">
      <c r="A25" s="4"/>
      <c r="B25" s="4"/>
      <c r="C25" s="31"/>
      <c r="D25" s="31"/>
      <c r="E25" s="4"/>
      <c r="F25" s="4"/>
      <c r="G25" s="4"/>
      <c r="H25" s="4"/>
      <c r="I25" s="4"/>
      <c r="J25" s="4"/>
    </row>
    <row r="26" spans="1:10" ht="35.25" customHeight="1" x14ac:dyDescent="0.4">
      <c r="A26" s="4"/>
      <c r="B26" s="4"/>
      <c r="C26" s="31"/>
      <c r="D26" s="31"/>
      <c r="E26" s="4"/>
      <c r="F26" s="4"/>
      <c r="G26" s="4"/>
      <c r="H26" s="4"/>
      <c r="I26" s="4"/>
      <c r="J26" s="4"/>
    </row>
    <row r="27" spans="1:10" ht="62.25" customHeight="1" x14ac:dyDescent="0.4">
      <c r="A27" s="4"/>
      <c r="B27" s="4"/>
      <c r="C27" s="31"/>
      <c r="D27" s="31"/>
      <c r="E27" s="38"/>
      <c r="F27" s="4"/>
      <c r="G27" s="4"/>
      <c r="H27" s="4"/>
      <c r="I27" s="4"/>
      <c r="J27" s="4"/>
    </row>
    <row r="28" spans="1:10" ht="17.25" customHeight="1" x14ac:dyDescent="0.4">
      <c r="A28" s="4"/>
      <c r="B28" s="4"/>
      <c r="C28" s="31"/>
      <c r="D28" s="31"/>
      <c r="E28" s="4"/>
      <c r="F28" s="4"/>
      <c r="G28" s="4"/>
      <c r="H28" s="4"/>
      <c r="I28" s="4"/>
      <c r="J28" s="4"/>
    </row>
    <row r="29" spans="1:10" ht="17.25" customHeight="1" x14ac:dyDescent="0.4">
      <c r="A29" s="4"/>
      <c r="B29" s="4"/>
      <c r="C29" s="31"/>
      <c r="D29" s="31"/>
      <c r="E29" s="4"/>
      <c r="F29" s="4"/>
      <c r="G29" s="4"/>
      <c r="H29" s="4"/>
      <c r="I29" s="4"/>
      <c r="J29" s="4"/>
    </row>
    <row r="30" spans="1:10" ht="17.25" customHeight="1" x14ac:dyDescent="0.4">
      <c r="A30" s="4"/>
      <c r="B30" s="4"/>
      <c r="C30" s="36" t="s">
        <v>1358</v>
      </c>
      <c r="D30" s="31"/>
      <c r="E30" s="4"/>
      <c r="F30" s="4"/>
      <c r="G30" s="4"/>
      <c r="H30" s="4"/>
      <c r="I30" s="4"/>
      <c r="J30" s="4"/>
    </row>
    <row r="31" spans="1:10" ht="21" customHeight="1" x14ac:dyDescent="0.4">
      <c r="A31" s="4"/>
      <c r="B31" s="4"/>
      <c r="C31" s="37" t="s">
        <v>1359</v>
      </c>
      <c r="D31" s="31"/>
      <c r="E31" s="4"/>
      <c r="F31" s="4"/>
      <c r="G31" s="4"/>
      <c r="H31" s="4"/>
      <c r="I31" s="4"/>
      <c r="J31" s="4"/>
    </row>
    <row r="32" spans="1:10" ht="17.25" customHeight="1" x14ac:dyDescent="0.4">
      <c r="A32" s="4"/>
      <c r="B32" s="4"/>
      <c r="C32" s="37" t="s">
        <v>1360</v>
      </c>
      <c r="D32" s="31"/>
      <c r="E32" s="4"/>
      <c r="F32" s="4"/>
      <c r="G32" s="4"/>
      <c r="H32" s="4"/>
      <c r="I32" s="4"/>
      <c r="J32" s="4"/>
    </row>
    <row r="33" spans="1:10" ht="17.25" customHeight="1" x14ac:dyDescent="0.4">
      <c r="A33" s="4"/>
      <c r="B33" s="4"/>
      <c r="C33" s="31"/>
      <c r="D33" s="31"/>
      <c r="E33" s="4"/>
      <c r="F33" s="4"/>
      <c r="G33" s="4"/>
      <c r="H33" s="4"/>
      <c r="I33" s="4"/>
      <c r="J33" s="4"/>
    </row>
    <row r="34" spans="1:10" ht="17.25" customHeight="1" x14ac:dyDescent="0.4">
      <c r="A34" s="4"/>
      <c r="B34" s="4"/>
      <c r="C34" s="37"/>
      <c r="D34" s="31"/>
      <c r="E34" s="4"/>
      <c r="F34" s="4"/>
      <c r="G34" s="4"/>
      <c r="H34" s="4"/>
      <c r="I34" s="4"/>
      <c r="J34" s="4"/>
    </row>
    <row r="35" spans="1:10" ht="17.25" customHeight="1" x14ac:dyDescent="0.4">
      <c r="A35" s="4"/>
      <c r="B35" s="4"/>
      <c r="C35" s="31"/>
      <c r="D35" s="31"/>
      <c r="E35" s="4"/>
      <c r="F35" s="4"/>
      <c r="G35" s="4"/>
      <c r="H35" s="4"/>
      <c r="I35" s="4"/>
      <c r="J35" s="4"/>
    </row>
    <row r="36" spans="1:10" ht="17.25" customHeight="1" x14ac:dyDescent="0.4">
      <c r="A36" s="4"/>
      <c r="B36" s="4"/>
      <c r="C36" s="31"/>
      <c r="D36" s="31"/>
      <c r="E36" s="4"/>
      <c r="F36" s="4"/>
      <c r="G36" s="4"/>
      <c r="H36" s="4"/>
      <c r="I36" s="4"/>
      <c r="J36" s="4"/>
    </row>
    <row r="37" spans="1:10" ht="17.25" customHeight="1" x14ac:dyDescent="0.4">
      <c r="A37" s="4"/>
      <c r="B37" s="4"/>
      <c r="C37" s="31"/>
      <c r="D37" s="31"/>
      <c r="E37" s="4"/>
      <c r="F37" s="4"/>
      <c r="G37" s="4"/>
      <c r="H37" s="4"/>
      <c r="I37" s="4"/>
      <c r="J37" s="4"/>
    </row>
    <row r="38" spans="1:10" ht="17.25" customHeight="1" x14ac:dyDescent="0.4">
      <c r="A38" s="4"/>
      <c r="B38" s="4"/>
      <c r="C38" s="36" t="s">
        <v>1361</v>
      </c>
      <c r="D38" s="31"/>
      <c r="E38" s="4"/>
      <c r="F38" s="4"/>
      <c r="G38" s="4"/>
      <c r="H38" s="4"/>
      <c r="I38" s="4"/>
      <c r="J38" s="4"/>
    </row>
    <row r="39" spans="1:10" ht="17.25" customHeight="1" x14ac:dyDescent="0.4">
      <c r="A39" s="4"/>
      <c r="B39" s="4"/>
      <c r="C39" s="39"/>
      <c r="D39" s="31"/>
      <c r="E39" s="4"/>
      <c r="F39" s="4"/>
      <c r="G39" s="4"/>
      <c r="H39" s="4"/>
      <c r="I39" s="4"/>
      <c r="J39" s="4"/>
    </row>
    <row r="40" spans="1:10" ht="17.25" customHeight="1" x14ac:dyDescent="0.4">
      <c r="A40" s="4"/>
      <c r="B40" s="4"/>
      <c r="C40" s="37" t="s">
        <v>1362</v>
      </c>
      <c r="D40" s="31"/>
      <c r="E40" s="4"/>
      <c r="F40" s="4"/>
      <c r="G40" s="4"/>
      <c r="H40" s="4"/>
      <c r="I40" s="4"/>
      <c r="J40" s="4"/>
    </row>
    <row r="41" spans="1:10" ht="17.25" customHeight="1" x14ac:dyDescent="0.4">
      <c r="A41" s="4"/>
      <c r="B41" s="4"/>
      <c r="C41" s="31"/>
      <c r="D41" s="31"/>
      <c r="E41" s="4"/>
      <c r="F41" s="4"/>
      <c r="G41" s="4"/>
      <c r="H41" s="4"/>
      <c r="I41" s="4"/>
      <c r="J41" s="4"/>
    </row>
    <row r="42" spans="1:10" ht="13.5" customHeight="1" x14ac:dyDescent="0.4">
      <c r="A42" s="4"/>
      <c r="B42" s="4"/>
      <c r="C42" s="9"/>
      <c r="D42" s="9"/>
      <c r="E42" s="4"/>
      <c r="F42" s="4"/>
      <c r="G42" s="4"/>
      <c r="H42" s="4"/>
      <c r="I42" s="4"/>
      <c r="J42" s="4"/>
    </row>
    <row r="43" spans="1:10" ht="13.5" customHeight="1" x14ac:dyDescent="0.4">
      <c r="A43" s="4"/>
      <c r="B43" s="4"/>
      <c r="C43" s="9"/>
      <c r="D43" s="9"/>
      <c r="E43" s="4"/>
      <c r="F43" s="4"/>
      <c r="G43" s="4"/>
      <c r="H43" s="4"/>
      <c r="I43" s="4"/>
      <c r="J43" s="4"/>
    </row>
    <row r="44" spans="1:10" ht="38.25" customHeight="1" x14ac:dyDescent="0.4">
      <c r="A44" s="4"/>
      <c r="B44" s="4"/>
      <c r="C44" s="10"/>
      <c r="D44" s="10"/>
      <c r="E44" s="10"/>
      <c r="F44" s="10"/>
      <c r="G44" s="10"/>
      <c r="H44" s="10"/>
      <c r="I44" s="4"/>
      <c r="J44" s="4"/>
    </row>
    <row r="45" spans="1:10" x14ac:dyDescent="0.4">
      <c r="A45" s="4"/>
      <c r="B45" s="4"/>
      <c r="C45" s="4"/>
      <c r="D45" s="4"/>
      <c r="E45" s="4"/>
      <c r="F45" s="4"/>
      <c r="G45" s="4"/>
      <c r="H45" s="4"/>
      <c r="I45" s="4"/>
      <c r="J45" s="4"/>
    </row>
    <row r="46" spans="1:10" x14ac:dyDescent="0.4">
      <c r="A46" s="32" t="s">
        <v>3</v>
      </c>
      <c r="B46" s="4"/>
      <c r="C46" s="4"/>
      <c r="D46" s="4"/>
      <c r="E46" s="4"/>
      <c r="F46" s="4"/>
      <c r="G46" s="4"/>
      <c r="H46" s="4"/>
      <c r="I46" s="4"/>
      <c r="J46" s="4"/>
    </row>
    <row r="47" spans="1:10" x14ac:dyDescent="0.4"/>
    <row r="48" spans="1:10" x14ac:dyDescent="0.4"/>
    <row r="49" x14ac:dyDescent="0.4"/>
    <row r="50" x14ac:dyDescent="0.4"/>
    <row r="51" x14ac:dyDescent="0.4"/>
    <row r="52" x14ac:dyDescent="0.4"/>
    <row r="53" x14ac:dyDescent="0.4"/>
    <row r="54" x14ac:dyDescent="0.4"/>
    <row r="55" x14ac:dyDescent="0.4"/>
    <row r="56" x14ac:dyDescent="0.4"/>
    <row r="57" x14ac:dyDescent="0.4"/>
    <row r="58" x14ac:dyDescent="0.4"/>
    <row r="59" x14ac:dyDescent="0.4"/>
    <row r="60" x14ac:dyDescent="0.4"/>
    <row r="61" x14ac:dyDescent="0.4"/>
    <row r="62" x14ac:dyDescent="0.4"/>
    <row r="63" x14ac:dyDescent="0.4"/>
    <row r="64" x14ac:dyDescent="0.4"/>
    <row r="65" x14ac:dyDescent="0.4"/>
    <row r="66" x14ac:dyDescent="0.4"/>
    <row r="67" x14ac:dyDescent="0.4"/>
    <row r="68" x14ac:dyDescent="0.4"/>
    <row r="69" x14ac:dyDescent="0.4"/>
    <row r="70" x14ac:dyDescent="0.4"/>
    <row r="71" x14ac:dyDescent="0.4"/>
    <row r="72" x14ac:dyDescent="0.4"/>
    <row r="73" x14ac:dyDescent="0.4"/>
    <row r="74" x14ac:dyDescent="0.4"/>
    <row r="75" x14ac:dyDescent="0.4"/>
    <row r="76" x14ac:dyDescent="0.4"/>
    <row r="77" x14ac:dyDescent="0.4"/>
    <row r="78" x14ac:dyDescent="0.4"/>
    <row r="79" x14ac:dyDescent="0.4"/>
    <row r="80" x14ac:dyDescent="0.4"/>
    <row r="81" x14ac:dyDescent="0.4"/>
    <row r="82" x14ac:dyDescent="0.4"/>
    <row r="83" x14ac:dyDescent="0.4"/>
    <row r="84" x14ac:dyDescent="0.4"/>
    <row r="85" x14ac:dyDescent="0.4"/>
    <row r="86" x14ac:dyDescent="0.4"/>
    <row r="87" x14ac:dyDescent="0.4"/>
    <row r="88" x14ac:dyDescent="0.4"/>
    <row r="89" x14ac:dyDescent="0.4"/>
    <row r="90" x14ac:dyDescent="0.4"/>
    <row r="91" x14ac:dyDescent="0.4"/>
    <row r="92" x14ac:dyDescent="0.4"/>
    <row r="93" x14ac:dyDescent="0.4"/>
    <row r="94" x14ac:dyDescent="0.4"/>
    <row r="95" x14ac:dyDescent="0.4"/>
    <row r="96" x14ac:dyDescent="0.4"/>
    <row r="97" x14ac:dyDescent="0.4"/>
    <row r="98" x14ac:dyDescent="0.4"/>
    <row r="99" x14ac:dyDescent="0.4"/>
    <row r="100" x14ac:dyDescent="0.4"/>
    <row r="101" x14ac:dyDescent="0.4"/>
    <row r="102" x14ac:dyDescent="0.4"/>
    <row r="103" x14ac:dyDescent="0.4"/>
    <row r="104" x14ac:dyDescent="0.4"/>
    <row r="105" x14ac:dyDescent="0.4"/>
    <row r="106" x14ac:dyDescent="0.4"/>
    <row r="107" x14ac:dyDescent="0.4"/>
    <row r="108" x14ac:dyDescent="0.4"/>
    <row r="109" x14ac:dyDescent="0.4"/>
    <row r="110" x14ac:dyDescent="0.4"/>
    <row r="111" x14ac:dyDescent="0.4"/>
    <row r="112" x14ac:dyDescent="0.4"/>
    <row r="113" x14ac:dyDescent="0.4"/>
    <row r="114" x14ac:dyDescent="0.4"/>
    <row r="115" x14ac:dyDescent="0.4"/>
    <row r="116" x14ac:dyDescent="0.4"/>
    <row r="117" x14ac:dyDescent="0.4"/>
    <row r="118" x14ac:dyDescent="0.4"/>
    <row r="119" x14ac:dyDescent="0.4"/>
    <row r="120" x14ac:dyDescent="0.4"/>
    <row r="121" x14ac:dyDescent="0.4"/>
    <row r="122" x14ac:dyDescent="0.4"/>
    <row r="123" x14ac:dyDescent="0.4"/>
    <row r="124" x14ac:dyDescent="0.4"/>
    <row r="125" x14ac:dyDescent="0.4"/>
    <row r="126" x14ac:dyDescent="0.4"/>
    <row r="127" x14ac:dyDescent="0.4"/>
    <row r="128" x14ac:dyDescent="0.4"/>
    <row r="129" x14ac:dyDescent="0.4"/>
    <row r="130" x14ac:dyDescent="0.4"/>
    <row r="131" x14ac:dyDescent="0.4"/>
    <row r="132" x14ac:dyDescent="0.4"/>
    <row r="133" x14ac:dyDescent="0.4"/>
    <row r="134" x14ac:dyDescent="0.4"/>
    <row r="135" x14ac:dyDescent="0.4"/>
    <row r="136" x14ac:dyDescent="0.4"/>
    <row r="137" x14ac:dyDescent="0.4"/>
    <row r="138" x14ac:dyDescent="0.4"/>
    <row r="139" x14ac:dyDescent="0.4"/>
    <row r="140" x14ac:dyDescent="0.4"/>
    <row r="141" x14ac:dyDescent="0.4"/>
    <row r="142" x14ac:dyDescent="0.4"/>
    <row r="143" x14ac:dyDescent="0.4"/>
    <row r="144" x14ac:dyDescent="0.4"/>
    <row r="145" x14ac:dyDescent="0.4"/>
    <row r="146" x14ac:dyDescent="0.4"/>
    <row r="147" x14ac:dyDescent="0.4"/>
    <row r="148" x14ac:dyDescent="0.4"/>
    <row r="149" x14ac:dyDescent="0.4"/>
    <row r="150" x14ac:dyDescent="0.4"/>
    <row r="151" x14ac:dyDescent="0.4"/>
    <row r="152" x14ac:dyDescent="0.4"/>
    <row r="153" x14ac:dyDescent="0.4"/>
    <row r="154" x14ac:dyDescent="0.4"/>
    <row r="155" x14ac:dyDescent="0.4"/>
    <row r="156" x14ac:dyDescent="0.4"/>
    <row r="157" x14ac:dyDescent="0.4"/>
    <row r="158" x14ac:dyDescent="0.4"/>
    <row r="159" x14ac:dyDescent="0.4"/>
    <row r="160" x14ac:dyDescent="0.4"/>
    <row r="161" x14ac:dyDescent="0.4"/>
    <row r="162" x14ac:dyDescent="0.4"/>
    <row r="163" x14ac:dyDescent="0.4"/>
    <row r="164" x14ac:dyDescent="0.4"/>
    <row r="165" x14ac:dyDescent="0.4"/>
    <row r="166" x14ac:dyDescent="0.4"/>
    <row r="167" x14ac:dyDescent="0.4"/>
    <row r="168" x14ac:dyDescent="0.4"/>
    <row r="169" x14ac:dyDescent="0.4"/>
    <row r="170" x14ac:dyDescent="0.4"/>
    <row r="171" x14ac:dyDescent="0.4"/>
    <row r="172" x14ac:dyDescent="0.4"/>
    <row r="173" x14ac:dyDescent="0.4"/>
    <row r="174" x14ac:dyDescent="0.4"/>
    <row r="175" x14ac:dyDescent="0.4"/>
    <row r="176" x14ac:dyDescent="0.4"/>
    <row r="177" x14ac:dyDescent="0.4"/>
    <row r="178" x14ac:dyDescent="0.4"/>
    <row r="179" x14ac:dyDescent="0.4"/>
    <row r="180" x14ac:dyDescent="0.4"/>
    <row r="181" x14ac:dyDescent="0.4"/>
    <row r="182" x14ac:dyDescent="0.4"/>
    <row r="183" x14ac:dyDescent="0.4"/>
    <row r="184" x14ac:dyDescent="0.4"/>
    <row r="185" x14ac:dyDescent="0.4"/>
    <row r="186" x14ac:dyDescent="0.4"/>
    <row r="187" x14ac:dyDescent="0.4"/>
    <row r="188" x14ac:dyDescent="0.4"/>
    <row r="189" x14ac:dyDescent="0.4"/>
    <row r="190" x14ac:dyDescent="0.4"/>
    <row r="191" x14ac:dyDescent="0.4"/>
    <row r="192" x14ac:dyDescent="0.4"/>
    <row r="193" x14ac:dyDescent="0.4"/>
    <row r="194" x14ac:dyDescent="0.4"/>
    <row r="195" x14ac:dyDescent="0.4"/>
    <row r="196" x14ac:dyDescent="0.4"/>
    <row r="197" x14ac:dyDescent="0.4"/>
    <row r="198" x14ac:dyDescent="0.4"/>
    <row r="199" x14ac:dyDescent="0.4"/>
    <row r="200" x14ac:dyDescent="0.4"/>
    <row r="201" x14ac:dyDescent="0.4"/>
    <row r="202" x14ac:dyDescent="0.4"/>
    <row r="203" x14ac:dyDescent="0.4"/>
    <row r="204" x14ac:dyDescent="0.4"/>
    <row r="205" x14ac:dyDescent="0.4"/>
    <row r="206" x14ac:dyDescent="0.4"/>
    <row r="207" x14ac:dyDescent="0.4"/>
    <row r="208" x14ac:dyDescent="0.4"/>
    <row r="209" x14ac:dyDescent="0.4"/>
    <row r="210" x14ac:dyDescent="0.4"/>
    <row r="211" x14ac:dyDescent="0.4"/>
    <row r="212" x14ac:dyDescent="0.4"/>
    <row r="213" x14ac:dyDescent="0.4"/>
    <row r="214" x14ac:dyDescent="0.4"/>
    <row r="215" x14ac:dyDescent="0.4"/>
    <row r="216" x14ac:dyDescent="0.4"/>
    <row r="217" x14ac:dyDescent="0.4"/>
    <row r="218" x14ac:dyDescent="0.4"/>
    <row r="219" x14ac:dyDescent="0.4"/>
    <row r="220" x14ac:dyDescent="0.4"/>
    <row r="221" x14ac:dyDescent="0.4"/>
    <row r="222" x14ac:dyDescent="0.4"/>
    <row r="223" x14ac:dyDescent="0.4"/>
    <row r="224" x14ac:dyDescent="0.4"/>
    <row r="225" x14ac:dyDescent="0.4"/>
    <row r="226" x14ac:dyDescent="0.4"/>
    <row r="227" x14ac:dyDescent="0.4"/>
    <row r="228" x14ac:dyDescent="0.4"/>
    <row r="229" x14ac:dyDescent="0.4"/>
    <row r="230" x14ac:dyDescent="0.4"/>
    <row r="231" x14ac:dyDescent="0.4"/>
    <row r="232" x14ac:dyDescent="0.4"/>
    <row r="233" x14ac:dyDescent="0.4"/>
    <row r="234" x14ac:dyDescent="0.4"/>
    <row r="235" x14ac:dyDescent="0.4"/>
    <row r="236" x14ac:dyDescent="0.4"/>
    <row r="237" x14ac:dyDescent="0.4"/>
    <row r="238" x14ac:dyDescent="0.4"/>
    <row r="239" x14ac:dyDescent="0.4"/>
    <row r="240" x14ac:dyDescent="0.4"/>
    <row r="241" x14ac:dyDescent="0.4"/>
    <row r="242" x14ac:dyDescent="0.4"/>
    <row r="243" x14ac:dyDescent="0.4"/>
    <row r="244" x14ac:dyDescent="0.4"/>
    <row r="245" x14ac:dyDescent="0.4"/>
    <row r="246" x14ac:dyDescent="0.4"/>
    <row r="247" x14ac:dyDescent="0.4"/>
    <row r="248" x14ac:dyDescent="0.4"/>
    <row r="249" x14ac:dyDescent="0.4"/>
    <row r="250" x14ac:dyDescent="0.4"/>
    <row r="251" x14ac:dyDescent="0.4"/>
    <row r="252" x14ac:dyDescent="0.4"/>
    <row r="253" x14ac:dyDescent="0.4"/>
    <row r="254" x14ac:dyDescent="0.4"/>
    <row r="255" x14ac:dyDescent="0.4"/>
    <row r="256" x14ac:dyDescent="0.4"/>
    <row r="257" x14ac:dyDescent="0.4"/>
    <row r="258" x14ac:dyDescent="0.4"/>
    <row r="259" x14ac:dyDescent="0.4"/>
    <row r="260" x14ac:dyDescent="0.4"/>
    <row r="261" x14ac:dyDescent="0.4"/>
    <row r="262" x14ac:dyDescent="0.4"/>
    <row r="263" x14ac:dyDescent="0.4"/>
    <row r="264" x14ac:dyDescent="0.4"/>
    <row r="265" x14ac:dyDescent="0.4"/>
    <row r="266" x14ac:dyDescent="0.4"/>
    <row r="267" x14ac:dyDescent="0.4"/>
    <row r="268" x14ac:dyDescent="0.4"/>
    <row r="269" x14ac:dyDescent="0.4"/>
    <row r="270" x14ac:dyDescent="0.4"/>
    <row r="271" x14ac:dyDescent="0.4"/>
    <row r="272" x14ac:dyDescent="0.4"/>
    <row r="273" x14ac:dyDescent="0.4"/>
    <row r="274" x14ac:dyDescent="0.4"/>
    <row r="275" x14ac:dyDescent="0.4"/>
    <row r="276" x14ac:dyDescent="0.4"/>
    <row r="277" x14ac:dyDescent="0.4"/>
    <row r="278" x14ac:dyDescent="0.4"/>
    <row r="279" x14ac:dyDescent="0.4"/>
    <row r="280" x14ac:dyDescent="0.4"/>
    <row r="281" x14ac:dyDescent="0.4"/>
    <row r="282" x14ac:dyDescent="0.4"/>
    <row r="283" x14ac:dyDescent="0.4"/>
    <row r="284" x14ac:dyDescent="0.4"/>
    <row r="285" x14ac:dyDescent="0.4"/>
    <row r="286" x14ac:dyDescent="0.4"/>
    <row r="287" x14ac:dyDescent="0.4"/>
    <row r="288" x14ac:dyDescent="0.4"/>
    <row r="289" x14ac:dyDescent="0.4"/>
    <row r="290" x14ac:dyDescent="0.4"/>
    <row r="291" x14ac:dyDescent="0.4"/>
    <row r="292" x14ac:dyDescent="0.4"/>
    <row r="293" x14ac:dyDescent="0.4"/>
    <row r="294" x14ac:dyDescent="0.4"/>
    <row r="295" x14ac:dyDescent="0.4"/>
    <row r="296" x14ac:dyDescent="0.4"/>
    <row r="297" x14ac:dyDescent="0.4"/>
    <row r="298" x14ac:dyDescent="0.4"/>
    <row r="299" x14ac:dyDescent="0.4"/>
    <row r="300" x14ac:dyDescent="0.4"/>
  </sheetData>
  <pageMargins left="0.28958880139982501" right="0.28958880139982501" top="0.62992125984251945" bottom="0.39370078740157499" header="0.11811023622047251" footer="0.3"/>
  <pageSetup scale="60" orientation="portrait" r:id="rId1"/>
  <headerFooter scaleWithDoc="0">
    <oddHeader>&amp;R&amp;"Calibri"&amp;10&amp;K808080City Heartbeat 2024, 50 city index (v1.0)</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991426" r:id="rId5" name="cnt_GlobalZoom">
              <controlPr defaultSize="0" autoFill="0" autoPict="0" macro="[0]!k">
                <anchor moveWithCells="1">
                  <from>
                    <xdr:col>5</xdr:col>
                    <xdr:colOff>59871</xdr:colOff>
                    <xdr:row>39</xdr:row>
                    <xdr:rowOff>27214</xdr:rowOff>
                  </from>
                  <to>
                    <xdr:col>5</xdr:col>
                    <xdr:colOff>636814</xdr:colOff>
                    <xdr:row>40</xdr:row>
                    <xdr:rowOff>27214</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AB864-D8BB-4C91-AECA-69754174CEC3}">
  <sheetPr codeName="Sheet28">
    <tabColor theme="9"/>
  </sheetPr>
  <dimension ref="A1:EM288"/>
  <sheetViews>
    <sheetView zoomScaleNormal="100" workbookViewId="0">
      <pane xSplit="2" ySplit="3" topLeftCell="C4" activePane="bottomRight" state="frozen"/>
      <selection activeCell="T29" sqref="T29"/>
      <selection pane="topRight" activeCell="T29" sqref="T29"/>
      <selection pane="bottomLeft" activeCell="T29" sqref="T29"/>
      <selection pane="bottomRight" activeCell="T29" sqref="T29"/>
    </sheetView>
  </sheetViews>
  <sheetFormatPr defaultColWidth="9.15234375" defaultRowHeight="14.6" x14ac:dyDescent="0.4"/>
  <cols>
    <col min="3" max="3" width="21.53515625" customWidth="1"/>
    <col min="4" max="4" width="6.3828125" customWidth="1"/>
    <col min="5" max="122" width="0.3046875" customWidth="1"/>
    <col min="123" max="123" width="6" customWidth="1"/>
    <col min="124" max="126" width="4.15234375" customWidth="1"/>
    <col min="127" max="143" width="2.53515625" customWidth="1"/>
  </cols>
  <sheetData>
    <row r="1" spans="1:143" x14ac:dyDescent="0.4">
      <c r="A1" t="s">
        <v>163</v>
      </c>
      <c r="B1" t="s">
        <v>136</v>
      </c>
      <c r="C1" t="s">
        <v>136</v>
      </c>
      <c r="D1" t="str">
        <f>IF(D2&gt;$B$2,"X","V")</f>
        <v>V</v>
      </c>
      <c r="E1" t="str">
        <f t="shared" ref="E1:BP1" si="0">IF(E2&gt;$B$2,"X","V")</f>
        <v>V</v>
      </c>
      <c r="F1" t="str">
        <f t="shared" si="0"/>
        <v>V</v>
      </c>
      <c r="G1" t="str">
        <f t="shared" si="0"/>
        <v>V</v>
      </c>
      <c r="H1" t="str">
        <f t="shared" si="0"/>
        <v>V</v>
      </c>
      <c r="I1" t="str">
        <f t="shared" si="0"/>
        <v>V</v>
      </c>
      <c r="J1" t="str">
        <f t="shared" si="0"/>
        <v>V</v>
      </c>
      <c r="K1" t="str">
        <f t="shared" si="0"/>
        <v>V</v>
      </c>
      <c r="L1" t="str">
        <f t="shared" si="0"/>
        <v>V</v>
      </c>
      <c r="M1" t="str">
        <f t="shared" si="0"/>
        <v>V</v>
      </c>
      <c r="N1" t="str">
        <f t="shared" si="0"/>
        <v>V</v>
      </c>
      <c r="O1" t="str">
        <f t="shared" si="0"/>
        <v>V</v>
      </c>
      <c r="P1" t="str">
        <f t="shared" si="0"/>
        <v>V</v>
      </c>
      <c r="Q1" t="str">
        <f t="shared" si="0"/>
        <v>V</v>
      </c>
      <c r="R1" t="str">
        <f t="shared" si="0"/>
        <v>V</v>
      </c>
      <c r="S1" t="str">
        <f t="shared" si="0"/>
        <v>V</v>
      </c>
      <c r="T1" t="str">
        <f t="shared" si="0"/>
        <v>V</v>
      </c>
      <c r="U1" t="str">
        <f t="shared" si="0"/>
        <v>V</v>
      </c>
      <c r="V1" t="str">
        <f t="shared" si="0"/>
        <v>V</v>
      </c>
      <c r="W1" t="str">
        <f t="shared" si="0"/>
        <v>V</v>
      </c>
      <c r="X1" t="str">
        <f t="shared" si="0"/>
        <v>V</v>
      </c>
      <c r="Y1" t="str">
        <f t="shared" si="0"/>
        <v>V</v>
      </c>
      <c r="Z1" t="str">
        <f t="shared" si="0"/>
        <v>V</v>
      </c>
      <c r="AA1" t="str">
        <f t="shared" si="0"/>
        <v>V</v>
      </c>
      <c r="AB1" t="str">
        <f t="shared" si="0"/>
        <v>V</v>
      </c>
      <c r="AC1" t="str">
        <f t="shared" si="0"/>
        <v>V</v>
      </c>
      <c r="AD1" t="str">
        <f t="shared" si="0"/>
        <v>V</v>
      </c>
      <c r="AE1" t="str">
        <f t="shared" si="0"/>
        <v>V</v>
      </c>
      <c r="AF1" t="str">
        <f t="shared" si="0"/>
        <v>V</v>
      </c>
      <c r="AG1" t="str">
        <f t="shared" si="0"/>
        <v>V</v>
      </c>
      <c r="AH1" t="str">
        <f t="shared" si="0"/>
        <v>V</v>
      </c>
      <c r="AI1" t="str">
        <f t="shared" si="0"/>
        <v>V</v>
      </c>
      <c r="AJ1" t="str">
        <f t="shared" si="0"/>
        <v>V</v>
      </c>
      <c r="AK1" t="str">
        <f t="shared" si="0"/>
        <v>V</v>
      </c>
      <c r="AL1" t="str">
        <f t="shared" si="0"/>
        <v>V</v>
      </c>
      <c r="AM1" t="str">
        <f t="shared" si="0"/>
        <v>V</v>
      </c>
      <c r="AN1" t="str">
        <f t="shared" si="0"/>
        <v>V</v>
      </c>
      <c r="AO1" t="str">
        <f t="shared" si="0"/>
        <v>V</v>
      </c>
      <c r="AP1" t="str">
        <f t="shared" si="0"/>
        <v>V</v>
      </c>
      <c r="AQ1" t="str">
        <f t="shared" si="0"/>
        <v>V</v>
      </c>
      <c r="AR1" t="str">
        <f t="shared" si="0"/>
        <v>V</v>
      </c>
      <c r="AS1" t="str">
        <f t="shared" si="0"/>
        <v>V</v>
      </c>
      <c r="AT1" t="str">
        <f t="shared" si="0"/>
        <v>V</v>
      </c>
      <c r="AU1" t="str">
        <f t="shared" si="0"/>
        <v>V</v>
      </c>
      <c r="AV1" t="str">
        <f t="shared" si="0"/>
        <v>V</v>
      </c>
      <c r="AW1" t="str">
        <f t="shared" si="0"/>
        <v>V</v>
      </c>
      <c r="AX1" t="str">
        <f t="shared" si="0"/>
        <v>V</v>
      </c>
      <c r="AY1" t="str">
        <f t="shared" si="0"/>
        <v>V</v>
      </c>
      <c r="AZ1" t="str">
        <f t="shared" si="0"/>
        <v>V</v>
      </c>
      <c r="BA1" t="str">
        <f t="shared" si="0"/>
        <v>V</v>
      </c>
      <c r="BB1" t="str">
        <f t="shared" si="0"/>
        <v>X</v>
      </c>
      <c r="BC1" t="str">
        <f t="shared" si="0"/>
        <v>X</v>
      </c>
      <c r="BD1" t="str">
        <f t="shared" si="0"/>
        <v>X</v>
      </c>
      <c r="BE1" t="str">
        <f t="shared" si="0"/>
        <v>X</v>
      </c>
      <c r="BF1" t="str">
        <f t="shared" si="0"/>
        <v>X</v>
      </c>
      <c r="BG1" t="str">
        <f t="shared" si="0"/>
        <v>X</v>
      </c>
      <c r="BH1" t="str">
        <f t="shared" si="0"/>
        <v>X</v>
      </c>
      <c r="BI1" t="str">
        <f t="shared" si="0"/>
        <v>X</v>
      </c>
      <c r="BJ1" t="str">
        <f t="shared" si="0"/>
        <v>X</v>
      </c>
      <c r="BK1" t="str">
        <f t="shared" si="0"/>
        <v>X</v>
      </c>
      <c r="BL1" t="str">
        <f t="shared" si="0"/>
        <v>X</v>
      </c>
      <c r="BM1" t="str">
        <f t="shared" si="0"/>
        <v>X</v>
      </c>
      <c r="BN1" t="str">
        <f t="shared" si="0"/>
        <v>X</v>
      </c>
      <c r="BO1" t="str">
        <f t="shared" si="0"/>
        <v>X</v>
      </c>
      <c r="BP1" t="str">
        <f t="shared" si="0"/>
        <v>X</v>
      </c>
      <c r="BQ1" t="str">
        <f t="shared" ref="BQ1:DS1" si="1">IF(BQ2&gt;$B$2,"X","V")</f>
        <v>X</v>
      </c>
      <c r="BR1" t="str">
        <f t="shared" si="1"/>
        <v>X</v>
      </c>
      <c r="BS1" t="str">
        <f t="shared" si="1"/>
        <v>X</v>
      </c>
      <c r="BT1" t="str">
        <f t="shared" si="1"/>
        <v>X</v>
      </c>
      <c r="BU1" t="str">
        <f t="shared" si="1"/>
        <v>X</v>
      </c>
      <c r="BV1" t="str">
        <f t="shared" si="1"/>
        <v>X</v>
      </c>
      <c r="BW1" t="str">
        <f t="shared" si="1"/>
        <v>X</v>
      </c>
      <c r="BX1" t="str">
        <f t="shared" si="1"/>
        <v>X</v>
      </c>
      <c r="BY1" t="str">
        <f t="shared" si="1"/>
        <v>X</v>
      </c>
      <c r="BZ1" t="str">
        <f t="shared" si="1"/>
        <v>X</v>
      </c>
      <c r="CA1" t="str">
        <f t="shared" si="1"/>
        <v>X</v>
      </c>
      <c r="CB1" t="str">
        <f t="shared" si="1"/>
        <v>X</v>
      </c>
      <c r="CC1" t="str">
        <f t="shared" si="1"/>
        <v>X</v>
      </c>
      <c r="CD1" t="str">
        <f t="shared" si="1"/>
        <v>X</v>
      </c>
      <c r="CE1" t="str">
        <f t="shared" si="1"/>
        <v>X</v>
      </c>
      <c r="CF1" t="str">
        <f t="shared" si="1"/>
        <v>X</v>
      </c>
      <c r="CG1" t="str">
        <f t="shared" si="1"/>
        <v>X</v>
      </c>
      <c r="CH1" t="str">
        <f t="shared" si="1"/>
        <v>X</v>
      </c>
      <c r="CI1" t="str">
        <f t="shared" si="1"/>
        <v>X</v>
      </c>
      <c r="CJ1" t="str">
        <f t="shared" si="1"/>
        <v>X</v>
      </c>
      <c r="CK1" t="str">
        <f t="shared" si="1"/>
        <v>X</v>
      </c>
      <c r="CL1" t="str">
        <f t="shared" si="1"/>
        <v>X</v>
      </c>
      <c r="CM1" t="str">
        <f t="shared" si="1"/>
        <v>X</v>
      </c>
      <c r="CN1" t="str">
        <f t="shared" si="1"/>
        <v>X</v>
      </c>
      <c r="CO1" t="str">
        <f t="shared" si="1"/>
        <v>X</v>
      </c>
      <c r="CP1" t="str">
        <f t="shared" si="1"/>
        <v>X</v>
      </c>
      <c r="CQ1" t="str">
        <f t="shared" si="1"/>
        <v>X</v>
      </c>
      <c r="CR1" t="str">
        <f t="shared" si="1"/>
        <v>X</v>
      </c>
      <c r="CS1" t="str">
        <f t="shared" si="1"/>
        <v>X</v>
      </c>
      <c r="CT1" t="str">
        <f t="shared" si="1"/>
        <v>X</v>
      </c>
      <c r="CU1" t="str">
        <f t="shared" si="1"/>
        <v>X</v>
      </c>
      <c r="CV1" t="str">
        <f t="shared" si="1"/>
        <v>X</v>
      </c>
      <c r="CW1" t="str">
        <f t="shared" si="1"/>
        <v>X</v>
      </c>
      <c r="CX1" t="str">
        <f t="shared" si="1"/>
        <v>X</v>
      </c>
      <c r="CY1" t="str">
        <f t="shared" si="1"/>
        <v>X</v>
      </c>
      <c r="CZ1" t="str">
        <f t="shared" si="1"/>
        <v>X</v>
      </c>
      <c r="DA1" t="str">
        <f t="shared" si="1"/>
        <v>X</v>
      </c>
      <c r="DB1" t="str">
        <f t="shared" si="1"/>
        <v>X</v>
      </c>
      <c r="DC1" t="str">
        <f t="shared" si="1"/>
        <v>X</v>
      </c>
      <c r="DD1" t="str">
        <f t="shared" si="1"/>
        <v>X</v>
      </c>
      <c r="DE1" t="str">
        <f t="shared" si="1"/>
        <v>X</v>
      </c>
      <c r="DF1" t="str">
        <f t="shared" si="1"/>
        <v>X</v>
      </c>
      <c r="DG1" t="str">
        <f t="shared" si="1"/>
        <v>X</v>
      </c>
      <c r="DH1" t="str">
        <f t="shared" si="1"/>
        <v>X</v>
      </c>
      <c r="DI1" t="str">
        <f t="shared" si="1"/>
        <v>X</v>
      </c>
      <c r="DJ1" t="str">
        <f t="shared" si="1"/>
        <v>X</v>
      </c>
      <c r="DK1" t="str">
        <f t="shared" si="1"/>
        <v>X</v>
      </c>
      <c r="DL1" t="str">
        <f t="shared" si="1"/>
        <v>X</v>
      </c>
      <c r="DM1" t="str">
        <f t="shared" si="1"/>
        <v>X</v>
      </c>
      <c r="DN1" t="str">
        <f t="shared" si="1"/>
        <v>X</v>
      </c>
      <c r="DO1" t="str">
        <f t="shared" si="1"/>
        <v>X</v>
      </c>
      <c r="DP1" t="str">
        <f t="shared" si="1"/>
        <v>X</v>
      </c>
      <c r="DQ1" t="str">
        <f t="shared" si="1"/>
        <v>X</v>
      </c>
      <c r="DR1" t="str">
        <f t="shared" si="1"/>
        <v>X</v>
      </c>
      <c r="DS1" t="str">
        <f t="shared" si="1"/>
        <v>X</v>
      </c>
      <c r="DT1" t="str">
        <f>IF(DT2&gt;$C$2,"X","V")</f>
        <v>V</v>
      </c>
      <c r="DU1" t="str">
        <f t="shared" ref="DU1:EM1" si="2">IF(DU2&gt;$C$2,"X","V")</f>
        <v>V</v>
      </c>
      <c r="DV1" t="str">
        <f t="shared" si="2"/>
        <v>V</v>
      </c>
      <c r="DW1" t="str">
        <f t="shared" si="2"/>
        <v>V</v>
      </c>
      <c r="DX1" t="str">
        <f t="shared" si="2"/>
        <v>V</v>
      </c>
      <c r="DY1" t="str">
        <f t="shared" si="2"/>
        <v>V</v>
      </c>
      <c r="DZ1" t="str">
        <f t="shared" si="2"/>
        <v>V</v>
      </c>
      <c r="EA1" t="str">
        <f t="shared" si="2"/>
        <v>V</v>
      </c>
      <c r="EB1" t="str">
        <f t="shared" si="2"/>
        <v>V</v>
      </c>
      <c r="EC1" t="str">
        <f t="shared" si="2"/>
        <v>V</v>
      </c>
      <c r="ED1" t="str">
        <f t="shared" si="2"/>
        <v>X</v>
      </c>
      <c r="EE1" t="str">
        <f t="shared" si="2"/>
        <v>X</v>
      </c>
      <c r="EF1" t="str">
        <f t="shared" si="2"/>
        <v>X</v>
      </c>
      <c r="EG1" t="str">
        <f t="shared" si="2"/>
        <v>X</v>
      </c>
      <c r="EH1" t="str">
        <f t="shared" si="2"/>
        <v>X</v>
      </c>
      <c r="EI1" t="str">
        <f t="shared" si="2"/>
        <v>X</v>
      </c>
      <c r="EJ1" t="str">
        <f t="shared" si="2"/>
        <v>X</v>
      </c>
      <c r="EK1" t="str">
        <f t="shared" si="2"/>
        <v>X</v>
      </c>
      <c r="EL1" t="str">
        <f t="shared" si="2"/>
        <v>X</v>
      </c>
      <c r="EM1" t="str">
        <f t="shared" si="2"/>
        <v>X</v>
      </c>
    </row>
    <row r="2" spans="1:143" x14ac:dyDescent="0.4">
      <c r="A2" t="s">
        <v>1085</v>
      </c>
      <c r="B2">
        <f>uxbGlobals!$B$224</f>
        <v>50</v>
      </c>
      <c r="C2">
        <f>uxbGlobals!$B$225</f>
        <v>10</v>
      </c>
      <c r="D2">
        <v>1</v>
      </c>
      <c r="E2">
        <v>2</v>
      </c>
      <c r="F2">
        <v>3</v>
      </c>
      <c r="G2">
        <v>4</v>
      </c>
      <c r="H2">
        <v>5</v>
      </c>
      <c r="I2">
        <v>6</v>
      </c>
      <c r="J2">
        <v>7</v>
      </c>
      <c r="K2">
        <v>8</v>
      </c>
      <c r="L2">
        <v>9</v>
      </c>
      <c r="M2">
        <v>10</v>
      </c>
      <c r="N2">
        <v>11</v>
      </c>
      <c r="O2">
        <v>12</v>
      </c>
      <c r="P2">
        <v>13</v>
      </c>
      <c r="Q2">
        <v>14</v>
      </c>
      <c r="R2">
        <v>15</v>
      </c>
      <c r="S2">
        <v>16</v>
      </c>
      <c r="T2">
        <v>17</v>
      </c>
      <c r="U2">
        <v>18</v>
      </c>
      <c r="V2">
        <v>19</v>
      </c>
      <c r="W2">
        <v>20</v>
      </c>
      <c r="X2">
        <v>21</v>
      </c>
      <c r="Y2">
        <v>22</v>
      </c>
      <c r="Z2">
        <v>23</v>
      </c>
      <c r="AA2">
        <v>24</v>
      </c>
      <c r="AB2">
        <v>25</v>
      </c>
      <c r="AC2">
        <v>26</v>
      </c>
      <c r="AD2">
        <v>27</v>
      </c>
      <c r="AE2">
        <v>28</v>
      </c>
      <c r="AF2">
        <v>29</v>
      </c>
      <c r="AG2">
        <v>30</v>
      </c>
      <c r="AH2">
        <v>31</v>
      </c>
      <c r="AI2">
        <v>32</v>
      </c>
      <c r="AJ2">
        <v>33</v>
      </c>
      <c r="AK2">
        <v>34</v>
      </c>
      <c r="AL2">
        <v>35</v>
      </c>
      <c r="AM2">
        <v>36</v>
      </c>
      <c r="AN2">
        <v>37</v>
      </c>
      <c r="AO2">
        <v>38</v>
      </c>
      <c r="AP2">
        <v>39</v>
      </c>
      <c r="AQ2">
        <v>40</v>
      </c>
      <c r="AR2">
        <v>41</v>
      </c>
      <c r="AS2">
        <v>42</v>
      </c>
      <c r="AT2">
        <v>43</v>
      </c>
      <c r="AU2">
        <v>44</v>
      </c>
      <c r="AV2">
        <v>45</v>
      </c>
      <c r="AW2">
        <v>46</v>
      </c>
      <c r="AX2">
        <v>47</v>
      </c>
      <c r="AY2">
        <v>48</v>
      </c>
      <c r="AZ2">
        <v>49</v>
      </c>
      <c r="BA2">
        <v>50</v>
      </c>
      <c r="BB2">
        <v>51</v>
      </c>
      <c r="BC2">
        <v>52</v>
      </c>
      <c r="BD2">
        <v>53</v>
      </c>
      <c r="BE2">
        <v>54</v>
      </c>
      <c r="BF2">
        <v>55</v>
      </c>
      <c r="BG2">
        <v>56</v>
      </c>
      <c r="BH2">
        <v>57</v>
      </c>
      <c r="BI2">
        <v>58</v>
      </c>
      <c r="BJ2">
        <v>59</v>
      </c>
      <c r="BK2">
        <v>60</v>
      </c>
      <c r="BL2">
        <v>61</v>
      </c>
      <c r="BM2">
        <v>62</v>
      </c>
      <c r="BN2">
        <v>63</v>
      </c>
      <c r="BO2">
        <v>64</v>
      </c>
      <c r="BP2">
        <v>65</v>
      </c>
      <c r="BQ2">
        <v>66</v>
      </c>
      <c r="BR2">
        <v>67</v>
      </c>
      <c r="BS2">
        <v>68</v>
      </c>
      <c r="BT2">
        <v>69</v>
      </c>
      <c r="BU2">
        <v>70</v>
      </c>
      <c r="BV2">
        <v>71</v>
      </c>
      <c r="BW2">
        <v>72</v>
      </c>
      <c r="BX2">
        <v>73</v>
      </c>
      <c r="BY2">
        <v>74</v>
      </c>
      <c r="BZ2">
        <v>75</v>
      </c>
      <c r="CA2">
        <v>76</v>
      </c>
      <c r="CB2">
        <v>77</v>
      </c>
      <c r="CC2">
        <v>78</v>
      </c>
      <c r="CD2">
        <v>79</v>
      </c>
      <c r="CE2">
        <v>80</v>
      </c>
      <c r="CF2">
        <v>81</v>
      </c>
      <c r="CG2">
        <v>82</v>
      </c>
      <c r="CH2">
        <v>83</v>
      </c>
      <c r="CI2">
        <v>84</v>
      </c>
      <c r="CJ2">
        <v>85</v>
      </c>
      <c r="CK2">
        <v>86</v>
      </c>
      <c r="CL2">
        <v>87</v>
      </c>
      <c r="CM2">
        <v>88</v>
      </c>
      <c r="CN2">
        <v>89</v>
      </c>
      <c r="CO2">
        <v>90</v>
      </c>
      <c r="CP2">
        <v>91</v>
      </c>
      <c r="CQ2">
        <v>92</v>
      </c>
      <c r="CR2">
        <v>93</v>
      </c>
      <c r="CS2">
        <v>94</v>
      </c>
      <c r="CT2">
        <v>95</v>
      </c>
      <c r="CU2">
        <v>96</v>
      </c>
      <c r="CV2">
        <v>97</v>
      </c>
      <c r="CW2">
        <v>98</v>
      </c>
      <c r="CX2">
        <v>99</v>
      </c>
      <c r="CY2">
        <v>100</v>
      </c>
      <c r="CZ2">
        <v>101</v>
      </c>
      <c r="DA2">
        <v>102</v>
      </c>
      <c r="DB2">
        <v>103</v>
      </c>
      <c r="DC2">
        <v>104</v>
      </c>
      <c r="DD2">
        <v>105</v>
      </c>
      <c r="DE2">
        <v>106</v>
      </c>
      <c r="DF2">
        <v>107</v>
      </c>
      <c r="DG2">
        <v>108</v>
      </c>
      <c r="DH2">
        <v>109</v>
      </c>
      <c r="DI2">
        <v>110</v>
      </c>
      <c r="DJ2">
        <v>111</v>
      </c>
      <c r="DK2">
        <v>112</v>
      </c>
      <c r="DL2">
        <v>113</v>
      </c>
      <c r="DM2">
        <v>114</v>
      </c>
      <c r="DN2">
        <v>115</v>
      </c>
      <c r="DO2">
        <v>116</v>
      </c>
      <c r="DP2">
        <v>117</v>
      </c>
      <c r="DQ2">
        <v>118</v>
      </c>
      <c r="DR2">
        <v>119</v>
      </c>
      <c r="DS2">
        <v>120</v>
      </c>
      <c r="DT2">
        <v>1</v>
      </c>
      <c r="DU2">
        <v>2</v>
      </c>
      <c r="DV2">
        <v>3</v>
      </c>
      <c r="DW2">
        <v>4</v>
      </c>
      <c r="DX2">
        <v>5</v>
      </c>
      <c r="DY2">
        <v>6</v>
      </c>
      <c r="DZ2">
        <v>7</v>
      </c>
      <c r="EA2">
        <v>8</v>
      </c>
      <c r="EB2">
        <v>9</v>
      </c>
      <c r="EC2">
        <v>10</v>
      </c>
      <c r="ED2">
        <v>11</v>
      </c>
      <c r="EE2">
        <v>12</v>
      </c>
      <c r="EF2">
        <v>13</v>
      </c>
      <c r="EG2">
        <v>14</v>
      </c>
      <c r="EH2">
        <v>15</v>
      </c>
      <c r="EI2">
        <v>16</v>
      </c>
      <c r="EJ2">
        <v>17</v>
      </c>
      <c r="EK2">
        <v>18</v>
      </c>
      <c r="EL2">
        <v>19</v>
      </c>
      <c r="EM2">
        <v>20</v>
      </c>
    </row>
    <row r="3" spans="1:143" x14ac:dyDescent="0.4">
      <c r="B3" t="s">
        <v>32</v>
      </c>
      <c r="D3" t="str" cm="1">
        <f t="array" ref="D3">IFERROR(INDEX(auto_Country_ISO,D2),"")</f>
        <v>ADD</v>
      </c>
      <c r="E3" t="str" cm="1">
        <f t="array" ref="E3">IFERROR(INDEX(auto_Country_ISO,E2),"")</f>
        <v>UAY</v>
      </c>
      <c r="F3" t="str" cm="1">
        <f t="array" ref="F3">IFERROR(INDEX(auto_Country_ISO,F2),"")</f>
        <v>A2N</v>
      </c>
      <c r="G3" t="str" cm="1">
        <f t="array" ref="G3">IFERROR(INDEX(auto_Country_ISO,G2),"")</f>
        <v>AKL</v>
      </c>
      <c r="H3" t="str" cm="1">
        <f t="array" ref="H3">IFERROR(INDEX(auto_Country_ISO,H2),"")</f>
        <v>BKK</v>
      </c>
      <c r="I3" t="str" cm="1">
        <f t="array" ref="I3">IFERROR(INDEX(auto_Country_ISO,I2),"")</f>
        <v>BJS</v>
      </c>
      <c r="J3" t="str" cm="1">
        <f t="array" ref="J3">IFERROR(INDEX(auto_Country_ISO,J2),"")</f>
        <v>BER</v>
      </c>
      <c r="K3" t="str" cm="1">
        <f t="array" ref="K3">IFERROR(INDEX(auto_Country_ISO,K2),"")</f>
        <v>B6Y</v>
      </c>
      <c r="L3" t="str" cm="1">
        <f t="array" ref="L3">IFERROR(INDEX(auto_Country_ISO,L2),"")</f>
        <v>BUD</v>
      </c>
      <c r="M3" t="str" cm="1">
        <f t="array" ref="M3">IFERROR(INDEX(auto_Country_ISO,M2),"")</f>
        <v>CJR</v>
      </c>
      <c r="N3" t="str" cm="1">
        <f t="array" ref="N3">IFERROR(INDEX(auto_Country_ISO,N2),"")</f>
        <v>COX</v>
      </c>
      <c r="O3" t="str" cm="1">
        <f t="array" ref="O3">IFERROR(INDEX(auto_Country_ISO,O2),"")</f>
        <v>DLI</v>
      </c>
      <c r="P3" t="str" cm="1">
        <f t="array" ref="P3">IFERROR(INDEX(auto_Country_ISO,P2),"")</f>
        <v>DAC</v>
      </c>
      <c r="Q3" t="str" cm="1">
        <f t="array" ref="Q3">IFERROR(INDEX(auto_Country_ISO,Q2),"")</f>
        <v>DXB</v>
      </c>
      <c r="R3" t="str" cm="1">
        <f t="array" ref="R3">IFERROR(INDEX(auto_Country_ISO,R2),"")</f>
        <v>HEL</v>
      </c>
      <c r="S3" t="str" cm="1">
        <f t="array" ref="S3">IFERROR(INDEX(auto_Country_ISO,S2),"")</f>
        <v>SGN</v>
      </c>
      <c r="T3" t="str" cm="1">
        <f t="array" ref="T3">IFERROR(INDEX(auto_Country_ISO,T2),"")</f>
        <v>HKG</v>
      </c>
      <c r="U3" t="str" cm="1">
        <f t="array" ref="U3">IFERROR(INDEX(auto_Country_ISO,U2),"")</f>
        <v>IST</v>
      </c>
      <c r="V3" t="str" cm="1">
        <f t="array" ref="V3">IFERROR(INDEX(auto_Country_ISO,V2),"")</f>
        <v>JKT</v>
      </c>
      <c r="W3" t="str" cm="1">
        <f t="array" ref="W3">IFERROR(INDEX(auto_Country_ISO,W2),"")</f>
        <v>JNB</v>
      </c>
      <c r="X3" t="str" cm="1">
        <f t="array" ref="X3">IFERROR(INDEX(auto_Country_ISO,X2),"")</f>
        <v>KHI</v>
      </c>
      <c r="Y3" t="str" cm="1">
        <f t="array" ref="Y3">IFERROR(INDEX(auto_Country_ISO,Y2),"")</f>
        <v>KTM</v>
      </c>
      <c r="Z3" t="str" cm="1">
        <f t="array" ref="Z3">IFERROR(INDEX(auto_Country_ISO,Z2),"")</f>
        <v>CCU</v>
      </c>
      <c r="AA3" t="str" cm="1">
        <f t="array" ref="AA3">IFERROR(INDEX(auto_Country_ISO,AA2),"")</f>
        <v>KWI</v>
      </c>
      <c r="AB3" t="str" cm="1">
        <f t="array" ref="AB3">IFERROR(INDEX(auto_Country_ISO,AB2),"")</f>
        <v>ZGM</v>
      </c>
      <c r="AC3" t="str" cm="1">
        <f t="array" ref="AC3">IFERROR(INDEX(auto_Country_ISO,AC2),"")</f>
        <v>LOD</v>
      </c>
      <c r="AD3" t="str" cm="1">
        <f t="array" ref="AD3">IFERROR(INDEX(auto_Country_ISO,AD2),"")</f>
        <v>MDD</v>
      </c>
      <c r="AE3" t="str" cm="1">
        <f t="array" ref="AE3">IFERROR(INDEX(auto_Country_ISO,AE2),"")</f>
        <v>MNL</v>
      </c>
      <c r="AF3" t="str" cm="1">
        <f t="array" ref="AF3">IFERROR(INDEX(auto_Country_ISO,AF2),"")</f>
        <v>MEL</v>
      </c>
      <c r="AG3" t="str" cm="1">
        <f t="array" ref="AG3">IFERROR(INDEX(auto_Country_ISO,AG2),"")</f>
        <v>MEX</v>
      </c>
      <c r="AH3" t="str" cm="1">
        <f t="array" ref="AH3">IFERROR(INDEX(auto_Country_ISO,AH2),"")</f>
        <v>MW3</v>
      </c>
      <c r="AI3" t="str" cm="1">
        <f t="array" ref="AI3">IFERROR(INDEX(auto_Country_ISO,AI2),"")</f>
        <v>BOM</v>
      </c>
      <c r="AJ3" t="str" cm="1">
        <f t="array" ref="AJ3">IFERROR(INDEX(auto_Country_ISO,AJ2),"")</f>
        <v>NBO</v>
      </c>
      <c r="AK3" t="str" cm="1">
        <f t="array" ref="AK3">IFERROR(INDEX(auto_Country_ISO,AK2),"")</f>
        <v>NYC</v>
      </c>
      <c r="AL3" t="str" cm="1">
        <f t="array" ref="AL3">IFERROR(INDEX(auto_Country_ISO,AL2),"")</f>
        <v>OSA</v>
      </c>
      <c r="AM3" t="str" cm="1">
        <f t="array" ref="AM3">IFERROR(INDEX(auto_Country_ISO,AM2),"")</f>
        <v>PAR</v>
      </c>
      <c r="AN3" t="str" cm="1">
        <f t="array" ref="AN3">IFERROR(INDEX(auto_Country_ISO,AN2),"")</f>
        <v>PNH</v>
      </c>
      <c r="AO3" t="str" cm="1">
        <f t="array" ref="AO3">IFERROR(INDEX(auto_Country_ISO,AO2),"")</f>
        <v>RUH</v>
      </c>
      <c r="AP3" t="str" cm="1">
        <f t="array" ref="AP3">IFERROR(INDEX(auto_Country_ISO,AP2),"")</f>
        <v>RMG</v>
      </c>
      <c r="AQ3" t="str" cm="1">
        <f t="array" ref="AQ3">IFERROR(INDEX(auto_Country_ISO,AQ2),"")</f>
        <v>SFO</v>
      </c>
      <c r="AR3" t="str" cm="1">
        <f t="array" ref="AR3">IFERROR(INDEX(auto_Country_ISO,AR2),"")</f>
        <v>SPF</v>
      </c>
      <c r="AS3" t="str" cm="1">
        <f t="array" ref="AS3">IFERROR(INDEX(auto_Country_ISO,AS2),"")</f>
        <v>SEL</v>
      </c>
      <c r="AT3" t="str" cm="1">
        <f t="array" ref="AT3">IFERROR(INDEX(auto_Country_ISO,AT2),"")</f>
        <v>SGH</v>
      </c>
      <c r="AU3" t="str" cm="1">
        <f t="array" ref="AU3">IFERROR(INDEX(auto_Country_ISO,AU2),"")</f>
        <v>SIN</v>
      </c>
      <c r="AV3" t="str" cm="1">
        <f t="array" ref="AV3">IFERROR(INDEX(auto_Country_ISO,AV2),"")</f>
        <v>SYD</v>
      </c>
      <c r="AW3" t="str" cm="1">
        <f t="array" ref="AW3">IFERROR(INDEX(auto_Country_ISO,AW2),"")</f>
        <v>TYO</v>
      </c>
      <c r="AX3" t="str" cm="1">
        <f t="array" ref="AX3">IFERROR(INDEX(auto_Country_ISO,AX2),"")</f>
        <v>TOR</v>
      </c>
      <c r="AY3" t="str" cm="1">
        <f t="array" ref="AY3">IFERROR(INDEX(auto_Country_ISO,AY2),"")</f>
        <v>VIE</v>
      </c>
      <c r="AZ3" t="str" cm="1">
        <f t="array" ref="AZ3">IFERROR(INDEX(auto_Country_ISO,AZ2),"")</f>
        <v>NHN</v>
      </c>
      <c r="BA3" t="str" cm="1">
        <f t="array" ref="BA3">IFERROR(INDEX(auto_Country_ISO,BA2),"")</f>
        <v>RGN</v>
      </c>
      <c r="BB3" t="str" cm="1">
        <f t="array" ref="BB3">IFERROR(INDEX(auto_Country_ISO,BB2),"")</f>
        <v/>
      </c>
      <c r="BC3" t="str" cm="1">
        <f t="array" ref="BC3">IFERROR(INDEX(auto_Country_ISO,BC2),"")</f>
        <v/>
      </c>
      <c r="BD3" t="str" cm="1">
        <f t="array" ref="BD3">IFERROR(INDEX(auto_Country_ISO,BD2),"")</f>
        <v/>
      </c>
      <c r="BE3" t="str" cm="1">
        <f t="array" ref="BE3">IFERROR(INDEX(auto_Country_ISO,BE2),"")</f>
        <v/>
      </c>
      <c r="BF3" t="str" cm="1">
        <f t="array" ref="BF3">IFERROR(INDEX(auto_Country_ISO,BF2),"")</f>
        <v/>
      </c>
      <c r="BG3" t="str" cm="1">
        <f t="array" ref="BG3">IFERROR(INDEX(auto_Country_ISO,BG2),"")</f>
        <v/>
      </c>
      <c r="BH3" t="str" cm="1">
        <f t="array" ref="BH3">IFERROR(INDEX(auto_Country_ISO,BH2),"")</f>
        <v/>
      </c>
      <c r="BI3" t="str" cm="1">
        <f t="array" ref="BI3">IFERROR(INDEX(auto_Country_ISO,BI2),"")</f>
        <v/>
      </c>
      <c r="BJ3" t="str" cm="1">
        <f t="array" ref="BJ3">IFERROR(INDEX(auto_Country_ISO,BJ2),"")</f>
        <v/>
      </c>
      <c r="BK3" t="str" cm="1">
        <f t="array" ref="BK3">IFERROR(INDEX(auto_Country_ISO,BK2),"")</f>
        <v/>
      </c>
      <c r="BL3" t="str" cm="1">
        <f t="array" ref="BL3">IFERROR(INDEX(auto_Country_ISO,BL2),"")</f>
        <v/>
      </c>
      <c r="BM3" t="str" cm="1">
        <f t="array" ref="BM3">IFERROR(INDEX(auto_Country_ISO,BM2),"")</f>
        <v/>
      </c>
      <c r="BN3" t="str" cm="1">
        <f t="array" ref="BN3">IFERROR(INDEX(auto_Country_ISO,BN2),"")</f>
        <v/>
      </c>
      <c r="BO3" t="str" cm="1">
        <f t="array" ref="BO3">IFERROR(INDEX(auto_Country_ISO,BO2),"")</f>
        <v/>
      </c>
      <c r="BP3" t="str" cm="1">
        <f t="array" ref="BP3">IFERROR(INDEX(auto_Country_ISO,BP2),"")</f>
        <v/>
      </c>
      <c r="BQ3" t="str" cm="1">
        <f t="array" ref="BQ3">IFERROR(INDEX(auto_Country_ISO,BQ2),"")</f>
        <v/>
      </c>
      <c r="BR3" t="str" cm="1">
        <f t="array" ref="BR3">IFERROR(INDEX(auto_Country_ISO,BR2),"")</f>
        <v/>
      </c>
      <c r="BS3" t="str" cm="1">
        <f t="array" ref="BS3">IFERROR(INDEX(auto_Country_ISO,BS2),"")</f>
        <v/>
      </c>
      <c r="BT3" t="str" cm="1">
        <f t="array" ref="BT3">IFERROR(INDEX(auto_Country_ISO,BT2),"")</f>
        <v/>
      </c>
      <c r="BU3" t="str" cm="1">
        <f t="array" ref="BU3">IFERROR(INDEX(auto_Country_ISO,BU2),"")</f>
        <v/>
      </c>
      <c r="BV3" t="str" cm="1">
        <f t="array" ref="BV3">IFERROR(INDEX(auto_Country_ISO,BV2),"")</f>
        <v/>
      </c>
      <c r="BW3" t="str" cm="1">
        <f t="array" ref="BW3">IFERROR(INDEX(auto_Country_ISO,BW2),"")</f>
        <v/>
      </c>
      <c r="BX3" t="str" cm="1">
        <f t="array" ref="BX3">IFERROR(INDEX(auto_Country_ISO,BX2),"")</f>
        <v/>
      </c>
      <c r="BY3" t="str" cm="1">
        <f t="array" ref="BY3">IFERROR(INDEX(auto_Country_ISO,BY2),"")</f>
        <v/>
      </c>
      <c r="BZ3" t="str" cm="1">
        <f t="array" ref="BZ3">IFERROR(INDEX(auto_Country_ISO,BZ2),"")</f>
        <v/>
      </c>
      <c r="CA3" t="str" cm="1">
        <f t="array" ref="CA3">IFERROR(INDEX(auto_Country_ISO,CA2),"")</f>
        <v/>
      </c>
      <c r="CB3" t="str" cm="1">
        <f t="array" ref="CB3">IFERROR(INDEX(auto_Country_ISO,CB2),"")</f>
        <v/>
      </c>
      <c r="CC3" t="str" cm="1">
        <f t="array" ref="CC3">IFERROR(INDEX(auto_Country_ISO,CC2),"")</f>
        <v/>
      </c>
      <c r="CD3" t="str" cm="1">
        <f t="array" ref="CD3">IFERROR(INDEX(auto_Country_ISO,CD2),"")</f>
        <v/>
      </c>
      <c r="CE3" t="str" cm="1">
        <f t="array" ref="CE3">IFERROR(INDEX(auto_Country_ISO,CE2),"")</f>
        <v/>
      </c>
      <c r="CF3" t="str" cm="1">
        <f t="array" ref="CF3">IFERROR(INDEX(auto_Country_ISO,CF2),"")</f>
        <v/>
      </c>
      <c r="CG3" t="str" cm="1">
        <f t="array" ref="CG3">IFERROR(INDEX(auto_Country_ISO,CG2),"")</f>
        <v/>
      </c>
      <c r="CH3" t="str" cm="1">
        <f t="array" ref="CH3">IFERROR(INDEX(auto_Country_ISO,CH2),"")</f>
        <v/>
      </c>
      <c r="CI3" t="str" cm="1">
        <f t="array" ref="CI3">IFERROR(INDEX(auto_Country_ISO,CI2),"")</f>
        <v/>
      </c>
      <c r="CJ3" t="str" cm="1">
        <f t="array" ref="CJ3">IFERROR(INDEX(auto_Country_ISO,CJ2),"")</f>
        <v/>
      </c>
      <c r="CK3" t="str" cm="1">
        <f t="array" ref="CK3">IFERROR(INDEX(auto_Country_ISO,CK2),"")</f>
        <v/>
      </c>
      <c r="CL3" t="str" cm="1">
        <f t="array" ref="CL3">IFERROR(INDEX(auto_Country_ISO,CL2),"")</f>
        <v/>
      </c>
      <c r="CM3" t="str" cm="1">
        <f t="array" ref="CM3">IFERROR(INDEX(auto_Country_ISO,CM2),"")</f>
        <v/>
      </c>
      <c r="CN3" t="str" cm="1">
        <f t="array" ref="CN3">IFERROR(INDEX(auto_Country_ISO,CN2),"")</f>
        <v/>
      </c>
      <c r="CO3" t="str" cm="1">
        <f t="array" ref="CO3">IFERROR(INDEX(auto_Country_ISO,CO2),"")</f>
        <v/>
      </c>
      <c r="CP3" t="str" cm="1">
        <f t="array" ref="CP3">IFERROR(INDEX(auto_Country_ISO,CP2),"")</f>
        <v/>
      </c>
      <c r="CQ3" t="str" cm="1">
        <f t="array" ref="CQ3">IFERROR(INDEX(auto_Country_ISO,CQ2),"")</f>
        <v/>
      </c>
      <c r="CR3" t="str" cm="1">
        <f t="array" ref="CR3">IFERROR(INDEX(auto_Country_ISO,CR2),"")</f>
        <v/>
      </c>
      <c r="CS3" t="str" cm="1">
        <f t="array" ref="CS3">IFERROR(INDEX(auto_Country_ISO,CS2),"")</f>
        <v/>
      </c>
      <c r="CT3" t="str" cm="1">
        <f t="array" ref="CT3">IFERROR(INDEX(auto_Country_ISO,CT2),"")</f>
        <v/>
      </c>
      <c r="CU3" t="str" cm="1">
        <f t="array" ref="CU3">IFERROR(INDEX(auto_Country_ISO,CU2),"")</f>
        <v/>
      </c>
      <c r="CV3" t="str" cm="1">
        <f t="array" ref="CV3">IFERROR(INDEX(auto_Country_ISO,CV2),"")</f>
        <v/>
      </c>
      <c r="CW3" t="str" cm="1">
        <f t="array" ref="CW3">IFERROR(INDEX(auto_Country_ISO,CW2),"")</f>
        <v/>
      </c>
      <c r="CX3" t="str" cm="1">
        <f t="array" ref="CX3">IFERROR(INDEX(auto_Country_ISO,CX2),"")</f>
        <v/>
      </c>
      <c r="CY3" t="str" cm="1">
        <f t="array" ref="CY3">IFERROR(INDEX(auto_Country_ISO,CY2),"")</f>
        <v/>
      </c>
      <c r="CZ3" t="str" cm="1">
        <f t="array" ref="CZ3">IFERROR(INDEX(auto_Country_ISO,CZ2),"")</f>
        <v/>
      </c>
      <c r="DA3" t="str" cm="1">
        <f t="array" ref="DA3">IFERROR(INDEX(auto_Country_ISO,DA2),"")</f>
        <v/>
      </c>
      <c r="DB3" t="str" cm="1">
        <f t="array" ref="DB3">IFERROR(INDEX(auto_Country_ISO,DB2),"")</f>
        <v/>
      </c>
      <c r="DC3" t="str" cm="1">
        <f t="array" ref="DC3">IFERROR(INDEX(auto_Country_ISO,DC2),"")</f>
        <v/>
      </c>
      <c r="DD3" t="str" cm="1">
        <f t="array" ref="DD3">IFERROR(INDEX(auto_Country_ISO,DD2),"")</f>
        <v/>
      </c>
      <c r="DE3" t="str" cm="1">
        <f t="array" ref="DE3">IFERROR(INDEX(auto_Country_ISO,DE2),"")</f>
        <v/>
      </c>
      <c r="DF3" t="str" cm="1">
        <f t="array" ref="DF3">IFERROR(INDEX(auto_Country_ISO,DF2),"")</f>
        <v/>
      </c>
      <c r="DG3" t="str" cm="1">
        <f t="array" ref="DG3">IFERROR(INDEX(auto_Country_ISO,DG2),"")</f>
        <v/>
      </c>
      <c r="DH3" t="str" cm="1">
        <f t="array" ref="DH3">IFERROR(INDEX(auto_Country_ISO,DH2),"")</f>
        <v/>
      </c>
      <c r="DI3" t="str" cm="1">
        <f t="array" ref="DI3">IFERROR(INDEX(auto_Country_ISO,DI2),"")</f>
        <v/>
      </c>
      <c r="DJ3" t="str" cm="1">
        <f t="array" ref="DJ3">IFERROR(INDEX(auto_Country_ISO,DJ2),"")</f>
        <v/>
      </c>
      <c r="DK3" t="str" cm="1">
        <f t="array" ref="DK3">IFERROR(INDEX(auto_Country_ISO,DK2),"")</f>
        <v/>
      </c>
      <c r="DL3" t="str" cm="1">
        <f t="array" ref="DL3">IFERROR(INDEX(auto_Country_ISO,DL2),"")</f>
        <v/>
      </c>
      <c r="DM3" t="str" cm="1">
        <f t="array" ref="DM3">IFERROR(INDEX(auto_Country_ISO,DM2),"")</f>
        <v/>
      </c>
      <c r="DN3" t="str" cm="1">
        <f t="array" ref="DN3">IFERROR(INDEX(auto_Country_ISO,DN2),"")</f>
        <v/>
      </c>
      <c r="DO3" t="str" cm="1">
        <f t="array" ref="DO3">IFERROR(INDEX(auto_Country_ISO,DO2),"")</f>
        <v/>
      </c>
      <c r="DP3" t="str" cm="1">
        <f t="array" ref="DP3">IFERROR(INDEX(auto_Country_ISO,DP2),"")</f>
        <v/>
      </c>
      <c r="DQ3" t="str" cm="1">
        <f t="array" ref="DQ3">IFERROR(INDEX(auto_Country_ISO,DQ2),"")</f>
        <v/>
      </c>
      <c r="DR3" t="str" cm="1">
        <f t="array" ref="DR3">IFERROR(INDEX(auto_Country_ISO,DR2),"")</f>
        <v/>
      </c>
      <c r="DS3" t="str" cm="1">
        <f t="array" ref="DS3">IFERROR(INDEX(auto_Country_ISO,DS2),"")</f>
        <v/>
      </c>
      <c r="DT3" t="str" cm="1">
        <f t="array" ref="DT3">IFERROR(INDEX(auto_Group_Code,DT2),"")</f>
        <v>G00</v>
      </c>
      <c r="DU3" t="str" cm="1">
        <f t="array" ref="DU3">IFERROR(INDEX(auto_Group_Code,DU2),"")</f>
        <v>G01</v>
      </c>
      <c r="DV3" t="str" cm="1">
        <f t="array" ref="DV3">IFERROR(INDEX(auto_Group_Code,DV2),"")</f>
        <v>G02</v>
      </c>
      <c r="DW3" t="str" cm="1">
        <f t="array" ref="DW3">IFERROR(INDEX(auto_Group_Code,DW2),"")</f>
        <v>G03</v>
      </c>
      <c r="DX3" t="str" cm="1">
        <f t="array" ref="DX3">IFERROR(INDEX(auto_Group_Code,DX2),"")</f>
        <v>G04</v>
      </c>
      <c r="DY3" t="str" cm="1">
        <f t="array" ref="DY3">IFERROR(INDEX(auto_Group_Code,DY2),"")</f>
        <v>G05</v>
      </c>
      <c r="DZ3" t="str" cm="1">
        <f t="array" ref="DZ3">IFERROR(INDEX(auto_Group_Code,DZ2),"")</f>
        <v>G06</v>
      </c>
      <c r="EA3" t="str" cm="1">
        <f t="array" ref="EA3">IFERROR(INDEX(auto_Group_Code,EA2),"")</f>
        <v>G07</v>
      </c>
      <c r="EB3" t="str" cm="1">
        <f t="array" ref="EB3">IFERROR(INDEX(auto_Group_Code,EB2),"")</f>
        <v>G08</v>
      </c>
      <c r="EC3" t="str" cm="1">
        <f t="array" ref="EC3">IFERROR(INDEX(auto_Group_Code,EC2),"")</f>
        <v>G09</v>
      </c>
      <c r="ED3" t="str" cm="1">
        <f t="array" ref="ED3">IFERROR(INDEX(auto_Group_Code,ED2),"")</f>
        <v/>
      </c>
      <c r="EE3" t="str" cm="1">
        <f t="array" ref="EE3">IFERROR(INDEX(auto_Group_Code,EE2),"")</f>
        <v/>
      </c>
      <c r="EF3" t="str" cm="1">
        <f t="array" ref="EF3">IFERROR(INDEX(auto_Group_Code,EF2),"")</f>
        <v/>
      </c>
      <c r="EG3" t="str" cm="1">
        <f t="array" ref="EG3">IFERROR(INDEX(auto_Group_Code,EG2),"")</f>
        <v/>
      </c>
      <c r="EH3" t="str" cm="1">
        <f t="array" ref="EH3">IFERROR(INDEX(auto_Group_Code,EH2),"")</f>
        <v/>
      </c>
      <c r="EI3" t="str" cm="1">
        <f t="array" ref="EI3">IFERROR(INDEX(auto_Group_Code,EI2),"")</f>
        <v/>
      </c>
      <c r="EJ3" t="str" cm="1">
        <f t="array" ref="EJ3">IFERROR(INDEX(auto_Group_Code,EJ2),"")</f>
        <v/>
      </c>
      <c r="EK3" t="str" cm="1">
        <f t="array" ref="EK3">IFERROR(INDEX(auto_Group_Code,EK2),"")</f>
        <v/>
      </c>
      <c r="EL3" t="str" cm="1">
        <f t="array" ref="EL3">IFERROR(INDEX(auto_Group_Code,EL2),"")</f>
        <v/>
      </c>
      <c r="EM3" t="str" cm="1">
        <f t="array" ref="EM3">IFERROR(INDEX(auto_Group_Code,EM2),"")</f>
        <v/>
      </c>
    </row>
    <row r="4" spans="1:143" x14ac:dyDescent="0.4">
      <c r="A4" t="str">
        <f>IF(ISERROR(C4),"X","")</f>
        <v/>
      </c>
      <c r="B4">
        <v>1</v>
      </c>
      <c r="C4" t="str" cm="1">
        <f t="array" ref="C4">INDEX(auto_Series_Code,B4)</f>
        <v>OVERALL</v>
      </c>
      <c r="D4">
        <f t="shared" ref="D4:M54" si="3">MATCH(CONCATENATE(D$3,"_",$C4),auto_DataFlat_UID,0)</f>
        <v>1</v>
      </c>
      <c r="E4">
        <f t="shared" si="3"/>
        <v>2</v>
      </c>
      <c r="F4">
        <f t="shared" si="3"/>
        <v>3</v>
      </c>
      <c r="G4">
        <f t="shared" si="3"/>
        <v>4</v>
      </c>
      <c r="H4">
        <f t="shared" si="3"/>
        <v>5</v>
      </c>
      <c r="I4">
        <f t="shared" si="3"/>
        <v>6</v>
      </c>
      <c r="J4">
        <f t="shared" si="3"/>
        <v>7</v>
      </c>
      <c r="K4">
        <f t="shared" si="3"/>
        <v>8</v>
      </c>
      <c r="L4">
        <f t="shared" si="3"/>
        <v>9</v>
      </c>
      <c r="M4">
        <f t="shared" si="3"/>
        <v>10</v>
      </c>
      <c r="N4">
        <f t="shared" ref="N4:W54" si="4">MATCH(CONCATENATE(N$3,"_",$C4),auto_DataFlat_UID,0)</f>
        <v>11</v>
      </c>
      <c r="O4">
        <f t="shared" si="4"/>
        <v>12</v>
      </c>
      <c r="P4">
        <f t="shared" si="4"/>
        <v>13</v>
      </c>
      <c r="Q4">
        <f t="shared" si="4"/>
        <v>14</v>
      </c>
      <c r="R4">
        <f t="shared" si="4"/>
        <v>15</v>
      </c>
      <c r="S4">
        <f t="shared" si="4"/>
        <v>16</v>
      </c>
      <c r="T4">
        <f t="shared" si="4"/>
        <v>17</v>
      </c>
      <c r="U4">
        <f t="shared" si="4"/>
        <v>18</v>
      </c>
      <c r="V4">
        <f t="shared" si="4"/>
        <v>19</v>
      </c>
      <c r="W4">
        <f t="shared" si="4"/>
        <v>20</v>
      </c>
      <c r="X4">
        <f t="shared" ref="X4:AG54" si="5">MATCH(CONCATENATE(X$3,"_",$C4),auto_DataFlat_UID,0)</f>
        <v>21</v>
      </c>
      <c r="Y4">
        <f t="shared" si="5"/>
        <v>22</v>
      </c>
      <c r="Z4">
        <f t="shared" si="5"/>
        <v>23</v>
      </c>
      <c r="AA4">
        <f t="shared" si="5"/>
        <v>24</v>
      </c>
      <c r="AB4">
        <f t="shared" si="5"/>
        <v>25</v>
      </c>
      <c r="AC4">
        <f t="shared" si="5"/>
        <v>26</v>
      </c>
      <c r="AD4">
        <f t="shared" si="5"/>
        <v>27</v>
      </c>
      <c r="AE4">
        <f t="shared" si="5"/>
        <v>28</v>
      </c>
      <c r="AF4">
        <f t="shared" si="5"/>
        <v>29</v>
      </c>
      <c r="AG4">
        <f t="shared" si="5"/>
        <v>30</v>
      </c>
      <c r="AH4">
        <f t="shared" ref="AH4:AQ54" si="6">MATCH(CONCATENATE(AH$3,"_",$C4),auto_DataFlat_UID,0)</f>
        <v>31</v>
      </c>
      <c r="AI4">
        <f t="shared" si="6"/>
        <v>32</v>
      </c>
      <c r="AJ4">
        <f t="shared" si="6"/>
        <v>33</v>
      </c>
      <c r="AK4">
        <f t="shared" si="6"/>
        <v>34</v>
      </c>
      <c r="AL4">
        <f t="shared" si="6"/>
        <v>35</v>
      </c>
      <c r="AM4">
        <f t="shared" si="6"/>
        <v>36</v>
      </c>
      <c r="AN4">
        <f t="shared" si="6"/>
        <v>37</v>
      </c>
      <c r="AO4">
        <f t="shared" si="6"/>
        <v>38</v>
      </c>
      <c r="AP4">
        <f t="shared" si="6"/>
        <v>39</v>
      </c>
      <c r="AQ4">
        <f t="shared" si="6"/>
        <v>40</v>
      </c>
      <c r="AR4">
        <f t="shared" ref="AR4:BA54" si="7">MATCH(CONCATENATE(AR$3,"_",$C4),auto_DataFlat_UID,0)</f>
        <v>41</v>
      </c>
      <c r="AS4">
        <f t="shared" si="7"/>
        <v>42</v>
      </c>
      <c r="AT4">
        <f t="shared" si="7"/>
        <v>43</v>
      </c>
      <c r="AU4">
        <f t="shared" si="7"/>
        <v>44</v>
      </c>
      <c r="AV4">
        <f t="shared" si="7"/>
        <v>45</v>
      </c>
      <c r="AW4">
        <f t="shared" si="7"/>
        <v>46</v>
      </c>
      <c r="AX4">
        <f t="shared" si="7"/>
        <v>47</v>
      </c>
      <c r="AY4">
        <f t="shared" si="7"/>
        <v>48</v>
      </c>
      <c r="AZ4">
        <f t="shared" si="7"/>
        <v>49</v>
      </c>
      <c r="BA4">
        <f t="shared" si="7"/>
        <v>50</v>
      </c>
      <c r="BB4" t="e">
        <f t="shared" ref="BB4:BK54" si="8">MATCH(CONCATENATE(BB$3,"_",$C4),auto_DataFlat_UID,0)</f>
        <v>#N/A</v>
      </c>
      <c r="BC4" t="e">
        <f t="shared" si="8"/>
        <v>#N/A</v>
      </c>
      <c r="BD4" t="e">
        <f t="shared" si="8"/>
        <v>#N/A</v>
      </c>
      <c r="BE4" t="e">
        <f t="shared" si="8"/>
        <v>#N/A</v>
      </c>
      <c r="BF4" t="e">
        <f t="shared" si="8"/>
        <v>#N/A</v>
      </c>
      <c r="BG4" t="e">
        <f t="shared" si="8"/>
        <v>#N/A</v>
      </c>
      <c r="BH4" t="e">
        <f t="shared" si="8"/>
        <v>#N/A</v>
      </c>
      <c r="BI4" t="e">
        <f t="shared" si="8"/>
        <v>#N/A</v>
      </c>
      <c r="BJ4" t="e">
        <f t="shared" si="8"/>
        <v>#N/A</v>
      </c>
      <c r="BK4" t="e">
        <f t="shared" si="8"/>
        <v>#N/A</v>
      </c>
      <c r="BL4" t="e">
        <f t="shared" ref="BL4:BU54" si="9">MATCH(CONCATENATE(BL$3,"_",$C4),auto_DataFlat_UID,0)</f>
        <v>#N/A</v>
      </c>
      <c r="BM4" t="e">
        <f t="shared" si="9"/>
        <v>#N/A</v>
      </c>
      <c r="BN4" t="e">
        <f t="shared" si="9"/>
        <v>#N/A</v>
      </c>
      <c r="BO4" t="e">
        <f t="shared" si="9"/>
        <v>#N/A</v>
      </c>
      <c r="BP4" t="e">
        <f t="shared" si="9"/>
        <v>#N/A</v>
      </c>
      <c r="BQ4" t="e">
        <f t="shared" si="9"/>
        <v>#N/A</v>
      </c>
      <c r="BR4" t="e">
        <f t="shared" si="9"/>
        <v>#N/A</v>
      </c>
      <c r="BS4" t="e">
        <f t="shared" si="9"/>
        <v>#N/A</v>
      </c>
      <c r="BT4" t="e">
        <f t="shared" si="9"/>
        <v>#N/A</v>
      </c>
      <c r="BU4" t="e">
        <f t="shared" si="9"/>
        <v>#N/A</v>
      </c>
      <c r="BV4" t="e">
        <f t="shared" ref="BV4:CE54" si="10">MATCH(CONCATENATE(BV$3,"_",$C4),auto_DataFlat_UID,0)</f>
        <v>#N/A</v>
      </c>
      <c r="BW4" t="e">
        <f t="shared" si="10"/>
        <v>#N/A</v>
      </c>
      <c r="BX4" t="e">
        <f t="shared" si="10"/>
        <v>#N/A</v>
      </c>
      <c r="BY4" t="e">
        <f t="shared" si="10"/>
        <v>#N/A</v>
      </c>
      <c r="BZ4" t="e">
        <f t="shared" si="10"/>
        <v>#N/A</v>
      </c>
      <c r="CA4" t="e">
        <f t="shared" si="10"/>
        <v>#N/A</v>
      </c>
      <c r="CB4" t="e">
        <f t="shared" si="10"/>
        <v>#N/A</v>
      </c>
      <c r="CC4" t="e">
        <f t="shared" si="10"/>
        <v>#N/A</v>
      </c>
      <c r="CD4" t="e">
        <f t="shared" si="10"/>
        <v>#N/A</v>
      </c>
      <c r="CE4" t="e">
        <f t="shared" si="10"/>
        <v>#N/A</v>
      </c>
      <c r="CF4" t="e">
        <f t="shared" ref="CF4:CO54" si="11">MATCH(CONCATENATE(CF$3,"_",$C4),auto_DataFlat_UID,0)</f>
        <v>#N/A</v>
      </c>
      <c r="CG4" t="e">
        <f t="shared" si="11"/>
        <v>#N/A</v>
      </c>
      <c r="CH4" t="e">
        <f t="shared" si="11"/>
        <v>#N/A</v>
      </c>
      <c r="CI4" t="e">
        <f t="shared" si="11"/>
        <v>#N/A</v>
      </c>
      <c r="CJ4" t="e">
        <f t="shared" si="11"/>
        <v>#N/A</v>
      </c>
      <c r="CK4" t="e">
        <f t="shared" si="11"/>
        <v>#N/A</v>
      </c>
      <c r="CL4" t="e">
        <f t="shared" si="11"/>
        <v>#N/A</v>
      </c>
      <c r="CM4" t="e">
        <f t="shared" si="11"/>
        <v>#N/A</v>
      </c>
      <c r="CN4" t="e">
        <f t="shared" si="11"/>
        <v>#N/A</v>
      </c>
      <c r="CO4" t="e">
        <f t="shared" si="11"/>
        <v>#N/A</v>
      </c>
      <c r="CP4" t="e">
        <f t="shared" ref="CP4:DE52" si="12">MATCH(CONCATENATE(CP$3,"_",$C4),auto_DataFlat_UID,0)</f>
        <v>#N/A</v>
      </c>
      <c r="CQ4" t="e">
        <f t="shared" si="12"/>
        <v>#N/A</v>
      </c>
      <c r="CR4" t="e">
        <f t="shared" si="12"/>
        <v>#N/A</v>
      </c>
      <c r="CS4" t="e">
        <f t="shared" si="12"/>
        <v>#N/A</v>
      </c>
      <c r="CT4" t="e">
        <f t="shared" si="12"/>
        <v>#N/A</v>
      </c>
      <c r="CU4" t="e">
        <f t="shared" si="12"/>
        <v>#N/A</v>
      </c>
      <c r="CV4" t="e">
        <f t="shared" si="12"/>
        <v>#N/A</v>
      </c>
      <c r="CW4" t="e">
        <f t="shared" si="12"/>
        <v>#N/A</v>
      </c>
      <c r="CX4" t="e">
        <f t="shared" si="12"/>
        <v>#N/A</v>
      </c>
      <c r="CY4" t="e">
        <f t="shared" si="12"/>
        <v>#N/A</v>
      </c>
      <c r="CZ4" t="e">
        <f t="shared" ref="CZ4:DO46" si="13">MATCH(CONCATENATE(CZ$3,"_",$C4),auto_DataFlat_UID,0)</f>
        <v>#N/A</v>
      </c>
      <c r="DA4" t="e">
        <f t="shared" si="13"/>
        <v>#N/A</v>
      </c>
      <c r="DB4" t="e">
        <f t="shared" si="13"/>
        <v>#N/A</v>
      </c>
      <c r="DC4" t="e">
        <f t="shared" si="13"/>
        <v>#N/A</v>
      </c>
      <c r="DD4" t="e">
        <f t="shared" si="13"/>
        <v>#N/A</v>
      </c>
      <c r="DE4" t="e">
        <f t="shared" si="13"/>
        <v>#N/A</v>
      </c>
      <c r="DF4" t="e">
        <f t="shared" si="13"/>
        <v>#N/A</v>
      </c>
      <c r="DG4" t="e">
        <f t="shared" si="13"/>
        <v>#N/A</v>
      </c>
      <c r="DH4" t="e">
        <f t="shared" si="13"/>
        <v>#N/A</v>
      </c>
      <c r="DI4" t="e">
        <f t="shared" si="13"/>
        <v>#N/A</v>
      </c>
      <c r="DJ4" t="e">
        <f t="shared" ref="DJ4:DY34" si="14">MATCH(CONCATENATE(DJ$3,"_",$C4),auto_DataFlat_UID,0)</f>
        <v>#N/A</v>
      </c>
      <c r="DK4" t="e">
        <f t="shared" si="14"/>
        <v>#N/A</v>
      </c>
      <c r="DL4" t="e">
        <f t="shared" si="14"/>
        <v>#N/A</v>
      </c>
      <c r="DM4" t="e">
        <f t="shared" si="14"/>
        <v>#N/A</v>
      </c>
      <c r="DN4" t="e">
        <f t="shared" si="14"/>
        <v>#N/A</v>
      </c>
      <c r="DO4" t="e">
        <f t="shared" si="14"/>
        <v>#N/A</v>
      </c>
      <c r="DP4" t="e">
        <f t="shared" si="14"/>
        <v>#N/A</v>
      </c>
      <c r="DQ4" t="e">
        <f t="shared" si="14"/>
        <v>#N/A</v>
      </c>
      <c r="DR4" t="e">
        <f t="shared" si="14"/>
        <v>#N/A</v>
      </c>
      <c r="DS4" t="e">
        <f t="shared" si="14"/>
        <v>#N/A</v>
      </c>
      <c r="DT4">
        <f t="shared" si="14"/>
        <v>51</v>
      </c>
      <c r="DU4">
        <f t="shared" si="14"/>
        <v>52</v>
      </c>
      <c r="DV4">
        <f t="shared" si="14"/>
        <v>53</v>
      </c>
      <c r="DW4">
        <f t="shared" si="14"/>
        <v>54</v>
      </c>
      <c r="DX4">
        <f t="shared" si="14"/>
        <v>55</v>
      </c>
      <c r="DY4">
        <f t="shared" si="14"/>
        <v>56</v>
      </c>
      <c r="DZ4">
        <f t="shared" ref="DZ4:EM40" si="15">MATCH(CONCATENATE(DZ$3,"_",$C4),auto_DataFlat_UID,0)</f>
        <v>57</v>
      </c>
      <c r="EA4">
        <f t="shared" si="15"/>
        <v>58</v>
      </c>
      <c r="EB4">
        <f t="shared" si="15"/>
        <v>59</v>
      </c>
      <c r="EC4">
        <f t="shared" si="15"/>
        <v>60</v>
      </c>
      <c r="ED4" t="e">
        <f t="shared" si="15"/>
        <v>#N/A</v>
      </c>
      <c r="EE4" t="e">
        <f t="shared" si="15"/>
        <v>#N/A</v>
      </c>
      <c r="EF4" t="e">
        <f t="shared" si="15"/>
        <v>#N/A</v>
      </c>
      <c r="EG4" t="e">
        <f t="shared" si="15"/>
        <v>#N/A</v>
      </c>
      <c r="EH4" t="e">
        <f t="shared" si="15"/>
        <v>#N/A</v>
      </c>
      <c r="EI4" t="e">
        <f t="shared" si="15"/>
        <v>#N/A</v>
      </c>
      <c r="EJ4" t="e">
        <f t="shared" si="15"/>
        <v>#N/A</v>
      </c>
      <c r="EK4" t="e">
        <f t="shared" si="15"/>
        <v>#N/A</v>
      </c>
      <c r="EL4" t="e">
        <f t="shared" si="15"/>
        <v>#N/A</v>
      </c>
      <c r="EM4" t="e">
        <f t="shared" si="15"/>
        <v>#N/A</v>
      </c>
    </row>
    <row r="5" spans="1:143" x14ac:dyDescent="0.4">
      <c r="A5" t="str">
        <f t="shared" ref="A5:A68" si="16">IF(ISERROR(C5),"X","")</f>
        <v/>
      </c>
      <c r="B5">
        <v>2</v>
      </c>
      <c r="C5" t="str" cm="1">
        <f t="array" ref="C5">INDEX(auto_Series_Code,B5)</f>
        <v>DOMAIN_001</v>
      </c>
      <c r="D5">
        <f t="shared" ref="D5:M55" si="17">MATCH(CONCATENATE(D$3,"_",$C5),auto_DataFlat_UID,0)</f>
        <v>61</v>
      </c>
      <c r="E5">
        <f t="shared" si="17"/>
        <v>62</v>
      </c>
      <c r="F5">
        <f t="shared" si="17"/>
        <v>63</v>
      </c>
      <c r="G5">
        <f t="shared" si="17"/>
        <v>64</v>
      </c>
      <c r="H5">
        <f t="shared" si="17"/>
        <v>65</v>
      </c>
      <c r="I5">
        <f t="shared" si="17"/>
        <v>66</v>
      </c>
      <c r="J5">
        <f t="shared" si="17"/>
        <v>67</v>
      </c>
      <c r="K5">
        <f t="shared" si="17"/>
        <v>68</v>
      </c>
      <c r="L5">
        <f t="shared" si="17"/>
        <v>69</v>
      </c>
      <c r="M5">
        <f t="shared" si="17"/>
        <v>70</v>
      </c>
      <c r="N5">
        <f t="shared" ref="N5:W55" si="18">MATCH(CONCATENATE(N$3,"_",$C5),auto_DataFlat_UID,0)</f>
        <v>71</v>
      </c>
      <c r="O5">
        <f t="shared" si="18"/>
        <v>72</v>
      </c>
      <c r="P5">
        <f t="shared" si="18"/>
        <v>73</v>
      </c>
      <c r="Q5">
        <f t="shared" si="18"/>
        <v>74</v>
      </c>
      <c r="R5">
        <f t="shared" si="18"/>
        <v>75</v>
      </c>
      <c r="S5">
        <f t="shared" si="18"/>
        <v>76</v>
      </c>
      <c r="T5">
        <f t="shared" si="18"/>
        <v>77</v>
      </c>
      <c r="U5">
        <f t="shared" si="18"/>
        <v>78</v>
      </c>
      <c r="V5">
        <f t="shared" si="18"/>
        <v>79</v>
      </c>
      <c r="W5">
        <f t="shared" si="18"/>
        <v>80</v>
      </c>
      <c r="X5">
        <f t="shared" ref="X5:AG55" si="19">MATCH(CONCATENATE(X$3,"_",$C5),auto_DataFlat_UID,0)</f>
        <v>81</v>
      </c>
      <c r="Y5">
        <f t="shared" si="19"/>
        <v>82</v>
      </c>
      <c r="Z5">
        <f t="shared" si="19"/>
        <v>83</v>
      </c>
      <c r="AA5">
        <f t="shared" si="19"/>
        <v>84</v>
      </c>
      <c r="AB5">
        <f t="shared" si="19"/>
        <v>85</v>
      </c>
      <c r="AC5">
        <f t="shared" si="19"/>
        <v>86</v>
      </c>
      <c r="AD5">
        <f t="shared" si="19"/>
        <v>87</v>
      </c>
      <c r="AE5">
        <f t="shared" si="19"/>
        <v>88</v>
      </c>
      <c r="AF5">
        <f t="shared" si="19"/>
        <v>89</v>
      </c>
      <c r="AG5">
        <f t="shared" si="19"/>
        <v>90</v>
      </c>
      <c r="AH5">
        <f t="shared" ref="AH5:AQ55" si="20">MATCH(CONCATENATE(AH$3,"_",$C5),auto_DataFlat_UID,0)</f>
        <v>91</v>
      </c>
      <c r="AI5">
        <f t="shared" si="20"/>
        <v>92</v>
      </c>
      <c r="AJ5">
        <f t="shared" si="20"/>
        <v>93</v>
      </c>
      <c r="AK5">
        <f t="shared" si="20"/>
        <v>94</v>
      </c>
      <c r="AL5">
        <f t="shared" si="20"/>
        <v>95</v>
      </c>
      <c r="AM5">
        <f t="shared" si="20"/>
        <v>96</v>
      </c>
      <c r="AN5">
        <f t="shared" si="20"/>
        <v>97</v>
      </c>
      <c r="AO5">
        <f t="shared" si="20"/>
        <v>98</v>
      </c>
      <c r="AP5">
        <f t="shared" si="20"/>
        <v>99</v>
      </c>
      <c r="AQ5">
        <f t="shared" si="20"/>
        <v>100</v>
      </c>
      <c r="AR5">
        <f t="shared" ref="AR5:BA55" si="21">MATCH(CONCATENATE(AR$3,"_",$C5),auto_DataFlat_UID,0)</f>
        <v>101</v>
      </c>
      <c r="AS5">
        <f t="shared" si="21"/>
        <v>102</v>
      </c>
      <c r="AT5">
        <f t="shared" si="21"/>
        <v>103</v>
      </c>
      <c r="AU5">
        <f t="shared" si="21"/>
        <v>104</v>
      </c>
      <c r="AV5">
        <f t="shared" si="21"/>
        <v>105</v>
      </c>
      <c r="AW5">
        <f t="shared" si="21"/>
        <v>106</v>
      </c>
      <c r="AX5">
        <f t="shared" si="21"/>
        <v>107</v>
      </c>
      <c r="AY5">
        <f t="shared" si="21"/>
        <v>108</v>
      </c>
      <c r="AZ5">
        <f t="shared" si="21"/>
        <v>109</v>
      </c>
      <c r="BA5">
        <f t="shared" si="21"/>
        <v>110</v>
      </c>
      <c r="BB5" t="e">
        <f t="shared" ref="BB5:BK55" si="22">MATCH(CONCATENATE(BB$3,"_",$C5),auto_DataFlat_UID,0)</f>
        <v>#N/A</v>
      </c>
      <c r="BC5" t="e">
        <f t="shared" si="22"/>
        <v>#N/A</v>
      </c>
      <c r="BD5" t="e">
        <f t="shared" si="22"/>
        <v>#N/A</v>
      </c>
      <c r="BE5" t="e">
        <f t="shared" si="22"/>
        <v>#N/A</v>
      </c>
      <c r="BF5" t="e">
        <f t="shared" si="22"/>
        <v>#N/A</v>
      </c>
      <c r="BG5" t="e">
        <f t="shared" si="22"/>
        <v>#N/A</v>
      </c>
      <c r="BH5" t="e">
        <f t="shared" si="22"/>
        <v>#N/A</v>
      </c>
      <c r="BI5" t="e">
        <f t="shared" si="22"/>
        <v>#N/A</v>
      </c>
      <c r="BJ5" t="e">
        <f t="shared" si="22"/>
        <v>#N/A</v>
      </c>
      <c r="BK5" t="e">
        <f t="shared" si="22"/>
        <v>#N/A</v>
      </c>
      <c r="BL5" t="e">
        <f t="shared" ref="BL5:BU55" si="23">MATCH(CONCATENATE(BL$3,"_",$C5),auto_DataFlat_UID,0)</f>
        <v>#N/A</v>
      </c>
      <c r="BM5" t="e">
        <f t="shared" si="23"/>
        <v>#N/A</v>
      </c>
      <c r="BN5" t="e">
        <f t="shared" si="23"/>
        <v>#N/A</v>
      </c>
      <c r="BO5" t="e">
        <f t="shared" si="23"/>
        <v>#N/A</v>
      </c>
      <c r="BP5" t="e">
        <f t="shared" si="23"/>
        <v>#N/A</v>
      </c>
      <c r="BQ5" t="e">
        <f t="shared" si="23"/>
        <v>#N/A</v>
      </c>
      <c r="BR5" t="e">
        <f t="shared" si="23"/>
        <v>#N/A</v>
      </c>
      <c r="BS5" t="e">
        <f t="shared" si="23"/>
        <v>#N/A</v>
      </c>
      <c r="BT5" t="e">
        <f t="shared" si="23"/>
        <v>#N/A</v>
      </c>
      <c r="BU5" t="e">
        <f t="shared" si="23"/>
        <v>#N/A</v>
      </c>
      <c r="BV5" t="e">
        <f t="shared" ref="BV5:CE55" si="24">MATCH(CONCATENATE(BV$3,"_",$C5),auto_DataFlat_UID,0)</f>
        <v>#N/A</v>
      </c>
      <c r="BW5" t="e">
        <f t="shared" si="24"/>
        <v>#N/A</v>
      </c>
      <c r="BX5" t="e">
        <f t="shared" si="24"/>
        <v>#N/A</v>
      </c>
      <c r="BY5" t="e">
        <f t="shared" si="24"/>
        <v>#N/A</v>
      </c>
      <c r="BZ5" t="e">
        <f t="shared" si="24"/>
        <v>#N/A</v>
      </c>
      <c r="CA5" t="e">
        <f t="shared" si="24"/>
        <v>#N/A</v>
      </c>
      <c r="CB5" t="e">
        <f t="shared" si="24"/>
        <v>#N/A</v>
      </c>
      <c r="CC5" t="e">
        <f t="shared" si="24"/>
        <v>#N/A</v>
      </c>
      <c r="CD5" t="e">
        <f t="shared" si="24"/>
        <v>#N/A</v>
      </c>
      <c r="CE5" t="e">
        <f t="shared" si="24"/>
        <v>#N/A</v>
      </c>
      <c r="CF5" t="e">
        <f t="shared" ref="CF5:CO55" si="25">MATCH(CONCATENATE(CF$3,"_",$C5),auto_DataFlat_UID,0)</f>
        <v>#N/A</v>
      </c>
      <c r="CG5" t="e">
        <f t="shared" si="25"/>
        <v>#N/A</v>
      </c>
      <c r="CH5" t="e">
        <f t="shared" si="25"/>
        <v>#N/A</v>
      </c>
      <c r="CI5" t="e">
        <f t="shared" si="25"/>
        <v>#N/A</v>
      </c>
      <c r="CJ5" t="e">
        <f t="shared" si="25"/>
        <v>#N/A</v>
      </c>
      <c r="CK5" t="e">
        <f t="shared" si="25"/>
        <v>#N/A</v>
      </c>
      <c r="CL5" t="e">
        <f t="shared" si="25"/>
        <v>#N/A</v>
      </c>
      <c r="CM5" t="e">
        <f t="shared" si="25"/>
        <v>#N/A</v>
      </c>
      <c r="CN5" t="e">
        <f t="shared" si="25"/>
        <v>#N/A</v>
      </c>
      <c r="CO5" t="e">
        <f t="shared" si="25"/>
        <v>#N/A</v>
      </c>
      <c r="CP5" t="e">
        <f t="shared" ref="CP5:DE53" si="26">MATCH(CONCATENATE(CP$3,"_",$C5),auto_DataFlat_UID,0)</f>
        <v>#N/A</v>
      </c>
      <c r="CQ5" t="e">
        <f t="shared" si="26"/>
        <v>#N/A</v>
      </c>
      <c r="CR5" t="e">
        <f t="shared" si="26"/>
        <v>#N/A</v>
      </c>
      <c r="CS5" t="e">
        <f t="shared" si="26"/>
        <v>#N/A</v>
      </c>
      <c r="CT5" t="e">
        <f t="shared" si="26"/>
        <v>#N/A</v>
      </c>
      <c r="CU5" t="e">
        <f t="shared" si="26"/>
        <v>#N/A</v>
      </c>
      <c r="CV5" t="e">
        <f t="shared" si="26"/>
        <v>#N/A</v>
      </c>
      <c r="CW5" t="e">
        <f t="shared" si="26"/>
        <v>#N/A</v>
      </c>
      <c r="CX5" t="e">
        <f t="shared" si="26"/>
        <v>#N/A</v>
      </c>
      <c r="CY5" t="e">
        <f t="shared" si="26"/>
        <v>#N/A</v>
      </c>
      <c r="CZ5" t="e">
        <f t="shared" ref="CZ5:DO47" si="27">MATCH(CONCATENATE(CZ$3,"_",$C5),auto_DataFlat_UID,0)</f>
        <v>#N/A</v>
      </c>
      <c r="DA5" t="e">
        <f t="shared" si="27"/>
        <v>#N/A</v>
      </c>
      <c r="DB5" t="e">
        <f t="shared" si="27"/>
        <v>#N/A</v>
      </c>
      <c r="DC5" t="e">
        <f t="shared" si="27"/>
        <v>#N/A</v>
      </c>
      <c r="DD5" t="e">
        <f t="shared" si="27"/>
        <v>#N/A</v>
      </c>
      <c r="DE5" t="e">
        <f t="shared" si="27"/>
        <v>#N/A</v>
      </c>
      <c r="DF5" t="e">
        <f t="shared" si="27"/>
        <v>#N/A</v>
      </c>
      <c r="DG5" t="e">
        <f t="shared" si="27"/>
        <v>#N/A</v>
      </c>
      <c r="DH5" t="e">
        <f t="shared" si="27"/>
        <v>#N/A</v>
      </c>
      <c r="DI5" t="e">
        <f t="shared" si="27"/>
        <v>#N/A</v>
      </c>
      <c r="DJ5" t="e">
        <f t="shared" ref="DJ5:DY35" si="28">MATCH(CONCATENATE(DJ$3,"_",$C5),auto_DataFlat_UID,0)</f>
        <v>#N/A</v>
      </c>
      <c r="DK5" t="e">
        <f t="shared" si="28"/>
        <v>#N/A</v>
      </c>
      <c r="DL5" t="e">
        <f t="shared" si="28"/>
        <v>#N/A</v>
      </c>
      <c r="DM5" t="e">
        <f t="shared" si="28"/>
        <v>#N/A</v>
      </c>
      <c r="DN5" t="e">
        <f t="shared" si="28"/>
        <v>#N/A</v>
      </c>
      <c r="DO5" t="e">
        <f t="shared" si="28"/>
        <v>#N/A</v>
      </c>
      <c r="DP5" t="e">
        <f t="shared" si="28"/>
        <v>#N/A</v>
      </c>
      <c r="DQ5" t="e">
        <f t="shared" si="28"/>
        <v>#N/A</v>
      </c>
      <c r="DR5" t="e">
        <f t="shared" si="28"/>
        <v>#N/A</v>
      </c>
      <c r="DS5" t="e">
        <f t="shared" si="28"/>
        <v>#N/A</v>
      </c>
      <c r="DT5">
        <f t="shared" si="28"/>
        <v>111</v>
      </c>
      <c r="DU5">
        <f t="shared" si="28"/>
        <v>112</v>
      </c>
      <c r="DV5">
        <f t="shared" si="28"/>
        <v>113</v>
      </c>
      <c r="DW5">
        <f t="shared" si="28"/>
        <v>114</v>
      </c>
      <c r="DX5">
        <f t="shared" si="28"/>
        <v>115</v>
      </c>
      <c r="DY5">
        <f t="shared" si="28"/>
        <v>116</v>
      </c>
      <c r="DZ5">
        <f t="shared" ref="DZ5:EM41" si="29">MATCH(CONCATENATE(DZ$3,"_",$C5),auto_DataFlat_UID,0)</f>
        <v>117</v>
      </c>
      <c r="EA5">
        <f t="shared" si="29"/>
        <v>118</v>
      </c>
      <c r="EB5">
        <f t="shared" si="29"/>
        <v>119</v>
      </c>
      <c r="EC5">
        <f t="shared" si="29"/>
        <v>120</v>
      </c>
      <c r="ED5" t="e">
        <f t="shared" si="29"/>
        <v>#N/A</v>
      </c>
      <c r="EE5" t="e">
        <f t="shared" si="29"/>
        <v>#N/A</v>
      </c>
      <c r="EF5" t="e">
        <f t="shared" si="29"/>
        <v>#N/A</v>
      </c>
      <c r="EG5" t="e">
        <f t="shared" si="29"/>
        <v>#N/A</v>
      </c>
      <c r="EH5" t="e">
        <f t="shared" si="29"/>
        <v>#N/A</v>
      </c>
      <c r="EI5" t="e">
        <f t="shared" si="29"/>
        <v>#N/A</v>
      </c>
      <c r="EJ5" t="e">
        <f t="shared" si="29"/>
        <v>#N/A</v>
      </c>
      <c r="EK5" t="e">
        <f t="shared" si="29"/>
        <v>#N/A</v>
      </c>
      <c r="EL5" t="e">
        <f t="shared" si="29"/>
        <v>#N/A</v>
      </c>
      <c r="EM5" t="e">
        <f t="shared" si="29"/>
        <v>#N/A</v>
      </c>
    </row>
    <row r="6" spans="1:143" x14ac:dyDescent="0.4">
      <c r="A6" t="str">
        <f t="shared" si="16"/>
        <v/>
      </c>
      <c r="B6">
        <v>3</v>
      </c>
      <c r="C6" t="str" cm="1">
        <f t="array" ref="C6">INDEX(auto_Series_Code,B6)</f>
        <v>INDI_001</v>
      </c>
      <c r="D6">
        <f t="shared" si="3"/>
        <v>121</v>
      </c>
      <c r="E6">
        <f t="shared" si="3"/>
        <v>122</v>
      </c>
      <c r="F6">
        <f t="shared" si="3"/>
        <v>123</v>
      </c>
      <c r="G6">
        <f t="shared" si="3"/>
        <v>124</v>
      </c>
      <c r="H6">
        <f t="shared" si="3"/>
        <v>125</v>
      </c>
      <c r="I6">
        <f t="shared" si="3"/>
        <v>126</v>
      </c>
      <c r="J6">
        <f t="shared" si="3"/>
        <v>127</v>
      </c>
      <c r="K6">
        <f t="shared" si="3"/>
        <v>128</v>
      </c>
      <c r="L6">
        <f t="shared" si="3"/>
        <v>129</v>
      </c>
      <c r="M6">
        <f t="shared" si="3"/>
        <v>130</v>
      </c>
      <c r="N6">
        <f t="shared" si="4"/>
        <v>131</v>
      </c>
      <c r="O6">
        <f t="shared" si="4"/>
        <v>132</v>
      </c>
      <c r="P6">
        <f t="shared" si="4"/>
        <v>133</v>
      </c>
      <c r="Q6">
        <f t="shared" si="4"/>
        <v>134</v>
      </c>
      <c r="R6">
        <f t="shared" si="4"/>
        <v>135</v>
      </c>
      <c r="S6">
        <f t="shared" si="4"/>
        <v>136</v>
      </c>
      <c r="T6">
        <f t="shared" si="4"/>
        <v>137</v>
      </c>
      <c r="U6">
        <f t="shared" si="4"/>
        <v>138</v>
      </c>
      <c r="V6">
        <f t="shared" si="4"/>
        <v>139</v>
      </c>
      <c r="W6">
        <f t="shared" si="4"/>
        <v>140</v>
      </c>
      <c r="X6">
        <f t="shared" si="5"/>
        <v>141</v>
      </c>
      <c r="Y6">
        <f t="shared" si="5"/>
        <v>142</v>
      </c>
      <c r="Z6">
        <f t="shared" si="5"/>
        <v>143</v>
      </c>
      <c r="AA6">
        <f t="shared" si="5"/>
        <v>144</v>
      </c>
      <c r="AB6">
        <f t="shared" si="5"/>
        <v>145</v>
      </c>
      <c r="AC6">
        <f t="shared" si="5"/>
        <v>146</v>
      </c>
      <c r="AD6">
        <f t="shared" si="5"/>
        <v>147</v>
      </c>
      <c r="AE6">
        <f t="shared" si="5"/>
        <v>148</v>
      </c>
      <c r="AF6">
        <f t="shared" si="5"/>
        <v>149</v>
      </c>
      <c r="AG6">
        <f t="shared" si="5"/>
        <v>150</v>
      </c>
      <c r="AH6">
        <f t="shared" si="6"/>
        <v>151</v>
      </c>
      <c r="AI6">
        <f t="shared" si="6"/>
        <v>152</v>
      </c>
      <c r="AJ6">
        <f t="shared" si="6"/>
        <v>153</v>
      </c>
      <c r="AK6">
        <f t="shared" si="6"/>
        <v>154</v>
      </c>
      <c r="AL6">
        <f t="shared" si="6"/>
        <v>155</v>
      </c>
      <c r="AM6">
        <f t="shared" si="6"/>
        <v>156</v>
      </c>
      <c r="AN6">
        <f t="shared" si="6"/>
        <v>157</v>
      </c>
      <c r="AO6">
        <f t="shared" si="6"/>
        <v>158</v>
      </c>
      <c r="AP6">
        <f t="shared" si="6"/>
        <v>159</v>
      </c>
      <c r="AQ6">
        <f t="shared" si="6"/>
        <v>160</v>
      </c>
      <c r="AR6">
        <f t="shared" si="7"/>
        <v>161</v>
      </c>
      <c r="AS6">
        <f t="shared" si="7"/>
        <v>162</v>
      </c>
      <c r="AT6">
        <f t="shared" si="7"/>
        <v>163</v>
      </c>
      <c r="AU6">
        <f t="shared" si="7"/>
        <v>164</v>
      </c>
      <c r="AV6">
        <f t="shared" si="7"/>
        <v>165</v>
      </c>
      <c r="AW6">
        <f t="shared" si="7"/>
        <v>166</v>
      </c>
      <c r="AX6">
        <f t="shared" si="7"/>
        <v>167</v>
      </c>
      <c r="AY6">
        <f t="shared" si="7"/>
        <v>168</v>
      </c>
      <c r="AZ6">
        <f t="shared" si="7"/>
        <v>169</v>
      </c>
      <c r="BA6">
        <f t="shared" si="7"/>
        <v>170</v>
      </c>
      <c r="BB6" t="e">
        <f t="shared" si="8"/>
        <v>#N/A</v>
      </c>
      <c r="BC6" t="e">
        <f t="shared" si="8"/>
        <v>#N/A</v>
      </c>
      <c r="BD6" t="e">
        <f t="shared" si="8"/>
        <v>#N/A</v>
      </c>
      <c r="BE6" t="e">
        <f t="shared" si="8"/>
        <v>#N/A</v>
      </c>
      <c r="BF6" t="e">
        <f t="shared" si="8"/>
        <v>#N/A</v>
      </c>
      <c r="BG6" t="e">
        <f t="shared" si="8"/>
        <v>#N/A</v>
      </c>
      <c r="BH6" t="e">
        <f t="shared" si="8"/>
        <v>#N/A</v>
      </c>
      <c r="BI6" t="e">
        <f t="shared" si="8"/>
        <v>#N/A</v>
      </c>
      <c r="BJ6" t="e">
        <f t="shared" si="8"/>
        <v>#N/A</v>
      </c>
      <c r="BK6" t="e">
        <f t="shared" si="8"/>
        <v>#N/A</v>
      </c>
      <c r="BL6" t="e">
        <f t="shared" si="9"/>
        <v>#N/A</v>
      </c>
      <c r="BM6" t="e">
        <f t="shared" si="9"/>
        <v>#N/A</v>
      </c>
      <c r="BN6" t="e">
        <f t="shared" si="9"/>
        <v>#N/A</v>
      </c>
      <c r="BO6" t="e">
        <f t="shared" si="9"/>
        <v>#N/A</v>
      </c>
      <c r="BP6" t="e">
        <f t="shared" si="9"/>
        <v>#N/A</v>
      </c>
      <c r="BQ6" t="e">
        <f t="shared" si="9"/>
        <v>#N/A</v>
      </c>
      <c r="BR6" t="e">
        <f t="shared" si="9"/>
        <v>#N/A</v>
      </c>
      <c r="BS6" t="e">
        <f t="shared" si="9"/>
        <v>#N/A</v>
      </c>
      <c r="BT6" t="e">
        <f t="shared" si="9"/>
        <v>#N/A</v>
      </c>
      <c r="BU6" t="e">
        <f t="shared" si="9"/>
        <v>#N/A</v>
      </c>
      <c r="BV6" t="e">
        <f t="shared" si="10"/>
        <v>#N/A</v>
      </c>
      <c r="BW6" t="e">
        <f t="shared" si="10"/>
        <v>#N/A</v>
      </c>
      <c r="BX6" t="e">
        <f t="shared" si="10"/>
        <v>#N/A</v>
      </c>
      <c r="BY6" t="e">
        <f t="shared" si="10"/>
        <v>#N/A</v>
      </c>
      <c r="BZ6" t="e">
        <f t="shared" si="10"/>
        <v>#N/A</v>
      </c>
      <c r="CA6" t="e">
        <f t="shared" si="10"/>
        <v>#N/A</v>
      </c>
      <c r="CB6" t="e">
        <f t="shared" si="10"/>
        <v>#N/A</v>
      </c>
      <c r="CC6" t="e">
        <f t="shared" si="10"/>
        <v>#N/A</v>
      </c>
      <c r="CD6" t="e">
        <f t="shared" si="10"/>
        <v>#N/A</v>
      </c>
      <c r="CE6" t="e">
        <f t="shared" si="10"/>
        <v>#N/A</v>
      </c>
      <c r="CF6" t="e">
        <f t="shared" si="11"/>
        <v>#N/A</v>
      </c>
      <c r="CG6" t="e">
        <f t="shared" si="11"/>
        <v>#N/A</v>
      </c>
      <c r="CH6" t="e">
        <f t="shared" si="11"/>
        <v>#N/A</v>
      </c>
      <c r="CI6" t="e">
        <f t="shared" si="11"/>
        <v>#N/A</v>
      </c>
      <c r="CJ6" t="e">
        <f t="shared" si="11"/>
        <v>#N/A</v>
      </c>
      <c r="CK6" t="e">
        <f t="shared" si="11"/>
        <v>#N/A</v>
      </c>
      <c r="CL6" t="e">
        <f t="shared" si="11"/>
        <v>#N/A</v>
      </c>
      <c r="CM6" t="e">
        <f t="shared" si="11"/>
        <v>#N/A</v>
      </c>
      <c r="CN6" t="e">
        <f t="shared" si="11"/>
        <v>#N/A</v>
      </c>
      <c r="CO6" t="e">
        <f t="shared" si="11"/>
        <v>#N/A</v>
      </c>
      <c r="CP6" t="e">
        <f t="shared" si="12"/>
        <v>#N/A</v>
      </c>
      <c r="CQ6" t="e">
        <f t="shared" si="12"/>
        <v>#N/A</v>
      </c>
      <c r="CR6" t="e">
        <f t="shared" si="12"/>
        <v>#N/A</v>
      </c>
      <c r="CS6" t="e">
        <f t="shared" si="12"/>
        <v>#N/A</v>
      </c>
      <c r="CT6" t="e">
        <f t="shared" si="12"/>
        <v>#N/A</v>
      </c>
      <c r="CU6" t="e">
        <f t="shared" si="12"/>
        <v>#N/A</v>
      </c>
      <c r="CV6" t="e">
        <f t="shared" si="12"/>
        <v>#N/A</v>
      </c>
      <c r="CW6" t="e">
        <f t="shared" si="12"/>
        <v>#N/A</v>
      </c>
      <c r="CX6" t="e">
        <f t="shared" si="12"/>
        <v>#N/A</v>
      </c>
      <c r="CY6" t="e">
        <f t="shared" si="12"/>
        <v>#N/A</v>
      </c>
      <c r="CZ6" t="e">
        <f t="shared" si="13"/>
        <v>#N/A</v>
      </c>
      <c r="DA6" t="e">
        <f t="shared" si="13"/>
        <v>#N/A</v>
      </c>
      <c r="DB6" t="e">
        <f t="shared" si="13"/>
        <v>#N/A</v>
      </c>
      <c r="DC6" t="e">
        <f t="shared" si="13"/>
        <v>#N/A</v>
      </c>
      <c r="DD6" t="e">
        <f t="shared" si="13"/>
        <v>#N/A</v>
      </c>
      <c r="DE6" t="e">
        <f t="shared" si="13"/>
        <v>#N/A</v>
      </c>
      <c r="DF6" t="e">
        <f t="shared" si="13"/>
        <v>#N/A</v>
      </c>
      <c r="DG6" t="e">
        <f t="shared" si="13"/>
        <v>#N/A</v>
      </c>
      <c r="DH6" t="e">
        <f t="shared" si="13"/>
        <v>#N/A</v>
      </c>
      <c r="DI6" t="e">
        <f t="shared" si="13"/>
        <v>#N/A</v>
      </c>
      <c r="DJ6" t="e">
        <f t="shared" si="14"/>
        <v>#N/A</v>
      </c>
      <c r="DK6" t="e">
        <f t="shared" si="14"/>
        <v>#N/A</v>
      </c>
      <c r="DL6" t="e">
        <f t="shared" si="14"/>
        <v>#N/A</v>
      </c>
      <c r="DM6" t="e">
        <f t="shared" si="14"/>
        <v>#N/A</v>
      </c>
      <c r="DN6" t="e">
        <f t="shared" si="14"/>
        <v>#N/A</v>
      </c>
      <c r="DO6" t="e">
        <f t="shared" si="14"/>
        <v>#N/A</v>
      </c>
      <c r="DP6" t="e">
        <f t="shared" si="14"/>
        <v>#N/A</v>
      </c>
      <c r="DQ6" t="e">
        <f t="shared" si="14"/>
        <v>#N/A</v>
      </c>
      <c r="DR6" t="e">
        <f t="shared" si="14"/>
        <v>#N/A</v>
      </c>
      <c r="DS6" t="e">
        <f t="shared" si="14"/>
        <v>#N/A</v>
      </c>
      <c r="DT6">
        <f t="shared" si="14"/>
        <v>171</v>
      </c>
      <c r="DU6">
        <f t="shared" si="14"/>
        <v>172</v>
      </c>
      <c r="DV6">
        <f t="shared" si="14"/>
        <v>173</v>
      </c>
      <c r="DW6">
        <f t="shared" si="14"/>
        <v>174</v>
      </c>
      <c r="DX6">
        <f t="shared" si="14"/>
        <v>175</v>
      </c>
      <c r="DY6">
        <f t="shared" si="14"/>
        <v>176</v>
      </c>
      <c r="DZ6">
        <f t="shared" si="15"/>
        <v>177</v>
      </c>
      <c r="EA6">
        <f t="shared" si="15"/>
        <v>178</v>
      </c>
      <c r="EB6">
        <f t="shared" si="15"/>
        <v>179</v>
      </c>
      <c r="EC6">
        <f t="shared" si="15"/>
        <v>180</v>
      </c>
      <c r="ED6" t="e">
        <f t="shared" si="15"/>
        <v>#N/A</v>
      </c>
      <c r="EE6" t="e">
        <f t="shared" si="15"/>
        <v>#N/A</v>
      </c>
      <c r="EF6" t="e">
        <f t="shared" si="15"/>
        <v>#N/A</v>
      </c>
      <c r="EG6" t="e">
        <f t="shared" si="15"/>
        <v>#N/A</v>
      </c>
      <c r="EH6" t="e">
        <f t="shared" si="15"/>
        <v>#N/A</v>
      </c>
      <c r="EI6" t="e">
        <f t="shared" si="15"/>
        <v>#N/A</v>
      </c>
      <c r="EJ6" t="e">
        <f t="shared" si="15"/>
        <v>#N/A</v>
      </c>
      <c r="EK6" t="e">
        <f t="shared" si="15"/>
        <v>#N/A</v>
      </c>
      <c r="EL6" t="e">
        <f t="shared" si="15"/>
        <v>#N/A</v>
      </c>
      <c r="EM6" t="e">
        <f t="shared" si="15"/>
        <v>#N/A</v>
      </c>
    </row>
    <row r="7" spans="1:143" x14ac:dyDescent="0.4">
      <c r="A7" t="str">
        <f t="shared" si="16"/>
        <v/>
      </c>
      <c r="B7">
        <v>4</v>
      </c>
      <c r="C7" t="str" cm="1">
        <f t="array" ref="C7">INDEX(auto_Series_Code,B7)</f>
        <v>SUBINDI_001</v>
      </c>
      <c r="D7">
        <f t="shared" si="17"/>
        <v>181</v>
      </c>
      <c r="E7">
        <f t="shared" si="17"/>
        <v>182</v>
      </c>
      <c r="F7">
        <f t="shared" si="17"/>
        <v>183</v>
      </c>
      <c r="G7">
        <f t="shared" si="17"/>
        <v>184</v>
      </c>
      <c r="H7">
        <f t="shared" si="17"/>
        <v>185</v>
      </c>
      <c r="I7">
        <f t="shared" si="17"/>
        <v>186</v>
      </c>
      <c r="J7">
        <f t="shared" si="17"/>
        <v>187</v>
      </c>
      <c r="K7">
        <f t="shared" si="17"/>
        <v>188</v>
      </c>
      <c r="L7">
        <f t="shared" si="17"/>
        <v>189</v>
      </c>
      <c r="M7">
        <f t="shared" si="17"/>
        <v>190</v>
      </c>
      <c r="N7">
        <f t="shared" si="18"/>
        <v>191</v>
      </c>
      <c r="O7">
        <f t="shared" si="18"/>
        <v>192</v>
      </c>
      <c r="P7">
        <f t="shared" si="18"/>
        <v>193</v>
      </c>
      <c r="Q7">
        <f t="shared" si="18"/>
        <v>194</v>
      </c>
      <c r="R7">
        <f t="shared" si="18"/>
        <v>195</v>
      </c>
      <c r="S7">
        <f t="shared" si="18"/>
        <v>196</v>
      </c>
      <c r="T7">
        <f t="shared" si="18"/>
        <v>197</v>
      </c>
      <c r="U7">
        <f t="shared" si="18"/>
        <v>198</v>
      </c>
      <c r="V7">
        <f t="shared" si="18"/>
        <v>199</v>
      </c>
      <c r="W7">
        <f t="shared" si="18"/>
        <v>200</v>
      </c>
      <c r="X7">
        <f t="shared" si="19"/>
        <v>201</v>
      </c>
      <c r="Y7">
        <f t="shared" si="19"/>
        <v>202</v>
      </c>
      <c r="Z7">
        <f t="shared" si="19"/>
        <v>203</v>
      </c>
      <c r="AA7">
        <f t="shared" si="19"/>
        <v>204</v>
      </c>
      <c r="AB7">
        <f t="shared" si="19"/>
        <v>205</v>
      </c>
      <c r="AC7">
        <f t="shared" si="19"/>
        <v>206</v>
      </c>
      <c r="AD7">
        <f t="shared" si="19"/>
        <v>207</v>
      </c>
      <c r="AE7">
        <f t="shared" si="19"/>
        <v>208</v>
      </c>
      <c r="AF7">
        <f t="shared" si="19"/>
        <v>209</v>
      </c>
      <c r="AG7">
        <f t="shared" si="19"/>
        <v>210</v>
      </c>
      <c r="AH7">
        <f t="shared" si="20"/>
        <v>211</v>
      </c>
      <c r="AI7">
        <f t="shared" si="20"/>
        <v>212</v>
      </c>
      <c r="AJ7">
        <f t="shared" si="20"/>
        <v>213</v>
      </c>
      <c r="AK7">
        <f t="shared" si="20"/>
        <v>214</v>
      </c>
      <c r="AL7">
        <f t="shared" si="20"/>
        <v>215</v>
      </c>
      <c r="AM7">
        <f t="shared" si="20"/>
        <v>216</v>
      </c>
      <c r="AN7">
        <f t="shared" si="20"/>
        <v>217</v>
      </c>
      <c r="AO7">
        <f t="shared" si="20"/>
        <v>218</v>
      </c>
      <c r="AP7">
        <f t="shared" si="20"/>
        <v>219</v>
      </c>
      <c r="AQ7">
        <f t="shared" si="20"/>
        <v>220</v>
      </c>
      <c r="AR7">
        <f t="shared" si="21"/>
        <v>221</v>
      </c>
      <c r="AS7">
        <f t="shared" si="21"/>
        <v>222</v>
      </c>
      <c r="AT7">
        <f t="shared" si="21"/>
        <v>223</v>
      </c>
      <c r="AU7">
        <f t="shared" si="21"/>
        <v>224</v>
      </c>
      <c r="AV7">
        <f t="shared" si="21"/>
        <v>225</v>
      </c>
      <c r="AW7">
        <f t="shared" si="21"/>
        <v>226</v>
      </c>
      <c r="AX7">
        <f t="shared" si="21"/>
        <v>227</v>
      </c>
      <c r="AY7">
        <f t="shared" si="21"/>
        <v>228</v>
      </c>
      <c r="AZ7">
        <f t="shared" si="21"/>
        <v>229</v>
      </c>
      <c r="BA7">
        <f t="shared" si="21"/>
        <v>230</v>
      </c>
      <c r="BB7" t="e">
        <f t="shared" si="22"/>
        <v>#N/A</v>
      </c>
      <c r="BC7" t="e">
        <f t="shared" si="22"/>
        <v>#N/A</v>
      </c>
      <c r="BD7" t="e">
        <f t="shared" si="22"/>
        <v>#N/A</v>
      </c>
      <c r="BE7" t="e">
        <f t="shared" si="22"/>
        <v>#N/A</v>
      </c>
      <c r="BF7" t="e">
        <f t="shared" si="22"/>
        <v>#N/A</v>
      </c>
      <c r="BG7" t="e">
        <f t="shared" si="22"/>
        <v>#N/A</v>
      </c>
      <c r="BH7" t="e">
        <f t="shared" si="22"/>
        <v>#N/A</v>
      </c>
      <c r="BI7" t="e">
        <f t="shared" si="22"/>
        <v>#N/A</v>
      </c>
      <c r="BJ7" t="e">
        <f t="shared" si="22"/>
        <v>#N/A</v>
      </c>
      <c r="BK7" t="e">
        <f t="shared" si="22"/>
        <v>#N/A</v>
      </c>
      <c r="BL7" t="e">
        <f t="shared" si="23"/>
        <v>#N/A</v>
      </c>
      <c r="BM7" t="e">
        <f t="shared" si="23"/>
        <v>#N/A</v>
      </c>
      <c r="BN7" t="e">
        <f t="shared" si="23"/>
        <v>#N/A</v>
      </c>
      <c r="BO7" t="e">
        <f t="shared" si="23"/>
        <v>#N/A</v>
      </c>
      <c r="BP7" t="e">
        <f t="shared" si="23"/>
        <v>#N/A</v>
      </c>
      <c r="BQ7" t="e">
        <f t="shared" si="23"/>
        <v>#N/A</v>
      </c>
      <c r="BR7" t="e">
        <f t="shared" si="23"/>
        <v>#N/A</v>
      </c>
      <c r="BS7" t="e">
        <f t="shared" si="23"/>
        <v>#N/A</v>
      </c>
      <c r="BT7" t="e">
        <f t="shared" si="23"/>
        <v>#N/A</v>
      </c>
      <c r="BU7" t="e">
        <f t="shared" si="23"/>
        <v>#N/A</v>
      </c>
      <c r="BV7" t="e">
        <f t="shared" si="24"/>
        <v>#N/A</v>
      </c>
      <c r="BW7" t="e">
        <f t="shared" si="24"/>
        <v>#N/A</v>
      </c>
      <c r="BX7" t="e">
        <f t="shared" si="24"/>
        <v>#N/A</v>
      </c>
      <c r="BY7" t="e">
        <f t="shared" si="24"/>
        <v>#N/A</v>
      </c>
      <c r="BZ7" t="e">
        <f t="shared" si="24"/>
        <v>#N/A</v>
      </c>
      <c r="CA7" t="e">
        <f t="shared" si="24"/>
        <v>#N/A</v>
      </c>
      <c r="CB7" t="e">
        <f t="shared" si="24"/>
        <v>#N/A</v>
      </c>
      <c r="CC7" t="e">
        <f t="shared" si="24"/>
        <v>#N/A</v>
      </c>
      <c r="CD7" t="e">
        <f t="shared" si="24"/>
        <v>#N/A</v>
      </c>
      <c r="CE7" t="e">
        <f t="shared" si="24"/>
        <v>#N/A</v>
      </c>
      <c r="CF7" t="e">
        <f t="shared" si="25"/>
        <v>#N/A</v>
      </c>
      <c r="CG7" t="e">
        <f t="shared" si="25"/>
        <v>#N/A</v>
      </c>
      <c r="CH7" t="e">
        <f t="shared" si="25"/>
        <v>#N/A</v>
      </c>
      <c r="CI7" t="e">
        <f t="shared" si="25"/>
        <v>#N/A</v>
      </c>
      <c r="CJ7" t="e">
        <f t="shared" si="25"/>
        <v>#N/A</v>
      </c>
      <c r="CK7" t="e">
        <f t="shared" si="25"/>
        <v>#N/A</v>
      </c>
      <c r="CL7" t="e">
        <f t="shared" si="25"/>
        <v>#N/A</v>
      </c>
      <c r="CM7" t="e">
        <f t="shared" si="25"/>
        <v>#N/A</v>
      </c>
      <c r="CN7" t="e">
        <f t="shared" si="25"/>
        <v>#N/A</v>
      </c>
      <c r="CO7" t="e">
        <f t="shared" si="25"/>
        <v>#N/A</v>
      </c>
      <c r="CP7" t="e">
        <f t="shared" si="26"/>
        <v>#N/A</v>
      </c>
      <c r="CQ7" t="e">
        <f t="shared" si="26"/>
        <v>#N/A</v>
      </c>
      <c r="CR7" t="e">
        <f t="shared" si="26"/>
        <v>#N/A</v>
      </c>
      <c r="CS7" t="e">
        <f t="shared" si="26"/>
        <v>#N/A</v>
      </c>
      <c r="CT7" t="e">
        <f t="shared" si="26"/>
        <v>#N/A</v>
      </c>
      <c r="CU7" t="e">
        <f t="shared" si="26"/>
        <v>#N/A</v>
      </c>
      <c r="CV7" t="e">
        <f t="shared" si="26"/>
        <v>#N/A</v>
      </c>
      <c r="CW7" t="e">
        <f t="shared" si="26"/>
        <v>#N/A</v>
      </c>
      <c r="CX7" t="e">
        <f t="shared" si="26"/>
        <v>#N/A</v>
      </c>
      <c r="CY7" t="e">
        <f t="shared" si="26"/>
        <v>#N/A</v>
      </c>
      <c r="CZ7" t="e">
        <f t="shared" si="27"/>
        <v>#N/A</v>
      </c>
      <c r="DA7" t="e">
        <f t="shared" si="27"/>
        <v>#N/A</v>
      </c>
      <c r="DB7" t="e">
        <f t="shared" si="27"/>
        <v>#N/A</v>
      </c>
      <c r="DC7" t="e">
        <f t="shared" si="27"/>
        <v>#N/A</v>
      </c>
      <c r="DD7" t="e">
        <f t="shared" si="27"/>
        <v>#N/A</v>
      </c>
      <c r="DE7" t="e">
        <f t="shared" si="27"/>
        <v>#N/A</v>
      </c>
      <c r="DF7" t="e">
        <f t="shared" si="27"/>
        <v>#N/A</v>
      </c>
      <c r="DG7" t="e">
        <f t="shared" si="27"/>
        <v>#N/A</v>
      </c>
      <c r="DH7" t="e">
        <f t="shared" si="27"/>
        <v>#N/A</v>
      </c>
      <c r="DI7" t="e">
        <f t="shared" si="27"/>
        <v>#N/A</v>
      </c>
      <c r="DJ7" t="e">
        <f t="shared" si="28"/>
        <v>#N/A</v>
      </c>
      <c r="DK7" t="e">
        <f t="shared" si="28"/>
        <v>#N/A</v>
      </c>
      <c r="DL7" t="e">
        <f t="shared" si="28"/>
        <v>#N/A</v>
      </c>
      <c r="DM7" t="e">
        <f t="shared" si="28"/>
        <v>#N/A</v>
      </c>
      <c r="DN7" t="e">
        <f t="shared" si="28"/>
        <v>#N/A</v>
      </c>
      <c r="DO7" t="e">
        <f t="shared" si="28"/>
        <v>#N/A</v>
      </c>
      <c r="DP7" t="e">
        <f t="shared" si="28"/>
        <v>#N/A</v>
      </c>
      <c r="DQ7" t="e">
        <f t="shared" si="28"/>
        <v>#N/A</v>
      </c>
      <c r="DR7" t="e">
        <f t="shared" si="28"/>
        <v>#N/A</v>
      </c>
      <c r="DS7" t="e">
        <f t="shared" si="28"/>
        <v>#N/A</v>
      </c>
      <c r="DT7">
        <f t="shared" si="28"/>
        <v>231</v>
      </c>
      <c r="DU7">
        <f t="shared" si="28"/>
        <v>232</v>
      </c>
      <c r="DV7">
        <f t="shared" si="28"/>
        <v>233</v>
      </c>
      <c r="DW7">
        <f t="shared" si="28"/>
        <v>234</v>
      </c>
      <c r="DX7">
        <f t="shared" si="28"/>
        <v>235</v>
      </c>
      <c r="DY7">
        <f t="shared" si="28"/>
        <v>236</v>
      </c>
      <c r="DZ7">
        <f t="shared" si="29"/>
        <v>237</v>
      </c>
      <c r="EA7">
        <f t="shared" si="29"/>
        <v>238</v>
      </c>
      <c r="EB7">
        <f t="shared" si="29"/>
        <v>239</v>
      </c>
      <c r="EC7">
        <f t="shared" si="29"/>
        <v>240</v>
      </c>
      <c r="ED7" t="e">
        <f t="shared" si="29"/>
        <v>#N/A</v>
      </c>
      <c r="EE7" t="e">
        <f t="shared" si="29"/>
        <v>#N/A</v>
      </c>
      <c r="EF7" t="e">
        <f t="shared" si="29"/>
        <v>#N/A</v>
      </c>
      <c r="EG7" t="e">
        <f t="shared" si="29"/>
        <v>#N/A</v>
      </c>
      <c r="EH7" t="e">
        <f t="shared" si="29"/>
        <v>#N/A</v>
      </c>
      <c r="EI7" t="e">
        <f t="shared" si="29"/>
        <v>#N/A</v>
      </c>
      <c r="EJ7" t="e">
        <f t="shared" si="29"/>
        <v>#N/A</v>
      </c>
      <c r="EK7" t="e">
        <f t="shared" si="29"/>
        <v>#N/A</v>
      </c>
      <c r="EL7" t="e">
        <f t="shared" si="29"/>
        <v>#N/A</v>
      </c>
      <c r="EM7" t="e">
        <f t="shared" si="29"/>
        <v>#N/A</v>
      </c>
    </row>
    <row r="8" spans="1:143" x14ac:dyDescent="0.4">
      <c r="A8" t="str">
        <f t="shared" si="16"/>
        <v/>
      </c>
      <c r="B8">
        <v>5</v>
      </c>
      <c r="C8" t="str" cm="1">
        <f t="array" ref="C8">INDEX(auto_Series_Code,B8)</f>
        <v>SUBINDI_002</v>
      </c>
      <c r="D8">
        <f t="shared" si="3"/>
        <v>241</v>
      </c>
      <c r="E8">
        <f t="shared" si="3"/>
        <v>242</v>
      </c>
      <c r="F8">
        <f t="shared" si="3"/>
        <v>243</v>
      </c>
      <c r="G8">
        <f t="shared" si="3"/>
        <v>244</v>
      </c>
      <c r="H8">
        <f t="shared" si="3"/>
        <v>245</v>
      </c>
      <c r="I8">
        <f t="shared" si="3"/>
        <v>246</v>
      </c>
      <c r="J8">
        <f t="shared" si="3"/>
        <v>247</v>
      </c>
      <c r="K8">
        <f t="shared" si="3"/>
        <v>248</v>
      </c>
      <c r="L8">
        <f t="shared" si="3"/>
        <v>249</v>
      </c>
      <c r="M8">
        <f t="shared" si="3"/>
        <v>250</v>
      </c>
      <c r="N8">
        <f t="shared" si="4"/>
        <v>251</v>
      </c>
      <c r="O8">
        <f t="shared" si="4"/>
        <v>252</v>
      </c>
      <c r="P8">
        <f t="shared" si="4"/>
        <v>253</v>
      </c>
      <c r="Q8">
        <f t="shared" si="4"/>
        <v>254</v>
      </c>
      <c r="R8">
        <f t="shared" si="4"/>
        <v>255</v>
      </c>
      <c r="S8">
        <f t="shared" si="4"/>
        <v>256</v>
      </c>
      <c r="T8">
        <f t="shared" si="4"/>
        <v>257</v>
      </c>
      <c r="U8">
        <f t="shared" si="4"/>
        <v>258</v>
      </c>
      <c r="V8">
        <f t="shared" si="4"/>
        <v>259</v>
      </c>
      <c r="W8">
        <f t="shared" si="4"/>
        <v>260</v>
      </c>
      <c r="X8">
        <f t="shared" si="5"/>
        <v>261</v>
      </c>
      <c r="Y8">
        <f t="shared" si="5"/>
        <v>262</v>
      </c>
      <c r="Z8">
        <f t="shared" si="5"/>
        <v>263</v>
      </c>
      <c r="AA8">
        <f t="shared" si="5"/>
        <v>264</v>
      </c>
      <c r="AB8">
        <f t="shared" si="5"/>
        <v>265</v>
      </c>
      <c r="AC8">
        <f t="shared" si="5"/>
        <v>266</v>
      </c>
      <c r="AD8">
        <f t="shared" si="5"/>
        <v>267</v>
      </c>
      <c r="AE8">
        <f t="shared" si="5"/>
        <v>268</v>
      </c>
      <c r="AF8">
        <f t="shared" si="5"/>
        <v>269</v>
      </c>
      <c r="AG8">
        <f t="shared" si="5"/>
        <v>270</v>
      </c>
      <c r="AH8">
        <f t="shared" si="6"/>
        <v>271</v>
      </c>
      <c r="AI8">
        <f t="shared" si="6"/>
        <v>272</v>
      </c>
      <c r="AJ8">
        <f t="shared" si="6"/>
        <v>273</v>
      </c>
      <c r="AK8">
        <f t="shared" si="6"/>
        <v>274</v>
      </c>
      <c r="AL8">
        <f t="shared" si="6"/>
        <v>275</v>
      </c>
      <c r="AM8">
        <f t="shared" si="6"/>
        <v>276</v>
      </c>
      <c r="AN8">
        <f t="shared" si="6"/>
        <v>277</v>
      </c>
      <c r="AO8">
        <f t="shared" si="6"/>
        <v>278</v>
      </c>
      <c r="AP8">
        <f t="shared" si="6"/>
        <v>279</v>
      </c>
      <c r="AQ8">
        <f t="shared" si="6"/>
        <v>280</v>
      </c>
      <c r="AR8">
        <f t="shared" si="7"/>
        <v>281</v>
      </c>
      <c r="AS8">
        <f t="shared" si="7"/>
        <v>282</v>
      </c>
      <c r="AT8">
        <f t="shared" si="7"/>
        <v>283</v>
      </c>
      <c r="AU8">
        <f t="shared" si="7"/>
        <v>284</v>
      </c>
      <c r="AV8">
        <f t="shared" si="7"/>
        <v>285</v>
      </c>
      <c r="AW8">
        <f t="shared" si="7"/>
        <v>286</v>
      </c>
      <c r="AX8">
        <f t="shared" si="7"/>
        <v>287</v>
      </c>
      <c r="AY8">
        <f t="shared" si="7"/>
        <v>288</v>
      </c>
      <c r="AZ8">
        <f t="shared" si="7"/>
        <v>289</v>
      </c>
      <c r="BA8">
        <f t="shared" si="7"/>
        <v>290</v>
      </c>
      <c r="BB8" t="e">
        <f t="shared" si="8"/>
        <v>#N/A</v>
      </c>
      <c r="BC8" t="e">
        <f t="shared" si="8"/>
        <v>#N/A</v>
      </c>
      <c r="BD8" t="e">
        <f t="shared" si="8"/>
        <v>#N/A</v>
      </c>
      <c r="BE8" t="e">
        <f t="shared" si="8"/>
        <v>#N/A</v>
      </c>
      <c r="BF8" t="e">
        <f t="shared" si="8"/>
        <v>#N/A</v>
      </c>
      <c r="BG8" t="e">
        <f t="shared" si="8"/>
        <v>#N/A</v>
      </c>
      <c r="BH8" t="e">
        <f t="shared" si="8"/>
        <v>#N/A</v>
      </c>
      <c r="BI8" t="e">
        <f t="shared" si="8"/>
        <v>#N/A</v>
      </c>
      <c r="BJ8" t="e">
        <f t="shared" si="8"/>
        <v>#N/A</v>
      </c>
      <c r="BK8" t="e">
        <f t="shared" si="8"/>
        <v>#N/A</v>
      </c>
      <c r="BL8" t="e">
        <f t="shared" si="9"/>
        <v>#N/A</v>
      </c>
      <c r="BM8" t="e">
        <f t="shared" si="9"/>
        <v>#N/A</v>
      </c>
      <c r="BN8" t="e">
        <f t="shared" si="9"/>
        <v>#N/A</v>
      </c>
      <c r="BO8" t="e">
        <f t="shared" si="9"/>
        <v>#N/A</v>
      </c>
      <c r="BP8" t="e">
        <f t="shared" si="9"/>
        <v>#N/A</v>
      </c>
      <c r="BQ8" t="e">
        <f t="shared" si="9"/>
        <v>#N/A</v>
      </c>
      <c r="BR8" t="e">
        <f t="shared" si="9"/>
        <v>#N/A</v>
      </c>
      <c r="BS8" t="e">
        <f t="shared" si="9"/>
        <v>#N/A</v>
      </c>
      <c r="BT8" t="e">
        <f t="shared" si="9"/>
        <v>#N/A</v>
      </c>
      <c r="BU8" t="e">
        <f t="shared" si="9"/>
        <v>#N/A</v>
      </c>
      <c r="BV8" t="e">
        <f t="shared" si="10"/>
        <v>#N/A</v>
      </c>
      <c r="BW8" t="e">
        <f t="shared" si="10"/>
        <v>#N/A</v>
      </c>
      <c r="BX8" t="e">
        <f t="shared" si="10"/>
        <v>#N/A</v>
      </c>
      <c r="BY8" t="e">
        <f t="shared" si="10"/>
        <v>#N/A</v>
      </c>
      <c r="BZ8" t="e">
        <f t="shared" si="10"/>
        <v>#N/A</v>
      </c>
      <c r="CA8" t="e">
        <f t="shared" si="10"/>
        <v>#N/A</v>
      </c>
      <c r="CB8" t="e">
        <f t="shared" si="10"/>
        <v>#N/A</v>
      </c>
      <c r="CC8" t="e">
        <f t="shared" si="10"/>
        <v>#N/A</v>
      </c>
      <c r="CD8" t="e">
        <f t="shared" si="10"/>
        <v>#N/A</v>
      </c>
      <c r="CE8" t="e">
        <f t="shared" si="10"/>
        <v>#N/A</v>
      </c>
      <c r="CF8" t="e">
        <f t="shared" si="11"/>
        <v>#N/A</v>
      </c>
      <c r="CG8" t="e">
        <f t="shared" si="11"/>
        <v>#N/A</v>
      </c>
      <c r="CH8" t="e">
        <f t="shared" si="11"/>
        <v>#N/A</v>
      </c>
      <c r="CI8" t="e">
        <f t="shared" si="11"/>
        <v>#N/A</v>
      </c>
      <c r="CJ8" t="e">
        <f t="shared" si="11"/>
        <v>#N/A</v>
      </c>
      <c r="CK8" t="e">
        <f t="shared" si="11"/>
        <v>#N/A</v>
      </c>
      <c r="CL8" t="e">
        <f t="shared" si="11"/>
        <v>#N/A</v>
      </c>
      <c r="CM8" t="e">
        <f t="shared" si="11"/>
        <v>#N/A</v>
      </c>
      <c r="CN8" t="e">
        <f t="shared" si="11"/>
        <v>#N/A</v>
      </c>
      <c r="CO8" t="e">
        <f t="shared" si="11"/>
        <v>#N/A</v>
      </c>
      <c r="CP8" t="e">
        <f t="shared" si="12"/>
        <v>#N/A</v>
      </c>
      <c r="CQ8" t="e">
        <f t="shared" si="12"/>
        <v>#N/A</v>
      </c>
      <c r="CR8" t="e">
        <f t="shared" si="12"/>
        <v>#N/A</v>
      </c>
      <c r="CS8" t="e">
        <f t="shared" si="12"/>
        <v>#N/A</v>
      </c>
      <c r="CT8" t="e">
        <f t="shared" si="12"/>
        <v>#N/A</v>
      </c>
      <c r="CU8" t="e">
        <f t="shared" si="12"/>
        <v>#N/A</v>
      </c>
      <c r="CV8" t="e">
        <f t="shared" si="12"/>
        <v>#N/A</v>
      </c>
      <c r="CW8" t="e">
        <f t="shared" si="12"/>
        <v>#N/A</v>
      </c>
      <c r="CX8" t="e">
        <f t="shared" si="12"/>
        <v>#N/A</v>
      </c>
      <c r="CY8" t="e">
        <f t="shared" si="12"/>
        <v>#N/A</v>
      </c>
      <c r="CZ8" t="e">
        <f t="shared" si="13"/>
        <v>#N/A</v>
      </c>
      <c r="DA8" t="e">
        <f t="shared" si="13"/>
        <v>#N/A</v>
      </c>
      <c r="DB8" t="e">
        <f t="shared" si="13"/>
        <v>#N/A</v>
      </c>
      <c r="DC8" t="e">
        <f t="shared" si="13"/>
        <v>#N/A</v>
      </c>
      <c r="DD8" t="e">
        <f t="shared" si="13"/>
        <v>#N/A</v>
      </c>
      <c r="DE8" t="e">
        <f t="shared" si="13"/>
        <v>#N/A</v>
      </c>
      <c r="DF8" t="e">
        <f t="shared" si="13"/>
        <v>#N/A</v>
      </c>
      <c r="DG8" t="e">
        <f t="shared" si="13"/>
        <v>#N/A</v>
      </c>
      <c r="DH8" t="e">
        <f t="shared" si="13"/>
        <v>#N/A</v>
      </c>
      <c r="DI8" t="e">
        <f t="shared" si="13"/>
        <v>#N/A</v>
      </c>
      <c r="DJ8" t="e">
        <f t="shared" si="14"/>
        <v>#N/A</v>
      </c>
      <c r="DK8" t="e">
        <f t="shared" si="14"/>
        <v>#N/A</v>
      </c>
      <c r="DL8" t="e">
        <f t="shared" si="14"/>
        <v>#N/A</v>
      </c>
      <c r="DM8" t="e">
        <f t="shared" si="14"/>
        <v>#N/A</v>
      </c>
      <c r="DN8" t="e">
        <f t="shared" si="14"/>
        <v>#N/A</v>
      </c>
      <c r="DO8" t="e">
        <f t="shared" si="14"/>
        <v>#N/A</v>
      </c>
      <c r="DP8" t="e">
        <f t="shared" si="14"/>
        <v>#N/A</v>
      </c>
      <c r="DQ8" t="e">
        <f t="shared" si="14"/>
        <v>#N/A</v>
      </c>
      <c r="DR8" t="e">
        <f t="shared" si="14"/>
        <v>#N/A</v>
      </c>
      <c r="DS8" t="e">
        <f t="shared" si="14"/>
        <v>#N/A</v>
      </c>
      <c r="DT8">
        <f t="shared" si="14"/>
        <v>291</v>
      </c>
      <c r="DU8">
        <f t="shared" si="14"/>
        <v>292</v>
      </c>
      <c r="DV8">
        <f t="shared" si="14"/>
        <v>293</v>
      </c>
      <c r="DW8">
        <f t="shared" si="14"/>
        <v>294</v>
      </c>
      <c r="DX8">
        <f t="shared" si="14"/>
        <v>295</v>
      </c>
      <c r="DY8">
        <f t="shared" si="14"/>
        <v>296</v>
      </c>
      <c r="DZ8">
        <f t="shared" si="15"/>
        <v>297</v>
      </c>
      <c r="EA8">
        <f t="shared" si="15"/>
        <v>298</v>
      </c>
      <c r="EB8">
        <f t="shared" si="15"/>
        <v>299</v>
      </c>
      <c r="EC8">
        <f t="shared" si="15"/>
        <v>300</v>
      </c>
      <c r="ED8" t="e">
        <f t="shared" si="15"/>
        <v>#N/A</v>
      </c>
      <c r="EE8" t="e">
        <f t="shared" si="15"/>
        <v>#N/A</v>
      </c>
      <c r="EF8" t="e">
        <f t="shared" si="15"/>
        <v>#N/A</v>
      </c>
      <c r="EG8" t="e">
        <f t="shared" si="15"/>
        <v>#N/A</v>
      </c>
      <c r="EH8" t="e">
        <f t="shared" si="15"/>
        <v>#N/A</v>
      </c>
      <c r="EI8" t="e">
        <f t="shared" si="15"/>
        <v>#N/A</v>
      </c>
      <c r="EJ8" t="e">
        <f t="shared" si="15"/>
        <v>#N/A</v>
      </c>
      <c r="EK8" t="e">
        <f t="shared" si="15"/>
        <v>#N/A</v>
      </c>
      <c r="EL8" t="e">
        <f t="shared" si="15"/>
        <v>#N/A</v>
      </c>
      <c r="EM8" t="e">
        <f t="shared" si="15"/>
        <v>#N/A</v>
      </c>
    </row>
    <row r="9" spans="1:143" x14ac:dyDescent="0.4">
      <c r="A9" t="str">
        <f t="shared" si="16"/>
        <v/>
      </c>
      <c r="B9">
        <v>6</v>
      </c>
      <c r="C9" t="str" cm="1">
        <f t="array" ref="C9">INDEX(auto_Series_Code,B9)</f>
        <v>INDI_002</v>
      </c>
      <c r="D9">
        <f t="shared" si="17"/>
        <v>301</v>
      </c>
      <c r="E9">
        <f t="shared" si="17"/>
        <v>302</v>
      </c>
      <c r="F9">
        <f t="shared" si="17"/>
        <v>303</v>
      </c>
      <c r="G9">
        <f t="shared" si="17"/>
        <v>304</v>
      </c>
      <c r="H9">
        <f t="shared" si="17"/>
        <v>305</v>
      </c>
      <c r="I9">
        <f t="shared" si="17"/>
        <v>306</v>
      </c>
      <c r="J9">
        <f t="shared" si="17"/>
        <v>307</v>
      </c>
      <c r="K9">
        <f t="shared" si="17"/>
        <v>308</v>
      </c>
      <c r="L9">
        <f t="shared" si="17"/>
        <v>309</v>
      </c>
      <c r="M9">
        <f t="shared" si="17"/>
        <v>310</v>
      </c>
      <c r="N9">
        <f t="shared" si="18"/>
        <v>311</v>
      </c>
      <c r="O9">
        <f t="shared" si="18"/>
        <v>312</v>
      </c>
      <c r="P9">
        <f t="shared" si="18"/>
        <v>313</v>
      </c>
      <c r="Q9">
        <f t="shared" si="18"/>
        <v>314</v>
      </c>
      <c r="R9">
        <f t="shared" si="18"/>
        <v>315</v>
      </c>
      <c r="S9">
        <f t="shared" si="18"/>
        <v>316</v>
      </c>
      <c r="T9">
        <f t="shared" si="18"/>
        <v>317</v>
      </c>
      <c r="U9">
        <f t="shared" si="18"/>
        <v>318</v>
      </c>
      <c r="V9">
        <f t="shared" si="18"/>
        <v>319</v>
      </c>
      <c r="W9">
        <f t="shared" si="18"/>
        <v>320</v>
      </c>
      <c r="X9">
        <f t="shared" si="19"/>
        <v>321</v>
      </c>
      <c r="Y9">
        <f t="shared" si="19"/>
        <v>322</v>
      </c>
      <c r="Z9">
        <f t="shared" si="19"/>
        <v>323</v>
      </c>
      <c r="AA9">
        <f t="shared" si="19"/>
        <v>324</v>
      </c>
      <c r="AB9">
        <f t="shared" si="19"/>
        <v>325</v>
      </c>
      <c r="AC9">
        <f t="shared" si="19"/>
        <v>326</v>
      </c>
      <c r="AD9">
        <f t="shared" si="19"/>
        <v>327</v>
      </c>
      <c r="AE9">
        <f t="shared" si="19"/>
        <v>328</v>
      </c>
      <c r="AF9">
        <f t="shared" si="19"/>
        <v>329</v>
      </c>
      <c r="AG9">
        <f t="shared" si="19"/>
        <v>330</v>
      </c>
      <c r="AH9">
        <f t="shared" si="20"/>
        <v>331</v>
      </c>
      <c r="AI9">
        <f t="shared" si="20"/>
        <v>332</v>
      </c>
      <c r="AJ9">
        <f t="shared" si="20"/>
        <v>333</v>
      </c>
      <c r="AK9">
        <f t="shared" si="20"/>
        <v>334</v>
      </c>
      <c r="AL9">
        <f t="shared" si="20"/>
        <v>335</v>
      </c>
      <c r="AM9">
        <f t="shared" si="20"/>
        <v>336</v>
      </c>
      <c r="AN9">
        <f t="shared" si="20"/>
        <v>337</v>
      </c>
      <c r="AO9">
        <f t="shared" si="20"/>
        <v>338</v>
      </c>
      <c r="AP9">
        <f t="shared" si="20"/>
        <v>339</v>
      </c>
      <c r="AQ9">
        <f t="shared" si="20"/>
        <v>340</v>
      </c>
      <c r="AR9">
        <f t="shared" si="21"/>
        <v>341</v>
      </c>
      <c r="AS9">
        <f t="shared" si="21"/>
        <v>342</v>
      </c>
      <c r="AT9">
        <f t="shared" si="21"/>
        <v>343</v>
      </c>
      <c r="AU9">
        <f t="shared" si="21"/>
        <v>344</v>
      </c>
      <c r="AV9">
        <f t="shared" si="21"/>
        <v>345</v>
      </c>
      <c r="AW9">
        <f t="shared" si="21"/>
        <v>346</v>
      </c>
      <c r="AX9">
        <f t="shared" si="21"/>
        <v>347</v>
      </c>
      <c r="AY9">
        <f t="shared" si="21"/>
        <v>348</v>
      </c>
      <c r="AZ9">
        <f t="shared" si="21"/>
        <v>349</v>
      </c>
      <c r="BA9">
        <f t="shared" si="21"/>
        <v>350</v>
      </c>
      <c r="BB9" t="e">
        <f t="shared" si="22"/>
        <v>#N/A</v>
      </c>
      <c r="BC9" t="e">
        <f t="shared" si="22"/>
        <v>#N/A</v>
      </c>
      <c r="BD9" t="e">
        <f t="shared" si="22"/>
        <v>#N/A</v>
      </c>
      <c r="BE9" t="e">
        <f t="shared" si="22"/>
        <v>#N/A</v>
      </c>
      <c r="BF9" t="e">
        <f t="shared" si="22"/>
        <v>#N/A</v>
      </c>
      <c r="BG9" t="e">
        <f t="shared" si="22"/>
        <v>#N/A</v>
      </c>
      <c r="BH9" t="e">
        <f t="shared" si="22"/>
        <v>#N/A</v>
      </c>
      <c r="BI9" t="e">
        <f t="shared" si="22"/>
        <v>#N/A</v>
      </c>
      <c r="BJ9" t="e">
        <f t="shared" si="22"/>
        <v>#N/A</v>
      </c>
      <c r="BK9" t="e">
        <f t="shared" si="22"/>
        <v>#N/A</v>
      </c>
      <c r="BL9" t="e">
        <f t="shared" si="23"/>
        <v>#N/A</v>
      </c>
      <c r="BM9" t="e">
        <f t="shared" si="23"/>
        <v>#N/A</v>
      </c>
      <c r="BN9" t="e">
        <f t="shared" si="23"/>
        <v>#N/A</v>
      </c>
      <c r="BO9" t="e">
        <f t="shared" si="23"/>
        <v>#N/A</v>
      </c>
      <c r="BP9" t="e">
        <f t="shared" si="23"/>
        <v>#N/A</v>
      </c>
      <c r="BQ9" t="e">
        <f t="shared" si="23"/>
        <v>#N/A</v>
      </c>
      <c r="BR9" t="e">
        <f t="shared" si="23"/>
        <v>#N/A</v>
      </c>
      <c r="BS9" t="e">
        <f t="shared" si="23"/>
        <v>#N/A</v>
      </c>
      <c r="BT9" t="e">
        <f t="shared" si="23"/>
        <v>#N/A</v>
      </c>
      <c r="BU9" t="e">
        <f t="shared" si="23"/>
        <v>#N/A</v>
      </c>
      <c r="BV9" t="e">
        <f t="shared" si="24"/>
        <v>#N/A</v>
      </c>
      <c r="BW9" t="e">
        <f t="shared" si="24"/>
        <v>#N/A</v>
      </c>
      <c r="BX9" t="e">
        <f t="shared" si="24"/>
        <v>#N/A</v>
      </c>
      <c r="BY9" t="e">
        <f t="shared" si="24"/>
        <v>#N/A</v>
      </c>
      <c r="BZ9" t="e">
        <f t="shared" si="24"/>
        <v>#N/A</v>
      </c>
      <c r="CA9" t="e">
        <f t="shared" si="24"/>
        <v>#N/A</v>
      </c>
      <c r="CB9" t="e">
        <f t="shared" si="24"/>
        <v>#N/A</v>
      </c>
      <c r="CC9" t="e">
        <f t="shared" si="24"/>
        <v>#N/A</v>
      </c>
      <c r="CD9" t="e">
        <f t="shared" si="24"/>
        <v>#N/A</v>
      </c>
      <c r="CE9" t="e">
        <f t="shared" si="24"/>
        <v>#N/A</v>
      </c>
      <c r="CF9" t="e">
        <f t="shared" si="25"/>
        <v>#N/A</v>
      </c>
      <c r="CG9" t="e">
        <f t="shared" si="25"/>
        <v>#N/A</v>
      </c>
      <c r="CH9" t="e">
        <f t="shared" si="25"/>
        <v>#N/A</v>
      </c>
      <c r="CI9" t="e">
        <f t="shared" si="25"/>
        <v>#N/A</v>
      </c>
      <c r="CJ9" t="e">
        <f t="shared" si="25"/>
        <v>#N/A</v>
      </c>
      <c r="CK9" t="e">
        <f t="shared" si="25"/>
        <v>#N/A</v>
      </c>
      <c r="CL9" t="e">
        <f t="shared" si="25"/>
        <v>#N/A</v>
      </c>
      <c r="CM9" t="e">
        <f t="shared" si="25"/>
        <v>#N/A</v>
      </c>
      <c r="CN9" t="e">
        <f t="shared" si="25"/>
        <v>#N/A</v>
      </c>
      <c r="CO9" t="e">
        <f t="shared" si="25"/>
        <v>#N/A</v>
      </c>
      <c r="CP9" t="e">
        <f t="shared" si="26"/>
        <v>#N/A</v>
      </c>
      <c r="CQ9" t="e">
        <f t="shared" si="26"/>
        <v>#N/A</v>
      </c>
      <c r="CR9" t="e">
        <f t="shared" si="26"/>
        <v>#N/A</v>
      </c>
      <c r="CS9" t="e">
        <f t="shared" si="26"/>
        <v>#N/A</v>
      </c>
      <c r="CT9" t="e">
        <f t="shared" si="26"/>
        <v>#N/A</v>
      </c>
      <c r="CU9" t="e">
        <f t="shared" si="26"/>
        <v>#N/A</v>
      </c>
      <c r="CV9" t="e">
        <f t="shared" si="26"/>
        <v>#N/A</v>
      </c>
      <c r="CW9" t="e">
        <f t="shared" si="26"/>
        <v>#N/A</v>
      </c>
      <c r="CX9" t="e">
        <f t="shared" si="26"/>
        <v>#N/A</v>
      </c>
      <c r="CY9" t="e">
        <f t="shared" si="26"/>
        <v>#N/A</v>
      </c>
      <c r="CZ9" t="e">
        <f t="shared" si="27"/>
        <v>#N/A</v>
      </c>
      <c r="DA9" t="e">
        <f t="shared" si="27"/>
        <v>#N/A</v>
      </c>
      <c r="DB9" t="e">
        <f t="shared" si="27"/>
        <v>#N/A</v>
      </c>
      <c r="DC9" t="e">
        <f t="shared" si="27"/>
        <v>#N/A</v>
      </c>
      <c r="DD9" t="e">
        <f t="shared" si="27"/>
        <v>#N/A</v>
      </c>
      <c r="DE9" t="e">
        <f t="shared" si="27"/>
        <v>#N/A</v>
      </c>
      <c r="DF9" t="e">
        <f t="shared" si="27"/>
        <v>#N/A</v>
      </c>
      <c r="DG9" t="e">
        <f t="shared" si="27"/>
        <v>#N/A</v>
      </c>
      <c r="DH9" t="e">
        <f t="shared" si="27"/>
        <v>#N/A</v>
      </c>
      <c r="DI9" t="e">
        <f t="shared" si="27"/>
        <v>#N/A</v>
      </c>
      <c r="DJ9" t="e">
        <f t="shared" si="28"/>
        <v>#N/A</v>
      </c>
      <c r="DK9" t="e">
        <f t="shared" si="28"/>
        <v>#N/A</v>
      </c>
      <c r="DL9" t="e">
        <f t="shared" si="28"/>
        <v>#N/A</v>
      </c>
      <c r="DM9" t="e">
        <f t="shared" si="28"/>
        <v>#N/A</v>
      </c>
      <c r="DN9" t="e">
        <f t="shared" si="28"/>
        <v>#N/A</v>
      </c>
      <c r="DO9" t="e">
        <f t="shared" si="28"/>
        <v>#N/A</v>
      </c>
      <c r="DP9" t="e">
        <f t="shared" si="28"/>
        <v>#N/A</v>
      </c>
      <c r="DQ9" t="e">
        <f t="shared" si="28"/>
        <v>#N/A</v>
      </c>
      <c r="DR9" t="e">
        <f t="shared" si="28"/>
        <v>#N/A</v>
      </c>
      <c r="DS9" t="e">
        <f t="shared" si="28"/>
        <v>#N/A</v>
      </c>
      <c r="DT9">
        <f t="shared" si="28"/>
        <v>351</v>
      </c>
      <c r="DU9">
        <f t="shared" si="28"/>
        <v>352</v>
      </c>
      <c r="DV9">
        <f t="shared" si="28"/>
        <v>353</v>
      </c>
      <c r="DW9">
        <f t="shared" si="28"/>
        <v>354</v>
      </c>
      <c r="DX9">
        <f t="shared" si="28"/>
        <v>355</v>
      </c>
      <c r="DY9">
        <f t="shared" si="28"/>
        <v>356</v>
      </c>
      <c r="DZ9">
        <f t="shared" si="29"/>
        <v>357</v>
      </c>
      <c r="EA9">
        <f t="shared" si="29"/>
        <v>358</v>
      </c>
      <c r="EB9">
        <f t="shared" si="29"/>
        <v>359</v>
      </c>
      <c r="EC9">
        <f t="shared" si="29"/>
        <v>360</v>
      </c>
      <c r="ED9" t="e">
        <f t="shared" si="29"/>
        <v>#N/A</v>
      </c>
      <c r="EE9" t="e">
        <f t="shared" si="29"/>
        <v>#N/A</v>
      </c>
      <c r="EF9" t="e">
        <f t="shared" si="29"/>
        <v>#N/A</v>
      </c>
      <c r="EG9" t="e">
        <f t="shared" si="29"/>
        <v>#N/A</v>
      </c>
      <c r="EH9" t="e">
        <f t="shared" si="29"/>
        <v>#N/A</v>
      </c>
      <c r="EI9" t="e">
        <f t="shared" si="29"/>
        <v>#N/A</v>
      </c>
      <c r="EJ9" t="e">
        <f t="shared" si="29"/>
        <v>#N/A</v>
      </c>
      <c r="EK9" t="e">
        <f t="shared" si="29"/>
        <v>#N/A</v>
      </c>
      <c r="EL9" t="e">
        <f t="shared" si="29"/>
        <v>#N/A</v>
      </c>
      <c r="EM9" t="e">
        <f t="shared" si="29"/>
        <v>#N/A</v>
      </c>
    </row>
    <row r="10" spans="1:143" x14ac:dyDescent="0.4">
      <c r="A10" t="str">
        <f t="shared" si="16"/>
        <v/>
      </c>
      <c r="B10">
        <v>7</v>
      </c>
      <c r="C10" t="str" cm="1">
        <f t="array" ref="C10">INDEX(auto_Series_Code,B10)</f>
        <v>SUBINDI_003</v>
      </c>
      <c r="D10">
        <f t="shared" si="3"/>
        <v>361</v>
      </c>
      <c r="E10">
        <f t="shared" si="3"/>
        <v>362</v>
      </c>
      <c r="F10">
        <f t="shared" si="3"/>
        <v>363</v>
      </c>
      <c r="G10">
        <f t="shared" si="3"/>
        <v>364</v>
      </c>
      <c r="H10">
        <f t="shared" si="3"/>
        <v>365</v>
      </c>
      <c r="I10">
        <f t="shared" si="3"/>
        <v>366</v>
      </c>
      <c r="J10">
        <f t="shared" si="3"/>
        <v>367</v>
      </c>
      <c r="K10">
        <f t="shared" si="3"/>
        <v>368</v>
      </c>
      <c r="L10">
        <f t="shared" si="3"/>
        <v>369</v>
      </c>
      <c r="M10">
        <f t="shared" si="3"/>
        <v>370</v>
      </c>
      <c r="N10">
        <f t="shared" si="4"/>
        <v>371</v>
      </c>
      <c r="O10">
        <f t="shared" si="4"/>
        <v>372</v>
      </c>
      <c r="P10">
        <f t="shared" si="4"/>
        <v>373</v>
      </c>
      <c r="Q10">
        <f t="shared" si="4"/>
        <v>374</v>
      </c>
      <c r="R10">
        <f t="shared" si="4"/>
        <v>375</v>
      </c>
      <c r="S10">
        <f t="shared" si="4"/>
        <v>376</v>
      </c>
      <c r="T10">
        <f t="shared" si="4"/>
        <v>377</v>
      </c>
      <c r="U10">
        <f t="shared" si="4"/>
        <v>378</v>
      </c>
      <c r="V10">
        <f t="shared" si="4"/>
        <v>379</v>
      </c>
      <c r="W10">
        <f t="shared" si="4"/>
        <v>380</v>
      </c>
      <c r="X10">
        <f t="shared" si="5"/>
        <v>381</v>
      </c>
      <c r="Y10">
        <f t="shared" si="5"/>
        <v>382</v>
      </c>
      <c r="Z10">
        <f t="shared" si="5"/>
        <v>383</v>
      </c>
      <c r="AA10">
        <f t="shared" si="5"/>
        <v>384</v>
      </c>
      <c r="AB10">
        <f t="shared" si="5"/>
        <v>385</v>
      </c>
      <c r="AC10">
        <f t="shared" si="5"/>
        <v>386</v>
      </c>
      <c r="AD10">
        <f t="shared" si="5"/>
        <v>387</v>
      </c>
      <c r="AE10">
        <f t="shared" si="5"/>
        <v>388</v>
      </c>
      <c r="AF10">
        <f t="shared" si="5"/>
        <v>389</v>
      </c>
      <c r="AG10">
        <f t="shared" si="5"/>
        <v>390</v>
      </c>
      <c r="AH10">
        <f t="shared" si="6"/>
        <v>391</v>
      </c>
      <c r="AI10">
        <f t="shared" si="6"/>
        <v>392</v>
      </c>
      <c r="AJ10">
        <f t="shared" si="6"/>
        <v>393</v>
      </c>
      <c r="AK10">
        <f t="shared" si="6"/>
        <v>394</v>
      </c>
      <c r="AL10">
        <f t="shared" si="6"/>
        <v>395</v>
      </c>
      <c r="AM10">
        <f t="shared" si="6"/>
        <v>396</v>
      </c>
      <c r="AN10">
        <f t="shared" si="6"/>
        <v>397</v>
      </c>
      <c r="AO10">
        <f t="shared" si="6"/>
        <v>398</v>
      </c>
      <c r="AP10">
        <f t="shared" si="6"/>
        <v>399</v>
      </c>
      <c r="AQ10">
        <f t="shared" si="6"/>
        <v>400</v>
      </c>
      <c r="AR10">
        <f t="shared" si="7"/>
        <v>401</v>
      </c>
      <c r="AS10">
        <f t="shared" si="7"/>
        <v>402</v>
      </c>
      <c r="AT10">
        <f t="shared" si="7"/>
        <v>403</v>
      </c>
      <c r="AU10">
        <f t="shared" si="7"/>
        <v>404</v>
      </c>
      <c r="AV10">
        <f t="shared" si="7"/>
        <v>405</v>
      </c>
      <c r="AW10">
        <f t="shared" si="7"/>
        <v>406</v>
      </c>
      <c r="AX10">
        <f t="shared" si="7"/>
        <v>407</v>
      </c>
      <c r="AY10">
        <f t="shared" si="7"/>
        <v>408</v>
      </c>
      <c r="AZ10">
        <f t="shared" si="7"/>
        <v>409</v>
      </c>
      <c r="BA10">
        <f t="shared" si="7"/>
        <v>410</v>
      </c>
      <c r="BB10" t="e">
        <f t="shared" si="8"/>
        <v>#N/A</v>
      </c>
      <c r="BC10" t="e">
        <f t="shared" si="8"/>
        <v>#N/A</v>
      </c>
      <c r="BD10" t="e">
        <f t="shared" si="8"/>
        <v>#N/A</v>
      </c>
      <c r="BE10" t="e">
        <f t="shared" si="8"/>
        <v>#N/A</v>
      </c>
      <c r="BF10" t="e">
        <f t="shared" si="8"/>
        <v>#N/A</v>
      </c>
      <c r="BG10" t="e">
        <f t="shared" si="8"/>
        <v>#N/A</v>
      </c>
      <c r="BH10" t="e">
        <f t="shared" si="8"/>
        <v>#N/A</v>
      </c>
      <c r="BI10" t="e">
        <f t="shared" si="8"/>
        <v>#N/A</v>
      </c>
      <c r="BJ10" t="e">
        <f t="shared" si="8"/>
        <v>#N/A</v>
      </c>
      <c r="BK10" t="e">
        <f t="shared" si="8"/>
        <v>#N/A</v>
      </c>
      <c r="BL10" t="e">
        <f t="shared" si="9"/>
        <v>#N/A</v>
      </c>
      <c r="BM10" t="e">
        <f t="shared" si="9"/>
        <v>#N/A</v>
      </c>
      <c r="BN10" t="e">
        <f t="shared" si="9"/>
        <v>#N/A</v>
      </c>
      <c r="BO10" t="e">
        <f t="shared" si="9"/>
        <v>#N/A</v>
      </c>
      <c r="BP10" t="e">
        <f t="shared" si="9"/>
        <v>#N/A</v>
      </c>
      <c r="BQ10" t="e">
        <f t="shared" si="9"/>
        <v>#N/A</v>
      </c>
      <c r="BR10" t="e">
        <f t="shared" si="9"/>
        <v>#N/A</v>
      </c>
      <c r="BS10" t="e">
        <f t="shared" si="9"/>
        <v>#N/A</v>
      </c>
      <c r="BT10" t="e">
        <f t="shared" si="9"/>
        <v>#N/A</v>
      </c>
      <c r="BU10" t="e">
        <f t="shared" si="9"/>
        <v>#N/A</v>
      </c>
      <c r="BV10" t="e">
        <f t="shared" si="10"/>
        <v>#N/A</v>
      </c>
      <c r="BW10" t="e">
        <f t="shared" si="10"/>
        <v>#N/A</v>
      </c>
      <c r="BX10" t="e">
        <f t="shared" si="10"/>
        <v>#N/A</v>
      </c>
      <c r="BY10" t="e">
        <f t="shared" si="10"/>
        <v>#N/A</v>
      </c>
      <c r="BZ10" t="e">
        <f t="shared" si="10"/>
        <v>#N/A</v>
      </c>
      <c r="CA10" t="e">
        <f t="shared" si="10"/>
        <v>#N/A</v>
      </c>
      <c r="CB10" t="e">
        <f t="shared" si="10"/>
        <v>#N/A</v>
      </c>
      <c r="CC10" t="e">
        <f t="shared" si="10"/>
        <v>#N/A</v>
      </c>
      <c r="CD10" t="e">
        <f t="shared" si="10"/>
        <v>#N/A</v>
      </c>
      <c r="CE10" t="e">
        <f t="shared" si="10"/>
        <v>#N/A</v>
      </c>
      <c r="CF10" t="e">
        <f t="shared" si="11"/>
        <v>#N/A</v>
      </c>
      <c r="CG10" t="e">
        <f t="shared" si="11"/>
        <v>#N/A</v>
      </c>
      <c r="CH10" t="e">
        <f t="shared" si="11"/>
        <v>#N/A</v>
      </c>
      <c r="CI10" t="e">
        <f t="shared" si="11"/>
        <v>#N/A</v>
      </c>
      <c r="CJ10" t="e">
        <f t="shared" si="11"/>
        <v>#N/A</v>
      </c>
      <c r="CK10" t="e">
        <f t="shared" si="11"/>
        <v>#N/A</v>
      </c>
      <c r="CL10" t="e">
        <f t="shared" si="11"/>
        <v>#N/A</v>
      </c>
      <c r="CM10" t="e">
        <f t="shared" si="11"/>
        <v>#N/A</v>
      </c>
      <c r="CN10" t="e">
        <f t="shared" si="11"/>
        <v>#N/A</v>
      </c>
      <c r="CO10" t="e">
        <f t="shared" si="11"/>
        <v>#N/A</v>
      </c>
      <c r="CP10" t="e">
        <f t="shared" si="12"/>
        <v>#N/A</v>
      </c>
      <c r="CQ10" t="e">
        <f t="shared" si="12"/>
        <v>#N/A</v>
      </c>
      <c r="CR10" t="e">
        <f t="shared" si="12"/>
        <v>#N/A</v>
      </c>
      <c r="CS10" t="e">
        <f t="shared" si="12"/>
        <v>#N/A</v>
      </c>
      <c r="CT10" t="e">
        <f t="shared" si="12"/>
        <v>#N/A</v>
      </c>
      <c r="CU10" t="e">
        <f t="shared" si="12"/>
        <v>#N/A</v>
      </c>
      <c r="CV10" t="e">
        <f t="shared" si="12"/>
        <v>#N/A</v>
      </c>
      <c r="CW10" t="e">
        <f t="shared" si="12"/>
        <v>#N/A</v>
      </c>
      <c r="CX10" t="e">
        <f t="shared" si="12"/>
        <v>#N/A</v>
      </c>
      <c r="CY10" t="e">
        <f t="shared" si="12"/>
        <v>#N/A</v>
      </c>
      <c r="CZ10" t="e">
        <f t="shared" si="13"/>
        <v>#N/A</v>
      </c>
      <c r="DA10" t="e">
        <f t="shared" si="13"/>
        <v>#N/A</v>
      </c>
      <c r="DB10" t="e">
        <f t="shared" si="13"/>
        <v>#N/A</v>
      </c>
      <c r="DC10" t="e">
        <f t="shared" si="13"/>
        <v>#N/A</v>
      </c>
      <c r="DD10" t="e">
        <f t="shared" si="13"/>
        <v>#N/A</v>
      </c>
      <c r="DE10" t="e">
        <f t="shared" si="13"/>
        <v>#N/A</v>
      </c>
      <c r="DF10" t="e">
        <f t="shared" si="13"/>
        <v>#N/A</v>
      </c>
      <c r="DG10" t="e">
        <f t="shared" si="13"/>
        <v>#N/A</v>
      </c>
      <c r="DH10" t="e">
        <f t="shared" si="13"/>
        <v>#N/A</v>
      </c>
      <c r="DI10" t="e">
        <f t="shared" si="13"/>
        <v>#N/A</v>
      </c>
      <c r="DJ10" t="e">
        <f t="shared" si="14"/>
        <v>#N/A</v>
      </c>
      <c r="DK10" t="e">
        <f t="shared" si="14"/>
        <v>#N/A</v>
      </c>
      <c r="DL10" t="e">
        <f t="shared" si="14"/>
        <v>#N/A</v>
      </c>
      <c r="DM10" t="e">
        <f t="shared" si="14"/>
        <v>#N/A</v>
      </c>
      <c r="DN10" t="e">
        <f t="shared" si="14"/>
        <v>#N/A</v>
      </c>
      <c r="DO10" t="e">
        <f t="shared" si="14"/>
        <v>#N/A</v>
      </c>
      <c r="DP10" t="e">
        <f t="shared" si="14"/>
        <v>#N/A</v>
      </c>
      <c r="DQ10" t="e">
        <f t="shared" si="14"/>
        <v>#N/A</v>
      </c>
      <c r="DR10" t="e">
        <f t="shared" si="14"/>
        <v>#N/A</v>
      </c>
      <c r="DS10" t="e">
        <f t="shared" si="14"/>
        <v>#N/A</v>
      </c>
      <c r="DT10">
        <f t="shared" si="14"/>
        <v>411</v>
      </c>
      <c r="DU10">
        <f t="shared" si="14"/>
        <v>412</v>
      </c>
      <c r="DV10">
        <f t="shared" si="14"/>
        <v>413</v>
      </c>
      <c r="DW10">
        <f t="shared" si="14"/>
        <v>414</v>
      </c>
      <c r="DX10">
        <f t="shared" si="14"/>
        <v>415</v>
      </c>
      <c r="DY10">
        <f t="shared" si="14"/>
        <v>416</v>
      </c>
      <c r="DZ10">
        <f t="shared" si="15"/>
        <v>417</v>
      </c>
      <c r="EA10">
        <f t="shared" si="15"/>
        <v>418</v>
      </c>
      <c r="EB10">
        <f t="shared" si="15"/>
        <v>419</v>
      </c>
      <c r="EC10">
        <f t="shared" si="15"/>
        <v>420</v>
      </c>
      <c r="ED10" t="e">
        <f t="shared" si="15"/>
        <v>#N/A</v>
      </c>
      <c r="EE10" t="e">
        <f t="shared" si="15"/>
        <v>#N/A</v>
      </c>
      <c r="EF10" t="e">
        <f t="shared" si="15"/>
        <v>#N/A</v>
      </c>
      <c r="EG10" t="e">
        <f t="shared" si="15"/>
        <v>#N/A</v>
      </c>
      <c r="EH10" t="e">
        <f t="shared" si="15"/>
        <v>#N/A</v>
      </c>
      <c r="EI10" t="e">
        <f t="shared" si="15"/>
        <v>#N/A</v>
      </c>
      <c r="EJ10" t="e">
        <f t="shared" si="15"/>
        <v>#N/A</v>
      </c>
      <c r="EK10" t="e">
        <f t="shared" si="15"/>
        <v>#N/A</v>
      </c>
      <c r="EL10" t="e">
        <f t="shared" si="15"/>
        <v>#N/A</v>
      </c>
      <c r="EM10" t="e">
        <f t="shared" si="15"/>
        <v>#N/A</v>
      </c>
    </row>
    <row r="11" spans="1:143" x14ac:dyDescent="0.4">
      <c r="A11" t="str">
        <f t="shared" si="16"/>
        <v/>
      </c>
      <c r="B11">
        <v>8</v>
      </c>
      <c r="C11" t="str" cm="1">
        <f t="array" ref="C11">INDEX(auto_Series_Code,B11)</f>
        <v>SUBINDI_004</v>
      </c>
      <c r="D11">
        <f t="shared" si="17"/>
        <v>421</v>
      </c>
      <c r="E11">
        <f t="shared" si="17"/>
        <v>422</v>
      </c>
      <c r="F11">
        <f t="shared" si="17"/>
        <v>423</v>
      </c>
      <c r="G11">
        <f t="shared" si="17"/>
        <v>424</v>
      </c>
      <c r="H11">
        <f t="shared" si="17"/>
        <v>425</v>
      </c>
      <c r="I11">
        <f t="shared" si="17"/>
        <v>426</v>
      </c>
      <c r="J11">
        <f t="shared" si="17"/>
        <v>427</v>
      </c>
      <c r="K11">
        <f t="shared" si="17"/>
        <v>428</v>
      </c>
      <c r="L11">
        <f t="shared" si="17"/>
        <v>429</v>
      </c>
      <c r="M11">
        <f t="shared" si="17"/>
        <v>430</v>
      </c>
      <c r="N11">
        <f t="shared" si="18"/>
        <v>431</v>
      </c>
      <c r="O11">
        <f t="shared" si="18"/>
        <v>432</v>
      </c>
      <c r="P11">
        <f t="shared" si="18"/>
        <v>433</v>
      </c>
      <c r="Q11">
        <f t="shared" si="18"/>
        <v>434</v>
      </c>
      <c r="R11">
        <f t="shared" si="18"/>
        <v>435</v>
      </c>
      <c r="S11">
        <f t="shared" si="18"/>
        <v>436</v>
      </c>
      <c r="T11">
        <f t="shared" si="18"/>
        <v>437</v>
      </c>
      <c r="U11">
        <f t="shared" si="18"/>
        <v>438</v>
      </c>
      <c r="V11">
        <f t="shared" si="18"/>
        <v>439</v>
      </c>
      <c r="W11">
        <f t="shared" si="18"/>
        <v>440</v>
      </c>
      <c r="X11">
        <f t="shared" si="19"/>
        <v>441</v>
      </c>
      <c r="Y11">
        <f t="shared" si="19"/>
        <v>442</v>
      </c>
      <c r="Z11">
        <f t="shared" si="19"/>
        <v>443</v>
      </c>
      <c r="AA11">
        <f t="shared" si="19"/>
        <v>444</v>
      </c>
      <c r="AB11">
        <f t="shared" si="19"/>
        <v>445</v>
      </c>
      <c r="AC11">
        <f t="shared" si="19"/>
        <v>446</v>
      </c>
      <c r="AD11">
        <f t="shared" si="19"/>
        <v>447</v>
      </c>
      <c r="AE11">
        <f t="shared" si="19"/>
        <v>448</v>
      </c>
      <c r="AF11">
        <f t="shared" si="19"/>
        <v>449</v>
      </c>
      <c r="AG11">
        <f t="shared" si="19"/>
        <v>450</v>
      </c>
      <c r="AH11">
        <f t="shared" si="20"/>
        <v>451</v>
      </c>
      <c r="AI11">
        <f t="shared" si="20"/>
        <v>452</v>
      </c>
      <c r="AJ11">
        <f t="shared" si="20"/>
        <v>453</v>
      </c>
      <c r="AK11">
        <f t="shared" si="20"/>
        <v>454</v>
      </c>
      <c r="AL11">
        <f t="shared" si="20"/>
        <v>455</v>
      </c>
      <c r="AM11">
        <f t="shared" si="20"/>
        <v>456</v>
      </c>
      <c r="AN11">
        <f t="shared" si="20"/>
        <v>457</v>
      </c>
      <c r="AO11">
        <f t="shared" si="20"/>
        <v>458</v>
      </c>
      <c r="AP11">
        <f t="shared" si="20"/>
        <v>459</v>
      </c>
      <c r="AQ11">
        <f t="shared" si="20"/>
        <v>460</v>
      </c>
      <c r="AR11">
        <f t="shared" si="21"/>
        <v>461</v>
      </c>
      <c r="AS11">
        <f t="shared" si="21"/>
        <v>462</v>
      </c>
      <c r="AT11">
        <f t="shared" si="21"/>
        <v>463</v>
      </c>
      <c r="AU11">
        <f t="shared" si="21"/>
        <v>464</v>
      </c>
      <c r="AV11">
        <f t="shared" si="21"/>
        <v>465</v>
      </c>
      <c r="AW11">
        <f t="shared" si="21"/>
        <v>466</v>
      </c>
      <c r="AX11">
        <f t="shared" si="21"/>
        <v>467</v>
      </c>
      <c r="AY11">
        <f t="shared" si="21"/>
        <v>468</v>
      </c>
      <c r="AZ11">
        <f t="shared" si="21"/>
        <v>469</v>
      </c>
      <c r="BA11">
        <f t="shared" si="21"/>
        <v>470</v>
      </c>
      <c r="BB11" t="e">
        <f t="shared" si="22"/>
        <v>#N/A</v>
      </c>
      <c r="BC11" t="e">
        <f t="shared" si="22"/>
        <v>#N/A</v>
      </c>
      <c r="BD11" t="e">
        <f t="shared" si="22"/>
        <v>#N/A</v>
      </c>
      <c r="BE11" t="e">
        <f t="shared" si="22"/>
        <v>#N/A</v>
      </c>
      <c r="BF11" t="e">
        <f t="shared" si="22"/>
        <v>#N/A</v>
      </c>
      <c r="BG11" t="e">
        <f t="shared" si="22"/>
        <v>#N/A</v>
      </c>
      <c r="BH11" t="e">
        <f t="shared" si="22"/>
        <v>#N/A</v>
      </c>
      <c r="BI11" t="e">
        <f t="shared" si="22"/>
        <v>#N/A</v>
      </c>
      <c r="BJ11" t="e">
        <f t="shared" si="22"/>
        <v>#N/A</v>
      </c>
      <c r="BK11" t="e">
        <f t="shared" si="22"/>
        <v>#N/A</v>
      </c>
      <c r="BL11" t="e">
        <f t="shared" si="23"/>
        <v>#N/A</v>
      </c>
      <c r="BM11" t="e">
        <f t="shared" si="23"/>
        <v>#N/A</v>
      </c>
      <c r="BN11" t="e">
        <f t="shared" si="23"/>
        <v>#N/A</v>
      </c>
      <c r="BO11" t="e">
        <f t="shared" si="23"/>
        <v>#N/A</v>
      </c>
      <c r="BP11" t="e">
        <f t="shared" si="23"/>
        <v>#N/A</v>
      </c>
      <c r="BQ11" t="e">
        <f t="shared" si="23"/>
        <v>#N/A</v>
      </c>
      <c r="BR11" t="e">
        <f t="shared" si="23"/>
        <v>#N/A</v>
      </c>
      <c r="BS11" t="e">
        <f t="shared" si="23"/>
        <v>#N/A</v>
      </c>
      <c r="BT11" t="e">
        <f t="shared" si="23"/>
        <v>#N/A</v>
      </c>
      <c r="BU11" t="e">
        <f t="shared" si="23"/>
        <v>#N/A</v>
      </c>
      <c r="BV11" t="e">
        <f t="shared" si="24"/>
        <v>#N/A</v>
      </c>
      <c r="BW11" t="e">
        <f t="shared" si="24"/>
        <v>#N/A</v>
      </c>
      <c r="BX11" t="e">
        <f t="shared" si="24"/>
        <v>#N/A</v>
      </c>
      <c r="BY11" t="e">
        <f t="shared" si="24"/>
        <v>#N/A</v>
      </c>
      <c r="BZ11" t="e">
        <f t="shared" si="24"/>
        <v>#N/A</v>
      </c>
      <c r="CA11" t="e">
        <f t="shared" si="24"/>
        <v>#N/A</v>
      </c>
      <c r="CB11" t="e">
        <f t="shared" si="24"/>
        <v>#N/A</v>
      </c>
      <c r="CC11" t="e">
        <f t="shared" si="24"/>
        <v>#N/A</v>
      </c>
      <c r="CD11" t="e">
        <f t="shared" si="24"/>
        <v>#N/A</v>
      </c>
      <c r="CE11" t="e">
        <f t="shared" si="24"/>
        <v>#N/A</v>
      </c>
      <c r="CF11" t="e">
        <f t="shared" si="25"/>
        <v>#N/A</v>
      </c>
      <c r="CG11" t="e">
        <f t="shared" si="25"/>
        <v>#N/A</v>
      </c>
      <c r="CH11" t="e">
        <f t="shared" si="25"/>
        <v>#N/A</v>
      </c>
      <c r="CI11" t="e">
        <f t="shared" si="25"/>
        <v>#N/A</v>
      </c>
      <c r="CJ11" t="e">
        <f t="shared" si="25"/>
        <v>#N/A</v>
      </c>
      <c r="CK11" t="e">
        <f t="shared" si="25"/>
        <v>#N/A</v>
      </c>
      <c r="CL11" t="e">
        <f t="shared" si="25"/>
        <v>#N/A</v>
      </c>
      <c r="CM11" t="e">
        <f t="shared" si="25"/>
        <v>#N/A</v>
      </c>
      <c r="CN11" t="e">
        <f t="shared" si="25"/>
        <v>#N/A</v>
      </c>
      <c r="CO11" t="e">
        <f t="shared" si="25"/>
        <v>#N/A</v>
      </c>
      <c r="CP11" t="e">
        <f t="shared" si="26"/>
        <v>#N/A</v>
      </c>
      <c r="CQ11" t="e">
        <f t="shared" si="26"/>
        <v>#N/A</v>
      </c>
      <c r="CR11" t="e">
        <f t="shared" si="26"/>
        <v>#N/A</v>
      </c>
      <c r="CS11" t="e">
        <f t="shared" si="26"/>
        <v>#N/A</v>
      </c>
      <c r="CT11" t="e">
        <f t="shared" si="26"/>
        <v>#N/A</v>
      </c>
      <c r="CU11" t="e">
        <f t="shared" si="26"/>
        <v>#N/A</v>
      </c>
      <c r="CV11" t="e">
        <f t="shared" si="26"/>
        <v>#N/A</v>
      </c>
      <c r="CW11" t="e">
        <f t="shared" si="26"/>
        <v>#N/A</v>
      </c>
      <c r="CX11" t="e">
        <f t="shared" si="26"/>
        <v>#N/A</v>
      </c>
      <c r="CY11" t="e">
        <f t="shared" si="26"/>
        <v>#N/A</v>
      </c>
      <c r="CZ11" t="e">
        <f t="shared" si="27"/>
        <v>#N/A</v>
      </c>
      <c r="DA11" t="e">
        <f t="shared" si="27"/>
        <v>#N/A</v>
      </c>
      <c r="DB11" t="e">
        <f t="shared" si="27"/>
        <v>#N/A</v>
      </c>
      <c r="DC11" t="e">
        <f t="shared" si="27"/>
        <v>#N/A</v>
      </c>
      <c r="DD11" t="e">
        <f t="shared" si="27"/>
        <v>#N/A</v>
      </c>
      <c r="DE11" t="e">
        <f t="shared" si="27"/>
        <v>#N/A</v>
      </c>
      <c r="DF11" t="e">
        <f t="shared" si="27"/>
        <v>#N/A</v>
      </c>
      <c r="DG11" t="e">
        <f t="shared" si="27"/>
        <v>#N/A</v>
      </c>
      <c r="DH11" t="e">
        <f t="shared" si="27"/>
        <v>#N/A</v>
      </c>
      <c r="DI11" t="e">
        <f t="shared" si="27"/>
        <v>#N/A</v>
      </c>
      <c r="DJ11" t="e">
        <f t="shared" si="28"/>
        <v>#N/A</v>
      </c>
      <c r="DK11" t="e">
        <f t="shared" si="28"/>
        <v>#N/A</v>
      </c>
      <c r="DL11" t="e">
        <f t="shared" si="28"/>
        <v>#N/A</v>
      </c>
      <c r="DM11" t="e">
        <f t="shared" si="28"/>
        <v>#N/A</v>
      </c>
      <c r="DN11" t="e">
        <f t="shared" si="28"/>
        <v>#N/A</v>
      </c>
      <c r="DO11" t="e">
        <f t="shared" si="28"/>
        <v>#N/A</v>
      </c>
      <c r="DP11" t="e">
        <f t="shared" si="28"/>
        <v>#N/A</v>
      </c>
      <c r="DQ11" t="e">
        <f t="shared" si="28"/>
        <v>#N/A</v>
      </c>
      <c r="DR11" t="e">
        <f t="shared" si="28"/>
        <v>#N/A</v>
      </c>
      <c r="DS11" t="e">
        <f t="shared" si="28"/>
        <v>#N/A</v>
      </c>
      <c r="DT11">
        <f t="shared" si="28"/>
        <v>471</v>
      </c>
      <c r="DU11">
        <f t="shared" si="28"/>
        <v>472</v>
      </c>
      <c r="DV11">
        <f t="shared" si="28"/>
        <v>473</v>
      </c>
      <c r="DW11">
        <f t="shared" si="28"/>
        <v>474</v>
      </c>
      <c r="DX11">
        <f t="shared" si="28"/>
        <v>475</v>
      </c>
      <c r="DY11">
        <f t="shared" si="28"/>
        <v>476</v>
      </c>
      <c r="DZ11">
        <f t="shared" si="29"/>
        <v>477</v>
      </c>
      <c r="EA11">
        <f t="shared" si="29"/>
        <v>478</v>
      </c>
      <c r="EB11">
        <f t="shared" si="29"/>
        <v>479</v>
      </c>
      <c r="EC11">
        <f t="shared" si="29"/>
        <v>480</v>
      </c>
      <c r="ED11" t="e">
        <f t="shared" si="29"/>
        <v>#N/A</v>
      </c>
      <c r="EE11" t="e">
        <f t="shared" si="29"/>
        <v>#N/A</v>
      </c>
      <c r="EF11" t="e">
        <f t="shared" si="29"/>
        <v>#N/A</v>
      </c>
      <c r="EG11" t="e">
        <f t="shared" si="29"/>
        <v>#N/A</v>
      </c>
      <c r="EH11" t="e">
        <f t="shared" si="29"/>
        <v>#N/A</v>
      </c>
      <c r="EI11" t="e">
        <f t="shared" si="29"/>
        <v>#N/A</v>
      </c>
      <c r="EJ11" t="e">
        <f t="shared" si="29"/>
        <v>#N/A</v>
      </c>
      <c r="EK11" t="e">
        <f t="shared" si="29"/>
        <v>#N/A</v>
      </c>
      <c r="EL11" t="e">
        <f t="shared" si="29"/>
        <v>#N/A</v>
      </c>
      <c r="EM11" t="e">
        <f t="shared" si="29"/>
        <v>#N/A</v>
      </c>
    </row>
    <row r="12" spans="1:143" x14ac:dyDescent="0.4">
      <c r="A12" t="str">
        <f t="shared" si="16"/>
        <v/>
      </c>
      <c r="B12">
        <v>9</v>
      </c>
      <c r="C12" t="str" cm="1">
        <f t="array" ref="C12">INDEX(auto_Series_Code,B12)</f>
        <v>INDI_003</v>
      </c>
      <c r="D12">
        <f t="shared" si="3"/>
        <v>481</v>
      </c>
      <c r="E12">
        <f t="shared" si="3"/>
        <v>482</v>
      </c>
      <c r="F12">
        <f t="shared" si="3"/>
        <v>483</v>
      </c>
      <c r="G12">
        <f t="shared" si="3"/>
        <v>484</v>
      </c>
      <c r="H12">
        <f t="shared" si="3"/>
        <v>485</v>
      </c>
      <c r="I12">
        <f t="shared" si="3"/>
        <v>486</v>
      </c>
      <c r="J12">
        <f t="shared" si="3"/>
        <v>487</v>
      </c>
      <c r="K12">
        <f t="shared" si="3"/>
        <v>488</v>
      </c>
      <c r="L12">
        <f t="shared" si="3"/>
        <v>489</v>
      </c>
      <c r="M12">
        <f t="shared" si="3"/>
        <v>490</v>
      </c>
      <c r="N12">
        <f t="shared" si="4"/>
        <v>491</v>
      </c>
      <c r="O12">
        <f t="shared" si="4"/>
        <v>492</v>
      </c>
      <c r="P12">
        <f t="shared" si="4"/>
        <v>493</v>
      </c>
      <c r="Q12">
        <f t="shared" si="4"/>
        <v>494</v>
      </c>
      <c r="R12">
        <f t="shared" si="4"/>
        <v>495</v>
      </c>
      <c r="S12">
        <f t="shared" si="4"/>
        <v>496</v>
      </c>
      <c r="T12">
        <f t="shared" si="4"/>
        <v>497</v>
      </c>
      <c r="U12">
        <f t="shared" si="4"/>
        <v>498</v>
      </c>
      <c r="V12">
        <f t="shared" si="4"/>
        <v>499</v>
      </c>
      <c r="W12">
        <f t="shared" si="4"/>
        <v>500</v>
      </c>
      <c r="X12">
        <f t="shared" si="5"/>
        <v>501</v>
      </c>
      <c r="Y12">
        <f t="shared" si="5"/>
        <v>502</v>
      </c>
      <c r="Z12">
        <f t="shared" si="5"/>
        <v>503</v>
      </c>
      <c r="AA12">
        <f t="shared" si="5"/>
        <v>504</v>
      </c>
      <c r="AB12">
        <f t="shared" si="5"/>
        <v>505</v>
      </c>
      <c r="AC12">
        <f t="shared" si="5"/>
        <v>506</v>
      </c>
      <c r="AD12">
        <f t="shared" si="5"/>
        <v>507</v>
      </c>
      <c r="AE12">
        <f t="shared" si="5"/>
        <v>508</v>
      </c>
      <c r="AF12">
        <f t="shared" si="5"/>
        <v>509</v>
      </c>
      <c r="AG12">
        <f t="shared" si="5"/>
        <v>510</v>
      </c>
      <c r="AH12">
        <f t="shared" si="6"/>
        <v>511</v>
      </c>
      <c r="AI12">
        <f t="shared" si="6"/>
        <v>512</v>
      </c>
      <c r="AJ12">
        <f t="shared" si="6"/>
        <v>513</v>
      </c>
      <c r="AK12">
        <f t="shared" si="6"/>
        <v>514</v>
      </c>
      <c r="AL12">
        <f t="shared" si="6"/>
        <v>515</v>
      </c>
      <c r="AM12">
        <f t="shared" si="6"/>
        <v>516</v>
      </c>
      <c r="AN12">
        <f t="shared" si="6"/>
        <v>517</v>
      </c>
      <c r="AO12">
        <f t="shared" si="6"/>
        <v>518</v>
      </c>
      <c r="AP12">
        <f t="shared" si="6"/>
        <v>519</v>
      </c>
      <c r="AQ12">
        <f t="shared" si="6"/>
        <v>520</v>
      </c>
      <c r="AR12">
        <f t="shared" si="7"/>
        <v>521</v>
      </c>
      <c r="AS12">
        <f t="shared" si="7"/>
        <v>522</v>
      </c>
      <c r="AT12">
        <f t="shared" si="7"/>
        <v>523</v>
      </c>
      <c r="AU12">
        <f t="shared" si="7"/>
        <v>524</v>
      </c>
      <c r="AV12">
        <f t="shared" si="7"/>
        <v>525</v>
      </c>
      <c r="AW12">
        <f t="shared" si="7"/>
        <v>526</v>
      </c>
      <c r="AX12">
        <f t="shared" si="7"/>
        <v>527</v>
      </c>
      <c r="AY12">
        <f t="shared" si="7"/>
        <v>528</v>
      </c>
      <c r="AZ12">
        <f t="shared" si="7"/>
        <v>529</v>
      </c>
      <c r="BA12">
        <f t="shared" si="7"/>
        <v>530</v>
      </c>
      <c r="BB12" t="e">
        <f t="shared" si="8"/>
        <v>#N/A</v>
      </c>
      <c r="BC12" t="e">
        <f t="shared" si="8"/>
        <v>#N/A</v>
      </c>
      <c r="BD12" t="e">
        <f t="shared" si="8"/>
        <v>#N/A</v>
      </c>
      <c r="BE12" t="e">
        <f t="shared" si="8"/>
        <v>#N/A</v>
      </c>
      <c r="BF12" t="e">
        <f t="shared" si="8"/>
        <v>#N/A</v>
      </c>
      <c r="BG12" t="e">
        <f t="shared" si="8"/>
        <v>#N/A</v>
      </c>
      <c r="BH12" t="e">
        <f t="shared" si="8"/>
        <v>#N/A</v>
      </c>
      <c r="BI12" t="e">
        <f t="shared" si="8"/>
        <v>#N/A</v>
      </c>
      <c r="BJ12" t="e">
        <f t="shared" si="8"/>
        <v>#N/A</v>
      </c>
      <c r="BK12" t="e">
        <f t="shared" si="8"/>
        <v>#N/A</v>
      </c>
      <c r="BL12" t="e">
        <f t="shared" si="9"/>
        <v>#N/A</v>
      </c>
      <c r="BM12" t="e">
        <f t="shared" si="9"/>
        <v>#N/A</v>
      </c>
      <c r="BN12" t="e">
        <f t="shared" si="9"/>
        <v>#N/A</v>
      </c>
      <c r="BO12" t="e">
        <f t="shared" si="9"/>
        <v>#N/A</v>
      </c>
      <c r="BP12" t="e">
        <f t="shared" si="9"/>
        <v>#N/A</v>
      </c>
      <c r="BQ12" t="e">
        <f t="shared" si="9"/>
        <v>#N/A</v>
      </c>
      <c r="BR12" t="e">
        <f t="shared" si="9"/>
        <v>#N/A</v>
      </c>
      <c r="BS12" t="e">
        <f t="shared" si="9"/>
        <v>#N/A</v>
      </c>
      <c r="BT12" t="e">
        <f t="shared" si="9"/>
        <v>#N/A</v>
      </c>
      <c r="BU12" t="e">
        <f t="shared" si="9"/>
        <v>#N/A</v>
      </c>
      <c r="BV12" t="e">
        <f t="shared" si="10"/>
        <v>#N/A</v>
      </c>
      <c r="BW12" t="e">
        <f t="shared" si="10"/>
        <v>#N/A</v>
      </c>
      <c r="BX12" t="e">
        <f t="shared" si="10"/>
        <v>#N/A</v>
      </c>
      <c r="BY12" t="e">
        <f t="shared" si="10"/>
        <v>#N/A</v>
      </c>
      <c r="BZ12" t="e">
        <f t="shared" si="10"/>
        <v>#N/A</v>
      </c>
      <c r="CA12" t="e">
        <f t="shared" si="10"/>
        <v>#N/A</v>
      </c>
      <c r="CB12" t="e">
        <f t="shared" si="10"/>
        <v>#N/A</v>
      </c>
      <c r="CC12" t="e">
        <f t="shared" si="10"/>
        <v>#N/A</v>
      </c>
      <c r="CD12" t="e">
        <f t="shared" si="10"/>
        <v>#N/A</v>
      </c>
      <c r="CE12" t="e">
        <f t="shared" si="10"/>
        <v>#N/A</v>
      </c>
      <c r="CF12" t="e">
        <f t="shared" si="11"/>
        <v>#N/A</v>
      </c>
      <c r="CG12" t="e">
        <f t="shared" si="11"/>
        <v>#N/A</v>
      </c>
      <c r="CH12" t="e">
        <f t="shared" si="11"/>
        <v>#N/A</v>
      </c>
      <c r="CI12" t="e">
        <f t="shared" si="11"/>
        <v>#N/A</v>
      </c>
      <c r="CJ12" t="e">
        <f t="shared" si="11"/>
        <v>#N/A</v>
      </c>
      <c r="CK12" t="e">
        <f t="shared" si="11"/>
        <v>#N/A</v>
      </c>
      <c r="CL12" t="e">
        <f t="shared" si="11"/>
        <v>#N/A</v>
      </c>
      <c r="CM12" t="e">
        <f t="shared" si="11"/>
        <v>#N/A</v>
      </c>
      <c r="CN12" t="e">
        <f t="shared" si="11"/>
        <v>#N/A</v>
      </c>
      <c r="CO12" t="e">
        <f t="shared" si="11"/>
        <v>#N/A</v>
      </c>
      <c r="CP12" t="e">
        <f t="shared" si="12"/>
        <v>#N/A</v>
      </c>
      <c r="CQ12" t="e">
        <f t="shared" si="12"/>
        <v>#N/A</v>
      </c>
      <c r="CR12" t="e">
        <f t="shared" si="12"/>
        <v>#N/A</v>
      </c>
      <c r="CS12" t="e">
        <f t="shared" si="12"/>
        <v>#N/A</v>
      </c>
      <c r="CT12" t="e">
        <f t="shared" si="12"/>
        <v>#N/A</v>
      </c>
      <c r="CU12" t="e">
        <f t="shared" si="12"/>
        <v>#N/A</v>
      </c>
      <c r="CV12" t="e">
        <f t="shared" si="12"/>
        <v>#N/A</v>
      </c>
      <c r="CW12" t="e">
        <f t="shared" si="12"/>
        <v>#N/A</v>
      </c>
      <c r="CX12" t="e">
        <f t="shared" si="12"/>
        <v>#N/A</v>
      </c>
      <c r="CY12" t="e">
        <f t="shared" si="12"/>
        <v>#N/A</v>
      </c>
      <c r="CZ12" t="e">
        <f t="shared" si="13"/>
        <v>#N/A</v>
      </c>
      <c r="DA12" t="e">
        <f t="shared" si="13"/>
        <v>#N/A</v>
      </c>
      <c r="DB12" t="e">
        <f t="shared" si="13"/>
        <v>#N/A</v>
      </c>
      <c r="DC12" t="e">
        <f t="shared" si="13"/>
        <v>#N/A</v>
      </c>
      <c r="DD12" t="e">
        <f t="shared" si="13"/>
        <v>#N/A</v>
      </c>
      <c r="DE12" t="e">
        <f t="shared" si="13"/>
        <v>#N/A</v>
      </c>
      <c r="DF12" t="e">
        <f t="shared" si="13"/>
        <v>#N/A</v>
      </c>
      <c r="DG12" t="e">
        <f t="shared" si="13"/>
        <v>#N/A</v>
      </c>
      <c r="DH12" t="e">
        <f t="shared" si="13"/>
        <v>#N/A</v>
      </c>
      <c r="DI12" t="e">
        <f t="shared" si="13"/>
        <v>#N/A</v>
      </c>
      <c r="DJ12" t="e">
        <f t="shared" si="14"/>
        <v>#N/A</v>
      </c>
      <c r="DK12" t="e">
        <f t="shared" si="14"/>
        <v>#N/A</v>
      </c>
      <c r="DL12" t="e">
        <f t="shared" si="14"/>
        <v>#N/A</v>
      </c>
      <c r="DM12" t="e">
        <f t="shared" si="14"/>
        <v>#N/A</v>
      </c>
      <c r="DN12" t="e">
        <f t="shared" si="14"/>
        <v>#N/A</v>
      </c>
      <c r="DO12" t="e">
        <f t="shared" si="14"/>
        <v>#N/A</v>
      </c>
      <c r="DP12" t="e">
        <f t="shared" si="14"/>
        <v>#N/A</v>
      </c>
      <c r="DQ12" t="e">
        <f t="shared" si="14"/>
        <v>#N/A</v>
      </c>
      <c r="DR12" t="e">
        <f t="shared" si="14"/>
        <v>#N/A</v>
      </c>
      <c r="DS12" t="e">
        <f t="shared" si="14"/>
        <v>#N/A</v>
      </c>
      <c r="DT12">
        <f t="shared" si="14"/>
        <v>531</v>
      </c>
      <c r="DU12">
        <f t="shared" si="14"/>
        <v>532</v>
      </c>
      <c r="DV12">
        <f t="shared" si="14"/>
        <v>533</v>
      </c>
      <c r="DW12">
        <f t="shared" si="14"/>
        <v>534</v>
      </c>
      <c r="DX12">
        <f t="shared" si="14"/>
        <v>535</v>
      </c>
      <c r="DY12">
        <f t="shared" si="14"/>
        <v>536</v>
      </c>
      <c r="DZ12">
        <f t="shared" si="15"/>
        <v>537</v>
      </c>
      <c r="EA12">
        <f t="shared" si="15"/>
        <v>538</v>
      </c>
      <c r="EB12">
        <f t="shared" si="15"/>
        <v>539</v>
      </c>
      <c r="EC12">
        <f t="shared" si="15"/>
        <v>540</v>
      </c>
      <c r="ED12" t="e">
        <f t="shared" si="15"/>
        <v>#N/A</v>
      </c>
      <c r="EE12" t="e">
        <f t="shared" si="15"/>
        <v>#N/A</v>
      </c>
      <c r="EF12" t="e">
        <f t="shared" si="15"/>
        <v>#N/A</v>
      </c>
      <c r="EG12" t="e">
        <f t="shared" si="15"/>
        <v>#N/A</v>
      </c>
      <c r="EH12" t="e">
        <f t="shared" si="15"/>
        <v>#N/A</v>
      </c>
      <c r="EI12" t="e">
        <f t="shared" si="15"/>
        <v>#N/A</v>
      </c>
      <c r="EJ12" t="e">
        <f t="shared" si="15"/>
        <v>#N/A</v>
      </c>
      <c r="EK12" t="e">
        <f t="shared" si="15"/>
        <v>#N/A</v>
      </c>
      <c r="EL12" t="e">
        <f t="shared" si="15"/>
        <v>#N/A</v>
      </c>
      <c r="EM12" t="e">
        <f t="shared" si="15"/>
        <v>#N/A</v>
      </c>
    </row>
    <row r="13" spans="1:143" x14ac:dyDescent="0.4">
      <c r="A13" t="str">
        <f t="shared" si="16"/>
        <v/>
      </c>
      <c r="B13">
        <v>10</v>
      </c>
      <c r="C13" t="str" cm="1">
        <f t="array" ref="C13">INDEX(auto_Series_Code,B13)</f>
        <v>SUBINDI_005</v>
      </c>
      <c r="D13">
        <f t="shared" si="17"/>
        <v>541</v>
      </c>
      <c r="E13">
        <f t="shared" si="17"/>
        <v>542</v>
      </c>
      <c r="F13">
        <f t="shared" si="17"/>
        <v>543</v>
      </c>
      <c r="G13">
        <f t="shared" si="17"/>
        <v>544</v>
      </c>
      <c r="H13">
        <f t="shared" si="17"/>
        <v>545</v>
      </c>
      <c r="I13">
        <f t="shared" si="17"/>
        <v>546</v>
      </c>
      <c r="J13">
        <f t="shared" si="17"/>
        <v>547</v>
      </c>
      <c r="K13">
        <f t="shared" si="17"/>
        <v>548</v>
      </c>
      <c r="L13">
        <f t="shared" si="17"/>
        <v>549</v>
      </c>
      <c r="M13">
        <f t="shared" si="17"/>
        <v>550</v>
      </c>
      <c r="N13">
        <f t="shared" si="18"/>
        <v>551</v>
      </c>
      <c r="O13">
        <f t="shared" si="18"/>
        <v>552</v>
      </c>
      <c r="P13">
        <f t="shared" si="18"/>
        <v>553</v>
      </c>
      <c r="Q13">
        <f t="shared" si="18"/>
        <v>554</v>
      </c>
      <c r="R13">
        <f t="shared" si="18"/>
        <v>555</v>
      </c>
      <c r="S13">
        <f t="shared" si="18"/>
        <v>556</v>
      </c>
      <c r="T13">
        <f t="shared" si="18"/>
        <v>557</v>
      </c>
      <c r="U13">
        <f t="shared" si="18"/>
        <v>558</v>
      </c>
      <c r="V13">
        <f t="shared" si="18"/>
        <v>559</v>
      </c>
      <c r="W13">
        <f t="shared" si="18"/>
        <v>560</v>
      </c>
      <c r="X13">
        <f t="shared" si="19"/>
        <v>561</v>
      </c>
      <c r="Y13">
        <f t="shared" si="19"/>
        <v>562</v>
      </c>
      <c r="Z13">
        <f t="shared" si="19"/>
        <v>563</v>
      </c>
      <c r="AA13">
        <f t="shared" si="19"/>
        <v>564</v>
      </c>
      <c r="AB13">
        <f t="shared" si="19"/>
        <v>565</v>
      </c>
      <c r="AC13">
        <f t="shared" si="19"/>
        <v>566</v>
      </c>
      <c r="AD13">
        <f t="shared" si="19"/>
        <v>567</v>
      </c>
      <c r="AE13">
        <f t="shared" si="19"/>
        <v>568</v>
      </c>
      <c r="AF13">
        <f t="shared" si="19"/>
        <v>569</v>
      </c>
      <c r="AG13">
        <f t="shared" si="19"/>
        <v>570</v>
      </c>
      <c r="AH13">
        <f t="shared" si="20"/>
        <v>571</v>
      </c>
      <c r="AI13">
        <f t="shared" si="20"/>
        <v>572</v>
      </c>
      <c r="AJ13">
        <f t="shared" si="20"/>
        <v>573</v>
      </c>
      <c r="AK13">
        <f t="shared" si="20"/>
        <v>574</v>
      </c>
      <c r="AL13">
        <f t="shared" si="20"/>
        <v>575</v>
      </c>
      <c r="AM13">
        <f t="shared" si="20"/>
        <v>576</v>
      </c>
      <c r="AN13">
        <f t="shared" si="20"/>
        <v>577</v>
      </c>
      <c r="AO13">
        <f t="shared" si="20"/>
        <v>578</v>
      </c>
      <c r="AP13">
        <f t="shared" si="20"/>
        <v>579</v>
      </c>
      <c r="AQ13">
        <f t="shared" si="20"/>
        <v>580</v>
      </c>
      <c r="AR13">
        <f t="shared" si="21"/>
        <v>581</v>
      </c>
      <c r="AS13">
        <f t="shared" si="21"/>
        <v>582</v>
      </c>
      <c r="AT13">
        <f t="shared" si="21"/>
        <v>583</v>
      </c>
      <c r="AU13">
        <f t="shared" si="21"/>
        <v>584</v>
      </c>
      <c r="AV13">
        <f t="shared" si="21"/>
        <v>585</v>
      </c>
      <c r="AW13">
        <f t="shared" si="21"/>
        <v>586</v>
      </c>
      <c r="AX13">
        <f t="shared" si="21"/>
        <v>587</v>
      </c>
      <c r="AY13">
        <f t="shared" si="21"/>
        <v>588</v>
      </c>
      <c r="AZ13">
        <f t="shared" si="21"/>
        <v>589</v>
      </c>
      <c r="BA13">
        <f t="shared" si="21"/>
        <v>590</v>
      </c>
      <c r="BB13" t="e">
        <f t="shared" si="22"/>
        <v>#N/A</v>
      </c>
      <c r="BC13" t="e">
        <f t="shared" si="22"/>
        <v>#N/A</v>
      </c>
      <c r="BD13" t="e">
        <f t="shared" si="22"/>
        <v>#N/A</v>
      </c>
      <c r="BE13" t="e">
        <f t="shared" si="22"/>
        <v>#N/A</v>
      </c>
      <c r="BF13" t="e">
        <f t="shared" si="22"/>
        <v>#N/A</v>
      </c>
      <c r="BG13" t="e">
        <f t="shared" si="22"/>
        <v>#N/A</v>
      </c>
      <c r="BH13" t="e">
        <f t="shared" si="22"/>
        <v>#N/A</v>
      </c>
      <c r="BI13" t="e">
        <f t="shared" si="22"/>
        <v>#N/A</v>
      </c>
      <c r="BJ13" t="e">
        <f t="shared" si="22"/>
        <v>#N/A</v>
      </c>
      <c r="BK13" t="e">
        <f t="shared" si="22"/>
        <v>#N/A</v>
      </c>
      <c r="BL13" t="e">
        <f t="shared" si="23"/>
        <v>#N/A</v>
      </c>
      <c r="BM13" t="e">
        <f t="shared" si="23"/>
        <v>#N/A</v>
      </c>
      <c r="BN13" t="e">
        <f t="shared" si="23"/>
        <v>#N/A</v>
      </c>
      <c r="BO13" t="e">
        <f t="shared" si="23"/>
        <v>#N/A</v>
      </c>
      <c r="BP13" t="e">
        <f t="shared" si="23"/>
        <v>#N/A</v>
      </c>
      <c r="BQ13" t="e">
        <f t="shared" si="23"/>
        <v>#N/A</v>
      </c>
      <c r="BR13" t="e">
        <f t="shared" si="23"/>
        <v>#N/A</v>
      </c>
      <c r="BS13" t="e">
        <f t="shared" si="23"/>
        <v>#N/A</v>
      </c>
      <c r="BT13" t="e">
        <f t="shared" si="23"/>
        <v>#N/A</v>
      </c>
      <c r="BU13" t="e">
        <f t="shared" si="23"/>
        <v>#N/A</v>
      </c>
      <c r="BV13" t="e">
        <f t="shared" si="24"/>
        <v>#N/A</v>
      </c>
      <c r="BW13" t="e">
        <f t="shared" si="24"/>
        <v>#N/A</v>
      </c>
      <c r="BX13" t="e">
        <f t="shared" si="24"/>
        <v>#N/A</v>
      </c>
      <c r="BY13" t="e">
        <f t="shared" si="24"/>
        <v>#N/A</v>
      </c>
      <c r="BZ13" t="e">
        <f t="shared" si="24"/>
        <v>#N/A</v>
      </c>
      <c r="CA13" t="e">
        <f t="shared" si="24"/>
        <v>#N/A</v>
      </c>
      <c r="CB13" t="e">
        <f t="shared" si="24"/>
        <v>#N/A</v>
      </c>
      <c r="CC13" t="e">
        <f t="shared" si="24"/>
        <v>#N/A</v>
      </c>
      <c r="CD13" t="e">
        <f t="shared" si="24"/>
        <v>#N/A</v>
      </c>
      <c r="CE13" t="e">
        <f t="shared" si="24"/>
        <v>#N/A</v>
      </c>
      <c r="CF13" t="e">
        <f t="shared" si="25"/>
        <v>#N/A</v>
      </c>
      <c r="CG13" t="e">
        <f t="shared" si="25"/>
        <v>#N/A</v>
      </c>
      <c r="CH13" t="e">
        <f t="shared" si="25"/>
        <v>#N/A</v>
      </c>
      <c r="CI13" t="e">
        <f t="shared" si="25"/>
        <v>#N/A</v>
      </c>
      <c r="CJ13" t="e">
        <f t="shared" si="25"/>
        <v>#N/A</v>
      </c>
      <c r="CK13" t="e">
        <f t="shared" si="25"/>
        <v>#N/A</v>
      </c>
      <c r="CL13" t="e">
        <f t="shared" si="25"/>
        <v>#N/A</v>
      </c>
      <c r="CM13" t="e">
        <f t="shared" si="25"/>
        <v>#N/A</v>
      </c>
      <c r="CN13" t="e">
        <f t="shared" si="25"/>
        <v>#N/A</v>
      </c>
      <c r="CO13" t="e">
        <f t="shared" si="25"/>
        <v>#N/A</v>
      </c>
      <c r="CP13" t="e">
        <f t="shared" si="26"/>
        <v>#N/A</v>
      </c>
      <c r="CQ13" t="e">
        <f t="shared" si="26"/>
        <v>#N/A</v>
      </c>
      <c r="CR13" t="e">
        <f t="shared" si="26"/>
        <v>#N/A</v>
      </c>
      <c r="CS13" t="e">
        <f t="shared" si="26"/>
        <v>#N/A</v>
      </c>
      <c r="CT13" t="e">
        <f t="shared" si="26"/>
        <v>#N/A</v>
      </c>
      <c r="CU13" t="e">
        <f t="shared" si="26"/>
        <v>#N/A</v>
      </c>
      <c r="CV13" t="e">
        <f t="shared" si="26"/>
        <v>#N/A</v>
      </c>
      <c r="CW13" t="e">
        <f t="shared" si="26"/>
        <v>#N/A</v>
      </c>
      <c r="CX13" t="e">
        <f t="shared" si="26"/>
        <v>#N/A</v>
      </c>
      <c r="CY13" t="e">
        <f t="shared" si="26"/>
        <v>#N/A</v>
      </c>
      <c r="CZ13" t="e">
        <f t="shared" si="27"/>
        <v>#N/A</v>
      </c>
      <c r="DA13" t="e">
        <f t="shared" si="27"/>
        <v>#N/A</v>
      </c>
      <c r="DB13" t="e">
        <f t="shared" si="27"/>
        <v>#N/A</v>
      </c>
      <c r="DC13" t="e">
        <f t="shared" si="27"/>
        <v>#N/A</v>
      </c>
      <c r="DD13" t="e">
        <f t="shared" si="27"/>
        <v>#N/A</v>
      </c>
      <c r="DE13" t="e">
        <f t="shared" si="27"/>
        <v>#N/A</v>
      </c>
      <c r="DF13" t="e">
        <f t="shared" si="27"/>
        <v>#N/A</v>
      </c>
      <c r="DG13" t="e">
        <f t="shared" si="27"/>
        <v>#N/A</v>
      </c>
      <c r="DH13" t="e">
        <f t="shared" si="27"/>
        <v>#N/A</v>
      </c>
      <c r="DI13" t="e">
        <f t="shared" si="27"/>
        <v>#N/A</v>
      </c>
      <c r="DJ13" t="e">
        <f t="shared" si="28"/>
        <v>#N/A</v>
      </c>
      <c r="DK13" t="e">
        <f t="shared" si="28"/>
        <v>#N/A</v>
      </c>
      <c r="DL13" t="e">
        <f t="shared" si="28"/>
        <v>#N/A</v>
      </c>
      <c r="DM13" t="e">
        <f t="shared" si="28"/>
        <v>#N/A</v>
      </c>
      <c r="DN13" t="e">
        <f t="shared" si="28"/>
        <v>#N/A</v>
      </c>
      <c r="DO13" t="e">
        <f t="shared" si="28"/>
        <v>#N/A</v>
      </c>
      <c r="DP13" t="e">
        <f t="shared" si="28"/>
        <v>#N/A</v>
      </c>
      <c r="DQ13" t="e">
        <f t="shared" si="28"/>
        <v>#N/A</v>
      </c>
      <c r="DR13" t="e">
        <f t="shared" si="28"/>
        <v>#N/A</v>
      </c>
      <c r="DS13" t="e">
        <f t="shared" si="28"/>
        <v>#N/A</v>
      </c>
      <c r="DT13">
        <f t="shared" si="28"/>
        <v>591</v>
      </c>
      <c r="DU13">
        <f t="shared" si="28"/>
        <v>592</v>
      </c>
      <c r="DV13">
        <f t="shared" si="28"/>
        <v>593</v>
      </c>
      <c r="DW13">
        <f t="shared" si="28"/>
        <v>594</v>
      </c>
      <c r="DX13">
        <f t="shared" si="28"/>
        <v>595</v>
      </c>
      <c r="DY13">
        <f t="shared" si="28"/>
        <v>596</v>
      </c>
      <c r="DZ13">
        <f t="shared" si="29"/>
        <v>597</v>
      </c>
      <c r="EA13">
        <f t="shared" si="29"/>
        <v>598</v>
      </c>
      <c r="EB13">
        <f t="shared" si="29"/>
        <v>599</v>
      </c>
      <c r="EC13">
        <f t="shared" si="29"/>
        <v>600</v>
      </c>
      <c r="ED13" t="e">
        <f t="shared" si="29"/>
        <v>#N/A</v>
      </c>
      <c r="EE13" t="e">
        <f t="shared" si="29"/>
        <v>#N/A</v>
      </c>
      <c r="EF13" t="e">
        <f t="shared" si="29"/>
        <v>#N/A</v>
      </c>
      <c r="EG13" t="e">
        <f t="shared" si="29"/>
        <v>#N/A</v>
      </c>
      <c r="EH13" t="e">
        <f t="shared" si="29"/>
        <v>#N/A</v>
      </c>
      <c r="EI13" t="e">
        <f t="shared" si="29"/>
        <v>#N/A</v>
      </c>
      <c r="EJ13" t="e">
        <f t="shared" si="29"/>
        <v>#N/A</v>
      </c>
      <c r="EK13" t="e">
        <f t="shared" si="29"/>
        <v>#N/A</v>
      </c>
      <c r="EL13" t="e">
        <f t="shared" si="29"/>
        <v>#N/A</v>
      </c>
      <c r="EM13" t="e">
        <f t="shared" si="29"/>
        <v>#N/A</v>
      </c>
    </row>
    <row r="14" spans="1:143" x14ac:dyDescent="0.4">
      <c r="A14" t="str">
        <f t="shared" si="16"/>
        <v/>
      </c>
      <c r="B14">
        <v>11</v>
      </c>
      <c r="C14" t="str" cm="1">
        <f t="array" ref="C14">INDEX(auto_Series_Code,B14)</f>
        <v>SUBINDI_006</v>
      </c>
      <c r="D14">
        <f t="shared" si="3"/>
        <v>601</v>
      </c>
      <c r="E14">
        <f t="shared" si="3"/>
        <v>602</v>
      </c>
      <c r="F14">
        <f t="shared" si="3"/>
        <v>603</v>
      </c>
      <c r="G14">
        <f t="shared" si="3"/>
        <v>604</v>
      </c>
      <c r="H14">
        <f t="shared" si="3"/>
        <v>605</v>
      </c>
      <c r="I14">
        <f t="shared" si="3"/>
        <v>606</v>
      </c>
      <c r="J14">
        <f t="shared" si="3"/>
        <v>607</v>
      </c>
      <c r="K14">
        <f t="shared" si="3"/>
        <v>608</v>
      </c>
      <c r="L14">
        <f t="shared" si="3"/>
        <v>609</v>
      </c>
      <c r="M14">
        <f t="shared" si="3"/>
        <v>610</v>
      </c>
      <c r="N14">
        <f t="shared" si="4"/>
        <v>611</v>
      </c>
      <c r="O14">
        <f t="shared" si="4"/>
        <v>612</v>
      </c>
      <c r="P14">
        <f t="shared" si="4"/>
        <v>613</v>
      </c>
      <c r="Q14">
        <f t="shared" si="4"/>
        <v>614</v>
      </c>
      <c r="R14">
        <f t="shared" si="4"/>
        <v>615</v>
      </c>
      <c r="S14">
        <f t="shared" si="4"/>
        <v>616</v>
      </c>
      <c r="T14">
        <f t="shared" si="4"/>
        <v>617</v>
      </c>
      <c r="U14">
        <f t="shared" si="4"/>
        <v>618</v>
      </c>
      <c r="V14">
        <f t="shared" si="4"/>
        <v>619</v>
      </c>
      <c r="W14">
        <f t="shared" si="4"/>
        <v>620</v>
      </c>
      <c r="X14">
        <f t="shared" si="5"/>
        <v>621</v>
      </c>
      <c r="Y14">
        <f t="shared" si="5"/>
        <v>622</v>
      </c>
      <c r="Z14">
        <f t="shared" si="5"/>
        <v>623</v>
      </c>
      <c r="AA14">
        <f t="shared" si="5"/>
        <v>624</v>
      </c>
      <c r="AB14">
        <f t="shared" si="5"/>
        <v>625</v>
      </c>
      <c r="AC14">
        <f t="shared" si="5"/>
        <v>626</v>
      </c>
      <c r="AD14">
        <f t="shared" si="5"/>
        <v>627</v>
      </c>
      <c r="AE14">
        <f t="shared" si="5"/>
        <v>628</v>
      </c>
      <c r="AF14">
        <f t="shared" si="5"/>
        <v>629</v>
      </c>
      <c r="AG14">
        <f t="shared" si="5"/>
        <v>630</v>
      </c>
      <c r="AH14">
        <f t="shared" si="6"/>
        <v>631</v>
      </c>
      <c r="AI14">
        <f t="shared" si="6"/>
        <v>632</v>
      </c>
      <c r="AJ14">
        <f t="shared" si="6"/>
        <v>633</v>
      </c>
      <c r="AK14">
        <f t="shared" si="6"/>
        <v>634</v>
      </c>
      <c r="AL14">
        <f t="shared" si="6"/>
        <v>635</v>
      </c>
      <c r="AM14">
        <f t="shared" si="6"/>
        <v>636</v>
      </c>
      <c r="AN14">
        <f t="shared" si="6"/>
        <v>637</v>
      </c>
      <c r="AO14">
        <f t="shared" si="6"/>
        <v>638</v>
      </c>
      <c r="AP14">
        <f t="shared" si="6"/>
        <v>639</v>
      </c>
      <c r="AQ14">
        <f t="shared" si="6"/>
        <v>640</v>
      </c>
      <c r="AR14">
        <f t="shared" si="7"/>
        <v>641</v>
      </c>
      <c r="AS14">
        <f t="shared" si="7"/>
        <v>642</v>
      </c>
      <c r="AT14">
        <f t="shared" si="7"/>
        <v>643</v>
      </c>
      <c r="AU14">
        <f t="shared" si="7"/>
        <v>644</v>
      </c>
      <c r="AV14">
        <f t="shared" si="7"/>
        <v>645</v>
      </c>
      <c r="AW14">
        <f t="shared" si="7"/>
        <v>646</v>
      </c>
      <c r="AX14">
        <f t="shared" si="7"/>
        <v>647</v>
      </c>
      <c r="AY14">
        <f t="shared" si="7"/>
        <v>648</v>
      </c>
      <c r="AZ14">
        <f t="shared" si="7"/>
        <v>649</v>
      </c>
      <c r="BA14">
        <f t="shared" si="7"/>
        <v>650</v>
      </c>
      <c r="BB14" t="e">
        <f t="shared" si="8"/>
        <v>#N/A</v>
      </c>
      <c r="BC14" t="e">
        <f t="shared" si="8"/>
        <v>#N/A</v>
      </c>
      <c r="BD14" t="e">
        <f t="shared" si="8"/>
        <v>#N/A</v>
      </c>
      <c r="BE14" t="e">
        <f t="shared" si="8"/>
        <v>#N/A</v>
      </c>
      <c r="BF14" t="e">
        <f t="shared" si="8"/>
        <v>#N/A</v>
      </c>
      <c r="BG14" t="e">
        <f t="shared" si="8"/>
        <v>#N/A</v>
      </c>
      <c r="BH14" t="e">
        <f t="shared" si="8"/>
        <v>#N/A</v>
      </c>
      <c r="BI14" t="e">
        <f t="shared" si="8"/>
        <v>#N/A</v>
      </c>
      <c r="BJ14" t="e">
        <f t="shared" si="8"/>
        <v>#N/A</v>
      </c>
      <c r="BK14" t="e">
        <f t="shared" si="8"/>
        <v>#N/A</v>
      </c>
      <c r="BL14" t="e">
        <f t="shared" si="9"/>
        <v>#N/A</v>
      </c>
      <c r="BM14" t="e">
        <f t="shared" si="9"/>
        <v>#N/A</v>
      </c>
      <c r="BN14" t="e">
        <f t="shared" si="9"/>
        <v>#N/A</v>
      </c>
      <c r="BO14" t="e">
        <f t="shared" si="9"/>
        <v>#N/A</v>
      </c>
      <c r="BP14" t="e">
        <f t="shared" si="9"/>
        <v>#N/A</v>
      </c>
      <c r="BQ14" t="e">
        <f t="shared" si="9"/>
        <v>#N/A</v>
      </c>
      <c r="BR14" t="e">
        <f t="shared" si="9"/>
        <v>#N/A</v>
      </c>
      <c r="BS14" t="e">
        <f t="shared" si="9"/>
        <v>#N/A</v>
      </c>
      <c r="BT14" t="e">
        <f t="shared" si="9"/>
        <v>#N/A</v>
      </c>
      <c r="BU14" t="e">
        <f t="shared" si="9"/>
        <v>#N/A</v>
      </c>
      <c r="BV14" t="e">
        <f t="shared" si="10"/>
        <v>#N/A</v>
      </c>
      <c r="BW14" t="e">
        <f t="shared" si="10"/>
        <v>#N/A</v>
      </c>
      <c r="BX14" t="e">
        <f t="shared" si="10"/>
        <v>#N/A</v>
      </c>
      <c r="BY14" t="e">
        <f t="shared" si="10"/>
        <v>#N/A</v>
      </c>
      <c r="BZ14" t="e">
        <f t="shared" si="10"/>
        <v>#N/A</v>
      </c>
      <c r="CA14" t="e">
        <f t="shared" si="10"/>
        <v>#N/A</v>
      </c>
      <c r="CB14" t="e">
        <f t="shared" si="10"/>
        <v>#N/A</v>
      </c>
      <c r="CC14" t="e">
        <f t="shared" si="10"/>
        <v>#N/A</v>
      </c>
      <c r="CD14" t="e">
        <f t="shared" si="10"/>
        <v>#N/A</v>
      </c>
      <c r="CE14" t="e">
        <f t="shared" si="10"/>
        <v>#N/A</v>
      </c>
      <c r="CF14" t="e">
        <f t="shared" si="11"/>
        <v>#N/A</v>
      </c>
      <c r="CG14" t="e">
        <f t="shared" si="11"/>
        <v>#N/A</v>
      </c>
      <c r="CH14" t="e">
        <f t="shared" si="11"/>
        <v>#N/A</v>
      </c>
      <c r="CI14" t="e">
        <f t="shared" si="11"/>
        <v>#N/A</v>
      </c>
      <c r="CJ14" t="e">
        <f t="shared" si="11"/>
        <v>#N/A</v>
      </c>
      <c r="CK14" t="e">
        <f t="shared" si="11"/>
        <v>#N/A</v>
      </c>
      <c r="CL14" t="e">
        <f t="shared" si="11"/>
        <v>#N/A</v>
      </c>
      <c r="CM14" t="e">
        <f t="shared" si="11"/>
        <v>#N/A</v>
      </c>
      <c r="CN14" t="e">
        <f t="shared" si="11"/>
        <v>#N/A</v>
      </c>
      <c r="CO14" t="e">
        <f t="shared" si="11"/>
        <v>#N/A</v>
      </c>
      <c r="CP14" t="e">
        <f t="shared" si="12"/>
        <v>#N/A</v>
      </c>
      <c r="CQ14" t="e">
        <f t="shared" si="12"/>
        <v>#N/A</v>
      </c>
      <c r="CR14" t="e">
        <f t="shared" si="12"/>
        <v>#N/A</v>
      </c>
      <c r="CS14" t="e">
        <f t="shared" si="12"/>
        <v>#N/A</v>
      </c>
      <c r="CT14" t="e">
        <f t="shared" si="12"/>
        <v>#N/A</v>
      </c>
      <c r="CU14" t="e">
        <f t="shared" si="12"/>
        <v>#N/A</v>
      </c>
      <c r="CV14" t="e">
        <f t="shared" si="12"/>
        <v>#N/A</v>
      </c>
      <c r="CW14" t="e">
        <f t="shared" si="12"/>
        <v>#N/A</v>
      </c>
      <c r="CX14" t="e">
        <f t="shared" si="12"/>
        <v>#N/A</v>
      </c>
      <c r="CY14" t="e">
        <f t="shared" si="12"/>
        <v>#N/A</v>
      </c>
      <c r="CZ14" t="e">
        <f t="shared" si="13"/>
        <v>#N/A</v>
      </c>
      <c r="DA14" t="e">
        <f t="shared" si="13"/>
        <v>#N/A</v>
      </c>
      <c r="DB14" t="e">
        <f t="shared" si="13"/>
        <v>#N/A</v>
      </c>
      <c r="DC14" t="e">
        <f t="shared" si="13"/>
        <v>#N/A</v>
      </c>
      <c r="DD14" t="e">
        <f t="shared" si="13"/>
        <v>#N/A</v>
      </c>
      <c r="DE14" t="e">
        <f t="shared" si="13"/>
        <v>#N/A</v>
      </c>
      <c r="DF14" t="e">
        <f t="shared" si="13"/>
        <v>#N/A</v>
      </c>
      <c r="DG14" t="e">
        <f t="shared" si="13"/>
        <v>#N/A</v>
      </c>
      <c r="DH14" t="e">
        <f t="shared" si="13"/>
        <v>#N/A</v>
      </c>
      <c r="DI14" t="e">
        <f t="shared" si="13"/>
        <v>#N/A</v>
      </c>
      <c r="DJ14" t="e">
        <f t="shared" si="14"/>
        <v>#N/A</v>
      </c>
      <c r="DK14" t="e">
        <f t="shared" si="14"/>
        <v>#N/A</v>
      </c>
      <c r="DL14" t="e">
        <f t="shared" si="14"/>
        <v>#N/A</v>
      </c>
      <c r="DM14" t="e">
        <f t="shared" si="14"/>
        <v>#N/A</v>
      </c>
      <c r="DN14" t="e">
        <f t="shared" si="14"/>
        <v>#N/A</v>
      </c>
      <c r="DO14" t="e">
        <f t="shared" si="14"/>
        <v>#N/A</v>
      </c>
      <c r="DP14" t="e">
        <f t="shared" si="14"/>
        <v>#N/A</v>
      </c>
      <c r="DQ14" t="e">
        <f t="shared" si="14"/>
        <v>#N/A</v>
      </c>
      <c r="DR14" t="e">
        <f t="shared" si="14"/>
        <v>#N/A</v>
      </c>
      <c r="DS14" t="e">
        <f t="shared" si="14"/>
        <v>#N/A</v>
      </c>
      <c r="DT14">
        <f t="shared" si="14"/>
        <v>651</v>
      </c>
      <c r="DU14">
        <f t="shared" si="14"/>
        <v>652</v>
      </c>
      <c r="DV14">
        <f t="shared" si="14"/>
        <v>653</v>
      </c>
      <c r="DW14">
        <f t="shared" si="14"/>
        <v>654</v>
      </c>
      <c r="DX14">
        <f t="shared" si="14"/>
        <v>655</v>
      </c>
      <c r="DY14">
        <f t="shared" si="14"/>
        <v>656</v>
      </c>
      <c r="DZ14">
        <f t="shared" si="15"/>
        <v>657</v>
      </c>
      <c r="EA14">
        <f t="shared" si="15"/>
        <v>658</v>
      </c>
      <c r="EB14">
        <f t="shared" si="15"/>
        <v>659</v>
      </c>
      <c r="EC14">
        <f t="shared" si="15"/>
        <v>660</v>
      </c>
      <c r="ED14" t="e">
        <f t="shared" si="15"/>
        <v>#N/A</v>
      </c>
      <c r="EE14" t="e">
        <f t="shared" si="15"/>
        <v>#N/A</v>
      </c>
      <c r="EF14" t="e">
        <f t="shared" si="15"/>
        <v>#N/A</v>
      </c>
      <c r="EG14" t="e">
        <f t="shared" si="15"/>
        <v>#N/A</v>
      </c>
      <c r="EH14" t="e">
        <f t="shared" si="15"/>
        <v>#N/A</v>
      </c>
      <c r="EI14" t="e">
        <f t="shared" si="15"/>
        <v>#N/A</v>
      </c>
      <c r="EJ14" t="e">
        <f t="shared" si="15"/>
        <v>#N/A</v>
      </c>
      <c r="EK14" t="e">
        <f t="shared" si="15"/>
        <v>#N/A</v>
      </c>
      <c r="EL14" t="e">
        <f t="shared" si="15"/>
        <v>#N/A</v>
      </c>
      <c r="EM14" t="e">
        <f t="shared" si="15"/>
        <v>#N/A</v>
      </c>
    </row>
    <row r="15" spans="1:143" x14ac:dyDescent="0.4">
      <c r="A15" t="str">
        <f t="shared" si="16"/>
        <v/>
      </c>
      <c r="B15">
        <v>12</v>
      </c>
      <c r="C15" t="str" cm="1">
        <f t="array" ref="C15">INDEX(auto_Series_Code,B15)</f>
        <v>INDI_004</v>
      </c>
      <c r="D15">
        <f t="shared" si="17"/>
        <v>661</v>
      </c>
      <c r="E15">
        <f t="shared" si="17"/>
        <v>662</v>
      </c>
      <c r="F15">
        <f t="shared" si="17"/>
        <v>663</v>
      </c>
      <c r="G15">
        <f t="shared" si="17"/>
        <v>664</v>
      </c>
      <c r="H15">
        <f t="shared" si="17"/>
        <v>665</v>
      </c>
      <c r="I15">
        <f t="shared" si="17"/>
        <v>666</v>
      </c>
      <c r="J15">
        <f t="shared" si="17"/>
        <v>667</v>
      </c>
      <c r="K15">
        <f t="shared" si="17"/>
        <v>668</v>
      </c>
      <c r="L15">
        <f t="shared" si="17"/>
        <v>669</v>
      </c>
      <c r="M15">
        <f t="shared" si="17"/>
        <v>670</v>
      </c>
      <c r="N15">
        <f t="shared" si="18"/>
        <v>671</v>
      </c>
      <c r="O15">
        <f t="shared" si="18"/>
        <v>672</v>
      </c>
      <c r="P15">
        <f t="shared" si="18"/>
        <v>673</v>
      </c>
      <c r="Q15">
        <f t="shared" si="18"/>
        <v>674</v>
      </c>
      <c r="R15">
        <f t="shared" si="18"/>
        <v>675</v>
      </c>
      <c r="S15">
        <f t="shared" si="18"/>
        <v>676</v>
      </c>
      <c r="T15">
        <f t="shared" si="18"/>
        <v>677</v>
      </c>
      <c r="U15">
        <f t="shared" si="18"/>
        <v>678</v>
      </c>
      <c r="V15">
        <f t="shared" si="18"/>
        <v>679</v>
      </c>
      <c r="W15">
        <f t="shared" si="18"/>
        <v>680</v>
      </c>
      <c r="X15">
        <f t="shared" si="19"/>
        <v>681</v>
      </c>
      <c r="Y15">
        <f t="shared" si="19"/>
        <v>682</v>
      </c>
      <c r="Z15">
        <f t="shared" si="19"/>
        <v>683</v>
      </c>
      <c r="AA15">
        <f t="shared" si="19"/>
        <v>684</v>
      </c>
      <c r="AB15">
        <f t="shared" si="19"/>
        <v>685</v>
      </c>
      <c r="AC15">
        <f t="shared" si="19"/>
        <v>686</v>
      </c>
      <c r="AD15">
        <f t="shared" si="19"/>
        <v>687</v>
      </c>
      <c r="AE15">
        <f t="shared" si="19"/>
        <v>688</v>
      </c>
      <c r="AF15">
        <f t="shared" si="19"/>
        <v>689</v>
      </c>
      <c r="AG15">
        <f t="shared" si="19"/>
        <v>690</v>
      </c>
      <c r="AH15">
        <f t="shared" si="20"/>
        <v>691</v>
      </c>
      <c r="AI15">
        <f t="shared" si="20"/>
        <v>692</v>
      </c>
      <c r="AJ15">
        <f t="shared" si="20"/>
        <v>693</v>
      </c>
      <c r="AK15">
        <f t="shared" si="20"/>
        <v>694</v>
      </c>
      <c r="AL15">
        <f t="shared" si="20"/>
        <v>695</v>
      </c>
      <c r="AM15">
        <f t="shared" si="20"/>
        <v>696</v>
      </c>
      <c r="AN15">
        <f t="shared" si="20"/>
        <v>697</v>
      </c>
      <c r="AO15">
        <f t="shared" si="20"/>
        <v>698</v>
      </c>
      <c r="AP15">
        <f t="shared" si="20"/>
        <v>699</v>
      </c>
      <c r="AQ15">
        <f t="shared" si="20"/>
        <v>700</v>
      </c>
      <c r="AR15">
        <f t="shared" si="21"/>
        <v>701</v>
      </c>
      <c r="AS15">
        <f t="shared" si="21"/>
        <v>702</v>
      </c>
      <c r="AT15">
        <f t="shared" si="21"/>
        <v>703</v>
      </c>
      <c r="AU15">
        <f t="shared" si="21"/>
        <v>704</v>
      </c>
      <c r="AV15">
        <f t="shared" si="21"/>
        <v>705</v>
      </c>
      <c r="AW15">
        <f t="shared" si="21"/>
        <v>706</v>
      </c>
      <c r="AX15">
        <f t="shared" si="21"/>
        <v>707</v>
      </c>
      <c r="AY15">
        <f t="shared" si="21"/>
        <v>708</v>
      </c>
      <c r="AZ15">
        <f t="shared" si="21"/>
        <v>709</v>
      </c>
      <c r="BA15">
        <f t="shared" si="21"/>
        <v>710</v>
      </c>
      <c r="BB15" t="e">
        <f t="shared" si="22"/>
        <v>#N/A</v>
      </c>
      <c r="BC15" t="e">
        <f t="shared" si="22"/>
        <v>#N/A</v>
      </c>
      <c r="BD15" t="e">
        <f t="shared" si="22"/>
        <v>#N/A</v>
      </c>
      <c r="BE15" t="e">
        <f t="shared" si="22"/>
        <v>#N/A</v>
      </c>
      <c r="BF15" t="e">
        <f t="shared" si="22"/>
        <v>#N/A</v>
      </c>
      <c r="BG15" t="e">
        <f t="shared" si="22"/>
        <v>#N/A</v>
      </c>
      <c r="BH15" t="e">
        <f t="shared" si="22"/>
        <v>#N/A</v>
      </c>
      <c r="BI15" t="e">
        <f t="shared" si="22"/>
        <v>#N/A</v>
      </c>
      <c r="BJ15" t="e">
        <f t="shared" si="22"/>
        <v>#N/A</v>
      </c>
      <c r="BK15" t="e">
        <f t="shared" si="22"/>
        <v>#N/A</v>
      </c>
      <c r="BL15" t="e">
        <f t="shared" si="23"/>
        <v>#N/A</v>
      </c>
      <c r="BM15" t="e">
        <f t="shared" si="23"/>
        <v>#N/A</v>
      </c>
      <c r="BN15" t="e">
        <f t="shared" si="23"/>
        <v>#N/A</v>
      </c>
      <c r="BO15" t="e">
        <f t="shared" si="23"/>
        <v>#N/A</v>
      </c>
      <c r="BP15" t="e">
        <f t="shared" si="23"/>
        <v>#N/A</v>
      </c>
      <c r="BQ15" t="e">
        <f t="shared" si="23"/>
        <v>#N/A</v>
      </c>
      <c r="BR15" t="e">
        <f t="shared" si="23"/>
        <v>#N/A</v>
      </c>
      <c r="BS15" t="e">
        <f t="shared" si="23"/>
        <v>#N/A</v>
      </c>
      <c r="BT15" t="e">
        <f t="shared" si="23"/>
        <v>#N/A</v>
      </c>
      <c r="BU15" t="e">
        <f t="shared" si="23"/>
        <v>#N/A</v>
      </c>
      <c r="BV15" t="e">
        <f t="shared" si="24"/>
        <v>#N/A</v>
      </c>
      <c r="BW15" t="e">
        <f t="shared" si="24"/>
        <v>#N/A</v>
      </c>
      <c r="BX15" t="e">
        <f t="shared" si="24"/>
        <v>#N/A</v>
      </c>
      <c r="BY15" t="e">
        <f t="shared" si="24"/>
        <v>#N/A</v>
      </c>
      <c r="BZ15" t="e">
        <f t="shared" si="24"/>
        <v>#N/A</v>
      </c>
      <c r="CA15" t="e">
        <f t="shared" si="24"/>
        <v>#N/A</v>
      </c>
      <c r="CB15" t="e">
        <f t="shared" si="24"/>
        <v>#N/A</v>
      </c>
      <c r="CC15" t="e">
        <f t="shared" si="24"/>
        <v>#N/A</v>
      </c>
      <c r="CD15" t="e">
        <f t="shared" si="24"/>
        <v>#N/A</v>
      </c>
      <c r="CE15" t="e">
        <f t="shared" si="24"/>
        <v>#N/A</v>
      </c>
      <c r="CF15" t="e">
        <f t="shared" si="25"/>
        <v>#N/A</v>
      </c>
      <c r="CG15" t="e">
        <f t="shared" si="25"/>
        <v>#N/A</v>
      </c>
      <c r="CH15" t="e">
        <f t="shared" si="25"/>
        <v>#N/A</v>
      </c>
      <c r="CI15" t="e">
        <f t="shared" si="25"/>
        <v>#N/A</v>
      </c>
      <c r="CJ15" t="e">
        <f t="shared" si="25"/>
        <v>#N/A</v>
      </c>
      <c r="CK15" t="e">
        <f t="shared" si="25"/>
        <v>#N/A</v>
      </c>
      <c r="CL15" t="e">
        <f t="shared" si="25"/>
        <v>#N/A</v>
      </c>
      <c r="CM15" t="e">
        <f t="shared" si="25"/>
        <v>#N/A</v>
      </c>
      <c r="CN15" t="e">
        <f t="shared" si="25"/>
        <v>#N/A</v>
      </c>
      <c r="CO15" t="e">
        <f t="shared" si="25"/>
        <v>#N/A</v>
      </c>
      <c r="CP15" t="e">
        <f t="shared" si="26"/>
        <v>#N/A</v>
      </c>
      <c r="CQ15" t="e">
        <f t="shared" si="26"/>
        <v>#N/A</v>
      </c>
      <c r="CR15" t="e">
        <f t="shared" si="26"/>
        <v>#N/A</v>
      </c>
      <c r="CS15" t="e">
        <f t="shared" si="26"/>
        <v>#N/A</v>
      </c>
      <c r="CT15" t="e">
        <f t="shared" si="26"/>
        <v>#N/A</v>
      </c>
      <c r="CU15" t="e">
        <f t="shared" si="26"/>
        <v>#N/A</v>
      </c>
      <c r="CV15" t="e">
        <f t="shared" si="26"/>
        <v>#N/A</v>
      </c>
      <c r="CW15" t="e">
        <f t="shared" si="26"/>
        <v>#N/A</v>
      </c>
      <c r="CX15" t="e">
        <f t="shared" si="26"/>
        <v>#N/A</v>
      </c>
      <c r="CY15" t="e">
        <f t="shared" si="26"/>
        <v>#N/A</v>
      </c>
      <c r="CZ15" t="e">
        <f t="shared" si="27"/>
        <v>#N/A</v>
      </c>
      <c r="DA15" t="e">
        <f t="shared" si="27"/>
        <v>#N/A</v>
      </c>
      <c r="DB15" t="e">
        <f t="shared" si="27"/>
        <v>#N/A</v>
      </c>
      <c r="DC15" t="e">
        <f t="shared" si="27"/>
        <v>#N/A</v>
      </c>
      <c r="DD15" t="e">
        <f t="shared" si="27"/>
        <v>#N/A</v>
      </c>
      <c r="DE15" t="e">
        <f t="shared" si="27"/>
        <v>#N/A</v>
      </c>
      <c r="DF15" t="e">
        <f t="shared" si="27"/>
        <v>#N/A</v>
      </c>
      <c r="DG15" t="e">
        <f t="shared" si="27"/>
        <v>#N/A</v>
      </c>
      <c r="DH15" t="e">
        <f t="shared" si="27"/>
        <v>#N/A</v>
      </c>
      <c r="DI15" t="e">
        <f t="shared" si="27"/>
        <v>#N/A</v>
      </c>
      <c r="DJ15" t="e">
        <f t="shared" si="28"/>
        <v>#N/A</v>
      </c>
      <c r="DK15" t="e">
        <f t="shared" si="28"/>
        <v>#N/A</v>
      </c>
      <c r="DL15" t="e">
        <f t="shared" si="28"/>
        <v>#N/A</v>
      </c>
      <c r="DM15" t="e">
        <f t="shared" si="28"/>
        <v>#N/A</v>
      </c>
      <c r="DN15" t="e">
        <f t="shared" si="28"/>
        <v>#N/A</v>
      </c>
      <c r="DO15" t="e">
        <f t="shared" si="28"/>
        <v>#N/A</v>
      </c>
      <c r="DP15" t="e">
        <f t="shared" si="28"/>
        <v>#N/A</v>
      </c>
      <c r="DQ15" t="e">
        <f t="shared" si="28"/>
        <v>#N/A</v>
      </c>
      <c r="DR15" t="e">
        <f t="shared" si="28"/>
        <v>#N/A</v>
      </c>
      <c r="DS15" t="e">
        <f t="shared" si="28"/>
        <v>#N/A</v>
      </c>
      <c r="DT15">
        <f t="shared" si="28"/>
        <v>711</v>
      </c>
      <c r="DU15">
        <f t="shared" si="28"/>
        <v>712</v>
      </c>
      <c r="DV15">
        <f t="shared" si="28"/>
        <v>713</v>
      </c>
      <c r="DW15">
        <f t="shared" si="28"/>
        <v>714</v>
      </c>
      <c r="DX15">
        <f t="shared" si="28"/>
        <v>715</v>
      </c>
      <c r="DY15">
        <f t="shared" si="28"/>
        <v>716</v>
      </c>
      <c r="DZ15">
        <f t="shared" si="29"/>
        <v>717</v>
      </c>
      <c r="EA15">
        <f t="shared" si="29"/>
        <v>718</v>
      </c>
      <c r="EB15">
        <f t="shared" si="29"/>
        <v>719</v>
      </c>
      <c r="EC15">
        <f t="shared" si="29"/>
        <v>720</v>
      </c>
      <c r="ED15" t="e">
        <f t="shared" si="29"/>
        <v>#N/A</v>
      </c>
      <c r="EE15" t="e">
        <f t="shared" si="29"/>
        <v>#N/A</v>
      </c>
      <c r="EF15" t="e">
        <f t="shared" si="29"/>
        <v>#N/A</v>
      </c>
      <c r="EG15" t="e">
        <f t="shared" si="29"/>
        <v>#N/A</v>
      </c>
      <c r="EH15" t="e">
        <f t="shared" si="29"/>
        <v>#N/A</v>
      </c>
      <c r="EI15" t="e">
        <f t="shared" si="29"/>
        <v>#N/A</v>
      </c>
      <c r="EJ15" t="e">
        <f t="shared" si="29"/>
        <v>#N/A</v>
      </c>
      <c r="EK15" t="e">
        <f t="shared" si="29"/>
        <v>#N/A</v>
      </c>
      <c r="EL15" t="e">
        <f t="shared" si="29"/>
        <v>#N/A</v>
      </c>
      <c r="EM15" t="e">
        <f t="shared" si="29"/>
        <v>#N/A</v>
      </c>
    </row>
    <row r="16" spans="1:143" x14ac:dyDescent="0.4">
      <c r="A16" t="str">
        <f t="shared" si="16"/>
        <v/>
      </c>
      <c r="B16">
        <v>13</v>
      </c>
      <c r="C16" t="str" cm="1">
        <f t="array" ref="C16">INDEX(auto_Series_Code,B16)</f>
        <v>INDI_005</v>
      </c>
      <c r="D16">
        <f t="shared" si="3"/>
        <v>721</v>
      </c>
      <c r="E16">
        <f t="shared" si="3"/>
        <v>722</v>
      </c>
      <c r="F16">
        <f t="shared" si="3"/>
        <v>723</v>
      </c>
      <c r="G16">
        <f t="shared" si="3"/>
        <v>724</v>
      </c>
      <c r="H16">
        <f t="shared" si="3"/>
        <v>725</v>
      </c>
      <c r="I16">
        <f t="shared" si="3"/>
        <v>726</v>
      </c>
      <c r="J16">
        <f t="shared" si="3"/>
        <v>727</v>
      </c>
      <c r="K16">
        <f t="shared" si="3"/>
        <v>728</v>
      </c>
      <c r="L16">
        <f t="shared" si="3"/>
        <v>729</v>
      </c>
      <c r="M16">
        <f t="shared" si="3"/>
        <v>730</v>
      </c>
      <c r="N16">
        <f t="shared" si="4"/>
        <v>731</v>
      </c>
      <c r="O16">
        <f t="shared" si="4"/>
        <v>732</v>
      </c>
      <c r="P16">
        <f t="shared" si="4"/>
        <v>733</v>
      </c>
      <c r="Q16">
        <f t="shared" si="4"/>
        <v>734</v>
      </c>
      <c r="R16">
        <f t="shared" si="4"/>
        <v>735</v>
      </c>
      <c r="S16">
        <f t="shared" si="4"/>
        <v>736</v>
      </c>
      <c r="T16">
        <f t="shared" si="4"/>
        <v>737</v>
      </c>
      <c r="U16">
        <f t="shared" si="4"/>
        <v>738</v>
      </c>
      <c r="V16">
        <f t="shared" si="4"/>
        <v>739</v>
      </c>
      <c r="W16">
        <f t="shared" si="4"/>
        <v>740</v>
      </c>
      <c r="X16">
        <f t="shared" si="5"/>
        <v>741</v>
      </c>
      <c r="Y16">
        <f t="shared" si="5"/>
        <v>742</v>
      </c>
      <c r="Z16">
        <f t="shared" si="5"/>
        <v>743</v>
      </c>
      <c r="AA16">
        <f t="shared" si="5"/>
        <v>744</v>
      </c>
      <c r="AB16">
        <f t="shared" si="5"/>
        <v>745</v>
      </c>
      <c r="AC16">
        <f t="shared" si="5"/>
        <v>746</v>
      </c>
      <c r="AD16">
        <f t="shared" si="5"/>
        <v>747</v>
      </c>
      <c r="AE16">
        <f t="shared" si="5"/>
        <v>748</v>
      </c>
      <c r="AF16">
        <f t="shared" si="5"/>
        <v>749</v>
      </c>
      <c r="AG16">
        <f t="shared" si="5"/>
        <v>750</v>
      </c>
      <c r="AH16">
        <f t="shared" si="6"/>
        <v>751</v>
      </c>
      <c r="AI16">
        <f t="shared" si="6"/>
        <v>752</v>
      </c>
      <c r="AJ16">
        <f t="shared" si="6"/>
        <v>753</v>
      </c>
      <c r="AK16">
        <f t="shared" si="6"/>
        <v>754</v>
      </c>
      <c r="AL16">
        <f t="shared" si="6"/>
        <v>755</v>
      </c>
      <c r="AM16">
        <f t="shared" si="6"/>
        <v>756</v>
      </c>
      <c r="AN16">
        <f t="shared" si="6"/>
        <v>757</v>
      </c>
      <c r="AO16">
        <f t="shared" si="6"/>
        <v>758</v>
      </c>
      <c r="AP16">
        <f t="shared" si="6"/>
        <v>759</v>
      </c>
      <c r="AQ16">
        <f t="shared" si="6"/>
        <v>760</v>
      </c>
      <c r="AR16">
        <f t="shared" si="7"/>
        <v>761</v>
      </c>
      <c r="AS16">
        <f t="shared" si="7"/>
        <v>762</v>
      </c>
      <c r="AT16">
        <f t="shared" si="7"/>
        <v>763</v>
      </c>
      <c r="AU16">
        <f t="shared" si="7"/>
        <v>764</v>
      </c>
      <c r="AV16">
        <f t="shared" si="7"/>
        <v>765</v>
      </c>
      <c r="AW16">
        <f t="shared" si="7"/>
        <v>766</v>
      </c>
      <c r="AX16">
        <f t="shared" si="7"/>
        <v>767</v>
      </c>
      <c r="AY16">
        <f t="shared" si="7"/>
        <v>768</v>
      </c>
      <c r="AZ16">
        <f t="shared" si="7"/>
        <v>769</v>
      </c>
      <c r="BA16">
        <f t="shared" si="7"/>
        <v>770</v>
      </c>
      <c r="BB16" t="e">
        <f t="shared" si="8"/>
        <v>#N/A</v>
      </c>
      <c r="BC16" t="e">
        <f t="shared" si="8"/>
        <v>#N/A</v>
      </c>
      <c r="BD16" t="e">
        <f t="shared" si="8"/>
        <v>#N/A</v>
      </c>
      <c r="BE16" t="e">
        <f t="shared" si="8"/>
        <v>#N/A</v>
      </c>
      <c r="BF16" t="e">
        <f t="shared" si="8"/>
        <v>#N/A</v>
      </c>
      <c r="BG16" t="e">
        <f t="shared" si="8"/>
        <v>#N/A</v>
      </c>
      <c r="BH16" t="e">
        <f t="shared" si="8"/>
        <v>#N/A</v>
      </c>
      <c r="BI16" t="e">
        <f t="shared" si="8"/>
        <v>#N/A</v>
      </c>
      <c r="BJ16" t="e">
        <f t="shared" si="8"/>
        <v>#N/A</v>
      </c>
      <c r="BK16" t="e">
        <f t="shared" si="8"/>
        <v>#N/A</v>
      </c>
      <c r="BL16" t="e">
        <f t="shared" si="9"/>
        <v>#N/A</v>
      </c>
      <c r="BM16" t="e">
        <f t="shared" si="9"/>
        <v>#N/A</v>
      </c>
      <c r="BN16" t="e">
        <f t="shared" si="9"/>
        <v>#N/A</v>
      </c>
      <c r="BO16" t="e">
        <f t="shared" si="9"/>
        <v>#N/A</v>
      </c>
      <c r="BP16" t="e">
        <f t="shared" si="9"/>
        <v>#N/A</v>
      </c>
      <c r="BQ16" t="e">
        <f t="shared" si="9"/>
        <v>#N/A</v>
      </c>
      <c r="BR16" t="e">
        <f t="shared" si="9"/>
        <v>#N/A</v>
      </c>
      <c r="BS16" t="e">
        <f t="shared" si="9"/>
        <v>#N/A</v>
      </c>
      <c r="BT16" t="e">
        <f t="shared" si="9"/>
        <v>#N/A</v>
      </c>
      <c r="BU16" t="e">
        <f t="shared" si="9"/>
        <v>#N/A</v>
      </c>
      <c r="BV16" t="e">
        <f t="shared" si="10"/>
        <v>#N/A</v>
      </c>
      <c r="BW16" t="e">
        <f t="shared" si="10"/>
        <v>#N/A</v>
      </c>
      <c r="BX16" t="e">
        <f t="shared" si="10"/>
        <v>#N/A</v>
      </c>
      <c r="BY16" t="e">
        <f t="shared" si="10"/>
        <v>#N/A</v>
      </c>
      <c r="BZ16" t="e">
        <f t="shared" si="10"/>
        <v>#N/A</v>
      </c>
      <c r="CA16" t="e">
        <f t="shared" si="10"/>
        <v>#N/A</v>
      </c>
      <c r="CB16" t="e">
        <f t="shared" si="10"/>
        <v>#N/A</v>
      </c>
      <c r="CC16" t="e">
        <f t="shared" si="10"/>
        <v>#N/A</v>
      </c>
      <c r="CD16" t="e">
        <f t="shared" si="10"/>
        <v>#N/A</v>
      </c>
      <c r="CE16" t="e">
        <f t="shared" si="10"/>
        <v>#N/A</v>
      </c>
      <c r="CF16" t="e">
        <f t="shared" si="11"/>
        <v>#N/A</v>
      </c>
      <c r="CG16" t="e">
        <f t="shared" si="11"/>
        <v>#N/A</v>
      </c>
      <c r="CH16" t="e">
        <f t="shared" si="11"/>
        <v>#N/A</v>
      </c>
      <c r="CI16" t="e">
        <f t="shared" si="11"/>
        <v>#N/A</v>
      </c>
      <c r="CJ16" t="e">
        <f t="shared" si="11"/>
        <v>#N/A</v>
      </c>
      <c r="CK16" t="e">
        <f t="shared" si="11"/>
        <v>#N/A</v>
      </c>
      <c r="CL16" t="e">
        <f t="shared" si="11"/>
        <v>#N/A</v>
      </c>
      <c r="CM16" t="e">
        <f t="shared" si="11"/>
        <v>#N/A</v>
      </c>
      <c r="CN16" t="e">
        <f t="shared" si="11"/>
        <v>#N/A</v>
      </c>
      <c r="CO16" t="e">
        <f t="shared" si="11"/>
        <v>#N/A</v>
      </c>
      <c r="CP16" t="e">
        <f t="shared" si="12"/>
        <v>#N/A</v>
      </c>
      <c r="CQ16" t="e">
        <f t="shared" si="12"/>
        <v>#N/A</v>
      </c>
      <c r="CR16" t="e">
        <f t="shared" si="12"/>
        <v>#N/A</v>
      </c>
      <c r="CS16" t="e">
        <f t="shared" si="12"/>
        <v>#N/A</v>
      </c>
      <c r="CT16" t="e">
        <f t="shared" si="12"/>
        <v>#N/A</v>
      </c>
      <c r="CU16" t="e">
        <f t="shared" si="12"/>
        <v>#N/A</v>
      </c>
      <c r="CV16" t="e">
        <f t="shared" si="12"/>
        <v>#N/A</v>
      </c>
      <c r="CW16" t="e">
        <f t="shared" si="12"/>
        <v>#N/A</v>
      </c>
      <c r="CX16" t="e">
        <f t="shared" si="12"/>
        <v>#N/A</v>
      </c>
      <c r="CY16" t="e">
        <f t="shared" si="12"/>
        <v>#N/A</v>
      </c>
      <c r="CZ16" t="e">
        <f t="shared" si="13"/>
        <v>#N/A</v>
      </c>
      <c r="DA16" t="e">
        <f t="shared" si="13"/>
        <v>#N/A</v>
      </c>
      <c r="DB16" t="e">
        <f t="shared" si="13"/>
        <v>#N/A</v>
      </c>
      <c r="DC16" t="e">
        <f t="shared" si="13"/>
        <v>#N/A</v>
      </c>
      <c r="DD16" t="e">
        <f t="shared" si="13"/>
        <v>#N/A</v>
      </c>
      <c r="DE16" t="e">
        <f t="shared" si="13"/>
        <v>#N/A</v>
      </c>
      <c r="DF16" t="e">
        <f t="shared" si="13"/>
        <v>#N/A</v>
      </c>
      <c r="DG16" t="e">
        <f t="shared" si="13"/>
        <v>#N/A</v>
      </c>
      <c r="DH16" t="e">
        <f t="shared" si="13"/>
        <v>#N/A</v>
      </c>
      <c r="DI16" t="e">
        <f t="shared" si="13"/>
        <v>#N/A</v>
      </c>
      <c r="DJ16" t="e">
        <f t="shared" si="14"/>
        <v>#N/A</v>
      </c>
      <c r="DK16" t="e">
        <f t="shared" si="14"/>
        <v>#N/A</v>
      </c>
      <c r="DL16" t="e">
        <f t="shared" si="14"/>
        <v>#N/A</v>
      </c>
      <c r="DM16" t="e">
        <f t="shared" si="14"/>
        <v>#N/A</v>
      </c>
      <c r="DN16" t="e">
        <f t="shared" si="14"/>
        <v>#N/A</v>
      </c>
      <c r="DO16" t="e">
        <f t="shared" si="14"/>
        <v>#N/A</v>
      </c>
      <c r="DP16" t="e">
        <f t="shared" si="14"/>
        <v>#N/A</v>
      </c>
      <c r="DQ16" t="e">
        <f t="shared" si="14"/>
        <v>#N/A</v>
      </c>
      <c r="DR16" t="e">
        <f t="shared" si="14"/>
        <v>#N/A</v>
      </c>
      <c r="DS16" t="e">
        <f t="shared" si="14"/>
        <v>#N/A</v>
      </c>
      <c r="DT16">
        <f t="shared" si="14"/>
        <v>771</v>
      </c>
      <c r="DU16">
        <f t="shared" si="14"/>
        <v>772</v>
      </c>
      <c r="DV16">
        <f t="shared" si="14"/>
        <v>773</v>
      </c>
      <c r="DW16">
        <f t="shared" si="14"/>
        <v>774</v>
      </c>
      <c r="DX16">
        <f t="shared" si="14"/>
        <v>775</v>
      </c>
      <c r="DY16">
        <f t="shared" si="14"/>
        <v>776</v>
      </c>
      <c r="DZ16">
        <f t="shared" si="15"/>
        <v>777</v>
      </c>
      <c r="EA16">
        <f t="shared" si="15"/>
        <v>778</v>
      </c>
      <c r="EB16">
        <f t="shared" si="15"/>
        <v>779</v>
      </c>
      <c r="EC16">
        <f t="shared" si="15"/>
        <v>780</v>
      </c>
      <c r="ED16" t="e">
        <f t="shared" si="15"/>
        <v>#N/A</v>
      </c>
      <c r="EE16" t="e">
        <f t="shared" si="15"/>
        <v>#N/A</v>
      </c>
      <c r="EF16" t="e">
        <f t="shared" si="15"/>
        <v>#N/A</v>
      </c>
      <c r="EG16" t="e">
        <f t="shared" si="15"/>
        <v>#N/A</v>
      </c>
      <c r="EH16" t="e">
        <f t="shared" si="15"/>
        <v>#N/A</v>
      </c>
      <c r="EI16" t="e">
        <f t="shared" si="15"/>
        <v>#N/A</v>
      </c>
      <c r="EJ16" t="e">
        <f t="shared" si="15"/>
        <v>#N/A</v>
      </c>
      <c r="EK16" t="e">
        <f t="shared" si="15"/>
        <v>#N/A</v>
      </c>
      <c r="EL16" t="e">
        <f t="shared" si="15"/>
        <v>#N/A</v>
      </c>
      <c r="EM16" t="e">
        <f t="shared" si="15"/>
        <v>#N/A</v>
      </c>
    </row>
    <row r="17" spans="1:143" x14ac:dyDescent="0.4">
      <c r="A17" t="str">
        <f t="shared" si="16"/>
        <v/>
      </c>
      <c r="B17">
        <v>14</v>
      </c>
      <c r="C17" t="str" cm="1">
        <f t="array" ref="C17">INDEX(auto_Series_Code,B17)</f>
        <v>DOMAIN_002</v>
      </c>
      <c r="D17">
        <f t="shared" si="17"/>
        <v>781</v>
      </c>
      <c r="E17">
        <f t="shared" si="17"/>
        <v>782</v>
      </c>
      <c r="F17">
        <f t="shared" si="17"/>
        <v>783</v>
      </c>
      <c r="G17">
        <f t="shared" si="17"/>
        <v>784</v>
      </c>
      <c r="H17">
        <f t="shared" si="17"/>
        <v>785</v>
      </c>
      <c r="I17">
        <f t="shared" si="17"/>
        <v>786</v>
      </c>
      <c r="J17">
        <f t="shared" si="17"/>
        <v>787</v>
      </c>
      <c r="K17">
        <f t="shared" si="17"/>
        <v>788</v>
      </c>
      <c r="L17">
        <f t="shared" si="17"/>
        <v>789</v>
      </c>
      <c r="M17">
        <f t="shared" si="17"/>
        <v>790</v>
      </c>
      <c r="N17">
        <f t="shared" si="18"/>
        <v>791</v>
      </c>
      <c r="O17">
        <f t="shared" si="18"/>
        <v>792</v>
      </c>
      <c r="P17">
        <f t="shared" si="18"/>
        <v>793</v>
      </c>
      <c r="Q17">
        <f t="shared" si="18"/>
        <v>794</v>
      </c>
      <c r="R17">
        <f t="shared" si="18"/>
        <v>795</v>
      </c>
      <c r="S17">
        <f t="shared" si="18"/>
        <v>796</v>
      </c>
      <c r="T17">
        <f t="shared" si="18"/>
        <v>797</v>
      </c>
      <c r="U17">
        <f t="shared" si="18"/>
        <v>798</v>
      </c>
      <c r="V17">
        <f t="shared" si="18"/>
        <v>799</v>
      </c>
      <c r="W17">
        <f t="shared" si="18"/>
        <v>800</v>
      </c>
      <c r="X17">
        <f t="shared" si="19"/>
        <v>801</v>
      </c>
      <c r="Y17">
        <f t="shared" si="19"/>
        <v>802</v>
      </c>
      <c r="Z17">
        <f t="shared" si="19"/>
        <v>803</v>
      </c>
      <c r="AA17">
        <f t="shared" si="19"/>
        <v>804</v>
      </c>
      <c r="AB17">
        <f t="shared" si="19"/>
        <v>805</v>
      </c>
      <c r="AC17">
        <f t="shared" si="19"/>
        <v>806</v>
      </c>
      <c r="AD17">
        <f t="shared" si="19"/>
        <v>807</v>
      </c>
      <c r="AE17">
        <f t="shared" si="19"/>
        <v>808</v>
      </c>
      <c r="AF17">
        <f t="shared" si="19"/>
        <v>809</v>
      </c>
      <c r="AG17">
        <f t="shared" si="19"/>
        <v>810</v>
      </c>
      <c r="AH17">
        <f t="shared" si="20"/>
        <v>811</v>
      </c>
      <c r="AI17">
        <f t="shared" si="20"/>
        <v>812</v>
      </c>
      <c r="AJ17">
        <f t="shared" si="20"/>
        <v>813</v>
      </c>
      <c r="AK17">
        <f t="shared" si="20"/>
        <v>814</v>
      </c>
      <c r="AL17">
        <f t="shared" si="20"/>
        <v>815</v>
      </c>
      <c r="AM17">
        <f t="shared" si="20"/>
        <v>816</v>
      </c>
      <c r="AN17">
        <f t="shared" si="20"/>
        <v>817</v>
      </c>
      <c r="AO17">
        <f t="shared" si="20"/>
        <v>818</v>
      </c>
      <c r="AP17">
        <f t="shared" si="20"/>
        <v>819</v>
      </c>
      <c r="AQ17">
        <f t="shared" si="20"/>
        <v>820</v>
      </c>
      <c r="AR17">
        <f t="shared" si="21"/>
        <v>821</v>
      </c>
      <c r="AS17">
        <f t="shared" si="21"/>
        <v>822</v>
      </c>
      <c r="AT17">
        <f t="shared" si="21"/>
        <v>823</v>
      </c>
      <c r="AU17">
        <f t="shared" si="21"/>
        <v>824</v>
      </c>
      <c r="AV17">
        <f t="shared" si="21"/>
        <v>825</v>
      </c>
      <c r="AW17">
        <f t="shared" si="21"/>
        <v>826</v>
      </c>
      <c r="AX17">
        <f t="shared" si="21"/>
        <v>827</v>
      </c>
      <c r="AY17">
        <f t="shared" si="21"/>
        <v>828</v>
      </c>
      <c r="AZ17">
        <f t="shared" si="21"/>
        <v>829</v>
      </c>
      <c r="BA17">
        <f t="shared" si="21"/>
        <v>830</v>
      </c>
      <c r="BB17" t="e">
        <f t="shared" si="22"/>
        <v>#N/A</v>
      </c>
      <c r="BC17" t="e">
        <f t="shared" si="22"/>
        <v>#N/A</v>
      </c>
      <c r="BD17" t="e">
        <f t="shared" si="22"/>
        <v>#N/A</v>
      </c>
      <c r="BE17" t="e">
        <f t="shared" si="22"/>
        <v>#N/A</v>
      </c>
      <c r="BF17" t="e">
        <f t="shared" si="22"/>
        <v>#N/A</v>
      </c>
      <c r="BG17" t="e">
        <f t="shared" si="22"/>
        <v>#N/A</v>
      </c>
      <c r="BH17" t="e">
        <f t="shared" si="22"/>
        <v>#N/A</v>
      </c>
      <c r="BI17" t="e">
        <f t="shared" si="22"/>
        <v>#N/A</v>
      </c>
      <c r="BJ17" t="e">
        <f t="shared" si="22"/>
        <v>#N/A</v>
      </c>
      <c r="BK17" t="e">
        <f t="shared" si="22"/>
        <v>#N/A</v>
      </c>
      <c r="BL17" t="e">
        <f t="shared" si="23"/>
        <v>#N/A</v>
      </c>
      <c r="BM17" t="e">
        <f t="shared" si="23"/>
        <v>#N/A</v>
      </c>
      <c r="BN17" t="e">
        <f t="shared" si="23"/>
        <v>#N/A</v>
      </c>
      <c r="BO17" t="e">
        <f t="shared" si="23"/>
        <v>#N/A</v>
      </c>
      <c r="BP17" t="e">
        <f t="shared" si="23"/>
        <v>#N/A</v>
      </c>
      <c r="BQ17" t="e">
        <f t="shared" si="23"/>
        <v>#N/A</v>
      </c>
      <c r="BR17" t="e">
        <f t="shared" si="23"/>
        <v>#N/A</v>
      </c>
      <c r="BS17" t="e">
        <f t="shared" si="23"/>
        <v>#N/A</v>
      </c>
      <c r="BT17" t="e">
        <f t="shared" si="23"/>
        <v>#N/A</v>
      </c>
      <c r="BU17" t="e">
        <f t="shared" si="23"/>
        <v>#N/A</v>
      </c>
      <c r="BV17" t="e">
        <f t="shared" si="24"/>
        <v>#N/A</v>
      </c>
      <c r="BW17" t="e">
        <f t="shared" si="24"/>
        <v>#N/A</v>
      </c>
      <c r="BX17" t="e">
        <f t="shared" si="24"/>
        <v>#N/A</v>
      </c>
      <c r="BY17" t="e">
        <f t="shared" si="24"/>
        <v>#N/A</v>
      </c>
      <c r="BZ17" t="e">
        <f t="shared" si="24"/>
        <v>#N/A</v>
      </c>
      <c r="CA17" t="e">
        <f t="shared" si="24"/>
        <v>#N/A</v>
      </c>
      <c r="CB17" t="e">
        <f t="shared" si="24"/>
        <v>#N/A</v>
      </c>
      <c r="CC17" t="e">
        <f t="shared" si="24"/>
        <v>#N/A</v>
      </c>
      <c r="CD17" t="e">
        <f t="shared" si="24"/>
        <v>#N/A</v>
      </c>
      <c r="CE17" t="e">
        <f t="shared" si="24"/>
        <v>#N/A</v>
      </c>
      <c r="CF17" t="e">
        <f t="shared" si="25"/>
        <v>#N/A</v>
      </c>
      <c r="CG17" t="e">
        <f t="shared" si="25"/>
        <v>#N/A</v>
      </c>
      <c r="CH17" t="e">
        <f t="shared" si="25"/>
        <v>#N/A</v>
      </c>
      <c r="CI17" t="e">
        <f t="shared" si="25"/>
        <v>#N/A</v>
      </c>
      <c r="CJ17" t="e">
        <f t="shared" si="25"/>
        <v>#N/A</v>
      </c>
      <c r="CK17" t="e">
        <f t="shared" si="25"/>
        <v>#N/A</v>
      </c>
      <c r="CL17" t="e">
        <f t="shared" si="25"/>
        <v>#N/A</v>
      </c>
      <c r="CM17" t="e">
        <f t="shared" si="25"/>
        <v>#N/A</v>
      </c>
      <c r="CN17" t="e">
        <f t="shared" si="25"/>
        <v>#N/A</v>
      </c>
      <c r="CO17" t="e">
        <f t="shared" si="25"/>
        <v>#N/A</v>
      </c>
      <c r="CP17" t="e">
        <f t="shared" si="26"/>
        <v>#N/A</v>
      </c>
      <c r="CQ17" t="e">
        <f t="shared" si="26"/>
        <v>#N/A</v>
      </c>
      <c r="CR17" t="e">
        <f t="shared" si="26"/>
        <v>#N/A</v>
      </c>
      <c r="CS17" t="e">
        <f t="shared" si="26"/>
        <v>#N/A</v>
      </c>
      <c r="CT17" t="e">
        <f t="shared" si="26"/>
        <v>#N/A</v>
      </c>
      <c r="CU17" t="e">
        <f t="shared" si="26"/>
        <v>#N/A</v>
      </c>
      <c r="CV17" t="e">
        <f t="shared" si="26"/>
        <v>#N/A</v>
      </c>
      <c r="CW17" t="e">
        <f t="shared" si="26"/>
        <v>#N/A</v>
      </c>
      <c r="CX17" t="e">
        <f t="shared" si="26"/>
        <v>#N/A</v>
      </c>
      <c r="CY17" t="e">
        <f t="shared" si="26"/>
        <v>#N/A</v>
      </c>
      <c r="CZ17" t="e">
        <f t="shared" si="27"/>
        <v>#N/A</v>
      </c>
      <c r="DA17" t="e">
        <f t="shared" si="27"/>
        <v>#N/A</v>
      </c>
      <c r="DB17" t="e">
        <f t="shared" si="27"/>
        <v>#N/A</v>
      </c>
      <c r="DC17" t="e">
        <f t="shared" si="27"/>
        <v>#N/A</v>
      </c>
      <c r="DD17" t="e">
        <f t="shared" si="27"/>
        <v>#N/A</v>
      </c>
      <c r="DE17" t="e">
        <f t="shared" si="27"/>
        <v>#N/A</v>
      </c>
      <c r="DF17" t="e">
        <f t="shared" si="27"/>
        <v>#N/A</v>
      </c>
      <c r="DG17" t="e">
        <f t="shared" si="27"/>
        <v>#N/A</v>
      </c>
      <c r="DH17" t="e">
        <f t="shared" si="27"/>
        <v>#N/A</v>
      </c>
      <c r="DI17" t="e">
        <f t="shared" si="27"/>
        <v>#N/A</v>
      </c>
      <c r="DJ17" t="e">
        <f t="shared" si="28"/>
        <v>#N/A</v>
      </c>
      <c r="DK17" t="e">
        <f t="shared" si="28"/>
        <v>#N/A</v>
      </c>
      <c r="DL17" t="e">
        <f t="shared" si="28"/>
        <v>#N/A</v>
      </c>
      <c r="DM17" t="e">
        <f t="shared" si="28"/>
        <v>#N/A</v>
      </c>
      <c r="DN17" t="e">
        <f t="shared" si="28"/>
        <v>#N/A</v>
      </c>
      <c r="DO17" t="e">
        <f t="shared" si="28"/>
        <v>#N/A</v>
      </c>
      <c r="DP17" t="e">
        <f t="shared" si="28"/>
        <v>#N/A</v>
      </c>
      <c r="DQ17" t="e">
        <f t="shared" si="28"/>
        <v>#N/A</v>
      </c>
      <c r="DR17" t="e">
        <f t="shared" si="28"/>
        <v>#N/A</v>
      </c>
      <c r="DS17" t="e">
        <f t="shared" si="28"/>
        <v>#N/A</v>
      </c>
      <c r="DT17">
        <f t="shared" si="28"/>
        <v>831</v>
      </c>
      <c r="DU17">
        <f t="shared" si="28"/>
        <v>832</v>
      </c>
      <c r="DV17">
        <f t="shared" si="28"/>
        <v>833</v>
      </c>
      <c r="DW17">
        <f t="shared" si="28"/>
        <v>834</v>
      </c>
      <c r="DX17">
        <f t="shared" si="28"/>
        <v>835</v>
      </c>
      <c r="DY17">
        <f t="shared" si="28"/>
        <v>836</v>
      </c>
      <c r="DZ17">
        <f t="shared" si="29"/>
        <v>837</v>
      </c>
      <c r="EA17">
        <f t="shared" si="29"/>
        <v>838</v>
      </c>
      <c r="EB17">
        <f t="shared" si="29"/>
        <v>839</v>
      </c>
      <c r="EC17">
        <f t="shared" si="29"/>
        <v>840</v>
      </c>
      <c r="ED17" t="e">
        <f t="shared" si="29"/>
        <v>#N/A</v>
      </c>
      <c r="EE17" t="e">
        <f t="shared" si="29"/>
        <v>#N/A</v>
      </c>
      <c r="EF17" t="e">
        <f t="shared" si="29"/>
        <v>#N/A</v>
      </c>
      <c r="EG17" t="e">
        <f t="shared" si="29"/>
        <v>#N/A</v>
      </c>
      <c r="EH17" t="e">
        <f t="shared" si="29"/>
        <v>#N/A</v>
      </c>
      <c r="EI17" t="e">
        <f t="shared" si="29"/>
        <v>#N/A</v>
      </c>
      <c r="EJ17" t="e">
        <f t="shared" si="29"/>
        <v>#N/A</v>
      </c>
      <c r="EK17" t="e">
        <f t="shared" si="29"/>
        <v>#N/A</v>
      </c>
      <c r="EL17" t="e">
        <f t="shared" si="29"/>
        <v>#N/A</v>
      </c>
      <c r="EM17" t="e">
        <f t="shared" si="29"/>
        <v>#N/A</v>
      </c>
    </row>
    <row r="18" spans="1:143" x14ac:dyDescent="0.4">
      <c r="A18" t="str">
        <f t="shared" si="16"/>
        <v/>
      </c>
      <c r="B18">
        <v>15</v>
      </c>
      <c r="C18" t="str" cm="1">
        <f t="array" ref="C18">INDEX(auto_Series_Code,B18)</f>
        <v>INDI_006</v>
      </c>
      <c r="D18">
        <f t="shared" si="3"/>
        <v>841</v>
      </c>
      <c r="E18">
        <f t="shared" si="3"/>
        <v>842</v>
      </c>
      <c r="F18">
        <f t="shared" si="3"/>
        <v>843</v>
      </c>
      <c r="G18">
        <f t="shared" si="3"/>
        <v>844</v>
      </c>
      <c r="H18">
        <f t="shared" si="3"/>
        <v>845</v>
      </c>
      <c r="I18">
        <f t="shared" si="3"/>
        <v>846</v>
      </c>
      <c r="J18">
        <f t="shared" si="3"/>
        <v>847</v>
      </c>
      <c r="K18">
        <f t="shared" si="3"/>
        <v>848</v>
      </c>
      <c r="L18">
        <f t="shared" si="3"/>
        <v>849</v>
      </c>
      <c r="M18">
        <f t="shared" si="3"/>
        <v>850</v>
      </c>
      <c r="N18">
        <f t="shared" si="4"/>
        <v>851</v>
      </c>
      <c r="O18">
        <f t="shared" si="4"/>
        <v>852</v>
      </c>
      <c r="P18">
        <f t="shared" si="4"/>
        <v>853</v>
      </c>
      <c r="Q18">
        <f t="shared" si="4"/>
        <v>854</v>
      </c>
      <c r="R18">
        <f t="shared" si="4"/>
        <v>855</v>
      </c>
      <c r="S18">
        <f t="shared" si="4"/>
        <v>856</v>
      </c>
      <c r="T18">
        <f t="shared" si="4"/>
        <v>857</v>
      </c>
      <c r="U18">
        <f t="shared" si="4"/>
        <v>858</v>
      </c>
      <c r="V18">
        <f t="shared" si="4"/>
        <v>859</v>
      </c>
      <c r="W18">
        <f t="shared" si="4"/>
        <v>860</v>
      </c>
      <c r="X18">
        <f t="shared" si="5"/>
        <v>861</v>
      </c>
      <c r="Y18">
        <f t="shared" si="5"/>
        <v>862</v>
      </c>
      <c r="Z18">
        <f t="shared" si="5"/>
        <v>863</v>
      </c>
      <c r="AA18">
        <f t="shared" si="5"/>
        <v>864</v>
      </c>
      <c r="AB18">
        <f t="shared" si="5"/>
        <v>865</v>
      </c>
      <c r="AC18">
        <f t="shared" si="5"/>
        <v>866</v>
      </c>
      <c r="AD18">
        <f t="shared" si="5"/>
        <v>867</v>
      </c>
      <c r="AE18">
        <f t="shared" si="5"/>
        <v>868</v>
      </c>
      <c r="AF18">
        <f t="shared" si="5"/>
        <v>869</v>
      </c>
      <c r="AG18">
        <f t="shared" si="5"/>
        <v>870</v>
      </c>
      <c r="AH18">
        <f t="shared" si="6"/>
        <v>871</v>
      </c>
      <c r="AI18">
        <f t="shared" si="6"/>
        <v>872</v>
      </c>
      <c r="AJ18">
        <f t="shared" si="6"/>
        <v>873</v>
      </c>
      <c r="AK18">
        <f t="shared" si="6"/>
        <v>874</v>
      </c>
      <c r="AL18">
        <f t="shared" si="6"/>
        <v>875</v>
      </c>
      <c r="AM18">
        <f t="shared" si="6"/>
        <v>876</v>
      </c>
      <c r="AN18">
        <f t="shared" si="6"/>
        <v>877</v>
      </c>
      <c r="AO18">
        <f t="shared" si="6"/>
        <v>878</v>
      </c>
      <c r="AP18">
        <f t="shared" si="6"/>
        <v>879</v>
      </c>
      <c r="AQ18">
        <f t="shared" si="6"/>
        <v>880</v>
      </c>
      <c r="AR18">
        <f t="shared" si="7"/>
        <v>881</v>
      </c>
      <c r="AS18">
        <f t="shared" si="7"/>
        <v>882</v>
      </c>
      <c r="AT18">
        <f t="shared" si="7"/>
        <v>883</v>
      </c>
      <c r="AU18">
        <f t="shared" si="7"/>
        <v>884</v>
      </c>
      <c r="AV18">
        <f t="shared" si="7"/>
        <v>885</v>
      </c>
      <c r="AW18">
        <f t="shared" si="7"/>
        <v>886</v>
      </c>
      <c r="AX18">
        <f t="shared" si="7"/>
        <v>887</v>
      </c>
      <c r="AY18">
        <f t="shared" si="7"/>
        <v>888</v>
      </c>
      <c r="AZ18">
        <f t="shared" si="7"/>
        <v>889</v>
      </c>
      <c r="BA18">
        <f t="shared" si="7"/>
        <v>890</v>
      </c>
      <c r="BB18" t="e">
        <f t="shared" si="8"/>
        <v>#N/A</v>
      </c>
      <c r="BC18" t="e">
        <f t="shared" si="8"/>
        <v>#N/A</v>
      </c>
      <c r="BD18" t="e">
        <f t="shared" si="8"/>
        <v>#N/A</v>
      </c>
      <c r="BE18" t="e">
        <f t="shared" si="8"/>
        <v>#N/A</v>
      </c>
      <c r="BF18" t="e">
        <f t="shared" si="8"/>
        <v>#N/A</v>
      </c>
      <c r="BG18" t="e">
        <f t="shared" si="8"/>
        <v>#N/A</v>
      </c>
      <c r="BH18" t="e">
        <f t="shared" si="8"/>
        <v>#N/A</v>
      </c>
      <c r="BI18" t="e">
        <f t="shared" si="8"/>
        <v>#N/A</v>
      </c>
      <c r="BJ18" t="e">
        <f t="shared" si="8"/>
        <v>#N/A</v>
      </c>
      <c r="BK18" t="e">
        <f t="shared" si="8"/>
        <v>#N/A</v>
      </c>
      <c r="BL18" t="e">
        <f t="shared" si="9"/>
        <v>#N/A</v>
      </c>
      <c r="BM18" t="e">
        <f t="shared" si="9"/>
        <v>#N/A</v>
      </c>
      <c r="BN18" t="e">
        <f t="shared" si="9"/>
        <v>#N/A</v>
      </c>
      <c r="BO18" t="e">
        <f t="shared" si="9"/>
        <v>#N/A</v>
      </c>
      <c r="BP18" t="e">
        <f t="shared" si="9"/>
        <v>#N/A</v>
      </c>
      <c r="BQ18" t="e">
        <f t="shared" si="9"/>
        <v>#N/A</v>
      </c>
      <c r="BR18" t="e">
        <f t="shared" si="9"/>
        <v>#N/A</v>
      </c>
      <c r="BS18" t="e">
        <f t="shared" si="9"/>
        <v>#N/A</v>
      </c>
      <c r="BT18" t="e">
        <f t="shared" si="9"/>
        <v>#N/A</v>
      </c>
      <c r="BU18" t="e">
        <f t="shared" si="9"/>
        <v>#N/A</v>
      </c>
      <c r="BV18" t="e">
        <f t="shared" si="10"/>
        <v>#N/A</v>
      </c>
      <c r="BW18" t="e">
        <f t="shared" si="10"/>
        <v>#N/A</v>
      </c>
      <c r="BX18" t="e">
        <f t="shared" si="10"/>
        <v>#N/A</v>
      </c>
      <c r="BY18" t="e">
        <f t="shared" si="10"/>
        <v>#N/A</v>
      </c>
      <c r="BZ18" t="e">
        <f t="shared" si="10"/>
        <v>#N/A</v>
      </c>
      <c r="CA18" t="e">
        <f t="shared" si="10"/>
        <v>#N/A</v>
      </c>
      <c r="CB18" t="e">
        <f t="shared" si="10"/>
        <v>#N/A</v>
      </c>
      <c r="CC18" t="e">
        <f t="shared" si="10"/>
        <v>#N/A</v>
      </c>
      <c r="CD18" t="e">
        <f t="shared" si="10"/>
        <v>#N/A</v>
      </c>
      <c r="CE18" t="e">
        <f t="shared" si="10"/>
        <v>#N/A</v>
      </c>
      <c r="CF18" t="e">
        <f t="shared" si="11"/>
        <v>#N/A</v>
      </c>
      <c r="CG18" t="e">
        <f t="shared" si="11"/>
        <v>#N/A</v>
      </c>
      <c r="CH18" t="e">
        <f t="shared" si="11"/>
        <v>#N/A</v>
      </c>
      <c r="CI18" t="e">
        <f t="shared" si="11"/>
        <v>#N/A</v>
      </c>
      <c r="CJ18" t="e">
        <f t="shared" si="11"/>
        <v>#N/A</v>
      </c>
      <c r="CK18" t="e">
        <f t="shared" si="11"/>
        <v>#N/A</v>
      </c>
      <c r="CL18" t="e">
        <f t="shared" si="11"/>
        <v>#N/A</v>
      </c>
      <c r="CM18" t="e">
        <f t="shared" si="11"/>
        <v>#N/A</v>
      </c>
      <c r="CN18" t="e">
        <f t="shared" si="11"/>
        <v>#N/A</v>
      </c>
      <c r="CO18" t="e">
        <f t="shared" si="11"/>
        <v>#N/A</v>
      </c>
      <c r="CP18" t="e">
        <f t="shared" si="12"/>
        <v>#N/A</v>
      </c>
      <c r="CQ18" t="e">
        <f t="shared" si="12"/>
        <v>#N/A</v>
      </c>
      <c r="CR18" t="e">
        <f t="shared" si="12"/>
        <v>#N/A</v>
      </c>
      <c r="CS18" t="e">
        <f t="shared" si="12"/>
        <v>#N/A</v>
      </c>
      <c r="CT18" t="e">
        <f t="shared" si="12"/>
        <v>#N/A</v>
      </c>
      <c r="CU18" t="e">
        <f t="shared" si="12"/>
        <v>#N/A</v>
      </c>
      <c r="CV18" t="e">
        <f t="shared" si="12"/>
        <v>#N/A</v>
      </c>
      <c r="CW18" t="e">
        <f t="shared" si="12"/>
        <v>#N/A</v>
      </c>
      <c r="CX18" t="e">
        <f t="shared" si="12"/>
        <v>#N/A</v>
      </c>
      <c r="CY18" t="e">
        <f t="shared" si="12"/>
        <v>#N/A</v>
      </c>
      <c r="CZ18" t="e">
        <f t="shared" si="13"/>
        <v>#N/A</v>
      </c>
      <c r="DA18" t="e">
        <f t="shared" si="13"/>
        <v>#N/A</v>
      </c>
      <c r="DB18" t="e">
        <f t="shared" si="13"/>
        <v>#N/A</v>
      </c>
      <c r="DC18" t="e">
        <f t="shared" si="13"/>
        <v>#N/A</v>
      </c>
      <c r="DD18" t="e">
        <f t="shared" si="13"/>
        <v>#N/A</v>
      </c>
      <c r="DE18" t="e">
        <f t="shared" si="13"/>
        <v>#N/A</v>
      </c>
      <c r="DF18" t="e">
        <f t="shared" si="13"/>
        <v>#N/A</v>
      </c>
      <c r="DG18" t="e">
        <f t="shared" si="13"/>
        <v>#N/A</v>
      </c>
      <c r="DH18" t="e">
        <f t="shared" si="13"/>
        <v>#N/A</v>
      </c>
      <c r="DI18" t="e">
        <f t="shared" si="13"/>
        <v>#N/A</v>
      </c>
      <c r="DJ18" t="e">
        <f t="shared" si="14"/>
        <v>#N/A</v>
      </c>
      <c r="DK18" t="e">
        <f t="shared" si="14"/>
        <v>#N/A</v>
      </c>
      <c r="DL18" t="e">
        <f t="shared" si="14"/>
        <v>#N/A</v>
      </c>
      <c r="DM18" t="e">
        <f t="shared" si="14"/>
        <v>#N/A</v>
      </c>
      <c r="DN18" t="e">
        <f t="shared" si="14"/>
        <v>#N/A</v>
      </c>
      <c r="DO18" t="e">
        <f t="shared" si="14"/>
        <v>#N/A</v>
      </c>
      <c r="DP18" t="e">
        <f t="shared" si="14"/>
        <v>#N/A</v>
      </c>
      <c r="DQ18" t="e">
        <f t="shared" si="14"/>
        <v>#N/A</v>
      </c>
      <c r="DR18" t="e">
        <f t="shared" si="14"/>
        <v>#N/A</v>
      </c>
      <c r="DS18" t="e">
        <f t="shared" si="14"/>
        <v>#N/A</v>
      </c>
      <c r="DT18">
        <f t="shared" si="14"/>
        <v>891</v>
      </c>
      <c r="DU18">
        <f t="shared" si="14"/>
        <v>892</v>
      </c>
      <c r="DV18">
        <f t="shared" si="14"/>
        <v>893</v>
      </c>
      <c r="DW18">
        <f t="shared" si="14"/>
        <v>894</v>
      </c>
      <c r="DX18">
        <f t="shared" si="14"/>
        <v>895</v>
      </c>
      <c r="DY18">
        <f t="shared" si="14"/>
        <v>896</v>
      </c>
      <c r="DZ18">
        <f t="shared" si="15"/>
        <v>897</v>
      </c>
      <c r="EA18">
        <f t="shared" si="15"/>
        <v>898</v>
      </c>
      <c r="EB18">
        <f t="shared" si="15"/>
        <v>899</v>
      </c>
      <c r="EC18">
        <f t="shared" si="15"/>
        <v>900</v>
      </c>
      <c r="ED18" t="e">
        <f t="shared" si="15"/>
        <v>#N/A</v>
      </c>
      <c r="EE18" t="e">
        <f t="shared" si="15"/>
        <v>#N/A</v>
      </c>
      <c r="EF18" t="e">
        <f t="shared" si="15"/>
        <v>#N/A</v>
      </c>
      <c r="EG18" t="e">
        <f t="shared" si="15"/>
        <v>#N/A</v>
      </c>
      <c r="EH18" t="e">
        <f t="shared" si="15"/>
        <v>#N/A</v>
      </c>
      <c r="EI18" t="e">
        <f t="shared" si="15"/>
        <v>#N/A</v>
      </c>
      <c r="EJ18" t="e">
        <f t="shared" si="15"/>
        <v>#N/A</v>
      </c>
      <c r="EK18" t="e">
        <f t="shared" si="15"/>
        <v>#N/A</v>
      </c>
      <c r="EL18" t="e">
        <f t="shared" si="15"/>
        <v>#N/A</v>
      </c>
      <c r="EM18" t="e">
        <f t="shared" si="15"/>
        <v>#N/A</v>
      </c>
    </row>
    <row r="19" spans="1:143" x14ac:dyDescent="0.4">
      <c r="A19" t="str">
        <f t="shared" si="16"/>
        <v/>
      </c>
      <c r="B19">
        <v>16</v>
      </c>
      <c r="C19" t="str" cm="1">
        <f t="array" ref="C19">INDEX(auto_Series_Code,B19)</f>
        <v>INDI_007</v>
      </c>
      <c r="D19">
        <f t="shared" si="17"/>
        <v>901</v>
      </c>
      <c r="E19">
        <f t="shared" si="17"/>
        <v>902</v>
      </c>
      <c r="F19">
        <f t="shared" si="17"/>
        <v>903</v>
      </c>
      <c r="G19">
        <f t="shared" si="17"/>
        <v>904</v>
      </c>
      <c r="H19">
        <f t="shared" si="17"/>
        <v>905</v>
      </c>
      <c r="I19">
        <f t="shared" si="17"/>
        <v>906</v>
      </c>
      <c r="J19">
        <f t="shared" si="17"/>
        <v>907</v>
      </c>
      <c r="K19">
        <f t="shared" si="17"/>
        <v>908</v>
      </c>
      <c r="L19">
        <f t="shared" si="17"/>
        <v>909</v>
      </c>
      <c r="M19">
        <f t="shared" si="17"/>
        <v>910</v>
      </c>
      <c r="N19">
        <f t="shared" si="18"/>
        <v>911</v>
      </c>
      <c r="O19">
        <f t="shared" si="18"/>
        <v>912</v>
      </c>
      <c r="P19">
        <f t="shared" si="18"/>
        <v>913</v>
      </c>
      <c r="Q19">
        <f t="shared" si="18"/>
        <v>914</v>
      </c>
      <c r="R19">
        <f t="shared" si="18"/>
        <v>915</v>
      </c>
      <c r="S19">
        <f t="shared" si="18"/>
        <v>916</v>
      </c>
      <c r="T19">
        <f t="shared" si="18"/>
        <v>917</v>
      </c>
      <c r="U19">
        <f t="shared" si="18"/>
        <v>918</v>
      </c>
      <c r="V19">
        <f t="shared" si="18"/>
        <v>919</v>
      </c>
      <c r="W19">
        <f t="shared" si="18"/>
        <v>920</v>
      </c>
      <c r="X19">
        <f t="shared" si="19"/>
        <v>921</v>
      </c>
      <c r="Y19">
        <f t="shared" si="19"/>
        <v>922</v>
      </c>
      <c r="Z19">
        <f t="shared" si="19"/>
        <v>923</v>
      </c>
      <c r="AA19">
        <f t="shared" si="19"/>
        <v>924</v>
      </c>
      <c r="AB19">
        <f t="shared" si="19"/>
        <v>925</v>
      </c>
      <c r="AC19">
        <f t="shared" si="19"/>
        <v>926</v>
      </c>
      <c r="AD19">
        <f t="shared" si="19"/>
        <v>927</v>
      </c>
      <c r="AE19">
        <f t="shared" si="19"/>
        <v>928</v>
      </c>
      <c r="AF19">
        <f t="shared" si="19"/>
        <v>929</v>
      </c>
      <c r="AG19">
        <f t="shared" si="19"/>
        <v>930</v>
      </c>
      <c r="AH19">
        <f t="shared" si="20"/>
        <v>931</v>
      </c>
      <c r="AI19">
        <f t="shared" si="20"/>
        <v>932</v>
      </c>
      <c r="AJ19">
        <f t="shared" si="20"/>
        <v>933</v>
      </c>
      <c r="AK19">
        <f t="shared" si="20"/>
        <v>934</v>
      </c>
      <c r="AL19">
        <f t="shared" si="20"/>
        <v>935</v>
      </c>
      <c r="AM19">
        <f t="shared" si="20"/>
        <v>936</v>
      </c>
      <c r="AN19">
        <f t="shared" si="20"/>
        <v>937</v>
      </c>
      <c r="AO19">
        <f t="shared" si="20"/>
        <v>938</v>
      </c>
      <c r="AP19">
        <f t="shared" si="20"/>
        <v>939</v>
      </c>
      <c r="AQ19">
        <f t="shared" si="20"/>
        <v>940</v>
      </c>
      <c r="AR19">
        <f t="shared" si="21"/>
        <v>941</v>
      </c>
      <c r="AS19">
        <f t="shared" si="21"/>
        <v>942</v>
      </c>
      <c r="AT19">
        <f t="shared" si="21"/>
        <v>943</v>
      </c>
      <c r="AU19">
        <f t="shared" si="21"/>
        <v>944</v>
      </c>
      <c r="AV19">
        <f t="shared" si="21"/>
        <v>945</v>
      </c>
      <c r="AW19">
        <f t="shared" si="21"/>
        <v>946</v>
      </c>
      <c r="AX19">
        <f t="shared" si="21"/>
        <v>947</v>
      </c>
      <c r="AY19">
        <f t="shared" si="21"/>
        <v>948</v>
      </c>
      <c r="AZ19">
        <f t="shared" si="21"/>
        <v>949</v>
      </c>
      <c r="BA19">
        <f t="shared" si="21"/>
        <v>950</v>
      </c>
      <c r="BB19" t="e">
        <f t="shared" si="22"/>
        <v>#N/A</v>
      </c>
      <c r="BC19" t="e">
        <f t="shared" si="22"/>
        <v>#N/A</v>
      </c>
      <c r="BD19" t="e">
        <f t="shared" si="22"/>
        <v>#N/A</v>
      </c>
      <c r="BE19" t="e">
        <f t="shared" si="22"/>
        <v>#N/A</v>
      </c>
      <c r="BF19" t="e">
        <f t="shared" si="22"/>
        <v>#N/A</v>
      </c>
      <c r="BG19" t="e">
        <f t="shared" si="22"/>
        <v>#N/A</v>
      </c>
      <c r="BH19" t="e">
        <f t="shared" si="22"/>
        <v>#N/A</v>
      </c>
      <c r="BI19" t="e">
        <f t="shared" si="22"/>
        <v>#N/A</v>
      </c>
      <c r="BJ19" t="e">
        <f t="shared" si="22"/>
        <v>#N/A</v>
      </c>
      <c r="BK19" t="e">
        <f t="shared" si="22"/>
        <v>#N/A</v>
      </c>
      <c r="BL19" t="e">
        <f t="shared" si="23"/>
        <v>#N/A</v>
      </c>
      <c r="BM19" t="e">
        <f t="shared" si="23"/>
        <v>#N/A</v>
      </c>
      <c r="BN19" t="e">
        <f t="shared" si="23"/>
        <v>#N/A</v>
      </c>
      <c r="BO19" t="e">
        <f t="shared" si="23"/>
        <v>#N/A</v>
      </c>
      <c r="BP19" t="e">
        <f t="shared" si="23"/>
        <v>#N/A</v>
      </c>
      <c r="BQ19" t="e">
        <f t="shared" si="23"/>
        <v>#N/A</v>
      </c>
      <c r="BR19" t="e">
        <f t="shared" si="23"/>
        <v>#N/A</v>
      </c>
      <c r="BS19" t="e">
        <f t="shared" si="23"/>
        <v>#N/A</v>
      </c>
      <c r="BT19" t="e">
        <f t="shared" si="23"/>
        <v>#N/A</v>
      </c>
      <c r="BU19" t="e">
        <f t="shared" si="23"/>
        <v>#N/A</v>
      </c>
      <c r="BV19" t="e">
        <f t="shared" si="24"/>
        <v>#N/A</v>
      </c>
      <c r="BW19" t="e">
        <f t="shared" si="24"/>
        <v>#N/A</v>
      </c>
      <c r="BX19" t="e">
        <f t="shared" si="24"/>
        <v>#N/A</v>
      </c>
      <c r="BY19" t="e">
        <f t="shared" si="24"/>
        <v>#N/A</v>
      </c>
      <c r="BZ19" t="e">
        <f t="shared" si="24"/>
        <v>#N/A</v>
      </c>
      <c r="CA19" t="e">
        <f t="shared" si="24"/>
        <v>#N/A</v>
      </c>
      <c r="CB19" t="e">
        <f t="shared" si="24"/>
        <v>#N/A</v>
      </c>
      <c r="CC19" t="e">
        <f t="shared" si="24"/>
        <v>#N/A</v>
      </c>
      <c r="CD19" t="e">
        <f t="shared" si="24"/>
        <v>#N/A</v>
      </c>
      <c r="CE19" t="e">
        <f t="shared" si="24"/>
        <v>#N/A</v>
      </c>
      <c r="CF19" t="e">
        <f t="shared" si="25"/>
        <v>#N/A</v>
      </c>
      <c r="CG19" t="e">
        <f t="shared" si="25"/>
        <v>#N/A</v>
      </c>
      <c r="CH19" t="e">
        <f t="shared" si="25"/>
        <v>#N/A</v>
      </c>
      <c r="CI19" t="e">
        <f t="shared" si="25"/>
        <v>#N/A</v>
      </c>
      <c r="CJ19" t="e">
        <f t="shared" si="25"/>
        <v>#N/A</v>
      </c>
      <c r="CK19" t="e">
        <f t="shared" si="25"/>
        <v>#N/A</v>
      </c>
      <c r="CL19" t="e">
        <f t="shared" si="25"/>
        <v>#N/A</v>
      </c>
      <c r="CM19" t="e">
        <f t="shared" si="25"/>
        <v>#N/A</v>
      </c>
      <c r="CN19" t="e">
        <f t="shared" si="25"/>
        <v>#N/A</v>
      </c>
      <c r="CO19" t="e">
        <f t="shared" si="25"/>
        <v>#N/A</v>
      </c>
      <c r="CP19" t="e">
        <f t="shared" si="26"/>
        <v>#N/A</v>
      </c>
      <c r="CQ19" t="e">
        <f t="shared" si="26"/>
        <v>#N/A</v>
      </c>
      <c r="CR19" t="e">
        <f t="shared" si="26"/>
        <v>#N/A</v>
      </c>
      <c r="CS19" t="e">
        <f t="shared" si="26"/>
        <v>#N/A</v>
      </c>
      <c r="CT19" t="e">
        <f t="shared" si="26"/>
        <v>#N/A</v>
      </c>
      <c r="CU19" t="e">
        <f t="shared" si="26"/>
        <v>#N/A</v>
      </c>
      <c r="CV19" t="e">
        <f t="shared" si="26"/>
        <v>#N/A</v>
      </c>
      <c r="CW19" t="e">
        <f t="shared" si="26"/>
        <v>#N/A</v>
      </c>
      <c r="CX19" t="e">
        <f t="shared" si="26"/>
        <v>#N/A</v>
      </c>
      <c r="CY19" t="e">
        <f t="shared" si="26"/>
        <v>#N/A</v>
      </c>
      <c r="CZ19" t="e">
        <f t="shared" si="27"/>
        <v>#N/A</v>
      </c>
      <c r="DA19" t="e">
        <f t="shared" si="27"/>
        <v>#N/A</v>
      </c>
      <c r="DB19" t="e">
        <f t="shared" si="27"/>
        <v>#N/A</v>
      </c>
      <c r="DC19" t="e">
        <f t="shared" si="27"/>
        <v>#N/A</v>
      </c>
      <c r="DD19" t="e">
        <f t="shared" si="27"/>
        <v>#N/A</v>
      </c>
      <c r="DE19" t="e">
        <f t="shared" si="27"/>
        <v>#N/A</v>
      </c>
      <c r="DF19" t="e">
        <f t="shared" si="27"/>
        <v>#N/A</v>
      </c>
      <c r="DG19" t="e">
        <f t="shared" si="27"/>
        <v>#N/A</v>
      </c>
      <c r="DH19" t="e">
        <f t="shared" si="27"/>
        <v>#N/A</v>
      </c>
      <c r="DI19" t="e">
        <f t="shared" si="27"/>
        <v>#N/A</v>
      </c>
      <c r="DJ19" t="e">
        <f t="shared" si="28"/>
        <v>#N/A</v>
      </c>
      <c r="DK19" t="e">
        <f t="shared" si="28"/>
        <v>#N/A</v>
      </c>
      <c r="DL19" t="e">
        <f t="shared" si="28"/>
        <v>#N/A</v>
      </c>
      <c r="DM19" t="e">
        <f t="shared" si="28"/>
        <v>#N/A</v>
      </c>
      <c r="DN19" t="e">
        <f t="shared" si="28"/>
        <v>#N/A</v>
      </c>
      <c r="DO19" t="e">
        <f t="shared" si="28"/>
        <v>#N/A</v>
      </c>
      <c r="DP19" t="e">
        <f t="shared" si="28"/>
        <v>#N/A</v>
      </c>
      <c r="DQ19" t="e">
        <f t="shared" si="28"/>
        <v>#N/A</v>
      </c>
      <c r="DR19" t="e">
        <f t="shared" si="28"/>
        <v>#N/A</v>
      </c>
      <c r="DS19" t="e">
        <f t="shared" si="28"/>
        <v>#N/A</v>
      </c>
      <c r="DT19">
        <f t="shared" si="28"/>
        <v>951</v>
      </c>
      <c r="DU19">
        <f t="shared" si="28"/>
        <v>952</v>
      </c>
      <c r="DV19">
        <f t="shared" si="28"/>
        <v>953</v>
      </c>
      <c r="DW19">
        <f t="shared" si="28"/>
        <v>954</v>
      </c>
      <c r="DX19">
        <f t="shared" si="28"/>
        <v>955</v>
      </c>
      <c r="DY19">
        <f t="shared" si="28"/>
        <v>956</v>
      </c>
      <c r="DZ19">
        <f t="shared" si="29"/>
        <v>957</v>
      </c>
      <c r="EA19">
        <f t="shared" si="29"/>
        <v>958</v>
      </c>
      <c r="EB19">
        <f t="shared" si="29"/>
        <v>959</v>
      </c>
      <c r="EC19">
        <f t="shared" si="29"/>
        <v>960</v>
      </c>
      <c r="ED19" t="e">
        <f t="shared" si="29"/>
        <v>#N/A</v>
      </c>
      <c r="EE19" t="e">
        <f t="shared" si="29"/>
        <v>#N/A</v>
      </c>
      <c r="EF19" t="e">
        <f t="shared" si="29"/>
        <v>#N/A</v>
      </c>
      <c r="EG19" t="e">
        <f t="shared" si="29"/>
        <v>#N/A</v>
      </c>
      <c r="EH19" t="e">
        <f t="shared" si="29"/>
        <v>#N/A</v>
      </c>
      <c r="EI19" t="e">
        <f t="shared" si="29"/>
        <v>#N/A</v>
      </c>
      <c r="EJ19" t="e">
        <f t="shared" si="29"/>
        <v>#N/A</v>
      </c>
      <c r="EK19" t="e">
        <f t="shared" si="29"/>
        <v>#N/A</v>
      </c>
      <c r="EL19" t="e">
        <f t="shared" si="29"/>
        <v>#N/A</v>
      </c>
      <c r="EM19" t="e">
        <f t="shared" si="29"/>
        <v>#N/A</v>
      </c>
    </row>
    <row r="20" spans="1:143" x14ac:dyDescent="0.4">
      <c r="A20" t="str">
        <f t="shared" si="16"/>
        <v/>
      </c>
      <c r="B20">
        <v>17</v>
      </c>
      <c r="C20" t="str" cm="1">
        <f t="array" ref="C20">INDEX(auto_Series_Code,B20)</f>
        <v>INDI_008</v>
      </c>
      <c r="D20">
        <f t="shared" si="3"/>
        <v>961</v>
      </c>
      <c r="E20">
        <f t="shared" si="3"/>
        <v>962</v>
      </c>
      <c r="F20">
        <f t="shared" si="3"/>
        <v>963</v>
      </c>
      <c r="G20">
        <f t="shared" si="3"/>
        <v>964</v>
      </c>
      <c r="H20">
        <f t="shared" si="3"/>
        <v>965</v>
      </c>
      <c r="I20">
        <f t="shared" si="3"/>
        <v>966</v>
      </c>
      <c r="J20">
        <f t="shared" si="3"/>
        <v>967</v>
      </c>
      <c r="K20">
        <f t="shared" si="3"/>
        <v>968</v>
      </c>
      <c r="L20">
        <f t="shared" si="3"/>
        <v>969</v>
      </c>
      <c r="M20">
        <f t="shared" si="3"/>
        <v>970</v>
      </c>
      <c r="N20">
        <f t="shared" si="4"/>
        <v>971</v>
      </c>
      <c r="O20">
        <f t="shared" si="4"/>
        <v>972</v>
      </c>
      <c r="P20">
        <f t="shared" si="4"/>
        <v>973</v>
      </c>
      <c r="Q20">
        <f t="shared" si="4"/>
        <v>974</v>
      </c>
      <c r="R20">
        <f t="shared" si="4"/>
        <v>975</v>
      </c>
      <c r="S20">
        <f t="shared" si="4"/>
        <v>976</v>
      </c>
      <c r="T20">
        <f t="shared" si="4"/>
        <v>977</v>
      </c>
      <c r="U20">
        <f t="shared" si="4"/>
        <v>978</v>
      </c>
      <c r="V20">
        <f t="shared" si="4"/>
        <v>979</v>
      </c>
      <c r="W20">
        <f t="shared" si="4"/>
        <v>980</v>
      </c>
      <c r="X20">
        <f t="shared" si="5"/>
        <v>981</v>
      </c>
      <c r="Y20">
        <f t="shared" si="5"/>
        <v>982</v>
      </c>
      <c r="Z20">
        <f t="shared" si="5"/>
        <v>983</v>
      </c>
      <c r="AA20">
        <f t="shared" si="5"/>
        <v>984</v>
      </c>
      <c r="AB20">
        <f t="shared" si="5"/>
        <v>985</v>
      </c>
      <c r="AC20">
        <f t="shared" si="5"/>
        <v>986</v>
      </c>
      <c r="AD20">
        <f t="shared" si="5"/>
        <v>987</v>
      </c>
      <c r="AE20">
        <f t="shared" si="5"/>
        <v>988</v>
      </c>
      <c r="AF20">
        <f t="shared" si="5"/>
        <v>989</v>
      </c>
      <c r="AG20">
        <f t="shared" si="5"/>
        <v>990</v>
      </c>
      <c r="AH20">
        <f t="shared" si="6"/>
        <v>991</v>
      </c>
      <c r="AI20">
        <f t="shared" si="6"/>
        <v>992</v>
      </c>
      <c r="AJ20">
        <f t="shared" si="6"/>
        <v>993</v>
      </c>
      <c r="AK20">
        <f t="shared" si="6"/>
        <v>994</v>
      </c>
      <c r="AL20">
        <f t="shared" si="6"/>
        <v>995</v>
      </c>
      <c r="AM20">
        <f t="shared" si="6"/>
        <v>996</v>
      </c>
      <c r="AN20">
        <f t="shared" si="6"/>
        <v>997</v>
      </c>
      <c r="AO20">
        <f t="shared" si="6"/>
        <v>998</v>
      </c>
      <c r="AP20">
        <f t="shared" si="6"/>
        <v>999</v>
      </c>
      <c r="AQ20">
        <f t="shared" si="6"/>
        <v>1000</v>
      </c>
      <c r="AR20">
        <f t="shared" si="7"/>
        <v>1001</v>
      </c>
      <c r="AS20">
        <f t="shared" si="7"/>
        <v>1002</v>
      </c>
      <c r="AT20">
        <f t="shared" si="7"/>
        <v>1003</v>
      </c>
      <c r="AU20">
        <f t="shared" si="7"/>
        <v>1004</v>
      </c>
      <c r="AV20">
        <f t="shared" si="7"/>
        <v>1005</v>
      </c>
      <c r="AW20">
        <f t="shared" si="7"/>
        <v>1006</v>
      </c>
      <c r="AX20">
        <f t="shared" si="7"/>
        <v>1007</v>
      </c>
      <c r="AY20">
        <f t="shared" si="7"/>
        <v>1008</v>
      </c>
      <c r="AZ20">
        <f t="shared" si="7"/>
        <v>1009</v>
      </c>
      <c r="BA20">
        <f t="shared" si="7"/>
        <v>1010</v>
      </c>
      <c r="BB20" t="e">
        <f t="shared" si="8"/>
        <v>#N/A</v>
      </c>
      <c r="BC20" t="e">
        <f t="shared" si="8"/>
        <v>#N/A</v>
      </c>
      <c r="BD20" t="e">
        <f t="shared" si="8"/>
        <v>#N/A</v>
      </c>
      <c r="BE20" t="e">
        <f t="shared" si="8"/>
        <v>#N/A</v>
      </c>
      <c r="BF20" t="e">
        <f t="shared" si="8"/>
        <v>#N/A</v>
      </c>
      <c r="BG20" t="e">
        <f t="shared" si="8"/>
        <v>#N/A</v>
      </c>
      <c r="BH20" t="e">
        <f t="shared" si="8"/>
        <v>#N/A</v>
      </c>
      <c r="BI20" t="e">
        <f t="shared" si="8"/>
        <v>#N/A</v>
      </c>
      <c r="BJ20" t="e">
        <f t="shared" si="8"/>
        <v>#N/A</v>
      </c>
      <c r="BK20" t="e">
        <f t="shared" si="8"/>
        <v>#N/A</v>
      </c>
      <c r="BL20" t="e">
        <f t="shared" si="9"/>
        <v>#N/A</v>
      </c>
      <c r="BM20" t="e">
        <f t="shared" si="9"/>
        <v>#N/A</v>
      </c>
      <c r="BN20" t="e">
        <f t="shared" si="9"/>
        <v>#N/A</v>
      </c>
      <c r="BO20" t="e">
        <f t="shared" si="9"/>
        <v>#N/A</v>
      </c>
      <c r="BP20" t="e">
        <f t="shared" si="9"/>
        <v>#N/A</v>
      </c>
      <c r="BQ20" t="e">
        <f t="shared" si="9"/>
        <v>#N/A</v>
      </c>
      <c r="BR20" t="e">
        <f t="shared" si="9"/>
        <v>#N/A</v>
      </c>
      <c r="BS20" t="e">
        <f t="shared" si="9"/>
        <v>#N/A</v>
      </c>
      <c r="BT20" t="e">
        <f t="shared" si="9"/>
        <v>#N/A</v>
      </c>
      <c r="BU20" t="e">
        <f t="shared" si="9"/>
        <v>#N/A</v>
      </c>
      <c r="BV20" t="e">
        <f t="shared" si="10"/>
        <v>#N/A</v>
      </c>
      <c r="BW20" t="e">
        <f t="shared" si="10"/>
        <v>#N/A</v>
      </c>
      <c r="BX20" t="e">
        <f t="shared" si="10"/>
        <v>#N/A</v>
      </c>
      <c r="BY20" t="e">
        <f t="shared" si="10"/>
        <v>#N/A</v>
      </c>
      <c r="BZ20" t="e">
        <f t="shared" si="10"/>
        <v>#N/A</v>
      </c>
      <c r="CA20" t="e">
        <f t="shared" si="10"/>
        <v>#N/A</v>
      </c>
      <c r="CB20" t="e">
        <f t="shared" si="10"/>
        <v>#N/A</v>
      </c>
      <c r="CC20" t="e">
        <f t="shared" si="10"/>
        <v>#N/A</v>
      </c>
      <c r="CD20" t="e">
        <f t="shared" si="10"/>
        <v>#N/A</v>
      </c>
      <c r="CE20" t="e">
        <f t="shared" si="10"/>
        <v>#N/A</v>
      </c>
      <c r="CF20" t="e">
        <f t="shared" si="11"/>
        <v>#N/A</v>
      </c>
      <c r="CG20" t="e">
        <f t="shared" si="11"/>
        <v>#N/A</v>
      </c>
      <c r="CH20" t="e">
        <f t="shared" si="11"/>
        <v>#N/A</v>
      </c>
      <c r="CI20" t="e">
        <f t="shared" si="11"/>
        <v>#N/A</v>
      </c>
      <c r="CJ20" t="e">
        <f t="shared" si="11"/>
        <v>#N/A</v>
      </c>
      <c r="CK20" t="e">
        <f t="shared" si="11"/>
        <v>#N/A</v>
      </c>
      <c r="CL20" t="e">
        <f t="shared" si="11"/>
        <v>#N/A</v>
      </c>
      <c r="CM20" t="e">
        <f t="shared" si="11"/>
        <v>#N/A</v>
      </c>
      <c r="CN20" t="e">
        <f t="shared" si="11"/>
        <v>#N/A</v>
      </c>
      <c r="CO20" t="e">
        <f t="shared" si="11"/>
        <v>#N/A</v>
      </c>
      <c r="CP20" t="e">
        <f t="shared" si="12"/>
        <v>#N/A</v>
      </c>
      <c r="CQ20" t="e">
        <f t="shared" si="12"/>
        <v>#N/A</v>
      </c>
      <c r="CR20" t="e">
        <f t="shared" si="12"/>
        <v>#N/A</v>
      </c>
      <c r="CS20" t="e">
        <f t="shared" si="12"/>
        <v>#N/A</v>
      </c>
      <c r="CT20" t="e">
        <f t="shared" si="12"/>
        <v>#N/A</v>
      </c>
      <c r="CU20" t="e">
        <f t="shared" si="12"/>
        <v>#N/A</v>
      </c>
      <c r="CV20" t="e">
        <f t="shared" si="12"/>
        <v>#N/A</v>
      </c>
      <c r="CW20" t="e">
        <f t="shared" si="12"/>
        <v>#N/A</v>
      </c>
      <c r="CX20" t="e">
        <f t="shared" si="12"/>
        <v>#N/A</v>
      </c>
      <c r="CY20" t="e">
        <f t="shared" si="12"/>
        <v>#N/A</v>
      </c>
      <c r="CZ20" t="e">
        <f t="shared" si="13"/>
        <v>#N/A</v>
      </c>
      <c r="DA20" t="e">
        <f t="shared" si="13"/>
        <v>#N/A</v>
      </c>
      <c r="DB20" t="e">
        <f t="shared" si="13"/>
        <v>#N/A</v>
      </c>
      <c r="DC20" t="e">
        <f t="shared" si="13"/>
        <v>#N/A</v>
      </c>
      <c r="DD20" t="e">
        <f t="shared" si="13"/>
        <v>#N/A</v>
      </c>
      <c r="DE20" t="e">
        <f t="shared" si="13"/>
        <v>#N/A</v>
      </c>
      <c r="DF20" t="e">
        <f t="shared" si="13"/>
        <v>#N/A</v>
      </c>
      <c r="DG20" t="e">
        <f t="shared" si="13"/>
        <v>#N/A</v>
      </c>
      <c r="DH20" t="e">
        <f t="shared" si="13"/>
        <v>#N/A</v>
      </c>
      <c r="DI20" t="e">
        <f t="shared" si="13"/>
        <v>#N/A</v>
      </c>
      <c r="DJ20" t="e">
        <f t="shared" si="14"/>
        <v>#N/A</v>
      </c>
      <c r="DK20" t="e">
        <f t="shared" si="14"/>
        <v>#N/A</v>
      </c>
      <c r="DL20" t="e">
        <f t="shared" si="14"/>
        <v>#N/A</v>
      </c>
      <c r="DM20" t="e">
        <f t="shared" si="14"/>
        <v>#N/A</v>
      </c>
      <c r="DN20" t="e">
        <f t="shared" si="14"/>
        <v>#N/A</v>
      </c>
      <c r="DO20" t="e">
        <f t="shared" si="14"/>
        <v>#N/A</v>
      </c>
      <c r="DP20" t="e">
        <f t="shared" si="14"/>
        <v>#N/A</v>
      </c>
      <c r="DQ20" t="e">
        <f t="shared" si="14"/>
        <v>#N/A</v>
      </c>
      <c r="DR20" t="e">
        <f t="shared" si="14"/>
        <v>#N/A</v>
      </c>
      <c r="DS20" t="e">
        <f t="shared" si="14"/>
        <v>#N/A</v>
      </c>
      <c r="DT20">
        <f t="shared" si="14"/>
        <v>1011</v>
      </c>
      <c r="DU20">
        <f t="shared" si="14"/>
        <v>1012</v>
      </c>
      <c r="DV20">
        <f t="shared" si="14"/>
        <v>1013</v>
      </c>
      <c r="DW20">
        <f t="shared" si="14"/>
        <v>1014</v>
      </c>
      <c r="DX20">
        <f t="shared" si="14"/>
        <v>1015</v>
      </c>
      <c r="DY20">
        <f t="shared" si="14"/>
        <v>1016</v>
      </c>
      <c r="DZ20">
        <f t="shared" si="15"/>
        <v>1017</v>
      </c>
      <c r="EA20">
        <f t="shared" si="15"/>
        <v>1018</v>
      </c>
      <c r="EB20">
        <f t="shared" si="15"/>
        <v>1019</v>
      </c>
      <c r="EC20">
        <f t="shared" si="15"/>
        <v>1020</v>
      </c>
      <c r="ED20" t="e">
        <f t="shared" si="15"/>
        <v>#N/A</v>
      </c>
      <c r="EE20" t="e">
        <f t="shared" si="15"/>
        <v>#N/A</v>
      </c>
      <c r="EF20" t="e">
        <f t="shared" si="15"/>
        <v>#N/A</v>
      </c>
      <c r="EG20" t="e">
        <f t="shared" si="15"/>
        <v>#N/A</v>
      </c>
      <c r="EH20" t="e">
        <f t="shared" si="15"/>
        <v>#N/A</v>
      </c>
      <c r="EI20" t="e">
        <f t="shared" si="15"/>
        <v>#N/A</v>
      </c>
      <c r="EJ20" t="e">
        <f t="shared" si="15"/>
        <v>#N/A</v>
      </c>
      <c r="EK20" t="e">
        <f t="shared" si="15"/>
        <v>#N/A</v>
      </c>
      <c r="EL20" t="e">
        <f t="shared" si="15"/>
        <v>#N/A</v>
      </c>
      <c r="EM20" t="e">
        <f t="shared" si="15"/>
        <v>#N/A</v>
      </c>
    </row>
    <row r="21" spans="1:143" x14ac:dyDescent="0.4">
      <c r="A21" t="str">
        <f t="shared" si="16"/>
        <v/>
      </c>
      <c r="B21">
        <v>18</v>
      </c>
      <c r="C21" t="str" cm="1">
        <f t="array" ref="C21">INDEX(auto_Series_Code,B21)</f>
        <v>INDI_009</v>
      </c>
      <c r="D21">
        <f t="shared" si="17"/>
        <v>1021</v>
      </c>
      <c r="E21">
        <f t="shared" si="17"/>
        <v>1022</v>
      </c>
      <c r="F21">
        <f t="shared" si="17"/>
        <v>1023</v>
      </c>
      <c r="G21">
        <f t="shared" si="17"/>
        <v>1024</v>
      </c>
      <c r="H21">
        <f t="shared" si="17"/>
        <v>1025</v>
      </c>
      <c r="I21">
        <f t="shared" si="17"/>
        <v>1026</v>
      </c>
      <c r="J21">
        <f t="shared" si="17"/>
        <v>1027</v>
      </c>
      <c r="K21">
        <f t="shared" si="17"/>
        <v>1028</v>
      </c>
      <c r="L21">
        <f t="shared" si="17"/>
        <v>1029</v>
      </c>
      <c r="M21">
        <f t="shared" si="17"/>
        <v>1030</v>
      </c>
      <c r="N21">
        <f t="shared" si="18"/>
        <v>1031</v>
      </c>
      <c r="O21">
        <f t="shared" si="18"/>
        <v>1032</v>
      </c>
      <c r="P21">
        <f t="shared" si="18"/>
        <v>1033</v>
      </c>
      <c r="Q21">
        <f t="shared" si="18"/>
        <v>1034</v>
      </c>
      <c r="R21">
        <f t="shared" si="18"/>
        <v>1035</v>
      </c>
      <c r="S21">
        <f t="shared" si="18"/>
        <v>1036</v>
      </c>
      <c r="T21">
        <f t="shared" si="18"/>
        <v>1037</v>
      </c>
      <c r="U21">
        <f t="shared" si="18"/>
        <v>1038</v>
      </c>
      <c r="V21">
        <f t="shared" si="18"/>
        <v>1039</v>
      </c>
      <c r="W21">
        <f t="shared" si="18"/>
        <v>1040</v>
      </c>
      <c r="X21">
        <f t="shared" si="19"/>
        <v>1041</v>
      </c>
      <c r="Y21">
        <f t="shared" si="19"/>
        <v>1042</v>
      </c>
      <c r="Z21">
        <f t="shared" si="19"/>
        <v>1043</v>
      </c>
      <c r="AA21">
        <f t="shared" si="19"/>
        <v>1044</v>
      </c>
      <c r="AB21">
        <f t="shared" si="19"/>
        <v>1045</v>
      </c>
      <c r="AC21">
        <f t="shared" si="19"/>
        <v>1046</v>
      </c>
      <c r="AD21">
        <f t="shared" si="19"/>
        <v>1047</v>
      </c>
      <c r="AE21">
        <f t="shared" si="19"/>
        <v>1048</v>
      </c>
      <c r="AF21">
        <f t="shared" si="19"/>
        <v>1049</v>
      </c>
      <c r="AG21">
        <f t="shared" si="19"/>
        <v>1050</v>
      </c>
      <c r="AH21">
        <f t="shared" si="20"/>
        <v>1051</v>
      </c>
      <c r="AI21">
        <f t="shared" si="20"/>
        <v>1052</v>
      </c>
      <c r="AJ21">
        <f t="shared" si="20"/>
        <v>1053</v>
      </c>
      <c r="AK21">
        <f t="shared" si="20"/>
        <v>1054</v>
      </c>
      <c r="AL21">
        <f t="shared" si="20"/>
        <v>1055</v>
      </c>
      <c r="AM21">
        <f t="shared" si="20"/>
        <v>1056</v>
      </c>
      <c r="AN21">
        <f t="shared" si="20"/>
        <v>1057</v>
      </c>
      <c r="AO21">
        <f t="shared" si="20"/>
        <v>1058</v>
      </c>
      <c r="AP21">
        <f t="shared" si="20"/>
        <v>1059</v>
      </c>
      <c r="AQ21">
        <f t="shared" si="20"/>
        <v>1060</v>
      </c>
      <c r="AR21">
        <f t="shared" si="21"/>
        <v>1061</v>
      </c>
      <c r="AS21">
        <f t="shared" si="21"/>
        <v>1062</v>
      </c>
      <c r="AT21">
        <f t="shared" si="21"/>
        <v>1063</v>
      </c>
      <c r="AU21">
        <f t="shared" si="21"/>
        <v>1064</v>
      </c>
      <c r="AV21">
        <f t="shared" si="21"/>
        <v>1065</v>
      </c>
      <c r="AW21">
        <f t="shared" si="21"/>
        <v>1066</v>
      </c>
      <c r="AX21">
        <f t="shared" si="21"/>
        <v>1067</v>
      </c>
      <c r="AY21">
        <f t="shared" si="21"/>
        <v>1068</v>
      </c>
      <c r="AZ21">
        <f t="shared" si="21"/>
        <v>1069</v>
      </c>
      <c r="BA21">
        <f t="shared" si="21"/>
        <v>1070</v>
      </c>
      <c r="BB21" t="e">
        <f t="shared" si="22"/>
        <v>#N/A</v>
      </c>
      <c r="BC21" t="e">
        <f t="shared" si="22"/>
        <v>#N/A</v>
      </c>
      <c r="BD21" t="e">
        <f t="shared" si="22"/>
        <v>#N/A</v>
      </c>
      <c r="BE21" t="e">
        <f t="shared" si="22"/>
        <v>#N/A</v>
      </c>
      <c r="BF21" t="e">
        <f t="shared" si="22"/>
        <v>#N/A</v>
      </c>
      <c r="BG21" t="e">
        <f t="shared" si="22"/>
        <v>#N/A</v>
      </c>
      <c r="BH21" t="e">
        <f t="shared" si="22"/>
        <v>#N/A</v>
      </c>
      <c r="BI21" t="e">
        <f t="shared" si="22"/>
        <v>#N/A</v>
      </c>
      <c r="BJ21" t="e">
        <f t="shared" si="22"/>
        <v>#N/A</v>
      </c>
      <c r="BK21" t="e">
        <f t="shared" si="22"/>
        <v>#N/A</v>
      </c>
      <c r="BL21" t="e">
        <f t="shared" si="23"/>
        <v>#N/A</v>
      </c>
      <c r="BM21" t="e">
        <f t="shared" si="23"/>
        <v>#N/A</v>
      </c>
      <c r="BN21" t="e">
        <f t="shared" si="23"/>
        <v>#N/A</v>
      </c>
      <c r="BO21" t="e">
        <f t="shared" si="23"/>
        <v>#N/A</v>
      </c>
      <c r="BP21" t="e">
        <f t="shared" si="23"/>
        <v>#N/A</v>
      </c>
      <c r="BQ21" t="e">
        <f t="shared" si="23"/>
        <v>#N/A</v>
      </c>
      <c r="BR21" t="e">
        <f t="shared" si="23"/>
        <v>#N/A</v>
      </c>
      <c r="BS21" t="e">
        <f t="shared" si="23"/>
        <v>#N/A</v>
      </c>
      <c r="BT21" t="e">
        <f t="shared" si="23"/>
        <v>#N/A</v>
      </c>
      <c r="BU21" t="e">
        <f t="shared" si="23"/>
        <v>#N/A</v>
      </c>
      <c r="BV21" t="e">
        <f t="shared" si="24"/>
        <v>#N/A</v>
      </c>
      <c r="BW21" t="e">
        <f t="shared" si="24"/>
        <v>#N/A</v>
      </c>
      <c r="BX21" t="e">
        <f t="shared" si="24"/>
        <v>#N/A</v>
      </c>
      <c r="BY21" t="e">
        <f t="shared" si="24"/>
        <v>#N/A</v>
      </c>
      <c r="BZ21" t="e">
        <f t="shared" si="24"/>
        <v>#N/A</v>
      </c>
      <c r="CA21" t="e">
        <f t="shared" si="24"/>
        <v>#N/A</v>
      </c>
      <c r="CB21" t="e">
        <f t="shared" si="24"/>
        <v>#N/A</v>
      </c>
      <c r="CC21" t="e">
        <f t="shared" si="24"/>
        <v>#N/A</v>
      </c>
      <c r="CD21" t="e">
        <f t="shared" si="24"/>
        <v>#N/A</v>
      </c>
      <c r="CE21" t="e">
        <f t="shared" si="24"/>
        <v>#N/A</v>
      </c>
      <c r="CF21" t="e">
        <f t="shared" si="25"/>
        <v>#N/A</v>
      </c>
      <c r="CG21" t="e">
        <f t="shared" si="25"/>
        <v>#N/A</v>
      </c>
      <c r="CH21" t="e">
        <f t="shared" si="25"/>
        <v>#N/A</v>
      </c>
      <c r="CI21" t="e">
        <f t="shared" si="25"/>
        <v>#N/A</v>
      </c>
      <c r="CJ21" t="e">
        <f t="shared" si="25"/>
        <v>#N/A</v>
      </c>
      <c r="CK21" t="e">
        <f t="shared" si="25"/>
        <v>#N/A</v>
      </c>
      <c r="CL21" t="e">
        <f t="shared" si="25"/>
        <v>#N/A</v>
      </c>
      <c r="CM21" t="e">
        <f t="shared" si="25"/>
        <v>#N/A</v>
      </c>
      <c r="CN21" t="e">
        <f t="shared" si="25"/>
        <v>#N/A</v>
      </c>
      <c r="CO21" t="e">
        <f t="shared" si="25"/>
        <v>#N/A</v>
      </c>
      <c r="CP21" t="e">
        <f t="shared" si="26"/>
        <v>#N/A</v>
      </c>
      <c r="CQ21" t="e">
        <f t="shared" si="26"/>
        <v>#N/A</v>
      </c>
      <c r="CR21" t="e">
        <f t="shared" si="26"/>
        <v>#N/A</v>
      </c>
      <c r="CS21" t="e">
        <f t="shared" si="26"/>
        <v>#N/A</v>
      </c>
      <c r="CT21" t="e">
        <f t="shared" si="26"/>
        <v>#N/A</v>
      </c>
      <c r="CU21" t="e">
        <f t="shared" si="26"/>
        <v>#N/A</v>
      </c>
      <c r="CV21" t="e">
        <f t="shared" si="26"/>
        <v>#N/A</v>
      </c>
      <c r="CW21" t="e">
        <f t="shared" si="26"/>
        <v>#N/A</v>
      </c>
      <c r="CX21" t="e">
        <f t="shared" si="26"/>
        <v>#N/A</v>
      </c>
      <c r="CY21" t="e">
        <f t="shared" si="26"/>
        <v>#N/A</v>
      </c>
      <c r="CZ21" t="e">
        <f t="shared" si="27"/>
        <v>#N/A</v>
      </c>
      <c r="DA21" t="e">
        <f t="shared" si="27"/>
        <v>#N/A</v>
      </c>
      <c r="DB21" t="e">
        <f t="shared" si="27"/>
        <v>#N/A</v>
      </c>
      <c r="DC21" t="e">
        <f t="shared" si="27"/>
        <v>#N/A</v>
      </c>
      <c r="DD21" t="e">
        <f t="shared" si="27"/>
        <v>#N/A</v>
      </c>
      <c r="DE21" t="e">
        <f t="shared" si="27"/>
        <v>#N/A</v>
      </c>
      <c r="DF21" t="e">
        <f t="shared" si="27"/>
        <v>#N/A</v>
      </c>
      <c r="DG21" t="e">
        <f t="shared" si="27"/>
        <v>#N/A</v>
      </c>
      <c r="DH21" t="e">
        <f t="shared" si="27"/>
        <v>#N/A</v>
      </c>
      <c r="DI21" t="e">
        <f t="shared" si="27"/>
        <v>#N/A</v>
      </c>
      <c r="DJ21" t="e">
        <f t="shared" si="28"/>
        <v>#N/A</v>
      </c>
      <c r="DK21" t="e">
        <f t="shared" si="28"/>
        <v>#N/A</v>
      </c>
      <c r="DL21" t="e">
        <f t="shared" si="28"/>
        <v>#N/A</v>
      </c>
      <c r="DM21" t="e">
        <f t="shared" si="28"/>
        <v>#N/A</v>
      </c>
      <c r="DN21" t="e">
        <f t="shared" si="28"/>
        <v>#N/A</v>
      </c>
      <c r="DO21" t="e">
        <f t="shared" si="28"/>
        <v>#N/A</v>
      </c>
      <c r="DP21" t="e">
        <f t="shared" si="28"/>
        <v>#N/A</v>
      </c>
      <c r="DQ21" t="e">
        <f t="shared" si="28"/>
        <v>#N/A</v>
      </c>
      <c r="DR21" t="e">
        <f t="shared" si="28"/>
        <v>#N/A</v>
      </c>
      <c r="DS21" t="e">
        <f t="shared" si="28"/>
        <v>#N/A</v>
      </c>
      <c r="DT21">
        <f t="shared" si="28"/>
        <v>1071</v>
      </c>
      <c r="DU21">
        <f t="shared" si="28"/>
        <v>1072</v>
      </c>
      <c r="DV21">
        <f t="shared" si="28"/>
        <v>1073</v>
      </c>
      <c r="DW21">
        <f t="shared" si="28"/>
        <v>1074</v>
      </c>
      <c r="DX21">
        <f t="shared" si="28"/>
        <v>1075</v>
      </c>
      <c r="DY21">
        <f t="shared" si="28"/>
        <v>1076</v>
      </c>
      <c r="DZ21">
        <f t="shared" si="29"/>
        <v>1077</v>
      </c>
      <c r="EA21">
        <f t="shared" si="29"/>
        <v>1078</v>
      </c>
      <c r="EB21">
        <f t="shared" si="29"/>
        <v>1079</v>
      </c>
      <c r="EC21">
        <f t="shared" si="29"/>
        <v>1080</v>
      </c>
      <c r="ED21" t="e">
        <f t="shared" si="29"/>
        <v>#N/A</v>
      </c>
      <c r="EE21" t="e">
        <f t="shared" si="29"/>
        <v>#N/A</v>
      </c>
      <c r="EF21" t="e">
        <f t="shared" si="29"/>
        <v>#N/A</v>
      </c>
      <c r="EG21" t="e">
        <f t="shared" si="29"/>
        <v>#N/A</v>
      </c>
      <c r="EH21" t="e">
        <f t="shared" si="29"/>
        <v>#N/A</v>
      </c>
      <c r="EI21" t="e">
        <f t="shared" si="29"/>
        <v>#N/A</v>
      </c>
      <c r="EJ21" t="e">
        <f t="shared" si="29"/>
        <v>#N/A</v>
      </c>
      <c r="EK21" t="e">
        <f t="shared" si="29"/>
        <v>#N/A</v>
      </c>
      <c r="EL21" t="e">
        <f t="shared" si="29"/>
        <v>#N/A</v>
      </c>
      <c r="EM21" t="e">
        <f t="shared" si="29"/>
        <v>#N/A</v>
      </c>
    </row>
    <row r="22" spans="1:143" x14ac:dyDescent="0.4">
      <c r="A22" t="str">
        <f t="shared" si="16"/>
        <v/>
      </c>
      <c r="B22">
        <v>19</v>
      </c>
      <c r="C22" t="str" cm="1">
        <f t="array" ref="C22">INDEX(auto_Series_Code,B22)</f>
        <v>SUBINDI_007</v>
      </c>
      <c r="D22">
        <f t="shared" si="3"/>
        <v>1081</v>
      </c>
      <c r="E22">
        <f t="shared" si="3"/>
        <v>1082</v>
      </c>
      <c r="F22">
        <f t="shared" si="3"/>
        <v>1083</v>
      </c>
      <c r="G22">
        <f t="shared" si="3"/>
        <v>1084</v>
      </c>
      <c r="H22">
        <f t="shared" si="3"/>
        <v>1085</v>
      </c>
      <c r="I22">
        <f t="shared" si="3"/>
        <v>1086</v>
      </c>
      <c r="J22">
        <f t="shared" si="3"/>
        <v>1087</v>
      </c>
      <c r="K22">
        <f t="shared" si="3"/>
        <v>1088</v>
      </c>
      <c r="L22">
        <f t="shared" si="3"/>
        <v>1089</v>
      </c>
      <c r="M22">
        <f t="shared" si="3"/>
        <v>1090</v>
      </c>
      <c r="N22">
        <f t="shared" si="4"/>
        <v>1091</v>
      </c>
      <c r="O22">
        <f t="shared" si="4"/>
        <v>1092</v>
      </c>
      <c r="P22">
        <f t="shared" si="4"/>
        <v>1093</v>
      </c>
      <c r="Q22">
        <f t="shared" si="4"/>
        <v>1094</v>
      </c>
      <c r="R22">
        <f t="shared" si="4"/>
        <v>1095</v>
      </c>
      <c r="S22">
        <f t="shared" si="4"/>
        <v>1096</v>
      </c>
      <c r="T22">
        <f t="shared" si="4"/>
        <v>1097</v>
      </c>
      <c r="U22">
        <f t="shared" si="4"/>
        <v>1098</v>
      </c>
      <c r="V22">
        <f t="shared" si="4"/>
        <v>1099</v>
      </c>
      <c r="W22">
        <f t="shared" si="4"/>
        <v>1100</v>
      </c>
      <c r="X22">
        <f t="shared" si="5"/>
        <v>1101</v>
      </c>
      <c r="Y22">
        <f t="shared" si="5"/>
        <v>1102</v>
      </c>
      <c r="Z22">
        <f t="shared" si="5"/>
        <v>1103</v>
      </c>
      <c r="AA22">
        <f t="shared" si="5"/>
        <v>1104</v>
      </c>
      <c r="AB22">
        <f t="shared" si="5"/>
        <v>1105</v>
      </c>
      <c r="AC22">
        <f t="shared" si="5"/>
        <v>1106</v>
      </c>
      <c r="AD22">
        <f t="shared" si="5"/>
        <v>1107</v>
      </c>
      <c r="AE22">
        <f t="shared" si="5"/>
        <v>1108</v>
      </c>
      <c r="AF22">
        <f t="shared" si="5"/>
        <v>1109</v>
      </c>
      <c r="AG22">
        <f t="shared" si="5"/>
        <v>1110</v>
      </c>
      <c r="AH22">
        <f t="shared" si="6"/>
        <v>1111</v>
      </c>
      <c r="AI22">
        <f t="shared" si="6"/>
        <v>1112</v>
      </c>
      <c r="AJ22">
        <f t="shared" si="6"/>
        <v>1113</v>
      </c>
      <c r="AK22">
        <f t="shared" si="6"/>
        <v>1114</v>
      </c>
      <c r="AL22">
        <f t="shared" si="6"/>
        <v>1115</v>
      </c>
      <c r="AM22">
        <f t="shared" si="6"/>
        <v>1116</v>
      </c>
      <c r="AN22">
        <f t="shared" si="6"/>
        <v>1117</v>
      </c>
      <c r="AO22">
        <f t="shared" si="6"/>
        <v>1118</v>
      </c>
      <c r="AP22">
        <f t="shared" si="6"/>
        <v>1119</v>
      </c>
      <c r="AQ22">
        <f t="shared" si="6"/>
        <v>1120</v>
      </c>
      <c r="AR22">
        <f t="shared" si="7"/>
        <v>1121</v>
      </c>
      <c r="AS22">
        <f t="shared" si="7"/>
        <v>1122</v>
      </c>
      <c r="AT22">
        <f t="shared" si="7"/>
        <v>1123</v>
      </c>
      <c r="AU22">
        <f t="shared" si="7"/>
        <v>1124</v>
      </c>
      <c r="AV22">
        <f t="shared" si="7"/>
        <v>1125</v>
      </c>
      <c r="AW22">
        <f t="shared" si="7"/>
        <v>1126</v>
      </c>
      <c r="AX22">
        <f t="shared" si="7"/>
        <v>1127</v>
      </c>
      <c r="AY22">
        <f t="shared" si="7"/>
        <v>1128</v>
      </c>
      <c r="AZ22">
        <f t="shared" si="7"/>
        <v>1129</v>
      </c>
      <c r="BA22">
        <f t="shared" si="7"/>
        <v>1130</v>
      </c>
      <c r="BB22" t="e">
        <f t="shared" si="8"/>
        <v>#N/A</v>
      </c>
      <c r="BC22" t="e">
        <f t="shared" si="8"/>
        <v>#N/A</v>
      </c>
      <c r="BD22" t="e">
        <f t="shared" si="8"/>
        <v>#N/A</v>
      </c>
      <c r="BE22" t="e">
        <f t="shared" si="8"/>
        <v>#N/A</v>
      </c>
      <c r="BF22" t="e">
        <f t="shared" si="8"/>
        <v>#N/A</v>
      </c>
      <c r="BG22" t="e">
        <f t="shared" si="8"/>
        <v>#N/A</v>
      </c>
      <c r="BH22" t="e">
        <f t="shared" si="8"/>
        <v>#N/A</v>
      </c>
      <c r="BI22" t="e">
        <f t="shared" si="8"/>
        <v>#N/A</v>
      </c>
      <c r="BJ22" t="e">
        <f t="shared" si="8"/>
        <v>#N/A</v>
      </c>
      <c r="BK22" t="e">
        <f t="shared" si="8"/>
        <v>#N/A</v>
      </c>
      <c r="BL22" t="e">
        <f t="shared" si="9"/>
        <v>#N/A</v>
      </c>
      <c r="BM22" t="e">
        <f t="shared" si="9"/>
        <v>#N/A</v>
      </c>
      <c r="BN22" t="e">
        <f t="shared" si="9"/>
        <v>#N/A</v>
      </c>
      <c r="BO22" t="e">
        <f t="shared" si="9"/>
        <v>#N/A</v>
      </c>
      <c r="BP22" t="e">
        <f t="shared" si="9"/>
        <v>#N/A</v>
      </c>
      <c r="BQ22" t="e">
        <f t="shared" si="9"/>
        <v>#N/A</v>
      </c>
      <c r="BR22" t="e">
        <f t="shared" si="9"/>
        <v>#N/A</v>
      </c>
      <c r="BS22" t="e">
        <f t="shared" si="9"/>
        <v>#N/A</v>
      </c>
      <c r="BT22" t="e">
        <f t="shared" si="9"/>
        <v>#N/A</v>
      </c>
      <c r="BU22" t="e">
        <f t="shared" si="9"/>
        <v>#N/A</v>
      </c>
      <c r="BV22" t="e">
        <f t="shared" si="10"/>
        <v>#N/A</v>
      </c>
      <c r="BW22" t="e">
        <f t="shared" si="10"/>
        <v>#N/A</v>
      </c>
      <c r="BX22" t="e">
        <f t="shared" si="10"/>
        <v>#N/A</v>
      </c>
      <c r="BY22" t="e">
        <f t="shared" si="10"/>
        <v>#N/A</v>
      </c>
      <c r="BZ22" t="e">
        <f t="shared" si="10"/>
        <v>#N/A</v>
      </c>
      <c r="CA22" t="e">
        <f t="shared" si="10"/>
        <v>#N/A</v>
      </c>
      <c r="CB22" t="e">
        <f t="shared" si="10"/>
        <v>#N/A</v>
      </c>
      <c r="CC22" t="e">
        <f t="shared" si="10"/>
        <v>#N/A</v>
      </c>
      <c r="CD22" t="e">
        <f t="shared" si="10"/>
        <v>#N/A</v>
      </c>
      <c r="CE22" t="e">
        <f t="shared" si="10"/>
        <v>#N/A</v>
      </c>
      <c r="CF22" t="e">
        <f t="shared" si="11"/>
        <v>#N/A</v>
      </c>
      <c r="CG22" t="e">
        <f t="shared" si="11"/>
        <v>#N/A</v>
      </c>
      <c r="CH22" t="e">
        <f t="shared" si="11"/>
        <v>#N/A</v>
      </c>
      <c r="CI22" t="e">
        <f t="shared" si="11"/>
        <v>#N/A</v>
      </c>
      <c r="CJ22" t="e">
        <f t="shared" si="11"/>
        <v>#N/A</v>
      </c>
      <c r="CK22" t="e">
        <f t="shared" si="11"/>
        <v>#N/A</v>
      </c>
      <c r="CL22" t="e">
        <f t="shared" si="11"/>
        <v>#N/A</v>
      </c>
      <c r="CM22" t="e">
        <f t="shared" si="11"/>
        <v>#N/A</v>
      </c>
      <c r="CN22" t="e">
        <f t="shared" si="11"/>
        <v>#N/A</v>
      </c>
      <c r="CO22" t="e">
        <f t="shared" si="11"/>
        <v>#N/A</v>
      </c>
      <c r="CP22" t="e">
        <f t="shared" si="12"/>
        <v>#N/A</v>
      </c>
      <c r="CQ22" t="e">
        <f t="shared" si="12"/>
        <v>#N/A</v>
      </c>
      <c r="CR22" t="e">
        <f t="shared" si="12"/>
        <v>#N/A</v>
      </c>
      <c r="CS22" t="e">
        <f t="shared" si="12"/>
        <v>#N/A</v>
      </c>
      <c r="CT22" t="e">
        <f t="shared" si="12"/>
        <v>#N/A</v>
      </c>
      <c r="CU22" t="e">
        <f t="shared" si="12"/>
        <v>#N/A</v>
      </c>
      <c r="CV22" t="e">
        <f t="shared" si="12"/>
        <v>#N/A</v>
      </c>
      <c r="CW22" t="e">
        <f t="shared" si="12"/>
        <v>#N/A</v>
      </c>
      <c r="CX22" t="e">
        <f t="shared" si="12"/>
        <v>#N/A</v>
      </c>
      <c r="CY22" t="e">
        <f t="shared" si="12"/>
        <v>#N/A</v>
      </c>
      <c r="CZ22" t="e">
        <f t="shared" si="13"/>
        <v>#N/A</v>
      </c>
      <c r="DA22" t="e">
        <f t="shared" si="13"/>
        <v>#N/A</v>
      </c>
      <c r="DB22" t="e">
        <f t="shared" si="13"/>
        <v>#N/A</v>
      </c>
      <c r="DC22" t="e">
        <f t="shared" si="13"/>
        <v>#N/A</v>
      </c>
      <c r="DD22" t="e">
        <f t="shared" si="13"/>
        <v>#N/A</v>
      </c>
      <c r="DE22" t="e">
        <f t="shared" si="13"/>
        <v>#N/A</v>
      </c>
      <c r="DF22" t="e">
        <f t="shared" si="13"/>
        <v>#N/A</v>
      </c>
      <c r="DG22" t="e">
        <f t="shared" si="13"/>
        <v>#N/A</v>
      </c>
      <c r="DH22" t="e">
        <f t="shared" si="13"/>
        <v>#N/A</v>
      </c>
      <c r="DI22" t="e">
        <f t="shared" si="13"/>
        <v>#N/A</v>
      </c>
      <c r="DJ22" t="e">
        <f t="shared" si="14"/>
        <v>#N/A</v>
      </c>
      <c r="DK22" t="e">
        <f t="shared" si="14"/>
        <v>#N/A</v>
      </c>
      <c r="DL22" t="e">
        <f t="shared" si="14"/>
        <v>#N/A</v>
      </c>
      <c r="DM22" t="e">
        <f t="shared" si="14"/>
        <v>#N/A</v>
      </c>
      <c r="DN22" t="e">
        <f t="shared" si="14"/>
        <v>#N/A</v>
      </c>
      <c r="DO22" t="e">
        <f t="shared" si="14"/>
        <v>#N/A</v>
      </c>
      <c r="DP22" t="e">
        <f t="shared" si="14"/>
        <v>#N/A</v>
      </c>
      <c r="DQ22" t="e">
        <f t="shared" si="14"/>
        <v>#N/A</v>
      </c>
      <c r="DR22" t="e">
        <f t="shared" si="14"/>
        <v>#N/A</v>
      </c>
      <c r="DS22" t="e">
        <f t="shared" si="14"/>
        <v>#N/A</v>
      </c>
      <c r="DT22">
        <f t="shared" si="14"/>
        <v>1131</v>
      </c>
      <c r="DU22">
        <f t="shared" si="14"/>
        <v>1132</v>
      </c>
      <c r="DV22">
        <f t="shared" si="14"/>
        <v>1133</v>
      </c>
      <c r="DW22">
        <f t="shared" si="14"/>
        <v>1134</v>
      </c>
      <c r="DX22">
        <f t="shared" si="14"/>
        <v>1135</v>
      </c>
      <c r="DY22">
        <f t="shared" si="14"/>
        <v>1136</v>
      </c>
      <c r="DZ22">
        <f t="shared" si="15"/>
        <v>1137</v>
      </c>
      <c r="EA22">
        <f t="shared" si="15"/>
        <v>1138</v>
      </c>
      <c r="EB22">
        <f t="shared" si="15"/>
        <v>1139</v>
      </c>
      <c r="EC22">
        <f t="shared" si="15"/>
        <v>1140</v>
      </c>
      <c r="ED22" t="e">
        <f t="shared" si="15"/>
        <v>#N/A</v>
      </c>
      <c r="EE22" t="e">
        <f t="shared" si="15"/>
        <v>#N/A</v>
      </c>
      <c r="EF22" t="e">
        <f t="shared" si="15"/>
        <v>#N/A</v>
      </c>
      <c r="EG22" t="e">
        <f t="shared" si="15"/>
        <v>#N/A</v>
      </c>
      <c r="EH22" t="e">
        <f t="shared" si="15"/>
        <v>#N/A</v>
      </c>
      <c r="EI22" t="e">
        <f t="shared" si="15"/>
        <v>#N/A</v>
      </c>
      <c r="EJ22" t="e">
        <f t="shared" si="15"/>
        <v>#N/A</v>
      </c>
      <c r="EK22" t="e">
        <f t="shared" si="15"/>
        <v>#N/A</v>
      </c>
      <c r="EL22" t="e">
        <f t="shared" si="15"/>
        <v>#N/A</v>
      </c>
      <c r="EM22" t="e">
        <f t="shared" si="15"/>
        <v>#N/A</v>
      </c>
    </row>
    <row r="23" spans="1:143" x14ac:dyDescent="0.4">
      <c r="A23" t="str">
        <f t="shared" si="16"/>
        <v/>
      </c>
      <c r="B23">
        <v>20</v>
      </c>
      <c r="C23" t="str" cm="1">
        <f t="array" ref="C23">INDEX(auto_Series_Code,B23)</f>
        <v>SUBINDI_008</v>
      </c>
      <c r="D23">
        <f t="shared" si="17"/>
        <v>1141</v>
      </c>
      <c r="E23">
        <f t="shared" si="17"/>
        <v>1142</v>
      </c>
      <c r="F23">
        <f t="shared" si="17"/>
        <v>1143</v>
      </c>
      <c r="G23">
        <f t="shared" si="17"/>
        <v>1144</v>
      </c>
      <c r="H23">
        <f t="shared" si="17"/>
        <v>1145</v>
      </c>
      <c r="I23">
        <f t="shared" si="17"/>
        <v>1146</v>
      </c>
      <c r="J23">
        <f t="shared" si="17"/>
        <v>1147</v>
      </c>
      <c r="K23">
        <f t="shared" si="17"/>
        <v>1148</v>
      </c>
      <c r="L23">
        <f t="shared" si="17"/>
        <v>1149</v>
      </c>
      <c r="M23">
        <f t="shared" si="17"/>
        <v>1150</v>
      </c>
      <c r="N23">
        <f t="shared" si="18"/>
        <v>1151</v>
      </c>
      <c r="O23">
        <f t="shared" si="18"/>
        <v>1152</v>
      </c>
      <c r="P23">
        <f t="shared" si="18"/>
        <v>1153</v>
      </c>
      <c r="Q23">
        <f t="shared" si="18"/>
        <v>1154</v>
      </c>
      <c r="R23">
        <f t="shared" si="18"/>
        <v>1155</v>
      </c>
      <c r="S23">
        <f t="shared" si="18"/>
        <v>1156</v>
      </c>
      <c r="T23">
        <f t="shared" si="18"/>
        <v>1157</v>
      </c>
      <c r="U23">
        <f t="shared" si="18"/>
        <v>1158</v>
      </c>
      <c r="V23">
        <f t="shared" si="18"/>
        <v>1159</v>
      </c>
      <c r="W23">
        <f t="shared" si="18"/>
        <v>1160</v>
      </c>
      <c r="X23">
        <f t="shared" si="19"/>
        <v>1161</v>
      </c>
      <c r="Y23">
        <f t="shared" si="19"/>
        <v>1162</v>
      </c>
      <c r="Z23">
        <f t="shared" si="19"/>
        <v>1163</v>
      </c>
      <c r="AA23">
        <f t="shared" si="19"/>
        <v>1164</v>
      </c>
      <c r="AB23">
        <f t="shared" si="19"/>
        <v>1165</v>
      </c>
      <c r="AC23">
        <f t="shared" si="19"/>
        <v>1166</v>
      </c>
      <c r="AD23">
        <f t="shared" si="19"/>
        <v>1167</v>
      </c>
      <c r="AE23">
        <f t="shared" si="19"/>
        <v>1168</v>
      </c>
      <c r="AF23">
        <f t="shared" si="19"/>
        <v>1169</v>
      </c>
      <c r="AG23">
        <f t="shared" si="19"/>
        <v>1170</v>
      </c>
      <c r="AH23">
        <f t="shared" si="20"/>
        <v>1171</v>
      </c>
      <c r="AI23">
        <f t="shared" si="20"/>
        <v>1172</v>
      </c>
      <c r="AJ23">
        <f t="shared" si="20"/>
        <v>1173</v>
      </c>
      <c r="AK23">
        <f t="shared" si="20"/>
        <v>1174</v>
      </c>
      <c r="AL23">
        <f t="shared" si="20"/>
        <v>1175</v>
      </c>
      <c r="AM23">
        <f t="shared" si="20"/>
        <v>1176</v>
      </c>
      <c r="AN23">
        <f t="shared" si="20"/>
        <v>1177</v>
      </c>
      <c r="AO23">
        <f t="shared" si="20"/>
        <v>1178</v>
      </c>
      <c r="AP23">
        <f t="shared" si="20"/>
        <v>1179</v>
      </c>
      <c r="AQ23">
        <f t="shared" si="20"/>
        <v>1180</v>
      </c>
      <c r="AR23">
        <f t="shared" si="21"/>
        <v>1181</v>
      </c>
      <c r="AS23">
        <f t="shared" si="21"/>
        <v>1182</v>
      </c>
      <c r="AT23">
        <f t="shared" si="21"/>
        <v>1183</v>
      </c>
      <c r="AU23">
        <f t="shared" si="21"/>
        <v>1184</v>
      </c>
      <c r="AV23">
        <f t="shared" si="21"/>
        <v>1185</v>
      </c>
      <c r="AW23">
        <f t="shared" si="21"/>
        <v>1186</v>
      </c>
      <c r="AX23">
        <f t="shared" si="21"/>
        <v>1187</v>
      </c>
      <c r="AY23">
        <f t="shared" si="21"/>
        <v>1188</v>
      </c>
      <c r="AZ23">
        <f t="shared" si="21"/>
        <v>1189</v>
      </c>
      <c r="BA23">
        <f t="shared" si="21"/>
        <v>1190</v>
      </c>
      <c r="BB23" t="e">
        <f t="shared" si="22"/>
        <v>#N/A</v>
      </c>
      <c r="BC23" t="e">
        <f t="shared" si="22"/>
        <v>#N/A</v>
      </c>
      <c r="BD23" t="e">
        <f t="shared" si="22"/>
        <v>#N/A</v>
      </c>
      <c r="BE23" t="e">
        <f t="shared" si="22"/>
        <v>#N/A</v>
      </c>
      <c r="BF23" t="e">
        <f t="shared" si="22"/>
        <v>#N/A</v>
      </c>
      <c r="BG23" t="e">
        <f t="shared" si="22"/>
        <v>#N/A</v>
      </c>
      <c r="BH23" t="e">
        <f t="shared" si="22"/>
        <v>#N/A</v>
      </c>
      <c r="BI23" t="e">
        <f t="shared" si="22"/>
        <v>#N/A</v>
      </c>
      <c r="BJ23" t="e">
        <f t="shared" si="22"/>
        <v>#N/A</v>
      </c>
      <c r="BK23" t="e">
        <f t="shared" si="22"/>
        <v>#N/A</v>
      </c>
      <c r="BL23" t="e">
        <f t="shared" si="23"/>
        <v>#N/A</v>
      </c>
      <c r="BM23" t="e">
        <f t="shared" si="23"/>
        <v>#N/A</v>
      </c>
      <c r="BN23" t="e">
        <f t="shared" si="23"/>
        <v>#N/A</v>
      </c>
      <c r="BO23" t="e">
        <f t="shared" si="23"/>
        <v>#N/A</v>
      </c>
      <c r="BP23" t="e">
        <f t="shared" si="23"/>
        <v>#N/A</v>
      </c>
      <c r="BQ23" t="e">
        <f t="shared" si="23"/>
        <v>#N/A</v>
      </c>
      <c r="BR23" t="e">
        <f t="shared" si="23"/>
        <v>#N/A</v>
      </c>
      <c r="BS23" t="e">
        <f t="shared" si="23"/>
        <v>#N/A</v>
      </c>
      <c r="BT23" t="e">
        <f t="shared" si="23"/>
        <v>#N/A</v>
      </c>
      <c r="BU23" t="e">
        <f t="shared" si="23"/>
        <v>#N/A</v>
      </c>
      <c r="BV23" t="e">
        <f t="shared" si="24"/>
        <v>#N/A</v>
      </c>
      <c r="BW23" t="e">
        <f t="shared" si="24"/>
        <v>#N/A</v>
      </c>
      <c r="BX23" t="e">
        <f t="shared" si="24"/>
        <v>#N/A</v>
      </c>
      <c r="BY23" t="e">
        <f t="shared" si="24"/>
        <v>#N/A</v>
      </c>
      <c r="BZ23" t="e">
        <f t="shared" si="24"/>
        <v>#N/A</v>
      </c>
      <c r="CA23" t="e">
        <f t="shared" si="24"/>
        <v>#N/A</v>
      </c>
      <c r="CB23" t="e">
        <f t="shared" si="24"/>
        <v>#N/A</v>
      </c>
      <c r="CC23" t="e">
        <f t="shared" si="24"/>
        <v>#N/A</v>
      </c>
      <c r="CD23" t="e">
        <f t="shared" si="24"/>
        <v>#N/A</v>
      </c>
      <c r="CE23" t="e">
        <f t="shared" si="24"/>
        <v>#N/A</v>
      </c>
      <c r="CF23" t="e">
        <f t="shared" si="25"/>
        <v>#N/A</v>
      </c>
      <c r="CG23" t="e">
        <f t="shared" si="25"/>
        <v>#N/A</v>
      </c>
      <c r="CH23" t="e">
        <f t="shared" si="25"/>
        <v>#N/A</v>
      </c>
      <c r="CI23" t="e">
        <f t="shared" si="25"/>
        <v>#N/A</v>
      </c>
      <c r="CJ23" t="e">
        <f t="shared" si="25"/>
        <v>#N/A</v>
      </c>
      <c r="CK23" t="e">
        <f t="shared" si="25"/>
        <v>#N/A</v>
      </c>
      <c r="CL23" t="e">
        <f t="shared" si="25"/>
        <v>#N/A</v>
      </c>
      <c r="CM23" t="e">
        <f t="shared" si="25"/>
        <v>#N/A</v>
      </c>
      <c r="CN23" t="e">
        <f t="shared" si="25"/>
        <v>#N/A</v>
      </c>
      <c r="CO23" t="e">
        <f t="shared" si="25"/>
        <v>#N/A</v>
      </c>
      <c r="CP23" t="e">
        <f t="shared" si="26"/>
        <v>#N/A</v>
      </c>
      <c r="CQ23" t="e">
        <f t="shared" si="26"/>
        <v>#N/A</v>
      </c>
      <c r="CR23" t="e">
        <f t="shared" si="26"/>
        <v>#N/A</v>
      </c>
      <c r="CS23" t="e">
        <f t="shared" si="26"/>
        <v>#N/A</v>
      </c>
      <c r="CT23" t="e">
        <f t="shared" si="26"/>
        <v>#N/A</v>
      </c>
      <c r="CU23" t="e">
        <f t="shared" si="26"/>
        <v>#N/A</v>
      </c>
      <c r="CV23" t="e">
        <f t="shared" si="26"/>
        <v>#N/A</v>
      </c>
      <c r="CW23" t="e">
        <f t="shared" si="26"/>
        <v>#N/A</v>
      </c>
      <c r="CX23" t="e">
        <f t="shared" si="26"/>
        <v>#N/A</v>
      </c>
      <c r="CY23" t="e">
        <f t="shared" si="26"/>
        <v>#N/A</v>
      </c>
      <c r="CZ23" t="e">
        <f t="shared" si="27"/>
        <v>#N/A</v>
      </c>
      <c r="DA23" t="e">
        <f t="shared" si="27"/>
        <v>#N/A</v>
      </c>
      <c r="DB23" t="e">
        <f t="shared" si="27"/>
        <v>#N/A</v>
      </c>
      <c r="DC23" t="e">
        <f t="shared" si="27"/>
        <v>#N/A</v>
      </c>
      <c r="DD23" t="e">
        <f t="shared" si="27"/>
        <v>#N/A</v>
      </c>
      <c r="DE23" t="e">
        <f t="shared" si="27"/>
        <v>#N/A</v>
      </c>
      <c r="DF23" t="e">
        <f t="shared" si="27"/>
        <v>#N/A</v>
      </c>
      <c r="DG23" t="e">
        <f t="shared" si="27"/>
        <v>#N/A</v>
      </c>
      <c r="DH23" t="e">
        <f t="shared" si="27"/>
        <v>#N/A</v>
      </c>
      <c r="DI23" t="e">
        <f t="shared" si="27"/>
        <v>#N/A</v>
      </c>
      <c r="DJ23" t="e">
        <f t="shared" si="28"/>
        <v>#N/A</v>
      </c>
      <c r="DK23" t="e">
        <f t="shared" si="28"/>
        <v>#N/A</v>
      </c>
      <c r="DL23" t="e">
        <f t="shared" si="28"/>
        <v>#N/A</v>
      </c>
      <c r="DM23" t="e">
        <f t="shared" si="28"/>
        <v>#N/A</v>
      </c>
      <c r="DN23" t="e">
        <f t="shared" si="28"/>
        <v>#N/A</v>
      </c>
      <c r="DO23" t="e">
        <f t="shared" si="28"/>
        <v>#N/A</v>
      </c>
      <c r="DP23" t="e">
        <f t="shared" si="28"/>
        <v>#N/A</v>
      </c>
      <c r="DQ23" t="e">
        <f t="shared" si="28"/>
        <v>#N/A</v>
      </c>
      <c r="DR23" t="e">
        <f t="shared" si="28"/>
        <v>#N/A</v>
      </c>
      <c r="DS23" t="e">
        <f t="shared" si="28"/>
        <v>#N/A</v>
      </c>
      <c r="DT23">
        <f t="shared" si="28"/>
        <v>1191</v>
      </c>
      <c r="DU23">
        <f t="shared" si="28"/>
        <v>1192</v>
      </c>
      <c r="DV23">
        <f t="shared" si="28"/>
        <v>1193</v>
      </c>
      <c r="DW23">
        <f t="shared" si="28"/>
        <v>1194</v>
      </c>
      <c r="DX23">
        <f t="shared" si="28"/>
        <v>1195</v>
      </c>
      <c r="DY23">
        <f t="shared" si="28"/>
        <v>1196</v>
      </c>
      <c r="DZ23">
        <f t="shared" si="29"/>
        <v>1197</v>
      </c>
      <c r="EA23">
        <f t="shared" si="29"/>
        <v>1198</v>
      </c>
      <c r="EB23">
        <f t="shared" si="29"/>
        <v>1199</v>
      </c>
      <c r="EC23">
        <f t="shared" si="29"/>
        <v>1200</v>
      </c>
      <c r="ED23" t="e">
        <f t="shared" si="29"/>
        <v>#N/A</v>
      </c>
      <c r="EE23" t="e">
        <f t="shared" si="29"/>
        <v>#N/A</v>
      </c>
      <c r="EF23" t="e">
        <f t="shared" si="29"/>
        <v>#N/A</v>
      </c>
      <c r="EG23" t="e">
        <f t="shared" si="29"/>
        <v>#N/A</v>
      </c>
      <c r="EH23" t="e">
        <f t="shared" si="29"/>
        <v>#N/A</v>
      </c>
      <c r="EI23" t="e">
        <f t="shared" si="29"/>
        <v>#N/A</v>
      </c>
      <c r="EJ23" t="e">
        <f t="shared" si="29"/>
        <v>#N/A</v>
      </c>
      <c r="EK23" t="e">
        <f t="shared" si="29"/>
        <v>#N/A</v>
      </c>
      <c r="EL23" t="e">
        <f t="shared" si="29"/>
        <v>#N/A</v>
      </c>
      <c r="EM23" t="e">
        <f t="shared" si="29"/>
        <v>#N/A</v>
      </c>
    </row>
    <row r="24" spans="1:143" x14ac:dyDescent="0.4">
      <c r="A24" t="str">
        <f t="shared" si="16"/>
        <v/>
      </c>
      <c r="B24">
        <v>21</v>
      </c>
      <c r="C24" t="str" cm="1">
        <f t="array" ref="C24">INDEX(auto_Series_Code,B24)</f>
        <v>INDI_010</v>
      </c>
      <c r="D24">
        <f t="shared" si="3"/>
        <v>1201</v>
      </c>
      <c r="E24">
        <f t="shared" si="3"/>
        <v>1202</v>
      </c>
      <c r="F24">
        <f t="shared" si="3"/>
        <v>1203</v>
      </c>
      <c r="G24">
        <f t="shared" si="3"/>
        <v>1204</v>
      </c>
      <c r="H24">
        <f t="shared" si="3"/>
        <v>1205</v>
      </c>
      <c r="I24">
        <f t="shared" si="3"/>
        <v>1206</v>
      </c>
      <c r="J24">
        <f t="shared" si="3"/>
        <v>1207</v>
      </c>
      <c r="K24">
        <f t="shared" si="3"/>
        <v>1208</v>
      </c>
      <c r="L24">
        <f t="shared" si="3"/>
        <v>1209</v>
      </c>
      <c r="M24">
        <f t="shared" si="3"/>
        <v>1210</v>
      </c>
      <c r="N24">
        <f t="shared" si="4"/>
        <v>1211</v>
      </c>
      <c r="O24">
        <f t="shared" si="4"/>
        <v>1212</v>
      </c>
      <c r="P24">
        <f t="shared" si="4"/>
        <v>1213</v>
      </c>
      <c r="Q24">
        <f t="shared" si="4"/>
        <v>1214</v>
      </c>
      <c r="R24">
        <f t="shared" si="4"/>
        <v>1215</v>
      </c>
      <c r="S24">
        <f t="shared" si="4"/>
        <v>1216</v>
      </c>
      <c r="T24">
        <f t="shared" si="4"/>
        <v>1217</v>
      </c>
      <c r="U24">
        <f t="shared" si="4"/>
        <v>1218</v>
      </c>
      <c r="V24">
        <f t="shared" si="4"/>
        <v>1219</v>
      </c>
      <c r="W24">
        <f t="shared" si="4"/>
        <v>1220</v>
      </c>
      <c r="X24">
        <f t="shared" si="5"/>
        <v>1221</v>
      </c>
      <c r="Y24">
        <f t="shared" si="5"/>
        <v>1222</v>
      </c>
      <c r="Z24">
        <f t="shared" si="5"/>
        <v>1223</v>
      </c>
      <c r="AA24">
        <f t="shared" si="5"/>
        <v>1224</v>
      </c>
      <c r="AB24">
        <f t="shared" si="5"/>
        <v>1225</v>
      </c>
      <c r="AC24">
        <f t="shared" si="5"/>
        <v>1226</v>
      </c>
      <c r="AD24">
        <f t="shared" si="5"/>
        <v>1227</v>
      </c>
      <c r="AE24">
        <f t="shared" si="5"/>
        <v>1228</v>
      </c>
      <c r="AF24">
        <f t="shared" si="5"/>
        <v>1229</v>
      </c>
      <c r="AG24">
        <f t="shared" si="5"/>
        <v>1230</v>
      </c>
      <c r="AH24">
        <f t="shared" si="6"/>
        <v>1231</v>
      </c>
      <c r="AI24">
        <f t="shared" si="6"/>
        <v>1232</v>
      </c>
      <c r="AJ24">
        <f t="shared" si="6"/>
        <v>1233</v>
      </c>
      <c r="AK24">
        <f t="shared" si="6"/>
        <v>1234</v>
      </c>
      <c r="AL24">
        <f t="shared" si="6"/>
        <v>1235</v>
      </c>
      <c r="AM24">
        <f t="shared" si="6"/>
        <v>1236</v>
      </c>
      <c r="AN24">
        <f t="shared" si="6"/>
        <v>1237</v>
      </c>
      <c r="AO24">
        <f t="shared" si="6"/>
        <v>1238</v>
      </c>
      <c r="AP24">
        <f t="shared" si="6"/>
        <v>1239</v>
      </c>
      <c r="AQ24">
        <f t="shared" si="6"/>
        <v>1240</v>
      </c>
      <c r="AR24">
        <f t="shared" si="7"/>
        <v>1241</v>
      </c>
      <c r="AS24">
        <f t="shared" si="7"/>
        <v>1242</v>
      </c>
      <c r="AT24">
        <f t="shared" si="7"/>
        <v>1243</v>
      </c>
      <c r="AU24">
        <f t="shared" si="7"/>
        <v>1244</v>
      </c>
      <c r="AV24">
        <f t="shared" si="7"/>
        <v>1245</v>
      </c>
      <c r="AW24">
        <f t="shared" si="7"/>
        <v>1246</v>
      </c>
      <c r="AX24">
        <f t="shared" si="7"/>
        <v>1247</v>
      </c>
      <c r="AY24">
        <f t="shared" si="7"/>
        <v>1248</v>
      </c>
      <c r="AZ24">
        <f t="shared" si="7"/>
        <v>1249</v>
      </c>
      <c r="BA24">
        <f t="shared" si="7"/>
        <v>1250</v>
      </c>
      <c r="BB24" t="e">
        <f t="shared" si="8"/>
        <v>#N/A</v>
      </c>
      <c r="BC24" t="e">
        <f t="shared" si="8"/>
        <v>#N/A</v>
      </c>
      <c r="BD24" t="e">
        <f t="shared" si="8"/>
        <v>#N/A</v>
      </c>
      <c r="BE24" t="e">
        <f t="shared" si="8"/>
        <v>#N/A</v>
      </c>
      <c r="BF24" t="e">
        <f t="shared" si="8"/>
        <v>#N/A</v>
      </c>
      <c r="BG24" t="e">
        <f t="shared" si="8"/>
        <v>#N/A</v>
      </c>
      <c r="BH24" t="e">
        <f t="shared" si="8"/>
        <v>#N/A</v>
      </c>
      <c r="BI24" t="e">
        <f t="shared" si="8"/>
        <v>#N/A</v>
      </c>
      <c r="BJ24" t="e">
        <f t="shared" si="8"/>
        <v>#N/A</v>
      </c>
      <c r="BK24" t="e">
        <f t="shared" si="8"/>
        <v>#N/A</v>
      </c>
      <c r="BL24" t="e">
        <f t="shared" si="9"/>
        <v>#N/A</v>
      </c>
      <c r="BM24" t="e">
        <f t="shared" si="9"/>
        <v>#N/A</v>
      </c>
      <c r="BN24" t="e">
        <f t="shared" si="9"/>
        <v>#N/A</v>
      </c>
      <c r="BO24" t="e">
        <f t="shared" si="9"/>
        <v>#N/A</v>
      </c>
      <c r="BP24" t="e">
        <f t="shared" si="9"/>
        <v>#N/A</v>
      </c>
      <c r="BQ24" t="e">
        <f t="shared" si="9"/>
        <v>#N/A</v>
      </c>
      <c r="BR24" t="e">
        <f t="shared" si="9"/>
        <v>#N/A</v>
      </c>
      <c r="BS24" t="e">
        <f t="shared" si="9"/>
        <v>#N/A</v>
      </c>
      <c r="BT24" t="e">
        <f t="shared" si="9"/>
        <v>#N/A</v>
      </c>
      <c r="BU24" t="e">
        <f t="shared" si="9"/>
        <v>#N/A</v>
      </c>
      <c r="BV24" t="e">
        <f t="shared" si="10"/>
        <v>#N/A</v>
      </c>
      <c r="BW24" t="e">
        <f t="shared" si="10"/>
        <v>#N/A</v>
      </c>
      <c r="BX24" t="e">
        <f t="shared" si="10"/>
        <v>#N/A</v>
      </c>
      <c r="BY24" t="e">
        <f t="shared" si="10"/>
        <v>#N/A</v>
      </c>
      <c r="BZ24" t="e">
        <f t="shared" si="10"/>
        <v>#N/A</v>
      </c>
      <c r="CA24" t="e">
        <f t="shared" si="10"/>
        <v>#N/A</v>
      </c>
      <c r="CB24" t="e">
        <f t="shared" si="10"/>
        <v>#N/A</v>
      </c>
      <c r="CC24" t="e">
        <f t="shared" si="10"/>
        <v>#N/A</v>
      </c>
      <c r="CD24" t="e">
        <f t="shared" si="10"/>
        <v>#N/A</v>
      </c>
      <c r="CE24" t="e">
        <f t="shared" si="10"/>
        <v>#N/A</v>
      </c>
      <c r="CF24" t="e">
        <f t="shared" si="11"/>
        <v>#N/A</v>
      </c>
      <c r="CG24" t="e">
        <f t="shared" si="11"/>
        <v>#N/A</v>
      </c>
      <c r="CH24" t="e">
        <f t="shared" si="11"/>
        <v>#N/A</v>
      </c>
      <c r="CI24" t="e">
        <f t="shared" si="11"/>
        <v>#N/A</v>
      </c>
      <c r="CJ24" t="e">
        <f t="shared" si="11"/>
        <v>#N/A</v>
      </c>
      <c r="CK24" t="e">
        <f t="shared" si="11"/>
        <v>#N/A</v>
      </c>
      <c r="CL24" t="e">
        <f t="shared" si="11"/>
        <v>#N/A</v>
      </c>
      <c r="CM24" t="e">
        <f t="shared" si="11"/>
        <v>#N/A</v>
      </c>
      <c r="CN24" t="e">
        <f t="shared" si="11"/>
        <v>#N/A</v>
      </c>
      <c r="CO24" t="e">
        <f t="shared" si="11"/>
        <v>#N/A</v>
      </c>
      <c r="CP24" t="e">
        <f t="shared" si="12"/>
        <v>#N/A</v>
      </c>
      <c r="CQ24" t="e">
        <f t="shared" si="12"/>
        <v>#N/A</v>
      </c>
      <c r="CR24" t="e">
        <f t="shared" si="12"/>
        <v>#N/A</v>
      </c>
      <c r="CS24" t="e">
        <f t="shared" si="12"/>
        <v>#N/A</v>
      </c>
      <c r="CT24" t="e">
        <f t="shared" si="12"/>
        <v>#N/A</v>
      </c>
      <c r="CU24" t="e">
        <f t="shared" si="12"/>
        <v>#N/A</v>
      </c>
      <c r="CV24" t="e">
        <f t="shared" si="12"/>
        <v>#N/A</v>
      </c>
      <c r="CW24" t="e">
        <f t="shared" si="12"/>
        <v>#N/A</v>
      </c>
      <c r="CX24" t="e">
        <f t="shared" si="12"/>
        <v>#N/A</v>
      </c>
      <c r="CY24" t="e">
        <f t="shared" si="12"/>
        <v>#N/A</v>
      </c>
      <c r="CZ24" t="e">
        <f t="shared" si="13"/>
        <v>#N/A</v>
      </c>
      <c r="DA24" t="e">
        <f t="shared" si="13"/>
        <v>#N/A</v>
      </c>
      <c r="DB24" t="e">
        <f t="shared" si="13"/>
        <v>#N/A</v>
      </c>
      <c r="DC24" t="e">
        <f t="shared" si="13"/>
        <v>#N/A</v>
      </c>
      <c r="DD24" t="e">
        <f t="shared" si="13"/>
        <v>#N/A</v>
      </c>
      <c r="DE24" t="e">
        <f t="shared" si="13"/>
        <v>#N/A</v>
      </c>
      <c r="DF24" t="e">
        <f t="shared" si="13"/>
        <v>#N/A</v>
      </c>
      <c r="DG24" t="e">
        <f t="shared" si="13"/>
        <v>#N/A</v>
      </c>
      <c r="DH24" t="e">
        <f t="shared" si="13"/>
        <v>#N/A</v>
      </c>
      <c r="DI24" t="e">
        <f t="shared" si="13"/>
        <v>#N/A</v>
      </c>
      <c r="DJ24" t="e">
        <f t="shared" si="14"/>
        <v>#N/A</v>
      </c>
      <c r="DK24" t="e">
        <f t="shared" si="14"/>
        <v>#N/A</v>
      </c>
      <c r="DL24" t="e">
        <f t="shared" si="14"/>
        <v>#N/A</v>
      </c>
      <c r="DM24" t="e">
        <f t="shared" si="14"/>
        <v>#N/A</v>
      </c>
      <c r="DN24" t="e">
        <f t="shared" si="14"/>
        <v>#N/A</v>
      </c>
      <c r="DO24" t="e">
        <f t="shared" si="14"/>
        <v>#N/A</v>
      </c>
      <c r="DP24" t="e">
        <f t="shared" si="14"/>
        <v>#N/A</v>
      </c>
      <c r="DQ24" t="e">
        <f t="shared" si="14"/>
        <v>#N/A</v>
      </c>
      <c r="DR24" t="e">
        <f t="shared" si="14"/>
        <v>#N/A</v>
      </c>
      <c r="DS24" t="e">
        <f t="shared" si="14"/>
        <v>#N/A</v>
      </c>
      <c r="DT24">
        <f t="shared" si="14"/>
        <v>1251</v>
      </c>
      <c r="DU24">
        <f t="shared" si="14"/>
        <v>1252</v>
      </c>
      <c r="DV24">
        <f t="shared" si="14"/>
        <v>1253</v>
      </c>
      <c r="DW24">
        <f t="shared" si="14"/>
        <v>1254</v>
      </c>
      <c r="DX24">
        <f t="shared" si="14"/>
        <v>1255</v>
      </c>
      <c r="DY24">
        <f t="shared" si="14"/>
        <v>1256</v>
      </c>
      <c r="DZ24">
        <f t="shared" si="15"/>
        <v>1257</v>
      </c>
      <c r="EA24">
        <f t="shared" si="15"/>
        <v>1258</v>
      </c>
      <c r="EB24">
        <f t="shared" si="15"/>
        <v>1259</v>
      </c>
      <c r="EC24">
        <f t="shared" si="15"/>
        <v>1260</v>
      </c>
      <c r="ED24" t="e">
        <f t="shared" si="15"/>
        <v>#N/A</v>
      </c>
      <c r="EE24" t="e">
        <f t="shared" si="15"/>
        <v>#N/A</v>
      </c>
      <c r="EF24" t="e">
        <f t="shared" si="15"/>
        <v>#N/A</v>
      </c>
      <c r="EG24" t="e">
        <f t="shared" si="15"/>
        <v>#N/A</v>
      </c>
      <c r="EH24" t="e">
        <f t="shared" si="15"/>
        <v>#N/A</v>
      </c>
      <c r="EI24" t="e">
        <f t="shared" si="15"/>
        <v>#N/A</v>
      </c>
      <c r="EJ24" t="e">
        <f t="shared" si="15"/>
        <v>#N/A</v>
      </c>
      <c r="EK24" t="e">
        <f t="shared" si="15"/>
        <v>#N/A</v>
      </c>
      <c r="EL24" t="e">
        <f t="shared" si="15"/>
        <v>#N/A</v>
      </c>
      <c r="EM24" t="e">
        <f t="shared" si="15"/>
        <v>#N/A</v>
      </c>
    </row>
    <row r="25" spans="1:143" x14ac:dyDescent="0.4">
      <c r="A25" t="str">
        <f t="shared" si="16"/>
        <v/>
      </c>
      <c r="B25">
        <v>22</v>
      </c>
      <c r="C25" t="str" cm="1">
        <f t="array" ref="C25">INDEX(auto_Series_Code,B25)</f>
        <v>DOMAIN_003</v>
      </c>
      <c r="D25">
        <f t="shared" si="17"/>
        <v>1261</v>
      </c>
      <c r="E25">
        <f t="shared" si="17"/>
        <v>1262</v>
      </c>
      <c r="F25">
        <f t="shared" si="17"/>
        <v>1263</v>
      </c>
      <c r="G25">
        <f t="shared" si="17"/>
        <v>1264</v>
      </c>
      <c r="H25">
        <f t="shared" si="17"/>
        <v>1265</v>
      </c>
      <c r="I25">
        <f t="shared" si="17"/>
        <v>1266</v>
      </c>
      <c r="J25">
        <f t="shared" si="17"/>
        <v>1267</v>
      </c>
      <c r="K25">
        <f t="shared" si="17"/>
        <v>1268</v>
      </c>
      <c r="L25">
        <f t="shared" si="17"/>
        <v>1269</v>
      </c>
      <c r="M25">
        <f t="shared" si="17"/>
        <v>1270</v>
      </c>
      <c r="N25">
        <f t="shared" si="18"/>
        <v>1271</v>
      </c>
      <c r="O25">
        <f t="shared" si="18"/>
        <v>1272</v>
      </c>
      <c r="P25">
        <f t="shared" si="18"/>
        <v>1273</v>
      </c>
      <c r="Q25">
        <f t="shared" si="18"/>
        <v>1274</v>
      </c>
      <c r="R25">
        <f t="shared" si="18"/>
        <v>1275</v>
      </c>
      <c r="S25">
        <f t="shared" si="18"/>
        <v>1276</v>
      </c>
      <c r="T25">
        <f t="shared" si="18"/>
        <v>1277</v>
      </c>
      <c r="U25">
        <f t="shared" si="18"/>
        <v>1278</v>
      </c>
      <c r="V25">
        <f t="shared" si="18"/>
        <v>1279</v>
      </c>
      <c r="W25">
        <f t="shared" si="18"/>
        <v>1280</v>
      </c>
      <c r="X25">
        <f t="shared" si="19"/>
        <v>1281</v>
      </c>
      <c r="Y25">
        <f t="shared" si="19"/>
        <v>1282</v>
      </c>
      <c r="Z25">
        <f t="shared" si="19"/>
        <v>1283</v>
      </c>
      <c r="AA25">
        <f t="shared" si="19"/>
        <v>1284</v>
      </c>
      <c r="AB25">
        <f t="shared" si="19"/>
        <v>1285</v>
      </c>
      <c r="AC25">
        <f t="shared" si="19"/>
        <v>1286</v>
      </c>
      <c r="AD25">
        <f t="shared" si="19"/>
        <v>1287</v>
      </c>
      <c r="AE25">
        <f t="shared" si="19"/>
        <v>1288</v>
      </c>
      <c r="AF25">
        <f t="shared" si="19"/>
        <v>1289</v>
      </c>
      <c r="AG25">
        <f t="shared" si="19"/>
        <v>1290</v>
      </c>
      <c r="AH25">
        <f t="shared" si="20"/>
        <v>1291</v>
      </c>
      <c r="AI25">
        <f t="shared" si="20"/>
        <v>1292</v>
      </c>
      <c r="AJ25">
        <f t="shared" si="20"/>
        <v>1293</v>
      </c>
      <c r="AK25">
        <f t="shared" si="20"/>
        <v>1294</v>
      </c>
      <c r="AL25">
        <f t="shared" si="20"/>
        <v>1295</v>
      </c>
      <c r="AM25">
        <f t="shared" si="20"/>
        <v>1296</v>
      </c>
      <c r="AN25">
        <f t="shared" si="20"/>
        <v>1297</v>
      </c>
      <c r="AO25">
        <f t="shared" si="20"/>
        <v>1298</v>
      </c>
      <c r="AP25">
        <f t="shared" si="20"/>
        <v>1299</v>
      </c>
      <c r="AQ25">
        <f t="shared" si="20"/>
        <v>1300</v>
      </c>
      <c r="AR25">
        <f t="shared" si="21"/>
        <v>1301</v>
      </c>
      <c r="AS25">
        <f t="shared" si="21"/>
        <v>1302</v>
      </c>
      <c r="AT25">
        <f t="shared" si="21"/>
        <v>1303</v>
      </c>
      <c r="AU25">
        <f t="shared" si="21"/>
        <v>1304</v>
      </c>
      <c r="AV25">
        <f t="shared" si="21"/>
        <v>1305</v>
      </c>
      <c r="AW25">
        <f t="shared" si="21"/>
        <v>1306</v>
      </c>
      <c r="AX25">
        <f t="shared" si="21"/>
        <v>1307</v>
      </c>
      <c r="AY25">
        <f t="shared" si="21"/>
        <v>1308</v>
      </c>
      <c r="AZ25">
        <f t="shared" si="21"/>
        <v>1309</v>
      </c>
      <c r="BA25">
        <f t="shared" si="21"/>
        <v>1310</v>
      </c>
      <c r="BB25" t="e">
        <f t="shared" si="22"/>
        <v>#N/A</v>
      </c>
      <c r="BC25" t="e">
        <f t="shared" si="22"/>
        <v>#N/A</v>
      </c>
      <c r="BD25" t="e">
        <f t="shared" si="22"/>
        <v>#N/A</v>
      </c>
      <c r="BE25" t="e">
        <f t="shared" si="22"/>
        <v>#N/A</v>
      </c>
      <c r="BF25" t="e">
        <f t="shared" si="22"/>
        <v>#N/A</v>
      </c>
      <c r="BG25" t="e">
        <f t="shared" si="22"/>
        <v>#N/A</v>
      </c>
      <c r="BH25" t="e">
        <f t="shared" si="22"/>
        <v>#N/A</v>
      </c>
      <c r="BI25" t="e">
        <f t="shared" si="22"/>
        <v>#N/A</v>
      </c>
      <c r="BJ25" t="e">
        <f t="shared" si="22"/>
        <v>#N/A</v>
      </c>
      <c r="BK25" t="e">
        <f t="shared" si="22"/>
        <v>#N/A</v>
      </c>
      <c r="BL25" t="e">
        <f t="shared" si="23"/>
        <v>#N/A</v>
      </c>
      <c r="BM25" t="e">
        <f t="shared" si="23"/>
        <v>#N/A</v>
      </c>
      <c r="BN25" t="e">
        <f t="shared" si="23"/>
        <v>#N/A</v>
      </c>
      <c r="BO25" t="e">
        <f t="shared" si="23"/>
        <v>#N/A</v>
      </c>
      <c r="BP25" t="e">
        <f t="shared" si="23"/>
        <v>#N/A</v>
      </c>
      <c r="BQ25" t="e">
        <f t="shared" si="23"/>
        <v>#N/A</v>
      </c>
      <c r="BR25" t="e">
        <f t="shared" si="23"/>
        <v>#N/A</v>
      </c>
      <c r="BS25" t="e">
        <f t="shared" si="23"/>
        <v>#N/A</v>
      </c>
      <c r="BT25" t="e">
        <f t="shared" si="23"/>
        <v>#N/A</v>
      </c>
      <c r="BU25" t="e">
        <f t="shared" si="23"/>
        <v>#N/A</v>
      </c>
      <c r="BV25" t="e">
        <f t="shared" si="24"/>
        <v>#N/A</v>
      </c>
      <c r="BW25" t="e">
        <f t="shared" si="24"/>
        <v>#N/A</v>
      </c>
      <c r="BX25" t="e">
        <f t="shared" si="24"/>
        <v>#N/A</v>
      </c>
      <c r="BY25" t="e">
        <f t="shared" si="24"/>
        <v>#N/A</v>
      </c>
      <c r="BZ25" t="e">
        <f t="shared" si="24"/>
        <v>#N/A</v>
      </c>
      <c r="CA25" t="e">
        <f t="shared" si="24"/>
        <v>#N/A</v>
      </c>
      <c r="CB25" t="e">
        <f t="shared" si="24"/>
        <v>#N/A</v>
      </c>
      <c r="CC25" t="e">
        <f t="shared" si="24"/>
        <v>#N/A</v>
      </c>
      <c r="CD25" t="e">
        <f t="shared" si="24"/>
        <v>#N/A</v>
      </c>
      <c r="CE25" t="e">
        <f t="shared" si="24"/>
        <v>#N/A</v>
      </c>
      <c r="CF25" t="e">
        <f t="shared" si="25"/>
        <v>#N/A</v>
      </c>
      <c r="CG25" t="e">
        <f t="shared" si="25"/>
        <v>#N/A</v>
      </c>
      <c r="CH25" t="e">
        <f t="shared" si="25"/>
        <v>#N/A</v>
      </c>
      <c r="CI25" t="e">
        <f t="shared" si="25"/>
        <v>#N/A</v>
      </c>
      <c r="CJ25" t="e">
        <f t="shared" si="25"/>
        <v>#N/A</v>
      </c>
      <c r="CK25" t="e">
        <f t="shared" si="25"/>
        <v>#N/A</v>
      </c>
      <c r="CL25" t="e">
        <f t="shared" si="25"/>
        <v>#N/A</v>
      </c>
      <c r="CM25" t="e">
        <f t="shared" si="25"/>
        <v>#N/A</v>
      </c>
      <c r="CN25" t="e">
        <f t="shared" si="25"/>
        <v>#N/A</v>
      </c>
      <c r="CO25" t="e">
        <f t="shared" si="25"/>
        <v>#N/A</v>
      </c>
      <c r="CP25" t="e">
        <f t="shared" si="26"/>
        <v>#N/A</v>
      </c>
      <c r="CQ25" t="e">
        <f t="shared" si="26"/>
        <v>#N/A</v>
      </c>
      <c r="CR25" t="e">
        <f t="shared" si="26"/>
        <v>#N/A</v>
      </c>
      <c r="CS25" t="e">
        <f t="shared" si="26"/>
        <v>#N/A</v>
      </c>
      <c r="CT25" t="e">
        <f t="shared" si="26"/>
        <v>#N/A</v>
      </c>
      <c r="CU25" t="e">
        <f t="shared" si="26"/>
        <v>#N/A</v>
      </c>
      <c r="CV25" t="e">
        <f t="shared" si="26"/>
        <v>#N/A</v>
      </c>
      <c r="CW25" t="e">
        <f t="shared" si="26"/>
        <v>#N/A</v>
      </c>
      <c r="CX25" t="e">
        <f t="shared" si="26"/>
        <v>#N/A</v>
      </c>
      <c r="CY25" t="e">
        <f t="shared" si="26"/>
        <v>#N/A</v>
      </c>
      <c r="CZ25" t="e">
        <f t="shared" si="27"/>
        <v>#N/A</v>
      </c>
      <c r="DA25" t="e">
        <f t="shared" si="27"/>
        <v>#N/A</v>
      </c>
      <c r="DB25" t="e">
        <f t="shared" si="27"/>
        <v>#N/A</v>
      </c>
      <c r="DC25" t="e">
        <f t="shared" si="27"/>
        <v>#N/A</v>
      </c>
      <c r="DD25" t="e">
        <f t="shared" si="27"/>
        <v>#N/A</v>
      </c>
      <c r="DE25" t="e">
        <f t="shared" si="27"/>
        <v>#N/A</v>
      </c>
      <c r="DF25" t="e">
        <f t="shared" si="27"/>
        <v>#N/A</v>
      </c>
      <c r="DG25" t="e">
        <f t="shared" si="27"/>
        <v>#N/A</v>
      </c>
      <c r="DH25" t="e">
        <f t="shared" si="27"/>
        <v>#N/A</v>
      </c>
      <c r="DI25" t="e">
        <f t="shared" si="27"/>
        <v>#N/A</v>
      </c>
      <c r="DJ25" t="e">
        <f t="shared" si="28"/>
        <v>#N/A</v>
      </c>
      <c r="DK25" t="e">
        <f t="shared" si="28"/>
        <v>#N/A</v>
      </c>
      <c r="DL25" t="e">
        <f t="shared" si="28"/>
        <v>#N/A</v>
      </c>
      <c r="DM25" t="e">
        <f t="shared" si="28"/>
        <v>#N/A</v>
      </c>
      <c r="DN25" t="e">
        <f t="shared" si="28"/>
        <v>#N/A</v>
      </c>
      <c r="DO25" t="e">
        <f t="shared" si="28"/>
        <v>#N/A</v>
      </c>
      <c r="DP25" t="e">
        <f t="shared" si="28"/>
        <v>#N/A</v>
      </c>
      <c r="DQ25" t="e">
        <f t="shared" si="28"/>
        <v>#N/A</v>
      </c>
      <c r="DR25" t="e">
        <f t="shared" si="28"/>
        <v>#N/A</v>
      </c>
      <c r="DS25" t="e">
        <f t="shared" si="28"/>
        <v>#N/A</v>
      </c>
      <c r="DT25">
        <f t="shared" si="28"/>
        <v>1311</v>
      </c>
      <c r="DU25">
        <f t="shared" si="28"/>
        <v>1312</v>
      </c>
      <c r="DV25">
        <f t="shared" si="28"/>
        <v>1313</v>
      </c>
      <c r="DW25">
        <f t="shared" si="28"/>
        <v>1314</v>
      </c>
      <c r="DX25">
        <f t="shared" si="28"/>
        <v>1315</v>
      </c>
      <c r="DY25">
        <f t="shared" si="28"/>
        <v>1316</v>
      </c>
      <c r="DZ25">
        <f t="shared" si="29"/>
        <v>1317</v>
      </c>
      <c r="EA25">
        <f t="shared" si="29"/>
        <v>1318</v>
      </c>
      <c r="EB25">
        <f t="shared" si="29"/>
        <v>1319</v>
      </c>
      <c r="EC25">
        <f t="shared" si="29"/>
        <v>1320</v>
      </c>
      <c r="ED25" t="e">
        <f t="shared" si="29"/>
        <v>#N/A</v>
      </c>
      <c r="EE25" t="e">
        <f t="shared" si="29"/>
        <v>#N/A</v>
      </c>
      <c r="EF25" t="e">
        <f t="shared" si="29"/>
        <v>#N/A</v>
      </c>
      <c r="EG25" t="e">
        <f t="shared" si="29"/>
        <v>#N/A</v>
      </c>
      <c r="EH25" t="e">
        <f t="shared" si="29"/>
        <v>#N/A</v>
      </c>
      <c r="EI25" t="e">
        <f t="shared" si="29"/>
        <v>#N/A</v>
      </c>
      <c r="EJ25" t="e">
        <f t="shared" si="29"/>
        <v>#N/A</v>
      </c>
      <c r="EK25" t="e">
        <f t="shared" si="29"/>
        <v>#N/A</v>
      </c>
      <c r="EL25" t="e">
        <f t="shared" si="29"/>
        <v>#N/A</v>
      </c>
      <c r="EM25" t="e">
        <f t="shared" si="29"/>
        <v>#N/A</v>
      </c>
    </row>
    <row r="26" spans="1:143" x14ac:dyDescent="0.4">
      <c r="A26" t="str">
        <f t="shared" si="16"/>
        <v/>
      </c>
      <c r="B26">
        <v>23</v>
      </c>
      <c r="C26" t="str" cm="1">
        <f t="array" ref="C26">INDEX(auto_Series_Code,B26)</f>
        <v>INDI_011</v>
      </c>
      <c r="D26">
        <f t="shared" si="3"/>
        <v>1321</v>
      </c>
      <c r="E26">
        <f t="shared" si="3"/>
        <v>1322</v>
      </c>
      <c r="F26">
        <f t="shared" si="3"/>
        <v>1323</v>
      </c>
      <c r="G26">
        <f t="shared" si="3"/>
        <v>1324</v>
      </c>
      <c r="H26">
        <f t="shared" si="3"/>
        <v>1325</v>
      </c>
      <c r="I26">
        <f t="shared" si="3"/>
        <v>1326</v>
      </c>
      <c r="J26">
        <f t="shared" si="3"/>
        <v>1327</v>
      </c>
      <c r="K26">
        <f t="shared" si="3"/>
        <v>1328</v>
      </c>
      <c r="L26">
        <f t="shared" si="3"/>
        <v>1329</v>
      </c>
      <c r="M26">
        <f t="shared" si="3"/>
        <v>1330</v>
      </c>
      <c r="N26">
        <f t="shared" si="4"/>
        <v>1331</v>
      </c>
      <c r="O26">
        <f t="shared" si="4"/>
        <v>1332</v>
      </c>
      <c r="P26">
        <f t="shared" si="4"/>
        <v>1333</v>
      </c>
      <c r="Q26">
        <f t="shared" si="4"/>
        <v>1334</v>
      </c>
      <c r="R26">
        <f t="shared" si="4"/>
        <v>1335</v>
      </c>
      <c r="S26">
        <f t="shared" si="4"/>
        <v>1336</v>
      </c>
      <c r="T26">
        <f t="shared" si="4"/>
        <v>1337</v>
      </c>
      <c r="U26">
        <f t="shared" si="4"/>
        <v>1338</v>
      </c>
      <c r="V26">
        <f t="shared" si="4"/>
        <v>1339</v>
      </c>
      <c r="W26">
        <f t="shared" si="4"/>
        <v>1340</v>
      </c>
      <c r="X26">
        <f t="shared" si="5"/>
        <v>1341</v>
      </c>
      <c r="Y26">
        <f t="shared" si="5"/>
        <v>1342</v>
      </c>
      <c r="Z26">
        <f t="shared" si="5"/>
        <v>1343</v>
      </c>
      <c r="AA26">
        <f t="shared" si="5"/>
        <v>1344</v>
      </c>
      <c r="AB26">
        <f t="shared" si="5"/>
        <v>1345</v>
      </c>
      <c r="AC26">
        <f t="shared" si="5"/>
        <v>1346</v>
      </c>
      <c r="AD26">
        <f t="shared" si="5"/>
        <v>1347</v>
      </c>
      <c r="AE26">
        <f t="shared" si="5"/>
        <v>1348</v>
      </c>
      <c r="AF26">
        <f t="shared" si="5"/>
        <v>1349</v>
      </c>
      <c r="AG26">
        <f t="shared" si="5"/>
        <v>1350</v>
      </c>
      <c r="AH26">
        <f t="shared" si="6"/>
        <v>1351</v>
      </c>
      <c r="AI26">
        <f t="shared" si="6"/>
        <v>1352</v>
      </c>
      <c r="AJ26">
        <f t="shared" si="6"/>
        <v>1353</v>
      </c>
      <c r="AK26">
        <f t="shared" si="6"/>
        <v>1354</v>
      </c>
      <c r="AL26">
        <f t="shared" si="6"/>
        <v>1355</v>
      </c>
      <c r="AM26">
        <f t="shared" si="6"/>
        <v>1356</v>
      </c>
      <c r="AN26">
        <f t="shared" si="6"/>
        <v>1357</v>
      </c>
      <c r="AO26">
        <f t="shared" si="6"/>
        <v>1358</v>
      </c>
      <c r="AP26">
        <f t="shared" si="6"/>
        <v>1359</v>
      </c>
      <c r="AQ26">
        <f t="shared" si="6"/>
        <v>1360</v>
      </c>
      <c r="AR26">
        <f t="shared" si="7"/>
        <v>1361</v>
      </c>
      <c r="AS26">
        <f t="shared" si="7"/>
        <v>1362</v>
      </c>
      <c r="AT26">
        <f t="shared" si="7"/>
        <v>1363</v>
      </c>
      <c r="AU26">
        <f t="shared" si="7"/>
        <v>1364</v>
      </c>
      <c r="AV26">
        <f t="shared" si="7"/>
        <v>1365</v>
      </c>
      <c r="AW26">
        <f t="shared" si="7"/>
        <v>1366</v>
      </c>
      <c r="AX26">
        <f t="shared" si="7"/>
        <v>1367</v>
      </c>
      <c r="AY26">
        <f t="shared" si="7"/>
        <v>1368</v>
      </c>
      <c r="AZ26">
        <f t="shared" si="7"/>
        <v>1369</v>
      </c>
      <c r="BA26">
        <f t="shared" si="7"/>
        <v>1370</v>
      </c>
      <c r="BB26" t="e">
        <f t="shared" si="8"/>
        <v>#N/A</v>
      </c>
      <c r="BC26" t="e">
        <f t="shared" si="8"/>
        <v>#N/A</v>
      </c>
      <c r="BD26" t="e">
        <f t="shared" si="8"/>
        <v>#N/A</v>
      </c>
      <c r="BE26" t="e">
        <f t="shared" si="8"/>
        <v>#N/A</v>
      </c>
      <c r="BF26" t="e">
        <f t="shared" si="8"/>
        <v>#N/A</v>
      </c>
      <c r="BG26" t="e">
        <f t="shared" si="8"/>
        <v>#N/A</v>
      </c>
      <c r="BH26" t="e">
        <f t="shared" si="8"/>
        <v>#N/A</v>
      </c>
      <c r="BI26" t="e">
        <f t="shared" si="8"/>
        <v>#N/A</v>
      </c>
      <c r="BJ26" t="e">
        <f t="shared" si="8"/>
        <v>#N/A</v>
      </c>
      <c r="BK26" t="e">
        <f t="shared" si="8"/>
        <v>#N/A</v>
      </c>
      <c r="BL26" t="e">
        <f t="shared" si="9"/>
        <v>#N/A</v>
      </c>
      <c r="BM26" t="e">
        <f t="shared" si="9"/>
        <v>#N/A</v>
      </c>
      <c r="BN26" t="e">
        <f t="shared" si="9"/>
        <v>#N/A</v>
      </c>
      <c r="BO26" t="e">
        <f t="shared" si="9"/>
        <v>#N/A</v>
      </c>
      <c r="BP26" t="e">
        <f t="shared" si="9"/>
        <v>#N/A</v>
      </c>
      <c r="BQ26" t="e">
        <f t="shared" si="9"/>
        <v>#N/A</v>
      </c>
      <c r="BR26" t="e">
        <f t="shared" si="9"/>
        <v>#N/A</v>
      </c>
      <c r="BS26" t="e">
        <f t="shared" si="9"/>
        <v>#N/A</v>
      </c>
      <c r="BT26" t="e">
        <f t="shared" si="9"/>
        <v>#N/A</v>
      </c>
      <c r="BU26" t="e">
        <f t="shared" si="9"/>
        <v>#N/A</v>
      </c>
      <c r="BV26" t="e">
        <f t="shared" si="10"/>
        <v>#N/A</v>
      </c>
      <c r="BW26" t="e">
        <f t="shared" si="10"/>
        <v>#N/A</v>
      </c>
      <c r="BX26" t="e">
        <f t="shared" si="10"/>
        <v>#N/A</v>
      </c>
      <c r="BY26" t="e">
        <f t="shared" si="10"/>
        <v>#N/A</v>
      </c>
      <c r="BZ26" t="e">
        <f t="shared" si="10"/>
        <v>#N/A</v>
      </c>
      <c r="CA26" t="e">
        <f t="shared" si="10"/>
        <v>#N/A</v>
      </c>
      <c r="CB26" t="e">
        <f t="shared" si="10"/>
        <v>#N/A</v>
      </c>
      <c r="CC26" t="e">
        <f t="shared" si="10"/>
        <v>#N/A</v>
      </c>
      <c r="CD26" t="e">
        <f t="shared" si="10"/>
        <v>#N/A</v>
      </c>
      <c r="CE26" t="e">
        <f t="shared" si="10"/>
        <v>#N/A</v>
      </c>
      <c r="CF26" t="e">
        <f t="shared" si="11"/>
        <v>#N/A</v>
      </c>
      <c r="CG26" t="e">
        <f t="shared" si="11"/>
        <v>#N/A</v>
      </c>
      <c r="CH26" t="e">
        <f t="shared" si="11"/>
        <v>#N/A</v>
      </c>
      <c r="CI26" t="e">
        <f t="shared" si="11"/>
        <v>#N/A</v>
      </c>
      <c r="CJ26" t="e">
        <f t="shared" si="11"/>
        <v>#N/A</v>
      </c>
      <c r="CK26" t="e">
        <f t="shared" si="11"/>
        <v>#N/A</v>
      </c>
      <c r="CL26" t="e">
        <f t="shared" si="11"/>
        <v>#N/A</v>
      </c>
      <c r="CM26" t="e">
        <f t="shared" si="11"/>
        <v>#N/A</v>
      </c>
      <c r="CN26" t="e">
        <f t="shared" si="11"/>
        <v>#N/A</v>
      </c>
      <c r="CO26" t="e">
        <f t="shared" si="11"/>
        <v>#N/A</v>
      </c>
      <c r="CP26" t="e">
        <f t="shared" si="12"/>
        <v>#N/A</v>
      </c>
      <c r="CQ26" t="e">
        <f t="shared" si="12"/>
        <v>#N/A</v>
      </c>
      <c r="CR26" t="e">
        <f t="shared" si="12"/>
        <v>#N/A</v>
      </c>
      <c r="CS26" t="e">
        <f t="shared" si="12"/>
        <v>#N/A</v>
      </c>
      <c r="CT26" t="e">
        <f t="shared" si="12"/>
        <v>#N/A</v>
      </c>
      <c r="CU26" t="e">
        <f t="shared" si="12"/>
        <v>#N/A</v>
      </c>
      <c r="CV26" t="e">
        <f t="shared" si="12"/>
        <v>#N/A</v>
      </c>
      <c r="CW26" t="e">
        <f t="shared" si="12"/>
        <v>#N/A</v>
      </c>
      <c r="CX26" t="e">
        <f t="shared" si="12"/>
        <v>#N/A</v>
      </c>
      <c r="CY26" t="e">
        <f t="shared" si="12"/>
        <v>#N/A</v>
      </c>
      <c r="CZ26" t="e">
        <f t="shared" si="13"/>
        <v>#N/A</v>
      </c>
      <c r="DA26" t="e">
        <f t="shared" si="13"/>
        <v>#N/A</v>
      </c>
      <c r="DB26" t="e">
        <f t="shared" si="13"/>
        <v>#N/A</v>
      </c>
      <c r="DC26" t="e">
        <f t="shared" si="13"/>
        <v>#N/A</v>
      </c>
      <c r="DD26" t="e">
        <f t="shared" si="13"/>
        <v>#N/A</v>
      </c>
      <c r="DE26" t="e">
        <f t="shared" si="13"/>
        <v>#N/A</v>
      </c>
      <c r="DF26" t="e">
        <f t="shared" si="13"/>
        <v>#N/A</v>
      </c>
      <c r="DG26" t="e">
        <f t="shared" si="13"/>
        <v>#N/A</v>
      </c>
      <c r="DH26" t="e">
        <f t="shared" si="13"/>
        <v>#N/A</v>
      </c>
      <c r="DI26" t="e">
        <f t="shared" si="13"/>
        <v>#N/A</v>
      </c>
      <c r="DJ26" t="e">
        <f t="shared" si="14"/>
        <v>#N/A</v>
      </c>
      <c r="DK26" t="e">
        <f t="shared" si="14"/>
        <v>#N/A</v>
      </c>
      <c r="DL26" t="e">
        <f t="shared" si="14"/>
        <v>#N/A</v>
      </c>
      <c r="DM26" t="e">
        <f t="shared" si="14"/>
        <v>#N/A</v>
      </c>
      <c r="DN26" t="e">
        <f t="shared" si="14"/>
        <v>#N/A</v>
      </c>
      <c r="DO26" t="e">
        <f t="shared" si="14"/>
        <v>#N/A</v>
      </c>
      <c r="DP26" t="e">
        <f t="shared" si="14"/>
        <v>#N/A</v>
      </c>
      <c r="DQ26" t="e">
        <f t="shared" si="14"/>
        <v>#N/A</v>
      </c>
      <c r="DR26" t="e">
        <f t="shared" si="14"/>
        <v>#N/A</v>
      </c>
      <c r="DS26" t="e">
        <f t="shared" si="14"/>
        <v>#N/A</v>
      </c>
      <c r="DT26">
        <f t="shared" si="14"/>
        <v>1371</v>
      </c>
      <c r="DU26">
        <f t="shared" si="14"/>
        <v>1372</v>
      </c>
      <c r="DV26">
        <f t="shared" si="14"/>
        <v>1373</v>
      </c>
      <c r="DW26">
        <f t="shared" si="14"/>
        <v>1374</v>
      </c>
      <c r="DX26">
        <f t="shared" si="14"/>
        <v>1375</v>
      </c>
      <c r="DY26">
        <f t="shared" si="14"/>
        <v>1376</v>
      </c>
      <c r="DZ26">
        <f t="shared" si="15"/>
        <v>1377</v>
      </c>
      <c r="EA26">
        <f t="shared" si="15"/>
        <v>1378</v>
      </c>
      <c r="EB26">
        <f t="shared" si="15"/>
        <v>1379</v>
      </c>
      <c r="EC26">
        <f t="shared" si="15"/>
        <v>1380</v>
      </c>
      <c r="ED26" t="e">
        <f t="shared" si="15"/>
        <v>#N/A</v>
      </c>
      <c r="EE26" t="e">
        <f t="shared" si="15"/>
        <v>#N/A</v>
      </c>
      <c r="EF26" t="e">
        <f t="shared" si="15"/>
        <v>#N/A</v>
      </c>
      <c r="EG26" t="e">
        <f t="shared" si="15"/>
        <v>#N/A</v>
      </c>
      <c r="EH26" t="e">
        <f t="shared" si="15"/>
        <v>#N/A</v>
      </c>
      <c r="EI26" t="e">
        <f t="shared" si="15"/>
        <v>#N/A</v>
      </c>
      <c r="EJ26" t="e">
        <f t="shared" si="15"/>
        <v>#N/A</v>
      </c>
      <c r="EK26" t="e">
        <f t="shared" si="15"/>
        <v>#N/A</v>
      </c>
      <c r="EL26" t="e">
        <f t="shared" si="15"/>
        <v>#N/A</v>
      </c>
      <c r="EM26" t="e">
        <f t="shared" si="15"/>
        <v>#N/A</v>
      </c>
    </row>
    <row r="27" spans="1:143" x14ac:dyDescent="0.4">
      <c r="A27" t="str">
        <f t="shared" si="16"/>
        <v/>
      </c>
      <c r="B27">
        <v>24</v>
      </c>
      <c r="C27" t="str" cm="1">
        <f t="array" ref="C27">INDEX(auto_Series_Code,B27)</f>
        <v>SUBINDI_009</v>
      </c>
      <c r="D27">
        <f t="shared" si="17"/>
        <v>1381</v>
      </c>
      <c r="E27">
        <f t="shared" si="17"/>
        <v>1382</v>
      </c>
      <c r="F27">
        <f t="shared" si="17"/>
        <v>1383</v>
      </c>
      <c r="G27">
        <f t="shared" si="17"/>
        <v>1384</v>
      </c>
      <c r="H27">
        <f t="shared" si="17"/>
        <v>1385</v>
      </c>
      <c r="I27">
        <f t="shared" si="17"/>
        <v>1386</v>
      </c>
      <c r="J27">
        <f t="shared" si="17"/>
        <v>1387</v>
      </c>
      <c r="K27">
        <f t="shared" si="17"/>
        <v>1388</v>
      </c>
      <c r="L27">
        <f t="shared" si="17"/>
        <v>1389</v>
      </c>
      <c r="M27">
        <f t="shared" si="17"/>
        <v>1390</v>
      </c>
      <c r="N27">
        <f t="shared" si="18"/>
        <v>1391</v>
      </c>
      <c r="O27">
        <f t="shared" si="18"/>
        <v>1392</v>
      </c>
      <c r="P27">
        <f t="shared" si="18"/>
        <v>1393</v>
      </c>
      <c r="Q27">
        <f t="shared" si="18"/>
        <v>1394</v>
      </c>
      <c r="R27">
        <f t="shared" si="18"/>
        <v>1395</v>
      </c>
      <c r="S27">
        <f t="shared" si="18"/>
        <v>1396</v>
      </c>
      <c r="T27">
        <f t="shared" si="18"/>
        <v>1397</v>
      </c>
      <c r="U27">
        <f t="shared" si="18"/>
        <v>1398</v>
      </c>
      <c r="V27">
        <f t="shared" si="18"/>
        <v>1399</v>
      </c>
      <c r="W27">
        <f t="shared" si="18"/>
        <v>1400</v>
      </c>
      <c r="X27">
        <f t="shared" si="19"/>
        <v>1401</v>
      </c>
      <c r="Y27">
        <f t="shared" si="19"/>
        <v>1402</v>
      </c>
      <c r="Z27">
        <f t="shared" si="19"/>
        <v>1403</v>
      </c>
      <c r="AA27">
        <f t="shared" si="19"/>
        <v>1404</v>
      </c>
      <c r="AB27">
        <f t="shared" si="19"/>
        <v>1405</v>
      </c>
      <c r="AC27">
        <f t="shared" si="19"/>
        <v>1406</v>
      </c>
      <c r="AD27">
        <f t="shared" si="19"/>
        <v>1407</v>
      </c>
      <c r="AE27">
        <f t="shared" si="19"/>
        <v>1408</v>
      </c>
      <c r="AF27">
        <f t="shared" si="19"/>
        <v>1409</v>
      </c>
      <c r="AG27">
        <f t="shared" si="19"/>
        <v>1410</v>
      </c>
      <c r="AH27">
        <f t="shared" si="20"/>
        <v>1411</v>
      </c>
      <c r="AI27">
        <f t="shared" si="20"/>
        <v>1412</v>
      </c>
      <c r="AJ27">
        <f t="shared" si="20"/>
        <v>1413</v>
      </c>
      <c r="AK27">
        <f t="shared" si="20"/>
        <v>1414</v>
      </c>
      <c r="AL27">
        <f t="shared" si="20"/>
        <v>1415</v>
      </c>
      <c r="AM27">
        <f t="shared" si="20"/>
        <v>1416</v>
      </c>
      <c r="AN27">
        <f t="shared" si="20"/>
        <v>1417</v>
      </c>
      <c r="AO27">
        <f t="shared" si="20"/>
        <v>1418</v>
      </c>
      <c r="AP27">
        <f t="shared" si="20"/>
        <v>1419</v>
      </c>
      <c r="AQ27">
        <f t="shared" si="20"/>
        <v>1420</v>
      </c>
      <c r="AR27">
        <f t="shared" si="21"/>
        <v>1421</v>
      </c>
      <c r="AS27">
        <f t="shared" si="21"/>
        <v>1422</v>
      </c>
      <c r="AT27">
        <f t="shared" si="21"/>
        <v>1423</v>
      </c>
      <c r="AU27">
        <f t="shared" si="21"/>
        <v>1424</v>
      </c>
      <c r="AV27">
        <f t="shared" si="21"/>
        <v>1425</v>
      </c>
      <c r="AW27">
        <f t="shared" si="21"/>
        <v>1426</v>
      </c>
      <c r="AX27">
        <f t="shared" si="21"/>
        <v>1427</v>
      </c>
      <c r="AY27">
        <f t="shared" si="21"/>
        <v>1428</v>
      </c>
      <c r="AZ27">
        <f t="shared" si="21"/>
        <v>1429</v>
      </c>
      <c r="BA27">
        <f t="shared" si="21"/>
        <v>1430</v>
      </c>
      <c r="BB27" t="e">
        <f t="shared" si="22"/>
        <v>#N/A</v>
      </c>
      <c r="BC27" t="e">
        <f t="shared" si="22"/>
        <v>#N/A</v>
      </c>
      <c r="BD27" t="e">
        <f t="shared" si="22"/>
        <v>#N/A</v>
      </c>
      <c r="BE27" t="e">
        <f t="shared" si="22"/>
        <v>#N/A</v>
      </c>
      <c r="BF27" t="e">
        <f t="shared" si="22"/>
        <v>#N/A</v>
      </c>
      <c r="BG27" t="e">
        <f t="shared" si="22"/>
        <v>#N/A</v>
      </c>
      <c r="BH27" t="e">
        <f t="shared" si="22"/>
        <v>#N/A</v>
      </c>
      <c r="BI27" t="e">
        <f t="shared" si="22"/>
        <v>#N/A</v>
      </c>
      <c r="BJ27" t="e">
        <f t="shared" si="22"/>
        <v>#N/A</v>
      </c>
      <c r="BK27" t="e">
        <f t="shared" si="22"/>
        <v>#N/A</v>
      </c>
      <c r="BL27" t="e">
        <f t="shared" si="23"/>
        <v>#N/A</v>
      </c>
      <c r="BM27" t="e">
        <f t="shared" si="23"/>
        <v>#N/A</v>
      </c>
      <c r="BN27" t="e">
        <f t="shared" si="23"/>
        <v>#N/A</v>
      </c>
      <c r="BO27" t="e">
        <f t="shared" si="23"/>
        <v>#N/A</v>
      </c>
      <c r="BP27" t="e">
        <f t="shared" si="23"/>
        <v>#N/A</v>
      </c>
      <c r="BQ27" t="e">
        <f t="shared" si="23"/>
        <v>#N/A</v>
      </c>
      <c r="BR27" t="e">
        <f t="shared" si="23"/>
        <v>#N/A</v>
      </c>
      <c r="BS27" t="e">
        <f t="shared" si="23"/>
        <v>#N/A</v>
      </c>
      <c r="BT27" t="e">
        <f t="shared" si="23"/>
        <v>#N/A</v>
      </c>
      <c r="BU27" t="e">
        <f t="shared" si="23"/>
        <v>#N/A</v>
      </c>
      <c r="BV27" t="e">
        <f t="shared" si="24"/>
        <v>#N/A</v>
      </c>
      <c r="BW27" t="e">
        <f t="shared" si="24"/>
        <v>#N/A</v>
      </c>
      <c r="BX27" t="e">
        <f t="shared" si="24"/>
        <v>#N/A</v>
      </c>
      <c r="BY27" t="e">
        <f t="shared" si="24"/>
        <v>#N/A</v>
      </c>
      <c r="BZ27" t="e">
        <f t="shared" si="24"/>
        <v>#N/A</v>
      </c>
      <c r="CA27" t="e">
        <f t="shared" si="24"/>
        <v>#N/A</v>
      </c>
      <c r="CB27" t="e">
        <f t="shared" si="24"/>
        <v>#N/A</v>
      </c>
      <c r="CC27" t="e">
        <f t="shared" si="24"/>
        <v>#N/A</v>
      </c>
      <c r="CD27" t="e">
        <f t="shared" si="24"/>
        <v>#N/A</v>
      </c>
      <c r="CE27" t="e">
        <f t="shared" si="24"/>
        <v>#N/A</v>
      </c>
      <c r="CF27" t="e">
        <f t="shared" si="25"/>
        <v>#N/A</v>
      </c>
      <c r="CG27" t="e">
        <f t="shared" si="25"/>
        <v>#N/A</v>
      </c>
      <c r="CH27" t="e">
        <f t="shared" si="25"/>
        <v>#N/A</v>
      </c>
      <c r="CI27" t="e">
        <f t="shared" si="25"/>
        <v>#N/A</v>
      </c>
      <c r="CJ27" t="e">
        <f t="shared" si="25"/>
        <v>#N/A</v>
      </c>
      <c r="CK27" t="e">
        <f t="shared" si="25"/>
        <v>#N/A</v>
      </c>
      <c r="CL27" t="e">
        <f t="shared" si="25"/>
        <v>#N/A</v>
      </c>
      <c r="CM27" t="e">
        <f t="shared" si="25"/>
        <v>#N/A</v>
      </c>
      <c r="CN27" t="e">
        <f t="shared" si="25"/>
        <v>#N/A</v>
      </c>
      <c r="CO27" t="e">
        <f t="shared" si="25"/>
        <v>#N/A</v>
      </c>
      <c r="CP27" t="e">
        <f t="shared" si="26"/>
        <v>#N/A</v>
      </c>
      <c r="CQ27" t="e">
        <f t="shared" si="26"/>
        <v>#N/A</v>
      </c>
      <c r="CR27" t="e">
        <f t="shared" si="26"/>
        <v>#N/A</v>
      </c>
      <c r="CS27" t="e">
        <f t="shared" si="26"/>
        <v>#N/A</v>
      </c>
      <c r="CT27" t="e">
        <f t="shared" si="26"/>
        <v>#N/A</v>
      </c>
      <c r="CU27" t="e">
        <f t="shared" si="26"/>
        <v>#N/A</v>
      </c>
      <c r="CV27" t="e">
        <f t="shared" si="26"/>
        <v>#N/A</v>
      </c>
      <c r="CW27" t="e">
        <f t="shared" si="26"/>
        <v>#N/A</v>
      </c>
      <c r="CX27" t="e">
        <f t="shared" si="26"/>
        <v>#N/A</v>
      </c>
      <c r="CY27" t="e">
        <f t="shared" si="26"/>
        <v>#N/A</v>
      </c>
      <c r="CZ27" t="e">
        <f t="shared" si="27"/>
        <v>#N/A</v>
      </c>
      <c r="DA27" t="e">
        <f t="shared" si="27"/>
        <v>#N/A</v>
      </c>
      <c r="DB27" t="e">
        <f t="shared" si="27"/>
        <v>#N/A</v>
      </c>
      <c r="DC27" t="e">
        <f t="shared" si="27"/>
        <v>#N/A</v>
      </c>
      <c r="DD27" t="e">
        <f t="shared" si="27"/>
        <v>#N/A</v>
      </c>
      <c r="DE27" t="e">
        <f t="shared" si="27"/>
        <v>#N/A</v>
      </c>
      <c r="DF27" t="e">
        <f t="shared" si="27"/>
        <v>#N/A</v>
      </c>
      <c r="DG27" t="e">
        <f t="shared" si="27"/>
        <v>#N/A</v>
      </c>
      <c r="DH27" t="e">
        <f t="shared" si="27"/>
        <v>#N/A</v>
      </c>
      <c r="DI27" t="e">
        <f t="shared" si="27"/>
        <v>#N/A</v>
      </c>
      <c r="DJ27" t="e">
        <f t="shared" si="28"/>
        <v>#N/A</v>
      </c>
      <c r="DK27" t="e">
        <f t="shared" si="28"/>
        <v>#N/A</v>
      </c>
      <c r="DL27" t="e">
        <f t="shared" si="28"/>
        <v>#N/A</v>
      </c>
      <c r="DM27" t="e">
        <f t="shared" si="28"/>
        <v>#N/A</v>
      </c>
      <c r="DN27" t="e">
        <f t="shared" si="28"/>
        <v>#N/A</v>
      </c>
      <c r="DO27" t="e">
        <f t="shared" si="28"/>
        <v>#N/A</v>
      </c>
      <c r="DP27" t="e">
        <f t="shared" si="28"/>
        <v>#N/A</v>
      </c>
      <c r="DQ27" t="e">
        <f t="shared" si="28"/>
        <v>#N/A</v>
      </c>
      <c r="DR27" t="e">
        <f t="shared" si="28"/>
        <v>#N/A</v>
      </c>
      <c r="DS27" t="e">
        <f t="shared" si="28"/>
        <v>#N/A</v>
      </c>
      <c r="DT27">
        <f t="shared" si="28"/>
        <v>1431</v>
      </c>
      <c r="DU27">
        <f t="shared" si="28"/>
        <v>1432</v>
      </c>
      <c r="DV27">
        <f t="shared" si="28"/>
        <v>1433</v>
      </c>
      <c r="DW27">
        <f t="shared" si="28"/>
        <v>1434</v>
      </c>
      <c r="DX27">
        <f t="shared" si="28"/>
        <v>1435</v>
      </c>
      <c r="DY27">
        <f t="shared" si="28"/>
        <v>1436</v>
      </c>
      <c r="DZ27">
        <f t="shared" si="29"/>
        <v>1437</v>
      </c>
      <c r="EA27">
        <f t="shared" si="29"/>
        <v>1438</v>
      </c>
      <c r="EB27">
        <f t="shared" si="29"/>
        <v>1439</v>
      </c>
      <c r="EC27">
        <f t="shared" si="29"/>
        <v>1440</v>
      </c>
      <c r="ED27" t="e">
        <f t="shared" si="29"/>
        <v>#N/A</v>
      </c>
      <c r="EE27" t="e">
        <f t="shared" si="29"/>
        <v>#N/A</v>
      </c>
      <c r="EF27" t="e">
        <f t="shared" si="29"/>
        <v>#N/A</v>
      </c>
      <c r="EG27" t="e">
        <f t="shared" si="29"/>
        <v>#N/A</v>
      </c>
      <c r="EH27" t="e">
        <f t="shared" si="29"/>
        <v>#N/A</v>
      </c>
      <c r="EI27" t="e">
        <f t="shared" si="29"/>
        <v>#N/A</v>
      </c>
      <c r="EJ27" t="e">
        <f t="shared" si="29"/>
        <v>#N/A</v>
      </c>
      <c r="EK27" t="e">
        <f t="shared" si="29"/>
        <v>#N/A</v>
      </c>
      <c r="EL27" t="e">
        <f t="shared" si="29"/>
        <v>#N/A</v>
      </c>
      <c r="EM27" t="e">
        <f t="shared" si="29"/>
        <v>#N/A</v>
      </c>
    </row>
    <row r="28" spans="1:143" x14ac:dyDescent="0.4">
      <c r="A28" t="str">
        <f t="shared" si="16"/>
        <v/>
      </c>
      <c r="B28">
        <v>25</v>
      </c>
      <c r="C28" t="str" cm="1">
        <f t="array" ref="C28">INDEX(auto_Series_Code,B28)</f>
        <v>SUBINDI_010</v>
      </c>
      <c r="D28">
        <f t="shared" si="3"/>
        <v>1441</v>
      </c>
      <c r="E28">
        <f t="shared" si="3"/>
        <v>1442</v>
      </c>
      <c r="F28">
        <f t="shared" si="3"/>
        <v>1443</v>
      </c>
      <c r="G28">
        <f t="shared" si="3"/>
        <v>1444</v>
      </c>
      <c r="H28">
        <f t="shared" si="3"/>
        <v>1445</v>
      </c>
      <c r="I28">
        <f t="shared" si="3"/>
        <v>1446</v>
      </c>
      <c r="J28">
        <f t="shared" si="3"/>
        <v>1447</v>
      </c>
      <c r="K28">
        <f t="shared" si="3"/>
        <v>1448</v>
      </c>
      <c r="L28">
        <f t="shared" si="3"/>
        <v>1449</v>
      </c>
      <c r="M28">
        <f t="shared" si="3"/>
        <v>1450</v>
      </c>
      <c r="N28">
        <f t="shared" si="4"/>
        <v>1451</v>
      </c>
      <c r="O28">
        <f t="shared" si="4"/>
        <v>1452</v>
      </c>
      <c r="P28">
        <f t="shared" si="4"/>
        <v>1453</v>
      </c>
      <c r="Q28">
        <f t="shared" si="4"/>
        <v>1454</v>
      </c>
      <c r="R28">
        <f t="shared" si="4"/>
        <v>1455</v>
      </c>
      <c r="S28">
        <f t="shared" si="4"/>
        <v>1456</v>
      </c>
      <c r="T28">
        <f t="shared" si="4"/>
        <v>1457</v>
      </c>
      <c r="U28">
        <f t="shared" si="4"/>
        <v>1458</v>
      </c>
      <c r="V28">
        <f t="shared" si="4"/>
        <v>1459</v>
      </c>
      <c r="W28">
        <f t="shared" si="4"/>
        <v>1460</v>
      </c>
      <c r="X28">
        <f t="shared" si="5"/>
        <v>1461</v>
      </c>
      <c r="Y28">
        <f t="shared" si="5"/>
        <v>1462</v>
      </c>
      <c r="Z28">
        <f t="shared" si="5"/>
        <v>1463</v>
      </c>
      <c r="AA28">
        <f t="shared" si="5"/>
        <v>1464</v>
      </c>
      <c r="AB28">
        <f t="shared" si="5"/>
        <v>1465</v>
      </c>
      <c r="AC28">
        <f t="shared" si="5"/>
        <v>1466</v>
      </c>
      <c r="AD28">
        <f t="shared" si="5"/>
        <v>1467</v>
      </c>
      <c r="AE28">
        <f t="shared" si="5"/>
        <v>1468</v>
      </c>
      <c r="AF28">
        <f t="shared" si="5"/>
        <v>1469</v>
      </c>
      <c r="AG28">
        <f t="shared" si="5"/>
        <v>1470</v>
      </c>
      <c r="AH28">
        <f t="shared" si="6"/>
        <v>1471</v>
      </c>
      <c r="AI28">
        <f t="shared" si="6"/>
        <v>1472</v>
      </c>
      <c r="AJ28">
        <f t="shared" si="6"/>
        <v>1473</v>
      </c>
      <c r="AK28">
        <f t="shared" si="6"/>
        <v>1474</v>
      </c>
      <c r="AL28">
        <f t="shared" si="6"/>
        <v>1475</v>
      </c>
      <c r="AM28">
        <f t="shared" si="6"/>
        <v>1476</v>
      </c>
      <c r="AN28">
        <f t="shared" si="6"/>
        <v>1477</v>
      </c>
      <c r="AO28">
        <f t="shared" si="6"/>
        <v>1478</v>
      </c>
      <c r="AP28">
        <f t="shared" si="6"/>
        <v>1479</v>
      </c>
      <c r="AQ28">
        <f t="shared" si="6"/>
        <v>1480</v>
      </c>
      <c r="AR28">
        <f t="shared" si="7"/>
        <v>1481</v>
      </c>
      <c r="AS28">
        <f t="shared" si="7"/>
        <v>1482</v>
      </c>
      <c r="AT28">
        <f t="shared" si="7"/>
        <v>1483</v>
      </c>
      <c r="AU28">
        <f t="shared" si="7"/>
        <v>1484</v>
      </c>
      <c r="AV28">
        <f t="shared" si="7"/>
        <v>1485</v>
      </c>
      <c r="AW28">
        <f t="shared" si="7"/>
        <v>1486</v>
      </c>
      <c r="AX28">
        <f t="shared" si="7"/>
        <v>1487</v>
      </c>
      <c r="AY28">
        <f t="shared" si="7"/>
        <v>1488</v>
      </c>
      <c r="AZ28">
        <f t="shared" si="7"/>
        <v>1489</v>
      </c>
      <c r="BA28">
        <f t="shared" si="7"/>
        <v>1490</v>
      </c>
      <c r="BB28" t="e">
        <f t="shared" si="8"/>
        <v>#N/A</v>
      </c>
      <c r="BC28" t="e">
        <f t="shared" si="8"/>
        <v>#N/A</v>
      </c>
      <c r="BD28" t="e">
        <f t="shared" si="8"/>
        <v>#N/A</v>
      </c>
      <c r="BE28" t="e">
        <f t="shared" si="8"/>
        <v>#N/A</v>
      </c>
      <c r="BF28" t="e">
        <f t="shared" si="8"/>
        <v>#N/A</v>
      </c>
      <c r="BG28" t="e">
        <f t="shared" si="8"/>
        <v>#N/A</v>
      </c>
      <c r="BH28" t="e">
        <f t="shared" si="8"/>
        <v>#N/A</v>
      </c>
      <c r="BI28" t="e">
        <f t="shared" si="8"/>
        <v>#N/A</v>
      </c>
      <c r="BJ28" t="e">
        <f t="shared" si="8"/>
        <v>#N/A</v>
      </c>
      <c r="BK28" t="e">
        <f t="shared" si="8"/>
        <v>#N/A</v>
      </c>
      <c r="BL28" t="e">
        <f t="shared" si="9"/>
        <v>#N/A</v>
      </c>
      <c r="BM28" t="e">
        <f t="shared" si="9"/>
        <v>#N/A</v>
      </c>
      <c r="BN28" t="e">
        <f t="shared" si="9"/>
        <v>#N/A</v>
      </c>
      <c r="BO28" t="e">
        <f t="shared" si="9"/>
        <v>#N/A</v>
      </c>
      <c r="BP28" t="e">
        <f t="shared" si="9"/>
        <v>#N/A</v>
      </c>
      <c r="BQ28" t="e">
        <f t="shared" si="9"/>
        <v>#N/A</v>
      </c>
      <c r="BR28" t="e">
        <f t="shared" si="9"/>
        <v>#N/A</v>
      </c>
      <c r="BS28" t="e">
        <f t="shared" si="9"/>
        <v>#N/A</v>
      </c>
      <c r="BT28" t="e">
        <f t="shared" si="9"/>
        <v>#N/A</v>
      </c>
      <c r="BU28" t="e">
        <f t="shared" si="9"/>
        <v>#N/A</v>
      </c>
      <c r="BV28" t="e">
        <f t="shared" si="10"/>
        <v>#N/A</v>
      </c>
      <c r="BW28" t="e">
        <f t="shared" si="10"/>
        <v>#N/A</v>
      </c>
      <c r="BX28" t="e">
        <f t="shared" si="10"/>
        <v>#N/A</v>
      </c>
      <c r="BY28" t="e">
        <f t="shared" si="10"/>
        <v>#N/A</v>
      </c>
      <c r="BZ28" t="e">
        <f t="shared" si="10"/>
        <v>#N/A</v>
      </c>
      <c r="CA28" t="e">
        <f t="shared" si="10"/>
        <v>#N/A</v>
      </c>
      <c r="CB28" t="e">
        <f t="shared" si="10"/>
        <v>#N/A</v>
      </c>
      <c r="CC28" t="e">
        <f t="shared" si="10"/>
        <v>#N/A</v>
      </c>
      <c r="CD28" t="e">
        <f t="shared" si="10"/>
        <v>#N/A</v>
      </c>
      <c r="CE28" t="e">
        <f t="shared" si="10"/>
        <v>#N/A</v>
      </c>
      <c r="CF28" t="e">
        <f t="shared" si="11"/>
        <v>#N/A</v>
      </c>
      <c r="CG28" t="e">
        <f t="shared" si="11"/>
        <v>#N/A</v>
      </c>
      <c r="CH28" t="e">
        <f t="shared" si="11"/>
        <v>#N/A</v>
      </c>
      <c r="CI28" t="e">
        <f t="shared" si="11"/>
        <v>#N/A</v>
      </c>
      <c r="CJ28" t="e">
        <f t="shared" si="11"/>
        <v>#N/A</v>
      </c>
      <c r="CK28" t="e">
        <f t="shared" si="11"/>
        <v>#N/A</v>
      </c>
      <c r="CL28" t="e">
        <f t="shared" si="11"/>
        <v>#N/A</v>
      </c>
      <c r="CM28" t="e">
        <f t="shared" si="11"/>
        <v>#N/A</v>
      </c>
      <c r="CN28" t="e">
        <f t="shared" si="11"/>
        <v>#N/A</v>
      </c>
      <c r="CO28" t="e">
        <f t="shared" si="11"/>
        <v>#N/A</v>
      </c>
      <c r="CP28" t="e">
        <f t="shared" si="12"/>
        <v>#N/A</v>
      </c>
      <c r="CQ28" t="e">
        <f t="shared" si="12"/>
        <v>#N/A</v>
      </c>
      <c r="CR28" t="e">
        <f t="shared" si="12"/>
        <v>#N/A</v>
      </c>
      <c r="CS28" t="e">
        <f t="shared" si="12"/>
        <v>#N/A</v>
      </c>
      <c r="CT28" t="e">
        <f t="shared" si="12"/>
        <v>#N/A</v>
      </c>
      <c r="CU28" t="e">
        <f t="shared" si="12"/>
        <v>#N/A</v>
      </c>
      <c r="CV28" t="e">
        <f t="shared" si="12"/>
        <v>#N/A</v>
      </c>
      <c r="CW28" t="e">
        <f t="shared" si="12"/>
        <v>#N/A</v>
      </c>
      <c r="CX28" t="e">
        <f t="shared" si="12"/>
        <v>#N/A</v>
      </c>
      <c r="CY28" t="e">
        <f t="shared" si="12"/>
        <v>#N/A</v>
      </c>
      <c r="CZ28" t="e">
        <f t="shared" si="13"/>
        <v>#N/A</v>
      </c>
      <c r="DA28" t="e">
        <f t="shared" si="13"/>
        <v>#N/A</v>
      </c>
      <c r="DB28" t="e">
        <f t="shared" si="13"/>
        <v>#N/A</v>
      </c>
      <c r="DC28" t="e">
        <f t="shared" si="13"/>
        <v>#N/A</v>
      </c>
      <c r="DD28" t="e">
        <f t="shared" si="13"/>
        <v>#N/A</v>
      </c>
      <c r="DE28" t="e">
        <f t="shared" si="13"/>
        <v>#N/A</v>
      </c>
      <c r="DF28" t="e">
        <f t="shared" si="13"/>
        <v>#N/A</v>
      </c>
      <c r="DG28" t="e">
        <f t="shared" si="13"/>
        <v>#N/A</v>
      </c>
      <c r="DH28" t="e">
        <f t="shared" si="13"/>
        <v>#N/A</v>
      </c>
      <c r="DI28" t="e">
        <f t="shared" si="13"/>
        <v>#N/A</v>
      </c>
      <c r="DJ28" t="e">
        <f t="shared" si="14"/>
        <v>#N/A</v>
      </c>
      <c r="DK28" t="e">
        <f t="shared" si="14"/>
        <v>#N/A</v>
      </c>
      <c r="DL28" t="e">
        <f t="shared" si="14"/>
        <v>#N/A</v>
      </c>
      <c r="DM28" t="e">
        <f t="shared" si="14"/>
        <v>#N/A</v>
      </c>
      <c r="DN28" t="e">
        <f t="shared" si="14"/>
        <v>#N/A</v>
      </c>
      <c r="DO28" t="e">
        <f t="shared" si="14"/>
        <v>#N/A</v>
      </c>
      <c r="DP28" t="e">
        <f t="shared" si="14"/>
        <v>#N/A</v>
      </c>
      <c r="DQ28" t="e">
        <f t="shared" si="14"/>
        <v>#N/A</v>
      </c>
      <c r="DR28" t="e">
        <f t="shared" si="14"/>
        <v>#N/A</v>
      </c>
      <c r="DS28" t="e">
        <f t="shared" si="14"/>
        <v>#N/A</v>
      </c>
      <c r="DT28">
        <f t="shared" si="14"/>
        <v>1491</v>
      </c>
      <c r="DU28">
        <f t="shared" si="14"/>
        <v>1492</v>
      </c>
      <c r="DV28">
        <f t="shared" si="14"/>
        <v>1493</v>
      </c>
      <c r="DW28">
        <f t="shared" si="14"/>
        <v>1494</v>
      </c>
      <c r="DX28">
        <f t="shared" si="14"/>
        <v>1495</v>
      </c>
      <c r="DY28">
        <f t="shared" si="14"/>
        <v>1496</v>
      </c>
      <c r="DZ28">
        <f t="shared" si="15"/>
        <v>1497</v>
      </c>
      <c r="EA28">
        <f t="shared" si="15"/>
        <v>1498</v>
      </c>
      <c r="EB28">
        <f t="shared" si="15"/>
        <v>1499</v>
      </c>
      <c r="EC28">
        <f t="shared" si="15"/>
        <v>1500</v>
      </c>
      <c r="ED28" t="e">
        <f t="shared" si="15"/>
        <v>#N/A</v>
      </c>
      <c r="EE28" t="e">
        <f t="shared" si="15"/>
        <v>#N/A</v>
      </c>
      <c r="EF28" t="e">
        <f t="shared" si="15"/>
        <v>#N/A</v>
      </c>
      <c r="EG28" t="e">
        <f t="shared" si="15"/>
        <v>#N/A</v>
      </c>
      <c r="EH28" t="e">
        <f t="shared" si="15"/>
        <v>#N/A</v>
      </c>
      <c r="EI28" t="e">
        <f t="shared" si="15"/>
        <v>#N/A</v>
      </c>
      <c r="EJ28" t="e">
        <f t="shared" si="15"/>
        <v>#N/A</v>
      </c>
      <c r="EK28" t="e">
        <f t="shared" si="15"/>
        <v>#N/A</v>
      </c>
      <c r="EL28" t="e">
        <f t="shared" si="15"/>
        <v>#N/A</v>
      </c>
      <c r="EM28" t="e">
        <f t="shared" si="15"/>
        <v>#N/A</v>
      </c>
    </row>
    <row r="29" spans="1:143" x14ac:dyDescent="0.4">
      <c r="A29" t="str">
        <f t="shared" si="16"/>
        <v/>
      </c>
      <c r="B29">
        <v>26</v>
      </c>
      <c r="C29" t="str" cm="1">
        <f t="array" ref="C29">INDEX(auto_Series_Code,B29)</f>
        <v>INDI_012</v>
      </c>
      <c r="D29">
        <f t="shared" si="17"/>
        <v>1501</v>
      </c>
      <c r="E29">
        <f t="shared" si="17"/>
        <v>1502</v>
      </c>
      <c r="F29">
        <f t="shared" si="17"/>
        <v>1503</v>
      </c>
      <c r="G29">
        <f t="shared" si="17"/>
        <v>1504</v>
      </c>
      <c r="H29">
        <f t="shared" si="17"/>
        <v>1505</v>
      </c>
      <c r="I29">
        <f t="shared" si="17"/>
        <v>1506</v>
      </c>
      <c r="J29">
        <f t="shared" si="17"/>
        <v>1507</v>
      </c>
      <c r="K29">
        <f t="shared" si="17"/>
        <v>1508</v>
      </c>
      <c r="L29">
        <f t="shared" si="17"/>
        <v>1509</v>
      </c>
      <c r="M29">
        <f t="shared" si="17"/>
        <v>1510</v>
      </c>
      <c r="N29">
        <f t="shared" si="18"/>
        <v>1511</v>
      </c>
      <c r="O29">
        <f t="shared" si="18"/>
        <v>1512</v>
      </c>
      <c r="P29">
        <f t="shared" si="18"/>
        <v>1513</v>
      </c>
      <c r="Q29">
        <f t="shared" si="18"/>
        <v>1514</v>
      </c>
      <c r="R29">
        <f t="shared" si="18"/>
        <v>1515</v>
      </c>
      <c r="S29">
        <f t="shared" si="18"/>
        <v>1516</v>
      </c>
      <c r="T29">
        <f t="shared" si="18"/>
        <v>1517</v>
      </c>
      <c r="U29">
        <f t="shared" si="18"/>
        <v>1518</v>
      </c>
      <c r="V29">
        <f t="shared" si="18"/>
        <v>1519</v>
      </c>
      <c r="W29">
        <f t="shared" si="18"/>
        <v>1520</v>
      </c>
      <c r="X29">
        <f t="shared" si="19"/>
        <v>1521</v>
      </c>
      <c r="Y29">
        <f t="shared" si="19"/>
        <v>1522</v>
      </c>
      <c r="Z29">
        <f t="shared" si="19"/>
        <v>1523</v>
      </c>
      <c r="AA29">
        <f t="shared" si="19"/>
        <v>1524</v>
      </c>
      <c r="AB29">
        <f t="shared" si="19"/>
        <v>1525</v>
      </c>
      <c r="AC29">
        <f t="shared" si="19"/>
        <v>1526</v>
      </c>
      <c r="AD29">
        <f t="shared" si="19"/>
        <v>1527</v>
      </c>
      <c r="AE29">
        <f t="shared" si="19"/>
        <v>1528</v>
      </c>
      <c r="AF29">
        <f t="shared" si="19"/>
        <v>1529</v>
      </c>
      <c r="AG29">
        <f t="shared" si="19"/>
        <v>1530</v>
      </c>
      <c r="AH29">
        <f t="shared" si="20"/>
        <v>1531</v>
      </c>
      <c r="AI29">
        <f t="shared" si="20"/>
        <v>1532</v>
      </c>
      <c r="AJ29">
        <f t="shared" si="20"/>
        <v>1533</v>
      </c>
      <c r="AK29">
        <f t="shared" si="20"/>
        <v>1534</v>
      </c>
      <c r="AL29">
        <f t="shared" si="20"/>
        <v>1535</v>
      </c>
      <c r="AM29">
        <f t="shared" si="20"/>
        <v>1536</v>
      </c>
      <c r="AN29">
        <f t="shared" si="20"/>
        <v>1537</v>
      </c>
      <c r="AO29">
        <f t="shared" si="20"/>
        <v>1538</v>
      </c>
      <c r="AP29">
        <f t="shared" si="20"/>
        <v>1539</v>
      </c>
      <c r="AQ29">
        <f t="shared" si="20"/>
        <v>1540</v>
      </c>
      <c r="AR29">
        <f t="shared" si="21"/>
        <v>1541</v>
      </c>
      <c r="AS29">
        <f t="shared" si="21"/>
        <v>1542</v>
      </c>
      <c r="AT29">
        <f t="shared" si="21"/>
        <v>1543</v>
      </c>
      <c r="AU29">
        <f t="shared" si="21"/>
        <v>1544</v>
      </c>
      <c r="AV29">
        <f t="shared" si="21"/>
        <v>1545</v>
      </c>
      <c r="AW29">
        <f t="shared" si="21"/>
        <v>1546</v>
      </c>
      <c r="AX29">
        <f t="shared" si="21"/>
        <v>1547</v>
      </c>
      <c r="AY29">
        <f t="shared" si="21"/>
        <v>1548</v>
      </c>
      <c r="AZ29">
        <f t="shared" si="21"/>
        <v>1549</v>
      </c>
      <c r="BA29">
        <f t="shared" si="21"/>
        <v>1550</v>
      </c>
      <c r="BB29" t="e">
        <f t="shared" si="22"/>
        <v>#N/A</v>
      </c>
      <c r="BC29" t="e">
        <f t="shared" si="22"/>
        <v>#N/A</v>
      </c>
      <c r="BD29" t="e">
        <f t="shared" si="22"/>
        <v>#N/A</v>
      </c>
      <c r="BE29" t="e">
        <f t="shared" si="22"/>
        <v>#N/A</v>
      </c>
      <c r="BF29" t="e">
        <f t="shared" si="22"/>
        <v>#N/A</v>
      </c>
      <c r="BG29" t="e">
        <f t="shared" si="22"/>
        <v>#N/A</v>
      </c>
      <c r="BH29" t="e">
        <f t="shared" si="22"/>
        <v>#N/A</v>
      </c>
      <c r="BI29" t="e">
        <f t="shared" si="22"/>
        <v>#N/A</v>
      </c>
      <c r="BJ29" t="e">
        <f t="shared" si="22"/>
        <v>#N/A</v>
      </c>
      <c r="BK29" t="e">
        <f t="shared" si="22"/>
        <v>#N/A</v>
      </c>
      <c r="BL29" t="e">
        <f t="shared" si="23"/>
        <v>#N/A</v>
      </c>
      <c r="BM29" t="e">
        <f t="shared" si="23"/>
        <v>#N/A</v>
      </c>
      <c r="BN29" t="e">
        <f t="shared" si="23"/>
        <v>#N/A</v>
      </c>
      <c r="BO29" t="e">
        <f t="shared" si="23"/>
        <v>#N/A</v>
      </c>
      <c r="BP29" t="e">
        <f t="shared" si="23"/>
        <v>#N/A</v>
      </c>
      <c r="BQ29" t="e">
        <f t="shared" si="23"/>
        <v>#N/A</v>
      </c>
      <c r="BR29" t="e">
        <f t="shared" si="23"/>
        <v>#N/A</v>
      </c>
      <c r="BS29" t="e">
        <f t="shared" si="23"/>
        <v>#N/A</v>
      </c>
      <c r="BT29" t="e">
        <f t="shared" si="23"/>
        <v>#N/A</v>
      </c>
      <c r="BU29" t="e">
        <f t="shared" si="23"/>
        <v>#N/A</v>
      </c>
      <c r="BV29" t="e">
        <f t="shared" si="24"/>
        <v>#N/A</v>
      </c>
      <c r="BW29" t="e">
        <f t="shared" si="24"/>
        <v>#N/A</v>
      </c>
      <c r="BX29" t="e">
        <f t="shared" si="24"/>
        <v>#N/A</v>
      </c>
      <c r="BY29" t="e">
        <f t="shared" si="24"/>
        <v>#N/A</v>
      </c>
      <c r="BZ29" t="e">
        <f t="shared" si="24"/>
        <v>#N/A</v>
      </c>
      <c r="CA29" t="e">
        <f t="shared" si="24"/>
        <v>#N/A</v>
      </c>
      <c r="CB29" t="e">
        <f t="shared" si="24"/>
        <v>#N/A</v>
      </c>
      <c r="CC29" t="e">
        <f t="shared" si="24"/>
        <v>#N/A</v>
      </c>
      <c r="CD29" t="e">
        <f t="shared" si="24"/>
        <v>#N/A</v>
      </c>
      <c r="CE29" t="e">
        <f t="shared" si="24"/>
        <v>#N/A</v>
      </c>
      <c r="CF29" t="e">
        <f t="shared" si="25"/>
        <v>#N/A</v>
      </c>
      <c r="CG29" t="e">
        <f t="shared" si="25"/>
        <v>#N/A</v>
      </c>
      <c r="CH29" t="e">
        <f t="shared" si="25"/>
        <v>#N/A</v>
      </c>
      <c r="CI29" t="e">
        <f t="shared" si="25"/>
        <v>#N/A</v>
      </c>
      <c r="CJ29" t="e">
        <f t="shared" si="25"/>
        <v>#N/A</v>
      </c>
      <c r="CK29" t="e">
        <f t="shared" si="25"/>
        <v>#N/A</v>
      </c>
      <c r="CL29" t="e">
        <f t="shared" si="25"/>
        <v>#N/A</v>
      </c>
      <c r="CM29" t="e">
        <f t="shared" si="25"/>
        <v>#N/A</v>
      </c>
      <c r="CN29" t="e">
        <f t="shared" si="25"/>
        <v>#N/A</v>
      </c>
      <c r="CO29" t="e">
        <f t="shared" si="25"/>
        <v>#N/A</v>
      </c>
      <c r="CP29" t="e">
        <f t="shared" si="26"/>
        <v>#N/A</v>
      </c>
      <c r="CQ29" t="e">
        <f t="shared" si="26"/>
        <v>#N/A</v>
      </c>
      <c r="CR29" t="e">
        <f t="shared" si="26"/>
        <v>#N/A</v>
      </c>
      <c r="CS29" t="e">
        <f t="shared" si="26"/>
        <v>#N/A</v>
      </c>
      <c r="CT29" t="e">
        <f t="shared" si="26"/>
        <v>#N/A</v>
      </c>
      <c r="CU29" t="e">
        <f t="shared" si="26"/>
        <v>#N/A</v>
      </c>
      <c r="CV29" t="e">
        <f t="shared" si="26"/>
        <v>#N/A</v>
      </c>
      <c r="CW29" t="e">
        <f t="shared" si="26"/>
        <v>#N/A</v>
      </c>
      <c r="CX29" t="e">
        <f t="shared" si="26"/>
        <v>#N/A</v>
      </c>
      <c r="CY29" t="e">
        <f t="shared" si="26"/>
        <v>#N/A</v>
      </c>
      <c r="CZ29" t="e">
        <f t="shared" si="27"/>
        <v>#N/A</v>
      </c>
      <c r="DA29" t="e">
        <f t="shared" si="27"/>
        <v>#N/A</v>
      </c>
      <c r="DB29" t="e">
        <f t="shared" si="27"/>
        <v>#N/A</v>
      </c>
      <c r="DC29" t="e">
        <f t="shared" si="27"/>
        <v>#N/A</v>
      </c>
      <c r="DD29" t="e">
        <f t="shared" si="27"/>
        <v>#N/A</v>
      </c>
      <c r="DE29" t="e">
        <f t="shared" si="27"/>
        <v>#N/A</v>
      </c>
      <c r="DF29" t="e">
        <f t="shared" si="27"/>
        <v>#N/A</v>
      </c>
      <c r="DG29" t="e">
        <f t="shared" si="27"/>
        <v>#N/A</v>
      </c>
      <c r="DH29" t="e">
        <f t="shared" si="27"/>
        <v>#N/A</v>
      </c>
      <c r="DI29" t="e">
        <f t="shared" si="27"/>
        <v>#N/A</v>
      </c>
      <c r="DJ29" t="e">
        <f t="shared" si="28"/>
        <v>#N/A</v>
      </c>
      <c r="DK29" t="e">
        <f t="shared" si="28"/>
        <v>#N/A</v>
      </c>
      <c r="DL29" t="e">
        <f t="shared" si="28"/>
        <v>#N/A</v>
      </c>
      <c r="DM29" t="e">
        <f t="shared" si="28"/>
        <v>#N/A</v>
      </c>
      <c r="DN29" t="e">
        <f t="shared" si="28"/>
        <v>#N/A</v>
      </c>
      <c r="DO29" t="e">
        <f t="shared" si="28"/>
        <v>#N/A</v>
      </c>
      <c r="DP29" t="e">
        <f t="shared" si="28"/>
        <v>#N/A</v>
      </c>
      <c r="DQ29" t="e">
        <f t="shared" si="28"/>
        <v>#N/A</v>
      </c>
      <c r="DR29" t="e">
        <f t="shared" si="28"/>
        <v>#N/A</v>
      </c>
      <c r="DS29" t="e">
        <f t="shared" si="28"/>
        <v>#N/A</v>
      </c>
      <c r="DT29">
        <f t="shared" si="28"/>
        <v>1551</v>
      </c>
      <c r="DU29">
        <f t="shared" si="28"/>
        <v>1552</v>
      </c>
      <c r="DV29">
        <f t="shared" si="28"/>
        <v>1553</v>
      </c>
      <c r="DW29">
        <f t="shared" si="28"/>
        <v>1554</v>
      </c>
      <c r="DX29">
        <f t="shared" si="28"/>
        <v>1555</v>
      </c>
      <c r="DY29">
        <f t="shared" si="28"/>
        <v>1556</v>
      </c>
      <c r="DZ29">
        <f t="shared" si="29"/>
        <v>1557</v>
      </c>
      <c r="EA29">
        <f t="shared" si="29"/>
        <v>1558</v>
      </c>
      <c r="EB29">
        <f t="shared" si="29"/>
        <v>1559</v>
      </c>
      <c r="EC29">
        <f t="shared" si="29"/>
        <v>1560</v>
      </c>
      <c r="ED29" t="e">
        <f t="shared" si="29"/>
        <v>#N/A</v>
      </c>
      <c r="EE29" t="e">
        <f t="shared" si="29"/>
        <v>#N/A</v>
      </c>
      <c r="EF29" t="e">
        <f t="shared" si="29"/>
        <v>#N/A</v>
      </c>
      <c r="EG29" t="e">
        <f t="shared" si="29"/>
        <v>#N/A</v>
      </c>
      <c r="EH29" t="e">
        <f t="shared" si="29"/>
        <v>#N/A</v>
      </c>
      <c r="EI29" t="e">
        <f t="shared" si="29"/>
        <v>#N/A</v>
      </c>
      <c r="EJ29" t="e">
        <f t="shared" si="29"/>
        <v>#N/A</v>
      </c>
      <c r="EK29" t="e">
        <f t="shared" si="29"/>
        <v>#N/A</v>
      </c>
      <c r="EL29" t="e">
        <f t="shared" si="29"/>
        <v>#N/A</v>
      </c>
      <c r="EM29" t="e">
        <f t="shared" si="29"/>
        <v>#N/A</v>
      </c>
    </row>
    <row r="30" spans="1:143" x14ac:dyDescent="0.4">
      <c r="A30" t="str">
        <f t="shared" si="16"/>
        <v/>
      </c>
      <c r="B30">
        <v>27</v>
      </c>
      <c r="C30" t="str" cm="1">
        <f t="array" ref="C30">INDEX(auto_Series_Code,B30)</f>
        <v>SUBINDI_011</v>
      </c>
      <c r="D30">
        <f t="shared" si="3"/>
        <v>1561</v>
      </c>
      <c r="E30">
        <f t="shared" si="3"/>
        <v>1562</v>
      </c>
      <c r="F30">
        <f t="shared" si="3"/>
        <v>1563</v>
      </c>
      <c r="G30">
        <f t="shared" si="3"/>
        <v>1564</v>
      </c>
      <c r="H30">
        <f t="shared" si="3"/>
        <v>1565</v>
      </c>
      <c r="I30">
        <f t="shared" si="3"/>
        <v>1566</v>
      </c>
      <c r="J30">
        <f t="shared" si="3"/>
        <v>1567</v>
      </c>
      <c r="K30">
        <f t="shared" si="3"/>
        <v>1568</v>
      </c>
      <c r="L30">
        <f t="shared" si="3"/>
        <v>1569</v>
      </c>
      <c r="M30">
        <f t="shared" si="3"/>
        <v>1570</v>
      </c>
      <c r="N30">
        <f t="shared" si="4"/>
        <v>1571</v>
      </c>
      <c r="O30">
        <f t="shared" si="4"/>
        <v>1572</v>
      </c>
      <c r="P30">
        <f t="shared" si="4"/>
        <v>1573</v>
      </c>
      <c r="Q30">
        <f t="shared" si="4"/>
        <v>1574</v>
      </c>
      <c r="R30">
        <f t="shared" si="4"/>
        <v>1575</v>
      </c>
      <c r="S30">
        <f t="shared" si="4"/>
        <v>1576</v>
      </c>
      <c r="T30">
        <f t="shared" si="4"/>
        <v>1577</v>
      </c>
      <c r="U30">
        <f t="shared" si="4"/>
        <v>1578</v>
      </c>
      <c r="V30">
        <f t="shared" si="4"/>
        <v>1579</v>
      </c>
      <c r="W30">
        <f t="shared" si="4"/>
        <v>1580</v>
      </c>
      <c r="X30">
        <f t="shared" si="5"/>
        <v>1581</v>
      </c>
      <c r="Y30">
        <f t="shared" si="5"/>
        <v>1582</v>
      </c>
      <c r="Z30">
        <f t="shared" si="5"/>
        <v>1583</v>
      </c>
      <c r="AA30">
        <f t="shared" si="5"/>
        <v>1584</v>
      </c>
      <c r="AB30">
        <f t="shared" si="5"/>
        <v>1585</v>
      </c>
      <c r="AC30">
        <f t="shared" si="5"/>
        <v>1586</v>
      </c>
      <c r="AD30">
        <f t="shared" si="5"/>
        <v>1587</v>
      </c>
      <c r="AE30">
        <f t="shared" si="5"/>
        <v>1588</v>
      </c>
      <c r="AF30">
        <f t="shared" si="5"/>
        <v>1589</v>
      </c>
      <c r="AG30">
        <f t="shared" si="5"/>
        <v>1590</v>
      </c>
      <c r="AH30">
        <f t="shared" si="6"/>
        <v>1591</v>
      </c>
      <c r="AI30">
        <f t="shared" si="6"/>
        <v>1592</v>
      </c>
      <c r="AJ30">
        <f t="shared" si="6"/>
        <v>1593</v>
      </c>
      <c r="AK30">
        <f t="shared" si="6"/>
        <v>1594</v>
      </c>
      <c r="AL30">
        <f t="shared" si="6"/>
        <v>1595</v>
      </c>
      <c r="AM30">
        <f t="shared" si="6"/>
        <v>1596</v>
      </c>
      <c r="AN30">
        <f t="shared" si="6"/>
        <v>1597</v>
      </c>
      <c r="AO30">
        <f t="shared" si="6"/>
        <v>1598</v>
      </c>
      <c r="AP30">
        <f t="shared" si="6"/>
        <v>1599</v>
      </c>
      <c r="AQ30">
        <f t="shared" si="6"/>
        <v>1600</v>
      </c>
      <c r="AR30">
        <f t="shared" si="7"/>
        <v>1601</v>
      </c>
      <c r="AS30">
        <f t="shared" si="7"/>
        <v>1602</v>
      </c>
      <c r="AT30">
        <f t="shared" si="7"/>
        <v>1603</v>
      </c>
      <c r="AU30">
        <f t="shared" si="7"/>
        <v>1604</v>
      </c>
      <c r="AV30">
        <f t="shared" si="7"/>
        <v>1605</v>
      </c>
      <c r="AW30">
        <f t="shared" si="7"/>
        <v>1606</v>
      </c>
      <c r="AX30">
        <f t="shared" si="7"/>
        <v>1607</v>
      </c>
      <c r="AY30">
        <f t="shared" si="7"/>
        <v>1608</v>
      </c>
      <c r="AZ30">
        <f t="shared" si="7"/>
        <v>1609</v>
      </c>
      <c r="BA30">
        <f t="shared" si="7"/>
        <v>1610</v>
      </c>
      <c r="BB30" t="e">
        <f t="shared" si="8"/>
        <v>#N/A</v>
      </c>
      <c r="BC30" t="e">
        <f t="shared" si="8"/>
        <v>#N/A</v>
      </c>
      <c r="BD30" t="e">
        <f t="shared" si="8"/>
        <v>#N/A</v>
      </c>
      <c r="BE30" t="e">
        <f t="shared" si="8"/>
        <v>#N/A</v>
      </c>
      <c r="BF30" t="e">
        <f t="shared" si="8"/>
        <v>#N/A</v>
      </c>
      <c r="BG30" t="e">
        <f t="shared" si="8"/>
        <v>#N/A</v>
      </c>
      <c r="BH30" t="e">
        <f t="shared" si="8"/>
        <v>#N/A</v>
      </c>
      <c r="BI30" t="e">
        <f t="shared" si="8"/>
        <v>#N/A</v>
      </c>
      <c r="BJ30" t="e">
        <f t="shared" si="8"/>
        <v>#N/A</v>
      </c>
      <c r="BK30" t="e">
        <f t="shared" si="8"/>
        <v>#N/A</v>
      </c>
      <c r="BL30" t="e">
        <f t="shared" si="9"/>
        <v>#N/A</v>
      </c>
      <c r="BM30" t="e">
        <f t="shared" si="9"/>
        <v>#N/A</v>
      </c>
      <c r="BN30" t="e">
        <f t="shared" si="9"/>
        <v>#N/A</v>
      </c>
      <c r="BO30" t="e">
        <f t="shared" si="9"/>
        <v>#N/A</v>
      </c>
      <c r="BP30" t="e">
        <f t="shared" si="9"/>
        <v>#N/A</v>
      </c>
      <c r="BQ30" t="e">
        <f t="shared" si="9"/>
        <v>#N/A</v>
      </c>
      <c r="BR30" t="e">
        <f t="shared" si="9"/>
        <v>#N/A</v>
      </c>
      <c r="BS30" t="e">
        <f t="shared" si="9"/>
        <v>#N/A</v>
      </c>
      <c r="BT30" t="e">
        <f t="shared" si="9"/>
        <v>#N/A</v>
      </c>
      <c r="BU30" t="e">
        <f t="shared" si="9"/>
        <v>#N/A</v>
      </c>
      <c r="BV30" t="e">
        <f t="shared" si="10"/>
        <v>#N/A</v>
      </c>
      <c r="BW30" t="e">
        <f t="shared" si="10"/>
        <v>#N/A</v>
      </c>
      <c r="BX30" t="e">
        <f t="shared" si="10"/>
        <v>#N/A</v>
      </c>
      <c r="BY30" t="e">
        <f t="shared" si="10"/>
        <v>#N/A</v>
      </c>
      <c r="BZ30" t="e">
        <f t="shared" si="10"/>
        <v>#N/A</v>
      </c>
      <c r="CA30" t="e">
        <f t="shared" si="10"/>
        <v>#N/A</v>
      </c>
      <c r="CB30" t="e">
        <f t="shared" si="10"/>
        <v>#N/A</v>
      </c>
      <c r="CC30" t="e">
        <f t="shared" si="10"/>
        <v>#N/A</v>
      </c>
      <c r="CD30" t="e">
        <f t="shared" si="10"/>
        <v>#N/A</v>
      </c>
      <c r="CE30" t="e">
        <f t="shared" si="10"/>
        <v>#N/A</v>
      </c>
      <c r="CF30" t="e">
        <f t="shared" si="11"/>
        <v>#N/A</v>
      </c>
      <c r="CG30" t="e">
        <f t="shared" si="11"/>
        <v>#N/A</v>
      </c>
      <c r="CH30" t="e">
        <f t="shared" si="11"/>
        <v>#N/A</v>
      </c>
      <c r="CI30" t="e">
        <f t="shared" si="11"/>
        <v>#N/A</v>
      </c>
      <c r="CJ30" t="e">
        <f t="shared" si="11"/>
        <v>#N/A</v>
      </c>
      <c r="CK30" t="e">
        <f t="shared" si="11"/>
        <v>#N/A</v>
      </c>
      <c r="CL30" t="e">
        <f t="shared" si="11"/>
        <v>#N/A</v>
      </c>
      <c r="CM30" t="e">
        <f t="shared" si="11"/>
        <v>#N/A</v>
      </c>
      <c r="CN30" t="e">
        <f t="shared" si="11"/>
        <v>#N/A</v>
      </c>
      <c r="CO30" t="e">
        <f t="shared" si="11"/>
        <v>#N/A</v>
      </c>
      <c r="CP30" t="e">
        <f t="shared" si="12"/>
        <v>#N/A</v>
      </c>
      <c r="CQ30" t="e">
        <f t="shared" si="12"/>
        <v>#N/A</v>
      </c>
      <c r="CR30" t="e">
        <f t="shared" si="12"/>
        <v>#N/A</v>
      </c>
      <c r="CS30" t="e">
        <f t="shared" si="12"/>
        <v>#N/A</v>
      </c>
      <c r="CT30" t="e">
        <f t="shared" si="12"/>
        <v>#N/A</v>
      </c>
      <c r="CU30" t="e">
        <f t="shared" si="12"/>
        <v>#N/A</v>
      </c>
      <c r="CV30" t="e">
        <f t="shared" si="12"/>
        <v>#N/A</v>
      </c>
      <c r="CW30" t="e">
        <f t="shared" si="12"/>
        <v>#N/A</v>
      </c>
      <c r="CX30" t="e">
        <f t="shared" si="12"/>
        <v>#N/A</v>
      </c>
      <c r="CY30" t="e">
        <f t="shared" si="12"/>
        <v>#N/A</v>
      </c>
      <c r="CZ30" t="e">
        <f t="shared" si="13"/>
        <v>#N/A</v>
      </c>
      <c r="DA30" t="e">
        <f t="shared" si="13"/>
        <v>#N/A</v>
      </c>
      <c r="DB30" t="e">
        <f t="shared" si="13"/>
        <v>#N/A</v>
      </c>
      <c r="DC30" t="e">
        <f t="shared" si="13"/>
        <v>#N/A</v>
      </c>
      <c r="DD30" t="e">
        <f t="shared" si="13"/>
        <v>#N/A</v>
      </c>
      <c r="DE30" t="e">
        <f t="shared" si="13"/>
        <v>#N/A</v>
      </c>
      <c r="DF30" t="e">
        <f t="shared" si="13"/>
        <v>#N/A</v>
      </c>
      <c r="DG30" t="e">
        <f t="shared" si="13"/>
        <v>#N/A</v>
      </c>
      <c r="DH30" t="e">
        <f t="shared" si="13"/>
        <v>#N/A</v>
      </c>
      <c r="DI30" t="e">
        <f t="shared" si="13"/>
        <v>#N/A</v>
      </c>
      <c r="DJ30" t="e">
        <f t="shared" si="14"/>
        <v>#N/A</v>
      </c>
      <c r="DK30" t="e">
        <f t="shared" si="14"/>
        <v>#N/A</v>
      </c>
      <c r="DL30" t="e">
        <f t="shared" si="14"/>
        <v>#N/A</v>
      </c>
      <c r="DM30" t="e">
        <f t="shared" si="14"/>
        <v>#N/A</v>
      </c>
      <c r="DN30" t="e">
        <f t="shared" si="14"/>
        <v>#N/A</v>
      </c>
      <c r="DO30" t="e">
        <f t="shared" si="14"/>
        <v>#N/A</v>
      </c>
      <c r="DP30" t="e">
        <f t="shared" si="14"/>
        <v>#N/A</v>
      </c>
      <c r="DQ30" t="e">
        <f t="shared" si="14"/>
        <v>#N/A</v>
      </c>
      <c r="DR30" t="e">
        <f t="shared" si="14"/>
        <v>#N/A</v>
      </c>
      <c r="DS30" t="e">
        <f t="shared" si="14"/>
        <v>#N/A</v>
      </c>
      <c r="DT30">
        <f t="shared" si="14"/>
        <v>1611</v>
      </c>
      <c r="DU30">
        <f t="shared" si="14"/>
        <v>1612</v>
      </c>
      <c r="DV30">
        <f t="shared" si="14"/>
        <v>1613</v>
      </c>
      <c r="DW30">
        <f t="shared" si="14"/>
        <v>1614</v>
      </c>
      <c r="DX30">
        <f t="shared" si="14"/>
        <v>1615</v>
      </c>
      <c r="DY30">
        <f t="shared" si="14"/>
        <v>1616</v>
      </c>
      <c r="DZ30">
        <f t="shared" si="15"/>
        <v>1617</v>
      </c>
      <c r="EA30">
        <f t="shared" si="15"/>
        <v>1618</v>
      </c>
      <c r="EB30">
        <f t="shared" si="15"/>
        <v>1619</v>
      </c>
      <c r="EC30">
        <f t="shared" si="15"/>
        <v>1620</v>
      </c>
      <c r="ED30" t="e">
        <f t="shared" si="15"/>
        <v>#N/A</v>
      </c>
      <c r="EE30" t="e">
        <f t="shared" si="15"/>
        <v>#N/A</v>
      </c>
      <c r="EF30" t="e">
        <f t="shared" si="15"/>
        <v>#N/A</v>
      </c>
      <c r="EG30" t="e">
        <f t="shared" si="15"/>
        <v>#N/A</v>
      </c>
      <c r="EH30" t="e">
        <f t="shared" si="15"/>
        <v>#N/A</v>
      </c>
      <c r="EI30" t="e">
        <f t="shared" si="15"/>
        <v>#N/A</v>
      </c>
      <c r="EJ30" t="e">
        <f t="shared" si="15"/>
        <v>#N/A</v>
      </c>
      <c r="EK30" t="e">
        <f t="shared" si="15"/>
        <v>#N/A</v>
      </c>
      <c r="EL30" t="e">
        <f t="shared" si="15"/>
        <v>#N/A</v>
      </c>
      <c r="EM30" t="e">
        <f t="shared" si="15"/>
        <v>#N/A</v>
      </c>
    </row>
    <row r="31" spans="1:143" x14ac:dyDescent="0.4">
      <c r="A31" t="str">
        <f t="shared" si="16"/>
        <v/>
      </c>
      <c r="B31">
        <v>28</v>
      </c>
      <c r="C31" t="str" cm="1">
        <f t="array" ref="C31">INDEX(auto_Series_Code,B31)</f>
        <v>SUBINDI_012</v>
      </c>
      <c r="D31">
        <f t="shared" si="17"/>
        <v>1621</v>
      </c>
      <c r="E31">
        <f t="shared" si="17"/>
        <v>1622</v>
      </c>
      <c r="F31">
        <f t="shared" si="17"/>
        <v>1623</v>
      </c>
      <c r="G31">
        <f t="shared" si="17"/>
        <v>1624</v>
      </c>
      <c r="H31">
        <f t="shared" si="17"/>
        <v>1625</v>
      </c>
      <c r="I31">
        <f t="shared" si="17"/>
        <v>1626</v>
      </c>
      <c r="J31">
        <f t="shared" si="17"/>
        <v>1627</v>
      </c>
      <c r="K31">
        <f t="shared" si="17"/>
        <v>1628</v>
      </c>
      <c r="L31">
        <f t="shared" si="17"/>
        <v>1629</v>
      </c>
      <c r="M31">
        <f t="shared" si="17"/>
        <v>1630</v>
      </c>
      <c r="N31">
        <f t="shared" si="18"/>
        <v>1631</v>
      </c>
      <c r="O31">
        <f t="shared" si="18"/>
        <v>1632</v>
      </c>
      <c r="P31">
        <f t="shared" si="18"/>
        <v>1633</v>
      </c>
      <c r="Q31">
        <f t="shared" si="18"/>
        <v>1634</v>
      </c>
      <c r="R31">
        <f t="shared" si="18"/>
        <v>1635</v>
      </c>
      <c r="S31">
        <f t="shared" si="18"/>
        <v>1636</v>
      </c>
      <c r="T31">
        <f t="shared" si="18"/>
        <v>1637</v>
      </c>
      <c r="U31">
        <f t="shared" si="18"/>
        <v>1638</v>
      </c>
      <c r="V31">
        <f t="shared" si="18"/>
        <v>1639</v>
      </c>
      <c r="W31">
        <f t="shared" si="18"/>
        <v>1640</v>
      </c>
      <c r="X31">
        <f t="shared" si="19"/>
        <v>1641</v>
      </c>
      <c r="Y31">
        <f t="shared" si="19"/>
        <v>1642</v>
      </c>
      <c r="Z31">
        <f t="shared" si="19"/>
        <v>1643</v>
      </c>
      <c r="AA31">
        <f t="shared" si="19"/>
        <v>1644</v>
      </c>
      <c r="AB31">
        <f t="shared" si="19"/>
        <v>1645</v>
      </c>
      <c r="AC31">
        <f t="shared" si="19"/>
        <v>1646</v>
      </c>
      <c r="AD31">
        <f t="shared" si="19"/>
        <v>1647</v>
      </c>
      <c r="AE31">
        <f t="shared" si="19"/>
        <v>1648</v>
      </c>
      <c r="AF31">
        <f t="shared" si="19"/>
        <v>1649</v>
      </c>
      <c r="AG31">
        <f t="shared" si="19"/>
        <v>1650</v>
      </c>
      <c r="AH31">
        <f t="shared" si="20"/>
        <v>1651</v>
      </c>
      <c r="AI31">
        <f t="shared" si="20"/>
        <v>1652</v>
      </c>
      <c r="AJ31">
        <f t="shared" si="20"/>
        <v>1653</v>
      </c>
      <c r="AK31">
        <f t="shared" si="20"/>
        <v>1654</v>
      </c>
      <c r="AL31">
        <f t="shared" si="20"/>
        <v>1655</v>
      </c>
      <c r="AM31">
        <f t="shared" si="20"/>
        <v>1656</v>
      </c>
      <c r="AN31">
        <f t="shared" si="20"/>
        <v>1657</v>
      </c>
      <c r="AO31">
        <f t="shared" si="20"/>
        <v>1658</v>
      </c>
      <c r="AP31">
        <f t="shared" si="20"/>
        <v>1659</v>
      </c>
      <c r="AQ31">
        <f t="shared" si="20"/>
        <v>1660</v>
      </c>
      <c r="AR31">
        <f t="shared" si="21"/>
        <v>1661</v>
      </c>
      <c r="AS31">
        <f t="shared" si="21"/>
        <v>1662</v>
      </c>
      <c r="AT31">
        <f t="shared" si="21"/>
        <v>1663</v>
      </c>
      <c r="AU31">
        <f t="shared" si="21"/>
        <v>1664</v>
      </c>
      <c r="AV31">
        <f t="shared" si="21"/>
        <v>1665</v>
      </c>
      <c r="AW31">
        <f t="shared" si="21"/>
        <v>1666</v>
      </c>
      <c r="AX31">
        <f t="shared" si="21"/>
        <v>1667</v>
      </c>
      <c r="AY31">
        <f t="shared" si="21"/>
        <v>1668</v>
      </c>
      <c r="AZ31">
        <f t="shared" si="21"/>
        <v>1669</v>
      </c>
      <c r="BA31">
        <f t="shared" si="21"/>
        <v>1670</v>
      </c>
      <c r="BB31" t="e">
        <f t="shared" si="22"/>
        <v>#N/A</v>
      </c>
      <c r="BC31" t="e">
        <f t="shared" si="22"/>
        <v>#N/A</v>
      </c>
      <c r="BD31" t="e">
        <f t="shared" si="22"/>
        <v>#N/A</v>
      </c>
      <c r="BE31" t="e">
        <f t="shared" si="22"/>
        <v>#N/A</v>
      </c>
      <c r="BF31" t="e">
        <f t="shared" si="22"/>
        <v>#N/A</v>
      </c>
      <c r="BG31" t="e">
        <f t="shared" si="22"/>
        <v>#N/A</v>
      </c>
      <c r="BH31" t="e">
        <f t="shared" si="22"/>
        <v>#N/A</v>
      </c>
      <c r="BI31" t="e">
        <f t="shared" si="22"/>
        <v>#N/A</v>
      </c>
      <c r="BJ31" t="e">
        <f t="shared" si="22"/>
        <v>#N/A</v>
      </c>
      <c r="BK31" t="e">
        <f t="shared" si="22"/>
        <v>#N/A</v>
      </c>
      <c r="BL31" t="e">
        <f t="shared" si="23"/>
        <v>#N/A</v>
      </c>
      <c r="BM31" t="e">
        <f t="shared" si="23"/>
        <v>#N/A</v>
      </c>
      <c r="BN31" t="e">
        <f t="shared" si="23"/>
        <v>#N/A</v>
      </c>
      <c r="BO31" t="e">
        <f t="shared" si="23"/>
        <v>#N/A</v>
      </c>
      <c r="BP31" t="e">
        <f t="shared" si="23"/>
        <v>#N/A</v>
      </c>
      <c r="BQ31" t="e">
        <f t="shared" si="23"/>
        <v>#N/A</v>
      </c>
      <c r="BR31" t="e">
        <f t="shared" si="23"/>
        <v>#N/A</v>
      </c>
      <c r="BS31" t="e">
        <f t="shared" si="23"/>
        <v>#N/A</v>
      </c>
      <c r="BT31" t="e">
        <f t="shared" si="23"/>
        <v>#N/A</v>
      </c>
      <c r="BU31" t="e">
        <f t="shared" si="23"/>
        <v>#N/A</v>
      </c>
      <c r="BV31" t="e">
        <f t="shared" si="24"/>
        <v>#N/A</v>
      </c>
      <c r="BW31" t="e">
        <f t="shared" si="24"/>
        <v>#N/A</v>
      </c>
      <c r="BX31" t="e">
        <f t="shared" si="24"/>
        <v>#N/A</v>
      </c>
      <c r="BY31" t="e">
        <f t="shared" si="24"/>
        <v>#N/A</v>
      </c>
      <c r="BZ31" t="e">
        <f t="shared" si="24"/>
        <v>#N/A</v>
      </c>
      <c r="CA31" t="e">
        <f t="shared" si="24"/>
        <v>#N/A</v>
      </c>
      <c r="CB31" t="e">
        <f t="shared" si="24"/>
        <v>#N/A</v>
      </c>
      <c r="CC31" t="e">
        <f t="shared" si="24"/>
        <v>#N/A</v>
      </c>
      <c r="CD31" t="e">
        <f t="shared" si="24"/>
        <v>#N/A</v>
      </c>
      <c r="CE31" t="e">
        <f t="shared" si="24"/>
        <v>#N/A</v>
      </c>
      <c r="CF31" t="e">
        <f t="shared" si="25"/>
        <v>#N/A</v>
      </c>
      <c r="CG31" t="e">
        <f t="shared" si="25"/>
        <v>#N/A</v>
      </c>
      <c r="CH31" t="e">
        <f t="shared" si="25"/>
        <v>#N/A</v>
      </c>
      <c r="CI31" t="e">
        <f t="shared" si="25"/>
        <v>#N/A</v>
      </c>
      <c r="CJ31" t="e">
        <f t="shared" si="25"/>
        <v>#N/A</v>
      </c>
      <c r="CK31" t="e">
        <f t="shared" si="25"/>
        <v>#N/A</v>
      </c>
      <c r="CL31" t="e">
        <f t="shared" si="25"/>
        <v>#N/A</v>
      </c>
      <c r="CM31" t="e">
        <f t="shared" si="25"/>
        <v>#N/A</v>
      </c>
      <c r="CN31" t="e">
        <f t="shared" si="25"/>
        <v>#N/A</v>
      </c>
      <c r="CO31" t="e">
        <f t="shared" si="25"/>
        <v>#N/A</v>
      </c>
      <c r="CP31" t="e">
        <f t="shared" si="26"/>
        <v>#N/A</v>
      </c>
      <c r="CQ31" t="e">
        <f t="shared" si="26"/>
        <v>#N/A</v>
      </c>
      <c r="CR31" t="e">
        <f t="shared" si="26"/>
        <v>#N/A</v>
      </c>
      <c r="CS31" t="e">
        <f t="shared" si="26"/>
        <v>#N/A</v>
      </c>
      <c r="CT31" t="e">
        <f t="shared" si="26"/>
        <v>#N/A</v>
      </c>
      <c r="CU31" t="e">
        <f t="shared" si="26"/>
        <v>#N/A</v>
      </c>
      <c r="CV31" t="e">
        <f t="shared" si="26"/>
        <v>#N/A</v>
      </c>
      <c r="CW31" t="e">
        <f t="shared" si="26"/>
        <v>#N/A</v>
      </c>
      <c r="CX31" t="e">
        <f t="shared" si="26"/>
        <v>#N/A</v>
      </c>
      <c r="CY31" t="e">
        <f t="shared" si="26"/>
        <v>#N/A</v>
      </c>
      <c r="CZ31" t="e">
        <f t="shared" si="27"/>
        <v>#N/A</v>
      </c>
      <c r="DA31" t="e">
        <f t="shared" si="27"/>
        <v>#N/A</v>
      </c>
      <c r="DB31" t="e">
        <f t="shared" si="27"/>
        <v>#N/A</v>
      </c>
      <c r="DC31" t="e">
        <f t="shared" si="27"/>
        <v>#N/A</v>
      </c>
      <c r="DD31" t="e">
        <f t="shared" si="27"/>
        <v>#N/A</v>
      </c>
      <c r="DE31" t="e">
        <f t="shared" si="27"/>
        <v>#N/A</v>
      </c>
      <c r="DF31" t="e">
        <f t="shared" si="27"/>
        <v>#N/A</v>
      </c>
      <c r="DG31" t="e">
        <f t="shared" si="27"/>
        <v>#N/A</v>
      </c>
      <c r="DH31" t="e">
        <f t="shared" si="27"/>
        <v>#N/A</v>
      </c>
      <c r="DI31" t="e">
        <f t="shared" si="27"/>
        <v>#N/A</v>
      </c>
      <c r="DJ31" t="e">
        <f t="shared" si="28"/>
        <v>#N/A</v>
      </c>
      <c r="DK31" t="e">
        <f t="shared" si="28"/>
        <v>#N/A</v>
      </c>
      <c r="DL31" t="e">
        <f t="shared" si="28"/>
        <v>#N/A</v>
      </c>
      <c r="DM31" t="e">
        <f t="shared" si="28"/>
        <v>#N/A</v>
      </c>
      <c r="DN31" t="e">
        <f t="shared" si="28"/>
        <v>#N/A</v>
      </c>
      <c r="DO31" t="e">
        <f t="shared" si="28"/>
        <v>#N/A</v>
      </c>
      <c r="DP31" t="e">
        <f t="shared" si="28"/>
        <v>#N/A</v>
      </c>
      <c r="DQ31" t="e">
        <f t="shared" si="28"/>
        <v>#N/A</v>
      </c>
      <c r="DR31" t="e">
        <f t="shared" si="28"/>
        <v>#N/A</v>
      </c>
      <c r="DS31" t="e">
        <f t="shared" si="28"/>
        <v>#N/A</v>
      </c>
      <c r="DT31">
        <f t="shared" si="28"/>
        <v>1671</v>
      </c>
      <c r="DU31">
        <f t="shared" si="28"/>
        <v>1672</v>
      </c>
      <c r="DV31">
        <f t="shared" si="28"/>
        <v>1673</v>
      </c>
      <c r="DW31">
        <f t="shared" si="28"/>
        <v>1674</v>
      </c>
      <c r="DX31">
        <f t="shared" si="28"/>
        <v>1675</v>
      </c>
      <c r="DY31">
        <f t="shared" si="28"/>
        <v>1676</v>
      </c>
      <c r="DZ31">
        <f t="shared" si="29"/>
        <v>1677</v>
      </c>
      <c r="EA31">
        <f t="shared" si="29"/>
        <v>1678</v>
      </c>
      <c r="EB31">
        <f t="shared" si="29"/>
        <v>1679</v>
      </c>
      <c r="EC31">
        <f t="shared" si="29"/>
        <v>1680</v>
      </c>
      <c r="ED31" t="e">
        <f t="shared" si="29"/>
        <v>#N/A</v>
      </c>
      <c r="EE31" t="e">
        <f t="shared" si="29"/>
        <v>#N/A</v>
      </c>
      <c r="EF31" t="e">
        <f t="shared" si="29"/>
        <v>#N/A</v>
      </c>
      <c r="EG31" t="e">
        <f t="shared" si="29"/>
        <v>#N/A</v>
      </c>
      <c r="EH31" t="e">
        <f t="shared" si="29"/>
        <v>#N/A</v>
      </c>
      <c r="EI31" t="e">
        <f t="shared" si="29"/>
        <v>#N/A</v>
      </c>
      <c r="EJ31" t="e">
        <f t="shared" si="29"/>
        <v>#N/A</v>
      </c>
      <c r="EK31" t="e">
        <f t="shared" si="29"/>
        <v>#N/A</v>
      </c>
      <c r="EL31" t="e">
        <f t="shared" si="29"/>
        <v>#N/A</v>
      </c>
      <c r="EM31" t="e">
        <f t="shared" si="29"/>
        <v>#N/A</v>
      </c>
    </row>
    <row r="32" spans="1:143" x14ac:dyDescent="0.4">
      <c r="A32" t="str">
        <f t="shared" si="16"/>
        <v/>
      </c>
      <c r="B32">
        <v>29</v>
      </c>
      <c r="C32" t="str" cm="1">
        <f t="array" ref="C32">INDEX(auto_Series_Code,B32)</f>
        <v>INDI_013</v>
      </c>
      <c r="D32">
        <f t="shared" si="3"/>
        <v>1681</v>
      </c>
      <c r="E32">
        <f t="shared" si="3"/>
        <v>1682</v>
      </c>
      <c r="F32">
        <f t="shared" si="3"/>
        <v>1683</v>
      </c>
      <c r="G32">
        <f t="shared" si="3"/>
        <v>1684</v>
      </c>
      <c r="H32">
        <f t="shared" si="3"/>
        <v>1685</v>
      </c>
      <c r="I32">
        <f t="shared" si="3"/>
        <v>1686</v>
      </c>
      <c r="J32">
        <f t="shared" si="3"/>
        <v>1687</v>
      </c>
      <c r="K32">
        <f t="shared" si="3"/>
        <v>1688</v>
      </c>
      <c r="L32">
        <f t="shared" si="3"/>
        <v>1689</v>
      </c>
      <c r="M32">
        <f t="shared" si="3"/>
        <v>1690</v>
      </c>
      <c r="N32">
        <f t="shared" si="4"/>
        <v>1691</v>
      </c>
      <c r="O32">
        <f t="shared" si="4"/>
        <v>1692</v>
      </c>
      <c r="P32">
        <f t="shared" si="4"/>
        <v>1693</v>
      </c>
      <c r="Q32">
        <f t="shared" si="4"/>
        <v>1694</v>
      </c>
      <c r="R32">
        <f t="shared" si="4"/>
        <v>1695</v>
      </c>
      <c r="S32">
        <f t="shared" si="4"/>
        <v>1696</v>
      </c>
      <c r="T32">
        <f t="shared" si="4"/>
        <v>1697</v>
      </c>
      <c r="U32">
        <f t="shared" si="4"/>
        <v>1698</v>
      </c>
      <c r="V32">
        <f t="shared" si="4"/>
        <v>1699</v>
      </c>
      <c r="W32">
        <f t="shared" si="4"/>
        <v>1700</v>
      </c>
      <c r="X32">
        <f t="shared" si="5"/>
        <v>1701</v>
      </c>
      <c r="Y32">
        <f t="shared" si="5"/>
        <v>1702</v>
      </c>
      <c r="Z32">
        <f t="shared" si="5"/>
        <v>1703</v>
      </c>
      <c r="AA32">
        <f t="shared" si="5"/>
        <v>1704</v>
      </c>
      <c r="AB32">
        <f t="shared" si="5"/>
        <v>1705</v>
      </c>
      <c r="AC32">
        <f t="shared" si="5"/>
        <v>1706</v>
      </c>
      <c r="AD32">
        <f t="shared" si="5"/>
        <v>1707</v>
      </c>
      <c r="AE32">
        <f t="shared" si="5"/>
        <v>1708</v>
      </c>
      <c r="AF32">
        <f t="shared" si="5"/>
        <v>1709</v>
      </c>
      <c r="AG32">
        <f t="shared" si="5"/>
        <v>1710</v>
      </c>
      <c r="AH32">
        <f t="shared" si="6"/>
        <v>1711</v>
      </c>
      <c r="AI32">
        <f t="shared" si="6"/>
        <v>1712</v>
      </c>
      <c r="AJ32">
        <f t="shared" si="6"/>
        <v>1713</v>
      </c>
      <c r="AK32">
        <f t="shared" si="6"/>
        <v>1714</v>
      </c>
      <c r="AL32">
        <f t="shared" si="6"/>
        <v>1715</v>
      </c>
      <c r="AM32">
        <f t="shared" si="6"/>
        <v>1716</v>
      </c>
      <c r="AN32">
        <f t="shared" si="6"/>
        <v>1717</v>
      </c>
      <c r="AO32">
        <f t="shared" si="6"/>
        <v>1718</v>
      </c>
      <c r="AP32">
        <f t="shared" si="6"/>
        <v>1719</v>
      </c>
      <c r="AQ32">
        <f t="shared" si="6"/>
        <v>1720</v>
      </c>
      <c r="AR32">
        <f t="shared" si="7"/>
        <v>1721</v>
      </c>
      <c r="AS32">
        <f t="shared" si="7"/>
        <v>1722</v>
      </c>
      <c r="AT32">
        <f t="shared" si="7"/>
        <v>1723</v>
      </c>
      <c r="AU32">
        <f t="shared" si="7"/>
        <v>1724</v>
      </c>
      <c r="AV32">
        <f t="shared" si="7"/>
        <v>1725</v>
      </c>
      <c r="AW32">
        <f t="shared" si="7"/>
        <v>1726</v>
      </c>
      <c r="AX32">
        <f t="shared" si="7"/>
        <v>1727</v>
      </c>
      <c r="AY32">
        <f t="shared" si="7"/>
        <v>1728</v>
      </c>
      <c r="AZ32">
        <f t="shared" si="7"/>
        <v>1729</v>
      </c>
      <c r="BA32">
        <f t="shared" si="7"/>
        <v>1730</v>
      </c>
      <c r="BB32" t="e">
        <f t="shared" si="8"/>
        <v>#N/A</v>
      </c>
      <c r="BC32" t="e">
        <f t="shared" si="8"/>
        <v>#N/A</v>
      </c>
      <c r="BD32" t="e">
        <f t="shared" si="8"/>
        <v>#N/A</v>
      </c>
      <c r="BE32" t="e">
        <f t="shared" si="8"/>
        <v>#N/A</v>
      </c>
      <c r="BF32" t="e">
        <f t="shared" si="8"/>
        <v>#N/A</v>
      </c>
      <c r="BG32" t="e">
        <f t="shared" si="8"/>
        <v>#N/A</v>
      </c>
      <c r="BH32" t="e">
        <f t="shared" si="8"/>
        <v>#N/A</v>
      </c>
      <c r="BI32" t="e">
        <f t="shared" si="8"/>
        <v>#N/A</v>
      </c>
      <c r="BJ32" t="e">
        <f t="shared" si="8"/>
        <v>#N/A</v>
      </c>
      <c r="BK32" t="e">
        <f t="shared" si="8"/>
        <v>#N/A</v>
      </c>
      <c r="BL32" t="e">
        <f t="shared" si="9"/>
        <v>#N/A</v>
      </c>
      <c r="BM32" t="e">
        <f t="shared" si="9"/>
        <v>#N/A</v>
      </c>
      <c r="BN32" t="e">
        <f t="shared" si="9"/>
        <v>#N/A</v>
      </c>
      <c r="BO32" t="e">
        <f t="shared" si="9"/>
        <v>#N/A</v>
      </c>
      <c r="BP32" t="e">
        <f t="shared" si="9"/>
        <v>#N/A</v>
      </c>
      <c r="BQ32" t="e">
        <f t="shared" si="9"/>
        <v>#N/A</v>
      </c>
      <c r="BR32" t="e">
        <f t="shared" si="9"/>
        <v>#N/A</v>
      </c>
      <c r="BS32" t="e">
        <f t="shared" si="9"/>
        <v>#N/A</v>
      </c>
      <c r="BT32" t="e">
        <f t="shared" si="9"/>
        <v>#N/A</v>
      </c>
      <c r="BU32" t="e">
        <f t="shared" si="9"/>
        <v>#N/A</v>
      </c>
      <c r="BV32" t="e">
        <f t="shared" si="10"/>
        <v>#N/A</v>
      </c>
      <c r="BW32" t="e">
        <f t="shared" si="10"/>
        <v>#N/A</v>
      </c>
      <c r="BX32" t="e">
        <f t="shared" si="10"/>
        <v>#N/A</v>
      </c>
      <c r="BY32" t="e">
        <f t="shared" si="10"/>
        <v>#N/A</v>
      </c>
      <c r="BZ32" t="e">
        <f t="shared" si="10"/>
        <v>#N/A</v>
      </c>
      <c r="CA32" t="e">
        <f t="shared" si="10"/>
        <v>#N/A</v>
      </c>
      <c r="CB32" t="e">
        <f t="shared" si="10"/>
        <v>#N/A</v>
      </c>
      <c r="CC32" t="e">
        <f t="shared" si="10"/>
        <v>#N/A</v>
      </c>
      <c r="CD32" t="e">
        <f t="shared" si="10"/>
        <v>#N/A</v>
      </c>
      <c r="CE32" t="e">
        <f t="shared" si="10"/>
        <v>#N/A</v>
      </c>
      <c r="CF32" t="e">
        <f t="shared" si="11"/>
        <v>#N/A</v>
      </c>
      <c r="CG32" t="e">
        <f t="shared" si="11"/>
        <v>#N/A</v>
      </c>
      <c r="CH32" t="e">
        <f t="shared" si="11"/>
        <v>#N/A</v>
      </c>
      <c r="CI32" t="e">
        <f t="shared" si="11"/>
        <v>#N/A</v>
      </c>
      <c r="CJ32" t="e">
        <f t="shared" si="11"/>
        <v>#N/A</v>
      </c>
      <c r="CK32" t="e">
        <f t="shared" si="11"/>
        <v>#N/A</v>
      </c>
      <c r="CL32" t="e">
        <f t="shared" si="11"/>
        <v>#N/A</v>
      </c>
      <c r="CM32" t="e">
        <f t="shared" si="11"/>
        <v>#N/A</v>
      </c>
      <c r="CN32" t="e">
        <f t="shared" si="11"/>
        <v>#N/A</v>
      </c>
      <c r="CO32" t="e">
        <f t="shared" si="11"/>
        <v>#N/A</v>
      </c>
      <c r="CP32" t="e">
        <f t="shared" si="12"/>
        <v>#N/A</v>
      </c>
      <c r="CQ32" t="e">
        <f t="shared" si="12"/>
        <v>#N/A</v>
      </c>
      <c r="CR32" t="e">
        <f t="shared" si="12"/>
        <v>#N/A</v>
      </c>
      <c r="CS32" t="e">
        <f t="shared" si="12"/>
        <v>#N/A</v>
      </c>
      <c r="CT32" t="e">
        <f t="shared" si="12"/>
        <v>#N/A</v>
      </c>
      <c r="CU32" t="e">
        <f t="shared" si="12"/>
        <v>#N/A</v>
      </c>
      <c r="CV32" t="e">
        <f t="shared" si="12"/>
        <v>#N/A</v>
      </c>
      <c r="CW32" t="e">
        <f t="shared" si="12"/>
        <v>#N/A</v>
      </c>
      <c r="CX32" t="e">
        <f t="shared" si="12"/>
        <v>#N/A</v>
      </c>
      <c r="CY32" t="e">
        <f t="shared" si="12"/>
        <v>#N/A</v>
      </c>
      <c r="CZ32" t="e">
        <f t="shared" si="13"/>
        <v>#N/A</v>
      </c>
      <c r="DA32" t="e">
        <f t="shared" si="13"/>
        <v>#N/A</v>
      </c>
      <c r="DB32" t="e">
        <f t="shared" si="13"/>
        <v>#N/A</v>
      </c>
      <c r="DC32" t="e">
        <f t="shared" si="13"/>
        <v>#N/A</v>
      </c>
      <c r="DD32" t="e">
        <f t="shared" si="13"/>
        <v>#N/A</v>
      </c>
      <c r="DE32" t="e">
        <f t="shared" si="13"/>
        <v>#N/A</v>
      </c>
      <c r="DF32" t="e">
        <f t="shared" si="13"/>
        <v>#N/A</v>
      </c>
      <c r="DG32" t="e">
        <f t="shared" si="13"/>
        <v>#N/A</v>
      </c>
      <c r="DH32" t="e">
        <f t="shared" si="13"/>
        <v>#N/A</v>
      </c>
      <c r="DI32" t="e">
        <f t="shared" si="13"/>
        <v>#N/A</v>
      </c>
      <c r="DJ32" t="e">
        <f t="shared" si="14"/>
        <v>#N/A</v>
      </c>
      <c r="DK32" t="e">
        <f t="shared" si="14"/>
        <v>#N/A</v>
      </c>
      <c r="DL32" t="e">
        <f t="shared" si="14"/>
        <v>#N/A</v>
      </c>
      <c r="DM32" t="e">
        <f t="shared" si="14"/>
        <v>#N/A</v>
      </c>
      <c r="DN32" t="e">
        <f t="shared" si="14"/>
        <v>#N/A</v>
      </c>
      <c r="DO32" t="e">
        <f t="shared" si="14"/>
        <v>#N/A</v>
      </c>
      <c r="DP32" t="e">
        <f t="shared" si="14"/>
        <v>#N/A</v>
      </c>
      <c r="DQ32" t="e">
        <f t="shared" si="14"/>
        <v>#N/A</v>
      </c>
      <c r="DR32" t="e">
        <f t="shared" si="14"/>
        <v>#N/A</v>
      </c>
      <c r="DS32" t="e">
        <f t="shared" si="14"/>
        <v>#N/A</v>
      </c>
      <c r="DT32">
        <f t="shared" si="14"/>
        <v>1731</v>
      </c>
      <c r="DU32">
        <f t="shared" si="14"/>
        <v>1732</v>
      </c>
      <c r="DV32">
        <f t="shared" si="14"/>
        <v>1733</v>
      </c>
      <c r="DW32">
        <f t="shared" si="14"/>
        <v>1734</v>
      </c>
      <c r="DX32">
        <f t="shared" si="14"/>
        <v>1735</v>
      </c>
      <c r="DY32">
        <f t="shared" si="14"/>
        <v>1736</v>
      </c>
      <c r="DZ32">
        <f t="shared" si="15"/>
        <v>1737</v>
      </c>
      <c r="EA32">
        <f t="shared" si="15"/>
        <v>1738</v>
      </c>
      <c r="EB32">
        <f t="shared" si="15"/>
        <v>1739</v>
      </c>
      <c r="EC32">
        <f t="shared" si="15"/>
        <v>1740</v>
      </c>
      <c r="ED32" t="e">
        <f t="shared" si="15"/>
        <v>#N/A</v>
      </c>
      <c r="EE32" t="e">
        <f t="shared" si="15"/>
        <v>#N/A</v>
      </c>
      <c r="EF32" t="e">
        <f t="shared" si="15"/>
        <v>#N/A</v>
      </c>
      <c r="EG32" t="e">
        <f t="shared" si="15"/>
        <v>#N/A</v>
      </c>
      <c r="EH32" t="e">
        <f t="shared" si="15"/>
        <v>#N/A</v>
      </c>
      <c r="EI32" t="e">
        <f t="shared" si="15"/>
        <v>#N/A</v>
      </c>
      <c r="EJ32" t="e">
        <f t="shared" si="15"/>
        <v>#N/A</v>
      </c>
      <c r="EK32" t="e">
        <f t="shared" si="15"/>
        <v>#N/A</v>
      </c>
      <c r="EL32" t="e">
        <f t="shared" si="15"/>
        <v>#N/A</v>
      </c>
      <c r="EM32" t="e">
        <f t="shared" si="15"/>
        <v>#N/A</v>
      </c>
    </row>
    <row r="33" spans="1:143" x14ac:dyDescent="0.4">
      <c r="A33" t="str">
        <f t="shared" si="16"/>
        <v/>
      </c>
      <c r="B33">
        <v>30</v>
      </c>
      <c r="C33" t="str" cm="1">
        <f t="array" ref="C33">INDEX(auto_Series_Code,B33)</f>
        <v>SUBINDI_013</v>
      </c>
      <c r="D33">
        <f t="shared" si="17"/>
        <v>1741</v>
      </c>
      <c r="E33">
        <f t="shared" si="17"/>
        <v>1742</v>
      </c>
      <c r="F33">
        <f t="shared" si="17"/>
        <v>1743</v>
      </c>
      <c r="G33">
        <f t="shared" si="17"/>
        <v>1744</v>
      </c>
      <c r="H33">
        <f t="shared" si="17"/>
        <v>1745</v>
      </c>
      <c r="I33">
        <f t="shared" si="17"/>
        <v>1746</v>
      </c>
      <c r="J33">
        <f t="shared" si="17"/>
        <v>1747</v>
      </c>
      <c r="K33">
        <f t="shared" si="17"/>
        <v>1748</v>
      </c>
      <c r="L33">
        <f t="shared" si="17"/>
        <v>1749</v>
      </c>
      <c r="M33">
        <f t="shared" si="17"/>
        <v>1750</v>
      </c>
      <c r="N33">
        <f t="shared" si="18"/>
        <v>1751</v>
      </c>
      <c r="O33">
        <f t="shared" si="18"/>
        <v>1752</v>
      </c>
      <c r="P33">
        <f t="shared" si="18"/>
        <v>1753</v>
      </c>
      <c r="Q33">
        <f t="shared" si="18"/>
        <v>1754</v>
      </c>
      <c r="R33">
        <f t="shared" si="18"/>
        <v>1755</v>
      </c>
      <c r="S33">
        <f t="shared" si="18"/>
        <v>1756</v>
      </c>
      <c r="T33">
        <f t="shared" si="18"/>
        <v>1757</v>
      </c>
      <c r="U33">
        <f t="shared" si="18"/>
        <v>1758</v>
      </c>
      <c r="V33">
        <f t="shared" si="18"/>
        <v>1759</v>
      </c>
      <c r="W33">
        <f t="shared" si="18"/>
        <v>1760</v>
      </c>
      <c r="X33">
        <f t="shared" si="19"/>
        <v>1761</v>
      </c>
      <c r="Y33">
        <f t="shared" si="19"/>
        <v>1762</v>
      </c>
      <c r="Z33">
        <f t="shared" si="19"/>
        <v>1763</v>
      </c>
      <c r="AA33">
        <f t="shared" si="19"/>
        <v>1764</v>
      </c>
      <c r="AB33">
        <f t="shared" si="19"/>
        <v>1765</v>
      </c>
      <c r="AC33">
        <f t="shared" si="19"/>
        <v>1766</v>
      </c>
      <c r="AD33">
        <f t="shared" si="19"/>
        <v>1767</v>
      </c>
      <c r="AE33">
        <f t="shared" si="19"/>
        <v>1768</v>
      </c>
      <c r="AF33">
        <f t="shared" si="19"/>
        <v>1769</v>
      </c>
      <c r="AG33">
        <f t="shared" si="19"/>
        <v>1770</v>
      </c>
      <c r="AH33">
        <f t="shared" si="20"/>
        <v>1771</v>
      </c>
      <c r="AI33">
        <f t="shared" si="20"/>
        <v>1772</v>
      </c>
      <c r="AJ33">
        <f t="shared" si="20"/>
        <v>1773</v>
      </c>
      <c r="AK33">
        <f t="shared" si="20"/>
        <v>1774</v>
      </c>
      <c r="AL33">
        <f t="shared" si="20"/>
        <v>1775</v>
      </c>
      <c r="AM33">
        <f t="shared" si="20"/>
        <v>1776</v>
      </c>
      <c r="AN33">
        <f t="shared" si="20"/>
        <v>1777</v>
      </c>
      <c r="AO33">
        <f t="shared" si="20"/>
        <v>1778</v>
      </c>
      <c r="AP33">
        <f t="shared" si="20"/>
        <v>1779</v>
      </c>
      <c r="AQ33">
        <f t="shared" si="20"/>
        <v>1780</v>
      </c>
      <c r="AR33">
        <f t="shared" si="21"/>
        <v>1781</v>
      </c>
      <c r="AS33">
        <f t="shared" si="21"/>
        <v>1782</v>
      </c>
      <c r="AT33">
        <f t="shared" si="21"/>
        <v>1783</v>
      </c>
      <c r="AU33">
        <f t="shared" si="21"/>
        <v>1784</v>
      </c>
      <c r="AV33">
        <f t="shared" si="21"/>
        <v>1785</v>
      </c>
      <c r="AW33">
        <f t="shared" si="21"/>
        <v>1786</v>
      </c>
      <c r="AX33">
        <f t="shared" si="21"/>
        <v>1787</v>
      </c>
      <c r="AY33">
        <f t="shared" si="21"/>
        <v>1788</v>
      </c>
      <c r="AZ33">
        <f t="shared" si="21"/>
        <v>1789</v>
      </c>
      <c r="BA33">
        <f t="shared" si="21"/>
        <v>1790</v>
      </c>
      <c r="BB33" t="e">
        <f t="shared" si="22"/>
        <v>#N/A</v>
      </c>
      <c r="BC33" t="e">
        <f t="shared" si="22"/>
        <v>#N/A</v>
      </c>
      <c r="BD33" t="e">
        <f t="shared" si="22"/>
        <v>#N/A</v>
      </c>
      <c r="BE33" t="e">
        <f t="shared" si="22"/>
        <v>#N/A</v>
      </c>
      <c r="BF33" t="e">
        <f t="shared" si="22"/>
        <v>#N/A</v>
      </c>
      <c r="BG33" t="e">
        <f t="shared" si="22"/>
        <v>#N/A</v>
      </c>
      <c r="BH33" t="e">
        <f t="shared" si="22"/>
        <v>#N/A</v>
      </c>
      <c r="BI33" t="e">
        <f t="shared" si="22"/>
        <v>#N/A</v>
      </c>
      <c r="BJ33" t="e">
        <f t="shared" si="22"/>
        <v>#N/A</v>
      </c>
      <c r="BK33" t="e">
        <f t="shared" si="22"/>
        <v>#N/A</v>
      </c>
      <c r="BL33" t="e">
        <f t="shared" si="23"/>
        <v>#N/A</v>
      </c>
      <c r="BM33" t="e">
        <f t="shared" si="23"/>
        <v>#N/A</v>
      </c>
      <c r="BN33" t="e">
        <f t="shared" si="23"/>
        <v>#N/A</v>
      </c>
      <c r="BO33" t="e">
        <f t="shared" si="23"/>
        <v>#N/A</v>
      </c>
      <c r="BP33" t="e">
        <f t="shared" si="23"/>
        <v>#N/A</v>
      </c>
      <c r="BQ33" t="e">
        <f t="shared" si="23"/>
        <v>#N/A</v>
      </c>
      <c r="BR33" t="e">
        <f t="shared" si="23"/>
        <v>#N/A</v>
      </c>
      <c r="BS33" t="e">
        <f t="shared" si="23"/>
        <v>#N/A</v>
      </c>
      <c r="BT33" t="e">
        <f t="shared" si="23"/>
        <v>#N/A</v>
      </c>
      <c r="BU33" t="e">
        <f t="shared" si="23"/>
        <v>#N/A</v>
      </c>
      <c r="BV33" t="e">
        <f t="shared" si="24"/>
        <v>#N/A</v>
      </c>
      <c r="BW33" t="e">
        <f t="shared" si="24"/>
        <v>#N/A</v>
      </c>
      <c r="BX33" t="e">
        <f t="shared" si="24"/>
        <v>#N/A</v>
      </c>
      <c r="BY33" t="e">
        <f t="shared" si="24"/>
        <v>#N/A</v>
      </c>
      <c r="BZ33" t="e">
        <f t="shared" si="24"/>
        <v>#N/A</v>
      </c>
      <c r="CA33" t="e">
        <f t="shared" si="24"/>
        <v>#N/A</v>
      </c>
      <c r="CB33" t="e">
        <f t="shared" si="24"/>
        <v>#N/A</v>
      </c>
      <c r="CC33" t="e">
        <f t="shared" si="24"/>
        <v>#N/A</v>
      </c>
      <c r="CD33" t="e">
        <f t="shared" si="24"/>
        <v>#N/A</v>
      </c>
      <c r="CE33" t="e">
        <f t="shared" si="24"/>
        <v>#N/A</v>
      </c>
      <c r="CF33" t="e">
        <f t="shared" si="25"/>
        <v>#N/A</v>
      </c>
      <c r="CG33" t="e">
        <f t="shared" si="25"/>
        <v>#N/A</v>
      </c>
      <c r="CH33" t="e">
        <f t="shared" si="25"/>
        <v>#N/A</v>
      </c>
      <c r="CI33" t="e">
        <f t="shared" si="25"/>
        <v>#N/A</v>
      </c>
      <c r="CJ33" t="e">
        <f t="shared" si="25"/>
        <v>#N/A</v>
      </c>
      <c r="CK33" t="e">
        <f t="shared" si="25"/>
        <v>#N/A</v>
      </c>
      <c r="CL33" t="e">
        <f t="shared" si="25"/>
        <v>#N/A</v>
      </c>
      <c r="CM33" t="e">
        <f t="shared" si="25"/>
        <v>#N/A</v>
      </c>
      <c r="CN33" t="e">
        <f t="shared" si="25"/>
        <v>#N/A</v>
      </c>
      <c r="CO33" t="e">
        <f t="shared" si="25"/>
        <v>#N/A</v>
      </c>
      <c r="CP33" t="e">
        <f t="shared" si="26"/>
        <v>#N/A</v>
      </c>
      <c r="CQ33" t="e">
        <f t="shared" si="26"/>
        <v>#N/A</v>
      </c>
      <c r="CR33" t="e">
        <f t="shared" si="26"/>
        <v>#N/A</v>
      </c>
      <c r="CS33" t="e">
        <f t="shared" si="26"/>
        <v>#N/A</v>
      </c>
      <c r="CT33" t="e">
        <f t="shared" si="26"/>
        <v>#N/A</v>
      </c>
      <c r="CU33" t="e">
        <f t="shared" si="26"/>
        <v>#N/A</v>
      </c>
      <c r="CV33" t="e">
        <f t="shared" si="26"/>
        <v>#N/A</v>
      </c>
      <c r="CW33" t="e">
        <f t="shared" si="26"/>
        <v>#N/A</v>
      </c>
      <c r="CX33" t="e">
        <f t="shared" si="26"/>
        <v>#N/A</v>
      </c>
      <c r="CY33" t="e">
        <f t="shared" si="26"/>
        <v>#N/A</v>
      </c>
      <c r="CZ33" t="e">
        <f t="shared" si="27"/>
        <v>#N/A</v>
      </c>
      <c r="DA33" t="e">
        <f t="shared" si="27"/>
        <v>#N/A</v>
      </c>
      <c r="DB33" t="e">
        <f t="shared" si="27"/>
        <v>#N/A</v>
      </c>
      <c r="DC33" t="e">
        <f t="shared" si="27"/>
        <v>#N/A</v>
      </c>
      <c r="DD33" t="e">
        <f t="shared" si="27"/>
        <v>#N/A</v>
      </c>
      <c r="DE33" t="e">
        <f t="shared" si="27"/>
        <v>#N/A</v>
      </c>
      <c r="DF33" t="e">
        <f t="shared" si="27"/>
        <v>#N/A</v>
      </c>
      <c r="DG33" t="e">
        <f t="shared" si="27"/>
        <v>#N/A</v>
      </c>
      <c r="DH33" t="e">
        <f t="shared" si="27"/>
        <v>#N/A</v>
      </c>
      <c r="DI33" t="e">
        <f t="shared" si="27"/>
        <v>#N/A</v>
      </c>
      <c r="DJ33" t="e">
        <f t="shared" si="28"/>
        <v>#N/A</v>
      </c>
      <c r="DK33" t="e">
        <f t="shared" si="28"/>
        <v>#N/A</v>
      </c>
      <c r="DL33" t="e">
        <f t="shared" si="28"/>
        <v>#N/A</v>
      </c>
      <c r="DM33" t="e">
        <f t="shared" si="28"/>
        <v>#N/A</v>
      </c>
      <c r="DN33" t="e">
        <f t="shared" si="28"/>
        <v>#N/A</v>
      </c>
      <c r="DO33" t="e">
        <f t="shared" si="28"/>
        <v>#N/A</v>
      </c>
      <c r="DP33" t="e">
        <f t="shared" si="28"/>
        <v>#N/A</v>
      </c>
      <c r="DQ33" t="e">
        <f t="shared" si="28"/>
        <v>#N/A</v>
      </c>
      <c r="DR33" t="e">
        <f t="shared" si="28"/>
        <v>#N/A</v>
      </c>
      <c r="DS33" t="e">
        <f t="shared" si="28"/>
        <v>#N/A</v>
      </c>
      <c r="DT33">
        <f t="shared" si="28"/>
        <v>1791</v>
      </c>
      <c r="DU33">
        <f t="shared" si="28"/>
        <v>1792</v>
      </c>
      <c r="DV33">
        <f t="shared" si="28"/>
        <v>1793</v>
      </c>
      <c r="DW33">
        <f t="shared" si="28"/>
        <v>1794</v>
      </c>
      <c r="DX33">
        <f t="shared" si="28"/>
        <v>1795</v>
      </c>
      <c r="DY33">
        <f t="shared" si="28"/>
        <v>1796</v>
      </c>
      <c r="DZ33">
        <f t="shared" si="29"/>
        <v>1797</v>
      </c>
      <c r="EA33">
        <f t="shared" si="29"/>
        <v>1798</v>
      </c>
      <c r="EB33">
        <f t="shared" si="29"/>
        <v>1799</v>
      </c>
      <c r="EC33">
        <f t="shared" si="29"/>
        <v>1800</v>
      </c>
      <c r="ED33" t="e">
        <f t="shared" si="29"/>
        <v>#N/A</v>
      </c>
      <c r="EE33" t="e">
        <f t="shared" si="29"/>
        <v>#N/A</v>
      </c>
      <c r="EF33" t="e">
        <f t="shared" si="29"/>
        <v>#N/A</v>
      </c>
      <c r="EG33" t="e">
        <f t="shared" si="29"/>
        <v>#N/A</v>
      </c>
      <c r="EH33" t="e">
        <f t="shared" si="29"/>
        <v>#N/A</v>
      </c>
      <c r="EI33" t="e">
        <f t="shared" si="29"/>
        <v>#N/A</v>
      </c>
      <c r="EJ33" t="e">
        <f t="shared" si="29"/>
        <v>#N/A</v>
      </c>
      <c r="EK33" t="e">
        <f t="shared" si="29"/>
        <v>#N/A</v>
      </c>
      <c r="EL33" t="e">
        <f t="shared" si="29"/>
        <v>#N/A</v>
      </c>
      <c r="EM33" t="e">
        <f t="shared" si="29"/>
        <v>#N/A</v>
      </c>
    </row>
    <row r="34" spans="1:143" x14ac:dyDescent="0.4">
      <c r="A34" t="str">
        <f t="shared" si="16"/>
        <v/>
      </c>
      <c r="B34">
        <v>31</v>
      </c>
      <c r="C34" t="str" cm="1">
        <f t="array" ref="C34">INDEX(auto_Series_Code,B34)</f>
        <v>SUBINDI_014</v>
      </c>
      <c r="D34">
        <f t="shared" si="3"/>
        <v>1801</v>
      </c>
      <c r="E34">
        <f t="shared" si="3"/>
        <v>1802</v>
      </c>
      <c r="F34">
        <f t="shared" si="3"/>
        <v>1803</v>
      </c>
      <c r="G34">
        <f t="shared" si="3"/>
        <v>1804</v>
      </c>
      <c r="H34">
        <f t="shared" si="3"/>
        <v>1805</v>
      </c>
      <c r="I34">
        <f t="shared" si="3"/>
        <v>1806</v>
      </c>
      <c r="J34">
        <f t="shared" si="3"/>
        <v>1807</v>
      </c>
      <c r="K34">
        <f t="shared" si="3"/>
        <v>1808</v>
      </c>
      <c r="L34">
        <f t="shared" si="3"/>
        <v>1809</v>
      </c>
      <c r="M34">
        <f t="shared" si="3"/>
        <v>1810</v>
      </c>
      <c r="N34">
        <f t="shared" si="4"/>
        <v>1811</v>
      </c>
      <c r="O34">
        <f t="shared" si="4"/>
        <v>1812</v>
      </c>
      <c r="P34">
        <f t="shared" si="4"/>
        <v>1813</v>
      </c>
      <c r="Q34">
        <f t="shared" si="4"/>
        <v>1814</v>
      </c>
      <c r="R34">
        <f t="shared" si="4"/>
        <v>1815</v>
      </c>
      <c r="S34">
        <f t="shared" si="4"/>
        <v>1816</v>
      </c>
      <c r="T34">
        <f t="shared" si="4"/>
        <v>1817</v>
      </c>
      <c r="U34">
        <f t="shared" si="4"/>
        <v>1818</v>
      </c>
      <c r="V34">
        <f t="shared" si="4"/>
        <v>1819</v>
      </c>
      <c r="W34">
        <f t="shared" si="4"/>
        <v>1820</v>
      </c>
      <c r="X34">
        <f t="shared" si="5"/>
        <v>1821</v>
      </c>
      <c r="Y34">
        <f t="shared" si="5"/>
        <v>1822</v>
      </c>
      <c r="Z34">
        <f t="shared" si="5"/>
        <v>1823</v>
      </c>
      <c r="AA34">
        <f t="shared" si="5"/>
        <v>1824</v>
      </c>
      <c r="AB34">
        <f t="shared" si="5"/>
        <v>1825</v>
      </c>
      <c r="AC34">
        <f t="shared" si="5"/>
        <v>1826</v>
      </c>
      <c r="AD34">
        <f t="shared" si="5"/>
        <v>1827</v>
      </c>
      <c r="AE34">
        <f t="shared" si="5"/>
        <v>1828</v>
      </c>
      <c r="AF34">
        <f t="shared" si="5"/>
        <v>1829</v>
      </c>
      <c r="AG34">
        <f t="shared" si="5"/>
        <v>1830</v>
      </c>
      <c r="AH34">
        <f t="shared" si="6"/>
        <v>1831</v>
      </c>
      <c r="AI34">
        <f t="shared" si="6"/>
        <v>1832</v>
      </c>
      <c r="AJ34">
        <f t="shared" si="6"/>
        <v>1833</v>
      </c>
      <c r="AK34">
        <f t="shared" si="6"/>
        <v>1834</v>
      </c>
      <c r="AL34">
        <f t="shared" si="6"/>
        <v>1835</v>
      </c>
      <c r="AM34">
        <f t="shared" si="6"/>
        <v>1836</v>
      </c>
      <c r="AN34">
        <f t="shared" si="6"/>
        <v>1837</v>
      </c>
      <c r="AO34">
        <f t="shared" si="6"/>
        <v>1838</v>
      </c>
      <c r="AP34">
        <f t="shared" si="6"/>
        <v>1839</v>
      </c>
      <c r="AQ34">
        <f t="shared" si="6"/>
        <v>1840</v>
      </c>
      <c r="AR34">
        <f t="shared" si="7"/>
        <v>1841</v>
      </c>
      <c r="AS34">
        <f t="shared" si="7"/>
        <v>1842</v>
      </c>
      <c r="AT34">
        <f t="shared" si="7"/>
        <v>1843</v>
      </c>
      <c r="AU34">
        <f t="shared" si="7"/>
        <v>1844</v>
      </c>
      <c r="AV34">
        <f t="shared" si="7"/>
        <v>1845</v>
      </c>
      <c r="AW34">
        <f t="shared" si="7"/>
        <v>1846</v>
      </c>
      <c r="AX34">
        <f t="shared" si="7"/>
        <v>1847</v>
      </c>
      <c r="AY34">
        <f t="shared" si="7"/>
        <v>1848</v>
      </c>
      <c r="AZ34">
        <f t="shared" si="7"/>
        <v>1849</v>
      </c>
      <c r="BA34">
        <f t="shared" si="7"/>
        <v>1850</v>
      </c>
      <c r="BB34" t="e">
        <f t="shared" si="8"/>
        <v>#N/A</v>
      </c>
      <c r="BC34" t="e">
        <f t="shared" si="8"/>
        <v>#N/A</v>
      </c>
      <c r="BD34" t="e">
        <f t="shared" si="8"/>
        <v>#N/A</v>
      </c>
      <c r="BE34" t="e">
        <f t="shared" si="8"/>
        <v>#N/A</v>
      </c>
      <c r="BF34" t="e">
        <f t="shared" si="8"/>
        <v>#N/A</v>
      </c>
      <c r="BG34" t="e">
        <f t="shared" si="8"/>
        <v>#N/A</v>
      </c>
      <c r="BH34" t="e">
        <f t="shared" si="8"/>
        <v>#N/A</v>
      </c>
      <c r="BI34" t="e">
        <f t="shared" si="8"/>
        <v>#N/A</v>
      </c>
      <c r="BJ34" t="e">
        <f t="shared" si="8"/>
        <v>#N/A</v>
      </c>
      <c r="BK34" t="e">
        <f t="shared" si="8"/>
        <v>#N/A</v>
      </c>
      <c r="BL34" t="e">
        <f t="shared" si="9"/>
        <v>#N/A</v>
      </c>
      <c r="BM34" t="e">
        <f t="shared" si="9"/>
        <v>#N/A</v>
      </c>
      <c r="BN34" t="e">
        <f t="shared" si="9"/>
        <v>#N/A</v>
      </c>
      <c r="BO34" t="e">
        <f t="shared" si="9"/>
        <v>#N/A</v>
      </c>
      <c r="BP34" t="e">
        <f t="shared" si="9"/>
        <v>#N/A</v>
      </c>
      <c r="BQ34" t="e">
        <f t="shared" si="9"/>
        <v>#N/A</v>
      </c>
      <c r="BR34" t="e">
        <f t="shared" si="9"/>
        <v>#N/A</v>
      </c>
      <c r="BS34" t="e">
        <f t="shared" si="9"/>
        <v>#N/A</v>
      </c>
      <c r="BT34" t="e">
        <f t="shared" si="9"/>
        <v>#N/A</v>
      </c>
      <c r="BU34" t="e">
        <f t="shared" si="9"/>
        <v>#N/A</v>
      </c>
      <c r="BV34" t="e">
        <f t="shared" si="10"/>
        <v>#N/A</v>
      </c>
      <c r="BW34" t="e">
        <f t="shared" si="10"/>
        <v>#N/A</v>
      </c>
      <c r="BX34" t="e">
        <f t="shared" si="10"/>
        <v>#N/A</v>
      </c>
      <c r="BY34" t="e">
        <f t="shared" si="10"/>
        <v>#N/A</v>
      </c>
      <c r="BZ34" t="e">
        <f t="shared" si="10"/>
        <v>#N/A</v>
      </c>
      <c r="CA34" t="e">
        <f t="shared" si="10"/>
        <v>#N/A</v>
      </c>
      <c r="CB34" t="e">
        <f t="shared" si="10"/>
        <v>#N/A</v>
      </c>
      <c r="CC34" t="e">
        <f t="shared" si="10"/>
        <v>#N/A</v>
      </c>
      <c r="CD34" t="e">
        <f t="shared" si="10"/>
        <v>#N/A</v>
      </c>
      <c r="CE34" t="e">
        <f t="shared" si="10"/>
        <v>#N/A</v>
      </c>
      <c r="CF34" t="e">
        <f t="shared" si="11"/>
        <v>#N/A</v>
      </c>
      <c r="CG34" t="e">
        <f t="shared" si="11"/>
        <v>#N/A</v>
      </c>
      <c r="CH34" t="e">
        <f t="shared" si="11"/>
        <v>#N/A</v>
      </c>
      <c r="CI34" t="e">
        <f t="shared" si="11"/>
        <v>#N/A</v>
      </c>
      <c r="CJ34" t="e">
        <f t="shared" si="11"/>
        <v>#N/A</v>
      </c>
      <c r="CK34" t="e">
        <f t="shared" si="11"/>
        <v>#N/A</v>
      </c>
      <c r="CL34" t="e">
        <f t="shared" si="11"/>
        <v>#N/A</v>
      </c>
      <c r="CM34" t="e">
        <f t="shared" si="11"/>
        <v>#N/A</v>
      </c>
      <c r="CN34" t="e">
        <f t="shared" si="11"/>
        <v>#N/A</v>
      </c>
      <c r="CO34" t="e">
        <f t="shared" si="11"/>
        <v>#N/A</v>
      </c>
      <c r="CP34" t="e">
        <f t="shared" si="12"/>
        <v>#N/A</v>
      </c>
      <c r="CQ34" t="e">
        <f t="shared" si="12"/>
        <v>#N/A</v>
      </c>
      <c r="CR34" t="e">
        <f t="shared" si="12"/>
        <v>#N/A</v>
      </c>
      <c r="CS34" t="e">
        <f t="shared" si="12"/>
        <v>#N/A</v>
      </c>
      <c r="CT34" t="e">
        <f t="shared" si="12"/>
        <v>#N/A</v>
      </c>
      <c r="CU34" t="e">
        <f t="shared" si="12"/>
        <v>#N/A</v>
      </c>
      <c r="CV34" t="e">
        <f t="shared" si="12"/>
        <v>#N/A</v>
      </c>
      <c r="CW34" t="e">
        <f t="shared" si="12"/>
        <v>#N/A</v>
      </c>
      <c r="CX34" t="e">
        <f t="shared" si="12"/>
        <v>#N/A</v>
      </c>
      <c r="CY34" t="e">
        <f t="shared" si="12"/>
        <v>#N/A</v>
      </c>
      <c r="CZ34" t="e">
        <f t="shared" si="13"/>
        <v>#N/A</v>
      </c>
      <c r="DA34" t="e">
        <f t="shared" si="13"/>
        <v>#N/A</v>
      </c>
      <c r="DB34" t="e">
        <f t="shared" si="13"/>
        <v>#N/A</v>
      </c>
      <c r="DC34" t="e">
        <f t="shared" si="13"/>
        <v>#N/A</v>
      </c>
      <c r="DD34" t="e">
        <f t="shared" si="13"/>
        <v>#N/A</v>
      </c>
      <c r="DE34" t="e">
        <f t="shared" si="13"/>
        <v>#N/A</v>
      </c>
      <c r="DF34" t="e">
        <f t="shared" si="13"/>
        <v>#N/A</v>
      </c>
      <c r="DG34" t="e">
        <f t="shared" si="13"/>
        <v>#N/A</v>
      </c>
      <c r="DH34" t="e">
        <f t="shared" si="13"/>
        <v>#N/A</v>
      </c>
      <c r="DI34" t="e">
        <f t="shared" si="13"/>
        <v>#N/A</v>
      </c>
      <c r="DJ34" t="e">
        <f t="shared" si="14"/>
        <v>#N/A</v>
      </c>
      <c r="DK34" t="e">
        <f t="shared" si="14"/>
        <v>#N/A</v>
      </c>
      <c r="DL34" t="e">
        <f t="shared" si="14"/>
        <v>#N/A</v>
      </c>
      <c r="DM34" t="e">
        <f t="shared" si="14"/>
        <v>#N/A</v>
      </c>
      <c r="DN34" t="e">
        <f t="shared" si="14"/>
        <v>#N/A</v>
      </c>
      <c r="DO34" t="e">
        <f t="shared" si="14"/>
        <v>#N/A</v>
      </c>
      <c r="DP34" t="e">
        <f t="shared" si="14"/>
        <v>#N/A</v>
      </c>
      <c r="DQ34" t="e">
        <f t="shared" si="14"/>
        <v>#N/A</v>
      </c>
      <c r="DR34" t="e">
        <f t="shared" si="14"/>
        <v>#N/A</v>
      </c>
      <c r="DS34" t="e">
        <f t="shared" si="14"/>
        <v>#N/A</v>
      </c>
      <c r="DT34">
        <f t="shared" si="14"/>
        <v>1851</v>
      </c>
      <c r="DU34">
        <f t="shared" si="14"/>
        <v>1852</v>
      </c>
      <c r="DV34">
        <f t="shared" si="14"/>
        <v>1853</v>
      </c>
      <c r="DW34">
        <f t="shared" si="14"/>
        <v>1854</v>
      </c>
      <c r="DX34">
        <f t="shared" si="14"/>
        <v>1855</v>
      </c>
      <c r="DY34">
        <f t="shared" ref="DY34:DY35" si="30">MATCH(CONCATENATE(DY$3,"_",$C34),auto_DataFlat_UID,0)</f>
        <v>1856</v>
      </c>
      <c r="DZ34">
        <f t="shared" si="15"/>
        <v>1857</v>
      </c>
      <c r="EA34">
        <f t="shared" si="15"/>
        <v>1858</v>
      </c>
      <c r="EB34">
        <f t="shared" si="15"/>
        <v>1859</v>
      </c>
      <c r="EC34">
        <f t="shared" si="15"/>
        <v>1860</v>
      </c>
      <c r="ED34" t="e">
        <f t="shared" si="15"/>
        <v>#N/A</v>
      </c>
      <c r="EE34" t="e">
        <f t="shared" si="15"/>
        <v>#N/A</v>
      </c>
      <c r="EF34" t="e">
        <f t="shared" si="15"/>
        <v>#N/A</v>
      </c>
      <c r="EG34" t="e">
        <f t="shared" si="15"/>
        <v>#N/A</v>
      </c>
      <c r="EH34" t="e">
        <f t="shared" si="15"/>
        <v>#N/A</v>
      </c>
      <c r="EI34" t="e">
        <f t="shared" si="15"/>
        <v>#N/A</v>
      </c>
      <c r="EJ34" t="e">
        <f t="shared" si="15"/>
        <v>#N/A</v>
      </c>
      <c r="EK34" t="e">
        <f t="shared" si="15"/>
        <v>#N/A</v>
      </c>
      <c r="EL34" t="e">
        <f t="shared" si="15"/>
        <v>#N/A</v>
      </c>
      <c r="EM34" t="e">
        <f t="shared" si="15"/>
        <v>#N/A</v>
      </c>
    </row>
    <row r="35" spans="1:143" x14ac:dyDescent="0.4">
      <c r="A35" t="str">
        <f t="shared" si="16"/>
        <v/>
      </c>
      <c r="B35">
        <v>32</v>
      </c>
      <c r="C35" t="str" cm="1">
        <f t="array" ref="C35">INDEX(auto_Series_Code,B35)</f>
        <v>INDI_014</v>
      </c>
      <c r="D35">
        <f t="shared" si="17"/>
        <v>1861</v>
      </c>
      <c r="E35">
        <f t="shared" si="17"/>
        <v>1862</v>
      </c>
      <c r="F35">
        <f t="shared" si="17"/>
        <v>1863</v>
      </c>
      <c r="G35">
        <f t="shared" si="17"/>
        <v>1864</v>
      </c>
      <c r="H35">
        <f t="shared" si="17"/>
        <v>1865</v>
      </c>
      <c r="I35">
        <f t="shared" si="17"/>
        <v>1866</v>
      </c>
      <c r="J35">
        <f t="shared" si="17"/>
        <v>1867</v>
      </c>
      <c r="K35">
        <f t="shared" si="17"/>
        <v>1868</v>
      </c>
      <c r="L35">
        <f t="shared" si="17"/>
        <v>1869</v>
      </c>
      <c r="M35">
        <f t="shared" si="17"/>
        <v>1870</v>
      </c>
      <c r="N35">
        <f t="shared" si="18"/>
        <v>1871</v>
      </c>
      <c r="O35">
        <f t="shared" si="18"/>
        <v>1872</v>
      </c>
      <c r="P35">
        <f t="shared" si="18"/>
        <v>1873</v>
      </c>
      <c r="Q35">
        <f t="shared" si="18"/>
        <v>1874</v>
      </c>
      <c r="R35">
        <f t="shared" si="18"/>
        <v>1875</v>
      </c>
      <c r="S35">
        <f t="shared" si="18"/>
        <v>1876</v>
      </c>
      <c r="T35">
        <f t="shared" si="18"/>
        <v>1877</v>
      </c>
      <c r="U35">
        <f t="shared" si="18"/>
        <v>1878</v>
      </c>
      <c r="V35">
        <f t="shared" si="18"/>
        <v>1879</v>
      </c>
      <c r="W35">
        <f t="shared" si="18"/>
        <v>1880</v>
      </c>
      <c r="X35">
        <f t="shared" si="19"/>
        <v>1881</v>
      </c>
      <c r="Y35">
        <f t="shared" si="19"/>
        <v>1882</v>
      </c>
      <c r="Z35">
        <f t="shared" si="19"/>
        <v>1883</v>
      </c>
      <c r="AA35">
        <f t="shared" si="19"/>
        <v>1884</v>
      </c>
      <c r="AB35">
        <f t="shared" si="19"/>
        <v>1885</v>
      </c>
      <c r="AC35">
        <f t="shared" si="19"/>
        <v>1886</v>
      </c>
      <c r="AD35">
        <f t="shared" si="19"/>
        <v>1887</v>
      </c>
      <c r="AE35">
        <f t="shared" si="19"/>
        <v>1888</v>
      </c>
      <c r="AF35">
        <f t="shared" si="19"/>
        <v>1889</v>
      </c>
      <c r="AG35">
        <f t="shared" si="19"/>
        <v>1890</v>
      </c>
      <c r="AH35">
        <f t="shared" si="20"/>
        <v>1891</v>
      </c>
      <c r="AI35">
        <f t="shared" si="20"/>
        <v>1892</v>
      </c>
      <c r="AJ35">
        <f t="shared" si="20"/>
        <v>1893</v>
      </c>
      <c r="AK35">
        <f t="shared" si="20"/>
        <v>1894</v>
      </c>
      <c r="AL35">
        <f t="shared" si="20"/>
        <v>1895</v>
      </c>
      <c r="AM35">
        <f t="shared" si="20"/>
        <v>1896</v>
      </c>
      <c r="AN35">
        <f t="shared" si="20"/>
        <v>1897</v>
      </c>
      <c r="AO35">
        <f t="shared" si="20"/>
        <v>1898</v>
      </c>
      <c r="AP35">
        <f t="shared" si="20"/>
        <v>1899</v>
      </c>
      <c r="AQ35">
        <f t="shared" si="20"/>
        <v>1900</v>
      </c>
      <c r="AR35">
        <f t="shared" si="21"/>
        <v>1901</v>
      </c>
      <c r="AS35">
        <f t="shared" si="21"/>
        <v>1902</v>
      </c>
      <c r="AT35">
        <f t="shared" si="21"/>
        <v>1903</v>
      </c>
      <c r="AU35">
        <f t="shared" si="21"/>
        <v>1904</v>
      </c>
      <c r="AV35">
        <f t="shared" si="21"/>
        <v>1905</v>
      </c>
      <c r="AW35">
        <f t="shared" si="21"/>
        <v>1906</v>
      </c>
      <c r="AX35">
        <f t="shared" si="21"/>
        <v>1907</v>
      </c>
      <c r="AY35">
        <f t="shared" si="21"/>
        <v>1908</v>
      </c>
      <c r="AZ35">
        <f t="shared" si="21"/>
        <v>1909</v>
      </c>
      <c r="BA35">
        <f t="shared" si="21"/>
        <v>1910</v>
      </c>
      <c r="BB35" t="e">
        <f t="shared" si="22"/>
        <v>#N/A</v>
      </c>
      <c r="BC35" t="e">
        <f t="shared" si="22"/>
        <v>#N/A</v>
      </c>
      <c r="BD35" t="e">
        <f t="shared" si="22"/>
        <v>#N/A</v>
      </c>
      <c r="BE35" t="e">
        <f t="shared" si="22"/>
        <v>#N/A</v>
      </c>
      <c r="BF35" t="e">
        <f t="shared" si="22"/>
        <v>#N/A</v>
      </c>
      <c r="BG35" t="e">
        <f t="shared" si="22"/>
        <v>#N/A</v>
      </c>
      <c r="BH35" t="e">
        <f t="shared" si="22"/>
        <v>#N/A</v>
      </c>
      <c r="BI35" t="e">
        <f t="shared" si="22"/>
        <v>#N/A</v>
      </c>
      <c r="BJ35" t="e">
        <f t="shared" si="22"/>
        <v>#N/A</v>
      </c>
      <c r="BK35" t="e">
        <f t="shared" si="22"/>
        <v>#N/A</v>
      </c>
      <c r="BL35" t="e">
        <f t="shared" si="23"/>
        <v>#N/A</v>
      </c>
      <c r="BM35" t="e">
        <f t="shared" si="23"/>
        <v>#N/A</v>
      </c>
      <c r="BN35" t="e">
        <f t="shared" si="23"/>
        <v>#N/A</v>
      </c>
      <c r="BO35" t="e">
        <f t="shared" si="23"/>
        <v>#N/A</v>
      </c>
      <c r="BP35" t="e">
        <f t="shared" si="23"/>
        <v>#N/A</v>
      </c>
      <c r="BQ35" t="e">
        <f t="shared" si="23"/>
        <v>#N/A</v>
      </c>
      <c r="BR35" t="e">
        <f t="shared" si="23"/>
        <v>#N/A</v>
      </c>
      <c r="BS35" t="e">
        <f t="shared" si="23"/>
        <v>#N/A</v>
      </c>
      <c r="BT35" t="e">
        <f t="shared" si="23"/>
        <v>#N/A</v>
      </c>
      <c r="BU35" t="e">
        <f t="shared" si="23"/>
        <v>#N/A</v>
      </c>
      <c r="BV35" t="e">
        <f t="shared" si="24"/>
        <v>#N/A</v>
      </c>
      <c r="BW35" t="e">
        <f t="shared" si="24"/>
        <v>#N/A</v>
      </c>
      <c r="BX35" t="e">
        <f t="shared" si="24"/>
        <v>#N/A</v>
      </c>
      <c r="BY35" t="e">
        <f t="shared" si="24"/>
        <v>#N/A</v>
      </c>
      <c r="BZ35" t="e">
        <f t="shared" si="24"/>
        <v>#N/A</v>
      </c>
      <c r="CA35" t="e">
        <f t="shared" si="24"/>
        <v>#N/A</v>
      </c>
      <c r="CB35" t="e">
        <f t="shared" si="24"/>
        <v>#N/A</v>
      </c>
      <c r="CC35" t="e">
        <f t="shared" si="24"/>
        <v>#N/A</v>
      </c>
      <c r="CD35" t="e">
        <f t="shared" si="24"/>
        <v>#N/A</v>
      </c>
      <c r="CE35" t="e">
        <f t="shared" si="24"/>
        <v>#N/A</v>
      </c>
      <c r="CF35" t="e">
        <f t="shared" si="25"/>
        <v>#N/A</v>
      </c>
      <c r="CG35" t="e">
        <f t="shared" si="25"/>
        <v>#N/A</v>
      </c>
      <c r="CH35" t="e">
        <f t="shared" si="25"/>
        <v>#N/A</v>
      </c>
      <c r="CI35" t="e">
        <f t="shared" si="25"/>
        <v>#N/A</v>
      </c>
      <c r="CJ35" t="e">
        <f t="shared" si="25"/>
        <v>#N/A</v>
      </c>
      <c r="CK35" t="e">
        <f t="shared" si="25"/>
        <v>#N/A</v>
      </c>
      <c r="CL35" t="e">
        <f t="shared" si="25"/>
        <v>#N/A</v>
      </c>
      <c r="CM35" t="e">
        <f t="shared" si="25"/>
        <v>#N/A</v>
      </c>
      <c r="CN35" t="e">
        <f t="shared" si="25"/>
        <v>#N/A</v>
      </c>
      <c r="CO35" t="e">
        <f t="shared" si="25"/>
        <v>#N/A</v>
      </c>
      <c r="CP35" t="e">
        <f t="shared" si="26"/>
        <v>#N/A</v>
      </c>
      <c r="CQ35" t="e">
        <f t="shared" si="26"/>
        <v>#N/A</v>
      </c>
      <c r="CR35" t="e">
        <f t="shared" si="26"/>
        <v>#N/A</v>
      </c>
      <c r="CS35" t="e">
        <f t="shared" si="26"/>
        <v>#N/A</v>
      </c>
      <c r="CT35" t="e">
        <f t="shared" si="26"/>
        <v>#N/A</v>
      </c>
      <c r="CU35" t="e">
        <f t="shared" si="26"/>
        <v>#N/A</v>
      </c>
      <c r="CV35" t="e">
        <f t="shared" si="26"/>
        <v>#N/A</v>
      </c>
      <c r="CW35" t="e">
        <f t="shared" si="26"/>
        <v>#N/A</v>
      </c>
      <c r="CX35" t="e">
        <f t="shared" si="26"/>
        <v>#N/A</v>
      </c>
      <c r="CY35" t="e">
        <f t="shared" si="26"/>
        <v>#N/A</v>
      </c>
      <c r="CZ35" t="e">
        <f t="shared" si="27"/>
        <v>#N/A</v>
      </c>
      <c r="DA35" t="e">
        <f t="shared" si="27"/>
        <v>#N/A</v>
      </c>
      <c r="DB35" t="e">
        <f t="shared" si="27"/>
        <v>#N/A</v>
      </c>
      <c r="DC35" t="e">
        <f t="shared" si="27"/>
        <v>#N/A</v>
      </c>
      <c r="DD35" t="e">
        <f t="shared" si="27"/>
        <v>#N/A</v>
      </c>
      <c r="DE35" t="e">
        <f t="shared" si="27"/>
        <v>#N/A</v>
      </c>
      <c r="DF35" t="e">
        <f t="shared" si="27"/>
        <v>#N/A</v>
      </c>
      <c r="DG35" t="e">
        <f t="shared" si="27"/>
        <v>#N/A</v>
      </c>
      <c r="DH35" t="e">
        <f t="shared" si="27"/>
        <v>#N/A</v>
      </c>
      <c r="DI35" t="e">
        <f t="shared" si="27"/>
        <v>#N/A</v>
      </c>
      <c r="DJ35" t="e">
        <f t="shared" si="28"/>
        <v>#N/A</v>
      </c>
      <c r="DK35" t="e">
        <f t="shared" si="28"/>
        <v>#N/A</v>
      </c>
      <c r="DL35" t="e">
        <f t="shared" si="28"/>
        <v>#N/A</v>
      </c>
      <c r="DM35" t="e">
        <f t="shared" si="28"/>
        <v>#N/A</v>
      </c>
      <c r="DN35" t="e">
        <f t="shared" si="28"/>
        <v>#N/A</v>
      </c>
      <c r="DO35" t="e">
        <f t="shared" si="28"/>
        <v>#N/A</v>
      </c>
      <c r="DP35" t="e">
        <f t="shared" si="28"/>
        <v>#N/A</v>
      </c>
      <c r="DQ35" t="e">
        <f t="shared" si="28"/>
        <v>#N/A</v>
      </c>
      <c r="DR35" t="e">
        <f t="shared" si="28"/>
        <v>#N/A</v>
      </c>
      <c r="DS35" t="e">
        <f t="shared" si="28"/>
        <v>#N/A</v>
      </c>
      <c r="DT35">
        <f t="shared" si="28"/>
        <v>1911</v>
      </c>
      <c r="DU35">
        <f t="shared" si="28"/>
        <v>1912</v>
      </c>
      <c r="DV35">
        <f t="shared" si="28"/>
        <v>1913</v>
      </c>
      <c r="DW35">
        <f t="shared" si="28"/>
        <v>1914</v>
      </c>
      <c r="DX35">
        <f t="shared" si="28"/>
        <v>1915</v>
      </c>
      <c r="DY35">
        <f t="shared" si="30"/>
        <v>1916</v>
      </c>
      <c r="DZ35">
        <f t="shared" si="29"/>
        <v>1917</v>
      </c>
      <c r="EA35">
        <f t="shared" si="29"/>
        <v>1918</v>
      </c>
      <c r="EB35">
        <f t="shared" si="29"/>
        <v>1919</v>
      </c>
      <c r="EC35">
        <f t="shared" si="29"/>
        <v>1920</v>
      </c>
      <c r="ED35" t="e">
        <f t="shared" si="29"/>
        <v>#N/A</v>
      </c>
      <c r="EE35" t="e">
        <f t="shared" si="29"/>
        <v>#N/A</v>
      </c>
      <c r="EF35" t="e">
        <f t="shared" si="29"/>
        <v>#N/A</v>
      </c>
      <c r="EG35" t="e">
        <f t="shared" si="29"/>
        <v>#N/A</v>
      </c>
      <c r="EH35" t="e">
        <f t="shared" si="29"/>
        <v>#N/A</v>
      </c>
      <c r="EI35" t="e">
        <f t="shared" si="29"/>
        <v>#N/A</v>
      </c>
      <c r="EJ35" t="e">
        <f t="shared" si="29"/>
        <v>#N/A</v>
      </c>
      <c r="EK35" t="e">
        <f t="shared" si="29"/>
        <v>#N/A</v>
      </c>
      <c r="EL35" t="e">
        <f t="shared" si="29"/>
        <v>#N/A</v>
      </c>
      <c r="EM35" t="e">
        <f t="shared" si="29"/>
        <v>#N/A</v>
      </c>
    </row>
    <row r="36" spans="1:143" x14ac:dyDescent="0.4">
      <c r="A36" t="str">
        <f t="shared" si="16"/>
        <v/>
      </c>
      <c r="B36">
        <v>33</v>
      </c>
      <c r="C36" t="str" cm="1">
        <f t="array" ref="C36">INDEX(auto_Series_Code,B36)</f>
        <v>SUBINDI_015</v>
      </c>
      <c r="D36">
        <f t="shared" si="3"/>
        <v>1921</v>
      </c>
      <c r="E36">
        <f t="shared" si="3"/>
        <v>1922</v>
      </c>
      <c r="F36">
        <f t="shared" si="3"/>
        <v>1923</v>
      </c>
      <c r="G36">
        <f t="shared" si="3"/>
        <v>1924</v>
      </c>
      <c r="H36">
        <f t="shared" si="3"/>
        <v>1925</v>
      </c>
      <c r="I36">
        <f t="shared" si="3"/>
        <v>1926</v>
      </c>
      <c r="J36">
        <f t="shared" si="3"/>
        <v>1927</v>
      </c>
      <c r="K36">
        <f t="shared" si="3"/>
        <v>1928</v>
      </c>
      <c r="L36">
        <f t="shared" si="3"/>
        <v>1929</v>
      </c>
      <c r="M36">
        <f t="shared" si="3"/>
        <v>1930</v>
      </c>
      <c r="N36">
        <f t="shared" si="4"/>
        <v>1931</v>
      </c>
      <c r="O36">
        <f t="shared" si="4"/>
        <v>1932</v>
      </c>
      <c r="P36">
        <f t="shared" si="4"/>
        <v>1933</v>
      </c>
      <c r="Q36">
        <f t="shared" si="4"/>
        <v>1934</v>
      </c>
      <c r="R36">
        <f t="shared" si="4"/>
        <v>1935</v>
      </c>
      <c r="S36">
        <f t="shared" si="4"/>
        <v>1936</v>
      </c>
      <c r="T36">
        <f t="shared" si="4"/>
        <v>1937</v>
      </c>
      <c r="U36">
        <f t="shared" si="4"/>
        <v>1938</v>
      </c>
      <c r="V36">
        <f t="shared" si="4"/>
        <v>1939</v>
      </c>
      <c r="W36">
        <f t="shared" si="4"/>
        <v>1940</v>
      </c>
      <c r="X36">
        <f t="shared" si="5"/>
        <v>1941</v>
      </c>
      <c r="Y36">
        <f t="shared" si="5"/>
        <v>1942</v>
      </c>
      <c r="Z36">
        <f t="shared" si="5"/>
        <v>1943</v>
      </c>
      <c r="AA36">
        <f t="shared" si="5"/>
        <v>1944</v>
      </c>
      <c r="AB36">
        <f t="shared" si="5"/>
        <v>1945</v>
      </c>
      <c r="AC36">
        <f t="shared" si="5"/>
        <v>1946</v>
      </c>
      <c r="AD36">
        <f t="shared" si="5"/>
        <v>1947</v>
      </c>
      <c r="AE36">
        <f t="shared" si="5"/>
        <v>1948</v>
      </c>
      <c r="AF36">
        <f t="shared" si="5"/>
        <v>1949</v>
      </c>
      <c r="AG36">
        <f t="shared" si="5"/>
        <v>1950</v>
      </c>
      <c r="AH36">
        <f t="shared" si="6"/>
        <v>1951</v>
      </c>
      <c r="AI36">
        <f t="shared" si="6"/>
        <v>1952</v>
      </c>
      <c r="AJ36">
        <f t="shared" si="6"/>
        <v>1953</v>
      </c>
      <c r="AK36">
        <f t="shared" si="6"/>
        <v>1954</v>
      </c>
      <c r="AL36">
        <f t="shared" si="6"/>
        <v>1955</v>
      </c>
      <c r="AM36">
        <f t="shared" si="6"/>
        <v>1956</v>
      </c>
      <c r="AN36">
        <f t="shared" si="6"/>
        <v>1957</v>
      </c>
      <c r="AO36">
        <f t="shared" si="6"/>
        <v>1958</v>
      </c>
      <c r="AP36">
        <f t="shared" si="6"/>
        <v>1959</v>
      </c>
      <c r="AQ36">
        <f t="shared" si="6"/>
        <v>1960</v>
      </c>
      <c r="AR36">
        <f t="shared" si="7"/>
        <v>1961</v>
      </c>
      <c r="AS36">
        <f t="shared" si="7"/>
        <v>1962</v>
      </c>
      <c r="AT36">
        <f t="shared" si="7"/>
        <v>1963</v>
      </c>
      <c r="AU36">
        <f t="shared" si="7"/>
        <v>1964</v>
      </c>
      <c r="AV36">
        <f t="shared" si="7"/>
        <v>1965</v>
      </c>
      <c r="AW36">
        <f t="shared" si="7"/>
        <v>1966</v>
      </c>
      <c r="AX36">
        <f t="shared" si="7"/>
        <v>1967</v>
      </c>
      <c r="AY36">
        <f t="shared" si="7"/>
        <v>1968</v>
      </c>
      <c r="AZ36">
        <f t="shared" si="7"/>
        <v>1969</v>
      </c>
      <c r="BA36">
        <f t="shared" si="7"/>
        <v>1970</v>
      </c>
      <c r="BB36" t="e">
        <f t="shared" si="8"/>
        <v>#N/A</v>
      </c>
      <c r="BC36" t="e">
        <f t="shared" si="8"/>
        <v>#N/A</v>
      </c>
      <c r="BD36" t="e">
        <f t="shared" si="8"/>
        <v>#N/A</v>
      </c>
      <c r="BE36" t="e">
        <f t="shared" si="8"/>
        <v>#N/A</v>
      </c>
      <c r="BF36" t="e">
        <f t="shared" si="8"/>
        <v>#N/A</v>
      </c>
      <c r="BG36" t="e">
        <f t="shared" si="8"/>
        <v>#N/A</v>
      </c>
      <c r="BH36" t="e">
        <f t="shared" si="8"/>
        <v>#N/A</v>
      </c>
      <c r="BI36" t="e">
        <f t="shared" si="8"/>
        <v>#N/A</v>
      </c>
      <c r="BJ36" t="e">
        <f t="shared" si="8"/>
        <v>#N/A</v>
      </c>
      <c r="BK36" t="e">
        <f t="shared" si="8"/>
        <v>#N/A</v>
      </c>
      <c r="BL36" t="e">
        <f t="shared" si="9"/>
        <v>#N/A</v>
      </c>
      <c r="BM36" t="e">
        <f t="shared" si="9"/>
        <v>#N/A</v>
      </c>
      <c r="BN36" t="e">
        <f t="shared" si="9"/>
        <v>#N/A</v>
      </c>
      <c r="BO36" t="e">
        <f t="shared" si="9"/>
        <v>#N/A</v>
      </c>
      <c r="BP36" t="e">
        <f t="shared" si="9"/>
        <v>#N/A</v>
      </c>
      <c r="BQ36" t="e">
        <f t="shared" si="9"/>
        <v>#N/A</v>
      </c>
      <c r="BR36" t="e">
        <f t="shared" si="9"/>
        <v>#N/A</v>
      </c>
      <c r="BS36" t="e">
        <f t="shared" si="9"/>
        <v>#N/A</v>
      </c>
      <c r="BT36" t="e">
        <f t="shared" si="9"/>
        <v>#N/A</v>
      </c>
      <c r="BU36" t="e">
        <f t="shared" si="9"/>
        <v>#N/A</v>
      </c>
      <c r="BV36" t="e">
        <f t="shared" si="10"/>
        <v>#N/A</v>
      </c>
      <c r="BW36" t="e">
        <f t="shared" si="10"/>
        <v>#N/A</v>
      </c>
      <c r="BX36" t="e">
        <f t="shared" si="10"/>
        <v>#N/A</v>
      </c>
      <c r="BY36" t="e">
        <f t="shared" si="10"/>
        <v>#N/A</v>
      </c>
      <c r="BZ36" t="e">
        <f t="shared" si="10"/>
        <v>#N/A</v>
      </c>
      <c r="CA36" t="e">
        <f t="shared" si="10"/>
        <v>#N/A</v>
      </c>
      <c r="CB36" t="e">
        <f t="shared" si="10"/>
        <v>#N/A</v>
      </c>
      <c r="CC36" t="e">
        <f t="shared" si="10"/>
        <v>#N/A</v>
      </c>
      <c r="CD36" t="e">
        <f t="shared" si="10"/>
        <v>#N/A</v>
      </c>
      <c r="CE36" t="e">
        <f t="shared" si="10"/>
        <v>#N/A</v>
      </c>
      <c r="CF36" t="e">
        <f t="shared" si="11"/>
        <v>#N/A</v>
      </c>
      <c r="CG36" t="e">
        <f t="shared" si="11"/>
        <v>#N/A</v>
      </c>
      <c r="CH36" t="e">
        <f t="shared" si="11"/>
        <v>#N/A</v>
      </c>
      <c r="CI36" t="e">
        <f t="shared" si="11"/>
        <v>#N/A</v>
      </c>
      <c r="CJ36" t="e">
        <f t="shared" si="11"/>
        <v>#N/A</v>
      </c>
      <c r="CK36" t="e">
        <f t="shared" si="11"/>
        <v>#N/A</v>
      </c>
      <c r="CL36" t="e">
        <f t="shared" si="11"/>
        <v>#N/A</v>
      </c>
      <c r="CM36" t="e">
        <f t="shared" si="11"/>
        <v>#N/A</v>
      </c>
      <c r="CN36" t="e">
        <f t="shared" si="11"/>
        <v>#N/A</v>
      </c>
      <c r="CO36" t="e">
        <f t="shared" si="11"/>
        <v>#N/A</v>
      </c>
      <c r="CP36" t="e">
        <f t="shared" si="12"/>
        <v>#N/A</v>
      </c>
      <c r="CQ36" t="e">
        <f t="shared" si="12"/>
        <v>#N/A</v>
      </c>
      <c r="CR36" t="e">
        <f t="shared" si="12"/>
        <v>#N/A</v>
      </c>
      <c r="CS36" t="e">
        <f t="shared" si="12"/>
        <v>#N/A</v>
      </c>
      <c r="CT36" t="e">
        <f t="shared" si="12"/>
        <v>#N/A</v>
      </c>
      <c r="CU36" t="e">
        <f t="shared" si="12"/>
        <v>#N/A</v>
      </c>
      <c r="CV36" t="e">
        <f t="shared" si="12"/>
        <v>#N/A</v>
      </c>
      <c r="CW36" t="e">
        <f t="shared" si="12"/>
        <v>#N/A</v>
      </c>
      <c r="CX36" t="e">
        <f t="shared" si="12"/>
        <v>#N/A</v>
      </c>
      <c r="CY36" t="e">
        <f t="shared" si="12"/>
        <v>#N/A</v>
      </c>
      <c r="CZ36" t="e">
        <f t="shared" si="13"/>
        <v>#N/A</v>
      </c>
      <c r="DA36" t="e">
        <f t="shared" si="13"/>
        <v>#N/A</v>
      </c>
      <c r="DB36" t="e">
        <f t="shared" si="13"/>
        <v>#N/A</v>
      </c>
      <c r="DC36" t="e">
        <f t="shared" si="13"/>
        <v>#N/A</v>
      </c>
      <c r="DD36" t="e">
        <f t="shared" si="13"/>
        <v>#N/A</v>
      </c>
      <c r="DE36" t="e">
        <f t="shared" si="13"/>
        <v>#N/A</v>
      </c>
      <c r="DF36" t="e">
        <f t="shared" si="13"/>
        <v>#N/A</v>
      </c>
      <c r="DG36" t="e">
        <f t="shared" si="13"/>
        <v>#N/A</v>
      </c>
      <c r="DH36" t="e">
        <f t="shared" si="13"/>
        <v>#N/A</v>
      </c>
      <c r="DI36" t="e">
        <f t="shared" si="13"/>
        <v>#N/A</v>
      </c>
      <c r="DJ36" t="e">
        <f t="shared" si="13"/>
        <v>#N/A</v>
      </c>
      <c r="DK36" t="e">
        <f t="shared" si="13"/>
        <v>#N/A</v>
      </c>
      <c r="DL36" t="e">
        <f t="shared" si="13"/>
        <v>#N/A</v>
      </c>
      <c r="DM36" t="e">
        <f t="shared" si="13"/>
        <v>#N/A</v>
      </c>
      <c r="DN36" t="e">
        <f t="shared" si="13"/>
        <v>#N/A</v>
      </c>
      <c r="DO36" t="e">
        <f t="shared" si="13"/>
        <v>#N/A</v>
      </c>
      <c r="DP36" t="e">
        <f t="shared" ref="DP36:EE67" si="31">MATCH(CONCATENATE(DP$3,"_",$C36),auto_DataFlat_UID,0)</f>
        <v>#N/A</v>
      </c>
      <c r="DQ36" t="e">
        <f t="shared" si="31"/>
        <v>#N/A</v>
      </c>
      <c r="DR36" t="e">
        <f t="shared" si="31"/>
        <v>#N/A</v>
      </c>
      <c r="DS36" t="e">
        <f t="shared" si="31"/>
        <v>#N/A</v>
      </c>
      <c r="DT36">
        <f t="shared" si="31"/>
        <v>1971</v>
      </c>
      <c r="DU36">
        <f t="shared" si="31"/>
        <v>1972</v>
      </c>
      <c r="DV36">
        <f t="shared" si="31"/>
        <v>1973</v>
      </c>
      <c r="DW36">
        <f t="shared" si="31"/>
        <v>1974</v>
      </c>
      <c r="DX36">
        <f t="shared" si="31"/>
        <v>1975</v>
      </c>
      <c r="DY36">
        <f t="shared" si="31"/>
        <v>1976</v>
      </c>
      <c r="DZ36">
        <f t="shared" si="15"/>
        <v>1977</v>
      </c>
      <c r="EA36">
        <f t="shared" si="15"/>
        <v>1978</v>
      </c>
      <c r="EB36">
        <f t="shared" si="15"/>
        <v>1979</v>
      </c>
      <c r="EC36">
        <f t="shared" si="15"/>
        <v>1980</v>
      </c>
      <c r="ED36" t="e">
        <f t="shared" si="15"/>
        <v>#N/A</v>
      </c>
      <c r="EE36" t="e">
        <f t="shared" si="15"/>
        <v>#N/A</v>
      </c>
      <c r="EF36" t="e">
        <f t="shared" si="15"/>
        <v>#N/A</v>
      </c>
      <c r="EG36" t="e">
        <f t="shared" si="15"/>
        <v>#N/A</v>
      </c>
      <c r="EH36" t="e">
        <f t="shared" si="15"/>
        <v>#N/A</v>
      </c>
      <c r="EI36" t="e">
        <f t="shared" si="15"/>
        <v>#N/A</v>
      </c>
      <c r="EJ36" t="e">
        <f t="shared" si="15"/>
        <v>#N/A</v>
      </c>
      <c r="EK36" t="e">
        <f t="shared" si="15"/>
        <v>#N/A</v>
      </c>
      <c r="EL36" t="e">
        <f t="shared" si="15"/>
        <v>#N/A</v>
      </c>
      <c r="EM36" t="e">
        <f t="shared" si="15"/>
        <v>#N/A</v>
      </c>
    </row>
    <row r="37" spans="1:143" x14ac:dyDescent="0.4">
      <c r="A37" t="str">
        <f t="shared" si="16"/>
        <v/>
      </c>
      <c r="B37">
        <v>34</v>
      </c>
      <c r="C37" t="str" cm="1">
        <f t="array" ref="C37">INDEX(auto_Series_Code,B37)</f>
        <v>SUBINDI_016</v>
      </c>
      <c r="D37">
        <f t="shared" si="17"/>
        <v>1981</v>
      </c>
      <c r="E37">
        <f t="shared" si="17"/>
        <v>1982</v>
      </c>
      <c r="F37">
        <f t="shared" si="17"/>
        <v>1983</v>
      </c>
      <c r="G37">
        <f t="shared" si="17"/>
        <v>1984</v>
      </c>
      <c r="H37">
        <f t="shared" si="17"/>
        <v>1985</v>
      </c>
      <c r="I37">
        <f t="shared" si="17"/>
        <v>1986</v>
      </c>
      <c r="J37">
        <f t="shared" si="17"/>
        <v>1987</v>
      </c>
      <c r="K37">
        <f t="shared" si="17"/>
        <v>1988</v>
      </c>
      <c r="L37">
        <f t="shared" si="17"/>
        <v>1989</v>
      </c>
      <c r="M37">
        <f t="shared" si="17"/>
        <v>1990</v>
      </c>
      <c r="N37">
        <f t="shared" si="18"/>
        <v>1991</v>
      </c>
      <c r="O37">
        <f t="shared" si="18"/>
        <v>1992</v>
      </c>
      <c r="P37">
        <f t="shared" si="18"/>
        <v>1993</v>
      </c>
      <c r="Q37">
        <f t="shared" si="18"/>
        <v>1994</v>
      </c>
      <c r="R37">
        <f t="shared" si="18"/>
        <v>1995</v>
      </c>
      <c r="S37">
        <f t="shared" si="18"/>
        <v>1996</v>
      </c>
      <c r="T37">
        <f t="shared" si="18"/>
        <v>1997</v>
      </c>
      <c r="U37">
        <f t="shared" si="18"/>
        <v>1998</v>
      </c>
      <c r="V37">
        <f t="shared" si="18"/>
        <v>1999</v>
      </c>
      <c r="W37">
        <f t="shared" si="18"/>
        <v>2000</v>
      </c>
      <c r="X37">
        <f t="shared" si="19"/>
        <v>2001</v>
      </c>
      <c r="Y37">
        <f t="shared" si="19"/>
        <v>2002</v>
      </c>
      <c r="Z37">
        <f t="shared" si="19"/>
        <v>2003</v>
      </c>
      <c r="AA37">
        <f t="shared" si="19"/>
        <v>2004</v>
      </c>
      <c r="AB37">
        <f t="shared" si="19"/>
        <v>2005</v>
      </c>
      <c r="AC37">
        <f t="shared" si="19"/>
        <v>2006</v>
      </c>
      <c r="AD37">
        <f t="shared" si="19"/>
        <v>2007</v>
      </c>
      <c r="AE37">
        <f t="shared" si="19"/>
        <v>2008</v>
      </c>
      <c r="AF37">
        <f t="shared" si="19"/>
        <v>2009</v>
      </c>
      <c r="AG37">
        <f t="shared" si="19"/>
        <v>2010</v>
      </c>
      <c r="AH37">
        <f t="shared" si="20"/>
        <v>2011</v>
      </c>
      <c r="AI37">
        <f t="shared" si="20"/>
        <v>2012</v>
      </c>
      <c r="AJ37">
        <f t="shared" si="20"/>
        <v>2013</v>
      </c>
      <c r="AK37">
        <f t="shared" si="20"/>
        <v>2014</v>
      </c>
      <c r="AL37">
        <f t="shared" si="20"/>
        <v>2015</v>
      </c>
      <c r="AM37">
        <f t="shared" si="20"/>
        <v>2016</v>
      </c>
      <c r="AN37">
        <f t="shared" si="20"/>
        <v>2017</v>
      </c>
      <c r="AO37">
        <f t="shared" si="20"/>
        <v>2018</v>
      </c>
      <c r="AP37">
        <f t="shared" si="20"/>
        <v>2019</v>
      </c>
      <c r="AQ37">
        <f t="shared" si="20"/>
        <v>2020</v>
      </c>
      <c r="AR37">
        <f t="shared" si="21"/>
        <v>2021</v>
      </c>
      <c r="AS37">
        <f t="shared" si="21"/>
        <v>2022</v>
      </c>
      <c r="AT37">
        <f t="shared" si="21"/>
        <v>2023</v>
      </c>
      <c r="AU37">
        <f t="shared" si="21"/>
        <v>2024</v>
      </c>
      <c r="AV37">
        <f t="shared" si="21"/>
        <v>2025</v>
      </c>
      <c r="AW37">
        <f t="shared" si="21"/>
        <v>2026</v>
      </c>
      <c r="AX37">
        <f t="shared" si="21"/>
        <v>2027</v>
      </c>
      <c r="AY37">
        <f t="shared" si="21"/>
        <v>2028</v>
      </c>
      <c r="AZ37">
        <f t="shared" si="21"/>
        <v>2029</v>
      </c>
      <c r="BA37">
        <f t="shared" si="21"/>
        <v>2030</v>
      </c>
      <c r="BB37" t="e">
        <f t="shared" si="22"/>
        <v>#N/A</v>
      </c>
      <c r="BC37" t="e">
        <f t="shared" si="22"/>
        <v>#N/A</v>
      </c>
      <c r="BD37" t="e">
        <f t="shared" si="22"/>
        <v>#N/A</v>
      </c>
      <c r="BE37" t="e">
        <f t="shared" si="22"/>
        <v>#N/A</v>
      </c>
      <c r="BF37" t="e">
        <f t="shared" si="22"/>
        <v>#N/A</v>
      </c>
      <c r="BG37" t="e">
        <f t="shared" si="22"/>
        <v>#N/A</v>
      </c>
      <c r="BH37" t="e">
        <f t="shared" si="22"/>
        <v>#N/A</v>
      </c>
      <c r="BI37" t="e">
        <f t="shared" si="22"/>
        <v>#N/A</v>
      </c>
      <c r="BJ37" t="e">
        <f t="shared" si="22"/>
        <v>#N/A</v>
      </c>
      <c r="BK37" t="e">
        <f t="shared" si="22"/>
        <v>#N/A</v>
      </c>
      <c r="BL37" t="e">
        <f t="shared" si="23"/>
        <v>#N/A</v>
      </c>
      <c r="BM37" t="e">
        <f t="shared" si="23"/>
        <v>#N/A</v>
      </c>
      <c r="BN37" t="e">
        <f t="shared" si="23"/>
        <v>#N/A</v>
      </c>
      <c r="BO37" t="e">
        <f t="shared" si="23"/>
        <v>#N/A</v>
      </c>
      <c r="BP37" t="e">
        <f t="shared" si="23"/>
        <v>#N/A</v>
      </c>
      <c r="BQ37" t="e">
        <f t="shared" si="23"/>
        <v>#N/A</v>
      </c>
      <c r="BR37" t="e">
        <f t="shared" si="23"/>
        <v>#N/A</v>
      </c>
      <c r="BS37" t="e">
        <f t="shared" si="23"/>
        <v>#N/A</v>
      </c>
      <c r="BT37" t="e">
        <f t="shared" si="23"/>
        <v>#N/A</v>
      </c>
      <c r="BU37" t="e">
        <f t="shared" si="23"/>
        <v>#N/A</v>
      </c>
      <c r="BV37" t="e">
        <f t="shared" si="24"/>
        <v>#N/A</v>
      </c>
      <c r="BW37" t="e">
        <f t="shared" si="24"/>
        <v>#N/A</v>
      </c>
      <c r="BX37" t="e">
        <f t="shared" si="24"/>
        <v>#N/A</v>
      </c>
      <c r="BY37" t="e">
        <f t="shared" si="24"/>
        <v>#N/A</v>
      </c>
      <c r="BZ37" t="e">
        <f t="shared" si="24"/>
        <v>#N/A</v>
      </c>
      <c r="CA37" t="e">
        <f t="shared" si="24"/>
        <v>#N/A</v>
      </c>
      <c r="CB37" t="e">
        <f t="shared" si="24"/>
        <v>#N/A</v>
      </c>
      <c r="CC37" t="e">
        <f t="shared" si="24"/>
        <v>#N/A</v>
      </c>
      <c r="CD37" t="e">
        <f t="shared" si="24"/>
        <v>#N/A</v>
      </c>
      <c r="CE37" t="e">
        <f t="shared" si="24"/>
        <v>#N/A</v>
      </c>
      <c r="CF37" t="e">
        <f t="shared" si="25"/>
        <v>#N/A</v>
      </c>
      <c r="CG37" t="e">
        <f t="shared" si="25"/>
        <v>#N/A</v>
      </c>
      <c r="CH37" t="e">
        <f t="shared" si="25"/>
        <v>#N/A</v>
      </c>
      <c r="CI37" t="e">
        <f t="shared" si="25"/>
        <v>#N/A</v>
      </c>
      <c r="CJ37" t="e">
        <f t="shared" si="25"/>
        <v>#N/A</v>
      </c>
      <c r="CK37" t="e">
        <f t="shared" si="25"/>
        <v>#N/A</v>
      </c>
      <c r="CL37" t="e">
        <f t="shared" si="25"/>
        <v>#N/A</v>
      </c>
      <c r="CM37" t="e">
        <f t="shared" si="25"/>
        <v>#N/A</v>
      </c>
      <c r="CN37" t="e">
        <f t="shared" si="25"/>
        <v>#N/A</v>
      </c>
      <c r="CO37" t="e">
        <f t="shared" si="25"/>
        <v>#N/A</v>
      </c>
      <c r="CP37" t="e">
        <f t="shared" si="26"/>
        <v>#N/A</v>
      </c>
      <c r="CQ37" t="e">
        <f t="shared" si="26"/>
        <v>#N/A</v>
      </c>
      <c r="CR37" t="e">
        <f t="shared" si="26"/>
        <v>#N/A</v>
      </c>
      <c r="CS37" t="e">
        <f t="shared" si="26"/>
        <v>#N/A</v>
      </c>
      <c r="CT37" t="e">
        <f t="shared" si="26"/>
        <v>#N/A</v>
      </c>
      <c r="CU37" t="e">
        <f t="shared" si="26"/>
        <v>#N/A</v>
      </c>
      <c r="CV37" t="e">
        <f t="shared" si="26"/>
        <v>#N/A</v>
      </c>
      <c r="CW37" t="e">
        <f t="shared" si="26"/>
        <v>#N/A</v>
      </c>
      <c r="CX37" t="e">
        <f t="shared" si="26"/>
        <v>#N/A</v>
      </c>
      <c r="CY37" t="e">
        <f t="shared" si="26"/>
        <v>#N/A</v>
      </c>
      <c r="CZ37" t="e">
        <f t="shared" si="27"/>
        <v>#N/A</v>
      </c>
      <c r="DA37" t="e">
        <f t="shared" si="27"/>
        <v>#N/A</v>
      </c>
      <c r="DB37" t="e">
        <f t="shared" si="27"/>
        <v>#N/A</v>
      </c>
      <c r="DC37" t="e">
        <f t="shared" si="27"/>
        <v>#N/A</v>
      </c>
      <c r="DD37" t="e">
        <f t="shared" si="27"/>
        <v>#N/A</v>
      </c>
      <c r="DE37" t="e">
        <f t="shared" si="27"/>
        <v>#N/A</v>
      </c>
      <c r="DF37" t="e">
        <f t="shared" si="27"/>
        <v>#N/A</v>
      </c>
      <c r="DG37" t="e">
        <f t="shared" si="27"/>
        <v>#N/A</v>
      </c>
      <c r="DH37" t="e">
        <f t="shared" si="27"/>
        <v>#N/A</v>
      </c>
      <c r="DI37" t="e">
        <f t="shared" si="27"/>
        <v>#N/A</v>
      </c>
      <c r="DJ37" t="e">
        <f t="shared" si="27"/>
        <v>#N/A</v>
      </c>
      <c r="DK37" t="e">
        <f t="shared" si="27"/>
        <v>#N/A</v>
      </c>
      <c r="DL37" t="e">
        <f t="shared" si="27"/>
        <v>#N/A</v>
      </c>
      <c r="DM37" t="e">
        <f t="shared" si="27"/>
        <v>#N/A</v>
      </c>
      <c r="DN37" t="e">
        <f t="shared" si="27"/>
        <v>#N/A</v>
      </c>
      <c r="DO37" t="e">
        <f t="shared" si="27"/>
        <v>#N/A</v>
      </c>
      <c r="DP37" t="e">
        <f t="shared" si="31"/>
        <v>#N/A</v>
      </c>
      <c r="DQ37" t="e">
        <f t="shared" si="31"/>
        <v>#N/A</v>
      </c>
      <c r="DR37" t="e">
        <f t="shared" si="31"/>
        <v>#N/A</v>
      </c>
      <c r="DS37" t="e">
        <f t="shared" si="31"/>
        <v>#N/A</v>
      </c>
      <c r="DT37">
        <f t="shared" si="31"/>
        <v>2031</v>
      </c>
      <c r="DU37">
        <f t="shared" si="31"/>
        <v>2032</v>
      </c>
      <c r="DV37">
        <f t="shared" si="31"/>
        <v>2033</v>
      </c>
      <c r="DW37">
        <f t="shared" si="31"/>
        <v>2034</v>
      </c>
      <c r="DX37">
        <f t="shared" si="31"/>
        <v>2035</v>
      </c>
      <c r="DY37">
        <f t="shared" si="31"/>
        <v>2036</v>
      </c>
      <c r="DZ37">
        <f t="shared" si="29"/>
        <v>2037</v>
      </c>
      <c r="EA37">
        <f t="shared" si="29"/>
        <v>2038</v>
      </c>
      <c r="EB37">
        <f t="shared" si="29"/>
        <v>2039</v>
      </c>
      <c r="EC37">
        <f t="shared" si="29"/>
        <v>2040</v>
      </c>
      <c r="ED37" t="e">
        <f t="shared" si="29"/>
        <v>#N/A</v>
      </c>
      <c r="EE37" t="e">
        <f t="shared" si="29"/>
        <v>#N/A</v>
      </c>
      <c r="EF37" t="e">
        <f t="shared" si="29"/>
        <v>#N/A</v>
      </c>
      <c r="EG37" t="e">
        <f t="shared" si="29"/>
        <v>#N/A</v>
      </c>
      <c r="EH37" t="e">
        <f t="shared" si="29"/>
        <v>#N/A</v>
      </c>
      <c r="EI37" t="e">
        <f t="shared" si="29"/>
        <v>#N/A</v>
      </c>
      <c r="EJ37" t="e">
        <f t="shared" si="29"/>
        <v>#N/A</v>
      </c>
      <c r="EK37" t="e">
        <f t="shared" si="29"/>
        <v>#N/A</v>
      </c>
      <c r="EL37" t="e">
        <f t="shared" si="29"/>
        <v>#N/A</v>
      </c>
      <c r="EM37" t="e">
        <f t="shared" si="29"/>
        <v>#N/A</v>
      </c>
    </row>
    <row r="38" spans="1:143" x14ac:dyDescent="0.4">
      <c r="A38" t="str">
        <f t="shared" si="16"/>
        <v/>
      </c>
      <c r="B38">
        <v>35</v>
      </c>
      <c r="C38" t="str" cm="1">
        <f t="array" ref="C38">INDEX(auto_Series_Code,B38)</f>
        <v>INDI_015</v>
      </c>
      <c r="D38">
        <f t="shared" si="3"/>
        <v>2041</v>
      </c>
      <c r="E38">
        <f t="shared" si="3"/>
        <v>2042</v>
      </c>
      <c r="F38">
        <f t="shared" si="3"/>
        <v>2043</v>
      </c>
      <c r="G38">
        <f t="shared" si="3"/>
        <v>2044</v>
      </c>
      <c r="H38">
        <f t="shared" si="3"/>
        <v>2045</v>
      </c>
      <c r="I38">
        <f t="shared" si="3"/>
        <v>2046</v>
      </c>
      <c r="J38">
        <f t="shared" si="3"/>
        <v>2047</v>
      </c>
      <c r="K38">
        <f t="shared" si="3"/>
        <v>2048</v>
      </c>
      <c r="L38">
        <f t="shared" si="3"/>
        <v>2049</v>
      </c>
      <c r="M38">
        <f t="shared" si="3"/>
        <v>2050</v>
      </c>
      <c r="N38">
        <f t="shared" si="4"/>
        <v>2051</v>
      </c>
      <c r="O38">
        <f t="shared" si="4"/>
        <v>2052</v>
      </c>
      <c r="P38">
        <f t="shared" si="4"/>
        <v>2053</v>
      </c>
      <c r="Q38">
        <f t="shared" si="4"/>
        <v>2054</v>
      </c>
      <c r="R38">
        <f t="shared" si="4"/>
        <v>2055</v>
      </c>
      <c r="S38">
        <f t="shared" si="4"/>
        <v>2056</v>
      </c>
      <c r="T38">
        <f t="shared" si="4"/>
        <v>2057</v>
      </c>
      <c r="U38">
        <f t="shared" si="4"/>
        <v>2058</v>
      </c>
      <c r="V38">
        <f t="shared" si="4"/>
        <v>2059</v>
      </c>
      <c r="W38">
        <f t="shared" si="4"/>
        <v>2060</v>
      </c>
      <c r="X38">
        <f t="shared" si="5"/>
        <v>2061</v>
      </c>
      <c r="Y38">
        <f t="shared" si="5"/>
        <v>2062</v>
      </c>
      <c r="Z38">
        <f t="shared" si="5"/>
        <v>2063</v>
      </c>
      <c r="AA38">
        <f t="shared" si="5"/>
        <v>2064</v>
      </c>
      <c r="AB38">
        <f t="shared" si="5"/>
        <v>2065</v>
      </c>
      <c r="AC38">
        <f t="shared" si="5"/>
        <v>2066</v>
      </c>
      <c r="AD38">
        <f t="shared" si="5"/>
        <v>2067</v>
      </c>
      <c r="AE38">
        <f t="shared" si="5"/>
        <v>2068</v>
      </c>
      <c r="AF38">
        <f t="shared" si="5"/>
        <v>2069</v>
      </c>
      <c r="AG38">
        <f t="shared" si="5"/>
        <v>2070</v>
      </c>
      <c r="AH38">
        <f t="shared" si="6"/>
        <v>2071</v>
      </c>
      <c r="AI38">
        <f t="shared" si="6"/>
        <v>2072</v>
      </c>
      <c r="AJ38">
        <f t="shared" si="6"/>
        <v>2073</v>
      </c>
      <c r="AK38">
        <f t="shared" si="6"/>
        <v>2074</v>
      </c>
      <c r="AL38">
        <f t="shared" si="6"/>
        <v>2075</v>
      </c>
      <c r="AM38">
        <f t="shared" si="6"/>
        <v>2076</v>
      </c>
      <c r="AN38">
        <f t="shared" si="6"/>
        <v>2077</v>
      </c>
      <c r="AO38">
        <f t="shared" si="6"/>
        <v>2078</v>
      </c>
      <c r="AP38">
        <f t="shared" si="6"/>
        <v>2079</v>
      </c>
      <c r="AQ38">
        <f t="shared" si="6"/>
        <v>2080</v>
      </c>
      <c r="AR38">
        <f t="shared" si="7"/>
        <v>2081</v>
      </c>
      <c r="AS38">
        <f t="shared" si="7"/>
        <v>2082</v>
      </c>
      <c r="AT38">
        <f t="shared" si="7"/>
        <v>2083</v>
      </c>
      <c r="AU38">
        <f t="shared" si="7"/>
        <v>2084</v>
      </c>
      <c r="AV38">
        <f t="shared" si="7"/>
        <v>2085</v>
      </c>
      <c r="AW38">
        <f t="shared" si="7"/>
        <v>2086</v>
      </c>
      <c r="AX38">
        <f t="shared" si="7"/>
        <v>2087</v>
      </c>
      <c r="AY38">
        <f t="shared" si="7"/>
        <v>2088</v>
      </c>
      <c r="AZ38">
        <f t="shared" si="7"/>
        <v>2089</v>
      </c>
      <c r="BA38">
        <f t="shared" si="7"/>
        <v>2090</v>
      </c>
      <c r="BB38" t="e">
        <f t="shared" si="8"/>
        <v>#N/A</v>
      </c>
      <c r="BC38" t="e">
        <f t="shared" si="8"/>
        <v>#N/A</v>
      </c>
      <c r="BD38" t="e">
        <f t="shared" si="8"/>
        <v>#N/A</v>
      </c>
      <c r="BE38" t="e">
        <f t="shared" si="8"/>
        <v>#N/A</v>
      </c>
      <c r="BF38" t="e">
        <f t="shared" si="8"/>
        <v>#N/A</v>
      </c>
      <c r="BG38" t="e">
        <f t="shared" si="8"/>
        <v>#N/A</v>
      </c>
      <c r="BH38" t="e">
        <f t="shared" si="8"/>
        <v>#N/A</v>
      </c>
      <c r="BI38" t="e">
        <f t="shared" si="8"/>
        <v>#N/A</v>
      </c>
      <c r="BJ38" t="e">
        <f t="shared" si="8"/>
        <v>#N/A</v>
      </c>
      <c r="BK38" t="e">
        <f t="shared" si="8"/>
        <v>#N/A</v>
      </c>
      <c r="BL38" t="e">
        <f t="shared" si="9"/>
        <v>#N/A</v>
      </c>
      <c r="BM38" t="e">
        <f t="shared" si="9"/>
        <v>#N/A</v>
      </c>
      <c r="BN38" t="e">
        <f t="shared" si="9"/>
        <v>#N/A</v>
      </c>
      <c r="BO38" t="e">
        <f t="shared" si="9"/>
        <v>#N/A</v>
      </c>
      <c r="BP38" t="e">
        <f t="shared" si="9"/>
        <v>#N/A</v>
      </c>
      <c r="BQ38" t="e">
        <f t="shared" si="9"/>
        <v>#N/A</v>
      </c>
      <c r="BR38" t="e">
        <f t="shared" si="9"/>
        <v>#N/A</v>
      </c>
      <c r="BS38" t="e">
        <f t="shared" si="9"/>
        <v>#N/A</v>
      </c>
      <c r="BT38" t="e">
        <f t="shared" si="9"/>
        <v>#N/A</v>
      </c>
      <c r="BU38" t="e">
        <f t="shared" si="9"/>
        <v>#N/A</v>
      </c>
      <c r="BV38" t="e">
        <f t="shared" si="10"/>
        <v>#N/A</v>
      </c>
      <c r="BW38" t="e">
        <f t="shared" si="10"/>
        <v>#N/A</v>
      </c>
      <c r="BX38" t="e">
        <f t="shared" si="10"/>
        <v>#N/A</v>
      </c>
      <c r="BY38" t="e">
        <f t="shared" si="10"/>
        <v>#N/A</v>
      </c>
      <c r="BZ38" t="e">
        <f t="shared" si="10"/>
        <v>#N/A</v>
      </c>
      <c r="CA38" t="e">
        <f t="shared" si="10"/>
        <v>#N/A</v>
      </c>
      <c r="CB38" t="e">
        <f t="shared" si="10"/>
        <v>#N/A</v>
      </c>
      <c r="CC38" t="e">
        <f t="shared" si="10"/>
        <v>#N/A</v>
      </c>
      <c r="CD38" t="e">
        <f t="shared" si="10"/>
        <v>#N/A</v>
      </c>
      <c r="CE38" t="e">
        <f t="shared" si="10"/>
        <v>#N/A</v>
      </c>
      <c r="CF38" t="e">
        <f t="shared" si="11"/>
        <v>#N/A</v>
      </c>
      <c r="CG38" t="e">
        <f t="shared" si="11"/>
        <v>#N/A</v>
      </c>
      <c r="CH38" t="e">
        <f t="shared" si="11"/>
        <v>#N/A</v>
      </c>
      <c r="CI38" t="e">
        <f t="shared" si="11"/>
        <v>#N/A</v>
      </c>
      <c r="CJ38" t="e">
        <f t="shared" si="11"/>
        <v>#N/A</v>
      </c>
      <c r="CK38" t="e">
        <f t="shared" si="11"/>
        <v>#N/A</v>
      </c>
      <c r="CL38" t="e">
        <f t="shared" si="11"/>
        <v>#N/A</v>
      </c>
      <c r="CM38" t="e">
        <f t="shared" si="11"/>
        <v>#N/A</v>
      </c>
      <c r="CN38" t="e">
        <f t="shared" si="11"/>
        <v>#N/A</v>
      </c>
      <c r="CO38" t="e">
        <f t="shared" si="11"/>
        <v>#N/A</v>
      </c>
      <c r="CP38" t="e">
        <f t="shared" si="12"/>
        <v>#N/A</v>
      </c>
      <c r="CQ38" t="e">
        <f t="shared" si="12"/>
        <v>#N/A</v>
      </c>
      <c r="CR38" t="e">
        <f t="shared" si="12"/>
        <v>#N/A</v>
      </c>
      <c r="CS38" t="e">
        <f t="shared" si="12"/>
        <v>#N/A</v>
      </c>
      <c r="CT38" t="e">
        <f t="shared" si="12"/>
        <v>#N/A</v>
      </c>
      <c r="CU38" t="e">
        <f t="shared" si="12"/>
        <v>#N/A</v>
      </c>
      <c r="CV38" t="e">
        <f t="shared" si="12"/>
        <v>#N/A</v>
      </c>
      <c r="CW38" t="e">
        <f t="shared" si="12"/>
        <v>#N/A</v>
      </c>
      <c r="CX38" t="e">
        <f t="shared" si="12"/>
        <v>#N/A</v>
      </c>
      <c r="CY38" t="e">
        <f t="shared" si="12"/>
        <v>#N/A</v>
      </c>
      <c r="CZ38" t="e">
        <f t="shared" si="13"/>
        <v>#N/A</v>
      </c>
      <c r="DA38" t="e">
        <f t="shared" si="13"/>
        <v>#N/A</v>
      </c>
      <c r="DB38" t="e">
        <f t="shared" si="13"/>
        <v>#N/A</v>
      </c>
      <c r="DC38" t="e">
        <f t="shared" si="13"/>
        <v>#N/A</v>
      </c>
      <c r="DD38" t="e">
        <f t="shared" si="13"/>
        <v>#N/A</v>
      </c>
      <c r="DE38" t="e">
        <f t="shared" si="13"/>
        <v>#N/A</v>
      </c>
      <c r="DF38" t="e">
        <f t="shared" si="13"/>
        <v>#N/A</v>
      </c>
      <c r="DG38" t="e">
        <f t="shared" si="13"/>
        <v>#N/A</v>
      </c>
      <c r="DH38" t="e">
        <f t="shared" si="13"/>
        <v>#N/A</v>
      </c>
      <c r="DI38" t="e">
        <f t="shared" si="13"/>
        <v>#N/A</v>
      </c>
      <c r="DJ38" t="e">
        <f t="shared" si="13"/>
        <v>#N/A</v>
      </c>
      <c r="DK38" t="e">
        <f t="shared" si="13"/>
        <v>#N/A</v>
      </c>
      <c r="DL38" t="e">
        <f t="shared" si="13"/>
        <v>#N/A</v>
      </c>
      <c r="DM38" t="e">
        <f t="shared" si="13"/>
        <v>#N/A</v>
      </c>
      <c r="DN38" t="e">
        <f t="shared" si="13"/>
        <v>#N/A</v>
      </c>
      <c r="DO38" t="e">
        <f t="shared" si="13"/>
        <v>#N/A</v>
      </c>
      <c r="DP38" t="e">
        <f t="shared" si="31"/>
        <v>#N/A</v>
      </c>
      <c r="DQ38" t="e">
        <f t="shared" si="31"/>
        <v>#N/A</v>
      </c>
      <c r="DR38" t="e">
        <f t="shared" si="31"/>
        <v>#N/A</v>
      </c>
      <c r="DS38" t="e">
        <f t="shared" si="31"/>
        <v>#N/A</v>
      </c>
      <c r="DT38">
        <f t="shared" si="31"/>
        <v>2091</v>
      </c>
      <c r="DU38">
        <f t="shared" si="31"/>
        <v>2092</v>
      </c>
      <c r="DV38">
        <f t="shared" si="31"/>
        <v>2093</v>
      </c>
      <c r="DW38">
        <f t="shared" si="31"/>
        <v>2094</v>
      </c>
      <c r="DX38">
        <f t="shared" si="31"/>
        <v>2095</v>
      </c>
      <c r="DY38">
        <f t="shared" si="31"/>
        <v>2096</v>
      </c>
      <c r="DZ38">
        <f t="shared" si="15"/>
        <v>2097</v>
      </c>
      <c r="EA38">
        <f t="shared" si="15"/>
        <v>2098</v>
      </c>
      <c r="EB38">
        <f t="shared" si="15"/>
        <v>2099</v>
      </c>
      <c r="EC38">
        <f t="shared" si="15"/>
        <v>2100</v>
      </c>
      <c r="ED38" t="e">
        <f t="shared" si="15"/>
        <v>#N/A</v>
      </c>
      <c r="EE38" t="e">
        <f t="shared" si="15"/>
        <v>#N/A</v>
      </c>
      <c r="EF38" t="e">
        <f t="shared" si="15"/>
        <v>#N/A</v>
      </c>
      <c r="EG38" t="e">
        <f t="shared" si="15"/>
        <v>#N/A</v>
      </c>
      <c r="EH38" t="e">
        <f t="shared" si="15"/>
        <v>#N/A</v>
      </c>
      <c r="EI38" t="e">
        <f t="shared" si="15"/>
        <v>#N/A</v>
      </c>
      <c r="EJ38" t="e">
        <f t="shared" si="15"/>
        <v>#N/A</v>
      </c>
      <c r="EK38" t="e">
        <f t="shared" si="15"/>
        <v>#N/A</v>
      </c>
      <c r="EL38" t="e">
        <f t="shared" si="15"/>
        <v>#N/A</v>
      </c>
      <c r="EM38" t="e">
        <f t="shared" si="15"/>
        <v>#N/A</v>
      </c>
    </row>
    <row r="39" spans="1:143" x14ac:dyDescent="0.4">
      <c r="A39" t="str">
        <f t="shared" si="16"/>
        <v/>
      </c>
      <c r="B39">
        <v>36</v>
      </c>
      <c r="C39" t="str" cm="1">
        <f t="array" ref="C39">INDEX(auto_Series_Code,B39)</f>
        <v>SUBINDI_017</v>
      </c>
      <c r="D39">
        <f t="shared" si="17"/>
        <v>2101</v>
      </c>
      <c r="E39">
        <f t="shared" si="17"/>
        <v>2102</v>
      </c>
      <c r="F39">
        <f t="shared" si="17"/>
        <v>2103</v>
      </c>
      <c r="G39">
        <f t="shared" si="17"/>
        <v>2104</v>
      </c>
      <c r="H39">
        <f t="shared" si="17"/>
        <v>2105</v>
      </c>
      <c r="I39">
        <f t="shared" si="17"/>
        <v>2106</v>
      </c>
      <c r="J39">
        <f t="shared" si="17"/>
        <v>2107</v>
      </c>
      <c r="K39">
        <f t="shared" si="17"/>
        <v>2108</v>
      </c>
      <c r="L39">
        <f t="shared" si="17"/>
        <v>2109</v>
      </c>
      <c r="M39">
        <f t="shared" si="17"/>
        <v>2110</v>
      </c>
      <c r="N39">
        <f t="shared" si="18"/>
        <v>2111</v>
      </c>
      <c r="O39">
        <f t="shared" si="18"/>
        <v>2112</v>
      </c>
      <c r="P39">
        <f t="shared" si="18"/>
        <v>2113</v>
      </c>
      <c r="Q39">
        <f t="shared" si="18"/>
        <v>2114</v>
      </c>
      <c r="R39">
        <f t="shared" si="18"/>
        <v>2115</v>
      </c>
      <c r="S39">
        <f t="shared" si="18"/>
        <v>2116</v>
      </c>
      <c r="T39">
        <f t="shared" si="18"/>
        <v>2117</v>
      </c>
      <c r="U39">
        <f t="shared" si="18"/>
        <v>2118</v>
      </c>
      <c r="V39">
        <f t="shared" si="18"/>
        <v>2119</v>
      </c>
      <c r="W39">
        <f t="shared" si="18"/>
        <v>2120</v>
      </c>
      <c r="X39">
        <f t="shared" si="19"/>
        <v>2121</v>
      </c>
      <c r="Y39">
        <f t="shared" si="19"/>
        <v>2122</v>
      </c>
      <c r="Z39">
        <f t="shared" si="19"/>
        <v>2123</v>
      </c>
      <c r="AA39">
        <f t="shared" si="19"/>
        <v>2124</v>
      </c>
      <c r="AB39">
        <f t="shared" si="19"/>
        <v>2125</v>
      </c>
      <c r="AC39">
        <f t="shared" si="19"/>
        <v>2126</v>
      </c>
      <c r="AD39">
        <f t="shared" si="19"/>
        <v>2127</v>
      </c>
      <c r="AE39">
        <f t="shared" si="19"/>
        <v>2128</v>
      </c>
      <c r="AF39">
        <f t="shared" si="19"/>
        <v>2129</v>
      </c>
      <c r="AG39">
        <f t="shared" si="19"/>
        <v>2130</v>
      </c>
      <c r="AH39">
        <f t="shared" si="20"/>
        <v>2131</v>
      </c>
      <c r="AI39">
        <f t="shared" si="20"/>
        <v>2132</v>
      </c>
      <c r="AJ39">
        <f t="shared" si="20"/>
        <v>2133</v>
      </c>
      <c r="AK39">
        <f t="shared" si="20"/>
        <v>2134</v>
      </c>
      <c r="AL39">
        <f t="shared" si="20"/>
        <v>2135</v>
      </c>
      <c r="AM39">
        <f t="shared" si="20"/>
        <v>2136</v>
      </c>
      <c r="AN39">
        <f t="shared" si="20"/>
        <v>2137</v>
      </c>
      <c r="AO39">
        <f t="shared" si="20"/>
        <v>2138</v>
      </c>
      <c r="AP39">
        <f t="shared" si="20"/>
        <v>2139</v>
      </c>
      <c r="AQ39">
        <f t="shared" si="20"/>
        <v>2140</v>
      </c>
      <c r="AR39">
        <f t="shared" si="21"/>
        <v>2141</v>
      </c>
      <c r="AS39">
        <f t="shared" si="21"/>
        <v>2142</v>
      </c>
      <c r="AT39">
        <f t="shared" si="21"/>
        <v>2143</v>
      </c>
      <c r="AU39">
        <f t="shared" si="21"/>
        <v>2144</v>
      </c>
      <c r="AV39">
        <f t="shared" si="21"/>
        <v>2145</v>
      </c>
      <c r="AW39">
        <f t="shared" si="21"/>
        <v>2146</v>
      </c>
      <c r="AX39">
        <f t="shared" si="21"/>
        <v>2147</v>
      </c>
      <c r="AY39">
        <f t="shared" si="21"/>
        <v>2148</v>
      </c>
      <c r="AZ39">
        <f t="shared" si="21"/>
        <v>2149</v>
      </c>
      <c r="BA39">
        <f t="shared" si="21"/>
        <v>2150</v>
      </c>
      <c r="BB39" t="e">
        <f t="shared" si="22"/>
        <v>#N/A</v>
      </c>
      <c r="BC39" t="e">
        <f t="shared" si="22"/>
        <v>#N/A</v>
      </c>
      <c r="BD39" t="e">
        <f t="shared" si="22"/>
        <v>#N/A</v>
      </c>
      <c r="BE39" t="e">
        <f t="shared" si="22"/>
        <v>#N/A</v>
      </c>
      <c r="BF39" t="e">
        <f t="shared" si="22"/>
        <v>#N/A</v>
      </c>
      <c r="BG39" t="e">
        <f t="shared" si="22"/>
        <v>#N/A</v>
      </c>
      <c r="BH39" t="e">
        <f t="shared" si="22"/>
        <v>#N/A</v>
      </c>
      <c r="BI39" t="e">
        <f t="shared" si="22"/>
        <v>#N/A</v>
      </c>
      <c r="BJ39" t="e">
        <f t="shared" si="22"/>
        <v>#N/A</v>
      </c>
      <c r="BK39" t="e">
        <f t="shared" si="22"/>
        <v>#N/A</v>
      </c>
      <c r="BL39" t="e">
        <f t="shared" si="23"/>
        <v>#N/A</v>
      </c>
      <c r="BM39" t="e">
        <f t="shared" si="23"/>
        <v>#N/A</v>
      </c>
      <c r="BN39" t="e">
        <f t="shared" si="23"/>
        <v>#N/A</v>
      </c>
      <c r="BO39" t="e">
        <f t="shared" si="23"/>
        <v>#N/A</v>
      </c>
      <c r="BP39" t="e">
        <f t="shared" si="23"/>
        <v>#N/A</v>
      </c>
      <c r="BQ39" t="e">
        <f t="shared" si="23"/>
        <v>#N/A</v>
      </c>
      <c r="BR39" t="e">
        <f t="shared" si="23"/>
        <v>#N/A</v>
      </c>
      <c r="BS39" t="e">
        <f t="shared" si="23"/>
        <v>#N/A</v>
      </c>
      <c r="BT39" t="e">
        <f t="shared" si="23"/>
        <v>#N/A</v>
      </c>
      <c r="BU39" t="e">
        <f t="shared" si="23"/>
        <v>#N/A</v>
      </c>
      <c r="BV39" t="e">
        <f t="shared" si="24"/>
        <v>#N/A</v>
      </c>
      <c r="BW39" t="e">
        <f t="shared" si="24"/>
        <v>#N/A</v>
      </c>
      <c r="BX39" t="e">
        <f t="shared" si="24"/>
        <v>#N/A</v>
      </c>
      <c r="BY39" t="e">
        <f t="shared" si="24"/>
        <v>#N/A</v>
      </c>
      <c r="BZ39" t="e">
        <f t="shared" si="24"/>
        <v>#N/A</v>
      </c>
      <c r="CA39" t="e">
        <f t="shared" si="24"/>
        <v>#N/A</v>
      </c>
      <c r="CB39" t="e">
        <f t="shared" si="24"/>
        <v>#N/A</v>
      </c>
      <c r="CC39" t="e">
        <f t="shared" si="24"/>
        <v>#N/A</v>
      </c>
      <c r="CD39" t="e">
        <f t="shared" si="24"/>
        <v>#N/A</v>
      </c>
      <c r="CE39" t="e">
        <f t="shared" si="24"/>
        <v>#N/A</v>
      </c>
      <c r="CF39" t="e">
        <f t="shared" si="25"/>
        <v>#N/A</v>
      </c>
      <c r="CG39" t="e">
        <f t="shared" si="25"/>
        <v>#N/A</v>
      </c>
      <c r="CH39" t="e">
        <f t="shared" si="25"/>
        <v>#N/A</v>
      </c>
      <c r="CI39" t="e">
        <f t="shared" si="25"/>
        <v>#N/A</v>
      </c>
      <c r="CJ39" t="e">
        <f t="shared" si="25"/>
        <v>#N/A</v>
      </c>
      <c r="CK39" t="e">
        <f t="shared" si="25"/>
        <v>#N/A</v>
      </c>
      <c r="CL39" t="e">
        <f t="shared" si="25"/>
        <v>#N/A</v>
      </c>
      <c r="CM39" t="e">
        <f t="shared" si="25"/>
        <v>#N/A</v>
      </c>
      <c r="CN39" t="e">
        <f t="shared" si="25"/>
        <v>#N/A</v>
      </c>
      <c r="CO39" t="e">
        <f t="shared" si="25"/>
        <v>#N/A</v>
      </c>
      <c r="CP39" t="e">
        <f t="shared" si="26"/>
        <v>#N/A</v>
      </c>
      <c r="CQ39" t="e">
        <f t="shared" si="26"/>
        <v>#N/A</v>
      </c>
      <c r="CR39" t="e">
        <f t="shared" si="26"/>
        <v>#N/A</v>
      </c>
      <c r="CS39" t="e">
        <f t="shared" si="26"/>
        <v>#N/A</v>
      </c>
      <c r="CT39" t="e">
        <f t="shared" si="26"/>
        <v>#N/A</v>
      </c>
      <c r="CU39" t="e">
        <f t="shared" si="26"/>
        <v>#N/A</v>
      </c>
      <c r="CV39" t="e">
        <f t="shared" si="26"/>
        <v>#N/A</v>
      </c>
      <c r="CW39" t="e">
        <f t="shared" si="26"/>
        <v>#N/A</v>
      </c>
      <c r="CX39" t="e">
        <f t="shared" si="26"/>
        <v>#N/A</v>
      </c>
      <c r="CY39" t="e">
        <f t="shared" si="26"/>
        <v>#N/A</v>
      </c>
      <c r="CZ39" t="e">
        <f t="shared" si="27"/>
        <v>#N/A</v>
      </c>
      <c r="DA39" t="e">
        <f t="shared" si="27"/>
        <v>#N/A</v>
      </c>
      <c r="DB39" t="e">
        <f t="shared" si="27"/>
        <v>#N/A</v>
      </c>
      <c r="DC39" t="e">
        <f t="shared" si="27"/>
        <v>#N/A</v>
      </c>
      <c r="DD39" t="e">
        <f t="shared" si="27"/>
        <v>#N/A</v>
      </c>
      <c r="DE39" t="e">
        <f t="shared" si="27"/>
        <v>#N/A</v>
      </c>
      <c r="DF39" t="e">
        <f t="shared" si="27"/>
        <v>#N/A</v>
      </c>
      <c r="DG39" t="e">
        <f t="shared" si="27"/>
        <v>#N/A</v>
      </c>
      <c r="DH39" t="e">
        <f t="shared" si="27"/>
        <v>#N/A</v>
      </c>
      <c r="DI39" t="e">
        <f t="shared" si="27"/>
        <v>#N/A</v>
      </c>
      <c r="DJ39" t="e">
        <f t="shared" si="27"/>
        <v>#N/A</v>
      </c>
      <c r="DK39" t="e">
        <f t="shared" si="27"/>
        <v>#N/A</v>
      </c>
      <c r="DL39" t="e">
        <f t="shared" si="27"/>
        <v>#N/A</v>
      </c>
      <c r="DM39" t="e">
        <f t="shared" si="27"/>
        <v>#N/A</v>
      </c>
      <c r="DN39" t="e">
        <f t="shared" si="27"/>
        <v>#N/A</v>
      </c>
      <c r="DO39" t="e">
        <f t="shared" si="27"/>
        <v>#N/A</v>
      </c>
      <c r="DP39" t="e">
        <f t="shared" si="31"/>
        <v>#N/A</v>
      </c>
      <c r="DQ39" t="e">
        <f t="shared" si="31"/>
        <v>#N/A</v>
      </c>
      <c r="DR39" t="e">
        <f t="shared" si="31"/>
        <v>#N/A</v>
      </c>
      <c r="DS39" t="e">
        <f t="shared" si="31"/>
        <v>#N/A</v>
      </c>
      <c r="DT39">
        <f t="shared" si="31"/>
        <v>2151</v>
      </c>
      <c r="DU39">
        <f t="shared" si="31"/>
        <v>2152</v>
      </c>
      <c r="DV39">
        <f t="shared" si="31"/>
        <v>2153</v>
      </c>
      <c r="DW39">
        <f t="shared" si="31"/>
        <v>2154</v>
      </c>
      <c r="DX39">
        <f t="shared" si="31"/>
        <v>2155</v>
      </c>
      <c r="DY39">
        <f t="shared" si="31"/>
        <v>2156</v>
      </c>
      <c r="DZ39">
        <f t="shared" si="29"/>
        <v>2157</v>
      </c>
      <c r="EA39">
        <f t="shared" si="29"/>
        <v>2158</v>
      </c>
      <c r="EB39">
        <f t="shared" si="29"/>
        <v>2159</v>
      </c>
      <c r="EC39">
        <f t="shared" si="29"/>
        <v>2160</v>
      </c>
      <c r="ED39" t="e">
        <f t="shared" si="29"/>
        <v>#N/A</v>
      </c>
      <c r="EE39" t="e">
        <f t="shared" si="29"/>
        <v>#N/A</v>
      </c>
      <c r="EF39" t="e">
        <f t="shared" si="29"/>
        <v>#N/A</v>
      </c>
      <c r="EG39" t="e">
        <f t="shared" si="29"/>
        <v>#N/A</v>
      </c>
      <c r="EH39" t="e">
        <f t="shared" si="29"/>
        <v>#N/A</v>
      </c>
      <c r="EI39" t="e">
        <f t="shared" si="29"/>
        <v>#N/A</v>
      </c>
      <c r="EJ39" t="e">
        <f t="shared" si="29"/>
        <v>#N/A</v>
      </c>
      <c r="EK39" t="e">
        <f t="shared" si="29"/>
        <v>#N/A</v>
      </c>
      <c r="EL39" t="e">
        <f t="shared" si="29"/>
        <v>#N/A</v>
      </c>
      <c r="EM39" t="e">
        <f t="shared" si="29"/>
        <v>#N/A</v>
      </c>
    </row>
    <row r="40" spans="1:143" x14ac:dyDescent="0.4">
      <c r="A40" t="str">
        <f t="shared" si="16"/>
        <v/>
      </c>
      <c r="B40">
        <v>37</v>
      </c>
      <c r="C40" t="str" cm="1">
        <f t="array" ref="C40">INDEX(auto_Series_Code,B40)</f>
        <v>SUBINDI_018</v>
      </c>
      <c r="D40">
        <f t="shared" si="3"/>
        <v>2161</v>
      </c>
      <c r="E40">
        <f t="shared" si="3"/>
        <v>2162</v>
      </c>
      <c r="F40">
        <f t="shared" si="3"/>
        <v>2163</v>
      </c>
      <c r="G40">
        <f t="shared" si="3"/>
        <v>2164</v>
      </c>
      <c r="H40">
        <f t="shared" si="3"/>
        <v>2165</v>
      </c>
      <c r="I40">
        <f t="shared" si="3"/>
        <v>2166</v>
      </c>
      <c r="J40">
        <f t="shared" si="3"/>
        <v>2167</v>
      </c>
      <c r="K40">
        <f t="shared" si="3"/>
        <v>2168</v>
      </c>
      <c r="L40">
        <f t="shared" si="3"/>
        <v>2169</v>
      </c>
      <c r="M40">
        <f t="shared" si="3"/>
        <v>2170</v>
      </c>
      <c r="N40">
        <f t="shared" si="4"/>
        <v>2171</v>
      </c>
      <c r="O40">
        <f t="shared" si="4"/>
        <v>2172</v>
      </c>
      <c r="P40">
        <f t="shared" si="4"/>
        <v>2173</v>
      </c>
      <c r="Q40">
        <f t="shared" si="4"/>
        <v>2174</v>
      </c>
      <c r="R40">
        <f t="shared" si="4"/>
        <v>2175</v>
      </c>
      <c r="S40">
        <f t="shared" si="4"/>
        <v>2176</v>
      </c>
      <c r="T40">
        <f t="shared" si="4"/>
        <v>2177</v>
      </c>
      <c r="U40">
        <f t="shared" si="4"/>
        <v>2178</v>
      </c>
      <c r="V40">
        <f t="shared" si="4"/>
        <v>2179</v>
      </c>
      <c r="W40">
        <f t="shared" si="4"/>
        <v>2180</v>
      </c>
      <c r="X40">
        <f t="shared" si="5"/>
        <v>2181</v>
      </c>
      <c r="Y40">
        <f t="shared" si="5"/>
        <v>2182</v>
      </c>
      <c r="Z40">
        <f t="shared" si="5"/>
        <v>2183</v>
      </c>
      <c r="AA40">
        <f t="shared" si="5"/>
        <v>2184</v>
      </c>
      <c r="AB40">
        <f t="shared" si="5"/>
        <v>2185</v>
      </c>
      <c r="AC40">
        <f t="shared" si="5"/>
        <v>2186</v>
      </c>
      <c r="AD40">
        <f t="shared" si="5"/>
        <v>2187</v>
      </c>
      <c r="AE40">
        <f t="shared" si="5"/>
        <v>2188</v>
      </c>
      <c r="AF40">
        <f t="shared" si="5"/>
        <v>2189</v>
      </c>
      <c r="AG40">
        <f t="shared" si="5"/>
        <v>2190</v>
      </c>
      <c r="AH40">
        <f t="shared" si="6"/>
        <v>2191</v>
      </c>
      <c r="AI40">
        <f t="shared" si="6"/>
        <v>2192</v>
      </c>
      <c r="AJ40">
        <f t="shared" si="6"/>
        <v>2193</v>
      </c>
      <c r="AK40">
        <f t="shared" si="6"/>
        <v>2194</v>
      </c>
      <c r="AL40">
        <f t="shared" si="6"/>
        <v>2195</v>
      </c>
      <c r="AM40">
        <f t="shared" si="6"/>
        <v>2196</v>
      </c>
      <c r="AN40">
        <f t="shared" si="6"/>
        <v>2197</v>
      </c>
      <c r="AO40">
        <f t="shared" si="6"/>
        <v>2198</v>
      </c>
      <c r="AP40">
        <f t="shared" si="6"/>
        <v>2199</v>
      </c>
      <c r="AQ40">
        <f t="shared" si="6"/>
        <v>2200</v>
      </c>
      <c r="AR40">
        <f t="shared" si="7"/>
        <v>2201</v>
      </c>
      <c r="AS40">
        <f t="shared" si="7"/>
        <v>2202</v>
      </c>
      <c r="AT40">
        <f t="shared" si="7"/>
        <v>2203</v>
      </c>
      <c r="AU40">
        <f t="shared" si="7"/>
        <v>2204</v>
      </c>
      <c r="AV40">
        <f t="shared" si="7"/>
        <v>2205</v>
      </c>
      <c r="AW40">
        <f t="shared" si="7"/>
        <v>2206</v>
      </c>
      <c r="AX40">
        <f t="shared" si="7"/>
        <v>2207</v>
      </c>
      <c r="AY40">
        <f t="shared" si="7"/>
        <v>2208</v>
      </c>
      <c r="AZ40">
        <f t="shared" si="7"/>
        <v>2209</v>
      </c>
      <c r="BA40">
        <f t="shared" si="7"/>
        <v>2210</v>
      </c>
      <c r="BB40" t="e">
        <f t="shared" si="8"/>
        <v>#N/A</v>
      </c>
      <c r="BC40" t="e">
        <f t="shared" si="8"/>
        <v>#N/A</v>
      </c>
      <c r="BD40" t="e">
        <f t="shared" si="8"/>
        <v>#N/A</v>
      </c>
      <c r="BE40" t="e">
        <f t="shared" si="8"/>
        <v>#N/A</v>
      </c>
      <c r="BF40" t="e">
        <f t="shared" si="8"/>
        <v>#N/A</v>
      </c>
      <c r="BG40" t="e">
        <f t="shared" si="8"/>
        <v>#N/A</v>
      </c>
      <c r="BH40" t="e">
        <f t="shared" si="8"/>
        <v>#N/A</v>
      </c>
      <c r="BI40" t="e">
        <f t="shared" si="8"/>
        <v>#N/A</v>
      </c>
      <c r="BJ40" t="e">
        <f t="shared" si="8"/>
        <v>#N/A</v>
      </c>
      <c r="BK40" t="e">
        <f t="shared" si="8"/>
        <v>#N/A</v>
      </c>
      <c r="BL40" t="e">
        <f t="shared" si="9"/>
        <v>#N/A</v>
      </c>
      <c r="BM40" t="e">
        <f t="shared" si="9"/>
        <v>#N/A</v>
      </c>
      <c r="BN40" t="e">
        <f t="shared" si="9"/>
        <v>#N/A</v>
      </c>
      <c r="BO40" t="e">
        <f t="shared" si="9"/>
        <v>#N/A</v>
      </c>
      <c r="BP40" t="e">
        <f t="shared" si="9"/>
        <v>#N/A</v>
      </c>
      <c r="BQ40" t="e">
        <f t="shared" si="9"/>
        <v>#N/A</v>
      </c>
      <c r="BR40" t="e">
        <f t="shared" si="9"/>
        <v>#N/A</v>
      </c>
      <c r="BS40" t="e">
        <f t="shared" si="9"/>
        <v>#N/A</v>
      </c>
      <c r="BT40" t="e">
        <f t="shared" si="9"/>
        <v>#N/A</v>
      </c>
      <c r="BU40" t="e">
        <f t="shared" si="9"/>
        <v>#N/A</v>
      </c>
      <c r="BV40" t="e">
        <f t="shared" si="10"/>
        <v>#N/A</v>
      </c>
      <c r="BW40" t="e">
        <f t="shared" si="10"/>
        <v>#N/A</v>
      </c>
      <c r="BX40" t="e">
        <f t="shared" si="10"/>
        <v>#N/A</v>
      </c>
      <c r="BY40" t="e">
        <f t="shared" si="10"/>
        <v>#N/A</v>
      </c>
      <c r="BZ40" t="e">
        <f t="shared" si="10"/>
        <v>#N/A</v>
      </c>
      <c r="CA40" t="e">
        <f t="shared" si="10"/>
        <v>#N/A</v>
      </c>
      <c r="CB40" t="e">
        <f t="shared" si="10"/>
        <v>#N/A</v>
      </c>
      <c r="CC40" t="e">
        <f t="shared" si="10"/>
        <v>#N/A</v>
      </c>
      <c r="CD40" t="e">
        <f t="shared" si="10"/>
        <v>#N/A</v>
      </c>
      <c r="CE40" t="e">
        <f t="shared" si="10"/>
        <v>#N/A</v>
      </c>
      <c r="CF40" t="e">
        <f t="shared" si="11"/>
        <v>#N/A</v>
      </c>
      <c r="CG40" t="e">
        <f t="shared" si="11"/>
        <v>#N/A</v>
      </c>
      <c r="CH40" t="e">
        <f t="shared" si="11"/>
        <v>#N/A</v>
      </c>
      <c r="CI40" t="e">
        <f t="shared" si="11"/>
        <v>#N/A</v>
      </c>
      <c r="CJ40" t="e">
        <f t="shared" si="11"/>
        <v>#N/A</v>
      </c>
      <c r="CK40" t="e">
        <f t="shared" si="11"/>
        <v>#N/A</v>
      </c>
      <c r="CL40" t="e">
        <f t="shared" si="11"/>
        <v>#N/A</v>
      </c>
      <c r="CM40" t="e">
        <f t="shared" si="11"/>
        <v>#N/A</v>
      </c>
      <c r="CN40" t="e">
        <f t="shared" si="11"/>
        <v>#N/A</v>
      </c>
      <c r="CO40" t="e">
        <f t="shared" si="11"/>
        <v>#N/A</v>
      </c>
      <c r="CP40" t="e">
        <f t="shared" si="12"/>
        <v>#N/A</v>
      </c>
      <c r="CQ40" t="e">
        <f t="shared" si="12"/>
        <v>#N/A</v>
      </c>
      <c r="CR40" t="e">
        <f t="shared" si="12"/>
        <v>#N/A</v>
      </c>
      <c r="CS40" t="e">
        <f t="shared" si="12"/>
        <v>#N/A</v>
      </c>
      <c r="CT40" t="e">
        <f t="shared" si="12"/>
        <v>#N/A</v>
      </c>
      <c r="CU40" t="e">
        <f t="shared" si="12"/>
        <v>#N/A</v>
      </c>
      <c r="CV40" t="e">
        <f t="shared" si="12"/>
        <v>#N/A</v>
      </c>
      <c r="CW40" t="e">
        <f t="shared" si="12"/>
        <v>#N/A</v>
      </c>
      <c r="CX40" t="e">
        <f t="shared" si="12"/>
        <v>#N/A</v>
      </c>
      <c r="CY40" t="e">
        <f t="shared" si="12"/>
        <v>#N/A</v>
      </c>
      <c r="CZ40" t="e">
        <f t="shared" si="13"/>
        <v>#N/A</v>
      </c>
      <c r="DA40" t="e">
        <f t="shared" si="13"/>
        <v>#N/A</v>
      </c>
      <c r="DB40" t="e">
        <f t="shared" si="13"/>
        <v>#N/A</v>
      </c>
      <c r="DC40" t="e">
        <f t="shared" si="13"/>
        <v>#N/A</v>
      </c>
      <c r="DD40" t="e">
        <f t="shared" si="13"/>
        <v>#N/A</v>
      </c>
      <c r="DE40" t="e">
        <f t="shared" si="13"/>
        <v>#N/A</v>
      </c>
      <c r="DF40" t="e">
        <f t="shared" si="13"/>
        <v>#N/A</v>
      </c>
      <c r="DG40" t="e">
        <f t="shared" si="13"/>
        <v>#N/A</v>
      </c>
      <c r="DH40" t="e">
        <f t="shared" si="13"/>
        <v>#N/A</v>
      </c>
      <c r="DI40" t="e">
        <f t="shared" si="13"/>
        <v>#N/A</v>
      </c>
      <c r="DJ40" t="e">
        <f t="shared" si="13"/>
        <v>#N/A</v>
      </c>
      <c r="DK40" t="e">
        <f t="shared" si="13"/>
        <v>#N/A</v>
      </c>
      <c r="DL40" t="e">
        <f t="shared" si="13"/>
        <v>#N/A</v>
      </c>
      <c r="DM40" t="e">
        <f t="shared" si="13"/>
        <v>#N/A</v>
      </c>
      <c r="DN40" t="e">
        <f t="shared" si="13"/>
        <v>#N/A</v>
      </c>
      <c r="DO40" t="e">
        <f t="shared" si="13"/>
        <v>#N/A</v>
      </c>
      <c r="DP40" t="e">
        <f t="shared" si="31"/>
        <v>#N/A</v>
      </c>
      <c r="DQ40" t="e">
        <f t="shared" si="31"/>
        <v>#N/A</v>
      </c>
      <c r="DR40" t="e">
        <f t="shared" si="31"/>
        <v>#N/A</v>
      </c>
      <c r="DS40" t="e">
        <f t="shared" si="31"/>
        <v>#N/A</v>
      </c>
      <c r="DT40">
        <f t="shared" si="31"/>
        <v>2211</v>
      </c>
      <c r="DU40">
        <f t="shared" si="31"/>
        <v>2212</v>
      </c>
      <c r="DV40">
        <f t="shared" si="31"/>
        <v>2213</v>
      </c>
      <c r="DW40">
        <f t="shared" si="31"/>
        <v>2214</v>
      </c>
      <c r="DX40">
        <f t="shared" si="31"/>
        <v>2215</v>
      </c>
      <c r="DY40">
        <f t="shared" si="31"/>
        <v>2216</v>
      </c>
      <c r="DZ40">
        <f t="shared" si="15"/>
        <v>2217</v>
      </c>
      <c r="EA40">
        <f t="shared" si="15"/>
        <v>2218</v>
      </c>
      <c r="EB40">
        <f t="shared" si="15"/>
        <v>2219</v>
      </c>
      <c r="EC40">
        <f t="shared" ref="EC40:EM66" si="32">MATCH(CONCATENATE(EC$3,"_",$C40),auto_DataFlat_UID,0)</f>
        <v>2220</v>
      </c>
      <c r="ED40" t="e">
        <f t="shared" si="32"/>
        <v>#N/A</v>
      </c>
      <c r="EE40" t="e">
        <f t="shared" si="32"/>
        <v>#N/A</v>
      </c>
      <c r="EF40" t="e">
        <f t="shared" si="32"/>
        <v>#N/A</v>
      </c>
      <c r="EG40" t="e">
        <f t="shared" si="32"/>
        <v>#N/A</v>
      </c>
      <c r="EH40" t="e">
        <f t="shared" si="32"/>
        <v>#N/A</v>
      </c>
      <c r="EI40" t="e">
        <f t="shared" si="32"/>
        <v>#N/A</v>
      </c>
      <c r="EJ40" t="e">
        <f t="shared" si="32"/>
        <v>#N/A</v>
      </c>
      <c r="EK40" t="e">
        <f t="shared" si="32"/>
        <v>#N/A</v>
      </c>
      <c r="EL40" t="e">
        <f t="shared" si="32"/>
        <v>#N/A</v>
      </c>
      <c r="EM40" t="e">
        <f t="shared" si="32"/>
        <v>#N/A</v>
      </c>
    </row>
    <row r="41" spans="1:143" x14ac:dyDescent="0.4">
      <c r="A41" t="str">
        <f t="shared" si="16"/>
        <v/>
      </c>
      <c r="B41">
        <v>38</v>
      </c>
      <c r="C41" t="str" cm="1">
        <f t="array" ref="C41">INDEX(auto_Series_Code,B41)</f>
        <v>INDI_016</v>
      </c>
      <c r="D41">
        <f t="shared" si="17"/>
        <v>2221</v>
      </c>
      <c r="E41">
        <f t="shared" si="17"/>
        <v>2222</v>
      </c>
      <c r="F41">
        <f t="shared" si="17"/>
        <v>2223</v>
      </c>
      <c r="G41">
        <f t="shared" si="17"/>
        <v>2224</v>
      </c>
      <c r="H41">
        <f t="shared" si="17"/>
        <v>2225</v>
      </c>
      <c r="I41">
        <f t="shared" si="17"/>
        <v>2226</v>
      </c>
      <c r="J41">
        <f t="shared" si="17"/>
        <v>2227</v>
      </c>
      <c r="K41">
        <f t="shared" si="17"/>
        <v>2228</v>
      </c>
      <c r="L41">
        <f t="shared" si="17"/>
        <v>2229</v>
      </c>
      <c r="M41">
        <f t="shared" si="17"/>
        <v>2230</v>
      </c>
      <c r="N41">
        <f t="shared" si="18"/>
        <v>2231</v>
      </c>
      <c r="O41">
        <f t="shared" si="18"/>
        <v>2232</v>
      </c>
      <c r="P41">
        <f t="shared" si="18"/>
        <v>2233</v>
      </c>
      <c r="Q41">
        <f t="shared" si="18"/>
        <v>2234</v>
      </c>
      <c r="R41">
        <f t="shared" si="18"/>
        <v>2235</v>
      </c>
      <c r="S41">
        <f t="shared" si="18"/>
        <v>2236</v>
      </c>
      <c r="T41">
        <f t="shared" si="18"/>
        <v>2237</v>
      </c>
      <c r="U41">
        <f t="shared" si="18"/>
        <v>2238</v>
      </c>
      <c r="V41">
        <f t="shared" si="18"/>
        <v>2239</v>
      </c>
      <c r="W41">
        <f t="shared" si="18"/>
        <v>2240</v>
      </c>
      <c r="X41">
        <f t="shared" si="19"/>
        <v>2241</v>
      </c>
      <c r="Y41">
        <f t="shared" si="19"/>
        <v>2242</v>
      </c>
      <c r="Z41">
        <f t="shared" si="19"/>
        <v>2243</v>
      </c>
      <c r="AA41">
        <f t="shared" si="19"/>
        <v>2244</v>
      </c>
      <c r="AB41">
        <f t="shared" si="19"/>
        <v>2245</v>
      </c>
      <c r="AC41">
        <f t="shared" si="19"/>
        <v>2246</v>
      </c>
      <c r="AD41">
        <f t="shared" si="19"/>
        <v>2247</v>
      </c>
      <c r="AE41">
        <f t="shared" si="19"/>
        <v>2248</v>
      </c>
      <c r="AF41">
        <f t="shared" si="19"/>
        <v>2249</v>
      </c>
      <c r="AG41">
        <f t="shared" si="19"/>
        <v>2250</v>
      </c>
      <c r="AH41">
        <f t="shared" si="20"/>
        <v>2251</v>
      </c>
      <c r="AI41">
        <f t="shared" si="20"/>
        <v>2252</v>
      </c>
      <c r="AJ41">
        <f t="shared" si="20"/>
        <v>2253</v>
      </c>
      <c r="AK41">
        <f t="shared" si="20"/>
        <v>2254</v>
      </c>
      <c r="AL41">
        <f t="shared" si="20"/>
        <v>2255</v>
      </c>
      <c r="AM41">
        <f t="shared" si="20"/>
        <v>2256</v>
      </c>
      <c r="AN41">
        <f t="shared" si="20"/>
        <v>2257</v>
      </c>
      <c r="AO41">
        <f t="shared" si="20"/>
        <v>2258</v>
      </c>
      <c r="AP41">
        <f t="shared" si="20"/>
        <v>2259</v>
      </c>
      <c r="AQ41">
        <f t="shared" si="20"/>
        <v>2260</v>
      </c>
      <c r="AR41">
        <f t="shared" si="21"/>
        <v>2261</v>
      </c>
      <c r="AS41">
        <f t="shared" si="21"/>
        <v>2262</v>
      </c>
      <c r="AT41">
        <f t="shared" si="21"/>
        <v>2263</v>
      </c>
      <c r="AU41">
        <f t="shared" si="21"/>
        <v>2264</v>
      </c>
      <c r="AV41">
        <f t="shared" si="21"/>
        <v>2265</v>
      </c>
      <c r="AW41">
        <f t="shared" si="21"/>
        <v>2266</v>
      </c>
      <c r="AX41">
        <f t="shared" si="21"/>
        <v>2267</v>
      </c>
      <c r="AY41">
        <f t="shared" si="21"/>
        <v>2268</v>
      </c>
      <c r="AZ41">
        <f t="shared" si="21"/>
        <v>2269</v>
      </c>
      <c r="BA41">
        <f t="shared" si="21"/>
        <v>2270</v>
      </c>
      <c r="BB41" t="e">
        <f t="shared" si="22"/>
        <v>#N/A</v>
      </c>
      <c r="BC41" t="e">
        <f t="shared" si="22"/>
        <v>#N/A</v>
      </c>
      <c r="BD41" t="e">
        <f t="shared" si="22"/>
        <v>#N/A</v>
      </c>
      <c r="BE41" t="e">
        <f t="shared" si="22"/>
        <v>#N/A</v>
      </c>
      <c r="BF41" t="e">
        <f t="shared" si="22"/>
        <v>#N/A</v>
      </c>
      <c r="BG41" t="e">
        <f t="shared" si="22"/>
        <v>#N/A</v>
      </c>
      <c r="BH41" t="e">
        <f t="shared" si="22"/>
        <v>#N/A</v>
      </c>
      <c r="BI41" t="e">
        <f t="shared" si="22"/>
        <v>#N/A</v>
      </c>
      <c r="BJ41" t="e">
        <f t="shared" si="22"/>
        <v>#N/A</v>
      </c>
      <c r="BK41" t="e">
        <f t="shared" si="22"/>
        <v>#N/A</v>
      </c>
      <c r="BL41" t="e">
        <f t="shared" si="23"/>
        <v>#N/A</v>
      </c>
      <c r="BM41" t="e">
        <f t="shared" si="23"/>
        <v>#N/A</v>
      </c>
      <c r="BN41" t="e">
        <f t="shared" si="23"/>
        <v>#N/A</v>
      </c>
      <c r="BO41" t="e">
        <f t="shared" si="23"/>
        <v>#N/A</v>
      </c>
      <c r="BP41" t="e">
        <f t="shared" si="23"/>
        <v>#N/A</v>
      </c>
      <c r="BQ41" t="e">
        <f t="shared" si="23"/>
        <v>#N/A</v>
      </c>
      <c r="BR41" t="e">
        <f t="shared" si="23"/>
        <v>#N/A</v>
      </c>
      <c r="BS41" t="e">
        <f t="shared" si="23"/>
        <v>#N/A</v>
      </c>
      <c r="BT41" t="e">
        <f t="shared" si="23"/>
        <v>#N/A</v>
      </c>
      <c r="BU41" t="e">
        <f t="shared" si="23"/>
        <v>#N/A</v>
      </c>
      <c r="BV41" t="e">
        <f t="shared" si="24"/>
        <v>#N/A</v>
      </c>
      <c r="BW41" t="e">
        <f t="shared" si="24"/>
        <v>#N/A</v>
      </c>
      <c r="BX41" t="e">
        <f t="shared" si="24"/>
        <v>#N/A</v>
      </c>
      <c r="BY41" t="e">
        <f t="shared" si="24"/>
        <v>#N/A</v>
      </c>
      <c r="BZ41" t="e">
        <f t="shared" si="24"/>
        <v>#N/A</v>
      </c>
      <c r="CA41" t="e">
        <f t="shared" si="24"/>
        <v>#N/A</v>
      </c>
      <c r="CB41" t="e">
        <f t="shared" si="24"/>
        <v>#N/A</v>
      </c>
      <c r="CC41" t="e">
        <f t="shared" si="24"/>
        <v>#N/A</v>
      </c>
      <c r="CD41" t="e">
        <f t="shared" si="24"/>
        <v>#N/A</v>
      </c>
      <c r="CE41" t="e">
        <f t="shared" si="24"/>
        <v>#N/A</v>
      </c>
      <c r="CF41" t="e">
        <f t="shared" si="25"/>
        <v>#N/A</v>
      </c>
      <c r="CG41" t="e">
        <f t="shared" si="25"/>
        <v>#N/A</v>
      </c>
      <c r="CH41" t="e">
        <f t="shared" si="25"/>
        <v>#N/A</v>
      </c>
      <c r="CI41" t="e">
        <f t="shared" si="25"/>
        <v>#N/A</v>
      </c>
      <c r="CJ41" t="e">
        <f t="shared" si="25"/>
        <v>#N/A</v>
      </c>
      <c r="CK41" t="e">
        <f t="shared" si="25"/>
        <v>#N/A</v>
      </c>
      <c r="CL41" t="e">
        <f t="shared" si="25"/>
        <v>#N/A</v>
      </c>
      <c r="CM41" t="e">
        <f t="shared" si="25"/>
        <v>#N/A</v>
      </c>
      <c r="CN41" t="e">
        <f t="shared" si="25"/>
        <v>#N/A</v>
      </c>
      <c r="CO41" t="e">
        <f t="shared" si="25"/>
        <v>#N/A</v>
      </c>
      <c r="CP41" t="e">
        <f t="shared" si="26"/>
        <v>#N/A</v>
      </c>
      <c r="CQ41" t="e">
        <f t="shared" si="26"/>
        <v>#N/A</v>
      </c>
      <c r="CR41" t="e">
        <f t="shared" si="26"/>
        <v>#N/A</v>
      </c>
      <c r="CS41" t="e">
        <f t="shared" si="26"/>
        <v>#N/A</v>
      </c>
      <c r="CT41" t="e">
        <f t="shared" si="26"/>
        <v>#N/A</v>
      </c>
      <c r="CU41" t="e">
        <f t="shared" si="26"/>
        <v>#N/A</v>
      </c>
      <c r="CV41" t="e">
        <f t="shared" si="26"/>
        <v>#N/A</v>
      </c>
      <c r="CW41" t="e">
        <f t="shared" si="26"/>
        <v>#N/A</v>
      </c>
      <c r="CX41" t="e">
        <f t="shared" si="26"/>
        <v>#N/A</v>
      </c>
      <c r="CY41" t="e">
        <f t="shared" si="26"/>
        <v>#N/A</v>
      </c>
      <c r="CZ41" t="e">
        <f t="shared" si="27"/>
        <v>#N/A</v>
      </c>
      <c r="DA41" t="e">
        <f t="shared" si="27"/>
        <v>#N/A</v>
      </c>
      <c r="DB41" t="e">
        <f t="shared" si="27"/>
        <v>#N/A</v>
      </c>
      <c r="DC41" t="e">
        <f t="shared" si="27"/>
        <v>#N/A</v>
      </c>
      <c r="DD41" t="e">
        <f t="shared" si="27"/>
        <v>#N/A</v>
      </c>
      <c r="DE41" t="e">
        <f t="shared" si="27"/>
        <v>#N/A</v>
      </c>
      <c r="DF41" t="e">
        <f t="shared" si="27"/>
        <v>#N/A</v>
      </c>
      <c r="DG41" t="e">
        <f t="shared" si="27"/>
        <v>#N/A</v>
      </c>
      <c r="DH41" t="e">
        <f t="shared" si="27"/>
        <v>#N/A</v>
      </c>
      <c r="DI41" t="e">
        <f t="shared" si="27"/>
        <v>#N/A</v>
      </c>
      <c r="DJ41" t="e">
        <f t="shared" si="27"/>
        <v>#N/A</v>
      </c>
      <c r="DK41" t="e">
        <f t="shared" si="27"/>
        <v>#N/A</v>
      </c>
      <c r="DL41" t="e">
        <f t="shared" si="27"/>
        <v>#N/A</v>
      </c>
      <c r="DM41" t="e">
        <f t="shared" si="27"/>
        <v>#N/A</v>
      </c>
      <c r="DN41" t="e">
        <f t="shared" si="27"/>
        <v>#N/A</v>
      </c>
      <c r="DO41" t="e">
        <f t="shared" si="27"/>
        <v>#N/A</v>
      </c>
      <c r="DP41" t="e">
        <f t="shared" si="31"/>
        <v>#N/A</v>
      </c>
      <c r="DQ41" t="e">
        <f t="shared" si="31"/>
        <v>#N/A</v>
      </c>
      <c r="DR41" t="e">
        <f t="shared" si="31"/>
        <v>#N/A</v>
      </c>
      <c r="DS41" t="e">
        <f t="shared" si="31"/>
        <v>#N/A</v>
      </c>
      <c r="DT41">
        <f t="shared" si="31"/>
        <v>2271</v>
      </c>
      <c r="DU41">
        <f t="shared" si="31"/>
        <v>2272</v>
      </c>
      <c r="DV41">
        <f t="shared" si="31"/>
        <v>2273</v>
      </c>
      <c r="DW41">
        <f t="shared" si="31"/>
        <v>2274</v>
      </c>
      <c r="DX41">
        <f t="shared" si="31"/>
        <v>2275</v>
      </c>
      <c r="DY41">
        <f t="shared" si="31"/>
        <v>2276</v>
      </c>
      <c r="DZ41">
        <f t="shared" si="29"/>
        <v>2277</v>
      </c>
      <c r="EA41">
        <f t="shared" si="29"/>
        <v>2278</v>
      </c>
      <c r="EB41">
        <f t="shared" si="29"/>
        <v>2279</v>
      </c>
      <c r="EC41">
        <f t="shared" si="32"/>
        <v>2280</v>
      </c>
      <c r="ED41" t="e">
        <f t="shared" si="32"/>
        <v>#N/A</v>
      </c>
      <c r="EE41" t="e">
        <f t="shared" si="32"/>
        <v>#N/A</v>
      </c>
      <c r="EF41" t="e">
        <f t="shared" si="32"/>
        <v>#N/A</v>
      </c>
      <c r="EG41" t="e">
        <f t="shared" si="32"/>
        <v>#N/A</v>
      </c>
      <c r="EH41" t="e">
        <f t="shared" si="32"/>
        <v>#N/A</v>
      </c>
      <c r="EI41" t="e">
        <f t="shared" si="32"/>
        <v>#N/A</v>
      </c>
      <c r="EJ41" t="e">
        <f t="shared" si="32"/>
        <v>#N/A</v>
      </c>
      <c r="EK41" t="e">
        <f t="shared" si="32"/>
        <v>#N/A</v>
      </c>
      <c r="EL41" t="e">
        <f t="shared" si="32"/>
        <v>#N/A</v>
      </c>
      <c r="EM41" t="e">
        <f t="shared" si="32"/>
        <v>#N/A</v>
      </c>
    </row>
    <row r="42" spans="1:143" x14ac:dyDescent="0.4">
      <c r="A42" t="str">
        <f t="shared" si="16"/>
        <v/>
      </c>
      <c r="B42">
        <v>39</v>
      </c>
      <c r="C42" t="str" cm="1">
        <f t="array" ref="C42">INDEX(auto_Series_Code,B42)</f>
        <v>SUBINDI_019</v>
      </c>
      <c r="D42">
        <f t="shared" si="3"/>
        <v>2281</v>
      </c>
      <c r="E42">
        <f t="shared" si="3"/>
        <v>2282</v>
      </c>
      <c r="F42">
        <f t="shared" si="3"/>
        <v>2283</v>
      </c>
      <c r="G42">
        <f t="shared" si="3"/>
        <v>2284</v>
      </c>
      <c r="H42">
        <f t="shared" si="3"/>
        <v>2285</v>
      </c>
      <c r="I42">
        <f t="shared" si="3"/>
        <v>2286</v>
      </c>
      <c r="J42">
        <f t="shared" si="3"/>
        <v>2287</v>
      </c>
      <c r="K42">
        <f t="shared" si="3"/>
        <v>2288</v>
      </c>
      <c r="L42">
        <f t="shared" si="3"/>
        <v>2289</v>
      </c>
      <c r="M42">
        <f t="shared" si="3"/>
        <v>2290</v>
      </c>
      <c r="N42">
        <f t="shared" si="4"/>
        <v>2291</v>
      </c>
      <c r="O42">
        <f t="shared" si="4"/>
        <v>2292</v>
      </c>
      <c r="P42">
        <f t="shared" si="4"/>
        <v>2293</v>
      </c>
      <c r="Q42">
        <f t="shared" si="4"/>
        <v>2294</v>
      </c>
      <c r="R42">
        <f t="shared" si="4"/>
        <v>2295</v>
      </c>
      <c r="S42">
        <f t="shared" si="4"/>
        <v>2296</v>
      </c>
      <c r="T42">
        <f t="shared" si="4"/>
        <v>2297</v>
      </c>
      <c r="U42">
        <f t="shared" si="4"/>
        <v>2298</v>
      </c>
      <c r="V42">
        <f t="shared" si="4"/>
        <v>2299</v>
      </c>
      <c r="W42">
        <f t="shared" si="4"/>
        <v>2300</v>
      </c>
      <c r="X42">
        <f t="shared" si="5"/>
        <v>2301</v>
      </c>
      <c r="Y42">
        <f t="shared" si="5"/>
        <v>2302</v>
      </c>
      <c r="Z42">
        <f t="shared" si="5"/>
        <v>2303</v>
      </c>
      <c r="AA42">
        <f t="shared" si="5"/>
        <v>2304</v>
      </c>
      <c r="AB42">
        <f t="shared" si="5"/>
        <v>2305</v>
      </c>
      <c r="AC42">
        <f t="shared" si="5"/>
        <v>2306</v>
      </c>
      <c r="AD42">
        <f t="shared" si="5"/>
        <v>2307</v>
      </c>
      <c r="AE42">
        <f t="shared" si="5"/>
        <v>2308</v>
      </c>
      <c r="AF42">
        <f t="shared" si="5"/>
        <v>2309</v>
      </c>
      <c r="AG42">
        <f t="shared" si="5"/>
        <v>2310</v>
      </c>
      <c r="AH42">
        <f t="shared" si="6"/>
        <v>2311</v>
      </c>
      <c r="AI42">
        <f t="shared" si="6"/>
        <v>2312</v>
      </c>
      <c r="AJ42">
        <f t="shared" si="6"/>
        <v>2313</v>
      </c>
      <c r="AK42">
        <f t="shared" si="6"/>
        <v>2314</v>
      </c>
      <c r="AL42">
        <f t="shared" si="6"/>
        <v>2315</v>
      </c>
      <c r="AM42">
        <f t="shared" si="6"/>
        <v>2316</v>
      </c>
      <c r="AN42">
        <f t="shared" si="6"/>
        <v>2317</v>
      </c>
      <c r="AO42">
        <f t="shared" si="6"/>
        <v>2318</v>
      </c>
      <c r="AP42">
        <f t="shared" si="6"/>
        <v>2319</v>
      </c>
      <c r="AQ42">
        <f t="shared" si="6"/>
        <v>2320</v>
      </c>
      <c r="AR42">
        <f t="shared" si="7"/>
        <v>2321</v>
      </c>
      <c r="AS42">
        <f t="shared" si="7"/>
        <v>2322</v>
      </c>
      <c r="AT42">
        <f t="shared" si="7"/>
        <v>2323</v>
      </c>
      <c r="AU42">
        <f t="shared" si="7"/>
        <v>2324</v>
      </c>
      <c r="AV42">
        <f t="shared" si="7"/>
        <v>2325</v>
      </c>
      <c r="AW42">
        <f t="shared" si="7"/>
        <v>2326</v>
      </c>
      <c r="AX42">
        <f t="shared" si="7"/>
        <v>2327</v>
      </c>
      <c r="AY42">
        <f t="shared" si="7"/>
        <v>2328</v>
      </c>
      <c r="AZ42">
        <f t="shared" si="7"/>
        <v>2329</v>
      </c>
      <c r="BA42">
        <f t="shared" si="7"/>
        <v>2330</v>
      </c>
      <c r="BB42" t="e">
        <f t="shared" si="8"/>
        <v>#N/A</v>
      </c>
      <c r="BC42" t="e">
        <f t="shared" si="8"/>
        <v>#N/A</v>
      </c>
      <c r="BD42" t="e">
        <f t="shared" si="8"/>
        <v>#N/A</v>
      </c>
      <c r="BE42" t="e">
        <f t="shared" si="8"/>
        <v>#N/A</v>
      </c>
      <c r="BF42" t="e">
        <f t="shared" si="8"/>
        <v>#N/A</v>
      </c>
      <c r="BG42" t="e">
        <f t="shared" si="8"/>
        <v>#N/A</v>
      </c>
      <c r="BH42" t="e">
        <f t="shared" si="8"/>
        <v>#N/A</v>
      </c>
      <c r="BI42" t="e">
        <f t="shared" si="8"/>
        <v>#N/A</v>
      </c>
      <c r="BJ42" t="e">
        <f t="shared" si="8"/>
        <v>#N/A</v>
      </c>
      <c r="BK42" t="e">
        <f t="shared" si="8"/>
        <v>#N/A</v>
      </c>
      <c r="BL42" t="e">
        <f t="shared" si="9"/>
        <v>#N/A</v>
      </c>
      <c r="BM42" t="e">
        <f t="shared" si="9"/>
        <v>#N/A</v>
      </c>
      <c r="BN42" t="e">
        <f t="shared" si="9"/>
        <v>#N/A</v>
      </c>
      <c r="BO42" t="e">
        <f t="shared" si="9"/>
        <v>#N/A</v>
      </c>
      <c r="BP42" t="e">
        <f t="shared" si="9"/>
        <v>#N/A</v>
      </c>
      <c r="BQ42" t="e">
        <f t="shared" si="9"/>
        <v>#N/A</v>
      </c>
      <c r="BR42" t="e">
        <f t="shared" si="9"/>
        <v>#N/A</v>
      </c>
      <c r="BS42" t="e">
        <f t="shared" si="9"/>
        <v>#N/A</v>
      </c>
      <c r="BT42" t="e">
        <f t="shared" si="9"/>
        <v>#N/A</v>
      </c>
      <c r="BU42" t="e">
        <f t="shared" si="9"/>
        <v>#N/A</v>
      </c>
      <c r="BV42" t="e">
        <f t="shared" si="10"/>
        <v>#N/A</v>
      </c>
      <c r="BW42" t="e">
        <f t="shared" si="10"/>
        <v>#N/A</v>
      </c>
      <c r="BX42" t="e">
        <f t="shared" si="10"/>
        <v>#N/A</v>
      </c>
      <c r="BY42" t="e">
        <f t="shared" si="10"/>
        <v>#N/A</v>
      </c>
      <c r="BZ42" t="e">
        <f t="shared" si="10"/>
        <v>#N/A</v>
      </c>
      <c r="CA42" t="e">
        <f t="shared" si="10"/>
        <v>#N/A</v>
      </c>
      <c r="CB42" t="e">
        <f t="shared" si="10"/>
        <v>#N/A</v>
      </c>
      <c r="CC42" t="e">
        <f t="shared" si="10"/>
        <v>#N/A</v>
      </c>
      <c r="CD42" t="e">
        <f t="shared" si="10"/>
        <v>#N/A</v>
      </c>
      <c r="CE42" t="e">
        <f t="shared" si="10"/>
        <v>#N/A</v>
      </c>
      <c r="CF42" t="e">
        <f t="shared" si="11"/>
        <v>#N/A</v>
      </c>
      <c r="CG42" t="e">
        <f t="shared" si="11"/>
        <v>#N/A</v>
      </c>
      <c r="CH42" t="e">
        <f t="shared" si="11"/>
        <v>#N/A</v>
      </c>
      <c r="CI42" t="e">
        <f t="shared" si="11"/>
        <v>#N/A</v>
      </c>
      <c r="CJ42" t="e">
        <f t="shared" si="11"/>
        <v>#N/A</v>
      </c>
      <c r="CK42" t="e">
        <f t="shared" si="11"/>
        <v>#N/A</v>
      </c>
      <c r="CL42" t="e">
        <f t="shared" si="11"/>
        <v>#N/A</v>
      </c>
      <c r="CM42" t="e">
        <f t="shared" si="11"/>
        <v>#N/A</v>
      </c>
      <c r="CN42" t="e">
        <f t="shared" si="11"/>
        <v>#N/A</v>
      </c>
      <c r="CO42" t="e">
        <f t="shared" si="11"/>
        <v>#N/A</v>
      </c>
      <c r="CP42" t="e">
        <f t="shared" si="12"/>
        <v>#N/A</v>
      </c>
      <c r="CQ42" t="e">
        <f t="shared" si="12"/>
        <v>#N/A</v>
      </c>
      <c r="CR42" t="e">
        <f t="shared" si="12"/>
        <v>#N/A</v>
      </c>
      <c r="CS42" t="e">
        <f t="shared" si="12"/>
        <v>#N/A</v>
      </c>
      <c r="CT42" t="e">
        <f t="shared" si="12"/>
        <v>#N/A</v>
      </c>
      <c r="CU42" t="e">
        <f t="shared" si="12"/>
        <v>#N/A</v>
      </c>
      <c r="CV42" t="e">
        <f t="shared" si="12"/>
        <v>#N/A</v>
      </c>
      <c r="CW42" t="e">
        <f t="shared" si="12"/>
        <v>#N/A</v>
      </c>
      <c r="CX42" t="e">
        <f t="shared" si="12"/>
        <v>#N/A</v>
      </c>
      <c r="CY42" t="e">
        <f t="shared" si="12"/>
        <v>#N/A</v>
      </c>
      <c r="CZ42" t="e">
        <f t="shared" si="13"/>
        <v>#N/A</v>
      </c>
      <c r="DA42" t="e">
        <f t="shared" si="13"/>
        <v>#N/A</v>
      </c>
      <c r="DB42" t="e">
        <f t="shared" si="13"/>
        <v>#N/A</v>
      </c>
      <c r="DC42" t="e">
        <f t="shared" si="13"/>
        <v>#N/A</v>
      </c>
      <c r="DD42" t="e">
        <f t="shared" si="13"/>
        <v>#N/A</v>
      </c>
      <c r="DE42" t="e">
        <f t="shared" si="13"/>
        <v>#N/A</v>
      </c>
      <c r="DF42" t="e">
        <f t="shared" si="13"/>
        <v>#N/A</v>
      </c>
      <c r="DG42" t="e">
        <f t="shared" si="13"/>
        <v>#N/A</v>
      </c>
      <c r="DH42" t="e">
        <f t="shared" si="13"/>
        <v>#N/A</v>
      </c>
      <c r="DI42" t="e">
        <f t="shared" si="13"/>
        <v>#N/A</v>
      </c>
      <c r="DJ42" t="e">
        <f t="shared" si="13"/>
        <v>#N/A</v>
      </c>
      <c r="DK42" t="e">
        <f t="shared" si="13"/>
        <v>#N/A</v>
      </c>
      <c r="DL42" t="e">
        <f t="shared" si="13"/>
        <v>#N/A</v>
      </c>
      <c r="DM42" t="e">
        <f t="shared" si="13"/>
        <v>#N/A</v>
      </c>
      <c r="DN42" t="e">
        <f t="shared" si="13"/>
        <v>#N/A</v>
      </c>
      <c r="DO42" t="e">
        <f t="shared" si="13"/>
        <v>#N/A</v>
      </c>
      <c r="DP42" t="e">
        <f t="shared" si="31"/>
        <v>#N/A</v>
      </c>
      <c r="DQ42" t="e">
        <f t="shared" si="31"/>
        <v>#N/A</v>
      </c>
      <c r="DR42" t="e">
        <f t="shared" si="31"/>
        <v>#N/A</v>
      </c>
      <c r="DS42" t="e">
        <f t="shared" si="31"/>
        <v>#N/A</v>
      </c>
      <c r="DT42">
        <f t="shared" si="31"/>
        <v>2331</v>
      </c>
      <c r="DU42">
        <f t="shared" si="31"/>
        <v>2332</v>
      </c>
      <c r="DV42">
        <f t="shared" si="31"/>
        <v>2333</v>
      </c>
      <c r="DW42">
        <f t="shared" si="31"/>
        <v>2334</v>
      </c>
      <c r="DX42">
        <f t="shared" si="31"/>
        <v>2335</v>
      </c>
      <c r="DY42">
        <f t="shared" si="31"/>
        <v>2336</v>
      </c>
      <c r="DZ42">
        <f t="shared" si="31"/>
        <v>2337</v>
      </c>
      <c r="EA42">
        <f t="shared" si="31"/>
        <v>2338</v>
      </c>
      <c r="EB42">
        <f t="shared" si="31"/>
        <v>2339</v>
      </c>
      <c r="EC42">
        <f t="shared" si="31"/>
        <v>2340</v>
      </c>
      <c r="ED42" t="e">
        <f t="shared" si="31"/>
        <v>#N/A</v>
      </c>
      <c r="EE42" t="e">
        <f t="shared" si="31"/>
        <v>#N/A</v>
      </c>
      <c r="EF42" t="e">
        <f t="shared" si="32"/>
        <v>#N/A</v>
      </c>
      <c r="EG42" t="e">
        <f t="shared" si="32"/>
        <v>#N/A</v>
      </c>
      <c r="EH42" t="e">
        <f t="shared" si="32"/>
        <v>#N/A</v>
      </c>
      <c r="EI42" t="e">
        <f t="shared" si="32"/>
        <v>#N/A</v>
      </c>
      <c r="EJ42" t="e">
        <f t="shared" si="32"/>
        <v>#N/A</v>
      </c>
      <c r="EK42" t="e">
        <f t="shared" si="32"/>
        <v>#N/A</v>
      </c>
      <c r="EL42" t="e">
        <f t="shared" si="32"/>
        <v>#N/A</v>
      </c>
      <c r="EM42" t="e">
        <f t="shared" si="32"/>
        <v>#N/A</v>
      </c>
    </row>
    <row r="43" spans="1:143" x14ac:dyDescent="0.4">
      <c r="A43" t="str">
        <f t="shared" si="16"/>
        <v/>
      </c>
      <c r="B43">
        <v>40</v>
      </c>
      <c r="C43" t="str" cm="1">
        <f t="array" ref="C43">INDEX(auto_Series_Code,B43)</f>
        <v>SUBINDI_020</v>
      </c>
      <c r="D43">
        <f t="shared" si="17"/>
        <v>2341</v>
      </c>
      <c r="E43">
        <f t="shared" si="17"/>
        <v>2342</v>
      </c>
      <c r="F43">
        <f t="shared" si="17"/>
        <v>2343</v>
      </c>
      <c r="G43">
        <f t="shared" si="17"/>
        <v>2344</v>
      </c>
      <c r="H43">
        <f t="shared" si="17"/>
        <v>2345</v>
      </c>
      <c r="I43">
        <f t="shared" si="17"/>
        <v>2346</v>
      </c>
      <c r="J43">
        <f t="shared" si="17"/>
        <v>2347</v>
      </c>
      <c r="K43">
        <f t="shared" si="17"/>
        <v>2348</v>
      </c>
      <c r="L43">
        <f t="shared" si="17"/>
        <v>2349</v>
      </c>
      <c r="M43">
        <f t="shared" si="17"/>
        <v>2350</v>
      </c>
      <c r="N43">
        <f t="shared" si="18"/>
        <v>2351</v>
      </c>
      <c r="O43">
        <f t="shared" si="18"/>
        <v>2352</v>
      </c>
      <c r="P43">
        <f t="shared" si="18"/>
        <v>2353</v>
      </c>
      <c r="Q43">
        <f t="shared" si="18"/>
        <v>2354</v>
      </c>
      <c r="R43">
        <f t="shared" si="18"/>
        <v>2355</v>
      </c>
      <c r="S43">
        <f t="shared" si="18"/>
        <v>2356</v>
      </c>
      <c r="T43">
        <f t="shared" si="18"/>
        <v>2357</v>
      </c>
      <c r="U43">
        <f t="shared" si="18"/>
        <v>2358</v>
      </c>
      <c r="V43">
        <f t="shared" si="18"/>
        <v>2359</v>
      </c>
      <c r="W43">
        <f t="shared" si="18"/>
        <v>2360</v>
      </c>
      <c r="X43">
        <f t="shared" si="19"/>
        <v>2361</v>
      </c>
      <c r="Y43">
        <f t="shared" si="19"/>
        <v>2362</v>
      </c>
      <c r="Z43">
        <f t="shared" si="19"/>
        <v>2363</v>
      </c>
      <c r="AA43">
        <f t="shared" si="19"/>
        <v>2364</v>
      </c>
      <c r="AB43">
        <f t="shared" si="19"/>
        <v>2365</v>
      </c>
      <c r="AC43">
        <f t="shared" si="19"/>
        <v>2366</v>
      </c>
      <c r="AD43">
        <f t="shared" si="19"/>
        <v>2367</v>
      </c>
      <c r="AE43">
        <f t="shared" si="19"/>
        <v>2368</v>
      </c>
      <c r="AF43">
        <f t="shared" si="19"/>
        <v>2369</v>
      </c>
      <c r="AG43">
        <f t="shared" si="19"/>
        <v>2370</v>
      </c>
      <c r="AH43">
        <f t="shared" si="20"/>
        <v>2371</v>
      </c>
      <c r="AI43">
        <f t="shared" si="20"/>
        <v>2372</v>
      </c>
      <c r="AJ43">
        <f t="shared" si="20"/>
        <v>2373</v>
      </c>
      <c r="AK43">
        <f t="shared" si="20"/>
        <v>2374</v>
      </c>
      <c r="AL43">
        <f t="shared" si="20"/>
        <v>2375</v>
      </c>
      <c r="AM43">
        <f t="shared" si="20"/>
        <v>2376</v>
      </c>
      <c r="AN43">
        <f t="shared" si="20"/>
        <v>2377</v>
      </c>
      <c r="AO43">
        <f t="shared" si="20"/>
        <v>2378</v>
      </c>
      <c r="AP43">
        <f t="shared" si="20"/>
        <v>2379</v>
      </c>
      <c r="AQ43">
        <f t="shared" si="20"/>
        <v>2380</v>
      </c>
      <c r="AR43">
        <f t="shared" si="21"/>
        <v>2381</v>
      </c>
      <c r="AS43">
        <f t="shared" si="21"/>
        <v>2382</v>
      </c>
      <c r="AT43">
        <f t="shared" si="21"/>
        <v>2383</v>
      </c>
      <c r="AU43">
        <f t="shared" si="21"/>
        <v>2384</v>
      </c>
      <c r="AV43">
        <f t="shared" si="21"/>
        <v>2385</v>
      </c>
      <c r="AW43">
        <f t="shared" si="21"/>
        <v>2386</v>
      </c>
      <c r="AX43">
        <f t="shared" si="21"/>
        <v>2387</v>
      </c>
      <c r="AY43">
        <f t="shared" si="21"/>
        <v>2388</v>
      </c>
      <c r="AZ43">
        <f t="shared" si="21"/>
        <v>2389</v>
      </c>
      <c r="BA43">
        <f t="shared" si="21"/>
        <v>2390</v>
      </c>
      <c r="BB43" t="e">
        <f t="shared" si="22"/>
        <v>#N/A</v>
      </c>
      <c r="BC43" t="e">
        <f t="shared" si="22"/>
        <v>#N/A</v>
      </c>
      <c r="BD43" t="e">
        <f t="shared" si="22"/>
        <v>#N/A</v>
      </c>
      <c r="BE43" t="e">
        <f t="shared" si="22"/>
        <v>#N/A</v>
      </c>
      <c r="BF43" t="e">
        <f t="shared" si="22"/>
        <v>#N/A</v>
      </c>
      <c r="BG43" t="e">
        <f t="shared" si="22"/>
        <v>#N/A</v>
      </c>
      <c r="BH43" t="e">
        <f t="shared" si="22"/>
        <v>#N/A</v>
      </c>
      <c r="BI43" t="e">
        <f t="shared" si="22"/>
        <v>#N/A</v>
      </c>
      <c r="BJ43" t="e">
        <f t="shared" si="22"/>
        <v>#N/A</v>
      </c>
      <c r="BK43" t="e">
        <f t="shared" si="22"/>
        <v>#N/A</v>
      </c>
      <c r="BL43" t="e">
        <f t="shared" si="23"/>
        <v>#N/A</v>
      </c>
      <c r="BM43" t="e">
        <f t="shared" si="23"/>
        <v>#N/A</v>
      </c>
      <c r="BN43" t="e">
        <f t="shared" si="23"/>
        <v>#N/A</v>
      </c>
      <c r="BO43" t="e">
        <f t="shared" si="23"/>
        <v>#N/A</v>
      </c>
      <c r="BP43" t="e">
        <f t="shared" si="23"/>
        <v>#N/A</v>
      </c>
      <c r="BQ43" t="e">
        <f t="shared" si="23"/>
        <v>#N/A</v>
      </c>
      <c r="BR43" t="e">
        <f t="shared" si="23"/>
        <v>#N/A</v>
      </c>
      <c r="BS43" t="e">
        <f t="shared" si="23"/>
        <v>#N/A</v>
      </c>
      <c r="BT43" t="e">
        <f t="shared" si="23"/>
        <v>#N/A</v>
      </c>
      <c r="BU43" t="e">
        <f t="shared" si="23"/>
        <v>#N/A</v>
      </c>
      <c r="BV43" t="e">
        <f t="shared" si="24"/>
        <v>#N/A</v>
      </c>
      <c r="BW43" t="e">
        <f t="shared" si="24"/>
        <v>#N/A</v>
      </c>
      <c r="BX43" t="e">
        <f t="shared" si="24"/>
        <v>#N/A</v>
      </c>
      <c r="BY43" t="e">
        <f t="shared" si="24"/>
        <v>#N/A</v>
      </c>
      <c r="BZ43" t="e">
        <f t="shared" si="24"/>
        <v>#N/A</v>
      </c>
      <c r="CA43" t="e">
        <f t="shared" si="24"/>
        <v>#N/A</v>
      </c>
      <c r="CB43" t="e">
        <f t="shared" si="24"/>
        <v>#N/A</v>
      </c>
      <c r="CC43" t="e">
        <f t="shared" si="24"/>
        <v>#N/A</v>
      </c>
      <c r="CD43" t="e">
        <f t="shared" si="24"/>
        <v>#N/A</v>
      </c>
      <c r="CE43" t="e">
        <f t="shared" si="24"/>
        <v>#N/A</v>
      </c>
      <c r="CF43" t="e">
        <f t="shared" si="25"/>
        <v>#N/A</v>
      </c>
      <c r="CG43" t="e">
        <f t="shared" si="25"/>
        <v>#N/A</v>
      </c>
      <c r="CH43" t="e">
        <f t="shared" si="25"/>
        <v>#N/A</v>
      </c>
      <c r="CI43" t="e">
        <f t="shared" si="25"/>
        <v>#N/A</v>
      </c>
      <c r="CJ43" t="e">
        <f t="shared" si="25"/>
        <v>#N/A</v>
      </c>
      <c r="CK43" t="e">
        <f t="shared" si="25"/>
        <v>#N/A</v>
      </c>
      <c r="CL43" t="e">
        <f t="shared" si="25"/>
        <v>#N/A</v>
      </c>
      <c r="CM43" t="e">
        <f t="shared" si="25"/>
        <v>#N/A</v>
      </c>
      <c r="CN43" t="e">
        <f t="shared" si="25"/>
        <v>#N/A</v>
      </c>
      <c r="CO43" t="e">
        <f t="shared" si="25"/>
        <v>#N/A</v>
      </c>
      <c r="CP43" t="e">
        <f t="shared" si="26"/>
        <v>#N/A</v>
      </c>
      <c r="CQ43" t="e">
        <f t="shared" si="26"/>
        <v>#N/A</v>
      </c>
      <c r="CR43" t="e">
        <f t="shared" si="26"/>
        <v>#N/A</v>
      </c>
      <c r="CS43" t="e">
        <f t="shared" si="26"/>
        <v>#N/A</v>
      </c>
      <c r="CT43" t="e">
        <f t="shared" si="26"/>
        <v>#N/A</v>
      </c>
      <c r="CU43" t="e">
        <f t="shared" si="26"/>
        <v>#N/A</v>
      </c>
      <c r="CV43" t="e">
        <f t="shared" si="26"/>
        <v>#N/A</v>
      </c>
      <c r="CW43" t="e">
        <f t="shared" si="26"/>
        <v>#N/A</v>
      </c>
      <c r="CX43" t="e">
        <f t="shared" si="26"/>
        <v>#N/A</v>
      </c>
      <c r="CY43" t="e">
        <f t="shared" si="26"/>
        <v>#N/A</v>
      </c>
      <c r="CZ43" t="e">
        <f t="shared" si="27"/>
        <v>#N/A</v>
      </c>
      <c r="DA43" t="e">
        <f t="shared" si="27"/>
        <v>#N/A</v>
      </c>
      <c r="DB43" t="e">
        <f t="shared" si="27"/>
        <v>#N/A</v>
      </c>
      <c r="DC43" t="e">
        <f t="shared" si="27"/>
        <v>#N/A</v>
      </c>
      <c r="DD43" t="e">
        <f t="shared" si="27"/>
        <v>#N/A</v>
      </c>
      <c r="DE43" t="e">
        <f t="shared" si="27"/>
        <v>#N/A</v>
      </c>
      <c r="DF43" t="e">
        <f t="shared" si="27"/>
        <v>#N/A</v>
      </c>
      <c r="DG43" t="e">
        <f t="shared" si="27"/>
        <v>#N/A</v>
      </c>
      <c r="DH43" t="e">
        <f t="shared" si="27"/>
        <v>#N/A</v>
      </c>
      <c r="DI43" t="e">
        <f t="shared" si="27"/>
        <v>#N/A</v>
      </c>
      <c r="DJ43" t="e">
        <f t="shared" si="27"/>
        <v>#N/A</v>
      </c>
      <c r="DK43" t="e">
        <f t="shared" si="27"/>
        <v>#N/A</v>
      </c>
      <c r="DL43" t="e">
        <f t="shared" si="27"/>
        <v>#N/A</v>
      </c>
      <c r="DM43" t="e">
        <f t="shared" si="27"/>
        <v>#N/A</v>
      </c>
      <c r="DN43" t="e">
        <f t="shared" si="27"/>
        <v>#N/A</v>
      </c>
      <c r="DO43" t="e">
        <f t="shared" si="27"/>
        <v>#N/A</v>
      </c>
      <c r="DP43" t="e">
        <f t="shared" si="31"/>
        <v>#N/A</v>
      </c>
      <c r="DQ43" t="e">
        <f t="shared" si="31"/>
        <v>#N/A</v>
      </c>
      <c r="DR43" t="e">
        <f t="shared" si="31"/>
        <v>#N/A</v>
      </c>
      <c r="DS43" t="e">
        <f t="shared" si="31"/>
        <v>#N/A</v>
      </c>
      <c r="DT43">
        <f t="shared" si="31"/>
        <v>2391</v>
      </c>
      <c r="DU43">
        <f t="shared" si="31"/>
        <v>2392</v>
      </c>
      <c r="DV43">
        <f t="shared" si="31"/>
        <v>2393</v>
      </c>
      <c r="DW43">
        <f t="shared" si="31"/>
        <v>2394</v>
      </c>
      <c r="DX43">
        <f t="shared" si="31"/>
        <v>2395</v>
      </c>
      <c r="DY43">
        <f t="shared" si="31"/>
        <v>2396</v>
      </c>
      <c r="DZ43">
        <f t="shared" si="31"/>
        <v>2397</v>
      </c>
      <c r="EA43">
        <f t="shared" si="31"/>
        <v>2398</v>
      </c>
      <c r="EB43">
        <f t="shared" si="31"/>
        <v>2399</v>
      </c>
      <c r="EC43">
        <f t="shared" si="31"/>
        <v>2400</v>
      </c>
      <c r="ED43" t="e">
        <f t="shared" si="31"/>
        <v>#N/A</v>
      </c>
      <c r="EE43" t="e">
        <f t="shared" si="31"/>
        <v>#N/A</v>
      </c>
      <c r="EF43" t="e">
        <f t="shared" si="32"/>
        <v>#N/A</v>
      </c>
      <c r="EG43" t="e">
        <f t="shared" si="32"/>
        <v>#N/A</v>
      </c>
      <c r="EH43" t="e">
        <f t="shared" si="32"/>
        <v>#N/A</v>
      </c>
      <c r="EI43" t="e">
        <f t="shared" si="32"/>
        <v>#N/A</v>
      </c>
      <c r="EJ43" t="e">
        <f t="shared" si="32"/>
        <v>#N/A</v>
      </c>
      <c r="EK43" t="e">
        <f t="shared" si="32"/>
        <v>#N/A</v>
      </c>
      <c r="EL43" t="e">
        <f t="shared" si="32"/>
        <v>#N/A</v>
      </c>
      <c r="EM43" t="e">
        <f t="shared" si="32"/>
        <v>#N/A</v>
      </c>
    </row>
    <row r="44" spans="1:143" x14ac:dyDescent="0.4">
      <c r="A44" t="str">
        <f t="shared" si="16"/>
        <v/>
      </c>
      <c r="B44">
        <v>41</v>
      </c>
      <c r="C44" t="str" cm="1">
        <f t="array" ref="C44">INDEX(auto_Series_Code,B44)</f>
        <v>INDI_017</v>
      </c>
      <c r="D44">
        <f t="shared" si="3"/>
        <v>2401</v>
      </c>
      <c r="E44">
        <f t="shared" si="3"/>
        <v>2402</v>
      </c>
      <c r="F44">
        <f t="shared" si="3"/>
        <v>2403</v>
      </c>
      <c r="G44">
        <f t="shared" si="3"/>
        <v>2404</v>
      </c>
      <c r="H44">
        <f t="shared" si="3"/>
        <v>2405</v>
      </c>
      <c r="I44">
        <f t="shared" si="3"/>
        <v>2406</v>
      </c>
      <c r="J44">
        <f t="shared" si="3"/>
        <v>2407</v>
      </c>
      <c r="K44">
        <f t="shared" si="3"/>
        <v>2408</v>
      </c>
      <c r="L44">
        <f t="shared" si="3"/>
        <v>2409</v>
      </c>
      <c r="M44">
        <f t="shared" si="3"/>
        <v>2410</v>
      </c>
      <c r="N44">
        <f t="shared" si="4"/>
        <v>2411</v>
      </c>
      <c r="O44">
        <f t="shared" si="4"/>
        <v>2412</v>
      </c>
      <c r="P44">
        <f t="shared" si="4"/>
        <v>2413</v>
      </c>
      <c r="Q44">
        <f t="shared" si="4"/>
        <v>2414</v>
      </c>
      <c r="R44">
        <f t="shared" si="4"/>
        <v>2415</v>
      </c>
      <c r="S44">
        <f t="shared" si="4"/>
        <v>2416</v>
      </c>
      <c r="T44">
        <f t="shared" si="4"/>
        <v>2417</v>
      </c>
      <c r="U44">
        <f t="shared" si="4"/>
        <v>2418</v>
      </c>
      <c r="V44">
        <f t="shared" si="4"/>
        <v>2419</v>
      </c>
      <c r="W44">
        <f t="shared" si="4"/>
        <v>2420</v>
      </c>
      <c r="X44">
        <f t="shared" si="5"/>
        <v>2421</v>
      </c>
      <c r="Y44">
        <f t="shared" si="5"/>
        <v>2422</v>
      </c>
      <c r="Z44">
        <f t="shared" si="5"/>
        <v>2423</v>
      </c>
      <c r="AA44">
        <f t="shared" si="5"/>
        <v>2424</v>
      </c>
      <c r="AB44">
        <f t="shared" si="5"/>
        <v>2425</v>
      </c>
      <c r="AC44">
        <f t="shared" si="5"/>
        <v>2426</v>
      </c>
      <c r="AD44">
        <f t="shared" si="5"/>
        <v>2427</v>
      </c>
      <c r="AE44">
        <f t="shared" si="5"/>
        <v>2428</v>
      </c>
      <c r="AF44">
        <f t="shared" si="5"/>
        <v>2429</v>
      </c>
      <c r="AG44">
        <f t="shared" si="5"/>
        <v>2430</v>
      </c>
      <c r="AH44">
        <f t="shared" si="6"/>
        <v>2431</v>
      </c>
      <c r="AI44">
        <f t="shared" si="6"/>
        <v>2432</v>
      </c>
      <c r="AJ44">
        <f t="shared" si="6"/>
        <v>2433</v>
      </c>
      <c r="AK44">
        <f t="shared" si="6"/>
        <v>2434</v>
      </c>
      <c r="AL44">
        <f t="shared" si="6"/>
        <v>2435</v>
      </c>
      <c r="AM44">
        <f t="shared" si="6"/>
        <v>2436</v>
      </c>
      <c r="AN44">
        <f t="shared" si="6"/>
        <v>2437</v>
      </c>
      <c r="AO44">
        <f t="shared" si="6"/>
        <v>2438</v>
      </c>
      <c r="AP44">
        <f t="shared" si="6"/>
        <v>2439</v>
      </c>
      <c r="AQ44">
        <f t="shared" si="6"/>
        <v>2440</v>
      </c>
      <c r="AR44">
        <f t="shared" si="7"/>
        <v>2441</v>
      </c>
      <c r="AS44">
        <f t="shared" si="7"/>
        <v>2442</v>
      </c>
      <c r="AT44">
        <f t="shared" si="7"/>
        <v>2443</v>
      </c>
      <c r="AU44">
        <f t="shared" si="7"/>
        <v>2444</v>
      </c>
      <c r="AV44">
        <f t="shared" si="7"/>
        <v>2445</v>
      </c>
      <c r="AW44">
        <f t="shared" si="7"/>
        <v>2446</v>
      </c>
      <c r="AX44">
        <f t="shared" si="7"/>
        <v>2447</v>
      </c>
      <c r="AY44">
        <f t="shared" si="7"/>
        <v>2448</v>
      </c>
      <c r="AZ44">
        <f t="shared" si="7"/>
        <v>2449</v>
      </c>
      <c r="BA44">
        <f t="shared" si="7"/>
        <v>2450</v>
      </c>
      <c r="BB44" t="e">
        <f t="shared" si="8"/>
        <v>#N/A</v>
      </c>
      <c r="BC44" t="e">
        <f t="shared" si="8"/>
        <v>#N/A</v>
      </c>
      <c r="BD44" t="e">
        <f t="shared" si="8"/>
        <v>#N/A</v>
      </c>
      <c r="BE44" t="e">
        <f t="shared" si="8"/>
        <v>#N/A</v>
      </c>
      <c r="BF44" t="e">
        <f t="shared" si="8"/>
        <v>#N/A</v>
      </c>
      <c r="BG44" t="e">
        <f t="shared" si="8"/>
        <v>#N/A</v>
      </c>
      <c r="BH44" t="e">
        <f t="shared" si="8"/>
        <v>#N/A</v>
      </c>
      <c r="BI44" t="e">
        <f t="shared" si="8"/>
        <v>#N/A</v>
      </c>
      <c r="BJ44" t="e">
        <f t="shared" si="8"/>
        <v>#N/A</v>
      </c>
      <c r="BK44" t="e">
        <f t="shared" si="8"/>
        <v>#N/A</v>
      </c>
      <c r="BL44" t="e">
        <f t="shared" si="9"/>
        <v>#N/A</v>
      </c>
      <c r="BM44" t="e">
        <f t="shared" si="9"/>
        <v>#N/A</v>
      </c>
      <c r="BN44" t="e">
        <f t="shared" si="9"/>
        <v>#N/A</v>
      </c>
      <c r="BO44" t="e">
        <f t="shared" si="9"/>
        <v>#N/A</v>
      </c>
      <c r="BP44" t="e">
        <f t="shared" si="9"/>
        <v>#N/A</v>
      </c>
      <c r="BQ44" t="e">
        <f t="shared" si="9"/>
        <v>#N/A</v>
      </c>
      <c r="BR44" t="e">
        <f t="shared" si="9"/>
        <v>#N/A</v>
      </c>
      <c r="BS44" t="e">
        <f t="shared" si="9"/>
        <v>#N/A</v>
      </c>
      <c r="BT44" t="e">
        <f t="shared" si="9"/>
        <v>#N/A</v>
      </c>
      <c r="BU44" t="e">
        <f t="shared" si="9"/>
        <v>#N/A</v>
      </c>
      <c r="BV44" t="e">
        <f t="shared" si="10"/>
        <v>#N/A</v>
      </c>
      <c r="BW44" t="e">
        <f t="shared" si="10"/>
        <v>#N/A</v>
      </c>
      <c r="BX44" t="e">
        <f t="shared" si="10"/>
        <v>#N/A</v>
      </c>
      <c r="BY44" t="e">
        <f t="shared" si="10"/>
        <v>#N/A</v>
      </c>
      <c r="BZ44" t="e">
        <f t="shared" si="10"/>
        <v>#N/A</v>
      </c>
      <c r="CA44" t="e">
        <f t="shared" si="10"/>
        <v>#N/A</v>
      </c>
      <c r="CB44" t="e">
        <f t="shared" si="10"/>
        <v>#N/A</v>
      </c>
      <c r="CC44" t="e">
        <f t="shared" si="10"/>
        <v>#N/A</v>
      </c>
      <c r="CD44" t="e">
        <f t="shared" si="10"/>
        <v>#N/A</v>
      </c>
      <c r="CE44" t="e">
        <f t="shared" si="10"/>
        <v>#N/A</v>
      </c>
      <c r="CF44" t="e">
        <f t="shared" si="11"/>
        <v>#N/A</v>
      </c>
      <c r="CG44" t="e">
        <f t="shared" si="11"/>
        <v>#N/A</v>
      </c>
      <c r="CH44" t="e">
        <f t="shared" si="11"/>
        <v>#N/A</v>
      </c>
      <c r="CI44" t="e">
        <f t="shared" si="11"/>
        <v>#N/A</v>
      </c>
      <c r="CJ44" t="e">
        <f t="shared" si="11"/>
        <v>#N/A</v>
      </c>
      <c r="CK44" t="e">
        <f t="shared" si="11"/>
        <v>#N/A</v>
      </c>
      <c r="CL44" t="e">
        <f t="shared" si="11"/>
        <v>#N/A</v>
      </c>
      <c r="CM44" t="e">
        <f t="shared" si="11"/>
        <v>#N/A</v>
      </c>
      <c r="CN44" t="e">
        <f t="shared" si="11"/>
        <v>#N/A</v>
      </c>
      <c r="CO44" t="e">
        <f t="shared" si="11"/>
        <v>#N/A</v>
      </c>
      <c r="CP44" t="e">
        <f t="shared" si="12"/>
        <v>#N/A</v>
      </c>
      <c r="CQ44" t="e">
        <f t="shared" si="12"/>
        <v>#N/A</v>
      </c>
      <c r="CR44" t="e">
        <f t="shared" si="12"/>
        <v>#N/A</v>
      </c>
      <c r="CS44" t="e">
        <f t="shared" si="12"/>
        <v>#N/A</v>
      </c>
      <c r="CT44" t="e">
        <f t="shared" si="12"/>
        <v>#N/A</v>
      </c>
      <c r="CU44" t="e">
        <f t="shared" si="12"/>
        <v>#N/A</v>
      </c>
      <c r="CV44" t="e">
        <f t="shared" si="12"/>
        <v>#N/A</v>
      </c>
      <c r="CW44" t="e">
        <f t="shared" si="12"/>
        <v>#N/A</v>
      </c>
      <c r="CX44" t="e">
        <f t="shared" si="12"/>
        <v>#N/A</v>
      </c>
      <c r="CY44" t="e">
        <f t="shared" si="12"/>
        <v>#N/A</v>
      </c>
      <c r="CZ44" t="e">
        <f t="shared" si="13"/>
        <v>#N/A</v>
      </c>
      <c r="DA44" t="e">
        <f t="shared" si="13"/>
        <v>#N/A</v>
      </c>
      <c r="DB44" t="e">
        <f t="shared" si="13"/>
        <v>#N/A</v>
      </c>
      <c r="DC44" t="e">
        <f t="shared" si="13"/>
        <v>#N/A</v>
      </c>
      <c r="DD44" t="e">
        <f t="shared" si="13"/>
        <v>#N/A</v>
      </c>
      <c r="DE44" t="e">
        <f t="shared" si="13"/>
        <v>#N/A</v>
      </c>
      <c r="DF44" t="e">
        <f t="shared" si="13"/>
        <v>#N/A</v>
      </c>
      <c r="DG44" t="e">
        <f t="shared" si="13"/>
        <v>#N/A</v>
      </c>
      <c r="DH44" t="e">
        <f t="shared" si="13"/>
        <v>#N/A</v>
      </c>
      <c r="DI44" t="e">
        <f t="shared" si="13"/>
        <v>#N/A</v>
      </c>
      <c r="DJ44" t="e">
        <f t="shared" si="13"/>
        <v>#N/A</v>
      </c>
      <c r="DK44" t="e">
        <f t="shared" si="13"/>
        <v>#N/A</v>
      </c>
      <c r="DL44" t="e">
        <f t="shared" si="13"/>
        <v>#N/A</v>
      </c>
      <c r="DM44" t="e">
        <f t="shared" si="13"/>
        <v>#N/A</v>
      </c>
      <c r="DN44" t="e">
        <f t="shared" si="13"/>
        <v>#N/A</v>
      </c>
      <c r="DO44" t="e">
        <f t="shared" si="13"/>
        <v>#N/A</v>
      </c>
      <c r="DP44" t="e">
        <f t="shared" si="31"/>
        <v>#N/A</v>
      </c>
      <c r="DQ44" t="e">
        <f t="shared" si="31"/>
        <v>#N/A</v>
      </c>
      <c r="DR44" t="e">
        <f t="shared" si="31"/>
        <v>#N/A</v>
      </c>
      <c r="DS44" t="e">
        <f t="shared" si="31"/>
        <v>#N/A</v>
      </c>
      <c r="DT44">
        <f t="shared" si="31"/>
        <v>2451</v>
      </c>
      <c r="DU44">
        <f t="shared" si="31"/>
        <v>2452</v>
      </c>
      <c r="DV44">
        <f t="shared" si="31"/>
        <v>2453</v>
      </c>
      <c r="DW44">
        <f t="shared" si="31"/>
        <v>2454</v>
      </c>
      <c r="DX44">
        <f t="shared" si="31"/>
        <v>2455</v>
      </c>
      <c r="DY44">
        <f t="shared" si="31"/>
        <v>2456</v>
      </c>
      <c r="DZ44">
        <f t="shared" si="31"/>
        <v>2457</v>
      </c>
      <c r="EA44">
        <f t="shared" si="31"/>
        <v>2458</v>
      </c>
      <c r="EB44">
        <f t="shared" si="31"/>
        <v>2459</v>
      </c>
      <c r="EC44">
        <f t="shared" si="31"/>
        <v>2460</v>
      </c>
      <c r="ED44" t="e">
        <f t="shared" si="31"/>
        <v>#N/A</v>
      </c>
      <c r="EE44" t="e">
        <f t="shared" si="31"/>
        <v>#N/A</v>
      </c>
      <c r="EF44" t="e">
        <f t="shared" si="32"/>
        <v>#N/A</v>
      </c>
      <c r="EG44" t="e">
        <f t="shared" si="32"/>
        <v>#N/A</v>
      </c>
      <c r="EH44" t="e">
        <f t="shared" si="32"/>
        <v>#N/A</v>
      </c>
      <c r="EI44" t="e">
        <f t="shared" si="32"/>
        <v>#N/A</v>
      </c>
      <c r="EJ44" t="e">
        <f t="shared" si="32"/>
        <v>#N/A</v>
      </c>
      <c r="EK44" t="e">
        <f t="shared" si="32"/>
        <v>#N/A</v>
      </c>
      <c r="EL44" t="e">
        <f t="shared" si="32"/>
        <v>#N/A</v>
      </c>
      <c r="EM44" t="e">
        <f t="shared" si="32"/>
        <v>#N/A</v>
      </c>
    </row>
    <row r="45" spans="1:143" x14ac:dyDescent="0.4">
      <c r="A45" t="str">
        <f t="shared" si="16"/>
        <v/>
      </c>
      <c r="B45">
        <v>42</v>
      </c>
      <c r="C45" t="str" cm="1">
        <f t="array" ref="C45">INDEX(auto_Series_Code,B45)</f>
        <v>SUBINDI_021</v>
      </c>
      <c r="D45">
        <f t="shared" si="17"/>
        <v>2461</v>
      </c>
      <c r="E45">
        <f t="shared" si="17"/>
        <v>2462</v>
      </c>
      <c r="F45">
        <f t="shared" si="17"/>
        <v>2463</v>
      </c>
      <c r="G45">
        <f t="shared" si="17"/>
        <v>2464</v>
      </c>
      <c r="H45">
        <f t="shared" si="17"/>
        <v>2465</v>
      </c>
      <c r="I45">
        <f t="shared" si="17"/>
        <v>2466</v>
      </c>
      <c r="J45">
        <f t="shared" si="17"/>
        <v>2467</v>
      </c>
      <c r="K45">
        <f t="shared" si="17"/>
        <v>2468</v>
      </c>
      <c r="L45">
        <f t="shared" si="17"/>
        <v>2469</v>
      </c>
      <c r="M45">
        <f t="shared" si="17"/>
        <v>2470</v>
      </c>
      <c r="N45">
        <f t="shared" si="18"/>
        <v>2471</v>
      </c>
      <c r="O45">
        <f t="shared" si="18"/>
        <v>2472</v>
      </c>
      <c r="P45">
        <f t="shared" si="18"/>
        <v>2473</v>
      </c>
      <c r="Q45">
        <f t="shared" si="18"/>
        <v>2474</v>
      </c>
      <c r="R45">
        <f t="shared" si="18"/>
        <v>2475</v>
      </c>
      <c r="S45">
        <f t="shared" si="18"/>
        <v>2476</v>
      </c>
      <c r="T45">
        <f t="shared" si="18"/>
        <v>2477</v>
      </c>
      <c r="U45">
        <f t="shared" si="18"/>
        <v>2478</v>
      </c>
      <c r="V45">
        <f t="shared" si="18"/>
        <v>2479</v>
      </c>
      <c r="W45">
        <f t="shared" si="18"/>
        <v>2480</v>
      </c>
      <c r="X45">
        <f t="shared" si="19"/>
        <v>2481</v>
      </c>
      <c r="Y45">
        <f t="shared" si="19"/>
        <v>2482</v>
      </c>
      <c r="Z45">
        <f t="shared" si="19"/>
        <v>2483</v>
      </c>
      <c r="AA45">
        <f t="shared" si="19"/>
        <v>2484</v>
      </c>
      <c r="AB45">
        <f t="shared" si="19"/>
        <v>2485</v>
      </c>
      <c r="AC45">
        <f t="shared" si="19"/>
        <v>2486</v>
      </c>
      <c r="AD45">
        <f t="shared" si="19"/>
        <v>2487</v>
      </c>
      <c r="AE45">
        <f t="shared" si="19"/>
        <v>2488</v>
      </c>
      <c r="AF45">
        <f t="shared" si="19"/>
        <v>2489</v>
      </c>
      <c r="AG45">
        <f t="shared" si="19"/>
        <v>2490</v>
      </c>
      <c r="AH45">
        <f t="shared" si="20"/>
        <v>2491</v>
      </c>
      <c r="AI45">
        <f t="shared" si="20"/>
        <v>2492</v>
      </c>
      <c r="AJ45">
        <f t="shared" si="20"/>
        <v>2493</v>
      </c>
      <c r="AK45">
        <f t="shared" si="20"/>
        <v>2494</v>
      </c>
      <c r="AL45">
        <f t="shared" si="20"/>
        <v>2495</v>
      </c>
      <c r="AM45">
        <f t="shared" si="20"/>
        <v>2496</v>
      </c>
      <c r="AN45">
        <f t="shared" si="20"/>
        <v>2497</v>
      </c>
      <c r="AO45">
        <f t="shared" si="20"/>
        <v>2498</v>
      </c>
      <c r="AP45">
        <f t="shared" si="20"/>
        <v>2499</v>
      </c>
      <c r="AQ45">
        <f t="shared" si="20"/>
        <v>2500</v>
      </c>
      <c r="AR45">
        <f t="shared" si="21"/>
        <v>2501</v>
      </c>
      <c r="AS45">
        <f t="shared" si="21"/>
        <v>2502</v>
      </c>
      <c r="AT45">
        <f t="shared" si="21"/>
        <v>2503</v>
      </c>
      <c r="AU45">
        <f t="shared" si="21"/>
        <v>2504</v>
      </c>
      <c r="AV45">
        <f t="shared" si="21"/>
        <v>2505</v>
      </c>
      <c r="AW45">
        <f t="shared" si="21"/>
        <v>2506</v>
      </c>
      <c r="AX45">
        <f t="shared" si="21"/>
        <v>2507</v>
      </c>
      <c r="AY45">
        <f t="shared" si="21"/>
        <v>2508</v>
      </c>
      <c r="AZ45">
        <f t="shared" si="21"/>
        <v>2509</v>
      </c>
      <c r="BA45">
        <f t="shared" si="21"/>
        <v>2510</v>
      </c>
      <c r="BB45" t="e">
        <f t="shared" si="22"/>
        <v>#N/A</v>
      </c>
      <c r="BC45" t="e">
        <f t="shared" si="22"/>
        <v>#N/A</v>
      </c>
      <c r="BD45" t="e">
        <f t="shared" si="22"/>
        <v>#N/A</v>
      </c>
      <c r="BE45" t="e">
        <f t="shared" si="22"/>
        <v>#N/A</v>
      </c>
      <c r="BF45" t="e">
        <f t="shared" si="22"/>
        <v>#N/A</v>
      </c>
      <c r="BG45" t="e">
        <f t="shared" si="22"/>
        <v>#N/A</v>
      </c>
      <c r="BH45" t="e">
        <f t="shared" si="22"/>
        <v>#N/A</v>
      </c>
      <c r="BI45" t="e">
        <f t="shared" si="22"/>
        <v>#N/A</v>
      </c>
      <c r="BJ45" t="e">
        <f t="shared" si="22"/>
        <v>#N/A</v>
      </c>
      <c r="BK45" t="e">
        <f t="shared" si="22"/>
        <v>#N/A</v>
      </c>
      <c r="BL45" t="e">
        <f t="shared" si="23"/>
        <v>#N/A</v>
      </c>
      <c r="BM45" t="e">
        <f t="shared" si="23"/>
        <v>#N/A</v>
      </c>
      <c r="BN45" t="e">
        <f t="shared" si="23"/>
        <v>#N/A</v>
      </c>
      <c r="BO45" t="e">
        <f t="shared" si="23"/>
        <v>#N/A</v>
      </c>
      <c r="BP45" t="e">
        <f t="shared" si="23"/>
        <v>#N/A</v>
      </c>
      <c r="BQ45" t="e">
        <f t="shared" si="23"/>
        <v>#N/A</v>
      </c>
      <c r="BR45" t="e">
        <f t="shared" si="23"/>
        <v>#N/A</v>
      </c>
      <c r="BS45" t="e">
        <f t="shared" si="23"/>
        <v>#N/A</v>
      </c>
      <c r="BT45" t="e">
        <f t="shared" si="23"/>
        <v>#N/A</v>
      </c>
      <c r="BU45" t="e">
        <f t="shared" si="23"/>
        <v>#N/A</v>
      </c>
      <c r="BV45" t="e">
        <f t="shared" si="24"/>
        <v>#N/A</v>
      </c>
      <c r="BW45" t="e">
        <f t="shared" si="24"/>
        <v>#N/A</v>
      </c>
      <c r="BX45" t="e">
        <f t="shared" si="24"/>
        <v>#N/A</v>
      </c>
      <c r="BY45" t="e">
        <f t="shared" si="24"/>
        <v>#N/A</v>
      </c>
      <c r="BZ45" t="e">
        <f t="shared" si="24"/>
        <v>#N/A</v>
      </c>
      <c r="CA45" t="e">
        <f t="shared" si="24"/>
        <v>#N/A</v>
      </c>
      <c r="CB45" t="e">
        <f t="shared" si="24"/>
        <v>#N/A</v>
      </c>
      <c r="CC45" t="e">
        <f t="shared" si="24"/>
        <v>#N/A</v>
      </c>
      <c r="CD45" t="e">
        <f t="shared" si="24"/>
        <v>#N/A</v>
      </c>
      <c r="CE45" t="e">
        <f t="shared" si="24"/>
        <v>#N/A</v>
      </c>
      <c r="CF45" t="e">
        <f t="shared" si="25"/>
        <v>#N/A</v>
      </c>
      <c r="CG45" t="e">
        <f t="shared" si="25"/>
        <v>#N/A</v>
      </c>
      <c r="CH45" t="e">
        <f t="shared" si="25"/>
        <v>#N/A</v>
      </c>
      <c r="CI45" t="e">
        <f t="shared" si="25"/>
        <v>#N/A</v>
      </c>
      <c r="CJ45" t="e">
        <f t="shared" si="25"/>
        <v>#N/A</v>
      </c>
      <c r="CK45" t="e">
        <f t="shared" si="25"/>
        <v>#N/A</v>
      </c>
      <c r="CL45" t="e">
        <f t="shared" si="25"/>
        <v>#N/A</v>
      </c>
      <c r="CM45" t="e">
        <f t="shared" si="25"/>
        <v>#N/A</v>
      </c>
      <c r="CN45" t="e">
        <f t="shared" si="25"/>
        <v>#N/A</v>
      </c>
      <c r="CO45" t="e">
        <f t="shared" si="25"/>
        <v>#N/A</v>
      </c>
      <c r="CP45" t="e">
        <f t="shared" si="26"/>
        <v>#N/A</v>
      </c>
      <c r="CQ45" t="e">
        <f t="shared" si="26"/>
        <v>#N/A</v>
      </c>
      <c r="CR45" t="e">
        <f t="shared" si="26"/>
        <v>#N/A</v>
      </c>
      <c r="CS45" t="e">
        <f t="shared" si="26"/>
        <v>#N/A</v>
      </c>
      <c r="CT45" t="e">
        <f t="shared" si="26"/>
        <v>#N/A</v>
      </c>
      <c r="CU45" t="e">
        <f t="shared" si="26"/>
        <v>#N/A</v>
      </c>
      <c r="CV45" t="e">
        <f t="shared" si="26"/>
        <v>#N/A</v>
      </c>
      <c r="CW45" t="e">
        <f t="shared" si="26"/>
        <v>#N/A</v>
      </c>
      <c r="CX45" t="e">
        <f t="shared" si="26"/>
        <v>#N/A</v>
      </c>
      <c r="CY45" t="e">
        <f t="shared" si="26"/>
        <v>#N/A</v>
      </c>
      <c r="CZ45" t="e">
        <f t="shared" si="27"/>
        <v>#N/A</v>
      </c>
      <c r="DA45" t="e">
        <f t="shared" si="27"/>
        <v>#N/A</v>
      </c>
      <c r="DB45" t="e">
        <f t="shared" si="27"/>
        <v>#N/A</v>
      </c>
      <c r="DC45" t="e">
        <f t="shared" si="27"/>
        <v>#N/A</v>
      </c>
      <c r="DD45" t="e">
        <f t="shared" si="27"/>
        <v>#N/A</v>
      </c>
      <c r="DE45" t="e">
        <f t="shared" si="27"/>
        <v>#N/A</v>
      </c>
      <c r="DF45" t="e">
        <f t="shared" si="27"/>
        <v>#N/A</v>
      </c>
      <c r="DG45" t="e">
        <f t="shared" si="27"/>
        <v>#N/A</v>
      </c>
      <c r="DH45" t="e">
        <f t="shared" si="27"/>
        <v>#N/A</v>
      </c>
      <c r="DI45" t="e">
        <f t="shared" si="27"/>
        <v>#N/A</v>
      </c>
      <c r="DJ45" t="e">
        <f t="shared" si="27"/>
        <v>#N/A</v>
      </c>
      <c r="DK45" t="e">
        <f t="shared" si="27"/>
        <v>#N/A</v>
      </c>
      <c r="DL45" t="e">
        <f t="shared" si="27"/>
        <v>#N/A</v>
      </c>
      <c r="DM45" t="e">
        <f t="shared" si="27"/>
        <v>#N/A</v>
      </c>
      <c r="DN45" t="e">
        <f t="shared" si="27"/>
        <v>#N/A</v>
      </c>
      <c r="DO45" t="e">
        <f t="shared" si="27"/>
        <v>#N/A</v>
      </c>
      <c r="DP45" t="e">
        <f t="shared" si="31"/>
        <v>#N/A</v>
      </c>
      <c r="DQ45" t="e">
        <f t="shared" si="31"/>
        <v>#N/A</v>
      </c>
      <c r="DR45" t="e">
        <f t="shared" si="31"/>
        <v>#N/A</v>
      </c>
      <c r="DS45" t="e">
        <f t="shared" si="31"/>
        <v>#N/A</v>
      </c>
      <c r="DT45">
        <f t="shared" si="31"/>
        <v>2511</v>
      </c>
      <c r="DU45">
        <f t="shared" si="31"/>
        <v>2512</v>
      </c>
      <c r="DV45">
        <f t="shared" si="31"/>
        <v>2513</v>
      </c>
      <c r="DW45">
        <f t="shared" si="31"/>
        <v>2514</v>
      </c>
      <c r="DX45">
        <f t="shared" si="31"/>
        <v>2515</v>
      </c>
      <c r="DY45">
        <f t="shared" si="31"/>
        <v>2516</v>
      </c>
      <c r="DZ45">
        <f t="shared" si="31"/>
        <v>2517</v>
      </c>
      <c r="EA45">
        <f t="shared" si="31"/>
        <v>2518</v>
      </c>
      <c r="EB45">
        <f t="shared" si="31"/>
        <v>2519</v>
      </c>
      <c r="EC45">
        <f t="shared" si="31"/>
        <v>2520</v>
      </c>
      <c r="ED45" t="e">
        <f t="shared" si="31"/>
        <v>#N/A</v>
      </c>
      <c r="EE45" t="e">
        <f t="shared" si="31"/>
        <v>#N/A</v>
      </c>
      <c r="EF45" t="e">
        <f t="shared" si="32"/>
        <v>#N/A</v>
      </c>
      <c r="EG45" t="e">
        <f t="shared" si="32"/>
        <v>#N/A</v>
      </c>
      <c r="EH45" t="e">
        <f t="shared" si="32"/>
        <v>#N/A</v>
      </c>
      <c r="EI45" t="e">
        <f t="shared" si="32"/>
        <v>#N/A</v>
      </c>
      <c r="EJ45" t="e">
        <f t="shared" si="32"/>
        <v>#N/A</v>
      </c>
      <c r="EK45" t="e">
        <f t="shared" si="32"/>
        <v>#N/A</v>
      </c>
      <c r="EL45" t="e">
        <f t="shared" si="32"/>
        <v>#N/A</v>
      </c>
      <c r="EM45" t="e">
        <f t="shared" si="32"/>
        <v>#N/A</v>
      </c>
    </row>
    <row r="46" spans="1:143" x14ac:dyDescent="0.4">
      <c r="A46" t="str">
        <f t="shared" si="16"/>
        <v/>
      </c>
      <c r="B46">
        <v>43</v>
      </c>
      <c r="C46" t="str" cm="1">
        <f t="array" ref="C46">INDEX(auto_Series_Code,B46)</f>
        <v>SUBINDI_022</v>
      </c>
      <c r="D46">
        <f t="shared" si="3"/>
        <v>2521</v>
      </c>
      <c r="E46">
        <f t="shared" si="3"/>
        <v>2522</v>
      </c>
      <c r="F46">
        <f t="shared" si="3"/>
        <v>2523</v>
      </c>
      <c r="G46">
        <f t="shared" si="3"/>
        <v>2524</v>
      </c>
      <c r="H46">
        <f t="shared" si="3"/>
        <v>2525</v>
      </c>
      <c r="I46">
        <f t="shared" si="3"/>
        <v>2526</v>
      </c>
      <c r="J46">
        <f t="shared" si="3"/>
        <v>2527</v>
      </c>
      <c r="K46">
        <f t="shared" si="3"/>
        <v>2528</v>
      </c>
      <c r="L46">
        <f t="shared" si="3"/>
        <v>2529</v>
      </c>
      <c r="M46">
        <f t="shared" si="3"/>
        <v>2530</v>
      </c>
      <c r="N46">
        <f t="shared" si="4"/>
        <v>2531</v>
      </c>
      <c r="O46">
        <f t="shared" si="4"/>
        <v>2532</v>
      </c>
      <c r="P46">
        <f t="shared" si="4"/>
        <v>2533</v>
      </c>
      <c r="Q46">
        <f t="shared" si="4"/>
        <v>2534</v>
      </c>
      <c r="R46">
        <f t="shared" si="4"/>
        <v>2535</v>
      </c>
      <c r="S46">
        <f t="shared" si="4"/>
        <v>2536</v>
      </c>
      <c r="T46">
        <f t="shared" si="4"/>
        <v>2537</v>
      </c>
      <c r="U46">
        <f t="shared" si="4"/>
        <v>2538</v>
      </c>
      <c r="V46">
        <f t="shared" si="4"/>
        <v>2539</v>
      </c>
      <c r="W46">
        <f t="shared" si="4"/>
        <v>2540</v>
      </c>
      <c r="X46">
        <f t="shared" si="5"/>
        <v>2541</v>
      </c>
      <c r="Y46">
        <f t="shared" si="5"/>
        <v>2542</v>
      </c>
      <c r="Z46">
        <f t="shared" si="5"/>
        <v>2543</v>
      </c>
      <c r="AA46">
        <f t="shared" si="5"/>
        <v>2544</v>
      </c>
      <c r="AB46">
        <f t="shared" si="5"/>
        <v>2545</v>
      </c>
      <c r="AC46">
        <f t="shared" si="5"/>
        <v>2546</v>
      </c>
      <c r="AD46">
        <f t="shared" si="5"/>
        <v>2547</v>
      </c>
      <c r="AE46">
        <f t="shared" si="5"/>
        <v>2548</v>
      </c>
      <c r="AF46">
        <f t="shared" si="5"/>
        <v>2549</v>
      </c>
      <c r="AG46">
        <f t="shared" si="5"/>
        <v>2550</v>
      </c>
      <c r="AH46">
        <f t="shared" si="6"/>
        <v>2551</v>
      </c>
      <c r="AI46">
        <f t="shared" si="6"/>
        <v>2552</v>
      </c>
      <c r="AJ46">
        <f t="shared" si="6"/>
        <v>2553</v>
      </c>
      <c r="AK46">
        <f t="shared" si="6"/>
        <v>2554</v>
      </c>
      <c r="AL46">
        <f t="shared" si="6"/>
        <v>2555</v>
      </c>
      <c r="AM46">
        <f t="shared" si="6"/>
        <v>2556</v>
      </c>
      <c r="AN46">
        <f t="shared" si="6"/>
        <v>2557</v>
      </c>
      <c r="AO46">
        <f t="shared" si="6"/>
        <v>2558</v>
      </c>
      <c r="AP46">
        <f t="shared" si="6"/>
        <v>2559</v>
      </c>
      <c r="AQ46">
        <f t="shared" si="6"/>
        <v>2560</v>
      </c>
      <c r="AR46">
        <f t="shared" si="7"/>
        <v>2561</v>
      </c>
      <c r="AS46">
        <f t="shared" si="7"/>
        <v>2562</v>
      </c>
      <c r="AT46">
        <f t="shared" si="7"/>
        <v>2563</v>
      </c>
      <c r="AU46">
        <f t="shared" si="7"/>
        <v>2564</v>
      </c>
      <c r="AV46">
        <f t="shared" si="7"/>
        <v>2565</v>
      </c>
      <c r="AW46">
        <f t="shared" si="7"/>
        <v>2566</v>
      </c>
      <c r="AX46">
        <f t="shared" si="7"/>
        <v>2567</v>
      </c>
      <c r="AY46">
        <f t="shared" si="7"/>
        <v>2568</v>
      </c>
      <c r="AZ46">
        <f t="shared" si="7"/>
        <v>2569</v>
      </c>
      <c r="BA46">
        <f t="shared" si="7"/>
        <v>2570</v>
      </c>
      <c r="BB46" t="e">
        <f t="shared" si="8"/>
        <v>#N/A</v>
      </c>
      <c r="BC46" t="e">
        <f t="shared" si="8"/>
        <v>#N/A</v>
      </c>
      <c r="BD46" t="e">
        <f t="shared" si="8"/>
        <v>#N/A</v>
      </c>
      <c r="BE46" t="e">
        <f t="shared" si="8"/>
        <v>#N/A</v>
      </c>
      <c r="BF46" t="e">
        <f t="shared" si="8"/>
        <v>#N/A</v>
      </c>
      <c r="BG46" t="e">
        <f t="shared" si="8"/>
        <v>#N/A</v>
      </c>
      <c r="BH46" t="e">
        <f t="shared" si="8"/>
        <v>#N/A</v>
      </c>
      <c r="BI46" t="e">
        <f t="shared" si="8"/>
        <v>#N/A</v>
      </c>
      <c r="BJ46" t="e">
        <f t="shared" si="8"/>
        <v>#N/A</v>
      </c>
      <c r="BK46" t="e">
        <f t="shared" si="8"/>
        <v>#N/A</v>
      </c>
      <c r="BL46" t="e">
        <f t="shared" si="9"/>
        <v>#N/A</v>
      </c>
      <c r="BM46" t="e">
        <f t="shared" si="9"/>
        <v>#N/A</v>
      </c>
      <c r="BN46" t="e">
        <f t="shared" si="9"/>
        <v>#N/A</v>
      </c>
      <c r="BO46" t="e">
        <f t="shared" si="9"/>
        <v>#N/A</v>
      </c>
      <c r="BP46" t="e">
        <f t="shared" si="9"/>
        <v>#N/A</v>
      </c>
      <c r="BQ46" t="e">
        <f t="shared" si="9"/>
        <v>#N/A</v>
      </c>
      <c r="BR46" t="e">
        <f t="shared" si="9"/>
        <v>#N/A</v>
      </c>
      <c r="BS46" t="e">
        <f t="shared" si="9"/>
        <v>#N/A</v>
      </c>
      <c r="BT46" t="e">
        <f t="shared" si="9"/>
        <v>#N/A</v>
      </c>
      <c r="BU46" t="e">
        <f t="shared" si="9"/>
        <v>#N/A</v>
      </c>
      <c r="BV46" t="e">
        <f t="shared" si="10"/>
        <v>#N/A</v>
      </c>
      <c r="BW46" t="e">
        <f t="shared" si="10"/>
        <v>#N/A</v>
      </c>
      <c r="BX46" t="e">
        <f t="shared" si="10"/>
        <v>#N/A</v>
      </c>
      <c r="BY46" t="e">
        <f t="shared" si="10"/>
        <v>#N/A</v>
      </c>
      <c r="BZ46" t="e">
        <f t="shared" si="10"/>
        <v>#N/A</v>
      </c>
      <c r="CA46" t="e">
        <f t="shared" si="10"/>
        <v>#N/A</v>
      </c>
      <c r="CB46" t="e">
        <f t="shared" si="10"/>
        <v>#N/A</v>
      </c>
      <c r="CC46" t="e">
        <f t="shared" si="10"/>
        <v>#N/A</v>
      </c>
      <c r="CD46" t="e">
        <f t="shared" si="10"/>
        <v>#N/A</v>
      </c>
      <c r="CE46" t="e">
        <f t="shared" si="10"/>
        <v>#N/A</v>
      </c>
      <c r="CF46" t="e">
        <f t="shared" si="11"/>
        <v>#N/A</v>
      </c>
      <c r="CG46" t="e">
        <f t="shared" si="11"/>
        <v>#N/A</v>
      </c>
      <c r="CH46" t="e">
        <f t="shared" si="11"/>
        <v>#N/A</v>
      </c>
      <c r="CI46" t="e">
        <f t="shared" si="11"/>
        <v>#N/A</v>
      </c>
      <c r="CJ46" t="e">
        <f t="shared" si="11"/>
        <v>#N/A</v>
      </c>
      <c r="CK46" t="e">
        <f t="shared" si="11"/>
        <v>#N/A</v>
      </c>
      <c r="CL46" t="e">
        <f t="shared" si="11"/>
        <v>#N/A</v>
      </c>
      <c r="CM46" t="e">
        <f t="shared" si="11"/>
        <v>#N/A</v>
      </c>
      <c r="CN46" t="e">
        <f t="shared" si="11"/>
        <v>#N/A</v>
      </c>
      <c r="CO46" t="e">
        <f t="shared" si="11"/>
        <v>#N/A</v>
      </c>
      <c r="CP46" t="e">
        <f t="shared" si="12"/>
        <v>#N/A</v>
      </c>
      <c r="CQ46" t="e">
        <f t="shared" si="12"/>
        <v>#N/A</v>
      </c>
      <c r="CR46" t="e">
        <f t="shared" si="12"/>
        <v>#N/A</v>
      </c>
      <c r="CS46" t="e">
        <f t="shared" si="12"/>
        <v>#N/A</v>
      </c>
      <c r="CT46" t="e">
        <f t="shared" si="12"/>
        <v>#N/A</v>
      </c>
      <c r="CU46" t="e">
        <f t="shared" si="12"/>
        <v>#N/A</v>
      </c>
      <c r="CV46" t="e">
        <f t="shared" si="12"/>
        <v>#N/A</v>
      </c>
      <c r="CW46" t="e">
        <f t="shared" si="12"/>
        <v>#N/A</v>
      </c>
      <c r="CX46" t="e">
        <f t="shared" si="12"/>
        <v>#N/A</v>
      </c>
      <c r="CY46" t="e">
        <f t="shared" si="12"/>
        <v>#N/A</v>
      </c>
      <c r="CZ46" t="e">
        <f t="shared" si="13"/>
        <v>#N/A</v>
      </c>
      <c r="DA46" t="e">
        <f t="shared" si="13"/>
        <v>#N/A</v>
      </c>
      <c r="DB46" t="e">
        <f t="shared" si="13"/>
        <v>#N/A</v>
      </c>
      <c r="DC46" t="e">
        <f t="shared" si="13"/>
        <v>#N/A</v>
      </c>
      <c r="DD46" t="e">
        <f t="shared" si="13"/>
        <v>#N/A</v>
      </c>
      <c r="DE46" t="e">
        <f t="shared" si="13"/>
        <v>#N/A</v>
      </c>
      <c r="DF46" t="e">
        <f t="shared" si="13"/>
        <v>#N/A</v>
      </c>
      <c r="DG46" t="e">
        <f t="shared" si="13"/>
        <v>#N/A</v>
      </c>
      <c r="DH46" t="e">
        <f t="shared" si="13"/>
        <v>#N/A</v>
      </c>
      <c r="DI46" t="e">
        <f t="shared" si="13"/>
        <v>#N/A</v>
      </c>
      <c r="DJ46" t="e">
        <f t="shared" si="13"/>
        <v>#N/A</v>
      </c>
      <c r="DK46" t="e">
        <f t="shared" si="13"/>
        <v>#N/A</v>
      </c>
      <c r="DL46" t="e">
        <f t="shared" si="13"/>
        <v>#N/A</v>
      </c>
      <c r="DM46" t="e">
        <f t="shared" si="13"/>
        <v>#N/A</v>
      </c>
      <c r="DN46" t="e">
        <f t="shared" si="13"/>
        <v>#N/A</v>
      </c>
      <c r="DO46" t="e">
        <f t="shared" ref="DO46:DY65" si="33">MATCH(CONCATENATE(DO$3,"_",$C46),auto_DataFlat_UID,0)</f>
        <v>#N/A</v>
      </c>
      <c r="DP46" t="e">
        <f t="shared" si="33"/>
        <v>#N/A</v>
      </c>
      <c r="DQ46" t="e">
        <f t="shared" si="33"/>
        <v>#N/A</v>
      </c>
      <c r="DR46" t="e">
        <f t="shared" si="33"/>
        <v>#N/A</v>
      </c>
      <c r="DS46" t="e">
        <f t="shared" si="33"/>
        <v>#N/A</v>
      </c>
      <c r="DT46">
        <f t="shared" si="33"/>
        <v>2571</v>
      </c>
      <c r="DU46">
        <f t="shared" si="33"/>
        <v>2572</v>
      </c>
      <c r="DV46">
        <f t="shared" si="33"/>
        <v>2573</v>
      </c>
      <c r="DW46">
        <f t="shared" si="33"/>
        <v>2574</v>
      </c>
      <c r="DX46">
        <f t="shared" si="33"/>
        <v>2575</v>
      </c>
      <c r="DY46">
        <f t="shared" si="33"/>
        <v>2576</v>
      </c>
      <c r="DZ46">
        <f t="shared" si="31"/>
        <v>2577</v>
      </c>
      <c r="EA46">
        <f t="shared" si="31"/>
        <v>2578</v>
      </c>
      <c r="EB46">
        <f t="shared" si="31"/>
        <v>2579</v>
      </c>
      <c r="EC46">
        <f t="shared" si="31"/>
        <v>2580</v>
      </c>
      <c r="ED46" t="e">
        <f t="shared" si="31"/>
        <v>#N/A</v>
      </c>
      <c r="EE46" t="e">
        <f t="shared" si="31"/>
        <v>#N/A</v>
      </c>
      <c r="EF46" t="e">
        <f t="shared" si="32"/>
        <v>#N/A</v>
      </c>
      <c r="EG46" t="e">
        <f t="shared" si="32"/>
        <v>#N/A</v>
      </c>
      <c r="EH46" t="e">
        <f t="shared" si="32"/>
        <v>#N/A</v>
      </c>
      <c r="EI46" t="e">
        <f t="shared" si="32"/>
        <v>#N/A</v>
      </c>
      <c r="EJ46" t="e">
        <f t="shared" si="32"/>
        <v>#N/A</v>
      </c>
      <c r="EK46" t="e">
        <f t="shared" si="32"/>
        <v>#N/A</v>
      </c>
      <c r="EL46" t="e">
        <f t="shared" si="32"/>
        <v>#N/A</v>
      </c>
      <c r="EM46" t="e">
        <f t="shared" si="32"/>
        <v>#N/A</v>
      </c>
    </row>
    <row r="47" spans="1:143" x14ac:dyDescent="0.4">
      <c r="A47" t="str">
        <f t="shared" si="16"/>
        <v/>
      </c>
      <c r="B47">
        <v>44</v>
      </c>
      <c r="C47" t="str" cm="1">
        <f t="array" ref="C47">INDEX(auto_Series_Code,B47)</f>
        <v>INDI_018</v>
      </c>
      <c r="D47">
        <f t="shared" si="17"/>
        <v>2581</v>
      </c>
      <c r="E47">
        <f t="shared" si="17"/>
        <v>2582</v>
      </c>
      <c r="F47">
        <f t="shared" si="17"/>
        <v>2583</v>
      </c>
      <c r="G47">
        <f t="shared" si="17"/>
        <v>2584</v>
      </c>
      <c r="H47">
        <f t="shared" si="17"/>
        <v>2585</v>
      </c>
      <c r="I47">
        <f t="shared" si="17"/>
        <v>2586</v>
      </c>
      <c r="J47">
        <f t="shared" si="17"/>
        <v>2587</v>
      </c>
      <c r="K47">
        <f t="shared" si="17"/>
        <v>2588</v>
      </c>
      <c r="L47">
        <f t="shared" si="17"/>
        <v>2589</v>
      </c>
      <c r="M47">
        <f t="shared" si="17"/>
        <v>2590</v>
      </c>
      <c r="N47">
        <f t="shared" si="18"/>
        <v>2591</v>
      </c>
      <c r="O47">
        <f t="shared" si="18"/>
        <v>2592</v>
      </c>
      <c r="P47">
        <f t="shared" si="18"/>
        <v>2593</v>
      </c>
      <c r="Q47">
        <f t="shared" si="18"/>
        <v>2594</v>
      </c>
      <c r="R47">
        <f t="shared" si="18"/>
        <v>2595</v>
      </c>
      <c r="S47">
        <f t="shared" si="18"/>
        <v>2596</v>
      </c>
      <c r="T47">
        <f t="shared" si="18"/>
        <v>2597</v>
      </c>
      <c r="U47">
        <f t="shared" si="18"/>
        <v>2598</v>
      </c>
      <c r="V47">
        <f t="shared" si="18"/>
        <v>2599</v>
      </c>
      <c r="W47">
        <f t="shared" si="18"/>
        <v>2600</v>
      </c>
      <c r="X47">
        <f t="shared" si="19"/>
        <v>2601</v>
      </c>
      <c r="Y47">
        <f t="shared" si="19"/>
        <v>2602</v>
      </c>
      <c r="Z47">
        <f t="shared" si="19"/>
        <v>2603</v>
      </c>
      <c r="AA47">
        <f t="shared" si="19"/>
        <v>2604</v>
      </c>
      <c r="AB47">
        <f t="shared" si="19"/>
        <v>2605</v>
      </c>
      <c r="AC47">
        <f t="shared" si="19"/>
        <v>2606</v>
      </c>
      <c r="AD47">
        <f t="shared" si="19"/>
        <v>2607</v>
      </c>
      <c r="AE47">
        <f t="shared" si="19"/>
        <v>2608</v>
      </c>
      <c r="AF47">
        <f t="shared" si="19"/>
        <v>2609</v>
      </c>
      <c r="AG47">
        <f t="shared" si="19"/>
        <v>2610</v>
      </c>
      <c r="AH47">
        <f t="shared" si="20"/>
        <v>2611</v>
      </c>
      <c r="AI47">
        <f t="shared" si="20"/>
        <v>2612</v>
      </c>
      <c r="AJ47">
        <f t="shared" si="20"/>
        <v>2613</v>
      </c>
      <c r="AK47">
        <f t="shared" si="20"/>
        <v>2614</v>
      </c>
      <c r="AL47">
        <f t="shared" si="20"/>
        <v>2615</v>
      </c>
      <c r="AM47">
        <f t="shared" si="20"/>
        <v>2616</v>
      </c>
      <c r="AN47">
        <f t="shared" si="20"/>
        <v>2617</v>
      </c>
      <c r="AO47">
        <f t="shared" si="20"/>
        <v>2618</v>
      </c>
      <c r="AP47">
        <f t="shared" si="20"/>
        <v>2619</v>
      </c>
      <c r="AQ47">
        <f t="shared" si="20"/>
        <v>2620</v>
      </c>
      <c r="AR47">
        <f t="shared" si="21"/>
        <v>2621</v>
      </c>
      <c r="AS47">
        <f t="shared" si="21"/>
        <v>2622</v>
      </c>
      <c r="AT47">
        <f t="shared" si="21"/>
        <v>2623</v>
      </c>
      <c r="AU47">
        <f t="shared" si="21"/>
        <v>2624</v>
      </c>
      <c r="AV47">
        <f t="shared" si="21"/>
        <v>2625</v>
      </c>
      <c r="AW47">
        <f t="shared" si="21"/>
        <v>2626</v>
      </c>
      <c r="AX47">
        <f t="shared" si="21"/>
        <v>2627</v>
      </c>
      <c r="AY47">
        <f t="shared" si="21"/>
        <v>2628</v>
      </c>
      <c r="AZ47">
        <f t="shared" si="21"/>
        <v>2629</v>
      </c>
      <c r="BA47">
        <f t="shared" si="21"/>
        <v>2630</v>
      </c>
      <c r="BB47" t="e">
        <f t="shared" si="22"/>
        <v>#N/A</v>
      </c>
      <c r="BC47" t="e">
        <f t="shared" si="22"/>
        <v>#N/A</v>
      </c>
      <c r="BD47" t="e">
        <f t="shared" si="22"/>
        <v>#N/A</v>
      </c>
      <c r="BE47" t="e">
        <f t="shared" si="22"/>
        <v>#N/A</v>
      </c>
      <c r="BF47" t="e">
        <f t="shared" si="22"/>
        <v>#N/A</v>
      </c>
      <c r="BG47" t="e">
        <f t="shared" si="22"/>
        <v>#N/A</v>
      </c>
      <c r="BH47" t="e">
        <f t="shared" si="22"/>
        <v>#N/A</v>
      </c>
      <c r="BI47" t="e">
        <f t="shared" si="22"/>
        <v>#N/A</v>
      </c>
      <c r="BJ47" t="e">
        <f t="shared" si="22"/>
        <v>#N/A</v>
      </c>
      <c r="BK47" t="e">
        <f t="shared" si="22"/>
        <v>#N/A</v>
      </c>
      <c r="BL47" t="e">
        <f t="shared" si="23"/>
        <v>#N/A</v>
      </c>
      <c r="BM47" t="e">
        <f t="shared" si="23"/>
        <v>#N/A</v>
      </c>
      <c r="BN47" t="e">
        <f t="shared" si="23"/>
        <v>#N/A</v>
      </c>
      <c r="BO47" t="e">
        <f t="shared" si="23"/>
        <v>#N/A</v>
      </c>
      <c r="BP47" t="e">
        <f t="shared" si="23"/>
        <v>#N/A</v>
      </c>
      <c r="BQ47" t="e">
        <f t="shared" si="23"/>
        <v>#N/A</v>
      </c>
      <c r="BR47" t="e">
        <f t="shared" si="23"/>
        <v>#N/A</v>
      </c>
      <c r="BS47" t="e">
        <f t="shared" si="23"/>
        <v>#N/A</v>
      </c>
      <c r="BT47" t="e">
        <f t="shared" si="23"/>
        <v>#N/A</v>
      </c>
      <c r="BU47" t="e">
        <f t="shared" si="23"/>
        <v>#N/A</v>
      </c>
      <c r="BV47" t="e">
        <f t="shared" si="24"/>
        <v>#N/A</v>
      </c>
      <c r="BW47" t="e">
        <f t="shared" si="24"/>
        <v>#N/A</v>
      </c>
      <c r="BX47" t="e">
        <f t="shared" si="24"/>
        <v>#N/A</v>
      </c>
      <c r="BY47" t="e">
        <f t="shared" si="24"/>
        <v>#N/A</v>
      </c>
      <c r="BZ47" t="e">
        <f t="shared" si="24"/>
        <v>#N/A</v>
      </c>
      <c r="CA47" t="e">
        <f t="shared" si="24"/>
        <v>#N/A</v>
      </c>
      <c r="CB47" t="e">
        <f t="shared" si="24"/>
        <v>#N/A</v>
      </c>
      <c r="CC47" t="e">
        <f t="shared" si="24"/>
        <v>#N/A</v>
      </c>
      <c r="CD47" t="e">
        <f t="shared" si="24"/>
        <v>#N/A</v>
      </c>
      <c r="CE47" t="e">
        <f t="shared" si="24"/>
        <v>#N/A</v>
      </c>
      <c r="CF47" t="e">
        <f t="shared" si="25"/>
        <v>#N/A</v>
      </c>
      <c r="CG47" t="e">
        <f t="shared" si="25"/>
        <v>#N/A</v>
      </c>
      <c r="CH47" t="e">
        <f t="shared" si="25"/>
        <v>#N/A</v>
      </c>
      <c r="CI47" t="e">
        <f t="shared" si="25"/>
        <v>#N/A</v>
      </c>
      <c r="CJ47" t="e">
        <f t="shared" si="25"/>
        <v>#N/A</v>
      </c>
      <c r="CK47" t="e">
        <f t="shared" si="25"/>
        <v>#N/A</v>
      </c>
      <c r="CL47" t="e">
        <f t="shared" si="25"/>
        <v>#N/A</v>
      </c>
      <c r="CM47" t="e">
        <f t="shared" si="25"/>
        <v>#N/A</v>
      </c>
      <c r="CN47" t="e">
        <f t="shared" si="25"/>
        <v>#N/A</v>
      </c>
      <c r="CO47" t="e">
        <f t="shared" si="25"/>
        <v>#N/A</v>
      </c>
      <c r="CP47" t="e">
        <f t="shared" si="26"/>
        <v>#N/A</v>
      </c>
      <c r="CQ47" t="e">
        <f t="shared" si="26"/>
        <v>#N/A</v>
      </c>
      <c r="CR47" t="e">
        <f t="shared" si="26"/>
        <v>#N/A</v>
      </c>
      <c r="CS47" t="e">
        <f t="shared" si="26"/>
        <v>#N/A</v>
      </c>
      <c r="CT47" t="e">
        <f t="shared" si="26"/>
        <v>#N/A</v>
      </c>
      <c r="CU47" t="e">
        <f t="shared" si="26"/>
        <v>#N/A</v>
      </c>
      <c r="CV47" t="e">
        <f t="shared" si="26"/>
        <v>#N/A</v>
      </c>
      <c r="CW47" t="e">
        <f t="shared" si="26"/>
        <v>#N/A</v>
      </c>
      <c r="CX47" t="e">
        <f t="shared" si="26"/>
        <v>#N/A</v>
      </c>
      <c r="CY47" t="e">
        <f t="shared" si="26"/>
        <v>#N/A</v>
      </c>
      <c r="CZ47" t="e">
        <f t="shared" si="27"/>
        <v>#N/A</v>
      </c>
      <c r="DA47" t="e">
        <f t="shared" si="27"/>
        <v>#N/A</v>
      </c>
      <c r="DB47" t="e">
        <f t="shared" si="27"/>
        <v>#N/A</v>
      </c>
      <c r="DC47" t="e">
        <f t="shared" si="27"/>
        <v>#N/A</v>
      </c>
      <c r="DD47" t="e">
        <f t="shared" si="27"/>
        <v>#N/A</v>
      </c>
      <c r="DE47" t="e">
        <f t="shared" si="27"/>
        <v>#N/A</v>
      </c>
      <c r="DF47" t="e">
        <f t="shared" si="27"/>
        <v>#N/A</v>
      </c>
      <c r="DG47" t="e">
        <f t="shared" si="27"/>
        <v>#N/A</v>
      </c>
      <c r="DH47" t="e">
        <f t="shared" si="27"/>
        <v>#N/A</v>
      </c>
      <c r="DI47" t="e">
        <f t="shared" si="27"/>
        <v>#N/A</v>
      </c>
      <c r="DJ47" t="e">
        <f t="shared" si="27"/>
        <v>#N/A</v>
      </c>
      <c r="DK47" t="e">
        <f t="shared" si="27"/>
        <v>#N/A</v>
      </c>
      <c r="DL47" t="e">
        <f t="shared" si="27"/>
        <v>#N/A</v>
      </c>
      <c r="DM47" t="e">
        <f t="shared" si="27"/>
        <v>#N/A</v>
      </c>
      <c r="DN47" t="e">
        <f t="shared" si="27"/>
        <v>#N/A</v>
      </c>
      <c r="DO47" t="e">
        <f t="shared" si="33"/>
        <v>#N/A</v>
      </c>
      <c r="DP47" t="e">
        <f t="shared" si="33"/>
        <v>#N/A</v>
      </c>
      <c r="DQ47" t="e">
        <f t="shared" si="33"/>
        <v>#N/A</v>
      </c>
      <c r="DR47" t="e">
        <f t="shared" si="33"/>
        <v>#N/A</v>
      </c>
      <c r="DS47" t="e">
        <f t="shared" si="33"/>
        <v>#N/A</v>
      </c>
      <c r="DT47">
        <f t="shared" si="33"/>
        <v>2631</v>
      </c>
      <c r="DU47">
        <f t="shared" si="33"/>
        <v>2632</v>
      </c>
      <c r="DV47">
        <f t="shared" si="33"/>
        <v>2633</v>
      </c>
      <c r="DW47">
        <f t="shared" si="33"/>
        <v>2634</v>
      </c>
      <c r="DX47">
        <f t="shared" si="33"/>
        <v>2635</v>
      </c>
      <c r="DY47">
        <f t="shared" si="33"/>
        <v>2636</v>
      </c>
      <c r="DZ47">
        <f t="shared" si="31"/>
        <v>2637</v>
      </c>
      <c r="EA47">
        <f t="shared" si="31"/>
        <v>2638</v>
      </c>
      <c r="EB47">
        <f t="shared" si="31"/>
        <v>2639</v>
      </c>
      <c r="EC47">
        <f t="shared" si="31"/>
        <v>2640</v>
      </c>
      <c r="ED47" t="e">
        <f t="shared" si="31"/>
        <v>#N/A</v>
      </c>
      <c r="EE47" t="e">
        <f t="shared" si="31"/>
        <v>#N/A</v>
      </c>
      <c r="EF47" t="e">
        <f t="shared" si="32"/>
        <v>#N/A</v>
      </c>
      <c r="EG47" t="e">
        <f t="shared" si="32"/>
        <v>#N/A</v>
      </c>
      <c r="EH47" t="e">
        <f t="shared" si="32"/>
        <v>#N/A</v>
      </c>
      <c r="EI47" t="e">
        <f t="shared" si="32"/>
        <v>#N/A</v>
      </c>
      <c r="EJ47" t="e">
        <f t="shared" si="32"/>
        <v>#N/A</v>
      </c>
      <c r="EK47" t="e">
        <f t="shared" si="32"/>
        <v>#N/A</v>
      </c>
      <c r="EL47" t="e">
        <f t="shared" si="32"/>
        <v>#N/A</v>
      </c>
      <c r="EM47" t="e">
        <f t="shared" si="32"/>
        <v>#N/A</v>
      </c>
    </row>
    <row r="48" spans="1:143" x14ac:dyDescent="0.4">
      <c r="A48" t="str">
        <f t="shared" si="16"/>
        <v/>
      </c>
      <c r="B48">
        <v>45</v>
      </c>
      <c r="C48" t="str" cm="1">
        <f t="array" ref="C48">INDEX(auto_Series_Code,B48)</f>
        <v>SUBINDI_023</v>
      </c>
      <c r="D48">
        <f t="shared" si="3"/>
        <v>2641</v>
      </c>
      <c r="E48">
        <f t="shared" si="3"/>
        <v>2642</v>
      </c>
      <c r="F48">
        <f t="shared" si="3"/>
        <v>2643</v>
      </c>
      <c r="G48">
        <f t="shared" si="3"/>
        <v>2644</v>
      </c>
      <c r="H48">
        <f t="shared" si="3"/>
        <v>2645</v>
      </c>
      <c r="I48">
        <f t="shared" si="3"/>
        <v>2646</v>
      </c>
      <c r="J48">
        <f t="shared" si="3"/>
        <v>2647</v>
      </c>
      <c r="K48">
        <f t="shared" si="3"/>
        <v>2648</v>
      </c>
      <c r="L48">
        <f t="shared" si="3"/>
        <v>2649</v>
      </c>
      <c r="M48">
        <f t="shared" si="3"/>
        <v>2650</v>
      </c>
      <c r="N48">
        <f t="shared" si="4"/>
        <v>2651</v>
      </c>
      <c r="O48">
        <f t="shared" si="4"/>
        <v>2652</v>
      </c>
      <c r="P48">
        <f t="shared" si="4"/>
        <v>2653</v>
      </c>
      <c r="Q48">
        <f t="shared" si="4"/>
        <v>2654</v>
      </c>
      <c r="R48">
        <f t="shared" si="4"/>
        <v>2655</v>
      </c>
      <c r="S48">
        <f t="shared" si="4"/>
        <v>2656</v>
      </c>
      <c r="T48">
        <f t="shared" si="4"/>
        <v>2657</v>
      </c>
      <c r="U48">
        <f t="shared" si="4"/>
        <v>2658</v>
      </c>
      <c r="V48">
        <f t="shared" si="4"/>
        <v>2659</v>
      </c>
      <c r="W48">
        <f t="shared" si="4"/>
        <v>2660</v>
      </c>
      <c r="X48">
        <f t="shared" si="5"/>
        <v>2661</v>
      </c>
      <c r="Y48">
        <f t="shared" si="5"/>
        <v>2662</v>
      </c>
      <c r="Z48">
        <f t="shared" si="5"/>
        <v>2663</v>
      </c>
      <c r="AA48">
        <f t="shared" si="5"/>
        <v>2664</v>
      </c>
      <c r="AB48">
        <f t="shared" si="5"/>
        <v>2665</v>
      </c>
      <c r="AC48">
        <f t="shared" si="5"/>
        <v>2666</v>
      </c>
      <c r="AD48">
        <f t="shared" si="5"/>
        <v>2667</v>
      </c>
      <c r="AE48">
        <f t="shared" si="5"/>
        <v>2668</v>
      </c>
      <c r="AF48">
        <f t="shared" si="5"/>
        <v>2669</v>
      </c>
      <c r="AG48">
        <f t="shared" si="5"/>
        <v>2670</v>
      </c>
      <c r="AH48">
        <f t="shared" si="6"/>
        <v>2671</v>
      </c>
      <c r="AI48">
        <f t="shared" si="6"/>
        <v>2672</v>
      </c>
      <c r="AJ48">
        <f t="shared" si="6"/>
        <v>2673</v>
      </c>
      <c r="AK48">
        <f t="shared" si="6"/>
        <v>2674</v>
      </c>
      <c r="AL48">
        <f t="shared" si="6"/>
        <v>2675</v>
      </c>
      <c r="AM48">
        <f t="shared" si="6"/>
        <v>2676</v>
      </c>
      <c r="AN48">
        <f t="shared" si="6"/>
        <v>2677</v>
      </c>
      <c r="AO48">
        <f t="shared" si="6"/>
        <v>2678</v>
      </c>
      <c r="AP48">
        <f t="shared" si="6"/>
        <v>2679</v>
      </c>
      <c r="AQ48">
        <f t="shared" si="6"/>
        <v>2680</v>
      </c>
      <c r="AR48">
        <f t="shared" si="7"/>
        <v>2681</v>
      </c>
      <c r="AS48">
        <f t="shared" si="7"/>
        <v>2682</v>
      </c>
      <c r="AT48">
        <f t="shared" si="7"/>
        <v>2683</v>
      </c>
      <c r="AU48">
        <f t="shared" si="7"/>
        <v>2684</v>
      </c>
      <c r="AV48">
        <f t="shared" si="7"/>
        <v>2685</v>
      </c>
      <c r="AW48">
        <f t="shared" si="7"/>
        <v>2686</v>
      </c>
      <c r="AX48">
        <f t="shared" si="7"/>
        <v>2687</v>
      </c>
      <c r="AY48">
        <f t="shared" si="7"/>
        <v>2688</v>
      </c>
      <c r="AZ48">
        <f t="shared" si="7"/>
        <v>2689</v>
      </c>
      <c r="BA48">
        <f t="shared" si="7"/>
        <v>2690</v>
      </c>
      <c r="BB48" t="e">
        <f t="shared" si="8"/>
        <v>#N/A</v>
      </c>
      <c r="BC48" t="e">
        <f t="shared" si="8"/>
        <v>#N/A</v>
      </c>
      <c r="BD48" t="e">
        <f t="shared" si="8"/>
        <v>#N/A</v>
      </c>
      <c r="BE48" t="e">
        <f t="shared" si="8"/>
        <v>#N/A</v>
      </c>
      <c r="BF48" t="e">
        <f t="shared" si="8"/>
        <v>#N/A</v>
      </c>
      <c r="BG48" t="e">
        <f t="shared" si="8"/>
        <v>#N/A</v>
      </c>
      <c r="BH48" t="e">
        <f t="shared" si="8"/>
        <v>#N/A</v>
      </c>
      <c r="BI48" t="e">
        <f t="shared" si="8"/>
        <v>#N/A</v>
      </c>
      <c r="BJ48" t="e">
        <f t="shared" si="8"/>
        <v>#N/A</v>
      </c>
      <c r="BK48" t="e">
        <f t="shared" si="8"/>
        <v>#N/A</v>
      </c>
      <c r="BL48" t="e">
        <f t="shared" si="9"/>
        <v>#N/A</v>
      </c>
      <c r="BM48" t="e">
        <f t="shared" si="9"/>
        <v>#N/A</v>
      </c>
      <c r="BN48" t="e">
        <f t="shared" si="9"/>
        <v>#N/A</v>
      </c>
      <c r="BO48" t="e">
        <f t="shared" si="9"/>
        <v>#N/A</v>
      </c>
      <c r="BP48" t="e">
        <f t="shared" si="9"/>
        <v>#N/A</v>
      </c>
      <c r="BQ48" t="e">
        <f t="shared" si="9"/>
        <v>#N/A</v>
      </c>
      <c r="BR48" t="e">
        <f t="shared" si="9"/>
        <v>#N/A</v>
      </c>
      <c r="BS48" t="e">
        <f t="shared" si="9"/>
        <v>#N/A</v>
      </c>
      <c r="BT48" t="e">
        <f t="shared" si="9"/>
        <v>#N/A</v>
      </c>
      <c r="BU48" t="e">
        <f t="shared" si="9"/>
        <v>#N/A</v>
      </c>
      <c r="BV48" t="e">
        <f t="shared" si="10"/>
        <v>#N/A</v>
      </c>
      <c r="BW48" t="e">
        <f t="shared" si="10"/>
        <v>#N/A</v>
      </c>
      <c r="BX48" t="e">
        <f t="shared" si="10"/>
        <v>#N/A</v>
      </c>
      <c r="BY48" t="e">
        <f t="shared" si="10"/>
        <v>#N/A</v>
      </c>
      <c r="BZ48" t="e">
        <f t="shared" si="10"/>
        <v>#N/A</v>
      </c>
      <c r="CA48" t="e">
        <f t="shared" si="10"/>
        <v>#N/A</v>
      </c>
      <c r="CB48" t="e">
        <f t="shared" si="10"/>
        <v>#N/A</v>
      </c>
      <c r="CC48" t="e">
        <f t="shared" si="10"/>
        <v>#N/A</v>
      </c>
      <c r="CD48" t="e">
        <f t="shared" si="10"/>
        <v>#N/A</v>
      </c>
      <c r="CE48" t="e">
        <f t="shared" si="10"/>
        <v>#N/A</v>
      </c>
      <c r="CF48" t="e">
        <f t="shared" si="11"/>
        <v>#N/A</v>
      </c>
      <c r="CG48" t="e">
        <f t="shared" si="11"/>
        <v>#N/A</v>
      </c>
      <c r="CH48" t="e">
        <f t="shared" si="11"/>
        <v>#N/A</v>
      </c>
      <c r="CI48" t="e">
        <f t="shared" si="11"/>
        <v>#N/A</v>
      </c>
      <c r="CJ48" t="e">
        <f t="shared" si="11"/>
        <v>#N/A</v>
      </c>
      <c r="CK48" t="e">
        <f t="shared" si="11"/>
        <v>#N/A</v>
      </c>
      <c r="CL48" t="e">
        <f t="shared" si="11"/>
        <v>#N/A</v>
      </c>
      <c r="CM48" t="e">
        <f t="shared" si="11"/>
        <v>#N/A</v>
      </c>
      <c r="CN48" t="e">
        <f t="shared" si="11"/>
        <v>#N/A</v>
      </c>
      <c r="CO48" t="e">
        <f t="shared" si="11"/>
        <v>#N/A</v>
      </c>
      <c r="CP48" t="e">
        <f t="shared" si="12"/>
        <v>#N/A</v>
      </c>
      <c r="CQ48" t="e">
        <f t="shared" si="12"/>
        <v>#N/A</v>
      </c>
      <c r="CR48" t="e">
        <f t="shared" si="12"/>
        <v>#N/A</v>
      </c>
      <c r="CS48" t="e">
        <f t="shared" si="12"/>
        <v>#N/A</v>
      </c>
      <c r="CT48" t="e">
        <f t="shared" si="12"/>
        <v>#N/A</v>
      </c>
      <c r="CU48" t="e">
        <f t="shared" si="12"/>
        <v>#N/A</v>
      </c>
      <c r="CV48" t="e">
        <f t="shared" si="12"/>
        <v>#N/A</v>
      </c>
      <c r="CW48" t="e">
        <f t="shared" si="12"/>
        <v>#N/A</v>
      </c>
      <c r="CX48" t="e">
        <f t="shared" si="12"/>
        <v>#N/A</v>
      </c>
      <c r="CY48" t="e">
        <f t="shared" si="12"/>
        <v>#N/A</v>
      </c>
      <c r="CZ48" t="e">
        <f t="shared" si="12"/>
        <v>#N/A</v>
      </c>
      <c r="DA48" t="e">
        <f t="shared" si="12"/>
        <v>#N/A</v>
      </c>
      <c r="DB48" t="e">
        <f t="shared" si="12"/>
        <v>#N/A</v>
      </c>
      <c r="DC48" t="e">
        <f t="shared" si="12"/>
        <v>#N/A</v>
      </c>
      <c r="DD48" t="e">
        <f t="shared" si="12"/>
        <v>#N/A</v>
      </c>
      <c r="DE48" t="e">
        <f t="shared" si="12"/>
        <v>#N/A</v>
      </c>
      <c r="DF48" t="e">
        <f t="shared" ref="DF48:DU66" si="34">MATCH(CONCATENATE(DF$3,"_",$C48),auto_DataFlat_UID,0)</f>
        <v>#N/A</v>
      </c>
      <c r="DG48" t="e">
        <f t="shared" si="34"/>
        <v>#N/A</v>
      </c>
      <c r="DH48" t="e">
        <f t="shared" si="34"/>
        <v>#N/A</v>
      </c>
      <c r="DI48" t="e">
        <f t="shared" si="34"/>
        <v>#N/A</v>
      </c>
      <c r="DJ48" t="e">
        <f t="shared" si="34"/>
        <v>#N/A</v>
      </c>
      <c r="DK48" t="e">
        <f t="shared" si="34"/>
        <v>#N/A</v>
      </c>
      <c r="DL48" t="e">
        <f t="shared" si="34"/>
        <v>#N/A</v>
      </c>
      <c r="DM48" t="e">
        <f t="shared" si="34"/>
        <v>#N/A</v>
      </c>
      <c r="DN48" t="e">
        <f t="shared" si="34"/>
        <v>#N/A</v>
      </c>
      <c r="DO48" t="e">
        <f t="shared" si="34"/>
        <v>#N/A</v>
      </c>
      <c r="DP48" t="e">
        <f t="shared" si="34"/>
        <v>#N/A</v>
      </c>
      <c r="DQ48" t="e">
        <f t="shared" si="34"/>
        <v>#N/A</v>
      </c>
      <c r="DR48" t="e">
        <f t="shared" si="34"/>
        <v>#N/A</v>
      </c>
      <c r="DS48" t="e">
        <f t="shared" si="34"/>
        <v>#N/A</v>
      </c>
      <c r="DT48">
        <f t="shared" si="34"/>
        <v>2691</v>
      </c>
      <c r="DU48">
        <f t="shared" si="34"/>
        <v>2692</v>
      </c>
      <c r="DV48">
        <f t="shared" si="33"/>
        <v>2693</v>
      </c>
      <c r="DW48">
        <f t="shared" si="33"/>
        <v>2694</v>
      </c>
      <c r="DX48">
        <f t="shared" si="33"/>
        <v>2695</v>
      </c>
      <c r="DY48">
        <f t="shared" si="33"/>
        <v>2696</v>
      </c>
      <c r="DZ48">
        <f t="shared" si="31"/>
        <v>2697</v>
      </c>
      <c r="EA48">
        <f t="shared" si="31"/>
        <v>2698</v>
      </c>
      <c r="EB48">
        <f t="shared" si="31"/>
        <v>2699</v>
      </c>
      <c r="EC48">
        <f t="shared" si="31"/>
        <v>2700</v>
      </c>
      <c r="ED48" t="e">
        <f t="shared" si="31"/>
        <v>#N/A</v>
      </c>
      <c r="EE48" t="e">
        <f t="shared" si="31"/>
        <v>#N/A</v>
      </c>
      <c r="EF48" t="e">
        <f t="shared" si="32"/>
        <v>#N/A</v>
      </c>
      <c r="EG48" t="e">
        <f t="shared" si="32"/>
        <v>#N/A</v>
      </c>
      <c r="EH48" t="e">
        <f t="shared" si="32"/>
        <v>#N/A</v>
      </c>
      <c r="EI48" t="e">
        <f t="shared" si="32"/>
        <v>#N/A</v>
      </c>
      <c r="EJ48" t="e">
        <f t="shared" si="32"/>
        <v>#N/A</v>
      </c>
      <c r="EK48" t="e">
        <f t="shared" si="32"/>
        <v>#N/A</v>
      </c>
      <c r="EL48" t="e">
        <f t="shared" si="32"/>
        <v>#N/A</v>
      </c>
      <c r="EM48" t="e">
        <f t="shared" si="32"/>
        <v>#N/A</v>
      </c>
    </row>
    <row r="49" spans="1:143" x14ac:dyDescent="0.4">
      <c r="A49" t="str">
        <f t="shared" si="16"/>
        <v/>
      </c>
      <c r="B49">
        <v>46</v>
      </c>
      <c r="C49" t="str" cm="1">
        <f t="array" ref="C49">INDEX(auto_Series_Code,B49)</f>
        <v>SUBINDI_024</v>
      </c>
      <c r="D49">
        <f t="shared" si="17"/>
        <v>2701</v>
      </c>
      <c r="E49">
        <f t="shared" si="17"/>
        <v>2702</v>
      </c>
      <c r="F49">
        <f t="shared" si="17"/>
        <v>2703</v>
      </c>
      <c r="G49">
        <f t="shared" si="17"/>
        <v>2704</v>
      </c>
      <c r="H49">
        <f t="shared" si="17"/>
        <v>2705</v>
      </c>
      <c r="I49">
        <f t="shared" si="17"/>
        <v>2706</v>
      </c>
      <c r="J49">
        <f t="shared" si="17"/>
        <v>2707</v>
      </c>
      <c r="K49">
        <f t="shared" si="17"/>
        <v>2708</v>
      </c>
      <c r="L49">
        <f t="shared" si="17"/>
        <v>2709</v>
      </c>
      <c r="M49">
        <f t="shared" si="17"/>
        <v>2710</v>
      </c>
      <c r="N49">
        <f t="shared" si="18"/>
        <v>2711</v>
      </c>
      <c r="O49">
        <f t="shared" si="18"/>
        <v>2712</v>
      </c>
      <c r="P49">
        <f t="shared" si="18"/>
        <v>2713</v>
      </c>
      <c r="Q49">
        <f t="shared" si="18"/>
        <v>2714</v>
      </c>
      <c r="R49">
        <f t="shared" si="18"/>
        <v>2715</v>
      </c>
      <c r="S49">
        <f t="shared" si="18"/>
        <v>2716</v>
      </c>
      <c r="T49">
        <f t="shared" si="18"/>
        <v>2717</v>
      </c>
      <c r="U49">
        <f t="shared" si="18"/>
        <v>2718</v>
      </c>
      <c r="V49">
        <f t="shared" si="18"/>
        <v>2719</v>
      </c>
      <c r="W49">
        <f t="shared" si="18"/>
        <v>2720</v>
      </c>
      <c r="X49">
        <f t="shared" si="19"/>
        <v>2721</v>
      </c>
      <c r="Y49">
        <f t="shared" si="19"/>
        <v>2722</v>
      </c>
      <c r="Z49">
        <f t="shared" si="19"/>
        <v>2723</v>
      </c>
      <c r="AA49">
        <f t="shared" si="19"/>
        <v>2724</v>
      </c>
      <c r="AB49">
        <f t="shared" si="19"/>
        <v>2725</v>
      </c>
      <c r="AC49">
        <f t="shared" si="19"/>
        <v>2726</v>
      </c>
      <c r="AD49">
        <f t="shared" si="19"/>
        <v>2727</v>
      </c>
      <c r="AE49">
        <f t="shared" si="19"/>
        <v>2728</v>
      </c>
      <c r="AF49">
        <f t="shared" si="19"/>
        <v>2729</v>
      </c>
      <c r="AG49">
        <f t="shared" si="19"/>
        <v>2730</v>
      </c>
      <c r="AH49">
        <f t="shared" si="20"/>
        <v>2731</v>
      </c>
      <c r="AI49">
        <f t="shared" si="20"/>
        <v>2732</v>
      </c>
      <c r="AJ49">
        <f t="shared" si="20"/>
        <v>2733</v>
      </c>
      <c r="AK49">
        <f t="shared" si="20"/>
        <v>2734</v>
      </c>
      <c r="AL49">
        <f t="shared" si="20"/>
        <v>2735</v>
      </c>
      <c r="AM49">
        <f t="shared" si="20"/>
        <v>2736</v>
      </c>
      <c r="AN49">
        <f t="shared" si="20"/>
        <v>2737</v>
      </c>
      <c r="AO49">
        <f t="shared" si="20"/>
        <v>2738</v>
      </c>
      <c r="AP49">
        <f t="shared" si="20"/>
        <v>2739</v>
      </c>
      <c r="AQ49">
        <f t="shared" si="20"/>
        <v>2740</v>
      </c>
      <c r="AR49">
        <f t="shared" si="21"/>
        <v>2741</v>
      </c>
      <c r="AS49">
        <f t="shared" si="21"/>
        <v>2742</v>
      </c>
      <c r="AT49">
        <f t="shared" si="21"/>
        <v>2743</v>
      </c>
      <c r="AU49">
        <f t="shared" si="21"/>
        <v>2744</v>
      </c>
      <c r="AV49">
        <f t="shared" si="21"/>
        <v>2745</v>
      </c>
      <c r="AW49">
        <f t="shared" si="21"/>
        <v>2746</v>
      </c>
      <c r="AX49">
        <f t="shared" si="21"/>
        <v>2747</v>
      </c>
      <c r="AY49">
        <f t="shared" si="21"/>
        <v>2748</v>
      </c>
      <c r="AZ49">
        <f t="shared" si="21"/>
        <v>2749</v>
      </c>
      <c r="BA49">
        <f t="shared" si="21"/>
        <v>2750</v>
      </c>
      <c r="BB49" t="e">
        <f t="shared" si="22"/>
        <v>#N/A</v>
      </c>
      <c r="BC49" t="e">
        <f t="shared" si="22"/>
        <v>#N/A</v>
      </c>
      <c r="BD49" t="e">
        <f t="shared" si="22"/>
        <v>#N/A</v>
      </c>
      <c r="BE49" t="e">
        <f t="shared" si="22"/>
        <v>#N/A</v>
      </c>
      <c r="BF49" t="e">
        <f t="shared" si="22"/>
        <v>#N/A</v>
      </c>
      <c r="BG49" t="e">
        <f t="shared" si="22"/>
        <v>#N/A</v>
      </c>
      <c r="BH49" t="e">
        <f t="shared" si="22"/>
        <v>#N/A</v>
      </c>
      <c r="BI49" t="e">
        <f t="shared" si="22"/>
        <v>#N/A</v>
      </c>
      <c r="BJ49" t="e">
        <f t="shared" si="22"/>
        <v>#N/A</v>
      </c>
      <c r="BK49" t="e">
        <f t="shared" si="22"/>
        <v>#N/A</v>
      </c>
      <c r="BL49" t="e">
        <f t="shared" si="23"/>
        <v>#N/A</v>
      </c>
      <c r="BM49" t="e">
        <f t="shared" si="23"/>
        <v>#N/A</v>
      </c>
      <c r="BN49" t="e">
        <f t="shared" si="23"/>
        <v>#N/A</v>
      </c>
      <c r="BO49" t="e">
        <f t="shared" si="23"/>
        <v>#N/A</v>
      </c>
      <c r="BP49" t="e">
        <f t="shared" si="23"/>
        <v>#N/A</v>
      </c>
      <c r="BQ49" t="e">
        <f t="shared" si="23"/>
        <v>#N/A</v>
      </c>
      <c r="BR49" t="e">
        <f t="shared" si="23"/>
        <v>#N/A</v>
      </c>
      <c r="BS49" t="e">
        <f t="shared" si="23"/>
        <v>#N/A</v>
      </c>
      <c r="BT49" t="e">
        <f t="shared" si="23"/>
        <v>#N/A</v>
      </c>
      <c r="BU49" t="e">
        <f t="shared" si="23"/>
        <v>#N/A</v>
      </c>
      <c r="BV49" t="e">
        <f t="shared" si="24"/>
        <v>#N/A</v>
      </c>
      <c r="BW49" t="e">
        <f t="shared" si="24"/>
        <v>#N/A</v>
      </c>
      <c r="BX49" t="e">
        <f t="shared" si="24"/>
        <v>#N/A</v>
      </c>
      <c r="BY49" t="e">
        <f t="shared" si="24"/>
        <v>#N/A</v>
      </c>
      <c r="BZ49" t="e">
        <f t="shared" si="24"/>
        <v>#N/A</v>
      </c>
      <c r="CA49" t="e">
        <f t="shared" si="24"/>
        <v>#N/A</v>
      </c>
      <c r="CB49" t="e">
        <f t="shared" si="24"/>
        <v>#N/A</v>
      </c>
      <c r="CC49" t="e">
        <f t="shared" si="24"/>
        <v>#N/A</v>
      </c>
      <c r="CD49" t="e">
        <f t="shared" si="24"/>
        <v>#N/A</v>
      </c>
      <c r="CE49" t="e">
        <f t="shared" si="24"/>
        <v>#N/A</v>
      </c>
      <c r="CF49" t="e">
        <f t="shared" si="25"/>
        <v>#N/A</v>
      </c>
      <c r="CG49" t="e">
        <f t="shared" si="25"/>
        <v>#N/A</v>
      </c>
      <c r="CH49" t="e">
        <f t="shared" si="25"/>
        <v>#N/A</v>
      </c>
      <c r="CI49" t="e">
        <f t="shared" si="25"/>
        <v>#N/A</v>
      </c>
      <c r="CJ49" t="e">
        <f t="shared" si="25"/>
        <v>#N/A</v>
      </c>
      <c r="CK49" t="e">
        <f t="shared" si="25"/>
        <v>#N/A</v>
      </c>
      <c r="CL49" t="e">
        <f t="shared" si="25"/>
        <v>#N/A</v>
      </c>
      <c r="CM49" t="e">
        <f t="shared" si="25"/>
        <v>#N/A</v>
      </c>
      <c r="CN49" t="e">
        <f t="shared" si="25"/>
        <v>#N/A</v>
      </c>
      <c r="CO49" t="e">
        <f t="shared" si="25"/>
        <v>#N/A</v>
      </c>
      <c r="CP49" t="e">
        <f t="shared" si="26"/>
        <v>#N/A</v>
      </c>
      <c r="CQ49" t="e">
        <f t="shared" si="26"/>
        <v>#N/A</v>
      </c>
      <c r="CR49" t="e">
        <f t="shared" si="26"/>
        <v>#N/A</v>
      </c>
      <c r="CS49" t="e">
        <f t="shared" si="26"/>
        <v>#N/A</v>
      </c>
      <c r="CT49" t="e">
        <f t="shared" si="26"/>
        <v>#N/A</v>
      </c>
      <c r="CU49" t="e">
        <f t="shared" si="26"/>
        <v>#N/A</v>
      </c>
      <c r="CV49" t="e">
        <f t="shared" si="26"/>
        <v>#N/A</v>
      </c>
      <c r="CW49" t="e">
        <f t="shared" si="26"/>
        <v>#N/A</v>
      </c>
      <c r="CX49" t="e">
        <f t="shared" si="26"/>
        <v>#N/A</v>
      </c>
      <c r="CY49" t="e">
        <f t="shared" si="26"/>
        <v>#N/A</v>
      </c>
      <c r="CZ49" t="e">
        <f t="shared" si="26"/>
        <v>#N/A</v>
      </c>
      <c r="DA49" t="e">
        <f t="shared" si="26"/>
        <v>#N/A</v>
      </c>
      <c r="DB49" t="e">
        <f t="shared" si="26"/>
        <v>#N/A</v>
      </c>
      <c r="DC49" t="e">
        <f t="shared" si="26"/>
        <v>#N/A</v>
      </c>
      <c r="DD49" t="e">
        <f t="shared" si="26"/>
        <v>#N/A</v>
      </c>
      <c r="DE49" t="e">
        <f t="shared" si="26"/>
        <v>#N/A</v>
      </c>
      <c r="DF49" t="e">
        <f t="shared" si="34"/>
        <v>#N/A</v>
      </c>
      <c r="DG49" t="e">
        <f t="shared" si="34"/>
        <v>#N/A</v>
      </c>
      <c r="DH49" t="e">
        <f t="shared" si="34"/>
        <v>#N/A</v>
      </c>
      <c r="DI49" t="e">
        <f t="shared" si="34"/>
        <v>#N/A</v>
      </c>
      <c r="DJ49" t="e">
        <f t="shared" si="34"/>
        <v>#N/A</v>
      </c>
      <c r="DK49" t="e">
        <f t="shared" si="34"/>
        <v>#N/A</v>
      </c>
      <c r="DL49" t="e">
        <f t="shared" si="34"/>
        <v>#N/A</v>
      </c>
      <c r="DM49" t="e">
        <f t="shared" si="34"/>
        <v>#N/A</v>
      </c>
      <c r="DN49" t="e">
        <f t="shared" si="34"/>
        <v>#N/A</v>
      </c>
      <c r="DO49" t="e">
        <f t="shared" si="34"/>
        <v>#N/A</v>
      </c>
      <c r="DP49" t="e">
        <f t="shared" si="34"/>
        <v>#N/A</v>
      </c>
      <c r="DQ49" t="e">
        <f t="shared" si="34"/>
        <v>#N/A</v>
      </c>
      <c r="DR49" t="e">
        <f t="shared" si="34"/>
        <v>#N/A</v>
      </c>
      <c r="DS49" t="e">
        <f t="shared" si="34"/>
        <v>#N/A</v>
      </c>
      <c r="DT49">
        <f t="shared" si="34"/>
        <v>2751</v>
      </c>
      <c r="DU49">
        <f t="shared" si="34"/>
        <v>2752</v>
      </c>
      <c r="DV49">
        <f t="shared" si="33"/>
        <v>2753</v>
      </c>
      <c r="DW49">
        <f t="shared" si="33"/>
        <v>2754</v>
      </c>
      <c r="DX49">
        <f t="shared" si="33"/>
        <v>2755</v>
      </c>
      <c r="DY49">
        <f t="shared" si="33"/>
        <v>2756</v>
      </c>
      <c r="DZ49">
        <f t="shared" si="31"/>
        <v>2757</v>
      </c>
      <c r="EA49">
        <f t="shared" si="31"/>
        <v>2758</v>
      </c>
      <c r="EB49">
        <f t="shared" si="31"/>
        <v>2759</v>
      </c>
      <c r="EC49">
        <f t="shared" si="31"/>
        <v>2760</v>
      </c>
      <c r="ED49" t="e">
        <f t="shared" si="31"/>
        <v>#N/A</v>
      </c>
      <c r="EE49" t="e">
        <f t="shared" si="31"/>
        <v>#N/A</v>
      </c>
      <c r="EF49" t="e">
        <f t="shared" si="32"/>
        <v>#N/A</v>
      </c>
      <c r="EG49" t="e">
        <f t="shared" si="32"/>
        <v>#N/A</v>
      </c>
      <c r="EH49" t="e">
        <f t="shared" si="32"/>
        <v>#N/A</v>
      </c>
      <c r="EI49" t="e">
        <f t="shared" si="32"/>
        <v>#N/A</v>
      </c>
      <c r="EJ49" t="e">
        <f t="shared" si="32"/>
        <v>#N/A</v>
      </c>
      <c r="EK49" t="e">
        <f t="shared" si="32"/>
        <v>#N/A</v>
      </c>
      <c r="EL49" t="e">
        <f t="shared" si="32"/>
        <v>#N/A</v>
      </c>
      <c r="EM49" t="e">
        <f t="shared" si="32"/>
        <v>#N/A</v>
      </c>
    </row>
    <row r="50" spans="1:143" x14ac:dyDescent="0.4">
      <c r="A50" t="str">
        <f t="shared" si="16"/>
        <v/>
      </c>
      <c r="B50">
        <v>47</v>
      </c>
      <c r="C50" t="str" cm="1">
        <f t="array" ref="C50">INDEX(auto_Series_Code,B50)</f>
        <v>DOMAIN_004</v>
      </c>
      <c r="D50">
        <f t="shared" si="3"/>
        <v>2761</v>
      </c>
      <c r="E50">
        <f t="shared" si="3"/>
        <v>2762</v>
      </c>
      <c r="F50">
        <f t="shared" si="3"/>
        <v>2763</v>
      </c>
      <c r="G50">
        <f t="shared" si="3"/>
        <v>2764</v>
      </c>
      <c r="H50">
        <f t="shared" si="3"/>
        <v>2765</v>
      </c>
      <c r="I50">
        <f t="shared" si="3"/>
        <v>2766</v>
      </c>
      <c r="J50">
        <f t="shared" si="3"/>
        <v>2767</v>
      </c>
      <c r="K50">
        <f t="shared" si="3"/>
        <v>2768</v>
      </c>
      <c r="L50">
        <f t="shared" si="3"/>
        <v>2769</v>
      </c>
      <c r="M50">
        <f t="shared" si="3"/>
        <v>2770</v>
      </c>
      <c r="N50">
        <f t="shared" si="4"/>
        <v>2771</v>
      </c>
      <c r="O50">
        <f t="shared" si="4"/>
        <v>2772</v>
      </c>
      <c r="P50">
        <f t="shared" si="4"/>
        <v>2773</v>
      </c>
      <c r="Q50">
        <f t="shared" si="4"/>
        <v>2774</v>
      </c>
      <c r="R50">
        <f t="shared" si="4"/>
        <v>2775</v>
      </c>
      <c r="S50">
        <f t="shared" si="4"/>
        <v>2776</v>
      </c>
      <c r="T50">
        <f t="shared" si="4"/>
        <v>2777</v>
      </c>
      <c r="U50">
        <f t="shared" si="4"/>
        <v>2778</v>
      </c>
      <c r="V50">
        <f t="shared" si="4"/>
        <v>2779</v>
      </c>
      <c r="W50">
        <f t="shared" si="4"/>
        <v>2780</v>
      </c>
      <c r="X50">
        <f t="shared" si="5"/>
        <v>2781</v>
      </c>
      <c r="Y50">
        <f t="shared" si="5"/>
        <v>2782</v>
      </c>
      <c r="Z50">
        <f t="shared" si="5"/>
        <v>2783</v>
      </c>
      <c r="AA50">
        <f t="shared" si="5"/>
        <v>2784</v>
      </c>
      <c r="AB50">
        <f t="shared" si="5"/>
        <v>2785</v>
      </c>
      <c r="AC50">
        <f t="shared" si="5"/>
        <v>2786</v>
      </c>
      <c r="AD50">
        <f t="shared" si="5"/>
        <v>2787</v>
      </c>
      <c r="AE50">
        <f t="shared" si="5"/>
        <v>2788</v>
      </c>
      <c r="AF50">
        <f t="shared" si="5"/>
        <v>2789</v>
      </c>
      <c r="AG50">
        <f t="shared" si="5"/>
        <v>2790</v>
      </c>
      <c r="AH50">
        <f t="shared" si="6"/>
        <v>2791</v>
      </c>
      <c r="AI50">
        <f t="shared" si="6"/>
        <v>2792</v>
      </c>
      <c r="AJ50">
        <f t="shared" si="6"/>
        <v>2793</v>
      </c>
      <c r="AK50">
        <f t="shared" si="6"/>
        <v>2794</v>
      </c>
      <c r="AL50">
        <f t="shared" si="6"/>
        <v>2795</v>
      </c>
      <c r="AM50">
        <f t="shared" si="6"/>
        <v>2796</v>
      </c>
      <c r="AN50">
        <f t="shared" si="6"/>
        <v>2797</v>
      </c>
      <c r="AO50">
        <f t="shared" si="6"/>
        <v>2798</v>
      </c>
      <c r="AP50">
        <f t="shared" si="6"/>
        <v>2799</v>
      </c>
      <c r="AQ50">
        <f t="shared" si="6"/>
        <v>2800</v>
      </c>
      <c r="AR50">
        <f t="shared" si="7"/>
        <v>2801</v>
      </c>
      <c r="AS50">
        <f t="shared" si="7"/>
        <v>2802</v>
      </c>
      <c r="AT50">
        <f t="shared" si="7"/>
        <v>2803</v>
      </c>
      <c r="AU50">
        <f t="shared" si="7"/>
        <v>2804</v>
      </c>
      <c r="AV50">
        <f t="shared" si="7"/>
        <v>2805</v>
      </c>
      <c r="AW50">
        <f t="shared" si="7"/>
        <v>2806</v>
      </c>
      <c r="AX50">
        <f t="shared" si="7"/>
        <v>2807</v>
      </c>
      <c r="AY50">
        <f t="shared" si="7"/>
        <v>2808</v>
      </c>
      <c r="AZ50">
        <f t="shared" si="7"/>
        <v>2809</v>
      </c>
      <c r="BA50">
        <f t="shared" si="7"/>
        <v>2810</v>
      </c>
      <c r="BB50" t="e">
        <f t="shared" si="8"/>
        <v>#N/A</v>
      </c>
      <c r="BC50" t="e">
        <f t="shared" si="8"/>
        <v>#N/A</v>
      </c>
      <c r="BD50" t="e">
        <f t="shared" si="8"/>
        <v>#N/A</v>
      </c>
      <c r="BE50" t="e">
        <f t="shared" si="8"/>
        <v>#N/A</v>
      </c>
      <c r="BF50" t="e">
        <f t="shared" si="8"/>
        <v>#N/A</v>
      </c>
      <c r="BG50" t="e">
        <f t="shared" si="8"/>
        <v>#N/A</v>
      </c>
      <c r="BH50" t="e">
        <f t="shared" si="8"/>
        <v>#N/A</v>
      </c>
      <c r="BI50" t="e">
        <f t="shared" si="8"/>
        <v>#N/A</v>
      </c>
      <c r="BJ50" t="e">
        <f t="shared" si="8"/>
        <v>#N/A</v>
      </c>
      <c r="BK50" t="e">
        <f t="shared" si="8"/>
        <v>#N/A</v>
      </c>
      <c r="BL50" t="e">
        <f t="shared" si="9"/>
        <v>#N/A</v>
      </c>
      <c r="BM50" t="e">
        <f t="shared" si="9"/>
        <v>#N/A</v>
      </c>
      <c r="BN50" t="e">
        <f t="shared" si="9"/>
        <v>#N/A</v>
      </c>
      <c r="BO50" t="e">
        <f t="shared" si="9"/>
        <v>#N/A</v>
      </c>
      <c r="BP50" t="e">
        <f t="shared" si="9"/>
        <v>#N/A</v>
      </c>
      <c r="BQ50" t="e">
        <f t="shared" si="9"/>
        <v>#N/A</v>
      </c>
      <c r="BR50" t="e">
        <f t="shared" si="9"/>
        <v>#N/A</v>
      </c>
      <c r="BS50" t="e">
        <f t="shared" si="9"/>
        <v>#N/A</v>
      </c>
      <c r="BT50" t="e">
        <f t="shared" si="9"/>
        <v>#N/A</v>
      </c>
      <c r="BU50" t="e">
        <f t="shared" si="9"/>
        <v>#N/A</v>
      </c>
      <c r="BV50" t="e">
        <f t="shared" si="10"/>
        <v>#N/A</v>
      </c>
      <c r="BW50" t="e">
        <f t="shared" si="10"/>
        <v>#N/A</v>
      </c>
      <c r="BX50" t="e">
        <f t="shared" si="10"/>
        <v>#N/A</v>
      </c>
      <c r="BY50" t="e">
        <f t="shared" si="10"/>
        <v>#N/A</v>
      </c>
      <c r="BZ50" t="e">
        <f t="shared" si="10"/>
        <v>#N/A</v>
      </c>
      <c r="CA50" t="e">
        <f t="shared" si="10"/>
        <v>#N/A</v>
      </c>
      <c r="CB50" t="e">
        <f t="shared" si="10"/>
        <v>#N/A</v>
      </c>
      <c r="CC50" t="e">
        <f t="shared" si="10"/>
        <v>#N/A</v>
      </c>
      <c r="CD50" t="e">
        <f t="shared" si="10"/>
        <v>#N/A</v>
      </c>
      <c r="CE50" t="e">
        <f t="shared" si="10"/>
        <v>#N/A</v>
      </c>
      <c r="CF50" t="e">
        <f t="shared" si="11"/>
        <v>#N/A</v>
      </c>
      <c r="CG50" t="e">
        <f t="shared" si="11"/>
        <v>#N/A</v>
      </c>
      <c r="CH50" t="e">
        <f t="shared" si="11"/>
        <v>#N/A</v>
      </c>
      <c r="CI50" t="e">
        <f t="shared" si="11"/>
        <v>#N/A</v>
      </c>
      <c r="CJ50" t="e">
        <f t="shared" si="11"/>
        <v>#N/A</v>
      </c>
      <c r="CK50" t="e">
        <f t="shared" si="11"/>
        <v>#N/A</v>
      </c>
      <c r="CL50" t="e">
        <f t="shared" si="11"/>
        <v>#N/A</v>
      </c>
      <c r="CM50" t="e">
        <f t="shared" si="11"/>
        <v>#N/A</v>
      </c>
      <c r="CN50" t="e">
        <f t="shared" si="11"/>
        <v>#N/A</v>
      </c>
      <c r="CO50" t="e">
        <f t="shared" si="11"/>
        <v>#N/A</v>
      </c>
      <c r="CP50" t="e">
        <f t="shared" si="12"/>
        <v>#N/A</v>
      </c>
      <c r="CQ50" t="e">
        <f t="shared" si="12"/>
        <v>#N/A</v>
      </c>
      <c r="CR50" t="e">
        <f t="shared" si="12"/>
        <v>#N/A</v>
      </c>
      <c r="CS50" t="e">
        <f t="shared" si="12"/>
        <v>#N/A</v>
      </c>
      <c r="CT50" t="e">
        <f t="shared" si="12"/>
        <v>#N/A</v>
      </c>
      <c r="CU50" t="e">
        <f t="shared" si="12"/>
        <v>#N/A</v>
      </c>
      <c r="CV50" t="e">
        <f t="shared" si="12"/>
        <v>#N/A</v>
      </c>
      <c r="CW50" t="e">
        <f t="shared" si="12"/>
        <v>#N/A</v>
      </c>
      <c r="CX50" t="e">
        <f t="shared" si="12"/>
        <v>#N/A</v>
      </c>
      <c r="CY50" t="e">
        <f t="shared" si="12"/>
        <v>#N/A</v>
      </c>
      <c r="CZ50" t="e">
        <f t="shared" si="12"/>
        <v>#N/A</v>
      </c>
      <c r="DA50" t="e">
        <f t="shared" si="12"/>
        <v>#N/A</v>
      </c>
      <c r="DB50" t="e">
        <f t="shared" si="12"/>
        <v>#N/A</v>
      </c>
      <c r="DC50" t="e">
        <f t="shared" si="12"/>
        <v>#N/A</v>
      </c>
      <c r="DD50" t="e">
        <f t="shared" si="12"/>
        <v>#N/A</v>
      </c>
      <c r="DE50" t="e">
        <f t="shared" si="12"/>
        <v>#N/A</v>
      </c>
      <c r="DF50" t="e">
        <f t="shared" si="34"/>
        <v>#N/A</v>
      </c>
      <c r="DG50" t="e">
        <f t="shared" si="34"/>
        <v>#N/A</v>
      </c>
      <c r="DH50" t="e">
        <f t="shared" si="34"/>
        <v>#N/A</v>
      </c>
      <c r="DI50" t="e">
        <f t="shared" si="34"/>
        <v>#N/A</v>
      </c>
      <c r="DJ50" t="e">
        <f t="shared" si="34"/>
        <v>#N/A</v>
      </c>
      <c r="DK50" t="e">
        <f t="shared" si="34"/>
        <v>#N/A</v>
      </c>
      <c r="DL50" t="e">
        <f t="shared" si="34"/>
        <v>#N/A</v>
      </c>
      <c r="DM50" t="e">
        <f t="shared" si="34"/>
        <v>#N/A</v>
      </c>
      <c r="DN50" t="e">
        <f t="shared" si="34"/>
        <v>#N/A</v>
      </c>
      <c r="DO50" t="e">
        <f t="shared" si="34"/>
        <v>#N/A</v>
      </c>
      <c r="DP50" t="e">
        <f t="shared" si="34"/>
        <v>#N/A</v>
      </c>
      <c r="DQ50" t="e">
        <f t="shared" si="34"/>
        <v>#N/A</v>
      </c>
      <c r="DR50" t="e">
        <f t="shared" si="34"/>
        <v>#N/A</v>
      </c>
      <c r="DS50" t="e">
        <f t="shared" si="34"/>
        <v>#N/A</v>
      </c>
      <c r="DT50">
        <f t="shared" si="34"/>
        <v>2811</v>
      </c>
      <c r="DU50">
        <f t="shared" si="34"/>
        <v>2812</v>
      </c>
      <c r="DV50">
        <f t="shared" si="33"/>
        <v>2813</v>
      </c>
      <c r="DW50">
        <f t="shared" si="33"/>
        <v>2814</v>
      </c>
      <c r="DX50">
        <f t="shared" si="33"/>
        <v>2815</v>
      </c>
      <c r="DY50">
        <f t="shared" si="33"/>
        <v>2816</v>
      </c>
      <c r="DZ50">
        <f t="shared" si="31"/>
        <v>2817</v>
      </c>
      <c r="EA50">
        <f t="shared" si="31"/>
        <v>2818</v>
      </c>
      <c r="EB50">
        <f t="shared" si="31"/>
        <v>2819</v>
      </c>
      <c r="EC50">
        <f t="shared" si="31"/>
        <v>2820</v>
      </c>
      <c r="ED50" t="e">
        <f t="shared" si="31"/>
        <v>#N/A</v>
      </c>
      <c r="EE50" t="e">
        <f t="shared" si="31"/>
        <v>#N/A</v>
      </c>
      <c r="EF50" t="e">
        <f t="shared" si="32"/>
        <v>#N/A</v>
      </c>
      <c r="EG50" t="e">
        <f t="shared" si="32"/>
        <v>#N/A</v>
      </c>
      <c r="EH50" t="e">
        <f t="shared" si="32"/>
        <v>#N/A</v>
      </c>
      <c r="EI50" t="e">
        <f t="shared" si="32"/>
        <v>#N/A</v>
      </c>
      <c r="EJ50" t="e">
        <f t="shared" si="32"/>
        <v>#N/A</v>
      </c>
      <c r="EK50" t="e">
        <f t="shared" si="32"/>
        <v>#N/A</v>
      </c>
      <c r="EL50" t="e">
        <f t="shared" si="32"/>
        <v>#N/A</v>
      </c>
      <c r="EM50" t="e">
        <f t="shared" si="32"/>
        <v>#N/A</v>
      </c>
    </row>
    <row r="51" spans="1:143" x14ac:dyDescent="0.4">
      <c r="A51" t="str">
        <f t="shared" si="16"/>
        <v/>
      </c>
      <c r="B51">
        <v>48</v>
      </c>
      <c r="C51" t="str" cm="1">
        <f t="array" ref="C51">INDEX(auto_Series_Code,B51)</f>
        <v>INDI_019</v>
      </c>
      <c r="D51">
        <f t="shared" si="17"/>
        <v>2821</v>
      </c>
      <c r="E51">
        <f t="shared" si="17"/>
        <v>2822</v>
      </c>
      <c r="F51">
        <f t="shared" si="17"/>
        <v>2823</v>
      </c>
      <c r="G51">
        <f t="shared" si="17"/>
        <v>2824</v>
      </c>
      <c r="H51">
        <f t="shared" si="17"/>
        <v>2825</v>
      </c>
      <c r="I51">
        <f t="shared" si="17"/>
        <v>2826</v>
      </c>
      <c r="J51">
        <f t="shared" si="17"/>
        <v>2827</v>
      </c>
      <c r="K51">
        <f t="shared" si="17"/>
        <v>2828</v>
      </c>
      <c r="L51">
        <f t="shared" si="17"/>
        <v>2829</v>
      </c>
      <c r="M51">
        <f t="shared" si="17"/>
        <v>2830</v>
      </c>
      <c r="N51">
        <f t="shared" si="18"/>
        <v>2831</v>
      </c>
      <c r="O51">
        <f t="shared" si="18"/>
        <v>2832</v>
      </c>
      <c r="P51">
        <f t="shared" si="18"/>
        <v>2833</v>
      </c>
      <c r="Q51">
        <f t="shared" si="18"/>
        <v>2834</v>
      </c>
      <c r="R51">
        <f t="shared" si="18"/>
        <v>2835</v>
      </c>
      <c r="S51">
        <f t="shared" si="18"/>
        <v>2836</v>
      </c>
      <c r="T51">
        <f t="shared" si="18"/>
        <v>2837</v>
      </c>
      <c r="U51">
        <f t="shared" si="18"/>
        <v>2838</v>
      </c>
      <c r="V51">
        <f t="shared" si="18"/>
        <v>2839</v>
      </c>
      <c r="W51">
        <f t="shared" si="18"/>
        <v>2840</v>
      </c>
      <c r="X51">
        <f t="shared" si="19"/>
        <v>2841</v>
      </c>
      <c r="Y51">
        <f t="shared" si="19"/>
        <v>2842</v>
      </c>
      <c r="Z51">
        <f t="shared" si="19"/>
        <v>2843</v>
      </c>
      <c r="AA51">
        <f t="shared" si="19"/>
        <v>2844</v>
      </c>
      <c r="AB51">
        <f t="shared" si="19"/>
        <v>2845</v>
      </c>
      <c r="AC51">
        <f t="shared" si="19"/>
        <v>2846</v>
      </c>
      <c r="AD51">
        <f t="shared" si="19"/>
        <v>2847</v>
      </c>
      <c r="AE51">
        <f t="shared" si="19"/>
        <v>2848</v>
      </c>
      <c r="AF51">
        <f t="shared" si="19"/>
        <v>2849</v>
      </c>
      <c r="AG51">
        <f t="shared" si="19"/>
        <v>2850</v>
      </c>
      <c r="AH51">
        <f t="shared" si="20"/>
        <v>2851</v>
      </c>
      <c r="AI51">
        <f t="shared" si="20"/>
        <v>2852</v>
      </c>
      <c r="AJ51">
        <f t="shared" si="20"/>
        <v>2853</v>
      </c>
      <c r="AK51">
        <f t="shared" si="20"/>
        <v>2854</v>
      </c>
      <c r="AL51">
        <f t="shared" si="20"/>
        <v>2855</v>
      </c>
      <c r="AM51">
        <f t="shared" si="20"/>
        <v>2856</v>
      </c>
      <c r="AN51">
        <f t="shared" si="20"/>
        <v>2857</v>
      </c>
      <c r="AO51">
        <f t="shared" si="20"/>
        <v>2858</v>
      </c>
      <c r="AP51">
        <f t="shared" si="20"/>
        <v>2859</v>
      </c>
      <c r="AQ51">
        <f t="shared" si="20"/>
        <v>2860</v>
      </c>
      <c r="AR51">
        <f t="shared" si="21"/>
        <v>2861</v>
      </c>
      <c r="AS51">
        <f t="shared" si="21"/>
        <v>2862</v>
      </c>
      <c r="AT51">
        <f t="shared" si="21"/>
        <v>2863</v>
      </c>
      <c r="AU51">
        <f t="shared" si="21"/>
        <v>2864</v>
      </c>
      <c r="AV51">
        <f t="shared" si="21"/>
        <v>2865</v>
      </c>
      <c r="AW51">
        <f t="shared" si="21"/>
        <v>2866</v>
      </c>
      <c r="AX51">
        <f t="shared" si="21"/>
        <v>2867</v>
      </c>
      <c r="AY51">
        <f t="shared" si="21"/>
        <v>2868</v>
      </c>
      <c r="AZ51">
        <f t="shared" si="21"/>
        <v>2869</v>
      </c>
      <c r="BA51">
        <f t="shared" si="21"/>
        <v>2870</v>
      </c>
      <c r="BB51" t="e">
        <f t="shared" si="22"/>
        <v>#N/A</v>
      </c>
      <c r="BC51" t="e">
        <f t="shared" si="22"/>
        <v>#N/A</v>
      </c>
      <c r="BD51" t="e">
        <f t="shared" si="22"/>
        <v>#N/A</v>
      </c>
      <c r="BE51" t="e">
        <f t="shared" si="22"/>
        <v>#N/A</v>
      </c>
      <c r="BF51" t="e">
        <f t="shared" si="22"/>
        <v>#N/A</v>
      </c>
      <c r="BG51" t="e">
        <f t="shared" si="22"/>
        <v>#N/A</v>
      </c>
      <c r="BH51" t="e">
        <f t="shared" si="22"/>
        <v>#N/A</v>
      </c>
      <c r="BI51" t="e">
        <f t="shared" si="22"/>
        <v>#N/A</v>
      </c>
      <c r="BJ51" t="e">
        <f t="shared" si="22"/>
        <v>#N/A</v>
      </c>
      <c r="BK51" t="e">
        <f t="shared" si="22"/>
        <v>#N/A</v>
      </c>
      <c r="BL51" t="e">
        <f t="shared" si="23"/>
        <v>#N/A</v>
      </c>
      <c r="BM51" t="e">
        <f t="shared" si="23"/>
        <v>#N/A</v>
      </c>
      <c r="BN51" t="e">
        <f t="shared" si="23"/>
        <v>#N/A</v>
      </c>
      <c r="BO51" t="e">
        <f t="shared" si="23"/>
        <v>#N/A</v>
      </c>
      <c r="BP51" t="e">
        <f t="shared" si="23"/>
        <v>#N/A</v>
      </c>
      <c r="BQ51" t="e">
        <f t="shared" si="23"/>
        <v>#N/A</v>
      </c>
      <c r="BR51" t="e">
        <f t="shared" si="23"/>
        <v>#N/A</v>
      </c>
      <c r="BS51" t="e">
        <f t="shared" si="23"/>
        <v>#N/A</v>
      </c>
      <c r="BT51" t="e">
        <f t="shared" si="23"/>
        <v>#N/A</v>
      </c>
      <c r="BU51" t="e">
        <f t="shared" si="23"/>
        <v>#N/A</v>
      </c>
      <c r="BV51" t="e">
        <f t="shared" si="24"/>
        <v>#N/A</v>
      </c>
      <c r="BW51" t="e">
        <f t="shared" si="24"/>
        <v>#N/A</v>
      </c>
      <c r="BX51" t="e">
        <f t="shared" si="24"/>
        <v>#N/A</v>
      </c>
      <c r="BY51" t="e">
        <f t="shared" si="24"/>
        <v>#N/A</v>
      </c>
      <c r="BZ51" t="e">
        <f t="shared" si="24"/>
        <v>#N/A</v>
      </c>
      <c r="CA51" t="e">
        <f t="shared" si="24"/>
        <v>#N/A</v>
      </c>
      <c r="CB51" t="e">
        <f t="shared" si="24"/>
        <v>#N/A</v>
      </c>
      <c r="CC51" t="e">
        <f t="shared" si="24"/>
        <v>#N/A</v>
      </c>
      <c r="CD51" t="e">
        <f t="shared" si="24"/>
        <v>#N/A</v>
      </c>
      <c r="CE51" t="e">
        <f t="shared" si="24"/>
        <v>#N/A</v>
      </c>
      <c r="CF51" t="e">
        <f t="shared" si="25"/>
        <v>#N/A</v>
      </c>
      <c r="CG51" t="e">
        <f t="shared" si="25"/>
        <v>#N/A</v>
      </c>
      <c r="CH51" t="e">
        <f t="shared" si="25"/>
        <v>#N/A</v>
      </c>
      <c r="CI51" t="e">
        <f t="shared" si="25"/>
        <v>#N/A</v>
      </c>
      <c r="CJ51" t="e">
        <f t="shared" si="25"/>
        <v>#N/A</v>
      </c>
      <c r="CK51" t="e">
        <f t="shared" si="25"/>
        <v>#N/A</v>
      </c>
      <c r="CL51" t="e">
        <f t="shared" si="25"/>
        <v>#N/A</v>
      </c>
      <c r="CM51" t="e">
        <f t="shared" si="25"/>
        <v>#N/A</v>
      </c>
      <c r="CN51" t="e">
        <f t="shared" si="25"/>
        <v>#N/A</v>
      </c>
      <c r="CO51" t="e">
        <f t="shared" si="25"/>
        <v>#N/A</v>
      </c>
      <c r="CP51" t="e">
        <f t="shared" si="26"/>
        <v>#N/A</v>
      </c>
      <c r="CQ51" t="e">
        <f t="shared" si="26"/>
        <v>#N/A</v>
      </c>
      <c r="CR51" t="e">
        <f t="shared" si="26"/>
        <v>#N/A</v>
      </c>
      <c r="CS51" t="e">
        <f t="shared" si="26"/>
        <v>#N/A</v>
      </c>
      <c r="CT51" t="e">
        <f t="shared" si="26"/>
        <v>#N/A</v>
      </c>
      <c r="CU51" t="e">
        <f t="shared" si="26"/>
        <v>#N/A</v>
      </c>
      <c r="CV51" t="e">
        <f t="shared" si="26"/>
        <v>#N/A</v>
      </c>
      <c r="CW51" t="e">
        <f t="shared" si="26"/>
        <v>#N/A</v>
      </c>
      <c r="CX51" t="e">
        <f t="shared" si="26"/>
        <v>#N/A</v>
      </c>
      <c r="CY51" t="e">
        <f t="shared" si="26"/>
        <v>#N/A</v>
      </c>
      <c r="CZ51" t="e">
        <f t="shared" si="26"/>
        <v>#N/A</v>
      </c>
      <c r="DA51" t="e">
        <f t="shared" si="26"/>
        <v>#N/A</v>
      </c>
      <c r="DB51" t="e">
        <f t="shared" si="26"/>
        <v>#N/A</v>
      </c>
      <c r="DC51" t="e">
        <f t="shared" si="26"/>
        <v>#N/A</v>
      </c>
      <c r="DD51" t="e">
        <f t="shared" si="26"/>
        <v>#N/A</v>
      </c>
      <c r="DE51" t="e">
        <f t="shared" si="26"/>
        <v>#N/A</v>
      </c>
      <c r="DF51" t="e">
        <f t="shared" si="34"/>
        <v>#N/A</v>
      </c>
      <c r="DG51" t="e">
        <f t="shared" si="34"/>
        <v>#N/A</v>
      </c>
      <c r="DH51" t="e">
        <f t="shared" si="34"/>
        <v>#N/A</v>
      </c>
      <c r="DI51" t="e">
        <f t="shared" si="34"/>
        <v>#N/A</v>
      </c>
      <c r="DJ51" t="e">
        <f t="shared" si="34"/>
        <v>#N/A</v>
      </c>
      <c r="DK51" t="e">
        <f t="shared" si="34"/>
        <v>#N/A</v>
      </c>
      <c r="DL51" t="e">
        <f t="shared" si="34"/>
        <v>#N/A</v>
      </c>
      <c r="DM51" t="e">
        <f t="shared" si="34"/>
        <v>#N/A</v>
      </c>
      <c r="DN51" t="e">
        <f t="shared" si="34"/>
        <v>#N/A</v>
      </c>
      <c r="DO51" t="e">
        <f t="shared" si="34"/>
        <v>#N/A</v>
      </c>
      <c r="DP51" t="e">
        <f t="shared" si="34"/>
        <v>#N/A</v>
      </c>
      <c r="DQ51" t="e">
        <f t="shared" si="34"/>
        <v>#N/A</v>
      </c>
      <c r="DR51" t="e">
        <f t="shared" si="34"/>
        <v>#N/A</v>
      </c>
      <c r="DS51" t="e">
        <f t="shared" si="34"/>
        <v>#N/A</v>
      </c>
      <c r="DT51">
        <f t="shared" si="34"/>
        <v>2871</v>
      </c>
      <c r="DU51">
        <f t="shared" si="34"/>
        <v>2872</v>
      </c>
      <c r="DV51">
        <f t="shared" si="33"/>
        <v>2873</v>
      </c>
      <c r="DW51">
        <f t="shared" si="33"/>
        <v>2874</v>
      </c>
      <c r="DX51">
        <f t="shared" si="33"/>
        <v>2875</v>
      </c>
      <c r="DY51">
        <f t="shared" si="33"/>
        <v>2876</v>
      </c>
      <c r="DZ51">
        <f t="shared" si="31"/>
        <v>2877</v>
      </c>
      <c r="EA51">
        <f t="shared" si="31"/>
        <v>2878</v>
      </c>
      <c r="EB51">
        <f t="shared" si="31"/>
        <v>2879</v>
      </c>
      <c r="EC51">
        <f t="shared" si="31"/>
        <v>2880</v>
      </c>
      <c r="ED51" t="e">
        <f t="shared" si="31"/>
        <v>#N/A</v>
      </c>
      <c r="EE51" t="e">
        <f t="shared" si="31"/>
        <v>#N/A</v>
      </c>
      <c r="EF51" t="e">
        <f t="shared" si="32"/>
        <v>#N/A</v>
      </c>
      <c r="EG51" t="e">
        <f t="shared" si="32"/>
        <v>#N/A</v>
      </c>
      <c r="EH51" t="e">
        <f t="shared" si="32"/>
        <v>#N/A</v>
      </c>
      <c r="EI51" t="e">
        <f t="shared" si="32"/>
        <v>#N/A</v>
      </c>
      <c r="EJ51" t="e">
        <f t="shared" si="32"/>
        <v>#N/A</v>
      </c>
      <c r="EK51" t="e">
        <f t="shared" si="32"/>
        <v>#N/A</v>
      </c>
      <c r="EL51" t="e">
        <f t="shared" si="32"/>
        <v>#N/A</v>
      </c>
      <c r="EM51" t="e">
        <f t="shared" si="32"/>
        <v>#N/A</v>
      </c>
    </row>
    <row r="52" spans="1:143" x14ac:dyDescent="0.4">
      <c r="A52" t="str">
        <f t="shared" si="16"/>
        <v/>
      </c>
      <c r="B52">
        <v>49</v>
      </c>
      <c r="C52" t="str" cm="1">
        <f t="array" ref="C52">INDEX(auto_Series_Code,B52)</f>
        <v>INDI_020</v>
      </c>
      <c r="D52">
        <f t="shared" si="3"/>
        <v>2881</v>
      </c>
      <c r="E52">
        <f t="shared" si="3"/>
        <v>2882</v>
      </c>
      <c r="F52">
        <f t="shared" si="3"/>
        <v>2883</v>
      </c>
      <c r="G52">
        <f t="shared" si="3"/>
        <v>2884</v>
      </c>
      <c r="H52">
        <f t="shared" si="3"/>
        <v>2885</v>
      </c>
      <c r="I52">
        <f t="shared" si="3"/>
        <v>2886</v>
      </c>
      <c r="J52">
        <f t="shared" si="3"/>
        <v>2887</v>
      </c>
      <c r="K52">
        <f t="shared" si="3"/>
        <v>2888</v>
      </c>
      <c r="L52">
        <f t="shared" si="3"/>
        <v>2889</v>
      </c>
      <c r="M52">
        <f t="shared" si="3"/>
        <v>2890</v>
      </c>
      <c r="N52">
        <f t="shared" si="4"/>
        <v>2891</v>
      </c>
      <c r="O52">
        <f t="shared" si="4"/>
        <v>2892</v>
      </c>
      <c r="P52">
        <f t="shared" si="4"/>
        <v>2893</v>
      </c>
      <c r="Q52">
        <f t="shared" si="4"/>
        <v>2894</v>
      </c>
      <c r="R52">
        <f t="shared" si="4"/>
        <v>2895</v>
      </c>
      <c r="S52">
        <f t="shared" si="4"/>
        <v>2896</v>
      </c>
      <c r="T52">
        <f t="shared" si="4"/>
        <v>2897</v>
      </c>
      <c r="U52">
        <f t="shared" si="4"/>
        <v>2898</v>
      </c>
      <c r="V52">
        <f t="shared" si="4"/>
        <v>2899</v>
      </c>
      <c r="W52">
        <f t="shared" si="4"/>
        <v>2900</v>
      </c>
      <c r="X52">
        <f t="shared" si="5"/>
        <v>2901</v>
      </c>
      <c r="Y52">
        <f t="shared" si="5"/>
        <v>2902</v>
      </c>
      <c r="Z52">
        <f t="shared" si="5"/>
        <v>2903</v>
      </c>
      <c r="AA52">
        <f t="shared" si="5"/>
        <v>2904</v>
      </c>
      <c r="AB52">
        <f t="shared" si="5"/>
        <v>2905</v>
      </c>
      <c r="AC52">
        <f t="shared" si="5"/>
        <v>2906</v>
      </c>
      <c r="AD52">
        <f t="shared" si="5"/>
        <v>2907</v>
      </c>
      <c r="AE52">
        <f t="shared" si="5"/>
        <v>2908</v>
      </c>
      <c r="AF52">
        <f t="shared" si="5"/>
        <v>2909</v>
      </c>
      <c r="AG52">
        <f t="shared" si="5"/>
        <v>2910</v>
      </c>
      <c r="AH52">
        <f t="shared" si="6"/>
        <v>2911</v>
      </c>
      <c r="AI52">
        <f t="shared" si="6"/>
        <v>2912</v>
      </c>
      <c r="AJ52">
        <f t="shared" si="6"/>
        <v>2913</v>
      </c>
      <c r="AK52">
        <f t="shared" si="6"/>
        <v>2914</v>
      </c>
      <c r="AL52">
        <f t="shared" si="6"/>
        <v>2915</v>
      </c>
      <c r="AM52">
        <f t="shared" si="6"/>
        <v>2916</v>
      </c>
      <c r="AN52">
        <f t="shared" si="6"/>
        <v>2917</v>
      </c>
      <c r="AO52">
        <f t="shared" si="6"/>
        <v>2918</v>
      </c>
      <c r="AP52">
        <f t="shared" si="6"/>
        <v>2919</v>
      </c>
      <c r="AQ52">
        <f t="shared" si="6"/>
        <v>2920</v>
      </c>
      <c r="AR52">
        <f t="shared" si="7"/>
        <v>2921</v>
      </c>
      <c r="AS52">
        <f t="shared" si="7"/>
        <v>2922</v>
      </c>
      <c r="AT52">
        <f t="shared" si="7"/>
        <v>2923</v>
      </c>
      <c r="AU52">
        <f t="shared" si="7"/>
        <v>2924</v>
      </c>
      <c r="AV52">
        <f t="shared" si="7"/>
        <v>2925</v>
      </c>
      <c r="AW52">
        <f t="shared" si="7"/>
        <v>2926</v>
      </c>
      <c r="AX52">
        <f t="shared" si="7"/>
        <v>2927</v>
      </c>
      <c r="AY52">
        <f t="shared" si="7"/>
        <v>2928</v>
      </c>
      <c r="AZ52">
        <f t="shared" si="7"/>
        <v>2929</v>
      </c>
      <c r="BA52">
        <f t="shared" si="7"/>
        <v>2930</v>
      </c>
      <c r="BB52" t="e">
        <f t="shared" si="8"/>
        <v>#N/A</v>
      </c>
      <c r="BC52" t="e">
        <f t="shared" si="8"/>
        <v>#N/A</v>
      </c>
      <c r="BD52" t="e">
        <f t="shared" si="8"/>
        <v>#N/A</v>
      </c>
      <c r="BE52" t="e">
        <f t="shared" si="8"/>
        <v>#N/A</v>
      </c>
      <c r="BF52" t="e">
        <f t="shared" si="8"/>
        <v>#N/A</v>
      </c>
      <c r="BG52" t="e">
        <f t="shared" si="8"/>
        <v>#N/A</v>
      </c>
      <c r="BH52" t="e">
        <f t="shared" si="8"/>
        <v>#N/A</v>
      </c>
      <c r="BI52" t="e">
        <f t="shared" si="8"/>
        <v>#N/A</v>
      </c>
      <c r="BJ52" t="e">
        <f t="shared" si="8"/>
        <v>#N/A</v>
      </c>
      <c r="BK52" t="e">
        <f t="shared" si="8"/>
        <v>#N/A</v>
      </c>
      <c r="BL52" t="e">
        <f t="shared" si="9"/>
        <v>#N/A</v>
      </c>
      <c r="BM52" t="e">
        <f t="shared" si="9"/>
        <v>#N/A</v>
      </c>
      <c r="BN52" t="e">
        <f t="shared" si="9"/>
        <v>#N/A</v>
      </c>
      <c r="BO52" t="e">
        <f t="shared" si="9"/>
        <v>#N/A</v>
      </c>
      <c r="BP52" t="e">
        <f t="shared" si="9"/>
        <v>#N/A</v>
      </c>
      <c r="BQ52" t="e">
        <f t="shared" si="9"/>
        <v>#N/A</v>
      </c>
      <c r="BR52" t="e">
        <f t="shared" si="9"/>
        <v>#N/A</v>
      </c>
      <c r="BS52" t="e">
        <f t="shared" si="9"/>
        <v>#N/A</v>
      </c>
      <c r="BT52" t="e">
        <f t="shared" si="9"/>
        <v>#N/A</v>
      </c>
      <c r="BU52" t="e">
        <f t="shared" si="9"/>
        <v>#N/A</v>
      </c>
      <c r="BV52" t="e">
        <f t="shared" si="10"/>
        <v>#N/A</v>
      </c>
      <c r="BW52" t="e">
        <f t="shared" si="10"/>
        <v>#N/A</v>
      </c>
      <c r="BX52" t="e">
        <f t="shared" si="10"/>
        <v>#N/A</v>
      </c>
      <c r="BY52" t="e">
        <f t="shared" si="10"/>
        <v>#N/A</v>
      </c>
      <c r="BZ52" t="e">
        <f t="shared" si="10"/>
        <v>#N/A</v>
      </c>
      <c r="CA52" t="e">
        <f t="shared" si="10"/>
        <v>#N/A</v>
      </c>
      <c r="CB52" t="e">
        <f t="shared" si="10"/>
        <v>#N/A</v>
      </c>
      <c r="CC52" t="e">
        <f t="shared" si="10"/>
        <v>#N/A</v>
      </c>
      <c r="CD52" t="e">
        <f t="shared" si="10"/>
        <v>#N/A</v>
      </c>
      <c r="CE52" t="e">
        <f t="shared" si="10"/>
        <v>#N/A</v>
      </c>
      <c r="CF52" t="e">
        <f t="shared" si="11"/>
        <v>#N/A</v>
      </c>
      <c r="CG52" t="e">
        <f t="shared" si="11"/>
        <v>#N/A</v>
      </c>
      <c r="CH52" t="e">
        <f t="shared" si="11"/>
        <v>#N/A</v>
      </c>
      <c r="CI52" t="e">
        <f t="shared" si="11"/>
        <v>#N/A</v>
      </c>
      <c r="CJ52" t="e">
        <f t="shared" si="11"/>
        <v>#N/A</v>
      </c>
      <c r="CK52" t="e">
        <f t="shared" si="11"/>
        <v>#N/A</v>
      </c>
      <c r="CL52" t="e">
        <f t="shared" si="11"/>
        <v>#N/A</v>
      </c>
      <c r="CM52" t="e">
        <f t="shared" si="11"/>
        <v>#N/A</v>
      </c>
      <c r="CN52" t="e">
        <f t="shared" si="11"/>
        <v>#N/A</v>
      </c>
      <c r="CO52" t="e">
        <f t="shared" si="11"/>
        <v>#N/A</v>
      </c>
      <c r="CP52" t="e">
        <f t="shared" si="12"/>
        <v>#N/A</v>
      </c>
      <c r="CQ52" t="e">
        <f t="shared" si="12"/>
        <v>#N/A</v>
      </c>
      <c r="CR52" t="e">
        <f t="shared" si="12"/>
        <v>#N/A</v>
      </c>
      <c r="CS52" t="e">
        <f t="shared" ref="CS52:DH78" si="35">MATCH(CONCATENATE(CS$3,"_",$C52),auto_DataFlat_UID,0)</f>
        <v>#N/A</v>
      </c>
      <c r="CT52" t="e">
        <f t="shared" si="35"/>
        <v>#N/A</v>
      </c>
      <c r="CU52" t="e">
        <f t="shared" si="35"/>
        <v>#N/A</v>
      </c>
      <c r="CV52" t="e">
        <f t="shared" si="35"/>
        <v>#N/A</v>
      </c>
      <c r="CW52" t="e">
        <f t="shared" si="35"/>
        <v>#N/A</v>
      </c>
      <c r="CX52" t="e">
        <f t="shared" si="35"/>
        <v>#N/A</v>
      </c>
      <c r="CY52" t="e">
        <f t="shared" si="35"/>
        <v>#N/A</v>
      </c>
      <c r="CZ52" t="e">
        <f t="shared" si="35"/>
        <v>#N/A</v>
      </c>
      <c r="DA52" t="e">
        <f t="shared" si="35"/>
        <v>#N/A</v>
      </c>
      <c r="DB52" t="e">
        <f t="shared" si="35"/>
        <v>#N/A</v>
      </c>
      <c r="DC52" t="e">
        <f t="shared" si="35"/>
        <v>#N/A</v>
      </c>
      <c r="DD52" t="e">
        <f t="shared" si="35"/>
        <v>#N/A</v>
      </c>
      <c r="DE52" t="e">
        <f t="shared" si="35"/>
        <v>#N/A</v>
      </c>
      <c r="DF52" t="e">
        <f t="shared" si="35"/>
        <v>#N/A</v>
      </c>
      <c r="DG52" t="e">
        <f t="shared" si="35"/>
        <v>#N/A</v>
      </c>
      <c r="DH52" t="e">
        <f t="shared" si="35"/>
        <v>#N/A</v>
      </c>
      <c r="DI52" t="e">
        <f t="shared" si="34"/>
        <v>#N/A</v>
      </c>
      <c r="DJ52" t="e">
        <f t="shared" si="34"/>
        <v>#N/A</v>
      </c>
      <c r="DK52" t="e">
        <f t="shared" si="34"/>
        <v>#N/A</v>
      </c>
      <c r="DL52" t="e">
        <f t="shared" si="34"/>
        <v>#N/A</v>
      </c>
      <c r="DM52" t="e">
        <f t="shared" si="34"/>
        <v>#N/A</v>
      </c>
      <c r="DN52" t="e">
        <f t="shared" si="34"/>
        <v>#N/A</v>
      </c>
      <c r="DO52" t="e">
        <f t="shared" si="34"/>
        <v>#N/A</v>
      </c>
      <c r="DP52" t="e">
        <f t="shared" si="34"/>
        <v>#N/A</v>
      </c>
      <c r="DQ52" t="e">
        <f t="shared" si="34"/>
        <v>#N/A</v>
      </c>
      <c r="DR52" t="e">
        <f t="shared" si="34"/>
        <v>#N/A</v>
      </c>
      <c r="DS52" t="e">
        <f t="shared" si="34"/>
        <v>#N/A</v>
      </c>
      <c r="DT52">
        <f t="shared" si="34"/>
        <v>2931</v>
      </c>
      <c r="DU52">
        <f t="shared" si="34"/>
        <v>2932</v>
      </c>
      <c r="DV52">
        <f t="shared" si="33"/>
        <v>2933</v>
      </c>
      <c r="DW52">
        <f t="shared" si="33"/>
        <v>2934</v>
      </c>
      <c r="DX52">
        <f t="shared" si="33"/>
        <v>2935</v>
      </c>
      <c r="DY52">
        <f t="shared" si="33"/>
        <v>2936</v>
      </c>
      <c r="DZ52">
        <f t="shared" si="31"/>
        <v>2937</v>
      </c>
      <c r="EA52">
        <f t="shared" si="31"/>
        <v>2938</v>
      </c>
      <c r="EB52">
        <f t="shared" si="31"/>
        <v>2939</v>
      </c>
      <c r="EC52">
        <f t="shared" si="31"/>
        <v>2940</v>
      </c>
      <c r="ED52" t="e">
        <f t="shared" si="31"/>
        <v>#N/A</v>
      </c>
      <c r="EE52" t="e">
        <f t="shared" si="31"/>
        <v>#N/A</v>
      </c>
      <c r="EF52" t="e">
        <f t="shared" si="32"/>
        <v>#N/A</v>
      </c>
      <c r="EG52" t="e">
        <f t="shared" si="32"/>
        <v>#N/A</v>
      </c>
      <c r="EH52" t="e">
        <f t="shared" si="32"/>
        <v>#N/A</v>
      </c>
      <c r="EI52" t="e">
        <f t="shared" si="32"/>
        <v>#N/A</v>
      </c>
      <c r="EJ52" t="e">
        <f t="shared" si="32"/>
        <v>#N/A</v>
      </c>
      <c r="EK52" t="e">
        <f t="shared" si="32"/>
        <v>#N/A</v>
      </c>
      <c r="EL52" t="e">
        <f t="shared" si="32"/>
        <v>#N/A</v>
      </c>
      <c r="EM52" t="e">
        <f t="shared" si="32"/>
        <v>#N/A</v>
      </c>
    </row>
    <row r="53" spans="1:143" x14ac:dyDescent="0.4">
      <c r="A53" t="str">
        <f t="shared" si="16"/>
        <v/>
      </c>
      <c r="B53">
        <v>50</v>
      </c>
      <c r="C53" t="str" cm="1">
        <f t="array" ref="C53">INDEX(auto_Series_Code,B53)</f>
        <v>INDI_021</v>
      </c>
      <c r="D53">
        <f t="shared" si="17"/>
        <v>2941</v>
      </c>
      <c r="E53">
        <f t="shared" si="17"/>
        <v>2942</v>
      </c>
      <c r="F53">
        <f t="shared" si="17"/>
        <v>2943</v>
      </c>
      <c r="G53">
        <f t="shared" si="17"/>
        <v>2944</v>
      </c>
      <c r="H53">
        <f t="shared" si="17"/>
        <v>2945</v>
      </c>
      <c r="I53">
        <f t="shared" si="17"/>
        <v>2946</v>
      </c>
      <c r="J53">
        <f t="shared" si="17"/>
        <v>2947</v>
      </c>
      <c r="K53">
        <f t="shared" si="17"/>
        <v>2948</v>
      </c>
      <c r="L53">
        <f t="shared" si="17"/>
        <v>2949</v>
      </c>
      <c r="M53">
        <f t="shared" si="17"/>
        <v>2950</v>
      </c>
      <c r="N53">
        <f t="shared" si="18"/>
        <v>2951</v>
      </c>
      <c r="O53">
        <f t="shared" si="18"/>
        <v>2952</v>
      </c>
      <c r="P53">
        <f t="shared" si="18"/>
        <v>2953</v>
      </c>
      <c r="Q53">
        <f t="shared" si="18"/>
        <v>2954</v>
      </c>
      <c r="R53">
        <f t="shared" si="18"/>
        <v>2955</v>
      </c>
      <c r="S53">
        <f t="shared" si="18"/>
        <v>2956</v>
      </c>
      <c r="T53">
        <f t="shared" si="18"/>
        <v>2957</v>
      </c>
      <c r="U53">
        <f t="shared" si="18"/>
        <v>2958</v>
      </c>
      <c r="V53">
        <f t="shared" si="18"/>
        <v>2959</v>
      </c>
      <c r="W53">
        <f t="shared" si="18"/>
        <v>2960</v>
      </c>
      <c r="X53">
        <f t="shared" si="19"/>
        <v>2961</v>
      </c>
      <c r="Y53">
        <f t="shared" si="19"/>
        <v>2962</v>
      </c>
      <c r="Z53">
        <f t="shared" si="19"/>
        <v>2963</v>
      </c>
      <c r="AA53">
        <f t="shared" si="19"/>
        <v>2964</v>
      </c>
      <c r="AB53">
        <f t="shared" si="19"/>
        <v>2965</v>
      </c>
      <c r="AC53">
        <f t="shared" si="19"/>
        <v>2966</v>
      </c>
      <c r="AD53">
        <f t="shared" si="19"/>
        <v>2967</v>
      </c>
      <c r="AE53">
        <f t="shared" si="19"/>
        <v>2968</v>
      </c>
      <c r="AF53">
        <f t="shared" si="19"/>
        <v>2969</v>
      </c>
      <c r="AG53">
        <f t="shared" si="19"/>
        <v>2970</v>
      </c>
      <c r="AH53">
        <f t="shared" si="20"/>
        <v>2971</v>
      </c>
      <c r="AI53">
        <f t="shared" si="20"/>
        <v>2972</v>
      </c>
      <c r="AJ53">
        <f t="shared" si="20"/>
        <v>2973</v>
      </c>
      <c r="AK53">
        <f t="shared" si="20"/>
        <v>2974</v>
      </c>
      <c r="AL53">
        <f t="shared" si="20"/>
        <v>2975</v>
      </c>
      <c r="AM53">
        <f t="shared" si="20"/>
        <v>2976</v>
      </c>
      <c r="AN53">
        <f t="shared" si="20"/>
        <v>2977</v>
      </c>
      <c r="AO53">
        <f t="shared" si="20"/>
        <v>2978</v>
      </c>
      <c r="AP53">
        <f t="shared" si="20"/>
        <v>2979</v>
      </c>
      <c r="AQ53">
        <f t="shared" si="20"/>
        <v>2980</v>
      </c>
      <c r="AR53">
        <f t="shared" si="21"/>
        <v>2981</v>
      </c>
      <c r="AS53">
        <f t="shared" si="21"/>
        <v>2982</v>
      </c>
      <c r="AT53">
        <f t="shared" si="21"/>
        <v>2983</v>
      </c>
      <c r="AU53">
        <f t="shared" si="21"/>
        <v>2984</v>
      </c>
      <c r="AV53">
        <f t="shared" si="21"/>
        <v>2985</v>
      </c>
      <c r="AW53">
        <f t="shared" si="21"/>
        <v>2986</v>
      </c>
      <c r="AX53">
        <f t="shared" si="21"/>
        <v>2987</v>
      </c>
      <c r="AY53">
        <f t="shared" si="21"/>
        <v>2988</v>
      </c>
      <c r="AZ53">
        <f t="shared" si="21"/>
        <v>2989</v>
      </c>
      <c r="BA53">
        <f t="shared" si="21"/>
        <v>2990</v>
      </c>
      <c r="BB53" t="e">
        <f t="shared" si="22"/>
        <v>#N/A</v>
      </c>
      <c r="BC53" t="e">
        <f t="shared" si="22"/>
        <v>#N/A</v>
      </c>
      <c r="BD53" t="e">
        <f t="shared" si="22"/>
        <v>#N/A</v>
      </c>
      <c r="BE53" t="e">
        <f t="shared" si="22"/>
        <v>#N/A</v>
      </c>
      <c r="BF53" t="e">
        <f t="shared" si="22"/>
        <v>#N/A</v>
      </c>
      <c r="BG53" t="e">
        <f t="shared" si="22"/>
        <v>#N/A</v>
      </c>
      <c r="BH53" t="e">
        <f t="shared" si="22"/>
        <v>#N/A</v>
      </c>
      <c r="BI53" t="e">
        <f t="shared" si="22"/>
        <v>#N/A</v>
      </c>
      <c r="BJ53" t="e">
        <f t="shared" si="22"/>
        <v>#N/A</v>
      </c>
      <c r="BK53" t="e">
        <f t="shared" si="22"/>
        <v>#N/A</v>
      </c>
      <c r="BL53" t="e">
        <f t="shared" si="23"/>
        <v>#N/A</v>
      </c>
      <c r="BM53" t="e">
        <f t="shared" si="23"/>
        <v>#N/A</v>
      </c>
      <c r="BN53" t="e">
        <f t="shared" si="23"/>
        <v>#N/A</v>
      </c>
      <c r="BO53" t="e">
        <f t="shared" si="23"/>
        <v>#N/A</v>
      </c>
      <c r="BP53" t="e">
        <f t="shared" si="23"/>
        <v>#N/A</v>
      </c>
      <c r="BQ53" t="e">
        <f t="shared" si="23"/>
        <v>#N/A</v>
      </c>
      <c r="BR53" t="e">
        <f t="shared" si="23"/>
        <v>#N/A</v>
      </c>
      <c r="BS53" t="e">
        <f t="shared" si="23"/>
        <v>#N/A</v>
      </c>
      <c r="BT53" t="e">
        <f t="shared" si="23"/>
        <v>#N/A</v>
      </c>
      <c r="BU53" t="e">
        <f t="shared" si="23"/>
        <v>#N/A</v>
      </c>
      <c r="BV53" t="e">
        <f t="shared" si="24"/>
        <v>#N/A</v>
      </c>
      <c r="BW53" t="e">
        <f t="shared" si="24"/>
        <v>#N/A</v>
      </c>
      <c r="BX53" t="e">
        <f t="shared" si="24"/>
        <v>#N/A</v>
      </c>
      <c r="BY53" t="e">
        <f t="shared" si="24"/>
        <v>#N/A</v>
      </c>
      <c r="BZ53" t="e">
        <f t="shared" si="24"/>
        <v>#N/A</v>
      </c>
      <c r="CA53" t="e">
        <f t="shared" si="24"/>
        <v>#N/A</v>
      </c>
      <c r="CB53" t="e">
        <f t="shared" si="24"/>
        <v>#N/A</v>
      </c>
      <c r="CC53" t="e">
        <f t="shared" si="24"/>
        <v>#N/A</v>
      </c>
      <c r="CD53" t="e">
        <f t="shared" si="24"/>
        <v>#N/A</v>
      </c>
      <c r="CE53" t="e">
        <f t="shared" si="24"/>
        <v>#N/A</v>
      </c>
      <c r="CF53" t="e">
        <f t="shared" si="25"/>
        <v>#N/A</v>
      </c>
      <c r="CG53" t="e">
        <f t="shared" si="25"/>
        <v>#N/A</v>
      </c>
      <c r="CH53" t="e">
        <f t="shared" si="25"/>
        <v>#N/A</v>
      </c>
      <c r="CI53" t="e">
        <f t="shared" si="25"/>
        <v>#N/A</v>
      </c>
      <c r="CJ53" t="e">
        <f t="shared" si="25"/>
        <v>#N/A</v>
      </c>
      <c r="CK53" t="e">
        <f t="shared" si="25"/>
        <v>#N/A</v>
      </c>
      <c r="CL53" t="e">
        <f t="shared" si="25"/>
        <v>#N/A</v>
      </c>
      <c r="CM53" t="e">
        <f t="shared" si="25"/>
        <v>#N/A</v>
      </c>
      <c r="CN53" t="e">
        <f t="shared" si="25"/>
        <v>#N/A</v>
      </c>
      <c r="CO53" t="e">
        <f t="shared" si="25"/>
        <v>#N/A</v>
      </c>
      <c r="CP53" t="e">
        <f t="shared" si="26"/>
        <v>#N/A</v>
      </c>
      <c r="CQ53" t="e">
        <f t="shared" si="26"/>
        <v>#N/A</v>
      </c>
      <c r="CR53" t="e">
        <f t="shared" si="26"/>
        <v>#N/A</v>
      </c>
      <c r="CS53" t="e">
        <f t="shared" si="35"/>
        <v>#N/A</v>
      </c>
      <c r="CT53" t="e">
        <f t="shared" si="35"/>
        <v>#N/A</v>
      </c>
      <c r="CU53" t="e">
        <f t="shared" si="35"/>
        <v>#N/A</v>
      </c>
      <c r="CV53" t="e">
        <f t="shared" si="35"/>
        <v>#N/A</v>
      </c>
      <c r="CW53" t="e">
        <f t="shared" si="35"/>
        <v>#N/A</v>
      </c>
      <c r="CX53" t="e">
        <f t="shared" si="35"/>
        <v>#N/A</v>
      </c>
      <c r="CY53" t="e">
        <f t="shared" si="35"/>
        <v>#N/A</v>
      </c>
      <c r="CZ53" t="e">
        <f t="shared" si="35"/>
        <v>#N/A</v>
      </c>
      <c r="DA53" t="e">
        <f t="shared" si="35"/>
        <v>#N/A</v>
      </c>
      <c r="DB53" t="e">
        <f t="shared" si="35"/>
        <v>#N/A</v>
      </c>
      <c r="DC53" t="e">
        <f t="shared" si="35"/>
        <v>#N/A</v>
      </c>
      <c r="DD53" t="e">
        <f t="shared" si="35"/>
        <v>#N/A</v>
      </c>
      <c r="DE53" t="e">
        <f t="shared" si="35"/>
        <v>#N/A</v>
      </c>
      <c r="DF53" t="e">
        <f t="shared" si="35"/>
        <v>#N/A</v>
      </c>
      <c r="DG53" t="e">
        <f t="shared" si="35"/>
        <v>#N/A</v>
      </c>
      <c r="DH53" t="e">
        <f t="shared" si="35"/>
        <v>#N/A</v>
      </c>
      <c r="DI53" t="e">
        <f t="shared" si="34"/>
        <v>#N/A</v>
      </c>
      <c r="DJ53" t="e">
        <f t="shared" si="34"/>
        <v>#N/A</v>
      </c>
      <c r="DK53" t="e">
        <f t="shared" si="34"/>
        <v>#N/A</v>
      </c>
      <c r="DL53" t="e">
        <f t="shared" si="34"/>
        <v>#N/A</v>
      </c>
      <c r="DM53" t="e">
        <f t="shared" si="34"/>
        <v>#N/A</v>
      </c>
      <c r="DN53" t="e">
        <f t="shared" si="34"/>
        <v>#N/A</v>
      </c>
      <c r="DO53" t="e">
        <f t="shared" si="34"/>
        <v>#N/A</v>
      </c>
      <c r="DP53" t="e">
        <f t="shared" si="34"/>
        <v>#N/A</v>
      </c>
      <c r="DQ53" t="e">
        <f t="shared" si="34"/>
        <v>#N/A</v>
      </c>
      <c r="DR53" t="e">
        <f t="shared" si="34"/>
        <v>#N/A</v>
      </c>
      <c r="DS53" t="e">
        <f t="shared" si="34"/>
        <v>#N/A</v>
      </c>
      <c r="DT53">
        <f t="shared" si="34"/>
        <v>2991</v>
      </c>
      <c r="DU53">
        <f t="shared" si="34"/>
        <v>2992</v>
      </c>
      <c r="DV53">
        <f t="shared" si="33"/>
        <v>2993</v>
      </c>
      <c r="DW53">
        <f t="shared" si="33"/>
        <v>2994</v>
      </c>
      <c r="DX53">
        <f t="shared" si="33"/>
        <v>2995</v>
      </c>
      <c r="DY53">
        <f t="shared" si="33"/>
        <v>2996</v>
      </c>
      <c r="DZ53">
        <f t="shared" si="31"/>
        <v>2997</v>
      </c>
      <c r="EA53">
        <f t="shared" si="31"/>
        <v>2998</v>
      </c>
      <c r="EB53">
        <f t="shared" si="31"/>
        <v>2999</v>
      </c>
      <c r="EC53">
        <f t="shared" si="31"/>
        <v>3000</v>
      </c>
      <c r="ED53" t="e">
        <f t="shared" si="31"/>
        <v>#N/A</v>
      </c>
      <c r="EE53" t="e">
        <f t="shared" si="31"/>
        <v>#N/A</v>
      </c>
      <c r="EF53" t="e">
        <f t="shared" si="32"/>
        <v>#N/A</v>
      </c>
      <c r="EG53" t="e">
        <f t="shared" si="32"/>
        <v>#N/A</v>
      </c>
      <c r="EH53" t="e">
        <f t="shared" si="32"/>
        <v>#N/A</v>
      </c>
      <c r="EI53" t="e">
        <f t="shared" si="32"/>
        <v>#N/A</v>
      </c>
      <c r="EJ53" t="e">
        <f t="shared" si="32"/>
        <v>#N/A</v>
      </c>
      <c r="EK53" t="e">
        <f t="shared" si="32"/>
        <v>#N/A</v>
      </c>
      <c r="EL53" t="e">
        <f t="shared" si="32"/>
        <v>#N/A</v>
      </c>
      <c r="EM53" t="e">
        <f t="shared" si="32"/>
        <v>#N/A</v>
      </c>
    </row>
    <row r="54" spans="1:143" x14ac:dyDescent="0.4">
      <c r="A54" t="str">
        <f t="shared" si="16"/>
        <v/>
      </c>
      <c r="B54">
        <v>51</v>
      </c>
      <c r="C54" t="str" cm="1">
        <f t="array" ref="C54">INDEX(auto_Series_Code,B54)</f>
        <v>INDI_022</v>
      </c>
      <c r="D54">
        <f t="shared" si="3"/>
        <v>3001</v>
      </c>
      <c r="E54">
        <f t="shared" si="3"/>
        <v>3002</v>
      </c>
      <c r="F54">
        <f t="shared" si="3"/>
        <v>3003</v>
      </c>
      <c r="G54">
        <f t="shared" si="3"/>
        <v>3004</v>
      </c>
      <c r="H54">
        <f t="shared" si="3"/>
        <v>3005</v>
      </c>
      <c r="I54">
        <f t="shared" ref="I54:M55" si="36">MATCH(CONCATENATE(I$3,"_",$C54),auto_DataFlat_UID,0)</f>
        <v>3006</v>
      </c>
      <c r="J54">
        <f t="shared" si="36"/>
        <v>3007</v>
      </c>
      <c r="K54">
        <f t="shared" si="36"/>
        <v>3008</v>
      </c>
      <c r="L54">
        <f t="shared" si="36"/>
        <v>3009</v>
      </c>
      <c r="M54">
        <f t="shared" si="36"/>
        <v>3010</v>
      </c>
      <c r="N54">
        <f t="shared" si="4"/>
        <v>3011</v>
      </c>
      <c r="O54">
        <f t="shared" si="4"/>
        <v>3012</v>
      </c>
      <c r="P54">
        <f t="shared" si="4"/>
        <v>3013</v>
      </c>
      <c r="Q54">
        <f t="shared" si="4"/>
        <v>3014</v>
      </c>
      <c r="R54">
        <f t="shared" si="4"/>
        <v>3015</v>
      </c>
      <c r="S54">
        <f t="shared" ref="S54:AH72" si="37">MATCH(CONCATENATE(S$3,"_",$C54),auto_DataFlat_UID,0)</f>
        <v>3016</v>
      </c>
      <c r="T54">
        <f t="shared" si="37"/>
        <v>3017</v>
      </c>
      <c r="U54">
        <f t="shared" si="37"/>
        <v>3018</v>
      </c>
      <c r="V54">
        <f t="shared" si="37"/>
        <v>3019</v>
      </c>
      <c r="W54">
        <f t="shared" si="37"/>
        <v>3020</v>
      </c>
      <c r="X54">
        <f t="shared" si="5"/>
        <v>3021</v>
      </c>
      <c r="Y54">
        <f t="shared" si="5"/>
        <v>3022</v>
      </c>
      <c r="Z54">
        <f t="shared" si="5"/>
        <v>3023</v>
      </c>
      <c r="AA54">
        <f t="shared" si="5"/>
        <v>3024</v>
      </c>
      <c r="AB54">
        <f t="shared" si="5"/>
        <v>3025</v>
      </c>
      <c r="AC54">
        <f t="shared" ref="AC54:AG55" si="38">MATCH(CONCATENATE(AC$3,"_",$C54),auto_DataFlat_UID,0)</f>
        <v>3026</v>
      </c>
      <c r="AD54">
        <f t="shared" si="38"/>
        <v>3027</v>
      </c>
      <c r="AE54">
        <f t="shared" si="38"/>
        <v>3028</v>
      </c>
      <c r="AF54">
        <f t="shared" si="38"/>
        <v>3029</v>
      </c>
      <c r="AG54">
        <f t="shared" si="38"/>
        <v>3030</v>
      </c>
      <c r="AH54">
        <f t="shared" si="6"/>
        <v>3031</v>
      </c>
      <c r="AI54">
        <f t="shared" si="6"/>
        <v>3032</v>
      </c>
      <c r="AJ54">
        <f t="shared" si="6"/>
        <v>3033</v>
      </c>
      <c r="AK54">
        <f t="shared" si="6"/>
        <v>3034</v>
      </c>
      <c r="AL54">
        <f t="shared" si="6"/>
        <v>3035</v>
      </c>
      <c r="AM54">
        <f t="shared" ref="AM54:AQ55" si="39">MATCH(CONCATENATE(AM$3,"_",$C54),auto_DataFlat_UID,0)</f>
        <v>3036</v>
      </c>
      <c r="AN54">
        <f t="shared" si="39"/>
        <v>3037</v>
      </c>
      <c r="AO54">
        <f t="shared" si="39"/>
        <v>3038</v>
      </c>
      <c r="AP54">
        <f t="shared" si="39"/>
        <v>3039</v>
      </c>
      <c r="AQ54">
        <f t="shared" si="39"/>
        <v>3040</v>
      </c>
      <c r="AR54">
        <f t="shared" si="7"/>
        <v>3041</v>
      </c>
      <c r="AS54">
        <f t="shared" si="7"/>
        <v>3042</v>
      </c>
      <c r="AT54">
        <f t="shared" si="7"/>
        <v>3043</v>
      </c>
      <c r="AU54">
        <f t="shared" si="7"/>
        <v>3044</v>
      </c>
      <c r="AV54">
        <f t="shared" si="7"/>
        <v>3045</v>
      </c>
      <c r="AW54">
        <f t="shared" ref="AW54:BL74" si="40">MATCH(CONCATENATE(AW$3,"_",$C54),auto_DataFlat_UID,0)</f>
        <v>3046</v>
      </c>
      <c r="AX54">
        <f t="shared" si="40"/>
        <v>3047</v>
      </c>
      <c r="AY54">
        <f t="shared" si="40"/>
        <v>3048</v>
      </c>
      <c r="AZ54">
        <f t="shared" si="40"/>
        <v>3049</v>
      </c>
      <c r="BA54">
        <f t="shared" si="40"/>
        <v>3050</v>
      </c>
      <c r="BB54" t="e">
        <f t="shared" si="8"/>
        <v>#N/A</v>
      </c>
      <c r="BC54" t="e">
        <f t="shared" si="8"/>
        <v>#N/A</v>
      </c>
      <c r="BD54" t="e">
        <f t="shared" si="8"/>
        <v>#N/A</v>
      </c>
      <c r="BE54" t="e">
        <f t="shared" si="8"/>
        <v>#N/A</v>
      </c>
      <c r="BF54" t="e">
        <f t="shared" si="8"/>
        <v>#N/A</v>
      </c>
      <c r="BG54" t="e">
        <f t="shared" ref="BG54:BK55" si="41">MATCH(CONCATENATE(BG$3,"_",$C54),auto_DataFlat_UID,0)</f>
        <v>#N/A</v>
      </c>
      <c r="BH54" t="e">
        <f t="shared" si="41"/>
        <v>#N/A</v>
      </c>
      <c r="BI54" t="e">
        <f t="shared" si="41"/>
        <v>#N/A</v>
      </c>
      <c r="BJ54" t="e">
        <f t="shared" si="41"/>
        <v>#N/A</v>
      </c>
      <c r="BK54" t="e">
        <f t="shared" si="41"/>
        <v>#N/A</v>
      </c>
      <c r="BL54" t="e">
        <f t="shared" si="9"/>
        <v>#N/A</v>
      </c>
      <c r="BM54" t="e">
        <f t="shared" si="9"/>
        <v>#N/A</v>
      </c>
      <c r="BN54" t="e">
        <f t="shared" si="9"/>
        <v>#N/A</v>
      </c>
      <c r="BO54" t="e">
        <f t="shared" si="9"/>
        <v>#N/A</v>
      </c>
      <c r="BP54" t="e">
        <f t="shared" si="9"/>
        <v>#N/A</v>
      </c>
      <c r="BQ54" t="e">
        <f t="shared" ref="BQ54:BU55" si="42">MATCH(CONCATENATE(BQ$3,"_",$C54),auto_DataFlat_UID,0)</f>
        <v>#N/A</v>
      </c>
      <c r="BR54" t="e">
        <f t="shared" si="42"/>
        <v>#N/A</v>
      </c>
      <c r="BS54" t="e">
        <f t="shared" si="42"/>
        <v>#N/A</v>
      </c>
      <c r="BT54" t="e">
        <f t="shared" si="42"/>
        <v>#N/A</v>
      </c>
      <c r="BU54" t="e">
        <f t="shared" si="42"/>
        <v>#N/A</v>
      </c>
      <c r="BV54" t="e">
        <f t="shared" si="10"/>
        <v>#N/A</v>
      </c>
      <c r="BW54" t="e">
        <f t="shared" si="10"/>
        <v>#N/A</v>
      </c>
      <c r="BX54" t="e">
        <f t="shared" si="10"/>
        <v>#N/A</v>
      </c>
      <c r="BY54" t="e">
        <f t="shared" si="10"/>
        <v>#N/A</v>
      </c>
      <c r="BZ54" t="e">
        <f t="shared" si="10"/>
        <v>#N/A</v>
      </c>
      <c r="CA54" t="e">
        <f t="shared" ref="CA54:CO75" si="43">MATCH(CONCATENATE(CA$3,"_",$C54),auto_DataFlat_UID,0)</f>
        <v>#N/A</v>
      </c>
      <c r="CB54" t="e">
        <f t="shared" si="43"/>
        <v>#N/A</v>
      </c>
      <c r="CC54" t="e">
        <f t="shared" si="43"/>
        <v>#N/A</v>
      </c>
      <c r="CD54" t="e">
        <f t="shared" si="43"/>
        <v>#N/A</v>
      </c>
      <c r="CE54" t="e">
        <f t="shared" si="43"/>
        <v>#N/A</v>
      </c>
      <c r="CF54" t="e">
        <f t="shared" si="11"/>
        <v>#N/A</v>
      </c>
      <c r="CG54" t="e">
        <f t="shared" si="11"/>
        <v>#N/A</v>
      </c>
      <c r="CH54" t="e">
        <f t="shared" si="11"/>
        <v>#N/A</v>
      </c>
      <c r="CI54" t="e">
        <f t="shared" si="11"/>
        <v>#N/A</v>
      </c>
      <c r="CJ54" t="e">
        <f t="shared" si="11"/>
        <v>#N/A</v>
      </c>
      <c r="CK54" t="e">
        <f t="shared" ref="CK54:CY78" si="44">MATCH(CONCATENATE(CK$3,"_",$C54),auto_DataFlat_UID,0)</f>
        <v>#N/A</v>
      </c>
      <c r="CL54" t="e">
        <f t="shared" si="44"/>
        <v>#N/A</v>
      </c>
      <c r="CM54" t="e">
        <f t="shared" si="44"/>
        <v>#N/A</v>
      </c>
      <c r="CN54" t="e">
        <f t="shared" si="44"/>
        <v>#N/A</v>
      </c>
      <c r="CO54" t="e">
        <f t="shared" si="44"/>
        <v>#N/A</v>
      </c>
      <c r="CP54" t="e">
        <f t="shared" si="44"/>
        <v>#N/A</v>
      </c>
      <c r="CQ54" t="e">
        <f t="shared" si="44"/>
        <v>#N/A</v>
      </c>
      <c r="CR54" t="e">
        <f t="shared" si="44"/>
        <v>#N/A</v>
      </c>
      <c r="CS54" t="e">
        <f t="shared" si="44"/>
        <v>#N/A</v>
      </c>
      <c r="CT54" t="e">
        <f t="shared" si="44"/>
        <v>#N/A</v>
      </c>
      <c r="CU54" t="e">
        <f t="shared" si="44"/>
        <v>#N/A</v>
      </c>
      <c r="CV54" t="e">
        <f t="shared" si="44"/>
        <v>#N/A</v>
      </c>
      <c r="CW54" t="e">
        <f t="shared" si="44"/>
        <v>#N/A</v>
      </c>
      <c r="CX54" t="e">
        <f t="shared" si="44"/>
        <v>#N/A</v>
      </c>
      <c r="CY54" t="e">
        <f t="shared" si="44"/>
        <v>#N/A</v>
      </c>
      <c r="CZ54" t="e">
        <f t="shared" si="35"/>
        <v>#N/A</v>
      </c>
      <c r="DA54" t="e">
        <f t="shared" si="35"/>
        <v>#N/A</v>
      </c>
      <c r="DB54" t="e">
        <f t="shared" si="35"/>
        <v>#N/A</v>
      </c>
      <c r="DC54" t="e">
        <f t="shared" si="35"/>
        <v>#N/A</v>
      </c>
      <c r="DD54" t="e">
        <f t="shared" si="35"/>
        <v>#N/A</v>
      </c>
      <c r="DE54" t="e">
        <f t="shared" si="35"/>
        <v>#N/A</v>
      </c>
      <c r="DF54" t="e">
        <f t="shared" si="35"/>
        <v>#N/A</v>
      </c>
      <c r="DG54" t="e">
        <f t="shared" si="35"/>
        <v>#N/A</v>
      </c>
      <c r="DH54" t="e">
        <f t="shared" si="35"/>
        <v>#N/A</v>
      </c>
      <c r="DI54" t="e">
        <f t="shared" si="34"/>
        <v>#N/A</v>
      </c>
      <c r="DJ54" t="e">
        <f t="shared" si="34"/>
        <v>#N/A</v>
      </c>
      <c r="DK54" t="e">
        <f t="shared" si="34"/>
        <v>#N/A</v>
      </c>
      <c r="DL54" t="e">
        <f t="shared" si="34"/>
        <v>#N/A</v>
      </c>
      <c r="DM54" t="e">
        <f t="shared" si="34"/>
        <v>#N/A</v>
      </c>
      <c r="DN54" t="e">
        <f t="shared" si="34"/>
        <v>#N/A</v>
      </c>
      <c r="DO54" t="e">
        <f t="shared" si="34"/>
        <v>#N/A</v>
      </c>
      <c r="DP54" t="e">
        <f t="shared" si="34"/>
        <v>#N/A</v>
      </c>
      <c r="DQ54" t="e">
        <f t="shared" si="34"/>
        <v>#N/A</v>
      </c>
      <c r="DR54" t="e">
        <f t="shared" si="34"/>
        <v>#N/A</v>
      </c>
      <c r="DS54" t="e">
        <f t="shared" si="34"/>
        <v>#N/A</v>
      </c>
      <c r="DT54">
        <f t="shared" si="34"/>
        <v>3051</v>
      </c>
      <c r="DU54">
        <f t="shared" si="34"/>
        <v>3052</v>
      </c>
      <c r="DV54">
        <f t="shared" si="33"/>
        <v>3053</v>
      </c>
      <c r="DW54">
        <f t="shared" si="33"/>
        <v>3054</v>
      </c>
      <c r="DX54">
        <f t="shared" si="33"/>
        <v>3055</v>
      </c>
      <c r="DY54">
        <f t="shared" si="33"/>
        <v>3056</v>
      </c>
      <c r="DZ54">
        <f t="shared" si="31"/>
        <v>3057</v>
      </c>
      <c r="EA54">
        <f t="shared" si="31"/>
        <v>3058</v>
      </c>
      <c r="EB54">
        <f t="shared" si="31"/>
        <v>3059</v>
      </c>
      <c r="EC54">
        <f t="shared" si="31"/>
        <v>3060</v>
      </c>
      <c r="ED54" t="e">
        <f t="shared" si="31"/>
        <v>#N/A</v>
      </c>
      <c r="EE54" t="e">
        <f t="shared" si="31"/>
        <v>#N/A</v>
      </c>
      <c r="EF54" t="e">
        <f t="shared" si="32"/>
        <v>#N/A</v>
      </c>
      <c r="EG54" t="e">
        <f t="shared" si="32"/>
        <v>#N/A</v>
      </c>
      <c r="EH54" t="e">
        <f t="shared" si="32"/>
        <v>#N/A</v>
      </c>
      <c r="EI54" t="e">
        <f t="shared" si="32"/>
        <v>#N/A</v>
      </c>
      <c r="EJ54" t="e">
        <f t="shared" si="32"/>
        <v>#N/A</v>
      </c>
      <c r="EK54" t="e">
        <f t="shared" si="32"/>
        <v>#N/A</v>
      </c>
      <c r="EL54" t="e">
        <f t="shared" si="32"/>
        <v>#N/A</v>
      </c>
      <c r="EM54" t="e">
        <f t="shared" si="32"/>
        <v>#N/A</v>
      </c>
    </row>
    <row r="55" spans="1:143" x14ac:dyDescent="0.4">
      <c r="A55" t="str">
        <f t="shared" si="16"/>
        <v/>
      </c>
      <c r="B55">
        <v>52</v>
      </c>
      <c r="C55" t="str" cm="1">
        <f t="array" ref="C55">INDEX(auto_Series_Code,B55)</f>
        <v>DOMAIN_005</v>
      </c>
      <c r="D55">
        <f t="shared" si="17"/>
        <v>3061</v>
      </c>
      <c r="E55">
        <f t="shared" si="17"/>
        <v>3062</v>
      </c>
      <c r="F55">
        <f t="shared" si="17"/>
        <v>3063</v>
      </c>
      <c r="G55">
        <f t="shared" si="17"/>
        <v>3064</v>
      </c>
      <c r="H55">
        <f t="shared" si="17"/>
        <v>3065</v>
      </c>
      <c r="I55">
        <f t="shared" si="36"/>
        <v>3066</v>
      </c>
      <c r="J55">
        <f t="shared" si="36"/>
        <v>3067</v>
      </c>
      <c r="K55">
        <f t="shared" si="36"/>
        <v>3068</v>
      </c>
      <c r="L55">
        <f t="shared" si="36"/>
        <v>3069</v>
      </c>
      <c r="M55">
        <f t="shared" si="36"/>
        <v>3070</v>
      </c>
      <c r="N55">
        <f t="shared" si="18"/>
        <v>3071</v>
      </c>
      <c r="O55">
        <f t="shared" si="18"/>
        <v>3072</v>
      </c>
      <c r="P55">
        <f t="shared" si="18"/>
        <v>3073</v>
      </c>
      <c r="Q55">
        <f t="shared" si="18"/>
        <v>3074</v>
      </c>
      <c r="R55">
        <f t="shared" si="18"/>
        <v>3075</v>
      </c>
      <c r="S55">
        <f t="shared" si="37"/>
        <v>3076</v>
      </c>
      <c r="T55">
        <f t="shared" si="37"/>
        <v>3077</v>
      </c>
      <c r="U55">
        <f t="shared" si="37"/>
        <v>3078</v>
      </c>
      <c r="V55">
        <f t="shared" si="37"/>
        <v>3079</v>
      </c>
      <c r="W55">
        <f t="shared" si="37"/>
        <v>3080</v>
      </c>
      <c r="X55">
        <f t="shared" si="19"/>
        <v>3081</v>
      </c>
      <c r="Y55">
        <f t="shared" si="19"/>
        <v>3082</v>
      </c>
      <c r="Z55">
        <f t="shared" si="19"/>
        <v>3083</v>
      </c>
      <c r="AA55">
        <f t="shared" si="19"/>
        <v>3084</v>
      </c>
      <c r="AB55">
        <f t="shared" si="19"/>
        <v>3085</v>
      </c>
      <c r="AC55">
        <f t="shared" si="38"/>
        <v>3086</v>
      </c>
      <c r="AD55">
        <f t="shared" si="38"/>
        <v>3087</v>
      </c>
      <c r="AE55">
        <f t="shared" si="38"/>
        <v>3088</v>
      </c>
      <c r="AF55">
        <f t="shared" si="38"/>
        <v>3089</v>
      </c>
      <c r="AG55">
        <f t="shared" si="38"/>
        <v>3090</v>
      </c>
      <c r="AH55">
        <f t="shared" si="20"/>
        <v>3091</v>
      </c>
      <c r="AI55">
        <f t="shared" si="20"/>
        <v>3092</v>
      </c>
      <c r="AJ55">
        <f t="shared" si="20"/>
        <v>3093</v>
      </c>
      <c r="AK55">
        <f t="shared" si="20"/>
        <v>3094</v>
      </c>
      <c r="AL55">
        <f t="shared" si="20"/>
        <v>3095</v>
      </c>
      <c r="AM55">
        <f t="shared" si="39"/>
        <v>3096</v>
      </c>
      <c r="AN55">
        <f t="shared" si="39"/>
        <v>3097</v>
      </c>
      <c r="AO55">
        <f t="shared" si="39"/>
        <v>3098</v>
      </c>
      <c r="AP55">
        <f t="shared" si="39"/>
        <v>3099</v>
      </c>
      <c r="AQ55">
        <f t="shared" si="39"/>
        <v>3100</v>
      </c>
      <c r="AR55">
        <f t="shared" si="21"/>
        <v>3101</v>
      </c>
      <c r="AS55">
        <f t="shared" si="21"/>
        <v>3102</v>
      </c>
      <c r="AT55">
        <f t="shared" si="21"/>
        <v>3103</v>
      </c>
      <c r="AU55">
        <f t="shared" si="21"/>
        <v>3104</v>
      </c>
      <c r="AV55">
        <f t="shared" si="21"/>
        <v>3105</v>
      </c>
      <c r="AW55">
        <f t="shared" si="40"/>
        <v>3106</v>
      </c>
      <c r="AX55">
        <f t="shared" si="40"/>
        <v>3107</v>
      </c>
      <c r="AY55">
        <f t="shared" si="40"/>
        <v>3108</v>
      </c>
      <c r="AZ55">
        <f t="shared" si="40"/>
        <v>3109</v>
      </c>
      <c r="BA55">
        <f t="shared" si="40"/>
        <v>3110</v>
      </c>
      <c r="BB55" t="e">
        <f t="shared" si="22"/>
        <v>#N/A</v>
      </c>
      <c r="BC55" t="e">
        <f t="shared" si="22"/>
        <v>#N/A</v>
      </c>
      <c r="BD55" t="e">
        <f t="shared" si="22"/>
        <v>#N/A</v>
      </c>
      <c r="BE55" t="e">
        <f t="shared" si="22"/>
        <v>#N/A</v>
      </c>
      <c r="BF55" t="e">
        <f t="shared" si="22"/>
        <v>#N/A</v>
      </c>
      <c r="BG55" t="e">
        <f t="shared" si="41"/>
        <v>#N/A</v>
      </c>
      <c r="BH55" t="e">
        <f t="shared" si="41"/>
        <v>#N/A</v>
      </c>
      <c r="BI55" t="e">
        <f t="shared" si="41"/>
        <v>#N/A</v>
      </c>
      <c r="BJ55" t="e">
        <f t="shared" si="41"/>
        <v>#N/A</v>
      </c>
      <c r="BK55" t="e">
        <f t="shared" si="41"/>
        <v>#N/A</v>
      </c>
      <c r="BL55" t="e">
        <f t="shared" si="23"/>
        <v>#N/A</v>
      </c>
      <c r="BM55" t="e">
        <f t="shared" si="23"/>
        <v>#N/A</v>
      </c>
      <c r="BN55" t="e">
        <f t="shared" si="23"/>
        <v>#N/A</v>
      </c>
      <c r="BO55" t="e">
        <f t="shared" si="23"/>
        <v>#N/A</v>
      </c>
      <c r="BP55" t="e">
        <f t="shared" si="23"/>
        <v>#N/A</v>
      </c>
      <c r="BQ55" t="e">
        <f t="shared" si="42"/>
        <v>#N/A</v>
      </c>
      <c r="BR55" t="e">
        <f t="shared" si="42"/>
        <v>#N/A</v>
      </c>
      <c r="BS55" t="e">
        <f t="shared" si="42"/>
        <v>#N/A</v>
      </c>
      <c r="BT55" t="e">
        <f t="shared" si="42"/>
        <v>#N/A</v>
      </c>
      <c r="BU55" t="e">
        <f t="shared" si="42"/>
        <v>#N/A</v>
      </c>
      <c r="BV55" t="e">
        <f t="shared" si="24"/>
        <v>#N/A</v>
      </c>
      <c r="BW55" t="e">
        <f t="shared" si="24"/>
        <v>#N/A</v>
      </c>
      <c r="BX55" t="e">
        <f t="shared" si="24"/>
        <v>#N/A</v>
      </c>
      <c r="BY55" t="e">
        <f t="shared" si="24"/>
        <v>#N/A</v>
      </c>
      <c r="BZ55" t="e">
        <f t="shared" si="24"/>
        <v>#N/A</v>
      </c>
      <c r="CA55" t="e">
        <f t="shared" si="43"/>
        <v>#N/A</v>
      </c>
      <c r="CB55" t="e">
        <f t="shared" si="43"/>
        <v>#N/A</v>
      </c>
      <c r="CC55" t="e">
        <f t="shared" si="43"/>
        <v>#N/A</v>
      </c>
      <c r="CD55" t="e">
        <f t="shared" si="43"/>
        <v>#N/A</v>
      </c>
      <c r="CE55" t="e">
        <f t="shared" si="43"/>
        <v>#N/A</v>
      </c>
      <c r="CF55" t="e">
        <f t="shared" si="25"/>
        <v>#N/A</v>
      </c>
      <c r="CG55" t="e">
        <f t="shared" si="25"/>
        <v>#N/A</v>
      </c>
      <c r="CH55" t="e">
        <f t="shared" si="25"/>
        <v>#N/A</v>
      </c>
      <c r="CI55" t="e">
        <f t="shared" si="25"/>
        <v>#N/A</v>
      </c>
      <c r="CJ55" t="e">
        <f t="shared" si="25"/>
        <v>#N/A</v>
      </c>
      <c r="CK55" t="e">
        <f t="shared" si="44"/>
        <v>#N/A</v>
      </c>
      <c r="CL55" t="e">
        <f t="shared" si="44"/>
        <v>#N/A</v>
      </c>
      <c r="CM55" t="e">
        <f t="shared" si="44"/>
        <v>#N/A</v>
      </c>
      <c r="CN55" t="e">
        <f t="shared" si="44"/>
        <v>#N/A</v>
      </c>
      <c r="CO55" t="e">
        <f t="shared" si="44"/>
        <v>#N/A</v>
      </c>
      <c r="CP55" t="e">
        <f t="shared" si="44"/>
        <v>#N/A</v>
      </c>
      <c r="CQ55" t="e">
        <f t="shared" si="44"/>
        <v>#N/A</v>
      </c>
      <c r="CR55" t="e">
        <f t="shared" si="44"/>
        <v>#N/A</v>
      </c>
      <c r="CS55" t="e">
        <f t="shared" si="44"/>
        <v>#N/A</v>
      </c>
      <c r="CT55" t="e">
        <f t="shared" si="44"/>
        <v>#N/A</v>
      </c>
      <c r="CU55" t="e">
        <f t="shared" si="44"/>
        <v>#N/A</v>
      </c>
      <c r="CV55" t="e">
        <f t="shared" si="44"/>
        <v>#N/A</v>
      </c>
      <c r="CW55" t="e">
        <f t="shared" si="44"/>
        <v>#N/A</v>
      </c>
      <c r="CX55" t="e">
        <f t="shared" si="44"/>
        <v>#N/A</v>
      </c>
      <c r="CY55" t="e">
        <f t="shared" si="44"/>
        <v>#N/A</v>
      </c>
      <c r="CZ55" t="e">
        <f t="shared" si="35"/>
        <v>#N/A</v>
      </c>
      <c r="DA55" t="e">
        <f t="shared" si="35"/>
        <v>#N/A</v>
      </c>
      <c r="DB55" t="e">
        <f t="shared" si="35"/>
        <v>#N/A</v>
      </c>
      <c r="DC55" t="e">
        <f t="shared" si="35"/>
        <v>#N/A</v>
      </c>
      <c r="DD55" t="e">
        <f t="shared" si="35"/>
        <v>#N/A</v>
      </c>
      <c r="DE55" t="e">
        <f t="shared" si="35"/>
        <v>#N/A</v>
      </c>
      <c r="DF55" t="e">
        <f t="shared" si="35"/>
        <v>#N/A</v>
      </c>
      <c r="DG55" t="e">
        <f t="shared" si="35"/>
        <v>#N/A</v>
      </c>
      <c r="DH55" t="e">
        <f t="shared" si="35"/>
        <v>#N/A</v>
      </c>
      <c r="DI55" t="e">
        <f t="shared" si="34"/>
        <v>#N/A</v>
      </c>
      <c r="DJ55" t="e">
        <f t="shared" si="34"/>
        <v>#N/A</v>
      </c>
      <c r="DK55" t="e">
        <f t="shared" si="34"/>
        <v>#N/A</v>
      </c>
      <c r="DL55" t="e">
        <f t="shared" si="34"/>
        <v>#N/A</v>
      </c>
      <c r="DM55" t="e">
        <f t="shared" si="34"/>
        <v>#N/A</v>
      </c>
      <c r="DN55" t="e">
        <f t="shared" si="34"/>
        <v>#N/A</v>
      </c>
      <c r="DO55" t="e">
        <f t="shared" si="34"/>
        <v>#N/A</v>
      </c>
      <c r="DP55" t="e">
        <f t="shared" si="34"/>
        <v>#N/A</v>
      </c>
      <c r="DQ55" t="e">
        <f t="shared" si="34"/>
        <v>#N/A</v>
      </c>
      <c r="DR55" t="e">
        <f t="shared" si="34"/>
        <v>#N/A</v>
      </c>
      <c r="DS55" t="e">
        <f t="shared" si="34"/>
        <v>#N/A</v>
      </c>
      <c r="DT55">
        <f t="shared" si="34"/>
        <v>3111</v>
      </c>
      <c r="DU55">
        <f t="shared" si="34"/>
        <v>3112</v>
      </c>
      <c r="DV55">
        <f t="shared" si="33"/>
        <v>3113</v>
      </c>
      <c r="DW55">
        <f t="shared" si="33"/>
        <v>3114</v>
      </c>
      <c r="DX55">
        <f t="shared" si="33"/>
        <v>3115</v>
      </c>
      <c r="DY55">
        <f t="shared" si="33"/>
        <v>3116</v>
      </c>
      <c r="DZ55">
        <f t="shared" si="31"/>
        <v>3117</v>
      </c>
      <c r="EA55">
        <f t="shared" si="31"/>
        <v>3118</v>
      </c>
      <c r="EB55">
        <f t="shared" si="31"/>
        <v>3119</v>
      </c>
      <c r="EC55">
        <f t="shared" si="31"/>
        <v>3120</v>
      </c>
      <c r="ED55" t="e">
        <f t="shared" si="31"/>
        <v>#N/A</v>
      </c>
      <c r="EE55" t="e">
        <f t="shared" si="31"/>
        <v>#N/A</v>
      </c>
      <c r="EF55" t="e">
        <f t="shared" si="32"/>
        <v>#N/A</v>
      </c>
      <c r="EG55" t="e">
        <f t="shared" si="32"/>
        <v>#N/A</v>
      </c>
      <c r="EH55" t="e">
        <f t="shared" si="32"/>
        <v>#N/A</v>
      </c>
      <c r="EI55" t="e">
        <f t="shared" si="32"/>
        <v>#N/A</v>
      </c>
      <c r="EJ55" t="e">
        <f t="shared" si="32"/>
        <v>#N/A</v>
      </c>
      <c r="EK55" t="e">
        <f t="shared" si="32"/>
        <v>#N/A</v>
      </c>
      <c r="EL55" t="e">
        <f t="shared" si="32"/>
        <v>#N/A</v>
      </c>
      <c r="EM55" t="e">
        <f t="shared" si="32"/>
        <v>#N/A</v>
      </c>
    </row>
    <row r="56" spans="1:143" x14ac:dyDescent="0.4">
      <c r="A56" t="str">
        <f t="shared" si="16"/>
        <v/>
      </c>
      <c r="B56">
        <v>53</v>
      </c>
      <c r="C56" t="str" cm="1">
        <f t="array" ref="C56">INDEX(auto_Series_Code,B56)</f>
        <v>INDI_024</v>
      </c>
      <c r="D56">
        <f t="shared" ref="D56:S71" si="45">MATCH(CONCATENATE(D$3,"_",$C56),auto_DataFlat_UID,0)</f>
        <v>3121</v>
      </c>
      <c r="E56">
        <f t="shared" si="45"/>
        <v>3122</v>
      </c>
      <c r="F56">
        <f t="shared" si="45"/>
        <v>3123</v>
      </c>
      <c r="G56">
        <f t="shared" si="45"/>
        <v>3124</v>
      </c>
      <c r="H56">
        <f t="shared" si="45"/>
        <v>3125</v>
      </c>
      <c r="I56">
        <f t="shared" si="45"/>
        <v>3126</v>
      </c>
      <c r="J56">
        <f t="shared" si="45"/>
        <v>3127</v>
      </c>
      <c r="K56">
        <f t="shared" si="45"/>
        <v>3128</v>
      </c>
      <c r="L56">
        <f t="shared" si="45"/>
        <v>3129</v>
      </c>
      <c r="M56">
        <f t="shared" si="45"/>
        <v>3130</v>
      </c>
      <c r="N56">
        <f t="shared" si="45"/>
        <v>3131</v>
      </c>
      <c r="O56">
        <f t="shared" si="45"/>
        <v>3132</v>
      </c>
      <c r="P56">
        <f t="shared" si="45"/>
        <v>3133</v>
      </c>
      <c r="Q56">
        <f t="shared" si="45"/>
        <v>3134</v>
      </c>
      <c r="R56">
        <f t="shared" si="45"/>
        <v>3135</v>
      </c>
      <c r="S56">
        <f t="shared" si="45"/>
        <v>3136</v>
      </c>
      <c r="T56">
        <f t="shared" si="37"/>
        <v>3137</v>
      </c>
      <c r="U56">
        <f t="shared" si="37"/>
        <v>3138</v>
      </c>
      <c r="V56">
        <f t="shared" si="37"/>
        <v>3139</v>
      </c>
      <c r="W56">
        <f t="shared" si="37"/>
        <v>3140</v>
      </c>
      <c r="X56">
        <f t="shared" si="37"/>
        <v>3141</v>
      </c>
      <c r="Y56">
        <f t="shared" si="37"/>
        <v>3142</v>
      </c>
      <c r="Z56">
        <f t="shared" si="37"/>
        <v>3143</v>
      </c>
      <c r="AA56">
        <f t="shared" si="37"/>
        <v>3144</v>
      </c>
      <c r="AB56">
        <f t="shared" si="37"/>
        <v>3145</v>
      </c>
      <c r="AC56">
        <f t="shared" si="37"/>
        <v>3146</v>
      </c>
      <c r="AD56">
        <f t="shared" si="37"/>
        <v>3147</v>
      </c>
      <c r="AE56">
        <f t="shared" si="37"/>
        <v>3148</v>
      </c>
      <c r="AF56">
        <f t="shared" si="37"/>
        <v>3149</v>
      </c>
      <c r="AG56">
        <f t="shared" si="37"/>
        <v>3150</v>
      </c>
      <c r="AH56">
        <f t="shared" si="37"/>
        <v>3151</v>
      </c>
      <c r="AI56">
        <f t="shared" ref="AI56:AX71" si="46">MATCH(CONCATENATE(AI$3,"_",$C56),auto_DataFlat_UID,0)</f>
        <v>3152</v>
      </c>
      <c r="AJ56">
        <f t="shared" si="46"/>
        <v>3153</v>
      </c>
      <c r="AK56">
        <f t="shared" si="46"/>
        <v>3154</v>
      </c>
      <c r="AL56">
        <f t="shared" si="46"/>
        <v>3155</v>
      </c>
      <c r="AM56">
        <f t="shared" si="46"/>
        <v>3156</v>
      </c>
      <c r="AN56">
        <f t="shared" si="46"/>
        <v>3157</v>
      </c>
      <c r="AO56">
        <f t="shared" si="46"/>
        <v>3158</v>
      </c>
      <c r="AP56">
        <f t="shared" si="46"/>
        <v>3159</v>
      </c>
      <c r="AQ56">
        <f t="shared" si="46"/>
        <v>3160</v>
      </c>
      <c r="AR56">
        <f t="shared" si="46"/>
        <v>3161</v>
      </c>
      <c r="AS56">
        <f t="shared" si="46"/>
        <v>3162</v>
      </c>
      <c r="AT56">
        <f t="shared" si="46"/>
        <v>3163</v>
      </c>
      <c r="AU56">
        <f t="shared" si="46"/>
        <v>3164</v>
      </c>
      <c r="AV56">
        <f t="shared" si="46"/>
        <v>3165</v>
      </c>
      <c r="AW56">
        <f t="shared" si="46"/>
        <v>3166</v>
      </c>
      <c r="AX56">
        <f t="shared" si="46"/>
        <v>3167</v>
      </c>
      <c r="AY56">
        <f t="shared" si="40"/>
        <v>3168</v>
      </c>
      <c r="AZ56">
        <f t="shared" si="40"/>
        <v>3169</v>
      </c>
      <c r="BA56">
        <f t="shared" si="40"/>
        <v>3170</v>
      </c>
      <c r="BB56" t="e">
        <f t="shared" si="40"/>
        <v>#N/A</v>
      </c>
      <c r="BC56" t="e">
        <f t="shared" si="40"/>
        <v>#N/A</v>
      </c>
      <c r="BD56" t="e">
        <f t="shared" si="40"/>
        <v>#N/A</v>
      </c>
      <c r="BE56" t="e">
        <f t="shared" si="40"/>
        <v>#N/A</v>
      </c>
      <c r="BF56" t="e">
        <f t="shared" si="40"/>
        <v>#N/A</v>
      </c>
      <c r="BG56" t="e">
        <f t="shared" si="40"/>
        <v>#N/A</v>
      </c>
      <c r="BH56" t="e">
        <f t="shared" si="40"/>
        <v>#N/A</v>
      </c>
      <c r="BI56" t="e">
        <f t="shared" si="40"/>
        <v>#N/A</v>
      </c>
      <c r="BJ56" t="e">
        <f t="shared" si="40"/>
        <v>#N/A</v>
      </c>
      <c r="BK56" t="e">
        <f t="shared" si="40"/>
        <v>#N/A</v>
      </c>
      <c r="BL56" t="e">
        <f t="shared" si="40"/>
        <v>#N/A</v>
      </c>
      <c r="BM56" t="e">
        <f t="shared" ref="BM56:CB71" si="47">MATCH(CONCATENATE(BM$3,"_",$C56),auto_DataFlat_UID,0)</f>
        <v>#N/A</v>
      </c>
      <c r="BN56" t="e">
        <f t="shared" si="47"/>
        <v>#N/A</v>
      </c>
      <c r="BO56" t="e">
        <f t="shared" si="47"/>
        <v>#N/A</v>
      </c>
      <c r="BP56" t="e">
        <f t="shared" si="47"/>
        <v>#N/A</v>
      </c>
      <c r="BQ56" t="e">
        <f t="shared" si="47"/>
        <v>#N/A</v>
      </c>
      <c r="BR56" t="e">
        <f t="shared" si="47"/>
        <v>#N/A</v>
      </c>
      <c r="BS56" t="e">
        <f t="shared" si="47"/>
        <v>#N/A</v>
      </c>
      <c r="BT56" t="e">
        <f t="shared" si="47"/>
        <v>#N/A</v>
      </c>
      <c r="BU56" t="e">
        <f t="shared" si="47"/>
        <v>#N/A</v>
      </c>
      <c r="BV56" t="e">
        <f t="shared" si="47"/>
        <v>#N/A</v>
      </c>
      <c r="BW56" t="e">
        <f t="shared" si="47"/>
        <v>#N/A</v>
      </c>
      <c r="BX56" t="e">
        <f t="shared" si="47"/>
        <v>#N/A</v>
      </c>
      <c r="BY56" t="e">
        <f t="shared" si="47"/>
        <v>#N/A</v>
      </c>
      <c r="BZ56" t="e">
        <f t="shared" si="47"/>
        <v>#N/A</v>
      </c>
      <c r="CA56" t="e">
        <f t="shared" si="47"/>
        <v>#N/A</v>
      </c>
      <c r="CB56" t="e">
        <f t="shared" si="47"/>
        <v>#N/A</v>
      </c>
      <c r="CC56" t="e">
        <f t="shared" si="43"/>
        <v>#N/A</v>
      </c>
      <c r="CD56" t="e">
        <f t="shared" si="43"/>
        <v>#N/A</v>
      </c>
      <c r="CE56" t="e">
        <f t="shared" si="43"/>
        <v>#N/A</v>
      </c>
      <c r="CF56" t="e">
        <f t="shared" si="43"/>
        <v>#N/A</v>
      </c>
      <c r="CG56" t="e">
        <f t="shared" si="43"/>
        <v>#N/A</v>
      </c>
      <c r="CH56" t="e">
        <f t="shared" si="43"/>
        <v>#N/A</v>
      </c>
      <c r="CI56" t="e">
        <f t="shared" si="43"/>
        <v>#N/A</v>
      </c>
      <c r="CJ56" t="e">
        <f t="shared" si="43"/>
        <v>#N/A</v>
      </c>
      <c r="CK56" t="e">
        <f t="shared" si="43"/>
        <v>#N/A</v>
      </c>
      <c r="CL56" t="e">
        <f t="shared" si="43"/>
        <v>#N/A</v>
      </c>
      <c r="CM56" t="e">
        <f t="shared" si="43"/>
        <v>#N/A</v>
      </c>
      <c r="CN56" t="e">
        <f t="shared" si="43"/>
        <v>#N/A</v>
      </c>
      <c r="CO56" t="e">
        <f t="shared" si="43"/>
        <v>#N/A</v>
      </c>
      <c r="CP56" t="e">
        <f t="shared" si="44"/>
        <v>#N/A</v>
      </c>
      <c r="CQ56" t="e">
        <f t="shared" si="44"/>
        <v>#N/A</v>
      </c>
      <c r="CR56" t="e">
        <f t="shared" si="44"/>
        <v>#N/A</v>
      </c>
      <c r="CS56" t="e">
        <f t="shared" si="44"/>
        <v>#N/A</v>
      </c>
      <c r="CT56" t="e">
        <f t="shared" si="44"/>
        <v>#N/A</v>
      </c>
      <c r="CU56" t="e">
        <f t="shared" si="44"/>
        <v>#N/A</v>
      </c>
      <c r="CV56" t="e">
        <f t="shared" si="44"/>
        <v>#N/A</v>
      </c>
      <c r="CW56" t="e">
        <f t="shared" si="44"/>
        <v>#N/A</v>
      </c>
      <c r="CX56" t="e">
        <f t="shared" si="44"/>
        <v>#N/A</v>
      </c>
      <c r="CY56" t="e">
        <f t="shared" si="44"/>
        <v>#N/A</v>
      </c>
      <c r="CZ56" t="e">
        <f t="shared" si="35"/>
        <v>#N/A</v>
      </c>
      <c r="DA56" t="e">
        <f t="shared" si="35"/>
        <v>#N/A</v>
      </c>
      <c r="DB56" t="e">
        <f t="shared" si="35"/>
        <v>#N/A</v>
      </c>
      <c r="DC56" t="e">
        <f t="shared" si="35"/>
        <v>#N/A</v>
      </c>
      <c r="DD56" t="e">
        <f t="shared" si="35"/>
        <v>#N/A</v>
      </c>
      <c r="DE56" t="e">
        <f t="shared" si="35"/>
        <v>#N/A</v>
      </c>
      <c r="DF56" t="e">
        <f t="shared" si="35"/>
        <v>#N/A</v>
      </c>
      <c r="DG56" t="e">
        <f t="shared" si="35"/>
        <v>#N/A</v>
      </c>
      <c r="DH56" t="e">
        <f t="shared" si="35"/>
        <v>#N/A</v>
      </c>
      <c r="DI56" t="e">
        <f t="shared" si="34"/>
        <v>#N/A</v>
      </c>
      <c r="DJ56" t="e">
        <f t="shared" si="34"/>
        <v>#N/A</v>
      </c>
      <c r="DK56" t="e">
        <f t="shared" si="34"/>
        <v>#N/A</v>
      </c>
      <c r="DL56" t="e">
        <f t="shared" si="34"/>
        <v>#N/A</v>
      </c>
      <c r="DM56" t="e">
        <f t="shared" si="34"/>
        <v>#N/A</v>
      </c>
      <c r="DN56" t="e">
        <f t="shared" si="34"/>
        <v>#N/A</v>
      </c>
      <c r="DO56" t="e">
        <f t="shared" si="34"/>
        <v>#N/A</v>
      </c>
      <c r="DP56" t="e">
        <f t="shared" si="34"/>
        <v>#N/A</v>
      </c>
      <c r="DQ56" t="e">
        <f t="shared" si="34"/>
        <v>#N/A</v>
      </c>
      <c r="DR56" t="e">
        <f t="shared" si="34"/>
        <v>#N/A</v>
      </c>
      <c r="DS56" t="e">
        <f t="shared" si="34"/>
        <v>#N/A</v>
      </c>
      <c r="DT56">
        <f t="shared" si="34"/>
        <v>3171</v>
      </c>
      <c r="DU56">
        <f t="shared" si="34"/>
        <v>3172</v>
      </c>
      <c r="DV56">
        <f t="shared" si="33"/>
        <v>3173</v>
      </c>
      <c r="DW56">
        <f t="shared" si="33"/>
        <v>3174</v>
      </c>
      <c r="DX56">
        <f t="shared" si="33"/>
        <v>3175</v>
      </c>
      <c r="DY56">
        <f t="shared" si="33"/>
        <v>3176</v>
      </c>
      <c r="DZ56">
        <f t="shared" si="31"/>
        <v>3177</v>
      </c>
      <c r="EA56">
        <f t="shared" si="31"/>
        <v>3178</v>
      </c>
      <c r="EB56">
        <f t="shared" si="31"/>
        <v>3179</v>
      </c>
      <c r="EC56">
        <f t="shared" si="31"/>
        <v>3180</v>
      </c>
      <c r="ED56" t="e">
        <f t="shared" si="31"/>
        <v>#N/A</v>
      </c>
      <c r="EE56" t="e">
        <f t="shared" si="31"/>
        <v>#N/A</v>
      </c>
      <c r="EF56" t="e">
        <f t="shared" si="32"/>
        <v>#N/A</v>
      </c>
      <c r="EG56" t="e">
        <f t="shared" si="32"/>
        <v>#N/A</v>
      </c>
      <c r="EH56" t="e">
        <f t="shared" si="32"/>
        <v>#N/A</v>
      </c>
      <c r="EI56" t="e">
        <f t="shared" si="32"/>
        <v>#N/A</v>
      </c>
      <c r="EJ56" t="e">
        <f t="shared" si="32"/>
        <v>#N/A</v>
      </c>
      <c r="EK56" t="e">
        <f t="shared" si="32"/>
        <v>#N/A</v>
      </c>
      <c r="EL56" t="e">
        <f t="shared" si="32"/>
        <v>#N/A</v>
      </c>
      <c r="EM56" t="e">
        <f t="shared" si="32"/>
        <v>#N/A</v>
      </c>
    </row>
    <row r="57" spans="1:143" x14ac:dyDescent="0.4">
      <c r="A57" t="str">
        <f t="shared" si="16"/>
        <v/>
      </c>
      <c r="B57">
        <v>54</v>
      </c>
      <c r="C57" t="str" cm="1">
        <f t="array" ref="C57">INDEX(auto_Series_Code,B57)</f>
        <v>INDI_025</v>
      </c>
      <c r="D57">
        <f t="shared" si="45"/>
        <v>3181</v>
      </c>
      <c r="E57">
        <f t="shared" si="45"/>
        <v>3182</v>
      </c>
      <c r="F57">
        <f t="shared" si="45"/>
        <v>3183</v>
      </c>
      <c r="G57">
        <f t="shared" si="45"/>
        <v>3184</v>
      </c>
      <c r="H57">
        <f t="shared" si="45"/>
        <v>3185</v>
      </c>
      <c r="I57">
        <f t="shared" si="45"/>
        <v>3186</v>
      </c>
      <c r="J57">
        <f t="shared" si="45"/>
        <v>3187</v>
      </c>
      <c r="K57">
        <f t="shared" si="45"/>
        <v>3188</v>
      </c>
      <c r="L57">
        <f t="shared" si="45"/>
        <v>3189</v>
      </c>
      <c r="M57">
        <f t="shared" si="45"/>
        <v>3190</v>
      </c>
      <c r="N57">
        <f t="shared" si="45"/>
        <v>3191</v>
      </c>
      <c r="O57">
        <f t="shared" si="45"/>
        <v>3192</v>
      </c>
      <c r="P57">
        <f t="shared" si="45"/>
        <v>3193</v>
      </c>
      <c r="Q57">
        <f t="shared" si="45"/>
        <v>3194</v>
      </c>
      <c r="R57">
        <f t="shared" si="45"/>
        <v>3195</v>
      </c>
      <c r="S57">
        <f t="shared" si="45"/>
        <v>3196</v>
      </c>
      <c r="T57">
        <f t="shared" si="37"/>
        <v>3197</v>
      </c>
      <c r="U57">
        <f t="shared" si="37"/>
        <v>3198</v>
      </c>
      <c r="V57">
        <f t="shared" si="37"/>
        <v>3199</v>
      </c>
      <c r="W57">
        <f t="shared" si="37"/>
        <v>3200</v>
      </c>
      <c r="X57">
        <f t="shared" si="37"/>
        <v>3201</v>
      </c>
      <c r="Y57">
        <f t="shared" si="37"/>
        <v>3202</v>
      </c>
      <c r="Z57">
        <f t="shared" si="37"/>
        <v>3203</v>
      </c>
      <c r="AA57">
        <f t="shared" si="37"/>
        <v>3204</v>
      </c>
      <c r="AB57">
        <f t="shared" si="37"/>
        <v>3205</v>
      </c>
      <c r="AC57">
        <f t="shared" si="37"/>
        <v>3206</v>
      </c>
      <c r="AD57">
        <f t="shared" si="37"/>
        <v>3207</v>
      </c>
      <c r="AE57">
        <f t="shared" si="37"/>
        <v>3208</v>
      </c>
      <c r="AF57">
        <f t="shared" si="37"/>
        <v>3209</v>
      </c>
      <c r="AG57">
        <f t="shared" si="37"/>
        <v>3210</v>
      </c>
      <c r="AH57">
        <f t="shared" si="37"/>
        <v>3211</v>
      </c>
      <c r="AI57">
        <f t="shared" si="46"/>
        <v>3212</v>
      </c>
      <c r="AJ57">
        <f t="shared" si="46"/>
        <v>3213</v>
      </c>
      <c r="AK57">
        <f t="shared" si="46"/>
        <v>3214</v>
      </c>
      <c r="AL57">
        <f t="shared" si="46"/>
        <v>3215</v>
      </c>
      <c r="AM57">
        <f t="shared" si="46"/>
        <v>3216</v>
      </c>
      <c r="AN57">
        <f t="shared" si="46"/>
        <v>3217</v>
      </c>
      <c r="AO57">
        <f t="shared" si="46"/>
        <v>3218</v>
      </c>
      <c r="AP57">
        <f t="shared" si="46"/>
        <v>3219</v>
      </c>
      <c r="AQ57">
        <f t="shared" si="46"/>
        <v>3220</v>
      </c>
      <c r="AR57">
        <f t="shared" si="46"/>
        <v>3221</v>
      </c>
      <c r="AS57">
        <f t="shared" si="46"/>
        <v>3222</v>
      </c>
      <c r="AT57">
        <f t="shared" si="46"/>
        <v>3223</v>
      </c>
      <c r="AU57">
        <f t="shared" si="46"/>
        <v>3224</v>
      </c>
      <c r="AV57">
        <f t="shared" si="46"/>
        <v>3225</v>
      </c>
      <c r="AW57">
        <f t="shared" si="46"/>
        <v>3226</v>
      </c>
      <c r="AX57">
        <f t="shared" si="46"/>
        <v>3227</v>
      </c>
      <c r="AY57">
        <f t="shared" si="40"/>
        <v>3228</v>
      </c>
      <c r="AZ57">
        <f t="shared" si="40"/>
        <v>3229</v>
      </c>
      <c r="BA57">
        <f t="shared" si="40"/>
        <v>3230</v>
      </c>
      <c r="BB57" t="e">
        <f t="shared" si="40"/>
        <v>#N/A</v>
      </c>
      <c r="BC57" t="e">
        <f t="shared" si="40"/>
        <v>#N/A</v>
      </c>
      <c r="BD57" t="e">
        <f t="shared" si="40"/>
        <v>#N/A</v>
      </c>
      <c r="BE57" t="e">
        <f t="shared" si="40"/>
        <v>#N/A</v>
      </c>
      <c r="BF57" t="e">
        <f t="shared" si="40"/>
        <v>#N/A</v>
      </c>
      <c r="BG57" t="e">
        <f t="shared" si="40"/>
        <v>#N/A</v>
      </c>
      <c r="BH57" t="e">
        <f t="shared" si="40"/>
        <v>#N/A</v>
      </c>
      <c r="BI57" t="e">
        <f t="shared" si="40"/>
        <v>#N/A</v>
      </c>
      <c r="BJ57" t="e">
        <f t="shared" si="40"/>
        <v>#N/A</v>
      </c>
      <c r="BK57" t="e">
        <f t="shared" si="40"/>
        <v>#N/A</v>
      </c>
      <c r="BL57" t="e">
        <f t="shared" si="40"/>
        <v>#N/A</v>
      </c>
      <c r="BM57" t="e">
        <f t="shared" si="47"/>
        <v>#N/A</v>
      </c>
      <c r="BN57" t="e">
        <f t="shared" si="47"/>
        <v>#N/A</v>
      </c>
      <c r="BO57" t="e">
        <f t="shared" si="47"/>
        <v>#N/A</v>
      </c>
      <c r="BP57" t="e">
        <f t="shared" si="47"/>
        <v>#N/A</v>
      </c>
      <c r="BQ57" t="e">
        <f t="shared" si="47"/>
        <v>#N/A</v>
      </c>
      <c r="BR57" t="e">
        <f t="shared" si="47"/>
        <v>#N/A</v>
      </c>
      <c r="BS57" t="e">
        <f t="shared" si="47"/>
        <v>#N/A</v>
      </c>
      <c r="BT57" t="e">
        <f t="shared" si="47"/>
        <v>#N/A</v>
      </c>
      <c r="BU57" t="e">
        <f t="shared" si="47"/>
        <v>#N/A</v>
      </c>
      <c r="BV57" t="e">
        <f t="shared" si="47"/>
        <v>#N/A</v>
      </c>
      <c r="BW57" t="e">
        <f t="shared" si="47"/>
        <v>#N/A</v>
      </c>
      <c r="BX57" t="e">
        <f t="shared" si="47"/>
        <v>#N/A</v>
      </c>
      <c r="BY57" t="e">
        <f t="shared" si="47"/>
        <v>#N/A</v>
      </c>
      <c r="BZ57" t="e">
        <f t="shared" si="47"/>
        <v>#N/A</v>
      </c>
      <c r="CA57" t="e">
        <f t="shared" si="47"/>
        <v>#N/A</v>
      </c>
      <c r="CB57" t="e">
        <f t="shared" si="47"/>
        <v>#N/A</v>
      </c>
      <c r="CC57" t="e">
        <f t="shared" si="43"/>
        <v>#N/A</v>
      </c>
      <c r="CD57" t="e">
        <f t="shared" si="43"/>
        <v>#N/A</v>
      </c>
      <c r="CE57" t="e">
        <f t="shared" si="43"/>
        <v>#N/A</v>
      </c>
      <c r="CF57" t="e">
        <f t="shared" si="43"/>
        <v>#N/A</v>
      </c>
      <c r="CG57" t="e">
        <f t="shared" si="43"/>
        <v>#N/A</v>
      </c>
      <c r="CH57" t="e">
        <f t="shared" si="43"/>
        <v>#N/A</v>
      </c>
      <c r="CI57" t="e">
        <f t="shared" si="43"/>
        <v>#N/A</v>
      </c>
      <c r="CJ57" t="e">
        <f t="shared" si="43"/>
        <v>#N/A</v>
      </c>
      <c r="CK57" t="e">
        <f t="shared" si="43"/>
        <v>#N/A</v>
      </c>
      <c r="CL57" t="e">
        <f t="shared" si="43"/>
        <v>#N/A</v>
      </c>
      <c r="CM57" t="e">
        <f t="shared" si="43"/>
        <v>#N/A</v>
      </c>
      <c r="CN57" t="e">
        <f t="shared" si="43"/>
        <v>#N/A</v>
      </c>
      <c r="CO57" t="e">
        <f t="shared" si="43"/>
        <v>#N/A</v>
      </c>
      <c r="CP57" t="e">
        <f t="shared" si="44"/>
        <v>#N/A</v>
      </c>
      <c r="CQ57" t="e">
        <f t="shared" si="44"/>
        <v>#N/A</v>
      </c>
      <c r="CR57" t="e">
        <f t="shared" si="44"/>
        <v>#N/A</v>
      </c>
      <c r="CS57" t="e">
        <f t="shared" si="44"/>
        <v>#N/A</v>
      </c>
      <c r="CT57" t="e">
        <f t="shared" si="44"/>
        <v>#N/A</v>
      </c>
      <c r="CU57" t="e">
        <f t="shared" si="44"/>
        <v>#N/A</v>
      </c>
      <c r="CV57" t="e">
        <f t="shared" si="44"/>
        <v>#N/A</v>
      </c>
      <c r="CW57" t="e">
        <f t="shared" si="44"/>
        <v>#N/A</v>
      </c>
      <c r="CX57" t="e">
        <f t="shared" si="44"/>
        <v>#N/A</v>
      </c>
      <c r="CY57" t="e">
        <f t="shared" si="44"/>
        <v>#N/A</v>
      </c>
      <c r="CZ57" t="e">
        <f t="shared" si="35"/>
        <v>#N/A</v>
      </c>
      <c r="DA57" t="e">
        <f t="shared" si="35"/>
        <v>#N/A</v>
      </c>
      <c r="DB57" t="e">
        <f t="shared" si="35"/>
        <v>#N/A</v>
      </c>
      <c r="DC57" t="e">
        <f t="shared" si="35"/>
        <v>#N/A</v>
      </c>
      <c r="DD57" t="e">
        <f t="shared" si="35"/>
        <v>#N/A</v>
      </c>
      <c r="DE57" t="e">
        <f t="shared" si="35"/>
        <v>#N/A</v>
      </c>
      <c r="DF57" t="e">
        <f t="shared" si="35"/>
        <v>#N/A</v>
      </c>
      <c r="DG57" t="e">
        <f t="shared" si="35"/>
        <v>#N/A</v>
      </c>
      <c r="DH57" t="e">
        <f t="shared" si="35"/>
        <v>#N/A</v>
      </c>
      <c r="DI57" t="e">
        <f t="shared" si="34"/>
        <v>#N/A</v>
      </c>
      <c r="DJ57" t="e">
        <f t="shared" si="34"/>
        <v>#N/A</v>
      </c>
      <c r="DK57" t="e">
        <f t="shared" si="34"/>
        <v>#N/A</v>
      </c>
      <c r="DL57" t="e">
        <f t="shared" si="34"/>
        <v>#N/A</v>
      </c>
      <c r="DM57" t="e">
        <f t="shared" si="34"/>
        <v>#N/A</v>
      </c>
      <c r="DN57" t="e">
        <f t="shared" si="34"/>
        <v>#N/A</v>
      </c>
      <c r="DO57" t="e">
        <f t="shared" si="34"/>
        <v>#N/A</v>
      </c>
      <c r="DP57" t="e">
        <f t="shared" si="34"/>
        <v>#N/A</v>
      </c>
      <c r="DQ57" t="e">
        <f t="shared" si="34"/>
        <v>#N/A</v>
      </c>
      <c r="DR57" t="e">
        <f t="shared" si="34"/>
        <v>#N/A</v>
      </c>
      <c r="DS57" t="e">
        <f t="shared" si="34"/>
        <v>#N/A</v>
      </c>
      <c r="DT57">
        <f t="shared" si="34"/>
        <v>3231</v>
      </c>
      <c r="DU57">
        <f t="shared" si="34"/>
        <v>3232</v>
      </c>
      <c r="DV57">
        <f t="shared" si="33"/>
        <v>3233</v>
      </c>
      <c r="DW57">
        <f t="shared" si="33"/>
        <v>3234</v>
      </c>
      <c r="DX57">
        <f t="shared" si="33"/>
        <v>3235</v>
      </c>
      <c r="DY57">
        <f t="shared" si="33"/>
        <v>3236</v>
      </c>
      <c r="DZ57">
        <f t="shared" si="31"/>
        <v>3237</v>
      </c>
      <c r="EA57">
        <f t="shared" si="31"/>
        <v>3238</v>
      </c>
      <c r="EB57">
        <f t="shared" si="31"/>
        <v>3239</v>
      </c>
      <c r="EC57">
        <f t="shared" si="31"/>
        <v>3240</v>
      </c>
      <c r="ED57" t="e">
        <f t="shared" si="31"/>
        <v>#N/A</v>
      </c>
      <c r="EE57" t="e">
        <f t="shared" si="31"/>
        <v>#N/A</v>
      </c>
      <c r="EF57" t="e">
        <f t="shared" si="32"/>
        <v>#N/A</v>
      </c>
      <c r="EG57" t="e">
        <f t="shared" si="32"/>
        <v>#N/A</v>
      </c>
      <c r="EH57" t="e">
        <f t="shared" si="32"/>
        <v>#N/A</v>
      </c>
      <c r="EI57" t="e">
        <f t="shared" si="32"/>
        <v>#N/A</v>
      </c>
      <c r="EJ57" t="e">
        <f t="shared" si="32"/>
        <v>#N/A</v>
      </c>
      <c r="EK57" t="e">
        <f t="shared" si="32"/>
        <v>#N/A</v>
      </c>
      <c r="EL57" t="e">
        <f t="shared" si="32"/>
        <v>#N/A</v>
      </c>
      <c r="EM57" t="e">
        <f t="shared" si="32"/>
        <v>#N/A</v>
      </c>
    </row>
    <row r="58" spans="1:143" x14ac:dyDescent="0.4">
      <c r="A58" t="str">
        <f t="shared" si="16"/>
        <v/>
      </c>
      <c r="B58">
        <v>55</v>
      </c>
      <c r="C58" t="str" cm="1">
        <f t="array" ref="C58">INDEX(auto_Series_Code,B58)</f>
        <v>INDI_026</v>
      </c>
      <c r="D58">
        <f t="shared" si="45"/>
        <v>3241</v>
      </c>
      <c r="E58">
        <f t="shared" si="45"/>
        <v>3242</v>
      </c>
      <c r="F58">
        <f t="shared" si="45"/>
        <v>3243</v>
      </c>
      <c r="G58">
        <f t="shared" si="45"/>
        <v>3244</v>
      </c>
      <c r="H58">
        <f t="shared" si="45"/>
        <v>3245</v>
      </c>
      <c r="I58">
        <f t="shared" si="45"/>
        <v>3246</v>
      </c>
      <c r="J58">
        <f t="shared" si="45"/>
        <v>3247</v>
      </c>
      <c r="K58">
        <f t="shared" si="45"/>
        <v>3248</v>
      </c>
      <c r="L58">
        <f t="shared" si="45"/>
        <v>3249</v>
      </c>
      <c r="M58">
        <f t="shared" si="45"/>
        <v>3250</v>
      </c>
      <c r="N58">
        <f t="shared" si="45"/>
        <v>3251</v>
      </c>
      <c r="O58">
        <f t="shared" si="45"/>
        <v>3252</v>
      </c>
      <c r="P58">
        <f t="shared" si="45"/>
        <v>3253</v>
      </c>
      <c r="Q58">
        <f t="shared" si="45"/>
        <v>3254</v>
      </c>
      <c r="R58">
        <f t="shared" si="45"/>
        <v>3255</v>
      </c>
      <c r="S58">
        <f t="shared" si="45"/>
        <v>3256</v>
      </c>
      <c r="T58">
        <f t="shared" si="37"/>
        <v>3257</v>
      </c>
      <c r="U58">
        <f t="shared" si="37"/>
        <v>3258</v>
      </c>
      <c r="V58">
        <f t="shared" si="37"/>
        <v>3259</v>
      </c>
      <c r="W58">
        <f t="shared" si="37"/>
        <v>3260</v>
      </c>
      <c r="X58">
        <f t="shared" si="37"/>
        <v>3261</v>
      </c>
      <c r="Y58">
        <f t="shared" si="37"/>
        <v>3262</v>
      </c>
      <c r="Z58">
        <f t="shared" si="37"/>
        <v>3263</v>
      </c>
      <c r="AA58">
        <f t="shared" si="37"/>
        <v>3264</v>
      </c>
      <c r="AB58">
        <f t="shared" si="37"/>
        <v>3265</v>
      </c>
      <c r="AC58">
        <f t="shared" si="37"/>
        <v>3266</v>
      </c>
      <c r="AD58">
        <f t="shared" si="37"/>
        <v>3267</v>
      </c>
      <c r="AE58">
        <f t="shared" si="37"/>
        <v>3268</v>
      </c>
      <c r="AF58">
        <f t="shared" si="37"/>
        <v>3269</v>
      </c>
      <c r="AG58">
        <f t="shared" si="37"/>
        <v>3270</v>
      </c>
      <c r="AH58">
        <f t="shared" si="37"/>
        <v>3271</v>
      </c>
      <c r="AI58">
        <f t="shared" si="46"/>
        <v>3272</v>
      </c>
      <c r="AJ58">
        <f t="shared" si="46"/>
        <v>3273</v>
      </c>
      <c r="AK58">
        <f t="shared" si="46"/>
        <v>3274</v>
      </c>
      <c r="AL58">
        <f t="shared" si="46"/>
        <v>3275</v>
      </c>
      <c r="AM58">
        <f t="shared" si="46"/>
        <v>3276</v>
      </c>
      <c r="AN58">
        <f t="shared" si="46"/>
        <v>3277</v>
      </c>
      <c r="AO58">
        <f t="shared" si="46"/>
        <v>3278</v>
      </c>
      <c r="AP58">
        <f t="shared" si="46"/>
        <v>3279</v>
      </c>
      <c r="AQ58">
        <f t="shared" si="46"/>
        <v>3280</v>
      </c>
      <c r="AR58">
        <f t="shared" si="46"/>
        <v>3281</v>
      </c>
      <c r="AS58">
        <f t="shared" si="46"/>
        <v>3282</v>
      </c>
      <c r="AT58">
        <f t="shared" si="46"/>
        <v>3283</v>
      </c>
      <c r="AU58">
        <f t="shared" si="46"/>
        <v>3284</v>
      </c>
      <c r="AV58">
        <f t="shared" si="46"/>
        <v>3285</v>
      </c>
      <c r="AW58">
        <f t="shared" si="46"/>
        <v>3286</v>
      </c>
      <c r="AX58">
        <f t="shared" si="46"/>
        <v>3287</v>
      </c>
      <c r="AY58">
        <f t="shared" si="40"/>
        <v>3288</v>
      </c>
      <c r="AZ58">
        <f t="shared" si="40"/>
        <v>3289</v>
      </c>
      <c r="BA58">
        <f t="shared" si="40"/>
        <v>3290</v>
      </c>
      <c r="BB58" t="e">
        <f t="shared" si="40"/>
        <v>#N/A</v>
      </c>
      <c r="BC58" t="e">
        <f t="shared" si="40"/>
        <v>#N/A</v>
      </c>
      <c r="BD58" t="e">
        <f t="shared" si="40"/>
        <v>#N/A</v>
      </c>
      <c r="BE58" t="e">
        <f t="shared" si="40"/>
        <v>#N/A</v>
      </c>
      <c r="BF58" t="e">
        <f t="shared" si="40"/>
        <v>#N/A</v>
      </c>
      <c r="BG58" t="e">
        <f t="shared" si="40"/>
        <v>#N/A</v>
      </c>
      <c r="BH58" t="e">
        <f t="shared" si="40"/>
        <v>#N/A</v>
      </c>
      <c r="BI58" t="e">
        <f t="shared" si="40"/>
        <v>#N/A</v>
      </c>
      <c r="BJ58" t="e">
        <f t="shared" si="40"/>
        <v>#N/A</v>
      </c>
      <c r="BK58" t="e">
        <f t="shared" si="40"/>
        <v>#N/A</v>
      </c>
      <c r="BL58" t="e">
        <f t="shared" si="40"/>
        <v>#N/A</v>
      </c>
      <c r="BM58" t="e">
        <f t="shared" si="47"/>
        <v>#N/A</v>
      </c>
      <c r="BN58" t="e">
        <f t="shared" si="47"/>
        <v>#N/A</v>
      </c>
      <c r="BO58" t="e">
        <f t="shared" si="47"/>
        <v>#N/A</v>
      </c>
      <c r="BP58" t="e">
        <f t="shared" si="47"/>
        <v>#N/A</v>
      </c>
      <c r="BQ58" t="e">
        <f t="shared" si="47"/>
        <v>#N/A</v>
      </c>
      <c r="BR58" t="e">
        <f t="shared" si="47"/>
        <v>#N/A</v>
      </c>
      <c r="BS58" t="e">
        <f t="shared" si="47"/>
        <v>#N/A</v>
      </c>
      <c r="BT58" t="e">
        <f t="shared" si="47"/>
        <v>#N/A</v>
      </c>
      <c r="BU58" t="e">
        <f t="shared" si="47"/>
        <v>#N/A</v>
      </c>
      <c r="BV58" t="e">
        <f t="shared" si="47"/>
        <v>#N/A</v>
      </c>
      <c r="BW58" t="e">
        <f t="shared" si="47"/>
        <v>#N/A</v>
      </c>
      <c r="BX58" t="e">
        <f t="shared" si="47"/>
        <v>#N/A</v>
      </c>
      <c r="BY58" t="e">
        <f t="shared" si="47"/>
        <v>#N/A</v>
      </c>
      <c r="BZ58" t="e">
        <f t="shared" si="47"/>
        <v>#N/A</v>
      </c>
      <c r="CA58" t="e">
        <f t="shared" si="47"/>
        <v>#N/A</v>
      </c>
      <c r="CB58" t="e">
        <f t="shared" si="47"/>
        <v>#N/A</v>
      </c>
      <c r="CC58" t="e">
        <f t="shared" si="43"/>
        <v>#N/A</v>
      </c>
      <c r="CD58" t="e">
        <f t="shared" si="43"/>
        <v>#N/A</v>
      </c>
      <c r="CE58" t="e">
        <f t="shared" si="43"/>
        <v>#N/A</v>
      </c>
      <c r="CF58" t="e">
        <f t="shared" si="43"/>
        <v>#N/A</v>
      </c>
      <c r="CG58" t="e">
        <f t="shared" si="43"/>
        <v>#N/A</v>
      </c>
      <c r="CH58" t="e">
        <f t="shared" si="43"/>
        <v>#N/A</v>
      </c>
      <c r="CI58" t="e">
        <f t="shared" si="43"/>
        <v>#N/A</v>
      </c>
      <c r="CJ58" t="e">
        <f t="shared" si="43"/>
        <v>#N/A</v>
      </c>
      <c r="CK58" t="e">
        <f t="shared" si="43"/>
        <v>#N/A</v>
      </c>
      <c r="CL58" t="e">
        <f t="shared" si="43"/>
        <v>#N/A</v>
      </c>
      <c r="CM58" t="e">
        <f t="shared" si="43"/>
        <v>#N/A</v>
      </c>
      <c r="CN58" t="e">
        <f t="shared" si="43"/>
        <v>#N/A</v>
      </c>
      <c r="CO58" t="e">
        <f t="shared" si="43"/>
        <v>#N/A</v>
      </c>
      <c r="CP58" t="e">
        <f t="shared" si="44"/>
        <v>#N/A</v>
      </c>
      <c r="CQ58" t="e">
        <f t="shared" si="44"/>
        <v>#N/A</v>
      </c>
      <c r="CR58" t="e">
        <f t="shared" si="44"/>
        <v>#N/A</v>
      </c>
      <c r="CS58" t="e">
        <f t="shared" si="44"/>
        <v>#N/A</v>
      </c>
      <c r="CT58" t="e">
        <f t="shared" si="44"/>
        <v>#N/A</v>
      </c>
      <c r="CU58" t="e">
        <f t="shared" si="44"/>
        <v>#N/A</v>
      </c>
      <c r="CV58" t="e">
        <f t="shared" si="44"/>
        <v>#N/A</v>
      </c>
      <c r="CW58" t="e">
        <f t="shared" si="44"/>
        <v>#N/A</v>
      </c>
      <c r="CX58" t="e">
        <f t="shared" si="44"/>
        <v>#N/A</v>
      </c>
      <c r="CY58" t="e">
        <f t="shared" si="44"/>
        <v>#N/A</v>
      </c>
      <c r="CZ58" t="e">
        <f t="shared" si="35"/>
        <v>#N/A</v>
      </c>
      <c r="DA58" t="e">
        <f t="shared" si="35"/>
        <v>#N/A</v>
      </c>
      <c r="DB58" t="e">
        <f t="shared" si="35"/>
        <v>#N/A</v>
      </c>
      <c r="DC58" t="e">
        <f t="shared" si="35"/>
        <v>#N/A</v>
      </c>
      <c r="DD58" t="e">
        <f t="shared" si="35"/>
        <v>#N/A</v>
      </c>
      <c r="DE58" t="e">
        <f t="shared" si="35"/>
        <v>#N/A</v>
      </c>
      <c r="DF58" t="e">
        <f t="shared" si="35"/>
        <v>#N/A</v>
      </c>
      <c r="DG58" t="e">
        <f t="shared" si="35"/>
        <v>#N/A</v>
      </c>
      <c r="DH58" t="e">
        <f t="shared" si="35"/>
        <v>#N/A</v>
      </c>
      <c r="DI58" t="e">
        <f t="shared" si="34"/>
        <v>#N/A</v>
      </c>
      <c r="DJ58" t="e">
        <f t="shared" si="34"/>
        <v>#N/A</v>
      </c>
      <c r="DK58" t="e">
        <f t="shared" si="34"/>
        <v>#N/A</v>
      </c>
      <c r="DL58" t="e">
        <f t="shared" si="34"/>
        <v>#N/A</v>
      </c>
      <c r="DM58" t="e">
        <f t="shared" si="34"/>
        <v>#N/A</v>
      </c>
      <c r="DN58" t="e">
        <f t="shared" si="34"/>
        <v>#N/A</v>
      </c>
      <c r="DO58" t="e">
        <f t="shared" si="34"/>
        <v>#N/A</v>
      </c>
      <c r="DP58" t="e">
        <f t="shared" si="34"/>
        <v>#N/A</v>
      </c>
      <c r="DQ58" t="e">
        <f t="shared" si="34"/>
        <v>#N/A</v>
      </c>
      <c r="DR58" t="e">
        <f t="shared" si="34"/>
        <v>#N/A</v>
      </c>
      <c r="DS58" t="e">
        <f t="shared" si="34"/>
        <v>#N/A</v>
      </c>
      <c r="DT58">
        <f t="shared" si="34"/>
        <v>3291</v>
      </c>
      <c r="DU58">
        <f t="shared" si="34"/>
        <v>3292</v>
      </c>
      <c r="DV58">
        <f t="shared" si="33"/>
        <v>3293</v>
      </c>
      <c r="DW58">
        <f t="shared" si="33"/>
        <v>3294</v>
      </c>
      <c r="DX58">
        <f t="shared" si="33"/>
        <v>3295</v>
      </c>
      <c r="DY58">
        <f t="shared" si="33"/>
        <v>3296</v>
      </c>
      <c r="DZ58">
        <f t="shared" si="31"/>
        <v>3297</v>
      </c>
      <c r="EA58">
        <f t="shared" si="31"/>
        <v>3298</v>
      </c>
      <c r="EB58">
        <f t="shared" si="31"/>
        <v>3299</v>
      </c>
      <c r="EC58">
        <f t="shared" si="31"/>
        <v>3300</v>
      </c>
      <c r="ED58" t="e">
        <f t="shared" si="31"/>
        <v>#N/A</v>
      </c>
      <c r="EE58" t="e">
        <f t="shared" si="31"/>
        <v>#N/A</v>
      </c>
      <c r="EF58" t="e">
        <f t="shared" si="32"/>
        <v>#N/A</v>
      </c>
      <c r="EG58" t="e">
        <f t="shared" si="32"/>
        <v>#N/A</v>
      </c>
      <c r="EH58" t="e">
        <f t="shared" si="32"/>
        <v>#N/A</v>
      </c>
      <c r="EI58" t="e">
        <f t="shared" si="32"/>
        <v>#N/A</v>
      </c>
      <c r="EJ58" t="e">
        <f t="shared" si="32"/>
        <v>#N/A</v>
      </c>
      <c r="EK58" t="e">
        <f t="shared" si="32"/>
        <v>#N/A</v>
      </c>
      <c r="EL58" t="e">
        <f t="shared" si="32"/>
        <v>#N/A</v>
      </c>
      <c r="EM58" t="e">
        <f t="shared" si="32"/>
        <v>#N/A</v>
      </c>
    </row>
    <row r="59" spans="1:143" x14ac:dyDescent="0.4">
      <c r="A59" t="str">
        <f t="shared" si="16"/>
        <v/>
      </c>
      <c r="B59">
        <v>56</v>
      </c>
      <c r="C59" t="str" cm="1">
        <f t="array" ref="C59">INDEX(auto_Series_Code,B59)</f>
        <v>SUBINDI_025</v>
      </c>
      <c r="D59">
        <f t="shared" si="45"/>
        <v>3301</v>
      </c>
      <c r="E59">
        <f t="shared" si="45"/>
        <v>3302</v>
      </c>
      <c r="F59">
        <f t="shared" si="45"/>
        <v>3303</v>
      </c>
      <c r="G59">
        <f t="shared" si="45"/>
        <v>3304</v>
      </c>
      <c r="H59">
        <f t="shared" si="45"/>
        <v>3305</v>
      </c>
      <c r="I59">
        <f t="shared" si="45"/>
        <v>3306</v>
      </c>
      <c r="J59">
        <f t="shared" si="45"/>
        <v>3307</v>
      </c>
      <c r="K59">
        <f t="shared" si="45"/>
        <v>3308</v>
      </c>
      <c r="L59">
        <f t="shared" si="45"/>
        <v>3309</v>
      </c>
      <c r="M59">
        <f t="shared" si="45"/>
        <v>3310</v>
      </c>
      <c r="N59">
        <f t="shared" si="45"/>
        <v>3311</v>
      </c>
      <c r="O59">
        <f t="shared" si="45"/>
        <v>3312</v>
      </c>
      <c r="P59">
        <f t="shared" si="45"/>
        <v>3313</v>
      </c>
      <c r="Q59">
        <f t="shared" si="45"/>
        <v>3314</v>
      </c>
      <c r="R59">
        <f t="shared" si="45"/>
        <v>3315</v>
      </c>
      <c r="S59">
        <f t="shared" si="45"/>
        <v>3316</v>
      </c>
      <c r="T59">
        <f t="shared" si="37"/>
        <v>3317</v>
      </c>
      <c r="U59">
        <f t="shared" si="37"/>
        <v>3318</v>
      </c>
      <c r="V59">
        <f t="shared" si="37"/>
        <v>3319</v>
      </c>
      <c r="W59">
        <f t="shared" si="37"/>
        <v>3320</v>
      </c>
      <c r="X59">
        <f t="shared" si="37"/>
        <v>3321</v>
      </c>
      <c r="Y59">
        <f t="shared" si="37"/>
        <v>3322</v>
      </c>
      <c r="Z59">
        <f t="shared" si="37"/>
        <v>3323</v>
      </c>
      <c r="AA59">
        <f t="shared" si="37"/>
        <v>3324</v>
      </c>
      <c r="AB59">
        <f t="shared" si="37"/>
        <v>3325</v>
      </c>
      <c r="AC59">
        <f t="shared" si="37"/>
        <v>3326</v>
      </c>
      <c r="AD59">
        <f t="shared" si="37"/>
        <v>3327</v>
      </c>
      <c r="AE59">
        <f t="shared" si="37"/>
        <v>3328</v>
      </c>
      <c r="AF59">
        <f t="shared" si="37"/>
        <v>3329</v>
      </c>
      <c r="AG59">
        <f t="shared" si="37"/>
        <v>3330</v>
      </c>
      <c r="AH59">
        <f t="shared" si="37"/>
        <v>3331</v>
      </c>
      <c r="AI59">
        <f t="shared" si="46"/>
        <v>3332</v>
      </c>
      <c r="AJ59">
        <f t="shared" si="46"/>
        <v>3333</v>
      </c>
      <c r="AK59">
        <f t="shared" si="46"/>
        <v>3334</v>
      </c>
      <c r="AL59">
        <f t="shared" si="46"/>
        <v>3335</v>
      </c>
      <c r="AM59">
        <f t="shared" si="46"/>
        <v>3336</v>
      </c>
      <c r="AN59">
        <f t="shared" si="46"/>
        <v>3337</v>
      </c>
      <c r="AO59">
        <f t="shared" si="46"/>
        <v>3338</v>
      </c>
      <c r="AP59">
        <f t="shared" si="46"/>
        <v>3339</v>
      </c>
      <c r="AQ59">
        <f t="shared" si="46"/>
        <v>3340</v>
      </c>
      <c r="AR59">
        <f t="shared" si="46"/>
        <v>3341</v>
      </c>
      <c r="AS59">
        <f t="shared" si="46"/>
        <v>3342</v>
      </c>
      <c r="AT59">
        <f t="shared" si="46"/>
        <v>3343</v>
      </c>
      <c r="AU59">
        <f t="shared" si="46"/>
        <v>3344</v>
      </c>
      <c r="AV59">
        <f t="shared" si="46"/>
        <v>3345</v>
      </c>
      <c r="AW59">
        <f t="shared" si="46"/>
        <v>3346</v>
      </c>
      <c r="AX59">
        <f t="shared" si="46"/>
        <v>3347</v>
      </c>
      <c r="AY59">
        <f t="shared" si="40"/>
        <v>3348</v>
      </c>
      <c r="AZ59">
        <f t="shared" si="40"/>
        <v>3349</v>
      </c>
      <c r="BA59">
        <f t="shared" si="40"/>
        <v>3350</v>
      </c>
      <c r="BB59" t="e">
        <f t="shared" si="40"/>
        <v>#N/A</v>
      </c>
      <c r="BC59" t="e">
        <f t="shared" si="40"/>
        <v>#N/A</v>
      </c>
      <c r="BD59" t="e">
        <f t="shared" si="40"/>
        <v>#N/A</v>
      </c>
      <c r="BE59" t="e">
        <f t="shared" si="40"/>
        <v>#N/A</v>
      </c>
      <c r="BF59" t="e">
        <f t="shared" si="40"/>
        <v>#N/A</v>
      </c>
      <c r="BG59" t="e">
        <f t="shared" si="40"/>
        <v>#N/A</v>
      </c>
      <c r="BH59" t="e">
        <f t="shared" si="40"/>
        <v>#N/A</v>
      </c>
      <c r="BI59" t="e">
        <f t="shared" si="40"/>
        <v>#N/A</v>
      </c>
      <c r="BJ59" t="e">
        <f t="shared" si="40"/>
        <v>#N/A</v>
      </c>
      <c r="BK59" t="e">
        <f t="shared" si="40"/>
        <v>#N/A</v>
      </c>
      <c r="BL59" t="e">
        <f t="shared" si="40"/>
        <v>#N/A</v>
      </c>
      <c r="BM59" t="e">
        <f t="shared" si="47"/>
        <v>#N/A</v>
      </c>
      <c r="BN59" t="e">
        <f t="shared" si="47"/>
        <v>#N/A</v>
      </c>
      <c r="BO59" t="e">
        <f t="shared" si="47"/>
        <v>#N/A</v>
      </c>
      <c r="BP59" t="e">
        <f t="shared" si="47"/>
        <v>#N/A</v>
      </c>
      <c r="BQ59" t="e">
        <f t="shared" si="47"/>
        <v>#N/A</v>
      </c>
      <c r="BR59" t="e">
        <f t="shared" si="47"/>
        <v>#N/A</v>
      </c>
      <c r="BS59" t="e">
        <f t="shared" si="47"/>
        <v>#N/A</v>
      </c>
      <c r="BT59" t="e">
        <f t="shared" si="47"/>
        <v>#N/A</v>
      </c>
      <c r="BU59" t="e">
        <f t="shared" si="47"/>
        <v>#N/A</v>
      </c>
      <c r="BV59" t="e">
        <f t="shared" si="47"/>
        <v>#N/A</v>
      </c>
      <c r="BW59" t="e">
        <f t="shared" si="47"/>
        <v>#N/A</v>
      </c>
      <c r="BX59" t="e">
        <f t="shared" si="47"/>
        <v>#N/A</v>
      </c>
      <c r="BY59" t="e">
        <f t="shared" si="47"/>
        <v>#N/A</v>
      </c>
      <c r="BZ59" t="e">
        <f t="shared" si="47"/>
        <v>#N/A</v>
      </c>
      <c r="CA59" t="e">
        <f t="shared" si="47"/>
        <v>#N/A</v>
      </c>
      <c r="CB59" t="e">
        <f t="shared" si="47"/>
        <v>#N/A</v>
      </c>
      <c r="CC59" t="e">
        <f t="shared" si="43"/>
        <v>#N/A</v>
      </c>
      <c r="CD59" t="e">
        <f t="shared" si="43"/>
        <v>#N/A</v>
      </c>
      <c r="CE59" t="e">
        <f t="shared" si="43"/>
        <v>#N/A</v>
      </c>
      <c r="CF59" t="e">
        <f t="shared" si="43"/>
        <v>#N/A</v>
      </c>
      <c r="CG59" t="e">
        <f t="shared" si="43"/>
        <v>#N/A</v>
      </c>
      <c r="CH59" t="e">
        <f t="shared" si="43"/>
        <v>#N/A</v>
      </c>
      <c r="CI59" t="e">
        <f t="shared" si="43"/>
        <v>#N/A</v>
      </c>
      <c r="CJ59" t="e">
        <f t="shared" si="43"/>
        <v>#N/A</v>
      </c>
      <c r="CK59" t="e">
        <f t="shared" si="43"/>
        <v>#N/A</v>
      </c>
      <c r="CL59" t="e">
        <f t="shared" si="43"/>
        <v>#N/A</v>
      </c>
      <c r="CM59" t="e">
        <f t="shared" si="43"/>
        <v>#N/A</v>
      </c>
      <c r="CN59" t="e">
        <f t="shared" si="43"/>
        <v>#N/A</v>
      </c>
      <c r="CO59" t="e">
        <f t="shared" si="43"/>
        <v>#N/A</v>
      </c>
      <c r="CP59" t="e">
        <f t="shared" si="44"/>
        <v>#N/A</v>
      </c>
      <c r="CQ59" t="e">
        <f t="shared" si="44"/>
        <v>#N/A</v>
      </c>
      <c r="CR59" t="e">
        <f t="shared" si="44"/>
        <v>#N/A</v>
      </c>
      <c r="CS59" t="e">
        <f t="shared" si="44"/>
        <v>#N/A</v>
      </c>
      <c r="CT59" t="e">
        <f t="shared" si="44"/>
        <v>#N/A</v>
      </c>
      <c r="CU59" t="e">
        <f t="shared" si="44"/>
        <v>#N/A</v>
      </c>
      <c r="CV59" t="e">
        <f t="shared" si="44"/>
        <v>#N/A</v>
      </c>
      <c r="CW59" t="e">
        <f t="shared" si="44"/>
        <v>#N/A</v>
      </c>
      <c r="CX59" t="e">
        <f t="shared" si="44"/>
        <v>#N/A</v>
      </c>
      <c r="CY59" t="e">
        <f t="shared" si="44"/>
        <v>#N/A</v>
      </c>
      <c r="CZ59" t="e">
        <f t="shared" si="35"/>
        <v>#N/A</v>
      </c>
      <c r="DA59" t="e">
        <f t="shared" si="35"/>
        <v>#N/A</v>
      </c>
      <c r="DB59" t="e">
        <f t="shared" si="35"/>
        <v>#N/A</v>
      </c>
      <c r="DC59" t="e">
        <f t="shared" si="35"/>
        <v>#N/A</v>
      </c>
      <c r="DD59" t="e">
        <f t="shared" si="35"/>
        <v>#N/A</v>
      </c>
      <c r="DE59" t="e">
        <f t="shared" si="35"/>
        <v>#N/A</v>
      </c>
      <c r="DF59" t="e">
        <f t="shared" si="35"/>
        <v>#N/A</v>
      </c>
      <c r="DG59" t="e">
        <f t="shared" si="35"/>
        <v>#N/A</v>
      </c>
      <c r="DH59" t="e">
        <f t="shared" si="35"/>
        <v>#N/A</v>
      </c>
      <c r="DI59" t="e">
        <f t="shared" si="34"/>
        <v>#N/A</v>
      </c>
      <c r="DJ59" t="e">
        <f t="shared" si="34"/>
        <v>#N/A</v>
      </c>
      <c r="DK59" t="e">
        <f t="shared" si="34"/>
        <v>#N/A</v>
      </c>
      <c r="DL59" t="e">
        <f t="shared" si="34"/>
        <v>#N/A</v>
      </c>
      <c r="DM59" t="e">
        <f t="shared" si="34"/>
        <v>#N/A</v>
      </c>
      <c r="DN59" t="e">
        <f t="shared" si="34"/>
        <v>#N/A</v>
      </c>
      <c r="DO59" t="e">
        <f t="shared" si="34"/>
        <v>#N/A</v>
      </c>
      <c r="DP59" t="e">
        <f t="shared" si="34"/>
        <v>#N/A</v>
      </c>
      <c r="DQ59" t="e">
        <f t="shared" si="34"/>
        <v>#N/A</v>
      </c>
      <c r="DR59" t="e">
        <f t="shared" si="34"/>
        <v>#N/A</v>
      </c>
      <c r="DS59" t="e">
        <f t="shared" si="34"/>
        <v>#N/A</v>
      </c>
      <c r="DT59">
        <f t="shared" si="34"/>
        <v>3351</v>
      </c>
      <c r="DU59">
        <f t="shared" si="34"/>
        <v>3352</v>
      </c>
      <c r="DV59">
        <f t="shared" si="33"/>
        <v>3353</v>
      </c>
      <c r="DW59">
        <f t="shared" si="33"/>
        <v>3354</v>
      </c>
      <c r="DX59">
        <f t="shared" si="33"/>
        <v>3355</v>
      </c>
      <c r="DY59">
        <f t="shared" si="33"/>
        <v>3356</v>
      </c>
      <c r="DZ59">
        <f t="shared" si="31"/>
        <v>3357</v>
      </c>
      <c r="EA59">
        <f t="shared" si="31"/>
        <v>3358</v>
      </c>
      <c r="EB59">
        <f t="shared" si="31"/>
        <v>3359</v>
      </c>
      <c r="EC59">
        <f t="shared" si="31"/>
        <v>3360</v>
      </c>
      <c r="ED59" t="e">
        <f t="shared" si="31"/>
        <v>#N/A</v>
      </c>
      <c r="EE59" t="e">
        <f t="shared" si="31"/>
        <v>#N/A</v>
      </c>
      <c r="EF59" t="e">
        <f t="shared" si="32"/>
        <v>#N/A</v>
      </c>
      <c r="EG59" t="e">
        <f t="shared" si="32"/>
        <v>#N/A</v>
      </c>
      <c r="EH59" t="e">
        <f t="shared" si="32"/>
        <v>#N/A</v>
      </c>
      <c r="EI59" t="e">
        <f t="shared" si="32"/>
        <v>#N/A</v>
      </c>
      <c r="EJ59" t="e">
        <f t="shared" si="32"/>
        <v>#N/A</v>
      </c>
      <c r="EK59" t="e">
        <f t="shared" si="32"/>
        <v>#N/A</v>
      </c>
      <c r="EL59" t="e">
        <f t="shared" si="32"/>
        <v>#N/A</v>
      </c>
      <c r="EM59" t="e">
        <f t="shared" si="32"/>
        <v>#N/A</v>
      </c>
    </row>
    <row r="60" spans="1:143" x14ac:dyDescent="0.4">
      <c r="A60" t="str">
        <f t="shared" si="16"/>
        <v/>
      </c>
      <c r="B60">
        <v>57</v>
      </c>
      <c r="C60" t="str" cm="1">
        <f t="array" ref="C60">INDEX(auto_Series_Code,B60)</f>
        <v>SUBINDI_026</v>
      </c>
      <c r="D60">
        <f t="shared" si="45"/>
        <v>3361</v>
      </c>
      <c r="E60">
        <f t="shared" si="45"/>
        <v>3362</v>
      </c>
      <c r="F60">
        <f t="shared" si="45"/>
        <v>3363</v>
      </c>
      <c r="G60">
        <f t="shared" si="45"/>
        <v>3364</v>
      </c>
      <c r="H60">
        <f t="shared" si="45"/>
        <v>3365</v>
      </c>
      <c r="I60">
        <f t="shared" si="45"/>
        <v>3366</v>
      </c>
      <c r="J60">
        <f t="shared" si="45"/>
        <v>3367</v>
      </c>
      <c r="K60">
        <f t="shared" si="45"/>
        <v>3368</v>
      </c>
      <c r="L60">
        <f t="shared" si="45"/>
        <v>3369</v>
      </c>
      <c r="M60">
        <f t="shared" si="45"/>
        <v>3370</v>
      </c>
      <c r="N60">
        <f t="shared" si="45"/>
        <v>3371</v>
      </c>
      <c r="O60">
        <f t="shared" si="45"/>
        <v>3372</v>
      </c>
      <c r="P60">
        <f t="shared" si="45"/>
        <v>3373</v>
      </c>
      <c r="Q60">
        <f t="shared" si="45"/>
        <v>3374</v>
      </c>
      <c r="R60">
        <f t="shared" si="45"/>
        <v>3375</v>
      </c>
      <c r="S60">
        <f t="shared" si="45"/>
        <v>3376</v>
      </c>
      <c r="T60">
        <f t="shared" si="37"/>
        <v>3377</v>
      </c>
      <c r="U60">
        <f t="shared" si="37"/>
        <v>3378</v>
      </c>
      <c r="V60">
        <f t="shared" si="37"/>
        <v>3379</v>
      </c>
      <c r="W60">
        <f t="shared" si="37"/>
        <v>3380</v>
      </c>
      <c r="X60">
        <f t="shared" si="37"/>
        <v>3381</v>
      </c>
      <c r="Y60">
        <f t="shared" si="37"/>
        <v>3382</v>
      </c>
      <c r="Z60">
        <f t="shared" si="37"/>
        <v>3383</v>
      </c>
      <c r="AA60">
        <f t="shared" si="37"/>
        <v>3384</v>
      </c>
      <c r="AB60">
        <f t="shared" si="37"/>
        <v>3385</v>
      </c>
      <c r="AC60">
        <f t="shared" si="37"/>
        <v>3386</v>
      </c>
      <c r="AD60">
        <f t="shared" si="37"/>
        <v>3387</v>
      </c>
      <c r="AE60">
        <f t="shared" si="37"/>
        <v>3388</v>
      </c>
      <c r="AF60">
        <f t="shared" si="37"/>
        <v>3389</v>
      </c>
      <c r="AG60">
        <f t="shared" si="37"/>
        <v>3390</v>
      </c>
      <c r="AH60">
        <f t="shared" si="37"/>
        <v>3391</v>
      </c>
      <c r="AI60">
        <f t="shared" si="46"/>
        <v>3392</v>
      </c>
      <c r="AJ60">
        <f t="shared" si="46"/>
        <v>3393</v>
      </c>
      <c r="AK60">
        <f t="shared" si="46"/>
        <v>3394</v>
      </c>
      <c r="AL60">
        <f t="shared" si="46"/>
        <v>3395</v>
      </c>
      <c r="AM60">
        <f t="shared" si="46"/>
        <v>3396</v>
      </c>
      <c r="AN60">
        <f t="shared" si="46"/>
        <v>3397</v>
      </c>
      <c r="AO60">
        <f t="shared" si="46"/>
        <v>3398</v>
      </c>
      <c r="AP60">
        <f t="shared" si="46"/>
        <v>3399</v>
      </c>
      <c r="AQ60">
        <f t="shared" si="46"/>
        <v>3400</v>
      </c>
      <c r="AR60">
        <f t="shared" si="46"/>
        <v>3401</v>
      </c>
      <c r="AS60">
        <f t="shared" si="46"/>
        <v>3402</v>
      </c>
      <c r="AT60">
        <f t="shared" si="46"/>
        <v>3403</v>
      </c>
      <c r="AU60">
        <f t="shared" si="46"/>
        <v>3404</v>
      </c>
      <c r="AV60">
        <f t="shared" si="46"/>
        <v>3405</v>
      </c>
      <c r="AW60">
        <f t="shared" si="46"/>
        <v>3406</v>
      </c>
      <c r="AX60">
        <f t="shared" si="46"/>
        <v>3407</v>
      </c>
      <c r="AY60">
        <f t="shared" si="40"/>
        <v>3408</v>
      </c>
      <c r="AZ60">
        <f t="shared" si="40"/>
        <v>3409</v>
      </c>
      <c r="BA60">
        <f t="shared" si="40"/>
        <v>3410</v>
      </c>
      <c r="BB60" t="e">
        <f t="shared" si="40"/>
        <v>#N/A</v>
      </c>
      <c r="BC60" t="e">
        <f t="shared" si="40"/>
        <v>#N/A</v>
      </c>
      <c r="BD60" t="e">
        <f t="shared" si="40"/>
        <v>#N/A</v>
      </c>
      <c r="BE60" t="e">
        <f t="shared" si="40"/>
        <v>#N/A</v>
      </c>
      <c r="BF60" t="e">
        <f t="shared" si="40"/>
        <v>#N/A</v>
      </c>
      <c r="BG60" t="e">
        <f t="shared" si="40"/>
        <v>#N/A</v>
      </c>
      <c r="BH60" t="e">
        <f t="shared" si="40"/>
        <v>#N/A</v>
      </c>
      <c r="BI60" t="e">
        <f t="shared" si="40"/>
        <v>#N/A</v>
      </c>
      <c r="BJ60" t="e">
        <f t="shared" si="40"/>
        <v>#N/A</v>
      </c>
      <c r="BK60" t="e">
        <f t="shared" si="40"/>
        <v>#N/A</v>
      </c>
      <c r="BL60" t="e">
        <f t="shared" si="40"/>
        <v>#N/A</v>
      </c>
      <c r="BM60" t="e">
        <f t="shared" si="47"/>
        <v>#N/A</v>
      </c>
      <c r="BN60" t="e">
        <f t="shared" si="47"/>
        <v>#N/A</v>
      </c>
      <c r="BO60" t="e">
        <f t="shared" si="47"/>
        <v>#N/A</v>
      </c>
      <c r="BP60" t="e">
        <f t="shared" si="47"/>
        <v>#N/A</v>
      </c>
      <c r="BQ60" t="e">
        <f t="shared" si="47"/>
        <v>#N/A</v>
      </c>
      <c r="BR60" t="e">
        <f t="shared" si="47"/>
        <v>#N/A</v>
      </c>
      <c r="BS60" t="e">
        <f t="shared" si="47"/>
        <v>#N/A</v>
      </c>
      <c r="BT60" t="e">
        <f t="shared" si="47"/>
        <v>#N/A</v>
      </c>
      <c r="BU60" t="e">
        <f t="shared" si="47"/>
        <v>#N/A</v>
      </c>
      <c r="BV60" t="e">
        <f t="shared" si="47"/>
        <v>#N/A</v>
      </c>
      <c r="BW60" t="e">
        <f t="shared" si="47"/>
        <v>#N/A</v>
      </c>
      <c r="BX60" t="e">
        <f t="shared" si="47"/>
        <v>#N/A</v>
      </c>
      <c r="BY60" t="e">
        <f t="shared" si="47"/>
        <v>#N/A</v>
      </c>
      <c r="BZ60" t="e">
        <f t="shared" si="47"/>
        <v>#N/A</v>
      </c>
      <c r="CA60" t="e">
        <f t="shared" si="47"/>
        <v>#N/A</v>
      </c>
      <c r="CB60" t="e">
        <f t="shared" si="47"/>
        <v>#N/A</v>
      </c>
      <c r="CC60" t="e">
        <f t="shared" si="43"/>
        <v>#N/A</v>
      </c>
      <c r="CD60" t="e">
        <f t="shared" si="43"/>
        <v>#N/A</v>
      </c>
      <c r="CE60" t="e">
        <f t="shared" si="43"/>
        <v>#N/A</v>
      </c>
      <c r="CF60" t="e">
        <f t="shared" si="43"/>
        <v>#N/A</v>
      </c>
      <c r="CG60" t="e">
        <f t="shared" si="43"/>
        <v>#N/A</v>
      </c>
      <c r="CH60" t="e">
        <f t="shared" si="43"/>
        <v>#N/A</v>
      </c>
      <c r="CI60" t="e">
        <f t="shared" si="43"/>
        <v>#N/A</v>
      </c>
      <c r="CJ60" t="e">
        <f t="shared" si="43"/>
        <v>#N/A</v>
      </c>
      <c r="CK60" t="e">
        <f t="shared" si="43"/>
        <v>#N/A</v>
      </c>
      <c r="CL60" t="e">
        <f t="shared" si="43"/>
        <v>#N/A</v>
      </c>
      <c r="CM60" t="e">
        <f t="shared" si="43"/>
        <v>#N/A</v>
      </c>
      <c r="CN60" t="e">
        <f t="shared" si="43"/>
        <v>#N/A</v>
      </c>
      <c r="CO60" t="e">
        <f t="shared" si="43"/>
        <v>#N/A</v>
      </c>
      <c r="CP60" t="e">
        <f t="shared" si="44"/>
        <v>#N/A</v>
      </c>
      <c r="CQ60" t="e">
        <f t="shared" si="44"/>
        <v>#N/A</v>
      </c>
      <c r="CR60" t="e">
        <f t="shared" si="44"/>
        <v>#N/A</v>
      </c>
      <c r="CS60" t="e">
        <f t="shared" si="44"/>
        <v>#N/A</v>
      </c>
      <c r="CT60" t="e">
        <f t="shared" si="44"/>
        <v>#N/A</v>
      </c>
      <c r="CU60" t="e">
        <f t="shared" si="44"/>
        <v>#N/A</v>
      </c>
      <c r="CV60" t="e">
        <f t="shared" si="44"/>
        <v>#N/A</v>
      </c>
      <c r="CW60" t="e">
        <f t="shared" si="44"/>
        <v>#N/A</v>
      </c>
      <c r="CX60" t="e">
        <f t="shared" si="44"/>
        <v>#N/A</v>
      </c>
      <c r="CY60" t="e">
        <f t="shared" si="44"/>
        <v>#N/A</v>
      </c>
      <c r="CZ60" t="e">
        <f t="shared" si="35"/>
        <v>#N/A</v>
      </c>
      <c r="DA60" t="e">
        <f t="shared" si="35"/>
        <v>#N/A</v>
      </c>
      <c r="DB60" t="e">
        <f t="shared" si="35"/>
        <v>#N/A</v>
      </c>
      <c r="DC60" t="e">
        <f t="shared" si="35"/>
        <v>#N/A</v>
      </c>
      <c r="DD60" t="e">
        <f t="shared" si="35"/>
        <v>#N/A</v>
      </c>
      <c r="DE60" t="e">
        <f t="shared" si="35"/>
        <v>#N/A</v>
      </c>
      <c r="DF60" t="e">
        <f t="shared" si="35"/>
        <v>#N/A</v>
      </c>
      <c r="DG60" t="e">
        <f t="shared" si="35"/>
        <v>#N/A</v>
      </c>
      <c r="DH60" t="e">
        <f t="shared" si="35"/>
        <v>#N/A</v>
      </c>
      <c r="DI60" t="e">
        <f t="shared" si="34"/>
        <v>#N/A</v>
      </c>
      <c r="DJ60" t="e">
        <f t="shared" si="34"/>
        <v>#N/A</v>
      </c>
      <c r="DK60" t="e">
        <f t="shared" si="34"/>
        <v>#N/A</v>
      </c>
      <c r="DL60" t="e">
        <f t="shared" si="34"/>
        <v>#N/A</v>
      </c>
      <c r="DM60" t="e">
        <f t="shared" si="34"/>
        <v>#N/A</v>
      </c>
      <c r="DN60" t="e">
        <f t="shared" si="34"/>
        <v>#N/A</v>
      </c>
      <c r="DO60" t="e">
        <f t="shared" si="34"/>
        <v>#N/A</v>
      </c>
      <c r="DP60" t="e">
        <f t="shared" si="34"/>
        <v>#N/A</v>
      </c>
      <c r="DQ60" t="e">
        <f t="shared" si="34"/>
        <v>#N/A</v>
      </c>
      <c r="DR60" t="e">
        <f t="shared" si="34"/>
        <v>#N/A</v>
      </c>
      <c r="DS60" t="e">
        <f t="shared" si="34"/>
        <v>#N/A</v>
      </c>
      <c r="DT60">
        <f t="shared" si="34"/>
        <v>3411</v>
      </c>
      <c r="DU60">
        <f t="shared" si="34"/>
        <v>3412</v>
      </c>
      <c r="DV60">
        <f t="shared" si="33"/>
        <v>3413</v>
      </c>
      <c r="DW60">
        <f t="shared" si="33"/>
        <v>3414</v>
      </c>
      <c r="DX60">
        <f t="shared" si="33"/>
        <v>3415</v>
      </c>
      <c r="DY60">
        <f t="shared" si="33"/>
        <v>3416</v>
      </c>
      <c r="DZ60">
        <f t="shared" si="31"/>
        <v>3417</v>
      </c>
      <c r="EA60">
        <f t="shared" si="31"/>
        <v>3418</v>
      </c>
      <c r="EB60">
        <f t="shared" si="31"/>
        <v>3419</v>
      </c>
      <c r="EC60">
        <f t="shared" si="31"/>
        <v>3420</v>
      </c>
      <c r="ED60" t="e">
        <f t="shared" si="31"/>
        <v>#N/A</v>
      </c>
      <c r="EE60" t="e">
        <f t="shared" si="31"/>
        <v>#N/A</v>
      </c>
      <c r="EF60" t="e">
        <f t="shared" si="32"/>
        <v>#N/A</v>
      </c>
      <c r="EG60" t="e">
        <f t="shared" si="32"/>
        <v>#N/A</v>
      </c>
      <c r="EH60" t="e">
        <f t="shared" si="32"/>
        <v>#N/A</v>
      </c>
      <c r="EI60" t="e">
        <f t="shared" si="32"/>
        <v>#N/A</v>
      </c>
      <c r="EJ60" t="e">
        <f t="shared" si="32"/>
        <v>#N/A</v>
      </c>
      <c r="EK60" t="e">
        <f t="shared" si="32"/>
        <v>#N/A</v>
      </c>
      <c r="EL60" t="e">
        <f t="shared" si="32"/>
        <v>#N/A</v>
      </c>
      <c r="EM60" t="e">
        <f t="shared" si="32"/>
        <v>#N/A</v>
      </c>
    </row>
    <row r="61" spans="1:143" x14ac:dyDescent="0.4">
      <c r="A61" t="str">
        <f t="shared" si="16"/>
        <v/>
      </c>
      <c r="B61">
        <v>58</v>
      </c>
      <c r="C61" t="str" cm="1">
        <f t="array" ref="C61">INDEX(auto_Series_Code,B61)</f>
        <v>INDI_027</v>
      </c>
      <c r="D61">
        <f t="shared" si="45"/>
        <v>3421</v>
      </c>
      <c r="E61">
        <f t="shared" si="45"/>
        <v>3422</v>
      </c>
      <c r="F61">
        <f t="shared" si="45"/>
        <v>3423</v>
      </c>
      <c r="G61">
        <f t="shared" si="45"/>
        <v>3424</v>
      </c>
      <c r="H61">
        <f t="shared" si="45"/>
        <v>3425</v>
      </c>
      <c r="I61">
        <f t="shared" si="45"/>
        <v>3426</v>
      </c>
      <c r="J61">
        <f t="shared" si="45"/>
        <v>3427</v>
      </c>
      <c r="K61">
        <f t="shared" si="45"/>
        <v>3428</v>
      </c>
      <c r="L61">
        <f t="shared" si="45"/>
        <v>3429</v>
      </c>
      <c r="M61">
        <f t="shared" si="45"/>
        <v>3430</v>
      </c>
      <c r="N61">
        <f t="shared" si="45"/>
        <v>3431</v>
      </c>
      <c r="O61">
        <f t="shared" si="45"/>
        <v>3432</v>
      </c>
      <c r="P61">
        <f t="shared" si="45"/>
        <v>3433</v>
      </c>
      <c r="Q61">
        <f t="shared" si="45"/>
        <v>3434</v>
      </c>
      <c r="R61">
        <f t="shared" si="45"/>
        <v>3435</v>
      </c>
      <c r="S61">
        <f t="shared" si="45"/>
        <v>3436</v>
      </c>
      <c r="T61">
        <f t="shared" si="37"/>
        <v>3437</v>
      </c>
      <c r="U61">
        <f t="shared" si="37"/>
        <v>3438</v>
      </c>
      <c r="V61">
        <f t="shared" si="37"/>
        <v>3439</v>
      </c>
      <c r="W61">
        <f t="shared" si="37"/>
        <v>3440</v>
      </c>
      <c r="X61">
        <f t="shared" si="37"/>
        <v>3441</v>
      </c>
      <c r="Y61">
        <f t="shared" si="37"/>
        <v>3442</v>
      </c>
      <c r="Z61">
        <f t="shared" si="37"/>
        <v>3443</v>
      </c>
      <c r="AA61">
        <f t="shared" si="37"/>
        <v>3444</v>
      </c>
      <c r="AB61">
        <f t="shared" si="37"/>
        <v>3445</v>
      </c>
      <c r="AC61">
        <f t="shared" si="37"/>
        <v>3446</v>
      </c>
      <c r="AD61">
        <f t="shared" si="37"/>
        <v>3447</v>
      </c>
      <c r="AE61">
        <f t="shared" si="37"/>
        <v>3448</v>
      </c>
      <c r="AF61">
        <f t="shared" si="37"/>
        <v>3449</v>
      </c>
      <c r="AG61">
        <f t="shared" si="37"/>
        <v>3450</v>
      </c>
      <c r="AH61">
        <f t="shared" si="37"/>
        <v>3451</v>
      </c>
      <c r="AI61">
        <f t="shared" si="46"/>
        <v>3452</v>
      </c>
      <c r="AJ61">
        <f t="shared" si="46"/>
        <v>3453</v>
      </c>
      <c r="AK61">
        <f t="shared" si="46"/>
        <v>3454</v>
      </c>
      <c r="AL61">
        <f t="shared" si="46"/>
        <v>3455</v>
      </c>
      <c r="AM61">
        <f t="shared" si="46"/>
        <v>3456</v>
      </c>
      <c r="AN61">
        <f t="shared" si="46"/>
        <v>3457</v>
      </c>
      <c r="AO61">
        <f t="shared" si="46"/>
        <v>3458</v>
      </c>
      <c r="AP61">
        <f t="shared" si="46"/>
        <v>3459</v>
      </c>
      <c r="AQ61">
        <f t="shared" si="46"/>
        <v>3460</v>
      </c>
      <c r="AR61">
        <f t="shared" si="46"/>
        <v>3461</v>
      </c>
      <c r="AS61">
        <f t="shared" si="46"/>
        <v>3462</v>
      </c>
      <c r="AT61">
        <f t="shared" si="46"/>
        <v>3463</v>
      </c>
      <c r="AU61">
        <f t="shared" si="46"/>
        <v>3464</v>
      </c>
      <c r="AV61">
        <f t="shared" si="46"/>
        <v>3465</v>
      </c>
      <c r="AW61">
        <f t="shared" si="46"/>
        <v>3466</v>
      </c>
      <c r="AX61">
        <f t="shared" si="46"/>
        <v>3467</v>
      </c>
      <c r="AY61">
        <f t="shared" si="40"/>
        <v>3468</v>
      </c>
      <c r="AZ61">
        <f t="shared" si="40"/>
        <v>3469</v>
      </c>
      <c r="BA61">
        <f t="shared" si="40"/>
        <v>3470</v>
      </c>
      <c r="BB61" t="e">
        <f t="shared" si="40"/>
        <v>#N/A</v>
      </c>
      <c r="BC61" t="e">
        <f t="shared" si="40"/>
        <v>#N/A</v>
      </c>
      <c r="BD61" t="e">
        <f t="shared" si="40"/>
        <v>#N/A</v>
      </c>
      <c r="BE61" t="e">
        <f t="shared" si="40"/>
        <v>#N/A</v>
      </c>
      <c r="BF61" t="e">
        <f t="shared" si="40"/>
        <v>#N/A</v>
      </c>
      <c r="BG61" t="e">
        <f t="shared" si="40"/>
        <v>#N/A</v>
      </c>
      <c r="BH61" t="e">
        <f t="shared" si="40"/>
        <v>#N/A</v>
      </c>
      <c r="BI61" t="e">
        <f t="shared" si="40"/>
        <v>#N/A</v>
      </c>
      <c r="BJ61" t="e">
        <f t="shared" si="40"/>
        <v>#N/A</v>
      </c>
      <c r="BK61" t="e">
        <f t="shared" si="40"/>
        <v>#N/A</v>
      </c>
      <c r="BL61" t="e">
        <f t="shared" si="40"/>
        <v>#N/A</v>
      </c>
      <c r="BM61" t="e">
        <f t="shared" si="47"/>
        <v>#N/A</v>
      </c>
      <c r="BN61" t="e">
        <f t="shared" si="47"/>
        <v>#N/A</v>
      </c>
      <c r="BO61" t="e">
        <f t="shared" si="47"/>
        <v>#N/A</v>
      </c>
      <c r="BP61" t="e">
        <f t="shared" si="47"/>
        <v>#N/A</v>
      </c>
      <c r="BQ61" t="e">
        <f t="shared" si="47"/>
        <v>#N/A</v>
      </c>
      <c r="BR61" t="e">
        <f t="shared" si="47"/>
        <v>#N/A</v>
      </c>
      <c r="BS61" t="e">
        <f t="shared" si="47"/>
        <v>#N/A</v>
      </c>
      <c r="BT61" t="e">
        <f t="shared" si="47"/>
        <v>#N/A</v>
      </c>
      <c r="BU61" t="e">
        <f t="shared" si="47"/>
        <v>#N/A</v>
      </c>
      <c r="BV61" t="e">
        <f t="shared" si="47"/>
        <v>#N/A</v>
      </c>
      <c r="BW61" t="e">
        <f t="shared" si="47"/>
        <v>#N/A</v>
      </c>
      <c r="BX61" t="e">
        <f t="shared" si="47"/>
        <v>#N/A</v>
      </c>
      <c r="BY61" t="e">
        <f t="shared" si="47"/>
        <v>#N/A</v>
      </c>
      <c r="BZ61" t="e">
        <f t="shared" si="47"/>
        <v>#N/A</v>
      </c>
      <c r="CA61" t="e">
        <f t="shared" si="47"/>
        <v>#N/A</v>
      </c>
      <c r="CB61" t="e">
        <f t="shared" si="47"/>
        <v>#N/A</v>
      </c>
      <c r="CC61" t="e">
        <f t="shared" si="43"/>
        <v>#N/A</v>
      </c>
      <c r="CD61" t="e">
        <f t="shared" si="43"/>
        <v>#N/A</v>
      </c>
      <c r="CE61" t="e">
        <f t="shared" si="43"/>
        <v>#N/A</v>
      </c>
      <c r="CF61" t="e">
        <f t="shared" si="43"/>
        <v>#N/A</v>
      </c>
      <c r="CG61" t="e">
        <f t="shared" si="43"/>
        <v>#N/A</v>
      </c>
      <c r="CH61" t="e">
        <f t="shared" si="43"/>
        <v>#N/A</v>
      </c>
      <c r="CI61" t="e">
        <f t="shared" si="43"/>
        <v>#N/A</v>
      </c>
      <c r="CJ61" t="e">
        <f t="shared" si="43"/>
        <v>#N/A</v>
      </c>
      <c r="CK61" t="e">
        <f t="shared" si="43"/>
        <v>#N/A</v>
      </c>
      <c r="CL61" t="e">
        <f t="shared" si="43"/>
        <v>#N/A</v>
      </c>
      <c r="CM61" t="e">
        <f t="shared" si="43"/>
        <v>#N/A</v>
      </c>
      <c r="CN61" t="e">
        <f t="shared" si="43"/>
        <v>#N/A</v>
      </c>
      <c r="CO61" t="e">
        <f t="shared" si="43"/>
        <v>#N/A</v>
      </c>
      <c r="CP61" t="e">
        <f t="shared" si="44"/>
        <v>#N/A</v>
      </c>
      <c r="CQ61" t="e">
        <f t="shared" si="44"/>
        <v>#N/A</v>
      </c>
      <c r="CR61" t="e">
        <f t="shared" si="44"/>
        <v>#N/A</v>
      </c>
      <c r="CS61" t="e">
        <f t="shared" si="44"/>
        <v>#N/A</v>
      </c>
      <c r="CT61" t="e">
        <f t="shared" si="44"/>
        <v>#N/A</v>
      </c>
      <c r="CU61" t="e">
        <f t="shared" si="44"/>
        <v>#N/A</v>
      </c>
      <c r="CV61" t="e">
        <f t="shared" si="44"/>
        <v>#N/A</v>
      </c>
      <c r="CW61" t="e">
        <f t="shared" si="44"/>
        <v>#N/A</v>
      </c>
      <c r="CX61" t="e">
        <f t="shared" si="44"/>
        <v>#N/A</v>
      </c>
      <c r="CY61" t="e">
        <f t="shared" si="44"/>
        <v>#N/A</v>
      </c>
      <c r="CZ61" t="e">
        <f t="shared" si="35"/>
        <v>#N/A</v>
      </c>
      <c r="DA61" t="e">
        <f t="shared" si="35"/>
        <v>#N/A</v>
      </c>
      <c r="DB61" t="e">
        <f t="shared" si="35"/>
        <v>#N/A</v>
      </c>
      <c r="DC61" t="e">
        <f t="shared" si="35"/>
        <v>#N/A</v>
      </c>
      <c r="DD61" t="e">
        <f t="shared" si="35"/>
        <v>#N/A</v>
      </c>
      <c r="DE61" t="e">
        <f t="shared" si="35"/>
        <v>#N/A</v>
      </c>
      <c r="DF61" t="e">
        <f t="shared" si="35"/>
        <v>#N/A</v>
      </c>
      <c r="DG61" t="e">
        <f t="shared" si="35"/>
        <v>#N/A</v>
      </c>
      <c r="DH61" t="e">
        <f t="shared" si="35"/>
        <v>#N/A</v>
      </c>
      <c r="DI61" t="e">
        <f t="shared" si="34"/>
        <v>#N/A</v>
      </c>
      <c r="DJ61" t="e">
        <f t="shared" si="34"/>
        <v>#N/A</v>
      </c>
      <c r="DK61" t="e">
        <f t="shared" si="34"/>
        <v>#N/A</v>
      </c>
      <c r="DL61" t="e">
        <f t="shared" si="34"/>
        <v>#N/A</v>
      </c>
      <c r="DM61" t="e">
        <f t="shared" si="34"/>
        <v>#N/A</v>
      </c>
      <c r="DN61" t="e">
        <f t="shared" si="34"/>
        <v>#N/A</v>
      </c>
      <c r="DO61" t="e">
        <f t="shared" si="34"/>
        <v>#N/A</v>
      </c>
      <c r="DP61" t="e">
        <f t="shared" si="34"/>
        <v>#N/A</v>
      </c>
      <c r="DQ61" t="e">
        <f t="shared" si="34"/>
        <v>#N/A</v>
      </c>
      <c r="DR61" t="e">
        <f t="shared" si="34"/>
        <v>#N/A</v>
      </c>
      <c r="DS61" t="e">
        <f t="shared" si="34"/>
        <v>#N/A</v>
      </c>
      <c r="DT61">
        <f t="shared" si="34"/>
        <v>3471</v>
      </c>
      <c r="DU61">
        <f t="shared" si="34"/>
        <v>3472</v>
      </c>
      <c r="DV61">
        <f t="shared" si="33"/>
        <v>3473</v>
      </c>
      <c r="DW61">
        <f t="shared" si="33"/>
        <v>3474</v>
      </c>
      <c r="DX61">
        <f t="shared" si="33"/>
        <v>3475</v>
      </c>
      <c r="DY61">
        <f t="shared" si="33"/>
        <v>3476</v>
      </c>
      <c r="DZ61">
        <f t="shared" si="31"/>
        <v>3477</v>
      </c>
      <c r="EA61">
        <f t="shared" si="31"/>
        <v>3478</v>
      </c>
      <c r="EB61">
        <f t="shared" si="31"/>
        <v>3479</v>
      </c>
      <c r="EC61">
        <f t="shared" si="31"/>
        <v>3480</v>
      </c>
      <c r="ED61" t="e">
        <f t="shared" si="31"/>
        <v>#N/A</v>
      </c>
      <c r="EE61" t="e">
        <f t="shared" si="31"/>
        <v>#N/A</v>
      </c>
      <c r="EF61" t="e">
        <f t="shared" si="32"/>
        <v>#N/A</v>
      </c>
      <c r="EG61" t="e">
        <f t="shared" si="32"/>
        <v>#N/A</v>
      </c>
      <c r="EH61" t="e">
        <f t="shared" si="32"/>
        <v>#N/A</v>
      </c>
      <c r="EI61" t="e">
        <f t="shared" si="32"/>
        <v>#N/A</v>
      </c>
      <c r="EJ61" t="e">
        <f t="shared" si="32"/>
        <v>#N/A</v>
      </c>
      <c r="EK61" t="e">
        <f t="shared" si="32"/>
        <v>#N/A</v>
      </c>
      <c r="EL61" t="e">
        <f t="shared" si="32"/>
        <v>#N/A</v>
      </c>
      <c r="EM61" t="e">
        <f t="shared" si="32"/>
        <v>#N/A</v>
      </c>
    </row>
    <row r="62" spans="1:143" x14ac:dyDescent="0.4">
      <c r="A62" t="str">
        <f t="shared" si="16"/>
        <v/>
      </c>
      <c r="B62">
        <v>59</v>
      </c>
      <c r="C62" t="str" cm="1">
        <f t="array" ref="C62">INDEX(auto_Series_Code,B62)</f>
        <v>INDI_028</v>
      </c>
      <c r="D62">
        <f t="shared" si="45"/>
        <v>3481</v>
      </c>
      <c r="E62">
        <f t="shared" si="45"/>
        <v>3482</v>
      </c>
      <c r="F62">
        <f t="shared" si="45"/>
        <v>3483</v>
      </c>
      <c r="G62">
        <f t="shared" si="45"/>
        <v>3484</v>
      </c>
      <c r="H62">
        <f t="shared" si="45"/>
        <v>3485</v>
      </c>
      <c r="I62">
        <f t="shared" si="45"/>
        <v>3486</v>
      </c>
      <c r="J62">
        <f t="shared" si="45"/>
        <v>3487</v>
      </c>
      <c r="K62">
        <f t="shared" si="45"/>
        <v>3488</v>
      </c>
      <c r="L62">
        <f t="shared" si="45"/>
        <v>3489</v>
      </c>
      <c r="M62">
        <f t="shared" si="45"/>
        <v>3490</v>
      </c>
      <c r="N62">
        <f t="shared" si="45"/>
        <v>3491</v>
      </c>
      <c r="O62">
        <f t="shared" si="45"/>
        <v>3492</v>
      </c>
      <c r="P62">
        <f t="shared" si="45"/>
        <v>3493</v>
      </c>
      <c r="Q62">
        <f t="shared" si="45"/>
        <v>3494</v>
      </c>
      <c r="R62">
        <f t="shared" si="45"/>
        <v>3495</v>
      </c>
      <c r="S62">
        <f t="shared" si="45"/>
        <v>3496</v>
      </c>
      <c r="T62">
        <f t="shared" si="37"/>
        <v>3497</v>
      </c>
      <c r="U62">
        <f t="shared" si="37"/>
        <v>3498</v>
      </c>
      <c r="V62">
        <f t="shared" si="37"/>
        <v>3499</v>
      </c>
      <c r="W62">
        <f t="shared" si="37"/>
        <v>3500</v>
      </c>
      <c r="X62">
        <f t="shared" si="37"/>
        <v>3501</v>
      </c>
      <c r="Y62">
        <f t="shared" si="37"/>
        <v>3502</v>
      </c>
      <c r="Z62">
        <f t="shared" si="37"/>
        <v>3503</v>
      </c>
      <c r="AA62">
        <f t="shared" si="37"/>
        <v>3504</v>
      </c>
      <c r="AB62">
        <f t="shared" si="37"/>
        <v>3505</v>
      </c>
      <c r="AC62">
        <f t="shared" si="37"/>
        <v>3506</v>
      </c>
      <c r="AD62">
        <f t="shared" si="37"/>
        <v>3507</v>
      </c>
      <c r="AE62">
        <f t="shared" si="37"/>
        <v>3508</v>
      </c>
      <c r="AF62">
        <f t="shared" si="37"/>
        <v>3509</v>
      </c>
      <c r="AG62">
        <f t="shared" si="37"/>
        <v>3510</v>
      </c>
      <c r="AH62">
        <f t="shared" si="37"/>
        <v>3511</v>
      </c>
      <c r="AI62">
        <f t="shared" si="46"/>
        <v>3512</v>
      </c>
      <c r="AJ62">
        <f t="shared" si="46"/>
        <v>3513</v>
      </c>
      <c r="AK62">
        <f t="shared" si="46"/>
        <v>3514</v>
      </c>
      <c r="AL62">
        <f t="shared" si="46"/>
        <v>3515</v>
      </c>
      <c r="AM62">
        <f t="shared" si="46"/>
        <v>3516</v>
      </c>
      <c r="AN62">
        <f t="shared" si="46"/>
        <v>3517</v>
      </c>
      <c r="AO62">
        <f t="shared" si="46"/>
        <v>3518</v>
      </c>
      <c r="AP62">
        <f t="shared" si="46"/>
        <v>3519</v>
      </c>
      <c r="AQ62">
        <f t="shared" si="46"/>
        <v>3520</v>
      </c>
      <c r="AR62">
        <f t="shared" si="46"/>
        <v>3521</v>
      </c>
      <c r="AS62">
        <f t="shared" si="46"/>
        <v>3522</v>
      </c>
      <c r="AT62">
        <f t="shared" si="46"/>
        <v>3523</v>
      </c>
      <c r="AU62">
        <f t="shared" si="46"/>
        <v>3524</v>
      </c>
      <c r="AV62">
        <f t="shared" si="46"/>
        <v>3525</v>
      </c>
      <c r="AW62">
        <f t="shared" si="46"/>
        <v>3526</v>
      </c>
      <c r="AX62">
        <f t="shared" si="46"/>
        <v>3527</v>
      </c>
      <c r="AY62">
        <f t="shared" si="40"/>
        <v>3528</v>
      </c>
      <c r="AZ62">
        <f t="shared" si="40"/>
        <v>3529</v>
      </c>
      <c r="BA62">
        <f t="shared" si="40"/>
        <v>3530</v>
      </c>
      <c r="BB62" t="e">
        <f t="shared" si="40"/>
        <v>#N/A</v>
      </c>
      <c r="BC62" t="e">
        <f t="shared" si="40"/>
        <v>#N/A</v>
      </c>
      <c r="BD62" t="e">
        <f t="shared" si="40"/>
        <v>#N/A</v>
      </c>
      <c r="BE62" t="e">
        <f t="shared" si="40"/>
        <v>#N/A</v>
      </c>
      <c r="BF62" t="e">
        <f t="shared" si="40"/>
        <v>#N/A</v>
      </c>
      <c r="BG62" t="e">
        <f t="shared" si="40"/>
        <v>#N/A</v>
      </c>
      <c r="BH62" t="e">
        <f t="shared" si="40"/>
        <v>#N/A</v>
      </c>
      <c r="BI62" t="e">
        <f t="shared" si="40"/>
        <v>#N/A</v>
      </c>
      <c r="BJ62" t="e">
        <f t="shared" si="40"/>
        <v>#N/A</v>
      </c>
      <c r="BK62" t="e">
        <f t="shared" si="40"/>
        <v>#N/A</v>
      </c>
      <c r="BL62" t="e">
        <f t="shared" si="40"/>
        <v>#N/A</v>
      </c>
      <c r="BM62" t="e">
        <f t="shared" si="47"/>
        <v>#N/A</v>
      </c>
      <c r="BN62" t="e">
        <f t="shared" si="47"/>
        <v>#N/A</v>
      </c>
      <c r="BO62" t="e">
        <f t="shared" si="47"/>
        <v>#N/A</v>
      </c>
      <c r="BP62" t="e">
        <f t="shared" si="47"/>
        <v>#N/A</v>
      </c>
      <c r="BQ62" t="e">
        <f t="shared" si="47"/>
        <v>#N/A</v>
      </c>
      <c r="BR62" t="e">
        <f t="shared" si="47"/>
        <v>#N/A</v>
      </c>
      <c r="BS62" t="e">
        <f t="shared" si="47"/>
        <v>#N/A</v>
      </c>
      <c r="BT62" t="e">
        <f t="shared" si="47"/>
        <v>#N/A</v>
      </c>
      <c r="BU62" t="e">
        <f t="shared" si="47"/>
        <v>#N/A</v>
      </c>
      <c r="BV62" t="e">
        <f t="shared" si="47"/>
        <v>#N/A</v>
      </c>
      <c r="BW62" t="e">
        <f t="shared" si="47"/>
        <v>#N/A</v>
      </c>
      <c r="BX62" t="e">
        <f t="shared" si="47"/>
        <v>#N/A</v>
      </c>
      <c r="BY62" t="e">
        <f t="shared" si="47"/>
        <v>#N/A</v>
      </c>
      <c r="BZ62" t="e">
        <f t="shared" si="47"/>
        <v>#N/A</v>
      </c>
      <c r="CA62" t="e">
        <f t="shared" si="47"/>
        <v>#N/A</v>
      </c>
      <c r="CB62" t="e">
        <f t="shared" si="47"/>
        <v>#N/A</v>
      </c>
      <c r="CC62" t="e">
        <f t="shared" si="43"/>
        <v>#N/A</v>
      </c>
      <c r="CD62" t="e">
        <f t="shared" si="43"/>
        <v>#N/A</v>
      </c>
      <c r="CE62" t="e">
        <f t="shared" si="43"/>
        <v>#N/A</v>
      </c>
      <c r="CF62" t="e">
        <f t="shared" si="43"/>
        <v>#N/A</v>
      </c>
      <c r="CG62" t="e">
        <f t="shared" si="43"/>
        <v>#N/A</v>
      </c>
      <c r="CH62" t="e">
        <f t="shared" si="43"/>
        <v>#N/A</v>
      </c>
      <c r="CI62" t="e">
        <f t="shared" si="43"/>
        <v>#N/A</v>
      </c>
      <c r="CJ62" t="e">
        <f t="shared" si="43"/>
        <v>#N/A</v>
      </c>
      <c r="CK62" t="e">
        <f t="shared" si="43"/>
        <v>#N/A</v>
      </c>
      <c r="CL62" t="e">
        <f t="shared" si="43"/>
        <v>#N/A</v>
      </c>
      <c r="CM62" t="e">
        <f t="shared" si="43"/>
        <v>#N/A</v>
      </c>
      <c r="CN62" t="e">
        <f t="shared" si="43"/>
        <v>#N/A</v>
      </c>
      <c r="CO62" t="e">
        <f t="shared" si="43"/>
        <v>#N/A</v>
      </c>
      <c r="CP62" t="e">
        <f t="shared" si="44"/>
        <v>#N/A</v>
      </c>
      <c r="CQ62" t="e">
        <f t="shared" si="44"/>
        <v>#N/A</v>
      </c>
      <c r="CR62" t="e">
        <f t="shared" si="44"/>
        <v>#N/A</v>
      </c>
      <c r="CS62" t="e">
        <f t="shared" si="44"/>
        <v>#N/A</v>
      </c>
      <c r="CT62" t="e">
        <f t="shared" si="44"/>
        <v>#N/A</v>
      </c>
      <c r="CU62" t="e">
        <f t="shared" si="44"/>
        <v>#N/A</v>
      </c>
      <c r="CV62" t="e">
        <f t="shared" si="44"/>
        <v>#N/A</v>
      </c>
      <c r="CW62" t="e">
        <f t="shared" si="44"/>
        <v>#N/A</v>
      </c>
      <c r="CX62" t="e">
        <f t="shared" si="44"/>
        <v>#N/A</v>
      </c>
      <c r="CY62" t="e">
        <f t="shared" si="44"/>
        <v>#N/A</v>
      </c>
      <c r="CZ62" t="e">
        <f t="shared" si="35"/>
        <v>#N/A</v>
      </c>
      <c r="DA62" t="e">
        <f t="shared" si="35"/>
        <v>#N/A</v>
      </c>
      <c r="DB62" t="e">
        <f t="shared" si="35"/>
        <v>#N/A</v>
      </c>
      <c r="DC62" t="e">
        <f t="shared" si="35"/>
        <v>#N/A</v>
      </c>
      <c r="DD62" t="e">
        <f t="shared" si="35"/>
        <v>#N/A</v>
      </c>
      <c r="DE62" t="e">
        <f t="shared" si="35"/>
        <v>#N/A</v>
      </c>
      <c r="DF62" t="e">
        <f t="shared" si="35"/>
        <v>#N/A</v>
      </c>
      <c r="DG62" t="e">
        <f t="shared" si="35"/>
        <v>#N/A</v>
      </c>
      <c r="DH62" t="e">
        <f t="shared" si="35"/>
        <v>#N/A</v>
      </c>
      <c r="DI62" t="e">
        <f t="shared" si="34"/>
        <v>#N/A</v>
      </c>
      <c r="DJ62" t="e">
        <f t="shared" si="34"/>
        <v>#N/A</v>
      </c>
      <c r="DK62" t="e">
        <f t="shared" si="34"/>
        <v>#N/A</v>
      </c>
      <c r="DL62" t="e">
        <f t="shared" si="34"/>
        <v>#N/A</v>
      </c>
      <c r="DM62" t="e">
        <f t="shared" si="34"/>
        <v>#N/A</v>
      </c>
      <c r="DN62" t="e">
        <f t="shared" si="34"/>
        <v>#N/A</v>
      </c>
      <c r="DO62" t="e">
        <f t="shared" si="34"/>
        <v>#N/A</v>
      </c>
      <c r="DP62" t="e">
        <f t="shared" si="34"/>
        <v>#N/A</v>
      </c>
      <c r="DQ62" t="e">
        <f t="shared" si="34"/>
        <v>#N/A</v>
      </c>
      <c r="DR62" t="e">
        <f t="shared" si="34"/>
        <v>#N/A</v>
      </c>
      <c r="DS62" t="e">
        <f t="shared" si="34"/>
        <v>#N/A</v>
      </c>
      <c r="DT62">
        <f t="shared" si="34"/>
        <v>3531</v>
      </c>
      <c r="DU62">
        <f t="shared" si="34"/>
        <v>3532</v>
      </c>
      <c r="DV62">
        <f t="shared" si="33"/>
        <v>3533</v>
      </c>
      <c r="DW62">
        <f t="shared" si="33"/>
        <v>3534</v>
      </c>
      <c r="DX62">
        <f t="shared" si="33"/>
        <v>3535</v>
      </c>
      <c r="DY62">
        <f t="shared" si="33"/>
        <v>3536</v>
      </c>
      <c r="DZ62">
        <f t="shared" si="31"/>
        <v>3537</v>
      </c>
      <c r="EA62">
        <f t="shared" si="31"/>
        <v>3538</v>
      </c>
      <c r="EB62">
        <f t="shared" si="31"/>
        <v>3539</v>
      </c>
      <c r="EC62">
        <f t="shared" si="31"/>
        <v>3540</v>
      </c>
      <c r="ED62" t="e">
        <f t="shared" si="31"/>
        <v>#N/A</v>
      </c>
      <c r="EE62" t="e">
        <f t="shared" si="31"/>
        <v>#N/A</v>
      </c>
      <c r="EF62" t="e">
        <f t="shared" si="32"/>
        <v>#N/A</v>
      </c>
      <c r="EG62" t="e">
        <f t="shared" si="32"/>
        <v>#N/A</v>
      </c>
      <c r="EH62" t="e">
        <f t="shared" si="32"/>
        <v>#N/A</v>
      </c>
      <c r="EI62" t="e">
        <f t="shared" si="32"/>
        <v>#N/A</v>
      </c>
      <c r="EJ62" t="e">
        <f t="shared" si="32"/>
        <v>#N/A</v>
      </c>
      <c r="EK62" t="e">
        <f t="shared" si="32"/>
        <v>#N/A</v>
      </c>
      <c r="EL62" t="e">
        <f t="shared" si="32"/>
        <v>#N/A</v>
      </c>
      <c r="EM62" t="e">
        <f t="shared" si="32"/>
        <v>#N/A</v>
      </c>
    </row>
    <row r="63" spans="1:143" x14ac:dyDescent="0.4">
      <c r="A63" t="str">
        <f t="shared" si="16"/>
        <v/>
      </c>
      <c r="B63">
        <v>60</v>
      </c>
      <c r="C63" t="str" cm="1">
        <f t="array" ref="C63">INDEX(auto_Series_Code,B63)</f>
        <v>INDI_029</v>
      </c>
      <c r="D63">
        <f t="shared" si="45"/>
        <v>3541</v>
      </c>
      <c r="E63">
        <f t="shared" si="45"/>
        <v>3542</v>
      </c>
      <c r="F63">
        <f t="shared" si="45"/>
        <v>3543</v>
      </c>
      <c r="G63">
        <f t="shared" si="45"/>
        <v>3544</v>
      </c>
      <c r="H63">
        <f t="shared" si="45"/>
        <v>3545</v>
      </c>
      <c r="I63">
        <f t="shared" si="45"/>
        <v>3546</v>
      </c>
      <c r="J63">
        <f t="shared" si="45"/>
        <v>3547</v>
      </c>
      <c r="K63">
        <f t="shared" si="45"/>
        <v>3548</v>
      </c>
      <c r="L63">
        <f t="shared" si="45"/>
        <v>3549</v>
      </c>
      <c r="M63">
        <f t="shared" si="45"/>
        <v>3550</v>
      </c>
      <c r="N63">
        <f t="shared" si="45"/>
        <v>3551</v>
      </c>
      <c r="O63">
        <f t="shared" si="45"/>
        <v>3552</v>
      </c>
      <c r="P63">
        <f t="shared" si="45"/>
        <v>3553</v>
      </c>
      <c r="Q63">
        <f t="shared" si="45"/>
        <v>3554</v>
      </c>
      <c r="R63">
        <f t="shared" si="45"/>
        <v>3555</v>
      </c>
      <c r="S63">
        <f t="shared" si="45"/>
        <v>3556</v>
      </c>
      <c r="T63">
        <f t="shared" si="37"/>
        <v>3557</v>
      </c>
      <c r="U63">
        <f t="shared" si="37"/>
        <v>3558</v>
      </c>
      <c r="V63">
        <f t="shared" si="37"/>
        <v>3559</v>
      </c>
      <c r="W63">
        <f t="shared" si="37"/>
        <v>3560</v>
      </c>
      <c r="X63">
        <f t="shared" si="37"/>
        <v>3561</v>
      </c>
      <c r="Y63">
        <f t="shared" si="37"/>
        <v>3562</v>
      </c>
      <c r="Z63">
        <f t="shared" si="37"/>
        <v>3563</v>
      </c>
      <c r="AA63">
        <f t="shared" si="37"/>
        <v>3564</v>
      </c>
      <c r="AB63">
        <f t="shared" si="37"/>
        <v>3565</v>
      </c>
      <c r="AC63">
        <f t="shared" si="37"/>
        <v>3566</v>
      </c>
      <c r="AD63">
        <f t="shared" si="37"/>
        <v>3567</v>
      </c>
      <c r="AE63">
        <f t="shared" si="37"/>
        <v>3568</v>
      </c>
      <c r="AF63">
        <f t="shared" si="37"/>
        <v>3569</v>
      </c>
      <c r="AG63">
        <f t="shared" si="37"/>
        <v>3570</v>
      </c>
      <c r="AH63">
        <f t="shared" si="37"/>
        <v>3571</v>
      </c>
      <c r="AI63">
        <f t="shared" si="46"/>
        <v>3572</v>
      </c>
      <c r="AJ63">
        <f t="shared" si="46"/>
        <v>3573</v>
      </c>
      <c r="AK63">
        <f t="shared" si="46"/>
        <v>3574</v>
      </c>
      <c r="AL63">
        <f t="shared" si="46"/>
        <v>3575</v>
      </c>
      <c r="AM63">
        <f t="shared" si="46"/>
        <v>3576</v>
      </c>
      <c r="AN63">
        <f t="shared" si="46"/>
        <v>3577</v>
      </c>
      <c r="AO63">
        <f t="shared" si="46"/>
        <v>3578</v>
      </c>
      <c r="AP63">
        <f t="shared" si="46"/>
        <v>3579</v>
      </c>
      <c r="AQ63">
        <f t="shared" si="46"/>
        <v>3580</v>
      </c>
      <c r="AR63">
        <f t="shared" si="46"/>
        <v>3581</v>
      </c>
      <c r="AS63">
        <f t="shared" si="46"/>
        <v>3582</v>
      </c>
      <c r="AT63">
        <f t="shared" si="46"/>
        <v>3583</v>
      </c>
      <c r="AU63">
        <f t="shared" si="46"/>
        <v>3584</v>
      </c>
      <c r="AV63">
        <f t="shared" si="46"/>
        <v>3585</v>
      </c>
      <c r="AW63">
        <f t="shared" si="46"/>
        <v>3586</v>
      </c>
      <c r="AX63">
        <f t="shared" si="46"/>
        <v>3587</v>
      </c>
      <c r="AY63">
        <f t="shared" si="40"/>
        <v>3588</v>
      </c>
      <c r="AZ63">
        <f t="shared" si="40"/>
        <v>3589</v>
      </c>
      <c r="BA63">
        <f t="shared" si="40"/>
        <v>3590</v>
      </c>
      <c r="BB63" t="e">
        <f t="shared" si="40"/>
        <v>#N/A</v>
      </c>
      <c r="BC63" t="e">
        <f t="shared" si="40"/>
        <v>#N/A</v>
      </c>
      <c r="BD63" t="e">
        <f t="shared" si="40"/>
        <v>#N/A</v>
      </c>
      <c r="BE63" t="e">
        <f t="shared" si="40"/>
        <v>#N/A</v>
      </c>
      <c r="BF63" t="e">
        <f t="shared" si="40"/>
        <v>#N/A</v>
      </c>
      <c r="BG63" t="e">
        <f t="shared" si="40"/>
        <v>#N/A</v>
      </c>
      <c r="BH63" t="e">
        <f t="shared" si="40"/>
        <v>#N/A</v>
      </c>
      <c r="BI63" t="e">
        <f t="shared" si="40"/>
        <v>#N/A</v>
      </c>
      <c r="BJ63" t="e">
        <f t="shared" si="40"/>
        <v>#N/A</v>
      </c>
      <c r="BK63" t="e">
        <f t="shared" si="40"/>
        <v>#N/A</v>
      </c>
      <c r="BL63" t="e">
        <f t="shared" si="40"/>
        <v>#N/A</v>
      </c>
      <c r="BM63" t="e">
        <f t="shared" si="47"/>
        <v>#N/A</v>
      </c>
      <c r="BN63" t="e">
        <f t="shared" si="47"/>
        <v>#N/A</v>
      </c>
      <c r="BO63" t="e">
        <f t="shared" si="47"/>
        <v>#N/A</v>
      </c>
      <c r="BP63" t="e">
        <f t="shared" si="47"/>
        <v>#N/A</v>
      </c>
      <c r="BQ63" t="e">
        <f t="shared" si="47"/>
        <v>#N/A</v>
      </c>
      <c r="BR63" t="e">
        <f t="shared" si="47"/>
        <v>#N/A</v>
      </c>
      <c r="BS63" t="e">
        <f t="shared" si="47"/>
        <v>#N/A</v>
      </c>
      <c r="BT63" t="e">
        <f t="shared" si="47"/>
        <v>#N/A</v>
      </c>
      <c r="BU63" t="e">
        <f t="shared" si="47"/>
        <v>#N/A</v>
      </c>
      <c r="BV63" t="e">
        <f t="shared" si="47"/>
        <v>#N/A</v>
      </c>
      <c r="BW63" t="e">
        <f t="shared" si="47"/>
        <v>#N/A</v>
      </c>
      <c r="BX63" t="e">
        <f t="shared" si="47"/>
        <v>#N/A</v>
      </c>
      <c r="BY63" t="e">
        <f t="shared" si="47"/>
        <v>#N/A</v>
      </c>
      <c r="BZ63" t="e">
        <f t="shared" si="47"/>
        <v>#N/A</v>
      </c>
      <c r="CA63" t="e">
        <f t="shared" si="47"/>
        <v>#N/A</v>
      </c>
      <c r="CB63" t="e">
        <f t="shared" si="47"/>
        <v>#N/A</v>
      </c>
      <c r="CC63" t="e">
        <f t="shared" si="43"/>
        <v>#N/A</v>
      </c>
      <c r="CD63" t="e">
        <f t="shared" si="43"/>
        <v>#N/A</v>
      </c>
      <c r="CE63" t="e">
        <f t="shared" si="43"/>
        <v>#N/A</v>
      </c>
      <c r="CF63" t="e">
        <f t="shared" si="43"/>
        <v>#N/A</v>
      </c>
      <c r="CG63" t="e">
        <f t="shared" si="43"/>
        <v>#N/A</v>
      </c>
      <c r="CH63" t="e">
        <f t="shared" si="43"/>
        <v>#N/A</v>
      </c>
      <c r="CI63" t="e">
        <f t="shared" si="43"/>
        <v>#N/A</v>
      </c>
      <c r="CJ63" t="e">
        <f t="shared" si="43"/>
        <v>#N/A</v>
      </c>
      <c r="CK63" t="e">
        <f t="shared" si="43"/>
        <v>#N/A</v>
      </c>
      <c r="CL63" t="e">
        <f t="shared" si="43"/>
        <v>#N/A</v>
      </c>
      <c r="CM63" t="e">
        <f t="shared" si="43"/>
        <v>#N/A</v>
      </c>
      <c r="CN63" t="e">
        <f t="shared" si="43"/>
        <v>#N/A</v>
      </c>
      <c r="CO63" t="e">
        <f t="shared" si="43"/>
        <v>#N/A</v>
      </c>
      <c r="CP63" t="e">
        <f t="shared" si="44"/>
        <v>#N/A</v>
      </c>
      <c r="CQ63" t="e">
        <f t="shared" si="44"/>
        <v>#N/A</v>
      </c>
      <c r="CR63" t="e">
        <f t="shared" si="44"/>
        <v>#N/A</v>
      </c>
      <c r="CS63" t="e">
        <f t="shared" si="44"/>
        <v>#N/A</v>
      </c>
      <c r="CT63" t="e">
        <f t="shared" si="44"/>
        <v>#N/A</v>
      </c>
      <c r="CU63" t="e">
        <f t="shared" si="44"/>
        <v>#N/A</v>
      </c>
      <c r="CV63" t="e">
        <f t="shared" si="44"/>
        <v>#N/A</v>
      </c>
      <c r="CW63" t="e">
        <f t="shared" si="44"/>
        <v>#N/A</v>
      </c>
      <c r="CX63" t="e">
        <f t="shared" si="44"/>
        <v>#N/A</v>
      </c>
      <c r="CY63" t="e">
        <f t="shared" si="44"/>
        <v>#N/A</v>
      </c>
      <c r="CZ63" t="e">
        <f t="shared" si="35"/>
        <v>#N/A</v>
      </c>
      <c r="DA63" t="e">
        <f t="shared" si="35"/>
        <v>#N/A</v>
      </c>
      <c r="DB63" t="e">
        <f t="shared" si="35"/>
        <v>#N/A</v>
      </c>
      <c r="DC63" t="e">
        <f t="shared" si="35"/>
        <v>#N/A</v>
      </c>
      <c r="DD63" t="e">
        <f t="shared" si="35"/>
        <v>#N/A</v>
      </c>
      <c r="DE63" t="e">
        <f t="shared" si="35"/>
        <v>#N/A</v>
      </c>
      <c r="DF63" t="e">
        <f t="shared" si="35"/>
        <v>#N/A</v>
      </c>
      <c r="DG63" t="e">
        <f t="shared" si="35"/>
        <v>#N/A</v>
      </c>
      <c r="DH63" t="e">
        <f t="shared" si="35"/>
        <v>#N/A</v>
      </c>
      <c r="DI63" t="e">
        <f t="shared" si="34"/>
        <v>#N/A</v>
      </c>
      <c r="DJ63" t="e">
        <f t="shared" si="34"/>
        <v>#N/A</v>
      </c>
      <c r="DK63" t="e">
        <f t="shared" si="34"/>
        <v>#N/A</v>
      </c>
      <c r="DL63" t="e">
        <f t="shared" si="34"/>
        <v>#N/A</v>
      </c>
      <c r="DM63" t="e">
        <f t="shared" si="34"/>
        <v>#N/A</v>
      </c>
      <c r="DN63" t="e">
        <f t="shared" si="34"/>
        <v>#N/A</v>
      </c>
      <c r="DO63" t="e">
        <f t="shared" si="34"/>
        <v>#N/A</v>
      </c>
      <c r="DP63" t="e">
        <f t="shared" si="34"/>
        <v>#N/A</v>
      </c>
      <c r="DQ63" t="e">
        <f t="shared" si="34"/>
        <v>#N/A</v>
      </c>
      <c r="DR63" t="e">
        <f t="shared" si="34"/>
        <v>#N/A</v>
      </c>
      <c r="DS63" t="e">
        <f t="shared" si="34"/>
        <v>#N/A</v>
      </c>
      <c r="DT63">
        <f t="shared" si="34"/>
        <v>3591</v>
      </c>
      <c r="DU63">
        <f t="shared" si="34"/>
        <v>3592</v>
      </c>
      <c r="DV63">
        <f t="shared" si="33"/>
        <v>3593</v>
      </c>
      <c r="DW63">
        <f t="shared" si="33"/>
        <v>3594</v>
      </c>
      <c r="DX63">
        <f t="shared" si="33"/>
        <v>3595</v>
      </c>
      <c r="DY63">
        <f t="shared" si="33"/>
        <v>3596</v>
      </c>
      <c r="DZ63">
        <f t="shared" si="31"/>
        <v>3597</v>
      </c>
      <c r="EA63">
        <f t="shared" si="31"/>
        <v>3598</v>
      </c>
      <c r="EB63">
        <f t="shared" si="31"/>
        <v>3599</v>
      </c>
      <c r="EC63">
        <f t="shared" si="31"/>
        <v>3600</v>
      </c>
      <c r="ED63" t="e">
        <f t="shared" si="31"/>
        <v>#N/A</v>
      </c>
      <c r="EE63" t="e">
        <f t="shared" si="31"/>
        <v>#N/A</v>
      </c>
      <c r="EF63" t="e">
        <f t="shared" si="32"/>
        <v>#N/A</v>
      </c>
      <c r="EG63" t="e">
        <f t="shared" si="32"/>
        <v>#N/A</v>
      </c>
      <c r="EH63" t="e">
        <f t="shared" si="32"/>
        <v>#N/A</v>
      </c>
      <c r="EI63" t="e">
        <f t="shared" si="32"/>
        <v>#N/A</v>
      </c>
      <c r="EJ63" t="e">
        <f t="shared" si="32"/>
        <v>#N/A</v>
      </c>
      <c r="EK63" t="e">
        <f t="shared" si="32"/>
        <v>#N/A</v>
      </c>
      <c r="EL63" t="e">
        <f t="shared" si="32"/>
        <v>#N/A</v>
      </c>
      <c r="EM63" t="e">
        <f t="shared" si="32"/>
        <v>#N/A</v>
      </c>
    </row>
    <row r="64" spans="1:143" x14ac:dyDescent="0.4">
      <c r="A64" t="str">
        <f t="shared" si="16"/>
        <v/>
      </c>
      <c r="B64">
        <v>61</v>
      </c>
      <c r="C64" t="str" cm="1">
        <f t="array" ref="C64">INDEX(auto_Series_Code,B64)</f>
        <v>INDI_030</v>
      </c>
      <c r="D64">
        <f t="shared" si="45"/>
        <v>3601</v>
      </c>
      <c r="E64">
        <f t="shared" si="45"/>
        <v>3602</v>
      </c>
      <c r="F64">
        <f t="shared" si="45"/>
        <v>3603</v>
      </c>
      <c r="G64">
        <f t="shared" si="45"/>
        <v>3604</v>
      </c>
      <c r="H64">
        <f t="shared" si="45"/>
        <v>3605</v>
      </c>
      <c r="I64">
        <f t="shared" si="45"/>
        <v>3606</v>
      </c>
      <c r="J64">
        <f t="shared" si="45"/>
        <v>3607</v>
      </c>
      <c r="K64">
        <f t="shared" si="45"/>
        <v>3608</v>
      </c>
      <c r="L64">
        <f t="shared" si="45"/>
        <v>3609</v>
      </c>
      <c r="M64">
        <f t="shared" si="45"/>
        <v>3610</v>
      </c>
      <c r="N64">
        <f t="shared" si="45"/>
        <v>3611</v>
      </c>
      <c r="O64">
        <f t="shared" si="45"/>
        <v>3612</v>
      </c>
      <c r="P64">
        <f t="shared" si="45"/>
        <v>3613</v>
      </c>
      <c r="Q64">
        <f t="shared" si="45"/>
        <v>3614</v>
      </c>
      <c r="R64">
        <f t="shared" si="45"/>
        <v>3615</v>
      </c>
      <c r="S64">
        <f t="shared" si="45"/>
        <v>3616</v>
      </c>
      <c r="T64">
        <f t="shared" si="37"/>
        <v>3617</v>
      </c>
      <c r="U64">
        <f t="shared" si="37"/>
        <v>3618</v>
      </c>
      <c r="V64">
        <f t="shared" si="37"/>
        <v>3619</v>
      </c>
      <c r="W64">
        <f t="shared" si="37"/>
        <v>3620</v>
      </c>
      <c r="X64">
        <f t="shared" si="37"/>
        <v>3621</v>
      </c>
      <c r="Y64">
        <f t="shared" si="37"/>
        <v>3622</v>
      </c>
      <c r="Z64">
        <f t="shared" si="37"/>
        <v>3623</v>
      </c>
      <c r="AA64">
        <f t="shared" si="37"/>
        <v>3624</v>
      </c>
      <c r="AB64">
        <f t="shared" si="37"/>
        <v>3625</v>
      </c>
      <c r="AC64">
        <f t="shared" si="37"/>
        <v>3626</v>
      </c>
      <c r="AD64">
        <f t="shared" si="37"/>
        <v>3627</v>
      </c>
      <c r="AE64">
        <f t="shared" si="37"/>
        <v>3628</v>
      </c>
      <c r="AF64">
        <f t="shared" si="37"/>
        <v>3629</v>
      </c>
      <c r="AG64">
        <f t="shared" si="37"/>
        <v>3630</v>
      </c>
      <c r="AH64">
        <f t="shared" si="37"/>
        <v>3631</v>
      </c>
      <c r="AI64">
        <f t="shared" si="46"/>
        <v>3632</v>
      </c>
      <c r="AJ64">
        <f t="shared" si="46"/>
        <v>3633</v>
      </c>
      <c r="AK64">
        <f t="shared" si="46"/>
        <v>3634</v>
      </c>
      <c r="AL64">
        <f t="shared" si="46"/>
        <v>3635</v>
      </c>
      <c r="AM64">
        <f t="shared" si="46"/>
        <v>3636</v>
      </c>
      <c r="AN64">
        <f t="shared" si="46"/>
        <v>3637</v>
      </c>
      <c r="AO64">
        <f t="shared" si="46"/>
        <v>3638</v>
      </c>
      <c r="AP64">
        <f t="shared" si="46"/>
        <v>3639</v>
      </c>
      <c r="AQ64">
        <f t="shared" si="46"/>
        <v>3640</v>
      </c>
      <c r="AR64">
        <f t="shared" si="46"/>
        <v>3641</v>
      </c>
      <c r="AS64">
        <f t="shared" si="46"/>
        <v>3642</v>
      </c>
      <c r="AT64">
        <f t="shared" si="46"/>
        <v>3643</v>
      </c>
      <c r="AU64">
        <f t="shared" si="46"/>
        <v>3644</v>
      </c>
      <c r="AV64">
        <f t="shared" si="46"/>
        <v>3645</v>
      </c>
      <c r="AW64">
        <f t="shared" si="46"/>
        <v>3646</v>
      </c>
      <c r="AX64">
        <f t="shared" si="46"/>
        <v>3647</v>
      </c>
      <c r="AY64">
        <f t="shared" si="40"/>
        <v>3648</v>
      </c>
      <c r="AZ64">
        <f t="shared" si="40"/>
        <v>3649</v>
      </c>
      <c r="BA64">
        <f t="shared" si="40"/>
        <v>3650</v>
      </c>
      <c r="BB64" t="e">
        <f t="shared" si="40"/>
        <v>#N/A</v>
      </c>
      <c r="BC64" t="e">
        <f t="shared" si="40"/>
        <v>#N/A</v>
      </c>
      <c r="BD64" t="e">
        <f t="shared" si="40"/>
        <v>#N/A</v>
      </c>
      <c r="BE64" t="e">
        <f t="shared" si="40"/>
        <v>#N/A</v>
      </c>
      <c r="BF64" t="e">
        <f t="shared" si="40"/>
        <v>#N/A</v>
      </c>
      <c r="BG64" t="e">
        <f t="shared" si="40"/>
        <v>#N/A</v>
      </c>
      <c r="BH64" t="e">
        <f t="shared" si="40"/>
        <v>#N/A</v>
      </c>
      <c r="BI64" t="e">
        <f t="shared" si="40"/>
        <v>#N/A</v>
      </c>
      <c r="BJ64" t="e">
        <f t="shared" si="40"/>
        <v>#N/A</v>
      </c>
      <c r="BK64" t="e">
        <f t="shared" si="40"/>
        <v>#N/A</v>
      </c>
      <c r="BL64" t="e">
        <f t="shared" si="40"/>
        <v>#N/A</v>
      </c>
      <c r="BM64" t="e">
        <f t="shared" si="47"/>
        <v>#N/A</v>
      </c>
      <c r="BN64" t="e">
        <f t="shared" si="47"/>
        <v>#N/A</v>
      </c>
      <c r="BO64" t="e">
        <f t="shared" si="47"/>
        <v>#N/A</v>
      </c>
      <c r="BP64" t="e">
        <f t="shared" si="47"/>
        <v>#N/A</v>
      </c>
      <c r="BQ64" t="e">
        <f t="shared" si="47"/>
        <v>#N/A</v>
      </c>
      <c r="BR64" t="e">
        <f t="shared" si="47"/>
        <v>#N/A</v>
      </c>
      <c r="BS64" t="e">
        <f t="shared" si="47"/>
        <v>#N/A</v>
      </c>
      <c r="BT64" t="e">
        <f t="shared" si="47"/>
        <v>#N/A</v>
      </c>
      <c r="BU64" t="e">
        <f t="shared" si="47"/>
        <v>#N/A</v>
      </c>
      <c r="BV64" t="e">
        <f t="shared" si="47"/>
        <v>#N/A</v>
      </c>
      <c r="BW64" t="e">
        <f t="shared" si="47"/>
        <v>#N/A</v>
      </c>
      <c r="BX64" t="e">
        <f t="shared" si="47"/>
        <v>#N/A</v>
      </c>
      <c r="BY64" t="e">
        <f t="shared" si="47"/>
        <v>#N/A</v>
      </c>
      <c r="BZ64" t="e">
        <f t="shared" si="47"/>
        <v>#N/A</v>
      </c>
      <c r="CA64" t="e">
        <f t="shared" si="47"/>
        <v>#N/A</v>
      </c>
      <c r="CB64" t="e">
        <f t="shared" si="47"/>
        <v>#N/A</v>
      </c>
      <c r="CC64" t="e">
        <f t="shared" si="43"/>
        <v>#N/A</v>
      </c>
      <c r="CD64" t="e">
        <f t="shared" si="43"/>
        <v>#N/A</v>
      </c>
      <c r="CE64" t="e">
        <f t="shared" si="43"/>
        <v>#N/A</v>
      </c>
      <c r="CF64" t="e">
        <f t="shared" si="43"/>
        <v>#N/A</v>
      </c>
      <c r="CG64" t="e">
        <f t="shared" si="43"/>
        <v>#N/A</v>
      </c>
      <c r="CH64" t="e">
        <f t="shared" si="43"/>
        <v>#N/A</v>
      </c>
      <c r="CI64" t="e">
        <f t="shared" si="43"/>
        <v>#N/A</v>
      </c>
      <c r="CJ64" t="e">
        <f t="shared" si="43"/>
        <v>#N/A</v>
      </c>
      <c r="CK64" t="e">
        <f t="shared" si="43"/>
        <v>#N/A</v>
      </c>
      <c r="CL64" t="e">
        <f t="shared" si="43"/>
        <v>#N/A</v>
      </c>
      <c r="CM64" t="e">
        <f t="shared" si="43"/>
        <v>#N/A</v>
      </c>
      <c r="CN64" t="e">
        <f t="shared" si="43"/>
        <v>#N/A</v>
      </c>
      <c r="CO64" t="e">
        <f t="shared" si="43"/>
        <v>#N/A</v>
      </c>
      <c r="CP64" t="e">
        <f t="shared" si="44"/>
        <v>#N/A</v>
      </c>
      <c r="CQ64" t="e">
        <f t="shared" si="44"/>
        <v>#N/A</v>
      </c>
      <c r="CR64" t="e">
        <f t="shared" si="44"/>
        <v>#N/A</v>
      </c>
      <c r="CS64" t="e">
        <f t="shared" si="44"/>
        <v>#N/A</v>
      </c>
      <c r="CT64" t="e">
        <f t="shared" si="44"/>
        <v>#N/A</v>
      </c>
      <c r="CU64" t="e">
        <f t="shared" si="44"/>
        <v>#N/A</v>
      </c>
      <c r="CV64" t="e">
        <f t="shared" si="44"/>
        <v>#N/A</v>
      </c>
      <c r="CW64" t="e">
        <f t="shared" si="44"/>
        <v>#N/A</v>
      </c>
      <c r="CX64" t="e">
        <f t="shared" si="44"/>
        <v>#N/A</v>
      </c>
      <c r="CY64" t="e">
        <f t="shared" si="44"/>
        <v>#N/A</v>
      </c>
      <c r="CZ64" t="e">
        <f t="shared" si="35"/>
        <v>#N/A</v>
      </c>
      <c r="DA64" t="e">
        <f t="shared" si="35"/>
        <v>#N/A</v>
      </c>
      <c r="DB64" t="e">
        <f t="shared" si="35"/>
        <v>#N/A</v>
      </c>
      <c r="DC64" t="e">
        <f t="shared" si="35"/>
        <v>#N/A</v>
      </c>
      <c r="DD64" t="e">
        <f t="shared" si="35"/>
        <v>#N/A</v>
      </c>
      <c r="DE64" t="e">
        <f t="shared" si="35"/>
        <v>#N/A</v>
      </c>
      <c r="DF64" t="e">
        <f t="shared" si="35"/>
        <v>#N/A</v>
      </c>
      <c r="DG64" t="e">
        <f t="shared" si="35"/>
        <v>#N/A</v>
      </c>
      <c r="DH64" t="e">
        <f t="shared" si="35"/>
        <v>#N/A</v>
      </c>
      <c r="DI64" t="e">
        <f t="shared" si="34"/>
        <v>#N/A</v>
      </c>
      <c r="DJ64" t="e">
        <f t="shared" si="34"/>
        <v>#N/A</v>
      </c>
      <c r="DK64" t="e">
        <f t="shared" si="34"/>
        <v>#N/A</v>
      </c>
      <c r="DL64" t="e">
        <f t="shared" si="34"/>
        <v>#N/A</v>
      </c>
      <c r="DM64" t="e">
        <f t="shared" si="34"/>
        <v>#N/A</v>
      </c>
      <c r="DN64" t="e">
        <f t="shared" si="34"/>
        <v>#N/A</v>
      </c>
      <c r="DO64" t="e">
        <f t="shared" si="34"/>
        <v>#N/A</v>
      </c>
      <c r="DP64" t="e">
        <f t="shared" si="34"/>
        <v>#N/A</v>
      </c>
      <c r="DQ64" t="e">
        <f t="shared" si="34"/>
        <v>#N/A</v>
      </c>
      <c r="DR64" t="e">
        <f t="shared" si="34"/>
        <v>#N/A</v>
      </c>
      <c r="DS64" t="e">
        <f t="shared" si="34"/>
        <v>#N/A</v>
      </c>
      <c r="DT64">
        <f t="shared" si="34"/>
        <v>3651</v>
      </c>
      <c r="DU64">
        <f t="shared" si="34"/>
        <v>3652</v>
      </c>
      <c r="DV64">
        <f t="shared" si="33"/>
        <v>3653</v>
      </c>
      <c r="DW64">
        <f t="shared" si="33"/>
        <v>3654</v>
      </c>
      <c r="DX64">
        <f t="shared" si="33"/>
        <v>3655</v>
      </c>
      <c r="DY64">
        <f t="shared" si="33"/>
        <v>3656</v>
      </c>
      <c r="DZ64">
        <f t="shared" si="31"/>
        <v>3657</v>
      </c>
      <c r="EA64">
        <f t="shared" si="31"/>
        <v>3658</v>
      </c>
      <c r="EB64">
        <f t="shared" si="31"/>
        <v>3659</v>
      </c>
      <c r="EC64">
        <f t="shared" si="31"/>
        <v>3660</v>
      </c>
      <c r="ED64" t="e">
        <f t="shared" si="31"/>
        <v>#N/A</v>
      </c>
      <c r="EE64" t="e">
        <f t="shared" si="31"/>
        <v>#N/A</v>
      </c>
      <c r="EF64" t="e">
        <f t="shared" si="32"/>
        <v>#N/A</v>
      </c>
      <c r="EG64" t="e">
        <f t="shared" si="32"/>
        <v>#N/A</v>
      </c>
      <c r="EH64" t="e">
        <f t="shared" si="32"/>
        <v>#N/A</v>
      </c>
      <c r="EI64" t="e">
        <f t="shared" si="32"/>
        <v>#N/A</v>
      </c>
      <c r="EJ64" t="e">
        <f t="shared" si="32"/>
        <v>#N/A</v>
      </c>
      <c r="EK64" t="e">
        <f t="shared" si="32"/>
        <v>#N/A</v>
      </c>
      <c r="EL64" t="e">
        <f t="shared" si="32"/>
        <v>#N/A</v>
      </c>
      <c r="EM64" t="e">
        <f t="shared" si="32"/>
        <v>#N/A</v>
      </c>
    </row>
    <row r="65" spans="1:143" x14ac:dyDescent="0.4">
      <c r="A65" t="str">
        <f t="shared" si="16"/>
        <v/>
      </c>
      <c r="B65">
        <v>62</v>
      </c>
      <c r="C65" t="str" cm="1">
        <f t="array" ref="C65">INDEX(auto_Series_Code,B65)</f>
        <v>INDI_031</v>
      </c>
      <c r="D65">
        <f t="shared" si="45"/>
        <v>3661</v>
      </c>
      <c r="E65">
        <f t="shared" si="45"/>
        <v>3662</v>
      </c>
      <c r="F65">
        <f t="shared" si="45"/>
        <v>3663</v>
      </c>
      <c r="G65">
        <f t="shared" si="45"/>
        <v>3664</v>
      </c>
      <c r="H65">
        <f t="shared" si="45"/>
        <v>3665</v>
      </c>
      <c r="I65">
        <f t="shared" si="45"/>
        <v>3666</v>
      </c>
      <c r="J65">
        <f t="shared" si="45"/>
        <v>3667</v>
      </c>
      <c r="K65">
        <f t="shared" si="45"/>
        <v>3668</v>
      </c>
      <c r="L65">
        <f t="shared" si="45"/>
        <v>3669</v>
      </c>
      <c r="M65">
        <f t="shared" si="45"/>
        <v>3670</v>
      </c>
      <c r="N65">
        <f t="shared" si="45"/>
        <v>3671</v>
      </c>
      <c r="O65">
        <f t="shared" si="45"/>
        <v>3672</v>
      </c>
      <c r="P65">
        <f t="shared" si="45"/>
        <v>3673</v>
      </c>
      <c r="Q65">
        <f t="shared" si="45"/>
        <v>3674</v>
      </c>
      <c r="R65">
        <f t="shared" si="45"/>
        <v>3675</v>
      </c>
      <c r="S65">
        <f t="shared" si="45"/>
        <v>3676</v>
      </c>
      <c r="T65">
        <f t="shared" si="37"/>
        <v>3677</v>
      </c>
      <c r="U65">
        <f t="shared" si="37"/>
        <v>3678</v>
      </c>
      <c r="V65">
        <f t="shared" si="37"/>
        <v>3679</v>
      </c>
      <c r="W65">
        <f t="shared" si="37"/>
        <v>3680</v>
      </c>
      <c r="X65">
        <f t="shared" si="37"/>
        <v>3681</v>
      </c>
      <c r="Y65">
        <f t="shared" si="37"/>
        <v>3682</v>
      </c>
      <c r="Z65">
        <f t="shared" si="37"/>
        <v>3683</v>
      </c>
      <c r="AA65">
        <f t="shared" si="37"/>
        <v>3684</v>
      </c>
      <c r="AB65">
        <f t="shared" si="37"/>
        <v>3685</v>
      </c>
      <c r="AC65">
        <f t="shared" si="37"/>
        <v>3686</v>
      </c>
      <c r="AD65">
        <f t="shared" si="37"/>
        <v>3687</v>
      </c>
      <c r="AE65">
        <f t="shared" si="37"/>
        <v>3688</v>
      </c>
      <c r="AF65">
        <f t="shared" si="37"/>
        <v>3689</v>
      </c>
      <c r="AG65">
        <f t="shared" si="37"/>
        <v>3690</v>
      </c>
      <c r="AH65">
        <f t="shared" si="37"/>
        <v>3691</v>
      </c>
      <c r="AI65">
        <f t="shared" si="46"/>
        <v>3692</v>
      </c>
      <c r="AJ65">
        <f t="shared" si="46"/>
        <v>3693</v>
      </c>
      <c r="AK65">
        <f t="shared" si="46"/>
        <v>3694</v>
      </c>
      <c r="AL65">
        <f t="shared" si="46"/>
        <v>3695</v>
      </c>
      <c r="AM65">
        <f t="shared" si="46"/>
        <v>3696</v>
      </c>
      <c r="AN65">
        <f t="shared" si="46"/>
        <v>3697</v>
      </c>
      <c r="AO65">
        <f t="shared" si="46"/>
        <v>3698</v>
      </c>
      <c r="AP65">
        <f t="shared" si="46"/>
        <v>3699</v>
      </c>
      <c r="AQ65">
        <f t="shared" si="46"/>
        <v>3700</v>
      </c>
      <c r="AR65">
        <f t="shared" si="46"/>
        <v>3701</v>
      </c>
      <c r="AS65">
        <f t="shared" si="46"/>
        <v>3702</v>
      </c>
      <c r="AT65">
        <f t="shared" si="46"/>
        <v>3703</v>
      </c>
      <c r="AU65">
        <f t="shared" si="46"/>
        <v>3704</v>
      </c>
      <c r="AV65">
        <f t="shared" si="46"/>
        <v>3705</v>
      </c>
      <c r="AW65">
        <f t="shared" si="46"/>
        <v>3706</v>
      </c>
      <c r="AX65">
        <f t="shared" si="46"/>
        <v>3707</v>
      </c>
      <c r="AY65">
        <f t="shared" si="40"/>
        <v>3708</v>
      </c>
      <c r="AZ65">
        <f t="shared" si="40"/>
        <v>3709</v>
      </c>
      <c r="BA65">
        <f t="shared" si="40"/>
        <v>3710</v>
      </c>
      <c r="BB65" t="e">
        <f t="shared" si="40"/>
        <v>#N/A</v>
      </c>
      <c r="BC65" t="e">
        <f t="shared" si="40"/>
        <v>#N/A</v>
      </c>
      <c r="BD65" t="e">
        <f t="shared" si="40"/>
        <v>#N/A</v>
      </c>
      <c r="BE65" t="e">
        <f t="shared" si="40"/>
        <v>#N/A</v>
      </c>
      <c r="BF65" t="e">
        <f t="shared" si="40"/>
        <v>#N/A</v>
      </c>
      <c r="BG65" t="e">
        <f t="shared" si="40"/>
        <v>#N/A</v>
      </c>
      <c r="BH65" t="e">
        <f t="shared" si="40"/>
        <v>#N/A</v>
      </c>
      <c r="BI65" t="e">
        <f t="shared" si="40"/>
        <v>#N/A</v>
      </c>
      <c r="BJ65" t="e">
        <f t="shared" si="40"/>
        <v>#N/A</v>
      </c>
      <c r="BK65" t="e">
        <f t="shared" si="40"/>
        <v>#N/A</v>
      </c>
      <c r="BL65" t="e">
        <f t="shared" si="40"/>
        <v>#N/A</v>
      </c>
      <c r="BM65" t="e">
        <f t="shared" si="47"/>
        <v>#N/A</v>
      </c>
      <c r="BN65" t="e">
        <f t="shared" si="47"/>
        <v>#N/A</v>
      </c>
      <c r="BO65" t="e">
        <f t="shared" si="47"/>
        <v>#N/A</v>
      </c>
      <c r="BP65" t="e">
        <f t="shared" si="47"/>
        <v>#N/A</v>
      </c>
      <c r="BQ65" t="e">
        <f t="shared" si="47"/>
        <v>#N/A</v>
      </c>
      <c r="BR65" t="e">
        <f t="shared" si="47"/>
        <v>#N/A</v>
      </c>
      <c r="BS65" t="e">
        <f t="shared" si="47"/>
        <v>#N/A</v>
      </c>
      <c r="BT65" t="e">
        <f t="shared" si="47"/>
        <v>#N/A</v>
      </c>
      <c r="BU65" t="e">
        <f t="shared" si="47"/>
        <v>#N/A</v>
      </c>
      <c r="BV65" t="e">
        <f t="shared" si="47"/>
        <v>#N/A</v>
      </c>
      <c r="BW65" t="e">
        <f t="shared" si="47"/>
        <v>#N/A</v>
      </c>
      <c r="BX65" t="e">
        <f t="shared" si="47"/>
        <v>#N/A</v>
      </c>
      <c r="BY65" t="e">
        <f t="shared" si="47"/>
        <v>#N/A</v>
      </c>
      <c r="BZ65" t="e">
        <f t="shared" si="47"/>
        <v>#N/A</v>
      </c>
      <c r="CA65" t="e">
        <f t="shared" si="47"/>
        <v>#N/A</v>
      </c>
      <c r="CB65" t="e">
        <f t="shared" si="47"/>
        <v>#N/A</v>
      </c>
      <c r="CC65" t="e">
        <f t="shared" si="43"/>
        <v>#N/A</v>
      </c>
      <c r="CD65" t="e">
        <f t="shared" si="43"/>
        <v>#N/A</v>
      </c>
      <c r="CE65" t="e">
        <f t="shared" si="43"/>
        <v>#N/A</v>
      </c>
      <c r="CF65" t="e">
        <f t="shared" si="43"/>
        <v>#N/A</v>
      </c>
      <c r="CG65" t="e">
        <f t="shared" si="43"/>
        <v>#N/A</v>
      </c>
      <c r="CH65" t="e">
        <f t="shared" si="43"/>
        <v>#N/A</v>
      </c>
      <c r="CI65" t="e">
        <f t="shared" si="43"/>
        <v>#N/A</v>
      </c>
      <c r="CJ65" t="e">
        <f t="shared" si="43"/>
        <v>#N/A</v>
      </c>
      <c r="CK65" t="e">
        <f t="shared" si="43"/>
        <v>#N/A</v>
      </c>
      <c r="CL65" t="e">
        <f t="shared" si="43"/>
        <v>#N/A</v>
      </c>
      <c r="CM65" t="e">
        <f t="shared" si="43"/>
        <v>#N/A</v>
      </c>
      <c r="CN65" t="e">
        <f t="shared" si="43"/>
        <v>#N/A</v>
      </c>
      <c r="CO65" t="e">
        <f t="shared" si="43"/>
        <v>#N/A</v>
      </c>
      <c r="CP65" t="e">
        <f t="shared" si="44"/>
        <v>#N/A</v>
      </c>
      <c r="CQ65" t="e">
        <f t="shared" si="44"/>
        <v>#N/A</v>
      </c>
      <c r="CR65" t="e">
        <f t="shared" si="44"/>
        <v>#N/A</v>
      </c>
      <c r="CS65" t="e">
        <f t="shared" si="44"/>
        <v>#N/A</v>
      </c>
      <c r="CT65" t="e">
        <f t="shared" si="44"/>
        <v>#N/A</v>
      </c>
      <c r="CU65" t="e">
        <f t="shared" si="44"/>
        <v>#N/A</v>
      </c>
      <c r="CV65" t="e">
        <f t="shared" si="44"/>
        <v>#N/A</v>
      </c>
      <c r="CW65" t="e">
        <f t="shared" si="44"/>
        <v>#N/A</v>
      </c>
      <c r="CX65" t="e">
        <f t="shared" si="44"/>
        <v>#N/A</v>
      </c>
      <c r="CY65" t="e">
        <f t="shared" si="44"/>
        <v>#N/A</v>
      </c>
      <c r="CZ65" t="e">
        <f t="shared" si="35"/>
        <v>#N/A</v>
      </c>
      <c r="DA65" t="e">
        <f t="shared" si="35"/>
        <v>#N/A</v>
      </c>
      <c r="DB65" t="e">
        <f t="shared" si="35"/>
        <v>#N/A</v>
      </c>
      <c r="DC65" t="e">
        <f t="shared" si="35"/>
        <v>#N/A</v>
      </c>
      <c r="DD65" t="e">
        <f t="shared" si="35"/>
        <v>#N/A</v>
      </c>
      <c r="DE65" t="e">
        <f t="shared" si="35"/>
        <v>#N/A</v>
      </c>
      <c r="DF65" t="e">
        <f t="shared" si="35"/>
        <v>#N/A</v>
      </c>
      <c r="DG65" t="e">
        <f t="shared" si="35"/>
        <v>#N/A</v>
      </c>
      <c r="DH65" t="e">
        <f t="shared" si="35"/>
        <v>#N/A</v>
      </c>
      <c r="DI65" t="e">
        <f t="shared" si="34"/>
        <v>#N/A</v>
      </c>
      <c r="DJ65" t="e">
        <f t="shared" si="34"/>
        <v>#N/A</v>
      </c>
      <c r="DK65" t="e">
        <f t="shared" si="34"/>
        <v>#N/A</v>
      </c>
      <c r="DL65" t="e">
        <f t="shared" si="34"/>
        <v>#N/A</v>
      </c>
      <c r="DM65" t="e">
        <f t="shared" si="34"/>
        <v>#N/A</v>
      </c>
      <c r="DN65" t="e">
        <f t="shared" si="34"/>
        <v>#N/A</v>
      </c>
      <c r="DO65" t="e">
        <f t="shared" si="34"/>
        <v>#N/A</v>
      </c>
      <c r="DP65" t="e">
        <f t="shared" si="34"/>
        <v>#N/A</v>
      </c>
      <c r="DQ65" t="e">
        <f t="shared" si="34"/>
        <v>#N/A</v>
      </c>
      <c r="DR65" t="e">
        <f t="shared" si="34"/>
        <v>#N/A</v>
      </c>
      <c r="DS65" t="e">
        <f t="shared" si="34"/>
        <v>#N/A</v>
      </c>
      <c r="DT65">
        <f t="shared" si="34"/>
        <v>3711</v>
      </c>
      <c r="DU65">
        <f t="shared" si="34"/>
        <v>3712</v>
      </c>
      <c r="DV65">
        <f t="shared" si="33"/>
        <v>3713</v>
      </c>
      <c r="DW65">
        <f t="shared" si="33"/>
        <v>3714</v>
      </c>
      <c r="DX65">
        <f t="shared" si="33"/>
        <v>3715</v>
      </c>
      <c r="DY65">
        <f t="shared" si="33"/>
        <v>3716</v>
      </c>
      <c r="DZ65">
        <f t="shared" si="31"/>
        <v>3717</v>
      </c>
      <c r="EA65">
        <f t="shared" si="31"/>
        <v>3718</v>
      </c>
      <c r="EB65">
        <f t="shared" si="31"/>
        <v>3719</v>
      </c>
      <c r="EC65">
        <f t="shared" si="31"/>
        <v>3720</v>
      </c>
      <c r="ED65" t="e">
        <f t="shared" si="31"/>
        <v>#N/A</v>
      </c>
      <c r="EE65" t="e">
        <f t="shared" si="31"/>
        <v>#N/A</v>
      </c>
      <c r="EF65" t="e">
        <f t="shared" si="32"/>
        <v>#N/A</v>
      </c>
      <c r="EG65" t="e">
        <f t="shared" si="32"/>
        <v>#N/A</v>
      </c>
      <c r="EH65" t="e">
        <f t="shared" si="32"/>
        <v>#N/A</v>
      </c>
      <c r="EI65" t="e">
        <f t="shared" si="32"/>
        <v>#N/A</v>
      </c>
      <c r="EJ65" t="e">
        <f t="shared" si="32"/>
        <v>#N/A</v>
      </c>
      <c r="EK65" t="e">
        <f t="shared" si="32"/>
        <v>#N/A</v>
      </c>
      <c r="EL65" t="e">
        <f t="shared" si="32"/>
        <v>#N/A</v>
      </c>
      <c r="EM65" t="e">
        <f t="shared" si="32"/>
        <v>#N/A</v>
      </c>
    </row>
    <row r="66" spans="1:143" x14ac:dyDescent="0.4">
      <c r="A66" t="str">
        <f t="shared" si="16"/>
        <v/>
      </c>
      <c r="B66">
        <v>63</v>
      </c>
      <c r="C66" t="str" cm="1">
        <f t="array" ref="C66">INDEX(auto_Series_Code,B66)</f>
        <v>INDI_032</v>
      </c>
      <c r="D66">
        <f t="shared" si="45"/>
        <v>3721</v>
      </c>
      <c r="E66">
        <f t="shared" si="45"/>
        <v>3722</v>
      </c>
      <c r="F66">
        <f t="shared" si="45"/>
        <v>3723</v>
      </c>
      <c r="G66">
        <f t="shared" si="45"/>
        <v>3724</v>
      </c>
      <c r="H66">
        <f t="shared" si="45"/>
        <v>3725</v>
      </c>
      <c r="I66">
        <f t="shared" si="45"/>
        <v>3726</v>
      </c>
      <c r="J66">
        <f t="shared" si="45"/>
        <v>3727</v>
      </c>
      <c r="K66">
        <f t="shared" si="45"/>
        <v>3728</v>
      </c>
      <c r="L66">
        <f t="shared" si="45"/>
        <v>3729</v>
      </c>
      <c r="M66">
        <f t="shared" si="45"/>
        <v>3730</v>
      </c>
      <c r="N66">
        <f t="shared" si="45"/>
        <v>3731</v>
      </c>
      <c r="O66">
        <f t="shared" si="45"/>
        <v>3732</v>
      </c>
      <c r="P66">
        <f t="shared" si="45"/>
        <v>3733</v>
      </c>
      <c r="Q66">
        <f t="shared" si="45"/>
        <v>3734</v>
      </c>
      <c r="R66">
        <f t="shared" si="45"/>
        <v>3735</v>
      </c>
      <c r="S66">
        <f t="shared" si="45"/>
        <v>3736</v>
      </c>
      <c r="T66">
        <f t="shared" si="37"/>
        <v>3737</v>
      </c>
      <c r="U66">
        <f t="shared" si="37"/>
        <v>3738</v>
      </c>
      <c r="V66">
        <f t="shared" si="37"/>
        <v>3739</v>
      </c>
      <c r="W66">
        <f t="shared" si="37"/>
        <v>3740</v>
      </c>
      <c r="X66">
        <f t="shared" si="37"/>
        <v>3741</v>
      </c>
      <c r="Y66">
        <f t="shared" si="37"/>
        <v>3742</v>
      </c>
      <c r="Z66">
        <f t="shared" si="37"/>
        <v>3743</v>
      </c>
      <c r="AA66">
        <f t="shared" si="37"/>
        <v>3744</v>
      </c>
      <c r="AB66">
        <f t="shared" si="37"/>
        <v>3745</v>
      </c>
      <c r="AC66">
        <f t="shared" si="37"/>
        <v>3746</v>
      </c>
      <c r="AD66">
        <f t="shared" si="37"/>
        <v>3747</v>
      </c>
      <c r="AE66">
        <f t="shared" si="37"/>
        <v>3748</v>
      </c>
      <c r="AF66">
        <f t="shared" si="37"/>
        <v>3749</v>
      </c>
      <c r="AG66">
        <f t="shared" si="37"/>
        <v>3750</v>
      </c>
      <c r="AH66">
        <f t="shared" si="37"/>
        <v>3751</v>
      </c>
      <c r="AI66">
        <f t="shared" si="46"/>
        <v>3752</v>
      </c>
      <c r="AJ66">
        <f t="shared" si="46"/>
        <v>3753</v>
      </c>
      <c r="AK66">
        <f t="shared" si="46"/>
        <v>3754</v>
      </c>
      <c r="AL66">
        <f t="shared" si="46"/>
        <v>3755</v>
      </c>
      <c r="AM66">
        <f t="shared" si="46"/>
        <v>3756</v>
      </c>
      <c r="AN66">
        <f t="shared" si="46"/>
        <v>3757</v>
      </c>
      <c r="AO66">
        <f t="shared" si="46"/>
        <v>3758</v>
      </c>
      <c r="AP66">
        <f t="shared" si="46"/>
        <v>3759</v>
      </c>
      <c r="AQ66">
        <f t="shared" si="46"/>
        <v>3760</v>
      </c>
      <c r="AR66">
        <f t="shared" si="46"/>
        <v>3761</v>
      </c>
      <c r="AS66">
        <f t="shared" si="46"/>
        <v>3762</v>
      </c>
      <c r="AT66">
        <f t="shared" si="46"/>
        <v>3763</v>
      </c>
      <c r="AU66">
        <f t="shared" si="46"/>
        <v>3764</v>
      </c>
      <c r="AV66">
        <f t="shared" si="46"/>
        <v>3765</v>
      </c>
      <c r="AW66">
        <f t="shared" si="46"/>
        <v>3766</v>
      </c>
      <c r="AX66">
        <f t="shared" si="46"/>
        <v>3767</v>
      </c>
      <c r="AY66">
        <f t="shared" si="40"/>
        <v>3768</v>
      </c>
      <c r="AZ66">
        <f t="shared" si="40"/>
        <v>3769</v>
      </c>
      <c r="BA66">
        <f t="shared" si="40"/>
        <v>3770</v>
      </c>
      <c r="BB66" t="e">
        <f t="shared" si="40"/>
        <v>#N/A</v>
      </c>
      <c r="BC66" t="e">
        <f t="shared" si="40"/>
        <v>#N/A</v>
      </c>
      <c r="BD66" t="e">
        <f t="shared" si="40"/>
        <v>#N/A</v>
      </c>
      <c r="BE66" t="e">
        <f t="shared" si="40"/>
        <v>#N/A</v>
      </c>
      <c r="BF66" t="e">
        <f t="shared" si="40"/>
        <v>#N/A</v>
      </c>
      <c r="BG66" t="e">
        <f t="shared" si="40"/>
        <v>#N/A</v>
      </c>
      <c r="BH66" t="e">
        <f t="shared" si="40"/>
        <v>#N/A</v>
      </c>
      <c r="BI66" t="e">
        <f t="shared" si="40"/>
        <v>#N/A</v>
      </c>
      <c r="BJ66" t="e">
        <f t="shared" si="40"/>
        <v>#N/A</v>
      </c>
      <c r="BK66" t="e">
        <f t="shared" si="40"/>
        <v>#N/A</v>
      </c>
      <c r="BL66" t="e">
        <f t="shared" si="40"/>
        <v>#N/A</v>
      </c>
      <c r="BM66" t="e">
        <f t="shared" si="47"/>
        <v>#N/A</v>
      </c>
      <c r="BN66" t="e">
        <f t="shared" si="47"/>
        <v>#N/A</v>
      </c>
      <c r="BO66" t="e">
        <f t="shared" si="47"/>
        <v>#N/A</v>
      </c>
      <c r="BP66" t="e">
        <f t="shared" si="47"/>
        <v>#N/A</v>
      </c>
      <c r="BQ66" t="e">
        <f t="shared" si="47"/>
        <v>#N/A</v>
      </c>
      <c r="BR66" t="e">
        <f t="shared" si="47"/>
        <v>#N/A</v>
      </c>
      <c r="BS66" t="e">
        <f t="shared" si="47"/>
        <v>#N/A</v>
      </c>
      <c r="BT66" t="e">
        <f t="shared" si="47"/>
        <v>#N/A</v>
      </c>
      <c r="BU66" t="e">
        <f t="shared" si="47"/>
        <v>#N/A</v>
      </c>
      <c r="BV66" t="e">
        <f t="shared" si="47"/>
        <v>#N/A</v>
      </c>
      <c r="BW66" t="e">
        <f t="shared" si="47"/>
        <v>#N/A</v>
      </c>
      <c r="BX66" t="e">
        <f t="shared" si="47"/>
        <v>#N/A</v>
      </c>
      <c r="BY66" t="e">
        <f t="shared" si="47"/>
        <v>#N/A</v>
      </c>
      <c r="BZ66" t="e">
        <f t="shared" si="47"/>
        <v>#N/A</v>
      </c>
      <c r="CA66" t="e">
        <f t="shared" si="47"/>
        <v>#N/A</v>
      </c>
      <c r="CB66" t="e">
        <f t="shared" si="47"/>
        <v>#N/A</v>
      </c>
      <c r="CC66" t="e">
        <f t="shared" si="43"/>
        <v>#N/A</v>
      </c>
      <c r="CD66" t="e">
        <f t="shared" si="43"/>
        <v>#N/A</v>
      </c>
      <c r="CE66" t="e">
        <f t="shared" si="43"/>
        <v>#N/A</v>
      </c>
      <c r="CF66" t="e">
        <f t="shared" si="43"/>
        <v>#N/A</v>
      </c>
      <c r="CG66" t="e">
        <f t="shared" si="43"/>
        <v>#N/A</v>
      </c>
      <c r="CH66" t="e">
        <f t="shared" si="43"/>
        <v>#N/A</v>
      </c>
      <c r="CI66" t="e">
        <f t="shared" si="43"/>
        <v>#N/A</v>
      </c>
      <c r="CJ66" t="e">
        <f t="shared" si="43"/>
        <v>#N/A</v>
      </c>
      <c r="CK66" t="e">
        <f t="shared" si="43"/>
        <v>#N/A</v>
      </c>
      <c r="CL66" t="e">
        <f t="shared" si="43"/>
        <v>#N/A</v>
      </c>
      <c r="CM66" t="e">
        <f t="shared" si="43"/>
        <v>#N/A</v>
      </c>
      <c r="CN66" t="e">
        <f t="shared" si="43"/>
        <v>#N/A</v>
      </c>
      <c r="CO66" t="e">
        <f t="shared" si="43"/>
        <v>#N/A</v>
      </c>
      <c r="CP66" t="e">
        <f t="shared" si="44"/>
        <v>#N/A</v>
      </c>
      <c r="CQ66" t="e">
        <f t="shared" si="44"/>
        <v>#N/A</v>
      </c>
      <c r="CR66" t="e">
        <f t="shared" si="44"/>
        <v>#N/A</v>
      </c>
      <c r="CS66" t="e">
        <f t="shared" si="44"/>
        <v>#N/A</v>
      </c>
      <c r="CT66" t="e">
        <f t="shared" si="44"/>
        <v>#N/A</v>
      </c>
      <c r="CU66" t="e">
        <f t="shared" si="44"/>
        <v>#N/A</v>
      </c>
      <c r="CV66" t="e">
        <f t="shared" si="44"/>
        <v>#N/A</v>
      </c>
      <c r="CW66" t="e">
        <f t="shared" si="44"/>
        <v>#N/A</v>
      </c>
      <c r="CX66" t="e">
        <f t="shared" si="44"/>
        <v>#N/A</v>
      </c>
      <c r="CY66" t="e">
        <f t="shared" si="44"/>
        <v>#N/A</v>
      </c>
      <c r="CZ66" t="e">
        <f t="shared" si="35"/>
        <v>#N/A</v>
      </c>
      <c r="DA66" t="e">
        <f t="shared" si="35"/>
        <v>#N/A</v>
      </c>
      <c r="DB66" t="e">
        <f t="shared" si="35"/>
        <v>#N/A</v>
      </c>
      <c r="DC66" t="e">
        <f t="shared" si="35"/>
        <v>#N/A</v>
      </c>
      <c r="DD66" t="e">
        <f t="shared" si="35"/>
        <v>#N/A</v>
      </c>
      <c r="DE66" t="e">
        <f t="shared" si="35"/>
        <v>#N/A</v>
      </c>
      <c r="DF66" t="e">
        <f t="shared" si="35"/>
        <v>#N/A</v>
      </c>
      <c r="DG66" t="e">
        <f t="shared" si="35"/>
        <v>#N/A</v>
      </c>
      <c r="DH66" t="e">
        <f t="shared" si="35"/>
        <v>#N/A</v>
      </c>
      <c r="DI66" t="e">
        <f t="shared" si="34"/>
        <v>#N/A</v>
      </c>
      <c r="DJ66" t="e">
        <f t="shared" si="34"/>
        <v>#N/A</v>
      </c>
      <c r="DK66" t="e">
        <f t="shared" si="34"/>
        <v>#N/A</v>
      </c>
      <c r="DL66" t="e">
        <f t="shared" si="34"/>
        <v>#N/A</v>
      </c>
      <c r="DM66" t="e">
        <f t="shared" si="34"/>
        <v>#N/A</v>
      </c>
      <c r="DN66" t="e">
        <f t="shared" si="34"/>
        <v>#N/A</v>
      </c>
      <c r="DO66" t="e">
        <f t="shared" si="34"/>
        <v>#N/A</v>
      </c>
      <c r="DP66" t="e">
        <f t="shared" si="34"/>
        <v>#N/A</v>
      </c>
      <c r="DQ66" t="e">
        <f t="shared" si="34"/>
        <v>#N/A</v>
      </c>
      <c r="DR66" t="e">
        <f t="shared" ref="DR66:EG96" si="48">MATCH(CONCATENATE(DR$3,"_",$C66),auto_DataFlat_UID,0)</f>
        <v>#N/A</v>
      </c>
      <c r="DS66" t="e">
        <f t="shared" si="48"/>
        <v>#N/A</v>
      </c>
      <c r="DT66">
        <f t="shared" si="48"/>
        <v>3771</v>
      </c>
      <c r="DU66">
        <f t="shared" si="48"/>
        <v>3772</v>
      </c>
      <c r="DV66">
        <f t="shared" si="48"/>
        <v>3773</v>
      </c>
      <c r="DW66">
        <f t="shared" si="48"/>
        <v>3774</v>
      </c>
      <c r="DX66">
        <f t="shared" si="48"/>
        <v>3775</v>
      </c>
      <c r="DY66">
        <f t="shared" si="48"/>
        <v>3776</v>
      </c>
      <c r="DZ66">
        <f t="shared" si="31"/>
        <v>3777</v>
      </c>
      <c r="EA66">
        <f t="shared" si="31"/>
        <v>3778</v>
      </c>
      <c r="EB66">
        <f t="shared" si="31"/>
        <v>3779</v>
      </c>
      <c r="EC66">
        <f t="shared" si="31"/>
        <v>3780</v>
      </c>
      <c r="ED66" t="e">
        <f t="shared" si="31"/>
        <v>#N/A</v>
      </c>
      <c r="EE66" t="e">
        <f t="shared" si="31"/>
        <v>#N/A</v>
      </c>
      <c r="EF66" t="e">
        <f t="shared" si="32"/>
        <v>#N/A</v>
      </c>
      <c r="EG66" t="e">
        <f t="shared" si="32"/>
        <v>#N/A</v>
      </c>
      <c r="EH66" t="e">
        <f t="shared" si="32"/>
        <v>#N/A</v>
      </c>
      <c r="EI66" t="e">
        <f t="shared" si="32"/>
        <v>#N/A</v>
      </c>
      <c r="EJ66" t="e">
        <f t="shared" si="32"/>
        <v>#N/A</v>
      </c>
      <c r="EK66" t="e">
        <f t="shared" si="32"/>
        <v>#N/A</v>
      </c>
      <c r="EL66" t="e">
        <f t="shared" si="32"/>
        <v>#N/A</v>
      </c>
      <c r="EM66" t="e">
        <f t="shared" si="32"/>
        <v>#N/A</v>
      </c>
    </row>
    <row r="67" spans="1:143" x14ac:dyDescent="0.4">
      <c r="A67" t="str">
        <f t="shared" si="16"/>
        <v/>
      </c>
      <c r="B67">
        <v>64</v>
      </c>
      <c r="C67" t="str" cm="1">
        <f t="array" ref="C67">INDEX(auto_Series_Code,B67)</f>
        <v>BG</v>
      </c>
      <c r="D67">
        <f t="shared" si="45"/>
        <v>3781</v>
      </c>
      <c r="E67">
        <f t="shared" si="45"/>
        <v>3782</v>
      </c>
      <c r="F67">
        <f t="shared" si="45"/>
        <v>3783</v>
      </c>
      <c r="G67">
        <f t="shared" si="45"/>
        <v>3784</v>
      </c>
      <c r="H67">
        <f t="shared" si="45"/>
        <v>3785</v>
      </c>
      <c r="I67">
        <f t="shared" si="45"/>
        <v>3786</v>
      </c>
      <c r="J67">
        <f t="shared" si="45"/>
        <v>3787</v>
      </c>
      <c r="K67">
        <f t="shared" si="45"/>
        <v>3788</v>
      </c>
      <c r="L67">
        <f t="shared" si="45"/>
        <v>3789</v>
      </c>
      <c r="M67">
        <f t="shared" si="45"/>
        <v>3790</v>
      </c>
      <c r="N67">
        <f t="shared" si="45"/>
        <v>3791</v>
      </c>
      <c r="O67">
        <f t="shared" si="45"/>
        <v>3792</v>
      </c>
      <c r="P67">
        <f t="shared" si="45"/>
        <v>3793</v>
      </c>
      <c r="Q67">
        <f t="shared" si="45"/>
        <v>3794</v>
      </c>
      <c r="R67">
        <f t="shared" si="45"/>
        <v>3795</v>
      </c>
      <c r="S67">
        <f t="shared" si="45"/>
        <v>3796</v>
      </c>
      <c r="T67">
        <f t="shared" si="37"/>
        <v>3797</v>
      </c>
      <c r="U67">
        <f t="shared" si="37"/>
        <v>3798</v>
      </c>
      <c r="V67">
        <f t="shared" si="37"/>
        <v>3799</v>
      </c>
      <c r="W67">
        <f t="shared" si="37"/>
        <v>3800</v>
      </c>
      <c r="X67">
        <f t="shared" si="37"/>
        <v>3801</v>
      </c>
      <c r="Y67">
        <f t="shared" si="37"/>
        <v>3802</v>
      </c>
      <c r="Z67">
        <f t="shared" si="37"/>
        <v>3803</v>
      </c>
      <c r="AA67">
        <f t="shared" si="37"/>
        <v>3804</v>
      </c>
      <c r="AB67">
        <f t="shared" si="37"/>
        <v>3805</v>
      </c>
      <c r="AC67">
        <f t="shared" si="37"/>
        <v>3806</v>
      </c>
      <c r="AD67">
        <f t="shared" si="37"/>
        <v>3807</v>
      </c>
      <c r="AE67">
        <f t="shared" si="37"/>
        <v>3808</v>
      </c>
      <c r="AF67">
        <f t="shared" si="37"/>
        <v>3809</v>
      </c>
      <c r="AG67">
        <f t="shared" si="37"/>
        <v>3810</v>
      </c>
      <c r="AH67">
        <f t="shared" si="37"/>
        <v>3811</v>
      </c>
      <c r="AI67">
        <f t="shared" si="46"/>
        <v>3812</v>
      </c>
      <c r="AJ67">
        <f t="shared" si="46"/>
        <v>3813</v>
      </c>
      <c r="AK67">
        <f t="shared" si="46"/>
        <v>3814</v>
      </c>
      <c r="AL67">
        <f t="shared" si="46"/>
        <v>3815</v>
      </c>
      <c r="AM67">
        <f t="shared" si="46"/>
        <v>3816</v>
      </c>
      <c r="AN67">
        <f t="shared" si="46"/>
        <v>3817</v>
      </c>
      <c r="AO67">
        <f t="shared" si="46"/>
        <v>3818</v>
      </c>
      <c r="AP67">
        <f t="shared" si="46"/>
        <v>3819</v>
      </c>
      <c r="AQ67">
        <f t="shared" si="46"/>
        <v>3820</v>
      </c>
      <c r="AR67">
        <f t="shared" si="46"/>
        <v>3821</v>
      </c>
      <c r="AS67">
        <f t="shared" si="46"/>
        <v>3822</v>
      </c>
      <c r="AT67">
        <f t="shared" si="46"/>
        <v>3823</v>
      </c>
      <c r="AU67">
        <f t="shared" si="46"/>
        <v>3824</v>
      </c>
      <c r="AV67">
        <f t="shared" si="46"/>
        <v>3825</v>
      </c>
      <c r="AW67">
        <f t="shared" si="46"/>
        <v>3826</v>
      </c>
      <c r="AX67">
        <f t="shared" si="46"/>
        <v>3827</v>
      </c>
      <c r="AY67">
        <f t="shared" si="40"/>
        <v>3828</v>
      </c>
      <c r="AZ67">
        <f t="shared" si="40"/>
        <v>3829</v>
      </c>
      <c r="BA67">
        <f t="shared" si="40"/>
        <v>3830</v>
      </c>
      <c r="BB67" t="e">
        <f t="shared" si="40"/>
        <v>#N/A</v>
      </c>
      <c r="BC67" t="e">
        <f t="shared" si="40"/>
        <v>#N/A</v>
      </c>
      <c r="BD67" t="e">
        <f t="shared" si="40"/>
        <v>#N/A</v>
      </c>
      <c r="BE67" t="e">
        <f t="shared" si="40"/>
        <v>#N/A</v>
      </c>
      <c r="BF67" t="e">
        <f t="shared" si="40"/>
        <v>#N/A</v>
      </c>
      <c r="BG67" t="e">
        <f t="shared" si="40"/>
        <v>#N/A</v>
      </c>
      <c r="BH67" t="e">
        <f t="shared" si="40"/>
        <v>#N/A</v>
      </c>
      <c r="BI67" t="e">
        <f t="shared" si="40"/>
        <v>#N/A</v>
      </c>
      <c r="BJ67" t="e">
        <f t="shared" si="40"/>
        <v>#N/A</v>
      </c>
      <c r="BK67" t="e">
        <f t="shared" si="40"/>
        <v>#N/A</v>
      </c>
      <c r="BL67" t="e">
        <f t="shared" si="40"/>
        <v>#N/A</v>
      </c>
      <c r="BM67" t="e">
        <f t="shared" si="47"/>
        <v>#N/A</v>
      </c>
      <c r="BN67" t="e">
        <f t="shared" si="47"/>
        <v>#N/A</v>
      </c>
      <c r="BO67" t="e">
        <f t="shared" si="47"/>
        <v>#N/A</v>
      </c>
      <c r="BP67" t="e">
        <f t="shared" si="47"/>
        <v>#N/A</v>
      </c>
      <c r="BQ67" t="e">
        <f t="shared" si="47"/>
        <v>#N/A</v>
      </c>
      <c r="BR67" t="e">
        <f t="shared" si="47"/>
        <v>#N/A</v>
      </c>
      <c r="BS67" t="e">
        <f t="shared" si="47"/>
        <v>#N/A</v>
      </c>
      <c r="BT67" t="e">
        <f t="shared" si="47"/>
        <v>#N/A</v>
      </c>
      <c r="BU67" t="e">
        <f t="shared" si="47"/>
        <v>#N/A</v>
      </c>
      <c r="BV67" t="e">
        <f t="shared" si="47"/>
        <v>#N/A</v>
      </c>
      <c r="BW67" t="e">
        <f t="shared" si="47"/>
        <v>#N/A</v>
      </c>
      <c r="BX67" t="e">
        <f t="shared" si="47"/>
        <v>#N/A</v>
      </c>
      <c r="BY67" t="e">
        <f t="shared" si="47"/>
        <v>#N/A</v>
      </c>
      <c r="BZ67" t="e">
        <f t="shared" si="47"/>
        <v>#N/A</v>
      </c>
      <c r="CA67" t="e">
        <f t="shared" si="47"/>
        <v>#N/A</v>
      </c>
      <c r="CB67" t="e">
        <f t="shared" si="47"/>
        <v>#N/A</v>
      </c>
      <c r="CC67" t="e">
        <f t="shared" si="43"/>
        <v>#N/A</v>
      </c>
      <c r="CD67" t="e">
        <f t="shared" si="43"/>
        <v>#N/A</v>
      </c>
      <c r="CE67" t="e">
        <f t="shared" si="43"/>
        <v>#N/A</v>
      </c>
      <c r="CF67" t="e">
        <f t="shared" si="43"/>
        <v>#N/A</v>
      </c>
      <c r="CG67" t="e">
        <f t="shared" si="43"/>
        <v>#N/A</v>
      </c>
      <c r="CH67" t="e">
        <f t="shared" si="43"/>
        <v>#N/A</v>
      </c>
      <c r="CI67" t="e">
        <f t="shared" si="43"/>
        <v>#N/A</v>
      </c>
      <c r="CJ67" t="e">
        <f t="shared" si="43"/>
        <v>#N/A</v>
      </c>
      <c r="CK67" t="e">
        <f t="shared" si="43"/>
        <v>#N/A</v>
      </c>
      <c r="CL67" t="e">
        <f t="shared" si="43"/>
        <v>#N/A</v>
      </c>
      <c r="CM67" t="e">
        <f t="shared" si="43"/>
        <v>#N/A</v>
      </c>
      <c r="CN67" t="e">
        <f t="shared" si="43"/>
        <v>#N/A</v>
      </c>
      <c r="CO67" t="e">
        <f t="shared" si="43"/>
        <v>#N/A</v>
      </c>
      <c r="CP67" t="e">
        <f t="shared" si="44"/>
        <v>#N/A</v>
      </c>
      <c r="CQ67" t="e">
        <f t="shared" si="44"/>
        <v>#N/A</v>
      </c>
      <c r="CR67" t="e">
        <f t="shared" si="44"/>
        <v>#N/A</v>
      </c>
      <c r="CS67" t="e">
        <f t="shared" si="44"/>
        <v>#N/A</v>
      </c>
      <c r="CT67" t="e">
        <f t="shared" si="44"/>
        <v>#N/A</v>
      </c>
      <c r="CU67" t="e">
        <f t="shared" si="44"/>
        <v>#N/A</v>
      </c>
      <c r="CV67" t="e">
        <f t="shared" si="44"/>
        <v>#N/A</v>
      </c>
      <c r="CW67" t="e">
        <f t="shared" si="44"/>
        <v>#N/A</v>
      </c>
      <c r="CX67" t="e">
        <f t="shared" si="44"/>
        <v>#N/A</v>
      </c>
      <c r="CY67" t="e">
        <f t="shared" si="44"/>
        <v>#N/A</v>
      </c>
      <c r="CZ67" t="e">
        <f t="shared" si="35"/>
        <v>#N/A</v>
      </c>
      <c r="DA67" t="e">
        <f t="shared" si="35"/>
        <v>#N/A</v>
      </c>
      <c r="DB67" t="e">
        <f t="shared" si="35"/>
        <v>#N/A</v>
      </c>
      <c r="DC67" t="e">
        <f t="shared" si="35"/>
        <v>#N/A</v>
      </c>
      <c r="DD67" t="e">
        <f t="shared" si="35"/>
        <v>#N/A</v>
      </c>
      <c r="DE67" t="e">
        <f t="shared" si="35"/>
        <v>#N/A</v>
      </c>
      <c r="DF67" t="e">
        <f t="shared" si="35"/>
        <v>#N/A</v>
      </c>
      <c r="DG67" t="e">
        <f t="shared" si="35"/>
        <v>#N/A</v>
      </c>
      <c r="DH67" t="e">
        <f t="shared" si="35"/>
        <v>#N/A</v>
      </c>
      <c r="DI67" t="e">
        <f t="shared" ref="DI67:DX83" si="49">MATCH(CONCATENATE(DI$3,"_",$C67),auto_DataFlat_UID,0)</f>
        <v>#N/A</v>
      </c>
      <c r="DJ67" t="e">
        <f t="shared" si="49"/>
        <v>#N/A</v>
      </c>
      <c r="DK67" t="e">
        <f t="shared" si="49"/>
        <v>#N/A</v>
      </c>
      <c r="DL67" t="e">
        <f t="shared" si="49"/>
        <v>#N/A</v>
      </c>
      <c r="DM67" t="e">
        <f t="shared" si="49"/>
        <v>#N/A</v>
      </c>
      <c r="DN67" t="e">
        <f t="shared" si="49"/>
        <v>#N/A</v>
      </c>
      <c r="DO67" t="e">
        <f t="shared" si="49"/>
        <v>#N/A</v>
      </c>
      <c r="DP67" t="e">
        <f t="shared" si="49"/>
        <v>#N/A</v>
      </c>
      <c r="DQ67" t="e">
        <f t="shared" si="49"/>
        <v>#N/A</v>
      </c>
      <c r="DR67" t="e">
        <f t="shared" si="49"/>
        <v>#N/A</v>
      </c>
      <c r="DS67" t="e">
        <f t="shared" si="49"/>
        <v>#N/A</v>
      </c>
      <c r="DT67">
        <f t="shared" si="49"/>
        <v>3831</v>
      </c>
      <c r="DU67">
        <f t="shared" si="49"/>
        <v>3832</v>
      </c>
      <c r="DV67">
        <f t="shared" si="49"/>
        <v>3833</v>
      </c>
      <c r="DW67">
        <f t="shared" si="49"/>
        <v>3834</v>
      </c>
      <c r="DX67">
        <f t="shared" si="49"/>
        <v>3835</v>
      </c>
      <c r="DY67">
        <f t="shared" si="48"/>
        <v>3836</v>
      </c>
      <c r="DZ67">
        <f t="shared" si="31"/>
        <v>3837</v>
      </c>
      <c r="EA67">
        <f t="shared" si="31"/>
        <v>3838</v>
      </c>
      <c r="EB67">
        <f t="shared" si="31"/>
        <v>3839</v>
      </c>
      <c r="EC67">
        <f t="shared" si="31"/>
        <v>3840</v>
      </c>
      <c r="ED67" t="e">
        <f t="shared" si="31"/>
        <v>#N/A</v>
      </c>
      <c r="EE67" t="e">
        <f t="shared" ref="EE67:EM95" si="50">MATCH(CONCATENATE(EE$3,"_",$C67),auto_DataFlat_UID,0)</f>
        <v>#N/A</v>
      </c>
      <c r="EF67" t="e">
        <f t="shared" si="50"/>
        <v>#N/A</v>
      </c>
      <c r="EG67" t="e">
        <f t="shared" si="50"/>
        <v>#N/A</v>
      </c>
      <c r="EH67" t="e">
        <f t="shared" si="50"/>
        <v>#N/A</v>
      </c>
      <c r="EI67" t="e">
        <f t="shared" si="50"/>
        <v>#N/A</v>
      </c>
      <c r="EJ67" t="e">
        <f t="shared" si="50"/>
        <v>#N/A</v>
      </c>
      <c r="EK67" t="e">
        <f t="shared" si="50"/>
        <v>#N/A</v>
      </c>
      <c r="EL67" t="e">
        <f t="shared" si="50"/>
        <v>#N/A</v>
      </c>
      <c r="EM67" t="e">
        <f t="shared" si="50"/>
        <v>#N/A</v>
      </c>
    </row>
    <row r="68" spans="1:143" x14ac:dyDescent="0.4">
      <c r="A68" t="str">
        <f t="shared" si="16"/>
        <v/>
      </c>
      <c r="B68">
        <v>65</v>
      </c>
      <c r="C68" t="str" cm="1">
        <f t="array" ref="C68">INDEX(auto_Series_Code,B68)</f>
        <v>BG03</v>
      </c>
      <c r="D68">
        <f t="shared" si="45"/>
        <v>3841</v>
      </c>
      <c r="E68">
        <f t="shared" si="45"/>
        <v>3842</v>
      </c>
      <c r="F68">
        <f t="shared" si="45"/>
        <v>3843</v>
      </c>
      <c r="G68">
        <f t="shared" si="45"/>
        <v>3844</v>
      </c>
      <c r="H68">
        <f t="shared" si="45"/>
        <v>3845</v>
      </c>
      <c r="I68">
        <f t="shared" si="45"/>
        <v>3846</v>
      </c>
      <c r="J68">
        <f t="shared" si="45"/>
        <v>3847</v>
      </c>
      <c r="K68">
        <f t="shared" si="45"/>
        <v>3848</v>
      </c>
      <c r="L68">
        <f t="shared" si="45"/>
        <v>3849</v>
      </c>
      <c r="M68">
        <f t="shared" si="45"/>
        <v>3850</v>
      </c>
      <c r="N68">
        <f t="shared" si="45"/>
        <v>3851</v>
      </c>
      <c r="O68">
        <f t="shared" si="45"/>
        <v>3852</v>
      </c>
      <c r="P68">
        <f t="shared" si="45"/>
        <v>3853</v>
      </c>
      <c r="Q68">
        <f t="shared" si="45"/>
        <v>3854</v>
      </c>
      <c r="R68">
        <f t="shared" si="45"/>
        <v>3855</v>
      </c>
      <c r="S68">
        <f t="shared" si="45"/>
        <v>3856</v>
      </c>
      <c r="T68">
        <f t="shared" si="37"/>
        <v>3857</v>
      </c>
      <c r="U68">
        <f t="shared" si="37"/>
        <v>3858</v>
      </c>
      <c r="V68">
        <f t="shared" si="37"/>
        <v>3859</v>
      </c>
      <c r="W68">
        <f t="shared" si="37"/>
        <v>3860</v>
      </c>
      <c r="X68">
        <f t="shared" si="37"/>
        <v>3861</v>
      </c>
      <c r="Y68">
        <f t="shared" si="37"/>
        <v>3862</v>
      </c>
      <c r="Z68">
        <f t="shared" si="37"/>
        <v>3863</v>
      </c>
      <c r="AA68">
        <f t="shared" si="37"/>
        <v>3864</v>
      </c>
      <c r="AB68">
        <f t="shared" si="37"/>
        <v>3865</v>
      </c>
      <c r="AC68">
        <f t="shared" si="37"/>
        <v>3866</v>
      </c>
      <c r="AD68">
        <f t="shared" si="37"/>
        <v>3867</v>
      </c>
      <c r="AE68">
        <f t="shared" si="37"/>
        <v>3868</v>
      </c>
      <c r="AF68">
        <f t="shared" si="37"/>
        <v>3869</v>
      </c>
      <c r="AG68">
        <f t="shared" si="37"/>
        <v>3870</v>
      </c>
      <c r="AH68">
        <f t="shared" si="37"/>
        <v>3871</v>
      </c>
      <c r="AI68">
        <f t="shared" si="46"/>
        <v>3872</v>
      </c>
      <c r="AJ68">
        <f t="shared" si="46"/>
        <v>3873</v>
      </c>
      <c r="AK68">
        <f t="shared" si="46"/>
        <v>3874</v>
      </c>
      <c r="AL68">
        <f t="shared" si="46"/>
        <v>3875</v>
      </c>
      <c r="AM68">
        <f t="shared" si="46"/>
        <v>3876</v>
      </c>
      <c r="AN68">
        <f t="shared" si="46"/>
        <v>3877</v>
      </c>
      <c r="AO68">
        <f t="shared" si="46"/>
        <v>3878</v>
      </c>
      <c r="AP68">
        <f t="shared" si="46"/>
        <v>3879</v>
      </c>
      <c r="AQ68">
        <f t="shared" si="46"/>
        <v>3880</v>
      </c>
      <c r="AR68">
        <f t="shared" si="46"/>
        <v>3881</v>
      </c>
      <c r="AS68">
        <f t="shared" si="46"/>
        <v>3882</v>
      </c>
      <c r="AT68">
        <f t="shared" si="46"/>
        <v>3883</v>
      </c>
      <c r="AU68">
        <f t="shared" si="46"/>
        <v>3884</v>
      </c>
      <c r="AV68">
        <f t="shared" si="46"/>
        <v>3885</v>
      </c>
      <c r="AW68">
        <f t="shared" si="46"/>
        <v>3886</v>
      </c>
      <c r="AX68">
        <f t="shared" si="46"/>
        <v>3887</v>
      </c>
      <c r="AY68">
        <f t="shared" si="40"/>
        <v>3888</v>
      </c>
      <c r="AZ68">
        <f t="shared" si="40"/>
        <v>3889</v>
      </c>
      <c r="BA68">
        <f t="shared" si="40"/>
        <v>3890</v>
      </c>
      <c r="BB68" t="e">
        <f t="shared" si="40"/>
        <v>#N/A</v>
      </c>
      <c r="BC68" t="e">
        <f t="shared" si="40"/>
        <v>#N/A</v>
      </c>
      <c r="BD68" t="e">
        <f t="shared" si="40"/>
        <v>#N/A</v>
      </c>
      <c r="BE68" t="e">
        <f t="shared" si="40"/>
        <v>#N/A</v>
      </c>
      <c r="BF68" t="e">
        <f t="shared" si="40"/>
        <v>#N/A</v>
      </c>
      <c r="BG68" t="e">
        <f t="shared" si="40"/>
        <v>#N/A</v>
      </c>
      <c r="BH68" t="e">
        <f t="shared" si="40"/>
        <v>#N/A</v>
      </c>
      <c r="BI68" t="e">
        <f t="shared" si="40"/>
        <v>#N/A</v>
      </c>
      <c r="BJ68" t="e">
        <f t="shared" si="40"/>
        <v>#N/A</v>
      </c>
      <c r="BK68" t="e">
        <f t="shared" si="40"/>
        <v>#N/A</v>
      </c>
      <c r="BL68" t="e">
        <f t="shared" si="40"/>
        <v>#N/A</v>
      </c>
      <c r="BM68" t="e">
        <f t="shared" si="47"/>
        <v>#N/A</v>
      </c>
      <c r="BN68" t="e">
        <f t="shared" si="47"/>
        <v>#N/A</v>
      </c>
      <c r="BO68" t="e">
        <f t="shared" si="47"/>
        <v>#N/A</v>
      </c>
      <c r="BP68" t="e">
        <f t="shared" si="47"/>
        <v>#N/A</v>
      </c>
      <c r="BQ68" t="e">
        <f t="shared" si="47"/>
        <v>#N/A</v>
      </c>
      <c r="BR68" t="e">
        <f t="shared" si="47"/>
        <v>#N/A</v>
      </c>
      <c r="BS68" t="e">
        <f t="shared" si="47"/>
        <v>#N/A</v>
      </c>
      <c r="BT68" t="e">
        <f t="shared" si="47"/>
        <v>#N/A</v>
      </c>
      <c r="BU68" t="e">
        <f t="shared" si="47"/>
        <v>#N/A</v>
      </c>
      <c r="BV68" t="e">
        <f t="shared" si="47"/>
        <v>#N/A</v>
      </c>
      <c r="BW68" t="e">
        <f t="shared" si="47"/>
        <v>#N/A</v>
      </c>
      <c r="BX68" t="e">
        <f t="shared" si="47"/>
        <v>#N/A</v>
      </c>
      <c r="BY68" t="e">
        <f t="shared" si="47"/>
        <v>#N/A</v>
      </c>
      <c r="BZ68" t="e">
        <f t="shared" si="47"/>
        <v>#N/A</v>
      </c>
      <c r="CA68" t="e">
        <f t="shared" si="47"/>
        <v>#N/A</v>
      </c>
      <c r="CB68" t="e">
        <f t="shared" si="47"/>
        <v>#N/A</v>
      </c>
      <c r="CC68" t="e">
        <f t="shared" si="43"/>
        <v>#N/A</v>
      </c>
      <c r="CD68" t="e">
        <f t="shared" si="43"/>
        <v>#N/A</v>
      </c>
      <c r="CE68" t="e">
        <f t="shared" si="43"/>
        <v>#N/A</v>
      </c>
      <c r="CF68" t="e">
        <f t="shared" si="43"/>
        <v>#N/A</v>
      </c>
      <c r="CG68" t="e">
        <f t="shared" si="43"/>
        <v>#N/A</v>
      </c>
      <c r="CH68" t="e">
        <f t="shared" si="43"/>
        <v>#N/A</v>
      </c>
      <c r="CI68" t="e">
        <f t="shared" si="43"/>
        <v>#N/A</v>
      </c>
      <c r="CJ68" t="e">
        <f t="shared" si="43"/>
        <v>#N/A</v>
      </c>
      <c r="CK68" t="e">
        <f t="shared" si="43"/>
        <v>#N/A</v>
      </c>
      <c r="CL68" t="e">
        <f t="shared" si="43"/>
        <v>#N/A</v>
      </c>
      <c r="CM68" t="e">
        <f t="shared" si="43"/>
        <v>#N/A</v>
      </c>
      <c r="CN68" t="e">
        <f t="shared" si="43"/>
        <v>#N/A</v>
      </c>
      <c r="CO68" t="e">
        <f t="shared" si="43"/>
        <v>#N/A</v>
      </c>
      <c r="CP68" t="e">
        <f t="shared" si="44"/>
        <v>#N/A</v>
      </c>
      <c r="CQ68" t="e">
        <f t="shared" si="44"/>
        <v>#N/A</v>
      </c>
      <c r="CR68" t="e">
        <f t="shared" si="44"/>
        <v>#N/A</v>
      </c>
      <c r="CS68" t="e">
        <f t="shared" si="44"/>
        <v>#N/A</v>
      </c>
      <c r="CT68" t="e">
        <f t="shared" si="44"/>
        <v>#N/A</v>
      </c>
      <c r="CU68" t="e">
        <f t="shared" si="44"/>
        <v>#N/A</v>
      </c>
      <c r="CV68" t="e">
        <f t="shared" si="44"/>
        <v>#N/A</v>
      </c>
      <c r="CW68" t="e">
        <f t="shared" si="44"/>
        <v>#N/A</v>
      </c>
      <c r="CX68" t="e">
        <f t="shared" si="44"/>
        <v>#N/A</v>
      </c>
      <c r="CY68" t="e">
        <f t="shared" si="44"/>
        <v>#N/A</v>
      </c>
      <c r="CZ68" t="e">
        <f t="shared" si="35"/>
        <v>#N/A</v>
      </c>
      <c r="DA68" t="e">
        <f t="shared" si="35"/>
        <v>#N/A</v>
      </c>
      <c r="DB68" t="e">
        <f t="shared" si="35"/>
        <v>#N/A</v>
      </c>
      <c r="DC68" t="e">
        <f t="shared" si="35"/>
        <v>#N/A</v>
      </c>
      <c r="DD68" t="e">
        <f t="shared" si="35"/>
        <v>#N/A</v>
      </c>
      <c r="DE68" t="e">
        <f t="shared" si="35"/>
        <v>#N/A</v>
      </c>
      <c r="DF68" t="e">
        <f t="shared" si="35"/>
        <v>#N/A</v>
      </c>
      <c r="DG68" t="e">
        <f t="shared" si="35"/>
        <v>#N/A</v>
      </c>
      <c r="DH68" t="e">
        <f t="shared" si="35"/>
        <v>#N/A</v>
      </c>
      <c r="DI68" t="e">
        <f t="shared" si="49"/>
        <v>#N/A</v>
      </c>
      <c r="DJ68" t="e">
        <f t="shared" si="49"/>
        <v>#N/A</v>
      </c>
      <c r="DK68" t="e">
        <f t="shared" si="49"/>
        <v>#N/A</v>
      </c>
      <c r="DL68" t="e">
        <f t="shared" si="49"/>
        <v>#N/A</v>
      </c>
      <c r="DM68" t="e">
        <f t="shared" si="49"/>
        <v>#N/A</v>
      </c>
      <c r="DN68" t="e">
        <f t="shared" si="49"/>
        <v>#N/A</v>
      </c>
      <c r="DO68" t="e">
        <f t="shared" si="49"/>
        <v>#N/A</v>
      </c>
      <c r="DP68" t="e">
        <f t="shared" si="49"/>
        <v>#N/A</v>
      </c>
      <c r="DQ68" t="e">
        <f t="shared" si="49"/>
        <v>#N/A</v>
      </c>
      <c r="DR68" t="e">
        <f t="shared" si="49"/>
        <v>#N/A</v>
      </c>
      <c r="DS68" t="e">
        <f t="shared" si="49"/>
        <v>#N/A</v>
      </c>
      <c r="DT68">
        <f t="shared" si="49"/>
        <v>3891</v>
      </c>
      <c r="DU68">
        <f t="shared" si="49"/>
        <v>3892</v>
      </c>
      <c r="DV68">
        <f t="shared" si="49"/>
        <v>3893</v>
      </c>
      <c r="DW68">
        <f t="shared" si="49"/>
        <v>3894</v>
      </c>
      <c r="DX68">
        <f t="shared" si="49"/>
        <v>3895</v>
      </c>
      <c r="DY68">
        <f t="shared" si="48"/>
        <v>3896</v>
      </c>
      <c r="DZ68">
        <f t="shared" si="48"/>
        <v>3897</v>
      </c>
      <c r="EA68">
        <f t="shared" si="48"/>
        <v>3898</v>
      </c>
      <c r="EB68">
        <f t="shared" si="48"/>
        <v>3899</v>
      </c>
      <c r="EC68">
        <f t="shared" si="48"/>
        <v>3900</v>
      </c>
      <c r="ED68" t="e">
        <f t="shared" si="48"/>
        <v>#N/A</v>
      </c>
      <c r="EE68" t="e">
        <f t="shared" si="48"/>
        <v>#N/A</v>
      </c>
      <c r="EF68" t="e">
        <f t="shared" si="48"/>
        <v>#N/A</v>
      </c>
      <c r="EG68" t="e">
        <f t="shared" si="48"/>
        <v>#N/A</v>
      </c>
      <c r="EH68" t="e">
        <f t="shared" si="50"/>
        <v>#N/A</v>
      </c>
      <c r="EI68" t="e">
        <f t="shared" si="50"/>
        <v>#N/A</v>
      </c>
      <c r="EJ68" t="e">
        <f t="shared" si="50"/>
        <v>#N/A</v>
      </c>
      <c r="EK68" t="e">
        <f t="shared" si="50"/>
        <v>#N/A</v>
      </c>
      <c r="EL68" t="e">
        <f t="shared" si="50"/>
        <v>#N/A</v>
      </c>
      <c r="EM68" t="e">
        <f t="shared" si="50"/>
        <v>#N/A</v>
      </c>
    </row>
    <row r="69" spans="1:143" x14ac:dyDescent="0.4">
      <c r="A69" t="str">
        <f t="shared" ref="A69:A132" si="51">IF(ISERROR(C69),"X","")</f>
        <v/>
      </c>
      <c r="B69">
        <v>66</v>
      </c>
      <c r="C69" t="str" cm="1">
        <f t="array" ref="C69">INDEX(auto_Series_Code,B69)</f>
        <v>BG04</v>
      </c>
      <c r="D69">
        <f t="shared" si="45"/>
        <v>3901</v>
      </c>
      <c r="E69">
        <f t="shared" si="45"/>
        <v>3902</v>
      </c>
      <c r="F69">
        <f t="shared" si="45"/>
        <v>3903</v>
      </c>
      <c r="G69">
        <f t="shared" si="45"/>
        <v>3904</v>
      </c>
      <c r="H69">
        <f t="shared" si="45"/>
        <v>3905</v>
      </c>
      <c r="I69">
        <f t="shared" si="45"/>
        <v>3906</v>
      </c>
      <c r="J69">
        <f t="shared" si="45"/>
        <v>3907</v>
      </c>
      <c r="K69">
        <f t="shared" si="45"/>
        <v>3908</v>
      </c>
      <c r="L69">
        <f t="shared" si="45"/>
        <v>3909</v>
      </c>
      <c r="M69">
        <f t="shared" si="45"/>
        <v>3910</v>
      </c>
      <c r="N69">
        <f t="shared" si="45"/>
        <v>3911</v>
      </c>
      <c r="O69">
        <f t="shared" si="45"/>
        <v>3912</v>
      </c>
      <c r="P69">
        <f t="shared" si="45"/>
        <v>3913</v>
      </c>
      <c r="Q69">
        <f t="shared" si="45"/>
        <v>3914</v>
      </c>
      <c r="R69">
        <f t="shared" si="45"/>
        <v>3915</v>
      </c>
      <c r="S69">
        <f t="shared" si="45"/>
        <v>3916</v>
      </c>
      <c r="T69">
        <f t="shared" si="37"/>
        <v>3917</v>
      </c>
      <c r="U69">
        <f t="shared" si="37"/>
        <v>3918</v>
      </c>
      <c r="V69">
        <f t="shared" si="37"/>
        <v>3919</v>
      </c>
      <c r="W69">
        <f t="shared" si="37"/>
        <v>3920</v>
      </c>
      <c r="X69">
        <f t="shared" si="37"/>
        <v>3921</v>
      </c>
      <c r="Y69">
        <f t="shared" si="37"/>
        <v>3922</v>
      </c>
      <c r="Z69">
        <f t="shared" si="37"/>
        <v>3923</v>
      </c>
      <c r="AA69">
        <f t="shared" si="37"/>
        <v>3924</v>
      </c>
      <c r="AB69">
        <f t="shared" si="37"/>
        <v>3925</v>
      </c>
      <c r="AC69">
        <f t="shared" si="37"/>
        <v>3926</v>
      </c>
      <c r="AD69">
        <f t="shared" si="37"/>
        <v>3927</v>
      </c>
      <c r="AE69">
        <f t="shared" si="37"/>
        <v>3928</v>
      </c>
      <c r="AF69">
        <f t="shared" si="37"/>
        <v>3929</v>
      </c>
      <c r="AG69">
        <f t="shared" si="37"/>
        <v>3930</v>
      </c>
      <c r="AH69">
        <f t="shared" si="37"/>
        <v>3931</v>
      </c>
      <c r="AI69">
        <f t="shared" si="46"/>
        <v>3932</v>
      </c>
      <c r="AJ69">
        <f t="shared" si="46"/>
        <v>3933</v>
      </c>
      <c r="AK69">
        <f t="shared" si="46"/>
        <v>3934</v>
      </c>
      <c r="AL69">
        <f t="shared" si="46"/>
        <v>3935</v>
      </c>
      <c r="AM69">
        <f t="shared" si="46"/>
        <v>3936</v>
      </c>
      <c r="AN69">
        <f t="shared" si="46"/>
        <v>3937</v>
      </c>
      <c r="AO69">
        <f t="shared" si="46"/>
        <v>3938</v>
      </c>
      <c r="AP69">
        <f t="shared" si="46"/>
        <v>3939</v>
      </c>
      <c r="AQ69">
        <f t="shared" si="46"/>
        <v>3940</v>
      </c>
      <c r="AR69">
        <f t="shared" si="46"/>
        <v>3941</v>
      </c>
      <c r="AS69">
        <f t="shared" si="46"/>
        <v>3942</v>
      </c>
      <c r="AT69">
        <f t="shared" si="46"/>
        <v>3943</v>
      </c>
      <c r="AU69">
        <f t="shared" si="46"/>
        <v>3944</v>
      </c>
      <c r="AV69">
        <f t="shared" si="46"/>
        <v>3945</v>
      </c>
      <c r="AW69">
        <f t="shared" si="46"/>
        <v>3946</v>
      </c>
      <c r="AX69">
        <f t="shared" si="46"/>
        <v>3947</v>
      </c>
      <c r="AY69">
        <f t="shared" si="40"/>
        <v>3948</v>
      </c>
      <c r="AZ69">
        <f t="shared" si="40"/>
        <v>3949</v>
      </c>
      <c r="BA69">
        <f t="shared" si="40"/>
        <v>3950</v>
      </c>
      <c r="BB69" t="e">
        <f t="shared" si="40"/>
        <v>#N/A</v>
      </c>
      <c r="BC69" t="e">
        <f t="shared" si="40"/>
        <v>#N/A</v>
      </c>
      <c r="BD69" t="e">
        <f t="shared" si="40"/>
        <v>#N/A</v>
      </c>
      <c r="BE69" t="e">
        <f t="shared" si="40"/>
        <v>#N/A</v>
      </c>
      <c r="BF69" t="e">
        <f t="shared" si="40"/>
        <v>#N/A</v>
      </c>
      <c r="BG69" t="e">
        <f t="shared" si="40"/>
        <v>#N/A</v>
      </c>
      <c r="BH69" t="e">
        <f t="shared" si="40"/>
        <v>#N/A</v>
      </c>
      <c r="BI69" t="e">
        <f t="shared" si="40"/>
        <v>#N/A</v>
      </c>
      <c r="BJ69" t="e">
        <f t="shared" si="40"/>
        <v>#N/A</v>
      </c>
      <c r="BK69" t="e">
        <f t="shared" si="40"/>
        <v>#N/A</v>
      </c>
      <c r="BL69" t="e">
        <f t="shared" si="40"/>
        <v>#N/A</v>
      </c>
      <c r="BM69" t="e">
        <f t="shared" si="47"/>
        <v>#N/A</v>
      </c>
      <c r="BN69" t="e">
        <f t="shared" si="47"/>
        <v>#N/A</v>
      </c>
      <c r="BO69" t="e">
        <f t="shared" si="47"/>
        <v>#N/A</v>
      </c>
      <c r="BP69" t="e">
        <f t="shared" si="47"/>
        <v>#N/A</v>
      </c>
      <c r="BQ69" t="e">
        <f t="shared" si="47"/>
        <v>#N/A</v>
      </c>
      <c r="BR69" t="e">
        <f t="shared" si="47"/>
        <v>#N/A</v>
      </c>
      <c r="BS69" t="e">
        <f t="shared" si="47"/>
        <v>#N/A</v>
      </c>
      <c r="BT69" t="e">
        <f t="shared" si="47"/>
        <v>#N/A</v>
      </c>
      <c r="BU69" t="e">
        <f t="shared" si="47"/>
        <v>#N/A</v>
      </c>
      <c r="BV69" t="e">
        <f t="shared" si="47"/>
        <v>#N/A</v>
      </c>
      <c r="BW69" t="e">
        <f t="shared" si="47"/>
        <v>#N/A</v>
      </c>
      <c r="BX69" t="e">
        <f t="shared" si="47"/>
        <v>#N/A</v>
      </c>
      <c r="BY69" t="e">
        <f t="shared" si="47"/>
        <v>#N/A</v>
      </c>
      <c r="BZ69" t="e">
        <f t="shared" si="47"/>
        <v>#N/A</v>
      </c>
      <c r="CA69" t="e">
        <f t="shared" si="47"/>
        <v>#N/A</v>
      </c>
      <c r="CB69" t="e">
        <f t="shared" si="47"/>
        <v>#N/A</v>
      </c>
      <c r="CC69" t="e">
        <f t="shared" si="43"/>
        <v>#N/A</v>
      </c>
      <c r="CD69" t="e">
        <f t="shared" si="43"/>
        <v>#N/A</v>
      </c>
      <c r="CE69" t="e">
        <f t="shared" si="43"/>
        <v>#N/A</v>
      </c>
      <c r="CF69" t="e">
        <f t="shared" si="43"/>
        <v>#N/A</v>
      </c>
      <c r="CG69" t="e">
        <f t="shared" si="43"/>
        <v>#N/A</v>
      </c>
      <c r="CH69" t="e">
        <f t="shared" si="43"/>
        <v>#N/A</v>
      </c>
      <c r="CI69" t="e">
        <f t="shared" si="43"/>
        <v>#N/A</v>
      </c>
      <c r="CJ69" t="e">
        <f t="shared" si="43"/>
        <v>#N/A</v>
      </c>
      <c r="CK69" t="e">
        <f t="shared" si="43"/>
        <v>#N/A</v>
      </c>
      <c r="CL69" t="e">
        <f t="shared" si="43"/>
        <v>#N/A</v>
      </c>
      <c r="CM69" t="e">
        <f t="shared" si="43"/>
        <v>#N/A</v>
      </c>
      <c r="CN69" t="e">
        <f t="shared" si="43"/>
        <v>#N/A</v>
      </c>
      <c r="CO69" t="e">
        <f t="shared" si="43"/>
        <v>#N/A</v>
      </c>
      <c r="CP69" t="e">
        <f t="shared" si="44"/>
        <v>#N/A</v>
      </c>
      <c r="CQ69" t="e">
        <f t="shared" si="44"/>
        <v>#N/A</v>
      </c>
      <c r="CR69" t="e">
        <f t="shared" si="44"/>
        <v>#N/A</v>
      </c>
      <c r="CS69" t="e">
        <f t="shared" si="44"/>
        <v>#N/A</v>
      </c>
      <c r="CT69" t="e">
        <f t="shared" si="44"/>
        <v>#N/A</v>
      </c>
      <c r="CU69" t="e">
        <f t="shared" si="44"/>
        <v>#N/A</v>
      </c>
      <c r="CV69" t="e">
        <f t="shared" si="44"/>
        <v>#N/A</v>
      </c>
      <c r="CW69" t="e">
        <f t="shared" si="44"/>
        <v>#N/A</v>
      </c>
      <c r="CX69" t="e">
        <f t="shared" si="44"/>
        <v>#N/A</v>
      </c>
      <c r="CY69" t="e">
        <f t="shared" si="44"/>
        <v>#N/A</v>
      </c>
      <c r="CZ69" t="e">
        <f t="shared" si="35"/>
        <v>#N/A</v>
      </c>
      <c r="DA69" t="e">
        <f t="shared" si="35"/>
        <v>#N/A</v>
      </c>
      <c r="DB69" t="e">
        <f t="shared" si="35"/>
        <v>#N/A</v>
      </c>
      <c r="DC69" t="e">
        <f t="shared" si="35"/>
        <v>#N/A</v>
      </c>
      <c r="DD69" t="e">
        <f t="shared" si="35"/>
        <v>#N/A</v>
      </c>
      <c r="DE69" t="e">
        <f t="shared" si="35"/>
        <v>#N/A</v>
      </c>
      <c r="DF69" t="e">
        <f t="shared" si="35"/>
        <v>#N/A</v>
      </c>
      <c r="DG69" t="e">
        <f t="shared" si="35"/>
        <v>#N/A</v>
      </c>
      <c r="DH69" t="e">
        <f t="shared" si="35"/>
        <v>#N/A</v>
      </c>
      <c r="DI69" t="e">
        <f t="shared" si="49"/>
        <v>#N/A</v>
      </c>
      <c r="DJ69" t="e">
        <f t="shared" si="49"/>
        <v>#N/A</v>
      </c>
      <c r="DK69" t="e">
        <f t="shared" si="49"/>
        <v>#N/A</v>
      </c>
      <c r="DL69" t="e">
        <f t="shared" si="49"/>
        <v>#N/A</v>
      </c>
      <c r="DM69" t="e">
        <f t="shared" si="49"/>
        <v>#N/A</v>
      </c>
      <c r="DN69" t="e">
        <f t="shared" si="49"/>
        <v>#N/A</v>
      </c>
      <c r="DO69" t="e">
        <f t="shared" si="49"/>
        <v>#N/A</v>
      </c>
      <c r="DP69" t="e">
        <f t="shared" si="49"/>
        <v>#N/A</v>
      </c>
      <c r="DQ69" t="e">
        <f t="shared" si="49"/>
        <v>#N/A</v>
      </c>
      <c r="DR69" t="e">
        <f t="shared" si="49"/>
        <v>#N/A</v>
      </c>
      <c r="DS69" t="e">
        <f t="shared" si="49"/>
        <v>#N/A</v>
      </c>
      <c r="DT69">
        <f t="shared" si="49"/>
        <v>3951</v>
      </c>
      <c r="DU69">
        <f t="shared" si="49"/>
        <v>3952</v>
      </c>
      <c r="DV69">
        <f t="shared" si="49"/>
        <v>3953</v>
      </c>
      <c r="DW69">
        <f t="shared" si="49"/>
        <v>3954</v>
      </c>
      <c r="DX69">
        <f t="shared" si="49"/>
        <v>3955</v>
      </c>
      <c r="DY69">
        <f t="shared" si="48"/>
        <v>3956</v>
      </c>
      <c r="DZ69">
        <f t="shared" si="48"/>
        <v>3957</v>
      </c>
      <c r="EA69">
        <f t="shared" si="48"/>
        <v>3958</v>
      </c>
      <c r="EB69">
        <f t="shared" si="48"/>
        <v>3959</v>
      </c>
      <c r="EC69">
        <f t="shared" si="48"/>
        <v>3960</v>
      </c>
      <c r="ED69" t="e">
        <f t="shared" si="48"/>
        <v>#N/A</v>
      </c>
      <c r="EE69" t="e">
        <f t="shared" si="48"/>
        <v>#N/A</v>
      </c>
      <c r="EF69" t="e">
        <f t="shared" si="48"/>
        <v>#N/A</v>
      </c>
      <c r="EG69" t="e">
        <f t="shared" si="48"/>
        <v>#N/A</v>
      </c>
      <c r="EH69" t="e">
        <f t="shared" si="50"/>
        <v>#N/A</v>
      </c>
      <c r="EI69" t="e">
        <f t="shared" si="50"/>
        <v>#N/A</v>
      </c>
      <c r="EJ69" t="e">
        <f t="shared" si="50"/>
        <v>#N/A</v>
      </c>
      <c r="EK69" t="e">
        <f t="shared" si="50"/>
        <v>#N/A</v>
      </c>
      <c r="EL69" t="e">
        <f t="shared" si="50"/>
        <v>#N/A</v>
      </c>
      <c r="EM69" t="e">
        <f t="shared" si="50"/>
        <v>#N/A</v>
      </c>
    </row>
    <row r="70" spans="1:143" x14ac:dyDescent="0.4">
      <c r="A70" t="str">
        <f t="shared" si="51"/>
        <v/>
      </c>
      <c r="B70">
        <v>67</v>
      </c>
      <c r="C70" t="str" cm="1">
        <f t="array" ref="C70">INDEX(auto_Series_Code,B70)</f>
        <v>BG05</v>
      </c>
      <c r="D70">
        <f t="shared" si="45"/>
        <v>3961</v>
      </c>
      <c r="E70">
        <f t="shared" si="45"/>
        <v>3962</v>
      </c>
      <c r="F70">
        <f t="shared" si="45"/>
        <v>3963</v>
      </c>
      <c r="G70">
        <f t="shared" si="45"/>
        <v>3964</v>
      </c>
      <c r="H70">
        <f t="shared" si="45"/>
        <v>3965</v>
      </c>
      <c r="I70">
        <f t="shared" si="45"/>
        <v>3966</v>
      </c>
      <c r="J70">
        <f t="shared" si="45"/>
        <v>3967</v>
      </c>
      <c r="K70">
        <f t="shared" si="45"/>
        <v>3968</v>
      </c>
      <c r="L70">
        <f t="shared" si="45"/>
        <v>3969</v>
      </c>
      <c r="M70">
        <f t="shared" si="45"/>
        <v>3970</v>
      </c>
      <c r="N70">
        <f t="shared" si="45"/>
        <v>3971</v>
      </c>
      <c r="O70">
        <f t="shared" si="45"/>
        <v>3972</v>
      </c>
      <c r="P70">
        <f t="shared" si="45"/>
        <v>3973</v>
      </c>
      <c r="Q70">
        <f t="shared" si="45"/>
        <v>3974</v>
      </c>
      <c r="R70">
        <f t="shared" si="45"/>
        <v>3975</v>
      </c>
      <c r="S70">
        <f t="shared" si="45"/>
        <v>3976</v>
      </c>
      <c r="T70">
        <f t="shared" si="37"/>
        <v>3977</v>
      </c>
      <c r="U70">
        <f t="shared" si="37"/>
        <v>3978</v>
      </c>
      <c r="V70">
        <f t="shared" si="37"/>
        <v>3979</v>
      </c>
      <c r="W70">
        <f t="shared" si="37"/>
        <v>3980</v>
      </c>
      <c r="X70">
        <f t="shared" si="37"/>
        <v>3981</v>
      </c>
      <c r="Y70">
        <f t="shared" si="37"/>
        <v>3982</v>
      </c>
      <c r="Z70">
        <f t="shared" si="37"/>
        <v>3983</v>
      </c>
      <c r="AA70">
        <f t="shared" si="37"/>
        <v>3984</v>
      </c>
      <c r="AB70">
        <f t="shared" si="37"/>
        <v>3985</v>
      </c>
      <c r="AC70">
        <f t="shared" si="37"/>
        <v>3986</v>
      </c>
      <c r="AD70">
        <f t="shared" si="37"/>
        <v>3987</v>
      </c>
      <c r="AE70">
        <f t="shared" si="37"/>
        <v>3988</v>
      </c>
      <c r="AF70">
        <f t="shared" si="37"/>
        <v>3989</v>
      </c>
      <c r="AG70">
        <f t="shared" si="37"/>
        <v>3990</v>
      </c>
      <c r="AH70">
        <f t="shared" si="37"/>
        <v>3991</v>
      </c>
      <c r="AI70">
        <f t="shared" si="46"/>
        <v>3992</v>
      </c>
      <c r="AJ70">
        <f t="shared" si="46"/>
        <v>3993</v>
      </c>
      <c r="AK70">
        <f t="shared" si="46"/>
        <v>3994</v>
      </c>
      <c r="AL70">
        <f t="shared" si="46"/>
        <v>3995</v>
      </c>
      <c r="AM70">
        <f t="shared" si="46"/>
        <v>3996</v>
      </c>
      <c r="AN70">
        <f t="shared" si="46"/>
        <v>3997</v>
      </c>
      <c r="AO70">
        <f t="shared" si="46"/>
        <v>3998</v>
      </c>
      <c r="AP70">
        <f t="shared" si="46"/>
        <v>3999</v>
      </c>
      <c r="AQ70">
        <f t="shared" si="46"/>
        <v>4000</v>
      </c>
      <c r="AR70">
        <f t="shared" si="46"/>
        <v>4001</v>
      </c>
      <c r="AS70">
        <f t="shared" si="46"/>
        <v>4002</v>
      </c>
      <c r="AT70">
        <f t="shared" si="46"/>
        <v>4003</v>
      </c>
      <c r="AU70">
        <f t="shared" si="46"/>
        <v>4004</v>
      </c>
      <c r="AV70">
        <f t="shared" si="46"/>
        <v>4005</v>
      </c>
      <c r="AW70">
        <f t="shared" si="46"/>
        <v>4006</v>
      </c>
      <c r="AX70">
        <f t="shared" si="46"/>
        <v>4007</v>
      </c>
      <c r="AY70">
        <f t="shared" si="40"/>
        <v>4008</v>
      </c>
      <c r="AZ70">
        <f t="shared" si="40"/>
        <v>4009</v>
      </c>
      <c r="BA70">
        <f t="shared" si="40"/>
        <v>4010</v>
      </c>
      <c r="BB70" t="e">
        <f t="shared" si="40"/>
        <v>#N/A</v>
      </c>
      <c r="BC70" t="e">
        <f t="shared" si="40"/>
        <v>#N/A</v>
      </c>
      <c r="BD70" t="e">
        <f t="shared" si="40"/>
        <v>#N/A</v>
      </c>
      <c r="BE70" t="e">
        <f t="shared" si="40"/>
        <v>#N/A</v>
      </c>
      <c r="BF70" t="e">
        <f t="shared" si="40"/>
        <v>#N/A</v>
      </c>
      <c r="BG70" t="e">
        <f t="shared" si="40"/>
        <v>#N/A</v>
      </c>
      <c r="BH70" t="e">
        <f t="shared" si="40"/>
        <v>#N/A</v>
      </c>
      <c r="BI70" t="e">
        <f t="shared" si="40"/>
        <v>#N/A</v>
      </c>
      <c r="BJ70" t="e">
        <f t="shared" si="40"/>
        <v>#N/A</v>
      </c>
      <c r="BK70" t="e">
        <f t="shared" si="40"/>
        <v>#N/A</v>
      </c>
      <c r="BL70" t="e">
        <f t="shared" si="40"/>
        <v>#N/A</v>
      </c>
      <c r="BM70" t="e">
        <f t="shared" si="47"/>
        <v>#N/A</v>
      </c>
      <c r="BN70" t="e">
        <f t="shared" si="47"/>
        <v>#N/A</v>
      </c>
      <c r="BO70" t="e">
        <f t="shared" si="47"/>
        <v>#N/A</v>
      </c>
      <c r="BP70" t="e">
        <f t="shared" si="47"/>
        <v>#N/A</v>
      </c>
      <c r="BQ70" t="e">
        <f t="shared" si="47"/>
        <v>#N/A</v>
      </c>
      <c r="BR70" t="e">
        <f t="shared" si="47"/>
        <v>#N/A</v>
      </c>
      <c r="BS70" t="e">
        <f t="shared" si="47"/>
        <v>#N/A</v>
      </c>
      <c r="BT70" t="e">
        <f t="shared" si="47"/>
        <v>#N/A</v>
      </c>
      <c r="BU70" t="e">
        <f t="shared" si="47"/>
        <v>#N/A</v>
      </c>
      <c r="BV70" t="e">
        <f t="shared" si="47"/>
        <v>#N/A</v>
      </c>
      <c r="BW70" t="e">
        <f t="shared" si="47"/>
        <v>#N/A</v>
      </c>
      <c r="BX70" t="e">
        <f t="shared" si="47"/>
        <v>#N/A</v>
      </c>
      <c r="BY70" t="e">
        <f t="shared" si="47"/>
        <v>#N/A</v>
      </c>
      <c r="BZ70" t="e">
        <f t="shared" si="47"/>
        <v>#N/A</v>
      </c>
      <c r="CA70" t="e">
        <f t="shared" si="47"/>
        <v>#N/A</v>
      </c>
      <c r="CB70" t="e">
        <f t="shared" si="47"/>
        <v>#N/A</v>
      </c>
      <c r="CC70" t="e">
        <f t="shared" si="43"/>
        <v>#N/A</v>
      </c>
      <c r="CD70" t="e">
        <f t="shared" si="43"/>
        <v>#N/A</v>
      </c>
      <c r="CE70" t="e">
        <f t="shared" si="43"/>
        <v>#N/A</v>
      </c>
      <c r="CF70" t="e">
        <f t="shared" si="43"/>
        <v>#N/A</v>
      </c>
      <c r="CG70" t="e">
        <f t="shared" si="43"/>
        <v>#N/A</v>
      </c>
      <c r="CH70" t="e">
        <f t="shared" si="43"/>
        <v>#N/A</v>
      </c>
      <c r="CI70" t="e">
        <f t="shared" si="43"/>
        <v>#N/A</v>
      </c>
      <c r="CJ70" t="e">
        <f t="shared" si="43"/>
        <v>#N/A</v>
      </c>
      <c r="CK70" t="e">
        <f t="shared" si="43"/>
        <v>#N/A</v>
      </c>
      <c r="CL70" t="e">
        <f t="shared" si="43"/>
        <v>#N/A</v>
      </c>
      <c r="CM70" t="e">
        <f t="shared" si="43"/>
        <v>#N/A</v>
      </c>
      <c r="CN70" t="e">
        <f t="shared" si="43"/>
        <v>#N/A</v>
      </c>
      <c r="CO70" t="e">
        <f t="shared" si="43"/>
        <v>#N/A</v>
      </c>
      <c r="CP70" t="e">
        <f t="shared" si="44"/>
        <v>#N/A</v>
      </c>
      <c r="CQ70" t="e">
        <f t="shared" si="44"/>
        <v>#N/A</v>
      </c>
      <c r="CR70" t="e">
        <f t="shared" si="44"/>
        <v>#N/A</v>
      </c>
      <c r="CS70" t="e">
        <f t="shared" si="44"/>
        <v>#N/A</v>
      </c>
      <c r="CT70" t="e">
        <f t="shared" si="44"/>
        <v>#N/A</v>
      </c>
      <c r="CU70" t="e">
        <f t="shared" si="44"/>
        <v>#N/A</v>
      </c>
      <c r="CV70" t="e">
        <f t="shared" si="44"/>
        <v>#N/A</v>
      </c>
      <c r="CW70" t="e">
        <f t="shared" si="44"/>
        <v>#N/A</v>
      </c>
      <c r="CX70" t="e">
        <f t="shared" si="44"/>
        <v>#N/A</v>
      </c>
      <c r="CY70" t="e">
        <f t="shared" si="44"/>
        <v>#N/A</v>
      </c>
      <c r="CZ70" t="e">
        <f t="shared" si="35"/>
        <v>#N/A</v>
      </c>
      <c r="DA70" t="e">
        <f t="shared" si="35"/>
        <v>#N/A</v>
      </c>
      <c r="DB70" t="e">
        <f t="shared" si="35"/>
        <v>#N/A</v>
      </c>
      <c r="DC70" t="e">
        <f t="shared" si="35"/>
        <v>#N/A</v>
      </c>
      <c r="DD70" t="e">
        <f t="shared" si="35"/>
        <v>#N/A</v>
      </c>
      <c r="DE70" t="e">
        <f t="shared" si="35"/>
        <v>#N/A</v>
      </c>
      <c r="DF70" t="e">
        <f t="shared" si="35"/>
        <v>#N/A</v>
      </c>
      <c r="DG70" t="e">
        <f t="shared" si="35"/>
        <v>#N/A</v>
      </c>
      <c r="DH70" t="e">
        <f t="shared" si="35"/>
        <v>#N/A</v>
      </c>
      <c r="DI70" t="e">
        <f t="shared" si="49"/>
        <v>#N/A</v>
      </c>
      <c r="DJ70" t="e">
        <f t="shared" si="49"/>
        <v>#N/A</v>
      </c>
      <c r="DK70" t="e">
        <f t="shared" si="49"/>
        <v>#N/A</v>
      </c>
      <c r="DL70" t="e">
        <f t="shared" si="49"/>
        <v>#N/A</v>
      </c>
      <c r="DM70" t="e">
        <f t="shared" si="49"/>
        <v>#N/A</v>
      </c>
      <c r="DN70" t="e">
        <f t="shared" si="49"/>
        <v>#N/A</v>
      </c>
      <c r="DO70" t="e">
        <f t="shared" si="49"/>
        <v>#N/A</v>
      </c>
      <c r="DP70" t="e">
        <f t="shared" si="49"/>
        <v>#N/A</v>
      </c>
      <c r="DQ70" t="e">
        <f t="shared" si="49"/>
        <v>#N/A</v>
      </c>
      <c r="DR70" t="e">
        <f t="shared" si="49"/>
        <v>#N/A</v>
      </c>
      <c r="DS70" t="e">
        <f t="shared" si="49"/>
        <v>#N/A</v>
      </c>
      <c r="DT70">
        <f t="shared" si="49"/>
        <v>4011</v>
      </c>
      <c r="DU70">
        <f t="shared" si="49"/>
        <v>4012</v>
      </c>
      <c r="DV70">
        <f t="shared" si="49"/>
        <v>4013</v>
      </c>
      <c r="DW70">
        <f t="shared" si="49"/>
        <v>4014</v>
      </c>
      <c r="DX70">
        <f t="shared" si="49"/>
        <v>4015</v>
      </c>
      <c r="DY70">
        <f t="shared" si="48"/>
        <v>4016</v>
      </c>
      <c r="DZ70">
        <f t="shared" si="48"/>
        <v>4017</v>
      </c>
      <c r="EA70">
        <f t="shared" si="48"/>
        <v>4018</v>
      </c>
      <c r="EB70">
        <f t="shared" si="48"/>
        <v>4019</v>
      </c>
      <c r="EC70">
        <f t="shared" si="48"/>
        <v>4020</v>
      </c>
      <c r="ED70" t="e">
        <f t="shared" si="48"/>
        <v>#N/A</v>
      </c>
      <c r="EE70" t="e">
        <f t="shared" si="48"/>
        <v>#N/A</v>
      </c>
      <c r="EF70" t="e">
        <f t="shared" si="48"/>
        <v>#N/A</v>
      </c>
      <c r="EG70" t="e">
        <f t="shared" si="48"/>
        <v>#N/A</v>
      </c>
      <c r="EH70" t="e">
        <f t="shared" si="50"/>
        <v>#N/A</v>
      </c>
      <c r="EI70" t="e">
        <f t="shared" si="50"/>
        <v>#N/A</v>
      </c>
      <c r="EJ70" t="e">
        <f t="shared" si="50"/>
        <v>#N/A</v>
      </c>
      <c r="EK70" t="e">
        <f t="shared" si="50"/>
        <v>#N/A</v>
      </c>
      <c r="EL70" t="e">
        <f t="shared" si="50"/>
        <v>#N/A</v>
      </c>
      <c r="EM70" t="e">
        <f t="shared" si="50"/>
        <v>#N/A</v>
      </c>
    </row>
    <row r="71" spans="1:143" x14ac:dyDescent="0.4">
      <c r="A71" t="str">
        <f t="shared" si="51"/>
        <v/>
      </c>
      <c r="B71">
        <v>68</v>
      </c>
      <c r="C71" t="str" cm="1">
        <f t="array" ref="C71">INDEX(auto_Series_Code,B71)</f>
        <v>BG08</v>
      </c>
      <c r="D71">
        <f t="shared" si="45"/>
        <v>4021</v>
      </c>
      <c r="E71">
        <f t="shared" si="45"/>
        <v>4022</v>
      </c>
      <c r="F71">
        <f t="shared" si="45"/>
        <v>4023</v>
      </c>
      <c r="G71">
        <f t="shared" si="45"/>
        <v>4024</v>
      </c>
      <c r="H71">
        <f t="shared" si="45"/>
        <v>4025</v>
      </c>
      <c r="I71">
        <f t="shared" si="45"/>
        <v>4026</v>
      </c>
      <c r="J71">
        <f t="shared" si="45"/>
        <v>4027</v>
      </c>
      <c r="K71">
        <f t="shared" si="45"/>
        <v>4028</v>
      </c>
      <c r="L71">
        <f t="shared" si="45"/>
        <v>4029</v>
      </c>
      <c r="M71">
        <f t="shared" si="45"/>
        <v>4030</v>
      </c>
      <c r="N71">
        <f t="shared" si="45"/>
        <v>4031</v>
      </c>
      <c r="O71">
        <f t="shared" si="45"/>
        <v>4032</v>
      </c>
      <c r="P71">
        <f t="shared" si="45"/>
        <v>4033</v>
      </c>
      <c r="Q71">
        <f t="shared" si="45"/>
        <v>4034</v>
      </c>
      <c r="R71">
        <f t="shared" si="45"/>
        <v>4035</v>
      </c>
      <c r="S71">
        <f t="shared" ref="S71:AH91" si="52">MATCH(CONCATENATE(S$3,"_",$C71),auto_DataFlat_UID,0)</f>
        <v>4036</v>
      </c>
      <c r="T71">
        <f t="shared" si="52"/>
        <v>4037</v>
      </c>
      <c r="U71">
        <f t="shared" si="52"/>
        <v>4038</v>
      </c>
      <c r="V71">
        <f t="shared" si="52"/>
        <v>4039</v>
      </c>
      <c r="W71">
        <f t="shared" si="52"/>
        <v>4040</v>
      </c>
      <c r="X71">
        <f t="shared" si="37"/>
        <v>4041</v>
      </c>
      <c r="Y71">
        <f t="shared" si="37"/>
        <v>4042</v>
      </c>
      <c r="Z71">
        <f t="shared" si="37"/>
        <v>4043</v>
      </c>
      <c r="AA71">
        <f t="shared" si="37"/>
        <v>4044</v>
      </c>
      <c r="AB71">
        <f t="shared" si="37"/>
        <v>4045</v>
      </c>
      <c r="AC71">
        <f t="shared" si="37"/>
        <v>4046</v>
      </c>
      <c r="AD71">
        <f t="shared" si="37"/>
        <v>4047</v>
      </c>
      <c r="AE71">
        <f t="shared" si="37"/>
        <v>4048</v>
      </c>
      <c r="AF71">
        <f t="shared" si="37"/>
        <v>4049</v>
      </c>
      <c r="AG71">
        <f t="shared" si="37"/>
        <v>4050</v>
      </c>
      <c r="AH71">
        <f t="shared" si="37"/>
        <v>4051</v>
      </c>
      <c r="AI71">
        <f t="shared" si="46"/>
        <v>4052</v>
      </c>
      <c r="AJ71">
        <f t="shared" si="46"/>
        <v>4053</v>
      </c>
      <c r="AK71">
        <f t="shared" si="46"/>
        <v>4054</v>
      </c>
      <c r="AL71">
        <f t="shared" si="46"/>
        <v>4055</v>
      </c>
      <c r="AM71">
        <f t="shared" si="46"/>
        <v>4056</v>
      </c>
      <c r="AN71">
        <f t="shared" si="46"/>
        <v>4057</v>
      </c>
      <c r="AO71">
        <f t="shared" si="46"/>
        <v>4058</v>
      </c>
      <c r="AP71">
        <f t="shared" si="46"/>
        <v>4059</v>
      </c>
      <c r="AQ71">
        <f t="shared" si="46"/>
        <v>4060</v>
      </c>
      <c r="AR71">
        <f t="shared" si="46"/>
        <v>4061</v>
      </c>
      <c r="AS71">
        <f t="shared" si="46"/>
        <v>4062</v>
      </c>
      <c r="AT71">
        <f t="shared" si="46"/>
        <v>4063</v>
      </c>
      <c r="AU71">
        <f t="shared" si="46"/>
        <v>4064</v>
      </c>
      <c r="AV71">
        <f t="shared" si="46"/>
        <v>4065</v>
      </c>
      <c r="AW71">
        <f t="shared" si="46"/>
        <v>4066</v>
      </c>
      <c r="AX71">
        <f t="shared" ref="AX71:BA71" si="53">MATCH(CONCATENATE(AX$3,"_",$C71),auto_DataFlat_UID,0)</f>
        <v>4067</v>
      </c>
      <c r="AY71">
        <f t="shared" si="53"/>
        <v>4068</v>
      </c>
      <c r="AZ71">
        <f t="shared" si="53"/>
        <v>4069</v>
      </c>
      <c r="BA71">
        <f t="shared" si="53"/>
        <v>4070</v>
      </c>
      <c r="BB71" t="e">
        <f t="shared" si="40"/>
        <v>#N/A</v>
      </c>
      <c r="BC71" t="e">
        <f t="shared" si="40"/>
        <v>#N/A</v>
      </c>
      <c r="BD71" t="e">
        <f t="shared" si="40"/>
        <v>#N/A</v>
      </c>
      <c r="BE71" t="e">
        <f t="shared" si="40"/>
        <v>#N/A</v>
      </c>
      <c r="BF71" t="e">
        <f t="shared" si="40"/>
        <v>#N/A</v>
      </c>
      <c r="BG71" t="e">
        <f t="shared" si="40"/>
        <v>#N/A</v>
      </c>
      <c r="BH71" t="e">
        <f t="shared" si="40"/>
        <v>#N/A</v>
      </c>
      <c r="BI71" t="e">
        <f t="shared" si="40"/>
        <v>#N/A</v>
      </c>
      <c r="BJ71" t="e">
        <f t="shared" si="40"/>
        <v>#N/A</v>
      </c>
      <c r="BK71" t="e">
        <f t="shared" si="40"/>
        <v>#N/A</v>
      </c>
      <c r="BL71" t="e">
        <f t="shared" si="40"/>
        <v>#N/A</v>
      </c>
      <c r="BM71" t="e">
        <f t="shared" si="47"/>
        <v>#N/A</v>
      </c>
      <c r="BN71" t="e">
        <f t="shared" si="47"/>
        <v>#N/A</v>
      </c>
      <c r="BO71" t="e">
        <f t="shared" si="47"/>
        <v>#N/A</v>
      </c>
      <c r="BP71" t="e">
        <f t="shared" si="47"/>
        <v>#N/A</v>
      </c>
      <c r="BQ71" t="e">
        <f t="shared" si="47"/>
        <v>#N/A</v>
      </c>
      <c r="BR71" t="e">
        <f t="shared" si="47"/>
        <v>#N/A</v>
      </c>
      <c r="BS71" t="e">
        <f t="shared" si="47"/>
        <v>#N/A</v>
      </c>
      <c r="BT71" t="e">
        <f t="shared" si="47"/>
        <v>#N/A</v>
      </c>
      <c r="BU71" t="e">
        <f t="shared" si="47"/>
        <v>#N/A</v>
      </c>
      <c r="BV71" t="e">
        <f t="shared" si="47"/>
        <v>#N/A</v>
      </c>
      <c r="BW71" t="e">
        <f t="shared" si="47"/>
        <v>#N/A</v>
      </c>
      <c r="BX71" t="e">
        <f t="shared" si="47"/>
        <v>#N/A</v>
      </c>
      <c r="BY71" t="e">
        <f t="shared" si="47"/>
        <v>#N/A</v>
      </c>
      <c r="BZ71" t="e">
        <f t="shared" si="47"/>
        <v>#N/A</v>
      </c>
      <c r="CA71" t="e">
        <f t="shared" si="47"/>
        <v>#N/A</v>
      </c>
      <c r="CB71" t="e">
        <f t="shared" ref="CB71:CQ92" si="54">MATCH(CONCATENATE(CB$3,"_",$C71),auto_DataFlat_UID,0)</f>
        <v>#N/A</v>
      </c>
      <c r="CC71" t="e">
        <f t="shared" si="54"/>
        <v>#N/A</v>
      </c>
      <c r="CD71" t="e">
        <f t="shared" si="54"/>
        <v>#N/A</v>
      </c>
      <c r="CE71" t="e">
        <f t="shared" si="54"/>
        <v>#N/A</v>
      </c>
      <c r="CF71" t="e">
        <f t="shared" si="43"/>
        <v>#N/A</v>
      </c>
      <c r="CG71" t="e">
        <f t="shared" si="43"/>
        <v>#N/A</v>
      </c>
      <c r="CH71" t="e">
        <f t="shared" si="43"/>
        <v>#N/A</v>
      </c>
      <c r="CI71" t="e">
        <f t="shared" si="43"/>
        <v>#N/A</v>
      </c>
      <c r="CJ71" t="e">
        <f t="shared" si="43"/>
        <v>#N/A</v>
      </c>
      <c r="CK71" t="e">
        <f t="shared" si="43"/>
        <v>#N/A</v>
      </c>
      <c r="CL71" t="e">
        <f t="shared" si="43"/>
        <v>#N/A</v>
      </c>
      <c r="CM71" t="e">
        <f t="shared" si="43"/>
        <v>#N/A</v>
      </c>
      <c r="CN71" t="e">
        <f t="shared" si="43"/>
        <v>#N/A</v>
      </c>
      <c r="CO71" t="e">
        <f t="shared" si="43"/>
        <v>#N/A</v>
      </c>
      <c r="CP71" t="e">
        <f t="shared" si="44"/>
        <v>#N/A</v>
      </c>
      <c r="CQ71" t="e">
        <f t="shared" si="44"/>
        <v>#N/A</v>
      </c>
      <c r="CR71" t="e">
        <f t="shared" si="44"/>
        <v>#N/A</v>
      </c>
      <c r="CS71" t="e">
        <f t="shared" si="44"/>
        <v>#N/A</v>
      </c>
      <c r="CT71" t="e">
        <f t="shared" si="44"/>
        <v>#N/A</v>
      </c>
      <c r="CU71" t="e">
        <f t="shared" si="44"/>
        <v>#N/A</v>
      </c>
      <c r="CV71" t="e">
        <f t="shared" si="44"/>
        <v>#N/A</v>
      </c>
      <c r="CW71" t="e">
        <f t="shared" si="44"/>
        <v>#N/A</v>
      </c>
      <c r="CX71" t="e">
        <f t="shared" si="44"/>
        <v>#N/A</v>
      </c>
      <c r="CY71" t="e">
        <f t="shared" si="44"/>
        <v>#N/A</v>
      </c>
      <c r="CZ71" t="e">
        <f t="shared" si="35"/>
        <v>#N/A</v>
      </c>
      <c r="DA71" t="e">
        <f t="shared" si="35"/>
        <v>#N/A</v>
      </c>
      <c r="DB71" t="e">
        <f t="shared" si="35"/>
        <v>#N/A</v>
      </c>
      <c r="DC71" t="e">
        <f t="shared" si="35"/>
        <v>#N/A</v>
      </c>
      <c r="DD71" t="e">
        <f t="shared" si="35"/>
        <v>#N/A</v>
      </c>
      <c r="DE71" t="e">
        <f t="shared" si="35"/>
        <v>#N/A</v>
      </c>
      <c r="DF71" t="e">
        <f t="shared" si="35"/>
        <v>#N/A</v>
      </c>
      <c r="DG71" t="e">
        <f t="shared" si="35"/>
        <v>#N/A</v>
      </c>
      <c r="DH71" t="e">
        <f t="shared" si="35"/>
        <v>#N/A</v>
      </c>
      <c r="DI71" t="e">
        <f t="shared" si="49"/>
        <v>#N/A</v>
      </c>
      <c r="DJ71" t="e">
        <f t="shared" si="49"/>
        <v>#N/A</v>
      </c>
      <c r="DK71" t="e">
        <f t="shared" si="49"/>
        <v>#N/A</v>
      </c>
      <c r="DL71" t="e">
        <f t="shared" si="49"/>
        <v>#N/A</v>
      </c>
      <c r="DM71" t="e">
        <f t="shared" si="49"/>
        <v>#N/A</v>
      </c>
      <c r="DN71" t="e">
        <f t="shared" si="49"/>
        <v>#N/A</v>
      </c>
      <c r="DO71" t="e">
        <f t="shared" si="49"/>
        <v>#N/A</v>
      </c>
      <c r="DP71" t="e">
        <f t="shared" si="49"/>
        <v>#N/A</v>
      </c>
      <c r="DQ71" t="e">
        <f t="shared" si="49"/>
        <v>#N/A</v>
      </c>
      <c r="DR71" t="e">
        <f t="shared" si="49"/>
        <v>#N/A</v>
      </c>
      <c r="DS71" t="e">
        <f t="shared" si="49"/>
        <v>#N/A</v>
      </c>
      <c r="DT71">
        <f t="shared" si="49"/>
        <v>4071</v>
      </c>
      <c r="DU71">
        <f t="shared" si="49"/>
        <v>4072</v>
      </c>
      <c r="DV71">
        <f t="shared" si="49"/>
        <v>4073</v>
      </c>
      <c r="DW71">
        <f t="shared" si="49"/>
        <v>4074</v>
      </c>
      <c r="DX71">
        <f t="shared" si="49"/>
        <v>4075</v>
      </c>
      <c r="DY71">
        <f t="shared" si="48"/>
        <v>4076</v>
      </c>
      <c r="DZ71">
        <f t="shared" si="48"/>
        <v>4077</v>
      </c>
      <c r="EA71">
        <f t="shared" si="48"/>
        <v>4078</v>
      </c>
      <c r="EB71">
        <f t="shared" si="48"/>
        <v>4079</v>
      </c>
      <c r="EC71">
        <f t="shared" si="48"/>
        <v>4080</v>
      </c>
      <c r="ED71" t="e">
        <f t="shared" si="48"/>
        <v>#N/A</v>
      </c>
      <c r="EE71" t="e">
        <f t="shared" si="48"/>
        <v>#N/A</v>
      </c>
      <c r="EF71" t="e">
        <f t="shared" si="48"/>
        <v>#N/A</v>
      </c>
      <c r="EG71" t="e">
        <f t="shared" si="48"/>
        <v>#N/A</v>
      </c>
      <c r="EH71" t="e">
        <f t="shared" si="50"/>
        <v>#N/A</v>
      </c>
      <c r="EI71" t="e">
        <f t="shared" si="50"/>
        <v>#N/A</v>
      </c>
      <c r="EJ71" t="e">
        <f t="shared" si="50"/>
        <v>#N/A</v>
      </c>
      <c r="EK71" t="e">
        <f t="shared" si="50"/>
        <v>#N/A</v>
      </c>
      <c r="EL71" t="e">
        <f t="shared" si="50"/>
        <v>#N/A</v>
      </c>
      <c r="EM71" t="e">
        <f t="shared" si="50"/>
        <v>#N/A</v>
      </c>
    </row>
    <row r="72" spans="1:143" x14ac:dyDescent="0.4">
      <c r="A72" t="str">
        <f t="shared" si="51"/>
        <v/>
      </c>
      <c r="B72">
        <v>69</v>
      </c>
      <c r="C72" t="str" cm="1">
        <f t="array" ref="C72">INDEX(auto_Series_Code,B72)</f>
        <v>BG09</v>
      </c>
      <c r="D72">
        <f t="shared" ref="D72:S87" si="55">MATCH(CONCATENATE(D$3,"_",$C72),auto_DataFlat_UID,0)</f>
        <v>4081</v>
      </c>
      <c r="E72">
        <f t="shared" si="55"/>
        <v>4082</v>
      </c>
      <c r="F72">
        <f t="shared" si="55"/>
        <v>4083</v>
      </c>
      <c r="G72">
        <f t="shared" si="55"/>
        <v>4084</v>
      </c>
      <c r="H72">
        <f t="shared" si="55"/>
        <v>4085</v>
      </c>
      <c r="I72">
        <f t="shared" si="55"/>
        <v>4086</v>
      </c>
      <c r="J72">
        <f t="shared" si="55"/>
        <v>4087</v>
      </c>
      <c r="K72">
        <f t="shared" si="55"/>
        <v>4088</v>
      </c>
      <c r="L72">
        <f t="shared" si="55"/>
        <v>4089</v>
      </c>
      <c r="M72">
        <f t="shared" si="55"/>
        <v>4090</v>
      </c>
      <c r="N72">
        <f t="shared" si="55"/>
        <v>4091</v>
      </c>
      <c r="O72">
        <f t="shared" si="55"/>
        <v>4092</v>
      </c>
      <c r="P72">
        <f t="shared" si="55"/>
        <v>4093</v>
      </c>
      <c r="Q72">
        <f t="shared" si="55"/>
        <v>4094</v>
      </c>
      <c r="R72">
        <f t="shared" si="55"/>
        <v>4095</v>
      </c>
      <c r="S72">
        <f t="shared" si="55"/>
        <v>4096</v>
      </c>
      <c r="T72">
        <f t="shared" si="52"/>
        <v>4097</v>
      </c>
      <c r="U72">
        <f t="shared" si="52"/>
        <v>4098</v>
      </c>
      <c r="V72">
        <f t="shared" si="52"/>
        <v>4099</v>
      </c>
      <c r="W72">
        <f t="shared" si="52"/>
        <v>4100</v>
      </c>
      <c r="X72">
        <f t="shared" si="37"/>
        <v>4101</v>
      </c>
      <c r="Y72">
        <f t="shared" si="37"/>
        <v>4102</v>
      </c>
      <c r="Z72">
        <f t="shared" si="37"/>
        <v>4103</v>
      </c>
      <c r="AA72">
        <f t="shared" si="37"/>
        <v>4104</v>
      </c>
      <c r="AB72">
        <f t="shared" si="37"/>
        <v>4105</v>
      </c>
      <c r="AC72">
        <f t="shared" si="37"/>
        <v>4106</v>
      </c>
      <c r="AD72">
        <f t="shared" si="37"/>
        <v>4107</v>
      </c>
      <c r="AE72">
        <f t="shared" si="37"/>
        <v>4108</v>
      </c>
      <c r="AF72">
        <f t="shared" si="37"/>
        <v>4109</v>
      </c>
      <c r="AG72">
        <f t="shared" ref="AG72:AV88" si="56">MATCH(CONCATENATE(AG$3,"_",$C72),auto_DataFlat_UID,0)</f>
        <v>4110</v>
      </c>
      <c r="AH72">
        <f t="shared" si="56"/>
        <v>4111</v>
      </c>
      <c r="AI72">
        <f t="shared" si="56"/>
        <v>4112</v>
      </c>
      <c r="AJ72">
        <f t="shared" si="56"/>
        <v>4113</v>
      </c>
      <c r="AK72">
        <f t="shared" si="56"/>
        <v>4114</v>
      </c>
      <c r="AL72">
        <f t="shared" si="56"/>
        <v>4115</v>
      </c>
      <c r="AM72">
        <f t="shared" si="56"/>
        <v>4116</v>
      </c>
      <c r="AN72">
        <f t="shared" si="56"/>
        <v>4117</v>
      </c>
      <c r="AO72">
        <f t="shared" si="56"/>
        <v>4118</v>
      </c>
      <c r="AP72">
        <f t="shared" si="56"/>
        <v>4119</v>
      </c>
      <c r="AQ72">
        <f t="shared" si="56"/>
        <v>4120</v>
      </c>
      <c r="AR72">
        <f t="shared" si="56"/>
        <v>4121</v>
      </c>
      <c r="AS72">
        <f t="shared" si="56"/>
        <v>4122</v>
      </c>
      <c r="AT72">
        <f t="shared" si="56"/>
        <v>4123</v>
      </c>
      <c r="AU72">
        <f t="shared" si="56"/>
        <v>4124</v>
      </c>
      <c r="AV72">
        <f t="shared" si="56"/>
        <v>4125</v>
      </c>
      <c r="AW72">
        <f t="shared" ref="AW72:BK92" si="57">MATCH(CONCATENATE(AW$3,"_",$C72),auto_DataFlat_UID,0)</f>
        <v>4126</v>
      </c>
      <c r="AX72">
        <f t="shared" si="57"/>
        <v>4127</v>
      </c>
      <c r="AY72">
        <f t="shared" si="57"/>
        <v>4128</v>
      </c>
      <c r="AZ72">
        <f t="shared" si="57"/>
        <v>4129</v>
      </c>
      <c r="BA72">
        <f t="shared" si="57"/>
        <v>4130</v>
      </c>
      <c r="BB72" t="e">
        <f t="shared" si="40"/>
        <v>#N/A</v>
      </c>
      <c r="BC72" t="e">
        <f t="shared" si="40"/>
        <v>#N/A</v>
      </c>
      <c r="BD72" t="e">
        <f t="shared" si="40"/>
        <v>#N/A</v>
      </c>
      <c r="BE72" t="e">
        <f t="shared" si="40"/>
        <v>#N/A</v>
      </c>
      <c r="BF72" t="e">
        <f t="shared" si="40"/>
        <v>#N/A</v>
      </c>
      <c r="BG72" t="e">
        <f t="shared" si="40"/>
        <v>#N/A</v>
      </c>
      <c r="BH72" t="e">
        <f t="shared" si="40"/>
        <v>#N/A</v>
      </c>
      <c r="BI72" t="e">
        <f t="shared" si="40"/>
        <v>#N/A</v>
      </c>
      <c r="BJ72" t="e">
        <f t="shared" si="40"/>
        <v>#N/A</v>
      </c>
      <c r="BK72" t="e">
        <f t="shared" si="40"/>
        <v>#N/A</v>
      </c>
      <c r="BL72" t="e">
        <f t="shared" si="40"/>
        <v>#N/A</v>
      </c>
      <c r="BM72" t="e">
        <f t="shared" ref="BM72:CB98" si="58">MATCH(CONCATENATE(BM$3,"_",$C72),auto_DataFlat_UID,0)</f>
        <v>#N/A</v>
      </c>
      <c r="BN72" t="e">
        <f t="shared" si="58"/>
        <v>#N/A</v>
      </c>
      <c r="BO72" t="e">
        <f t="shared" si="58"/>
        <v>#N/A</v>
      </c>
      <c r="BP72" t="e">
        <f t="shared" si="58"/>
        <v>#N/A</v>
      </c>
      <c r="BQ72" t="e">
        <f t="shared" si="58"/>
        <v>#N/A</v>
      </c>
      <c r="BR72" t="e">
        <f t="shared" si="58"/>
        <v>#N/A</v>
      </c>
      <c r="BS72" t="e">
        <f t="shared" si="58"/>
        <v>#N/A</v>
      </c>
      <c r="BT72" t="e">
        <f t="shared" si="58"/>
        <v>#N/A</v>
      </c>
      <c r="BU72" t="e">
        <f t="shared" si="58"/>
        <v>#N/A</v>
      </c>
      <c r="BV72" t="e">
        <f t="shared" si="58"/>
        <v>#N/A</v>
      </c>
      <c r="BW72" t="e">
        <f t="shared" si="58"/>
        <v>#N/A</v>
      </c>
      <c r="BX72" t="e">
        <f t="shared" si="58"/>
        <v>#N/A</v>
      </c>
      <c r="BY72" t="e">
        <f t="shared" si="58"/>
        <v>#N/A</v>
      </c>
      <c r="BZ72" t="e">
        <f t="shared" si="58"/>
        <v>#N/A</v>
      </c>
      <c r="CA72" t="e">
        <f t="shared" si="58"/>
        <v>#N/A</v>
      </c>
      <c r="CB72" t="e">
        <f t="shared" si="58"/>
        <v>#N/A</v>
      </c>
      <c r="CC72" t="e">
        <f t="shared" si="54"/>
        <v>#N/A</v>
      </c>
      <c r="CD72" t="e">
        <f t="shared" si="54"/>
        <v>#N/A</v>
      </c>
      <c r="CE72" t="e">
        <f t="shared" si="54"/>
        <v>#N/A</v>
      </c>
      <c r="CF72" t="e">
        <f t="shared" si="43"/>
        <v>#N/A</v>
      </c>
      <c r="CG72" t="e">
        <f t="shared" si="43"/>
        <v>#N/A</v>
      </c>
      <c r="CH72" t="e">
        <f t="shared" si="43"/>
        <v>#N/A</v>
      </c>
      <c r="CI72" t="e">
        <f t="shared" si="43"/>
        <v>#N/A</v>
      </c>
      <c r="CJ72" t="e">
        <f t="shared" si="43"/>
        <v>#N/A</v>
      </c>
      <c r="CK72" t="e">
        <f t="shared" si="43"/>
        <v>#N/A</v>
      </c>
      <c r="CL72" t="e">
        <f t="shared" si="43"/>
        <v>#N/A</v>
      </c>
      <c r="CM72" t="e">
        <f t="shared" si="43"/>
        <v>#N/A</v>
      </c>
      <c r="CN72" t="e">
        <f t="shared" si="43"/>
        <v>#N/A</v>
      </c>
      <c r="CO72" t="e">
        <f t="shared" si="43"/>
        <v>#N/A</v>
      </c>
      <c r="CP72" t="e">
        <f t="shared" si="44"/>
        <v>#N/A</v>
      </c>
      <c r="CQ72" t="e">
        <f t="shared" si="44"/>
        <v>#N/A</v>
      </c>
      <c r="CR72" t="e">
        <f t="shared" si="44"/>
        <v>#N/A</v>
      </c>
      <c r="CS72" t="e">
        <f t="shared" si="44"/>
        <v>#N/A</v>
      </c>
      <c r="CT72" t="e">
        <f t="shared" si="44"/>
        <v>#N/A</v>
      </c>
      <c r="CU72" t="e">
        <f t="shared" si="44"/>
        <v>#N/A</v>
      </c>
      <c r="CV72" t="e">
        <f t="shared" si="44"/>
        <v>#N/A</v>
      </c>
      <c r="CW72" t="e">
        <f t="shared" si="44"/>
        <v>#N/A</v>
      </c>
      <c r="CX72" t="e">
        <f t="shared" si="44"/>
        <v>#N/A</v>
      </c>
      <c r="CY72" t="e">
        <f t="shared" si="44"/>
        <v>#N/A</v>
      </c>
      <c r="CZ72" t="e">
        <f t="shared" si="35"/>
        <v>#N/A</v>
      </c>
      <c r="DA72" t="e">
        <f t="shared" si="35"/>
        <v>#N/A</v>
      </c>
      <c r="DB72" t="e">
        <f t="shared" si="35"/>
        <v>#N/A</v>
      </c>
      <c r="DC72" t="e">
        <f t="shared" si="35"/>
        <v>#N/A</v>
      </c>
      <c r="DD72" t="e">
        <f t="shared" si="35"/>
        <v>#N/A</v>
      </c>
      <c r="DE72" t="e">
        <f t="shared" si="35"/>
        <v>#N/A</v>
      </c>
      <c r="DF72" t="e">
        <f t="shared" si="35"/>
        <v>#N/A</v>
      </c>
      <c r="DG72" t="e">
        <f t="shared" si="35"/>
        <v>#N/A</v>
      </c>
      <c r="DH72" t="e">
        <f t="shared" si="35"/>
        <v>#N/A</v>
      </c>
      <c r="DI72" t="e">
        <f t="shared" si="49"/>
        <v>#N/A</v>
      </c>
      <c r="DJ72" t="e">
        <f t="shared" si="49"/>
        <v>#N/A</v>
      </c>
      <c r="DK72" t="e">
        <f t="shared" si="49"/>
        <v>#N/A</v>
      </c>
      <c r="DL72" t="e">
        <f t="shared" si="49"/>
        <v>#N/A</v>
      </c>
      <c r="DM72" t="e">
        <f t="shared" si="49"/>
        <v>#N/A</v>
      </c>
      <c r="DN72" t="e">
        <f t="shared" si="49"/>
        <v>#N/A</v>
      </c>
      <c r="DO72" t="e">
        <f t="shared" si="49"/>
        <v>#N/A</v>
      </c>
      <c r="DP72" t="e">
        <f t="shared" si="49"/>
        <v>#N/A</v>
      </c>
      <c r="DQ72" t="e">
        <f t="shared" si="49"/>
        <v>#N/A</v>
      </c>
      <c r="DR72" t="e">
        <f t="shared" si="49"/>
        <v>#N/A</v>
      </c>
      <c r="DS72" t="e">
        <f t="shared" si="49"/>
        <v>#N/A</v>
      </c>
      <c r="DT72">
        <f t="shared" si="49"/>
        <v>4131</v>
      </c>
      <c r="DU72">
        <f t="shared" si="49"/>
        <v>4132</v>
      </c>
      <c r="DV72">
        <f t="shared" si="49"/>
        <v>4133</v>
      </c>
      <c r="DW72">
        <f t="shared" si="49"/>
        <v>4134</v>
      </c>
      <c r="DX72">
        <f t="shared" si="49"/>
        <v>4135</v>
      </c>
      <c r="DY72">
        <f t="shared" si="48"/>
        <v>4136</v>
      </c>
      <c r="DZ72">
        <f t="shared" si="48"/>
        <v>4137</v>
      </c>
      <c r="EA72">
        <f t="shared" si="48"/>
        <v>4138</v>
      </c>
      <c r="EB72">
        <f t="shared" si="48"/>
        <v>4139</v>
      </c>
      <c r="EC72">
        <f t="shared" si="48"/>
        <v>4140</v>
      </c>
      <c r="ED72" t="e">
        <f t="shared" si="48"/>
        <v>#N/A</v>
      </c>
      <c r="EE72" t="e">
        <f t="shared" si="48"/>
        <v>#N/A</v>
      </c>
      <c r="EF72" t="e">
        <f t="shared" si="48"/>
        <v>#N/A</v>
      </c>
      <c r="EG72" t="e">
        <f t="shared" si="48"/>
        <v>#N/A</v>
      </c>
      <c r="EH72" t="e">
        <f t="shared" si="50"/>
        <v>#N/A</v>
      </c>
      <c r="EI72" t="e">
        <f t="shared" si="50"/>
        <v>#N/A</v>
      </c>
      <c r="EJ72" t="e">
        <f t="shared" si="50"/>
        <v>#N/A</v>
      </c>
      <c r="EK72" t="e">
        <f t="shared" si="50"/>
        <v>#N/A</v>
      </c>
      <c r="EL72" t="e">
        <f t="shared" si="50"/>
        <v>#N/A</v>
      </c>
      <c r="EM72" t="e">
        <f t="shared" si="50"/>
        <v>#N/A</v>
      </c>
    </row>
    <row r="73" spans="1:143" x14ac:dyDescent="0.4">
      <c r="A73" t="str">
        <f t="shared" si="51"/>
        <v/>
      </c>
      <c r="B73">
        <v>70</v>
      </c>
      <c r="C73" t="str" cm="1">
        <f t="array" ref="C73">INDEX(auto_Series_Code,B73)</f>
        <v>BG18</v>
      </c>
      <c r="D73">
        <f t="shared" si="55"/>
        <v>4141</v>
      </c>
      <c r="E73">
        <f t="shared" si="55"/>
        <v>4142</v>
      </c>
      <c r="F73">
        <f t="shared" si="55"/>
        <v>4143</v>
      </c>
      <c r="G73">
        <f t="shared" si="55"/>
        <v>4144</v>
      </c>
      <c r="H73">
        <f t="shared" si="55"/>
        <v>4145</v>
      </c>
      <c r="I73">
        <f t="shared" si="55"/>
        <v>4146</v>
      </c>
      <c r="J73">
        <f t="shared" si="55"/>
        <v>4147</v>
      </c>
      <c r="K73">
        <f t="shared" si="55"/>
        <v>4148</v>
      </c>
      <c r="L73">
        <f t="shared" si="55"/>
        <v>4149</v>
      </c>
      <c r="M73">
        <f t="shared" si="55"/>
        <v>4150</v>
      </c>
      <c r="N73">
        <f t="shared" si="55"/>
        <v>4151</v>
      </c>
      <c r="O73">
        <f t="shared" si="55"/>
        <v>4152</v>
      </c>
      <c r="P73">
        <f t="shared" si="55"/>
        <v>4153</v>
      </c>
      <c r="Q73">
        <f t="shared" si="55"/>
        <v>4154</v>
      </c>
      <c r="R73">
        <f t="shared" si="55"/>
        <v>4155</v>
      </c>
      <c r="S73">
        <f t="shared" si="55"/>
        <v>4156</v>
      </c>
      <c r="T73">
        <f t="shared" si="52"/>
        <v>4157</v>
      </c>
      <c r="U73">
        <f t="shared" si="52"/>
        <v>4158</v>
      </c>
      <c r="V73">
        <f t="shared" si="52"/>
        <v>4159</v>
      </c>
      <c r="W73">
        <f t="shared" si="52"/>
        <v>4160</v>
      </c>
      <c r="X73">
        <f t="shared" si="52"/>
        <v>4161</v>
      </c>
      <c r="Y73">
        <f t="shared" si="52"/>
        <v>4162</v>
      </c>
      <c r="Z73">
        <f t="shared" si="52"/>
        <v>4163</v>
      </c>
      <c r="AA73">
        <f t="shared" si="52"/>
        <v>4164</v>
      </c>
      <c r="AB73">
        <f t="shared" si="52"/>
        <v>4165</v>
      </c>
      <c r="AC73">
        <f t="shared" si="52"/>
        <v>4166</v>
      </c>
      <c r="AD73">
        <f t="shared" si="52"/>
        <v>4167</v>
      </c>
      <c r="AE73">
        <f t="shared" si="52"/>
        <v>4168</v>
      </c>
      <c r="AF73">
        <f t="shared" si="52"/>
        <v>4169</v>
      </c>
      <c r="AG73">
        <f t="shared" si="52"/>
        <v>4170</v>
      </c>
      <c r="AH73">
        <f t="shared" si="56"/>
        <v>4171</v>
      </c>
      <c r="AI73">
        <f t="shared" si="56"/>
        <v>4172</v>
      </c>
      <c r="AJ73">
        <f t="shared" si="56"/>
        <v>4173</v>
      </c>
      <c r="AK73">
        <f t="shared" si="56"/>
        <v>4174</v>
      </c>
      <c r="AL73">
        <f t="shared" si="56"/>
        <v>4175</v>
      </c>
      <c r="AM73">
        <f t="shared" si="56"/>
        <v>4176</v>
      </c>
      <c r="AN73">
        <f t="shared" si="56"/>
        <v>4177</v>
      </c>
      <c r="AO73">
        <f t="shared" si="56"/>
        <v>4178</v>
      </c>
      <c r="AP73">
        <f t="shared" si="56"/>
        <v>4179</v>
      </c>
      <c r="AQ73">
        <f t="shared" si="56"/>
        <v>4180</v>
      </c>
      <c r="AR73">
        <f t="shared" si="56"/>
        <v>4181</v>
      </c>
      <c r="AS73">
        <f t="shared" si="56"/>
        <v>4182</v>
      </c>
      <c r="AT73">
        <f t="shared" si="56"/>
        <v>4183</v>
      </c>
      <c r="AU73">
        <f t="shared" si="56"/>
        <v>4184</v>
      </c>
      <c r="AV73">
        <f t="shared" si="56"/>
        <v>4185</v>
      </c>
      <c r="AW73">
        <f t="shared" si="57"/>
        <v>4186</v>
      </c>
      <c r="AX73">
        <f t="shared" si="57"/>
        <v>4187</v>
      </c>
      <c r="AY73">
        <f t="shared" si="57"/>
        <v>4188</v>
      </c>
      <c r="AZ73">
        <f t="shared" si="57"/>
        <v>4189</v>
      </c>
      <c r="BA73">
        <f t="shared" si="57"/>
        <v>4190</v>
      </c>
      <c r="BB73" t="e">
        <f t="shared" si="40"/>
        <v>#N/A</v>
      </c>
      <c r="BC73" t="e">
        <f t="shared" si="40"/>
        <v>#N/A</v>
      </c>
      <c r="BD73" t="e">
        <f t="shared" si="40"/>
        <v>#N/A</v>
      </c>
      <c r="BE73" t="e">
        <f t="shared" si="40"/>
        <v>#N/A</v>
      </c>
      <c r="BF73" t="e">
        <f t="shared" si="40"/>
        <v>#N/A</v>
      </c>
      <c r="BG73" t="e">
        <f t="shared" si="40"/>
        <v>#N/A</v>
      </c>
      <c r="BH73" t="e">
        <f t="shared" si="40"/>
        <v>#N/A</v>
      </c>
      <c r="BI73" t="e">
        <f t="shared" si="40"/>
        <v>#N/A</v>
      </c>
      <c r="BJ73" t="e">
        <f t="shared" si="40"/>
        <v>#N/A</v>
      </c>
      <c r="BK73" t="e">
        <f t="shared" si="40"/>
        <v>#N/A</v>
      </c>
      <c r="BL73" t="e">
        <f t="shared" si="40"/>
        <v>#N/A</v>
      </c>
      <c r="BM73" t="e">
        <f t="shared" si="58"/>
        <v>#N/A</v>
      </c>
      <c r="BN73" t="e">
        <f t="shared" si="58"/>
        <v>#N/A</v>
      </c>
      <c r="BO73" t="e">
        <f t="shared" si="58"/>
        <v>#N/A</v>
      </c>
      <c r="BP73" t="e">
        <f t="shared" si="58"/>
        <v>#N/A</v>
      </c>
      <c r="BQ73" t="e">
        <f t="shared" si="58"/>
        <v>#N/A</v>
      </c>
      <c r="BR73" t="e">
        <f t="shared" si="58"/>
        <v>#N/A</v>
      </c>
      <c r="BS73" t="e">
        <f t="shared" si="58"/>
        <v>#N/A</v>
      </c>
      <c r="BT73" t="e">
        <f t="shared" si="58"/>
        <v>#N/A</v>
      </c>
      <c r="BU73" t="e">
        <f t="shared" si="58"/>
        <v>#N/A</v>
      </c>
      <c r="BV73" t="e">
        <f t="shared" si="58"/>
        <v>#N/A</v>
      </c>
      <c r="BW73" t="e">
        <f t="shared" si="58"/>
        <v>#N/A</v>
      </c>
      <c r="BX73" t="e">
        <f t="shared" si="58"/>
        <v>#N/A</v>
      </c>
      <c r="BY73" t="e">
        <f t="shared" si="58"/>
        <v>#N/A</v>
      </c>
      <c r="BZ73" t="e">
        <f t="shared" si="58"/>
        <v>#N/A</v>
      </c>
      <c r="CA73" t="e">
        <f t="shared" si="58"/>
        <v>#N/A</v>
      </c>
      <c r="CB73" t="e">
        <f t="shared" si="58"/>
        <v>#N/A</v>
      </c>
      <c r="CC73" t="e">
        <f t="shared" si="54"/>
        <v>#N/A</v>
      </c>
      <c r="CD73" t="e">
        <f t="shared" si="54"/>
        <v>#N/A</v>
      </c>
      <c r="CE73" t="e">
        <f t="shared" si="54"/>
        <v>#N/A</v>
      </c>
      <c r="CF73" t="e">
        <f t="shared" si="43"/>
        <v>#N/A</v>
      </c>
      <c r="CG73" t="e">
        <f t="shared" si="43"/>
        <v>#N/A</v>
      </c>
      <c r="CH73" t="e">
        <f t="shared" si="43"/>
        <v>#N/A</v>
      </c>
      <c r="CI73" t="e">
        <f t="shared" si="43"/>
        <v>#N/A</v>
      </c>
      <c r="CJ73" t="e">
        <f t="shared" si="43"/>
        <v>#N/A</v>
      </c>
      <c r="CK73" t="e">
        <f t="shared" si="43"/>
        <v>#N/A</v>
      </c>
      <c r="CL73" t="e">
        <f t="shared" si="43"/>
        <v>#N/A</v>
      </c>
      <c r="CM73" t="e">
        <f t="shared" si="43"/>
        <v>#N/A</v>
      </c>
      <c r="CN73" t="e">
        <f t="shared" si="43"/>
        <v>#N/A</v>
      </c>
      <c r="CO73" t="e">
        <f t="shared" si="43"/>
        <v>#N/A</v>
      </c>
      <c r="CP73" t="e">
        <f t="shared" si="44"/>
        <v>#N/A</v>
      </c>
      <c r="CQ73" t="e">
        <f t="shared" si="44"/>
        <v>#N/A</v>
      </c>
      <c r="CR73" t="e">
        <f t="shared" si="44"/>
        <v>#N/A</v>
      </c>
      <c r="CS73" t="e">
        <f t="shared" si="44"/>
        <v>#N/A</v>
      </c>
      <c r="CT73" t="e">
        <f t="shared" si="44"/>
        <v>#N/A</v>
      </c>
      <c r="CU73" t="e">
        <f t="shared" si="44"/>
        <v>#N/A</v>
      </c>
      <c r="CV73" t="e">
        <f t="shared" si="44"/>
        <v>#N/A</v>
      </c>
      <c r="CW73" t="e">
        <f t="shared" si="44"/>
        <v>#N/A</v>
      </c>
      <c r="CX73" t="e">
        <f t="shared" si="44"/>
        <v>#N/A</v>
      </c>
      <c r="CY73" t="e">
        <f t="shared" si="44"/>
        <v>#N/A</v>
      </c>
      <c r="CZ73" t="e">
        <f t="shared" si="35"/>
        <v>#N/A</v>
      </c>
      <c r="DA73" t="e">
        <f t="shared" si="35"/>
        <v>#N/A</v>
      </c>
      <c r="DB73" t="e">
        <f t="shared" si="35"/>
        <v>#N/A</v>
      </c>
      <c r="DC73" t="e">
        <f t="shared" si="35"/>
        <v>#N/A</v>
      </c>
      <c r="DD73" t="e">
        <f t="shared" si="35"/>
        <v>#N/A</v>
      </c>
      <c r="DE73" t="e">
        <f t="shared" si="35"/>
        <v>#N/A</v>
      </c>
      <c r="DF73" t="e">
        <f t="shared" si="35"/>
        <v>#N/A</v>
      </c>
      <c r="DG73" t="e">
        <f t="shared" si="35"/>
        <v>#N/A</v>
      </c>
      <c r="DH73" t="e">
        <f t="shared" si="35"/>
        <v>#N/A</v>
      </c>
      <c r="DI73" t="e">
        <f t="shared" si="49"/>
        <v>#N/A</v>
      </c>
      <c r="DJ73" t="e">
        <f t="shared" si="49"/>
        <v>#N/A</v>
      </c>
      <c r="DK73" t="e">
        <f t="shared" si="49"/>
        <v>#N/A</v>
      </c>
      <c r="DL73" t="e">
        <f t="shared" si="49"/>
        <v>#N/A</v>
      </c>
      <c r="DM73" t="e">
        <f t="shared" si="49"/>
        <v>#N/A</v>
      </c>
      <c r="DN73" t="e">
        <f t="shared" si="49"/>
        <v>#N/A</v>
      </c>
      <c r="DO73" t="e">
        <f t="shared" si="49"/>
        <v>#N/A</v>
      </c>
      <c r="DP73" t="e">
        <f t="shared" si="49"/>
        <v>#N/A</v>
      </c>
      <c r="DQ73" t="e">
        <f t="shared" si="49"/>
        <v>#N/A</v>
      </c>
      <c r="DR73" t="e">
        <f t="shared" si="49"/>
        <v>#N/A</v>
      </c>
      <c r="DS73" t="e">
        <f t="shared" si="49"/>
        <v>#N/A</v>
      </c>
      <c r="DT73">
        <f t="shared" si="49"/>
        <v>4191</v>
      </c>
      <c r="DU73">
        <f t="shared" si="49"/>
        <v>4192</v>
      </c>
      <c r="DV73">
        <f t="shared" si="49"/>
        <v>4193</v>
      </c>
      <c r="DW73">
        <f t="shared" si="49"/>
        <v>4194</v>
      </c>
      <c r="DX73">
        <f t="shared" si="49"/>
        <v>4195</v>
      </c>
      <c r="DY73">
        <f t="shared" si="48"/>
        <v>4196</v>
      </c>
      <c r="DZ73">
        <f t="shared" si="48"/>
        <v>4197</v>
      </c>
      <c r="EA73">
        <f t="shared" si="48"/>
        <v>4198</v>
      </c>
      <c r="EB73">
        <f t="shared" si="48"/>
        <v>4199</v>
      </c>
      <c r="EC73">
        <f t="shared" si="48"/>
        <v>4200</v>
      </c>
      <c r="ED73" t="e">
        <f t="shared" si="48"/>
        <v>#N/A</v>
      </c>
      <c r="EE73" t="e">
        <f t="shared" si="48"/>
        <v>#N/A</v>
      </c>
      <c r="EF73" t="e">
        <f t="shared" si="48"/>
        <v>#N/A</v>
      </c>
      <c r="EG73" t="e">
        <f t="shared" si="48"/>
        <v>#N/A</v>
      </c>
      <c r="EH73" t="e">
        <f t="shared" si="50"/>
        <v>#N/A</v>
      </c>
      <c r="EI73" t="e">
        <f t="shared" si="50"/>
        <v>#N/A</v>
      </c>
      <c r="EJ73" t="e">
        <f t="shared" si="50"/>
        <v>#N/A</v>
      </c>
      <c r="EK73" t="e">
        <f t="shared" si="50"/>
        <v>#N/A</v>
      </c>
      <c r="EL73" t="e">
        <f t="shared" si="50"/>
        <v>#N/A</v>
      </c>
      <c r="EM73" t="e">
        <f t="shared" si="50"/>
        <v>#N/A</v>
      </c>
    </row>
    <row r="74" spans="1:143" x14ac:dyDescent="0.4">
      <c r="A74" t="str">
        <f t="shared" si="51"/>
        <v/>
      </c>
      <c r="B74">
        <v>71</v>
      </c>
      <c r="C74" t="str" cm="1">
        <f t="array" ref="C74">INDEX(auto_Series_Code,B74)</f>
        <v>BG19</v>
      </c>
      <c r="D74">
        <f t="shared" si="55"/>
        <v>4201</v>
      </c>
      <c r="E74">
        <f t="shared" si="55"/>
        <v>4202</v>
      </c>
      <c r="F74">
        <f t="shared" si="55"/>
        <v>4203</v>
      </c>
      <c r="G74">
        <f t="shared" si="55"/>
        <v>4204</v>
      </c>
      <c r="H74">
        <f t="shared" si="55"/>
        <v>4205</v>
      </c>
      <c r="I74">
        <f t="shared" si="55"/>
        <v>4206</v>
      </c>
      <c r="J74">
        <f t="shared" si="55"/>
        <v>4207</v>
      </c>
      <c r="K74">
        <f t="shared" si="55"/>
        <v>4208</v>
      </c>
      <c r="L74">
        <f t="shared" si="55"/>
        <v>4209</v>
      </c>
      <c r="M74">
        <f t="shared" si="55"/>
        <v>4210</v>
      </c>
      <c r="N74">
        <f t="shared" si="55"/>
        <v>4211</v>
      </c>
      <c r="O74">
        <f t="shared" si="55"/>
        <v>4212</v>
      </c>
      <c r="P74">
        <f t="shared" si="55"/>
        <v>4213</v>
      </c>
      <c r="Q74">
        <f t="shared" si="55"/>
        <v>4214</v>
      </c>
      <c r="R74">
        <f t="shared" si="55"/>
        <v>4215</v>
      </c>
      <c r="S74">
        <f t="shared" si="55"/>
        <v>4216</v>
      </c>
      <c r="T74">
        <f t="shared" si="52"/>
        <v>4217</v>
      </c>
      <c r="U74">
        <f t="shared" si="52"/>
        <v>4218</v>
      </c>
      <c r="V74">
        <f t="shared" si="52"/>
        <v>4219</v>
      </c>
      <c r="W74">
        <f t="shared" si="52"/>
        <v>4220</v>
      </c>
      <c r="X74">
        <f t="shared" si="52"/>
        <v>4221</v>
      </c>
      <c r="Y74">
        <f t="shared" si="52"/>
        <v>4222</v>
      </c>
      <c r="Z74">
        <f t="shared" si="52"/>
        <v>4223</v>
      </c>
      <c r="AA74">
        <f t="shared" si="52"/>
        <v>4224</v>
      </c>
      <c r="AB74">
        <f t="shared" si="52"/>
        <v>4225</v>
      </c>
      <c r="AC74">
        <f t="shared" si="52"/>
        <v>4226</v>
      </c>
      <c r="AD74">
        <f t="shared" si="52"/>
        <v>4227</v>
      </c>
      <c r="AE74">
        <f t="shared" si="52"/>
        <v>4228</v>
      </c>
      <c r="AF74">
        <f t="shared" si="52"/>
        <v>4229</v>
      </c>
      <c r="AG74">
        <f t="shared" si="52"/>
        <v>4230</v>
      </c>
      <c r="AH74">
        <f t="shared" si="56"/>
        <v>4231</v>
      </c>
      <c r="AI74">
        <f t="shared" si="56"/>
        <v>4232</v>
      </c>
      <c r="AJ74">
        <f t="shared" si="56"/>
        <v>4233</v>
      </c>
      <c r="AK74">
        <f t="shared" si="56"/>
        <v>4234</v>
      </c>
      <c r="AL74">
        <f t="shared" si="56"/>
        <v>4235</v>
      </c>
      <c r="AM74">
        <f t="shared" si="56"/>
        <v>4236</v>
      </c>
      <c r="AN74">
        <f t="shared" si="56"/>
        <v>4237</v>
      </c>
      <c r="AO74">
        <f t="shared" si="56"/>
        <v>4238</v>
      </c>
      <c r="AP74">
        <f t="shared" si="56"/>
        <v>4239</v>
      </c>
      <c r="AQ74">
        <f t="shared" si="56"/>
        <v>4240</v>
      </c>
      <c r="AR74">
        <f t="shared" si="56"/>
        <v>4241</v>
      </c>
      <c r="AS74">
        <f t="shared" si="56"/>
        <v>4242</v>
      </c>
      <c r="AT74">
        <f t="shared" si="56"/>
        <v>4243</v>
      </c>
      <c r="AU74">
        <f t="shared" si="56"/>
        <v>4244</v>
      </c>
      <c r="AV74">
        <f t="shared" si="56"/>
        <v>4245</v>
      </c>
      <c r="AW74">
        <f t="shared" si="57"/>
        <v>4246</v>
      </c>
      <c r="AX74">
        <f t="shared" si="57"/>
        <v>4247</v>
      </c>
      <c r="AY74">
        <f t="shared" si="57"/>
        <v>4248</v>
      </c>
      <c r="AZ74">
        <f t="shared" si="57"/>
        <v>4249</v>
      </c>
      <c r="BA74">
        <f t="shared" si="57"/>
        <v>4250</v>
      </c>
      <c r="BB74" t="e">
        <f t="shared" si="40"/>
        <v>#N/A</v>
      </c>
      <c r="BC74" t="e">
        <f t="shared" si="40"/>
        <v>#N/A</v>
      </c>
      <c r="BD74" t="e">
        <f t="shared" ref="BD74:BS104" si="59">MATCH(CONCATENATE(BD$3,"_",$C74),auto_DataFlat_UID,0)</f>
        <v>#N/A</v>
      </c>
      <c r="BE74" t="e">
        <f t="shared" si="59"/>
        <v>#N/A</v>
      </c>
      <c r="BF74" t="e">
        <f t="shared" si="59"/>
        <v>#N/A</v>
      </c>
      <c r="BG74" t="e">
        <f t="shared" si="59"/>
        <v>#N/A</v>
      </c>
      <c r="BH74" t="e">
        <f t="shared" si="59"/>
        <v>#N/A</v>
      </c>
      <c r="BI74" t="e">
        <f t="shared" si="59"/>
        <v>#N/A</v>
      </c>
      <c r="BJ74" t="e">
        <f t="shared" si="59"/>
        <v>#N/A</v>
      </c>
      <c r="BK74" t="e">
        <f t="shared" si="59"/>
        <v>#N/A</v>
      </c>
      <c r="BL74" t="e">
        <f t="shared" si="59"/>
        <v>#N/A</v>
      </c>
      <c r="BM74" t="e">
        <f t="shared" si="59"/>
        <v>#N/A</v>
      </c>
      <c r="BN74" t="e">
        <f t="shared" si="59"/>
        <v>#N/A</v>
      </c>
      <c r="BO74" t="e">
        <f t="shared" si="59"/>
        <v>#N/A</v>
      </c>
      <c r="BP74" t="e">
        <f t="shared" si="59"/>
        <v>#N/A</v>
      </c>
      <c r="BQ74" t="e">
        <f t="shared" si="59"/>
        <v>#N/A</v>
      </c>
      <c r="BR74" t="e">
        <f t="shared" si="59"/>
        <v>#N/A</v>
      </c>
      <c r="BS74" t="e">
        <f t="shared" si="59"/>
        <v>#N/A</v>
      </c>
      <c r="BT74" t="e">
        <f t="shared" si="58"/>
        <v>#N/A</v>
      </c>
      <c r="BU74" t="e">
        <f t="shared" si="58"/>
        <v>#N/A</v>
      </c>
      <c r="BV74" t="e">
        <f t="shared" si="58"/>
        <v>#N/A</v>
      </c>
      <c r="BW74" t="e">
        <f t="shared" si="58"/>
        <v>#N/A</v>
      </c>
      <c r="BX74" t="e">
        <f t="shared" si="58"/>
        <v>#N/A</v>
      </c>
      <c r="BY74" t="e">
        <f t="shared" si="58"/>
        <v>#N/A</v>
      </c>
      <c r="BZ74" t="e">
        <f t="shared" si="58"/>
        <v>#N/A</v>
      </c>
      <c r="CA74" t="e">
        <f t="shared" si="58"/>
        <v>#N/A</v>
      </c>
      <c r="CB74" t="e">
        <f t="shared" si="58"/>
        <v>#N/A</v>
      </c>
      <c r="CC74" t="e">
        <f t="shared" si="54"/>
        <v>#N/A</v>
      </c>
      <c r="CD74" t="e">
        <f t="shared" si="54"/>
        <v>#N/A</v>
      </c>
      <c r="CE74" t="e">
        <f t="shared" si="54"/>
        <v>#N/A</v>
      </c>
      <c r="CF74" t="e">
        <f t="shared" si="43"/>
        <v>#N/A</v>
      </c>
      <c r="CG74" t="e">
        <f t="shared" si="43"/>
        <v>#N/A</v>
      </c>
      <c r="CH74" t="e">
        <f t="shared" si="43"/>
        <v>#N/A</v>
      </c>
      <c r="CI74" t="e">
        <f t="shared" si="43"/>
        <v>#N/A</v>
      </c>
      <c r="CJ74" t="e">
        <f t="shared" si="43"/>
        <v>#N/A</v>
      </c>
      <c r="CK74" t="e">
        <f t="shared" si="43"/>
        <v>#N/A</v>
      </c>
      <c r="CL74" t="e">
        <f t="shared" si="43"/>
        <v>#N/A</v>
      </c>
      <c r="CM74" t="e">
        <f t="shared" si="43"/>
        <v>#N/A</v>
      </c>
      <c r="CN74" t="e">
        <f t="shared" si="43"/>
        <v>#N/A</v>
      </c>
      <c r="CO74" t="e">
        <f t="shared" si="43"/>
        <v>#N/A</v>
      </c>
      <c r="CP74" t="e">
        <f t="shared" si="44"/>
        <v>#N/A</v>
      </c>
      <c r="CQ74" t="e">
        <f t="shared" si="44"/>
        <v>#N/A</v>
      </c>
      <c r="CR74" t="e">
        <f t="shared" si="44"/>
        <v>#N/A</v>
      </c>
      <c r="CS74" t="e">
        <f t="shared" si="44"/>
        <v>#N/A</v>
      </c>
      <c r="CT74" t="e">
        <f t="shared" si="44"/>
        <v>#N/A</v>
      </c>
      <c r="CU74" t="e">
        <f t="shared" si="44"/>
        <v>#N/A</v>
      </c>
      <c r="CV74" t="e">
        <f t="shared" si="44"/>
        <v>#N/A</v>
      </c>
      <c r="CW74" t="e">
        <f t="shared" si="44"/>
        <v>#N/A</v>
      </c>
      <c r="CX74" t="e">
        <f t="shared" si="44"/>
        <v>#N/A</v>
      </c>
      <c r="CY74" t="e">
        <f t="shared" si="44"/>
        <v>#N/A</v>
      </c>
      <c r="CZ74" t="e">
        <f t="shared" si="35"/>
        <v>#N/A</v>
      </c>
      <c r="DA74" t="e">
        <f t="shared" si="35"/>
        <v>#N/A</v>
      </c>
      <c r="DB74" t="e">
        <f t="shared" si="35"/>
        <v>#N/A</v>
      </c>
      <c r="DC74" t="e">
        <f t="shared" si="35"/>
        <v>#N/A</v>
      </c>
      <c r="DD74" t="e">
        <f t="shared" si="35"/>
        <v>#N/A</v>
      </c>
      <c r="DE74" t="e">
        <f t="shared" si="35"/>
        <v>#N/A</v>
      </c>
      <c r="DF74" t="e">
        <f t="shared" si="35"/>
        <v>#N/A</v>
      </c>
      <c r="DG74" t="e">
        <f t="shared" si="35"/>
        <v>#N/A</v>
      </c>
      <c r="DH74" t="e">
        <f t="shared" si="35"/>
        <v>#N/A</v>
      </c>
      <c r="DI74" t="e">
        <f t="shared" si="49"/>
        <v>#N/A</v>
      </c>
      <c r="DJ74" t="e">
        <f t="shared" si="49"/>
        <v>#N/A</v>
      </c>
      <c r="DK74" t="e">
        <f t="shared" si="49"/>
        <v>#N/A</v>
      </c>
      <c r="DL74" t="e">
        <f t="shared" si="49"/>
        <v>#N/A</v>
      </c>
      <c r="DM74" t="e">
        <f t="shared" si="49"/>
        <v>#N/A</v>
      </c>
      <c r="DN74" t="e">
        <f t="shared" si="49"/>
        <v>#N/A</v>
      </c>
      <c r="DO74" t="e">
        <f t="shared" si="49"/>
        <v>#N/A</v>
      </c>
      <c r="DP74" t="e">
        <f t="shared" si="49"/>
        <v>#N/A</v>
      </c>
      <c r="DQ74" t="e">
        <f t="shared" si="49"/>
        <v>#N/A</v>
      </c>
      <c r="DR74" t="e">
        <f t="shared" si="49"/>
        <v>#N/A</v>
      </c>
      <c r="DS74" t="e">
        <f t="shared" si="49"/>
        <v>#N/A</v>
      </c>
      <c r="DT74">
        <f t="shared" si="49"/>
        <v>4251</v>
      </c>
      <c r="DU74">
        <f t="shared" si="49"/>
        <v>4252</v>
      </c>
      <c r="DV74">
        <f t="shared" si="49"/>
        <v>4253</v>
      </c>
      <c r="DW74">
        <f t="shared" si="49"/>
        <v>4254</v>
      </c>
      <c r="DX74">
        <f t="shared" si="49"/>
        <v>4255</v>
      </c>
      <c r="DY74">
        <f t="shared" si="48"/>
        <v>4256</v>
      </c>
      <c r="DZ74">
        <f t="shared" si="48"/>
        <v>4257</v>
      </c>
      <c r="EA74">
        <f t="shared" si="48"/>
        <v>4258</v>
      </c>
      <c r="EB74">
        <f t="shared" si="48"/>
        <v>4259</v>
      </c>
      <c r="EC74">
        <f t="shared" si="48"/>
        <v>4260</v>
      </c>
      <c r="ED74" t="e">
        <f t="shared" si="48"/>
        <v>#N/A</v>
      </c>
      <c r="EE74" t="e">
        <f t="shared" si="48"/>
        <v>#N/A</v>
      </c>
      <c r="EF74" t="e">
        <f t="shared" si="48"/>
        <v>#N/A</v>
      </c>
      <c r="EG74" t="e">
        <f t="shared" si="48"/>
        <v>#N/A</v>
      </c>
      <c r="EH74" t="e">
        <f t="shared" si="50"/>
        <v>#N/A</v>
      </c>
      <c r="EI74" t="e">
        <f t="shared" si="50"/>
        <v>#N/A</v>
      </c>
      <c r="EJ74" t="e">
        <f t="shared" si="50"/>
        <v>#N/A</v>
      </c>
      <c r="EK74" t="e">
        <f t="shared" si="50"/>
        <v>#N/A</v>
      </c>
      <c r="EL74" t="e">
        <f t="shared" si="50"/>
        <v>#N/A</v>
      </c>
      <c r="EM74" t="e">
        <f t="shared" si="50"/>
        <v>#N/A</v>
      </c>
    </row>
    <row r="75" spans="1:143" x14ac:dyDescent="0.4">
      <c r="A75" t="str">
        <f t="shared" si="51"/>
        <v/>
      </c>
      <c r="B75">
        <v>72</v>
      </c>
      <c r="C75" t="str" cm="1">
        <f t="array" ref="C75">INDEX(auto_Series_Code,B75)</f>
        <v>BG11</v>
      </c>
      <c r="D75">
        <f t="shared" si="55"/>
        <v>4261</v>
      </c>
      <c r="E75">
        <f t="shared" si="55"/>
        <v>4262</v>
      </c>
      <c r="F75">
        <f t="shared" si="55"/>
        <v>4263</v>
      </c>
      <c r="G75">
        <f t="shared" si="55"/>
        <v>4264</v>
      </c>
      <c r="H75">
        <f t="shared" si="55"/>
        <v>4265</v>
      </c>
      <c r="I75">
        <f t="shared" si="55"/>
        <v>4266</v>
      </c>
      <c r="J75">
        <f t="shared" si="55"/>
        <v>4267</v>
      </c>
      <c r="K75">
        <f t="shared" si="55"/>
        <v>4268</v>
      </c>
      <c r="L75">
        <f t="shared" si="55"/>
        <v>4269</v>
      </c>
      <c r="M75">
        <f t="shared" si="55"/>
        <v>4270</v>
      </c>
      <c r="N75">
        <f t="shared" si="55"/>
        <v>4271</v>
      </c>
      <c r="O75">
        <f t="shared" si="55"/>
        <v>4272</v>
      </c>
      <c r="P75">
        <f t="shared" si="55"/>
        <v>4273</v>
      </c>
      <c r="Q75">
        <f t="shared" si="55"/>
        <v>4274</v>
      </c>
      <c r="R75">
        <f t="shared" si="55"/>
        <v>4275</v>
      </c>
      <c r="S75">
        <f t="shared" si="55"/>
        <v>4276</v>
      </c>
      <c r="T75">
        <f t="shared" si="52"/>
        <v>4277</v>
      </c>
      <c r="U75">
        <f t="shared" si="52"/>
        <v>4278</v>
      </c>
      <c r="V75">
        <f t="shared" si="52"/>
        <v>4279</v>
      </c>
      <c r="W75">
        <f t="shared" si="52"/>
        <v>4280</v>
      </c>
      <c r="X75">
        <f t="shared" si="52"/>
        <v>4281</v>
      </c>
      <c r="Y75">
        <f t="shared" si="52"/>
        <v>4282</v>
      </c>
      <c r="Z75">
        <f t="shared" si="52"/>
        <v>4283</v>
      </c>
      <c r="AA75">
        <f t="shared" si="52"/>
        <v>4284</v>
      </c>
      <c r="AB75">
        <f t="shared" si="52"/>
        <v>4285</v>
      </c>
      <c r="AC75">
        <f t="shared" si="52"/>
        <v>4286</v>
      </c>
      <c r="AD75">
        <f t="shared" si="52"/>
        <v>4287</v>
      </c>
      <c r="AE75">
        <f t="shared" si="52"/>
        <v>4288</v>
      </c>
      <c r="AF75">
        <f t="shared" si="52"/>
        <v>4289</v>
      </c>
      <c r="AG75">
        <f t="shared" si="52"/>
        <v>4290</v>
      </c>
      <c r="AH75">
        <f t="shared" si="56"/>
        <v>4291</v>
      </c>
      <c r="AI75">
        <f t="shared" si="56"/>
        <v>4292</v>
      </c>
      <c r="AJ75">
        <f t="shared" si="56"/>
        <v>4293</v>
      </c>
      <c r="AK75">
        <f t="shared" si="56"/>
        <v>4294</v>
      </c>
      <c r="AL75">
        <f t="shared" si="56"/>
        <v>4295</v>
      </c>
      <c r="AM75">
        <f t="shared" si="56"/>
        <v>4296</v>
      </c>
      <c r="AN75">
        <f t="shared" si="56"/>
        <v>4297</v>
      </c>
      <c r="AO75">
        <f t="shared" si="56"/>
        <v>4298</v>
      </c>
      <c r="AP75">
        <f t="shared" si="56"/>
        <v>4299</v>
      </c>
      <c r="AQ75">
        <f t="shared" si="56"/>
        <v>4300</v>
      </c>
      <c r="AR75">
        <f t="shared" si="56"/>
        <v>4301</v>
      </c>
      <c r="AS75">
        <f t="shared" si="56"/>
        <v>4302</v>
      </c>
      <c r="AT75">
        <f t="shared" si="56"/>
        <v>4303</v>
      </c>
      <c r="AU75">
        <f t="shared" si="56"/>
        <v>4304</v>
      </c>
      <c r="AV75">
        <f t="shared" si="56"/>
        <v>4305</v>
      </c>
      <c r="AW75">
        <f t="shared" si="57"/>
        <v>4306</v>
      </c>
      <c r="AX75">
        <f t="shared" si="57"/>
        <v>4307</v>
      </c>
      <c r="AY75">
        <f t="shared" si="57"/>
        <v>4308</v>
      </c>
      <c r="AZ75">
        <f t="shared" si="57"/>
        <v>4309</v>
      </c>
      <c r="BA75">
        <f t="shared" si="57"/>
        <v>4310</v>
      </c>
      <c r="BB75" t="e">
        <f t="shared" si="57"/>
        <v>#N/A</v>
      </c>
      <c r="BC75" t="e">
        <f t="shared" si="57"/>
        <v>#N/A</v>
      </c>
      <c r="BD75" t="e">
        <f t="shared" si="57"/>
        <v>#N/A</v>
      </c>
      <c r="BE75" t="e">
        <f t="shared" si="57"/>
        <v>#N/A</v>
      </c>
      <c r="BF75" t="e">
        <f t="shared" si="57"/>
        <v>#N/A</v>
      </c>
      <c r="BG75" t="e">
        <f t="shared" si="57"/>
        <v>#N/A</v>
      </c>
      <c r="BH75" t="e">
        <f t="shared" si="57"/>
        <v>#N/A</v>
      </c>
      <c r="BI75" t="e">
        <f t="shared" si="57"/>
        <v>#N/A</v>
      </c>
      <c r="BJ75" t="e">
        <f t="shared" si="57"/>
        <v>#N/A</v>
      </c>
      <c r="BK75" t="e">
        <f t="shared" si="57"/>
        <v>#N/A</v>
      </c>
      <c r="BL75" t="e">
        <f t="shared" si="59"/>
        <v>#N/A</v>
      </c>
      <c r="BM75" t="e">
        <f t="shared" si="59"/>
        <v>#N/A</v>
      </c>
      <c r="BN75" t="e">
        <f t="shared" si="59"/>
        <v>#N/A</v>
      </c>
      <c r="BO75" t="e">
        <f t="shared" si="59"/>
        <v>#N/A</v>
      </c>
      <c r="BP75" t="e">
        <f t="shared" si="59"/>
        <v>#N/A</v>
      </c>
      <c r="BQ75" t="e">
        <f t="shared" si="59"/>
        <v>#N/A</v>
      </c>
      <c r="BR75" t="e">
        <f t="shared" si="59"/>
        <v>#N/A</v>
      </c>
      <c r="BS75" t="e">
        <f t="shared" si="59"/>
        <v>#N/A</v>
      </c>
      <c r="BT75" t="e">
        <f t="shared" si="58"/>
        <v>#N/A</v>
      </c>
      <c r="BU75" t="e">
        <f t="shared" si="58"/>
        <v>#N/A</v>
      </c>
      <c r="BV75" t="e">
        <f t="shared" si="58"/>
        <v>#N/A</v>
      </c>
      <c r="BW75" t="e">
        <f t="shared" si="58"/>
        <v>#N/A</v>
      </c>
      <c r="BX75" t="e">
        <f t="shared" si="58"/>
        <v>#N/A</v>
      </c>
      <c r="BY75" t="e">
        <f t="shared" si="58"/>
        <v>#N/A</v>
      </c>
      <c r="BZ75" t="e">
        <f t="shared" si="58"/>
        <v>#N/A</v>
      </c>
      <c r="CA75" t="e">
        <f t="shared" si="58"/>
        <v>#N/A</v>
      </c>
      <c r="CB75" t="e">
        <f t="shared" si="58"/>
        <v>#N/A</v>
      </c>
      <c r="CC75" t="e">
        <f t="shared" si="54"/>
        <v>#N/A</v>
      </c>
      <c r="CD75" t="e">
        <f t="shared" si="54"/>
        <v>#N/A</v>
      </c>
      <c r="CE75" t="e">
        <f t="shared" si="54"/>
        <v>#N/A</v>
      </c>
      <c r="CF75" t="e">
        <f t="shared" si="43"/>
        <v>#N/A</v>
      </c>
      <c r="CG75" t="e">
        <f t="shared" si="43"/>
        <v>#N/A</v>
      </c>
      <c r="CH75" t="e">
        <f t="shared" si="43"/>
        <v>#N/A</v>
      </c>
      <c r="CI75" t="e">
        <f t="shared" si="43"/>
        <v>#N/A</v>
      </c>
      <c r="CJ75" t="e">
        <f t="shared" si="43"/>
        <v>#N/A</v>
      </c>
      <c r="CK75" t="e">
        <f t="shared" si="43"/>
        <v>#N/A</v>
      </c>
      <c r="CL75" t="e">
        <f t="shared" si="43"/>
        <v>#N/A</v>
      </c>
      <c r="CM75" t="e">
        <f t="shared" si="43"/>
        <v>#N/A</v>
      </c>
      <c r="CN75" t="e">
        <f t="shared" si="43"/>
        <v>#N/A</v>
      </c>
      <c r="CO75" t="e">
        <f t="shared" si="43"/>
        <v>#N/A</v>
      </c>
      <c r="CP75" t="e">
        <f t="shared" si="44"/>
        <v>#N/A</v>
      </c>
      <c r="CQ75" t="e">
        <f t="shared" si="44"/>
        <v>#N/A</v>
      </c>
      <c r="CR75" t="e">
        <f t="shared" si="44"/>
        <v>#N/A</v>
      </c>
      <c r="CS75" t="e">
        <f t="shared" si="44"/>
        <v>#N/A</v>
      </c>
      <c r="CT75" t="e">
        <f t="shared" si="44"/>
        <v>#N/A</v>
      </c>
      <c r="CU75" t="e">
        <f t="shared" si="44"/>
        <v>#N/A</v>
      </c>
      <c r="CV75" t="e">
        <f t="shared" si="44"/>
        <v>#N/A</v>
      </c>
      <c r="CW75" t="e">
        <f t="shared" si="44"/>
        <v>#N/A</v>
      </c>
      <c r="CX75" t="e">
        <f t="shared" si="44"/>
        <v>#N/A</v>
      </c>
      <c r="CY75" t="e">
        <f t="shared" si="44"/>
        <v>#N/A</v>
      </c>
      <c r="CZ75" t="e">
        <f t="shared" si="35"/>
        <v>#N/A</v>
      </c>
      <c r="DA75" t="e">
        <f t="shared" si="35"/>
        <v>#N/A</v>
      </c>
      <c r="DB75" t="e">
        <f t="shared" si="35"/>
        <v>#N/A</v>
      </c>
      <c r="DC75" t="e">
        <f t="shared" si="35"/>
        <v>#N/A</v>
      </c>
      <c r="DD75" t="e">
        <f t="shared" si="35"/>
        <v>#N/A</v>
      </c>
      <c r="DE75" t="e">
        <f t="shared" si="35"/>
        <v>#N/A</v>
      </c>
      <c r="DF75" t="e">
        <f t="shared" si="35"/>
        <v>#N/A</v>
      </c>
      <c r="DG75" t="e">
        <f t="shared" si="35"/>
        <v>#N/A</v>
      </c>
      <c r="DH75" t="e">
        <f t="shared" si="35"/>
        <v>#N/A</v>
      </c>
      <c r="DI75" t="e">
        <f t="shared" si="49"/>
        <v>#N/A</v>
      </c>
      <c r="DJ75" t="e">
        <f t="shared" si="49"/>
        <v>#N/A</v>
      </c>
      <c r="DK75" t="e">
        <f t="shared" si="49"/>
        <v>#N/A</v>
      </c>
      <c r="DL75" t="e">
        <f t="shared" si="49"/>
        <v>#N/A</v>
      </c>
      <c r="DM75" t="e">
        <f t="shared" si="49"/>
        <v>#N/A</v>
      </c>
      <c r="DN75" t="e">
        <f t="shared" si="49"/>
        <v>#N/A</v>
      </c>
      <c r="DO75" t="e">
        <f t="shared" si="49"/>
        <v>#N/A</v>
      </c>
      <c r="DP75" t="e">
        <f t="shared" si="49"/>
        <v>#N/A</v>
      </c>
      <c r="DQ75" t="e">
        <f t="shared" si="49"/>
        <v>#N/A</v>
      </c>
      <c r="DR75" t="e">
        <f t="shared" si="49"/>
        <v>#N/A</v>
      </c>
      <c r="DS75" t="e">
        <f t="shared" si="49"/>
        <v>#N/A</v>
      </c>
      <c r="DT75">
        <f t="shared" si="49"/>
        <v>4311</v>
      </c>
      <c r="DU75">
        <f t="shared" si="49"/>
        <v>4312</v>
      </c>
      <c r="DV75">
        <f t="shared" si="49"/>
        <v>4313</v>
      </c>
      <c r="DW75">
        <f t="shared" si="49"/>
        <v>4314</v>
      </c>
      <c r="DX75">
        <f t="shared" si="49"/>
        <v>4315</v>
      </c>
      <c r="DY75">
        <f t="shared" si="48"/>
        <v>4316</v>
      </c>
      <c r="DZ75">
        <f t="shared" si="48"/>
        <v>4317</v>
      </c>
      <c r="EA75">
        <f t="shared" si="48"/>
        <v>4318</v>
      </c>
      <c r="EB75">
        <f t="shared" si="48"/>
        <v>4319</v>
      </c>
      <c r="EC75">
        <f t="shared" si="48"/>
        <v>4320</v>
      </c>
      <c r="ED75" t="e">
        <f t="shared" si="48"/>
        <v>#N/A</v>
      </c>
      <c r="EE75" t="e">
        <f t="shared" si="48"/>
        <v>#N/A</v>
      </c>
      <c r="EF75" t="e">
        <f t="shared" si="48"/>
        <v>#N/A</v>
      </c>
      <c r="EG75" t="e">
        <f t="shared" si="48"/>
        <v>#N/A</v>
      </c>
      <c r="EH75" t="e">
        <f t="shared" si="50"/>
        <v>#N/A</v>
      </c>
      <c r="EI75" t="e">
        <f t="shared" si="50"/>
        <v>#N/A</v>
      </c>
      <c r="EJ75" t="e">
        <f t="shared" si="50"/>
        <v>#N/A</v>
      </c>
      <c r="EK75" t="e">
        <f t="shared" si="50"/>
        <v>#N/A</v>
      </c>
      <c r="EL75" t="e">
        <f t="shared" si="50"/>
        <v>#N/A</v>
      </c>
      <c r="EM75" t="e">
        <f t="shared" si="50"/>
        <v>#N/A</v>
      </c>
    </row>
    <row r="76" spans="1:143" x14ac:dyDescent="0.4">
      <c r="A76" t="str">
        <f t="shared" si="51"/>
        <v/>
      </c>
      <c r="B76">
        <v>73</v>
      </c>
      <c r="C76" t="str" cm="1">
        <f t="array" ref="C76">INDEX(auto_Series_Code,B76)</f>
        <v>BG12</v>
      </c>
      <c r="D76">
        <f t="shared" si="55"/>
        <v>4321</v>
      </c>
      <c r="E76">
        <f t="shared" si="55"/>
        <v>4322</v>
      </c>
      <c r="F76">
        <f t="shared" si="55"/>
        <v>4323</v>
      </c>
      <c r="G76">
        <f t="shared" si="55"/>
        <v>4324</v>
      </c>
      <c r="H76">
        <f t="shared" si="55"/>
        <v>4325</v>
      </c>
      <c r="I76">
        <f t="shared" si="55"/>
        <v>4326</v>
      </c>
      <c r="J76">
        <f t="shared" si="55"/>
        <v>4327</v>
      </c>
      <c r="K76">
        <f t="shared" si="55"/>
        <v>4328</v>
      </c>
      <c r="L76">
        <f t="shared" si="55"/>
        <v>4329</v>
      </c>
      <c r="M76">
        <f t="shared" si="55"/>
        <v>4330</v>
      </c>
      <c r="N76">
        <f t="shared" si="55"/>
        <v>4331</v>
      </c>
      <c r="O76">
        <f t="shared" si="55"/>
        <v>4332</v>
      </c>
      <c r="P76">
        <f t="shared" si="55"/>
        <v>4333</v>
      </c>
      <c r="Q76">
        <f t="shared" si="55"/>
        <v>4334</v>
      </c>
      <c r="R76">
        <f t="shared" si="55"/>
        <v>4335</v>
      </c>
      <c r="S76">
        <f t="shared" si="55"/>
        <v>4336</v>
      </c>
      <c r="T76">
        <f t="shared" si="52"/>
        <v>4337</v>
      </c>
      <c r="U76">
        <f t="shared" si="52"/>
        <v>4338</v>
      </c>
      <c r="V76">
        <f t="shared" si="52"/>
        <v>4339</v>
      </c>
      <c r="W76">
        <f t="shared" si="52"/>
        <v>4340</v>
      </c>
      <c r="X76">
        <f t="shared" si="52"/>
        <v>4341</v>
      </c>
      <c r="Y76">
        <f t="shared" si="52"/>
        <v>4342</v>
      </c>
      <c r="Z76">
        <f t="shared" si="52"/>
        <v>4343</v>
      </c>
      <c r="AA76">
        <f t="shared" si="52"/>
        <v>4344</v>
      </c>
      <c r="AB76">
        <f t="shared" si="52"/>
        <v>4345</v>
      </c>
      <c r="AC76">
        <f t="shared" si="52"/>
        <v>4346</v>
      </c>
      <c r="AD76">
        <f t="shared" si="52"/>
        <v>4347</v>
      </c>
      <c r="AE76">
        <f t="shared" si="52"/>
        <v>4348</v>
      </c>
      <c r="AF76">
        <f t="shared" si="52"/>
        <v>4349</v>
      </c>
      <c r="AG76">
        <f t="shared" si="52"/>
        <v>4350</v>
      </c>
      <c r="AH76">
        <f t="shared" si="56"/>
        <v>4351</v>
      </c>
      <c r="AI76">
        <f t="shared" si="56"/>
        <v>4352</v>
      </c>
      <c r="AJ76">
        <f t="shared" si="56"/>
        <v>4353</v>
      </c>
      <c r="AK76">
        <f t="shared" si="56"/>
        <v>4354</v>
      </c>
      <c r="AL76">
        <f t="shared" si="56"/>
        <v>4355</v>
      </c>
      <c r="AM76">
        <f t="shared" si="56"/>
        <v>4356</v>
      </c>
      <c r="AN76">
        <f t="shared" si="56"/>
        <v>4357</v>
      </c>
      <c r="AO76">
        <f t="shared" si="56"/>
        <v>4358</v>
      </c>
      <c r="AP76">
        <f t="shared" si="56"/>
        <v>4359</v>
      </c>
      <c r="AQ76">
        <f t="shared" si="56"/>
        <v>4360</v>
      </c>
      <c r="AR76">
        <f t="shared" si="56"/>
        <v>4361</v>
      </c>
      <c r="AS76">
        <f t="shared" si="56"/>
        <v>4362</v>
      </c>
      <c r="AT76">
        <f t="shared" si="56"/>
        <v>4363</v>
      </c>
      <c r="AU76">
        <f t="shared" si="56"/>
        <v>4364</v>
      </c>
      <c r="AV76">
        <f t="shared" si="56"/>
        <v>4365</v>
      </c>
      <c r="AW76">
        <f t="shared" si="57"/>
        <v>4366</v>
      </c>
      <c r="AX76">
        <f t="shared" si="57"/>
        <v>4367</v>
      </c>
      <c r="AY76">
        <f t="shared" si="57"/>
        <v>4368</v>
      </c>
      <c r="AZ76">
        <f t="shared" si="57"/>
        <v>4369</v>
      </c>
      <c r="BA76">
        <f t="shared" si="57"/>
        <v>4370</v>
      </c>
      <c r="BB76" t="e">
        <f t="shared" si="57"/>
        <v>#N/A</v>
      </c>
      <c r="BC76" t="e">
        <f t="shared" si="57"/>
        <v>#N/A</v>
      </c>
      <c r="BD76" t="e">
        <f t="shared" si="57"/>
        <v>#N/A</v>
      </c>
      <c r="BE76" t="e">
        <f t="shared" si="57"/>
        <v>#N/A</v>
      </c>
      <c r="BF76" t="e">
        <f t="shared" si="57"/>
        <v>#N/A</v>
      </c>
      <c r="BG76" t="e">
        <f t="shared" si="57"/>
        <v>#N/A</v>
      </c>
      <c r="BH76" t="e">
        <f t="shared" si="57"/>
        <v>#N/A</v>
      </c>
      <c r="BI76" t="e">
        <f t="shared" si="57"/>
        <v>#N/A</v>
      </c>
      <c r="BJ76" t="e">
        <f t="shared" si="57"/>
        <v>#N/A</v>
      </c>
      <c r="BK76" t="e">
        <f t="shared" si="57"/>
        <v>#N/A</v>
      </c>
      <c r="BL76" t="e">
        <f t="shared" si="59"/>
        <v>#N/A</v>
      </c>
      <c r="BM76" t="e">
        <f t="shared" si="59"/>
        <v>#N/A</v>
      </c>
      <c r="BN76" t="e">
        <f t="shared" si="59"/>
        <v>#N/A</v>
      </c>
      <c r="BO76" t="e">
        <f t="shared" si="59"/>
        <v>#N/A</v>
      </c>
      <c r="BP76" t="e">
        <f t="shared" si="59"/>
        <v>#N/A</v>
      </c>
      <c r="BQ76" t="e">
        <f t="shared" si="59"/>
        <v>#N/A</v>
      </c>
      <c r="BR76" t="e">
        <f t="shared" si="59"/>
        <v>#N/A</v>
      </c>
      <c r="BS76" t="e">
        <f t="shared" si="59"/>
        <v>#N/A</v>
      </c>
      <c r="BT76" t="e">
        <f t="shared" si="58"/>
        <v>#N/A</v>
      </c>
      <c r="BU76" t="e">
        <f t="shared" si="58"/>
        <v>#N/A</v>
      </c>
      <c r="BV76" t="e">
        <f t="shared" si="58"/>
        <v>#N/A</v>
      </c>
      <c r="BW76" t="e">
        <f t="shared" si="58"/>
        <v>#N/A</v>
      </c>
      <c r="BX76" t="e">
        <f t="shared" si="58"/>
        <v>#N/A</v>
      </c>
      <c r="BY76" t="e">
        <f t="shared" si="58"/>
        <v>#N/A</v>
      </c>
      <c r="BZ76" t="e">
        <f t="shared" si="58"/>
        <v>#N/A</v>
      </c>
      <c r="CA76" t="e">
        <f t="shared" si="58"/>
        <v>#N/A</v>
      </c>
      <c r="CB76" t="e">
        <f t="shared" si="58"/>
        <v>#N/A</v>
      </c>
      <c r="CC76" t="e">
        <f t="shared" si="54"/>
        <v>#N/A</v>
      </c>
      <c r="CD76" t="e">
        <f t="shared" si="54"/>
        <v>#N/A</v>
      </c>
      <c r="CE76" t="e">
        <f t="shared" si="54"/>
        <v>#N/A</v>
      </c>
      <c r="CF76" t="e">
        <f t="shared" si="54"/>
        <v>#N/A</v>
      </c>
      <c r="CG76" t="e">
        <f t="shared" si="54"/>
        <v>#N/A</v>
      </c>
      <c r="CH76" t="e">
        <f t="shared" si="54"/>
        <v>#N/A</v>
      </c>
      <c r="CI76" t="e">
        <f t="shared" si="54"/>
        <v>#N/A</v>
      </c>
      <c r="CJ76" t="e">
        <f t="shared" si="54"/>
        <v>#N/A</v>
      </c>
      <c r="CK76" t="e">
        <f t="shared" si="54"/>
        <v>#N/A</v>
      </c>
      <c r="CL76" t="e">
        <f t="shared" si="54"/>
        <v>#N/A</v>
      </c>
      <c r="CM76" t="e">
        <f t="shared" si="54"/>
        <v>#N/A</v>
      </c>
      <c r="CN76" t="e">
        <f t="shared" si="54"/>
        <v>#N/A</v>
      </c>
      <c r="CO76" t="e">
        <f t="shared" si="54"/>
        <v>#N/A</v>
      </c>
      <c r="CP76" t="e">
        <f t="shared" si="44"/>
        <v>#N/A</v>
      </c>
      <c r="CQ76" t="e">
        <f t="shared" si="44"/>
        <v>#N/A</v>
      </c>
      <c r="CR76" t="e">
        <f t="shared" si="44"/>
        <v>#N/A</v>
      </c>
      <c r="CS76" t="e">
        <f t="shared" si="44"/>
        <v>#N/A</v>
      </c>
      <c r="CT76" t="e">
        <f t="shared" si="44"/>
        <v>#N/A</v>
      </c>
      <c r="CU76" t="e">
        <f t="shared" si="44"/>
        <v>#N/A</v>
      </c>
      <c r="CV76" t="e">
        <f t="shared" si="44"/>
        <v>#N/A</v>
      </c>
      <c r="CW76" t="e">
        <f t="shared" si="44"/>
        <v>#N/A</v>
      </c>
      <c r="CX76" t="e">
        <f t="shared" si="44"/>
        <v>#N/A</v>
      </c>
      <c r="CY76" t="e">
        <f t="shared" si="44"/>
        <v>#N/A</v>
      </c>
      <c r="CZ76" t="e">
        <f t="shared" si="35"/>
        <v>#N/A</v>
      </c>
      <c r="DA76" t="e">
        <f t="shared" si="35"/>
        <v>#N/A</v>
      </c>
      <c r="DB76" t="e">
        <f t="shared" si="35"/>
        <v>#N/A</v>
      </c>
      <c r="DC76" t="e">
        <f t="shared" si="35"/>
        <v>#N/A</v>
      </c>
      <c r="DD76" t="e">
        <f t="shared" si="35"/>
        <v>#N/A</v>
      </c>
      <c r="DE76" t="e">
        <f t="shared" si="35"/>
        <v>#N/A</v>
      </c>
      <c r="DF76" t="e">
        <f t="shared" si="35"/>
        <v>#N/A</v>
      </c>
      <c r="DG76" t="e">
        <f t="shared" si="35"/>
        <v>#N/A</v>
      </c>
      <c r="DH76" t="e">
        <f t="shared" si="35"/>
        <v>#N/A</v>
      </c>
      <c r="DI76" t="e">
        <f t="shared" si="49"/>
        <v>#N/A</v>
      </c>
      <c r="DJ76" t="e">
        <f t="shared" si="49"/>
        <v>#N/A</v>
      </c>
      <c r="DK76" t="e">
        <f t="shared" si="49"/>
        <v>#N/A</v>
      </c>
      <c r="DL76" t="e">
        <f t="shared" si="49"/>
        <v>#N/A</v>
      </c>
      <c r="DM76" t="e">
        <f t="shared" si="49"/>
        <v>#N/A</v>
      </c>
      <c r="DN76" t="e">
        <f t="shared" si="49"/>
        <v>#N/A</v>
      </c>
      <c r="DO76" t="e">
        <f t="shared" si="49"/>
        <v>#N/A</v>
      </c>
      <c r="DP76" t="e">
        <f t="shared" si="49"/>
        <v>#N/A</v>
      </c>
      <c r="DQ76" t="e">
        <f t="shared" si="49"/>
        <v>#N/A</v>
      </c>
      <c r="DR76" t="e">
        <f t="shared" si="49"/>
        <v>#N/A</v>
      </c>
      <c r="DS76" t="e">
        <f t="shared" si="49"/>
        <v>#N/A</v>
      </c>
      <c r="DT76">
        <f t="shared" si="49"/>
        <v>4371</v>
      </c>
      <c r="DU76">
        <f t="shared" si="49"/>
        <v>4372</v>
      </c>
      <c r="DV76">
        <f t="shared" si="49"/>
        <v>4373</v>
      </c>
      <c r="DW76">
        <f t="shared" si="49"/>
        <v>4374</v>
      </c>
      <c r="DX76">
        <f t="shared" si="49"/>
        <v>4375</v>
      </c>
      <c r="DY76">
        <f t="shared" si="48"/>
        <v>4376</v>
      </c>
      <c r="DZ76">
        <f t="shared" si="48"/>
        <v>4377</v>
      </c>
      <c r="EA76">
        <f t="shared" si="48"/>
        <v>4378</v>
      </c>
      <c r="EB76">
        <f t="shared" si="48"/>
        <v>4379</v>
      </c>
      <c r="EC76">
        <f t="shared" si="48"/>
        <v>4380</v>
      </c>
      <c r="ED76" t="e">
        <f t="shared" si="48"/>
        <v>#N/A</v>
      </c>
      <c r="EE76" t="e">
        <f t="shared" si="48"/>
        <v>#N/A</v>
      </c>
      <c r="EF76" t="e">
        <f t="shared" si="48"/>
        <v>#N/A</v>
      </c>
      <c r="EG76" t="e">
        <f t="shared" si="48"/>
        <v>#N/A</v>
      </c>
      <c r="EH76" t="e">
        <f t="shared" si="50"/>
        <v>#N/A</v>
      </c>
      <c r="EI76" t="e">
        <f t="shared" si="50"/>
        <v>#N/A</v>
      </c>
      <c r="EJ76" t="e">
        <f t="shared" si="50"/>
        <v>#N/A</v>
      </c>
      <c r="EK76" t="e">
        <f t="shared" si="50"/>
        <v>#N/A</v>
      </c>
      <c r="EL76" t="e">
        <f t="shared" si="50"/>
        <v>#N/A</v>
      </c>
      <c r="EM76" t="e">
        <f t="shared" si="50"/>
        <v>#N/A</v>
      </c>
    </row>
    <row r="77" spans="1:143" x14ac:dyDescent="0.4">
      <c r="A77" t="str">
        <f t="shared" si="51"/>
        <v/>
      </c>
      <c r="B77">
        <v>74</v>
      </c>
      <c r="C77" t="str" cm="1">
        <f t="array" ref="C77">INDEX(auto_Series_Code,B77)</f>
        <v>BG20</v>
      </c>
      <c r="D77">
        <f t="shared" si="55"/>
        <v>4381</v>
      </c>
      <c r="E77">
        <f t="shared" si="55"/>
        <v>4382</v>
      </c>
      <c r="F77">
        <f t="shared" si="55"/>
        <v>4383</v>
      </c>
      <c r="G77">
        <f t="shared" si="55"/>
        <v>4384</v>
      </c>
      <c r="H77">
        <f t="shared" si="55"/>
        <v>4385</v>
      </c>
      <c r="I77">
        <f t="shared" si="55"/>
        <v>4386</v>
      </c>
      <c r="J77">
        <f t="shared" si="55"/>
        <v>4387</v>
      </c>
      <c r="K77">
        <f t="shared" si="55"/>
        <v>4388</v>
      </c>
      <c r="L77">
        <f t="shared" si="55"/>
        <v>4389</v>
      </c>
      <c r="M77">
        <f t="shared" si="55"/>
        <v>4390</v>
      </c>
      <c r="N77">
        <f t="shared" si="55"/>
        <v>4391</v>
      </c>
      <c r="O77">
        <f t="shared" si="55"/>
        <v>4392</v>
      </c>
      <c r="P77">
        <f t="shared" si="55"/>
        <v>4393</v>
      </c>
      <c r="Q77">
        <f t="shared" si="55"/>
        <v>4394</v>
      </c>
      <c r="R77">
        <f t="shared" si="55"/>
        <v>4395</v>
      </c>
      <c r="S77">
        <f t="shared" si="55"/>
        <v>4396</v>
      </c>
      <c r="T77">
        <f t="shared" si="52"/>
        <v>4397</v>
      </c>
      <c r="U77">
        <f t="shared" si="52"/>
        <v>4398</v>
      </c>
      <c r="V77">
        <f t="shared" si="52"/>
        <v>4399</v>
      </c>
      <c r="W77">
        <f t="shared" si="52"/>
        <v>4400</v>
      </c>
      <c r="X77">
        <f t="shared" si="52"/>
        <v>4401</v>
      </c>
      <c r="Y77">
        <f t="shared" si="52"/>
        <v>4402</v>
      </c>
      <c r="Z77">
        <f t="shared" si="52"/>
        <v>4403</v>
      </c>
      <c r="AA77">
        <f t="shared" si="52"/>
        <v>4404</v>
      </c>
      <c r="AB77">
        <f t="shared" si="52"/>
        <v>4405</v>
      </c>
      <c r="AC77">
        <f t="shared" si="52"/>
        <v>4406</v>
      </c>
      <c r="AD77">
        <f t="shared" si="52"/>
        <v>4407</v>
      </c>
      <c r="AE77">
        <f t="shared" si="52"/>
        <v>4408</v>
      </c>
      <c r="AF77">
        <f t="shared" si="52"/>
        <v>4409</v>
      </c>
      <c r="AG77">
        <f t="shared" si="52"/>
        <v>4410</v>
      </c>
      <c r="AH77">
        <f t="shared" si="56"/>
        <v>4411</v>
      </c>
      <c r="AI77">
        <f t="shared" si="56"/>
        <v>4412</v>
      </c>
      <c r="AJ77">
        <f t="shared" si="56"/>
        <v>4413</v>
      </c>
      <c r="AK77">
        <f t="shared" si="56"/>
        <v>4414</v>
      </c>
      <c r="AL77">
        <f t="shared" si="56"/>
        <v>4415</v>
      </c>
      <c r="AM77">
        <f t="shared" si="56"/>
        <v>4416</v>
      </c>
      <c r="AN77">
        <f t="shared" si="56"/>
        <v>4417</v>
      </c>
      <c r="AO77">
        <f t="shared" si="56"/>
        <v>4418</v>
      </c>
      <c r="AP77">
        <f t="shared" si="56"/>
        <v>4419</v>
      </c>
      <c r="AQ77">
        <f t="shared" si="56"/>
        <v>4420</v>
      </c>
      <c r="AR77">
        <f t="shared" si="56"/>
        <v>4421</v>
      </c>
      <c r="AS77">
        <f t="shared" si="56"/>
        <v>4422</v>
      </c>
      <c r="AT77">
        <f t="shared" si="56"/>
        <v>4423</v>
      </c>
      <c r="AU77">
        <f t="shared" si="56"/>
        <v>4424</v>
      </c>
      <c r="AV77">
        <f t="shared" si="56"/>
        <v>4425</v>
      </c>
      <c r="AW77">
        <f t="shared" si="57"/>
        <v>4426</v>
      </c>
      <c r="AX77">
        <f t="shared" si="57"/>
        <v>4427</v>
      </c>
      <c r="AY77">
        <f t="shared" si="57"/>
        <v>4428</v>
      </c>
      <c r="AZ77">
        <f t="shared" si="57"/>
        <v>4429</v>
      </c>
      <c r="BA77">
        <f t="shared" si="57"/>
        <v>4430</v>
      </c>
      <c r="BB77" t="e">
        <f t="shared" si="57"/>
        <v>#N/A</v>
      </c>
      <c r="BC77" t="e">
        <f t="shared" si="57"/>
        <v>#N/A</v>
      </c>
      <c r="BD77" t="e">
        <f t="shared" si="57"/>
        <v>#N/A</v>
      </c>
      <c r="BE77" t="e">
        <f t="shared" si="57"/>
        <v>#N/A</v>
      </c>
      <c r="BF77" t="e">
        <f t="shared" si="57"/>
        <v>#N/A</v>
      </c>
      <c r="BG77" t="e">
        <f t="shared" si="57"/>
        <v>#N/A</v>
      </c>
      <c r="BH77" t="e">
        <f t="shared" si="57"/>
        <v>#N/A</v>
      </c>
      <c r="BI77" t="e">
        <f t="shared" si="57"/>
        <v>#N/A</v>
      </c>
      <c r="BJ77" t="e">
        <f t="shared" si="57"/>
        <v>#N/A</v>
      </c>
      <c r="BK77" t="e">
        <f t="shared" si="57"/>
        <v>#N/A</v>
      </c>
      <c r="BL77" t="e">
        <f t="shared" si="59"/>
        <v>#N/A</v>
      </c>
      <c r="BM77" t="e">
        <f t="shared" si="59"/>
        <v>#N/A</v>
      </c>
      <c r="BN77" t="e">
        <f t="shared" si="59"/>
        <v>#N/A</v>
      </c>
      <c r="BO77" t="e">
        <f t="shared" si="59"/>
        <v>#N/A</v>
      </c>
      <c r="BP77" t="e">
        <f t="shared" si="59"/>
        <v>#N/A</v>
      </c>
      <c r="BQ77" t="e">
        <f t="shared" si="59"/>
        <v>#N/A</v>
      </c>
      <c r="BR77" t="e">
        <f t="shared" si="59"/>
        <v>#N/A</v>
      </c>
      <c r="BS77" t="e">
        <f t="shared" si="59"/>
        <v>#N/A</v>
      </c>
      <c r="BT77" t="e">
        <f t="shared" si="58"/>
        <v>#N/A</v>
      </c>
      <c r="BU77" t="e">
        <f t="shared" si="58"/>
        <v>#N/A</v>
      </c>
      <c r="BV77" t="e">
        <f t="shared" si="58"/>
        <v>#N/A</v>
      </c>
      <c r="BW77" t="e">
        <f t="shared" si="58"/>
        <v>#N/A</v>
      </c>
      <c r="BX77" t="e">
        <f t="shared" si="58"/>
        <v>#N/A</v>
      </c>
      <c r="BY77" t="e">
        <f t="shared" si="58"/>
        <v>#N/A</v>
      </c>
      <c r="BZ77" t="e">
        <f t="shared" si="58"/>
        <v>#N/A</v>
      </c>
      <c r="CA77" t="e">
        <f t="shared" si="58"/>
        <v>#N/A</v>
      </c>
      <c r="CB77" t="e">
        <f t="shared" si="58"/>
        <v>#N/A</v>
      </c>
      <c r="CC77" t="e">
        <f t="shared" si="54"/>
        <v>#N/A</v>
      </c>
      <c r="CD77" t="e">
        <f t="shared" si="54"/>
        <v>#N/A</v>
      </c>
      <c r="CE77" t="e">
        <f t="shared" si="54"/>
        <v>#N/A</v>
      </c>
      <c r="CF77" t="e">
        <f t="shared" si="54"/>
        <v>#N/A</v>
      </c>
      <c r="CG77" t="e">
        <f t="shared" si="54"/>
        <v>#N/A</v>
      </c>
      <c r="CH77" t="e">
        <f t="shared" si="54"/>
        <v>#N/A</v>
      </c>
      <c r="CI77" t="e">
        <f t="shared" si="54"/>
        <v>#N/A</v>
      </c>
      <c r="CJ77" t="e">
        <f t="shared" si="54"/>
        <v>#N/A</v>
      </c>
      <c r="CK77" t="e">
        <f t="shared" si="54"/>
        <v>#N/A</v>
      </c>
      <c r="CL77" t="e">
        <f t="shared" si="54"/>
        <v>#N/A</v>
      </c>
      <c r="CM77" t="e">
        <f t="shared" si="54"/>
        <v>#N/A</v>
      </c>
      <c r="CN77" t="e">
        <f t="shared" si="54"/>
        <v>#N/A</v>
      </c>
      <c r="CO77" t="e">
        <f t="shared" si="54"/>
        <v>#N/A</v>
      </c>
      <c r="CP77" t="e">
        <f t="shared" si="44"/>
        <v>#N/A</v>
      </c>
      <c r="CQ77" t="e">
        <f t="shared" si="44"/>
        <v>#N/A</v>
      </c>
      <c r="CR77" t="e">
        <f t="shared" si="44"/>
        <v>#N/A</v>
      </c>
      <c r="CS77" t="e">
        <f t="shared" si="44"/>
        <v>#N/A</v>
      </c>
      <c r="CT77" t="e">
        <f t="shared" si="44"/>
        <v>#N/A</v>
      </c>
      <c r="CU77" t="e">
        <f t="shared" si="44"/>
        <v>#N/A</v>
      </c>
      <c r="CV77" t="e">
        <f t="shared" si="44"/>
        <v>#N/A</v>
      </c>
      <c r="CW77" t="e">
        <f t="shared" si="44"/>
        <v>#N/A</v>
      </c>
      <c r="CX77" t="e">
        <f t="shared" si="44"/>
        <v>#N/A</v>
      </c>
      <c r="CY77" t="e">
        <f t="shared" si="44"/>
        <v>#N/A</v>
      </c>
      <c r="CZ77" t="e">
        <f t="shared" si="35"/>
        <v>#N/A</v>
      </c>
      <c r="DA77" t="e">
        <f t="shared" si="35"/>
        <v>#N/A</v>
      </c>
      <c r="DB77" t="e">
        <f t="shared" si="35"/>
        <v>#N/A</v>
      </c>
      <c r="DC77" t="e">
        <f t="shared" si="35"/>
        <v>#N/A</v>
      </c>
      <c r="DD77" t="e">
        <f t="shared" si="35"/>
        <v>#N/A</v>
      </c>
      <c r="DE77" t="e">
        <f t="shared" si="35"/>
        <v>#N/A</v>
      </c>
      <c r="DF77" t="e">
        <f t="shared" si="35"/>
        <v>#N/A</v>
      </c>
      <c r="DG77" t="e">
        <f t="shared" si="35"/>
        <v>#N/A</v>
      </c>
      <c r="DH77" t="e">
        <f t="shared" si="35"/>
        <v>#N/A</v>
      </c>
      <c r="DI77" t="e">
        <f t="shared" si="49"/>
        <v>#N/A</v>
      </c>
      <c r="DJ77" t="e">
        <f t="shared" si="49"/>
        <v>#N/A</v>
      </c>
      <c r="DK77" t="e">
        <f t="shared" si="49"/>
        <v>#N/A</v>
      </c>
      <c r="DL77" t="e">
        <f t="shared" si="49"/>
        <v>#N/A</v>
      </c>
      <c r="DM77" t="e">
        <f t="shared" si="49"/>
        <v>#N/A</v>
      </c>
      <c r="DN77" t="e">
        <f t="shared" si="49"/>
        <v>#N/A</v>
      </c>
      <c r="DO77" t="e">
        <f t="shared" si="49"/>
        <v>#N/A</v>
      </c>
      <c r="DP77" t="e">
        <f t="shared" si="49"/>
        <v>#N/A</v>
      </c>
      <c r="DQ77" t="e">
        <f t="shared" si="49"/>
        <v>#N/A</v>
      </c>
      <c r="DR77" t="e">
        <f t="shared" si="49"/>
        <v>#N/A</v>
      </c>
      <c r="DS77" t="e">
        <f t="shared" si="49"/>
        <v>#N/A</v>
      </c>
      <c r="DT77">
        <f t="shared" si="49"/>
        <v>4431</v>
      </c>
      <c r="DU77">
        <f t="shared" si="49"/>
        <v>4432</v>
      </c>
      <c r="DV77">
        <f t="shared" si="49"/>
        <v>4433</v>
      </c>
      <c r="DW77">
        <f t="shared" si="49"/>
        <v>4434</v>
      </c>
      <c r="DX77">
        <f t="shared" si="49"/>
        <v>4435</v>
      </c>
      <c r="DY77">
        <f t="shared" si="48"/>
        <v>4436</v>
      </c>
      <c r="DZ77">
        <f t="shared" si="48"/>
        <v>4437</v>
      </c>
      <c r="EA77">
        <f t="shared" si="48"/>
        <v>4438</v>
      </c>
      <c r="EB77">
        <f t="shared" si="48"/>
        <v>4439</v>
      </c>
      <c r="EC77">
        <f t="shared" si="48"/>
        <v>4440</v>
      </c>
      <c r="ED77" t="e">
        <f t="shared" si="48"/>
        <v>#N/A</v>
      </c>
      <c r="EE77" t="e">
        <f t="shared" si="48"/>
        <v>#N/A</v>
      </c>
      <c r="EF77" t="e">
        <f t="shared" si="48"/>
        <v>#N/A</v>
      </c>
      <c r="EG77" t="e">
        <f t="shared" si="48"/>
        <v>#N/A</v>
      </c>
      <c r="EH77" t="e">
        <f t="shared" si="50"/>
        <v>#N/A</v>
      </c>
      <c r="EI77" t="e">
        <f t="shared" si="50"/>
        <v>#N/A</v>
      </c>
      <c r="EJ77" t="e">
        <f t="shared" si="50"/>
        <v>#N/A</v>
      </c>
      <c r="EK77" t="e">
        <f t="shared" si="50"/>
        <v>#N/A</v>
      </c>
      <c r="EL77" t="e">
        <f t="shared" si="50"/>
        <v>#N/A</v>
      </c>
      <c r="EM77" t="e">
        <f t="shared" si="50"/>
        <v>#N/A</v>
      </c>
    </row>
    <row r="78" spans="1:143" x14ac:dyDescent="0.4">
      <c r="A78" t="str">
        <f t="shared" si="51"/>
        <v/>
      </c>
      <c r="B78">
        <v>75</v>
      </c>
      <c r="C78" t="str" cm="1">
        <f t="array" ref="C78">INDEX(auto_Series_Code,B78)</f>
        <v>BG21</v>
      </c>
      <c r="D78">
        <f t="shared" si="55"/>
        <v>4441</v>
      </c>
      <c r="E78">
        <f t="shared" si="55"/>
        <v>4442</v>
      </c>
      <c r="F78">
        <f t="shared" si="55"/>
        <v>4443</v>
      </c>
      <c r="G78">
        <f t="shared" si="55"/>
        <v>4444</v>
      </c>
      <c r="H78">
        <f t="shared" si="55"/>
        <v>4445</v>
      </c>
      <c r="I78">
        <f t="shared" si="55"/>
        <v>4446</v>
      </c>
      <c r="J78">
        <f t="shared" si="55"/>
        <v>4447</v>
      </c>
      <c r="K78">
        <f t="shared" si="55"/>
        <v>4448</v>
      </c>
      <c r="L78">
        <f t="shared" si="55"/>
        <v>4449</v>
      </c>
      <c r="M78">
        <f t="shared" si="55"/>
        <v>4450</v>
      </c>
      <c r="N78">
        <f t="shared" si="55"/>
        <v>4451</v>
      </c>
      <c r="O78">
        <f t="shared" si="55"/>
        <v>4452</v>
      </c>
      <c r="P78">
        <f t="shared" si="55"/>
        <v>4453</v>
      </c>
      <c r="Q78">
        <f t="shared" si="55"/>
        <v>4454</v>
      </c>
      <c r="R78">
        <f t="shared" si="55"/>
        <v>4455</v>
      </c>
      <c r="S78">
        <f t="shared" si="55"/>
        <v>4456</v>
      </c>
      <c r="T78">
        <f t="shared" si="52"/>
        <v>4457</v>
      </c>
      <c r="U78">
        <f t="shared" si="52"/>
        <v>4458</v>
      </c>
      <c r="V78">
        <f t="shared" si="52"/>
        <v>4459</v>
      </c>
      <c r="W78">
        <f t="shared" si="52"/>
        <v>4460</v>
      </c>
      <c r="X78">
        <f t="shared" si="52"/>
        <v>4461</v>
      </c>
      <c r="Y78">
        <f t="shared" si="52"/>
        <v>4462</v>
      </c>
      <c r="Z78">
        <f t="shared" si="52"/>
        <v>4463</v>
      </c>
      <c r="AA78">
        <f t="shared" si="52"/>
        <v>4464</v>
      </c>
      <c r="AB78">
        <f t="shared" si="52"/>
        <v>4465</v>
      </c>
      <c r="AC78">
        <f t="shared" si="52"/>
        <v>4466</v>
      </c>
      <c r="AD78">
        <f t="shared" si="52"/>
        <v>4467</v>
      </c>
      <c r="AE78">
        <f t="shared" si="52"/>
        <v>4468</v>
      </c>
      <c r="AF78">
        <f t="shared" si="52"/>
        <v>4469</v>
      </c>
      <c r="AG78">
        <f t="shared" si="52"/>
        <v>4470</v>
      </c>
      <c r="AH78">
        <f t="shared" si="56"/>
        <v>4471</v>
      </c>
      <c r="AI78">
        <f t="shared" si="56"/>
        <v>4472</v>
      </c>
      <c r="AJ78">
        <f t="shared" si="56"/>
        <v>4473</v>
      </c>
      <c r="AK78">
        <f t="shared" si="56"/>
        <v>4474</v>
      </c>
      <c r="AL78">
        <f t="shared" si="56"/>
        <v>4475</v>
      </c>
      <c r="AM78">
        <f t="shared" si="56"/>
        <v>4476</v>
      </c>
      <c r="AN78">
        <f t="shared" si="56"/>
        <v>4477</v>
      </c>
      <c r="AO78">
        <f t="shared" si="56"/>
        <v>4478</v>
      </c>
      <c r="AP78">
        <f t="shared" si="56"/>
        <v>4479</v>
      </c>
      <c r="AQ78">
        <f t="shared" si="56"/>
        <v>4480</v>
      </c>
      <c r="AR78">
        <f t="shared" si="56"/>
        <v>4481</v>
      </c>
      <c r="AS78">
        <f t="shared" si="56"/>
        <v>4482</v>
      </c>
      <c r="AT78">
        <f t="shared" si="56"/>
        <v>4483</v>
      </c>
      <c r="AU78">
        <f t="shared" si="56"/>
        <v>4484</v>
      </c>
      <c r="AV78">
        <f t="shared" si="56"/>
        <v>4485</v>
      </c>
      <c r="AW78">
        <f t="shared" si="57"/>
        <v>4486</v>
      </c>
      <c r="AX78">
        <f t="shared" si="57"/>
        <v>4487</v>
      </c>
      <c r="AY78">
        <f t="shared" si="57"/>
        <v>4488</v>
      </c>
      <c r="AZ78">
        <f t="shared" si="57"/>
        <v>4489</v>
      </c>
      <c r="BA78">
        <f t="shared" si="57"/>
        <v>4490</v>
      </c>
      <c r="BB78" t="e">
        <f t="shared" si="57"/>
        <v>#N/A</v>
      </c>
      <c r="BC78" t="e">
        <f t="shared" si="57"/>
        <v>#N/A</v>
      </c>
      <c r="BD78" t="e">
        <f t="shared" si="57"/>
        <v>#N/A</v>
      </c>
      <c r="BE78" t="e">
        <f t="shared" si="57"/>
        <v>#N/A</v>
      </c>
      <c r="BF78" t="e">
        <f t="shared" si="57"/>
        <v>#N/A</v>
      </c>
      <c r="BG78" t="e">
        <f t="shared" si="57"/>
        <v>#N/A</v>
      </c>
      <c r="BH78" t="e">
        <f t="shared" si="57"/>
        <v>#N/A</v>
      </c>
      <c r="BI78" t="e">
        <f t="shared" si="57"/>
        <v>#N/A</v>
      </c>
      <c r="BJ78" t="e">
        <f t="shared" si="57"/>
        <v>#N/A</v>
      </c>
      <c r="BK78" t="e">
        <f t="shared" si="57"/>
        <v>#N/A</v>
      </c>
      <c r="BL78" t="e">
        <f t="shared" si="59"/>
        <v>#N/A</v>
      </c>
      <c r="BM78" t="e">
        <f t="shared" si="59"/>
        <v>#N/A</v>
      </c>
      <c r="BN78" t="e">
        <f t="shared" si="59"/>
        <v>#N/A</v>
      </c>
      <c r="BO78" t="e">
        <f t="shared" si="59"/>
        <v>#N/A</v>
      </c>
      <c r="BP78" t="e">
        <f t="shared" si="59"/>
        <v>#N/A</v>
      </c>
      <c r="BQ78" t="e">
        <f t="shared" si="59"/>
        <v>#N/A</v>
      </c>
      <c r="BR78" t="e">
        <f t="shared" si="59"/>
        <v>#N/A</v>
      </c>
      <c r="BS78" t="e">
        <f t="shared" si="59"/>
        <v>#N/A</v>
      </c>
      <c r="BT78" t="e">
        <f t="shared" si="58"/>
        <v>#N/A</v>
      </c>
      <c r="BU78" t="e">
        <f t="shared" si="58"/>
        <v>#N/A</v>
      </c>
      <c r="BV78" t="e">
        <f t="shared" si="58"/>
        <v>#N/A</v>
      </c>
      <c r="BW78" t="e">
        <f t="shared" si="58"/>
        <v>#N/A</v>
      </c>
      <c r="BX78" t="e">
        <f t="shared" si="58"/>
        <v>#N/A</v>
      </c>
      <c r="BY78" t="e">
        <f t="shared" si="58"/>
        <v>#N/A</v>
      </c>
      <c r="BZ78" t="e">
        <f t="shared" si="58"/>
        <v>#N/A</v>
      </c>
      <c r="CA78" t="e">
        <f t="shared" si="58"/>
        <v>#N/A</v>
      </c>
      <c r="CB78" t="e">
        <f t="shared" si="58"/>
        <v>#N/A</v>
      </c>
      <c r="CC78" t="e">
        <f t="shared" si="54"/>
        <v>#N/A</v>
      </c>
      <c r="CD78" t="e">
        <f t="shared" si="54"/>
        <v>#N/A</v>
      </c>
      <c r="CE78" t="e">
        <f t="shared" si="54"/>
        <v>#N/A</v>
      </c>
      <c r="CF78" t="e">
        <f t="shared" si="54"/>
        <v>#N/A</v>
      </c>
      <c r="CG78" t="e">
        <f t="shared" si="54"/>
        <v>#N/A</v>
      </c>
      <c r="CH78" t="e">
        <f t="shared" si="54"/>
        <v>#N/A</v>
      </c>
      <c r="CI78" t="e">
        <f t="shared" si="54"/>
        <v>#N/A</v>
      </c>
      <c r="CJ78" t="e">
        <f t="shared" si="54"/>
        <v>#N/A</v>
      </c>
      <c r="CK78" t="e">
        <f t="shared" si="54"/>
        <v>#N/A</v>
      </c>
      <c r="CL78" t="e">
        <f t="shared" si="54"/>
        <v>#N/A</v>
      </c>
      <c r="CM78" t="e">
        <f t="shared" si="54"/>
        <v>#N/A</v>
      </c>
      <c r="CN78" t="e">
        <f t="shared" si="54"/>
        <v>#N/A</v>
      </c>
      <c r="CO78" t="e">
        <f t="shared" si="54"/>
        <v>#N/A</v>
      </c>
      <c r="CP78" t="e">
        <f t="shared" si="44"/>
        <v>#N/A</v>
      </c>
      <c r="CQ78" t="e">
        <f t="shared" si="44"/>
        <v>#N/A</v>
      </c>
      <c r="CR78" t="e">
        <f t="shared" si="44"/>
        <v>#N/A</v>
      </c>
      <c r="CS78" t="e">
        <f t="shared" si="44"/>
        <v>#N/A</v>
      </c>
      <c r="CT78" t="e">
        <f t="shared" si="44"/>
        <v>#N/A</v>
      </c>
      <c r="CU78" t="e">
        <f t="shared" ref="CU78:CY78" si="60">MATCH(CONCATENATE(CU$3,"_",$C78),auto_DataFlat_UID,0)</f>
        <v>#N/A</v>
      </c>
      <c r="CV78" t="e">
        <f t="shared" si="60"/>
        <v>#N/A</v>
      </c>
      <c r="CW78" t="e">
        <f t="shared" si="60"/>
        <v>#N/A</v>
      </c>
      <c r="CX78" t="e">
        <f t="shared" si="60"/>
        <v>#N/A</v>
      </c>
      <c r="CY78" t="e">
        <f t="shared" si="60"/>
        <v>#N/A</v>
      </c>
      <c r="CZ78" t="e">
        <f t="shared" si="35"/>
        <v>#N/A</v>
      </c>
      <c r="DA78" t="e">
        <f t="shared" si="35"/>
        <v>#N/A</v>
      </c>
      <c r="DB78" t="e">
        <f t="shared" si="35"/>
        <v>#N/A</v>
      </c>
      <c r="DC78" t="e">
        <f t="shared" si="35"/>
        <v>#N/A</v>
      </c>
      <c r="DD78" t="e">
        <f t="shared" si="35"/>
        <v>#N/A</v>
      </c>
      <c r="DE78" t="e">
        <f t="shared" si="35"/>
        <v>#N/A</v>
      </c>
      <c r="DF78" t="e">
        <f t="shared" si="35"/>
        <v>#N/A</v>
      </c>
      <c r="DG78" t="e">
        <f t="shared" ref="DG78:DV100" si="61">MATCH(CONCATENATE(DG$3,"_",$C78),auto_DataFlat_UID,0)</f>
        <v>#N/A</v>
      </c>
      <c r="DH78" t="e">
        <f t="shared" si="61"/>
        <v>#N/A</v>
      </c>
      <c r="DI78" t="e">
        <f t="shared" si="61"/>
        <v>#N/A</v>
      </c>
      <c r="DJ78" t="e">
        <f t="shared" si="49"/>
        <v>#N/A</v>
      </c>
      <c r="DK78" t="e">
        <f t="shared" si="49"/>
        <v>#N/A</v>
      </c>
      <c r="DL78" t="e">
        <f t="shared" si="49"/>
        <v>#N/A</v>
      </c>
      <c r="DM78" t="e">
        <f t="shared" si="49"/>
        <v>#N/A</v>
      </c>
      <c r="DN78" t="e">
        <f t="shared" si="49"/>
        <v>#N/A</v>
      </c>
      <c r="DO78" t="e">
        <f t="shared" si="49"/>
        <v>#N/A</v>
      </c>
      <c r="DP78" t="e">
        <f t="shared" si="49"/>
        <v>#N/A</v>
      </c>
      <c r="DQ78" t="e">
        <f t="shared" si="49"/>
        <v>#N/A</v>
      </c>
      <c r="DR78" t="e">
        <f t="shared" si="49"/>
        <v>#N/A</v>
      </c>
      <c r="DS78" t="e">
        <f t="shared" si="49"/>
        <v>#N/A</v>
      </c>
      <c r="DT78">
        <f t="shared" si="49"/>
        <v>4491</v>
      </c>
      <c r="DU78">
        <f t="shared" si="49"/>
        <v>4492</v>
      </c>
      <c r="DV78">
        <f t="shared" si="49"/>
        <v>4493</v>
      </c>
      <c r="DW78">
        <f t="shared" si="49"/>
        <v>4494</v>
      </c>
      <c r="DX78">
        <f t="shared" si="49"/>
        <v>4495</v>
      </c>
      <c r="DY78">
        <f t="shared" si="48"/>
        <v>4496</v>
      </c>
      <c r="DZ78">
        <f t="shared" si="48"/>
        <v>4497</v>
      </c>
      <c r="EA78">
        <f t="shared" si="48"/>
        <v>4498</v>
      </c>
      <c r="EB78">
        <f t="shared" si="48"/>
        <v>4499</v>
      </c>
      <c r="EC78">
        <f t="shared" si="48"/>
        <v>4500</v>
      </c>
      <c r="ED78" t="e">
        <f t="shared" si="48"/>
        <v>#N/A</v>
      </c>
      <c r="EE78" t="e">
        <f t="shared" si="48"/>
        <v>#N/A</v>
      </c>
      <c r="EF78" t="e">
        <f t="shared" si="48"/>
        <v>#N/A</v>
      </c>
      <c r="EG78" t="e">
        <f t="shared" si="48"/>
        <v>#N/A</v>
      </c>
      <c r="EH78" t="e">
        <f t="shared" si="50"/>
        <v>#N/A</v>
      </c>
      <c r="EI78" t="e">
        <f t="shared" si="50"/>
        <v>#N/A</v>
      </c>
      <c r="EJ78" t="e">
        <f t="shared" si="50"/>
        <v>#N/A</v>
      </c>
      <c r="EK78" t="e">
        <f t="shared" si="50"/>
        <v>#N/A</v>
      </c>
      <c r="EL78" t="e">
        <f t="shared" si="50"/>
        <v>#N/A</v>
      </c>
      <c r="EM78" t="e">
        <f t="shared" si="50"/>
        <v>#N/A</v>
      </c>
    </row>
    <row r="79" spans="1:143" x14ac:dyDescent="0.4">
      <c r="A79" t="str">
        <f t="shared" si="51"/>
        <v/>
      </c>
      <c r="B79">
        <v>76</v>
      </c>
      <c r="C79" t="str" cm="1">
        <f t="array" ref="C79">INDEX(auto_Series_Code,B79)</f>
        <v>BG14</v>
      </c>
      <c r="D79">
        <f t="shared" si="55"/>
        <v>4501</v>
      </c>
      <c r="E79">
        <f t="shared" si="55"/>
        <v>4502</v>
      </c>
      <c r="F79">
        <f t="shared" si="55"/>
        <v>4503</v>
      </c>
      <c r="G79">
        <f t="shared" si="55"/>
        <v>4504</v>
      </c>
      <c r="H79">
        <f t="shared" si="55"/>
        <v>4505</v>
      </c>
      <c r="I79">
        <f t="shared" si="55"/>
        <v>4506</v>
      </c>
      <c r="J79">
        <f t="shared" si="55"/>
        <v>4507</v>
      </c>
      <c r="K79">
        <f t="shared" si="55"/>
        <v>4508</v>
      </c>
      <c r="L79">
        <f t="shared" si="55"/>
        <v>4509</v>
      </c>
      <c r="M79">
        <f t="shared" si="55"/>
        <v>4510</v>
      </c>
      <c r="N79">
        <f t="shared" si="55"/>
        <v>4511</v>
      </c>
      <c r="O79">
        <f t="shared" si="55"/>
        <v>4512</v>
      </c>
      <c r="P79">
        <f t="shared" si="55"/>
        <v>4513</v>
      </c>
      <c r="Q79">
        <f t="shared" si="55"/>
        <v>4514</v>
      </c>
      <c r="R79">
        <f t="shared" si="55"/>
        <v>4515</v>
      </c>
      <c r="S79">
        <f t="shared" si="55"/>
        <v>4516</v>
      </c>
      <c r="T79">
        <f t="shared" si="52"/>
        <v>4517</v>
      </c>
      <c r="U79">
        <f t="shared" si="52"/>
        <v>4518</v>
      </c>
      <c r="V79">
        <f t="shared" si="52"/>
        <v>4519</v>
      </c>
      <c r="W79">
        <f t="shared" si="52"/>
        <v>4520</v>
      </c>
      <c r="X79">
        <f t="shared" si="52"/>
        <v>4521</v>
      </c>
      <c r="Y79">
        <f t="shared" si="52"/>
        <v>4522</v>
      </c>
      <c r="Z79">
        <f t="shared" si="52"/>
        <v>4523</v>
      </c>
      <c r="AA79">
        <f t="shared" si="52"/>
        <v>4524</v>
      </c>
      <c r="AB79">
        <f t="shared" si="52"/>
        <v>4525</v>
      </c>
      <c r="AC79">
        <f t="shared" si="52"/>
        <v>4526</v>
      </c>
      <c r="AD79">
        <f t="shared" si="52"/>
        <v>4527</v>
      </c>
      <c r="AE79">
        <f t="shared" si="52"/>
        <v>4528</v>
      </c>
      <c r="AF79">
        <f t="shared" si="52"/>
        <v>4529</v>
      </c>
      <c r="AG79">
        <f t="shared" si="52"/>
        <v>4530</v>
      </c>
      <c r="AH79">
        <f t="shared" si="56"/>
        <v>4531</v>
      </c>
      <c r="AI79">
        <f t="shared" si="56"/>
        <v>4532</v>
      </c>
      <c r="AJ79">
        <f t="shared" si="56"/>
        <v>4533</v>
      </c>
      <c r="AK79">
        <f t="shared" si="56"/>
        <v>4534</v>
      </c>
      <c r="AL79">
        <f t="shared" si="56"/>
        <v>4535</v>
      </c>
      <c r="AM79">
        <f t="shared" si="56"/>
        <v>4536</v>
      </c>
      <c r="AN79">
        <f t="shared" si="56"/>
        <v>4537</v>
      </c>
      <c r="AO79">
        <f t="shared" si="56"/>
        <v>4538</v>
      </c>
      <c r="AP79">
        <f t="shared" si="56"/>
        <v>4539</v>
      </c>
      <c r="AQ79">
        <f t="shared" si="56"/>
        <v>4540</v>
      </c>
      <c r="AR79">
        <f t="shared" si="56"/>
        <v>4541</v>
      </c>
      <c r="AS79">
        <f t="shared" si="56"/>
        <v>4542</v>
      </c>
      <c r="AT79">
        <f t="shared" si="56"/>
        <v>4543</v>
      </c>
      <c r="AU79">
        <f t="shared" si="56"/>
        <v>4544</v>
      </c>
      <c r="AV79">
        <f t="shared" si="56"/>
        <v>4545</v>
      </c>
      <c r="AW79">
        <f t="shared" si="57"/>
        <v>4546</v>
      </c>
      <c r="AX79">
        <f t="shared" si="57"/>
        <v>4547</v>
      </c>
      <c r="AY79">
        <f t="shared" si="57"/>
        <v>4548</v>
      </c>
      <c r="AZ79">
        <f t="shared" si="57"/>
        <v>4549</v>
      </c>
      <c r="BA79">
        <f t="shared" si="57"/>
        <v>4550</v>
      </c>
      <c r="BB79" t="e">
        <f t="shared" si="57"/>
        <v>#N/A</v>
      </c>
      <c r="BC79" t="e">
        <f t="shared" si="57"/>
        <v>#N/A</v>
      </c>
      <c r="BD79" t="e">
        <f t="shared" si="57"/>
        <v>#N/A</v>
      </c>
      <c r="BE79" t="e">
        <f t="shared" si="57"/>
        <v>#N/A</v>
      </c>
      <c r="BF79" t="e">
        <f t="shared" si="57"/>
        <v>#N/A</v>
      </c>
      <c r="BG79" t="e">
        <f t="shared" si="57"/>
        <v>#N/A</v>
      </c>
      <c r="BH79" t="e">
        <f t="shared" si="57"/>
        <v>#N/A</v>
      </c>
      <c r="BI79" t="e">
        <f t="shared" si="57"/>
        <v>#N/A</v>
      </c>
      <c r="BJ79" t="e">
        <f t="shared" si="57"/>
        <v>#N/A</v>
      </c>
      <c r="BK79" t="e">
        <f t="shared" si="57"/>
        <v>#N/A</v>
      </c>
      <c r="BL79" t="e">
        <f t="shared" si="59"/>
        <v>#N/A</v>
      </c>
      <c r="BM79" t="e">
        <f t="shared" si="59"/>
        <v>#N/A</v>
      </c>
      <c r="BN79" t="e">
        <f t="shared" si="59"/>
        <v>#N/A</v>
      </c>
      <c r="BO79" t="e">
        <f t="shared" si="59"/>
        <v>#N/A</v>
      </c>
      <c r="BP79" t="e">
        <f t="shared" si="59"/>
        <v>#N/A</v>
      </c>
      <c r="BQ79" t="e">
        <f t="shared" si="59"/>
        <v>#N/A</v>
      </c>
      <c r="BR79" t="e">
        <f t="shared" si="59"/>
        <v>#N/A</v>
      </c>
      <c r="BS79" t="e">
        <f t="shared" si="59"/>
        <v>#N/A</v>
      </c>
      <c r="BT79" t="e">
        <f t="shared" si="58"/>
        <v>#N/A</v>
      </c>
      <c r="BU79" t="e">
        <f t="shared" si="58"/>
        <v>#N/A</v>
      </c>
      <c r="BV79" t="e">
        <f t="shared" si="58"/>
        <v>#N/A</v>
      </c>
      <c r="BW79" t="e">
        <f t="shared" si="58"/>
        <v>#N/A</v>
      </c>
      <c r="BX79" t="e">
        <f t="shared" si="58"/>
        <v>#N/A</v>
      </c>
      <c r="BY79" t="e">
        <f t="shared" si="58"/>
        <v>#N/A</v>
      </c>
      <c r="BZ79" t="e">
        <f t="shared" si="58"/>
        <v>#N/A</v>
      </c>
      <c r="CA79" t="e">
        <f t="shared" si="58"/>
        <v>#N/A</v>
      </c>
      <c r="CB79" t="e">
        <f t="shared" si="58"/>
        <v>#N/A</v>
      </c>
      <c r="CC79" t="e">
        <f t="shared" si="54"/>
        <v>#N/A</v>
      </c>
      <c r="CD79" t="e">
        <f t="shared" si="54"/>
        <v>#N/A</v>
      </c>
      <c r="CE79" t="e">
        <f t="shared" si="54"/>
        <v>#N/A</v>
      </c>
      <c r="CF79" t="e">
        <f t="shared" si="54"/>
        <v>#N/A</v>
      </c>
      <c r="CG79" t="e">
        <f t="shared" si="54"/>
        <v>#N/A</v>
      </c>
      <c r="CH79" t="e">
        <f t="shared" si="54"/>
        <v>#N/A</v>
      </c>
      <c r="CI79" t="e">
        <f t="shared" si="54"/>
        <v>#N/A</v>
      </c>
      <c r="CJ79" t="e">
        <f t="shared" si="54"/>
        <v>#N/A</v>
      </c>
      <c r="CK79" t="e">
        <f t="shared" si="54"/>
        <v>#N/A</v>
      </c>
      <c r="CL79" t="e">
        <f t="shared" si="54"/>
        <v>#N/A</v>
      </c>
      <c r="CM79" t="e">
        <f t="shared" si="54"/>
        <v>#N/A</v>
      </c>
      <c r="CN79" t="e">
        <f t="shared" si="54"/>
        <v>#N/A</v>
      </c>
      <c r="CO79" t="e">
        <f t="shared" si="54"/>
        <v>#N/A</v>
      </c>
      <c r="CP79" t="e">
        <f t="shared" si="54"/>
        <v>#N/A</v>
      </c>
      <c r="CQ79" t="e">
        <f t="shared" si="54"/>
        <v>#N/A</v>
      </c>
      <c r="CR79" t="e">
        <f t="shared" ref="CR79:DG96" si="62">MATCH(CONCATENATE(CR$3,"_",$C79),auto_DataFlat_UID,0)</f>
        <v>#N/A</v>
      </c>
      <c r="CS79" t="e">
        <f t="shared" si="62"/>
        <v>#N/A</v>
      </c>
      <c r="CT79" t="e">
        <f t="shared" si="62"/>
        <v>#N/A</v>
      </c>
      <c r="CU79" t="e">
        <f t="shared" si="62"/>
        <v>#N/A</v>
      </c>
      <c r="CV79" t="e">
        <f t="shared" si="62"/>
        <v>#N/A</v>
      </c>
      <c r="CW79" t="e">
        <f t="shared" si="62"/>
        <v>#N/A</v>
      </c>
      <c r="CX79" t="e">
        <f t="shared" si="62"/>
        <v>#N/A</v>
      </c>
      <c r="CY79" t="e">
        <f t="shared" si="62"/>
        <v>#N/A</v>
      </c>
      <c r="CZ79" t="e">
        <f t="shared" si="62"/>
        <v>#N/A</v>
      </c>
      <c r="DA79" t="e">
        <f t="shared" si="62"/>
        <v>#N/A</v>
      </c>
      <c r="DB79" t="e">
        <f t="shared" si="62"/>
        <v>#N/A</v>
      </c>
      <c r="DC79" t="e">
        <f t="shared" si="62"/>
        <v>#N/A</v>
      </c>
      <c r="DD79" t="e">
        <f t="shared" si="62"/>
        <v>#N/A</v>
      </c>
      <c r="DE79" t="e">
        <f t="shared" si="62"/>
        <v>#N/A</v>
      </c>
      <c r="DF79" t="e">
        <f t="shared" si="62"/>
        <v>#N/A</v>
      </c>
      <c r="DG79" t="e">
        <f t="shared" si="62"/>
        <v>#N/A</v>
      </c>
      <c r="DH79" t="e">
        <f t="shared" si="61"/>
        <v>#N/A</v>
      </c>
      <c r="DI79" t="e">
        <f t="shared" si="61"/>
        <v>#N/A</v>
      </c>
      <c r="DJ79" t="e">
        <f t="shared" si="49"/>
        <v>#N/A</v>
      </c>
      <c r="DK79" t="e">
        <f t="shared" si="49"/>
        <v>#N/A</v>
      </c>
      <c r="DL79" t="e">
        <f t="shared" si="49"/>
        <v>#N/A</v>
      </c>
      <c r="DM79" t="e">
        <f t="shared" si="49"/>
        <v>#N/A</v>
      </c>
      <c r="DN79" t="e">
        <f t="shared" si="49"/>
        <v>#N/A</v>
      </c>
      <c r="DO79" t="e">
        <f t="shared" si="49"/>
        <v>#N/A</v>
      </c>
      <c r="DP79" t="e">
        <f t="shared" si="49"/>
        <v>#N/A</v>
      </c>
      <c r="DQ79" t="e">
        <f t="shared" si="49"/>
        <v>#N/A</v>
      </c>
      <c r="DR79" t="e">
        <f t="shared" si="49"/>
        <v>#N/A</v>
      </c>
      <c r="DS79" t="e">
        <f t="shared" si="49"/>
        <v>#N/A</v>
      </c>
      <c r="DT79">
        <f t="shared" si="49"/>
        <v>4551</v>
      </c>
      <c r="DU79">
        <f t="shared" si="49"/>
        <v>4552</v>
      </c>
      <c r="DV79">
        <f t="shared" si="49"/>
        <v>4553</v>
      </c>
      <c r="DW79">
        <f t="shared" si="49"/>
        <v>4554</v>
      </c>
      <c r="DX79">
        <f t="shared" si="49"/>
        <v>4555</v>
      </c>
      <c r="DY79">
        <f t="shared" si="48"/>
        <v>4556</v>
      </c>
      <c r="DZ79">
        <f t="shared" si="48"/>
        <v>4557</v>
      </c>
      <c r="EA79">
        <f t="shared" si="48"/>
        <v>4558</v>
      </c>
      <c r="EB79">
        <f t="shared" si="48"/>
        <v>4559</v>
      </c>
      <c r="EC79">
        <f t="shared" si="48"/>
        <v>4560</v>
      </c>
      <c r="ED79" t="e">
        <f t="shared" si="48"/>
        <v>#N/A</v>
      </c>
      <c r="EE79" t="e">
        <f t="shared" si="48"/>
        <v>#N/A</v>
      </c>
      <c r="EF79" t="e">
        <f t="shared" si="48"/>
        <v>#N/A</v>
      </c>
      <c r="EG79" t="e">
        <f t="shared" si="48"/>
        <v>#N/A</v>
      </c>
      <c r="EH79" t="e">
        <f t="shared" si="50"/>
        <v>#N/A</v>
      </c>
      <c r="EI79" t="e">
        <f t="shared" si="50"/>
        <v>#N/A</v>
      </c>
      <c r="EJ79" t="e">
        <f t="shared" si="50"/>
        <v>#N/A</v>
      </c>
      <c r="EK79" t="e">
        <f t="shared" si="50"/>
        <v>#N/A</v>
      </c>
      <c r="EL79" t="e">
        <f t="shared" si="50"/>
        <v>#N/A</v>
      </c>
      <c r="EM79" t="e">
        <f t="shared" si="50"/>
        <v>#N/A</v>
      </c>
    </row>
    <row r="80" spans="1:143" x14ac:dyDescent="0.4">
      <c r="A80" t="str">
        <f t="shared" si="51"/>
        <v/>
      </c>
      <c r="B80">
        <v>77</v>
      </c>
      <c r="C80" t="str" cm="1">
        <f t="array" ref="C80">INDEX(auto_Series_Code,B80)</f>
        <v>BG01</v>
      </c>
      <c r="D80">
        <f t="shared" si="55"/>
        <v>4561</v>
      </c>
      <c r="E80">
        <f t="shared" si="55"/>
        <v>4562</v>
      </c>
      <c r="F80">
        <f t="shared" si="55"/>
        <v>4563</v>
      </c>
      <c r="G80">
        <f t="shared" si="55"/>
        <v>4564</v>
      </c>
      <c r="H80">
        <f t="shared" si="55"/>
        <v>4565</v>
      </c>
      <c r="I80">
        <f t="shared" si="55"/>
        <v>4566</v>
      </c>
      <c r="J80">
        <f t="shared" si="55"/>
        <v>4567</v>
      </c>
      <c r="K80">
        <f t="shared" si="55"/>
        <v>4568</v>
      </c>
      <c r="L80">
        <f t="shared" si="55"/>
        <v>4569</v>
      </c>
      <c r="M80">
        <f t="shared" si="55"/>
        <v>4570</v>
      </c>
      <c r="N80">
        <f t="shared" si="55"/>
        <v>4571</v>
      </c>
      <c r="O80">
        <f t="shared" si="55"/>
        <v>4572</v>
      </c>
      <c r="P80">
        <f t="shared" si="55"/>
        <v>4573</v>
      </c>
      <c r="Q80">
        <f t="shared" si="55"/>
        <v>4574</v>
      </c>
      <c r="R80">
        <f t="shared" si="55"/>
        <v>4575</v>
      </c>
      <c r="S80">
        <f t="shared" si="55"/>
        <v>4576</v>
      </c>
      <c r="T80">
        <f t="shared" si="52"/>
        <v>4577</v>
      </c>
      <c r="U80">
        <f t="shared" si="52"/>
        <v>4578</v>
      </c>
      <c r="V80">
        <f t="shared" si="52"/>
        <v>4579</v>
      </c>
      <c r="W80">
        <f t="shared" si="52"/>
        <v>4580</v>
      </c>
      <c r="X80">
        <f t="shared" si="52"/>
        <v>4581</v>
      </c>
      <c r="Y80">
        <f t="shared" si="52"/>
        <v>4582</v>
      </c>
      <c r="Z80">
        <f t="shared" si="52"/>
        <v>4583</v>
      </c>
      <c r="AA80">
        <f t="shared" si="52"/>
        <v>4584</v>
      </c>
      <c r="AB80">
        <f t="shared" si="52"/>
        <v>4585</v>
      </c>
      <c r="AC80">
        <f t="shared" si="52"/>
        <v>4586</v>
      </c>
      <c r="AD80">
        <f t="shared" si="52"/>
        <v>4587</v>
      </c>
      <c r="AE80">
        <f t="shared" si="52"/>
        <v>4588</v>
      </c>
      <c r="AF80">
        <f t="shared" si="52"/>
        <v>4589</v>
      </c>
      <c r="AG80">
        <f t="shared" si="52"/>
        <v>4590</v>
      </c>
      <c r="AH80">
        <f t="shared" si="56"/>
        <v>4591</v>
      </c>
      <c r="AI80">
        <f t="shared" si="56"/>
        <v>4592</v>
      </c>
      <c r="AJ80">
        <f t="shared" si="56"/>
        <v>4593</v>
      </c>
      <c r="AK80">
        <f t="shared" si="56"/>
        <v>4594</v>
      </c>
      <c r="AL80">
        <f t="shared" si="56"/>
        <v>4595</v>
      </c>
      <c r="AM80">
        <f t="shared" si="56"/>
        <v>4596</v>
      </c>
      <c r="AN80">
        <f t="shared" si="56"/>
        <v>4597</v>
      </c>
      <c r="AO80">
        <f t="shared" si="56"/>
        <v>4598</v>
      </c>
      <c r="AP80">
        <f t="shared" si="56"/>
        <v>4599</v>
      </c>
      <c r="AQ80">
        <f t="shared" si="56"/>
        <v>4600</v>
      </c>
      <c r="AR80">
        <f t="shared" si="56"/>
        <v>4601</v>
      </c>
      <c r="AS80">
        <f t="shared" si="56"/>
        <v>4602</v>
      </c>
      <c r="AT80">
        <f t="shared" si="56"/>
        <v>4603</v>
      </c>
      <c r="AU80">
        <f t="shared" si="56"/>
        <v>4604</v>
      </c>
      <c r="AV80">
        <f t="shared" si="56"/>
        <v>4605</v>
      </c>
      <c r="AW80">
        <f t="shared" si="57"/>
        <v>4606</v>
      </c>
      <c r="AX80">
        <f t="shared" si="57"/>
        <v>4607</v>
      </c>
      <c r="AY80">
        <f t="shared" si="57"/>
        <v>4608</v>
      </c>
      <c r="AZ80">
        <f t="shared" si="57"/>
        <v>4609</v>
      </c>
      <c r="BA80">
        <f t="shared" si="57"/>
        <v>4610</v>
      </c>
      <c r="BB80" t="e">
        <f t="shared" si="57"/>
        <v>#N/A</v>
      </c>
      <c r="BC80" t="e">
        <f t="shared" si="57"/>
        <v>#N/A</v>
      </c>
      <c r="BD80" t="e">
        <f t="shared" si="57"/>
        <v>#N/A</v>
      </c>
      <c r="BE80" t="e">
        <f t="shared" si="57"/>
        <v>#N/A</v>
      </c>
      <c r="BF80" t="e">
        <f t="shared" si="57"/>
        <v>#N/A</v>
      </c>
      <c r="BG80" t="e">
        <f t="shared" si="57"/>
        <v>#N/A</v>
      </c>
      <c r="BH80" t="e">
        <f t="shared" si="57"/>
        <v>#N/A</v>
      </c>
      <c r="BI80" t="e">
        <f t="shared" si="57"/>
        <v>#N/A</v>
      </c>
      <c r="BJ80" t="e">
        <f t="shared" si="57"/>
        <v>#N/A</v>
      </c>
      <c r="BK80" t="e">
        <f t="shared" si="57"/>
        <v>#N/A</v>
      </c>
      <c r="BL80" t="e">
        <f t="shared" si="59"/>
        <v>#N/A</v>
      </c>
      <c r="BM80" t="e">
        <f t="shared" si="59"/>
        <v>#N/A</v>
      </c>
      <c r="BN80" t="e">
        <f t="shared" si="59"/>
        <v>#N/A</v>
      </c>
      <c r="BO80" t="e">
        <f t="shared" si="59"/>
        <v>#N/A</v>
      </c>
      <c r="BP80" t="e">
        <f t="shared" si="59"/>
        <v>#N/A</v>
      </c>
      <c r="BQ80" t="e">
        <f t="shared" si="59"/>
        <v>#N/A</v>
      </c>
      <c r="BR80" t="e">
        <f t="shared" si="59"/>
        <v>#N/A</v>
      </c>
      <c r="BS80" t="e">
        <f t="shared" si="59"/>
        <v>#N/A</v>
      </c>
      <c r="BT80" t="e">
        <f t="shared" si="58"/>
        <v>#N/A</v>
      </c>
      <c r="BU80" t="e">
        <f t="shared" si="58"/>
        <v>#N/A</v>
      </c>
      <c r="BV80" t="e">
        <f t="shared" si="58"/>
        <v>#N/A</v>
      </c>
      <c r="BW80" t="e">
        <f t="shared" si="58"/>
        <v>#N/A</v>
      </c>
      <c r="BX80" t="e">
        <f t="shared" si="58"/>
        <v>#N/A</v>
      </c>
      <c r="BY80" t="e">
        <f t="shared" si="58"/>
        <v>#N/A</v>
      </c>
      <c r="BZ80" t="e">
        <f t="shared" si="58"/>
        <v>#N/A</v>
      </c>
      <c r="CA80" t="e">
        <f t="shared" si="58"/>
        <v>#N/A</v>
      </c>
      <c r="CB80" t="e">
        <f t="shared" si="58"/>
        <v>#N/A</v>
      </c>
      <c r="CC80" t="e">
        <f t="shared" si="54"/>
        <v>#N/A</v>
      </c>
      <c r="CD80" t="e">
        <f t="shared" si="54"/>
        <v>#N/A</v>
      </c>
      <c r="CE80" t="e">
        <f t="shared" si="54"/>
        <v>#N/A</v>
      </c>
      <c r="CF80" t="e">
        <f t="shared" si="54"/>
        <v>#N/A</v>
      </c>
      <c r="CG80" t="e">
        <f t="shared" si="54"/>
        <v>#N/A</v>
      </c>
      <c r="CH80" t="e">
        <f t="shared" si="54"/>
        <v>#N/A</v>
      </c>
      <c r="CI80" t="e">
        <f t="shared" si="54"/>
        <v>#N/A</v>
      </c>
      <c r="CJ80" t="e">
        <f t="shared" si="54"/>
        <v>#N/A</v>
      </c>
      <c r="CK80" t="e">
        <f t="shared" si="54"/>
        <v>#N/A</v>
      </c>
      <c r="CL80" t="e">
        <f t="shared" si="54"/>
        <v>#N/A</v>
      </c>
      <c r="CM80" t="e">
        <f t="shared" si="54"/>
        <v>#N/A</v>
      </c>
      <c r="CN80" t="e">
        <f t="shared" si="54"/>
        <v>#N/A</v>
      </c>
      <c r="CO80" t="e">
        <f t="shared" si="54"/>
        <v>#N/A</v>
      </c>
      <c r="CP80" t="e">
        <f t="shared" si="54"/>
        <v>#N/A</v>
      </c>
      <c r="CQ80" t="e">
        <f t="shared" si="54"/>
        <v>#N/A</v>
      </c>
      <c r="CR80" t="e">
        <f t="shared" si="62"/>
        <v>#N/A</v>
      </c>
      <c r="CS80" t="e">
        <f t="shared" si="62"/>
        <v>#N/A</v>
      </c>
      <c r="CT80" t="e">
        <f t="shared" si="62"/>
        <v>#N/A</v>
      </c>
      <c r="CU80" t="e">
        <f t="shared" si="62"/>
        <v>#N/A</v>
      </c>
      <c r="CV80" t="e">
        <f t="shared" si="62"/>
        <v>#N/A</v>
      </c>
      <c r="CW80" t="e">
        <f t="shared" si="62"/>
        <v>#N/A</v>
      </c>
      <c r="CX80" t="e">
        <f t="shared" si="62"/>
        <v>#N/A</v>
      </c>
      <c r="CY80" t="e">
        <f t="shared" si="62"/>
        <v>#N/A</v>
      </c>
      <c r="CZ80" t="e">
        <f t="shared" si="62"/>
        <v>#N/A</v>
      </c>
      <c r="DA80" t="e">
        <f t="shared" si="62"/>
        <v>#N/A</v>
      </c>
      <c r="DB80" t="e">
        <f t="shared" si="62"/>
        <v>#N/A</v>
      </c>
      <c r="DC80" t="e">
        <f t="shared" si="62"/>
        <v>#N/A</v>
      </c>
      <c r="DD80" t="e">
        <f t="shared" si="62"/>
        <v>#N/A</v>
      </c>
      <c r="DE80" t="e">
        <f t="shared" si="62"/>
        <v>#N/A</v>
      </c>
      <c r="DF80" t="e">
        <f t="shared" si="62"/>
        <v>#N/A</v>
      </c>
      <c r="DG80" t="e">
        <f t="shared" si="62"/>
        <v>#N/A</v>
      </c>
      <c r="DH80" t="e">
        <f t="shared" si="61"/>
        <v>#N/A</v>
      </c>
      <c r="DI80" t="e">
        <f t="shared" si="61"/>
        <v>#N/A</v>
      </c>
      <c r="DJ80" t="e">
        <f t="shared" si="49"/>
        <v>#N/A</v>
      </c>
      <c r="DK80" t="e">
        <f t="shared" si="49"/>
        <v>#N/A</v>
      </c>
      <c r="DL80" t="e">
        <f t="shared" si="49"/>
        <v>#N/A</v>
      </c>
      <c r="DM80" t="e">
        <f t="shared" si="49"/>
        <v>#N/A</v>
      </c>
      <c r="DN80" t="e">
        <f t="shared" si="49"/>
        <v>#N/A</v>
      </c>
      <c r="DO80" t="e">
        <f t="shared" si="49"/>
        <v>#N/A</v>
      </c>
      <c r="DP80" t="e">
        <f t="shared" si="49"/>
        <v>#N/A</v>
      </c>
      <c r="DQ80" t="e">
        <f t="shared" si="49"/>
        <v>#N/A</v>
      </c>
      <c r="DR80" t="e">
        <f t="shared" si="49"/>
        <v>#N/A</v>
      </c>
      <c r="DS80" t="e">
        <f t="shared" si="49"/>
        <v>#N/A</v>
      </c>
      <c r="DT80">
        <f t="shared" si="49"/>
        <v>4611</v>
      </c>
      <c r="DU80">
        <f t="shared" si="49"/>
        <v>4612</v>
      </c>
      <c r="DV80">
        <f t="shared" si="49"/>
        <v>4613</v>
      </c>
      <c r="DW80">
        <f t="shared" si="49"/>
        <v>4614</v>
      </c>
      <c r="DX80">
        <f t="shared" si="49"/>
        <v>4615</v>
      </c>
      <c r="DY80">
        <f t="shared" si="48"/>
        <v>4616</v>
      </c>
      <c r="DZ80">
        <f t="shared" si="48"/>
        <v>4617</v>
      </c>
      <c r="EA80">
        <f t="shared" si="48"/>
        <v>4618</v>
      </c>
      <c r="EB80">
        <f t="shared" si="48"/>
        <v>4619</v>
      </c>
      <c r="EC80">
        <f t="shared" si="48"/>
        <v>4620</v>
      </c>
      <c r="ED80" t="e">
        <f t="shared" si="48"/>
        <v>#N/A</v>
      </c>
      <c r="EE80" t="e">
        <f t="shared" si="48"/>
        <v>#N/A</v>
      </c>
      <c r="EF80" t="e">
        <f t="shared" si="48"/>
        <v>#N/A</v>
      </c>
      <c r="EG80" t="e">
        <f t="shared" si="48"/>
        <v>#N/A</v>
      </c>
      <c r="EH80" t="e">
        <f t="shared" si="50"/>
        <v>#N/A</v>
      </c>
      <c r="EI80" t="e">
        <f t="shared" si="50"/>
        <v>#N/A</v>
      </c>
      <c r="EJ80" t="e">
        <f t="shared" si="50"/>
        <v>#N/A</v>
      </c>
      <c r="EK80" t="e">
        <f t="shared" si="50"/>
        <v>#N/A</v>
      </c>
      <c r="EL80" t="e">
        <f t="shared" si="50"/>
        <v>#N/A</v>
      </c>
      <c r="EM80" t="e">
        <f t="shared" si="50"/>
        <v>#N/A</v>
      </c>
    </row>
    <row r="81" spans="1:143" x14ac:dyDescent="0.4">
      <c r="A81" t="str">
        <f t="shared" si="51"/>
        <v/>
      </c>
      <c r="B81">
        <v>78</v>
      </c>
      <c r="C81" t="str" cm="1">
        <f t="array" ref="C81">INDEX(auto_Series_Code,B81)</f>
        <v>BG13</v>
      </c>
      <c r="D81">
        <f t="shared" si="55"/>
        <v>4621</v>
      </c>
      <c r="E81">
        <f t="shared" si="55"/>
        <v>4622</v>
      </c>
      <c r="F81">
        <f t="shared" si="55"/>
        <v>4623</v>
      </c>
      <c r="G81">
        <f t="shared" si="55"/>
        <v>4624</v>
      </c>
      <c r="H81">
        <f t="shared" si="55"/>
        <v>4625</v>
      </c>
      <c r="I81">
        <f t="shared" si="55"/>
        <v>4626</v>
      </c>
      <c r="J81">
        <f t="shared" si="55"/>
        <v>4627</v>
      </c>
      <c r="K81">
        <f t="shared" si="55"/>
        <v>4628</v>
      </c>
      <c r="L81">
        <f t="shared" si="55"/>
        <v>4629</v>
      </c>
      <c r="M81">
        <f t="shared" si="55"/>
        <v>4630</v>
      </c>
      <c r="N81">
        <f t="shared" si="55"/>
        <v>4631</v>
      </c>
      <c r="O81">
        <f t="shared" si="55"/>
        <v>4632</v>
      </c>
      <c r="P81">
        <f t="shared" si="55"/>
        <v>4633</v>
      </c>
      <c r="Q81">
        <f t="shared" si="55"/>
        <v>4634</v>
      </c>
      <c r="R81">
        <f t="shared" si="55"/>
        <v>4635</v>
      </c>
      <c r="S81">
        <f t="shared" si="55"/>
        <v>4636</v>
      </c>
      <c r="T81">
        <f t="shared" si="52"/>
        <v>4637</v>
      </c>
      <c r="U81">
        <f t="shared" si="52"/>
        <v>4638</v>
      </c>
      <c r="V81">
        <f t="shared" si="52"/>
        <v>4639</v>
      </c>
      <c r="W81">
        <f t="shared" si="52"/>
        <v>4640</v>
      </c>
      <c r="X81">
        <f t="shared" si="52"/>
        <v>4641</v>
      </c>
      <c r="Y81">
        <f t="shared" si="52"/>
        <v>4642</v>
      </c>
      <c r="Z81">
        <f t="shared" si="52"/>
        <v>4643</v>
      </c>
      <c r="AA81">
        <f t="shared" si="52"/>
        <v>4644</v>
      </c>
      <c r="AB81">
        <f t="shared" si="52"/>
        <v>4645</v>
      </c>
      <c r="AC81">
        <f t="shared" si="52"/>
        <v>4646</v>
      </c>
      <c r="AD81">
        <f t="shared" si="52"/>
        <v>4647</v>
      </c>
      <c r="AE81">
        <f t="shared" si="52"/>
        <v>4648</v>
      </c>
      <c r="AF81">
        <f t="shared" si="52"/>
        <v>4649</v>
      </c>
      <c r="AG81">
        <f t="shared" si="52"/>
        <v>4650</v>
      </c>
      <c r="AH81">
        <f t="shared" si="56"/>
        <v>4651</v>
      </c>
      <c r="AI81">
        <f t="shared" si="56"/>
        <v>4652</v>
      </c>
      <c r="AJ81">
        <f t="shared" si="56"/>
        <v>4653</v>
      </c>
      <c r="AK81">
        <f t="shared" si="56"/>
        <v>4654</v>
      </c>
      <c r="AL81">
        <f t="shared" si="56"/>
        <v>4655</v>
      </c>
      <c r="AM81">
        <f t="shared" si="56"/>
        <v>4656</v>
      </c>
      <c r="AN81">
        <f t="shared" si="56"/>
        <v>4657</v>
      </c>
      <c r="AO81">
        <f t="shared" si="56"/>
        <v>4658</v>
      </c>
      <c r="AP81">
        <f t="shared" si="56"/>
        <v>4659</v>
      </c>
      <c r="AQ81">
        <f t="shared" si="56"/>
        <v>4660</v>
      </c>
      <c r="AR81">
        <f t="shared" si="56"/>
        <v>4661</v>
      </c>
      <c r="AS81">
        <f t="shared" si="56"/>
        <v>4662</v>
      </c>
      <c r="AT81">
        <f t="shared" si="56"/>
        <v>4663</v>
      </c>
      <c r="AU81">
        <f t="shared" si="56"/>
        <v>4664</v>
      </c>
      <c r="AV81">
        <f t="shared" si="56"/>
        <v>4665</v>
      </c>
      <c r="AW81">
        <f t="shared" si="57"/>
        <v>4666</v>
      </c>
      <c r="AX81">
        <f t="shared" si="57"/>
        <v>4667</v>
      </c>
      <c r="AY81">
        <f t="shared" si="57"/>
        <v>4668</v>
      </c>
      <c r="AZ81">
        <f t="shared" si="57"/>
        <v>4669</v>
      </c>
      <c r="BA81">
        <f t="shared" si="57"/>
        <v>4670</v>
      </c>
      <c r="BB81" t="e">
        <f t="shared" si="57"/>
        <v>#N/A</v>
      </c>
      <c r="BC81" t="e">
        <f t="shared" si="57"/>
        <v>#N/A</v>
      </c>
      <c r="BD81" t="e">
        <f t="shared" si="57"/>
        <v>#N/A</v>
      </c>
      <c r="BE81" t="e">
        <f t="shared" si="57"/>
        <v>#N/A</v>
      </c>
      <c r="BF81" t="e">
        <f t="shared" si="57"/>
        <v>#N/A</v>
      </c>
      <c r="BG81" t="e">
        <f t="shared" si="57"/>
        <v>#N/A</v>
      </c>
      <c r="BH81" t="e">
        <f t="shared" si="57"/>
        <v>#N/A</v>
      </c>
      <c r="BI81" t="e">
        <f t="shared" si="57"/>
        <v>#N/A</v>
      </c>
      <c r="BJ81" t="e">
        <f t="shared" si="57"/>
        <v>#N/A</v>
      </c>
      <c r="BK81" t="e">
        <f t="shared" si="57"/>
        <v>#N/A</v>
      </c>
      <c r="BL81" t="e">
        <f t="shared" si="59"/>
        <v>#N/A</v>
      </c>
      <c r="BM81" t="e">
        <f t="shared" si="59"/>
        <v>#N/A</v>
      </c>
      <c r="BN81" t="e">
        <f t="shared" si="59"/>
        <v>#N/A</v>
      </c>
      <c r="BO81" t="e">
        <f t="shared" si="59"/>
        <v>#N/A</v>
      </c>
      <c r="BP81" t="e">
        <f t="shared" si="59"/>
        <v>#N/A</v>
      </c>
      <c r="BQ81" t="e">
        <f t="shared" si="59"/>
        <v>#N/A</v>
      </c>
      <c r="BR81" t="e">
        <f t="shared" si="59"/>
        <v>#N/A</v>
      </c>
      <c r="BS81" t="e">
        <f t="shared" si="59"/>
        <v>#N/A</v>
      </c>
      <c r="BT81" t="e">
        <f t="shared" si="58"/>
        <v>#N/A</v>
      </c>
      <c r="BU81" t="e">
        <f t="shared" si="58"/>
        <v>#N/A</v>
      </c>
      <c r="BV81" t="e">
        <f t="shared" si="58"/>
        <v>#N/A</v>
      </c>
      <c r="BW81" t="e">
        <f t="shared" si="58"/>
        <v>#N/A</v>
      </c>
      <c r="BX81" t="e">
        <f t="shared" si="58"/>
        <v>#N/A</v>
      </c>
      <c r="BY81" t="e">
        <f t="shared" si="58"/>
        <v>#N/A</v>
      </c>
      <c r="BZ81" t="e">
        <f t="shared" si="58"/>
        <v>#N/A</v>
      </c>
      <c r="CA81" t="e">
        <f t="shared" si="58"/>
        <v>#N/A</v>
      </c>
      <c r="CB81" t="e">
        <f t="shared" si="58"/>
        <v>#N/A</v>
      </c>
      <c r="CC81" t="e">
        <f t="shared" si="54"/>
        <v>#N/A</v>
      </c>
      <c r="CD81" t="e">
        <f t="shared" si="54"/>
        <v>#N/A</v>
      </c>
      <c r="CE81" t="e">
        <f t="shared" si="54"/>
        <v>#N/A</v>
      </c>
      <c r="CF81" t="e">
        <f t="shared" si="54"/>
        <v>#N/A</v>
      </c>
      <c r="CG81" t="e">
        <f t="shared" si="54"/>
        <v>#N/A</v>
      </c>
      <c r="CH81" t="e">
        <f t="shared" si="54"/>
        <v>#N/A</v>
      </c>
      <c r="CI81" t="e">
        <f t="shared" si="54"/>
        <v>#N/A</v>
      </c>
      <c r="CJ81" t="e">
        <f t="shared" si="54"/>
        <v>#N/A</v>
      </c>
      <c r="CK81" t="e">
        <f t="shared" si="54"/>
        <v>#N/A</v>
      </c>
      <c r="CL81" t="e">
        <f t="shared" si="54"/>
        <v>#N/A</v>
      </c>
      <c r="CM81" t="e">
        <f t="shared" si="54"/>
        <v>#N/A</v>
      </c>
      <c r="CN81" t="e">
        <f t="shared" si="54"/>
        <v>#N/A</v>
      </c>
      <c r="CO81" t="e">
        <f t="shared" si="54"/>
        <v>#N/A</v>
      </c>
      <c r="CP81" t="e">
        <f t="shared" si="54"/>
        <v>#N/A</v>
      </c>
      <c r="CQ81" t="e">
        <f t="shared" si="54"/>
        <v>#N/A</v>
      </c>
      <c r="CR81" t="e">
        <f t="shared" si="62"/>
        <v>#N/A</v>
      </c>
      <c r="CS81" t="e">
        <f t="shared" si="62"/>
        <v>#N/A</v>
      </c>
      <c r="CT81" t="e">
        <f t="shared" si="62"/>
        <v>#N/A</v>
      </c>
      <c r="CU81" t="e">
        <f t="shared" si="62"/>
        <v>#N/A</v>
      </c>
      <c r="CV81" t="e">
        <f t="shared" si="62"/>
        <v>#N/A</v>
      </c>
      <c r="CW81" t="e">
        <f t="shared" si="62"/>
        <v>#N/A</v>
      </c>
      <c r="CX81" t="e">
        <f t="shared" si="62"/>
        <v>#N/A</v>
      </c>
      <c r="CY81" t="e">
        <f t="shared" si="62"/>
        <v>#N/A</v>
      </c>
      <c r="CZ81" t="e">
        <f t="shared" si="62"/>
        <v>#N/A</v>
      </c>
      <c r="DA81" t="e">
        <f t="shared" si="62"/>
        <v>#N/A</v>
      </c>
      <c r="DB81" t="e">
        <f t="shared" si="62"/>
        <v>#N/A</v>
      </c>
      <c r="DC81" t="e">
        <f t="shared" si="62"/>
        <v>#N/A</v>
      </c>
      <c r="DD81" t="e">
        <f t="shared" si="62"/>
        <v>#N/A</v>
      </c>
      <c r="DE81" t="e">
        <f t="shared" si="62"/>
        <v>#N/A</v>
      </c>
      <c r="DF81" t="e">
        <f t="shared" si="62"/>
        <v>#N/A</v>
      </c>
      <c r="DG81" t="e">
        <f t="shared" si="62"/>
        <v>#N/A</v>
      </c>
      <c r="DH81" t="e">
        <f t="shared" si="61"/>
        <v>#N/A</v>
      </c>
      <c r="DI81" t="e">
        <f t="shared" si="61"/>
        <v>#N/A</v>
      </c>
      <c r="DJ81" t="e">
        <f t="shared" si="49"/>
        <v>#N/A</v>
      </c>
      <c r="DK81" t="e">
        <f t="shared" si="49"/>
        <v>#N/A</v>
      </c>
      <c r="DL81" t="e">
        <f t="shared" si="49"/>
        <v>#N/A</v>
      </c>
      <c r="DM81" t="e">
        <f t="shared" si="49"/>
        <v>#N/A</v>
      </c>
      <c r="DN81" t="e">
        <f t="shared" si="49"/>
        <v>#N/A</v>
      </c>
      <c r="DO81" t="e">
        <f t="shared" si="49"/>
        <v>#N/A</v>
      </c>
      <c r="DP81" t="e">
        <f t="shared" si="49"/>
        <v>#N/A</v>
      </c>
      <c r="DQ81" t="e">
        <f t="shared" si="49"/>
        <v>#N/A</v>
      </c>
      <c r="DR81" t="e">
        <f t="shared" si="49"/>
        <v>#N/A</v>
      </c>
      <c r="DS81" t="e">
        <f t="shared" si="49"/>
        <v>#N/A</v>
      </c>
      <c r="DT81">
        <f t="shared" si="49"/>
        <v>4671</v>
      </c>
      <c r="DU81">
        <f t="shared" si="49"/>
        <v>4672</v>
      </c>
      <c r="DV81">
        <f t="shared" si="49"/>
        <v>4673</v>
      </c>
      <c r="DW81">
        <f t="shared" si="49"/>
        <v>4674</v>
      </c>
      <c r="DX81">
        <f t="shared" si="49"/>
        <v>4675</v>
      </c>
      <c r="DY81">
        <f t="shared" si="48"/>
        <v>4676</v>
      </c>
      <c r="DZ81">
        <f t="shared" si="48"/>
        <v>4677</v>
      </c>
      <c r="EA81">
        <f t="shared" si="48"/>
        <v>4678</v>
      </c>
      <c r="EB81">
        <f t="shared" si="48"/>
        <v>4679</v>
      </c>
      <c r="EC81">
        <f t="shared" si="48"/>
        <v>4680</v>
      </c>
      <c r="ED81" t="e">
        <f t="shared" si="48"/>
        <v>#N/A</v>
      </c>
      <c r="EE81" t="e">
        <f t="shared" si="48"/>
        <v>#N/A</v>
      </c>
      <c r="EF81" t="e">
        <f t="shared" si="48"/>
        <v>#N/A</v>
      </c>
      <c r="EG81" t="e">
        <f t="shared" si="48"/>
        <v>#N/A</v>
      </c>
      <c r="EH81" t="e">
        <f t="shared" si="50"/>
        <v>#N/A</v>
      </c>
      <c r="EI81" t="e">
        <f t="shared" si="50"/>
        <v>#N/A</v>
      </c>
      <c r="EJ81" t="e">
        <f t="shared" si="50"/>
        <v>#N/A</v>
      </c>
      <c r="EK81" t="e">
        <f t="shared" si="50"/>
        <v>#N/A</v>
      </c>
      <c r="EL81" t="e">
        <f t="shared" si="50"/>
        <v>#N/A</v>
      </c>
      <c r="EM81" t="e">
        <f t="shared" si="50"/>
        <v>#N/A</v>
      </c>
    </row>
    <row r="82" spans="1:143" x14ac:dyDescent="0.4">
      <c r="A82" t="str">
        <f t="shared" si="51"/>
        <v>X</v>
      </c>
      <c r="B82">
        <v>79</v>
      </c>
      <c r="C82" t="e" cm="1">
        <f t="array" ref="C82">INDEX(auto_Series_Code,B82)</f>
        <v>#REF!</v>
      </c>
      <c r="D82" t="e">
        <f t="shared" si="55"/>
        <v>#REF!</v>
      </c>
      <c r="E82" t="e">
        <f t="shared" si="55"/>
        <v>#REF!</v>
      </c>
      <c r="F82" t="e">
        <f t="shared" si="55"/>
        <v>#REF!</v>
      </c>
      <c r="G82" t="e">
        <f t="shared" si="55"/>
        <v>#REF!</v>
      </c>
      <c r="H82" t="e">
        <f t="shared" si="55"/>
        <v>#REF!</v>
      </c>
      <c r="I82" t="e">
        <f t="shared" si="55"/>
        <v>#REF!</v>
      </c>
      <c r="J82" t="e">
        <f t="shared" si="55"/>
        <v>#REF!</v>
      </c>
      <c r="K82" t="e">
        <f t="shared" si="55"/>
        <v>#REF!</v>
      </c>
      <c r="L82" t="e">
        <f t="shared" si="55"/>
        <v>#REF!</v>
      </c>
      <c r="M82" t="e">
        <f t="shared" si="55"/>
        <v>#REF!</v>
      </c>
      <c r="N82" t="e">
        <f t="shared" si="55"/>
        <v>#REF!</v>
      </c>
      <c r="O82" t="e">
        <f t="shared" si="55"/>
        <v>#REF!</v>
      </c>
      <c r="P82" t="e">
        <f t="shared" si="55"/>
        <v>#REF!</v>
      </c>
      <c r="Q82" t="e">
        <f t="shared" si="55"/>
        <v>#REF!</v>
      </c>
      <c r="R82" t="e">
        <f t="shared" si="55"/>
        <v>#REF!</v>
      </c>
      <c r="S82" t="e">
        <f t="shared" si="55"/>
        <v>#REF!</v>
      </c>
      <c r="T82" t="e">
        <f t="shared" si="52"/>
        <v>#REF!</v>
      </c>
      <c r="U82" t="e">
        <f t="shared" si="52"/>
        <v>#REF!</v>
      </c>
      <c r="V82" t="e">
        <f t="shared" si="52"/>
        <v>#REF!</v>
      </c>
      <c r="W82" t="e">
        <f t="shared" si="52"/>
        <v>#REF!</v>
      </c>
      <c r="X82" t="e">
        <f t="shared" si="52"/>
        <v>#REF!</v>
      </c>
      <c r="Y82" t="e">
        <f t="shared" si="52"/>
        <v>#REF!</v>
      </c>
      <c r="Z82" t="e">
        <f t="shared" si="52"/>
        <v>#REF!</v>
      </c>
      <c r="AA82" t="e">
        <f t="shared" si="52"/>
        <v>#REF!</v>
      </c>
      <c r="AB82" t="e">
        <f t="shared" si="52"/>
        <v>#REF!</v>
      </c>
      <c r="AC82" t="e">
        <f t="shared" si="52"/>
        <v>#REF!</v>
      </c>
      <c r="AD82" t="e">
        <f t="shared" si="52"/>
        <v>#REF!</v>
      </c>
      <c r="AE82" t="e">
        <f t="shared" si="52"/>
        <v>#REF!</v>
      </c>
      <c r="AF82" t="e">
        <f t="shared" si="52"/>
        <v>#REF!</v>
      </c>
      <c r="AG82" t="e">
        <f t="shared" si="52"/>
        <v>#REF!</v>
      </c>
      <c r="AH82" t="e">
        <f t="shared" si="56"/>
        <v>#REF!</v>
      </c>
      <c r="AI82" t="e">
        <f t="shared" si="56"/>
        <v>#REF!</v>
      </c>
      <c r="AJ82" t="e">
        <f t="shared" si="56"/>
        <v>#REF!</v>
      </c>
      <c r="AK82" t="e">
        <f t="shared" si="56"/>
        <v>#REF!</v>
      </c>
      <c r="AL82" t="e">
        <f t="shared" si="56"/>
        <v>#REF!</v>
      </c>
      <c r="AM82" t="e">
        <f t="shared" si="56"/>
        <v>#REF!</v>
      </c>
      <c r="AN82" t="e">
        <f t="shared" si="56"/>
        <v>#REF!</v>
      </c>
      <c r="AO82" t="e">
        <f t="shared" si="56"/>
        <v>#REF!</v>
      </c>
      <c r="AP82" t="e">
        <f t="shared" si="56"/>
        <v>#REF!</v>
      </c>
      <c r="AQ82" t="e">
        <f t="shared" si="56"/>
        <v>#REF!</v>
      </c>
      <c r="AR82" t="e">
        <f t="shared" si="56"/>
        <v>#REF!</v>
      </c>
      <c r="AS82" t="e">
        <f t="shared" si="56"/>
        <v>#REF!</v>
      </c>
      <c r="AT82" t="e">
        <f t="shared" si="56"/>
        <v>#REF!</v>
      </c>
      <c r="AU82" t="e">
        <f t="shared" si="56"/>
        <v>#REF!</v>
      </c>
      <c r="AV82" t="e">
        <f t="shared" si="56"/>
        <v>#REF!</v>
      </c>
      <c r="AW82" t="e">
        <f t="shared" si="57"/>
        <v>#REF!</v>
      </c>
      <c r="AX82" t="e">
        <f t="shared" si="57"/>
        <v>#REF!</v>
      </c>
      <c r="AY82" t="e">
        <f t="shared" si="57"/>
        <v>#REF!</v>
      </c>
      <c r="AZ82" t="e">
        <f t="shared" si="57"/>
        <v>#REF!</v>
      </c>
      <c r="BA82" t="e">
        <f t="shared" si="57"/>
        <v>#REF!</v>
      </c>
      <c r="BB82" t="e">
        <f t="shared" si="57"/>
        <v>#REF!</v>
      </c>
      <c r="BC82" t="e">
        <f t="shared" si="57"/>
        <v>#REF!</v>
      </c>
      <c r="BD82" t="e">
        <f t="shared" si="57"/>
        <v>#REF!</v>
      </c>
      <c r="BE82" t="e">
        <f t="shared" si="57"/>
        <v>#REF!</v>
      </c>
      <c r="BF82" t="e">
        <f t="shared" si="57"/>
        <v>#REF!</v>
      </c>
      <c r="BG82" t="e">
        <f t="shared" si="57"/>
        <v>#REF!</v>
      </c>
      <c r="BH82" t="e">
        <f t="shared" si="57"/>
        <v>#REF!</v>
      </c>
      <c r="BI82" t="e">
        <f t="shared" si="57"/>
        <v>#REF!</v>
      </c>
      <c r="BJ82" t="e">
        <f t="shared" si="57"/>
        <v>#REF!</v>
      </c>
      <c r="BK82" t="e">
        <f t="shared" si="57"/>
        <v>#REF!</v>
      </c>
      <c r="BL82" t="e">
        <f t="shared" si="59"/>
        <v>#REF!</v>
      </c>
      <c r="BM82" t="e">
        <f t="shared" si="59"/>
        <v>#REF!</v>
      </c>
      <c r="BN82" t="e">
        <f t="shared" si="59"/>
        <v>#REF!</v>
      </c>
      <c r="BO82" t="e">
        <f t="shared" si="59"/>
        <v>#REF!</v>
      </c>
      <c r="BP82" t="e">
        <f t="shared" si="59"/>
        <v>#REF!</v>
      </c>
      <c r="BQ82" t="e">
        <f t="shared" si="59"/>
        <v>#REF!</v>
      </c>
      <c r="BR82" t="e">
        <f t="shared" si="59"/>
        <v>#REF!</v>
      </c>
      <c r="BS82" t="e">
        <f t="shared" si="59"/>
        <v>#REF!</v>
      </c>
      <c r="BT82" t="e">
        <f t="shared" si="58"/>
        <v>#REF!</v>
      </c>
      <c r="BU82" t="e">
        <f t="shared" si="58"/>
        <v>#REF!</v>
      </c>
      <c r="BV82" t="e">
        <f t="shared" si="58"/>
        <v>#REF!</v>
      </c>
      <c r="BW82" t="e">
        <f t="shared" si="58"/>
        <v>#REF!</v>
      </c>
      <c r="BX82" t="e">
        <f t="shared" si="58"/>
        <v>#REF!</v>
      </c>
      <c r="BY82" t="e">
        <f t="shared" si="58"/>
        <v>#REF!</v>
      </c>
      <c r="BZ82" t="e">
        <f t="shared" si="58"/>
        <v>#REF!</v>
      </c>
      <c r="CA82" t="e">
        <f t="shared" si="58"/>
        <v>#REF!</v>
      </c>
      <c r="CB82" t="e">
        <f t="shared" si="58"/>
        <v>#REF!</v>
      </c>
      <c r="CC82" t="e">
        <f t="shared" si="54"/>
        <v>#REF!</v>
      </c>
      <c r="CD82" t="e">
        <f t="shared" si="54"/>
        <v>#REF!</v>
      </c>
      <c r="CE82" t="e">
        <f t="shared" si="54"/>
        <v>#REF!</v>
      </c>
      <c r="CF82" t="e">
        <f t="shared" si="54"/>
        <v>#REF!</v>
      </c>
      <c r="CG82" t="e">
        <f t="shared" si="54"/>
        <v>#REF!</v>
      </c>
      <c r="CH82" t="e">
        <f t="shared" si="54"/>
        <v>#REF!</v>
      </c>
      <c r="CI82" t="e">
        <f t="shared" si="54"/>
        <v>#REF!</v>
      </c>
      <c r="CJ82" t="e">
        <f t="shared" si="54"/>
        <v>#REF!</v>
      </c>
      <c r="CK82" t="e">
        <f t="shared" si="54"/>
        <v>#REF!</v>
      </c>
      <c r="CL82" t="e">
        <f t="shared" si="54"/>
        <v>#REF!</v>
      </c>
      <c r="CM82" t="e">
        <f t="shared" si="54"/>
        <v>#REF!</v>
      </c>
      <c r="CN82" t="e">
        <f t="shared" si="54"/>
        <v>#REF!</v>
      </c>
      <c r="CO82" t="e">
        <f t="shared" si="54"/>
        <v>#REF!</v>
      </c>
      <c r="CP82" t="e">
        <f t="shared" si="54"/>
        <v>#REF!</v>
      </c>
      <c r="CQ82" t="e">
        <f t="shared" si="54"/>
        <v>#REF!</v>
      </c>
      <c r="CR82" t="e">
        <f t="shared" si="62"/>
        <v>#REF!</v>
      </c>
      <c r="CS82" t="e">
        <f t="shared" si="62"/>
        <v>#REF!</v>
      </c>
      <c r="CT82" t="e">
        <f t="shared" si="62"/>
        <v>#REF!</v>
      </c>
      <c r="CU82" t="e">
        <f t="shared" si="62"/>
        <v>#REF!</v>
      </c>
      <c r="CV82" t="e">
        <f t="shared" si="62"/>
        <v>#REF!</v>
      </c>
      <c r="CW82" t="e">
        <f t="shared" si="62"/>
        <v>#REF!</v>
      </c>
      <c r="CX82" t="e">
        <f t="shared" si="62"/>
        <v>#REF!</v>
      </c>
      <c r="CY82" t="e">
        <f t="shared" si="62"/>
        <v>#REF!</v>
      </c>
      <c r="CZ82" t="e">
        <f t="shared" si="62"/>
        <v>#REF!</v>
      </c>
      <c r="DA82" t="e">
        <f t="shared" si="62"/>
        <v>#REF!</v>
      </c>
      <c r="DB82" t="e">
        <f t="shared" si="62"/>
        <v>#REF!</v>
      </c>
      <c r="DC82" t="e">
        <f t="shared" si="62"/>
        <v>#REF!</v>
      </c>
      <c r="DD82" t="e">
        <f t="shared" si="62"/>
        <v>#REF!</v>
      </c>
      <c r="DE82" t="e">
        <f t="shared" si="62"/>
        <v>#REF!</v>
      </c>
      <c r="DF82" t="e">
        <f t="shared" si="62"/>
        <v>#REF!</v>
      </c>
      <c r="DG82" t="e">
        <f t="shared" si="62"/>
        <v>#REF!</v>
      </c>
      <c r="DH82" t="e">
        <f t="shared" si="61"/>
        <v>#REF!</v>
      </c>
      <c r="DI82" t="e">
        <f t="shared" si="61"/>
        <v>#REF!</v>
      </c>
      <c r="DJ82" t="e">
        <f t="shared" si="49"/>
        <v>#REF!</v>
      </c>
      <c r="DK82" t="e">
        <f t="shared" si="49"/>
        <v>#REF!</v>
      </c>
      <c r="DL82" t="e">
        <f t="shared" si="49"/>
        <v>#REF!</v>
      </c>
      <c r="DM82" t="e">
        <f t="shared" si="49"/>
        <v>#REF!</v>
      </c>
      <c r="DN82" t="e">
        <f t="shared" si="49"/>
        <v>#REF!</v>
      </c>
      <c r="DO82" t="e">
        <f t="shared" si="49"/>
        <v>#REF!</v>
      </c>
      <c r="DP82" t="e">
        <f t="shared" si="49"/>
        <v>#REF!</v>
      </c>
      <c r="DQ82" t="e">
        <f t="shared" si="49"/>
        <v>#REF!</v>
      </c>
      <c r="DR82" t="e">
        <f t="shared" si="49"/>
        <v>#REF!</v>
      </c>
      <c r="DS82" t="e">
        <f t="shared" si="49"/>
        <v>#REF!</v>
      </c>
      <c r="DT82" t="e">
        <f t="shared" si="49"/>
        <v>#REF!</v>
      </c>
      <c r="DU82" t="e">
        <f t="shared" si="49"/>
        <v>#REF!</v>
      </c>
      <c r="DV82" t="e">
        <f t="shared" si="49"/>
        <v>#REF!</v>
      </c>
      <c r="DW82" t="e">
        <f t="shared" si="49"/>
        <v>#REF!</v>
      </c>
      <c r="DX82" t="e">
        <f t="shared" si="49"/>
        <v>#REF!</v>
      </c>
      <c r="DY82" t="e">
        <f t="shared" si="48"/>
        <v>#REF!</v>
      </c>
      <c r="DZ82" t="e">
        <f t="shared" si="48"/>
        <v>#REF!</v>
      </c>
      <c r="EA82" t="e">
        <f t="shared" si="48"/>
        <v>#REF!</v>
      </c>
      <c r="EB82" t="e">
        <f t="shared" si="48"/>
        <v>#REF!</v>
      </c>
      <c r="EC82" t="e">
        <f t="shared" si="48"/>
        <v>#REF!</v>
      </c>
      <c r="ED82" t="e">
        <f t="shared" si="48"/>
        <v>#REF!</v>
      </c>
      <c r="EE82" t="e">
        <f t="shared" si="48"/>
        <v>#REF!</v>
      </c>
      <c r="EF82" t="e">
        <f t="shared" si="48"/>
        <v>#REF!</v>
      </c>
      <c r="EG82" t="e">
        <f t="shared" si="48"/>
        <v>#REF!</v>
      </c>
      <c r="EH82" t="e">
        <f t="shared" si="50"/>
        <v>#REF!</v>
      </c>
      <c r="EI82" t="e">
        <f t="shared" si="50"/>
        <v>#REF!</v>
      </c>
      <c r="EJ82" t="e">
        <f t="shared" si="50"/>
        <v>#REF!</v>
      </c>
      <c r="EK82" t="e">
        <f t="shared" si="50"/>
        <v>#REF!</v>
      </c>
      <c r="EL82" t="e">
        <f t="shared" si="50"/>
        <v>#REF!</v>
      </c>
      <c r="EM82" t="e">
        <f t="shared" si="50"/>
        <v>#REF!</v>
      </c>
    </row>
    <row r="83" spans="1:143" x14ac:dyDescent="0.4">
      <c r="A83" t="str">
        <f t="shared" si="51"/>
        <v>X</v>
      </c>
      <c r="B83">
        <v>80</v>
      </c>
      <c r="C83" t="e" cm="1">
        <f t="array" ref="C83">INDEX(auto_Series_Code,B83)</f>
        <v>#REF!</v>
      </c>
      <c r="D83" t="e">
        <f t="shared" si="55"/>
        <v>#REF!</v>
      </c>
      <c r="E83" t="e">
        <f t="shared" si="55"/>
        <v>#REF!</v>
      </c>
      <c r="F83" t="e">
        <f t="shared" si="55"/>
        <v>#REF!</v>
      </c>
      <c r="G83" t="e">
        <f t="shared" si="55"/>
        <v>#REF!</v>
      </c>
      <c r="H83" t="e">
        <f t="shared" si="55"/>
        <v>#REF!</v>
      </c>
      <c r="I83" t="e">
        <f t="shared" si="55"/>
        <v>#REF!</v>
      </c>
      <c r="J83" t="e">
        <f t="shared" si="55"/>
        <v>#REF!</v>
      </c>
      <c r="K83" t="e">
        <f t="shared" si="55"/>
        <v>#REF!</v>
      </c>
      <c r="L83" t="e">
        <f t="shared" si="55"/>
        <v>#REF!</v>
      </c>
      <c r="M83" t="e">
        <f t="shared" si="55"/>
        <v>#REF!</v>
      </c>
      <c r="N83" t="e">
        <f t="shared" si="55"/>
        <v>#REF!</v>
      </c>
      <c r="O83" t="e">
        <f t="shared" si="55"/>
        <v>#REF!</v>
      </c>
      <c r="P83" t="e">
        <f t="shared" si="55"/>
        <v>#REF!</v>
      </c>
      <c r="Q83" t="e">
        <f t="shared" si="55"/>
        <v>#REF!</v>
      </c>
      <c r="R83" t="e">
        <f t="shared" si="55"/>
        <v>#REF!</v>
      </c>
      <c r="S83" t="e">
        <f t="shared" si="55"/>
        <v>#REF!</v>
      </c>
      <c r="T83" t="e">
        <f t="shared" si="52"/>
        <v>#REF!</v>
      </c>
      <c r="U83" t="e">
        <f t="shared" si="52"/>
        <v>#REF!</v>
      </c>
      <c r="V83" t="e">
        <f t="shared" si="52"/>
        <v>#REF!</v>
      </c>
      <c r="W83" t="e">
        <f t="shared" si="52"/>
        <v>#REF!</v>
      </c>
      <c r="X83" t="e">
        <f t="shared" si="52"/>
        <v>#REF!</v>
      </c>
      <c r="Y83" t="e">
        <f t="shared" si="52"/>
        <v>#REF!</v>
      </c>
      <c r="Z83" t="e">
        <f t="shared" si="52"/>
        <v>#REF!</v>
      </c>
      <c r="AA83" t="e">
        <f t="shared" si="52"/>
        <v>#REF!</v>
      </c>
      <c r="AB83" t="e">
        <f t="shared" si="52"/>
        <v>#REF!</v>
      </c>
      <c r="AC83" t="e">
        <f t="shared" si="52"/>
        <v>#REF!</v>
      </c>
      <c r="AD83" t="e">
        <f t="shared" si="52"/>
        <v>#REF!</v>
      </c>
      <c r="AE83" t="e">
        <f t="shared" si="52"/>
        <v>#REF!</v>
      </c>
      <c r="AF83" t="e">
        <f t="shared" si="52"/>
        <v>#REF!</v>
      </c>
      <c r="AG83" t="e">
        <f t="shared" si="52"/>
        <v>#REF!</v>
      </c>
      <c r="AH83" t="e">
        <f t="shared" si="56"/>
        <v>#REF!</v>
      </c>
      <c r="AI83" t="e">
        <f t="shared" si="56"/>
        <v>#REF!</v>
      </c>
      <c r="AJ83" t="e">
        <f t="shared" si="56"/>
        <v>#REF!</v>
      </c>
      <c r="AK83" t="e">
        <f t="shared" si="56"/>
        <v>#REF!</v>
      </c>
      <c r="AL83" t="e">
        <f t="shared" si="56"/>
        <v>#REF!</v>
      </c>
      <c r="AM83" t="e">
        <f t="shared" si="56"/>
        <v>#REF!</v>
      </c>
      <c r="AN83" t="e">
        <f t="shared" si="56"/>
        <v>#REF!</v>
      </c>
      <c r="AO83" t="e">
        <f t="shared" si="56"/>
        <v>#REF!</v>
      </c>
      <c r="AP83" t="e">
        <f t="shared" si="56"/>
        <v>#REF!</v>
      </c>
      <c r="AQ83" t="e">
        <f t="shared" si="56"/>
        <v>#REF!</v>
      </c>
      <c r="AR83" t="e">
        <f t="shared" si="56"/>
        <v>#REF!</v>
      </c>
      <c r="AS83" t="e">
        <f t="shared" si="56"/>
        <v>#REF!</v>
      </c>
      <c r="AT83" t="e">
        <f t="shared" si="56"/>
        <v>#REF!</v>
      </c>
      <c r="AU83" t="e">
        <f t="shared" si="56"/>
        <v>#REF!</v>
      </c>
      <c r="AV83" t="e">
        <f t="shared" si="56"/>
        <v>#REF!</v>
      </c>
      <c r="AW83" t="e">
        <f t="shared" si="57"/>
        <v>#REF!</v>
      </c>
      <c r="AX83" t="e">
        <f t="shared" si="57"/>
        <v>#REF!</v>
      </c>
      <c r="AY83" t="e">
        <f t="shared" si="57"/>
        <v>#REF!</v>
      </c>
      <c r="AZ83" t="e">
        <f t="shared" si="57"/>
        <v>#REF!</v>
      </c>
      <c r="BA83" t="e">
        <f t="shared" si="57"/>
        <v>#REF!</v>
      </c>
      <c r="BB83" t="e">
        <f t="shared" si="57"/>
        <v>#REF!</v>
      </c>
      <c r="BC83" t="e">
        <f t="shared" si="57"/>
        <v>#REF!</v>
      </c>
      <c r="BD83" t="e">
        <f t="shared" si="57"/>
        <v>#REF!</v>
      </c>
      <c r="BE83" t="e">
        <f t="shared" si="57"/>
        <v>#REF!</v>
      </c>
      <c r="BF83" t="e">
        <f t="shared" si="57"/>
        <v>#REF!</v>
      </c>
      <c r="BG83" t="e">
        <f t="shared" si="57"/>
        <v>#REF!</v>
      </c>
      <c r="BH83" t="e">
        <f t="shared" si="57"/>
        <v>#REF!</v>
      </c>
      <c r="BI83" t="e">
        <f t="shared" si="57"/>
        <v>#REF!</v>
      </c>
      <c r="BJ83" t="e">
        <f t="shared" si="57"/>
        <v>#REF!</v>
      </c>
      <c r="BK83" t="e">
        <f t="shared" si="57"/>
        <v>#REF!</v>
      </c>
      <c r="BL83" t="e">
        <f t="shared" si="59"/>
        <v>#REF!</v>
      </c>
      <c r="BM83" t="e">
        <f t="shared" si="59"/>
        <v>#REF!</v>
      </c>
      <c r="BN83" t="e">
        <f t="shared" si="59"/>
        <v>#REF!</v>
      </c>
      <c r="BO83" t="e">
        <f t="shared" si="59"/>
        <v>#REF!</v>
      </c>
      <c r="BP83" t="e">
        <f t="shared" si="59"/>
        <v>#REF!</v>
      </c>
      <c r="BQ83" t="e">
        <f t="shared" si="59"/>
        <v>#REF!</v>
      </c>
      <c r="BR83" t="e">
        <f t="shared" si="59"/>
        <v>#REF!</v>
      </c>
      <c r="BS83" t="e">
        <f t="shared" si="59"/>
        <v>#REF!</v>
      </c>
      <c r="BT83" t="e">
        <f t="shared" si="58"/>
        <v>#REF!</v>
      </c>
      <c r="BU83" t="e">
        <f t="shared" si="58"/>
        <v>#REF!</v>
      </c>
      <c r="BV83" t="e">
        <f t="shared" si="58"/>
        <v>#REF!</v>
      </c>
      <c r="BW83" t="e">
        <f t="shared" si="58"/>
        <v>#REF!</v>
      </c>
      <c r="BX83" t="e">
        <f t="shared" si="58"/>
        <v>#REF!</v>
      </c>
      <c r="BY83" t="e">
        <f t="shared" si="58"/>
        <v>#REF!</v>
      </c>
      <c r="BZ83" t="e">
        <f t="shared" si="58"/>
        <v>#REF!</v>
      </c>
      <c r="CA83" t="e">
        <f t="shared" si="58"/>
        <v>#REF!</v>
      </c>
      <c r="CB83" t="e">
        <f t="shared" si="58"/>
        <v>#REF!</v>
      </c>
      <c r="CC83" t="e">
        <f t="shared" si="54"/>
        <v>#REF!</v>
      </c>
      <c r="CD83" t="e">
        <f t="shared" si="54"/>
        <v>#REF!</v>
      </c>
      <c r="CE83" t="e">
        <f t="shared" si="54"/>
        <v>#REF!</v>
      </c>
      <c r="CF83" t="e">
        <f t="shared" si="54"/>
        <v>#REF!</v>
      </c>
      <c r="CG83" t="e">
        <f t="shared" si="54"/>
        <v>#REF!</v>
      </c>
      <c r="CH83" t="e">
        <f t="shared" si="54"/>
        <v>#REF!</v>
      </c>
      <c r="CI83" t="e">
        <f t="shared" si="54"/>
        <v>#REF!</v>
      </c>
      <c r="CJ83" t="e">
        <f t="shared" si="54"/>
        <v>#REF!</v>
      </c>
      <c r="CK83" t="e">
        <f t="shared" si="54"/>
        <v>#REF!</v>
      </c>
      <c r="CL83" t="e">
        <f t="shared" si="54"/>
        <v>#REF!</v>
      </c>
      <c r="CM83" t="e">
        <f t="shared" si="54"/>
        <v>#REF!</v>
      </c>
      <c r="CN83" t="e">
        <f t="shared" si="54"/>
        <v>#REF!</v>
      </c>
      <c r="CO83" t="e">
        <f t="shared" si="54"/>
        <v>#REF!</v>
      </c>
      <c r="CP83" t="e">
        <f t="shared" si="54"/>
        <v>#REF!</v>
      </c>
      <c r="CQ83" t="e">
        <f t="shared" si="54"/>
        <v>#REF!</v>
      </c>
      <c r="CR83" t="e">
        <f t="shared" si="62"/>
        <v>#REF!</v>
      </c>
      <c r="CS83" t="e">
        <f t="shared" si="62"/>
        <v>#REF!</v>
      </c>
      <c r="CT83" t="e">
        <f t="shared" si="62"/>
        <v>#REF!</v>
      </c>
      <c r="CU83" t="e">
        <f t="shared" si="62"/>
        <v>#REF!</v>
      </c>
      <c r="CV83" t="e">
        <f t="shared" si="62"/>
        <v>#REF!</v>
      </c>
      <c r="CW83" t="e">
        <f t="shared" si="62"/>
        <v>#REF!</v>
      </c>
      <c r="CX83" t="e">
        <f t="shared" si="62"/>
        <v>#REF!</v>
      </c>
      <c r="CY83" t="e">
        <f t="shared" si="62"/>
        <v>#REF!</v>
      </c>
      <c r="CZ83" t="e">
        <f t="shared" si="62"/>
        <v>#REF!</v>
      </c>
      <c r="DA83" t="e">
        <f t="shared" si="62"/>
        <v>#REF!</v>
      </c>
      <c r="DB83" t="e">
        <f t="shared" si="62"/>
        <v>#REF!</v>
      </c>
      <c r="DC83" t="e">
        <f t="shared" si="62"/>
        <v>#REF!</v>
      </c>
      <c r="DD83" t="e">
        <f t="shared" si="62"/>
        <v>#REF!</v>
      </c>
      <c r="DE83" t="e">
        <f t="shared" si="62"/>
        <v>#REF!</v>
      </c>
      <c r="DF83" t="e">
        <f t="shared" si="62"/>
        <v>#REF!</v>
      </c>
      <c r="DG83" t="e">
        <f t="shared" si="62"/>
        <v>#REF!</v>
      </c>
      <c r="DH83" t="e">
        <f t="shared" si="61"/>
        <v>#REF!</v>
      </c>
      <c r="DI83" t="e">
        <f t="shared" si="61"/>
        <v>#REF!</v>
      </c>
      <c r="DJ83" t="e">
        <f t="shared" si="49"/>
        <v>#REF!</v>
      </c>
      <c r="DK83" t="e">
        <f t="shared" si="49"/>
        <v>#REF!</v>
      </c>
      <c r="DL83" t="e">
        <f t="shared" si="49"/>
        <v>#REF!</v>
      </c>
      <c r="DM83" t="e">
        <f t="shared" si="49"/>
        <v>#REF!</v>
      </c>
      <c r="DN83" t="e">
        <f t="shared" ref="DN83:EC145" si="63">MATCH(CONCATENATE(DN$3,"_",$C83),auto_DataFlat_UID,0)</f>
        <v>#REF!</v>
      </c>
      <c r="DO83" t="e">
        <f t="shared" si="63"/>
        <v>#REF!</v>
      </c>
      <c r="DP83" t="e">
        <f t="shared" si="63"/>
        <v>#REF!</v>
      </c>
      <c r="DQ83" t="e">
        <f t="shared" si="63"/>
        <v>#REF!</v>
      </c>
      <c r="DR83" t="e">
        <f t="shared" si="63"/>
        <v>#REF!</v>
      </c>
      <c r="DS83" t="e">
        <f t="shared" si="63"/>
        <v>#REF!</v>
      </c>
      <c r="DT83" t="e">
        <f t="shared" si="63"/>
        <v>#REF!</v>
      </c>
      <c r="DU83" t="e">
        <f t="shared" si="63"/>
        <v>#REF!</v>
      </c>
      <c r="DV83" t="e">
        <f t="shared" si="63"/>
        <v>#REF!</v>
      </c>
      <c r="DW83" t="e">
        <f t="shared" si="63"/>
        <v>#REF!</v>
      </c>
      <c r="DX83" t="e">
        <f t="shared" si="63"/>
        <v>#REF!</v>
      </c>
      <c r="DY83" t="e">
        <f t="shared" si="63"/>
        <v>#REF!</v>
      </c>
      <c r="DZ83" t="e">
        <f t="shared" si="48"/>
        <v>#REF!</v>
      </c>
      <c r="EA83" t="e">
        <f t="shared" si="48"/>
        <v>#REF!</v>
      </c>
      <c r="EB83" t="e">
        <f t="shared" si="48"/>
        <v>#REF!</v>
      </c>
      <c r="EC83" t="e">
        <f t="shared" si="48"/>
        <v>#REF!</v>
      </c>
      <c r="ED83" t="e">
        <f t="shared" si="48"/>
        <v>#REF!</v>
      </c>
      <c r="EE83" t="e">
        <f t="shared" si="48"/>
        <v>#REF!</v>
      </c>
      <c r="EF83" t="e">
        <f t="shared" si="48"/>
        <v>#REF!</v>
      </c>
      <c r="EG83" t="e">
        <f t="shared" si="48"/>
        <v>#REF!</v>
      </c>
      <c r="EH83" t="e">
        <f t="shared" si="50"/>
        <v>#REF!</v>
      </c>
      <c r="EI83" t="e">
        <f t="shared" si="50"/>
        <v>#REF!</v>
      </c>
      <c r="EJ83" t="e">
        <f t="shared" si="50"/>
        <v>#REF!</v>
      </c>
      <c r="EK83" t="e">
        <f t="shared" si="50"/>
        <v>#REF!</v>
      </c>
      <c r="EL83" t="e">
        <f t="shared" si="50"/>
        <v>#REF!</v>
      </c>
      <c r="EM83" t="e">
        <f t="shared" si="50"/>
        <v>#REF!</v>
      </c>
    </row>
    <row r="84" spans="1:143" x14ac:dyDescent="0.4">
      <c r="A84" t="str">
        <f t="shared" si="51"/>
        <v>X</v>
      </c>
      <c r="B84">
        <v>81</v>
      </c>
      <c r="C84" t="e" cm="1">
        <f t="array" ref="C84">INDEX(auto_Series_Code,B84)</f>
        <v>#REF!</v>
      </c>
      <c r="D84" t="e">
        <f t="shared" si="55"/>
        <v>#REF!</v>
      </c>
      <c r="E84" t="e">
        <f t="shared" si="55"/>
        <v>#REF!</v>
      </c>
      <c r="F84" t="e">
        <f t="shared" si="55"/>
        <v>#REF!</v>
      </c>
      <c r="G84" t="e">
        <f t="shared" si="55"/>
        <v>#REF!</v>
      </c>
      <c r="H84" t="e">
        <f t="shared" si="55"/>
        <v>#REF!</v>
      </c>
      <c r="I84" t="e">
        <f t="shared" si="55"/>
        <v>#REF!</v>
      </c>
      <c r="J84" t="e">
        <f t="shared" si="55"/>
        <v>#REF!</v>
      </c>
      <c r="K84" t="e">
        <f t="shared" si="55"/>
        <v>#REF!</v>
      </c>
      <c r="L84" t="e">
        <f t="shared" si="55"/>
        <v>#REF!</v>
      </c>
      <c r="M84" t="e">
        <f t="shared" si="55"/>
        <v>#REF!</v>
      </c>
      <c r="N84" t="e">
        <f t="shared" si="55"/>
        <v>#REF!</v>
      </c>
      <c r="O84" t="e">
        <f t="shared" si="55"/>
        <v>#REF!</v>
      </c>
      <c r="P84" t="e">
        <f t="shared" si="55"/>
        <v>#REF!</v>
      </c>
      <c r="Q84" t="e">
        <f t="shared" si="55"/>
        <v>#REF!</v>
      </c>
      <c r="R84" t="e">
        <f t="shared" si="55"/>
        <v>#REF!</v>
      </c>
      <c r="S84" t="e">
        <f t="shared" si="55"/>
        <v>#REF!</v>
      </c>
      <c r="T84" t="e">
        <f t="shared" si="52"/>
        <v>#REF!</v>
      </c>
      <c r="U84" t="e">
        <f t="shared" si="52"/>
        <v>#REF!</v>
      </c>
      <c r="V84" t="e">
        <f t="shared" si="52"/>
        <v>#REF!</v>
      </c>
      <c r="W84" t="e">
        <f t="shared" si="52"/>
        <v>#REF!</v>
      </c>
      <c r="X84" t="e">
        <f t="shared" si="52"/>
        <v>#REF!</v>
      </c>
      <c r="Y84" t="e">
        <f t="shared" si="52"/>
        <v>#REF!</v>
      </c>
      <c r="Z84" t="e">
        <f t="shared" si="52"/>
        <v>#REF!</v>
      </c>
      <c r="AA84" t="e">
        <f t="shared" si="52"/>
        <v>#REF!</v>
      </c>
      <c r="AB84" t="e">
        <f t="shared" si="52"/>
        <v>#REF!</v>
      </c>
      <c r="AC84" t="e">
        <f t="shared" si="52"/>
        <v>#REF!</v>
      </c>
      <c r="AD84" t="e">
        <f t="shared" si="52"/>
        <v>#REF!</v>
      </c>
      <c r="AE84" t="e">
        <f t="shared" si="52"/>
        <v>#REF!</v>
      </c>
      <c r="AF84" t="e">
        <f t="shared" si="52"/>
        <v>#REF!</v>
      </c>
      <c r="AG84" t="e">
        <f t="shared" si="52"/>
        <v>#REF!</v>
      </c>
      <c r="AH84" t="e">
        <f t="shared" si="56"/>
        <v>#REF!</v>
      </c>
      <c r="AI84" t="e">
        <f t="shared" si="56"/>
        <v>#REF!</v>
      </c>
      <c r="AJ84" t="e">
        <f t="shared" si="56"/>
        <v>#REF!</v>
      </c>
      <c r="AK84" t="e">
        <f t="shared" si="56"/>
        <v>#REF!</v>
      </c>
      <c r="AL84" t="e">
        <f t="shared" si="56"/>
        <v>#REF!</v>
      </c>
      <c r="AM84" t="e">
        <f t="shared" si="56"/>
        <v>#REF!</v>
      </c>
      <c r="AN84" t="e">
        <f t="shared" si="56"/>
        <v>#REF!</v>
      </c>
      <c r="AO84" t="e">
        <f t="shared" si="56"/>
        <v>#REF!</v>
      </c>
      <c r="AP84" t="e">
        <f t="shared" si="56"/>
        <v>#REF!</v>
      </c>
      <c r="AQ84" t="e">
        <f t="shared" si="56"/>
        <v>#REF!</v>
      </c>
      <c r="AR84" t="e">
        <f t="shared" si="56"/>
        <v>#REF!</v>
      </c>
      <c r="AS84" t="e">
        <f t="shared" si="56"/>
        <v>#REF!</v>
      </c>
      <c r="AT84" t="e">
        <f t="shared" si="56"/>
        <v>#REF!</v>
      </c>
      <c r="AU84" t="e">
        <f t="shared" si="56"/>
        <v>#REF!</v>
      </c>
      <c r="AV84" t="e">
        <f t="shared" si="56"/>
        <v>#REF!</v>
      </c>
      <c r="AW84" t="e">
        <f t="shared" si="57"/>
        <v>#REF!</v>
      </c>
      <c r="AX84" t="e">
        <f t="shared" si="57"/>
        <v>#REF!</v>
      </c>
      <c r="AY84" t="e">
        <f t="shared" si="57"/>
        <v>#REF!</v>
      </c>
      <c r="AZ84" t="e">
        <f t="shared" si="57"/>
        <v>#REF!</v>
      </c>
      <c r="BA84" t="e">
        <f t="shared" si="57"/>
        <v>#REF!</v>
      </c>
      <c r="BB84" t="e">
        <f t="shared" si="57"/>
        <v>#REF!</v>
      </c>
      <c r="BC84" t="e">
        <f t="shared" si="57"/>
        <v>#REF!</v>
      </c>
      <c r="BD84" t="e">
        <f t="shared" si="57"/>
        <v>#REF!</v>
      </c>
      <c r="BE84" t="e">
        <f t="shared" si="57"/>
        <v>#REF!</v>
      </c>
      <c r="BF84" t="e">
        <f t="shared" si="57"/>
        <v>#REF!</v>
      </c>
      <c r="BG84" t="e">
        <f t="shared" si="57"/>
        <v>#REF!</v>
      </c>
      <c r="BH84" t="e">
        <f t="shared" si="57"/>
        <v>#REF!</v>
      </c>
      <c r="BI84" t="e">
        <f t="shared" si="57"/>
        <v>#REF!</v>
      </c>
      <c r="BJ84" t="e">
        <f t="shared" si="57"/>
        <v>#REF!</v>
      </c>
      <c r="BK84" t="e">
        <f t="shared" si="57"/>
        <v>#REF!</v>
      </c>
      <c r="BL84" t="e">
        <f t="shared" si="59"/>
        <v>#REF!</v>
      </c>
      <c r="BM84" t="e">
        <f t="shared" si="59"/>
        <v>#REF!</v>
      </c>
      <c r="BN84" t="e">
        <f t="shared" si="59"/>
        <v>#REF!</v>
      </c>
      <c r="BO84" t="e">
        <f t="shared" si="59"/>
        <v>#REF!</v>
      </c>
      <c r="BP84" t="e">
        <f t="shared" si="59"/>
        <v>#REF!</v>
      </c>
      <c r="BQ84" t="e">
        <f t="shared" si="59"/>
        <v>#REF!</v>
      </c>
      <c r="BR84" t="e">
        <f t="shared" si="59"/>
        <v>#REF!</v>
      </c>
      <c r="BS84" t="e">
        <f t="shared" si="59"/>
        <v>#REF!</v>
      </c>
      <c r="BT84" t="e">
        <f t="shared" si="58"/>
        <v>#REF!</v>
      </c>
      <c r="BU84" t="e">
        <f t="shared" si="58"/>
        <v>#REF!</v>
      </c>
      <c r="BV84" t="e">
        <f t="shared" si="58"/>
        <v>#REF!</v>
      </c>
      <c r="BW84" t="e">
        <f t="shared" si="58"/>
        <v>#REF!</v>
      </c>
      <c r="BX84" t="e">
        <f t="shared" si="58"/>
        <v>#REF!</v>
      </c>
      <c r="BY84" t="e">
        <f t="shared" si="58"/>
        <v>#REF!</v>
      </c>
      <c r="BZ84" t="e">
        <f t="shared" si="58"/>
        <v>#REF!</v>
      </c>
      <c r="CA84" t="e">
        <f t="shared" si="58"/>
        <v>#REF!</v>
      </c>
      <c r="CB84" t="e">
        <f t="shared" si="58"/>
        <v>#REF!</v>
      </c>
      <c r="CC84" t="e">
        <f t="shared" si="54"/>
        <v>#REF!</v>
      </c>
      <c r="CD84" t="e">
        <f t="shared" si="54"/>
        <v>#REF!</v>
      </c>
      <c r="CE84" t="e">
        <f t="shared" si="54"/>
        <v>#REF!</v>
      </c>
      <c r="CF84" t="e">
        <f t="shared" si="54"/>
        <v>#REF!</v>
      </c>
      <c r="CG84" t="e">
        <f t="shared" si="54"/>
        <v>#REF!</v>
      </c>
      <c r="CH84" t="e">
        <f t="shared" si="54"/>
        <v>#REF!</v>
      </c>
      <c r="CI84" t="e">
        <f t="shared" si="54"/>
        <v>#REF!</v>
      </c>
      <c r="CJ84" t="e">
        <f t="shared" si="54"/>
        <v>#REF!</v>
      </c>
      <c r="CK84" t="e">
        <f t="shared" si="54"/>
        <v>#REF!</v>
      </c>
      <c r="CL84" t="e">
        <f t="shared" si="54"/>
        <v>#REF!</v>
      </c>
      <c r="CM84" t="e">
        <f t="shared" si="54"/>
        <v>#REF!</v>
      </c>
      <c r="CN84" t="e">
        <f t="shared" si="54"/>
        <v>#REF!</v>
      </c>
      <c r="CO84" t="e">
        <f t="shared" si="54"/>
        <v>#REF!</v>
      </c>
      <c r="CP84" t="e">
        <f t="shared" si="54"/>
        <v>#REF!</v>
      </c>
      <c r="CQ84" t="e">
        <f t="shared" si="54"/>
        <v>#REF!</v>
      </c>
      <c r="CR84" t="e">
        <f t="shared" si="62"/>
        <v>#REF!</v>
      </c>
      <c r="CS84" t="e">
        <f t="shared" si="62"/>
        <v>#REF!</v>
      </c>
      <c r="CT84" t="e">
        <f t="shared" si="62"/>
        <v>#REF!</v>
      </c>
      <c r="CU84" t="e">
        <f t="shared" si="62"/>
        <v>#REF!</v>
      </c>
      <c r="CV84" t="e">
        <f t="shared" si="62"/>
        <v>#REF!</v>
      </c>
      <c r="CW84" t="e">
        <f t="shared" si="62"/>
        <v>#REF!</v>
      </c>
      <c r="CX84" t="e">
        <f t="shared" si="62"/>
        <v>#REF!</v>
      </c>
      <c r="CY84" t="e">
        <f t="shared" si="62"/>
        <v>#REF!</v>
      </c>
      <c r="CZ84" t="e">
        <f t="shared" si="62"/>
        <v>#REF!</v>
      </c>
      <c r="DA84" t="e">
        <f t="shared" si="62"/>
        <v>#REF!</v>
      </c>
      <c r="DB84" t="e">
        <f t="shared" si="62"/>
        <v>#REF!</v>
      </c>
      <c r="DC84" t="e">
        <f t="shared" si="62"/>
        <v>#REF!</v>
      </c>
      <c r="DD84" t="e">
        <f t="shared" si="62"/>
        <v>#REF!</v>
      </c>
      <c r="DE84" t="e">
        <f t="shared" si="62"/>
        <v>#REF!</v>
      </c>
      <c r="DF84" t="e">
        <f t="shared" si="62"/>
        <v>#REF!</v>
      </c>
      <c r="DG84" t="e">
        <f t="shared" si="62"/>
        <v>#REF!</v>
      </c>
      <c r="DH84" t="e">
        <f t="shared" si="61"/>
        <v>#REF!</v>
      </c>
      <c r="DI84" t="e">
        <f t="shared" si="61"/>
        <v>#REF!</v>
      </c>
      <c r="DJ84" t="e">
        <f t="shared" si="61"/>
        <v>#REF!</v>
      </c>
      <c r="DK84" t="e">
        <f t="shared" si="61"/>
        <v>#REF!</v>
      </c>
      <c r="DL84" t="e">
        <f t="shared" si="61"/>
        <v>#REF!</v>
      </c>
      <c r="DM84" t="e">
        <f t="shared" si="61"/>
        <v>#REF!</v>
      </c>
      <c r="DN84" t="e">
        <f t="shared" si="61"/>
        <v>#REF!</v>
      </c>
      <c r="DO84" t="e">
        <f t="shared" si="61"/>
        <v>#REF!</v>
      </c>
      <c r="DP84" t="e">
        <f t="shared" si="61"/>
        <v>#REF!</v>
      </c>
      <c r="DQ84" t="e">
        <f t="shared" si="61"/>
        <v>#REF!</v>
      </c>
      <c r="DR84" t="e">
        <f t="shared" si="61"/>
        <v>#REF!</v>
      </c>
      <c r="DS84" t="e">
        <f t="shared" si="61"/>
        <v>#REF!</v>
      </c>
      <c r="DT84" t="e">
        <f t="shared" si="61"/>
        <v>#REF!</v>
      </c>
      <c r="DU84" t="e">
        <f t="shared" si="61"/>
        <v>#REF!</v>
      </c>
      <c r="DV84" t="e">
        <f t="shared" si="61"/>
        <v>#REF!</v>
      </c>
      <c r="DW84" t="e">
        <f t="shared" si="63"/>
        <v>#REF!</v>
      </c>
      <c r="DX84" t="e">
        <f t="shared" si="63"/>
        <v>#REF!</v>
      </c>
      <c r="DY84" t="e">
        <f t="shared" si="63"/>
        <v>#REF!</v>
      </c>
      <c r="DZ84" t="e">
        <f t="shared" si="48"/>
        <v>#REF!</v>
      </c>
      <c r="EA84" t="e">
        <f t="shared" si="48"/>
        <v>#REF!</v>
      </c>
      <c r="EB84" t="e">
        <f t="shared" si="48"/>
        <v>#REF!</v>
      </c>
      <c r="EC84" t="e">
        <f t="shared" si="48"/>
        <v>#REF!</v>
      </c>
      <c r="ED84" t="e">
        <f t="shared" si="48"/>
        <v>#REF!</v>
      </c>
      <c r="EE84" t="e">
        <f t="shared" si="48"/>
        <v>#REF!</v>
      </c>
      <c r="EF84" t="e">
        <f t="shared" si="48"/>
        <v>#REF!</v>
      </c>
      <c r="EG84" t="e">
        <f t="shared" si="48"/>
        <v>#REF!</v>
      </c>
      <c r="EH84" t="e">
        <f t="shared" si="50"/>
        <v>#REF!</v>
      </c>
      <c r="EI84" t="e">
        <f t="shared" si="50"/>
        <v>#REF!</v>
      </c>
      <c r="EJ84" t="e">
        <f t="shared" si="50"/>
        <v>#REF!</v>
      </c>
      <c r="EK84" t="e">
        <f t="shared" si="50"/>
        <v>#REF!</v>
      </c>
      <c r="EL84" t="e">
        <f t="shared" si="50"/>
        <v>#REF!</v>
      </c>
      <c r="EM84" t="e">
        <f t="shared" si="50"/>
        <v>#REF!</v>
      </c>
    </row>
    <row r="85" spans="1:143" x14ac:dyDescent="0.4">
      <c r="A85" t="str">
        <f t="shared" si="51"/>
        <v>X</v>
      </c>
      <c r="B85">
        <v>82</v>
      </c>
      <c r="C85" t="e" cm="1">
        <f t="array" ref="C85">INDEX(auto_Series_Code,B85)</f>
        <v>#REF!</v>
      </c>
      <c r="D85" t="e">
        <f t="shared" si="55"/>
        <v>#REF!</v>
      </c>
      <c r="E85" t="e">
        <f t="shared" si="55"/>
        <v>#REF!</v>
      </c>
      <c r="F85" t="e">
        <f t="shared" si="55"/>
        <v>#REF!</v>
      </c>
      <c r="G85" t="e">
        <f t="shared" si="55"/>
        <v>#REF!</v>
      </c>
      <c r="H85" t="e">
        <f t="shared" si="55"/>
        <v>#REF!</v>
      </c>
      <c r="I85" t="e">
        <f t="shared" si="55"/>
        <v>#REF!</v>
      </c>
      <c r="J85" t="e">
        <f t="shared" si="55"/>
        <v>#REF!</v>
      </c>
      <c r="K85" t="e">
        <f t="shared" si="55"/>
        <v>#REF!</v>
      </c>
      <c r="L85" t="e">
        <f t="shared" si="55"/>
        <v>#REF!</v>
      </c>
      <c r="M85" t="e">
        <f t="shared" si="55"/>
        <v>#REF!</v>
      </c>
      <c r="N85" t="e">
        <f t="shared" si="55"/>
        <v>#REF!</v>
      </c>
      <c r="O85" t="e">
        <f t="shared" si="55"/>
        <v>#REF!</v>
      </c>
      <c r="P85" t="e">
        <f t="shared" si="55"/>
        <v>#REF!</v>
      </c>
      <c r="Q85" t="e">
        <f t="shared" si="55"/>
        <v>#REF!</v>
      </c>
      <c r="R85" t="e">
        <f t="shared" si="55"/>
        <v>#REF!</v>
      </c>
      <c r="S85" t="e">
        <f t="shared" si="55"/>
        <v>#REF!</v>
      </c>
      <c r="T85" t="e">
        <f t="shared" si="52"/>
        <v>#REF!</v>
      </c>
      <c r="U85" t="e">
        <f t="shared" si="52"/>
        <v>#REF!</v>
      </c>
      <c r="V85" t="e">
        <f t="shared" si="52"/>
        <v>#REF!</v>
      </c>
      <c r="W85" t="e">
        <f t="shared" si="52"/>
        <v>#REF!</v>
      </c>
      <c r="X85" t="e">
        <f t="shared" si="52"/>
        <v>#REF!</v>
      </c>
      <c r="Y85" t="e">
        <f t="shared" si="52"/>
        <v>#REF!</v>
      </c>
      <c r="Z85" t="e">
        <f t="shared" si="52"/>
        <v>#REF!</v>
      </c>
      <c r="AA85" t="e">
        <f t="shared" si="52"/>
        <v>#REF!</v>
      </c>
      <c r="AB85" t="e">
        <f t="shared" si="52"/>
        <v>#REF!</v>
      </c>
      <c r="AC85" t="e">
        <f t="shared" si="52"/>
        <v>#REF!</v>
      </c>
      <c r="AD85" t="e">
        <f t="shared" si="52"/>
        <v>#REF!</v>
      </c>
      <c r="AE85" t="e">
        <f t="shared" si="52"/>
        <v>#REF!</v>
      </c>
      <c r="AF85" t="e">
        <f t="shared" si="52"/>
        <v>#REF!</v>
      </c>
      <c r="AG85" t="e">
        <f t="shared" si="52"/>
        <v>#REF!</v>
      </c>
      <c r="AH85" t="e">
        <f t="shared" si="56"/>
        <v>#REF!</v>
      </c>
      <c r="AI85" t="e">
        <f t="shared" si="56"/>
        <v>#REF!</v>
      </c>
      <c r="AJ85" t="e">
        <f t="shared" si="56"/>
        <v>#REF!</v>
      </c>
      <c r="AK85" t="e">
        <f t="shared" si="56"/>
        <v>#REF!</v>
      </c>
      <c r="AL85" t="e">
        <f t="shared" si="56"/>
        <v>#REF!</v>
      </c>
      <c r="AM85" t="e">
        <f t="shared" si="56"/>
        <v>#REF!</v>
      </c>
      <c r="AN85" t="e">
        <f t="shared" si="56"/>
        <v>#REF!</v>
      </c>
      <c r="AO85" t="e">
        <f t="shared" si="56"/>
        <v>#REF!</v>
      </c>
      <c r="AP85" t="e">
        <f t="shared" si="56"/>
        <v>#REF!</v>
      </c>
      <c r="AQ85" t="e">
        <f t="shared" si="56"/>
        <v>#REF!</v>
      </c>
      <c r="AR85" t="e">
        <f t="shared" si="56"/>
        <v>#REF!</v>
      </c>
      <c r="AS85" t="e">
        <f t="shared" si="56"/>
        <v>#REF!</v>
      </c>
      <c r="AT85" t="e">
        <f t="shared" si="56"/>
        <v>#REF!</v>
      </c>
      <c r="AU85" t="e">
        <f t="shared" si="56"/>
        <v>#REF!</v>
      </c>
      <c r="AV85" t="e">
        <f t="shared" si="56"/>
        <v>#REF!</v>
      </c>
      <c r="AW85" t="e">
        <f t="shared" si="57"/>
        <v>#REF!</v>
      </c>
      <c r="AX85" t="e">
        <f t="shared" si="57"/>
        <v>#REF!</v>
      </c>
      <c r="AY85" t="e">
        <f t="shared" si="57"/>
        <v>#REF!</v>
      </c>
      <c r="AZ85" t="e">
        <f t="shared" si="57"/>
        <v>#REF!</v>
      </c>
      <c r="BA85" t="e">
        <f t="shared" si="57"/>
        <v>#REF!</v>
      </c>
      <c r="BB85" t="e">
        <f t="shared" si="57"/>
        <v>#REF!</v>
      </c>
      <c r="BC85" t="e">
        <f t="shared" si="57"/>
        <v>#REF!</v>
      </c>
      <c r="BD85" t="e">
        <f t="shared" si="57"/>
        <v>#REF!</v>
      </c>
      <c r="BE85" t="e">
        <f t="shared" si="57"/>
        <v>#REF!</v>
      </c>
      <c r="BF85" t="e">
        <f t="shared" si="57"/>
        <v>#REF!</v>
      </c>
      <c r="BG85" t="e">
        <f t="shared" si="57"/>
        <v>#REF!</v>
      </c>
      <c r="BH85" t="e">
        <f t="shared" si="57"/>
        <v>#REF!</v>
      </c>
      <c r="BI85" t="e">
        <f t="shared" si="57"/>
        <v>#REF!</v>
      </c>
      <c r="BJ85" t="e">
        <f t="shared" si="57"/>
        <v>#REF!</v>
      </c>
      <c r="BK85" t="e">
        <f t="shared" si="57"/>
        <v>#REF!</v>
      </c>
      <c r="BL85" t="e">
        <f t="shared" si="59"/>
        <v>#REF!</v>
      </c>
      <c r="BM85" t="e">
        <f t="shared" si="59"/>
        <v>#REF!</v>
      </c>
      <c r="BN85" t="e">
        <f t="shared" si="59"/>
        <v>#REF!</v>
      </c>
      <c r="BO85" t="e">
        <f t="shared" si="59"/>
        <v>#REF!</v>
      </c>
      <c r="BP85" t="e">
        <f t="shared" si="59"/>
        <v>#REF!</v>
      </c>
      <c r="BQ85" t="e">
        <f t="shared" si="59"/>
        <v>#REF!</v>
      </c>
      <c r="BR85" t="e">
        <f t="shared" si="59"/>
        <v>#REF!</v>
      </c>
      <c r="BS85" t="e">
        <f t="shared" si="59"/>
        <v>#REF!</v>
      </c>
      <c r="BT85" t="e">
        <f t="shared" si="58"/>
        <v>#REF!</v>
      </c>
      <c r="BU85" t="e">
        <f t="shared" si="58"/>
        <v>#REF!</v>
      </c>
      <c r="BV85" t="e">
        <f t="shared" si="58"/>
        <v>#REF!</v>
      </c>
      <c r="BW85" t="e">
        <f t="shared" si="58"/>
        <v>#REF!</v>
      </c>
      <c r="BX85" t="e">
        <f t="shared" si="58"/>
        <v>#REF!</v>
      </c>
      <c r="BY85" t="e">
        <f t="shared" si="58"/>
        <v>#REF!</v>
      </c>
      <c r="BZ85" t="e">
        <f t="shared" si="58"/>
        <v>#REF!</v>
      </c>
      <c r="CA85" t="e">
        <f t="shared" si="58"/>
        <v>#REF!</v>
      </c>
      <c r="CB85" t="e">
        <f t="shared" si="58"/>
        <v>#REF!</v>
      </c>
      <c r="CC85" t="e">
        <f t="shared" si="54"/>
        <v>#REF!</v>
      </c>
      <c r="CD85" t="e">
        <f t="shared" si="54"/>
        <v>#REF!</v>
      </c>
      <c r="CE85" t="e">
        <f t="shared" si="54"/>
        <v>#REF!</v>
      </c>
      <c r="CF85" t="e">
        <f t="shared" si="54"/>
        <v>#REF!</v>
      </c>
      <c r="CG85" t="e">
        <f t="shared" si="54"/>
        <v>#REF!</v>
      </c>
      <c r="CH85" t="e">
        <f t="shared" si="54"/>
        <v>#REF!</v>
      </c>
      <c r="CI85" t="e">
        <f t="shared" si="54"/>
        <v>#REF!</v>
      </c>
      <c r="CJ85" t="e">
        <f t="shared" si="54"/>
        <v>#REF!</v>
      </c>
      <c r="CK85" t="e">
        <f t="shared" si="54"/>
        <v>#REF!</v>
      </c>
      <c r="CL85" t="e">
        <f t="shared" si="54"/>
        <v>#REF!</v>
      </c>
      <c r="CM85" t="e">
        <f t="shared" si="54"/>
        <v>#REF!</v>
      </c>
      <c r="CN85" t="e">
        <f t="shared" si="54"/>
        <v>#REF!</v>
      </c>
      <c r="CO85" t="e">
        <f t="shared" si="54"/>
        <v>#REF!</v>
      </c>
      <c r="CP85" t="e">
        <f t="shared" si="54"/>
        <v>#REF!</v>
      </c>
      <c r="CQ85" t="e">
        <f t="shared" si="54"/>
        <v>#REF!</v>
      </c>
      <c r="CR85" t="e">
        <f t="shared" si="62"/>
        <v>#REF!</v>
      </c>
      <c r="CS85" t="e">
        <f t="shared" si="62"/>
        <v>#REF!</v>
      </c>
      <c r="CT85" t="e">
        <f t="shared" si="62"/>
        <v>#REF!</v>
      </c>
      <c r="CU85" t="e">
        <f t="shared" si="62"/>
        <v>#REF!</v>
      </c>
      <c r="CV85" t="e">
        <f t="shared" si="62"/>
        <v>#REF!</v>
      </c>
      <c r="CW85" t="e">
        <f t="shared" si="62"/>
        <v>#REF!</v>
      </c>
      <c r="CX85" t="e">
        <f t="shared" si="62"/>
        <v>#REF!</v>
      </c>
      <c r="CY85" t="e">
        <f t="shared" si="62"/>
        <v>#REF!</v>
      </c>
      <c r="CZ85" t="e">
        <f t="shared" si="62"/>
        <v>#REF!</v>
      </c>
      <c r="DA85" t="e">
        <f t="shared" si="62"/>
        <v>#REF!</v>
      </c>
      <c r="DB85" t="e">
        <f t="shared" si="62"/>
        <v>#REF!</v>
      </c>
      <c r="DC85" t="e">
        <f t="shared" si="62"/>
        <v>#REF!</v>
      </c>
      <c r="DD85" t="e">
        <f t="shared" si="62"/>
        <v>#REF!</v>
      </c>
      <c r="DE85" t="e">
        <f t="shared" si="62"/>
        <v>#REF!</v>
      </c>
      <c r="DF85" t="e">
        <f t="shared" si="62"/>
        <v>#REF!</v>
      </c>
      <c r="DG85" t="e">
        <f t="shared" si="62"/>
        <v>#REF!</v>
      </c>
      <c r="DH85" t="e">
        <f t="shared" si="61"/>
        <v>#REF!</v>
      </c>
      <c r="DI85" t="e">
        <f t="shared" si="61"/>
        <v>#REF!</v>
      </c>
      <c r="DJ85" t="e">
        <f t="shared" si="61"/>
        <v>#REF!</v>
      </c>
      <c r="DK85" t="e">
        <f t="shared" si="61"/>
        <v>#REF!</v>
      </c>
      <c r="DL85" t="e">
        <f t="shared" si="61"/>
        <v>#REF!</v>
      </c>
      <c r="DM85" t="e">
        <f t="shared" si="61"/>
        <v>#REF!</v>
      </c>
      <c r="DN85" t="e">
        <f t="shared" si="61"/>
        <v>#REF!</v>
      </c>
      <c r="DO85" t="e">
        <f t="shared" si="61"/>
        <v>#REF!</v>
      </c>
      <c r="DP85" t="e">
        <f t="shared" si="61"/>
        <v>#REF!</v>
      </c>
      <c r="DQ85" t="e">
        <f t="shared" si="61"/>
        <v>#REF!</v>
      </c>
      <c r="DR85" t="e">
        <f t="shared" si="61"/>
        <v>#REF!</v>
      </c>
      <c r="DS85" t="e">
        <f t="shared" si="61"/>
        <v>#REF!</v>
      </c>
      <c r="DT85" t="e">
        <f t="shared" si="61"/>
        <v>#REF!</v>
      </c>
      <c r="DU85" t="e">
        <f t="shared" si="61"/>
        <v>#REF!</v>
      </c>
      <c r="DV85" t="e">
        <f t="shared" si="61"/>
        <v>#REF!</v>
      </c>
      <c r="DW85" t="e">
        <f t="shared" si="63"/>
        <v>#REF!</v>
      </c>
      <c r="DX85" t="e">
        <f t="shared" si="63"/>
        <v>#REF!</v>
      </c>
      <c r="DY85" t="e">
        <f t="shared" si="63"/>
        <v>#REF!</v>
      </c>
      <c r="DZ85" t="e">
        <f t="shared" si="48"/>
        <v>#REF!</v>
      </c>
      <c r="EA85" t="e">
        <f t="shared" si="48"/>
        <v>#REF!</v>
      </c>
      <c r="EB85" t="e">
        <f t="shared" si="48"/>
        <v>#REF!</v>
      </c>
      <c r="EC85" t="e">
        <f t="shared" si="48"/>
        <v>#REF!</v>
      </c>
      <c r="ED85" t="e">
        <f t="shared" si="48"/>
        <v>#REF!</v>
      </c>
      <c r="EE85" t="e">
        <f t="shared" si="48"/>
        <v>#REF!</v>
      </c>
      <c r="EF85" t="e">
        <f t="shared" si="48"/>
        <v>#REF!</v>
      </c>
      <c r="EG85" t="e">
        <f t="shared" si="48"/>
        <v>#REF!</v>
      </c>
      <c r="EH85" t="e">
        <f t="shared" si="50"/>
        <v>#REF!</v>
      </c>
      <c r="EI85" t="e">
        <f t="shared" si="50"/>
        <v>#REF!</v>
      </c>
      <c r="EJ85" t="e">
        <f t="shared" si="50"/>
        <v>#REF!</v>
      </c>
      <c r="EK85" t="e">
        <f t="shared" si="50"/>
        <v>#REF!</v>
      </c>
      <c r="EL85" t="e">
        <f t="shared" si="50"/>
        <v>#REF!</v>
      </c>
      <c r="EM85" t="e">
        <f t="shared" si="50"/>
        <v>#REF!</v>
      </c>
    </row>
    <row r="86" spans="1:143" x14ac:dyDescent="0.4">
      <c r="A86" t="str">
        <f t="shared" si="51"/>
        <v>X</v>
      </c>
      <c r="B86">
        <v>83</v>
      </c>
      <c r="C86" t="e" cm="1">
        <f t="array" ref="C86">INDEX(auto_Series_Code,B86)</f>
        <v>#REF!</v>
      </c>
      <c r="D86" t="e">
        <f t="shared" si="55"/>
        <v>#REF!</v>
      </c>
      <c r="E86" t="e">
        <f t="shared" si="55"/>
        <v>#REF!</v>
      </c>
      <c r="F86" t="e">
        <f t="shared" si="55"/>
        <v>#REF!</v>
      </c>
      <c r="G86" t="e">
        <f t="shared" si="55"/>
        <v>#REF!</v>
      </c>
      <c r="H86" t="e">
        <f t="shared" si="55"/>
        <v>#REF!</v>
      </c>
      <c r="I86" t="e">
        <f t="shared" si="55"/>
        <v>#REF!</v>
      </c>
      <c r="J86" t="e">
        <f t="shared" si="55"/>
        <v>#REF!</v>
      </c>
      <c r="K86" t="e">
        <f t="shared" si="55"/>
        <v>#REF!</v>
      </c>
      <c r="L86" t="e">
        <f t="shared" si="55"/>
        <v>#REF!</v>
      </c>
      <c r="M86" t="e">
        <f t="shared" si="55"/>
        <v>#REF!</v>
      </c>
      <c r="N86" t="e">
        <f t="shared" si="55"/>
        <v>#REF!</v>
      </c>
      <c r="O86" t="e">
        <f t="shared" si="55"/>
        <v>#REF!</v>
      </c>
      <c r="P86" t="e">
        <f t="shared" si="55"/>
        <v>#REF!</v>
      </c>
      <c r="Q86" t="e">
        <f t="shared" si="55"/>
        <v>#REF!</v>
      </c>
      <c r="R86" t="e">
        <f t="shared" si="55"/>
        <v>#REF!</v>
      </c>
      <c r="S86" t="e">
        <f t="shared" si="55"/>
        <v>#REF!</v>
      </c>
      <c r="T86" t="e">
        <f t="shared" si="52"/>
        <v>#REF!</v>
      </c>
      <c r="U86" t="e">
        <f t="shared" si="52"/>
        <v>#REF!</v>
      </c>
      <c r="V86" t="e">
        <f t="shared" si="52"/>
        <v>#REF!</v>
      </c>
      <c r="W86" t="e">
        <f t="shared" si="52"/>
        <v>#REF!</v>
      </c>
      <c r="X86" t="e">
        <f t="shared" si="52"/>
        <v>#REF!</v>
      </c>
      <c r="Y86" t="e">
        <f t="shared" si="52"/>
        <v>#REF!</v>
      </c>
      <c r="Z86" t="e">
        <f t="shared" si="52"/>
        <v>#REF!</v>
      </c>
      <c r="AA86" t="e">
        <f t="shared" si="52"/>
        <v>#REF!</v>
      </c>
      <c r="AB86" t="e">
        <f t="shared" si="52"/>
        <v>#REF!</v>
      </c>
      <c r="AC86" t="e">
        <f t="shared" si="52"/>
        <v>#REF!</v>
      </c>
      <c r="AD86" t="e">
        <f t="shared" si="52"/>
        <v>#REF!</v>
      </c>
      <c r="AE86" t="e">
        <f t="shared" si="52"/>
        <v>#REF!</v>
      </c>
      <c r="AF86" t="e">
        <f t="shared" si="52"/>
        <v>#REF!</v>
      </c>
      <c r="AG86" t="e">
        <f t="shared" si="52"/>
        <v>#REF!</v>
      </c>
      <c r="AH86" t="e">
        <f t="shared" si="56"/>
        <v>#REF!</v>
      </c>
      <c r="AI86" t="e">
        <f t="shared" si="56"/>
        <v>#REF!</v>
      </c>
      <c r="AJ86" t="e">
        <f t="shared" si="56"/>
        <v>#REF!</v>
      </c>
      <c r="AK86" t="e">
        <f t="shared" si="56"/>
        <v>#REF!</v>
      </c>
      <c r="AL86" t="e">
        <f t="shared" si="56"/>
        <v>#REF!</v>
      </c>
      <c r="AM86" t="e">
        <f t="shared" si="56"/>
        <v>#REF!</v>
      </c>
      <c r="AN86" t="e">
        <f t="shared" si="56"/>
        <v>#REF!</v>
      </c>
      <c r="AO86" t="e">
        <f t="shared" si="56"/>
        <v>#REF!</v>
      </c>
      <c r="AP86" t="e">
        <f t="shared" si="56"/>
        <v>#REF!</v>
      </c>
      <c r="AQ86" t="e">
        <f t="shared" si="56"/>
        <v>#REF!</v>
      </c>
      <c r="AR86" t="e">
        <f t="shared" si="56"/>
        <v>#REF!</v>
      </c>
      <c r="AS86" t="e">
        <f t="shared" si="56"/>
        <v>#REF!</v>
      </c>
      <c r="AT86" t="e">
        <f t="shared" si="56"/>
        <v>#REF!</v>
      </c>
      <c r="AU86" t="e">
        <f t="shared" si="56"/>
        <v>#REF!</v>
      </c>
      <c r="AV86" t="e">
        <f t="shared" si="56"/>
        <v>#REF!</v>
      </c>
      <c r="AW86" t="e">
        <f t="shared" si="57"/>
        <v>#REF!</v>
      </c>
      <c r="AX86" t="e">
        <f t="shared" si="57"/>
        <v>#REF!</v>
      </c>
      <c r="AY86" t="e">
        <f t="shared" si="57"/>
        <v>#REF!</v>
      </c>
      <c r="AZ86" t="e">
        <f t="shared" si="57"/>
        <v>#REF!</v>
      </c>
      <c r="BA86" t="e">
        <f t="shared" si="57"/>
        <v>#REF!</v>
      </c>
      <c r="BB86" t="e">
        <f t="shared" si="57"/>
        <v>#REF!</v>
      </c>
      <c r="BC86" t="e">
        <f t="shared" si="57"/>
        <v>#REF!</v>
      </c>
      <c r="BD86" t="e">
        <f t="shared" si="57"/>
        <v>#REF!</v>
      </c>
      <c r="BE86" t="e">
        <f t="shared" si="57"/>
        <v>#REF!</v>
      </c>
      <c r="BF86" t="e">
        <f t="shared" si="57"/>
        <v>#REF!</v>
      </c>
      <c r="BG86" t="e">
        <f t="shared" si="57"/>
        <v>#REF!</v>
      </c>
      <c r="BH86" t="e">
        <f t="shared" si="57"/>
        <v>#REF!</v>
      </c>
      <c r="BI86" t="e">
        <f t="shared" si="57"/>
        <v>#REF!</v>
      </c>
      <c r="BJ86" t="e">
        <f t="shared" si="57"/>
        <v>#REF!</v>
      </c>
      <c r="BK86" t="e">
        <f t="shared" si="57"/>
        <v>#REF!</v>
      </c>
      <c r="BL86" t="e">
        <f t="shared" si="59"/>
        <v>#REF!</v>
      </c>
      <c r="BM86" t="e">
        <f t="shared" si="59"/>
        <v>#REF!</v>
      </c>
      <c r="BN86" t="e">
        <f t="shared" si="59"/>
        <v>#REF!</v>
      </c>
      <c r="BO86" t="e">
        <f t="shared" si="59"/>
        <v>#REF!</v>
      </c>
      <c r="BP86" t="e">
        <f t="shared" si="59"/>
        <v>#REF!</v>
      </c>
      <c r="BQ86" t="e">
        <f t="shared" si="59"/>
        <v>#REF!</v>
      </c>
      <c r="BR86" t="e">
        <f t="shared" si="59"/>
        <v>#REF!</v>
      </c>
      <c r="BS86" t="e">
        <f t="shared" si="59"/>
        <v>#REF!</v>
      </c>
      <c r="BT86" t="e">
        <f t="shared" si="58"/>
        <v>#REF!</v>
      </c>
      <c r="BU86" t="e">
        <f t="shared" si="58"/>
        <v>#REF!</v>
      </c>
      <c r="BV86" t="e">
        <f t="shared" si="58"/>
        <v>#REF!</v>
      </c>
      <c r="BW86" t="e">
        <f t="shared" si="58"/>
        <v>#REF!</v>
      </c>
      <c r="BX86" t="e">
        <f t="shared" si="58"/>
        <v>#REF!</v>
      </c>
      <c r="BY86" t="e">
        <f t="shared" si="58"/>
        <v>#REF!</v>
      </c>
      <c r="BZ86" t="e">
        <f t="shared" si="58"/>
        <v>#REF!</v>
      </c>
      <c r="CA86" t="e">
        <f t="shared" si="58"/>
        <v>#REF!</v>
      </c>
      <c r="CB86" t="e">
        <f t="shared" si="58"/>
        <v>#REF!</v>
      </c>
      <c r="CC86" t="e">
        <f t="shared" si="54"/>
        <v>#REF!</v>
      </c>
      <c r="CD86" t="e">
        <f t="shared" si="54"/>
        <v>#REF!</v>
      </c>
      <c r="CE86" t="e">
        <f t="shared" si="54"/>
        <v>#REF!</v>
      </c>
      <c r="CF86" t="e">
        <f t="shared" si="54"/>
        <v>#REF!</v>
      </c>
      <c r="CG86" t="e">
        <f t="shared" si="54"/>
        <v>#REF!</v>
      </c>
      <c r="CH86" t="e">
        <f t="shared" si="54"/>
        <v>#REF!</v>
      </c>
      <c r="CI86" t="e">
        <f t="shared" si="54"/>
        <v>#REF!</v>
      </c>
      <c r="CJ86" t="e">
        <f t="shared" si="54"/>
        <v>#REF!</v>
      </c>
      <c r="CK86" t="e">
        <f t="shared" si="54"/>
        <v>#REF!</v>
      </c>
      <c r="CL86" t="e">
        <f t="shared" si="54"/>
        <v>#REF!</v>
      </c>
      <c r="CM86" t="e">
        <f t="shared" si="54"/>
        <v>#REF!</v>
      </c>
      <c r="CN86" t="e">
        <f t="shared" si="54"/>
        <v>#REF!</v>
      </c>
      <c r="CO86" t="e">
        <f t="shared" si="54"/>
        <v>#REF!</v>
      </c>
      <c r="CP86" t="e">
        <f t="shared" si="54"/>
        <v>#REF!</v>
      </c>
      <c r="CQ86" t="e">
        <f t="shared" si="54"/>
        <v>#REF!</v>
      </c>
      <c r="CR86" t="e">
        <f t="shared" si="62"/>
        <v>#REF!</v>
      </c>
      <c r="CS86" t="e">
        <f t="shared" si="62"/>
        <v>#REF!</v>
      </c>
      <c r="CT86" t="e">
        <f t="shared" si="62"/>
        <v>#REF!</v>
      </c>
      <c r="CU86" t="e">
        <f t="shared" si="62"/>
        <v>#REF!</v>
      </c>
      <c r="CV86" t="e">
        <f t="shared" si="62"/>
        <v>#REF!</v>
      </c>
      <c r="CW86" t="e">
        <f t="shared" si="62"/>
        <v>#REF!</v>
      </c>
      <c r="CX86" t="e">
        <f t="shared" si="62"/>
        <v>#REF!</v>
      </c>
      <c r="CY86" t="e">
        <f t="shared" si="62"/>
        <v>#REF!</v>
      </c>
      <c r="CZ86" t="e">
        <f t="shared" si="62"/>
        <v>#REF!</v>
      </c>
      <c r="DA86" t="e">
        <f t="shared" si="62"/>
        <v>#REF!</v>
      </c>
      <c r="DB86" t="e">
        <f t="shared" si="62"/>
        <v>#REF!</v>
      </c>
      <c r="DC86" t="e">
        <f t="shared" si="62"/>
        <v>#REF!</v>
      </c>
      <c r="DD86" t="e">
        <f t="shared" si="62"/>
        <v>#REF!</v>
      </c>
      <c r="DE86" t="e">
        <f t="shared" si="62"/>
        <v>#REF!</v>
      </c>
      <c r="DF86" t="e">
        <f t="shared" si="62"/>
        <v>#REF!</v>
      </c>
      <c r="DG86" t="e">
        <f t="shared" si="62"/>
        <v>#REF!</v>
      </c>
      <c r="DH86" t="e">
        <f t="shared" si="61"/>
        <v>#REF!</v>
      </c>
      <c r="DI86" t="e">
        <f t="shared" si="61"/>
        <v>#REF!</v>
      </c>
      <c r="DJ86" t="e">
        <f t="shared" si="61"/>
        <v>#REF!</v>
      </c>
      <c r="DK86" t="e">
        <f t="shared" si="61"/>
        <v>#REF!</v>
      </c>
      <c r="DL86" t="e">
        <f t="shared" si="61"/>
        <v>#REF!</v>
      </c>
      <c r="DM86" t="e">
        <f t="shared" si="61"/>
        <v>#REF!</v>
      </c>
      <c r="DN86" t="e">
        <f t="shared" si="61"/>
        <v>#REF!</v>
      </c>
      <c r="DO86" t="e">
        <f t="shared" si="61"/>
        <v>#REF!</v>
      </c>
      <c r="DP86" t="e">
        <f t="shared" si="61"/>
        <v>#REF!</v>
      </c>
      <c r="DQ86" t="e">
        <f t="shared" si="61"/>
        <v>#REF!</v>
      </c>
      <c r="DR86" t="e">
        <f t="shared" si="61"/>
        <v>#REF!</v>
      </c>
      <c r="DS86" t="e">
        <f t="shared" si="61"/>
        <v>#REF!</v>
      </c>
      <c r="DT86" t="e">
        <f t="shared" si="61"/>
        <v>#REF!</v>
      </c>
      <c r="DU86" t="e">
        <f t="shared" si="61"/>
        <v>#REF!</v>
      </c>
      <c r="DV86" t="e">
        <f t="shared" si="61"/>
        <v>#REF!</v>
      </c>
      <c r="DW86" t="e">
        <f t="shared" si="63"/>
        <v>#REF!</v>
      </c>
      <c r="DX86" t="e">
        <f t="shared" si="63"/>
        <v>#REF!</v>
      </c>
      <c r="DY86" t="e">
        <f t="shared" si="63"/>
        <v>#REF!</v>
      </c>
      <c r="DZ86" t="e">
        <f t="shared" si="48"/>
        <v>#REF!</v>
      </c>
      <c r="EA86" t="e">
        <f t="shared" si="48"/>
        <v>#REF!</v>
      </c>
      <c r="EB86" t="e">
        <f t="shared" si="48"/>
        <v>#REF!</v>
      </c>
      <c r="EC86" t="e">
        <f t="shared" si="48"/>
        <v>#REF!</v>
      </c>
      <c r="ED86" t="e">
        <f t="shared" si="48"/>
        <v>#REF!</v>
      </c>
      <c r="EE86" t="e">
        <f t="shared" si="48"/>
        <v>#REF!</v>
      </c>
      <c r="EF86" t="e">
        <f t="shared" si="48"/>
        <v>#REF!</v>
      </c>
      <c r="EG86" t="e">
        <f t="shared" si="48"/>
        <v>#REF!</v>
      </c>
      <c r="EH86" t="e">
        <f t="shared" si="50"/>
        <v>#REF!</v>
      </c>
      <c r="EI86" t="e">
        <f t="shared" si="50"/>
        <v>#REF!</v>
      </c>
      <c r="EJ86" t="e">
        <f t="shared" si="50"/>
        <v>#REF!</v>
      </c>
      <c r="EK86" t="e">
        <f t="shared" si="50"/>
        <v>#REF!</v>
      </c>
      <c r="EL86" t="e">
        <f t="shared" si="50"/>
        <v>#REF!</v>
      </c>
      <c r="EM86" t="e">
        <f t="shared" si="50"/>
        <v>#REF!</v>
      </c>
    </row>
    <row r="87" spans="1:143" x14ac:dyDescent="0.4">
      <c r="A87" t="str">
        <f t="shared" si="51"/>
        <v>X</v>
      </c>
      <c r="B87">
        <v>84</v>
      </c>
      <c r="C87" t="e" cm="1">
        <f t="array" ref="C87">INDEX(auto_Series_Code,B87)</f>
        <v>#REF!</v>
      </c>
      <c r="D87" t="e">
        <f t="shared" si="55"/>
        <v>#REF!</v>
      </c>
      <c r="E87" t="e">
        <f t="shared" si="55"/>
        <v>#REF!</v>
      </c>
      <c r="F87" t="e">
        <f t="shared" si="55"/>
        <v>#REF!</v>
      </c>
      <c r="G87" t="e">
        <f t="shared" si="55"/>
        <v>#REF!</v>
      </c>
      <c r="H87" t="e">
        <f t="shared" si="55"/>
        <v>#REF!</v>
      </c>
      <c r="I87" t="e">
        <f t="shared" si="55"/>
        <v>#REF!</v>
      </c>
      <c r="J87" t="e">
        <f t="shared" si="55"/>
        <v>#REF!</v>
      </c>
      <c r="K87" t="e">
        <f t="shared" si="55"/>
        <v>#REF!</v>
      </c>
      <c r="L87" t="e">
        <f t="shared" si="55"/>
        <v>#REF!</v>
      </c>
      <c r="M87" t="e">
        <f t="shared" si="55"/>
        <v>#REF!</v>
      </c>
      <c r="N87" t="e">
        <f t="shared" si="55"/>
        <v>#REF!</v>
      </c>
      <c r="O87" t="e">
        <f t="shared" si="55"/>
        <v>#REF!</v>
      </c>
      <c r="P87" t="e">
        <f t="shared" si="55"/>
        <v>#REF!</v>
      </c>
      <c r="Q87" t="e">
        <f t="shared" si="55"/>
        <v>#REF!</v>
      </c>
      <c r="R87" t="e">
        <f t="shared" si="55"/>
        <v>#REF!</v>
      </c>
      <c r="S87" t="e">
        <f t="shared" ref="S87:AG110" si="64">MATCH(CONCATENATE(S$3,"_",$C87),auto_DataFlat_UID,0)</f>
        <v>#REF!</v>
      </c>
      <c r="T87" t="e">
        <f t="shared" si="64"/>
        <v>#REF!</v>
      </c>
      <c r="U87" t="e">
        <f t="shared" si="64"/>
        <v>#REF!</v>
      </c>
      <c r="V87" t="e">
        <f t="shared" si="64"/>
        <v>#REF!</v>
      </c>
      <c r="W87" t="e">
        <f t="shared" si="64"/>
        <v>#REF!</v>
      </c>
      <c r="X87" t="e">
        <f t="shared" si="52"/>
        <v>#REF!</v>
      </c>
      <c r="Y87" t="e">
        <f t="shared" si="52"/>
        <v>#REF!</v>
      </c>
      <c r="Z87" t="e">
        <f t="shared" si="52"/>
        <v>#REF!</v>
      </c>
      <c r="AA87" t="e">
        <f t="shared" si="52"/>
        <v>#REF!</v>
      </c>
      <c r="AB87" t="e">
        <f t="shared" si="52"/>
        <v>#REF!</v>
      </c>
      <c r="AC87" t="e">
        <f t="shared" si="52"/>
        <v>#REF!</v>
      </c>
      <c r="AD87" t="e">
        <f t="shared" si="52"/>
        <v>#REF!</v>
      </c>
      <c r="AE87" t="e">
        <f t="shared" si="52"/>
        <v>#REF!</v>
      </c>
      <c r="AF87" t="e">
        <f t="shared" si="52"/>
        <v>#REF!</v>
      </c>
      <c r="AG87" t="e">
        <f t="shared" si="52"/>
        <v>#REF!</v>
      </c>
      <c r="AH87" t="e">
        <f t="shared" si="56"/>
        <v>#REF!</v>
      </c>
      <c r="AI87" t="e">
        <f t="shared" si="56"/>
        <v>#REF!</v>
      </c>
      <c r="AJ87" t="e">
        <f t="shared" si="56"/>
        <v>#REF!</v>
      </c>
      <c r="AK87" t="e">
        <f t="shared" si="56"/>
        <v>#REF!</v>
      </c>
      <c r="AL87" t="e">
        <f t="shared" si="56"/>
        <v>#REF!</v>
      </c>
      <c r="AM87" t="e">
        <f t="shared" si="56"/>
        <v>#REF!</v>
      </c>
      <c r="AN87" t="e">
        <f t="shared" si="56"/>
        <v>#REF!</v>
      </c>
      <c r="AO87" t="e">
        <f t="shared" si="56"/>
        <v>#REF!</v>
      </c>
      <c r="AP87" t="e">
        <f t="shared" si="56"/>
        <v>#REF!</v>
      </c>
      <c r="AQ87" t="e">
        <f t="shared" si="56"/>
        <v>#REF!</v>
      </c>
      <c r="AR87" t="e">
        <f t="shared" si="56"/>
        <v>#REF!</v>
      </c>
      <c r="AS87" t="e">
        <f t="shared" si="56"/>
        <v>#REF!</v>
      </c>
      <c r="AT87" t="e">
        <f t="shared" si="56"/>
        <v>#REF!</v>
      </c>
      <c r="AU87" t="e">
        <f t="shared" si="56"/>
        <v>#REF!</v>
      </c>
      <c r="AV87" t="e">
        <f t="shared" si="56"/>
        <v>#REF!</v>
      </c>
      <c r="AW87" t="e">
        <f t="shared" si="57"/>
        <v>#REF!</v>
      </c>
      <c r="AX87" t="e">
        <f t="shared" si="57"/>
        <v>#REF!</v>
      </c>
      <c r="AY87" t="e">
        <f t="shared" si="57"/>
        <v>#REF!</v>
      </c>
      <c r="AZ87" t="e">
        <f t="shared" si="57"/>
        <v>#REF!</v>
      </c>
      <c r="BA87" t="e">
        <f t="shared" si="57"/>
        <v>#REF!</v>
      </c>
      <c r="BB87" t="e">
        <f t="shared" si="57"/>
        <v>#REF!</v>
      </c>
      <c r="BC87" t="e">
        <f t="shared" si="57"/>
        <v>#REF!</v>
      </c>
      <c r="BD87" t="e">
        <f t="shared" si="57"/>
        <v>#REF!</v>
      </c>
      <c r="BE87" t="e">
        <f t="shared" si="57"/>
        <v>#REF!</v>
      </c>
      <c r="BF87" t="e">
        <f t="shared" si="57"/>
        <v>#REF!</v>
      </c>
      <c r="BG87" t="e">
        <f t="shared" si="57"/>
        <v>#REF!</v>
      </c>
      <c r="BH87" t="e">
        <f t="shared" si="57"/>
        <v>#REF!</v>
      </c>
      <c r="BI87" t="e">
        <f t="shared" si="57"/>
        <v>#REF!</v>
      </c>
      <c r="BJ87" t="e">
        <f t="shared" si="57"/>
        <v>#REF!</v>
      </c>
      <c r="BK87" t="e">
        <f t="shared" si="57"/>
        <v>#REF!</v>
      </c>
      <c r="BL87" t="e">
        <f t="shared" si="59"/>
        <v>#REF!</v>
      </c>
      <c r="BM87" t="e">
        <f t="shared" si="59"/>
        <v>#REF!</v>
      </c>
      <c r="BN87" t="e">
        <f t="shared" si="59"/>
        <v>#REF!</v>
      </c>
      <c r="BO87" t="e">
        <f t="shared" si="59"/>
        <v>#REF!</v>
      </c>
      <c r="BP87" t="e">
        <f t="shared" si="59"/>
        <v>#REF!</v>
      </c>
      <c r="BQ87" t="e">
        <f t="shared" si="59"/>
        <v>#REF!</v>
      </c>
      <c r="BR87" t="e">
        <f t="shared" si="59"/>
        <v>#REF!</v>
      </c>
      <c r="BS87" t="e">
        <f t="shared" si="59"/>
        <v>#REF!</v>
      </c>
      <c r="BT87" t="e">
        <f t="shared" si="58"/>
        <v>#REF!</v>
      </c>
      <c r="BU87" t="e">
        <f t="shared" si="58"/>
        <v>#REF!</v>
      </c>
      <c r="BV87" t="e">
        <f t="shared" si="58"/>
        <v>#REF!</v>
      </c>
      <c r="BW87" t="e">
        <f t="shared" si="58"/>
        <v>#REF!</v>
      </c>
      <c r="BX87" t="e">
        <f t="shared" si="58"/>
        <v>#REF!</v>
      </c>
      <c r="BY87" t="e">
        <f t="shared" si="58"/>
        <v>#REF!</v>
      </c>
      <c r="BZ87" t="e">
        <f t="shared" si="58"/>
        <v>#REF!</v>
      </c>
      <c r="CA87" t="e">
        <f t="shared" si="58"/>
        <v>#REF!</v>
      </c>
      <c r="CB87" t="e">
        <f t="shared" si="58"/>
        <v>#REF!</v>
      </c>
      <c r="CC87" t="e">
        <f t="shared" si="54"/>
        <v>#REF!</v>
      </c>
      <c r="CD87" t="e">
        <f t="shared" si="54"/>
        <v>#REF!</v>
      </c>
      <c r="CE87" t="e">
        <f t="shared" si="54"/>
        <v>#REF!</v>
      </c>
      <c r="CF87" t="e">
        <f t="shared" si="54"/>
        <v>#REF!</v>
      </c>
      <c r="CG87" t="e">
        <f t="shared" si="54"/>
        <v>#REF!</v>
      </c>
      <c r="CH87" t="e">
        <f t="shared" si="54"/>
        <v>#REF!</v>
      </c>
      <c r="CI87" t="e">
        <f t="shared" si="54"/>
        <v>#REF!</v>
      </c>
      <c r="CJ87" t="e">
        <f t="shared" si="54"/>
        <v>#REF!</v>
      </c>
      <c r="CK87" t="e">
        <f t="shared" si="54"/>
        <v>#REF!</v>
      </c>
      <c r="CL87" t="e">
        <f t="shared" si="54"/>
        <v>#REF!</v>
      </c>
      <c r="CM87" t="e">
        <f t="shared" si="54"/>
        <v>#REF!</v>
      </c>
      <c r="CN87" t="e">
        <f t="shared" si="54"/>
        <v>#REF!</v>
      </c>
      <c r="CO87" t="e">
        <f t="shared" si="54"/>
        <v>#REF!</v>
      </c>
      <c r="CP87" t="e">
        <f t="shared" si="54"/>
        <v>#REF!</v>
      </c>
      <c r="CQ87" t="e">
        <f t="shared" si="54"/>
        <v>#REF!</v>
      </c>
      <c r="CR87" t="e">
        <f t="shared" si="62"/>
        <v>#REF!</v>
      </c>
      <c r="CS87" t="e">
        <f t="shared" si="62"/>
        <v>#REF!</v>
      </c>
      <c r="CT87" t="e">
        <f t="shared" si="62"/>
        <v>#REF!</v>
      </c>
      <c r="CU87" t="e">
        <f t="shared" si="62"/>
        <v>#REF!</v>
      </c>
      <c r="CV87" t="e">
        <f t="shared" si="62"/>
        <v>#REF!</v>
      </c>
      <c r="CW87" t="e">
        <f t="shared" si="62"/>
        <v>#REF!</v>
      </c>
      <c r="CX87" t="e">
        <f t="shared" si="62"/>
        <v>#REF!</v>
      </c>
      <c r="CY87" t="e">
        <f t="shared" si="62"/>
        <v>#REF!</v>
      </c>
      <c r="CZ87" t="e">
        <f t="shared" si="62"/>
        <v>#REF!</v>
      </c>
      <c r="DA87" t="e">
        <f t="shared" si="62"/>
        <v>#REF!</v>
      </c>
      <c r="DB87" t="e">
        <f t="shared" si="62"/>
        <v>#REF!</v>
      </c>
      <c r="DC87" t="e">
        <f t="shared" si="62"/>
        <v>#REF!</v>
      </c>
      <c r="DD87" t="e">
        <f t="shared" si="62"/>
        <v>#REF!</v>
      </c>
      <c r="DE87" t="e">
        <f t="shared" si="62"/>
        <v>#REF!</v>
      </c>
      <c r="DF87" t="e">
        <f t="shared" si="62"/>
        <v>#REF!</v>
      </c>
      <c r="DG87" t="e">
        <f t="shared" si="62"/>
        <v>#REF!</v>
      </c>
      <c r="DH87" t="e">
        <f t="shared" si="61"/>
        <v>#REF!</v>
      </c>
      <c r="DI87" t="e">
        <f t="shared" si="61"/>
        <v>#REF!</v>
      </c>
      <c r="DJ87" t="e">
        <f t="shared" si="61"/>
        <v>#REF!</v>
      </c>
      <c r="DK87" t="e">
        <f t="shared" si="61"/>
        <v>#REF!</v>
      </c>
      <c r="DL87" t="e">
        <f t="shared" si="61"/>
        <v>#REF!</v>
      </c>
      <c r="DM87" t="e">
        <f t="shared" si="61"/>
        <v>#REF!</v>
      </c>
      <c r="DN87" t="e">
        <f t="shared" si="61"/>
        <v>#REF!</v>
      </c>
      <c r="DO87" t="e">
        <f t="shared" si="61"/>
        <v>#REF!</v>
      </c>
      <c r="DP87" t="e">
        <f t="shared" si="61"/>
        <v>#REF!</v>
      </c>
      <c r="DQ87" t="e">
        <f t="shared" si="61"/>
        <v>#REF!</v>
      </c>
      <c r="DR87" t="e">
        <f t="shared" si="61"/>
        <v>#REF!</v>
      </c>
      <c r="DS87" t="e">
        <f t="shared" si="61"/>
        <v>#REF!</v>
      </c>
      <c r="DT87" t="e">
        <f t="shared" si="61"/>
        <v>#REF!</v>
      </c>
      <c r="DU87" t="e">
        <f t="shared" si="61"/>
        <v>#REF!</v>
      </c>
      <c r="DV87" t="e">
        <f t="shared" si="61"/>
        <v>#REF!</v>
      </c>
      <c r="DW87" t="e">
        <f t="shared" si="63"/>
        <v>#REF!</v>
      </c>
      <c r="DX87" t="e">
        <f t="shared" si="63"/>
        <v>#REF!</v>
      </c>
      <c r="DY87" t="e">
        <f t="shared" si="63"/>
        <v>#REF!</v>
      </c>
      <c r="DZ87" t="e">
        <f t="shared" si="48"/>
        <v>#REF!</v>
      </c>
      <c r="EA87" t="e">
        <f t="shared" si="48"/>
        <v>#REF!</v>
      </c>
      <c r="EB87" t="e">
        <f t="shared" si="48"/>
        <v>#REF!</v>
      </c>
      <c r="EC87" t="e">
        <f t="shared" si="48"/>
        <v>#REF!</v>
      </c>
      <c r="ED87" t="e">
        <f t="shared" si="48"/>
        <v>#REF!</v>
      </c>
      <c r="EE87" t="e">
        <f t="shared" si="48"/>
        <v>#REF!</v>
      </c>
      <c r="EF87" t="e">
        <f t="shared" si="48"/>
        <v>#REF!</v>
      </c>
      <c r="EG87" t="e">
        <f t="shared" si="48"/>
        <v>#REF!</v>
      </c>
      <c r="EH87" t="e">
        <f t="shared" si="50"/>
        <v>#REF!</v>
      </c>
      <c r="EI87" t="e">
        <f t="shared" si="50"/>
        <v>#REF!</v>
      </c>
      <c r="EJ87" t="e">
        <f t="shared" si="50"/>
        <v>#REF!</v>
      </c>
      <c r="EK87" t="e">
        <f t="shared" si="50"/>
        <v>#REF!</v>
      </c>
      <c r="EL87" t="e">
        <f t="shared" si="50"/>
        <v>#REF!</v>
      </c>
      <c r="EM87" t="e">
        <f t="shared" si="50"/>
        <v>#REF!</v>
      </c>
    </row>
    <row r="88" spans="1:143" x14ac:dyDescent="0.4">
      <c r="A88" t="str">
        <f t="shared" si="51"/>
        <v>X</v>
      </c>
      <c r="B88">
        <v>85</v>
      </c>
      <c r="C88" t="e" cm="1">
        <f t="array" ref="C88">INDEX(auto_Series_Code,B88)</f>
        <v>#REF!</v>
      </c>
      <c r="D88" t="e">
        <f t="shared" ref="D88:S103" si="65">MATCH(CONCATENATE(D$3,"_",$C88),auto_DataFlat_UID,0)</f>
        <v>#REF!</v>
      </c>
      <c r="E88" t="e">
        <f t="shared" si="65"/>
        <v>#REF!</v>
      </c>
      <c r="F88" t="e">
        <f t="shared" si="65"/>
        <v>#REF!</v>
      </c>
      <c r="G88" t="e">
        <f t="shared" si="65"/>
        <v>#REF!</v>
      </c>
      <c r="H88" t="e">
        <f t="shared" si="65"/>
        <v>#REF!</v>
      </c>
      <c r="I88" t="e">
        <f t="shared" si="65"/>
        <v>#REF!</v>
      </c>
      <c r="J88" t="e">
        <f t="shared" si="65"/>
        <v>#REF!</v>
      </c>
      <c r="K88" t="e">
        <f t="shared" si="65"/>
        <v>#REF!</v>
      </c>
      <c r="L88" t="e">
        <f t="shared" si="65"/>
        <v>#REF!</v>
      </c>
      <c r="M88" t="e">
        <f t="shared" si="65"/>
        <v>#REF!</v>
      </c>
      <c r="N88" t="e">
        <f t="shared" si="65"/>
        <v>#REF!</v>
      </c>
      <c r="O88" t="e">
        <f t="shared" si="65"/>
        <v>#REF!</v>
      </c>
      <c r="P88" t="e">
        <f t="shared" si="65"/>
        <v>#REF!</v>
      </c>
      <c r="Q88" t="e">
        <f t="shared" si="65"/>
        <v>#REF!</v>
      </c>
      <c r="R88" t="e">
        <f t="shared" si="65"/>
        <v>#REF!</v>
      </c>
      <c r="S88" t="e">
        <f t="shared" si="65"/>
        <v>#REF!</v>
      </c>
      <c r="T88" t="e">
        <f t="shared" si="64"/>
        <v>#REF!</v>
      </c>
      <c r="U88" t="e">
        <f t="shared" si="64"/>
        <v>#REF!</v>
      </c>
      <c r="V88" t="e">
        <f t="shared" si="64"/>
        <v>#REF!</v>
      </c>
      <c r="W88" t="e">
        <f t="shared" si="64"/>
        <v>#REF!</v>
      </c>
      <c r="X88" t="e">
        <f t="shared" si="52"/>
        <v>#REF!</v>
      </c>
      <c r="Y88" t="e">
        <f t="shared" si="52"/>
        <v>#REF!</v>
      </c>
      <c r="Z88" t="e">
        <f t="shared" si="52"/>
        <v>#REF!</v>
      </c>
      <c r="AA88" t="e">
        <f t="shared" si="52"/>
        <v>#REF!</v>
      </c>
      <c r="AB88" t="e">
        <f t="shared" si="52"/>
        <v>#REF!</v>
      </c>
      <c r="AC88" t="e">
        <f t="shared" si="52"/>
        <v>#REF!</v>
      </c>
      <c r="AD88" t="e">
        <f t="shared" si="52"/>
        <v>#REF!</v>
      </c>
      <c r="AE88" t="e">
        <f t="shared" si="52"/>
        <v>#REF!</v>
      </c>
      <c r="AF88" t="e">
        <f t="shared" si="52"/>
        <v>#REF!</v>
      </c>
      <c r="AG88" t="e">
        <f t="shared" si="52"/>
        <v>#REF!</v>
      </c>
      <c r="AH88" t="e">
        <f t="shared" si="56"/>
        <v>#REF!</v>
      </c>
      <c r="AI88" t="e">
        <f t="shared" si="56"/>
        <v>#REF!</v>
      </c>
      <c r="AJ88" t="e">
        <f t="shared" si="56"/>
        <v>#REF!</v>
      </c>
      <c r="AK88" t="e">
        <f t="shared" si="56"/>
        <v>#REF!</v>
      </c>
      <c r="AL88" t="e">
        <f t="shared" si="56"/>
        <v>#REF!</v>
      </c>
      <c r="AM88" t="e">
        <f t="shared" si="56"/>
        <v>#REF!</v>
      </c>
      <c r="AN88" t="e">
        <f t="shared" si="56"/>
        <v>#REF!</v>
      </c>
      <c r="AO88" t="e">
        <f t="shared" si="56"/>
        <v>#REF!</v>
      </c>
      <c r="AP88" t="e">
        <f t="shared" si="56"/>
        <v>#REF!</v>
      </c>
      <c r="AQ88" t="e">
        <f t="shared" si="56"/>
        <v>#REF!</v>
      </c>
      <c r="AR88" t="e">
        <f t="shared" si="56"/>
        <v>#REF!</v>
      </c>
      <c r="AS88" t="e">
        <f t="shared" si="56"/>
        <v>#REF!</v>
      </c>
      <c r="AT88" t="e">
        <f t="shared" si="56"/>
        <v>#REF!</v>
      </c>
      <c r="AU88" t="e">
        <f t="shared" si="56"/>
        <v>#REF!</v>
      </c>
      <c r="AV88" t="e">
        <f t="shared" ref="AV88:BK111" si="66">MATCH(CONCATENATE(AV$3,"_",$C88),auto_DataFlat_UID,0)</f>
        <v>#REF!</v>
      </c>
      <c r="AW88" t="e">
        <f t="shared" si="66"/>
        <v>#REF!</v>
      </c>
      <c r="AX88" t="e">
        <f t="shared" si="66"/>
        <v>#REF!</v>
      </c>
      <c r="AY88" t="e">
        <f t="shared" si="66"/>
        <v>#REF!</v>
      </c>
      <c r="AZ88" t="e">
        <f t="shared" si="66"/>
        <v>#REF!</v>
      </c>
      <c r="BA88" t="e">
        <f t="shared" si="66"/>
        <v>#REF!</v>
      </c>
      <c r="BB88" t="e">
        <f t="shared" si="57"/>
        <v>#REF!</v>
      </c>
      <c r="BC88" t="e">
        <f t="shared" si="57"/>
        <v>#REF!</v>
      </c>
      <c r="BD88" t="e">
        <f t="shared" si="57"/>
        <v>#REF!</v>
      </c>
      <c r="BE88" t="e">
        <f t="shared" si="57"/>
        <v>#REF!</v>
      </c>
      <c r="BF88" t="e">
        <f t="shared" si="57"/>
        <v>#REF!</v>
      </c>
      <c r="BG88" t="e">
        <f t="shared" si="57"/>
        <v>#REF!</v>
      </c>
      <c r="BH88" t="e">
        <f t="shared" si="57"/>
        <v>#REF!</v>
      </c>
      <c r="BI88" t="e">
        <f t="shared" si="57"/>
        <v>#REF!</v>
      </c>
      <c r="BJ88" t="e">
        <f t="shared" si="57"/>
        <v>#REF!</v>
      </c>
      <c r="BK88" t="e">
        <f t="shared" si="57"/>
        <v>#REF!</v>
      </c>
      <c r="BL88" t="e">
        <f t="shared" si="59"/>
        <v>#REF!</v>
      </c>
      <c r="BM88" t="e">
        <f t="shared" si="59"/>
        <v>#REF!</v>
      </c>
      <c r="BN88" t="e">
        <f t="shared" si="59"/>
        <v>#REF!</v>
      </c>
      <c r="BO88" t="e">
        <f t="shared" si="59"/>
        <v>#REF!</v>
      </c>
      <c r="BP88" t="e">
        <f t="shared" si="59"/>
        <v>#REF!</v>
      </c>
      <c r="BQ88" t="e">
        <f t="shared" si="59"/>
        <v>#REF!</v>
      </c>
      <c r="BR88" t="e">
        <f t="shared" si="59"/>
        <v>#REF!</v>
      </c>
      <c r="BS88" t="e">
        <f t="shared" si="59"/>
        <v>#REF!</v>
      </c>
      <c r="BT88" t="e">
        <f t="shared" si="58"/>
        <v>#REF!</v>
      </c>
      <c r="BU88" t="e">
        <f t="shared" si="58"/>
        <v>#REF!</v>
      </c>
      <c r="BV88" t="e">
        <f t="shared" si="58"/>
        <v>#REF!</v>
      </c>
      <c r="BW88" t="e">
        <f t="shared" si="58"/>
        <v>#REF!</v>
      </c>
      <c r="BX88" t="e">
        <f t="shared" si="58"/>
        <v>#REF!</v>
      </c>
      <c r="BY88" t="e">
        <f t="shared" si="58"/>
        <v>#REF!</v>
      </c>
      <c r="BZ88" t="e">
        <f t="shared" si="58"/>
        <v>#REF!</v>
      </c>
      <c r="CA88" t="e">
        <f t="shared" si="58"/>
        <v>#REF!</v>
      </c>
      <c r="CB88" t="e">
        <f t="shared" si="58"/>
        <v>#REF!</v>
      </c>
      <c r="CC88" t="e">
        <f t="shared" si="54"/>
        <v>#REF!</v>
      </c>
      <c r="CD88" t="e">
        <f t="shared" si="54"/>
        <v>#REF!</v>
      </c>
      <c r="CE88" t="e">
        <f t="shared" si="54"/>
        <v>#REF!</v>
      </c>
      <c r="CF88" t="e">
        <f t="shared" si="54"/>
        <v>#REF!</v>
      </c>
      <c r="CG88" t="e">
        <f t="shared" si="54"/>
        <v>#REF!</v>
      </c>
      <c r="CH88" t="e">
        <f t="shared" si="54"/>
        <v>#REF!</v>
      </c>
      <c r="CI88" t="e">
        <f t="shared" si="54"/>
        <v>#REF!</v>
      </c>
      <c r="CJ88" t="e">
        <f t="shared" si="54"/>
        <v>#REF!</v>
      </c>
      <c r="CK88" t="e">
        <f t="shared" si="54"/>
        <v>#REF!</v>
      </c>
      <c r="CL88" t="e">
        <f t="shared" si="54"/>
        <v>#REF!</v>
      </c>
      <c r="CM88" t="e">
        <f t="shared" si="54"/>
        <v>#REF!</v>
      </c>
      <c r="CN88" t="e">
        <f t="shared" si="54"/>
        <v>#REF!</v>
      </c>
      <c r="CO88" t="e">
        <f t="shared" si="54"/>
        <v>#REF!</v>
      </c>
      <c r="CP88" t="e">
        <f t="shared" si="54"/>
        <v>#REF!</v>
      </c>
      <c r="CQ88" t="e">
        <f t="shared" si="54"/>
        <v>#REF!</v>
      </c>
      <c r="CR88" t="e">
        <f t="shared" si="62"/>
        <v>#REF!</v>
      </c>
      <c r="CS88" t="e">
        <f t="shared" si="62"/>
        <v>#REF!</v>
      </c>
      <c r="CT88" t="e">
        <f t="shared" si="62"/>
        <v>#REF!</v>
      </c>
      <c r="CU88" t="e">
        <f t="shared" si="62"/>
        <v>#REF!</v>
      </c>
      <c r="CV88" t="e">
        <f t="shared" si="62"/>
        <v>#REF!</v>
      </c>
      <c r="CW88" t="e">
        <f t="shared" si="62"/>
        <v>#REF!</v>
      </c>
      <c r="CX88" t="e">
        <f t="shared" si="62"/>
        <v>#REF!</v>
      </c>
      <c r="CY88" t="e">
        <f t="shared" si="62"/>
        <v>#REF!</v>
      </c>
      <c r="CZ88" t="e">
        <f t="shared" si="62"/>
        <v>#REF!</v>
      </c>
      <c r="DA88" t="e">
        <f t="shared" si="62"/>
        <v>#REF!</v>
      </c>
      <c r="DB88" t="e">
        <f t="shared" si="62"/>
        <v>#REF!</v>
      </c>
      <c r="DC88" t="e">
        <f t="shared" si="62"/>
        <v>#REF!</v>
      </c>
      <c r="DD88" t="e">
        <f t="shared" si="62"/>
        <v>#REF!</v>
      </c>
      <c r="DE88" t="e">
        <f t="shared" si="62"/>
        <v>#REF!</v>
      </c>
      <c r="DF88" t="e">
        <f t="shared" si="62"/>
        <v>#REF!</v>
      </c>
      <c r="DG88" t="e">
        <f t="shared" si="62"/>
        <v>#REF!</v>
      </c>
      <c r="DH88" t="e">
        <f t="shared" si="61"/>
        <v>#REF!</v>
      </c>
      <c r="DI88" t="e">
        <f t="shared" si="61"/>
        <v>#REF!</v>
      </c>
      <c r="DJ88" t="e">
        <f t="shared" si="61"/>
        <v>#REF!</v>
      </c>
      <c r="DK88" t="e">
        <f t="shared" si="61"/>
        <v>#REF!</v>
      </c>
      <c r="DL88" t="e">
        <f t="shared" si="61"/>
        <v>#REF!</v>
      </c>
      <c r="DM88" t="e">
        <f t="shared" si="61"/>
        <v>#REF!</v>
      </c>
      <c r="DN88" t="e">
        <f t="shared" si="61"/>
        <v>#REF!</v>
      </c>
      <c r="DO88" t="e">
        <f t="shared" si="61"/>
        <v>#REF!</v>
      </c>
      <c r="DP88" t="e">
        <f t="shared" si="61"/>
        <v>#REF!</v>
      </c>
      <c r="DQ88" t="e">
        <f t="shared" si="61"/>
        <v>#REF!</v>
      </c>
      <c r="DR88" t="e">
        <f t="shared" si="61"/>
        <v>#REF!</v>
      </c>
      <c r="DS88" t="e">
        <f t="shared" si="61"/>
        <v>#REF!</v>
      </c>
      <c r="DT88" t="e">
        <f t="shared" si="61"/>
        <v>#REF!</v>
      </c>
      <c r="DU88" t="e">
        <f t="shared" si="61"/>
        <v>#REF!</v>
      </c>
      <c r="DV88" t="e">
        <f t="shared" si="61"/>
        <v>#REF!</v>
      </c>
      <c r="DW88" t="e">
        <f t="shared" si="63"/>
        <v>#REF!</v>
      </c>
      <c r="DX88" t="e">
        <f t="shared" si="63"/>
        <v>#REF!</v>
      </c>
      <c r="DY88" t="e">
        <f t="shared" si="63"/>
        <v>#REF!</v>
      </c>
      <c r="DZ88" t="e">
        <f t="shared" si="48"/>
        <v>#REF!</v>
      </c>
      <c r="EA88" t="e">
        <f t="shared" si="48"/>
        <v>#REF!</v>
      </c>
      <c r="EB88" t="e">
        <f t="shared" si="48"/>
        <v>#REF!</v>
      </c>
      <c r="EC88" t="e">
        <f t="shared" si="48"/>
        <v>#REF!</v>
      </c>
      <c r="ED88" t="e">
        <f t="shared" si="48"/>
        <v>#REF!</v>
      </c>
      <c r="EE88" t="e">
        <f t="shared" si="48"/>
        <v>#REF!</v>
      </c>
      <c r="EF88" t="e">
        <f t="shared" si="48"/>
        <v>#REF!</v>
      </c>
      <c r="EG88" t="e">
        <f t="shared" si="48"/>
        <v>#REF!</v>
      </c>
      <c r="EH88" t="e">
        <f t="shared" si="50"/>
        <v>#REF!</v>
      </c>
      <c r="EI88" t="e">
        <f t="shared" si="50"/>
        <v>#REF!</v>
      </c>
      <c r="EJ88" t="e">
        <f t="shared" si="50"/>
        <v>#REF!</v>
      </c>
      <c r="EK88" t="e">
        <f t="shared" si="50"/>
        <v>#REF!</v>
      </c>
      <c r="EL88" t="e">
        <f t="shared" si="50"/>
        <v>#REF!</v>
      </c>
      <c r="EM88" t="e">
        <f t="shared" si="50"/>
        <v>#REF!</v>
      </c>
    </row>
    <row r="89" spans="1:143" x14ac:dyDescent="0.4">
      <c r="A89" t="str">
        <f t="shared" si="51"/>
        <v>X</v>
      </c>
      <c r="B89">
        <v>86</v>
      </c>
      <c r="C89" t="e" cm="1">
        <f t="array" ref="C89">INDEX(auto_Series_Code,B89)</f>
        <v>#REF!</v>
      </c>
      <c r="D89" t="e">
        <f t="shared" si="65"/>
        <v>#REF!</v>
      </c>
      <c r="E89" t="e">
        <f t="shared" si="65"/>
        <v>#REF!</v>
      </c>
      <c r="F89" t="e">
        <f t="shared" si="65"/>
        <v>#REF!</v>
      </c>
      <c r="G89" t="e">
        <f t="shared" si="65"/>
        <v>#REF!</v>
      </c>
      <c r="H89" t="e">
        <f t="shared" si="65"/>
        <v>#REF!</v>
      </c>
      <c r="I89" t="e">
        <f t="shared" si="65"/>
        <v>#REF!</v>
      </c>
      <c r="J89" t="e">
        <f t="shared" si="65"/>
        <v>#REF!</v>
      </c>
      <c r="K89" t="e">
        <f t="shared" si="65"/>
        <v>#REF!</v>
      </c>
      <c r="L89" t="e">
        <f t="shared" si="65"/>
        <v>#REF!</v>
      </c>
      <c r="M89" t="e">
        <f t="shared" si="65"/>
        <v>#REF!</v>
      </c>
      <c r="N89" t="e">
        <f t="shared" si="65"/>
        <v>#REF!</v>
      </c>
      <c r="O89" t="e">
        <f t="shared" si="65"/>
        <v>#REF!</v>
      </c>
      <c r="P89" t="e">
        <f t="shared" si="65"/>
        <v>#REF!</v>
      </c>
      <c r="Q89" t="e">
        <f t="shared" si="65"/>
        <v>#REF!</v>
      </c>
      <c r="R89" t="e">
        <f t="shared" si="65"/>
        <v>#REF!</v>
      </c>
      <c r="S89" t="e">
        <f t="shared" si="65"/>
        <v>#REF!</v>
      </c>
      <c r="T89" t="e">
        <f t="shared" si="64"/>
        <v>#REF!</v>
      </c>
      <c r="U89" t="e">
        <f t="shared" si="64"/>
        <v>#REF!</v>
      </c>
      <c r="V89" t="e">
        <f t="shared" si="64"/>
        <v>#REF!</v>
      </c>
      <c r="W89" t="e">
        <f t="shared" si="64"/>
        <v>#REF!</v>
      </c>
      <c r="X89" t="e">
        <f t="shared" si="52"/>
        <v>#REF!</v>
      </c>
      <c r="Y89" t="e">
        <f t="shared" si="52"/>
        <v>#REF!</v>
      </c>
      <c r="Z89" t="e">
        <f t="shared" si="52"/>
        <v>#REF!</v>
      </c>
      <c r="AA89" t="e">
        <f t="shared" si="52"/>
        <v>#REF!</v>
      </c>
      <c r="AB89" t="e">
        <f t="shared" si="52"/>
        <v>#REF!</v>
      </c>
      <c r="AC89" t="e">
        <f t="shared" si="52"/>
        <v>#REF!</v>
      </c>
      <c r="AD89" t="e">
        <f t="shared" si="52"/>
        <v>#REF!</v>
      </c>
      <c r="AE89" t="e">
        <f t="shared" si="52"/>
        <v>#REF!</v>
      </c>
      <c r="AF89" t="e">
        <f t="shared" si="52"/>
        <v>#REF!</v>
      </c>
      <c r="AG89" t="e">
        <f t="shared" si="52"/>
        <v>#REF!</v>
      </c>
      <c r="AH89" t="e">
        <f t="shared" si="52"/>
        <v>#REF!</v>
      </c>
      <c r="AI89" t="e">
        <f t="shared" ref="AI89:AX122" si="67">MATCH(CONCATENATE(AI$3,"_",$C89),auto_DataFlat_UID,0)</f>
        <v>#REF!</v>
      </c>
      <c r="AJ89" t="e">
        <f t="shared" si="67"/>
        <v>#REF!</v>
      </c>
      <c r="AK89" t="e">
        <f t="shared" si="67"/>
        <v>#REF!</v>
      </c>
      <c r="AL89" t="e">
        <f t="shared" si="67"/>
        <v>#REF!</v>
      </c>
      <c r="AM89" t="e">
        <f t="shared" si="67"/>
        <v>#REF!</v>
      </c>
      <c r="AN89" t="e">
        <f t="shared" si="67"/>
        <v>#REF!</v>
      </c>
      <c r="AO89" t="e">
        <f t="shared" si="67"/>
        <v>#REF!</v>
      </c>
      <c r="AP89" t="e">
        <f t="shared" si="67"/>
        <v>#REF!</v>
      </c>
      <c r="AQ89" t="e">
        <f t="shared" si="67"/>
        <v>#REF!</v>
      </c>
      <c r="AR89" t="e">
        <f t="shared" si="67"/>
        <v>#REF!</v>
      </c>
      <c r="AS89" t="e">
        <f t="shared" si="67"/>
        <v>#REF!</v>
      </c>
      <c r="AT89" t="e">
        <f t="shared" si="67"/>
        <v>#REF!</v>
      </c>
      <c r="AU89" t="e">
        <f t="shared" si="67"/>
        <v>#REF!</v>
      </c>
      <c r="AV89" t="e">
        <f t="shared" si="67"/>
        <v>#REF!</v>
      </c>
      <c r="AW89" t="e">
        <f t="shared" si="67"/>
        <v>#REF!</v>
      </c>
      <c r="AX89" t="e">
        <f t="shared" si="67"/>
        <v>#REF!</v>
      </c>
      <c r="AY89" t="e">
        <f t="shared" si="66"/>
        <v>#REF!</v>
      </c>
      <c r="AZ89" t="e">
        <f t="shared" si="66"/>
        <v>#REF!</v>
      </c>
      <c r="BA89" t="e">
        <f t="shared" si="66"/>
        <v>#REF!</v>
      </c>
      <c r="BB89" t="e">
        <f t="shared" si="57"/>
        <v>#REF!</v>
      </c>
      <c r="BC89" t="e">
        <f t="shared" si="57"/>
        <v>#REF!</v>
      </c>
      <c r="BD89" t="e">
        <f t="shared" si="57"/>
        <v>#REF!</v>
      </c>
      <c r="BE89" t="e">
        <f t="shared" si="57"/>
        <v>#REF!</v>
      </c>
      <c r="BF89" t="e">
        <f t="shared" si="57"/>
        <v>#REF!</v>
      </c>
      <c r="BG89" t="e">
        <f t="shared" si="57"/>
        <v>#REF!</v>
      </c>
      <c r="BH89" t="e">
        <f t="shared" si="57"/>
        <v>#REF!</v>
      </c>
      <c r="BI89" t="e">
        <f t="shared" si="57"/>
        <v>#REF!</v>
      </c>
      <c r="BJ89" t="e">
        <f t="shared" si="57"/>
        <v>#REF!</v>
      </c>
      <c r="BK89" t="e">
        <f t="shared" si="57"/>
        <v>#REF!</v>
      </c>
      <c r="BL89" t="e">
        <f t="shared" si="59"/>
        <v>#REF!</v>
      </c>
      <c r="BM89" t="e">
        <f t="shared" si="59"/>
        <v>#REF!</v>
      </c>
      <c r="BN89" t="e">
        <f t="shared" si="59"/>
        <v>#REF!</v>
      </c>
      <c r="BO89" t="e">
        <f t="shared" si="59"/>
        <v>#REF!</v>
      </c>
      <c r="BP89" t="e">
        <f t="shared" si="59"/>
        <v>#REF!</v>
      </c>
      <c r="BQ89" t="e">
        <f t="shared" si="59"/>
        <v>#REF!</v>
      </c>
      <c r="BR89" t="e">
        <f t="shared" si="59"/>
        <v>#REF!</v>
      </c>
      <c r="BS89" t="e">
        <f t="shared" si="59"/>
        <v>#REF!</v>
      </c>
      <c r="BT89" t="e">
        <f t="shared" si="58"/>
        <v>#REF!</v>
      </c>
      <c r="BU89" t="e">
        <f t="shared" si="58"/>
        <v>#REF!</v>
      </c>
      <c r="BV89" t="e">
        <f t="shared" si="58"/>
        <v>#REF!</v>
      </c>
      <c r="BW89" t="e">
        <f t="shared" si="58"/>
        <v>#REF!</v>
      </c>
      <c r="BX89" t="e">
        <f t="shared" si="58"/>
        <v>#REF!</v>
      </c>
      <c r="BY89" t="e">
        <f t="shared" si="58"/>
        <v>#REF!</v>
      </c>
      <c r="BZ89" t="e">
        <f t="shared" si="58"/>
        <v>#REF!</v>
      </c>
      <c r="CA89" t="e">
        <f t="shared" si="58"/>
        <v>#REF!</v>
      </c>
      <c r="CB89" t="e">
        <f t="shared" si="58"/>
        <v>#REF!</v>
      </c>
      <c r="CC89" t="e">
        <f t="shared" si="54"/>
        <v>#REF!</v>
      </c>
      <c r="CD89" t="e">
        <f t="shared" si="54"/>
        <v>#REF!</v>
      </c>
      <c r="CE89" t="e">
        <f t="shared" si="54"/>
        <v>#REF!</v>
      </c>
      <c r="CF89" t="e">
        <f t="shared" si="54"/>
        <v>#REF!</v>
      </c>
      <c r="CG89" t="e">
        <f t="shared" si="54"/>
        <v>#REF!</v>
      </c>
      <c r="CH89" t="e">
        <f t="shared" si="54"/>
        <v>#REF!</v>
      </c>
      <c r="CI89" t="e">
        <f t="shared" si="54"/>
        <v>#REF!</v>
      </c>
      <c r="CJ89" t="e">
        <f t="shared" si="54"/>
        <v>#REF!</v>
      </c>
      <c r="CK89" t="e">
        <f t="shared" si="54"/>
        <v>#REF!</v>
      </c>
      <c r="CL89" t="e">
        <f t="shared" si="54"/>
        <v>#REF!</v>
      </c>
      <c r="CM89" t="e">
        <f t="shared" si="54"/>
        <v>#REF!</v>
      </c>
      <c r="CN89" t="e">
        <f t="shared" si="54"/>
        <v>#REF!</v>
      </c>
      <c r="CO89" t="e">
        <f t="shared" si="54"/>
        <v>#REF!</v>
      </c>
      <c r="CP89" t="e">
        <f t="shared" si="54"/>
        <v>#REF!</v>
      </c>
      <c r="CQ89" t="e">
        <f t="shared" si="54"/>
        <v>#REF!</v>
      </c>
      <c r="CR89" t="e">
        <f t="shared" si="62"/>
        <v>#REF!</v>
      </c>
      <c r="CS89" t="e">
        <f t="shared" si="62"/>
        <v>#REF!</v>
      </c>
      <c r="CT89" t="e">
        <f t="shared" si="62"/>
        <v>#REF!</v>
      </c>
      <c r="CU89" t="e">
        <f t="shared" si="62"/>
        <v>#REF!</v>
      </c>
      <c r="CV89" t="e">
        <f t="shared" si="62"/>
        <v>#REF!</v>
      </c>
      <c r="CW89" t="e">
        <f t="shared" si="62"/>
        <v>#REF!</v>
      </c>
      <c r="CX89" t="e">
        <f t="shared" si="62"/>
        <v>#REF!</v>
      </c>
      <c r="CY89" t="e">
        <f t="shared" si="62"/>
        <v>#REF!</v>
      </c>
      <c r="CZ89" t="e">
        <f t="shared" si="62"/>
        <v>#REF!</v>
      </c>
      <c r="DA89" t="e">
        <f t="shared" si="62"/>
        <v>#REF!</v>
      </c>
      <c r="DB89" t="e">
        <f t="shared" si="62"/>
        <v>#REF!</v>
      </c>
      <c r="DC89" t="e">
        <f t="shared" si="62"/>
        <v>#REF!</v>
      </c>
      <c r="DD89" t="e">
        <f t="shared" si="62"/>
        <v>#REF!</v>
      </c>
      <c r="DE89" t="e">
        <f t="shared" si="62"/>
        <v>#REF!</v>
      </c>
      <c r="DF89" t="e">
        <f t="shared" si="62"/>
        <v>#REF!</v>
      </c>
      <c r="DG89" t="e">
        <f t="shared" si="62"/>
        <v>#REF!</v>
      </c>
      <c r="DH89" t="e">
        <f t="shared" si="61"/>
        <v>#REF!</v>
      </c>
      <c r="DI89" t="e">
        <f t="shared" si="61"/>
        <v>#REF!</v>
      </c>
      <c r="DJ89" t="e">
        <f t="shared" si="61"/>
        <v>#REF!</v>
      </c>
      <c r="DK89" t="e">
        <f t="shared" si="61"/>
        <v>#REF!</v>
      </c>
      <c r="DL89" t="e">
        <f t="shared" si="61"/>
        <v>#REF!</v>
      </c>
      <c r="DM89" t="e">
        <f t="shared" si="61"/>
        <v>#REF!</v>
      </c>
      <c r="DN89" t="e">
        <f t="shared" si="61"/>
        <v>#REF!</v>
      </c>
      <c r="DO89" t="e">
        <f t="shared" si="61"/>
        <v>#REF!</v>
      </c>
      <c r="DP89" t="e">
        <f t="shared" si="61"/>
        <v>#REF!</v>
      </c>
      <c r="DQ89" t="e">
        <f t="shared" si="61"/>
        <v>#REF!</v>
      </c>
      <c r="DR89" t="e">
        <f t="shared" si="61"/>
        <v>#REF!</v>
      </c>
      <c r="DS89" t="e">
        <f t="shared" si="61"/>
        <v>#REF!</v>
      </c>
      <c r="DT89" t="e">
        <f t="shared" si="61"/>
        <v>#REF!</v>
      </c>
      <c r="DU89" t="e">
        <f t="shared" si="61"/>
        <v>#REF!</v>
      </c>
      <c r="DV89" t="e">
        <f t="shared" si="61"/>
        <v>#REF!</v>
      </c>
      <c r="DW89" t="e">
        <f t="shared" si="63"/>
        <v>#REF!</v>
      </c>
      <c r="DX89" t="e">
        <f t="shared" si="63"/>
        <v>#REF!</v>
      </c>
      <c r="DY89" t="e">
        <f t="shared" si="63"/>
        <v>#REF!</v>
      </c>
      <c r="DZ89" t="e">
        <f t="shared" si="48"/>
        <v>#REF!</v>
      </c>
      <c r="EA89" t="e">
        <f t="shared" si="48"/>
        <v>#REF!</v>
      </c>
      <c r="EB89" t="e">
        <f t="shared" si="48"/>
        <v>#REF!</v>
      </c>
      <c r="EC89" t="e">
        <f t="shared" si="48"/>
        <v>#REF!</v>
      </c>
      <c r="ED89" t="e">
        <f t="shared" si="48"/>
        <v>#REF!</v>
      </c>
      <c r="EE89" t="e">
        <f t="shared" si="48"/>
        <v>#REF!</v>
      </c>
      <c r="EF89" t="e">
        <f t="shared" si="48"/>
        <v>#REF!</v>
      </c>
      <c r="EG89" t="e">
        <f t="shared" si="48"/>
        <v>#REF!</v>
      </c>
      <c r="EH89" t="e">
        <f t="shared" si="50"/>
        <v>#REF!</v>
      </c>
      <c r="EI89" t="e">
        <f t="shared" si="50"/>
        <v>#REF!</v>
      </c>
      <c r="EJ89" t="e">
        <f t="shared" si="50"/>
        <v>#REF!</v>
      </c>
      <c r="EK89" t="e">
        <f t="shared" si="50"/>
        <v>#REF!</v>
      </c>
      <c r="EL89" t="e">
        <f t="shared" si="50"/>
        <v>#REF!</v>
      </c>
      <c r="EM89" t="e">
        <f t="shared" si="50"/>
        <v>#REF!</v>
      </c>
    </row>
    <row r="90" spans="1:143" x14ac:dyDescent="0.4">
      <c r="A90" t="str">
        <f t="shared" si="51"/>
        <v>X</v>
      </c>
      <c r="B90">
        <v>87</v>
      </c>
      <c r="C90" t="e" cm="1">
        <f t="array" ref="C90">INDEX(auto_Series_Code,B90)</f>
        <v>#REF!</v>
      </c>
      <c r="D90" t="e">
        <f t="shared" si="65"/>
        <v>#REF!</v>
      </c>
      <c r="E90" t="e">
        <f t="shared" si="65"/>
        <v>#REF!</v>
      </c>
      <c r="F90" t="e">
        <f t="shared" si="65"/>
        <v>#REF!</v>
      </c>
      <c r="G90" t="e">
        <f t="shared" si="65"/>
        <v>#REF!</v>
      </c>
      <c r="H90" t="e">
        <f t="shared" si="65"/>
        <v>#REF!</v>
      </c>
      <c r="I90" t="e">
        <f t="shared" si="65"/>
        <v>#REF!</v>
      </c>
      <c r="J90" t="e">
        <f t="shared" si="65"/>
        <v>#REF!</v>
      </c>
      <c r="K90" t="e">
        <f t="shared" si="65"/>
        <v>#REF!</v>
      </c>
      <c r="L90" t="e">
        <f t="shared" si="65"/>
        <v>#REF!</v>
      </c>
      <c r="M90" t="e">
        <f t="shared" si="65"/>
        <v>#REF!</v>
      </c>
      <c r="N90" t="e">
        <f t="shared" si="65"/>
        <v>#REF!</v>
      </c>
      <c r="O90" t="e">
        <f t="shared" si="65"/>
        <v>#REF!</v>
      </c>
      <c r="P90" t="e">
        <f t="shared" si="65"/>
        <v>#REF!</v>
      </c>
      <c r="Q90" t="e">
        <f t="shared" si="65"/>
        <v>#REF!</v>
      </c>
      <c r="R90" t="e">
        <f t="shared" si="65"/>
        <v>#REF!</v>
      </c>
      <c r="S90" t="e">
        <f t="shared" si="65"/>
        <v>#REF!</v>
      </c>
      <c r="T90" t="e">
        <f t="shared" si="64"/>
        <v>#REF!</v>
      </c>
      <c r="U90" t="e">
        <f t="shared" si="64"/>
        <v>#REF!</v>
      </c>
      <c r="V90" t="e">
        <f t="shared" si="64"/>
        <v>#REF!</v>
      </c>
      <c r="W90" t="e">
        <f t="shared" si="64"/>
        <v>#REF!</v>
      </c>
      <c r="X90" t="e">
        <f t="shared" si="52"/>
        <v>#REF!</v>
      </c>
      <c r="Y90" t="e">
        <f t="shared" si="52"/>
        <v>#REF!</v>
      </c>
      <c r="Z90" t="e">
        <f t="shared" si="52"/>
        <v>#REF!</v>
      </c>
      <c r="AA90" t="e">
        <f t="shared" si="52"/>
        <v>#REF!</v>
      </c>
      <c r="AB90" t="e">
        <f t="shared" si="52"/>
        <v>#REF!</v>
      </c>
      <c r="AC90" t="e">
        <f t="shared" si="52"/>
        <v>#REF!</v>
      </c>
      <c r="AD90" t="e">
        <f t="shared" si="52"/>
        <v>#REF!</v>
      </c>
      <c r="AE90" t="e">
        <f t="shared" si="52"/>
        <v>#REF!</v>
      </c>
      <c r="AF90" t="e">
        <f t="shared" si="52"/>
        <v>#REF!</v>
      </c>
      <c r="AG90" t="e">
        <f t="shared" si="52"/>
        <v>#REF!</v>
      </c>
      <c r="AH90" t="e">
        <f t="shared" si="52"/>
        <v>#REF!</v>
      </c>
      <c r="AI90" t="e">
        <f t="shared" si="67"/>
        <v>#REF!</v>
      </c>
      <c r="AJ90" t="e">
        <f t="shared" si="67"/>
        <v>#REF!</v>
      </c>
      <c r="AK90" t="e">
        <f t="shared" si="67"/>
        <v>#REF!</v>
      </c>
      <c r="AL90" t="e">
        <f t="shared" si="67"/>
        <v>#REF!</v>
      </c>
      <c r="AM90" t="e">
        <f t="shared" si="67"/>
        <v>#REF!</v>
      </c>
      <c r="AN90" t="e">
        <f t="shared" si="67"/>
        <v>#REF!</v>
      </c>
      <c r="AO90" t="e">
        <f t="shared" si="67"/>
        <v>#REF!</v>
      </c>
      <c r="AP90" t="e">
        <f t="shared" si="67"/>
        <v>#REF!</v>
      </c>
      <c r="AQ90" t="e">
        <f t="shared" si="67"/>
        <v>#REF!</v>
      </c>
      <c r="AR90" t="e">
        <f t="shared" si="67"/>
        <v>#REF!</v>
      </c>
      <c r="AS90" t="e">
        <f t="shared" si="67"/>
        <v>#REF!</v>
      </c>
      <c r="AT90" t="e">
        <f t="shared" si="67"/>
        <v>#REF!</v>
      </c>
      <c r="AU90" t="e">
        <f t="shared" si="67"/>
        <v>#REF!</v>
      </c>
      <c r="AV90" t="e">
        <f t="shared" si="67"/>
        <v>#REF!</v>
      </c>
      <c r="AW90" t="e">
        <f t="shared" si="67"/>
        <v>#REF!</v>
      </c>
      <c r="AX90" t="e">
        <f t="shared" si="67"/>
        <v>#REF!</v>
      </c>
      <c r="AY90" t="e">
        <f t="shared" si="66"/>
        <v>#REF!</v>
      </c>
      <c r="AZ90" t="e">
        <f t="shared" si="66"/>
        <v>#REF!</v>
      </c>
      <c r="BA90" t="e">
        <f t="shared" si="66"/>
        <v>#REF!</v>
      </c>
      <c r="BB90" t="e">
        <f t="shared" si="57"/>
        <v>#REF!</v>
      </c>
      <c r="BC90" t="e">
        <f t="shared" si="57"/>
        <v>#REF!</v>
      </c>
      <c r="BD90" t="e">
        <f t="shared" si="57"/>
        <v>#REF!</v>
      </c>
      <c r="BE90" t="e">
        <f t="shared" si="57"/>
        <v>#REF!</v>
      </c>
      <c r="BF90" t="e">
        <f t="shared" si="57"/>
        <v>#REF!</v>
      </c>
      <c r="BG90" t="e">
        <f t="shared" si="57"/>
        <v>#REF!</v>
      </c>
      <c r="BH90" t="e">
        <f t="shared" si="57"/>
        <v>#REF!</v>
      </c>
      <c r="BI90" t="e">
        <f t="shared" si="57"/>
        <v>#REF!</v>
      </c>
      <c r="BJ90" t="e">
        <f t="shared" si="57"/>
        <v>#REF!</v>
      </c>
      <c r="BK90" t="e">
        <f t="shared" si="57"/>
        <v>#REF!</v>
      </c>
      <c r="BL90" t="e">
        <f t="shared" si="59"/>
        <v>#REF!</v>
      </c>
      <c r="BM90" t="e">
        <f t="shared" si="59"/>
        <v>#REF!</v>
      </c>
      <c r="BN90" t="e">
        <f t="shared" si="59"/>
        <v>#REF!</v>
      </c>
      <c r="BO90" t="e">
        <f t="shared" si="59"/>
        <v>#REF!</v>
      </c>
      <c r="BP90" t="e">
        <f t="shared" si="59"/>
        <v>#REF!</v>
      </c>
      <c r="BQ90" t="e">
        <f t="shared" si="59"/>
        <v>#REF!</v>
      </c>
      <c r="BR90" t="e">
        <f t="shared" si="59"/>
        <v>#REF!</v>
      </c>
      <c r="BS90" t="e">
        <f t="shared" si="59"/>
        <v>#REF!</v>
      </c>
      <c r="BT90" t="e">
        <f t="shared" si="58"/>
        <v>#REF!</v>
      </c>
      <c r="BU90" t="e">
        <f t="shared" si="58"/>
        <v>#REF!</v>
      </c>
      <c r="BV90" t="e">
        <f t="shared" si="58"/>
        <v>#REF!</v>
      </c>
      <c r="BW90" t="e">
        <f t="shared" si="58"/>
        <v>#REF!</v>
      </c>
      <c r="BX90" t="e">
        <f t="shared" si="58"/>
        <v>#REF!</v>
      </c>
      <c r="BY90" t="e">
        <f t="shared" si="58"/>
        <v>#REF!</v>
      </c>
      <c r="BZ90" t="e">
        <f t="shared" si="58"/>
        <v>#REF!</v>
      </c>
      <c r="CA90" t="e">
        <f t="shared" si="58"/>
        <v>#REF!</v>
      </c>
      <c r="CB90" t="e">
        <f t="shared" si="58"/>
        <v>#REF!</v>
      </c>
      <c r="CC90" t="e">
        <f t="shared" si="54"/>
        <v>#REF!</v>
      </c>
      <c r="CD90" t="e">
        <f t="shared" si="54"/>
        <v>#REF!</v>
      </c>
      <c r="CE90" t="e">
        <f t="shared" si="54"/>
        <v>#REF!</v>
      </c>
      <c r="CF90" t="e">
        <f t="shared" si="54"/>
        <v>#REF!</v>
      </c>
      <c r="CG90" t="e">
        <f t="shared" si="54"/>
        <v>#REF!</v>
      </c>
      <c r="CH90" t="e">
        <f t="shared" si="54"/>
        <v>#REF!</v>
      </c>
      <c r="CI90" t="e">
        <f t="shared" si="54"/>
        <v>#REF!</v>
      </c>
      <c r="CJ90" t="e">
        <f t="shared" si="54"/>
        <v>#REF!</v>
      </c>
      <c r="CK90" t="e">
        <f t="shared" si="54"/>
        <v>#REF!</v>
      </c>
      <c r="CL90" t="e">
        <f t="shared" si="54"/>
        <v>#REF!</v>
      </c>
      <c r="CM90" t="e">
        <f t="shared" si="54"/>
        <v>#REF!</v>
      </c>
      <c r="CN90" t="e">
        <f t="shared" si="54"/>
        <v>#REF!</v>
      </c>
      <c r="CO90" t="e">
        <f t="shared" si="54"/>
        <v>#REF!</v>
      </c>
      <c r="CP90" t="e">
        <f t="shared" si="54"/>
        <v>#REF!</v>
      </c>
      <c r="CQ90" t="e">
        <f t="shared" si="54"/>
        <v>#REF!</v>
      </c>
      <c r="CR90" t="e">
        <f t="shared" si="62"/>
        <v>#REF!</v>
      </c>
      <c r="CS90" t="e">
        <f t="shared" si="62"/>
        <v>#REF!</v>
      </c>
      <c r="CT90" t="e">
        <f t="shared" si="62"/>
        <v>#REF!</v>
      </c>
      <c r="CU90" t="e">
        <f t="shared" si="62"/>
        <v>#REF!</v>
      </c>
      <c r="CV90" t="e">
        <f t="shared" si="62"/>
        <v>#REF!</v>
      </c>
      <c r="CW90" t="e">
        <f t="shared" si="62"/>
        <v>#REF!</v>
      </c>
      <c r="CX90" t="e">
        <f t="shared" si="62"/>
        <v>#REF!</v>
      </c>
      <c r="CY90" t="e">
        <f t="shared" si="62"/>
        <v>#REF!</v>
      </c>
      <c r="CZ90" t="e">
        <f t="shared" si="62"/>
        <v>#REF!</v>
      </c>
      <c r="DA90" t="e">
        <f t="shared" si="62"/>
        <v>#REF!</v>
      </c>
      <c r="DB90" t="e">
        <f t="shared" si="62"/>
        <v>#REF!</v>
      </c>
      <c r="DC90" t="e">
        <f t="shared" si="62"/>
        <v>#REF!</v>
      </c>
      <c r="DD90" t="e">
        <f t="shared" si="62"/>
        <v>#REF!</v>
      </c>
      <c r="DE90" t="e">
        <f t="shared" si="62"/>
        <v>#REF!</v>
      </c>
      <c r="DF90" t="e">
        <f t="shared" si="62"/>
        <v>#REF!</v>
      </c>
      <c r="DG90" t="e">
        <f t="shared" si="62"/>
        <v>#REF!</v>
      </c>
      <c r="DH90" t="e">
        <f t="shared" si="61"/>
        <v>#REF!</v>
      </c>
      <c r="DI90" t="e">
        <f t="shared" si="61"/>
        <v>#REF!</v>
      </c>
      <c r="DJ90" t="e">
        <f t="shared" si="61"/>
        <v>#REF!</v>
      </c>
      <c r="DK90" t="e">
        <f t="shared" si="61"/>
        <v>#REF!</v>
      </c>
      <c r="DL90" t="e">
        <f t="shared" si="61"/>
        <v>#REF!</v>
      </c>
      <c r="DM90" t="e">
        <f t="shared" si="61"/>
        <v>#REF!</v>
      </c>
      <c r="DN90" t="e">
        <f t="shared" si="61"/>
        <v>#REF!</v>
      </c>
      <c r="DO90" t="e">
        <f t="shared" si="61"/>
        <v>#REF!</v>
      </c>
      <c r="DP90" t="e">
        <f t="shared" si="61"/>
        <v>#REF!</v>
      </c>
      <c r="DQ90" t="e">
        <f t="shared" si="61"/>
        <v>#REF!</v>
      </c>
      <c r="DR90" t="e">
        <f t="shared" si="61"/>
        <v>#REF!</v>
      </c>
      <c r="DS90" t="e">
        <f t="shared" si="61"/>
        <v>#REF!</v>
      </c>
      <c r="DT90" t="e">
        <f t="shared" si="61"/>
        <v>#REF!</v>
      </c>
      <c r="DU90" t="e">
        <f t="shared" si="61"/>
        <v>#REF!</v>
      </c>
      <c r="DV90" t="e">
        <f t="shared" si="61"/>
        <v>#REF!</v>
      </c>
      <c r="DW90" t="e">
        <f t="shared" si="63"/>
        <v>#REF!</v>
      </c>
      <c r="DX90" t="e">
        <f t="shared" si="63"/>
        <v>#REF!</v>
      </c>
      <c r="DY90" t="e">
        <f t="shared" si="63"/>
        <v>#REF!</v>
      </c>
      <c r="DZ90" t="e">
        <f t="shared" si="48"/>
        <v>#REF!</v>
      </c>
      <c r="EA90" t="e">
        <f t="shared" si="48"/>
        <v>#REF!</v>
      </c>
      <c r="EB90" t="e">
        <f t="shared" si="48"/>
        <v>#REF!</v>
      </c>
      <c r="EC90" t="e">
        <f t="shared" si="48"/>
        <v>#REF!</v>
      </c>
      <c r="ED90" t="e">
        <f t="shared" si="48"/>
        <v>#REF!</v>
      </c>
      <c r="EE90" t="e">
        <f t="shared" si="48"/>
        <v>#REF!</v>
      </c>
      <c r="EF90" t="e">
        <f t="shared" si="48"/>
        <v>#REF!</v>
      </c>
      <c r="EG90" t="e">
        <f t="shared" si="48"/>
        <v>#REF!</v>
      </c>
      <c r="EH90" t="e">
        <f t="shared" si="50"/>
        <v>#REF!</v>
      </c>
      <c r="EI90" t="e">
        <f t="shared" si="50"/>
        <v>#REF!</v>
      </c>
      <c r="EJ90" t="e">
        <f t="shared" si="50"/>
        <v>#REF!</v>
      </c>
      <c r="EK90" t="e">
        <f t="shared" si="50"/>
        <v>#REF!</v>
      </c>
      <c r="EL90" t="e">
        <f t="shared" si="50"/>
        <v>#REF!</v>
      </c>
      <c r="EM90" t="e">
        <f t="shared" si="50"/>
        <v>#REF!</v>
      </c>
    </row>
    <row r="91" spans="1:143" x14ac:dyDescent="0.4">
      <c r="A91" t="str">
        <f t="shared" si="51"/>
        <v>X</v>
      </c>
      <c r="B91">
        <v>88</v>
      </c>
      <c r="C91" t="e" cm="1">
        <f t="array" ref="C91">INDEX(auto_Series_Code,B91)</f>
        <v>#REF!</v>
      </c>
      <c r="D91" t="e">
        <f t="shared" si="65"/>
        <v>#REF!</v>
      </c>
      <c r="E91" t="e">
        <f t="shared" si="65"/>
        <v>#REF!</v>
      </c>
      <c r="F91" t="e">
        <f t="shared" si="65"/>
        <v>#REF!</v>
      </c>
      <c r="G91" t="e">
        <f t="shared" si="65"/>
        <v>#REF!</v>
      </c>
      <c r="H91" t="e">
        <f t="shared" si="65"/>
        <v>#REF!</v>
      </c>
      <c r="I91" t="e">
        <f t="shared" si="65"/>
        <v>#REF!</v>
      </c>
      <c r="J91" t="e">
        <f t="shared" si="65"/>
        <v>#REF!</v>
      </c>
      <c r="K91" t="e">
        <f t="shared" si="65"/>
        <v>#REF!</v>
      </c>
      <c r="L91" t="e">
        <f t="shared" si="65"/>
        <v>#REF!</v>
      </c>
      <c r="M91" t="e">
        <f t="shared" si="65"/>
        <v>#REF!</v>
      </c>
      <c r="N91" t="e">
        <f t="shared" si="65"/>
        <v>#REF!</v>
      </c>
      <c r="O91" t="e">
        <f t="shared" si="65"/>
        <v>#REF!</v>
      </c>
      <c r="P91" t="e">
        <f t="shared" si="65"/>
        <v>#REF!</v>
      </c>
      <c r="Q91" t="e">
        <f t="shared" si="65"/>
        <v>#REF!</v>
      </c>
      <c r="R91" t="e">
        <f t="shared" si="65"/>
        <v>#REF!</v>
      </c>
      <c r="S91" t="e">
        <f t="shared" si="65"/>
        <v>#REF!</v>
      </c>
      <c r="T91" t="e">
        <f t="shared" si="64"/>
        <v>#REF!</v>
      </c>
      <c r="U91" t="e">
        <f t="shared" si="64"/>
        <v>#REF!</v>
      </c>
      <c r="V91" t="e">
        <f t="shared" si="64"/>
        <v>#REF!</v>
      </c>
      <c r="W91" t="e">
        <f t="shared" si="64"/>
        <v>#REF!</v>
      </c>
      <c r="X91" t="e">
        <f t="shared" si="52"/>
        <v>#REF!</v>
      </c>
      <c r="Y91" t="e">
        <f t="shared" si="52"/>
        <v>#REF!</v>
      </c>
      <c r="Z91" t="e">
        <f t="shared" si="52"/>
        <v>#REF!</v>
      </c>
      <c r="AA91" t="e">
        <f t="shared" si="52"/>
        <v>#REF!</v>
      </c>
      <c r="AB91" t="e">
        <f t="shared" si="52"/>
        <v>#REF!</v>
      </c>
      <c r="AC91" t="e">
        <f t="shared" si="52"/>
        <v>#REF!</v>
      </c>
      <c r="AD91" t="e">
        <f t="shared" si="52"/>
        <v>#REF!</v>
      </c>
      <c r="AE91" t="e">
        <f t="shared" si="52"/>
        <v>#REF!</v>
      </c>
      <c r="AF91" t="e">
        <f t="shared" ref="AF91:AQ116" si="68">MATCH(CONCATENATE(AF$3,"_",$C91),auto_DataFlat_UID,0)</f>
        <v>#REF!</v>
      </c>
      <c r="AG91" t="e">
        <f t="shared" si="68"/>
        <v>#REF!</v>
      </c>
      <c r="AH91" t="e">
        <f t="shared" si="68"/>
        <v>#REF!</v>
      </c>
      <c r="AI91" t="e">
        <f t="shared" si="68"/>
        <v>#REF!</v>
      </c>
      <c r="AJ91" t="e">
        <f t="shared" si="68"/>
        <v>#REF!</v>
      </c>
      <c r="AK91" t="e">
        <f t="shared" si="68"/>
        <v>#REF!</v>
      </c>
      <c r="AL91" t="e">
        <f t="shared" si="68"/>
        <v>#REF!</v>
      </c>
      <c r="AM91" t="e">
        <f t="shared" si="68"/>
        <v>#REF!</v>
      </c>
      <c r="AN91" t="e">
        <f t="shared" si="68"/>
        <v>#REF!</v>
      </c>
      <c r="AO91" t="e">
        <f t="shared" si="68"/>
        <v>#REF!</v>
      </c>
      <c r="AP91" t="e">
        <f t="shared" si="68"/>
        <v>#REF!</v>
      </c>
      <c r="AQ91" t="e">
        <f t="shared" si="68"/>
        <v>#REF!</v>
      </c>
      <c r="AR91" t="e">
        <f t="shared" si="67"/>
        <v>#REF!</v>
      </c>
      <c r="AS91" t="e">
        <f t="shared" si="67"/>
        <v>#REF!</v>
      </c>
      <c r="AT91" t="e">
        <f t="shared" si="67"/>
        <v>#REF!</v>
      </c>
      <c r="AU91" t="e">
        <f t="shared" si="67"/>
        <v>#REF!</v>
      </c>
      <c r="AV91" t="e">
        <f t="shared" si="67"/>
        <v>#REF!</v>
      </c>
      <c r="AW91" t="e">
        <f t="shared" si="67"/>
        <v>#REF!</v>
      </c>
      <c r="AX91" t="e">
        <f t="shared" si="67"/>
        <v>#REF!</v>
      </c>
      <c r="AY91" t="e">
        <f t="shared" si="66"/>
        <v>#REF!</v>
      </c>
      <c r="AZ91" t="e">
        <f t="shared" si="66"/>
        <v>#REF!</v>
      </c>
      <c r="BA91" t="e">
        <f t="shared" si="66"/>
        <v>#REF!</v>
      </c>
      <c r="BB91" t="e">
        <f t="shared" si="57"/>
        <v>#REF!</v>
      </c>
      <c r="BC91" t="e">
        <f t="shared" si="57"/>
        <v>#REF!</v>
      </c>
      <c r="BD91" t="e">
        <f t="shared" si="57"/>
        <v>#REF!</v>
      </c>
      <c r="BE91" t="e">
        <f t="shared" si="57"/>
        <v>#REF!</v>
      </c>
      <c r="BF91" t="e">
        <f t="shared" si="57"/>
        <v>#REF!</v>
      </c>
      <c r="BG91" t="e">
        <f t="shared" si="57"/>
        <v>#REF!</v>
      </c>
      <c r="BH91" t="e">
        <f t="shared" si="57"/>
        <v>#REF!</v>
      </c>
      <c r="BI91" t="e">
        <f t="shared" si="57"/>
        <v>#REF!</v>
      </c>
      <c r="BJ91" t="e">
        <f t="shared" si="57"/>
        <v>#REF!</v>
      </c>
      <c r="BK91" t="e">
        <f t="shared" si="57"/>
        <v>#REF!</v>
      </c>
      <c r="BL91" t="e">
        <f t="shared" si="59"/>
        <v>#REF!</v>
      </c>
      <c r="BM91" t="e">
        <f t="shared" si="59"/>
        <v>#REF!</v>
      </c>
      <c r="BN91" t="e">
        <f t="shared" si="59"/>
        <v>#REF!</v>
      </c>
      <c r="BO91" t="e">
        <f t="shared" si="59"/>
        <v>#REF!</v>
      </c>
      <c r="BP91" t="e">
        <f t="shared" si="59"/>
        <v>#REF!</v>
      </c>
      <c r="BQ91" t="e">
        <f t="shared" si="59"/>
        <v>#REF!</v>
      </c>
      <c r="BR91" t="e">
        <f t="shared" si="59"/>
        <v>#REF!</v>
      </c>
      <c r="BS91" t="e">
        <f t="shared" si="59"/>
        <v>#REF!</v>
      </c>
      <c r="BT91" t="e">
        <f t="shared" si="58"/>
        <v>#REF!</v>
      </c>
      <c r="BU91" t="e">
        <f t="shared" si="58"/>
        <v>#REF!</v>
      </c>
      <c r="BV91" t="e">
        <f t="shared" si="58"/>
        <v>#REF!</v>
      </c>
      <c r="BW91" t="e">
        <f t="shared" si="58"/>
        <v>#REF!</v>
      </c>
      <c r="BX91" t="e">
        <f t="shared" si="58"/>
        <v>#REF!</v>
      </c>
      <c r="BY91" t="e">
        <f t="shared" si="58"/>
        <v>#REF!</v>
      </c>
      <c r="BZ91" t="e">
        <f t="shared" si="58"/>
        <v>#REF!</v>
      </c>
      <c r="CA91" t="e">
        <f t="shared" si="58"/>
        <v>#REF!</v>
      </c>
      <c r="CB91" t="e">
        <f t="shared" si="58"/>
        <v>#REF!</v>
      </c>
      <c r="CC91" t="e">
        <f t="shared" si="54"/>
        <v>#REF!</v>
      </c>
      <c r="CD91" t="e">
        <f t="shared" si="54"/>
        <v>#REF!</v>
      </c>
      <c r="CE91" t="e">
        <f t="shared" si="54"/>
        <v>#REF!</v>
      </c>
      <c r="CF91" t="e">
        <f t="shared" si="54"/>
        <v>#REF!</v>
      </c>
      <c r="CG91" t="e">
        <f t="shared" si="54"/>
        <v>#REF!</v>
      </c>
      <c r="CH91" t="e">
        <f t="shared" si="54"/>
        <v>#REF!</v>
      </c>
      <c r="CI91" t="e">
        <f t="shared" si="54"/>
        <v>#REF!</v>
      </c>
      <c r="CJ91" t="e">
        <f t="shared" si="54"/>
        <v>#REF!</v>
      </c>
      <c r="CK91" t="e">
        <f t="shared" si="54"/>
        <v>#REF!</v>
      </c>
      <c r="CL91" t="e">
        <f t="shared" si="54"/>
        <v>#REF!</v>
      </c>
      <c r="CM91" t="e">
        <f t="shared" si="54"/>
        <v>#REF!</v>
      </c>
      <c r="CN91" t="e">
        <f t="shared" si="54"/>
        <v>#REF!</v>
      </c>
      <c r="CO91" t="e">
        <f t="shared" si="54"/>
        <v>#REF!</v>
      </c>
      <c r="CP91" t="e">
        <f t="shared" si="54"/>
        <v>#REF!</v>
      </c>
      <c r="CQ91" t="e">
        <f t="shared" si="54"/>
        <v>#REF!</v>
      </c>
      <c r="CR91" t="e">
        <f t="shared" si="62"/>
        <v>#REF!</v>
      </c>
      <c r="CS91" t="e">
        <f t="shared" si="62"/>
        <v>#REF!</v>
      </c>
      <c r="CT91" t="e">
        <f t="shared" si="62"/>
        <v>#REF!</v>
      </c>
      <c r="CU91" t="e">
        <f t="shared" si="62"/>
        <v>#REF!</v>
      </c>
      <c r="CV91" t="e">
        <f t="shared" si="62"/>
        <v>#REF!</v>
      </c>
      <c r="CW91" t="e">
        <f t="shared" si="62"/>
        <v>#REF!</v>
      </c>
      <c r="CX91" t="e">
        <f t="shared" si="62"/>
        <v>#REF!</v>
      </c>
      <c r="CY91" t="e">
        <f t="shared" si="62"/>
        <v>#REF!</v>
      </c>
      <c r="CZ91" t="e">
        <f t="shared" si="62"/>
        <v>#REF!</v>
      </c>
      <c r="DA91" t="e">
        <f t="shared" si="62"/>
        <v>#REF!</v>
      </c>
      <c r="DB91" t="e">
        <f t="shared" si="62"/>
        <v>#REF!</v>
      </c>
      <c r="DC91" t="e">
        <f t="shared" si="62"/>
        <v>#REF!</v>
      </c>
      <c r="DD91" t="e">
        <f t="shared" si="62"/>
        <v>#REF!</v>
      </c>
      <c r="DE91" t="e">
        <f t="shared" si="62"/>
        <v>#REF!</v>
      </c>
      <c r="DF91" t="e">
        <f t="shared" si="62"/>
        <v>#REF!</v>
      </c>
      <c r="DG91" t="e">
        <f t="shared" si="62"/>
        <v>#REF!</v>
      </c>
      <c r="DH91" t="e">
        <f t="shared" si="61"/>
        <v>#REF!</v>
      </c>
      <c r="DI91" t="e">
        <f t="shared" si="61"/>
        <v>#REF!</v>
      </c>
      <c r="DJ91" t="e">
        <f t="shared" si="61"/>
        <v>#REF!</v>
      </c>
      <c r="DK91" t="e">
        <f t="shared" si="61"/>
        <v>#REF!</v>
      </c>
      <c r="DL91" t="e">
        <f t="shared" si="61"/>
        <v>#REF!</v>
      </c>
      <c r="DM91" t="e">
        <f t="shared" si="61"/>
        <v>#REF!</v>
      </c>
      <c r="DN91" t="e">
        <f t="shared" si="61"/>
        <v>#REF!</v>
      </c>
      <c r="DO91" t="e">
        <f t="shared" si="61"/>
        <v>#REF!</v>
      </c>
      <c r="DP91" t="e">
        <f t="shared" si="61"/>
        <v>#REF!</v>
      </c>
      <c r="DQ91" t="e">
        <f t="shared" si="61"/>
        <v>#REF!</v>
      </c>
      <c r="DR91" t="e">
        <f t="shared" si="61"/>
        <v>#REF!</v>
      </c>
      <c r="DS91" t="e">
        <f t="shared" si="61"/>
        <v>#REF!</v>
      </c>
      <c r="DT91" t="e">
        <f t="shared" si="61"/>
        <v>#REF!</v>
      </c>
      <c r="DU91" t="e">
        <f t="shared" si="61"/>
        <v>#REF!</v>
      </c>
      <c r="DV91" t="e">
        <f t="shared" si="61"/>
        <v>#REF!</v>
      </c>
      <c r="DW91" t="e">
        <f t="shared" si="63"/>
        <v>#REF!</v>
      </c>
      <c r="DX91" t="e">
        <f t="shared" si="63"/>
        <v>#REF!</v>
      </c>
      <c r="DY91" t="e">
        <f t="shared" si="63"/>
        <v>#REF!</v>
      </c>
      <c r="DZ91" t="e">
        <f t="shared" si="48"/>
        <v>#REF!</v>
      </c>
      <c r="EA91" t="e">
        <f t="shared" si="48"/>
        <v>#REF!</v>
      </c>
      <c r="EB91" t="e">
        <f t="shared" si="48"/>
        <v>#REF!</v>
      </c>
      <c r="EC91" t="e">
        <f t="shared" si="48"/>
        <v>#REF!</v>
      </c>
      <c r="ED91" t="e">
        <f t="shared" si="48"/>
        <v>#REF!</v>
      </c>
      <c r="EE91" t="e">
        <f t="shared" si="48"/>
        <v>#REF!</v>
      </c>
      <c r="EF91" t="e">
        <f t="shared" si="48"/>
        <v>#REF!</v>
      </c>
      <c r="EG91" t="e">
        <f t="shared" si="48"/>
        <v>#REF!</v>
      </c>
      <c r="EH91" t="e">
        <f t="shared" si="50"/>
        <v>#REF!</v>
      </c>
      <c r="EI91" t="e">
        <f t="shared" si="50"/>
        <v>#REF!</v>
      </c>
      <c r="EJ91" t="e">
        <f t="shared" si="50"/>
        <v>#REF!</v>
      </c>
      <c r="EK91" t="e">
        <f t="shared" si="50"/>
        <v>#REF!</v>
      </c>
      <c r="EL91" t="e">
        <f t="shared" si="50"/>
        <v>#REF!</v>
      </c>
      <c r="EM91" t="e">
        <f t="shared" si="50"/>
        <v>#REF!</v>
      </c>
    </row>
    <row r="92" spans="1:143" x14ac:dyDescent="0.4">
      <c r="A92" t="str">
        <f t="shared" si="51"/>
        <v>X</v>
      </c>
      <c r="B92">
        <v>89</v>
      </c>
      <c r="C92" t="e" cm="1">
        <f t="array" ref="C92">INDEX(auto_Series_Code,B92)</f>
        <v>#REF!</v>
      </c>
      <c r="D92" t="e">
        <f t="shared" si="65"/>
        <v>#REF!</v>
      </c>
      <c r="E92" t="e">
        <f t="shared" si="65"/>
        <v>#REF!</v>
      </c>
      <c r="F92" t="e">
        <f t="shared" si="65"/>
        <v>#REF!</v>
      </c>
      <c r="G92" t="e">
        <f t="shared" si="65"/>
        <v>#REF!</v>
      </c>
      <c r="H92" t="e">
        <f t="shared" si="65"/>
        <v>#REF!</v>
      </c>
      <c r="I92" t="e">
        <f t="shared" si="65"/>
        <v>#REF!</v>
      </c>
      <c r="J92" t="e">
        <f t="shared" si="65"/>
        <v>#REF!</v>
      </c>
      <c r="K92" t="e">
        <f t="shared" si="65"/>
        <v>#REF!</v>
      </c>
      <c r="L92" t="e">
        <f t="shared" si="65"/>
        <v>#REF!</v>
      </c>
      <c r="M92" t="e">
        <f t="shared" si="65"/>
        <v>#REF!</v>
      </c>
      <c r="N92" t="e">
        <f t="shared" si="65"/>
        <v>#REF!</v>
      </c>
      <c r="O92" t="e">
        <f t="shared" si="65"/>
        <v>#REF!</v>
      </c>
      <c r="P92" t="e">
        <f t="shared" si="65"/>
        <v>#REF!</v>
      </c>
      <c r="Q92" t="e">
        <f t="shared" si="65"/>
        <v>#REF!</v>
      </c>
      <c r="R92" t="e">
        <f t="shared" si="65"/>
        <v>#REF!</v>
      </c>
      <c r="S92" t="e">
        <f t="shared" si="65"/>
        <v>#REF!</v>
      </c>
      <c r="T92" t="e">
        <f t="shared" si="64"/>
        <v>#REF!</v>
      </c>
      <c r="U92" t="e">
        <f t="shared" si="64"/>
        <v>#REF!</v>
      </c>
      <c r="V92" t="e">
        <f t="shared" si="64"/>
        <v>#REF!</v>
      </c>
      <c r="W92" t="e">
        <f t="shared" si="64"/>
        <v>#REF!</v>
      </c>
      <c r="X92" t="e">
        <f t="shared" si="64"/>
        <v>#REF!</v>
      </c>
      <c r="Y92" t="e">
        <f t="shared" si="64"/>
        <v>#REF!</v>
      </c>
      <c r="Z92" t="e">
        <f t="shared" si="64"/>
        <v>#REF!</v>
      </c>
      <c r="AA92" t="e">
        <f t="shared" si="64"/>
        <v>#REF!</v>
      </c>
      <c r="AB92" t="e">
        <f t="shared" si="64"/>
        <v>#REF!</v>
      </c>
      <c r="AC92" t="e">
        <f t="shared" si="64"/>
        <v>#REF!</v>
      </c>
      <c r="AD92" t="e">
        <f t="shared" si="64"/>
        <v>#REF!</v>
      </c>
      <c r="AE92" t="e">
        <f t="shared" si="64"/>
        <v>#REF!</v>
      </c>
      <c r="AF92" t="e">
        <f t="shared" si="64"/>
        <v>#REF!</v>
      </c>
      <c r="AG92" t="e">
        <f t="shared" si="64"/>
        <v>#REF!</v>
      </c>
      <c r="AH92" t="e">
        <f t="shared" si="68"/>
        <v>#REF!</v>
      </c>
      <c r="AI92" t="e">
        <f t="shared" si="68"/>
        <v>#REF!</v>
      </c>
      <c r="AJ92" t="e">
        <f t="shared" si="68"/>
        <v>#REF!</v>
      </c>
      <c r="AK92" t="e">
        <f t="shared" si="68"/>
        <v>#REF!</v>
      </c>
      <c r="AL92" t="e">
        <f t="shared" si="68"/>
        <v>#REF!</v>
      </c>
      <c r="AM92" t="e">
        <f t="shared" si="68"/>
        <v>#REF!</v>
      </c>
      <c r="AN92" t="e">
        <f t="shared" si="68"/>
        <v>#REF!</v>
      </c>
      <c r="AO92" t="e">
        <f t="shared" si="68"/>
        <v>#REF!</v>
      </c>
      <c r="AP92" t="e">
        <f t="shared" si="68"/>
        <v>#REF!</v>
      </c>
      <c r="AQ92" t="e">
        <f t="shared" si="68"/>
        <v>#REF!</v>
      </c>
      <c r="AR92" t="e">
        <f t="shared" si="67"/>
        <v>#REF!</v>
      </c>
      <c r="AS92" t="e">
        <f t="shared" si="67"/>
        <v>#REF!</v>
      </c>
      <c r="AT92" t="e">
        <f t="shared" si="67"/>
        <v>#REF!</v>
      </c>
      <c r="AU92" t="e">
        <f t="shared" si="67"/>
        <v>#REF!</v>
      </c>
      <c r="AV92" t="e">
        <f t="shared" si="67"/>
        <v>#REF!</v>
      </c>
      <c r="AW92" t="e">
        <f t="shared" si="67"/>
        <v>#REF!</v>
      </c>
      <c r="AX92" t="e">
        <f t="shared" si="67"/>
        <v>#REF!</v>
      </c>
      <c r="AY92" t="e">
        <f t="shared" si="66"/>
        <v>#REF!</v>
      </c>
      <c r="AZ92" t="e">
        <f t="shared" si="66"/>
        <v>#REF!</v>
      </c>
      <c r="BA92" t="e">
        <f t="shared" si="66"/>
        <v>#REF!</v>
      </c>
      <c r="BB92" t="e">
        <f t="shared" si="57"/>
        <v>#REF!</v>
      </c>
      <c r="BC92" t="e">
        <f t="shared" si="57"/>
        <v>#REF!</v>
      </c>
      <c r="BD92" t="e">
        <f t="shared" si="57"/>
        <v>#REF!</v>
      </c>
      <c r="BE92" t="e">
        <f t="shared" si="57"/>
        <v>#REF!</v>
      </c>
      <c r="BF92" t="e">
        <f t="shared" si="57"/>
        <v>#REF!</v>
      </c>
      <c r="BG92" t="e">
        <f t="shared" ref="BG92:BK92" si="69">MATCH(CONCATENATE(BG$3,"_",$C92),auto_DataFlat_UID,0)</f>
        <v>#REF!</v>
      </c>
      <c r="BH92" t="e">
        <f t="shared" si="69"/>
        <v>#REF!</v>
      </c>
      <c r="BI92" t="e">
        <f t="shared" si="69"/>
        <v>#REF!</v>
      </c>
      <c r="BJ92" t="e">
        <f t="shared" si="69"/>
        <v>#REF!</v>
      </c>
      <c r="BK92" t="e">
        <f t="shared" si="69"/>
        <v>#REF!</v>
      </c>
      <c r="BL92" t="e">
        <f t="shared" si="59"/>
        <v>#REF!</v>
      </c>
      <c r="BM92" t="e">
        <f t="shared" si="59"/>
        <v>#REF!</v>
      </c>
      <c r="BN92" t="e">
        <f t="shared" si="59"/>
        <v>#REF!</v>
      </c>
      <c r="BO92" t="e">
        <f t="shared" si="59"/>
        <v>#REF!</v>
      </c>
      <c r="BP92" t="e">
        <f t="shared" si="59"/>
        <v>#REF!</v>
      </c>
      <c r="BQ92" t="e">
        <f t="shared" si="59"/>
        <v>#REF!</v>
      </c>
      <c r="BR92" t="e">
        <f t="shared" si="59"/>
        <v>#REF!</v>
      </c>
      <c r="BS92" t="e">
        <f t="shared" si="59"/>
        <v>#REF!</v>
      </c>
      <c r="BT92" t="e">
        <f t="shared" si="58"/>
        <v>#REF!</v>
      </c>
      <c r="BU92" t="e">
        <f t="shared" si="58"/>
        <v>#REF!</v>
      </c>
      <c r="BV92" t="e">
        <f t="shared" si="58"/>
        <v>#REF!</v>
      </c>
      <c r="BW92" t="e">
        <f t="shared" si="58"/>
        <v>#REF!</v>
      </c>
      <c r="BX92" t="e">
        <f t="shared" si="58"/>
        <v>#REF!</v>
      </c>
      <c r="BY92" t="e">
        <f t="shared" si="58"/>
        <v>#REF!</v>
      </c>
      <c r="BZ92" t="e">
        <f t="shared" si="58"/>
        <v>#REF!</v>
      </c>
      <c r="CA92" t="e">
        <f t="shared" si="58"/>
        <v>#REF!</v>
      </c>
      <c r="CB92" t="e">
        <f t="shared" si="58"/>
        <v>#REF!</v>
      </c>
      <c r="CC92" t="e">
        <f t="shared" si="54"/>
        <v>#REF!</v>
      </c>
      <c r="CD92" t="e">
        <f t="shared" si="54"/>
        <v>#REF!</v>
      </c>
      <c r="CE92" t="e">
        <f t="shared" si="54"/>
        <v>#REF!</v>
      </c>
      <c r="CF92" t="e">
        <f t="shared" si="54"/>
        <v>#REF!</v>
      </c>
      <c r="CG92" t="e">
        <f t="shared" si="54"/>
        <v>#REF!</v>
      </c>
      <c r="CH92" t="e">
        <f t="shared" ref="CH92:CW122" si="70">MATCH(CONCATENATE(CH$3,"_",$C92),auto_DataFlat_UID,0)</f>
        <v>#REF!</v>
      </c>
      <c r="CI92" t="e">
        <f t="shared" si="70"/>
        <v>#REF!</v>
      </c>
      <c r="CJ92" t="e">
        <f t="shared" si="70"/>
        <v>#REF!</v>
      </c>
      <c r="CK92" t="e">
        <f t="shared" si="70"/>
        <v>#REF!</v>
      </c>
      <c r="CL92" t="e">
        <f t="shared" si="70"/>
        <v>#REF!</v>
      </c>
      <c r="CM92" t="e">
        <f t="shared" si="70"/>
        <v>#REF!</v>
      </c>
      <c r="CN92" t="e">
        <f t="shared" si="70"/>
        <v>#REF!</v>
      </c>
      <c r="CO92" t="e">
        <f t="shared" si="70"/>
        <v>#REF!</v>
      </c>
      <c r="CP92" t="e">
        <f t="shared" si="70"/>
        <v>#REF!</v>
      </c>
      <c r="CQ92" t="e">
        <f t="shared" si="70"/>
        <v>#REF!</v>
      </c>
      <c r="CR92" t="e">
        <f t="shared" si="70"/>
        <v>#REF!</v>
      </c>
      <c r="CS92" t="e">
        <f t="shared" si="70"/>
        <v>#REF!</v>
      </c>
      <c r="CT92" t="e">
        <f t="shared" si="70"/>
        <v>#REF!</v>
      </c>
      <c r="CU92" t="e">
        <f t="shared" si="70"/>
        <v>#REF!</v>
      </c>
      <c r="CV92" t="e">
        <f t="shared" si="70"/>
        <v>#REF!</v>
      </c>
      <c r="CW92" t="e">
        <f t="shared" si="70"/>
        <v>#REF!</v>
      </c>
      <c r="CX92" t="e">
        <f t="shared" si="62"/>
        <v>#REF!</v>
      </c>
      <c r="CY92" t="e">
        <f t="shared" si="62"/>
        <v>#REF!</v>
      </c>
      <c r="CZ92" t="e">
        <f t="shared" si="62"/>
        <v>#REF!</v>
      </c>
      <c r="DA92" t="e">
        <f t="shared" si="62"/>
        <v>#REF!</v>
      </c>
      <c r="DB92" t="e">
        <f t="shared" si="62"/>
        <v>#REF!</v>
      </c>
      <c r="DC92" t="e">
        <f t="shared" si="62"/>
        <v>#REF!</v>
      </c>
      <c r="DD92" t="e">
        <f t="shared" si="62"/>
        <v>#REF!</v>
      </c>
      <c r="DE92" t="e">
        <f t="shared" si="62"/>
        <v>#REF!</v>
      </c>
      <c r="DF92" t="e">
        <f t="shared" si="62"/>
        <v>#REF!</v>
      </c>
      <c r="DG92" t="e">
        <f t="shared" si="62"/>
        <v>#REF!</v>
      </c>
      <c r="DH92" t="e">
        <f t="shared" si="61"/>
        <v>#REF!</v>
      </c>
      <c r="DI92" t="e">
        <f t="shared" si="61"/>
        <v>#REF!</v>
      </c>
      <c r="DJ92" t="e">
        <f t="shared" si="61"/>
        <v>#REF!</v>
      </c>
      <c r="DK92" t="e">
        <f t="shared" si="61"/>
        <v>#REF!</v>
      </c>
      <c r="DL92" t="e">
        <f t="shared" si="61"/>
        <v>#REF!</v>
      </c>
      <c r="DM92" t="e">
        <f t="shared" si="61"/>
        <v>#REF!</v>
      </c>
      <c r="DN92" t="e">
        <f t="shared" si="61"/>
        <v>#REF!</v>
      </c>
      <c r="DO92" t="e">
        <f t="shared" si="61"/>
        <v>#REF!</v>
      </c>
      <c r="DP92" t="e">
        <f t="shared" si="61"/>
        <v>#REF!</v>
      </c>
      <c r="DQ92" t="e">
        <f t="shared" si="61"/>
        <v>#REF!</v>
      </c>
      <c r="DR92" t="e">
        <f t="shared" si="61"/>
        <v>#REF!</v>
      </c>
      <c r="DS92" t="e">
        <f t="shared" si="61"/>
        <v>#REF!</v>
      </c>
      <c r="DT92" t="e">
        <f t="shared" si="61"/>
        <v>#REF!</v>
      </c>
      <c r="DU92" t="e">
        <f t="shared" si="61"/>
        <v>#REF!</v>
      </c>
      <c r="DV92" t="e">
        <f t="shared" si="61"/>
        <v>#REF!</v>
      </c>
      <c r="DW92" t="e">
        <f t="shared" si="63"/>
        <v>#REF!</v>
      </c>
      <c r="DX92" t="e">
        <f t="shared" si="63"/>
        <v>#REF!</v>
      </c>
      <c r="DY92" t="e">
        <f t="shared" si="63"/>
        <v>#REF!</v>
      </c>
      <c r="DZ92" t="e">
        <f t="shared" si="48"/>
        <v>#REF!</v>
      </c>
      <c r="EA92" t="e">
        <f t="shared" si="48"/>
        <v>#REF!</v>
      </c>
      <c r="EB92" t="e">
        <f t="shared" si="48"/>
        <v>#REF!</v>
      </c>
      <c r="EC92" t="e">
        <f t="shared" si="48"/>
        <v>#REF!</v>
      </c>
      <c r="ED92" t="e">
        <f t="shared" si="48"/>
        <v>#REF!</v>
      </c>
      <c r="EE92" t="e">
        <f t="shared" si="48"/>
        <v>#REF!</v>
      </c>
      <c r="EF92" t="e">
        <f t="shared" si="48"/>
        <v>#REF!</v>
      </c>
      <c r="EG92" t="e">
        <f t="shared" si="48"/>
        <v>#REF!</v>
      </c>
      <c r="EH92" t="e">
        <f t="shared" si="50"/>
        <v>#REF!</v>
      </c>
      <c r="EI92" t="e">
        <f t="shared" si="50"/>
        <v>#REF!</v>
      </c>
      <c r="EJ92" t="e">
        <f t="shared" si="50"/>
        <v>#REF!</v>
      </c>
      <c r="EK92" t="e">
        <f t="shared" si="50"/>
        <v>#REF!</v>
      </c>
      <c r="EL92" t="e">
        <f t="shared" si="50"/>
        <v>#REF!</v>
      </c>
      <c r="EM92" t="e">
        <f t="shared" si="50"/>
        <v>#REF!</v>
      </c>
    </row>
    <row r="93" spans="1:143" x14ac:dyDescent="0.4">
      <c r="A93" t="str">
        <f t="shared" si="51"/>
        <v>X</v>
      </c>
      <c r="B93">
        <v>90</v>
      </c>
      <c r="C93" t="e" cm="1">
        <f t="array" ref="C93">INDEX(auto_Series_Code,B93)</f>
        <v>#REF!</v>
      </c>
      <c r="D93" t="e">
        <f t="shared" si="65"/>
        <v>#REF!</v>
      </c>
      <c r="E93" t="e">
        <f t="shared" si="65"/>
        <v>#REF!</v>
      </c>
      <c r="F93" t="e">
        <f t="shared" si="65"/>
        <v>#REF!</v>
      </c>
      <c r="G93" t="e">
        <f t="shared" si="65"/>
        <v>#REF!</v>
      </c>
      <c r="H93" t="e">
        <f t="shared" si="65"/>
        <v>#REF!</v>
      </c>
      <c r="I93" t="e">
        <f t="shared" si="65"/>
        <v>#REF!</v>
      </c>
      <c r="J93" t="e">
        <f t="shared" si="65"/>
        <v>#REF!</v>
      </c>
      <c r="K93" t="e">
        <f t="shared" si="65"/>
        <v>#REF!</v>
      </c>
      <c r="L93" t="e">
        <f t="shared" si="65"/>
        <v>#REF!</v>
      </c>
      <c r="M93" t="e">
        <f t="shared" si="65"/>
        <v>#REF!</v>
      </c>
      <c r="N93" t="e">
        <f t="shared" si="65"/>
        <v>#REF!</v>
      </c>
      <c r="O93" t="e">
        <f t="shared" si="65"/>
        <v>#REF!</v>
      </c>
      <c r="P93" t="e">
        <f t="shared" si="65"/>
        <v>#REF!</v>
      </c>
      <c r="Q93" t="e">
        <f t="shared" si="65"/>
        <v>#REF!</v>
      </c>
      <c r="R93" t="e">
        <f t="shared" si="65"/>
        <v>#REF!</v>
      </c>
      <c r="S93" t="e">
        <f t="shared" si="65"/>
        <v>#REF!</v>
      </c>
      <c r="T93" t="e">
        <f t="shared" si="64"/>
        <v>#REF!</v>
      </c>
      <c r="U93" t="e">
        <f t="shared" si="64"/>
        <v>#REF!</v>
      </c>
      <c r="V93" t="e">
        <f t="shared" si="64"/>
        <v>#REF!</v>
      </c>
      <c r="W93" t="e">
        <f t="shared" si="64"/>
        <v>#REF!</v>
      </c>
      <c r="X93" t="e">
        <f t="shared" si="64"/>
        <v>#REF!</v>
      </c>
      <c r="Y93" t="e">
        <f t="shared" si="64"/>
        <v>#REF!</v>
      </c>
      <c r="Z93" t="e">
        <f t="shared" si="64"/>
        <v>#REF!</v>
      </c>
      <c r="AA93" t="e">
        <f t="shared" si="64"/>
        <v>#REF!</v>
      </c>
      <c r="AB93" t="e">
        <f t="shared" si="64"/>
        <v>#REF!</v>
      </c>
      <c r="AC93" t="e">
        <f t="shared" si="64"/>
        <v>#REF!</v>
      </c>
      <c r="AD93" t="e">
        <f t="shared" si="64"/>
        <v>#REF!</v>
      </c>
      <c r="AE93" t="e">
        <f t="shared" si="64"/>
        <v>#REF!</v>
      </c>
      <c r="AF93" t="e">
        <f t="shared" si="64"/>
        <v>#REF!</v>
      </c>
      <c r="AG93" t="e">
        <f t="shared" si="64"/>
        <v>#REF!</v>
      </c>
      <c r="AH93" t="e">
        <f t="shared" si="68"/>
        <v>#REF!</v>
      </c>
      <c r="AI93" t="e">
        <f t="shared" si="68"/>
        <v>#REF!</v>
      </c>
      <c r="AJ93" t="e">
        <f t="shared" si="68"/>
        <v>#REF!</v>
      </c>
      <c r="AK93" t="e">
        <f t="shared" si="68"/>
        <v>#REF!</v>
      </c>
      <c r="AL93" t="e">
        <f t="shared" si="68"/>
        <v>#REF!</v>
      </c>
      <c r="AM93" t="e">
        <f t="shared" si="68"/>
        <v>#REF!</v>
      </c>
      <c r="AN93" t="e">
        <f t="shared" si="68"/>
        <v>#REF!</v>
      </c>
      <c r="AO93" t="e">
        <f t="shared" si="68"/>
        <v>#REF!</v>
      </c>
      <c r="AP93" t="e">
        <f t="shared" si="68"/>
        <v>#REF!</v>
      </c>
      <c r="AQ93" t="e">
        <f t="shared" si="68"/>
        <v>#REF!</v>
      </c>
      <c r="AR93" t="e">
        <f t="shared" si="67"/>
        <v>#REF!</v>
      </c>
      <c r="AS93" t="e">
        <f t="shared" si="67"/>
        <v>#REF!</v>
      </c>
      <c r="AT93" t="e">
        <f t="shared" si="67"/>
        <v>#REF!</v>
      </c>
      <c r="AU93" t="e">
        <f t="shared" si="67"/>
        <v>#REF!</v>
      </c>
      <c r="AV93" t="e">
        <f t="shared" si="67"/>
        <v>#REF!</v>
      </c>
      <c r="AW93" t="e">
        <f t="shared" si="67"/>
        <v>#REF!</v>
      </c>
      <c r="AX93" t="e">
        <f t="shared" si="67"/>
        <v>#REF!</v>
      </c>
      <c r="AY93" t="e">
        <f t="shared" si="66"/>
        <v>#REF!</v>
      </c>
      <c r="AZ93" t="e">
        <f t="shared" si="66"/>
        <v>#REF!</v>
      </c>
      <c r="BA93" t="e">
        <f t="shared" si="66"/>
        <v>#REF!</v>
      </c>
      <c r="BB93" t="e">
        <f t="shared" si="66"/>
        <v>#REF!</v>
      </c>
      <c r="BC93" t="e">
        <f t="shared" si="66"/>
        <v>#REF!</v>
      </c>
      <c r="BD93" t="e">
        <f t="shared" si="66"/>
        <v>#REF!</v>
      </c>
      <c r="BE93" t="e">
        <f t="shared" si="66"/>
        <v>#REF!</v>
      </c>
      <c r="BF93" t="e">
        <f t="shared" si="66"/>
        <v>#REF!</v>
      </c>
      <c r="BG93" t="e">
        <f t="shared" si="66"/>
        <v>#REF!</v>
      </c>
      <c r="BH93" t="e">
        <f t="shared" si="66"/>
        <v>#REF!</v>
      </c>
      <c r="BI93" t="e">
        <f t="shared" si="66"/>
        <v>#REF!</v>
      </c>
      <c r="BJ93" t="e">
        <f t="shared" si="66"/>
        <v>#REF!</v>
      </c>
      <c r="BK93" t="e">
        <f t="shared" si="66"/>
        <v>#REF!</v>
      </c>
      <c r="BL93" t="e">
        <f t="shared" si="59"/>
        <v>#REF!</v>
      </c>
      <c r="BM93" t="e">
        <f t="shared" si="59"/>
        <v>#REF!</v>
      </c>
      <c r="BN93" t="e">
        <f t="shared" si="59"/>
        <v>#REF!</v>
      </c>
      <c r="BO93" t="e">
        <f t="shared" si="59"/>
        <v>#REF!</v>
      </c>
      <c r="BP93" t="e">
        <f t="shared" si="59"/>
        <v>#REF!</v>
      </c>
      <c r="BQ93" t="e">
        <f t="shared" si="59"/>
        <v>#REF!</v>
      </c>
      <c r="BR93" t="e">
        <f t="shared" si="59"/>
        <v>#REF!</v>
      </c>
      <c r="BS93" t="e">
        <f t="shared" si="59"/>
        <v>#REF!</v>
      </c>
      <c r="BT93" t="e">
        <f t="shared" si="58"/>
        <v>#REF!</v>
      </c>
      <c r="BU93" t="e">
        <f t="shared" si="58"/>
        <v>#REF!</v>
      </c>
      <c r="BV93" t="e">
        <f t="shared" si="58"/>
        <v>#REF!</v>
      </c>
      <c r="BW93" t="e">
        <f t="shared" si="58"/>
        <v>#REF!</v>
      </c>
      <c r="BX93" t="e">
        <f t="shared" si="58"/>
        <v>#REF!</v>
      </c>
      <c r="BY93" t="e">
        <f t="shared" si="58"/>
        <v>#REF!</v>
      </c>
      <c r="BZ93" t="e">
        <f t="shared" si="58"/>
        <v>#REF!</v>
      </c>
      <c r="CA93" t="e">
        <f t="shared" si="58"/>
        <v>#REF!</v>
      </c>
      <c r="CB93" t="e">
        <f t="shared" si="58"/>
        <v>#REF!</v>
      </c>
      <c r="CC93" t="e">
        <f t="shared" ref="CC93:CO116" si="71">MATCH(CONCATENATE(CC$3,"_",$C93),auto_DataFlat_UID,0)</f>
        <v>#REF!</v>
      </c>
      <c r="CD93" t="e">
        <f t="shared" si="71"/>
        <v>#REF!</v>
      </c>
      <c r="CE93" t="e">
        <f t="shared" si="71"/>
        <v>#REF!</v>
      </c>
      <c r="CF93" t="e">
        <f t="shared" si="71"/>
        <v>#REF!</v>
      </c>
      <c r="CG93" t="e">
        <f t="shared" si="71"/>
        <v>#REF!</v>
      </c>
      <c r="CH93" t="e">
        <f t="shared" si="71"/>
        <v>#REF!</v>
      </c>
      <c r="CI93" t="e">
        <f t="shared" si="71"/>
        <v>#REF!</v>
      </c>
      <c r="CJ93" t="e">
        <f t="shared" si="71"/>
        <v>#REF!</v>
      </c>
      <c r="CK93" t="e">
        <f t="shared" si="71"/>
        <v>#REF!</v>
      </c>
      <c r="CL93" t="e">
        <f t="shared" si="71"/>
        <v>#REF!</v>
      </c>
      <c r="CM93" t="e">
        <f t="shared" si="71"/>
        <v>#REF!</v>
      </c>
      <c r="CN93" t="e">
        <f t="shared" si="71"/>
        <v>#REF!</v>
      </c>
      <c r="CO93" t="e">
        <f t="shared" si="71"/>
        <v>#REF!</v>
      </c>
      <c r="CP93" t="e">
        <f t="shared" si="70"/>
        <v>#REF!</v>
      </c>
      <c r="CQ93" t="e">
        <f t="shared" si="70"/>
        <v>#REF!</v>
      </c>
      <c r="CR93" t="e">
        <f t="shared" si="70"/>
        <v>#REF!</v>
      </c>
      <c r="CS93" t="e">
        <f t="shared" si="70"/>
        <v>#REF!</v>
      </c>
      <c r="CT93" t="e">
        <f t="shared" si="70"/>
        <v>#REF!</v>
      </c>
      <c r="CU93" t="e">
        <f t="shared" si="70"/>
        <v>#REF!</v>
      </c>
      <c r="CV93" t="e">
        <f t="shared" si="70"/>
        <v>#REF!</v>
      </c>
      <c r="CW93" t="e">
        <f t="shared" si="70"/>
        <v>#REF!</v>
      </c>
      <c r="CX93" t="e">
        <f t="shared" si="62"/>
        <v>#REF!</v>
      </c>
      <c r="CY93" t="e">
        <f t="shared" si="62"/>
        <v>#REF!</v>
      </c>
      <c r="CZ93" t="e">
        <f t="shared" si="62"/>
        <v>#REF!</v>
      </c>
      <c r="DA93" t="e">
        <f t="shared" si="62"/>
        <v>#REF!</v>
      </c>
      <c r="DB93" t="e">
        <f t="shared" si="62"/>
        <v>#REF!</v>
      </c>
      <c r="DC93" t="e">
        <f t="shared" si="62"/>
        <v>#REF!</v>
      </c>
      <c r="DD93" t="e">
        <f t="shared" si="62"/>
        <v>#REF!</v>
      </c>
      <c r="DE93" t="e">
        <f t="shared" si="62"/>
        <v>#REF!</v>
      </c>
      <c r="DF93" t="e">
        <f t="shared" si="62"/>
        <v>#REF!</v>
      </c>
      <c r="DG93" t="e">
        <f t="shared" si="62"/>
        <v>#REF!</v>
      </c>
      <c r="DH93" t="e">
        <f t="shared" si="61"/>
        <v>#REF!</v>
      </c>
      <c r="DI93" t="e">
        <f t="shared" si="61"/>
        <v>#REF!</v>
      </c>
      <c r="DJ93" t="e">
        <f t="shared" si="61"/>
        <v>#REF!</v>
      </c>
      <c r="DK93" t="e">
        <f t="shared" si="61"/>
        <v>#REF!</v>
      </c>
      <c r="DL93" t="e">
        <f t="shared" si="61"/>
        <v>#REF!</v>
      </c>
      <c r="DM93" t="e">
        <f t="shared" si="61"/>
        <v>#REF!</v>
      </c>
      <c r="DN93" t="e">
        <f t="shared" si="61"/>
        <v>#REF!</v>
      </c>
      <c r="DO93" t="e">
        <f t="shared" si="61"/>
        <v>#REF!</v>
      </c>
      <c r="DP93" t="e">
        <f t="shared" si="61"/>
        <v>#REF!</v>
      </c>
      <c r="DQ93" t="e">
        <f t="shared" si="61"/>
        <v>#REF!</v>
      </c>
      <c r="DR93" t="e">
        <f t="shared" si="61"/>
        <v>#REF!</v>
      </c>
      <c r="DS93" t="e">
        <f t="shared" si="61"/>
        <v>#REF!</v>
      </c>
      <c r="DT93" t="e">
        <f t="shared" si="61"/>
        <v>#REF!</v>
      </c>
      <c r="DU93" t="e">
        <f t="shared" si="61"/>
        <v>#REF!</v>
      </c>
      <c r="DV93" t="e">
        <f t="shared" si="61"/>
        <v>#REF!</v>
      </c>
      <c r="DW93" t="e">
        <f t="shared" si="63"/>
        <v>#REF!</v>
      </c>
      <c r="DX93" t="e">
        <f t="shared" si="63"/>
        <v>#REF!</v>
      </c>
      <c r="DY93" t="e">
        <f t="shared" si="63"/>
        <v>#REF!</v>
      </c>
      <c r="DZ93" t="e">
        <f t="shared" si="48"/>
        <v>#REF!</v>
      </c>
      <c r="EA93" t="e">
        <f t="shared" si="48"/>
        <v>#REF!</v>
      </c>
      <c r="EB93" t="e">
        <f t="shared" si="48"/>
        <v>#REF!</v>
      </c>
      <c r="EC93" t="e">
        <f t="shared" si="48"/>
        <v>#REF!</v>
      </c>
      <c r="ED93" t="e">
        <f t="shared" si="48"/>
        <v>#REF!</v>
      </c>
      <c r="EE93" t="e">
        <f t="shared" si="48"/>
        <v>#REF!</v>
      </c>
      <c r="EF93" t="e">
        <f t="shared" si="48"/>
        <v>#REF!</v>
      </c>
      <c r="EG93" t="e">
        <f t="shared" si="48"/>
        <v>#REF!</v>
      </c>
      <c r="EH93" t="e">
        <f t="shared" si="50"/>
        <v>#REF!</v>
      </c>
      <c r="EI93" t="e">
        <f t="shared" si="50"/>
        <v>#REF!</v>
      </c>
      <c r="EJ93" t="e">
        <f t="shared" si="50"/>
        <v>#REF!</v>
      </c>
      <c r="EK93" t="e">
        <f t="shared" si="50"/>
        <v>#REF!</v>
      </c>
      <c r="EL93" t="e">
        <f t="shared" si="50"/>
        <v>#REF!</v>
      </c>
      <c r="EM93" t="e">
        <f t="shared" si="50"/>
        <v>#REF!</v>
      </c>
    </row>
    <row r="94" spans="1:143" x14ac:dyDescent="0.4">
      <c r="A94" t="str">
        <f t="shared" si="51"/>
        <v>X</v>
      </c>
      <c r="B94">
        <v>91</v>
      </c>
      <c r="C94" t="e" cm="1">
        <f t="array" ref="C94">INDEX(auto_Series_Code,B94)</f>
        <v>#REF!</v>
      </c>
      <c r="D94" t="e">
        <f t="shared" si="65"/>
        <v>#REF!</v>
      </c>
      <c r="E94" t="e">
        <f t="shared" si="65"/>
        <v>#REF!</v>
      </c>
      <c r="F94" t="e">
        <f t="shared" si="65"/>
        <v>#REF!</v>
      </c>
      <c r="G94" t="e">
        <f t="shared" si="65"/>
        <v>#REF!</v>
      </c>
      <c r="H94" t="e">
        <f t="shared" si="65"/>
        <v>#REF!</v>
      </c>
      <c r="I94" t="e">
        <f t="shared" si="65"/>
        <v>#REF!</v>
      </c>
      <c r="J94" t="e">
        <f t="shared" si="65"/>
        <v>#REF!</v>
      </c>
      <c r="K94" t="e">
        <f t="shared" si="65"/>
        <v>#REF!</v>
      </c>
      <c r="L94" t="e">
        <f t="shared" si="65"/>
        <v>#REF!</v>
      </c>
      <c r="M94" t="e">
        <f t="shared" si="65"/>
        <v>#REF!</v>
      </c>
      <c r="N94" t="e">
        <f t="shared" si="65"/>
        <v>#REF!</v>
      </c>
      <c r="O94" t="e">
        <f t="shared" si="65"/>
        <v>#REF!</v>
      </c>
      <c r="P94" t="e">
        <f t="shared" si="65"/>
        <v>#REF!</v>
      </c>
      <c r="Q94" t="e">
        <f t="shared" si="65"/>
        <v>#REF!</v>
      </c>
      <c r="R94" t="e">
        <f t="shared" si="65"/>
        <v>#REF!</v>
      </c>
      <c r="S94" t="e">
        <f t="shared" si="65"/>
        <v>#REF!</v>
      </c>
      <c r="T94" t="e">
        <f t="shared" si="64"/>
        <v>#REF!</v>
      </c>
      <c r="U94" t="e">
        <f t="shared" si="64"/>
        <v>#REF!</v>
      </c>
      <c r="V94" t="e">
        <f t="shared" si="64"/>
        <v>#REF!</v>
      </c>
      <c r="W94" t="e">
        <f t="shared" si="64"/>
        <v>#REF!</v>
      </c>
      <c r="X94" t="e">
        <f t="shared" si="64"/>
        <v>#REF!</v>
      </c>
      <c r="Y94" t="e">
        <f t="shared" si="64"/>
        <v>#REF!</v>
      </c>
      <c r="Z94" t="e">
        <f t="shared" si="64"/>
        <v>#REF!</v>
      </c>
      <c r="AA94" t="e">
        <f t="shared" si="64"/>
        <v>#REF!</v>
      </c>
      <c r="AB94" t="e">
        <f t="shared" si="64"/>
        <v>#REF!</v>
      </c>
      <c r="AC94" t="e">
        <f t="shared" si="64"/>
        <v>#REF!</v>
      </c>
      <c r="AD94" t="e">
        <f t="shared" si="64"/>
        <v>#REF!</v>
      </c>
      <c r="AE94" t="e">
        <f t="shared" si="64"/>
        <v>#REF!</v>
      </c>
      <c r="AF94" t="e">
        <f t="shared" si="64"/>
        <v>#REF!</v>
      </c>
      <c r="AG94" t="e">
        <f t="shared" si="64"/>
        <v>#REF!</v>
      </c>
      <c r="AH94" t="e">
        <f t="shared" si="68"/>
        <v>#REF!</v>
      </c>
      <c r="AI94" t="e">
        <f t="shared" si="68"/>
        <v>#REF!</v>
      </c>
      <c r="AJ94" t="e">
        <f t="shared" si="68"/>
        <v>#REF!</v>
      </c>
      <c r="AK94" t="e">
        <f t="shared" si="68"/>
        <v>#REF!</v>
      </c>
      <c r="AL94" t="e">
        <f t="shared" si="68"/>
        <v>#REF!</v>
      </c>
      <c r="AM94" t="e">
        <f t="shared" si="68"/>
        <v>#REF!</v>
      </c>
      <c r="AN94" t="e">
        <f t="shared" si="68"/>
        <v>#REF!</v>
      </c>
      <c r="AO94" t="e">
        <f t="shared" si="68"/>
        <v>#REF!</v>
      </c>
      <c r="AP94" t="e">
        <f t="shared" si="68"/>
        <v>#REF!</v>
      </c>
      <c r="AQ94" t="e">
        <f t="shared" si="68"/>
        <v>#REF!</v>
      </c>
      <c r="AR94" t="e">
        <f t="shared" si="67"/>
        <v>#REF!</v>
      </c>
      <c r="AS94" t="e">
        <f t="shared" si="67"/>
        <v>#REF!</v>
      </c>
      <c r="AT94" t="e">
        <f t="shared" si="67"/>
        <v>#REF!</v>
      </c>
      <c r="AU94" t="e">
        <f t="shared" si="67"/>
        <v>#REF!</v>
      </c>
      <c r="AV94" t="e">
        <f t="shared" si="67"/>
        <v>#REF!</v>
      </c>
      <c r="AW94" t="e">
        <f t="shared" si="67"/>
        <v>#REF!</v>
      </c>
      <c r="AX94" t="e">
        <f t="shared" si="67"/>
        <v>#REF!</v>
      </c>
      <c r="AY94" t="e">
        <f t="shared" si="66"/>
        <v>#REF!</v>
      </c>
      <c r="AZ94" t="e">
        <f t="shared" si="66"/>
        <v>#REF!</v>
      </c>
      <c r="BA94" t="e">
        <f t="shared" si="66"/>
        <v>#REF!</v>
      </c>
      <c r="BB94" t="e">
        <f t="shared" si="66"/>
        <v>#REF!</v>
      </c>
      <c r="BC94" t="e">
        <f t="shared" si="66"/>
        <v>#REF!</v>
      </c>
      <c r="BD94" t="e">
        <f t="shared" si="66"/>
        <v>#REF!</v>
      </c>
      <c r="BE94" t="e">
        <f t="shared" si="66"/>
        <v>#REF!</v>
      </c>
      <c r="BF94" t="e">
        <f t="shared" si="66"/>
        <v>#REF!</v>
      </c>
      <c r="BG94" t="e">
        <f t="shared" si="66"/>
        <v>#REF!</v>
      </c>
      <c r="BH94" t="e">
        <f t="shared" si="66"/>
        <v>#REF!</v>
      </c>
      <c r="BI94" t="e">
        <f t="shared" si="66"/>
        <v>#REF!</v>
      </c>
      <c r="BJ94" t="e">
        <f t="shared" si="66"/>
        <v>#REF!</v>
      </c>
      <c r="BK94" t="e">
        <f t="shared" si="66"/>
        <v>#REF!</v>
      </c>
      <c r="BL94" t="e">
        <f t="shared" si="59"/>
        <v>#REF!</v>
      </c>
      <c r="BM94" t="e">
        <f t="shared" si="59"/>
        <v>#REF!</v>
      </c>
      <c r="BN94" t="e">
        <f t="shared" si="59"/>
        <v>#REF!</v>
      </c>
      <c r="BO94" t="e">
        <f t="shared" si="59"/>
        <v>#REF!</v>
      </c>
      <c r="BP94" t="e">
        <f t="shared" si="59"/>
        <v>#REF!</v>
      </c>
      <c r="BQ94" t="e">
        <f t="shared" si="59"/>
        <v>#REF!</v>
      </c>
      <c r="BR94" t="e">
        <f t="shared" si="59"/>
        <v>#REF!</v>
      </c>
      <c r="BS94" t="e">
        <f t="shared" si="59"/>
        <v>#REF!</v>
      </c>
      <c r="BT94" t="e">
        <f t="shared" si="58"/>
        <v>#REF!</v>
      </c>
      <c r="BU94" t="e">
        <f t="shared" si="58"/>
        <v>#REF!</v>
      </c>
      <c r="BV94" t="e">
        <f t="shared" si="58"/>
        <v>#REF!</v>
      </c>
      <c r="BW94" t="e">
        <f t="shared" si="58"/>
        <v>#REF!</v>
      </c>
      <c r="BX94" t="e">
        <f t="shared" si="58"/>
        <v>#REF!</v>
      </c>
      <c r="BY94" t="e">
        <f t="shared" si="58"/>
        <v>#REF!</v>
      </c>
      <c r="BZ94" t="e">
        <f t="shared" si="58"/>
        <v>#REF!</v>
      </c>
      <c r="CA94" t="e">
        <f t="shared" si="58"/>
        <v>#REF!</v>
      </c>
      <c r="CB94" t="e">
        <f t="shared" si="58"/>
        <v>#REF!</v>
      </c>
      <c r="CC94" t="e">
        <f t="shared" si="71"/>
        <v>#REF!</v>
      </c>
      <c r="CD94" t="e">
        <f t="shared" si="71"/>
        <v>#REF!</v>
      </c>
      <c r="CE94" t="e">
        <f t="shared" si="71"/>
        <v>#REF!</v>
      </c>
      <c r="CF94" t="e">
        <f t="shared" si="71"/>
        <v>#REF!</v>
      </c>
      <c r="CG94" t="e">
        <f t="shared" si="71"/>
        <v>#REF!</v>
      </c>
      <c r="CH94" t="e">
        <f t="shared" si="71"/>
        <v>#REF!</v>
      </c>
      <c r="CI94" t="e">
        <f t="shared" si="71"/>
        <v>#REF!</v>
      </c>
      <c r="CJ94" t="e">
        <f t="shared" si="71"/>
        <v>#REF!</v>
      </c>
      <c r="CK94" t="e">
        <f t="shared" si="71"/>
        <v>#REF!</v>
      </c>
      <c r="CL94" t="e">
        <f t="shared" si="71"/>
        <v>#REF!</v>
      </c>
      <c r="CM94" t="e">
        <f t="shared" si="71"/>
        <v>#REF!</v>
      </c>
      <c r="CN94" t="e">
        <f t="shared" si="71"/>
        <v>#REF!</v>
      </c>
      <c r="CO94" t="e">
        <f t="shared" si="71"/>
        <v>#REF!</v>
      </c>
      <c r="CP94" t="e">
        <f t="shared" si="70"/>
        <v>#REF!</v>
      </c>
      <c r="CQ94" t="e">
        <f t="shared" si="70"/>
        <v>#REF!</v>
      </c>
      <c r="CR94" t="e">
        <f t="shared" si="70"/>
        <v>#REF!</v>
      </c>
      <c r="CS94" t="e">
        <f t="shared" si="70"/>
        <v>#REF!</v>
      </c>
      <c r="CT94" t="e">
        <f t="shared" si="70"/>
        <v>#REF!</v>
      </c>
      <c r="CU94" t="e">
        <f t="shared" si="70"/>
        <v>#REF!</v>
      </c>
      <c r="CV94" t="e">
        <f t="shared" si="70"/>
        <v>#REF!</v>
      </c>
      <c r="CW94" t="e">
        <f t="shared" si="70"/>
        <v>#REF!</v>
      </c>
      <c r="CX94" t="e">
        <f t="shared" si="62"/>
        <v>#REF!</v>
      </c>
      <c r="CY94" t="e">
        <f t="shared" si="62"/>
        <v>#REF!</v>
      </c>
      <c r="CZ94" t="e">
        <f t="shared" si="62"/>
        <v>#REF!</v>
      </c>
      <c r="DA94" t="e">
        <f t="shared" si="62"/>
        <v>#REF!</v>
      </c>
      <c r="DB94" t="e">
        <f t="shared" si="62"/>
        <v>#REF!</v>
      </c>
      <c r="DC94" t="e">
        <f t="shared" si="62"/>
        <v>#REF!</v>
      </c>
      <c r="DD94" t="e">
        <f t="shared" si="62"/>
        <v>#REF!</v>
      </c>
      <c r="DE94" t="e">
        <f t="shared" si="62"/>
        <v>#REF!</v>
      </c>
      <c r="DF94" t="e">
        <f t="shared" si="62"/>
        <v>#REF!</v>
      </c>
      <c r="DG94" t="e">
        <f t="shared" si="62"/>
        <v>#REF!</v>
      </c>
      <c r="DH94" t="e">
        <f t="shared" si="61"/>
        <v>#REF!</v>
      </c>
      <c r="DI94" t="e">
        <f t="shared" si="61"/>
        <v>#REF!</v>
      </c>
      <c r="DJ94" t="e">
        <f t="shared" si="61"/>
        <v>#REF!</v>
      </c>
      <c r="DK94" t="e">
        <f t="shared" si="61"/>
        <v>#REF!</v>
      </c>
      <c r="DL94" t="e">
        <f t="shared" si="61"/>
        <v>#REF!</v>
      </c>
      <c r="DM94" t="e">
        <f t="shared" si="61"/>
        <v>#REF!</v>
      </c>
      <c r="DN94" t="e">
        <f t="shared" si="61"/>
        <v>#REF!</v>
      </c>
      <c r="DO94" t="e">
        <f t="shared" si="61"/>
        <v>#REF!</v>
      </c>
      <c r="DP94" t="e">
        <f t="shared" si="61"/>
        <v>#REF!</v>
      </c>
      <c r="DQ94" t="e">
        <f t="shared" si="61"/>
        <v>#REF!</v>
      </c>
      <c r="DR94" t="e">
        <f t="shared" si="61"/>
        <v>#REF!</v>
      </c>
      <c r="DS94" t="e">
        <f t="shared" si="61"/>
        <v>#REF!</v>
      </c>
      <c r="DT94" t="e">
        <f t="shared" si="61"/>
        <v>#REF!</v>
      </c>
      <c r="DU94" t="e">
        <f t="shared" si="61"/>
        <v>#REF!</v>
      </c>
      <c r="DV94" t="e">
        <f t="shared" si="61"/>
        <v>#REF!</v>
      </c>
      <c r="DW94" t="e">
        <f t="shared" si="63"/>
        <v>#REF!</v>
      </c>
      <c r="DX94" t="e">
        <f t="shared" si="63"/>
        <v>#REF!</v>
      </c>
      <c r="DY94" t="e">
        <f t="shared" si="63"/>
        <v>#REF!</v>
      </c>
      <c r="DZ94" t="e">
        <f t="shared" si="48"/>
        <v>#REF!</v>
      </c>
      <c r="EA94" t="e">
        <f t="shared" si="48"/>
        <v>#REF!</v>
      </c>
      <c r="EB94" t="e">
        <f t="shared" si="48"/>
        <v>#REF!</v>
      </c>
      <c r="EC94" t="e">
        <f t="shared" si="48"/>
        <v>#REF!</v>
      </c>
      <c r="ED94" t="e">
        <f t="shared" si="48"/>
        <v>#REF!</v>
      </c>
      <c r="EE94" t="e">
        <f t="shared" si="48"/>
        <v>#REF!</v>
      </c>
      <c r="EF94" t="e">
        <f t="shared" si="48"/>
        <v>#REF!</v>
      </c>
      <c r="EG94" t="e">
        <f t="shared" si="48"/>
        <v>#REF!</v>
      </c>
      <c r="EH94" t="e">
        <f t="shared" si="50"/>
        <v>#REF!</v>
      </c>
      <c r="EI94" t="e">
        <f t="shared" si="50"/>
        <v>#REF!</v>
      </c>
      <c r="EJ94" t="e">
        <f t="shared" si="50"/>
        <v>#REF!</v>
      </c>
      <c r="EK94" t="e">
        <f t="shared" si="50"/>
        <v>#REF!</v>
      </c>
      <c r="EL94" t="e">
        <f t="shared" si="50"/>
        <v>#REF!</v>
      </c>
      <c r="EM94" t="e">
        <f t="shared" si="50"/>
        <v>#REF!</v>
      </c>
    </row>
    <row r="95" spans="1:143" x14ac:dyDescent="0.4">
      <c r="A95" t="str">
        <f t="shared" si="51"/>
        <v>X</v>
      </c>
      <c r="B95">
        <v>92</v>
      </c>
      <c r="C95" t="e" cm="1">
        <f t="array" ref="C95">INDEX(auto_Series_Code,B95)</f>
        <v>#REF!</v>
      </c>
      <c r="D95" t="e">
        <f t="shared" si="65"/>
        <v>#REF!</v>
      </c>
      <c r="E95" t="e">
        <f t="shared" si="65"/>
        <v>#REF!</v>
      </c>
      <c r="F95" t="e">
        <f t="shared" si="65"/>
        <v>#REF!</v>
      </c>
      <c r="G95" t="e">
        <f t="shared" si="65"/>
        <v>#REF!</v>
      </c>
      <c r="H95" t="e">
        <f t="shared" si="65"/>
        <v>#REF!</v>
      </c>
      <c r="I95" t="e">
        <f t="shared" si="65"/>
        <v>#REF!</v>
      </c>
      <c r="J95" t="e">
        <f t="shared" si="65"/>
        <v>#REF!</v>
      </c>
      <c r="K95" t="e">
        <f t="shared" si="65"/>
        <v>#REF!</v>
      </c>
      <c r="L95" t="e">
        <f t="shared" si="65"/>
        <v>#REF!</v>
      </c>
      <c r="M95" t="e">
        <f t="shared" si="65"/>
        <v>#REF!</v>
      </c>
      <c r="N95" t="e">
        <f t="shared" si="65"/>
        <v>#REF!</v>
      </c>
      <c r="O95" t="e">
        <f t="shared" si="65"/>
        <v>#REF!</v>
      </c>
      <c r="P95" t="e">
        <f t="shared" si="65"/>
        <v>#REF!</v>
      </c>
      <c r="Q95" t="e">
        <f t="shared" si="65"/>
        <v>#REF!</v>
      </c>
      <c r="R95" t="e">
        <f t="shared" si="65"/>
        <v>#REF!</v>
      </c>
      <c r="S95" t="e">
        <f t="shared" si="65"/>
        <v>#REF!</v>
      </c>
      <c r="T95" t="e">
        <f t="shared" si="64"/>
        <v>#REF!</v>
      </c>
      <c r="U95" t="e">
        <f t="shared" si="64"/>
        <v>#REF!</v>
      </c>
      <c r="V95" t="e">
        <f t="shared" si="64"/>
        <v>#REF!</v>
      </c>
      <c r="W95" t="e">
        <f t="shared" si="64"/>
        <v>#REF!</v>
      </c>
      <c r="X95" t="e">
        <f t="shared" si="64"/>
        <v>#REF!</v>
      </c>
      <c r="Y95" t="e">
        <f t="shared" si="64"/>
        <v>#REF!</v>
      </c>
      <c r="Z95" t="e">
        <f t="shared" si="64"/>
        <v>#REF!</v>
      </c>
      <c r="AA95" t="e">
        <f t="shared" si="64"/>
        <v>#REF!</v>
      </c>
      <c r="AB95" t="e">
        <f t="shared" si="64"/>
        <v>#REF!</v>
      </c>
      <c r="AC95" t="e">
        <f t="shared" si="64"/>
        <v>#REF!</v>
      </c>
      <c r="AD95" t="e">
        <f t="shared" si="64"/>
        <v>#REF!</v>
      </c>
      <c r="AE95" t="e">
        <f t="shared" si="64"/>
        <v>#REF!</v>
      </c>
      <c r="AF95" t="e">
        <f t="shared" si="64"/>
        <v>#REF!</v>
      </c>
      <c r="AG95" t="e">
        <f t="shared" si="64"/>
        <v>#REF!</v>
      </c>
      <c r="AH95" t="e">
        <f t="shared" si="68"/>
        <v>#REF!</v>
      </c>
      <c r="AI95" t="e">
        <f t="shared" si="68"/>
        <v>#REF!</v>
      </c>
      <c r="AJ95" t="e">
        <f t="shared" si="68"/>
        <v>#REF!</v>
      </c>
      <c r="AK95" t="e">
        <f t="shared" si="68"/>
        <v>#REF!</v>
      </c>
      <c r="AL95" t="e">
        <f t="shared" si="68"/>
        <v>#REF!</v>
      </c>
      <c r="AM95" t="e">
        <f t="shared" si="68"/>
        <v>#REF!</v>
      </c>
      <c r="AN95" t="e">
        <f t="shared" si="68"/>
        <v>#REF!</v>
      </c>
      <c r="AO95" t="e">
        <f t="shared" si="68"/>
        <v>#REF!</v>
      </c>
      <c r="AP95" t="e">
        <f t="shared" si="68"/>
        <v>#REF!</v>
      </c>
      <c r="AQ95" t="e">
        <f t="shared" si="68"/>
        <v>#REF!</v>
      </c>
      <c r="AR95" t="e">
        <f t="shared" si="67"/>
        <v>#REF!</v>
      </c>
      <c r="AS95" t="e">
        <f t="shared" si="67"/>
        <v>#REF!</v>
      </c>
      <c r="AT95" t="e">
        <f t="shared" si="67"/>
        <v>#REF!</v>
      </c>
      <c r="AU95" t="e">
        <f t="shared" si="67"/>
        <v>#REF!</v>
      </c>
      <c r="AV95" t="e">
        <f t="shared" si="67"/>
        <v>#REF!</v>
      </c>
      <c r="AW95" t="e">
        <f t="shared" si="67"/>
        <v>#REF!</v>
      </c>
      <c r="AX95" t="e">
        <f t="shared" si="67"/>
        <v>#REF!</v>
      </c>
      <c r="AY95" t="e">
        <f t="shared" si="66"/>
        <v>#REF!</v>
      </c>
      <c r="AZ95" t="e">
        <f t="shared" si="66"/>
        <v>#REF!</v>
      </c>
      <c r="BA95" t="e">
        <f t="shared" si="66"/>
        <v>#REF!</v>
      </c>
      <c r="BB95" t="e">
        <f t="shared" si="66"/>
        <v>#REF!</v>
      </c>
      <c r="BC95" t="e">
        <f t="shared" si="66"/>
        <v>#REF!</v>
      </c>
      <c r="BD95" t="e">
        <f t="shared" si="66"/>
        <v>#REF!</v>
      </c>
      <c r="BE95" t="e">
        <f t="shared" si="66"/>
        <v>#REF!</v>
      </c>
      <c r="BF95" t="e">
        <f t="shared" si="66"/>
        <v>#REF!</v>
      </c>
      <c r="BG95" t="e">
        <f t="shared" si="66"/>
        <v>#REF!</v>
      </c>
      <c r="BH95" t="e">
        <f t="shared" si="66"/>
        <v>#REF!</v>
      </c>
      <c r="BI95" t="e">
        <f t="shared" si="66"/>
        <v>#REF!</v>
      </c>
      <c r="BJ95" t="e">
        <f t="shared" si="66"/>
        <v>#REF!</v>
      </c>
      <c r="BK95" t="e">
        <f t="shared" si="66"/>
        <v>#REF!</v>
      </c>
      <c r="BL95" t="e">
        <f t="shared" si="59"/>
        <v>#REF!</v>
      </c>
      <c r="BM95" t="e">
        <f t="shared" si="59"/>
        <v>#REF!</v>
      </c>
      <c r="BN95" t="e">
        <f t="shared" si="59"/>
        <v>#REF!</v>
      </c>
      <c r="BO95" t="e">
        <f t="shared" si="59"/>
        <v>#REF!</v>
      </c>
      <c r="BP95" t="e">
        <f t="shared" si="59"/>
        <v>#REF!</v>
      </c>
      <c r="BQ95" t="e">
        <f t="shared" si="59"/>
        <v>#REF!</v>
      </c>
      <c r="BR95" t="e">
        <f t="shared" si="59"/>
        <v>#REF!</v>
      </c>
      <c r="BS95" t="e">
        <f t="shared" si="59"/>
        <v>#REF!</v>
      </c>
      <c r="BT95" t="e">
        <f t="shared" si="58"/>
        <v>#REF!</v>
      </c>
      <c r="BU95" t="e">
        <f t="shared" si="58"/>
        <v>#REF!</v>
      </c>
      <c r="BV95" t="e">
        <f t="shared" si="58"/>
        <v>#REF!</v>
      </c>
      <c r="BW95" t="e">
        <f t="shared" si="58"/>
        <v>#REF!</v>
      </c>
      <c r="BX95" t="e">
        <f t="shared" si="58"/>
        <v>#REF!</v>
      </c>
      <c r="BY95" t="e">
        <f t="shared" si="58"/>
        <v>#REF!</v>
      </c>
      <c r="BZ95" t="e">
        <f t="shared" si="58"/>
        <v>#REF!</v>
      </c>
      <c r="CA95" t="e">
        <f t="shared" si="58"/>
        <v>#REF!</v>
      </c>
      <c r="CB95" t="e">
        <f t="shared" si="58"/>
        <v>#REF!</v>
      </c>
      <c r="CC95" t="e">
        <f t="shared" si="71"/>
        <v>#REF!</v>
      </c>
      <c r="CD95" t="e">
        <f t="shared" si="71"/>
        <v>#REF!</v>
      </c>
      <c r="CE95" t="e">
        <f t="shared" si="71"/>
        <v>#REF!</v>
      </c>
      <c r="CF95" t="e">
        <f t="shared" si="71"/>
        <v>#REF!</v>
      </c>
      <c r="CG95" t="e">
        <f t="shared" si="71"/>
        <v>#REF!</v>
      </c>
      <c r="CH95" t="e">
        <f t="shared" si="71"/>
        <v>#REF!</v>
      </c>
      <c r="CI95" t="e">
        <f t="shared" si="71"/>
        <v>#REF!</v>
      </c>
      <c r="CJ95" t="e">
        <f t="shared" si="71"/>
        <v>#REF!</v>
      </c>
      <c r="CK95" t="e">
        <f t="shared" si="71"/>
        <v>#REF!</v>
      </c>
      <c r="CL95" t="e">
        <f t="shared" si="71"/>
        <v>#REF!</v>
      </c>
      <c r="CM95" t="e">
        <f t="shared" si="71"/>
        <v>#REF!</v>
      </c>
      <c r="CN95" t="e">
        <f t="shared" si="71"/>
        <v>#REF!</v>
      </c>
      <c r="CO95" t="e">
        <f t="shared" si="71"/>
        <v>#REF!</v>
      </c>
      <c r="CP95" t="e">
        <f t="shared" si="70"/>
        <v>#REF!</v>
      </c>
      <c r="CQ95" t="e">
        <f t="shared" si="70"/>
        <v>#REF!</v>
      </c>
      <c r="CR95" t="e">
        <f t="shared" si="70"/>
        <v>#REF!</v>
      </c>
      <c r="CS95" t="e">
        <f t="shared" si="70"/>
        <v>#REF!</v>
      </c>
      <c r="CT95" t="e">
        <f t="shared" si="70"/>
        <v>#REF!</v>
      </c>
      <c r="CU95" t="e">
        <f t="shared" si="70"/>
        <v>#REF!</v>
      </c>
      <c r="CV95" t="e">
        <f t="shared" si="70"/>
        <v>#REF!</v>
      </c>
      <c r="CW95" t="e">
        <f t="shared" si="70"/>
        <v>#REF!</v>
      </c>
      <c r="CX95" t="e">
        <f t="shared" si="62"/>
        <v>#REF!</v>
      </c>
      <c r="CY95" t="e">
        <f t="shared" si="62"/>
        <v>#REF!</v>
      </c>
      <c r="CZ95" t="e">
        <f t="shared" si="62"/>
        <v>#REF!</v>
      </c>
      <c r="DA95" t="e">
        <f t="shared" si="62"/>
        <v>#REF!</v>
      </c>
      <c r="DB95" t="e">
        <f t="shared" si="62"/>
        <v>#REF!</v>
      </c>
      <c r="DC95" t="e">
        <f t="shared" si="62"/>
        <v>#REF!</v>
      </c>
      <c r="DD95" t="e">
        <f t="shared" si="62"/>
        <v>#REF!</v>
      </c>
      <c r="DE95" t="e">
        <f t="shared" si="62"/>
        <v>#REF!</v>
      </c>
      <c r="DF95" t="e">
        <f t="shared" si="62"/>
        <v>#REF!</v>
      </c>
      <c r="DG95" t="e">
        <f t="shared" si="62"/>
        <v>#REF!</v>
      </c>
      <c r="DH95" t="e">
        <f t="shared" si="61"/>
        <v>#REF!</v>
      </c>
      <c r="DI95" t="e">
        <f t="shared" si="61"/>
        <v>#REF!</v>
      </c>
      <c r="DJ95" t="e">
        <f t="shared" si="61"/>
        <v>#REF!</v>
      </c>
      <c r="DK95" t="e">
        <f t="shared" si="61"/>
        <v>#REF!</v>
      </c>
      <c r="DL95" t="e">
        <f t="shared" si="61"/>
        <v>#REF!</v>
      </c>
      <c r="DM95" t="e">
        <f t="shared" si="61"/>
        <v>#REF!</v>
      </c>
      <c r="DN95" t="e">
        <f t="shared" si="61"/>
        <v>#REF!</v>
      </c>
      <c r="DO95" t="e">
        <f t="shared" si="61"/>
        <v>#REF!</v>
      </c>
      <c r="DP95" t="e">
        <f t="shared" si="61"/>
        <v>#REF!</v>
      </c>
      <c r="DQ95" t="e">
        <f t="shared" si="61"/>
        <v>#REF!</v>
      </c>
      <c r="DR95" t="e">
        <f t="shared" si="61"/>
        <v>#REF!</v>
      </c>
      <c r="DS95" t="e">
        <f t="shared" si="61"/>
        <v>#REF!</v>
      </c>
      <c r="DT95" t="e">
        <f t="shared" si="61"/>
        <v>#REF!</v>
      </c>
      <c r="DU95" t="e">
        <f t="shared" si="61"/>
        <v>#REF!</v>
      </c>
      <c r="DV95" t="e">
        <f t="shared" si="61"/>
        <v>#REF!</v>
      </c>
      <c r="DW95" t="e">
        <f t="shared" si="63"/>
        <v>#REF!</v>
      </c>
      <c r="DX95" t="e">
        <f t="shared" si="63"/>
        <v>#REF!</v>
      </c>
      <c r="DY95" t="e">
        <f t="shared" si="63"/>
        <v>#REF!</v>
      </c>
      <c r="DZ95" t="e">
        <f t="shared" si="48"/>
        <v>#REF!</v>
      </c>
      <c r="EA95" t="e">
        <f t="shared" si="48"/>
        <v>#REF!</v>
      </c>
      <c r="EB95" t="e">
        <f t="shared" si="48"/>
        <v>#REF!</v>
      </c>
      <c r="EC95" t="e">
        <f t="shared" si="48"/>
        <v>#REF!</v>
      </c>
      <c r="ED95" t="e">
        <f t="shared" si="48"/>
        <v>#REF!</v>
      </c>
      <c r="EE95" t="e">
        <f t="shared" si="48"/>
        <v>#REF!</v>
      </c>
      <c r="EF95" t="e">
        <f t="shared" si="48"/>
        <v>#REF!</v>
      </c>
      <c r="EG95" t="e">
        <f t="shared" si="48"/>
        <v>#REF!</v>
      </c>
      <c r="EH95" t="e">
        <f t="shared" si="50"/>
        <v>#REF!</v>
      </c>
      <c r="EI95" t="e">
        <f t="shared" si="50"/>
        <v>#REF!</v>
      </c>
      <c r="EJ95" t="e">
        <f t="shared" si="50"/>
        <v>#REF!</v>
      </c>
      <c r="EK95" t="e">
        <f t="shared" si="50"/>
        <v>#REF!</v>
      </c>
      <c r="EL95" t="e">
        <f t="shared" si="50"/>
        <v>#REF!</v>
      </c>
      <c r="EM95" t="e">
        <f t="shared" si="50"/>
        <v>#REF!</v>
      </c>
    </row>
    <row r="96" spans="1:143" ht="10.5" customHeight="1" x14ac:dyDescent="0.4">
      <c r="A96" t="str">
        <f t="shared" si="51"/>
        <v>X</v>
      </c>
      <c r="B96">
        <v>93</v>
      </c>
      <c r="C96" t="e" cm="1">
        <f t="array" ref="C96">INDEX(auto_Series_Code,B96)</f>
        <v>#REF!</v>
      </c>
      <c r="D96" t="e">
        <f t="shared" si="65"/>
        <v>#REF!</v>
      </c>
      <c r="E96" t="e">
        <f t="shared" si="65"/>
        <v>#REF!</v>
      </c>
      <c r="F96" t="e">
        <f t="shared" si="65"/>
        <v>#REF!</v>
      </c>
      <c r="G96" t="e">
        <f t="shared" si="65"/>
        <v>#REF!</v>
      </c>
      <c r="H96" t="e">
        <f t="shared" si="65"/>
        <v>#REF!</v>
      </c>
      <c r="I96" t="e">
        <f t="shared" si="65"/>
        <v>#REF!</v>
      </c>
      <c r="J96" t="e">
        <f t="shared" si="65"/>
        <v>#REF!</v>
      </c>
      <c r="K96" t="e">
        <f t="shared" si="65"/>
        <v>#REF!</v>
      </c>
      <c r="L96" t="e">
        <f t="shared" si="65"/>
        <v>#REF!</v>
      </c>
      <c r="M96" t="e">
        <f t="shared" si="65"/>
        <v>#REF!</v>
      </c>
      <c r="N96" t="e">
        <f t="shared" si="65"/>
        <v>#REF!</v>
      </c>
      <c r="O96" t="e">
        <f t="shared" si="65"/>
        <v>#REF!</v>
      </c>
      <c r="P96" t="e">
        <f t="shared" si="65"/>
        <v>#REF!</v>
      </c>
      <c r="Q96" t="e">
        <f t="shared" si="65"/>
        <v>#REF!</v>
      </c>
      <c r="R96" t="e">
        <f t="shared" si="65"/>
        <v>#REF!</v>
      </c>
      <c r="S96" t="e">
        <f t="shared" si="65"/>
        <v>#REF!</v>
      </c>
      <c r="T96" t="e">
        <f t="shared" si="64"/>
        <v>#REF!</v>
      </c>
      <c r="U96" t="e">
        <f t="shared" si="64"/>
        <v>#REF!</v>
      </c>
      <c r="V96" t="e">
        <f t="shared" si="64"/>
        <v>#REF!</v>
      </c>
      <c r="W96" t="e">
        <f t="shared" si="64"/>
        <v>#REF!</v>
      </c>
      <c r="X96" t="e">
        <f t="shared" si="64"/>
        <v>#REF!</v>
      </c>
      <c r="Y96" t="e">
        <f t="shared" si="64"/>
        <v>#REF!</v>
      </c>
      <c r="Z96" t="e">
        <f t="shared" si="64"/>
        <v>#REF!</v>
      </c>
      <c r="AA96" t="e">
        <f t="shared" si="64"/>
        <v>#REF!</v>
      </c>
      <c r="AB96" t="e">
        <f t="shared" si="64"/>
        <v>#REF!</v>
      </c>
      <c r="AC96" t="e">
        <f t="shared" si="64"/>
        <v>#REF!</v>
      </c>
      <c r="AD96" t="e">
        <f t="shared" si="64"/>
        <v>#REF!</v>
      </c>
      <c r="AE96" t="e">
        <f t="shared" si="64"/>
        <v>#REF!</v>
      </c>
      <c r="AF96" t="e">
        <f t="shared" si="64"/>
        <v>#REF!</v>
      </c>
      <c r="AG96" t="e">
        <f t="shared" si="64"/>
        <v>#REF!</v>
      </c>
      <c r="AH96" t="e">
        <f t="shared" si="68"/>
        <v>#REF!</v>
      </c>
      <c r="AI96" t="e">
        <f t="shared" si="68"/>
        <v>#REF!</v>
      </c>
      <c r="AJ96" t="e">
        <f t="shared" si="68"/>
        <v>#REF!</v>
      </c>
      <c r="AK96" t="e">
        <f t="shared" si="68"/>
        <v>#REF!</v>
      </c>
      <c r="AL96" t="e">
        <f t="shared" si="68"/>
        <v>#REF!</v>
      </c>
      <c r="AM96" t="e">
        <f t="shared" si="68"/>
        <v>#REF!</v>
      </c>
      <c r="AN96" t="e">
        <f t="shared" si="68"/>
        <v>#REF!</v>
      </c>
      <c r="AO96" t="e">
        <f t="shared" si="68"/>
        <v>#REF!</v>
      </c>
      <c r="AP96" t="e">
        <f t="shared" si="68"/>
        <v>#REF!</v>
      </c>
      <c r="AQ96" t="e">
        <f t="shared" si="68"/>
        <v>#REF!</v>
      </c>
      <c r="AR96" t="e">
        <f t="shared" si="67"/>
        <v>#REF!</v>
      </c>
      <c r="AS96" t="e">
        <f t="shared" si="67"/>
        <v>#REF!</v>
      </c>
      <c r="AT96" t="e">
        <f t="shared" si="67"/>
        <v>#REF!</v>
      </c>
      <c r="AU96" t="e">
        <f t="shared" si="67"/>
        <v>#REF!</v>
      </c>
      <c r="AV96" t="e">
        <f t="shared" si="67"/>
        <v>#REF!</v>
      </c>
      <c r="AW96" t="e">
        <f t="shared" si="67"/>
        <v>#REF!</v>
      </c>
      <c r="AX96" t="e">
        <f t="shared" si="67"/>
        <v>#REF!</v>
      </c>
      <c r="AY96" t="e">
        <f t="shared" si="66"/>
        <v>#REF!</v>
      </c>
      <c r="AZ96" t="e">
        <f t="shared" si="66"/>
        <v>#REF!</v>
      </c>
      <c r="BA96" t="e">
        <f t="shared" si="66"/>
        <v>#REF!</v>
      </c>
      <c r="BB96" t="e">
        <f t="shared" si="66"/>
        <v>#REF!</v>
      </c>
      <c r="BC96" t="e">
        <f t="shared" si="66"/>
        <v>#REF!</v>
      </c>
      <c r="BD96" t="e">
        <f t="shared" si="66"/>
        <v>#REF!</v>
      </c>
      <c r="BE96" t="e">
        <f t="shared" si="66"/>
        <v>#REF!</v>
      </c>
      <c r="BF96" t="e">
        <f t="shared" si="66"/>
        <v>#REF!</v>
      </c>
      <c r="BG96" t="e">
        <f t="shared" si="66"/>
        <v>#REF!</v>
      </c>
      <c r="BH96" t="e">
        <f t="shared" si="66"/>
        <v>#REF!</v>
      </c>
      <c r="BI96" t="e">
        <f t="shared" si="66"/>
        <v>#REF!</v>
      </c>
      <c r="BJ96" t="e">
        <f t="shared" si="66"/>
        <v>#REF!</v>
      </c>
      <c r="BK96" t="e">
        <f t="shared" si="66"/>
        <v>#REF!</v>
      </c>
      <c r="BL96" t="e">
        <f t="shared" si="59"/>
        <v>#REF!</v>
      </c>
      <c r="BM96" t="e">
        <f t="shared" si="59"/>
        <v>#REF!</v>
      </c>
      <c r="BN96" t="e">
        <f t="shared" si="59"/>
        <v>#REF!</v>
      </c>
      <c r="BO96" t="e">
        <f t="shared" si="59"/>
        <v>#REF!</v>
      </c>
      <c r="BP96" t="e">
        <f t="shared" si="59"/>
        <v>#REF!</v>
      </c>
      <c r="BQ96" t="e">
        <f t="shared" si="59"/>
        <v>#REF!</v>
      </c>
      <c r="BR96" t="e">
        <f t="shared" si="59"/>
        <v>#REF!</v>
      </c>
      <c r="BS96" t="e">
        <f t="shared" si="59"/>
        <v>#REF!</v>
      </c>
      <c r="BT96" t="e">
        <f t="shared" si="58"/>
        <v>#REF!</v>
      </c>
      <c r="BU96" t="e">
        <f t="shared" si="58"/>
        <v>#REF!</v>
      </c>
      <c r="BV96" t="e">
        <f t="shared" si="58"/>
        <v>#REF!</v>
      </c>
      <c r="BW96" t="e">
        <f t="shared" si="58"/>
        <v>#REF!</v>
      </c>
      <c r="BX96" t="e">
        <f t="shared" si="58"/>
        <v>#REF!</v>
      </c>
      <c r="BY96" t="e">
        <f t="shared" si="58"/>
        <v>#REF!</v>
      </c>
      <c r="BZ96" t="e">
        <f t="shared" si="58"/>
        <v>#REF!</v>
      </c>
      <c r="CA96" t="e">
        <f t="shared" si="58"/>
        <v>#REF!</v>
      </c>
      <c r="CB96" t="e">
        <f t="shared" si="58"/>
        <v>#REF!</v>
      </c>
      <c r="CC96" t="e">
        <f t="shared" si="71"/>
        <v>#REF!</v>
      </c>
      <c r="CD96" t="e">
        <f t="shared" si="71"/>
        <v>#REF!</v>
      </c>
      <c r="CE96" t="e">
        <f t="shared" si="71"/>
        <v>#REF!</v>
      </c>
      <c r="CF96" t="e">
        <f t="shared" si="71"/>
        <v>#REF!</v>
      </c>
      <c r="CG96" t="e">
        <f t="shared" si="71"/>
        <v>#REF!</v>
      </c>
      <c r="CH96" t="e">
        <f t="shared" si="71"/>
        <v>#REF!</v>
      </c>
      <c r="CI96" t="e">
        <f t="shared" si="71"/>
        <v>#REF!</v>
      </c>
      <c r="CJ96" t="e">
        <f t="shared" si="71"/>
        <v>#REF!</v>
      </c>
      <c r="CK96" t="e">
        <f t="shared" si="71"/>
        <v>#REF!</v>
      </c>
      <c r="CL96" t="e">
        <f t="shared" si="71"/>
        <v>#REF!</v>
      </c>
      <c r="CM96" t="e">
        <f t="shared" si="71"/>
        <v>#REF!</v>
      </c>
      <c r="CN96" t="e">
        <f t="shared" si="71"/>
        <v>#REF!</v>
      </c>
      <c r="CO96" t="e">
        <f t="shared" si="71"/>
        <v>#REF!</v>
      </c>
      <c r="CP96" t="e">
        <f t="shared" si="70"/>
        <v>#REF!</v>
      </c>
      <c r="CQ96" t="e">
        <f t="shared" si="70"/>
        <v>#REF!</v>
      </c>
      <c r="CR96" t="e">
        <f t="shared" si="70"/>
        <v>#REF!</v>
      </c>
      <c r="CS96" t="e">
        <f t="shared" si="70"/>
        <v>#REF!</v>
      </c>
      <c r="CT96" t="e">
        <f t="shared" si="70"/>
        <v>#REF!</v>
      </c>
      <c r="CU96" t="e">
        <f t="shared" si="70"/>
        <v>#REF!</v>
      </c>
      <c r="CV96" t="e">
        <f t="shared" si="70"/>
        <v>#REF!</v>
      </c>
      <c r="CW96" t="e">
        <f t="shared" si="70"/>
        <v>#REF!</v>
      </c>
      <c r="CX96" t="e">
        <f t="shared" si="62"/>
        <v>#REF!</v>
      </c>
      <c r="CY96" t="e">
        <f t="shared" si="62"/>
        <v>#REF!</v>
      </c>
      <c r="CZ96" t="e">
        <f t="shared" si="62"/>
        <v>#REF!</v>
      </c>
      <c r="DA96" t="e">
        <f t="shared" si="62"/>
        <v>#REF!</v>
      </c>
      <c r="DB96" t="e">
        <f t="shared" si="62"/>
        <v>#REF!</v>
      </c>
      <c r="DC96" t="e">
        <f t="shared" si="62"/>
        <v>#REF!</v>
      </c>
      <c r="DD96" t="e">
        <f t="shared" si="62"/>
        <v>#REF!</v>
      </c>
      <c r="DE96" t="e">
        <f t="shared" ref="DE96:DI96" si="72">MATCH(CONCATENATE(DE$3,"_",$C96),auto_DataFlat_UID,0)</f>
        <v>#REF!</v>
      </c>
      <c r="DF96" t="e">
        <f t="shared" si="72"/>
        <v>#REF!</v>
      </c>
      <c r="DG96" t="e">
        <f t="shared" si="72"/>
        <v>#REF!</v>
      </c>
      <c r="DH96" t="e">
        <f t="shared" si="72"/>
        <v>#REF!</v>
      </c>
      <c r="DI96" t="e">
        <f t="shared" si="72"/>
        <v>#REF!</v>
      </c>
      <c r="DJ96" t="e">
        <f t="shared" si="61"/>
        <v>#REF!</v>
      </c>
      <c r="DK96" t="e">
        <f t="shared" si="61"/>
        <v>#REF!</v>
      </c>
      <c r="DL96" t="e">
        <f t="shared" si="61"/>
        <v>#REF!</v>
      </c>
      <c r="DM96" t="e">
        <f t="shared" si="61"/>
        <v>#REF!</v>
      </c>
      <c r="DN96" t="e">
        <f t="shared" si="61"/>
        <v>#REF!</v>
      </c>
      <c r="DO96" t="e">
        <f t="shared" si="61"/>
        <v>#REF!</v>
      </c>
      <c r="DP96" t="e">
        <f t="shared" si="61"/>
        <v>#REF!</v>
      </c>
      <c r="DQ96" t="e">
        <f t="shared" si="61"/>
        <v>#REF!</v>
      </c>
      <c r="DR96" t="e">
        <f t="shared" si="61"/>
        <v>#REF!</v>
      </c>
      <c r="DS96" t="e">
        <f t="shared" si="61"/>
        <v>#REF!</v>
      </c>
      <c r="DT96" t="e">
        <f t="shared" si="61"/>
        <v>#REF!</v>
      </c>
      <c r="DU96" t="e">
        <f t="shared" si="61"/>
        <v>#REF!</v>
      </c>
      <c r="DV96" t="e">
        <f t="shared" si="61"/>
        <v>#REF!</v>
      </c>
      <c r="DW96" t="e">
        <f t="shared" si="63"/>
        <v>#REF!</v>
      </c>
      <c r="DX96" t="e">
        <f t="shared" si="63"/>
        <v>#REF!</v>
      </c>
      <c r="DY96" t="e">
        <f t="shared" si="63"/>
        <v>#REF!</v>
      </c>
      <c r="DZ96" t="e">
        <f t="shared" si="48"/>
        <v>#REF!</v>
      </c>
      <c r="EA96" t="e">
        <f t="shared" si="48"/>
        <v>#REF!</v>
      </c>
      <c r="EB96" t="e">
        <f t="shared" si="48"/>
        <v>#REF!</v>
      </c>
      <c r="EC96" t="e">
        <f t="shared" si="48"/>
        <v>#REF!</v>
      </c>
      <c r="ED96" t="e">
        <f t="shared" si="48"/>
        <v>#REF!</v>
      </c>
      <c r="EE96" t="e">
        <f t="shared" si="48"/>
        <v>#REF!</v>
      </c>
      <c r="EF96" t="e">
        <f t="shared" si="48"/>
        <v>#REF!</v>
      </c>
      <c r="EG96" t="e">
        <f t="shared" ref="EG96:EM96" si="73">MATCH(CONCATENATE(EG$3,"_",$C96),auto_DataFlat_UID,0)</f>
        <v>#REF!</v>
      </c>
      <c r="EH96" t="e">
        <f t="shared" si="73"/>
        <v>#REF!</v>
      </c>
      <c r="EI96" t="e">
        <f t="shared" si="73"/>
        <v>#REF!</v>
      </c>
      <c r="EJ96" t="e">
        <f t="shared" si="73"/>
        <v>#REF!</v>
      </c>
      <c r="EK96" t="e">
        <f t="shared" si="73"/>
        <v>#REF!</v>
      </c>
      <c r="EL96" t="e">
        <f t="shared" si="73"/>
        <v>#REF!</v>
      </c>
      <c r="EM96" t="e">
        <f t="shared" si="73"/>
        <v>#REF!</v>
      </c>
    </row>
    <row r="97" spans="1:143" x14ac:dyDescent="0.4">
      <c r="A97" t="str">
        <f t="shared" si="51"/>
        <v>X</v>
      </c>
      <c r="B97">
        <v>94</v>
      </c>
      <c r="C97" t="e" cm="1">
        <f t="array" ref="C97">INDEX(auto_Series_Code,B97)</f>
        <v>#REF!</v>
      </c>
      <c r="D97" t="e">
        <f t="shared" si="65"/>
        <v>#REF!</v>
      </c>
      <c r="E97" t="e">
        <f t="shared" si="65"/>
        <v>#REF!</v>
      </c>
      <c r="F97" t="e">
        <f t="shared" si="65"/>
        <v>#REF!</v>
      </c>
      <c r="G97" t="e">
        <f t="shared" si="65"/>
        <v>#REF!</v>
      </c>
      <c r="H97" t="e">
        <f t="shared" si="65"/>
        <v>#REF!</v>
      </c>
      <c r="I97" t="e">
        <f t="shared" si="65"/>
        <v>#REF!</v>
      </c>
      <c r="J97" t="e">
        <f t="shared" si="65"/>
        <v>#REF!</v>
      </c>
      <c r="K97" t="e">
        <f t="shared" si="65"/>
        <v>#REF!</v>
      </c>
      <c r="L97" t="e">
        <f t="shared" si="65"/>
        <v>#REF!</v>
      </c>
      <c r="M97" t="e">
        <f t="shared" si="65"/>
        <v>#REF!</v>
      </c>
      <c r="N97" t="e">
        <f t="shared" si="65"/>
        <v>#REF!</v>
      </c>
      <c r="O97" t="e">
        <f t="shared" si="65"/>
        <v>#REF!</v>
      </c>
      <c r="P97" t="e">
        <f t="shared" si="65"/>
        <v>#REF!</v>
      </c>
      <c r="Q97" t="e">
        <f t="shared" si="65"/>
        <v>#REF!</v>
      </c>
      <c r="R97" t="e">
        <f t="shared" si="65"/>
        <v>#REF!</v>
      </c>
      <c r="S97" t="e">
        <f t="shared" si="65"/>
        <v>#REF!</v>
      </c>
      <c r="T97" t="e">
        <f t="shared" si="64"/>
        <v>#REF!</v>
      </c>
      <c r="U97" t="e">
        <f t="shared" si="64"/>
        <v>#REF!</v>
      </c>
      <c r="V97" t="e">
        <f t="shared" si="64"/>
        <v>#REF!</v>
      </c>
      <c r="W97" t="e">
        <f t="shared" si="64"/>
        <v>#REF!</v>
      </c>
      <c r="X97" t="e">
        <f t="shared" si="64"/>
        <v>#REF!</v>
      </c>
      <c r="Y97" t="e">
        <f t="shared" si="64"/>
        <v>#REF!</v>
      </c>
      <c r="Z97" t="e">
        <f t="shared" si="64"/>
        <v>#REF!</v>
      </c>
      <c r="AA97" t="e">
        <f t="shared" si="64"/>
        <v>#REF!</v>
      </c>
      <c r="AB97" t="e">
        <f t="shared" si="64"/>
        <v>#REF!</v>
      </c>
      <c r="AC97" t="e">
        <f t="shared" si="64"/>
        <v>#REF!</v>
      </c>
      <c r="AD97" t="e">
        <f t="shared" si="64"/>
        <v>#REF!</v>
      </c>
      <c r="AE97" t="e">
        <f t="shared" si="64"/>
        <v>#REF!</v>
      </c>
      <c r="AF97" t="e">
        <f t="shared" si="64"/>
        <v>#REF!</v>
      </c>
      <c r="AG97" t="e">
        <f t="shared" si="64"/>
        <v>#REF!</v>
      </c>
      <c r="AH97" t="e">
        <f t="shared" si="68"/>
        <v>#REF!</v>
      </c>
      <c r="AI97" t="e">
        <f t="shared" si="68"/>
        <v>#REF!</v>
      </c>
      <c r="AJ97" t="e">
        <f t="shared" si="68"/>
        <v>#REF!</v>
      </c>
      <c r="AK97" t="e">
        <f t="shared" si="68"/>
        <v>#REF!</v>
      </c>
      <c r="AL97" t="e">
        <f t="shared" si="68"/>
        <v>#REF!</v>
      </c>
      <c r="AM97" t="e">
        <f t="shared" si="68"/>
        <v>#REF!</v>
      </c>
      <c r="AN97" t="e">
        <f t="shared" si="68"/>
        <v>#REF!</v>
      </c>
      <c r="AO97" t="e">
        <f t="shared" si="68"/>
        <v>#REF!</v>
      </c>
      <c r="AP97" t="e">
        <f t="shared" si="68"/>
        <v>#REF!</v>
      </c>
      <c r="AQ97" t="e">
        <f t="shared" si="68"/>
        <v>#REF!</v>
      </c>
      <c r="AR97" t="e">
        <f t="shared" si="67"/>
        <v>#REF!</v>
      </c>
      <c r="AS97" t="e">
        <f t="shared" si="67"/>
        <v>#REF!</v>
      </c>
      <c r="AT97" t="e">
        <f t="shared" si="67"/>
        <v>#REF!</v>
      </c>
      <c r="AU97" t="e">
        <f t="shared" si="67"/>
        <v>#REF!</v>
      </c>
      <c r="AV97" t="e">
        <f t="shared" si="67"/>
        <v>#REF!</v>
      </c>
      <c r="AW97" t="e">
        <f t="shared" si="67"/>
        <v>#REF!</v>
      </c>
      <c r="AX97" t="e">
        <f t="shared" si="67"/>
        <v>#REF!</v>
      </c>
      <c r="AY97" t="e">
        <f t="shared" si="66"/>
        <v>#REF!</v>
      </c>
      <c r="AZ97" t="e">
        <f t="shared" si="66"/>
        <v>#REF!</v>
      </c>
      <c r="BA97" t="e">
        <f t="shared" si="66"/>
        <v>#REF!</v>
      </c>
      <c r="BB97" t="e">
        <f t="shared" si="66"/>
        <v>#REF!</v>
      </c>
      <c r="BC97" t="e">
        <f t="shared" si="66"/>
        <v>#REF!</v>
      </c>
      <c r="BD97" t="e">
        <f t="shared" si="66"/>
        <v>#REF!</v>
      </c>
      <c r="BE97" t="e">
        <f t="shared" si="66"/>
        <v>#REF!</v>
      </c>
      <c r="BF97" t="e">
        <f t="shared" si="66"/>
        <v>#REF!</v>
      </c>
      <c r="BG97" t="e">
        <f t="shared" si="66"/>
        <v>#REF!</v>
      </c>
      <c r="BH97" t="e">
        <f t="shared" si="66"/>
        <v>#REF!</v>
      </c>
      <c r="BI97" t="e">
        <f t="shared" si="66"/>
        <v>#REF!</v>
      </c>
      <c r="BJ97" t="e">
        <f t="shared" si="66"/>
        <v>#REF!</v>
      </c>
      <c r="BK97" t="e">
        <f t="shared" si="66"/>
        <v>#REF!</v>
      </c>
      <c r="BL97" t="e">
        <f t="shared" si="59"/>
        <v>#REF!</v>
      </c>
      <c r="BM97" t="e">
        <f t="shared" si="59"/>
        <v>#REF!</v>
      </c>
      <c r="BN97" t="e">
        <f t="shared" si="59"/>
        <v>#REF!</v>
      </c>
      <c r="BO97" t="e">
        <f t="shared" si="59"/>
        <v>#REF!</v>
      </c>
      <c r="BP97" t="e">
        <f t="shared" si="59"/>
        <v>#REF!</v>
      </c>
      <c r="BQ97" t="e">
        <f t="shared" si="59"/>
        <v>#REF!</v>
      </c>
      <c r="BR97" t="e">
        <f t="shared" si="59"/>
        <v>#REF!</v>
      </c>
      <c r="BS97" t="e">
        <f t="shared" si="59"/>
        <v>#REF!</v>
      </c>
      <c r="BT97" t="e">
        <f t="shared" si="58"/>
        <v>#REF!</v>
      </c>
      <c r="BU97" t="e">
        <f t="shared" si="58"/>
        <v>#REF!</v>
      </c>
      <c r="BV97" t="e">
        <f t="shared" si="58"/>
        <v>#REF!</v>
      </c>
      <c r="BW97" t="e">
        <f t="shared" si="58"/>
        <v>#REF!</v>
      </c>
      <c r="BX97" t="e">
        <f t="shared" si="58"/>
        <v>#REF!</v>
      </c>
      <c r="BY97" t="e">
        <f t="shared" si="58"/>
        <v>#REF!</v>
      </c>
      <c r="BZ97" t="e">
        <f t="shared" si="58"/>
        <v>#REF!</v>
      </c>
      <c r="CA97" t="e">
        <f t="shared" si="58"/>
        <v>#REF!</v>
      </c>
      <c r="CB97" t="e">
        <f t="shared" si="58"/>
        <v>#REF!</v>
      </c>
      <c r="CC97" t="e">
        <f t="shared" si="71"/>
        <v>#REF!</v>
      </c>
      <c r="CD97" t="e">
        <f t="shared" si="71"/>
        <v>#REF!</v>
      </c>
      <c r="CE97" t="e">
        <f t="shared" si="71"/>
        <v>#REF!</v>
      </c>
      <c r="CF97" t="e">
        <f t="shared" si="71"/>
        <v>#REF!</v>
      </c>
      <c r="CG97" t="e">
        <f t="shared" si="71"/>
        <v>#REF!</v>
      </c>
      <c r="CH97" t="e">
        <f t="shared" si="71"/>
        <v>#REF!</v>
      </c>
      <c r="CI97" t="e">
        <f t="shared" si="71"/>
        <v>#REF!</v>
      </c>
      <c r="CJ97" t="e">
        <f t="shared" si="71"/>
        <v>#REF!</v>
      </c>
      <c r="CK97" t="e">
        <f t="shared" si="71"/>
        <v>#REF!</v>
      </c>
      <c r="CL97" t="e">
        <f t="shared" si="71"/>
        <v>#REF!</v>
      </c>
      <c r="CM97" t="e">
        <f t="shared" si="71"/>
        <v>#REF!</v>
      </c>
      <c r="CN97" t="e">
        <f t="shared" si="71"/>
        <v>#REF!</v>
      </c>
      <c r="CO97" t="e">
        <f t="shared" si="71"/>
        <v>#REF!</v>
      </c>
      <c r="CP97" t="e">
        <f t="shared" si="70"/>
        <v>#REF!</v>
      </c>
      <c r="CQ97" t="e">
        <f t="shared" si="70"/>
        <v>#REF!</v>
      </c>
      <c r="CR97" t="e">
        <f t="shared" si="70"/>
        <v>#REF!</v>
      </c>
      <c r="CS97" t="e">
        <f t="shared" si="70"/>
        <v>#REF!</v>
      </c>
      <c r="CT97" t="e">
        <f t="shared" si="70"/>
        <v>#REF!</v>
      </c>
      <c r="CU97" t="e">
        <f t="shared" si="70"/>
        <v>#REF!</v>
      </c>
      <c r="CV97" t="e">
        <f t="shared" si="70"/>
        <v>#REF!</v>
      </c>
      <c r="CW97" t="e">
        <f t="shared" si="70"/>
        <v>#REF!</v>
      </c>
      <c r="CX97" t="e">
        <f t="shared" ref="CX97:DM113" si="74">MATCH(CONCATENATE(CX$3,"_",$C97),auto_DataFlat_UID,0)</f>
        <v>#REF!</v>
      </c>
      <c r="CY97" t="e">
        <f t="shared" si="74"/>
        <v>#REF!</v>
      </c>
      <c r="CZ97" t="e">
        <f t="shared" si="74"/>
        <v>#REF!</v>
      </c>
      <c r="DA97" t="e">
        <f t="shared" si="74"/>
        <v>#REF!</v>
      </c>
      <c r="DB97" t="e">
        <f t="shared" si="74"/>
        <v>#REF!</v>
      </c>
      <c r="DC97" t="e">
        <f t="shared" si="74"/>
        <v>#REF!</v>
      </c>
      <c r="DD97" t="e">
        <f t="shared" si="74"/>
        <v>#REF!</v>
      </c>
      <c r="DE97" t="e">
        <f t="shared" si="74"/>
        <v>#REF!</v>
      </c>
      <c r="DF97" t="e">
        <f t="shared" si="74"/>
        <v>#REF!</v>
      </c>
      <c r="DG97" t="e">
        <f t="shared" si="74"/>
        <v>#REF!</v>
      </c>
      <c r="DH97" t="e">
        <f t="shared" si="74"/>
        <v>#REF!</v>
      </c>
      <c r="DI97" t="e">
        <f t="shared" si="74"/>
        <v>#REF!</v>
      </c>
      <c r="DJ97" t="e">
        <f t="shared" si="61"/>
        <v>#REF!</v>
      </c>
      <c r="DK97" t="e">
        <f t="shared" si="61"/>
        <v>#REF!</v>
      </c>
      <c r="DL97" t="e">
        <f t="shared" si="61"/>
        <v>#REF!</v>
      </c>
      <c r="DM97" t="e">
        <f t="shared" si="61"/>
        <v>#REF!</v>
      </c>
      <c r="DN97" t="e">
        <f t="shared" si="61"/>
        <v>#REF!</v>
      </c>
      <c r="DO97" t="e">
        <f t="shared" si="61"/>
        <v>#REF!</v>
      </c>
      <c r="DP97" t="e">
        <f t="shared" si="61"/>
        <v>#REF!</v>
      </c>
      <c r="DQ97" t="e">
        <f t="shared" si="61"/>
        <v>#REF!</v>
      </c>
      <c r="DR97" t="e">
        <f t="shared" si="61"/>
        <v>#REF!</v>
      </c>
      <c r="DS97" t="e">
        <f t="shared" si="61"/>
        <v>#REF!</v>
      </c>
      <c r="DT97" t="e">
        <f t="shared" si="61"/>
        <v>#REF!</v>
      </c>
      <c r="DU97" t="e">
        <f t="shared" si="61"/>
        <v>#REF!</v>
      </c>
      <c r="DV97" t="e">
        <f t="shared" si="61"/>
        <v>#REF!</v>
      </c>
      <c r="DW97" t="e">
        <f t="shared" si="63"/>
        <v>#REF!</v>
      </c>
      <c r="DX97" t="e">
        <f t="shared" si="63"/>
        <v>#REF!</v>
      </c>
      <c r="DY97" t="e">
        <f t="shared" si="63"/>
        <v>#REF!</v>
      </c>
      <c r="DZ97" t="e">
        <f t="shared" si="63"/>
        <v>#REF!</v>
      </c>
      <c r="EA97" t="e">
        <f t="shared" si="63"/>
        <v>#REF!</v>
      </c>
      <c r="EB97" t="e">
        <f t="shared" si="63"/>
        <v>#REF!</v>
      </c>
      <c r="EC97" t="e">
        <f t="shared" si="63"/>
        <v>#REF!</v>
      </c>
      <c r="ED97" t="e">
        <f t="shared" ref="ED97:EM122" si="75">MATCH(CONCATENATE(ED$3,"_",$C97),auto_DataFlat_UID,0)</f>
        <v>#REF!</v>
      </c>
      <c r="EE97" t="e">
        <f t="shared" si="75"/>
        <v>#REF!</v>
      </c>
      <c r="EF97" t="e">
        <f t="shared" si="75"/>
        <v>#REF!</v>
      </c>
      <c r="EG97" t="e">
        <f t="shared" si="75"/>
        <v>#REF!</v>
      </c>
      <c r="EH97" t="e">
        <f t="shared" si="75"/>
        <v>#REF!</v>
      </c>
      <c r="EI97" t="e">
        <f t="shared" si="75"/>
        <v>#REF!</v>
      </c>
      <c r="EJ97" t="e">
        <f t="shared" si="75"/>
        <v>#REF!</v>
      </c>
      <c r="EK97" t="e">
        <f t="shared" si="75"/>
        <v>#REF!</v>
      </c>
      <c r="EL97" t="e">
        <f t="shared" si="75"/>
        <v>#REF!</v>
      </c>
      <c r="EM97" t="e">
        <f t="shared" si="75"/>
        <v>#REF!</v>
      </c>
    </row>
    <row r="98" spans="1:143" x14ac:dyDescent="0.4">
      <c r="A98" t="str">
        <f t="shared" si="51"/>
        <v>X</v>
      </c>
      <c r="B98">
        <v>95</v>
      </c>
      <c r="C98" t="e" cm="1">
        <f t="array" ref="C98">INDEX(auto_Series_Code,B98)</f>
        <v>#REF!</v>
      </c>
      <c r="D98" t="e">
        <f t="shared" si="65"/>
        <v>#REF!</v>
      </c>
      <c r="E98" t="e">
        <f t="shared" si="65"/>
        <v>#REF!</v>
      </c>
      <c r="F98" t="e">
        <f t="shared" si="65"/>
        <v>#REF!</v>
      </c>
      <c r="G98" t="e">
        <f t="shared" si="65"/>
        <v>#REF!</v>
      </c>
      <c r="H98" t="e">
        <f t="shared" si="65"/>
        <v>#REF!</v>
      </c>
      <c r="I98" t="e">
        <f t="shared" si="65"/>
        <v>#REF!</v>
      </c>
      <c r="J98" t="e">
        <f t="shared" si="65"/>
        <v>#REF!</v>
      </c>
      <c r="K98" t="e">
        <f t="shared" si="65"/>
        <v>#REF!</v>
      </c>
      <c r="L98" t="e">
        <f t="shared" si="65"/>
        <v>#REF!</v>
      </c>
      <c r="M98" t="e">
        <f t="shared" si="65"/>
        <v>#REF!</v>
      </c>
      <c r="N98" t="e">
        <f t="shared" si="65"/>
        <v>#REF!</v>
      </c>
      <c r="O98" t="e">
        <f t="shared" si="65"/>
        <v>#REF!</v>
      </c>
      <c r="P98" t="e">
        <f t="shared" si="65"/>
        <v>#REF!</v>
      </c>
      <c r="Q98" t="e">
        <f t="shared" si="65"/>
        <v>#REF!</v>
      </c>
      <c r="R98" t="e">
        <f t="shared" si="65"/>
        <v>#REF!</v>
      </c>
      <c r="S98" t="e">
        <f t="shared" si="65"/>
        <v>#REF!</v>
      </c>
      <c r="T98" t="e">
        <f t="shared" si="64"/>
        <v>#REF!</v>
      </c>
      <c r="U98" t="e">
        <f t="shared" si="64"/>
        <v>#REF!</v>
      </c>
      <c r="V98" t="e">
        <f t="shared" si="64"/>
        <v>#REF!</v>
      </c>
      <c r="W98" t="e">
        <f t="shared" si="64"/>
        <v>#REF!</v>
      </c>
      <c r="X98" t="e">
        <f t="shared" si="64"/>
        <v>#REF!</v>
      </c>
      <c r="Y98" t="e">
        <f t="shared" si="64"/>
        <v>#REF!</v>
      </c>
      <c r="Z98" t="e">
        <f t="shared" si="64"/>
        <v>#REF!</v>
      </c>
      <c r="AA98" t="e">
        <f t="shared" si="64"/>
        <v>#REF!</v>
      </c>
      <c r="AB98" t="e">
        <f t="shared" si="64"/>
        <v>#REF!</v>
      </c>
      <c r="AC98" t="e">
        <f t="shared" si="64"/>
        <v>#REF!</v>
      </c>
      <c r="AD98" t="e">
        <f t="shared" si="64"/>
        <v>#REF!</v>
      </c>
      <c r="AE98" t="e">
        <f t="shared" si="64"/>
        <v>#REF!</v>
      </c>
      <c r="AF98" t="e">
        <f t="shared" si="64"/>
        <v>#REF!</v>
      </c>
      <c r="AG98" t="e">
        <f t="shared" si="64"/>
        <v>#REF!</v>
      </c>
      <c r="AH98" t="e">
        <f t="shared" si="68"/>
        <v>#REF!</v>
      </c>
      <c r="AI98" t="e">
        <f t="shared" si="68"/>
        <v>#REF!</v>
      </c>
      <c r="AJ98" t="e">
        <f t="shared" si="68"/>
        <v>#REF!</v>
      </c>
      <c r="AK98" t="e">
        <f t="shared" si="68"/>
        <v>#REF!</v>
      </c>
      <c r="AL98" t="e">
        <f t="shared" si="68"/>
        <v>#REF!</v>
      </c>
      <c r="AM98" t="e">
        <f t="shared" si="68"/>
        <v>#REF!</v>
      </c>
      <c r="AN98" t="e">
        <f t="shared" si="68"/>
        <v>#REF!</v>
      </c>
      <c r="AO98" t="e">
        <f t="shared" si="68"/>
        <v>#REF!</v>
      </c>
      <c r="AP98" t="e">
        <f t="shared" si="68"/>
        <v>#REF!</v>
      </c>
      <c r="AQ98" t="e">
        <f t="shared" si="68"/>
        <v>#REF!</v>
      </c>
      <c r="AR98" t="e">
        <f t="shared" si="67"/>
        <v>#REF!</v>
      </c>
      <c r="AS98" t="e">
        <f t="shared" si="67"/>
        <v>#REF!</v>
      </c>
      <c r="AT98" t="e">
        <f t="shared" si="67"/>
        <v>#REF!</v>
      </c>
      <c r="AU98" t="e">
        <f t="shared" si="67"/>
        <v>#REF!</v>
      </c>
      <c r="AV98" t="e">
        <f t="shared" si="67"/>
        <v>#REF!</v>
      </c>
      <c r="AW98" t="e">
        <f t="shared" si="67"/>
        <v>#REF!</v>
      </c>
      <c r="AX98" t="e">
        <f t="shared" si="67"/>
        <v>#REF!</v>
      </c>
      <c r="AY98" t="e">
        <f t="shared" si="66"/>
        <v>#REF!</v>
      </c>
      <c r="AZ98" t="e">
        <f t="shared" si="66"/>
        <v>#REF!</v>
      </c>
      <c r="BA98" t="e">
        <f t="shared" si="66"/>
        <v>#REF!</v>
      </c>
      <c r="BB98" t="e">
        <f t="shared" si="66"/>
        <v>#REF!</v>
      </c>
      <c r="BC98" t="e">
        <f t="shared" si="66"/>
        <v>#REF!</v>
      </c>
      <c r="BD98" t="e">
        <f t="shared" si="66"/>
        <v>#REF!</v>
      </c>
      <c r="BE98" t="e">
        <f t="shared" si="66"/>
        <v>#REF!</v>
      </c>
      <c r="BF98" t="e">
        <f t="shared" si="66"/>
        <v>#REF!</v>
      </c>
      <c r="BG98" t="e">
        <f t="shared" si="66"/>
        <v>#REF!</v>
      </c>
      <c r="BH98" t="e">
        <f t="shared" si="66"/>
        <v>#REF!</v>
      </c>
      <c r="BI98" t="e">
        <f t="shared" si="66"/>
        <v>#REF!</v>
      </c>
      <c r="BJ98" t="e">
        <f t="shared" si="66"/>
        <v>#REF!</v>
      </c>
      <c r="BK98" t="e">
        <f t="shared" si="66"/>
        <v>#REF!</v>
      </c>
      <c r="BL98" t="e">
        <f t="shared" si="59"/>
        <v>#REF!</v>
      </c>
      <c r="BM98" t="e">
        <f t="shared" si="59"/>
        <v>#REF!</v>
      </c>
      <c r="BN98" t="e">
        <f t="shared" si="59"/>
        <v>#REF!</v>
      </c>
      <c r="BO98" t="e">
        <f t="shared" si="59"/>
        <v>#REF!</v>
      </c>
      <c r="BP98" t="e">
        <f t="shared" si="59"/>
        <v>#REF!</v>
      </c>
      <c r="BQ98" t="e">
        <f t="shared" si="59"/>
        <v>#REF!</v>
      </c>
      <c r="BR98" t="e">
        <f t="shared" si="59"/>
        <v>#REF!</v>
      </c>
      <c r="BS98" t="e">
        <f t="shared" si="59"/>
        <v>#REF!</v>
      </c>
      <c r="BT98" t="e">
        <f t="shared" si="58"/>
        <v>#REF!</v>
      </c>
      <c r="BU98" t="e">
        <f t="shared" si="58"/>
        <v>#REF!</v>
      </c>
      <c r="BV98" t="e">
        <f t="shared" si="58"/>
        <v>#REF!</v>
      </c>
      <c r="BW98" t="e">
        <f t="shared" si="58"/>
        <v>#REF!</v>
      </c>
      <c r="BX98" t="e">
        <f t="shared" si="58"/>
        <v>#REF!</v>
      </c>
      <c r="BY98" t="e">
        <f t="shared" si="58"/>
        <v>#REF!</v>
      </c>
      <c r="BZ98" t="e">
        <f t="shared" si="58"/>
        <v>#REF!</v>
      </c>
      <c r="CA98" t="e">
        <f t="shared" ref="CA98:CE98" si="76">MATCH(CONCATENATE(CA$3,"_",$C98),auto_DataFlat_UID,0)</f>
        <v>#REF!</v>
      </c>
      <c r="CB98" t="e">
        <f t="shared" si="76"/>
        <v>#REF!</v>
      </c>
      <c r="CC98" t="e">
        <f t="shared" si="76"/>
        <v>#REF!</v>
      </c>
      <c r="CD98" t="e">
        <f t="shared" si="76"/>
        <v>#REF!</v>
      </c>
      <c r="CE98" t="e">
        <f t="shared" si="76"/>
        <v>#REF!</v>
      </c>
      <c r="CF98" t="e">
        <f t="shared" si="71"/>
        <v>#REF!</v>
      </c>
      <c r="CG98" t="e">
        <f t="shared" si="71"/>
        <v>#REF!</v>
      </c>
      <c r="CH98" t="e">
        <f t="shared" si="71"/>
        <v>#REF!</v>
      </c>
      <c r="CI98" t="e">
        <f t="shared" si="71"/>
        <v>#REF!</v>
      </c>
      <c r="CJ98" t="e">
        <f t="shared" si="71"/>
        <v>#REF!</v>
      </c>
      <c r="CK98" t="e">
        <f t="shared" si="71"/>
        <v>#REF!</v>
      </c>
      <c r="CL98" t="e">
        <f t="shared" si="71"/>
        <v>#REF!</v>
      </c>
      <c r="CM98" t="e">
        <f t="shared" si="71"/>
        <v>#REF!</v>
      </c>
      <c r="CN98" t="e">
        <f t="shared" si="71"/>
        <v>#REF!</v>
      </c>
      <c r="CO98" t="e">
        <f t="shared" si="71"/>
        <v>#REF!</v>
      </c>
      <c r="CP98" t="e">
        <f t="shared" si="70"/>
        <v>#REF!</v>
      </c>
      <c r="CQ98" t="e">
        <f t="shared" si="70"/>
        <v>#REF!</v>
      </c>
      <c r="CR98" t="e">
        <f t="shared" si="70"/>
        <v>#REF!</v>
      </c>
      <c r="CS98" t="e">
        <f t="shared" si="70"/>
        <v>#REF!</v>
      </c>
      <c r="CT98" t="e">
        <f t="shared" si="70"/>
        <v>#REF!</v>
      </c>
      <c r="CU98" t="e">
        <f t="shared" si="70"/>
        <v>#REF!</v>
      </c>
      <c r="CV98" t="e">
        <f t="shared" si="70"/>
        <v>#REF!</v>
      </c>
      <c r="CW98" t="e">
        <f t="shared" si="70"/>
        <v>#REF!</v>
      </c>
      <c r="CX98" t="e">
        <f t="shared" si="74"/>
        <v>#REF!</v>
      </c>
      <c r="CY98" t="e">
        <f t="shared" si="74"/>
        <v>#REF!</v>
      </c>
      <c r="CZ98" t="e">
        <f t="shared" si="74"/>
        <v>#REF!</v>
      </c>
      <c r="DA98" t="e">
        <f t="shared" si="74"/>
        <v>#REF!</v>
      </c>
      <c r="DB98" t="e">
        <f t="shared" si="74"/>
        <v>#REF!</v>
      </c>
      <c r="DC98" t="e">
        <f t="shared" si="74"/>
        <v>#REF!</v>
      </c>
      <c r="DD98" t="e">
        <f t="shared" si="74"/>
        <v>#REF!</v>
      </c>
      <c r="DE98" t="e">
        <f t="shared" si="74"/>
        <v>#REF!</v>
      </c>
      <c r="DF98" t="e">
        <f t="shared" si="74"/>
        <v>#REF!</v>
      </c>
      <c r="DG98" t="e">
        <f t="shared" si="74"/>
        <v>#REF!</v>
      </c>
      <c r="DH98" t="e">
        <f t="shared" si="74"/>
        <v>#REF!</v>
      </c>
      <c r="DI98" t="e">
        <f t="shared" si="74"/>
        <v>#REF!</v>
      </c>
      <c r="DJ98" t="e">
        <f t="shared" si="61"/>
        <v>#REF!</v>
      </c>
      <c r="DK98" t="e">
        <f t="shared" si="61"/>
        <v>#REF!</v>
      </c>
      <c r="DL98" t="e">
        <f t="shared" si="61"/>
        <v>#REF!</v>
      </c>
      <c r="DM98" t="e">
        <f t="shared" si="61"/>
        <v>#REF!</v>
      </c>
      <c r="DN98" t="e">
        <f t="shared" si="61"/>
        <v>#REF!</v>
      </c>
      <c r="DO98" t="e">
        <f t="shared" si="61"/>
        <v>#REF!</v>
      </c>
      <c r="DP98" t="e">
        <f t="shared" si="61"/>
        <v>#REF!</v>
      </c>
      <c r="DQ98" t="e">
        <f t="shared" si="61"/>
        <v>#REF!</v>
      </c>
      <c r="DR98" t="e">
        <f t="shared" si="61"/>
        <v>#REF!</v>
      </c>
      <c r="DS98" t="e">
        <f t="shared" si="61"/>
        <v>#REF!</v>
      </c>
      <c r="DT98" t="e">
        <f t="shared" si="61"/>
        <v>#REF!</v>
      </c>
      <c r="DU98" t="e">
        <f t="shared" si="61"/>
        <v>#REF!</v>
      </c>
      <c r="DV98" t="e">
        <f t="shared" si="61"/>
        <v>#REF!</v>
      </c>
      <c r="DW98" t="e">
        <f t="shared" si="63"/>
        <v>#REF!</v>
      </c>
      <c r="DX98" t="e">
        <f t="shared" si="63"/>
        <v>#REF!</v>
      </c>
      <c r="DY98" t="e">
        <f t="shared" si="63"/>
        <v>#REF!</v>
      </c>
      <c r="DZ98" t="e">
        <f t="shared" si="63"/>
        <v>#REF!</v>
      </c>
      <c r="EA98" t="e">
        <f t="shared" si="63"/>
        <v>#REF!</v>
      </c>
      <c r="EB98" t="e">
        <f t="shared" si="63"/>
        <v>#REF!</v>
      </c>
      <c r="EC98" t="e">
        <f t="shared" si="63"/>
        <v>#REF!</v>
      </c>
      <c r="ED98" t="e">
        <f t="shared" si="75"/>
        <v>#REF!</v>
      </c>
      <c r="EE98" t="e">
        <f t="shared" si="75"/>
        <v>#REF!</v>
      </c>
      <c r="EF98" t="e">
        <f t="shared" si="75"/>
        <v>#REF!</v>
      </c>
      <c r="EG98" t="e">
        <f t="shared" si="75"/>
        <v>#REF!</v>
      </c>
      <c r="EH98" t="e">
        <f t="shared" si="75"/>
        <v>#REF!</v>
      </c>
      <c r="EI98" t="e">
        <f t="shared" si="75"/>
        <v>#REF!</v>
      </c>
      <c r="EJ98" t="e">
        <f t="shared" si="75"/>
        <v>#REF!</v>
      </c>
      <c r="EK98" t="e">
        <f t="shared" si="75"/>
        <v>#REF!</v>
      </c>
      <c r="EL98" t="e">
        <f t="shared" si="75"/>
        <v>#REF!</v>
      </c>
      <c r="EM98" t="e">
        <f t="shared" si="75"/>
        <v>#REF!</v>
      </c>
    </row>
    <row r="99" spans="1:143" x14ac:dyDescent="0.4">
      <c r="A99" t="str">
        <f t="shared" si="51"/>
        <v>X</v>
      </c>
      <c r="B99">
        <v>96</v>
      </c>
      <c r="C99" t="e" cm="1">
        <f t="array" ref="C99">INDEX(auto_Series_Code,B99)</f>
        <v>#REF!</v>
      </c>
      <c r="D99" t="e">
        <f t="shared" si="65"/>
        <v>#REF!</v>
      </c>
      <c r="E99" t="e">
        <f t="shared" si="65"/>
        <v>#REF!</v>
      </c>
      <c r="F99" t="e">
        <f t="shared" si="65"/>
        <v>#REF!</v>
      </c>
      <c r="G99" t="e">
        <f t="shared" si="65"/>
        <v>#REF!</v>
      </c>
      <c r="H99" t="e">
        <f t="shared" si="65"/>
        <v>#REF!</v>
      </c>
      <c r="I99" t="e">
        <f t="shared" si="65"/>
        <v>#REF!</v>
      </c>
      <c r="J99" t="e">
        <f t="shared" si="65"/>
        <v>#REF!</v>
      </c>
      <c r="K99" t="e">
        <f t="shared" si="65"/>
        <v>#REF!</v>
      </c>
      <c r="L99" t="e">
        <f t="shared" si="65"/>
        <v>#REF!</v>
      </c>
      <c r="M99" t="e">
        <f t="shared" si="65"/>
        <v>#REF!</v>
      </c>
      <c r="N99" t="e">
        <f t="shared" si="65"/>
        <v>#REF!</v>
      </c>
      <c r="O99" t="e">
        <f t="shared" si="65"/>
        <v>#REF!</v>
      </c>
      <c r="P99" t="e">
        <f t="shared" si="65"/>
        <v>#REF!</v>
      </c>
      <c r="Q99" t="e">
        <f t="shared" si="65"/>
        <v>#REF!</v>
      </c>
      <c r="R99" t="e">
        <f t="shared" si="65"/>
        <v>#REF!</v>
      </c>
      <c r="S99" t="e">
        <f t="shared" si="65"/>
        <v>#REF!</v>
      </c>
      <c r="T99" t="e">
        <f t="shared" si="64"/>
        <v>#REF!</v>
      </c>
      <c r="U99" t="e">
        <f t="shared" si="64"/>
        <v>#REF!</v>
      </c>
      <c r="V99" t="e">
        <f t="shared" si="64"/>
        <v>#REF!</v>
      </c>
      <c r="W99" t="e">
        <f t="shared" si="64"/>
        <v>#REF!</v>
      </c>
      <c r="X99" t="e">
        <f t="shared" si="64"/>
        <v>#REF!</v>
      </c>
      <c r="Y99" t="e">
        <f t="shared" si="64"/>
        <v>#REF!</v>
      </c>
      <c r="Z99" t="e">
        <f t="shared" si="64"/>
        <v>#REF!</v>
      </c>
      <c r="AA99" t="e">
        <f t="shared" si="64"/>
        <v>#REF!</v>
      </c>
      <c r="AB99" t="e">
        <f t="shared" si="64"/>
        <v>#REF!</v>
      </c>
      <c r="AC99" t="e">
        <f t="shared" si="64"/>
        <v>#REF!</v>
      </c>
      <c r="AD99" t="e">
        <f t="shared" si="64"/>
        <v>#REF!</v>
      </c>
      <c r="AE99" t="e">
        <f t="shared" si="64"/>
        <v>#REF!</v>
      </c>
      <c r="AF99" t="e">
        <f t="shared" si="64"/>
        <v>#REF!</v>
      </c>
      <c r="AG99" t="e">
        <f t="shared" si="64"/>
        <v>#REF!</v>
      </c>
      <c r="AH99" t="e">
        <f t="shared" si="68"/>
        <v>#REF!</v>
      </c>
      <c r="AI99" t="e">
        <f t="shared" si="68"/>
        <v>#REF!</v>
      </c>
      <c r="AJ99" t="e">
        <f t="shared" si="68"/>
        <v>#REF!</v>
      </c>
      <c r="AK99" t="e">
        <f t="shared" si="68"/>
        <v>#REF!</v>
      </c>
      <c r="AL99" t="e">
        <f t="shared" si="68"/>
        <v>#REF!</v>
      </c>
      <c r="AM99" t="e">
        <f t="shared" si="68"/>
        <v>#REF!</v>
      </c>
      <c r="AN99" t="e">
        <f t="shared" si="68"/>
        <v>#REF!</v>
      </c>
      <c r="AO99" t="e">
        <f t="shared" si="68"/>
        <v>#REF!</v>
      </c>
      <c r="AP99" t="e">
        <f t="shared" si="68"/>
        <v>#REF!</v>
      </c>
      <c r="AQ99" t="e">
        <f t="shared" si="68"/>
        <v>#REF!</v>
      </c>
      <c r="AR99" t="e">
        <f t="shared" si="67"/>
        <v>#REF!</v>
      </c>
      <c r="AS99" t="e">
        <f t="shared" si="67"/>
        <v>#REF!</v>
      </c>
      <c r="AT99" t="e">
        <f t="shared" si="67"/>
        <v>#REF!</v>
      </c>
      <c r="AU99" t="e">
        <f t="shared" si="67"/>
        <v>#REF!</v>
      </c>
      <c r="AV99" t="e">
        <f t="shared" si="67"/>
        <v>#REF!</v>
      </c>
      <c r="AW99" t="e">
        <f t="shared" si="67"/>
        <v>#REF!</v>
      </c>
      <c r="AX99" t="e">
        <f t="shared" si="67"/>
        <v>#REF!</v>
      </c>
      <c r="AY99" t="e">
        <f t="shared" si="66"/>
        <v>#REF!</v>
      </c>
      <c r="AZ99" t="e">
        <f t="shared" si="66"/>
        <v>#REF!</v>
      </c>
      <c r="BA99" t="e">
        <f t="shared" si="66"/>
        <v>#REF!</v>
      </c>
      <c r="BB99" t="e">
        <f t="shared" si="66"/>
        <v>#REF!</v>
      </c>
      <c r="BC99" t="e">
        <f t="shared" si="66"/>
        <v>#REF!</v>
      </c>
      <c r="BD99" t="e">
        <f t="shared" si="66"/>
        <v>#REF!</v>
      </c>
      <c r="BE99" t="e">
        <f t="shared" si="66"/>
        <v>#REF!</v>
      </c>
      <c r="BF99" t="e">
        <f t="shared" si="66"/>
        <v>#REF!</v>
      </c>
      <c r="BG99" t="e">
        <f t="shared" si="66"/>
        <v>#REF!</v>
      </c>
      <c r="BH99" t="e">
        <f t="shared" si="66"/>
        <v>#REF!</v>
      </c>
      <c r="BI99" t="e">
        <f t="shared" si="66"/>
        <v>#REF!</v>
      </c>
      <c r="BJ99" t="e">
        <f t="shared" si="66"/>
        <v>#REF!</v>
      </c>
      <c r="BK99" t="e">
        <f t="shared" si="66"/>
        <v>#REF!</v>
      </c>
      <c r="BL99" t="e">
        <f t="shared" si="59"/>
        <v>#REF!</v>
      </c>
      <c r="BM99" t="e">
        <f t="shared" si="59"/>
        <v>#REF!</v>
      </c>
      <c r="BN99" t="e">
        <f t="shared" si="59"/>
        <v>#REF!</v>
      </c>
      <c r="BO99" t="e">
        <f t="shared" si="59"/>
        <v>#REF!</v>
      </c>
      <c r="BP99" t="e">
        <f t="shared" si="59"/>
        <v>#REF!</v>
      </c>
      <c r="BQ99" t="e">
        <f t="shared" si="59"/>
        <v>#REF!</v>
      </c>
      <c r="BR99" t="e">
        <f t="shared" si="59"/>
        <v>#REF!</v>
      </c>
      <c r="BS99" t="e">
        <f t="shared" si="59"/>
        <v>#REF!</v>
      </c>
      <c r="BT99" t="e">
        <f t="shared" ref="BT99:CI121" si="77">MATCH(CONCATENATE(BT$3,"_",$C99),auto_DataFlat_UID,0)</f>
        <v>#REF!</v>
      </c>
      <c r="BU99" t="e">
        <f t="shared" si="77"/>
        <v>#REF!</v>
      </c>
      <c r="BV99" t="e">
        <f t="shared" si="77"/>
        <v>#REF!</v>
      </c>
      <c r="BW99" t="e">
        <f t="shared" si="77"/>
        <v>#REF!</v>
      </c>
      <c r="BX99" t="e">
        <f t="shared" si="77"/>
        <v>#REF!</v>
      </c>
      <c r="BY99" t="e">
        <f t="shared" si="77"/>
        <v>#REF!</v>
      </c>
      <c r="BZ99" t="e">
        <f t="shared" si="77"/>
        <v>#REF!</v>
      </c>
      <c r="CA99" t="e">
        <f t="shared" si="77"/>
        <v>#REF!</v>
      </c>
      <c r="CB99" t="e">
        <f t="shared" si="77"/>
        <v>#REF!</v>
      </c>
      <c r="CC99" t="e">
        <f t="shared" si="77"/>
        <v>#REF!</v>
      </c>
      <c r="CD99" t="e">
        <f t="shared" si="77"/>
        <v>#REF!</v>
      </c>
      <c r="CE99" t="e">
        <f t="shared" si="77"/>
        <v>#REF!</v>
      </c>
      <c r="CF99" t="e">
        <f t="shared" si="71"/>
        <v>#REF!</v>
      </c>
      <c r="CG99" t="e">
        <f t="shared" si="71"/>
        <v>#REF!</v>
      </c>
      <c r="CH99" t="e">
        <f t="shared" si="71"/>
        <v>#REF!</v>
      </c>
      <c r="CI99" t="e">
        <f t="shared" si="71"/>
        <v>#REF!</v>
      </c>
      <c r="CJ99" t="e">
        <f t="shared" si="71"/>
        <v>#REF!</v>
      </c>
      <c r="CK99" t="e">
        <f t="shared" si="71"/>
        <v>#REF!</v>
      </c>
      <c r="CL99" t="e">
        <f t="shared" si="71"/>
        <v>#REF!</v>
      </c>
      <c r="CM99" t="e">
        <f t="shared" si="71"/>
        <v>#REF!</v>
      </c>
      <c r="CN99" t="e">
        <f t="shared" si="71"/>
        <v>#REF!</v>
      </c>
      <c r="CO99" t="e">
        <f t="shared" si="71"/>
        <v>#REF!</v>
      </c>
      <c r="CP99" t="e">
        <f t="shared" si="70"/>
        <v>#REF!</v>
      </c>
      <c r="CQ99" t="e">
        <f t="shared" si="70"/>
        <v>#REF!</v>
      </c>
      <c r="CR99" t="e">
        <f t="shared" si="70"/>
        <v>#REF!</v>
      </c>
      <c r="CS99" t="e">
        <f t="shared" si="70"/>
        <v>#REF!</v>
      </c>
      <c r="CT99" t="e">
        <f t="shared" si="70"/>
        <v>#REF!</v>
      </c>
      <c r="CU99" t="e">
        <f t="shared" si="70"/>
        <v>#REF!</v>
      </c>
      <c r="CV99" t="e">
        <f t="shared" si="70"/>
        <v>#REF!</v>
      </c>
      <c r="CW99" t="e">
        <f t="shared" si="70"/>
        <v>#REF!</v>
      </c>
      <c r="CX99" t="e">
        <f t="shared" si="74"/>
        <v>#REF!</v>
      </c>
      <c r="CY99" t="e">
        <f t="shared" si="74"/>
        <v>#REF!</v>
      </c>
      <c r="CZ99" t="e">
        <f t="shared" si="74"/>
        <v>#REF!</v>
      </c>
      <c r="DA99" t="e">
        <f t="shared" si="74"/>
        <v>#REF!</v>
      </c>
      <c r="DB99" t="e">
        <f t="shared" si="74"/>
        <v>#REF!</v>
      </c>
      <c r="DC99" t="e">
        <f t="shared" si="74"/>
        <v>#REF!</v>
      </c>
      <c r="DD99" t="e">
        <f t="shared" si="74"/>
        <v>#REF!</v>
      </c>
      <c r="DE99" t="e">
        <f t="shared" si="74"/>
        <v>#REF!</v>
      </c>
      <c r="DF99" t="e">
        <f t="shared" si="74"/>
        <v>#REF!</v>
      </c>
      <c r="DG99" t="e">
        <f t="shared" si="74"/>
        <v>#REF!</v>
      </c>
      <c r="DH99" t="e">
        <f t="shared" si="74"/>
        <v>#REF!</v>
      </c>
      <c r="DI99" t="e">
        <f t="shared" si="74"/>
        <v>#REF!</v>
      </c>
      <c r="DJ99" t="e">
        <f t="shared" si="61"/>
        <v>#REF!</v>
      </c>
      <c r="DK99" t="e">
        <f t="shared" si="61"/>
        <v>#REF!</v>
      </c>
      <c r="DL99" t="e">
        <f t="shared" si="61"/>
        <v>#REF!</v>
      </c>
      <c r="DM99" t="e">
        <f t="shared" si="61"/>
        <v>#REF!</v>
      </c>
      <c r="DN99" t="e">
        <f t="shared" si="61"/>
        <v>#REF!</v>
      </c>
      <c r="DO99" t="e">
        <f t="shared" si="61"/>
        <v>#REF!</v>
      </c>
      <c r="DP99" t="e">
        <f t="shared" si="61"/>
        <v>#REF!</v>
      </c>
      <c r="DQ99" t="e">
        <f t="shared" si="61"/>
        <v>#REF!</v>
      </c>
      <c r="DR99" t="e">
        <f t="shared" si="61"/>
        <v>#REF!</v>
      </c>
      <c r="DS99" t="e">
        <f t="shared" si="61"/>
        <v>#REF!</v>
      </c>
      <c r="DT99" t="e">
        <f t="shared" si="61"/>
        <v>#REF!</v>
      </c>
      <c r="DU99" t="e">
        <f t="shared" si="61"/>
        <v>#REF!</v>
      </c>
      <c r="DV99" t="e">
        <f t="shared" si="61"/>
        <v>#REF!</v>
      </c>
      <c r="DW99" t="e">
        <f t="shared" si="63"/>
        <v>#REF!</v>
      </c>
      <c r="DX99" t="e">
        <f t="shared" si="63"/>
        <v>#REF!</v>
      </c>
      <c r="DY99" t="e">
        <f t="shared" si="63"/>
        <v>#REF!</v>
      </c>
      <c r="DZ99" t="e">
        <f t="shared" si="63"/>
        <v>#REF!</v>
      </c>
      <c r="EA99" t="e">
        <f t="shared" si="63"/>
        <v>#REF!</v>
      </c>
      <c r="EB99" t="e">
        <f t="shared" si="63"/>
        <v>#REF!</v>
      </c>
      <c r="EC99" t="e">
        <f t="shared" si="63"/>
        <v>#REF!</v>
      </c>
      <c r="ED99" t="e">
        <f t="shared" si="75"/>
        <v>#REF!</v>
      </c>
      <c r="EE99" t="e">
        <f t="shared" si="75"/>
        <v>#REF!</v>
      </c>
      <c r="EF99" t="e">
        <f t="shared" si="75"/>
        <v>#REF!</v>
      </c>
      <c r="EG99" t="e">
        <f t="shared" si="75"/>
        <v>#REF!</v>
      </c>
      <c r="EH99" t="e">
        <f t="shared" si="75"/>
        <v>#REF!</v>
      </c>
      <c r="EI99" t="e">
        <f t="shared" si="75"/>
        <v>#REF!</v>
      </c>
      <c r="EJ99" t="e">
        <f t="shared" si="75"/>
        <v>#REF!</v>
      </c>
      <c r="EK99" t="e">
        <f t="shared" si="75"/>
        <v>#REF!</v>
      </c>
      <c r="EL99" t="e">
        <f t="shared" si="75"/>
        <v>#REF!</v>
      </c>
      <c r="EM99" t="e">
        <f t="shared" si="75"/>
        <v>#REF!</v>
      </c>
    </row>
    <row r="100" spans="1:143" x14ac:dyDescent="0.4">
      <c r="A100" t="str">
        <f t="shared" si="51"/>
        <v>X</v>
      </c>
      <c r="B100">
        <v>97</v>
      </c>
      <c r="C100" t="e" cm="1">
        <f t="array" ref="C100">INDEX(auto_Series_Code,B100)</f>
        <v>#REF!</v>
      </c>
      <c r="D100" t="e">
        <f t="shared" si="65"/>
        <v>#REF!</v>
      </c>
      <c r="E100" t="e">
        <f t="shared" si="65"/>
        <v>#REF!</v>
      </c>
      <c r="F100" t="e">
        <f t="shared" si="65"/>
        <v>#REF!</v>
      </c>
      <c r="G100" t="e">
        <f t="shared" si="65"/>
        <v>#REF!</v>
      </c>
      <c r="H100" t="e">
        <f t="shared" si="65"/>
        <v>#REF!</v>
      </c>
      <c r="I100" t="e">
        <f t="shared" si="65"/>
        <v>#REF!</v>
      </c>
      <c r="J100" t="e">
        <f t="shared" si="65"/>
        <v>#REF!</v>
      </c>
      <c r="K100" t="e">
        <f t="shared" si="65"/>
        <v>#REF!</v>
      </c>
      <c r="L100" t="e">
        <f t="shared" si="65"/>
        <v>#REF!</v>
      </c>
      <c r="M100" t="e">
        <f t="shared" si="65"/>
        <v>#REF!</v>
      </c>
      <c r="N100" t="e">
        <f t="shared" si="65"/>
        <v>#REF!</v>
      </c>
      <c r="O100" t="e">
        <f t="shared" si="65"/>
        <v>#REF!</v>
      </c>
      <c r="P100" t="e">
        <f t="shared" si="65"/>
        <v>#REF!</v>
      </c>
      <c r="Q100" t="e">
        <f t="shared" si="65"/>
        <v>#REF!</v>
      </c>
      <c r="R100" t="e">
        <f t="shared" si="65"/>
        <v>#REF!</v>
      </c>
      <c r="S100" t="e">
        <f t="shared" si="65"/>
        <v>#REF!</v>
      </c>
      <c r="T100" t="e">
        <f t="shared" si="64"/>
        <v>#REF!</v>
      </c>
      <c r="U100" t="e">
        <f t="shared" si="64"/>
        <v>#REF!</v>
      </c>
      <c r="V100" t="e">
        <f t="shared" si="64"/>
        <v>#REF!</v>
      </c>
      <c r="W100" t="e">
        <f t="shared" si="64"/>
        <v>#REF!</v>
      </c>
      <c r="X100" t="e">
        <f t="shared" si="64"/>
        <v>#REF!</v>
      </c>
      <c r="Y100" t="e">
        <f t="shared" si="64"/>
        <v>#REF!</v>
      </c>
      <c r="Z100" t="e">
        <f t="shared" si="64"/>
        <v>#REF!</v>
      </c>
      <c r="AA100" t="e">
        <f t="shared" si="64"/>
        <v>#REF!</v>
      </c>
      <c r="AB100" t="e">
        <f t="shared" si="64"/>
        <v>#REF!</v>
      </c>
      <c r="AC100" t="e">
        <f t="shared" si="64"/>
        <v>#REF!</v>
      </c>
      <c r="AD100" t="e">
        <f t="shared" si="64"/>
        <v>#REF!</v>
      </c>
      <c r="AE100" t="e">
        <f t="shared" si="64"/>
        <v>#REF!</v>
      </c>
      <c r="AF100" t="e">
        <f t="shared" si="64"/>
        <v>#REF!</v>
      </c>
      <c r="AG100" t="e">
        <f t="shared" si="64"/>
        <v>#REF!</v>
      </c>
      <c r="AH100" t="e">
        <f t="shared" si="68"/>
        <v>#REF!</v>
      </c>
      <c r="AI100" t="e">
        <f t="shared" si="68"/>
        <v>#REF!</v>
      </c>
      <c r="AJ100" t="e">
        <f t="shared" si="68"/>
        <v>#REF!</v>
      </c>
      <c r="AK100" t="e">
        <f t="shared" si="68"/>
        <v>#REF!</v>
      </c>
      <c r="AL100" t="e">
        <f t="shared" si="68"/>
        <v>#REF!</v>
      </c>
      <c r="AM100" t="e">
        <f t="shared" si="68"/>
        <v>#REF!</v>
      </c>
      <c r="AN100" t="e">
        <f t="shared" si="68"/>
        <v>#REF!</v>
      </c>
      <c r="AO100" t="e">
        <f t="shared" si="68"/>
        <v>#REF!</v>
      </c>
      <c r="AP100" t="e">
        <f t="shared" si="68"/>
        <v>#REF!</v>
      </c>
      <c r="AQ100" t="e">
        <f t="shared" si="68"/>
        <v>#REF!</v>
      </c>
      <c r="AR100" t="e">
        <f t="shared" si="67"/>
        <v>#REF!</v>
      </c>
      <c r="AS100" t="e">
        <f t="shared" si="67"/>
        <v>#REF!</v>
      </c>
      <c r="AT100" t="e">
        <f t="shared" si="67"/>
        <v>#REF!</v>
      </c>
      <c r="AU100" t="e">
        <f t="shared" si="67"/>
        <v>#REF!</v>
      </c>
      <c r="AV100" t="e">
        <f t="shared" si="67"/>
        <v>#REF!</v>
      </c>
      <c r="AW100" t="e">
        <f t="shared" si="67"/>
        <v>#REF!</v>
      </c>
      <c r="AX100" t="e">
        <f t="shared" si="67"/>
        <v>#REF!</v>
      </c>
      <c r="AY100" t="e">
        <f t="shared" si="66"/>
        <v>#REF!</v>
      </c>
      <c r="AZ100" t="e">
        <f t="shared" si="66"/>
        <v>#REF!</v>
      </c>
      <c r="BA100" t="e">
        <f t="shared" si="66"/>
        <v>#REF!</v>
      </c>
      <c r="BB100" t="e">
        <f t="shared" si="66"/>
        <v>#REF!</v>
      </c>
      <c r="BC100" t="e">
        <f t="shared" si="66"/>
        <v>#REF!</v>
      </c>
      <c r="BD100" t="e">
        <f t="shared" si="66"/>
        <v>#REF!</v>
      </c>
      <c r="BE100" t="e">
        <f t="shared" si="66"/>
        <v>#REF!</v>
      </c>
      <c r="BF100" t="e">
        <f t="shared" si="66"/>
        <v>#REF!</v>
      </c>
      <c r="BG100" t="e">
        <f t="shared" si="66"/>
        <v>#REF!</v>
      </c>
      <c r="BH100" t="e">
        <f t="shared" si="66"/>
        <v>#REF!</v>
      </c>
      <c r="BI100" t="e">
        <f t="shared" si="66"/>
        <v>#REF!</v>
      </c>
      <c r="BJ100" t="e">
        <f t="shared" si="66"/>
        <v>#REF!</v>
      </c>
      <c r="BK100" t="e">
        <f t="shared" si="66"/>
        <v>#REF!</v>
      </c>
      <c r="BL100" t="e">
        <f t="shared" si="59"/>
        <v>#REF!</v>
      </c>
      <c r="BM100" t="e">
        <f t="shared" si="59"/>
        <v>#REF!</v>
      </c>
      <c r="BN100" t="e">
        <f t="shared" si="59"/>
        <v>#REF!</v>
      </c>
      <c r="BO100" t="e">
        <f t="shared" si="59"/>
        <v>#REF!</v>
      </c>
      <c r="BP100" t="e">
        <f t="shared" si="59"/>
        <v>#REF!</v>
      </c>
      <c r="BQ100" t="e">
        <f t="shared" si="59"/>
        <v>#REF!</v>
      </c>
      <c r="BR100" t="e">
        <f t="shared" si="59"/>
        <v>#REF!</v>
      </c>
      <c r="BS100" t="e">
        <f t="shared" si="59"/>
        <v>#REF!</v>
      </c>
      <c r="BT100" t="e">
        <f t="shared" si="77"/>
        <v>#REF!</v>
      </c>
      <c r="BU100" t="e">
        <f t="shared" si="77"/>
        <v>#REF!</v>
      </c>
      <c r="BV100" t="e">
        <f t="shared" si="77"/>
        <v>#REF!</v>
      </c>
      <c r="BW100" t="e">
        <f t="shared" si="77"/>
        <v>#REF!</v>
      </c>
      <c r="BX100" t="e">
        <f t="shared" si="77"/>
        <v>#REF!</v>
      </c>
      <c r="BY100" t="e">
        <f t="shared" si="77"/>
        <v>#REF!</v>
      </c>
      <c r="BZ100" t="e">
        <f t="shared" si="77"/>
        <v>#REF!</v>
      </c>
      <c r="CA100" t="e">
        <f t="shared" si="77"/>
        <v>#REF!</v>
      </c>
      <c r="CB100" t="e">
        <f t="shared" si="77"/>
        <v>#REF!</v>
      </c>
      <c r="CC100" t="e">
        <f t="shared" si="77"/>
        <v>#REF!</v>
      </c>
      <c r="CD100" t="e">
        <f t="shared" si="77"/>
        <v>#REF!</v>
      </c>
      <c r="CE100" t="e">
        <f t="shared" si="77"/>
        <v>#REF!</v>
      </c>
      <c r="CF100" t="e">
        <f t="shared" si="71"/>
        <v>#REF!</v>
      </c>
      <c r="CG100" t="e">
        <f t="shared" si="71"/>
        <v>#REF!</v>
      </c>
      <c r="CH100" t="e">
        <f t="shared" si="71"/>
        <v>#REF!</v>
      </c>
      <c r="CI100" t="e">
        <f t="shared" si="71"/>
        <v>#REF!</v>
      </c>
      <c r="CJ100" t="e">
        <f t="shared" si="71"/>
        <v>#REF!</v>
      </c>
      <c r="CK100" t="e">
        <f t="shared" si="71"/>
        <v>#REF!</v>
      </c>
      <c r="CL100" t="e">
        <f t="shared" si="71"/>
        <v>#REF!</v>
      </c>
      <c r="CM100" t="e">
        <f t="shared" si="71"/>
        <v>#REF!</v>
      </c>
      <c r="CN100" t="e">
        <f t="shared" si="71"/>
        <v>#REF!</v>
      </c>
      <c r="CO100" t="e">
        <f t="shared" si="71"/>
        <v>#REF!</v>
      </c>
      <c r="CP100" t="e">
        <f t="shared" si="70"/>
        <v>#REF!</v>
      </c>
      <c r="CQ100" t="e">
        <f t="shared" si="70"/>
        <v>#REF!</v>
      </c>
      <c r="CR100" t="e">
        <f t="shared" si="70"/>
        <v>#REF!</v>
      </c>
      <c r="CS100" t="e">
        <f t="shared" si="70"/>
        <v>#REF!</v>
      </c>
      <c r="CT100" t="e">
        <f t="shared" si="70"/>
        <v>#REF!</v>
      </c>
      <c r="CU100" t="e">
        <f t="shared" si="70"/>
        <v>#REF!</v>
      </c>
      <c r="CV100" t="e">
        <f t="shared" si="70"/>
        <v>#REF!</v>
      </c>
      <c r="CW100" t="e">
        <f t="shared" si="70"/>
        <v>#REF!</v>
      </c>
      <c r="CX100" t="e">
        <f t="shared" si="74"/>
        <v>#REF!</v>
      </c>
      <c r="CY100" t="e">
        <f t="shared" si="74"/>
        <v>#REF!</v>
      </c>
      <c r="CZ100" t="e">
        <f t="shared" si="74"/>
        <v>#REF!</v>
      </c>
      <c r="DA100" t="e">
        <f t="shared" si="74"/>
        <v>#REF!</v>
      </c>
      <c r="DB100" t="e">
        <f t="shared" si="74"/>
        <v>#REF!</v>
      </c>
      <c r="DC100" t="e">
        <f t="shared" si="74"/>
        <v>#REF!</v>
      </c>
      <c r="DD100" t="e">
        <f t="shared" si="74"/>
        <v>#REF!</v>
      </c>
      <c r="DE100" t="e">
        <f t="shared" si="74"/>
        <v>#REF!</v>
      </c>
      <c r="DF100" t="e">
        <f t="shared" si="74"/>
        <v>#REF!</v>
      </c>
      <c r="DG100" t="e">
        <f t="shared" si="74"/>
        <v>#REF!</v>
      </c>
      <c r="DH100" t="e">
        <f t="shared" si="74"/>
        <v>#REF!</v>
      </c>
      <c r="DI100" t="e">
        <f t="shared" si="74"/>
        <v>#REF!</v>
      </c>
      <c r="DJ100" t="e">
        <f t="shared" si="61"/>
        <v>#REF!</v>
      </c>
      <c r="DK100" t="e">
        <f t="shared" si="61"/>
        <v>#REF!</v>
      </c>
      <c r="DL100" t="e">
        <f t="shared" si="61"/>
        <v>#REF!</v>
      </c>
      <c r="DM100" t="e">
        <f t="shared" si="61"/>
        <v>#REF!</v>
      </c>
      <c r="DN100" t="e">
        <f t="shared" si="61"/>
        <v>#REF!</v>
      </c>
      <c r="DO100" t="e">
        <f t="shared" si="61"/>
        <v>#REF!</v>
      </c>
      <c r="DP100" t="e">
        <f t="shared" si="61"/>
        <v>#REF!</v>
      </c>
      <c r="DQ100" t="e">
        <f t="shared" si="61"/>
        <v>#REF!</v>
      </c>
      <c r="DR100" t="e">
        <f t="shared" si="61"/>
        <v>#REF!</v>
      </c>
      <c r="DS100" t="e">
        <f t="shared" si="61"/>
        <v>#REF!</v>
      </c>
      <c r="DT100" t="e">
        <f t="shared" ref="DT100:DY100" si="78">MATCH(CONCATENATE(DT$3,"_",$C100),auto_DataFlat_UID,0)</f>
        <v>#REF!</v>
      </c>
      <c r="DU100" t="e">
        <f t="shared" si="78"/>
        <v>#REF!</v>
      </c>
      <c r="DV100" t="e">
        <f t="shared" si="78"/>
        <v>#REF!</v>
      </c>
      <c r="DW100" t="e">
        <f t="shared" si="78"/>
        <v>#REF!</v>
      </c>
      <c r="DX100" t="e">
        <f t="shared" si="78"/>
        <v>#REF!</v>
      </c>
      <c r="DY100" t="e">
        <f t="shared" si="78"/>
        <v>#REF!</v>
      </c>
      <c r="DZ100" t="e">
        <f t="shared" si="63"/>
        <v>#REF!</v>
      </c>
      <c r="EA100" t="e">
        <f t="shared" si="63"/>
        <v>#REF!</v>
      </c>
      <c r="EB100" t="e">
        <f t="shared" si="63"/>
        <v>#REF!</v>
      </c>
      <c r="EC100" t="e">
        <f t="shared" si="63"/>
        <v>#REF!</v>
      </c>
      <c r="ED100" t="e">
        <f t="shared" si="75"/>
        <v>#REF!</v>
      </c>
      <c r="EE100" t="e">
        <f t="shared" si="75"/>
        <v>#REF!</v>
      </c>
      <c r="EF100" t="e">
        <f t="shared" si="75"/>
        <v>#REF!</v>
      </c>
      <c r="EG100" t="e">
        <f t="shared" si="75"/>
        <v>#REF!</v>
      </c>
      <c r="EH100" t="e">
        <f t="shared" si="75"/>
        <v>#REF!</v>
      </c>
      <c r="EI100" t="e">
        <f t="shared" si="75"/>
        <v>#REF!</v>
      </c>
      <c r="EJ100" t="e">
        <f t="shared" si="75"/>
        <v>#REF!</v>
      </c>
      <c r="EK100" t="e">
        <f t="shared" si="75"/>
        <v>#REF!</v>
      </c>
      <c r="EL100" t="e">
        <f t="shared" si="75"/>
        <v>#REF!</v>
      </c>
      <c r="EM100" t="e">
        <f t="shared" si="75"/>
        <v>#REF!</v>
      </c>
    </row>
    <row r="101" spans="1:143" x14ac:dyDescent="0.4">
      <c r="A101" t="str">
        <f t="shared" si="51"/>
        <v>X</v>
      </c>
      <c r="B101">
        <v>98</v>
      </c>
      <c r="C101" t="e" cm="1">
        <f t="array" ref="C101">INDEX(auto_Series_Code,B101)</f>
        <v>#REF!</v>
      </c>
      <c r="D101" t="e">
        <f t="shared" si="65"/>
        <v>#REF!</v>
      </c>
      <c r="E101" t="e">
        <f t="shared" si="65"/>
        <v>#REF!</v>
      </c>
      <c r="F101" t="e">
        <f t="shared" si="65"/>
        <v>#REF!</v>
      </c>
      <c r="G101" t="e">
        <f t="shared" si="65"/>
        <v>#REF!</v>
      </c>
      <c r="H101" t="e">
        <f t="shared" si="65"/>
        <v>#REF!</v>
      </c>
      <c r="I101" t="e">
        <f t="shared" si="65"/>
        <v>#REF!</v>
      </c>
      <c r="J101" t="e">
        <f t="shared" si="65"/>
        <v>#REF!</v>
      </c>
      <c r="K101" t="e">
        <f t="shared" si="65"/>
        <v>#REF!</v>
      </c>
      <c r="L101" t="e">
        <f t="shared" si="65"/>
        <v>#REF!</v>
      </c>
      <c r="M101" t="e">
        <f t="shared" si="65"/>
        <v>#REF!</v>
      </c>
      <c r="N101" t="e">
        <f t="shared" si="65"/>
        <v>#REF!</v>
      </c>
      <c r="O101" t="e">
        <f t="shared" si="65"/>
        <v>#REF!</v>
      </c>
      <c r="P101" t="e">
        <f t="shared" si="65"/>
        <v>#REF!</v>
      </c>
      <c r="Q101" t="e">
        <f t="shared" si="65"/>
        <v>#REF!</v>
      </c>
      <c r="R101" t="e">
        <f t="shared" si="65"/>
        <v>#REF!</v>
      </c>
      <c r="S101" t="e">
        <f t="shared" si="65"/>
        <v>#REF!</v>
      </c>
      <c r="T101" t="e">
        <f t="shared" si="64"/>
        <v>#REF!</v>
      </c>
      <c r="U101" t="e">
        <f t="shared" si="64"/>
        <v>#REF!</v>
      </c>
      <c r="V101" t="e">
        <f t="shared" si="64"/>
        <v>#REF!</v>
      </c>
      <c r="W101" t="e">
        <f t="shared" si="64"/>
        <v>#REF!</v>
      </c>
      <c r="X101" t="e">
        <f t="shared" si="64"/>
        <v>#REF!</v>
      </c>
      <c r="Y101" t="e">
        <f t="shared" si="64"/>
        <v>#REF!</v>
      </c>
      <c r="Z101" t="e">
        <f t="shared" si="64"/>
        <v>#REF!</v>
      </c>
      <c r="AA101" t="e">
        <f t="shared" si="64"/>
        <v>#REF!</v>
      </c>
      <c r="AB101" t="e">
        <f t="shared" si="64"/>
        <v>#REF!</v>
      </c>
      <c r="AC101" t="e">
        <f t="shared" si="64"/>
        <v>#REF!</v>
      </c>
      <c r="AD101" t="e">
        <f t="shared" si="64"/>
        <v>#REF!</v>
      </c>
      <c r="AE101" t="e">
        <f t="shared" si="64"/>
        <v>#REF!</v>
      </c>
      <c r="AF101" t="e">
        <f t="shared" si="64"/>
        <v>#REF!</v>
      </c>
      <c r="AG101" t="e">
        <f t="shared" si="64"/>
        <v>#REF!</v>
      </c>
      <c r="AH101" t="e">
        <f t="shared" si="68"/>
        <v>#REF!</v>
      </c>
      <c r="AI101" t="e">
        <f t="shared" si="68"/>
        <v>#REF!</v>
      </c>
      <c r="AJ101" t="e">
        <f t="shared" si="68"/>
        <v>#REF!</v>
      </c>
      <c r="AK101" t="e">
        <f t="shared" si="68"/>
        <v>#REF!</v>
      </c>
      <c r="AL101" t="e">
        <f t="shared" si="68"/>
        <v>#REF!</v>
      </c>
      <c r="AM101" t="e">
        <f t="shared" si="68"/>
        <v>#REF!</v>
      </c>
      <c r="AN101" t="e">
        <f t="shared" si="68"/>
        <v>#REF!</v>
      </c>
      <c r="AO101" t="e">
        <f t="shared" si="68"/>
        <v>#REF!</v>
      </c>
      <c r="AP101" t="e">
        <f t="shared" si="68"/>
        <v>#REF!</v>
      </c>
      <c r="AQ101" t="e">
        <f t="shared" si="68"/>
        <v>#REF!</v>
      </c>
      <c r="AR101" t="e">
        <f t="shared" si="67"/>
        <v>#REF!</v>
      </c>
      <c r="AS101" t="e">
        <f t="shared" si="67"/>
        <v>#REF!</v>
      </c>
      <c r="AT101" t="e">
        <f t="shared" si="67"/>
        <v>#REF!</v>
      </c>
      <c r="AU101" t="e">
        <f t="shared" si="67"/>
        <v>#REF!</v>
      </c>
      <c r="AV101" t="e">
        <f t="shared" si="67"/>
        <v>#REF!</v>
      </c>
      <c r="AW101" t="e">
        <f t="shared" si="67"/>
        <v>#REF!</v>
      </c>
      <c r="AX101" t="e">
        <f t="shared" si="67"/>
        <v>#REF!</v>
      </c>
      <c r="AY101" t="e">
        <f t="shared" si="66"/>
        <v>#REF!</v>
      </c>
      <c r="AZ101" t="e">
        <f t="shared" si="66"/>
        <v>#REF!</v>
      </c>
      <c r="BA101" t="e">
        <f t="shared" si="66"/>
        <v>#REF!</v>
      </c>
      <c r="BB101" t="e">
        <f t="shared" si="66"/>
        <v>#REF!</v>
      </c>
      <c r="BC101" t="e">
        <f t="shared" si="66"/>
        <v>#REF!</v>
      </c>
      <c r="BD101" t="e">
        <f t="shared" si="66"/>
        <v>#REF!</v>
      </c>
      <c r="BE101" t="e">
        <f t="shared" si="66"/>
        <v>#REF!</v>
      </c>
      <c r="BF101" t="e">
        <f t="shared" si="66"/>
        <v>#REF!</v>
      </c>
      <c r="BG101" t="e">
        <f t="shared" si="66"/>
        <v>#REF!</v>
      </c>
      <c r="BH101" t="e">
        <f t="shared" si="66"/>
        <v>#REF!</v>
      </c>
      <c r="BI101" t="e">
        <f t="shared" si="66"/>
        <v>#REF!</v>
      </c>
      <c r="BJ101" t="e">
        <f t="shared" si="66"/>
        <v>#REF!</v>
      </c>
      <c r="BK101" t="e">
        <f t="shared" si="66"/>
        <v>#REF!</v>
      </c>
      <c r="BL101" t="e">
        <f t="shared" si="59"/>
        <v>#REF!</v>
      </c>
      <c r="BM101" t="e">
        <f t="shared" si="59"/>
        <v>#REF!</v>
      </c>
      <c r="BN101" t="e">
        <f t="shared" si="59"/>
        <v>#REF!</v>
      </c>
      <c r="BO101" t="e">
        <f t="shared" si="59"/>
        <v>#REF!</v>
      </c>
      <c r="BP101" t="e">
        <f t="shared" si="59"/>
        <v>#REF!</v>
      </c>
      <c r="BQ101" t="e">
        <f t="shared" si="59"/>
        <v>#REF!</v>
      </c>
      <c r="BR101" t="e">
        <f t="shared" si="59"/>
        <v>#REF!</v>
      </c>
      <c r="BS101" t="e">
        <f t="shared" si="59"/>
        <v>#REF!</v>
      </c>
      <c r="BT101" t="e">
        <f t="shared" si="77"/>
        <v>#REF!</v>
      </c>
      <c r="BU101" t="e">
        <f t="shared" si="77"/>
        <v>#REF!</v>
      </c>
      <c r="BV101" t="e">
        <f t="shared" si="77"/>
        <v>#REF!</v>
      </c>
      <c r="BW101" t="e">
        <f t="shared" si="77"/>
        <v>#REF!</v>
      </c>
      <c r="BX101" t="e">
        <f t="shared" si="77"/>
        <v>#REF!</v>
      </c>
      <c r="BY101" t="e">
        <f t="shared" si="77"/>
        <v>#REF!</v>
      </c>
      <c r="BZ101" t="e">
        <f t="shared" si="77"/>
        <v>#REF!</v>
      </c>
      <c r="CA101" t="e">
        <f t="shared" si="77"/>
        <v>#REF!</v>
      </c>
      <c r="CB101" t="e">
        <f t="shared" si="77"/>
        <v>#REF!</v>
      </c>
      <c r="CC101" t="e">
        <f t="shared" si="77"/>
        <v>#REF!</v>
      </c>
      <c r="CD101" t="e">
        <f t="shared" si="77"/>
        <v>#REF!</v>
      </c>
      <c r="CE101" t="e">
        <f t="shared" si="77"/>
        <v>#REF!</v>
      </c>
      <c r="CF101" t="e">
        <f t="shared" si="71"/>
        <v>#REF!</v>
      </c>
      <c r="CG101" t="e">
        <f t="shared" si="71"/>
        <v>#REF!</v>
      </c>
      <c r="CH101" t="e">
        <f t="shared" si="71"/>
        <v>#REF!</v>
      </c>
      <c r="CI101" t="e">
        <f t="shared" si="71"/>
        <v>#REF!</v>
      </c>
      <c r="CJ101" t="e">
        <f t="shared" si="71"/>
        <v>#REF!</v>
      </c>
      <c r="CK101" t="e">
        <f t="shared" si="71"/>
        <v>#REF!</v>
      </c>
      <c r="CL101" t="e">
        <f t="shared" si="71"/>
        <v>#REF!</v>
      </c>
      <c r="CM101" t="e">
        <f t="shared" si="71"/>
        <v>#REF!</v>
      </c>
      <c r="CN101" t="e">
        <f t="shared" si="71"/>
        <v>#REF!</v>
      </c>
      <c r="CO101" t="e">
        <f t="shared" si="71"/>
        <v>#REF!</v>
      </c>
      <c r="CP101" t="e">
        <f t="shared" si="70"/>
        <v>#REF!</v>
      </c>
      <c r="CQ101" t="e">
        <f t="shared" si="70"/>
        <v>#REF!</v>
      </c>
      <c r="CR101" t="e">
        <f t="shared" si="70"/>
        <v>#REF!</v>
      </c>
      <c r="CS101" t="e">
        <f t="shared" si="70"/>
        <v>#REF!</v>
      </c>
      <c r="CT101" t="e">
        <f t="shared" si="70"/>
        <v>#REF!</v>
      </c>
      <c r="CU101" t="e">
        <f t="shared" si="70"/>
        <v>#REF!</v>
      </c>
      <c r="CV101" t="e">
        <f t="shared" si="70"/>
        <v>#REF!</v>
      </c>
      <c r="CW101" t="e">
        <f t="shared" si="70"/>
        <v>#REF!</v>
      </c>
      <c r="CX101" t="e">
        <f t="shared" si="74"/>
        <v>#REF!</v>
      </c>
      <c r="CY101" t="e">
        <f t="shared" si="74"/>
        <v>#REF!</v>
      </c>
      <c r="CZ101" t="e">
        <f t="shared" si="74"/>
        <v>#REF!</v>
      </c>
      <c r="DA101" t="e">
        <f t="shared" si="74"/>
        <v>#REF!</v>
      </c>
      <c r="DB101" t="e">
        <f t="shared" si="74"/>
        <v>#REF!</v>
      </c>
      <c r="DC101" t="e">
        <f t="shared" si="74"/>
        <v>#REF!</v>
      </c>
      <c r="DD101" t="e">
        <f t="shared" si="74"/>
        <v>#REF!</v>
      </c>
      <c r="DE101" t="e">
        <f t="shared" si="74"/>
        <v>#REF!</v>
      </c>
      <c r="DF101" t="e">
        <f t="shared" si="74"/>
        <v>#REF!</v>
      </c>
      <c r="DG101" t="e">
        <f t="shared" si="74"/>
        <v>#REF!</v>
      </c>
      <c r="DH101" t="e">
        <f t="shared" si="74"/>
        <v>#REF!</v>
      </c>
      <c r="DI101" t="e">
        <f t="shared" si="74"/>
        <v>#REF!</v>
      </c>
      <c r="DJ101" t="e">
        <f t="shared" si="74"/>
        <v>#REF!</v>
      </c>
      <c r="DK101" t="e">
        <f t="shared" si="74"/>
        <v>#REF!</v>
      </c>
      <c r="DL101" t="e">
        <f t="shared" si="74"/>
        <v>#REF!</v>
      </c>
      <c r="DM101" t="e">
        <f t="shared" si="74"/>
        <v>#REF!</v>
      </c>
      <c r="DN101" t="e">
        <f t="shared" ref="DN101:DY112" si="79">MATCH(CONCATENATE(DN$3,"_",$C101),auto_DataFlat_UID,0)</f>
        <v>#REF!</v>
      </c>
      <c r="DO101" t="e">
        <f t="shared" si="79"/>
        <v>#REF!</v>
      </c>
      <c r="DP101" t="e">
        <f t="shared" si="79"/>
        <v>#REF!</v>
      </c>
      <c r="DQ101" t="e">
        <f t="shared" si="79"/>
        <v>#REF!</v>
      </c>
      <c r="DR101" t="e">
        <f t="shared" si="79"/>
        <v>#REF!</v>
      </c>
      <c r="DS101" t="e">
        <f t="shared" si="79"/>
        <v>#REF!</v>
      </c>
      <c r="DT101" t="e">
        <f t="shared" si="79"/>
        <v>#REF!</v>
      </c>
      <c r="DU101" t="e">
        <f t="shared" si="79"/>
        <v>#REF!</v>
      </c>
      <c r="DV101" t="e">
        <f t="shared" si="79"/>
        <v>#REF!</v>
      </c>
      <c r="DW101" t="e">
        <f t="shared" si="79"/>
        <v>#REF!</v>
      </c>
      <c r="DX101" t="e">
        <f t="shared" si="79"/>
        <v>#REF!</v>
      </c>
      <c r="DY101" t="e">
        <f t="shared" si="79"/>
        <v>#REF!</v>
      </c>
      <c r="DZ101" t="e">
        <f t="shared" si="63"/>
        <v>#REF!</v>
      </c>
      <c r="EA101" t="e">
        <f t="shared" si="63"/>
        <v>#REF!</v>
      </c>
      <c r="EB101" t="e">
        <f t="shared" si="63"/>
        <v>#REF!</v>
      </c>
      <c r="EC101" t="e">
        <f t="shared" si="63"/>
        <v>#REF!</v>
      </c>
      <c r="ED101" t="e">
        <f t="shared" si="75"/>
        <v>#REF!</v>
      </c>
      <c r="EE101" t="e">
        <f t="shared" si="75"/>
        <v>#REF!</v>
      </c>
      <c r="EF101" t="e">
        <f t="shared" si="75"/>
        <v>#REF!</v>
      </c>
      <c r="EG101" t="e">
        <f t="shared" si="75"/>
        <v>#REF!</v>
      </c>
      <c r="EH101" t="e">
        <f t="shared" si="75"/>
        <v>#REF!</v>
      </c>
      <c r="EI101" t="e">
        <f t="shared" si="75"/>
        <v>#REF!</v>
      </c>
      <c r="EJ101" t="e">
        <f t="shared" si="75"/>
        <v>#REF!</v>
      </c>
      <c r="EK101" t="e">
        <f t="shared" si="75"/>
        <v>#REF!</v>
      </c>
      <c r="EL101" t="e">
        <f t="shared" si="75"/>
        <v>#REF!</v>
      </c>
      <c r="EM101" t="e">
        <f t="shared" si="75"/>
        <v>#REF!</v>
      </c>
    </row>
    <row r="102" spans="1:143" x14ac:dyDescent="0.4">
      <c r="A102" t="str">
        <f t="shared" si="51"/>
        <v>X</v>
      </c>
      <c r="B102">
        <v>99</v>
      </c>
      <c r="C102" t="e" cm="1">
        <f t="array" ref="C102">INDEX(auto_Series_Code,B102)</f>
        <v>#REF!</v>
      </c>
      <c r="D102" t="e">
        <f t="shared" si="65"/>
        <v>#REF!</v>
      </c>
      <c r="E102" t="e">
        <f t="shared" si="65"/>
        <v>#REF!</v>
      </c>
      <c r="F102" t="e">
        <f t="shared" si="65"/>
        <v>#REF!</v>
      </c>
      <c r="G102" t="e">
        <f t="shared" si="65"/>
        <v>#REF!</v>
      </c>
      <c r="H102" t="e">
        <f t="shared" si="65"/>
        <v>#REF!</v>
      </c>
      <c r="I102" t="e">
        <f t="shared" si="65"/>
        <v>#REF!</v>
      </c>
      <c r="J102" t="e">
        <f t="shared" si="65"/>
        <v>#REF!</v>
      </c>
      <c r="K102" t="e">
        <f t="shared" si="65"/>
        <v>#REF!</v>
      </c>
      <c r="L102" t="e">
        <f t="shared" si="65"/>
        <v>#REF!</v>
      </c>
      <c r="M102" t="e">
        <f t="shared" si="65"/>
        <v>#REF!</v>
      </c>
      <c r="N102" t="e">
        <f t="shared" si="65"/>
        <v>#REF!</v>
      </c>
      <c r="O102" t="e">
        <f t="shared" si="65"/>
        <v>#REF!</v>
      </c>
      <c r="P102" t="e">
        <f t="shared" si="65"/>
        <v>#REF!</v>
      </c>
      <c r="Q102" t="e">
        <f t="shared" si="65"/>
        <v>#REF!</v>
      </c>
      <c r="R102" t="e">
        <f t="shared" si="65"/>
        <v>#REF!</v>
      </c>
      <c r="S102" t="e">
        <f t="shared" si="65"/>
        <v>#REF!</v>
      </c>
      <c r="T102" t="e">
        <f t="shared" si="64"/>
        <v>#REF!</v>
      </c>
      <c r="U102" t="e">
        <f t="shared" si="64"/>
        <v>#REF!</v>
      </c>
      <c r="V102" t="e">
        <f t="shared" si="64"/>
        <v>#REF!</v>
      </c>
      <c r="W102" t="e">
        <f t="shared" si="64"/>
        <v>#REF!</v>
      </c>
      <c r="X102" t="e">
        <f t="shared" si="64"/>
        <v>#REF!</v>
      </c>
      <c r="Y102" t="e">
        <f t="shared" si="64"/>
        <v>#REF!</v>
      </c>
      <c r="Z102" t="e">
        <f t="shared" si="64"/>
        <v>#REF!</v>
      </c>
      <c r="AA102" t="e">
        <f t="shared" si="64"/>
        <v>#REF!</v>
      </c>
      <c r="AB102" t="e">
        <f t="shared" si="64"/>
        <v>#REF!</v>
      </c>
      <c r="AC102" t="e">
        <f t="shared" si="64"/>
        <v>#REF!</v>
      </c>
      <c r="AD102" t="e">
        <f t="shared" si="64"/>
        <v>#REF!</v>
      </c>
      <c r="AE102" t="e">
        <f t="shared" si="64"/>
        <v>#REF!</v>
      </c>
      <c r="AF102" t="e">
        <f t="shared" si="64"/>
        <v>#REF!</v>
      </c>
      <c r="AG102" t="e">
        <f t="shared" si="64"/>
        <v>#REF!</v>
      </c>
      <c r="AH102" t="e">
        <f t="shared" si="68"/>
        <v>#REF!</v>
      </c>
      <c r="AI102" t="e">
        <f t="shared" si="68"/>
        <v>#REF!</v>
      </c>
      <c r="AJ102" t="e">
        <f t="shared" si="68"/>
        <v>#REF!</v>
      </c>
      <c r="AK102" t="e">
        <f t="shared" si="68"/>
        <v>#REF!</v>
      </c>
      <c r="AL102" t="e">
        <f t="shared" si="68"/>
        <v>#REF!</v>
      </c>
      <c r="AM102" t="e">
        <f t="shared" si="68"/>
        <v>#REF!</v>
      </c>
      <c r="AN102" t="e">
        <f t="shared" si="68"/>
        <v>#REF!</v>
      </c>
      <c r="AO102" t="e">
        <f t="shared" si="68"/>
        <v>#REF!</v>
      </c>
      <c r="AP102" t="e">
        <f t="shared" si="68"/>
        <v>#REF!</v>
      </c>
      <c r="AQ102" t="e">
        <f t="shared" si="68"/>
        <v>#REF!</v>
      </c>
      <c r="AR102" t="e">
        <f t="shared" si="67"/>
        <v>#REF!</v>
      </c>
      <c r="AS102" t="e">
        <f t="shared" si="67"/>
        <v>#REF!</v>
      </c>
      <c r="AT102" t="e">
        <f t="shared" si="67"/>
        <v>#REF!</v>
      </c>
      <c r="AU102" t="e">
        <f t="shared" si="67"/>
        <v>#REF!</v>
      </c>
      <c r="AV102" t="e">
        <f t="shared" si="67"/>
        <v>#REF!</v>
      </c>
      <c r="AW102" t="e">
        <f t="shared" si="67"/>
        <v>#REF!</v>
      </c>
      <c r="AX102" t="e">
        <f t="shared" si="67"/>
        <v>#REF!</v>
      </c>
      <c r="AY102" t="e">
        <f t="shared" si="66"/>
        <v>#REF!</v>
      </c>
      <c r="AZ102" t="e">
        <f t="shared" si="66"/>
        <v>#REF!</v>
      </c>
      <c r="BA102" t="e">
        <f t="shared" si="66"/>
        <v>#REF!</v>
      </c>
      <c r="BB102" t="e">
        <f t="shared" si="66"/>
        <v>#REF!</v>
      </c>
      <c r="BC102" t="e">
        <f t="shared" si="66"/>
        <v>#REF!</v>
      </c>
      <c r="BD102" t="e">
        <f t="shared" si="66"/>
        <v>#REF!</v>
      </c>
      <c r="BE102" t="e">
        <f t="shared" si="66"/>
        <v>#REF!</v>
      </c>
      <c r="BF102" t="e">
        <f t="shared" si="66"/>
        <v>#REF!</v>
      </c>
      <c r="BG102" t="e">
        <f t="shared" si="66"/>
        <v>#REF!</v>
      </c>
      <c r="BH102" t="e">
        <f t="shared" si="66"/>
        <v>#REF!</v>
      </c>
      <c r="BI102" t="e">
        <f t="shared" si="66"/>
        <v>#REF!</v>
      </c>
      <c r="BJ102" t="e">
        <f t="shared" si="66"/>
        <v>#REF!</v>
      </c>
      <c r="BK102" t="e">
        <f t="shared" si="66"/>
        <v>#REF!</v>
      </c>
      <c r="BL102" t="e">
        <f t="shared" si="59"/>
        <v>#REF!</v>
      </c>
      <c r="BM102" t="e">
        <f t="shared" si="59"/>
        <v>#REF!</v>
      </c>
      <c r="BN102" t="e">
        <f t="shared" si="59"/>
        <v>#REF!</v>
      </c>
      <c r="BO102" t="e">
        <f t="shared" si="59"/>
        <v>#REF!</v>
      </c>
      <c r="BP102" t="e">
        <f t="shared" si="59"/>
        <v>#REF!</v>
      </c>
      <c r="BQ102" t="e">
        <f t="shared" si="59"/>
        <v>#REF!</v>
      </c>
      <c r="BR102" t="e">
        <f t="shared" si="59"/>
        <v>#REF!</v>
      </c>
      <c r="BS102" t="e">
        <f t="shared" si="59"/>
        <v>#REF!</v>
      </c>
      <c r="BT102" t="e">
        <f t="shared" si="77"/>
        <v>#REF!</v>
      </c>
      <c r="BU102" t="e">
        <f t="shared" si="77"/>
        <v>#REF!</v>
      </c>
      <c r="BV102" t="e">
        <f t="shared" si="77"/>
        <v>#REF!</v>
      </c>
      <c r="BW102" t="e">
        <f t="shared" si="77"/>
        <v>#REF!</v>
      </c>
      <c r="BX102" t="e">
        <f t="shared" si="77"/>
        <v>#REF!</v>
      </c>
      <c r="BY102" t="e">
        <f t="shared" si="77"/>
        <v>#REF!</v>
      </c>
      <c r="BZ102" t="e">
        <f t="shared" si="77"/>
        <v>#REF!</v>
      </c>
      <c r="CA102" t="e">
        <f t="shared" si="77"/>
        <v>#REF!</v>
      </c>
      <c r="CB102" t="e">
        <f t="shared" si="77"/>
        <v>#REF!</v>
      </c>
      <c r="CC102" t="e">
        <f t="shared" si="77"/>
        <v>#REF!</v>
      </c>
      <c r="CD102" t="e">
        <f t="shared" si="77"/>
        <v>#REF!</v>
      </c>
      <c r="CE102" t="e">
        <f t="shared" si="77"/>
        <v>#REF!</v>
      </c>
      <c r="CF102" t="e">
        <f t="shared" si="71"/>
        <v>#REF!</v>
      </c>
      <c r="CG102" t="e">
        <f t="shared" si="71"/>
        <v>#REF!</v>
      </c>
      <c r="CH102" t="e">
        <f t="shared" si="71"/>
        <v>#REF!</v>
      </c>
      <c r="CI102" t="e">
        <f t="shared" si="71"/>
        <v>#REF!</v>
      </c>
      <c r="CJ102" t="e">
        <f t="shared" si="71"/>
        <v>#REF!</v>
      </c>
      <c r="CK102" t="e">
        <f t="shared" si="71"/>
        <v>#REF!</v>
      </c>
      <c r="CL102" t="e">
        <f t="shared" si="71"/>
        <v>#REF!</v>
      </c>
      <c r="CM102" t="e">
        <f t="shared" si="71"/>
        <v>#REF!</v>
      </c>
      <c r="CN102" t="e">
        <f t="shared" si="71"/>
        <v>#REF!</v>
      </c>
      <c r="CO102" t="e">
        <f t="shared" si="71"/>
        <v>#REF!</v>
      </c>
      <c r="CP102" t="e">
        <f t="shared" si="70"/>
        <v>#REF!</v>
      </c>
      <c r="CQ102" t="e">
        <f t="shared" si="70"/>
        <v>#REF!</v>
      </c>
      <c r="CR102" t="e">
        <f t="shared" si="70"/>
        <v>#REF!</v>
      </c>
      <c r="CS102" t="e">
        <f t="shared" si="70"/>
        <v>#REF!</v>
      </c>
      <c r="CT102" t="e">
        <f t="shared" si="70"/>
        <v>#REF!</v>
      </c>
      <c r="CU102" t="e">
        <f t="shared" si="70"/>
        <v>#REF!</v>
      </c>
      <c r="CV102" t="e">
        <f t="shared" si="70"/>
        <v>#REF!</v>
      </c>
      <c r="CW102" t="e">
        <f t="shared" si="70"/>
        <v>#REF!</v>
      </c>
      <c r="CX102" t="e">
        <f t="shared" si="74"/>
        <v>#REF!</v>
      </c>
      <c r="CY102" t="e">
        <f t="shared" si="74"/>
        <v>#REF!</v>
      </c>
      <c r="CZ102" t="e">
        <f t="shared" si="74"/>
        <v>#REF!</v>
      </c>
      <c r="DA102" t="e">
        <f t="shared" si="74"/>
        <v>#REF!</v>
      </c>
      <c r="DB102" t="e">
        <f t="shared" si="74"/>
        <v>#REF!</v>
      </c>
      <c r="DC102" t="e">
        <f t="shared" si="74"/>
        <v>#REF!</v>
      </c>
      <c r="DD102" t="e">
        <f t="shared" si="74"/>
        <v>#REF!</v>
      </c>
      <c r="DE102" t="e">
        <f t="shared" si="74"/>
        <v>#REF!</v>
      </c>
      <c r="DF102" t="e">
        <f t="shared" si="74"/>
        <v>#REF!</v>
      </c>
      <c r="DG102" t="e">
        <f t="shared" si="74"/>
        <v>#REF!</v>
      </c>
      <c r="DH102" t="e">
        <f t="shared" si="74"/>
        <v>#REF!</v>
      </c>
      <c r="DI102" t="e">
        <f t="shared" si="74"/>
        <v>#REF!</v>
      </c>
      <c r="DJ102" t="e">
        <f t="shared" si="74"/>
        <v>#REF!</v>
      </c>
      <c r="DK102" t="e">
        <f t="shared" si="74"/>
        <v>#REF!</v>
      </c>
      <c r="DL102" t="e">
        <f t="shared" si="74"/>
        <v>#REF!</v>
      </c>
      <c r="DM102" t="e">
        <f t="shared" si="74"/>
        <v>#REF!</v>
      </c>
      <c r="DN102" t="e">
        <f t="shared" si="79"/>
        <v>#REF!</v>
      </c>
      <c r="DO102" t="e">
        <f t="shared" si="79"/>
        <v>#REF!</v>
      </c>
      <c r="DP102" t="e">
        <f t="shared" si="79"/>
        <v>#REF!</v>
      </c>
      <c r="DQ102" t="e">
        <f t="shared" si="79"/>
        <v>#REF!</v>
      </c>
      <c r="DR102" t="e">
        <f t="shared" si="79"/>
        <v>#REF!</v>
      </c>
      <c r="DS102" t="e">
        <f t="shared" si="79"/>
        <v>#REF!</v>
      </c>
      <c r="DT102" t="e">
        <f t="shared" si="79"/>
        <v>#REF!</v>
      </c>
      <c r="DU102" t="e">
        <f t="shared" si="79"/>
        <v>#REF!</v>
      </c>
      <c r="DV102" t="e">
        <f t="shared" si="79"/>
        <v>#REF!</v>
      </c>
      <c r="DW102" t="e">
        <f t="shared" si="79"/>
        <v>#REF!</v>
      </c>
      <c r="DX102" t="e">
        <f t="shared" si="79"/>
        <v>#REF!</v>
      </c>
      <c r="DY102" t="e">
        <f t="shared" si="79"/>
        <v>#REF!</v>
      </c>
      <c r="DZ102" t="e">
        <f t="shared" si="63"/>
        <v>#REF!</v>
      </c>
      <c r="EA102" t="e">
        <f t="shared" si="63"/>
        <v>#REF!</v>
      </c>
      <c r="EB102" t="e">
        <f t="shared" si="63"/>
        <v>#REF!</v>
      </c>
      <c r="EC102" t="e">
        <f t="shared" si="63"/>
        <v>#REF!</v>
      </c>
      <c r="ED102" t="e">
        <f t="shared" si="75"/>
        <v>#REF!</v>
      </c>
      <c r="EE102" t="e">
        <f t="shared" si="75"/>
        <v>#REF!</v>
      </c>
      <c r="EF102" t="e">
        <f t="shared" si="75"/>
        <v>#REF!</v>
      </c>
      <c r="EG102" t="e">
        <f t="shared" si="75"/>
        <v>#REF!</v>
      </c>
      <c r="EH102" t="e">
        <f t="shared" si="75"/>
        <v>#REF!</v>
      </c>
      <c r="EI102" t="e">
        <f t="shared" si="75"/>
        <v>#REF!</v>
      </c>
      <c r="EJ102" t="e">
        <f t="shared" si="75"/>
        <v>#REF!</v>
      </c>
      <c r="EK102" t="e">
        <f t="shared" si="75"/>
        <v>#REF!</v>
      </c>
      <c r="EL102" t="e">
        <f t="shared" si="75"/>
        <v>#REF!</v>
      </c>
      <c r="EM102" t="e">
        <f t="shared" si="75"/>
        <v>#REF!</v>
      </c>
    </row>
    <row r="103" spans="1:143" x14ac:dyDescent="0.4">
      <c r="A103" t="str">
        <f t="shared" si="51"/>
        <v>X</v>
      </c>
      <c r="B103">
        <v>100</v>
      </c>
      <c r="C103" t="e" cm="1">
        <f t="array" ref="C103">INDEX(auto_Series_Code,B103)</f>
        <v>#REF!</v>
      </c>
      <c r="D103" t="e">
        <f t="shared" si="65"/>
        <v>#REF!</v>
      </c>
      <c r="E103" t="e">
        <f t="shared" si="65"/>
        <v>#REF!</v>
      </c>
      <c r="F103" t="e">
        <f t="shared" si="65"/>
        <v>#REF!</v>
      </c>
      <c r="G103" t="e">
        <f t="shared" si="65"/>
        <v>#REF!</v>
      </c>
      <c r="H103" t="e">
        <f t="shared" si="65"/>
        <v>#REF!</v>
      </c>
      <c r="I103" t="e">
        <f t="shared" si="65"/>
        <v>#REF!</v>
      </c>
      <c r="J103" t="e">
        <f t="shared" si="65"/>
        <v>#REF!</v>
      </c>
      <c r="K103" t="e">
        <f t="shared" si="65"/>
        <v>#REF!</v>
      </c>
      <c r="L103" t="e">
        <f t="shared" si="65"/>
        <v>#REF!</v>
      </c>
      <c r="M103" t="e">
        <f t="shared" si="65"/>
        <v>#REF!</v>
      </c>
      <c r="N103" t="e">
        <f t="shared" si="65"/>
        <v>#REF!</v>
      </c>
      <c r="O103" t="e">
        <f t="shared" si="65"/>
        <v>#REF!</v>
      </c>
      <c r="P103" t="e">
        <f t="shared" si="65"/>
        <v>#REF!</v>
      </c>
      <c r="Q103" t="e">
        <f t="shared" si="65"/>
        <v>#REF!</v>
      </c>
      <c r="R103" t="e">
        <f t="shared" si="65"/>
        <v>#REF!</v>
      </c>
      <c r="S103" t="e">
        <f t="shared" ref="S103:AH128" si="80">MATCH(CONCATENATE(S$3,"_",$C103),auto_DataFlat_UID,0)</f>
        <v>#REF!</v>
      </c>
      <c r="T103" t="e">
        <f t="shared" si="80"/>
        <v>#REF!</v>
      </c>
      <c r="U103" t="e">
        <f t="shared" si="80"/>
        <v>#REF!</v>
      </c>
      <c r="V103" t="e">
        <f t="shared" si="80"/>
        <v>#REF!</v>
      </c>
      <c r="W103" t="e">
        <f t="shared" si="80"/>
        <v>#REF!</v>
      </c>
      <c r="X103" t="e">
        <f t="shared" si="64"/>
        <v>#REF!</v>
      </c>
      <c r="Y103" t="e">
        <f t="shared" si="64"/>
        <v>#REF!</v>
      </c>
      <c r="Z103" t="e">
        <f t="shared" si="64"/>
        <v>#REF!</v>
      </c>
      <c r="AA103" t="e">
        <f t="shared" si="64"/>
        <v>#REF!</v>
      </c>
      <c r="AB103" t="e">
        <f t="shared" si="64"/>
        <v>#REF!</v>
      </c>
      <c r="AC103" t="e">
        <f t="shared" si="64"/>
        <v>#REF!</v>
      </c>
      <c r="AD103" t="e">
        <f t="shared" si="64"/>
        <v>#REF!</v>
      </c>
      <c r="AE103" t="e">
        <f t="shared" si="64"/>
        <v>#REF!</v>
      </c>
      <c r="AF103" t="e">
        <f t="shared" si="64"/>
        <v>#REF!</v>
      </c>
      <c r="AG103" t="e">
        <f t="shared" si="64"/>
        <v>#REF!</v>
      </c>
      <c r="AH103" t="e">
        <f t="shared" si="68"/>
        <v>#REF!</v>
      </c>
      <c r="AI103" t="e">
        <f t="shared" si="68"/>
        <v>#REF!</v>
      </c>
      <c r="AJ103" t="e">
        <f t="shared" si="68"/>
        <v>#REF!</v>
      </c>
      <c r="AK103" t="e">
        <f t="shared" si="68"/>
        <v>#REF!</v>
      </c>
      <c r="AL103" t="e">
        <f t="shared" si="68"/>
        <v>#REF!</v>
      </c>
      <c r="AM103" t="e">
        <f t="shared" si="68"/>
        <v>#REF!</v>
      </c>
      <c r="AN103" t="e">
        <f t="shared" si="68"/>
        <v>#REF!</v>
      </c>
      <c r="AO103" t="e">
        <f t="shared" si="68"/>
        <v>#REF!</v>
      </c>
      <c r="AP103" t="e">
        <f t="shared" si="68"/>
        <v>#REF!</v>
      </c>
      <c r="AQ103" t="e">
        <f t="shared" si="68"/>
        <v>#REF!</v>
      </c>
      <c r="AR103" t="e">
        <f t="shared" si="67"/>
        <v>#REF!</v>
      </c>
      <c r="AS103" t="e">
        <f t="shared" si="67"/>
        <v>#REF!</v>
      </c>
      <c r="AT103" t="e">
        <f t="shared" si="67"/>
        <v>#REF!</v>
      </c>
      <c r="AU103" t="e">
        <f t="shared" si="67"/>
        <v>#REF!</v>
      </c>
      <c r="AV103" t="e">
        <f t="shared" si="67"/>
        <v>#REF!</v>
      </c>
      <c r="AW103" t="e">
        <f t="shared" si="67"/>
        <v>#REF!</v>
      </c>
      <c r="AX103" t="e">
        <f t="shared" si="67"/>
        <v>#REF!</v>
      </c>
      <c r="AY103" t="e">
        <f t="shared" si="66"/>
        <v>#REF!</v>
      </c>
      <c r="AZ103" t="e">
        <f t="shared" si="66"/>
        <v>#REF!</v>
      </c>
      <c r="BA103" t="e">
        <f t="shared" si="66"/>
        <v>#REF!</v>
      </c>
      <c r="BB103" t="e">
        <f t="shared" si="66"/>
        <v>#REF!</v>
      </c>
      <c r="BC103" t="e">
        <f t="shared" si="66"/>
        <v>#REF!</v>
      </c>
      <c r="BD103" t="e">
        <f t="shared" si="66"/>
        <v>#REF!</v>
      </c>
      <c r="BE103" t="e">
        <f t="shared" si="66"/>
        <v>#REF!</v>
      </c>
      <c r="BF103" t="e">
        <f t="shared" si="66"/>
        <v>#REF!</v>
      </c>
      <c r="BG103" t="e">
        <f t="shared" si="66"/>
        <v>#REF!</v>
      </c>
      <c r="BH103" t="e">
        <f t="shared" si="66"/>
        <v>#REF!</v>
      </c>
      <c r="BI103" t="e">
        <f t="shared" si="66"/>
        <v>#REF!</v>
      </c>
      <c r="BJ103" t="e">
        <f t="shared" si="66"/>
        <v>#REF!</v>
      </c>
      <c r="BK103" t="e">
        <f t="shared" si="66"/>
        <v>#REF!</v>
      </c>
      <c r="BL103" t="e">
        <f t="shared" si="59"/>
        <v>#REF!</v>
      </c>
      <c r="BM103" t="e">
        <f t="shared" si="59"/>
        <v>#REF!</v>
      </c>
      <c r="BN103" t="e">
        <f t="shared" si="59"/>
        <v>#REF!</v>
      </c>
      <c r="BO103" t="e">
        <f t="shared" si="59"/>
        <v>#REF!</v>
      </c>
      <c r="BP103" t="e">
        <f t="shared" si="59"/>
        <v>#REF!</v>
      </c>
      <c r="BQ103" t="e">
        <f t="shared" si="59"/>
        <v>#REF!</v>
      </c>
      <c r="BR103" t="e">
        <f t="shared" si="59"/>
        <v>#REF!</v>
      </c>
      <c r="BS103" t="e">
        <f t="shared" si="59"/>
        <v>#REF!</v>
      </c>
      <c r="BT103" t="e">
        <f t="shared" si="77"/>
        <v>#REF!</v>
      </c>
      <c r="BU103" t="e">
        <f t="shared" si="77"/>
        <v>#REF!</v>
      </c>
      <c r="BV103" t="e">
        <f t="shared" si="77"/>
        <v>#REF!</v>
      </c>
      <c r="BW103" t="e">
        <f t="shared" si="77"/>
        <v>#REF!</v>
      </c>
      <c r="BX103" t="e">
        <f t="shared" si="77"/>
        <v>#REF!</v>
      </c>
      <c r="BY103" t="e">
        <f t="shared" si="77"/>
        <v>#REF!</v>
      </c>
      <c r="BZ103" t="e">
        <f t="shared" si="77"/>
        <v>#REF!</v>
      </c>
      <c r="CA103" t="e">
        <f t="shared" si="77"/>
        <v>#REF!</v>
      </c>
      <c r="CB103" t="e">
        <f t="shared" si="77"/>
        <v>#REF!</v>
      </c>
      <c r="CC103" t="e">
        <f t="shared" si="77"/>
        <v>#REF!</v>
      </c>
      <c r="CD103" t="e">
        <f t="shared" si="77"/>
        <v>#REF!</v>
      </c>
      <c r="CE103" t="e">
        <f t="shared" si="77"/>
        <v>#REF!</v>
      </c>
      <c r="CF103" t="e">
        <f t="shared" si="71"/>
        <v>#REF!</v>
      </c>
      <c r="CG103" t="e">
        <f t="shared" si="71"/>
        <v>#REF!</v>
      </c>
      <c r="CH103" t="e">
        <f t="shared" si="71"/>
        <v>#REF!</v>
      </c>
      <c r="CI103" t="e">
        <f t="shared" si="71"/>
        <v>#REF!</v>
      </c>
      <c r="CJ103" t="e">
        <f t="shared" si="71"/>
        <v>#REF!</v>
      </c>
      <c r="CK103" t="e">
        <f t="shared" si="71"/>
        <v>#REF!</v>
      </c>
      <c r="CL103" t="e">
        <f t="shared" si="71"/>
        <v>#REF!</v>
      </c>
      <c r="CM103" t="e">
        <f t="shared" si="71"/>
        <v>#REF!</v>
      </c>
      <c r="CN103" t="e">
        <f t="shared" si="71"/>
        <v>#REF!</v>
      </c>
      <c r="CO103" t="e">
        <f t="shared" si="71"/>
        <v>#REF!</v>
      </c>
      <c r="CP103" t="e">
        <f t="shared" si="70"/>
        <v>#REF!</v>
      </c>
      <c r="CQ103" t="e">
        <f t="shared" si="70"/>
        <v>#REF!</v>
      </c>
      <c r="CR103" t="e">
        <f t="shared" si="70"/>
        <v>#REF!</v>
      </c>
      <c r="CS103" t="e">
        <f t="shared" si="70"/>
        <v>#REF!</v>
      </c>
      <c r="CT103" t="e">
        <f t="shared" si="70"/>
        <v>#REF!</v>
      </c>
      <c r="CU103" t="e">
        <f t="shared" si="70"/>
        <v>#REF!</v>
      </c>
      <c r="CV103" t="e">
        <f t="shared" si="70"/>
        <v>#REF!</v>
      </c>
      <c r="CW103" t="e">
        <f t="shared" si="70"/>
        <v>#REF!</v>
      </c>
      <c r="CX103" t="e">
        <f t="shared" si="74"/>
        <v>#REF!</v>
      </c>
      <c r="CY103" t="e">
        <f t="shared" si="74"/>
        <v>#REF!</v>
      </c>
      <c r="CZ103" t="e">
        <f t="shared" si="74"/>
        <v>#REF!</v>
      </c>
      <c r="DA103" t="e">
        <f t="shared" si="74"/>
        <v>#REF!</v>
      </c>
      <c r="DB103" t="e">
        <f t="shared" si="74"/>
        <v>#REF!</v>
      </c>
      <c r="DC103" t="e">
        <f t="shared" si="74"/>
        <v>#REF!</v>
      </c>
      <c r="DD103" t="e">
        <f t="shared" si="74"/>
        <v>#REF!</v>
      </c>
      <c r="DE103" t="e">
        <f t="shared" si="74"/>
        <v>#REF!</v>
      </c>
      <c r="DF103" t="e">
        <f t="shared" si="74"/>
        <v>#REF!</v>
      </c>
      <c r="DG103" t="e">
        <f t="shared" si="74"/>
        <v>#REF!</v>
      </c>
      <c r="DH103" t="e">
        <f t="shared" si="74"/>
        <v>#REF!</v>
      </c>
      <c r="DI103" t="e">
        <f t="shared" si="74"/>
        <v>#REF!</v>
      </c>
      <c r="DJ103" t="e">
        <f t="shared" si="74"/>
        <v>#REF!</v>
      </c>
      <c r="DK103" t="e">
        <f t="shared" si="74"/>
        <v>#REF!</v>
      </c>
      <c r="DL103" t="e">
        <f t="shared" si="74"/>
        <v>#REF!</v>
      </c>
      <c r="DM103" t="e">
        <f t="shared" si="74"/>
        <v>#REF!</v>
      </c>
      <c r="DN103" t="e">
        <f t="shared" si="79"/>
        <v>#REF!</v>
      </c>
      <c r="DO103" t="e">
        <f t="shared" si="79"/>
        <v>#REF!</v>
      </c>
      <c r="DP103" t="e">
        <f t="shared" si="79"/>
        <v>#REF!</v>
      </c>
      <c r="DQ103" t="e">
        <f t="shared" si="79"/>
        <v>#REF!</v>
      </c>
      <c r="DR103" t="e">
        <f t="shared" si="79"/>
        <v>#REF!</v>
      </c>
      <c r="DS103" t="e">
        <f t="shared" si="79"/>
        <v>#REF!</v>
      </c>
      <c r="DT103" t="e">
        <f t="shared" si="79"/>
        <v>#REF!</v>
      </c>
      <c r="DU103" t="e">
        <f t="shared" si="79"/>
        <v>#REF!</v>
      </c>
      <c r="DV103" t="e">
        <f t="shared" si="79"/>
        <v>#REF!</v>
      </c>
      <c r="DW103" t="e">
        <f t="shared" si="79"/>
        <v>#REF!</v>
      </c>
      <c r="DX103" t="e">
        <f t="shared" si="79"/>
        <v>#REF!</v>
      </c>
      <c r="DY103" t="e">
        <f t="shared" si="79"/>
        <v>#REF!</v>
      </c>
      <c r="DZ103" t="e">
        <f t="shared" si="63"/>
        <v>#REF!</v>
      </c>
      <c r="EA103" t="e">
        <f t="shared" si="63"/>
        <v>#REF!</v>
      </c>
      <c r="EB103" t="e">
        <f t="shared" si="63"/>
        <v>#REF!</v>
      </c>
      <c r="EC103" t="e">
        <f t="shared" si="63"/>
        <v>#REF!</v>
      </c>
      <c r="ED103" t="e">
        <f t="shared" si="75"/>
        <v>#REF!</v>
      </c>
      <c r="EE103" t="e">
        <f t="shared" si="75"/>
        <v>#REF!</v>
      </c>
      <c r="EF103" t="e">
        <f t="shared" si="75"/>
        <v>#REF!</v>
      </c>
      <c r="EG103" t="e">
        <f t="shared" si="75"/>
        <v>#REF!</v>
      </c>
      <c r="EH103" t="e">
        <f t="shared" si="75"/>
        <v>#REF!</v>
      </c>
      <c r="EI103" t="e">
        <f t="shared" si="75"/>
        <v>#REF!</v>
      </c>
      <c r="EJ103" t="e">
        <f t="shared" si="75"/>
        <v>#REF!</v>
      </c>
      <c r="EK103" t="e">
        <f t="shared" si="75"/>
        <v>#REF!</v>
      </c>
      <c r="EL103" t="e">
        <f t="shared" si="75"/>
        <v>#REF!</v>
      </c>
      <c r="EM103" t="e">
        <f t="shared" si="75"/>
        <v>#REF!</v>
      </c>
    </row>
    <row r="104" spans="1:143" x14ac:dyDescent="0.4">
      <c r="A104" t="str">
        <f t="shared" si="51"/>
        <v>X</v>
      </c>
      <c r="B104">
        <v>101</v>
      </c>
      <c r="C104" t="e" cm="1">
        <f t="array" ref="C104">INDEX(auto_Series_Code,B104)</f>
        <v>#REF!</v>
      </c>
      <c r="D104" t="e">
        <f t="shared" ref="D104:S119" si="81">MATCH(CONCATENATE(D$3,"_",$C104),auto_DataFlat_UID,0)</f>
        <v>#REF!</v>
      </c>
      <c r="E104" t="e">
        <f t="shared" si="81"/>
        <v>#REF!</v>
      </c>
      <c r="F104" t="e">
        <f t="shared" si="81"/>
        <v>#REF!</v>
      </c>
      <c r="G104" t="e">
        <f t="shared" si="81"/>
        <v>#REF!</v>
      </c>
      <c r="H104" t="e">
        <f t="shared" si="81"/>
        <v>#REF!</v>
      </c>
      <c r="I104" t="e">
        <f t="shared" si="81"/>
        <v>#REF!</v>
      </c>
      <c r="J104" t="e">
        <f t="shared" si="81"/>
        <v>#REF!</v>
      </c>
      <c r="K104" t="e">
        <f t="shared" si="81"/>
        <v>#REF!</v>
      </c>
      <c r="L104" t="e">
        <f t="shared" si="81"/>
        <v>#REF!</v>
      </c>
      <c r="M104" t="e">
        <f t="shared" si="81"/>
        <v>#REF!</v>
      </c>
      <c r="N104" t="e">
        <f t="shared" si="81"/>
        <v>#REF!</v>
      </c>
      <c r="O104" t="e">
        <f t="shared" si="81"/>
        <v>#REF!</v>
      </c>
      <c r="P104" t="e">
        <f t="shared" si="81"/>
        <v>#REF!</v>
      </c>
      <c r="Q104" t="e">
        <f t="shared" si="81"/>
        <v>#REF!</v>
      </c>
      <c r="R104" t="e">
        <f t="shared" si="81"/>
        <v>#REF!</v>
      </c>
      <c r="S104" t="e">
        <f t="shared" si="81"/>
        <v>#REF!</v>
      </c>
      <c r="T104" t="e">
        <f t="shared" si="80"/>
        <v>#REF!</v>
      </c>
      <c r="U104" t="e">
        <f t="shared" si="80"/>
        <v>#REF!</v>
      </c>
      <c r="V104" t="e">
        <f t="shared" si="80"/>
        <v>#REF!</v>
      </c>
      <c r="W104" t="e">
        <f t="shared" si="80"/>
        <v>#REF!</v>
      </c>
      <c r="X104" t="e">
        <f t="shared" si="64"/>
        <v>#REF!</v>
      </c>
      <c r="Y104" t="e">
        <f t="shared" si="64"/>
        <v>#REF!</v>
      </c>
      <c r="Z104" t="e">
        <f t="shared" si="64"/>
        <v>#REF!</v>
      </c>
      <c r="AA104" t="e">
        <f t="shared" si="64"/>
        <v>#REF!</v>
      </c>
      <c r="AB104" t="e">
        <f t="shared" si="64"/>
        <v>#REF!</v>
      </c>
      <c r="AC104" t="e">
        <f t="shared" si="64"/>
        <v>#REF!</v>
      </c>
      <c r="AD104" t="e">
        <f t="shared" si="64"/>
        <v>#REF!</v>
      </c>
      <c r="AE104" t="e">
        <f t="shared" si="64"/>
        <v>#REF!</v>
      </c>
      <c r="AF104" t="e">
        <f t="shared" si="64"/>
        <v>#REF!</v>
      </c>
      <c r="AG104" t="e">
        <f t="shared" si="64"/>
        <v>#REF!</v>
      </c>
      <c r="AH104" t="e">
        <f t="shared" si="68"/>
        <v>#REF!</v>
      </c>
      <c r="AI104" t="e">
        <f t="shared" si="68"/>
        <v>#REF!</v>
      </c>
      <c r="AJ104" t="e">
        <f t="shared" si="68"/>
        <v>#REF!</v>
      </c>
      <c r="AK104" t="e">
        <f t="shared" si="68"/>
        <v>#REF!</v>
      </c>
      <c r="AL104" t="e">
        <f t="shared" si="68"/>
        <v>#REF!</v>
      </c>
      <c r="AM104" t="e">
        <f t="shared" si="68"/>
        <v>#REF!</v>
      </c>
      <c r="AN104" t="e">
        <f t="shared" si="68"/>
        <v>#REF!</v>
      </c>
      <c r="AO104" t="e">
        <f t="shared" si="68"/>
        <v>#REF!</v>
      </c>
      <c r="AP104" t="e">
        <f t="shared" si="68"/>
        <v>#REF!</v>
      </c>
      <c r="AQ104" t="e">
        <f t="shared" si="68"/>
        <v>#REF!</v>
      </c>
      <c r="AR104" t="e">
        <f t="shared" si="67"/>
        <v>#REF!</v>
      </c>
      <c r="AS104" t="e">
        <f t="shared" si="67"/>
        <v>#REF!</v>
      </c>
      <c r="AT104" t="e">
        <f t="shared" si="67"/>
        <v>#REF!</v>
      </c>
      <c r="AU104" t="e">
        <f t="shared" si="67"/>
        <v>#REF!</v>
      </c>
      <c r="AV104" t="e">
        <f t="shared" si="67"/>
        <v>#REF!</v>
      </c>
      <c r="AW104" t="e">
        <f t="shared" si="67"/>
        <v>#REF!</v>
      </c>
      <c r="AX104" t="e">
        <f t="shared" si="67"/>
        <v>#REF!</v>
      </c>
      <c r="AY104" t="e">
        <f t="shared" si="66"/>
        <v>#REF!</v>
      </c>
      <c r="AZ104" t="e">
        <f t="shared" si="66"/>
        <v>#REF!</v>
      </c>
      <c r="BA104" t="e">
        <f t="shared" si="66"/>
        <v>#REF!</v>
      </c>
      <c r="BB104" t="e">
        <f t="shared" si="66"/>
        <v>#REF!</v>
      </c>
      <c r="BC104" t="e">
        <f t="shared" si="66"/>
        <v>#REF!</v>
      </c>
      <c r="BD104" t="e">
        <f t="shared" si="66"/>
        <v>#REF!</v>
      </c>
      <c r="BE104" t="e">
        <f t="shared" si="66"/>
        <v>#REF!</v>
      </c>
      <c r="BF104" t="e">
        <f t="shared" si="66"/>
        <v>#REF!</v>
      </c>
      <c r="BG104" t="e">
        <f t="shared" si="66"/>
        <v>#REF!</v>
      </c>
      <c r="BH104" t="e">
        <f t="shared" si="66"/>
        <v>#REF!</v>
      </c>
      <c r="BI104" t="e">
        <f t="shared" si="66"/>
        <v>#REF!</v>
      </c>
      <c r="BJ104" t="e">
        <f t="shared" si="66"/>
        <v>#REF!</v>
      </c>
      <c r="BK104" t="e">
        <f t="shared" si="66"/>
        <v>#REF!</v>
      </c>
      <c r="BL104" t="e">
        <f t="shared" si="59"/>
        <v>#REF!</v>
      </c>
      <c r="BM104" t="e">
        <f t="shared" si="59"/>
        <v>#REF!</v>
      </c>
      <c r="BN104" t="e">
        <f t="shared" si="59"/>
        <v>#REF!</v>
      </c>
      <c r="BO104" t="e">
        <f t="shared" si="59"/>
        <v>#REF!</v>
      </c>
      <c r="BP104" t="e">
        <f t="shared" si="59"/>
        <v>#REF!</v>
      </c>
      <c r="BQ104" t="e">
        <f t="shared" si="59"/>
        <v>#REF!</v>
      </c>
      <c r="BR104" t="e">
        <f t="shared" si="59"/>
        <v>#REF!</v>
      </c>
      <c r="BS104" t="e">
        <f t="shared" ref="BS104:BU104" si="82">MATCH(CONCATENATE(BS$3,"_",$C104),auto_DataFlat_UID,0)</f>
        <v>#REF!</v>
      </c>
      <c r="BT104" t="e">
        <f t="shared" si="82"/>
        <v>#REF!</v>
      </c>
      <c r="BU104" t="e">
        <f t="shared" si="82"/>
        <v>#REF!</v>
      </c>
      <c r="BV104" t="e">
        <f t="shared" si="77"/>
        <v>#REF!</v>
      </c>
      <c r="BW104" t="e">
        <f t="shared" si="77"/>
        <v>#REF!</v>
      </c>
      <c r="BX104" t="e">
        <f t="shared" si="77"/>
        <v>#REF!</v>
      </c>
      <c r="BY104" t="e">
        <f t="shared" si="77"/>
        <v>#REF!</v>
      </c>
      <c r="BZ104" t="e">
        <f t="shared" si="77"/>
        <v>#REF!</v>
      </c>
      <c r="CA104" t="e">
        <f t="shared" si="77"/>
        <v>#REF!</v>
      </c>
      <c r="CB104" t="e">
        <f t="shared" si="77"/>
        <v>#REF!</v>
      </c>
      <c r="CC104" t="e">
        <f t="shared" si="77"/>
        <v>#REF!</v>
      </c>
      <c r="CD104" t="e">
        <f t="shared" si="77"/>
        <v>#REF!</v>
      </c>
      <c r="CE104" t="e">
        <f t="shared" si="77"/>
        <v>#REF!</v>
      </c>
      <c r="CF104" t="e">
        <f t="shared" si="71"/>
        <v>#REF!</v>
      </c>
      <c r="CG104" t="e">
        <f t="shared" si="71"/>
        <v>#REF!</v>
      </c>
      <c r="CH104" t="e">
        <f t="shared" si="71"/>
        <v>#REF!</v>
      </c>
      <c r="CI104" t="e">
        <f t="shared" si="71"/>
        <v>#REF!</v>
      </c>
      <c r="CJ104" t="e">
        <f t="shared" si="71"/>
        <v>#REF!</v>
      </c>
      <c r="CK104" t="e">
        <f t="shared" si="71"/>
        <v>#REF!</v>
      </c>
      <c r="CL104" t="e">
        <f t="shared" si="71"/>
        <v>#REF!</v>
      </c>
      <c r="CM104" t="e">
        <f t="shared" si="71"/>
        <v>#REF!</v>
      </c>
      <c r="CN104" t="e">
        <f t="shared" si="71"/>
        <v>#REF!</v>
      </c>
      <c r="CO104" t="e">
        <f t="shared" si="71"/>
        <v>#REF!</v>
      </c>
      <c r="CP104" t="e">
        <f t="shared" si="70"/>
        <v>#REF!</v>
      </c>
      <c r="CQ104" t="e">
        <f t="shared" si="70"/>
        <v>#REF!</v>
      </c>
      <c r="CR104" t="e">
        <f t="shared" si="70"/>
        <v>#REF!</v>
      </c>
      <c r="CS104" t="e">
        <f t="shared" si="70"/>
        <v>#REF!</v>
      </c>
      <c r="CT104" t="e">
        <f t="shared" si="70"/>
        <v>#REF!</v>
      </c>
      <c r="CU104" t="e">
        <f t="shared" si="70"/>
        <v>#REF!</v>
      </c>
      <c r="CV104" t="e">
        <f t="shared" si="70"/>
        <v>#REF!</v>
      </c>
      <c r="CW104" t="e">
        <f t="shared" si="70"/>
        <v>#REF!</v>
      </c>
      <c r="CX104" t="e">
        <f t="shared" si="74"/>
        <v>#REF!</v>
      </c>
      <c r="CY104" t="e">
        <f t="shared" si="74"/>
        <v>#REF!</v>
      </c>
      <c r="CZ104" t="e">
        <f t="shared" si="74"/>
        <v>#REF!</v>
      </c>
      <c r="DA104" t="e">
        <f t="shared" si="74"/>
        <v>#REF!</v>
      </c>
      <c r="DB104" t="e">
        <f t="shared" si="74"/>
        <v>#REF!</v>
      </c>
      <c r="DC104" t="e">
        <f t="shared" si="74"/>
        <v>#REF!</v>
      </c>
      <c r="DD104" t="e">
        <f t="shared" si="74"/>
        <v>#REF!</v>
      </c>
      <c r="DE104" t="e">
        <f t="shared" si="74"/>
        <v>#REF!</v>
      </c>
      <c r="DF104" t="e">
        <f t="shared" si="74"/>
        <v>#REF!</v>
      </c>
      <c r="DG104" t="e">
        <f t="shared" si="74"/>
        <v>#REF!</v>
      </c>
      <c r="DH104" t="e">
        <f t="shared" si="74"/>
        <v>#REF!</v>
      </c>
      <c r="DI104" t="e">
        <f t="shared" si="74"/>
        <v>#REF!</v>
      </c>
      <c r="DJ104" t="e">
        <f t="shared" si="74"/>
        <v>#REF!</v>
      </c>
      <c r="DK104" t="e">
        <f t="shared" si="74"/>
        <v>#REF!</v>
      </c>
      <c r="DL104" t="e">
        <f t="shared" si="74"/>
        <v>#REF!</v>
      </c>
      <c r="DM104" t="e">
        <f t="shared" si="74"/>
        <v>#REF!</v>
      </c>
      <c r="DN104" t="e">
        <f t="shared" si="79"/>
        <v>#REF!</v>
      </c>
      <c r="DO104" t="e">
        <f t="shared" si="79"/>
        <v>#REF!</v>
      </c>
      <c r="DP104" t="e">
        <f t="shared" si="79"/>
        <v>#REF!</v>
      </c>
      <c r="DQ104" t="e">
        <f t="shared" si="79"/>
        <v>#REF!</v>
      </c>
      <c r="DR104" t="e">
        <f t="shared" si="79"/>
        <v>#REF!</v>
      </c>
      <c r="DS104" t="e">
        <f t="shared" si="79"/>
        <v>#REF!</v>
      </c>
      <c r="DT104" t="e">
        <f t="shared" si="79"/>
        <v>#REF!</v>
      </c>
      <c r="DU104" t="e">
        <f t="shared" si="79"/>
        <v>#REF!</v>
      </c>
      <c r="DV104" t="e">
        <f t="shared" si="79"/>
        <v>#REF!</v>
      </c>
      <c r="DW104" t="e">
        <f t="shared" si="79"/>
        <v>#REF!</v>
      </c>
      <c r="DX104" t="e">
        <f t="shared" si="79"/>
        <v>#REF!</v>
      </c>
      <c r="DY104" t="e">
        <f t="shared" si="79"/>
        <v>#REF!</v>
      </c>
      <c r="DZ104" t="e">
        <f t="shared" si="63"/>
        <v>#REF!</v>
      </c>
      <c r="EA104" t="e">
        <f t="shared" si="63"/>
        <v>#REF!</v>
      </c>
      <c r="EB104" t="e">
        <f t="shared" si="63"/>
        <v>#REF!</v>
      </c>
      <c r="EC104" t="e">
        <f t="shared" si="63"/>
        <v>#REF!</v>
      </c>
      <c r="ED104" t="e">
        <f t="shared" si="75"/>
        <v>#REF!</v>
      </c>
      <c r="EE104" t="e">
        <f t="shared" si="75"/>
        <v>#REF!</v>
      </c>
      <c r="EF104" t="e">
        <f t="shared" si="75"/>
        <v>#REF!</v>
      </c>
      <c r="EG104" t="e">
        <f t="shared" si="75"/>
        <v>#REF!</v>
      </c>
      <c r="EH104" t="e">
        <f t="shared" si="75"/>
        <v>#REF!</v>
      </c>
      <c r="EI104" t="e">
        <f t="shared" si="75"/>
        <v>#REF!</v>
      </c>
      <c r="EJ104" t="e">
        <f t="shared" si="75"/>
        <v>#REF!</v>
      </c>
      <c r="EK104" t="e">
        <f t="shared" si="75"/>
        <v>#REF!</v>
      </c>
      <c r="EL104" t="e">
        <f t="shared" si="75"/>
        <v>#REF!</v>
      </c>
      <c r="EM104" t="e">
        <f t="shared" si="75"/>
        <v>#REF!</v>
      </c>
    </row>
    <row r="105" spans="1:143" x14ac:dyDescent="0.4">
      <c r="A105" t="str">
        <f t="shared" si="51"/>
        <v>X</v>
      </c>
      <c r="B105">
        <v>102</v>
      </c>
      <c r="C105" t="e" cm="1">
        <f t="array" ref="C105">INDEX(auto_Series_Code,B105)</f>
        <v>#REF!</v>
      </c>
      <c r="D105" t="e">
        <f t="shared" si="81"/>
        <v>#REF!</v>
      </c>
      <c r="E105" t="e">
        <f t="shared" si="81"/>
        <v>#REF!</v>
      </c>
      <c r="F105" t="e">
        <f t="shared" si="81"/>
        <v>#REF!</v>
      </c>
      <c r="G105" t="e">
        <f t="shared" si="81"/>
        <v>#REF!</v>
      </c>
      <c r="H105" t="e">
        <f t="shared" si="81"/>
        <v>#REF!</v>
      </c>
      <c r="I105" t="e">
        <f t="shared" si="81"/>
        <v>#REF!</v>
      </c>
      <c r="J105" t="e">
        <f t="shared" si="81"/>
        <v>#REF!</v>
      </c>
      <c r="K105" t="e">
        <f t="shared" si="81"/>
        <v>#REF!</v>
      </c>
      <c r="L105" t="e">
        <f t="shared" si="81"/>
        <v>#REF!</v>
      </c>
      <c r="M105" t="e">
        <f t="shared" si="81"/>
        <v>#REF!</v>
      </c>
      <c r="N105" t="e">
        <f t="shared" si="81"/>
        <v>#REF!</v>
      </c>
      <c r="O105" t="e">
        <f t="shared" si="81"/>
        <v>#REF!</v>
      </c>
      <c r="P105" t="e">
        <f t="shared" si="81"/>
        <v>#REF!</v>
      </c>
      <c r="Q105" t="e">
        <f t="shared" si="81"/>
        <v>#REF!</v>
      </c>
      <c r="R105" t="e">
        <f t="shared" si="81"/>
        <v>#REF!</v>
      </c>
      <c r="S105" t="e">
        <f t="shared" si="81"/>
        <v>#REF!</v>
      </c>
      <c r="T105" t="e">
        <f t="shared" si="80"/>
        <v>#REF!</v>
      </c>
      <c r="U105" t="e">
        <f t="shared" si="80"/>
        <v>#REF!</v>
      </c>
      <c r="V105" t="e">
        <f t="shared" si="80"/>
        <v>#REF!</v>
      </c>
      <c r="W105" t="e">
        <f t="shared" si="80"/>
        <v>#REF!</v>
      </c>
      <c r="X105" t="e">
        <f t="shared" si="64"/>
        <v>#REF!</v>
      </c>
      <c r="Y105" t="e">
        <f t="shared" si="64"/>
        <v>#REF!</v>
      </c>
      <c r="Z105" t="e">
        <f t="shared" si="64"/>
        <v>#REF!</v>
      </c>
      <c r="AA105" t="e">
        <f t="shared" si="64"/>
        <v>#REF!</v>
      </c>
      <c r="AB105" t="e">
        <f t="shared" si="64"/>
        <v>#REF!</v>
      </c>
      <c r="AC105" t="e">
        <f t="shared" si="64"/>
        <v>#REF!</v>
      </c>
      <c r="AD105" t="e">
        <f t="shared" si="64"/>
        <v>#REF!</v>
      </c>
      <c r="AE105" t="e">
        <f t="shared" si="64"/>
        <v>#REF!</v>
      </c>
      <c r="AF105" t="e">
        <f t="shared" si="64"/>
        <v>#REF!</v>
      </c>
      <c r="AG105" t="e">
        <f t="shared" si="64"/>
        <v>#REF!</v>
      </c>
      <c r="AH105" t="e">
        <f t="shared" si="68"/>
        <v>#REF!</v>
      </c>
      <c r="AI105" t="e">
        <f t="shared" si="68"/>
        <v>#REF!</v>
      </c>
      <c r="AJ105" t="e">
        <f t="shared" si="68"/>
        <v>#REF!</v>
      </c>
      <c r="AK105" t="e">
        <f t="shared" si="68"/>
        <v>#REF!</v>
      </c>
      <c r="AL105" t="e">
        <f t="shared" si="68"/>
        <v>#REF!</v>
      </c>
      <c r="AM105" t="e">
        <f t="shared" si="68"/>
        <v>#REF!</v>
      </c>
      <c r="AN105" t="e">
        <f t="shared" si="68"/>
        <v>#REF!</v>
      </c>
      <c r="AO105" t="e">
        <f t="shared" si="68"/>
        <v>#REF!</v>
      </c>
      <c r="AP105" t="e">
        <f t="shared" si="68"/>
        <v>#REF!</v>
      </c>
      <c r="AQ105" t="e">
        <f t="shared" si="68"/>
        <v>#REF!</v>
      </c>
      <c r="AR105" t="e">
        <f t="shared" si="67"/>
        <v>#REF!</v>
      </c>
      <c r="AS105" t="e">
        <f t="shared" si="67"/>
        <v>#REF!</v>
      </c>
      <c r="AT105" t="e">
        <f t="shared" si="67"/>
        <v>#REF!</v>
      </c>
      <c r="AU105" t="e">
        <f t="shared" si="67"/>
        <v>#REF!</v>
      </c>
      <c r="AV105" t="e">
        <f t="shared" si="67"/>
        <v>#REF!</v>
      </c>
      <c r="AW105" t="e">
        <f t="shared" si="67"/>
        <v>#REF!</v>
      </c>
      <c r="AX105" t="e">
        <f t="shared" si="67"/>
        <v>#REF!</v>
      </c>
      <c r="AY105" t="e">
        <f t="shared" si="66"/>
        <v>#REF!</v>
      </c>
      <c r="AZ105" t="e">
        <f t="shared" si="66"/>
        <v>#REF!</v>
      </c>
      <c r="BA105" t="e">
        <f t="shared" si="66"/>
        <v>#REF!</v>
      </c>
      <c r="BB105" t="e">
        <f t="shared" si="66"/>
        <v>#REF!</v>
      </c>
      <c r="BC105" t="e">
        <f t="shared" si="66"/>
        <v>#REF!</v>
      </c>
      <c r="BD105" t="e">
        <f t="shared" si="66"/>
        <v>#REF!</v>
      </c>
      <c r="BE105" t="e">
        <f t="shared" si="66"/>
        <v>#REF!</v>
      </c>
      <c r="BF105" t="e">
        <f t="shared" si="66"/>
        <v>#REF!</v>
      </c>
      <c r="BG105" t="e">
        <f t="shared" si="66"/>
        <v>#REF!</v>
      </c>
      <c r="BH105" t="e">
        <f t="shared" si="66"/>
        <v>#REF!</v>
      </c>
      <c r="BI105" t="e">
        <f t="shared" si="66"/>
        <v>#REF!</v>
      </c>
      <c r="BJ105" t="e">
        <f t="shared" si="66"/>
        <v>#REF!</v>
      </c>
      <c r="BK105" t="e">
        <f t="shared" si="66"/>
        <v>#REF!</v>
      </c>
      <c r="BL105" t="e">
        <f t="shared" ref="BL105:CA127" si="83">MATCH(CONCATENATE(BL$3,"_",$C105),auto_DataFlat_UID,0)</f>
        <v>#REF!</v>
      </c>
      <c r="BM105" t="e">
        <f t="shared" si="83"/>
        <v>#REF!</v>
      </c>
      <c r="BN105" t="e">
        <f t="shared" si="83"/>
        <v>#REF!</v>
      </c>
      <c r="BO105" t="e">
        <f t="shared" si="83"/>
        <v>#REF!</v>
      </c>
      <c r="BP105" t="e">
        <f t="shared" si="83"/>
        <v>#REF!</v>
      </c>
      <c r="BQ105" t="e">
        <f t="shared" si="83"/>
        <v>#REF!</v>
      </c>
      <c r="BR105" t="e">
        <f t="shared" si="83"/>
        <v>#REF!</v>
      </c>
      <c r="BS105" t="e">
        <f t="shared" si="83"/>
        <v>#REF!</v>
      </c>
      <c r="BT105" t="e">
        <f t="shared" si="83"/>
        <v>#REF!</v>
      </c>
      <c r="BU105" t="e">
        <f t="shared" si="83"/>
        <v>#REF!</v>
      </c>
      <c r="BV105" t="e">
        <f t="shared" si="77"/>
        <v>#REF!</v>
      </c>
      <c r="BW105" t="e">
        <f t="shared" si="77"/>
        <v>#REF!</v>
      </c>
      <c r="BX105" t="e">
        <f t="shared" si="77"/>
        <v>#REF!</v>
      </c>
      <c r="BY105" t="e">
        <f t="shared" si="77"/>
        <v>#REF!</v>
      </c>
      <c r="BZ105" t="e">
        <f t="shared" si="77"/>
        <v>#REF!</v>
      </c>
      <c r="CA105" t="e">
        <f t="shared" si="77"/>
        <v>#REF!</v>
      </c>
      <c r="CB105" t="e">
        <f t="shared" si="77"/>
        <v>#REF!</v>
      </c>
      <c r="CC105" t="e">
        <f t="shared" si="77"/>
        <v>#REF!</v>
      </c>
      <c r="CD105" t="e">
        <f t="shared" si="77"/>
        <v>#REF!</v>
      </c>
      <c r="CE105" t="e">
        <f t="shared" si="77"/>
        <v>#REF!</v>
      </c>
      <c r="CF105" t="e">
        <f t="shared" si="71"/>
        <v>#REF!</v>
      </c>
      <c r="CG105" t="e">
        <f t="shared" si="71"/>
        <v>#REF!</v>
      </c>
      <c r="CH105" t="e">
        <f t="shared" si="71"/>
        <v>#REF!</v>
      </c>
      <c r="CI105" t="e">
        <f t="shared" si="71"/>
        <v>#REF!</v>
      </c>
      <c r="CJ105" t="e">
        <f t="shared" si="71"/>
        <v>#REF!</v>
      </c>
      <c r="CK105" t="e">
        <f t="shared" si="71"/>
        <v>#REF!</v>
      </c>
      <c r="CL105" t="e">
        <f t="shared" si="71"/>
        <v>#REF!</v>
      </c>
      <c r="CM105" t="e">
        <f t="shared" si="71"/>
        <v>#REF!</v>
      </c>
      <c r="CN105" t="e">
        <f t="shared" si="71"/>
        <v>#REF!</v>
      </c>
      <c r="CO105" t="e">
        <f t="shared" si="71"/>
        <v>#REF!</v>
      </c>
      <c r="CP105" t="e">
        <f t="shared" si="70"/>
        <v>#REF!</v>
      </c>
      <c r="CQ105" t="e">
        <f t="shared" si="70"/>
        <v>#REF!</v>
      </c>
      <c r="CR105" t="e">
        <f t="shared" si="70"/>
        <v>#REF!</v>
      </c>
      <c r="CS105" t="e">
        <f t="shared" si="70"/>
        <v>#REF!</v>
      </c>
      <c r="CT105" t="e">
        <f t="shared" si="70"/>
        <v>#REF!</v>
      </c>
      <c r="CU105" t="e">
        <f t="shared" si="70"/>
        <v>#REF!</v>
      </c>
      <c r="CV105" t="e">
        <f t="shared" si="70"/>
        <v>#REF!</v>
      </c>
      <c r="CW105" t="e">
        <f t="shared" si="70"/>
        <v>#REF!</v>
      </c>
      <c r="CX105" t="e">
        <f t="shared" si="74"/>
        <v>#REF!</v>
      </c>
      <c r="CY105" t="e">
        <f t="shared" si="74"/>
        <v>#REF!</v>
      </c>
      <c r="CZ105" t="e">
        <f t="shared" si="74"/>
        <v>#REF!</v>
      </c>
      <c r="DA105" t="e">
        <f t="shared" si="74"/>
        <v>#REF!</v>
      </c>
      <c r="DB105" t="e">
        <f t="shared" si="74"/>
        <v>#REF!</v>
      </c>
      <c r="DC105" t="e">
        <f t="shared" si="74"/>
        <v>#REF!</v>
      </c>
      <c r="DD105" t="e">
        <f t="shared" si="74"/>
        <v>#REF!</v>
      </c>
      <c r="DE105" t="e">
        <f t="shared" si="74"/>
        <v>#REF!</v>
      </c>
      <c r="DF105" t="e">
        <f t="shared" si="74"/>
        <v>#REF!</v>
      </c>
      <c r="DG105" t="e">
        <f t="shared" si="74"/>
        <v>#REF!</v>
      </c>
      <c r="DH105" t="e">
        <f t="shared" si="74"/>
        <v>#REF!</v>
      </c>
      <c r="DI105" t="e">
        <f t="shared" si="74"/>
        <v>#REF!</v>
      </c>
      <c r="DJ105" t="e">
        <f t="shared" si="74"/>
        <v>#REF!</v>
      </c>
      <c r="DK105" t="e">
        <f t="shared" si="74"/>
        <v>#REF!</v>
      </c>
      <c r="DL105" t="e">
        <f t="shared" si="74"/>
        <v>#REF!</v>
      </c>
      <c r="DM105" t="e">
        <f t="shared" si="74"/>
        <v>#REF!</v>
      </c>
      <c r="DN105" t="e">
        <f t="shared" si="79"/>
        <v>#REF!</v>
      </c>
      <c r="DO105" t="e">
        <f t="shared" si="79"/>
        <v>#REF!</v>
      </c>
      <c r="DP105" t="e">
        <f t="shared" si="79"/>
        <v>#REF!</v>
      </c>
      <c r="DQ105" t="e">
        <f t="shared" si="79"/>
        <v>#REF!</v>
      </c>
      <c r="DR105" t="e">
        <f t="shared" si="79"/>
        <v>#REF!</v>
      </c>
      <c r="DS105" t="e">
        <f t="shared" si="79"/>
        <v>#REF!</v>
      </c>
      <c r="DT105" t="e">
        <f t="shared" si="79"/>
        <v>#REF!</v>
      </c>
      <c r="DU105" t="e">
        <f t="shared" si="79"/>
        <v>#REF!</v>
      </c>
      <c r="DV105" t="e">
        <f t="shared" si="79"/>
        <v>#REF!</v>
      </c>
      <c r="DW105" t="e">
        <f t="shared" si="79"/>
        <v>#REF!</v>
      </c>
      <c r="DX105" t="e">
        <f t="shared" si="79"/>
        <v>#REF!</v>
      </c>
      <c r="DY105" t="e">
        <f t="shared" si="79"/>
        <v>#REF!</v>
      </c>
      <c r="DZ105" t="e">
        <f t="shared" si="63"/>
        <v>#REF!</v>
      </c>
      <c r="EA105" t="e">
        <f t="shared" si="63"/>
        <v>#REF!</v>
      </c>
      <c r="EB105" t="e">
        <f t="shared" si="63"/>
        <v>#REF!</v>
      </c>
      <c r="EC105" t="e">
        <f t="shared" si="63"/>
        <v>#REF!</v>
      </c>
      <c r="ED105" t="e">
        <f t="shared" si="75"/>
        <v>#REF!</v>
      </c>
      <c r="EE105" t="e">
        <f t="shared" si="75"/>
        <v>#REF!</v>
      </c>
      <c r="EF105" t="e">
        <f t="shared" si="75"/>
        <v>#REF!</v>
      </c>
      <c r="EG105" t="e">
        <f t="shared" si="75"/>
        <v>#REF!</v>
      </c>
      <c r="EH105" t="e">
        <f t="shared" si="75"/>
        <v>#REF!</v>
      </c>
      <c r="EI105" t="e">
        <f t="shared" si="75"/>
        <v>#REF!</v>
      </c>
      <c r="EJ105" t="e">
        <f t="shared" si="75"/>
        <v>#REF!</v>
      </c>
      <c r="EK105" t="e">
        <f t="shared" si="75"/>
        <v>#REF!</v>
      </c>
      <c r="EL105" t="e">
        <f t="shared" si="75"/>
        <v>#REF!</v>
      </c>
      <c r="EM105" t="e">
        <f t="shared" si="75"/>
        <v>#REF!</v>
      </c>
    </row>
    <row r="106" spans="1:143" x14ac:dyDescent="0.4">
      <c r="A106" t="str">
        <f t="shared" si="51"/>
        <v>X</v>
      </c>
      <c r="B106">
        <v>103</v>
      </c>
      <c r="C106" t="e" cm="1">
        <f t="array" ref="C106">INDEX(auto_Series_Code,B106)</f>
        <v>#REF!</v>
      </c>
      <c r="D106" t="e">
        <f t="shared" si="81"/>
        <v>#REF!</v>
      </c>
      <c r="E106" t="e">
        <f t="shared" si="81"/>
        <v>#REF!</v>
      </c>
      <c r="F106" t="e">
        <f t="shared" si="81"/>
        <v>#REF!</v>
      </c>
      <c r="G106" t="e">
        <f t="shared" si="81"/>
        <v>#REF!</v>
      </c>
      <c r="H106" t="e">
        <f t="shared" si="81"/>
        <v>#REF!</v>
      </c>
      <c r="I106" t="e">
        <f t="shared" si="81"/>
        <v>#REF!</v>
      </c>
      <c r="J106" t="e">
        <f t="shared" si="81"/>
        <v>#REF!</v>
      </c>
      <c r="K106" t="e">
        <f t="shared" si="81"/>
        <v>#REF!</v>
      </c>
      <c r="L106" t="e">
        <f t="shared" si="81"/>
        <v>#REF!</v>
      </c>
      <c r="M106" t="e">
        <f t="shared" si="81"/>
        <v>#REF!</v>
      </c>
      <c r="N106" t="e">
        <f t="shared" si="81"/>
        <v>#REF!</v>
      </c>
      <c r="O106" t="e">
        <f t="shared" si="81"/>
        <v>#REF!</v>
      </c>
      <c r="P106" t="e">
        <f t="shared" si="81"/>
        <v>#REF!</v>
      </c>
      <c r="Q106" t="e">
        <f t="shared" si="81"/>
        <v>#REF!</v>
      </c>
      <c r="R106" t="e">
        <f t="shared" si="81"/>
        <v>#REF!</v>
      </c>
      <c r="S106" t="e">
        <f t="shared" si="81"/>
        <v>#REF!</v>
      </c>
      <c r="T106" t="e">
        <f t="shared" si="80"/>
        <v>#REF!</v>
      </c>
      <c r="U106" t="e">
        <f t="shared" si="80"/>
        <v>#REF!</v>
      </c>
      <c r="V106" t="e">
        <f t="shared" si="80"/>
        <v>#REF!</v>
      </c>
      <c r="W106" t="e">
        <f t="shared" si="80"/>
        <v>#REF!</v>
      </c>
      <c r="X106" t="e">
        <f t="shared" si="64"/>
        <v>#REF!</v>
      </c>
      <c r="Y106" t="e">
        <f t="shared" si="64"/>
        <v>#REF!</v>
      </c>
      <c r="Z106" t="e">
        <f t="shared" si="64"/>
        <v>#REF!</v>
      </c>
      <c r="AA106" t="e">
        <f t="shared" si="64"/>
        <v>#REF!</v>
      </c>
      <c r="AB106" t="e">
        <f t="shared" si="64"/>
        <v>#REF!</v>
      </c>
      <c r="AC106" t="e">
        <f t="shared" si="64"/>
        <v>#REF!</v>
      </c>
      <c r="AD106" t="e">
        <f t="shared" si="64"/>
        <v>#REF!</v>
      </c>
      <c r="AE106" t="e">
        <f t="shared" si="64"/>
        <v>#REF!</v>
      </c>
      <c r="AF106" t="e">
        <f t="shared" si="64"/>
        <v>#REF!</v>
      </c>
      <c r="AG106" t="e">
        <f t="shared" si="64"/>
        <v>#REF!</v>
      </c>
      <c r="AH106" t="e">
        <f t="shared" si="68"/>
        <v>#REF!</v>
      </c>
      <c r="AI106" t="e">
        <f t="shared" si="68"/>
        <v>#REF!</v>
      </c>
      <c r="AJ106" t="e">
        <f t="shared" si="68"/>
        <v>#REF!</v>
      </c>
      <c r="AK106" t="e">
        <f t="shared" si="68"/>
        <v>#REF!</v>
      </c>
      <c r="AL106" t="e">
        <f t="shared" si="68"/>
        <v>#REF!</v>
      </c>
      <c r="AM106" t="e">
        <f t="shared" si="68"/>
        <v>#REF!</v>
      </c>
      <c r="AN106" t="e">
        <f t="shared" si="68"/>
        <v>#REF!</v>
      </c>
      <c r="AO106" t="e">
        <f t="shared" si="68"/>
        <v>#REF!</v>
      </c>
      <c r="AP106" t="e">
        <f t="shared" si="68"/>
        <v>#REF!</v>
      </c>
      <c r="AQ106" t="e">
        <f t="shared" si="68"/>
        <v>#REF!</v>
      </c>
      <c r="AR106" t="e">
        <f t="shared" si="67"/>
        <v>#REF!</v>
      </c>
      <c r="AS106" t="e">
        <f t="shared" si="67"/>
        <v>#REF!</v>
      </c>
      <c r="AT106" t="e">
        <f t="shared" si="67"/>
        <v>#REF!</v>
      </c>
      <c r="AU106" t="e">
        <f t="shared" si="67"/>
        <v>#REF!</v>
      </c>
      <c r="AV106" t="e">
        <f t="shared" si="67"/>
        <v>#REF!</v>
      </c>
      <c r="AW106" t="e">
        <f t="shared" si="67"/>
        <v>#REF!</v>
      </c>
      <c r="AX106" t="e">
        <f t="shared" si="67"/>
        <v>#REF!</v>
      </c>
      <c r="AY106" t="e">
        <f t="shared" si="66"/>
        <v>#REF!</v>
      </c>
      <c r="AZ106" t="e">
        <f t="shared" si="66"/>
        <v>#REF!</v>
      </c>
      <c r="BA106" t="e">
        <f t="shared" si="66"/>
        <v>#REF!</v>
      </c>
      <c r="BB106" t="e">
        <f t="shared" si="66"/>
        <v>#REF!</v>
      </c>
      <c r="BC106" t="e">
        <f t="shared" si="66"/>
        <v>#REF!</v>
      </c>
      <c r="BD106" t="e">
        <f t="shared" si="66"/>
        <v>#REF!</v>
      </c>
      <c r="BE106" t="e">
        <f t="shared" si="66"/>
        <v>#REF!</v>
      </c>
      <c r="BF106" t="e">
        <f t="shared" si="66"/>
        <v>#REF!</v>
      </c>
      <c r="BG106" t="e">
        <f t="shared" si="66"/>
        <v>#REF!</v>
      </c>
      <c r="BH106" t="e">
        <f t="shared" si="66"/>
        <v>#REF!</v>
      </c>
      <c r="BI106" t="e">
        <f t="shared" si="66"/>
        <v>#REF!</v>
      </c>
      <c r="BJ106" t="e">
        <f t="shared" si="66"/>
        <v>#REF!</v>
      </c>
      <c r="BK106" t="e">
        <f t="shared" si="66"/>
        <v>#REF!</v>
      </c>
      <c r="BL106" t="e">
        <f t="shared" si="83"/>
        <v>#REF!</v>
      </c>
      <c r="BM106" t="e">
        <f t="shared" si="83"/>
        <v>#REF!</v>
      </c>
      <c r="BN106" t="e">
        <f t="shared" si="83"/>
        <v>#REF!</v>
      </c>
      <c r="BO106" t="e">
        <f t="shared" si="83"/>
        <v>#REF!</v>
      </c>
      <c r="BP106" t="e">
        <f t="shared" si="83"/>
        <v>#REF!</v>
      </c>
      <c r="BQ106" t="e">
        <f t="shared" si="83"/>
        <v>#REF!</v>
      </c>
      <c r="BR106" t="e">
        <f t="shared" si="83"/>
        <v>#REF!</v>
      </c>
      <c r="BS106" t="e">
        <f t="shared" si="83"/>
        <v>#REF!</v>
      </c>
      <c r="BT106" t="e">
        <f t="shared" si="83"/>
        <v>#REF!</v>
      </c>
      <c r="BU106" t="e">
        <f t="shared" si="83"/>
        <v>#REF!</v>
      </c>
      <c r="BV106" t="e">
        <f t="shared" si="77"/>
        <v>#REF!</v>
      </c>
      <c r="BW106" t="e">
        <f t="shared" si="77"/>
        <v>#REF!</v>
      </c>
      <c r="BX106" t="e">
        <f t="shared" si="77"/>
        <v>#REF!</v>
      </c>
      <c r="BY106" t="e">
        <f t="shared" si="77"/>
        <v>#REF!</v>
      </c>
      <c r="BZ106" t="e">
        <f t="shared" si="77"/>
        <v>#REF!</v>
      </c>
      <c r="CA106" t="e">
        <f t="shared" si="77"/>
        <v>#REF!</v>
      </c>
      <c r="CB106" t="e">
        <f t="shared" si="77"/>
        <v>#REF!</v>
      </c>
      <c r="CC106" t="e">
        <f t="shared" si="77"/>
        <v>#REF!</v>
      </c>
      <c r="CD106" t="e">
        <f t="shared" si="77"/>
        <v>#REF!</v>
      </c>
      <c r="CE106" t="e">
        <f t="shared" si="77"/>
        <v>#REF!</v>
      </c>
      <c r="CF106" t="e">
        <f t="shared" si="71"/>
        <v>#REF!</v>
      </c>
      <c r="CG106" t="e">
        <f t="shared" si="71"/>
        <v>#REF!</v>
      </c>
      <c r="CH106" t="e">
        <f t="shared" si="71"/>
        <v>#REF!</v>
      </c>
      <c r="CI106" t="e">
        <f t="shared" si="71"/>
        <v>#REF!</v>
      </c>
      <c r="CJ106" t="e">
        <f t="shared" si="71"/>
        <v>#REF!</v>
      </c>
      <c r="CK106" t="e">
        <f t="shared" si="71"/>
        <v>#REF!</v>
      </c>
      <c r="CL106" t="e">
        <f t="shared" si="71"/>
        <v>#REF!</v>
      </c>
      <c r="CM106" t="e">
        <f t="shared" si="71"/>
        <v>#REF!</v>
      </c>
      <c r="CN106" t="e">
        <f t="shared" si="71"/>
        <v>#REF!</v>
      </c>
      <c r="CO106" t="e">
        <f t="shared" si="71"/>
        <v>#REF!</v>
      </c>
      <c r="CP106" t="e">
        <f t="shared" si="70"/>
        <v>#REF!</v>
      </c>
      <c r="CQ106" t="e">
        <f t="shared" si="70"/>
        <v>#REF!</v>
      </c>
      <c r="CR106" t="e">
        <f t="shared" si="70"/>
        <v>#REF!</v>
      </c>
      <c r="CS106" t="e">
        <f t="shared" si="70"/>
        <v>#REF!</v>
      </c>
      <c r="CT106" t="e">
        <f t="shared" si="70"/>
        <v>#REF!</v>
      </c>
      <c r="CU106" t="e">
        <f t="shared" si="70"/>
        <v>#REF!</v>
      </c>
      <c r="CV106" t="e">
        <f t="shared" si="70"/>
        <v>#REF!</v>
      </c>
      <c r="CW106" t="e">
        <f t="shared" si="70"/>
        <v>#REF!</v>
      </c>
      <c r="CX106" t="e">
        <f t="shared" si="74"/>
        <v>#REF!</v>
      </c>
      <c r="CY106" t="e">
        <f t="shared" si="74"/>
        <v>#REF!</v>
      </c>
      <c r="CZ106" t="e">
        <f t="shared" si="74"/>
        <v>#REF!</v>
      </c>
      <c r="DA106" t="e">
        <f t="shared" si="74"/>
        <v>#REF!</v>
      </c>
      <c r="DB106" t="e">
        <f t="shared" si="74"/>
        <v>#REF!</v>
      </c>
      <c r="DC106" t="e">
        <f t="shared" si="74"/>
        <v>#REF!</v>
      </c>
      <c r="DD106" t="e">
        <f t="shared" si="74"/>
        <v>#REF!</v>
      </c>
      <c r="DE106" t="e">
        <f t="shared" si="74"/>
        <v>#REF!</v>
      </c>
      <c r="DF106" t="e">
        <f t="shared" si="74"/>
        <v>#REF!</v>
      </c>
      <c r="DG106" t="e">
        <f t="shared" si="74"/>
        <v>#REF!</v>
      </c>
      <c r="DH106" t="e">
        <f t="shared" si="74"/>
        <v>#REF!</v>
      </c>
      <c r="DI106" t="e">
        <f t="shared" si="74"/>
        <v>#REF!</v>
      </c>
      <c r="DJ106" t="e">
        <f t="shared" si="74"/>
        <v>#REF!</v>
      </c>
      <c r="DK106" t="e">
        <f t="shared" si="74"/>
        <v>#REF!</v>
      </c>
      <c r="DL106" t="e">
        <f t="shared" si="74"/>
        <v>#REF!</v>
      </c>
      <c r="DM106" t="e">
        <f t="shared" si="74"/>
        <v>#REF!</v>
      </c>
      <c r="DN106" t="e">
        <f t="shared" si="79"/>
        <v>#REF!</v>
      </c>
      <c r="DO106" t="e">
        <f t="shared" si="79"/>
        <v>#REF!</v>
      </c>
      <c r="DP106" t="e">
        <f t="shared" si="79"/>
        <v>#REF!</v>
      </c>
      <c r="DQ106" t="e">
        <f t="shared" si="79"/>
        <v>#REF!</v>
      </c>
      <c r="DR106" t="e">
        <f t="shared" si="79"/>
        <v>#REF!</v>
      </c>
      <c r="DS106" t="e">
        <f t="shared" si="79"/>
        <v>#REF!</v>
      </c>
      <c r="DT106" t="e">
        <f t="shared" si="79"/>
        <v>#REF!</v>
      </c>
      <c r="DU106" t="e">
        <f t="shared" si="79"/>
        <v>#REF!</v>
      </c>
      <c r="DV106" t="e">
        <f t="shared" si="79"/>
        <v>#REF!</v>
      </c>
      <c r="DW106" t="e">
        <f t="shared" si="79"/>
        <v>#REF!</v>
      </c>
      <c r="DX106" t="e">
        <f t="shared" si="79"/>
        <v>#REF!</v>
      </c>
      <c r="DY106" t="e">
        <f t="shared" si="79"/>
        <v>#REF!</v>
      </c>
      <c r="DZ106" t="e">
        <f t="shared" si="63"/>
        <v>#REF!</v>
      </c>
      <c r="EA106" t="e">
        <f t="shared" si="63"/>
        <v>#REF!</v>
      </c>
      <c r="EB106" t="e">
        <f t="shared" si="63"/>
        <v>#REF!</v>
      </c>
      <c r="EC106" t="e">
        <f t="shared" si="63"/>
        <v>#REF!</v>
      </c>
      <c r="ED106" t="e">
        <f t="shared" si="75"/>
        <v>#REF!</v>
      </c>
      <c r="EE106" t="e">
        <f t="shared" si="75"/>
        <v>#REF!</v>
      </c>
      <c r="EF106" t="e">
        <f t="shared" si="75"/>
        <v>#REF!</v>
      </c>
      <c r="EG106" t="e">
        <f t="shared" si="75"/>
        <v>#REF!</v>
      </c>
      <c r="EH106" t="e">
        <f t="shared" si="75"/>
        <v>#REF!</v>
      </c>
      <c r="EI106" t="e">
        <f t="shared" si="75"/>
        <v>#REF!</v>
      </c>
      <c r="EJ106" t="e">
        <f t="shared" si="75"/>
        <v>#REF!</v>
      </c>
      <c r="EK106" t="e">
        <f t="shared" si="75"/>
        <v>#REF!</v>
      </c>
      <c r="EL106" t="e">
        <f t="shared" si="75"/>
        <v>#REF!</v>
      </c>
      <c r="EM106" t="e">
        <f t="shared" si="75"/>
        <v>#REF!</v>
      </c>
    </row>
    <row r="107" spans="1:143" x14ac:dyDescent="0.4">
      <c r="A107" t="str">
        <f t="shared" si="51"/>
        <v>X</v>
      </c>
      <c r="B107">
        <v>104</v>
      </c>
      <c r="C107" t="e" cm="1">
        <f t="array" ref="C107">INDEX(auto_Series_Code,B107)</f>
        <v>#REF!</v>
      </c>
      <c r="D107" t="e">
        <f t="shared" si="81"/>
        <v>#REF!</v>
      </c>
      <c r="E107" t="e">
        <f t="shared" si="81"/>
        <v>#REF!</v>
      </c>
      <c r="F107" t="e">
        <f t="shared" si="81"/>
        <v>#REF!</v>
      </c>
      <c r="G107" t="e">
        <f t="shared" si="81"/>
        <v>#REF!</v>
      </c>
      <c r="H107" t="e">
        <f t="shared" si="81"/>
        <v>#REF!</v>
      </c>
      <c r="I107" t="e">
        <f t="shared" si="81"/>
        <v>#REF!</v>
      </c>
      <c r="J107" t="e">
        <f t="shared" si="81"/>
        <v>#REF!</v>
      </c>
      <c r="K107" t="e">
        <f t="shared" si="81"/>
        <v>#REF!</v>
      </c>
      <c r="L107" t="e">
        <f t="shared" si="81"/>
        <v>#REF!</v>
      </c>
      <c r="M107" t="e">
        <f t="shared" si="81"/>
        <v>#REF!</v>
      </c>
      <c r="N107" t="e">
        <f t="shared" si="81"/>
        <v>#REF!</v>
      </c>
      <c r="O107" t="e">
        <f t="shared" si="81"/>
        <v>#REF!</v>
      </c>
      <c r="P107" t="e">
        <f t="shared" si="81"/>
        <v>#REF!</v>
      </c>
      <c r="Q107" t="e">
        <f t="shared" si="81"/>
        <v>#REF!</v>
      </c>
      <c r="R107" t="e">
        <f t="shared" si="81"/>
        <v>#REF!</v>
      </c>
      <c r="S107" t="e">
        <f t="shared" si="81"/>
        <v>#REF!</v>
      </c>
      <c r="T107" t="e">
        <f t="shared" si="80"/>
        <v>#REF!</v>
      </c>
      <c r="U107" t="e">
        <f t="shared" si="80"/>
        <v>#REF!</v>
      </c>
      <c r="V107" t="e">
        <f t="shared" si="80"/>
        <v>#REF!</v>
      </c>
      <c r="W107" t="e">
        <f t="shared" si="80"/>
        <v>#REF!</v>
      </c>
      <c r="X107" t="e">
        <f t="shared" si="64"/>
        <v>#REF!</v>
      </c>
      <c r="Y107" t="e">
        <f t="shared" si="64"/>
        <v>#REF!</v>
      </c>
      <c r="Z107" t="e">
        <f t="shared" si="64"/>
        <v>#REF!</v>
      </c>
      <c r="AA107" t="e">
        <f t="shared" si="64"/>
        <v>#REF!</v>
      </c>
      <c r="AB107" t="e">
        <f t="shared" si="64"/>
        <v>#REF!</v>
      </c>
      <c r="AC107" t="e">
        <f t="shared" si="64"/>
        <v>#REF!</v>
      </c>
      <c r="AD107" t="e">
        <f t="shared" si="64"/>
        <v>#REF!</v>
      </c>
      <c r="AE107" t="e">
        <f t="shared" si="64"/>
        <v>#REF!</v>
      </c>
      <c r="AF107" t="e">
        <f t="shared" si="64"/>
        <v>#REF!</v>
      </c>
      <c r="AG107" t="e">
        <f t="shared" si="64"/>
        <v>#REF!</v>
      </c>
      <c r="AH107" t="e">
        <f t="shared" si="68"/>
        <v>#REF!</v>
      </c>
      <c r="AI107" t="e">
        <f t="shared" si="68"/>
        <v>#REF!</v>
      </c>
      <c r="AJ107" t="e">
        <f t="shared" si="68"/>
        <v>#REF!</v>
      </c>
      <c r="AK107" t="e">
        <f t="shared" si="68"/>
        <v>#REF!</v>
      </c>
      <c r="AL107" t="e">
        <f t="shared" si="68"/>
        <v>#REF!</v>
      </c>
      <c r="AM107" t="e">
        <f t="shared" si="68"/>
        <v>#REF!</v>
      </c>
      <c r="AN107" t="e">
        <f t="shared" si="68"/>
        <v>#REF!</v>
      </c>
      <c r="AO107" t="e">
        <f t="shared" si="68"/>
        <v>#REF!</v>
      </c>
      <c r="AP107" t="e">
        <f t="shared" si="68"/>
        <v>#REF!</v>
      </c>
      <c r="AQ107" t="e">
        <f t="shared" si="68"/>
        <v>#REF!</v>
      </c>
      <c r="AR107" t="e">
        <f t="shared" si="67"/>
        <v>#REF!</v>
      </c>
      <c r="AS107" t="e">
        <f t="shared" si="67"/>
        <v>#REF!</v>
      </c>
      <c r="AT107" t="e">
        <f t="shared" si="67"/>
        <v>#REF!</v>
      </c>
      <c r="AU107" t="e">
        <f t="shared" si="67"/>
        <v>#REF!</v>
      </c>
      <c r="AV107" t="e">
        <f t="shared" si="67"/>
        <v>#REF!</v>
      </c>
      <c r="AW107" t="e">
        <f t="shared" si="67"/>
        <v>#REF!</v>
      </c>
      <c r="AX107" t="e">
        <f t="shared" si="67"/>
        <v>#REF!</v>
      </c>
      <c r="AY107" t="e">
        <f t="shared" si="66"/>
        <v>#REF!</v>
      </c>
      <c r="AZ107" t="e">
        <f t="shared" si="66"/>
        <v>#REF!</v>
      </c>
      <c r="BA107" t="e">
        <f t="shared" si="66"/>
        <v>#REF!</v>
      </c>
      <c r="BB107" t="e">
        <f t="shared" si="66"/>
        <v>#REF!</v>
      </c>
      <c r="BC107" t="e">
        <f t="shared" si="66"/>
        <v>#REF!</v>
      </c>
      <c r="BD107" t="e">
        <f t="shared" si="66"/>
        <v>#REF!</v>
      </c>
      <c r="BE107" t="e">
        <f t="shared" si="66"/>
        <v>#REF!</v>
      </c>
      <c r="BF107" t="e">
        <f t="shared" si="66"/>
        <v>#REF!</v>
      </c>
      <c r="BG107" t="e">
        <f t="shared" si="66"/>
        <v>#REF!</v>
      </c>
      <c r="BH107" t="e">
        <f t="shared" si="66"/>
        <v>#REF!</v>
      </c>
      <c r="BI107" t="e">
        <f t="shared" si="66"/>
        <v>#REF!</v>
      </c>
      <c r="BJ107" t="e">
        <f t="shared" si="66"/>
        <v>#REF!</v>
      </c>
      <c r="BK107" t="e">
        <f t="shared" si="66"/>
        <v>#REF!</v>
      </c>
      <c r="BL107" t="e">
        <f t="shared" si="83"/>
        <v>#REF!</v>
      </c>
      <c r="BM107" t="e">
        <f t="shared" si="83"/>
        <v>#REF!</v>
      </c>
      <c r="BN107" t="e">
        <f t="shared" si="83"/>
        <v>#REF!</v>
      </c>
      <c r="BO107" t="e">
        <f t="shared" si="83"/>
        <v>#REF!</v>
      </c>
      <c r="BP107" t="e">
        <f t="shared" si="83"/>
        <v>#REF!</v>
      </c>
      <c r="BQ107" t="e">
        <f t="shared" si="83"/>
        <v>#REF!</v>
      </c>
      <c r="BR107" t="e">
        <f t="shared" si="83"/>
        <v>#REF!</v>
      </c>
      <c r="BS107" t="e">
        <f t="shared" si="83"/>
        <v>#REF!</v>
      </c>
      <c r="BT107" t="e">
        <f t="shared" si="83"/>
        <v>#REF!</v>
      </c>
      <c r="BU107" t="e">
        <f t="shared" si="83"/>
        <v>#REF!</v>
      </c>
      <c r="BV107" t="e">
        <f t="shared" si="77"/>
        <v>#REF!</v>
      </c>
      <c r="BW107" t="e">
        <f t="shared" si="77"/>
        <v>#REF!</v>
      </c>
      <c r="BX107" t="e">
        <f t="shared" si="77"/>
        <v>#REF!</v>
      </c>
      <c r="BY107" t="e">
        <f t="shared" si="77"/>
        <v>#REF!</v>
      </c>
      <c r="BZ107" t="e">
        <f t="shared" si="77"/>
        <v>#REF!</v>
      </c>
      <c r="CA107" t="e">
        <f t="shared" si="77"/>
        <v>#REF!</v>
      </c>
      <c r="CB107" t="e">
        <f t="shared" si="77"/>
        <v>#REF!</v>
      </c>
      <c r="CC107" t="e">
        <f t="shared" si="77"/>
        <v>#REF!</v>
      </c>
      <c r="CD107" t="e">
        <f t="shared" si="77"/>
        <v>#REF!</v>
      </c>
      <c r="CE107" t="e">
        <f t="shared" si="77"/>
        <v>#REF!</v>
      </c>
      <c r="CF107" t="e">
        <f t="shared" si="71"/>
        <v>#REF!</v>
      </c>
      <c r="CG107" t="e">
        <f t="shared" si="71"/>
        <v>#REF!</v>
      </c>
      <c r="CH107" t="e">
        <f t="shared" si="71"/>
        <v>#REF!</v>
      </c>
      <c r="CI107" t="e">
        <f t="shared" si="71"/>
        <v>#REF!</v>
      </c>
      <c r="CJ107" t="e">
        <f t="shared" si="71"/>
        <v>#REF!</v>
      </c>
      <c r="CK107" t="e">
        <f t="shared" si="71"/>
        <v>#REF!</v>
      </c>
      <c r="CL107" t="e">
        <f t="shared" si="71"/>
        <v>#REF!</v>
      </c>
      <c r="CM107" t="e">
        <f t="shared" si="71"/>
        <v>#REF!</v>
      </c>
      <c r="CN107" t="e">
        <f t="shared" si="71"/>
        <v>#REF!</v>
      </c>
      <c r="CO107" t="e">
        <f t="shared" si="71"/>
        <v>#REF!</v>
      </c>
      <c r="CP107" t="e">
        <f t="shared" si="70"/>
        <v>#REF!</v>
      </c>
      <c r="CQ107" t="e">
        <f t="shared" si="70"/>
        <v>#REF!</v>
      </c>
      <c r="CR107" t="e">
        <f t="shared" si="70"/>
        <v>#REF!</v>
      </c>
      <c r="CS107" t="e">
        <f t="shared" si="70"/>
        <v>#REF!</v>
      </c>
      <c r="CT107" t="e">
        <f t="shared" si="70"/>
        <v>#REF!</v>
      </c>
      <c r="CU107" t="e">
        <f t="shared" si="70"/>
        <v>#REF!</v>
      </c>
      <c r="CV107" t="e">
        <f t="shared" si="70"/>
        <v>#REF!</v>
      </c>
      <c r="CW107" t="e">
        <f t="shared" si="70"/>
        <v>#REF!</v>
      </c>
      <c r="CX107" t="e">
        <f t="shared" si="74"/>
        <v>#REF!</v>
      </c>
      <c r="CY107" t="e">
        <f t="shared" si="74"/>
        <v>#REF!</v>
      </c>
      <c r="CZ107" t="e">
        <f t="shared" si="74"/>
        <v>#REF!</v>
      </c>
      <c r="DA107" t="e">
        <f t="shared" si="74"/>
        <v>#REF!</v>
      </c>
      <c r="DB107" t="e">
        <f t="shared" si="74"/>
        <v>#REF!</v>
      </c>
      <c r="DC107" t="e">
        <f t="shared" si="74"/>
        <v>#REF!</v>
      </c>
      <c r="DD107" t="e">
        <f t="shared" si="74"/>
        <v>#REF!</v>
      </c>
      <c r="DE107" t="e">
        <f t="shared" si="74"/>
        <v>#REF!</v>
      </c>
      <c r="DF107" t="e">
        <f t="shared" si="74"/>
        <v>#REF!</v>
      </c>
      <c r="DG107" t="e">
        <f t="shared" si="74"/>
        <v>#REF!</v>
      </c>
      <c r="DH107" t="e">
        <f t="shared" si="74"/>
        <v>#REF!</v>
      </c>
      <c r="DI107" t="e">
        <f t="shared" si="74"/>
        <v>#REF!</v>
      </c>
      <c r="DJ107" t="e">
        <f t="shared" si="74"/>
        <v>#REF!</v>
      </c>
      <c r="DK107" t="e">
        <f t="shared" si="74"/>
        <v>#REF!</v>
      </c>
      <c r="DL107" t="e">
        <f t="shared" si="74"/>
        <v>#REF!</v>
      </c>
      <c r="DM107" t="e">
        <f t="shared" si="74"/>
        <v>#REF!</v>
      </c>
      <c r="DN107" t="e">
        <f t="shared" si="79"/>
        <v>#REF!</v>
      </c>
      <c r="DO107" t="e">
        <f t="shared" si="79"/>
        <v>#REF!</v>
      </c>
      <c r="DP107" t="e">
        <f t="shared" si="79"/>
        <v>#REF!</v>
      </c>
      <c r="DQ107" t="e">
        <f t="shared" si="79"/>
        <v>#REF!</v>
      </c>
      <c r="DR107" t="e">
        <f t="shared" si="79"/>
        <v>#REF!</v>
      </c>
      <c r="DS107" t="e">
        <f t="shared" si="79"/>
        <v>#REF!</v>
      </c>
      <c r="DT107" t="e">
        <f t="shared" si="79"/>
        <v>#REF!</v>
      </c>
      <c r="DU107" t="e">
        <f t="shared" si="79"/>
        <v>#REF!</v>
      </c>
      <c r="DV107" t="e">
        <f t="shared" si="79"/>
        <v>#REF!</v>
      </c>
      <c r="DW107" t="e">
        <f t="shared" si="79"/>
        <v>#REF!</v>
      </c>
      <c r="DX107" t="e">
        <f t="shared" si="79"/>
        <v>#REF!</v>
      </c>
      <c r="DY107" t="e">
        <f t="shared" si="79"/>
        <v>#REF!</v>
      </c>
      <c r="DZ107" t="e">
        <f t="shared" si="63"/>
        <v>#REF!</v>
      </c>
      <c r="EA107" t="e">
        <f t="shared" si="63"/>
        <v>#REF!</v>
      </c>
      <c r="EB107" t="e">
        <f t="shared" si="63"/>
        <v>#REF!</v>
      </c>
      <c r="EC107" t="e">
        <f t="shared" si="63"/>
        <v>#REF!</v>
      </c>
      <c r="ED107" t="e">
        <f t="shared" si="75"/>
        <v>#REF!</v>
      </c>
      <c r="EE107" t="e">
        <f t="shared" si="75"/>
        <v>#REF!</v>
      </c>
      <c r="EF107" t="e">
        <f t="shared" si="75"/>
        <v>#REF!</v>
      </c>
      <c r="EG107" t="e">
        <f t="shared" si="75"/>
        <v>#REF!</v>
      </c>
      <c r="EH107" t="e">
        <f t="shared" si="75"/>
        <v>#REF!</v>
      </c>
      <c r="EI107" t="e">
        <f t="shared" si="75"/>
        <v>#REF!</v>
      </c>
      <c r="EJ107" t="e">
        <f t="shared" si="75"/>
        <v>#REF!</v>
      </c>
      <c r="EK107" t="e">
        <f t="shared" si="75"/>
        <v>#REF!</v>
      </c>
      <c r="EL107" t="e">
        <f t="shared" si="75"/>
        <v>#REF!</v>
      </c>
      <c r="EM107" t="e">
        <f t="shared" si="75"/>
        <v>#REF!</v>
      </c>
    </row>
    <row r="108" spans="1:143" x14ac:dyDescent="0.4">
      <c r="A108" t="str">
        <f t="shared" si="51"/>
        <v>X</v>
      </c>
      <c r="B108">
        <v>105</v>
      </c>
      <c r="C108" t="e" cm="1">
        <f t="array" ref="C108">INDEX(auto_Series_Code,B108)</f>
        <v>#REF!</v>
      </c>
      <c r="D108" t="e">
        <f t="shared" si="81"/>
        <v>#REF!</v>
      </c>
      <c r="E108" t="e">
        <f t="shared" si="81"/>
        <v>#REF!</v>
      </c>
      <c r="F108" t="e">
        <f t="shared" si="81"/>
        <v>#REF!</v>
      </c>
      <c r="G108" t="e">
        <f t="shared" si="81"/>
        <v>#REF!</v>
      </c>
      <c r="H108" t="e">
        <f t="shared" si="81"/>
        <v>#REF!</v>
      </c>
      <c r="I108" t="e">
        <f t="shared" si="81"/>
        <v>#REF!</v>
      </c>
      <c r="J108" t="e">
        <f t="shared" si="81"/>
        <v>#REF!</v>
      </c>
      <c r="K108" t="e">
        <f t="shared" si="81"/>
        <v>#REF!</v>
      </c>
      <c r="L108" t="e">
        <f t="shared" si="81"/>
        <v>#REF!</v>
      </c>
      <c r="M108" t="e">
        <f t="shared" si="81"/>
        <v>#REF!</v>
      </c>
      <c r="N108" t="e">
        <f t="shared" si="81"/>
        <v>#REF!</v>
      </c>
      <c r="O108" t="e">
        <f t="shared" si="81"/>
        <v>#REF!</v>
      </c>
      <c r="P108" t="e">
        <f t="shared" si="81"/>
        <v>#REF!</v>
      </c>
      <c r="Q108" t="e">
        <f t="shared" si="81"/>
        <v>#REF!</v>
      </c>
      <c r="R108" t="e">
        <f t="shared" si="81"/>
        <v>#REF!</v>
      </c>
      <c r="S108" t="e">
        <f t="shared" si="81"/>
        <v>#REF!</v>
      </c>
      <c r="T108" t="e">
        <f t="shared" si="80"/>
        <v>#REF!</v>
      </c>
      <c r="U108" t="e">
        <f t="shared" si="80"/>
        <v>#REF!</v>
      </c>
      <c r="V108" t="e">
        <f t="shared" si="80"/>
        <v>#REF!</v>
      </c>
      <c r="W108" t="e">
        <f t="shared" si="80"/>
        <v>#REF!</v>
      </c>
      <c r="X108" t="e">
        <f t="shared" si="64"/>
        <v>#REF!</v>
      </c>
      <c r="Y108" t="e">
        <f t="shared" si="64"/>
        <v>#REF!</v>
      </c>
      <c r="Z108" t="e">
        <f t="shared" si="64"/>
        <v>#REF!</v>
      </c>
      <c r="AA108" t="e">
        <f t="shared" si="64"/>
        <v>#REF!</v>
      </c>
      <c r="AB108" t="e">
        <f t="shared" si="64"/>
        <v>#REF!</v>
      </c>
      <c r="AC108" t="e">
        <f t="shared" si="64"/>
        <v>#REF!</v>
      </c>
      <c r="AD108" t="e">
        <f t="shared" si="64"/>
        <v>#REF!</v>
      </c>
      <c r="AE108" t="e">
        <f t="shared" si="64"/>
        <v>#REF!</v>
      </c>
      <c r="AF108" t="e">
        <f t="shared" si="64"/>
        <v>#REF!</v>
      </c>
      <c r="AG108" t="e">
        <f t="shared" si="64"/>
        <v>#REF!</v>
      </c>
      <c r="AH108" t="e">
        <f t="shared" si="68"/>
        <v>#REF!</v>
      </c>
      <c r="AI108" t="e">
        <f t="shared" si="68"/>
        <v>#REF!</v>
      </c>
      <c r="AJ108" t="e">
        <f t="shared" si="68"/>
        <v>#REF!</v>
      </c>
      <c r="AK108" t="e">
        <f t="shared" si="68"/>
        <v>#REF!</v>
      </c>
      <c r="AL108" t="e">
        <f t="shared" si="68"/>
        <v>#REF!</v>
      </c>
      <c r="AM108" t="e">
        <f t="shared" si="68"/>
        <v>#REF!</v>
      </c>
      <c r="AN108" t="e">
        <f t="shared" si="68"/>
        <v>#REF!</v>
      </c>
      <c r="AO108" t="e">
        <f t="shared" si="68"/>
        <v>#REF!</v>
      </c>
      <c r="AP108" t="e">
        <f t="shared" si="68"/>
        <v>#REF!</v>
      </c>
      <c r="AQ108" t="e">
        <f t="shared" si="68"/>
        <v>#REF!</v>
      </c>
      <c r="AR108" t="e">
        <f t="shared" si="67"/>
        <v>#REF!</v>
      </c>
      <c r="AS108" t="e">
        <f t="shared" si="67"/>
        <v>#REF!</v>
      </c>
      <c r="AT108" t="e">
        <f t="shared" si="67"/>
        <v>#REF!</v>
      </c>
      <c r="AU108" t="e">
        <f t="shared" si="67"/>
        <v>#REF!</v>
      </c>
      <c r="AV108" t="e">
        <f t="shared" si="67"/>
        <v>#REF!</v>
      </c>
      <c r="AW108" t="e">
        <f t="shared" si="67"/>
        <v>#REF!</v>
      </c>
      <c r="AX108" t="e">
        <f t="shared" si="67"/>
        <v>#REF!</v>
      </c>
      <c r="AY108" t="e">
        <f t="shared" si="66"/>
        <v>#REF!</v>
      </c>
      <c r="AZ108" t="e">
        <f t="shared" si="66"/>
        <v>#REF!</v>
      </c>
      <c r="BA108" t="e">
        <f t="shared" si="66"/>
        <v>#REF!</v>
      </c>
      <c r="BB108" t="e">
        <f t="shared" si="66"/>
        <v>#REF!</v>
      </c>
      <c r="BC108" t="e">
        <f t="shared" si="66"/>
        <v>#REF!</v>
      </c>
      <c r="BD108" t="e">
        <f t="shared" si="66"/>
        <v>#REF!</v>
      </c>
      <c r="BE108" t="e">
        <f t="shared" si="66"/>
        <v>#REF!</v>
      </c>
      <c r="BF108" t="e">
        <f t="shared" si="66"/>
        <v>#REF!</v>
      </c>
      <c r="BG108" t="e">
        <f t="shared" si="66"/>
        <v>#REF!</v>
      </c>
      <c r="BH108" t="e">
        <f t="shared" si="66"/>
        <v>#REF!</v>
      </c>
      <c r="BI108" t="e">
        <f t="shared" si="66"/>
        <v>#REF!</v>
      </c>
      <c r="BJ108" t="e">
        <f t="shared" si="66"/>
        <v>#REF!</v>
      </c>
      <c r="BK108" t="e">
        <f t="shared" si="66"/>
        <v>#REF!</v>
      </c>
      <c r="BL108" t="e">
        <f t="shared" si="83"/>
        <v>#REF!</v>
      </c>
      <c r="BM108" t="e">
        <f t="shared" si="83"/>
        <v>#REF!</v>
      </c>
      <c r="BN108" t="e">
        <f t="shared" si="83"/>
        <v>#REF!</v>
      </c>
      <c r="BO108" t="e">
        <f t="shared" si="83"/>
        <v>#REF!</v>
      </c>
      <c r="BP108" t="e">
        <f t="shared" si="83"/>
        <v>#REF!</v>
      </c>
      <c r="BQ108" t="e">
        <f t="shared" si="83"/>
        <v>#REF!</v>
      </c>
      <c r="BR108" t="e">
        <f t="shared" si="83"/>
        <v>#REF!</v>
      </c>
      <c r="BS108" t="e">
        <f t="shared" si="83"/>
        <v>#REF!</v>
      </c>
      <c r="BT108" t="e">
        <f t="shared" si="83"/>
        <v>#REF!</v>
      </c>
      <c r="BU108" t="e">
        <f t="shared" si="83"/>
        <v>#REF!</v>
      </c>
      <c r="BV108" t="e">
        <f t="shared" si="77"/>
        <v>#REF!</v>
      </c>
      <c r="BW108" t="e">
        <f t="shared" si="77"/>
        <v>#REF!</v>
      </c>
      <c r="BX108" t="e">
        <f t="shared" si="77"/>
        <v>#REF!</v>
      </c>
      <c r="BY108" t="e">
        <f t="shared" si="77"/>
        <v>#REF!</v>
      </c>
      <c r="BZ108" t="e">
        <f t="shared" si="77"/>
        <v>#REF!</v>
      </c>
      <c r="CA108" t="e">
        <f t="shared" si="77"/>
        <v>#REF!</v>
      </c>
      <c r="CB108" t="e">
        <f t="shared" si="77"/>
        <v>#REF!</v>
      </c>
      <c r="CC108" t="e">
        <f t="shared" si="77"/>
        <v>#REF!</v>
      </c>
      <c r="CD108" t="e">
        <f t="shared" si="77"/>
        <v>#REF!</v>
      </c>
      <c r="CE108" t="e">
        <f t="shared" si="77"/>
        <v>#REF!</v>
      </c>
      <c r="CF108" t="e">
        <f t="shared" si="71"/>
        <v>#REF!</v>
      </c>
      <c r="CG108" t="e">
        <f t="shared" si="71"/>
        <v>#REF!</v>
      </c>
      <c r="CH108" t="e">
        <f t="shared" si="71"/>
        <v>#REF!</v>
      </c>
      <c r="CI108" t="e">
        <f t="shared" si="71"/>
        <v>#REF!</v>
      </c>
      <c r="CJ108" t="e">
        <f t="shared" si="71"/>
        <v>#REF!</v>
      </c>
      <c r="CK108" t="e">
        <f t="shared" si="71"/>
        <v>#REF!</v>
      </c>
      <c r="CL108" t="e">
        <f t="shared" si="71"/>
        <v>#REF!</v>
      </c>
      <c r="CM108" t="e">
        <f t="shared" si="71"/>
        <v>#REF!</v>
      </c>
      <c r="CN108" t="e">
        <f t="shared" si="71"/>
        <v>#REF!</v>
      </c>
      <c r="CO108" t="e">
        <f t="shared" si="71"/>
        <v>#REF!</v>
      </c>
      <c r="CP108" t="e">
        <f t="shared" si="70"/>
        <v>#REF!</v>
      </c>
      <c r="CQ108" t="e">
        <f t="shared" si="70"/>
        <v>#REF!</v>
      </c>
      <c r="CR108" t="e">
        <f t="shared" si="70"/>
        <v>#REF!</v>
      </c>
      <c r="CS108" t="e">
        <f t="shared" si="70"/>
        <v>#REF!</v>
      </c>
      <c r="CT108" t="e">
        <f t="shared" si="70"/>
        <v>#REF!</v>
      </c>
      <c r="CU108" t="e">
        <f t="shared" si="70"/>
        <v>#REF!</v>
      </c>
      <c r="CV108" t="e">
        <f t="shared" si="70"/>
        <v>#REF!</v>
      </c>
      <c r="CW108" t="e">
        <f t="shared" si="70"/>
        <v>#REF!</v>
      </c>
      <c r="CX108" t="e">
        <f t="shared" si="74"/>
        <v>#REF!</v>
      </c>
      <c r="CY108" t="e">
        <f t="shared" si="74"/>
        <v>#REF!</v>
      </c>
      <c r="CZ108" t="e">
        <f t="shared" si="74"/>
        <v>#REF!</v>
      </c>
      <c r="DA108" t="e">
        <f t="shared" si="74"/>
        <v>#REF!</v>
      </c>
      <c r="DB108" t="e">
        <f t="shared" si="74"/>
        <v>#REF!</v>
      </c>
      <c r="DC108" t="e">
        <f t="shared" si="74"/>
        <v>#REF!</v>
      </c>
      <c r="DD108" t="e">
        <f t="shared" si="74"/>
        <v>#REF!</v>
      </c>
      <c r="DE108" t="e">
        <f t="shared" si="74"/>
        <v>#REF!</v>
      </c>
      <c r="DF108" t="e">
        <f t="shared" si="74"/>
        <v>#REF!</v>
      </c>
      <c r="DG108" t="e">
        <f t="shared" si="74"/>
        <v>#REF!</v>
      </c>
      <c r="DH108" t="e">
        <f t="shared" si="74"/>
        <v>#REF!</v>
      </c>
      <c r="DI108" t="e">
        <f t="shared" si="74"/>
        <v>#REF!</v>
      </c>
      <c r="DJ108" t="e">
        <f t="shared" si="74"/>
        <v>#REF!</v>
      </c>
      <c r="DK108" t="e">
        <f t="shared" si="74"/>
        <v>#REF!</v>
      </c>
      <c r="DL108" t="e">
        <f t="shared" si="74"/>
        <v>#REF!</v>
      </c>
      <c r="DM108" t="e">
        <f t="shared" si="74"/>
        <v>#REF!</v>
      </c>
      <c r="DN108" t="e">
        <f t="shared" si="79"/>
        <v>#REF!</v>
      </c>
      <c r="DO108" t="e">
        <f t="shared" si="79"/>
        <v>#REF!</v>
      </c>
      <c r="DP108" t="e">
        <f t="shared" si="79"/>
        <v>#REF!</v>
      </c>
      <c r="DQ108" t="e">
        <f t="shared" si="79"/>
        <v>#REF!</v>
      </c>
      <c r="DR108" t="e">
        <f t="shared" si="79"/>
        <v>#REF!</v>
      </c>
      <c r="DS108" t="e">
        <f t="shared" si="79"/>
        <v>#REF!</v>
      </c>
      <c r="DT108" t="e">
        <f t="shared" si="79"/>
        <v>#REF!</v>
      </c>
      <c r="DU108" t="e">
        <f t="shared" si="79"/>
        <v>#REF!</v>
      </c>
      <c r="DV108" t="e">
        <f t="shared" si="79"/>
        <v>#REF!</v>
      </c>
      <c r="DW108" t="e">
        <f t="shared" si="79"/>
        <v>#REF!</v>
      </c>
      <c r="DX108" t="e">
        <f t="shared" si="79"/>
        <v>#REF!</v>
      </c>
      <c r="DY108" t="e">
        <f t="shared" si="79"/>
        <v>#REF!</v>
      </c>
      <c r="DZ108" t="e">
        <f t="shared" si="63"/>
        <v>#REF!</v>
      </c>
      <c r="EA108" t="e">
        <f t="shared" si="63"/>
        <v>#REF!</v>
      </c>
      <c r="EB108" t="e">
        <f t="shared" si="63"/>
        <v>#REF!</v>
      </c>
      <c r="EC108" t="e">
        <f t="shared" si="63"/>
        <v>#REF!</v>
      </c>
      <c r="ED108" t="e">
        <f t="shared" si="75"/>
        <v>#REF!</v>
      </c>
      <c r="EE108" t="e">
        <f t="shared" si="75"/>
        <v>#REF!</v>
      </c>
      <c r="EF108" t="e">
        <f t="shared" si="75"/>
        <v>#REF!</v>
      </c>
      <c r="EG108" t="e">
        <f t="shared" si="75"/>
        <v>#REF!</v>
      </c>
      <c r="EH108" t="e">
        <f t="shared" si="75"/>
        <v>#REF!</v>
      </c>
      <c r="EI108" t="e">
        <f t="shared" si="75"/>
        <v>#REF!</v>
      </c>
      <c r="EJ108" t="e">
        <f t="shared" si="75"/>
        <v>#REF!</v>
      </c>
      <c r="EK108" t="e">
        <f t="shared" si="75"/>
        <v>#REF!</v>
      </c>
      <c r="EL108" t="e">
        <f t="shared" si="75"/>
        <v>#REF!</v>
      </c>
      <c r="EM108" t="e">
        <f t="shared" si="75"/>
        <v>#REF!</v>
      </c>
    </row>
    <row r="109" spans="1:143" x14ac:dyDescent="0.4">
      <c r="A109" t="str">
        <f t="shared" si="51"/>
        <v>X</v>
      </c>
      <c r="B109">
        <v>106</v>
      </c>
      <c r="C109" t="e" cm="1">
        <f t="array" ref="C109">INDEX(auto_Series_Code,B109)</f>
        <v>#REF!</v>
      </c>
      <c r="D109" t="e">
        <f t="shared" si="81"/>
        <v>#REF!</v>
      </c>
      <c r="E109" t="e">
        <f t="shared" si="81"/>
        <v>#REF!</v>
      </c>
      <c r="F109" t="e">
        <f t="shared" si="81"/>
        <v>#REF!</v>
      </c>
      <c r="G109" t="e">
        <f t="shared" si="81"/>
        <v>#REF!</v>
      </c>
      <c r="H109" t="e">
        <f t="shared" si="81"/>
        <v>#REF!</v>
      </c>
      <c r="I109" t="e">
        <f t="shared" si="81"/>
        <v>#REF!</v>
      </c>
      <c r="J109" t="e">
        <f t="shared" si="81"/>
        <v>#REF!</v>
      </c>
      <c r="K109" t="e">
        <f t="shared" si="81"/>
        <v>#REF!</v>
      </c>
      <c r="L109" t="e">
        <f t="shared" si="81"/>
        <v>#REF!</v>
      </c>
      <c r="M109" t="e">
        <f t="shared" si="81"/>
        <v>#REF!</v>
      </c>
      <c r="N109" t="e">
        <f t="shared" si="81"/>
        <v>#REF!</v>
      </c>
      <c r="O109" t="e">
        <f t="shared" si="81"/>
        <v>#REF!</v>
      </c>
      <c r="P109" t="e">
        <f t="shared" si="81"/>
        <v>#REF!</v>
      </c>
      <c r="Q109" t="e">
        <f t="shared" si="81"/>
        <v>#REF!</v>
      </c>
      <c r="R109" t="e">
        <f t="shared" si="81"/>
        <v>#REF!</v>
      </c>
      <c r="S109" t="e">
        <f t="shared" si="81"/>
        <v>#REF!</v>
      </c>
      <c r="T109" t="e">
        <f t="shared" si="80"/>
        <v>#REF!</v>
      </c>
      <c r="U109" t="e">
        <f t="shared" si="80"/>
        <v>#REF!</v>
      </c>
      <c r="V109" t="e">
        <f t="shared" si="80"/>
        <v>#REF!</v>
      </c>
      <c r="W109" t="e">
        <f t="shared" si="80"/>
        <v>#REF!</v>
      </c>
      <c r="X109" t="e">
        <f t="shared" si="64"/>
        <v>#REF!</v>
      </c>
      <c r="Y109" t="e">
        <f t="shared" si="64"/>
        <v>#REF!</v>
      </c>
      <c r="Z109" t="e">
        <f t="shared" si="64"/>
        <v>#REF!</v>
      </c>
      <c r="AA109" t="e">
        <f t="shared" si="64"/>
        <v>#REF!</v>
      </c>
      <c r="AB109" t="e">
        <f t="shared" si="64"/>
        <v>#REF!</v>
      </c>
      <c r="AC109" t="e">
        <f t="shared" si="64"/>
        <v>#REF!</v>
      </c>
      <c r="AD109" t="e">
        <f t="shared" si="64"/>
        <v>#REF!</v>
      </c>
      <c r="AE109" t="e">
        <f t="shared" si="64"/>
        <v>#REF!</v>
      </c>
      <c r="AF109" t="e">
        <f t="shared" si="64"/>
        <v>#REF!</v>
      </c>
      <c r="AG109" t="e">
        <f t="shared" si="64"/>
        <v>#REF!</v>
      </c>
      <c r="AH109" t="e">
        <f t="shared" si="68"/>
        <v>#REF!</v>
      </c>
      <c r="AI109" t="e">
        <f t="shared" si="68"/>
        <v>#REF!</v>
      </c>
      <c r="AJ109" t="e">
        <f t="shared" si="68"/>
        <v>#REF!</v>
      </c>
      <c r="AK109" t="e">
        <f t="shared" si="68"/>
        <v>#REF!</v>
      </c>
      <c r="AL109" t="e">
        <f t="shared" si="68"/>
        <v>#REF!</v>
      </c>
      <c r="AM109" t="e">
        <f t="shared" si="68"/>
        <v>#REF!</v>
      </c>
      <c r="AN109" t="e">
        <f t="shared" si="68"/>
        <v>#REF!</v>
      </c>
      <c r="AO109" t="e">
        <f t="shared" si="68"/>
        <v>#REF!</v>
      </c>
      <c r="AP109" t="e">
        <f t="shared" si="68"/>
        <v>#REF!</v>
      </c>
      <c r="AQ109" t="e">
        <f t="shared" si="68"/>
        <v>#REF!</v>
      </c>
      <c r="AR109" t="e">
        <f t="shared" si="67"/>
        <v>#REF!</v>
      </c>
      <c r="AS109" t="e">
        <f t="shared" si="67"/>
        <v>#REF!</v>
      </c>
      <c r="AT109" t="e">
        <f t="shared" si="67"/>
        <v>#REF!</v>
      </c>
      <c r="AU109" t="e">
        <f t="shared" si="67"/>
        <v>#REF!</v>
      </c>
      <c r="AV109" t="e">
        <f t="shared" si="67"/>
        <v>#REF!</v>
      </c>
      <c r="AW109" t="e">
        <f t="shared" si="67"/>
        <v>#REF!</v>
      </c>
      <c r="AX109" t="e">
        <f t="shared" si="67"/>
        <v>#REF!</v>
      </c>
      <c r="AY109" t="e">
        <f t="shared" si="66"/>
        <v>#REF!</v>
      </c>
      <c r="AZ109" t="e">
        <f t="shared" si="66"/>
        <v>#REF!</v>
      </c>
      <c r="BA109" t="e">
        <f t="shared" si="66"/>
        <v>#REF!</v>
      </c>
      <c r="BB109" t="e">
        <f t="shared" si="66"/>
        <v>#REF!</v>
      </c>
      <c r="BC109" t="e">
        <f t="shared" si="66"/>
        <v>#REF!</v>
      </c>
      <c r="BD109" t="e">
        <f t="shared" si="66"/>
        <v>#REF!</v>
      </c>
      <c r="BE109" t="e">
        <f t="shared" si="66"/>
        <v>#REF!</v>
      </c>
      <c r="BF109" t="e">
        <f t="shared" si="66"/>
        <v>#REF!</v>
      </c>
      <c r="BG109" t="e">
        <f t="shared" si="66"/>
        <v>#REF!</v>
      </c>
      <c r="BH109" t="e">
        <f t="shared" si="66"/>
        <v>#REF!</v>
      </c>
      <c r="BI109" t="e">
        <f t="shared" si="66"/>
        <v>#REF!</v>
      </c>
      <c r="BJ109" t="e">
        <f t="shared" si="66"/>
        <v>#REF!</v>
      </c>
      <c r="BK109" t="e">
        <f t="shared" si="66"/>
        <v>#REF!</v>
      </c>
      <c r="BL109" t="e">
        <f t="shared" si="83"/>
        <v>#REF!</v>
      </c>
      <c r="BM109" t="e">
        <f t="shared" si="83"/>
        <v>#REF!</v>
      </c>
      <c r="BN109" t="e">
        <f t="shared" si="83"/>
        <v>#REF!</v>
      </c>
      <c r="BO109" t="e">
        <f t="shared" si="83"/>
        <v>#REF!</v>
      </c>
      <c r="BP109" t="e">
        <f t="shared" si="83"/>
        <v>#REF!</v>
      </c>
      <c r="BQ109" t="e">
        <f t="shared" si="83"/>
        <v>#REF!</v>
      </c>
      <c r="BR109" t="e">
        <f t="shared" si="83"/>
        <v>#REF!</v>
      </c>
      <c r="BS109" t="e">
        <f t="shared" si="83"/>
        <v>#REF!</v>
      </c>
      <c r="BT109" t="e">
        <f t="shared" si="83"/>
        <v>#REF!</v>
      </c>
      <c r="BU109" t="e">
        <f t="shared" si="83"/>
        <v>#REF!</v>
      </c>
      <c r="BV109" t="e">
        <f t="shared" si="77"/>
        <v>#REF!</v>
      </c>
      <c r="BW109" t="e">
        <f t="shared" si="77"/>
        <v>#REF!</v>
      </c>
      <c r="BX109" t="e">
        <f t="shared" si="77"/>
        <v>#REF!</v>
      </c>
      <c r="BY109" t="e">
        <f t="shared" si="77"/>
        <v>#REF!</v>
      </c>
      <c r="BZ109" t="e">
        <f t="shared" si="77"/>
        <v>#REF!</v>
      </c>
      <c r="CA109" t="e">
        <f t="shared" si="77"/>
        <v>#REF!</v>
      </c>
      <c r="CB109" t="e">
        <f t="shared" si="77"/>
        <v>#REF!</v>
      </c>
      <c r="CC109" t="e">
        <f t="shared" si="77"/>
        <v>#REF!</v>
      </c>
      <c r="CD109" t="e">
        <f t="shared" si="77"/>
        <v>#REF!</v>
      </c>
      <c r="CE109" t="e">
        <f t="shared" si="77"/>
        <v>#REF!</v>
      </c>
      <c r="CF109" t="e">
        <f t="shared" si="71"/>
        <v>#REF!</v>
      </c>
      <c r="CG109" t="e">
        <f t="shared" si="71"/>
        <v>#REF!</v>
      </c>
      <c r="CH109" t="e">
        <f t="shared" si="71"/>
        <v>#REF!</v>
      </c>
      <c r="CI109" t="e">
        <f t="shared" si="71"/>
        <v>#REF!</v>
      </c>
      <c r="CJ109" t="e">
        <f t="shared" si="71"/>
        <v>#REF!</v>
      </c>
      <c r="CK109" t="e">
        <f t="shared" si="71"/>
        <v>#REF!</v>
      </c>
      <c r="CL109" t="e">
        <f t="shared" si="71"/>
        <v>#REF!</v>
      </c>
      <c r="CM109" t="e">
        <f t="shared" si="71"/>
        <v>#REF!</v>
      </c>
      <c r="CN109" t="e">
        <f t="shared" si="71"/>
        <v>#REF!</v>
      </c>
      <c r="CO109" t="e">
        <f t="shared" si="71"/>
        <v>#REF!</v>
      </c>
      <c r="CP109" t="e">
        <f t="shared" si="70"/>
        <v>#REF!</v>
      </c>
      <c r="CQ109" t="e">
        <f t="shared" si="70"/>
        <v>#REF!</v>
      </c>
      <c r="CR109" t="e">
        <f t="shared" si="70"/>
        <v>#REF!</v>
      </c>
      <c r="CS109" t="e">
        <f t="shared" si="70"/>
        <v>#REF!</v>
      </c>
      <c r="CT109" t="e">
        <f t="shared" si="70"/>
        <v>#REF!</v>
      </c>
      <c r="CU109" t="e">
        <f t="shared" si="70"/>
        <v>#REF!</v>
      </c>
      <c r="CV109" t="e">
        <f t="shared" si="70"/>
        <v>#REF!</v>
      </c>
      <c r="CW109" t="e">
        <f t="shared" si="70"/>
        <v>#REF!</v>
      </c>
      <c r="CX109" t="e">
        <f t="shared" si="74"/>
        <v>#REF!</v>
      </c>
      <c r="CY109" t="e">
        <f t="shared" si="74"/>
        <v>#REF!</v>
      </c>
      <c r="CZ109" t="e">
        <f t="shared" si="74"/>
        <v>#REF!</v>
      </c>
      <c r="DA109" t="e">
        <f t="shared" si="74"/>
        <v>#REF!</v>
      </c>
      <c r="DB109" t="e">
        <f t="shared" si="74"/>
        <v>#REF!</v>
      </c>
      <c r="DC109" t="e">
        <f t="shared" si="74"/>
        <v>#REF!</v>
      </c>
      <c r="DD109" t="e">
        <f t="shared" si="74"/>
        <v>#REF!</v>
      </c>
      <c r="DE109" t="e">
        <f t="shared" si="74"/>
        <v>#REF!</v>
      </c>
      <c r="DF109" t="e">
        <f t="shared" si="74"/>
        <v>#REF!</v>
      </c>
      <c r="DG109" t="e">
        <f t="shared" si="74"/>
        <v>#REF!</v>
      </c>
      <c r="DH109" t="e">
        <f t="shared" si="74"/>
        <v>#REF!</v>
      </c>
      <c r="DI109" t="e">
        <f t="shared" si="74"/>
        <v>#REF!</v>
      </c>
      <c r="DJ109" t="e">
        <f t="shared" si="74"/>
        <v>#REF!</v>
      </c>
      <c r="DK109" t="e">
        <f t="shared" si="74"/>
        <v>#REF!</v>
      </c>
      <c r="DL109" t="e">
        <f t="shared" si="74"/>
        <v>#REF!</v>
      </c>
      <c r="DM109" t="e">
        <f t="shared" si="74"/>
        <v>#REF!</v>
      </c>
      <c r="DN109" t="e">
        <f t="shared" si="79"/>
        <v>#REF!</v>
      </c>
      <c r="DO109" t="e">
        <f t="shared" si="79"/>
        <v>#REF!</v>
      </c>
      <c r="DP109" t="e">
        <f t="shared" si="79"/>
        <v>#REF!</v>
      </c>
      <c r="DQ109" t="e">
        <f t="shared" si="79"/>
        <v>#REF!</v>
      </c>
      <c r="DR109" t="e">
        <f t="shared" si="79"/>
        <v>#REF!</v>
      </c>
      <c r="DS109" t="e">
        <f t="shared" si="79"/>
        <v>#REF!</v>
      </c>
      <c r="DT109" t="e">
        <f t="shared" si="79"/>
        <v>#REF!</v>
      </c>
      <c r="DU109" t="e">
        <f t="shared" si="79"/>
        <v>#REF!</v>
      </c>
      <c r="DV109" t="e">
        <f t="shared" si="79"/>
        <v>#REF!</v>
      </c>
      <c r="DW109" t="e">
        <f t="shared" si="79"/>
        <v>#REF!</v>
      </c>
      <c r="DX109" t="e">
        <f t="shared" si="79"/>
        <v>#REF!</v>
      </c>
      <c r="DY109" t="e">
        <f t="shared" si="79"/>
        <v>#REF!</v>
      </c>
      <c r="DZ109" t="e">
        <f t="shared" si="63"/>
        <v>#REF!</v>
      </c>
      <c r="EA109" t="e">
        <f t="shared" si="63"/>
        <v>#REF!</v>
      </c>
      <c r="EB109" t="e">
        <f t="shared" si="63"/>
        <v>#REF!</v>
      </c>
      <c r="EC109" t="e">
        <f t="shared" si="63"/>
        <v>#REF!</v>
      </c>
      <c r="ED109" t="e">
        <f t="shared" si="75"/>
        <v>#REF!</v>
      </c>
      <c r="EE109" t="e">
        <f t="shared" si="75"/>
        <v>#REF!</v>
      </c>
      <c r="EF109" t="e">
        <f t="shared" si="75"/>
        <v>#REF!</v>
      </c>
      <c r="EG109" t="e">
        <f t="shared" si="75"/>
        <v>#REF!</v>
      </c>
      <c r="EH109" t="e">
        <f t="shared" si="75"/>
        <v>#REF!</v>
      </c>
      <c r="EI109" t="e">
        <f t="shared" si="75"/>
        <v>#REF!</v>
      </c>
      <c r="EJ109" t="e">
        <f t="shared" si="75"/>
        <v>#REF!</v>
      </c>
      <c r="EK109" t="e">
        <f t="shared" si="75"/>
        <v>#REF!</v>
      </c>
      <c r="EL109" t="e">
        <f t="shared" si="75"/>
        <v>#REF!</v>
      </c>
      <c r="EM109" t="e">
        <f t="shared" si="75"/>
        <v>#REF!</v>
      </c>
    </row>
    <row r="110" spans="1:143" x14ac:dyDescent="0.4">
      <c r="A110" t="str">
        <f t="shared" si="51"/>
        <v>X</v>
      </c>
      <c r="B110">
        <v>107</v>
      </c>
      <c r="C110" t="e" cm="1">
        <f t="array" ref="C110">INDEX(auto_Series_Code,B110)</f>
        <v>#REF!</v>
      </c>
      <c r="D110" t="e">
        <f t="shared" si="81"/>
        <v>#REF!</v>
      </c>
      <c r="E110" t="e">
        <f t="shared" si="81"/>
        <v>#REF!</v>
      </c>
      <c r="F110" t="e">
        <f t="shared" si="81"/>
        <v>#REF!</v>
      </c>
      <c r="G110" t="e">
        <f t="shared" si="81"/>
        <v>#REF!</v>
      </c>
      <c r="H110" t="e">
        <f t="shared" si="81"/>
        <v>#REF!</v>
      </c>
      <c r="I110" t="e">
        <f t="shared" si="81"/>
        <v>#REF!</v>
      </c>
      <c r="J110" t="e">
        <f t="shared" si="81"/>
        <v>#REF!</v>
      </c>
      <c r="K110" t="e">
        <f t="shared" si="81"/>
        <v>#REF!</v>
      </c>
      <c r="L110" t="e">
        <f t="shared" si="81"/>
        <v>#REF!</v>
      </c>
      <c r="M110" t="e">
        <f t="shared" si="81"/>
        <v>#REF!</v>
      </c>
      <c r="N110" t="e">
        <f t="shared" si="81"/>
        <v>#REF!</v>
      </c>
      <c r="O110" t="e">
        <f t="shared" si="81"/>
        <v>#REF!</v>
      </c>
      <c r="P110" t="e">
        <f t="shared" si="81"/>
        <v>#REF!</v>
      </c>
      <c r="Q110" t="e">
        <f t="shared" si="81"/>
        <v>#REF!</v>
      </c>
      <c r="R110" t="e">
        <f t="shared" si="81"/>
        <v>#REF!</v>
      </c>
      <c r="S110" t="e">
        <f t="shared" si="81"/>
        <v>#REF!</v>
      </c>
      <c r="T110" t="e">
        <f t="shared" si="80"/>
        <v>#REF!</v>
      </c>
      <c r="U110" t="e">
        <f t="shared" si="80"/>
        <v>#REF!</v>
      </c>
      <c r="V110" t="e">
        <f t="shared" si="80"/>
        <v>#REF!</v>
      </c>
      <c r="W110" t="e">
        <f t="shared" si="80"/>
        <v>#REF!</v>
      </c>
      <c r="X110" t="e">
        <f t="shared" si="64"/>
        <v>#REF!</v>
      </c>
      <c r="Y110" t="e">
        <f t="shared" si="64"/>
        <v>#REF!</v>
      </c>
      <c r="Z110" t="e">
        <f t="shared" si="64"/>
        <v>#REF!</v>
      </c>
      <c r="AA110" t="e">
        <f t="shared" si="64"/>
        <v>#REF!</v>
      </c>
      <c r="AB110" t="e">
        <f t="shared" si="64"/>
        <v>#REF!</v>
      </c>
      <c r="AC110" t="e">
        <f t="shared" si="64"/>
        <v>#REF!</v>
      </c>
      <c r="AD110" t="e">
        <f t="shared" si="64"/>
        <v>#REF!</v>
      </c>
      <c r="AE110" t="e">
        <f t="shared" si="64"/>
        <v>#REF!</v>
      </c>
      <c r="AF110" t="e">
        <f t="shared" si="64"/>
        <v>#REF!</v>
      </c>
      <c r="AG110" t="e">
        <f t="shared" si="64"/>
        <v>#REF!</v>
      </c>
      <c r="AH110" t="e">
        <f t="shared" si="68"/>
        <v>#REF!</v>
      </c>
      <c r="AI110" t="e">
        <f t="shared" si="68"/>
        <v>#REF!</v>
      </c>
      <c r="AJ110" t="e">
        <f t="shared" si="68"/>
        <v>#REF!</v>
      </c>
      <c r="AK110" t="e">
        <f t="shared" si="68"/>
        <v>#REF!</v>
      </c>
      <c r="AL110" t="e">
        <f t="shared" si="68"/>
        <v>#REF!</v>
      </c>
      <c r="AM110" t="e">
        <f t="shared" si="68"/>
        <v>#REF!</v>
      </c>
      <c r="AN110" t="e">
        <f t="shared" si="68"/>
        <v>#REF!</v>
      </c>
      <c r="AO110" t="e">
        <f t="shared" si="68"/>
        <v>#REF!</v>
      </c>
      <c r="AP110" t="e">
        <f t="shared" si="68"/>
        <v>#REF!</v>
      </c>
      <c r="AQ110" t="e">
        <f t="shared" si="68"/>
        <v>#REF!</v>
      </c>
      <c r="AR110" t="e">
        <f t="shared" si="67"/>
        <v>#REF!</v>
      </c>
      <c r="AS110" t="e">
        <f t="shared" si="67"/>
        <v>#REF!</v>
      </c>
      <c r="AT110" t="e">
        <f t="shared" si="67"/>
        <v>#REF!</v>
      </c>
      <c r="AU110" t="e">
        <f t="shared" si="67"/>
        <v>#REF!</v>
      </c>
      <c r="AV110" t="e">
        <f t="shared" si="67"/>
        <v>#REF!</v>
      </c>
      <c r="AW110" t="e">
        <f t="shared" si="67"/>
        <v>#REF!</v>
      </c>
      <c r="AX110" t="e">
        <f t="shared" si="67"/>
        <v>#REF!</v>
      </c>
      <c r="AY110" t="e">
        <f t="shared" si="66"/>
        <v>#REF!</v>
      </c>
      <c r="AZ110" t="e">
        <f t="shared" si="66"/>
        <v>#REF!</v>
      </c>
      <c r="BA110" t="e">
        <f t="shared" si="66"/>
        <v>#REF!</v>
      </c>
      <c r="BB110" t="e">
        <f t="shared" si="66"/>
        <v>#REF!</v>
      </c>
      <c r="BC110" t="e">
        <f t="shared" si="66"/>
        <v>#REF!</v>
      </c>
      <c r="BD110" t="e">
        <f t="shared" si="66"/>
        <v>#REF!</v>
      </c>
      <c r="BE110" t="e">
        <f t="shared" si="66"/>
        <v>#REF!</v>
      </c>
      <c r="BF110" t="e">
        <f t="shared" si="66"/>
        <v>#REF!</v>
      </c>
      <c r="BG110" t="e">
        <f t="shared" si="66"/>
        <v>#REF!</v>
      </c>
      <c r="BH110" t="e">
        <f t="shared" si="66"/>
        <v>#REF!</v>
      </c>
      <c r="BI110" t="e">
        <f t="shared" si="66"/>
        <v>#REF!</v>
      </c>
      <c r="BJ110" t="e">
        <f t="shared" si="66"/>
        <v>#REF!</v>
      </c>
      <c r="BK110" t="e">
        <f t="shared" si="66"/>
        <v>#REF!</v>
      </c>
      <c r="BL110" t="e">
        <f t="shared" si="83"/>
        <v>#REF!</v>
      </c>
      <c r="BM110" t="e">
        <f t="shared" si="83"/>
        <v>#REF!</v>
      </c>
      <c r="BN110" t="e">
        <f t="shared" si="83"/>
        <v>#REF!</v>
      </c>
      <c r="BO110" t="e">
        <f t="shared" si="83"/>
        <v>#REF!</v>
      </c>
      <c r="BP110" t="e">
        <f t="shared" si="83"/>
        <v>#REF!</v>
      </c>
      <c r="BQ110" t="e">
        <f t="shared" si="83"/>
        <v>#REF!</v>
      </c>
      <c r="BR110" t="e">
        <f t="shared" si="83"/>
        <v>#REF!</v>
      </c>
      <c r="BS110" t="e">
        <f t="shared" si="83"/>
        <v>#REF!</v>
      </c>
      <c r="BT110" t="e">
        <f t="shared" si="83"/>
        <v>#REF!</v>
      </c>
      <c r="BU110" t="e">
        <f t="shared" si="83"/>
        <v>#REF!</v>
      </c>
      <c r="BV110" t="e">
        <f t="shared" si="77"/>
        <v>#REF!</v>
      </c>
      <c r="BW110" t="e">
        <f t="shared" si="77"/>
        <v>#REF!</v>
      </c>
      <c r="BX110" t="e">
        <f t="shared" si="77"/>
        <v>#REF!</v>
      </c>
      <c r="BY110" t="e">
        <f t="shared" si="77"/>
        <v>#REF!</v>
      </c>
      <c r="BZ110" t="e">
        <f t="shared" si="77"/>
        <v>#REF!</v>
      </c>
      <c r="CA110" t="e">
        <f t="shared" si="77"/>
        <v>#REF!</v>
      </c>
      <c r="CB110" t="e">
        <f t="shared" si="77"/>
        <v>#REF!</v>
      </c>
      <c r="CC110" t="e">
        <f t="shared" si="77"/>
        <v>#REF!</v>
      </c>
      <c r="CD110" t="e">
        <f t="shared" si="77"/>
        <v>#REF!</v>
      </c>
      <c r="CE110" t="e">
        <f t="shared" si="77"/>
        <v>#REF!</v>
      </c>
      <c r="CF110" t="e">
        <f t="shared" si="71"/>
        <v>#REF!</v>
      </c>
      <c r="CG110" t="e">
        <f t="shared" si="71"/>
        <v>#REF!</v>
      </c>
      <c r="CH110" t="e">
        <f t="shared" si="71"/>
        <v>#REF!</v>
      </c>
      <c r="CI110" t="e">
        <f t="shared" si="71"/>
        <v>#REF!</v>
      </c>
      <c r="CJ110" t="e">
        <f t="shared" si="71"/>
        <v>#REF!</v>
      </c>
      <c r="CK110" t="e">
        <f t="shared" si="71"/>
        <v>#REF!</v>
      </c>
      <c r="CL110" t="e">
        <f t="shared" si="71"/>
        <v>#REF!</v>
      </c>
      <c r="CM110" t="e">
        <f t="shared" si="71"/>
        <v>#REF!</v>
      </c>
      <c r="CN110" t="e">
        <f t="shared" si="71"/>
        <v>#REF!</v>
      </c>
      <c r="CO110" t="e">
        <f t="shared" si="71"/>
        <v>#REF!</v>
      </c>
      <c r="CP110" t="e">
        <f t="shared" si="70"/>
        <v>#REF!</v>
      </c>
      <c r="CQ110" t="e">
        <f t="shared" si="70"/>
        <v>#REF!</v>
      </c>
      <c r="CR110" t="e">
        <f t="shared" si="70"/>
        <v>#REF!</v>
      </c>
      <c r="CS110" t="e">
        <f t="shared" si="70"/>
        <v>#REF!</v>
      </c>
      <c r="CT110" t="e">
        <f t="shared" si="70"/>
        <v>#REF!</v>
      </c>
      <c r="CU110" t="e">
        <f t="shared" si="70"/>
        <v>#REF!</v>
      </c>
      <c r="CV110" t="e">
        <f t="shared" si="70"/>
        <v>#REF!</v>
      </c>
      <c r="CW110" t="e">
        <f t="shared" si="70"/>
        <v>#REF!</v>
      </c>
      <c r="CX110" t="e">
        <f t="shared" si="74"/>
        <v>#REF!</v>
      </c>
      <c r="CY110" t="e">
        <f t="shared" si="74"/>
        <v>#REF!</v>
      </c>
      <c r="CZ110" t="e">
        <f t="shared" si="74"/>
        <v>#REF!</v>
      </c>
      <c r="DA110" t="e">
        <f t="shared" si="74"/>
        <v>#REF!</v>
      </c>
      <c r="DB110" t="e">
        <f t="shared" si="74"/>
        <v>#REF!</v>
      </c>
      <c r="DC110" t="e">
        <f t="shared" si="74"/>
        <v>#REF!</v>
      </c>
      <c r="DD110" t="e">
        <f t="shared" si="74"/>
        <v>#REF!</v>
      </c>
      <c r="DE110" t="e">
        <f t="shared" si="74"/>
        <v>#REF!</v>
      </c>
      <c r="DF110" t="e">
        <f t="shared" si="74"/>
        <v>#REF!</v>
      </c>
      <c r="DG110" t="e">
        <f t="shared" si="74"/>
        <v>#REF!</v>
      </c>
      <c r="DH110" t="e">
        <f t="shared" si="74"/>
        <v>#REF!</v>
      </c>
      <c r="DI110" t="e">
        <f t="shared" si="74"/>
        <v>#REF!</v>
      </c>
      <c r="DJ110" t="e">
        <f t="shared" si="74"/>
        <v>#REF!</v>
      </c>
      <c r="DK110" t="e">
        <f t="shared" si="74"/>
        <v>#REF!</v>
      </c>
      <c r="DL110" t="e">
        <f t="shared" si="74"/>
        <v>#REF!</v>
      </c>
      <c r="DM110" t="e">
        <f t="shared" si="74"/>
        <v>#REF!</v>
      </c>
      <c r="DN110" t="e">
        <f t="shared" si="79"/>
        <v>#REF!</v>
      </c>
      <c r="DO110" t="e">
        <f t="shared" si="79"/>
        <v>#REF!</v>
      </c>
      <c r="DP110" t="e">
        <f t="shared" si="79"/>
        <v>#REF!</v>
      </c>
      <c r="DQ110" t="e">
        <f t="shared" si="79"/>
        <v>#REF!</v>
      </c>
      <c r="DR110" t="e">
        <f t="shared" si="79"/>
        <v>#REF!</v>
      </c>
      <c r="DS110" t="e">
        <f t="shared" si="79"/>
        <v>#REF!</v>
      </c>
      <c r="DT110" t="e">
        <f t="shared" si="79"/>
        <v>#REF!</v>
      </c>
      <c r="DU110" t="e">
        <f t="shared" si="79"/>
        <v>#REF!</v>
      </c>
      <c r="DV110" t="e">
        <f t="shared" si="79"/>
        <v>#REF!</v>
      </c>
      <c r="DW110" t="e">
        <f t="shared" si="79"/>
        <v>#REF!</v>
      </c>
      <c r="DX110" t="e">
        <f t="shared" si="79"/>
        <v>#REF!</v>
      </c>
      <c r="DY110" t="e">
        <f t="shared" si="79"/>
        <v>#REF!</v>
      </c>
      <c r="DZ110" t="e">
        <f t="shared" si="63"/>
        <v>#REF!</v>
      </c>
      <c r="EA110" t="e">
        <f t="shared" si="63"/>
        <v>#REF!</v>
      </c>
      <c r="EB110" t="e">
        <f t="shared" si="63"/>
        <v>#REF!</v>
      </c>
      <c r="EC110" t="e">
        <f t="shared" si="63"/>
        <v>#REF!</v>
      </c>
      <c r="ED110" t="e">
        <f t="shared" si="75"/>
        <v>#REF!</v>
      </c>
      <c r="EE110" t="e">
        <f t="shared" si="75"/>
        <v>#REF!</v>
      </c>
      <c r="EF110" t="e">
        <f t="shared" si="75"/>
        <v>#REF!</v>
      </c>
      <c r="EG110" t="e">
        <f t="shared" si="75"/>
        <v>#REF!</v>
      </c>
      <c r="EH110" t="e">
        <f t="shared" si="75"/>
        <v>#REF!</v>
      </c>
      <c r="EI110" t="e">
        <f t="shared" si="75"/>
        <v>#REF!</v>
      </c>
      <c r="EJ110" t="e">
        <f t="shared" si="75"/>
        <v>#REF!</v>
      </c>
      <c r="EK110" t="e">
        <f t="shared" si="75"/>
        <v>#REF!</v>
      </c>
      <c r="EL110" t="e">
        <f t="shared" si="75"/>
        <v>#REF!</v>
      </c>
      <c r="EM110" t="e">
        <f t="shared" si="75"/>
        <v>#REF!</v>
      </c>
    </row>
    <row r="111" spans="1:143" x14ac:dyDescent="0.4">
      <c r="A111" t="str">
        <f t="shared" si="51"/>
        <v>X</v>
      </c>
      <c r="B111">
        <v>108</v>
      </c>
      <c r="C111" t="e" cm="1">
        <f t="array" ref="C111">INDEX(auto_Series_Code,B111)</f>
        <v>#REF!</v>
      </c>
      <c r="D111" t="e">
        <f t="shared" si="81"/>
        <v>#REF!</v>
      </c>
      <c r="E111" t="e">
        <f t="shared" si="81"/>
        <v>#REF!</v>
      </c>
      <c r="F111" t="e">
        <f t="shared" si="81"/>
        <v>#REF!</v>
      </c>
      <c r="G111" t="e">
        <f t="shared" si="81"/>
        <v>#REF!</v>
      </c>
      <c r="H111" t="e">
        <f t="shared" si="81"/>
        <v>#REF!</v>
      </c>
      <c r="I111" t="e">
        <f t="shared" si="81"/>
        <v>#REF!</v>
      </c>
      <c r="J111" t="e">
        <f t="shared" si="81"/>
        <v>#REF!</v>
      </c>
      <c r="K111" t="e">
        <f t="shared" si="81"/>
        <v>#REF!</v>
      </c>
      <c r="L111" t="e">
        <f t="shared" si="81"/>
        <v>#REF!</v>
      </c>
      <c r="M111" t="e">
        <f t="shared" si="81"/>
        <v>#REF!</v>
      </c>
      <c r="N111" t="e">
        <f t="shared" si="81"/>
        <v>#REF!</v>
      </c>
      <c r="O111" t="e">
        <f t="shared" si="81"/>
        <v>#REF!</v>
      </c>
      <c r="P111" t="e">
        <f t="shared" si="81"/>
        <v>#REF!</v>
      </c>
      <c r="Q111" t="e">
        <f t="shared" si="81"/>
        <v>#REF!</v>
      </c>
      <c r="R111" t="e">
        <f t="shared" si="81"/>
        <v>#REF!</v>
      </c>
      <c r="S111" t="e">
        <f t="shared" si="81"/>
        <v>#REF!</v>
      </c>
      <c r="T111" t="e">
        <f t="shared" si="80"/>
        <v>#REF!</v>
      </c>
      <c r="U111" t="e">
        <f t="shared" si="80"/>
        <v>#REF!</v>
      </c>
      <c r="V111" t="e">
        <f t="shared" si="80"/>
        <v>#REF!</v>
      </c>
      <c r="W111" t="e">
        <f t="shared" si="80"/>
        <v>#REF!</v>
      </c>
      <c r="X111" t="e">
        <f t="shared" si="80"/>
        <v>#REF!</v>
      </c>
      <c r="Y111" t="e">
        <f t="shared" si="80"/>
        <v>#REF!</v>
      </c>
      <c r="Z111" t="e">
        <f t="shared" si="80"/>
        <v>#REF!</v>
      </c>
      <c r="AA111" t="e">
        <f t="shared" si="80"/>
        <v>#REF!</v>
      </c>
      <c r="AB111" t="e">
        <f t="shared" si="80"/>
        <v>#REF!</v>
      </c>
      <c r="AC111" t="e">
        <f t="shared" si="80"/>
        <v>#REF!</v>
      </c>
      <c r="AD111" t="e">
        <f t="shared" si="80"/>
        <v>#REF!</v>
      </c>
      <c r="AE111" t="e">
        <f t="shared" si="80"/>
        <v>#REF!</v>
      </c>
      <c r="AF111" t="e">
        <f t="shared" si="80"/>
        <v>#REF!</v>
      </c>
      <c r="AG111" t="e">
        <f t="shared" si="80"/>
        <v>#REF!</v>
      </c>
      <c r="AH111" t="e">
        <f t="shared" si="68"/>
        <v>#REF!</v>
      </c>
      <c r="AI111" t="e">
        <f t="shared" si="68"/>
        <v>#REF!</v>
      </c>
      <c r="AJ111" t="e">
        <f t="shared" si="68"/>
        <v>#REF!</v>
      </c>
      <c r="AK111" t="e">
        <f t="shared" si="68"/>
        <v>#REF!</v>
      </c>
      <c r="AL111" t="e">
        <f t="shared" si="68"/>
        <v>#REF!</v>
      </c>
      <c r="AM111" t="e">
        <f t="shared" si="68"/>
        <v>#REF!</v>
      </c>
      <c r="AN111" t="e">
        <f t="shared" si="68"/>
        <v>#REF!</v>
      </c>
      <c r="AO111" t="e">
        <f t="shared" si="68"/>
        <v>#REF!</v>
      </c>
      <c r="AP111" t="e">
        <f t="shared" si="68"/>
        <v>#REF!</v>
      </c>
      <c r="AQ111" t="e">
        <f t="shared" si="68"/>
        <v>#REF!</v>
      </c>
      <c r="AR111" t="e">
        <f t="shared" si="67"/>
        <v>#REF!</v>
      </c>
      <c r="AS111" t="e">
        <f t="shared" si="67"/>
        <v>#REF!</v>
      </c>
      <c r="AT111" t="e">
        <f t="shared" si="67"/>
        <v>#REF!</v>
      </c>
      <c r="AU111" t="e">
        <f t="shared" si="67"/>
        <v>#REF!</v>
      </c>
      <c r="AV111" t="e">
        <f t="shared" si="67"/>
        <v>#REF!</v>
      </c>
      <c r="AW111" t="e">
        <f t="shared" si="67"/>
        <v>#REF!</v>
      </c>
      <c r="AX111" t="e">
        <f t="shared" si="67"/>
        <v>#REF!</v>
      </c>
      <c r="AY111" t="e">
        <f t="shared" si="66"/>
        <v>#REF!</v>
      </c>
      <c r="AZ111" t="e">
        <f t="shared" si="66"/>
        <v>#REF!</v>
      </c>
      <c r="BA111" t="e">
        <f t="shared" si="66"/>
        <v>#REF!</v>
      </c>
      <c r="BB111" t="e">
        <f t="shared" ref="BB111:BQ133" si="84">MATCH(CONCATENATE(BB$3,"_",$C111),auto_DataFlat_UID,0)</f>
        <v>#REF!</v>
      </c>
      <c r="BC111" t="e">
        <f t="shared" si="84"/>
        <v>#REF!</v>
      </c>
      <c r="BD111" t="e">
        <f t="shared" si="84"/>
        <v>#REF!</v>
      </c>
      <c r="BE111" t="e">
        <f t="shared" si="84"/>
        <v>#REF!</v>
      </c>
      <c r="BF111" t="e">
        <f t="shared" si="84"/>
        <v>#REF!</v>
      </c>
      <c r="BG111" t="e">
        <f t="shared" si="84"/>
        <v>#REF!</v>
      </c>
      <c r="BH111" t="e">
        <f t="shared" si="84"/>
        <v>#REF!</v>
      </c>
      <c r="BI111" t="e">
        <f t="shared" si="84"/>
        <v>#REF!</v>
      </c>
      <c r="BJ111" t="e">
        <f t="shared" si="84"/>
        <v>#REF!</v>
      </c>
      <c r="BK111" t="e">
        <f t="shared" si="84"/>
        <v>#REF!</v>
      </c>
      <c r="BL111" t="e">
        <f t="shared" si="83"/>
        <v>#REF!</v>
      </c>
      <c r="BM111" t="e">
        <f t="shared" si="83"/>
        <v>#REF!</v>
      </c>
      <c r="BN111" t="e">
        <f t="shared" si="83"/>
        <v>#REF!</v>
      </c>
      <c r="BO111" t="e">
        <f t="shared" si="83"/>
        <v>#REF!</v>
      </c>
      <c r="BP111" t="e">
        <f t="shared" si="83"/>
        <v>#REF!</v>
      </c>
      <c r="BQ111" t="e">
        <f t="shared" si="83"/>
        <v>#REF!</v>
      </c>
      <c r="BR111" t="e">
        <f t="shared" si="83"/>
        <v>#REF!</v>
      </c>
      <c r="BS111" t="e">
        <f t="shared" si="83"/>
        <v>#REF!</v>
      </c>
      <c r="BT111" t="e">
        <f t="shared" si="83"/>
        <v>#REF!</v>
      </c>
      <c r="BU111" t="e">
        <f t="shared" si="83"/>
        <v>#REF!</v>
      </c>
      <c r="BV111" t="e">
        <f t="shared" si="77"/>
        <v>#REF!</v>
      </c>
      <c r="BW111" t="e">
        <f t="shared" si="77"/>
        <v>#REF!</v>
      </c>
      <c r="BX111" t="e">
        <f t="shared" si="77"/>
        <v>#REF!</v>
      </c>
      <c r="BY111" t="e">
        <f t="shared" si="77"/>
        <v>#REF!</v>
      </c>
      <c r="BZ111" t="e">
        <f t="shared" si="77"/>
        <v>#REF!</v>
      </c>
      <c r="CA111" t="e">
        <f t="shared" si="77"/>
        <v>#REF!</v>
      </c>
      <c r="CB111" t="e">
        <f t="shared" si="77"/>
        <v>#REF!</v>
      </c>
      <c r="CC111" t="e">
        <f t="shared" si="77"/>
        <v>#REF!</v>
      </c>
      <c r="CD111" t="e">
        <f t="shared" si="77"/>
        <v>#REF!</v>
      </c>
      <c r="CE111" t="e">
        <f t="shared" si="77"/>
        <v>#REF!</v>
      </c>
      <c r="CF111" t="e">
        <f t="shared" si="71"/>
        <v>#REF!</v>
      </c>
      <c r="CG111" t="e">
        <f t="shared" si="71"/>
        <v>#REF!</v>
      </c>
      <c r="CH111" t="e">
        <f t="shared" si="71"/>
        <v>#REF!</v>
      </c>
      <c r="CI111" t="e">
        <f t="shared" si="71"/>
        <v>#REF!</v>
      </c>
      <c r="CJ111" t="e">
        <f t="shared" si="71"/>
        <v>#REF!</v>
      </c>
      <c r="CK111" t="e">
        <f t="shared" si="71"/>
        <v>#REF!</v>
      </c>
      <c r="CL111" t="e">
        <f t="shared" si="71"/>
        <v>#REF!</v>
      </c>
      <c r="CM111" t="e">
        <f t="shared" si="71"/>
        <v>#REF!</v>
      </c>
      <c r="CN111" t="e">
        <f t="shared" si="71"/>
        <v>#REF!</v>
      </c>
      <c r="CO111" t="e">
        <f t="shared" si="71"/>
        <v>#REF!</v>
      </c>
      <c r="CP111" t="e">
        <f t="shared" si="70"/>
        <v>#REF!</v>
      </c>
      <c r="CQ111" t="e">
        <f t="shared" si="70"/>
        <v>#REF!</v>
      </c>
      <c r="CR111" t="e">
        <f t="shared" si="70"/>
        <v>#REF!</v>
      </c>
      <c r="CS111" t="e">
        <f t="shared" si="70"/>
        <v>#REF!</v>
      </c>
      <c r="CT111" t="e">
        <f t="shared" si="70"/>
        <v>#REF!</v>
      </c>
      <c r="CU111" t="e">
        <f t="shared" si="70"/>
        <v>#REF!</v>
      </c>
      <c r="CV111" t="e">
        <f t="shared" si="70"/>
        <v>#REF!</v>
      </c>
      <c r="CW111" t="e">
        <f t="shared" si="70"/>
        <v>#REF!</v>
      </c>
      <c r="CX111" t="e">
        <f t="shared" si="74"/>
        <v>#REF!</v>
      </c>
      <c r="CY111" t="e">
        <f t="shared" si="74"/>
        <v>#REF!</v>
      </c>
      <c r="CZ111" t="e">
        <f t="shared" si="74"/>
        <v>#REF!</v>
      </c>
      <c r="DA111" t="e">
        <f t="shared" si="74"/>
        <v>#REF!</v>
      </c>
      <c r="DB111" t="e">
        <f t="shared" si="74"/>
        <v>#REF!</v>
      </c>
      <c r="DC111" t="e">
        <f t="shared" si="74"/>
        <v>#REF!</v>
      </c>
      <c r="DD111" t="e">
        <f t="shared" si="74"/>
        <v>#REF!</v>
      </c>
      <c r="DE111" t="e">
        <f t="shared" si="74"/>
        <v>#REF!</v>
      </c>
      <c r="DF111" t="e">
        <f t="shared" si="74"/>
        <v>#REF!</v>
      </c>
      <c r="DG111" t="e">
        <f t="shared" si="74"/>
        <v>#REF!</v>
      </c>
      <c r="DH111" t="e">
        <f t="shared" si="74"/>
        <v>#REF!</v>
      </c>
      <c r="DI111" t="e">
        <f t="shared" si="74"/>
        <v>#REF!</v>
      </c>
      <c r="DJ111" t="e">
        <f t="shared" si="74"/>
        <v>#REF!</v>
      </c>
      <c r="DK111" t="e">
        <f t="shared" si="74"/>
        <v>#REF!</v>
      </c>
      <c r="DL111" t="e">
        <f t="shared" si="74"/>
        <v>#REF!</v>
      </c>
      <c r="DM111" t="e">
        <f t="shared" si="74"/>
        <v>#REF!</v>
      </c>
      <c r="DN111" t="e">
        <f t="shared" si="79"/>
        <v>#REF!</v>
      </c>
      <c r="DO111" t="e">
        <f t="shared" si="79"/>
        <v>#REF!</v>
      </c>
      <c r="DP111" t="e">
        <f t="shared" si="79"/>
        <v>#REF!</v>
      </c>
      <c r="DQ111" t="e">
        <f t="shared" si="79"/>
        <v>#REF!</v>
      </c>
      <c r="DR111" t="e">
        <f t="shared" si="79"/>
        <v>#REF!</v>
      </c>
      <c r="DS111" t="e">
        <f t="shared" si="79"/>
        <v>#REF!</v>
      </c>
      <c r="DT111" t="e">
        <f t="shared" si="79"/>
        <v>#REF!</v>
      </c>
      <c r="DU111" t="e">
        <f t="shared" si="79"/>
        <v>#REF!</v>
      </c>
      <c r="DV111" t="e">
        <f t="shared" si="79"/>
        <v>#REF!</v>
      </c>
      <c r="DW111" t="e">
        <f t="shared" si="79"/>
        <v>#REF!</v>
      </c>
      <c r="DX111" t="e">
        <f t="shared" si="79"/>
        <v>#REF!</v>
      </c>
      <c r="DY111" t="e">
        <f t="shared" si="79"/>
        <v>#REF!</v>
      </c>
      <c r="DZ111" t="e">
        <f t="shared" si="63"/>
        <v>#REF!</v>
      </c>
      <c r="EA111" t="e">
        <f t="shared" si="63"/>
        <v>#REF!</v>
      </c>
      <c r="EB111" t="e">
        <f t="shared" si="63"/>
        <v>#REF!</v>
      </c>
      <c r="EC111" t="e">
        <f t="shared" si="63"/>
        <v>#REF!</v>
      </c>
      <c r="ED111" t="e">
        <f t="shared" si="75"/>
        <v>#REF!</v>
      </c>
      <c r="EE111" t="e">
        <f t="shared" si="75"/>
        <v>#REF!</v>
      </c>
      <c r="EF111" t="e">
        <f t="shared" si="75"/>
        <v>#REF!</v>
      </c>
      <c r="EG111" t="e">
        <f t="shared" si="75"/>
        <v>#REF!</v>
      </c>
      <c r="EH111" t="e">
        <f t="shared" si="75"/>
        <v>#REF!</v>
      </c>
      <c r="EI111" t="e">
        <f t="shared" si="75"/>
        <v>#REF!</v>
      </c>
      <c r="EJ111" t="e">
        <f t="shared" si="75"/>
        <v>#REF!</v>
      </c>
      <c r="EK111" t="e">
        <f t="shared" si="75"/>
        <v>#REF!</v>
      </c>
      <c r="EL111" t="e">
        <f t="shared" si="75"/>
        <v>#REF!</v>
      </c>
      <c r="EM111" t="e">
        <f t="shared" si="75"/>
        <v>#REF!</v>
      </c>
    </row>
    <row r="112" spans="1:143" x14ac:dyDescent="0.4">
      <c r="A112" t="str">
        <f t="shared" si="51"/>
        <v>X</v>
      </c>
      <c r="B112">
        <v>109</v>
      </c>
      <c r="C112" t="e" cm="1">
        <f t="array" ref="C112">INDEX(auto_Series_Code,B112)</f>
        <v>#REF!</v>
      </c>
      <c r="D112" t="e">
        <f t="shared" si="81"/>
        <v>#REF!</v>
      </c>
      <c r="E112" t="e">
        <f t="shared" si="81"/>
        <v>#REF!</v>
      </c>
      <c r="F112" t="e">
        <f t="shared" si="81"/>
        <v>#REF!</v>
      </c>
      <c r="G112" t="e">
        <f t="shared" si="81"/>
        <v>#REF!</v>
      </c>
      <c r="H112" t="e">
        <f t="shared" si="81"/>
        <v>#REF!</v>
      </c>
      <c r="I112" t="e">
        <f t="shared" si="81"/>
        <v>#REF!</v>
      </c>
      <c r="J112" t="e">
        <f t="shared" si="81"/>
        <v>#REF!</v>
      </c>
      <c r="K112" t="e">
        <f t="shared" si="81"/>
        <v>#REF!</v>
      </c>
      <c r="L112" t="e">
        <f t="shared" si="81"/>
        <v>#REF!</v>
      </c>
      <c r="M112" t="e">
        <f t="shared" si="81"/>
        <v>#REF!</v>
      </c>
      <c r="N112" t="e">
        <f t="shared" si="81"/>
        <v>#REF!</v>
      </c>
      <c r="O112" t="e">
        <f t="shared" si="81"/>
        <v>#REF!</v>
      </c>
      <c r="P112" t="e">
        <f t="shared" si="81"/>
        <v>#REF!</v>
      </c>
      <c r="Q112" t="e">
        <f t="shared" si="81"/>
        <v>#REF!</v>
      </c>
      <c r="R112" t="e">
        <f t="shared" si="81"/>
        <v>#REF!</v>
      </c>
      <c r="S112" t="e">
        <f t="shared" si="81"/>
        <v>#REF!</v>
      </c>
      <c r="T112" t="e">
        <f t="shared" si="80"/>
        <v>#REF!</v>
      </c>
      <c r="U112" t="e">
        <f t="shared" si="80"/>
        <v>#REF!</v>
      </c>
      <c r="V112" t="e">
        <f t="shared" si="80"/>
        <v>#REF!</v>
      </c>
      <c r="W112" t="e">
        <f t="shared" si="80"/>
        <v>#REF!</v>
      </c>
      <c r="X112" t="e">
        <f t="shared" si="80"/>
        <v>#REF!</v>
      </c>
      <c r="Y112" t="e">
        <f t="shared" si="80"/>
        <v>#REF!</v>
      </c>
      <c r="Z112" t="e">
        <f t="shared" si="80"/>
        <v>#REF!</v>
      </c>
      <c r="AA112" t="e">
        <f t="shared" si="80"/>
        <v>#REF!</v>
      </c>
      <c r="AB112" t="e">
        <f t="shared" si="80"/>
        <v>#REF!</v>
      </c>
      <c r="AC112" t="e">
        <f t="shared" si="80"/>
        <v>#REF!</v>
      </c>
      <c r="AD112" t="e">
        <f t="shared" si="80"/>
        <v>#REF!</v>
      </c>
      <c r="AE112" t="e">
        <f t="shared" si="80"/>
        <v>#REF!</v>
      </c>
      <c r="AF112" t="e">
        <f t="shared" si="80"/>
        <v>#REF!</v>
      </c>
      <c r="AG112" t="e">
        <f t="shared" si="80"/>
        <v>#REF!</v>
      </c>
      <c r="AH112" t="e">
        <f t="shared" si="68"/>
        <v>#REF!</v>
      </c>
      <c r="AI112" t="e">
        <f t="shared" si="68"/>
        <v>#REF!</v>
      </c>
      <c r="AJ112" t="e">
        <f t="shared" si="68"/>
        <v>#REF!</v>
      </c>
      <c r="AK112" t="e">
        <f t="shared" si="68"/>
        <v>#REF!</v>
      </c>
      <c r="AL112" t="e">
        <f t="shared" si="68"/>
        <v>#REF!</v>
      </c>
      <c r="AM112" t="e">
        <f t="shared" si="68"/>
        <v>#REF!</v>
      </c>
      <c r="AN112" t="e">
        <f t="shared" si="68"/>
        <v>#REF!</v>
      </c>
      <c r="AO112" t="e">
        <f t="shared" si="68"/>
        <v>#REF!</v>
      </c>
      <c r="AP112" t="e">
        <f t="shared" si="68"/>
        <v>#REF!</v>
      </c>
      <c r="AQ112" t="e">
        <f t="shared" si="68"/>
        <v>#REF!</v>
      </c>
      <c r="AR112" t="e">
        <f t="shared" si="67"/>
        <v>#REF!</v>
      </c>
      <c r="AS112" t="e">
        <f t="shared" si="67"/>
        <v>#REF!</v>
      </c>
      <c r="AT112" t="e">
        <f t="shared" si="67"/>
        <v>#REF!</v>
      </c>
      <c r="AU112" t="e">
        <f t="shared" si="67"/>
        <v>#REF!</v>
      </c>
      <c r="AV112" t="e">
        <f t="shared" si="67"/>
        <v>#REF!</v>
      </c>
      <c r="AW112" t="e">
        <f t="shared" si="67"/>
        <v>#REF!</v>
      </c>
      <c r="AX112" t="e">
        <f t="shared" si="67"/>
        <v>#REF!</v>
      </c>
      <c r="AY112" t="e">
        <f t="shared" ref="AY112:BA121" si="85">MATCH(CONCATENATE(AY$3,"_",$C112),auto_DataFlat_UID,0)</f>
        <v>#REF!</v>
      </c>
      <c r="AZ112" t="e">
        <f t="shared" si="85"/>
        <v>#REF!</v>
      </c>
      <c r="BA112" t="e">
        <f t="shared" si="85"/>
        <v>#REF!</v>
      </c>
      <c r="BB112" t="e">
        <f t="shared" si="84"/>
        <v>#REF!</v>
      </c>
      <c r="BC112" t="e">
        <f t="shared" si="84"/>
        <v>#REF!</v>
      </c>
      <c r="BD112" t="e">
        <f t="shared" si="84"/>
        <v>#REF!</v>
      </c>
      <c r="BE112" t="e">
        <f t="shared" si="84"/>
        <v>#REF!</v>
      </c>
      <c r="BF112" t="e">
        <f t="shared" si="84"/>
        <v>#REF!</v>
      </c>
      <c r="BG112" t="e">
        <f t="shared" si="84"/>
        <v>#REF!</v>
      </c>
      <c r="BH112" t="e">
        <f t="shared" si="84"/>
        <v>#REF!</v>
      </c>
      <c r="BI112" t="e">
        <f t="shared" si="84"/>
        <v>#REF!</v>
      </c>
      <c r="BJ112" t="e">
        <f t="shared" si="84"/>
        <v>#REF!</v>
      </c>
      <c r="BK112" t="e">
        <f t="shared" si="84"/>
        <v>#REF!</v>
      </c>
      <c r="BL112" t="e">
        <f t="shared" si="83"/>
        <v>#REF!</v>
      </c>
      <c r="BM112" t="e">
        <f t="shared" si="83"/>
        <v>#REF!</v>
      </c>
      <c r="BN112" t="e">
        <f t="shared" si="83"/>
        <v>#REF!</v>
      </c>
      <c r="BO112" t="e">
        <f t="shared" si="83"/>
        <v>#REF!</v>
      </c>
      <c r="BP112" t="e">
        <f t="shared" si="83"/>
        <v>#REF!</v>
      </c>
      <c r="BQ112" t="e">
        <f t="shared" si="83"/>
        <v>#REF!</v>
      </c>
      <c r="BR112" t="e">
        <f t="shared" si="83"/>
        <v>#REF!</v>
      </c>
      <c r="BS112" t="e">
        <f t="shared" si="83"/>
        <v>#REF!</v>
      </c>
      <c r="BT112" t="e">
        <f t="shared" si="83"/>
        <v>#REF!</v>
      </c>
      <c r="BU112" t="e">
        <f t="shared" si="83"/>
        <v>#REF!</v>
      </c>
      <c r="BV112" t="e">
        <f t="shared" si="77"/>
        <v>#REF!</v>
      </c>
      <c r="BW112" t="e">
        <f t="shared" si="77"/>
        <v>#REF!</v>
      </c>
      <c r="BX112" t="e">
        <f t="shared" si="77"/>
        <v>#REF!</v>
      </c>
      <c r="BY112" t="e">
        <f t="shared" si="77"/>
        <v>#REF!</v>
      </c>
      <c r="BZ112" t="e">
        <f t="shared" si="77"/>
        <v>#REF!</v>
      </c>
      <c r="CA112" t="e">
        <f t="shared" si="77"/>
        <v>#REF!</v>
      </c>
      <c r="CB112" t="e">
        <f t="shared" si="77"/>
        <v>#REF!</v>
      </c>
      <c r="CC112" t="e">
        <f t="shared" si="77"/>
        <v>#REF!</v>
      </c>
      <c r="CD112" t="e">
        <f t="shared" si="77"/>
        <v>#REF!</v>
      </c>
      <c r="CE112" t="e">
        <f t="shared" si="77"/>
        <v>#REF!</v>
      </c>
      <c r="CF112" t="e">
        <f t="shared" si="71"/>
        <v>#REF!</v>
      </c>
      <c r="CG112" t="e">
        <f t="shared" si="71"/>
        <v>#REF!</v>
      </c>
      <c r="CH112" t="e">
        <f t="shared" si="71"/>
        <v>#REF!</v>
      </c>
      <c r="CI112" t="e">
        <f t="shared" si="71"/>
        <v>#REF!</v>
      </c>
      <c r="CJ112" t="e">
        <f t="shared" si="71"/>
        <v>#REF!</v>
      </c>
      <c r="CK112" t="e">
        <f t="shared" si="71"/>
        <v>#REF!</v>
      </c>
      <c r="CL112" t="e">
        <f t="shared" si="71"/>
        <v>#REF!</v>
      </c>
      <c r="CM112" t="e">
        <f t="shared" si="71"/>
        <v>#REF!</v>
      </c>
      <c r="CN112" t="e">
        <f t="shared" si="71"/>
        <v>#REF!</v>
      </c>
      <c r="CO112" t="e">
        <f t="shared" si="71"/>
        <v>#REF!</v>
      </c>
      <c r="CP112" t="e">
        <f t="shared" si="70"/>
        <v>#REF!</v>
      </c>
      <c r="CQ112" t="e">
        <f t="shared" si="70"/>
        <v>#REF!</v>
      </c>
      <c r="CR112" t="e">
        <f t="shared" si="70"/>
        <v>#REF!</v>
      </c>
      <c r="CS112" t="e">
        <f t="shared" si="70"/>
        <v>#REF!</v>
      </c>
      <c r="CT112" t="e">
        <f t="shared" si="70"/>
        <v>#REF!</v>
      </c>
      <c r="CU112" t="e">
        <f t="shared" si="70"/>
        <v>#REF!</v>
      </c>
      <c r="CV112" t="e">
        <f t="shared" si="70"/>
        <v>#REF!</v>
      </c>
      <c r="CW112" t="e">
        <f t="shared" si="70"/>
        <v>#REF!</v>
      </c>
      <c r="CX112" t="e">
        <f t="shared" si="74"/>
        <v>#REF!</v>
      </c>
      <c r="CY112" t="e">
        <f t="shared" si="74"/>
        <v>#REF!</v>
      </c>
      <c r="CZ112" t="e">
        <f t="shared" si="74"/>
        <v>#REF!</v>
      </c>
      <c r="DA112" t="e">
        <f t="shared" si="74"/>
        <v>#REF!</v>
      </c>
      <c r="DB112" t="e">
        <f t="shared" si="74"/>
        <v>#REF!</v>
      </c>
      <c r="DC112" t="e">
        <f t="shared" si="74"/>
        <v>#REF!</v>
      </c>
      <c r="DD112" t="e">
        <f t="shared" si="74"/>
        <v>#REF!</v>
      </c>
      <c r="DE112" t="e">
        <f t="shared" si="74"/>
        <v>#REF!</v>
      </c>
      <c r="DF112" t="e">
        <f t="shared" si="74"/>
        <v>#REF!</v>
      </c>
      <c r="DG112" t="e">
        <f t="shared" si="74"/>
        <v>#REF!</v>
      </c>
      <c r="DH112" t="e">
        <f t="shared" si="74"/>
        <v>#REF!</v>
      </c>
      <c r="DI112" t="e">
        <f t="shared" si="74"/>
        <v>#REF!</v>
      </c>
      <c r="DJ112" t="e">
        <f t="shared" si="74"/>
        <v>#REF!</v>
      </c>
      <c r="DK112" t="e">
        <f t="shared" si="74"/>
        <v>#REF!</v>
      </c>
      <c r="DL112" t="e">
        <f t="shared" si="74"/>
        <v>#REF!</v>
      </c>
      <c r="DM112" t="e">
        <f t="shared" si="74"/>
        <v>#REF!</v>
      </c>
      <c r="DN112" t="e">
        <f t="shared" si="79"/>
        <v>#REF!</v>
      </c>
      <c r="DO112" t="e">
        <f t="shared" si="79"/>
        <v>#REF!</v>
      </c>
      <c r="DP112" t="e">
        <f t="shared" si="79"/>
        <v>#REF!</v>
      </c>
      <c r="DQ112" t="e">
        <f t="shared" si="79"/>
        <v>#REF!</v>
      </c>
      <c r="DR112" t="e">
        <f t="shared" si="79"/>
        <v>#REF!</v>
      </c>
      <c r="DS112" t="e">
        <f t="shared" si="79"/>
        <v>#REF!</v>
      </c>
      <c r="DT112" t="e">
        <f t="shared" si="79"/>
        <v>#REF!</v>
      </c>
      <c r="DU112" t="e">
        <f t="shared" si="79"/>
        <v>#REF!</v>
      </c>
      <c r="DV112" t="e">
        <f t="shared" si="79"/>
        <v>#REF!</v>
      </c>
      <c r="DW112" t="e">
        <f t="shared" si="79"/>
        <v>#REF!</v>
      </c>
      <c r="DX112" t="e">
        <f t="shared" si="79"/>
        <v>#REF!</v>
      </c>
      <c r="DY112" t="e">
        <f t="shared" si="79"/>
        <v>#REF!</v>
      </c>
      <c r="DZ112" t="e">
        <f t="shared" si="63"/>
        <v>#REF!</v>
      </c>
      <c r="EA112" t="e">
        <f t="shared" si="63"/>
        <v>#REF!</v>
      </c>
      <c r="EB112" t="e">
        <f t="shared" si="63"/>
        <v>#REF!</v>
      </c>
      <c r="EC112" t="e">
        <f t="shared" si="63"/>
        <v>#REF!</v>
      </c>
      <c r="ED112" t="e">
        <f t="shared" si="75"/>
        <v>#REF!</v>
      </c>
      <c r="EE112" t="e">
        <f t="shared" si="75"/>
        <v>#REF!</v>
      </c>
      <c r="EF112" t="e">
        <f t="shared" si="75"/>
        <v>#REF!</v>
      </c>
      <c r="EG112" t="e">
        <f t="shared" si="75"/>
        <v>#REF!</v>
      </c>
      <c r="EH112" t="e">
        <f t="shared" si="75"/>
        <v>#REF!</v>
      </c>
      <c r="EI112" t="e">
        <f t="shared" si="75"/>
        <v>#REF!</v>
      </c>
      <c r="EJ112" t="e">
        <f t="shared" si="75"/>
        <v>#REF!</v>
      </c>
      <c r="EK112" t="e">
        <f t="shared" si="75"/>
        <v>#REF!</v>
      </c>
      <c r="EL112" t="e">
        <f t="shared" si="75"/>
        <v>#REF!</v>
      </c>
      <c r="EM112" t="e">
        <f t="shared" si="75"/>
        <v>#REF!</v>
      </c>
    </row>
    <row r="113" spans="1:143" x14ac:dyDescent="0.4">
      <c r="A113" t="str">
        <f t="shared" si="51"/>
        <v>X</v>
      </c>
      <c r="B113">
        <v>110</v>
      </c>
      <c r="C113" t="e" cm="1">
        <f t="array" ref="C113">INDEX(auto_Series_Code,B113)</f>
        <v>#REF!</v>
      </c>
      <c r="D113" t="e">
        <f t="shared" si="81"/>
        <v>#REF!</v>
      </c>
      <c r="E113" t="e">
        <f t="shared" si="81"/>
        <v>#REF!</v>
      </c>
      <c r="F113" t="e">
        <f t="shared" si="81"/>
        <v>#REF!</v>
      </c>
      <c r="G113" t="e">
        <f t="shared" si="81"/>
        <v>#REF!</v>
      </c>
      <c r="H113" t="e">
        <f t="shared" si="81"/>
        <v>#REF!</v>
      </c>
      <c r="I113" t="e">
        <f t="shared" si="81"/>
        <v>#REF!</v>
      </c>
      <c r="J113" t="e">
        <f t="shared" si="81"/>
        <v>#REF!</v>
      </c>
      <c r="K113" t="e">
        <f t="shared" si="81"/>
        <v>#REF!</v>
      </c>
      <c r="L113" t="e">
        <f t="shared" si="81"/>
        <v>#REF!</v>
      </c>
      <c r="M113" t="e">
        <f t="shared" si="81"/>
        <v>#REF!</v>
      </c>
      <c r="N113" t="e">
        <f t="shared" si="81"/>
        <v>#REF!</v>
      </c>
      <c r="O113" t="e">
        <f t="shared" si="81"/>
        <v>#REF!</v>
      </c>
      <c r="P113" t="e">
        <f t="shared" si="81"/>
        <v>#REF!</v>
      </c>
      <c r="Q113" t="e">
        <f t="shared" si="81"/>
        <v>#REF!</v>
      </c>
      <c r="R113" t="e">
        <f t="shared" si="81"/>
        <v>#REF!</v>
      </c>
      <c r="S113" t="e">
        <f t="shared" si="81"/>
        <v>#REF!</v>
      </c>
      <c r="T113" t="e">
        <f t="shared" si="80"/>
        <v>#REF!</v>
      </c>
      <c r="U113" t="e">
        <f t="shared" si="80"/>
        <v>#REF!</v>
      </c>
      <c r="V113" t="e">
        <f t="shared" si="80"/>
        <v>#REF!</v>
      </c>
      <c r="W113" t="e">
        <f t="shared" si="80"/>
        <v>#REF!</v>
      </c>
      <c r="X113" t="e">
        <f t="shared" si="80"/>
        <v>#REF!</v>
      </c>
      <c r="Y113" t="e">
        <f t="shared" si="80"/>
        <v>#REF!</v>
      </c>
      <c r="Z113" t="e">
        <f t="shared" si="80"/>
        <v>#REF!</v>
      </c>
      <c r="AA113" t="e">
        <f t="shared" si="80"/>
        <v>#REF!</v>
      </c>
      <c r="AB113" t="e">
        <f t="shared" si="80"/>
        <v>#REF!</v>
      </c>
      <c r="AC113" t="e">
        <f t="shared" si="80"/>
        <v>#REF!</v>
      </c>
      <c r="AD113" t="e">
        <f t="shared" si="80"/>
        <v>#REF!</v>
      </c>
      <c r="AE113" t="e">
        <f t="shared" si="80"/>
        <v>#REF!</v>
      </c>
      <c r="AF113" t="e">
        <f t="shared" si="80"/>
        <v>#REF!</v>
      </c>
      <c r="AG113" t="e">
        <f t="shared" si="80"/>
        <v>#REF!</v>
      </c>
      <c r="AH113" t="e">
        <f t="shared" si="68"/>
        <v>#REF!</v>
      </c>
      <c r="AI113" t="e">
        <f t="shared" si="68"/>
        <v>#REF!</v>
      </c>
      <c r="AJ113" t="e">
        <f t="shared" si="68"/>
        <v>#REF!</v>
      </c>
      <c r="AK113" t="e">
        <f t="shared" si="68"/>
        <v>#REF!</v>
      </c>
      <c r="AL113" t="e">
        <f t="shared" si="68"/>
        <v>#REF!</v>
      </c>
      <c r="AM113" t="e">
        <f t="shared" si="68"/>
        <v>#REF!</v>
      </c>
      <c r="AN113" t="e">
        <f t="shared" si="68"/>
        <v>#REF!</v>
      </c>
      <c r="AO113" t="e">
        <f t="shared" si="68"/>
        <v>#REF!</v>
      </c>
      <c r="AP113" t="e">
        <f t="shared" si="68"/>
        <v>#REF!</v>
      </c>
      <c r="AQ113" t="e">
        <f t="shared" si="68"/>
        <v>#REF!</v>
      </c>
      <c r="AR113" t="e">
        <f t="shared" si="67"/>
        <v>#REF!</v>
      </c>
      <c r="AS113" t="e">
        <f t="shared" si="67"/>
        <v>#REF!</v>
      </c>
      <c r="AT113" t="e">
        <f t="shared" si="67"/>
        <v>#REF!</v>
      </c>
      <c r="AU113" t="e">
        <f t="shared" si="67"/>
        <v>#REF!</v>
      </c>
      <c r="AV113" t="e">
        <f t="shared" si="67"/>
        <v>#REF!</v>
      </c>
      <c r="AW113" t="e">
        <f t="shared" si="67"/>
        <v>#REF!</v>
      </c>
      <c r="AX113" t="e">
        <f t="shared" si="67"/>
        <v>#REF!</v>
      </c>
      <c r="AY113" t="e">
        <f t="shared" si="85"/>
        <v>#REF!</v>
      </c>
      <c r="AZ113" t="e">
        <f t="shared" si="85"/>
        <v>#REF!</v>
      </c>
      <c r="BA113" t="e">
        <f t="shared" si="85"/>
        <v>#REF!</v>
      </c>
      <c r="BB113" t="e">
        <f t="shared" si="84"/>
        <v>#REF!</v>
      </c>
      <c r="BC113" t="e">
        <f t="shared" si="84"/>
        <v>#REF!</v>
      </c>
      <c r="BD113" t="e">
        <f t="shared" si="84"/>
        <v>#REF!</v>
      </c>
      <c r="BE113" t="e">
        <f t="shared" si="84"/>
        <v>#REF!</v>
      </c>
      <c r="BF113" t="e">
        <f t="shared" si="84"/>
        <v>#REF!</v>
      </c>
      <c r="BG113" t="e">
        <f t="shared" si="84"/>
        <v>#REF!</v>
      </c>
      <c r="BH113" t="e">
        <f t="shared" si="84"/>
        <v>#REF!</v>
      </c>
      <c r="BI113" t="e">
        <f t="shared" si="84"/>
        <v>#REF!</v>
      </c>
      <c r="BJ113" t="e">
        <f t="shared" si="84"/>
        <v>#REF!</v>
      </c>
      <c r="BK113" t="e">
        <f t="shared" si="84"/>
        <v>#REF!</v>
      </c>
      <c r="BL113" t="e">
        <f t="shared" si="83"/>
        <v>#REF!</v>
      </c>
      <c r="BM113" t="e">
        <f t="shared" si="83"/>
        <v>#REF!</v>
      </c>
      <c r="BN113" t="e">
        <f t="shared" si="83"/>
        <v>#REF!</v>
      </c>
      <c r="BO113" t="e">
        <f t="shared" si="83"/>
        <v>#REF!</v>
      </c>
      <c r="BP113" t="e">
        <f t="shared" si="83"/>
        <v>#REF!</v>
      </c>
      <c r="BQ113" t="e">
        <f t="shared" si="83"/>
        <v>#REF!</v>
      </c>
      <c r="BR113" t="e">
        <f t="shared" si="83"/>
        <v>#REF!</v>
      </c>
      <c r="BS113" t="e">
        <f t="shared" si="83"/>
        <v>#REF!</v>
      </c>
      <c r="BT113" t="e">
        <f t="shared" si="83"/>
        <v>#REF!</v>
      </c>
      <c r="BU113" t="e">
        <f t="shared" si="83"/>
        <v>#REF!</v>
      </c>
      <c r="BV113" t="e">
        <f t="shared" si="77"/>
        <v>#REF!</v>
      </c>
      <c r="BW113" t="e">
        <f t="shared" si="77"/>
        <v>#REF!</v>
      </c>
      <c r="BX113" t="e">
        <f t="shared" si="77"/>
        <v>#REF!</v>
      </c>
      <c r="BY113" t="e">
        <f t="shared" si="77"/>
        <v>#REF!</v>
      </c>
      <c r="BZ113" t="e">
        <f t="shared" si="77"/>
        <v>#REF!</v>
      </c>
      <c r="CA113" t="e">
        <f t="shared" si="77"/>
        <v>#REF!</v>
      </c>
      <c r="CB113" t="e">
        <f t="shared" si="77"/>
        <v>#REF!</v>
      </c>
      <c r="CC113" t="e">
        <f t="shared" si="77"/>
        <v>#REF!</v>
      </c>
      <c r="CD113" t="e">
        <f t="shared" si="77"/>
        <v>#REF!</v>
      </c>
      <c r="CE113" t="e">
        <f t="shared" si="77"/>
        <v>#REF!</v>
      </c>
      <c r="CF113" t="e">
        <f t="shared" si="71"/>
        <v>#REF!</v>
      </c>
      <c r="CG113" t="e">
        <f t="shared" si="71"/>
        <v>#REF!</v>
      </c>
      <c r="CH113" t="e">
        <f t="shared" si="71"/>
        <v>#REF!</v>
      </c>
      <c r="CI113" t="e">
        <f t="shared" si="71"/>
        <v>#REF!</v>
      </c>
      <c r="CJ113" t="e">
        <f t="shared" si="71"/>
        <v>#REF!</v>
      </c>
      <c r="CK113" t="e">
        <f t="shared" si="71"/>
        <v>#REF!</v>
      </c>
      <c r="CL113" t="e">
        <f t="shared" si="71"/>
        <v>#REF!</v>
      </c>
      <c r="CM113" t="e">
        <f t="shared" si="71"/>
        <v>#REF!</v>
      </c>
      <c r="CN113" t="e">
        <f t="shared" si="71"/>
        <v>#REF!</v>
      </c>
      <c r="CO113" t="e">
        <f t="shared" si="71"/>
        <v>#REF!</v>
      </c>
      <c r="CP113" t="e">
        <f t="shared" si="70"/>
        <v>#REF!</v>
      </c>
      <c r="CQ113" t="e">
        <f t="shared" si="70"/>
        <v>#REF!</v>
      </c>
      <c r="CR113" t="e">
        <f t="shared" si="70"/>
        <v>#REF!</v>
      </c>
      <c r="CS113" t="e">
        <f t="shared" si="70"/>
        <v>#REF!</v>
      </c>
      <c r="CT113" t="e">
        <f t="shared" si="70"/>
        <v>#REF!</v>
      </c>
      <c r="CU113" t="e">
        <f t="shared" si="70"/>
        <v>#REF!</v>
      </c>
      <c r="CV113" t="e">
        <f t="shared" si="70"/>
        <v>#REF!</v>
      </c>
      <c r="CW113" t="e">
        <f t="shared" si="70"/>
        <v>#REF!</v>
      </c>
      <c r="CX113" t="e">
        <f t="shared" si="74"/>
        <v>#REF!</v>
      </c>
      <c r="CY113" t="e">
        <f t="shared" si="74"/>
        <v>#REF!</v>
      </c>
      <c r="CZ113" t="e">
        <f t="shared" si="74"/>
        <v>#REF!</v>
      </c>
      <c r="DA113" t="e">
        <f t="shared" si="74"/>
        <v>#REF!</v>
      </c>
      <c r="DB113" t="e">
        <f t="shared" si="74"/>
        <v>#REF!</v>
      </c>
      <c r="DC113" t="e">
        <f t="shared" si="74"/>
        <v>#REF!</v>
      </c>
      <c r="DD113" t="e">
        <f t="shared" si="74"/>
        <v>#REF!</v>
      </c>
      <c r="DE113" t="e">
        <f t="shared" si="74"/>
        <v>#REF!</v>
      </c>
      <c r="DF113" t="e">
        <f t="shared" si="74"/>
        <v>#REF!</v>
      </c>
      <c r="DG113" t="e">
        <f t="shared" si="74"/>
        <v>#REF!</v>
      </c>
      <c r="DH113" t="e">
        <f t="shared" si="74"/>
        <v>#REF!</v>
      </c>
      <c r="DI113" t="e">
        <f t="shared" si="74"/>
        <v>#REF!</v>
      </c>
      <c r="DJ113" t="e">
        <f t="shared" si="74"/>
        <v>#REF!</v>
      </c>
      <c r="DK113" t="e">
        <f t="shared" si="74"/>
        <v>#REF!</v>
      </c>
      <c r="DL113" t="e">
        <f t="shared" si="74"/>
        <v>#REF!</v>
      </c>
      <c r="DM113" t="e">
        <f t="shared" ref="DM113:DY135" si="86">MATCH(CONCATENATE(DM$3,"_",$C113),auto_DataFlat_UID,0)</f>
        <v>#REF!</v>
      </c>
      <c r="DN113" t="e">
        <f t="shared" si="86"/>
        <v>#REF!</v>
      </c>
      <c r="DO113" t="e">
        <f t="shared" si="86"/>
        <v>#REF!</v>
      </c>
      <c r="DP113" t="e">
        <f t="shared" si="86"/>
        <v>#REF!</v>
      </c>
      <c r="DQ113" t="e">
        <f t="shared" si="86"/>
        <v>#REF!</v>
      </c>
      <c r="DR113" t="e">
        <f t="shared" si="86"/>
        <v>#REF!</v>
      </c>
      <c r="DS113" t="e">
        <f t="shared" si="86"/>
        <v>#REF!</v>
      </c>
      <c r="DT113" t="e">
        <f t="shared" si="86"/>
        <v>#REF!</v>
      </c>
      <c r="DU113" t="e">
        <f t="shared" si="86"/>
        <v>#REF!</v>
      </c>
      <c r="DV113" t="e">
        <f t="shared" si="86"/>
        <v>#REF!</v>
      </c>
      <c r="DW113" t="e">
        <f t="shared" si="86"/>
        <v>#REF!</v>
      </c>
      <c r="DX113" t="e">
        <f t="shared" si="86"/>
        <v>#REF!</v>
      </c>
      <c r="DY113" t="e">
        <f t="shared" si="86"/>
        <v>#REF!</v>
      </c>
      <c r="DZ113" t="e">
        <f t="shared" si="63"/>
        <v>#REF!</v>
      </c>
      <c r="EA113" t="e">
        <f t="shared" si="63"/>
        <v>#REF!</v>
      </c>
      <c r="EB113" t="e">
        <f t="shared" si="63"/>
        <v>#REF!</v>
      </c>
      <c r="EC113" t="e">
        <f t="shared" si="63"/>
        <v>#REF!</v>
      </c>
      <c r="ED113" t="e">
        <f t="shared" si="75"/>
        <v>#REF!</v>
      </c>
      <c r="EE113" t="e">
        <f t="shared" si="75"/>
        <v>#REF!</v>
      </c>
      <c r="EF113" t="e">
        <f t="shared" si="75"/>
        <v>#REF!</v>
      </c>
      <c r="EG113" t="e">
        <f t="shared" si="75"/>
        <v>#REF!</v>
      </c>
      <c r="EH113" t="e">
        <f t="shared" si="75"/>
        <v>#REF!</v>
      </c>
      <c r="EI113" t="e">
        <f t="shared" si="75"/>
        <v>#REF!</v>
      </c>
      <c r="EJ113" t="e">
        <f t="shared" si="75"/>
        <v>#REF!</v>
      </c>
      <c r="EK113" t="e">
        <f t="shared" si="75"/>
        <v>#REF!</v>
      </c>
      <c r="EL113" t="e">
        <f t="shared" si="75"/>
        <v>#REF!</v>
      </c>
      <c r="EM113" t="e">
        <f t="shared" si="75"/>
        <v>#REF!</v>
      </c>
    </row>
    <row r="114" spans="1:143" x14ac:dyDescent="0.4">
      <c r="A114" t="str">
        <f t="shared" si="51"/>
        <v>X</v>
      </c>
      <c r="B114">
        <v>111</v>
      </c>
      <c r="C114" t="e" cm="1">
        <f t="array" ref="C114">INDEX(auto_Series_Code,B114)</f>
        <v>#REF!</v>
      </c>
      <c r="D114" t="e">
        <f t="shared" si="81"/>
        <v>#REF!</v>
      </c>
      <c r="E114" t="e">
        <f t="shared" si="81"/>
        <v>#REF!</v>
      </c>
      <c r="F114" t="e">
        <f t="shared" si="81"/>
        <v>#REF!</v>
      </c>
      <c r="G114" t="e">
        <f t="shared" si="81"/>
        <v>#REF!</v>
      </c>
      <c r="H114" t="e">
        <f t="shared" si="81"/>
        <v>#REF!</v>
      </c>
      <c r="I114" t="e">
        <f t="shared" si="81"/>
        <v>#REF!</v>
      </c>
      <c r="J114" t="e">
        <f t="shared" si="81"/>
        <v>#REF!</v>
      </c>
      <c r="K114" t="e">
        <f t="shared" si="81"/>
        <v>#REF!</v>
      </c>
      <c r="L114" t="e">
        <f t="shared" si="81"/>
        <v>#REF!</v>
      </c>
      <c r="M114" t="e">
        <f t="shared" si="81"/>
        <v>#REF!</v>
      </c>
      <c r="N114" t="e">
        <f t="shared" si="81"/>
        <v>#REF!</v>
      </c>
      <c r="O114" t="e">
        <f t="shared" si="81"/>
        <v>#REF!</v>
      </c>
      <c r="P114" t="e">
        <f t="shared" si="81"/>
        <v>#REF!</v>
      </c>
      <c r="Q114" t="e">
        <f t="shared" si="81"/>
        <v>#REF!</v>
      </c>
      <c r="R114" t="e">
        <f t="shared" si="81"/>
        <v>#REF!</v>
      </c>
      <c r="S114" t="e">
        <f t="shared" si="81"/>
        <v>#REF!</v>
      </c>
      <c r="T114" t="e">
        <f t="shared" si="80"/>
        <v>#REF!</v>
      </c>
      <c r="U114" t="e">
        <f t="shared" si="80"/>
        <v>#REF!</v>
      </c>
      <c r="V114" t="e">
        <f t="shared" si="80"/>
        <v>#REF!</v>
      </c>
      <c r="W114" t="e">
        <f t="shared" si="80"/>
        <v>#REF!</v>
      </c>
      <c r="X114" t="e">
        <f t="shared" si="80"/>
        <v>#REF!</v>
      </c>
      <c r="Y114" t="e">
        <f t="shared" si="80"/>
        <v>#REF!</v>
      </c>
      <c r="Z114" t="e">
        <f t="shared" si="80"/>
        <v>#REF!</v>
      </c>
      <c r="AA114" t="e">
        <f t="shared" si="80"/>
        <v>#REF!</v>
      </c>
      <c r="AB114" t="e">
        <f t="shared" si="80"/>
        <v>#REF!</v>
      </c>
      <c r="AC114" t="e">
        <f t="shared" si="80"/>
        <v>#REF!</v>
      </c>
      <c r="AD114" t="e">
        <f t="shared" si="80"/>
        <v>#REF!</v>
      </c>
      <c r="AE114" t="e">
        <f t="shared" si="80"/>
        <v>#REF!</v>
      </c>
      <c r="AF114" t="e">
        <f t="shared" si="80"/>
        <v>#REF!</v>
      </c>
      <c r="AG114" t="e">
        <f t="shared" si="80"/>
        <v>#REF!</v>
      </c>
      <c r="AH114" t="e">
        <f t="shared" si="68"/>
        <v>#REF!</v>
      </c>
      <c r="AI114" t="e">
        <f t="shared" si="68"/>
        <v>#REF!</v>
      </c>
      <c r="AJ114" t="e">
        <f t="shared" si="68"/>
        <v>#REF!</v>
      </c>
      <c r="AK114" t="e">
        <f t="shared" si="68"/>
        <v>#REF!</v>
      </c>
      <c r="AL114" t="e">
        <f t="shared" si="68"/>
        <v>#REF!</v>
      </c>
      <c r="AM114" t="e">
        <f t="shared" si="68"/>
        <v>#REF!</v>
      </c>
      <c r="AN114" t="e">
        <f t="shared" si="68"/>
        <v>#REF!</v>
      </c>
      <c r="AO114" t="e">
        <f t="shared" si="68"/>
        <v>#REF!</v>
      </c>
      <c r="AP114" t="e">
        <f t="shared" si="68"/>
        <v>#REF!</v>
      </c>
      <c r="AQ114" t="e">
        <f t="shared" si="68"/>
        <v>#REF!</v>
      </c>
      <c r="AR114" t="e">
        <f t="shared" si="67"/>
        <v>#REF!</v>
      </c>
      <c r="AS114" t="e">
        <f t="shared" si="67"/>
        <v>#REF!</v>
      </c>
      <c r="AT114" t="e">
        <f t="shared" si="67"/>
        <v>#REF!</v>
      </c>
      <c r="AU114" t="e">
        <f t="shared" si="67"/>
        <v>#REF!</v>
      </c>
      <c r="AV114" t="e">
        <f t="shared" si="67"/>
        <v>#REF!</v>
      </c>
      <c r="AW114" t="e">
        <f t="shared" si="67"/>
        <v>#REF!</v>
      </c>
      <c r="AX114" t="e">
        <f t="shared" si="67"/>
        <v>#REF!</v>
      </c>
      <c r="AY114" t="e">
        <f t="shared" si="85"/>
        <v>#REF!</v>
      </c>
      <c r="AZ114" t="e">
        <f t="shared" si="85"/>
        <v>#REF!</v>
      </c>
      <c r="BA114" t="e">
        <f t="shared" si="85"/>
        <v>#REF!</v>
      </c>
      <c r="BB114" t="e">
        <f t="shared" si="84"/>
        <v>#REF!</v>
      </c>
      <c r="BC114" t="e">
        <f t="shared" si="84"/>
        <v>#REF!</v>
      </c>
      <c r="BD114" t="e">
        <f t="shared" si="84"/>
        <v>#REF!</v>
      </c>
      <c r="BE114" t="e">
        <f t="shared" si="84"/>
        <v>#REF!</v>
      </c>
      <c r="BF114" t="e">
        <f t="shared" si="84"/>
        <v>#REF!</v>
      </c>
      <c r="BG114" t="e">
        <f t="shared" si="84"/>
        <v>#REF!</v>
      </c>
      <c r="BH114" t="e">
        <f t="shared" si="84"/>
        <v>#REF!</v>
      </c>
      <c r="BI114" t="e">
        <f t="shared" si="84"/>
        <v>#REF!</v>
      </c>
      <c r="BJ114" t="e">
        <f t="shared" si="84"/>
        <v>#REF!</v>
      </c>
      <c r="BK114" t="e">
        <f t="shared" si="84"/>
        <v>#REF!</v>
      </c>
      <c r="BL114" t="e">
        <f t="shared" si="83"/>
        <v>#REF!</v>
      </c>
      <c r="BM114" t="e">
        <f t="shared" si="83"/>
        <v>#REF!</v>
      </c>
      <c r="BN114" t="e">
        <f t="shared" si="83"/>
        <v>#REF!</v>
      </c>
      <c r="BO114" t="e">
        <f t="shared" si="83"/>
        <v>#REF!</v>
      </c>
      <c r="BP114" t="e">
        <f t="shared" si="83"/>
        <v>#REF!</v>
      </c>
      <c r="BQ114" t="e">
        <f t="shared" si="83"/>
        <v>#REF!</v>
      </c>
      <c r="BR114" t="e">
        <f t="shared" si="83"/>
        <v>#REF!</v>
      </c>
      <c r="BS114" t="e">
        <f t="shared" si="83"/>
        <v>#REF!</v>
      </c>
      <c r="BT114" t="e">
        <f t="shared" si="83"/>
        <v>#REF!</v>
      </c>
      <c r="BU114" t="e">
        <f t="shared" si="83"/>
        <v>#REF!</v>
      </c>
      <c r="BV114" t="e">
        <f t="shared" si="77"/>
        <v>#REF!</v>
      </c>
      <c r="BW114" t="e">
        <f t="shared" si="77"/>
        <v>#REF!</v>
      </c>
      <c r="BX114" t="e">
        <f t="shared" si="77"/>
        <v>#REF!</v>
      </c>
      <c r="BY114" t="e">
        <f t="shared" si="77"/>
        <v>#REF!</v>
      </c>
      <c r="BZ114" t="e">
        <f t="shared" si="77"/>
        <v>#REF!</v>
      </c>
      <c r="CA114" t="e">
        <f t="shared" si="77"/>
        <v>#REF!</v>
      </c>
      <c r="CB114" t="e">
        <f t="shared" si="77"/>
        <v>#REF!</v>
      </c>
      <c r="CC114" t="e">
        <f t="shared" si="77"/>
        <v>#REF!</v>
      </c>
      <c r="CD114" t="e">
        <f t="shared" si="77"/>
        <v>#REF!</v>
      </c>
      <c r="CE114" t="e">
        <f t="shared" si="77"/>
        <v>#REF!</v>
      </c>
      <c r="CF114" t="e">
        <f t="shared" si="71"/>
        <v>#REF!</v>
      </c>
      <c r="CG114" t="e">
        <f t="shared" si="71"/>
        <v>#REF!</v>
      </c>
      <c r="CH114" t="e">
        <f t="shared" si="71"/>
        <v>#REF!</v>
      </c>
      <c r="CI114" t="e">
        <f t="shared" si="71"/>
        <v>#REF!</v>
      </c>
      <c r="CJ114" t="e">
        <f t="shared" si="71"/>
        <v>#REF!</v>
      </c>
      <c r="CK114" t="e">
        <f t="shared" si="71"/>
        <v>#REF!</v>
      </c>
      <c r="CL114" t="e">
        <f t="shared" si="71"/>
        <v>#REF!</v>
      </c>
      <c r="CM114" t="e">
        <f t="shared" si="71"/>
        <v>#REF!</v>
      </c>
      <c r="CN114" t="e">
        <f t="shared" si="71"/>
        <v>#REF!</v>
      </c>
      <c r="CO114" t="e">
        <f t="shared" si="71"/>
        <v>#REF!</v>
      </c>
      <c r="CP114" t="e">
        <f t="shared" si="70"/>
        <v>#REF!</v>
      </c>
      <c r="CQ114" t="e">
        <f t="shared" si="70"/>
        <v>#REF!</v>
      </c>
      <c r="CR114" t="e">
        <f t="shared" si="70"/>
        <v>#REF!</v>
      </c>
      <c r="CS114" t="e">
        <f t="shared" si="70"/>
        <v>#REF!</v>
      </c>
      <c r="CT114" t="e">
        <f t="shared" si="70"/>
        <v>#REF!</v>
      </c>
      <c r="CU114" t="e">
        <f t="shared" si="70"/>
        <v>#REF!</v>
      </c>
      <c r="CV114" t="e">
        <f t="shared" si="70"/>
        <v>#REF!</v>
      </c>
      <c r="CW114" t="e">
        <f t="shared" si="70"/>
        <v>#REF!</v>
      </c>
      <c r="CX114" t="e">
        <f t="shared" ref="CX114:DM131" si="87">MATCH(CONCATENATE(CX$3,"_",$C114),auto_DataFlat_UID,0)</f>
        <v>#REF!</v>
      </c>
      <c r="CY114" t="e">
        <f t="shared" si="87"/>
        <v>#REF!</v>
      </c>
      <c r="CZ114" t="e">
        <f t="shared" si="87"/>
        <v>#REF!</v>
      </c>
      <c r="DA114" t="e">
        <f t="shared" si="87"/>
        <v>#REF!</v>
      </c>
      <c r="DB114" t="e">
        <f t="shared" si="87"/>
        <v>#REF!</v>
      </c>
      <c r="DC114" t="e">
        <f t="shared" si="87"/>
        <v>#REF!</v>
      </c>
      <c r="DD114" t="e">
        <f t="shared" si="87"/>
        <v>#REF!</v>
      </c>
      <c r="DE114" t="e">
        <f t="shared" si="87"/>
        <v>#REF!</v>
      </c>
      <c r="DF114" t="e">
        <f t="shared" si="87"/>
        <v>#REF!</v>
      </c>
      <c r="DG114" t="e">
        <f t="shared" si="87"/>
        <v>#REF!</v>
      </c>
      <c r="DH114" t="e">
        <f t="shared" si="87"/>
        <v>#REF!</v>
      </c>
      <c r="DI114" t="e">
        <f t="shared" si="87"/>
        <v>#REF!</v>
      </c>
      <c r="DJ114" t="e">
        <f t="shared" si="87"/>
        <v>#REF!</v>
      </c>
      <c r="DK114" t="e">
        <f t="shared" si="87"/>
        <v>#REF!</v>
      </c>
      <c r="DL114" t="e">
        <f t="shared" si="87"/>
        <v>#REF!</v>
      </c>
      <c r="DM114" t="e">
        <f t="shared" si="87"/>
        <v>#REF!</v>
      </c>
      <c r="DN114" t="e">
        <f t="shared" si="86"/>
        <v>#REF!</v>
      </c>
      <c r="DO114" t="e">
        <f t="shared" si="86"/>
        <v>#REF!</v>
      </c>
      <c r="DP114" t="e">
        <f t="shared" si="86"/>
        <v>#REF!</v>
      </c>
      <c r="DQ114" t="e">
        <f t="shared" si="86"/>
        <v>#REF!</v>
      </c>
      <c r="DR114" t="e">
        <f t="shared" si="86"/>
        <v>#REF!</v>
      </c>
      <c r="DS114" t="e">
        <f t="shared" si="86"/>
        <v>#REF!</v>
      </c>
      <c r="DT114" t="e">
        <f t="shared" si="86"/>
        <v>#REF!</v>
      </c>
      <c r="DU114" t="e">
        <f t="shared" si="86"/>
        <v>#REF!</v>
      </c>
      <c r="DV114" t="e">
        <f t="shared" si="86"/>
        <v>#REF!</v>
      </c>
      <c r="DW114" t="e">
        <f t="shared" si="86"/>
        <v>#REF!</v>
      </c>
      <c r="DX114" t="e">
        <f t="shared" si="86"/>
        <v>#REF!</v>
      </c>
      <c r="DY114" t="e">
        <f t="shared" si="86"/>
        <v>#REF!</v>
      </c>
      <c r="DZ114" t="e">
        <f t="shared" si="63"/>
        <v>#REF!</v>
      </c>
      <c r="EA114" t="e">
        <f t="shared" si="63"/>
        <v>#REF!</v>
      </c>
      <c r="EB114" t="e">
        <f t="shared" si="63"/>
        <v>#REF!</v>
      </c>
      <c r="EC114" t="e">
        <f t="shared" si="63"/>
        <v>#REF!</v>
      </c>
      <c r="ED114" t="e">
        <f t="shared" si="75"/>
        <v>#REF!</v>
      </c>
      <c r="EE114" t="e">
        <f t="shared" si="75"/>
        <v>#REF!</v>
      </c>
      <c r="EF114" t="e">
        <f t="shared" si="75"/>
        <v>#REF!</v>
      </c>
      <c r="EG114" t="e">
        <f t="shared" si="75"/>
        <v>#REF!</v>
      </c>
      <c r="EH114" t="e">
        <f t="shared" si="75"/>
        <v>#REF!</v>
      </c>
      <c r="EI114" t="e">
        <f t="shared" si="75"/>
        <v>#REF!</v>
      </c>
      <c r="EJ114" t="e">
        <f t="shared" si="75"/>
        <v>#REF!</v>
      </c>
      <c r="EK114" t="e">
        <f t="shared" si="75"/>
        <v>#REF!</v>
      </c>
      <c r="EL114" t="e">
        <f t="shared" si="75"/>
        <v>#REF!</v>
      </c>
      <c r="EM114" t="e">
        <f t="shared" si="75"/>
        <v>#REF!</v>
      </c>
    </row>
    <row r="115" spans="1:143" x14ac:dyDescent="0.4">
      <c r="A115" t="str">
        <f t="shared" si="51"/>
        <v>X</v>
      </c>
      <c r="B115">
        <v>112</v>
      </c>
      <c r="C115" t="e" cm="1">
        <f t="array" ref="C115">INDEX(auto_Series_Code,B115)</f>
        <v>#REF!</v>
      </c>
      <c r="D115" t="e">
        <f t="shared" si="81"/>
        <v>#REF!</v>
      </c>
      <c r="E115" t="e">
        <f t="shared" si="81"/>
        <v>#REF!</v>
      </c>
      <c r="F115" t="e">
        <f t="shared" si="81"/>
        <v>#REF!</v>
      </c>
      <c r="G115" t="e">
        <f t="shared" si="81"/>
        <v>#REF!</v>
      </c>
      <c r="H115" t="e">
        <f t="shared" si="81"/>
        <v>#REF!</v>
      </c>
      <c r="I115" t="e">
        <f t="shared" si="81"/>
        <v>#REF!</v>
      </c>
      <c r="J115" t="e">
        <f t="shared" si="81"/>
        <v>#REF!</v>
      </c>
      <c r="K115" t="e">
        <f t="shared" si="81"/>
        <v>#REF!</v>
      </c>
      <c r="L115" t="e">
        <f t="shared" si="81"/>
        <v>#REF!</v>
      </c>
      <c r="M115" t="e">
        <f t="shared" si="81"/>
        <v>#REF!</v>
      </c>
      <c r="N115" t="e">
        <f t="shared" si="81"/>
        <v>#REF!</v>
      </c>
      <c r="O115" t="e">
        <f t="shared" si="81"/>
        <v>#REF!</v>
      </c>
      <c r="P115" t="e">
        <f t="shared" si="81"/>
        <v>#REF!</v>
      </c>
      <c r="Q115" t="e">
        <f t="shared" si="81"/>
        <v>#REF!</v>
      </c>
      <c r="R115" t="e">
        <f t="shared" si="81"/>
        <v>#REF!</v>
      </c>
      <c r="S115" t="e">
        <f t="shared" si="81"/>
        <v>#REF!</v>
      </c>
      <c r="T115" t="e">
        <f t="shared" si="80"/>
        <v>#REF!</v>
      </c>
      <c r="U115" t="e">
        <f t="shared" si="80"/>
        <v>#REF!</v>
      </c>
      <c r="V115" t="e">
        <f t="shared" si="80"/>
        <v>#REF!</v>
      </c>
      <c r="W115" t="e">
        <f t="shared" si="80"/>
        <v>#REF!</v>
      </c>
      <c r="X115" t="e">
        <f t="shared" si="80"/>
        <v>#REF!</v>
      </c>
      <c r="Y115" t="e">
        <f t="shared" si="80"/>
        <v>#REF!</v>
      </c>
      <c r="Z115" t="e">
        <f t="shared" si="80"/>
        <v>#REF!</v>
      </c>
      <c r="AA115" t="e">
        <f t="shared" si="80"/>
        <v>#REF!</v>
      </c>
      <c r="AB115" t="e">
        <f t="shared" si="80"/>
        <v>#REF!</v>
      </c>
      <c r="AC115" t="e">
        <f t="shared" si="80"/>
        <v>#REF!</v>
      </c>
      <c r="AD115" t="e">
        <f t="shared" si="80"/>
        <v>#REF!</v>
      </c>
      <c r="AE115" t="e">
        <f t="shared" si="80"/>
        <v>#REF!</v>
      </c>
      <c r="AF115" t="e">
        <f t="shared" si="80"/>
        <v>#REF!</v>
      </c>
      <c r="AG115" t="e">
        <f t="shared" si="80"/>
        <v>#REF!</v>
      </c>
      <c r="AH115" t="e">
        <f t="shared" si="68"/>
        <v>#REF!</v>
      </c>
      <c r="AI115" t="e">
        <f t="shared" si="68"/>
        <v>#REF!</v>
      </c>
      <c r="AJ115" t="e">
        <f t="shared" si="68"/>
        <v>#REF!</v>
      </c>
      <c r="AK115" t="e">
        <f t="shared" si="68"/>
        <v>#REF!</v>
      </c>
      <c r="AL115" t="e">
        <f t="shared" si="68"/>
        <v>#REF!</v>
      </c>
      <c r="AM115" t="e">
        <f t="shared" si="68"/>
        <v>#REF!</v>
      </c>
      <c r="AN115" t="e">
        <f t="shared" si="68"/>
        <v>#REF!</v>
      </c>
      <c r="AO115" t="e">
        <f t="shared" si="68"/>
        <v>#REF!</v>
      </c>
      <c r="AP115" t="e">
        <f t="shared" si="68"/>
        <v>#REF!</v>
      </c>
      <c r="AQ115" t="e">
        <f t="shared" si="68"/>
        <v>#REF!</v>
      </c>
      <c r="AR115" t="e">
        <f t="shared" si="67"/>
        <v>#REF!</v>
      </c>
      <c r="AS115" t="e">
        <f t="shared" si="67"/>
        <v>#REF!</v>
      </c>
      <c r="AT115" t="e">
        <f t="shared" si="67"/>
        <v>#REF!</v>
      </c>
      <c r="AU115" t="e">
        <f t="shared" si="67"/>
        <v>#REF!</v>
      </c>
      <c r="AV115" t="e">
        <f t="shared" si="67"/>
        <v>#REF!</v>
      </c>
      <c r="AW115" t="e">
        <f t="shared" si="67"/>
        <v>#REF!</v>
      </c>
      <c r="AX115" t="e">
        <f t="shared" si="67"/>
        <v>#REF!</v>
      </c>
      <c r="AY115" t="e">
        <f t="shared" si="85"/>
        <v>#REF!</v>
      </c>
      <c r="AZ115" t="e">
        <f t="shared" si="85"/>
        <v>#REF!</v>
      </c>
      <c r="BA115" t="e">
        <f t="shared" si="85"/>
        <v>#REF!</v>
      </c>
      <c r="BB115" t="e">
        <f t="shared" si="84"/>
        <v>#REF!</v>
      </c>
      <c r="BC115" t="e">
        <f t="shared" si="84"/>
        <v>#REF!</v>
      </c>
      <c r="BD115" t="e">
        <f t="shared" si="84"/>
        <v>#REF!</v>
      </c>
      <c r="BE115" t="e">
        <f t="shared" si="84"/>
        <v>#REF!</v>
      </c>
      <c r="BF115" t="e">
        <f t="shared" si="84"/>
        <v>#REF!</v>
      </c>
      <c r="BG115" t="e">
        <f t="shared" si="84"/>
        <v>#REF!</v>
      </c>
      <c r="BH115" t="e">
        <f t="shared" si="84"/>
        <v>#REF!</v>
      </c>
      <c r="BI115" t="e">
        <f t="shared" si="84"/>
        <v>#REF!</v>
      </c>
      <c r="BJ115" t="e">
        <f t="shared" si="84"/>
        <v>#REF!</v>
      </c>
      <c r="BK115" t="e">
        <f t="shared" si="84"/>
        <v>#REF!</v>
      </c>
      <c r="BL115" t="e">
        <f t="shared" si="83"/>
        <v>#REF!</v>
      </c>
      <c r="BM115" t="e">
        <f t="shared" si="83"/>
        <v>#REF!</v>
      </c>
      <c r="BN115" t="e">
        <f t="shared" si="83"/>
        <v>#REF!</v>
      </c>
      <c r="BO115" t="e">
        <f t="shared" si="83"/>
        <v>#REF!</v>
      </c>
      <c r="BP115" t="e">
        <f t="shared" si="83"/>
        <v>#REF!</v>
      </c>
      <c r="BQ115" t="e">
        <f t="shared" si="83"/>
        <v>#REF!</v>
      </c>
      <c r="BR115" t="e">
        <f t="shared" si="83"/>
        <v>#REF!</v>
      </c>
      <c r="BS115" t="e">
        <f t="shared" si="83"/>
        <v>#REF!</v>
      </c>
      <c r="BT115" t="e">
        <f t="shared" si="83"/>
        <v>#REF!</v>
      </c>
      <c r="BU115" t="e">
        <f t="shared" si="83"/>
        <v>#REF!</v>
      </c>
      <c r="BV115" t="e">
        <f t="shared" si="77"/>
        <v>#REF!</v>
      </c>
      <c r="BW115" t="e">
        <f t="shared" si="77"/>
        <v>#REF!</v>
      </c>
      <c r="BX115" t="e">
        <f t="shared" si="77"/>
        <v>#REF!</v>
      </c>
      <c r="BY115" t="e">
        <f t="shared" si="77"/>
        <v>#REF!</v>
      </c>
      <c r="BZ115" t="e">
        <f t="shared" si="77"/>
        <v>#REF!</v>
      </c>
      <c r="CA115" t="e">
        <f t="shared" si="77"/>
        <v>#REF!</v>
      </c>
      <c r="CB115" t="e">
        <f t="shared" si="77"/>
        <v>#REF!</v>
      </c>
      <c r="CC115" t="e">
        <f t="shared" si="77"/>
        <v>#REF!</v>
      </c>
      <c r="CD115" t="e">
        <f t="shared" si="77"/>
        <v>#REF!</v>
      </c>
      <c r="CE115" t="e">
        <f t="shared" si="77"/>
        <v>#REF!</v>
      </c>
      <c r="CF115" t="e">
        <f t="shared" si="71"/>
        <v>#REF!</v>
      </c>
      <c r="CG115" t="e">
        <f t="shared" si="71"/>
        <v>#REF!</v>
      </c>
      <c r="CH115" t="e">
        <f t="shared" si="71"/>
        <v>#REF!</v>
      </c>
      <c r="CI115" t="e">
        <f t="shared" si="71"/>
        <v>#REF!</v>
      </c>
      <c r="CJ115" t="e">
        <f t="shared" si="71"/>
        <v>#REF!</v>
      </c>
      <c r="CK115" t="e">
        <f t="shared" si="71"/>
        <v>#REF!</v>
      </c>
      <c r="CL115" t="e">
        <f t="shared" si="71"/>
        <v>#REF!</v>
      </c>
      <c r="CM115" t="e">
        <f t="shared" si="71"/>
        <v>#REF!</v>
      </c>
      <c r="CN115" t="e">
        <f t="shared" si="71"/>
        <v>#REF!</v>
      </c>
      <c r="CO115" t="e">
        <f t="shared" si="71"/>
        <v>#REF!</v>
      </c>
      <c r="CP115" t="e">
        <f t="shared" si="70"/>
        <v>#REF!</v>
      </c>
      <c r="CQ115" t="e">
        <f t="shared" si="70"/>
        <v>#REF!</v>
      </c>
      <c r="CR115" t="e">
        <f t="shared" si="70"/>
        <v>#REF!</v>
      </c>
      <c r="CS115" t="e">
        <f t="shared" si="70"/>
        <v>#REF!</v>
      </c>
      <c r="CT115" t="e">
        <f t="shared" si="70"/>
        <v>#REF!</v>
      </c>
      <c r="CU115" t="e">
        <f t="shared" si="70"/>
        <v>#REF!</v>
      </c>
      <c r="CV115" t="e">
        <f t="shared" si="70"/>
        <v>#REF!</v>
      </c>
      <c r="CW115" t="e">
        <f t="shared" si="70"/>
        <v>#REF!</v>
      </c>
      <c r="CX115" t="e">
        <f t="shared" si="87"/>
        <v>#REF!</v>
      </c>
      <c r="CY115" t="e">
        <f t="shared" si="87"/>
        <v>#REF!</v>
      </c>
      <c r="CZ115" t="e">
        <f t="shared" si="87"/>
        <v>#REF!</v>
      </c>
      <c r="DA115" t="e">
        <f t="shared" si="87"/>
        <v>#REF!</v>
      </c>
      <c r="DB115" t="e">
        <f t="shared" si="87"/>
        <v>#REF!</v>
      </c>
      <c r="DC115" t="e">
        <f t="shared" si="87"/>
        <v>#REF!</v>
      </c>
      <c r="DD115" t="e">
        <f t="shared" si="87"/>
        <v>#REF!</v>
      </c>
      <c r="DE115" t="e">
        <f t="shared" si="87"/>
        <v>#REF!</v>
      </c>
      <c r="DF115" t="e">
        <f t="shared" si="87"/>
        <v>#REF!</v>
      </c>
      <c r="DG115" t="e">
        <f t="shared" si="87"/>
        <v>#REF!</v>
      </c>
      <c r="DH115" t="e">
        <f t="shared" si="87"/>
        <v>#REF!</v>
      </c>
      <c r="DI115" t="e">
        <f t="shared" si="87"/>
        <v>#REF!</v>
      </c>
      <c r="DJ115" t="e">
        <f t="shared" si="87"/>
        <v>#REF!</v>
      </c>
      <c r="DK115" t="e">
        <f t="shared" si="87"/>
        <v>#REF!</v>
      </c>
      <c r="DL115" t="e">
        <f t="shared" si="87"/>
        <v>#REF!</v>
      </c>
      <c r="DM115" t="e">
        <f t="shared" si="87"/>
        <v>#REF!</v>
      </c>
      <c r="DN115" t="e">
        <f t="shared" si="86"/>
        <v>#REF!</v>
      </c>
      <c r="DO115" t="e">
        <f t="shared" si="86"/>
        <v>#REF!</v>
      </c>
      <c r="DP115" t="e">
        <f t="shared" si="86"/>
        <v>#REF!</v>
      </c>
      <c r="DQ115" t="e">
        <f t="shared" si="86"/>
        <v>#REF!</v>
      </c>
      <c r="DR115" t="e">
        <f t="shared" si="86"/>
        <v>#REF!</v>
      </c>
      <c r="DS115" t="e">
        <f t="shared" si="86"/>
        <v>#REF!</v>
      </c>
      <c r="DT115" t="e">
        <f t="shared" si="86"/>
        <v>#REF!</v>
      </c>
      <c r="DU115" t="e">
        <f t="shared" si="86"/>
        <v>#REF!</v>
      </c>
      <c r="DV115" t="e">
        <f t="shared" si="86"/>
        <v>#REF!</v>
      </c>
      <c r="DW115" t="e">
        <f t="shared" si="86"/>
        <v>#REF!</v>
      </c>
      <c r="DX115" t="e">
        <f t="shared" si="86"/>
        <v>#REF!</v>
      </c>
      <c r="DY115" t="e">
        <f t="shared" si="86"/>
        <v>#REF!</v>
      </c>
      <c r="DZ115" t="e">
        <f t="shared" si="63"/>
        <v>#REF!</v>
      </c>
      <c r="EA115" t="e">
        <f t="shared" si="63"/>
        <v>#REF!</v>
      </c>
      <c r="EB115" t="e">
        <f t="shared" si="63"/>
        <v>#REF!</v>
      </c>
      <c r="EC115" t="e">
        <f t="shared" si="63"/>
        <v>#REF!</v>
      </c>
      <c r="ED115" t="e">
        <f t="shared" si="75"/>
        <v>#REF!</v>
      </c>
      <c r="EE115" t="e">
        <f t="shared" si="75"/>
        <v>#REF!</v>
      </c>
      <c r="EF115" t="e">
        <f t="shared" si="75"/>
        <v>#REF!</v>
      </c>
      <c r="EG115" t="e">
        <f t="shared" si="75"/>
        <v>#REF!</v>
      </c>
      <c r="EH115" t="e">
        <f t="shared" si="75"/>
        <v>#REF!</v>
      </c>
      <c r="EI115" t="e">
        <f t="shared" si="75"/>
        <v>#REF!</v>
      </c>
      <c r="EJ115" t="e">
        <f t="shared" si="75"/>
        <v>#REF!</v>
      </c>
      <c r="EK115" t="e">
        <f t="shared" si="75"/>
        <v>#REF!</v>
      </c>
      <c r="EL115" t="e">
        <f t="shared" si="75"/>
        <v>#REF!</v>
      </c>
      <c r="EM115" t="e">
        <f t="shared" si="75"/>
        <v>#REF!</v>
      </c>
    </row>
    <row r="116" spans="1:143" x14ac:dyDescent="0.4">
      <c r="A116" t="str">
        <f t="shared" si="51"/>
        <v>X</v>
      </c>
      <c r="B116">
        <v>113</v>
      </c>
      <c r="C116" t="e" cm="1">
        <f t="array" ref="C116">INDEX(auto_Series_Code,B116)</f>
        <v>#REF!</v>
      </c>
      <c r="D116" t="e">
        <f t="shared" si="81"/>
        <v>#REF!</v>
      </c>
      <c r="E116" t="e">
        <f t="shared" si="81"/>
        <v>#REF!</v>
      </c>
      <c r="F116" t="e">
        <f t="shared" si="81"/>
        <v>#REF!</v>
      </c>
      <c r="G116" t="e">
        <f t="shared" si="81"/>
        <v>#REF!</v>
      </c>
      <c r="H116" t="e">
        <f t="shared" si="81"/>
        <v>#REF!</v>
      </c>
      <c r="I116" t="e">
        <f t="shared" si="81"/>
        <v>#REF!</v>
      </c>
      <c r="J116" t="e">
        <f t="shared" si="81"/>
        <v>#REF!</v>
      </c>
      <c r="K116" t="e">
        <f t="shared" si="81"/>
        <v>#REF!</v>
      </c>
      <c r="L116" t="e">
        <f t="shared" si="81"/>
        <v>#REF!</v>
      </c>
      <c r="M116" t="e">
        <f t="shared" si="81"/>
        <v>#REF!</v>
      </c>
      <c r="N116" t="e">
        <f t="shared" si="81"/>
        <v>#REF!</v>
      </c>
      <c r="O116" t="e">
        <f t="shared" si="81"/>
        <v>#REF!</v>
      </c>
      <c r="P116" t="e">
        <f t="shared" si="81"/>
        <v>#REF!</v>
      </c>
      <c r="Q116" t="e">
        <f t="shared" si="81"/>
        <v>#REF!</v>
      </c>
      <c r="R116" t="e">
        <f t="shared" si="81"/>
        <v>#REF!</v>
      </c>
      <c r="S116" t="e">
        <f t="shared" si="81"/>
        <v>#REF!</v>
      </c>
      <c r="T116" t="e">
        <f t="shared" si="80"/>
        <v>#REF!</v>
      </c>
      <c r="U116" t="e">
        <f t="shared" si="80"/>
        <v>#REF!</v>
      </c>
      <c r="V116" t="e">
        <f t="shared" si="80"/>
        <v>#REF!</v>
      </c>
      <c r="W116" t="e">
        <f t="shared" si="80"/>
        <v>#REF!</v>
      </c>
      <c r="X116" t="e">
        <f t="shared" si="80"/>
        <v>#REF!</v>
      </c>
      <c r="Y116" t="e">
        <f t="shared" si="80"/>
        <v>#REF!</v>
      </c>
      <c r="Z116" t="e">
        <f t="shared" si="80"/>
        <v>#REF!</v>
      </c>
      <c r="AA116" t="e">
        <f t="shared" si="80"/>
        <v>#REF!</v>
      </c>
      <c r="AB116" t="e">
        <f t="shared" si="80"/>
        <v>#REF!</v>
      </c>
      <c r="AC116" t="e">
        <f t="shared" si="80"/>
        <v>#REF!</v>
      </c>
      <c r="AD116" t="e">
        <f t="shared" si="80"/>
        <v>#REF!</v>
      </c>
      <c r="AE116" t="e">
        <f t="shared" si="80"/>
        <v>#REF!</v>
      </c>
      <c r="AF116" t="e">
        <f t="shared" si="80"/>
        <v>#REF!</v>
      </c>
      <c r="AG116" t="e">
        <f t="shared" si="80"/>
        <v>#REF!</v>
      </c>
      <c r="AH116" t="e">
        <f t="shared" si="68"/>
        <v>#REF!</v>
      </c>
      <c r="AI116" t="e">
        <f t="shared" si="68"/>
        <v>#REF!</v>
      </c>
      <c r="AJ116" t="e">
        <f t="shared" si="68"/>
        <v>#REF!</v>
      </c>
      <c r="AK116" t="e">
        <f t="shared" ref="AK116:AQ116" si="88">MATCH(CONCATENATE(AK$3,"_",$C116),auto_DataFlat_UID,0)</f>
        <v>#REF!</v>
      </c>
      <c r="AL116" t="e">
        <f t="shared" si="88"/>
        <v>#REF!</v>
      </c>
      <c r="AM116" t="e">
        <f t="shared" si="88"/>
        <v>#REF!</v>
      </c>
      <c r="AN116" t="e">
        <f t="shared" si="88"/>
        <v>#REF!</v>
      </c>
      <c r="AO116" t="e">
        <f t="shared" si="88"/>
        <v>#REF!</v>
      </c>
      <c r="AP116" t="e">
        <f t="shared" si="88"/>
        <v>#REF!</v>
      </c>
      <c r="AQ116" t="e">
        <f t="shared" si="88"/>
        <v>#REF!</v>
      </c>
      <c r="AR116" t="e">
        <f t="shared" si="67"/>
        <v>#REF!</v>
      </c>
      <c r="AS116" t="e">
        <f t="shared" si="67"/>
        <v>#REF!</v>
      </c>
      <c r="AT116" t="e">
        <f t="shared" si="67"/>
        <v>#REF!</v>
      </c>
      <c r="AU116" t="e">
        <f t="shared" si="67"/>
        <v>#REF!</v>
      </c>
      <c r="AV116" t="e">
        <f t="shared" si="67"/>
        <v>#REF!</v>
      </c>
      <c r="AW116" t="e">
        <f t="shared" si="67"/>
        <v>#REF!</v>
      </c>
      <c r="AX116" t="e">
        <f t="shared" si="67"/>
        <v>#REF!</v>
      </c>
      <c r="AY116" t="e">
        <f t="shared" si="85"/>
        <v>#REF!</v>
      </c>
      <c r="AZ116" t="e">
        <f t="shared" si="85"/>
        <v>#REF!</v>
      </c>
      <c r="BA116" t="e">
        <f t="shared" si="85"/>
        <v>#REF!</v>
      </c>
      <c r="BB116" t="e">
        <f t="shared" si="84"/>
        <v>#REF!</v>
      </c>
      <c r="BC116" t="e">
        <f t="shared" si="84"/>
        <v>#REF!</v>
      </c>
      <c r="BD116" t="e">
        <f t="shared" si="84"/>
        <v>#REF!</v>
      </c>
      <c r="BE116" t="e">
        <f t="shared" si="84"/>
        <v>#REF!</v>
      </c>
      <c r="BF116" t="e">
        <f t="shared" si="84"/>
        <v>#REF!</v>
      </c>
      <c r="BG116" t="e">
        <f t="shared" si="84"/>
        <v>#REF!</v>
      </c>
      <c r="BH116" t="e">
        <f t="shared" si="84"/>
        <v>#REF!</v>
      </c>
      <c r="BI116" t="e">
        <f t="shared" si="84"/>
        <v>#REF!</v>
      </c>
      <c r="BJ116" t="e">
        <f t="shared" si="84"/>
        <v>#REF!</v>
      </c>
      <c r="BK116" t="e">
        <f t="shared" si="84"/>
        <v>#REF!</v>
      </c>
      <c r="BL116" t="e">
        <f t="shared" si="83"/>
        <v>#REF!</v>
      </c>
      <c r="BM116" t="e">
        <f t="shared" si="83"/>
        <v>#REF!</v>
      </c>
      <c r="BN116" t="e">
        <f t="shared" si="83"/>
        <v>#REF!</v>
      </c>
      <c r="BO116" t="e">
        <f t="shared" si="83"/>
        <v>#REF!</v>
      </c>
      <c r="BP116" t="e">
        <f t="shared" si="83"/>
        <v>#REF!</v>
      </c>
      <c r="BQ116" t="e">
        <f t="shared" si="83"/>
        <v>#REF!</v>
      </c>
      <c r="BR116" t="e">
        <f t="shared" si="83"/>
        <v>#REF!</v>
      </c>
      <c r="BS116" t="e">
        <f t="shared" si="83"/>
        <v>#REF!</v>
      </c>
      <c r="BT116" t="e">
        <f t="shared" si="83"/>
        <v>#REF!</v>
      </c>
      <c r="BU116" t="e">
        <f t="shared" si="83"/>
        <v>#REF!</v>
      </c>
      <c r="BV116" t="e">
        <f t="shared" si="77"/>
        <v>#REF!</v>
      </c>
      <c r="BW116" t="e">
        <f t="shared" si="77"/>
        <v>#REF!</v>
      </c>
      <c r="BX116" t="e">
        <f t="shared" si="77"/>
        <v>#REF!</v>
      </c>
      <c r="BY116" t="e">
        <f t="shared" si="77"/>
        <v>#REF!</v>
      </c>
      <c r="BZ116" t="e">
        <f t="shared" si="77"/>
        <v>#REF!</v>
      </c>
      <c r="CA116" t="e">
        <f t="shared" si="77"/>
        <v>#REF!</v>
      </c>
      <c r="CB116" t="e">
        <f t="shared" si="77"/>
        <v>#REF!</v>
      </c>
      <c r="CC116" t="e">
        <f t="shared" si="77"/>
        <v>#REF!</v>
      </c>
      <c r="CD116" t="e">
        <f t="shared" si="77"/>
        <v>#REF!</v>
      </c>
      <c r="CE116" t="e">
        <f t="shared" si="77"/>
        <v>#REF!</v>
      </c>
      <c r="CF116" t="e">
        <f t="shared" si="71"/>
        <v>#REF!</v>
      </c>
      <c r="CG116" t="e">
        <f t="shared" si="71"/>
        <v>#REF!</v>
      </c>
      <c r="CH116" t="e">
        <f t="shared" si="71"/>
        <v>#REF!</v>
      </c>
      <c r="CI116" t="e">
        <f t="shared" si="71"/>
        <v>#REF!</v>
      </c>
      <c r="CJ116" t="e">
        <f t="shared" si="71"/>
        <v>#REF!</v>
      </c>
      <c r="CK116" t="e">
        <f t="shared" si="71"/>
        <v>#REF!</v>
      </c>
      <c r="CL116" t="e">
        <f t="shared" si="71"/>
        <v>#REF!</v>
      </c>
      <c r="CM116" t="e">
        <f t="shared" si="71"/>
        <v>#REF!</v>
      </c>
      <c r="CN116" t="e">
        <f t="shared" si="71"/>
        <v>#REF!</v>
      </c>
      <c r="CO116" t="e">
        <f t="shared" si="71"/>
        <v>#REF!</v>
      </c>
      <c r="CP116" t="e">
        <f t="shared" si="70"/>
        <v>#REF!</v>
      </c>
      <c r="CQ116" t="e">
        <f t="shared" si="70"/>
        <v>#REF!</v>
      </c>
      <c r="CR116" t="e">
        <f t="shared" si="70"/>
        <v>#REF!</v>
      </c>
      <c r="CS116" t="e">
        <f t="shared" si="70"/>
        <v>#REF!</v>
      </c>
      <c r="CT116" t="e">
        <f t="shared" si="70"/>
        <v>#REF!</v>
      </c>
      <c r="CU116" t="e">
        <f t="shared" si="70"/>
        <v>#REF!</v>
      </c>
      <c r="CV116" t="e">
        <f t="shared" si="70"/>
        <v>#REF!</v>
      </c>
      <c r="CW116" t="e">
        <f t="shared" si="70"/>
        <v>#REF!</v>
      </c>
      <c r="CX116" t="e">
        <f t="shared" si="87"/>
        <v>#REF!</v>
      </c>
      <c r="CY116" t="e">
        <f t="shared" si="87"/>
        <v>#REF!</v>
      </c>
      <c r="CZ116" t="e">
        <f t="shared" si="87"/>
        <v>#REF!</v>
      </c>
      <c r="DA116" t="e">
        <f t="shared" si="87"/>
        <v>#REF!</v>
      </c>
      <c r="DB116" t="e">
        <f t="shared" si="87"/>
        <v>#REF!</v>
      </c>
      <c r="DC116" t="e">
        <f t="shared" si="87"/>
        <v>#REF!</v>
      </c>
      <c r="DD116" t="e">
        <f t="shared" si="87"/>
        <v>#REF!</v>
      </c>
      <c r="DE116" t="e">
        <f t="shared" si="87"/>
        <v>#REF!</v>
      </c>
      <c r="DF116" t="e">
        <f t="shared" si="87"/>
        <v>#REF!</v>
      </c>
      <c r="DG116" t="e">
        <f t="shared" si="87"/>
        <v>#REF!</v>
      </c>
      <c r="DH116" t="e">
        <f t="shared" si="87"/>
        <v>#REF!</v>
      </c>
      <c r="DI116" t="e">
        <f t="shared" si="87"/>
        <v>#REF!</v>
      </c>
      <c r="DJ116" t="e">
        <f t="shared" si="87"/>
        <v>#REF!</v>
      </c>
      <c r="DK116" t="e">
        <f t="shared" si="87"/>
        <v>#REF!</v>
      </c>
      <c r="DL116" t="e">
        <f t="shared" si="87"/>
        <v>#REF!</v>
      </c>
      <c r="DM116" t="e">
        <f t="shared" si="87"/>
        <v>#REF!</v>
      </c>
      <c r="DN116" t="e">
        <f t="shared" si="86"/>
        <v>#REF!</v>
      </c>
      <c r="DO116" t="e">
        <f t="shared" si="86"/>
        <v>#REF!</v>
      </c>
      <c r="DP116" t="e">
        <f t="shared" si="86"/>
        <v>#REF!</v>
      </c>
      <c r="DQ116" t="e">
        <f t="shared" si="86"/>
        <v>#REF!</v>
      </c>
      <c r="DR116" t="e">
        <f t="shared" si="86"/>
        <v>#REF!</v>
      </c>
      <c r="DS116" t="e">
        <f t="shared" si="86"/>
        <v>#REF!</v>
      </c>
      <c r="DT116" t="e">
        <f t="shared" si="86"/>
        <v>#REF!</v>
      </c>
      <c r="DU116" t="e">
        <f t="shared" si="86"/>
        <v>#REF!</v>
      </c>
      <c r="DV116" t="e">
        <f t="shared" si="86"/>
        <v>#REF!</v>
      </c>
      <c r="DW116" t="e">
        <f t="shared" si="86"/>
        <v>#REF!</v>
      </c>
      <c r="DX116" t="e">
        <f t="shared" si="86"/>
        <v>#REF!</v>
      </c>
      <c r="DY116" t="e">
        <f t="shared" si="86"/>
        <v>#REF!</v>
      </c>
      <c r="DZ116" t="e">
        <f t="shared" si="63"/>
        <v>#REF!</v>
      </c>
      <c r="EA116" t="e">
        <f t="shared" si="63"/>
        <v>#REF!</v>
      </c>
      <c r="EB116" t="e">
        <f t="shared" si="63"/>
        <v>#REF!</v>
      </c>
      <c r="EC116" t="e">
        <f t="shared" si="63"/>
        <v>#REF!</v>
      </c>
      <c r="ED116" t="e">
        <f t="shared" si="75"/>
        <v>#REF!</v>
      </c>
      <c r="EE116" t="e">
        <f t="shared" si="75"/>
        <v>#REF!</v>
      </c>
      <c r="EF116" t="e">
        <f t="shared" si="75"/>
        <v>#REF!</v>
      </c>
      <c r="EG116" t="e">
        <f t="shared" si="75"/>
        <v>#REF!</v>
      </c>
      <c r="EH116" t="e">
        <f t="shared" si="75"/>
        <v>#REF!</v>
      </c>
      <c r="EI116" t="e">
        <f t="shared" si="75"/>
        <v>#REF!</v>
      </c>
      <c r="EJ116" t="e">
        <f t="shared" si="75"/>
        <v>#REF!</v>
      </c>
      <c r="EK116" t="e">
        <f t="shared" si="75"/>
        <v>#REF!</v>
      </c>
      <c r="EL116" t="e">
        <f t="shared" si="75"/>
        <v>#REF!</v>
      </c>
      <c r="EM116" t="e">
        <f t="shared" si="75"/>
        <v>#REF!</v>
      </c>
    </row>
    <row r="117" spans="1:143" x14ac:dyDescent="0.4">
      <c r="A117" t="str">
        <f t="shared" si="51"/>
        <v>X</v>
      </c>
      <c r="B117">
        <v>114</v>
      </c>
      <c r="C117" t="e" cm="1">
        <f t="array" ref="C117">INDEX(auto_Series_Code,B117)</f>
        <v>#REF!</v>
      </c>
      <c r="D117" t="e">
        <f t="shared" si="81"/>
        <v>#REF!</v>
      </c>
      <c r="E117" t="e">
        <f t="shared" si="81"/>
        <v>#REF!</v>
      </c>
      <c r="F117" t="e">
        <f t="shared" si="81"/>
        <v>#REF!</v>
      </c>
      <c r="G117" t="e">
        <f t="shared" si="81"/>
        <v>#REF!</v>
      </c>
      <c r="H117" t="e">
        <f t="shared" si="81"/>
        <v>#REF!</v>
      </c>
      <c r="I117" t="e">
        <f t="shared" si="81"/>
        <v>#REF!</v>
      </c>
      <c r="J117" t="e">
        <f t="shared" si="81"/>
        <v>#REF!</v>
      </c>
      <c r="K117" t="e">
        <f t="shared" si="81"/>
        <v>#REF!</v>
      </c>
      <c r="L117" t="e">
        <f t="shared" si="81"/>
        <v>#REF!</v>
      </c>
      <c r="M117" t="e">
        <f t="shared" si="81"/>
        <v>#REF!</v>
      </c>
      <c r="N117" t="e">
        <f t="shared" si="81"/>
        <v>#REF!</v>
      </c>
      <c r="O117" t="e">
        <f t="shared" si="81"/>
        <v>#REF!</v>
      </c>
      <c r="P117" t="e">
        <f t="shared" si="81"/>
        <v>#REF!</v>
      </c>
      <c r="Q117" t="e">
        <f t="shared" si="81"/>
        <v>#REF!</v>
      </c>
      <c r="R117" t="e">
        <f t="shared" si="81"/>
        <v>#REF!</v>
      </c>
      <c r="S117" t="e">
        <f t="shared" si="81"/>
        <v>#REF!</v>
      </c>
      <c r="T117" t="e">
        <f t="shared" si="80"/>
        <v>#REF!</v>
      </c>
      <c r="U117" t="e">
        <f t="shared" si="80"/>
        <v>#REF!</v>
      </c>
      <c r="V117" t="e">
        <f t="shared" si="80"/>
        <v>#REF!</v>
      </c>
      <c r="W117" t="e">
        <f t="shared" si="80"/>
        <v>#REF!</v>
      </c>
      <c r="X117" t="e">
        <f t="shared" si="80"/>
        <v>#REF!</v>
      </c>
      <c r="Y117" t="e">
        <f t="shared" si="80"/>
        <v>#REF!</v>
      </c>
      <c r="Z117" t="e">
        <f t="shared" si="80"/>
        <v>#REF!</v>
      </c>
      <c r="AA117" t="e">
        <f t="shared" si="80"/>
        <v>#REF!</v>
      </c>
      <c r="AB117" t="e">
        <f t="shared" si="80"/>
        <v>#REF!</v>
      </c>
      <c r="AC117" t="e">
        <f t="shared" si="80"/>
        <v>#REF!</v>
      </c>
      <c r="AD117" t="e">
        <f t="shared" si="80"/>
        <v>#REF!</v>
      </c>
      <c r="AE117" t="e">
        <f t="shared" si="80"/>
        <v>#REF!</v>
      </c>
      <c r="AF117" t="e">
        <f t="shared" si="80"/>
        <v>#REF!</v>
      </c>
      <c r="AG117" t="e">
        <f t="shared" si="80"/>
        <v>#REF!</v>
      </c>
      <c r="AH117" t="e">
        <f t="shared" si="80"/>
        <v>#REF!</v>
      </c>
      <c r="AI117" t="e">
        <f t="shared" ref="AI117:AX145" si="89">MATCH(CONCATENATE(AI$3,"_",$C117),auto_DataFlat_UID,0)</f>
        <v>#REF!</v>
      </c>
      <c r="AJ117" t="e">
        <f t="shared" si="89"/>
        <v>#REF!</v>
      </c>
      <c r="AK117" t="e">
        <f t="shared" si="89"/>
        <v>#REF!</v>
      </c>
      <c r="AL117" t="e">
        <f t="shared" si="89"/>
        <v>#REF!</v>
      </c>
      <c r="AM117" t="e">
        <f t="shared" si="89"/>
        <v>#REF!</v>
      </c>
      <c r="AN117" t="e">
        <f t="shared" si="89"/>
        <v>#REF!</v>
      </c>
      <c r="AO117" t="e">
        <f t="shared" si="89"/>
        <v>#REF!</v>
      </c>
      <c r="AP117" t="e">
        <f t="shared" si="89"/>
        <v>#REF!</v>
      </c>
      <c r="AQ117" t="e">
        <f t="shared" si="89"/>
        <v>#REF!</v>
      </c>
      <c r="AR117" t="e">
        <f t="shared" si="67"/>
        <v>#REF!</v>
      </c>
      <c r="AS117" t="e">
        <f t="shared" si="67"/>
        <v>#REF!</v>
      </c>
      <c r="AT117" t="e">
        <f t="shared" si="67"/>
        <v>#REF!</v>
      </c>
      <c r="AU117" t="e">
        <f t="shared" si="67"/>
        <v>#REF!</v>
      </c>
      <c r="AV117" t="e">
        <f t="shared" si="67"/>
        <v>#REF!</v>
      </c>
      <c r="AW117" t="e">
        <f t="shared" si="67"/>
        <v>#REF!</v>
      </c>
      <c r="AX117" t="e">
        <f t="shared" si="67"/>
        <v>#REF!</v>
      </c>
      <c r="AY117" t="e">
        <f t="shared" si="85"/>
        <v>#REF!</v>
      </c>
      <c r="AZ117" t="e">
        <f t="shared" si="85"/>
        <v>#REF!</v>
      </c>
      <c r="BA117" t="e">
        <f t="shared" si="85"/>
        <v>#REF!</v>
      </c>
      <c r="BB117" t="e">
        <f t="shared" si="84"/>
        <v>#REF!</v>
      </c>
      <c r="BC117" t="e">
        <f t="shared" si="84"/>
        <v>#REF!</v>
      </c>
      <c r="BD117" t="e">
        <f t="shared" si="84"/>
        <v>#REF!</v>
      </c>
      <c r="BE117" t="e">
        <f t="shared" si="84"/>
        <v>#REF!</v>
      </c>
      <c r="BF117" t="e">
        <f t="shared" si="84"/>
        <v>#REF!</v>
      </c>
      <c r="BG117" t="e">
        <f t="shared" si="84"/>
        <v>#REF!</v>
      </c>
      <c r="BH117" t="e">
        <f t="shared" si="84"/>
        <v>#REF!</v>
      </c>
      <c r="BI117" t="e">
        <f t="shared" si="84"/>
        <v>#REF!</v>
      </c>
      <c r="BJ117" t="e">
        <f t="shared" si="84"/>
        <v>#REF!</v>
      </c>
      <c r="BK117" t="e">
        <f t="shared" si="84"/>
        <v>#REF!</v>
      </c>
      <c r="BL117" t="e">
        <f t="shared" si="83"/>
        <v>#REF!</v>
      </c>
      <c r="BM117" t="e">
        <f t="shared" si="83"/>
        <v>#REF!</v>
      </c>
      <c r="BN117" t="e">
        <f t="shared" si="83"/>
        <v>#REF!</v>
      </c>
      <c r="BO117" t="e">
        <f t="shared" si="83"/>
        <v>#REF!</v>
      </c>
      <c r="BP117" t="e">
        <f t="shared" si="83"/>
        <v>#REF!</v>
      </c>
      <c r="BQ117" t="e">
        <f t="shared" si="83"/>
        <v>#REF!</v>
      </c>
      <c r="BR117" t="e">
        <f t="shared" si="83"/>
        <v>#REF!</v>
      </c>
      <c r="BS117" t="e">
        <f t="shared" si="83"/>
        <v>#REF!</v>
      </c>
      <c r="BT117" t="e">
        <f t="shared" si="83"/>
        <v>#REF!</v>
      </c>
      <c r="BU117" t="e">
        <f t="shared" si="83"/>
        <v>#REF!</v>
      </c>
      <c r="BV117" t="e">
        <f t="shared" si="77"/>
        <v>#REF!</v>
      </c>
      <c r="BW117" t="e">
        <f t="shared" si="77"/>
        <v>#REF!</v>
      </c>
      <c r="BX117" t="e">
        <f t="shared" si="77"/>
        <v>#REF!</v>
      </c>
      <c r="BY117" t="e">
        <f t="shared" si="77"/>
        <v>#REF!</v>
      </c>
      <c r="BZ117" t="e">
        <f t="shared" si="77"/>
        <v>#REF!</v>
      </c>
      <c r="CA117" t="e">
        <f t="shared" si="77"/>
        <v>#REF!</v>
      </c>
      <c r="CB117" t="e">
        <f t="shared" si="77"/>
        <v>#REF!</v>
      </c>
      <c r="CC117" t="e">
        <f t="shared" si="77"/>
        <v>#REF!</v>
      </c>
      <c r="CD117" t="e">
        <f t="shared" si="77"/>
        <v>#REF!</v>
      </c>
      <c r="CE117" t="e">
        <f t="shared" si="77"/>
        <v>#REF!</v>
      </c>
      <c r="CF117" t="e">
        <f t="shared" si="77"/>
        <v>#REF!</v>
      </c>
      <c r="CG117" t="e">
        <f t="shared" si="77"/>
        <v>#REF!</v>
      </c>
      <c r="CH117" t="e">
        <f t="shared" si="77"/>
        <v>#REF!</v>
      </c>
      <c r="CI117" t="e">
        <f t="shared" si="77"/>
        <v>#REF!</v>
      </c>
      <c r="CJ117" t="e">
        <f t="shared" ref="CJ117:CO120" si="90">MATCH(CONCATENATE(CJ$3,"_",$C117),auto_DataFlat_UID,0)</f>
        <v>#REF!</v>
      </c>
      <c r="CK117" t="e">
        <f t="shared" si="90"/>
        <v>#REF!</v>
      </c>
      <c r="CL117" t="e">
        <f t="shared" si="90"/>
        <v>#REF!</v>
      </c>
      <c r="CM117" t="e">
        <f t="shared" si="90"/>
        <v>#REF!</v>
      </c>
      <c r="CN117" t="e">
        <f t="shared" si="90"/>
        <v>#REF!</v>
      </c>
      <c r="CO117" t="e">
        <f t="shared" si="90"/>
        <v>#REF!</v>
      </c>
      <c r="CP117" t="e">
        <f t="shared" si="70"/>
        <v>#REF!</v>
      </c>
      <c r="CQ117" t="e">
        <f t="shared" si="70"/>
        <v>#REF!</v>
      </c>
      <c r="CR117" t="e">
        <f t="shared" si="70"/>
        <v>#REF!</v>
      </c>
      <c r="CS117" t="e">
        <f t="shared" si="70"/>
        <v>#REF!</v>
      </c>
      <c r="CT117" t="e">
        <f t="shared" si="70"/>
        <v>#REF!</v>
      </c>
      <c r="CU117" t="e">
        <f t="shared" si="70"/>
        <v>#REF!</v>
      </c>
      <c r="CV117" t="e">
        <f t="shared" si="70"/>
        <v>#REF!</v>
      </c>
      <c r="CW117" t="e">
        <f t="shared" si="70"/>
        <v>#REF!</v>
      </c>
      <c r="CX117" t="e">
        <f t="shared" si="87"/>
        <v>#REF!</v>
      </c>
      <c r="CY117" t="e">
        <f t="shared" si="87"/>
        <v>#REF!</v>
      </c>
      <c r="CZ117" t="e">
        <f t="shared" si="87"/>
        <v>#REF!</v>
      </c>
      <c r="DA117" t="e">
        <f t="shared" si="87"/>
        <v>#REF!</v>
      </c>
      <c r="DB117" t="e">
        <f t="shared" si="87"/>
        <v>#REF!</v>
      </c>
      <c r="DC117" t="e">
        <f t="shared" si="87"/>
        <v>#REF!</v>
      </c>
      <c r="DD117" t="e">
        <f t="shared" si="87"/>
        <v>#REF!</v>
      </c>
      <c r="DE117" t="e">
        <f t="shared" si="87"/>
        <v>#REF!</v>
      </c>
      <c r="DF117" t="e">
        <f t="shared" si="87"/>
        <v>#REF!</v>
      </c>
      <c r="DG117" t="e">
        <f t="shared" si="87"/>
        <v>#REF!</v>
      </c>
      <c r="DH117" t="e">
        <f t="shared" si="87"/>
        <v>#REF!</v>
      </c>
      <c r="DI117" t="e">
        <f t="shared" si="87"/>
        <v>#REF!</v>
      </c>
      <c r="DJ117" t="e">
        <f t="shared" si="87"/>
        <v>#REF!</v>
      </c>
      <c r="DK117" t="e">
        <f t="shared" si="87"/>
        <v>#REF!</v>
      </c>
      <c r="DL117" t="e">
        <f t="shared" si="87"/>
        <v>#REF!</v>
      </c>
      <c r="DM117" t="e">
        <f t="shared" si="87"/>
        <v>#REF!</v>
      </c>
      <c r="DN117" t="e">
        <f t="shared" si="86"/>
        <v>#REF!</v>
      </c>
      <c r="DO117" t="e">
        <f t="shared" si="86"/>
        <v>#REF!</v>
      </c>
      <c r="DP117" t="e">
        <f t="shared" si="86"/>
        <v>#REF!</v>
      </c>
      <c r="DQ117" t="e">
        <f t="shared" si="86"/>
        <v>#REF!</v>
      </c>
      <c r="DR117" t="e">
        <f t="shared" si="86"/>
        <v>#REF!</v>
      </c>
      <c r="DS117" t="e">
        <f t="shared" si="86"/>
        <v>#REF!</v>
      </c>
      <c r="DT117" t="e">
        <f t="shared" si="86"/>
        <v>#REF!</v>
      </c>
      <c r="DU117" t="e">
        <f t="shared" si="86"/>
        <v>#REF!</v>
      </c>
      <c r="DV117" t="e">
        <f t="shared" si="86"/>
        <v>#REF!</v>
      </c>
      <c r="DW117" t="e">
        <f t="shared" si="86"/>
        <v>#REF!</v>
      </c>
      <c r="DX117" t="e">
        <f t="shared" si="86"/>
        <v>#REF!</v>
      </c>
      <c r="DY117" t="e">
        <f t="shared" si="86"/>
        <v>#REF!</v>
      </c>
      <c r="DZ117" t="e">
        <f t="shared" si="63"/>
        <v>#REF!</v>
      </c>
      <c r="EA117" t="e">
        <f t="shared" si="63"/>
        <v>#REF!</v>
      </c>
      <c r="EB117" t="e">
        <f t="shared" si="63"/>
        <v>#REF!</v>
      </c>
      <c r="EC117" t="e">
        <f t="shared" si="63"/>
        <v>#REF!</v>
      </c>
      <c r="ED117" t="e">
        <f t="shared" si="75"/>
        <v>#REF!</v>
      </c>
      <c r="EE117" t="e">
        <f t="shared" si="75"/>
        <v>#REF!</v>
      </c>
      <c r="EF117" t="e">
        <f t="shared" si="75"/>
        <v>#REF!</v>
      </c>
      <c r="EG117" t="e">
        <f t="shared" si="75"/>
        <v>#REF!</v>
      </c>
      <c r="EH117" t="e">
        <f t="shared" si="75"/>
        <v>#REF!</v>
      </c>
      <c r="EI117" t="e">
        <f t="shared" si="75"/>
        <v>#REF!</v>
      </c>
      <c r="EJ117" t="e">
        <f t="shared" si="75"/>
        <v>#REF!</v>
      </c>
      <c r="EK117" t="e">
        <f t="shared" si="75"/>
        <v>#REF!</v>
      </c>
      <c r="EL117" t="e">
        <f t="shared" si="75"/>
        <v>#REF!</v>
      </c>
      <c r="EM117" t="e">
        <f t="shared" si="75"/>
        <v>#REF!</v>
      </c>
    </row>
    <row r="118" spans="1:143" x14ac:dyDescent="0.4">
      <c r="A118" t="str">
        <f t="shared" si="51"/>
        <v>X</v>
      </c>
      <c r="B118">
        <v>115</v>
      </c>
      <c r="C118" t="e" cm="1">
        <f t="array" ref="C118">INDEX(auto_Series_Code,B118)</f>
        <v>#REF!</v>
      </c>
      <c r="D118" t="e">
        <f t="shared" si="81"/>
        <v>#REF!</v>
      </c>
      <c r="E118" t="e">
        <f t="shared" si="81"/>
        <v>#REF!</v>
      </c>
      <c r="F118" t="e">
        <f t="shared" si="81"/>
        <v>#REF!</v>
      </c>
      <c r="G118" t="e">
        <f t="shared" si="81"/>
        <v>#REF!</v>
      </c>
      <c r="H118" t="e">
        <f t="shared" si="81"/>
        <v>#REF!</v>
      </c>
      <c r="I118" t="e">
        <f t="shared" si="81"/>
        <v>#REF!</v>
      </c>
      <c r="J118" t="e">
        <f t="shared" si="81"/>
        <v>#REF!</v>
      </c>
      <c r="K118" t="e">
        <f t="shared" si="81"/>
        <v>#REF!</v>
      </c>
      <c r="L118" t="e">
        <f t="shared" si="81"/>
        <v>#REF!</v>
      </c>
      <c r="M118" t="e">
        <f t="shared" si="81"/>
        <v>#REF!</v>
      </c>
      <c r="N118" t="e">
        <f t="shared" si="81"/>
        <v>#REF!</v>
      </c>
      <c r="O118" t="e">
        <f t="shared" si="81"/>
        <v>#REF!</v>
      </c>
      <c r="P118" t="e">
        <f t="shared" si="81"/>
        <v>#REF!</v>
      </c>
      <c r="Q118" t="e">
        <f t="shared" si="81"/>
        <v>#REF!</v>
      </c>
      <c r="R118" t="e">
        <f t="shared" si="81"/>
        <v>#REF!</v>
      </c>
      <c r="S118" t="e">
        <f t="shared" si="81"/>
        <v>#REF!</v>
      </c>
      <c r="T118" t="e">
        <f t="shared" si="80"/>
        <v>#REF!</v>
      </c>
      <c r="U118" t="e">
        <f t="shared" si="80"/>
        <v>#REF!</v>
      </c>
      <c r="V118" t="e">
        <f t="shared" si="80"/>
        <v>#REF!</v>
      </c>
      <c r="W118" t="e">
        <f t="shared" si="80"/>
        <v>#REF!</v>
      </c>
      <c r="X118" t="e">
        <f t="shared" si="80"/>
        <v>#REF!</v>
      </c>
      <c r="Y118" t="e">
        <f t="shared" si="80"/>
        <v>#REF!</v>
      </c>
      <c r="Z118" t="e">
        <f t="shared" si="80"/>
        <v>#REF!</v>
      </c>
      <c r="AA118" t="e">
        <f t="shared" si="80"/>
        <v>#REF!</v>
      </c>
      <c r="AB118" t="e">
        <f t="shared" si="80"/>
        <v>#REF!</v>
      </c>
      <c r="AC118" t="e">
        <f t="shared" si="80"/>
        <v>#REF!</v>
      </c>
      <c r="AD118" t="e">
        <f t="shared" si="80"/>
        <v>#REF!</v>
      </c>
      <c r="AE118" t="e">
        <f t="shared" si="80"/>
        <v>#REF!</v>
      </c>
      <c r="AF118" t="e">
        <f t="shared" si="80"/>
        <v>#REF!</v>
      </c>
      <c r="AG118" t="e">
        <f t="shared" si="80"/>
        <v>#REF!</v>
      </c>
      <c r="AH118" t="e">
        <f t="shared" si="80"/>
        <v>#REF!</v>
      </c>
      <c r="AI118" t="e">
        <f t="shared" si="89"/>
        <v>#REF!</v>
      </c>
      <c r="AJ118" t="e">
        <f t="shared" si="89"/>
        <v>#REF!</v>
      </c>
      <c r="AK118" t="e">
        <f t="shared" si="89"/>
        <v>#REF!</v>
      </c>
      <c r="AL118" t="e">
        <f t="shared" si="89"/>
        <v>#REF!</v>
      </c>
      <c r="AM118" t="e">
        <f t="shared" si="89"/>
        <v>#REF!</v>
      </c>
      <c r="AN118" t="e">
        <f t="shared" si="89"/>
        <v>#REF!</v>
      </c>
      <c r="AO118" t="e">
        <f t="shared" si="89"/>
        <v>#REF!</v>
      </c>
      <c r="AP118" t="e">
        <f t="shared" si="89"/>
        <v>#REF!</v>
      </c>
      <c r="AQ118" t="e">
        <f t="shared" si="89"/>
        <v>#REF!</v>
      </c>
      <c r="AR118" t="e">
        <f t="shared" si="67"/>
        <v>#REF!</v>
      </c>
      <c r="AS118" t="e">
        <f t="shared" si="67"/>
        <v>#REF!</v>
      </c>
      <c r="AT118" t="e">
        <f t="shared" si="67"/>
        <v>#REF!</v>
      </c>
      <c r="AU118" t="e">
        <f t="shared" si="67"/>
        <v>#REF!</v>
      </c>
      <c r="AV118" t="e">
        <f t="shared" si="67"/>
        <v>#REF!</v>
      </c>
      <c r="AW118" t="e">
        <f t="shared" si="67"/>
        <v>#REF!</v>
      </c>
      <c r="AX118" t="e">
        <f t="shared" si="67"/>
        <v>#REF!</v>
      </c>
      <c r="AY118" t="e">
        <f t="shared" si="85"/>
        <v>#REF!</v>
      </c>
      <c r="AZ118" t="e">
        <f t="shared" si="85"/>
        <v>#REF!</v>
      </c>
      <c r="BA118" t="e">
        <f t="shared" si="85"/>
        <v>#REF!</v>
      </c>
      <c r="BB118" t="e">
        <f t="shared" si="84"/>
        <v>#REF!</v>
      </c>
      <c r="BC118" t="e">
        <f t="shared" si="84"/>
        <v>#REF!</v>
      </c>
      <c r="BD118" t="e">
        <f t="shared" si="84"/>
        <v>#REF!</v>
      </c>
      <c r="BE118" t="e">
        <f t="shared" si="84"/>
        <v>#REF!</v>
      </c>
      <c r="BF118" t="e">
        <f t="shared" si="84"/>
        <v>#REF!</v>
      </c>
      <c r="BG118" t="e">
        <f t="shared" si="84"/>
        <v>#REF!</v>
      </c>
      <c r="BH118" t="e">
        <f t="shared" si="84"/>
        <v>#REF!</v>
      </c>
      <c r="BI118" t="e">
        <f t="shared" si="84"/>
        <v>#REF!</v>
      </c>
      <c r="BJ118" t="e">
        <f t="shared" si="84"/>
        <v>#REF!</v>
      </c>
      <c r="BK118" t="e">
        <f t="shared" si="84"/>
        <v>#REF!</v>
      </c>
      <c r="BL118" t="e">
        <f t="shared" si="83"/>
        <v>#REF!</v>
      </c>
      <c r="BM118" t="e">
        <f t="shared" si="83"/>
        <v>#REF!</v>
      </c>
      <c r="BN118" t="e">
        <f t="shared" si="83"/>
        <v>#REF!</v>
      </c>
      <c r="BO118" t="e">
        <f t="shared" si="83"/>
        <v>#REF!</v>
      </c>
      <c r="BP118" t="e">
        <f t="shared" si="83"/>
        <v>#REF!</v>
      </c>
      <c r="BQ118" t="e">
        <f t="shared" si="83"/>
        <v>#REF!</v>
      </c>
      <c r="BR118" t="e">
        <f t="shared" si="83"/>
        <v>#REF!</v>
      </c>
      <c r="BS118" t="e">
        <f t="shared" si="83"/>
        <v>#REF!</v>
      </c>
      <c r="BT118" t="e">
        <f t="shared" si="83"/>
        <v>#REF!</v>
      </c>
      <c r="BU118" t="e">
        <f t="shared" si="83"/>
        <v>#REF!</v>
      </c>
      <c r="BV118" t="e">
        <f t="shared" si="77"/>
        <v>#REF!</v>
      </c>
      <c r="BW118" t="e">
        <f t="shared" si="77"/>
        <v>#REF!</v>
      </c>
      <c r="BX118" t="e">
        <f t="shared" si="77"/>
        <v>#REF!</v>
      </c>
      <c r="BY118" t="e">
        <f t="shared" si="77"/>
        <v>#REF!</v>
      </c>
      <c r="BZ118" t="e">
        <f t="shared" si="77"/>
        <v>#REF!</v>
      </c>
      <c r="CA118" t="e">
        <f t="shared" si="77"/>
        <v>#REF!</v>
      </c>
      <c r="CB118" t="e">
        <f t="shared" si="77"/>
        <v>#REF!</v>
      </c>
      <c r="CC118" t="e">
        <f t="shared" si="77"/>
        <v>#REF!</v>
      </c>
      <c r="CD118" t="e">
        <f t="shared" si="77"/>
        <v>#REF!</v>
      </c>
      <c r="CE118" t="e">
        <f t="shared" si="77"/>
        <v>#REF!</v>
      </c>
      <c r="CF118" t="e">
        <f t="shared" si="77"/>
        <v>#REF!</v>
      </c>
      <c r="CG118" t="e">
        <f t="shared" si="77"/>
        <v>#REF!</v>
      </c>
      <c r="CH118" t="e">
        <f t="shared" si="77"/>
        <v>#REF!</v>
      </c>
      <c r="CI118" t="e">
        <f t="shared" si="77"/>
        <v>#REF!</v>
      </c>
      <c r="CJ118" t="e">
        <f t="shared" si="90"/>
        <v>#REF!</v>
      </c>
      <c r="CK118" t="e">
        <f t="shared" si="90"/>
        <v>#REF!</v>
      </c>
      <c r="CL118" t="e">
        <f t="shared" si="90"/>
        <v>#REF!</v>
      </c>
      <c r="CM118" t="e">
        <f t="shared" si="90"/>
        <v>#REF!</v>
      </c>
      <c r="CN118" t="e">
        <f t="shared" si="90"/>
        <v>#REF!</v>
      </c>
      <c r="CO118" t="e">
        <f t="shared" si="90"/>
        <v>#REF!</v>
      </c>
      <c r="CP118" t="e">
        <f t="shared" si="70"/>
        <v>#REF!</v>
      </c>
      <c r="CQ118" t="e">
        <f t="shared" si="70"/>
        <v>#REF!</v>
      </c>
      <c r="CR118" t="e">
        <f t="shared" si="70"/>
        <v>#REF!</v>
      </c>
      <c r="CS118" t="e">
        <f t="shared" si="70"/>
        <v>#REF!</v>
      </c>
      <c r="CT118" t="e">
        <f t="shared" si="70"/>
        <v>#REF!</v>
      </c>
      <c r="CU118" t="e">
        <f t="shared" si="70"/>
        <v>#REF!</v>
      </c>
      <c r="CV118" t="e">
        <f t="shared" si="70"/>
        <v>#REF!</v>
      </c>
      <c r="CW118" t="e">
        <f t="shared" si="70"/>
        <v>#REF!</v>
      </c>
      <c r="CX118" t="e">
        <f t="shared" si="87"/>
        <v>#REF!</v>
      </c>
      <c r="CY118" t="e">
        <f t="shared" si="87"/>
        <v>#REF!</v>
      </c>
      <c r="CZ118" t="e">
        <f t="shared" si="87"/>
        <v>#REF!</v>
      </c>
      <c r="DA118" t="e">
        <f t="shared" si="87"/>
        <v>#REF!</v>
      </c>
      <c r="DB118" t="e">
        <f t="shared" si="87"/>
        <v>#REF!</v>
      </c>
      <c r="DC118" t="e">
        <f t="shared" si="87"/>
        <v>#REF!</v>
      </c>
      <c r="DD118" t="e">
        <f t="shared" si="87"/>
        <v>#REF!</v>
      </c>
      <c r="DE118" t="e">
        <f t="shared" si="87"/>
        <v>#REF!</v>
      </c>
      <c r="DF118" t="e">
        <f t="shared" si="87"/>
        <v>#REF!</v>
      </c>
      <c r="DG118" t="e">
        <f t="shared" si="87"/>
        <v>#REF!</v>
      </c>
      <c r="DH118" t="e">
        <f t="shared" si="87"/>
        <v>#REF!</v>
      </c>
      <c r="DI118" t="e">
        <f t="shared" si="87"/>
        <v>#REF!</v>
      </c>
      <c r="DJ118" t="e">
        <f t="shared" si="87"/>
        <v>#REF!</v>
      </c>
      <c r="DK118" t="e">
        <f t="shared" si="87"/>
        <v>#REF!</v>
      </c>
      <c r="DL118" t="e">
        <f t="shared" si="87"/>
        <v>#REF!</v>
      </c>
      <c r="DM118" t="e">
        <f t="shared" si="87"/>
        <v>#REF!</v>
      </c>
      <c r="DN118" t="e">
        <f t="shared" si="86"/>
        <v>#REF!</v>
      </c>
      <c r="DO118" t="e">
        <f t="shared" si="86"/>
        <v>#REF!</v>
      </c>
      <c r="DP118" t="e">
        <f t="shared" si="86"/>
        <v>#REF!</v>
      </c>
      <c r="DQ118" t="e">
        <f t="shared" si="86"/>
        <v>#REF!</v>
      </c>
      <c r="DR118" t="e">
        <f t="shared" si="86"/>
        <v>#REF!</v>
      </c>
      <c r="DS118" t="e">
        <f t="shared" si="86"/>
        <v>#REF!</v>
      </c>
      <c r="DT118" t="e">
        <f t="shared" si="86"/>
        <v>#REF!</v>
      </c>
      <c r="DU118" t="e">
        <f t="shared" si="86"/>
        <v>#REF!</v>
      </c>
      <c r="DV118" t="e">
        <f t="shared" si="86"/>
        <v>#REF!</v>
      </c>
      <c r="DW118" t="e">
        <f t="shared" si="86"/>
        <v>#REF!</v>
      </c>
      <c r="DX118" t="e">
        <f t="shared" si="86"/>
        <v>#REF!</v>
      </c>
      <c r="DY118" t="e">
        <f t="shared" si="86"/>
        <v>#REF!</v>
      </c>
      <c r="DZ118" t="e">
        <f t="shared" si="63"/>
        <v>#REF!</v>
      </c>
      <c r="EA118" t="e">
        <f t="shared" si="63"/>
        <v>#REF!</v>
      </c>
      <c r="EB118" t="e">
        <f t="shared" si="63"/>
        <v>#REF!</v>
      </c>
      <c r="EC118" t="e">
        <f t="shared" si="63"/>
        <v>#REF!</v>
      </c>
      <c r="ED118" t="e">
        <f t="shared" si="75"/>
        <v>#REF!</v>
      </c>
      <c r="EE118" t="e">
        <f t="shared" si="75"/>
        <v>#REF!</v>
      </c>
      <c r="EF118" t="e">
        <f t="shared" si="75"/>
        <v>#REF!</v>
      </c>
      <c r="EG118" t="e">
        <f t="shared" si="75"/>
        <v>#REF!</v>
      </c>
      <c r="EH118" t="e">
        <f t="shared" si="75"/>
        <v>#REF!</v>
      </c>
      <c r="EI118" t="e">
        <f t="shared" si="75"/>
        <v>#REF!</v>
      </c>
      <c r="EJ118" t="e">
        <f t="shared" si="75"/>
        <v>#REF!</v>
      </c>
      <c r="EK118" t="e">
        <f t="shared" si="75"/>
        <v>#REF!</v>
      </c>
      <c r="EL118" t="e">
        <f t="shared" si="75"/>
        <v>#REF!</v>
      </c>
      <c r="EM118" t="e">
        <f t="shared" si="75"/>
        <v>#REF!</v>
      </c>
    </row>
    <row r="119" spans="1:143" x14ac:dyDescent="0.4">
      <c r="A119" t="str">
        <f t="shared" si="51"/>
        <v>X</v>
      </c>
      <c r="B119">
        <v>116</v>
      </c>
      <c r="C119" t="e" cm="1">
        <f t="array" ref="C119">INDEX(auto_Series_Code,B119)</f>
        <v>#REF!</v>
      </c>
      <c r="D119" t="e">
        <f t="shared" si="81"/>
        <v>#REF!</v>
      </c>
      <c r="E119" t="e">
        <f t="shared" si="81"/>
        <v>#REF!</v>
      </c>
      <c r="F119" t="e">
        <f t="shared" si="81"/>
        <v>#REF!</v>
      </c>
      <c r="G119" t="e">
        <f t="shared" si="81"/>
        <v>#REF!</v>
      </c>
      <c r="H119" t="e">
        <f t="shared" si="81"/>
        <v>#REF!</v>
      </c>
      <c r="I119" t="e">
        <f t="shared" si="81"/>
        <v>#REF!</v>
      </c>
      <c r="J119" t="e">
        <f t="shared" si="81"/>
        <v>#REF!</v>
      </c>
      <c r="K119" t="e">
        <f t="shared" si="81"/>
        <v>#REF!</v>
      </c>
      <c r="L119" t="e">
        <f t="shared" si="81"/>
        <v>#REF!</v>
      </c>
      <c r="M119" t="e">
        <f t="shared" si="81"/>
        <v>#REF!</v>
      </c>
      <c r="N119" t="e">
        <f t="shared" si="81"/>
        <v>#REF!</v>
      </c>
      <c r="O119" t="e">
        <f t="shared" si="81"/>
        <v>#REF!</v>
      </c>
      <c r="P119" t="e">
        <f t="shared" si="81"/>
        <v>#REF!</v>
      </c>
      <c r="Q119" t="e">
        <f t="shared" si="81"/>
        <v>#REF!</v>
      </c>
      <c r="R119" t="e">
        <f t="shared" si="81"/>
        <v>#REF!</v>
      </c>
      <c r="S119" t="e">
        <f t="shared" ref="S119:AG147" si="91">MATCH(CONCATENATE(S$3,"_",$C119),auto_DataFlat_UID,0)</f>
        <v>#REF!</v>
      </c>
      <c r="T119" t="e">
        <f t="shared" si="91"/>
        <v>#REF!</v>
      </c>
      <c r="U119" t="e">
        <f t="shared" si="91"/>
        <v>#REF!</v>
      </c>
      <c r="V119" t="e">
        <f t="shared" si="91"/>
        <v>#REF!</v>
      </c>
      <c r="W119" t="e">
        <f t="shared" si="91"/>
        <v>#REF!</v>
      </c>
      <c r="X119" t="e">
        <f t="shared" si="80"/>
        <v>#REF!</v>
      </c>
      <c r="Y119" t="e">
        <f t="shared" si="80"/>
        <v>#REF!</v>
      </c>
      <c r="Z119" t="e">
        <f t="shared" si="80"/>
        <v>#REF!</v>
      </c>
      <c r="AA119" t="e">
        <f t="shared" si="80"/>
        <v>#REF!</v>
      </c>
      <c r="AB119" t="e">
        <f t="shared" si="80"/>
        <v>#REF!</v>
      </c>
      <c r="AC119" t="e">
        <f t="shared" si="80"/>
        <v>#REF!</v>
      </c>
      <c r="AD119" t="e">
        <f t="shared" si="80"/>
        <v>#REF!</v>
      </c>
      <c r="AE119" t="e">
        <f t="shared" si="80"/>
        <v>#REF!</v>
      </c>
      <c r="AF119" t="e">
        <f t="shared" si="80"/>
        <v>#REF!</v>
      </c>
      <c r="AG119" t="e">
        <f t="shared" si="80"/>
        <v>#REF!</v>
      </c>
      <c r="AH119" t="e">
        <f t="shared" si="80"/>
        <v>#REF!</v>
      </c>
      <c r="AI119" t="e">
        <f t="shared" si="89"/>
        <v>#REF!</v>
      </c>
      <c r="AJ119" t="e">
        <f t="shared" si="89"/>
        <v>#REF!</v>
      </c>
      <c r="AK119" t="e">
        <f t="shared" si="89"/>
        <v>#REF!</v>
      </c>
      <c r="AL119" t="e">
        <f t="shared" si="89"/>
        <v>#REF!</v>
      </c>
      <c r="AM119" t="e">
        <f t="shared" si="89"/>
        <v>#REF!</v>
      </c>
      <c r="AN119" t="e">
        <f t="shared" si="89"/>
        <v>#REF!</v>
      </c>
      <c r="AO119" t="e">
        <f t="shared" si="89"/>
        <v>#REF!</v>
      </c>
      <c r="AP119" t="e">
        <f t="shared" si="89"/>
        <v>#REF!</v>
      </c>
      <c r="AQ119" t="e">
        <f t="shared" si="89"/>
        <v>#REF!</v>
      </c>
      <c r="AR119" t="e">
        <f t="shared" si="67"/>
        <v>#REF!</v>
      </c>
      <c r="AS119" t="e">
        <f t="shared" si="67"/>
        <v>#REF!</v>
      </c>
      <c r="AT119" t="e">
        <f t="shared" si="67"/>
        <v>#REF!</v>
      </c>
      <c r="AU119" t="e">
        <f t="shared" si="67"/>
        <v>#REF!</v>
      </c>
      <c r="AV119" t="e">
        <f t="shared" si="67"/>
        <v>#REF!</v>
      </c>
      <c r="AW119" t="e">
        <f t="shared" si="67"/>
        <v>#REF!</v>
      </c>
      <c r="AX119" t="e">
        <f t="shared" si="67"/>
        <v>#REF!</v>
      </c>
      <c r="AY119" t="e">
        <f t="shared" si="85"/>
        <v>#REF!</v>
      </c>
      <c r="AZ119" t="e">
        <f t="shared" si="85"/>
        <v>#REF!</v>
      </c>
      <c r="BA119" t="e">
        <f t="shared" si="85"/>
        <v>#REF!</v>
      </c>
      <c r="BB119" t="e">
        <f t="shared" si="84"/>
        <v>#REF!</v>
      </c>
      <c r="BC119" t="e">
        <f t="shared" si="84"/>
        <v>#REF!</v>
      </c>
      <c r="BD119" t="e">
        <f t="shared" si="84"/>
        <v>#REF!</v>
      </c>
      <c r="BE119" t="e">
        <f t="shared" si="84"/>
        <v>#REF!</v>
      </c>
      <c r="BF119" t="e">
        <f t="shared" si="84"/>
        <v>#REF!</v>
      </c>
      <c r="BG119" t="e">
        <f t="shared" si="84"/>
        <v>#REF!</v>
      </c>
      <c r="BH119" t="e">
        <f t="shared" si="84"/>
        <v>#REF!</v>
      </c>
      <c r="BI119" t="e">
        <f t="shared" si="84"/>
        <v>#REF!</v>
      </c>
      <c r="BJ119" t="e">
        <f t="shared" si="84"/>
        <v>#REF!</v>
      </c>
      <c r="BK119" t="e">
        <f t="shared" si="84"/>
        <v>#REF!</v>
      </c>
      <c r="BL119" t="e">
        <f t="shared" si="83"/>
        <v>#REF!</v>
      </c>
      <c r="BM119" t="e">
        <f t="shared" si="83"/>
        <v>#REF!</v>
      </c>
      <c r="BN119" t="e">
        <f t="shared" si="83"/>
        <v>#REF!</v>
      </c>
      <c r="BO119" t="e">
        <f t="shared" si="83"/>
        <v>#REF!</v>
      </c>
      <c r="BP119" t="e">
        <f t="shared" si="83"/>
        <v>#REF!</v>
      </c>
      <c r="BQ119" t="e">
        <f t="shared" si="83"/>
        <v>#REF!</v>
      </c>
      <c r="BR119" t="e">
        <f t="shared" si="83"/>
        <v>#REF!</v>
      </c>
      <c r="BS119" t="e">
        <f t="shared" si="83"/>
        <v>#REF!</v>
      </c>
      <c r="BT119" t="e">
        <f t="shared" si="83"/>
        <v>#REF!</v>
      </c>
      <c r="BU119" t="e">
        <f t="shared" si="83"/>
        <v>#REF!</v>
      </c>
      <c r="BV119" t="e">
        <f t="shared" si="77"/>
        <v>#REF!</v>
      </c>
      <c r="BW119" t="e">
        <f t="shared" si="77"/>
        <v>#REF!</v>
      </c>
      <c r="BX119" t="e">
        <f t="shared" si="77"/>
        <v>#REF!</v>
      </c>
      <c r="BY119" t="e">
        <f t="shared" si="77"/>
        <v>#REF!</v>
      </c>
      <c r="BZ119" t="e">
        <f t="shared" si="77"/>
        <v>#REF!</v>
      </c>
      <c r="CA119" t="e">
        <f t="shared" si="77"/>
        <v>#REF!</v>
      </c>
      <c r="CB119" t="e">
        <f t="shared" si="77"/>
        <v>#REF!</v>
      </c>
      <c r="CC119" t="e">
        <f t="shared" si="77"/>
        <v>#REF!</v>
      </c>
      <c r="CD119" t="e">
        <f t="shared" si="77"/>
        <v>#REF!</v>
      </c>
      <c r="CE119" t="e">
        <f t="shared" si="77"/>
        <v>#REF!</v>
      </c>
      <c r="CF119" t="e">
        <f t="shared" si="77"/>
        <v>#REF!</v>
      </c>
      <c r="CG119" t="e">
        <f t="shared" si="77"/>
        <v>#REF!</v>
      </c>
      <c r="CH119" t="e">
        <f t="shared" si="77"/>
        <v>#REF!</v>
      </c>
      <c r="CI119" t="e">
        <f t="shared" si="77"/>
        <v>#REF!</v>
      </c>
      <c r="CJ119" t="e">
        <f t="shared" si="90"/>
        <v>#REF!</v>
      </c>
      <c r="CK119" t="e">
        <f t="shared" si="90"/>
        <v>#REF!</v>
      </c>
      <c r="CL119" t="e">
        <f t="shared" si="90"/>
        <v>#REF!</v>
      </c>
      <c r="CM119" t="e">
        <f t="shared" si="90"/>
        <v>#REF!</v>
      </c>
      <c r="CN119" t="e">
        <f t="shared" si="90"/>
        <v>#REF!</v>
      </c>
      <c r="CO119" t="e">
        <f t="shared" si="90"/>
        <v>#REF!</v>
      </c>
      <c r="CP119" t="e">
        <f t="shared" si="70"/>
        <v>#REF!</v>
      </c>
      <c r="CQ119" t="e">
        <f t="shared" si="70"/>
        <v>#REF!</v>
      </c>
      <c r="CR119" t="e">
        <f t="shared" si="70"/>
        <v>#REF!</v>
      </c>
      <c r="CS119" t="e">
        <f t="shared" si="70"/>
        <v>#REF!</v>
      </c>
      <c r="CT119" t="e">
        <f t="shared" si="70"/>
        <v>#REF!</v>
      </c>
      <c r="CU119" t="e">
        <f t="shared" si="70"/>
        <v>#REF!</v>
      </c>
      <c r="CV119" t="e">
        <f t="shared" si="70"/>
        <v>#REF!</v>
      </c>
      <c r="CW119" t="e">
        <f t="shared" si="70"/>
        <v>#REF!</v>
      </c>
      <c r="CX119" t="e">
        <f t="shared" si="87"/>
        <v>#REF!</v>
      </c>
      <c r="CY119" t="e">
        <f t="shared" si="87"/>
        <v>#REF!</v>
      </c>
      <c r="CZ119" t="e">
        <f t="shared" si="87"/>
        <v>#REF!</v>
      </c>
      <c r="DA119" t="e">
        <f t="shared" si="87"/>
        <v>#REF!</v>
      </c>
      <c r="DB119" t="e">
        <f t="shared" si="87"/>
        <v>#REF!</v>
      </c>
      <c r="DC119" t="e">
        <f t="shared" si="87"/>
        <v>#REF!</v>
      </c>
      <c r="DD119" t="e">
        <f t="shared" si="87"/>
        <v>#REF!</v>
      </c>
      <c r="DE119" t="e">
        <f t="shared" si="87"/>
        <v>#REF!</v>
      </c>
      <c r="DF119" t="e">
        <f t="shared" si="87"/>
        <v>#REF!</v>
      </c>
      <c r="DG119" t="e">
        <f t="shared" si="87"/>
        <v>#REF!</v>
      </c>
      <c r="DH119" t="e">
        <f t="shared" si="87"/>
        <v>#REF!</v>
      </c>
      <c r="DI119" t="e">
        <f t="shared" si="87"/>
        <v>#REF!</v>
      </c>
      <c r="DJ119" t="e">
        <f t="shared" si="87"/>
        <v>#REF!</v>
      </c>
      <c r="DK119" t="e">
        <f t="shared" si="87"/>
        <v>#REF!</v>
      </c>
      <c r="DL119" t="e">
        <f t="shared" si="87"/>
        <v>#REF!</v>
      </c>
      <c r="DM119" t="e">
        <f t="shared" si="87"/>
        <v>#REF!</v>
      </c>
      <c r="DN119" t="e">
        <f t="shared" si="86"/>
        <v>#REF!</v>
      </c>
      <c r="DO119" t="e">
        <f t="shared" si="86"/>
        <v>#REF!</v>
      </c>
      <c r="DP119" t="e">
        <f t="shared" si="86"/>
        <v>#REF!</v>
      </c>
      <c r="DQ119" t="e">
        <f t="shared" si="86"/>
        <v>#REF!</v>
      </c>
      <c r="DR119" t="e">
        <f t="shared" si="86"/>
        <v>#REF!</v>
      </c>
      <c r="DS119" t="e">
        <f t="shared" si="86"/>
        <v>#REF!</v>
      </c>
      <c r="DT119" t="e">
        <f t="shared" si="86"/>
        <v>#REF!</v>
      </c>
      <c r="DU119" t="e">
        <f t="shared" si="86"/>
        <v>#REF!</v>
      </c>
      <c r="DV119" t="e">
        <f t="shared" si="86"/>
        <v>#REF!</v>
      </c>
      <c r="DW119" t="e">
        <f t="shared" si="86"/>
        <v>#REF!</v>
      </c>
      <c r="DX119" t="e">
        <f t="shared" si="86"/>
        <v>#REF!</v>
      </c>
      <c r="DY119" t="e">
        <f t="shared" si="86"/>
        <v>#REF!</v>
      </c>
      <c r="DZ119" t="e">
        <f t="shared" si="63"/>
        <v>#REF!</v>
      </c>
      <c r="EA119" t="e">
        <f t="shared" si="63"/>
        <v>#REF!</v>
      </c>
      <c r="EB119" t="e">
        <f t="shared" si="63"/>
        <v>#REF!</v>
      </c>
      <c r="EC119" t="e">
        <f t="shared" si="63"/>
        <v>#REF!</v>
      </c>
      <c r="ED119" t="e">
        <f t="shared" si="75"/>
        <v>#REF!</v>
      </c>
      <c r="EE119" t="e">
        <f t="shared" si="75"/>
        <v>#REF!</v>
      </c>
      <c r="EF119" t="e">
        <f t="shared" si="75"/>
        <v>#REF!</v>
      </c>
      <c r="EG119" t="e">
        <f t="shared" si="75"/>
        <v>#REF!</v>
      </c>
      <c r="EH119" t="e">
        <f t="shared" si="75"/>
        <v>#REF!</v>
      </c>
      <c r="EI119" t="e">
        <f t="shared" si="75"/>
        <v>#REF!</v>
      </c>
      <c r="EJ119" t="e">
        <f t="shared" si="75"/>
        <v>#REF!</v>
      </c>
      <c r="EK119" t="e">
        <f t="shared" si="75"/>
        <v>#REF!</v>
      </c>
      <c r="EL119" t="e">
        <f t="shared" si="75"/>
        <v>#REF!</v>
      </c>
      <c r="EM119" t="e">
        <f t="shared" si="75"/>
        <v>#REF!</v>
      </c>
    </row>
    <row r="120" spans="1:143" x14ac:dyDescent="0.4">
      <c r="A120" t="str">
        <f t="shared" si="51"/>
        <v>X</v>
      </c>
      <c r="B120">
        <v>117</v>
      </c>
      <c r="C120" t="e" cm="1">
        <f t="array" ref="C120">INDEX(auto_Series_Code,B120)</f>
        <v>#REF!</v>
      </c>
      <c r="D120" t="e">
        <f t="shared" ref="D120:S135" si="92">MATCH(CONCATENATE(D$3,"_",$C120),auto_DataFlat_UID,0)</f>
        <v>#REF!</v>
      </c>
      <c r="E120" t="e">
        <f t="shared" si="92"/>
        <v>#REF!</v>
      </c>
      <c r="F120" t="e">
        <f t="shared" si="92"/>
        <v>#REF!</v>
      </c>
      <c r="G120" t="e">
        <f t="shared" si="92"/>
        <v>#REF!</v>
      </c>
      <c r="H120" t="e">
        <f t="shared" si="92"/>
        <v>#REF!</v>
      </c>
      <c r="I120" t="e">
        <f t="shared" si="92"/>
        <v>#REF!</v>
      </c>
      <c r="J120" t="e">
        <f t="shared" si="92"/>
        <v>#REF!</v>
      </c>
      <c r="K120" t="e">
        <f t="shared" si="92"/>
        <v>#REF!</v>
      </c>
      <c r="L120" t="e">
        <f t="shared" si="92"/>
        <v>#REF!</v>
      </c>
      <c r="M120" t="e">
        <f t="shared" si="92"/>
        <v>#REF!</v>
      </c>
      <c r="N120" t="e">
        <f t="shared" si="92"/>
        <v>#REF!</v>
      </c>
      <c r="O120" t="e">
        <f t="shared" si="92"/>
        <v>#REF!</v>
      </c>
      <c r="P120" t="e">
        <f t="shared" si="92"/>
        <v>#REF!</v>
      </c>
      <c r="Q120" t="e">
        <f t="shared" si="92"/>
        <v>#REF!</v>
      </c>
      <c r="R120" t="e">
        <f t="shared" si="92"/>
        <v>#REF!</v>
      </c>
      <c r="S120" t="e">
        <f t="shared" si="92"/>
        <v>#REF!</v>
      </c>
      <c r="T120" t="e">
        <f t="shared" si="91"/>
        <v>#REF!</v>
      </c>
      <c r="U120" t="e">
        <f t="shared" si="91"/>
        <v>#REF!</v>
      </c>
      <c r="V120" t="e">
        <f t="shared" si="91"/>
        <v>#REF!</v>
      </c>
      <c r="W120" t="e">
        <f t="shared" si="91"/>
        <v>#REF!</v>
      </c>
      <c r="X120" t="e">
        <f t="shared" si="80"/>
        <v>#REF!</v>
      </c>
      <c r="Y120" t="e">
        <f t="shared" si="80"/>
        <v>#REF!</v>
      </c>
      <c r="Z120" t="e">
        <f t="shared" si="80"/>
        <v>#REF!</v>
      </c>
      <c r="AA120" t="e">
        <f t="shared" si="80"/>
        <v>#REF!</v>
      </c>
      <c r="AB120" t="e">
        <f t="shared" si="80"/>
        <v>#REF!</v>
      </c>
      <c r="AC120" t="e">
        <f t="shared" si="80"/>
        <v>#REF!</v>
      </c>
      <c r="AD120" t="e">
        <f t="shared" si="80"/>
        <v>#REF!</v>
      </c>
      <c r="AE120" t="e">
        <f t="shared" si="80"/>
        <v>#REF!</v>
      </c>
      <c r="AF120" t="e">
        <f t="shared" si="80"/>
        <v>#REF!</v>
      </c>
      <c r="AG120" t="e">
        <f t="shared" si="80"/>
        <v>#REF!</v>
      </c>
      <c r="AH120" t="e">
        <f t="shared" si="80"/>
        <v>#REF!</v>
      </c>
      <c r="AI120" t="e">
        <f t="shared" si="89"/>
        <v>#REF!</v>
      </c>
      <c r="AJ120" t="e">
        <f t="shared" si="89"/>
        <v>#REF!</v>
      </c>
      <c r="AK120" t="e">
        <f t="shared" si="89"/>
        <v>#REF!</v>
      </c>
      <c r="AL120" t="e">
        <f t="shared" si="89"/>
        <v>#REF!</v>
      </c>
      <c r="AM120" t="e">
        <f t="shared" si="89"/>
        <v>#REF!</v>
      </c>
      <c r="AN120" t="e">
        <f t="shared" si="89"/>
        <v>#REF!</v>
      </c>
      <c r="AO120" t="e">
        <f t="shared" si="89"/>
        <v>#REF!</v>
      </c>
      <c r="AP120" t="e">
        <f t="shared" si="89"/>
        <v>#REF!</v>
      </c>
      <c r="AQ120" t="e">
        <f t="shared" si="89"/>
        <v>#REF!</v>
      </c>
      <c r="AR120" t="e">
        <f t="shared" si="67"/>
        <v>#REF!</v>
      </c>
      <c r="AS120" t="e">
        <f t="shared" si="67"/>
        <v>#REF!</v>
      </c>
      <c r="AT120" t="e">
        <f t="shared" si="67"/>
        <v>#REF!</v>
      </c>
      <c r="AU120" t="e">
        <f t="shared" si="67"/>
        <v>#REF!</v>
      </c>
      <c r="AV120" t="e">
        <f t="shared" si="67"/>
        <v>#REF!</v>
      </c>
      <c r="AW120" t="e">
        <f t="shared" si="67"/>
        <v>#REF!</v>
      </c>
      <c r="AX120" t="e">
        <f t="shared" si="67"/>
        <v>#REF!</v>
      </c>
      <c r="AY120" t="e">
        <f t="shared" si="85"/>
        <v>#REF!</v>
      </c>
      <c r="AZ120" t="e">
        <f t="shared" si="85"/>
        <v>#REF!</v>
      </c>
      <c r="BA120" t="e">
        <f t="shared" si="85"/>
        <v>#REF!</v>
      </c>
      <c r="BB120" t="e">
        <f t="shared" si="84"/>
        <v>#REF!</v>
      </c>
      <c r="BC120" t="e">
        <f t="shared" si="84"/>
        <v>#REF!</v>
      </c>
      <c r="BD120" t="e">
        <f t="shared" si="84"/>
        <v>#REF!</v>
      </c>
      <c r="BE120" t="e">
        <f t="shared" si="84"/>
        <v>#REF!</v>
      </c>
      <c r="BF120" t="e">
        <f t="shared" si="84"/>
        <v>#REF!</v>
      </c>
      <c r="BG120" t="e">
        <f t="shared" si="84"/>
        <v>#REF!</v>
      </c>
      <c r="BH120" t="e">
        <f t="shared" si="84"/>
        <v>#REF!</v>
      </c>
      <c r="BI120" t="e">
        <f t="shared" si="84"/>
        <v>#REF!</v>
      </c>
      <c r="BJ120" t="e">
        <f t="shared" si="84"/>
        <v>#REF!</v>
      </c>
      <c r="BK120" t="e">
        <f t="shared" si="84"/>
        <v>#REF!</v>
      </c>
      <c r="BL120" t="e">
        <f t="shared" si="83"/>
        <v>#REF!</v>
      </c>
      <c r="BM120" t="e">
        <f t="shared" si="83"/>
        <v>#REF!</v>
      </c>
      <c r="BN120" t="e">
        <f t="shared" si="83"/>
        <v>#REF!</v>
      </c>
      <c r="BO120" t="e">
        <f t="shared" si="83"/>
        <v>#REF!</v>
      </c>
      <c r="BP120" t="e">
        <f t="shared" si="83"/>
        <v>#REF!</v>
      </c>
      <c r="BQ120" t="e">
        <f t="shared" si="83"/>
        <v>#REF!</v>
      </c>
      <c r="BR120" t="e">
        <f t="shared" si="83"/>
        <v>#REF!</v>
      </c>
      <c r="BS120" t="e">
        <f t="shared" si="83"/>
        <v>#REF!</v>
      </c>
      <c r="BT120" t="e">
        <f t="shared" si="83"/>
        <v>#REF!</v>
      </c>
      <c r="BU120" t="e">
        <f t="shared" si="83"/>
        <v>#REF!</v>
      </c>
      <c r="BV120" t="e">
        <f t="shared" si="77"/>
        <v>#REF!</v>
      </c>
      <c r="BW120" t="e">
        <f t="shared" si="77"/>
        <v>#REF!</v>
      </c>
      <c r="BX120" t="e">
        <f t="shared" si="77"/>
        <v>#REF!</v>
      </c>
      <c r="BY120" t="e">
        <f t="shared" si="77"/>
        <v>#REF!</v>
      </c>
      <c r="BZ120" t="e">
        <f t="shared" si="77"/>
        <v>#REF!</v>
      </c>
      <c r="CA120" t="e">
        <f t="shared" si="77"/>
        <v>#REF!</v>
      </c>
      <c r="CB120" t="e">
        <f t="shared" si="77"/>
        <v>#REF!</v>
      </c>
      <c r="CC120" t="e">
        <f t="shared" si="77"/>
        <v>#REF!</v>
      </c>
      <c r="CD120" t="e">
        <f t="shared" si="77"/>
        <v>#REF!</v>
      </c>
      <c r="CE120" t="e">
        <f t="shared" si="77"/>
        <v>#REF!</v>
      </c>
      <c r="CF120" t="e">
        <f t="shared" si="77"/>
        <v>#REF!</v>
      </c>
      <c r="CG120" t="e">
        <f t="shared" si="77"/>
        <v>#REF!</v>
      </c>
      <c r="CH120" t="e">
        <f t="shared" si="77"/>
        <v>#REF!</v>
      </c>
      <c r="CI120" t="e">
        <f t="shared" si="77"/>
        <v>#REF!</v>
      </c>
      <c r="CJ120" t="e">
        <f t="shared" si="90"/>
        <v>#REF!</v>
      </c>
      <c r="CK120" t="e">
        <f t="shared" si="90"/>
        <v>#REF!</v>
      </c>
      <c r="CL120" t="e">
        <f t="shared" si="90"/>
        <v>#REF!</v>
      </c>
      <c r="CM120" t="e">
        <f t="shared" si="90"/>
        <v>#REF!</v>
      </c>
      <c r="CN120" t="e">
        <f t="shared" si="90"/>
        <v>#REF!</v>
      </c>
      <c r="CO120" t="e">
        <f t="shared" si="90"/>
        <v>#REF!</v>
      </c>
      <c r="CP120" t="e">
        <f t="shared" si="70"/>
        <v>#REF!</v>
      </c>
      <c r="CQ120" t="e">
        <f t="shared" si="70"/>
        <v>#REF!</v>
      </c>
      <c r="CR120" t="e">
        <f t="shared" si="70"/>
        <v>#REF!</v>
      </c>
      <c r="CS120" t="e">
        <f t="shared" si="70"/>
        <v>#REF!</v>
      </c>
      <c r="CT120" t="e">
        <f t="shared" si="70"/>
        <v>#REF!</v>
      </c>
      <c r="CU120" t="e">
        <f t="shared" si="70"/>
        <v>#REF!</v>
      </c>
      <c r="CV120" t="e">
        <f t="shared" si="70"/>
        <v>#REF!</v>
      </c>
      <c r="CW120" t="e">
        <f t="shared" si="70"/>
        <v>#REF!</v>
      </c>
      <c r="CX120" t="e">
        <f t="shared" si="87"/>
        <v>#REF!</v>
      </c>
      <c r="CY120" t="e">
        <f t="shared" si="87"/>
        <v>#REF!</v>
      </c>
      <c r="CZ120" t="e">
        <f t="shared" si="87"/>
        <v>#REF!</v>
      </c>
      <c r="DA120" t="e">
        <f t="shared" si="87"/>
        <v>#REF!</v>
      </c>
      <c r="DB120" t="e">
        <f t="shared" si="87"/>
        <v>#REF!</v>
      </c>
      <c r="DC120" t="e">
        <f t="shared" si="87"/>
        <v>#REF!</v>
      </c>
      <c r="DD120" t="e">
        <f t="shared" si="87"/>
        <v>#REF!</v>
      </c>
      <c r="DE120" t="e">
        <f t="shared" si="87"/>
        <v>#REF!</v>
      </c>
      <c r="DF120" t="e">
        <f t="shared" si="87"/>
        <v>#REF!</v>
      </c>
      <c r="DG120" t="e">
        <f t="shared" si="87"/>
        <v>#REF!</v>
      </c>
      <c r="DH120" t="e">
        <f t="shared" si="87"/>
        <v>#REF!</v>
      </c>
      <c r="DI120" t="e">
        <f t="shared" si="87"/>
        <v>#REF!</v>
      </c>
      <c r="DJ120" t="e">
        <f t="shared" si="87"/>
        <v>#REF!</v>
      </c>
      <c r="DK120" t="e">
        <f t="shared" si="87"/>
        <v>#REF!</v>
      </c>
      <c r="DL120" t="e">
        <f t="shared" si="87"/>
        <v>#REF!</v>
      </c>
      <c r="DM120" t="e">
        <f t="shared" si="87"/>
        <v>#REF!</v>
      </c>
      <c r="DN120" t="e">
        <f t="shared" si="86"/>
        <v>#REF!</v>
      </c>
      <c r="DO120" t="e">
        <f t="shared" si="86"/>
        <v>#REF!</v>
      </c>
      <c r="DP120" t="e">
        <f t="shared" si="86"/>
        <v>#REF!</v>
      </c>
      <c r="DQ120" t="e">
        <f t="shared" si="86"/>
        <v>#REF!</v>
      </c>
      <c r="DR120" t="e">
        <f t="shared" si="86"/>
        <v>#REF!</v>
      </c>
      <c r="DS120" t="e">
        <f t="shared" si="86"/>
        <v>#REF!</v>
      </c>
      <c r="DT120" t="e">
        <f t="shared" si="86"/>
        <v>#REF!</v>
      </c>
      <c r="DU120" t="e">
        <f t="shared" si="86"/>
        <v>#REF!</v>
      </c>
      <c r="DV120" t="e">
        <f t="shared" si="86"/>
        <v>#REF!</v>
      </c>
      <c r="DW120" t="e">
        <f t="shared" si="86"/>
        <v>#REF!</v>
      </c>
      <c r="DX120" t="e">
        <f t="shared" si="86"/>
        <v>#REF!</v>
      </c>
      <c r="DY120" t="e">
        <f t="shared" si="86"/>
        <v>#REF!</v>
      </c>
      <c r="DZ120" t="e">
        <f t="shared" si="63"/>
        <v>#REF!</v>
      </c>
      <c r="EA120" t="e">
        <f t="shared" si="63"/>
        <v>#REF!</v>
      </c>
      <c r="EB120" t="e">
        <f t="shared" si="63"/>
        <v>#REF!</v>
      </c>
      <c r="EC120" t="e">
        <f t="shared" si="63"/>
        <v>#REF!</v>
      </c>
      <c r="ED120" t="e">
        <f t="shared" si="75"/>
        <v>#REF!</v>
      </c>
      <c r="EE120" t="e">
        <f t="shared" si="75"/>
        <v>#REF!</v>
      </c>
      <c r="EF120" t="e">
        <f t="shared" si="75"/>
        <v>#REF!</v>
      </c>
      <c r="EG120" t="e">
        <f t="shared" si="75"/>
        <v>#REF!</v>
      </c>
      <c r="EH120" t="e">
        <f t="shared" si="75"/>
        <v>#REF!</v>
      </c>
      <c r="EI120" t="e">
        <f t="shared" si="75"/>
        <v>#REF!</v>
      </c>
      <c r="EJ120" t="e">
        <f t="shared" si="75"/>
        <v>#REF!</v>
      </c>
      <c r="EK120" t="e">
        <f t="shared" si="75"/>
        <v>#REF!</v>
      </c>
      <c r="EL120" t="e">
        <f t="shared" si="75"/>
        <v>#REF!</v>
      </c>
      <c r="EM120" t="e">
        <f t="shared" si="75"/>
        <v>#REF!</v>
      </c>
    </row>
    <row r="121" spans="1:143" x14ac:dyDescent="0.4">
      <c r="A121" t="str">
        <f t="shared" si="51"/>
        <v>X</v>
      </c>
      <c r="B121">
        <v>118</v>
      </c>
      <c r="C121" t="e" cm="1">
        <f t="array" ref="C121">INDEX(auto_Series_Code,B121)</f>
        <v>#REF!</v>
      </c>
      <c r="D121" t="e">
        <f t="shared" si="92"/>
        <v>#REF!</v>
      </c>
      <c r="E121" t="e">
        <f t="shared" si="92"/>
        <v>#REF!</v>
      </c>
      <c r="F121" t="e">
        <f t="shared" si="92"/>
        <v>#REF!</v>
      </c>
      <c r="G121" t="e">
        <f t="shared" si="92"/>
        <v>#REF!</v>
      </c>
      <c r="H121" t="e">
        <f t="shared" si="92"/>
        <v>#REF!</v>
      </c>
      <c r="I121" t="e">
        <f t="shared" si="92"/>
        <v>#REF!</v>
      </c>
      <c r="J121" t="e">
        <f t="shared" si="92"/>
        <v>#REF!</v>
      </c>
      <c r="K121" t="e">
        <f t="shared" si="92"/>
        <v>#REF!</v>
      </c>
      <c r="L121" t="e">
        <f t="shared" si="92"/>
        <v>#REF!</v>
      </c>
      <c r="M121" t="e">
        <f t="shared" si="92"/>
        <v>#REF!</v>
      </c>
      <c r="N121" t="e">
        <f t="shared" si="92"/>
        <v>#REF!</v>
      </c>
      <c r="O121" t="e">
        <f t="shared" si="92"/>
        <v>#REF!</v>
      </c>
      <c r="P121" t="e">
        <f t="shared" si="92"/>
        <v>#REF!</v>
      </c>
      <c r="Q121" t="e">
        <f t="shared" si="92"/>
        <v>#REF!</v>
      </c>
      <c r="R121" t="e">
        <f t="shared" si="92"/>
        <v>#REF!</v>
      </c>
      <c r="S121" t="e">
        <f t="shared" si="92"/>
        <v>#REF!</v>
      </c>
      <c r="T121" t="e">
        <f t="shared" si="91"/>
        <v>#REF!</v>
      </c>
      <c r="U121" t="e">
        <f t="shared" si="91"/>
        <v>#REF!</v>
      </c>
      <c r="V121" t="e">
        <f t="shared" si="91"/>
        <v>#REF!</v>
      </c>
      <c r="W121" t="e">
        <f t="shared" si="91"/>
        <v>#REF!</v>
      </c>
      <c r="X121" t="e">
        <f t="shared" si="80"/>
        <v>#REF!</v>
      </c>
      <c r="Y121" t="e">
        <f t="shared" si="80"/>
        <v>#REF!</v>
      </c>
      <c r="Z121" t="e">
        <f t="shared" si="80"/>
        <v>#REF!</v>
      </c>
      <c r="AA121" t="e">
        <f t="shared" si="80"/>
        <v>#REF!</v>
      </c>
      <c r="AB121" t="e">
        <f t="shared" si="80"/>
        <v>#REF!</v>
      </c>
      <c r="AC121" t="e">
        <f t="shared" si="80"/>
        <v>#REF!</v>
      </c>
      <c r="AD121" t="e">
        <f t="shared" si="80"/>
        <v>#REF!</v>
      </c>
      <c r="AE121" t="e">
        <f t="shared" si="80"/>
        <v>#REF!</v>
      </c>
      <c r="AF121" t="e">
        <f t="shared" si="80"/>
        <v>#REF!</v>
      </c>
      <c r="AG121" t="e">
        <f t="shared" si="80"/>
        <v>#REF!</v>
      </c>
      <c r="AH121" t="e">
        <f t="shared" si="80"/>
        <v>#REF!</v>
      </c>
      <c r="AI121" t="e">
        <f t="shared" si="89"/>
        <v>#REF!</v>
      </c>
      <c r="AJ121" t="e">
        <f t="shared" si="89"/>
        <v>#REF!</v>
      </c>
      <c r="AK121" t="e">
        <f t="shared" si="89"/>
        <v>#REF!</v>
      </c>
      <c r="AL121" t="e">
        <f t="shared" si="89"/>
        <v>#REF!</v>
      </c>
      <c r="AM121" t="e">
        <f t="shared" si="89"/>
        <v>#REF!</v>
      </c>
      <c r="AN121" t="e">
        <f t="shared" si="89"/>
        <v>#REF!</v>
      </c>
      <c r="AO121" t="e">
        <f t="shared" si="89"/>
        <v>#REF!</v>
      </c>
      <c r="AP121" t="e">
        <f t="shared" si="89"/>
        <v>#REF!</v>
      </c>
      <c r="AQ121" t="e">
        <f t="shared" si="89"/>
        <v>#REF!</v>
      </c>
      <c r="AR121" t="e">
        <f t="shared" si="67"/>
        <v>#REF!</v>
      </c>
      <c r="AS121" t="e">
        <f t="shared" si="67"/>
        <v>#REF!</v>
      </c>
      <c r="AT121" t="e">
        <f t="shared" si="67"/>
        <v>#REF!</v>
      </c>
      <c r="AU121" t="e">
        <f t="shared" si="67"/>
        <v>#REF!</v>
      </c>
      <c r="AV121" t="e">
        <f t="shared" si="67"/>
        <v>#REF!</v>
      </c>
      <c r="AW121" t="e">
        <f t="shared" si="67"/>
        <v>#REF!</v>
      </c>
      <c r="AX121" t="e">
        <f t="shared" si="67"/>
        <v>#REF!</v>
      </c>
      <c r="AY121" t="e">
        <f t="shared" si="85"/>
        <v>#REF!</v>
      </c>
      <c r="AZ121" t="e">
        <f t="shared" si="85"/>
        <v>#REF!</v>
      </c>
      <c r="BA121" t="e">
        <f t="shared" si="85"/>
        <v>#REF!</v>
      </c>
      <c r="BB121" t="e">
        <f t="shared" si="84"/>
        <v>#REF!</v>
      </c>
      <c r="BC121" t="e">
        <f t="shared" si="84"/>
        <v>#REF!</v>
      </c>
      <c r="BD121" t="e">
        <f t="shared" si="84"/>
        <v>#REF!</v>
      </c>
      <c r="BE121" t="e">
        <f t="shared" si="84"/>
        <v>#REF!</v>
      </c>
      <c r="BF121" t="e">
        <f t="shared" si="84"/>
        <v>#REF!</v>
      </c>
      <c r="BG121" t="e">
        <f t="shared" si="84"/>
        <v>#REF!</v>
      </c>
      <c r="BH121" t="e">
        <f t="shared" si="84"/>
        <v>#REF!</v>
      </c>
      <c r="BI121" t="e">
        <f t="shared" si="84"/>
        <v>#REF!</v>
      </c>
      <c r="BJ121" t="e">
        <f t="shared" si="84"/>
        <v>#REF!</v>
      </c>
      <c r="BK121" t="e">
        <f t="shared" si="84"/>
        <v>#REF!</v>
      </c>
      <c r="BL121" t="e">
        <f t="shared" si="83"/>
        <v>#REF!</v>
      </c>
      <c r="BM121" t="e">
        <f t="shared" si="83"/>
        <v>#REF!</v>
      </c>
      <c r="BN121" t="e">
        <f t="shared" si="83"/>
        <v>#REF!</v>
      </c>
      <c r="BO121" t="e">
        <f t="shared" si="83"/>
        <v>#REF!</v>
      </c>
      <c r="BP121" t="e">
        <f t="shared" si="83"/>
        <v>#REF!</v>
      </c>
      <c r="BQ121" t="e">
        <f t="shared" si="83"/>
        <v>#REF!</v>
      </c>
      <c r="BR121" t="e">
        <f t="shared" si="83"/>
        <v>#REF!</v>
      </c>
      <c r="BS121" t="e">
        <f t="shared" si="83"/>
        <v>#REF!</v>
      </c>
      <c r="BT121" t="e">
        <f t="shared" si="83"/>
        <v>#REF!</v>
      </c>
      <c r="BU121" t="e">
        <f t="shared" si="83"/>
        <v>#REF!</v>
      </c>
      <c r="BV121" t="e">
        <f t="shared" si="77"/>
        <v>#REF!</v>
      </c>
      <c r="BW121" t="e">
        <f t="shared" si="77"/>
        <v>#REF!</v>
      </c>
      <c r="BX121" t="e">
        <f t="shared" si="77"/>
        <v>#REF!</v>
      </c>
      <c r="BY121" t="e">
        <f t="shared" si="77"/>
        <v>#REF!</v>
      </c>
      <c r="BZ121" t="e">
        <f t="shared" si="77"/>
        <v>#REF!</v>
      </c>
      <c r="CA121" t="e">
        <f t="shared" si="77"/>
        <v>#REF!</v>
      </c>
      <c r="CB121" t="e">
        <f t="shared" si="77"/>
        <v>#REF!</v>
      </c>
      <c r="CC121" t="e">
        <f t="shared" si="77"/>
        <v>#REF!</v>
      </c>
      <c r="CD121" t="e">
        <f t="shared" si="77"/>
        <v>#REF!</v>
      </c>
      <c r="CE121" t="e">
        <f t="shared" ref="CE121:CT138" si="93">MATCH(CONCATENATE(CE$3,"_",$C121),auto_DataFlat_UID,0)</f>
        <v>#REF!</v>
      </c>
      <c r="CF121" t="e">
        <f t="shared" si="93"/>
        <v>#REF!</v>
      </c>
      <c r="CG121" t="e">
        <f t="shared" si="93"/>
        <v>#REF!</v>
      </c>
      <c r="CH121" t="e">
        <f t="shared" si="93"/>
        <v>#REF!</v>
      </c>
      <c r="CI121" t="e">
        <f t="shared" si="93"/>
        <v>#REF!</v>
      </c>
      <c r="CJ121" t="e">
        <f t="shared" si="93"/>
        <v>#REF!</v>
      </c>
      <c r="CK121" t="e">
        <f t="shared" si="93"/>
        <v>#REF!</v>
      </c>
      <c r="CL121" t="e">
        <f t="shared" si="93"/>
        <v>#REF!</v>
      </c>
      <c r="CM121" t="e">
        <f t="shared" si="93"/>
        <v>#REF!</v>
      </c>
      <c r="CN121" t="e">
        <f t="shared" si="93"/>
        <v>#REF!</v>
      </c>
      <c r="CO121" t="e">
        <f t="shared" si="93"/>
        <v>#REF!</v>
      </c>
      <c r="CP121" t="e">
        <f t="shared" si="70"/>
        <v>#REF!</v>
      </c>
      <c r="CQ121" t="e">
        <f t="shared" si="70"/>
        <v>#REF!</v>
      </c>
      <c r="CR121" t="e">
        <f t="shared" si="70"/>
        <v>#REF!</v>
      </c>
      <c r="CS121" t="e">
        <f t="shared" si="70"/>
        <v>#REF!</v>
      </c>
      <c r="CT121" t="e">
        <f t="shared" si="70"/>
        <v>#REF!</v>
      </c>
      <c r="CU121" t="e">
        <f t="shared" si="70"/>
        <v>#REF!</v>
      </c>
      <c r="CV121" t="e">
        <f t="shared" si="70"/>
        <v>#REF!</v>
      </c>
      <c r="CW121" t="e">
        <f t="shared" si="70"/>
        <v>#REF!</v>
      </c>
      <c r="CX121" t="e">
        <f t="shared" si="87"/>
        <v>#REF!</v>
      </c>
      <c r="CY121" t="e">
        <f t="shared" si="87"/>
        <v>#REF!</v>
      </c>
      <c r="CZ121" t="e">
        <f t="shared" si="87"/>
        <v>#REF!</v>
      </c>
      <c r="DA121" t="e">
        <f t="shared" si="87"/>
        <v>#REF!</v>
      </c>
      <c r="DB121" t="e">
        <f t="shared" si="87"/>
        <v>#REF!</v>
      </c>
      <c r="DC121" t="e">
        <f t="shared" si="87"/>
        <v>#REF!</v>
      </c>
      <c r="DD121" t="e">
        <f t="shared" si="87"/>
        <v>#REF!</v>
      </c>
      <c r="DE121" t="e">
        <f t="shared" si="87"/>
        <v>#REF!</v>
      </c>
      <c r="DF121" t="e">
        <f t="shared" si="87"/>
        <v>#REF!</v>
      </c>
      <c r="DG121" t="e">
        <f t="shared" si="87"/>
        <v>#REF!</v>
      </c>
      <c r="DH121" t="e">
        <f t="shared" si="87"/>
        <v>#REF!</v>
      </c>
      <c r="DI121" t="e">
        <f t="shared" si="87"/>
        <v>#REF!</v>
      </c>
      <c r="DJ121" t="e">
        <f t="shared" si="87"/>
        <v>#REF!</v>
      </c>
      <c r="DK121" t="e">
        <f t="shared" si="87"/>
        <v>#REF!</v>
      </c>
      <c r="DL121" t="e">
        <f t="shared" si="87"/>
        <v>#REF!</v>
      </c>
      <c r="DM121" t="e">
        <f t="shared" si="87"/>
        <v>#REF!</v>
      </c>
      <c r="DN121" t="e">
        <f t="shared" si="86"/>
        <v>#REF!</v>
      </c>
      <c r="DO121" t="e">
        <f t="shared" si="86"/>
        <v>#REF!</v>
      </c>
      <c r="DP121" t="e">
        <f t="shared" si="86"/>
        <v>#REF!</v>
      </c>
      <c r="DQ121" t="e">
        <f t="shared" si="86"/>
        <v>#REF!</v>
      </c>
      <c r="DR121" t="e">
        <f t="shared" si="86"/>
        <v>#REF!</v>
      </c>
      <c r="DS121" t="e">
        <f t="shared" si="86"/>
        <v>#REF!</v>
      </c>
      <c r="DT121" t="e">
        <f t="shared" si="86"/>
        <v>#REF!</v>
      </c>
      <c r="DU121" t="e">
        <f t="shared" si="86"/>
        <v>#REF!</v>
      </c>
      <c r="DV121" t="e">
        <f t="shared" si="86"/>
        <v>#REF!</v>
      </c>
      <c r="DW121" t="e">
        <f t="shared" si="86"/>
        <v>#REF!</v>
      </c>
      <c r="DX121" t="e">
        <f t="shared" si="86"/>
        <v>#REF!</v>
      </c>
      <c r="DY121" t="e">
        <f t="shared" si="86"/>
        <v>#REF!</v>
      </c>
      <c r="DZ121" t="e">
        <f t="shared" si="63"/>
        <v>#REF!</v>
      </c>
      <c r="EA121" t="e">
        <f t="shared" si="63"/>
        <v>#REF!</v>
      </c>
      <c r="EB121" t="e">
        <f t="shared" si="63"/>
        <v>#REF!</v>
      </c>
      <c r="EC121" t="e">
        <f t="shared" si="63"/>
        <v>#REF!</v>
      </c>
      <c r="ED121" t="e">
        <f t="shared" si="75"/>
        <v>#REF!</v>
      </c>
      <c r="EE121" t="e">
        <f t="shared" si="75"/>
        <v>#REF!</v>
      </c>
      <c r="EF121" t="e">
        <f t="shared" si="75"/>
        <v>#REF!</v>
      </c>
      <c r="EG121" t="e">
        <f t="shared" si="75"/>
        <v>#REF!</v>
      </c>
      <c r="EH121" t="e">
        <f t="shared" si="75"/>
        <v>#REF!</v>
      </c>
      <c r="EI121" t="e">
        <f t="shared" si="75"/>
        <v>#REF!</v>
      </c>
      <c r="EJ121" t="e">
        <f t="shared" si="75"/>
        <v>#REF!</v>
      </c>
      <c r="EK121" t="e">
        <f t="shared" si="75"/>
        <v>#REF!</v>
      </c>
      <c r="EL121" t="e">
        <f t="shared" si="75"/>
        <v>#REF!</v>
      </c>
      <c r="EM121" t="e">
        <f t="shared" si="75"/>
        <v>#REF!</v>
      </c>
    </row>
    <row r="122" spans="1:143" x14ac:dyDescent="0.4">
      <c r="A122" t="str">
        <f t="shared" si="51"/>
        <v>X</v>
      </c>
      <c r="B122">
        <v>119</v>
      </c>
      <c r="C122" t="e" cm="1">
        <f t="array" ref="C122">INDEX(auto_Series_Code,B122)</f>
        <v>#REF!</v>
      </c>
      <c r="D122" t="e">
        <f t="shared" si="92"/>
        <v>#REF!</v>
      </c>
      <c r="E122" t="e">
        <f t="shared" si="92"/>
        <v>#REF!</v>
      </c>
      <c r="F122" t="e">
        <f t="shared" si="92"/>
        <v>#REF!</v>
      </c>
      <c r="G122" t="e">
        <f t="shared" si="92"/>
        <v>#REF!</v>
      </c>
      <c r="H122" t="e">
        <f t="shared" si="92"/>
        <v>#REF!</v>
      </c>
      <c r="I122" t="e">
        <f t="shared" si="92"/>
        <v>#REF!</v>
      </c>
      <c r="J122" t="e">
        <f t="shared" si="92"/>
        <v>#REF!</v>
      </c>
      <c r="K122" t="e">
        <f t="shared" si="92"/>
        <v>#REF!</v>
      </c>
      <c r="L122" t="e">
        <f t="shared" si="92"/>
        <v>#REF!</v>
      </c>
      <c r="M122" t="e">
        <f t="shared" si="92"/>
        <v>#REF!</v>
      </c>
      <c r="N122" t="e">
        <f t="shared" si="92"/>
        <v>#REF!</v>
      </c>
      <c r="O122" t="e">
        <f t="shared" si="92"/>
        <v>#REF!</v>
      </c>
      <c r="P122" t="e">
        <f t="shared" si="92"/>
        <v>#REF!</v>
      </c>
      <c r="Q122" t="e">
        <f t="shared" si="92"/>
        <v>#REF!</v>
      </c>
      <c r="R122" t="e">
        <f t="shared" si="92"/>
        <v>#REF!</v>
      </c>
      <c r="S122" t="e">
        <f t="shared" si="92"/>
        <v>#REF!</v>
      </c>
      <c r="T122" t="e">
        <f t="shared" si="91"/>
        <v>#REF!</v>
      </c>
      <c r="U122" t="e">
        <f t="shared" si="91"/>
        <v>#REF!</v>
      </c>
      <c r="V122" t="e">
        <f t="shared" si="91"/>
        <v>#REF!</v>
      </c>
      <c r="W122" t="e">
        <f t="shared" si="91"/>
        <v>#REF!</v>
      </c>
      <c r="X122" t="e">
        <f t="shared" si="80"/>
        <v>#REF!</v>
      </c>
      <c r="Y122" t="e">
        <f t="shared" si="80"/>
        <v>#REF!</v>
      </c>
      <c r="Z122" t="e">
        <f t="shared" si="80"/>
        <v>#REF!</v>
      </c>
      <c r="AA122" t="e">
        <f t="shared" si="80"/>
        <v>#REF!</v>
      </c>
      <c r="AB122" t="e">
        <f t="shared" si="80"/>
        <v>#REF!</v>
      </c>
      <c r="AC122" t="e">
        <f t="shared" si="80"/>
        <v>#REF!</v>
      </c>
      <c r="AD122" t="e">
        <f t="shared" si="80"/>
        <v>#REF!</v>
      </c>
      <c r="AE122" t="e">
        <f t="shared" si="80"/>
        <v>#REF!</v>
      </c>
      <c r="AF122" t="e">
        <f t="shared" si="80"/>
        <v>#REF!</v>
      </c>
      <c r="AG122" t="e">
        <f t="shared" si="80"/>
        <v>#REF!</v>
      </c>
      <c r="AH122" t="e">
        <f t="shared" si="80"/>
        <v>#REF!</v>
      </c>
      <c r="AI122" t="e">
        <f t="shared" si="89"/>
        <v>#REF!</v>
      </c>
      <c r="AJ122" t="e">
        <f t="shared" si="89"/>
        <v>#REF!</v>
      </c>
      <c r="AK122" t="e">
        <f t="shared" si="89"/>
        <v>#REF!</v>
      </c>
      <c r="AL122" t="e">
        <f t="shared" si="89"/>
        <v>#REF!</v>
      </c>
      <c r="AM122" t="e">
        <f t="shared" si="89"/>
        <v>#REF!</v>
      </c>
      <c r="AN122" t="e">
        <f t="shared" si="89"/>
        <v>#REF!</v>
      </c>
      <c r="AO122" t="e">
        <f t="shared" si="89"/>
        <v>#REF!</v>
      </c>
      <c r="AP122" t="e">
        <f t="shared" si="89"/>
        <v>#REF!</v>
      </c>
      <c r="AQ122" t="e">
        <f t="shared" si="89"/>
        <v>#REF!</v>
      </c>
      <c r="AR122" t="e">
        <f t="shared" si="67"/>
        <v>#REF!</v>
      </c>
      <c r="AS122" t="e">
        <f t="shared" si="67"/>
        <v>#REF!</v>
      </c>
      <c r="AT122" t="e">
        <f t="shared" si="67"/>
        <v>#REF!</v>
      </c>
      <c r="AU122" t="e">
        <f t="shared" si="67"/>
        <v>#REF!</v>
      </c>
      <c r="AV122" t="e">
        <f t="shared" si="67"/>
        <v>#REF!</v>
      </c>
      <c r="AW122" t="e">
        <f t="shared" si="67"/>
        <v>#REF!</v>
      </c>
      <c r="AX122" t="e">
        <f t="shared" ref="AX122:BK152" si="94">MATCH(CONCATENATE(AX$3,"_",$C122),auto_DataFlat_UID,0)</f>
        <v>#REF!</v>
      </c>
      <c r="AY122" t="e">
        <f t="shared" si="94"/>
        <v>#REF!</v>
      </c>
      <c r="AZ122" t="e">
        <f t="shared" si="94"/>
        <v>#REF!</v>
      </c>
      <c r="BA122" t="e">
        <f t="shared" si="94"/>
        <v>#REF!</v>
      </c>
      <c r="BB122" t="e">
        <f t="shared" si="84"/>
        <v>#REF!</v>
      </c>
      <c r="BC122" t="e">
        <f t="shared" si="84"/>
        <v>#REF!</v>
      </c>
      <c r="BD122" t="e">
        <f t="shared" si="84"/>
        <v>#REF!</v>
      </c>
      <c r="BE122" t="e">
        <f t="shared" si="84"/>
        <v>#REF!</v>
      </c>
      <c r="BF122" t="e">
        <f t="shared" si="84"/>
        <v>#REF!</v>
      </c>
      <c r="BG122" t="e">
        <f t="shared" si="84"/>
        <v>#REF!</v>
      </c>
      <c r="BH122" t="e">
        <f t="shared" si="84"/>
        <v>#REF!</v>
      </c>
      <c r="BI122" t="e">
        <f t="shared" si="84"/>
        <v>#REF!</v>
      </c>
      <c r="BJ122" t="e">
        <f t="shared" si="84"/>
        <v>#REF!</v>
      </c>
      <c r="BK122" t="e">
        <f t="shared" si="84"/>
        <v>#REF!</v>
      </c>
      <c r="BL122" t="e">
        <f t="shared" si="83"/>
        <v>#REF!</v>
      </c>
      <c r="BM122" t="e">
        <f t="shared" si="83"/>
        <v>#REF!</v>
      </c>
      <c r="BN122" t="e">
        <f t="shared" si="83"/>
        <v>#REF!</v>
      </c>
      <c r="BO122" t="e">
        <f t="shared" si="83"/>
        <v>#REF!</v>
      </c>
      <c r="BP122" t="e">
        <f t="shared" si="83"/>
        <v>#REF!</v>
      </c>
      <c r="BQ122" t="e">
        <f t="shared" si="83"/>
        <v>#REF!</v>
      </c>
      <c r="BR122" t="e">
        <f t="shared" si="83"/>
        <v>#REF!</v>
      </c>
      <c r="BS122" t="e">
        <f t="shared" si="83"/>
        <v>#REF!</v>
      </c>
      <c r="BT122" t="e">
        <f t="shared" si="83"/>
        <v>#REF!</v>
      </c>
      <c r="BU122" t="e">
        <f t="shared" si="83"/>
        <v>#REF!</v>
      </c>
      <c r="BV122" t="e">
        <f t="shared" si="83"/>
        <v>#REF!</v>
      </c>
      <c r="BW122" t="e">
        <f t="shared" si="83"/>
        <v>#REF!</v>
      </c>
      <c r="BX122" t="e">
        <f t="shared" si="83"/>
        <v>#REF!</v>
      </c>
      <c r="BY122" t="e">
        <f t="shared" si="83"/>
        <v>#REF!</v>
      </c>
      <c r="BZ122" t="e">
        <f t="shared" si="83"/>
        <v>#REF!</v>
      </c>
      <c r="CA122" t="e">
        <f t="shared" si="83"/>
        <v>#REF!</v>
      </c>
      <c r="CB122" t="e">
        <f t="shared" ref="CB122:CE126" si="95">MATCH(CONCATENATE(CB$3,"_",$C122),auto_DataFlat_UID,0)</f>
        <v>#REF!</v>
      </c>
      <c r="CC122" t="e">
        <f t="shared" si="95"/>
        <v>#REF!</v>
      </c>
      <c r="CD122" t="e">
        <f t="shared" si="95"/>
        <v>#REF!</v>
      </c>
      <c r="CE122" t="e">
        <f t="shared" si="95"/>
        <v>#REF!</v>
      </c>
      <c r="CF122" t="e">
        <f t="shared" si="93"/>
        <v>#REF!</v>
      </c>
      <c r="CG122" t="e">
        <f t="shared" si="93"/>
        <v>#REF!</v>
      </c>
      <c r="CH122" t="e">
        <f t="shared" si="93"/>
        <v>#REF!</v>
      </c>
      <c r="CI122" t="e">
        <f t="shared" si="93"/>
        <v>#REF!</v>
      </c>
      <c r="CJ122" t="e">
        <f t="shared" si="93"/>
        <v>#REF!</v>
      </c>
      <c r="CK122" t="e">
        <f t="shared" si="93"/>
        <v>#REF!</v>
      </c>
      <c r="CL122" t="e">
        <f t="shared" si="93"/>
        <v>#REF!</v>
      </c>
      <c r="CM122" t="e">
        <f t="shared" si="93"/>
        <v>#REF!</v>
      </c>
      <c r="CN122" t="e">
        <f t="shared" si="93"/>
        <v>#REF!</v>
      </c>
      <c r="CO122" t="e">
        <f t="shared" si="93"/>
        <v>#REF!</v>
      </c>
      <c r="CP122" t="e">
        <f t="shared" si="70"/>
        <v>#REF!</v>
      </c>
      <c r="CQ122" t="e">
        <f t="shared" si="70"/>
        <v>#REF!</v>
      </c>
      <c r="CR122" t="e">
        <f t="shared" si="70"/>
        <v>#REF!</v>
      </c>
      <c r="CS122" t="e">
        <f t="shared" si="70"/>
        <v>#REF!</v>
      </c>
      <c r="CT122" t="e">
        <f t="shared" si="70"/>
        <v>#REF!</v>
      </c>
      <c r="CU122" t="e">
        <f t="shared" si="70"/>
        <v>#REF!</v>
      </c>
      <c r="CV122" t="e">
        <f t="shared" si="70"/>
        <v>#REF!</v>
      </c>
      <c r="CW122" t="e">
        <f t="shared" ref="CW122:CY122" si="96">MATCH(CONCATENATE(CW$3,"_",$C122),auto_DataFlat_UID,0)</f>
        <v>#REF!</v>
      </c>
      <c r="CX122" t="e">
        <f t="shared" si="96"/>
        <v>#REF!</v>
      </c>
      <c r="CY122" t="e">
        <f t="shared" si="96"/>
        <v>#REF!</v>
      </c>
      <c r="CZ122" t="e">
        <f t="shared" si="87"/>
        <v>#REF!</v>
      </c>
      <c r="DA122" t="e">
        <f t="shared" si="87"/>
        <v>#REF!</v>
      </c>
      <c r="DB122" t="e">
        <f t="shared" si="87"/>
        <v>#REF!</v>
      </c>
      <c r="DC122" t="e">
        <f t="shared" si="87"/>
        <v>#REF!</v>
      </c>
      <c r="DD122" t="e">
        <f t="shared" si="87"/>
        <v>#REF!</v>
      </c>
      <c r="DE122" t="e">
        <f t="shared" si="87"/>
        <v>#REF!</v>
      </c>
      <c r="DF122" t="e">
        <f t="shared" si="87"/>
        <v>#REF!</v>
      </c>
      <c r="DG122" t="e">
        <f t="shared" si="87"/>
        <v>#REF!</v>
      </c>
      <c r="DH122" t="e">
        <f t="shared" si="87"/>
        <v>#REF!</v>
      </c>
      <c r="DI122" t="e">
        <f t="shared" si="87"/>
        <v>#REF!</v>
      </c>
      <c r="DJ122" t="e">
        <f t="shared" si="87"/>
        <v>#REF!</v>
      </c>
      <c r="DK122" t="e">
        <f t="shared" si="87"/>
        <v>#REF!</v>
      </c>
      <c r="DL122" t="e">
        <f t="shared" si="87"/>
        <v>#REF!</v>
      </c>
      <c r="DM122" t="e">
        <f t="shared" si="87"/>
        <v>#REF!</v>
      </c>
      <c r="DN122" t="e">
        <f t="shared" si="86"/>
        <v>#REF!</v>
      </c>
      <c r="DO122" t="e">
        <f t="shared" si="86"/>
        <v>#REF!</v>
      </c>
      <c r="DP122" t="e">
        <f t="shared" si="86"/>
        <v>#REF!</v>
      </c>
      <c r="DQ122" t="e">
        <f t="shared" si="86"/>
        <v>#REF!</v>
      </c>
      <c r="DR122" t="e">
        <f t="shared" si="86"/>
        <v>#REF!</v>
      </c>
      <c r="DS122" t="e">
        <f t="shared" si="86"/>
        <v>#REF!</v>
      </c>
      <c r="DT122" t="e">
        <f t="shared" si="86"/>
        <v>#REF!</v>
      </c>
      <c r="DU122" t="e">
        <f t="shared" si="86"/>
        <v>#REF!</v>
      </c>
      <c r="DV122" t="e">
        <f t="shared" si="86"/>
        <v>#REF!</v>
      </c>
      <c r="DW122" t="e">
        <f t="shared" si="86"/>
        <v>#REF!</v>
      </c>
      <c r="DX122" t="e">
        <f t="shared" si="86"/>
        <v>#REF!</v>
      </c>
      <c r="DY122" t="e">
        <f t="shared" si="86"/>
        <v>#REF!</v>
      </c>
      <c r="DZ122" t="e">
        <f t="shared" si="63"/>
        <v>#REF!</v>
      </c>
      <c r="EA122" t="e">
        <f t="shared" si="63"/>
        <v>#REF!</v>
      </c>
      <c r="EB122" t="e">
        <f t="shared" si="63"/>
        <v>#REF!</v>
      </c>
      <c r="EC122" t="e">
        <f t="shared" si="63"/>
        <v>#REF!</v>
      </c>
      <c r="ED122" t="e">
        <f t="shared" si="75"/>
        <v>#REF!</v>
      </c>
      <c r="EE122" t="e">
        <f t="shared" si="75"/>
        <v>#REF!</v>
      </c>
      <c r="EF122" t="e">
        <f t="shared" si="75"/>
        <v>#REF!</v>
      </c>
      <c r="EG122" t="e">
        <f t="shared" si="75"/>
        <v>#REF!</v>
      </c>
      <c r="EH122" t="e">
        <f t="shared" si="75"/>
        <v>#REF!</v>
      </c>
      <c r="EI122" t="e">
        <f t="shared" ref="EI122:EM122" si="97">MATCH(CONCATENATE(EI$3,"_",$C122),auto_DataFlat_UID,0)</f>
        <v>#REF!</v>
      </c>
      <c r="EJ122" t="e">
        <f t="shared" si="97"/>
        <v>#REF!</v>
      </c>
      <c r="EK122" t="e">
        <f t="shared" si="97"/>
        <v>#REF!</v>
      </c>
      <c r="EL122" t="e">
        <f t="shared" si="97"/>
        <v>#REF!</v>
      </c>
      <c r="EM122" t="e">
        <f t="shared" si="97"/>
        <v>#REF!</v>
      </c>
    </row>
    <row r="123" spans="1:143" x14ac:dyDescent="0.4">
      <c r="A123" t="str">
        <f t="shared" si="51"/>
        <v>X</v>
      </c>
      <c r="B123">
        <v>120</v>
      </c>
      <c r="C123" t="e" cm="1">
        <f t="array" ref="C123">INDEX(auto_Series_Code,B123)</f>
        <v>#REF!</v>
      </c>
      <c r="D123" t="e">
        <f t="shared" si="92"/>
        <v>#REF!</v>
      </c>
      <c r="E123" t="e">
        <f t="shared" si="92"/>
        <v>#REF!</v>
      </c>
      <c r="F123" t="e">
        <f t="shared" si="92"/>
        <v>#REF!</v>
      </c>
      <c r="G123" t="e">
        <f t="shared" si="92"/>
        <v>#REF!</v>
      </c>
      <c r="H123" t="e">
        <f t="shared" si="92"/>
        <v>#REF!</v>
      </c>
      <c r="I123" t="e">
        <f t="shared" si="92"/>
        <v>#REF!</v>
      </c>
      <c r="J123" t="e">
        <f t="shared" si="92"/>
        <v>#REF!</v>
      </c>
      <c r="K123" t="e">
        <f t="shared" si="92"/>
        <v>#REF!</v>
      </c>
      <c r="L123" t="e">
        <f t="shared" si="92"/>
        <v>#REF!</v>
      </c>
      <c r="M123" t="e">
        <f t="shared" si="92"/>
        <v>#REF!</v>
      </c>
      <c r="N123" t="e">
        <f t="shared" si="92"/>
        <v>#REF!</v>
      </c>
      <c r="O123" t="e">
        <f t="shared" si="92"/>
        <v>#REF!</v>
      </c>
      <c r="P123" t="e">
        <f t="shared" si="92"/>
        <v>#REF!</v>
      </c>
      <c r="Q123" t="e">
        <f t="shared" si="92"/>
        <v>#REF!</v>
      </c>
      <c r="R123" t="e">
        <f t="shared" si="92"/>
        <v>#REF!</v>
      </c>
      <c r="S123" t="e">
        <f t="shared" si="92"/>
        <v>#REF!</v>
      </c>
      <c r="T123" t="e">
        <f t="shared" si="91"/>
        <v>#REF!</v>
      </c>
      <c r="U123" t="e">
        <f t="shared" si="91"/>
        <v>#REF!</v>
      </c>
      <c r="V123" t="e">
        <f t="shared" si="91"/>
        <v>#REF!</v>
      </c>
      <c r="W123" t="e">
        <f t="shared" si="91"/>
        <v>#REF!</v>
      </c>
      <c r="X123" t="e">
        <f t="shared" si="80"/>
        <v>#REF!</v>
      </c>
      <c r="Y123" t="e">
        <f t="shared" si="80"/>
        <v>#REF!</v>
      </c>
      <c r="Z123" t="e">
        <f t="shared" si="80"/>
        <v>#REF!</v>
      </c>
      <c r="AA123" t="e">
        <f t="shared" si="80"/>
        <v>#REF!</v>
      </c>
      <c r="AB123" t="e">
        <f t="shared" si="80"/>
        <v>#REF!</v>
      </c>
      <c r="AC123" t="e">
        <f t="shared" si="80"/>
        <v>#REF!</v>
      </c>
      <c r="AD123" t="e">
        <f t="shared" si="80"/>
        <v>#REF!</v>
      </c>
      <c r="AE123" t="e">
        <f t="shared" si="80"/>
        <v>#REF!</v>
      </c>
      <c r="AF123" t="e">
        <f t="shared" si="80"/>
        <v>#REF!</v>
      </c>
      <c r="AG123" t="e">
        <f t="shared" si="80"/>
        <v>#REF!</v>
      </c>
      <c r="AH123" t="e">
        <f t="shared" si="80"/>
        <v>#REF!</v>
      </c>
      <c r="AI123" t="e">
        <f t="shared" si="89"/>
        <v>#REF!</v>
      </c>
      <c r="AJ123" t="e">
        <f t="shared" si="89"/>
        <v>#REF!</v>
      </c>
      <c r="AK123" t="e">
        <f t="shared" si="89"/>
        <v>#REF!</v>
      </c>
      <c r="AL123" t="e">
        <f t="shared" si="89"/>
        <v>#REF!</v>
      </c>
      <c r="AM123" t="e">
        <f t="shared" si="89"/>
        <v>#REF!</v>
      </c>
      <c r="AN123" t="e">
        <f t="shared" si="89"/>
        <v>#REF!</v>
      </c>
      <c r="AO123" t="e">
        <f t="shared" si="89"/>
        <v>#REF!</v>
      </c>
      <c r="AP123" t="e">
        <f t="shared" si="89"/>
        <v>#REF!</v>
      </c>
      <c r="AQ123" t="e">
        <f t="shared" si="89"/>
        <v>#REF!</v>
      </c>
      <c r="AR123" t="e">
        <f t="shared" si="89"/>
        <v>#REF!</v>
      </c>
      <c r="AS123" t="e">
        <f t="shared" si="89"/>
        <v>#REF!</v>
      </c>
      <c r="AT123" t="e">
        <f t="shared" si="89"/>
        <v>#REF!</v>
      </c>
      <c r="AU123" t="e">
        <f t="shared" si="89"/>
        <v>#REF!</v>
      </c>
      <c r="AV123" t="e">
        <f t="shared" si="89"/>
        <v>#REF!</v>
      </c>
      <c r="AW123" t="e">
        <f t="shared" si="89"/>
        <v>#REF!</v>
      </c>
      <c r="AX123" t="e">
        <f t="shared" si="89"/>
        <v>#REF!</v>
      </c>
      <c r="AY123" t="e">
        <f t="shared" si="94"/>
        <v>#REF!</v>
      </c>
      <c r="AZ123" t="e">
        <f t="shared" si="94"/>
        <v>#REF!</v>
      </c>
      <c r="BA123" t="e">
        <f t="shared" si="94"/>
        <v>#REF!</v>
      </c>
      <c r="BB123" t="e">
        <f t="shared" si="84"/>
        <v>#REF!</v>
      </c>
      <c r="BC123" t="e">
        <f t="shared" si="84"/>
        <v>#REF!</v>
      </c>
      <c r="BD123" t="e">
        <f t="shared" si="84"/>
        <v>#REF!</v>
      </c>
      <c r="BE123" t="e">
        <f t="shared" si="84"/>
        <v>#REF!</v>
      </c>
      <c r="BF123" t="e">
        <f t="shared" si="84"/>
        <v>#REF!</v>
      </c>
      <c r="BG123" t="e">
        <f t="shared" si="84"/>
        <v>#REF!</v>
      </c>
      <c r="BH123" t="e">
        <f t="shared" si="84"/>
        <v>#REF!</v>
      </c>
      <c r="BI123" t="e">
        <f t="shared" si="84"/>
        <v>#REF!</v>
      </c>
      <c r="BJ123" t="e">
        <f t="shared" si="84"/>
        <v>#REF!</v>
      </c>
      <c r="BK123" t="e">
        <f t="shared" si="84"/>
        <v>#REF!</v>
      </c>
      <c r="BL123" t="e">
        <f t="shared" si="83"/>
        <v>#REF!</v>
      </c>
      <c r="BM123" t="e">
        <f t="shared" si="83"/>
        <v>#REF!</v>
      </c>
      <c r="BN123" t="e">
        <f t="shared" si="83"/>
        <v>#REF!</v>
      </c>
      <c r="BO123" t="e">
        <f t="shared" si="83"/>
        <v>#REF!</v>
      </c>
      <c r="BP123" t="e">
        <f t="shared" si="83"/>
        <v>#REF!</v>
      </c>
      <c r="BQ123" t="e">
        <f t="shared" si="83"/>
        <v>#REF!</v>
      </c>
      <c r="BR123" t="e">
        <f t="shared" si="83"/>
        <v>#REF!</v>
      </c>
      <c r="BS123" t="e">
        <f t="shared" si="83"/>
        <v>#REF!</v>
      </c>
      <c r="BT123" t="e">
        <f t="shared" si="83"/>
        <v>#REF!</v>
      </c>
      <c r="BU123" t="e">
        <f t="shared" si="83"/>
        <v>#REF!</v>
      </c>
      <c r="BV123" t="e">
        <f t="shared" si="83"/>
        <v>#REF!</v>
      </c>
      <c r="BW123" t="e">
        <f t="shared" si="83"/>
        <v>#REF!</v>
      </c>
      <c r="BX123" t="e">
        <f t="shared" si="83"/>
        <v>#REF!</v>
      </c>
      <c r="BY123" t="e">
        <f t="shared" si="83"/>
        <v>#REF!</v>
      </c>
      <c r="BZ123" t="e">
        <f t="shared" si="83"/>
        <v>#REF!</v>
      </c>
      <c r="CA123" t="e">
        <f t="shared" si="83"/>
        <v>#REF!</v>
      </c>
      <c r="CB123" t="e">
        <f t="shared" si="95"/>
        <v>#REF!</v>
      </c>
      <c r="CC123" t="e">
        <f t="shared" si="95"/>
        <v>#REF!</v>
      </c>
      <c r="CD123" t="e">
        <f t="shared" si="95"/>
        <v>#REF!</v>
      </c>
      <c r="CE123" t="e">
        <f t="shared" si="95"/>
        <v>#REF!</v>
      </c>
      <c r="CF123" t="e">
        <f t="shared" si="93"/>
        <v>#REF!</v>
      </c>
      <c r="CG123" t="e">
        <f t="shared" si="93"/>
        <v>#REF!</v>
      </c>
      <c r="CH123" t="e">
        <f t="shared" si="93"/>
        <v>#REF!</v>
      </c>
      <c r="CI123" t="e">
        <f t="shared" si="93"/>
        <v>#REF!</v>
      </c>
      <c r="CJ123" t="e">
        <f t="shared" si="93"/>
        <v>#REF!</v>
      </c>
      <c r="CK123" t="e">
        <f t="shared" si="93"/>
        <v>#REF!</v>
      </c>
      <c r="CL123" t="e">
        <f t="shared" si="93"/>
        <v>#REF!</v>
      </c>
      <c r="CM123" t="e">
        <f t="shared" si="93"/>
        <v>#REF!</v>
      </c>
      <c r="CN123" t="e">
        <f t="shared" si="93"/>
        <v>#REF!</v>
      </c>
      <c r="CO123" t="e">
        <f t="shared" si="93"/>
        <v>#REF!</v>
      </c>
      <c r="CP123" t="e">
        <f t="shared" si="93"/>
        <v>#REF!</v>
      </c>
      <c r="CQ123" t="e">
        <f t="shared" si="93"/>
        <v>#REF!</v>
      </c>
      <c r="CR123" t="e">
        <f t="shared" si="93"/>
        <v>#REF!</v>
      </c>
      <c r="CS123" t="e">
        <f t="shared" si="93"/>
        <v>#REF!</v>
      </c>
      <c r="CT123" t="e">
        <f t="shared" si="93"/>
        <v>#REF!</v>
      </c>
      <c r="CU123" t="e">
        <f t="shared" ref="CU123:DI149" si="98">MATCH(CONCATENATE(CU$3,"_",$C123),auto_DataFlat_UID,0)</f>
        <v>#REF!</v>
      </c>
      <c r="CV123" t="e">
        <f t="shared" si="98"/>
        <v>#REF!</v>
      </c>
      <c r="CW123" t="e">
        <f t="shared" si="98"/>
        <v>#REF!</v>
      </c>
      <c r="CX123" t="e">
        <f t="shared" si="98"/>
        <v>#REF!</v>
      </c>
      <c r="CY123" t="e">
        <f t="shared" si="98"/>
        <v>#REF!</v>
      </c>
      <c r="CZ123" t="e">
        <f t="shared" si="87"/>
        <v>#REF!</v>
      </c>
      <c r="DA123" t="e">
        <f t="shared" si="87"/>
        <v>#REF!</v>
      </c>
      <c r="DB123" t="e">
        <f t="shared" si="87"/>
        <v>#REF!</v>
      </c>
      <c r="DC123" t="e">
        <f t="shared" si="87"/>
        <v>#REF!</v>
      </c>
      <c r="DD123" t="e">
        <f t="shared" si="87"/>
        <v>#REF!</v>
      </c>
      <c r="DE123" t="e">
        <f t="shared" si="87"/>
        <v>#REF!</v>
      </c>
      <c r="DF123" t="e">
        <f t="shared" si="87"/>
        <v>#REF!</v>
      </c>
      <c r="DG123" t="e">
        <f t="shared" si="87"/>
        <v>#REF!</v>
      </c>
      <c r="DH123" t="e">
        <f t="shared" si="87"/>
        <v>#REF!</v>
      </c>
      <c r="DI123" t="e">
        <f t="shared" si="87"/>
        <v>#REF!</v>
      </c>
      <c r="DJ123" t="e">
        <f t="shared" si="87"/>
        <v>#REF!</v>
      </c>
      <c r="DK123" t="e">
        <f t="shared" si="87"/>
        <v>#REF!</v>
      </c>
      <c r="DL123" t="e">
        <f t="shared" si="87"/>
        <v>#REF!</v>
      </c>
      <c r="DM123" t="e">
        <f t="shared" si="87"/>
        <v>#REF!</v>
      </c>
      <c r="DN123" t="e">
        <f t="shared" si="86"/>
        <v>#REF!</v>
      </c>
      <c r="DO123" t="e">
        <f t="shared" si="86"/>
        <v>#REF!</v>
      </c>
      <c r="DP123" t="e">
        <f t="shared" si="86"/>
        <v>#REF!</v>
      </c>
      <c r="DQ123" t="e">
        <f t="shared" si="86"/>
        <v>#REF!</v>
      </c>
      <c r="DR123" t="e">
        <f t="shared" si="86"/>
        <v>#REF!</v>
      </c>
      <c r="DS123" t="e">
        <f t="shared" si="86"/>
        <v>#REF!</v>
      </c>
      <c r="DT123" t="e">
        <f t="shared" si="86"/>
        <v>#REF!</v>
      </c>
      <c r="DU123" t="e">
        <f t="shared" si="86"/>
        <v>#REF!</v>
      </c>
      <c r="DV123" t="e">
        <f t="shared" si="86"/>
        <v>#REF!</v>
      </c>
      <c r="DW123" t="e">
        <f t="shared" si="86"/>
        <v>#REF!</v>
      </c>
      <c r="DX123" t="e">
        <f t="shared" si="86"/>
        <v>#REF!</v>
      </c>
      <c r="DY123" t="e">
        <f t="shared" si="86"/>
        <v>#REF!</v>
      </c>
      <c r="DZ123" t="e">
        <f t="shared" si="63"/>
        <v>#REF!</v>
      </c>
      <c r="EA123" t="e">
        <f t="shared" si="63"/>
        <v>#REF!</v>
      </c>
      <c r="EB123" t="e">
        <f t="shared" si="63"/>
        <v>#REF!</v>
      </c>
      <c r="EC123" t="e">
        <f t="shared" si="63"/>
        <v>#REF!</v>
      </c>
      <c r="ED123" t="e">
        <f t="shared" ref="ED123:EM144" si="99">MATCH(CONCATENATE(ED$3,"_",$C123),auto_DataFlat_UID,0)</f>
        <v>#REF!</v>
      </c>
      <c r="EE123" t="e">
        <f t="shared" si="99"/>
        <v>#REF!</v>
      </c>
      <c r="EF123" t="e">
        <f t="shared" si="99"/>
        <v>#REF!</v>
      </c>
      <c r="EG123" t="e">
        <f t="shared" si="99"/>
        <v>#REF!</v>
      </c>
      <c r="EH123" t="e">
        <f t="shared" si="99"/>
        <v>#REF!</v>
      </c>
      <c r="EI123" t="e">
        <f t="shared" si="99"/>
        <v>#REF!</v>
      </c>
      <c r="EJ123" t="e">
        <f t="shared" si="99"/>
        <v>#REF!</v>
      </c>
      <c r="EK123" t="e">
        <f t="shared" si="99"/>
        <v>#REF!</v>
      </c>
      <c r="EL123" t="e">
        <f t="shared" si="99"/>
        <v>#REF!</v>
      </c>
      <c r="EM123" t="e">
        <f t="shared" si="99"/>
        <v>#REF!</v>
      </c>
    </row>
    <row r="124" spans="1:143" x14ac:dyDescent="0.4">
      <c r="A124" t="str">
        <f t="shared" si="51"/>
        <v>X</v>
      </c>
      <c r="B124">
        <v>121</v>
      </c>
      <c r="C124" t="e" cm="1">
        <f t="array" ref="C124">INDEX(auto_Series_Code,B124)</f>
        <v>#REF!</v>
      </c>
      <c r="D124" t="e">
        <f t="shared" si="92"/>
        <v>#REF!</v>
      </c>
      <c r="E124" t="e">
        <f t="shared" si="92"/>
        <v>#REF!</v>
      </c>
      <c r="F124" t="e">
        <f t="shared" si="92"/>
        <v>#REF!</v>
      </c>
      <c r="G124" t="e">
        <f t="shared" si="92"/>
        <v>#REF!</v>
      </c>
      <c r="H124" t="e">
        <f t="shared" si="92"/>
        <v>#REF!</v>
      </c>
      <c r="I124" t="e">
        <f t="shared" si="92"/>
        <v>#REF!</v>
      </c>
      <c r="J124" t="e">
        <f t="shared" si="92"/>
        <v>#REF!</v>
      </c>
      <c r="K124" t="e">
        <f t="shared" si="92"/>
        <v>#REF!</v>
      </c>
      <c r="L124" t="e">
        <f t="shared" si="92"/>
        <v>#REF!</v>
      </c>
      <c r="M124" t="e">
        <f t="shared" si="92"/>
        <v>#REF!</v>
      </c>
      <c r="N124" t="e">
        <f t="shared" si="92"/>
        <v>#REF!</v>
      </c>
      <c r="O124" t="e">
        <f t="shared" si="92"/>
        <v>#REF!</v>
      </c>
      <c r="P124" t="e">
        <f t="shared" si="92"/>
        <v>#REF!</v>
      </c>
      <c r="Q124" t="e">
        <f t="shared" si="92"/>
        <v>#REF!</v>
      </c>
      <c r="R124" t="e">
        <f t="shared" si="92"/>
        <v>#REF!</v>
      </c>
      <c r="S124" t="e">
        <f t="shared" si="92"/>
        <v>#REF!</v>
      </c>
      <c r="T124" t="e">
        <f t="shared" si="91"/>
        <v>#REF!</v>
      </c>
      <c r="U124" t="e">
        <f t="shared" si="91"/>
        <v>#REF!</v>
      </c>
      <c r="V124" t="e">
        <f t="shared" si="91"/>
        <v>#REF!</v>
      </c>
      <c r="W124" t="e">
        <f t="shared" si="91"/>
        <v>#REF!</v>
      </c>
      <c r="X124" t="e">
        <f t="shared" si="80"/>
        <v>#REF!</v>
      </c>
      <c r="Y124" t="e">
        <f t="shared" si="80"/>
        <v>#REF!</v>
      </c>
      <c r="Z124" t="e">
        <f t="shared" si="80"/>
        <v>#REF!</v>
      </c>
      <c r="AA124" t="e">
        <f t="shared" si="80"/>
        <v>#REF!</v>
      </c>
      <c r="AB124" t="e">
        <f t="shared" si="80"/>
        <v>#REF!</v>
      </c>
      <c r="AC124" t="e">
        <f t="shared" si="80"/>
        <v>#REF!</v>
      </c>
      <c r="AD124" t="e">
        <f t="shared" si="80"/>
        <v>#REF!</v>
      </c>
      <c r="AE124" t="e">
        <f t="shared" si="80"/>
        <v>#REF!</v>
      </c>
      <c r="AF124" t="e">
        <f t="shared" si="80"/>
        <v>#REF!</v>
      </c>
      <c r="AG124" t="e">
        <f t="shared" si="80"/>
        <v>#REF!</v>
      </c>
      <c r="AH124" t="e">
        <f t="shared" si="80"/>
        <v>#REF!</v>
      </c>
      <c r="AI124" t="e">
        <f t="shared" si="89"/>
        <v>#REF!</v>
      </c>
      <c r="AJ124" t="e">
        <f t="shared" si="89"/>
        <v>#REF!</v>
      </c>
      <c r="AK124" t="e">
        <f t="shared" si="89"/>
        <v>#REF!</v>
      </c>
      <c r="AL124" t="e">
        <f t="shared" si="89"/>
        <v>#REF!</v>
      </c>
      <c r="AM124" t="e">
        <f t="shared" si="89"/>
        <v>#REF!</v>
      </c>
      <c r="AN124" t="e">
        <f t="shared" si="89"/>
        <v>#REF!</v>
      </c>
      <c r="AO124" t="e">
        <f t="shared" si="89"/>
        <v>#REF!</v>
      </c>
      <c r="AP124" t="e">
        <f t="shared" si="89"/>
        <v>#REF!</v>
      </c>
      <c r="AQ124" t="e">
        <f t="shared" si="89"/>
        <v>#REF!</v>
      </c>
      <c r="AR124" t="e">
        <f t="shared" si="89"/>
        <v>#REF!</v>
      </c>
      <c r="AS124" t="e">
        <f t="shared" si="89"/>
        <v>#REF!</v>
      </c>
      <c r="AT124" t="e">
        <f t="shared" si="89"/>
        <v>#REF!</v>
      </c>
      <c r="AU124" t="e">
        <f t="shared" si="89"/>
        <v>#REF!</v>
      </c>
      <c r="AV124" t="e">
        <f t="shared" si="89"/>
        <v>#REF!</v>
      </c>
      <c r="AW124" t="e">
        <f t="shared" si="89"/>
        <v>#REF!</v>
      </c>
      <c r="AX124" t="e">
        <f t="shared" si="89"/>
        <v>#REF!</v>
      </c>
      <c r="AY124" t="e">
        <f t="shared" si="94"/>
        <v>#REF!</v>
      </c>
      <c r="AZ124" t="e">
        <f t="shared" si="94"/>
        <v>#REF!</v>
      </c>
      <c r="BA124" t="e">
        <f t="shared" si="94"/>
        <v>#REF!</v>
      </c>
      <c r="BB124" t="e">
        <f t="shared" si="84"/>
        <v>#REF!</v>
      </c>
      <c r="BC124" t="e">
        <f t="shared" si="84"/>
        <v>#REF!</v>
      </c>
      <c r="BD124" t="e">
        <f t="shared" si="84"/>
        <v>#REF!</v>
      </c>
      <c r="BE124" t="e">
        <f t="shared" si="84"/>
        <v>#REF!</v>
      </c>
      <c r="BF124" t="e">
        <f t="shared" si="84"/>
        <v>#REF!</v>
      </c>
      <c r="BG124" t="e">
        <f t="shared" si="84"/>
        <v>#REF!</v>
      </c>
      <c r="BH124" t="e">
        <f t="shared" si="84"/>
        <v>#REF!</v>
      </c>
      <c r="BI124" t="e">
        <f t="shared" si="84"/>
        <v>#REF!</v>
      </c>
      <c r="BJ124" t="e">
        <f t="shared" si="84"/>
        <v>#REF!</v>
      </c>
      <c r="BK124" t="e">
        <f t="shared" si="84"/>
        <v>#REF!</v>
      </c>
      <c r="BL124" t="e">
        <f t="shared" si="83"/>
        <v>#REF!</v>
      </c>
      <c r="BM124" t="e">
        <f t="shared" si="83"/>
        <v>#REF!</v>
      </c>
      <c r="BN124" t="e">
        <f t="shared" si="83"/>
        <v>#REF!</v>
      </c>
      <c r="BO124" t="e">
        <f t="shared" si="83"/>
        <v>#REF!</v>
      </c>
      <c r="BP124" t="e">
        <f t="shared" si="83"/>
        <v>#REF!</v>
      </c>
      <c r="BQ124" t="e">
        <f t="shared" si="83"/>
        <v>#REF!</v>
      </c>
      <c r="BR124" t="e">
        <f t="shared" si="83"/>
        <v>#REF!</v>
      </c>
      <c r="BS124" t="e">
        <f t="shared" si="83"/>
        <v>#REF!</v>
      </c>
      <c r="BT124" t="e">
        <f t="shared" si="83"/>
        <v>#REF!</v>
      </c>
      <c r="BU124" t="e">
        <f t="shared" si="83"/>
        <v>#REF!</v>
      </c>
      <c r="BV124" t="e">
        <f t="shared" si="83"/>
        <v>#REF!</v>
      </c>
      <c r="BW124" t="e">
        <f t="shared" si="83"/>
        <v>#REF!</v>
      </c>
      <c r="BX124" t="e">
        <f t="shared" si="83"/>
        <v>#REF!</v>
      </c>
      <c r="BY124" t="e">
        <f t="shared" si="83"/>
        <v>#REF!</v>
      </c>
      <c r="BZ124" t="e">
        <f t="shared" si="83"/>
        <v>#REF!</v>
      </c>
      <c r="CA124" t="e">
        <f t="shared" si="83"/>
        <v>#REF!</v>
      </c>
      <c r="CB124" t="e">
        <f t="shared" si="95"/>
        <v>#REF!</v>
      </c>
      <c r="CC124" t="e">
        <f t="shared" si="95"/>
        <v>#REF!</v>
      </c>
      <c r="CD124" t="e">
        <f t="shared" si="95"/>
        <v>#REF!</v>
      </c>
      <c r="CE124" t="e">
        <f t="shared" si="95"/>
        <v>#REF!</v>
      </c>
      <c r="CF124" t="e">
        <f t="shared" si="93"/>
        <v>#REF!</v>
      </c>
      <c r="CG124" t="e">
        <f t="shared" si="93"/>
        <v>#REF!</v>
      </c>
      <c r="CH124" t="e">
        <f t="shared" si="93"/>
        <v>#REF!</v>
      </c>
      <c r="CI124" t="e">
        <f t="shared" si="93"/>
        <v>#REF!</v>
      </c>
      <c r="CJ124" t="e">
        <f t="shared" si="93"/>
        <v>#REF!</v>
      </c>
      <c r="CK124" t="e">
        <f t="shared" si="93"/>
        <v>#REF!</v>
      </c>
      <c r="CL124" t="e">
        <f t="shared" si="93"/>
        <v>#REF!</v>
      </c>
      <c r="CM124" t="e">
        <f t="shared" si="93"/>
        <v>#REF!</v>
      </c>
      <c r="CN124" t="e">
        <f t="shared" si="93"/>
        <v>#REF!</v>
      </c>
      <c r="CO124" t="e">
        <f t="shared" si="93"/>
        <v>#REF!</v>
      </c>
      <c r="CP124" t="e">
        <f t="shared" si="93"/>
        <v>#REF!</v>
      </c>
      <c r="CQ124" t="e">
        <f t="shared" si="93"/>
        <v>#REF!</v>
      </c>
      <c r="CR124" t="e">
        <f t="shared" si="93"/>
        <v>#REF!</v>
      </c>
      <c r="CS124" t="e">
        <f t="shared" si="93"/>
        <v>#REF!</v>
      </c>
      <c r="CT124" t="e">
        <f t="shared" si="93"/>
        <v>#REF!</v>
      </c>
      <c r="CU124" t="e">
        <f t="shared" si="98"/>
        <v>#REF!</v>
      </c>
      <c r="CV124" t="e">
        <f t="shared" si="98"/>
        <v>#REF!</v>
      </c>
      <c r="CW124" t="e">
        <f t="shared" si="98"/>
        <v>#REF!</v>
      </c>
      <c r="CX124" t="e">
        <f t="shared" si="98"/>
        <v>#REF!</v>
      </c>
      <c r="CY124" t="e">
        <f t="shared" si="98"/>
        <v>#REF!</v>
      </c>
      <c r="CZ124" t="e">
        <f t="shared" si="87"/>
        <v>#REF!</v>
      </c>
      <c r="DA124" t="e">
        <f t="shared" si="87"/>
        <v>#REF!</v>
      </c>
      <c r="DB124" t="e">
        <f t="shared" si="87"/>
        <v>#REF!</v>
      </c>
      <c r="DC124" t="e">
        <f t="shared" si="87"/>
        <v>#REF!</v>
      </c>
      <c r="DD124" t="e">
        <f t="shared" si="87"/>
        <v>#REF!</v>
      </c>
      <c r="DE124" t="e">
        <f t="shared" si="87"/>
        <v>#REF!</v>
      </c>
      <c r="DF124" t="e">
        <f t="shared" si="87"/>
        <v>#REF!</v>
      </c>
      <c r="DG124" t="e">
        <f t="shared" si="87"/>
        <v>#REF!</v>
      </c>
      <c r="DH124" t="e">
        <f t="shared" si="87"/>
        <v>#REF!</v>
      </c>
      <c r="DI124" t="e">
        <f t="shared" si="87"/>
        <v>#REF!</v>
      </c>
      <c r="DJ124" t="e">
        <f t="shared" si="87"/>
        <v>#REF!</v>
      </c>
      <c r="DK124" t="e">
        <f t="shared" si="87"/>
        <v>#REF!</v>
      </c>
      <c r="DL124" t="e">
        <f t="shared" si="87"/>
        <v>#REF!</v>
      </c>
      <c r="DM124" t="e">
        <f t="shared" si="87"/>
        <v>#REF!</v>
      </c>
      <c r="DN124" t="e">
        <f t="shared" si="86"/>
        <v>#REF!</v>
      </c>
      <c r="DO124" t="e">
        <f t="shared" si="86"/>
        <v>#REF!</v>
      </c>
      <c r="DP124" t="e">
        <f t="shared" si="86"/>
        <v>#REF!</v>
      </c>
      <c r="DQ124" t="e">
        <f t="shared" si="86"/>
        <v>#REF!</v>
      </c>
      <c r="DR124" t="e">
        <f t="shared" si="86"/>
        <v>#REF!</v>
      </c>
      <c r="DS124" t="e">
        <f t="shared" si="86"/>
        <v>#REF!</v>
      </c>
      <c r="DT124" t="e">
        <f t="shared" si="86"/>
        <v>#REF!</v>
      </c>
      <c r="DU124" t="e">
        <f t="shared" si="86"/>
        <v>#REF!</v>
      </c>
      <c r="DV124" t="e">
        <f t="shared" si="86"/>
        <v>#REF!</v>
      </c>
      <c r="DW124" t="e">
        <f t="shared" si="86"/>
        <v>#REF!</v>
      </c>
      <c r="DX124" t="e">
        <f t="shared" si="86"/>
        <v>#REF!</v>
      </c>
      <c r="DY124" t="e">
        <f t="shared" si="86"/>
        <v>#REF!</v>
      </c>
      <c r="DZ124" t="e">
        <f t="shared" si="63"/>
        <v>#REF!</v>
      </c>
      <c r="EA124" t="e">
        <f t="shared" si="63"/>
        <v>#REF!</v>
      </c>
      <c r="EB124" t="e">
        <f t="shared" si="63"/>
        <v>#REF!</v>
      </c>
      <c r="EC124" t="e">
        <f t="shared" si="63"/>
        <v>#REF!</v>
      </c>
      <c r="ED124" t="e">
        <f t="shared" si="99"/>
        <v>#REF!</v>
      </c>
      <c r="EE124" t="e">
        <f t="shared" si="99"/>
        <v>#REF!</v>
      </c>
      <c r="EF124" t="e">
        <f t="shared" si="99"/>
        <v>#REF!</v>
      </c>
      <c r="EG124" t="e">
        <f t="shared" si="99"/>
        <v>#REF!</v>
      </c>
      <c r="EH124" t="e">
        <f t="shared" si="99"/>
        <v>#REF!</v>
      </c>
      <c r="EI124" t="e">
        <f t="shared" si="99"/>
        <v>#REF!</v>
      </c>
      <c r="EJ124" t="e">
        <f t="shared" si="99"/>
        <v>#REF!</v>
      </c>
      <c r="EK124" t="e">
        <f t="shared" si="99"/>
        <v>#REF!</v>
      </c>
      <c r="EL124" t="e">
        <f t="shared" si="99"/>
        <v>#REF!</v>
      </c>
      <c r="EM124" t="e">
        <f t="shared" si="99"/>
        <v>#REF!</v>
      </c>
    </row>
    <row r="125" spans="1:143" x14ac:dyDescent="0.4">
      <c r="A125" t="str">
        <f t="shared" si="51"/>
        <v>X</v>
      </c>
      <c r="B125">
        <v>122</v>
      </c>
      <c r="C125" t="e" cm="1">
        <f t="array" ref="C125">INDEX(auto_Series_Code,B125)</f>
        <v>#REF!</v>
      </c>
      <c r="D125" t="e">
        <f t="shared" si="92"/>
        <v>#REF!</v>
      </c>
      <c r="E125" t="e">
        <f t="shared" si="92"/>
        <v>#REF!</v>
      </c>
      <c r="F125" t="e">
        <f t="shared" si="92"/>
        <v>#REF!</v>
      </c>
      <c r="G125" t="e">
        <f t="shared" si="92"/>
        <v>#REF!</v>
      </c>
      <c r="H125" t="e">
        <f t="shared" si="92"/>
        <v>#REF!</v>
      </c>
      <c r="I125" t="e">
        <f t="shared" si="92"/>
        <v>#REF!</v>
      </c>
      <c r="J125" t="e">
        <f t="shared" si="92"/>
        <v>#REF!</v>
      </c>
      <c r="K125" t="e">
        <f t="shared" si="92"/>
        <v>#REF!</v>
      </c>
      <c r="L125" t="e">
        <f t="shared" si="92"/>
        <v>#REF!</v>
      </c>
      <c r="M125" t="e">
        <f t="shared" si="92"/>
        <v>#REF!</v>
      </c>
      <c r="N125" t="e">
        <f t="shared" si="92"/>
        <v>#REF!</v>
      </c>
      <c r="O125" t="e">
        <f t="shared" si="92"/>
        <v>#REF!</v>
      </c>
      <c r="P125" t="e">
        <f t="shared" si="92"/>
        <v>#REF!</v>
      </c>
      <c r="Q125" t="e">
        <f t="shared" si="92"/>
        <v>#REF!</v>
      </c>
      <c r="R125" t="e">
        <f t="shared" si="92"/>
        <v>#REF!</v>
      </c>
      <c r="S125" t="e">
        <f t="shared" si="92"/>
        <v>#REF!</v>
      </c>
      <c r="T125" t="e">
        <f t="shared" si="91"/>
        <v>#REF!</v>
      </c>
      <c r="U125" t="e">
        <f t="shared" si="91"/>
        <v>#REF!</v>
      </c>
      <c r="V125" t="e">
        <f t="shared" si="91"/>
        <v>#REF!</v>
      </c>
      <c r="W125" t="e">
        <f t="shared" si="91"/>
        <v>#REF!</v>
      </c>
      <c r="X125" t="e">
        <f t="shared" si="80"/>
        <v>#REF!</v>
      </c>
      <c r="Y125" t="e">
        <f t="shared" si="80"/>
        <v>#REF!</v>
      </c>
      <c r="Z125" t="e">
        <f t="shared" si="80"/>
        <v>#REF!</v>
      </c>
      <c r="AA125" t="e">
        <f t="shared" si="80"/>
        <v>#REF!</v>
      </c>
      <c r="AB125" t="e">
        <f t="shared" si="80"/>
        <v>#REF!</v>
      </c>
      <c r="AC125" t="e">
        <f t="shared" si="80"/>
        <v>#REF!</v>
      </c>
      <c r="AD125" t="e">
        <f t="shared" si="80"/>
        <v>#REF!</v>
      </c>
      <c r="AE125" t="e">
        <f t="shared" si="80"/>
        <v>#REF!</v>
      </c>
      <c r="AF125" t="e">
        <f t="shared" si="80"/>
        <v>#REF!</v>
      </c>
      <c r="AG125" t="e">
        <f t="shared" si="80"/>
        <v>#REF!</v>
      </c>
      <c r="AH125" t="e">
        <f t="shared" si="80"/>
        <v>#REF!</v>
      </c>
      <c r="AI125" t="e">
        <f t="shared" si="89"/>
        <v>#REF!</v>
      </c>
      <c r="AJ125" t="e">
        <f t="shared" si="89"/>
        <v>#REF!</v>
      </c>
      <c r="AK125" t="e">
        <f t="shared" si="89"/>
        <v>#REF!</v>
      </c>
      <c r="AL125" t="e">
        <f t="shared" si="89"/>
        <v>#REF!</v>
      </c>
      <c r="AM125" t="e">
        <f t="shared" si="89"/>
        <v>#REF!</v>
      </c>
      <c r="AN125" t="e">
        <f t="shared" si="89"/>
        <v>#REF!</v>
      </c>
      <c r="AO125" t="e">
        <f t="shared" si="89"/>
        <v>#REF!</v>
      </c>
      <c r="AP125" t="e">
        <f t="shared" si="89"/>
        <v>#REF!</v>
      </c>
      <c r="AQ125" t="e">
        <f t="shared" si="89"/>
        <v>#REF!</v>
      </c>
      <c r="AR125" t="e">
        <f t="shared" si="89"/>
        <v>#REF!</v>
      </c>
      <c r="AS125" t="e">
        <f t="shared" si="89"/>
        <v>#REF!</v>
      </c>
      <c r="AT125" t="e">
        <f t="shared" si="89"/>
        <v>#REF!</v>
      </c>
      <c r="AU125" t="e">
        <f t="shared" si="89"/>
        <v>#REF!</v>
      </c>
      <c r="AV125" t="e">
        <f t="shared" si="89"/>
        <v>#REF!</v>
      </c>
      <c r="AW125" t="e">
        <f t="shared" si="89"/>
        <v>#REF!</v>
      </c>
      <c r="AX125" t="e">
        <f t="shared" si="89"/>
        <v>#REF!</v>
      </c>
      <c r="AY125" t="e">
        <f t="shared" si="94"/>
        <v>#REF!</v>
      </c>
      <c r="AZ125" t="e">
        <f t="shared" si="94"/>
        <v>#REF!</v>
      </c>
      <c r="BA125" t="e">
        <f t="shared" si="94"/>
        <v>#REF!</v>
      </c>
      <c r="BB125" t="e">
        <f t="shared" si="84"/>
        <v>#REF!</v>
      </c>
      <c r="BC125" t="e">
        <f t="shared" si="84"/>
        <v>#REF!</v>
      </c>
      <c r="BD125" t="e">
        <f t="shared" si="84"/>
        <v>#REF!</v>
      </c>
      <c r="BE125" t="e">
        <f t="shared" si="84"/>
        <v>#REF!</v>
      </c>
      <c r="BF125" t="e">
        <f t="shared" si="84"/>
        <v>#REF!</v>
      </c>
      <c r="BG125" t="e">
        <f t="shared" si="84"/>
        <v>#REF!</v>
      </c>
      <c r="BH125" t="e">
        <f t="shared" si="84"/>
        <v>#REF!</v>
      </c>
      <c r="BI125" t="e">
        <f t="shared" si="84"/>
        <v>#REF!</v>
      </c>
      <c r="BJ125" t="e">
        <f t="shared" si="84"/>
        <v>#REF!</v>
      </c>
      <c r="BK125" t="e">
        <f t="shared" si="84"/>
        <v>#REF!</v>
      </c>
      <c r="BL125" t="e">
        <f t="shared" si="83"/>
        <v>#REF!</v>
      </c>
      <c r="BM125" t="e">
        <f t="shared" si="83"/>
        <v>#REF!</v>
      </c>
      <c r="BN125" t="e">
        <f t="shared" si="83"/>
        <v>#REF!</v>
      </c>
      <c r="BO125" t="e">
        <f t="shared" si="83"/>
        <v>#REF!</v>
      </c>
      <c r="BP125" t="e">
        <f t="shared" si="83"/>
        <v>#REF!</v>
      </c>
      <c r="BQ125" t="e">
        <f t="shared" si="83"/>
        <v>#REF!</v>
      </c>
      <c r="BR125" t="e">
        <f t="shared" si="83"/>
        <v>#REF!</v>
      </c>
      <c r="BS125" t="e">
        <f t="shared" si="83"/>
        <v>#REF!</v>
      </c>
      <c r="BT125" t="e">
        <f t="shared" si="83"/>
        <v>#REF!</v>
      </c>
      <c r="BU125" t="e">
        <f t="shared" si="83"/>
        <v>#REF!</v>
      </c>
      <c r="BV125" t="e">
        <f t="shared" si="83"/>
        <v>#REF!</v>
      </c>
      <c r="BW125" t="e">
        <f t="shared" si="83"/>
        <v>#REF!</v>
      </c>
      <c r="BX125" t="e">
        <f t="shared" si="83"/>
        <v>#REF!</v>
      </c>
      <c r="BY125" t="e">
        <f t="shared" si="83"/>
        <v>#REF!</v>
      </c>
      <c r="BZ125" t="e">
        <f t="shared" si="83"/>
        <v>#REF!</v>
      </c>
      <c r="CA125" t="e">
        <f t="shared" si="83"/>
        <v>#REF!</v>
      </c>
      <c r="CB125" t="e">
        <f t="shared" si="95"/>
        <v>#REF!</v>
      </c>
      <c r="CC125" t="e">
        <f t="shared" si="95"/>
        <v>#REF!</v>
      </c>
      <c r="CD125" t="e">
        <f t="shared" si="95"/>
        <v>#REF!</v>
      </c>
      <c r="CE125" t="e">
        <f t="shared" si="95"/>
        <v>#REF!</v>
      </c>
      <c r="CF125" t="e">
        <f t="shared" si="93"/>
        <v>#REF!</v>
      </c>
      <c r="CG125" t="e">
        <f t="shared" si="93"/>
        <v>#REF!</v>
      </c>
      <c r="CH125" t="e">
        <f t="shared" si="93"/>
        <v>#REF!</v>
      </c>
      <c r="CI125" t="e">
        <f t="shared" si="93"/>
        <v>#REF!</v>
      </c>
      <c r="CJ125" t="e">
        <f t="shared" si="93"/>
        <v>#REF!</v>
      </c>
      <c r="CK125" t="e">
        <f t="shared" si="93"/>
        <v>#REF!</v>
      </c>
      <c r="CL125" t="e">
        <f t="shared" si="93"/>
        <v>#REF!</v>
      </c>
      <c r="CM125" t="e">
        <f t="shared" si="93"/>
        <v>#REF!</v>
      </c>
      <c r="CN125" t="e">
        <f t="shared" si="93"/>
        <v>#REF!</v>
      </c>
      <c r="CO125" t="e">
        <f t="shared" si="93"/>
        <v>#REF!</v>
      </c>
      <c r="CP125" t="e">
        <f t="shared" si="93"/>
        <v>#REF!</v>
      </c>
      <c r="CQ125" t="e">
        <f t="shared" si="93"/>
        <v>#REF!</v>
      </c>
      <c r="CR125" t="e">
        <f t="shared" si="93"/>
        <v>#REF!</v>
      </c>
      <c r="CS125" t="e">
        <f t="shared" si="93"/>
        <v>#REF!</v>
      </c>
      <c r="CT125" t="e">
        <f t="shared" si="93"/>
        <v>#REF!</v>
      </c>
      <c r="CU125" t="e">
        <f t="shared" si="98"/>
        <v>#REF!</v>
      </c>
      <c r="CV125" t="e">
        <f t="shared" si="98"/>
        <v>#REF!</v>
      </c>
      <c r="CW125" t="e">
        <f t="shared" si="98"/>
        <v>#REF!</v>
      </c>
      <c r="CX125" t="e">
        <f t="shared" si="98"/>
        <v>#REF!</v>
      </c>
      <c r="CY125" t="e">
        <f t="shared" si="98"/>
        <v>#REF!</v>
      </c>
      <c r="CZ125" t="e">
        <f t="shared" si="87"/>
        <v>#REF!</v>
      </c>
      <c r="DA125" t="e">
        <f t="shared" si="87"/>
        <v>#REF!</v>
      </c>
      <c r="DB125" t="e">
        <f t="shared" si="87"/>
        <v>#REF!</v>
      </c>
      <c r="DC125" t="e">
        <f t="shared" si="87"/>
        <v>#REF!</v>
      </c>
      <c r="DD125" t="e">
        <f t="shared" si="87"/>
        <v>#REF!</v>
      </c>
      <c r="DE125" t="e">
        <f t="shared" si="87"/>
        <v>#REF!</v>
      </c>
      <c r="DF125" t="e">
        <f t="shared" si="87"/>
        <v>#REF!</v>
      </c>
      <c r="DG125" t="e">
        <f t="shared" si="87"/>
        <v>#REF!</v>
      </c>
      <c r="DH125" t="e">
        <f t="shared" si="87"/>
        <v>#REF!</v>
      </c>
      <c r="DI125" t="e">
        <f t="shared" si="87"/>
        <v>#REF!</v>
      </c>
      <c r="DJ125" t="e">
        <f t="shared" si="87"/>
        <v>#REF!</v>
      </c>
      <c r="DK125" t="e">
        <f t="shared" si="87"/>
        <v>#REF!</v>
      </c>
      <c r="DL125" t="e">
        <f t="shared" si="87"/>
        <v>#REF!</v>
      </c>
      <c r="DM125" t="e">
        <f t="shared" si="87"/>
        <v>#REF!</v>
      </c>
      <c r="DN125" t="e">
        <f t="shared" si="86"/>
        <v>#REF!</v>
      </c>
      <c r="DO125" t="e">
        <f t="shared" si="86"/>
        <v>#REF!</v>
      </c>
      <c r="DP125" t="e">
        <f t="shared" si="86"/>
        <v>#REF!</v>
      </c>
      <c r="DQ125" t="e">
        <f t="shared" si="86"/>
        <v>#REF!</v>
      </c>
      <c r="DR125" t="e">
        <f t="shared" si="86"/>
        <v>#REF!</v>
      </c>
      <c r="DS125" t="e">
        <f t="shared" si="86"/>
        <v>#REF!</v>
      </c>
      <c r="DT125" t="e">
        <f t="shared" si="86"/>
        <v>#REF!</v>
      </c>
      <c r="DU125" t="e">
        <f t="shared" si="86"/>
        <v>#REF!</v>
      </c>
      <c r="DV125" t="e">
        <f t="shared" si="86"/>
        <v>#REF!</v>
      </c>
      <c r="DW125" t="e">
        <f t="shared" si="86"/>
        <v>#REF!</v>
      </c>
      <c r="DX125" t="e">
        <f t="shared" si="86"/>
        <v>#REF!</v>
      </c>
      <c r="DY125" t="e">
        <f t="shared" si="86"/>
        <v>#REF!</v>
      </c>
      <c r="DZ125" t="e">
        <f t="shared" si="63"/>
        <v>#REF!</v>
      </c>
      <c r="EA125" t="e">
        <f t="shared" si="63"/>
        <v>#REF!</v>
      </c>
      <c r="EB125" t="e">
        <f t="shared" si="63"/>
        <v>#REF!</v>
      </c>
      <c r="EC125" t="e">
        <f t="shared" si="63"/>
        <v>#REF!</v>
      </c>
      <c r="ED125" t="e">
        <f t="shared" si="99"/>
        <v>#REF!</v>
      </c>
      <c r="EE125" t="e">
        <f t="shared" si="99"/>
        <v>#REF!</v>
      </c>
      <c r="EF125" t="e">
        <f t="shared" si="99"/>
        <v>#REF!</v>
      </c>
      <c r="EG125" t="e">
        <f t="shared" si="99"/>
        <v>#REF!</v>
      </c>
      <c r="EH125" t="e">
        <f t="shared" si="99"/>
        <v>#REF!</v>
      </c>
      <c r="EI125" t="e">
        <f t="shared" si="99"/>
        <v>#REF!</v>
      </c>
      <c r="EJ125" t="e">
        <f t="shared" si="99"/>
        <v>#REF!</v>
      </c>
      <c r="EK125" t="e">
        <f t="shared" si="99"/>
        <v>#REF!</v>
      </c>
      <c r="EL125" t="e">
        <f t="shared" si="99"/>
        <v>#REF!</v>
      </c>
      <c r="EM125" t="e">
        <f t="shared" si="99"/>
        <v>#REF!</v>
      </c>
    </row>
    <row r="126" spans="1:143" x14ac:dyDescent="0.4">
      <c r="A126" t="str">
        <f t="shared" si="51"/>
        <v>X</v>
      </c>
      <c r="B126">
        <v>123</v>
      </c>
      <c r="C126" t="e" cm="1">
        <f t="array" ref="C126">INDEX(auto_Series_Code,B126)</f>
        <v>#REF!</v>
      </c>
      <c r="D126" t="e">
        <f t="shared" si="92"/>
        <v>#REF!</v>
      </c>
      <c r="E126" t="e">
        <f t="shared" si="92"/>
        <v>#REF!</v>
      </c>
      <c r="F126" t="e">
        <f t="shared" si="92"/>
        <v>#REF!</v>
      </c>
      <c r="G126" t="e">
        <f t="shared" si="92"/>
        <v>#REF!</v>
      </c>
      <c r="H126" t="e">
        <f t="shared" si="92"/>
        <v>#REF!</v>
      </c>
      <c r="I126" t="e">
        <f t="shared" si="92"/>
        <v>#REF!</v>
      </c>
      <c r="J126" t="e">
        <f t="shared" si="92"/>
        <v>#REF!</v>
      </c>
      <c r="K126" t="e">
        <f t="shared" si="92"/>
        <v>#REF!</v>
      </c>
      <c r="L126" t="e">
        <f t="shared" si="92"/>
        <v>#REF!</v>
      </c>
      <c r="M126" t="e">
        <f t="shared" si="92"/>
        <v>#REF!</v>
      </c>
      <c r="N126" t="e">
        <f t="shared" si="92"/>
        <v>#REF!</v>
      </c>
      <c r="O126" t="e">
        <f t="shared" si="92"/>
        <v>#REF!</v>
      </c>
      <c r="P126" t="e">
        <f t="shared" si="92"/>
        <v>#REF!</v>
      </c>
      <c r="Q126" t="e">
        <f t="shared" si="92"/>
        <v>#REF!</v>
      </c>
      <c r="R126" t="e">
        <f t="shared" si="92"/>
        <v>#REF!</v>
      </c>
      <c r="S126" t="e">
        <f t="shared" si="92"/>
        <v>#REF!</v>
      </c>
      <c r="T126" t="e">
        <f t="shared" si="91"/>
        <v>#REF!</v>
      </c>
      <c r="U126" t="e">
        <f t="shared" si="91"/>
        <v>#REF!</v>
      </c>
      <c r="V126" t="e">
        <f t="shared" si="91"/>
        <v>#REF!</v>
      </c>
      <c r="W126" t="e">
        <f t="shared" si="91"/>
        <v>#REF!</v>
      </c>
      <c r="X126" t="e">
        <f t="shared" si="80"/>
        <v>#REF!</v>
      </c>
      <c r="Y126" t="e">
        <f t="shared" si="80"/>
        <v>#REF!</v>
      </c>
      <c r="Z126" t="e">
        <f t="shared" si="80"/>
        <v>#REF!</v>
      </c>
      <c r="AA126" t="e">
        <f t="shared" si="80"/>
        <v>#REF!</v>
      </c>
      <c r="AB126" t="e">
        <f t="shared" si="80"/>
        <v>#REF!</v>
      </c>
      <c r="AC126" t="e">
        <f t="shared" si="80"/>
        <v>#REF!</v>
      </c>
      <c r="AD126" t="e">
        <f t="shared" si="80"/>
        <v>#REF!</v>
      </c>
      <c r="AE126" t="e">
        <f t="shared" si="80"/>
        <v>#REF!</v>
      </c>
      <c r="AF126" t="e">
        <f t="shared" si="80"/>
        <v>#REF!</v>
      </c>
      <c r="AG126" t="e">
        <f t="shared" si="80"/>
        <v>#REF!</v>
      </c>
      <c r="AH126" t="e">
        <f t="shared" si="80"/>
        <v>#REF!</v>
      </c>
      <c r="AI126" t="e">
        <f t="shared" si="89"/>
        <v>#REF!</v>
      </c>
      <c r="AJ126" t="e">
        <f t="shared" si="89"/>
        <v>#REF!</v>
      </c>
      <c r="AK126" t="e">
        <f t="shared" si="89"/>
        <v>#REF!</v>
      </c>
      <c r="AL126" t="e">
        <f t="shared" si="89"/>
        <v>#REF!</v>
      </c>
      <c r="AM126" t="e">
        <f t="shared" si="89"/>
        <v>#REF!</v>
      </c>
      <c r="AN126" t="e">
        <f t="shared" si="89"/>
        <v>#REF!</v>
      </c>
      <c r="AO126" t="e">
        <f t="shared" si="89"/>
        <v>#REF!</v>
      </c>
      <c r="AP126" t="e">
        <f t="shared" si="89"/>
        <v>#REF!</v>
      </c>
      <c r="AQ126" t="e">
        <f t="shared" si="89"/>
        <v>#REF!</v>
      </c>
      <c r="AR126" t="e">
        <f t="shared" si="89"/>
        <v>#REF!</v>
      </c>
      <c r="AS126" t="e">
        <f t="shared" si="89"/>
        <v>#REF!</v>
      </c>
      <c r="AT126" t="e">
        <f t="shared" si="89"/>
        <v>#REF!</v>
      </c>
      <c r="AU126" t="e">
        <f t="shared" si="89"/>
        <v>#REF!</v>
      </c>
      <c r="AV126" t="e">
        <f t="shared" si="89"/>
        <v>#REF!</v>
      </c>
      <c r="AW126" t="e">
        <f t="shared" si="89"/>
        <v>#REF!</v>
      </c>
      <c r="AX126" t="e">
        <f t="shared" si="89"/>
        <v>#REF!</v>
      </c>
      <c r="AY126" t="e">
        <f t="shared" si="94"/>
        <v>#REF!</v>
      </c>
      <c r="AZ126" t="e">
        <f t="shared" si="94"/>
        <v>#REF!</v>
      </c>
      <c r="BA126" t="e">
        <f t="shared" si="94"/>
        <v>#REF!</v>
      </c>
      <c r="BB126" t="e">
        <f t="shared" si="84"/>
        <v>#REF!</v>
      </c>
      <c r="BC126" t="e">
        <f t="shared" si="84"/>
        <v>#REF!</v>
      </c>
      <c r="BD126" t="e">
        <f t="shared" si="84"/>
        <v>#REF!</v>
      </c>
      <c r="BE126" t="e">
        <f t="shared" si="84"/>
        <v>#REF!</v>
      </c>
      <c r="BF126" t="e">
        <f t="shared" si="84"/>
        <v>#REF!</v>
      </c>
      <c r="BG126" t="e">
        <f t="shared" si="84"/>
        <v>#REF!</v>
      </c>
      <c r="BH126" t="e">
        <f t="shared" si="84"/>
        <v>#REF!</v>
      </c>
      <c r="BI126" t="e">
        <f t="shared" si="84"/>
        <v>#REF!</v>
      </c>
      <c r="BJ126" t="e">
        <f t="shared" si="84"/>
        <v>#REF!</v>
      </c>
      <c r="BK126" t="e">
        <f t="shared" si="84"/>
        <v>#REF!</v>
      </c>
      <c r="BL126" t="e">
        <f t="shared" si="83"/>
        <v>#REF!</v>
      </c>
      <c r="BM126" t="e">
        <f t="shared" si="83"/>
        <v>#REF!</v>
      </c>
      <c r="BN126" t="e">
        <f t="shared" si="83"/>
        <v>#REF!</v>
      </c>
      <c r="BO126" t="e">
        <f t="shared" si="83"/>
        <v>#REF!</v>
      </c>
      <c r="BP126" t="e">
        <f t="shared" si="83"/>
        <v>#REF!</v>
      </c>
      <c r="BQ126" t="e">
        <f t="shared" si="83"/>
        <v>#REF!</v>
      </c>
      <c r="BR126" t="e">
        <f t="shared" si="83"/>
        <v>#REF!</v>
      </c>
      <c r="BS126" t="e">
        <f t="shared" si="83"/>
        <v>#REF!</v>
      </c>
      <c r="BT126" t="e">
        <f t="shared" si="83"/>
        <v>#REF!</v>
      </c>
      <c r="BU126" t="e">
        <f t="shared" si="83"/>
        <v>#REF!</v>
      </c>
      <c r="BV126" t="e">
        <f t="shared" si="83"/>
        <v>#REF!</v>
      </c>
      <c r="BW126" t="e">
        <f t="shared" si="83"/>
        <v>#REF!</v>
      </c>
      <c r="BX126" t="e">
        <f t="shared" si="83"/>
        <v>#REF!</v>
      </c>
      <c r="BY126" t="e">
        <f t="shared" si="83"/>
        <v>#REF!</v>
      </c>
      <c r="BZ126" t="e">
        <f t="shared" si="83"/>
        <v>#REF!</v>
      </c>
      <c r="CA126" t="e">
        <f t="shared" si="83"/>
        <v>#REF!</v>
      </c>
      <c r="CB126" t="e">
        <f t="shared" si="95"/>
        <v>#REF!</v>
      </c>
      <c r="CC126" t="e">
        <f t="shared" si="95"/>
        <v>#REF!</v>
      </c>
      <c r="CD126" t="e">
        <f t="shared" si="95"/>
        <v>#REF!</v>
      </c>
      <c r="CE126" t="e">
        <f t="shared" si="95"/>
        <v>#REF!</v>
      </c>
      <c r="CF126" t="e">
        <f t="shared" si="93"/>
        <v>#REF!</v>
      </c>
      <c r="CG126" t="e">
        <f t="shared" si="93"/>
        <v>#REF!</v>
      </c>
      <c r="CH126" t="e">
        <f t="shared" si="93"/>
        <v>#REF!</v>
      </c>
      <c r="CI126" t="e">
        <f t="shared" si="93"/>
        <v>#REF!</v>
      </c>
      <c r="CJ126" t="e">
        <f t="shared" si="93"/>
        <v>#REF!</v>
      </c>
      <c r="CK126" t="e">
        <f t="shared" si="93"/>
        <v>#REF!</v>
      </c>
      <c r="CL126" t="e">
        <f t="shared" si="93"/>
        <v>#REF!</v>
      </c>
      <c r="CM126" t="e">
        <f t="shared" si="93"/>
        <v>#REF!</v>
      </c>
      <c r="CN126" t="e">
        <f t="shared" si="93"/>
        <v>#REF!</v>
      </c>
      <c r="CO126" t="e">
        <f t="shared" si="93"/>
        <v>#REF!</v>
      </c>
      <c r="CP126" t="e">
        <f t="shared" si="93"/>
        <v>#REF!</v>
      </c>
      <c r="CQ126" t="e">
        <f t="shared" si="93"/>
        <v>#REF!</v>
      </c>
      <c r="CR126" t="e">
        <f t="shared" si="93"/>
        <v>#REF!</v>
      </c>
      <c r="CS126" t="e">
        <f t="shared" si="93"/>
        <v>#REF!</v>
      </c>
      <c r="CT126" t="e">
        <f t="shared" si="93"/>
        <v>#REF!</v>
      </c>
      <c r="CU126" t="e">
        <f t="shared" si="98"/>
        <v>#REF!</v>
      </c>
      <c r="CV126" t="e">
        <f t="shared" si="98"/>
        <v>#REF!</v>
      </c>
      <c r="CW126" t="e">
        <f t="shared" si="98"/>
        <v>#REF!</v>
      </c>
      <c r="CX126" t="e">
        <f t="shared" si="98"/>
        <v>#REF!</v>
      </c>
      <c r="CY126" t="e">
        <f t="shared" si="98"/>
        <v>#REF!</v>
      </c>
      <c r="CZ126" t="e">
        <f t="shared" si="87"/>
        <v>#REF!</v>
      </c>
      <c r="DA126" t="e">
        <f t="shared" si="87"/>
        <v>#REF!</v>
      </c>
      <c r="DB126" t="e">
        <f t="shared" si="87"/>
        <v>#REF!</v>
      </c>
      <c r="DC126" t="e">
        <f t="shared" si="87"/>
        <v>#REF!</v>
      </c>
      <c r="DD126" t="e">
        <f t="shared" si="87"/>
        <v>#REF!</v>
      </c>
      <c r="DE126" t="e">
        <f t="shared" si="87"/>
        <v>#REF!</v>
      </c>
      <c r="DF126" t="e">
        <f t="shared" si="87"/>
        <v>#REF!</v>
      </c>
      <c r="DG126" t="e">
        <f t="shared" si="87"/>
        <v>#REF!</v>
      </c>
      <c r="DH126" t="e">
        <f t="shared" si="87"/>
        <v>#REF!</v>
      </c>
      <c r="DI126" t="e">
        <f t="shared" si="87"/>
        <v>#REF!</v>
      </c>
      <c r="DJ126" t="e">
        <f t="shared" si="87"/>
        <v>#REF!</v>
      </c>
      <c r="DK126" t="e">
        <f t="shared" si="87"/>
        <v>#REF!</v>
      </c>
      <c r="DL126" t="e">
        <f t="shared" si="87"/>
        <v>#REF!</v>
      </c>
      <c r="DM126" t="e">
        <f t="shared" si="87"/>
        <v>#REF!</v>
      </c>
      <c r="DN126" t="e">
        <f t="shared" si="86"/>
        <v>#REF!</v>
      </c>
      <c r="DO126" t="e">
        <f t="shared" si="86"/>
        <v>#REF!</v>
      </c>
      <c r="DP126" t="e">
        <f t="shared" si="86"/>
        <v>#REF!</v>
      </c>
      <c r="DQ126" t="e">
        <f t="shared" si="86"/>
        <v>#REF!</v>
      </c>
      <c r="DR126" t="e">
        <f t="shared" si="86"/>
        <v>#REF!</v>
      </c>
      <c r="DS126" t="e">
        <f t="shared" si="86"/>
        <v>#REF!</v>
      </c>
      <c r="DT126" t="e">
        <f t="shared" si="86"/>
        <v>#REF!</v>
      </c>
      <c r="DU126" t="e">
        <f t="shared" si="86"/>
        <v>#REF!</v>
      </c>
      <c r="DV126" t="e">
        <f t="shared" si="86"/>
        <v>#REF!</v>
      </c>
      <c r="DW126" t="e">
        <f t="shared" si="86"/>
        <v>#REF!</v>
      </c>
      <c r="DX126" t="e">
        <f t="shared" si="86"/>
        <v>#REF!</v>
      </c>
      <c r="DY126" t="e">
        <f t="shared" si="86"/>
        <v>#REF!</v>
      </c>
      <c r="DZ126" t="e">
        <f t="shared" si="63"/>
        <v>#REF!</v>
      </c>
      <c r="EA126" t="e">
        <f t="shared" si="63"/>
        <v>#REF!</v>
      </c>
      <c r="EB126" t="e">
        <f t="shared" si="63"/>
        <v>#REF!</v>
      </c>
      <c r="EC126" t="e">
        <f t="shared" si="63"/>
        <v>#REF!</v>
      </c>
      <c r="ED126" t="e">
        <f t="shared" si="99"/>
        <v>#REF!</v>
      </c>
      <c r="EE126" t="e">
        <f t="shared" si="99"/>
        <v>#REF!</v>
      </c>
      <c r="EF126" t="e">
        <f t="shared" si="99"/>
        <v>#REF!</v>
      </c>
      <c r="EG126" t="e">
        <f t="shared" si="99"/>
        <v>#REF!</v>
      </c>
      <c r="EH126" t="e">
        <f t="shared" si="99"/>
        <v>#REF!</v>
      </c>
      <c r="EI126" t="e">
        <f t="shared" si="99"/>
        <v>#REF!</v>
      </c>
      <c r="EJ126" t="e">
        <f t="shared" si="99"/>
        <v>#REF!</v>
      </c>
      <c r="EK126" t="e">
        <f t="shared" si="99"/>
        <v>#REF!</v>
      </c>
      <c r="EL126" t="e">
        <f t="shared" si="99"/>
        <v>#REF!</v>
      </c>
      <c r="EM126" t="e">
        <f t="shared" si="99"/>
        <v>#REF!</v>
      </c>
    </row>
    <row r="127" spans="1:143" x14ac:dyDescent="0.4">
      <c r="A127" t="str">
        <f t="shared" si="51"/>
        <v>X</v>
      </c>
      <c r="B127">
        <v>124</v>
      </c>
      <c r="C127" t="e" cm="1">
        <f t="array" ref="C127">INDEX(auto_Series_Code,B127)</f>
        <v>#REF!</v>
      </c>
      <c r="D127" t="e">
        <f t="shared" si="92"/>
        <v>#REF!</v>
      </c>
      <c r="E127" t="e">
        <f t="shared" si="92"/>
        <v>#REF!</v>
      </c>
      <c r="F127" t="e">
        <f t="shared" si="92"/>
        <v>#REF!</v>
      </c>
      <c r="G127" t="e">
        <f t="shared" si="92"/>
        <v>#REF!</v>
      </c>
      <c r="H127" t="e">
        <f t="shared" si="92"/>
        <v>#REF!</v>
      </c>
      <c r="I127" t="e">
        <f t="shared" si="92"/>
        <v>#REF!</v>
      </c>
      <c r="J127" t="e">
        <f t="shared" si="92"/>
        <v>#REF!</v>
      </c>
      <c r="K127" t="e">
        <f t="shared" si="92"/>
        <v>#REF!</v>
      </c>
      <c r="L127" t="e">
        <f t="shared" si="92"/>
        <v>#REF!</v>
      </c>
      <c r="M127" t="e">
        <f t="shared" si="92"/>
        <v>#REF!</v>
      </c>
      <c r="N127" t="e">
        <f t="shared" si="92"/>
        <v>#REF!</v>
      </c>
      <c r="O127" t="e">
        <f t="shared" si="92"/>
        <v>#REF!</v>
      </c>
      <c r="P127" t="e">
        <f t="shared" si="92"/>
        <v>#REF!</v>
      </c>
      <c r="Q127" t="e">
        <f t="shared" si="92"/>
        <v>#REF!</v>
      </c>
      <c r="R127" t="e">
        <f t="shared" si="92"/>
        <v>#REF!</v>
      </c>
      <c r="S127" t="e">
        <f t="shared" si="92"/>
        <v>#REF!</v>
      </c>
      <c r="T127" t="e">
        <f t="shared" si="91"/>
        <v>#REF!</v>
      </c>
      <c r="U127" t="e">
        <f t="shared" si="91"/>
        <v>#REF!</v>
      </c>
      <c r="V127" t="e">
        <f t="shared" si="91"/>
        <v>#REF!</v>
      </c>
      <c r="W127" t="e">
        <f t="shared" si="91"/>
        <v>#REF!</v>
      </c>
      <c r="X127" t="e">
        <f t="shared" si="80"/>
        <v>#REF!</v>
      </c>
      <c r="Y127" t="e">
        <f t="shared" si="80"/>
        <v>#REF!</v>
      </c>
      <c r="Z127" t="e">
        <f t="shared" si="80"/>
        <v>#REF!</v>
      </c>
      <c r="AA127" t="e">
        <f t="shared" si="80"/>
        <v>#REF!</v>
      </c>
      <c r="AB127" t="e">
        <f t="shared" si="80"/>
        <v>#REF!</v>
      </c>
      <c r="AC127" t="e">
        <f t="shared" si="80"/>
        <v>#REF!</v>
      </c>
      <c r="AD127" t="e">
        <f t="shared" si="80"/>
        <v>#REF!</v>
      </c>
      <c r="AE127" t="e">
        <f t="shared" si="80"/>
        <v>#REF!</v>
      </c>
      <c r="AF127" t="e">
        <f t="shared" si="80"/>
        <v>#REF!</v>
      </c>
      <c r="AG127" t="e">
        <f t="shared" si="80"/>
        <v>#REF!</v>
      </c>
      <c r="AH127" t="e">
        <f t="shared" si="80"/>
        <v>#REF!</v>
      </c>
      <c r="AI127" t="e">
        <f t="shared" si="89"/>
        <v>#REF!</v>
      </c>
      <c r="AJ127" t="e">
        <f t="shared" si="89"/>
        <v>#REF!</v>
      </c>
      <c r="AK127" t="e">
        <f t="shared" si="89"/>
        <v>#REF!</v>
      </c>
      <c r="AL127" t="e">
        <f t="shared" si="89"/>
        <v>#REF!</v>
      </c>
      <c r="AM127" t="e">
        <f t="shared" si="89"/>
        <v>#REF!</v>
      </c>
      <c r="AN127" t="e">
        <f t="shared" si="89"/>
        <v>#REF!</v>
      </c>
      <c r="AO127" t="e">
        <f t="shared" si="89"/>
        <v>#REF!</v>
      </c>
      <c r="AP127" t="e">
        <f t="shared" si="89"/>
        <v>#REF!</v>
      </c>
      <c r="AQ127" t="e">
        <f t="shared" si="89"/>
        <v>#REF!</v>
      </c>
      <c r="AR127" t="e">
        <f t="shared" si="89"/>
        <v>#REF!</v>
      </c>
      <c r="AS127" t="e">
        <f t="shared" si="89"/>
        <v>#REF!</v>
      </c>
      <c r="AT127" t="e">
        <f t="shared" si="89"/>
        <v>#REF!</v>
      </c>
      <c r="AU127" t="e">
        <f t="shared" si="89"/>
        <v>#REF!</v>
      </c>
      <c r="AV127" t="e">
        <f t="shared" si="89"/>
        <v>#REF!</v>
      </c>
      <c r="AW127" t="e">
        <f t="shared" si="89"/>
        <v>#REF!</v>
      </c>
      <c r="AX127" t="e">
        <f t="shared" si="89"/>
        <v>#REF!</v>
      </c>
      <c r="AY127" t="e">
        <f t="shared" si="94"/>
        <v>#REF!</v>
      </c>
      <c r="AZ127" t="e">
        <f t="shared" si="94"/>
        <v>#REF!</v>
      </c>
      <c r="BA127" t="e">
        <f t="shared" si="94"/>
        <v>#REF!</v>
      </c>
      <c r="BB127" t="e">
        <f t="shared" si="84"/>
        <v>#REF!</v>
      </c>
      <c r="BC127" t="e">
        <f t="shared" si="84"/>
        <v>#REF!</v>
      </c>
      <c r="BD127" t="e">
        <f t="shared" si="84"/>
        <v>#REF!</v>
      </c>
      <c r="BE127" t="e">
        <f t="shared" si="84"/>
        <v>#REF!</v>
      </c>
      <c r="BF127" t="e">
        <f t="shared" si="84"/>
        <v>#REF!</v>
      </c>
      <c r="BG127" t="e">
        <f t="shared" si="84"/>
        <v>#REF!</v>
      </c>
      <c r="BH127" t="e">
        <f t="shared" si="84"/>
        <v>#REF!</v>
      </c>
      <c r="BI127" t="e">
        <f t="shared" si="84"/>
        <v>#REF!</v>
      </c>
      <c r="BJ127" t="e">
        <f t="shared" si="84"/>
        <v>#REF!</v>
      </c>
      <c r="BK127" t="e">
        <f t="shared" si="84"/>
        <v>#REF!</v>
      </c>
      <c r="BL127" t="e">
        <f t="shared" si="83"/>
        <v>#REF!</v>
      </c>
      <c r="BM127" t="e">
        <f t="shared" si="83"/>
        <v>#REF!</v>
      </c>
      <c r="BN127" t="e">
        <f t="shared" si="83"/>
        <v>#REF!</v>
      </c>
      <c r="BO127" t="e">
        <f t="shared" si="83"/>
        <v>#REF!</v>
      </c>
      <c r="BP127" t="e">
        <f t="shared" si="83"/>
        <v>#REF!</v>
      </c>
      <c r="BQ127" t="e">
        <f t="shared" ref="BQ127:CF148" si="100">MATCH(CONCATENATE(BQ$3,"_",$C127),auto_DataFlat_UID,0)</f>
        <v>#REF!</v>
      </c>
      <c r="BR127" t="e">
        <f t="shared" si="100"/>
        <v>#REF!</v>
      </c>
      <c r="BS127" t="e">
        <f t="shared" si="100"/>
        <v>#REF!</v>
      </c>
      <c r="BT127" t="e">
        <f t="shared" si="100"/>
        <v>#REF!</v>
      </c>
      <c r="BU127" t="e">
        <f t="shared" si="100"/>
        <v>#REF!</v>
      </c>
      <c r="BV127" t="e">
        <f t="shared" si="100"/>
        <v>#REF!</v>
      </c>
      <c r="BW127" t="e">
        <f t="shared" si="100"/>
        <v>#REF!</v>
      </c>
      <c r="BX127" t="e">
        <f t="shared" si="100"/>
        <v>#REF!</v>
      </c>
      <c r="BY127" t="e">
        <f t="shared" si="100"/>
        <v>#REF!</v>
      </c>
      <c r="BZ127" t="e">
        <f t="shared" si="100"/>
        <v>#REF!</v>
      </c>
      <c r="CA127" t="e">
        <f t="shared" si="100"/>
        <v>#REF!</v>
      </c>
      <c r="CB127" t="e">
        <f t="shared" si="100"/>
        <v>#REF!</v>
      </c>
      <c r="CC127" t="e">
        <f t="shared" si="100"/>
        <v>#REF!</v>
      </c>
      <c r="CD127" t="e">
        <f t="shared" si="100"/>
        <v>#REF!</v>
      </c>
      <c r="CE127" t="e">
        <f t="shared" si="100"/>
        <v>#REF!</v>
      </c>
      <c r="CF127" t="e">
        <f t="shared" si="93"/>
        <v>#REF!</v>
      </c>
      <c r="CG127" t="e">
        <f t="shared" si="93"/>
        <v>#REF!</v>
      </c>
      <c r="CH127" t="e">
        <f t="shared" si="93"/>
        <v>#REF!</v>
      </c>
      <c r="CI127" t="e">
        <f t="shared" si="93"/>
        <v>#REF!</v>
      </c>
      <c r="CJ127" t="e">
        <f t="shared" si="93"/>
        <v>#REF!</v>
      </c>
      <c r="CK127" t="e">
        <f t="shared" si="93"/>
        <v>#REF!</v>
      </c>
      <c r="CL127" t="e">
        <f t="shared" si="93"/>
        <v>#REF!</v>
      </c>
      <c r="CM127" t="e">
        <f t="shared" si="93"/>
        <v>#REF!</v>
      </c>
      <c r="CN127" t="e">
        <f t="shared" si="93"/>
        <v>#REF!</v>
      </c>
      <c r="CO127" t="e">
        <f t="shared" si="93"/>
        <v>#REF!</v>
      </c>
      <c r="CP127" t="e">
        <f t="shared" si="93"/>
        <v>#REF!</v>
      </c>
      <c r="CQ127" t="e">
        <f t="shared" si="93"/>
        <v>#REF!</v>
      </c>
      <c r="CR127" t="e">
        <f t="shared" si="93"/>
        <v>#REF!</v>
      </c>
      <c r="CS127" t="e">
        <f t="shared" si="93"/>
        <v>#REF!</v>
      </c>
      <c r="CT127" t="e">
        <f t="shared" si="93"/>
        <v>#REF!</v>
      </c>
      <c r="CU127" t="e">
        <f t="shared" si="98"/>
        <v>#REF!</v>
      </c>
      <c r="CV127" t="e">
        <f t="shared" si="98"/>
        <v>#REF!</v>
      </c>
      <c r="CW127" t="e">
        <f t="shared" si="98"/>
        <v>#REF!</v>
      </c>
      <c r="CX127" t="e">
        <f t="shared" si="98"/>
        <v>#REF!</v>
      </c>
      <c r="CY127" t="e">
        <f t="shared" si="98"/>
        <v>#REF!</v>
      </c>
      <c r="CZ127" t="e">
        <f t="shared" si="87"/>
        <v>#REF!</v>
      </c>
      <c r="DA127" t="e">
        <f t="shared" si="87"/>
        <v>#REF!</v>
      </c>
      <c r="DB127" t="e">
        <f t="shared" si="87"/>
        <v>#REF!</v>
      </c>
      <c r="DC127" t="e">
        <f t="shared" si="87"/>
        <v>#REF!</v>
      </c>
      <c r="DD127" t="e">
        <f t="shared" si="87"/>
        <v>#REF!</v>
      </c>
      <c r="DE127" t="e">
        <f t="shared" si="87"/>
        <v>#REF!</v>
      </c>
      <c r="DF127" t="e">
        <f t="shared" si="87"/>
        <v>#REF!</v>
      </c>
      <c r="DG127" t="e">
        <f t="shared" si="87"/>
        <v>#REF!</v>
      </c>
      <c r="DH127" t="e">
        <f t="shared" si="87"/>
        <v>#REF!</v>
      </c>
      <c r="DI127" t="e">
        <f t="shared" si="87"/>
        <v>#REF!</v>
      </c>
      <c r="DJ127" t="e">
        <f t="shared" si="87"/>
        <v>#REF!</v>
      </c>
      <c r="DK127" t="e">
        <f t="shared" si="87"/>
        <v>#REF!</v>
      </c>
      <c r="DL127" t="e">
        <f t="shared" si="87"/>
        <v>#REF!</v>
      </c>
      <c r="DM127" t="e">
        <f t="shared" si="87"/>
        <v>#REF!</v>
      </c>
      <c r="DN127" t="e">
        <f t="shared" si="86"/>
        <v>#REF!</v>
      </c>
      <c r="DO127" t="e">
        <f t="shared" si="86"/>
        <v>#REF!</v>
      </c>
      <c r="DP127" t="e">
        <f t="shared" si="86"/>
        <v>#REF!</v>
      </c>
      <c r="DQ127" t="e">
        <f t="shared" si="86"/>
        <v>#REF!</v>
      </c>
      <c r="DR127" t="e">
        <f t="shared" si="86"/>
        <v>#REF!</v>
      </c>
      <c r="DS127" t="e">
        <f t="shared" si="86"/>
        <v>#REF!</v>
      </c>
      <c r="DT127" t="e">
        <f t="shared" si="86"/>
        <v>#REF!</v>
      </c>
      <c r="DU127" t="e">
        <f t="shared" si="86"/>
        <v>#REF!</v>
      </c>
      <c r="DV127" t="e">
        <f t="shared" si="86"/>
        <v>#REF!</v>
      </c>
      <c r="DW127" t="e">
        <f t="shared" si="86"/>
        <v>#REF!</v>
      </c>
      <c r="DX127" t="e">
        <f t="shared" si="86"/>
        <v>#REF!</v>
      </c>
      <c r="DY127" t="e">
        <f t="shared" si="86"/>
        <v>#REF!</v>
      </c>
      <c r="DZ127" t="e">
        <f t="shared" si="63"/>
        <v>#REF!</v>
      </c>
      <c r="EA127" t="e">
        <f t="shared" si="63"/>
        <v>#REF!</v>
      </c>
      <c r="EB127" t="e">
        <f t="shared" si="63"/>
        <v>#REF!</v>
      </c>
      <c r="EC127" t="e">
        <f t="shared" si="63"/>
        <v>#REF!</v>
      </c>
      <c r="ED127" t="e">
        <f t="shared" si="99"/>
        <v>#REF!</v>
      </c>
      <c r="EE127" t="e">
        <f t="shared" si="99"/>
        <v>#REF!</v>
      </c>
      <c r="EF127" t="e">
        <f t="shared" si="99"/>
        <v>#REF!</v>
      </c>
      <c r="EG127" t="e">
        <f t="shared" si="99"/>
        <v>#REF!</v>
      </c>
      <c r="EH127" t="e">
        <f t="shared" si="99"/>
        <v>#REF!</v>
      </c>
      <c r="EI127" t="e">
        <f t="shared" si="99"/>
        <v>#REF!</v>
      </c>
      <c r="EJ127" t="e">
        <f t="shared" si="99"/>
        <v>#REF!</v>
      </c>
      <c r="EK127" t="e">
        <f t="shared" si="99"/>
        <v>#REF!</v>
      </c>
      <c r="EL127" t="e">
        <f t="shared" si="99"/>
        <v>#REF!</v>
      </c>
      <c r="EM127" t="e">
        <f t="shared" si="99"/>
        <v>#REF!</v>
      </c>
    </row>
    <row r="128" spans="1:143" x14ac:dyDescent="0.4">
      <c r="A128" t="str">
        <f t="shared" si="51"/>
        <v>X</v>
      </c>
      <c r="B128">
        <v>125</v>
      </c>
      <c r="C128" t="e" cm="1">
        <f t="array" ref="C128">INDEX(auto_Series_Code,B128)</f>
        <v>#REF!</v>
      </c>
      <c r="D128" t="e">
        <f t="shared" si="92"/>
        <v>#REF!</v>
      </c>
      <c r="E128" t="e">
        <f t="shared" si="92"/>
        <v>#REF!</v>
      </c>
      <c r="F128" t="e">
        <f t="shared" si="92"/>
        <v>#REF!</v>
      </c>
      <c r="G128" t="e">
        <f t="shared" si="92"/>
        <v>#REF!</v>
      </c>
      <c r="H128" t="e">
        <f t="shared" si="92"/>
        <v>#REF!</v>
      </c>
      <c r="I128" t="e">
        <f t="shared" si="92"/>
        <v>#REF!</v>
      </c>
      <c r="J128" t="e">
        <f t="shared" si="92"/>
        <v>#REF!</v>
      </c>
      <c r="K128" t="e">
        <f t="shared" si="92"/>
        <v>#REF!</v>
      </c>
      <c r="L128" t="e">
        <f t="shared" si="92"/>
        <v>#REF!</v>
      </c>
      <c r="M128" t="e">
        <f t="shared" si="92"/>
        <v>#REF!</v>
      </c>
      <c r="N128" t="e">
        <f t="shared" si="92"/>
        <v>#REF!</v>
      </c>
      <c r="O128" t="e">
        <f t="shared" si="92"/>
        <v>#REF!</v>
      </c>
      <c r="P128" t="e">
        <f t="shared" si="92"/>
        <v>#REF!</v>
      </c>
      <c r="Q128" t="e">
        <f t="shared" si="92"/>
        <v>#REF!</v>
      </c>
      <c r="R128" t="e">
        <f t="shared" si="92"/>
        <v>#REF!</v>
      </c>
      <c r="S128" t="e">
        <f t="shared" si="92"/>
        <v>#REF!</v>
      </c>
      <c r="T128" t="e">
        <f t="shared" si="91"/>
        <v>#REF!</v>
      </c>
      <c r="U128" t="e">
        <f t="shared" si="91"/>
        <v>#REF!</v>
      </c>
      <c r="V128" t="e">
        <f t="shared" si="91"/>
        <v>#REF!</v>
      </c>
      <c r="W128" t="e">
        <f t="shared" si="91"/>
        <v>#REF!</v>
      </c>
      <c r="X128" t="e">
        <f t="shared" si="80"/>
        <v>#REF!</v>
      </c>
      <c r="Y128" t="e">
        <f t="shared" si="80"/>
        <v>#REF!</v>
      </c>
      <c r="Z128" t="e">
        <f t="shared" si="80"/>
        <v>#REF!</v>
      </c>
      <c r="AA128" t="e">
        <f t="shared" si="80"/>
        <v>#REF!</v>
      </c>
      <c r="AB128" t="e">
        <f t="shared" si="80"/>
        <v>#REF!</v>
      </c>
      <c r="AC128" t="e">
        <f t="shared" si="80"/>
        <v>#REF!</v>
      </c>
      <c r="AD128" t="e">
        <f t="shared" si="80"/>
        <v>#REF!</v>
      </c>
      <c r="AE128" t="e">
        <f t="shared" si="80"/>
        <v>#REF!</v>
      </c>
      <c r="AF128" t="e">
        <f t="shared" si="80"/>
        <v>#REF!</v>
      </c>
      <c r="AG128" t="e">
        <f t="shared" ref="AG128:AV150" si="101">MATCH(CONCATENATE(AG$3,"_",$C128),auto_DataFlat_UID,0)</f>
        <v>#REF!</v>
      </c>
      <c r="AH128" t="e">
        <f t="shared" si="101"/>
        <v>#REF!</v>
      </c>
      <c r="AI128" t="e">
        <f t="shared" si="101"/>
        <v>#REF!</v>
      </c>
      <c r="AJ128" t="e">
        <f t="shared" si="101"/>
        <v>#REF!</v>
      </c>
      <c r="AK128" t="e">
        <f t="shared" si="101"/>
        <v>#REF!</v>
      </c>
      <c r="AL128" t="e">
        <f t="shared" si="101"/>
        <v>#REF!</v>
      </c>
      <c r="AM128" t="e">
        <f t="shared" si="101"/>
        <v>#REF!</v>
      </c>
      <c r="AN128" t="e">
        <f t="shared" si="101"/>
        <v>#REF!</v>
      </c>
      <c r="AO128" t="e">
        <f t="shared" si="101"/>
        <v>#REF!</v>
      </c>
      <c r="AP128" t="e">
        <f t="shared" si="101"/>
        <v>#REF!</v>
      </c>
      <c r="AQ128" t="e">
        <f t="shared" si="101"/>
        <v>#REF!</v>
      </c>
      <c r="AR128" t="e">
        <f t="shared" si="89"/>
        <v>#REF!</v>
      </c>
      <c r="AS128" t="e">
        <f t="shared" si="89"/>
        <v>#REF!</v>
      </c>
      <c r="AT128" t="e">
        <f t="shared" si="89"/>
        <v>#REF!</v>
      </c>
      <c r="AU128" t="e">
        <f t="shared" si="89"/>
        <v>#REF!</v>
      </c>
      <c r="AV128" t="e">
        <f t="shared" si="89"/>
        <v>#REF!</v>
      </c>
      <c r="AW128" t="e">
        <f t="shared" si="89"/>
        <v>#REF!</v>
      </c>
      <c r="AX128" t="e">
        <f t="shared" si="89"/>
        <v>#REF!</v>
      </c>
      <c r="AY128" t="e">
        <f t="shared" si="94"/>
        <v>#REF!</v>
      </c>
      <c r="AZ128" t="e">
        <f t="shared" si="94"/>
        <v>#REF!</v>
      </c>
      <c r="BA128" t="e">
        <f t="shared" si="94"/>
        <v>#REF!</v>
      </c>
      <c r="BB128" t="e">
        <f t="shared" si="84"/>
        <v>#REF!</v>
      </c>
      <c r="BC128" t="e">
        <f t="shared" si="84"/>
        <v>#REF!</v>
      </c>
      <c r="BD128" t="e">
        <f t="shared" si="84"/>
        <v>#REF!</v>
      </c>
      <c r="BE128" t="e">
        <f t="shared" si="84"/>
        <v>#REF!</v>
      </c>
      <c r="BF128" t="e">
        <f t="shared" si="84"/>
        <v>#REF!</v>
      </c>
      <c r="BG128" t="e">
        <f t="shared" si="84"/>
        <v>#REF!</v>
      </c>
      <c r="BH128" t="e">
        <f t="shared" si="84"/>
        <v>#REF!</v>
      </c>
      <c r="BI128" t="e">
        <f t="shared" si="84"/>
        <v>#REF!</v>
      </c>
      <c r="BJ128" t="e">
        <f t="shared" si="84"/>
        <v>#REF!</v>
      </c>
      <c r="BK128" t="e">
        <f t="shared" si="84"/>
        <v>#REF!</v>
      </c>
      <c r="BL128" t="e">
        <f t="shared" si="84"/>
        <v>#REF!</v>
      </c>
      <c r="BM128" t="e">
        <f t="shared" si="84"/>
        <v>#REF!</v>
      </c>
      <c r="BN128" t="e">
        <f t="shared" si="84"/>
        <v>#REF!</v>
      </c>
      <c r="BO128" t="e">
        <f t="shared" si="84"/>
        <v>#REF!</v>
      </c>
      <c r="BP128" t="e">
        <f t="shared" si="84"/>
        <v>#REF!</v>
      </c>
      <c r="BQ128" t="e">
        <f t="shared" si="84"/>
        <v>#REF!</v>
      </c>
      <c r="BR128" t="e">
        <f t="shared" si="100"/>
        <v>#REF!</v>
      </c>
      <c r="BS128" t="e">
        <f t="shared" si="100"/>
        <v>#REF!</v>
      </c>
      <c r="BT128" t="e">
        <f t="shared" si="100"/>
        <v>#REF!</v>
      </c>
      <c r="BU128" t="e">
        <f t="shared" si="100"/>
        <v>#REF!</v>
      </c>
      <c r="BV128" t="e">
        <f t="shared" si="100"/>
        <v>#REF!</v>
      </c>
      <c r="BW128" t="e">
        <f t="shared" si="100"/>
        <v>#REF!</v>
      </c>
      <c r="BX128" t="e">
        <f t="shared" si="100"/>
        <v>#REF!</v>
      </c>
      <c r="BY128" t="e">
        <f t="shared" si="100"/>
        <v>#REF!</v>
      </c>
      <c r="BZ128" t="e">
        <f t="shared" si="100"/>
        <v>#REF!</v>
      </c>
      <c r="CA128" t="e">
        <f t="shared" si="100"/>
        <v>#REF!</v>
      </c>
      <c r="CB128" t="e">
        <f t="shared" si="100"/>
        <v>#REF!</v>
      </c>
      <c r="CC128" t="e">
        <f t="shared" si="100"/>
        <v>#REF!</v>
      </c>
      <c r="CD128" t="e">
        <f t="shared" si="100"/>
        <v>#REF!</v>
      </c>
      <c r="CE128" t="e">
        <f t="shared" si="100"/>
        <v>#REF!</v>
      </c>
      <c r="CF128" t="e">
        <f t="shared" si="93"/>
        <v>#REF!</v>
      </c>
      <c r="CG128" t="e">
        <f t="shared" si="93"/>
        <v>#REF!</v>
      </c>
      <c r="CH128" t="e">
        <f t="shared" si="93"/>
        <v>#REF!</v>
      </c>
      <c r="CI128" t="e">
        <f t="shared" si="93"/>
        <v>#REF!</v>
      </c>
      <c r="CJ128" t="e">
        <f t="shared" si="93"/>
        <v>#REF!</v>
      </c>
      <c r="CK128" t="e">
        <f t="shared" si="93"/>
        <v>#REF!</v>
      </c>
      <c r="CL128" t="e">
        <f t="shared" si="93"/>
        <v>#REF!</v>
      </c>
      <c r="CM128" t="e">
        <f t="shared" si="93"/>
        <v>#REF!</v>
      </c>
      <c r="CN128" t="e">
        <f t="shared" si="93"/>
        <v>#REF!</v>
      </c>
      <c r="CO128" t="e">
        <f t="shared" si="93"/>
        <v>#REF!</v>
      </c>
      <c r="CP128" t="e">
        <f t="shared" si="93"/>
        <v>#REF!</v>
      </c>
      <c r="CQ128" t="e">
        <f t="shared" si="93"/>
        <v>#REF!</v>
      </c>
      <c r="CR128" t="e">
        <f t="shared" si="93"/>
        <v>#REF!</v>
      </c>
      <c r="CS128" t="e">
        <f t="shared" si="93"/>
        <v>#REF!</v>
      </c>
      <c r="CT128" t="e">
        <f t="shared" si="93"/>
        <v>#REF!</v>
      </c>
      <c r="CU128" t="e">
        <f t="shared" si="98"/>
        <v>#REF!</v>
      </c>
      <c r="CV128" t="e">
        <f t="shared" si="98"/>
        <v>#REF!</v>
      </c>
      <c r="CW128" t="e">
        <f t="shared" si="98"/>
        <v>#REF!</v>
      </c>
      <c r="CX128" t="e">
        <f t="shared" si="98"/>
        <v>#REF!</v>
      </c>
      <c r="CY128" t="e">
        <f t="shared" si="98"/>
        <v>#REF!</v>
      </c>
      <c r="CZ128" t="e">
        <f t="shared" si="87"/>
        <v>#REF!</v>
      </c>
      <c r="DA128" t="e">
        <f t="shared" si="87"/>
        <v>#REF!</v>
      </c>
      <c r="DB128" t="e">
        <f t="shared" si="87"/>
        <v>#REF!</v>
      </c>
      <c r="DC128" t="e">
        <f t="shared" si="87"/>
        <v>#REF!</v>
      </c>
      <c r="DD128" t="e">
        <f t="shared" si="87"/>
        <v>#REF!</v>
      </c>
      <c r="DE128" t="e">
        <f t="shared" si="87"/>
        <v>#REF!</v>
      </c>
      <c r="DF128" t="e">
        <f t="shared" si="87"/>
        <v>#REF!</v>
      </c>
      <c r="DG128" t="e">
        <f t="shared" si="87"/>
        <v>#REF!</v>
      </c>
      <c r="DH128" t="e">
        <f t="shared" si="87"/>
        <v>#REF!</v>
      </c>
      <c r="DI128" t="e">
        <f t="shared" si="87"/>
        <v>#REF!</v>
      </c>
      <c r="DJ128" t="e">
        <f t="shared" si="87"/>
        <v>#REF!</v>
      </c>
      <c r="DK128" t="e">
        <f t="shared" si="87"/>
        <v>#REF!</v>
      </c>
      <c r="DL128" t="e">
        <f t="shared" si="87"/>
        <v>#REF!</v>
      </c>
      <c r="DM128" t="e">
        <f t="shared" si="87"/>
        <v>#REF!</v>
      </c>
      <c r="DN128" t="e">
        <f t="shared" si="86"/>
        <v>#REF!</v>
      </c>
      <c r="DO128" t="e">
        <f t="shared" si="86"/>
        <v>#REF!</v>
      </c>
      <c r="DP128" t="e">
        <f t="shared" si="86"/>
        <v>#REF!</v>
      </c>
      <c r="DQ128" t="e">
        <f t="shared" si="86"/>
        <v>#REF!</v>
      </c>
      <c r="DR128" t="e">
        <f t="shared" si="86"/>
        <v>#REF!</v>
      </c>
      <c r="DS128" t="e">
        <f t="shared" si="86"/>
        <v>#REF!</v>
      </c>
      <c r="DT128" t="e">
        <f t="shared" si="86"/>
        <v>#REF!</v>
      </c>
      <c r="DU128" t="e">
        <f t="shared" si="86"/>
        <v>#REF!</v>
      </c>
      <c r="DV128" t="e">
        <f t="shared" si="86"/>
        <v>#REF!</v>
      </c>
      <c r="DW128" t="e">
        <f t="shared" si="86"/>
        <v>#REF!</v>
      </c>
      <c r="DX128" t="e">
        <f t="shared" si="86"/>
        <v>#REF!</v>
      </c>
      <c r="DY128" t="e">
        <f t="shared" si="86"/>
        <v>#REF!</v>
      </c>
      <c r="DZ128" t="e">
        <f t="shared" si="63"/>
        <v>#REF!</v>
      </c>
      <c r="EA128" t="e">
        <f t="shared" si="63"/>
        <v>#REF!</v>
      </c>
      <c r="EB128" t="e">
        <f t="shared" si="63"/>
        <v>#REF!</v>
      </c>
      <c r="EC128" t="e">
        <f t="shared" si="63"/>
        <v>#REF!</v>
      </c>
      <c r="ED128" t="e">
        <f t="shared" si="99"/>
        <v>#REF!</v>
      </c>
      <c r="EE128" t="e">
        <f t="shared" si="99"/>
        <v>#REF!</v>
      </c>
      <c r="EF128" t="e">
        <f t="shared" si="99"/>
        <v>#REF!</v>
      </c>
      <c r="EG128" t="e">
        <f t="shared" si="99"/>
        <v>#REF!</v>
      </c>
      <c r="EH128" t="e">
        <f t="shared" si="99"/>
        <v>#REF!</v>
      </c>
      <c r="EI128" t="e">
        <f t="shared" si="99"/>
        <v>#REF!</v>
      </c>
      <c r="EJ128" t="e">
        <f t="shared" si="99"/>
        <v>#REF!</v>
      </c>
      <c r="EK128" t="e">
        <f t="shared" si="99"/>
        <v>#REF!</v>
      </c>
      <c r="EL128" t="e">
        <f t="shared" si="99"/>
        <v>#REF!</v>
      </c>
      <c r="EM128" t="e">
        <f t="shared" si="99"/>
        <v>#REF!</v>
      </c>
    </row>
    <row r="129" spans="1:143" x14ac:dyDescent="0.4">
      <c r="A129" t="str">
        <f t="shared" si="51"/>
        <v>X</v>
      </c>
      <c r="B129">
        <v>126</v>
      </c>
      <c r="C129" t="e" cm="1">
        <f t="array" ref="C129">INDEX(auto_Series_Code,B129)</f>
        <v>#REF!</v>
      </c>
      <c r="D129" t="e">
        <f t="shared" si="92"/>
        <v>#REF!</v>
      </c>
      <c r="E129" t="e">
        <f t="shared" si="92"/>
        <v>#REF!</v>
      </c>
      <c r="F129" t="e">
        <f t="shared" si="92"/>
        <v>#REF!</v>
      </c>
      <c r="G129" t="e">
        <f t="shared" si="92"/>
        <v>#REF!</v>
      </c>
      <c r="H129" t="e">
        <f t="shared" si="92"/>
        <v>#REF!</v>
      </c>
      <c r="I129" t="e">
        <f t="shared" si="92"/>
        <v>#REF!</v>
      </c>
      <c r="J129" t="e">
        <f t="shared" si="92"/>
        <v>#REF!</v>
      </c>
      <c r="K129" t="e">
        <f t="shared" si="92"/>
        <v>#REF!</v>
      </c>
      <c r="L129" t="e">
        <f t="shared" si="92"/>
        <v>#REF!</v>
      </c>
      <c r="M129" t="e">
        <f t="shared" si="92"/>
        <v>#REF!</v>
      </c>
      <c r="N129" t="e">
        <f t="shared" si="92"/>
        <v>#REF!</v>
      </c>
      <c r="O129" t="e">
        <f t="shared" si="92"/>
        <v>#REF!</v>
      </c>
      <c r="P129" t="e">
        <f t="shared" si="92"/>
        <v>#REF!</v>
      </c>
      <c r="Q129" t="e">
        <f t="shared" si="92"/>
        <v>#REF!</v>
      </c>
      <c r="R129" t="e">
        <f t="shared" si="92"/>
        <v>#REF!</v>
      </c>
      <c r="S129" t="e">
        <f t="shared" si="92"/>
        <v>#REF!</v>
      </c>
      <c r="T129" t="e">
        <f t="shared" si="91"/>
        <v>#REF!</v>
      </c>
      <c r="U129" t="e">
        <f t="shared" si="91"/>
        <v>#REF!</v>
      </c>
      <c r="V129" t="e">
        <f t="shared" si="91"/>
        <v>#REF!</v>
      </c>
      <c r="W129" t="e">
        <f t="shared" si="91"/>
        <v>#REF!</v>
      </c>
      <c r="X129" t="e">
        <f t="shared" si="91"/>
        <v>#REF!</v>
      </c>
      <c r="Y129" t="e">
        <f t="shared" si="91"/>
        <v>#REF!</v>
      </c>
      <c r="Z129" t="e">
        <f t="shared" si="91"/>
        <v>#REF!</v>
      </c>
      <c r="AA129" t="e">
        <f t="shared" si="91"/>
        <v>#REF!</v>
      </c>
      <c r="AB129" t="e">
        <f t="shared" si="91"/>
        <v>#REF!</v>
      </c>
      <c r="AC129" t="e">
        <f t="shared" si="91"/>
        <v>#REF!</v>
      </c>
      <c r="AD129" t="e">
        <f t="shared" si="91"/>
        <v>#REF!</v>
      </c>
      <c r="AE129" t="e">
        <f t="shared" si="91"/>
        <v>#REF!</v>
      </c>
      <c r="AF129" t="e">
        <f t="shared" si="91"/>
        <v>#REF!</v>
      </c>
      <c r="AG129" t="e">
        <f t="shared" si="91"/>
        <v>#REF!</v>
      </c>
      <c r="AH129" t="e">
        <f t="shared" si="101"/>
        <v>#REF!</v>
      </c>
      <c r="AI129" t="e">
        <f t="shared" si="101"/>
        <v>#REF!</v>
      </c>
      <c r="AJ129" t="e">
        <f t="shared" si="101"/>
        <v>#REF!</v>
      </c>
      <c r="AK129" t="e">
        <f t="shared" si="101"/>
        <v>#REF!</v>
      </c>
      <c r="AL129" t="e">
        <f t="shared" si="101"/>
        <v>#REF!</v>
      </c>
      <c r="AM129" t="e">
        <f t="shared" si="101"/>
        <v>#REF!</v>
      </c>
      <c r="AN129" t="e">
        <f t="shared" si="101"/>
        <v>#REF!</v>
      </c>
      <c r="AO129" t="e">
        <f t="shared" si="101"/>
        <v>#REF!</v>
      </c>
      <c r="AP129" t="e">
        <f t="shared" si="101"/>
        <v>#REF!</v>
      </c>
      <c r="AQ129" t="e">
        <f t="shared" si="101"/>
        <v>#REF!</v>
      </c>
      <c r="AR129" t="e">
        <f t="shared" si="89"/>
        <v>#REF!</v>
      </c>
      <c r="AS129" t="e">
        <f t="shared" si="89"/>
        <v>#REF!</v>
      </c>
      <c r="AT129" t="e">
        <f t="shared" si="89"/>
        <v>#REF!</v>
      </c>
      <c r="AU129" t="e">
        <f t="shared" si="89"/>
        <v>#REF!</v>
      </c>
      <c r="AV129" t="e">
        <f t="shared" si="89"/>
        <v>#REF!</v>
      </c>
      <c r="AW129" t="e">
        <f t="shared" si="89"/>
        <v>#REF!</v>
      </c>
      <c r="AX129" t="e">
        <f t="shared" si="89"/>
        <v>#REF!</v>
      </c>
      <c r="AY129" t="e">
        <f t="shared" si="94"/>
        <v>#REF!</v>
      </c>
      <c r="AZ129" t="e">
        <f t="shared" si="94"/>
        <v>#REF!</v>
      </c>
      <c r="BA129" t="e">
        <f t="shared" si="94"/>
        <v>#REF!</v>
      </c>
      <c r="BB129" t="e">
        <f t="shared" si="84"/>
        <v>#REF!</v>
      </c>
      <c r="BC129" t="e">
        <f t="shared" si="84"/>
        <v>#REF!</v>
      </c>
      <c r="BD129" t="e">
        <f t="shared" si="84"/>
        <v>#REF!</v>
      </c>
      <c r="BE129" t="e">
        <f t="shared" si="84"/>
        <v>#REF!</v>
      </c>
      <c r="BF129" t="e">
        <f t="shared" si="84"/>
        <v>#REF!</v>
      </c>
      <c r="BG129" t="e">
        <f t="shared" si="84"/>
        <v>#REF!</v>
      </c>
      <c r="BH129" t="e">
        <f t="shared" si="84"/>
        <v>#REF!</v>
      </c>
      <c r="BI129" t="e">
        <f t="shared" si="84"/>
        <v>#REF!</v>
      </c>
      <c r="BJ129" t="e">
        <f t="shared" si="84"/>
        <v>#REF!</v>
      </c>
      <c r="BK129" t="e">
        <f t="shared" si="84"/>
        <v>#REF!</v>
      </c>
      <c r="BL129" t="e">
        <f t="shared" si="84"/>
        <v>#REF!</v>
      </c>
      <c r="BM129" t="e">
        <f t="shared" si="84"/>
        <v>#REF!</v>
      </c>
      <c r="BN129" t="e">
        <f t="shared" si="84"/>
        <v>#REF!</v>
      </c>
      <c r="BO129" t="e">
        <f t="shared" si="84"/>
        <v>#REF!</v>
      </c>
      <c r="BP129" t="e">
        <f t="shared" si="84"/>
        <v>#REF!</v>
      </c>
      <c r="BQ129" t="e">
        <f t="shared" si="84"/>
        <v>#REF!</v>
      </c>
      <c r="BR129" t="e">
        <f t="shared" si="100"/>
        <v>#REF!</v>
      </c>
      <c r="BS129" t="e">
        <f t="shared" si="100"/>
        <v>#REF!</v>
      </c>
      <c r="BT129" t="e">
        <f t="shared" si="100"/>
        <v>#REF!</v>
      </c>
      <c r="BU129" t="e">
        <f t="shared" si="100"/>
        <v>#REF!</v>
      </c>
      <c r="BV129" t="e">
        <f t="shared" si="100"/>
        <v>#REF!</v>
      </c>
      <c r="BW129" t="e">
        <f t="shared" si="100"/>
        <v>#REF!</v>
      </c>
      <c r="BX129" t="e">
        <f t="shared" si="100"/>
        <v>#REF!</v>
      </c>
      <c r="BY129" t="e">
        <f t="shared" si="100"/>
        <v>#REF!</v>
      </c>
      <c r="BZ129" t="e">
        <f t="shared" si="100"/>
        <v>#REF!</v>
      </c>
      <c r="CA129" t="e">
        <f t="shared" si="100"/>
        <v>#REF!</v>
      </c>
      <c r="CB129" t="e">
        <f t="shared" si="100"/>
        <v>#REF!</v>
      </c>
      <c r="CC129" t="e">
        <f t="shared" si="100"/>
        <v>#REF!</v>
      </c>
      <c r="CD129" t="e">
        <f t="shared" si="100"/>
        <v>#REF!</v>
      </c>
      <c r="CE129" t="e">
        <f t="shared" si="100"/>
        <v>#REF!</v>
      </c>
      <c r="CF129" t="e">
        <f t="shared" si="93"/>
        <v>#REF!</v>
      </c>
      <c r="CG129" t="e">
        <f t="shared" si="93"/>
        <v>#REF!</v>
      </c>
      <c r="CH129" t="e">
        <f t="shared" si="93"/>
        <v>#REF!</v>
      </c>
      <c r="CI129" t="e">
        <f t="shared" si="93"/>
        <v>#REF!</v>
      </c>
      <c r="CJ129" t="e">
        <f t="shared" si="93"/>
        <v>#REF!</v>
      </c>
      <c r="CK129" t="e">
        <f t="shared" si="93"/>
        <v>#REF!</v>
      </c>
      <c r="CL129" t="e">
        <f t="shared" si="93"/>
        <v>#REF!</v>
      </c>
      <c r="CM129" t="e">
        <f t="shared" si="93"/>
        <v>#REF!</v>
      </c>
      <c r="CN129" t="e">
        <f t="shared" si="93"/>
        <v>#REF!</v>
      </c>
      <c r="CO129" t="e">
        <f t="shared" si="93"/>
        <v>#REF!</v>
      </c>
      <c r="CP129" t="e">
        <f t="shared" si="93"/>
        <v>#REF!</v>
      </c>
      <c r="CQ129" t="e">
        <f t="shared" si="93"/>
        <v>#REF!</v>
      </c>
      <c r="CR129" t="e">
        <f t="shared" si="93"/>
        <v>#REF!</v>
      </c>
      <c r="CS129" t="e">
        <f t="shared" si="93"/>
        <v>#REF!</v>
      </c>
      <c r="CT129" t="e">
        <f t="shared" si="93"/>
        <v>#REF!</v>
      </c>
      <c r="CU129" t="e">
        <f t="shared" si="98"/>
        <v>#REF!</v>
      </c>
      <c r="CV129" t="e">
        <f t="shared" si="98"/>
        <v>#REF!</v>
      </c>
      <c r="CW129" t="e">
        <f t="shared" si="98"/>
        <v>#REF!</v>
      </c>
      <c r="CX129" t="e">
        <f t="shared" si="98"/>
        <v>#REF!</v>
      </c>
      <c r="CY129" t="e">
        <f t="shared" si="98"/>
        <v>#REF!</v>
      </c>
      <c r="CZ129" t="e">
        <f t="shared" si="87"/>
        <v>#REF!</v>
      </c>
      <c r="DA129" t="e">
        <f t="shared" si="87"/>
        <v>#REF!</v>
      </c>
      <c r="DB129" t="e">
        <f t="shared" si="87"/>
        <v>#REF!</v>
      </c>
      <c r="DC129" t="e">
        <f t="shared" si="87"/>
        <v>#REF!</v>
      </c>
      <c r="DD129" t="e">
        <f t="shared" si="87"/>
        <v>#REF!</v>
      </c>
      <c r="DE129" t="e">
        <f t="shared" si="87"/>
        <v>#REF!</v>
      </c>
      <c r="DF129" t="e">
        <f t="shared" si="87"/>
        <v>#REF!</v>
      </c>
      <c r="DG129" t="e">
        <f t="shared" si="87"/>
        <v>#REF!</v>
      </c>
      <c r="DH129" t="e">
        <f t="shared" si="87"/>
        <v>#REF!</v>
      </c>
      <c r="DI129" t="e">
        <f t="shared" si="87"/>
        <v>#REF!</v>
      </c>
      <c r="DJ129" t="e">
        <f t="shared" si="87"/>
        <v>#REF!</v>
      </c>
      <c r="DK129" t="e">
        <f t="shared" si="87"/>
        <v>#REF!</v>
      </c>
      <c r="DL129" t="e">
        <f t="shared" si="87"/>
        <v>#REF!</v>
      </c>
      <c r="DM129" t="e">
        <f t="shared" si="87"/>
        <v>#REF!</v>
      </c>
      <c r="DN129" t="e">
        <f t="shared" si="86"/>
        <v>#REF!</v>
      </c>
      <c r="DO129" t="e">
        <f t="shared" si="86"/>
        <v>#REF!</v>
      </c>
      <c r="DP129" t="e">
        <f t="shared" si="86"/>
        <v>#REF!</v>
      </c>
      <c r="DQ129" t="e">
        <f t="shared" si="86"/>
        <v>#REF!</v>
      </c>
      <c r="DR129" t="e">
        <f t="shared" si="86"/>
        <v>#REF!</v>
      </c>
      <c r="DS129" t="e">
        <f t="shared" si="86"/>
        <v>#REF!</v>
      </c>
      <c r="DT129" t="e">
        <f t="shared" si="86"/>
        <v>#REF!</v>
      </c>
      <c r="DU129" t="e">
        <f t="shared" si="86"/>
        <v>#REF!</v>
      </c>
      <c r="DV129" t="e">
        <f t="shared" si="86"/>
        <v>#REF!</v>
      </c>
      <c r="DW129" t="e">
        <f t="shared" si="86"/>
        <v>#REF!</v>
      </c>
      <c r="DX129" t="e">
        <f t="shared" si="86"/>
        <v>#REF!</v>
      </c>
      <c r="DY129" t="e">
        <f t="shared" si="86"/>
        <v>#REF!</v>
      </c>
      <c r="DZ129" t="e">
        <f t="shared" si="63"/>
        <v>#REF!</v>
      </c>
      <c r="EA129" t="e">
        <f t="shared" si="63"/>
        <v>#REF!</v>
      </c>
      <c r="EB129" t="e">
        <f t="shared" si="63"/>
        <v>#REF!</v>
      </c>
      <c r="EC129" t="e">
        <f t="shared" si="63"/>
        <v>#REF!</v>
      </c>
      <c r="ED129" t="e">
        <f t="shared" si="99"/>
        <v>#REF!</v>
      </c>
      <c r="EE129" t="e">
        <f t="shared" si="99"/>
        <v>#REF!</v>
      </c>
      <c r="EF129" t="e">
        <f t="shared" si="99"/>
        <v>#REF!</v>
      </c>
      <c r="EG129" t="e">
        <f t="shared" si="99"/>
        <v>#REF!</v>
      </c>
      <c r="EH129" t="e">
        <f t="shared" si="99"/>
        <v>#REF!</v>
      </c>
      <c r="EI129" t="e">
        <f t="shared" si="99"/>
        <v>#REF!</v>
      </c>
      <c r="EJ129" t="e">
        <f t="shared" si="99"/>
        <v>#REF!</v>
      </c>
      <c r="EK129" t="e">
        <f t="shared" si="99"/>
        <v>#REF!</v>
      </c>
      <c r="EL129" t="e">
        <f t="shared" si="99"/>
        <v>#REF!</v>
      </c>
      <c r="EM129" t="e">
        <f t="shared" si="99"/>
        <v>#REF!</v>
      </c>
    </row>
    <row r="130" spans="1:143" x14ac:dyDescent="0.4">
      <c r="A130" t="str">
        <f t="shared" si="51"/>
        <v>X</v>
      </c>
      <c r="B130">
        <v>127</v>
      </c>
      <c r="C130" t="e" cm="1">
        <f t="array" ref="C130">INDEX(auto_Series_Code,B130)</f>
        <v>#REF!</v>
      </c>
      <c r="D130" t="e">
        <f t="shared" si="92"/>
        <v>#REF!</v>
      </c>
      <c r="E130" t="e">
        <f t="shared" si="92"/>
        <v>#REF!</v>
      </c>
      <c r="F130" t="e">
        <f t="shared" si="92"/>
        <v>#REF!</v>
      </c>
      <c r="G130" t="e">
        <f t="shared" si="92"/>
        <v>#REF!</v>
      </c>
      <c r="H130" t="e">
        <f t="shared" si="92"/>
        <v>#REF!</v>
      </c>
      <c r="I130" t="e">
        <f t="shared" si="92"/>
        <v>#REF!</v>
      </c>
      <c r="J130" t="e">
        <f t="shared" si="92"/>
        <v>#REF!</v>
      </c>
      <c r="K130" t="e">
        <f t="shared" si="92"/>
        <v>#REF!</v>
      </c>
      <c r="L130" t="e">
        <f t="shared" si="92"/>
        <v>#REF!</v>
      </c>
      <c r="M130" t="e">
        <f t="shared" si="92"/>
        <v>#REF!</v>
      </c>
      <c r="N130" t="e">
        <f t="shared" si="92"/>
        <v>#REF!</v>
      </c>
      <c r="O130" t="e">
        <f t="shared" si="92"/>
        <v>#REF!</v>
      </c>
      <c r="P130" t="e">
        <f t="shared" si="92"/>
        <v>#REF!</v>
      </c>
      <c r="Q130" t="e">
        <f t="shared" si="92"/>
        <v>#REF!</v>
      </c>
      <c r="R130" t="e">
        <f t="shared" si="92"/>
        <v>#REF!</v>
      </c>
      <c r="S130" t="e">
        <f t="shared" si="92"/>
        <v>#REF!</v>
      </c>
      <c r="T130" t="e">
        <f t="shared" si="91"/>
        <v>#REF!</v>
      </c>
      <c r="U130" t="e">
        <f t="shared" si="91"/>
        <v>#REF!</v>
      </c>
      <c r="V130" t="e">
        <f t="shared" si="91"/>
        <v>#REF!</v>
      </c>
      <c r="W130" t="e">
        <f t="shared" si="91"/>
        <v>#REF!</v>
      </c>
      <c r="X130" t="e">
        <f t="shared" si="91"/>
        <v>#REF!</v>
      </c>
      <c r="Y130" t="e">
        <f t="shared" si="91"/>
        <v>#REF!</v>
      </c>
      <c r="Z130" t="e">
        <f t="shared" si="91"/>
        <v>#REF!</v>
      </c>
      <c r="AA130" t="e">
        <f t="shared" si="91"/>
        <v>#REF!</v>
      </c>
      <c r="AB130" t="e">
        <f t="shared" si="91"/>
        <v>#REF!</v>
      </c>
      <c r="AC130" t="e">
        <f t="shared" si="91"/>
        <v>#REF!</v>
      </c>
      <c r="AD130" t="e">
        <f t="shared" si="91"/>
        <v>#REF!</v>
      </c>
      <c r="AE130" t="e">
        <f t="shared" si="91"/>
        <v>#REF!</v>
      </c>
      <c r="AF130" t="e">
        <f t="shared" si="91"/>
        <v>#REF!</v>
      </c>
      <c r="AG130" t="e">
        <f t="shared" si="91"/>
        <v>#REF!</v>
      </c>
      <c r="AH130" t="e">
        <f t="shared" si="101"/>
        <v>#REF!</v>
      </c>
      <c r="AI130" t="e">
        <f t="shared" si="101"/>
        <v>#REF!</v>
      </c>
      <c r="AJ130" t="e">
        <f t="shared" si="101"/>
        <v>#REF!</v>
      </c>
      <c r="AK130" t="e">
        <f t="shared" si="101"/>
        <v>#REF!</v>
      </c>
      <c r="AL130" t="e">
        <f t="shared" si="101"/>
        <v>#REF!</v>
      </c>
      <c r="AM130" t="e">
        <f t="shared" si="101"/>
        <v>#REF!</v>
      </c>
      <c r="AN130" t="e">
        <f t="shared" si="101"/>
        <v>#REF!</v>
      </c>
      <c r="AO130" t="e">
        <f t="shared" si="101"/>
        <v>#REF!</v>
      </c>
      <c r="AP130" t="e">
        <f t="shared" si="101"/>
        <v>#REF!</v>
      </c>
      <c r="AQ130" t="e">
        <f t="shared" si="101"/>
        <v>#REF!</v>
      </c>
      <c r="AR130" t="e">
        <f t="shared" si="89"/>
        <v>#REF!</v>
      </c>
      <c r="AS130" t="e">
        <f t="shared" si="89"/>
        <v>#REF!</v>
      </c>
      <c r="AT130" t="e">
        <f t="shared" si="89"/>
        <v>#REF!</v>
      </c>
      <c r="AU130" t="e">
        <f t="shared" si="89"/>
        <v>#REF!</v>
      </c>
      <c r="AV130" t="e">
        <f t="shared" si="89"/>
        <v>#REF!</v>
      </c>
      <c r="AW130" t="e">
        <f t="shared" si="89"/>
        <v>#REF!</v>
      </c>
      <c r="AX130" t="e">
        <f t="shared" si="89"/>
        <v>#REF!</v>
      </c>
      <c r="AY130" t="e">
        <f t="shared" si="94"/>
        <v>#REF!</v>
      </c>
      <c r="AZ130" t="e">
        <f t="shared" si="94"/>
        <v>#REF!</v>
      </c>
      <c r="BA130" t="e">
        <f t="shared" si="94"/>
        <v>#REF!</v>
      </c>
      <c r="BB130" t="e">
        <f t="shared" si="84"/>
        <v>#REF!</v>
      </c>
      <c r="BC130" t="e">
        <f t="shared" si="84"/>
        <v>#REF!</v>
      </c>
      <c r="BD130" t="e">
        <f t="shared" si="84"/>
        <v>#REF!</v>
      </c>
      <c r="BE130" t="e">
        <f t="shared" si="84"/>
        <v>#REF!</v>
      </c>
      <c r="BF130" t="e">
        <f t="shared" si="84"/>
        <v>#REF!</v>
      </c>
      <c r="BG130" t="e">
        <f t="shared" si="84"/>
        <v>#REF!</v>
      </c>
      <c r="BH130" t="e">
        <f t="shared" si="84"/>
        <v>#REF!</v>
      </c>
      <c r="BI130" t="e">
        <f t="shared" si="84"/>
        <v>#REF!</v>
      </c>
      <c r="BJ130" t="e">
        <f t="shared" si="84"/>
        <v>#REF!</v>
      </c>
      <c r="BK130" t="e">
        <f t="shared" si="84"/>
        <v>#REF!</v>
      </c>
      <c r="BL130" t="e">
        <f t="shared" si="84"/>
        <v>#REF!</v>
      </c>
      <c r="BM130" t="e">
        <f t="shared" si="84"/>
        <v>#REF!</v>
      </c>
      <c r="BN130" t="e">
        <f t="shared" si="84"/>
        <v>#REF!</v>
      </c>
      <c r="BO130" t="e">
        <f t="shared" si="84"/>
        <v>#REF!</v>
      </c>
      <c r="BP130" t="e">
        <f t="shared" si="84"/>
        <v>#REF!</v>
      </c>
      <c r="BQ130" t="e">
        <f t="shared" si="84"/>
        <v>#REF!</v>
      </c>
      <c r="BR130" t="e">
        <f t="shared" si="100"/>
        <v>#REF!</v>
      </c>
      <c r="BS130" t="e">
        <f t="shared" si="100"/>
        <v>#REF!</v>
      </c>
      <c r="BT130" t="e">
        <f t="shared" si="100"/>
        <v>#REF!</v>
      </c>
      <c r="BU130" t="e">
        <f t="shared" si="100"/>
        <v>#REF!</v>
      </c>
      <c r="BV130" t="e">
        <f t="shared" si="100"/>
        <v>#REF!</v>
      </c>
      <c r="BW130" t="e">
        <f t="shared" si="100"/>
        <v>#REF!</v>
      </c>
      <c r="BX130" t="e">
        <f t="shared" si="100"/>
        <v>#REF!</v>
      </c>
      <c r="BY130" t="e">
        <f t="shared" si="100"/>
        <v>#REF!</v>
      </c>
      <c r="BZ130" t="e">
        <f t="shared" si="100"/>
        <v>#REF!</v>
      </c>
      <c r="CA130" t="e">
        <f t="shared" si="100"/>
        <v>#REF!</v>
      </c>
      <c r="CB130" t="e">
        <f t="shared" si="100"/>
        <v>#REF!</v>
      </c>
      <c r="CC130" t="e">
        <f t="shared" si="100"/>
        <v>#REF!</v>
      </c>
      <c r="CD130" t="e">
        <f t="shared" si="100"/>
        <v>#REF!</v>
      </c>
      <c r="CE130" t="e">
        <f t="shared" si="100"/>
        <v>#REF!</v>
      </c>
      <c r="CF130" t="e">
        <f t="shared" si="93"/>
        <v>#REF!</v>
      </c>
      <c r="CG130" t="e">
        <f t="shared" si="93"/>
        <v>#REF!</v>
      </c>
      <c r="CH130" t="e">
        <f t="shared" si="93"/>
        <v>#REF!</v>
      </c>
      <c r="CI130" t="e">
        <f t="shared" si="93"/>
        <v>#REF!</v>
      </c>
      <c r="CJ130" t="e">
        <f t="shared" si="93"/>
        <v>#REF!</v>
      </c>
      <c r="CK130" t="e">
        <f t="shared" si="93"/>
        <v>#REF!</v>
      </c>
      <c r="CL130" t="e">
        <f t="shared" si="93"/>
        <v>#REF!</v>
      </c>
      <c r="CM130" t="e">
        <f t="shared" si="93"/>
        <v>#REF!</v>
      </c>
      <c r="CN130" t="e">
        <f t="shared" si="93"/>
        <v>#REF!</v>
      </c>
      <c r="CO130" t="e">
        <f t="shared" si="93"/>
        <v>#REF!</v>
      </c>
      <c r="CP130" t="e">
        <f t="shared" si="93"/>
        <v>#REF!</v>
      </c>
      <c r="CQ130" t="e">
        <f t="shared" si="93"/>
        <v>#REF!</v>
      </c>
      <c r="CR130" t="e">
        <f t="shared" si="93"/>
        <v>#REF!</v>
      </c>
      <c r="CS130" t="e">
        <f t="shared" si="93"/>
        <v>#REF!</v>
      </c>
      <c r="CT130" t="e">
        <f t="shared" si="93"/>
        <v>#REF!</v>
      </c>
      <c r="CU130" t="e">
        <f t="shared" si="98"/>
        <v>#REF!</v>
      </c>
      <c r="CV130" t="e">
        <f t="shared" si="98"/>
        <v>#REF!</v>
      </c>
      <c r="CW130" t="e">
        <f t="shared" si="98"/>
        <v>#REF!</v>
      </c>
      <c r="CX130" t="e">
        <f t="shared" si="98"/>
        <v>#REF!</v>
      </c>
      <c r="CY130" t="e">
        <f t="shared" si="98"/>
        <v>#REF!</v>
      </c>
      <c r="CZ130" t="e">
        <f t="shared" si="87"/>
        <v>#REF!</v>
      </c>
      <c r="DA130" t="e">
        <f t="shared" si="87"/>
        <v>#REF!</v>
      </c>
      <c r="DB130" t="e">
        <f t="shared" si="87"/>
        <v>#REF!</v>
      </c>
      <c r="DC130" t="e">
        <f t="shared" si="87"/>
        <v>#REF!</v>
      </c>
      <c r="DD130" t="e">
        <f t="shared" si="87"/>
        <v>#REF!</v>
      </c>
      <c r="DE130" t="e">
        <f t="shared" si="87"/>
        <v>#REF!</v>
      </c>
      <c r="DF130" t="e">
        <f t="shared" si="87"/>
        <v>#REF!</v>
      </c>
      <c r="DG130" t="e">
        <f t="shared" si="87"/>
        <v>#REF!</v>
      </c>
      <c r="DH130" t="e">
        <f t="shared" si="87"/>
        <v>#REF!</v>
      </c>
      <c r="DI130" t="e">
        <f t="shared" si="87"/>
        <v>#REF!</v>
      </c>
      <c r="DJ130" t="e">
        <f t="shared" si="87"/>
        <v>#REF!</v>
      </c>
      <c r="DK130" t="e">
        <f t="shared" si="87"/>
        <v>#REF!</v>
      </c>
      <c r="DL130" t="e">
        <f t="shared" si="87"/>
        <v>#REF!</v>
      </c>
      <c r="DM130" t="e">
        <f t="shared" si="87"/>
        <v>#REF!</v>
      </c>
      <c r="DN130" t="e">
        <f t="shared" si="86"/>
        <v>#REF!</v>
      </c>
      <c r="DO130" t="e">
        <f t="shared" si="86"/>
        <v>#REF!</v>
      </c>
      <c r="DP130" t="e">
        <f t="shared" si="86"/>
        <v>#REF!</v>
      </c>
      <c r="DQ130" t="e">
        <f t="shared" si="86"/>
        <v>#REF!</v>
      </c>
      <c r="DR130" t="e">
        <f t="shared" si="86"/>
        <v>#REF!</v>
      </c>
      <c r="DS130" t="e">
        <f t="shared" si="86"/>
        <v>#REF!</v>
      </c>
      <c r="DT130" t="e">
        <f t="shared" si="86"/>
        <v>#REF!</v>
      </c>
      <c r="DU130" t="e">
        <f t="shared" si="86"/>
        <v>#REF!</v>
      </c>
      <c r="DV130" t="e">
        <f t="shared" si="86"/>
        <v>#REF!</v>
      </c>
      <c r="DW130" t="e">
        <f t="shared" si="86"/>
        <v>#REF!</v>
      </c>
      <c r="DX130" t="e">
        <f t="shared" si="86"/>
        <v>#REF!</v>
      </c>
      <c r="DY130" t="e">
        <f t="shared" si="86"/>
        <v>#REF!</v>
      </c>
      <c r="DZ130" t="e">
        <f t="shared" si="63"/>
        <v>#REF!</v>
      </c>
      <c r="EA130" t="e">
        <f t="shared" si="63"/>
        <v>#REF!</v>
      </c>
      <c r="EB130" t="e">
        <f t="shared" si="63"/>
        <v>#REF!</v>
      </c>
      <c r="EC130" t="e">
        <f t="shared" si="63"/>
        <v>#REF!</v>
      </c>
      <c r="ED130" t="e">
        <f t="shared" si="99"/>
        <v>#REF!</v>
      </c>
      <c r="EE130" t="e">
        <f t="shared" si="99"/>
        <v>#REF!</v>
      </c>
      <c r="EF130" t="e">
        <f t="shared" si="99"/>
        <v>#REF!</v>
      </c>
      <c r="EG130" t="e">
        <f t="shared" si="99"/>
        <v>#REF!</v>
      </c>
      <c r="EH130" t="e">
        <f t="shared" si="99"/>
        <v>#REF!</v>
      </c>
      <c r="EI130" t="e">
        <f t="shared" si="99"/>
        <v>#REF!</v>
      </c>
      <c r="EJ130" t="e">
        <f t="shared" si="99"/>
        <v>#REF!</v>
      </c>
      <c r="EK130" t="e">
        <f t="shared" si="99"/>
        <v>#REF!</v>
      </c>
      <c r="EL130" t="e">
        <f t="shared" si="99"/>
        <v>#REF!</v>
      </c>
      <c r="EM130" t="e">
        <f t="shared" si="99"/>
        <v>#REF!</v>
      </c>
    </row>
    <row r="131" spans="1:143" x14ac:dyDescent="0.4">
      <c r="A131" t="str">
        <f t="shared" si="51"/>
        <v>X</v>
      </c>
      <c r="B131">
        <v>128</v>
      </c>
      <c r="C131" t="e" cm="1">
        <f t="array" ref="C131">INDEX(auto_Series_Code,B131)</f>
        <v>#REF!</v>
      </c>
      <c r="D131" t="e">
        <f t="shared" si="92"/>
        <v>#REF!</v>
      </c>
      <c r="E131" t="e">
        <f t="shared" si="92"/>
        <v>#REF!</v>
      </c>
      <c r="F131" t="e">
        <f t="shared" si="92"/>
        <v>#REF!</v>
      </c>
      <c r="G131" t="e">
        <f t="shared" si="92"/>
        <v>#REF!</v>
      </c>
      <c r="H131" t="e">
        <f t="shared" si="92"/>
        <v>#REF!</v>
      </c>
      <c r="I131" t="e">
        <f t="shared" si="92"/>
        <v>#REF!</v>
      </c>
      <c r="J131" t="e">
        <f t="shared" si="92"/>
        <v>#REF!</v>
      </c>
      <c r="K131" t="e">
        <f t="shared" si="92"/>
        <v>#REF!</v>
      </c>
      <c r="L131" t="e">
        <f t="shared" si="92"/>
        <v>#REF!</v>
      </c>
      <c r="M131" t="e">
        <f t="shared" si="92"/>
        <v>#REF!</v>
      </c>
      <c r="N131" t="e">
        <f t="shared" si="92"/>
        <v>#REF!</v>
      </c>
      <c r="O131" t="e">
        <f t="shared" si="92"/>
        <v>#REF!</v>
      </c>
      <c r="P131" t="e">
        <f t="shared" si="92"/>
        <v>#REF!</v>
      </c>
      <c r="Q131" t="e">
        <f t="shared" si="92"/>
        <v>#REF!</v>
      </c>
      <c r="R131" t="e">
        <f t="shared" si="92"/>
        <v>#REF!</v>
      </c>
      <c r="S131" t="e">
        <f t="shared" si="92"/>
        <v>#REF!</v>
      </c>
      <c r="T131" t="e">
        <f t="shared" si="91"/>
        <v>#REF!</v>
      </c>
      <c r="U131" t="e">
        <f t="shared" si="91"/>
        <v>#REF!</v>
      </c>
      <c r="V131" t="e">
        <f t="shared" si="91"/>
        <v>#REF!</v>
      </c>
      <c r="W131" t="e">
        <f t="shared" si="91"/>
        <v>#REF!</v>
      </c>
      <c r="X131" t="e">
        <f t="shared" si="91"/>
        <v>#REF!</v>
      </c>
      <c r="Y131" t="e">
        <f t="shared" si="91"/>
        <v>#REF!</v>
      </c>
      <c r="Z131" t="e">
        <f t="shared" si="91"/>
        <v>#REF!</v>
      </c>
      <c r="AA131" t="e">
        <f t="shared" si="91"/>
        <v>#REF!</v>
      </c>
      <c r="AB131" t="e">
        <f t="shared" si="91"/>
        <v>#REF!</v>
      </c>
      <c r="AC131" t="e">
        <f t="shared" si="91"/>
        <v>#REF!</v>
      </c>
      <c r="AD131" t="e">
        <f t="shared" si="91"/>
        <v>#REF!</v>
      </c>
      <c r="AE131" t="e">
        <f t="shared" si="91"/>
        <v>#REF!</v>
      </c>
      <c r="AF131" t="e">
        <f t="shared" si="91"/>
        <v>#REF!</v>
      </c>
      <c r="AG131" t="e">
        <f t="shared" si="91"/>
        <v>#REF!</v>
      </c>
      <c r="AH131" t="e">
        <f t="shared" si="101"/>
        <v>#REF!</v>
      </c>
      <c r="AI131" t="e">
        <f t="shared" si="101"/>
        <v>#REF!</v>
      </c>
      <c r="AJ131" t="e">
        <f t="shared" si="101"/>
        <v>#REF!</v>
      </c>
      <c r="AK131" t="e">
        <f t="shared" si="101"/>
        <v>#REF!</v>
      </c>
      <c r="AL131" t="e">
        <f t="shared" si="101"/>
        <v>#REF!</v>
      </c>
      <c r="AM131" t="e">
        <f t="shared" si="101"/>
        <v>#REF!</v>
      </c>
      <c r="AN131" t="e">
        <f t="shared" si="101"/>
        <v>#REF!</v>
      </c>
      <c r="AO131" t="e">
        <f t="shared" si="101"/>
        <v>#REF!</v>
      </c>
      <c r="AP131" t="e">
        <f t="shared" si="101"/>
        <v>#REF!</v>
      </c>
      <c r="AQ131" t="e">
        <f t="shared" si="101"/>
        <v>#REF!</v>
      </c>
      <c r="AR131" t="e">
        <f t="shared" si="89"/>
        <v>#REF!</v>
      </c>
      <c r="AS131" t="e">
        <f t="shared" si="89"/>
        <v>#REF!</v>
      </c>
      <c r="AT131" t="e">
        <f t="shared" si="89"/>
        <v>#REF!</v>
      </c>
      <c r="AU131" t="e">
        <f t="shared" si="89"/>
        <v>#REF!</v>
      </c>
      <c r="AV131" t="e">
        <f t="shared" si="89"/>
        <v>#REF!</v>
      </c>
      <c r="AW131" t="e">
        <f t="shared" si="89"/>
        <v>#REF!</v>
      </c>
      <c r="AX131" t="e">
        <f t="shared" si="89"/>
        <v>#REF!</v>
      </c>
      <c r="AY131" t="e">
        <f t="shared" si="94"/>
        <v>#REF!</v>
      </c>
      <c r="AZ131" t="e">
        <f t="shared" si="94"/>
        <v>#REF!</v>
      </c>
      <c r="BA131" t="e">
        <f t="shared" si="94"/>
        <v>#REF!</v>
      </c>
      <c r="BB131" t="e">
        <f t="shared" si="84"/>
        <v>#REF!</v>
      </c>
      <c r="BC131" t="e">
        <f t="shared" si="84"/>
        <v>#REF!</v>
      </c>
      <c r="BD131" t="e">
        <f t="shared" si="84"/>
        <v>#REF!</v>
      </c>
      <c r="BE131" t="e">
        <f t="shared" si="84"/>
        <v>#REF!</v>
      </c>
      <c r="BF131" t="e">
        <f t="shared" si="84"/>
        <v>#REF!</v>
      </c>
      <c r="BG131" t="e">
        <f t="shared" si="84"/>
        <v>#REF!</v>
      </c>
      <c r="BH131" t="e">
        <f t="shared" si="84"/>
        <v>#REF!</v>
      </c>
      <c r="BI131" t="e">
        <f t="shared" si="84"/>
        <v>#REF!</v>
      </c>
      <c r="BJ131" t="e">
        <f t="shared" si="84"/>
        <v>#REF!</v>
      </c>
      <c r="BK131" t="e">
        <f t="shared" si="84"/>
        <v>#REF!</v>
      </c>
      <c r="BL131" t="e">
        <f t="shared" si="84"/>
        <v>#REF!</v>
      </c>
      <c r="BM131" t="e">
        <f t="shared" si="84"/>
        <v>#REF!</v>
      </c>
      <c r="BN131" t="e">
        <f t="shared" si="84"/>
        <v>#REF!</v>
      </c>
      <c r="BO131" t="e">
        <f t="shared" si="84"/>
        <v>#REF!</v>
      </c>
      <c r="BP131" t="e">
        <f t="shared" si="84"/>
        <v>#REF!</v>
      </c>
      <c r="BQ131" t="e">
        <f t="shared" si="84"/>
        <v>#REF!</v>
      </c>
      <c r="BR131" t="e">
        <f t="shared" si="100"/>
        <v>#REF!</v>
      </c>
      <c r="BS131" t="e">
        <f t="shared" si="100"/>
        <v>#REF!</v>
      </c>
      <c r="BT131" t="e">
        <f t="shared" si="100"/>
        <v>#REF!</v>
      </c>
      <c r="BU131" t="e">
        <f t="shared" si="100"/>
        <v>#REF!</v>
      </c>
      <c r="BV131" t="e">
        <f t="shared" si="100"/>
        <v>#REF!</v>
      </c>
      <c r="BW131" t="e">
        <f t="shared" si="100"/>
        <v>#REF!</v>
      </c>
      <c r="BX131" t="e">
        <f t="shared" si="100"/>
        <v>#REF!</v>
      </c>
      <c r="BY131" t="e">
        <f t="shared" si="100"/>
        <v>#REF!</v>
      </c>
      <c r="BZ131" t="e">
        <f t="shared" si="100"/>
        <v>#REF!</v>
      </c>
      <c r="CA131" t="e">
        <f t="shared" si="100"/>
        <v>#REF!</v>
      </c>
      <c r="CB131" t="e">
        <f t="shared" si="100"/>
        <v>#REF!</v>
      </c>
      <c r="CC131" t="e">
        <f t="shared" si="100"/>
        <v>#REF!</v>
      </c>
      <c r="CD131" t="e">
        <f t="shared" si="100"/>
        <v>#REF!</v>
      </c>
      <c r="CE131" t="e">
        <f t="shared" si="100"/>
        <v>#REF!</v>
      </c>
      <c r="CF131" t="e">
        <f t="shared" si="93"/>
        <v>#REF!</v>
      </c>
      <c r="CG131" t="e">
        <f t="shared" si="93"/>
        <v>#REF!</v>
      </c>
      <c r="CH131" t="e">
        <f t="shared" si="93"/>
        <v>#REF!</v>
      </c>
      <c r="CI131" t="e">
        <f t="shared" si="93"/>
        <v>#REF!</v>
      </c>
      <c r="CJ131" t="e">
        <f t="shared" si="93"/>
        <v>#REF!</v>
      </c>
      <c r="CK131" t="e">
        <f t="shared" si="93"/>
        <v>#REF!</v>
      </c>
      <c r="CL131" t="e">
        <f t="shared" si="93"/>
        <v>#REF!</v>
      </c>
      <c r="CM131" t="e">
        <f t="shared" si="93"/>
        <v>#REF!</v>
      </c>
      <c r="CN131" t="e">
        <f t="shared" si="93"/>
        <v>#REF!</v>
      </c>
      <c r="CO131" t="e">
        <f t="shared" si="93"/>
        <v>#REF!</v>
      </c>
      <c r="CP131" t="e">
        <f t="shared" si="93"/>
        <v>#REF!</v>
      </c>
      <c r="CQ131" t="e">
        <f t="shared" si="93"/>
        <v>#REF!</v>
      </c>
      <c r="CR131" t="e">
        <f t="shared" si="93"/>
        <v>#REF!</v>
      </c>
      <c r="CS131" t="e">
        <f t="shared" si="93"/>
        <v>#REF!</v>
      </c>
      <c r="CT131" t="e">
        <f t="shared" si="93"/>
        <v>#REF!</v>
      </c>
      <c r="CU131" t="e">
        <f t="shared" si="98"/>
        <v>#REF!</v>
      </c>
      <c r="CV131" t="e">
        <f t="shared" si="98"/>
        <v>#REF!</v>
      </c>
      <c r="CW131" t="e">
        <f t="shared" si="98"/>
        <v>#REF!</v>
      </c>
      <c r="CX131" t="e">
        <f t="shared" si="98"/>
        <v>#REF!</v>
      </c>
      <c r="CY131" t="e">
        <f t="shared" si="98"/>
        <v>#REF!</v>
      </c>
      <c r="CZ131" t="e">
        <f t="shared" si="87"/>
        <v>#REF!</v>
      </c>
      <c r="DA131" t="e">
        <f t="shared" ref="DA131:DP166" si="102">MATCH(CONCATENATE(DA$3,"_",$C131),auto_DataFlat_UID,0)</f>
        <v>#REF!</v>
      </c>
      <c r="DB131" t="e">
        <f t="shared" si="102"/>
        <v>#REF!</v>
      </c>
      <c r="DC131" t="e">
        <f t="shared" si="102"/>
        <v>#REF!</v>
      </c>
      <c r="DD131" t="e">
        <f t="shared" si="102"/>
        <v>#REF!</v>
      </c>
      <c r="DE131" t="e">
        <f t="shared" si="102"/>
        <v>#REF!</v>
      </c>
      <c r="DF131" t="e">
        <f t="shared" si="102"/>
        <v>#REF!</v>
      </c>
      <c r="DG131" t="e">
        <f t="shared" si="102"/>
        <v>#REF!</v>
      </c>
      <c r="DH131" t="e">
        <f t="shared" si="102"/>
        <v>#REF!</v>
      </c>
      <c r="DI131" t="e">
        <f t="shared" si="102"/>
        <v>#REF!</v>
      </c>
      <c r="DJ131" t="e">
        <f t="shared" si="102"/>
        <v>#REF!</v>
      </c>
      <c r="DK131" t="e">
        <f t="shared" si="102"/>
        <v>#REF!</v>
      </c>
      <c r="DL131" t="e">
        <f t="shared" si="102"/>
        <v>#REF!</v>
      </c>
      <c r="DM131" t="e">
        <f t="shared" si="102"/>
        <v>#REF!</v>
      </c>
      <c r="DN131" t="e">
        <f t="shared" si="102"/>
        <v>#REF!</v>
      </c>
      <c r="DO131" t="e">
        <f t="shared" si="102"/>
        <v>#REF!</v>
      </c>
      <c r="DP131" t="e">
        <f t="shared" si="102"/>
        <v>#REF!</v>
      </c>
      <c r="DQ131" t="e">
        <f t="shared" si="86"/>
        <v>#REF!</v>
      </c>
      <c r="DR131" t="e">
        <f t="shared" si="86"/>
        <v>#REF!</v>
      </c>
      <c r="DS131" t="e">
        <f t="shared" si="86"/>
        <v>#REF!</v>
      </c>
      <c r="DT131" t="e">
        <f t="shared" si="86"/>
        <v>#REF!</v>
      </c>
      <c r="DU131" t="e">
        <f t="shared" si="86"/>
        <v>#REF!</v>
      </c>
      <c r="DV131" t="e">
        <f t="shared" si="86"/>
        <v>#REF!</v>
      </c>
      <c r="DW131" t="e">
        <f t="shared" si="86"/>
        <v>#REF!</v>
      </c>
      <c r="DX131" t="e">
        <f t="shared" si="86"/>
        <v>#REF!</v>
      </c>
      <c r="DY131" t="e">
        <f t="shared" si="86"/>
        <v>#REF!</v>
      </c>
      <c r="DZ131" t="e">
        <f t="shared" si="63"/>
        <v>#REF!</v>
      </c>
      <c r="EA131" t="e">
        <f t="shared" si="63"/>
        <v>#REF!</v>
      </c>
      <c r="EB131" t="e">
        <f t="shared" si="63"/>
        <v>#REF!</v>
      </c>
      <c r="EC131" t="e">
        <f t="shared" si="63"/>
        <v>#REF!</v>
      </c>
      <c r="ED131" t="e">
        <f t="shared" si="99"/>
        <v>#REF!</v>
      </c>
      <c r="EE131" t="e">
        <f t="shared" si="99"/>
        <v>#REF!</v>
      </c>
      <c r="EF131" t="e">
        <f t="shared" si="99"/>
        <v>#REF!</v>
      </c>
      <c r="EG131" t="e">
        <f t="shared" si="99"/>
        <v>#REF!</v>
      </c>
      <c r="EH131" t="e">
        <f t="shared" si="99"/>
        <v>#REF!</v>
      </c>
      <c r="EI131" t="e">
        <f t="shared" si="99"/>
        <v>#REF!</v>
      </c>
      <c r="EJ131" t="e">
        <f t="shared" si="99"/>
        <v>#REF!</v>
      </c>
      <c r="EK131" t="e">
        <f t="shared" si="99"/>
        <v>#REF!</v>
      </c>
      <c r="EL131" t="e">
        <f t="shared" si="99"/>
        <v>#REF!</v>
      </c>
      <c r="EM131" t="e">
        <f t="shared" si="99"/>
        <v>#REF!</v>
      </c>
    </row>
    <row r="132" spans="1:143" x14ac:dyDescent="0.4">
      <c r="A132" t="str">
        <f t="shared" si="51"/>
        <v>X</v>
      </c>
      <c r="B132">
        <v>129</v>
      </c>
      <c r="C132" t="e" cm="1">
        <f t="array" ref="C132">INDEX(auto_Series_Code,B132)</f>
        <v>#REF!</v>
      </c>
      <c r="D132" t="e">
        <f t="shared" si="92"/>
        <v>#REF!</v>
      </c>
      <c r="E132" t="e">
        <f t="shared" si="92"/>
        <v>#REF!</v>
      </c>
      <c r="F132" t="e">
        <f t="shared" si="92"/>
        <v>#REF!</v>
      </c>
      <c r="G132" t="e">
        <f t="shared" si="92"/>
        <v>#REF!</v>
      </c>
      <c r="H132" t="e">
        <f t="shared" si="92"/>
        <v>#REF!</v>
      </c>
      <c r="I132" t="e">
        <f t="shared" si="92"/>
        <v>#REF!</v>
      </c>
      <c r="J132" t="e">
        <f t="shared" si="92"/>
        <v>#REF!</v>
      </c>
      <c r="K132" t="e">
        <f t="shared" si="92"/>
        <v>#REF!</v>
      </c>
      <c r="L132" t="e">
        <f t="shared" si="92"/>
        <v>#REF!</v>
      </c>
      <c r="M132" t="e">
        <f t="shared" si="92"/>
        <v>#REF!</v>
      </c>
      <c r="N132" t="e">
        <f t="shared" si="92"/>
        <v>#REF!</v>
      </c>
      <c r="O132" t="e">
        <f t="shared" si="92"/>
        <v>#REF!</v>
      </c>
      <c r="P132" t="e">
        <f t="shared" si="92"/>
        <v>#REF!</v>
      </c>
      <c r="Q132" t="e">
        <f t="shared" si="92"/>
        <v>#REF!</v>
      </c>
      <c r="R132" t="e">
        <f t="shared" si="92"/>
        <v>#REF!</v>
      </c>
      <c r="S132" t="e">
        <f t="shared" si="92"/>
        <v>#REF!</v>
      </c>
      <c r="T132" t="e">
        <f t="shared" si="91"/>
        <v>#REF!</v>
      </c>
      <c r="U132" t="e">
        <f t="shared" si="91"/>
        <v>#REF!</v>
      </c>
      <c r="V132" t="e">
        <f t="shared" si="91"/>
        <v>#REF!</v>
      </c>
      <c r="W132" t="e">
        <f t="shared" si="91"/>
        <v>#REF!</v>
      </c>
      <c r="X132" t="e">
        <f t="shared" si="91"/>
        <v>#REF!</v>
      </c>
      <c r="Y132" t="e">
        <f t="shared" si="91"/>
        <v>#REF!</v>
      </c>
      <c r="Z132" t="e">
        <f t="shared" si="91"/>
        <v>#REF!</v>
      </c>
      <c r="AA132" t="e">
        <f t="shared" si="91"/>
        <v>#REF!</v>
      </c>
      <c r="AB132" t="e">
        <f t="shared" si="91"/>
        <v>#REF!</v>
      </c>
      <c r="AC132" t="e">
        <f t="shared" si="91"/>
        <v>#REF!</v>
      </c>
      <c r="AD132" t="e">
        <f t="shared" si="91"/>
        <v>#REF!</v>
      </c>
      <c r="AE132" t="e">
        <f t="shared" si="91"/>
        <v>#REF!</v>
      </c>
      <c r="AF132" t="e">
        <f t="shared" si="91"/>
        <v>#REF!</v>
      </c>
      <c r="AG132" t="e">
        <f t="shared" si="91"/>
        <v>#REF!</v>
      </c>
      <c r="AH132" t="e">
        <f t="shared" si="101"/>
        <v>#REF!</v>
      </c>
      <c r="AI132" t="e">
        <f t="shared" si="101"/>
        <v>#REF!</v>
      </c>
      <c r="AJ132" t="e">
        <f t="shared" si="101"/>
        <v>#REF!</v>
      </c>
      <c r="AK132" t="e">
        <f t="shared" si="101"/>
        <v>#REF!</v>
      </c>
      <c r="AL132" t="e">
        <f t="shared" si="101"/>
        <v>#REF!</v>
      </c>
      <c r="AM132" t="e">
        <f t="shared" si="101"/>
        <v>#REF!</v>
      </c>
      <c r="AN132" t="e">
        <f t="shared" si="101"/>
        <v>#REF!</v>
      </c>
      <c r="AO132" t="e">
        <f t="shared" si="101"/>
        <v>#REF!</v>
      </c>
      <c r="AP132" t="e">
        <f t="shared" si="101"/>
        <v>#REF!</v>
      </c>
      <c r="AQ132" t="e">
        <f t="shared" si="101"/>
        <v>#REF!</v>
      </c>
      <c r="AR132" t="e">
        <f t="shared" si="89"/>
        <v>#REF!</v>
      </c>
      <c r="AS132" t="e">
        <f t="shared" si="89"/>
        <v>#REF!</v>
      </c>
      <c r="AT132" t="e">
        <f t="shared" si="89"/>
        <v>#REF!</v>
      </c>
      <c r="AU132" t="e">
        <f t="shared" si="89"/>
        <v>#REF!</v>
      </c>
      <c r="AV132" t="e">
        <f t="shared" si="89"/>
        <v>#REF!</v>
      </c>
      <c r="AW132" t="e">
        <f t="shared" si="89"/>
        <v>#REF!</v>
      </c>
      <c r="AX132" t="e">
        <f t="shared" si="89"/>
        <v>#REF!</v>
      </c>
      <c r="AY132" t="e">
        <f t="shared" si="94"/>
        <v>#REF!</v>
      </c>
      <c r="AZ132" t="e">
        <f t="shared" si="94"/>
        <v>#REF!</v>
      </c>
      <c r="BA132" t="e">
        <f t="shared" si="94"/>
        <v>#REF!</v>
      </c>
      <c r="BB132" t="e">
        <f t="shared" si="84"/>
        <v>#REF!</v>
      </c>
      <c r="BC132" t="e">
        <f t="shared" si="84"/>
        <v>#REF!</v>
      </c>
      <c r="BD132" t="e">
        <f t="shared" si="84"/>
        <v>#REF!</v>
      </c>
      <c r="BE132" t="e">
        <f t="shared" si="84"/>
        <v>#REF!</v>
      </c>
      <c r="BF132" t="e">
        <f t="shared" si="84"/>
        <v>#REF!</v>
      </c>
      <c r="BG132" t="e">
        <f t="shared" si="84"/>
        <v>#REF!</v>
      </c>
      <c r="BH132" t="e">
        <f t="shared" si="84"/>
        <v>#REF!</v>
      </c>
      <c r="BI132" t="e">
        <f t="shared" si="84"/>
        <v>#REF!</v>
      </c>
      <c r="BJ132" t="e">
        <f t="shared" si="84"/>
        <v>#REF!</v>
      </c>
      <c r="BK132" t="e">
        <f t="shared" si="84"/>
        <v>#REF!</v>
      </c>
      <c r="BL132" t="e">
        <f t="shared" si="84"/>
        <v>#REF!</v>
      </c>
      <c r="BM132" t="e">
        <f t="shared" si="84"/>
        <v>#REF!</v>
      </c>
      <c r="BN132" t="e">
        <f t="shared" si="84"/>
        <v>#REF!</v>
      </c>
      <c r="BO132" t="e">
        <f t="shared" si="84"/>
        <v>#REF!</v>
      </c>
      <c r="BP132" t="e">
        <f t="shared" si="84"/>
        <v>#REF!</v>
      </c>
      <c r="BQ132" t="e">
        <f t="shared" si="84"/>
        <v>#REF!</v>
      </c>
      <c r="BR132" t="e">
        <f t="shared" si="100"/>
        <v>#REF!</v>
      </c>
      <c r="BS132" t="e">
        <f t="shared" si="100"/>
        <v>#REF!</v>
      </c>
      <c r="BT132" t="e">
        <f t="shared" si="100"/>
        <v>#REF!</v>
      </c>
      <c r="BU132" t="e">
        <f t="shared" si="100"/>
        <v>#REF!</v>
      </c>
      <c r="BV132" t="e">
        <f t="shared" si="100"/>
        <v>#REF!</v>
      </c>
      <c r="BW132" t="e">
        <f t="shared" si="100"/>
        <v>#REF!</v>
      </c>
      <c r="BX132" t="e">
        <f t="shared" si="100"/>
        <v>#REF!</v>
      </c>
      <c r="BY132" t="e">
        <f t="shared" si="100"/>
        <v>#REF!</v>
      </c>
      <c r="BZ132" t="e">
        <f t="shared" si="100"/>
        <v>#REF!</v>
      </c>
      <c r="CA132" t="e">
        <f t="shared" si="100"/>
        <v>#REF!</v>
      </c>
      <c r="CB132" t="e">
        <f t="shared" si="100"/>
        <v>#REF!</v>
      </c>
      <c r="CC132" t="e">
        <f t="shared" si="100"/>
        <v>#REF!</v>
      </c>
      <c r="CD132" t="e">
        <f t="shared" si="100"/>
        <v>#REF!</v>
      </c>
      <c r="CE132" t="e">
        <f t="shared" si="100"/>
        <v>#REF!</v>
      </c>
      <c r="CF132" t="e">
        <f t="shared" si="93"/>
        <v>#REF!</v>
      </c>
      <c r="CG132" t="e">
        <f t="shared" si="93"/>
        <v>#REF!</v>
      </c>
      <c r="CH132" t="e">
        <f t="shared" si="93"/>
        <v>#REF!</v>
      </c>
      <c r="CI132" t="e">
        <f t="shared" si="93"/>
        <v>#REF!</v>
      </c>
      <c r="CJ132" t="e">
        <f t="shared" si="93"/>
        <v>#REF!</v>
      </c>
      <c r="CK132" t="e">
        <f t="shared" si="93"/>
        <v>#REF!</v>
      </c>
      <c r="CL132" t="e">
        <f t="shared" si="93"/>
        <v>#REF!</v>
      </c>
      <c r="CM132" t="e">
        <f t="shared" si="93"/>
        <v>#REF!</v>
      </c>
      <c r="CN132" t="e">
        <f t="shared" si="93"/>
        <v>#REF!</v>
      </c>
      <c r="CO132" t="e">
        <f t="shared" si="93"/>
        <v>#REF!</v>
      </c>
      <c r="CP132" t="e">
        <f t="shared" si="93"/>
        <v>#REF!</v>
      </c>
      <c r="CQ132" t="e">
        <f t="shared" si="93"/>
        <v>#REF!</v>
      </c>
      <c r="CR132" t="e">
        <f t="shared" si="93"/>
        <v>#REF!</v>
      </c>
      <c r="CS132" t="e">
        <f t="shared" si="93"/>
        <v>#REF!</v>
      </c>
      <c r="CT132" t="e">
        <f t="shared" si="93"/>
        <v>#REF!</v>
      </c>
      <c r="CU132" t="e">
        <f t="shared" si="98"/>
        <v>#REF!</v>
      </c>
      <c r="CV132" t="e">
        <f t="shared" si="98"/>
        <v>#REF!</v>
      </c>
      <c r="CW132" t="e">
        <f t="shared" si="98"/>
        <v>#REF!</v>
      </c>
      <c r="CX132" t="e">
        <f t="shared" si="98"/>
        <v>#REF!</v>
      </c>
      <c r="CY132" t="e">
        <f t="shared" si="98"/>
        <v>#REF!</v>
      </c>
      <c r="CZ132" t="e">
        <f t="shared" si="98"/>
        <v>#REF!</v>
      </c>
      <c r="DA132" t="e">
        <f t="shared" si="98"/>
        <v>#REF!</v>
      </c>
      <c r="DB132" t="e">
        <f t="shared" si="98"/>
        <v>#REF!</v>
      </c>
      <c r="DC132" t="e">
        <f t="shared" si="98"/>
        <v>#REF!</v>
      </c>
      <c r="DD132" t="e">
        <f t="shared" si="98"/>
        <v>#REF!</v>
      </c>
      <c r="DE132" t="e">
        <f t="shared" si="98"/>
        <v>#REF!</v>
      </c>
      <c r="DF132" t="e">
        <f t="shared" si="98"/>
        <v>#REF!</v>
      </c>
      <c r="DG132" t="e">
        <f t="shared" si="98"/>
        <v>#REF!</v>
      </c>
      <c r="DH132" t="e">
        <f t="shared" si="98"/>
        <v>#REF!</v>
      </c>
      <c r="DI132" t="e">
        <f t="shared" si="98"/>
        <v>#REF!</v>
      </c>
      <c r="DJ132" t="e">
        <f t="shared" si="102"/>
        <v>#REF!</v>
      </c>
      <c r="DK132" t="e">
        <f t="shared" si="102"/>
        <v>#REF!</v>
      </c>
      <c r="DL132" t="e">
        <f t="shared" si="102"/>
        <v>#REF!</v>
      </c>
      <c r="DM132" t="e">
        <f t="shared" si="102"/>
        <v>#REF!</v>
      </c>
      <c r="DN132" t="e">
        <f t="shared" si="102"/>
        <v>#REF!</v>
      </c>
      <c r="DO132" t="e">
        <f t="shared" si="102"/>
        <v>#REF!</v>
      </c>
      <c r="DP132" t="e">
        <f t="shared" si="102"/>
        <v>#REF!</v>
      </c>
      <c r="DQ132" t="e">
        <f t="shared" si="86"/>
        <v>#REF!</v>
      </c>
      <c r="DR132" t="e">
        <f t="shared" si="86"/>
        <v>#REF!</v>
      </c>
      <c r="DS132" t="e">
        <f t="shared" si="86"/>
        <v>#REF!</v>
      </c>
      <c r="DT132" t="e">
        <f t="shared" si="86"/>
        <v>#REF!</v>
      </c>
      <c r="DU132" t="e">
        <f t="shared" si="86"/>
        <v>#REF!</v>
      </c>
      <c r="DV132" t="e">
        <f t="shared" si="86"/>
        <v>#REF!</v>
      </c>
      <c r="DW132" t="e">
        <f t="shared" si="86"/>
        <v>#REF!</v>
      </c>
      <c r="DX132" t="e">
        <f t="shared" si="86"/>
        <v>#REF!</v>
      </c>
      <c r="DY132" t="e">
        <f t="shared" si="86"/>
        <v>#REF!</v>
      </c>
      <c r="DZ132" t="e">
        <f t="shared" si="63"/>
        <v>#REF!</v>
      </c>
      <c r="EA132" t="e">
        <f t="shared" si="63"/>
        <v>#REF!</v>
      </c>
      <c r="EB132" t="e">
        <f t="shared" si="63"/>
        <v>#REF!</v>
      </c>
      <c r="EC132" t="e">
        <f t="shared" si="63"/>
        <v>#REF!</v>
      </c>
      <c r="ED132" t="e">
        <f t="shared" si="99"/>
        <v>#REF!</v>
      </c>
      <c r="EE132" t="e">
        <f t="shared" si="99"/>
        <v>#REF!</v>
      </c>
      <c r="EF132" t="e">
        <f t="shared" si="99"/>
        <v>#REF!</v>
      </c>
      <c r="EG132" t="e">
        <f t="shared" si="99"/>
        <v>#REF!</v>
      </c>
      <c r="EH132" t="e">
        <f t="shared" si="99"/>
        <v>#REF!</v>
      </c>
      <c r="EI132" t="e">
        <f t="shared" si="99"/>
        <v>#REF!</v>
      </c>
      <c r="EJ132" t="e">
        <f t="shared" si="99"/>
        <v>#REF!</v>
      </c>
      <c r="EK132" t="e">
        <f t="shared" si="99"/>
        <v>#REF!</v>
      </c>
      <c r="EL132" t="e">
        <f t="shared" si="99"/>
        <v>#REF!</v>
      </c>
      <c r="EM132" t="e">
        <f t="shared" si="99"/>
        <v>#REF!</v>
      </c>
    </row>
    <row r="133" spans="1:143" x14ac:dyDescent="0.4">
      <c r="A133" t="str">
        <f t="shared" ref="A133:A152" si="103">IF(ISERROR(C133),"X","")</f>
        <v>X</v>
      </c>
      <c r="B133">
        <v>130</v>
      </c>
      <c r="C133" t="e" cm="1">
        <f t="array" ref="C133">INDEX(auto_Series_Code,B133)</f>
        <v>#REF!</v>
      </c>
      <c r="D133" t="e">
        <f t="shared" si="92"/>
        <v>#REF!</v>
      </c>
      <c r="E133" t="e">
        <f t="shared" si="92"/>
        <v>#REF!</v>
      </c>
      <c r="F133" t="e">
        <f t="shared" si="92"/>
        <v>#REF!</v>
      </c>
      <c r="G133" t="e">
        <f t="shared" si="92"/>
        <v>#REF!</v>
      </c>
      <c r="H133" t="e">
        <f t="shared" si="92"/>
        <v>#REF!</v>
      </c>
      <c r="I133" t="e">
        <f t="shared" si="92"/>
        <v>#REF!</v>
      </c>
      <c r="J133" t="e">
        <f t="shared" si="92"/>
        <v>#REF!</v>
      </c>
      <c r="K133" t="e">
        <f t="shared" si="92"/>
        <v>#REF!</v>
      </c>
      <c r="L133" t="e">
        <f t="shared" si="92"/>
        <v>#REF!</v>
      </c>
      <c r="M133" t="e">
        <f t="shared" si="92"/>
        <v>#REF!</v>
      </c>
      <c r="N133" t="e">
        <f t="shared" si="92"/>
        <v>#REF!</v>
      </c>
      <c r="O133" t="e">
        <f t="shared" si="92"/>
        <v>#REF!</v>
      </c>
      <c r="P133" t="e">
        <f t="shared" si="92"/>
        <v>#REF!</v>
      </c>
      <c r="Q133" t="e">
        <f t="shared" si="92"/>
        <v>#REF!</v>
      </c>
      <c r="R133" t="e">
        <f t="shared" si="92"/>
        <v>#REF!</v>
      </c>
      <c r="S133" t="e">
        <f t="shared" si="92"/>
        <v>#REF!</v>
      </c>
      <c r="T133" t="e">
        <f t="shared" si="91"/>
        <v>#REF!</v>
      </c>
      <c r="U133" t="e">
        <f t="shared" si="91"/>
        <v>#REF!</v>
      </c>
      <c r="V133" t="e">
        <f t="shared" si="91"/>
        <v>#REF!</v>
      </c>
      <c r="W133" t="e">
        <f t="shared" si="91"/>
        <v>#REF!</v>
      </c>
      <c r="X133" t="e">
        <f t="shared" si="91"/>
        <v>#REF!</v>
      </c>
      <c r="Y133" t="e">
        <f t="shared" si="91"/>
        <v>#REF!</v>
      </c>
      <c r="Z133" t="e">
        <f t="shared" si="91"/>
        <v>#REF!</v>
      </c>
      <c r="AA133" t="e">
        <f t="shared" si="91"/>
        <v>#REF!</v>
      </c>
      <c r="AB133" t="e">
        <f t="shared" si="91"/>
        <v>#REF!</v>
      </c>
      <c r="AC133" t="e">
        <f t="shared" si="91"/>
        <v>#REF!</v>
      </c>
      <c r="AD133" t="e">
        <f t="shared" si="91"/>
        <v>#REF!</v>
      </c>
      <c r="AE133" t="e">
        <f t="shared" si="91"/>
        <v>#REF!</v>
      </c>
      <c r="AF133" t="e">
        <f t="shared" si="91"/>
        <v>#REF!</v>
      </c>
      <c r="AG133" t="e">
        <f t="shared" si="91"/>
        <v>#REF!</v>
      </c>
      <c r="AH133" t="e">
        <f t="shared" si="101"/>
        <v>#REF!</v>
      </c>
      <c r="AI133" t="e">
        <f t="shared" si="101"/>
        <v>#REF!</v>
      </c>
      <c r="AJ133" t="e">
        <f t="shared" si="101"/>
        <v>#REF!</v>
      </c>
      <c r="AK133" t="e">
        <f t="shared" si="101"/>
        <v>#REF!</v>
      </c>
      <c r="AL133" t="e">
        <f t="shared" si="101"/>
        <v>#REF!</v>
      </c>
      <c r="AM133" t="e">
        <f t="shared" si="101"/>
        <v>#REF!</v>
      </c>
      <c r="AN133" t="e">
        <f t="shared" si="101"/>
        <v>#REF!</v>
      </c>
      <c r="AO133" t="e">
        <f t="shared" si="101"/>
        <v>#REF!</v>
      </c>
      <c r="AP133" t="e">
        <f t="shared" si="101"/>
        <v>#REF!</v>
      </c>
      <c r="AQ133" t="e">
        <f t="shared" si="101"/>
        <v>#REF!</v>
      </c>
      <c r="AR133" t="e">
        <f t="shared" si="89"/>
        <v>#REF!</v>
      </c>
      <c r="AS133" t="e">
        <f t="shared" si="89"/>
        <v>#REF!</v>
      </c>
      <c r="AT133" t="e">
        <f t="shared" si="89"/>
        <v>#REF!</v>
      </c>
      <c r="AU133" t="e">
        <f t="shared" si="89"/>
        <v>#REF!</v>
      </c>
      <c r="AV133" t="e">
        <f t="shared" si="89"/>
        <v>#REF!</v>
      </c>
      <c r="AW133" t="e">
        <f t="shared" si="89"/>
        <v>#REF!</v>
      </c>
      <c r="AX133" t="e">
        <f t="shared" si="89"/>
        <v>#REF!</v>
      </c>
      <c r="AY133" t="e">
        <f t="shared" si="94"/>
        <v>#REF!</v>
      </c>
      <c r="AZ133" t="e">
        <f t="shared" si="94"/>
        <v>#REF!</v>
      </c>
      <c r="BA133" t="e">
        <f t="shared" si="94"/>
        <v>#REF!</v>
      </c>
      <c r="BB133" t="e">
        <f t="shared" si="84"/>
        <v>#REF!</v>
      </c>
      <c r="BC133" t="e">
        <f t="shared" si="84"/>
        <v>#REF!</v>
      </c>
      <c r="BD133" t="e">
        <f t="shared" si="84"/>
        <v>#REF!</v>
      </c>
      <c r="BE133" t="e">
        <f t="shared" si="84"/>
        <v>#REF!</v>
      </c>
      <c r="BF133" t="e">
        <f t="shared" si="84"/>
        <v>#REF!</v>
      </c>
      <c r="BG133" t="e">
        <f t="shared" ref="BG133:BV157" si="104">MATCH(CONCATENATE(BG$3,"_",$C133),auto_DataFlat_UID,0)</f>
        <v>#REF!</v>
      </c>
      <c r="BH133" t="e">
        <f t="shared" si="104"/>
        <v>#REF!</v>
      </c>
      <c r="BI133" t="e">
        <f t="shared" si="104"/>
        <v>#REF!</v>
      </c>
      <c r="BJ133" t="e">
        <f t="shared" si="104"/>
        <v>#REF!</v>
      </c>
      <c r="BK133" t="e">
        <f t="shared" si="104"/>
        <v>#REF!</v>
      </c>
      <c r="BL133" t="e">
        <f t="shared" si="104"/>
        <v>#REF!</v>
      </c>
      <c r="BM133" t="e">
        <f t="shared" si="104"/>
        <v>#REF!</v>
      </c>
      <c r="BN133" t="e">
        <f t="shared" si="104"/>
        <v>#REF!</v>
      </c>
      <c r="BO133" t="e">
        <f t="shared" si="104"/>
        <v>#REF!</v>
      </c>
      <c r="BP133" t="e">
        <f t="shared" si="104"/>
        <v>#REF!</v>
      </c>
      <c r="BQ133" t="e">
        <f t="shared" si="104"/>
        <v>#REF!</v>
      </c>
      <c r="BR133" t="e">
        <f t="shared" si="104"/>
        <v>#REF!</v>
      </c>
      <c r="BS133" t="e">
        <f t="shared" si="104"/>
        <v>#REF!</v>
      </c>
      <c r="BT133" t="e">
        <f t="shared" si="104"/>
        <v>#REF!</v>
      </c>
      <c r="BU133" t="e">
        <f t="shared" si="104"/>
        <v>#REF!</v>
      </c>
      <c r="BV133" t="e">
        <f t="shared" si="100"/>
        <v>#REF!</v>
      </c>
      <c r="BW133" t="e">
        <f t="shared" si="100"/>
        <v>#REF!</v>
      </c>
      <c r="BX133" t="e">
        <f t="shared" si="100"/>
        <v>#REF!</v>
      </c>
      <c r="BY133" t="e">
        <f t="shared" si="100"/>
        <v>#REF!</v>
      </c>
      <c r="BZ133" t="e">
        <f t="shared" si="100"/>
        <v>#REF!</v>
      </c>
      <c r="CA133" t="e">
        <f t="shared" si="100"/>
        <v>#REF!</v>
      </c>
      <c r="CB133" t="e">
        <f t="shared" si="100"/>
        <v>#REF!</v>
      </c>
      <c r="CC133" t="e">
        <f t="shared" si="100"/>
        <v>#REF!</v>
      </c>
      <c r="CD133" t="e">
        <f t="shared" si="100"/>
        <v>#REF!</v>
      </c>
      <c r="CE133" t="e">
        <f t="shared" si="100"/>
        <v>#REF!</v>
      </c>
      <c r="CF133" t="e">
        <f t="shared" si="93"/>
        <v>#REF!</v>
      </c>
      <c r="CG133" t="e">
        <f t="shared" si="93"/>
        <v>#REF!</v>
      </c>
      <c r="CH133" t="e">
        <f t="shared" si="93"/>
        <v>#REF!</v>
      </c>
      <c r="CI133" t="e">
        <f t="shared" si="93"/>
        <v>#REF!</v>
      </c>
      <c r="CJ133" t="e">
        <f t="shared" si="93"/>
        <v>#REF!</v>
      </c>
      <c r="CK133" t="e">
        <f t="shared" si="93"/>
        <v>#REF!</v>
      </c>
      <c r="CL133" t="e">
        <f t="shared" si="93"/>
        <v>#REF!</v>
      </c>
      <c r="CM133" t="e">
        <f t="shared" si="93"/>
        <v>#REF!</v>
      </c>
      <c r="CN133" t="e">
        <f t="shared" si="93"/>
        <v>#REF!</v>
      </c>
      <c r="CO133" t="e">
        <f t="shared" si="93"/>
        <v>#REF!</v>
      </c>
      <c r="CP133" t="e">
        <f t="shared" si="93"/>
        <v>#REF!</v>
      </c>
      <c r="CQ133" t="e">
        <f t="shared" si="93"/>
        <v>#REF!</v>
      </c>
      <c r="CR133" t="e">
        <f t="shared" si="93"/>
        <v>#REF!</v>
      </c>
      <c r="CS133" t="e">
        <f t="shared" si="93"/>
        <v>#REF!</v>
      </c>
      <c r="CT133" t="e">
        <f t="shared" si="93"/>
        <v>#REF!</v>
      </c>
      <c r="CU133" t="e">
        <f t="shared" si="98"/>
        <v>#REF!</v>
      </c>
      <c r="CV133" t="e">
        <f t="shared" si="98"/>
        <v>#REF!</v>
      </c>
      <c r="CW133" t="e">
        <f t="shared" si="98"/>
        <v>#REF!</v>
      </c>
      <c r="CX133" t="e">
        <f t="shared" si="98"/>
        <v>#REF!</v>
      </c>
      <c r="CY133" t="e">
        <f t="shared" si="98"/>
        <v>#REF!</v>
      </c>
      <c r="CZ133" t="e">
        <f t="shared" si="98"/>
        <v>#REF!</v>
      </c>
      <c r="DA133" t="e">
        <f t="shared" si="98"/>
        <v>#REF!</v>
      </c>
      <c r="DB133" t="e">
        <f t="shared" si="98"/>
        <v>#REF!</v>
      </c>
      <c r="DC133" t="e">
        <f t="shared" si="98"/>
        <v>#REF!</v>
      </c>
      <c r="DD133" t="e">
        <f t="shared" si="98"/>
        <v>#REF!</v>
      </c>
      <c r="DE133" t="e">
        <f t="shared" si="98"/>
        <v>#REF!</v>
      </c>
      <c r="DF133" t="e">
        <f t="shared" si="98"/>
        <v>#REF!</v>
      </c>
      <c r="DG133" t="e">
        <f t="shared" si="98"/>
        <v>#REF!</v>
      </c>
      <c r="DH133" t="e">
        <f t="shared" si="98"/>
        <v>#REF!</v>
      </c>
      <c r="DI133" t="e">
        <f t="shared" si="98"/>
        <v>#REF!</v>
      </c>
      <c r="DJ133" t="e">
        <f t="shared" si="102"/>
        <v>#REF!</v>
      </c>
      <c r="DK133" t="e">
        <f t="shared" si="102"/>
        <v>#REF!</v>
      </c>
      <c r="DL133" t="e">
        <f t="shared" si="102"/>
        <v>#REF!</v>
      </c>
      <c r="DM133" t="e">
        <f t="shared" si="102"/>
        <v>#REF!</v>
      </c>
      <c r="DN133" t="e">
        <f t="shared" si="102"/>
        <v>#REF!</v>
      </c>
      <c r="DO133" t="e">
        <f t="shared" si="102"/>
        <v>#REF!</v>
      </c>
      <c r="DP133" t="e">
        <f t="shared" si="102"/>
        <v>#REF!</v>
      </c>
      <c r="DQ133" t="e">
        <f t="shared" si="86"/>
        <v>#REF!</v>
      </c>
      <c r="DR133" t="e">
        <f t="shared" si="86"/>
        <v>#REF!</v>
      </c>
      <c r="DS133" t="e">
        <f t="shared" si="86"/>
        <v>#REF!</v>
      </c>
      <c r="DT133" t="e">
        <f t="shared" si="86"/>
        <v>#REF!</v>
      </c>
      <c r="DU133" t="e">
        <f t="shared" si="86"/>
        <v>#REF!</v>
      </c>
      <c r="DV133" t="e">
        <f t="shared" si="86"/>
        <v>#REF!</v>
      </c>
      <c r="DW133" t="e">
        <f t="shared" si="86"/>
        <v>#REF!</v>
      </c>
      <c r="DX133" t="e">
        <f t="shared" si="86"/>
        <v>#REF!</v>
      </c>
      <c r="DY133" t="e">
        <f t="shared" si="86"/>
        <v>#REF!</v>
      </c>
      <c r="DZ133" t="e">
        <f t="shared" si="63"/>
        <v>#REF!</v>
      </c>
      <c r="EA133" t="e">
        <f t="shared" si="63"/>
        <v>#REF!</v>
      </c>
      <c r="EB133" t="e">
        <f t="shared" si="63"/>
        <v>#REF!</v>
      </c>
      <c r="EC133" t="e">
        <f t="shared" si="63"/>
        <v>#REF!</v>
      </c>
      <c r="ED133" t="e">
        <f t="shared" si="99"/>
        <v>#REF!</v>
      </c>
      <c r="EE133" t="e">
        <f t="shared" si="99"/>
        <v>#REF!</v>
      </c>
      <c r="EF133" t="e">
        <f t="shared" si="99"/>
        <v>#REF!</v>
      </c>
      <c r="EG133" t="e">
        <f t="shared" si="99"/>
        <v>#REF!</v>
      </c>
      <c r="EH133" t="e">
        <f t="shared" si="99"/>
        <v>#REF!</v>
      </c>
      <c r="EI133" t="e">
        <f t="shared" si="99"/>
        <v>#REF!</v>
      </c>
      <c r="EJ133" t="e">
        <f t="shared" si="99"/>
        <v>#REF!</v>
      </c>
      <c r="EK133" t="e">
        <f t="shared" si="99"/>
        <v>#REF!</v>
      </c>
      <c r="EL133" t="e">
        <f t="shared" si="99"/>
        <v>#REF!</v>
      </c>
      <c r="EM133" t="e">
        <f t="shared" si="99"/>
        <v>#REF!</v>
      </c>
    </row>
    <row r="134" spans="1:143" x14ac:dyDescent="0.4">
      <c r="A134" t="str">
        <f t="shared" si="103"/>
        <v>X</v>
      </c>
      <c r="B134">
        <v>131</v>
      </c>
      <c r="C134" t="e" cm="1">
        <f t="array" ref="C134">INDEX(auto_Series_Code,B134)</f>
        <v>#REF!</v>
      </c>
      <c r="D134" t="e">
        <f t="shared" si="92"/>
        <v>#REF!</v>
      </c>
      <c r="E134" t="e">
        <f t="shared" si="92"/>
        <v>#REF!</v>
      </c>
      <c r="F134" t="e">
        <f t="shared" si="92"/>
        <v>#REF!</v>
      </c>
      <c r="G134" t="e">
        <f t="shared" si="92"/>
        <v>#REF!</v>
      </c>
      <c r="H134" t="e">
        <f t="shared" si="92"/>
        <v>#REF!</v>
      </c>
      <c r="I134" t="e">
        <f t="shared" si="92"/>
        <v>#REF!</v>
      </c>
      <c r="J134" t="e">
        <f t="shared" si="92"/>
        <v>#REF!</v>
      </c>
      <c r="K134" t="e">
        <f t="shared" si="92"/>
        <v>#REF!</v>
      </c>
      <c r="L134" t="e">
        <f t="shared" si="92"/>
        <v>#REF!</v>
      </c>
      <c r="M134" t="e">
        <f t="shared" si="92"/>
        <v>#REF!</v>
      </c>
      <c r="N134" t="e">
        <f t="shared" si="92"/>
        <v>#REF!</v>
      </c>
      <c r="O134" t="e">
        <f t="shared" si="92"/>
        <v>#REF!</v>
      </c>
      <c r="P134" t="e">
        <f t="shared" si="92"/>
        <v>#REF!</v>
      </c>
      <c r="Q134" t="e">
        <f t="shared" si="92"/>
        <v>#REF!</v>
      </c>
      <c r="R134" t="e">
        <f t="shared" si="92"/>
        <v>#REF!</v>
      </c>
      <c r="S134" t="e">
        <f t="shared" si="92"/>
        <v>#REF!</v>
      </c>
      <c r="T134" t="e">
        <f t="shared" si="91"/>
        <v>#REF!</v>
      </c>
      <c r="U134" t="e">
        <f t="shared" si="91"/>
        <v>#REF!</v>
      </c>
      <c r="V134" t="e">
        <f t="shared" si="91"/>
        <v>#REF!</v>
      </c>
      <c r="W134" t="e">
        <f t="shared" si="91"/>
        <v>#REF!</v>
      </c>
      <c r="X134" t="e">
        <f t="shared" si="91"/>
        <v>#REF!</v>
      </c>
      <c r="Y134" t="e">
        <f t="shared" si="91"/>
        <v>#REF!</v>
      </c>
      <c r="Z134" t="e">
        <f t="shared" si="91"/>
        <v>#REF!</v>
      </c>
      <c r="AA134" t="e">
        <f t="shared" si="91"/>
        <v>#REF!</v>
      </c>
      <c r="AB134" t="e">
        <f t="shared" si="91"/>
        <v>#REF!</v>
      </c>
      <c r="AC134" t="e">
        <f t="shared" si="91"/>
        <v>#REF!</v>
      </c>
      <c r="AD134" t="e">
        <f t="shared" si="91"/>
        <v>#REF!</v>
      </c>
      <c r="AE134" t="e">
        <f t="shared" si="91"/>
        <v>#REF!</v>
      </c>
      <c r="AF134" t="e">
        <f t="shared" si="91"/>
        <v>#REF!</v>
      </c>
      <c r="AG134" t="e">
        <f t="shared" si="91"/>
        <v>#REF!</v>
      </c>
      <c r="AH134" t="e">
        <f t="shared" si="101"/>
        <v>#REF!</v>
      </c>
      <c r="AI134" t="e">
        <f t="shared" si="101"/>
        <v>#REF!</v>
      </c>
      <c r="AJ134" t="e">
        <f t="shared" si="101"/>
        <v>#REF!</v>
      </c>
      <c r="AK134" t="e">
        <f t="shared" si="101"/>
        <v>#REF!</v>
      </c>
      <c r="AL134" t="e">
        <f t="shared" si="101"/>
        <v>#REF!</v>
      </c>
      <c r="AM134" t="e">
        <f t="shared" si="101"/>
        <v>#REF!</v>
      </c>
      <c r="AN134" t="e">
        <f t="shared" si="101"/>
        <v>#REF!</v>
      </c>
      <c r="AO134" t="e">
        <f t="shared" si="101"/>
        <v>#REF!</v>
      </c>
      <c r="AP134" t="e">
        <f t="shared" si="101"/>
        <v>#REF!</v>
      </c>
      <c r="AQ134" t="e">
        <f t="shared" si="101"/>
        <v>#REF!</v>
      </c>
      <c r="AR134" t="e">
        <f t="shared" si="89"/>
        <v>#REF!</v>
      </c>
      <c r="AS134" t="e">
        <f t="shared" si="89"/>
        <v>#REF!</v>
      </c>
      <c r="AT134" t="e">
        <f t="shared" si="89"/>
        <v>#REF!</v>
      </c>
      <c r="AU134" t="e">
        <f t="shared" si="89"/>
        <v>#REF!</v>
      </c>
      <c r="AV134" t="e">
        <f t="shared" si="89"/>
        <v>#REF!</v>
      </c>
      <c r="AW134" t="e">
        <f t="shared" si="89"/>
        <v>#REF!</v>
      </c>
      <c r="AX134" t="e">
        <f t="shared" si="89"/>
        <v>#REF!</v>
      </c>
      <c r="AY134" t="e">
        <f t="shared" si="94"/>
        <v>#REF!</v>
      </c>
      <c r="AZ134" t="e">
        <f t="shared" si="94"/>
        <v>#REF!</v>
      </c>
      <c r="BA134" t="e">
        <f t="shared" si="94"/>
        <v>#REF!</v>
      </c>
      <c r="BB134" t="e">
        <f t="shared" si="94"/>
        <v>#REF!</v>
      </c>
      <c r="BC134" t="e">
        <f t="shared" si="94"/>
        <v>#REF!</v>
      </c>
      <c r="BD134" t="e">
        <f t="shared" si="94"/>
        <v>#REF!</v>
      </c>
      <c r="BE134" t="e">
        <f t="shared" si="94"/>
        <v>#REF!</v>
      </c>
      <c r="BF134" t="e">
        <f t="shared" si="94"/>
        <v>#REF!</v>
      </c>
      <c r="BG134" t="e">
        <f t="shared" si="94"/>
        <v>#REF!</v>
      </c>
      <c r="BH134" t="e">
        <f t="shared" si="94"/>
        <v>#REF!</v>
      </c>
      <c r="BI134" t="e">
        <f t="shared" si="94"/>
        <v>#REF!</v>
      </c>
      <c r="BJ134" t="e">
        <f t="shared" si="94"/>
        <v>#REF!</v>
      </c>
      <c r="BK134" t="e">
        <f t="shared" si="94"/>
        <v>#REF!</v>
      </c>
      <c r="BL134" t="e">
        <f t="shared" si="104"/>
        <v>#REF!</v>
      </c>
      <c r="BM134" t="e">
        <f t="shared" si="104"/>
        <v>#REF!</v>
      </c>
      <c r="BN134" t="e">
        <f t="shared" si="104"/>
        <v>#REF!</v>
      </c>
      <c r="BO134" t="e">
        <f t="shared" si="104"/>
        <v>#REF!</v>
      </c>
      <c r="BP134" t="e">
        <f t="shared" si="104"/>
        <v>#REF!</v>
      </c>
      <c r="BQ134" t="e">
        <f t="shared" si="104"/>
        <v>#REF!</v>
      </c>
      <c r="BR134" t="e">
        <f t="shared" si="104"/>
        <v>#REF!</v>
      </c>
      <c r="BS134" t="e">
        <f t="shared" si="104"/>
        <v>#REF!</v>
      </c>
      <c r="BT134" t="e">
        <f t="shared" si="104"/>
        <v>#REF!</v>
      </c>
      <c r="BU134" t="e">
        <f t="shared" si="104"/>
        <v>#REF!</v>
      </c>
      <c r="BV134" t="e">
        <f t="shared" si="100"/>
        <v>#REF!</v>
      </c>
      <c r="BW134" t="e">
        <f t="shared" si="100"/>
        <v>#REF!</v>
      </c>
      <c r="BX134" t="e">
        <f t="shared" si="100"/>
        <v>#REF!</v>
      </c>
      <c r="BY134" t="e">
        <f t="shared" si="100"/>
        <v>#REF!</v>
      </c>
      <c r="BZ134" t="e">
        <f t="shared" si="100"/>
        <v>#REF!</v>
      </c>
      <c r="CA134" t="e">
        <f t="shared" si="100"/>
        <v>#REF!</v>
      </c>
      <c r="CB134" t="e">
        <f t="shared" si="100"/>
        <v>#REF!</v>
      </c>
      <c r="CC134" t="e">
        <f t="shared" si="100"/>
        <v>#REF!</v>
      </c>
      <c r="CD134" t="e">
        <f t="shared" si="100"/>
        <v>#REF!</v>
      </c>
      <c r="CE134" t="e">
        <f t="shared" si="100"/>
        <v>#REF!</v>
      </c>
      <c r="CF134" t="e">
        <f t="shared" si="93"/>
        <v>#REF!</v>
      </c>
      <c r="CG134" t="e">
        <f t="shared" si="93"/>
        <v>#REF!</v>
      </c>
      <c r="CH134" t="e">
        <f t="shared" si="93"/>
        <v>#REF!</v>
      </c>
      <c r="CI134" t="e">
        <f t="shared" si="93"/>
        <v>#REF!</v>
      </c>
      <c r="CJ134" t="e">
        <f t="shared" si="93"/>
        <v>#REF!</v>
      </c>
      <c r="CK134" t="e">
        <f t="shared" si="93"/>
        <v>#REF!</v>
      </c>
      <c r="CL134" t="e">
        <f t="shared" si="93"/>
        <v>#REF!</v>
      </c>
      <c r="CM134" t="e">
        <f t="shared" si="93"/>
        <v>#REF!</v>
      </c>
      <c r="CN134" t="e">
        <f t="shared" si="93"/>
        <v>#REF!</v>
      </c>
      <c r="CO134" t="e">
        <f t="shared" si="93"/>
        <v>#REF!</v>
      </c>
      <c r="CP134" t="e">
        <f t="shared" si="93"/>
        <v>#REF!</v>
      </c>
      <c r="CQ134" t="e">
        <f t="shared" si="93"/>
        <v>#REF!</v>
      </c>
      <c r="CR134" t="e">
        <f t="shared" si="93"/>
        <v>#REF!</v>
      </c>
      <c r="CS134" t="e">
        <f t="shared" si="93"/>
        <v>#REF!</v>
      </c>
      <c r="CT134" t="e">
        <f t="shared" si="93"/>
        <v>#REF!</v>
      </c>
      <c r="CU134" t="e">
        <f t="shared" si="98"/>
        <v>#REF!</v>
      </c>
      <c r="CV134" t="e">
        <f t="shared" si="98"/>
        <v>#REF!</v>
      </c>
      <c r="CW134" t="e">
        <f t="shared" si="98"/>
        <v>#REF!</v>
      </c>
      <c r="CX134" t="e">
        <f t="shared" si="98"/>
        <v>#REF!</v>
      </c>
      <c r="CY134" t="e">
        <f t="shared" si="98"/>
        <v>#REF!</v>
      </c>
      <c r="CZ134" t="e">
        <f t="shared" si="98"/>
        <v>#REF!</v>
      </c>
      <c r="DA134" t="e">
        <f t="shared" si="98"/>
        <v>#REF!</v>
      </c>
      <c r="DB134" t="e">
        <f t="shared" si="98"/>
        <v>#REF!</v>
      </c>
      <c r="DC134" t="e">
        <f t="shared" si="98"/>
        <v>#REF!</v>
      </c>
      <c r="DD134" t="e">
        <f t="shared" si="98"/>
        <v>#REF!</v>
      </c>
      <c r="DE134" t="e">
        <f t="shared" si="98"/>
        <v>#REF!</v>
      </c>
      <c r="DF134" t="e">
        <f t="shared" si="98"/>
        <v>#REF!</v>
      </c>
      <c r="DG134" t="e">
        <f t="shared" si="98"/>
        <v>#REF!</v>
      </c>
      <c r="DH134" t="e">
        <f t="shared" si="98"/>
        <v>#REF!</v>
      </c>
      <c r="DI134" t="e">
        <f t="shared" si="98"/>
        <v>#REF!</v>
      </c>
      <c r="DJ134" t="e">
        <f t="shared" si="102"/>
        <v>#REF!</v>
      </c>
      <c r="DK134" t="e">
        <f t="shared" si="102"/>
        <v>#REF!</v>
      </c>
      <c r="DL134" t="e">
        <f t="shared" si="102"/>
        <v>#REF!</v>
      </c>
      <c r="DM134" t="e">
        <f t="shared" si="102"/>
        <v>#REF!</v>
      </c>
      <c r="DN134" t="e">
        <f t="shared" si="102"/>
        <v>#REF!</v>
      </c>
      <c r="DO134" t="e">
        <f t="shared" si="102"/>
        <v>#REF!</v>
      </c>
      <c r="DP134" t="e">
        <f t="shared" si="102"/>
        <v>#REF!</v>
      </c>
      <c r="DQ134" t="e">
        <f t="shared" si="86"/>
        <v>#REF!</v>
      </c>
      <c r="DR134" t="e">
        <f t="shared" si="86"/>
        <v>#REF!</v>
      </c>
      <c r="DS134" t="e">
        <f t="shared" si="86"/>
        <v>#REF!</v>
      </c>
      <c r="DT134" t="e">
        <f t="shared" si="86"/>
        <v>#REF!</v>
      </c>
      <c r="DU134" t="e">
        <f t="shared" si="86"/>
        <v>#REF!</v>
      </c>
      <c r="DV134" t="e">
        <f t="shared" si="86"/>
        <v>#REF!</v>
      </c>
      <c r="DW134" t="e">
        <f t="shared" si="86"/>
        <v>#REF!</v>
      </c>
      <c r="DX134" t="e">
        <f t="shared" si="86"/>
        <v>#REF!</v>
      </c>
      <c r="DY134" t="e">
        <f t="shared" si="86"/>
        <v>#REF!</v>
      </c>
      <c r="DZ134" t="e">
        <f t="shared" si="63"/>
        <v>#REF!</v>
      </c>
      <c r="EA134" t="e">
        <f t="shared" si="63"/>
        <v>#REF!</v>
      </c>
      <c r="EB134" t="e">
        <f t="shared" si="63"/>
        <v>#REF!</v>
      </c>
      <c r="EC134" t="e">
        <f t="shared" si="63"/>
        <v>#REF!</v>
      </c>
      <c r="ED134" t="e">
        <f t="shared" si="99"/>
        <v>#REF!</v>
      </c>
      <c r="EE134" t="e">
        <f t="shared" si="99"/>
        <v>#REF!</v>
      </c>
      <c r="EF134" t="e">
        <f t="shared" si="99"/>
        <v>#REF!</v>
      </c>
      <c r="EG134" t="e">
        <f t="shared" si="99"/>
        <v>#REF!</v>
      </c>
      <c r="EH134" t="e">
        <f t="shared" si="99"/>
        <v>#REF!</v>
      </c>
      <c r="EI134" t="e">
        <f t="shared" si="99"/>
        <v>#REF!</v>
      </c>
      <c r="EJ134" t="e">
        <f t="shared" si="99"/>
        <v>#REF!</v>
      </c>
      <c r="EK134" t="e">
        <f t="shared" si="99"/>
        <v>#REF!</v>
      </c>
      <c r="EL134" t="e">
        <f t="shared" si="99"/>
        <v>#REF!</v>
      </c>
      <c r="EM134" t="e">
        <f t="shared" si="99"/>
        <v>#REF!</v>
      </c>
    </row>
    <row r="135" spans="1:143" x14ac:dyDescent="0.4">
      <c r="A135" t="str">
        <f t="shared" si="103"/>
        <v>X</v>
      </c>
      <c r="B135">
        <v>132</v>
      </c>
      <c r="C135" t="e" cm="1">
        <f t="array" ref="C135">INDEX(auto_Series_Code,B135)</f>
        <v>#REF!</v>
      </c>
      <c r="D135" t="e">
        <f t="shared" si="92"/>
        <v>#REF!</v>
      </c>
      <c r="E135" t="e">
        <f t="shared" si="92"/>
        <v>#REF!</v>
      </c>
      <c r="F135" t="e">
        <f t="shared" si="92"/>
        <v>#REF!</v>
      </c>
      <c r="G135" t="e">
        <f t="shared" si="92"/>
        <v>#REF!</v>
      </c>
      <c r="H135" t="e">
        <f t="shared" si="92"/>
        <v>#REF!</v>
      </c>
      <c r="I135" t="e">
        <f t="shared" si="92"/>
        <v>#REF!</v>
      </c>
      <c r="J135" t="e">
        <f t="shared" si="92"/>
        <v>#REF!</v>
      </c>
      <c r="K135" t="e">
        <f t="shared" si="92"/>
        <v>#REF!</v>
      </c>
      <c r="L135" t="e">
        <f t="shared" si="92"/>
        <v>#REF!</v>
      </c>
      <c r="M135" t="e">
        <f t="shared" si="92"/>
        <v>#REF!</v>
      </c>
      <c r="N135" t="e">
        <f t="shared" si="92"/>
        <v>#REF!</v>
      </c>
      <c r="O135" t="e">
        <f t="shared" si="92"/>
        <v>#REF!</v>
      </c>
      <c r="P135" t="e">
        <f t="shared" si="92"/>
        <v>#REF!</v>
      </c>
      <c r="Q135" t="e">
        <f t="shared" si="92"/>
        <v>#REF!</v>
      </c>
      <c r="R135" t="e">
        <f t="shared" si="92"/>
        <v>#REF!</v>
      </c>
      <c r="S135" t="e">
        <f t="shared" ref="S135:AH165" si="105">MATCH(CONCATENATE(S$3,"_",$C135),auto_DataFlat_UID,0)</f>
        <v>#REF!</v>
      </c>
      <c r="T135" t="e">
        <f t="shared" si="105"/>
        <v>#REF!</v>
      </c>
      <c r="U135" t="e">
        <f t="shared" si="105"/>
        <v>#REF!</v>
      </c>
      <c r="V135" t="e">
        <f t="shared" si="105"/>
        <v>#REF!</v>
      </c>
      <c r="W135" t="e">
        <f t="shared" si="105"/>
        <v>#REF!</v>
      </c>
      <c r="X135" t="e">
        <f t="shared" si="91"/>
        <v>#REF!</v>
      </c>
      <c r="Y135" t="e">
        <f t="shared" si="91"/>
        <v>#REF!</v>
      </c>
      <c r="Z135" t="e">
        <f t="shared" si="91"/>
        <v>#REF!</v>
      </c>
      <c r="AA135" t="e">
        <f t="shared" si="91"/>
        <v>#REF!</v>
      </c>
      <c r="AB135" t="e">
        <f t="shared" si="91"/>
        <v>#REF!</v>
      </c>
      <c r="AC135" t="e">
        <f t="shared" si="91"/>
        <v>#REF!</v>
      </c>
      <c r="AD135" t="e">
        <f t="shared" si="91"/>
        <v>#REF!</v>
      </c>
      <c r="AE135" t="e">
        <f t="shared" si="91"/>
        <v>#REF!</v>
      </c>
      <c r="AF135" t="e">
        <f t="shared" si="91"/>
        <v>#REF!</v>
      </c>
      <c r="AG135" t="e">
        <f t="shared" si="91"/>
        <v>#REF!</v>
      </c>
      <c r="AH135" t="e">
        <f t="shared" si="101"/>
        <v>#REF!</v>
      </c>
      <c r="AI135" t="e">
        <f t="shared" si="101"/>
        <v>#REF!</v>
      </c>
      <c r="AJ135" t="e">
        <f t="shared" si="101"/>
        <v>#REF!</v>
      </c>
      <c r="AK135" t="e">
        <f t="shared" si="101"/>
        <v>#REF!</v>
      </c>
      <c r="AL135" t="e">
        <f t="shared" si="101"/>
        <v>#REF!</v>
      </c>
      <c r="AM135" t="e">
        <f t="shared" si="101"/>
        <v>#REF!</v>
      </c>
      <c r="AN135" t="e">
        <f t="shared" si="101"/>
        <v>#REF!</v>
      </c>
      <c r="AO135" t="e">
        <f t="shared" si="101"/>
        <v>#REF!</v>
      </c>
      <c r="AP135" t="e">
        <f t="shared" si="101"/>
        <v>#REF!</v>
      </c>
      <c r="AQ135" t="e">
        <f t="shared" si="101"/>
        <v>#REF!</v>
      </c>
      <c r="AR135" t="e">
        <f t="shared" si="89"/>
        <v>#REF!</v>
      </c>
      <c r="AS135" t="e">
        <f t="shared" si="89"/>
        <v>#REF!</v>
      </c>
      <c r="AT135" t="e">
        <f t="shared" si="89"/>
        <v>#REF!</v>
      </c>
      <c r="AU135" t="e">
        <f t="shared" si="89"/>
        <v>#REF!</v>
      </c>
      <c r="AV135" t="e">
        <f t="shared" si="89"/>
        <v>#REF!</v>
      </c>
      <c r="AW135" t="e">
        <f t="shared" si="89"/>
        <v>#REF!</v>
      </c>
      <c r="AX135" t="e">
        <f t="shared" si="89"/>
        <v>#REF!</v>
      </c>
      <c r="AY135" t="e">
        <f t="shared" si="94"/>
        <v>#REF!</v>
      </c>
      <c r="AZ135" t="e">
        <f t="shared" si="94"/>
        <v>#REF!</v>
      </c>
      <c r="BA135" t="e">
        <f t="shared" si="94"/>
        <v>#REF!</v>
      </c>
      <c r="BB135" t="e">
        <f t="shared" si="94"/>
        <v>#REF!</v>
      </c>
      <c r="BC135" t="e">
        <f t="shared" si="94"/>
        <v>#REF!</v>
      </c>
      <c r="BD135" t="e">
        <f t="shared" si="94"/>
        <v>#REF!</v>
      </c>
      <c r="BE135" t="e">
        <f t="shared" si="94"/>
        <v>#REF!</v>
      </c>
      <c r="BF135" t="e">
        <f t="shared" si="94"/>
        <v>#REF!</v>
      </c>
      <c r="BG135" t="e">
        <f t="shared" si="94"/>
        <v>#REF!</v>
      </c>
      <c r="BH135" t="e">
        <f t="shared" si="94"/>
        <v>#REF!</v>
      </c>
      <c r="BI135" t="e">
        <f t="shared" si="94"/>
        <v>#REF!</v>
      </c>
      <c r="BJ135" t="e">
        <f t="shared" si="94"/>
        <v>#REF!</v>
      </c>
      <c r="BK135" t="e">
        <f t="shared" si="94"/>
        <v>#REF!</v>
      </c>
      <c r="BL135" t="e">
        <f t="shared" si="104"/>
        <v>#REF!</v>
      </c>
      <c r="BM135" t="e">
        <f t="shared" si="104"/>
        <v>#REF!</v>
      </c>
      <c r="BN135" t="e">
        <f t="shared" si="104"/>
        <v>#REF!</v>
      </c>
      <c r="BO135" t="e">
        <f t="shared" si="104"/>
        <v>#REF!</v>
      </c>
      <c r="BP135" t="e">
        <f t="shared" si="104"/>
        <v>#REF!</v>
      </c>
      <c r="BQ135" t="e">
        <f t="shared" si="104"/>
        <v>#REF!</v>
      </c>
      <c r="BR135" t="e">
        <f t="shared" si="104"/>
        <v>#REF!</v>
      </c>
      <c r="BS135" t="e">
        <f t="shared" si="104"/>
        <v>#REF!</v>
      </c>
      <c r="BT135" t="e">
        <f t="shared" si="104"/>
        <v>#REF!</v>
      </c>
      <c r="BU135" t="e">
        <f t="shared" si="104"/>
        <v>#REF!</v>
      </c>
      <c r="BV135" t="e">
        <f t="shared" si="100"/>
        <v>#REF!</v>
      </c>
      <c r="BW135" t="e">
        <f t="shared" si="100"/>
        <v>#REF!</v>
      </c>
      <c r="BX135" t="e">
        <f t="shared" si="100"/>
        <v>#REF!</v>
      </c>
      <c r="BY135" t="e">
        <f t="shared" si="100"/>
        <v>#REF!</v>
      </c>
      <c r="BZ135" t="e">
        <f t="shared" si="100"/>
        <v>#REF!</v>
      </c>
      <c r="CA135" t="e">
        <f t="shared" si="100"/>
        <v>#REF!</v>
      </c>
      <c r="CB135" t="e">
        <f t="shared" si="100"/>
        <v>#REF!</v>
      </c>
      <c r="CC135" t="e">
        <f t="shared" si="100"/>
        <v>#REF!</v>
      </c>
      <c r="CD135" t="e">
        <f t="shared" si="100"/>
        <v>#REF!</v>
      </c>
      <c r="CE135" t="e">
        <f t="shared" si="100"/>
        <v>#REF!</v>
      </c>
      <c r="CF135" t="e">
        <f t="shared" si="93"/>
        <v>#REF!</v>
      </c>
      <c r="CG135" t="e">
        <f t="shared" si="93"/>
        <v>#REF!</v>
      </c>
      <c r="CH135" t="e">
        <f t="shared" si="93"/>
        <v>#REF!</v>
      </c>
      <c r="CI135" t="e">
        <f t="shared" si="93"/>
        <v>#REF!</v>
      </c>
      <c r="CJ135" t="e">
        <f t="shared" si="93"/>
        <v>#REF!</v>
      </c>
      <c r="CK135" t="e">
        <f t="shared" si="93"/>
        <v>#REF!</v>
      </c>
      <c r="CL135" t="e">
        <f t="shared" si="93"/>
        <v>#REF!</v>
      </c>
      <c r="CM135" t="e">
        <f t="shared" si="93"/>
        <v>#REF!</v>
      </c>
      <c r="CN135" t="e">
        <f t="shared" si="93"/>
        <v>#REF!</v>
      </c>
      <c r="CO135" t="e">
        <f t="shared" si="93"/>
        <v>#REF!</v>
      </c>
      <c r="CP135" t="e">
        <f t="shared" si="93"/>
        <v>#REF!</v>
      </c>
      <c r="CQ135" t="e">
        <f t="shared" si="93"/>
        <v>#REF!</v>
      </c>
      <c r="CR135" t="e">
        <f t="shared" si="93"/>
        <v>#REF!</v>
      </c>
      <c r="CS135" t="e">
        <f t="shared" si="93"/>
        <v>#REF!</v>
      </c>
      <c r="CT135" t="e">
        <f t="shared" si="93"/>
        <v>#REF!</v>
      </c>
      <c r="CU135" t="e">
        <f t="shared" si="98"/>
        <v>#REF!</v>
      </c>
      <c r="CV135" t="e">
        <f t="shared" si="98"/>
        <v>#REF!</v>
      </c>
      <c r="CW135" t="e">
        <f t="shared" si="98"/>
        <v>#REF!</v>
      </c>
      <c r="CX135" t="e">
        <f t="shared" si="98"/>
        <v>#REF!</v>
      </c>
      <c r="CY135" t="e">
        <f t="shared" si="98"/>
        <v>#REF!</v>
      </c>
      <c r="CZ135" t="e">
        <f t="shared" si="98"/>
        <v>#REF!</v>
      </c>
      <c r="DA135" t="e">
        <f t="shared" si="98"/>
        <v>#REF!</v>
      </c>
      <c r="DB135" t="e">
        <f t="shared" si="98"/>
        <v>#REF!</v>
      </c>
      <c r="DC135" t="e">
        <f t="shared" si="98"/>
        <v>#REF!</v>
      </c>
      <c r="DD135" t="e">
        <f t="shared" si="98"/>
        <v>#REF!</v>
      </c>
      <c r="DE135" t="e">
        <f t="shared" si="98"/>
        <v>#REF!</v>
      </c>
      <c r="DF135" t="e">
        <f t="shared" si="98"/>
        <v>#REF!</v>
      </c>
      <c r="DG135" t="e">
        <f t="shared" si="98"/>
        <v>#REF!</v>
      </c>
      <c r="DH135" t="e">
        <f t="shared" si="98"/>
        <v>#REF!</v>
      </c>
      <c r="DI135" t="e">
        <f t="shared" si="98"/>
        <v>#REF!</v>
      </c>
      <c r="DJ135" t="e">
        <f t="shared" si="102"/>
        <v>#REF!</v>
      </c>
      <c r="DK135" t="e">
        <f t="shared" si="102"/>
        <v>#REF!</v>
      </c>
      <c r="DL135" t="e">
        <f t="shared" si="102"/>
        <v>#REF!</v>
      </c>
      <c r="DM135" t="e">
        <f t="shared" si="102"/>
        <v>#REF!</v>
      </c>
      <c r="DN135" t="e">
        <f t="shared" si="102"/>
        <v>#REF!</v>
      </c>
      <c r="DO135" t="e">
        <f t="shared" si="102"/>
        <v>#REF!</v>
      </c>
      <c r="DP135" t="e">
        <f t="shared" si="102"/>
        <v>#REF!</v>
      </c>
      <c r="DQ135" t="e">
        <f t="shared" si="86"/>
        <v>#REF!</v>
      </c>
      <c r="DR135" t="e">
        <f t="shared" si="86"/>
        <v>#REF!</v>
      </c>
      <c r="DS135" t="e">
        <f t="shared" ref="DS135:DY135" si="106">MATCH(CONCATENATE(DS$3,"_",$C135),auto_DataFlat_UID,0)</f>
        <v>#REF!</v>
      </c>
      <c r="DT135" t="e">
        <f t="shared" si="106"/>
        <v>#REF!</v>
      </c>
      <c r="DU135" t="e">
        <f t="shared" si="106"/>
        <v>#REF!</v>
      </c>
      <c r="DV135" t="e">
        <f t="shared" si="106"/>
        <v>#REF!</v>
      </c>
      <c r="DW135" t="e">
        <f t="shared" si="106"/>
        <v>#REF!</v>
      </c>
      <c r="DX135" t="e">
        <f t="shared" si="106"/>
        <v>#REF!</v>
      </c>
      <c r="DY135" t="e">
        <f t="shared" si="106"/>
        <v>#REF!</v>
      </c>
      <c r="DZ135" t="e">
        <f t="shared" si="63"/>
        <v>#REF!</v>
      </c>
      <c r="EA135" t="e">
        <f t="shared" si="63"/>
        <v>#REF!</v>
      </c>
      <c r="EB135" t="e">
        <f t="shared" si="63"/>
        <v>#REF!</v>
      </c>
      <c r="EC135" t="e">
        <f t="shared" si="63"/>
        <v>#REF!</v>
      </c>
      <c r="ED135" t="e">
        <f t="shared" si="99"/>
        <v>#REF!</v>
      </c>
      <c r="EE135" t="e">
        <f t="shared" si="99"/>
        <v>#REF!</v>
      </c>
      <c r="EF135" t="e">
        <f t="shared" si="99"/>
        <v>#REF!</v>
      </c>
      <c r="EG135" t="e">
        <f t="shared" si="99"/>
        <v>#REF!</v>
      </c>
      <c r="EH135" t="e">
        <f t="shared" si="99"/>
        <v>#REF!</v>
      </c>
      <c r="EI135" t="e">
        <f t="shared" si="99"/>
        <v>#REF!</v>
      </c>
      <c r="EJ135" t="e">
        <f t="shared" si="99"/>
        <v>#REF!</v>
      </c>
      <c r="EK135" t="e">
        <f t="shared" si="99"/>
        <v>#REF!</v>
      </c>
      <c r="EL135" t="e">
        <f t="shared" si="99"/>
        <v>#REF!</v>
      </c>
      <c r="EM135" t="e">
        <f t="shared" si="99"/>
        <v>#REF!</v>
      </c>
    </row>
    <row r="136" spans="1:143" x14ac:dyDescent="0.4">
      <c r="A136" t="str">
        <f t="shared" si="103"/>
        <v>X</v>
      </c>
      <c r="B136">
        <v>133</v>
      </c>
      <c r="C136" t="e" cm="1">
        <f t="array" ref="C136">INDEX(auto_Series_Code,B136)</f>
        <v>#REF!</v>
      </c>
      <c r="D136" t="e">
        <f t="shared" ref="D136:S151" si="107">MATCH(CONCATENATE(D$3,"_",$C136),auto_DataFlat_UID,0)</f>
        <v>#REF!</v>
      </c>
      <c r="E136" t="e">
        <f t="shared" si="107"/>
        <v>#REF!</v>
      </c>
      <c r="F136" t="e">
        <f t="shared" si="107"/>
        <v>#REF!</v>
      </c>
      <c r="G136" t="e">
        <f t="shared" si="107"/>
        <v>#REF!</v>
      </c>
      <c r="H136" t="e">
        <f t="shared" si="107"/>
        <v>#REF!</v>
      </c>
      <c r="I136" t="e">
        <f t="shared" si="107"/>
        <v>#REF!</v>
      </c>
      <c r="J136" t="e">
        <f t="shared" si="107"/>
        <v>#REF!</v>
      </c>
      <c r="K136" t="e">
        <f t="shared" si="107"/>
        <v>#REF!</v>
      </c>
      <c r="L136" t="e">
        <f t="shared" si="107"/>
        <v>#REF!</v>
      </c>
      <c r="M136" t="e">
        <f t="shared" si="107"/>
        <v>#REF!</v>
      </c>
      <c r="N136" t="e">
        <f t="shared" si="107"/>
        <v>#REF!</v>
      </c>
      <c r="O136" t="e">
        <f t="shared" si="107"/>
        <v>#REF!</v>
      </c>
      <c r="P136" t="e">
        <f t="shared" si="107"/>
        <v>#REF!</v>
      </c>
      <c r="Q136" t="e">
        <f t="shared" si="107"/>
        <v>#REF!</v>
      </c>
      <c r="R136" t="e">
        <f t="shared" si="107"/>
        <v>#REF!</v>
      </c>
      <c r="S136" t="e">
        <f t="shared" si="107"/>
        <v>#REF!</v>
      </c>
      <c r="T136" t="e">
        <f t="shared" si="105"/>
        <v>#REF!</v>
      </c>
      <c r="U136" t="e">
        <f t="shared" si="105"/>
        <v>#REF!</v>
      </c>
      <c r="V136" t="e">
        <f t="shared" si="105"/>
        <v>#REF!</v>
      </c>
      <c r="W136" t="e">
        <f t="shared" si="105"/>
        <v>#REF!</v>
      </c>
      <c r="X136" t="e">
        <f t="shared" si="91"/>
        <v>#REF!</v>
      </c>
      <c r="Y136" t="e">
        <f t="shared" si="91"/>
        <v>#REF!</v>
      </c>
      <c r="Z136" t="e">
        <f t="shared" si="91"/>
        <v>#REF!</v>
      </c>
      <c r="AA136" t="e">
        <f t="shared" si="91"/>
        <v>#REF!</v>
      </c>
      <c r="AB136" t="e">
        <f t="shared" si="91"/>
        <v>#REF!</v>
      </c>
      <c r="AC136" t="e">
        <f t="shared" si="91"/>
        <v>#REF!</v>
      </c>
      <c r="AD136" t="e">
        <f t="shared" si="91"/>
        <v>#REF!</v>
      </c>
      <c r="AE136" t="e">
        <f t="shared" si="91"/>
        <v>#REF!</v>
      </c>
      <c r="AF136" t="e">
        <f t="shared" si="91"/>
        <v>#REF!</v>
      </c>
      <c r="AG136" t="e">
        <f t="shared" si="91"/>
        <v>#REF!</v>
      </c>
      <c r="AH136" t="e">
        <f t="shared" si="101"/>
        <v>#REF!</v>
      </c>
      <c r="AI136" t="e">
        <f t="shared" si="101"/>
        <v>#REF!</v>
      </c>
      <c r="AJ136" t="e">
        <f t="shared" si="101"/>
        <v>#REF!</v>
      </c>
      <c r="AK136" t="e">
        <f t="shared" si="101"/>
        <v>#REF!</v>
      </c>
      <c r="AL136" t="e">
        <f t="shared" si="101"/>
        <v>#REF!</v>
      </c>
      <c r="AM136" t="e">
        <f t="shared" si="101"/>
        <v>#REF!</v>
      </c>
      <c r="AN136" t="e">
        <f t="shared" si="101"/>
        <v>#REF!</v>
      </c>
      <c r="AO136" t="e">
        <f t="shared" si="101"/>
        <v>#REF!</v>
      </c>
      <c r="AP136" t="e">
        <f t="shared" si="101"/>
        <v>#REF!</v>
      </c>
      <c r="AQ136" t="e">
        <f t="shared" si="101"/>
        <v>#REF!</v>
      </c>
      <c r="AR136" t="e">
        <f t="shared" si="89"/>
        <v>#REF!</v>
      </c>
      <c r="AS136" t="e">
        <f t="shared" si="89"/>
        <v>#REF!</v>
      </c>
      <c r="AT136" t="e">
        <f t="shared" si="89"/>
        <v>#REF!</v>
      </c>
      <c r="AU136" t="e">
        <f t="shared" si="89"/>
        <v>#REF!</v>
      </c>
      <c r="AV136" t="e">
        <f t="shared" si="89"/>
        <v>#REF!</v>
      </c>
      <c r="AW136" t="e">
        <f t="shared" si="89"/>
        <v>#REF!</v>
      </c>
      <c r="AX136" t="e">
        <f t="shared" si="89"/>
        <v>#REF!</v>
      </c>
      <c r="AY136" t="e">
        <f t="shared" si="94"/>
        <v>#REF!</v>
      </c>
      <c r="AZ136" t="e">
        <f t="shared" si="94"/>
        <v>#REF!</v>
      </c>
      <c r="BA136" t="e">
        <f t="shared" si="94"/>
        <v>#REF!</v>
      </c>
      <c r="BB136" t="e">
        <f t="shared" si="94"/>
        <v>#REF!</v>
      </c>
      <c r="BC136" t="e">
        <f t="shared" si="94"/>
        <v>#REF!</v>
      </c>
      <c r="BD136" t="e">
        <f t="shared" si="94"/>
        <v>#REF!</v>
      </c>
      <c r="BE136" t="e">
        <f t="shared" si="94"/>
        <v>#REF!</v>
      </c>
      <c r="BF136" t="e">
        <f t="shared" si="94"/>
        <v>#REF!</v>
      </c>
      <c r="BG136" t="e">
        <f t="shared" si="94"/>
        <v>#REF!</v>
      </c>
      <c r="BH136" t="e">
        <f t="shared" si="94"/>
        <v>#REF!</v>
      </c>
      <c r="BI136" t="e">
        <f t="shared" si="94"/>
        <v>#REF!</v>
      </c>
      <c r="BJ136" t="e">
        <f t="shared" si="94"/>
        <v>#REF!</v>
      </c>
      <c r="BK136" t="e">
        <f t="shared" si="94"/>
        <v>#REF!</v>
      </c>
      <c r="BL136" t="e">
        <f t="shared" si="104"/>
        <v>#REF!</v>
      </c>
      <c r="BM136" t="e">
        <f t="shared" si="104"/>
        <v>#REF!</v>
      </c>
      <c r="BN136" t="e">
        <f t="shared" si="104"/>
        <v>#REF!</v>
      </c>
      <c r="BO136" t="e">
        <f t="shared" si="104"/>
        <v>#REF!</v>
      </c>
      <c r="BP136" t="e">
        <f t="shared" si="104"/>
        <v>#REF!</v>
      </c>
      <c r="BQ136" t="e">
        <f t="shared" si="104"/>
        <v>#REF!</v>
      </c>
      <c r="BR136" t="e">
        <f t="shared" si="104"/>
        <v>#REF!</v>
      </c>
      <c r="BS136" t="e">
        <f t="shared" si="104"/>
        <v>#REF!</v>
      </c>
      <c r="BT136" t="e">
        <f t="shared" si="104"/>
        <v>#REF!</v>
      </c>
      <c r="BU136" t="e">
        <f t="shared" si="104"/>
        <v>#REF!</v>
      </c>
      <c r="BV136" t="e">
        <f t="shared" si="100"/>
        <v>#REF!</v>
      </c>
      <c r="BW136" t="e">
        <f t="shared" si="100"/>
        <v>#REF!</v>
      </c>
      <c r="BX136" t="e">
        <f t="shared" si="100"/>
        <v>#REF!</v>
      </c>
      <c r="BY136" t="e">
        <f t="shared" si="100"/>
        <v>#REF!</v>
      </c>
      <c r="BZ136" t="e">
        <f t="shared" si="100"/>
        <v>#REF!</v>
      </c>
      <c r="CA136" t="e">
        <f t="shared" si="100"/>
        <v>#REF!</v>
      </c>
      <c r="CB136" t="e">
        <f t="shared" si="100"/>
        <v>#REF!</v>
      </c>
      <c r="CC136" t="e">
        <f t="shared" si="100"/>
        <v>#REF!</v>
      </c>
      <c r="CD136" t="e">
        <f t="shared" si="100"/>
        <v>#REF!</v>
      </c>
      <c r="CE136" t="e">
        <f t="shared" si="100"/>
        <v>#REF!</v>
      </c>
      <c r="CF136" t="e">
        <f t="shared" si="93"/>
        <v>#REF!</v>
      </c>
      <c r="CG136" t="e">
        <f t="shared" si="93"/>
        <v>#REF!</v>
      </c>
      <c r="CH136" t="e">
        <f t="shared" si="93"/>
        <v>#REF!</v>
      </c>
      <c r="CI136" t="e">
        <f t="shared" si="93"/>
        <v>#REF!</v>
      </c>
      <c r="CJ136" t="e">
        <f t="shared" si="93"/>
        <v>#REF!</v>
      </c>
      <c r="CK136" t="e">
        <f t="shared" si="93"/>
        <v>#REF!</v>
      </c>
      <c r="CL136" t="e">
        <f t="shared" si="93"/>
        <v>#REF!</v>
      </c>
      <c r="CM136" t="e">
        <f t="shared" si="93"/>
        <v>#REF!</v>
      </c>
      <c r="CN136" t="e">
        <f t="shared" si="93"/>
        <v>#REF!</v>
      </c>
      <c r="CO136" t="e">
        <f t="shared" si="93"/>
        <v>#REF!</v>
      </c>
      <c r="CP136" t="e">
        <f t="shared" si="93"/>
        <v>#REF!</v>
      </c>
      <c r="CQ136" t="e">
        <f t="shared" si="93"/>
        <v>#REF!</v>
      </c>
      <c r="CR136" t="e">
        <f t="shared" si="93"/>
        <v>#REF!</v>
      </c>
      <c r="CS136" t="e">
        <f t="shared" si="93"/>
        <v>#REF!</v>
      </c>
      <c r="CT136" t="e">
        <f t="shared" si="93"/>
        <v>#REF!</v>
      </c>
      <c r="CU136" t="e">
        <f t="shared" si="98"/>
        <v>#REF!</v>
      </c>
      <c r="CV136" t="e">
        <f t="shared" si="98"/>
        <v>#REF!</v>
      </c>
      <c r="CW136" t="e">
        <f t="shared" si="98"/>
        <v>#REF!</v>
      </c>
      <c r="CX136" t="e">
        <f t="shared" si="98"/>
        <v>#REF!</v>
      </c>
      <c r="CY136" t="e">
        <f t="shared" si="98"/>
        <v>#REF!</v>
      </c>
      <c r="CZ136" t="e">
        <f t="shared" si="98"/>
        <v>#REF!</v>
      </c>
      <c r="DA136" t="e">
        <f t="shared" si="98"/>
        <v>#REF!</v>
      </c>
      <c r="DB136" t="e">
        <f t="shared" si="98"/>
        <v>#REF!</v>
      </c>
      <c r="DC136" t="e">
        <f t="shared" si="98"/>
        <v>#REF!</v>
      </c>
      <c r="DD136" t="e">
        <f t="shared" si="98"/>
        <v>#REF!</v>
      </c>
      <c r="DE136" t="e">
        <f t="shared" si="98"/>
        <v>#REF!</v>
      </c>
      <c r="DF136" t="e">
        <f t="shared" si="98"/>
        <v>#REF!</v>
      </c>
      <c r="DG136" t="e">
        <f t="shared" si="98"/>
        <v>#REF!</v>
      </c>
      <c r="DH136" t="e">
        <f t="shared" si="98"/>
        <v>#REF!</v>
      </c>
      <c r="DI136" t="e">
        <f t="shared" si="98"/>
        <v>#REF!</v>
      </c>
      <c r="DJ136" t="e">
        <f t="shared" si="102"/>
        <v>#REF!</v>
      </c>
      <c r="DK136" t="e">
        <f t="shared" si="102"/>
        <v>#REF!</v>
      </c>
      <c r="DL136" t="e">
        <f t="shared" si="102"/>
        <v>#REF!</v>
      </c>
      <c r="DM136" t="e">
        <f t="shared" si="102"/>
        <v>#REF!</v>
      </c>
      <c r="DN136" t="e">
        <f t="shared" si="102"/>
        <v>#REF!</v>
      </c>
      <c r="DO136" t="e">
        <f t="shared" si="102"/>
        <v>#REF!</v>
      </c>
      <c r="DP136" t="e">
        <f t="shared" si="102"/>
        <v>#REF!</v>
      </c>
      <c r="DQ136" t="e">
        <f t="shared" ref="DQ136:EF156" si="108">MATCH(CONCATENATE(DQ$3,"_",$C136),auto_DataFlat_UID,0)</f>
        <v>#REF!</v>
      </c>
      <c r="DR136" t="e">
        <f t="shared" si="108"/>
        <v>#REF!</v>
      </c>
      <c r="DS136" t="e">
        <f t="shared" si="108"/>
        <v>#REF!</v>
      </c>
      <c r="DT136" t="e">
        <f t="shared" si="108"/>
        <v>#REF!</v>
      </c>
      <c r="DU136" t="e">
        <f t="shared" si="108"/>
        <v>#REF!</v>
      </c>
      <c r="DV136" t="e">
        <f t="shared" si="108"/>
        <v>#REF!</v>
      </c>
      <c r="DW136" t="e">
        <f t="shared" si="108"/>
        <v>#REF!</v>
      </c>
      <c r="DX136" t="e">
        <f t="shared" si="108"/>
        <v>#REF!</v>
      </c>
      <c r="DY136" t="e">
        <f t="shared" si="108"/>
        <v>#REF!</v>
      </c>
      <c r="DZ136" t="e">
        <f t="shared" si="63"/>
        <v>#REF!</v>
      </c>
      <c r="EA136" t="e">
        <f t="shared" si="63"/>
        <v>#REF!</v>
      </c>
      <c r="EB136" t="e">
        <f t="shared" si="63"/>
        <v>#REF!</v>
      </c>
      <c r="EC136" t="e">
        <f t="shared" si="63"/>
        <v>#REF!</v>
      </c>
      <c r="ED136" t="e">
        <f t="shared" si="99"/>
        <v>#REF!</v>
      </c>
      <c r="EE136" t="e">
        <f t="shared" si="99"/>
        <v>#REF!</v>
      </c>
      <c r="EF136" t="e">
        <f t="shared" si="99"/>
        <v>#REF!</v>
      </c>
      <c r="EG136" t="e">
        <f t="shared" si="99"/>
        <v>#REF!</v>
      </c>
      <c r="EH136" t="e">
        <f t="shared" si="99"/>
        <v>#REF!</v>
      </c>
      <c r="EI136" t="e">
        <f t="shared" si="99"/>
        <v>#REF!</v>
      </c>
      <c r="EJ136" t="e">
        <f t="shared" si="99"/>
        <v>#REF!</v>
      </c>
      <c r="EK136" t="e">
        <f t="shared" si="99"/>
        <v>#REF!</v>
      </c>
      <c r="EL136" t="e">
        <f t="shared" si="99"/>
        <v>#REF!</v>
      </c>
      <c r="EM136" t="e">
        <f t="shared" si="99"/>
        <v>#REF!</v>
      </c>
    </row>
    <row r="137" spans="1:143" x14ac:dyDescent="0.4">
      <c r="A137" t="str">
        <f t="shared" si="103"/>
        <v>X</v>
      </c>
      <c r="B137">
        <v>134</v>
      </c>
      <c r="C137" t="e" cm="1">
        <f t="array" ref="C137">INDEX(auto_Series_Code,B137)</f>
        <v>#REF!</v>
      </c>
      <c r="D137" t="e">
        <f t="shared" si="107"/>
        <v>#REF!</v>
      </c>
      <c r="E137" t="e">
        <f t="shared" si="107"/>
        <v>#REF!</v>
      </c>
      <c r="F137" t="e">
        <f t="shared" si="107"/>
        <v>#REF!</v>
      </c>
      <c r="G137" t="e">
        <f t="shared" si="107"/>
        <v>#REF!</v>
      </c>
      <c r="H137" t="e">
        <f t="shared" si="107"/>
        <v>#REF!</v>
      </c>
      <c r="I137" t="e">
        <f t="shared" si="107"/>
        <v>#REF!</v>
      </c>
      <c r="J137" t="e">
        <f t="shared" si="107"/>
        <v>#REF!</v>
      </c>
      <c r="K137" t="e">
        <f t="shared" si="107"/>
        <v>#REF!</v>
      </c>
      <c r="L137" t="e">
        <f t="shared" si="107"/>
        <v>#REF!</v>
      </c>
      <c r="M137" t="e">
        <f t="shared" si="107"/>
        <v>#REF!</v>
      </c>
      <c r="N137" t="e">
        <f t="shared" si="107"/>
        <v>#REF!</v>
      </c>
      <c r="O137" t="e">
        <f t="shared" si="107"/>
        <v>#REF!</v>
      </c>
      <c r="P137" t="e">
        <f t="shared" si="107"/>
        <v>#REF!</v>
      </c>
      <c r="Q137" t="e">
        <f t="shared" si="107"/>
        <v>#REF!</v>
      </c>
      <c r="R137" t="e">
        <f t="shared" si="107"/>
        <v>#REF!</v>
      </c>
      <c r="S137" t="e">
        <f t="shared" si="107"/>
        <v>#REF!</v>
      </c>
      <c r="T137" t="e">
        <f t="shared" si="105"/>
        <v>#REF!</v>
      </c>
      <c r="U137" t="e">
        <f t="shared" si="105"/>
        <v>#REF!</v>
      </c>
      <c r="V137" t="e">
        <f t="shared" si="105"/>
        <v>#REF!</v>
      </c>
      <c r="W137" t="e">
        <f t="shared" si="105"/>
        <v>#REF!</v>
      </c>
      <c r="X137" t="e">
        <f t="shared" si="91"/>
        <v>#REF!</v>
      </c>
      <c r="Y137" t="e">
        <f t="shared" si="91"/>
        <v>#REF!</v>
      </c>
      <c r="Z137" t="e">
        <f t="shared" si="91"/>
        <v>#REF!</v>
      </c>
      <c r="AA137" t="e">
        <f t="shared" si="91"/>
        <v>#REF!</v>
      </c>
      <c r="AB137" t="e">
        <f t="shared" si="91"/>
        <v>#REF!</v>
      </c>
      <c r="AC137" t="e">
        <f t="shared" si="91"/>
        <v>#REF!</v>
      </c>
      <c r="AD137" t="e">
        <f t="shared" si="91"/>
        <v>#REF!</v>
      </c>
      <c r="AE137" t="e">
        <f t="shared" si="91"/>
        <v>#REF!</v>
      </c>
      <c r="AF137" t="e">
        <f t="shared" si="91"/>
        <v>#REF!</v>
      </c>
      <c r="AG137" t="e">
        <f t="shared" si="91"/>
        <v>#REF!</v>
      </c>
      <c r="AH137" t="e">
        <f t="shared" si="101"/>
        <v>#REF!</v>
      </c>
      <c r="AI137" t="e">
        <f t="shared" si="101"/>
        <v>#REF!</v>
      </c>
      <c r="AJ137" t="e">
        <f t="shared" si="101"/>
        <v>#REF!</v>
      </c>
      <c r="AK137" t="e">
        <f t="shared" si="101"/>
        <v>#REF!</v>
      </c>
      <c r="AL137" t="e">
        <f t="shared" si="101"/>
        <v>#REF!</v>
      </c>
      <c r="AM137" t="e">
        <f t="shared" si="101"/>
        <v>#REF!</v>
      </c>
      <c r="AN137" t="e">
        <f t="shared" si="101"/>
        <v>#REF!</v>
      </c>
      <c r="AO137" t="e">
        <f t="shared" si="101"/>
        <v>#REF!</v>
      </c>
      <c r="AP137" t="e">
        <f t="shared" si="101"/>
        <v>#REF!</v>
      </c>
      <c r="AQ137" t="e">
        <f t="shared" si="101"/>
        <v>#REF!</v>
      </c>
      <c r="AR137" t="e">
        <f t="shared" si="89"/>
        <v>#REF!</v>
      </c>
      <c r="AS137" t="e">
        <f t="shared" si="89"/>
        <v>#REF!</v>
      </c>
      <c r="AT137" t="e">
        <f t="shared" si="89"/>
        <v>#REF!</v>
      </c>
      <c r="AU137" t="e">
        <f t="shared" si="89"/>
        <v>#REF!</v>
      </c>
      <c r="AV137" t="e">
        <f t="shared" si="89"/>
        <v>#REF!</v>
      </c>
      <c r="AW137" t="e">
        <f t="shared" si="89"/>
        <v>#REF!</v>
      </c>
      <c r="AX137" t="e">
        <f t="shared" si="89"/>
        <v>#REF!</v>
      </c>
      <c r="AY137" t="e">
        <f t="shared" si="94"/>
        <v>#REF!</v>
      </c>
      <c r="AZ137" t="e">
        <f t="shared" si="94"/>
        <v>#REF!</v>
      </c>
      <c r="BA137" t="e">
        <f t="shared" si="94"/>
        <v>#REF!</v>
      </c>
      <c r="BB137" t="e">
        <f t="shared" si="94"/>
        <v>#REF!</v>
      </c>
      <c r="BC137" t="e">
        <f t="shared" si="94"/>
        <v>#REF!</v>
      </c>
      <c r="BD137" t="e">
        <f t="shared" si="94"/>
        <v>#REF!</v>
      </c>
      <c r="BE137" t="e">
        <f t="shared" si="94"/>
        <v>#REF!</v>
      </c>
      <c r="BF137" t="e">
        <f t="shared" si="94"/>
        <v>#REF!</v>
      </c>
      <c r="BG137" t="e">
        <f t="shared" si="94"/>
        <v>#REF!</v>
      </c>
      <c r="BH137" t="e">
        <f t="shared" si="94"/>
        <v>#REF!</v>
      </c>
      <c r="BI137" t="e">
        <f t="shared" si="94"/>
        <v>#REF!</v>
      </c>
      <c r="BJ137" t="e">
        <f t="shared" si="94"/>
        <v>#REF!</v>
      </c>
      <c r="BK137" t="e">
        <f t="shared" si="94"/>
        <v>#REF!</v>
      </c>
      <c r="BL137" t="e">
        <f t="shared" si="104"/>
        <v>#REF!</v>
      </c>
      <c r="BM137" t="e">
        <f t="shared" si="104"/>
        <v>#REF!</v>
      </c>
      <c r="BN137" t="e">
        <f t="shared" si="104"/>
        <v>#REF!</v>
      </c>
      <c r="BO137" t="e">
        <f t="shared" si="104"/>
        <v>#REF!</v>
      </c>
      <c r="BP137" t="e">
        <f t="shared" si="104"/>
        <v>#REF!</v>
      </c>
      <c r="BQ137" t="e">
        <f t="shared" si="104"/>
        <v>#REF!</v>
      </c>
      <c r="BR137" t="e">
        <f t="shared" si="104"/>
        <v>#REF!</v>
      </c>
      <c r="BS137" t="e">
        <f t="shared" si="104"/>
        <v>#REF!</v>
      </c>
      <c r="BT137" t="e">
        <f t="shared" si="104"/>
        <v>#REF!</v>
      </c>
      <c r="BU137" t="e">
        <f t="shared" si="104"/>
        <v>#REF!</v>
      </c>
      <c r="BV137" t="e">
        <f t="shared" si="100"/>
        <v>#REF!</v>
      </c>
      <c r="BW137" t="e">
        <f t="shared" si="100"/>
        <v>#REF!</v>
      </c>
      <c r="BX137" t="e">
        <f t="shared" si="100"/>
        <v>#REF!</v>
      </c>
      <c r="BY137" t="e">
        <f t="shared" si="100"/>
        <v>#REF!</v>
      </c>
      <c r="BZ137" t="e">
        <f t="shared" si="100"/>
        <v>#REF!</v>
      </c>
      <c r="CA137" t="e">
        <f t="shared" si="100"/>
        <v>#REF!</v>
      </c>
      <c r="CB137" t="e">
        <f t="shared" si="100"/>
        <v>#REF!</v>
      </c>
      <c r="CC137" t="e">
        <f t="shared" si="100"/>
        <v>#REF!</v>
      </c>
      <c r="CD137" t="e">
        <f t="shared" si="100"/>
        <v>#REF!</v>
      </c>
      <c r="CE137" t="e">
        <f t="shared" si="100"/>
        <v>#REF!</v>
      </c>
      <c r="CF137" t="e">
        <f t="shared" si="93"/>
        <v>#REF!</v>
      </c>
      <c r="CG137" t="e">
        <f t="shared" si="93"/>
        <v>#REF!</v>
      </c>
      <c r="CH137" t="e">
        <f t="shared" si="93"/>
        <v>#REF!</v>
      </c>
      <c r="CI137" t="e">
        <f t="shared" si="93"/>
        <v>#REF!</v>
      </c>
      <c r="CJ137" t="e">
        <f t="shared" si="93"/>
        <v>#REF!</v>
      </c>
      <c r="CK137" t="e">
        <f t="shared" si="93"/>
        <v>#REF!</v>
      </c>
      <c r="CL137" t="e">
        <f t="shared" si="93"/>
        <v>#REF!</v>
      </c>
      <c r="CM137" t="e">
        <f t="shared" si="93"/>
        <v>#REF!</v>
      </c>
      <c r="CN137" t="e">
        <f t="shared" si="93"/>
        <v>#REF!</v>
      </c>
      <c r="CO137" t="e">
        <f t="shared" si="93"/>
        <v>#REF!</v>
      </c>
      <c r="CP137" t="e">
        <f t="shared" si="93"/>
        <v>#REF!</v>
      </c>
      <c r="CQ137" t="e">
        <f t="shared" si="93"/>
        <v>#REF!</v>
      </c>
      <c r="CR137" t="e">
        <f t="shared" si="93"/>
        <v>#REF!</v>
      </c>
      <c r="CS137" t="e">
        <f t="shared" si="93"/>
        <v>#REF!</v>
      </c>
      <c r="CT137" t="e">
        <f t="shared" si="93"/>
        <v>#REF!</v>
      </c>
      <c r="CU137" t="e">
        <f t="shared" si="98"/>
        <v>#REF!</v>
      </c>
      <c r="CV137" t="e">
        <f t="shared" si="98"/>
        <v>#REF!</v>
      </c>
      <c r="CW137" t="e">
        <f t="shared" si="98"/>
        <v>#REF!</v>
      </c>
      <c r="CX137" t="e">
        <f t="shared" si="98"/>
        <v>#REF!</v>
      </c>
      <c r="CY137" t="e">
        <f t="shared" si="98"/>
        <v>#REF!</v>
      </c>
      <c r="CZ137" t="e">
        <f t="shared" si="98"/>
        <v>#REF!</v>
      </c>
      <c r="DA137" t="e">
        <f t="shared" si="98"/>
        <v>#REF!</v>
      </c>
      <c r="DB137" t="e">
        <f t="shared" si="98"/>
        <v>#REF!</v>
      </c>
      <c r="DC137" t="e">
        <f t="shared" si="98"/>
        <v>#REF!</v>
      </c>
      <c r="DD137" t="e">
        <f t="shared" si="98"/>
        <v>#REF!</v>
      </c>
      <c r="DE137" t="e">
        <f t="shared" si="98"/>
        <v>#REF!</v>
      </c>
      <c r="DF137" t="e">
        <f t="shared" si="98"/>
        <v>#REF!</v>
      </c>
      <c r="DG137" t="e">
        <f t="shared" si="98"/>
        <v>#REF!</v>
      </c>
      <c r="DH137" t="e">
        <f t="shared" si="98"/>
        <v>#REF!</v>
      </c>
      <c r="DI137" t="e">
        <f t="shared" si="98"/>
        <v>#REF!</v>
      </c>
      <c r="DJ137" t="e">
        <f t="shared" si="102"/>
        <v>#REF!</v>
      </c>
      <c r="DK137" t="e">
        <f t="shared" si="102"/>
        <v>#REF!</v>
      </c>
      <c r="DL137" t="e">
        <f t="shared" si="102"/>
        <v>#REF!</v>
      </c>
      <c r="DM137" t="e">
        <f t="shared" si="102"/>
        <v>#REF!</v>
      </c>
      <c r="DN137" t="e">
        <f t="shared" si="102"/>
        <v>#REF!</v>
      </c>
      <c r="DO137" t="e">
        <f t="shared" si="102"/>
        <v>#REF!</v>
      </c>
      <c r="DP137" t="e">
        <f t="shared" si="102"/>
        <v>#REF!</v>
      </c>
      <c r="DQ137" t="e">
        <f t="shared" si="108"/>
        <v>#REF!</v>
      </c>
      <c r="DR137" t="e">
        <f t="shared" si="108"/>
        <v>#REF!</v>
      </c>
      <c r="DS137" t="e">
        <f t="shared" si="108"/>
        <v>#REF!</v>
      </c>
      <c r="DT137" t="e">
        <f t="shared" si="108"/>
        <v>#REF!</v>
      </c>
      <c r="DU137" t="e">
        <f t="shared" si="108"/>
        <v>#REF!</v>
      </c>
      <c r="DV137" t="e">
        <f t="shared" si="108"/>
        <v>#REF!</v>
      </c>
      <c r="DW137" t="e">
        <f t="shared" si="108"/>
        <v>#REF!</v>
      </c>
      <c r="DX137" t="e">
        <f t="shared" si="108"/>
        <v>#REF!</v>
      </c>
      <c r="DY137" t="e">
        <f t="shared" si="108"/>
        <v>#REF!</v>
      </c>
      <c r="DZ137" t="e">
        <f t="shared" si="63"/>
        <v>#REF!</v>
      </c>
      <c r="EA137" t="e">
        <f t="shared" si="63"/>
        <v>#REF!</v>
      </c>
      <c r="EB137" t="e">
        <f t="shared" si="63"/>
        <v>#REF!</v>
      </c>
      <c r="EC137" t="e">
        <f t="shared" si="63"/>
        <v>#REF!</v>
      </c>
      <c r="ED137" t="e">
        <f t="shared" si="99"/>
        <v>#REF!</v>
      </c>
      <c r="EE137" t="e">
        <f t="shared" si="99"/>
        <v>#REF!</v>
      </c>
      <c r="EF137" t="e">
        <f t="shared" si="99"/>
        <v>#REF!</v>
      </c>
      <c r="EG137" t="e">
        <f t="shared" si="99"/>
        <v>#REF!</v>
      </c>
      <c r="EH137" t="e">
        <f t="shared" si="99"/>
        <v>#REF!</v>
      </c>
      <c r="EI137" t="e">
        <f t="shared" si="99"/>
        <v>#REF!</v>
      </c>
      <c r="EJ137" t="e">
        <f t="shared" si="99"/>
        <v>#REF!</v>
      </c>
      <c r="EK137" t="e">
        <f t="shared" si="99"/>
        <v>#REF!</v>
      </c>
      <c r="EL137" t="e">
        <f t="shared" si="99"/>
        <v>#REF!</v>
      </c>
      <c r="EM137" t="e">
        <f t="shared" si="99"/>
        <v>#REF!</v>
      </c>
    </row>
    <row r="138" spans="1:143" x14ac:dyDescent="0.4">
      <c r="A138" t="str">
        <f t="shared" si="103"/>
        <v>X</v>
      </c>
      <c r="B138">
        <v>135</v>
      </c>
      <c r="C138" t="e" cm="1">
        <f t="array" ref="C138">INDEX(auto_Series_Code,B138)</f>
        <v>#REF!</v>
      </c>
      <c r="D138" t="e">
        <f t="shared" si="107"/>
        <v>#REF!</v>
      </c>
      <c r="E138" t="e">
        <f t="shared" si="107"/>
        <v>#REF!</v>
      </c>
      <c r="F138" t="e">
        <f t="shared" si="107"/>
        <v>#REF!</v>
      </c>
      <c r="G138" t="e">
        <f t="shared" si="107"/>
        <v>#REF!</v>
      </c>
      <c r="H138" t="e">
        <f t="shared" si="107"/>
        <v>#REF!</v>
      </c>
      <c r="I138" t="e">
        <f t="shared" si="107"/>
        <v>#REF!</v>
      </c>
      <c r="J138" t="e">
        <f t="shared" si="107"/>
        <v>#REF!</v>
      </c>
      <c r="K138" t="e">
        <f t="shared" si="107"/>
        <v>#REF!</v>
      </c>
      <c r="L138" t="e">
        <f t="shared" si="107"/>
        <v>#REF!</v>
      </c>
      <c r="M138" t="e">
        <f t="shared" si="107"/>
        <v>#REF!</v>
      </c>
      <c r="N138" t="e">
        <f t="shared" si="107"/>
        <v>#REF!</v>
      </c>
      <c r="O138" t="e">
        <f t="shared" si="107"/>
        <v>#REF!</v>
      </c>
      <c r="P138" t="e">
        <f t="shared" si="107"/>
        <v>#REF!</v>
      </c>
      <c r="Q138" t="e">
        <f t="shared" si="107"/>
        <v>#REF!</v>
      </c>
      <c r="R138" t="e">
        <f t="shared" si="107"/>
        <v>#REF!</v>
      </c>
      <c r="S138" t="e">
        <f t="shared" si="107"/>
        <v>#REF!</v>
      </c>
      <c r="T138" t="e">
        <f t="shared" si="105"/>
        <v>#REF!</v>
      </c>
      <c r="U138" t="e">
        <f t="shared" si="105"/>
        <v>#REF!</v>
      </c>
      <c r="V138" t="e">
        <f t="shared" si="105"/>
        <v>#REF!</v>
      </c>
      <c r="W138" t="e">
        <f t="shared" si="105"/>
        <v>#REF!</v>
      </c>
      <c r="X138" t="e">
        <f t="shared" si="91"/>
        <v>#REF!</v>
      </c>
      <c r="Y138" t="e">
        <f t="shared" si="91"/>
        <v>#REF!</v>
      </c>
      <c r="Z138" t="e">
        <f t="shared" si="91"/>
        <v>#REF!</v>
      </c>
      <c r="AA138" t="e">
        <f t="shared" si="91"/>
        <v>#REF!</v>
      </c>
      <c r="AB138" t="e">
        <f t="shared" si="91"/>
        <v>#REF!</v>
      </c>
      <c r="AC138" t="e">
        <f t="shared" si="91"/>
        <v>#REF!</v>
      </c>
      <c r="AD138" t="e">
        <f t="shared" si="91"/>
        <v>#REF!</v>
      </c>
      <c r="AE138" t="e">
        <f t="shared" si="91"/>
        <v>#REF!</v>
      </c>
      <c r="AF138" t="e">
        <f t="shared" si="91"/>
        <v>#REF!</v>
      </c>
      <c r="AG138" t="e">
        <f t="shared" si="91"/>
        <v>#REF!</v>
      </c>
      <c r="AH138" t="e">
        <f t="shared" si="101"/>
        <v>#REF!</v>
      </c>
      <c r="AI138" t="e">
        <f t="shared" si="101"/>
        <v>#REF!</v>
      </c>
      <c r="AJ138" t="e">
        <f t="shared" si="101"/>
        <v>#REF!</v>
      </c>
      <c r="AK138" t="e">
        <f t="shared" si="101"/>
        <v>#REF!</v>
      </c>
      <c r="AL138" t="e">
        <f t="shared" si="101"/>
        <v>#REF!</v>
      </c>
      <c r="AM138" t="e">
        <f t="shared" si="101"/>
        <v>#REF!</v>
      </c>
      <c r="AN138" t="e">
        <f t="shared" si="101"/>
        <v>#REF!</v>
      </c>
      <c r="AO138" t="e">
        <f t="shared" si="101"/>
        <v>#REF!</v>
      </c>
      <c r="AP138" t="e">
        <f t="shared" si="101"/>
        <v>#REF!</v>
      </c>
      <c r="AQ138" t="e">
        <f t="shared" si="101"/>
        <v>#REF!</v>
      </c>
      <c r="AR138" t="e">
        <f t="shared" si="89"/>
        <v>#REF!</v>
      </c>
      <c r="AS138" t="e">
        <f t="shared" si="89"/>
        <v>#REF!</v>
      </c>
      <c r="AT138" t="e">
        <f t="shared" si="89"/>
        <v>#REF!</v>
      </c>
      <c r="AU138" t="e">
        <f t="shared" si="89"/>
        <v>#REF!</v>
      </c>
      <c r="AV138" t="e">
        <f t="shared" si="89"/>
        <v>#REF!</v>
      </c>
      <c r="AW138" t="e">
        <f t="shared" si="89"/>
        <v>#REF!</v>
      </c>
      <c r="AX138" t="e">
        <f t="shared" si="89"/>
        <v>#REF!</v>
      </c>
      <c r="AY138" t="e">
        <f t="shared" si="94"/>
        <v>#REF!</v>
      </c>
      <c r="AZ138" t="e">
        <f t="shared" si="94"/>
        <v>#REF!</v>
      </c>
      <c r="BA138" t="e">
        <f t="shared" si="94"/>
        <v>#REF!</v>
      </c>
      <c r="BB138" t="e">
        <f t="shared" si="94"/>
        <v>#REF!</v>
      </c>
      <c r="BC138" t="e">
        <f t="shared" si="94"/>
        <v>#REF!</v>
      </c>
      <c r="BD138" t="e">
        <f t="shared" si="94"/>
        <v>#REF!</v>
      </c>
      <c r="BE138" t="e">
        <f t="shared" si="94"/>
        <v>#REF!</v>
      </c>
      <c r="BF138" t="e">
        <f t="shared" si="94"/>
        <v>#REF!</v>
      </c>
      <c r="BG138" t="e">
        <f t="shared" si="94"/>
        <v>#REF!</v>
      </c>
      <c r="BH138" t="e">
        <f t="shared" si="94"/>
        <v>#REF!</v>
      </c>
      <c r="BI138" t="e">
        <f t="shared" si="94"/>
        <v>#REF!</v>
      </c>
      <c r="BJ138" t="e">
        <f t="shared" si="94"/>
        <v>#REF!</v>
      </c>
      <c r="BK138" t="e">
        <f t="shared" si="94"/>
        <v>#REF!</v>
      </c>
      <c r="BL138" t="e">
        <f t="shared" si="104"/>
        <v>#REF!</v>
      </c>
      <c r="BM138" t="e">
        <f t="shared" si="104"/>
        <v>#REF!</v>
      </c>
      <c r="BN138" t="e">
        <f t="shared" si="104"/>
        <v>#REF!</v>
      </c>
      <c r="BO138" t="e">
        <f t="shared" si="104"/>
        <v>#REF!</v>
      </c>
      <c r="BP138" t="e">
        <f t="shared" si="104"/>
        <v>#REF!</v>
      </c>
      <c r="BQ138" t="e">
        <f t="shared" si="104"/>
        <v>#REF!</v>
      </c>
      <c r="BR138" t="e">
        <f t="shared" si="104"/>
        <v>#REF!</v>
      </c>
      <c r="BS138" t="e">
        <f t="shared" si="104"/>
        <v>#REF!</v>
      </c>
      <c r="BT138" t="e">
        <f t="shared" si="104"/>
        <v>#REF!</v>
      </c>
      <c r="BU138" t="e">
        <f t="shared" si="104"/>
        <v>#REF!</v>
      </c>
      <c r="BV138" t="e">
        <f t="shared" si="100"/>
        <v>#REF!</v>
      </c>
      <c r="BW138" t="e">
        <f t="shared" si="100"/>
        <v>#REF!</v>
      </c>
      <c r="BX138" t="e">
        <f t="shared" si="100"/>
        <v>#REF!</v>
      </c>
      <c r="BY138" t="e">
        <f t="shared" si="100"/>
        <v>#REF!</v>
      </c>
      <c r="BZ138" t="e">
        <f t="shared" si="100"/>
        <v>#REF!</v>
      </c>
      <c r="CA138" t="e">
        <f t="shared" si="100"/>
        <v>#REF!</v>
      </c>
      <c r="CB138" t="e">
        <f t="shared" si="100"/>
        <v>#REF!</v>
      </c>
      <c r="CC138" t="e">
        <f t="shared" si="100"/>
        <v>#REF!</v>
      </c>
      <c r="CD138" t="e">
        <f t="shared" si="100"/>
        <v>#REF!</v>
      </c>
      <c r="CE138" t="e">
        <f t="shared" si="100"/>
        <v>#REF!</v>
      </c>
      <c r="CF138" t="e">
        <f t="shared" si="93"/>
        <v>#REF!</v>
      </c>
      <c r="CG138" t="e">
        <f t="shared" si="93"/>
        <v>#REF!</v>
      </c>
      <c r="CH138" t="e">
        <f t="shared" si="93"/>
        <v>#REF!</v>
      </c>
      <c r="CI138" t="e">
        <f t="shared" si="93"/>
        <v>#REF!</v>
      </c>
      <c r="CJ138" t="e">
        <f t="shared" si="93"/>
        <v>#REF!</v>
      </c>
      <c r="CK138" t="e">
        <f t="shared" si="93"/>
        <v>#REF!</v>
      </c>
      <c r="CL138" t="e">
        <f t="shared" si="93"/>
        <v>#REF!</v>
      </c>
      <c r="CM138" t="e">
        <f t="shared" si="93"/>
        <v>#REF!</v>
      </c>
      <c r="CN138" t="e">
        <f t="shared" si="93"/>
        <v>#REF!</v>
      </c>
      <c r="CO138" t="e">
        <f t="shared" ref="CO138:DD158" si="109">MATCH(CONCATENATE(CO$3,"_",$C138),auto_DataFlat_UID,0)</f>
        <v>#REF!</v>
      </c>
      <c r="CP138" t="e">
        <f t="shared" si="109"/>
        <v>#REF!</v>
      </c>
      <c r="CQ138" t="e">
        <f t="shared" si="109"/>
        <v>#REF!</v>
      </c>
      <c r="CR138" t="e">
        <f t="shared" si="109"/>
        <v>#REF!</v>
      </c>
      <c r="CS138" t="e">
        <f t="shared" si="109"/>
        <v>#REF!</v>
      </c>
      <c r="CT138" t="e">
        <f t="shared" si="109"/>
        <v>#REF!</v>
      </c>
      <c r="CU138" t="e">
        <f t="shared" si="109"/>
        <v>#REF!</v>
      </c>
      <c r="CV138" t="e">
        <f t="shared" si="109"/>
        <v>#REF!</v>
      </c>
      <c r="CW138" t="e">
        <f t="shared" si="109"/>
        <v>#REF!</v>
      </c>
      <c r="CX138" t="e">
        <f t="shared" si="109"/>
        <v>#REF!</v>
      </c>
      <c r="CY138" t="e">
        <f t="shared" si="109"/>
        <v>#REF!</v>
      </c>
      <c r="CZ138" t="e">
        <f t="shared" si="98"/>
        <v>#REF!</v>
      </c>
      <c r="DA138" t="e">
        <f t="shared" si="98"/>
        <v>#REF!</v>
      </c>
      <c r="DB138" t="e">
        <f t="shared" si="98"/>
        <v>#REF!</v>
      </c>
      <c r="DC138" t="e">
        <f t="shared" si="98"/>
        <v>#REF!</v>
      </c>
      <c r="DD138" t="e">
        <f t="shared" si="98"/>
        <v>#REF!</v>
      </c>
      <c r="DE138" t="e">
        <f t="shared" si="98"/>
        <v>#REF!</v>
      </c>
      <c r="DF138" t="e">
        <f t="shared" si="98"/>
        <v>#REF!</v>
      </c>
      <c r="DG138" t="e">
        <f t="shared" si="98"/>
        <v>#REF!</v>
      </c>
      <c r="DH138" t="e">
        <f t="shared" si="98"/>
        <v>#REF!</v>
      </c>
      <c r="DI138" t="e">
        <f t="shared" si="98"/>
        <v>#REF!</v>
      </c>
      <c r="DJ138" t="e">
        <f t="shared" si="102"/>
        <v>#REF!</v>
      </c>
      <c r="DK138" t="e">
        <f t="shared" si="102"/>
        <v>#REF!</v>
      </c>
      <c r="DL138" t="e">
        <f t="shared" si="102"/>
        <v>#REF!</v>
      </c>
      <c r="DM138" t="e">
        <f t="shared" si="102"/>
        <v>#REF!</v>
      </c>
      <c r="DN138" t="e">
        <f t="shared" si="102"/>
        <v>#REF!</v>
      </c>
      <c r="DO138" t="e">
        <f t="shared" si="102"/>
        <v>#REF!</v>
      </c>
      <c r="DP138" t="e">
        <f t="shared" si="102"/>
        <v>#REF!</v>
      </c>
      <c r="DQ138" t="e">
        <f t="shared" si="108"/>
        <v>#REF!</v>
      </c>
      <c r="DR138" t="e">
        <f t="shared" si="108"/>
        <v>#REF!</v>
      </c>
      <c r="DS138" t="e">
        <f t="shared" si="108"/>
        <v>#REF!</v>
      </c>
      <c r="DT138" t="e">
        <f t="shared" si="108"/>
        <v>#REF!</v>
      </c>
      <c r="DU138" t="e">
        <f t="shared" si="108"/>
        <v>#REF!</v>
      </c>
      <c r="DV138" t="e">
        <f t="shared" si="108"/>
        <v>#REF!</v>
      </c>
      <c r="DW138" t="e">
        <f t="shared" si="108"/>
        <v>#REF!</v>
      </c>
      <c r="DX138" t="e">
        <f t="shared" si="108"/>
        <v>#REF!</v>
      </c>
      <c r="DY138" t="e">
        <f t="shared" si="108"/>
        <v>#REF!</v>
      </c>
      <c r="DZ138" t="e">
        <f t="shared" si="63"/>
        <v>#REF!</v>
      </c>
      <c r="EA138" t="e">
        <f t="shared" si="63"/>
        <v>#REF!</v>
      </c>
      <c r="EB138" t="e">
        <f t="shared" si="63"/>
        <v>#REF!</v>
      </c>
      <c r="EC138" t="e">
        <f t="shared" si="63"/>
        <v>#REF!</v>
      </c>
      <c r="ED138" t="e">
        <f t="shared" si="99"/>
        <v>#REF!</v>
      </c>
      <c r="EE138" t="e">
        <f t="shared" si="99"/>
        <v>#REF!</v>
      </c>
      <c r="EF138" t="e">
        <f t="shared" si="99"/>
        <v>#REF!</v>
      </c>
      <c r="EG138" t="e">
        <f t="shared" si="99"/>
        <v>#REF!</v>
      </c>
      <c r="EH138" t="e">
        <f t="shared" si="99"/>
        <v>#REF!</v>
      </c>
      <c r="EI138" t="e">
        <f t="shared" si="99"/>
        <v>#REF!</v>
      </c>
      <c r="EJ138" t="e">
        <f t="shared" si="99"/>
        <v>#REF!</v>
      </c>
      <c r="EK138" t="e">
        <f t="shared" si="99"/>
        <v>#REF!</v>
      </c>
      <c r="EL138" t="e">
        <f t="shared" si="99"/>
        <v>#REF!</v>
      </c>
      <c r="EM138" t="e">
        <f t="shared" si="99"/>
        <v>#REF!</v>
      </c>
    </row>
    <row r="139" spans="1:143" x14ac:dyDescent="0.4">
      <c r="A139" t="str">
        <f t="shared" si="103"/>
        <v>X</v>
      </c>
      <c r="B139">
        <v>136</v>
      </c>
      <c r="C139" t="e" cm="1">
        <f t="array" ref="C139">INDEX(auto_Series_Code,B139)</f>
        <v>#REF!</v>
      </c>
      <c r="D139" t="e">
        <f t="shared" si="107"/>
        <v>#REF!</v>
      </c>
      <c r="E139" t="e">
        <f t="shared" si="107"/>
        <v>#REF!</v>
      </c>
      <c r="F139" t="e">
        <f t="shared" si="107"/>
        <v>#REF!</v>
      </c>
      <c r="G139" t="e">
        <f t="shared" si="107"/>
        <v>#REF!</v>
      </c>
      <c r="H139" t="e">
        <f t="shared" si="107"/>
        <v>#REF!</v>
      </c>
      <c r="I139" t="e">
        <f t="shared" si="107"/>
        <v>#REF!</v>
      </c>
      <c r="J139" t="e">
        <f t="shared" si="107"/>
        <v>#REF!</v>
      </c>
      <c r="K139" t="e">
        <f t="shared" si="107"/>
        <v>#REF!</v>
      </c>
      <c r="L139" t="e">
        <f t="shared" si="107"/>
        <v>#REF!</v>
      </c>
      <c r="M139" t="e">
        <f t="shared" si="107"/>
        <v>#REF!</v>
      </c>
      <c r="N139" t="e">
        <f t="shared" si="107"/>
        <v>#REF!</v>
      </c>
      <c r="O139" t="e">
        <f t="shared" si="107"/>
        <v>#REF!</v>
      </c>
      <c r="P139" t="e">
        <f t="shared" si="107"/>
        <v>#REF!</v>
      </c>
      <c r="Q139" t="e">
        <f t="shared" si="107"/>
        <v>#REF!</v>
      </c>
      <c r="R139" t="e">
        <f t="shared" si="107"/>
        <v>#REF!</v>
      </c>
      <c r="S139" t="e">
        <f t="shared" si="107"/>
        <v>#REF!</v>
      </c>
      <c r="T139" t="e">
        <f t="shared" si="105"/>
        <v>#REF!</v>
      </c>
      <c r="U139" t="e">
        <f t="shared" si="105"/>
        <v>#REF!</v>
      </c>
      <c r="V139" t="e">
        <f t="shared" si="105"/>
        <v>#REF!</v>
      </c>
      <c r="W139" t="e">
        <f t="shared" si="105"/>
        <v>#REF!</v>
      </c>
      <c r="X139" t="e">
        <f t="shared" si="91"/>
        <v>#REF!</v>
      </c>
      <c r="Y139" t="e">
        <f t="shared" si="91"/>
        <v>#REF!</v>
      </c>
      <c r="Z139" t="e">
        <f t="shared" si="91"/>
        <v>#REF!</v>
      </c>
      <c r="AA139" t="e">
        <f t="shared" si="91"/>
        <v>#REF!</v>
      </c>
      <c r="AB139" t="e">
        <f t="shared" si="91"/>
        <v>#REF!</v>
      </c>
      <c r="AC139" t="e">
        <f t="shared" si="91"/>
        <v>#REF!</v>
      </c>
      <c r="AD139" t="e">
        <f t="shared" si="91"/>
        <v>#REF!</v>
      </c>
      <c r="AE139" t="e">
        <f t="shared" si="91"/>
        <v>#REF!</v>
      </c>
      <c r="AF139" t="e">
        <f t="shared" si="91"/>
        <v>#REF!</v>
      </c>
      <c r="AG139" t="e">
        <f t="shared" si="91"/>
        <v>#REF!</v>
      </c>
      <c r="AH139" t="e">
        <f t="shared" si="101"/>
        <v>#REF!</v>
      </c>
      <c r="AI139" t="e">
        <f t="shared" si="101"/>
        <v>#REF!</v>
      </c>
      <c r="AJ139" t="e">
        <f t="shared" si="101"/>
        <v>#REF!</v>
      </c>
      <c r="AK139" t="e">
        <f t="shared" si="101"/>
        <v>#REF!</v>
      </c>
      <c r="AL139" t="e">
        <f t="shared" si="101"/>
        <v>#REF!</v>
      </c>
      <c r="AM139" t="e">
        <f t="shared" si="101"/>
        <v>#REF!</v>
      </c>
      <c r="AN139" t="e">
        <f t="shared" si="101"/>
        <v>#REF!</v>
      </c>
      <c r="AO139" t="e">
        <f t="shared" si="101"/>
        <v>#REF!</v>
      </c>
      <c r="AP139" t="e">
        <f t="shared" si="101"/>
        <v>#REF!</v>
      </c>
      <c r="AQ139" t="e">
        <f t="shared" si="101"/>
        <v>#REF!</v>
      </c>
      <c r="AR139" t="e">
        <f t="shared" si="89"/>
        <v>#REF!</v>
      </c>
      <c r="AS139" t="e">
        <f t="shared" si="89"/>
        <v>#REF!</v>
      </c>
      <c r="AT139" t="e">
        <f t="shared" si="89"/>
        <v>#REF!</v>
      </c>
      <c r="AU139" t="e">
        <f t="shared" si="89"/>
        <v>#REF!</v>
      </c>
      <c r="AV139" t="e">
        <f t="shared" si="89"/>
        <v>#REF!</v>
      </c>
      <c r="AW139" t="e">
        <f t="shared" si="89"/>
        <v>#REF!</v>
      </c>
      <c r="AX139" t="e">
        <f t="shared" si="89"/>
        <v>#REF!</v>
      </c>
      <c r="AY139" t="e">
        <f t="shared" si="94"/>
        <v>#REF!</v>
      </c>
      <c r="AZ139" t="e">
        <f t="shared" si="94"/>
        <v>#REF!</v>
      </c>
      <c r="BA139" t="e">
        <f t="shared" si="94"/>
        <v>#REF!</v>
      </c>
      <c r="BB139" t="e">
        <f t="shared" si="94"/>
        <v>#REF!</v>
      </c>
      <c r="BC139" t="e">
        <f t="shared" si="94"/>
        <v>#REF!</v>
      </c>
      <c r="BD139" t="e">
        <f t="shared" si="94"/>
        <v>#REF!</v>
      </c>
      <c r="BE139" t="e">
        <f t="shared" si="94"/>
        <v>#REF!</v>
      </c>
      <c r="BF139" t="e">
        <f t="shared" si="94"/>
        <v>#REF!</v>
      </c>
      <c r="BG139" t="e">
        <f t="shared" si="94"/>
        <v>#REF!</v>
      </c>
      <c r="BH139" t="e">
        <f t="shared" si="94"/>
        <v>#REF!</v>
      </c>
      <c r="BI139" t="e">
        <f t="shared" si="94"/>
        <v>#REF!</v>
      </c>
      <c r="BJ139" t="e">
        <f t="shared" si="94"/>
        <v>#REF!</v>
      </c>
      <c r="BK139" t="e">
        <f t="shared" si="94"/>
        <v>#REF!</v>
      </c>
      <c r="BL139" t="e">
        <f t="shared" si="104"/>
        <v>#REF!</v>
      </c>
      <c r="BM139" t="e">
        <f t="shared" si="104"/>
        <v>#REF!</v>
      </c>
      <c r="BN139" t="e">
        <f t="shared" si="104"/>
        <v>#REF!</v>
      </c>
      <c r="BO139" t="e">
        <f t="shared" si="104"/>
        <v>#REF!</v>
      </c>
      <c r="BP139" t="e">
        <f t="shared" si="104"/>
        <v>#REF!</v>
      </c>
      <c r="BQ139" t="e">
        <f t="shared" si="104"/>
        <v>#REF!</v>
      </c>
      <c r="BR139" t="e">
        <f t="shared" si="104"/>
        <v>#REF!</v>
      </c>
      <c r="BS139" t="e">
        <f t="shared" si="104"/>
        <v>#REF!</v>
      </c>
      <c r="BT139" t="e">
        <f t="shared" si="104"/>
        <v>#REF!</v>
      </c>
      <c r="BU139" t="e">
        <f t="shared" si="104"/>
        <v>#REF!</v>
      </c>
      <c r="BV139" t="e">
        <f t="shared" si="100"/>
        <v>#REF!</v>
      </c>
      <c r="BW139" t="e">
        <f t="shared" si="100"/>
        <v>#REF!</v>
      </c>
      <c r="BX139" t="e">
        <f t="shared" si="100"/>
        <v>#REF!</v>
      </c>
      <c r="BY139" t="e">
        <f t="shared" si="100"/>
        <v>#REF!</v>
      </c>
      <c r="BZ139" t="e">
        <f t="shared" si="100"/>
        <v>#REF!</v>
      </c>
      <c r="CA139" t="e">
        <f t="shared" si="100"/>
        <v>#REF!</v>
      </c>
      <c r="CB139" t="e">
        <f t="shared" si="100"/>
        <v>#REF!</v>
      </c>
      <c r="CC139" t="e">
        <f t="shared" si="100"/>
        <v>#REF!</v>
      </c>
      <c r="CD139" t="e">
        <f t="shared" si="100"/>
        <v>#REF!</v>
      </c>
      <c r="CE139" t="e">
        <f t="shared" si="100"/>
        <v>#REF!</v>
      </c>
      <c r="CF139" t="e">
        <f t="shared" si="100"/>
        <v>#REF!</v>
      </c>
      <c r="CG139" t="e">
        <f t="shared" ref="CG139:CV173" si="110">MATCH(CONCATENATE(CG$3,"_",$C139),auto_DataFlat_UID,0)</f>
        <v>#REF!</v>
      </c>
      <c r="CH139" t="e">
        <f t="shared" si="110"/>
        <v>#REF!</v>
      </c>
      <c r="CI139" t="e">
        <f t="shared" si="110"/>
        <v>#REF!</v>
      </c>
      <c r="CJ139" t="e">
        <f t="shared" si="110"/>
        <v>#REF!</v>
      </c>
      <c r="CK139" t="e">
        <f t="shared" si="110"/>
        <v>#REF!</v>
      </c>
      <c r="CL139" t="e">
        <f t="shared" si="110"/>
        <v>#REF!</v>
      </c>
      <c r="CM139" t="e">
        <f t="shared" si="110"/>
        <v>#REF!</v>
      </c>
      <c r="CN139" t="e">
        <f t="shared" si="110"/>
        <v>#REF!</v>
      </c>
      <c r="CO139" t="e">
        <f t="shared" si="110"/>
        <v>#REF!</v>
      </c>
      <c r="CP139" t="e">
        <f t="shared" si="109"/>
        <v>#REF!</v>
      </c>
      <c r="CQ139" t="e">
        <f t="shared" si="109"/>
        <v>#REF!</v>
      </c>
      <c r="CR139" t="e">
        <f t="shared" si="109"/>
        <v>#REF!</v>
      </c>
      <c r="CS139" t="e">
        <f t="shared" si="109"/>
        <v>#REF!</v>
      </c>
      <c r="CT139" t="e">
        <f t="shared" si="109"/>
        <v>#REF!</v>
      </c>
      <c r="CU139" t="e">
        <f t="shared" si="109"/>
        <v>#REF!</v>
      </c>
      <c r="CV139" t="e">
        <f t="shared" si="109"/>
        <v>#REF!</v>
      </c>
      <c r="CW139" t="e">
        <f t="shared" si="109"/>
        <v>#REF!</v>
      </c>
      <c r="CX139" t="e">
        <f t="shared" si="109"/>
        <v>#REF!</v>
      </c>
      <c r="CY139" t="e">
        <f t="shared" si="109"/>
        <v>#REF!</v>
      </c>
      <c r="CZ139" t="e">
        <f t="shared" si="98"/>
        <v>#REF!</v>
      </c>
      <c r="DA139" t="e">
        <f t="shared" si="98"/>
        <v>#REF!</v>
      </c>
      <c r="DB139" t="e">
        <f t="shared" si="98"/>
        <v>#REF!</v>
      </c>
      <c r="DC139" t="e">
        <f t="shared" si="98"/>
        <v>#REF!</v>
      </c>
      <c r="DD139" t="e">
        <f t="shared" si="98"/>
        <v>#REF!</v>
      </c>
      <c r="DE139" t="e">
        <f t="shared" si="98"/>
        <v>#REF!</v>
      </c>
      <c r="DF139" t="e">
        <f t="shared" si="98"/>
        <v>#REF!</v>
      </c>
      <c r="DG139" t="e">
        <f t="shared" si="98"/>
        <v>#REF!</v>
      </c>
      <c r="DH139" t="e">
        <f t="shared" si="98"/>
        <v>#REF!</v>
      </c>
      <c r="DI139" t="e">
        <f t="shared" si="98"/>
        <v>#REF!</v>
      </c>
      <c r="DJ139" t="e">
        <f t="shared" si="102"/>
        <v>#REF!</v>
      </c>
      <c r="DK139" t="e">
        <f t="shared" si="102"/>
        <v>#REF!</v>
      </c>
      <c r="DL139" t="e">
        <f t="shared" si="102"/>
        <v>#REF!</v>
      </c>
      <c r="DM139" t="e">
        <f t="shared" si="102"/>
        <v>#REF!</v>
      </c>
      <c r="DN139" t="e">
        <f t="shared" si="102"/>
        <v>#REF!</v>
      </c>
      <c r="DO139" t="e">
        <f t="shared" si="102"/>
        <v>#REF!</v>
      </c>
      <c r="DP139" t="e">
        <f t="shared" si="102"/>
        <v>#REF!</v>
      </c>
      <c r="DQ139" t="e">
        <f t="shared" si="108"/>
        <v>#REF!</v>
      </c>
      <c r="DR139" t="e">
        <f t="shared" si="108"/>
        <v>#REF!</v>
      </c>
      <c r="DS139" t="e">
        <f t="shared" si="108"/>
        <v>#REF!</v>
      </c>
      <c r="DT139" t="e">
        <f t="shared" si="108"/>
        <v>#REF!</v>
      </c>
      <c r="DU139" t="e">
        <f t="shared" si="108"/>
        <v>#REF!</v>
      </c>
      <c r="DV139" t="e">
        <f t="shared" si="108"/>
        <v>#REF!</v>
      </c>
      <c r="DW139" t="e">
        <f t="shared" si="108"/>
        <v>#REF!</v>
      </c>
      <c r="DX139" t="e">
        <f t="shared" si="108"/>
        <v>#REF!</v>
      </c>
      <c r="DY139" t="e">
        <f t="shared" si="108"/>
        <v>#REF!</v>
      </c>
      <c r="DZ139" t="e">
        <f t="shared" si="63"/>
        <v>#REF!</v>
      </c>
      <c r="EA139" t="e">
        <f t="shared" si="63"/>
        <v>#REF!</v>
      </c>
      <c r="EB139" t="e">
        <f t="shared" si="63"/>
        <v>#REF!</v>
      </c>
      <c r="EC139" t="e">
        <f t="shared" si="63"/>
        <v>#REF!</v>
      </c>
      <c r="ED139" t="e">
        <f t="shared" si="99"/>
        <v>#REF!</v>
      </c>
      <c r="EE139" t="e">
        <f t="shared" si="99"/>
        <v>#REF!</v>
      </c>
      <c r="EF139" t="e">
        <f t="shared" si="99"/>
        <v>#REF!</v>
      </c>
      <c r="EG139" t="e">
        <f t="shared" si="99"/>
        <v>#REF!</v>
      </c>
      <c r="EH139" t="e">
        <f t="shared" si="99"/>
        <v>#REF!</v>
      </c>
      <c r="EI139" t="e">
        <f t="shared" si="99"/>
        <v>#REF!</v>
      </c>
      <c r="EJ139" t="e">
        <f t="shared" si="99"/>
        <v>#REF!</v>
      </c>
      <c r="EK139" t="e">
        <f t="shared" si="99"/>
        <v>#REF!</v>
      </c>
      <c r="EL139" t="e">
        <f t="shared" si="99"/>
        <v>#REF!</v>
      </c>
      <c r="EM139" t="e">
        <f t="shared" si="99"/>
        <v>#REF!</v>
      </c>
    </row>
    <row r="140" spans="1:143" x14ac:dyDescent="0.4">
      <c r="A140" t="str">
        <f t="shared" si="103"/>
        <v>X</v>
      </c>
      <c r="B140">
        <v>137</v>
      </c>
      <c r="C140" t="e" cm="1">
        <f t="array" ref="C140">INDEX(auto_Series_Code,B140)</f>
        <v>#REF!</v>
      </c>
      <c r="D140" t="e">
        <f t="shared" si="107"/>
        <v>#REF!</v>
      </c>
      <c r="E140" t="e">
        <f t="shared" si="107"/>
        <v>#REF!</v>
      </c>
      <c r="F140" t="e">
        <f t="shared" si="107"/>
        <v>#REF!</v>
      </c>
      <c r="G140" t="e">
        <f t="shared" si="107"/>
        <v>#REF!</v>
      </c>
      <c r="H140" t="e">
        <f t="shared" si="107"/>
        <v>#REF!</v>
      </c>
      <c r="I140" t="e">
        <f t="shared" si="107"/>
        <v>#REF!</v>
      </c>
      <c r="J140" t="e">
        <f t="shared" si="107"/>
        <v>#REF!</v>
      </c>
      <c r="K140" t="e">
        <f t="shared" si="107"/>
        <v>#REF!</v>
      </c>
      <c r="L140" t="e">
        <f t="shared" si="107"/>
        <v>#REF!</v>
      </c>
      <c r="M140" t="e">
        <f t="shared" si="107"/>
        <v>#REF!</v>
      </c>
      <c r="N140" t="e">
        <f t="shared" si="107"/>
        <v>#REF!</v>
      </c>
      <c r="O140" t="e">
        <f t="shared" si="107"/>
        <v>#REF!</v>
      </c>
      <c r="P140" t="e">
        <f t="shared" si="107"/>
        <v>#REF!</v>
      </c>
      <c r="Q140" t="e">
        <f t="shared" si="107"/>
        <v>#REF!</v>
      </c>
      <c r="R140" t="e">
        <f t="shared" si="107"/>
        <v>#REF!</v>
      </c>
      <c r="S140" t="e">
        <f t="shared" si="107"/>
        <v>#REF!</v>
      </c>
      <c r="T140" t="e">
        <f t="shared" si="105"/>
        <v>#REF!</v>
      </c>
      <c r="U140" t="e">
        <f t="shared" si="105"/>
        <v>#REF!</v>
      </c>
      <c r="V140" t="e">
        <f t="shared" si="105"/>
        <v>#REF!</v>
      </c>
      <c r="W140" t="e">
        <f t="shared" si="105"/>
        <v>#REF!</v>
      </c>
      <c r="X140" t="e">
        <f t="shared" si="91"/>
        <v>#REF!</v>
      </c>
      <c r="Y140" t="e">
        <f t="shared" si="91"/>
        <v>#REF!</v>
      </c>
      <c r="Z140" t="e">
        <f t="shared" si="91"/>
        <v>#REF!</v>
      </c>
      <c r="AA140" t="e">
        <f t="shared" si="91"/>
        <v>#REF!</v>
      </c>
      <c r="AB140" t="e">
        <f t="shared" si="91"/>
        <v>#REF!</v>
      </c>
      <c r="AC140" t="e">
        <f t="shared" si="91"/>
        <v>#REF!</v>
      </c>
      <c r="AD140" t="e">
        <f t="shared" si="91"/>
        <v>#REF!</v>
      </c>
      <c r="AE140" t="e">
        <f t="shared" si="91"/>
        <v>#REF!</v>
      </c>
      <c r="AF140" t="e">
        <f t="shared" si="91"/>
        <v>#REF!</v>
      </c>
      <c r="AG140" t="e">
        <f t="shared" si="91"/>
        <v>#REF!</v>
      </c>
      <c r="AH140" t="e">
        <f t="shared" si="101"/>
        <v>#REF!</v>
      </c>
      <c r="AI140" t="e">
        <f t="shared" si="101"/>
        <v>#REF!</v>
      </c>
      <c r="AJ140" t="e">
        <f t="shared" si="101"/>
        <v>#REF!</v>
      </c>
      <c r="AK140" t="e">
        <f t="shared" si="101"/>
        <v>#REF!</v>
      </c>
      <c r="AL140" t="e">
        <f t="shared" si="101"/>
        <v>#REF!</v>
      </c>
      <c r="AM140" t="e">
        <f t="shared" si="101"/>
        <v>#REF!</v>
      </c>
      <c r="AN140" t="e">
        <f t="shared" si="101"/>
        <v>#REF!</v>
      </c>
      <c r="AO140" t="e">
        <f t="shared" si="101"/>
        <v>#REF!</v>
      </c>
      <c r="AP140" t="e">
        <f t="shared" si="101"/>
        <v>#REF!</v>
      </c>
      <c r="AQ140" t="e">
        <f t="shared" si="101"/>
        <v>#REF!</v>
      </c>
      <c r="AR140" t="e">
        <f t="shared" si="89"/>
        <v>#REF!</v>
      </c>
      <c r="AS140" t="e">
        <f t="shared" si="89"/>
        <v>#REF!</v>
      </c>
      <c r="AT140" t="e">
        <f t="shared" si="89"/>
        <v>#REF!</v>
      </c>
      <c r="AU140" t="e">
        <f t="shared" si="89"/>
        <v>#REF!</v>
      </c>
      <c r="AV140" t="e">
        <f t="shared" si="89"/>
        <v>#REF!</v>
      </c>
      <c r="AW140" t="e">
        <f t="shared" si="89"/>
        <v>#REF!</v>
      </c>
      <c r="AX140" t="e">
        <f t="shared" si="89"/>
        <v>#REF!</v>
      </c>
      <c r="AY140" t="e">
        <f t="shared" si="94"/>
        <v>#REF!</v>
      </c>
      <c r="AZ140" t="e">
        <f t="shared" si="94"/>
        <v>#REF!</v>
      </c>
      <c r="BA140" t="e">
        <f t="shared" si="94"/>
        <v>#REF!</v>
      </c>
      <c r="BB140" t="e">
        <f t="shared" si="94"/>
        <v>#REF!</v>
      </c>
      <c r="BC140" t="e">
        <f t="shared" si="94"/>
        <v>#REF!</v>
      </c>
      <c r="BD140" t="e">
        <f t="shared" si="94"/>
        <v>#REF!</v>
      </c>
      <c r="BE140" t="e">
        <f t="shared" si="94"/>
        <v>#REF!</v>
      </c>
      <c r="BF140" t="e">
        <f t="shared" si="94"/>
        <v>#REF!</v>
      </c>
      <c r="BG140" t="e">
        <f t="shared" si="94"/>
        <v>#REF!</v>
      </c>
      <c r="BH140" t="e">
        <f t="shared" si="94"/>
        <v>#REF!</v>
      </c>
      <c r="BI140" t="e">
        <f t="shared" si="94"/>
        <v>#REF!</v>
      </c>
      <c r="BJ140" t="e">
        <f t="shared" si="94"/>
        <v>#REF!</v>
      </c>
      <c r="BK140" t="e">
        <f t="shared" si="94"/>
        <v>#REF!</v>
      </c>
      <c r="BL140" t="e">
        <f t="shared" si="104"/>
        <v>#REF!</v>
      </c>
      <c r="BM140" t="e">
        <f t="shared" si="104"/>
        <v>#REF!</v>
      </c>
      <c r="BN140" t="e">
        <f t="shared" si="104"/>
        <v>#REF!</v>
      </c>
      <c r="BO140" t="e">
        <f t="shared" si="104"/>
        <v>#REF!</v>
      </c>
      <c r="BP140" t="e">
        <f t="shared" si="104"/>
        <v>#REF!</v>
      </c>
      <c r="BQ140" t="e">
        <f t="shared" si="104"/>
        <v>#REF!</v>
      </c>
      <c r="BR140" t="e">
        <f t="shared" si="104"/>
        <v>#REF!</v>
      </c>
      <c r="BS140" t="e">
        <f t="shared" si="104"/>
        <v>#REF!</v>
      </c>
      <c r="BT140" t="e">
        <f t="shared" si="104"/>
        <v>#REF!</v>
      </c>
      <c r="BU140" t="e">
        <f t="shared" si="104"/>
        <v>#REF!</v>
      </c>
      <c r="BV140" t="e">
        <f t="shared" si="100"/>
        <v>#REF!</v>
      </c>
      <c r="BW140" t="e">
        <f t="shared" si="100"/>
        <v>#REF!</v>
      </c>
      <c r="BX140" t="e">
        <f t="shared" si="100"/>
        <v>#REF!</v>
      </c>
      <c r="BY140" t="e">
        <f t="shared" si="100"/>
        <v>#REF!</v>
      </c>
      <c r="BZ140" t="e">
        <f t="shared" si="100"/>
        <v>#REF!</v>
      </c>
      <c r="CA140" t="e">
        <f t="shared" si="100"/>
        <v>#REF!</v>
      </c>
      <c r="CB140" t="e">
        <f t="shared" si="100"/>
        <v>#REF!</v>
      </c>
      <c r="CC140" t="e">
        <f t="shared" si="100"/>
        <v>#REF!</v>
      </c>
      <c r="CD140" t="e">
        <f t="shared" si="100"/>
        <v>#REF!</v>
      </c>
      <c r="CE140" t="e">
        <f t="shared" si="100"/>
        <v>#REF!</v>
      </c>
      <c r="CF140" t="e">
        <f t="shared" si="100"/>
        <v>#REF!</v>
      </c>
      <c r="CG140" t="e">
        <f t="shared" si="110"/>
        <v>#REF!</v>
      </c>
      <c r="CH140" t="e">
        <f t="shared" si="110"/>
        <v>#REF!</v>
      </c>
      <c r="CI140" t="e">
        <f t="shared" si="110"/>
        <v>#REF!</v>
      </c>
      <c r="CJ140" t="e">
        <f t="shared" si="110"/>
        <v>#REF!</v>
      </c>
      <c r="CK140" t="e">
        <f t="shared" si="110"/>
        <v>#REF!</v>
      </c>
      <c r="CL140" t="e">
        <f t="shared" si="110"/>
        <v>#REF!</v>
      </c>
      <c r="CM140" t="e">
        <f t="shared" si="110"/>
        <v>#REF!</v>
      </c>
      <c r="CN140" t="e">
        <f t="shared" si="110"/>
        <v>#REF!</v>
      </c>
      <c r="CO140" t="e">
        <f t="shared" si="110"/>
        <v>#REF!</v>
      </c>
      <c r="CP140" t="e">
        <f t="shared" si="109"/>
        <v>#REF!</v>
      </c>
      <c r="CQ140" t="e">
        <f t="shared" si="109"/>
        <v>#REF!</v>
      </c>
      <c r="CR140" t="e">
        <f t="shared" si="109"/>
        <v>#REF!</v>
      </c>
      <c r="CS140" t="e">
        <f t="shared" si="109"/>
        <v>#REF!</v>
      </c>
      <c r="CT140" t="e">
        <f t="shared" si="109"/>
        <v>#REF!</v>
      </c>
      <c r="CU140" t="e">
        <f t="shared" si="109"/>
        <v>#REF!</v>
      </c>
      <c r="CV140" t="e">
        <f t="shared" si="109"/>
        <v>#REF!</v>
      </c>
      <c r="CW140" t="e">
        <f t="shared" si="109"/>
        <v>#REF!</v>
      </c>
      <c r="CX140" t="e">
        <f t="shared" si="109"/>
        <v>#REF!</v>
      </c>
      <c r="CY140" t="e">
        <f t="shared" si="109"/>
        <v>#REF!</v>
      </c>
      <c r="CZ140" t="e">
        <f t="shared" si="98"/>
        <v>#REF!</v>
      </c>
      <c r="DA140" t="e">
        <f t="shared" si="98"/>
        <v>#REF!</v>
      </c>
      <c r="DB140" t="e">
        <f t="shared" si="98"/>
        <v>#REF!</v>
      </c>
      <c r="DC140" t="e">
        <f t="shared" si="98"/>
        <v>#REF!</v>
      </c>
      <c r="DD140" t="e">
        <f t="shared" si="98"/>
        <v>#REF!</v>
      </c>
      <c r="DE140" t="e">
        <f t="shared" si="98"/>
        <v>#REF!</v>
      </c>
      <c r="DF140" t="e">
        <f t="shared" si="98"/>
        <v>#REF!</v>
      </c>
      <c r="DG140" t="e">
        <f t="shared" si="98"/>
        <v>#REF!</v>
      </c>
      <c r="DH140" t="e">
        <f t="shared" si="98"/>
        <v>#REF!</v>
      </c>
      <c r="DI140" t="e">
        <f t="shared" si="98"/>
        <v>#REF!</v>
      </c>
      <c r="DJ140" t="e">
        <f t="shared" si="102"/>
        <v>#REF!</v>
      </c>
      <c r="DK140" t="e">
        <f t="shared" si="102"/>
        <v>#REF!</v>
      </c>
      <c r="DL140" t="e">
        <f t="shared" si="102"/>
        <v>#REF!</v>
      </c>
      <c r="DM140" t="e">
        <f t="shared" si="102"/>
        <v>#REF!</v>
      </c>
      <c r="DN140" t="e">
        <f t="shared" si="102"/>
        <v>#REF!</v>
      </c>
      <c r="DO140" t="e">
        <f t="shared" si="102"/>
        <v>#REF!</v>
      </c>
      <c r="DP140" t="e">
        <f t="shared" si="102"/>
        <v>#REF!</v>
      </c>
      <c r="DQ140" t="e">
        <f t="shared" si="108"/>
        <v>#REF!</v>
      </c>
      <c r="DR140" t="e">
        <f t="shared" si="108"/>
        <v>#REF!</v>
      </c>
      <c r="DS140" t="e">
        <f t="shared" si="108"/>
        <v>#REF!</v>
      </c>
      <c r="DT140" t="e">
        <f t="shared" si="108"/>
        <v>#REF!</v>
      </c>
      <c r="DU140" t="e">
        <f t="shared" si="108"/>
        <v>#REF!</v>
      </c>
      <c r="DV140" t="e">
        <f t="shared" si="108"/>
        <v>#REF!</v>
      </c>
      <c r="DW140" t="e">
        <f t="shared" si="108"/>
        <v>#REF!</v>
      </c>
      <c r="DX140" t="e">
        <f t="shared" si="108"/>
        <v>#REF!</v>
      </c>
      <c r="DY140" t="e">
        <f t="shared" si="108"/>
        <v>#REF!</v>
      </c>
      <c r="DZ140" t="e">
        <f t="shared" si="63"/>
        <v>#REF!</v>
      </c>
      <c r="EA140" t="e">
        <f t="shared" si="63"/>
        <v>#REF!</v>
      </c>
      <c r="EB140" t="e">
        <f t="shared" si="63"/>
        <v>#REF!</v>
      </c>
      <c r="EC140" t="e">
        <f t="shared" si="63"/>
        <v>#REF!</v>
      </c>
      <c r="ED140" t="e">
        <f t="shared" si="99"/>
        <v>#REF!</v>
      </c>
      <c r="EE140" t="e">
        <f t="shared" si="99"/>
        <v>#REF!</v>
      </c>
      <c r="EF140" t="e">
        <f t="shared" si="99"/>
        <v>#REF!</v>
      </c>
      <c r="EG140" t="e">
        <f t="shared" si="99"/>
        <v>#REF!</v>
      </c>
      <c r="EH140" t="e">
        <f t="shared" si="99"/>
        <v>#REF!</v>
      </c>
      <c r="EI140" t="e">
        <f t="shared" si="99"/>
        <v>#REF!</v>
      </c>
      <c r="EJ140" t="e">
        <f t="shared" si="99"/>
        <v>#REF!</v>
      </c>
      <c r="EK140" t="e">
        <f t="shared" si="99"/>
        <v>#REF!</v>
      </c>
      <c r="EL140" t="e">
        <f t="shared" si="99"/>
        <v>#REF!</v>
      </c>
      <c r="EM140" t="e">
        <f t="shared" si="99"/>
        <v>#REF!</v>
      </c>
    </row>
    <row r="141" spans="1:143" x14ac:dyDescent="0.4">
      <c r="A141" t="str">
        <f t="shared" si="103"/>
        <v>X</v>
      </c>
      <c r="B141">
        <v>138</v>
      </c>
      <c r="C141" t="e" cm="1">
        <f t="array" ref="C141">INDEX(auto_Series_Code,B141)</f>
        <v>#REF!</v>
      </c>
      <c r="D141" t="e">
        <f t="shared" si="107"/>
        <v>#REF!</v>
      </c>
      <c r="E141" t="e">
        <f t="shared" si="107"/>
        <v>#REF!</v>
      </c>
      <c r="F141" t="e">
        <f t="shared" si="107"/>
        <v>#REF!</v>
      </c>
      <c r="G141" t="e">
        <f t="shared" si="107"/>
        <v>#REF!</v>
      </c>
      <c r="H141" t="e">
        <f t="shared" si="107"/>
        <v>#REF!</v>
      </c>
      <c r="I141" t="e">
        <f t="shared" si="107"/>
        <v>#REF!</v>
      </c>
      <c r="J141" t="e">
        <f t="shared" si="107"/>
        <v>#REF!</v>
      </c>
      <c r="K141" t="e">
        <f t="shared" si="107"/>
        <v>#REF!</v>
      </c>
      <c r="L141" t="e">
        <f t="shared" si="107"/>
        <v>#REF!</v>
      </c>
      <c r="M141" t="e">
        <f t="shared" si="107"/>
        <v>#REF!</v>
      </c>
      <c r="N141" t="e">
        <f t="shared" si="107"/>
        <v>#REF!</v>
      </c>
      <c r="O141" t="e">
        <f t="shared" si="107"/>
        <v>#REF!</v>
      </c>
      <c r="P141" t="e">
        <f t="shared" si="107"/>
        <v>#REF!</v>
      </c>
      <c r="Q141" t="e">
        <f t="shared" si="107"/>
        <v>#REF!</v>
      </c>
      <c r="R141" t="e">
        <f t="shared" si="107"/>
        <v>#REF!</v>
      </c>
      <c r="S141" t="e">
        <f t="shared" si="107"/>
        <v>#REF!</v>
      </c>
      <c r="T141" t="e">
        <f t="shared" si="105"/>
        <v>#REF!</v>
      </c>
      <c r="U141" t="e">
        <f t="shared" si="105"/>
        <v>#REF!</v>
      </c>
      <c r="V141" t="e">
        <f t="shared" si="105"/>
        <v>#REF!</v>
      </c>
      <c r="W141" t="e">
        <f t="shared" si="105"/>
        <v>#REF!</v>
      </c>
      <c r="X141" t="e">
        <f t="shared" si="91"/>
        <v>#REF!</v>
      </c>
      <c r="Y141" t="e">
        <f t="shared" si="91"/>
        <v>#REF!</v>
      </c>
      <c r="Z141" t="e">
        <f t="shared" si="91"/>
        <v>#REF!</v>
      </c>
      <c r="AA141" t="e">
        <f t="shared" si="91"/>
        <v>#REF!</v>
      </c>
      <c r="AB141" t="e">
        <f t="shared" si="91"/>
        <v>#REF!</v>
      </c>
      <c r="AC141" t="e">
        <f t="shared" si="91"/>
        <v>#REF!</v>
      </c>
      <c r="AD141" t="e">
        <f t="shared" si="91"/>
        <v>#REF!</v>
      </c>
      <c r="AE141" t="e">
        <f t="shared" si="91"/>
        <v>#REF!</v>
      </c>
      <c r="AF141" t="e">
        <f t="shared" si="91"/>
        <v>#REF!</v>
      </c>
      <c r="AG141" t="e">
        <f t="shared" si="91"/>
        <v>#REF!</v>
      </c>
      <c r="AH141" t="e">
        <f t="shared" si="101"/>
        <v>#REF!</v>
      </c>
      <c r="AI141" t="e">
        <f t="shared" si="101"/>
        <v>#REF!</v>
      </c>
      <c r="AJ141" t="e">
        <f t="shared" si="101"/>
        <v>#REF!</v>
      </c>
      <c r="AK141" t="e">
        <f t="shared" si="101"/>
        <v>#REF!</v>
      </c>
      <c r="AL141" t="e">
        <f t="shared" si="101"/>
        <v>#REF!</v>
      </c>
      <c r="AM141" t="e">
        <f t="shared" si="101"/>
        <v>#REF!</v>
      </c>
      <c r="AN141" t="e">
        <f t="shared" si="101"/>
        <v>#REF!</v>
      </c>
      <c r="AO141" t="e">
        <f t="shared" si="101"/>
        <v>#REF!</v>
      </c>
      <c r="AP141" t="e">
        <f t="shared" si="101"/>
        <v>#REF!</v>
      </c>
      <c r="AQ141" t="e">
        <f t="shared" si="101"/>
        <v>#REF!</v>
      </c>
      <c r="AR141" t="e">
        <f t="shared" si="89"/>
        <v>#REF!</v>
      </c>
      <c r="AS141" t="e">
        <f t="shared" si="89"/>
        <v>#REF!</v>
      </c>
      <c r="AT141" t="e">
        <f t="shared" si="89"/>
        <v>#REF!</v>
      </c>
      <c r="AU141" t="e">
        <f t="shared" si="89"/>
        <v>#REF!</v>
      </c>
      <c r="AV141" t="e">
        <f t="shared" si="89"/>
        <v>#REF!</v>
      </c>
      <c r="AW141" t="e">
        <f t="shared" si="89"/>
        <v>#REF!</v>
      </c>
      <c r="AX141" t="e">
        <f t="shared" si="89"/>
        <v>#REF!</v>
      </c>
      <c r="AY141" t="e">
        <f t="shared" si="94"/>
        <v>#REF!</v>
      </c>
      <c r="AZ141" t="e">
        <f t="shared" si="94"/>
        <v>#REF!</v>
      </c>
      <c r="BA141" t="e">
        <f t="shared" si="94"/>
        <v>#REF!</v>
      </c>
      <c r="BB141" t="e">
        <f t="shared" si="94"/>
        <v>#REF!</v>
      </c>
      <c r="BC141" t="e">
        <f t="shared" si="94"/>
        <v>#REF!</v>
      </c>
      <c r="BD141" t="e">
        <f t="shared" si="94"/>
        <v>#REF!</v>
      </c>
      <c r="BE141" t="e">
        <f t="shared" si="94"/>
        <v>#REF!</v>
      </c>
      <c r="BF141" t="e">
        <f t="shared" si="94"/>
        <v>#REF!</v>
      </c>
      <c r="BG141" t="e">
        <f t="shared" si="94"/>
        <v>#REF!</v>
      </c>
      <c r="BH141" t="e">
        <f t="shared" si="94"/>
        <v>#REF!</v>
      </c>
      <c r="BI141" t="e">
        <f t="shared" si="94"/>
        <v>#REF!</v>
      </c>
      <c r="BJ141" t="e">
        <f t="shared" si="94"/>
        <v>#REF!</v>
      </c>
      <c r="BK141" t="e">
        <f t="shared" si="94"/>
        <v>#REF!</v>
      </c>
      <c r="BL141" t="e">
        <f t="shared" si="104"/>
        <v>#REF!</v>
      </c>
      <c r="BM141" t="e">
        <f t="shared" si="104"/>
        <v>#REF!</v>
      </c>
      <c r="BN141" t="e">
        <f t="shared" si="104"/>
        <v>#REF!</v>
      </c>
      <c r="BO141" t="e">
        <f t="shared" si="104"/>
        <v>#REF!</v>
      </c>
      <c r="BP141" t="e">
        <f t="shared" si="104"/>
        <v>#REF!</v>
      </c>
      <c r="BQ141" t="e">
        <f t="shared" si="104"/>
        <v>#REF!</v>
      </c>
      <c r="BR141" t="e">
        <f t="shared" si="104"/>
        <v>#REF!</v>
      </c>
      <c r="BS141" t="e">
        <f t="shared" si="104"/>
        <v>#REF!</v>
      </c>
      <c r="BT141" t="e">
        <f t="shared" si="104"/>
        <v>#REF!</v>
      </c>
      <c r="BU141" t="e">
        <f t="shared" si="104"/>
        <v>#REF!</v>
      </c>
      <c r="BV141" t="e">
        <f t="shared" si="100"/>
        <v>#REF!</v>
      </c>
      <c r="BW141" t="e">
        <f t="shared" si="100"/>
        <v>#REF!</v>
      </c>
      <c r="BX141" t="e">
        <f t="shared" si="100"/>
        <v>#REF!</v>
      </c>
      <c r="BY141" t="e">
        <f t="shared" si="100"/>
        <v>#REF!</v>
      </c>
      <c r="BZ141" t="e">
        <f t="shared" si="100"/>
        <v>#REF!</v>
      </c>
      <c r="CA141" t="e">
        <f t="shared" si="100"/>
        <v>#REF!</v>
      </c>
      <c r="CB141" t="e">
        <f t="shared" si="100"/>
        <v>#REF!</v>
      </c>
      <c r="CC141" t="e">
        <f t="shared" si="100"/>
        <v>#REF!</v>
      </c>
      <c r="CD141" t="e">
        <f t="shared" si="100"/>
        <v>#REF!</v>
      </c>
      <c r="CE141" t="e">
        <f t="shared" si="100"/>
        <v>#REF!</v>
      </c>
      <c r="CF141" t="e">
        <f t="shared" si="100"/>
        <v>#REF!</v>
      </c>
      <c r="CG141" t="e">
        <f t="shared" si="110"/>
        <v>#REF!</v>
      </c>
      <c r="CH141" t="e">
        <f t="shared" si="110"/>
        <v>#REF!</v>
      </c>
      <c r="CI141" t="e">
        <f t="shared" si="110"/>
        <v>#REF!</v>
      </c>
      <c r="CJ141" t="e">
        <f t="shared" si="110"/>
        <v>#REF!</v>
      </c>
      <c r="CK141" t="e">
        <f t="shared" si="110"/>
        <v>#REF!</v>
      </c>
      <c r="CL141" t="e">
        <f t="shared" si="110"/>
        <v>#REF!</v>
      </c>
      <c r="CM141" t="e">
        <f t="shared" si="110"/>
        <v>#REF!</v>
      </c>
      <c r="CN141" t="e">
        <f t="shared" si="110"/>
        <v>#REF!</v>
      </c>
      <c r="CO141" t="e">
        <f t="shared" si="110"/>
        <v>#REF!</v>
      </c>
      <c r="CP141" t="e">
        <f t="shared" si="109"/>
        <v>#REF!</v>
      </c>
      <c r="CQ141" t="e">
        <f t="shared" si="109"/>
        <v>#REF!</v>
      </c>
      <c r="CR141" t="e">
        <f t="shared" si="109"/>
        <v>#REF!</v>
      </c>
      <c r="CS141" t="e">
        <f t="shared" si="109"/>
        <v>#REF!</v>
      </c>
      <c r="CT141" t="e">
        <f t="shared" si="109"/>
        <v>#REF!</v>
      </c>
      <c r="CU141" t="e">
        <f t="shared" si="109"/>
        <v>#REF!</v>
      </c>
      <c r="CV141" t="e">
        <f t="shared" si="109"/>
        <v>#REF!</v>
      </c>
      <c r="CW141" t="e">
        <f t="shared" si="109"/>
        <v>#REF!</v>
      </c>
      <c r="CX141" t="e">
        <f t="shared" si="109"/>
        <v>#REF!</v>
      </c>
      <c r="CY141" t="e">
        <f t="shared" si="109"/>
        <v>#REF!</v>
      </c>
      <c r="CZ141" t="e">
        <f t="shared" si="98"/>
        <v>#REF!</v>
      </c>
      <c r="DA141" t="e">
        <f t="shared" si="98"/>
        <v>#REF!</v>
      </c>
      <c r="DB141" t="e">
        <f t="shared" si="98"/>
        <v>#REF!</v>
      </c>
      <c r="DC141" t="e">
        <f t="shared" si="98"/>
        <v>#REF!</v>
      </c>
      <c r="DD141" t="e">
        <f t="shared" si="98"/>
        <v>#REF!</v>
      </c>
      <c r="DE141" t="e">
        <f t="shared" si="98"/>
        <v>#REF!</v>
      </c>
      <c r="DF141" t="e">
        <f t="shared" si="98"/>
        <v>#REF!</v>
      </c>
      <c r="DG141" t="e">
        <f t="shared" si="98"/>
        <v>#REF!</v>
      </c>
      <c r="DH141" t="e">
        <f t="shared" si="98"/>
        <v>#REF!</v>
      </c>
      <c r="DI141" t="e">
        <f t="shared" si="98"/>
        <v>#REF!</v>
      </c>
      <c r="DJ141" t="e">
        <f t="shared" si="102"/>
        <v>#REF!</v>
      </c>
      <c r="DK141" t="e">
        <f t="shared" si="102"/>
        <v>#REF!</v>
      </c>
      <c r="DL141" t="e">
        <f t="shared" si="102"/>
        <v>#REF!</v>
      </c>
      <c r="DM141" t="e">
        <f t="shared" si="102"/>
        <v>#REF!</v>
      </c>
      <c r="DN141" t="e">
        <f t="shared" si="102"/>
        <v>#REF!</v>
      </c>
      <c r="DO141" t="e">
        <f t="shared" si="102"/>
        <v>#REF!</v>
      </c>
      <c r="DP141" t="e">
        <f t="shared" si="102"/>
        <v>#REF!</v>
      </c>
      <c r="DQ141" t="e">
        <f t="shared" si="108"/>
        <v>#REF!</v>
      </c>
      <c r="DR141" t="e">
        <f t="shared" si="108"/>
        <v>#REF!</v>
      </c>
      <c r="DS141" t="e">
        <f t="shared" si="108"/>
        <v>#REF!</v>
      </c>
      <c r="DT141" t="e">
        <f t="shared" si="108"/>
        <v>#REF!</v>
      </c>
      <c r="DU141" t="e">
        <f t="shared" si="108"/>
        <v>#REF!</v>
      </c>
      <c r="DV141" t="e">
        <f t="shared" si="108"/>
        <v>#REF!</v>
      </c>
      <c r="DW141" t="e">
        <f t="shared" si="108"/>
        <v>#REF!</v>
      </c>
      <c r="DX141" t="e">
        <f t="shared" si="108"/>
        <v>#REF!</v>
      </c>
      <c r="DY141" t="e">
        <f t="shared" si="108"/>
        <v>#REF!</v>
      </c>
      <c r="DZ141" t="e">
        <f t="shared" si="63"/>
        <v>#REF!</v>
      </c>
      <c r="EA141" t="e">
        <f t="shared" si="63"/>
        <v>#REF!</v>
      </c>
      <c r="EB141" t="e">
        <f t="shared" si="63"/>
        <v>#REF!</v>
      </c>
      <c r="EC141" t="e">
        <f t="shared" si="63"/>
        <v>#REF!</v>
      </c>
      <c r="ED141" t="e">
        <f t="shared" si="99"/>
        <v>#REF!</v>
      </c>
      <c r="EE141" t="e">
        <f t="shared" si="99"/>
        <v>#REF!</v>
      </c>
      <c r="EF141" t="e">
        <f t="shared" si="99"/>
        <v>#REF!</v>
      </c>
      <c r="EG141" t="e">
        <f t="shared" si="99"/>
        <v>#REF!</v>
      </c>
      <c r="EH141" t="e">
        <f t="shared" si="99"/>
        <v>#REF!</v>
      </c>
      <c r="EI141" t="e">
        <f t="shared" si="99"/>
        <v>#REF!</v>
      </c>
      <c r="EJ141" t="e">
        <f t="shared" si="99"/>
        <v>#REF!</v>
      </c>
      <c r="EK141" t="e">
        <f t="shared" si="99"/>
        <v>#REF!</v>
      </c>
      <c r="EL141" t="e">
        <f t="shared" si="99"/>
        <v>#REF!</v>
      </c>
      <c r="EM141" t="e">
        <f t="shared" si="99"/>
        <v>#REF!</v>
      </c>
    </row>
    <row r="142" spans="1:143" x14ac:dyDescent="0.4">
      <c r="A142" t="str">
        <f t="shared" si="103"/>
        <v>X</v>
      </c>
      <c r="B142">
        <v>139</v>
      </c>
      <c r="C142" t="e" cm="1">
        <f t="array" ref="C142">INDEX(auto_Series_Code,B142)</f>
        <v>#REF!</v>
      </c>
      <c r="D142" t="e">
        <f t="shared" si="107"/>
        <v>#REF!</v>
      </c>
      <c r="E142" t="e">
        <f t="shared" si="107"/>
        <v>#REF!</v>
      </c>
      <c r="F142" t="e">
        <f t="shared" si="107"/>
        <v>#REF!</v>
      </c>
      <c r="G142" t="e">
        <f t="shared" si="107"/>
        <v>#REF!</v>
      </c>
      <c r="H142" t="e">
        <f t="shared" si="107"/>
        <v>#REF!</v>
      </c>
      <c r="I142" t="e">
        <f t="shared" si="107"/>
        <v>#REF!</v>
      </c>
      <c r="J142" t="e">
        <f t="shared" si="107"/>
        <v>#REF!</v>
      </c>
      <c r="K142" t="e">
        <f t="shared" si="107"/>
        <v>#REF!</v>
      </c>
      <c r="L142" t="e">
        <f t="shared" si="107"/>
        <v>#REF!</v>
      </c>
      <c r="M142" t="e">
        <f t="shared" si="107"/>
        <v>#REF!</v>
      </c>
      <c r="N142" t="e">
        <f t="shared" si="107"/>
        <v>#REF!</v>
      </c>
      <c r="O142" t="e">
        <f t="shared" si="107"/>
        <v>#REF!</v>
      </c>
      <c r="P142" t="e">
        <f t="shared" si="107"/>
        <v>#REF!</v>
      </c>
      <c r="Q142" t="e">
        <f t="shared" si="107"/>
        <v>#REF!</v>
      </c>
      <c r="R142" t="e">
        <f t="shared" si="107"/>
        <v>#REF!</v>
      </c>
      <c r="S142" t="e">
        <f t="shared" si="107"/>
        <v>#REF!</v>
      </c>
      <c r="T142" t="e">
        <f t="shared" si="105"/>
        <v>#REF!</v>
      </c>
      <c r="U142" t="e">
        <f t="shared" si="105"/>
        <v>#REF!</v>
      </c>
      <c r="V142" t="e">
        <f t="shared" si="105"/>
        <v>#REF!</v>
      </c>
      <c r="W142" t="e">
        <f t="shared" si="105"/>
        <v>#REF!</v>
      </c>
      <c r="X142" t="e">
        <f t="shared" si="91"/>
        <v>#REF!</v>
      </c>
      <c r="Y142" t="e">
        <f t="shared" si="91"/>
        <v>#REF!</v>
      </c>
      <c r="Z142" t="e">
        <f t="shared" si="91"/>
        <v>#REF!</v>
      </c>
      <c r="AA142" t="e">
        <f t="shared" si="91"/>
        <v>#REF!</v>
      </c>
      <c r="AB142" t="e">
        <f t="shared" si="91"/>
        <v>#REF!</v>
      </c>
      <c r="AC142" t="e">
        <f t="shared" si="91"/>
        <v>#REF!</v>
      </c>
      <c r="AD142" t="e">
        <f t="shared" si="91"/>
        <v>#REF!</v>
      </c>
      <c r="AE142" t="e">
        <f t="shared" si="91"/>
        <v>#REF!</v>
      </c>
      <c r="AF142" t="e">
        <f t="shared" si="91"/>
        <v>#REF!</v>
      </c>
      <c r="AG142" t="e">
        <f t="shared" si="91"/>
        <v>#REF!</v>
      </c>
      <c r="AH142" t="e">
        <f t="shared" si="101"/>
        <v>#REF!</v>
      </c>
      <c r="AI142" t="e">
        <f t="shared" si="101"/>
        <v>#REF!</v>
      </c>
      <c r="AJ142" t="e">
        <f t="shared" si="101"/>
        <v>#REF!</v>
      </c>
      <c r="AK142" t="e">
        <f t="shared" si="101"/>
        <v>#REF!</v>
      </c>
      <c r="AL142" t="e">
        <f t="shared" si="101"/>
        <v>#REF!</v>
      </c>
      <c r="AM142" t="e">
        <f t="shared" si="101"/>
        <v>#REF!</v>
      </c>
      <c r="AN142" t="e">
        <f t="shared" si="101"/>
        <v>#REF!</v>
      </c>
      <c r="AO142" t="e">
        <f t="shared" si="101"/>
        <v>#REF!</v>
      </c>
      <c r="AP142" t="e">
        <f t="shared" si="101"/>
        <v>#REF!</v>
      </c>
      <c r="AQ142" t="e">
        <f t="shared" si="101"/>
        <v>#REF!</v>
      </c>
      <c r="AR142" t="e">
        <f t="shared" si="89"/>
        <v>#REF!</v>
      </c>
      <c r="AS142" t="e">
        <f t="shared" si="89"/>
        <v>#REF!</v>
      </c>
      <c r="AT142" t="e">
        <f t="shared" si="89"/>
        <v>#REF!</v>
      </c>
      <c r="AU142" t="e">
        <f t="shared" si="89"/>
        <v>#REF!</v>
      </c>
      <c r="AV142" t="e">
        <f t="shared" si="89"/>
        <v>#REF!</v>
      </c>
      <c r="AW142" t="e">
        <f t="shared" si="89"/>
        <v>#REF!</v>
      </c>
      <c r="AX142" t="e">
        <f t="shared" si="89"/>
        <v>#REF!</v>
      </c>
      <c r="AY142" t="e">
        <f t="shared" si="94"/>
        <v>#REF!</v>
      </c>
      <c r="AZ142" t="e">
        <f t="shared" si="94"/>
        <v>#REF!</v>
      </c>
      <c r="BA142" t="e">
        <f t="shared" si="94"/>
        <v>#REF!</v>
      </c>
      <c r="BB142" t="e">
        <f t="shared" si="94"/>
        <v>#REF!</v>
      </c>
      <c r="BC142" t="e">
        <f t="shared" si="94"/>
        <v>#REF!</v>
      </c>
      <c r="BD142" t="e">
        <f t="shared" si="94"/>
        <v>#REF!</v>
      </c>
      <c r="BE142" t="e">
        <f t="shared" si="94"/>
        <v>#REF!</v>
      </c>
      <c r="BF142" t="e">
        <f t="shared" si="94"/>
        <v>#REF!</v>
      </c>
      <c r="BG142" t="e">
        <f t="shared" si="94"/>
        <v>#REF!</v>
      </c>
      <c r="BH142" t="e">
        <f t="shared" si="94"/>
        <v>#REF!</v>
      </c>
      <c r="BI142" t="e">
        <f t="shared" si="94"/>
        <v>#REF!</v>
      </c>
      <c r="BJ142" t="e">
        <f t="shared" si="94"/>
        <v>#REF!</v>
      </c>
      <c r="BK142" t="e">
        <f t="shared" si="94"/>
        <v>#REF!</v>
      </c>
      <c r="BL142" t="e">
        <f t="shared" si="104"/>
        <v>#REF!</v>
      </c>
      <c r="BM142" t="e">
        <f t="shared" si="104"/>
        <v>#REF!</v>
      </c>
      <c r="BN142" t="e">
        <f t="shared" si="104"/>
        <v>#REF!</v>
      </c>
      <c r="BO142" t="e">
        <f t="shared" si="104"/>
        <v>#REF!</v>
      </c>
      <c r="BP142" t="e">
        <f t="shared" si="104"/>
        <v>#REF!</v>
      </c>
      <c r="BQ142" t="e">
        <f t="shared" si="104"/>
        <v>#REF!</v>
      </c>
      <c r="BR142" t="e">
        <f t="shared" si="104"/>
        <v>#REF!</v>
      </c>
      <c r="BS142" t="e">
        <f t="shared" si="104"/>
        <v>#REF!</v>
      </c>
      <c r="BT142" t="e">
        <f t="shared" si="104"/>
        <v>#REF!</v>
      </c>
      <c r="BU142" t="e">
        <f t="shared" si="104"/>
        <v>#REF!</v>
      </c>
      <c r="BV142" t="e">
        <f t="shared" si="100"/>
        <v>#REF!</v>
      </c>
      <c r="BW142" t="e">
        <f t="shared" si="100"/>
        <v>#REF!</v>
      </c>
      <c r="BX142" t="e">
        <f t="shared" si="100"/>
        <v>#REF!</v>
      </c>
      <c r="BY142" t="e">
        <f t="shared" si="100"/>
        <v>#REF!</v>
      </c>
      <c r="BZ142" t="e">
        <f t="shared" si="100"/>
        <v>#REF!</v>
      </c>
      <c r="CA142" t="e">
        <f t="shared" si="100"/>
        <v>#REF!</v>
      </c>
      <c r="CB142" t="e">
        <f t="shared" si="100"/>
        <v>#REF!</v>
      </c>
      <c r="CC142" t="e">
        <f t="shared" si="100"/>
        <v>#REF!</v>
      </c>
      <c r="CD142" t="e">
        <f t="shared" si="100"/>
        <v>#REF!</v>
      </c>
      <c r="CE142" t="e">
        <f t="shared" si="100"/>
        <v>#REF!</v>
      </c>
      <c r="CF142" t="e">
        <f t="shared" si="100"/>
        <v>#REF!</v>
      </c>
      <c r="CG142" t="e">
        <f t="shared" si="110"/>
        <v>#REF!</v>
      </c>
      <c r="CH142" t="e">
        <f t="shared" si="110"/>
        <v>#REF!</v>
      </c>
      <c r="CI142" t="e">
        <f t="shared" si="110"/>
        <v>#REF!</v>
      </c>
      <c r="CJ142" t="e">
        <f t="shared" si="110"/>
        <v>#REF!</v>
      </c>
      <c r="CK142" t="e">
        <f t="shared" si="110"/>
        <v>#REF!</v>
      </c>
      <c r="CL142" t="e">
        <f t="shared" si="110"/>
        <v>#REF!</v>
      </c>
      <c r="CM142" t="e">
        <f t="shared" si="110"/>
        <v>#REF!</v>
      </c>
      <c r="CN142" t="e">
        <f t="shared" si="110"/>
        <v>#REF!</v>
      </c>
      <c r="CO142" t="e">
        <f t="shared" si="110"/>
        <v>#REF!</v>
      </c>
      <c r="CP142" t="e">
        <f t="shared" si="109"/>
        <v>#REF!</v>
      </c>
      <c r="CQ142" t="e">
        <f t="shared" si="109"/>
        <v>#REF!</v>
      </c>
      <c r="CR142" t="e">
        <f t="shared" si="109"/>
        <v>#REF!</v>
      </c>
      <c r="CS142" t="e">
        <f t="shared" si="109"/>
        <v>#REF!</v>
      </c>
      <c r="CT142" t="e">
        <f t="shared" si="109"/>
        <v>#REF!</v>
      </c>
      <c r="CU142" t="e">
        <f t="shared" si="109"/>
        <v>#REF!</v>
      </c>
      <c r="CV142" t="e">
        <f t="shared" si="109"/>
        <v>#REF!</v>
      </c>
      <c r="CW142" t="e">
        <f t="shared" si="109"/>
        <v>#REF!</v>
      </c>
      <c r="CX142" t="e">
        <f t="shared" si="109"/>
        <v>#REF!</v>
      </c>
      <c r="CY142" t="e">
        <f t="shared" si="109"/>
        <v>#REF!</v>
      </c>
      <c r="CZ142" t="e">
        <f t="shared" si="98"/>
        <v>#REF!</v>
      </c>
      <c r="DA142" t="e">
        <f t="shared" si="98"/>
        <v>#REF!</v>
      </c>
      <c r="DB142" t="e">
        <f t="shared" si="98"/>
        <v>#REF!</v>
      </c>
      <c r="DC142" t="e">
        <f t="shared" si="98"/>
        <v>#REF!</v>
      </c>
      <c r="DD142" t="e">
        <f t="shared" si="98"/>
        <v>#REF!</v>
      </c>
      <c r="DE142" t="e">
        <f t="shared" si="98"/>
        <v>#REF!</v>
      </c>
      <c r="DF142" t="e">
        <f t="shared" si="98"/>
        <v>#REF!</v>
      </c>
      <c r="DG142" t="e">
        <f t="shared" si="98"/>
        <v>#REF!</v>
      </c>
      <c r="DH142" t="e">
        <f t="shared" si="98"/>
        <v>#REF!</v>
      </c>
      <c r="DI142" t="e">
        <f t="shared" si="98"/>
        <v>#REF!</v>
      </c>
      <c r="DJ142" t="e">
        <f t="shared" si="102"/>
        <v>#REF!</v>
      </c>
      <c r="DK142" t="e">
        <f t="shared" si="102"/>
        <v>#REF!</v>
      </c>
      <c r="DL142" t="e">
        <f t="shared" si="102"/>
        <v>#REF!</v>
      </c>
      <c r="DM142" t="e">
        <f t="shared" si="102"/>
        <v>#REF!</v>
      </c>
      <c r="DN142" t="e">
        <f t="shared" si="102"/>
        <v>#REF!</v>
      </c>
      <c r="DO142" t="e">
        <f t="shared" si="102"/>
        <v>#REF!</v>
      </c>
      <c r="DP142" t="e">
        <f t="shared" si="102"/>
        <v>#REF!</v>
      </c>
      <c r="DQ142" t="e">
        <f t="shared" si="108"/>
        <v>#REF!</v>
      </c>
      <c r="DR142" t="e">
        <f t="shared" si="108"/>
        <v>#REF!</v>
      </c>
      <c r="DS142" t="e">
        <f t="shared" si="108"/>
        <v>#REF!</v>
      </c>
      <c r="DT142" t="e">
        <f t="shared" si="108"/>
        <v>#REF!</v>
      </c>
      <c r="DU142" t="e">
        <f t="shared" si="108"/>
        <v>#REF!</v>
      </c>
      <c r="DV142" t="e">
        <f t="shared" si="108"/>
        <v>#REF!</v>
      </c>
      <c r="DW142" t="e">
        <f t="shared" si="108"/>
        <v>#REF!</v>
      </c>
      <c r="DX142" t="e">
        <f t="shared" si="108"/>
        <v>#REF!</v>
      </c>
      <c r="DY142" t="e">
        <f t="shared" si="108"/>
        <v>#REF!</v>
      </c>
      <c r="DZ142" t="e">
        <f t="shared" si="63"/>
        <v>#REF!</v>
      </c>
      <c r="EA142" t="e">
        <f t="shared" si="63"/>
        <v>#REF!</v>
      </c>
      <c r="EB142" t="e">
        <f t="shared" si="63"/>
        <v>#REF!</v>
      </c>
      <c r="EC142" t="e">
        <f t="shared" si="63"/>
        <v>#REF!</v>
      </c>
      <c r="ED142" t="e">
        <f t="shared" si="99"/>
        <v>#REF!</v>
      </c>
      <c r="EE142" t="e">
        <f t="shared" si="99"/>
        <v>#REF!</v>
      </c>
      <c r="EF142" t="e">
        <f t="shared" si="99"/>
        <v>#REF!</v>
      </c>
      <c r="EG142" t="e">
        <f t="shared" si="99"/>
        <v>#REF!</v>
      </c>
      <c r="EH142" t="e">
        <f t="shared" si="99"/>
        <v>#REF!</v>
      </c>
      <c r="EI142" t="e">
        <f t="shared" si="99"/>
        <v>#REF!</v>
      </c>
      <c r="EJ142" t="e">
        <f t="shared" si="99"/>
        <v>#REF!</v>
      </c>
      <c r="EK142" t="e">
        <f t="shared" si="99"/>
        <v>#REF!</v>
      </c>
      <c r="EL142" t="e">
        <f t="shared" si="99"/>
        <v>#REF!</v>
      </c>
      <c r="EM142" t="e">
        <f t="shared" si="99"/>
        <v>#REF!</v>
      </c>
    </row>
    <row r="143" spans="1:143" x14ac:dyDescent="0.4">
      <c r="A143" t="str">
        <f t="shared" si="103"/>
        <v>X</v>
      </c>
      <c r="B143">
        <v>140</v>
      </c>
      <c r="C143" t="e" cm="1">
        <f t="array" ref="C143">INDEX(auto_Series_Code,B143)</f>
        <v>#REF!</v>
      </c>
      <c r="D143" t="e">
        <f t="shared" si="107"/>
        <v>#REF!</v>
      </c>
      <c r="E143" t="e">
        <f t="shared" si="107"/>
        <v>#REF!</v>
      </c>
      <c r="F143" t="e">
        <f t="shared" si="107"/>
        <v>#REF!</v>
      </c>
      <c r="G143" t="e">
        <f t="shared" si="107"/>
        <v>#REF!</v>
      </c>
      <c r="H143" t="e">
        <f t="shared" si="107"/>
        <v>#REF!</v>
      </c>
      <c r="I143" t="e">
        <f t="shared" si="107"/>
        <v>#REF!</v>
      </c>
      <c r="J143" t="e">
        <f t="shared" si="107"/>
        <v>#REF!</v>
      </c>
      <c r="K143" t="e">
        <f t="shared" si="107"/>
        <v>#REF!</v>
      </c>
      <c r="L143" t="e">
        <f t="shared" si="107"/>
        <v>#REF!</v>
      </c>
      <c r="M143" t="e">
        <f t="shared" si="107"/>
        <v>#REF!</v>
      </c>
      <c r="N143" t="e">
        <f t="shared" si="107"/>
        <v>#REF!</v>
      </c>
      <c r="O143" t="e">
        <f t="shared" si="107"/>
        <v>#REF!</v>
      </c>
      <c r="P143" t="e">
        <f t="shared" si="107"/>
        <v>#REF!</v>
      </c>
      <c r="Q143" t="e">
        <f t="shared" si="107"/>
        <v>#REF!</v>
      </c>
      <c r="R143" t="e">
        <f t="shared" si="107"/>
        <v>#REF!</v>
      </c>
      <c r="S143" t="e">
        <f t="shared" si="107"/>
        <v>#REF!</v>
      </c>
      <c r="T143" t="e">
        <f t="shared" si="105"/>
        <v>#REF!</v>
      </c>
      <c r="U143" t="e">
        <f t="shared" si="105"/>
        <v>#REF!</v>
      </c>
      <c r="V143" t="e">
        <f t="shared" si="105"/>
        <v>#REF!</v>
      </c>
      <c r="W143" t="e">
        <f t="shared" si="105"/>
        <v>#REF!</v>
      </c>
      <c r="X143" t="e">
        <f t="shared" si="91"/>
        <v>#REF!</v>
      </c>
      <c r="Y143" t="e">
        <f t="shared" si="91"/>
        <v>#REF!</v>
      </c>
      <c r="Z143" t="e">
        <f t="shared" si="91"/>
        <v>#REF!</v>
      </c>
      <c r="AA143" t="e">
        <f t="shared" si="91"/>
        <v>#REF!</v>
      </c>
      <c r="AB143" t="e">
        <f t="shared" si="91"/>
        <v>#REF!</v>
      </c>
      <c r="AC143" t="e">
        <f t="shared" si="91"/>
        <v>#REF!</v>
      </c>
      <c r="AD143" t="e">
        <f t="shared" si="91"/>
        <v>#REF!</v>
      </c>
      <c r="AE143" t="e">
        <f t="shared" si="91"/>
        <v>#REF!</v>
      </c>
      <c r="AF143" t="e">
        <f t="shared" si="91"/>
        <v>#REF!</v>
      </c>
      <c r="AG143" t="e">
        <f t="shared" si="91"/>
        <v>#REF!</v>
      </c>
      <c r="AH143" t="e">
        <f t="shared" si="101"/>
        <v>#REF!</v>
      </c>
      <c r="AI143" t="e">
        <f t="shared" si="101"/>
        <v>#REF!</v>
      </c>
      <c r="AJ143" t="e">
        <f t="shared" si="101"/>
        <v>#REF!</v>
      </c>
      <c r="AK143" t="e">
        <f t="shared" si="101"/>
        <v>#REF!</v>
      </c>
      <c r="AL143" t="e">
        <f t="shared" si="101"/>
        <v>#REF!</v>
      </c>
      <c r="AM143" t="e">
        <f t="shared" si="101"/>
        <v>#REF!</v>
      </c>
      <c r="AN143" t="e">
        <f t="shared" si="101"/>
        <v>#REF!</v>
      </c>
      <c r="AO143" t="e">
        <f t="shared" si="101"/>
        <v>#REF!</v>
      </c>
      <c r="AP143" t="e">
        <f t="shared" si="101"/>
        <v>#REF!</v>
      </c>
      <c r="AQ143" t="e">
        <f t="shared" si="101"/>
        <v>#REF!</v>
      </c>
      <c r="AR143" t="e">
        <f t="shared" si="89"/>
        <v>#REF!</v>
      </c>
      <c r="AS143" t="e">
        <f t="shared" si="89"/>
        <v>#REF!</v>
      </c>
      <c r="AT143" t="e">
        <f t="shared" si="89"/>
        <v>#REF!</v>
      </c>
      <c r="AU143" t="e">
        <f t="shared" si="89"/>
        <v>#REF!</v>
      </c>
      <c r="AV143" t="e">
        <f t="shared" si="89"/>
        <v>#REF!</v>
      </c>
      <c r="AW143" t="e">
        <f t="shared" si="89"/>
        <v>#REF!</v>
      </c>
      <c r="AX143" t="e">
        <f t="shared" si="89"/>
        <v>#REF!</v>
      </c>
      <c r="AY143" t="e">
        <f t="shared" si="94"/>
        <v>#REF!</v>
      </c>
      <c r="AZ143" t="e">
        <f t="shared" si="94"/>
        <v>#REF!</v>
      </c>
      <c r="BA143" t="e">
        <f t="shared" si="94"/>
        <v>#REF!</v>
      </c>
      <c r="BB143" t="e">
        <f t="shared" si="94"/>
        <v>#REF!</v>
      </c>
      <c r="BC143" t="e">
        <f t="shared" si="94"/>
        <v>#REF!</v>
      </c>
      <c r="BD143" t="e">
        <f t="shared" si="94"/>
        <v>#REF!</v>
      </c>
      <c r="BE143" t="e">
        <f t="shared" si="94"/>
        <v>#REF!</v>
      </c>
      <c r="BF143" t="e">
        <f t="shared" si="94"/>
        <v>#REF!</v>
      </c>
      <c r="BG143" t="e">
        <f t="shared" si="94"/>
        <v>#REF!</v>
      </c>
      <c r="BH143" t="e">
        <f t="shared" si="94"/>
        <v>#REF!</v>
      </c>
      <c r="BI143" t="e">
        <f t="shared" si="94"/>
        <v>#REF!</v>
      </c>
      <c r="BJ143" t="e">
        <f t="shared" si="94"/>
        <v>#REF!</v>
      </c>
      <c r="BK143" t="e">
        <f t="shared" si="94"/>
        <v>#REF!</v>
      </c>
      <c r="BL143" t="e">
        <f t="shared" si="104"/>
        <v>#REF!</v>
      </c>
      <c r="BM143" t="e">
        <f t="shared" si="104"/>
        <v>#REF!</v>
      </c>
      <c r="BN143" t="e">
        <f t="shared" si="104"/>
        <v>#REF!</v>
      </c>
      <c r="BO143" t="e">
        <f t="shared" si="104"/>
        <v>#REF!</v>
      </c>
      <c r="BP143" t="e">
        <f t="shared" si="104"/>
        <v>#REF!</v>
      </c>
      <c r="BQ143" t="e">
        <f t="shared" si="104"/>
        <v>#REF!</v>
      </c>
      <c r="BR143" t="e">
        <f t="shared" si="104"/>
        <v>#REF!</v>
      </c>
      <c r="BS143" t="e">
        <f t="shared" si="104"/>
        <v>#REF!</v>
      </c>
      <c r="BT143" t="e">
        <f t="shared" si="104"/>
        <v>#REF!</v>
      </c>
      <c r="BU143" t="e">
        <f t="shared" si="104"/>
        <v>#REF!</v>
      </c>
      <c r="BV143" t="e">
        <f t="shared" si="100"/>
        <v>#REF!</v>
      </c>
      <c r="BW143" t="e">
        <f t="shared" si="100"/>
        <v>#REF!</v>
      </c>
      <c r="BX143" t="e">
        <f t="shared" si="100"/>
        <v>#REF!</v>
      </c>
      <c r="BY143" t="e">
        <f t="shared" si="100"/>
        <v>#REF!</v>
      </c>
      <c r="BZ143" t="e">
        <f t="shared" si="100"/>
        <v>#REF!</v>
      </c>
      <c r="CA143" t="e">
        <f t="shared" si="100"/>
        <v>#REF!</v>
      </c>
      <c r="CB143" t="e">
        <f t="shared" si="100"/>
        <v>#REF!</v>
      </c>
      <c r="CC143" t="e">
        <f t="shared" si="100"/>
        <v>#REF!</v>
      </c>
      <c r="CD143" t="e">
        <f t="shared" si="100"/>
        <v>#REF!</v>
      </c>
      <c r="CE143" t="e">
        <f t="shared" si="100"/>
        <v>#REF!</v>
      </c>
      <c r="CF143" t="e">
        <f t="shared" si="100"/>
        <v>#REF!</v>
      </c>
      <c r="CG143" t="e">
        <f t="shared" si="110"/>
        <v>#REF!</v>
      </c>
      <c r="CH143" t="e">
        <f t="shared" si="110"/>
        <v>#REF!</v>
      </c>
      <c r="CI143" t="e">
        <f t="shared" si="110"/>
        <v>#REF!</v>
      </c>
      <c r="CJ143" t="e">
        <f t="shared" si="110"/>
        <v>#REF!</v>
      </c>
      <c r="CK143" t="e">
        <f t="shared" si="110"/>
        <v>#REF!</v>
      </c>
      <c r="CL143" t="e">
        <f t="shared" si="110"/>
        <v>#REF!</v>
      </c>
      <c r="CM143" t="e">
        <f t="shared" si="110"/>
        <v>#REF!</v>
      </c>
      <c r="CN143" t="e">
        <f t="shared" si="110"/>
        <v>#REF!</v>
      </c>
      <c r="CO143" t="e">
        <f t="shared" si="110"/>
        <v>#REF!</v>
      </c>
      <c r="CP143" t="e">
        <f t="shared" si="109"/>
        <v>#REF!</v>
      </c>
      <c r="CQ143" t="e">
        <f t="shared" si="109"/>
        <v>#REF!</v>
      </c>
      <c r="CR143" t="e">
        <f t="shared" si="109"/>
        <v>#REF!</v>
      </c>
      <c r="CS143" t="e">
        <f t="shared" si="109"/>
        <v>#REF!</v>
      </c>
      <c r="CT143" t="e">
        <f t="shared" si="109"/>
        <v>#REF!</v>
      </c>
      <c r="CU143" t="e">
        <f t="shared" si="109"/>
        <v>#REF!</v>
      </c>
      <c r="CV143" t="e">
        <f t="shared" si="109"/>
        <v>#REF!</v>
      </c>
      <c r="CW143" t="e">
        <f t="shared" si="109"/>
        <v>#REF!</v>
      </c>
      <c r="CX143" t="e">
        <f t="shared" si="109"/>
        <v>#REF!</v>
      </c>
      <c r="CY143" t="e">
        <f t="shared" si="109"/>
        <v>#REF!</v>
      </c>
      <c r="CZ143" t="e">
        <f t="shared" si="98"/>
        <v>#REF!</v>
      </c>
      <c r="DA143" t="e">
        <f t="shared" si="98"/>
        <v>#REF!</v>
      </c>
      <c r="DB143" t="e">
        <f t="shared" si="98"/>
        <v>#REF!</v>
      </c>
      <c r="DC143" t="e">
        <f t="shared" si="98"/>
        <v>#REF!</v>
      </c>
      <c r="DD143" t="e">
        <f t="shared" si="98"/>
        <v>#REF!</v>
      </c>
      <c r="DE143" t="e">
        <f t="shared" si="98"/>
        <v>#REF!</v>
      </c>
      <c r="DF143" t="e">
        <f t="shared" si="98"/>
        <v>#REF!</v>
      </c>
      <c r="DG143" t="e">
        <f t="shared" si="98"/>
        <v>#REF!</v>
      </c>
      <c r="DH143" t="e">
        <f t="shared" si="98"/>
        <v>#REF!</v>
      </c>
      <c r="DI143" t="e">
        <f t="shared" si="98"/>
        <v>#REF!</v>
      </c>
      <c r="DJ143" t="e">
        <f t="shared" si="102"/>
        <v>#REF!</v>
      </c>
      <c r="DK143" t="e">
        <f t="shared" si="102"/>
        <v>#REF!</v>
      </c>
      <c r="DL143" t="e">
        <f t="shared" si="102"/>
        <v>#REF!</v>
      </c>
      <c r="DM143" t="e">
        <f t="shared" si="102"/>
        <v>#REF!</v>
      </c>
      <c r="DN143" t="e">
        <f t="shared" si="102"/>
        <v>#REF!</v>
      </c>
      <c r="DO143" t="e">
        <f t="shared" si="102"/>
        <v>#REF!</v>
      </c>
      <c r="DP143" t="e">
        <f t="shared" si="102"/>
        <v>#REF!</v>
      </c>
      <c r="DQ143" t="e">
        <f t="shared" si="108"/>
        <v>#REF!</v>
      </c>
      <c r="DR143" t="e">
        <f t="shared" si="108"/>
        <v>#REF!</v>
      </c>
      <c r="DS143" t="e">
        <f t="shared" si="108"/>
        <v>#REF!</v>
      </c>
      <c r="DT143" t="e">
        <f t="shared" si="108"/>
        <v>#REF!</v>
      </c>
      <c r="DU143" t="e">
        <f t="shared" si="108"/>
        <v>#REF!</v>
      </c>
      <c r="DV143" t="e">
        <f t="shared" si="108"/>
        <v>#REF!</v>
      </c>
      <c r="DW143" t="e">
        <f t="shared" si="108"/>
        <v>#REF!</v>
      </c>
      <c r="DX143" t="e">
        <f t="shared" si="108"/>
        <v>#REF!</v>
      </c>
      <c r="DY143" t="e">
        <f t="shared" si="108"/>
        <v>#REF!</v>
      </c>
      <c r="DZ143" t="e">
        <f t="shared" si="63"/>
        <v>#REF!</v>
      </c>
      <c r="EA143" t="e">
        <f t="shared" si="63"/>
        <v>#REF!</v>
      </c>
      <c r="EB143" t="e">
        <f t="shared" si="63"/>
        <v>#REF!</v>
      </c>
      <c r="EC143" t="e">
        <f t="shared" si="63"/>
        <v>#REF!</v>
      </c>
      <c r="ED143" t="e">
        <f t="shared" si="99"/>
        <v>#REF!</v>
      </c>
      <c r="EE143" t="e">
        <f t="shared" si="99"/>
        <v>#REF!</v>
      </c>
      <c r="EF143" t="e">
        <f t="shared" si="99"/>
        <v>#REF!</v>
      </c>
      <c r="EG143" t="e">
        <f t="shared" si="99"/>
        <v>#REF!</v>
      </c>
      <c r="EH143" t="e">
        <f t="shared" si="99"/>
        <v>#REF!</v>
      </c>
      <c r="EI143" t="e">
        <f t="shared" si="99"/>
        <v>#REF!</v>
      </c>
      <c r="EJ143" t="e">
        <f t="shared" si="99"/>
        <v>#REF!</v>
      </c>
      <c r="EK143" t="e">
        <f t="shared" si="99"/>
        <v>#REF!</v>
      </c>
      <c r="EL143" t="e">
        <f t="shared" si="99"/>
        <v>#REF!</v>
      </c>
      <c r="EM143" t="e">
        <f t="shared" si="99"/>
        <v>#REF!</v>
      </c>
    </row>
    <row r="144" spans="1:143" x14ac:dyDescent="0.4">
      <c r="A144" t="str">
        <f t="shared" si="103"/>
        <v>X</v>
      </c>
      <c r="B144">
        <v>141</v>
      </c>
      <c r="C144" t="e" cm="1">
        <f t="array" ref="C144">INDEX(auto_Series_Code,B144)</f>
        <v>#REF!</v>
      </c>
      <c r="D144" t="e">
        <f t="shared" si="107"/>
        <v>#REF!</v>
      </c>
      <c r="E144" t="e">
        <f t="shared" si="107"/>
        <v>#REF!</v>
      </c>
      <c r="F144" t="e">
        <f t="shared" si="107"/>
        <v>#REF!</v>
      </c>
      <c r="G144" t="e">
        <f t="shared" si="107"/>
        <v>#REF!</v>
      </c>
      <c r="H144" t="e">
        <f t="shared" si="107"/>
        <v>#REF!</v>
      </c>
      <c r="I144" t="e">
        <f t="shared" si="107"/>
        <v>#REF!</v>
      </c>
      <c r="J144" t="e">
        <f t="shared" si="107"/>
        <v>#REF!</v>
      </c>
      <c r="K144" t="e">
        <f t="shared" si="107"/>
        <v>#REF!</v>
      </c>
      <c r="L144" t="e">
        <f t="shared" si="107"/>
        <v>#REF!</v>
      </c>
      <c r="M144" t="e">
        <f t="shared" si="107"/>
        <v>#REF!</v>
      </c>
      <c r="N144" t="e">
        <f t="shared" si="107"/>
        <v>#REF!</v>
      </c>
      <c r="O144" t="e">
        <f t="shared" si="107"/>
        <v>#REF!</v>
      </c>
      <c r="P144" t="e">
        <f t="shared" si="107"/>
        <v>#REF!</v>
      </c>
      <c r="Q144" t="e">
        <f t="shared" si="107"/>
        <v>#REF!</v>
      </c>
      <c r="R144" t="e">
        <f t="shared" si="107"/>
        <v>#REF!</v>
      </c>
      <c r="S144" t="e">
        <f t="shared" si="107"/>
        <v>#REF!</v>
      </c>
      <c r="T144" t="e">
        <f t="shared" si="105"/>
        <v>#REF!</v>
      </c>
      <c r="U144" t="e">
        <f t="shared" si="105"/>
        <v>#REF!</v>
      </c>
      <c r="V144" t="e">
        <f t="shared" si="105"/>
        <v>#REF!</v>
      </c>
      <c r="W144" t="e">
        <f t="shared" si="105"/>
        <v>#REF!</v>
      </c>
      <c r="X144" t="e">
        <f t="shared" si="91"/>
        <v>#REF!</v>
      </c>
      <c r="Y144" t="e">
        <f t="shared" si="91"/>
        <v>#REF!</v>
      </c>
      <c r="Z144" t="e">
        <f t="shared" si="91"/>
        <v>#REF!</v>
      </c>
      <c r="AA144" t="e">
        <f t="shared" si="91"/>
        <v>#REF!</v>
      </c>
      <c r="AB144" t="e">
        <f t="shared" si="91"/>
        <v>#REF!</v>
      </c>
      <c r="AC144" t="e">
        <f t="shared" si="91"/>
        <v>#REF!</v>
      </c>
      <c r="AD144" t="e">
        <f t="shared" si="91"/>
        <v>#REF!</v>
      </c>
      <c r="AE144" t="e">
        <f t="shared" si="91"/>
        <v>#REF!</v>
      </c>
      <c r="AF144" t="e">
        <f t="shared" si="91"/>
        <v>#REF!</v>
      </c>
      <c r="AG144" t="e">
        <f t="shared" si="91"/>
        <v>#REF!</v>
      </c>
      <c r="AH144" t="e">
        <f t="shared" si="101"/>
        <v>#REF!</v>
      </c>
      <c r="AI144" t="e">
        <f t="shared" si="101"/>
        <v>#REF!</v>
      </c>
      <c r="AJ144" t="e">
        <f t="shared" si="101"/>
        <v>#REF!</v>
      </c>
      <c r="AK144" t="e">
        <f t="shared" si="101"/>
        <v>#REF!</v>
      </c>
      <c r="AL144" t="e">
        <f t="shared" si="101"/>
        <v>#REF!</v>
      </c>
      <c r="AM144" t="e">
        <f t="shared" si="101"/>
        <v>#REF!</v>
      </c>
      <c r="AN144" t="e">
        <f t="shared" si="101"/>
        <v>#REF!</v>
      </c>
      <c r="AO144" t="e">
        <f t="shared" si="101"/>
        <v>#REF!</v>
      </c>
      <c r="AP144" t="e">
        <f t="shared" si="101"/>
        <v>#REF!</v>
      </c>
      <c r="AQ144" t="e">
        <f t="shared" si="101"/>
        <v>#REF!</v>
      </c>
      <c r="AR144" t="e">
        <f t="shared" si="89"/>
        <v>#REF!</v>
      </c>
      <c r="AS144" t="e">
        <f t="shared" si="89"/>
        <v>#REF!</v>
      </c>
      <c r="AT144" t="e">
        <f t="shared" si="89"/>
        <v>#REF!</v>
      </c>
      <c r="AU144" t="e">
        <f t="shared" si="89"/>
        <v>#REF!</v>
      </c>
      <c r="AV144" t="e">
        <f t="shared" si="89"/>
        <v>#REF!</v>
      </c>
      <c r="AW144" t="e">
        <f t="shared" si="89"/>
        <v>#REF!</v>
      </c>
      <c r="AX144" t="e">
        <f t="shared" si="89"/>
        <v>#REF!</v>
      </c>
      <c r="AY144" t="e">
        <f t="shared" si="94"/>
        <v>#REF!</v>
      </c>
      <c r="AZ144" t="e">
        <f t="shared" si="94"/>
        <v>#REF!</v>
      </c>
      <c r="BA144" t="e">
        <f t="shared" si="94"/>
        <v>#REF!</v>
      </c>
      <c r="BB144" t="e">
        <f t="shared" si="94"/>
        <v>#REF!</v>
      </c>
      <c r="BC144" t="e">
        <f t="shared" si="94"/>
        <v>#REF!</v>
      </c>
      <c r="BD144" t="e">
        <f t="shared" si="94"/>
        <v>#REF!</v>
      </c>
      <c r="BE144" t="e">
        <f t="shared" si="94"/>
        <v>#REF!</v>
      </c>
      <c r="BF144" t="e">
        <f t="shared" si="94"/>
        <v>#REF!</v>
      </c>
      <c r="BG144" t="e">
        <f t="shared" si="94"/>
        <v>#REF!</v>
      </c>
      <c r="BH144" t="e">
        <f t="shared" si="94"/>
        <v>#REF!</v>
      </c>
      <c r="BI144" t="e">
        <f t="shared" si="94"/>
        <v>#REF!</v>
      </c>
      <c r="BJ144" t="e">
        <f t="shared" si="94"/>
        <v>#REF!</v>
      </c>
      <c r="BK144" t="e">
        <f t="shared" si="94"/>
        <v>#REF!</v>
      </c>
      <c r="BL144" t="e">
        <f t="shared" si="104"/>
        <v>#REF!</v>
      </c>
      <c r="BM144" t="e">
        <f t="shared" si="104"/>
        <v>#REF!</v>
      </c>
      <c r="BN144" t="e">
        <f t="shared" si="104"/>
        <v>#REF!</v>
      </c>
      <c r="BO144" t="e">
        <f t="shared" si="104"/>
        <v>#REF!</v>
      </c>
      <c r="BP144" t="e">
        <f t="shared" si="104"/>
        <v>#REF!</v>
      </c>
      <c r="BQ144" t="e">
        <f t="shared" si="104"/>
        <v>#REF!</v>
      </c>
      <c r="BR144" t="e">
        <f t="shared" si="104"/>
        <v>#REF!</v>
      </c>
      <c r="BS144" t="e">
        <f t="shared" si="104"/>
        <v>#REF!</v>
      </c>
      <c r="BT144" t="e">
        <f t="shared" si="104"/>
        <v>#REF!</v>
      </c>
      <c r="BU144" t="e">
        <f t="shared" si="104"/>
        <v>#REF!</v>
      </c>
      <c r="BV144" t="e">
        <f t="shared" si="100"/>
        <v>#REF!</v>
      </c>
      <c r="BW144" t="e">
        <f t="shared" si="100"/>
        <v>#REF!</v>
      </c>
      <c r="BX144" t="e">
        <f t="shared" si="100"/>
        <v>#REF!</v>
      </c>
      <c r="BY144" t="e">
        <f t="shared" si="100"/>
        <v>#REF!</v>
      </c>
      <c r="BZ144" t="e">
        <f t="shared" si="100"/>
        <v>#REF!</v>
      </c>
      <c r="CA144" t="e">
        <f t="shared" si="100"/>
        <v>#REF!</v>
      </c>
      <c r="CB144" t="e">
        <f t="shared" si="100"/>
        <v>#REF!</v>
      </c>
      <c r="CC144" t="e">
        <f t="shared" si="100"/>
        <v>#REF!</v>
      </c>
      <c r="CD144" t="e">
        <f t="shared" si="100"/>
        <v>#REF!</v>
      </c>
      <c r="CE144" t="e">
        <f t="shared" si="100"/>
        <v>#REF!</v>
      </c>
      <c r="CF144" t="e">
        <f t="shared" si="100"/>
        <v>#REF!</v>
      </c>
      <c r="CG144" t="e">
        <f t="shared" si="110"/>
        <v>#REF!</v>
      </c>
      <c r="CH144" t="e">
        <f t="shared" si="110"/>
        <v>#REF!</v>
      </c>
      <c r="CI144" t="e">
        <f t="shared" si="110"/>
        <v>#REF!</v>
      </c>
      <c r="CJ144" t="e">
        <f t="shared" si="110"/>
        <v>#REF!</v>
      </c>
      <c r="CK144" t="e">
        <f t="shared" si="110"/>
        <v>#REF!</v>
      </c>
      <c r="CL144" t="e">
        <f t="shared" si="110"/>
        <v>#REF!</v>
      </c>
      <c r="CM144" t="e">
        <f t="shared" si="110"/>
        <v>#REF!</v>
      </c>
      <c r="CN144" t="e">
        <f t="shared" si="110"/>
        <v>#REF!</v>
      </c>
      <c r="CO144" t="e">
        <f t="shared" si="110"/>
        <v>#REF!</v>
      </c>
      <c r="CP144" t="e">
        <f t="shared" si="109"/>
        <v>#REF!</v>
      </c>
      <c r="CQ144" t="e">
        <f t="shared" si="109"/>
        <v>#REF!</v>
      </c>
      <c r="CR144" t="e">
        <f t="shared" si="109"/>
        <v>#REF!</v>
      </c>
      <c r="CS144" t="e">
        <f t="shared" si="109"/>
        <v>#REF!</v>
      </c>
      <c r="CT144" t="e">
        <f t="shared" si="109"/>
        <v>#REF!</v>
      </c>
      <c r="CU144" t="e">
        <f t="shared" si="109"/>
        <v>#REF!</v>
      </c>
      <c r="CV144" t="e">
        <f t="shared" si="109"/>
        <v>#REF!</v>
      </c>
      <c r="CW144" t="e">
        <f t="shared" si="109"/>
        <v>#REF!</v>
      </c>
      <c r="CX144" t="e">
        <f t="shared" si="109"/>
        <v>#REF!</v>
      </c>
      <c r="CY144" t="e">
        <f t="shared" si="109"/>
        <v>#REF!</v>
      </c>
      <c r="CZ144" t="e">
        <f t="shared" si="98"/>
        <v>#REF!</v>
      </c>
      <c r="DA144" t="e">
        <f t="shared" si="98"/>
        <v>#REF!</v>
      </c>
      <c r="DB144" t="e">
        <f t="shared" si="98"/>
        <v>#REF!</v>
      </c>
      <c r="DC144" t="e">
        <f t="shared" si="98"/>
        <v>#REF!</v>
      </c>
      <c r="DD144" t="e">
        <f t="shared" si="98"/>
        <v>#REF!</v>
      </c>
      <c r="DE144" t="e">
        <f t="shared" si="98"/>
        <v>#REF!</v>
      </c>
      <c r="DF144" t="e">
        <f t="shared" si="98"/>
        <v>#REF!</v>
      </c>
      <c r="DG144" t="e">
        <f t="shared" si="98"/>
        <v>#REF!</v>
      </c>
      <c r="DH144" t="e">
        <f t="shared" si="98"/>
        <v>#REF!</v>
      </c>
      <c r="DI144" t="e">
        <f t="shared" si="98"/>
        <v>#REF!</v>
      </c>
      <c r="DJ144" t="e">
        <f t="shared" si="102"/>
        <v>#REF!</v>
      </c>
      <c r="DK144" t="e">
        <f t="shared" si="102"/>
        <v>#REF!</v>
      </c>
      <c r="DL144" t="e">
        <f t="shared" si="102"/>
        <v>#REF!</v>
      </c>
      <c r="DM144" t="e">
        <f t="shared" si="102"/>
        <v>#REF!</v>
      </c>
      <c r="DN144" t="e">
        <f t="shared" si="102"/>
        <v>#REF!</v>
      </c>
      <c r="DO144" t="e">
        <f t="shared" si="102"/>
        <v>#REF!</v>
      </c>
      <c r="DP144" t="e">
        <f t="shared" si="102"/>
        <v>#REF!</v>
      </c>
      <c r="DQ144" t="e">
        <f t="shared" si="108"/>
        <v>#REF!</v>
      </c>
      <c r="DR144" t="e">
        <f t="shared" si="108"/>
        <v>#REF!</v>
      </c>
      <c r="DS144" t="e">
        <f t="shared" si="108"/>
        <v>#REF!</v>
      </c>
      <c r="DT144" t="e">
        <f t="shared" si="108"/>
        <v>#REF!</v>
      </c>
      <c r="DU144" t="e">
        <f t="shared" si="108"/>
        <v>#REF!</v>
      </c>
      <c r="DV144" t="e">
        <f t="shared" si="108"/>
        <v>#REF!</v>
      </c>
      <c r="DW144" t="e">
        <f t="shared" si="108"/>
        <v>#REF!</v>
      </c>
      <c r="DX144" t="e">
        <f t="shared" si="108"/>
        <v>#REF!</v>
      </c>
      <c r="DY144" t="e">
        <f t="shared" si="108"/>
        <v>#REF!</v>
      </c>
      <c r="DZ144" t="e">
        <f t="shared" si="63"/>
        <v>#REF!</v>
      </c>
      <c r="EA144" t="e">
        <f t="shared" si="63"/>
        <v>#REF!</v>
      </c>
      <c r="EB144" t="e">
        <f t="shared" si="63"/>
        <v>#REF!</v>
      </c>
      <c r="EC144" t="e">
        <f t="shared" si="63"/>
        <v>#REF!</v>
      </c>
      <c r="ED144" t="e">
        <f t="shared" si="99"/>
        <v>#REF!</v>
      </c>
      <c r="EE144" t="e">
        <f t="shared" si="99"/>
        <v>#REF!</v>
      </c>
      <c r="EF144" t="e">
        <f t="shared" si="99"/>
        <v>#REF!</v>
      </c>
      <c r="EG144" t="e">
        <f t="shared" si="99"/>
        <v>#REF!</v>
      </c>
      <c r="EH144" t="e">
        <f t="shared" si="99"/>
        <v>#REF!</v>
      </c>
      <c r="EI144" t="e">
        <f t="shared" si="99"/>
        <v>#REF!</v>
      </c>
      <c r="EJ144" t="e">
        <f t="shared" si="99"/>
        <v>#REF!</v>
      </c>
      <c r="EK144" t="e">
        <f t="shared" si="99"/>
        <v>#REF!</v>
      </c>
      <c r="EL144" t="e">
        <f t="shared" si="99"/>
        <v>#REF!</v>
      </c>
      <c r="EM144" t="e">
        <f t="shared" si="99"/>
        <v>#REF!</v>
      </c>
    </row>
    <row r="145" spans="1:143" x14ac:dyDescent="0.4">
      <c r="A145" t="str">
        <f t="shared" si="103"/>
        <v>X</v>
      </c>
      <c r="B145">
        <v>142</v>
      </c>
      <c r="C145" t="e" cm="1">
        <f t="array" ref="C145">INDEX(auto_Series_Code,B145)</f>
        <v>#REF!</v>
      </c>
      <c r="D145" t="e">
        <f t="shared" si="107"/>
        <v>#REF!</v>
      </c>
      <c r="E145" t="e">
        <f t="shared" si="107"/>
        <v>#REF!</v>
      </c>
      <c r="F145" t="e">
        <f t="shared" si="107"/>
        <v>#REF!</v>
      </c>
      <c r="G145" t="e">
        <f t="shared" si="107"/>
        <v>#REF!</v>
      </c>
      <c r="H145" t="e">
        <f t="shared" si="107"/>
        <v>#REF!</v>
      </c>
      <c r="I145" t="e">
        <f t="shared" si="107"/>
        <v>#REF!</v>
      </c>
      <c r="J145" t="e">
        <f t="shared" si="107"/>
        <v>#REF!</v>
      </c>
      <c r="K145" t="e">
        <f t="shared" si="107"/>
        <v>#REF!</v>
      </c>
      <c r="L145" t="e">
        <f t="shared" si="107"/>
        <v>#REF!</v>
      </c>
      <c r="M145" t="e">
        <f t="shared" si="107"/>
        <v>#REF!</v>
      </c>
      <c r="N145" t="e">
        <f t="shared" si="107"/>
        <v>#REF!</v>
      </c>
      <c r="O145" t="e">
        <f t="shared" si="107"/>
        <v>#REF!</v>
      </c>
      <c r="P145" t="e">
        <f t="shared" si="107"/>
        <v>#REF!</v>
      </c>
      <c r="Q145" t="e">
        <f t="shared" si="107"/>
        <v>#REF!</v>
      </c>
      <c r="R145" t="e">
        <f t="shared" si="107"/>
        <v>#REF!</v>
      </c>
      <c r="S145" t="e">
        <f t="shared" si="107"/>
        <v>#REF!</v>
      </c>
      <c r="T145" t="e">
        <f t="shared" si="105"/>
        <v>#REF!</v>
      </c>
      <c r="U145" t="e">
        <f t="shared" si="105"/>
        <v>#REF!</v>
      </c>
      <c r="V145" t="e">
        <f t="shared" si="105"/>
        <v>#REF!</v>
      </c>
      <c r="W145" t="e">
        <f t="shared" si="105"/>
        <v>#REF!</v>
      </c>
      <c r="X145" t="e">
        <f t="shared" si="91"/>
        <v>#REF!</v>
      </c>
      <c r="Y145" t="e">
        <f t="shared" si="91"/>
        <v>#REF!</v>
      </c>
      <c r="Z145" t="e">
        <f t="shared" si="91"/>
        <v>#REF!</v>
      </c>
      <c r="AA145" t="e">
        <f t="shared" si="91"/>
        <v>#REF!</v>
      </c>
      <c r="AB145" t="e">
        <f t="shared" si="91"/>
        <v>#REF!</v>
      </c>
      <c r="AC145" t="e">
        <f t="shared" si="91"/>
        <v>#REF!</v>
      </c>
      <c r="AD145" t="e">
        <f t="shared" si="91"/>
        <v>#REF!</v>
      </c>
      <c r="AE145" t="e">
        <f t="shared" si="91"/>
        <v>#REF!</v>
      </c>
      <c r="AF145" t="e">
        <f t="shared" si="91"/>
        <v>#REF!</v>
      </c>
      <c r="AG145" t="e">
        <f t="shared" si="91"/>
        <v>#REF!</v>
      </c>
      <c r="AH145" t="e">
        <f t="shared" si="101"/>
        <v>#REF!</v>
      </c>
      <c r="AI145" t="e">
        <f t="shared" si="101"/>
        <v>#REF!</v>
      </c>
      <c r="AJ145" t="e">
        <f t="shared" si="101"/>
        <v>#REF!</v>
      </c>
      <c r="AK145" t="e">
        <f t="shared" si="101"/>
        <v>#REF!</v>
      </c>
      <c r="AL145" t="e">
        <f t="shared" si="101"/>
        <v>#REF!</v>
      </c>
      <c r="AM145" t="e">
        <f t="shared" si="101"/>
        <v>#REF!</v>
      </c>
      <c r="AN145" t="e">
        <f t="shared" si="101"/>
        <v>#REF!</v>
      </c>
      <c r="AO145" t="e">
        <f t="shared" si="101"/>
        <v>#REF!</v>
      </c>
      <c r="AP145" t="e">
        <f t="shared" si="101"/>
        <v>#REF!</v>
      </c>
      <c r="AQ145" t="e">
        <f t="shared" si="101"/>
        <v>#REF!</v>
      </c>
      <c r="AR145" t="e">
        <f t="shared" si="89"/>
        <v>#REF!</v>
      </c>
      <c r="AS145" t="e">
        <f t="shared" si="89"/>
        <v>#REF!</v>
      </c>
      <c r="AT145" t="e">
        <f t="shared" ref="AT145:BA149" si="111">MATCH(CONCATENATE(AT$3,"_",$C145),auto_DataFlat_UID,0)</f>
        <v>#REF!</v>
      </c>
      <c r="AU145" t="e">
        <f t="shared" si="111"/>
        <v>#REF!</v>
      </c>
      <c r="AV145" t="e">
        <f t="shared" si="111"/>
        <v>#REF!</v>
      </c>
      <c r="AW145" t="e">
        <f t="shared" si="111"/>
        <v>#REF!</v>
      </c>
      <c r="AX145" t="e">
        <f t="shared" si="111"/>
        <v>#REF!</v>
      </c>
      <c r="AY145" t="e">
        <f t="shared" si="111"/>
        <v>#REF!</v>
      </c>
      <c r="AZ145" t="e">
        <f t="shared" si="111"/>
        <v>#REF!</v>
      </c>
      <c r="BA145" t="e">
        <f t="shared" si="111"/>
        <v>#REF!</v>
      </c>
      <c r="BB145" t="e">
        <f t="shared" si="94"/>
        <v>#REF!</v>
      </c>
      <c r="BC145" t="e">
        <f t="shared" si="94"/>
        <v>#REF!</v>
      </c>
      <c r="BD145" t="e">
        <f t="shared" si="94"/>
        <v>#REF!</v>
      </c>
      <c r="BE145" t="e">
        <f t="shared" si="94"/>
        <v>#REF!</v>
      </c>
      <c r="BF145" t="e">
        <f t="shared" si="94"/>
        <v>#REF!</v>
      </c>
      <c r="BG145" t="e">
        <f t="shared" si="94"/>
        <v>#REF!</v>
      </c>
      <c r="BH145" t="e">
        <f t="shared" si="94"/>
        <v>#REF!</v>
      </c>
      <c r="BI145" t="e">
        <f t="shared" si="94"/>
        <v>#REF!</v>
      </c>
      <c r="BJ145" t="e">
        <f t="shared" si="94"/>
        <v>#REF!</v>
      </c>
      <c r="BK145" t="e">
        <f t="shared" si="94"/>
        <v>#REF!</v>
      </c>
      <c r="BL145" t="e">
        <f t="shared" si="104"/>
        <v>#REF!</v>
      </c>
      <c r="BM145" t="e">
        <f t="shared" si="104"/>
        <v>#REF!</v>
      </c>
      <c r="BN145" t="e">
        <f t="shared" si="104"/>
        <v>#REF!</v>
      </c>
      <c r="BO145" t="e">
        <f t="shared" si="104"/>
        <v>#REF!</v>
      </c>
      <c r="BP145" t="e">
        <f t="shared" si="104"/>
        <v>#REF!</v>
      </c>
      <c r="BQ145" t="e">
        <f t="shared" si="104"/>
        <v>#REF!</v>
      </c>
      <c r="BR145" t="e">
        <f t="shared" si="104"/>
        <v>#REF!</v>
      </c>
      <c r="BS145" t="e">
        <f t="shared" si="104"/>
        <v>#REF!</v>
      </c>
      <c r="BT145" t="e">
        <f t="shared" si="104"/>
        <v>#REF!</v>
      </c>
      <c r="BU145" t="e">
        <f t="shared" si="104"/>
        <v>#REF!</v>
      </c>
      <c r="BV145" t="e">
        <f t="shared" si="100"/>
        <v>#REF!</v>
      </c>
      <c r="BW145" t="e">
        <f t="shared" si="100"/>
        <v>#REF!</v>
      </c>
      <c r="BX145" t="e">
        <f t="shared" si="100"/>
        <v>#REF!</v>
      </c>
      <c r="BY145" t="e">
        <f t="shared" si="100"/>
        <v>#REF!</v>
      </c>
      <c r="BZ145" t="e">
        <f t="shared" si="100"/>
        <v>#REF!</v>
      </c>
      <c r="CA145" t="e">
        <f t="shared" si="100"/>
        <v>#REF!</v>
      </c>
      <c r="CB145" t="e">
        <f t="shared" si="100"/>
        <v>#REF!</v>
      </c>
      <c r="CC145" t="e">
        <f t="shared" si="100"/>
        <v>#REF!</v>
      </c>
      <c r="CD145" t="e">
        <f t="shared" si="100"/>
        <v>#REF!</v>
      </c>
      <c r="CE145" t="e">
        <f t="shared" si="100"/>
        <v>#REF!</v>
      </c>
      <c r="CF145" t="e">
        <f t="shared" si="100"/>
        <v>#REF!</v>
      </c>
      <c r="CG145" t="e">
        <f t="shared" si="110"/>
        <v>#REF!</v>
      </c>
      <c r="CH145" t="e">
        <f t="shared" si="110"/>
        <v>#REF!</v>
      </c>
      <c r="CI145" t="e">
        <f t="shared" si="110"/>
        <v>#REF!</v>
      </c>
      <c r="CJ145" t="e">
        <f t="shared" si="110"/>
        <v>#REF!</v>
      </c>
      <c r="CK145" t="e">
        <f t="shared" si="110"/>
        <v>#REF!</v>
      </c>
      <c r="CL145" t="e">
        <f t="shared" si="110"/>
        <v>#REF!</v>
      </c>
      <c r="CM145" t="e">
        <f t="shared" si="110"/>
        <v>#REF!</v>
      </c>
      <c r="CN145" t="e">
        <f t="shared" si="110"/>
        <v>#REF!</v>
      </c>
      <c r="CO145" t="e">
        <f t="shared" si="110"/>
        <v>#REF!</v>
      </c>
      <c r="CP145" t="e">
        <f t="shared" si="109"/>
        <v>#REF!</v>
      </c>
      <c r="CQ145" t="e">
        <f t="shared" si="109"/>
        <v>#REF!</v>
      </c>
      <c r="CR145" t="e">
        <f t="shared" si="109"/>
        <v>#REF!</v>
      </c>
      <c r="CS145" t="e">
        <f t="shared" si="109"/>
        <v>#REF!</v>
      </c>
      <c r="CT145" t="e">
        <f t="shared" si="109"/>
        <v>#REF!</v>
      </c>
      <c r="CU145" t="e">
        <f t="shared" si="109"/>
        <v>#REF!</v>
      </c>
      <c r="CV145" t="e">
        <f t="shared" si="109"/>
        <v>#REF!</v>
      </c>
      <c r="CW145" t="e">
        <f t="shared" si="109"/>
        <v>#REF!</v>
      </c>
      <c r="CX145" t="e">
        <f t="shared" si="109"/>
        <v>#REF!</v>
      </c>
      <c r="CY145" t="e">
        <f t="shared" si="109"/>
        <v>#REF!</v>
      </c>
      <c r="CZ145" t="e">
        <f t="shared" si="98"/>
        <v>#REF!</v>
      </c>
      <c r="DA145" t="e">
        <f t="shared" si="98"/>
        <v>#REF!</v>
      </c>
      <c r="DB145" t="e">
        <f t="shared" si="98"/>
        <v>#REF!</v>
      </c>
      <c r="DC145" t="e">
        <f t="shared" si="98"/>
        <v>#REF!</v>
      </c>
      <c r="DD145" t="e">
        <f t="shared" si="98"/>
        <v>#REF!</v>
      </c>
      <c r="DE145" t="e">
        <f t="shared" si="98"/>
        <v>#REF!</v>
      </c>
      <c r="DF145" t="e">
        <f t="shared" si="98"/>
        <v>#REF!</v>
      </c>
      <c r="DG145" t="e">
        <f t="shared" si="98"/>
        <v>#REF!</v>
      </c>
      <c r="DH145" t="e">
        <f t="shared" si="98"/>
        <v>#REF!</v>
      </c>
      <c r="DI145" t="e">
        <f t="shared" si="98"/>
        <v>#REF!</v>
      </c>
      <c r="DJ145" t="e">
        <f t="shared" si="102"/>
        <v>#REF!</v>
      </c>
      <c r="DK145" t="e">
        <f t="shared" si="102"/>
        <v>#REF!</v>
      </c>
      <c r="DL145" t="e">
        <f t="shared" si="102"/>
        <v>#REF!</v>
      </c>
      <c r="DM145" t="e">
        <f t="shared" si="102"/>
        <v>#REF!</v>
      </c>
      <c r="DN145" t="e">
        <f t="shared" si="102"/>
        <v>#REF!</v>
      </c>
      <c r="DO145" t="e">
        <f t="shared" si="102"/>
        <v>#REF!</v>
      </c>
      <c r="DP145" t="e">
        <f t="shared" si="102"/>
        <v>#REF!</v>
      </c>
      <c r="DQ145" t="e">
        <f t="shared" si="108"/>
        <v>#REF!</v>
      </c>
      <c r="DR145" t="e">
        <f t="shared" si="108"/>
        <v>#REF!</v>
      </c>
      <c r="DS145" t="e">
        <f t="shared" si="108"/>
        <v>#REF!</v>
      </c>
      <c r="DT145" t="e">
        <f t="shared" si="108"/>
        <v>#REF!</v>
      </c>
      <c r="DU145" t="e">
        <f t="shared" si="108"/>
        <v>#REF!</v>
      </c>
      <c r="DV145" t="e">
        <f t="shared" si="108"/>
        <v>#REF!</v>
      </c>
      <c r="DW145" t="e">
        <f t="shared" si="108"/>
        <v>#REF!</v>
      </c>
      <c r="DX145" t="e">
        <f t="shared" si="108"/>
        <v>#REF!</v>
      </c>
      <c r="DY145" t="e">
        <f t="shared" si="108"/>
        <v>#REF!</v>
      </c>
      <c r="DZ145" t="e">
        <f t="shared" si="63"/>
        <v>#REF!</v>
      </c>
      <c r="EA145" t="e">
        <f t="shared" si="63"/>
        <v>#REF!</v>
      </c>
      <c r="EB145" t="e">
        <f t="shared" si="63"/>
        <v>#REF!</v>
      </c>
      <c r="EC145" t="e">
        <f t="shared" ref="EC145:EM175" si="112">MATCH(CONCATENATE(EC$3,"_",$C145),auto_DataFlat_UID,0)</f>
        <v>#REF!</v>
      </c>
      <c r="ED145" t="e">
        <f t="shared" si="112"/>
        <v>#REF!</v>
      </c>
      <c r="EE145" t="e">
        <f t="shared" si="112"/>
        <v>#REF!</v>
      </c>
      <c r="EF145" t="e">
        <f t="shared" si="112"/>
        <v>#REF!</v>
      </c>
      <c r="EG145" t="e">
        <f t="shared" si="112"/>
        <v>#REF!</v>
      </c>
      <c r="EH145" t="e">
        <f t="shared" si="112"/>
        <v>#REF!</v>
      </c>
      <c r="EI145" t="e">
        <f t="shared" si="112"/>
        <v>#REF!</v>
      </c>
      <c r="EJ145" t="e">
        <f t="shared" si="112"/>
        <v>#REF!</v>
      </c>
      <c r="EK145" t="e">
        <f t="shared" si="112"/>
        <v>#REF!</v>
      </c>
      <c r="EL145" t="e">
        <f t="shared" si="112"/>
        <v>#REF!</v>
      </c>
      <c r="EM145" t="e">
        <f t="shared" si="112"/>
        <v>#REF!</v>
      </c>
    </row>
    <row r="146" spans="1:143" x14ac:dyDescent="0.4">
      <c r="A146" t="str">
        <f t="shared" si="103"/>
        <v>X</v>
      </c>
      <c r="B146">
        <v>143</v>
      </c>
      <c r="C146" t="e" cm="1">
        <f t="array" ref="C146">INDEX(auto_Series_Code,B146)</f>
        <v>#REF!</v>
      </c>
      <c r="D146" t="e">
        <f t="shared" si="107"/>
        <v>#REF!</v>
      </c>
      <c r="E146" t="e">
        <f t="shared" si="107"/>
        <v>#REF!</v>
      </c>
      <c r="F146" t="e">
        <f t="shared" si="107"/>
        <v>#REF!</v>
      </c>
      <c r="G146" t="e">
        <f t="shared" si="107"/>
        <v>#REF!</v>
      </c>
      <c r="H146" t="e">
        <f t="shared" si="107"/>
        <v>#REF!</v>
      </c>
      <c r="I146" t="e">
        <f t="shared" si="107"/>
        <v>#REF!</v>
      </c>
      <c r="J146" t="e">
        <f t="shared" si="107"/>
        <v>#REF!</v>
      </c>
      <c r="K146" t="e">
        <f t="shared" si="107"/>
        <v>#REF!</v>
      </c>
      <c r="L146" t="e">
        <f t="shared" si="107"/>
        <v>#REF!</v>
      </c>
      <c r="M146" t="e">
        <f t="shared" si="107"/>
        <v>#REF!</v>
      </c>
      <c r="N146" t="e">
        <f t="shared" si="107"/>
        <v>#REF!</v>
      </c>
      <c r="O146" t="e">
        <f t="shared" si="107"/>
        <v>#REF!</v>
      </c>
      <c r="P146" t="e">
        <f t="shared" si="107"/>
        <v>#REF!</v>
      </c>
      <c r="Q146" t="e">
        <f t="shared" si="107"/>
        <v>#REF!</v>
      </c>
      <c r="R146" t="e">
        <f t="shared" si="107"/>
        <v>#REF!</v>
      </c>
      <c r="S146" t="e">
        <f t="shared" si="107"/>
        <v>#REF!</v>
      </c>
      <c r="T146" t="e">
        <f t="shared" si="105"/>
        <v>#REF!</v>
      </c>
      <c r="U146" t="e">
        <f t="shared" si="105"/>
        <v>#REF!</v>
      </c>
      <c r="V146" t="e">
        <f t="shared" si="105"/>
        <v>#REF!</v>
      </c>
      <c r="W146" t="e">
        <f t="shared" si="105"/>
        <v>#REF!</v>
      </c>
      <c r="X146" t="e">
        <f t="shared" si="91"/>
        <v>#REF!</v>
      </c>
      <c r="Y146" t="e">
        <f t="shared" si="91"/>
        <v>#REF!</v>
      </c>
      <c r="Z146" t="e">
        <f t="shared" si="91"/>
        <v>#REF!</v>
      </c>
      <c r="AA146" t="e">
        <f t="shared" si="91"/>
        <v>#REF!</v>
      </c>
      <c r="AB146" t="e">
        <f t="shared" si="91"/>
        <v>#REF!</v>
      </c>
      <c r="AC146" t="e">
        <f t="shared" si="91"/>
        <v>#REF!</v>
      </c>
      <c r="AD146" t="e">
        <f t="shared" si="91"/>
        <v>#REF!</v>
      </c>
      <c r="AE146" t="e">
        <f t="shared" si="91"/>
        <v>#REF!</v>
      </c>
      <c r="AF146" t="e">
        <f t="shared" si="91"/>
        <v>#REF!</v>
      </c>
      <c r="AG146" t="e">
        <f t="shared" si="91"/>
        <v>#REF!</v>
      </c>
      <c r="AH146" t="e">
        <f t="shared" si="101"/>
        <v>#REF!</v>
      </c>
      <c r="AI146" t="e">
        <f t="shared" si="101"/>
        <v>#REF!</v>
      </c>
      <c r="AJ146" t="e">
        <f t="shared" si="101"/>
        <v>#REF!</v>
      </c>
      <c r="AK146" t="e">
        <f t="shared" si="101"/>
        <v>#REF!</v>
      </c>
      <c r="AL146" t="e">
        <f t="shared" si="101"/>
        <v>#REF!</v>
      </c>
      <c r="AM146" t="e">
        <f t="shared" si="101"/>
        <v>#REF!</v>
      </c>
      <c r="AN146" t="e">
        <f t="shared" si="101"/>
        <v>#REF!</v>
      </c>
      <c r="AO146" t="e">
        <f t="shared" si="101"/>
        <v>#REF!</v>
      </c>
      <c r="AP146" t="e">
        <f t="shared" si="101"/>
        <v>#REF!</v>
      </c>
      <c r="AQ146" t="e">
        <f t="shared" si="101"/>
        <v>#REF!</v>
      </c>
      <c r="AR146" t="e">
        <f t="shared" si="101"/>
        <v>#REF!</v>
      </c>
      <c r="AS146" t="e">
        <f t="shared" si="101"/>
        <v>#REF!</v>
      </c>
      <c r="AT146" t="e">
        <f t="shared" si="101"/>
        <v>#REF!</v>
      </c>
      <c r="AU146" t="e">
        <f t="shared" si="101"/>
        <v>#REF!</v>
      </c>
      <c r="AV146" t="e">
        <f t="shared" si="101"/>
        <v>#REF!</v>
      </c>
      <c r="AW146" t="e">
        <f t="shared" si="111"/>
        <v>#REF!</v>
      </c>
      <c r="AX146" t="e">
        <f t="shared" si="111"/>
        <v>#REF!</v>
      </c>
      <c r="AY146" t="e">
        <f t="shared" si="111"/>
        <v>#REF!</v>
      </c>
      <c r="AZ146" t="e">
        <f t="shared" si="111"/>
        <v>#REF!</v>
      </c>
      <c r="BA146" t="e">
        <f t="shared" si="111"/>
        <v>#REF!</v>
      </c>
      <c r="BB146" t="e">
        <f t="shared" si="94"/>
        <v>#REF!</v>
      </c>
      <c r="BC146" t="e">
        <f t="shared" si="94"/>
        <v>#REF!</v>
      </c>
      <c r="BD146" t="e">
        <f t="shared" si="94"/>
        <v>#REF!</v>
      </c>
      <c r="BE146" t="e">
        <f t="shared" si="94"/>
        <v>#REF!</v>
      </c>
      <c r="BF146" t="e">
        <f t="shared" si="94"/>
        <v>#REF!</v>
      </c>
      <c r="BG146" t="e">
        <f t="shared" si="94"/>
        <v>#REF!</v>
      </c>
      <c r="BH146" t="e">
        <f t="shared" si="94"/>
        <v>#REF!</v>
      </c>
      <c r="BI146" t="e">
        <f t="shared" si="94"/>
        <v>#REF!</v>
      </c>
      <c r="BJ146" t="e">
        <f t="shared" si="94"/>
        <v>#REF!</v>
      </c>
      <c r="BK146" t="e">
        <f t="shared" si="94"/>
        <v>#REF!</v>
      </c>
      <c r="BL146" t="e">
        <f t="shared" si="104"/>
        <v>#REF!</v>
      </c>
      <c r="BM146" t="e">
        <f t="shared" si="104"/>
        <v>#REF!</v>
      </c>
      <c r="BN146" t="e">
        <f t="shared" si="104"/>
        <v>#REF!</v>
      </c>
      <c r="BO146" t="e">
        <f t="shared" si="104"/>
        <v>#REF!</v>
      </c>
      <c r="BP146" t="e">
        <f t="shared" si="104"/>
        <v>#REF!</v>
      </c>
      <c r="BQ146" t="e">
        <f t="shared" si="104"/>
        <v>#REF!</v>
      </c>
      <c r="BR146" t="e">
        <f t="shared" si="104"/>
        <v>#REF!</v>
      </c>
      <c r="BS146" t="e">
        <f t="shared" si="104"/>
        <v>#REF!</v>
      </c>
      <c r="BT146" t="e">
        <f t="shared" si="104"/>
        <v>#REF!</v>
      </c>
      <c r="BU146" t="e">
        <f t="shared" si="104"/>
        <v>#REF!</v>
      </c>
      <c r="BV146" t="e">
        <f t="shared" si="100"/>
        <v>#REF!</v>
      </c>
      <c r="BW146" t="e">
        <f t="shared" si="100"/>
        <v>#REF!</v>
      </c>
      <c r="BX146" t="e">
        <f t="shared" si="100"/>
        <v>#REF!</v>
      </c>
      <c r="BY146" t="e">
        <f t="shared" si="100"/>
        <v>#REF!</v>
      </c>
      <c r="BZ146" t="e">
        <f t="shared" si="100"/>
        <v>#REF!</v>
      </c>
      <c r="CA146" t="e">
        <f t="shared" si="100"/>
        <v>#REF!</v>
      </c>
      <c r="CB146" t="e">
        <f t="shared" si="100"/>
        <v>#REF!</v>
      </c>
      <c r="CC146" t="e">
        <f t="shared" si="100"/>
        <v>#REF!</v>
      </c>
      <c r="CD146" t="e">
        <f t="shared" si="100"/>
        <v>#REF!</v>
      </c>
      <c r="CE146" t="e">
        <f t="shared" si="100"/>
        <v>#REF!</v>
      </c>
      <c r="CF146" t="e">
        <f t="shared" si="100"/>
        <v>#REF!</v>
      </c>
      <c r="CG146" t="e">
        <f t="shared" si="110"/>
        <v>#REF!</v>
      </c>
      <c r="CH146" t="e">
        <f t="shared" si="110"/>
        <v>#REF!</v>
      </c>
      <c r="CI146" t="e">
        <f t="shared" si="110"/>
        <v>#REF!</v>
      </c>
      <c r="CJ146" t="e">
        <f t="shared" si="110"/>
        <v>#REF!</v>
      </c>
      <c r="CK146" t="e">
        <f t="shared" si="110"/>
        <v>#REF!</v>
      </c>
      <c r="CL146" t="e">
        <f t="shared" si="110"/>
        <v>#REF!</v>
      </c>
      <c r="CM146" t="e">
        <f t="shared" si="110"/>
        <v>#REF!</v>
      </c>
      <c r="CN146" t="e">
        <f t="shared" si="110"/>
        <v>#REF!</v>
      </c>
      <c r="CO146" t="e">
        <f t="shared" si="110"/>
        <v>#REF!</v>
      </c>
      <c r="CP146" t="e">
        <f t="shared" si="109"/>
        <v>#REF!</v>
      </c>
      <c r="CQ146" t="e">
        <f t="shared" si="109"/>
        <v>#REF!</v>
      </c>
      <c r="CR146" t="e">
        <f t="shared" si="109"/>
        <v>#REF!</v>
      </c>
      <c r="CS146" t="e">
        <f t="shared" si="109"/>
        <v>#REF!</v>
      </c>
      <c r="CT146" t="e">
        <f t="shared" si="109"/>
        <v>#REF!</v>
      </c>
      <c r="CU146" t="e">
        <f t="shared" si="109"/>
        <v>#REF!</v>
      </c>
      <c r="CV146" t="e">
        <f t="shared" si="109"/>
        <v>#REF!</v>
      </c>
      <c r="CW146" t="e">
        <f t="shared" si="109"/>
        <v>#REF!</v>
      </c>
      <c r="CX146" t="e">
        <f t="shared" si="109"/>
        <v>#REF!</v>
      </c>
      <c r="CY146" t="e">
        <f t="shared" si="109"/>
        <v>#REF!</v>
      </c>
      <c r="CZ146" t="e">
        <f t="shared" si="98"/>
        <v>#REF!</v>
      </c>
      <c r="DA146" t="e">
        <f t="shared" si="98"/>
        <v>#REF!</v>
      </c>
      <c r="DB146" t="e">
        <f t="shared" si="98"/>
        <v>#REF!</v>
      </c>
      <c r="DC146" t="e">
        <f t="shared" si="98"/>
        <v>#REF!</v>
      </c>
      <c r="DD146" t="e">
        <f t="shared" si="98"/>
        <v>#REF!</v>
      </c>
      <c r="DE146" t="e">
        <f t="shared" si="98"/>
        <v>#REF!</v>
      </c>
      <c r="DF146" t="e">
        <f t="shared" si="98"/>
        <v>#REF!</v>
      </c>
      <c r="DG146" t="e">
        <f t="shared" si="98"/>
        <v>#REF!</v>
      </c>
      <c r="DH146" t="e">
        <f t="shared" si="98"/>
        <v>#REF!</v>
      </c>
      <c r="DI146" t="e">
        <f t="shared" si="98"/>
        <v>#REF!</v>
      </c>
      <c r="DJ146" t="e">
        <f t="shared" si="102"/>
        <v>#REF!</v>
      </c>
      <c r="DK146" t="e">
        <f t="shared" si="102"/>
        <v>#REF!</v>
      </c>
      <c r="DL146" t="e">
        <f t="shared" si="102"/>
        <v>#REF!</v>
      </c>
      <c r="DM146" t="e">
        <f t="shared" si="102"/>
        <v>#REF!</v>
      </c>
      <c r="DN146" t="e">
        <f t="shared" si="102"/>
        <v>#REF!</v>
      </c>
      <c r="DO146" t="e">
        <f t="shared" si="102"/>
        <v>#REF!</v>
      </c>
      <c r="DP146" t="e">
        <f t="shared" si="102"/>
        <v>#REF!</v>
      </c>
      <c r="DQ146" t="e">
        <f t="shared" si="108"/>
        <v>#REF!</v>
      </c>
      <c r="DR146" t="e">
        <f t="shared" si="108"/>
        <v>#REF!</v>
      </c>
      <c r="DS146" t="e">
        <f t="shared" si="108"/>
        <v>#REF!</v>
      </c>
      <c r="DT146" t="e">
        <f t="shared" si="108"/>
        <v>#REF!</v>
      </c>
      <c r="DU146" t="e">
        <f t="shared" si="108"/>
        <v>#REF!</v>
      </c>
      <c r="DV146" t="e">
        <f t="shared" si="108"/>
        <v>#REF!</v>
      </c>
      <c r="DW146" t="e">
        <f t="shared" si="108"/>
        <v>#REF!</v>
      </c>
      <c r="DX146" t="e">
        <f t="shared" si="108"/>
        <v>#REF!</v>
      </c>
      <c r="DY146" t="e">
        <f t="shared" si="108"/>
        <v>#REF!</v>
      </c>
      <c r="DZ146" t="e">
        <f t="shared" si="108"/>
        <v>#REF!</v>
      </c>
      <c r="EA146" t="e">
        <f t="shared" si="108"/>
        <v>#REF!</v>
      </c>
      <c r="EB146" t="e">
        <f t="shared" si="108"/>
        <v>#REF!</v>
      </c>
      <c r="EC146" t="e">
        <f t="shared" si="108"/>
        <v>#REF!</v>
      </c>
      <c r="ED146" t="e">
        <f t="shared" si="108"/>
        <v>#REF!</v>
      </c>
      <c r="EE146" t="e">
        <f t="shared" si="108"/>
        <v>#REF!</v>
      </c>
      <c r="EF146" t="e">
        <f t="shared" si="108"/>
        <v>#REF!</v>
      </c>
      <c r="EG146" t="e">
        <f t="shared" si="112"/>
        <v>#REF!</v>
      </c>
      <c r="EH146" t="e">
        <f t="shared" si="112"/>
        <v>#REF!</v>
      </c>
      <c r="EI146" t="e">
        <f t="shared" si="112"/>
        <v>#REF!</v>
      </c>
      <c r="EJ146" t="e">
        <f t="shared" si="112"/>
        <v>#REF!</v>
      </c>
      <c r="EK146" t="e">
        <f t="shared" si="112"/>
        <v>#REF!</v>
      </c>
      <c r="EL146" t="e">
        <f t="shared" si="112"/>
        <v>#REF!</v>
      </c>
      <c r="EM146" t="e">
        <f t="shared" si="112"/>
        <v>#REF!</v>
      </c>
    </row>
    <row r="147" spans="1:143" x14ac:dyDescent="0.4">
      <c r="A147" t="str">
        <f t="shared" si="103"/>
        <v>X</v>
      </c>
      <c r="B147">
        <v>144</v>
      </c>
      <c r="C147" t="e" cm="1">
        <f t="array" ref="C147">INDEX(auto_Series_Code,B147)</f>
        <v>#REF!</v>
      </c>
      <c r="D147" t="e">
        <f t="shared" si="107"/>
        <v>#REF!</v>
      </c>
      <c r="E147" t="e">
        <f t="shared" si="107"/>
        <v>#REF!</v>
      </c>
      <c r="F147" t="e">
        <f t="shared" si="107"/>
        <v>#REF!</v>
      </c>
      <c r="G147" t="e">
        <f t="shared" si="107"/>
        <v>#REF!</v>
      </c>
      <c r="H147" t="e">
        <f t="shared" si="107"/>
        <v>#REF!</v>
      </c>
      <c r="I147" t="e">
        <f t="shared" si="107"/>
        <v>#REF!</v>
      </c>
      <c r="J147" t="e">
        <f t="shared" si="107"/>
        <v>#REF!</v>
      </c>
      <c r="K147" t="e">
        <f t="shared" si="107"/>
        <v>#REF!</v>
      </c>
      <c r="L147" t="e">
        <f t="shared" si="107"/>
        <v>#REF!</v>
      </c>
      <c r="M147" t="e">
        <f t="shared" si="107"/>
        <v>#REF!</v>
      </c>
      <c r="N147" t="e">
        <f t="shared" si="107"/>
        <v>#REF!</v>
      </c>
      <c r="O147" t="e">
        <f t="shared" si="107"/>
        <v>#REF!</v>
      </c>
      <c r="P147" t="e">
        <f t="shared" si="107"/>
        <v>#REF!</v>
      </c>
      <c r="Q147" t="e">
        <f t="shared" si="107"/>
        <v>#REF!</v>
      </c>
      <c r="R147" t="e">
        <f t="shared" si="107"/>
        <v>#REF!</v>
      </c>
      <c r="S147" t="e">
        <f t="shared" si="107"/>
        <v>#REF!</v>
      </c>
      <c r="T147" t="e">
        <f t="shared" si="105"/>
        <v>#REF!</v>
      </c>
      <c r="U147" t="e">
        <f t="shared" si="105"/>
        <v>#REF!</v>
      </c>
      <c r="V147" t="e">
        <f t="shared" si="105"/>
        <v>#REF!</v>
      </c>
      <c r="W147" t="e">
        <f t="shared" si="105"/>
        <v>#REF!</v>
      </c>
      <c r="X147" t="e">
        <f t="shared" si="91"/>
        <v>#REF!</v>
      </c>
      <c r="Y147" t="e">
        <f t="shared" si="91"/>
        <v>#REF!</v>
      </c>
      <c r="Z147" t="e">
        <f t="shared" si="91"/>
        <v>#REF!</v>
      </c>
      <c r="AA147" t="e">
        <f t="shared" si="91"/>
        <v>#REF!</v>
      </c>
      <c r="AB147" t="e">
        <f t="shared" si="91"/>
        <v>#REF!</v>
      </c>
      <c r="AC147" t="e">
        <f t="shared" si="91"/>
        <v>#REF!</v>
      </c>
      <c r="AD147" t="e">
        <f t="shared" si="91"/>
        <v>#REF!</v>
      </c>
      <c r="AE147" t="e">
        <f t="shared" si="91"/>
        <v>#REF!</v>
      </c>
      <c r="AF147" t="e">
        <f t="shared" si="91"/>
        <v>#REF!</v>
      </c>
      <c r="AG147" t="e">
        <f t="shared" si="91"/>
        <v>#REF!</v>
      </c>
      <c r="AH147" t="e">
        <f t="shared" si="101"/>
        <v>#REF!</v>
      </c>
      <c r="AI147" t="e">
        <f t="shared" si="101"/>
        <v>#REF!</v>
      </c>
      <c r="AJ147" t="e">
        <f t="shared" si="101"/>
        <v>#REF!</v>
      </c>
      <c r="AK147" t="e">
        <f t="shared" si="101"/>
        <v>#REF!</v>
      </c>
      <c r="AL147" t="e">
        <f t="shared" si="101"/>
        <v>#REF!</v>
      </c>
      <c r="AM147" t="e">
        <f t="shared" si="101"/>
        <v>#REF!</v>
      </c>
      <c r="AN147" t="e">
        <f t="shared" si="101"/>
        <v>#REF!</v>
      </c>
      <c r="AO147" t="e">
        <f t="shared" si="101"/>
        <v>#REF!</v>
      </c>
      <c r="AP147" t="e">
        <f t="shared" si="101"/>
        <v>#REF!</v>
      </c>
      <c r="AQ147" t="e">
        <f t="shared" si="101"/>
        <v>#REF!</v>
      </c>
      <c r="AR147" t="e">
        <f t="shared" si="101"/>
        <v>#REF!</v>
      </c>
      <c r="AS147" t="e">
        <f t="shared" si="101"/>
        <v>#REF!</v>
      </c>
      <c r="AT147" t="e">
        <f t="shared" si="101"/>
        <v>#REF!</v>
      </c>
      <c r="AU147" t="e">
        <f t="shared" si="101"/>
        <v>#REF!</v>
      </c>
      <c r="AV147" t="e">
        <f t="shared" si="101"/>
        <v>#REF!</v>
      </c>
      <c r="AW147" t="e">
        <f t="shared" si="111"/>
        <v>#REF!</v>
      </c>
      <c r="AX147" t="e">
        <f t="shared" si="111"/>
        <v>#REF!</v>
      </c>
      <c r="AY147" t="e">
        <f t="shared" si="111"/>
        <v>#REF!</v>
      </c>
      <c r="AZ147" t="e">
        <f t="shared" si="111"/>
        <v>#REF!</v>
      </c>
      <c r="BA147" t="e">
        <f t="shared" si="111"/>
        <v>#REF!</v>
      </c>
      <c r="BB147" t="e">
        <f t="shared" si="94"/>
        <v>#REF!</v>
      </c>
      <c r="BC147" t="e">
        <f t="shared" si="94"/>
        <v>#REF!</v>
      </c>
      <c r="BD147" t="e">
        <f t="shared" si="94"/>
        <v>#REF!</v>
      </c>
      <c r="BE147" t="e">
        <f t="shared" si="94"/>
        <v>#REF!</v>
      </c>
      <c r="BF147" t="e">
        <f t="shared" si="94"/>
        <v>#REF!</v>
      </c>
      <c r="BG147" t="e">
        <f t="shared" si="94"/>
        <v>#REF!</v>
      </c>
      <c r="BH147" t="e">
        <f t="shared" si="94"/>
        <v>#REF!</v>
      </c>
      <c r="BI147" t="e">
        <f t="shared" si="94"/>
        <v>#REF!</v>
      </c>
      <c r="BJ147" t="e">
        <f t="shared" si="94"/>
        <v>#REF!</v>
      </c>
      <c r="BK147" t="e">
        <f t="shared" si="94"/>
        <v>#REF!</v>
      </c>
      <c r="BL147" t="e">
        <f t="shared" si="104"/>
        <v>#REF!</v>
      </c>
      <c r="BM147" t="e">
        <f t="shared" si="104"/>
        <v>#REF!</v>
      </c>
      <c r="BN147" t="e">
        <f t="shared" si="104"/>
        <v>#REF!</v>
      </c>
      <c r="BO147" t="e">
        <f t="shared" si="104"/>
        <v>#REF!</v>
      </c>
      <c r="BP147" t="e">
        <f t="shared" si="104"/>
        <v>#REF!</v>
      </c>
      <c r="BQ147" t="e">
        <f t="shared" si="104"/>
        <v>#REF!</v>
      </c>
      <c r="BR147" t="e">
        <f t="shared" si="104"/>
        <v>#REF!</v>
      </c>
      <c r="BS147" t="e">
        <f t="shared" si="104"/>
        <v>#REF!</v>
      </c>
      <c r="BT147" t="e">
        <f t="shared" si="104"/>
        <v>#REF!</v>
      </c>
      <c r="BU147" t="e">
        <f t="shared" si="104"/>
        <v>#REF!</v>
      </c>
      <c r="BV147" t="e">
        <f t="shared" si="100"/>
        <v>#REF!</v>
      </c>
      <c r="BW147" t="e">
        <f t="shared" si="100"/>
        <v>#REF!</v>
      </c>
      <c r="BX147" t="e">
        <f t="shared" si="100"/>
        <v>#REF!</v>
      </c>
      <c r="BY147" t="e">
        <f t="shared" si="100"/>
        <v>#REF!</v>
      </c>
      <c r="BZ147" t="e">
        <f t="shared" si="100"/>
        <v>#REF!</v>
      </c>
      <c r="CA147" t="e">
        <f t="shared" si="100"/>
        <v>#REF!</v>
      </c>
      <c r="CB147" t="e">
        <f t="shared" si="100"/>
        <v>#REF!</v>
      </c>
      <c r="CC147" t="e">
        <f t="shared" si="100"/>
        <v>#REF!</v>
      </c>
      <c r="CD147" t="e">
        <f t="shared" si="100"/>
        <v>#REF!</v>
      </c>
      <c r="CE147" t="e">
        <f t="shared" si="100"/>
        <v>#REF!</v>
      </c>
      <c r="CF147" t="e">
        <f t="shared" si="100"/>
        <v>#REF!</v>
      </c>
      <c r="CG147" t="e">
        <f t="shared" si="110"/>
        <v>#REF!</v>
      </c>
      <c r="CH147" t="e">
        <f t="shared" si="110"/>
        <v>#REF!</v>
      </c>
      <c r="CI147" t="e">
        <f t="shared" si="110"/>
        <v>#REF!</v>
      </c>
      <c r="CJ147" t="e">
        <f t="shared" si="110"/>
        <v>#REF!</v>
      </c>
      <c r="CK147" t="e">
        <f t="shared" si="110"/>
        <v>#REF!</v>
      </c>
      <c r="CL147" t="e">
        <f t="shared" si="110"/>
        <v>#REF!</v>
      </c>
      <c r="CM147" t="e">
        <f t="shared" si="110"/>
        <v>#REF!</v>
      </c>
      <c r="CN147" t="e">
        <f t="shared" si="110"/>
        <v>#REF!</v>
      </c>
      <c r="CO147" t="e">
        <f t="shared" si="110"/>
        <v>#REF!</v>
      </c>
      <c r="CP147" t="e">
        <f t="shared" si="109"/>
        <v>#REF!</v>
      </c>
      <c r="CQ147" t="e">
        <f t="shared" si="109"/>
        <v>#REF!</v>
      </c>
      <c r="CR147" t="e">
        <f t="shared" si="109"/>
        <v>#REF!</v>
      </c>
      <c r="CS147" t="e">
        <f t="shared" si="109"/>
        <v>#REF!</v>
      </c>
      <c r="CT147" t="e">
        <f t="shared" si="109"/>
        <v>#REF!</v>
      </c>
      <c r="CU147" t="e">
        <f t="shared" si="109"/>
        <v>#REF!</v>
      </c>
      <c r="CV147" t="e">
        <f t="shared" si="109"/>
        <v>#REF!</v>
      </c>
      <c r="CW147" t="e">
        <f t="shared" si="109"/>
        <v>#REF!</v>
      </c>
      <c r="CX147" t="e">
        <f t="shared" si="109"/>
        <v>#REF!</v>
      </c>
      <c r="CY147" t="e">
        <f t="shared" si="109"/>
        <v>#REF!</v>
      </c>
      <c r="CZ147" t="e">
        <f t="shared" si="98"/>
        <v>#REF!</v>
      </c>
      <c r="DA147" t="e">
        <f t="shared" si="98"/>
        <v>#REF!</v>
      </c>
      <c r="DB147" t="e">
        <f t="shared" si="98"/>
        <v>#REF!</v>
      </c>
      <c r="DC147" t="e">
        <f t="shared" si="98"/>
        <v>#REF!</v>
      </c>
      <c r="DD147" t="e">
        <f t="shared" si="98"/>
        <v>#REF!</v>
      </c>
      <c r="DE147" t="e">
        <f t="shared" si="98"/>
        <v>#REF!</v>
      </c>
      <c r="DF147" t="e">
        <f t="shared" si="98"/>
        <v>#REF!</v>
      </c>
      <c r="DG147" t="e">
        <f t="shared" si="98"/>
        <v>#REF!</v>
      </c>
      <c r="DH147" t="e">
        <f t="shared" si="98"/>
        <v>#REF!</v>
      </c>
      <c r="DI147" t="e">
        <f t="shared" si="98"/>
        <v>#REF!</v>
      </c>
      <c r="DJ147" t="e">
        <f t="shared" si="102"/>
        <v>#REF!</v>
      </c>
      <c r="DK147" t="e">
        <f t="shared" si="102"/>
        <v>#REF!</v>
      </c>
      <c r="DL147" t="e">
        <f t="shared" si="102"/>
        <v>#REF!</v>
      </c>
      <c r="DM147" t="e">
        <f t="shared" si="102"/>
        <v>#REF!</v>
      </c>
      <c r="DN147" t="e">
        <f t="shared" si="102"/>
        <v>#REF!</v>
      </c>
      <c r="DO147" t="e">
        <f t="shared" si="102"/>
        <v>#REF!</v>
      </c>
      <c r="DP147" t="e">
        <f t="shared" si="102"/>
        <v>#REF!</v>
      </c>
      <c r="DQ147" t="e">
        <f t="shared" si="108"/>
        <v>#REF!</v>
      </c>
      <c r="DR147" t="e">
        <f t="shared" si="108"/>
        <v>#REF!</v>
      </c>
      <c r="DS147" t="e">
        <f t="shared" si="108"/>
        <v>#REF!</v>
      </c>
      <c r="DT147" t="e">
        <f t="shared" si="108"/>
        <v>#REF!</v>
      </c>
      <c r="DU147" t="e">
        <f t="shared" si="108"/>
        <v>#REF!</v>
      </c>
      <c r="DV147" t="e">
        <f t="shared" si="108"/>
        <v>#REF!</v>
      </c>
      <c r="DW147" t="e">
        <f t="shared" si="108"/>
        <v>#REF!</v>
      </c>
      <c r="DX147" t="e">
        <f t="shared" si="108"/>
        <v>#REF!</v>
      </c>
      <c r="DY147" t="e">
        <f t="shared" si="108"/>
        <v>#REF!</v>
      </c>
      <c r="DZ147" t="e">
        <f t="shared" si="108"/>
        <v>#REF!</v>
      </c>
      <c r="EA147" t="e">
        <f t="shared" si="108"/>
        <v>#REF!</v>
      </c>
      <c r="EB147" t="e">
        <f t="shared" si="108"/>
        <v>#REF!</v>
      </c>
      <c r="EC147" t="e">
        <f t="shared" si="108"/>
        <v>#REF!</v>
      </c>
      <c r="ED147" t="e">
        <f t="shared" si="108"/>
        <v>#REF!</v>
      </c>
      <c r="EE147" t="e">
        <f t="shared" si="108"/>
        <v>#REF!</v>
      </c>
      <c r="EF147" t="e">
        <f t="shared" si="108"/>
        <v>#REF!</v>
      </c>
      <c r="EG147" t="e">
        <f t="shared" si="112"/>
        <v>#REF!</v>
      </c>
      <c r="EH147" t="e">
        <f t="shared" si="112"/>
        <v>#REF!</v>
      </c>
      <c r="EI147" t="e">
        <f t="shared" si="112"/>
        <v>#REF!</v>
      </c>
      <c r="EJ147" t="e">
        <f t="shared" si="112"/>
        <v>#REF!</v>
      </c>
      <c r="EK147" t="e">
        <f t="shared" si="112"/>
        <v>#REF!</v>
      </c>
      <c r="EL147" t="e">
        <f t="shared" si="112"/>
        <v>#REF!</v>
      </c>
      <c r="EM147" t="e">
        <f t="shared" si="112"/>
        <v>#REF!</v>
      </c>
    </row>
    <row r="148" spans="1:143" x14ac:dyDescent="0.4">
      <c r="A148" t="str">
        <f t="shared" si="103"/>
        <v>X</v>
      </c>
      <c r="B148">
        <v>145</v>
      </c>
      <c r="C148" t="e" cm="1">
        <f t="array" ref="C148">INDEX(auto_Series_Code,B148)</f>
        <v>#REF!</v>
      </c>
      <c r="D148" t="e">
        <f t="shared" si="107"/>
        <v>#REF!</v>
      </c>
      <c r="E148" t="e">
        <f t="shared" si="107"/>
        <v>#REF!</v>
      </c>
      <c r="F148" t="e">
        <f t="shared" si="107"/>
        <v>#REF!</v>
      </c>
      <c r="G148" t="e">
        <f t="shared" si="107"/>
        <v>#REF!</v>
      </c>
      <c r="H148" t="e">
        <f t="shared" si="107"/>
        <v>#REF!</v>
      </c>
      <c r="I148" t="e">
        <f t="shared" si="107"/>
        <v>#REF!</v>
      </c>
      <c r="J148" t="e">
        <f t="shared" si="107"/>
        <v>#REF!</v>
      </c>
      <c r="K148" t="e">
        <f t="shared" si="107"/>
        <v>#REF!</v>
      </c>
      <c r="L148" t="e">
        <f t="shared" si="107"/>
        <v>#REF!</v>
      </c>
      <c r="M148" t="e">
        <f t="shared" si="107"/>
        <v>#REF!</v>
      </c>
      <c r="N148" t="e">
        <f t="shared" si="107"/>
        <v>#REF!</v>
      </c>
      <c r="O148" t="e">
        <f t="shared" si="107"/>
        <v>#REF!</v>
      </c>
      <c r="P148" t="e">
        <f t="shared" si="107"/>
        <v>#REF!</v>
      </c>
      <c r="Q148" t="e">
        <f t="shared" si="107"/>
        <v>#REF!</v>
      </c>
      <c r="R148" t="e">
        <f t="shared" si="107"/>
        <v>#REF!</v>
      </c>
      <c r="S148" t="e">
        <f t="shared" si="107"/>
        <v>#REF!</v>
      </c>
      <c r="T148" t="e">
        <f t="shared" si="105"/>
        <v>#REF!</v>
      </c>
      <c r="U148" t="e">
        <f t="shared" si="105"/>
        <v>#REF!</v>
      </c>
      <c r="V148" t="e">
        <f t="shared" si="105"/>
        <v>#REF!</v>
      </c>
      <c r="W148" t="e">
        <f t="shared" si="105"/>
        <v>#REF!</v>
      </c>
      <c r="X148" t="e">
        <f t="shared" si="105"/>
        <v>#REF!</v>
      </c>
      <c r="Y148" t="e">
        <f t="shared" si="105"/>
        <v>#REF!</v>
      </c>
      <c r="Z148" t="e">
        <f t="shared" si="105"/>
        <v>#REF!</v>
      </c>
      <c r="AA148" t="e">
        <f t="shared" si="105"/>
        <v>#REF!</v>
      </c>
      <c r="AB148" t="e">
        <f t="shared" si="105"/>
        <v>#REF!</v>
      </c>
      <c r="AC148" t="e">
        <f t="shared" si="105"/>
        <v>#REF!</v>
      </c>
      <c r="AD148" t="e">
        <f t="shared" si="105"/>
        <v>#REF!</v>
      </c>
      <c r="AE148" t="e">
        <f t="shared" si="105"/>
        <v>#REF!</v>
      </c>
      <c r="AF148" t="e">
        <f t="shared" si="105"/>
        <v>#REF!</v>
      </c>
      <c r="AG148" t="e">
        <f t="shared" si="105"/>
        <v>#REF!</v>
      </c>
      <c r="AH148" t="e">
        <f t="shared" si="101"/>
        <v>#REF!</v>
      </c>
      <c r="AI148" t="e">
        <f t="shared" si="101"/>
        <v>#REF!</v>
      </c>
      <c r="AJ148" t="e">
        <f t="shared" si="101"/>
        <v>#REF!</v>
      </c>
      <c r="AK148" t="e">
        <f t="shared" si="101"/>
        <v>#REF!</v>
      </c>
      <c r="AL148" t="e">
        <f t="shared" si="101"/>
        <v>#REF!</v>
      </c>
      <c r="AM148" t="e">
        <f t="shared" si="101"/>
        <v>#REF!</v>
      </c>
      <c r="AN148" t="e">
        <f t="shared" si="101"/>
        <v>#REF!</v>
      </c>
      <c r="AO148" t="e">
        <f t="shared" si="101"/>
        <v>#REF!</v>
      </c>
      <c r="AP148" t="e">
        <f t="shared" si="101"/>
        <v>#REF!</v>
      </c>
      <c r="AQ148" t="e">
        <f t="shared" si="101"/>
        <v>#REF!</v>
      </c>
      <c r="AR148" t="e">
        <f t="shared" si="101"/>
        <v>#REF!</v>
      </c>
      <c r="AS148" t="e">
        <f t="shared" si="101"/>
        <v>#REF!</v>
      </c>
      <c r="AT148" t="e">
        <f t="shared" si="101"/>
        <v>#REF!</v>
      </c>
      <c r="AU148" t="e">
        <f t="shared" si="101"/>
        <v>#REF!</v>
      </c>
      <c r="AV148" t="e">
        <f t="shared" si="101"/>
        <v>#REF!</v>
      </c>
      <c r="AW148" t="e">
        <f t="shared" si="111"/>
        <v>#REF!</v>
      </c>
      <c r="AX148" t="e">
        <f t="shared" si="111"/>
        <v>#REF!</v>
      </c>
      <c r="AY148" t="e">
        <f t="shared" si="111"/>
        <v>#REF!</v>
      </c>
      <c r="AZ148" t="e">
        <f t="shared" si="111"/>
        <v>#REF!</v>
      </c>
      <c r="BA148" t="e">
        <f t="shared" si="111"/>
        <v>#REF!</v>
      </c>
      <c r="BB148" t="e">
        <f t="shared" si="94"/>
        <v>#REF!</v>
      </c>
      <c r="BC148" t="e">
        <f t="shared" si="94"/>
        <v>#REF!</v>
      </c>
      <c r="BD148" t="e">
        <f t="shared" si="94"/>
        <v>#REF!</v>
      </c>
      <c r="BE148" t="e">
        <f t="shared" si="94"/>
        <v>#REF!</v>
      </c>
      <c r="BF148" t="e">
        <f t="shared" si="94"/>
        <v>#REF!</v>
      </c>
      <c r="BG148" t="e">
        <f t="shared" si="94"/>
        <v>#REF!</v>
      </c>
      <c r="BH148" t="e">
        <f t="shared" si="94"/>
        <v>#REF!</v>
      </c>
      <c r="BI148" t="e">
        <f t="shared" si="94"/>
        <v>#REF!</v>
      </c>
      <c r="BJ148" t="e">
        <f t="shared" si="94"/>
        <v>#REF!</v>
      </c>
      <c r="BK148" t="e">
        <f t="shared" si="94"/>
        <v>#REF!</v>
      </c>
      <c r="BL148" t="e">
        <f t="shared" si="104"/>
        <v>#REF!</v>
      </c>
      <c r="BM148" t="e">
        <f t="shared" si="104"/>
        <v>#REF!</v>
      </c>
      <c r="BN148" t="e">
        <f t="shared" si="104"/>
        <v>#REF!</v>
      </c>
      <c r="BO148" t="e">
        <f t="shared" si="104"/>
        <v>#REF!</v>
      </c>
      <c r="BP148" t="e">
        <f t="shared" si="104"/>
        <v>#REF!</v>
      </c>
      <c r="BQ148" t="e">
        <f t="shared" si="104"/>
        <v>#REF!</v>
      </c>
      <c r="BR148" t="e">
        <f t="shared" si="104"/>
        <v>#REF!</v>
      </c>
      <c r="BS148" t="e">
        <f t="shared" si="104"/>
        <v>#REF!</v>
      </c>
      <c r="BT148" t="e">
        <f t="shared" si="104"/>
        <v>#REF!</v>
      </c>
      <c r="BU148" t="e">
        <f t="shared" si="104"/>
        <v>#REF!</v>
      </c>
      <c r="BV148" t="e">
        <f t="shared" si="100"/>
        <v>#REF!</v>
      </c>
      <c r="BW148" t="e">
        <f t="shared" si="100"/>
        <v>#REF!</v>
      </c>
      <c r="BX148" t="e">
        <f t="shared" si="100"/>
        <v>#REF!</v>
      </c>
      <c r="BY148" t="e">
        <f t="shared" si="100"/>
        <v>#REF!</v>
      </c>
      <c r="BZ148" t="e">
        <f t="shared" si="100"/>
        <v>#REF!</v>
      </c>
      <c r="CA148" t="e">
        <f t="shared" si="100"/>
        <v>#REF!</v>
      </c>
      <c r="CB148" t="e">
        <f t="shared" si="100"/>
        <v>#REF!</v>
      </c>
      <c r="CC148" t="e">
        <f t="shared" si="100"/>
        <v>#REF!</v>
      </c>
      <c r="CD148" t="e">
        <f t="shared" si="100"/>
        <v>#REF!</v>
      </c>
      <c r="CE148" t="e">
        <f t="shared" si="100"/>
        <v>#REF!</v>
      </c>
      <c r="CF148" t="e">
        <f t="shared" si="100"/>
        <v>#REF!</v>
      </c>
      <c r="CG148" t="e">
        <f t="shared" si="110"/>
        <v>#REF!</v>
      </c>
      <c r="CH148" t="e">
        <f t="shared" si="110"/>
        <v>#REF!</v>
      </c>
      <c r="CI148" t="e">
        <f t="shared" si="110"/>
        <v>#REF!</v>
      </c>
      <c r="CJ148" t="e">
        <f t="shared" si="110"/>
        <v>#REF!</v>
      </c>
      <c r="CK148" t="e">
        <f t="shared" si="110"/>
        <v>#REF!</v>
      </c>
      <c r="CL148" t="e">
        <f t="shared" si="110"/>
        <v>#REF!</v>
      </c>
      <c r="CM148" t="e">
        <f t="shared" si="110"/>
        <v>#REF!</v>
      </c>
      <c r="CN148" t="e">
        <f t="shared" si="110"/>
        <v>#REF!</v>
      </c>
      <c r="CO148" t="e">
        <f t="shared" si="110"/>
        <v>#REF!</v>
      </c>
      <c r="CP148" t="e">
        <f t="shared" si="109"/>
        <v>#REF!</v>
      </c>
      <c r="CQ148" t="e">
        <f t="shared" si="109"/>
        <v>#REF!</v>
      </c>
      <c r="CR148" t="e">
        <f t="shared" si="109"/>
        <v>#REF!</v>
      </c>
      <c r="CS148" t="e">
        <f t="shared" si="109"/>
        <v>#REF!</v>
      </c>
      <c r="CT148" t="e">
        <f t="shared" si="109"/>
        <v>#REF!</v>
      </c>
      <c r="CU148" t="e">
        <f t="shared" si="109"/>
        <v>#REF!</v>
      </c>
      <c r="CV148" t="e">
        <f t="shared" si="109"/>
        <v>#REF!</v>
      </c>
      <c r="CW148" t="e">
        <f t="shared" si="109"/>
        <v>#REF!</v>
      </c>
      <c r="CX148" t="e">
        <f t="shared" si="109"/>
        <v>#REF!</v>
      </c>
      <c r="CY148" t="e">
        <f t="shared" si="109"/>
        <v>#REF!</v>
      </c>
      <c r="CZ148" t="e">
        <f t="shared" si="98"/>
        <v>#REF!</v>
      </c>
      <c r="DA148" t="e">
        <f t="shared" si="98"/>
        <v>#REF!</v>
      </c>
      <c r="DB148" t="e">
        <f t="shared" si="98"/>
        <v>#REF!</v>
      </c>
      <c r="DC148" t="e">
        <f t="shared" si="98"/>
        <v>#REF!</v>
      </c>
      <c r="DD148" t="e">
        <f t="shared" si="98"/>
        <v>#REF!</v>
      </c>
      <c r="DE148" t="e">
        <f t="shared" si="98"/>
        <v>#REF!</v>
      </c>
      <c r="DF148" t="e">
        <f t="shared" si="98"/>
        <v>#REF!</v>
      </c>
      <c r="DG148" t="e">
        <f t="shared" si="98"/>
        <v>#REF!</v>
      </c>
      <c r="DH148" t="e">
        <f t="shared" si="98"/>
        <v>#REF!</v>
      </c>
      <c r="DI148" t="e">
        <f t="shared" si="98"/>
        <v>#REF!</v>
      </c>
      <c r="DJ148" t="e">
        <f t="shared" si="102"/>
        <v>#REF!</v>
      </c>
      <c r="DK148" t="e">
        <f t="shared" si="102"/>
        <v>#REF!</v>
      </c>
      <c r="DL148" t="e">
        <f t="shared" si="102"/>
        <v>#REF!</v>
      </c>
      <c r="DM148" t="e">
        <f t="shared" si="102"/>
        <v>#REF!</v>
      </c>
      <c r="DN148" t="e">
        <f t="shared" si="102"/>
        <v>#REF!</v>
      </c>
      <c r="DO148" t="e">
        <f t="shared" si="102"/>
        <v>#REF!</v>
      </c>
      <c r="DP148" t="e">
        <f t="shared" si="102"/>
        <v>#REF!</v>
      </c>
      <c r="DQ148" t="e">
        <f t="shared" si="108"/>
        <v>#REF!</v>
      </c>
      <c r="DR148" t="e">
        <f t="shared" si="108"/>
        <v>#REF!</v>
      </c>
      <c r="DS148" t="e">
        <f t="shared" si="108"/>
        <v>#REF!</v>
      </c>
      <c r="DT148" t="e">
        <f t="shared" si="108"/>
        <v>#REF!</v>
      </c>
      <c r="DU148" t="e">
        <f t="shared" si="108"/>
        <v>#REF!</v>
      </c>
      <c r="DV148" t="e">
        <f t="shared" si="108"/>
        <v>#REF!</v>
      </c>
      <c r="DW148" t="e">
        <f t="shared" si="108"/>
        <v>#REF!</v>
      </c>
      <c r="DX148" t="e">
        <f t="shared" si="108"/>
        <v>#REF!</v>
      </c>
      <c r="DY148" t="e">
        <f t="shared" si="108"/>
        <v>#REF!</v>
      </c>
      <c r="DZ148" t="e">
        <f t="shared" si="108"/>
        <v>#REF!</v>
      </c>
      <c r="EA148" t="e">
        <f t="shared" si="108"/>
        <v>#REF!</v>
      </c>
      <c r="EB148" t="e">
        <f t="shared" si="108"/>
        <v>#REF!</v>
      </c>
      <c r="EC148" t="e">
        <f t="shared" si="108"/>
        <v>#REF!</v>
      </c>
      <c r="ED148" t="e">
        <f t="shared" si="108"/>
        <v>#REF!</v>
      </c>
      <c r="EE148" t="e">
        <f t="shared" si="108"/>
        <v>#REF!</v>
      </c>
      <c r="EF148" t="e">
        <f t="shared" si="108"/>
        <v>#REF!</v>
      </c>
      <c r="EG148" t="e">
        <f t="shared" si="112"/>
        <v>#REF!</v>
      </c>
      <c r="EH148" t="e">
        <f t="shared" si="112"/>
        <v>#REF!</v>
      </c>
      <c r="EI148" t="e">
        <f t="shared" si="112"/>
        <v>#REF!</v>
      </c>
      <c r="EJ148" t="e">
        <f t="shared" si="112"/>
        <v>#REF!</v>
      </c>
      <c r="EK148" t="e">
        <f t="shared" si="112"/>
        <v>#REF!</v>
      </c>
      <c r="EL148" t="e">
        <f t="shared" si="112"/>
        <v>#REF!</v>
      </c>
      <c r="EM148" t="e">
        <f t="shared" si="112"/>
        <v>#REF!</v>
      </c>
    </row>
    <row r="149" spans="1:143" x14ac:dyDescent="0.4">
      <c r="A149" t="str">
        <f t="shared" si="103"/>
        <v>X</v>
      </c>
      <c r="B149">
        <v>146</v>
      </c>
      <c r="C149" t="e" cm="1">
        <f t="array" ref="C149">INDEX(auto_Series_Code,B149)</f>
        <v>#REF!</v>
      </c>
      <c r="D149" t="e">
        <f t="shared" si="107"/>
        <v>#REF!</v>
      </c>
      <c r="E149" t="e">
        <f t="shared" si="107"/>
        <v>#REF!</v>
      </c>
      <c r="F149" t="e">
        <f t="shared" si="107"/>
        <v>#REF!</v>
      </c>
      <c r="G149" t="e">
        <f t="shared" si="107"/>
        <v>#REF!</v>
      </c>
      <c r="H149" t="e">
        <f t="shared" si="107"/>
        <v>#REF!</v>
      </c>
      <c r="I149" t="e">
        <f t="shared" si="107"/>
        <v>#REF!</v>
      </c>
      <c r="J149" t="e">
        <f t="shared" si="107"/>
        <v>#REF!</v>
      </c>
      <c r="K149" t="e">
        <f t="shared" si="107"/>
        <v>#REF!</v>
      </c>
      <c r="L149" t="e">
        <f t="shared" si="107"/>
        <v>#REF!</v>
      </c>
      <c r="M149" t="e">
        <f t="shared" si="107"/>
        <v>#REF!</v>
      </c>
      <c r="N149" t="e">
        <f t="shared" si="107"/>
        <v>#REF!</v>
      </c>
      <c r="O149" t="e">
        <f t="shared" si="107"/>
        <v>#REF!</v>
      </c>
      <c r="P149" t="e">
        <f t="shared" si="107"/>
        <v>#REF!</v>
      </c>
      <c r="Q149" t="e">
        <f t="shared" si="107"/>
        <v>#REF!</v>
      </c>
      <c r="R149" t="e">
        <f t="shared" si="107"/>
        <v>#REF!</v>
      </c>
      <c r="S149" t="e">
        <f t="shared" si="107"/>
        <v>#REF!</v>
      </c>
      <c r="T149" t="e">
        <f t="shared" si="105"/>
        <v>#REF!</v>
      </c>
      <c r="U149" t="e">
        <f t="shared" si="105"/>
        <v>#REF!</v>
      </c>
      <c r="V149" t="e">
        <f t="shared" si="105"/>
        <v>#REF!</v>
      </c>
      <c r="W149" t="e">
        <f t="shared" si="105"/>
        <v>#REF!</v>
      </c>
      <c r="X149" t="e">
        <f t="shared" si="105"/>
        <v>#REF!</v>
      </c>
      <c r="Y149" t="e">
        <f t="shared" si="105"/>
        <v>#REF!</v>
      </c>
      <c r="Z149" t="e">
        <f t="shared" si="105"/>
        <v>#REF!</v>
      </c>
      <c r="AA149" t="e">
        <f t="shared" si="105"/>
        <v>#REF!</v>
      </c>
      <c r="AB149" t="e">
        <f t="shared" si="105"/>
        <v>#REF!</v>
      </c>
      <c r="AC149" t="e">
        <f t="shared" si="105"/>
        <v>#REF!</v>
      </c>
      <c r="AD149" t="e">
        <f t="shared" si="105"/>
        <v>#REF!</v>
      </c>
      <c r="AE149" t="e">
        <f t="shared" si="105"/>
        <v>#REF!</v>
      </c>
      <c r="AF149" t="e">
        <f t="shared" si="105"/>
        <v>#REF!</v>
      </c>
      <c r="AG149" t="e">
        <f t="shared" si="105"/>
        <v>#REF!</v>
      </c>
      <c r="AH149" t="e">
        <f t="shared" si="101"/>
        <v>#REF!</v>
      </c>
      <c r="AI149" t="e">
        <f t="shared" si="101"/>
        <v>#REF!</v>
      </c>
      <c r="AJ149" t="e">
        <f t="shared" si="101"/>
        <v>#REF!</v>
      </c>
      <c r="AK149" t="e">
        <f t="shared" si="101"/>
        <v>#REF!</v>
      </c>
      <c r="AL149" t="e">
        <f t="shared" si="101"/>
        <v>#REF!</v>
      </c>
      <c r="AM149" t="e">
        <f t="shared" si="101"/>
        <v>#REF!</v>
      </c>
      <c r="AN149" t="e">
        <f t="shared" si="101"/>
        <v>#REF!</v>
      </c>
      <c r="AO149" t="e">
        <f t="shared" si="101"/>
        <v>#REF!</v>
      </c>
      <c r="AP149" t="e">
        <f t="shared" si="101"/>
        <v>#REF!</v>
      </c>
      <c r="AQ149" t="e">
        <f t="shared" si="101"/>
        <v>#REF!</v>
      </c>
      <c r="AR149" t="e">
        <f t="shared" si="101"/>
        <v>#REF!</v>
      </c>
      <c r="AS149" t="e">
        <f t="shared" si="101"/>
        <v>#REF!</v>
      </c>
      <c r="AT149" t="e">
        <f t="shared" si="101"/>
        <v>#REF!</v>
      </c>
      <c r="AU149" t="e">
        <f t="shared" si="101"/>
        <v>#REF!</v>
      </c>
      <c r="AV149" t="e">
        <f t="shared" si="101"/>
        <v>#REF!</v>
      </c>
      <c r="AW149" t="e">
        <f t="shared" si="111"/>
        <v>#REF!</v>
      </c>
      <c r="AX149" t="e">
        <f t="shared" si="111"/>
        <v>#REF!</v>
      </c>
      <c r="AY149" t="e">
        <f t="shared" si="111"/>
        <v>#REF!</v>
      </c>
      <c r="AZ149" t="e">
        <f t="shared" si="111"/>
        <v>#REF!</v>
      </c>
      <c r="BA149" t="e">
        <f t="shared" si="111"/>
        <v>#REF!</v>
      </c>
      <c r="BB149" t="e">
        <f t="shared" si="94"/>
        <v>#REF!</v>
      </c>
      <c r="BC149" t="e">
        <f t="shared" si="94"/>
        <v>#REF!</v>
      </c>
      <c r="BD149" t="e">
        <f t="shared" si="94"/>
        <v>#REF!</v>
      </c>
      <c r="BE149" t="e">
        <f t="shared" si="94"/>
        <v>#REF!</v>
      </c>
      <c r="BF149" t="e">
        <f t="shared" si="94"/>
        <v>#REF!</v>
      </c>
      <c r="BG149" t="e">
        <f t="shared" si="94"/>
        <v>#REF!</v>
      </c>
      <c r="BH149" t="e">
        <f t="shared" si="94"/>
        <v>#REF!</v>
      </c>
      <c r="BI149" t="e">
        <f t="shared" si="94"/>
        <v>#REF!</v>
      </c>
      <c r="BJ149" t="e">
        <f t="shared" si="94"/>
        <v>#REF!</v>
      </c>
      <c r="BK149" t="e">
        <f t="shared" si="94"/>
        <v>#REF!</v>
      </c>
      <c r="BL149" t="e">
        <f t="shared" si="104"/>
        <v>#REF!</v>
      </c>
      <c r="BM149" t="e">
        <f t="shared" si="104"/>
        <v>#REF!</v>
      </c>
      <c r="BN149" t="e">
        <f t="shared" si="104"/>
        <v>#REF!</v>
      </c>
      <c r="BO149" t="e">
        <f t="shared" si="104"/>
        <v>#REF!</v>
      </c>
      <c r="BP149" t="e">
        <f t="shared" si="104"/>
        <v>#REF!</v>
      </c>
      <c r="BQ149" t="e">
        <f t="shared" si="104"/>
        <v>#REF!</v>
      </c>
      <c r="BR149" t="e">
        <f t="shared" si="104"/>
        <v>#REF!</v>
      </c>
      <c r="BS149" t="e">
        <f t="shared" si="104"/>
        <v>#REF!</v>
      </c>
      <c r="BT149" t="e">
        <f t="shared" si="104"/>
        <v>#REF!</v>
      </c>
      <c r="BU149" t="e">
        <f t="shared" si="104"/>
        <v>#REF!</v>
      </c>
      <c r="BV149" t="e">
        <f t="shared" si="104"/>
        <v>#REF!</v>
      </c>
      <c r="BW149" t="e">
        <f t="shared" ref="BW149:CL171" si="113">MATCH(CONCATENATE(BW$3,"_",$C149),auto_DataFlat_UID,0)</f>
        <v>#REF!</v>
      </c>
      <c r="BX149" t="e">
        <f t="shared" si="113"/>
        <v>#REF!</v>
      </c>
      <c r="BY149" t="e">
        <f t="shared" si="113"/>
        <v>#REF!</v>
      </c>
      <c r="BZ149" t="e">
        <f t="shared" si="113"/>
        <v>#REF!</v>
      </c>
      <c r="CA149" t="e">
        <f t="shared" si="113"/>
        <v>#REF!</v>
      </c>
      <c r="CB149" t="e">
        <f t="shared" si="113"/>
        <v>#REF!</v>
      </c>
      <c r="CC149" t="e">
        <f t="shared" si="113"/>
        <v>#REF!</v>
      </c>
      <c r="CD149" t="e">
        <f t="shared" si="113"/>
        <v>#REF!</v>
      </c>
      <c r="CE149" t="e">
        <f t="shared" si="113"/>
        <v>#REF!</v>
      </c>
      <c r="CF149" t="e">
        <f t="shared" si="113"/>
        <v>#REF!</v>
      </c>
      <c r="CG149" t="e">
        <f t="shared" si="113"/>
        <v>#REF!</v>
      </c>
      <c r="CH149" t="e">
        <f t="shared" si="113"/>
        <v>#REF!</v>
      </c>
      <c r="CI149" t="e">
        <f t="shared" si="113"/>
        <v>#REF!</v>
      </c>
      <c r="CJ149" t="e">
        <f t="shared" si="113"/>
        <v>#REF!</v>
      </c>
      <c r="CK149" t="e">
        <f t="shared" si="113"/>
        <v>#REF!</v>
      </c>
      <c r="CL149" t="e">
        <f t="shared" si="113"/>
        <v>#REF!</v>
      </c>
      <c r="CM149" t="e">
        <f t="shared" si="110"/>
        <v>#REF!</v>
      </c>
      <c r="CN149" t="e">
        <f t="shared" si="110"/>
        <v>#REF!</v>
      </c>
      <c r="CO149" t="e">
        <f t="shared" si="110"/>
        <v>#REF!</v>
      </c>
      <c r="CP149" t="e">
        <f t="shared" si="109"/>
        <v>#REF!</v>
      </c>
      <c r="CQ149" t="e">
        <f t="shared" si="109"/>
        <v>#REF!</v>
      </c>
      <c r="CR149" t="e">
        <f t="shared" si="109"/>
        <v>#REF!</v>
      </c>
      <c r="CS149" t="e">
        <f t="shared" si="109"/>
        <v>#REF!</v>
      </c>
      <c r="CT149" t="e">
        <f t="shared" si="109"/>
        <v>#REF!</v>
      </c>
      <c r="CU149" t="e">
        <f t="shared" si="109"/>
        <v>#REF!</v>
      </c>
      <c r="CV149" t="e">
        <f t="shared" si="109"/>
        <v>#REF!</v>
      </c>
      <c r="CW149" t="e">
        <f t="shared" si="109"/>
        <v>#REF!</v>
      </c>
      <c r="CX149" t="e">
        <f t="shared" si="109"/>
        <v>#REF!</v>
      </c>
      <c r="CY149" t="e">
        <f t="shared" si="109"/>
        <v>#REF!</v>
      </c>
      <c r="CZ149" t="e">
        <f t="shared" si="98"/>
        <v>#REF!</v>
      </c>
      <c r="DA149" t="e">
        <f t="shared" si="98"/>
        <v>#REF!</v>
      </c>
      <c r="DB149" t="e">
        <f t="shared" si="98"/>
        <v>#REF!</v>
      </c>
      <c r="DC149" t="e">
        <f t="shared" si="98"/>
        <v>#REF!</v>
      </c>
      <c r="DD149" t="e">
        <f t="shared" si="98"/>
        <v>#REF!</v>
      </c>
      <c r="DE149" t="e">
        <f t="shared" si="98"/>
        <v>#REF!</v>
      </c>
      <c r="DF149" t="e">
        <f t="shared" si="98"/>
        <v>#REF!</v>
      </c>
      <c r="DG149" t="e">
        <f t="shared" si="98"/>
        <v>#REF!</v>
      </c>
      <c r="DH149" t="e">
        <f t="shared" si="98"/>
        <v>#REF!</v>
      </c>
      <c r="DI149" t="e">
        <f t="shared" si="98"/>
        <v>#REF!</v>
      </c>
      <c r="DJ149" t="e">
        <f t="shared" si="102"/>
        <v>#REF!</v>
      </c>
      <c r="DK149" t="e">
        <f t="shared" si="102"/>
        <v>#REF!</v>
      </c>
      <c r="DL149" t="e">
        <f t="shared" si="102"/>
        <v>#REF!</v>
      </c>
      <c r="DM149" t="e">
        <f t="shared" si="102"/>
        <v>#REF!</v>
      </c>
      <c r="DN149" t="e">
        <f t="shared" si="102"/>
        <v>#REF!</v>
      </c>
      <c r="DO149" t="e">
        <f t="shared" si="102"/>
        <v>#REF!</v>
      </c>
      <c r="DP149" t="e">
        <f t="shared" si="102"/>
        <v>#REF!</v>
      </c>
      <c r="DQ149" t="e">
        <f t="shared" si="108"/>
        <v>#REF!</v>
      </c>
      <c r="DR149" t="e">
        <f t="shared" si="108"/>
        <v>#REF!</v>
      </c>
      <c r="DS149" t="e">
        <f t="shared" si="108"/>
        <v>#REF!</v>
      </c>
      <c r="DT149" t="e">
        <f t="shared" si="108"/>
        <v>#REF!</v>
      </c>
      <c r="DU149" t="e">
        <f t="shared" si="108"/>
        <v>#REF!</v>
      </c>
      <c r="DV149" t="e">
        <f t="shared" si="108"/>
        <v>#REF!</v>
      </c>
      <c r="DW149" t="e">
        <f t="shared" si="108"/>
        <v>#REF!</v>
      </c>
      <c r="DX149" t="e">
        <f t="shared" si="108"/>
        <v>#REF!</v>
      </c>
      <c r="DY149" t="e">
        <f t="shared" si="108"/>
        <v>#REF!</v>
      </c>
      <c r="DZ149" t="e">
        <f t="shared" si="108"/>
        <v>#REF!</v>
      </c>
      <c r="EA149" t="e">
        <f t="shared" si="108"/>
        <v>#REF!</v>
      </c>
      <c r="EB149" t="e">
        <f t="shared" si="108"/>
        <v>#REF!</v>
      </c>
      <c r="EC149" t="e">
        <f t="shared" si="108"/>
        <v>#REF!</v>
      </c>
      <c r="ED149" t="e">
        <f t="shared" si="108"/>
        <v>#REF!</v>
      </c>
      <c r="EE149" t="e">
        <f t="shared" si="108"/>
        <v>#REF!</v>
      </c>
      <c r="EF149" t="e">
        <f t="shared" si="108"/>
        <v>#REF!</v>
      </c>
      <c r="EG149" t="e">
        <f t="shared" si="112"/>
        <v>#REF!</v>
      </c>
      <c r="EH149" t="e">
        <f t="shared" si="112"/>
        <v>#REF!</v>
      </c>
      <c r="EI149" t="e">
        <f t="shared" si="112"/>
        <v>#REF!</v>
      </c>
      <c r="EJ149" t="e">
        <f t="shared" si="112"/>
        <v>#REF!</v>
      </c>
      <c r="EK149" t="e">
        <f t="shared" si="112"/>
        <v>#REF!</v>
      </c>
      <c r="EL149" t="e">
        <f t="shared" si="112"/>
        <v>#REF!</v>
      </c>
      <c r="EM149" t="e">
        <f t="shared" si="112"/>
        <v>#REF!</v>
      </c>
    </row>
    <row r="150" spans="1:143" x14ac:dyDescent="0.4">
      <c r="A150" t="str">
        <f t="shared" si="103"/>
        <v>X</v>
      </c>
      <c r="B150">
        <v>147</v>
      </c>
      <c r="C150" t="e" cm="1">
        <f t="array" ref="C150">INDEX(auto_Series_Code,B150)</f>
        <v>#REF!</v>
      </c>
      <c r="D150" t="e">
        <f t="shared" si="107"/>
        <v>#REF!</v>
      </c>
      <c r="E150" t="e">
        <f t="shared" si="107"/>
        <v>#REF!</v>
      </c>
      <c r="F150" t="e">
        <f t="shared" si="107"/>
        <v>#REF!</v>
      </c>
      <c r="G150" t="e">
        <f t="shared" si="107"/>
        <v>#REF!</v>
      </c>
      <c r="H150" t="e">
        <f t="shared" si="107"/>
        <v>#REF!</v>
      </c>
      <c r="I150" t="e">
        <f t="shared" si="107"/>
        <v>#REF!</v>
      </c>
      <c r="J150" t="e">
        <f t="shared" si="107"/>
        <v>#REF!</v>
      </c>
      <c r="K150" t="e">
        <f t="shared" si="107"/>
        <v>#REF!</v>
      </c>
      <c r="L150" t="e">
        <f t="shared" si="107"/>
        <v>#REF!</v>
      </c>
      <c r="M150" t="e">
        <f t="shared" si="107"/>
        <v>#REF!</v>
      </c>
      <c r="N150" t="e">
        <f t="shared" si="107"/>
        <v>#REF!</v>
      </c>
      <c r="O150" t="e">
        <f t="shared" si="107"/>
        <v>#REF!</v>
      </c>
      <c r="P150" t="e">
        <f t="shared" si="107"/>
        <v>#REF!</v>
      </c>
      <c r="Q150" t="e">
        <f t="shared" si="107"/>
        <v>#REF!</v>
      </c>
      <c r="R150" t="e">
        <f t="shared" si="107"/>
        <v>#REF!</v>
      </c>
      <c r="S150" t="e">
        <f t="shared" si="107"/>
        <v>#REF!</v>
      </c>
      <c r="T150" t="e">
        <f t="shared" si="105"/>
        <v>#REF!</v>
      </c>
      <c r="U150" t="e">
        <f t="shared" si="105"/>
        <v>#REF!</v>
      </c>
      <c r="V150" t="e">
        <f t="shared" si="105"/>
        <v>#REF!</v>
      </c>
      <c r="W150" t="e">
        <f t="shared" si="105"/>
        <v>#REF!</v>
      </c>
      <c r="X150" t="e">
        <f t="shared" si="105"/>
        <v>#REF!</v>
      </c>
      <c r="Y150" t="e">
        <f t="shared" si="105"/>
        <v>#REF!</v>
      </c>
      <c r="Z150" t="e">
        <f t="shared" si="105"/>
        <v>#REF!</v>
      </c>
      <c r="AA150" t="e">
        <f t="shared" si="105"/>
        <v>#REF!</v>
      </c>
      <c r="AB150" t="e">
        <f t="shared" si="105"/>
        <v>#REF!</v>
      </c>
      <c r="AC150" t="e">
        <f t="shared" si="105"/>
        <v>#REF!</v>
      </c>
      <c r="AD150" t="e">
        <f t="shared" si="105"/>
        <v>#REF!</v>
      </c>
      <c r="AE150" t="e">
        <f t="shared" si="105"/>
        <v>#REF!</v>
      </c>
      <c r="AF150" t="e">
        <f t="shared" si="105"/>
        <v>#REF!</v>
      </c>
      <c r="AG150" t="e">
        <f t="shared" si="105"/>
        <v>#REF!</v>
      </c>
      <c r="AH150" t="e">
        <f t="shared" si="101"/>
        <v>#REF!</v>
      </c>
      <c r="AI150" t="e">
        <f t="shared" si="101"/>
        <v>#REF!</v>
      </c>
      <c r="AJ150" t="e">
        <f t="shared" si="101"/>
        <v>#REF!</v>
      </c>
      <c r="AK150" t="e">
        <f t="shared" si="101"/>
        <v>#REF!</v>
      </c>
      <c r="AL150" t="e">
        <f t="shared" si="101"/>
        <v>#REF!</v>
      </c>
      <c r="AM150" t="e">
        <f t="shared" si="101"/>
        <v>#REF!</v>
      </c>
      <c r="AN150" t="e">
        <f t="shared" si="101"/>
        <v>#REF!</v>
      </c>
      <c r="AO150" t="e">
        <f t="shared" si="101"/>
        <v>#REF!</v>
      </c>
      <c r="AP150" t="e">
        <f t="shared" si="101"/>
        <v>#REF!</v>
      </c>
      <c r="AQ150" t="e">
        <f t="shared" si="101"/>
        <v>#REF!</v>
      </c>
      <c r="AR150" t="e">
        <f t="shared" si="101"/>
        <v>#REF!</v>
      </c>
      <c r="AS150" t="e">
        <f t="shared" si="101"/>
        <v>#REF!</v>
      </c>
      <c r="AT150" t="e">
        <f t="shared" si="101"/>
        <v>#REF!</v>
      </c>
      <c r="AU150" t="e">
        <f t="shared" si="101"/>
        <v>#REF!</v>
      </c>
      <c r="AV150" t="e">
        <f t="shared" ref="AV150:BK172" si="114">MATCH(CONCATENATE(AV$3,"_",$C150),auto_DataFlat_UID,0)</f>
        <v>#REF!</v>
      </c>
      <c r="AW150" t="e">
        <f t="shared" si="114"/>
        <v>#REF!</v>
      </c>
      <c r="AX150" t="e">
        <f t="shared" si="114"/>
        <v>#REF!</v>
      </c>
      <c r="AY150" t="e">
        <f t="shared" si="114"/>
        <v>#REF!</v>
      </c>
      <c r="AZ150" t="e">
        <f t="shared" si="114"/>
        <v>#REF!</v>
      </c>
      <c r="BA150" t="e">
        <f t="shared" si="114"/>
        <v>#REF!</v>
      </c>
      <c r="BB150" t="e">
        <f t="shared" si="94"/>
        <v>#REF!</v>
      </c>
      <c r="BC150" t="e">
        <f t="shared" si="94"/>
        <v>#REF!</v>
      </c>
      <c r="BD150" t="e">
        <f t="shared" si="94"/>
        <v>#REF!</v>
      </c>
      <c r="BE150" t="e">
        <f t="shared" si="94"/>
        <v>#REF!</v>
      </c>
      <c r="BF150" t="e">
        <f t="shared" si="94"/>
        <v>#REF!</v>
      </c>
      <c r="BG150" t="e">
        <f t="shared" si="94"/>
        <v>#REF!</v>
      </c>
      <c r="BH150" t="e">
        <f t="shared" si="94"/>
        <v>#REF!</v>
      </c>
      <c r="BI150" t="e">
        <f t="shared" si="94"/>
        <v>#REF!</v>
      </c>
      <c r="BJ150" t="e">
        <f t="shared" si="94"/>
        <v>#REF!</v>
      </c>
      <c r="BK150" t="e">
        <f t="shared" si="94"/>
        <v>#REF!</v>
      </c>
      <c r="BL150" t="e">
        <f t="shared" si="104"/>
        <v>#REF!</v>
      </c>
      <c r="BM150" t="e">
        <f t="shared" si="104"/>
        <v>#REF!</v>
      </c>
      <c r="BN150" t="e">
        <f t="shared" si="104"/>
        <v>#REF!</v>
      </c>
      <c r="BO150" t="e">
        <f t="shared" si="104"/>
        <v>#REF!</v>
      </c>
      <c r="BP150" t="e">
        <f t="shared" si="104"/>
        <v>#REF!</v>
      </c>
      <c r="BQ150" t="e">
        <f t="shared" si="104"/>
        <v>#REF!</v>
      </c>
      <c r="BR150" t="e">
        <f t="shared" si="104"/>
        <v>#REF!</v>
      </c>
      <c r="BS150" t="e">
        <f t="shared" si="104"/>
        <v>#REF!</v>
      </c>
      <c r="BT150" t="e">
        <f t="shared" si="104"/>
        <v>#REF!</v>
      </c>
      <c r="BU150" t="e">
        <f t="shared" si="104"/>
        <v>#REF!</v>
      </c>
      <c r="BV150" t="e">
        <f t="shared" si="104"/>
        <v>#REF!</v>
      </c>
      <c r="BW150" t="e">
        <f t="shared" si="113"/>
        <v>#REF!</v>
      </c>
      <c r="BX150" t="e">
        <f t="shared" si="113"/>
        <v>#REF!</v>
      </c>
      <c r="BY150" t="e">
        <f t="shared" si="113"/>
        <v>#REF!</v>
      </c>
      <c r="BZ150" t="e">
        <f t="shared" si="113"/>
        <v>#REF!</v>
      </c>
      <c r="CA150" t="e">
        <f t="shared" si="113"/>
        <v>#REF!</v>
      </c>
      <c r="CB150" t="e">
        <f t="shared" si="113"/>
        <v>#REF!</v>
      </c>
      <c r="CC150" t="e">
        <f t="shared" si="113"/>
        <v>#REF!</v>
      </c>
      <c r="CD150" t="e">
        <f t="shared" si="113"/>
        <v>#REF!</v>
      </c>
      <c r="CE150" t="e">
        <f t="shared" si="113"/>
        <v>#REF!</v>
      </c>
      <c r="CF150" t="e">
        <f t="shared" si="113"/>
        <v>#REF!</v>
      </c>
      <c r="CG150" t="e">
        <f t="shared" si="113"/>
        <v>#REF!</v>
      </c>
      <c r="CH150" t="e">
        <f t="shared" si="113"/>
        <v>#REF!</v>
      </c>
      <c r="CI150" t="e">
        <f t="shared" si="113"/>
        <v>#REF!</v>
      </c>
      <c r="CJ150" t="e">
        <f t="shared" si="113"/>
        <v>#REF!</v>
      </c>
      <c r="CK150" t="e">
        <f t="shared" si="113"/>
        <v>#REF!</v>
      </c>
      <c r="CL150" t="e">
        <f t="shared" si="113"/>
        <v>#REF!</v>
      </c>
      <c r="CM150" t="e">
        <f t="shared" si="110"/>
        <v>#REF!</v>
      </c>
      <c r="CN150" t="e">
        <f t="shared" si="110"/>
        <v>#REF!</v>
      </c>
      <c r="CO150" t="e">
        <f t="shared" si="110"/>
        <v>#REF!</v>
      </c>
      <c r="CP150" t="e">
        <f t="shared" si="109"/>
        <v>#REF!</v>
      </c>
      <c r="CQ150" t="e">
        <f t="shared" si="109"/>
        <v>#REF!</v>
      </c>
      <c r="CR150" t="e">
        <f t="shared" si="109"/>
        <v>#REF!</v>
      </c>
      <c r="CS150" t="e">
        <f t="shared" si="109"/>
        <v>#REF!</v>
      </c>
      <c r="CT150" t="e">
        <f t="shared" si="109"/>
        <v>#REF!</v>
      </c>
      <c r="CU150" t="e">
        <f t="shared" si="109"/>
        <v>#REF!</v>
      </c>
      <c r="CV150" t="e">
        <f t="shared" si="109"/>
        <v>#REF!</v>
      </c>
      <c r="CW150" t="e">
        <f t="shared" si="109"/>
        <v>#REF!</v>
      </c>
      <c r="CX150" t="e">
        <f t="shared" si="109"/>
        <v>#REF!</v>
      </c>
      <c r="CY150" t="e">
        <f t="shared" si="109"/>
        <v>#REF!</v>
      </c>
      <c r="CZ150" t="e">
        <f t="shared" si="109"/>
        <v>#REF!</v>
      </c>
      <c r="DA150" t="e">
        <f t="shared" si="109"/>
        <v>#REF!</v>
      </c>
      <c r="DB150" t="e">
        <f t="shared" si="109"/>
        <v>#REF!</v>
      </c>
      <c r="DC150" t="e">
        <f t="shared" si="109"/>
        <v>#REF!</v>
      </c>
      <c r="DD150" t="e">
        <f t="shared" si="109"/>
        <v>#REF!</v>
      </c>
      <c r="DE150" t="e">
        <f t="shared" ref="DE150:DI157" si="115">MATCH(CONCATENATE(DE$3,"_",$C150),auto_DataFlat_UID,0)</f>
        <v>#REF!</v>
      </c>
      <c r="DF150" t="e">
        <f t="shared" si="115"/>
        <v>#REF!</v>
      </c>
      <c r="DG150" t="e">
        <f t="shared" si="115"/>
        <v>#REF!</v>
      </c>
      <c r="DH150" t="e">
        <f t="shared" si="115"/>
        <v>#REF!</v>
      </c>
      <c r="DI150" t="e">
        <f t="shared" si="115"/>
        <v>#REF!</v>
      </c>
      <c r="DJ150" t="e">
        <f t="shared" si="102"/>
        <v>#REF!</v>
      </c>
      <c r="DK150" t="e">
        <f t="shared" si="102"/>
        <v>#REF!</v>
      </c>
      <c r="DL150" t="e">
        <f t="shared" si="102"/>
        <v>#REF!</v>
      </c>
      <c r="DM150" t="e">
        <f t="shared" si="102"/>
        <v>#REF!</v>
      </c>
      <c r="DN150" t="e">
        <f t="shared" si="102"/>
        <v>#REF!</v>
      </c>
      <c r="DO150" t="e">
        <f t="shared" si="102"/>
        <v>#REF!</v>
      </c>
      <c r="DP150" t="e">
        <f t="shared" si="102"/>
        <v>#REF!</v>
      </c>
      <c r="DQ150" t="e">
        <f t="shared" si="108"/>
        <v>#REF!</v>
      </c>
      <c r="DR150" t="e">
        <f t="shared" si="108"/>
        <v>#REF!</v>
      </c>
      <c r="DS150" t="e">
        <f t="shared" si="108"/>
        <v>#REF!</v>
      </c>
      <c r="DT150" t="e">
        <f t="shared" si="108"/>
        <v>#REF!</v>
      </c>
      <c r="DU150" t="e">
        <f t="shared" si="108"/>
        <v>#REF!</v>
      </c>
      <c r="DV150" t="e">
        <f t="shared" si="108"/>
        <v>#REF!</v>
      </c>
      <c r="DW150" t="e">
        <f t="shared" si="108"/>
        <v>#REF!</v>
      </c>
      <c r="DX150" t="e">
        <f t="shared" si="108"/>
        <v>#REF!</v>
      </c>
      <c r="DY150" t="e">
        <f t="shared" si="108"/>
        <v>#REF!</v>
      </c>
      <c r="DZ150" t="e">
        <f t="shared" si="108"/>
        <v>#REF!</v>
      </c>
      <c r="EA150" t="e">
        <f t="shared" si="108"/>
        <v>#REF!</v>
      </c>
      <c r="EB150" t="e">
        <f t="shared" si="108"/>
        <v>#REF!</v>
      </c>
      <c r="EC150" t="e">
        <f t="shared" si="108"/>
        <v>#REF!</v>
      </c>
      <c r="ED150" t="e">
        <f t="shared" si="108"/>
        <v>#REF!</v>
      </c>
      <c r="EE150" t="e">
        <f t="shared" si="108"/>
        <v>#REF!</v>
      </c>
      <c r="EF150" t="e">
        <f t="shared" si="108"/>
        <v>#REF!</v>
      </c>
      <c r="EG150" t="e">
        <f t="shared" si="112"/>
        <v>#REF!</v>
      </c>
      <c r="EH150" t="e">
        <f t="shared" si="112"/>
        <v>#REF!</v>
      </c>
      <c r="EI150" t="e">
        <f t="shared" si="112"/>
        <v>#REF!</v>
      </c>
      <c r="EJ150" t="e">
        <f t="shared" si="112"/>
        <v>#REF!</v>
      </c>
      <c r="EK150" t="e">
        <f t="shared" si="112"/>
        <v>#REF!</v>
      </c>
      <c r="EL150" t="e">
        <f t="shared" si="112"/>
        <v>#REF!</v>
      </c>
      <c r="EM150" t="e">
        <f t="shared" si="112"/>
        <v>#REF!</v>
      </c>
    </row>
    <row r="151" spans="1:143" x14ac:dyDescent="0.4">
      <c r="A151" t="str">
        <f t="shared" si="103"/>
        <v>X</v>
      </c>
      <c r="B151">
        <v>148</v>
      </c>
      <c r="C151" t="e" cm="1">
        <f t="array" ref="C151">INDEX(auto_Series_Code,B151)</f>
        <v>#REF!</v>
      </c>
      <c r="D151" t="e">
        <f t="shared" si="107"/>
        <v>#REF!</v>
      </c>
      <c r="E151" t="e">
        <f t="shared" si="107"/>
        <v>#REF!</v>
      </c>
      <c r="F151" t="e">
        <f t="shared" si="107"/>
        <v>#REF!</v>
      </c>
      <c r="G151" t="e">
        <f t="shared" si="107"/>
        <v>#REF!</v>
      </c>
      <c r="H151" t="e">
        <f t="shared" si="107"/>
        <v>#REF!</v>
      </c>
      <c r="I151" t="e">
        <f t="shared" si="107"/>
        <v>#REF!</v>
      </c>
      <c r="J151" t="e">
        <f t="shared" si="107"/>
        <v>#REF!</v>
      </c>
      <c r="K151" t="e">
        <f t="shared" si="107"/>
        <v>#REF!</v>
      </c>
      <c r="L151" t="e">
        <f t="shared" si="107"/>
        <v>#REF!</v>
      </c>
      <c r="M151" t="e">
        <f t="shared" si="107"/>
        <v>#REF!</v>
      </c>
      <c r="N151" t="e">
        <f t="shared" si="107"/>
        <v>#REF!</v>
      </c>
      <c r="O151" t="e">
        <f t="shared" si="107"/>
        <v>#REF!</v>
      </c>
      <c r="P151" t="e">
        <f t="shared" si="107"/>
        <v>#REF!</v>
      </c>
      <c r="Q151" t="e">
        <f t="shared" si="107"/>
        <v>#REF!</v>
      </c>
      <c r="R151" t="e">
        <f t="shared" si="107"/>
        <v>#REF!</v>
      </c>
      <c r="S151" t="e">
        <f t="shared" ref="S151:AG184" si="116">MATCH(CONCATENATE(S$3,"_",$C151),auto_DataFlat_UID,0)</f>
        <v>#REF!</v>
      </c>
      <c r="T151" t="e">
        <f t="shared" si="116"/>
        <v>#REF!</v>
      </c>
      <c r="U151" t="e">
        <f t="shared" si="116"/>
        <v>#REF!</v>
      </c>
      <c r="V151" t="e">
        <f t="shared" si="116"/>
        <v>#REF!</v>
      </c>
      <c r="W151" t="e">
        <f t="shared" si="116"/>
        <v>#REF!</v>
      </c>
      <c r="X151" t="e">
        <f t="shared" si="105"/>
        <v>#REF!</v>
      </c>
      <c r="Y151" t="e">
        <f t="shared" si="105"/>
        <v>#REF!</v>
      </c>
      <c r="Z151" t="e">
        <f t="shared" si="105"/>
        <v>#REF!</v>
      </c>
      <c r="AA151" t="e">
        <f t="shared" si="105"/>
        <v>#REF!</v>
      </c>
      <c r="AB151" t="e">
        <f t="shared" si="105"/>
        <v>#REF!</v>
      </c>
      <c r="AC151" t="e">
        <f t="shared" si="105"/>
        <v>#REF!</v>
      </c>
      <c r="AD151" t="e">
        <f t="shared" si="105"/>
        <v>#REF!</v>
      </c>
      <c r="AE151" t="e">
        <f t="shared" si="105"/>
        <v>#REF!</v>
      </c>
      <c r="AF151" t="e">
        <f t="shared" si="105"/>
        <v>#REF!</v>
      </c>
      <c r="AG151" t="e">
        <f t="shared" si="105"/>
        <v>#REF!</v>
      </c>
      <c r="AH151" t="e">
        <f t="shared" si="105"/>
        <v>#REF!</v>
      </c>
      <c r="AI151" t="e">
        <f t="shared" ref="AI151:AX169" si="117">MATCH(CONCATENATE(AI$3,"_",$C151),auto_DataFlat_UID,0)</f>
        <v>#REF!</v>
      </c>
      <c r="AJ151" t="e">
        <f t="shared" si="117"/>
        <v>#REF!</v>
      </c>
      <c r="AK151" t="e">
        <f t="shared" si="117"/>
        <v>#REF!</v>
      </c>
      <c r="AL151" t="e">
        <f t="shared" si="117"/>
        <v>#REF!</v>
      </c>
      <c r="AM151" t="e">
        <f t="shared" si="117"/>
        <v>#REF!</v>
      </c>
      <c r="AN151" t="e">
        <f t="shared" si="117"/>
        <v>#REF!</v>
      </c>
      <c r="AO151" t="e">
        <f t="shared" si="117"/>
        <v>#REF!</v>
      </c>
      <c r="AP151" t="e">
        <f t="shared" si="117"/>
        <v>#REF!</v>
      </c>
      <c r="AQ151" t="e">
        <f t="shared" si="117"/>
        <v>#REF!</v>
      </c>
      <c r="AR151" t="e">
        <f t="shared" si="117"/>
        <v>#REF!</v>
      </c>
      <c r="AS151" t="e">
        <f t="shared" si="117"/>
        <v>#REF!</v>
      </c>
      <c r="AT151" t="e">
        <f t="shared" si="117"/>
        <v>#REF!</v>
      </c>
      <c r="AU151" t="e">
        <f t="shared" si="117"/>
        <v>#REF!</v>
      </c>
      <c r="AV151" t="e">
        <f t="shared" si="117"/>
        <v>#REF!</v>
      </c>
      <c r="AW151" t="e">
        <f t="shared" si="117"/>
        <v>#REF!</v>
      </c>
      <c r="AX151" t="e">
        <f t="shared" si="117"/>
        <v>#REF!</v>
      </c>
      <c r="AY151" t="e">
        <f t="shared" si="114"/>
        <v>#REF!</v>
      </c>
      <c r="AZ151" t="e">
        <f t="shared" si="114"/>
        <v>#REF!</v>
      </c>
      <c r="BA151" t="e">
        <f t="shared" si="114"/>
        <v>#REF!</v>
      </c>
      <c r="BB151" t="e">
        <f t="shared" si="94"/>
        <v>#REF!</v>
      </c>
      <c r="BC151" t="e">
        <f t="shared" si="94"/>
        <v>#REF!</v>
      </c>
      <c r="BD151" t="e">
        <f t="shared" si="94"/>
        <v>#REF!</v>
      </c>
      <c r="BE151" t="e">
        <f t="shared" si="94"/>
        <v>#REF!</v>
      </c>
      <c r="BF151" t="e">
        <f t="shared" si="94"/>
        <v>#REF!</v>
      </c>
      <c r="BG151" t="e">
        <f t="shared" si="94"/>
        <v>#REF!</v>
      </c>
      <c r="BH151" t="e">
        <f t="shared" si="94"/>
        <v>#REF!</v>
      </c>
      <c r="BI151" t="e">
        <f t="shared" si="94"/>
        <v>#REF!</v>
      </c>
      <c r="BJ151" t="e">
        <f t="shared" si="94"/>
        <v>#REF!</v>
      </c>
      <c r="BK151" t="e">
        <f t="shared" si="94"/>
        <v>#REF!</v>
      </c>
      <c r="BL151" t="e">
        <f t="shared" si="104"/>
        <v>#REF!</v>
      </c>
      <c r="BM151" t="e">
        <f t="shared" si="104"/>
        <v>#REF!</v>
      </c>
      <c r="BN151" t="e">
        <f t="shared" si="104"/>
        <v>#REF!</v>
      </c>
      <c r="BO151" t="e">
        <f t="shared" si="104"/>
        <v>#REF!</v>
      </c>
      <c r="BP151" t="e">
        <f t="shared" si="104"/>
        <v>#REF!</v>
      </c>
      <c r="BQ151" t="e">
        <f t="shared" si="104"/>
        <v>#REF!</v>
      </c>
      <c r="BR151" t="e">
        <f t="shared" si="104"/>
        <v>#REF!</v>
      </c>
      <c r="BS151" t="e">
        <f t="shared" si="104"/>
        <v>#REF!</v>
      </c>
      <c r="BT151" t="e">
        <f t="shared" si="104"/>
        <v>#REF!</v>
      </c>
      <c r="BU151" t="e">
        <f t="shared" si="104"/>
        <v>#REF!</v>
      </c>
      <c r="BV151" t="e">
        <f t="shared" si="104"/>
        <v>#REF!</v>
      </c>
      <c r="BW151" t="e">
        <f t="shared" si="113"/>
        <v>#REF!</v>
      </c>
      <c r="BX151" t="e">
        <f t="shared" si="113"/>
        <v>#REF!</v>
      </c>
      <c r="BY151" t="e">
        <f t="shared" si="113"/>
        <v>#REF!</v>
      </c>
      <c r="BZ151" t="e">
        <f t="shared" si="113"/>
        <v>#REF!</v>
      </c>
      <c r="CA151" t="e">
        <f t="shared" si="113"/>
        <v>#REF!</v>
      </c>
      <c r="CB151" t="e">
        <f t="shared" si="113"/>
        <v>#REF!</v>
      </c>
      <c r="CC151" t="e">
        <f t="shared" si="113"/>
        <v>#REF!</v>
      </c>
      <c r="CD151" t="e">
        <f t="shared" si="113"/>
        <v>#REF!</v>
      </c>
      <c r="CE151" t="e">
        <f t="shared" si="113"/>
        <v>#REF!</v>
      </c>
      <c r="CF151" t="e">
        <f t="shared" si="113"/>
        <v>#REF!</v>
      </c>
      <c r="CG151" t="e">
        <f t="shared" si="113"/>
        <v>#REF!</v>
      </c>
      <c r="CH151" t="e">
        <f t="shared" si="113"/>
        <v>#REF!</v>
      </c>
      <c r="CI151" t="e">
        <f t="shared" si="113"/>
        <v>#REF!</v>
      </c>
      <c r="CJ151" t="e">
        <f t="shared" si="113"/>
        <v>#REF!</v>
      </c>
      <c r="CK151" t="e">
        <f t="shared" si="113"/>
        <v>#REF!</v>
      </c>
      <c r="CL151" t="e">
        <f t="shared" si="113"/>
        <v>#REF!</v>
      </c>
      <c r="CM151" t="e">
        <f t="shared" si="110"/>
        <v>#REF!</v>
      </c>
      <c r="CN151" t="e">
        <f t="shared" si="110"/>
        <v>#REF!</v>
      </c>
      <c r="CO151" t="e">
        <f t="shared" si="110"/>
        <v>#REF!</v>
      </c>
      <c r="CP151" t="e">
        <f t="shared" si="109"/>
        <v>#REF!</v>
      </c>
      <c r="CQ151" t="e">
        <f t="shared" si="109"/>
        <v>#REF!</v>
      </c>
      <c r="CR151" t="e">
        <f t="shared" si="109"/>
        <v>#REF!</v>
      </c>
      <c r="CS151" t="e">
        <f t="shared" si="109"/>
        <v>#REF!</v>
      </c>
      <c r="CT151" t="e">
        <f t="shared" si="109"/>
        <v>#REF!</v>
      </c>
      <c r="CU151" t="e">
        <f t="shared" si="109"/>
        <v>#REF!</v>
      </c>
      <c r="CV151" t="e">
        <f t="shared" si="109"/>
        <v>#REF!</v>
      </c>
      <c r="CW151" t="e">
        <f t="shared" si="109"/>
        <v>#REF!</v>
      </c>
      <c r="CX151" t="e">
        <f t="shared" si="109"/>
        <v>#REF!</v>
      </c>
      <c r="CY151" t="e">
        <f t="shared" si="109"/>
        <v>#REF!</v>
      </c>
      <c r="CZ151" t="e">
        <f t="shared" si="109"/>
        <v>#REF!</v>
      </c>
      <c r="DA151" t="e">
        <f t="shared" si="109"/>
        <v>#REF!</v>
      </c>
      <c r="DB151" t="e">
        <f t="shared" si="109"/>
        <v>#REF!</v>
      </c>
      <c r="DC151" t="e">
        <f t="shared" si="109"/>
        <v>#REF!</v>
      </c>
      <c r="DD151" t="e">
        <f t="shared" si="109"/>
        <v>#REF!</v>
      </c>
      <c r="DE151" t="e">
        <f t="shared" si="115"/>
        <v>#REF!</v>
      </c>
      <c r="DF151" t="e">
        <f t="shared" si="115"/>
        <v>#REF!</v>
      </c>
      <c r="DG151" t="e">
        <f t="shared" si="115"/>
        <v>#REF!</v>
      </c>
      <c r="DH151" t="e">
        <f t="shared" si="115"/>
        <v>#REF!</v>
      </c>
      <c r="DI151" t="e">
        <f t="shared" si="115"/>
        <v>#REF!</v>
      </c>
      <c r="DJ151" t="e">
        <f t="shared" si="102"/>
        <v>#REF!</v>
      </c>
      <c r="DK151" t="e">
        <f t="shared" si="102"/>
        <v>#REF!</v>
      </c>
      <c r="DL151" t="e">
        <f t="shared" si="102"/>
        <v>#REF!</v>
      </c>
      <c r="DM151" t="e">
        <f t="shared" si="102"/>
        <v>#REF!</v>
      </c>
      <c r="DN151" t="e">
        <f t="shared" si="102"/>
        <v>#REF!</v>
      </c>
      <c r="DO151" t="e">
        <f t="shared" si="102"/>
        <v>#REF!</v>
      </c>
      <c r="DP151" t="e">
        <f t="shared" si="102"/>
        <v>#REF!</v>
      </c>
      <c r="DQ151" t="e">
        <f t="shared" si="108"/>
        <v>#REF!</v>
      </c>
      <c r="DR151" t="e">
        <f t="shared" si="108"/>
        <v>#REF!</v>
      </c>
      <c r="DS151" t="e">
        <f t="shared" si="108"/>
        <v>#REF!</v>
      </c>
      <c r="DT151" t="e">
        <f t="shared" si="108"/>
        <v>#REF!</v>
      </c>
      <c r="DU151" t="e">
        <f t="shared" si="108"/>
        <v>#REF!</v>
      </c>
      <c r="DV151" t="e">
        <f t="shared" si="108"/>
        <v>#REF!</v>
      </c>
      <c r="DW151" t="e">
        <f t="shared" si="108"/>
        <v>#REF!</v>
      </c>
      <c r="DX151" t="e">
        <f t="shared" si="108"/>
        <v>#REF!</v>
      </c>
      <c r="DY151" t="e">
        <f t="shared" si="108"/>
        <v>#REF!</v>
      </c>
      <c r="DZ151" t="e">
        <f t="shared" si="108"/>
        <v>#REF!</v>
      </c>
      <c r="EA151" t="e">
        <f t="shared" si="108"/>
        <v>#REF!</v>
      </c>
      <c r="EB151" t="e">
        <f t="shared" si="108"/>
        <v>#REF!</v>
      </c>
      <c r="EC151" t="e">
        <f t="shared" si="108"/>
        <v>#REF!</v>
      </c>
      <c r="ED151" t="e">
        <f t="shared" si="108"/>
        <v>#REF!</v>
      </c>
      <c r="EE151" t="e">
        <f t="shared" si="108"/>
        <v>#REF!</v>
      </c>
      <c r="EF151" t="e">
        <f t="shared" si="108"/>
        <v>#REF!</v>
      </c>
      <c r="EG151" t="e">
        <f t="shared" si="112"/>
        <v>#REF!</v>
      </c>
      <c r="EH151" t="e">
        <f t="shared" si="112"/>
        <v>#REF!</v>
      </c>
      <c r="EI151" t="e">
        <f t="shared" si="112"/>
        <v>#REF!</v>
      </c>
      <c r="EJ151" t="e">
        <f t="shared" si="112"/>
        <v>#REF!</v>
      </c>
      <c r="EK151" t="e">
        <f t="shared" si="112"/>
        <v>#REF!</v>
      </c>
      <c r="EL151" t="e">
        <f t="shared" si="112"/>
        <v>#REF!</v>
      </c>
      <c r="EM151" t="e">
        <f t="shared" si="112"/>
        <v>#REF!</v>
      </c>
    </row>
    <row r="152" spans="1:143" x14ac:dyDescent="0.4">
      <c r="A152" t="str">
        <f t="shared" si="103"/>
        <v>X</v>
      </c>
      <c r="B152">
        <v>149</v>
      </c>
      <c r="C152" t="e" cm="1">
        <f t="array" ref="C152">INDEX(auto_Series_Code,B152)</f>
        <v>#REF!</v>
      </c>
      <c r="D152" t="e">
        <f t="shared" ref="D152:S167" si="118">MATCH(CONCATENATE(D$3,"_",$C152),auto_DataFlat_UID,0)</f>
        <v>#REF!</v>
      </c>
      <c r="E152" t="e">
        <f t="shared" si="118"/>
        <v>#REF!</v>
      </c>
      <c r="F152" t="e">
        <f t="shared" si="118"/>
        <v>#REF!</v>
      </c>
      <c r="G152" t="e">
        <f t="shared" si="118"/>
        <v>#REF!</v>
      </c>
      <c r="H152" t="e">
        <f t="shared" si="118"/>
        <v>#REF!</v>
      </c>
      <c r="I152" t="e">
        <f t="shared" si="118"/>
        <v>#REF!</v>
      </c>
      <c r="J152" t="e">
        <f t="shared" si="118"/>
        <v>#REF!</v>
      </c>
      <c r="K152" t="e">
        <f t="shared" si="118"/>
        <v>#REF!</v>
      </c>
      <c r="L152" t="e">
        <f t="shared" si="118"/>
        <v>#REF!</v>
      </c>
      <c r="M152" t="e">
        <f t="shared" si="118"/>
        <v>#REF!</v>
      </c>
      <c r="N152" t="e">
        <f t="shared" si="118"/>
        <v>#REF!</v>
      </c>
      <c r="O152" t="e">
        <f t="shared" si="118"/>
        <v>#REF!</v>
      </c>
      <c r="P152" t="e">
        <f t="shared" si="118"/>
        <v>#REF!</v>
      </c>
      <c r="Q152" t="e">
        <f t="shared" si="118"/>
        <v>#REF!</v>
      </c>
      <c r="R152" t="e">
        <f t="shared" si="118"/>
        <v>#REF!</v>
      </c>
      <c r="S152" t="e">
        <f t="shared" si="118"/>
        <v>#REF!</v>
      </c>
      <c r="T152" t="e">
        <f t="shared" si="116"/>
        <v>#REF!</v>
      </c>
      <c r="U152" t="e">
        <f t="shared" si="116"/>
        <v>#REF!</v>
      </c>
      <c r="V152" t="e">
        <f t="shared" si="116"/>
        <v>#REF!</v>
      </c>
      <c r="W152" t="e">
        <f t="shared" si="116"/>
        <v>#REF!</v>
      </c>
      <c r="X152" t="e">
        <f t="shared" si="105"/>
        <v>#REF!</v>
      </c>
      <c r="Y152" t="e">
        <f t="shared" si="105"/>
        <v>#REF!</v>
      </c>
      <c r="Z152" t="e">
        <f t="shared" si="105"/>
        <v>#REF!</v>
      </c>
      <c r="AA152" t="e">
        <f t="shared" si="105"/>
        <v>#REF!</v>
      </c>
      <c r="AB152" t="e">
        <f t="shared" si="105"/>
        <v>#REF!</v>
      </c>
      <c r="AC152" t="e">
        <f t="shared" si="105"/>
        <v>#REF!</v>
      </c>
      <c r="AD152" t="e">
        <f t="shared" si="105"/>
        <v>#REF!</v>
      </c>
      <c r="AE152" t="e">
        <f t="shared" si="105"/>
        <v>#REF!</v>
      </c>
      <c r="AF152" t="e">
        <f t="shared" si="105"/>
        <v>#REF!</v>
      </c>
      <c r="AG152" t="e">
        <f t="shared" si="105"/>
        <v>#REF!</v>
      </c>
      <c r="AH152" t="e">
        <f t="shared" si="105"/>
        <v>#REF!</v>
      </c>
      <c r="AI152" t="e">
        <f t="shared" si="117"/>
        <v>#REF!</v>
      </c>
      <c r="AJ152" t="e">
        <f t="shared" si="117"/>
        <v>#REF!</v>
      </c>
      <c r="AK152" t="e">
        <f t="shared" si="117"/>
        <v>#REF!</v>
      </c>
      <c r="AL152" t="e">
        <f t="shared" si="117"/>
        <v>#REF!</v>
      </c>
      <c r="AM152" t="e">
        <f t="shared" si="117"/>
        <v>#REF!</v>
      </c>
      <c r="AN152" t="e">
        <f t="shared" si="117"/>
        <v>#REF!</v>
      </c>
      <c r="AO152" t="e">
        <f t="shared" si="117"/>
        <v>#REF!</v>
      </c>
      <c r="AP152" t="e">
        <f t="shared" si="117"/>
        <v>#REF!</v>
      </c>
      <c r="AQ152" t="e">
        <f t="shared" si="117"/>
        <v>#REF!</v>
      </c>
      <c r="AR152" t="e">
        <f t="shared" si="117"/>
        <v>#REF!</v>
      </c>
      <c r="AS152" t="e">
        <f t="shared" si="117"/>
        <v>#REF!</v>
      </c>
      <c r="AT152" t="e">
        <f t="shared" si="117"/>
        <v>#REF!</v>
      </c>
      <c r="AU152" t="e">
        <f t="shared" si="117"/>
        <v>#REF!</v>
      </c>
      <c r="AV152" t="e">
        <f t="shared" si="117"/>
        <v>#REF!</v>
      </c>
      <c r="AW152" t="e">
        <f t="shared" si="117"/>
        <v>#REF!</v>
      </c>
      <c r="AX152" t="e">
        <f t="shared" si="117"/>
        <v>#REF!</v>
      </c>
      <c r="AY152" t="e">
        <f t="shared" si="114"/>
        <v>#REF!</v>
      </c>
      <c r="AZ152" t="e">
        <f t="shared" si="114"/>
        <v>#REF!</v>
      </c>
      <c r="BA152" t="e">
        <f t="shared" si="114"/>
        <v>#REF!</v>
      </c>
      <c r="BB152" t="e">
        <f t="shared" si="94"/>
        <v>#REF!</v>
      </c>
      <c r="BC152" t="e">
        <f t="shared" si="94"/>
        <v>#REF!</v>
      </c>
      <c r="BD152" t="e">
        <f t="shared" si="94"/>
        <v>#REF!</v>
      </c>
      <c r="BE152" t="e">
        <f t="shared" si="94"/>
        <v>#REF!</v>
      </c>
      <c r="BF152" t="e">
        <f t="shared" si="94"/>
        <v>#REF!</v>
      </c>
      <c r="BG152" t="e">
        <f t="shared" ref="BG152:BK152" si="119">MATCH(CONCATENATE(BG$3,"_",$C152),auto_DataFlat_UID,0)</f>
        <v>#REF!</v>
      </c>
      <c r="BH152" t="e">
        <f t="shared" si="119"/>
        <v>#REF!</v>
      </c>
      <c r="BI152" t="e">
        <f t="shared" si="119"/>
        <v>#REF!</v>
      </c>
      <c r="BJ152" t="e">
        <f t="shared" si="119"/>
        <v>#REF!</v>
      </c>
      <c r="BK152" t="e">
        <f t="shared" si="119"/>
        <v>#REF!</v>
      </c>
      <c r="BL152" t="e">
        <f t="shared" si="104"/>
        <v>#REF!</v>
      </c>
      <c r="BM152" t="e">
        <f t="shared" si="104"/>
        <v>#REF!</v>
      </c>
      <c r="BN152" t="e">
        <f t="shared" si="104"/>
        <v>#REF!</v>
      </c>
      <c r="BO152" t="e">
        <f t="shared" si="104"/>
        <v>#REF!</v>
      </c>
      <c r="BP152" t="e">
        <f t="shared" si="104"/>
        <v>#REF!</v>
      </c>
      <c r="BQ152" t="e">
        <f t="shared" si="104"/>
        <v>#REF!</v>
      </c>
      <c r="BR152" t="e">
        <f t="shared" si="104"/>
        <v>#REF!</v>
      </c>
      <c r="BS152" t="e">
        <f t="shared" si="104"/>
        <v>#REF!</v>
      </c>
      <c r="BT152" t="e">
        <f t="shared" si="104"/>
        <v>#REF!</v>
      </c>
      <c r="BU152" t="e">
        <f t="shared" si="104"/>
        <v>#REF!</v>
      </c>
      <c r="BV152" t="e">
        <f t="shared" si="104"/>
        <v>#REF!</v>
      </c>
      <c r="BW152" t="e">
        <f t="shared" si="113"/>
        <v>#REF!</v>
      </c>
      <c r="BX152" t="e">
        <f t="shared" si="113"/>
        <v>#REF!</v>
      </c>
      <c r="BY152" t="e">
        <f t="shared" si="113"/>
        <v>#REF!</v>
      </c>
      <c r="BZ152" t="e">
        <f t="shared" si="113"/>
        <v>#REF!</v>
      </c>
      <c r="CA152" t="e">
        <f t="shared" si="113"/>
        <v>#REF!</v>
      </c>
      <c r="CB152" t="e">
        <f t="shared" si="113"/>
        <v>#REF!</v>
      </c>
      <c r="CC152" t="e">
        <f t="shared" si="113"/>
        <v>#REF!</v>
      </c>
      <c r="CD152" t="e">
        <f t="shared" si="113"/>
        <v>#REF!</v>
      </c>
      <c r="CE152" t="e">
        <f t="shared" si="113"/>
        <v>#REF!</v>
      </c>
      <c r="CF152" t="e">
        <f t="shared" si="113"/>
        <v>#REF!</v>
      </c>
      <c r="CG152" t="e">
        <f t="shared" si="113"/>
        <v>#REF!</v>
      </c>
      <c r="CH152" t="e">
        <f t="shared" si="113"/>
        <v>#REF!</v>
      </c>
      <c r="CI152" t="e">
        <f t="shared" si="113"/>
        <v>#REF!</v>
      </c>
      <c r="CJ152" t="e">
        <f t="shared" si="113"/>
        <v>#REF!</v>
      </c>
      <c r="CK152" t="e">
        <f t="shared" si="113"/>
        <v>#REF!</v>
      </c>
      <c r="CL152" t="e">
        <f t="shared" si="113"/>
        <v>#REF!</v>
      </c>
      <c r="CM152" t="e">
        <f t="shared" si="110"/>
        <v>#REF!</v>
      </c>
      <c r="CN152" t="e">
        <f t="shared" si="110"/>
        <v>#REF!</v>
      </c>
      <c r="CO152" t="e">
        <f t="shared" si="110"/>
        <v>#REF!</v>
      </c>
      <c r="CP152" t="e">
        <f t="shared" si="109"/>
        <v>#REF!</v>
      </c>
      <c r="CQ152" t="e">
        <f t="shared" si="109"/>
        <v>#REF!</v>
      </c>
      <c r="CR152" t="e">
        <f t="shared" si="109"/>
        <v>#REF!</v>
      </c>
      <c r="CS152" t="e">
        <f t="shared" si="109"/>
        <v>#REF!</v>
      </c>
      <c r="CT152" t="e">
        <f t="shared" si="109"/>
        <v>#REF!</v>
      </c>
      <c r="CU152" t="e">
        <f t="shared" si="109"/>
        <v>#REF!</v>
      </c>
      <c r="CV152" t="e">
        <f t="shared" si="109"/>
        <v>#REF!</v>
      </c>
      <c r="CW152" t="e">
        <f t="shared" si="109"/>
        <v>#REF!</v>
      </c>
      <c r="CX152" t="e">
        <f t="shared" si="109"/>
        <v>#REF!</v>
      </c>
      <c r="CY152" t="e">
        <f t="shared" si="109"/>
        <v>#REF!</v>
      </c>
      <c r="CZ152" t="e">
        <f t="shared" si="109"/>
        <v>#REF!</v>
      </c>
      <c r="DA152" t="e">
        <f t="shared" si="109"/>
        <v>#REF!</v>
      </c>
      <c r="DB152" t="e">
        <f t="shared" si="109"/>
        <v>#REF!</v>
      </c>
      <c r="DC152" t="e">
        <f t="shared" si="109"/>
        <v>#REF!</v>
      </c>
      <c r="DD152" t="e">
        <f t="shared" si="109"/>
        <v>#REF!</v>
      </c>
      <c r="DE152" t="e">
        <f t="shared" si="115"/>
        <v>#REF!</v>
      </c>
      <c r="DF152" t="e">
        <f t="shared" si="115"/>
        <v>#REF!</v>
      </c>
      <c r="DG152" t="e">
        <f t="shared" si="115"/>
        <v>#REF!</v>
      </c>
      <c r="DH152" t="e">
        <f t="shared" si="115"/>
        <v>#REF!</v>
      </c>
      <c r="DI152" t="e">
        <f t="shared" si="115"/>
        <v>#REF!</v>
      </c>
      <c r="DJ152" t="e">
        <f t="shared" si="102"/>
        <v>#REF!</v>
      </c>
      <c r="DK152" t="e">
        <f t="shared" si="102"/>
        <v>#REF!</v>
      </c>
      <c r="DL152" t="e">
        <f t="shared" si="102"/>
        <v>#REF!</v>
      </c>
      <c r="DM152" t="e">
        <f t="shared" si="102"/>
        <v>#REF!</v>
      </c>
      <c r="DN152" t="e">
        <f t="shared" si="102"/>
        <v>#REF!</v>
      </c>
      <c r="DO152" t="e">
        <f t="shared" si="102"/>
        <v>#REF!</v>
      </c>
      <c r="DP152" t="e">
        <f t="shared" si="102"/>
        <v>#REF!</v>
      </c>
      <c r="DQ152" t="e">
        <f t="shared" si="108"/>
        <v>#REF!</v>
      </c>
      <c r="DR152" t="e">
        <f t="shared" si="108"/>
        <v>#REF!</v>
      </c>
      <c r="DS152" t="e">
        <f t="shared" si="108"/>
        <v>#REF!</v>
      </c>
      <c r="DT152" t="e">
        <f t="shared" si="108"/>
        <v>#REF!</v>
      </c>
      <c r="DU152" t="e">
        <f t="shared" si="108"/>
        <v>#REF!</v>
      </c>
      <c r="DV152" t="e">
        <f t="shared" si="108"/>
        <v>#REF!</v>
      </c>
      <c r="DW152" t="e">
        <f t="shared" si="108"/>
        <v>#REF!</v>
      </c>
      <c r="DX152" t="e">
        <f t="shared" si="108"/>
        <v>#REF!</v>
      </c>
      <c r="DY152" t="e">
        <f t="shared" si="108"/>
        <v>#REF!</v>
      </c>
      <c r="DZ152" t="e">
        <f t="shared" si="108"/>
        <v>#REF!</v>
      </c>
      <c r="EA152" t="e">
        <f t="shared" si="108"/>
        <v>#REF!</v>
      </c>
      <c r="EB152" t="e">
        <f t="shared" si="108"/>
        <v>#REF!</v>
      </c>
      <c r="EC152" t="e">
        <f t="shared" si="108"/>
        <v>#REF!</v>
      </c>
      <c r="ED152" t="e">
        <f t="shared" si="108"/>
        <v>#REF!</v>
      </c>
      <c r="EE152" t="e">
        <f t="shared" si="108"/>
        <v>#REF!</v>
      </c>
      <c r="EF152" t="e">
        <f t="shared" si="108"/>
        <v>#REF!</v>
      </c>
      <c r="EG152" t="e">
        <f t="shared" si="112"/>
        <v>#REF!</v>
      </c>
      <c r="EH152" t="e">
        <f t="shared" si="112"/>
        <v>#REF!</v>
      </c>
      <c r="EI152" t="e">
        <f t="shared" si="112"/>
        <v>#REF!</v>
      </c>
      <c r="EJ152" t="e">
        <f t="shared" si="112"/>
        <v>#REF!</v>
      </c>
      <c r="EK152" t="e">
        <f t="shared" si="112"/>
        <v>#REF!</v>
      </c>
      <c r="EL152" t="e">
        <f t="shared" si="112"/>
        <v>#REF!</v>
      </c>
      <c r="EM152" t="e">
        <f t="shared" si="112"/>
        <v>#REF!</v>
      </c>
    </row>
    <row r="153" spans="1:143" x14ac:dyDescent="0.4">
      <c r="A153" t="str">
        <f t="shared" ref="A153:A216" si="120">IF(ISERROR(C153),"X","")</f>
        <v>X</v>
      </c>
      <c r="B153">
        <v>150</v>
      </c>
      <c r="C153" t="e" cm="1">
        <f t="array" ref="C153">INDEX(auto_Series_Code,B153)</f>
        <v>#REF!</v>
      </c>
      <c r="D153" t="e">
        <f t="shared" si="118"/>
        <v>#REF!</v>
      </c>
      <c r="E153" t="e">
        <f t="shared" si="118"/>
        <v>#REF!</v>
      </c>
      <c r="F153" t="e">
        <f t="shared" si="118"/>
        <v>#REF!</v>
      </c>
      <c r="G153" t="e">
        <f t="shared" si="118"/>
        <v>#REF!</v>
      </c>
      <c r="H153" t="e">
        <f t="shared" si="118"/>
        <v>#REF!</v>
      </c>
      <c r="I153" t="e">
        <f t="shared" si="118"/>
        <v>#REF!</v>
      </c>
      <c r="J153" t="e">
        <f t="shared" si="118"/>
        <v>#REF!</v>
      </c>
      <c r="K153" t="e">
        <f t="shared" si="118"/>
        <v>#REF!</v>
      </c>
      <c r="L153" t="e">
        <f t="shared" si="118"/>
        <v>#REF!</v>
      </c>
      <c r="M153" t="e">
        <f t="shared" si="118"/>
        <v>#REF!</v>
      </c>
      <c r="N153" t="e">
        <f t="shared" si="118"/>
        <v>#REF!</v>
      </c>
      <c r="O153" t="e">
        <f t="shared" si="118"/>
        <v>#REF!</v>
      </c>
      <c r="P153" t="e">
        <f t="shared" si="118"/>
        <v>#REF!</v>
      </c>
      <c r="Q153" t="e">
        <f t="shared" si="118"/>
        <v>#REF!</v>
      </c>
      <c r="R153" t="e">
        <f t="shared" si="118"/>
        <v>#REF!</v>
      </c>
      <c r="S153" t="e">
        <f t="shared" si="118"/>
        <v>#REF!</v>
      </c>
      <c r="T153" t="e">
        <f t="shared" si="116"/>
        <v>#REF!</v>
      </c>
      <c r="U153" t="e">
        <f t="shared" si="116"/>
        <v>#REF!</v>
      </c>
      <c r="V153" t="e">
        <f t="shared" si="116"/>
        <v>#REF!</v>
      </c>
      <c r="W153" t="e">
        <f t="shared" si="116"/>
        <v>#REF!</v>
      </c>
      <c r="X153" t="e">
        <f t="shared" si="105"/>
        <v>#REF!</v>
      </c>
      <c r="Y153" t="e">
        <f t="shared" si="105"/>
        <v>#REF!</v>
      </c>
      <c r="Z153" t="e">
        <f t="shared" si="105"/>
        <v>#REF!</v>
      </c>
      <c r="AA153" t="e">
        <f t="shared" si="105"/>
        <v>#REF!</v>
      </c>
      <c r="AB153" t="e">
        <f t="shared" si="105"/>
        <v>#REF!</v>
      </c>
      <c r="AC153" t="e">
        <f t="shared" si="105"/>
        <v>#REF!</v>
      </c>
      <c r="AD153" t="e">
        <f t="shared" si="105"/>
        <v>#REF!</v>
      </c>
      <c r="AE153" t="e">
        <f t="shared" si="105"/>
        <v>#REF!</v>
      </c>
      <c r="AF153" t="e">
        <f t="shared" si="105"/>
        <v>#REF!</v>
      </c>
      <c r="AG153" t="e">
        <f t="shared" si="105"/>
        <v>#REF!</v>
      </c>
      <c r="AH153" t="e">
        <f t="shared" si="105"/>
        <v>#REF!</v>
      </c>
      <c r="AI153" t="e">
        <f t="shared" si="117"/>
        <v>#REF!</v>
      </c>
      <c r="AJ153" t="e">
        <f t="shared" si="117"/>
        <v>#REF!</v>
      </c>
      <c r="AK153" t="e">
        <f t="shared" si="117"/>
        <v>#REF!</v>
      </c>
      <c r="AL153" t="e">
        <f t="shared" si="117"/>
        <v>#REF!</v>
      </c>
      <c r="AM153" t="e">
        <f t="shared" si="117"/>
        <v>#REF!</v>
      </c>
      <c r="AN153" t="e">
        <f t="shared" si="117"/>
        <v>#REF!</v>
      </c>
      <c r="AO153" t="e">
        <f t="shared" si="117"/>
        <v>#REF!</v>
      </c>
      <c r="AP153" t="e">
        <f t="shared" si="117"/>
        <v>#REF!</v>
      </c>
      <c r="AQ153" t="e">
        <f t="shared" si="117"/>
        <v>#REF!</v>
      </c>
      <c r="AR153" t="e">
        <f t="shared" si="117"/>
        <v>#REF!</v>
      </c>
      <c r="AS153" t="e">
        <f t="shared" si="117"/>
        <v>#REF!</v>
      </c>
      <c r="AT153" t="e">
        <f t="shared" si="117"/>
        <v>#REF!</v>
      </c>
      <c r="AU153" t="e">
        <f t="shared" si="117"/>
        <v>#REF!</v>
      </c>
      <c r="AV153" t="e">
        <f t="shared" si="117"/>
        <v>#REF!</v>
      </c>
      <c r="AW153" t="e">
        <f t="shared" si="117"/>
        <v>#REF!</v>
      </c>
      <c r="AX153" t="e">
        <f t="shared" si="117"/>
        <v>#REF!</v>
      </c>
      <c r="AY153" t="e">
        <f t="shared" si="114"/>
        <v>#REF!</v>
      </c>
      <c r="AZ153" t="e">
        <f t="shared" si="114"/>
        <v>#REF!</v>
      </c>
      <c r="BA153" t="e">
        <f t="shared" si="114"/>
        <v>#REF!</v>
      </c>
      <c r="BB153" t="e">
        <f t="shared" si="114"/>
        <v>#REF!</v>
      </c>
      <c r="BC153" t="e">
        <f t="shared" si="114"/>
        <v>#REF!</v>
      </c>
      <c r="BD153" t="e">
        <f t="shared" si="114"/>
        <v>#REF!</v>
      </c>
      <c r="BE153" t="e">
        <f t="shared" si="114"/>
        <v>#REF!</v>
      </c>
      <c r="BF153" t="e">
        <f t="shared" si="114"/>
        <v>#REF!</v>
      </c>
      <c r="BG153" t="e">
        <f t="shared" si="114"/>
        <v>#REF!</v>
      </c>
      <c r="BH153" t="e">
        <f t="shared" si="114"/>
        <v>#REF!</v>
      </c>
      <c r="BI153" t="e">
        <f t="shared" si="114"/>
        <v>#REF!</v>
      </c>
      <c r="BJ153" t="e">
        <f t="shared" si="114"/>
        <v>#REF!</v>
      </c>
      <c r="BK153" t="e">
        <f t="shared" si="114"/>
        <v>#REF!</v>
      </c>
      <c r="BL153" t="e">
        <f t="shared" si="104"/>
        <v>#REF!</v>
      </c>
      <c r="BM153" t="e">
        <f t="shared" si="104"/>
        <v>#REF!</v>
      </c>
      <c r="BN153" t="e">
        <f t="shared" si="104"/>
        <v>#REF!</v>
      </c>
      <c r="BO153" t="e">
        <f t="shared" si="104"/>
        <v>#REF!</v>
      </c>
      <c r="BP153" t="e">
        <f t="shared" si="104"/>
        <v>#REF!</v>
      </c>
      <c r="BQ153" t="e">
        <f t="shared" si="104"/>
        <v>#REF!</v>
      </c>
      <c r="BR153" t="e">
        <f t="shared" si="104"/>
        <v>#REF!</v>
      </c>
      <c r="BS153" t="e">
        <f t="shared" si="104"/>
        <v>#REF!</v>
      </c>
      <c r="BT153" t="e">
        <f t="shared" si="104"/>
        <v>#REF!</v>
      </c>
      <c r="BU153" t="e">
        <f t="shared" si="104"/>
        <v>#REF!</v>
      </c>
      <c r="BV153" t="e">
        <f t="shared" si="104"/>
        <v>#REF!</v>
      </c>
      <c r="BW153" t="e">
        <f t="shared" si="113"/>
        <v>#REF!</v>
      </c>
      <c r="BX153" t="e">
        <f t="shared" si="113"/>
        <v>#REF!</v>
      </c>
      <c r="BY153" t="e">
        <f t="shared" si="113"/>
        <v>#REF!</v>
      </c>
      <c r="BZ153" t="e">
        <f t="shared" si="113"/>
        <v>#REF!</v>
      </c>
      <c r="CA153" t="e">
        <f t="shared" si="113"/>
        <v>#REF!</v>
      </c>
      <c r="CB153" t="e">
        <f t="shared" si="113"/>
        <v>#REF!</v>
      </c>
      <c r="CC153" t="e">
        <f t="shared" si="113"/>
        <v>#REF!</v>
      </c>
      <c r="CD153" t="e">
        <f t="shared" si="113"/>
        <v>#REF!</v>
      </c>
      <c r="CE153" t="e">
        <f t="shared" si="113"/>
        <v>#REF!</v>
      </c>
      <c r="CF153" t="e">
        <f t="shared" si="113"/>
        <v>#REF!</v>
      </c>
      <c r="CG153" t="e">
        <f t="shared" si="113"/>
        <v>#REF!</v>
      </c>
      <c r="CH153" t="e">
        <f t="shared" si="113"/>
        <v>#REF!</v>
      </c>
      <c r="CI153" t="e">
        <f t="shared" si="113"/>
        <v>#REF!</v>
      </c>
      <c r="CJ153" t="e">
        <f t="shared" si="113"/>
        <v>#REF!</v>
      </c>
      <c r="CK153" t="e">
        <f t="shared" si="113"/>
        <v>#REF!</v>
      </c>
      <c r="CL153" t="e">
        <f t="shared" si="113"/>
        <v>#REF!</v>
      </c>
      <c r="CM153" t="e">
        <f t="shared" si="110"/>
        <v>#REF!</v>
      </c>
      <c r="CN153" t="e">
        <f t="shared" si="110"/>
        <v>#REF!</v>
      </c>
      <c r="CO153" t="e">
        <f t="shared" si="110"/>
        <v>#REF!</v>
      </c>
      <c r="CP153" t="e">
        <f t="shared" si="109"/>
        <v>#REF!</v>
      </c>
      <c r="CQ153" t="e">
        <f t="shared" si="109"/>
        <v>#REF!</v>
      </c>
      <c r="CR153" t="e">
        <f t="shared" si="109"/>
        <v>#REF!</v>
      </c>
      <c r="CS153" t="e">
        <f t="shared" si="109"/>
        <v>#REF!</v>
      </c>
      <c r="CT153" t="e">
        <f t="shared" si="109"/>
        <v>#REF!</v>
      </c>
      <c r="CU153" t="e">
        <f t="shared" si="109"/>
        <v>#REF!</v>
      </c>
      <c r="CV153" t="e">
        <f t="shared" si="109"/>
        <v>#REF!</v>
      </c>
      <c r="CW153" t="e">
        <f t="shared" si="109"/>
        <v>#REF!</v>
      </c>
      <c r="CX153" t="e">
        <f t="shared" si="109"/>
        <v>#REF!</v>
      </c>
      <c r="CY153" t="e">
        <f t="shared" si="109"/>
        <v>#REF!</v>
      </c>
      <c r="CZ153" t="e">
        <f t="shared" si="109"/>
        <v>#REF!</v>
      </c>
      <c r="DA153" t="e">
        <f t="shared" si="109"/>
        <v>#REF!</v>
      </c>
      <c r="DB153" t="e">
        <f t="shared" si="109"/>
        <v>#REF!</v>
      </c>
      <c r="DC153" t="e">
        <f t="shared" si="109"/>
        <v>#REF!</v>
      </c>
      <c r="DD153" t="e">
        <f t="shared" si="109"/>
        <v>#REF!</v>
      </c>
      <c r="DE153" t="e">
        <f t="shared" si="115"/>
        <v>#REF!</v>
      </c>
      <c r="DF153" t="e">
        <f t="shared" si="115"/>
        <v>#REF!</v>
      </c>
      <c r="DG153" t="e">
        <f t="shared" si="115"/>
        <v>#REF!</v>
      </c>
      <c r="DH153" t="e">
        <f t="shared" si="115"/>
        <v>#REF!</v>
      </c>
      <c r="DI153" t="e">
        <f t="shared" si="115"/>
        <v>#REF!</v>
      </c>
      <c r="DJ153" t="e">
        <f t="shared" si="102"/>
        <v>#REF!</v>
      </c>
      <c r="DK153" t="e">
        <f t="shared" si="102"/>
        <v>#REF!</v>
      </c>
      <c r="DL153" t="e">
        <f t="shared" si="102"/>
        <v>#REF!</v>
      </c>
      <c r="DM153" t="e">
        <f t="shared" si="102"/>
        <v>#REF!</v>
      </c>
      <c r="DN153" t="e">
        <f t="shared" si="102"/>
        <v>#REF!</v>
      </c>
      <c r="DO153" t="e">
        <f t="shared" si="102"/>
        <v>#REF!</v>
      </c>
      <c r="DP153" t="e">
        <f t="shared" si="102"/>
        <v>#REF!</v>
      </c>
      <c r="DQ153" t="e">
        <f t="shared" si="108"/>
        <v>#REF!</v>
      </c>
      <c r="DR153" t="e">
        <f t="shared" si="108"/>
        <v>#REF!</v>
      </c>
      <c r="DS153" t="e">
        <f t="shared" si="108"/>
        <v>#REF!</v>
      </c>
      <c r="DT153" t="e">
        <f t="shared" si="108"/>
        <v>#REF!</v>
      </c>
      <c r="DU153" t="e">
        <f t="shared" si="108"/>
        <v>#REF!</v>
      </c>
      <c r="DV153" t="e">
        <f t="shared" si="108"/>
        <v>#REF!</v>
      </c>
      <c r="DW153" t="e">
        <f t="shared" si="108"/>
        <v>#REF!</v>
      </c>
      <c r="DX153" t="e">
        <f t="shared" si="108"/>
        <v>#REF!</v>
      </c>
      <c r="DY153" t="e">
        <f t="shared" si="108"/>
        <v>#REF!</v>
      </c>
      <c r="DZ153" t="e">
        <f t="shared" si="108"/>
        <v>#REF!</v>
      </c>
      <c r="EA153" t="e">
        <f t="shared" si="108"/>
        <v>#REF!</v>
      </c>
      <c r="EB153" t="e">
        <f t="shared" si="108"/>
        <v>#REF!</v>
      </c>
      <c r="EC153" t="e">
        <f t="shared" si="108"/>
        <v>#REF!</v>
      </c>
      <c r="ED153" t="e">
        <f t="shared" si="108"/>
        <v>#REF!</v>
      </c>
      <c r="EE153" t="e">
        <f t="shared" si="108"/>
        <v>#REF!</v>
      </c>
      <c r="EF153" t="e">
        <f t="shared" si="108"/>
        <v>#REF!</v>
      </c>
      <c r="EG153" t="e">
        <f t="shared" si="112"/>
        <v>#REF!</v>
      </c>
      <c r="EH153" t="e">
        <f t="shared" si="112"/>
        <v>#REF!</v>
      </c>
      <c r="EI153" t="e">
        <f t="shared" si="112"/>
        <v>#REF!</v>
      </c>
      <c r="EJ153" t="e">
        <f t="shared" si="112"/>
        <v>#REF!</v>
      </c>
      <c r="EK153" t="e">
        <f t="shared" si="112"/>
        <v>#REF!</v>
      </c>
      <c r="EL153" t="e">
        <f t="shared" si="112"/>
        <v>#REF!</v>
      </c>
      <c r="EM153" t="e">
        <f t="shared" si="112"/>
        <v>#REF!</v>
      </c>
    </row>
    <row r="154" spans="1:143" x14ac:dyDescent="0.4">
      <c r="A154" t="str">
        <f t="shared" si="120"/>
        <v>X</v>
      </c>
      <c r="B154">
        <v>151</v>
      </c>
      <c r="C154" t="e" cm="1">
        <f t="array" ref="C154">INDEX(auto_Series_Code,B154)</f>
        <v>#REF!</v>
      </c>
      <c r="D154" t="e">
        <f t="shared" si="118"/>
        <v>#REF!</v>
      </c>
      <c r="E154" t="e">
        <f t="shared" si="118"/>
        <v>#REF!</v>
      </c>
      <c r="F154" t="e">
        <f t="shared" si="118"/>
        <v>#REF!</v>
      </c>
      <c r="G154" t="e">
        <f t="shared" si="118"/>
        <v>#REF!</v>
      </c>
      <c r="H154" t="e">
        <f t="shared" si="118"/>
        <v>#REF!</v>
      </c>
      <c r="I154" t="e">
        <f t="shared" si="118"/>
        <v>#REF!</v>
      </c>
      <c r="J154" t="e">
        <f t="shared" si="118"/>
        <v>#REF!</v>
      </c>
      <c r="K154" t="e">
        <f t="shared" si="118"/>
        <v>#REF!</v>
      </c>
      <c r="L154" t="e">
        <f t="shared" si="118"/>
        <v>#REF!</v>
      </c>
      <c r="M154" t="e">
        <f t="shared" si="118"/>
        <v>#REF!</v>
      </c>
      <c r="N154" t="e">
        <f t="shared" si="118"/>
        <v>#REF!</v>
      </c>
      <c r="O154" t="e">
        <f t="shared" si="118"/>
        <v>#REF!</v>
      </c>
      <c r="P154" t="e">
        <f t="shared" si="118"/>
        <v>#REF!</v>
      </c>
      <c r="Q154" t="e">
        <f t="shared" si="118"/>
        <v>#REF!</v>
      </c>
      <c r="R154" t="e">
        <f t="shared" si="118"/>
        <v>#REF!</v>
      </c>
      <c r="S154" t="e">
        <f t="shared" si="118"/>
        <v>#REF!</v>
      </c>
      <c r="T154" t="e">
        <f t="shared" si="116"/>
        <v>#REF!</v>
      </c>
      <c r="U154" t="e">
        <f t="shared" si="116"/>
        <v>#REF!</v>
      </c>
      <c r="V154" t="e">
        <f t="shared" si="116"/>
        <v>#REF!</v>
      </c>
      <c r="W154" t="e">
        <f t="shared" si="116"/>
        <v>#REF!</v>
      </c>
      <c r="X154" t="e">
        <f t="shared" si="105"/>
        <v>#REF!</v>
      </c>
      <c r="Y154" t="e">
        <f t="shared" si="105"/>
        <v>#REF!</v>
      </c>
      <c r="Z154" t="e">
        <f t="shared" si="105"/>
        <v>#REF!</v>
      </c>
      <c r="AA154" t="e">
        <f t="shared" si="105"/>
        <v>#REF!</v>
      </c>
      <c r="AB154" t="e">
        <f t="shared" si="105"/>
        <v>#REF!</v>
      </c>
      <c r="AC154" t="e">
        <f t="shared" si="105"/>
        <v>#REF!</v>
      </c>
      <c r="AD154" t="e">
        <f t="shared" si="105"/>
        <v>#REF!</v>
      </c>
      <c r="AE154" t="e">
        <f t="shared" si="105"/>
        <v>#REF!</v>
      </c>
      <c r="AF154" t="e">
        <f t="shared" si="105"/>
        <v>#REF!</v>
      </c>
      <c r="AG154" t="e">
        <f t="shared" si="105"/>
        <v>#REF!</v>
      </c>
      <c r="AH154" t="e">
        <f t="shared" si="105"/>
        <v>#REF!</v>
      </c>
      <c r="AI154" t="e">
        <f t="shared" si="117"/>
        <v>#REF!</v>
      </c>
      <c r="AJ154" t="e">
        <f t="shared" si="117"/>
        <v>#REF!</v>
      </c>
      <c r="AK154" t="e">
        <f t="shared" si="117"/>
        <v>#REF!</v>
      </c>
      <c r="AL154" t="e">
        <f t="shared" si="117"/>
        <v>#REF!</v>
      </c>
      <c r="AM154" t="e">
        <f t="shared" si="117"/>
        <v>#REF!</v>
      </c>
      <c r="AN154" t="e">
        <f t="shared" si="117"/>
        <v>#REF!</v>
      </c>
      <c r="AO154" t="e">
        <f t="shared" si="117"/>
        <v>#REF!</v>
      </c>
      <c r="AP154" t="e">
        <f t="shared" si="117"/>
        <v>#REF!</v>
      </c>
      <c r="AQ154" t="e">
        <f t="shared" si="117"/>
        <v>#REF!</v>
      </c>
      <c r="AR154" t="e">
        <f t="shared" si="117"/>
        <v>#REF!</v>
      </c>
      <c r="AS154" t="e">
        <f t="shared" si="117"/>
        <v>#REF!</v>
      </c>
      <c r="AT154" t="e">
        <f t="shared" si="117"/>
        <v>#REF!</v>
      </c>
      <c r="AU154" t="e">
        <f t="shared" si="117"/>
        <v>#REF!</v>
      </c>
      <c r="AV154" t="e">
        <f t="shared" si="117"/>
        <v>#REF!</v>
      </c>
      <c r="AW154" t="e">
        <f t="shared" si="117"/>
        <v>#REF!</v>
      </c>
      <c r="AX154" t="e">
        <f t="shared" si="117"/>
        <v>#REF!</v>
      </c>
      <c r="AY154" t="e">
        <f t="shared" si="114"/>
        <v>#REF!</v>
      </c>
      <c r="AZ154" t="e">
        <f t="shared" si="114"/>
        <v>#REF!</v>
      </c>
      <c r="BA154" t="e">
        <f t="shared" si="114"/>
        <v>#REF!</v>
      </c>
      <c r="BB154" t="e">
        <f t="shared" si="114"/>
        <v>#REF!</v>
      </c>
      <c r="BC154" t="e">
        <f t="shared" si="114"/>
        <v>#REF!</v>
      </c>
      <c r="BD154" t="e">
        <f t="shared" si="114"/>
        <v>#REF!</v>
      </c>
      <c r="BE154" t="e">
        <f t="shared" si="114"/>
        <v>#REF!</v>
      </c>
      <c r="BF154" t="e">
        <f t="shared" si="114"/>
        <v>#REF!</v>
      </c>
      <c r="BG154" t="e">
        <f t="shared" si="114"/>
        <v>#REF!</v>
      </c>
      <c r="BH154" t="e">
        <f t="shared" si="114"/>
        <v>#REF!</v>
      </c>
      <c r="BI154" t="e">
        <f t="shared" si="114"/>
        <v>#REF!</v>
      </c>
      <c r="BJ154" t="e">
        <f t="shared" si="114"/>
        <v>#REF!</v>
      </c>
      <c r="BK154" t="e">
        <f t="shared" si="114"/>
        <v>#REF!</v>
      </c>
      <c r="BL154" t="e">
        <f t="shared" si="104"/>
        <v>#REF!</v>
      </c>
      <c r="BM154" t="e">
        <f t="shared" si="104"/>
        <v>#REF!</v>
      </c>
      <c r="BN154" t="e">
        <f t="shared" si="104"/>
        <v>#REF!</v>
      </c>
      <c r="BO154" t="e">
        <f t="shared" si="104"/>
        <v>#REF!</v>
      </c>
      <c r="BP154" t="e">
        <f t="shared" si="104"/>
        <v>#REF!</v>
      </c>
      <c r="BQ154" t="e">
        <f t="shared" si="104"/>
        <v>#REF!</v>
      </c>
      <c r="BR154" t="e">
        <f t="shared" si="104"/>
        <v>#REF!</v>
      </c>
      <c r="BS154" t="e">
        <f t="shared" si="104"/>
        <v>#REF!</v>
      </c>
      <c r="BT154" t="e">
        <f t="shared" si="104"/>
        <v>#REF!</v>
      </c>
      <c r="BU154" t="e">
        <f t="shared" si="104"/>
        <v>#REF!</v>
      </c>
      <c r="BV154" t="e">
        <f t="shared" si="104"/>
        <v>#REF!</v>
      </c>
      <c r="BW154" t="e">
        <f t="shared" si="113"/>
        <v>#REF!</v>
      </c>
      <c r="BX154" t="e">
        <f t="shared" si="113"/>
        <v>#REF!</v>
      </c>
      <c r="BY154" t="e">
        <f t="shared" si="113"/>
        <v>#REF!</v>
      </c>
      <c r="BZ154" t="e">
        <f t="shared" si="113"/>
        <v>#REF!</v>
      </c>
      <c r="CA154" t="e">
        <f t="shared" si="113"/>
        <v>#REF!</v>
      </c>
      <c r="CB154" t="e">
        <f t="shared" si="113"/>
        <v>#REF!</v>
      </c>
      <c r="CC154" t="e">
        <f t="shared" si="113"/>
        <v>#REF!</v>
      </c>
      <c r="CD154" t="e">
        <f t="shared" si="113"/>
        <v>#REF!</v>
      </c>
      <c r="CE154" t="e">
        <f t="shared" si="113"/>
        <v>#REF!</v>
      </c>
      <c r="CF154" t="e">
        <f t="shared" si="113"/>
        <v>#REF!</v>
      </c>
      <c r="CG154" t="e">
        <f t="shared" si="113"/>
        <v>#REF!</v>
      </c>
      <c r="CH154" t="e">
        <f t="shared" si="113"/>
        <v>#REF!</v>
      </c>
      <c r="CI154" t="e">
        <f t="shared" si="113"/>
        <v>#REF!</v>
      </c>
      <c r="CJ154" t="e">
        <f t="shared" si="113"/>
        <v>#REF!</v>
      </c>
      <c r="CK154" t="e">
        <f t="shared" si="113"/>
        <v>#REF!</v>
      </c>
      <c r="CL154" t="e">
        <f t="shared" si="113"/>
        <v>#REF!</v>
      </c>
      <c r="CM154" t="e">
        <f t="shared" si="110"/>
        <v>#REF!</v>
      </c>
      <c r="CN154" t="e">
        <f t="shared" si="110"/>
        <v>#REF!</v>
      </c>
      <c r="CO154" t="e">
        <f t="shared" si="110"/>
        <v>#REF!</v>
      </c>
      <c r="CP154" t="e">
        <f t="shared" si="109"/>
        <v>#REF!</v>
      </c>
      <c r="CQ154" t="e">
        <f t="shared" si="109"/>
        <v>#REF!</v>
      </c>
      <c r="CR154" t="e">
        <f t="shared" si="109"/>
        <v>#REF!</v>
      </c>
      <c r="CS154" t="e">
        <f t="shared" si="109"/>
        <v>#REF!</v>
      </c>
      <c r="CT154" t="e">
        <f t="shared" si="109"/>
        <v>#REF!</v>
      </c>
      <c r="CU154" t="e">
        <f t="shared" si="109"/>
        <v>#REF!</v>
      </c>
      <c r="CV154" t="e">
        <f t="shared" si="109"/>
        <v>#REF!</v>
      </c>
      <c r="CW154" t="e">
        <f t="shared" si="109"/>
        <v>#REF!</v>
      </c>
      <c r="CX154" t="e">
        <f t="shared" si="109"/>
        <v>#REF!</v>
      </c>
      <c r="CY154" t="e">
        <f t="shared" si="109"/>
        <v>#REF!</v>
      </c>
      <c r="CZ154" t="e">
        <f t="shared" si="109"/>
        <v>#REF!</v>
      </c>
      <c r="DA154" t="e">
        <f t="shared" si="109"/>
        <v>#REF!</v>
      </c>
      <c r="DB154" t="e">
        <f t="shared" si="109"/>
        <v>#REF!</v>
      </c>
      <c r="DC154" t="e">
        <f t="shared" si="109"/>
        <v>#REF!</v>
      </c>
      <c r="DD154" t="e">
        <f t="shared" si="109"/>
        <v>#REF!</v>
      </c>
      <c r="DE154" t="e">
        <f t="shared" si="115"/>
        <v>#REF!</v>
      </c>
      <c r="DF154" t="e">
        <f t="shared" si="115"/>
        <v>#REF!</v>
      </c>
      <c r="DG154" t="e">
        <f t="shared" si="115"/>
        <v>#REF!</v>
      </c>
      <c r="DH154" t="e">
        <f t="shared" si="115"/>
        <v>#REF!</v>
      </c>
      <c r="DI154" t="e">
        <f t="shared" si="115"/>
        <v>#REF!</v>
      </c>
      <c r="DJ154" t="e">
        <f t="shared" si="102"/>
        <v>#REF!</v>
      </c>
      <c r="DK154" t="e">
        <f t="shared" si="102"/>
        <v>#REF!</v>
      </c>
      <c r="DL154" t="e">
        <f t="shared" si="102"/>
        <v>#REF!</v>
      </c>
      <c r="DM154" t="e">
        <f t="shared" si="102"/>
        <v>#REF!</v>
      </c>
      <c r="DN154" t="e">
        <f t="shared" si="102"/>
        <v>#REF!</v>
      </c>
      <c r="DO154" t="e">
        <f t="shared" si="102"/>
        <v>#REF!</v>
      </c>
      <c r="DP154" t="e">
        <f t="shared" si="102"/>
        <v>#REF!</v>
      </c>
      <c r="DQ154" t="e">
        <f t="shared" si="108"/>
        <v>#REF!</v>
      </c>
      <c r="DR154" t="e">
        <f t="shared" si="108"/>
        <v>#REF!</v>
      </c>
      <c r="DS154" t="e">
        <f t="shared" si="108"/>
        <v>#REF!</v>
      </c>
      <c r="DT154" t="e">
        <f t="shared" si="108"/>
        <v>#REF!</v>
      </c>
      <c r="DU154" t="e">
        <f t="shared" si="108"/>
        <v>#REF!</v>
      </c>
      <c r="DV154" t="e">
        <f t="shared" si="108"/>
        <v>#REF!</v>
      </c>
      <c r="DW154" t="e">
        <f t="shared" si="108"/>
        <v>#REF!</v>
      </c>
      <c r="DX154" t="e">
        <f t="shared" si="108"/>
        <v>#REF!</v>
      </c>
      <c r="DY154" t="e">
        <f t="shared" si="108"/>
        <v>#REF!</v>
      </c>
      <c r="DZ154" t="e">
        <f t="shared" si="108"/>
        <v>#REF!</v>
      </c>
      <c r="EA154" t="e">
        <f t="shared" si="108"/>
        <v>#REF!</v>
      </c>
      <c r="EB154" t="e">
        <f t="shared" si="108"/>
        <v>#REF!</v>
      </c>
      <c r="EC154" t="e">
        <f t="shared" si="108"/>
        <v>#REF!</v>
      </c>
      <c r="ED154" t="e">
        <f t="shared" si="108"/>
        <v>#REF!</v>
      </c>
      <c r="EE154" t="e">
        <f t="shared" si="108"/>
        <v>#REF!</v>
      </c>
      <c r="EF154" t="e">
        <f t="shared" si="108"/>
        <v>#REF!</v>
      </c>
      <c r="EG154" t="e">
        <f t="shared" si="112"/>
        <v>#REF!</v>
      </c>
      <c r="EH154" t="e">
        <f t="shared" si="112"/>
        <v>#REF!</v>
      </c>
      <c r="EI154" t="e">
        <f t="shared" si="112"/>
        <v>#REF!</v>
      </c>
      <c r="EJ154" t="e">
        <f t="shared" si="112"/>
        <v>#REF!</v>
      </c>
      <c r="EK154" t="e">
        <f t="shared" si="112"/>
        <v>#REF!</v>
      </c>
      <c r="EL154" t="e">
        <f t="shared" si="112"/>
        <v>#REF!</v>
      </c>
      <c r="EM154" t="e">
        <f t="shared" si="112"/>
        <v>#REF!</v>
      </c>
    </row>
    <row r="155" spans="1:143" x14ac:dyDescent="0.4">
      <c r="A155" t="str">
        <f t="shared" si="120"/>
        <v>X</v>
      </c>
      <c r="B155">
        <v>152</v>
      </c>
      <c r="C155" t="e" cm="1">
        <f t="array" ref="C155">INDEX(auto_Series_Code,B155)</f>
        <v>#REF!</v>
      </c>
      <c r="D155" t="e">
        <f t="shared" si="118"/>
        <v>#REF!</v>
      </c>
      <c r="E155" t="e">
        <f t="shared" si="118"/>
        <v>#REF!</v>
      </c>
      <c r="F155" t="e">
        <f t="shared" si="118"/>
        <v>#REF!</v>
      </c>
      <c r="G155" t="e">
        <f t="shared" si="118"/>
        <v>#REF!</v>
      </c>
      <c r="H155" t="e">
        <f t="shared" si="118"/>
        <v>#REF!</v>
      </c>
      <c r="I155" t="e">
        <f t="shared" si="118"/>
        <v>#REF!</v>
      </c>
      <c r="J155" t="e">
        <f t="shared" si="118"/>
        <v>#REF!</v>
      </c>
      <c r="K155" t="e">
        <f t="shared" si="118"/>
        <v>#REF!</v>
      </c>
      <c r="L155" t="e">
        <f t="shared" si="118"/>
        <v>#REF!</v>
      </c>
      <c r="M155" t="e">
        <f t="shared" si="118"/>
        <v>#REF!</v>
      </c>
      <c r="N155" t="e">
        <f t="shared" si="118"/>
        <v>#REF!</v>
      </c>
      <c r="O155" t="e">
        <f t="shared" si="118"/>
        <v>#REF!</v>
      </c>
      <c r="P155" t="e">
        <f t="shared" si="118"/>
        <v>#REF!</v>
      </c>
      <c r="Q155" t="e">
        <f t="shared" si="118"/>
        <v>#REF!</v>
      </c>
      <c r="R155" t="e">
        <f t="shared" si="118"/>
        <v>#REF!</v>
      </c>
      <c r="S155" t="e">
        <f t="shared" si="118"/>
        <v>#REF!</v>
      </c>
      <c r="T155" t="e">
        <f t="shared" si="116"/>
        <v>#REF!</v>
      </c>
      <c r="U155" t="e">
        <f t="shared" si="116"/>
        <v>#REF!</v>
      </c>
      <c r="V155" t="e">
        <f t="shared" si="116"/>
        <v>#REF!</v>
      </c>
      <c r="W155" t="e">
        <f t="shared" si="116"/>
        <v>#REF!</v>
      </c>
      <c r="X155" t="e">
        <f t="shared" si="105"/>
        <v>#REF!</v>
      </c>
      <c r="Y155" t="e">
        <f t="shared" si="105"/>
        <v>#REF!</v>
      </c>
      <c r="Z155" t="e">
        <f t="shared" si="105"/>
        <v>#REF!</v>
      </c>
      <c r="AA155" t="e">
        <f t="shared" si="105"/>
        <v>#REF!</v>
      </c>
      <c r="AB155" t="e">
        <f t="shared" si="105"/>
        <v>#REF!</v>
      </c>
      <c r="AC155" t="e">
        <f t="shared" si="105"/>
        <v>#REF!</v>
      </c>
      <c r="AD155" t="e">
        <f t="shared" si="105"/>
        <v>#REF!</v>
      </c>
      <c r="AE155" t="e">
        <f t="shared" si="105"/>
        <v>#REF!</v>
      </c>
      <c r="AF155" t="e">
        <f t="shared" si="105"/>
        <v>#REF!</v>
      </c>
      <c r="AG155" t="e">
        <f t="shared" si="105"/>
        <v>#REF!</v>
      </c>
      <c r="AH155" t="e">
        <f t="shared" si="105"/>
        <v>#REF!</v>
      </c>
      <c r="AI155" t="e">
        <f t="shared" si="117"/>
        <v>#REF!</v>
      </c>
      <c r="AJ155" t="e">
        <f t="shared" si="117"/>
        <v>#REF!</v>
      </c>
      <c r="AK155" t="e">
        <f t="shared" si="117"/>
        <v>#REF!</v>
      </c>
      <c r="AL155" t="e">
        <f t="shared" si="117"/>
        <v>#REF!</v>
      </c>
      <c r="AM155" t="e">
        <f t="shared" si="117"/>
        <v>#REF!</v>
      </c>
      <c r="AN155" t="e">
        <f t="shared" si="117"/>
        <v>#REF!</v>
      </c>
      <c r="AO155" t="e">
        <f t="shared" si="117"/>
        <v>#REF!</v>
      </c>
      <c r="AP155" t="e">
        <f t="shared" si="117"/>
        <v>#REF!</v>
      </c>
      <c r="AQ155" t="e">
        <f t="shared" si="117"/>
        <v>#REF!</v>
      </c>
      <c r="AR155" t="e">
        <f t="shared" si="117"/>
        <v>#REF!</v>
      </c>
      <c r="AS155" t="e">
        <f t="shared" si="117"/>
        <v>#REF!</v>
      </c>
      <c r="AT155" t="e">
        <f t="shared" si="117"/>
        <v>#REF!</v>
      </c>
      <c r="AU155" t="e">
        <f t="shared" si="117"/>
        <v>#REF!</v>
      </c>
      <c r="AV155" t="e">
        <f t="shared" si="117"/>
        <v>#REF!</v>
      </c>
      <c r="AW155" t="e">
        <f t="shared" si="117"/>
        <v>#REF!</v>
      </c>
      <c r="AX155" t="e">
        <f t="shared" si="117"/>
        <v>#REF!</v>
      </c>
      <c r="AY155" t="e">
        <f t="shared" si="114"/>
        <v>#REF!</v>
      </c>
      <c r="AZ155" t="e">
        <f t="shared" si="114"/>
        <v>#REF!</v>
      </c>
      <c r="BA155" t="e">
        <f t="shared" si="114"/>
        <v>#REF!</v>
      </c>
      <c r="BB155" t="e">
        <f t="shared" si="114"/>
        <v>#REF!</v>
      </c>
      <c r="BC155" t="e">
        <f t="shared" si="114"/>
        <v>#REF!</v>
      </c>
      <c r="BD155" t="e">
        <f t="shared" si="114"/>
        <v>#REF!</v>
      </c>
      <c r="BE155" t="e">
        <f t="shared" si="114"/>
        <v>#REF!</v>
      </c>
      <c r="BF155" t="e">
        <f t="shared" si="114"/>
        <v>#REF!</v>
      </c>
      <c r="BG155" t="e">
        <f t="shared" si="114"/>
        <v>#REF!</v>
      </c>
      <c r="BH155" t="e">
        <f t="shared" si="114"/>
        <v>#REF!</v>
      </c>
      <c r="BI155" t="e">
        <f t="shared" si="114"/>
        <v>#REF!</v>
      </c>
      <c r="BJ155" t="e">
        <f t="shared" si="114"/>
        <v>#REF!</v>
      </c>
      <c r="BK155" t="e">
        <f t="shared" si="114"/>
        <v>#REF!</v>
      </c>
      <c r="BL155" t="e">
        <f t="shared" si="104"/>
        <v>#REF!</v>
      </c>
      <c r="BM155" t="e">
        <f t="shared" si="104"/>
        <v>#REF!</v>
      </c>
      <c r="BN155" t="e">
        <f t="shared" si="104"/>
        <v>#REF!</v>
      </c>
      <c r="BO155" t="e">
        <f t="shared" si="104"/>
        <v>#REF!</v>
      </c>
      <c r="BP155" t="e">
        <f t="shared" si="104"/>
        <v>#REF!</v>
      </c>
      <c r="BQ155" t="e">
        <f t="shared" si="104"/>
        <v>#REF!</v>
      </c>
      <c r="BR155" t="e">
        <f t="shared" si="104"/>
        <v>#REF!</v>
      </c>
      <c r="BS155" t="e">
        <f t="shared" si="104"/>
        <v>#REF!</v>
      </c>
      <c r="BT155" t="e">
        <f t="shared" si="104"/>
        <v>#REF!</v>
      </c>
      <c r="BU155" t="e">
        <f t="shared" si="104"/>
        <v>#REF!</v>
      </c>
      <c r="BV155" t="e">
        <f t="shared" si="104"/>
        <v>#REF!</v>
      </c>
      <c r="BW155" t="e">
        <f t="shared" si="113"/>
        <v>#REF!</v>
      </c>
      <c r="BX155" t="e">
        <f t="shared" si="113"/>
        <v>#REF!</v>
      </c>
      <c r="BY155" t="e">
        <f t="shared" si="113"/>
        <v>#REF!</v>
      </c>
      <c r="BZ155" t="e">
        <f t="shared" si="113"/>
        <v>#REF!</v>
      </c>
      <c r="CA155" t="e">
        <f t="shared" si="113"/>
        <v>#REF!</v>
      </c>
      <c r="CB155" t="e">
        <f t="shared" si="113"/>
        <v>#REF!</v>
      </c>
      <c r="CC155" t="e">
        <f t="shared" si="113"/>
        <v>#REF!</v>
      </c>
      <c r="CD155" t="e">
        <f t="shared" si="113"/>
        <v>#REF!</v>
      </c>
      <c r="CE155" t="e">
        <f t="shared" si="113"/>
        <v>#REF!</v>
      </c>
      <c r="CF155" t="e">
        <f t="shared" si="113"/>
        <v>#REF!</v>
      </c>
      <c r="CG155" t="e">
        <f t="shared" si="113"/>
        <v>#REF!</v>
      </c>
      <c r="CH155" t="e">
        <f t="shared" si="113"/>
        <v>#REF!</v>
      </c>
      <c r="CI155" t="e">
        <f t="shared" si="113"/>
        <v>#REF!</v>
      </c>
      <c r="CJ155" t="e">
        <f t="shared" si="113"/>
        <v>#REF!</v>
      </c>
      <c r="CK155" t="e">
        <f t="shared" si="113"/>
        <v>#REF!</v>
      </c>
      <c r="CL155" t="e">
        <f t="shared" si="113"/>
        <v>#REF!</v>
      </c>
      <c r="CM155" t="e">
        <f t="shared" si="110"/>
        <v>#REF!</v>
      </c>
      <c r="CN155" t="e">
        <f t="shared" si="110"/>
        <v>#REF!</v>
      </c>
      <c r="CO155" t="e">
        <f t="shared" si="110"/>
        <v>#REF!</v>
      </c>
      <c r="CP155" t="e">
        <f t="shared" si="109"/>
        <v>#REF!</v>
      </c>
      <c r="CQ155" t="e">
        <f t="shared" si="109"/>
        <v>#REF!</v>
      </c>
      <c r="CR155" t="e">
        <f t="shared" si="109"/>
        <v>#REF!</v>
      </c>
      <c r="CS155" t="e">
        <f t="shared" si="109"/>
        <v>#REF!</v>
      </c>
      <c r="CT155" t="e">
        <f t="shared" si="109"/>
        <v>#REF!</v>
      </c>
      <c r="CU155" t="e">
        <f t="shared" si="109"/>
        <v>#REF!</v>
      </c>
      <c r="CV155" t="e">
        <f t="shared" si="109"/>
        <v>#REF!</v>
      </c>
      <c r="CW155" t="e">
        <f t="shared" si="109"/>
        <v>#REF!</v>
      </c>
      <c r="CX155" t="e">
        <f t="shared" si="109"/>
        <v>#REF!</v>
      </c>
      <c r="CY155" t="e">
        <f t="shared" si="109"/>
        <v>#REF!</v>
      </c>
      <c r="CZ155" t="e">
        <f t="shared" si="109"/>
        <v>#REF!</v>
      </c>
      <c r="DA155" t="e">
        <f t="shared" si="109"/>
        <v>#REF!</v>
      </c>
      <c r="DB155" t="e">
        <f t="shared" si="109"/>
        <v>#REF!</v>
      </c>
      <c r="DC155" t="e">
        <f t="shared" si="109"/>
        <v>#REF!</v>
      </c>
      <c r="DD155" t="e">
        <f t="shared" si="109"/>
        <v>#REF!</v>
      </c>
      <c r="DE155" t="e">
        <f t="shared" si="115"/>
        <v>#REF!</v>
      </c>
      <c r="DF155" t="e">
        <f t="shared" si="115"/>
        <v>#REF!</v>
      </c>
      <c r="DG155" t="e">
        <f t="shared" si="115"/>
        <v>#REF!</v>
      </c>
      <c r="DH155" t="e">
        <f t="shared" si="115"/>
        <v>#REF!</v>
      </c>
      <c r="DI155" t="e">
        <f t="shared" si="115"/>
        <v>#REF!</v>
      </c>
      <c r="DJ155" t="e">
        <f t="shared" si="102"/>
        <v>#REF!</v>
      </c>
      <c r="DK155" t="e">
        <f t="shared" si="102"/>
        <v>#REF!</v>
      </c>
      <c r="DL155" t="e">
        <f t="shared" si="102"/>
        <v>#REF!</v>
      </c>
      <c r="DM155" t="e">
        <f t="shared" si="102"/>
        <v>#REF!</v>
      </c>
      <c r="DN155" t="e">
        <f t="shared" si="102"/>
        <v>#REF!</v>
      </c>
      <c r="DO155" t="e">
        <f t="shared" si="102"/>
        <v>#REF!</v>
      </c>
      <c r="DP155" t="e">
        <f t="shared" si="102"/>
        <v>#REF!</v>
      </c>
      <c r="DQ155" t="e">
        <f t="shared" si="108"/>
        <v>#REF!</v>
      </c>
      <c r="DR155" t="e">
        <f t="shared" si="108"/>
        <v>#REF!</v>
      </c>
      <c r="DS155" t="e">
        <f t="shared" si="108"/>
        <v>#REF!</v>
      </c>
      <c r="DT155" t="e">
        <f t="shared" si="108"/>
        <v>#REF!</v>
      </c>
      <c r="DU155" t="e">
        <f t="shared" si="108"/>
        <v>#REF!</v>
      </c>
      <c r="DV155" t="e">
        <f t="shared" si="108"/>
        <v>#REF!</v>
      </c>
      <c r="DW155" t="e">
        <f t="shared" si="108"/>
        <v>#REF!</v>
      </c>
      <c r="DX155" t="e">
        <f t="shared" si="108"/>
        <v>#REF!</v>
      </c>
      <c r="DY155" t="e">
        <f t="shared" si="108"/>
        <v>#REF!</v>
      </c>
      <c r="DZ155" t="e">
        <f t="shared" si="108"/>
        <v>#REF!</v>
      </c>
      <c r="EA155" t="e">
        <f t="shared" si="108"/>
        <v>#REF!</v>
      </c>
      <c r="EB155" t="e">
        <f t="shared" si="108"/>
        <v>#REF!</v>
      </c>
      <c r="EC155" t="e">
        <f t="shared" si="108"/>
        <v>#REF!</v>
      </c>
      <c r="ED155" t="e">
        <f t="shared" si="108"/>
        <v>#REF!</v>
      </c>
      <c r="EE155" t="e">
        <f t="shared" si="108"/>
        <v>#REF!</v>
      </c>
      <c r="EF155" t="e">
        <f t="shared" si="108"/>
        <v>#REF!</v>
      </c>
      <c r="EG155" t="e">
        <f t="shared" si="112"/>
        <v>#REF!</v>
      </c>
      <c r="EH155" t="e">
        <f t="shared" si="112"/>
        <v>#REF!</v>
      </c>
      <c r="EI155" t="e">
        <f t="shared" si="112"/>
        <v>#REF!</v>
      </c>
      <c r="EJ155" t="e">
        <f t="shared" si="112"/>
        <v>#REF!</v>
      </c>
      <c r="EK155" t="e">
        <f t="shared" si="112"/>
        <v>#REF!</v>
      </c>
      <c r="EL155" t="e">
        <f t="shared" si="112"/>
        <v>#REF!</v>
      </c>
      <c r="EM155" t="e">
        <f t="shared" si="112"/>
        <v>#REF!</v>
      </c>
    </row>
    <row r="156" spans="1:143" x14ac:dyDescent="0.4">
      <c r="A156" t="str">
        <f t="shared" si="120"/>
        <v>X</v>
      </c>
      <c r="B156">
        <v>153</v>
      </c>
      <c r="C156" t="e" cm="1">
        <f t="array" ref="C156">INDEX(auto_Series_Code,B156)</f>
        <v>#REF!</v>
      </c>
      <c r="D156" t="e">
        <f t="shared" si="118"/>
        <v>#REF!</v>
      </c>
      <c r="E156" t="e">
        <f t="shared" si="118"/>
        <v>#REF!</v>
      </c>
      <c r="F156" t="e">
        <f t="shared" si="118"/>
        <v>#REF!</v>
      </c>
      <c r="G156" t="e">
        <f t="shared" si="118"/>
        <v>#REF!</v>
      </c>
      <c r="H156" t="e">
        <f t="shared" si="118"/>
        <v>#REF!</v>
      </c>
      <c r="I156" t="e">
        <f t="shared" si="118"/>
        <v>#REF!</v>
      </c>
      <c r="J156" t="e">
        <f t="shared" si="118"/>
        <v>#REF!</v>
      </c>
      <c r="K156" t="e">
        <f t="shared" si="118"/>
        <v>#REF!</v>
      </c>
      <c r="L156" t="e">
        <f t="shared" si="118"/>
        <v>#REF!</v>
      </c>
      <c r="M156" t="e">
        <f t="shared" si="118"/>
        <v>#REF!</v>
      </c>
      <c r="N156" t="e">
        <f t="shared" si="118"/>
        <v>#REF!</v>
      </c>
      <c r="O156" t="e">
        <f t="shared" si="118"/>
        <v>#REF!</v>
      </c>
      <c r="P156" t="e">
        <f t="shared" si="118"/>
        <v>#REF!</v>
      </c>
      <c r="Q156" t="e">
        <f t="shared" si="118"/>
        <v>#REF!</v>
      </c>
      <c r="R156" t="e">
        <f t="shared" si="118"/>
        <v>#REF!</v>
      </c>
      <c r="S156" t="e">
        <f t="shared" si="118"/>
        <v>#REF!</v>
      </c>
      <c r="T156" t="e">
        <f t="shared" si="116"/>
        <v>#REF!</v>
      </c>
      <c r="U156" t="e">
        <f t="shared" si="116"/>
        <v>#REF!</v>
      </c>
      <c r="V156" t="e">
        <f t="shared" si="116"/>
        <v>#REF!</v>
      </c>
      <c r="W156" t="e">
        <f t="shared" si="116"/>
        <v>#REF!</v>
      </c>
      <c r="X156" t="e">
        <f t="shared" si="105"/>
        <v>#REF!</v>
      </c>
      <c r="Y156" t="e">
        <f t="shared" si="105"/>
        <v>#REF!</v>
      </c>
      <c r="Z156" t="e">
        <f t="shared" si="105"/>
        <v>#REF!</v>
      </c>
      <c r="AA156" t="e">
        <f t="shared" si="105"/>
        <v>#REF!</v>
      </c>
      <c r="AB156" t="e">
        <f t="shared" si="105"/>
        <v>#REF!</v>
      </c>
      <c r="AC156" t="e">
        <f t="shared" si="105"/>
        <v>#REF!</v>
      </c>
      <c r="AD156" t="e">
        <f t="shared" si="105"/>
        <v>#REF!</v>
      </c>
      <c r="AE156" t="e">
        <f t="shared" si="105"/>
        <v>#REF!</v>
      </c>
      <c r="AF156" t="e">
        <f t="shared" si="105"/>
        <v>#REF!</v>
      </c>
      <c r="AG156" t="e">
        <f t="shared" si="105"/>
        <v>#REF!</v>
      </c>
      <c r="AH156" t="e">
        <f t="shared" si="105"/>
        <v>#REF!</v>
      </c>
      <c r="AI156" t="e">
        <f t="shared" si="117"/>
        <v>#REF!</v>
      </c>
      <c r="AJ156" t="e">
        <f t="shared" si="117"/>
        <v>#REF!</v>
      </c>
      <c r="AK156" t="e">
        <f t="shared" si="117"/>
        <v>#REF!</v>
      </c>
      <c r="AL156" t="e">
        <f t="shared" si="117"/>
        <v>#REF!</v>
      </c>
      <c r="AM156" t="e">
        <f t="shared" si="117"/>
        <v>#REF!</v>
      </c>
      <c r="AN156" t="e">
        <f t="shared" si="117"/>
        <v>#REF!</v>
      </c>
      <c r="AO156" t="e">
        <f t="shared" si="117"/>
        <v>#REF!</v>
      </c>
      <c r="AP156" t="e">
        <f t="shared" si="117"/>
        <v>#REF!</v>
      </c>
      <c r="AQ156" t="e">
        <f t="shared" si="117"/>
        <v>#REF!</v>
      </c>
      <c r="AR156" t="e">
        <f t="shared" si="117"/>
        <v>#REF!</v>
      </c>
      <c r="AS156" t="e">
        <f t="shared" si="117"/>
        <v>#REF!</v>
      </c>
      <c r="AT156" t="e">
        <f t="shared" si="117"/>
        <v>#REF!</v>
      </c>
      <c r="AU156" t="e">
        <f t="shared" si="117"/>
        <v>#REF!</v>
      </c>
      <c r="AV156" t="e">
        <f t="shared" si="117"/>
        <v>#REF!</v>
      </c>
      <c r="AW156" t="e">
        <f t="shared" si="117"/>
        <v>#REF!</v>
      </c>
      <c r="AX156" t="e">
        <f t="shared" si="117"/>
        <v>#REF!</v>
      </c>
      <c r="AY156" t="e">
        <f t="shared" si="114"/>
        <v>#REF!</v>
      </c>
      <c r="AZ156" t="e">
        <f t="shared" si="114"/>
        <v>#REF!</v>
      </c>
      <c r="BA156" t="e">
        <f t="shared" si="114"/>
        <v>#REF!</v>
      </c>
      <c r="BB156" t="e">
        <f t="shared" si="114"/>
        <v>#REF!</v>
      </c>
      <c r="BC156" t="e">
        <f t="shared" si="114"/>
        <v>#REF!</v>
      </c>
      <c r="BD156" t="e">
        <f t="shared" si="114"/>
        <v>#REF!</v>
      </c>
      <c r="BE156" t="e">
        <f t="shared" si="114"/>
        <v>#REF!</v>
      </c>
      <c r="BF156" t="e">
        <f t="shared" si="114"/>
        <v>#REF!</v>
      </c>
      <c r="BG156" t="e">
        <f t="shared" si="114"/>
        <v>#REF!</v>
      </c>
      <c r="BH156" t="e">
        <f t="shared" si="114"/>
        <v>#REF!</v>
      </c>
      <c r="BI156" t="e">
        <f t="shared" si="114"/>
        <v>#REF!</v>
      </c>
      <c r="BJ156" t="e">
        <f t="shared" si="114"/>
        <v>#REF!</v>
      </c>
      <c r="BK156" t="e">
        <f t="shared" si="114"/>
        <v>#REF!</v>
      </c>
      <c r="BL156" t="e">
        <f t="shared" si="104"/>
        <v>#REF!</v>
      </c>
      <c r="BM156" t="e">
        <f t="shared" si="104"/>
        <v>#REF!</v>
      </c>
      <c r="BN156" t="e">
        <f t="shared" si="104"/>
        <v>#REF!</v>
      </c>
      <c r="BO156" t="e">
        <f t="shared" si="104"/>
        <v>#REF!</v>
      </c>
      <c r="BP156" t="e">
        <f t="shared" si="104"/>
        <v>#REF!</v>
      </c>
      <c r="BQ156" t="e">
        <f t="shared" si="104"/>
        <v>#REF!</v>
      </c>
      <c r="BR156" t="e">
        <f t="shared" si="104"/>
        <v>#REF!</v>
      </c>
      <c r="BS156" t="e">
        <f t="shared" si="104"/>
        <v>#REF!</v>
      </c>
      <c r="BT156" t="e">
        <f t="shared" si="104"/>
        <v>#REF!</v>
      </c>
      <c r="BU156" t="e">
        <f t="shared" si="104"/>
        <v>#REF!</v>
      </c>
      <c r="BV156" t="e">
        <f t="shared" si="104"/>
        <v>#REF!</v>
      </c>
      <c r="BW156" t="e">
        <f t="shared" si="113"/>
        <v>#REF!</v>
      </c>
      <c r="BX156" t="e">
        <f t="shared" si="113"/>
        <v>#REF!</v>
      </c>
      <c r="BY156" t="e">
        <f t="shared" si="113"/>
        <v>#REF!</v>
      </c>
      <c r="BZ156" t="e">
        <f t="shared" si="113"/>
        <v>#REF!</v>
      </c>
      <c r="CA156" t="e">
        <f t="shared" si="113"/>
        <v>#REF!</v>
      </c>
      <c r="CB156" t="e">
        <f t="shared" si="113"/>
        <v>#REF!</v>
      </c>
      <c r="CC156" t="e">
        <f t="shared" si="113"/>
        <v>#REF!</v>
      </c>
      <c r="CD156" t="e">
        <f t="shared" si="113"/>
        <v>#REF!</v>
      </c>
      <c r="CE156" t="e">
        <f t="shared" si="113"/>
        <v>#REF!</v>
      </c>
      <c r="CF156" t="e">
        <f t="shared" si="113"/>
        <v>#REF!</v>
      </c>
      <c r="CG156" t="e">
        <f t="shared" si="113"/>
        <v>#REF!</v>
      </c>
      <c r="CH156" t="e">
        <f t="shared" si="113"/>
        <v>#REF!</v>
      </c>
      <c r="CI156" t="e">
        <f t="shared" si="113"/>
        <v>#REF!</v>
      </c>
      <c r="CJ156" t="e">
        <f t="shared" si="113"/>
        <v>#REF!</v>
      </c>
      <c r="CK156" t="e">
        <f t="shared" si="113"/>
        <v>#REF!</v>
      </c>
      <c r="CL156" t="e">
        <f t="shared" si="113"/>
        <v>#REF!</v>
      </c>
      <c r="CM156" t="e">
        <f t="shared" si="110"/>
        <v>#REF!</v>
      </c>
      <c r="CN156" t="e">
        <f t="shared" si="110"/>
        <v>#REF!</v>
      </c>
      <c r="CO156" t="e">
        <f t="shared" si="110"/>
        <v>#REF!</v>
      </c>
      <c r="CP156" t="e">
        <f t="shared" si="109"/>
        <v>#REF!</v>
      </c>
      <c r="CQ156" t="e">
        <f t="shared" si="109"/>
        <v>#REF!</v>
      </c>
      <c r="CR156" t="e">
        <f t="shared" si="109"/>
        <v>#REF!</v>
      </c>
      <c r="CS156" t="e">
        <f t="shared" si="109"/>
        <v>#REF!</v>
      </c>
      <c r="CT156" t="e">
        <f t="shared" si="109"/>
        <v>#REF!</v>
      </c>
      <c r="CU156" t="e">
        <f t="shared" si="109"/>
        <v>#REF!</v>
      </c>
      <c r="CV156" t="e">
        <f t="shared" si="109"/>
        <v>#REF!</v>
      </c>
      <c r="CW156" t="e">
        <f t="shared" si="109"/>
        <v>#REF!</v>
      </c>
      <c r="CX156" t="e">
        <f t="shared" si="109"/>
        <v>#REF!</v>
      </c>
      <c r="CY156" t="e">
        <f t="shared" si="109"/>
        <v>#REF!</v>
      </c>
      <c r="CZ156" t="e">
        <f t="shared" si="109"/>
        <v>#REF!</v>
      </c>
      <c r="DA156" t="e">
        <f t="shared" si="109"/>
        <v>#REF!</v>
      </c>
      <c r="DB156" t="e">
        <f t="shared" si="109"/>
        <v>#REF!</v>
      </c>
      <c r="DC156" t="e">
        <f t="shared" si="109"/>
        <v>#REF!</v>
      </c>
      <c r="DD156" t="e">
        <f t="shared" si="109"/>
        <v>#REF!</v>
      </c>
      <c r="DE156" t="e">
        <f t="shared" si="115"/>
        <v>#REF!</v>
      </c>
      <c r="DF156" t="e">
        <f t="shared" si="115"/>
        <v>#REF!</v>
      </c>
      <c r="DG156" t="e">
        <f t="shared" si="115"/>
        <v>#REF!</v>
      </c>
      <c r="DH156" t="e">
        <f t="shared" si="115"/>
        <v>#REF!</v>
      </c>
      <c r="DI156" t="e">
        <f t="shared" si="115"/>
        <v>#REF!</v>
      </c>
      <c r="DJ156" t="e">
        <f t="shared" si="102"/>
        <v>#REF!</v>
      </c>
      <c r="DK156" t="e">
        <f t="shared" si="102"/>
        <v>#REF!</v>
      </c>
      <c r="DL156" t="e">
        <f t="shared" si="102"/>
        <v>#REF!</v>
      </c>
      <c r="DM156" t="e">
        <f t="shared" si="102"/>
        <v>#REF!</v>
      </c>
      <c r="DN156" t="e">
        <f t="shared" si="102"/>
        <v>#REF!</v>
      </c>
      <c r="DO156" t="e">
        <f t="shared" si="102"/>
        <v>#REF!</v>
      </c>
      <c r="DP156" t="e">
        <f t="shared" si="102"/>
        <v>#REF!</v>
      </c>
      <c r="DQ156" t="e">
        <f t="shared" si="108"/>
        <v>#REF!</v>
      </c>
      <c r="DR156" t="e">
        <f t="shared" si="108"/>
        <v>#REF!</v>
      </c>
      <c r="DS156" t="e">
        <f t="shared" si="108"/>
        <v>#REF!</v>
      </c>
      <c r="DT156" t="e">
        <f t="shared" si="108"/>
        <v>#REF!</v>
      </c>
      <c r="DU156" t="e">
        <f t="shared" si="108"/>
        <v>#REF!</v>
      </c>
      <c r="DV156" t="e">
        <f t="shared" ref="DV156:EK176" si="121">MATCH(CONCATENATE(DV$3,"_",$C156),auto_DataFlat_UID,0)</f>
        <v>#REF!</v>
      </c>
      <c r="DW156" t="e">
        <f t="shared" si="121"/>
        <v>#REF!</v>
      </c>
      <c r="DX156" t="e">
        <f t="shared" si="121"/>
        <v>#REF!</v>
      </c>
      <c r="DY156" t="e">
        <f t="shared" si="121"/>
        <v>#REF!</v>
      </c>
      <c r="DZ156" t="e">
        <f t="shared" si="121"/>
        <v>#REF!</v>
      </c>
      <c r="EA156" t="e">
        <f t="shared" si="121"/>
        <v>#REF!</v>
      </c>
      <c r="EB156" t="e">
        <f t="shared" si="121"/>
        <v>#REF!</v>
      </c>
      <c r="EC156" t="e">
        <f t="shared" si="121"/>
        <v>#REF!</v>
      </c>
      <c r="ED156" t="e">
        <f t="shared" si="121"/>
        <v>#REF!</v>
      </c>
      <c r="EE156" t="e">
        <f t="shared" si="121"/>
        <v>#REF!</v>
      </c>
      <c r="EF156" t="e">
        <f t="shared" si="121"/>
        <v>#REF!</v>
      </c>
      <c r="EG156" t="e">
        <f t="shared" si="121"/>
        <v>#REF!</v>
      </c>
      <c r="EH156" t="e">
        <f t="shared" si="121"/>
        <v>#REF!</v>
      </c>
      <c r="EI156" t="e">
        <f t="shared" si="121"/>
        <v>#REF!</v>
      </c>
      <c r="EJ156" t="e">
        <f t="shared" si="121"/>
        <v>#REF!</v>
      </c>
      <c r="EK156" t="e">
        <f t="shared" si="121"/>
        <v>#REF!</v>
      </c>
      <c r="EL156" t="e">
        <f t="shared" si="112"/>
        <v>#REF!</v>
      </c>
      <c r="EM156" t="e">
        <f t="shared" si="112"/>
        <v>#REF!</v>
      </c>
    </row>
    <row r="157" spans="1:143" x14ac:dyDescent="0.4">
      <c r="A157" t="str">
        <f t="shared" si="120"/>
        <v>X</v>
      </c>
      <c r="B157">
        <v>154</v>
      </c>
      <c r="C157" t="e" cm="1">
        <f t="array" ref="C157">INDEX(auto_Series_Code,B157)</f>
        <v>#REF!</v>
      </c>
      <c r="D157" t="e">
        <f t="shared" si="118"/>
        <v>#REF!</v>
      </c>
      <c r="E157" t="e">
        <f t="shared" si="118"/>
        <v>#REF!</v>
      </c>
      <c r="F157" t="e">
        <f t="shared" si="118"/>
        <v>#REF!</v>
      </c>
      <c r="G157" t="e">
        <f t="shared" si="118"/>
        <v>#REF!</v>
      </c>
      <c r="H157" t="e">
        <f t="shared" si="118"/>
        <v>#REF!</v>
      </c>
      <c r="I157" t="e">
        <f t="shared" si="118"/>
        <v>#REF!</v>
      </c>
      <c r="J157" t="e">
        <f t="shared" si="118"/>
        <v>#REF!</v>
      </c>
      <c r="K157" t="e">
        <f t="shared" si="118"/>
        <v>#REF!</v>
      </c>
      <c r="L157" t="e">
        <f t="shared" si="118"/>
        <v>#REF!</v>
      </c>
      <c r="M157" t="e">
        <f t="shared" si="118"/>
        <v>#REF!</v>
      </c>
      <c r="N157" t="e">
        <f t="shared" si="118"/>
        <v>#REF!</v>
      </c>
      <c r="O157" t="e">
        <f t="shared" si="118"/>
        <v>#REF!</v>
      </c>
      <c r="P157" t="e">
        <f t="shared" si="118"/>
        <v>#REF!</v>
      </c>
      <c r="Q157" t="e">
        <f t="shared" si="118"/>
        <v>#REF!</v>
      </c>
      <c r="R157" t="e">
        <f t="shared" si="118"/>
        <v>#REF!</v>
      </c>
      <c r="S157" t="e">
        <f t="shared" si="118"/>
        <v>#REF!</v>
      </c>
      <c r="T157" t="e">
        <f t="shared" si="116"/>
        <v>#REF!</v>
      </c>
      <c r="U157" t="e">
        <f t="shared" si="116"/>
        <v>#REF!</v>
      </c>
      <c r="V157" t="e">
        <f t="shared" si="116"/>
        <v>#REF!</v>
      </c>
      <c r="W157" t="e">
        <f t="shared" si="116"/>
        <v>#REF!</v>
      </c>
      <c r="X157" t="e">
        <f t="shared" si="105"/>
        <v>#REF!</v>
      </c>
      <c r="Y157" t="e">
        <f t="shared" si="105"/>
        <v>#REF!</v>
      </c>
      <c r="Z157" t="e">
        <f t="shared" si="105"/>
        <v>#REF!</v>
      </c>
      <c r="AA157" t="e">
        <f t="shared" si="105"/>
        <v>#REF!</v>
      </c>
      <c r="AB157" t="e">
        <f t="shared" si="105"/>
        <v>#REF!</v>
      </c>
      <c r="AC157" t="e">
        <f t="shared" si="105"/>
        <v>#REF!</v>
      </c>
      <c r="AD157" t="e">
        <f t="shared" si="105"/>
        <v>#REF!</v>
      </c>
      <c r="AE157" t="e">
        <f t="shared" si="105"/>
        <v>#REF!</v>
      </c>
      <c r="AF157" t="e">
        <f t="shared" si="105"/>
        <v>#REF!</v>
      </c>
      <c r="AG157" t="e">
        <f t="shared" si="105"/>
        <v>#REF!</v>
      </c>
      <c r="AH157" t="e">
        <f t="shared" si="105"/>
        <v>#REF!</v>
      </c>
      <c r="AI157" t="e">
        <f t="shared" si="117"/>
        <v>#REF!</v>
      </c>
      <c r="AJ157" t="e">
        <f t="shared" si="117"/>
        <v>#REF!</v>
      </c>
      <c r="AK157" t="e">
        <f t="shared" si="117"/>
        <v>#REF!</v>
      </c>
      <c r="AL157" t="e">
        <f t="shared" si="117"/>
        <v>#REF!</v>
      </c>
      <c r="AM157" t="e">
        <f t="shared" si="117"/>
        <v>#REF!</v>
      </c>
      <c r="AN157" t="e">
        <f t="shared" si="117"/>
        <v>#REF!</v>
      </c>
      <c r="AO157" t="e">
        <f t="shared" si="117"/>
        <v>#REF!</v>
      </c>
      <c r="AP157" t="e">
        <f t="shared" si="117"/>
        <v>#REF!</v>
      </c>
      <c r="AQ157" t="e">
        <f t="shared" si="117"/>
        <v>#REF!</v>
      </c>
      <c r="AR157" t="e">
        <f t="shared" si="117"/>
        <v>#REF!</v>
      </c>
      <c r="AS157" t="e">
        <f t="shared" si="117"/>
        <v>#REF!</v>
      </c>
      <c r="AT157" t="e">
        <f t="shared" si="117"/>
        <v>#REF!</v>
      </c>
      <c r="AU157" t="e">
        <f t="shared" si="117"/>
        <v>#REF!</v>
      </c>
      <c r="AV157" t="e">
        <f t="shared" si="117"/>
        <v>#REF!</v>
      </c>
      <c r="AW157" t="e">
        <f t="shared" si="117"/>
        <v>#REF!</v>
      </c>
      <c r="AX157" t="e">
        <f t="shared" si="117"/>
        <v>#REF!</v>
      </c>
      <c r="AY157" t="e">
        <f t="shared" si="114"/>
        <v>#REF!</v>
      </c>
      <c r="AZ157" t="e">
        <f t="shared" si="114"/>
        <v>#REF!</v>
      </c>
      <c r="BA157" t="e">
        <f t="shared" si="114"/>
        <v>#REF!</v>
      </c>
      <c r="BB157" t="e">
        <f t="shared" si="114"/>
        <v>#REF!</v>
      </c>
      <c r="BC157" t="e">
        <f t="shared" si="114"/>
        <v>#REF!</v>
      </c>
      <c r="BD157" t="e">
        <f t="shared" si="114"/>
        <v>#REF!</v>
      </c>
      <c r="BE157" t="e">
        <f t="shared" si="114"/>
        <v>#REF!</v>
      </c>
      <c r="BF157" t="e">
        <f t="shared" si="114"/>
        <v>#REF!</v>
      </c>
      <c r="BG157" t="e">
        <f t="shared" si="114"/>
        <v>#REF!</v>
      </c>
      <c r="BH157" t="e">
        <f t="shared" si="114"/>
        <v>#REF!</v>
      </c>
      <c r="BI157" t="e">
        <f t="shared" si="114"/>
        <v>#REF!</v>
      </c>
      <c r="BJ157" t="e">
        <f t="shared" si="114"/>
        <v>#REF!</v>
      </c>
      <c r="BK157" t="e">
        <f t="shared" si="114"/>
        <v>#REF!</v>
      </c>
      <c r="BL157" t="e">
        <f t="shared" si="104"/>
        <v>#REF!</v>
      </c>
      <c r="BM157" t="e">
        <f t="shared" si="104"/>
        <v>#REF!</v>
      </c>
      <c r="BN157" t="e">
        <f t="shared" ref="BN157:CC187" si="122">MATCH(CONCATENATE(BN$3,"_",$C157),auto_DataFlat_UID,0)</f>
        <v>#REF!</v>
      </c>
      <c r="BO157" t="e">
        <f t="shared" si="122"/>
        <v>#REF!</v>
      </c>
      <c r="BP157" t="e">
        <f t="shared" si="122"/>
        <v>#REF!</v>
      </c>
      <c r="BQ157" t="e">
        <f t="shared" si="122"/>
        <v>#REF!</v>
      </c>
      <c r="BR157" t="e">
        <f t="shared" si="122"/>
        <v>#REF!</v>
      </c>
      <c r="BS157" t="e">
        <f t="shared" si="122"/>
        <v>#REF!</v>
      </c>
      <c r="BT157" t="e">
        <f t="shared" si="122"/>
        <v>#REF!</v>
      </c>
      <c r="BU157" t="e">
        <f t="shared" si="122"/>
        <v>#REF!</v>
      </c>
      <c r="BV157" t="e">
        <f t="shared" si="122"/>
        <v>#REF!</v>
      </c>
      <c r="BW157" t="e">
        <f t="shared" si="122"/>
        <v>#REF!</v>
      </c>
      <c r="BX157" t="e">
        <f t="shared" si="122"/>
        <v>#REF!</v>
      </c>
      <c r="BY157" t="e">
        <f t="shared" si="122"/>
        <v>#REF!</v>
      </c>
      <c r="BZ157" t="e">
        <f t="shared" si="122"/>
        <v>#REF!</v>
      </c>
      <c r="CA157" t="e">
        <f t="shared" si="122"/>
        <v>#REF!</v>
      </c>
      <c r="CB157" t="e">
        <f t="shared" si="122"/>
        <v>#REF!</v>
      </c>
      <c r="CC157" t="e">
        <f t="shared" si="122"/>
        <v>#REF!</v>
      </c>
      <c r="CD157" t="e">
        <f t="shared" si="113"/>
        <v>#REF!</v>
      </c>
      <c r="CE157" t="e">
        <f t="shared" si="113"/>
        <v>#REF!</v>
      </c>
      <c r="CF157" t="e">
        <f t="shared" si="113"/>
        <v>#REF!</v>
      </c>
      <c r="CG157" t="e">
        <f t="shared" si="113"/>
        <v>#REF!</v>
      </c>
      <c r="CH157" t="e">
        <f t="shared" si="113"/>
        <v>#REF!</v>
      </c>
      <c r="CI157" t="e">
        <f t="shared" si="113"/>
        <v>#REF!</v>
      </c>
      <c r="CJ157" t="e">
        <f t="shared" si="113"/>
        <v>#REF!</v>
      </c>
      <c r="CK157" t="e">
        <f t="shared" si="113"/>
        <v>#REF!</v>
      </c>
      <c r="CL157" t="e">
        <f t="shared" si="113"/>
        <v>#REF!</v>
      </c>
      <c r="CM157" t="e">
        <f t="shared" si="110"/>
        <v>#REF!</v>
      </c>
      <c r="CN157" t="e">
        <f t="shared" si="110"/>
        <v>#REF!</v>
      </c>
      <c r="CO157" t="e">
        <f t="shared" si="110"/>
        <v>#REF!</v>
      </c>
      <c r="CP157" t="e">
        <f t="shared" si="109"/>
        <v>#REF!</v>
      </c>
      <c r="CQ157" t="e">
        <f t="shared" si="109"/>
        <v>#REF!</v>
      </c>
      <c r="CR157" t="e">
        <f t="shared" si="109"/>
        <v>#REF!</v>
      </c>
      <c r="CS157" t="e">
        <f t="shared" si="109"/>
        <v>#REF!</v>
      </c>
      <c r="CT157" t="e">
        <f t="shared" si="109"/>
        <v>#REF!</v>
      </c>
      <c r="CU157" t="e">
        <f t="shared" si="109"/>
        <v>#REF!</v>
      </c>
      <c r="CV157" t="e">
        <f t="shared" si="109"/>
        <v>#REF!</v>
      </c>
      <c r="CW157" t="e">
        <f t="shared" si="109"/>
        <v>#REF!</v>
      </c>
      <c r="CX157" t="e">
        <f t="shared" si="109"/>
        <v>#REF!</v>
      </c>
      <c r="CY157" t="e">
        <f t="shared" si="109"/>
        <v>#REF!</v>
      </c>
      <c r="CZ157" t="e">
        <f t="shared" si="109"/>
        <v>#REF!</v>
      </c>
      <c r="DA157" t="e">
        <f t="shared" si="109"/>
        <v>#REF!</v>
      </c>
      <c r="DB157" t="e">
        <f t="shared" si="109"/>
        <v>#REF!</v>
      </c>
      <c r="DC157" t="e">
        <f t="shared" si="109"/>
        <v>#REF!</v>
      </c>
      <c r="DD157" t="e">
        <f t="shared" si="109"/>
        <v>#REF!</v>
      </c>
      <c r="DE157" t="e">
        <f t="shared" si="115"/>
        <v>#REF!</v>
      </c>
      <c r="DF157" t="e">
        <f t="shared" si="115"/>
        <v>#REF!</v>
      </c>
      <c r="DG157" t="e">
        <f t="shared" si="115"/>
        <v>#REF!</v>
      </c>
      <c r="DH157" t="e">
        <f t="shared" si="115"/>
        <v>#REF!</v>
      </c>
      <c r="DI157" t="e">
        <f t="shared" si="115"/>
        <v>#REF!</v>
      </c>
      <c r="DJ157" t="e">
        <f t="shared" si="102"/>
        <v>#REF!</v>
      </c>
      <c r="DK157" t="e">
        <f t="shared" si="102"/>
        <v>#REF!</v>
      </c>
      <c r="DL157" t="e">
        <f t="shared" si="102"/>
        <v>#REF!</v>
      </c>
      <c r="DM157" t="e">
        <f t="shared" si="102"/>
        <v>#REF!</v>
      </c>
      <c r="DN157" t="e">
        <f t="shared" si="102"/>
        <v>#REF!</v>
      </c>
      <c r="DO157" t="e">
        <f t="shared" si="102"/>
        <v>#REF!</v>
      </c>
      <c r="DP157" t="e">
        <f t="shared" si="102"/>
        <v>#REF!</v>
      </c>
      <c r="DQ157" t="e">
        <f t="shared" ref="DQ157:DY165" si="123">MATCH(CONCATENATE(DQ$3,"_",$C157),auto_DataFlat_UID,0)</f>
        <v>#REF!</v>
      </c>
      <c r="DR157" t="e">
        <f t="shared" si="123"/>
        <v>#REF!</v>
      </c>
      <c r="DS157" t="e">
        <f t="shared" si="123"/>
        <v>#REF!</v>
      </c>
      <c r="DT157" t="e">
        <f t="shared" si="123"/>
        <v>#REF!</v>
      </c>
      <c r="DU157" t="e">
        <f t="shared" si="123"/>
        <v>#REF!</v>
      </c>
      <c r="DV157" t="e">
        <f t="shared" si="123"/>
        <v>#REF!</v>
      </c>
      <c r="DW157" t="e">
        <f t="shared" si="123"/>
        <v>#REF!</v>
      </c>
      <c r="DX157" t="e">
        <f t="shared" si="123"/>
        <v>#REF!</v>
      </c>
      <c r="DY157" t="e">
        <f t="shared" si="123"/>
        <v>#REF!</v>
      </c>
      <c r="DZ157" t="e">
        <f t="shared" si="121"/>
        <v>#REF!</v>
      </c>
      <c r="EA157" t="e">
        <f t="shared" si="121"/>
        <v>#REF!</v>
      </c>
      <c r="EB157" t="e">
        <f t="shared" si="121"/>
        <v>#REF!</v>
      </c>
      <c r="EC157" t="e">
        <f t="shared" si="121"/>
        <v>#REF!</v>
      </c>
      <c r="ED157" t="e">
        <f t="shared" si="121"/>
        <v>#REF!</v>
      </c>
      <c r="EE157" t="e">
        <f t="shared" si="121"/>
        <v>#REF!</v>
      </c>
      <c r="EF157" t="e">
        <f t="shared" si="121"/>
        <v>#REF!</v>
      </c>
      <c r="EG157" t="e">
        <f t="shared" si="121"/>
        <v>#REF!</v>
      </c>
      <c r="EH157" t="e">
        <f t="shared" si="121"/>
        <v>#REF!</v>
      </c>
      <c r="EI157" t="e">
        <f t="shared" si="121"/>
        <v>#REF!</v>
      </c>
      <c r="EJ157" t="e">
        <f t="shared" si="121"/>
        <v>#REF!</v>
      </c>
      <c r="EK157" t="e">
        <f t="shared" si="121"/>
        <v>#REF!</v>
      </c>
      <c r="EL157" t="e">
        <f t="shared" si="112"/>
        <v>#REF!</v>
      </c>
      <c r="EM157" t="e">
        <f t="shared" si="112"/>
        <v>#REF!</v>
      </c>
    </row>
    <row r="158" spans="1:143" x14ac:dyDescent="0.4">
      <c r="A158" t="str">
        <f t="shared" si="120"/>
        <v>X</v>
      </c>
      <c r="B158">
        <v>155</v>
      </c>
      <c r="C158" t="e" cm="1">
        <f t="array" ref="C158">INDEX(auto_Series_Code,B158)</f>
        <v>#REF!</v>
      </c>
      <c r="D158" t="e">
        <f t="shared" si="118"/>
        <v>#REF!</v>
      </c>
      <c r="E158" t="e">
        <f t="shared" si="118"/>
        <v>#REF!</v>
      </c>
      <c r="F158" t="e">
        <f t="shared" si="118"/>
        <v>#REF!</v>
      </c>
      <c r="G158" t="e">
        <f t="shared" si="118"/>
        <v>#REF!</v>
      </c>
      <c r="H158" t="e">
        <f t="shared" si="118"/>
        <v>#REF!</v>
      </c>
      <c r="I158" t="e">
        <f t="shared" si="118"/>
        <v>#REF!</v>
      </c>
      <c r="J158" t="e">
        <f t="shared" si="118"/>
        <v>#REF!</v>
      </c>
      <c r="K158" t="e">
        <f t="shared" si="118"/>
        <v>#REF!</v>
      </c>
      <c r="L158" t="e">
        <f t="shared" si="118"/>
        <v>#REF!</v>
      </c>
      <c r="M158" t="e">
        <f t="shared" si="118"/>
        <v>#REF!</v>
      </c>
      <c r="N158" t="e">
        <f t="shared" si="118"/>
        <v>#REF!</v>
      </c>
      <c r="O158" t="e">
        <f t="shared" si="118"/>
        <v>#REF!</v>
      </c>
      <c r="P158" t="e">
        <f t="shared" si="118"/>
        <v>#REF!</v>
      </c>
      <c r="Q158" t="e">
        <f t="shared" si="118"/>
        <v>#REF!</v>
      </c>
      <c r="R158" t="e">
        <f t="shared" si="118"/>
        <v>#REF!</v>
      </c>
      <c r="S158" t="e">
        <f t="shared" si="118"/>
        <v>#REF!</v>
      </c>
      <c r="T158" t="e">
        <f t="shared" si="116"/>
        <v>#REF!</v>
      </c>
      <c r="U158" t="e">
        <f t="shared" si="116"/>
        <v>#REF!</v>
      </c>
      <c r="V158" t="e">
        <f t="shared" si="116"/>
        <v>#REF!</v>
      </c>
      <c r="W158" t="e">
        <f t="shared" si="116"/>
        <v>#REF!</v>
      </c>
      <c r="X158" t="e">
        <f t="shared" si="105"/>
        <v>#REF!</v>
      </c>
      <c r="Y158" t="e">
        <f t="shared" si="105"/>
        <v>#REF!</v>
      </c>
      <c r="Z158" t="e">
        <f t="shared" si="105"/>
        <v>#REF!</v>
      </c>
      <c r="AA158" t="e">
        <f t="shared" si="105"/>
        <v>#REF!</v>
      </c>
      <c r="AB158" t="e">
        <f t="shared" si="105"/>
        <v>#REF!</v>
      </c>
      <c r="AC158" t="e">
        <f t="shared" si="105"/>
        <v>#REF!</v>
      </c>
      <c r="AD158" t="e">
        <f t="shared" si="105"/>
        <v>#REF!</v>
      </c>
      <c r="AE158" t="e">
        <f t="shared" si="105"/>
        <v>#REF!</v>
      </c>
      <c r="AF158" t="e">
        <f t="shared" si="105"/>
        <v>#REF!</v>
      </c>
      <c r="AG158" t="e">
        <f t="shared" si="105"/>
        <v>#REF!</v>
      </c>
      <c r="AH158" t="e">
        <f t="shared" si="105"/>
        <v>#REF!</v>
      </c>
      <c r="AI158" t="e">
        <f t="shared" si="117"/>
        <v>#REF!</v>
      </c>
      <c r="AJ158" t="e">
        <f t="shared" si="117"/>
        <v>#REF!</v>
      </c>
      <c r="AK158" t="e">
        <f t="shared" si="117"/>
        <v>#REF!</v>
      </c>
      <c r="AL158" t="e">
        <f t="shared" si="117"/>
        <v>#REF!</v>
      </c>
      <c r="AM158" t="e">
        <f t="shared" si="117"/>
        <v>#REF!</v>
      </c>
      <c r="AN158" t="e">
        <f t="shared" si="117"/>
        <v>#REF!</v>
      </c>
      <c r="AO158" t="e">
        <f t="shared" si="117"/>
        <v>#REF!</v>
      </c>
      <c r="AP158" t="e">
        <f t="shared" si="117"/>
        <v>#REF!</v>
      </c>
      <c r="AQ158" t="e">
        <f t="shared" si="117"/>
        <v>#REF!</v>
      </c>
      <c r="AR158" t="e">
        <f t="shared" si="117"/>
        <v>#REF!</v>
      </c>
      <c r="AS158" t="e">
        <f t="shared" si="117"/>
        <v>#REF!</v>
      </c>
      <c r="AT158" t="e">
        <f t="shared" si="117"/>
        <v>#REF!</v>
      </c>
      <c r="AU158" t="e">
        <f t="shared" si="117"/>
        <v>#REF!</v>
      </c>
      <c r="AV158" t="e">
        <f t="shared" si="117"/>
        <v>#REF!</v>
      </c>
      <c r="AW158" t="e">
        <f t="shared" si="117"/>
        <v>#REF!</v>
      </c>
      <c r="AX158" t="e">
        <f t="shared" si="117"/>
        <v>#REF!</v>
      </c>
      <c r="AY158" t="e">
        <f t="shared" si="114"/>
        <v>#REF!</v>
      </c>
      <c r="AZ158" t="e">
        <f t="shared" si="114"/>
        <v>#REF!</v>
      </c>
      <c r="BA158" t="e">
        <f t="shared" si="114"/>
        <v>#REF!</v>
      </c>
      <c r="BB158" t="e">
        <f t="shared" si="114"/>
        <v>#REF!</v>
      </c>
      <c r="BC158" t="e">
        <f t="shared" si="114"/>
        <v>#REF!</v>
      </c>
      <c r="BD158" t="e">
        <f t="shared" si="114"/>
        <v>#REF!</v>
      </c>
      <c r="BE158" t="e">
        <f t="shared" si="114"/>
        <v>#REF!</v>
      </c>
      <c r="BF158" t="e">
        <f t="shared" si="114"/>
        <v>#REF!</v>
      </c>
      <c r="BG158" t="e">
        <f t="shared" si="114"/>
        <v>#REF!</v>
      </c>
      <c r="BH158" t="e">
        <f t="shared" si="114"/>
        <v>#REF!</v>
      </c>
      <c r="BI158" t="e">
        <f t="shared" si="114"/>
        <v>#REF!</v>
      </c>
      <c r="BJ158" t="e">
        <f t="shared" si="114"/>
        <v>#REF!</v>
      </c>
      <c r="BK158" t="e">
        <f t="shared" si="114"/>
        <v>#REF!</v>
      </c>
      <c r="BL158" t="e">
        <f t="shared" ref="BL158:BU183" si="124">MATCH(CONCATENATE(BL$3,"_",$C158),auto_DataFlat_UID,0)</f>
        <v>#REF!</v>
      </c>
      <c r="BM158" t="e">
        <f t="shared" si="124"/>
        <v>#REF!</v>
      </c>
      <c r="BN158" t="e">
        <f t="shared" si="124"/>
        <v>#REF!</v>
      </c>
      <c r="BO158" t="e">
        <f t="shared" si="124"/>
        <v>#REF!</v>
      </c>
      <c r="BP158" t="e">
        <f t="shared" si="124"/>
        <v>#REF!</v>
      </c>
      <c r="BQ158" t="e">
        <f t="shared" si="124"/>
        <v>#REF!</v>
      </c>
      <c r="BR158" t="e">
        <f t="shared" si="124"/>
        <v>#REF!</v>
      </c>
      <c r="BS158" t="e">
        <f t="shared" si="124"/>
        <v>#REF!</v>
      </c>
      <c r="BT158" t="e">
        <f t="shared" si="124"/>
        <v>#REF!</v>
      </c>
      <c r="BU158" t="e">
        <f t="shared" si="124"/>
        <v>#REF!</v>
      </c>
      <c r="BV158" t="e">
        <f t="shared" si="122"/>
        <v>#REF!</v>
      </c>
      <c r="BW158" t="e">
        <f t="shared" si="122"/>
        <v>#REF!</v>
      </c>
      <c r="BX158" t="e">
        <f t="shared" si="122"/>
        <v>#REF!</v>
      </c>
      <c r="BY158" t="e">
        <f t="shared" si="122"/>
        <v>#REF!</v>
      </c>
      <c r="BZ158" t="e">
        <f t="shared" si="122"/>
        <v>#REF!</v>
      </c>
      <c r="CA158" t="e">
        <f t="shared" si="122"/>
        <v>#REF!</v>
      </c>
      <c r="CB158" t="e">
        <f t="shared" si="122"/>
        <v>#REF!</v>
      </c>
      <c r="CC158" t="e">
        <f t="shared" si="122"/>
        <v>#REF!</v>
      </c>
      <c r="CD158" t="e">
        <f t="shared" si="113"/>
        <v>#REF!</v>
      </c>
      <c r="CE158" t="e">
        <f t="shared" si="113"/>
        <v>#REF!</v>
      </c>
      <c r="CF158" t="e">
        <f t="shared" si="113"/>
        <v>#REF!</v>
      </c>
      <c r="CG158" t="e">
        <f t="shared" si="113"/>
        <v>#REF!</v>
      </c>
      <c r="CH158" t="e">
        <f t="shared" si="113"/>
        <v>#REF!</v>
      </c>
      <c r="CI158" t="e">
        <f t="shared" si="113"/>
        <v>#REF!</v>
      </c>
      <c r="CJ158" t="e">
        <f t="shared" si="113"/>
        <v>#REF!</v>
      </c>
      <c r="CK158" t="e">
        <f t="shared" si="113"/>
        <v>#REF!</v>
      </c>
      <c r="CL158" t="e">
        <f t="shared" si="113"/>
        <v>#REF!</v>
      </c>
      <c r="CM158" t="e">
        <f t="shared" si="110"/>
        <v>#REF!</v>
      </c>
      <c r="CN158" t="e">
        <f t="shared" si="110"/>
        <v>#REF!</v>
      </c>
      <c r="CO158" t="e">
        <f t="shared" si="110"/>
        <v>#REF!</v>
      </c>
      <c r="CP158" t="e">
        <f t="shared" si="109"/>
        <v>#REF!</v>
      </c>
      <c r="CQ158" t="e">
        <f t="shared" si="109"/>
        <v>#REF!</v>
      </c>
      <c r="CR158" t="e">
        <f t="shared" si="109"/>
        <v>#REF!</v>
      </c>
      <c r="CS158" t="e">
        <f t="shared" si="109"/>
        <v>#REF!</v>
      </c>
      <c r="CT158" t="e">
        <f t="shared" si="109"/>
        <v>#REF!</v>
      </c>
      <c r="CU158" t="e">
        <f t="shared" si="109"/>
        <v>#REF!</v>
      </c>
      <c r="CV158" t="e">
        <f t="shared" si="109"/>
        <v>#REF!</v>
      </c>
      <c r="CW158" t="e">
        <f t="shared" si="109"/>
        <v>#REF!</v>
      </c>
      <c r="CX158" t="e">
        <f t="shared" si="109"/>
        <v>#REF!</v>
      </c>
      <c r="CY158" t="e">
        <f t="shared" si="109"/>
        <v>#REF!</v>
      </c>
      <c r="CZ158" t="e">
        <f t="shared" si="109"/>
        <v>#REF!</v>
      </c>
      <c r="DA158" t="e">
        <f t="shared" si="109"/>
        <v>#REF!</v>
      </c>
      <c r="DB158" t="e">
        <f t="shared" si="109"/>
        <v>#REF!</v>
      </c>
      <c r="DC158" t="e">
        <f t="shared" si="109"/>
        <v>#REF!</v>
      </c>
      <c r="DD158" t="e">
        <f t="shared" ref="DD158:DI158" si="125">MATCH(CONCATENATE(DD$3,"_",$C158),auto_DataFlat_UID,0)</f>
        <v>#REF!</v>
      </c>
      <c r="DE158" t="e">
        <f t="shared" si="125"/>
        <v>#REF!</v>
      </c>
      <c r="DF158" t="e">
        <f t="shared" si="125"/>
        <v>#REF!</v>
      </c>
      <c r="DG158" t="e">
        <f t="shared" si="125"/>
        <v>#REF!</v>
      </c>
      <c r="DH158" t="e">
        <f t="shared" si="125"/>
        <v>#REF!</v>
      </c>
      <c r="DI158" t="e">
        <f t="shared" si="125"/>
        <v>#REF!</v>
      </c>
      <c r="DJ158" t="e">
        <f t="shared" si="102"/>
        <v>#REF!</v>
      </c>
      <c r="DK158" t="e">
        <f t="shared" si="102"/>
        <v>#REF!</v>
      </c>
      <c r="DL158" t="e">
        <f t="shared" si="102"/>
        <v>#REF!</v>
      </c>
      <c r="DM158" t="e">
        <f t="shared" si="102"/>
        <v>#REF!</v>
      </c>
      <c r="DN158" t="e">
        <f t="shared" si="102"/>
        <v>#REF!</v>
      </c>
      <c r="DO158" t="e">
        <f t="shared" si="102"/>
        <v>#REF!</v>
      </c>
      <c r="DP158" t="e">
        <f t="shared" si="102"/>
        <v>#REF!</v>
      </c>
      <c r="DQ158" t="e">
        <f t="shared" si="123"/>
        <v>#REF!</v>
      </c>
      <c r="DR158" t="e">
        <f t="shared" si="123"/>
        <v>#REF!</v>
      </c>
      <c r="DS158" t="e">
        <f t="shared" si="123"/>
        <v>#REF!</v>
      </c>
      <c r="DT158" t="e">
        <f t="shared" si="123"/>
        <v>#REF!</v>
      </c>
      <c r="DU158" t="e">
        <f t="shared" si="123"/>
        <v>#REF!</v>
      </c>
      <c r="DV158" t="e">
        <f t="shared" si="123"/>
        <v>#REF!</v>
      </c>
      <c r="DW158" t="e">
        <f t="shared" si="123"/>
        <v>#REF!</v>
      </c>
      <c r="DX158" t="e">
        <f t="shared" si="123"/>
        <v>#REF!</v>
      </c>
      <c r="DY158" t="e">
        <f t="shared" si="123"/>
        <v>#REF!</v>
      </c>
      <c r="DZ158" t="e">
        <f t="shared" si="121"/>
        <v>#REF!</v>
      </c>
      <c r="EA158" t="e">
        <f t="shared" si="121"/>
        <v>#REF!</v>
      </c>
      <c r="EB158" t="e">
        <f t="shared" si="121"/>
        <v>#REF!</v>
      </c>
      <c r="EC158" t="e">
        <f t="shared" si="121"/>
        <v>#REF!</v>
      </c>
      <c r="ED158" t="e">
        <f t="shared" si="121"/>
        <v>#REF!</v>
      </c>
      <c r="EE158" t="e">
        <f t="shared" si="121"/>
        <v>#REF!</v>
      </c>
      <c r="EF158" t="e">
        <f t="shared" si="121"/>
        <v>#REF!</v>
      </c>
      <c r="EG158" t="e">
        <f t="shared" si="121"/>
        <v>#REF!</v>
      </c>
      <c r="EH158" t="e">
        <f t="shared" si="121"/>
        <v>#REF!</v>
      </c>
      <c r="EI158" t="e">
        <f t="shared" si="121"/>
        <v>#REF!</v>
      </c>
      <c r="EJ158" t="e">
        <f t="shared" si="121"/>
        <v>#REF!</v>
      </c>
      <c r="EK158" t="e">
        <f t="shared" si="121"/>
        <v>#REF!</v>
      </c>
      <c r="EL158" t="e">
        <f t="shared" si="112"/>
        <v>#REF!</v>
      </c>
      <c r="EM158" t="e">
        <f t="shared" si="112"/>
        <v>#REF!</v>
      </c>
    </row>
    <row r="159" spans="1:143" x14ac:dyDescent="0.4">
      <c r="A159" t="str">
        <f t="shared" si="120"/>
        <v>X</v>
      </c>
      <c r="B159">
        <v>156</v>
      </c>
      <c r="C159" t="e" cm="1">
        <f t="array" ref="C159">INDEX(auto_Series_Code,B159)</f>
        <v>#REF!</v>
      </c>
      <c r="D159" t="e">
        <f t="shared" si="118"/>
        <v>#REF!</v>
      </c>
      <c r="E159" t="e">
        <f t="shared" si="118"/>
        <v>#REF!</v>
      </c>
      <c r="F159" t="e">
        <f t="shared" si="118"/>
        <v>#REF!</v>
      </c>
      <c r="G159" t="e">
        <f t="shared" si="118"/>
        <v>#REF!</v>
      </c>
      <c r="H159" t="e">
        <f t="shared" si="118"/>
        <v>#REF!</v>
      </c>
      <c r="I159" t="e">
        <f t="shared" si="118"/>
        <v>#REF!</v>
      </c>
      <c r="J159" t="e">
        <f t="shared" si="118"/>
        <v>#REF!</v>
      </c>
      <c r="K159" t="e">
        <f t="shared" si="118"/>
        <v>#REF!</v>
      </c>
      <c r="L159" t="e">
        <f t="shared" si="118"/>
        <v>#REF!</v>
      </c>
      <c r="M159" t="e">
        <f t="shared" si="118"/>
        <v>#REF!</v>
      </c>
      <c r="N159" t="e">
        <f t="shared" si="118"/>
        <v>#REF!</v>
      </c>
      <c r="O159" t="e">
        <f t="shared" si="118"/>
        <v>#REF!</v>
      </c>
      <c r="P159" t="e">
        <f t="shared" si="118"/>
        <v>#REF!</v>
      </c>
      <c r="Q159" t="e">
        <f t="shared" si="118"/>
        <v>#REF!</v>
      </c>
      <c r="R159" t="e">
        <f t="shared" si="118"/>
        <v>#REF!</v>
      </c>
      <c r="S159" t="e">
        <f t="shared" si="118"/>
        <v>#REF!</v>
      </c>
      <c r="T159" t="e">
        <f t="shared" si="116"/>
        <v>#REF!</v>
      </c>
      <c r="U159" t="e">
        <f t="shared" si="116"/>
        <v>#REF!</v>
      </c>
      <c r="V159" t="e">
        <f t="shared" si="116"/>
        <v>#REF!</v>
      </c>
      <c r="W159" t="e">
        <f t="shared" si="116"/>
        <v>#REF!</v>
      </c>
      <c r="X159" t="e">
        <f t="shared" si="105"/>
        <v>#REF!</v>
      </c>
      <c r="Y159" t="e">
        <f t="shared" si="105"/>
        <v>#REF!</v>
      </c>
      <c r="Z159" t="e">
        <f t="shared" si="105"/>
        <v>#REF!</v>
      </c>
      <c r="AA159" t="e">
        <f t="shared" si="105"/>
        <v>#REF!</v>
      </c>
      <c r="AB159" t="e">
        <f t="shared" si="105"/>
        <v>#REF!</v>
      </c>
      <c r="AC159" t="e">
        <f t="shared" si="105"/>
        <v>#REF!</v>
      </c>
      <c r="AD159" t="e">
        <f t="shared" si="105"/>
        <v>#REF!</v>
      </c>
      <c r="AE159" t="e">
        <f t="shared" si="105"/>
        <v>#REF!</v>
      </c>
      <c r="AF159" t="e">
        <f t="shared" si="105"/>
        <v>#REF!</v>
      </c>
      <c r="AG159" t="e">
        <f t="shared" si="105"/>
        <v>#REF!</v>
      </c>
      <c r="AH159" t="e">
        <f t="shared" si="105"/>
        <v>#REF!</v>
      </c>
      <c r="AI159" t="e">
        <f t="shared" si="117"/>
        <v>#REF!</v>
      </c>
      <c r="AJ159" t="e">
        <f t="shared" si="117"/>
        <v>#REF!</v>
      </c>
      <c r="AK159" t="e">
        <f t="shared" si="117"/>
        <v>#REF!</v>
      </c>
      <c r="AL159" t="e">
        <f t="shared" si="117"/>
        <v>#REF!</v>
      </c>
      <c r="AM159" t="e">
        <f t="shared" si="117"/>
        <v>#REF!</v>
      </c>
      <c r="AN159" t="e">
        <f t="shared" si="117"/>
        <v>#REF!</v>
      </c>
      <c r="AO159" t="e">
        <f t="shared" si="117"/>
        <v>#REF!</v>
      </c>
      <c r="AP159" t="e">
        <f t="shared" si="117"/>
        <v>#REF!</v>
      </c>
      <c r="AQ159" t="e">
        <f t="shared" si="117"/>
        <v>#REF!</v>
      </c>
      <c r="AR159" t="e">
        <f t="shared" si="117"/>
        <v>#REF!</v>
      </c>
      <c r="AS159" t="e">
        <f t="shared" si="117"/>
        <v>#REF!</v>
      </c>
      <c r="AT159" t="e">
        <f t="shared" si="117"/>
        <v>#REF!</v>
      </c>
      <c r="AU159" t="e">
        <f t="shared" si="117"/>
        <v>#REF!</v>
      </c>
      <c r="AV159" t="e">
        <f t="shared" si="117"/>
        <v>#REF!</v>
      </c>
      <c r="AW159" t="e">
        <f t="shared" si="117"/>
        <v>#REF!</v>
      </c>
      <c r="AX159" t="e">
        <f t="shared" si="117"/>
        <v>#REF!</v>
      </c>
      <c r="AY159" t="e">
        <f t="shared" si="114"/>
        <v>#REF!</v>
      </c>
      <c r="AZ159" t="e">
        <f t="shared" si="114"/>
        <v>#REF!</v>
      </c>
      <c r="BA159" t="e">
        <f t="shared" si="114"/>
        <v>#REF!</v>
      </c>
      <c r="BB159" t="e">
        <f t="shared" si="114"/>
        <v>#REF!</v>
      </c>
      <c r="BC159" t="e">
        <f t="shared" si="114"/>
        <v>#REF!</v>
      </c>
      <c r="BD159" t="e">
        <f t="shared" si="114"/>
        <v>#REF!</v>
      </c>
      <c r="BE159" t="e">
        <f t="shared" si="114"/>
        <v>#REF!</v>
      </c>
      <c r="BF159" t="e">
        <f t="shared" si="114"/>
        <v>#REF!</v>
      </c>
      <c r="BG159" t="e">
        <f t="shared" si="114"/>
        <v>#REF!</v>
      </c>
      <c r="BH159" t="e">
        <f t="shared" si="114"/>
        <v>#REF!</v>
      </c>
      <c r="BI159" t="e">
        <f t="shared" si="114"/>
        <v>#REF!</v>
      </c>
      <c r="BJ159" t="e">
        <f t="shared" si="114"/>
        <v>#REF!</v>
      </c>
      <c r="BK159" t="e">
        <f t="shared" si="114"/>
        <v>#REF!</v>
      </c>
      <c r="BL159" t="e">
        <f t="shared" si="124"/>
        <v>#REF!</v>
      </c>
      <c r="BM159" t="e">
        <f t="shared" si="124"/>
        <v>#REF!</v>
      </c>
      <c r="BN159" t="e">
        <f t="shared" si="124"/>
        <v>#REF!</v>
      </c>
      <c r="BO159" t="e">
        <f t="shared" si="124"/>
        <v>#REF!</v>
      </c>
      <c r="BP159" t="e">
        <f t="shared" si="124"/>
        <v>#REF!</v>
      </c>
      <c r="BQ159" t="e">
        <f t="shared" si="124"/>
        <v>#REF!</v>
      </c>
      <c r="BR159" t="e">
        <f t="shared" si="124"/>
        <v>#REF!</v>
      </c>
      <c r="BS159" t="e">
        <f t="shared" si="124"/>
        <v>#REF!</v>
      </c>
      <c r="BT159" t="e">
        <f t="shared" si="124"/>
        <v>#REF!</v>
      </c>
      <c r="BU159" t="e">
        <f t="shared" si="124"/>
        <v>#REF!</v>
      </c>
      <c r="BV159" t="e">
        <f t="shared" si="122"/>
        <v>#REF!</v>
      </c>
      <c r="BW159" t="e">
        <f t="shared" si="122"/>
        <v>#REF!</v>
      </c>
      <c r="BX159" t="e">
        <f t="shared" si="122"/>
        <v>#REF!</v>
      </c>
      <c r="BY159" t="e">
        <f t="shared" si="122"/>
        <v>#REF!</v>
      </c>
      <c r="BZ159" t="e">
        <f t="shared" si="122"/>
        <v>#REF!</v>
      </c>
      <c r="CA159" t="e">
        <f t="shared" si="122"/>
        <v>#REF!</v>
      </c>
      <c r="CB159" t="e">
        <f t="shared" si="122"/>
        <v>#REF!</v>
      </c>
      <c r="CC159" t="e">
        <f t="shared" si="122"/>
        <v>#REF!</v>
      </c>
      <c r="CD159" t="e">
        <f t="shared" si="113"/>
        <v>#REF!</v>
      </c>
      <c r="CE159" t="e">
        <f t="shared" si="113"/>
        <v>#REF!</v>
      </c>
      <c r="CF159" t="e">
        <f t="shared" si="113"/>
        <v>#REF!</v>
      </c>
      <c r="CG159" t="e">
        <f t="shared" si="113"/>
        <v>#REF!</v>
      </c>
      <c r="CH159" t="e">
        <f t="shared" si="113"/>
        <v>#REF!</v>
      </c>
      <c r="CI159" t="e">
        <f t="shared" si="113"/>
        <v>#REF!</v>
      </c>
      <c r="CJ159" t="e">
        <f t="shared" si="113"/>
        <v>#REF!</v>
      </c>
      <c r="CK159" t="e">
        <f t="shared" si="113"/>
        <v>#REF!</v>
      </c>
      <c r="CL159" t="e">
        <f t="shared" si="113"/>
        <v>#REF!</v>
      </c>
      <c r="CM159" t="e">
        <f t="shared" si="110"/>
        <v>#REF!</v>
      </c>
      <c r="CN159" t="e">
        <f t="shared" si="110"/>
        <v>#REF!</v>
      </c>
      <c r="CO159" t="e">
        <f t="shared" si="110"/>
        <v>#REF!</v>
      </c>
      <c r="CP159" t="e">
        <f t="shared" si="110"/>
        <v>#REF!</v>
      </c>
      <c r="CQ159" t="e">
        <f t="shared" si="110"/>
        <v>#REF!</v>
      </c>
      <c r="CR159" t="e">
        <f t="shared" si="110"/>
        <v>#REF!</v>
      </c>
      <c r="CS159" t="e">
        <f t="shared" si="110"/>
        <v>#REF!</v>
      </c>
      <c r="CT159" t="e">
        <f t="shared" si="110"/>
        <v>#REF!</v>
      </c>
      <c r="CU159" t="e">
        <f t="shared" si="110"/>
        <v>#REF!</v>
      </c>
      <c r="CV159" t="e">
        <f t="shared" si="110"/>
        <v>#REF!</v>
      </c>
      <c r="CW159" t="e">
        <f t="shared" ref="CW159:DL177" si="126">MATCH(CONCATENATE(CW$3,"_",$C159),auto_DataFlat_UID,0)</f>
        <v>#REF!</v>
      </c>
      <c r="CX159" t="e">
        <f t="shared" si="126"/>
        <v>#REF!</v>
      </c>
      <c r="CY159" t="e">
        <f t="shared" si="126"/>
        <v>#REF!</v>
      </c>
      <c r="CZ159" t="e">
        <f t="shared" si="126"/>
        <v>#REF!</v>
      </c>
      <c r="DA159" t="e">
        <f t="shared" si="126"/>
        <v>#REF!</v>
      </c>
      <c r="DB159" t="e">
        <f t="shared" si="126"/>
        <v>#REF!</v>
      </c>
      <c r="DC159" t="e">
        <f t="shared" si="126"/>
        <v>#REF!</v>
      </c>
      <c r="DD159" t="e">
        <f t="shared" si="126"/>
        <v>#REF!</v>
      </c>
      <c r="DE159" t="e">
        <f t="shared" si="126"/>
        <v>#REF!</v>
      </c>
      <c r="DF159" t="e">
        <f t="shared" si="126"/>
        <v>#REF!</v>
      </c>
      <c r="DG159" t="e">
        <f t="shared" si="126"/>
        <v>#REF!</v>
      </c>
      <c r="DH159" t="e">
        <f t="shared" si="126"/>
        <v>#REF!</v>
      </c>
      <c r="DI159" t="e">
        <f t="shared" si="126"/>
        <v>#REF!</v>
      </c>
      <c r="DJ159" t="e">
        <f t="shared" si="102"/>
        <v>#REF!</v>
      </c>
      <c r="DK159" t="e">
        <f t="shared" si="102"/>
        <v>#REF!</v>
      </c>
      <c r="DL159" t="e">
        <f t="shared" si="102"/>
        <v>#REF!</v>
      </c>
      <c r="DM159" t="e">
        <f t="shared" si="102"/>
        <v>#REF!</v>
      </c>
      <c r="DN159" t="e">
        <f t="shared" si="102"/>
        <v>#REF!</v>
      </c>
      <c r="DO159" t="e">
        <f t="shared" si="102"/>
        <v>#REF!</v>
      </c>
      <c r="DP159" t="e">
        <f t="shared" si="102"/>
        <v>#REF!</v>
      </c>
      <c r="DQ159" t="e">
        <f t="shared" si="123"/>
        <v>#REF!</v>
      </c>
      <c r="DR159" t="e">
        <f t="shared" si="123"/>
        <v>#REF!</v>
      </c>
      <c r="DS159" t="e">
        <f t="shared" si="123"/>
        <v>#REF!</v>
      </c>
      <c r="DT159" t="e">
        <f t="shared" si="123"/>
        <v>#REF!</v>
      </c>
      <c r="DU159" t="e">
        <f t="shared" si="123"/>
        <v>#REF!</v>
      </c>
      <c r="DV159" t="e">
        <f t="shared" si="123"/>
        <v>#REF!</v>
      </c>
      <c r="DW159" t="e">
        <f t="shared" si="123"/>
        <v>#REF!</v>
      </c>
      <c r="DX159" t="e">
        <f t="shared" si="123"/>
        <v>#REF!</v>
      </c>
      <c r="DY159" t="e">
        <f t="shared" si="123"/>
        <v>#REF!</v>
      </c>
      <c r="DZ159" t="e">
        <f t="shared" si="121"/>
        <v>#REF!</v>
      </c>
      <c r="EA159" t="e">
        <f t="shared" si="121"/>
        <v>#REF!</v>
      </c>
      <c r="EB159" t="e">
        <f t="shared" si="121"/>
        <v>#REF!</v>
      </c>
      <c r="EC159" t="e">
        <f t="shared" si="121"/>
        <v>#REF!</v>
      </c>
      <c r="ED159" t="e">
        <f t="shared" si="121"/>
        <v>#REF!</v>
      </c>
      <c r="EE159" t="e">
        <f t="shared" si="121"/>
        <v>#REF!</v>
      </c>
      <c r="EF159" t="e">
        <f t="shared" si="121"/>
        <v>#REF!</v>
      </c>
      <c r="EG159" t="e">
        <f t="shared" si="121"/>
        <v>#REF!</v>
      </c>
      <c r="EH159" t="e">
        <f t="shared" si="121"/>
        <v>#REF!</v>
      </c>
      <c r="EI159" t="e">
        <f t="shared" si="121"/>
        <v>#REF!</v>
      </c>
      <c r="EJ159" t="e">
        <f t="shared" si="121"/>
        <v>#REF!</v>
      </c>
      <c r="EK159" t="e">
        <f t="shared" si="121"/>
        <v>#REF!</v>
      </c>
      <c r="EL159" t="e">
        <f t="shared" si="112"/>
        <v>#REF!</v>
      </c>
      <c r="EM159" t="e">
        <f t="shared" si="112"/>
        <v>#REF!</v>
      </c>
    </row>
    <row r="160" spans="1:143" x14ac:dyDescent="0.4">
      <c r="A160" t="str">
        <f t="shared" si="120"/>
        <v>X</v>
      </c>
      <c r="B160">
        <v>157</v>
      </c>
      <c r="C160" t="e" cm="1">
        <f t="array" ref="C160">INDEX(auto_Series_Code,B160)</f>
        <v>#REF!</v>
      </c>
      <c r="D160" t="e">
        <f t="shared" si="118"/>
        <v>#REF!</v>
      </c>
      <c r="E160" t="e">
        <f t="shared" si="118"/>
        <v>#REF!</v>
      </c>
      <c r="F160" t="e">
        <f t="shared" si="118"/>
        <v>#REF!</v>
      </c>
      <c r="G160" t="e">
        <f t="shared" si="118"/>
        <v>#REF!</v>
      </c>
      <c r="H160" t="e">
        <f t="shared" si="118"/>
        <v>#REF!</v>
      </c>
      <c r="I160" t="e">
        <f t="shared" si="118"/>
        <v>#REF!</v>
      </c>
      <c r="J160" t="e">
        <f t="shared" si="118"/>
        <v>#REF!</v>
      </c>
      <c r="K160" t="e">
        <f t="shared" si="118"/>
        <v>#REF!</v>
      </c>
      <c r="L160" t="e">
        <f t="shared" si="118"/>
        <v>#REF!</v>
      </c>
      <c r="M160" t="e">
        <f t="shared" si="118"/>
        <v>#REF!</v>
      </c>
      <c r="N160" t="e">
        <f t="shared" si="118"/>
        <v>#REF!</v>
      </c>
      <c r="O160" t="e">
        <f t="shared" si="118"/>
        <v>#REF!</v>
      </c>
      <c r="P160" t="e">
        <f t="shared" si="118"/>
        <v>#REF!</v>
      </c>
      <c r="Q160" t="e">
        <f t="shared" si="118"/>
        <v>#REF!</v>
      </c>
      <c r="R160" t="e">
        <f t="shared" si="118"/>
        <v>#REF!</v>
      </c>
      <c r="S160" t="e">
        <f t="shared" si="118"/>
        <v>#REF!</v>
      </c>
      <c r="T160" t="e">
        <f t="shared" si="116"/>
        <v>#REF!</v>
      </c>
      <c r="U160" t="e">
        <f t="shared" si="116"/>
        <v>#REF!</v>
      </c>
      <c r="V160" t="e">
        <f t="shared" si="116"/>
        <v>#REF!</v>
      </c>
      <c r="W160" t="e">
        <f t="shared" si="116"/>
        <v>#REF!</v>
      </c>
      <c r="X160" t="e">
        <f t="shared" si="105"/>
        <v>#REF!</v>
      </c>
      <c r="Y160" t="e">
        <f t="shared" si="105"/>
        <v>#REF!</v>
      </c>
      <c r="Z160" t="e">
        <f t="shared" si="105"/>
        <v>#REF!</v>
      </c>
      <c r="AA160" t="e">
        <f t="shared" si="105"/>
        <v>#REF!</v>
      </c>
      <c r="AB160" t="e">
        <f t="shared" si="105"/>
        <v>#REF!</v>
      </c>
      <c r="AC160" t="e">
        <f t="shared" si="105"/>
        <v>#REF!</v>
      </c>
      <c r="AD160" t="e">
        <f t="shared" si="105"/>
        <v>#REF!</v>
      </c>
      <c r="AE160" t="e">
        <f t="shared" si="105"/>
        <v>#REF!</v>
      </c>
      <c r="AF160" t="e">
        <f t="shared" si="105"/>
        <v>#REF!</v>
      </c>
      <c r="AG160" t="e">
        <f t="shared" si="105"/>
        <v>#REF!</v>
      </c>
      <c r="AH160" t="e">
        <f t="shared" si="105"/>
        <v>#REF!</v>
      </c>
      <c r="AI160" t="e">
        <f t="shared" si="117"/>
        <v>#REF!</v>
      </c>
      <c r="AJ160" t="e">
        <f t="shared" si="117"/>
        <v>#REF!</v>
      </c>
      <c r="AK160" t="e">
        <f t="shared" si="117"/>
        <v>#REF!</v>
      </c>
      <c r="AL160" t="e">
        <f t="shared" si="117"/>
        <v>#REF!</v>
      </c>
      <c r="AM160" t="e">
        <f t="shared" si="117"/>
        <v>#REF!</v>
      </c>
      <c r="AN160" t="e">
        <f t="shared" si="117"/>
        <v>#REF!</v>
      </c>
      <c r="AO160" t="e">
        <f t="shared" si="117"/>
        <v>#REF!</v>
      </c>
      <c r="AP160" t="e">
        <f t="shared" si="117"/>
        <v>#REF!</v>
      </c>
      <c r="AQ160" t="e">
        <f t="shared" si="117"/>
        <v>#REF!</v>
      </c>
      <c r="AR160" t="e">
        <f t="shared" si="117"/>
        <v>#REF!</v>
      </c>
      <c r="AS160" t="e">
        <f t="shared" si="117"/>
        <v>#REF!</v>
      </c>
      <c r="AT160" t="e">
        <f t="shared" si="117"/>
        <v>#REF!</v>
      </c>
      <c r="AU160" t="e">
        <f t="shared" si="117"/>
        <v>#REF!</v>
      </c>
      <c r="AV160" t="e">
        <f t="shared" si="117"/>
        <v>#REF!</v>
      </c>
      <c r="AW160" t="e">
        <f t="shared" si="117"/>
        <v>#REF!</v>
      </c>
      <c r="AX160" t="e">
        <f t="shared" si="117"/>
        <v>#REF!</v>
      </c>
      <c r="AY160" t="e">
        <f t="shared" si="114"/>
        <v>#REF!</v>
      </c>
      <c r="AZ160" t="e">
        <f t="shared" si="114"/>
        <v>#REF!</v>
      </c>
      <c r="BA160" t="e">
        <f t="shared" si="114"/>
        <v>#REF!</v>
      </c>
      <c r="BB160" t="e">
        <f t="shared" si="114"/>
        <v>#REF!</v>
      </c>
      <c r="BC160" t="e">
        <f t="shared" si="114"/>
        <v>#REF!</v>
      </c>
      <c r="BD160" t="e">
        <f t="shared" si="114"/>
        <v>#REF!</v>
      </c>
      <c r="BE160" t="e">
        <f t="shared" si="114"/>
        <v>#REF!</v>
      </c>
      <c r="BF160" t="e">
        <f t="shared" si="114"/>
        <v>#REF!</v>
      </c>
      <c r="BG160" t="e">
        <f t="shared" si="114"/>
        <v>#REF!</v>
      </c>
      <c r="BH160" t="e">
        <f t="shared" si="114"/>
        <v>#REF!</v>
      </c>
      <c r="BI160" t="e">
        <f t="shared" si="114"/>
        <v>#REF!</v>
      </c>
      <c r="BJ160" t="e">
        <f t="shared" si="114"/>
        <v>#REF!</v>
      </c>
      <c r="BK160" t="e">
        <f t="shared" si="114"/>
        <v>#REF!</v>
      </c>
      <c r="BL160" t="e">
        <f t="shared" si="124"/>
        <v>#REF!</v>
      </c>
      <c r="BM160" t="e">
        <f t="shared" si="124"/>
        <v>#REF!</v>
      </c>
      <c r="BN160" t="e">
        <f t="shared" si="124"/>
        <v>#REF!</v>
      </c>
      <c r="BO160" t="e">
        <f t="shared" si="124"/>
        <v>#REF!</v>
      </c>
      <c r="BP160" t="e">
        <f t="shared" si="124"/>
        <v>#REF!</v>
      </c>
      <c r="BQ160" t="e">
        <f t="shared" si="124"/>
        <v>#REF!</v>
      </c>
      <c r="BR160" t="e">
        <f t="shared" si="124"/>
        <v>#REF!</v>
      </c>
      <c r="BS160" t="e">
        <f t="shared" si="124"/>
        <v>#REF!</v>
      </c>
      <c r="BT160" t="e">
        <f t="shared" si="124"/>
        <v>#REF!</v>
      </c>
      <c r="BU160" t="e">
        <f t="shared" si="124"/>
        <v>#REF!</v>
      </c>
      <c r="BV160" t="e">
        <f t="shared" si="122"/>
        <v>#REF!</v>
      </c>
      <c r="BW160" t="e">
        <f t="shared" si="122"/>
        <v>#REF!</v>
      </c>
      <c r="BX160" t="e">
        <f t="shared" si="122"/>
        <v>#REF!</v>
      </c>
      <c r="BY160" t="e">
        <f t="shared" si="122"/>
        <v>#REF!</v>
      </c>
      <c r="BZ160" t="e">
        <f t="shared" si="122"/>
        <v>#REF!</v>
      </c>
      <c r="CA160" t="e">
        <f t="shared" si="122"/>
        <v>#REF!</v>
      </c>
      <c r="CB160" t="e">
        <f t="shared" si="122"/>
        <v>#REF!</v>
      </c>
      <c r="CC160" t="e">
        <f t="shared" si="122"/>
        <v>#REF!</v>
      </c>
      <c r="CD160" t="e">
        <f t="shared" si="113"/>
        <v>#REF!</v>
      </c>
      <c r="CE160" t="e">
        <f t="shared" si="113"/>
        <v>#REF!</v>
      </c>
      <c r="CF160" t="e">
        <f t="shared" si="113"/>
        <v>#REF!</v>
      </c>
      <c r="CG160" t="e">
        <f t="shared" si="113"/>
        <v>#REF!</v>
      </c>
      <c r="CH160" t="e">
        <f t="shared" si="113"/>
        <v>#REF!</v>
      </c>
      <c r="CI160" t="e">
        <f t="shared" si="113"/>
        <v>#REF!</v>
      </c>
      <c r="CJ160" t="e">
        <f t="shared" si="113"/>
        <v>#REF!</v>
      </c>
      <c r="CK160" t="e">
        <f t="shared" si="113"/>
        <v>#REF!</v>
      </c>
      <c r="CL160" t="e">
        <f t="shared" si="113"/>
        <v>#REF!</v>
      </c>
      <c r="CM160" t="e">
        <f t="shared" si="110"/>
        <v>#REF!</v>
      </c>
      <c r="CN160" t="e">
        <f t="shared" si="110"/>
        <v>#REF!</v>
      </c>
      <c r="CO160" t="e">
        <f t="shared" si="110"/>
        <v>#REF!</v>
      </c>
      <c r="CP160" t="e">
        <f t="shared" si="110"/>
        <v>#REF!</v>
      </c>
      <c r="CQ160" t="e">
        <f t="shared" si="110"/>
        <v>#REF!</v>
      </c>
      <c r="CR160" t="e">
        <f t="shared" si="110"/>
        <v>#REF!</v>
      </c>
      <c r="CS160" t="e">
        <f t="shared" si="110"/>
        <v>#REF!</v>
      </c>
      <c r="CT160" t="e">
        <f t="shared" si="110"/>
        <v>#REF!</v>
      </c>
      <c r="CU160" t="e">
        <f t="shared" si="110"/>
        <v>#REF!</v>
      </c>
      <c r="CV160" t="e">
        <f t="shared" si="110"/>
        <v>#REF!</v>
      </c>
      <c r="CW160" t="e">
        <f t="shared" si="126"/>
        <v>#REF!</v>
      </c>
      <c r="CX160" t="e">
        <f t="shared" si="126"/>
        <v>#REF!</v>
      </c>
      <c r="CY160" t="e">
        <f t="shared" si="126"/>
        <v>#REF!</v>
      </c>
      <c r="CZ160" t="e">
        <f t="shared" si="126"/>
        <v>#REF!</v>
      </c>
      <c r="DA160" t="e">
        <f t="shared" si="126"/>
        <v>#REF!</v>
      </c>
      <c r="DB160" t="e">
        <f t="shared" si="126"/>
        <v>#REF!</v>
      </c>
      <c r="DC160" t="e">
        <f t="shared" si="126"/>
        <v>#REF!</v>
      </c>
      <c r="DD160" t="e">
        <f t="shared" si="126"/>
        <v>#REF!</v>
      </c>
      <c r="DE160" t="e">
        <f t="shared" si="126"/>
        <v>#REF!</v>
      </c>
      <c r="DF160" t="e">
        <f t="shared" si="126"/>
        <v>#REF!</v>
      </c>
      <c r="DG160" t="e">
        <f t="shared" si="126"/>
        <v>#REF!</v>
      </c>
      <c r="DH160" t="e">
        <f t="shared" si="126"/>
        <v>#REF!</v>
      </c>
      <c r="DI160" t="e">
        <f t="shared" si="126"/>
        <v>#REF!</v>
      </c>
      <c r="DJ160" t="e">
        <f t="shared" si="102"/>
        <v>#REF!</v>
      </c>
      <c r="DK160" t="e">
        <f t="shared" si="102"/>
        <v>#REF!</v>
      </c>
      <c r="DL160" t="e">
        <f t="shared" si="102"/>
        <v>#REF!</v>
      </c>
      <c r="DM160" t="e">
        <f t="shared" si="102"/>
        <v>#REF!</v>
      </c>
      <c r="DN160" t="e">
        <f t="shared" si="102"/>
        <v>#REF!</v>
      </c>
      <c r="DO160" t="e">
        <f t="shared" si="102"/>
        <v>#REF!</v>
      </c>
      <c r="DP160" t="e">
        <f t="shared" si="102"/>
        <v>#REF!</v>
      </c>
      <c r="DQ160" t="e">
        <f t="shared" si="123"/>
        <v>#REF!</v>
      </c>
      <c r="DR160" t="e">
        <f t="shared" si="123"/>
        <v>#REF!</v>
      </c>
      <c r="DS160" t="e">
        <f t="shared" si="123"/>
        <v>#REF!</v>
      </c>
      <c r="DT160" t="e">
        <f t="shared" si="123"/>
        <v>#REF!</v>
      </c>
      <c r="DU160" t="e">
        <f t="shared" si="123"/>
        <v>#REF!</v>
      </c>
      <c r="DV160" t="e">
        <f t="shared" si="123"/>
        <v>#REF!</v>
      </c>
      <c r="DW160" t="e">
        <f t="shared" si="123"/>
        <v>#REF!</v>
      </c>
      <c r="DX160" t="e">
        <f t="shared" si="123"/>
        <v>#REF!</v>
      </c>
      <c r="DY160" t="e">
        <f t="shared" si="123"/>
        <v>#REF!</v>
      </c>
      <c r="DZ160" t="e">
        <f t="shared" si="121"/>
        <v>#REF!</v>
      </c>
      <c r="EA160" t="e">
        <f t="shared" si="121"/>
        <v>#REF!</v>
      </c>
      <c r="EB160" t="e">
        <f t="shared" si="121"/>
        <v>#REF!</v>
      </c>
      <c r="EC160" t="e">
        <f t="shared" si="121"/>
        <v>#REF!</v>
      </c>
      <c r="ED160" t="e">
        <f t="shared" si="121"/>
        <v>#REF!</v>
      </c>
      <c r="EE160" t="e">
        <f t="shared" si="121"/>
        <v>#REF!</v>
      </c>
      <c r="EF160" t="e">
        <f t="shared" si="121"/>
        <v>#REF!</v>
      </c>
      <c r="EG160" t="e">
        <f t="shared" si="121"/>
        <v>#REF!</v>
      </c>
      <c r="EH160" t="e">
        <f t="shared" si="121"/>
        <v>#REF!</v>
      </c>
      <c r="EI160" t="e">
        <f t="shared" si="121"/>
        <v>#REF!</v>
      </c>
      <c r="EJ160" t="e">
        <f t="shared" si="121"/>
        <v>#REF!</v>
      </c>
      <c r="EK160" t="e">
        <f t="shared" si="121"/>
        <v>#REF!</v>
      </c>
      <c r="EL160" t="e">
        <f t="shared" si="112"/>
        <v>#REF!</v>
      </c>
      <c r="EM160" t="e">
        <f t="shared" si="112"/>
        <v>#REF!</v>
      </c>
    </row>
    <row r="161" spans="1:143" x14ac:dyDescent="0.4">
      <c r="A161" t="str">
        <f t="shared" si="120"/>
        <v>X</v>
      </c>
      <c r="B161">
        <v>158</v>
      </c>
      <c r="C161" t="e" cm="1">
        <f t="array" ref="C161">INDEX(auto_Series_Code,B161)</f>
        <v>#REF!</v>
      </c>
      <c r="D161" t="e">
        <f t="shared" si="118"/>
        <v>#REF!</v>
      </c>
      <c r="E161" t="e">
        <f t="shared" si="118"/>
        <v>#REF!</v>
      </c>
      <c r="F161" t="e">
        <f t="shared" si="118"/>
        <v>#REF!</v>
      </c>
      <c r="G161" t="e">
        <f t="shared" si="118"/>
        <v>#REF!</v>
      </c>
      <c r="H161" t="e">
        <f t="shared" si="118"/>
        <v>#REF!</v>
      </c>
      <c r="I161" t="e">
        <f t="shared" si="118"/>
        <v>#REF!</v>
      </c>
      <c r="J161" t="e">
        <f t="shared" si="118"/>
        <v>#REF!</v>
      </c>
      <c r="K161" t="e">
        <f t="shared" si="118"/>
        <v>#REF!</v>
      </c>
      <c r="L161" t="e">
        <f t="shared" si="118"/>
        <v>#REF!</v>
      </c>
      <c r="M161" t="e">
        <f t="shared" si="118"/>
        <v>#REF!</v>
      </c>
      <c r="N161" t="e">
        <f t="shared" si="118"/>
        <v>#REF!</v>
      </c>
      <c r="O161" t="e">
        <f t="shared" si="118"/>
        <v>#REF!</v>
      </c>
      <c r="P161" t="e">
        <f t="shared" si="118"/>
        <v>#REF!</v>
      </c>
      <c r="Q161" t="e">
        <f t="shared" si="118"/>
        <v>#REF!</v>
      </c>
      <c r="R161" t="e">
        <f t="shared" si="118"/>
        <v>#REF!</v>
      </c>
      <c r="S161" t="e">
        <f t="shared" si="118"/>
        <v>#REF!</v>
      </c>
      <c r="T161" t="e">
        <f t="shared" si="116"/>
        <v>#REF!</v>
      </c>
      <c r="U161" t="e">
        <f t="shared" si="116"/>
        <v>#REF!</v>
      </c>
      <c r="V161" t="e">
        <f t="shared" si="116"/>
        <v>#REF!</v>
      </c>
      <c r="W161" t="e">
        <f t="shared" si="116"/>
        <v>#REF!</v>
      </c>
      <c r="X161" t="e">
        <f t="shared" si="105"/>
        <v>#REF!</v>
      </c>
      <c r="Y161" t="e">
        <f t="shared" si="105"/>
        <v>#REF!</v>
      </c>
      <c r="Z161" t="e">
        <f t="shared" si="105"/>
        <v>#REF!</v>
      </c>
      <c r="AA161" t="e">
        <f t="shared" si="105"/>
        <v>#REF!</v>
      </c>
      <c r="AB161" t="e">
        <f t="shared" si="105"/>
        <v>#REF!</v>
      </c>
      <c r="AC161" t="e">
        <f t="shared" si="105"/>
        <v>#REF!</v>
      </c>
      <c r="AD161" t="e">
        <f t="shared" si="105"/>
        <v>#REF!</v>
      </c>
      <c r="AE161" t="e">
        <f t="shared" si="105"/>
        <v>#REF!</v>
      </c>
      <c r="AF161" t="e">
        <f t="shared" si="105"/>
        <v>#REF!</v>
      </c>
      <c r="AG161" t="e">
        <f t="shared" si="105"/>
        <v>#REF!</v>
      </c>
      <c r="AH161" t="e">
        <f t="shared" si="105"/>
        <v>#REF!</v>
      </c>
      <c r="AI161" t="e">
        <f t="shared" si="117"/>
        <v>#REF!</v>
      </c>
      <c r="AJ161" t="e">
        <f t="shared" si="117"/>
        <v>#REF!</v>
      </c>
      <c r="AK161" t="e">
        <f t="shared" si="117"/>
        <v>#REF!</v>
      </c>
      <c r="AL161" t="e">
        <f t="shared" si="117"/>
        <v>#REF!</v>
      </c>
      <c r="AM161" t="e">
        <f t="shared" si="117"/>
        <v>#REF!</v>
      </c>
      <c r="AN161" t="e">
        <f t="shared" si="117"/>
        <v>#REF!</v>
      </c>
      <c r="AO161" t="e">
        <f t="shared" si="117"/>
        <v>#REF!</v>
      </c>
      <c r="AP161" t="e">
        <f t="shared" si="117"/>
        <v>#REF!</v>
      </c>
      <c r="AQ161" t="e">
        <f t="shared" si="117"/>
        <v>#REF!</v>
      </c>
      <c r="AR161" t="e">
        <f t="shared" si="117"/>
        <v>#REF!</v>
      </c>
      <c r="AS161" t="e">
        <f t="shared" si="117"/>
        <v>#REF!</v>
      </c>
      <c r="AT161" t="e">
        <f t="shared" si="117"/>
        <v>#REF!</v>
      </c>
      <c r="AU161" t="e">
        <f t="shared" si="117"/>
        <v>#REF!</v>
      </c>
      <c r="AV161" t="e">
        <f t="shared" si="117"/>
        <v>#REF!</v>
      </c>
      <c r="AW161" t="e">
        <f t="shared" si="117"/>
        <v>#REF!</v>
      </c>
      <c r="AX161" t="e">
        <f t="shared" si="117"/>
        <v>#REF!</v>
      </c>
      <c r="AY161" t="e">
        <f t="shared" si="114"/>
        <v>#REF!</v>
      </c>
      <c r="AZ161" t="e">
        <f t="shared" si="114"/>
        <v>#REF!</v>
      </c>
      <c r="BA161" t="e">
        <f t="shared" si="114"/>
        <v>#REF!</v>
      </c>
      <c r="BB161" t="e">
        <f t="shared" si="114"/>
        <v>#REF!</v>
      </c>
      <c r="BC161" t="e">
        <f t="shared" si="114"/>
        <v>#REF!</v>
      </c>
      <c r="BD161" t="e">
        <f t="shared" si="114"/>
        <v>#REF!</v>
      </c>
      <c r="BE161" t="e">
        <f t="shared" si="114"/>
        <v>#REF!</v>
      </c>
      <c r="BF161" t="e">
        <f t="shared" si="114"/>
        <v>#REF!</v>
      </c>
      <c r="BG161" t="e">
        <f t="shared" si="114"/>
        <v>#REF!</v>
      </c>
      <c r="BH161" t="e">
        <f t="shared" si="114"/>
        <v>#REF!</v>
      </c>
      <c r="BI161" t="e">
        <f t="shared" si="114"/>
        <v>#REF!</v>
      </c>
      <c r="BJ161" t="e">
        <f t="shared" si="114"/>
        <v>#REF!</v>
      </c>
      <c r="BK161" t="e">
        <f t="shared" si="114"/>
        <v>#REF!</v>
      </c>
      <c r="BL161" t="e">
        <f t="shared" si="124"/>
        <v>#REF!</v>
      </c>
      <c r="BM161" t="e">
        <f t="shared" si="124"/>
        <v>#REF!</v>
      </c>
      <c r="BN161" t="e">
        <f t="shared" si="124"/>
        <v>#REF!</v>
      </c>
      <c r="BO161" t="e">
        <f t="shared" si="124"/>
        <v>#REF!</v>
      </c>
      <c r="BP161" t="e">
        <f t="shared" si="124"/>
        <v>#REF!</v>
      </c>
      <c r="BQ161" t="e">
        <f t="shared" si="124"/>
        <v>#REF!</v>
      </c>
      <c r="BR161" t="e">
        <f t="shared" si="124"/>
        <v>#REF!</v>
      </c>
      <c r="BS161" t="e">
        <f t="shared" si="124"/>
        <v>#REF!</v>
      </c>
      <c r="BT161" t="e">
        <f t="shared" si="124"/>
        <v>#REF!</v>
      </c>
      <c r="BU161" t="e">
        <f t="shared" si="124"/>
        <v>#REF!</v>
      </c>
      <c r="BV161" t="e">
        <f t="shared" si="122"/>
        <v>#REF!</v>
      </c>
      <c r="BW161" t="e">
        <f t="shared" si="122"/>
        <v>#REF!</v>
      </c>
      <c r="BX161" t="e">
        <f t="shared" si="122"/>
        <v>#REF!</v>
      </c>
      <c r="BY161" t="e">
        <f t="shared" si="122"/>
        <v>#REF!</v>
      </c>
      <c r="BZ161" t="e">
        <f t="shared" si="122"/>
        <v>#REF!</v>
      </c>
      <c r="CA161" t="e">
        <f t="shared" si="122"/>
        <v>#REF!</v>
      </c>
      <c r="CB161" t="e">
        <f t="shared" si="122"/>
        <v>#REF!</v>
      </c>
      <c r="CC161" t="e">
        <f t="shared" si="122"/>
        <v>#REF!</v>
      </c>
      <c r="CD161" t="e">
        <f t="shared" si="113"/>
        <v>#REF!</v>
      </c>
      <c r="CE161" t="e">
        <f t="shared" si="113"/>
        <v>#REF!</v>
      </c>
      <c r="CF161" t="e">
        <f t="shared" si="113"/>
        <v>#REF!</v>
      </c>
      <c r="CG161" t="e">
        <f t="shared" si="113"/>
        <v>#REF!</v>
      </c>
      <c r="CH161" t="e">
        <f t="shared" si="113"/>
        <v>#REF!</v>
      </c>
      <c r="CI161" t="e">
        <f t="shared" si="113"/>
        <v>#REF!</v>
      </c>
      <c r="CJ161" t="e">
        <f t="shared" si="113"/>
        <v>#REF!</v>
      </c>
      <c r="CK161" t="e">
        <f t="shared" si="113"/>
        <v>#REF!</v>
      </c>
      <c r="CL161" t="e">
        <f t="shared" si="113"/>
        <v>#REF!</v>
      </c>
      <c r="CM161" t="e">
        <f t="shared" si="110"/>
        <v>#REF!</v>
      </c>
      <c r="CN161" t="e">
        <f t="shared" si="110"/>
        <v>#REF!</v>
      </c>
      <c r="CO161" t="e">
        <f t="shared" si="110"/>
        <v>#REF!</v>
      </c>
      <c r="CP161" t="e">
        <f t="shared" si="110"/>
        <v>#REF!</v>
      </c>
      <c r="CQ161" t="e">
        <f t="shared" si="110"/>
        <v>#REF!</v>
      </c>
      <c r="CR161" t="e">
        <f t="shared" si="110"/>
        <v>#REF!</v>
      </c>
      <c r="CS161" t="e">
        <f t="shared" si="110"/>
        <v>#REF!</v>
      </c>
      <c r="CT161" t="e">
        <f t="shared" si="110"/>
        <v>#REF!</v>
      </c>
      <c r="CU161" t="e">
        <f t="shared" si="110"/>
        <v>#REF!</v>
      </c>
      <c r="CV161" t="e">
        <f t="shared" si="110"/>
        <v>#REF!</v>
      </c>
      <c r="CW161" t="e">
        <f t="shared" si="126"/>
        <v>#REF!</v>
      </c>
      <c r="CX161" t="e">
        <f t="shared" si="126"/>
        <v>#REF!</v>
      </c>
      <c r="CY161" t="e">
        <f t="shared" si="126"/>
        <v>#REF!</v>
      </c>
      <c r="CZ161" t="e">
        <f t="shared" si="126"/>
        <v>#REF!</v>
      </c>
      <c r="DA161" t="e">
        <f t="shared" si="126"/>
        <v>#REF!</v>
      </c>
      <c r="DB161" t="e">
        <f t="shared" si="126"/>
        <v>#REF!</v>
      </c>
      <c r="DC161" t="e">
        <f t="shared" si="126"/>
        <v>#REF!</v>
      </c>
      <c r="DD161" t="e">
        <f t="shared" si="126"/>
        <v>#REF!</v>
      </c>
      <c r="DE161" t="e">
        <f t="shared" si="126"/>
        <v>#REF!</v>
      </c>
      <c r="DF161" t="e">
        <f t="shared" si="126"/>
        <v>#REF!</v>
      </c>
      <c r="DG161" t="e">
        <f t="shared" si="126"/>
        <v>#REF!</v>
      </c>
      <c r="DH161" t="e">
        <f t="shared" si="126"/>
        <v>#REF!</v>
      </c>
      <c r="DI161" t="e">
        <f t="shared" si="126"/>
        <v>#REF!</v>
      </c>
      <c r="DJ161" t="e">
        <f t="shared" si="102"/>
        <v>#REF!</v>
      </c>
      <c r="DK161" t="e">
        <f t="shared" si="102"/>
        <v>#REF!</v>
      </c>
      <c r="DL161" t="e">
        <f t="shared" si="102"/>
        <v>#REF!</v>
      </c>
      <c r="DM161" t="e">
        <f t="shared" si="102"/>
        <v>#REF!</v>
      </c>
      <c r="DN161" t="e">
        <f t="shared" si="102"/>
        <v>#REF!</v>
      </c>
      <c r="DO161" t="e">
        <f t="shared" si="102"/>
        <v>#REF!</v>
      </c>
      <c r="DP161" t="e">
        <f t="shared" si="102"/>
        <v>#REF!</v>
      </c>
      <c r="DQ161" t="e">
        <f t="shared" si="123"/>
        <v>#REF!</v>
      </c>
      <c r="DR161" t="e">
        <f t="shared" si="123"/>
        <v>#REF!</v>
      </c>
      <c r="DS161" t="e">
        <f t="shared" si="123"/>
        <v>#REF!</v>
      </c>
      <c r="DT161" t="e">
        <f t="shared" si="123"/>
        <v>#REF!</v>
      </c>
      <c r="DU161" t="e">
        <f t="shared" si="123"/>
        <v>#REF!</v>
      </c>
      <c r="DV161" t="e">
        <f t="shared" si="123"/>
        <v>#REF!</v>
      </c>
      <c r="DW161" t="e">
        <f t="shared" si="123"/>
        <v>#REF!</v>
      </c>
      <c r="DX161" t="e">
        <f t="shared" si="123"/>
        <v>#REF!</v>
      </c>
      <c r="DY161" t="e">
        <f t="shared" si="123"/>
        <v>#REF!</v>
      </c>
      <c r="DZ161" t="e">
        <f t="shared" si="121"/>
        <v>#REF!</v>
      </c>
      <c r="EA161" t="e">
        <f t="shared" si="121"/>
        <v>#REF!</v>
      </c>
      <c r="EB161" t="e">
        <f t="shared" si="121"/>
        <v>#REF!</v>
      </c>
      <c r="EC161" t="e">
        <f t="shared" si="121"/>
        <v>#REF!</v>
      </c>
      <c r="ED161" t="e">
        <f t="shared" si="121"/>
        <v>#REF!</v>
      </c>
      <c r="EE161" t="e">
        <f t="shared" si="121"/>
        <v>#REF!</v>
      </c>
      <c r="EF161" t="e">
        <f t="shared" si="121"/>
        <v>#REF!</v>
      </c>
      <c r="EG161" t="e">
        <f t="shared" si="121"/>
        <v>#REF!</v>
      </c>
      <c r="EH161" t="e">
        <f t="shared" si="121"/>
        <v>#REF!</v>
      </c>
      <c r="EI161" t="e">
        <f t="shared" si="121"/>
        <v>#REF!</v>
      </c>
      <c r="EJ161" t="e">
        <f t="shared" si="121"/>
        <v>#REF!</v>
      </c>
      <c r="EK161" t="e">
        <f t="shared" si="121"/>
        <v>#REF!</v>
      </c>
      <c r="EL161" t="e">
        <f t="shared" si="112"/>
        <v>#REF!</v>
      </c>
      <c r="EM161" t="e">
        <f t="shared" si="112"/>
        <v>#REF!</v>
      </c>
    </row>
    <row r="162" spans="1:143" x14ac:dyDescent="0.4">
      <c r="A162" t="str">
        <f t="shared" si="120"/>
        <v>X</v>
      </c>
      <c r="B162">
        <v>159</v>
      </c>
      <c r="C162" t="e" cm="1">
        <f t="array" ref="C162">INDEX(auto_Series_Code,B162)</f>
        <v>#REF!</v>
      </c>
      <c r="D162" t="e">
        <f t="shared" si="118"/>
        <v>#REF!</v>
      </c>
      <c r="E162" t="e">
        <f t="shared" si="118"/>
        <v>#REF!</v>
      </c>
      <c r="F162" t="e">
        <f t="shared" si="118"/>
        <v>#REF!</v>
      </c>
      <c r="G162" t="e">
        <f t="shared" si="118"/>
        <v>#REF!</v>
      </c>
      <c r="H162" t="e">
        <f t="shared" si="118"/>
        <v>#REF!</v>
      </c>
      <c r="I162" t="e">
        <f t="shared" si="118"/>
        <v>#REF!</v>
      </c>
      <c r="J162" t="e">
        <f t="shared" si="118"/>
        <v>#REF!</v>
      </c>
      <c r="K162" t="e">
        <f t="shared" si="118"/>
        <v>#REF!</v>
      </c>
      <c r="L162" t="e">
        <f t="shared" si="118"/>
        <v>#REF!</v>
      </c>
      <c r="M162" t="e">
        <f t="shared" si="118"/>
        <v>#REF!</v>
      </c>
      <c r="N162" t="e">
        <f t="shared" si="118"/>
        <v>#REF!</v>
      </c>
      <c r="O162" t="e">
        <f t="shared" si="118"/>
        <v>#REF!</v>
      </c>
      <c r="P162" t="e">
        <f t="shared" si="118"/>
        <v>#REF!</v>
      </c>
      <c r="Q162" t="e">
        <f t="shared" si="118"/>
        <v>#REF!</v>
      </c>
      <c r="R162" t="e">
        <f t="shared" si="118"/>
        <v>#REF!</v>
      </c>
      <c r="S162" t="e">
        <f t="shared" si="118"/>
        <v>#REF!</v>
      </c>
      <c r="T162" t="e">
        <f t="shared" si="116"/>
        <v>#REF!</v>
      </c>
      <c r="U162" t="e">
        <f t="shared" si="116"/>
        <v>#REF!</v>
      </c>
      <c r="V162" t="e">
        <f t="shared" si="116"/>
        <v>#REF!</v>
      </c>
      <c r="W162" t="e">
        <f t="shared" si="116"/>
        <v>#REF!</v>
      </c>
      <c r="X162" t="e">
        <f t="shared" si="105"/>
        <v>#REF!</v>
      </c>
      <c r="Y162" t="e">
        <f t="shared" si="105"/>
        <v>#REF!</v>
      </c>
      <c r="Z162" t="e">
        <f t="shared" si="105"/>
        <v>#REF!</v>
      </c>
      <c r="AA162" t="e">
        <f t="shared" si="105"/>
        <v>#REF!</v>
      </c>
      <c r="AB162" t="e">
        <f t="shared" si="105"/>
        <v>#REF!</v>
      </c>
      <c r="AC162" t="e">
        <f t="shared" si="105"/>
        <v>#REF!</v>
      </c>
      <c r="AD162" t="e">
        <f t="shared" si="105"/>
        <v>#REF!</v>
      </c>
      <c r="AE162" t="e">
        <f t="shared" si="105"/>
        <v>#REF!</v>
      </c>
      <c r="AF162" t="e">
        <f t="shared" si="105"/>
        <v>#REF!</v>
      </c>
      <c r="AG162" t="e">
        <f t="shared" si="105"/>
        <v>#REF!</v>
      </c>
      <c r="AH162" t="e">
        <f t="shared" si="105"/>
        <v>#REF!</v>
      </c>
      <c r="AI162" t="e">
        <f t="shared" si="117"/>
        <v>#REF!</v>
      </c>
      <c r="AJ162" t="e">
        <f t="shared" si="117"/>
        <v>#REF!</v>
      </c>
      <c r="AK162" t="e">
        <f t="shared" si="117"/>
        <v>#REF!</v>
      </c>
      <c r="AL162" t="e">
        <f t="shared" si="117"/>
        <v>#REF!</v>
      </c>
      <c r="AM162" t="e">
        <f t="shared" si="117"/>
        <v>#REF!</v>
      </c>
      <c r="AN162" t="e">
        <f t="shared" si="117"/>
        <v>#REF!</v>
      </c>
      <c r="AO162" t="e">
        <f t="shared" si="117"/>
        <v>#REF!</v>
      </c>
      <c r="AP162" t="e">
        <f t="shared" si="117"/>
        <v>#REF!</v>
      </c>
      <c r="AQ162" t="e">
        <f t="shared" si="117"/>
        <v>#REF!</v>
      </c>
      <c r="AR162" t="e">
        <f t="shared" si="117"/>
        <v>#REF!</v>
      </c>
      <c r="AS162" t="e">
        <f t="shared" si="117"/>
        <v>#REF!</v>
      </c>
      <c r="AT162" t="e">
        <f t="shared" si="117"/>
        <v>#REF!</v>
      </c>
      <c r="AU162" t="e">
        <f t="shared" si="117"/>
        <v>#REF!</v>
      </c>
      <c r="AV162" t="e">
        <f t="shared" si="117"/>
        <v>#REF!</v>
      </c>
      <c r="AW162" t="e">
        <f t="shared" si="117"/>
        <v>#REF!</v>
      </c>
      <c r="AX162" t="e">
        <f t="shared" si="117"/>
        <v>#REF!</v>
      </c>
      <c r="AY162" t="e">
        <f t="shared" si="114"/>
        <v>#REF!</v>
      </c>
      <c r="AZ162" t="e">
        <f t="shared" si="114"/>
        <v>#REF!</v>
      </c>
      <c r="BA162" t="e">
        <f t="shared" si="114"/>
        <v>#REF!</v>
      </c>
      <c r="BB162" t="e">
        <f t="shared" si="114"/>
        <v>#REF!</v>
      </c>
      <c r="BC162" t="e">
        <f t="shared" si="114"/>
        <v>#REF!</v>
      </c>
      <c r="BD162" t="e">
        <f t="shared" si="114"/>
        <v>#REF!</v>
      </c>
      <c r="BE162" t="e">
        <f t="shared" si="114"/>
        <v>#REF!</v>
      </c>
      <c r="BF162" t="e">
        <f t="shared" si="114"/>
        <v>#REF!</v>
      </c>
      <c r="BG162" t="e">
        <f t="shared" si="114"/>
        <v>#REF!</v>
      </c>
      <c r="BH162" t="e">
        <f t="shared" si="114"/>
        <v>#REF!</v>
      </c>
      <c r="BI162" t="e">
        <f t="shared" si="114"/>
        <v>#REF!</v>
      </c>
      <c r="BJ162" t="e">
        <f t="shared" si="114"/>
        <v>#REF!</v>
      </c>
      <c r="BK162" t="e">
        <f t="shared" si="114"/>
        <v>#REF!</v>
      </c>
      <c r="BL162" t="e">
        <f t="shared" si="124"/>
        <v>#REF!</v>
      </c>
      <c r="BM162" t="e">
        <f t="shared" si="124"/>
        <v>#REF!</v>
      </c>
      <c r="BN162" t="e">
        <f t="shared" si="124"/>
        <v>#REF!</v>
      </c>
      <c r="BO162" t="e">
        <f t="shared" si="124"/>
        <v>#REF!</v>
      </c>
      <c r="BP162" t="e">
        <f t="shared" si="124"/>
        <v>#REF!</v>
      </c>
      <c r="BQ162" t="e">
        <f t="shared" si="124"/>
        <v>#REF!</v>
      </c>
      <c r="BR162" t="e">
        <f t="shared" si="124"/>
        <v>#REF!</v>
      </c>
      <c r="BS162" t="e">
        <f t="shared" si="124"/>
        <v>#REF!</v>
      </c>
      <c r="BT162" t="e">
        <f t="shared" si="124"/>
        <v>#REF!</v>
      </c>
      <c r="BU162" t="e">
        <f t="shared" si="124"/>
        <v>#REF!</v>
      </c>
      <c r="BV162" t="e">
        <f t="shared" si="122"/>
        <v>#REF!</v>
      </c>
      <c r="BW162" t="e">
        <f t="shared" si="122"/>
        <v>#REF!</v>
      </c>
      <c r="BX162" t="e">
        <f t="shared" si="122"/>
        <v>#REF!</v>
      </c>
      <c r="BY162" t="e">
        <f t="shared" si="122"/>
        <v>#REF!</v>
      </c>
      <c r="BZ162" t="e">
        <f t="shared" si="122"/>
        <v>#REF!</v>
      </c>
      <c r="CA162" t="e">
        <f t="shared" si="122"/>
        <v>#REF!</v>
      </c>
      <c r="CB162" t="e">
        <f t="shared" si="122"/>
        <v>#REF!</v>
      </c>
      <c r="CC162" t="e">
        <f t="shared" si="122"/>
        <v>#REF!</v>
      </c>
      <c r="CD162" t="e">
        <f t="shared" si="113"/>
        <v>#REF!</v>
      </c>
      <c r="CE162" t="e">
        <f t="shared" si="113"/>
        <v>#REF!</v>
      </c>
      <c r="CF162" t="e">
        <f t="shared" si="113"/>
        <v>#REF!</v>
      </c>
      <c r="CG162" t="e">
        <f t="shared" si="113"/>
        <v>#REF!</v>
      </c>
      <c r="CH162" t="e">
        <f t="shared" si="113"/>
        <v>#REF!</v>
      </c>
      <c r="CI162" t="e">
        <f t="shared" si="113"/>
        <v>#REF!</v>
      </c>
      <c r="CJ162" t="e">
        <f t="shared" si="113"/>
        <v>#REF!</v>
      </c>
      <c r="CK162" t="e">
        <f t="shared" si="113"/>
        <v>#REF!</v>
      </c>
      <c r="CL162" t="e">
        <f t="shared" si="113"/>
        <v>#REF!</v>
      </c>
      <c r="CM162" t="e">
        <f t="shared" si="110"/>
        <v>#REF!</v>
      </c>
      <c r="CN162" t="e">
        <f t="shared" si="110"/>
        <v>#REF!</v>
      </c>
      <c r="CO162" t="e">
        <f t="shared" si="110"/>
        <v>#REF!</v>
      </c>
      <c r="CP162" t="e">
        <f t="shared" si="110"/>
        <v>#REF!</v>
      </c>
      <c r="CQ162" t="e">
        <f t="shared" si="110"/>
        <v>#REF!</v>
      </c>
      <c r="CR162" t="e">
        <f t="shared" si="110"/>
        <v>#REF!</v>
      </c>
      <c r="CS162" t="e">
        <f t="shared" si="110"/>
        <v>#REF!</v>
      </c>
      <c r="CT162" t="e">
        <f t="shared" si="110"/>
        <v>#REF!</v>
      </c>
      <c r="CU162" t="e">
        <f t="shared" si="110"/>
        <v>#REF!</v>
      </c>
      <c r="CV162" t="e">
        <f t="shared" si="110"/>
        <v>#REF!</v>
      </c>
      <c r="CW162" t="e">
        <f t="shared" si="126"/>
        <v>#REF!</v>
      </c>
      <c r="CX162" t="e">
        <f t="shared" si="126"/>
        <v>#REF!</v>
      </c>
      <c r="CY162" t="e">
        <f t="shared" si="126"/>
        <v>#REF!</v>
      </c>
      <c r="CZ162" t="e">
        <f t="shared" si="126"/>
        <v>#REF!</v>
      </c>
      <c r="DA162" t="e">
        <f t="shared" si="126"/>
        <v>#REF!</v>
      </c>
      <c r="DB162" t="e">
        <f t="shared" si="126"/>
        <v>#REF!</v>
      </c>
      <c r="DC162" t="e">
        <f t="shared" si="126"/>
        <v>#REF!</v>
      </c>
      <c r="DD162" t="e">
        <f t="shared" si="126"/>
        <v>#REF!</v>
      </c>
      <c r="DE162" t="e">
        <f t="shared" si="126"/>
        <v>#REF!</v>
      </c>
      <c r="DF162" t="e">
        <f t="shared" si="126"/>
        <v>#REF!</v>
      </c>
      <c r="DG162" t="e">
        <f t="shared" si="126"/>
        <v>#REF!</v>
      </c>
      <c r="DH162" t="e">
        <f t="shared" si="126"/>
        <v>#REF!</v>
      </c>
      <c r="DI162" t="e">
        <f t="shared" si="126"/>
        <v>#REF!</v>
      </c>
      <c r="DJ162" t="e">
        <f t="shared" si="102"/>
        <v>#REF!</v>
      </c>
      <c r="DK162" t="e">
        <f t="shared" si="102"/>
        <v>#REF!</v>
      </c>
      <c r="DL162" t="e">
        <f t="shared" si="102"/>
        <v>#REF!</v>
      </c>
      <c r="DM162" t="e">
        <f t="shared" si="102"/>
        <v>#REF!</v>
      </c>
      <c r="DN162" t="e">
        <f t="shared" si="102"/>
        <v>#REF!</v>
      </c>
      <c r="DO162" t="e">
        <f t="shared" si="102"/>
        <v>#REF!</v>
      </c>
      <c r="DP162" t="e">
        <f t="shared" si="102"/>
        <v>#REF!</v>
      </c>
      <c r="DQ162" t="e">
        <f t="shared" si="123"/>
        <v>#REF!</v>
      </c>
      <c r="DR162" t="e">
        <f t="shared" si="123"/>
        <v>#REF!</v>
      </c>
      <c r="DS162" t="e">
        <f t="shared" si="123"/>
        <v>#REF!</v>
      </c>
      <c r="DT162" t="e">
        <f t="shared" si="123"/>
        <v>#REF!</v>
      </c>
      <c r="DU162" t="e">
        <f t="shared" si="123"/>
        <v>#REF!</v>
      </c>
      <c r="DV162" t="e">
        <f t="shared" si="123"/>
        <v>#REF!</v>
      </c>
      <c r="DW162" t="e">
        <f t="shared" si="123"/>
        <v>#REF!</v>
      </c>
      <c r="DX162" t="e">
        <f t="shared" si="123"/>
        <v>#REF!</v>
      </c>
      <c r="DY162" t="e">
        <f t="shared" si="123"/>
        <v>#REF!</v>
      </c>
      <c r="DZ162" t="e">
        <f t="shared" si="121"/>
        <v>#REF!</v>
      </c>
      <c r="EA162" t="e">
        <f t="shared" si="121"/>
        <v>#REF!</v>
      </c>
      <c r="EB162" t="e">
        <f t="shared" si="121"/>
        <v>#REF!</v>
      </c>
      <c r="EC162" t="e">
        <f t="shared" si="121"/>
        <v>#REF!</v>
      </c>
      <c r="ED162" t="e">
        <f t="shared" si="121"/>
        <v>#REF!</v>
      </c>
      <c r="EE162" t="e">
        <f t="shared" si="121"/>
        <v>#REF!</v>
      </c>
      <c r="EF162" t="e">
        <f t="shared" si="121"/>
        <v>#REF!</v>
      </c>
      <c r="EG162" t="e">
        <f t="shared" si="121"/>
        <v>#REF!</v>
      </c>
      <c r="EH162" t="e">
        <f t="shared" si="121"/>
        <v>#REF!</v>
      </c>
      <c r="EI162" t="e">
        <f t="shared" si="121"/>
        <v>#REF!</v>
      </c>
      <c r="EJ162" t="e">
        <f t="shared" si="121"/>
        <v>#REF!</v>
      </c>
      <c r="EK162" t="e">
        <f t="shared" si="121"/>
        <v>#REF!</v>
      </c>
      <c r="EL162" t="e">
        <f t="shared" si="112"/>
        <v>#REF!</v>
      </c>
      <c r="EM162" t="e">
        <f t="shared" si="112"/>
        <v>#REF!</v>
      </c>
    </row>
    <row r="163" spans="1:143" x14ac:dyDescent="0.4">
      <c r="A163" t="str">
        <f t="shared" si="120"/>
        <v>X</v>
      </c>
      <c r="B163">
        <v>160</v>
      </c>
      <c r="C163" t="e" cm="1">
        <f t="array" ref="C163">INDEX(auto_Series_Code,B163)</f>
        <v>#REF!</v>
      </c>
      <c r="D163" t="e">
        <f t="shared" si="118"/>
        <v>#REF!</v>
      </c>
      <c r="E163" t="e">
        <f t="shared" si="118"/>
        <v>#REF!</v>
      </c>
      <c r="F163" t="e">
        <f t="shared" si="118"/>
        <v>#REF!</v>
      </c>
      <c r="G163" t="e">
        <f t="shared" si="118"/>
        <v>#REF!</v>
      </c>
      <c r="H163" t="e">
        <f t="shared" si="118"/>
        <v>#REF!</v>
      </c>
      <c r="I163" t="e">
        <f t="shared" si="118"/>
        <v>#REF!</v>
      </c>
      <c r="J163" t="e">
        <f t="shared" si="118"/>
        <v>#REF!</v>
      </c>
      <c r="K163" t="e">
        <f t="shared" si="118"/>
        <v>#REF!</v>
      </c>
      <c r="L163" t="e">
        <f t="shared" si="118"/>
        <v>#REF!</v>
      </c>
      <c r="M163" t="e">
        <f t="shared" si="118"/>
        <v>#REF!</v>
      </c>
      <c r="N163" t="e">
        <f t="shared" si="118"/>
        <v>#REF!</v>
      </c>
      <c r="O163" t="e">
        <f t="shared" si="118"/>
        <v>#REF!</v>
      </c>
      <c r="P163" t="e">
        <f t="shared" si="118"/>
        <v>#REF!</v>
      </c>
      <c r="Q163" t="e">
        <f t="shared" si="118"/>
        <v>#REF!</v>
      </c>
      <c r="R163" t="e">
        <f t="shared" si="118"/>
        <v>#REF!</v>
      </c>
      <c r="S163" t="e">
        <f t="shared" si="118"/>
        <v>#REF!</v>
      </c>
      <c r="T163" t="e">
        <f t="shared" si="116"/>
        <v>#REF!</v>
      </c>
      <c r="U163" t="e">
        <f t="shared" si="116"/>
        <v>#REF!</v>
      </c>
      <c r="V163" t="e">
        <f t="shared" si="116"/>
        <v>#REF!</v>
      </c>
      <c r="W163" t="e">
        <f t="shared" si="116"/>
        <v>#REF!</v>
      </c>
      <c r="X163" t="e">
        <f t="shared" si="105"/>
        <v>#REF!</v>
      </c>
      <c r="Y163" t="e">
        <f t="shared" si="105"/>
        <v>#REF!</v>
      </c>
      <c r="Z163" t="e">
        <f t="shared" si="105"/>
        <v>#REF!</v>
      </c>
      <c r="AA163" t="e">
        <f t="shared" si="105"/>
        <v>#REF!</v>
      </c>
      <c r="AB163" t="e">
        <f t="shared" si="105"/>
        <v>#REF!</v>
      </c>
      <c r="AC163" t="e">
        <f t="shared" si="105"/>
        <v>#REF!</v>
      </c>
      <c r="AD163" t="e">
        <f t="shared" si="105"/>
        <v>#REF!</v>
      </c>
      <c r="AE163" t="e">
        <f t="shared" si="105"/>
        <v>#REF!</v>
      </c>
      <c r="AF163" t="e">
        <f t="shared" si="105"/>
        <v>#REF!</v>
      </c>
      <c r="AG163" t="e">
        <f t="shared" si="105"/>
        <v>#REF!</v>
      </c>
      <c r="AH163" t="e">
        <f t="shared" si="105"/>
        <v>#REF!</v>
      </c>
      <c r="AI163" t="e">
        <f t="shared" si="117"/>
        <v>#REF!</v>
      </c>
      <c r="AJ163" t="e">
        <f t="shared" si="117"/>
        <v>#REF!</v>
      </c>
      <c r="AK163" t="e">
        <f t="shared" si="117"/>
        <v>#REF!</v>
      </c>
      <c r="AL163" t="e">
        <f t="shared" si="117"/>
        <v>#REF!</v>
      </c>
      <c r="AM163" t="e">
        <f t="shared" si="117"/>
        <v>#REF!</v>
      </c>
      <c r="AN163" t="e">
        <f t="shared" si="117"/>
        <v>#REF!</v>
      </c>
      <c r="AO163" t="e">
        <f t="shared" si="117"/>
        <v>#REF!</v>
      </c>
      <c r="AP163" t="e">
        <f t="shared" si="117"/>
        <v>#REF!</v>
      </c>
      <c r="AQ163" t="e">
        <f t="shared" si="117"/>
        <v>#REF!</v>
      </c>
      <c r="AR163" t="e">
        <f t="shared" si="117"/>
        <v>#REF!</v>
      </c>
      <c r="AS163" t="e">
        <f t="shared" si="117"/>
        <v>#REF!</v>
      </c>
      <c r="AT163" t="e">
        <f t="shared" si="117"/>
        <v>#REF!</v>
      </c>
      <c r="AU163" t="e">
        <f t="shared" si="117"/>
        <v>#REF!</v>
      </c>
      <c r="AV163" t="e">
        <f t="shared" si="117"/>
        <v>#REF!</v>
      </c>
      <c r="AW163" t="e">
        <f t="shared" si="117"/>
        <v>#REF!</v>
      </c>
      <c r="AX163" t="e">
        <f t="shared" si="117"/>
        <v>#REF!</v>
      </c>
      <c r="AY163" t="e">
        <f t="shared" si="114"/>
        <v>#REF!</v>
      </c>
      <c r="AZ163" t="e">
        <f t="shared" si="114"/>
        <v>#REF!</v>
      </c>
      <c r="BA163" t="e">
        <f t="shared" si="114"/>
        <v>#REF!</v>
      </c>
      <c r="BB163" t="e">
        <f t="shared" si="114"/>
        <v>#REF!</v>
      </c>
      <c r="BC163" t="e">
        <f t="shared" si="114"/>
        <v>#REF!</v>
      </c>
      <c r="BD163" t="e">
        <f t="shared" si="114"/>
        <v>#REF!</v>
      </c>
      <c r="BE163" t="e">
        <f t="shared" si="114"/>
        <v>#REF!</v>
      </c>
      <c r="BF163" t="e">
        <f t="shared" si="114"/>
        <v>#REF!</v>
      </c>
      <c r="BG163" t="e">
        <f t="shared" si="114"/>
        <v>#REF!</v>
      </c>
      <c r="BH163" t="e">
        <f t="shared" si="114"/>
        <v>#REF!</v>
      </c>
      <c r="BI163" t="e">
        <f t="shared" si="114"/>
        <v>#REF!</v>
      </c>
      <c r="BJ163" t="e">
        <f t="shared" si="114"/>
        <v>#REF!</v>
      </c>
      <c r="BK163" t="e">
        <f t="shared" si="114"/>
        <v>#REF!</v>
      </c>
      <c r="BL163" t="e">
        <f t="shared" si="124"/>
        <v>#REF!</v>
      </c>
      <c r="BM163" t="e">
        <f t="shared" si="124"/>
        <v>#REF!</v>
      </c>
      <c r="BN163" t="e">
        <f t="shared" si="124"/>
        <v>#REF!</v>
      </c>
      <c r="BO163" t="e">
        <f t="shared" si="124"/>
        <v>#REF!</v>
      </c>
      <c r="BP163" t="e">
        <f t="shared" si="124"/>
        <v>#REF!</v>
      </c>
      <c r="BQ163" t="e">
        <f t="shared" si="124"/>
        <v>#REF!</v>
      </c>
      <c r="BR163" t="e">
        <f t="shared" si="124"/>
        <v>#REF!</v>
      </c>
      <c r="BS163" t="e">
        <f t="shared" si="124"/>
        <v>#REF!</v>
      </c>
      <c r="BT163" t="e">
        <f t="shared" si="124"/>
        <v>#REF!</v>
      </c>
      <c r="BU163" t="e">
        <f t="shared" si="124"/>
        <v>#REF!</v>
      </c>
      <c r="BV163" t="e">
        <f t="shared" si="122"/>
        <v>#REF!</v>
      </c>
      <c r="BW163" t="e">
        <f t="shared" si="122"/>
        <v>#REF!</v>
      </c>
      <c r="BX163" t="e">
        <f t="shared" si="122"/>
        <v>#REF!</v>
      </c>
      <c r="BY163" t="e">
        <f t="shared" si="122"/>
        <v>#REF!</v>
      </c>
      <c r="BZ163" t="e">
        <f t="shared" si="122"/>
        <v>#REF!</v>
      </c>
      <c r="CA163" t="e">
        <f t="shared" si="122"/>
        <v>#REF!</v>
      </c>
      <c r="CB163" t="e">
        <f t="shared" si="122"/>
        <v>#REF!</v>
      </c>
      <c r="CC163" t="e">
        <f t="shared" si="122"/>
        <v>#REF!</v>
      </c>
      <c r="CD163" t="e">
        <f t="shared" si="113"/>
        <v>#REF!</v>
      </c>
      <c r="CE163" t="e">
        <f t="shared" si="113"/>
        <v>#REF!</v>
      </c>
      <c r="CF163" t="e">
        <f t="shared" si="113"/>
        <v>#REF!</v>
      </c>
      <c r="CG163" t="e">
        <f t="shared" si="113"/>
        <v>#REF!</v>
      </c>
      <c r="CH163" t="e">
        <f t="shared" si="113"/>
        <v>#REF!</v>
      </c>
      <c r="CI163" t="e">
        <f t="shared" si="113"/>
        <v>#REF!</v>
      </c>
      <c r="CJ163" t="e">
        <f t="shared" si="113"/>
        <v>#REF!</v>
      </c>
      <c r="CK163" t="e">
        <f t="shared" si="113"/>
        <v>#REF!</v>
      </c>
      <c r="CL163" t="e">
        <f t="shared" si="113"/>
        <v>#REF!</v>
      </c>
      <c r="CM163" t="e">
        <f t="shared" si="110"/>
        <v>#REF!</v>
      </c>
      <c r="CN163" t="e">
        <f t="shared" si="110"/>
        <v>#REF!</v>
      </c>
      <c r="CO163" t="e">
        <f t="shared" si="110"/>
        <v>#REF!</v>
      </c>
      <c r="CP163" t="e">
        <f t="shared" si="110"/>
        <v>#REF!</v>
      </c>
      <c r="CQ163" t="e">
        <f t="shared" si="110"/>
        <v>#REF!</v>
      </c>
      <c r="CR163" t="e">
        <f t="shared" si="110"/>
        <v>#REF!</v>
      </c>
      <c r="CS163" t="e">
        <f t="shared" si="110"/>
        <v>#REF!</v>
      </c>
      <c r="CT163" t="e">
        <f t="shared" si="110"/>
        <v>#REF!</v>
      </c>
      <c r="CU163" t="e">
        <f t="shared" si="110"/>
        <v>#REF!</v>
      </c>
      <c r="CV163" t="e">
        <f t="shared" si="110"/>
        <v>#REF!</v>
      </c>
      <c r="CW163" t="e">
        <f t="shared" si="126"/>
        <v>#REF!</v>
      </c>
      <c r="CX163" t="e">
        <f t="shared" si="126"/>
        <v>#REF!</v>
      </c>
      <c r="CY163" t="e">
        <f t="shared" si="126"/>
        <v>#REF!</v>
      </c>
      <c r="CZ163" t="e">
        <f t="shared" si="126"/>
        <v>#REF!</v>
      </c>
      <c r="DA163" t="e">
        <f t="shared" si="126"/>
        <v>#REF!</v>
      </c>
      <c r="DB163" t="e">
        <f t="shared" si="126"/>
        <v>#REF!</v>
      </c>
      <c r="DC163" t="e">
        <f t="shared" si="126"/>
        <v>#REF!</v>
      </c>
      <c r="DD163" t="e">
        <f t="shared" si="126"/>
        <v>#REF!</v>
      </c>
      <c r="DE163" t="e">
        <f t="shared" si="126"/>
        <v>#REF!</v>
      </c>
      <c r="DF163" t="e">
        <f t="shared" si="126"/>
        <v>#REF!</v>
      </c>
      <c r="DG163" t="e">
        <f t="shared" si="126"/>
        <v>#REF!</v>
      </c>
      <c r="DH163" t="e">
        <f t="shared" si="126"/>
        <v>#REF!</v>
      </c>
      <c r="DI163" t="e">
        <f t="shared" si="126"/>
        <v>#REF!</v>
      </c>
      <c r="DJ163" t="e">
        <f t="shared" si="102"/>
        <v>#REF!</v>
      </c>
      <c r="DK163" t="e">
        <f t="shared" si="102"/>
        <v>#REF!</v>
      </c>
      <c r="DL163" t="e">
        <f t="shared" si="102"/>
        <v>#REF!</v>
      </c>
      <c r="DM163" t="e">
        <f t="shared" si="102"/>
        <v>#REF!</v>
      </c>
      <c r="DN163" t="e">
        <f t="shared" si="102"/>
        <v>#REF!</v>
      </c>
      <c r="DO163" t="e">
        <f t="shared" si="102"/>
        <v>#REF!</v>
      </c>
      <c r="DP163" t="e">
        <f t="shared" si="102"/>
        <v>#REF!</v>
      </c>
      <c r="DQ163" t="e">
        <f t="shared" si="123"/>
        <v>#REF!</v>
      </c>
      <c r="DR163" t="e">
        <f t="shared" si="123"/>
        <v>#REF!</v>
      </c>
      <c r="DS163" t="e">
        <f t="shared" si="123"/>
        <v>#REF!</v>
      </c>
      <c r="DT163" t="e">
        <f t="shared" si="123"/>
        <v>#REF!</v>
      </c>
      <c r="DU163" t="e">
        <f t="shared" si="123"/>
        <v>#REF!</v>
      </c>
      <c r="DV163" t="e">
        <f t="shared" si="123"/>
        <v>#REF!</v>
      </c>
      <c r="DW163" t="e">
        <f t="shared" si="123"/>
        <v>#REF!</v>
      </c>
      <c r="DX163" t="e">
        <f t="shared" si="123"/>
        <v>#REF!</v>
      </c>
      <c r="DY163" t="e">
        <f t="shared" si="123"/>
        <v>#REF!</v>
      </c>
      <c r="DZ163" t="e">
        <f t="shared" si="121"/>
        <v>#REF!</v>
      </c>
      <c r="EA163" t="e">
        <f t="shared" si="121"/>
        <v>#REF!</v>
      </c>
      <c r="EB163" t="e">
        <f t="shared" si="121"/>
        <v>#REF!</v>
      </c>
      <c r="EC163" t="e">
        <f t="shared" si="121"/>
        <v>#REF!</v>
      </c>
      <c r="ED163" t="e">
        <f t="shared" si="121"/>
        <v>#REF!</v>
      </c>
      <c r="EE163" t="e">
        <f t="shared" si="121"/>
        <v>#REF!</v>
      </c>
      <c r="EF163" t="e">
        <f t="shared" si="121"/>
        <v>#REF!</v>
      </c>
      <c r="EG163" t="e">
        <f t="shared" si="121"/>
        <v>#REF!</v>
      </c>
      <c r="EH163" t="e">
        <f t="shared" si="121"/>
        <v>#REF!</v>
      </c>
      <c r="EI163" t="e">
        <f t="shared" si="121"/>
        <v>#REF!</v>
      </c>
      <c r="EJ163" t="e">
        <f t="shared" si="121"/>
        <v>#REF!</v>
      </c>
      <c r="EK163" t="e">
        <f t="shared" si="121"/>
        <v>#REF!</v>
      </c>
      <c r="EL163" t="e">
        <f t="shared" si="112"/>
        <v>#REF!</v>
      </c>
      <c r="EM163" t="e">
        <f t="shared" si="112"/>
        <v>#REF!</v>
      </c>
    </row>
    <row r="164" spans="1:143" x14ac:dyDescent="0.4">
      <c r="A164" t="str">
        <f t="shared" si="120"/>
        <v>X</v>
      </c>
      <c r="B164">
        <v>161</v>
      </c>
      <c r="C164" t="e" cm="1">
        <f t="array" ref="C164">INDEX(auto_Series_Code,B164)</f>
        <v>#REF!</v>
      </c>
      <c r="D164" t="e">
        <f t="shared" si="118"/>
        <v>#REF!</v>
      </c>
      <c r="E164" t="e">
        <f t="shared" si="118"/>
        <v>#REF!</v>
      </c>
      <c r="F164" t="e">
        <f t="shared" si="118"/>
        <v>#REF!</v>
      </c>
      <c r="G164" t="e">
        <f t="shared" si="118"/>
        <v>#REF!</v>
      </c>
      <c r="H164" t="e">
        <f t="shared" si="118"/>
        <v>#REF!</v>
      </c>
      <c r="I164" t="e">
        <f t="shared" si="118"/>
        <v>#REF!</v>
      </c>
      <c r="J164" t="e">
        <f t="shared" si="118"/>
        <v>#REF!</v>
      </c>
      <c r="K164" t="e">
        <f t="shared" si="118"/>
        <v>#REF!</v>
      </c>
      <c r="L164" t="e">
        <f t="shared" si="118"/>
        <v>#REF!</v>
      </c>
      <c r="M164" t="e">
        <f t="shared" si="118"/>
        <v>#REF!</v>
      </c>
      <c r="N164" t="e">
        <f t="shared" si="118"/>
        <v>#REF!</v>
      </c>
      <c r="O164" t="e">
        <f t="shared" si="118"/>
        <v>#REF!</v>
      </c>
      <c r="P164" t="e">
        <f t="shared" si="118"/>
        <v>#REF!</v>
      </c>
      <c r="Q164" t="e">
        <f t="shared" si="118"/>
        <v>#REF!</v>
      </c>
      <c r="R164" t="e">
        <f t="shared" si="118"/>
        <v>#REF!</v>
      </c>
      <c r="S164" t="e">
        <f t="shared" si="118"/>
        <v>#REF!</v>
      </c>
      <c r="T164" t="e">
        <f t="shared" si="116"/>
        <v>#REF!</v>
      </c>
      <c r="U164" t="e">
        <f t="shared" si="116"/>
        <v>#REF!</v>
      </c>
      <c r="V164" t="e">
        <f t="shared" si="116"/>
        <v>#REF!</v>
      </c>
      <c r="W164" t="e">
        <f t="shared" si="116"/>
        <v>#REF!</v>
      </c>
      <c r="X164" t="e">
        <f t="shared" si="105"/>
        <v>#REF!</v>
      </c>
      <c r="Y164" t="e">
        <f t="shared" si="105"/>
        <v>#REF!</v>
      </c>
      <c r="Z164" t="e">
        <f t="shared" si="105"/>
        <v>#REF!</v>
      </c>
      <c r="AA164" t="e">
        <f t="shared" si="105"/>
        <v>#REF!</v>
      </c>
      <c r="AB164" t="e">
        <f t="shared" si="105"/>
        <v>#REF!</v>
      </c>
      <c r="AC164" t="e">
        <f t="shared" si="105"/>
        <v>#REF!</v>
      </c>
      <c r="AD164" t="e">
        <f t="shared" si="105"/>
        <v>#REF!</v>
      </c>
      <c r="AE164" t="e">
        <f t="shared" si="105"/>
        <v>#REF!</v>
      </c>
      <c r="AF164" t="e">
        <f t="shared" si="105"/>
        <v>#REF!</v>
      </c>
      <c r="AG164" t="e">
        <f t="shared" si="105"/>
        <v>#REF!</v>
      </c>
      <c r="AH164" t="e">
        <f t="shared" si="105"/>
        <v>#REF!</v>
      </c>
      <c r="AI164" t="e">
        <f t="shared" si="117"/>
        <v>#REF!</v>
      </c>
      <c r="AJ164" t="e">
        <f t="shared" si="117"/>
        <v>#REF!</v>
      </c>
      <c r="AK164" t="e">
        <f t="shared" si="117"/>
        <v>#REF!</v>
      </c>
      <c r="AL164" t="e">
        <f t="shared" si="117"/>
        <v>#REF!</v>
      </c>
      <c r="AM164" t="e">
        <f t="shared" si="117"/>
        <v>#REF!</v>
      </c>
      <c r="AN164" t="e">
        <f t="shared" si="117"/>
        <v>#REF!</v>
      </c>
      <c r="AO164" t="e">
        <f t="shared" si="117"/>
        <v>#REF!</v>
      </c>
      <c r="AP164" t="e">
        <f t="shared" si="117"/>
        <v>#REF!</v>
      </c>
      <c r="AQ164" t="e">
        <f t="shared" si="117"/>
        <v>#REF!</v>
      </c>
      <c r="AR164" t="e">
        <f t="shared" si="117"/>
        <v>#REF!</v>
      </c>
      <c r="AS164" t="e">
        <f t="shared" si="117"/>
        <v>#REF!</v>
      </c>
      <c r="AT164" t="e">
        <f t="shared" si="117"/>
        <v>#REF!</v>
      </c>
      <c r="AU164" t="e">
        <f t="shared" si="117"/>
        <v>#REF!</v>
      </c>
      <c r="AV164" t="e">
        <f t="shared" si="117"/>
        <v>#REF!</v>
      </c>
      <c r="AW164" t="e">
        <f t="shared" si="117"/>
        <v>#REF!</v>
      </c>
      <c r="AX164" t="e">
        <f t="shared" si="117"/>
        <v>#REF!</v>
      </c>
      <c r="AY164" t="e">
        <f t="shared" si="114"/>
        <v>#REF!</v>
      </c>
      <c r="AZ164" t="e">
        <f t="shared" si="114"/>
        <v>#REF!</v>
      </c>
      <c r="BA164" t="e">
        <f t="shared" si="114"/>
        <v>#REF!</v>
      </c>
      <c r="BB164" t="e">
        <f t="shared" si="114"/>
        <v>#REF!</v>
      </c>
      <c r="BC164" t="e">
        <f t="shared" si="114"/>
        <v>#REF!</v>
      </c>
      <c r="BD164" t="e">
        <f t="shared" si="114"/>
        <v>#REF!</v>
      </c>
      <c r="BE164" t="e">
        <f t="shared" si="114"/>
        <v>#REF!</v>
      </c>
      <c r="BF164" t="e">
        <f t="shared" si="114"/>
        <v>#REF!</v>
      </c>
      <c r="BG164" t="e">
        <f t="shared" si="114"/>
        <v>#REF!</v>
      </c>
      <c r="BH164" t="e">
        <f t="shared" si="114"/>
        <v>#REF!</v>
      </c>
      <c r="BI164" t="e">
        <f t="shared" si="114"/>
        <v>#REF!</v>
      </c>
      <c r="BJ164" t="e">
        <f t="shared" si="114"/>
        <v>#REF!</v>
      </c>
      <c r="BK164" t="e">
        <f t="shared" si="114"/>
        <v>#REF!</v>
      </c>
      <c r="BL164" t="e">
        <f t="shared" si="124"/>
        <v>#REF!</v>
      </c>
      <c r="BM164" t="e">
        <f t="shared" si="124"/>
        <v>#REF!</v>
      </c>
      <c r="BN164" t="e">
        <f t="shared" si="124"/>
        <v>#REF!</v>
      </c>
      <c r="BO164" t="e">
        <f t="shared" si="124"/>
        <v>#REF!</v>
      </c>
      <c r="BP164" t="e">
        <f t="shared" si="124"/>
        <v>#REF!</v>
      </c>
      <c r="BQ164" t="e">
        <f t="shared" si="124"/>
        <v>#REF!</v>
      </c>
      <c r="BR164" t="e">
        <f t="shared" si="124"/>
        <v>#REF!</v>
      </c>
      <c r="BS164" t="e">
        <f t="shared" si="124"/>
        <v>#REF!</v>
      </c>
      <c r="BT164" t="e">
        <f t="shared" si="124"/>
        <v>#REF!</v>
      </c>
      <c r="BU164" t="e">
        <f t="shared" si="124"/>
        <v>#REF!</v>
      </c>
      <c r="BV164" t="e">
        <f t="shared" si="122"/>
        <v>#REF!</v>
      </c>
      <c r="BW164" t="e">
        <f t="shared" si="122"/>
        <v>#REF!</v>
      </c>
      <c r="BX164" t="e">
        <f t="shared" si="122"/>
        <v>#REF!</v>
      </c>
      <c r="BY164" t="e">
        <f t="shared" si="122"/>
        <v>#REF!</v>
      </c>
      <c r="BZ164" t="e">
        <f t="shared" si="122"/>
        <v>#REF!</v>
      </c>
      <c r="CA164" t="e">
        <f t="shared" si="122"/>
        <v>#REF!</v>
      </c>
      <c r="CB164" t="e">
        <f t="shared" si="122"/>
        <v>#REF!</v>
      </c>
      <c r="CC164" t="e">
        <f t="shared" si="122"/>
        <v>#REF!</v>
      </c>
      <c r="CD164" t="e">
        <f t="shared" si="113"/>
        <v>#REF!</v>
      </c>
      <c r="CE164" t="e">
        <f t="shared" si="113"/>
        <v>#REF!</v>
      </c>
      <c r="CF164" t="e">
        <f t="shared" si="113"/>
        <v>#REF!</v>
      </c>
      <c r="CG164" t="e">
        <f t="shared" si="113"/>
        <v>#REF!</v>
      </c>
      <c r="CH164" t="e">
        <f t="shared" si="113"/>
        <v>#REF!</v>
      </c>
      <c r="CI164" t="e">
        <f t="shared" si="113"/>
        <v>#REF!</v>
      </c>
      <c r="CJ164" t="e">
        <f t="shared" si="113"/>
        <v>#REF!</v>
      </c>
      <c r="CK164" t="e">
        <f t="shared" si="113"/>
        <v>#REF!</v>
      </c>
      <c r="CL164" t="e">
        <f t="shared" si="113"/>
        <v>#REF!</v>
      </c>
      <c r="CM164" t="e">
        <f t="shared" si="110"/>
        <v>#REF!</v>
      </c>
      <c r="CN164" t="e">
        <f t="shared" si="110"/>
        <v>#REF!</v>
      </c>
      <c r="CO164" t="e">
        <f t="shared" si="110"/>
        <v>#REF!</v>
      </c>
      <c r="CP164" t="e">
        <f t="shared" si="110"/>
        <v>#REF!</v>
      </c>
      <c r="CQ164" t="e">
        <f t="shared" si="110"/>
        <v>#REF!</v>
      </c>
      <c r="CR164" t="e">
        <f t="shared" si="110"/>
        <v>#REF!</v>
      </c>
      <c r="CS164" t="e">
        <f t="shared" si="110"/>
        <v>#REF!</v>
      </c>
      <c r="CT164" t="e">
        <f t="shared" si="110"/>
        <v>#REF!</v>
      </c>
      <c r="CU164" t="e">
        <f t="shared" si="110"/>
        <v>#REF!</v>
      </c>
      <c r="CV164" t="e">
        <f t="shared" si="110"/>
        <v>#REF!</v>
      </c>
      <c r="CW164" t="e">
        <f t="shared" si="126"/>
        <v>#REF!</v>
      </c>
      <c r="CX164" t="e">
        <f t="shared" si="126"/>
        <v>#REF!</v>
      </c>
      <c r="CY164" t="e">
        <f t="shared" si="126"/>
        <v>#REF!</v>
      </c>
      <c r="CZ164" t="e">
        <f t="shared" si="126"/>
        <v>#REF!</v>
      </c>
      <c r="DA164" t="e">
        <f t="shared" si="126"/>
        <v>#REF!</v>
      </c>
      <c r="DB164" t="e">
        <f t="shared" si="126"/>
        <v>#REF!</v>
      </c>
      <c r="DC164" t="e">
        <f t="shared" si="126"/>
        <v>#REF!</v>
      </c>
      <c r="DD164" t="e">
        <f t="shared" si="126"/>
        <v>#REF!</v>
      </c>
      <c r="DE164" t="e">
        <f t="shared" si="126"/>
        <v>#REF!</v>
      </c>
      <c r="DF164" t="e">
        <f t="shared" si="126"/>
        <v>#REF!</v>
      </c>
      <c r="DG164" t="e">
        <f t="shared" si="126"/>
        <v>#REF!</v>
      </c>
      <c r="DH164" t="e">
        <f t="shared" si="126"/>
        <v>#REF!</v>
      </c>
      <c r="DI164" t="e">
        <f t="shared" si="126"/>
        <v>#REF!</v>
      </c>
      <c r="DJ164" t="e">
        <f t="shared" si="102"/>
        <v>#REF!</v>
      </c>
      <c r="DK164" t="e">
        <f t="shared" si="102"/>
        <v>#REF!</v>
      </c>
      <c r="DL164" t="e">
        <f t="shared" si="102"/>
        <v>#REF!</v>
      </c>
      <c r="DM164" t="e">
        <f t="shared" si="102"/>
        <v>#REF!</v>
      </c>
      <c r="DN164" t="e">
        <f t="shared" si="102"/>
        <v>#REF!</v>
      </c>
      <c r="DO164" t="e">
        <f t="shared" si="102"/>
        <v>#REF!</v>
      </c>
      <c r="DP164" t="e">
        <f t="shared" si="102"/>
        <v>#REF!</v>
      </c>
      <c r="DQ164" t="e">
        <f t="shared" si="123"/>
        <v>#REF!</v>
      </c>
      <c r="DR164" t="e">
        <f t="shared" si="123"/>
        <v>#REF!</v>
      </c>
      <c r="DS164" t="e">
        <f t="shared" si="123"/>
        <v>#REF!</v>
      </c>
      <c r="DT164" t="e">
        <f t="shared" si="123"/>
        <v>#REF!</v>
      </c>
      <c r="DU164" t="e">
        <f t="shared" si="123"/>
        <v>#REF!</v>
      </c>
      <c r="DV164" t="e">
        <f t="shared" si="123"/>
        <v>#REF!</v>
      </c>
      <c r="DW164" t="e">
        <f t="shared" si="123"/>
        <v>#REF!</v>
      </c>
      <c r="DX164" t="e">
        <f t="shared" si="123"/>
        <v>#REF!</v>
      </c>
      <c r="DY164" t="e">
        <f t="shared" si="123"/>
        <v>#REF!</v>
      </c>
      <c r="DZ164" t="e">
        <f t="shared" si="121"/>
        <v>#REF!</v>
      </c>
      <c r="EA164" t="e">
        <f t="shared" si="121"/>
        <v>#REF!</v>
      </c>
      <c r="EB164" t="e">
        <f t="shared" si="121"/>
        <v>#REF!</v>
      </c>
      <c r="EC164" t="e">
        <f t="shared" si="121"/>
        <v>#REF!</v>
      </c>
      <c r="ED164" t="e">
        <f t="shared" si="121"/>
        <v>#REF!</v>
      </c>
      <c r="EE164" t="e">
        <f t="shared" si="121"/>
        <v>#REF!</v>
      </c>
      <c r="EF164" t="e">
        <f t="shared" si="121"/>
        <v>#REF!</v>
      </c>
      <c r="EG164" t="e">
        <f t="shared" si="121"/>
        <v>#REF!</v>
      </c>
      <c r="EH164" t="e">
        <f t="shared" si="121"/>
        <v>#REF!</v>
      </c>
      <c r="EI164" t="e">
        <f t="shared" si="121"/>
        <v>#REF!</v>
      </c>
      <c r="EJ164" t="e">
        <f t="shared" si="121"/>
        <v>#REF!</v>
      </c>
      <c r="EK164" t="e">
        <f t="shared" si="121"/>
        <v>#REF!</v>
      </c>
      <c r="EL164" t="e">
        <f t="shared" si="112"/>
        <v>#REF!</v>
      </c>
      <c r="EM164" t="e">
        <f t="shared" si="112"/>
        <v>#REF!</v>
      </c>
    </row>
    <row r="165" spans="1:143" x14ac:dyDescent="0.4">
      <c r="A165" t="str">
        <f t="shared" si="120"/>
        <v>X</v>
      </c>
      <c r="B165">
        <v>162</v>
      </c>
      <c r="C165" t="e" cm="1">
        <f t="array" ref="C165">INDEX(auto_Series_Code,B165)</f>
        <v>#REF!</v>
      </c>
      <c r="D165" t="e">
        <f t="shared" si="118"/>
        <v>#REF!</v>
      </c>
      <c r="E165" t="e">
        <f t="shared" si="118"/>
        <v>#REF!</v>
      </c>
      <c r="F165" t="e">
        <f t="shared" si="118"/>
        <v>#REF!</v>
      </c>
      <c r="G165" t="e">
        <f t="shared" si="118"/>
        <v>#REF!</v>
      </c>
      <c r="H165" t="e">
        <f t="shared" si="118"/>
        <v>#REF!</v>
      </c>
      <c r="I165" t="e">
        <f t="shared" si="118"/>
        <v>#REF!</v>
      </c>
      <c r="J165" t="e">
        <f t="shared" si="118"/>
        <v>#REF!</v>
      </c>
      <c r="K165" t="e">
        <f t="shared" si="118"/>
        <v>#REF!</v>
      </c>
      <c r="L165" t="e">
        <f t="shared" si="118"/>
        <v>#REF!</v>
      </c>
      <c r="M165" t="e">
        <f t="shared" si="118"/>
        <v>#REF!</v>
      </c>
      <c r="N165" t="e">
        <f t="shared" si="118"/>
        <v>#REF!</v>
      </c>
      <c r="O165" t="e">
        <f t="shared" si="118"/>
        <v>#REF!</v>
      </c>
      <c r="P165" t="e">
        <f t="shared" si="118"/>
        <v>#REF!</v>
      </c>
      <c r="Q165" t="e">
        <f t="shared" si="118"/>
        <v>#REF!</v>
      </c>
      <c r="R165" t="e">
        <f t="shared" si="118"/>
        <v>#REF!</v>
      </c>
      <c r="S165" t="e">
        <f t="shared" si="118"/>
        <v>#REF!</v>
      </c>
      <c r="T165" t="e">
        <f t="shared" si="116"/>
        <v>#REF!</v>
      </c>
      <c r="U165" t="e">
        <f t="shared" si="116"/>
        <v>#REF!</v>
      </c>
      <c r="V165" t="e">
        <f t="shared" si="116"/>
        <v>#REF!</v>
      </c>
      <c r="W165" t="e">
        <f t="shared" si="116"/>
        <v>#REF!</v>
      </c>
      <c r="X165" t="e">
        <f t="shared" si="105"/>
        <v>#REF!</v>
      </c>
      <c r="Y165" t="e">
        <f t="shared" si="105"/>
        <v>#REF!</v>
      </c>
      <c r="Z165" t="e">
        <f t="shared" si="105"/>
        <v>#REF!</v>
      </c>
      <c r="AA165" t="e">
        <f t="shared" si="105"/>
        <v>#REF!</v>
      </c>
      <c r="AB165" t="e">
        <f t="shared" si="105"/>
        <v>#REF!</v>
      </c>
      <c r="AC165" t="e">
        <f t="shared" si="105"/>
        <v>#REF!</v>
      </c>
      <c r="AD165" t="e">
        <f t="shared" ref="AD165:AS186" si="127">MATCH(CONCATENATE(AD$3,"_",$C165),auto_DataFlat_UID,0)</f>
        <v>#REF!</v>
      </c>
      <c r="AE165" t="e">
        <f t="shared" si="127"/>
        <v>#REF!</v>
      </c>
      <c r="AF165" t="e">
        <f t="shared" si="127"/>
        <v>#REF!</v>
      </c>
      <c r="AG165" t="e">
        <f t="shared" si="127"/>
        <v>#REF!</v>
      </c>
      <c r="AH165" t="e">
        <f t="shared" si="127"/>
        <v>#REF!</v>
      </c>
      <c r="AI165" t="e">
        <f t="shared" si="127"/>
        <v>#REF!</v>
      </c>
      <c r="AJ165" t="e">
        <f t="shared" si="127"/>
        <v>#REF!</v>
      </c>
      <c r="AK165" t="e">
        <f t="shared" si="127"/>
        <v>#REF!</v>
      </c>
      <c r="AL165" t="e">
        <f t="shared" si="127"/>
        <v>#REF!</v>
      </c>
      <c r="AM165" t="e">
        <f t="shared" si="127"/>
        <v>#REF!</v>
      </c>
      <c r="AN165" t="e">
        <f t="shared" si="127"/>
        <v>#REF!</v>
      </c>
      <c r="AO165" t="e">
        <f t="shared" si="127"/>
        <v>#REF!</v>
      </c>
      <c r="AP165" t="e">
        <f t="shared" si="127"/>
        <v>#REF!</v>
      </c>
      <c r="AQ165" t="e">
        <f t="shared" si="127"/>
        <v>#REF!</v>
      </c>
      <c r="AR165" t="e">
        <f t="shared" si="117"/>
        <v>#REF!</v>
      </c>
      <c r="AS165" t="e">
        <f t="shared" si="117"/>
        <v>#REF!</v>
      </c>
      <c r="AT165" t="e">
        <f t="shared" si="117"/>
        <v>#REF!</v>
      </c>
      <c r="AU165" t="e">
        <f t="shared" si="117"/>
        <v>#REF!</v>
      </c>
      <c r="AV165" t="e">
        <f t="shared" si="117"/>
        <v>#REF!</v>
      </c>
      <c r="AW165" t="e">
        <f t="shared" si="117"/>
        <v>#REF!</v>
      </c>
      <c r="AX165" t="e">
        <f t="shared" si="117"/>
        <v>#REF!</v>
      </c>
      <c r="AY165" t="e">
        <f t="shared" si="114"/>
        <v>#REF!</v>
      </c>
      <c r="AZ165" t="e">
        <f t="shared" si="114"/>
        <v>#REF!</v>
      </c>
      <c r="BA165" t="e">
        <f t="shared" si="114"/>
        <v>#REF!</v>
      </c>
      <c r="BB165" t="e">
        <f t="shared" si="114"/>
        <v>#REF!</v>
      </c>
      <c r="BC165" t="e">
        <f t="shared" si="114"/>
        <v>#REF!</v>
      </c>
      <c r="BD165" t="e">
        <f t="shared" si="114"/>
        <v>#REF!</v>
      </c>
      <c r="BE165" t="e">
        <f t="shared" si="114"/>
        <v>#REF!</v>
      </c>
      <c r="BF165" t="e">
        <f t="shared" si="114"/>
        <v>#REF!</v>
      </c>
      <c r="BG165" t="e">
        <f t="shared" si="114"/>
        <v>#REF!</v>
      </c>
      <c r="BH165" t="e">
        <f t="shared" si="114"/>
        <v>#REF!</v>
      </c>
      <c r="BI165" t="e">
        <f t="shared" si="114"/>
        <v>#REF!</v>
      </c>
      <c r="BJ165" t="e">
        <f t="shared" si="114"/>
        <v>#REF!</v>
      </c>
      <c r="BK165" t="e">
        <f t="shared" si="114"/>
        <v>#REF!</v>
      </c>
      <c r="BL165" t="e">
        <f t="shared" si="124"/>
        <v>#REF!</v>
      </c>
      <c r="BM165" t="e">
        <f t="shared" si="124"/>
        <v>#REF!</v>
      </c>
      <c r="BN165" t="e">
        <f t="shared" si="124"/>
        <v>#REF!</v>
      </c>
      <c r="BO165" t="e">
        <f t="shared" si="124"/>
        <v>#REF!</v>
      </c>
      <c r="BP165" t="e">
        <f t="shared" si="124"/>
        <v>#REF!</v>
      </c>
      <c r="BQ165" t="e">
        <f t="shared" si="124"/>
        <v>#REF!</v>
      </c>
      <c r="BR165" t="e">
        <f t="shared" si="124"/>
        <v>#REF!</v>
      </c>
      <c r="BS165" t="e">
        <f t="shared" si="124"/>
        <v>#REF!</v>
      </c>
      <c r="BT165" t="e">
        <f t="shared" si="124"/>
        <v>#REF!</v>
      </c>
      <c r="BU165" t="e">
        <f t="shared" si="124"/>
        <v>#REF!</v>
      </c>
      <c r="BV165" t="e">
        <f t="shared" si="122"/>
        <v>#REF!</v>
      </c>
      <c r="BW165" t="e">
        <f t="shared" si="122"/>
        <v>#REF!</v>
      </c>
      <c r="BX165" t="e">
        <f t="shared" si="122"/>
        <v>#REF!</v>
      </c>
      <c r="BY165" t="e">
        <f t="shared" si="122"/>
        <v>#REF!</v>
      </c>
      <c r="BZ165" t="e">
        <f t="shared" si="122"/>
        <v>#REF!</v>
      </c>
      <c r="CA165" t="e">
        <f t="shared" si="122"/>
        <v>#REF!</v>
      </c>
      <c r="CB165" t="e">
        <f t="shared" si="122"/>
        <v>#REF!</v>
      </c>
      <c r="CC165" t="e">
        <f t="shared" si="122"/>
        <v>#REF!</v>
      </c>
      <c r="CD165" t="e">
        <f t="shared" si="113"/>
        <v>#REF!</v>
      </c>
      <c r="CE165" t="e">
        <f t="shared" si="113"/>
        <v>#REF!</v>
      </c>
      <c r="CF165" t="e">
        <f t="shared" si="113"/>
        <v>#REF!</v>
      </c>
      <c r="CG165" t="e">
        <f t="shared" si="113"/>
        <v>#REF!</v>
      </c>
      <c r="CH165" t="e">
        <f t="shared" si="113"/>
        <v>#REF!</v>
      </c>
      <c r="CI165" t="e">
        <f t="shared" si="113"/>
        <v>#REF!</v>
      </c>
      <c r="CJ165" t="e">
        <f t="shared" si="113"/>
        <v>#REF!</v>
      </c>
      <c r="CK165" t="e">
        <f t="shared" si="113"/>
        <v>#REF!</v>
      </c>
      <c r="CL165" t="e">
        <f t="shared" si="113"/>
        <v>#REF!</v>
      </c>
      <c r="CM165" t="e">
        <f t="shared" si="110"/>
        <v>#REF!</v>
      </c>
      <c r="CN165" t="e">
        <f t="shared" si="110"/>
        <v>#REF!</v>
      </c>
      <c r="CO165" t="e">
        <f t="shared" si="110"/>
        <v>#REF!</v>
      </c>
      <c r="CP165" t="e">
        <f t="shared" si="110"/>
        <v>#REF!</v>
      </c>
      <c r="CQ165" t="e">
        <f t="shared" si="110"/>
        <v>#REF!</v>
      </c>
      <c r="CR165" t="e">
        <f t="shared" si="110"/>
        <v>#REF!</v>
      </c>
      <c r="CS165" t="e">
        <f t="shared" si="110"/>
        <v>#REF!</v>
      </c>
      <c r="CT165" t="e">
        <f t="shared" si="110"/>
        <v>#REF!</v>
      </c>
      <c r="CU165" t="e">
        <f t="shared" si="110"/>
        <v>#REF!</v>
      </c>
      <c r="CV165" t="e">
        <f t="shared" si="110"/>
        <v>#REF!</v>
      </c>
      <c r="CW165" t="e">
        <f t="shared" si="126"/>
        <v>#REF!</v>
      </c>
      <c r="CX165" t="e">
        <f t="shared" si="126"/>
        <v>#REF!</v>
      </c>
      <c r="CY165" t="e">
        <f t="shared" si="126"/>
        <v>#REF!</v>
      </c>
      <c r="CZ165" t="e">
        <f t="shared" si="126"/>
        <v>#REF!</v>
      </c>
      <c r="DA165" t="e">
        <f t="shared" si="126"/>
        <v>#REF!</v>
      </c>
      <c r="DB165" t="e">
        <f t="shared" si="126"/>
        <v>#REF!</v>
      </c>
      <c r="DC165" t="e">
        <f t="shared" si="126"/>
        <v>#REF!</v>
      </c>
      <c r="DD165" t="e">
        <f t="shared" si="126"/>
        <v>#REF!</v>
      </c>
      <c r="DE165" t="e">
        <f t="shared" si="126"/>
        <v>#REF!</v>
      </c>
      <c r="DF165" t="e">
        <f t="shared" si="126"/>
        <v>#REF!</v>
      </c>
      <c r="DG165" t="e">
        <f t="shared" si="126"/>
        <v>#REF!</v>
      </c>
      <c r="DH165" t="e">
        <f t="shared" si="126"/>
        <v>#REF!</v>
      </c>
      <c r="DI165" t="e">
        <f t="shared" si="126"/>
        <v>#REF!</v>
      </c>
      <c r="DJ165" t="e">
        <f t="shared" si="102"/>
        <v>#REF!</v>
      </c>
      <c r="DK165" t="e">
        <f t="shared" si="102"/>
        <v>#REF!</v>
      </c>
      <c r="DL165" t="e">
        <f t="shared" si="102"/>
        <v>#REF!</v>
      </c>
      <c r="DM165" t="e">
        <f t="shared" si="102"/>
        <v>#REF!</v>
      </c>
      <c r="DN165" t="e">
        <f t="shared" si="102"/>
        <v>#REF!</v>
      </c>
      <c r="DO165" t="e">
        <f t="shared" si="102"/>
        <v>#REF!</v>
      </c>
      <c r="DP165" t="e">
        <f t="shared" si="102"/>
        <v>#REF!</v>
      </c>
      <c r="DQ165" t="e">
        <f t="shared" si="123"/>
        <v>#REF!</v>
      </c>
      <c r="DR165" t="e">
        <f t="shared" si="123"/>
        <v>#REF!</v>
      </c>
      <c r="DS165" t="e">
        <f t="shared" si="123"/>
        <v>#REF!</v>
      </c>
      <c r="DT165" t="e">
        <f t="shared" si="123"/>
        <v>#REF!</v>
      </c>
      <c r="DU165" t="e">
        <f t="shared" si="123"/>
        <v>#REF!</v>
      </c>
      <c r="DV165" t="e">
        <f t="shared" si="123"/>
        <v>#REF!</v>
      </c>
      <c r="DW165" t="e">
        <f t="shared" si="123"/>
        <v>#REF!</v>
      </c>
      <c r="DX165" t="e">
        <f t="shared" si="123"/>
        <v>#REF!</v>
      </c>
      <c r="DY165" t="e">
        <f t="shared" si="123"/>
        <v>#REF!</v>
      </c>
      <c r="DZ165" t="e">
        <f t="shared" si="121"/>
        <v>#REF!</v>
      </c>
      <c r="EA165" t="e">
        <f t="shared" si="121"/>
        <v>#REF!</v>
      </c>
      <c r="EB165" t="e">
        <f t="shared" si="121"/>
        <v>#REF!</v>
      </c>
      <c r="EC165" t="e">
        <f t="shared" si="121"/>
        <v>#REF!</v>
      </c>
      <c r="ED165" t="e">
        <f t="shared" si="121"/>
        <v>#REF!</v>
      </c>
      <c r="EE165" t="e">
        <f t="shared" si="121"/>
        <v>#REF!</v>
      </c>
      <c r="EF165" t="e">
        <f t="shared" si="121"/>
        <v>#REF!</v>
      </c>
      <c r="EG165" t="e">
        <f t="shared" si="121"/>
        <v>#REF!</v>
      </c>
      <c r="EH165" t="e">
        <f t="shared" si="121"/>
        <v>#REF!</v>
      </c>
      <c r="EI165" t="e">
        <f t="shared" si="121"/>
        <v>#REF!</v>
      </c>
      <c r="EJ165" t="e">
        <f t="shared" si="121"/>
        <v>#REF!</v>
      </c>
      <c r="EK165" t="e">
        <f t="shared" si="121"/>
        <v>#REF!</v>
      </c>
      <c r="EL165" t="e">
        <f t="shared" si="112"/>
        <v>#REF!</v>
      </c>
      <c r="EM165" t="e">
        <f t="shared" si="112"/>
        <v>#REF!</v>
      </c>
    </row>
    <row r="166" spans="1:143" x14ac:dyDescent="0.4">
      <c r="A166" t="str">
        <f t="shared" si="120"/>
        <v>X</v>
      </c>
      <c r="B166">
        <v>163</v>
      </c>
      <c r="C166" t="e" cm="1">
        <f t="array" ref="C166">INDEX(auto_Series_Code,B166)</f>
        <v>#REF!</v>
      </c>
      <c r="D166" t="e">
        <f t="shared" si="118"/>
        <v>#REF!</v>
      </c>
      <c r="E166" t="e">
        <f t="shared" si="118"/>
        <v>#REF!</v>
      </c>
      <c r="F166" t="e">
        <f t="shared" si="118"/>
        <v>#REF!</v>
      </c>
      <c r="G166" t="e">
        <f t="shared" si="118"/>
        <v>#REF!</v>
      </c>
      <c r="H166" t="e">
        <f t="shared" si="118"/>
        <v>#REF!</v>
      </c>
      <c r="I166" t="e">
        <f t="shared" si="118"/>
        <v>#REF!</v>
      </c>
      <c r="J166" t="e">
        <f t="shared" si="118"/>
        <v>#REF!</v>
      </c>
      <c r="K166" t="e">
        <f t="shared" si="118"/>
        <v>#REF!</v>
      </c>
      <c r="L166" t="e">
        <f t="shared" si="118"/>
        <v>#REF!</v>
      </c>
      <c r="M166" t="e">
        <f t="shared" si="118"/>
        <v>#REF!</v>
      </c>
      <c r="N166" t="e">
        <f t="shared" si="118"/>
        <v>#REF!</v>
      </c>
      <c r="O166" t="e">
        <f t="shared" si="118"/>
        <v>#REF!</v>
      </c>
      <c r="P166" t="e">
        <f t="shared" si="118"/>
        <v>#REF!</v>
      </c>
      <c r="Q166" t="e">
        <f t="shared" si="118"/>
        <v>#REF!</v>
      </c>
      <c r="R166" t="e">
        <f t="shared" si="118"/>
        <v>#REF!</v>
      </c>
      <c r="S166" t="e">
        <f t="shared" si="118"/>
        <v>#REF!</v>
      </c>
      <c r="T166" t="e">
        <f t="shared" si="116"/>
        <v>#REF!</v>
      </c>
      <c r="U166" t="e">
        <f t="shared" si="116"/>
        <v>#REF!</v>
      </c>
      <c r="V166" t="e">
        <f t="shared" si="116"/>
        <v>#REF!</v>
      </c>
      <c r="W166" t="e">
        <f t="shared" si="116"/>
        <v>#REF!</v>
      </c>
      <c r="X166" t="e">
        <f t="shared" si="116"/>
        <v>#REF!</v>
      </c>
      <c r="Y166" t="e">
        <f t="shared" si="116"/>
        <v>#REF!</v>
      </c>
      <c r="Z166" t="e">
        <f t="shared" si="116"/>
        <v>#REF!</v>
      </c>
      <c r="AA166" t="e">
        <f t="shared" si="116"/>
        <v>#REF!</v>
      </c>
      <c r="AB166" t="e">
        <f t="shared" si="116"/>
        <v>#REF!</v>
      </c>
      <c r="AC166" t="e">
        <f t="shared" si="116"/>
        <v>#REF!</v>
      </c>
      <c r="AD166" t="e">
        <f t="shared" si="116"/>
        <v>#REF!</v>
      </c>
      <c r="AE166" t="e">
        <f t="shared" si="116"/>
        <v>#REF!</v>
      </c>
      <c r="AF166" t="e">
        <f t="shared" si="116"/>
        <v>#REF!</v>
      </c>
      <c r="AG166" t="e">
        <f t="shared" si="116"/>
        <v>#REF!</v>
      </c>
      <c r="AH166" t="e">
        <f t="shared" si="127"/>
        <v>#REF!</v>
      </c>
      <c r="AI166" t="e">
        <f t="shared" si="127"/>
        <v>#REF!</v>
      </c>
      <c r="AJ166" t="e">
        <f t="shared" si="127"/>
        <v>#REF!</v>
      </c>
      <c r="AK166" t="e">
        <f t="shared" si="127"/>
        <v>#REF!</v>
      </c>
      <c r="AL166" t="e">
        <f t="shared" si="127"/>
        <v>#REF!</v>
      </c>
      <c r="AM166" t="e">
        <f t="shared" si="127"/>
        <v>#REF!</v>
      </c>
      <c r="AN166" t="e">
        <f t="shared" si="127"/>
        <v>#REF!</v>
      </c>
      <c r="AO166" t="e">
        <f t="shared" si="127"/>
        <v>#REF!</v>
      </c>
      <c r="AP166" t="e">
        <f t="shared" si="127"/>
        <v>#REF!</v>
      </c>
      <c r="AQ166" t="e">
        <f t="shared" si="127"/>
        <v>#REF!</v>
      </c>
      <c r="AR166" t="e">
        <f t="shared" si="117"/>
        <v>#REF!</v>
      </c>
      <c r="AS166" t="e">
        <f t="shared" si="117"/>
        <v>#REF!</v>
      </c>
      <c r="AT166" t="e">
        <f t="shared" si="117"/>
        <v>#REF!</v>
      </c>
      <c r="AU166" t="e">
        <f t="shared" si="117"/>
        <v>#REF!</v>
      </c>
      <c r="AV166" t="e">
        <f t="shared" si="117"/>
        <v>#REF!</v>
      </c>
      <c r="AW166" t="e">
        <f t="shared" si="117"/>
        <v>#REF!</v>
      </c>
      <c r="AX166" t="e">
        <f t="shared" si="117"/>
        <v>#REF!</v>
      </c>
      <c r="AY166" t="e">
        <f t="shared" si="114"/>
        <v>#REF!</v>
      </c>
      <c r="AZ166" t="e">
        <f t="shared" si="114"/>
        <v>#REF!</v>
      </c>
      <c r="BA166" t="e">
        <f t="shared" si="114"/>
        <v>#REF!</v>
      </c>
      <c r="BB166" t="e">
        <f t="shared" si="114"/>
        <v>#REF!</v>
      </c>
      <c r="BC166" t="e">
        <f t="shared" si="114"/>
        <v>#REF!</v>
      </c>
      <c r="BD166" t="e">
        <f t="shared" si="114"/>
        <v>#REF!</v>
      </c>
      <c r="BE166" t="e">
        <f t="shared" si="114"/>
        <v>#REF!</v>
      </c>
      <c r="BF166" t="e">
        <f t="shared" si="114"/>
        <v>#REF!</v>
      </c>
      <c r="BG166" t="e">
        <f t="shared" si="114"/>
        <v>#REF!</v>
      </c>
      <c r="BH166" t="e">
        <f t="shared" si="114"/>
        <v>#REF!</v>
      </c>
      <c r="BI166" t="e">
        <f t="shared" si="114"/>
        <v>#REF!</v>
      </c>
      <c r="BJ166" t="e">
        <f t="shared" si="114"/>
        <v>#REF!</v>
      </c>
      <c r="BK166" t="e">
        <f t="shared" si="114"/>
        <v>#REF!</v>
      </c>
      <c r="BL166" t="e">
        <f t="shared" si="124"/>
        <v>#REF!</v>
      </c>
      <c r="BM166" t="e">
        <f t="shared" si="124"/>
        <v>#REF!</v>
      </c>
      <c r="BN166" t="e">
        <f t="shared" si="124"/>
        <v>#REF!</v>
      </c>
      <c r="BO166" t="e">
        <f t="shared" si="124"/>
        <v>#REF!</v>
      </c>
      <c r="BP166" t="e">
        <f t="shared" si="124"/>
        <v>#REF!</v>
      </c>
      <c r="BQ166" t="e">
        <f t="shared" si="124"/>
        <v>#REF!</v>
      </c>
      <c r="BR166" t="e">
        <f t="shared" si="124"/>
        <v>#REF!</v>
      </c>
      <c r="BS166" t="e">
        <f t="shared" si="124"/>
        <v>#REF!</v>
      </c>
      <c r="BT166" t="e">
        <f t="shared" si="124"/>
        <v>#REF!</v>
      </c>
      <c r="BU166" t="e">
        <f t="shared" si="124"/>
        <v>#REF!</v>
      </c>
      <c r="BV166" t="e">
        <f t="shared" si="122"/>
        <v>#REF!</v>
      </c>
      <c r="BW166" t="e">
        <f t="shared" si="122"/>
        <v>#REF!</v>
      </c>
      <c r="BX166" t="e">
        <f t="shared" si="122"/>
        <v>#REF!</v>
      </c>
      <c r="BY166" t="e">
        <f t="shared" si="122"/>
        <v>#REF!</v>
      </c>
      <c r="BZ166" t="e">
        <f t="shared" si="122"/>
        <v>#REF!</v>
      </c>
      <c r="CA166" t="e">
        <f t="shared" si="122"/>
        <v>#REF!</v>
      </c>
      <c r="CB166" t="e">
        <f t="shared" si="122"/>
        <v>#REF!</v>
      </c>
      <c r="CC166" t="e">
        <f t="shared" si="122"/>
        <v>#REF!</v>
      </c>
      <c r="CD166" t="e">
        <f t="shared" si="113"/>
        <v>#REF!</v>
      </c>
      <c r="CE166" t="e">
        <f t="shared" si="113"/>
        <v>#REF!</v>
      </c>
      <c r="CF166" t="e">
        <f t="shared" si="113"/>
        <v>#REF!</v>
      </c>
      <c r="CG166" t="e">
        <f t="shared" si="113"/>
        <v>#REF!</v>
      </c>
      <c r="CH166" t="e">
        <f t="shared" si="113"/>
        <v>#REF!</v>
      </c>
      <c r="CI166" t="e">
        <f t="shared" si="113"/>
        <v>#REF!</v>
      </c>
      <c r="CJ166" t="e">
        <f t="shared" si="113"/>
        <v>#REF!</v>
      </c>
      <c r="CK166" t="e">
        <f t="shared" si="113"/>
        <v>#REF!</v>
      </c>
      <c r="CL166" t="e">
        <f t="shared" si="113"/>
        <v>#REF!</v>
      </c>
      <c r="CM166" t="e">
        <f t="shared" si="110"/>
        <v>#REF!</v>
      </c>
      <c r="CN166" t="e">
        <f t="shared" si="110"/>
        <v>#REF!</v>
      </c>
      <c r="CO166" t="e">
        <f t="shared" si="110"/>
        <v>#REF!</v>
      </c>
      <c r="CP166" t="e">
        <f t="shared" si="110"/>
        <v>#REF!</v>
      </c>
      <c r="CQ166" t="e">
        <f t="shared" si="110"/>
        <v>#REF!</v>
      </c>
      <c r="CR166" t="e">
        <f t="shared" si="110"/>
        <v>#REF!</v>
      </c>
      <c r="CS166" t="e">
        <f t="shared" si="110"/>
        <v>#REF!</v>
      </c>
      <c r="CT166" t="e">
        <f t="shared" si="110"/>
        <v>#REF!</v>
      </c>
      <c r="CU166" t="e">
        <f t="shared" si="110"/>
        <v>#REF!</v>
      </c>
      <c r="CV166" t="e">
        <f t="shared" si="110"/>
        <v>#REF!</v>
      </c>
      <c r="CW166" t="e">
        <f t="shared" si="126"/>
        <v>#REF!</v>
      </c>
      <c r="CX166" t="e">
        <f t="shared" si="126"/>
        <v>#REF!</v>
      </c>
      <c r="CY166" t="e">
        <f t="shared" si="126"/>
        <v>#REF!</v>
      </c>
      <c r="CZ166" t="e">
        <f t="shared" si="126"/>
        <v>#REF!</v>
      </c>
      <c r="DA166" t="e">
        <f t="shared" si="126"/>
        <v>#REF!</v>
      </c>
      <c r="DB166" t="e">
        <f t="shared" si="126"/>
        <v>#REF!</v>
      </c>
      <c r="DC166" t="e">
        <f t="shared" si="126"/>
        <v>#REF!</v>
      </c>
      <c r="DD166" t="e">
        <f t="shared" si="126"/>
        <v>#REF!</v>
      </c>
      <c r="DE166" t="e">
        <f t="shared" si="126"/>
        <v>#REF!</v>
      </c>
      <c r="DF166" t="e">
        <f t="shared" si="126"/>
        <v>#REF!</v>
      </c>
      <c r="DG166" t="e">
        <f t="shared" si="126"/>
        <v>#REF!</v>
      </c>
      <c r="DH166" t="e">
        <f t="shared" si="126"/>
        <v>#REF!</v>
      </c>
      <c r="DI166" t="e">
        <f t="shared" si="126"/>
        <v>#REF!</v>
      </c>
      <c r="DJ166" t="e">
        <f t="shared" si="102"/>
        <v>#REF!</v>
      </c>
      <c r="DK166" t="e">
        <f t="shared" ref="DK166:DZ190" si="128">MATCH(CONCATENATE(DK$3,"_",$C166),auto_DataFlat_UID,0)</f>
        <v>#REF!</v>
      </c>
      <c r="DL166" t="e">
        <f t="shared" si="128"/>
        <v>#REF!</v>
      </c>
      <c r="DM166" t="e">
        <f t="shared" si="128"/>
        <v>#REF!</v>
      </c>
      <c r="DN166" t="e">
        <f t="shared" si="128"/>
        <v>#REF!</v>
      </c>
      <c r="DO166" t="e">
        <f t="shared" si="128"/>
        <v>#REF!</v>
      </c>
      <c r="DP166" t="e">
        <f t="shared" si="128"/>
        <v>#REF!</v>
      </c>
      <c r="DQ166" t="e">
        <f t="shared" si="128"/>
        <v>#REF!</v>
      </c>
      <c r="DR166" t="e">
        <f t="shared" si="128"/>
        <v>#REF!</v>
      </c>
      <c r="DS166" t="e">
        <f t="shared" si="128"/>
        <v>#REF!</v>
      </c>
      <c r="DT166" t="e">
        <f t="shared" si="128"/>
        <v>#REF!</v>
      </c>
      <c r="DU166" t="e">
        <f t="shared" si="128"/>
        <v>#REF!</v>
      </c>
      <c r="DV166" t="e">
        <f t="shared" si="128"/>
        <v>#REF!</v>
      </c>
      <c r="DW166" t="e">
        <f t="shared" si="128"/>
        <v>#REF!</v>
      </c>
      <c r="DX166" t="e">
        <f t="shared" si="128"/>
        <v>#REF!</v>
      </c>
      <c r="DY166" t="e">
        <f t="shared" si="128"/>
        <v>#REF!</v>
      </c>
      <c r="DZ166" t="e">
        <f t="shared" si="121"/>
        <v>#REF!</v>
      </c>
      <c r="EA166" t="e">
        <f t="shared" si="121"/>
        <v>#REF!</v>
      </c>
      <c r="EB166" t="e">
        <f t="shared" si="121"/>
        <v>#REF!</v>
      </c>
      <c r="EC166" t="e">
        <f t="shared" si="121"/>
        <v>#REF!</v>
      </c>
      <c r="ED166" t="e">
        <f t="shared" si="121"/>
        <v>#REF!</v>
      </c>
      <c r="EE166" t="e">
        <f t="shared" si="121"/>
        <v>#REF!</v>
      </c>
      <c r="EF166" t="e">
        <f t="shared" si="121"/>
        <v>#REF!</v>
      </c>
      <c r="EG166" t="e">
        <f t="shared" si="121"/>
        <v>#REF!</v>
      </c>
      <c r="EH166" t="e">
        <f t="shared" si="121"/>
        <v>#REF!</v>
      </c>
      <c r="EI166" t="e">
        <f t="shared" si="121"/>
        <v>#REF!</v>
      </c>
      <c r="EJ166" t="e">
        <f t="shared" si="121"/>
        <v>#REF!</v>
      </c>
      <c r="EK166" t="e">
        <f t="shared" si="121"/>
        <v>#REF!</v>
      </c>
      <c r="EL166" t="e">
        <f t="shared" si="112"/>
        <v>#REF!</v>
      </c>
      <c r="EM166" t="e">
        <f t="shared" si="112"/>
        <v>#REF!</v>
      </c>
    </row>
    <row r="167" spans="1:143" x14ac:dyDescent="0.4">
      <c r="A167" t="str">
        <f t="shared" si="120"/>
        <v>X</v>
      </c>
      <c r="B167">
        <v>164</v>
      </c>
      <c r="C167" t="e" cm="1">
        <f t="array" ref="C167">INDEX(auto_Series_Code,B167)</f>
        <v>#REF!</v>
      </c>
      <c r="D167" t="e">
        <f t="shared" si="118"/>
        <v>#REF!</v>
      </c>
      <c r="E167" t="e">
        <f t="shared" si="118"/>
        <v>#REF!</v>
      </c>
      <c r="F167" t="e">
        <f t="shared" si="118"/>
        <v>#REF!</v>
      </c>
      <c r="G167" t="e">
        <f t="shared" si="118"/>
        <v>#REF!</v>
      </c>
      <c r="H167" t="e">
        <f t="shared" si="118"/>
        <v>#REF!</v>
      </c>
      <c r="I167" t="e">
        <f t="shared" si="118"/>
        <v>#REF!</v>
      </c>
      <c r="J167" t="e">
        <f t="shared" si="118"/>
        <v>#REF!</v>
      </c>
      <c r="K167" t="e">
        <f t="shared" si="118"/>
        <v>#REF!</v>
      </c>
      <c r="L167" t="e">
        <f t="shared" si="118"/>
        <v>#REF!</v>
      </c>
      <c r="M167" t="e">
        <f t="shared" si="118"/>
        <v>#REF!</v>
      </c>
      <c r="N167" t="e">
        <f t="shared" si="118"/>
        <v>#REF!</v>
      </c>
      <c r="O167" t="e">
        <f t="shared" si="118"/>
        <v>#REF!</v>
      </c>
      <c r="P167" t="e">
        <f t="shared" si="118"/>
        <v>#REF!</v>
      </c>
      <c r="Q167" t="e">
        <f t="shared" si="118"/>
        <v>#REF!</v>
      </c>
      <c r="R167" t="e">
        <f t="shared" si="118"/>
        <v>#REF!</v>
      </c>
      <c r="S167" t="e">
        <f t="shared" ref="S167:W182" si="129">MATCH(CONCATENATE(S$3,"_",$C167),auto_DataFlat_UID,0)</f>
        <v>#REF!</v>
      </c>
      <c r="T167" t="e">
        <f t="shared" si="129"/>
        <v>#REF!</v>
      </c>
      <c r="U167" t="e">
        <f t="shared" si="129"/>
        <v>#REF!</v>
      </c>
      <c r="V167" t="e">
        <f t="shared" si="129"/>
        <v>#REF!</v>
      </c>
      <c r="W167" t="e">
        <f t="shared" si="129"/>
        <v>#REF!</v>
      </c>
      <c r="X167" t="e">
        <f t="shared" si="116"/>
        <v>#REF!</v>
      </c>
      <c r="Y167" t="e">
        <f t="shared" si="116"/>
        <v>#REF!</v>
      </c>
      <c r="Z167" t="e">
        <f t="shared" si="116"/>
        <v>#REF!</v>
      </c>
      <c r="AA167" t="e">
        <f t="shared" si="116"/>
        <v>#REF!</v>
      </c>
      <c r="AB167" t="e">
        <f t="shared" si="116"/>
        <v>#REF!</v>
      </c>
      <c r="AC167" t="e">
        <f t="shared" si="116"/>
        <v>#REF!</v>
      </c>
      <c r="AD167" t="e">
        <f t="shared" si="116"/>
        <v>#REF!</v>
      </c>
      <c r="AE167" t="e">
        <f t="shared" si="116"/>
        <v>#REF!</v>
      </c>
      <c r="AF167" t="e">
        <f t="shared" si="116"/>
        <v>#REF!</v>
      </c>
      <c r="AG167" t="e">
        <f t="shared" si="116"/>
        <v>#REF!</v>
      </c>
      <c r="AH167" t="e">
        <f t="shared" si="127"/>
        <v>#REF!</v>
      </c>
      <c r="AI167" t="e">
        <f t="shared" si="127"/>
        <v>#REF!</v>
      </c>
      <c r="AJ167" t="e">
        <f t="shared" si="127"/>
        <v>#REF!</v>
      </c>
      <c r="AK167" t="e">
        <f t="shared" si="127"/>
        <v>#REF!</v>
      </c>
      <c r="AL167" t="e">
        <f t="shared" si="127"/>
        <v>#REF!</v>
      </c>
      <c r="AM167" t="e">
        <f t="shared" si="127"/>
        <v>#REF!</v>
      </c>
      <c r="AN167" t="e">
        <f t="shared" si="127"/>
        <v>#REF!</v>
      </c>
      <c r="AO167" t="e">
        <f t="shared" si="127"/>
        <v>#REF!</v>
      </c>
      <c r="AP167" t="e">
        <f t="shared" si="127"/>
        <v>#REF!</v>
      </c>
      <c r="AQ167" t="e">
        <f t="shared" si="127"/>
        <v>#REF!</v>
      </c>
      <c r="AR167" t="e">
        <f t="shared" si="117"/>
        <v>#REF!</v>
      </c>
      <c r="AS167" t="e">
        <f t="shared" si="117"/>
        <v>#REF!</v>
      </c>
      <c r="AT167" t="e">
        <f t="shared" si="117"/>
        <v>#REF!</v>
      </c>
      <c r="AU167" t="e">
        <f t="shared" si="117"/>
        <v>#REF!</v>
      </c>
      <c r="AV167" t="e">
        <f t="shared" si="117"/>
        <v>#REF!</v>
      </c>
      <c r="AW167" t="e">
        <f t="shared" si="117"/>
        <v>#REF!</v>
      </c>
      <c r="AX167" t="e">
        <f t="shared" si="117"/>
        <v>#REF!</v>
      </c>
      <c r="AY167" t="e">
        <f t="shared" si="114"/>
        <v>#REF!</v>
      </c>
      <c r="AZ167" t="e">
        <f t="shared" si="114"/>
        <v>#REF!</v>
      </c>
      <c r="BA167" t="e">
        <f t="shared" si="114"/>
        <v>#REF!</v>
      </c>
      <c r="BB167" t="e">
        <f t="shared" si="114"/>
        <v>#REF!</v>
      </c>
      <c r="BC167" t="e">
        <f t="shared" si="114"/>
        <v>#REF!</v>
      </c>
      <c r="BD167" t="e">
        <f t="shared" si="114"/>
        <v>#REF!</v>
      </c>
      <c r="BE167" t="e">
        <f t="shared" si="114"/>
        <v>#REF!</v>
      </c>
      <c r="BF167" t="e">
        <f t="shared" si="114"/>
        <v>#REF!</v>
      </c>
      <c r="BG167" t="e">
        <f t="shared" si="114"/>
        <v>#REF!</v>
      </c>
      <c r="BH167" t="e">
        <f t="shared" si="114"/>
        <v>#REF!</v>
      </c>
      <c r="BI167" t="e">
        <f t="shared" si="114"/>
        <v>#REF!</v>
      </c>
      <c r="BJ167" t="e">
        <f t="shared" si="114"/>
        <v>#REF!</v>
      </c>
      <c r="BK167" t="e">
        <f t="shared" si="114"/>
        <v>#REF!</v>
      </c>
      <c r="BL167" t="e">
        <f t="shared" si="124"/>
        <v>#REF!</v>
      </c>
      <c r="BM167" t="e">
        <f t="shared" si="124"/>
        <v>#REF!</v>
      </c>
      <c r="BN167" t="e">
        <f t="shared" si="124"/>
        <v>#REF!</v>
      </c>
      <c r="BO167" t="e">
        <f t="shared" si="124"/>
        <v>#REF!</v>
      </c>
      <c r="BP167" t="e">
        <f t="shared" si="124"/>
        <v>#REF!</v>
      </c>
      <c r="BQ167" t="e">
        <f t="shared" si="124"/>
        <v>#REF!</v>
      </c>
      <c r="BR167" t="e">
        <f t="shared" si="124"/>
        <v>#REF!</v>
      </c>
      <c r="BS167" t="e">
        <f t="shared" si="124"/>
        <v>#REF!</v>
      </c>
      <c r="BT167" t="e">
        <f t="shared" si="124"/>
        <v>#REF!</v>
      </c>
      <c r="BU167" t="e">
        <f t="shared" si="124"/>
        <v>#REF!</v>
      </c>
      <c r="BV167" t="e">
        <f t="shared" si="122"/>
        <v>#REF!</v>
      </c>
      <c r="BW167" t="e">
        <f t="shared" si="122"/>
        <v>#REF!</v>
      </c>
      <c r="BX167" t="e">
        <f t="shared" si="122"/>
        <v>#REF!</v>
      </c>
      <c r="BY167" t="e">
        <f t="shared" si="122"/>
        <v>#REF!</v>
      </c>
      <c r="BZ167" t="e">
        <f t="shared" si="122"/>
        <v>#REF!</v>
      </c>
      <c r="CA167" t="e">
        <f t="shared" si="122"/>
        <v>#REF!</v>
      </c>
      <c r="CB167" t="e">
        <f t="shared" si="122"/>
        <v>#REF!</v>
      </c>
      <c r="CC167" t="e">
        <f t="shared" si="122"/>
        <v>#REF!</v>
      </c>
      <c r="CD167" t="e">
        <f t="shared" si="113"/>
        <v>#REF!</v>
      </c>
      <c r="CE167" t="e">
        <f t="shared" si="113"/>
        <v>#REF!</v>
      </c>
      <c r="CF167" t="e">
        <f t="shared" si="113"/>
        <v>#REF!</v>
      </c>
      <c r="CG167" t="e">
        <f t="shared" si="113"/>
        <v>#REF!</v>
      </c>
      <c r="CH167" t="e">
        <f t="shared" si="113"/>
        <v>#REF!</v>
      </c>
      <c r="CI167" t="e">
        <f t="shared" si="113"/>
        <v>#REF!</v>
      </c>
      <c r="CJ167" t="e">
        <f t="shared" si="113"/>
        <v>#REF!</v>
      </c>
      <c r="CK167" t="e">
        <f t="shared" si="113"/>
        <v>#REF!</v>
      </c>
      <c r="CL167" t="e">
        <f t="shared" si="113"/>
        <v>#REF!</v>
      </c>
      <c r="CM167" t="e">
        <f t="shared" si="110"/>
        <v>#REF!</v>
      </c>
      <c r="CN167" t="e">
        <f t="shared" si="110"/>
        <v>#REF!</v>
      </c>
      <c r="CO167" t="e">
        <f t="shared" si="110"/>
        <v>#REF!</v>
      </c>
      <c r="CP167" t="e">
        <f t="shared" si="110"/>
        <v>#REF!</v>
      </c>
      <c r="CQ167" t="e">
        <f t="shared" si="110"/>
        <v>#REF!</v>
      </c>
      <c r="CR167" t="e">
        <f t="shared" si="110"/>
        <v>#REF!</v>
      </c>
      <c r="CS167" t="e">
        <f t="shared" si="110"/>
        <v>#REF!</v>
      </c>
      <c r="CT167" t="e">
        <f t="shared" si="110"/>
        <v>#REF!</v>
      </c>
      <c r="CU167" t="e">
        <f t="shared" si="110"/>
        <v>#REF!</v>
      </c>
      <c r="CV167" t="e">
        <f t="shared" si="110"/>
        <v>#REF!</v>
      </c>
      <c r="CW167" t="e">
        <f t="shared" si="126"/>
        <v>#REF!</v>
      </c>
      <c r="CX167" t="e">
        <f t="shared" si="126"/>
        <v>#REF!</v>
      </c>
      <c r="CY167" t="e">
        <f t="shared" si="126"/>
        <v>#REF!</v>
      </c>
      <c r="CZ167" t="e">
        <f t="shared" si="126"/>
        <v>#REF!</v>
      </c>
      <c r="DA167" t="e">
        <f t="shared" si="126"/>
        <v>#REF!</v>
      </c>
      <c r="DB167" t="e">
        <f t="shared" si="126"/>
        <v>#REF!</v>
      </c>
      <c r="DC167" t="e">
        <f t="shared" si="126"/>
        <v>#REF!</v>
      </c>
      <c r="DD167" t="e">
        <f t="shared" si="126"/>
        <v>#REF!</v>
      </c>
      <c r="DE167" t="e">
        <f t="shared" si="126"/>
        <v>#REF!</v>
      </c>
      <c r="DF167" t="e">
        <f t="shared" si="126"/>
        <v>#REF!</v>
      </c>
      <c r="DG167" t="e">
        <f t="shared" si="126"/>
        <v>#REF!</v>
      </c>
      <c r="DH167" t="e">
        <f t="shared" si="126"/>
        <v>#REF!</v>
      </c>
      <c r="DI167" t="e">
        <f t="shared" si="126"/>
        <v>#REF!</v>
      </c>
      <c r="DJ167" t="e">
        <f t="shared" si="126"/>
        <v>#REF!</v>
      </c>
      <c r="DK167" t="e">
        <f t="shared" si="126"/>
        <v>#REF!</v>
      </c>
      <c r="DL167" t="e">
        <f t="shared" si="126"/>
        <v>#REF!</v>
      </c>
      <c r="DM167" t="e">
        <f t="shared" si="128"/>
        <v>#REF!</v>
      </c>
      <c r="DN167" t="e">
        <f t="shared" si="128"/>
        <v>#REF!</v>
      </c>
      <c r="DO167" t="e">
        <f t="shared" si="128"/>
        <v>#REF!</v>
      </c>
      <c r="DP167" t="e">
        <f t="shared" si="128"/>
        <v>#REF!</v>
      </c>
      <c r="DQ167" t="e">
        <f t="shared" si="128"/>
        <v>#REF!</v>
      </c>
      <c r="DR167" t="e">
        <f t="shared" si="128"/>
        <v>#REF!</v>
      </c>
      <c r="DS167" t="e">
        <f t="shared" si="128"/>
        <v>#REF!</v>
      </c>
      <c r="DT167" t="e">
        <f t="shared" si="128"/>
        <v>#REF!</v>
      </c>
      <c r="DU167" t="e">
        <f t="shared" si="128"/>
        <v>#REF!</v>
      </c>
      <c r="DV167" t="e">
        <f t="shared" si="128"/>
        <v>#REF!</v>
      </c>
      <c r="DW167" t="e">
        <f t="shared" si="128"/>
        <v>#REF!</v>
      </c>
      <c r="DX167" t="e">
        <f t="shared" si="128"/>
        <v>#REF!</v>
      </c>
      <c r="DY167" t="e">
        <f t="shared" si="128"/>
        <v>#REF!</v>
      </c>
      <c r="DZ167" t="e">
        <f t="shared" si="121"/>
        <v>#REF!</v>
      </c>
      <c r="EA167" t="e">
        <f t="shared" si="121"/>
        <v>#REF!</v>
      </c>
      <c r="EB167" t="e">
        <f t="shared" si="121"/>
        <v>#REF!</v>
      </c>
      <c r="EC167" t="e">
        <f t="shared" si="121"/>
        <v>#REF!</v>
      </c>
      <c r="ED167" t="e">
        <f t="shared" si="121"/>
        <v>#REF!</v>
      </c>
      <c r="EE167" t="e">
        <f t="shared" si="121"/>
        <v>#REF!</v>
      </c>
      <c r="EF167" t="e">
        <f t="shared" si="121"/>
        <v>#REF!</v>
      </c>
      <c r="EG167" t="e">
        <f t="shared" si="121"/>
        <v>#REF!</v>
      </c>
      <c r="EH167" t="e">
        <f t="shared" si="121"/>
        <v>#REF!</v>
      </c>
      <c r="EI167" t="e">
        <f t="shared" si="121"/>
        <v>#REF!</v>
      </c>
      <c r="EJ167" t="e">
        <f t="shared" si="121"/>
        <v>#REF!</v>
      </c>
      <c r="EK167" t="e">
        <f t="shared" si="121"/>
        <v>#REF!</v>
      </c>
      <c r="EL167" t="e">
        <f t="shared" si="112"/>
        <v>#REF!</v>
      </c>
      <c r="EM167" t="e">
        <f t="shared" si="112"/>
        <v>#REF!</v>
      </c>
    </row>
    <row r="168" spans="1:143" x14ac:dyDescent="0.4">
      <c r="A168" t="str">
        <f t="shared" si="120"/>
        <v>X</v>
      </c>
      <c r="B168">
        <v>165</v>
      </c>
      <c r="C168" t="e" cm="1">
        <f t="array" ref="C168">INDEX(auto_Series_Code,B168)</f>
        <v>#REF!</v>
      </c>
      <c r="D168" t="e">
        <f t="shared" ref="D168:S183" si="130">MATCH(CONCATENATE(D$3,"_",$C168),auto_DataFlat_UID,0)</f>
        <v>#REF!</v>
      </c>
      <c r="E168" t="e">
        <f t="shared" si="130"/>
        <v>#REF!</v>
      </c>
      <c r="F168" t="e">
        <f t="shared" si="130"/>
        <v>#REF!</v>
      </c>
      <c r="G168" t="e">
        <f t="shared" si="130"/>
        <v>#REF!</v>
      </c>
      <c r="H168" t="e">
        <f t="shared" si="130"/>
        <v>#REF!</v>
      </c>
      <c r="I168" t="e">
        <f t="shared" si="130"/>
        <v>#REF!</v>
      </c>
      <c r="J168" t="e">
        <f t="shared" si="130"/>
        <v>#REF!</v>
      </c>
      <c r="K168" t="e">
        <f t="shared" si="130"/>
        <v>#REF!</v>
      </c>
      <c r="L168" t="e">
        <f t="shared" si="130"/>
        <v>#REF!</v>
      </c>
      <c r="M168" t="e">
        <f t="shared" si="130"/>
        <v>#REF!</v>
      </c>
      <c r="N168" t="e">
        <f t="shared" si="130"/>
        <v>#REF!</v>
      </c>
      <c r="O168" t="e">
        <f t="shared" si="130"/>
        <v>#REF!</v>
      </c>
      <c r="P168" t="e">
        <f t="shared" si="130"/>
        <v>#REF!</v>
      </c>
      <c r="Q168" t="e">
        <f t="shared" si="130"/>
        <v>#REF!</v>
      </c>
      <c r="R168" t="e">
        <f t="shared" si="130"/>
        <v>#REF!</v>
      </c>
      <c r="S168" t="e">
        <f t="shared" si="130"/>
        <v>#REF!</v>
      </c>
      <c r="T168" t="e">
        <f t="shared" si="129"/>
        <v>#REF!</v>
      </c>
      <c r="U168" t="e">
        <f t="shared" si="129"/>
        <v>#REF!</v>
      </c>
      <c r="V168" t="e">
        <f t="shared" si="129"/>
        <v>#REF!</v>
      </c>
      <c r="W168" t="e">
        <f t="shared" si="129"/>
        <v>#REF!</v>
      </c>
      <c r="X168" t="e">
        <f t="shared" si="116"/>
        <v>#REF!</v>
      </c>
      <c r="Y168" t="e">
        <f t="shared" si="116"/>
        <v>#REF!</v>
      </c>
      <c r="Z168" t="e">
        <f t="shared" si="116"/>
        <v>#REF!</v>
      </c>
      <c r="AA168" t="e">
        <f t="shared" si="116"/>
        <v>#REF!</v>
      </c>
      <c r="AB168" t="e">
        <f t="shared" si="116"/>
        <v>#REF!</v>
      </c>
      <c r="AC168" t="e">
        <f t="shared" si="116"/>
        <v>#REF!</v>
      </c>
      <c r="AD168" t="e">
        <f t="shared" si="116"/>
        <v>#REF!</v>
      </c>
      <c r="AE168" t="e">
        <f t="shared" si="116"/>
        <v>#REF!</v>
      </c>
      <c r="AF168" t="e">
        <f t="shared" si="116"/>
        <v>#REF!</v>
      </c>
      <c r="AG168" t="e">
        <f t="shared" si="116"/>
        <v>#REF!</v>
      </c>
      <c r="AH168" t="e">
        <f t="shared" si="127"/>
        <v>#REF!</v>
      </c>
      <c r="AI168" t="e">
        <f t="shared" si="127"/>
        <v>#REF!</v>
      </c>
      <c r="AJ168" t="e">
        <f t="shared" si="127"/>
        <v>#REF!</v>
      </c>
      <c r="AK168" t="e">
        <f t="shared" si="127"/>
        <v>#REF!</v>
      </c>
      <c r="AL168" t="e">
        <f t="shared" si="127"/>
        <v>#REF!</v>
      </c>
      <c r="AM168" t="e">
        <f t="shared" si="127"/>
        <v>#REF!</v>
      </c>
      <c r="AN168" t="e">
        <f t="shared" si="127"/>
        <v>#REF!</v>
      </c>
      <c r="AO168" t="e">
        <f t="shared" si="127"/>
        <v>#REF!</v>
      </c>
      <c r="AP168" t="e">
        <f t="shared" si="127"/>
        <v>#REF!</v>
      </c>
      <c r="AQ168" t="e">
        <f t="shared" si="127"/>
        <v>#REF!</v>
      </c>
      <c r="AR168" t="e">
        <f t="shared" si="117"/>
        <v>#REF!</v>
      </c>
      <c r="AS168" t="e">
        <f t="shared" si="117"/>
        <v>#REF!</v>
      </c>
      <c r="AT168" t="e">
        <f t="shared" si="117"/>
        <v>#REF!</v>
      </c>
      <c r="AU168" t="e">
        <f t="shared" si="117"/>
        <v>#REF!</v>
      </c>
      <c r="AV168" t="e">
        <f t="shared" si="117"/>
        <v>#REF!</v>
      </c>
      <c r="AW168" t="e">
        <f t="shared" si="117"/>
        <v>#REF!</v>
      </c>
      <c r="AX168" t="e">
        <f t="shared" si="117"/>
        <v>#REF!</v>
      </c>
      <c r="AY168" t="e">
        <f t="shared" si="114"/>
        <v>#REF!</v>
      </c>
      <c r="AZ168" t="e">
        <f t="shared" si="114"/>
        <v>#REF!</v>
      </c>
      <c r="BA168" t="e">
        <f t="shared" si="114"/>
        <v>#REF!</v>
      </c>
      <c r="BB168" t="e">
        <f t="shared" si="114"/>
        <v>#REF!</v>
      </c>
      <c r="BC168" t="e">
        <f t="shared" si="114"/>
        <v>#REF!</v>
      </c>
      <c r="BD168" t="e">
        <f t="shared" si="114"/>
        <v>#REF!</v>
      </c>
      <c r="BE168" t="e">
        <f t="shared" si="114"/>
        <v>#REF!</v>
      </c>
      <c r="BF168" t="e">
        <f t="shared" si="114"/>
        <v>#REF!</v>
      </c>
      <c r="BG168" t="e">
        <f t="shared" si="114"/>
        <v>#REF!</v>
      </c>
      <c r="BH168" t="e">
        <f t="shared" si="114"/>
        <v>#REF!</v>
      </c>
      <c r="BI168" t="e">
        <f t="shared" si="114"/>
        <v>#REF!</v>
      </c>
      <c r="BJ168" t="e">
        <f t="shared" si="114"/>
        <v>#REF!</v>
      </c>
      <c r="BK168" t="e">
        <f t="shared" si="114"/>
        <v>#REF!</v>
      </c>
      <c r="BL168" t="e">
        <f t="shared" si="124"/>
        <v>#REF!</v>
      </c>
      <c r="BM168" t="e">
        <f t="shared" si="124"/>
        <v>#REF!</v>
      </c>
      <c r="BN168" t="e">
        <f t="shared" si="124"/>
        <v>#REF!</v>
      </c>
      <c r="BO168" t="e">
        <f t="shared" si="124"/>
        <v>#REF!</v>
      </c>
      <c r="BP168" t="e">
        <f t="shared" si="124"/>
        <v>#REF!</v>
      </c>
      <c r="BQ168" t="e">
        <f t="shared" si="124"/>
        <v>#REF!</v>
      </c>
      <c r="BR168" t="e">
        <f t="shared" si="124"/>
        <v>#REF!</v>
      </c>
      <c r="BS168" t="e">
        <f t="shared" si="124"/>
        <v>#REF!</v>
      </c>
      <c r="BT168" t="e">
        <f t="shared" si="124"/>
        <v>#REF!</v>
      </c>
      <c r="BU168" t="e">
        <f t="shared" si="124"/>
        <v>#REF!</v>
      </c>
      <c r="BV168" t="e">
        <f t="shared" si="122"/>
        <v>#REF!</v>
      </c>
      <c r="BW168" t="e">
        <f t="shared" si="122"/>
        <v>#REF!</v>
      </c>
      <c r="BX168" t="e">
        <f t="shared" si="122"/>
        <v>#REF!</v>
      </c>
      <c r="BY168" t="e">
        <f t="shared" si="122"/>
        <v>#REF!</v>
      </c>
      <c r="BZ168" t="e">
        <f t="shared" si="122"/>
        <v>#REF!</v>
      </c>
      <c r="CA168" t="e">
        <f t="shared" si="122"/>
        <v>#REF!</v>
      </c>
      <c r="CB168" t="e">
        <f t="shared" si="122"/>
        <v>#REF!</v>
      </c>
      <c r="CC168" t="e">
        <f t="shared" si="122"/>
        <v>#REF!</v>
      </c>
      <c r="CD168" t="e">
        <f t="shared" si="113"/>
        <v>#REF!</v>
      </c>
      <c r="CE168" t="e">
        <f t="shared" si="113"/>
        <v>#REF!</v>
      </c>
      <c r="CF168" t="e">
        <f t="shared" si="113"/>
        <v>#REF!</v>
      </c>
      <c r="CG168" t="e">
        <f t="shared" si="113"/>
        <v>#REF!</v>
      </c>
      <c r="CH168" t="e">
        <f t="shared" si="113"/>
        <v>#REF!</v>
      </c>
      <c r="CI168" t="e">
        <f t="shared" si="113"/>
        <v>#REF!</v>
      </c>
      <c r="CJ168" t="e">
        <f t="shared" si="113"/>
        <v>#REF!</v>
      </c>
      <c r="CK168" t="e">
        <f t="shared" si="113"/>
        <v>#REF!</v>
      </c>
      <c r="CL168" t="e">
        <f t="shared" si="113"/>
        <v>#REF!</v>
      </c>
      <c r="CM168" t="e">
        <f t="shared" si="110"/>
        <v>#REF!</v>
      </c>
      <c r="CN168" t="e">
        <f t="shared" si="110"/>
        <v>#REF!</v>
      </c>
      <c r="CO168" t="e">
        <f t="shared" si="110"/>
        <v>#REF!</v>
      </c>
      <c r="CP168" t="e">
        <f t="shared" si="110"/>
        <v>#REF!</v>
      </c>
      <c r="CQ168" t="e">
        <f t="shared" si="110"/>
        <v>#REF!</v>
      </c>
      <c r="CR168" t="e">
        <f t="shared" si="110"/>
        <v>#REF!</v>
      </c>
      <c r="CS168" t="e">
        <f t="shared" si="110"/>
        <v>#REF!</v>
      </c>
      <c r="CT168" t="e">
        <f t="shared" si="110"/>
        <v>#REF!</v>
      </c>
      <c r="CU168" t="e">
        <f t="shared" si="110"/>
        <v>#REF!</v>
      </c>
      <c r="CV168" t="e">
        <f t="shared" si="110"/>
        <v>#REF!</v>
      </c>
      <c r="CW168" t="e">
        <f t="shared" si="126"/>
        <v>#REF!</v>
      </c>
      <c r="CX168" t="e">
        <f t="shared" si="126"/>
        <v>#REF!</v>
      </c>
      <c r="CY168" t="e">
        <f t="shared" si="126"/>
        <v>#REF!</v>
      </c>
      <c r="CZ168" t="e">
        <f t="shared" si="126"/>
        <v>#REF!</v>
      </c>
      <c r="DA168" t="e">
        <f t="shared" si="126"/>
        <v>#REF!</v>
      </c>
      <c r="DB168" t="e">
        <f t="shared" si="126"/>
        <v>#REF!</v>
      </c>
      <c r="DC168" t="e">
        <f t="shared" si="126"/>
        <v>#REF!</v>
      </c>
      <c r="DD168" t="e">
        <f t="shared" si="126"/>
        <v>#REF!</v>
      </c>
      <c r="DE168" t="e">
        <f t="shared" si="126"/>
        <v>#REF!</v>
      </c>
      <c r="DF168" t="e">
        <f t="shared" si="126"/>
        <v>#REF!</v>
      </c>
      <c r="DG168" t="e">
        <f t="shared" si="126"/>
        <v>#REF!</v>
      </c>
      <c r="DH168" t="e">
        <f t="shared" si="126"/>
        <v>#REF!</v>
      </c>
      <c r="DI168" t="e">
        <f t="shared" si="126"/>
        <v>#REF!</v>
      </c>
      <c r="DJ168" t="e">
        <f t="shared" si="126"/>
        <v>#REF!</v>
      </c>
      <c r="DK168" t="e">
        <f t="shared" si="126"/>
        <v>#REF!</v>
      </c>
      <c r="DL168" t="e">
        <f t="shared" si="126"/>
        <v>#REF!</v>
      </c>
      <c r="DM168" t="e">
        <f t="shared" si="128"/>
        <v>#REF!</v>
      </c>
      <c r="DN168" t="e">
        <f t="shared" si="128"/>
        <v>#REF!</v>
      </c>
      <c r="DO168" t="e">
        <f t="shared" si="128"/>
        <v>#REF!</v>
      </c>
      <c r="DP168" t="e">
        <f t="shared" si="128"/>
        <v>#REF!</v>
      </c>
      <c r="DQ168" t="e">
        <f t="shared" si="128"/>
        <v>#REF!</v>
      </c>
      <c r="DR168" t="e">
        <f t="shared" si="128"/>
        <v>#REF!</v>
      </c>
      <c r="DS168" t="e">
        <f t="shared" si="128"/>
        <v>#REF!</v>
      </c>
      <c r="DT168" t="e">
        <f t="shared" si="128"/>
        <v>#REF!</v>
      </c>
      <c r="DU168" t="e">
        <f t="shared" si="128"/>
        <v>#REF!</v>
      </c>
      <c r="DV168" t="e">
        <f t="shared" si="128"/>
        <v>#REF!</v>
      </c>
      <c r="DW168" t="e">
        <f t="shared" si="128"/>
        <v>#REF!</v>
      </c>
      <c r="DX168" t="e">
        <f t="shared" si="128"/>
        <v>#REF!</v>
      </c>
      <c r="DY168" t="e">
        <f t="shared" si="128"/>
        <v>#REF!</v>
      </c>
      <c r="DZ168" t="e">
        <f t="shared" si="121"/>
        <v>#REF!</v>
      </c>
      <c r="EA168" t="e">
        <f t="shared" si="121"/>
        <v>#REF!</v>
      </c>
      <c r="EB168" t="e">
        <f t="shared" si="121"/>
        <v>#REF!</v>
      </c>
      <c r="EC168" t="e">
        <f t="shared" si="121"/>
        <v>#REF!</v>
      </c>
      <c r="ED168" t="e">
        <f t="shared" si="121"/>
        <v>#REF!</v>
      </c>
      <c r="EE168" t="e">
        <f t="shared" si="121"/>
        <v>#REF!</v>
      </c>
      <c r="EF168" t="e">
        <f t="shared" si="121"/>
        <v>#REF!</v>
      </c>
      <c r="EG168" t="e">
        <f t="shared" si="121"/>
        <v>#REF!</v>
      </c>
      <c r="EH168" t="e">
        <f t="shared" si="121"/>
        <v>#REF!</v>
      </c>
      <c r="EI168" t="e">
        <f t="shared" si="121"/>
        <v>#REF!</v>
      </c>
      <c r="EJ168" t="e">
        <f t="shared" si="121"/>
        <v>#REF!</v>
      </c>
      <c r="EK168" t="e">
        <f t="shared" si="121"/>
        <v>#REF!</v>
      </c>
      <c r="EL168" t="e">
        <f t="shared" si="112"/>
        <v>#REF!</v>
      </c>
      <c r="EM168" t="e">
        <f t="shared" si="112"/>
        <v>#REF!</v>
      </c>
    </row>
    <row r="169" spans="1:143" x14ac:dyDescent="0.4">
      <c r="A169" t="str">
        <f t="shared" si="120"/>
        <v>X</v>
      </c>
      <c r="B169">
        <v>166</v>
      </c>
      <c r="C169" t="e" cm="1">
        <f t="array" ref="C169">INDEX(auto_Series_Code,B169)</f>
        <v>#REF!</v>
      </c>
      <c r="D169" t="e">
        <f t="shared" si="130"/>
        <v>#REF!</v>
      </c>
      <c r="E169" t="e">
        <f t="shared" si="130"/>
        <v>#REF!</v>
      </c>
      <c r="F169" t="e">
        <f t="shared" si="130"/>
        <v>#REF!</v>
      </c>
      <c r="G169" t="e">
        <f t="shared" si="130"/>
        <v>#REF!</v>
      </c>
      <c r="H169" t="e">
        <f t="shared" si="130"/>
        <v>#REF!</v>
      </c>
      <c r="I169" t="e">
        <f t="shared" si="130"/>
        <v>#REF!</v>
      </c>
      <c r="J169" t="e">
        <f t="shared" si="130"/>
        <v>#REF!</v>
      </c>
      <c r="K169" t="e">
        <f t="shared" si="130"/>
        <v>#REF!</v>
      </c>
      <c r="L169" t="e">
        <f t="shared" si="130"/>
        <v>#REF!</v>
      </c>
      <c r="M169" t="e">
        <f t="shared" si="130"/>
        <v>#REF!</v>
      </c>
      <c r="N169" t="e">
        <f t="shared" si="130"/>
        <v>#REF!</v>
      </c>
      <c r="O169" t="e">
        <f t="shared" si="130"/>
        <v>#REF!</v>
      </c>
      <c r="P169" t="e">
        <f t="shared" si="130"/>
        <v>#REF!</v>
      </c>
      <c r="Q169" t="e">
        <f t="shared" si="130"/>
        <v>#REF!</v>
      </c>
      <c r="R169" t="e">
        <f t="shared" si="130"/>
        <v>#REF!</v>
      </c>
      <c r="S169" t="e">
        <f t="shared" si="130"/>
        <v>#REF!</v>
      </c>
      <c r="T169" t="e">
        <f t="shared" si="129"/>
        <v>#REF!</v>
      </c>
      <c r="U169" t="e">
        <f t="shared" si="129"/>
        <v>#REF!</v>
      </c>
      <c r="V169" t="e">
        <f t="shared" si="129"/>
        <v>#REF!</v>
      </c>
      <c r="W169" t="e">
        <f t="shared" si="129"/>
        <v>#REF!</v>
      </c>
      <c r="X169" t="e">
        <f t="shared" si="116"/>
        <v>#REF!</v>
      </c>
      <c r="Y169" t="e">
        <f t="shared" si="116"/>
        <v>#REF!</v>
      </c>
      <c r="Z169" t="e">
        <f t="shared" si="116"/>
        <v>#REF!</v>
      </c>
      <c r="AA169" t="e">
        <f t="shared" si="116"/>
        <v>#REF!</v>
      </c>
      <c r="AB169" t="e">
        <f t="shared" si="116"/>
        <v>#REF!</v>
      </c>
      <c r="AC169" t="e">
        <f t="shared" si="116"/>
        <v>#REF!</v>
      </c>
      <c r="AD169" t="e">
        <f t="shared" si="116"/>
        <v>#REF!</v>
      </c>
      <c r="AE169" t="e">
        <f t="shared" si="116"/>
        <v>#REF!</v>
      </c>
      <c r="AF169" t="e">
        <f t="shared" si="116"/>
        <v>#REF!</v>
      </c>
      <c r="AG169" t="e">
        <f t="shared" si="116"/>
        <v>#REF!</v>
      </c>
      <c r="AH169" t="e">
        <f t="shared" si="127"/>
        <v>#REF!</v>
      </c>
      <c r="AI169" t="e">
        <f t="shared" si="127"/>
        <v>#REF!</v>
      </c>
      <c r="AJ169" t="e">
        <f t="shared" si="127"/>
        <v>#REF!</v>
      </c>
      <c r="AK169" t="e">
        <f t="shared" si="127"/>
        <v>#REF!</v>
      </c>
      <c r="AL169" t="e">
        <f t="shared" si="127"/>
        <v>#REF!</v>
      </c>
      <c r="AM169" t="e">
        <f t="shared" si="127"/>
        <v>#REF!</v>
      </c>
      <c r="AN169" t="e">
        <f t="shared" si="127"/>
        <v>#REF!</v>
      </c>
      <c r="AO169" t="e">
        <f t="shared" si="127"/>
        <v>#REF!</v>
      </c>
      <c r="AP169" t="e">
        <f t="shared" si="127"/>
        <v>#REF!</v>
      </c>
      <c r="AQ169" t="e">
        <f t="shared" si="127"/>
        <v>#REF!</v>
      </c>
      <c r="AR169" t="e">
        <f t="shared" si="117"/>
        <v>#REF!</v>
      </c>
      <c r="AS169" t="e">
        <f t="shared" si="117"/>
        <v>#REF!</v>
      </c>
      <c r="AT169" t="e">
        <f t="shared" si="117"/>
        <v>#REF!</v>
      </c>
      <c r="AU169" t="e">
        <f t="shared" ref="AU169:BA169" si="131">MATCH(CONCATENATE(AU$3,"_",$C169),auto_DataFlat_UID,0)</f>
        <v>#REF!</v>
      </c>
      <c r="AV169" t="e">
        <f t="shared" si="131"/>
        <v>#REF!</v>
      </c>
      <c r="AW169" t="e">
        <f t="shared" si="131"/>
        <v>#REF!</v>
      </c>
      <c r="AX169" t="e">
        <f t="shared" si="131"/>
        <v>#REF!</v>
      </c>
      <c r="AY169" t="e">
        <f t="shared" si="131"/>
        <v>#REF!</v>
      </c>
      <c r="AZ169" t="e">
        <f t="shared" si="131"/>
        <v>#REF!</v>
      </c>
      <c r="BA169" t="e">
        <f t="shared" si="131"/>
        <v>#REF!</v>
      </c>
      <c r="BB169" t="e">
        <f t="shared" si="114"/>
        <v>#REF!</v>
      </c>
      <c r="BC169" t="e">
        <f t="shared" si="114"/>
        <v>#REF!</v>
      </c>
      <c r="BD169" t="e">
        <f t="shared" si="114"/>
        <v>#REF!</v>
      </c>
      <c r="BE169" t="e">
        <f t="shared" si="114"/>
        <v>#REF!</v>
      </c>
      <c r="BF169" t="e">
        <f t="shared" si="114"/>
        <v>#REF!</v>
      </c>
      <c r="BG169" t="e">
        <f t="shared" si="114"/>
        <v>#REF!</v>
      </c>
      <c r="BH169" t="e">
        <f t="shared" si="114"/>
        <v>#REF!</v>
      </c>
      <c r="BI169" t="e">
        <f t="shared" si="114"/>
        <v>#REF!</v>
      </c>
      <c r="BJ169" t="e">
        <f t="shared" si="114"/>
        <v>#REF!</v>
      </c>
      <c r="BK169" t="e">
        <f t="shared" si="114"/>
        <v>#REF!</v>
      </c>
      <c r="BL169" t="e">
        <f t="shared" si="124"/>
        <v>#REF!</v>
      </c>
      <c r="BM169" t="e">
        <f t="shared" si="124"/>
        <v>#REF!</v>
      </c>
      <c r="BN169" t="e">
        <f t="shared" si="124"/>
        <v>#REF!</v>
      </c>
      <c r="BO169" t="e">
        <f t="shared" si="124"/>
        <v>#REF!</v>
      </c>
      <c r="BP169" t="e">
        <f t="shared" si="124"/>
        <v>#REF!</v>
      </c>
      <c r="BQ169" t="e">
        <f t="shared" si="124"/>
        <v>#REF!</v>
      </c>
      <c r="BR169" t="e">
        <f t="shared" si="124"/>
        <v>#REF!</v>
      </c>
      <c r="BS169" t="e">
        <f t="shared" si="124"/>
        <v>#REF!</v>
      </c>
      <c r="BT169" t="e">
        <f t="shared" si="124"/>
        <v>#REF!</v>
      </c>
      <c r="BU169" t="e">
        <f t="shared" si="124"/>
        <v>#REF!</v>
      </c>
      <c r="BV169" t="e">
        <f t="shared" si="122"/>
        <v>#REF!</v>
      </c>
      <c r="BW169" t="e">
        <f t="shared" si="122"/>
        <v>#REF!</v>
      </c>
      <c r="BX169" t="e">
        <f t="shared" si="122"/>
        <v>#REF!</v>
      </c>
      <c r="BY169" t="e">
        <f t="shared" si="122"/>
        <v>#REF!</v>
      </c>
      <c r="BZ169" t="e">
        <f t="shared" si="122"/>
        <v>#REF!</v>
      </c>
      <c r="CA169" t="e">
        <f t="shared" si="122"/>
        <v>#REF!</v>
      </c>
      <c r="CB169" t="e">
        <f t="shared" si="122"/>
        <v>#REF!</v>
      </c>
      <c r="CC169" t="e">
        <f t="shared" si="122"/>
        <v>#REF!</v>
      </c>
      <c r="CD169" t="e">
        <f t="shared" si="113"/>
        <v>#REF!</v>
      </c>
      <c r="CE169" t="e">
        <f t="shared" si="113"/>
        <v>#REF!</v>
      </c>
      <c r="CF169" t="e">
        <f t="shared" si="113"/>
        <v>#REF!</v>
      </c>
      <c r="CG169" t="e">
        <f t="shared" si="113"/>
        <v>#REF!</v>
      </c>
      <c r="CH169" t="e">
        <f t="shared" si="113"/>
        <v>#REF!</v>
      </c>
      <c r="CI169" t="e">
        <f t="shared" si="113"/>
        <v>#REF!</v>
      </c>
      <c r="CJ169" t="e">
        <f t="shared" si="113"/>
        <v>#REF!</v>
      </c>
      <c r="CK169" t="e">
        <f t="shared" si="113"/>
        <v>#REF!</v>
      </c>
      <c r="CL169" t="e">
        <f t="shared" si="113"/>
        <v>#REF!</v>
      </c>
      <c r="CM169" t="e">
        <f t="shared" si="110"/>
        <v>#REF!</v>
      </c>
      <c r="CN169" t="e">
        <f t="shared" si="110"/>
        <v>#REF!</v>
      </c>
      <c r="CO169" t="e">
        <f t="shared" si="110"/>
        <v>#REF!</v>
      </c>
      <c r="CP169" t="e">
        <f t="shared" si="110"/>
        <v>#REF!</v>
      </c>
      <c r="CQ169" t="e">
        <f t="shared" si="110"/>
        <v>#REF!</v>
      </c>
      <c r="CR169" t="e">
        <f t="shared" si="110"/>
        <v>#REF!</v>
      </c>
      <c r="CS169" t="e">
        <f t="shared" si="110"/>
        <v>#REF!</v>
      </c>
      <c r="CT169" t="e">
        <f t="shared" si="110"/>
        <v>#REF!</v>
      </c>
      <c r="CU169" t="e">
        <f t="shared" si="110"/>
        <v>#REF!</v>
      </c>
      <c r="CV169" t="e">
        <f t="shared" si="110"/>
        <v>#REF!</v>
      </c>
      <c r="CW169" t="e">
        <f t="shared" si="126"/>
        <v>#REF!</v>
      </c>
      <c r="CX169" t="e">
        <f t="shared" si="126"/>
        <v>#REF!</v>
      </c>
      <c r="CY169" t="e">
        <f t="shared" si="126"/>
        <v>#REF!</v>
      </c>
      <c r="CZ169" t="e">
        <f t="shared" si="126"/>
        <v>#REF!</v>
      </c>
      <c r="DA169" t="e">
        <f t="shared" si="126"/>
        <v>#REF!</v>
      </c>
      <c r="DB169" t="e">
        <f t="shared" si="126"/>
        <v>#REF!</v>
      </c>
      <c r="DC169" t="e">
        <f t="shared" si="126"/>
        <v>#REF!</v>
      </c>
      <c r="DD169" t="e">
        <f t="shared" si="126"/>
        <v>#REF!</v>
      </c>
      <c r="DE169" t="e">
        <f t="shared" si="126"/>
        <v>#REF!</v>
      </c>
      <c r="DF169" t="e">
        <f t="shared" si="126"/>
        <v>#REF!</v>
      </c>
      <c r="DG169" t="e">
        <f t="shared" si="126"/>
        <v>#REF!</v>
      </c>
      <c r="DH169" t="e">
        <f t="shared" si="126"/>
        <v>#REF!</v>
      </c>
      <c r="DI169" t="e">
        <f t="shared" si="126"/>
        <v>#REF!</v>
      </c>
      <c r="DJ169" t="e">
        <f t="shared" si="126"/>
        <v>#REF!</v>
      </c>
      <c r="DK169" t="e">
        <f t="shared" si="126"/>
        <v>#REF!</v>
      </c>
      <c r="DL169" t="e">
        <f t="shared" si="126"/>
        <v>#REF!</v>
      </c>
      <c r="DM169" t="e">
        <f t="shared" si="128"/>
        <v>#REF!</v>
      </c>
      <c r="DN169" t="e">
        <f t="shared" si="128"/>
        <v>#REF!</v>
      </c>
      <c r="DO169" t="e">
        <f t="shared" si="128"/>
        <v>#REF!</v>
      </c>
      <c r="DP169" t="e">
        <f t="shared" si="128"/>
        <v>#REF!</v>
      </c>
      <c r="DQ169" t="e">
        <f t="shared" si="128"/>
        <v>#REF!</v>
      </c>
      <c r="DR169" t="e">
        <f t="shared" si="128"/>
        <v>#REF!</v>
      </c>
      <c r="DS169" t="e">
        <f t="shared" si="128"/>
        <v>#REF!</v>
      </c>
      <c r="DT169" t="e">
        <f t="shared" si="128"/>
        <v>#REF!</v>
      </c>
      <c r="DU169" t="e">
        <f t="shared" si="128"/>
        <v>#REF!</v>
      </c>
      <c r="DV169" t="e">
        <f t="shared" si="128"/>
        <v>#REF!</v>
      </c>
      <c r="DW169" t="e">
        <f t="shared" si="128"/>
        <v>#REF!</v>
      </c>
      <c r="DX169" t="e">
        <f t="shared" si="128"/>
        <v>#REF!</v>
      </c>
      <c r="DY169" t="e">
        <f t="shared" si="128"/>
        <v>#REF!</v>
      </c>
      <c r="DZ169" t="e">
        <f t="shared" si="121"/>
        <v>#REF!</v>
      </c>
      <c r="EA169" t="e">
        <f t="shared" si="121"/>
        <v>#REF!</v>
      </c>
      <c r="EB169" t="e">
        <f t="shared" si="121"/>
        <v>#REF!</v>
      </c>
      <c r="EC169" t="e">
        <f t="shared" si="121"/>
        <v>#REF!</v>
      </c>
      <c r="ED169" t="e">
        <f t="shared" si="121"/>
        <v>#REF!</v>
      </c>
      <c r="EE169" t="e">
        <f t="shared" si="121"/>
        <v>#REF!</v>
      </c>
      <c r="EF169" t="e">
        <f t="shared" si="121"/>
        <v>#REF!</v>
      </c>
      <c r="EG169" t="e">
        <f t="shared" si="121"/>
        <v>#REF!</v>
      </c>
      <c r="EH169" t="e">
        <f t="shared" si="121"/>
        <v>#REF!</v>
      </c>
      <c r="EI169" t="e">
        <f t="shared" si="121"/>
        <v>#REF!</v>
      </c>
      <c r="EJ169" t="e">
        <f t="shared" si="121"/>
        <v>#REF!</v>
      </c>
      <c r="EK169" t="e">
        <f t="shared" si="121"/>
        <v>#REF!</v>
      </c>
      <c r="EL169" t="e">
        <f t="shared" si="112"/>
        <v>#REF!</v>
      </c>
      <c r="EM169" t="e">
        <f t="shared" si="112"/>
        <v>#REF!</v>
      </c>
    </row>
    <row r="170" spans="1:143" x14ac:dyDescent="0.4">
      <c r="A170" t="str">
        <f t="shared" si="120"/>
        <v>X</v>
      </c>
      <c r="B170">
        <v>167</v>
      </c>
      <c r="C170" t="e" cm="1">
        <f t="array" ref="C170">INDEX(auto_Series_Code,B170)</f>
        <v>#REF!</v>
      </c>
      <c r="D170" t="e">
        <f t="shared" si="130"/>
        <v>#REF!</v>
      </c>
      <c r="E170" t="e">
        <f t="shared" si="130"/>
        <v>#REF!</v>
      </c>
      <c r="F170" t="e">
        <f t="shared" si="130"/>
        <v>#REF!</v>
      </c>
      <c r="G170" t="e">
        <f t="shared" si="130"/>
        <v>#REF!</v>
      </c>
      <c r="H170" t="e">
        <f t="shared" si="130"/>
        <v>#REF!</v>
      </c>
      <c r="I170" t="e">
        <f t="shared" si="130"/>
        <v>#REF!</v>
      </c>
      <c r="J170" t="e">
        <f t="shared" si="130"/>
        <v>#REF!</v>
      </c>
      <c r="K170" t="e">
        <f t="shared" si="130"/>
        <v>#REF!</v>
      </c>
      <c r="L170" t="e">
        <f t="shared" si="130"/>
        <v>#REF!</v>
      </c>
      <c r="M170" t="e">
        <f t="shared" si="130"/>
        <v>#REF!</v>
      </c>
      <c r="N170" t="e">
        <f t="shared" si="130"/>
        <v>#REF!</v>
      </c>
      <c r="O170" t="e">
        <f t="shared" si="130"/>
        <v>#REF!</v>
      </c>
      <c r="P170" t="e">
        <f t="shared" si="130"/>
        <v>#REF!</v>
      </c>
      <c r="Q170" t="e">
        <f t="shared" si="130"/>
        <v>#REF!</v>
      </c>
      <c r="R170" t="e">
        <f t="shared" si="130"/>
        <v>#REF!</v>
      </c>
      <c r="S170" t="e">
        <f t="shared" si="130"/>
        <v>#REF!</v>
      </c>
      <c r="T170" t="e">
        <f t="shared" si="129"/>
        <v>#REF!</v>
      </c>
      <c r="U170" t="e">
        <f t="shared" si="129"/>
        <v>#REF!</v>
      </c>
      <c r="V170" t="e">
        <f t="shared" si="129"/>
        <v>#REF!</v>
      </c>
      <c r="W170" t="e">
        <f t="shared" si="129"/>
        <v>#REF!</v>
      </c>
      <c r="X170" t="e">
        <f t="shared" si="116"/>
        <v>#REF!</v>
      </c>
      <c r="Y170" t="e">
        <f t="shared" si="116"/>
        <v>#REF!</v>
      </c>
      <c r="Z170" t="e">
        <f t="shared" si="116"/>
        <v>#REF!</v>
      </c>
      <c r="AA170" t="e">
        <f t="shared" si="116"/>
        <v>#REF!</v>
      </c>
      <c r="AB170" t="e">
        <f t="shared" si="116"/>
        <v>#REF!</v>
      </c>
      <c r="AC170" t="e">
        <f t="shared" si="116"/>
        <v>#REF!</v>
      </c>
      <c r="AD170" t="e">
        <f t="shared" si="116"/>
        <v>#REF!</v>
      </c>
      <c r="AE170" t="e">
        <f t="shared" si="116"/>
        <v>#REF!</v>
      </c>
      <c r="AF170" t="e">
        <f t="shared" si="116"/>
        <v>#REF!</v>
      </c>
      <c r="AG170" t="e">
        <f t="shared" si="116"/>
        <v>#REF!</v>
      </c>
      <c r="AH170" t="e">
        <f t="shared" si="127"/>
        <v>#REF!</v>
      </c>
      <c r="AI170" t="e">
        <f t="shared" si="127"/>
        <v>#REF!</v>
      </c>
      <c r="AJ170" t="e">
        <f t="shared" si="127"/>
        <v>#REF!</v>
      </c>
      <c r="AK170" t="e">
        <f t="shared" si="127"/>
        <v>#REF!</v>
      </c>
      <c r="AL170" t="e">
        <f t="shared" si="127"/>
        <v>#REF!</v>
      </c>
      <c r="AM170" t="e">
        <f t="shared" si="127"/>
        <v>#REF!</v>
      </c>
      <c r="AN170" t="e">
        <f t="shared" si="127"/>
        <v>#REF!</v>
      </c>
      <c r="AO170" t="e">
        <f t="shared" si="127"/>
        <v>#REF!</v>
      </c>
      <c r="AP170" t="e">
        <f t="shared" si="127"/>
        <v>#REF!</v>
      </c>
      <c r="AQ170" t="e">
        <f t="shared" si="127"/>
        <v>#REF!</v>
      </c>
      <c r="AR170" t="e">
        <f t="shared" si="127"/>
        <v>#REF!</v>
      </c>
      <c r="AS170" t="e">
        <f t="shared" si="127"/>
        <v>#REF!</v>
      </c>
      <c r="AT170" t="e">
        <f t="shared" ref="AT170:BI188" si="132">MATCH(CONCATENATE(AT$3,"_",$C170),auto_DataFlat_UID,0)</f>
        <v>#REF!</v>
      </c>
      <c r="AU170" t="e">
        <f t="shared" si="132"/>
        <v>#REF!</v>
      </c>
      <c r="AV170" t="e">
        <f t="shared" si="132"/>
        <v>#REF!</v>
      </c>
      <c r="AW170" t="e">
        <f t="shared" si="132"/>
        <v>#REF!</v>
      </c>
      <c r="AX170" t="e">
        <f t="shared" si="132"/>
        <v>#REF!</v>
      </c>
      <c r="AY170" t="e">
        <f t="shared" si="132"/>
        <v>#REF!</v>
      </c>
      <c r="AZ170" t="e">
        <f t="shared" si="132"/>
        <v>#REF!</v>
      </c>
      <c r="BA170" t="e">
        <f t="shared" si="132"/>
        <v>#REF!</v>
      </c>
      <c r="BB170" t="e">
        <f t="shared" si="114"/>
        <v>#REF!</v>
      </c>
      <c r="BC170" t="e">
        <f t="shared" si="114"/>
        <v>#REF!</v>
      </c>
      <c r="BD170" t="e">
        <f t="shared" si="114"/>
        <v>#REF!</v>
      </c>
      <c r="BE170" t="e">
        <f t="shared" si="114"/>
        <v>#REF!</v>
      </c>
      <c r="BF170" t="e">
        <f t="shared" si="114"/>
        <v>#REF!</v>
      </c>
      <c r="BG170" t="e">
        <f t="shared" si="114"/>
        <v>#REF!</v>
      </c>
      <c r="BH170" t="e">
        <f t="shared" si="114"/>
        <v>#REF!</v>
      </c>
      <c r="BI170" t="e">
        <f t="shared" si="114"/>
        <v>#REF!</v>
      </c>
      <c r="BJ170" t="e">
        <f t="shared" si="114"/>
        <v>#REF!</v>
      </c>
      <c r="BK170" t="e">
        <f t="shared" si="114"/>
        <v>#REF!</v>
      </c>
      <c r="BL170" t="e">
        <f t="shared" si="124"/>
        <v>#REF!</v>
      </c>
      <c r="BM170" t="e">
        <f t="shared" si="124"/>
        <v>#REF!</v>
      </c>
      <c r="BN170" t="e">
        <f t="shared" si="124"/>
        <v>#REF!</v>
      </c>
      <c r="BO170" t="e">
        <f t="shared" si="124"/>
        <v>#REF!</v>
      </c>
      <c r="BP170" t="e">
        <f t="shared" si="124"/>
        <v>#REF!</v>
      </c>
      <c r="BQ170" t="e">
        <f t="shared" si="124"/>
        <v>#REF!</v>
      </c>
      <c r="BR170" t="e">
        <f t="shared" si="124"/>
        <v>#REF!</v>
      </c>
      <c r="BS170" t="e">
        <f t="shared" si="124"/>
        <v>#REF!</v>
      </c>
      <c r="BT170" t="e">
        <f t="shared" si="124"/>
        <v>#REF!</v>
      </c>
      <c r="BU170" t="e">
        <f t="shared" si="124"/>
        <v>#REF!</v>
      </c>
      <c r="BV170" t="e">
        <f t="shared" si="122"/>
        <v>#REF!</v>
      </c>
      <c r="BW170" t="e">
        <f t="shared" si="122"/>
        <v>#REF!</v>
      </c>
      <c r="BX170" t="e">
        <f t="shared" si="122"/>
        <v>#REF!</v>
      </c>
      <c r="BY170" t="e">
        <f t="shared" si="122"/>
        <v>#REF!</v>
      </c>
      <c r="BZ170" t="e">
        <f t="shared" si="122"/>
        <v>#REF!</v>
      </c>
      <c r="CA170" t="e">
        <f t="shared" si="122"/>
        <v>#REF!</v>
      </c>
      <c r="CB170" t="e">
        <f t="shared" si="122"/>
        <v>#REF!</v>
      </c>
      <c r="CC170" t="e">
        <f t="shared" si="122"/>
        <v>#REF!</v>
      </c>
      <c r="CD170" t="e">
        <f t="shared" si="113"/>
        <v>#REF!</v>
      </c>
      <c r="CE170" t="e">
        <f t="shared" si="113"/>
        <v>#REF!</v>
      </c>
      <c r="CF170" t="e">
        <f t="shared" si="113"/>
        <v>#REF!</v>
      </c>
      <c r="CG170" t="e">
        <f t="shared" si="113"/>
        <v>#REF!</v>
      </c>
      <c r="CH170" t="e">
        <f t="shared" si="113"/>
        <v>#REF!</v>
      </c>
      <c r="CI170" t="e">
        <f t="shared" si="113"/>
        <v>#REF!</v>
      </c>
      <c r="CJ170" t="e">
        <f t="shared" si="113"/>
        <v>#REF!</v>
      </c>
      <c r="CK170" t="e">
        <f t="shared" si="113"/>
        <v>#REF!</v>
      </c>
      <c r="CL170" t="e">
        <f t="shared" si="113"/>
        <v>#REF!</v>
      </c>
      <c r="CM170" t="e">
        <f t="shared" si="110"/>
        <v>#REF!</v>
      </c>
      <c r="CN170" t="e">
        <f t="shared" si="110"/>
        <v>#REF!</v>
      </c>
      <c r="CO170" t="e">
        <f t="shared" si="110"/>
        <v>#REF!</v>
      </c>
      <c r="CP170" t="e">
        <f t="shared" si="110"/>
        <v>#REF!</v>
      </c>
      <c r="CQ170" t="e">
        <f t="shared" si="110"/>
        <v>#REF!</v>
      </c>
      <c r="CR170" t="e">
        <f t="shared" si="110"/>
        <v>#REF!</v>
      </c>
      <c r="CS170" t="e">
        <f t="shared" si="110"/>
        <v>#REF!</v>
      </c>
      <c r="CT170" t="e">
        <f t="shared" si="110"/>
        <v>#REF!</v>
      </c>
      <c r="CU170" t="e">
        <f t="shared" si="110"/>
        <v>#REF!</v>
      </c>
      <c r="CV170" t="e">
        <f t="shared" si="110"/>
        <v>#REF!</v>
      </c>
      <c r="CW170" t="e">
        <f t="shared" si="126"/>
        <v>#REF!</v>
      </c>
      <c r="CX170" t="e">
        <f t="shared" si="126"/>
        <v>#REF!</v>
      </c>
      <c r="CY170" t="e">
        <f t="shared" si="126"/>
        <v>#REF!</v>
      </c>
      <c r="CZ170" t="e">
        <f t="shared" si="126"/>
        <v>#REF!</v>
      </c>
      <c r="DA170" t="e">
        <f t="shared" si="126"/>
        <v>#REF!</v>
      </c>
      <c r="DB170" t="e">
        <f t="shared" si="126"/>
        <v>#REF!</v>
      </c>
      <c r="DC170" t="e">
        <f t="shared" si="126"/>
        <v>#REF!</v>
      </c>
      <c r="DD170" t="e">
        <f t="shared" si="126"/>
        <v>#REF!</v>
      </c>
      <c r="DE170" t="e">
        <f t="shared" si="126"/>
        <v>#REF!</v>
      </c>
      <c r="DF170" t="e">
        <f t="shared" si="126"/>
        <v>#REF!</v>
      </c>
      <c r="DG170" t="e">
        <f t="shared" si="126"/>
        <v>#REF!</v>
      </c>
      <c r="DH170" t="e">
        <f t="shared" si="126"/>
        <v>#REF!</v>
      </c>
      <c r="DI170" t="e">
        <f t="shared" si="126"/>
        <v>#REF!</v>
      </c>
      <c r="DJ170" t="e">
        <f t="shared" si="126"/>
        <v>#REF!</v>
      </c>
      <c r="DK170" t="e">
        <f t="shared" si="126"/>
        <v>#REF!</v>
      </c>
      <c r="DL170" t="e">
        <f t="shared" si="126"/>
        <v>#REF!</v>
      </c>
      <c r="DM170" t="e">
        <f t="shared" si="128"/>
        <v>#REF!</v>
      </c>
      <c r="DN170" t="e">
        <f t="shared" si="128"/>
        <v>#REF!</v>
      </c>
      <c r="DO170" t="e">
        <f t="shared" si="128"/>
        <v>#REF!</v>
      </c>
      <c r="DP170" t="e">
        <f t="shared" si="128"/>
        <v>#REF!</v>
      </c>
      <c r="DQ170" t="e">
        <f t="shared" si="128"/>
        <v>#REF!</v>
      </c>
      <c r="DR170" t="e">
        <f t="shared" si="128"/>
        <v>#REF!</v>
      </c>
      <c r="DS170" t="e">
        <f t="shared" si="128"/>
        <v>#REF!</v>
      </c>
      <c r="DT170" t="e">
        <f t="shared" si="128"/>
        <v>#REF!</v>
      </c>
      <c r="DU170" t="e">
        <f t="shared" si="128"/>
        <v>#REF!</v>
      </c>
      <c r="DV170" t="e">
        <f t="shared" si="128"/>
        <v>#REF!</v>
      </c>
      <c r="DW170" t="e">
        <f t="shared" si="128"/>
        <v>#REF!</v>
      </c>
      <c r="DX170" t="e">
        <f t="shared" si="128"/>
        <v>#REF!</v>
      </c>
      <c r="DY170" t="e">
        <f t="shared" si="128"/>
        <v>#REF!</v>
      </c>
      <c r="DZ170" t="e">
        <f t="shared" si="121"/>
        <v>#REF!</v>
      </c>
      <c r="EA170" t="e">
        <f t="shared" si="121"/>
        <v>#REF!</v>
      </c>
      <c r="EB170" t="e">
        <f t="shared" si="121"/>
        <v>#REF!</v>
      </c>
      <c r="EC170" t="e">
        <f t="shared" si="121"/>
        <v>#REF!</v>
      </c>
      <c r="ED170" t="e">
        <f t="shared" si="121"/>
        <v>#REF!</v>
      </c>
      <c r="EE170" t="e">
        <f t="shared" si="121"/>
        <v>#REF!</v>
      </c>
      <c r="EF170" t="e">
        <f t="shared" si="121"/>
        <v>#REF!</v>
      </c>
      <c r="EG170" t="e">
        <f t="shared" si="121"/>
        <v>#REF!</v>
      </c>
      <c r="EH170" t="e">
        <f t="shared" si="121"/>
        <v>#REF!</v>
      </c>
      <c r="EI170" t="e">
        <f t="shared" si="121"/>
        <v>#REF!</v>
      </c>
      <c r="EJ170" t="e">
        <f t="shared" si="121"/>
        <v>#REF!</v>
      </c>
      <c r="EK170" t="e">
        <f t="shared" si="121"/>
        <v>#REF!</v>
      </c>
      <c r="EL170" t="e">
        <f t="shared" si="112"/>
        <v>#REF!</v>
      </c>
      <c r="EM170" t="e">
        <f t="shared" si="112"/>
        <v>#REF!</v>
      </c>
    </row>
    <row r="171" spans="1:143" x14ac:dyDescent="0.4">
      <c r="A171" t="str">
        <f t="shared" si="120"/>
        <v>X</v>
      </c>
      <c r="B171">
        <v>168</v>
      </c>
      <c r="C171" t="e" cm="1">
        <f t="array" ref="C171">INDEX(auto_Series_Code,B171)</f>
        <v>#REF!</v>
      </c>
      <c r="D171" t="e">
        <f t="shared" si="130"/>
        <v>#REF!</v>
      </c>
      <c r="E171" t="e">
        <f t="shared" si="130"/>
        <v>#REF!</v>
      </c>
      <c r="F171" t="e">
        <f t="shared" si="130"/>
        <v>#REF!</v>
      </c>
      <c r="G171" t="e">
        <f t="shared" si="130"/>
        <v>#REF!</v>
      </c>
      <c r="H171" t="e">
        <f t="shared" si="130"/>
        <v>#REF!</v>
      </c>
      <c r="I171" t="e">
        <f t="shared" si="130"/>
        <v>#REF!</v>
      </c>
      <c r="J171" t="e">
        <f t="shared" si="130"/>
        <v>#REF!</v>
      </c>
      <c r="K171" t="e">
        <f t="shared" si="130"/>
        <v>#REF!</v>
      </c>
      <c r="L171" t="e">
        <f t="shared" si="130"/>
        <v>#REF!</v>
      </c>
      <c r="M171" t="e">
        <f t="shared" si="130"/>
        <v>#REF!</v>
      </c>
      <c r="N171" t="e">
        <f t="shared" si="130"/>
        <v>#REF!</v>
      </c>
      <c r="O171" t="e">
        <f t="shared" si="130"/>
        <v>#REF!</v>
      </c>
      <c r="P171" t="e">
        <f t="shared" si="130"/>
        <v>#REF!</v>
      </c>
      <c r="Q171" t="e">
        <f t="shared" si="130"/>
        <v>#REF!</v>
      </c>
      <c r="R171" t="e">
        <f t="shared" si="130"/>
        <v>#REF!</v>
      </c>
      <c r="S171" t="e">
        <f t="shared" si="130"/>
        <v>#REF!</v>
      </c>
      <c r="T171" t="e">
        <f t="shared" si="129"/>
        <v>#REF!</v>
      </c>
      <c r="U171" t="e">
        <f t="shared" si="129"/>
        <v>#REF!</v>
      </c>
      <c r="V171" t="e">
        <f t="shared" si="129"/>
        <v>#REF!</v>
      </c>
      <c r="W171" t="e">
        <f t="shared" si="129"/>
        <v>#REF!</v>
      </c>
      <c r="X171" t="e">
        <f t="shared" si="116"/>
        <v>#REF!</v>
      </c>
      <c r="Y171" t="e">
        <f t="shared" si="116"/>
        <v>#REF!</v>
      </c>
      <c r="Z171" t="e">
        <f t="shared" si="116"/>
        <v>#REF!</v>
      </c>
      <c r="AA171" t="e">
        <f t="shared" si="116"/>
        <v>#REF!</v>
      </c>
      <c r="AB171" t="e">
        <f t="shared" si="116"/>
        <v>#REF!</v>
      </c>
      <c r="AC171" t="e">
        <f t="shared" si="116"/>
        <v>#REF!</v>
      </c>
      <c r="AD171" t="e">
        <f t="shared" si="116"/>
        <v>#REF!</v>
      </c>
      <c r="AE171" t="e">
        <f t="shared" si="116"/>
        <v>#REF!</v>
      </c>
      <c r="AF171" t="e">
        <f t="shared" si="116"/>
        <v>#REF!</v>
      </c>
      <c r="AG171" t="e">
        <f t="shared" si="116"/>
        <v>#REF!</v>
      </c>
      <c r="AH171" t="e">
        <f t="shared" si="127"/>
        <v>#REF!</v>
      </c>
      <c r="AI171" t="e">
        <f t="shared" si="127"/>
        <v>#REF!</v>
      </c>
      <c r="AJ171" t="e">
        <f t="shared" si="127"/>
        <v>#REF!</v>
      </c>
      <c r="AK171" t="e">
        <f t="shared" si="127"/>
        <v>#REF!</v>
      </c>
      <c r="AL171" t="e">
        <f t="shared" si="127"/>
        <v>#REF!</v>
      </c>
      <c r="AM171" t="e">
        <f t="shared" si="127"/>
        <v>#REF!</v>
      </c>
      <c r="AN171" t="e">
        <f t="shared" si="127"/>
        <v>#REF!</v>
      </c>
      <c r="AO171" t="e">
        <f t="shared" si="127"/>
        <v>#REF!</v>
      </c>
      <c r="AP171" t="e">
        <f t="shared" si="127"/>
        <v>#REF!</v>
      </c>
      <c r="AQ171" t="e">
        <f t="shared" si="127"/>
        <v>#REF!</v>
      </c>
      <c r="AR171" t="e">
        <f t="shared" si="127"/>
        <v>#REF!</v>
      </c>
      <c r="AS171" t="e">
        <f t="shared" si="127"/>
        <v>#REF!</v>
      </c>
      <c r="AT171" t="e">
        <f t="shared" si="132"/>
        <v>#REF!</v>
      </c>
      <c r="AU171" t="e">
        <f t="shared" si="132"/>
        <v>#REF!</v>
      </c>
      <c r="AV171" t="e">
        <f t="shared" si="132"/>
        <v>#REF!</v>
      </c>
      <c r="AW171" t="e">
        <f t="shared" si="132"/>
        <v>#REF!</v>
      </c>
      <c r="AX171" t="e">
        <f t="shared" si="132"/>
        <v>#REF!</v>
      </c>
      <c r="AY171" t="e">
        <f t="shared" si="132"/>
        <v>#REF!</v>
      </c>
      <c r="AZ171" t="e">
        <f t="shared" si="132"/>
        <v>#REF!</v>
      </c>
      <c r="BA171" t="e">
        <f t="shared" si="132"/>
        <v>#REF!</v>
      </c>
      <c r="BB171" t="e">
        <f t="shared" si="114"/>
        <v>#REF!</v>
      </c>
      <c r="BC171" t="e">
        <f t="shared" si="114"/>
        <v>#REF!</v>
      </c>
      <c r="BD171" t="e">
        <f t="shared" si="114"/>
        <v>#REF!</v>
      </c>
      <c r="BE171" t="e">
        <f t="shared" si="114"/>
        <v>#REF!</v>
      </c>
      <c r="BF171" t="e">
        <f t="shared" si="114"/>
        <v>#REF!</v>
      </c>
      <c r="BG171" t="e">
        <f t="shared" si="114"/>
        <v>#REF!</v>
      </c>
      <c r="BH171" t="e">
        <f t="shared" si="114"/>
        <v>#REF!</v>
      </c>
      <c r="BI171" t="e">
        <f t="shared" si="114"/>
        <v>#REF!</v>
      </c>
      <c r="BJ171" t="e">
        <f t="shared" si="114"/>
        <v>#REF!</v>
      </c>
      <c r="BK171" t="e">
        <f t="shared" si="114"/>
        <v>#REF!</v>
      </c>
      <c r="BL171" t="e">
        <f t="shared" si="124"/>
        <v>#REF!</v>
      </c>
      <c r="BM171" t="e">
        <f t="shared" si="124"/>
        <v>#REF!</v>
      </c>
      <c r="BN171" t="e">
        <f t="shared" si="124"/>
        <v>#REF!</v>
      </c>
      <c r="BO171" t="e">
        <f t="shared" si="124"/>
        <v>#REF!</v>
      </c>
      <c r="BP171" t="e">
        <f t="shared" si="124"/>
        <v>#REF!</v>
      </c>
      <c r="BQ171" t="e">
        <f t="shared" si="124"/>
        <v>#REF!</v>
      </c>
      <c r="BR171" t="e">
        <f t="shared" si="124"/>
        <v>#REF!</v>
      </c>
      <c r="BS171" t="e">
        <f t="shared" si="124"/>
        <v>#REF!</v>
      </c>
      <c r="BT171" t="e">
        <f t="shared" si="124"/>
        <v>#REF!</v>
      </c>
      <c r="BU171" t="e">
        <f t="shared" si="124"/>
        <v>#REF!</v>
      </c>
      <c r="BV171" t="e">
        <f t="shared" si="122"/>
        <v>#REF!</v>
      </c>
      <c r="BW171" t="e">
        <f t="shared" si="122"/>
        <v>#REF!</v>
      </c>
      <c r="BX171" t="e">
        <f t="shared" si="122"/>
        <v>#REF!</v>
      </c>
      <c r="BY171" t="e">
        <f t="shared" si="122"/>
        <v>#REF!</v>
      </c>
      <c r="BZ171" t="e">
        <f t="shared" si="122"/>
        <v>#REF!</v>
      </c>
      <c r="CA171" t="e">
        <f t="shared" si="122"/>
        <v>#REF!</v>
      </c>
      <c r="CB171" t="e">
        <f t="shared" si="122"/>
        <v>#REF!</v>
      </c>
      <c r="CC171" t="e">
        <f t="shared" si="122"/>
        <v>#REF!</v>
      </c>
      <c r="CD171" t="e">
        <f t="shared" si="113"/>
        <v>#REF!</v>
      </c>
      <c r="CE171" t="e">
        <f t="shared" ref="CE171:CT188" si="133">MATCH(CONCATENATE(CE$3,"_",$C171),auto_DataFlat_UID,0)</f>
        <v>#REF!</v>
      </c>
      <c r="CF171" t="e">
        <f t="shared" si="133"/>
        <v>#REF!</v>
      </c>
      <c r="CG171" t="e">
        <f t="shared" si="133"/>
        <v>#REF!</v>
      </c>
      <c r="CH171" t="e">
        <f t="shared" si="133"/>
        <v>#REF!</v>
      </c>
      <c r="CI171" t="e">
        <f t="shared" si="133"/>
        <v>#REF!</v>
      </c>
      <c r="CJ171" t="e">
        <f t="shared" si="133"/>
        <v>#REF!</v>
      </c>
      <c r="CK171" t="e">
        <f t="shared" si="133"/>
        <v>#REF!</v>
      </c>
      <c r="CL171" t="e">
        <f t="shared" si="133"/>
        <v>#REF!</v>
      </c>
      <c r="CM171" t="e">
        <f t="shared" si="133"/>
        <v>#REF!</v>
      </c>
      <c r="CN171" t="e">
        <f t="shared" si="133"/>
        <v>#REF!</v>
      </c>
      <c r="CO171" t="e">
        <f t="shared" si="133"/>
        <v>#REF!</v>
      </c>
      <c r="CP171" t="e">
        <f t="shared" si="110"/>
        <v>#REF!</v>
      </c>
      <c r="CQ171" t="e">
        <f t="shared" si="110"/>
        <v>#REF!</v>
      </c>
      <c r="CR171" t="e">
        <f t="shared" si="110"/>
        <v>#REF!</v>
      </c>
      <c r="CS171" t="e">
        <f t="shared" si="110"/>
        <v>#REF!</v>
      </c>
      <c r="CT171" t="e">
        <f t="shared" si="110"/>
        <v>#REF!</v>
      </c>
      <c r="CU171" t="e">
        <f t="shared" si="110"/>
        <v>#REF!</v>
      </c>
      <c r="CV171" t="e">
        <f t="shared" si="110"/>
        <v>#REF!</v>
      </c>
      <c r="CW171" t="e">
        <f t="shared" si="126"/>
        <v>#REF!</v>
      </c>
      <c r="CX171" t="e">
        <f t="shared" si="126"/>
        <v>#REF!</v>
      </c>
      <c r="CY171" t="e">
        <f t="shared" si="126"/>
        <v>#REF!</v>
      </c>
      <c r="CZ171" t="e">
        <f t="shared" si="126"/>
        <v>#REF!</v>
      </c>
      <c r="DA171" t="e">
        <f t="shared" si="126"/>
        <v>#REF!</v>
      </c>
      <c r="DB171" t="e">
        <f t="shared" si="126"/>
        <v>#REF!</v>
      </c>
      <c r="DC171" t="e">
        <f t="shared" si="126"/>
        <v>#REF!</v>
      </c>
      <c r="DD171" t="e">
        <f t="shared" si="126"/>
        <v>#REF!</v>
      </c>
      <c r="DE171" t="e">
        <f t="shared" si="126"/>
        <v>#REF!</v>
      </c>
      <c r="DF171" t="e">
        <f t="shared" si="126"/>
        <v>#REF!</v>
      </c>
      <c r="DG171" t="e">
        <f t="shared" si="126"/>
        <v>#REF!</v>
      </c>
      <c r="DH171" t="e">
        <f t="shared" si="126"/>
        <v>#REF!</v>
      </c>
      <c r="DI171" t="e">
        <f t="shared" si="126"/>
        <v>#REF!</v>
      </c>
      <c r="DJ171" t="e">
        <f t="shared" si="126"/>
        <v>#REF!</v>
      </c>
      <c r="DK171" t="e">
        <f t="shared" si="126"/>
        <v>#REF!</v>
      </c>
      <c r="DL171" t="e">
        <f t="shared" si="126"/>
        <v>#REF!</v>
      </c>
      <c r="DM171" t="e">
        <f t="shared" si="128"/>
        <v>#REF!</v>
      </c>
      <c r="DN171" t="e">
        <f t="shared" si="128"/>
        <v>#REF!</v>
      </c>
      <c r="DO171" t="e">
        <f t="shared" si="128"/>
        <v>#REF!</v>
      </c>
      <c r="DP171" t="e">
        <f t="shared" si="128"/>
        <v>#REF!</v>
      </c>
      <c r="DQ171" t="e">
        <f t="shared" si="128"/>
        <v>#REF!</v>
      </c>
      <c r="DR171" t="e">
        <f t="shared" si="128"/>
        <v>#REF!</v>
      </c>
      <c r="DS171" t="e">
        <f t="shared" si="128"/>
        <v>#REF!</v>
      </c>
      <c r="DT171" t="e">
        <f t="shared" si="128"/>
        <v>#REF!</v>
      </c>
      <c r="DU171" t="e">
        <f t="shared" si="128"/>
        <v>#REF!</v>
      </c>
      <c r="DV171" t="e">
        <f t="shared" si="128"/>
        <v>#REF!</v>
      </c>
      <c r="DW171" t="e">
        <f t="shared" si="128"/>
        <v>#REF!</v>
      </c>
      <c r="DX171" t="e">
        <f t="shared" si="128"/>
        <v>#REF!</v>
      </c>
      <c r="DY171" t="e">
        <f t="shared" si="128"/>
        <v>#REF!</v>
      </c>
      <c r="DZ171" t="e">
        <f t="shared" si="121"/>
        <v>#REF!</v>
      </c>
      <c r="EA171" t="e">
        <f t="shared" si="121"/>
        <v>#REF!</v>
      </c>
      <c r="EB171" t="e">
        <f t="shared" si="121"/>
        <v>#REF!</v>
      </c>
      <c r="EC171" t="e">
        <f t="shared" si="121"/>
        <v>#REF!</v>
      </c>
      <c r="ED171" t="e">
        <f t="shared" si="121"/>
        <v>#REF!</v>
      </c>
      <c r="EE171" t="e">
        <f t="shared" si="121"/>
        <v>#REF!</v>
      </c>
      <c r="EF171" t="e">
        <f t="shared" si="121"/>
        <v>#REF!</v>
      </c>
      <c r="EG171" t="e">
        <f t="shared" si="121"/>
        <v>#REF!</v>
      </c>
      <c r="EH171" t="e">
        <f t="shared" si="121"/>
        <v>#REF!</v>
      </c>
      <c r="EI171" t="e">
        <f t="shared" si="121"/>
        <v>#REF!</v>
      </c>
      <c r="EJ171" t="e">
        <f t="shared" si="121"/>
        <v>#REF!</v>
      </c>
      <c r="EK171" t="e">
        <f t="shared" si="121"/>
        <v>#REF!</v>
      </c>
      <c r="EL171" t="e">
        <f t="shared" si="112"/>
        <v>#REF!</v>
      </c>
      <c r="EM171" t="e">
        <f t="shared" si="112"/>
        <v>#REF!</v>
      </c>
    </row>
    <row r="172" spans="1:143" x14ac:dyDescent="0.4">
      <c r="A172" t="str">
        <f t="shared" si="120"/>
        <v>X</v>
      </c>
      <c r="B172">
        <v>169</v>
      </c>
      <c r="C172" t="e" cm="1">
        <f t="array" ref="C172">INDEX(auto_Series_Code,B172)</f>
        <v>#REF!</v>
      </c>
      <c r="D172" t="e">
        <f t="shared" si="130"/>
        <v>#REF!</v>
      </c>
      <c r="E172" t="e">
        <f t="shared" si="130"/>
        <v>#REF!</v>
      </c>
      <c r="F172" t="e">
        <f t="shared" si="130"/>
        <v>#REF!</v>
      </c>
      <c r="G172" t="e">
        <f t="shared" si="130"/>
        <v>#REF!</v>
      </c>
      <c r="H172" t="e">
        <f t="shared" si="130"/>
        <v>#REF!</v>
      </c>
      <c r="I172" t="e">
        <f t="shared" si="130"/>
        <v>#REF!</v>
      </c>
      <c r="J172" t="e">
        <f t="shared" si="130"/>
        <v>#REF!</v>
      </c>
      <c r="K172" t="e">
        <f t="shared" si="130"/>
        <v>#REF!</v>
      </c>
      <c r="L172" t="e">
        <f t="shared" si="130"/>
        <v>#REF!</v>
      </c>
      <c r="M172" t="e">
        <f t="shared" si="130"/>
        <v>#REF!</v>
      </c>
      <c r="N172" t="e">
        <f t="shared" si="130"/>
        <v>#REF!</v>
      </c>
      <c r="O172" t="e">
        <f t="shared" si="130"/>
        <v>#REF!</v>
      </c>
      <c r="P172" t="e">
        <f t="shared" si="130"/>
        <v>#REF!</v>
      </c>
      <c r="Q172" t="e">
        <f t="shared" si="130"/>
        <v>#REF!</v>
      </c>
      <c r="R172" t="e">
        <f t="shared" si="130"/>
        <v>#REF!</v>
      </c>
      <c r="S172" t="e">
        <f t="shared" si="130"/>
        <v>#REF!</v>
      </c>
      <c r="T172" t="e">
        <f t="shared" si="129"/>
        <v>#REF!</v>
      </c>
      <c r="U172" t="e">
        <f t="shared" si="129"/>
        <v>#REF!</v>
      </c>
      <c r="V172" t="e">
        <f t="shared" si="129"/>
        <v>#REF!</v>
      </c>
      <c r="W172" t="e">
        <f t="shared" si="129"/>
        <v>#REF!</v>
      </c>
      <c r="X172" t="e">
        <f t="shared" si="116"/>
        <v>#REF!</v>
      </c>
      <c r="Y172" t="e">
        <f t="shared" si="116"/>
        <v>#REF!</v>
      </c>
      <c r="Z172" t="e">
        <f t="shared" si="116"/>
        <v>#REF!</v>
      </c>
      <c r="AA172" t="e">
        <f t="shared" si="116"/>
        <v>#REF!</v>
      </c>
      <c r="AB172" t="e">
        <f t="shared" si="116"/>
        <v>#REF!</v>
      </c>
      <c r="AC172" t="e">
        <f t="shared" si="116"/>
        <v>#REF!</v>
      </c>
      <c r="AD172" t="e">
        <f t="shared" si="116"/>
        <v>#REF!</v>
      </c>
      <c r="AE172" t="e">
        <f t="shared" si="116"/>
        <v>#REF!</v>
      </c>
      <c r="AF172" t="e">
        <f t="shared" si="116"/>
        <v>#REF!</v>
      </c>
      <c r="AG172" t="e">
        <f t="shared" si="116"/>
        <v>#REF!</v>
      </c>
      <c r="AH172" t="e">
        <f t="shared" si="127"/>
        <v>#REF!</v>
      </c>
      <c r="AI172" t="e">
        <f t="shared" si="127"/>
        <v>#REF!</v>
      </c>
      <c r="AJ172" t="e">
        <f t="shared" si="127"/>
        <v>#REF!</v>
      </c>
      <c r="AK172" t="e">
        <f t="shared" si="127"/>
        <v>#REF!</v>
      </c>
      <c r="AL172" t="e">
        <f t="shared" si="127"/>
        <v>#REF!</v>
      </c>
      <c r="AM172" t="e">
        <f t="shared" si="127"/>
        <v>#REF!</v>
      </c>
      <c r="AN172" t="e">
        <f t="shared" si="127"/>
        <v>#REF!</v>
      </c>
      <c r="AO172" t="e">
        <f t="shared" si="127"/>
        <v>#REF!</v>
      </c>
      <c r="AP172" t="e">
        <f t="shared" si="127"/>
        <v>#REF!</v>
      </c>
      <c r="AQ172" t="e">
        <f t="shared" si="127"/>
        <v>#REF!</v>
      </c>
      <c r="AR172" t="e">
        <f t="shared" si="127"/>
        <v>#REF!</v>
      </c>
      <c r="AS172" t="e">
        <f t="shared" si="127"/>
        <v>#REF!</v>
      </c>
      <c r="AT172" t="e">
        <f t="shared" si="132"/>
        <v>#REF!</v>
      </c>
      <c r="AU172" t="e">
        <f t="shared" si="132"/>
        <v>#REF!</v>
      </c>
      <c r="AV172" t="e">
        <f t="shared" si="132"/>
        <v>#REF!</v>
      </c>
      <c r="AW172" t="e">
        <f t="shared" si="132"/>
        <v>#REF!</v>
      </c>
      <c r="AX172" t="e">
        <f t="shared" si="132"/>
        <v>#REF!</v>
      </c>
      <c r="AY172" t="e">
        <f t="shared" si="132"/>
        <v>#REF!</v>
      </c>
      <c r="AZ172" t="e">
        <f t="shared" si="132"/>
        <v>#REF!</v>
      </c>
      <c r="BA172" t="e">
        <f t="shared" si="132"/>
        <v>#REF!</v>
      </c>
      <c r="BB172" t="e">
        <f t="shared" si="114"/>
        <v>#REF!</v>
      </c>
      <c r="BC172" t="e">
        <f t="shared" si="114"/>
        <v>#REF!</v>
      </c>
      <c r="BD172" t="e">
        <f t="shared" si="114"/>
        <v>#REF!</v>
      </c>
      <c r="BE172" t="e">
        <f t="shared" si="114"/>
        <v>#REF!</v>
      </c>
      <c r="BF172" t="e">
        <f t="shared" si="114"/>
        <v>#REF!</v>
      </c>
      <c r="BG172" t="e">
        <f t="shared" ref="BG172:BV204" si="134">MATCH(CONCATENATE(BG$3,"_",$C172),auto_DataFlat_UID,0)</f>
        <v>#REF!</v>
      </c>
      <c r="BH172" t="e">
        <f t="shared" si="134"/>
        <v>#REF!</v>
      </c>
      <c r="BI172" t="e">
        <f t="shared" si="134"/>
        <v>#REF!</v>
      </c>
      <c r="BJ172" t="e">
        <f t="shared" si="134"/>
        <v>#REF!</v>
      </c>
      <c r="BK172" t="e">
        <f t="shared" si="134"/>
        <v>#REF!</v>
      </c>
      <c r="BL172" t="e">
        <f t="shared" si="124"/>
        <v>#REF!</v>
      </c>
      <c r="BM172" t="e">
        <f t="shared" si="124"/>
        <v>#REF!</v>
      </c>
      <c r="BN172" t="e">
        <f t="shared" si="124"/>
        <v>#REF!</v>
      </c>
      <c r="BO172" t="e">
        <f t="shared" si="124"/>
        <v>#REF!</v>
      </c>
      <c r="BP172" t="e">
        <f t="shared" si="124"/>
        <v>#REF!</v>
      </c>
      <c r="BQ172" t="e">
        <f t="shared" si="124"/>
        <v>#REF!</v>
      </c>
      <c r="BR172" t="e">
        <f t="shared" si="124"/>
        <v>#REF!</v>
      </c>
      <c r="BS172" t="e">
        <f t="shared" si="124"/>
        <v>#REF!</v>
      </c>
      <c r="BT172" t="e">
        <f t="shared" si="124"/>
        <v>#REF!</v>
      </c>
      <c r="BU172" t="e">
        <f t="shared" si="124"/>
        <v>#REF!</v>
      </c>
      <c r="BV172" t="e">
        <f t="shared" si="122"/>
        <v>#REF!</v>
      </c>
      <c r="BW172" t="e">
        <f t="shared" si="122"/>
        <v>#REF!</v>
      </c>
      <c r="BX172" t="e">
        <f t="shared" si="122"/>
        <v>#REF!</v>
      </c>
      <c r="BY172" t="e">
        <f t="shared" si="122"/>
        <v>#REF!</v>
      </c>
      <c r="BZ172" t="e">
        <f t="shared" si="122"/>
        <v>#REF!</v>
      </c>
      <c r="CA172" t="e">
        <f t="shared" si="122"/>
        <v>#REF!</v>
      </c>
      <c r="CB172" t="e">
        <f t="shared" si="122"/>
        <v>#REF!</v>
      </c>
      <c r="CC172" t="e">
        <f t="shared" si="122"/>
        <v>#REF!</v>
      </c>
      <c r="CD172" t="e">
        <f t="shared" ref="CD172:CE186" si="135">MATCH(CONCATENATE(CD$3,"_",$C172),auto_DataFlat_UID,0)</f>
        <v>#REF!</v>
      </c>
      <c r="CE172" t="e">
        <f t="shared" si="135"/>
        <v>#REF!</v>
      </c>
      <c r="CF172" t="e">
        <f t="shared" si="133"/>
        <v>#REF!</v>
      </c>
      <c r="CG172" t="e">
        <f t="shared" si="133"/>
        <v>#REF!</v>
      </c>
      <c r="CH172" t="e">
        <f t="shared" si="133"/>
        <v>#REF!</v>
      </c>
      <c r="CI172" t="e">
        <f t="shared" si="133"/>
        <v>#REF!</v>
      </c>
      <c r="CJ172" t="e">
        <f t="shared" si="133"/>
        <v>#REF!</v>
      </c>
      <c r="CK172" t="e">
        <f t="shared" si="133"/>
        <v>#REF!</v>
      </c>
      <c r="CL172" t="e">
        <f t="shared" si="133"/>
        <v>#REF!</v>
      </c>
      <c r="CM172" t="e">
        <f t="shared" si="133"/>
        <v>#REF!</v>
      </c>
      <c r="CN172" t="e">
        <f t="shared" si="133"/>
        <v>#REF!</v>
      </c>
      <c r="CO172" t="e">
        <f t="shared" si="133"/>
        <v>#REF!</v>
      </c>
      <c r="CP172" t="e">
        <f t="shared" si="110"/>
        <v>#REF!</v>
      </c>
      <c r="CQ172" t="e">
        <f t="shared" si="110"/>
        <v>#REF!</v>
      </c>
      <c r="CR172" t="e">
        <f t="shared" si="110"/>
        <v>#REF!</v>
      </c>
      <c r="CS172" t="e">
        <f t="shared" si="110"/>
        <v>#REF!</v>
      </c>
      <c r="CT172" t="e">
        <f t="shared" si="110"/>
        <v>#REF!</v>
      </c>
      <c r="CU172" t="e">
        <f t="shared" si="110"/>
        <v>#REF!</v>
      </c>
      <c r="CV172" t="e">
        <f t="shared" si="110"/>
        <v>#REF!</v>
      </c>
      <c r="CW172" t="e">
        <f t="shared" si="126"/>
        <v>#REF!</v>
      </c>
      <c r="CX172" t="e">
        <f t="shared" si="126"/>
        <v>#REF!</v>
      </c>
      <c r="CY172" t="e">
        <f t="shared" si="126"/>
        <v>#REF!</v>
      </c>
      <c r="CZ172" t="e">
        <f t="shared" si="126"/>
        <v>#REF!</v>
      </c>
      <c r="DA172" t="e">
        <f t="shared" si="126"/>
        <v>#REF!</v>
      </c>
      <c r="DB172" t="e">
        <f t="shared" si="126"/>
        <v>#REF!</v>
      </c>
      <c r="DC172" t="e">
        <f t="shared" si="126"/>
        <v>#REF!</v>
      </c>
      <c r="DD172" t="e">
        <f t="shared" si="126"/>
        <v>#REF!</v>
      </c>
      <c r="DE172" t="e">
        <f t="shared" si="126"/>
        <v>#REF!</v>
      </c>
      <c r="DF172" t="e">
        <f t="shared" si="126"/>
        <v>#REF!</v>
      </c>
      <c r="DG172" t="e">
        <f t="shared" si="126"/>
        <v>#REF!</v>
      </c>
      <c r="DH172" t="e">
        <f t="shared" si="126"/>
        <v>#REF!</v>
      </c>
      <c r="DI172" t="e">
        <f t="shared" si="126"/>
        <v>#REF!</v>
      </c>
      <c r="DJ172" t="e">
        <f t="shared" si="126"/>
        <v>#REF!</v>
      </c>
      <c r="DK172" t="e">
        <f t="shared" si="126"/>
        <v>#REF!</v>
      </c>
      <c r="DL172" t="e">
        <f t="shared" si="126"/>
        <v>#REF!</v>
      </c>
      <c r="DM172" t="e">
        <f t="shared" si="128"/>
        <v>#REF!</v>
      </c>
      <c r="DN172" t="e">
        <f t="shared" si="128"/>
        <v>#REF!</v>
      </c>
      <c r="DO172" t="e">
        <f t="shared" si="128"/>
        <v>#REF!</v>
      </c>
      <c r="DP172" t="e">
        <f t="shared" si="128"/>
        <v>#REF!</v>
      </c>
      <c r="DQ172" t="e">
        <f t="shared" si="128"/>
        <v>#REF!</v>
      </c>
      <c r="DR172" t="e">
        <f t="shared" si="128"/>
        <v>#REF!</v>
      </c>
      <c r="DS172" t="e">
        <f t="shared" si="128"/>
        <v>#REF!</v>
      </c>
      <c r="DT172" t="e">
        <f t="shared" si="128"/>
        <v>#REF!</v>
      </c>
      <c r="DU172" t="e">
        <f t="shared" si="128"/>
        <v>#REF!</v>
      </c>
      <c r="DV172" t="e">
        <f t="shared" si="128"/>
        <v>#REF!</v>
      </c>
      <c r="DW172" t="e">
        <f t="shared" si="128"/>
        <v>#REF!</v>
      </c>
      <c r="DX172" t="e">
        <f t="shared" si="128"/>
        <v>#REF!</v>
      </c>
      <c r="DY172" t="e">
        <f t="shared" si="128"/>
        <v>#REF!</v>
      </c>
      <c r="DZ172" t="e">
        <f t="shared" si="121"/>
        <v>#REF!</v>
      </c>
      <c r="EA172" t="e">
        <f t="shared" si="121"/>
        <v>#REF!</v>
      </c>
      <c r="EB172" t="e">
        <f t="shared" si="121"/>
        <v>#REF!</v>
      </c>
      <c r="EC172" t="e">
        <f t="shared" si="121"/>
        <v>#REF!</v>
      </c>
      <c r="ED172" t="e">
        <f t="shared" si="121"/>
        <v>#REF!</v>
      </c>
      <c r="EE172" t="e">
        <f t="shared" si="121"/>
        <v>#REF!</v>
      </c>
      <c r="EF172" t="e">
        <f t="shared" si="121"/>
        <v>#REF!</v>
      </c>
      <c r="EG172" t="e">
        <f t="shared" si="121"/>
        <v>#REF!</v>
      </c>
      <c r="EH172" t="e">
        <f t="shared" si="121"/>
        <v>#REF!</v>
      </c>
      <c r="EI172" t="e">
        <f t="shared" si="121"/>
        <v>#REF!</v>
      </c>
      <c r="EJ172" t="e">
        <f t="shared" si="121"/>
        <v>#REF!</v>
      </c>
      <c r="EK172" t="e">
        <f t="shared" si="121"/>
        <v>#REF!</v>
      </c>
      <c r="EL172" t="e">
        <f t="shared" si="112"/>
        <v>#REF!</v>
      </c>
      <c r="EM172" t="e">
        <f t="shared" si="112"/>
        <v>#REF!</v>
      </c>
    </row>
    <row r="173" spans="1:143" x14ac:dyDescent="0.4">
      <c r="A173" t="str">
        <f t="shared" si="120"/>
        <v>X</v>
      </c>
      <c r="B173">
        <v>170</v>
      </c>
      <c r="C173" t="e" cm="1">
        <f t="array" ref="C173">INDEX(auto_Series_Code,B173)</f>
        <v>#REF!</v>
      </c>
      <c r="D173" t="e">
        <f t="shared" si="130"/>
        <v>#REF!</v>
      </c>
      <c r="E173" t="e">
        <f t="shared" si="130"/>
        <v>#REF!</v>
      </c>
      <c r="F173" t="e">
        <f t="shared" si="130"/>
        <v>#REF!</v>
      </c>
      <c r="G173" t="e">
        <f t="shared" si="130"/>
        <v>#REF!</v>
      </c>
      <c r="H173" t="e">
        <f t="shared" si="130"/>
        <v>#REF!</v>
      </c>
      <c r="I173" t="e">
        <f t="shared" si="130"/>
        <v>#REF!</v>
      </c>
      <c r="J173" t="e">
        <f t="shared" si="130"/>
        <v>#REF!</v>
      </c>
      <c r="K173" t="e">
        <f t="shared" si="130"/>
        <v>#REF!</v>
      </c>
      <c r="L173" t="e">
        <f t="shared" si="130"/>
        <v>#REF!</v>
      </c>
      <c r="M173" t="e">
        <f t="shared" si="130"/>
        <v>#REF!</v>
      </c>
      <c r="N173" t="e">
        <f t="shared" si="130"/>
        <v>#REF!</v>
      </c>
      <c r="O173" t="e">
        <f t="shared" si="130"/>
        <v>#REF!</v>
      </c>
      <c r="P173" t="e">
        <f t="shared" si="130"/>
        <v>#REF!</v>
      </c>
      <c r="Q173" t="e">
        <f t="shared" si="130"/>
        <v>#REF!</v>
      </c>
      <c r="R173" t="e">
        <f t="shared" si="130"/>
        <v>#REF!</v>
      </c>
      <c r="S173" t="e">
        <f t="shared" si="130"/>
        <v>#REF!</v>
      </c>
      <c r="T173" t="e">
        <f t="shared" si="129"/>
        <v>#REF!</v>
      </c>
      <c r="U173" t="e">
        <f t="shared" si="129"/>
        <v>#REF!</v>
      </c>
      <c r="V173" t="e">
        <f t="shared" si="129"/>
        <v>#REF!</v>
      </c>
      <c r="W173" t="e">
        <f t="shared" si="129"/>
        <v>#REF!</v>
      </c>
      <c r="X173" t="e">
        <f t="shared" si="116"/>
        <v>#REF!</v>
      </c>
      <c r="Y173" t="e">
        <f t="shared" si="116"/>
        <v>#REF!</v>
      </c>
      <c r="Z173" t="e">
        <f t="shared" si="116"/>
        <v>#REF!</v>
      </c>
      <c r="AA173" t="e">
        <f t="shared" si="116"/>
        <v>#REF!</v>
      </c>
      <c r="AB173" t="e">
        <f t="shared" si="116"/>
        <v>#REF!</v>
      </c>
      <c r="AC173" t="e">
        <f t="shared" si="116"/>
        <v>#REF!</v>
      </c>
      <c r="AD173" t="e">
        <f t="shared" si="116"/>
        <v>#REF!</v>
      </c>
      <c r="AE173" t="e">
        <f t="shared" si="116"/>
        <v>#REF!</v>
      </c>
      <c r="AF173" t="e">
        <f t="shared" si="116"/>
        <v>#REF!</v>
      </c>
      <c r="AG173" t="e">
        <f t="shared" si="116"/>
        <v>#REF!</v>
      </c>
      <c r="AH173" t="e">
        <f t="shared" si="127"/>
        <v>#REF!</v>
      </c>
      <c r="AI173" t="e">
        <f t="shared" si="127"/>
        <v>#REF!</v>
      </c>
      <c r="AJ173" t="e">
        <f t="shared" si="127"/>
        <v>#REF!</v>
      </c>
      <c r="AK173" t="e">
        <f t="shared" si="127"/>
        <v>#REF!</v>
      </c>
      <c r="AL173" t="e">
        <f t="shared" si="127"/>
        <v>#REF!</v>
      </c>
      <c r="AM173" t="e">
        <f t="shared" si="127"/>
        <v>#REF!</v>
      </c>
      <c r="AN173" t="e">
        <f t="shared" si="127"/>
        <v>#REF!</v>
      </c>
      <c r="AO173" t="e">
        <f t="shared" si="127"/>
        <v>#REF!</v>
      </c>
      <c r="AP173" t="e">
        <f t="shared" si="127"/>
        <v>#REF!</v>
      </c>
      <c r="AQ173" t="e">
        <f t="shared" si="127"/>
        <v>#REF!</v>
      </c>
      <c r="AR173" t="e">
        <f t="shared" si="127"/>
        <v>#REF!</v>
      </c>
      <c r="AS173" t="e">
        <f t="shared" si="127"/>
        <v>#REF!</v>
      </c>
      <c r="AT173" t="e">
        <f t="shared" si="132"/>
        <v>#REF!</v>
      </c>
      <c r="AU173" t="e">
        <f t="shared" si="132"/>
        <v>#REF!</v>
      </c>
      <c r="AV173" t="e">
        <f t="shared" si="132"/>
        <v>#REF!</v>
      </c>
      <c r="AW173" t="e">
        <f t="shared" si="132"/>
        <v>#REF!</v>
      </c>
      <c r="AX173" t="e">
        <f t="shared" si="132"/>
        <v>#REF!</v>
      </c>
      <c r="AY173" t="e">
        <f t="shared" si="132"/>
        <v>#REF!</v>
      </c>
      <c r="AZ173" t="e">
        <f t="shared" si="132"/>
        <v>#REF!</v>
      </c>
      <c r="BA173" t="e">
        <f t="shared" si="132"/>
        <v>#REF!</v>
      </c>
      <c r="BB173" t="e">
        <f t="shared" si="132"/>
        <v>#REF!</v>
      </c>
      <c r="BC173" t="e">
        <f t="shared" si="132"/>
        <v>#REF!</v>
      </c>
      <c r="BD173" t="e">
        <f t="shared" si="132"/>
        <v>#REF!</v>
      </c>
      <c r="BE173" t="e">
        <f t="shared" si="132"/>
        <v>#REF!</v>
      </c>
      <c r="BF173" t="e">
        <f t="shared" si="132"/>
        <v>#REF!</v>
      </c>
      <c r="BG173" t="e">
        <f t="shared" si="132"/>
        <v>#REF!</v>
      </c>
      <c r="BH173" t="e">
        <f t="shared" si="132"/>
        <v>#REF!</v>
      </c>
      <c r="BI173" t="e">
        <f t="shared" si="132"/>
        <v>#REF!</v>
      </c>
      <c r="BJ173" t="e">
        <f t="shared" si="134"/>
        <v>#REF!</v>
      </c>
      <c r="BK173" t="e">
        <f t="shared" si="134"/>
        <v>#REF!</v>
      </c>
      <c r="BL173" t="e">
        <f t="shared" si="124"/>
        <v>#REF!</v>
      </c>
      <c r="BM173" t="e">
        <f t="shared" si="124"/>
        <v>#REF!</v>
      </c>
      <c r="BN173" t="e">
        <f t="shared" si="124"/>
        <v>#REF!</v>
      </c>
      <c r="BO173" t="e">
        <f t="shared" si="124"/>
        <v>#REF!</v>
      </c>
      <c r="BP173" t="e">
        <f t="shared" si="124"/>
        <v>#REF!</v>
      </c>
      <c r="BQ173" t="e">
        <f t="shared" si="124"/>
        <v>#REF!</v>
      </c>
      <c r="BR173" t="e">
        <f t="shared" si="124"/>
        <v>#REF!</v>
      </c>
      <c r="BS173" t="e">
        <f t="shared" si="124"/>
        <v>#REF!</v>
      </c>
      <c r="BT173" t="e">
        <f t="shared" si="124"/>
        <v>#REF!</v>
      </c>
      <c r="BU173" t="e">
        <f t="shared" si="124"/>
        <v>#REF!</v>
      </c>
      <c r="BV173" t="e">
        <f t="shared" si="122"/>
        <v>#REF!</v>
      </c>
      <c r="BW173" t="e">
        <f t="shared" si="122"/>
        <v>#REF!</v>
      </c>
      <c r="BX173" t="e">
        <f t="shared" si="122"/>
        <v>#REF!</v>
      </c>
      <c r="BY173" t="e">
        <f t="shared" si="122"/>
        <v>#REF!</v>
      </c>
      <c r="BZ173" t="e">
        <f t="shared" si="122"/>
        <v>#REF!</v>
      </c>
      <c r="CA173" t="e">
        <f t="shared" si="122"/>
        <v>#REF!</v>
      </c>
      <c r="CB173" t="e">
        <f t="shared" si="122"/>
        <v>#REF!</v>
      </c>
      <c r="CC173" t="e">
        <f t="shared" si="122"/>
        <v>#REF!</v>
      </c>
      <c r="CD173" t="e">
        <f t="shared" si="135"/>
        <v>#REF!</v>
      </c>
      <c r="CE173" t="e">
        <f t="shared" si="135"/>
        <v>#REF!</v>
      </c>
      <c r="CF173" t="e">
        <f t="shared" si="133"/>
        <v>#REF!</v>
      </c>
      <c r="CG173" t="e">
        <f t="shared" si="133"/>
        <v>#REF!</v>
      </c>
      <c r="CH173" t="e">
        <f t="shared" si="133"/>
        <v>#REF!</v>
      </c>
      <c r="CI173" t="e">
        <f t="shared" si="133"/>
        <v>#REF!</v>
      </c>
      <c r="CJ173" t="e">
        <f t="shared" si="133"/>
        <v>#REF!</v>
      </c>
      <c r="CK173" t="e">
        <f t="shared" si="133"/>
        <v>#REF!</v>
      </c>
      <c r="CL173" t="e">
        <f t="shared" si="133"/>
        <v>#REF!</v>
      </c>
      <c r="CM173" t="e">
        <f t="shared" si="133"/>
        <v>#REF!</v>
      </c>
      <c r="CN173" t="e">
        <f t="shared" si="133"/>
        <v>#REF!</v>
      </c>
      <c r="CO173" t="e">
        <f t="shared" si="133"/>
        <v>#REF!</v>
      </c>
      <c r="CP173" t="e">
        <f t="shared" si="110"/>
        <v>#REF!</v>
      </c>
      <c r="CQ173" t="e">
        <f t="shared" ref="CQ173:DF203" si="136">MATCH(CONCATENATE(CQ$3,"_",$C173),auto_DataFlat_UID,0)</f>
        <v>#REF!</v>
      </c>
      <c r="CR173" t="e">
        <f t="shared" si="136"/>
        <v>#REF!</v>
      </c>
      <c r="CS173" t="e">
        <f t="shared" si="136"/>
        <v>#REF!</v>
      </c>
      <c r="CT173" t="e">
        <f t="shared" si="136"/>
        <v>#REF!</v>
      </c>
      <c r="CU173" t="e">
        <f t="shared" si="136"/>
        <v>#REF!</v>
      </c>
      <c r="CV173" t="e">
        <f t="shared" si="136"/>
        <v>#REF!</v>
      </c>
      <c r="CW173" t="e">
        <f t="shared" si="136"/>
        <v>#REF!</v>
      </c>
      <c r="CX173" t="e">
        <f t="shared" si="136"/>
        <v>#REF!</v>
      </c>
      <c r="CY173" t="e">
        <f t="shared" si="136"/>
        <v>#REF!</v>
      </c>
      <c r="CZ173" t="e">
        <f t="shared" si="126"/>
        <v>#REF!</v>
      </c>
      <c r="DA173" t="e">
        <f t="shared" si="126"/>
        <v>#REF!</v>
      </c>
      <c r="DB173" t="e">
        <f t="shared" si="126"/>
        <v>#REF!</v>
      </c>
      <c r="DC173" t="e">
        <f t="shared" si="126"/>
        <v>#REF!</v>
      </c>
      <c r="DD173" t="e">
        <f t="shared" si="126"/>
        <v>#REF!</v>
      </c>
      <c r="DE173" t="e">
        <f t="shared" si="126"/>
        <v>#REF!</v>
      </c>
      <c r="DF173" t="e">
        <f t="shared" si="126"/>
        <v>#REF!</v>
      </c>
      <c r="DG173" t="e">
        <f t="shared" si="126"/>
        <v>#REF!</v>
      </c>
      <c r="DH173" t="e">
        <f t="shared" si="126"/>
        <v>#REF!</v>
      </c>
      <c r="DI173" t="e">
        <f t="shared" si="126"/>
        <v>#REF!</v>
      </c>
      <c r="DJ173" t="e">
        <f t="shared" si="126"/>
        <v>#REF!</v>
      </c>
      <c r="DK173" t="e">
        <f t="shared" si="126"/>
        <v>#REF!</v>
      </c>
      <c r="DL173" t="e">
        <f t="shared" si="126"/>
        <v>#REF!</v>
      </c>
      <c r="DM173" t="e">
        <f t="shared" si="128"/>
        <v>#REF!</v>
      </c>
      <c r="DN173" t="e">
        <f t="shared" si="128"/>
        <v>#REF!</v>
      </c>
      <c r="DO173" t="e">
        <f t="shared" si="128"/>
        <v>#REF!</v>
      </c>
      <c r="DP173" t="e">
        <f t="shared" si="128"/>
        <v>#REF!</v>
      </c>
      <c r="DQ173" t="e">
        <f t="shared" si="128"/>
        <v>#REF!</v>
      </c>
      <c r="DR173" t="e">
        <f t="shared" si="128"/>
        <v>#REF!</v>
      </c>
      <c r="DS173" t="e">
        <f t="shared" si="128"/>
        <v>#REF!</v>
      </c>
      <c r="DT173" t="e">
        <f t="shared" si="128"/>
        <v>#REF!</v>
      </c>
      <c r="DU173" t="e">
        <f t="shared" si="128"/>
        <v>#REF!</v>
      </c>
      <c r="DV173" t="e">
        <f t="shared" si="128"/>
        <v>#REF!</v>
      </c>
      <c r="DW173" t="e">
        <f t="shared" si="128"/>
        <v>#REF!</v>
      </c>
      <c r="DX173" t="e">
        <f t="shared" si="128"/>
        <v>#REF!</v>
      </c>
      <c r="DY173" t="e">
        <f t="shared" si="128"/>
        <v>#REF!</v>
      </c>
      <c r="DZ173" t="e">
        <f t="shared" si="121"/>
        <v>#REF!</v>
      </c>
      <c r="EA173" t="e">
        <f t="shared" si="121"/>
        <v>#REF!</v>
      </c>
      <c r="EB173" t="e">
        <f t="shared" si="121"/>
        <v>#REF!</v>
      </c>
      <c r="EC173" t="e">
        <f t="shared" si="121"/>
        <v>#REF!</v>
      </c>
      <c r="ED173" t="e">
        <f t="shared" si="121"/>
        <v>#REF!</v>
      </c>
      <c r="EE173" t="e">
        <f t="shared" si="121"/>
        <v>#REF!</v>
      </c>
      <c r="EF173" t="e">
        <f t="shared" si="121"/>
        <v>#REF!</v>
      </c>
      <c r="EG173" t="e">
        <f t="shared" si="121"/>
        <v>#REF!</v>
      </c>
      <c r="EH173" t="e">
        <f t="shared" si="121"/>
        <v>#REF!</v>
      </c>
      <c r="EI173" t="e">
        <f t="shared" si="121"/>
        <v>#REF!</v>
      </c>
      <c r="EJ173" t="e">
        <f t="shared" si="121"/>
        <v>#REF!</v>
      </c>
      <c r="EK173" t="e">
        <f t="shared" si="121"/>
        <v>#REF!</v>
      </c>
      <c r="EL173" t="e">
        <f t="shared" si="112"/>
        <v>#REF!</v>
      </c>
      <c r="EM173" t="e">
        <f t="shared" si="112"/>
        <v>#REF!</v>
      </c>
    </row>
    <row r="174" spans="1:143" x14ac:dyDescent="0.4">
      <c r="A174" t="str">
        <f t="shared" si="120"/>
        <v>X</v>
      </c>
      <c r="B174">
        <v>171</v>
      </c>
      <c r="C174" t="e" cm="1">
        <f t="array" ref="C174">INDEX(auto_Series_Code,B174)</f>
        <v>#REF!</v>
      </c>
      <c r="D174" t="e">
        <f t="shared" si="130"/>
        <v>#REF!</v>
      </c>
      <c r="E174" t="e">
        <f t="shared" si="130"/>
        <v>#REF!</v>
      </c>
      <c r="F174" t="e">
        <f t="shared" si="130"/>
        <v>#REF!</v>
      </c>
      <c r="G174" t="e">
        <f t="shared" si="130"/>
        <v>#REF!</v>
      </c>
      <c r="H174" t="e">
        <f t="shared" si="130"/>
        <v>#REF!</v>
      </c>
      <c r="I174" t="e">
        <f t="shared" si="130"/>
        <v>#REF!</v>
      </c>
      <c r="J174" t="e">
        <f t="shared" si="130"/>
        <v>#REF!</v>
      </c>
      <c r="K174" t="e">
        <f t="shared" si="130"/>
        <v>#REF!</v>
      </c>
      <c r="L174" t="e">
        <f t="shared" si="130"/>
        <v>#REF!</v>
      </c>
      <c r="M174" t="e">
        <f t="shared" si="130"/>
        <v>#REF!</v>
      </c>
      <c r="N174" t="e">
        <f t="shared" si="130"/>
        <v>#REF!</v>
      </c>
      <c r="O174" t="e">
        <f t="shared" si="130"/>
        <v>#REF!</v>
      </c>
      <c r="P174" t="e">
        <f t="shared" si="130"/>
        <v>#REF!</v>
      </c>
      <c r="Q174" t="e">
        <f t="shared" si="130"/>
        <v>#REF!</v>
      </c>
      <c r="R174" t="e">
        <f t="shared" si="130"/>
        <v>#REF!</v>
      </c>
      <c r="S174" t="e">
        <f t="shared" si="130"/>
        <v>#REF!</v>
      </c>
      <c r="T174" t="e">
        <f t="shared" si="129"/>
        <v>#REF!</v>
      </c>
      <c r="U174" t="e">
        <f t="shared" si="129"/>
        <v>#REF!</v>
      </c>
      <c r="V174" t="e">
        <f t="shared" si="129"/>
        <v>#REF!</v>
      </c>
      <c r="W174" t="e">
        <f t="shared" si="129"/>
        <v>#REF!</v>
      </c>
      <c r="X174" t="e">
        <f t="shared" si="116"/>
        <v>#REF!</v>
      </c>
      <c r="Y174" t="e">
        <f t="shared" si="116"/>
        <v>#REF!</v>
      </c>
      <c r="Z174" t="e">
        <f t="shared" si="116"/>
        <v>#REF!</v>
      </c>
      <c r="AA174" t="e">
        <f t="shared" si="116"/>
        <v>#REF!</v>
      </c>
      <c r="AB174" t="e">
        <f t="shared" si="116"/>
        <v>#REF!</v>
      </c>
      <c r="AC174" t="e">
        <f t="shared" si="116"/>
        <v>#REF!</v>
      </c>
      <c r="AD174" t="e">
        <f t="shared" si="116"/>
        <v>#REF!</v>
      </c>
      <c r="AE174" t="e">
        <f t="shared" si="116"/>
        <v>#REF!</v>
      </c>
      <c r="AF174" t="e">
        <f t="shared" si="116"/>
        <v>#REF!</v>
      </c>
      <c r="AG174" t="e">
        <f t="shared" si="116"/>
        <v>#REF!</v>
      </c>
      <c r="AH174" t="e">
        <f t="shared" si="127"/>
        <v>#REF!</v>
      </c>
      <c r="AI174" t="e">
        <f t="shared" si="127"/>
        <v>#REF!</v>
      </c>
      <c r="AJ174" t="e">
        <f t="shared" si="127"/>
        <v>#REF!</v>
      </c>
      <c r="AK174" t="e">
        <f t="shared" si="127"/>
        <v>#REF!</v>
      </c>
      <c r="AL174" t="e">
        <f t="shared" si="127"/>
        <v>#REF!</v>
      </c>
      <c r="AM174" t="e">
        <f t="shared" si="127"/>
        <v>#REF!</v>
      </c>
      <c r="AN174" t="e">
        <f t="shared" si="127"/>
        <v>#REF!</v>
      </c>
      <c r="AO174" t="e">
        <f t="shared" si="127"/>
        <v>#REF!</v>
      </c>
      <c r="AP174" t="e">
        <f t="shared" si="127"/>
        <v>#REF!</v>
      </c>
      <c r="AQ174" t="e">
        <f t="shared" si="127"/>
        <v>#REF!</v>
      </c>
      <c r="AR174" t="e">
        <f t="shared" si="127"/>
        <v>#REF!</v>
      </c>
      <c r="AS174" t="e">
        <f t="shared" si="127"/>
        <v>#REF!</v>
      </c>
      <c r="AT174" t="e">
        <f t="shared" si="132"/>
        <v>#REF!</v>
      </c>
      <c r="AU174" t="e">
        <f t="shared" si="132"/>
        <v>#REF!</v>
      </c>
      <c r="AV174" t="e">
        <f t="shared" si="132"/>
        <v>#REF!</v>
      </c>
      <c r="AW174" t="e">
        <f t="shared" si="132"/>
        <v>#REF!</v>
      </c>
      <c r="AX174" t="e">
        <f t="shared" si="132"/>
        <v>#REF!</v>
      </c>
      <c r="AY174" t="e">
        <f t="shared" si="132"/>
        <v>#REF!</v>
      </c>
      <c r="AZ174" t="e">
        <f t="shared" si="132"/>
        <v>#REF!</v>
      </c>
      <c r="BA174" t="e">
        <f t="shared" si="132"/>
        <v>#REF!</v>
      </c>
      <c r="BB174" t="e">
        <f t="shared" si="132"/>
        <v>#REF!</v>
      </c>
      <c r="BC174" t="e">
        <f t="shared" si="132"/>
        <v>#REF!</v>
      </c>
      <c r="BD174" t="e">
        <f t="shared" si="132"/>
        <v>#REF!</v>
      </c>
      <c r="BE174" t="e">
        <f t="shared" si="132"/>
        <v>#REF!</v>
      </c>
      <c r="BF174" t="e">
        <f t="shared" si="132"/>
        <v>#REF!</v>
      </c>
      <c r="BG174" t="e">
        <f t="shared" si="132"/>
        <v>#REF!</v>
      </c>
      <c r="BH174" t="e">
        <f t="shared" si="132"/>
        <v>#REF!</v>
      </c>
      <c r="BI174" t="e">
        <f t="shared" si="132"/>
        <v>#REF!</v>
      </c>
      <c r="BJ174" t="e">
        <f t="shared" si="134"/>
        <v>#REF!</v>
      </c>
      <c r="BK174" t="e">
        <f t="shared" si="134"/>
        <v>#REF!</v>
      </c>
      <c r="BL174" t="e">
        <f t="shared" si="124"/>
        <v>#REF!</v>
      </c>
      <c r="BM174" t="e">
        <f t="shared" si="124"/>
        <v>#REF!</v>
      </c>
      <c r="BN174" t="e">
        <f t="shared" si="124"/>
        <v>#REF!</v>
      </c>
      <c r="BO174" t="e">
        <f t="shared" si="124"/>
        <v>#REF!</v>
      </c>
      <c r="BP174" t="e">
        <f t="shared" si="124"/>
        <v>#REF!</v>
      </c>
      <c r="BQ174" t="e">
        <f t="shared" si="124"/>
        <v>#REF!</v>
      </c>
      <c r="BR174" t="e">
        <f t="shared" si="124"/>
        <v>#REF!</v>
      </c>
      <c r="BS174" t="e">
        <f t="shared" si="124"/>
        <v>#REF!</v>
      </c>
      <c r="BT174" t="e">
        <f t="shared" si="124"/>
        <v>#REF!</v>
      </c>
      <c r="BU174" t="e">
        <f t="shared" si="124"/>
        <v>#REF!</v>
      </c>
      <c r="BV174" t="e">
        <f t="shared" si="122"/>
        <v>#REF!</v>
      </c>
      <c r="BW174" t="e">
        <f t="shared" si="122"/>
        <v>#REF!</v>
      </c>
      <c r="BX174" t="e">
        <f t="shared" si="122"/>
        <v>#REF!</v>
      </c>
      <c r="BY174" t="e">
        <f t="shared" si="122"/>
        <v>#REF!</v>
      </c>
      <c r="BZ174" t="e">
        <f t="shared" si="122"/>
        <v>#REF!</v>
      </c>
      <c r="CA174" t="e">
        <f t="shared" si="122"/>
        <v>#REF!</v>
      </c>
      <c r="CB174" t="e">
        <f t="shared" si="122"/>
        <v>#REF!</v>
      </c>
      <c r="CC174" t="e">
        <f t="shared" si="122"/>
        <v>#REF!</v>
      </c>
      <c r="CD174" t="e">
        <f t="shared" si="135"/>
        <v>#REF!</v>
      </c>
      <c r="CE174" t="e">
        <f t="shared" si="135"/>
        <v>#REF!</v>
      </c>
      <c r="CF174" t="e">
        <f t="shared" si="133"/>
        <v>#REF!</v>
      </c>
      <c r="CG174" t="e">
        <f t="shared" si="133"/>
        <v>#REF!</v>
      </c>
      <c r="CH174" t="e">
        <f t="shared" si="133"/>
        <v>#REF!</v>
      </c>
      <c r="CI174" t="e">
        <f t="shared" si="133"/>
        <v>#REF!</v>
      </c>
      <c r="CJ174" t="e">
        <f t="shared" si="133"/>
        <v>#REF!</v>
      </c>
      <c r="CK174" t="e">
        <f t="shared" si="133"/>
        <v>#REF!</v>
      </c>
      <c r="CL174" t="e">
        <f t="shared" si="133"/>
        <v>#REF!</v>
      </c>
      <c r="CM174" t="e">
        <f t="shared" si="133"/>
        <v>#REF!</v>
      </c>
      <c r="CN174" t="e">
        <f t="shared" si="133"/>
        <v>#REF!</v>
      </c>
      <c r="CO174" t="e">
        <f t="shared" si="133"/>
        <v>#REF!</v>
      </c>
      <c r="CP174" t="e">
        <f t="shared" si="133"/>
        <v>#REF!</v>
      </c>
      <c r="CQ174" t="e">
        <f t="shared" si="133"/>
        <v>#REF!</v>
      </c>
      <c r="CR174" t="e">
        <f t="shared" si="133"/>
        <v>#REF!</v>
      </c>
      <c r="CS174" t="e">
        <f t="shared" si="133"/>
        <v>#REF!</v>
      </c>
      <c r="CT174" t="e">
        <f t="shared" si="133"/>
        <v>#REF!</v>
      </c>
      <c r="CU174" t="e">
        <f t="shared" si="136"/>
        <v>#REF!</v>
      </c>
      <c r="CV174" t="e">
        <f t="shared" si="136"/>
        <v>#REF!</v>
      </c>
      <c r="CW174" t="e">
        <f t="shared" si="136"/>
        <v>#REF!</v>
      </c>
      <c r="CX174" t="e">
        <f t="shared" si="136"/>
        <v>#REF!</v>
      </c>
      <c r="CY174" t="e">
        <f t="shared" si="136"/>
        <v>#REF!</v>
      </c>
      <c r="CZ174" t="e">
        <f t="shared" si="126"/>
        <v>#REF!</v>
      </c>
      <c r="DA174" t="e">
        <f t="shared" si="126"/>
        <v>#REF!</v>
      </c>
      <c r="DB174" t="e">
        <f t="shared" si="126"/>
        <v>#REF!</v>
      </c>
      <c r="DC174" t="e">
        <f t="shared" si="126"/>
        <v>#REF!</v>
      </c>
      <c r="DD174" t="e">
        <f t="shared" si="126"/>
        <v>#REF!</v>
      </c>
      <c r="DE174" t="e">
        <f t="shared" si="126"/>
        <v>#REF!</v>
      </c>
      <c r="DF174" t="e">
        <f t="shared" si="126"/>
        <v>#REF!</v>
      </c>
      <c r="DG174" t="e">
        <f t="shared" si="126"/>
        <v>#REF!</v>
      </c>
      <c r="DH174" t="e">
        <f t="shared" si="126"/>
        <v>#REF!</v>
      </c>
      <c r="DI174" t="e">
        <f t="shared" si="126"/>
        <v>#REF!</v>
      </c>
      <c r="DJ174" t="e">
        <f t="shared" si="126"/>
        <v>#REF!</v>
      </c>
      <c r="DK174" t="e">
        <f t="shared" si="126"/>
        <v>#REF!</v>
      </c>
      <c r="DL174" t="e">
        <f t="shared" si="126"/>
        <v>#REF!</v>
      </c>
      <c r="DM174" t="e">
        <f t="shared" si="128"/>
        <v>#REF!</v>
      </c>
      <c r="DN174" t="e">
        <f t="shared" si="128"/>
        <v>#REF!</v>
      </c>
      <c r="DO174" t="e">
        <f t="shared" si="128"/>
        <v>#REF!</v>
      </c>
      <c r="DP174" t="e">
        <f t="shared" si="128"/>
        <v>#REF!</v>
      </c>
      <c r="DQ174" t="e">
        <f t="shared" si="128"/>
        <v>#REF!</v>
      </c>
      <c r="DR174" t="e">
        <f t="shared" si="128"/>
        <v>#REF!</v>
      </c>
      <c r="DS174" t="e">
        <f t="shared" si="128"/>
        <v>#REF!</v>
      </c>
      <c r="DT174" t="e">
        <f t="shared" si="128"/>
        <v>#REF!</v>
      </c>
      <c r="DU174" t="e">
        <f t="shared" si="128"/>
        <v>#REF!</v>
      </c>
      <c r="DV174" t="e">
        <f t="shared" si="128"/>
        <v>#REF!</v>
      </c>
      <c r="DW174" t="e">
        <f t="shared" si="128"/>
        <v>#REF!</v>
      </c>
      <c r="DX174" t="e">
        <f t="shared" si="128"/>
        <v>#REF!</v>
      </c>
      <c r="DY174" t="e">
        <f t="shared" si="128"/>
        <v>#REF!</v>
      </c>
      <c r="DZ174" t="e">
        <f t="shared" si="121"/>
        <v>#REF!</v>
      </c>
      <c r="EA174" t="e">
        <f t="shared" si="121"/>
        <v>#REF!</v>
      </c>
      <c r="EB174" t="e">
        <f t="shared" si="121"/>
        <v>#REF!</v>
      </c>
      <c r="EC174" t="e">
        <f t="shared" si="121"/>
        <v>#REF!</v>
      </c>
      <c r="ED174" t="e">
        <f t="shared" si="121"/>
        <v>#REF!</v>
      </c>
      <c r="EE174" t="e">
        <f t="shared" si="121"/>
        <v>#REF!</v>
      </c>
      <c r="EF174" t="e">
        <f t="shared" si="121"/>
        <v>#REF!</v>
      </c>
      <c r="EG174" t="e">
        <f t="shared" si="121"/>
        <v>#REF!</v>
      </c>
      <c r="EH174" t="e">
        <f t="shared" si="121"/>
        <v>#REF!</v>
      </c>
      <c r="EI174" t="e">
        <f t="shared" si="121"/>
        <v>#REF!</v>
      </c>
      <c r="EJ174" t="e">
        <f t="shared" si="121"/>
        <v>#REF!</v>
      </c>
      <c r="EK174" t="e">
        <f t="shared" si="121"/>
        <v>#REF!</v>
      </c>
      <c r="EL174" t="e">
        <f t="shared" si="112"/>
        <v>#REF!</v>
      </c>
      <c r="EM174" t="e">
        <f t="shared" si="112"/>
        <v>#REF!</v>
      </c>
    </row>
    <row r="175" spans="1:143" x14ac:dyDescent="0.4">
      <c r="A175" t="str">
        <f t="shared" si="120"/>
        <v>X</v>
      </c>
      <c r="B175">
        <v>172</v>
      </c>
      <c r="C175" t="e" cm="1">
        <f t="array" ref="C175">INDEX(auto_Series_Code,B175)</f>
        <v>#REF!</v>
      </c>
      <c r="D175" t="e">
        <f t="shared" si="130"/>
        <v>#REF!</v>
      </c>
      <c r="E175" t="e">
        <f t="shared" si="130"/>
        <v>#REF!</v>
      </c>
      <c r="F175" t="e">
        <f t="shared" si="130"/>
        <v>#REF!</v>
      </c>
      <c r="G175" t="e">
        <f t="shared" si="130"/>
        <v>#REF!</v>
      </c>
      <c r="H175" t="e">
        <f t="shared" si="130"/>
        <v>#REF!</v>
      </c>
      <c r="I175" t="e">
        <f t="shared" si="130"/>
        <v>#REF!</v>
      </c>
      <c r="J175" t="e">
        <f t="shared" si="130"/>
        <v>#REF!</v>
      </c>
      <c r="K175" t="e">
        <f t="shared" si="130"/>
        <v>#REF!</v>
      </c>
      <c r="L175" t="e">
        <f t="shared" si="130"/>
        <v>#REF!</v>
      </c>
      <c r="M175" t="e">
        <f t="shared" si="130"/>
        <v>#REF!</v>
      </c>
      <c r="N175" t="e">
        <f t="shared" si="130"/>
        <v>#REF!</v>
      </c>
      <c r="O175" t="e">
        <f t="shared" si="130"/>
        <v>#REF!</v>
      </c>
      <c r="P175" t="e">
        <f t="shared" si="130"/>
        <v>#REF!</v>
      </c>
      <c r="Q175" t="e">
        <f t="shared" si="130"/>
        <v>#REF!</v>
      </c>
      <c r="R175" t="e">
        <f t="shared" si="130"/>
        <v>#REF!</v>
      </c>
      <c r="S175" t="e">
        <f t="shared" si="130"/>
        <v>#REF!</v>
      </c>
      <c r="T175" t="e">
        <f t="shared" si="129"/>
        <v>#REF!</v>
      </c>
      <c r="U175" t="e">
        <f t="shared" si="129"/>
        <v>#REF!</v>
      </c>
      <c r="V175" t="e">
        <f t="shared" si="129"/>
        <v>#REF!</v>
      </c>
      <c r="W175" t="e">
        <f t="shared" si="129"/>
        <v>#REF!</v>
      </c>
      <c r="X175" t="e">
        <f t="shared" si="116"/>
        <v>#REF!</v>
      </c>
      <c r="Y175" t="e">
        <f t="shared" si="116"/>
        <v>#REF!</v>
      </c>
      <c r="Z175" t="e">
        <f t="shared" si="116"/>
        <v>#REF!</v>
      </c>
      <c r="AA175" t="e">
        <f t="shared" si="116"/>
        <v>#REF!</v>
      </c>
      <c r="AB175" t="e">
        <f t="shared" si="116"/>
        <v>#REF!</v>
      </c>
      <c r="AC175" t="e">
        <f t="shared" si="116"/>
        <v>#REF!</v>
      </c>
      <c r="AD175" t="e">
        <f t="shared" si="116"/>
        <v>#REF!</v>
      </c>
      <c r="AE175" t="e">
        <f t="shared" si="116"/>
        <v>#REF!</v>
      </c>
      <c r="AF175" t="e">
        <f t="shared" si="116"/>
        <v>#REF!</v>
      </c>
      <c r="AG175" t="e">
        <f t="shared" si="116"/>
        <v>#REF!</v>
      </c>
      <c r="AH175" t="e">
        <f t="shared" si="127"/>
        <v>#REF!</v>
      </c>
      <c r="AI175" t="e">
        <f t="shared" si="127"/>
        <v>#REF!</v>
      </c>
      <c r="AJ175" t="e">
        <f t="shared" si="127"/>
        <v>#REF!</v>
      </c>
      <c r="AK175" t="e">
        <f t="shared" si="127"/>
        <v>#REF!</v>
      </c>
      <c r="AL175" t="e">
        <f t="shared" si="127"/>
        <v>#REF!</v>
      </c>
      <c r="AM175" t="e">
        <f t="shared" si="127"/>
        <v>#REF!</v>
      </c>
      <c r="AN175" t="e">
        <f t="shared" si="127"/>
        <v>#REF!</v>
      </c>
      <c r="AO175" t="e">
        <f t="shared" si="127"/>
        <v>#REF!</v>
      </c>
      <c r="AP175" t="e">
        <f t="shared" si="127"/>
        <v>#REF!</v>
      </c>
      <c r="AQ175" t="e">
        <f t="shared" si="127"/>
        <v>#REF!</v>
      </c>
      <c r="AR175" t="e">
        <f t="shared" si="127"/>
        <v>#REF!</v>
      </c>
      <c r="AS175" t="e">
        <f t="shared" si="127"/>
        <v>#REF!</v>
      </c>
      <c r="AT175" t="e">
        <f t="shared" si="132"/>
        <v>#REF!</v>
      </c>
      <c r="AU175" t="e">
        <f t="shared" si="132"/>
        <v>#REF!</v>
      </c>
      <c r="AV175" t="e">
        <f t="shared" si="132"/>
        <v>#REF!</v>
      </c>
      <c r="AW175" t="e">
        <f t="shared" si="132"/>
        <v>#REF!</v>
      </c>
      <c r="AX175" t="e">
        <f t="shared" si="132"/>
        <v>#REF!</v>
      </c>
      <c r="AY175" t="e">
        <f t="shared" si="132"/>
        <v>#REF!</v>
      </c>
      <c r="AZ175" t="e">
        <f t="shared" si="132"/>
        <v>#REF!</v>
      </c>
      <c r="BA175" t="e">
        <f t="shared" si="132"/>
        <v>#REF!</v>
      </c>
      <c r="BB175" t="e">
        <f t="shared" si="132"/>
        <v>#REF!</v>
      </c>
      <c r="BC175" t="e">
        <f t="shared" si="132"/>
        <v>#REF!</v>
      </c>
      <c r="BD175" t="e">
        <f t="shared" si="132"/>
        <v>#REF!</v>
      </c>
      <c r="BE175" t="e">
        <f t="shared" si="132"/>
        <v>#REF!</v>
      </c>
      <c r="BF175" t="e">
        <f t="shared" si="132"/>
        <v>#REF!</v>
      </c>
      <c r="BG175" t="e">
        <f t="shared" si="132"/>
        <v>#REF!</v>
      </c>
      <c r="BH175" t="e">
        <f t="shared" si="132"/>
        <v>#REF!</v>
      </c>
      <c r="BI175" t="e">
        <f t="shared" si="132"/>
        <v>#REF!</v>
      </c>
      <c r="BJ175" t="e">
        <f t="shared" si="134"/>
        <v>#REF!</v>
      </c>
      <c r="BK175" t="e">
        <f t="shared" si="134"/>
        <v>#REF!</v>
      </c>
      <c r="BL175" t="e">
        <f t="shared" si="124"/>
        <v>#REF!</v>
      </c>
      <c r="BM175" t="e">
        <f t="shared" si="124"/>
        <v>#REF!</v>
      </c>
      <c r="BN175" t="e">
        <f t="shared" si="124"/>
        <v>#REF!</v>
      </c>
      <c r="BO175" t="e">
        <f t="shared" si="124"/>
        <v>#REF!</v>
      </c>
      <c r="BP175" t="e">
        <f t="shared" si="124"/>
        <v>#REF!</v>
      </c>
      <c r="BQ175" t="e">
        <f t="shared" si="124"/>
        <v>#REF!</v>
      </c>
      <c r="BR175" t="e">
        <f t="shared" si="124"/>
        <v>#REF!</v>
      </c>
      <c r="BS175" t="e">
        <f t="shared" si="124"/>
        <v>#REF!</v>
      </c>
      <c r="BT175" t="e">
        <f t="shared" si="124"/>
        <v>#REF!</v>
      </c>
      <c r="BU175" t="e">
        <f t="shared" si="124"/>
        <v>#REF!</v>
      </c>
      <c r="BV175" t="e">
        <f t="shared" si="122"/>
        <v>#REF!</v>
      </c>
      <c r="BW175" t="e">
        <f t="shared" si="122"/>
        <v>#REF!</v>
      </c>
      <c r="BX175" t="e">
        <f t="shared" si="122"/>
        <v>#REF!</v>
      </c>
      <c r="BY175" t="e">
        <f t="shared" si="122"/>
        <v>#REF!</v>
      </c>
      <c r="BZ175" t="e">
        <f t="shared" si="122"/>
        <v>#REF!</v>
      </c>
      <c r="CA175" t="e">
        <f t="shared" si="122"/>
        <v>#REF!</v>
      </c>
      <c r="CB175" t="e">
        <f t="shared" si="122"/>
        <v>#REF!</v>
      </c>
      <c r="CC175" t="e">
        <f t="shared" si="122"/>
        <v>#REF!</v>
      </c>
      <c r="CD175" t="e">
        <f t="shared" si="135"/>
        <v>#REF!</v>
      </c>
      <c r="CE175" t="e">
        <f t="shared" si="135"/>
        <v>#REF!</v>
      </c>
      <c r="CF175" t="e">
        <f t="shared" si="133"/>
        <v>#REF!</v>
      </c>
      <c r="CG175" t="e">
        <f t="shared" si="133"/>
        <v>#REF!</v>
      </c>
      <c r="CH175" t="e">
        <f t="shared" si="133"/>
        <v>#REF!</v>
      </c>
      <c r="CI175" t="e">
        <f t="shared" si="133"/>
        <v>#REF!</v>
      </c>
      <c r="CJ175" t="e">
        <f t="shared" si="133"/>
        <v>#REF!</v>
      </c>
      <c r="CK175" t="e">
        <f t="shared" si="133"/>
        <v>#REF!</v>
      </c>
      <c r="CL175" t="e">
        <f t="shared" si="133"/>
        <v>#REF!</v>
      </c>
      <c r="CM175" t="e">
        <f t="shared" si="133"/>
        <v>#REF!</v>
      </c>
      <c r="CN175" t="e">
        <f t="shared" si="133"/>
        <v>#REF!</v>
      </c>
      <c r="CO175" t="e">
        <f t="shared" si="133"/>
        <v>#REF!</v>
      </c>
      <c r="CP175" t="e">
        <f t="shared" si="133"/>
        <v>#REF!</v>
      </c>
      <c r="CQ175" t="e">
        <f t="shared" si="133"/>
        <v>#REF!</v>
      </c>
      <c r="CR175" t="e">
        <f t="shared" si="133"/>
        <v>#REF!</v>
      </c>
      <c r="CS175" t="e">
        <f t="shared" si="133"/>
        <v>#REF!</v>
      </c>
      <c r="CT175" t="e">
        <f t="shared" si="133"/>
        <v>#REF!</v>
      </c>
      <c r="CU175" t="e">
        <f t="shared" si="136"/>
        <v>#REF!</v>
      </c>
      <c r="CV175" t="e">
        <f t="shared" si="136"/>
        <v>#REF!</v>
      </c>
      <c r="CW175" t="e">
        <f t="shared" si="136"/>
        <v>#REF!</v>
      </c>
      <c r="CX175" t="e">
        <f t="shared" si="136"/>
        <v>#REF!</v>
      </c>
      <c r="CY175" t="e">
        <f t="shared" si="136"/>
        <v>#REF!</v>
      </c>
      <c r="CZ175" t="e">
        <f t="shared" si="126"/>
        <v>#REF!</v>
      </c>
      <c r="DA175" t="e">
        <f t="shared" si="126"/>
        <v>#REF!</v>
      </c>
      <c r="DB175" t="e">
        <f t="shared" si="126"/>
        <v>#REF!</v>
      </c>
      <c r="DC175" t="e">
        <f t="shared" si="126"/>
        <v>#REF!</v>
      </c>
      <c r="DD175" t="e">
        <f t="shared" si="126"/>
        <v>#REF!</v>
      </c>
      <c r="DE175" t="e">
        <f t="shared" si="126"/>
        <v>#REF!</v>
      </c>
      <c r="DF175" t="e">
        <f t="shared" si="126"/>
        <v>#REF!</v>
      </c>
      <c r="DG175" t="e">
        <f t="shared" si="126"/>
        <v>#REF!</v>
      </c>
      <c r="DH175" t="e">
        <f t="shared" si="126"/>
        <v>#REF!</v>
      </c>
      <c r="DI175" t="e">
        <f t="shared" si="126"/>
        <v>#REF!</v>
      </c>
      <c r="DJ175" t="e">
        <f t="shared" si="126"/>
        <v>#REF!</v>
      </c>
      <c r="DK175" t="e">
        <f t="shared" si="126"/>
        <v>#REF!</v>
      </c>
      <c r="DL175" t="e">
        <f t="shared" si="126"/>
        <v>#REF!</v>
      </c>
      <c r="DM175" t="e">
        <f t="shared" si="128"/>
        <v>#REF!</v>
      </c>
      <c r="DN175" t="e">
        <f t="shared" si="128"/>
        <v>#REF!</v>
      </c>
      <c r="DO175" t="e">
        <f t="shared" si="128"/>
        <v>#REF!</v>
      </c>
      <c r="DP175" t="e">
        <f t="shared" si="128"/>
        <v>#REF!</v>
      </c>
      <c r="DQ175" t="e">
        <f t="shared" si="128"/>
        <v>#REF!</v>
      </c>
      <c r="DR175" t="e">
        <f t="shared" si="128"/>
        <v>#REF!</v>
      </c>
      <c r="DS175" t="e">
        <f t="shared" si="128"/>
        <v>#REF!</v>
      </c>
      <c r="DT175" t="e">
        <f t="shared" si="128"/>
        <v>#REF!</v>
      </c>
      <c r="DU175" t="e">
        <f t="shared" si="128"/>
        <v>#REF!</v>
      </c>
      <c r="DV175" t="e">
        <f t="shared" si="128"/>
        <v>#REF!</v>
      </c>
      <c r="DW175" t="e">
        <f t="shared" si="128"/>
        <v>#REF!</v>
      </c>
      <c r="DX175" t="e">
        <f t="shared" si="128"/>
        <v>#REF!</v>
      </c>
      <c r="DY175" t="e">
        <f t="shared" si="128"/>
        <v>#REF!</v>
      </c>
      <c r="DZ175" t="e">
        <f t="shared" si="121"/>
        <v>#REF!</v>
      </c>
      <c r="EA175" t="e">
        <f t="shared" si="121"/>
        <v>#REF!</v>
      </c>
      <c r="EB175" t="e">
        <f t="shared" si="121"/>
        <v>#REF!</v>
      </c>
      <c r="EC175" t="e">
        <f t="shared" si="121"/>
        <v>#REF!</v>
      </c>
      <c r="ED175" t="e">
        <f t="shared" si="121"/>
        <v>#REF!</v>
      </c>
      <c r="EE175" t="e">
        <f t="shared" si="121"/>
        <v>#REF!</v>
      </c>
      <c r="EF175" t="e">
        <f t="shared" si="121"/>
        <v>#REF!</v>
      </c>
      <c r="EG175" t="e">
        <f t="shared" si="121"/>
        <v>#REF!</v>
      </c>
      <c r="EH175" t="e">
        <f t="shared" si="121"/>
        <v>#REF!</v>
      </c>
      <c r="EI175" t="e">
        <f t="shared" si="121"/>
        <v>#REF!</v>
      </c>
      <c r="EJ175" t="e">
        <f t="shared" si="121"/>
        <v>#REF!</v>
      </c>
      <c r="EK175" t="e">
        <f t="shared" si="121"/>
        <v>#REF!</v>
      </c>
      <c r="EL175" t="e">
        <f t="shared" si="112"/>
        <v>#REF!</v>
      </c>
      <c r="EM175" t="e">
        <f t="shared" si="112"/>
        <v>#REF!</v>
      </c>
    </row>
    <row r="176" spans="1:143" x14ac:dyDescent="0.4">
      <c r="A176" t="str">
        <f t="shared" si="120"/>
        <v>X</v>
      </c>
      <c r="B176">
        <v>173</v>
      </c>
      <c r="C176" t="e" cm="1">
        <f t="array" ref="C176">INDEX(auto_Series_Code,B176)</f>
        <v>#REF!</v>
      </c>
      <c r="D176" t="e">
        <f t="shared" si="130"/>
        <v>#REF!</v>
      </c>
      <c r="E176" t="e">
        <f t="shared" si="130"/>
        <v>#REF!</v>
      </c>
      <c r="F176" t="e">
        <f t="shared" si="130"/>
        <v>#REF!</v>
      </c>
      <c r="G176" t="e">
        <f t="shared" si="130"/>
        <v>#REF!</v>
      </c>
      <c r="H176" t="e">
        <f t="shared" si="130"/>
        <v>#REF!</v>
      </c>
      <c r="I176" t="e">
        <f t="shared" si="130"/>
        <v>#REF!</v>
      </c>
      <c r="J176" t="e">
        <f t="shared" si="130"/>
        <v>#REF!</v>
      </c>
      <c r="K176" t="e">
        <f t="shared" si="130"/>
        <v>#REF!</v>
      </c>
      <c r="L176" t="e">
        <f t="shared" si="130"/>
        <v>#REF!</v>
      </c>
      <c r="M176" t="e">
        <f t="shared" si="130"/>
        <v>#REF!</v>
      </c>
      <c r="N176" t="e">
        <f t="shared" si="130"/>
        <v>#REF!</v>
      </c>
      <c r="O176" t="e">
        <f t="shared" si="130"/>
        <v>#REF!</v>
      </c>
      <c r="P176" t="e">
        <f t="shared" si="130"/>
        <v>#REF!</v>
      </c>
      <c r="Q176" t="e">
        <f t="shared" si="130"/>
        <v>#REF!</v>
      </c>
      <c r="R176" t="e">
        <f t="shared" si="130"/>
        <v>#REF!</v>
      </c>
      <c r="S176" t="e">
        <f t="shared" si="130"/>
        <v>#REF!</v>
      </c>
      <c r="T176" t="e">
        <f t="shared" si="129"/>
        <v>#REF!</v>
      </c>
      <c r="U176" t="e">
        <f t="shared" si="129"/>
        <v>#REF!</v>
      </c>
      <c r="V176" t="e">
        <f t="shared" si="129"/>
        <v>#REF!</v>
      </c>
      <c r="W176" t="e">
        <f t="shared" si="129"/>
        <v>#REF!</v>
      </c>
      <c r="X176" t="e">
        <f t="shared" si="116"/>
        <v>#REF!</v>
      </c>
      <c r="Y176" t="e">
        <f t="shared" si="116"/>
        <v>#REF!</v>
      </c>
      <c r="Z176" t="e">
        <f t="shared" si="116"/>
        <v>#REF!</v>
      </c>
      <c r="AA176" t="e">
        <f t="shared" si="116"/>
        <v>#REF!</v>
      </c>
      <c r="AB176" t="e">
        <f t="shared" si="116"/>
        <v>#REF!</v>
      </c>
      <c r="AC176" t="e">
        <f t="shared" si="116"/>
        <v>#REF!</v>
      </c>
      <c r="AD176" t="e">
        <f t="shared" si="116"/>
        <v>#REF!</v>
      </c>
      <c r="AE176" t="e">
        <f t="shared" si="116"/>
        <v>#REF!</v>
      </c>
      <c r="AF176" t="e">
        <f t="shared" si="116"/>
        <v>#REF!</v>
      </c>
      <c r="AG176" t="e">
        <f t="shared" si="116"/>
        <v>#REF!</v>
      </c>
      <c r="AH176" t="e">
        <f t="shared" si="127"/>
        <v>#REF!</v>
      </c>
      <c r="AI176" t="e">
        <f t="shared" si="127"/>
        <v>#REF!</v>
      </c>
      <c r="AJ176" t="e">
        <f t="shared" si="127"/>
        <v>#REF!</v>
      </c>
      <c r="AK176" t="e">
        <f t="shared" si="127"/>
        <v>#REF!</v>
      </c>
      <c r="AL176" t="e">
        <f t="shared" si="127"/>
        <v>#REF!</v>
      </c>
      <c r="AM176" t="e">
        <f t="shared" si="127"/>
        <v>#REF!</v>
      </c>
      <c r="AN176" t="e">
        <f t="shared" si="127"/>
        <v>#REF!</v>
      </c>
      <c r="AO176" t="e">
        <f t="shared" si="127"/>
        <v>#REF!</v>
      </c>
      <c r="AP176" t="e">
        <f t="shared" si="127"/>
        <v>#REF!</v>
      </c>
      <c r="AQ176" t="e">
        <f t="shared" si="127"/>
        <v>#REF!</v>
      </c>
      <c r="AR176" t="e">
        <f t="shared" si="127"/>
        <v>#REF!</v>
      </c>
      <c r="AS176" t="e">
        <f t="shared" si="127"/>
        <v>#REF!</v>
      </c>
      <c r="AT176" t="e">
        <f t="shared" si="132"/>
        <v>#REF!</v>
      </c>
      <c r="AU176" t="e">
        <f t="shared" si="132"/>
        <v>#REF!</v>
      </c>
      <c r="AV176" t="e">
        <f t="shared" si="132"/>
        <v>#REF!</v>
      </c>
      <c r="AW176" t="e">
        <f t="shared" si="132"/>
        <v>#REF!</v>
      </c>
      <c r="AX176" t="e">
        <f t="shared" si="132"/>
        <v>#REF!</v>
      </c>
      <c r="AY176" t="e">
        <f t="shared" si="132"/>
        <v>#REF!</v>
      </c>
      <c r="AZ176" t="e">
        <f t="shared" si="132"/>
        <v>#REF!</v>
      </c>
      <c r="BA176" t="e">
        <f t="shared" si="132"/>
        <v>#REF!</v>
      </c>
      <c r="BB176" t="e">
        <f t="shared" si="132"/>
        <v>#REF!</v>
      </c>
      <c r="BC176" t="e">
        <f t="shared" si="132"/>
        <v>#REF!</v>
      </c>
      <c r="BD176" t="e">
        <f t="shared" si="132"/>
        <v>#REF!</v>
      </c>
      <c r="BE176" t="e">
        <f t="shared" si="132"/>
        <v>#REF!</v>
      </c>
      <c r="BF176" t="e">
        <f t="shared" si="132"/>
        <v>#REF!</v>
      </c>
      <c r="BG176" t="e">
        <f t="shared" si="132"/>
        <v>#REF!</v>
      </c>
      <c r="BH176" t="e">
        <f t="shared" si="132"/>
        <v>#REF!</v>
      </c>
      <c r="BI176" t="e">
        <f t="shared" si="132"/>
        <v>#REF!</v>
      </c>
      <c r="BJ176" t="e">
        <f t="shared" si="134"/>
        <v>#REF!</v>
      </c>
      <c r="BK176" t="e">
        <f t="shared" si="134"/>
        <v>#REF!</v>
      </c>
      <c r="BL176" t="e">
        <f t="shared" si="124"/>
        <v>#REF!</v>
      </c>
      <c r="BM176" t="e">
        <f t="shared" si="124"/>
        <v>#REF!</v>
      </c>
      <c r="BN176" t="e">
        <f t="shared" si="124"/>
        <v>#REF!</v>
      </c>
      <c r="BO176" t="e">
        <f t="shared" si="124"/>
        <v>#REF!</v>
      </c>
      <c r="BP176" t="e">
        <f t="shared" si="124"/>
        <v>#REF!</v>
      </c>
      <c r="BQ176" t="e">
        <f t="shared" si="124"/>
        <v>#REF!</v>
      </c>
      <c r="BR176" t="e">
        <f t="shared" si="124"/>
        <v>#REF!</v>
      </c>
      <c r="BS176" t="e">
        <f t="shared" si="124"/>
        <v>#REF!</v>
      </c>
      <c r="BT176" t="e">
        <f t="shared" si="124"/>
        <v>#REF!</v>
      </c>
      <c r="BU176" t="e">
        <f t="shared" si="124"/>
        <v>#REF!</v>
      </c>
      <c r="BV176" t="e">
        <f t="shared" si="122"/>
        <v>#REF!</v>
      </c>
      <c r="BW176" t="e">
        <f t="shared" si="122"/>
        <v>#REF!</v>
      </c>
      <c r="BX176" t="e">
        <f t="shared" si="122"/>
        <v>#REF!</v>
      </c>
      <c r="BY176" t="e">
        <f t="shared" si="122"/>
        <v>#REF!</v>
      </c>
      <c r="BZ176" t="e">
        <f t="shared" si="122"/>
        <v>#REF!</v>
      </c>
      <c r="CA176" t="e">
        <f t="shared" si="122"/>
        <v>#REF!</v>
      </c>
      <c r="CB176" t="e">
        <f t="shared" si="122"/>
        <v>#REF!</v>
      </c>
      <c r="CC176" t="e">
        <f t="shared" si="122"/>
        <v>#REF!</v>
      </c>
      <c r="CD176" t="e">
        <f t="shared" si="135"/>
        <v>#REF!</v>
      </c>
      <c r="CE176" t="e">
        <f t="shared" si="135"/>
        <v>#REF!</v>
      </c>
      <c r="CF176" t="e">
        <f t="shared" si="133"/>
        <v>#REF!</v>
      </c>
      <c r="CG176" t="e">
        <f t="shared" si="133"/>
        <v>#REF!</v>
      </c>
      <c r="CH176" t="e">
        <f t="shared" si="133"/>
        <v>#REF!</v>
      </c>
      <c r="CI176" t="e">
        <f t="shared" si="133"/>
        <v>#REF!</v>
      </c>
      <c r="CJ176" t="e">
        <f t="shared" si="133"/>
        <v>#REF!</v>
      </c>
      <c r="CK176" t="e">
        <f t="shared" si="133"/>
        <v>#REF!</v>
      </c>
      <c r="CL176" t="e">
        <f t="shared" si="133"/>
        <v>#REF!</v>
      </c>
      <c r="CM176" t="e">
        <f t="shared" si="133"/>
        <v>#REF!</v>
      </c>
      <c r="CN176" t="e">
        <f t="shared" si="133"/>
        <v>#REF!</v>
      </c>
      <c r="CO176" t="e">
        <f t="shared" si="133"/>
        <v>#REF!</v>
      </c>
      <c r="CP176" t="e">
        <f t="shared" si="133"/>
        <v>#REF!</v>
      </c>
      <c r="CQ176" t="e">
        <f t="shared" si="133"/>
        <v>#REF!</v>
      </c>
      <c r="CR176" t="e">
        <f t="shared" si="133"/>
        <v>#REF!</v>
      </c>
      <c r="CS176" t="e">
        <f t="shared" si="133"/>
        <v>#REF!</v>
      </c>
      <c r="CT176" t="e">
        <f t="shared" si="133"/>
        <v>#REF!</v>
      </c>
      <c r="CU176" t="e">
        <f t="shared" si="136"/>
        <v>#REF!</v>
      </c>
      <c r="CV176" t="e">
        <f t="shared" si="136"/>
        <v>#REF!</v>
      </c>
      <c r="CW176" t="e">
        <f t="shared" si="136"/>
        <v>#REF!</v>
      </c>
      <c r="CX176" t="e">
        <f t="shared" si="136"/>
        <v>#REF!</v>
      </c>
      <c r="CY176" t="e">
        <f t="shared" si="136"/>
        <v>#REF!</v>
      </c>
      <c r="CZ176" t="e">
        <f t="shared" si="126"/>
        <v>#REF!</v>
      </c>
      <c r="DA176" t="e">
        <f t="shared" si="126"/>
        <v>#REF!</v>
      </c>
      <c r="DB176" t="e">
        <f t="shared" si="126"/>
        <v>#REF!</v>
      </c>
      <c r="DC176" t="e">
        <f t="shared" si="126"/>
        <v>#REF!</v>
      </c>
      <c r="DD176" t="e">
        <f t="shared" si="126"/>
        <v>#REF!</v>
      </c>
      <c r="DE176" t="e">
        <f t="shared" si="126"/>
        <v>#REF!</v>
      </c>
      <c r="DF176" t="e">
        <f t="shared" si="126"/>
        <v>#REF!</v>
      </c>
      <c r="DG176" t="e">
        <f t="shared" si="126"/>
        <v>#REF!</v>
      </c>
      <c r="DH176" t="e">
        <f t="shared" si="126"/>
        <v>#REF!</v>
      </c>
      <c r="DI176" t="e">
        <f t="shared" si="126"/>
        <v>#REF!</v>
      </c>
      <c r="DJ176" t="e">
        <f t="shared" si="126"/>
        <v>#REF!</v>
      </c>
      <c r="DK176" t="e">
        <f t="shared" si="126"/>
        <v>#REF!</v>
      </c>
      <c r="DL176" t="e">
        <f t="shared" si="126"/>
        <v>#REF!</v>
      </c>
      <c r="DM176" t="e">
        <f t="shared" si="128"/>
        <v>#REF!</v>
      </c>
      <c r="DN176" t="e">
        <f t="shared" si="128"/>
        <v>#REF!</v>
      </c>
      <c r="DO176" t="e">
        <f t="shared" si="128"/>
        <v>#REF!</v>
      </c>
      <c r="DP176" t="e">
        <f t="shared" si="128"/>
        <v>#REF!</v>
      </c>
      <c r="DQ176" t="e">
        <f t="shared" si="128"/>
        <v>#REF!</v>
      </c>
      <c r="DR176" t="e">
        <f t="shared" si="128"/>
        <v>#REF!</v>
      </c>
      <c r="DS176" t="e">
        <f t="shared" si="128"/>
        <v>#REF!</v>
      </c>
      <c r="DT176" t="e">
        <f t="shared" si="128"/>
        <v>#REF!</v>
      </c>
      <c r="DU176" t="e">
        <f t="shared" si="128"/>
        <v>#REF!</v>
      </c>
      <c r="DV176" t="e">
        <f t="shared" si="128"/>
        <v>#REF!</v>
      </c>
      <c r="DW176" t="e">
        <f t="shared" si="128"/>
        <v>#REF!</v>
      </c>
      <c r="DX176" t="e">
        <f t="shared" si="128"/>
        <v>#REF!</v>
      </c>
      <c r="DY176" t="e">
        <f t="shared" si="128"/>
        <v>#REF!</v>
      </c>
      <c r="DZ176" t="e">
        <f t="shared" si="121"/>
        <v>#REF!</v>
      </c>
      <c r="EA176" t="e">
        <f t="shared" si="121"/>
        <v>#REF!</v>
      </c>
      <c r="EB176" t="e">
        <f t="shared" si="121"/>
        <v>#REF!</v>
      </c>
      <c r="EC176" t="e">
        <f t="shared" si="121"/>
        <v>#REF!</v>
      </c>
      <c r="ED176" t="e">
        <f t="shared" si="121"/>
        <v>#REF!</v>
      </c>
      <c r="EE176" t="e">
        <f t="shared" si="121"/>
        <v>#REF!</v>
      </c>
      <c r="EF176" t="e">
        <f t="shared" si="121"/>
        <v>#REF!</v>
      </c>
      <c r="EG176" t="e">
        <f t="shared" si="121"/>
        <v>#REF!</v>
      </c>
      <c r="EH176" t="e">
        <f t="shared" si="121"/>
        <v>#REF!</v>
      </c>
      <c r="EI176" t="e">
        <f t="shared" si="121"/>
        <v>#REF!</v>
      </c>
      <c r="EJ176" t="e">
        <f t="shared" si="121"/>
        <v>#REF!</v>
      </c>
      <c r="EK176" t="e">
        <f t="shared" ref="EK176:EM176" si="137">MATCH(CONCATENATE(EK$3,"_",$C176),auto_DataFlat_UID,0)</f>
        <v>#REF!</v>
      </c>
      <c r="EL176" t="e">
        <f t="shared" si="137"/>
        <v>#REF!</v>
      </c>
      <c r="EM176" t="e">
        <f t="shared" si="137"/>
        <v>#REF!</v>
      </c>
    </row>
    <row r="177" spans="1:143" x14ac:dyDescent="0.4">
      <c r="A177" t="str">
        <f t="shared" si="120"/>
        <v>X</v>
      </c>
      <c r="B177">
        <v>174</v>
      </c>
      <c r="C177" t="e" cm="1">
        <f t="array" ref="C177">INDEX(auto_Series_Code,B177)</f>
        <v>#REF!</v>
      </c>
      <c r="D177" t="e">
        <f t="shared" si="130"/>
        <v>#REF!</v>
      </c>
      <c r="E177" t="e">
        <f t="shared" si="130"/>
        <v>#REF!</v>
      </c>
      <c r="F177" t="e">
        <f t="shared" si="130"/>
        <v>#REF!</v>
      </c>
      <c r="G177" t="e">
        <f t="shared" si="130"/>
        <v>#REF!</v>
      </c>
      <c r="H177" t="e">
        <f t="shared" si="130"/>
        <v>#REF!</v>
      </c>
      <c r="I177" t="e">
        <f t="shared" si="130"/>
        <v>#REF!</v>
      </c>
      <c r="J177" t="e">
        <f t="shared" si="130"/>
        <v>#REF!</v>
      </c>
      <c r="K177" t="e">
        <f t="shared" si="130"/>
        <v>#REF!</v>
      </c>
      <c r="L177" t="e">
        <f t="shared" si="130"/>
        <v>#REF!</v>
      </c>
      <c r="M177" t="e">
        <f t="shared" si="130"/>
        <v>#REF!</v>
      </c>
      <c r="N177" t="e">
        <f t="shared" si="130"/>
        <v>#REF!</v>
      </c>
      <c r="O177" t="e">
        <f t="shared" si="130"/>
        <v>#REF!</v>
      </c>
      <c r="P177" t="e">
        <f t="shared" si="130"/>
        <v>#REF!</v>
      </c>
      <c r="Q177" t="e">
        <f t="shared" si="130"/>
        <v>#REF!</v>
      </c>
      <c r="R177" t="e">
        <f t="shared" si="130"/>
        <v>#REF!</v>
      </c>
      <c r="S177" t="e">
        <f t="shared" si="130"/>
        <v>#REF!</v>
      </c>
      <c r="T177" t="e">
        <f t="shared" si="129"/>
        <v>#REF!</v>
      </c>
      <c r="U177" t="e">
        <f t="shared" si="129"/>
        <v>#REF!</v>
      </c>
      <c r="V177" t="e">
        <f t="shared" si="129"/>
        <v>#REF!</v>
      </c>
      <c r="W177" t="e">
        <f t="shared" si="129"/>
        <v>#REF!</v>
      </c>
      <c r="X177" t="e">
        <f t="shared" si="116"/>
        <v>#REF!</v>
      </c>
      <c r="Y177" t="e">
        <f t="shared" si="116"/>
        <v>#REF!</v>
      </c>
      <c r="Z177" t="e">
        <f t="shared" si="116"/>
        <v>#REF!</v>
      </c>
      <c r="AA177" t="e">
        <f t="shared" si="116"/>
        <v>#REF!</v>
      </c>
      <c r="AB177" t="e">
        <f t="shared" si="116"/>
        <v>#REF!</v>
      </c>
      <c r="AC177" t="e">
        <f t="shared" si="116"/>
        <v>#REF!</v>
      </c>
      <c r="AD177" t="e">
        <f t="shared" si="116"/>
        <v>#REF!</v>
      </c>
      <c r="AE177" t="e">
        <f t="shared" si="116"/>
        <v>#REF!</v>
      </c>
      <c r="AF177" t="e">
        <f t="shared" si="116"/>
        <v>#REF!</v>
      </c>
      <c r="AG177" t="e">
        <f t="shared" si="116"/>
        <v>#REF!</v>
      </c>
      <c r="AH177" t="e">
        <f t="shared" si="127"/>
        <v>#REF!</v>
      </c>
      <c r="AI177" t="e">
        <f t="shared" si="127"/>
        <v>#REF!</v>
      </c>
      <c r="AJ177" t="e">
        <f t="shared" si="127"/>
        <v>#REF!</v>
      </c>
      <c r="AK177" t="e">
        <f t="shared" si="127"/>
        <v>#REF!</v>
      </c>
      <c r="AL177" t="e">
        <f t="shared" si="127"/>
        <v>#REF!</v>
      </c>
      <c r="AM177" t="e">
        <f t="shared" si="127"/>
        <v>#REF!</v>
      </c>
      <c r="AN177" t="e">
        <f t="shared" si="127"/>
        <v>#REF!</v>
      </c>
      <c r="AO177" t="e">
        <f t="shared" si="127"/>
        <v>#REF!</v>
      </c>
      <c r="AP177" t="e">
        <f t="shared" si="127"/>
        <v>#REF!</v>
      </c>
      <c r="AQ177" t="e">
        <f t="shared" si="127"/>
        <v>#REF!</v>
      </c>
      <c r="AR177" t="e">
        <f t="shared" si="127"/>
        <v>#REF!</v>
      </c>
      <c r="AS177" t="e">
        <f t="shared" si="127"/>
        <v>#REF!</v>
      </c>
      <c r="AT177" t="e">
        <f t="shared" si="132"/>
        <v>#REF!</v>
      </c>
      <c r="AU177" t="e">
        <f t="shared" si="132"/>
        <v>#REF!</v>
      </c>
      <c r="AV177" t="e">
        <f t="shared" si="132"/>
        <v>#REF!</v>
      </c>
      <c r="AW177" t="e">
        <f t="shared" si="132"/>
        <v>#REF!</v>
      </c>
      <c r="AX177" t="e">
        <f t="shared" si="132"/>
        <v>#REF!</v>
      </c>
      <c r="AY177" t="e">
        <f t="shared" si="132"/>
        <v>#REF!</v>
      </c>
      <c r="AZ177" t="e">
        <f t="shared" si="132"/>
        <v>#REF!</v>
      </c>
      <c r="BA177" t="e">
        <f t="shared" si="132"/>
        <v>#REF!</v>
      </c>
      <c r="BB177" t="e">
        <f t="shared" si="132"/>
        <v>#REF!</v>
      </c>
      <c r="BC177" t="e">
        <f t="shared" si="132"/>
        <v>#REF!</v>
      </c>
      <c r="BD177" t="e">
        <f t="shared" si="132"/>
        <v>#REF!</v>
      </c>
      <c r="BE177" t="e">
        <f t="shared" si="132"/>
        <v>#REF!</v>
      </c>
      <c r="BF177" t="e">
        <f t="shared" si="132"/>
        <v>#REF!</v>
      </c>
      <c r="BG177" t="e">
        <f t="shared" si="132"/>
        <v>#REF!</v>
      </c>
      <c r="BH177" t="e">
        <f t="shared" si="132"/>
        <v>#REF!</v>
      </c>
      <c r="BI177" t="e">
        <f t="shared" si="132"/>
        <v>#REF!</v>
      </c>
      <c r="BJ177" t="e">
        <f t="shared" si="134"/>
        <v>#REF!</v>
      </c>
      <c r="BK177" t="e">
        <f t="shared" si="134"/>
        <v>#REF!</v>
      </c>
      <c r="BL177" t="e">
        <f t="shared" si="124"/>
        <v>#REF!</v>
      </c>
      <c r="BM177" t="e">
        <f t="shared" si="124"/>
        <v>#REF!</v>
      </c>
      <c r="BN177" t="e">
        <f t="shared" si="124"/>
        <v>#REF!</v>
      </c>
      <c r="BO177" t="e">
        <f t="shared" si="124"/>
        <v>#REF!</v>
      </c>
      <c r="BP177" t="e">
        <f t="shared" si="124"/>
        <v>#REF!</v>
      </c>
      <c r="BQ177" t="e">
        <f t="shared" si="124"/>
        <v>#REF!</v>
      </c>
      <c r="BR177" t="e">
        <f t="shared" si="124"/>
        <v>#REF!</v>
      </c>
      <c r="BS177" t="e">
        <f t="shared" si="124"/>
        <v>#REF!</v>
      </c>
      <c r="BT177" t="e">
        <f t="shared" si="124"/>
        <v>#REF!</v>
      </c>
      <c r="BU177" t="e">
        <f t="shared" si="124"/>
        <v>#REF!</v>
      </c>
      <c r="BV177" t="e">
        <f t="shared" si="122"/>
        <v>#REF!</v>
      </c>
      <c r="BW177" t="e">
        <f t="shared" si="122"/>
        <v>#REF!</v>
      </c>
      <c r="BX177" t="e">
        <f t="shared" si="122"/>
        <v>#REF!</v>
      </c>
      <c r="BY177" t="e">
        <f t="shared" si="122"/>
        <v>#REF!</v>
      </c>
      <c r="BZ177" t="e">
        <f t="shared" si="122"/>
        <v>#REF!</v>
      </c>
      <c r="CA177" t="e">
        <f t="shared" si="122"/>
        <v>#REF!</v>
      </c>
      <c r="CB177" t="e">
        <f t="shared" si="122"/>
        <v>#REF!</v>
      </c>
      <c r="CC177" t="e">
        <f t="shared" si="122"/>
        <v>#REF!</v>
      </c>
      <c r="CD177" t="e">
        <f t="shared" si="135"/>
        <v>#REF!</v>
      </c>
      <c r="CE177" t="e">
        <f t="shared" si="135"/>
        <v>#REF!</v>
      </c>
      <c r="CF177" t="e">
        <f t="shared" si="133"/>
        <v>#REF!</v>
      </c>
      <c r="CG177" t="e">
        <f t="shared" si="133"/>
        <v>#REF!</v>
      </c>
      <c r="CH177" t="e">
        <f t="shared" si="133"/>
        <v>#REF!</v>
      </c>
      <c r="CI177" t="e">
        <f t="shared" si="133"/>
        <v>#REF!</v>
      </c>
      <c r="CJ177" t="e">
        <f t="shared" si="133"/>
        <v>#REF!</v>
      </c>
      <c r="CK177" t="e">
        <f t="shared" si="133"/>
        <v>#REF!</v>
      </c>
      <c r="CL177" t="e">
        <f t="shared" si="133"/>
        <v>#REF!</v>
      </c>
      <c r="CM177" t="e">
        <f t="shared" si="133"/>
        <v>#REF!</v>
      </c>
      <c r="CN177" t="e">
        <f t="shared" si="133"/>
        <v>#REF!</v>
      </c>
      <c r="CO177" t="e">
        <f t="shared" si="133"/>
        <v>#REF!</v>
      </c>
      <c r="CP177" t="e">
        <f t="shared" si="133"/>
        <v>#REF!</v>
      </c>
      <c r="CQ177" t="e">
        <f t="shared" si="133"/>
        <v>#REF!</v>
      </c>
      <c r="CR177" t="e">
        <f t="shared" si="133"/>
        <v>#REF!</v>
      </c>
      <c r="CS177" t="e">
        <f t="shared" si="133"/>
        <v>#REF!</v>
      </c>
      <c r="CT177" t="e">
        <f t="shared" si="133"/>
        <v>#REF!</v>
      </c>
      <c r="CU177" t="e">
        <f t="shared" si="136"/>
        <v>#REF!</v>
      </c>
      <c r="CV177" t="e">
        <f t="shared" si="136"/>
        <v>#REF!</v>
      </c>
      <c r="CW177" t="e">
        <f t="shared" si="136"/>
        <v>#REF!</v>
      </c>
      <c r="CX177" t="e">
        <f t="shared" si="136"/>
        <v>#REF!</v>
      </c>
      <c r="CY177" t="e">
        <f t="shared" si="136"/>
        <v>#REF!</v>
      </c>
      <c r="CZ177" t="e">
        <f t="shared" si="126"/>
        <v>#REF!</v>
      </c>
      <c r="DA177" t="e">
        <f t="shared" si="126"/>
        <v>#REF!</v>
      </c>
      <c r="DB177" t="e">
        <f t="shared" si="126"/>
        <v>#REF!</v>
      </c>
      <c r="DC177" t="e">
        <f t="shared" ref="DC177:DR197" si="138">MATCH(CONCATENATE(DC$3,"_",$C177),auto_DataFlat_UID,0)</f>
        <v>#REF!</v>
      </c>
      <c r="DD177" t="e">
        <f t="shared" si="138"/>
        <v>#REF!</v>
      </c>
      <c r="DE177" t="e">
        <f t="shared" si="138"/>
        <v>#REF!</v>
      </c>
      <c r="DF177" t="e">
        <f t="shared" si="138"/>
        <v>#REF!</v>
      </c>
      <c r="DG177" t="e">
        <f t="shared" si="138"/>
        <v>#REF!</v>
      </c>
      <c r="DH177" t="e">
        <f t="shared" si="138"/>
        <v>#REF!</v>
      </c>
      <c r="DI177" t="e">
        <f t="shared" si="138"/>
        <v>#REF!</v>
      </c>
      <c r="DJ177" t="e">
        <f t="shared" si="138"/>
        <v>#REF!</v>
      </c>
      <c r="DK177" t="e">
        <f t="shared" si="138"/>
        <v>#REF!</v>
      </c>
      <c r="DL177" t="e">
        <f t="shared" si="138"/>
        <v>#REF!</v>
      </c>
      <c r="DM177" t="e">
        <f t="shared" si="138"/>
        <v>#REF!</v>
      </c>
      <c r="DN177" t="e">
        <f t="shared" si="138"/>
        <v>#REF!</v>
      </c>
      <c r="DO177" t="e">
        <f t="shared" si="138"/>
        <v>#REF!</v>
      </c>
      <c r="DP177" t="e">
        <f t="shared" si="138"/>
        <v>#REF!</v>
      </c>
      <c r="DQ177" t="e">
        <f t="shared" si="138"/>
        <v>#REF!</v>
      </c>
      <c r="DR177" t="e">
        <f t="shared" si="138"/>
        <v>#REF!</v>
      </c>
      <c r="DS177" t="e">
        <f t="shared" si="128"/>
        <v>#REF!</v>
      </c>
      <c r="DT177" t="e">
        <f t="shared" si="128"/>
        <v>#REF!</v>
      </c>
      <c r="DU177" t="e">
        <f t="shared" si="128"/>
        <v>#REF!</v>
      </c>
      <c r="DV177" t="e">
        <f t="shared" si="128"/>
        <v>#REF!</v>
      </c>
      <c r="DW177" t="e">
        <f t="shared" si="128"/>
        <v>#REF!</v>
      </c>
      <c r="DX177" t="e">
        <f t="shared" si="128"/>
        <v>#REF!</v>
      </c>
      <c r="DY177" t="e">
        <f t="shared" si="128"/>
        <v>#REF!</v>
      </c>
      <c r="DZ177" t="e">
        <f t="shared" si="128"/>
        <v>#REF!</v>
      </c>
      <c r="EA177" t="e">
        <f t="shared" ref="EA177:EM189" si="139">MATCH(CONCATENATE(EA$3,"_",$C177),auto_DataFlat_UID,0)</f>
        <v>#REF!</v>
      </c>
      <c r="EB177" t="e">
        <f t="shared" si="139"/>
        <v>#REF!</v>
      </c>
      <c r="EC177" t="e">
        <f t="shared" si="139"/>
        <v>#REF!</v>
      </c>
      <c r="ED177" t="e">
        <f t="shared" si="139"/>
        <v>#REF!</v>
      </c>
      <c r="EE177" t="e">
        <f t="shared" si="139"/>
        <v>#REF!</v>
      </c>
      <c r="EF177" t="e">
        <f t="shared" si="139"/>
        <v>#REF!</v>
      </c>
      <c r="EG177" t="e">
        <f t="shared" si="139"/>
        <v>#REF!</v>
      </c>
      <c r="EH177" t="e">
        <f t="shared" si="139"/>
        <v>#REF!</v>
      </c>
      <c r="EI177" t="e">
        <f t="shared" si="139"/>
        <v>#REF!</v>
      </c>
      <c r="EJ177" t="e">
        <f t="shared" si="139"/>
        <v>#REF!</v>
      </c>
      <c r="EK177" t="e">
        <f t="shared" si="139"/>
        <v>#REF!</v>
      </c>
      <c r="EL177" t="e">
        <f t="shared" si="139"/>
        <v>#REF!</v>
      </c>
      <c r="EM177" t="e">
        <f t="shared" si="139"/>
        <v>#REF!</v>
      </c>
    </row>
    <row r="178" spans="1:143" x14ac:dyDescent="0.4">
      <c r="A178" t="str">
        <f t="shared" si="120"/>
        <v>X</v>
      </c>
      <c r="B178">
        <v>175</v>
      </c>
      <c r="C178" t="e" cm="1">
        <f t="array" ref="C178">INDEX(auto_Series_Code,B178)</f>
        <v>#REF!</v>
      </c>
      <c r="D178" t="e">
        <f t="shared" si="130"/>
        <v>#REF!</v>
      </c>
      <c r="E178" t="e">
        <f t="shared" si="130"/>
        <v>#REF!</v>
      </c>
      <c r="F178" t="e">
        <f t="shared" si="130"/>
        <v>#REF!</v>
      </c>
      <c r="G178" t="e">
        <f t="shared" si="130"/>
        <v>#REF!</v>
      </c>
      <c r="H178" t="e">
        <f t="shared" si="130"/>
        <v>#REF!</v>
      </c>
      <c r="I178" t="e">
        <f t="shared" si="130"/>
        <v>#REF!</v>
      </c>
      <c r="J178" t="e">
        <f t="shared" si="130"/>
        <v>#REF!</v>
      </c>
      <c r="K178" t="e">
        <f t="shared" si="130"/>
        <v>#REF!</v>
      </c>
      <c r="L178" t="e">
        <f t="shared" si="130"/>
        <v>#REF!</v>
      </c>
      <c r="M178" t="e">
        <f t="shared" si="130"/>
        <v>#REF!</v>
      </c>
      <c r="N178" t="e">
        <f t="shared" si="130"/>
        <v>#REF!</v>
      </c>
      <c r="O178" t="e">
        <f t="shared" si="130"/>
        <v>#REF!</v>
      </c>
      <c r="P178" t="e">
        <f t="shared" si="130"/>
        <v>#REF!</v>
      </c>
      <c r="Q178" t="e">
        <f t="shared" si="130"/>
        <v>#REF!</v>
      </c>
      <c r="R178" t="e">
        <f t="shared" si="130"/>
        <v>#REF!</v>
      </c>
      <c r="S178" t="e">
        <f t="shared" si="130"/>
        <v>#REF!</v>
      </c>
      <c r="T178" t="e">
        <f t="shared" si="129"/>
        <v>#REF!</v>
      </c>
      <c r="U178" t="e">
        <f t="shared" si="129"/>
        <v>#REF!</v>
      </c>
      <c r="V178" t="e">
        <f t="shared" si="129"/>
        <v>#REF!</v>
      </c>
      <c r="W178" t="e">
        <f t="shared" si="129"/>
        <v>#REF!</v>
      </c>
      <c r="X178" t="e">
        <f t="shared" si="116"/>
        <v>#REF!</v>
      </c>
      <c r="Y178" t="e">
        <f t="shared" si="116"/>
        <v>#REF!</v>
      </c>
      <c r="Z178" t="e">
        <f t="shared" si="116"/>
        <v>#REF!</v>
      </c>
      <c r="AA178" t="e">
        <f t="shared" si="116"/>
        <v>#REF!</v>
      </c>
      <c r="AB178" t="e">
        <f t="shared" si="116"/>
        <v>#REF!</v>
      </c>
      <c r="AC178" t="e">
        <f t="shared" si="116"/>
        <v>#REF!</v>
      </c>
      <c r="AD178" t="e">
        <f t="shared" si="116"/>
        <v>#REF!</v>
      </c>
      <c r="AE178" t="e">
        <f t="shared" si="116"/>
        <v>#REF!</v>
      </c>
      <c r="AF178" t="e">
        <f t="shared" si="116"/>
        <v>#REF!</v>
      </c>
      <c r="AG178" t="e">
        <f t="shared" si="116"/>
        <v>#REF!</v>
      </c>
      <c r="AH178" t="e">
        <f t="shared" si="127"/>
        <v>#REF!</v>
      </c>
      <c r="AI178" t="e">
        <f t="shared" si="127"/>
        <v>#REF!</v>
      </c>
      <c r="AJ178" t="e">
        <f t="shared" si="127"/>
        <v>#REF!</v>
      </c>
      <c r="AK178" t="e">
        <f t="shared" si="127"/>
        <v>#REF!</v>
      </c>
      <c r="AL178" t="e">
        <f t="shared" si="127"/>
        <v>#REF!</v>
      </c>
      <c r="AM178" t="e">
        <f t="shared" si="127"/>
        <v>#REF!</v>
      </c>
      <c r="AN178" t="e">
        <f t="shared" si="127"/>
        <v>#REF!</v>
      </c>
      <c r="AO178" t="e">
        <f t="shared" si="127"/>
        <v>#REF!</v>
      </c>
      <c r="AP178" t="e">
        <f t="shared" si="127"/>
        <v>#REF!</v>
      </c>
      <c r="AQ178" t="e">
        <f t="shared" si="127"/>
        <v>#REF!</v>
      </c>
      <c r="AR178" t="e">
        <f t="shared" si="127"/>
        <v>#REF!</v>
      </c>
      <c r="AS178" t="e">
        <f t="shared" si="127"/>
        <v>#REF!</v>
      </c>
      <c r="AT178" t="e">
        <f t="shared" si="132"/>
        <v>#REF!</v>
      </c>
      <c r="AU178" t="e">
        <f t="shared" si="132"/>
        <v>#REF!</v>
      </c>
      <c r="AV178" t="e">
        <f t="shared" si="132"/>
        <v>#REF!</v>
      </c>
      <c r="AW178" t="e">
        <f t="shared" si="132"/>
        <v>#REF!</v>
      </c>
      <c r="AX178" t="e">
        <f t="shared" si="132"/>
        <v>#REF!</v>
      </c>
      <c r="AY178" t="e">
        <f t="shared" si="132"/>
        <v>#REF!</v>
      </c>
      <c r="AZ178" t="e">
        <f t="shared" si="132"/>
        <v>#REF!</v>
      </c>
      <c r="BA178" t="e">
        <f t="shared" si="132"/>
        <v>#REF!</v>
      </c>
      <c r="BB178" t="e">
        <f t="shared" si="132"/>
        <v>#REF!</v>
      </c>
      <c r="BC178" t="e">
        <f t="shared" si="132"/>
        <v>#REF!</v>
      </c>
      <c r="BD178" t="e">
        <f t="shared" si="132"/>
        <v>#REF!</v>
      </c>
      <c r="BE178" t="e">
        <f t="shared" si="132"/>
        <v>#REF!</v>
      </c>
      <c r="BF178" t="e">
        <f t="shared" si="132"/>
        <v>#REF!</v>
      </c>
      <c r="BG178" t="e">
        <f t="shared" si="132"/>
        <v>#REF!</v>
      </c>
      <c r="BH178" t="e">
        <f t="shared" si="132"/>
        <v>#REF!</v>
      </c>
      <c r="BI178" t="e">
        <f t="shared" si="132"/>
        <v>#REF!</v>
      </c>
      <c r="BJ178" t="e">
        <f t="shared" si="134"/>
        <v>#REF!</v>
      </c>
      <c r="BK178" t="e">
        <f t="shared" si="134"/>
        <v>#REF!</v>
      </c>
      <c r="BL178" t="e">
        <f t="shared" si="124"/>
        <v>#REF!</v>
      </c>
      <c r="BM178" t="e">
        <f t="shared" si="124"/>
        <v>#REF!</v>
      </c>
      <c r="BN178" t="e">
        <f t="shared" si="124"/>
        <v>#REF!</v>
      </c>
      <c r="BO178" t="e">
        <f t="shared" si="124"/>
        <v>#REF!</v>
      </c>
      <c r="BP178" t="e">
        <f t="shared" si="124"/>
        <v>#REF!</v>
      </c>
      <c r="BQ178" t="e">
        <f t="shared" si="124"/>
        <v>#REF!</v>
      </c>
      <c r="BR178" t="e">
        <f t="shared" si="124"/>
        <v>#REF!</v>
      </c>
      <c r="BS178" t="e">
        <f t="shared" si="124"/>
        <v>#REF!</v>
      </c>
      <c r="BT178" t="e">
        <f t="shared" si="124"/>
        <v>#REF!</v>
      </c>
      <c r="BU178" t="e">
        <f t="shared" si="124"/>
        <v>#REF!</v>
      </c>
      <c r="BV178" t="e">
        <f t="shared" si="122"/>
        <v>#REF!</v>
      </c>
      <c r="BW178" t="e">
        <f t="shared" si="122"/>
        <v>#REF!</v>
      </c>
      <c r="BX178" t="e">
        <f t="shared" si="122"/>
        <v>#REF!</v>
      </c>
      <c r="BY178" t="e">
        <f t="shared" si="122"/>
        <v>#REF!</v>
      </c>
      <c r="BZ178" t="e">
        <f t="shared" si="122"/>
        <v>#REF!</v>
      </c>
      <c r="CA178" t="e">
        <f t="shared" si="122"/>
        <v>#REF!</v>
      </c>
      <c r="CB178" t="e">
        <f t="shared" si="122"/>
        <v>#REF!</v>
      </c>
      <c r="CC178" t="e">
        <f t="shared" si="122"/>
        <v>#REF!</v>
      </c>
      <c r="CD178" t="e">
        <f t="shared" si="135"/>
        <v>#REF!</v>
      </c>
      <c r="CE178" t="e">
        <f t="shared" si="135"/>
        <v>#REF!</v>
      </c>
      <c r="CF178" t="e">
        <f t="shared" si="133"/>
        <v>#REF!</v>
      </c>
      <c r="CG178" t="e">
        <f t="shared" si="133"/>
        <v>#REF!</v>
      </c>
      <c r="CH178" t="e">
        <f t="shared" si="133"/>
        <v>#REF!</v>
      </c>
      <c r="CI178" t="e">
        <f t="shared" si="133"/>
        <v>#REF!</v>
      </c>
      <c r="CJ178" t="e">
        <f t="shared" si="133"/>
        <v>#REF!</v>
      </c>
      <c r="CK178" t="e">
        <f t="shared" si="133"/>
        <v>#REF!</v>
      </c>
      <c r="CL178" t="e">
        <f t="shared" si="133"/>
        <v>#REF!</v>
      </c>
      <c r="CM178" t="e">
        <f t="shared" si="133"/>
        <v>#REF!</v>
      </c>
      <c r="CN178" t="e">
        <f t="shared" si="133"/>
        <v>#REF!</v>
      </c>
      <c r="CO178" t="e">
        <f t="shared" si="133"/>
        <v>#REF!</v>
      </c>
      <c r="CP178" t="e">
        <f t="shared" si="133"/>
        <v>#REF!</v>
      </c>
      <c r="CQ178" t="e">
        <f t="shared" si="133"/>
        <v>#REF!</v>
      </c>
      <c r="CR178" t="e">
        <f t="shared" si="133"/>
        <v>#REF!</v>
      </c>
      <c r="CS178" t="e">
        <f t="shared" si="133"/>
        <v>#REF!</v>
      </c>
      <c r="CT178" t="e">
        <f t="shared" si="133"/>
        <v>#REF!</v>
      </c>
      <c r="CU178" t="e">
        <f t="shared" si="136"/>
        <v>#REF!</v>
      </c>
      <c r="CV178" t="e">
        <f t="shared" si="136"/>
        <v>#REF!</v>
      </c>
      <c r="CW178" t="e">
        <f t="shared" si="136"/>
        <v>#REF!</v>
      </c>
      <c r="CX178" t="e">
        <f t="shared" si="136"/>
        <v>#REF!</v>
      </c>
      <c r="CY178" t="e">
        <f t="shared" si="136"/>
        <v>#REF!</v>
      </c>
      <c r="CZ178" t="e">
        <f t="shared" si="136"/>
        <v>#REF!</v>
      </c>
      <c r="DA178" t="e">
        <f t="shared" si="136"/>
        <v>#REF!</v>
      </c>
      <c r="DB178" t="e">
        <f t="shared" si="136"/>
        <v>#REF!</v>
      </c>
      <c r="DC178" t="e">
        <f t="shared" si="136"/>
        <v>#REF!</v>
      </c>
      <c r="DD178" t="e">
        <f t="shared" si="136"/>
        <v>#REF!</v>
      </c>
      <c r="DE178" t="e">
        <f t="shared" si="136"/>
        <v>#REF!</v>
      </c>
      <c r="DF178" t="e">
        <f t="shared" si="136"/>
        <v>#REF!</v>
      </c>
      <c r="DG178" t="e">
        <f t="shared" si="138"/>
        <v>#REF!</v>
      </c>
      <c r="DH178" t="e">
        <f t="shared" si="138"/>
        <v>#REF!</v>
      </c>
      <c r="DI178" t="e">
        <f t="shared" si="138"/>
        <v>#REF!</v>
      </c>
      <c r="DJ178" t="e">
        <f t="shared" si="138"/>
        <v>#REF!</v>
      </c>
      <c r="DK178" t="e">
        <f t="shared" si="138"/>
        <v>#REF!</v>
      </c>
      <c r="DL178" t="e">
        <f t="shared" si="138"/>
        <v>#REF!</v>
      </c>
      <c r="DM178" t="e">
        <f t="shared" si="138"/>
        <v>#REF!</v>
      </c>
      <c r="DN178" t="e">
        <f t="shared" si="138"/>
        <v>#REF!</v>
      </c>
      <c r="DO178" t="e">
        <f t="shared" si="138"/>
        <v>#REF!</v>
      </c>
      <c r="DP178" t="e">
        <f t="shared" si="138"/>
        <v>#REF!</v>
      </c>
      <c r="DQ178" t="e">
        <f t="shared" si="138"/>
        <v>#REF!</v>
      </c>
      <c r="DR178" t="e">
        <f t="shared" si="138"/>
        <v>#REF!</v>
      </c>
      <c r="DS178" t="e">
        <f t="shared" si="128"/>
        <v>#REF!</v>
      </c>
      <c r="DT178" t="e">
        <f t="shared" si="128"/>
        <v>#REF!</v>
      </c>
      <c r="DU178" t="e">
        <f t="shared" si="128"/>
        <v>#REF!</v>
      </c>
      <c r="DV178" t="e">
        <f t="shared" si="128"/>
        <v>#REF!</v>
      </c>
      <c r="DW178" t="e">
        <f t="shared" si="128"/>
        <v>#REF!</v>
      </c>
      <c r="DX178" t="e">
        <f t="shared" si="128"/>
        <v>#REF!</v>
      </c>
      <c r="DY178" t="e">
        <f t="shared" si="128"/>
        <v>#REF!</v>
      </c>
      <c r="DZ178" t="e">
        <f t="shared" si="128"/>
        <v>#REF!</v>
      </c>
      <c r="EA178" t="e">
        <f t="shared" si="139"/>
        <v>#REF!</v>
      </c>
      <c r="EB178" t="e">
        <f t="shared" si="139"/>
        <v>#REF!</v>
      </c>
      <c r="EC178" t="e">
        <f t="shared" si="139"/>
        <v>#REF!</v>
      </c>
      <c r="ED178" t="e">
        <f t="shared" si="139"/>
        <v>#REF!</v>
      </c>
      <c r="EE178" t="e">
        <f t="shared" si="139"/>
        <v>#REF!</v>
      </c>
      <c r="EF178" t="e">
        <f t="shared" si="139"/>
        <v>#REF!</v>
      </c>
      <c r="EG178" t="e">
        <f t="shared" si="139"/>
        <v>#REF!</v>
      </c>
      <c r="EH178" t="e">
        <f t="shared" si="139"/>
        <v>#REF!</v>
      </c>
      <c r="EI178" t="e">
        <f t="shared" si="139"/>
        <v>#REF!</v>
      </c>
      <c r="EJ178" t="e">
        <f t="shared" si="139"/>
        <v>#REF!</v>
      </c>
      <c r="EK178" t="e">
        <f t="shared" si="139"/>
        <v>#REF!</v>
      </c>
      <c r="EL178" t="e">
        <f t="shared" si="139"/>
        <v>#REF!</v>
      </c>
      <c r="EM178" t="e">
        <f t="shared" si="139"/>
        <v>#REF!</v>
      </c>
    </row>
    <row r="179" spans="1:143" x14ac:dyDescent="0.4">
      <c r="A179" t="str">
        <f t="shared" si="120"/>
        <v>X</v>
      </c>
      <c r="B179">
        <v>176</v>
      </c>
      <c r="C179" t="e" cm="1">
        <f t="array" ref="C179">INDEX(auto_Series_Code,B179)</f>
        <v>#REF!</v>
      </c>
      <c r="D179" t="e">
        <f t="shared" si="130"/>
        <v>#REF!</v>
      </c>
      <c r="E179" t="e">
        <f t="shared" si="130"/>
        <v>#REF!</v>
      </c>
      <c r="F179" t="e">
        <f t="shared" si="130"/>
        <v>#REF!</v>
      </c>
      <c r="G179" t="e">
        <f t="shared" si="130"/>
        <v>#REF!</v>
      </c>
      <c r="H179" t="e">
        <f t="shared" si="130"/>
        <v>#REF!</v>
      </c>
      <c r="I179" t="e">
        <f t="shared" si="130"/>
        <v>#REF!</v>
      </c>
      <c r="J179" t="e">
        <f t="shared" si="130"/>
        <v>#REF!</v>
      </c>
      <c r="K179" t="e">
        <f t="shared" si="130"/>
        <v>#REF!</v>
      </c>
      <c r="L179" t="e">
        <f t="shared" si="130"/>
        <v>#REF!</v>
      </c>
      <c r="M179" t="e">
        <f t="shared" si="130"/>
        <v>#REF!</v>
      </c>
      <c r="N179" t="e">
        <f t="shared" si="130"/>
        <v>#REF!</v>
      </c>
      <c r="O179" t="e">
        <f t="shared" si="130"/>
        <v>#REF!</v>
      </c>
      <c r="P179" t="e">
        <f t="shared" si="130"/>
        <v>#REF!</v>
      </c>
      <c r="Q179" t="e">
        <f t="shared" si="130"/>
        <v>#REF!</v>
      </c>
      <c r="R179" t="e">
        <f t="shared" si="130"/>
        <v>#REF!</v>
      </c>
      <c r="S179" t="e">
        <f t="shared" si="130"/>
        <v>#REF!</v>
      </c>
      <c r="T179" t="e">
        <f t="shared" si="129"/>
        <v>#REF!</v>
      </c>
      <c r="U179" t="e">
        <f t="shared" si="129"/>
        <v>#REF!</v>
      </c>
      <c r="V179" t="e">
        <f t="shared" si="129"/>
        <v>#REF!</v>
      </c>
      <c r="W179" t="e">
        <f t="shared" si="129"/>
        <v>#REF!</v>
      </c>
      <c r="X179" t="e">
        <f t="shared" si="116"/>
        <v>#REF!</v>
      </c>
      <c r="Y179" t="e">
        <f t="shared" si="116"/>
        <v>#REF!</v>
      </c>
      <c r="Z179" t="e">
        <f t="shared" si="116"/>
        <v>#REF!</v>
      </c>
      <c r="AA179" t="e">
        <f t="shared" si="116"/>
        <v>#REF!</v>
      </c>
      <c r="AB179" t="e">
        <f t="shared" si="116"/>
        <v>#REF!</v>
      </c>
      <c r="AC179" t="e">
        <f t="shared" si="116"/>
        <v>#REF!</v>
      </c>
      <c r="AD179" t="e">
        <f t="shared" si="116"/>
        <v>#REF!</v>
      </c>
      <c r="AE179" t="e">
        <f t="shared" si="116"/>
        <v>#REF!</v>
      </c>
      <c r="AF179" t="e">
        <f t="shared" si="116"/>
        <v>#REF!</v>
      </c>
      <c r="AG179" t="e">
        <f t="shared" si="116"/>
        <v>#REF!</v>
      </c>
      <c r="AH179" t="e">
        <f t="shared" si="127"/>
        <v>#REF!</v>
      </c>
      <c r="AI179" t="e">
        <f t="shared" si="127"/>
        <v>#REF!</v>
      </c>
      <c r="AJ179" t="e">
        <f t="shared" si="127"/>
        <v>#REF!</v>
      </c>
      <c r="AK179" t="e">
        <f t="shared" si="127"/>
        <v>#REF!</v>
      </c>
      <c r="AL179" t="e">
        <f t="shared" si="127"/>
        <v>#REF!</v>
      </c>
      <c r="AM179" t="e">
        <f t="shared" si="127"/>
        <v>#REF!</v>
      </c>
      <c r="AN179" t="e">
        <f t="shared" si="127"/>
        <v>#REF!</v>
      </c>
      <c r="AO179" t="e">
        <f t="shared" si="127"/>
        <v>#REF!</v>
      </c>
      <c r="AP179" t="e">
        <f t="shared" si="127"/>
        <v>#REF!</v>
      </c>
      <c r="AQ179" t="e">
        <f t="shared" si="127"/>
        <v>#REF!</v>
      </c>
      <c r="AR179" t="e">
        <f t="shared" si="127"/>
        <v>#REF!</v>
      </c>
      <c r="AS179" t="e">
        <f t="shared" si="127"/>
        <v>#REF!</v>
      </c>
      <c r="AT179" t="e">
        <f t="shared" si="132"/>
        <v>#REF!</v>
      </c>
      <c r="AU179" t="e">
        <f t="shared" si="132"/>
        <v>#REF!</v>
      </c>
      <c r="AV179" t="e">
        <f t="shared" si="132"/>
        <v>#REF!</v>
      </c>
      <c r="AW179" t="e">
        <f t="shared" si="132"/>
        <v>#REF!</v>
      </c>
      <c r="AX179" t="e">
        <f t="shared" si="132"/>
        <v>#REF!</v>
      </c>
      <c r="AY179" t="e">
        <f t="shared" si="132"/>
        <v>#REF!</v>
      </c>
      <c r="AZ179" t="e">
        <f t="shared" si="132"/>
        <v>#REF!</v>
      </c>
      <c r="BA179" t="e">
        <f t="shared" si="132"/>
        <v>#REF!</v>
      </c>
      <c r="BB179" t="e">
        <f t="shared" si="132"/>
        <v>#REF!</v>
      </c>
      <c r="BC179" t="e">
        <f t="shared" si="132"/>
        <v>#REF!</v>
      </c>
      <c r="BD179" t="e">
        <f t="shared" si="132"/>
        <v>#REF!</v>
      </c>
      <c r="BE179" t="e">
        <f t="shared" si="132"/>
        <v>#REF!</v>
      </c>
      <c r="BF179" t="e">
        <f t="shared" si="132"/>
        <v>#REF!</v>
      </c>
      <c r="BG179" t="e">
        <f t="shared" si="132"/>
        <v>#REF!</v>
      </c>
      <c r="BH179" t="e">
        <f t="shared" si="132"/>
        <v>#REF!</v>
      </c>
      <c r="BI179" t="e">
        <f t="shared" si="132"/>
        <v>#REF!</v>
      </c>
      <c r="BJ179" t="e">
        <f t="shared" si="134"/>
        <v>#REF!</v>
      </c>
      <c r="BK179" t="e">
        <f t="shared" si="134"/>
        <v>#REF!</v>
      </c>
      <c r="BL179" t="e">
        <f t="shared" si="124"/>
        <v>#REF!</v>
      </c>
      <c r="BM179" t="e">
        <f t="shared" si="124"/>
        <v>#REF!</v>
      </c>
      <c r="BN179" t="e">
        <f t="shared" si="124"/>
        <v>#REF!</v>
      </c>
      <c r="BO179" t="e">
        <f t="shared" si="124"/>
        <v>#REF!</v>
      </c>
      <c r="BP179" t="e">
        <f t="shared" si="124"/>
        <v>#REF!</v>
      </c>
      <c r="BQ179" t="e">
        <f t="shared" si="124"/>
        <v>#REF!</v>
      </c>
      <c r="BR179" t="e">
        <f t="shared" si="124"/>
        <v>#REF!</v>
      </c>
      <c r="BS179" t="e">
        <f t="shared" si="124"/>
        <v>#REF!</v>
      </c>
      <c r="BT179" t="e">
        <f t="shared" si="124"/>
        <v>#REF!</v>
      </c>
      <c r="BU179" t="e">
        <f t="shared" si="124"/>
        <v>#REF!</v>
      </c>
      <c r="BV179" t="e">
        <f t="shared" si="122"/>
        <v>#REF!</v>
      </c>
      <c r="BW179" t="e">
        <f t="shared" si="122"/>
        <v>#REF!</v>
      </c>
      <c r="BX179" t="e">
        <f t="shared" si="122"/>
        <v>#REF!</v>
      </c>
      <c r="BY179" t="e">
        <f t="shared" si="122"/>
        <v>#REF!</v>
      </c>
      <c r="BZ179" t="e">
        <f t="shared" si="122"/>
        <v>#REF!</v>
      </c>
      <c r="CA179" t="e">
        <f t="shared" si="122"/>
        <v>#REF!</v>
      </c>
      <c r="CB179" t="e">
        <f t="shared" si="122"/>
        <v>#REF!</v>
      </c>
      <c r="CC179" t="e">
        <f t="shared" si="122"/>
        <v>#REF!</v>
      </c>
      <c r="CD179" t="e">
        <f t="shared" si="135"/>
        <v>#REF!</v>
      </c>
      <c r="CE179" t="e">
        <f t="shared" si="135"/>
        <v>#REF!</v>
      </c>
      <c r="CF179" t="e">
        <f t="shared" si="133"/>
        <v>#REF!</v>
      </c>
      <c r="CG179" t="e">
        <f t="shared" si="133"/>
        <v>#REF!</v>
      </c>
      <c r="CH179" t="e">
        <f t="shared" si="133"/>
        <v>#REF!</v>
      </c>
      <c r="CI179" t="e">
        <f t="shared" si="133"/>
        <v>#REF!</v>
      </c>
      <c r="CJ179" t="e">
        <f t="shared" si="133"/>
        <v>#REF!</v>
      </c>
      <c r="CK179" t="e">
        <f t="shared" si="133"/>
        <v>#REF!</v>
      </c>
      <c r="CL179" t="e">
        <f t="shared" si="133"/>
        <v>#REF!</v>
      </c>
      <c r="CM179" t="e">
        <f t="shared" si="133"/>
        <v>#REF!</v>
      </c>
      <c r="CN179" t="e">
        <f t="shared" si="133"/>
        <v>#REF!</v>
      </c>
      <c r="CO179" t="e">
        <f t="shared" si="133"/>
        <v>#REF!</v>
      </c>
      <c r="CP179" t="e">
        <f t="shared" si="133"/>
        <v>#REF!</v>
      </c>
      <c r="CQ179" t="e">
        <f t="shared" si="133"/>
        <v>#REF!</v>
      </c>
      <c r="CR179" t="e">
        <f t="shared" si="133"/>
        <v>#REF!</v>
      </c>
      <c r="CS179" t="e">
        <f t="shared" si="133"/>
        <v>#REF!</v>
      </c>
      <c r="CT179" t="e">
        <f t="shared" si="133"/>
        <v>#REF!</v>
      </c>
      <c r="CU179" t="e">
        <f t="shared" si="136"/>
        <v>#REF!</v>
      </c>
      <c r="CV179" t="e">
        <f t="shared" si="136"/>
        <v>#REF!</v>
      </c>
      <c r="CW179" t="e">
        <f t="shared" si="136"/>
        <v>#REF!</v>
      </c>
      <c r="CX179" t="e">
        <f t="shared" si="136"/>
        <v>#REF!</v>
      </c>
      <c r="CY179" t="e">
        <f t="shared" si="136"/>
        <v>#REF!</v>
      </c>
      <c r="CZ179" t="e">
        <f t="shared" si="136"/>
        <v>#REF!</v>
      </c>
      <c r="DA179" t="e">
        <f t="shared" si="136"/>
        <v>#REF!</v>
      </c>
      <c r="DB179" t="e">
        <f t="shared" si="136"/>
        <v>#REF!</v>
      </c>
      <c r="DC179" t="e">
        <f t="shared" si="136"/>
        <v>#REF!</v>
      </c>
      <c r="DD179" t="e">
        <f t="shared" si="136"/>
        <v>#REF!</v>
      </c>
      <c r="DE179" t="e">
        <f t="shared" si="136"/>
        <v>#REF!</v>
      </c>
      <c r="DF179" t="e">
        <f t="shared" si="136"/>
        <v>#REF!</v>
      </c>
      <c r="DG179" t="e">
        <f t="shared" si="138"/>
        <v>#REF!</v>
      </c>
      <c r="DH179" t="e">
        <f t="shared" si="138"/>
        <v>#REF!</v>
      </c>
      <c r="DI179" t="e">
        <f t="shared" si="138"/>
        <v>#REF!</v>
      </c>
      <c r="DJ179" t="e">
        <f t="shared" si="138"/>
        <v>#REF!</v>
      </c>
      <c r="DK179" t="e">
        <f t="shared" si="138"/>
        <v>#REF!</v>
      </c>
      <c r="DL179" t="e">
        <f t="shared" si="138"/>
        <v>#REF!</v>
      </c>
      <c r="DM179" t="e">
        <f t="shared" si="138"/>
        <v>#REF!</v>
      </c>
      <c r="DN179" t="e">
        <f t="shared" si="138"/>
        <v>#REF!</v>
      </c>
      <c r="DO179" t="e">
        <f t="shared" si="138"/>
        <v>#REF!</v>
      </c>
      <c r="DP179" t="e">
        <f t="shared" si="138"/>
        <v>#REF!</v>
      </c>
      <c r="DQ179" t="e">
        <f t="shared" si="138"/>
        <v>#REF!</v>
      </c>
      <c r="DR179" t="e">
        <f t="shared" si="138"/>
        <v>#REF!</v>
      </c>
      <c r="DS179" t="e">
        <f t="shared" si="128"/>
        <v>#REF!</v>
      </c>
      <c r="DT179" t="e">
        <f t="shared" si="128"/>
        <v>#REF!</v>
      </c>
      <c r="DU179" t="e">
        <f t="shared" si="128"/>
        <v>#REF!</v>
      </c>
      <c r="DV179" t="e">
        <f t="shared" si="128"/>
        <v>#REF!</v>
      </c>
      <c r="DW179" t="e">
        <f t="shared" si="128"/>
        <v>#REF!</v>
      </c>
      <c r="DX179" t="e">
        <f t="shared" si="128"/>
        <v>#REF!</v>
      </c>
      <c r="DY179" t="e">
        <f t="shared" si="128"/>
        <v>#REF!</v>
      </c>
      <c r="DZ179" t="e">
        <f t="shared" si="128"/>
        <v>#REF!</v>
      </c>
      <c r="EA179" t="e">
        <f t="shared" si="139"/>
        <v>#REF!</v>
      </c>
      <c r="EB179" t="e">
        <f t="shared" si="139"/>
        <v>#REF!</v>
      </c>
      <c r="EC179" t="e">
        <f t="shared" si="139"/>
        <v>#REF!</v>
      </c>
      <c r="ED179" t="e">
        <f t="shared" si="139"/>
        <v>#REF!</v>
      </c>
      <c r="EE179" t="e">
        <f t="shared" si="139"/>
        <v>#REF!</v>
      </c>
      <c r="EF179" t="e">
        <f t="shared" si="139"/>
        <v>#REF!</v>
      </c>
      <c r="EG179" t="e">
        <f t="shared" si="139"/>
        <v>#REF!</v>
      </c>
      <c r="EH179" t="e">
        <f t="shared" si="139"/>
        <v>#REF!</v>
      </c>
      <c r="EI179" t="e">
        <f t="shared" si="139"/>
        <v>#REF!</v>
      </c>
      <c r="EJ179" t="e">
        <f t="shared" si="139"/>
        <v>#REF!</v>
      </c>
      <c r="EK179" t="e">
        <f t="shared" si="139"/>
        <v>#REF!</v>
      </c>
      <c r="EL179" t="e">
        <f t="shared" si="139"/>
        <v>#REF!</v>
      </c>
      <c r="EM179" t="e">
        <f t="shared" si="139"/>
        <v>#REF!</v>
      </c>
    </row>
    <row r="180" spans="1:143" x14ac:dyDescent="0.4">
      <c r="A180" t="str">
        <f t="shared" si="120"/>
        <v>X</v>
      </c>
      <c r="B180">
        <v>177</v>
      </c>
      <c r="C180" t="e" cm="1">
        <f t="array" ref="C180">INDEX(auto_Series_Code,B180)</f>
        <v>#REF!</v>
      </c>
      <c r="D180" t="e">
        <f t="shared" si="130"/>
        <v>#REF!</v>
      </c>
      <c r="E180" t="e">
        <f t="shared" si="130"/>
        <v>#REF!</v>
      </c>
      <c r="F180" t="e">
        <f t="shared" si="130"/>
        <v>#REF!</v>
      </c>
      <c r="G180" t="e">
        <f t="shared" si="130"/>
        <v>#REF!</v>
      </c>
      <c r="H180" t="e">
        <f t="shared" si="130"/>
        <v>#REF!</v>
      </c>
      <c r="I180" t="e">
        <f t="shared" si="130"/>
        <v>#REF!</v>
      </c>
      <c r="J180" t="e">
        <f t="shared" si="130"/>
        <v>#REF!</v>
      </c>
      <c r="K180" t="e">
        <f t="shared" si="130"/>
        <v>#REF!</v>
      </c>
      <c r="L180" t="e">
        <f t="shared" si="130"/>
        <v>#REF!</v>
      </c>
      <c r="M180" t="e">
        <f t="shared" si="130"/>
        <v>#REF!</v>
      </c>
      <c r="N180" t="e">
        <f t="shared" si="130"/>
        <v>#REF!</v>
      </c>
      <c r="O180" t="e">
        <f t="shared" si="130"/>
        <v>#REF!</v>
      </c>
      <c r="P180" t="e">
        <f t="shared" si="130"/>
        <v>#REF!</v>
      </c>
      <c r="Q180" t="e">
        <f t="shared" si="130"/>
        <v>#REF!</v>
      </c>
      <c r="R180" t="e">
        <f t="shared" si="130"/>
        <v>#REF!</v>
      </c>
      <c r="S180" t="e">
        <f t="shared" si="130"/>
        <v>#REF!</v>
      </c>
      <c r="T180" t="e">
        <f t="shared" si="129"/>
        <v>#REF!</v>
      </c>
      <c r="U180" t="e">
        <f t="shared" si="129"/>
        <v>#REF!</v>
      </c>
      <c r="V180" t="e">
        <f t="shared" si="129"/>
        <v>#REF!</v>
      </c>
      <c r="W180" t="e">
        <f t="shared" si="129"/>
        <v>#REF!</v>
      </c>
      <c r="X180" t="e">
        <f t="shared" si="116"/>
        <v>#REF!</v>
      </c>
      <c r="Y180" t="e">
        <f t="shared" si="116"/>
        <v>#REF!</v>
      </c>
      <c r="Z180" t="e">
        <f t="shared" si="116"/>
        <v>#REF!</v>
      </c>
      <c r="AA180" t="e">
        <f t="shared" si="116"/>
        <v>#REF!</v>
      </c>
      <c r="AB180" t="e">
        <f t="shared" si="116"/>
        <v>#REF!</v>
      </c>
      <c r="AC180" t="e">
        <f t="shared" si="116"/>
        <v>#REF!</v>
      </c>
      <c r="AD180" t="e">
        <f t="shared" si="116"/>
        <v>#REF!</v>
      </c>
      <c r="AE180" t="e">
        <f t="shared" si="116"/>
        <v>#REF!</v>
      </c>
      <c r="AF180" t="e">
        <f t="shared" si="116"/>
        <v>#REF!</v>
      </c>
      <c r="AG180" t="e">
        <f t="shared" si="116"/>
        <v>#REF!</v>
      </c>
      <c r="AH180" t="e">
        <f t="shared" si="127"/>
        <v>#REF!</v>
      </c>
      <c r="AI180" t="e">
        <f t="shared" si="127"/>
        <v>#REF!</v>
      </c>
      <c r="AJ180" t="e">
        <f t="shared" si="127"/>
        <v>#REF!</v>
      </c>
      <c r="AK180" t="e">
        <f t="shared" si="127"/>
        <v>#REF!</v>
      </c>
      <c r="AL180" t="e">
        <f t="shared" si="127"/>
        <v>#REF!</v>
      </c>
      <c r="AM180" t="e">
        <f t="shared" si="127"/>
        <v>#REF!</v>
      </c>
      <c r="AN180" t="e">
        <f t="shared" si="127"/>
        <v>#REF!</v>
      </c>
      <c r="AO180" t="e">
        <f t="shared" si="127"/>
        <v>#REF!</v>
      </c>
      <c r="AP180" t="e">
        <f t="shared" si="127"/>
        <v>#REF!</v>
      </c>
      <c r="AQ180" t="e">
        <f t="shared" si="127"/>
        <v>#REF!</v>
      </c>
      <c r="AR180" t="e">
        <f t="shared" si="127"/>
        <v>#REF!</v>
      </c>
      <c r="AS180" t="e">
        <f t="shared" si="127"/>
        <v>#REF!</v>
      </c>
      <c r="AT180" t="e">
        <f t="shared" si="132"/>
        <v>#REF!</v>
      </c>
      <c r="AU180" t="e">
        <f t="shared" si="132"/>
        <v>#REF!</v>
      </c>
      <c r="AV180" t="e">
        <f t="shared" si="132"/>
        <v>#REF!</v>
      </c>
      <c r="AW180" t="e">
        <f t="shared" si="132"/>
        <v>#REF!</v>
      </c>
      <c r="AX180" t="e">
        <f t="shared" si="132"/>
        <v>#REF!</v>
      </c>
      <c r="AY180" t="e">
        <f t="shared" si="132"/>
        <v>#REF!</v>
      </c>
      <c r="AZ180" t="e">
        <f t="shared" si="132"/>
        <v>#REF!</v>
      </c>
      <c r="BA180" t="e">
        <f t="shared" si="132"/>
        <v>#REF!</v>
      </c>
      <c r="BB180" t="e">
        <f t="shared" si="132"/>
        <v>#REF!</v>
      </c>
      <c r="BC180" t="e">
        <f t="shared" si="132"/>
        <v>#REF!</v>
      </c>
      <c r="BD180" t="e">
        <f t="shared" si="132"/>
        <v>#REF!</v>
      </c>
      <c r="BE180" t="e">
        <f t="shared" si="132"/>
        <v>#REF!</v>
      </c>
      <c r="BF180" t="e">
        <f t="shared" si="132"/>
        <v>#REF!</v>
      </c>
      <c r="BG180" t="e">
        <f t="shared" si="132"/>
        <v>#REF!</v>
      </c>
      <c r="BH180" t="e">
        <f t="shared" si="132"/>
        <v>#REF!</v>
      </c>
      <c r="BI180" t="e">
        <f t="shared" si="132"/>
        <v>#REF!</v>
      </c>
      <c r="BJ180" t="e">
        <f t="shared" si="134"/>
        <v>#REF!</v>
      </c>
      <c r="BK180" t="e">
        <f t="shared" si="134"/>
        <v>#REF!</v>
      </c>
      <c r="BL180" t="e">
        <f t="shared" si="124"/>
        <v>#REF!</v>
      </c>
      <c r="BM180" t="e">
        <f t="shared" si="124"/>
        <v>#REF!</v>
      </c>
      <c r="BN180" t="e">
        <f t="shared" si="124"/>
        <v>#REF!</v>
      </c>
      <c r="BO180" t="e">
        <f t="shared" si="124"/>
        <v>#REF!</v>
      </c>
      <c r="BP180" t="e">
        <f t="shared" si="124"/>
        <v>#REF!</v>
      </c>
      <c r="BQ180" t="e">
        <f t="shared" si="124"/>
        <v>#REF!</v>
      </c>
      <c r="BR180" t="e">
        <f t="shared" si="124"/>
        <v>#REF!</v>
      </c>
      <c r="BS180" t="e">
        <f t="shared" si="124"/>
        <v>#REF!</v>
      </c>
      <c r="BT180" t="e">
        <f t="shared" si="124"/>
        <v>#REF!</v>
      </c>
      <c r="BU180" t="e">
        <f t="shared" si="124"/>
        <v>#REF!</v>
      </c>
      <c r="BV180" t="e">
        <f t="shared" si="122"/>
        <v>#REF!</v>
      </c>
      <c r="BW180" t="e">
        <f t="shared" si="122"/>
        <v>#REF!</v>
      </c>
      <c r="BX180" t="e">
        <f t="shared" si="122"/>
        <v>#REF!</v>
      </c>
      <c r="BY180" t="e">
        <f t="shared" si="122"/>
        <v>#REF!</v>
      </c>
      <c r="BZ180" t="e">
        <f t="shared" si="122"/>
        <v>#REF!</v>
      </c>
      <c r="CA180" t="e">
        <f t="shared" si="122"/>
        <v>#REF!</v>
      </c>
      <c r="CB180" t="e">
        <f t="shared" si="122"/>
        <v>#REF!</v>
      </c>
      <c r="CC180" t="e">
        <f t="shared" si="122"/>
        <v>#REF!</v>
      </c>
      <c r="CD180" t="e">
        <f t="shared" si="135"/>
        <v>#REF!</v>
      </c>
      <c r="CE180" t="e">
        <f t="shared" si="135"/>
        <v>#REF!</v>
      </c>
      <c r="CF180" t="e">
        <f t="shared" si="133"/>
        <v>#REF!</v>
      </c>
      <c r="CG180" t="e">
        <f t="shared" si="133"/>
        <v>#REF!</v>
      </c>
      <c r="CH180" t="e">
        <f t="shared" si="133"/>
        <v>#REF!</v>
      </c>
      <c r="CI180" t="e">
        <f t="shared" si="133"/>
        <v>#REF!</v>
      </c>
      <c r="CJ180" t="e">
        <f t="shared" si="133"/>
        <v>#REF!</v>
      </c>
      <c r="CK180" t="e">
        <f t="shared" si="133"/>
        <v>#REF!</v>
      </c>
      <c r="CL180" t="e">
        <f t="shared" si="133"/>
        <v>#REF!</v>
      </c>
      <c r="CM180" t="e">
        <f t="shared" si="133"/>
        <v>#REF!</v>
      </c>
      <c r="CN180" t="e">
        <f t="shared" si="133"/>
        <v>#REF!</v>
      </c>
      <c r="CO180" t="e">
        <f t="shared" si="133"/>
        <v>#REF!</v>
      </c>
      <c r="CP180" t="e">
        <f t="shared" si="133"/>
        <v>#REF!</v>
      </c>
      <c r="CQ180" t="e">
        <f t="shared" si="133"/>
        <v>#REF!</v>
      </c>
      <c r="CR180" t="e">
        <f t="shared" si="133"/>
        <v>#REF!</v>
      </c>
      <c r="CS180" t="e">
        <f t="shared" si="133"/>
        <v>#REF!</v>
      </c>
      <c r="CT180" t="e">
        <f t="shared" si="133"/>
        <v>#REF!</v>
      </c>
      <c r="CU180" t="e">
        <f t="shared" si="136"/>
        <v>#REF!</v>
      </c>
      <c r="CV180" t="e">
        <f t="shared" si="136"/>
        <v>#REF!</v>
      </c>
      <c r="CW180" t="e">
        <f t="shared" si="136"/>
        <v>#REF!</v>
      </c>
      <c r="CX180" t="e">
        <f t="shared" si="136"/>
        <v>#REF!</v>
      </c>
      <c r="CY180" t="e">
        <f t="shared" si="136"/>
        <v>#REF!</v>
      </c>
      <c r="CZ180" t="e">
        <f t="shared" si="136"/>
        <v>#REF!</v>
      </c>
      <c r="DA180" t="e">
        <f t="shared" si="136"/>
        <v>#REF!</v>
      </c>
      <c r="DB180" t="e">
        <f t="shared" si="136"/>
        <v>#REF!</v>
      </c>
      <c r="DC180" t="e">
        <f t="shared" si="136"/>
        <v>#REF!</v>
      </c>
      <c r="DD180" t="e">
        <f t="shared" si="136"/>
        <v>#REF!</v>
      </c>
      <c r="DE180" t="e">
        <f t="shared" si="136"/>
        <v>#REF!</v>
      </c>
      <c r="DF180" t="e">
        <f t="shared" si="136"/>
        <v>#REF!</v>
      </c>
      <c r="DG180" t="e">
        <f t="shared" si="138"/>
        <v>#REF!</v>
      </c>
      <c r="DH180" t="e">
        <f t="shared" si="138"/>
        <v>#REF!</v>
      </c>
      <c r="DI180" t="e">
        <f t="shared" si="138"/>
        <v>#REF!</v>
      </c>
      <c r="DJ180" t="e">
        <f t="shared" si="138"/>
        <v>#REF!</v>
      </c>
      <c r="DK180" t="e">
        <f t="shared" si="138"/>
        <v>#REF!</v>
      </c>
      <c r="DL180" t="e">
        <f t="shared" si="138"/>
        <v>#REF!</v>
      </c>
      <c r="DM180" t="e">
        <f t="shared" si="138"/>
        <v>#REF!</v>
      </c>
      <c r="DN180" t="e">
        <f t="shared" si="138"/>
        <v>#REF!</v>
      </c>
      <c r="DO180" t="e">
        <f t="shared" si="138"/>
        <v>#REF!</v>
      </c>
      <c r="DP180" t="e">
        <f t="shared" si="138"/>
        <v>#REF!</v>
      </c>
      <c r="DQ180" t="e">
        <f t="shared" si="138"/>
        <v>#REF!</v>
      </c>
      <c r="DR180" t="e">
        <f t="shared" si="138"/>
        <v>#REF!</v>
      </c>
      <c r="DS180" t="e">
        <f t="shared" si="128"/>
        <v>#REF!</v>
      </c>
      <c r="DT180" t="e">
        <f t="shared" si="128"/>
        <v>#REF!</v>
      </c>
      <c r="DU180" t="e">
        <f t="shared" si="128"/>
        <v>#REF!</v>
      </c>
      <c r="DV180" t="e">
        <f t="shared" si="128"/>
        <v>#REF!</v>
      </c>
      <c r="DW180" t="e">
        <f t="shared" si="128"/>
        <v>#REF!</v>
      </c>
      <c r="DX180" t="e">
        <f t="shared" si="128"/>
        <v>#REF!</v>
      </c>
      <c r="DY180" t="e">
        <f t="shared" si="128"/>
        <v>#REF!</v>
      </c>
      <c r="DZ180" t="e">
        <f t="shared" si="128"/>
        <v>#REF!</v>
      </c>
      <c r="EA180" t="e">
        <f t="shared" si="139"/>
        <v>#REF!</v>
      </c>
      <c r="EB180" t="e">
        <f t="shared" si="139"/>
        <v>#REF!</v>
      </c>
      <c r="EC180" t="e">
        <f t="shared" si="139"/>
        <v>#REF!</v>
      </c>
      <c r="ED180" t="e">
        <f t="shared" si="139"/>
        <v>#REF!</v>
      </c>
      <c r="EE180" t="e">
        <f t="shared" si="139"/>
        <v>#REF!</v>
      </c>
      <c r="EF180" t="e">
        <f t="shared" si="139"/>
        <v>#REF!</v>
      </c>
      <c r="EG180" t="e">
        <f t="shared" si="139"/>
        <v>#REF!</v>
      </c>
      <c r="EH180" t="e">
        <f t="shared" si="139"/>
        <v>#REF!</v>
      </c>
      <c r="EI180" t="e">
        <f t="shared" si="139"/>
        <v>#REF!</v>
      </c>
      <c r="EJ180" t="e">
        <f t="shared" si="139"/>
        <v>#REF!</v>
      </c>
      <c r="EK180" t="e">
        <f t="shared" si="139"/>
        <v>#REF!</v>
      </c>
      <c r="EL180" t="e">
        <f t="shared" si="139"/>
        <v>#REF!</v>
      </c>
      <c r="EM180" t="e">
        <f t="shared" si="139"/>
        <v>#REF!</v>
      </c>
    </row>
    <row r="181" spans="1:143" x14ac:dyDescent="0.4">
      <c r="A181" t="str">
        <f t="shared" si="120"/>
        <v>X</v>
      </c>
      <c r="B181">
        <v>178</v>
      </c>
      <c r="C181" t="e" cm="1">
        <f t="array" ref="C181">INDEX(auto_Series_Code,B181)</f>
        <v>#REF!</v>
      </c>
      <c r="D181" t="e">
        <f t="shared" si="130"/>
        <v>#REF!</v>
      </c>
      <c r="E181" t="e">
        <f t="shared" si="130"/>
        <v>#REF!</v>
      </c>
      <c r="F181" t="e">
        <f t="shared" si="130"/>
        <v>#REF!</v>
      </c>
      <c r="G181" t="e">
        <f t="shared" si="130"/>
        <v>#REF!</v>
      </c>
      <c r="H181" t="e">
        <f t="shared" si="130"/>
        <v>#REF!</v>
      </c>
      <c r="I181" t="e">
        <f t="shared" si="130"/>
        <v>#REF!</v>
      </c>
      <c r="J181" t="e">
        <f t="shared" si="130"/>
        <v>#REF!</v>
      </c>
      <c r="K181" t="e">
        <f t="shared" si="130"/>
        <v>#REF!</v>
      </c>
      <c r="L181" t="e">
        <f t="shared" si="130"/>
        <v>#REF!</v>
      </c>
      <c r="M181" t="e">
        <f t="shared" si="130"/>
        <v>#REF!</v>
      </c>
      <c r="N181" t="e">
        <f t="shared" si="130"/>
        <v>#REF!</v>
      </c>
      <c r="O181" t="e">
        <f t="shared" si="130"/>
        <v>#REF!</v>
      </c>
      <c r="P181" t="e">
        <f t="shared" si="130"/>
        <v>#REF!</v>
      </c>
      <c r="Q181" t="e">
        <f t="shared" si="130"/>
        <v>#REF!</v>
      </c>
      <c r="R181" t="e">
        <f t="shared" si="130"/>
        <v>#REF!</v>
      </c>
      <c r="S181" t="e">
        <f t="shared" si="130"/>
        <v>#REF!</v>
      </c>
      <c r="T181" t="e">
        <f t="shared" si="129"/>
        <v>#REF!</v>
      </c>
      <c r="U181" t="e">
        <f t="shared" si="129"/>
        <v>#REF!</v>
      </c>
      <c r="V181" t="e">
        <f t="shared" si="129"/>
        <v>#REF!</v>
      </c>
      <c r="W181" t="e">
        <f t="shared" si="129"/>
        <v>#REF!</v>
      </c>
      <c r="X181" t="e">
        <f t="shared" si="116"/>
        <v>#REF!</v>
      </c>
      <c r="Y181" t="e">
        <f t="shared" si="116"/>
        <v>#REF!</v>
      </c>
      <c r="Z181" t="e">
        <f t="shared" si="116"/>
        <v>#REF!</v>
      </c>
      <c r="AA181" t="e">
        <f t="shared" si="116"/>
        <v>#REF!</v>
      </c>
      <c r="AB181" t="e">
        <f t="shared" si="116"/>
        <v>#REF!</v>
      </c>
      <c r="AC181" t="e">
        <f t="shared" si="116"/>
        <v>#REF!</v>
      </c>
      <c r="AD181" t="e">
        <f t="shared" si="116"/>
        <v>#REF!</v>
      </c>
      <c r="AE181" t="e">
        <f t="shared" si="116"/>
        <v>#REF!</v>
      </c>
      <c r="AF181" t="e">
        <f t="shared" si="116"/>
        <v>#REF!</v>
      </c>
      <c r="AG181" t="e">
        <f t="shared" si="116"/>
        <v>#REF!</v>
      </c>
      <c r="AH181" t="e">
        <f t="shared" si="127"/>
        <v>#REF!</v>
      </c>
      <c r="AI181" t="e">
        <f t="shared" si="127"/>
        <v>#REF!</v>
      </c>
      <c r="AJ181" t="e">
        <f t="shared" si="127"/>
        <v>#REF!</v>
      </c>
      <c r="AK181" t="e">
        <f t="shared" si="127"/>
        <v>#REF!</v>
      </c>
      <c r="AL181" t="e">
        <f t="shared" si="127"/>
        <v>#REF!</v>
      </c>
      <c r="AM181" t="e">
        <f t="shared" si="127"/>
        <v>#REF!</v>
      </c>
      <c r="AN181" t="e">
        <f t="shared" si="127"/>
        <v>#REF!</v>
      </c>
      <c r="AO181" t="e">
        <f t="shared" si="127"/>
        <v>#REF!</v>
      </c>
      <c r="AP181" t="e">
        <f t="shared" si="127"/>
        <v>#REF!</v>
      </c>
      <c r="AQ181" t="e">
        <f t="shared" si="127"/>
        <v>#REF!</v>
      </c>
      <c r="AR181" t="e">
        <f t="shared" si="127"/>
        <v>#REF!</v>
      </c>
      <c r="AS181" t="e">
        <f t="shared" si="127"/>
        <v>#REF!</v>
      </c>
      <c r="AT181" t="e">
        <f t="shared" si="132"/>
        <v>#REF!</v>
      </c>
      <c r="AU181" t="e">
        <f t="shared" si="132"/>
        <v>#REF!</v>
      </c>
      <c r="AV181" t="e">
        <f t="shared" si="132"/>
        <v>#REF!</v>
      </c>
      <c r="AW181" t="e">
        <f t="shared" si="132"/>
        <v>#REF!</v>
      </c>
      <c r="AX181" t="e">
        <f t="shared" si="132"/>
        <v>#REF!</v>
      </c>
      <c r="AY181" t="e">
        <f t="shared" si="132"/>
        <v>#REF!</v>
      </c>
      <c r="AZ181" t="e">
        <f t="shared" si="132"/>
        <v>#REF!</v>
      </c>
      <c r="BA181" t="e">
        <f t="shared" si="132"/>
        <v>#REF!</v>
      </c>
      <c r="BB181" t="e">
        <f t="shared" si="132"/>
        <v>#REF!</v>
      </c>
      <c r="BC181" t="e">
        <f t="shared" si="132"/>
        <v>#REF!</v>
      </c>
      <c r="BD181" t="e">
        <f t="shared" si="132"/>
        <v>#REF!</v>
      </c>
      <c r="BE181" t="e">
        <f t="shared" si="132"/>
        <v>#REF!</v>
      </c>
      <c r="BF181" t="e">
        <f t="shared" si="132"/>
        <v>#REF!</v>
      </c>
      <c r="BG181" t="e">
        <f t="shared" si="132"/>
        <v>#REF!</v>
      </c>
      <c r="BH181" t="e">
        <f t="shared" si="132"/>
        <v>#REF!</v>
      </c>
      <c r="BI181" t="e">
        <f t="shared" si="132"/>
        <v>#REF!</v>
      </c>
      <c r="BJ181" t="e">
        <f t="shared" si="134"/>
        <v>#REF!</v>
      </c>
      <c r="BK181" t="e">
        <f t="shared" si="134"/>
        <v>#REF!</v>
      </c>
      <c r="BL181" t="e">
        <f t="shared" si="124"/>
        <v>#REF!</v>
      </c>
      <c r="BM181" t="e">
        <f t="shared" si="124"/>
        <v>#REF!</v>
      </c>
      <c r="BN181" t="e">
        <f t="shared" si="124"/>
        <v>#REF!</v>
      </c>
      <c r="BO181" t="e">
        <f t="shared" si="124"/>
        <v>#REF!</v>
      </c>
      <c r="BP181" t="e">
        <f t="shared" si="124"/>
        <v>#REF!</v>
      </c>
      <c r="BQ181" t="e">
        <f t="shared" si="124"/>
        <v>#REF!</v>
      </c>
      <c r="BR181" t="e">
        <f t="shared" si="124"/>
        <v>#REF!</v>
      </c>
      <c r="BS181" t="e">
        <f t="shared" si="124"/>
        <v>#REF!</v>
      </c>
      <c r="BT181" t="e">
        <f t="shared" si="124"/>
        <v>#REF!</v>
      </c>
      <c r="BU181" t="e">
        <f t="shared" si="124"/>
        <v>#REF!</v>
      </c>
      <c r="BV181" t="e">
        <f t="shared" si="122"/>
        <v>#REF!</v>
      </c>
      <c r="BW181" t="e">
        <f t="shared" si="122"/>
        <v>#REF!</v>
      </c>
      <c r="BX181" t="e">
        <f t="shared" si="122"/>
        <v>#REF!</v>
      </c>
      <c r="BY181" t="e">
        <f t="shared" si="122"/>
        <v>#REF!</v>
      </c>
      <c r="BZ181" t="e">
        <f t="shared" si="122"/>
        <v>#REF!</v>
      </c>
      <c r="CA181" t="e">
        <f t="shared" si="122"/>
        <v>#REF!</v>
      </c>
      <c r="CB181" t="e">
        <f t="shared" si="122"/>
        <v>#REF!</v>
      </c>
      <c r="CC181" t="e">
        <f t="shared" si="122"/>
        <v>#REF!</v>
      </c>
      <c r="CD181" t="e">
        <f t="shared" si="135"/>
        <v>#REF!</v>
      </c>
      <c r="CE181" t="e">
        <f t="shared" si="135"/>
        <v>#REF!</v>
      </c>
      <c r="CF181" t="e">
        <f t="shared" si="133"/>
        <v>#REF!</v>
      </c>
      <c r="CG181" t="e">
        <f t="shared" si="133"/>
        <v>#REF!</v>
      </c>
      <c r="CH181" t="e">
        <f t="shared" si="133"/>
        <v>#REF!</v>
      </c>
      <c r="CI181" t="e">
        <f t="shared" si="133"/>
        <v>#REF!</v>
      </c>
      <c r="CJ181" t="e">
        <f t="shared" si="133"/>
        <v>#REF!</v>
      </c>
      <c r="CK181" t="e">
        <f t="shared" si="133"/>
        <v>#REF!</v>
      </c>
      <c r="CL181" t="e">
        <f t="shared" si="133"/>
        <v>#REF!</v>
      </c>
      <c r="CM181" t="e">
        <f t="shared" si="133"/>
        <v>#REF!</v>
      </c>
      <c r="CN181" t="e">
        <f t="shared" si="133"/>
        <v>#REF!</v>
      </c>
      <c r="CO181" t="e">
        <f t="shared" si="133"/>
        <v>#REF!</v>
      </c>
      <c r="CP181" t="e">
        <f t="shared" si="133"/>
        <v>#REF!</v>
      </c>
      <c r="CQ181" t="e">
        <f t="shared" si="133"/>
        <v>#REF!</v>
      </c>
      <c r="CR181" t="e">
        <f t="shared" si="133"/>
        <v>#REF!</v>
      </c>
      <c r="CS181" t="e">
        <f t="shared" si="133"/>
        <v>#REF!</v>
      </c>
      <c r="CT181" t="e">
        <f t="shared" si="133"/>
        <v>#REF!</v>
      </c>
      <c r="CU181" t="e">
        <f t="shared" si="136"/>
        <v>#REF!</v>
      </c>
      <c r="CV181" t="e">
        <f t="shared" si="136"/>
        <v>#REF!</v>
      </c>
      <c r="CW181" t="e">
        <f t="shared" si="136"/>
        <v>#REF!</v>
      </c>
      <c r="CX181" t="e">
        <f t="shared" si="136"/>
        <v>#REF!</v>
      </c>
      <c r="CY181" t="e">
        <f t="shared" si="136"/>
        <v>#REF!</v>
      </c>
      <c r="CZ181" t="e">
        <f t="shared" si="136"/>
        <v>#REF!</v>
      </c>
      <c r="DA181" t="e">
        <f t="shared" si="136"/>
        <v>#REF!</v>
      </c>
      <c r="DB181" t="e">
        <f t="shared" si="136"/>
        <v>#REF!</v>
      </c>
      <c r="DC181" t="e">
        <f t="shared" si="136"/>
        <v>#REF!</v>
      </c>
      <c r="DD181" t="e">
        <f t="shared" si="136"/>
        <v>#REF!</v>
      </c>
      <c r="DE181" t="e">
        <f t="shared" si="136"/>
        <v>#REF!</v>
      </c>
      <c r="DF181" t="e">
        <f t="shared" si="136"/>
        <v>#REF!</v>
      </c>
      <c r="DG181" t="e">
        <f t="shared" si="138"/>
        <v>#REF!</v>
      </c>
      <c r="DH181" t="e">
        <f t="shared" si="138"/>
        <v>#REF!</v>
      </c>
      <c r="DI181" t="e">
        <f t="shared" si="138"/>
        <v>#REF!</v>
      </c>
      <c r="DJ181" t="e">
        <f t="shared" si="138"/>
        <v>#REF!</v>
      </c>
      <c r="DK181" t="e">
        <f t="shared" si="138"/>
        <v>#REF!</v>
      </c>
      <c r="DL181" t="e">
        <f t="shared" si="138"/>
        <v>#REF!</v>
      </c>
      <c r="DM181" t="e">
        <f t="shared" si="138"/>
        <v>#REF!</v>
      </c>
      <c r="DN181" t="e">
        <f t="shared" si="138"/>
        <v>#REF!</v>
      </c>
      <c r="DO181" t="e">
        <f t="shared" si="138"/>
        <v>#REF!</v>
      </c>
      <c r="DP181" t="e">
        <f t="shared" si="138"/>
        <v>#REF!</v>
      </c>
      <c r="DQ181" t="e">
        <f t="shared" si="138"/>
        <v>#REF!</v>
      </c>
      <c r="DR181" t="e">
        <f t="shared" si="138"/>
        <v>#REF!</v>
      </c>
      <c r="DS181" t="e">
        <f t="shared" si="128"/>
        <v>#REF!</v>
      </c>
      <c r="DT181" t="e">
        <f t="shared" si="128"/>
        <v>#REF!</v>
      </c>
      <c r="DU181" t="e">
        <f t="shared" si="128"/>
        <v>#REF!</v>
      </c>
      <c r="DV181" t="e">
        <f t="shared" si="128"/>
        <v>#REF!</v>
      </c>
      <c r="DW181" t="e">
        <f t="shared" si="128"/>
        <v>#REF!</v>
      </c>
      <c r="DX181" t="e">
        <f t="shared" si="128"/>
        <v>#REF!</v>
      </c>
      <c r="DY181" t="e">
        <f t="shared" si="128"/>
        <v>#REF!</v>
      </c>
      <c r="DZ181" t="e">
        <f t="shared" si="128"/>
        <v>#REF!</v>
      </c>
      <c r="EA181" t="e">
        <f t="shared" si="139"/>
        <v>#REF!</v>
      </c>
      <c r="EB181" t="e">
        <f t="shared" si="139"/>
        <v>#REF!</v>
      </c>
      <c r="EC181" t="e">
        <f t="shared" si="139"/>
        <v>#REF!</v>
      </c>
      <c r="ED181" t="e">
        <f t="shared" si="139"/>
        <v>#REF!</v>
      </c>
      <c r="EE181" t="e">
        <f t="shared" si="139"/>
        <v>#REF!</v>
      </c>
      <c r="EF181" t="e">
        <f t="shared" si="139"/>
        <v>#REF!</v>
      </c>
      <c r="EG181" t="e">
        <f t="shared" si="139"/>
        <v>#REF!</v>
      </c>
      <c r="EH181" t="e">
        <f t="shared" si="139"/>
        <v>#REF!</v>
      </c>
      <c r="EI181" t="e">
        <f t="shared" si="139"/>
        <v>#REF!</v>
      </c>
      <c r="EJ181" t="e">
        <f t="shared" si="139"/>
        <v>#REF!</v>
      </c>
      <c r="EK181" t="e">
        <f t="shared" si="139"/>
        <v>#REF!</v>
      </c>
      <c r="EL181" t="e">
        <f t="shared" si="139"/>
        <v>#REF!</v>
      </c>
      <c r="EM181" t="e">
        <f t="shared" si="139"/>
        <v>#REF!</v>
      </c>
    </row>
    <row r="182" spans="1:143" x14ac:dyDescent="0.4">
      <c r="A182" t="str">
        <f t="shared" si="120"/>
        <v>X</v>
      </c>
      <c r="B182">
        <v>179</v>
      </c>
      <c r="C182" t="e" cm="1">
        <f t="array" ref="C182">INDEX(auto_Series_Code,B182)</f>
        <v>#REF!</v>
      </c>
      <c r="D182" t="e">
        <f t="shared" si="130"/>
        <v>#REF!</v>
      </c>
      <c r="E182" t="e">
        <f t="shared" si="130"/>
        <v>#REF!</v>
      </c>
      <c r="F182" t="e">
        <f t="shared" si="130"/>
        <v>#REF!</v>
      </c>
      <c r="G182" t="e">
        <f t="shared" si="130"/>
        <v>#REF!</v>
      </c>
      <c r="H182" t="e">
        <f t="shared" si="130"/>
        <v>#REF!</v>
      </c>
      <c r="I182" t="e">
        <f t="shared" si="130"/>
        <v>#REF!</v>
      </c>
      <c r="J182" t="e">
        <f t="shared" si="130"/>
        <v>#REF!</v>
      </c>
      <c r="K182" t="e">
        <f t="shared" si="130"/>
        <v>#REF!</v>
      </c>
      <c r="L182" t="e">
        <f t="shared" si="130"/>
        <v>#REF!</v>
      </c>
      <c r="M182" t="e">
        <f t="shared" si="130"/>
        <v>#REF!</v>
      </c>
      <c r="N182" t="e">
        <f t="shared" si="130"/>
        <v>#REF!</v>
      </c>
      <c r="O182" t="e">
        <f t="shared" si="130"/>
        <v>#REF!</v>
      </c>
      <c r="P182" t="e">
        <f t="shared" si="130"/>
        <v>#REF!</v>
      </c>
      <c r="Q182" t="e">
        <f t="shared" si="130"/>
        <v>#REF!</v>
      </c>
      <c r="R182" t="e">
        <f t="shared" si="130"/>
        <v>#REF!</v>
      </c>
      <c r="S182" t="e">
        <f t="shared" si="130"/>
        <v>#REF!</v>
      </c>
      <c r="T182" t="e">
        <f t="shared" si="129"/>
        <v>#REF!</v>
      </c>
      <c r="U182" t="e">
        <f t="shared" si="129"/>
        <v>#REF!</v>
      </c>
      <c r="V182" t="e">
        <f t="shared" si="129"/>
        <v>#REF!</v>
      </c>
      <c r="W182" t="e">
        <f t="shared" si="129"/>
        <v>#REF!</v>
      </c>
      <c r="X182" t="e">
        <f t="shared" si="116"/>
        <v>#REF!</v>
      </c>
      <c r="Y182" t="e">
        <f t="shared" si="116"/>
        <v>#REF!</v>
      </c>
      <c r="Z182" t="e">
        <f t="shared" si="116"/>
        <v>#REF!</v>
      </c>
      <c r="AA182" t="e">
        <f t="shared" si="116"/>
        <v>#REF!</v>
      </c>
      <c r="AB182" t="e">
        <f t="shared" si="116"/>
        <v>#REF!</v>
      </c>
      <c r="AC182" t="e">
        <f t="shared" si="116"/>
        <v>#REF!</v>
      </c>
      <c r="AD182" t="e">
        <f t="shared" si="116"/>
        <v>#REF!</v>
      </c>
      <c r="AE182" t="e">
        <f t="shared" si="116"/>
        <v>#REF!</v>
      </c>
      <c r="AF182" t="e">
        <f t="shared" si="116"/>
        <v>#REF!</v>
      </c>
      <c r="AG182" t="e">
        <f t="shared" si="116"/>
        <v>#REF!</v>
      </c>
      <c r="AH182" t="e">
        <f t="shared" si="127"/>
        <v>#REF!</v>
      </c>
      <c r="AI182" t="e">
        <f t="shared" si="127"/>
        <v>#REF!</v>
      </c>
      <c r="AJ182" t="e">
        <f t="shared" si="127"/>
        <v>#REF!</v>
      </c>
      <c r="AK182" t="e">
        <f t="shared" si="127"/>
        <v>#REF!</v>
      </c>
      <c r="AL182" t="e">
        <f t="shared" si="127"/>
        <v>#REF!</v>
      </c>
      <c r="AM182" t="e">
        <f t="shared" si="127"/>
        <v>#REF!</v>
      </c>
      <c r="AN182" t="e">
        <f t="shared" si="127"/>
        <v>#REF!</v>
      </c>
      <c r="AO182" t="e">
        <f t="shared" si="127"/>
        <v>#REF!</v>
      </c>
      <c r="AP182" t="e">
        <f t="shared" si="127"/>
        <v>#REF!</v>
      </c>
      <c r="AQ182" t="e">
        <f t="shared" si="127"/>
        <v>#REF!</v>
      </c>
      <c r="AR182" t="e">
        <f t="shared" si="127"/>
        <v>#REF!</v>
      </c>
      <c r="AS182" t="e">
        <f t="shared" si="127"/>
        <v>#REF!</v>
      </c>
      <c r="AT182" t="e">
        <f t="shared" si="132"/>
        <v>#REF!</v>
      </c>
      <c r="AU182" t="e">
        <f t="shared" si="132"/>
        <v>#REF!</v>
      </c>
      <c r="AV182" t="e">
        <f t="shared" si="132"/>
        <v>#REF!</v>
      </c>
      <c r="AW182" t="e">
        <f t="shared" si="132"/>
        <v>#REF!</v>
      </c>
      <c r="AX182" t="e">
        <f t="shared" si="132"/>
        <v>#REF!</v>
      </c>
      <c r="AY182" t="e">
        <f t="shared" si="132"/>
        <v>#REF!</v>
      </c>
      <c r="AZ182" t="e">
        <f t="shared" si="132"/>
        <v>#REF!</v>
      </c>
      <c r="BA182" t="e">
        <f t="shared" si="132"/>
        <v>#REF!</v>
      </c>
      <c r="BB182" t="e">
        <f t="shared" si="132"/>
        <v>#REF!</v>
      </c>
      <c r="BC182" t="e">
        <f t="shared" si="132"/>
        <v>#REF!</v>
      </c>
      <c r="BD182" t="e">
        <f t="shared" si="132"/>
        <v>#REF!</v>
      </c>
      <c r="BE182" t="e">
        <f t="shared" si="132"/>
        <v>#REF!</v>
      </c>
      <c r="BF182" t="e">
        <f t="shared" si="132"/>
        <v>#REF!</v>
      </c>
      <c r="BG182" t="e">
        <f t="shared" si="132"/>
        <v>#REF!</v>
      </c>
      <c r="BH182" t="e">
        <f t="shared" si="132"/>
        <v>#REF!</v>
      </c>
      <c r="BI182" t="e">
        <f t="shared" si="132"/>
        <v>#REF!</v>
      </c>
      <c r="BJ182" t="e">
        <f t="shared" si="134"/>
        <v>#REF!</v>
      </c>
      <c r="BK182" t="e">
        <f t="shared" si="134"/>
        <v>#REF!</v>
      </c>
      <c r="BL182" t="e">
        <f t="shared" si="124"/>
        <v>#REF!</v>
      </c>
      <c r="BM182" t="e">
        <f t="shared" si="124"/>
        <v>#REF!</v>
      </c>
      <c r="BN182" t="e">
        <f t="shared" si="124"/>
        <v>#REF!</v>
      </c>
      <c r="BO182" t="e">
        <f t="shared" si="124"/>
        <v>#REF!</v>
      </c>
      <c r="BP182" t="e">
        <f t="shared" si="124"/>
        <v>#REF!</v>
      </c>
      <c r="BQ182" t="e">
        <f t="shared" si="124"/>
        <v>#REF!</v>
      </c>
      <c r="BR182" t="e">
        <f t="shared" si="124"/>
        <v>#REF!</v>
      </c>
      <c r="BS182" t="e">
        <f t="shared" si="124"/>
        <v>#REF!</v>
      </c>
      <c r="BT182" t="e">
        <f t="shared" si="124"/>
        <v>#REF!</v>
      </c>
      <c r="BU182" t="e">
        <f t="shared" si="124"/>
        <v>#REF!</v>
      </c>
      <c r="BV182" t="e">
        <f t="shared" si="122"/>
        <v>#REF!</v>
      </c>
      <c r="BW182" t="e">
        <f t="shared" si="122"/>
        <v>#REF!</v>
      </c>
      <c r="BX182" t="e">
        <f t="shared" si="122"/>
        <v>#REF!</v>
      </c>
      <c r="BY182" t="e">
        <f t="shared" si="122"/>
        <v>#REF!</v>
      </c>
      <c r="BZ182" t="e">
        <f t="shared" si="122"/>
        <v>#REF!</v>
      </c>
      <c r="CA182" t="e">
        <f t="shared" si="122"/>
        <v>#REF!</v>
      </c>
      <c r="CB182" t="e">
        <f t="shared" si="122"/>
        <v>#REF!</v>
      </c>
      <c r="CC182" t="e">
        <f t="shared" si="122"/>
        <v>#REF!</v>
      </c>
      <c r="CD182" t="e">
        <f t="shared" si="135"/>
        <v>#REF!</v>
      </c>
      <c r="CE182" t="e">
        <f t="shared" si="135"/>
        <v>#REF!</v>
      </c>
      <c r="CF182" t="e">
        <f t="shared" si="133"/>
        <v>#REF!</v>
      </c>
      <c r="CG182" t="e">
        <f t="shared" si="133"/>
        <v>#REF!</v>
      </c>
      <c r="CH182" t="e">
        <f t="shared" si="133"/>
        <v>#REF!</v>
      </c>
      <c r="CI182" t="e">
        <f t="shared" si="133"/>
        <v>#REF!</v>
      </c>
      <c r="CJ182" t="e">
        <f t="shared" si="133"/>
        <v>#REF!</v>
      </c>
      <c r="CK182" t="e">
        <f t="shared" si="133"/>
        <v>#REF!</v>
      </c>
      <c r="CL182" t="e">
        <f t="shared" si="133"/>
        <v>#REF!</v>
      </c>
      <c r="CM182" t="e">
        <f t="shared" si="133"/>
        <v>#REF!</v>
      </c>
      <c r="CN182" t="e">
        <f t="shared" si="133"/>
        <v>#REF!</v>
      </c>
      <c r="CO182" t="e">
        <f t="shared" si="133"/>
        <v>#REF!</v>
      </c>
      <c r="CP182" t="e">
        <f t="shared" si="133"/>
        <v>#REF!</v>
      </c>
      <c r="CQ182" t="e">
        <f t="shared" si="133"/>
        <v>#REF!</v>
      </c>
      <c r="CR182" t="e">
        <f t="shared" si="133"/>
        <v>#REF!</v>
      </c>
      <c r="CS182" t="e">
        <f t="shared" si="133"/>
        <v>#REF!</v>
      </c>
      <c r="CT182" t="e">
        <f t="shared" si="133"/>
        <v>#REF!</v>
      </c>
      <c r="CU182" t="e">
        <f t="shared" si="136"/>
        <v>#REF!</v>
      </c>
      <c r="CV182" t="e">
        <f t="shared" si="136"/>
        <v>#REF!</v>
      </c>
      <c r="CW182" t="e">
        <f t="shared" si="136"/>
        <v>#REF!</v>
      </c>
      <c r="CX182" t="e">
        <f t="shared" si="136"/>
        <v>#REF!</v>
      </c>
      <c r="CY182" t="e">
        <f t="shared" si="136"/>
        <v>#REF!</v>
      </c>
      <c r="CZ182" t="e">
        <f t="shared" si="136"/>
        <v>#REF!</v>
      </c>
      <c r="DA182" t="e">
        <f t="shared" si="136"/>
        <v>#REF!</v>
      </c>
      <c r="DB182" t="e">
        <f t="shared" si="136"/>
        <v>#REF!</v>
      </c>
      <c r="DC182" t="e">
        <f t="shared" si="136"/>
        <v>#REF!</v>
      </c>
      <c r="DD182" t="e">
        <f t="shared" si="136"/>
        <v>#REF!</v>
      </c>
      <c r="DE182" t="e">
        <f t="shared" si="136"/>
        <v>#REF!</v>
      </c>
      <c r="DF182" t="e">
        <f t="shared" si="136"/>
        <v>#REF!</v>
      </c>
      <c r="DG182" t="e">
        <f t="shared" si="138"/>
        <v>#REF!</v>
      </c>
      <c r="DH182" t="e">
        <f t="shared" si="138"/>
        <v>#REF!</v>
      </c>
      <c r="DI182" t="e">
        <f t="shared" si="138"/>
        <v>#REF!</v>
      </c>
      <c r="DJ182" t="e">
        <f t="shared" si="138"/>
        <v>#REF!</v>
      </c>
      <c r="DK182" t="e">
        <f t="shared" si="138"/>
        <v>#REF!</v>
      </c>
      <c r="DL182" t="e">
        <f t="shared" si="138"/>
        <v>#REF!</v>
      </c>
      <c r="DM182" t="e">
        <f t="shared" si="138"/>
        <v>#REF!</v>
      </c>
      <c r="DN182" t="e">
        <f t="shared" si="138"/>
        <v>#REF!</v>
      </c>
      <c r="DO182" t="e">
        <f t="shared" si="138"/>
        <v>#REF!</v>
      </c>
      <c r="DP182" t="e">
        <f t="shared" si="138"/>
        <v>#REF!</v>
      </c>
      <c r="DQ182" t="e">
        <f t="shared" si="138"/>
        <v>#REF!</v>
      </c>
      <c r="DR182" t="e">
        <f t="shared" si="138"/>
        <v>#REF!</v>
      </c>
      <c r="DS182" t="e">
        <f t="shared" si="128"/>
        <v>#REF!</v>
      </c>
      <c r="DT182" t="e">
        <f t="shared" si="128"/>
        <v>#REF!</v>
      </c>
      <c r="DU182" t="e">
        <f t="shared" si="128"/>
        <v>#REF!</v>
      </c>
      <c r="DV182" t="e">
        <f t="shared" si="128"/>
        <v>#REF!</v>
      </c>
      <c r="DW182" t="e">
        <f t="shared" si="128"/>
        <v>#REF!</v>
      </c>
      <c r="DX182" t="e">
        <f t="shared" si="128"/>
        <v>#REF!</v>
      </c>
      <c r="DY182" t="e">
        <f t="shared" si="128"/>
        <v>#REF!</v>
      </c>
      <c r="DZ182" t="e">
        <f t="shared" si="128"/>
        <v>#REF!</v>
      </c>
      <c r="EA182" t="e">
        <f t="shared" si="139"/>
        <v>#REF!</v>
      </c>
      <c r="EB182" t="e">
        <f t="shared" si="139"/>
        <v>#REF!</v>
      </c>
      <c r="EC182" t="e">
        <f t="shared" si="139"/>
        <v>#REF!</v>
      </c>
      <c r="ED182" t="e">
        <f t="shared" si="139"/>
        <v>#REF!</v>
      </c>
      <c r="EE182" t="e">
        <f t="shared" si="139"/>
        <v>#REF!</v>
      </c>
      <c r="EF182" t="e">
        <f t="shared" si="139"/>
        <v>#REF!</v>
      </c>
      <c r="EG182" t="e">
        <f t="shared" si="139"/>
        <v>#REF!</v>
      </c>
      <c r="EH182" t="e">
        <f t="shared" si="139"/>
        <v>#REF!</v>
      </c>
      <c r="EI182" t="e">
        <f t="shared" si="139"/>
        <v>#REF!</v>
      </c>
      <c r="EJ182" t="e">
        <f t="shared" si="139"/>
        <v>#REF!</v>
      </c>
      <c r="EK182" t="e">
        <f t="shared" si="139"/>
        <v>#REF!</v>
      </c>
      <c r="EL182" t="e">
        <f t="shared" si="139"/>
        <v>#REF!</v>
      </c>
      <c r="EM182" t="e">
        <f t="shared" si="139"/>
        <v>#REF!</v>
      </c>
    </row>
    <row r="183" spans="1:143" x14ac:dyDescent="0.4">
      <c r="A183" t="str">
        <f t="shared" si="120"/>
        <v>X</v>
      </c>
      <c r="B183">
        <v>180</v>
      </c>
      <c r="C183" t="e" cm="1">
        <f t="array" ref="C183">INDEX(auto_Series_Code,B183)</f>
        <v>#REF!</v>
      </c>
      <c r="D183" t="e">
        <f t="shared" si="130"/>
        <v>#REF!</v>
      </c>
      <c r="E183" t="e">
        <f t="shared" si="130"/>
        <v>#REF!</v>
      </c>
      <c r="F183" t="e">
        <f t="shared" si="130"/>
        <v>#REF!</v>
      </c>
      <c r="G183" t="e">
        <f t="shared" si="130"/>
        <v>#REF!</v>
      </c>
      <c r="H183" t="e">
        <f t="shared" si="130"/>
        <v>#REF!</v>
      </c>
      <c r="I183" t="e">
        <f t="shared" si="130"/>
        <v>#REF!</v>
      </c>
      <c r="J183" t="e">
        <f t="shared" si="130"/>
        <v>#REF!</v>
      </c>
      <c r="K183" t="e">
        <f t="shared" si="130"/>
        <v>#REF!</v>
      </c>
      <c r="L183" t="e">
        <f t="shared" si="130"/>
        <v>#REF!</v>
      </c>
      <c r="M183" t="e">
        <f t="shared" si="130"/>
        <v>#REF!</v>
      </c>
      <c r="N183" t="e">
        <f t="shared" si="130"/>
        <v>#REF!</v>
      </c>
      <c r="O183" t="e">
        <f t="shared" si="130"/>
        <v>#REF!</v>
      </c>
      <c r="P183" t="e">
        <f t="shared" si="130"/>
        <v>#REF!</v>
      </c>
      <c r="Q183" t="e">
        <f t="shared" si="130"/>
        <v>#REF!</v>
      </c>
      <c r="R183" t="e">
        <f t="shared" si="130"/>
        <v>#REF!</v>
      </c>
      <c r="S183" t="e">
        <f t="shared" ref="S183:AH202" si="140">MATCH(CONCATENATE(S$3,"_",$C183),auto_DataFlat_UID,0)</f>
        <v>#REF!</v>
      </c>
      <c r="T183" t="e">
        <f t="shared" si="140"/>
        <v>#REF!</v>
      </c>
      <c r="U183" t="e">
        <f t="shared" si="140"/>
        <v>#REF!</v>
      </c>
      <c r="V183" t="e">
        <f t="shared" si="140"/>
        <v>#REF!</v>
      </c>
      <c r="W183" t="e">
        <f t="shared" si="140"/>
        <v>#REF!</v>
      </c>
      <c r="X183" t="e">
        <f t="shared" si="116"/>
        <v>#REF!</v>
      </c>
      <c r="Y183" t="e">
        <f t="shared" si="116"/>
        <v>#REF!</v>
      </c>
      <c r="Z183" t="e">
        <f t="shared" si="116"/>
        <v>#REF!</v>
      </c>
      <c r="AA183" t="e">
        <f t="shared" si="116"/>
        <v>#REF!</v>
      </c>
      <c r="AB183" t="e">
        <f t="shared" si="116"/>
        <v>#REF!</v>
      </c>
      <c r="AC183" t="e">
        <f t="shared" si="116"/>
        <v>#REF!</v>
      </c>
      <c r="AD183" t="e">
        <f t="shared" si="116"/>
        <v>#REF!</v>
      </c>
      <c r="AE183" t="e">
        <f t="shared" si="116"/>
        <v>#REF!</v>
      </c>
      <c r="AF183" t="e">
        <f t="shared" si="116"/>
        <v>#REF!</v>
      </c>
      <c r="AG183" t="e">
        <f t="shared" si="116"/>
        <v>#REF!</v>
      </c>
      <c r="AH183" t="e">
        <f t="shared" si="127"/>
        <v>#REF!</v>
      </c>
      <c r="AI183" t="e">
        <f t="shared" si="127"/>
        <v>#REF!</v>
      </c>
      <c r="AJ183" t="e">
        <f t="shared" si="127"/>
        <v>#REF!</v>
      </c>
      <c r="AK183" t="e">
        <f t="shared" si="127"/>
        <v>#REF!</v>
      </c>
      <c r="AL183" t="e">
        <f t="shared" si="127"/>
        <v>#REF!</v>
      </c>
      <c r="AM183" t="e">
        <f t="shared" si="127"/>
        <v>#REF!</v>
      </c>
      <c r="AN183" t="e">
        <f t="shared" si="127"/>
        <v>#REF!</v>
      </c>
      <c r="AO183" t="e">
        <f t="shared" si="127"/>
        <v>#REF!</v>
      </c>
      <c r="AP183" t="e">
        <f t="shared" si="127"/>
        <v>#REF!</v>
      </c>
      <c r="AQ183" t="e">
        <f t="shared" si="127"/>
        <v>#REF!</v>
      </c>
      <c r="AR183" t="e">
        <f t="shared" si="127"/>
        <v>#REF!</v>
      </c>
      <c r="AS183" t="e">
        <f t="shared" si="127"/>
        <v>#REF!</v>
      </c>
      <c r="AT183" t="e">
        <f t="shared" si="132"/>
        <v>#REF!</v>
      </c>
      <c r="AU183" t="e">
        <f t="shared" si="132"/>
        <v>#REF!</v>
      </c>
      <c r="AV183" t="e">
        <f t="shared" si="132"/>
        <v>#REF!</v>
      </c>
      <c r="AW183" t="e">
        <f t="shared" si="132"/>
        <v>#REF!</v>
      </c>
      <c r="AX183" t="e">
        <f t="shared" si="132"/>
        <v>#REF!</v>
      </c>
      <c r="AY183" t="e">
        <f t="shared" si="132"/>
        <v>#REF!</v>
      </c>
      <c r="AZ183" t="e">
        <f t="shared" si="132"/>
        <v>#REF!</v>
      </c>
      <c r="BA183" t="e">
        <f t="shared" si="132"/>
        <v>#REF!</v>
      </c>
      <c r="BB183" t="e">
        <f t="shared" si="132"/>
        <v>#REF!</v>
      </c>
      <c r="BC183" t="e">
        <f t="shared" si="132"/>
        <v>#REF!</v>
      </c>
      <c r="BD183" t="e">
        <f t="shared" si="132"/>
        <v>#REF!</v>
      </c>
      <c r="BE183" t="e">
        <f t="shared" si="132"/>
        <v>#REF!</v>
      </c>
      <c r="BF183" t="e">
        <f t="shared" si="132"/>
        <v>#REF!</v>
      </c>
      <c r="BG183" t="e">
        <f t="shared" si="132"/>
        <v>#REF!</v>
      </c>
      <c r="BH183" t="e">
        <f t="shared" si="132"/>
        <v>#REF!</v>
      </c>
      <c r="BI183" t="e">
        <f t="shared" si="132"/>
        <v>#REF!</v>
      </c>
      <c r="BJ183" t="e">
        <f t="shared" si="134"/>
        <v>#REF!</v>
      </c>
      <c r="BK183" t="e">
        <f t="shared" si="134"/>
        <v>#REF!</v>
      </c>
      <c r="BL183" t="e">
        <f t="shared" si="124"/>
        <v>#REF!</v>
      </c>
      <c r="BM183" t="e">
        <f t="shared" si="124"/>
        <v>#REF!</v>
      </c>
      <c r="BN183" t="e">
        <f t="shared" si="124"/>
        <v>#REF!</v>
      </c>
      <c r="BO183" t="e">
        <f t="shared" si="124"/>
        <v>#REF!</v>
      </c>
      <c r="BP183" t="e">
        <f t="shared" si="124"/>
        <v>#REF!</v>
      </c>
      <c r="BQ183" t="e">
        <f t="shared" ref="BQ183:BU183" si="141">MATCH(CONCATENATE(BQ$3,"_",$C183),auto_DataFlat_UID,0)</f>
        <v>#REF!</v>
      </c>
      <c r="BR183" t="e">
        <f t="shared" si="141"/>
        <v>#REF!</v>
      </c>
      <c r="BS183" t="e">
        <f t="shared" si="141"/>
        <v>#REF!</v>
      </c>
      <c r="BT183" t="e">
        <f t="shared" si="141"/>
        <v>#REF!</v>
      </c>
      <c r="BU183" t="e">
        <f t="shared" si="141"/>
        <v>#REF!</v>
      </c>
      <c r="BV183" t="e">
        <f t="shared" si="122"/>
        <v>#REF!</v>
      </c>
      <c r="BW183" t="e">
        <f t="shared" si="122"/>
        <v>#REF!</v>
      </c>
      <c r="BX183" t="e">
        <f t="shared" si="122"/>
        <v>#REF!</v>
      </c>
      <c r="BY183" t="e">
        <f t="shared" si="122"/>
        <v>#REF!</v>
      </c>
      <c r="BZ183" t="e">
        <f t="shared" si="122"/>
        <v>#REF!</v>
      </c>
      <c r="CA183" t="e">
        <f t="shared" si="122"/>
        <v>#REF!</v>
      </c>
      <c r="CB183" t="e">
        <f t="shared" si="122"/>
        <v>#REF!</v>
      </c>
      <c r="CC183" t="e">
        <f t="shared" si="122"/>
        <v>#REF!</v>
      </c>
      <c r="CD183" t="e">
        <f t="shared" si="135"/>
        <v>#REF!</v>
      </c>
      <c r="CE183" t="e">
        <f t="shared" si="135"/>
        <v>#REF!</v>
      </c>
      <c r="CF183" t="e">
        <f t="shared" si="133"/>
        <v>#REF!</v>
      </c>
      <c r="CG183" t="e">
        <f t="shared" si="133"/>
        <v>#REF!</v>
      </c>
      <c r="CH183" t="e">
        <f t="shared" si="133"/>
        <v>#REF!</v>
      </c>
      <c r="CI183" t="e">
        <f t="shared" si="133"/>
        <v>#REF!</v>
      </c>
      <c r="CJ183" t="e">
        <f t="shared" si="133"/>
        <v>#REF!</v>
      </c>
      <c r="CK183" t="e">
        <f t="shared" si="133"/>
        <v>#REF!</v>
      </c>
      <c r="CL183" t="e">
        <f t="shared" si="133"/>
        <v>#REF!</v>
      </c>
      <c r="CM183" t="e">
        <f t="shared" si="133"/>
        <v>#REF!</v>
      </c>
      <c r="CN183" t="e">
        <f t="shared" si="133"/>
        <v>#REF!</v>
      </c>
      <c r="CO183" t="e">
        <f t="shared" si="133"/>
        <v>#REF!</v>
      </c>
      <c r="CP183" t="e">
        <f t="shared" si="133"/>
        <v>#REF!</v>
      </c>
      <c r="CQ183" t="e">
        <f t="shared" si="133"/>
        <v>#REF!</v>
      </c>
      <c r="CR183" t="e">
        <f t="shared" si="133"/>
        <v>#REF!</v>
      </c>
      <c r="CS183" t="e">
        <f t="shared" si="133"/>
        <v>#REF!</v>
      </c>
      <c r="CT183" t="e">
        <f t="shared" si="133"/>
        <v>#REF!</v>
      </c>
      <c r="CU183" t="e">
        <f t="shared" si="136"/>
        <v>#REF!</v>
      </c>
      <c r="CV183" t="e">
        <f t="shared" si="136"/>
        <v>#REF!</v>
      </c>
      <c r="CW183" t="e">
        <f t="shared" si="136"/>
        <v>#REF!</v>
      </c>
      <c r="CX183" t="e">
        <f t="shared" si="136"/>
        <v>#REF!</v>
      </c>
      <c r="CY183" t="e">
        <f t="shared" si="136"/>
        <v>#REF!</v>
      </c>
      <c r="CZ183" t="e">
        <f t="shared" si="136"/>
        <v>#REF!</v>
      </c>
      <c r="DA183" t="e">
        <f t="shared" si="136"/>
        <v>#REF!</v>
      </c>
      <c r="DB183" t="e">
        <f t="shared" si="136"/>
        <v>#REF!</v>
      </c>
      <c r="DC183" t="e">
        <f t="shared" si="136"/>
        <v>#REF!</v>
      </c>
      <c r="DD183" t="e">
        <f t="shared" si="136"/>
        <v>#REF!</v>
      </c>
      <c r="DE183" t="e">
        <f t="shared" si="136"/>
        <v>#REF!</v>
      </c>
      <c r="DF183" t="e">
        <f t="shared" si="136"/>
        <v>#REF!</v>
      </c>
      <c r="DG183" t="e">
        <f t="shared" si="138"/>
        <v>#REF!</v>
      </c>
      <c r="DH183" t="e">
        <f t="shared" si="138"/>
        <v>#REF!</v>
      </c>
      <c r="DI183" t="e">
        <f t="shared" si="138"/>
        <v>#REF!</v>
      </c>
      <c r="DJ183" t="e">
        <f t="shared" si="138"/>
        <v>#REF!</v>
      </c>
      <c r="DK183" t="e">
        <f t="shared" si="138"/>
        <v>#REF!</v>
      </c>
      <c r="DL183" t="e">
        <f t="shared" si="138"/>
        <v>#REF!</v>
      </c>
      <c r="DM183" t="e">
        <f t="shared" si="138"/>
        <v>#REF!</v>
      </c>
      <c r="DN183" t="e">
        <f t="shared" si="138"/>
        <v>#REF!</v>
      </c>
      <c r="DO183" t="e">
        <f t="shared" si="138"/>
        <v>#REF!</v>
      </c>
      <c r="DP183" t="e">
        <f t="shared" si="138"/>
        <v>#REF!</v>
      </c>
      <c r="DQ183" t="e">
        <f t="shared" si="138"/>
        <v>#REF!</v>
      </c>
      <c r="DR183" t="e">
        <f t="shared" si="138"/>
        <v>#REF!</v>
      </c>
      <c r="DS183" t="e">
        <f t="shared" si="128"/>
        <v>#REF!</v>
      </c>
      <c r="DT183" t="e">
        <f t="shared" si="128"/>
        <v>#REF!</v>
      </c>
      <c r="DU183" t="e">
        <f t="shared" si="128"/>
        <v>#REF!</v>
      </c>
      <c r="DV183" t="e">
        <f t="shared" si="128"/>
        <v>#REF!</v>
      </c>
      <c r="DW183" t="e">
        <f t="shared" si="128"/>
        <v>#REF!</v>
      </c>
      <c r="DX183" t="e">
        <f t="shared" si="128"/>
        <v>#REF!</v>
      </c>
      <c r="DY183" t="e">
        <f t="shared" si="128"/>
        <v>#REF!</v>
      </c>
      <c r="DZ183" t="e">
        <f t="shared" si="128"/>
        <v>#REF!</v>
      </c>
      <c r="EA183" t="e">
        <f t="shared" si="139"/>
        <v>#REF!</v>
      </c>
      <c r="EB183" t="e">
        <f t="shared" si="139"/>
        <v>#REF!</v>
      </c>
      <c r="EC183" t="e">
        <f t="shared" si="139"/>
        <v>#REF!</v>
      </c>
      <c r="ED183" t="e">
        <f t="shared" si="139"/>
        <v>#REF!</v>
      </c>
      <c r="EE183" t="e">
        <f t="shared" si="139"/>
        <v>#REF!</v>
      </c>
      <c r="EF183" t="e">
        <f t="shared" si="139"/>
        <v>#REF!</v>
      </c>
      <c r="EG183" t="e">
        <f t="shared" si="139"/>
        <v>#REF!</v>
      </c>
      <c r="EH183" t="e">
        <f t="shared" si="139"/>
        <v>#REF!</v>
      </c>
      <c r="EI183" t="e">
        <f t="shared" si="139"/>
        <v>#REF!</v>
      </c>
      <c r="EJ183" t="e">
        <f t="shared" si="139"/>
        <v>#REF!</v>
      </c>
      <c r="EK183" t="e">
        <f t="shared" si="139"/>
        <v>#REF!</v>
      </c>
      <c r="EL183" t="e">
        <f t="shared" si="139"/>
        <v>#REF!</v>
      </c>
      <c r="EM183" t="e">
        <f t="shared" si="139"/>
        <v>#REF!</v>
      </c>
    </row>
    <row r="184" spans="1:143" x14ac:dyDescent="0.4">
      <c r="A184" t="str">
        <f t="shared" si="120"/>
        <v>X</v>
      </c>
      <c r="B184">
        <v>181</v>
      </c>
      <c r="C184" t="e" cm="1">
        <f t="array" ref="C184">INDEX(auto_Series_Code,B184)</f>
        <v>#REF!</v>
      </c>
      <c r="D184" t="e">
        <f t="shared" ref="D184:S199" si="142">MATCH(CONCATENATE(D$3,"_",$C184),auto_DataFlat_UID,0)</f>
        <v>#REF!</v>
      </c>
      <c r="E184" t="e">
        <f t="shared" si="142"/>
        <v>#REF!</v>
      </c>
      <c r="F184" t="e">
        <f t="shared" si="142"/>
        <v>#REF!</v>
      </c>
      <c r="G184" t="e">
        <f t="shared" si="142"/>
        <v>#REF!</v>
      </c>
      <c r="H184" t="e">
        <f t="shared" si="142"/>
        <v>#REF!</v>
      </c>
      <c r="I184" t="e">
        <f t="shared" si="142"/>
        <v>#REF!</v>
      </c>
      <c r="J184" t="e">
        <f t="shared" si="142"/>
        <v>#REF!</v>
      </c>
      <c r="K184" t="e">
        <f t="shared" si="142"/>
        <v>#REF!</v>
      </c>
      <c r="L184" t="e">
        <f t="shared" si="142"/>
        <v>#REF!</v>
      </c>
      <c r="M184" t="e">
        <f t="shared" si="142"/>
        <v>#REF!</v>
      </c>
      <c r="N184" t="e">
        <f t="shared" si="142"/>
        <v>#REF!</v>
      </c>
      <c r="O184" t="e">
        <f t="shared" si="142"/>
        <v>#REF!</v>
      </c>
      <c r="P184" t="e">
        <f t="shared" si="142"/>
        <v>#REF!</v>
      </c>
      <c r="Q184" t="e">
        <f t="shared" si="142"/>
        <v>#REF!</v>
      </c>
      <c r="R184" t="e">
        <f t="shared" si="142"/>
        <v>#REF!</v>
      </c>
      <c r="S184" t="e">
        <f t="shared" si="142"/>
        <v>#REF!</v>
      </c>
      <c r="T184" t="e">
        <f t="shared" si="140"/>
        <v>#REF!</v>
      </c>
      <c r="U184" t="e">
        <f t="shared" si="140"/>
        <v>#REF!</v>
      </c>
      <c r="V184" t="e">
        <f t="shared" si="140"/>
        <v>#REF!</v>
      </c>
      <c r="W184" t="e">
        <f t="shared" si="140"/>
        <v>#REF!</v>
      </c>
      <c r="X184" t="e">
        <f t="shared" si="116"/>
        <v>#REF!</v>
      </c>
      <c r="Y184" t="e">
        <f t="shared" si="116"/>
        <v>#REF!</v>
      </c>
      <c r="Z184" t="e">
        <f t="shared" si="116"/>
        <v>#REF!</v>
      </c>
      <c r="AA184" t="e">
        <f t="shared" si="116"/>
        <v>#REF!</v>
      </c>
      <c r="AB184" t="e">
        <f t="shared" si="116"/>
        <v>#REF!</v>
      </c>
      <c r="AC184" t="e">
        <f t="shared" si="116"/>
        <v>#REF!</v>
      </c>
      <c r="AD184" t="e">
        <f t="shared" si="116"/>
        <v>#REF!</v>
      </c>
      <c r="AE184" t="e">
        <f t="shared" si="116"/>
        <v>#REF!</v>
      </c>
      <c r="AF184" t="e">
        <f t="shared" si="116"/>
        <v>#REF!</v>
      </c>
      <c r="AG184" t="e">
        <f t="shared" si="116"/>
        <v>#REF!</v>
      </c>
      <c r="AH184" t="e">
        <f t="shared" si="127"/>
        <v>#REF!</v>
      </c>
      <c r="AI184" t="e">
        <f t="shared" si="127"/>
        <v>#REF!</v>
      </c>
      <c r="AJ184" t="e">
        <f t="shared" si="127"/>
        <v>#REF!</v>
      </c>
      <c r="AK184" t="e">
        <f t="shared" si="127"/>
        <v>#REF!</v>
      </c>
      <c r="AL184" t="e">
        <f t="shared" si="127"/>
        <v>#REF!</v>
      </c>
      <c r="AM184" t="e">
        <f t="shared" si="127"/>
        <v>#REF!</v>
      </c>
      <c r="AN184" t="e">
        <f t="shared" si="127"/>
        <v>#REF!</v>
      </c>
      <c r="AO184" t="e">
        <f t="shared" si="127"/>
        <v>#REF!</v>
      </c>
      <c r="AP184" t="e">
        <f t="shared" si="127"/>
        <v>#REF!</v>
      </c>
      <c r="AQ184" t="e">
        <f t="shared" si="127"/>
        <v>#REF!</v>
      </c>
      <c r="AR184" t="e">
        <f t="shared" si="127"/>
        <v>#REF!</v>
      </c>
      <c r="AS184" t="e">
        <f t="shared" si="127"/>
        <v>#REF!</v>
      </c>
      <c r="AT184" t="e">
        <f t="shared" si="132"/>
        <v>#REF!</v>
      </c>
      <c r="AU184" t="e">
        <f t="shared" si="132"/>
        <v>#REF!</v>
      </c>
      <c r="AV184" t="e">
        <f t="shared" si="132"/>
        <v>#REF!</v>
      </c>
      <c r="AW184" t="e">
        <f t="shared" si="132"/>
        <v>#REF!</v>
      </c>
      <c r="AX184" t="e">
        <f t="shared" si="132"/>
        <v>#REF!</v>
      </c>
      <c r="AY184" t="e">
        <f t="shared" si="132"/>
        <v>#REF!</v>
      </c>
      <c r="AZ184" t="e">
        <f t="shared" si="132"/>
        <v>#REF!</v>
      </c>
      <c r="BA184" t="e">
        <f t="shared" si="132"/>
        <v>#REF!</v>
      </c>
      <c r="BB184" t="e">
        <f t="shared" si="132"/>
        <v>#REF!</v>
      </c>
      <c r="BC184" t="e">
        <f t="shared" si="132"/>
        <v>#REF!</v>
      </c>
      <c r="BD184" t="e">
        <f t="shared" si="132"/>
        <v>#REF!</v>
      </c>
      <c r="BE184" t="e">
        <f t="shared" si="132"/>
        <v>#REF!</v>
      </c>
      <c r="BF184" t="e">
        <f t="shared" si="132"/>
        <v>#REF!</v>
      </c>
      <c r="BG184" t="e">
        <f t="shared" si="132"/>
        <v>#REF!</v>
      </c>
      <c r="BH184" t="e">
        <f t="shared" si="132"/>
        <v>#REF!</v>
      </c>
      <c r="BI184" t="e">
        <f t="shared" si="132"/>
        <v>#REF!</v>
      </c>
      <c r="BJ184" t="e">
        <f t="shared" si="134"/>
        <v>#REF!</v>
      </c>
      <c r="BK184" t="e">
        <f t="shared" si="134"/>
        <v>#REF!</v>
      </c>
      <c r="BL184" t="e">
        <f t="shared" si="134"/>
        <v>#REF!</v>
      </c>
      <c r="BM184" t="e">
        <f t="shared" si="134"/>
        <v>#REF!</v>
      </c>
      <c r="BN184" t="e">
        <f t="shared" si="134"/>
        <v>#REF!</v>
      </c>
      <c r="BO184" t="e">
        <f t="shared" si="134"/>
        <v>#REF!</v>
      </c>
      <c r="BP184" t="e">
        <f t="shared" si="134"/>
        <v>#REF!</v>
      </c>
      <c r="BQ184" t="e">
        <f t="shared" si="134"/>
        <v>#REF!</v>
      </c>
      <c r="BR184" t="e">
        <f t="shared" si="134"/>
        <v>#REF!</v>
      </c>
      <c r="BS184" t="e">
        <f t="shared" si="134"/>
        <v>#REF!</v>
      </c>
      <c r="BT184" t="e">
        <f t="shared" si="134"/>
        <v>#REF!</v>
      </c>
      <c r="BU184" t="e">
        <f t="shared" si="134"/>
        <v>#REF!</v>
      </c>
      <c r="BV184" t="e">
        <f t="shared" si="122"/>
        <v>#REF!</v>
      </c>
      <c r="BW184" t="e">
        <f t="shared" si="122"/>
        <v>#REF!</v>
      </c>
      <c r="BX184" t="e">
        <f t="shared" si="122"/>
        <v>#REF!</v>
      </c>
      <c r="BY184" t="e">
        <f t="shared" si="122"/>
        <v>#REF!</v>
      </c>
      <c r="BZ184" t="e">
        <f t="shared" si="122"/>
        <v>#REF!</v>
      </c>
      <c r="CA184" t="e">
        <f t="shared" si="122"/>
        <v>#REF!</v>
      </c>
      <c r="CB184" t="e">
        <f t="shared" si="122"/>
        <v>#REF!</v>
      </c>
      <c r="CC184" t="e">
        <f t="shared" si="122"/>
        <v>#REF!</v>
      </c>
      <c r="CD184" t="e">
        <f t="shared" si="135"/>
        <v>#REF!</v>
      </c>
      <c r="CE184" t="e">
        <f t="shared" si="135"/>
        <v>#REF!</v>
      </c>
      <c r="CF184" t="e">
        <f t="shared" si="133"/>
        <v>#REF!</v>
      </c>
      <c r="CG184" t="e">
        <f t="shared" si="133"/>
        <v>#REF!</v>
      </c>
      <c r="CH184" t="e">
        <f t="shared" si="133"/>
        <v>#REF!</v>
      </c>
      <c r="CI184" t="e">
        <f t="shared" si="133"/>
        <v>#REF!</v>
      </c>
      <c r="CJ184" t="e">
        <f t="shared" si="133"/>
        <v>#REF!</v>
      </c>
      <c r="CK184" t="e">
        <f t="shared" si="133"/>
        <v>#REF!</v>
      </c>
      <c r="CL184" t="e">
        <f t="shared" si="133"/>
        <v>#REF!</v>
      </c>
      <c r="CM184" t="e">
        <f t="shared" si="133"/>
        <v>#REF!</v>
      </c>
      <c r="CN184" t="e">
        <f t="shared" si="133"/>
        <v>#REF!</v>
      </c>
      <c r="CO184" t="e">
        <f t="shared" si="133"/>
        <v>#REF!</v>
      </c>
      <c r="CP184" t="e">
        <f t="shared" si="133"/>
        <v>#REF!</v>
      </c>
      <c r="CQ184" t="e">
        <f t="shared" si="133"/>
        <v>#REF!</v>
      </c>
      <c r="CR184" t="e">
        <f t="shared" si="133"/>
        <v>#REF!</v>
      </c>
      <c r="CS184" t="e">
        <f t="shared" si="133"/>
        <v>#REF!</v>
      </c>
      <c r="CT184" t="e">
        <f t="shared" si="133"/>
        <v>#REF!</v>
      </c>
      <c r="CU184" t="e">
        <f t="shared" si="136"/>
        <v>#REF!</v>
      </c>
      <c r="CV184" t="e">
        <f t="shared" si="136"/>
        <v>#REF!</v>
      </c>
      <c r="CW184" t="e">
        <f t="shared" si="136"/>
        <v>#REF!</v>
      </c>
      <c r="CX184" t="e">
        <f t="shared" si="136"/>
        <v>#REF!</v>
      </c>
      <c r="CY184" t="e">
        <f t="shared" si="136"/>
        <v>#REF!</v>
      </c>
      <c r="CZ184" t="e">
        <f t="shared" si="136"/>
        <v>#REF!</v>
      </c>
      <c r="DA184" t="e">
        <f t="shared" si="136"/>
        <v>#REF!</v>
      </c>
      <c r="DB184" t="e">
        <f t="shared" si="136"/>
        <v>#REF!</v>
      </c>
      <c r="DC184" t="e">
        <f t="shared" si="136"/>
        <v>#REF!</v>
      </c>
      <c r="DD184" t="e">
        <f t="shared" si="136"/>
        <v>#REF!</v>
      </c>
      <c r="DE184" t="e">
        <f t="shared" si="136"/>
        <v>#REF!</v>
      </c>
      <c r="DF184" t="e">
        <f t="shared" si="136"/>
        <v>#REF!</v>
      </c>
      <c r="DG184" t="e">
        <f t="shared" si="138"/>
        <v>#REF!</v>
      </c>
      <c r="DH184" t="e">
        <f t="shared" si="138"/>
        <v>#REF!</v>
      </c>
      <c r="DI184" t="e">
        <f t="shared" si="138"/>
        <v>#REF!</v>
      </c>
      <c r="DJ184" t="e">
        <f t="shared" si="138"/>
        <v>#REF!</v>
      </c>
      <c r="DK184" t="e">
        <f t="shared" si="138"/>
        <v>#REF!</v>
      </c>
      <c r="DL184" t="e">
        <f t="shared" si="138"/>
        <v>#REF!</v>
      </c>
      <c r="DM184" t="e">
        <f t="shared" si="138"/>
        <v>#REF!</v>
      </c>
      <c r="DN184" t="e">
        <f t="shared" si="138"/>
        <v>#REF!</v>
      </c>
      <c r="DO184" t="e">
        <f t="shared" si="138"/>
        <v>#REF!</v>
      </c>
      <c r="DP184" t="e">
        <f t="shared" si="138"/>
        <v>#REF!</v>
      </c>
      <c r="DQ184" t="e">
        <f t="shared" si="138"/>
        <v>#REF!</v>
      </c>
      <c r="DR184" t="e">
        <f t="shared" si="138"/>
        <v>#REF!</v>
      </c>
      <c r="DS184" t="e">
        <f t="shared" si="128"/>
        <v>#REF!</v>
      </c>
      <c r="DT184" t="e">
        <f t="shared" si="128"/>
        <v>#REF!</v>
      </c>
      <c r="DU184" t="e">
        <f t="shared" si="128"/>
        <v>#REF!</v>
      </c>
      <c r="DV184" t="e">
        <f t="shared" si="128"/>
        <v>#REF!</v>
      </c>
      <c r="DW184" t="e">
        <f t="shared" si="128"/>
        <v>#REF!</v>
      </c>
      <c r="DX184" t="e">
        <f t="shared" si="128"/>
        <v>#REF!</v>
      </c>
      <c r="DY184" t="e">
        <f t="shared" si="128"/>
        <v>#REF!</v>
      </c>
      <c r="DZ184" t="e">
        <f t="shared" si="128"/>
        <v>#REF!</v>
      </c>
      <c r="EA184" t="e">
        <f t="shared" si="139"/>
        <v>#REF!</v>
      </c>
      <c r="EB184" t="e">
        <f t="shared" si="139"/>
        <v>#REF!</v>
      </c>
      <c r="EC184" t="e">
        <f t="shared" si="139"/>
        <v>#REF!</v>
      </c>
      <c r="ED184" t="e">
        <f t="shared" si="139"/>
        <v>#REF!</v>
      </c>
      <c r="EE184" t="e">
        <f t="shared" si="139"/>
        <v>#REF!</v>
      </c>
      <c r="EF184" t="e">
        <f t="shared" si="139"/>
        <v>#REF!</v>
      </c>
      <c r="EG184" t="e">
        <f t="shared" si="139"/>
        <v>#REF!</v>
      </c>
      <c r="EH184" t="e">
        <f t="shared" si="139"/>
        <v>#REF!</v>
      </c>
      <c r="EI184" t="e">
        <f t="shared" si="139"/>
        <v>#REF!</v>
      </c>
      <c r="EJ184" t="e">
        <f t="shared" si="139"/>
        <v>#REF!</v>
      </c>
      <c r="EK184" t="e">
        <f t="shared" si="139"/>
        <v>#REF!</v>
      </c>
      <c r="EL184" t="e">
        <f t="shared" si="139"/>
        <v>#REF!</v>
      </c>
      <c r="EM184" t="e">
        <f t="shared" si="139"/>
        <v>#REF!</v>
      </c>
    </row>
    <row r="185" spans="1:143" x14ac:dyDescent="0.4">
      <c r="A185" t="str">
        <f t="shared" si="120"/>
        <v>X</v>
      </c>
      <c r="B185">
        <v>182</v>
      </c>
      <c r="C185" t="e" cm="1">
        <f t="array" ref="C185">INDEX(auto_Series_Code,B185)</f>
        <v>#REF!</v>
      </c>
      <c r="D185" t="e">
        <f t="shared" si="142"/>
        <v>#REF!</v>
      </c>
      <c r="E185" t="e">
        <f t="shared" si="142"/>
        <v>#REF!</v>
      </c>
      <c r="F185" t="e">
        <f t="shared" si="142"/>
        <v>#REF!</v>
      </c>
      <c r="G185" t="e">
        <f t="shared" si="142"/>
        <v>#REF!</v>
      </c>
      <c r="H185" t="e">
        <f t="shared" si="142"/>
        <v>#REF!</v>
      </c>
      <c r="I185" t="e">
        <f t="shared" si="142"/>
        <v>#REF!</v>
      </c>
      <c r="J185" t="e">
        <f t="shared" si="142"/>
        <v>#REF!</v>
      </c>
      <c r="K185" t="e">
        <f t="shared" si="142"/>
        <v>#REF!</v>
      </c>
      <c r="L185" t="e">
        <f t="shared" si="142"/>
        <v>#REF!</v>
      </c>
      <c r="M185" t="e">
        <f t="shared" si="142"/>
        <v>#REF!</v>
      </c>
      <c r="N185" t="e">
        <f t="shared" si="142"/>
        <v>#REF!</v>
      </c>
      <c r="O185" t="e">
        <f t="shared" si="142"/>
        <v>#REF!</v>
      </c>
      <c r="P185" t="e">
        <f t="shared" si="142"/>
        <v>#REF!</v>
      </c>
      <c r="Q185" t="e">
        <f t="shared" si="142"/>
        <v>#REF!</v>
      </c>
      <c r="R185" t="e">
        <f t="shared" si="142"/>
        <v>#REF!</v>
      </c>
      <c r="S185" t="e">
        <f t="shared" si="142"/>
        <v>#REF!</v>
      </c>
      <c r="T185" t="e">
        <f t="shared" si="140"/>
        <v>#REF!</v>
      </c>
      <c r="U185" t="e">
        <f t="shared" si="140"/>
        <v>#REF!</v>
      </c>
      <c r="V185" t="e">
        <f t="shared" si="140"/>
        <v>#REF!</v>
      </c>
      <c r="W185" t="e">
        <f t="shared" si="140"/>
        <v>#REF!</v>
      </c>
      <c r="X185" t="e">
        <f t="shared" si="140"/>
        <v>#REF!</v>
      </c>
      <c r="Y185" t="e">
        <f t="shared" si="140"/>
        <v>#REF!</v>
      </c>
      <c r="Z185" t="e">
        <f t="shared" si="140"/>
        <v>#REF!</v>
      </c>
      <c r="AA185" t="e">
        <f t="shared" si="140"/>
        <v>#REF!</v>
      </c>
      <c r="AB185" t="e">
        <f t="shared" si="140"/>
        <v>#REF!</v>
      </c>
      <c r="AC185" t="e">
        <f t="shared" si="140"/>
        <v>#REF!</v>
      </c>
      <c r="AD185" t="e">
        <f t="shared" si="140"/>
        <v>#REF!</v>
      </c>
      <c r="AE185" t="e">
        <f t="shared" si="140"/>
        <v>#REF!</v>
      </c>
      <c r="AF185" t="e">
        <f t="shared" si="140"/>
        <v>#REF!</v>
      </c>
      <c r="AG185" t="e">
        <f t="shared" si="140"/>
        <v>#REF!</v>
      </c>
      <c r="AH185" t="e">
        <f t="shared" si="127"/>
        <v>#REF!</v>
      </c>
      <c r="AI185" t="e">
        <f t="shared" si="127"/>
        <v>#REF!</v>
      </c>
      <c r="AJ185" t="e">
        <f t="shared" si="127"/>
        <v>#REF!</v>
      </c>
      <c r="AK185" t="e">
        <f t="shared" si="127"/>
        <v>#REF!</v>
      </c>
      <c r="AL185" t="e">
        <f t="shared" si="127"/>
        <v>#REF!</v>
      </c>
      <c r="AM185" t="e">
        <f t="shared" si="127"/>
        <v>#REF!</v>
      </c>
      <c r="AN185" t="e">
        <f t="shared" si="127"/>
        <v>#REF!</v>
      </c>
      <c r="AO185" t="e">
        <f t="shared" si="127"/>
        <v>#REF!</v>
      </c>
      <c r="AP185" t="e">
        <f t="shared" si="127"/>
        <v>#REF!</v>
      </c>
      <c r="AQ185" t="e">
        <f t="shared" si="127"/>
        <v>#REF!</v>
      </c>
      <c r="AR185" t="e">
        <f t="shared" si="127"/>
        <v>#REF!</v>
      </c>
      <c r="AS185" t="e">
        <f t="shared" si="127"/>
        <v>#REF!</v>
      </c>
      <c r="AT185" t="e">
        <f t="shared" si="132"/>
        <v>#REF!</v>
      </c>
      <c r="AU185" t="e">
        <f t="shared" si="132"/>
        <v>#REF!</v>
      </c>
      <c r="AV185" t="e">
        <f t="shared" si="132"/>
        <v>#REF!</v>
      </c>
      <c r="AW185" t="e">
        <f t="shared" si="132"/>
        <v>#REF!</v>
      </c>
      <c r="AX185" t="e">
        <f t="shared" si="132"/>
        <v>#REF!</v>
      </c>
      <c r="AY185" t="e">
        <f t="shared" si="132"/>
        <v>#REF!</v>
      </c>
      <c r="AZ185" t="e">
        <f t="shared" si="132"/>
        <v>#REF!</v>
      </c>
      <c r="BA185" t="e">
        <f t="shared" si="132"/>
        <v>#REF!</v>
      </c>
      <c r="BB185" t="e">
        <f t="shared" si="132"/>
        <v>#REF!</v>
      </c>
      <c r="BC185" t="e">
        <f t="shared" si="132"/>
        <v>#REF!</v>
      </c>
      <c r="BD185" t="e">
        <f t="shared" si="132"/>
        <v>#REF!</v>
      </c>
      <c r="BE185" t="e">
        <f t="shared" si="132"/>
        <v>#REF!</v>
      </c>
      <c r="BF185" t="e">
        <f t="shared" si="132"/>
        <v>#REF!</v>
      </c>
      <c r="BG185" t="e">
        <f t="shared" si="132"/>
        <v>#REF!</v>
      </c>
      <c r="BH185" t="e">
        <f t="shared" si="132"/>
        <v>#REF!</v>
      </c>
      <c r="BI185" t="e">
        <f t="shared" si="132"/>
        <v>#REF!</v>
      </c>
      <c r="BJ185" t="e">
        <f t="shared" si="134"/>
        <v>#REF!</v>
      </c>
      <c r="BK185" t="e">
        <f t="shared" si="134"/>
        <v>#REF!</v>
      </c>
      <c r="BL185" t="e">
        <f t="shared" si="134"/>
        <v>#REF!</v>
      </c>
      <c r="BM185" t="e">
        <f t="shared" si="134"/>
        <v>#REF!</v>
      </c>
      <c r="BN185" t="e">
        <f t="shared" si="134"/>
        <v>#REF!</v>
      </c>
      <c r="BO185" t="e">
        <f t="shared" si="134"/>
        <v>#REF!</v>
      </c>
      <c r="BP185" t="e">
        <f t="shared" si="134"/>
        <v>#REF!</v>
      </c>
      <c r="BQ185" t="e">
        <f t="shared" si="134"/>
        <v>#REF!</v>
      </c>
      <c r="BR185" t="e">
        <f t="shared" si="134"/>
        <v>#REF!</v>
      </c>
      <c r="BS185" t="e">
        <f t="shared" si="134"/>
        <v>#REF!</v>
      </c>
      <c r="BT185" t="e">
        <f t="shared" si="134"/>
        <v>#REF!</v>
      </c>
      <c r="BU185" t="e">
        <f t="shared" si="134"/>
        <v>#REF!</v>
      </c>
      <c r="BV185" t="e">
        <f t="shared" si="122"/>
        <v>#REF!</v>
      </c>
      <c r="BW185" t="e">
        <f t="shared" si="122"/>
        <v>#REF!</v>
      </c>
      <c r="BX185" t="e">
        <f t="shared" si="122"/>
        <v>#REF!</v>
      </c>
      <c r="BY185" t="e">
        <f t="shared" si="122"/>
        <v>#REF!</v>
      </c>
      <c r="BZ185" t="e">
        <f t="shared" si="122"/>
        <v>#REF!</v>
      </c>
      <c r="CA185" t="e">
        <f t="shared" si="122"/>
        <v>#REF!</v>
      </c>
      <c r="CB185" t="e">
        <f t="shared" si="122"/>
        <v>#REF!</v>
      </c>
      <c r="CC185" t="e">
        <f t="shared" si="122"/>
        <v>#REF!</v>
      </c>
      <c r="CD185" t="e">
        <f t="shared" si="135"/>
        <v>#REF!</v>
      </c>
      <c r="CE185" t="e">
        <f t="shared" si="135"/>
        <v>#REF!</v>
      </c>
      <c r="CF185" t="e">
        <f t="shared" si="133"/>
        <v>#REF!</v>
      </c>
      <c r="CG185" t="e">
        <f t="shared" si="133"/>
        <v>#REF!</v>
      </c>
      <c r="CH185" t="e">
        <f t="shared" si="133"/>
        <v>#REF!</v>
      </c>
      <c r="CI185" t="e">
        <f t="shared" si="133"/>
        <v>#REF!</v>
      </c>
      <c r="CJ185" t="e">
        <f t="shared" si="133"/>
        <v>#REF!</v>
      </c>
      <c r="CK185" t="e">
        <f t="shared" si="133"/>
        <v>#REF!</v>
      </c>
      <c r="CL185" t="e">
        <f t="shared" si="133"/>
        <v>#REF!</v>
      </c>
      <c r="CM185" t="e">
        <f t="shared" si="133"/>
        <v>#REF!</v>
      </c>
      <c r="CN185" t="e">
        <f t="shared" si="133"/>
        <v>#REF!</v>
      </c>
      <c r="CO185" t="e">
        <f t="shared" si="133"/>
        <v>#REF!</v>
      </c>
      <c r="CP185" t="e">
        <f t="shared" si="133"/>
        <v>#REF!</v>
      </c>
      <c r="CQ185" t="e">
        <f t="shared" si="133"/>
        <v>#REF!</v>
      </c>
      <c r="CR185" t="e">
        <f t="shared" si="133"/>
        <v>#REF!</v>
      </c>
      <c r="CS185" t="e">
        <f t="shared" si="133"/>
        <v>#REF!</v>
      </c>
      <c r="CT185" t="e">
        <f t="shared" si="133"/>
        <v>#REF!</v>
      </c>
      <c r="CU185" t="e">
        <f t="shared" si="136"/>
        <v>#REF!</v>
      </c>
      <c r="CV185" t="e">
        <f t="shared" si="136"/>
        <v>#REF!</v>
      </c>
      <c r="CW185" t="e">
        <f t="shared" si="136"/>
        <v>#REF!</v>
      </c>
      <c r="CX185" t="e">
        <f t="shared" si="136"/>
        <v>#REF!</v>
      </c>
      <c r="CY185" t="e">
        <f t="shared" si="136"/>
        <v>#REF!</v>
      </c>
      <c r="CZ185" t="e">
        <f t="shared" si="136"/>
        <v>#REF!</v>
      </c>
      <c r="DA185" t="e">
        <f t="shared" si="136"/>
        <v>#REF!</v>
      </c>
      <c r="DB185" t="e">
        <f t="shared" si="136"/>
        <v>#REF!</v>
      </c>
      <c r="DC185" t="e">
        <f t="shared" si="136"/>
        <v>#REF!</v>
      </c>
      <c r="DD185" t="e">
        <f t="shared" si="136"/>
        <v>#REF!</v>
      </c>
      <c r="DE185" t="e">
        <f t="shared" si="136"/>
        <v>#REF!</v>
      </c>
      <c r="DF185" t="e">
        <f t="shared" si="136"/>
        <v>#REF!</v>
      </c>
      <c r="DG185" t="e">
        <f t="shared" si="138"/>
        <v>#REF!</v>
      </c>
      <c r="DH185" t="e">
        <f t="shared" si="138"/>
        <v>#REF!</v>
      </c>
      <c r="DI185" t="e">
        <f t="shared" si="138"/>
        <v>#REF!</v>
      </c>
      <c r="DJ185" t="e">
        <f t="shared" si="138"/>
        <v>#REF!</v>
      </c>
      <c r="DK185" t="e">
        <f t="shared" si="138"/>
        <v>#REF!</v>
      </c>
      <c r="DL185" t="e">
        <f t="shared" si="138"/>
        <v>#REF!</v>
      </c>
      <c r="DM185" t="e">
        <f t="shared" si="138"/>
        <v>#REF!</v>
      </c>
      <c r="DN185" t="e">
        <f t="shared" si="138"/>
        <v>#REF!</v>
      </c>
      <c r="DO185" t="e">
        <f t="shared" si="138"/>
        <v>#REF!</v>
      </c>
      <c r="DP185" t="e">
        <f t="shared" si="138"/>
        <v>#REF!</v>
      </c>
      <c r="DQ185" t="e">
        <f t="shared" si="138"/>
        <v>#REF!</v>
      </c>
      <c r="DR185" t="e">
        <f t="shared" si="138"/>
        <v>#REF!</v>
      </c>
      <c r="DS185" t="e">
        <f t="shared" si="128"/>
        <v>#REF!</v>
      </c>
      <c r="DT185" t="e">
        <f t="shared" si="128"/>
        <v>#REF!</v>
      </c>
      <c r="DU185" t="e">
        <f t="shared" si="128"/>
        <v>#REF!</v>
      </c>
      <c r="DV185" t="e">
        <f t="shared" si="128"/>
        <v>#REF!</v>
      </c>
      <c r="DW185" t="e">
        <f t="shared" si="128"/>
        <v>#REF!</v>
      </c>
      <c r="DX185" t="e">
        <f t="shared" si="128"/>
        <v>#REF!</v>
      </c>
      <c r="DY185" t="e">
        <f t="shared" si="128"/>
        <v>#REF!</v>
      </c>
      <c r="DZ185" t="e">
        <f t="shared" si="128"/>
        <v>#REF!</v>
      </c>
      <c r="EA185" t="e">
        <f t="shared" si="139"/>
        <v>#REF!</v>
      </c>
      <c r="EB185" t="e">
        <f t="shared" si="139"/>
        <v>#REF!</v>
      </c>
      <c r="EC185" t="e">
        <f t="shared" si="139"/>
        <v>#REF!</v>
      </c>
      <c r="ED185" t="e">
        <f t="shared" si="139"/>
        <v>#REF!</v>
      </c>
      <c r="EE185" t="e">
        <f t="shared" si="139"/>
        <v>#REF!</v>
      </c>
      <c r="EF185" t="e">
        <f t="shared" si="139"/>
        <v>#REF!</v>
      </c>
      <c r="EG185" t="e">
        <f t="shared" si="139"/>
        <v>#REF!</v>
      </c>
      <c r="EH185" t="e">
        <f t="shared" si="139"/>
        <v>#REF!</v>
      </c>
      <c r="EI185" t="e">
        <f t="shared" si="139"/>
        <v>#REF!</v>
      </c>
      <c r="EJ185" t="e">
        <f t="shared" si="139"/>
        <v>#REF!</v>
      </c>
      <c r="EK185" t="e">
        <f t="shared" si="139"/>
        <v>#REF!</v>
      </c>
      <c r="EL185" t="e">
        <f t="shared" si="139"/>
        <v>#REF!</v>
      </c>
      <c r="EM185" t="e">
        <f t="shared" si="139"/>
        <v>#REF!</v>
      </c>
    </row>
    <row r="186" spans="1:143" x14ac:dyDescent="0.4">
      <c r="A186" t="str">
        <f t="shared" si="120"/>
        <v>X</v>
      </c>
      <c r="B186">
        <v>183</v>
      </c>
      <c r="C186" t="e" cm="1">
        <f t="array" ref="C186">INDEX(auto_Series_Code,B186)</f>
        <v>#REF!</v>
      </c>
      <c r="D186" t="e">
        <f t="shared" si="142"/>
        <v>#REF!</v>
      </c>
      <c r="E186" t="e">
        <f t="shared" si="142"/>
        <v>#REF!</v>
      </c>
      <c r="F186" t="e">
        <f t="shared" si="142"/>
        <v>#REF!</v>
      </c>
      <c r="G186" t="e">
        <f t="shared" si="142"/>
        <v>#REF!</v>
      </c>
      <c r="H186" t="e">
        <f t="shared" si="142"/>
        <v>#REF!</v>
      </c>
      <c r="I186" t="e">
        <f t="shared" si="142"/>
        <v>#REF!</v>
      </c>
      <c r="J186" t="e">
        <f t="shared" si="142"/>
        <v>#REF!</v>
      </c>
      <c r="K186" t="e">
        <f t="shared" si="142"/>
        <v>#REF!</v>
      </c>
      <c r="L186" t="e">
        <f t="shared" si="142"/>
        <v>#REF!</v>
      </c>
      <c r="M186" t="e">
        <f t="shared" si="142"/>
        <v>#REF!</v>
      </c>
      <c r="N186" t="e">
        <f t="shared" si="142"/>
        <v>#REF!</v>
      </c>
      <c r="O186" t="e">
        <f t="shared" si="142"/>
        <v>#REF!</v>
      </c>
      <c r="P186" t="e">
        <f t="shared" si="142"/>
        <v>#REF!</v>
      </c>
      <c r="Q186" t="e">
        <f t="shared" si="142"/>
        <v>#REF!</v>
      </c>
      <c r="R186" t="e">
        <f t="shared" si="142"/>
        <v>#REF!</v>
      </c>
      <c r="S186" t="e">
        <f t="shared" si="142"/>
        <v>#REF!</v>
      </c>
      <c r="T186" t="e">
        <f t="shared" si="140"/>
        <v>#REF!</v>
      </c>
      <c r="U186" t="e">
        <f t="shared" si="140"/>
        <v>#REF!</v>
      </c>
      <c r="V186" t="e">
        <f t="shared" si="140"/>
        <v>#REF!</v>
      </c>
      <c r="W186" t="e">
        <f t="shared" si="140"/>
        <v>#REF!</v>
      </c>
      <c r="X186" t="e">
        <f t="shared" si="140"/>
        <v>#REF!</v>
      </c>
      <c r="Y186" t="e">
        <f t="shared" si="140"/>
        <v>#REF!</v>
      </c>
      <c r="Z186" t="e">
        <f t="shared" si="140"/>
        <v>#REF!</v>
      </c>
      <c r="AA186" t="e">
        <f t="shared" si="140"/>
        <v>#REF!</v>
      </c>
      <c r="AB186" t="e">
        <f t="shared" si="140"/>
        <v>#REF!</v>
      </c>
      <c r="AC186" t="e">
        <f t="shared" si="140"/>
        <v>#REF!</v>
      </c>
      <c r="AD186" t="e">
        <f t="shared" si="140"/>
        <v>#REF!</v>
      </c>
      <c r="AE186" t="e">
        <f t="shared" si="140"/>
        <v>#REF!</v>
      </c>
      <c r="AF186" t="e">
        <f t="shared" si="140"/>
        <v>#REF!</v>
      </c>
      <c r="AG186" t="e">
        <f t="shared" si="140"/>
        <v>#REF!</v>
      </c>
      <c r="AH186" t="e">
        <f t="shared" si="127"/>
        <v>#REF!</v>
      </c>
      <c r="AI186" t="e">
        <f t="shared" si="127"/>
        <v>#REF!</v>
      </c>
      <c r="AJ186" t="e">
        <f t="shared" si="127"/>
        <v>#REF!</v>
      </c>
      <c r="AK186" t="e">
        <f t="shared" si="127"/>
        <v>#REF!</v>
      </c>
      <c r="AL186" t="e">
        <f t="shared" si="127"/>
        <v>#REF!</v>
      </c>
      <c r="AM186" t="e">
        <f t="shared" si="127"/>
        <v>#REF!</v>
      </c>
      <c r="AN186" t="e">
        <f t="shared" si="127"/>
        <v>#REF!</v>
      </c>
      <c r="AO186" t="e">
        <f t="shared" si="127"/>
        <v>#REF!</v>
      </c>
      <c r="AP186" t="e">
        <f t="shared" si="127"/>
        <v>#REF!</v>
      </c>
      <c r="AQ186" t="e">
        <f t="shared" ref="AQ186:BF203" si="143">MATCH(CONCATENATE(AQ$3,"_",$C186),auto_DataFlat_UID,0)</f>
        <v>#REF!</v>
      </c>
      <c r="AR186" t="e">
        <f t="shared" si="143"/>
        <v>#REF!</v>
      </c>
      <c r="AS186" t="e">
        <f t="shared" si="143"/>
        <v>#REF!</v>
      </c>
      <c r="AT186" t="e">
        <f t="shared" si="143"/>
        <v>#REF!</v>
      </c>
      <c r="AU186" t="e">
        <f t="shared" si="143"/>
        <v>#REF!</v>
      </c>
      <c r="AV186" t="e">
        <f t="shared" si="143"/>
        <v>#REF!</v>
      </c>
      <c r="AW186" t="e">
        <f t="shared" si="143"/>
        <v>#REF!</v>
      </c>
      <c r="AX186" t="e">
        <f t="shared" si="143"/>
        <v>#REF!</v>
      </c>
      <c r="AY186" t="e">
        <f t="shared" si="143"/>
        <v>#REF!</v>
      </c>
      <c r="AZ186" t="e">
        <f t="shared" si="143"/>
        <v>#REF!</v>
      </c>
      <c r="BA186" t="e">
        <f t="shared" si="143"/>
        <v>#REF!</v>
      </c>
      <c r="BB186" t="e">
        <f t="shared" si="132"/>
        <v>#REF!</v>
      </c>
      <c r="BC186" t="e">
        <f t="shared" si="132"/>
        <v>#REF!</v>
      </c>
      <c r="BD186" t="e">
        <f t="shared" si="132"/>
        <v>#REF!</v>
      </c>
      <c r="BE186" t="e">
        <f t="shared" si="132"/>
        <v>#REF!</v>
      </c>
      <c r="BF186" t="e">
        <f t="shared" si="132"/>
        <v>#REF!</v>
      </c>
      <c r="BG186" t="e">
        <f t="shared" si="132"/>
        <v>#REF!</v>
      </c>
      <c r="BH186" t="e">
        <f t="shared" si="132"/>
        <v>#REF!</v>
      </c>
      <c r="BI186" t="e">
        <f t="shared" si="132"/>
        <v>#REF!</v>
      </c>
      <c r="BJ186" t="e">
        <f t="shared" si="134"/>
        <v>#REF!</v>
      </c>
      <c r="BK186" t="e">
        <f t="shared" si="134"/>
        <v>#REF!</v>
      </c>
      <c r="BL186" t="e">
        <f t="shared" si="134"/>
        <v>#REF!</v>
      </c>
      <c r="BM186" t="e">
        <f t="shared" si="134"/>
        <v>#REF!</v>
      </c>
      <c r="BN186" t="e">
        <f t="shared" si="134"/>
        <v>#REF!</v>
      </c>
      <c r="BO186" t="e">
        <f t="shared" si="134"/>
        <v>#REF!</v>
      </c>
      <c r="BP186" t="e">
        <f t="shared" si="134"/>
        <v>#REF!</v>
      </c>
      <c r="BQ186" t="e">
        <f t="shared" si="134"/>
        <v>#REF!</v>
      </c>
      <c r="BR186" t="e">
        <f t="shared" si="134"/>
        <v>#REF!</v>
      </c>
      <c r="BS186" t="e">
        <f t="shared" si="134"/>
        <v>#REF!</v>
      </c>
      <c r="BT186" t="e">
        <f t="shared" si="134"/>
        <v>#REF!</v>
      </c>
      <c r="BU186" t="e">
        <f t="shared" si="134"/>
        <v>#REF!</v>
      </c>
      <c r="BV186" t="e">
        <f t="shared" si="122"/>
        <v>#REF!</v>
      </c>
      <c r="BW186" t="e">
        <f t="shared" si="122"/>
        <v>#REF!</v>
      </c>
      <c r="BX186" t="e">
        <f t="shared" si="122"/>
        <v>#REF!</v>
      </c>
      <c r="BY186" t="e">
        <f t="shared" si="122"/>
        <v>#REF!</v>
      </c>
      <c r="BZ186" t="e">
        <f t="shared" si="122"/>
        <v>#REF!</v>
      </c>
      <c r="CA186" t="e">
        <f t="shared" si="122"/>
        <v>#REF!</v>
      </c>
      <c r="CB186" t="e">
        <f t="shared" si="122"/>
        <v>#REF!</v>
      </c>
      <c r="CC186" t="e">
        <f t="shared" si="122"/>
        <v>#REF!</v>
      </c>
      <c r="CD186" t="e">
        <f t="shared" si="135"/>
        <v>#REF!</v>
      </c>
      <c r="CE186" t="e">
        <f t="shared" si="135"/>
        <v>#REF!</v>
      </c>
      <c r="CF186" t="e">
        <f t="shared" si="133"/>
        <v>#REF!</v>
      </c>
      <c r="CG186" t="e">
        <f t="shared" si="133"/>
        <v>#REF!</v>
      </c>
      <c r="CH186" t="e">
        <f t="shared" si="133"/>
        <v>#REF!</v>
      </c>
      <c r="CI186" t="e">
        <f t="shared" si="133"/>
        <v>#REF!</v>
      </c>
      <c r="CJ186" t="e">
        <f t="shared" si="133"/>
        <v>#REF!</v>
      </c>
      <c r="CK186" t="e">
        <f t="shared" si="133"/>
        <v>#REF!</v>
      </c>
      <c r="CL186" t="e">
        <f t="shared" si="133"/>
        <v>#REF!</v>
      </c>
      <c r="CM186" t="e">
        <f t="shared" si="133"/>
        <v>#REF!</v>
      </c>
      <c r="CN186" t="e">
        <f t="shared" si="133"/>
        <v>#REF!</v>
      </c>
      <c r="CO186" t="e">
        <f t="shared" si="133"/>
        <v>#REF!</v>
      </c>
      <c r="CP186" t="e">
        <f t="shared" si="133"/>
        <v>#REF!</v>
      </c>
      <c r="CQ186" t="e">
        <f t="shared" si="133"/>
        <v>#REF!</v>
      </c>
      <c r="CR186" t="e">
        <f t="shared" si="133"/>
        <v>#REF!</v>
      </c>
      <c r="CS186" t="e">
        <f t="shared" si="133"/>
        <v>#REF!</v>
      </c>
      <c r="CT186" t="e">
        <f t="shared" si="133"/>
        <v>#REF!</v>
      </c>
      <c r="CU186" t="e">
        <f t="shared" si="136"/>
        <v>#REF!</v>
      </c>
      <c r="CV186" t="e">
        <f t="shared" si="136"/>
        <v>#REF!</v>
      </c>
      <c r="CW186" t="e">
        <f t="shared" si="136"/>
        <v>#REF!</v>
      </c>
      <c r="CX186" t="e">
        <f t="shared" si="136"/>
        <v>#REF!</v>
      </c>
      <c r="CY186" t="e">
        <f t="shared" si="136"/>
        <v>#REF!</v>
      </c>
      <c r="CZ186" t="e">
        <f t="shared" si="136"/>
        <v>#REF!</v>
      </c>
      <c r="DA186" t="e">
        <f t="shared" si="136"/>
        <v>#REF!</v>
      </c>
      <c r="DB186" t="e">
        <f t="shared" si="136"/>
        <v>#REF!</v>
      </c>
      <c r="DC186" t="e">
        <f t="shared" si="136"/>
        <v>#REF!</v>
      </c>
      <c r="DD186" t="e">
        <f t="shared" si="136"/>
        <v>#REF!</v>
      </c>
      <c r="DE186" t="e">
        <f t="shared" si="136"/>
        <v>#REF!</v>
      </c>
      <c r="DF186" t="e">
        <f t="shared" si="136"/>
        <v>#REF!</v>
      </c>
      <c r="DG186" t="e">
        <f t="shared" si="138"/>
        <v>#REF!</v>
      </c>
      <c r="DH186" t="e">
        <f t="shared" si="138"/>
        <v>#REF!</v>
      </c>
      <c r="DI186" t="e">
        <f t="shared" si="138"/>
        <v>#REF!</v>
      </c>
      <c r="DJ186" t="e">
        <f t="shared" si="138"/>
        <v>#REF!</v>
      </c>
      <c r="DK186" t="e">
        <f t="shared" si="138"/>
        <v>#REF!</v>
      </c>
      <c r="DL186" t="e">
        <f t="shared" si="138"/>
        <v>#REF!</v>
      </c>
      <c r="DM186" t="e">
        <f t="shared" si="138"/>
        <v>#REF!</v>
      </c>
      <c r="DN186" t="e">
        <f t="shared" si="138"/>
        <v>#REF!</v>
      </c>
      <c r="DO186" t="e">
        <f t="shared" si="138"/>
        <v>#REF!</v>
      </c>
      <c r="DP186" t="e">
        <f t="shared" si="138"/>
        <v>#REF!</v>
      </c>
      <c r="DQ186" t="e">
        <f t="shared" si="138"/>
        <v>#REF!</v>
      </c>
      <c r="DR186" t="e">
        <f t="shared" si="138"/>
        <v>#REF!</v>
      </c>
      <c r="DS186" t="e">
        <f t="shared" si="128"/>
        <v>#REF!</v>
      </c>
      <c r="DT186" t="e">
        <f t="shared" si="128"/>
        <v>#REF!</v>
      </c>
      <c r="DU186" t="e">
        <f t="shared" si="128"/>
        <v>#REF!</v>
      </c>
      <c r="DV186" t="e">
        <f t="shared" si="128"/>
        <v>#REF!</v>
      </c>
      <c r="DW186" t="e">
        <f t="shared" si="128"/>
        <v>#REF!</v>
      </c>
      <c r="DX186" t="e">
        <f t="shared" si="128"/>
        <v>#REF!</v>
      </c>
      <c r="DY186" t="e">
        <f t="shared" si="128"/>
        <v>#REF!</v>
      </c>
      <c r="DZ186" t="e">
        <f t="shared" si="128"/>
        <v>#REF!</v>
      </c>
      <c r="EA186" t="e">
        <f t="shared" si="139"/>
        <v>#REF!</v>
      </c>
      <c r="EB186" t="e">
        <f t="shared" si="139"/>
        <v>#REF!</v>
      </c>
      <c r="EC186" t="e">
        <f t="shared" si="139"/>
        <v>#REF!</v>
      </c>
      <c r="ED186" t="e">
        <f t="shared" si="139"/>
        <v>#REF!</v>
      </c>
      <c r="EE186" t="e">
        <f t="shared" si="139"/>
        <v>#REF!</v>
      </c>
      <c r="EF186" t="e">
        <f t="shared" si="139"/>
        <v>#REF!</v>
      </c>
      <c r="EG186" t="e">
        <f t="shared" si="139"/>
        <v>#REF!</v>
      </c>
      <c r="EH186" t="e">
        <f t="shared" si="139"/>
        <v>#REF!</v>
      </c>
      <c r="EI186" t="e">
        <f t="shared" si="139"/>
        <v>#REF!</v>
      </c>
      <c r="EJ186" t="e">
        <f t="shared" si="139"/>
        <v>#REF!</v>
      </c>
      <c r="EK186" t="e">
        <f t="shared" si="139"/>
        <v>#REF!</v>
      </c>
      <c r="EL186" t="e">
        <f t="shared" si="139"/>
        <v>#REF!</v>
      </c>
      <c r="EM186" t="e">
        <f t="shared" si="139"/>
        <v>#REF!</v>
      </c>
    </row>
    <row r="187" spans="1:143" x14ac:dyDescent="0.4">
      <c r="A187" t="str">
        <f t="shared" si="120"/>
        <v>X</v>
      </c>
      <c r="B187">
        <v>184</v>
      </c>
      <c r="C187" t="e" cm="1">
        <f t="array" ref="C187">INDEX(auto_Series_Code,B187)</f>
        <v>#REF!</v>
      </c>
      <c r="D187" t="e">
        <f t="shared" si="142"/>
        <v>#REF!</v>
      </c>
      <c r="E187" t="e">
        <f t="shared" si="142"/>
        <v>#REF!</v>
      </c>
      <c r="F187" t="e">
        <f t="shared" si="142"/>
        <v>#REF!</v>
      </c>
      <c r="G187" t="e">
        <f t="shared" si="142"/>
        <v>#REF!</v>
      </c>
      <c r="H187" t="e">
        <f t="shared" si="142"/>
        <v>#REF!</v>
      </c>
      <c r="I187" t="e">
        <f t="shared" si="142"/>
        <v>#REF!</v>
      </c>
      <c r="J187" t="e">
        <f t="shared" si="142"/>
        <v>#REF!</v>
      </c>
      <c r="K187" t="e">
        <f t="shared" si="142"/>
        <v>#REF!</v>
      </c>
      <c r="L187" t="e">
        <f t="shared" si="142"/>
        <v>#REF!</v>
      </c>
      <c r="M187" t="e">
        <f t="shared" si="142"/>
        <v>#REF!</v>
      </c>
      <c r="N187" t="e">
        <f t="shared" si="142"/>
        <v>#REF!</v>
      </c>
      <c r="O187" t="e">
        <f t="shared" si="142"/>
        <v>#REF!</v>
      </c>
      <c r="P187" t="e">
        <f t="shared" si="142"/>
        <v>#REF!</v>
      </c>
      <c r="Q187" t="e">
        <f t="shared" si="142"/>
        <v>#REF!</v>
      </c>
      <c r="R187" t="e">
        <f t="shared" si="142"/>
        <v>#REF!</v>
      </c>
      <c r="S187" t="e">
        <f t="shared" si="142"/>
        <v>#REF!</v>
      </c>
      <c r="T187" t="e">
        <f t="shared" si="140"/>
        <v>#REF!</v>
      </c>
      <c r="U187" t="e">
        <f t="shared" si="140"/>
        <v>#REF!</v>
      </c>
      <c r="V187" t="e">
        <f t="shared" si="140"/>
        <v>#REF!</v>
      </c>
      <c r="W187" t="e">
        <f t="shared" si="140"/>
        <v>#REF!</v>
      </c>
      <c r="X187" t="e">
        <f t="shared" si="140"/>
        <v>#REF!</v>
      </c>
      <c r="Y187" t="e">
        <f t="shared" si="140"/>
        <v>#REF!</v>
      </c>
      <c r="Z187" t="e">
        <f t="shared" si="140"/>
        <v>#REF!</v>
      </c>
      <c r="AA187" t="e">
        <f t="shared" si="140"/>
        <v>#REF!</v>
      </c>
      <c r="AB187" t="e">
        <f t="shared" si="140"/>
        <v>#REF!</v>
      </c>
      <c r="AC187" t="e">
        <f t="shared" si="140"/>
        <v>#REF!</v>
      </c>
      <c r="AD187" t="e">
        <f t="shared" si="140"/>
        <v>#REF!</v>
      </c>
      <c r="AE187" t="e">
        <f t="shared" si="140"/>
        <v>#REF!</v>
      </c>
      <c r="AF187" t="e">
        <f t="shared" si="140"/>
        <v>#REF!</v>
      </c>
      <c r="AG187" t="e">
        <f t="shared" si="140"/>
        <v>#REF!</v>
      </c>
      <c r="AH187" t="e">
        <f t="shared" si="140"/>
        <v>#REF!</v>
      </c>
      <c r="AI187" t="e">
        <f t="shared" ref="AI187:AQ201" si="144">MATCH(CONCATENATE(AI$3,"_",$C187),auto_DataFlat_UID,0)</f>
        <v>#REF!</v>
      </c>
      <c r="AJ187" t="e">
        <f t="shared" si="144"/>
        <v>#REF!</v>
      </c>
      <c r="AK187" t="e">
        <f t="shared" si="144"/>
        <v>#REF!</v>
      </c>
      <c r="AL187" t="e">
        <f t="shared" si="144"/>
        <v>#REF!</v>
      </c>
      <c r="AM187" t="e">
        <f t="shared" si="144"/>
        <v>#REF!</v>
      </c>
      <c r="AN187" t="e">
        <f t="shared" si="144"/>
        <v>#REF!</v>
      </c>
      <c r="AO187" t="e">
        <f t="shared" si="144"/>
        <v>#REF!</v>
      </c>
      <c r="AP187" t="e">
        <f t="shared" si="144"/>
        <v>#REF!</v>
      </c>
      <c r="AQ187" t="e">
        <f t="shared" si="144"/>
        <v>#REF!</v>
      </c>
      <c r="AR187" t="e">
        <f t="shared" si="143"/>
        <v>#REF!</v>
      </c>
      <c r="AS187" t="e">
        <f t="shared" si="143"/>
        <v>#REF!</v>
      </c>
      <c r="AT187" t="e">
        <f t="shared" si="143"/>
        <v>#REF!</v>
      </c>
      <c r="AU187" t="e">
        <f t="shared" si="143"/>
        <v>#REF!</v>
      </c>
      <c r="AV187" t="e">
        <f t="shared" si="143"/>
        <v>#REF!</v>
      </c>
      <c r="AW187" t="e">
        <f t="shared" si="143"/>
        <v>#REF!</v>
      </c>
      <c r="AX187" t="e">
        <f t="shared" si="143"/>
        <v>#REF!</v>
      </c>
      <c r="AY187" t="e">
        <f t="shared" si="143"/>
        <v>#REF!</v>
      </c>
      <c r="AZ187" t="e">
        <f t="shared" si="143"/>
        <v>#REF!</v>
      </c>
      <c r="BA187" t="e">
        <f t="shared" si="143"/>
        <v>#REF!</v>
      </c>
      <c r="BB187" t="e">
        <f t="shared" si="132"/>
        <v>#REF!</v>
      </c>
      <c r="BC187" t="e">
        <f t="shared" si="132"/>
        <v>#REF!</v>
      </c>
      <c r="BD187" t="e">
        <f t="shared" si="132"/>
        <v>#REF!</v>
      </c>
      <c r="BE187" t="e">
        <f t="shared" si="132"/>
        <v>#REF!</v>
      </c>
      <c r="BF187" t="e">
        <f t="shared" si="132"/>
        <v>#REF!</v>
      </c>
      <c r="BG187" t="e">
        <f t="shared" si="132"/>
        <v>#REF!</v>
      </c>
      <c r="BH187" t="e">
        <f t="shared" si="132"/>
        <v>#REF!</v>
      </c>
      <c r="BI187" t="e">
        <f t="shared" si="132"/>
        <v>#REF!</v>
      </c>
      <c r="BJ187" t="e">
        <f t="shared" si="134"/>
        <v>#REF!</v>
      </c>
      <c r="BK187" t="e">
        <f t="shared" si="134"/>
        <v>#REF!</v>
      </c>
      <c r="BL187" t="e">
        <f t="shared" si="134"/>
        <v>#REF!</v>
      </c>
      <c r="BM187" t="e">
        <f t="shared" si="134"/>
        <v>#REF!</v>
      </c>
      <c r="BN187" t="e">
        <f t="shared" si="134"/>
        <v>#REF!</v>
      </c>
      <c r="BO187" t="e">
        <f t="shared" si="134"/>
        <v>#REF!</v>
      </c>
      <c r="BP187" t="e">
        <f t="shared" si="134"/>
        <v>#REF!</v>
      </c>
      <c r="BQ187" t="e">
        <f t="shared" si="134"/>
        <v>#REF!</v>
      </c>
      <c r="BR187" t="e">
        <f t="shared" si="134"/>
        <v>#REF!</v>
      </c>
      <c r="BS187" t="e">
        <f t="shared" si="134"/>
        <v>#REF!</v>
      </c>
      <c r="BT187" t="e">
        <f t="shared" si="134"/>
        <v>#REF!</v>
      </c>
      <c r="BU187" t="e">
        <f t="shared" si="134"/>
        <v>#REF!</v>
      </c>
      <c r="BV187" t="e">
        <f t="shared" si="122"/>
        <v>#REF!</v>
      </c>
      <c r="BW187" t="e">
        <f t="shared" si="122"/>
        <v>#REF!</v>
      </c>
      <c r="BX187" t="e">
        <f t="shared" si="122"/>
        <v>#REF!</v>
      </c>
      <c r="BY187" t="e">
        <f t="shared" si="122"/>
        <v>#REF!</v>
      </c>
      <c r="BZ187" t="e">
        <f t="shared" si="122"/>
        <v>#REF!</v>
      </c>
      <c r="CA187" t="e">
        <f t="shared" si="122"/>
        <v>#REF!</v>
      </c>
      <c r="CB187" t="e">
        <f t="shared" si="122"/>
        <v>#REF!</v>
      </c>
      <c r="CC187" t="e">
        <f t="shared" ref="CC187:CE187" si="145">MATCH(CONCATENATE(CC$3,"_",$C187),auto_DataFlat_UID,0)</f>
        <v>#REF!</v>
      </c>
      <c r="CD187" t="e">
        <f t="shared" si="145"/>
        <v>#REF!</v>
      </c>
      <c r="CE187" t="e">
        <f t="shared" si="145"/>
        <v>#REF!</v>
      </c>
      <c r="CF187" t="e">
        <f t="shared" si="133"/>
        <v>#REF!</v>
      </c>
      <c r="CG187" t="e">
        <f t="shared" si="133"/>
        <v>#REF!</v>
      </c>
      <c r="CH187" t="e">
        <f t="shared" si="133"/>
        <v>#REF!</v>
      </c>
      <c r="CI187" t="e">
        <f t="shared" si="133"/>
        <v>#REF!</v>
      </c>
      <c r="CJ187" t="e">
        <f t="shared" si="133"/>
        <v>#REF!</v>
      </c>
      <c r="CK187" t="e">
        <f t="shared" si="133"/>
        <v>#REF!</v>
      </c>
      <c r="CL187" t="e">
        <f t="shared" si="133"/>
        <v>#REF!</v>
      </c>
      <c r="CM187" t="e">
        <f t="shared" si="133"/>
        <v>#REF!</v>
      </c>
      <c r="CN187" t="e">
        <f t="shared" si="133"/>
        <v>#REF!</v>
      </c>
      <c r="CO187" t="e">
        <f t="shared" si="133"/>
        <v>#REF!</v>
      </c>
      <c r="CP187" t="e">
        <f t="shared" si="133"/>
        <v>#REF!</v>
      </c>
      <c r="CQ187" t="e">
        <f t="shared" si="133"/>
        <v>#REF!</v>
      </c>
      <c r="CR187" t="e">
        <f t="shared" si="133"/>
        <v>#REF!</v>
      </c>
      <c r="CS187" t="e">
        <f t="shared" si="133"/>
        <v>#REF!</v>
      </c>
      <c r="CT187" t="e">
        <f t="shared" si="133"/>
        <v>#REF!</v>
      </c>
      <c r="CU187" t="e">
        <f t="shared" si="136"/>
        <v>#REF!</v>
      </c>
      <c r="CV187" t="e">
        <f t="shared" si="136"/>
        <v>#REF!</v>
      </c>
      <c r="CW187" t="e">
        <f t="shared" si="136"/>
        <v>#REF!</v>
      </c>
      <c r="CX187" t="e">
        <f t="shared" si="136"/>
        <v>#REF!</v>
      </c>
      <c r="CY187" t="e">
        <f t="shared" si="136"/>
        <v>#REF!</v>
      </c>
      <c r="CZ187" t="e">
        <f t="shared" si="136"/>
        <v>#REF!</v>
      </c>
      <c r="DA187" t="e">
        <f t="shared" si="136"/>
        <v>#REF!</v>
      </c>
      <c r="DB187" t="e">
        <f t="shared" si="136"/>
        <v>#REF!</v>
      </c>
      <c r="DC187" t="e">
        <f t="shared" si="136"/>
        <v>#REF!</v>
      </c>
      <c r="DD187" t="e">
        <f t="shared" si="136"/>
        <v>#REF!</v>
      </c>
      <c r="DE187" t="e">
        <f t="shared" si="136"/>
        <v>#REF!</v>
      </c>
      <c r="DF187" t="e">
        <f t="shared" si="136"/>
        <v>#REF!</v>
      </c>
      <c r="DG187" t="e">
        <f t="shared" si="138"/>
        <v>#REF!</v>
      </c>
      <c r="DH187" t="e">
        <f t="shared" si="138"/>
        <v>#REF!</v>
      </c>
      <c r="DI187" t="e">
        <f t="shared" si="138"/>
        <v>#REF!</v>
      </c>
      <c r="DJ187" t="e">
        <f t="shared" si="138"/>
        <v>#REF!</v>
      </c>
      <c r="DK187" t="e">
        <f t="shared" si="138"/>
        <v>#REF!</v>
      </c>
      <c r="DL187" t="e">
        <f t="shared" si="138"/>
        <v>#REF!</v>
      </c>
      <c r="DM187" t="e">
        <f t="shared" si="138"/>
        <v>#REF!</v>
      </c>
      <c r="DN187" t="e">
        <f t="shared" si="138"/>
        <v>#REF!</v>
      </c>
      <c r="DO187" t="e">
        <f t="shared" si="138"/>
        <v>#REF!</v>
      </c>
      <c r="DP187" t="e">
        <f t="shared" si="138"/>
        <v>#REF!</v>
      </c>
      <c r="DQ187" t="e">
        <f t="shared" si="138"/>
        <v>#REF!</v>
      </c>
      <c r="DR187" t="e">
        <f t="shared" si="138"/>
        <v>#REF!</v>
      </c>
      <c r="DS187" t="e">
        <f t="shared" si="128"/>
        <v>#REF!</v>
      </c>
      <c r="DT187" t="e">
        <f t="shared" si="128"/>
        <v>#REF!</v>
      </c>
      <c r="DU187" t="e">
        <f t="shared" si="128"/>
        <v>#REF!</v>
      </c>
      <c r="DV187" t="e">
        <f t="shared" si="128"/>
        <v>#REF!</v>
      </c>
      <c r="DW187" t="e">
        <f t="shared" si="128"/>
        <v>#REF!</v>
      </c>
      <c r="DX187" t="e">
        <f t="shared" si="128"/>
        <v>#REF!</v>
      </c>
      <c r="DY187" t="e">
        <f t="shared" si="128"/>
        <v>#REF!</v>
      </c>
      <c r="DZ187" t="e">
        <f t="shared" si="128"/>
        <v>#REF!</v>
      </c>
      <c r="EA187" t="e">
        <f t="shared" si="139"/>
        <v>#REF!</v>
      </c>
      <c r="EB187" t="e">
        <f t="shared" si="139"/>
        <v>#REF!</v>
      </c>
      <c r="EC187" t="e">
        <f t="shared" si="139"/>
        <v>#REF!</v>
      </c>
      <c r="ED187" t="e">
        <f t="shared" si="139"/>
        <v>#REF!</v>
      </c>
      <c r="EE187" t="e">
        <f t="shared" si="139"/>
        <v>#REF!</v>
      </c>
      <c r="EF187" t="e">
        <f t="shared" si="139"/>
        <v>#REF!</v>
      </c>
      <c r="EG187" t="e">
        <f t="shared" si="139"/>
        <v>#REF!</v>
      </c>
      <c r="EH187" t="e">
        <f t="shared" si="139"/>
        <v>#REF!</v>
      </c>
      <c r="EI187" t="e">
        <f t="shared" si="139"/>
        <v>#REF!</v>
      </c>
      <c r="EJ187" t="e">
        <f t="shared" si="139"/>
        <v>#REF!</v>
      </c>
      <c r="EK187" t="e">
        <f t="shared" si="139"/>
        <v>#REF!</v>
      </c>
      <c r="EL187" t="e">
        <f t="shared" si="139"/>
        <v>#REF!</v>
      </c>
      <c r="EM187" t="e">
        <f t="shared" si="139"/>
        <v>#REF!</v>
      </c>
    </row>
    <row r="188" spans="1:143" x14ac:dyDescent="0.4">
      <c r="A188" t="str">
        <f t="shared" si="120"/>
        <v>X</v>
      </c>
      <c r="B188">
        <v>185</v>
      </c>
      <c r="C188" t="e" cm="1">
        <f t="array" ref="C188">INDEX(auto_Series_Code,B188)</f>
        <v>#REF!</v>
      </c>
      <c r="D188" t="e">
        <f t="shared" si="142"/>
        <v>#REF!</v>
      </c>
      <c r="E188" t="e">
        <f t="shared" si="142"/>
        <v>#REF!</v>
      </c>
      <c r="F188" t="e">
        <f t="shared" si="142"/>
        <v>#REF!</v>
      </c>
      <c r="G188" t="e">
        <f t="shared" si="142"/>
        <v>#REF!</v>
      </c>
      <c r="H188" t="e">
        <f t="shared" si="142"/>
        <v>#REF!</v>
      </c>
      <c r="I188" t="e">
        <f t="shared" si="142"/>
        <v>#REF!</v>
      </c>
      <c r="J188" t="e">
        <f t="shared" si="142"/>
        <v>#REF!</v>
      </c>
      <c r="K188" t="e">
        <f t="shared" si="142"/>
        <v>#REF!</v>
      </c>
      <c r="L188" t="e">
        <f t="shared" si="142"/>
        <v>#REF!</v>
      </c>
      <c r="M188" t="e">
        <f t="shared" si="142"/>
        <v>#REF!</v>
      </c>
      <c r="N188" t="e">
        <f t="shared" si="142"/>
        <v>#REF!</v>
      </c>
      <c r="O188" t="e">
        <f t="shared" si="142"/>
        <v>#REF!</v>
      </c>
      <c r="P188" t="e">
        <f t="shared" si="142"/>
        <v>#REF!</v>
      </c>
      <c r="Q188" t="e">
        <f t="shared" si="142"/>
        <v>#REF!</v>
      </c>
      <c r="R188" t="e">
        <f t="shared" si="142"/>
        <v>#REF!</v>
      </c>
      <c r="S188" t="e">
        <f t="shared" si="142"/>
        <v>#REF!</v>
      </c>
      <c r="T188" t="e">
        <f t="shared" si="140"/>
        <v>#REF!</v>
      </c>
      <c r="U188" t="e">
        <f t="shared" si="140"/>
        <v>#REF!</v>
      </c>
      <c r="V188" t="e">
        <f t="shared" si="140"/>
        <v>#REF!</v>
      </c>
      <c r="W188" t="e">
        <f t="shared" si="140"/>
        <v>#REF!</v>
      </c>
      <c r="X188" t="e">
        <f t="shared" si="140"/>
        <v>#REF!</v>
      </c>
      <c r="Y188" t="e">
        <f t="shared" si="140"/>
        <v>#REF!</v>
      </c>
      <c r="Z188" t="e">
        <f t="shared" si="140"/>
        <v>#REF!</v>
      </c>
      <c r="AA188" t="e">
        <f t="shared" si="140"/>
        <v>#REF!</v>
      </c>
      <c r="AB188" t="e">
        <f t="shared" si="140"/>
        <v>#REF!</v>
      </c>
      <c r="AC188" t="e">
        <f t="shared" si="140"/>
        <v>#REF!</v>
      </c>
      <c r="AD188" t="e">
        <f t="shared" si="140"/>
        <v>#REF!</v>
      </c>
      <c r="AE188" t="e">
        <f t="shared" si="140"/>
        <v>#REF!</v>
      </c>
      <c r="AF188" t="e">
        <f t="shared" si="140"/>
        <v>#REF!</v>
      </c>
      <c r="AG188" t="e">
        <f t="shared" si="140"/>
        <v>#REF!</v>
      </c>
      <c r="AH188" t="e">
        <f t="shared" si="140"/>
        <v>#REF!</v>
      </c>
      <c r="AI188" t="e">
        <f t="shared" si="144"/>
        <v>#REF!</v>
      </c>
      <c r="AJ188" t="e">
        <f t="shared" si="144"/>
        <v>#REF!</v>
      </c>
      <c r="AK188" t="e">
        <f t="shared" si="144"/>
        <v>#REF!</v>
      </c>
      <c r="AL188" t="e">
        <f t="shared" si="144"/>
        <v>#REF!</v>
      </c>
      <c r="AM188" t="e">
        <f t="shared" si="144"/>
        <v>#REF!</v>
      </c>
      <c r="AN188" t="e">
        <f t="shared" si="144"/>
        <v>#REF!</v>
      </c>
      <c r="AO188" t="e">
        <f t="shared" si="144"/>
        <v>#REF!</v>
      </c>
      <c r="AP188" t="e">
        <f t="shared" si="144"/>
        <v>#REF!</v>
      </c>
      <c r="AQ188" t="e">
        <f t="shared" si="144"/>
        <v>#REF!</v>
      </c>
      <c r="AR188" t="e">
        <f t="shared" si="143"/>
        <v>#REF!</v>
      </c>
      <c r="AS188" t="e">
        <f t="shared" si="143"/>
        <v>#REF!</v>
      </c>
      <c r="AT188" t="e">
        <f t="shared" si="143"/>
        <v>#REF!</v>
      </c>
      <c r="AU188" t="e">
        <f t="shared" si="143"/>
        <v>#REF!</v>
      </c>
      <c r="AV188" t="e">
        <f t="shared" si="143"/>
        <v>#REF!</v>
      </c>
      <c r="AW188" t="e">
        <f t="shared" si="143"/>
        <v>#REF!</v>
      </c>
      <c r="AX188" t="e">
        <f t="shared" si="143"/>
        <v>#REF!</v>
      </c>
      <c r="AY188" t="e">
        <f t="shared" si="143"/>
        <v>#REF!</v>
      </c>
      <c r="AZ188" t="e">
        <f t="shared" si="143"/>
        <v>#REF!</v>
      </c>
      <c r="BA188" t="e">
        <f t="shared" si="143"/>
        <v>#REF!</v>
      </c>
      <c r="BB188" t="e">
        <f t="shared" si="132"/>
        <v>#REF!</v>
      </c>
      <c r="BC188" t="e">
        <f t="shared" si="132"/>
        <v>#REF!</v>
      </c>
      <c r="BD188" t="e">
        <f t="shared" si="132"/>
        <v>#REF!</v>
      </c>
      <c r="BE188" t="e">
        <f t="shared" si="132"/>
        <v>#REF!</v>
      </c>
      <c r="BF188" t="e">
        <f t="shared" si="132"/>
        <v>#REF!</v>
      </c>
      <c r="BG188" t="e">
        <f t="shared" si="132"/>
        <v>#REF!</v>
      </c>
      <c r="BH188" t="e">
        <f t="shared" si="132"/>
        <v>#REF!</v>
      </c>
      <c r="BI188" t="e">
        <f t="shared" ref="BI188:BK188" si="146">MATCH(CONCATENATE(BI$3,"_",$C188),auto_DataFlat_UID,0)</f>
        <v>#REF!</v>
      </c>
      <c r="BJ188" t="e">
        <f t="shared" si="146"/>
        <v>#REF!</v>
      </c>
      <c r="BK188" t="e">
        <f t="shared" si="146"/>
        <v>#REF!</v>
      </c>
      <c r="BL188" t="e">
        <f t="shared" si="134"/>
        <v>#REF!</v>
      </c>
      <c r="BM188" t="e">
        <f t="shared" si="134"/>
        <v>#REF!</v>
      </c>
      <c r="BN188" t="e">
        <f t="shared" si="134"/>
        <v>#REF!</v>
      </c>
      <c r="BO188" t="e">
        <f t="shared" si="134"/>
        <v>#REF!</v>
      </c>
      <c r="BP188" t="e">
        <f t="shared" si="134"/>
        <v>#REF!</v>
      </c>
      <c r="BQ188" t="e">
        <f t="shared" si="134"/>
        <v>#REF!</v>
      </c>
      <c r="BR188" t="e">
        <f t="shared" si="134"/>
        <v>#REF!</v>
      </c>
      <c r="BS188" t="e">
        <f t="shared" si="134"/>
        <v>#REF!</v>
      </c>
      <c r="BT188" t="e">
        <f t="shared" si="134"/>
        <v>#REF!</v>
      </c>
      <c r="BU188" t="e">
        <f t="shared" si="134"/>
        <v>#REF!</v>
      </c>
      <c r="BV188" t="e">
        <f t="shared" si="134"/>
        <v>#REF!</v>
      </c>
      <c r="BW188" t="e">
        <f t="shared" ref="BW188:CL204" si="147">MATCH(CONCATENATE(BW$3,"_",$C188),auto_DataFlat_UID,0)</f>
        <v>#REF!</v>
      </c>
      <c r="BX188" t="e">
        <f t="shared" si="147"/>
        <v>#REF!</v>
      </c>
      <c r="BY188" t="e">
        <f t="shared" si="147"/>
        <v>#REF!</v>
      </c>
      <c r="BZ188" t="e">
        <f t="shared" si="147"/>
        <v>#REF!</v>
      </c>
      <c r="CA188" t="e">
        <f t="shared" si="147"/>
        <v>#REF!</v>
      </c>
      <c r="CB188" t="e">
        <f t="shared" si="147"/>
        <v>#REF!</v>
      </c>
      <c r="CC188" t="e">
        <f t="shared" si="147"/>
        <v>#REF!</v>
      </c>
      <c r="CD188" t="e">
        <f t="shared" si="147"/>
        <v>#REF!</v>
      </c>
      <c r="CE188" t="e">
        <f t="shared" si="147"/>
        <v>#REF!</v>
      </c>
      <c r="CF188" t="e">
        <f t="shared" si="133"/>
        <v>#REF!</v>
      </c>
      <c r="CG188" t="e">
        <f t="shared" si="133"/>
        <v>#REF!</v>
      </c>
      <c r="CH188" t="e">
        <f t="shared" si="133"/>
        <v>#REF!</v>
      </c>
      <c r="CI188" t="e">
        <f t="shared" si="133"/>
        <v>#REF!</v>
      </c>
      <c r="CJ188" t="e">
        <f t="shared" si="133"/>
        <v>#REF!</v>
      </c>
      <c r="CK188" t="e">
        <f t="shared" si="133"/>
        <v>#REF!</v>
      </c>
      <c r="CL188" t="e">
        <f t="shared" si="133"/>
        <v>#REF!</v>
      </c>
      <c r="CM188" t="e">
        <f t="shared" si="133"/>
        <v>#REF!</v>
      </c>
      <c r="CN188" t="e">
        <f t="shared" si="133"/>
        <v>#REF!</v>
      </c>
      <c r="CO188" t="e">
        <f t="shared" si="133"/>
        <v>#REF!</v>
      </c>
      <c r="CP188" t="e">
        <f t="shared" si="133"/>
        <v>#REF!</v>
      </c>
      <c r="CQ188" t="e">
        <f t="shared" si="133"/>
        <v>#REF!</v>
      </c>
      <c r="CR188" t="e">
        <f t="shared" si="133"/>
        <v>#REF!</v>
      </c>
      <c r="CS188" t="e">
        <f t="shared" si="133"/>
        <v>#REF!</v>
      </c>
      <c r="CT188" t="e">
        <f t="shared" ref="CT188:CY188" si="148">MATCH(CONCATENATE(CT$3,"_",$C188),auto_DataFlat_UID,0)</f>
        <v>#REF!</v>
      </c>
      <c r="CU188" t="e">
        <f t="shared" si="148"/>
        <v>#REF!</v>
      </c>
      <c r="CV188" t="e">
        <f t="shared" si="148"/>
        <v>#REF!</v>
      </c>
      <c r="CW188" t="e">
        <f t="shared" si="148"/>
        <v>#REF!</v>
      </c>
      <c r="CX188" t="e">
        <f t="shared" si="148"/>
        <v>#REF!</v>
      </c>
      <c r="CY188" t="e">
        <f t="shared" si="148"/>
        <v>#REF!</v>
      </c>
      <c r="CZ188" t="e">
        <f t="shared" si="136"/>
        <v>#REF!</v>
      </c>
      <c r="DA188" t="e">
        <f t="shared" si="136"/>
        <v>#REF!</v>
      </c>
      <c r="DB188" t="e">
        <f t="shared" si="136"/>
        <v>#REF!</v>
      </c>
      <c r="DC188" t="e">
        <f t="shared" si="136"/>
        <v>#REF!</v>
      </c>
      <c r="DD188" t="e">
        <f t="shared" si="136"/>
        <v>#REF!</v>
      </c>
      <c r="DE188" t="e">
        <f t="shared" si="136"/>
        <v>#REF!</v>
      </c>
      <c r="DF188" t="e">
        <f t="shared" si="136"/>
        <v>#REF!</v>
      </c>
      <c r="DG188" t="e">
        <f t="shared" si="138"/>
        <v>#REF!</v>
      </c>
      <c r="DH188" t="e">
        <f t="shared" si="138"/>
        <v>#REF!</v>
      </c>
      <c r="DI188" t="e">
        <f t="shared" si="138"/>
        <v>#REF!</v>
      </c>
      <c r="DJ188" t="e">
        <f t="shared" si="138"/>
        <v>#REF!</v>
      </c>
      <c r="DK188" t="e">
        <f t="shared" si="138"/>
        <v>#REF!</v>
      </c>
      <c r="DL188" t="e">
        <f t="shared" si="138"/>
        <v>#REF!</v>
      </c>
      <c r="DM188" t="e">
        <f t="shared" si="138"/>
        <v>#REF!</v>
      </c>
      <c r="DN188" t="e">
        <f t="shared" si="138"/>
        <v>#REF!</v>
      </c>
      <c r="DO188" t="e">
        <f t="shared" si="138"/>
        <v>#REF!</v>
      </c>
      <c r="DP188" t="e">
        <f t="shared" si="138"/>
        <v>#REF!</v>
      </c>
      <c r="DQ188" t="e">
        <f t="shared" si="138"/>
        <v>#REF!</v>
      </c>
      <c r="DR188" t="e">
        <f t="shared" si="138"/>
        <v>#REF!</v>
      </c>
      <c r="DS188" t="e">
        <f t="shared" si="128"/>
        <v>#REF!</v>
      </c>
      <c r="DT188" t="e">
        <f t="shared" si="128"/>
        <v>#REF!</v>
      </c>
      <c r="DU188" t="e">
        <f t="shared" si="128"/>
        <v>#REF!</v>
      </c>
      <c r="DV188" t="e">
        <f t="shared" si="128"/>
        <v>#REF!</v>
      </c>
      <c r="DW188" t="e">
        <f t="shared" si="128"/>
        <v>#REF!</v>
      </c>
      <c r="DX188" t="e">
        <f t="shared" si="128"/>
        <v>#REF!</v>
      </c>
      <c r="DY188" t="e">
        <f t="shared" si="128"/>
        <v>#REF!</v>
      </c>
      <c r="DZ188" t="e">
        <f t="shared" si="128"/>
        <v>#REF!</v>
      </c>
      <c r="EA188" t="e">
        <f t="shared" si="139"/>
        <v>#REF!</v>
      </c>
      <c r="EB188" t="e">
        <f t="shared" si="139"/>
        <v>#REF!</v>
      </c>
      <c r="EC188" t="e">
        <f t="shared" si="139"/>
        <v>#REF!</v>
      </c>
      <c r="ED188" t="e">
        <f t="shared" si="139"/>
        <v>#REF!</v>
      </c>
      <c r="EE188" t="e">
        <f t="shared" si="139"/>
        <v>#REF!</v>
      </c>
      <c r="EF188" t="e">
        <f t="shared" si="139"/>
        <v>#REF!</v>
      </c>
      <c r="EG188" t="e">
        <f t="shared" si="139"/>
        <v>#REF!</v>
      </c>
      <c r="EH188" t="e">
        <f t="shared" si="139"/>
        <v>#REF!</v>
      </c>
      <c r="EI188" t="e">
        <f t="shared" si="139"/>
        <v>#REF!</v>
      </c>
      <c r="EJ188" t="e">
        <f t="shared" si="139"/>
        <v>#REF!</v>
      </c>
      <c r="EK188" t="e">
        <f t="shared" si="139"/>
        <v>#REF!</v>
      </c>
      <c r="EL188" t="e">
        <f t="shared" si="139"/>
        <v>#REF!</v>
      </c>
      <c r="EM188" t="e">
        <f t="shared" si="139"/>
        <v>#REF!</v>
      </c>
    </row>
    <row r="189" spans="1:143" x14ac:dyDescent="0.4">
      <c r="A189" t="str">
        <f t="shared" si="120"/>
        <v>X</v>
      </c>
      <c r="B189">
        <v>186</v>
      </c>
      <c r="C189" t="e" cm="1">
        <f t="array" ref="C189">INDEX(auto_Series_Code,B189)</f>
        <v>#REF!</v>
      </c>
      <c r="D189" t="e">
        <f t="shared" si="142"/>
        <v>#REF!</v>
      </c>
      <c r="E189" t="e">
        <f t="shared" si="142"/>
        <v>#REF!</v>
      </c>
      <c r="F189" t="e">
        <f t="shared" si="142"/>
        <v>#REF!</v>
      </c>
      <c r="G189" t="e">
        <f t="shared" si="142"/>
        <v>#REF!</v>
      </c>
      <c r="H189" t="e">
        <f t="shared" si="142"/>
        <v>#REF!</v>
      </c>
      <c r="I189" t="e">
        <f t="shared" si="142"/>
        <v>#REF!</v>
      </c>
      <c r="J189" t="e">
        <f t="shared" si="142"/>
        <v>#REF!</v>
      </c>
      <c r="K189" t="e">
        <f t="shared" si="142"/>
        <v>#REF!</v>
      </c>
      <c r="L189" t="e">
        <f t="shared" si="142"/>
        <v>#REF!</v>
      </c>
      <c r="M189" t="e">
        <f t="shared" si="142"/>
        <v>#REF!</v>
      </c>
      <c r="N189" t="e">
        <f t="shared" si="142"/>
        <v>#REF!</v>
      </c>
      <c r="O189" t="e">
        <f t="shared" si="142"/>
        <v>#REF!</v>
      </c>
      <c r="P189" t="e">
        <f t="shared" si="142"/>
        <v>#REF!</v>
      </c>
      <c r="Q189" t="e">
        <f t="shared" si="142"/>
        <v>#REF!</v>
      </c>
      <c r="R189" t="e">
        <f t="shared" si="142"/>
        <v>#REF!</v>
      </c>
      <c r="S189" t="e">
        <f t="shared" si="142"/>
        <v>#REF!</v>
      </c>
      <c r="T189" t="e">
        <f t="shared" si="140"/>
        <v>#REF!</v>
      </c>
      <c r="U189" t="e">
        <f t="shared" si="140"/>
        <v>#REF!</v>
      </c>
      <c r="V189" t="e">
        <f t="shared" si="140"/>
        <v>#REF!</v>
      </c>
      <c r="W189" t="e">
        <f t="shared" si="140"/>
        <v>#REF!</v>
      </c>
      <c r="X189" t="e">
        <f t="shared" si="140"/>
        <v>#REF!</v>
      </c>
      <c r="Y189" t="e">
        <f t="shared" si="140"/>
        <v>#REF!</v>
      </c>
      <c r="Z189" t="e">
        <f t="shared" si="140"/>
        <v>#REF!</v>
      </c>
      <c r="AA189" t="e">
        <f t="shared" si="140"/>
        <v>#REF!</v>
      </c>
      <c r="AB189" t="e">
        <f t="shared" si="140"/>
        <v>#REF!</v>
      </c>
      <c r="AC189" t="e">
        <f t="shared" si="140"/>
        <v>#REF!</v>
      </c>
      <c r="AD189" t="e">
        <f t="shared" si="140"/>
        <v>#REF!</v>
      </c>
      <c r="AE189" t="e">
        <f t="shared" si="140"/>
        <v>#REF!</v>
      </c>
      <c r="AF189" t="e">
        <f t="shared" si="140"/>
        <v>#REF!</v>
      </c>
      <c r="AG189" t="e">
        <f t="shared" si="140"/>
        <v>#REF!</v>
      </c>
      <c r="AH189" t="e">
        <f t="shared" si="140"/>
        <v>#REF!</v>
      </c>
      <c r="AI189" t="e">
        <f t="shared" si="144"/>
        <v>#REF!</v>
      </c>
      <c r="AJ189" t="e">
        <f t="shared" si="144"/>
        <v>#REF!</v>
      </c>
      <c r="AK189" t="e">
        <f t="shared" si="144"/>
        <v>#REF!</v>
      </c>
      <c r="AL189" t="e">
        <f t="shared" si="144"/>
        <v>#REF!</v>
      </c>
      <c r="AM189" t="e">
        <f t="shared" si="144"/>
        <v>#REF!</v>
      </c>
      <c r="AN189" t="e">
        <f t="shared" si="144"/>
        <v>#REF!</v>
      </c>
      <c r="AO189" t="e">
        <f t="shared" si="144"/>
        <v>#REF!</v>
      </c>
      <c r="AP189" t="e">
        <f t="shared" si="144"/>
        <v>#REF!</v>
      </c>
      <c r="AQ189" t="e">
        <f t="shared" si="144"/>
        <v>#REF!</v>
      </c>
      <c r="AR189" t="e">
        <f t="shared" si="143"/>
        <v>#REF!</v>
      </c>
      <c r="AS189" t="e">
        <f t="shared" si="143"/>
        <v>#REF!</v>
      </c>
      <c r="AT189" t="e">
        <f t="shared" si="143"/>
        <v>#REF!</v>
      </c>
      <c r="AU189" t="e">
        <f t="shared" si="143"/>
        <v>#REF!</v>
      </c>
      <c r="AV189" t="e">
        <f t="shared" si="143"/>
        <v>#REF!</v>
      </c>
      <c r="AW189" t="e">
        <f t="shared" si="143"/>
        <v>#REF!</v>
      </c>
      <c r="AX189" t="e">
        <f t="shared" si="143"/>
        <v>#REF!</v>
      </c>
      <c r="AY189" t="e">
        <f t="shared" si="143"/>
        <v>#REF!</v>
      </c>
      <c r="AZ189" t="e">
        <f t="shared" si="143"/>
        <v>#REF!</v>
      </c>
      <c r="BA189" t="e">
        <f t="shared" si="143"/>
        <v>#REF!</v>
      </c>
      <c r="BB189" t="e">
        <f t="shared" si="143"/>
        <v>#REF!</v>
      </c>
      <c r="BC189" t="e">
        <f t="shared" si="143"/>
        <v>#REF!</v>
      </c>
      <c r="BD189" t="e">
        <f t="shared" si="143"/>
        <v>#REF!</v>
      </c>
      <c r="BE189" t="e">
        <f t="shared" si="143"/>
        <v>#REF!</v>
      </c>
      <c r="BF189" t="e">
        <f t="shared" si="143"/>
        <v>#REF!</v>
      </c>
      <c r="BG189" t="e">
        <f t="shared" ref="BG189:BK202" si="149">MATCH(CONCATENATE(BG$3,"_",$C189),auto_DataFlat_UID,0)</f>
        <v>#REF!</v>
      </c>
      <c r="BH189" t="e">
        <f t="shared" si="149"/>
        <v>#REF!</v>
      </c>
      <c r="BI189" t="e">
        <f t="shared" si="149"/>
        <v>#REF!</v>
      </c>
      <c r="BJ189" t="e">
        <f t="shared" si="149"/>
        <v>#REF!</v>
      </c>
      <c r="BK189" t="e">
        <f t="shared" si="149"/>
        <v>#REF!</v>
      </c>
      <c r="BL189" t="e">
        <f t="shared" si="134"/>
        <v>#REF!</v>
      </c>
      <c r="BM189" t="e">
        <f t="shared" si="134"/>
        <v>#REF!</v>
      </c>
      <c r="BN189" t="e">
        <f t="shared" si="134"/>
        <v>#REF!</v>
      </c>
      <c r="BO189" t="e">
        <f t="shared" si="134"/>
        <v>#REF!</v>
      </c>
      <c r="BP189" t="e">
        <f t="shared" si="134"/>
        <v>#REF!</v>
      </c>
      <c r="BQ189" t="e">
        <f t="shared" si="134"/>
        <v>#REF!</v>
      </c>
      <c r="BR189" t="e">
        <f t="shared" si="134"/>
        <v>#REF!</v>
      </c>
      <c r="BS189" t="e">
        <f t="shared" si="134"/>
        <v>#REF!</v>
      </c>
      <c r="BT189" t="e">
        <f t="shared" si="134"/>
        <v>#REF!</v>
      </c>
      <c r="BU189" t="e">
        <f t="shared" si="134"/>
        <v>#REF!</v>
      </c>
      <c r="BV189" t="e">
        <f t="shared" si="134"/>
        <v>#REF!</v>
      </c>
      <c r="BW189" t="e">
        <f t="shared" si="147"/>
        <v>#REF!</v>
      </c>
      <c r="BX189" t="e">
        <f t="shared" si="147"/>
        <v>#REF!</v>
      </c>
      <c r="BY189" t="e">
        <f t="shared" si="147"/>
        <v>#REF!</v>
      </c>
      <c r="BZ189" t="e">
        <f t="shared" si="147"/>
        <v>#REF!</v>
      </c>
      <c r="CA189" t="e">
        <f t="shared" si="147"/>
        <v>#REF!</v>
      </c>
      <c r="CB189" t="e">
        <f t="shared" si="147"/>
        <v>#REF!</v>
      </c>
      <c r="CC189" t="e">
        <f t="shared" si="147"/>
        <v>#REF!</v>
      </c>
      <c r="CD189" t="e">
        <f t="shared" si="147"/>
        <v>#REF!</v>
      </c>
      <c r="CE189" t="e">
        <f t="shared" si="147"/>
        <v>#REF!</v>
      </c>
      <c r="CF189" t="e">
        <f t="shared" si="147"/>
        <v>#REF!</v>
      </c>
      <c r="CG189" t="e">
        <f t="shared" si="147"/>
        <v>#REF!</v>
      </c>
      <c r="CH189" t="e">
        <f t="shared" si="147"/>
        <v>#REF!</v>
      </c>
      <c r="CI189" t="e">
        <f t="shared" si="147"/>
        <v>#REF!</v>
      </c>
      <c r="CJ189" t="e">
        <f t="shared" si="147"/>
        <v>#REF!</v>
      </c>
      <c r="CK189" t="e">
        <f t="shared" si="147"/>
        <v>#REF!</v>
      </c>
      <c r="CL189" t="e">
        <f t="shared" si="147"/>
        <v>#REF!</v>
      </c>
      <c r="CM189" t="e">
        <f t="shared" ref="CM189:DB208" si="150">MATCH(CONCATENATE(CM$3,"_",$C189),auto_DataFlat_UID,0)</f>
        <v>#REF!</v>
      </c>
      <c r="CN189" t="e">
        <f t="shared" si="150"/>
        <v>#REF!</v>
      </c>
      <c r="CO189" t="e">
        <f t="shared" si="150"/>
        <v>#REF!</v>
      </c>
      <c r="CP189" t="e">
        <f t="shared" si="150"/>
        <v>#REF!</v>
      </c>
      <c r="CQ189" t="e">
        <f t="shared" si="150"/>
        <v>#REF!</v>
      </c>
      <c r="CR189" t="e">
        <f t="shared" si="150"/>
        <v>#REF!</v>
      </c>
      <c r="CS189" t="e">
        <f t="shared" si="150"/>
        <v>#REF!</v>
      </c>
      <c r="CT189" t="e">
        <f t="shared" si="150"/>
        <v>#REF!</v>
      </c>
      <c r="CU189" t="e">
        <f t="shared" si="150"/>
        <v>#REF!</v>
      </c>
      <c r="CV189" t="e">
        <f t="shared" si="150"/>
        <v>#REF!</v>
      </c>
      <c r="CW189" t="e">
        <f t="shared" si="150"/>
        <v>#REF!</v>
      </c>
      <c r="CX189" t="e">
        <f t="shared" si="150"/>
        <v>#REF!</v>
      </c>
      <c r="CY189" t="e">
        <f t="shared" si="150"/>
        <v>#REF!</v>
      </c>
      <c r="CZ189" t="e">
        <f t="shared" si="136"/>
        <v>#REF!</v>
      </c>
      <c r="DA189" t="e">
        <f t="shared" si="136"/>
        <v>#REF!</v>
      </c>
      <c r="DB189" t="e">
        <f t="shared" si="136"/>
        <v>#REF!</v>
      </c>
      <c r="DC189" t="e">
        <f t="shared" si="136"/>
        <v>#REF!</v>
      </c>
      <c r="DD189" t="e">
        <f t="shared" si="136"/>
        <v>#REF!</v>
      </c>
      <c r="DE189" t="e">
        <f t="shared" si="136"/>
        <v>#REF!</v>
      </c>
      <c r="DF189" t="e">
        <f t="shared" si="136"/>
        <v>#REF!</v>
      </c>
      <c r="DG189" t="e">
        <f t="shared" si="138"/>
        <v>#REF!</v>
      </c>
      <c r="DH189" t="e">
        <f t="shared" si="138"/>
        <v>#REF!</v>
      </c>
      <c r="DI189" t="e">
        <f t="shared" si="138"/>
        <v>#REF!</v>
      </c>
      <c r="DJ189" t="e">
        <f t="shared" si="138"/>
        <v>#REF!</v>
      </c>
      <c r="DK189" t="e">
        <f t="shared" si="138"/>
        <v>#REF!</v>
      </c>
      <c r="DL189" t="e">
        <f t="shared" si="138"/>
        <v>#REF!</v>
      </c>
      <c r="DM189" t="e">
        <f t="shared" si="138"/>
        <v>#REF!</v>
      </c>
      <c r="DN189" t="e">
        <f t="shared" si="138"/>
        <v>#REF!</v>
      </c>
      <c r="DO189" t="e">
        <f t="shared" si="138"/>
        <v>#REF!</v>
      </c>
      <c r="DP189" t="e">
        <f t="shared" si="138"/>
        <v>#REF!</v>
      </c>
      <c r="DQ189" t="e">
        <f t="shared" si="138"/>
        <v>#REF!</v>
      </c>
      <c r="DR189" t="e">
        <f t="shared" si="138"/>
        <v>#REF!</v>
      </c>
      <c r="DS189" t="e">
        <f t="shared" si="128"/>
        <v>#REF!</v>
      </c>
      <c r="DT189" t="e">
        <f t="shared" si="128"/>
        <v>#REF!</v>
      </c>
      <c r="DU189" t="e">
        <f t="shared" si="128"/>
        <v>#REF!</v>
      </c>
      <c r="DV189" t="e">
        <f t="shared" si="128"/>
        <v>#REF!</v>
      </c>
      <c r="DW189" t="e">
        <f t="shared" si="128"/>
        <v>#REF!</v>
      </c>
      <c r="DX189" t="e">
        <f t="shared" si="128"/>
        <v>#REF!</v>
      </c>
      <c r="DY189" t="e">
        <f t="shared" si="128"/>
        <v>#REF!</v>
      </c>
      <c r="DZ189" t="e">
        <f t="shared" si="128"/>
        <v>#REF!</v>
      </c>
      <c r="EA189" t="e">
        <f t="shared" si="139"/>
        <v>#REF!</v>
      </c>
      <c r="EB189" t="e">
        <f t="shared" si="139"/>
        <v>#REF!</v>
      </c>
      <c r="EC189" t="e">
        <f t="shared" si="139"/>
        <v>#REF!</v>
      </c>
      <c r="ED189" t="e">
        <f t="shared" si="139"/>
        <v>#REF!</v>
      </c>
      <c r="EE189" t="e">
        <f t="shared" si="139"/>
        <v>#REF!</v>
      </c>
      <c r="EF189" t="e">
        <f t="shared" si="139"/>
        <v>#REF!</v>
      </c>
      <c r="EG189" t="e">
        <f t="shared" si="139"/>
        <v>#REF!</v>
      </c>
      <c r="EH189" t="e">
        <f t="shared" si="139"/>
        <v>#REF!</v>
      </c>
      <c r="EI189" t="e">
        <f t="shared" si="139"/>
        <v>#REF!</v>
      </c>
      <c r="EJ189" t="e">
        <f t="shared" si="139"/>
        <v>#REF!</v>
      </c>
      <c r="EK189" t="e">
        <f t="shared" si="139"/>
        <v>#REF!</v>
      </c>
      <c r="EL189" t="e">
        <f t="shared" si="139"/>
        <v>#REF!</v>
      </c>
      <c r="EM189" t="e">
        <f t="shared" si="139"/>
        <v>#REF!</v>
      </c>
    </row>
    <row r="190" spans="1:143" x14ac:dyDescent="0.4">
      <c r="A190" t="str">
        <f t="shared" si="120"/>
        <v>X</v>
      </c>
      <c r="B190">
        <v>187</v>
      </c>
      <c r="C190" t="e" cm="1">
        <f t="array" ref="C190">INDEX(auto_Series_Code,B190)</f>
        <v>#REF!</v>
      </c>
      <c r="D190" t="e">
        <f t="shared" si="142"/>
        <v>#REF!</v>
      </c>
      <c r="E190" t="e">
        <f t="shared" si="142"/>
        <v>#REF!</v>
      </c>
      <c r="F190" t="e">
        <f t="shared" si="142"/>
        <v>#REF!</v>
      </c>
      <c r="G190" t="e">
        <f t="shared" si="142"/>
        <v>#REF!</v>
      </c>
      <c r="H190" t="e">
        <f t="shared" si="142"/>
        <v>#REF!</v>
      </c>
      <c r="I190" t="e">
        <f t="shared" si="142"/>
        <v>#REF!</v>
      </c>
      <c r="J190" t="e">
        <f t="shared" si="142"/>
        <v>#REF!</v>
      </c>
      <c r="K190" t="e">
        <f t="shared" si="142"/>
        <v>#REF!</v>
      </c>
      <c r="L190" t="e">
        <f t="shared" si="142"/>
        <v>#REF!</v>
      </c>
      <c r="M190" t="e">
        <f t="shared" si="142"/>
        <v>#REF!</v>
      </c>
      <c r="N190" t="e">
        <f t="shared" si="142"/>
        <v>#REF!</v>
      </c>
      <c r="O190" t="e">
        <f t="shared" si="142"/>
        <v>#REF!</v>
      </c>
      <c r="P190" t="e">
        <f t="shared" si="142"/>
        <v>#REF!</v>
      </c>
      <c r="Q190" t="e">
        <f t="shared" si="142"/>
        <v>#REF!</v>
      </c>
      <c r="R190" t="e">
        <f t="shared" si="142"/>
        <v>#REF!</v>
      </c>
      <c r="S190" t="e">
        <f t="shared" si="142"/>
        <v>#REF!</v>
      </c>
      <c r="T190" t="e">
        <f t="shared" si="140"/>
        <v>#REF!</v>
      </c>
      <c r="U190" t="e">
        <f t="shared" si="140"/>
        <v>#REF!</v>
      </c>
      <c r="V190" t="e">
        <f t="shared" si="140"/>
        <v>#REF!</v>
      </c>
      <c r="W190" t="e">
        <f t="shared" si="140"/>
        <v>#REF!</v>
      </c>
      <c r="X190" t="e">
        <f t="shared" si="140"/>
        <v>#REF!</v>
      </c>
      <c r="Y190" t="e">
        <f t="shared" si="140"/>
        <v>#REF!</v>
      </c>
      <c r="Z190" t="e">
        <f t="shared" si="140"/>
        <v>#REF!</v>
      </c>
      <c r="AA190" t="e">
        <f t="shared" si="140"/>
        <v>#REF!</v>
      </c>
      <c r="AB190" t="e">
        <f t="shared" si="140"/>
        <v>#REF!</v>
      </c>
      <c r="AC190" t="e">
        <f t="shared" si="140"/>
        <v>#REF!</v>
      </c>
      <c r="AD190" t="e">
        <f t="shared" si="140"/>
        <v>#REF!</v>
      </c>
      <c r="AE190" t="e">
        <f t="shared" si="140"/>
        <v>#REF!</v>
      </c>
      <c r="AF190" t="e">
        <f t="shared" si="140"/>
        <v>#REF!</v>
      </c>
      <c r="AG190" t="e">
        <f t="shared" si="140"/>
        <v>#REF!</v>
      </c>
      <c r="AH190" t="e">
        <f t="shared" si="140"/>
        <v>#REF!</v>
      </c>
      <c r="AI190" t="e">
        <f t="shared" si="144"/>
        <v>#REF!</v>
      </c>
      <c r="AJ190" t="e">
        <f t="shared" si="144"/>
        <v>#REF!</v>
      </c>
      <c r="AK190" t="e">
        <f t="shared" si="144"/>
        <v>#REF!</v>
      </c>
      <c r="AL190" t="e">
        <f t="shared" si="144"/>
        <v>#REF!</v>
      </c>
      <c r="AM190" t="e">
        <f t="shared" si="144"/>
        <v>#REF!</v>
      </c>
      <c r="AN190" t="e">
        <f t="shared" si="144"/>
        <v>#REF!</v>
      </c>
      <c r="AO190" t="e">
        <f t="shared" si="144"/>
        <v>#REF!</v>
      </c>
      <c r="AP190" t="e">
        <f t="shared" si="144"/>
        <v>#REF!</v>
      </c>
      <c r="AQ190" t="e">
        <f t="shared" si="144"/>
        <v>#REF!</v>
      </c>
      <c r="AR190" t="e">
        <f t="shared" si="143"/>
        <v>#REF!</v>
      </c>
      <c r="AS190" t="e">
        <f t="shared" si="143"/>
        <v>#REF!</v>
      </c>
      <c r="AT190" t="e">
        <f t="shared" si="143"/>
        <v>#REF!</v>
      </c>
      <c r="AU190" t="e">
        <f t="shared" si="143"/>
        <v>#REF!</v>
      </c>
      <c r="AV190" t="e">
        <f t="shared" si="143"/>
        <v>#REF!</v>
      </c>
      <c r="AW190" t="e">
        <f t="shared" si="143"/>
        <v>#REF!</v>
      </c>
      <c r="AX190" t="e">
        <f t="shared" si="143"/>
        <v>#REF!</v>
      </c>
      <c r="AY190" t="e">
        <f t="shared" si="143"/>
        <v>#REF!</v>
      </c>
      <c r="AZ190" t="e">
        <f t="shared" si="143"/>
        <v>#REF!</v>
      </c>
      <c r="BA190" t="e">
        <f t="shared" si="143"/>
        <v>#REF!</v>
      </c>
      <c r="BB190" t="e">
        <f t="shared" si="143"/>
        <v>#REF!</v>
      </c>
      <c r="BC190" t="e">
        <f t="shared" si="143"/>
        <v>#REF!</v>
      </c>
      <c r="BD190" t="e">
        <f t="shared" si="143"/>
        <v>#REF!</v>
      </c>
      <c r="BE190" t="e">
        <f t="shared" si="143"/>
        <v>#REF!</v>
      </c>
      <c r="BF190" t="e">
        <f t="shared" si="143"/>
        <v>#REF!</v>
      </c>
      <c r="BG190" t="e">
        <f t="shared" si="149"/>
        <v>#REF!</v>
      </c>
      <c r="BH190" t="e">
        <f t="shared" si="149"/>
        <v>#REF!</v>
      </c>
      <c r="BI190" t="e">
        <f t="shared" si="149"/>
        <v>#REF!</v>
      </c>
      <c r="BJ190" t="e">
        <f t="shared" si="149"/>
        <v>#REF!</v>
      </c>
      <c r="BK190" t="e">
        <f t="shared" si="149"/>
        <v>#REF!</v>
      </c>
      <c r="BL190" t="e">
        <f t="shared" si="134"/>
        <v>#REF!</v>
      </c>
      <c r="BM190" t="e">
        <f t="shared" si="134"/>
        <v>#REF!</v>
      </c>
      <c r="BN190" t="e">
        <f t="shared" si="134"/>
        <v>#REF!</v>
      </c>
      <c r="BO190" t="e">
        <f t="shared" si="134"/>
        <v>#REF!</v>
      </c>
      <c r="BP190" t="e">
        <f t="shared" si="134"/>
        <v>#REF!</v>
      </c>
      <c r="BQ190" t="e">
        <f t="shared" si="134"/>
        <v>#REF!</v>
      </c>
      <c r="BR190" t="e">
        <f t="shared" si="134"/>
        <v>#REF!</v>
      </c>
      <c r="BS190" t="e">
        <f t="shared" si="134"/>
        <v>#REF!</v>
      </c>
      <c r="BT190" t="e">
        <f t="shared" si="134"/>
        <v>#REF!</v>
      </c>
      <c r="BU190" t="e">
        <f t="shared" si="134"/>
        <v>#REF!</v>
      </c>
      <c r="BV190" t="e">
        <f t="shared" si="134"/>
        <v>#REF!</v>
      </c>
      <c r="BW190" t="e">
        <f t="shared" si="147"/>
        <v>#REF!</v>
      </c>
      <c r="BX190" t="e">
        <f t="shared" si="147"/>
        <v>#REF!</v>
      </c>
      <c r="BY190" t="e">
        <f t="shared" si="147"/>
        <v>#REF!</v>
      </c>
      <c r="BZ190" t="e">
        <f t="shared" si="147"/>
        <v>#REF!</v>
      </c>
      <c r="CA190" t="e">
        <f t="shared" si="147"/>
        <v>#REF!</v>
      </c>
      <c r="CB190" t="e">
        <f t="shared" si="147"/>
        <v>#REF!</v>
      </c>
      <c r="CC190" t="e">
        <f t="shared" si="147"/>
        <v>#REF!</v>
      </c>
      <c r="CD190" t="e">
        <f t="shared" si="147"/>
        <v>#REF!</v>
      </c>
      <c r="CE190" t="e">
        <f t="shared" si="147"/>
        <v>#REF!</v>
      </c>
      <c r="CF190" t="e">
        <f t="shared" si="147"/>
        <v>#REF!</v>
      </c>
      <c r="CG190" t="e">
        <f t="shared" si="147"/>
        <v>#REF!</v>
      </c>
      <c r="CH190" t="e">
        <f t="shared" si="147"/>
        <v>#REF!</v>
      </c>
      <c r="CI190" t="e">
        <f t="shared" si="147"/>
        <v>#REF!</v>
      </c>
      <c r="CJ190" t="e">
        <f t="shared" si="147"/>
        <v>#REF!</v>
      </c>
      <c r="CK190" t="e">
        <f t="shared" si="147"/>
        <v>#REF!</v>
      </c>
      <c r="CL190" t="e">
        <f t="shared" si="147"/>
        <v>#REF!</v>
      </c>
      <c r="CM190" t="e">
        <f t="shared" si="150"/>
        <v>#REF!</v>
      </c>
      <c r="CN190" t="e">
        <f t="shared" si="150"/>
        <v>#REF!</v>
      </c>
      <c r="CO190" t="e">
        <f t="shared" si="150"/>
        <v>#REF!</v>
      </c>
      <c r="CP190" t="e">
        <f t="shared" si="150"/>
        <v>#REF!</v>
      </c>
      <c r="CQ190" t="e">
        <f t="shared" si="150"/>
        <v>#REF!</v>
      </c>
      <c r="CR190" t="e">
        <f t="shared" si="150"/>
        <v>#REF!</v>
      </c>
      <c r="CS190" t="e">
        <f t="shared" si="150"/>
        <v>#REF!</v>
      </c>
      <c r="CT190" t="e">
        <f t="shared" si="150"/>
        <v>#REF!</v>
      </c>
      <c r="CU190" t="e">
        <f t="shared" si="150"/>
        <v>#REF!</v>
      </c>
      <c r="CV190" t="e">
        <f t="shared" si="150"/>
        <v>#REF!</v>
      </c>
      <c r="CW190" t="e">
        <f t="shared" si="150"/>
        <v>#REF!</v>
      </c>
      <c r="CX190" t="e">
        <f t="shared" si="150"/>
        <v>#REF!</v>
      </c>
      <c r="CY190" t="e">
        <f t="shared" si="150"/>
        <v>#REF!</v>
      </c>
      <c r="CZ190" t="e">
        <f t="shared" si="136"/>
        <v>#REF!</v>
      </c>
      <c r="DA190" t="e">
        <f t="shared" si="136"/>
        <v>#REF!</v>
      </c>
      <c r="DB190" t="e">
        <f t="shared" si="136"/>
        <v>#REF!</v>
      </c>
      <c r="DC190" t="e">
        <f t="shared" si="136"/>
        <v>#REF!</v>
      </c>
      <c r="DD190" t="e">
        <f t="shared" si="136"/>
        <v>#REF!</v>
      </c>
      <c r="DE190" t="e">
        <f t="shared" si="136"/>
        <v>#REF!</v>
      </c>
      <c r="DF190" t="e">
        <f t="shared" si="136"/>
        <v>#REF!</v>
      </c>
      <c r="DG190" t="e">
        <f t="shared" si="138"/>
        <v>#REF!</v>
      </c>
      <c r="DH190" t="e">
        <f t="shared" si="138"/>
        <v>#REF!</v>
      </c>
      <c r="DI190" t="e">
        <f t="shared" si="138"/>
        <v>#REF!</v>
      </c>
      <c r="DJ190" t="e">
        <f t="shared" si="138"/>
        <v>#REF!</v>
      </c>
      <c r="DK190" t="e">
        <f t="shared" si="138"/>
        <v>#REF!</v>
      </c>
      <c r="DL190" t="e">
        <f t="shared" si="138"/>
        <v>#REF!</v>
      </c>
      <c r="DM190" t="e">
        <f t="shared" si="138"/>
        <v>#REF!</v>
      </c>
      <c r="DN190" t="e">
        <f t="shared" si="138"/>
        <v>#REF!</v>
      </c>
      <c r="DO190" t="e">
        <f t="shared" si="138"/>
        <v>#REF!</v>
      </c>
      <c r="DP190" t="e">
        <f t="shared" si="138"/>
        <v>#REF!</v>
      </c>
      <c r="DQ190" t="e">
        <f t="shared" si="138"/>
        <v>#REF!</v>
      </c>
      <c r="DR190" t="e">
        <f t="shared" si="138"/>
        <v>#REF!</v>
      </c>
      <c r="DS190" t="e">
        <f t="shared" si="128"/>
        <v>#REF!</v>
      </c>
      <c r="DT190" t="e">
        <f t="shared" si="128"/>
        <v>#REF!</v>
      </c>
      <c r="DU190" t="e">
        <f t="shared" si="128"/>
        <v>#REF!</v>
      </c>
      <c r="DV190" t="e">
        <f t="shared" si="128"/>
        <v>#REF!</v>
      </c>
      <c r="DW190" t="e">
        <f t="shared" si="128"/>
        <v>#REF!</v>
      </c>
      <c r="DX190" t="e">
        <f t="shared" si="128"/>
        <v>#REF!</v>
      </c>
      <c r="DY190" t="e">
        <f t="shared" ref="DY190:EM208" si="151">MATCH(CONCATENATE(DY$3,"_",$C190),auto_DataFlat_UID,0)</f>
        <v>#REF!</v>
      </c>
      <c r="DZ190" t="e">
        <f t="shared" si="151"/>
        <v>#REF!</v>
      </c>
      <c r="EA190" t="e">
        <f t="shared" si="151"/>
        <v>#REF!</v>
      </c>
      <c r="EB190" t="e">
        <f t="shared" si="151"/>
        <v>#REF!</v>
      </c>
      <c r="EC190" t="e">
        <f t="shared" si="151"/>
        <v>#REF!</v>
      </c>
      <c r="ED190" t="e">
        <f t="shared" si="151"/>
        <v>#REF!</v>
      </c>
      <c r="EE190" t="e">
        <f t="shared" si="151"/>
        <v>#REF!</v>
      </c>
      <c r="EF190" t="e">
        <f t="shared" si="151"/>
        <v>#REF!</v>
      </c>
      <c r="EG190" t="e">
        <f t="shared" si="151"/>
        <v>#REF!</v>
      </c>
      <c r="EH190" t="e">
        <f t="shared" si="151"/>
        <v>#REF!</v>
      </c>
      <c r="EI190" t="e">
        <f t="shared" si="151"/>
        <v>#REF!</v>
      </c>
      <c r="EJ190" t="e">
        <f t="shared" si="151"/>
        <v>#REF!</v>
      </c>
      <c r="EK190" t="e">
        <f t="shared" si="151"/>
        <v>#REF!</v>
      </c>
      <c r="EL190" t="e">
        <f t="shared" si="151"/>
        <v>#REF!</v>
      </c>
      <c r="EM190" t="e">
        <f t="shared" si="151"/>
        <v>#REF!</v>
      </c>
    </row>
    <row r="191" spans="1:143" x14ac:dyDescent="0.4">
      <c r="A191" t="str">
        <f t="shared" si="120"/>
        <v>X</v>
      </c>
      <c r="B191">
        <v>188</v>
      </c>
      <c r="C191" t="e" cm="1">
        <f t="array" ref="C191">INDEX(auto_Series_Code,B191)</f>
        <v>#REF!</v>
      </c>
      <c r="D191" t="e">
        <f t="shared" si="142"/>
        <v>#REF!</v>
      </c>
      <c r="E191" t="e">
        <f t="shared" si="142"/>
        <v>#REF!</v>
      </c>
      <c r="F191" t="e">
        <f t="shared" si="142"/>
        <v>#REF!</v>
      </c>
      <c r="G191" t="e">
        <f t="shared" si="142"/>
        <v>#REF!</v>
      </c>
      <c r="H191" t="e">
        <f t="shared" si="142"/>
        <v>#REF!</v>
      </c>
      <c r="I191" t="e">
        <f t="shared" si="142"/>
        <v>#REF!</v>
      </c>
      <c r="J191" t="e">
        <f t="shared" si="142"/>
        <v>#REF!</v>
      </c>
      <c r="K191" t="e">
        <f t="shared" si="142"/>
        <v>#REF!</v>
      </c>
      <c r="L191" t="e">
        <f t="shared" si="142"/>
        <v>#REF!</v>
      </c>
      <c r="M191" t="e">
        <f t="shared" si="142"/>
        <v>#REF!</v>
      </c>
      <c r="N191" t="e">
        <f t="shared" si="142"/>
        <v>#REF!</v>
      </c>
      <c r="O191" t="e">
        <f t="shared" si="142"/>
        <v>#REF!</v>
      </c>
      <c r="P191" t="e">
        <f t="shared" si="142"/>
        <v>#REF!</v>
      </c>
      <c r="Q191" t="e">
        <f t="shared" si="142"/>
        <v>#REF!</v>
      </c>
      <c r="R191" t="e">
        <f t="shared" si="142"/>
        <v>#REF!</v>
      </c>
      <c r="S191" t="e">
        <f t="shared" si="142"/>
        <v>#REF!</v>
      </c>
      <c r="T191" t="e">
        <f t="shared" si="140"/>
        <v>#REF!</v>
      </c>
      <c r="U191" t="e">
        <f t="shared" si="140"/>
        <v>#REF!</v>
      </c>
      <c r="V191" t="e">
        <f t="shared" si="140"/>
        <v>#REF!</v>
      </c>
      <c r="W191" t="e">
        <f t="shared" si="140"/>
        <v>#REF!</v>
      </c>
      <c r="X191" t="e">
        <f t="shared" si="140"/>
        <v>#REF!</v>
      </c>
      <c r="Y191" t="e">
        <f t="shared" si="140"/>
        <v>#REF!</v>
      </c>
      <c r="Z191" t="e">
        <f t="shared" si="140"/>
        <v>#REF!</v>
      </c>
      <c r="AA191" t="e">
        <f t="shared" si="140"/>
        <v>#REF!</v>
      </c>
      <c r="AB191" t="e">
        <f t="shared" si="140"/>
        <v>#REF!</v>
      </c>
      <c r="AC191" t="e">
        <f t="shared" si="140"/>
        <v>#REF!</v>
      </c>
      <c r="AD191" t="e">
        <f t="shared" si="140"/>
        <v>#REF!</v>
      </c>
      <c r="AE191" t="e">
        <f t="shared" si="140"/>
        <v>#REF!</v>
      </c>
      <c r="AF191" t="e">
        <f t="shared" si="140"/>
        <v>#REF!</v>
      </c>
      <c r="AG191" t="e">
        <f t="shared" si="140"/>
        <v>#REF!</v>
      </c>
      <c r="AH191" t="e">
        <f t="shared" si="140"/>
        <v>#REF!</v>
      </c>
      <c r="AI191" t="e">
        <f t="shared" si="144"/>
        <v>#REF!</v>
      </c>
      <c r="AJ191" t="e">
        <f t="shared" si="144"/>
        <v>#REF!</v>
      </c>
      <c r="AK191" t="e">
        <f t="shared" si="144"/>
        <v>#REF!</v>
      </c>
      <c r="AL191" t="e">
        <f t="shared" si="144"/>
        <v>#REF!</v>
      </c>
      <c r="AM191" t="e">
        <f t="shared" si="144"/>
        <v>#REF!</v>
      </c>
      <c r="AN191" t="e">
        <f t="shared" si="144"/>
        <v>#REF!</v>
      </c>
      <c r="AO191" t="e">
        <f t="shared" si="144"/>
        <v>#REF!</v>
      </c>
      <c r="AP191" t="e">
        <f t="shared" si="144"/>
        <v>#REF!</v>
      </c>
      <c r="AQ191" t="e">
        <f t="shared" si="144"/>
        <v>#REF!</v>
      </c>
      <c r="AR191" t="e">
        <f t="shared" si="143"/>
        <v>#REF!</v>
      </c>
      <c r="AS191" t="e">
        <f t="shared" si="143"/>
        <v>#REF!</v>
      </c>
      <c r="AT191" t="e">
        <f t="shared" si="143"/>
        <v>#REF!</v>
      </c>
      <c r="AU191" t="e">
        <f t="shared" si="143"/>
        <v>#REF!</v>
      </c>
      <c r="AV191" t="e">
        <f t="shared" si="143"/>
        <v>#REF!</v>
      </c>
      <c r="AW191" t="e">
        <f t="shared" si="143"/>
        <v>#REF!</v>
      </c>
      <c r="AX191" t="e">
        <f t="shared" si="143"/>
        <v>#REF!</v>
      </c>
      <c r="AY191" t="e">
        <f t="shared" si="143"/>
        <v>#REF!</v>
      </c>
      <c r="AZ191" t="e">
        <f t="shared" si="143"/>
        <v>#REF!</v>
      </c>
      <c r="BA191" t="e">
        <f t="shared" si="143"/>
        <v>#REF!</v>
      </c>
      <c r="BB191" t="e">
        <f t="shared" si="143"/>
        <v>#REF!</v>
      </c>
      <c r="BC191" t="e">
        <f t="shared" si="143"/>
        <v>#REF!</v>
      </c>
      <c r="BD191" t="e">
        <f t="shared" si="143"/>
        <v>#REF!</v>
      </c>
      <c r="BE191" t="e">
        <f t="shared" si="143"/>
        <v>#REF!</v>
      </c>
      <c r="BF191" t="e">
        <f t="shared" si="143"/>
        <v>#REF!</v>
      </c>
      <c r="BG191" t="e">
        <f t="shared" si="149"/>
        <v>#REF!</v>
      </c>
      <c r="BH191" t="e">
        <f t="shared" si="149"/>
        <v>#REF!</v>
      </c>
      <c r="BI191" t="e">
        <f t="shared" si="149"/>
        <v>#REF!</v>
      </c>
      <c r="BJ191" t="e">
        <f t="shared" si="149"/>
        <v>#REF!</v>
      </c>
      <c r="BK191" t="e">
        <f t="shared" si="149"/>
        <v>#REF!</v>
      </c>
      <c r="BL191" t="e">
        <f t="shared" si="134"/>
        <v>#REF!</v>
      </c>
      <c r="BM191" t="e">
        <f t="shared" si="134"/>
        <v>#REF!</v>
      </c>
      <c r="BN191" t="e">
        <f t="shared" si="134"/>
        <v>#REF!</v>
      </c>
      <c r="BO191" t="e">
        <f t="shared" si="134"/>
        <v>#REF!</v>
      </c>
      <c r="BP191" t="e">
        <f t="shared" si="134"/>
        <v>#REF!</v>
      </c>
      <c r="BQ191" t="e">
        <f t="shared" si="134"/>
        <v>#REF!</v>
      </c>
      <c r="BR191" t="e">
        <f t="shared" si="134"/>
        <v>#REF!</v>
      </c>
      <c r="BS191" t="e">
        <f t="shared" si="134"/>
        <v>#REF!</v>
      </c>
      <c r="BT191" t="e">
        <f t="shared" si="134"/>
        <v>#REF!</v>
      </c>
      <c r="BU191" t="e">
        <f t="shared" si="134"/>
        <v>#REF!</v>
      </c>
      <c r="BV191" t="e">
        <f t="shared" si="134"/>
        <v>#REF!</v>
      </c>
      <c r="BW191" t="e">
        <f t="shared" si="147"/>
        <v>#REF!</v>
      </c>
      <c r="BX191" t="e">
        <f t="shared" si="147"/>
        <v>#REF!</v>
      </c>
      <c r="BY191" t="e">
        <f t="shared" si="147"/>
        <v>#REF!</v>
      </c>
      <c r="BZ191" t="e">
        <f t="shared" si="147"/>
        <v>#REF!</v>
      </c>
      <c r="CA191" t="e">
        <f t="shared" si="147"/>
        <v>#REF!</v>
      </c>
      <c r="CB191" t="e">
        <f t="shared" si="147"/>
        <v>#REF!</v>
      </c>
      <c r="CC191" t="e">
        <f t="shared" si="147"/>
        <v>#REF!</v>
      </c>
      <c r="CD191" t="e">
        <f t="shared" si="147"/>
        <v>#REF!</v>
      </c>
      <c r="CE191" t="e">
        <f t="shared" si="147"/>
        <v>#REF!</v>
      </c>
      <c r="CF191" t="e">
        <f t="shared" si="147"/>
        <v>#REF!</v>
      </c>
      <c r="CG191" t="e">
        <f t="shared" si="147"/>
        <v>#REF!</v>
      </c>
      <c r="CH191" t="e">
        <f t="shared" si="147"/>
        <v>#REF!</v>
      </c>
      <c r="CI191" t="e">
        <f t="shared" si="147"/>
        <v>#REF!</v>
      </c>
      <c r="CJ191" t="e">
        <f t="shared" si="147"/>
        <v>#REF!</v>
      </c>
      <c r="CK191" t="e">
        <f t="shared" si="147"/>
        <v>#REF!</v>
      </c>
      <c r="CL191" t="e">
        <f t="shared" si="147"/>
        <v>#REF!</v>
      </c>
      <c r="CM191" t="e">
        <f t="shared" si="150"/>
        <v>#REF!</v>
      </c>
      <c r="CN191" t="e">
        <f t="shared" si="150"/>
        <v>#REF!</v>
      </c>
      <c r="CO191" t="e">
        <f t="shared" si="150"/>
        <v>#REF!</v>
      </c>
      <c r="CP191" t="e">
        <f t="shared" si="150"/>
        <v>#REF!</v>
      </c>
      <c r="CQ191" t="e">
        <f t="shared" si="150"/>
        <v>#REF!</v>
      </c>
      <c r="CR191" t="e">
        <f t="shared" si="150"/>
        <v>#REF!</v>
      </c>
      <c r="CS191" t="e">
        <f t="shared" si="150"/>
        <v>#REF!</v>
      </c>
      <c r="CT191" t="e">
        <f t="shared" si="150"/>
        <v>#REF!</v>
      </c>
      <c r="CU191" t="e">
        <f t="shared" si="150"/>
        <v>#REF!</v>
      </c>
      <c r="CV191" t="e">
        <f t="shared" si="150"/>
        <v>#REF!</v>
      </c>
      <c r="CW191" t="e">
        <f t="shared" si="150"/>
        <v>#REF!</v>
      </c>
      <c r="CX191" t="e">
        <f t="shared" si="150"/>
        <v>#REF!</v>
      </c>
      <c r="CY191" t="e">
        <f t="shared" si="150"/>
        <v>#REF!</v>
      </c>
      <c r="CZ191" t="e">
        <f t="shared" si="136"/>
        <v>#REF!</v>
      </c>
      <c r="DA191" t="e">
        <f t="shared" si="136"/>
        <v>#REF!</v>
      </c>
      <c r="DB191" t="e">
        <f t="shared" si="136"/>
        <v>#REF!</v>
      </c>
      <c r="DC191" t="e">
        <f t="shared" si="136"/>
        <v>#REF!</v>
      </c>
      <c r="DD191" t="e">
        <f t="shared" si="136"/>
        <v>#REF!</v>
      </c>
      <c r="DE191" t="e">
        <f t="shared" si="136"/>
        <v>#REF!</v>
      </c>
      <c r="DF191" t="e">
        <f t="shared" si="136"/>
        <v>#REF!</v>
      </c>
      <c r="DG191" t="e">
        <f t="shared" si="138"/>
        <v>#REF!</v>
      </c>
      <c r="DH191" t="e">
        <f t="shared" si="138"/>
        <v>#REF!</v>
      </c>
      <c r="DI191" t="e">
        <f t="shared" si="138"/>
        <v>#REF!</v>
      </c>
      <c r="DJ191" t="e">
        <f t="shared" si="138"/>
        <v>#REF!</v>
      </c>
      <c r="DK191" t="e">
        <f t="shared" si="138"/>
        <v>#REF!</v>
      </c>
      <c r="DL191" t="e">
        <f t="shared" si="138"/>
        <v>#REF!</v>
      </c>
      <c r="DM191" t="e">
        <f t="shared" si="138"/>
        <v>#REF!</v>
      </c>
      <c r="DN191" t="e">
        <f t="shared" si="138"/>
        <v>#REF!</v>
      </c>
      <c r="DO191" t="e">
        <f t="shared" si="138"/>
        <v>#REF!</v>
      </c>
      <c r="DP191" t="e">
        <f t="shared" si="138"/>
        <v>#REF!</v>
      </c>
      <c r="DQ191" t="e">
        <f t="shared" si="138"/>
        <v>#REF!</v>
      </c>
      <c r="DR191" t="e">
        <f t="shared" si="138"/>
        <v>#REF!</v>
      </c>
      <c r="DS191" t="e">
        <f t="shared" ref="DS191:DY196" si="152">MATCH(CONCATENATE(DS$3,"_",$C191),auto_DataFlat_UID,0)</f>
        <v>#REF!</v>
      </c>
      <c r="DT191" t="e">
        <f t="shared" si="152"/>
        <v>#REF!</v>
      </c>
      <c r="DU191" t="e">
        <f t="shared" si="152"/>
        <v>#REF!</v>
      </c>
      <c r="DV191" t="e">
        <f t="shared" si="152"/>
        <v>#REF!</v>
      </c>
      <c r="DW191" t="e">
        <f t="shared" si="152"/>
        <v>#REF!</v>
      </c>
      <c r="DX191" t="e">
        <f t="shared" si="152"/>
        <v>#REF!</v>
      </c>
      <c r="DY191" t="e">
        <f t="shared" si="152"/>
        <v>#REF!</v>
      </c>
      <c r="DZ191" t="e">
        <f t="shared" si="151"/>
        <v>#REF!</v>
      </c>
      <c r="EA191" t="e">
        <f t="shared" si="151"/>
        <v>#REF!</v>
      </c>
      <c r="EB191" t="e">
        <f t="shared" si="151"/>
        <v>#REF!</v>
      </c>
      <c r="EC191" t="e">
        <f t="shared" si="151"/>
        <v>#REF!</v>
      </c>
      <c r="ED191" t="e">
        <f t="shared" si="151"/>
        <v>#REF!</v>
      </c>
      <c r="EE191" t="e">
        <f t="shared" si="151"/>
        <v>#REF!</v>
      </c>
      <c r="EF191" t="e">
        <f t="shared" si="151"/>
        <v>#REF!</v>
      </c>
      <c r="EG191" t="e">
        <f t="shared" si="151"/>
        <v>#REF!</v>
      </c>
      <c r="EH191" t="e">
        <f t="shared" si="151"/>
        <v>#REF!</v>
      </c>
      <c r="EI191" t="e">
        <f t="shared" si="151"/>
        <v>#REF!</v>
      </c>
      <c r="EJ191" t="e">
        <f t="shared" si="151"/>
        <v>#REF!</v>
      </c>
      <c r="EK191" t="e">
        <f t="shared" si="151"/>
        <v>#REF!</v>
      </c>
      <c r="EL191" t="e">
        <f t="shared" si="151"/>
        <v>#REF!</v>
      </c>
      <c r="EM191" t="e">
        <f t="shared" si="151"/>
        <v>#REF!</v>
      </c>
    </row>
    <row r="192" spans="1:143" x14ac:dyDescent="0.4">
      <c r="A192" t="str">
        <f t="shared" si="120"/>
        <v>X</v>
      </c>
      <c r="B192">
        <v>189</v>
      </c>
      <c r="C192" t="e" cm="1">
        <f t="array" ref="C192">INDEX(auto_Series_Code,B192)</f>
        <v>#REF!</v>
      </c>
      <c r="D192" t="e">
        <f t="shared" si="142"/>
        <v>#REF!</v>
      </c>
      <c r="E192" t="e">
        <f t="shared" si="142"/>
        <v>#REF!</v>
      </c>
      <c r="F192" t="e">
        <f t="shared" si="142"/>
        <v>#REF!</v>
      </c>
      <c r="G192" t="e">
        <f t="shared" si="142"/>
        <v>#REF!</v>
      </c>
      <c r="H192" t="e">
        <f t="shared" si="142"/>
        <v>#REF!</v>
      </c>
      <c r="I192" t="e">
        <f t="shared" si="142"/>
        <v>#REF!</v>
      </c>
      <c r="J192" t="e">
        <f t="shared" si="142"/>
        <v>#REF!</v>
      </c>
      <c r="K192" t="e">
        <f t="shared" si="142"/>
        <v>#REF!</v>
      </c>
      <c r="L192" t="e">
        <f t="shared" si="142"/>
        <v>#REF!</v>
      </c>
      <c r="M192" t="e">
        <f t="shared" si="142"/>
        <v>#REF!</v>
      </c>
      <c r="N192" t="e">
        <f t="shared" si="142"/>
        <v>#REF!</v>
      </c>
      <c r="O192" t="e">
        <f t="shared" si="142"/>
        <v>#REF!</v>
      </c>
      <c r="P192" t="e">
        <f t="shared" si="142"/>
        <v>#REF!</v>
      </c>
      <c r="Q192" t="e">
        <f t="shared" si="142"/>
        <v>#REF!</v>
      </c>
      <c r="R192" t="e">
        <f t="shared" si="142"/>
        <v>#REF!</v>
      </c>
      <c r="S192" t="e">
        <f t="shared" si="142"/>
        <v>#REF!</v>
      </c>
      <c r="T192" t="e">
        <f t="shared" si="140"/>
        <v>#REF!</v>
      </c>
      <c r="U192" t="e">
        <f t="shared" si="140"/>
        <v>#REF!</v>
      </c>
      <c r="V192" t="e">
        <f t="shared" si="140"/>
        <v>#REF!</v>
      </c>
      <c r="W192" t="e">
        <f t="shared" si="140"/>
        <v>#REF!</v>
      </c>
      <c r="X192" t="e">
        <f t="shared" si="140"/>
        <v>#REF!</v>
      </c>
      <c r="Y192" t="e">
        <f t="shared" si="140"/>
        <v>#REF!</v>
      </c>
      <c r="Z192" t="e">
        <f t="shared" si="140"/>
        <v>#REF!</v>
      </c>
      <c r="AA192" t="e">
        <f t="shared" si="140"/>
        <v>#REF!</v>
      </c>
      <c r="AB192" t="e">
        <f t="shared" si="140"/>
        <v>#REF!</v>
      </c>
      <c r="AC192" t="e">
        <f t="shared" si="140"/>
        <v>#REF!</v>
      </c>
      <c r="AD192" t="e">
        <f t="shared" si="140"/>
        <v>#REF!</v>
      </c>
      <c r="AE192" t="e">
        <f t="shared" si="140"/>
        <v>#REF!</v>
      </c>
      <c r="AF192" t="e">
        <f t="shared" si="140"/>
        <v>#REF!</v>
      </c>
      <c r="AG192" t="e">
        <f t="shared" si="140"/>
        <v>#REF!</v>
      </c>
      <c r="AH192" t="e">
        <f t="shared" si="140"/>
        <v>#REF!</v>
      </c>
      <c r="AI192" t="e">
        <f t="shared" si="144"/>
        <v>#REF!</v>
      </c>
      <c r="AJ192" t="e">
        <f t="shared" si="144"/>
        <v>#REF!</v>
      </c>
      <c r="AK192" t="e">
        <f t="shared" si="144"/>
        <v>#REF!</v>
      </c>
      <c r="AL192" t="e">
        <f t="shared" si="144"/>
        <v>#REF!</v>
      </c>
      <c r="AM192" t="e">
        <f t="shared" si="144"/>
        <v>#REF!</v>
      </c>
      <c r="AN192" t="e">
        <f t="shared" si="144"/>
        <v>#REF!</v>
      </c>
      <c r="AO192" t="e">
        <f t="shared" si="144"/>
        <v>#REF!</v>
      </c>
      <c r="AP192" t="e">
        <f t="shared" si="144"/>
        <v>#REF!</v>
      </c>
      <c r="AQ192" t="e">
        <f t="shared" si="144"/>
        <v>#REF!</v>
      </c>
      <c r="AR192" t="e">
        <f t="shared" si="143"/>
        <v>#REF!</v>
      </c>
      <c r="AS192" t="e">
        <f t="shared" si="143"/>
        <v>#REF!</v>
      </c>
      <c r="AT192" t="e">
        <f t="shared" si="143"/>
        <v>#REF!</v>
      </c>
      <c r="AU192" t="e">
        <f t="shared" si="143"/>
        <v>#REF!</v>
      </c>
      <c r="AV192" t="e">
        <f t="shared" si="143"/>
        <v>#REF!</v>
      </c>
      <c r="AW192" t="e">
        <f t="shared" si="143"/>
        <v>#REF!</v>
      </c>
      <c r="AX192" t="e">
        <f t="shared" si="143"/>
        <v>#REF!</v>
      </c>
      <c r="AY192" t="e">
        <f t="shared" si="143"/>
        <v>#REF!</v>
      </c>
      <c r="AZ192" t="e">
        <f t="shared" si="143"/>
        <v>#REF!</v>
      </c>
      <c r="BA192" t="e">
        <f t="shared" si="143"/>
        <v>#REF!</v>
      </c>
      <c r="BB192" t="e">
        <f t="shared" si="143"/>
        <v>#REF!</v>
      </c>
      <c r="BC192" t="e">
        <f t="shared" si="143"/>
        <v>#REF!</v>
      </c>
      <c r="BD192" t="e">
        <f t="shared" si="143"/>
        <v>#REF!</v>
      </c>
      <c r="BE192" t="e">
        <f t="shared" si="143"/>
        <v>#REF!</v>
      </c>
      <c r="BF192" t="e">
        <f t="shared" si="143"/>
        <v>#REF!</v>
      </c>
      <c r="BG192" t="e">
        <f t="shared" si="149"/>
        <v>#REF!</v>
      </c>
      <c r="BH192" t="e">
        <f t="shared" si="149"/>
        <v>#REF!</v>
      </c>
      <c r="BI192" t="e">
        <f t="shared" si="149"/>
        <v>#REF!</v>
      </c>
      <c r="BJ192" t="e">
        <f t="shared" si="149"/>
        <v>#REF!</v>
      </c>
      <c r="BK192" t="e">
        <f t="shared" si="149"/>
        <v>#REF!</v>
      </c>
      <c r="BL192" t="e">
        <f t="shared" si="134"/>
        <v>#REF!</v>
      </c>
      <c r="BM192" t="e">
        <f t="shared" si="134"/>
        <v>#REF!</v>
      </c>
      <c r="BN192" t="e">
        <f t="shared" si="134"/>
        <v>#REF!</v>
      </c>
      <c r="BO192" t="e">
        <f t="shared" si="134"/>
        <v>#REF!</v>
      </c>
      <c r="BP192" t="e">
        <f t="shared" si="134"/>
        <v>#REF!</v>
      </c>
      <c r="BQ192" t="e">
        <f t="shared" si="134"/>
        <v>#REF!</v>
      </c>
      <c r="BR192" t="e">
        <f t="shared" si="134"/>
        <v>#REF!</v>
      </c>
      <c r="BS192" t="e">
        <f t="shared" si="134"/>
        <v>#REF!</v>
      </c>
      <c r="BT192" t="e">
        <f t="shared" si="134"/>
        <v>#REF!</v>
      </c>
      <c r="BU192" t="e">
        <f t="shared" si="134"/>
        <v>#REF!</v>
      </c>
      <c r="BV192" t="e">
        <f t="shared" si="134"/>
        <v>#REF!</v>
      </c>
      <c r="BW192" t="e">
        <f t="shared" si="147"/>
        <v>#REF!</v>
      </c>
      <c r="BX192" t="e">
        <f t="shared" si="147"/>
        <v>#REF!</v>
      </c>
      <c r="BY192" t="e">
        <f t="shared" si="147"/>
        <v>#REF!</v>
      </c>
      <c r="BZ192" t="e">
        <f t="shared" si="147"/>
        <v>#REF!</v>
      </c>
      <c r="CA192" t="e">
        <f t="shared" si="147"/>
        <v>#REF!</v>
      </c>
      <c r="CB192" t="e">
        <f t="shared" si="147"/>
        <v>#REF!</v>
      </c>
      <c r="CC192" t="e">
        <f t="shared" si="147"/>
        <v>#REF!</v>
      </c>
      <c r="CD192" t="e">
        <f t="shared" si="147"/>
        <v>#REF!</v>
      </c>
      <c r="CE192" t="e">
        <f t="shared" si="147"/>
        <v>#REF!</v>
      </c>
      <c r="CF192" t="e">
        <f t="shared" si="147"/>
        <v>#REF!</v>
      </c>
      <c r="CG192" t="e">
        <f t="shared" si="147"/>
        <v>#REF!</v>
      </c>
      <c r="CH192" t="e">
        <f t="shared" si="147"/>
        <v>#REF!</v>
      </c>
      <c r="CI192" t="e">
        <f t="shared" si="147"/>
        <v>#REF!</v>
      </c>
      <c r="CJ192" t="e">
        <f t="shared" si="147"/>
        <v>#REF!</v>
      </c>
      <c r="CK192" t="e">
        <f t="shared" si="147"/>
        <v>#REF!</v>
      </c>
      <c r="CL192" t="e">
        <f t="shared" si="147"/>
        <v>#REF!</v>
      </c>
      <c r="CM192" t="e">
        <f t="shared" si="150"/>
        <v>#REF!</v>
      </c>
      <c r="CN192" t="e">
        <f t="shared" si="150"/>
        <v>#REF!</v>
      </c>
      <c r="CO192" t="e">
        <f t="shared" si="150"/>
        <v>#REF!</v>
      </c>
      <c r="CP192" t="e">
        <f t="shared" si="150"/>
        <v>#REF!</v>
      </c>
      <c r="CQ192" t="e">
        <f t="shared" si="150"/>
        <v>#REF!</v>
      </c>
      <c r="CR192" t="e">
        <f t="shared" si="150"/>
        <v>#REF!</v>
      </c>
      <c r="CS192" t="e">
        <f t="shared" si="150"/>
        <v>#REF!</v>
      </c>
      <c r="CT192" t="e">
        <f t="shared" si="150"/>
        <v>#REF!</v>
      </c>
      <c r="CU192" t="e">
        <f t="shared" si="150"/>
        <v>#REF!</v>
      </c>
      <c r="CV192" t="e">
        <f t="shared" si="150"/>
        <v>#REF!</v>
      </c>
      <c r="CW192" t="e">
        <f t="shared" si="150"/>
        <v>#REF!</v>
      </c>
      <c r="CX192" t="e">
        <f t="shared" si="150"/>
        <v>#REF!</v>
      </c>
      <c r="CY192" t="e">
        <f t="shared" si="150"/>
        <v>#REF!</v>
      </c>
      <c r="CZ192" t="e">
        <f t="shared" si="136"/>
        <v>#REF!</v>
      </c>
      <c r="DA192" t="e">
        <f t="shared" si="136"/>
        <v>#REF!</v>
      </c>
      <c r="DB192" t="e">
        <f t="shared" si="136"/>
        <v>#REF!</v>
      </c>
      <c r="DC192" t="e">
        <f t="shared" si="136"/>
        <v>#REF!</v>
      </c>
      <c r="DD192" t="e">
        <f t="shared" si="136"/>
        <v>#REF!</v>
      </c>
      <c r="DE192" t="e">
        <f t="shared" si="136"/>
        <v>#REF!</v>
      </c>
      <c r="DF192" t="e">
        <f t="shared" si="136"/>
        <v>#REF!</v>
      </c>
      <c r="DG192" t="e">
        <f t="shared" si="138"/>
        <v>#REF!</v>
      </c>
      <c r="DH192" t="e">
        <f t="shared" si="138"/>
        <v>#REF!</v>
      </c>
      <c r="DI192" t="e">
        <f t="shared" si="138"/>
        <v>#REF!</v>
      </c>
      <c r="DJ192" t="e">
        <f t="shared" si="138"/>
        <v>#REF!</v>
      </c>
      <c r="DK192" t="e">
        <f t="shared" si="138"/>
        <v>#REF!</v>
      </c>
      <c r="DL192" t="e">
        <f t="shared" si="138"/>
        <v>#REF!</v>
      </c>
      <c r="DM192" t="e">
        <f t="shared" si="138"/>
        <v>#REF!</v>
      </c>
      <c r="DN192" t="e">
        <f t="shared" si="138"/>
        <v>#REF!</v>
      </c>
      <c r="DO192" t="e">
        <f t="shared" si="138"/>
        <v>#REF!</v>
      </c>
      <c r="DP192" t="e">
        <f t="shared" si="138"/>
        <v>#REF!</v>
      </c>
      <c r="DQ192" t="e">
        <f t="shared" si="138"/>
        <v>#REF!</v>
      </c>
      <c r="DR192" t="e">
        <f t="shared" si="138"/>
        <v>#REF!</v>
      </c>
      <c r="DS192" t="e">
        <f t="shared" si="152"/>
        <v>#REF!</v>
      </c>
      <c r="DT192" t="e">
        <f t="shared" si="152"/>
        <v>#REF!</v>
      </c>
      <c r="DU192" t="e">
        <f t="shared" si="152"/>
        <v>#REF!</v>
      </c>
      <c r="DV192" t="e">
        <f t="shared" si="152"/>
        <v>#REF!</v>
      </c>
      <c r="DW192" t="e">
        <f t="shared" si="152"/>
        <v>#REF!</v>
      </c>
      <c r="DX192" t="e">
        <f t="shared" si="152"/>
        <v>#REF!</v>
      </c>
      <c r="DY192" t="e">
        <f t="shared" si="152"/>
        <v>#REF!</v>
      </c>
      <c r="DZ192" t="e">
        <f t="shared" si="151"/>
        <v>#REF!</v>
      </c>
      <c r="EA192" t="e">
        <f t="shared" si="151"/>
        <v>#REF!</v>
      </c>
      <c r="EB192" t="e">
        <f t="shared" si="151"/>
        <v>#REF!</v>
      </c>
      <c r="EC192" t="e">
        <f t="shared" si="151"/>
        <v>#REF!</v>
      </c>
      <c r="ED192" t="e">
        <f t="shared" si="151"/>
        <v>#REF!</v>
      </c>
      <c r="EE192" t="e">
        <f t="shared" si="151"/>
        <v>#REF!</v>
      </c>
      <c r="EF192" t="e">
        <f t="shared" si="151"/>
        <v>#REF!</v>
      </c>
      <c r="EG192" t="e">
        <f t="shared" si="151"/>
        <v>#REF!</v>
      </c>
      <c r="EH192" t="e">
        <f t="shared" si="151"/>
        <v>#REF!</v>
      </c>
      <c r="EI192" t="e">
        <f t="shared" si="151"/>
        <v>#REF!</v>
      </c>
      <c r="EJ192" t="e">
        <f t="shared" si="151"/>
        <v>#REF!</v>
      </c>
      <c r="EK192" t="e">
        <f t="shared" si="151"/>
        <v>#REF!</v>
      </c>
      <c r="EL192" t="e">
        <f t="shared" si="151"/>
        <v>#REF!</v>
      </c>
      <c r="EM192" t="e">
        <f t="shared" si="151"/>
        <v>#REF!</v>
      </c>
    </row>
    <row r="193" spans="1:143" x14ac:dyDescent="0.4">
      <c r="A193" t="str">
        <f t="shared" si="120"/>
        <v>X</v>
      </c>
      <c r="B193">
        <v>190</v>
      </c>
      <c r="C193" t="e" cm="1">
        <f t="array" ref="C193">INDEX(auto_Series_Code,B193)</f>
        <v>#REF!</v>
      </c>
      <c r="D193" t="e">
        <f t="shared" si="142"/>
        <v>#REF!</v>
      </c>
      <c r="E193" t="e">
        <f t="shared" si="142"/>
        <v>#REF!</v>
      </c>
      <c r="F193" t="e">
        <f t="shared" si="142"/>
        <v>#REF!</v>
      </c>
      <c r="G193" t="e">
        <f t="shared" si="142"/>
        <v>#REF!</v>
      </c>
      <c r="H193" t="e">
        <f t="shared" si="142"/>
        <v>#REF!</v>
      </c>
      <c r="I193" t="e">
        <f t="shared" si="142"/>
        <v>#REF!</v>
      </c>
      <c r="J193" t="e">
        <f t="shared" si="142"/>
        <v>#REF!</v>
      </c>
      <c r="K193" t="e">
        <f t="shared" si="142"/>
        <v>#REF!</v>
      </c>
      <c r="L193" t="e">
        <f t="shared" si="142"/>
        <v>#REF!</v>
      </c>
      <c r="M193" t="e">
        <f t="shared" si="142"/>
        <v>#REF!</v>
      </c>
      <c r="N193" t="e">
        <f t="shared" si="142"/>
        <v>#REF!</v>
      </c>
      <c r="O193" t="e">
        <f t="shared" si="142"/>
        <v>#REF!</v>
      </c>
      <c r="P193" t="e">
        <f t="shared" si="142"/>
        <v>#REF!</v>
      </c>
      <c r="Q193" t="e">
        <f t="shared" si="142"/>
        <v>#REF!</v>
      </c>
      <c r="R193" t="e">
        <f t="shared" si="142"/>
        <v>#REF!</v>
      </c>
      <c r="S193" t="e">
        <f t="shared" si="142"/>
        <v>#REF!</v>
      </c>
      <c r="T193" t="e">
        <f t="shared" si="140"/>
        <v>#REF!</v>
      </c>
      <c r="U193" t="e">
        <f t="shared" si="140"/>
        <v>#REF!</v>
      </c>
      <c r="V193" t="e">
        <f t="shared" si="140"/>
        <v>#REF!</v>
      </c>
      <c r="W193" t="e">
        <f t="shared" si="140"/>
        <v>#REF!</v>
      </c>
      <c r="X193" t="e">
        <f t="shared" si="140"/>
        <v>#REF!</v>
      </c>
      <c r="Y193" t="e">
        <f t="shared" si="140"/>
        <v>#REF!</v>
      </c>
      <c r="Z193" t="e">
        <f t="shared" si="140"/>
        <v>#REF!</v>
      </c>
      <c r="AA193" t="e">
        <f t="shared" si="140"/>
        <v>#REF!</v>
      </c>
      <c r="AB193" t="e">
        <f t="shared" si="140"/>
        <v>#REF!</v>
      </c>
      <c r="AC193" t="e">
        <f t="shared" si="140"/>
        <v>#REF!</v>
      </c>
      <c r="AD193" t="e">
        <f t="shared" si="140"/>
        <v>#REF!</v>
      </c>
      <c r="AE193" t="e">
        <f t="shared" si="140"/>
        <v>#REF!</v>
      </c>
      <c r="AF193" t="e">
        <f t="shared" si="140"/>
        <v>#REF!</v>
      </c>
      <c r="AG193" t="e">
        <f t="shared" si="140"/>
        <v>#REF!</v>
      </c>
      <c r="AH193" t="e">
        <f t="shared" si="140"/>
        <v>#REF!</v>
      </c>
      <c r="AI193" t="e">
        <f t="shared" si="144"/>
        <v>#REF!</v>
      </c>
      <c r="AJ193" t="e">
        <f t="shared" si="144"/>
        <v>#REF!</v>
      </c>
      <c r="AK193" t="e">
        <f t="shared" si="144"/>
        <v>#REF!</v>
      </c>
      <c r="AL193" t="e">
        <f t="shared" si="144"/>
        <v>#REF!</v>
      </c>
      <c r="AM193" t="e">
        <f t="shared" si="144"/>
        <v>#REF!</v>
      </c>
      <c r="AN193" t="e">
        <f t="shared" si="144"/>
        <v>#REF!</v>
      </c>
      <c r="AO193" t="e">
        <f t="shared" si="144"/>
        <v>#REF!</v>
      </c>
      <c r="AP193" t="e">
        <f t="shared" si="144"/>
        <v>#REF!</v>
      </c>
      <c r="AQ193" t="e">
        <f t="shared" si="144"/>
        <v>#REF!</v>
      </c>
      <c r="AR193" t="e">
        <f t="shared" si="143"/>
        <v>#REF!</v>
      </c>
      <c r="AS193" t="e">
        <f t="shared" si="143"/>
        <v>#REF!</v>
      </c>
      <c r="AT193" t="e">
        <f t="shared" si="143"/>
        <v>#REF!</v>
      </c>
      <c r="AU193" t="e">
        <f t="shared" si="143"/>
        <v>#REF!</v>
      </c>
      <c r="AV193" t="e">
        <f t="shared" si="143"/>
        <v>#REF!</v>
      </c>
      <c r="AW193" t="e">
        <f t="shared" si="143"/>
        <v>#REF!</v>
      </c>
      <c r="AX193" t="e">
        <f t="shared" si="143"/>
        <v>#REF!</v>
      </c>
      <c r="AY193" t="e">
        <f t="shared" si="143"/>
        <v>#REF!</v>
      </c>
      <c r="AZ193" t="e">
        <f t="shared" si="143"/>
        <v>#REF!</v>
      </c>
      <c r="BA193" t="e">
        <f t="shared" si="143"/>
        <v>#REF!</v>
      </c>
      <c r="BB193" t="e">
        <f t="shared" si="143"/>
        <v>#REF!</v>
      </c>
      <c r="BC193" t="e">
        <f t="shared" si="143"/>
        <v>#REF!</v>
      </c>
      <c r="BD193" t="e">
        <f t="shared" si="143"/>
        <v>#REF!</v>
      </c>
      <c r="BE193" t="e">
        <f t="shared" si="143"/>
        <v>#REF!</v>
      </c>
      <c r="BF193" t="e">
        <f t="shared" si="143"/>
        <v>#REF!</v>
      </c>
      <c r="BG193" t="e">
        <f t="shared" si="149"/>
        <v>#REF!</v>
      </c>
      <c r="BH193" t="e">
        <f t="shared" si="149"/>
        <v>#REF!</v>
      </c>
      <c r="BI193" t="e">
        <f t="shared" si="149"/>
        <v>#REF!</v>
      </c>
      <c r="BJ193" t="e">
        <f t="shared" si="149"/>
        <v>#REF!</v>
      </c>
      <c r="BK193" t="e">
        <f t="shared" si="149"/>
        <v>#REF!</v>
      </c>
      <c r="BL193" t="e">
        <f t="shared" si="134"/>
        <v>#REF!</v>
      </c>
      <c r="BM193" t="e">
        <f t="shared" si="134"/>
        <v>#REF!</v>
      </c>
      <c r="BN193" t="e">
        <f t="shared" si="134"/>
        <v>#REF!</v>
      </c>
      <c r="BO193" t="e">
        <f t="shared" si="134"/>
        <v>#REF!</v>
      </c>
      <c r="BP193" t="e">
        <f t="shared" si="134"/>
        <v>#REF!</v>
      </c>
      <c r="BQ193" t="e">
        <f t="shared" si="134"/>
        <v>#REF!</v>
      </c>
      <c r="BR193" t="e">
        <f t="shared" si="134"/>
        <v>#REF!</v>
      </c>
      <c r="BS193" t="e">
        <f t="shared" si="134"/>
        <v>#REF!</v>
      </c>
      <c r="BT193" t="e">
        <f t="shared" si="134"/>
        <v>#REF!</v>
      </c>
      <c r="BU193" t="e">
        <f t="shared" si="134"/>
        <v>#REF!</v>
      </c>
      <c r="BV193" t="e">
        <f t="shared" si="134"/>
        <v>#REF!</v>
      </c>
      <c r="BW193" t="e">
        <f t="shared" si="147"/>
        <v>#REF!</v>
      </c>
      <c r="BX193" t="e">
        <f t="shared" si="147"/>
        <v>#REF!</v>
      </c>
      <c r="BY193" t="e">
        <f t="shared" si="147"/>
        <v>#REF!</v>
      </c>
      <c r="BZ193" t="e">
        <f t="shared" si="147"/>
        <v>#REF!</v>
      </c>
      <c r="CA193" t="e">
        <f t="shared" si="147"/>
        <v>#REF!</v>
      </c>
      <c r="CB193" t="e">
        <f t="shared" si="147"/>
        <v>#REF!</v>
      </c>
      <c r="CC193" t="e">
        <f t="shared" si="147"/>
        <v>#REF!</v>
      </c>
      <c r="CD193" t="e">
        <f t="shared" si="147"/>
        <v>#REF!</v>
      </c>
      <c r="CE193" t="e">
        <f t="shared" si="147"/>
        <v>#REF!</v>
      </c>
      <c r="CF193" t="e">
        <f t="shared" si="147"/>
        <v>#REF!</v>
      </c>
      <c r="CG193" t="e">
        <f t="shared" si="147"/>
        <v>#REF!</v>
      </c>
      <c r="CH193" t="e">
        <f t="shared" si="147"/>
        <v>#REF!</v>
      </c>
      <c r="CI193" t="e">
        <f t="shared" si="147"/>
        <v>#REF!</v>
      </c>
      <c r="CJ193" t="e">
        <f t="shared" si="147"/>
        <v>#REF!</v>
      </c>
      <c r="CK193" t="e">
        <f t="shared" si="147"/>
        <v>#REF!</v>
      </c>
      <c r="CL193" t="e">
        <f t="shared" si="147"/>
        <v>#REF!</v>
      </c>
      <c r="CM193" t="e">
        <f t="shared" si="150"/>
        <v>#REF!</v>
      </c>
      <c r="CN193" t="e">
        <f t="shared" si="150"/>
        <v>#REF!</v>
      </c>
      <c r="CO193" t="e">
        <f t="shared" si="150"/>
        <v>#REF!</v>
      </c>
      <c r="CP193" t="e">
        <f t="shared" si="150"/>
        <v>#REF!</v>
      </c>
      <c r="CQ193" t="e">
        <f t="shared" si="150"/>
        <v>#REF!</v>
      </c>
      <c r="CR193" t="e">
        <f t="shared" si="150"/>
        <v>#REF!</v>
      </c>
      <c r="CS193" t="e">
        <f t="shared" si="150"/>
        <v>#REF!</v>
      </c>
      <c r="CT193" t="e">
        <f t="shared" si="150"/>
        <v>#REF!</v>
      </c>
      <c r="CU193" t="e">
        <f t="shared" si="150"/>
        <v>#REF!</v>
      </c>
      <c r="CV193" t="e">
        <f t="shared" si="150"/>
        <v>#REF!</v>
      </c>
      <c r="CW193" t="e">
        <f t="shared" si="150"/>
        <v>#REF!</v>
      </c>
      <c r="CX193" t="e">
        <f t="shared" si="150"/>
        <v>#REF!</v>
      </c>
      <c r="CY193" t="e">
        <f t="shared" si="150"/>
        <v>#REF!</v>
      </c>
      <c r="CZ193" t="e">
        <f t="shared" si="136"/>
        <v>#REF!</v>
      </c>
      <c r="DA193" t="e">
        <f t="shared" si="136"/>
        <v>#REF!</v>
      </c>
      <c r="DB193" t="e">
        <f t="shared" si="136"/>
        <v>#REF!</v>
      </c>
      <c r="DC193" t="e">
        <f t="shared" si="136"/>
        <v>#REF!</v>
      </c>
      <c r="DD193" t="e">
        <f t="shared" si="136"/>
        <v>#REF!</v>
      </c>
      <c r="DE193" t="e">
        <f t="shared" si="136"/>
        <v>#REF!</v>
      </c>
      <c r="DF193" t="e">
        <f t="shared" si="136"/>
        <v>#REF!</v>
      </c>
      <c r="DG193" t="e">
        <f t="shared" si="138"/>
        <v>#REF!</v>
      </c>
      <c r="DH193" t="e">
        <f t="shared" si="138"/>
        <v>#REF!</v>
      </c>
      <c r="DI193" t="e">
        <f t="shared" si="138"/>
        <v>#REF!</v>
      </c>
      <c r="DJ193" t="e">
        <f t="shared" si="138"/>
        <v>#REF!</v>
      </c>
      <c r="DK193" t="e">
        <f t="shared" si="138"/>
        <v>#REF!</v>
      </c>
      <c r="DL193" t="e">
        <f t="shared" si="138"/>
        <v>#REF!</v>
      </c>
      <c r="DM193" t="e">
        <f t="shared" si="138"/>
        <v>#REF!</v>
      </c>
      <c r="DN193" t="e">
        <f t="shared" si="138"/>
        <v>#REF!</v>
      </c>
      <c r="DO193" t="e">
        <f t="shared" si="138"/>
        <v>#REF!</v>
      </c>
      <c r="DP193" t="e">
        <f t="shared" si="138"/>
        <v>#REF!</v>
      </c>
      <c r="DQ193" t="e">
        <f t="shared" si="138"/>
        <v>#REF!</v>
      </c>
      <c r="DR193" t="e">
        <f t="shared" si="138"/>
        <v>#REF!</v>
      </c>
      <c r="DS193" t="e">
        <f t="shared" si="152"/>
        <v>#REF!</v>
      </c>
      <c r="DT193" t="e">
        <f t="shared" si="152"/>
        <v>#REF!</v>
      </c>
      <c r="DU193" t="e">
        <f t="shared" si="152"/>
        <v>#REF!</v>
      </c>
      <c r="DV193" t="e">
        <f t="shared" si="152"/>
        <v>#REF!</v>
      </c>
      <c r="DW193" t="e">
        <f t="shared" si="152"/>
        <v>#REF!</v>
      </c>
      <c r="DX193" t="e">
        <f t="shared" si="152"/>
        <v>#REF!</v>
      </c>
      <c r="DY193" t="e">
        <f t="shared" si="152"/>
        <v>#REF!</v>
      </c>
      <c r="DZ193" t="e">
        <f t="shared" si="151"/>
        <v>#REF!</v>
      </c>
      <c r="EA193" t="e">
        <f t="shared" si="151"/>
        <v>#REF!</v>
      </c>
      <c r="EB193" t="e">
        <f t="shared" si="151"/>
        <v>#REF!</v>
      </c>
      <c r="EC193" t="e">
        <f t="shared" si="151"/>
        <v>#REF!</v>
      </c>
      <c r="ED193" t="e">
        <f t="shared" si="151"/>
        <v>#REF!</v>
      </c>
      <c r="EE193" t="e">
        <f t="shared" si="151"/>
        <v>#REF!</v>
      </c>
      <c r="EF193" t="e">
        <f t="shared" si="151"/>
        <v>#REF!</v>
      </c>
      <c r="EG193" t="e">
        <f t="shared" si="151"/>
        <v>#REF!</v>
      </c>
      <c r="EH193" t="e">
        <f t="shared" si="151"/>
        <v>#REF!</v>
      </c>
      <c r="EI193" t="e">
        <f t="shared" si="151"/>
        <v>#REF!</v>
      </c>
      <c r="EJ193" t="e">
        <f t="shared" si="151"/>
        <v>#REF!</v>
      </c>
      <c r="EK193" t="e">
        <f t="shared" si="151"/>
        <v>#REF!</v>
      </c>
      <c r="EL193" t="e">
        <f t="shared" si="151"/>
        <v>#REF!</v>
      </c>
      <c r="EM193" t="e">
        <f t="shared" si="151"/>
        <v>#REF!</v>
      </c>
    </row>
    <row r="194" spans="1:143" x14ac:dyDescent="0.4">
      <c r="A194" t="str">
        <f t="shared" si="120"/>
        <v>X</v>
      </c>
      <c r="B194">
        <v>191</v>
      </c>
      <c r="C194" t="e" cm="1">
        <f t="array" ref="C194">INDEX(auto_Series_Code,B194)</f>
        <v>#REF!</v>
      </c>
      <c r="D194" t="e">
        <f t="shared" si="142"/>
        <v>#REF!</v>
      </c>
      <c r="E194" t="e">
        <f t="shared" si="142"/>
        <v>#REF!</v>
      </c>
      <c r="F194" t="e">
        <f t="shared" si="142"/>
        <v>#REF!</v>
      </c>
      <c r="G194" t="e">
        <f t="shared" si="142"/>
        <v>#REF!</v>
      </c>
      <c r="H194" t="e">
        <f t="shared" si="142"/>
        <v>#REF!</v>
      </c>
      <c r="I194" t="e">
        <f t="shared" si="142"/>
        <v>#REF!</v>
      </c>
      <c r="J194" t="e">
        <f t="shared" si="142"/>
        <v>#REF!</v>
      </c>
      <c r="K194" t="e">
        <f t="shared" si="142"/>
        <v>#REF!</v>
      </c>
      <c r="L194" t="e">
        <f t="shared" si="142"/>
        <v>#REF!</v>
      </c>
      <c r="M194" t="e">
        <f t="shared" si="142"/>
        <v>#REF!</v>
      </c>
      <c r="N194" t="e">
        <f t="shared" si="142"/>
        <v>#REF!</v>
      </c>
      <c r="O194" t="e">
        <f t="shared" si="142"/>
        <v>#REF!</v>
      </c>
      <c r="P194" t="e">
        <f t="shared" si="142"/>
        <v>#REF!</v>
      </c>
      <c r="Q194" t="e">
        <f t="shared" si="142"/>
        <v>#REF!</v>
      </c>
      <c r="R194" t="e">
        <f t="shared" si="142"/>
        <v>#REF!</v>
      </c>
      <c r="S194" t="e">
        <f t="shared" si="142"/>
        <v>#REF!</v>
      </c>
      <c r="T194" t="e">
        <f t="shared" si="140"/>
        <v>#REF!</v>
      </c>
      <c r="U194" t="e">
        <f t="shared" si="140"/>
        <v>#REF!</v>
      </c>
      <c r="V194" t="e">
        <f t="shared" si="140"/>
        <v>#REF!</v>
      </c>
      <c r="W194" t="e">
        <f t="shared" si="140"/>
        <v>#REF!</v>
      </c>
      <c r="X194" t="e">
        <f t="shared" si="140"/>
        <v>#REF!</v>
      </c>
      <c r="Y194" t="e">
        <f t="shared" si="140"/>
        <v>#REF!</v>
      </c>
      <c r="Z194" t="e">
        <f t="shared" si="140"/>
        <v>#REF!</v>
      </c>
      <c r="AA194" t="e">
        <f t="shared" si="140"/>
        <v>#REF!</v>
      </c>
      <c r="AB194" t="e">
        <f t="shared" si="140"/>
        <v>#REF!</v>
      </c>
      <c r="AC194" t="e">
        <f t="shared" si="140"/>
        <v>#REF!</v>
      </c>
      <c r="AD194" t="e">
        <f t="shared" si="140"/>
        <v>#REF!</v>
      </c>
      <c r="AE194" t="e">
        <f t="shared" si="140"/>
        <v>#REF!</v>
      </c>
      <c r="AF194" t="e">
        <f t="shared" si="140"/>
        <v>#REF!</v>
      </c>
      <c r="AG194" t="e">
        <f t="shared" si="140"/>
        <v>#REF!</v>
      </c>
      <c r="AH194" t="e">
        <f t="shared" si="140"/>
        <v>#REF!</v>
      </c>
      <c r="AI194" t="e">
        <f t="shared" si="144"/>
        <v>#REF!</v>
      </c>
      <c r="AJ194" t="e">
        <f t="shared" si="144"/>
        <v>#REF!</v>
      </c>
      <c r="AK194" t="e">
        <f t="shared" si="144"/>
        <v>#REF!</v>
      </c>
      <c r="AL194" t="e">
        <f t="shared" si="144"/>
        <v>#REF!</v>
      </c>
      <c r="AM194" t="e">
        <f t="shared" si="144"/>
        <v>#REF!</v>
      </c>
      <c r="AN194" t="e">
        <f t="shared" si="144"/>
        <v>#REF!</v>
      </c>
      <c r="AO194" t="e">
        <f t="shared" si="144"/>
        <v>#REF!</v>
      </c>
      <c r="AP194" t="e">
        <f t="shared" si="144"/>
        <v>#REF!</v>
      </c>
      <c r="AQ194" t="e">
        <f t="shared" si="144"/>
        <v>#REF!</v>
      </c>
      <c r="AR194" t="e">
        <f t="shared" si="143"/>
        <v>#REF!</v>
      </c>
      <c r="AS194" t="e">
        <f t="shared" si="143"/>
        <v>#REF!</v>
      </c>
      <c r="AT194" t="e">
        <f t="shared" si="143"/>
        <v>#REF!</v>
      </c>
      <c r="AU194" t="e">
        <f t="shared" si="143"/>
        <v>#REF!</v>
      </c>
      <c r="AV194" t="e">
        <f t="shared" si="143"/>
        <v>#REF!</v>
      </c>
      <c r="AW194" t="e">
        <f t="shared" si="143"/>
        <v>#REF!</v>
      </c>
      <c r="AX194" t="e">
        <f t="shared" si="143"/>
        <v>#REF!</v>
      </c>
      <c r="AY194" t="e">
        <f t="shared" si="143"/>
        <v>#REF!</v>
      </c>
      <c r="AZ194" t="e">
        <f t="shared" si="143"/>
        <v>#REF!</v>
      </c>
      <c r="BA194" t="e">
        <f t="shared" si="143"/>
        <v>#REF!</v>
      </c>
      <c r="BB194" t="e">
        <f t="shared" si="143"/>
        <v>#REF!</v>
      </c>
      <c r="BC194" t="e">
        <f t="shared" si="143"/>
        <v>#REF!</v>
      </c>
      <c r="BD194" t="e">
        <f t="shared" si="143"/>
        <v>#REF!</v>
      </c>
      <c r="BE194" t="e">
        <f t="shared" si="143"/>
        <v>#REF!</v>
      </c>
      <c r="BF194" t="e">
        <f t="shared" si="143"/>
        <v>#REF!</v>
      </c>
      <c r="BG194" t="e">
        <f t="shared" si="149"/>
        <v>#REF!</v>
      </c>
      <c r="BH194" t="e">
        <f t="shared" si="149"/>
        <v>#REF!</v>
      </c>
      <c r="BI194" t="e">
        <f t="shared" si="149"/>
        <v>#REF!</v>
      </c>
      <c r="BJ194" t="e">
        <f t="shared" si="149"/>
        <v>#REF!</v>
      </c>
      <c r="BK194" t="e">
        <f t="shared" si="149"/>
        <v>#REF!</v>
      </c>
      <c r="BL194" t="e">
        <f t="shared" si="134"/>
        <v>#REF!</v>
      </c>
      <c r="BM194" t="e">
        <f t="shared" si="134"/>
        <v>#REF!</v>
      </c>
      <c r="BN194" t="e">
        <f t="shared" si="134"/>
        <v>#REF!</v>
      </c>
      <c r="BO194" t="e">
        <f t="shared" si="134"/>
        <v>#REF!</v>
      </c>
      <c r="BP194" t="e">
        <f t="shared" si="134"/>
        <v>#REF!</v>
      </c>
      <c r="BQ194" t="e">
        <f t="shared" si="134"/>
        <v>#REF!</v>
      </c>
      <c r="BR194" t="e">
        <f t="shared" si="134"/>
        <v>#REF!</v>
      </c>
      <c r="BS194" t="e">
        <f t="shared" si="134"/>
        <v>#REF!</v>
      </c>
      <c r="BT194" t="e">
        <f t="shared" si="134"/>
        <v>#REF!</v>
      </c>
      <c r="BU194" t="e">
        <f t="shared" si="134"/>
        <v>#REF!</v>
      </c>
      <c r="BV194" t="e">
        <f t="shared" si="134"/>
        <v>#REF!</v>
      </c>
      <c r="BW194" t="e">
        <f t="shared" si="147"/>
        <v>#REF!</v>
      </c>
      <c r="BX194" t="e">
        <f t="shared" si="147"/>
        <v>#REF!</v>
      </c>
      <c r="BY194" t="e">
        <f t="shared" si="147"/>
        <v>#REF!</v>
      </c>
      <c r="BZ194" t="e">
        <f t="shared" si="147"/>
        <v>#REF!</v>
      </c>
      <c r="CA194" t="e">
        <f t="shared" si="147"/>
        <v>#REF!</v>
      </c>
      <c r="CB194" t="e">
        <f t="shared" si="147"/>
        <v>#REF!</v>
      </c>
      <c r="CC194" t="e">
        <f t="shared" si="147"/>
        <v>#REF!</v>
      </c>
      <c r="CD194" t="e">
        <f t="shared" si="147"/>
        <v>#REF!</v>
      </c>
      <c r="CE194" t="e">
        <f t="shared" si="147"/>
        <v>#REF!</v>
      </c>
      <c r="CF194" t="e">
        <f t="shared" si="147"/>
        <v>#REF!</v>
      </c>
      <c r="CG194" t="e">
        <f t="shared" si="147"/>
        <v>#REF!</v>
      </c>
      <c r="CH194" t="e">
        <f t="shared" si="147"/>
        <v>#REF!</v>
      </c>
      <c r="CI194" t="e">
        <f t="shared" si="147"/>
        <v>#REF!</v>
      </c>
      <c r="CJ194" t="e">
        <f t="shared" si="147"/>
        <v>#REF!</v>
      </c>
      <c r="CK194" t="e">
        <f t="shared" si="147"/>
        <v>#REF!</v>
      </c>
      <c r="CL194" t="e">
        <f t="shared" si="147"/>
        <v>#REF!</v>
      </c>
      <c r="CM194" t="e">
        <f t="shared" si="150"/>
        <v>#REF!</v>
      </c>
      <c r="CN194" t="e">
        <f t="shared" si="150"/>
        <v>#REF!</v>
      </c>
      <c r="CO194" t="e">
        <f t="shared" si="150"/>
        <v>#REF!</v>
      </c>
      <c r="CP194" t="e">
        <f t="shared" si="150"/>
        <v>#REF!</v>
      </c>
      <c r="CQ194" t="e">
        <f t="shared" si="150"/>
        <v>#REF!</v>
      </c>
      <c r="CR194" t="e">
        <f t="shared" si="150"/>
        <v>#REF!</v>
      </c>
      <c r="CS194" t="e">
        <f t="shared" si="150"/>
        <v>#REF!</v>
      </c>
      <c r="CT194" t="e">
        <f t="shared" si="150"/>
        <v>#REF!</v>
      </c>
      <c r="CU194" t="e">
        <f t="shared" si="150"/>
        <v>#REF!</v>
      </c>
      <c r="CV194" t="e">
        <f t="shared" si="150"/>
        <v>#REF!</v>
      </c>
      <c r="CW194" t="e">
        <f t="shared" si="150"/>
        <v>#REF!</v>
      </c>
      <c r="CX194" t="e">
        <f t="shared" si="150"/>
        <v>#REF!</v>
      </c>
      <c r="CY194" t="e">
        <f t="shared" si="150"/>
        <v>#REF!</v>
      </c>
      <c r="CZ194" t="e">
        <f t="shared" si="136"/>
        <v>#REF!</v>
      </c>
      <c r="DA194" t="e">
        <f t="shared" si="136"/>
        <v>#REF!</v>
      </c>
      <c r="DB194" t="e">
        <f t="shared" si="136"/>
        <v>#REF!</v>
      </c>
      <c r="DC194" t="e">
        <f t="shared" si="136"/>
        <v>#REF!</v>
      </c>
      <c r="DD194" t="e">
        <f t="shared" si="136"/>
        <v>#REF!</v>
      </c>
      <c r="DE194" t="e">
        <f t="shared" si="136"/>
        <v>#REF!</v>
      </c>
      <c r="DF194" t="e">
        <f t="shared" si="136"/>
        <v>#REF!</v>
      </c>
      <c r="DG194" t="e">
        <f t="shared" si="138"/>
        <v>#REF!</v>
      </c>
      <c r="DH194" t="e">
        <f t="shared" si="138"/>
        <v>#REF!</v>
      </c>
      <c r="DI194" t="e">
        <f t="shared" si="138"/>
        <v>#REF!</v>
      </c>
      <c r="DJ194" t="e">
        <f t="shared" si="138"/>
        <v>#REF!</v>
      </c>
      <c r="DK194" t="e">
        <f t="shared" si="138"/>
        <v>#REF!</v>
      </c>
      <c r="DL194" t="e">
        <f t="shared" si="138"/>
        <v>#REF!</v>
      </c>
      <c r="DM194" t="e">
        <f t="shared" si="138"/>
        <v>#REF!</v>
      </c>
      <c r="DN194" t="e">
        <f t="shared" si="138"/>
        <v>#REF!</v>
      </c>
      <c r="DO194" t="e">
        <f t="shared" si="138"/>
        <v>#REF!</v>
      </c>
      <c r="DP194" t="e">
        <f t="shared" si="138"/>
        <v>#REF!</v>
      </c>
      <c r="DQ194" t="e">
        <f t="shared" si="138"/>
        <v>#REF!</v>
      </c>
      <c r="DR194" t="e">
        <f t="shared" si="138"/>
        <v>#REF!</v>
      </c>
      <c r="DS194" t="e">
        <f t="shared" si="152"/>
        <v>#REF!</v>
      </c>
      <c r="DT194" t="e">
        <f t="shared" si="152"/>
        <v>#REF!</v>
      </c>
      <c r="DU194" t="e">
        <f t="shared" si="152"/>
        <v>#REF!</v>
      </c>
      <c r="DV194" t="e">
        <f t="shared" si="152"/>
        <v>#REF!</v>
      </c>
      <c r="DW194" t="e">
        <f t="shared" si="152"/>
        <v>#REF!</v>
      </c>
      <c r="DX194" t="e">
        <f t="shared" si="152"/>
        <v>#REF!</v>
      </c>
      <c r="DY194" t="e">
        <f t="shared" si="152"/>
        <v>#REF!</v>
      </c>
      <c r="DZ194" t="e">
        <f t="shared" si="151"/>
        <v>#REF!</v>
      </c>
      <c r="EA194" t="e">
        <f t="shared" si="151"/>
        <v>#REF!</v>
      </c>
      <c r="EB194" t="e">
        <f t="shared" si="151"/>
        <v>#REF!</v>
      </c>
      <c r="EC194" t="e">
        <f t="shared" si="151"/>
        <v>#REF!</v>
      </c>
      <c r="ED194" t="e">
        <f t="shared" si="151"/>
        <v>#REF!</v>
      </c>
      <c r="EE194" t="e">
        <f t="shared" si="151"/>
        <v>#REF!</v>
      </c>
      <c r="EF194" t="e">
        <f t="shared" si="151"/>
        <v>#REF!</v>
      </c>
      <c r="EG194" t="e">
        <f t="shared" si="151"/>
        <v>#REF!</v>
      </c>
      <c r="EH194" t="e">
        <f t="shared" si="151"/>
        <v>#REF!</v>
      </c>
      <c r="EI194" t="e">
        <f t="shared" si="151"/>
        <v>#REF!</v>
      </c>
      <c r="EJ194" t="e">
        <f t="shared" si="151"/>
        <v>#REF!</v>
      </c>
      <c r="EK194" t="e">
        <f t="shared" si="151"/>
        <v>#REF!</v>
      </c>
      <c r="EL194" t="e">
        <f t="shared" si="151"/>
        <v>#REF!</v>
      </c>
      <c r="EM194" t="e">
        <f t="shared" si="151"/>
        <v>#REF!</v>
      </c>
    </row>
    <row r="195" spans="1:143" x14ac:dyDescent="0.4">
      <c r="A195" t="str">
        <f t="shared" si="120"/>
        <v>X</v>
      </c>
      <c r="B195">
        <v>192</v>
      </c>
      <c r="C195" t="e" cm="1">
        <f t="array" ref="C195">INDEX(auto_Series_Code,B195)</f>
        <v>#REF!</v>
      </c>
      <c r="D195" t="e">
        <f t="shared" si="142"/>
        <v>#REF!</v>
      </c>
      <c r="E195" t="e">
        <f t="shared" si="142"/>
        <v>#REF!</v>
      </c>
      <c r="F195" t="e">
        <f t="shared" si="142"/>
        <v>#REF!</v>
      </c>
      <c r="G195" t="e">
        <f t="shared" si="142"/>
        <v>#REF!</v>
      </c>
      <c r="H195" t="e">
        <f t="shared" si="142"/>
        <v>#REF!</v>
      </c>
      <c r="I195" t="e">
        <f t="shared" si="142"/>
        <v>#REF!</v>
      </c>
      <c r="J195" t="e">
        <f t="shared" si="142"/>
        <v>#REF!</v>
      </c>
      <c r="K195" t="e">
        <f t="shared" si="142"/>
        <v>#REF!</v>
      </c>
      <c r="L195" t="e">
        <f t="shared" si="142"/>
        <v>#REF!</v>
      </c>
      <c r="M195" t="e">
        <f t="shared" si="142"/>
        <v>#REF!</v>
      </c>
      <c r="N195" t="e">
        <f t="shared" si="142"/>
        <v>#REF!</v>
      </c>
      <c r="O195" t="e">
        <f t="shared" si="142"/>
        <v>#REF!</v>
      </c>
      <c r="P195" t="e">
        <f t="shared" si="142"/>
        <v>#REF!</v>
      </c>
      <c r="Q195" t="e">
        <f t="shared" si="142"/>
        <v>#REF!</v>
      </c>
      <c r="R195" t="e">
        <f t="shared" si="142"/>
        <v>#REF!</v>
      </c>
      <c r="S195" t="e">
        <f t="shared" si="142"/>
        <v>#REF!</v>
      </c>
      <c r="T195" t="e">
        <f t="shared" si="140"/>
        <v>#REF!</v>
      </c>
      <c r="U195" t="e">
        <f t="shared" si="140"/>
        <v>#REF!</v>
      </c>
      <c r="V195" t="e">
        <f t="shared" si="140"/>
        <v>#REF!</v>
      </c>
      <c r="W195" t="e">
        <f t="shared" si="140"/>
        <v>#REF!</v>
      </c>
      <c r="X195" t="e">
        <f t="shared" si="140"/>
        <v>#REF!</v>
      </c>
      <c r="Y195" t="e">
        <f t="shared" si="140"/>
        <v>#REF!</v>
      </c>
      <c r="Z195" t="e">
        <f t="shared" si="140"/>
        <v>#REF!</v>
      </c>
      <c r="AA195" t="e">
        <f t="shared" si="140"/>
        <v>#REF!</v>
      </c>
      <c r="AB195" t="e">
        <f t="shared" si="140"/>
        <v>#REF!</v>
      </c>
      <c r="AC195" t="e">
        <f t="shared" si="140"/>
        <v>#REF!</v>
      </c>
      <c r="AD195" t="e">
        <f t="shared" si="140"/>
        <v>#REF!</v>
      </c>
      <c r="AE195" t="e">
        <f t="shared" si="140"/>
        <v>#REF!</v>
      </c>
      <c r="AF195" t="e">
        <f t="shared" si="140"/>
        <v>#REF!</v>
      </c>
      <c r="AG195" t="e">
        <f t="shared" si="140"/>
        <v>#REF!</v>
      </c>
      <c r="AH195" t="e">
        <f t="shared" si="140"/>
        <v>#REF!</v>
      </c>
      <c r="AI195" t="e">
        <f t="shared" si="144"/>
        <v>#REF!</v>
      </c>
      <c r="AJ195" t="e">
        <f t="shared" si="144"/>
        <v>#REF!</v>
      </c>
      <c r="AK195" t="e">
        <f t="shared" si="144"/>
        <v>#REF!</v>
      </c>
      <c r="AL195" t="e">
        <f t="shared" si="144"/>
        <v>#REF!</v>
      </c>
      <c r="AM195" t="e">
        <f t="shared" si="144"/>
        <v>#REF!</v>
      </c>
      <c r="AN195" t="e">
        <f t="shared" si="144"/>
        <v>#REF!</v>
      </c>
      <c r="AO195" t="e">
        <f t="shared" si="144"/>
        <v>#REF!</v>
      </c>
      <c r="AP195" t="e">
        <f t="shared" si="144"/>
        <v>#REF!</v>
      </c>
      <c r="AQ195" t="e">
        <f t="shared" si="144"/>
        <v>#REF!</v>
      </c>
      <c r="AR195" t="e">
        <f t="shared" si="143"/>
        <v>#REF!</v>
      </c>
      <c r="AS195" t="e">
        <f t="shared" si="143"/>
        <v>#REF!</v>
      </c>
      <c r="AT195" t="e">
        <f t="shared" si="143"/>
        <v>#REF!</v>
      </c>
      <c r="AU195" t="e">
        <f t="shared" si="143"/>
        <v>#REF!</v>
      </c>
      <c r="AV195" t="e">
        <f t="shared" si="143"/>
        <v>#REF!</v>
      </c>
      <c r="AW195" t="e">
        <f t="shared" si="143"/>
        <v>#REF!</v>
      </c>
      <c r="AX195" t="e">
        <f t="shared" si="143"/>
        <v>#REF!</v>
      </c>
      <c r="AY195" t="e">
        <f t="shared" si="143"/>
        <v>#REF!</v>
      </c>
      <c r="AZ195" t="e">
        <f t="shared" si="143"/>
        <v>#REF!</v>
      </c>
      <c r="BA195" t="e">
        <f t="shared" si="143"/>
        <v>#REF!</v>
      </c>
      <c r="BB195" t="e">
        <f t="shared" si="143"/>
        <v>#REF!</v>
      </c>
      <c r="BC195" t="e">
        <f t="shared" si="143"/>
        <v>#REF!</v>
      </c>
      <c r="BD195" t="e">
        <f t="shared" si="143"/>
        <v>#REF!</v>
      </c>
      <c r="BE195" t="e">
        <f t="shared" si="143"/>
        <v>#REF!</v>
      </c>
      <c r="BF195" t="e">
        <f t="shared" si="143"/>
        <v>#REF!</v>
      </c>
      <c r="BG195" t="e">
        <f t="shared" si="149"/>
        <v>#REF!</v>
      </c>
      <c r="BH195" t="e">
        <f t="shared" si="149"/>
        <v>#REF!</v>
      </c>
      <c r="BI195" t="e">
        <f t="shared" si="149"/>
        <v>#REF!</v>
      </c>
      <c r="BJ195" t="e">
        <f t="shared" si="149"/>
        <v>#REF!</v>
      </c>
      <c r="BK195" t="e">
        <f t="shared" si="149"/>
        <v>#REF!</v>
      </c>
      <c r="BL195" t="e">
        <f t="shared" si="134"/>
        <v>#REF!</v>
      </c>
      <c r="BM195" t="e">
        <f t="shared" si="134"/>
        <v>#REF!</v>
      </c>
      <c r="BN195" t="e">
        <f t="shared" si="134"/>
        <v>#REF!</v>
      </c>
      <c r="BO195" t="e">
        <f t="shared" si="134"/>
        <v>#REF!</v>
      </c>
      <c r="BP195" t="e">
        <f t="shared" si="134"/>
        <v>#REF!</v>
      </c>
      <c r="BQ195" t="e">
        <f t="shared" si="134"/>
        <v>#REF!</v>
      </c>
      <c r="BR195" t="e">
        <f t="shared" si="134"/>
        <v>#REF!</v>
      </c>
      <c r="BS195" t="e">
        <f t="shared" si="134"/>
        <v>#REF!</v>
      </c>
      <c r="BT195" t="e">
        <f t="shared" si="134"/>
        <v>#REF!</v>
      </c>
      <c r="BU195" t="e">
        <f t="shared" si="134"/>
        <v>#REF!</v>
      </c>
      <c r="BV195" t="e">
        <f t="shared" si="134"/>
        <v>#REF!</v>
      </c>
      <c r="BW195" t="e">
        <f t="shared" si="147"/>
        <v>#REF!</v>
      </c>
      <c r="BX195" t="e">
        <f t="shared" si="147"/>
        <v>#REF!</v>
      </c>
      <c r="BY195" t="e">
        <f t="shared" si="147"/>
        <v>#REF!</v>
      </c>
      <c r="BZ195" t="e">
        <f t="shared" si="147"/>
        <v>#REF!</v>
      </c>
      <c r="CA195" t="e">
        <f t="shared" si="147"/>
        <v>#REF!</v>
      </c>
      <c r="CB195" t="e">
        <f t="shared" si="147"/>
        <v>#REF!</v>
      </c>
      <c r="CC195" t="e">
        <f t="shared" si="147"/>
        <v>#REF!</v>
      </c>
      <c r="CD195" t="e">
        <f t="shared" si="147"/>
        <v>#REF!</v>
      </c>
      <c r="CE195" t="e">
        <f t="shared" si="147"/>
        <v>#REF!</v>
      </c>
      <c r="CF195" t="e">
        <f t="shared" si="147"/>
        <v>#REF!</v>
      </c>
      <c r="CG195" t="e">
        <f t="shared" si="147"/>
        <v>#REF!</v>
      </c>
      <c r="CH195" t="e">
        <f t="shared" si="147"/>
        <v>#REF!</v>
      </c>
      <c r="CI195" t="e">
        <f t="shared" si="147"/>
        <v>#REF!</v>
      </c>
      <c r="CJ195" t="e">
        <f t="shared" si="147"/>
        <v>#REF!</v>
      </c>
      <c r="CK195" t="e">
        <f t="shared" si="147"/>
        <v>#REF!</v>
      </c>
      <c r="CL195" t="e">
        <f t="shared" si="147"/>
        <v>#REF!</v>
      </c>
      <c r="CM195" t="e">
        <f t="shared" si="150"/>
        <v>#REF!</v>
      </c>
      <c r="CN195" t="e">
        <f t="shared" si="150"/>
        <v>#REF!</v>
      </c>
      <c r="CO195" t="e">
        <f t="shared" si="150"/>
        <v>#REF!</v>
      </c>
      <c r="CP195" t="e">
        <f t="shared" si="150"/>
        <v>#REF!</v>
      </c>
      <c r="CQ195" t="e">
        <f t="shared" si="150"/>
        <v>#REF!</v>
      </c>
      <c r="CR195" t="e">
        <f t="shared" si="150"/>
        <v>#REF!</v>
      </c>
      <c r="CS195" t="e">
        <f t="shared" si="150"/>
        <v>#REF!</v>
      </c>
      <c r="CT195" t="e">
        <f t="shared" si="150"/>
        <v>#REF!</v>
      </c>
      <c r="CU195" t="e">
        <f t="shared" si="150"/>
        <v>#REF!</v>
      </c>
      <c r="CV195" t="e">
        <f t="shared" si="150"/>
        <v>#REF!</v>
      </c>
      <c r="CW195" t="e">
        <f t="shared" si="150"/>
        <v>#REF!</v>
      </c>
      <c r="CX195" t="e">
        <f t="shared" si="150"/>
        <v>#REF!</v>
      </c>
      <c r="CY195" t="e">
        <f t="shared" si="150"/>
        <v>#REF!</v>
      </c>
      <c r="CZ195" t="e">
        <f t="shared" si="136"/>
        <v>#REF!</v>
      </c>
      <c r="DA195" t="e">
        <f t="shared" si="136"/>
        <v>#REF!</v>
      </c>
      <c r="DB195" t="e">
        <f t="shared" si="136"/>
        <v>#REF!</v>
      </c>
      <c r="DC195" t="e">
        <f t="shared" si="136"/>
        <v>#REF!</v>
      </c>
      <c r="DD195" t="e">
        <f t="shared" si="136"/>
        <v>#REF!</v>
      </c>
      <c r="DE195" t="e">
        <f t="shared" si="136"/>
        <v>#REF!</v>
      </c>
      <c r="DF195" t="e">
        <f t="shared" si="136"/>
        <v>#REF!</v>
      </c>
      <c r="DG195" t="e">
        <f t="shared" si="138"/>
        <v>#REF!</v>
      </c>
      <c r="DH195" t="e">
        <f t="shared" si="138"/>
        <v>#REF!</v>
      </c>
      <c r="DI195" t="e">
        <f t="shared" si="138"/>
        <v>#REF!</v>
      </c>
      <c r="DJ195" t="e">
        <f t="shared" si="138"/>
        <v>#REF!</v>
      </c>
      <c r="DK195" t="e">
        <f t="shared" si="138"/>
        <v>#REF!</v>
      </c>
      <c r="DL195" t="e">
        <f t="shared" si="138"/>
        <v>#REF!</v>
      </c>
      <c r="DM195" t="e">
        <f t="shared" si="138"/>
        <v>#REF!</v>
      </c>
      <c r="DN195" t="e">
        <f t="shared" si="138"/>
        <v>#REF!</v>
      </c>
      <c r="DO195" t="e">
        <f t="shared" si="138"/>
        <v>#REF!</v>
      </c>
      <c r="DP195" t="e">
        <f t="shared" si="138"/>
        <v>#REF!</v>
      </c>
      <c r="DQ195" t="e">
        <f t="shared" si="138"/>
        <v>#REF!</v>
      </c>
      <c r="DR195" t="e">
        <f t="shared" si="138"/>
        <v>#REF!</v>
      </c>
      <c r="DS195" t="e">
        <f t="shared" si="152"/>
        <v>#REF!</v>
      </c>
      <c r="DT195" t="e">
        <f t="shared" si="152"/>
        <v>#REF!</v>
      </c>
      <c r="DU195" t="e">
        <f t="shared" si="152"/>
        <v>#REF!</v>
      </c>
      <c r="DV195" t="e">
        <f t="shared" si="152"/>
        <v>#REF!</v>
      </c>
      <c r="DW195" t="e">
        <f t="shared" si="152"/>
        <v>#REF!</v>
      </c>
      <c r="DX195" t="e">
        <f t="shared" si="152"/>
        <v>#REF!</v>
      </c>
      <c r="DY195" t="e">
        <f t="shared" si="152"/>
        <v>#REF!</v>
      </c>
      <c r="DZ195" t="e">
        <f t="shared" si="151"/>
        <v>#REF!</v>
      </c>
      <c r="EA195" t="e">
        <f t="shared" si="151"/>
        <v>#REF!</v>
      </c>
      <c r="EB195" t="e">
        <f t="shared" si="151"/>
        <v>#REF!</v>
      </c>
      <c r="EC195" t="e">
        <f t="shared" si="151"/>
        <v>#REF!</v>
      </c>
      <c r="ED195" t="e">
        <f t="shared" si="151"/>
        <v>#REF!</v>
      </c>
      <c r="EE195" t="e">
        <f t="shared" si="151"/>
        <v>#REF!</v>
      </c>
      <c r="EF195" t="e">
        <f t="shared" si="151"/>
        <v>#REF!</v>
      </c>
      <c r="EG195" t="e">
        <f t="shared" si="151"/>
        <v>#REF!</v>
      </c>
      <c r="EH195" t="e">
        <f t="shared" si="151"/>
        <v>#REF!</v>
      </c>
      <c r="EI195" t="e">
        <f t="shared" si="151"/>
        <v>#REF!</v>
      </c>
      <c r="EJ195" t="e">
        <f t="shared" si="151"/>
        <v>#REF!</v>
      </c>
      <c r="EK195" t="e">
        <f t="shared" si="151"/>
        <v>#REF!</v>
      </c>
      <c r="EL195" t="e">
        <f t="shared" si="151"/>
        <v>#REF!</v>
      </c>
      <c r="EM195" t="e">
        <f t="shared" si="151"/>
        <v>#REF!</v>
      </c>
    </row>
    <row r="196" spans="1:143" x14ac:dyDescent="0.4">
      <c r="A196" t="str">
        <f t="shared" si="120"/>
        <v>X</v>
      </c>
      <c r="B196">
        <v>193</v>
      </c>
      <c r="C196" t="e" cm="1">
        <f t="array" ref="C196">INDEX(auto_Series_Code,B196)</f>
        <v>#REF!</v>
      </c>
      <c r="D196" t="e">
        <f t="shared" si="142"/>
        <v>#REF!</v>
      </c>
      <c r="E196" t="e">
        <f t="shared" si="142"/>
        <v>#REF!</v>
      </c>
      <c r="F196" t="e">
        <f t="shared" si="142"/>
        <v>#REF!</v>
      </c>
      <c r="G196" t="e">
        <f t="shared" si="142"/>
        <v>#REF!</v>
      </c>
      <c r="H196" t="e">
        <f t="shared" si="142"/>
        <v>#REF!</v>
      </c>
      <c r="I196" t="e">
        <f t="shared" si="142"/>
        <v>#REF!</v>
      </c>
      <c r="J196" t="e">
        <f t="shared" si="142"/>
        <v>#REF!</v>
      </c>
      <c r="K196" t="e">
        <f t="shared" si="142"/>
        <v>#REF!</v>
      </c>
      <c r="L196" t="e">
        <f t="shared" si="142"/>
        <v>#REF!</v>
      </c>
      <c r="M196" t="e">
        <f t="shared" si="142"/>
        <v>#REF!</v>
      </c>
      <c r="N196" t="e">
        <f t="shared" si="142"/>
        <v>#REF!</v>
      </c>
      <c r="O196" t="e">
        <f t="shared" si="142"/>
        <v>#REF!</v>
      </c>
      <c r="P196" t="e">
        <f t="shared" si="142"/>
        <v>#REF!</v>
      </c>
      <c r="Q196" t="e">
        <f t="shared" si="142"/>
        <v>#REF!</v>
      </c>
      <c r="R196" t="e">
        <f t="shared" si="142"/>
        <v>#REF!</v>
      </c>
      <c r="S196" t="e">
        <f t="shared" si="142"/>
        <v>#REF!</v>
      </c>
      <c r="T196" t="e">
        <f t="shared" si="140"/>
        <v>#REF!</v>
      </c>
      <c r="U196" t="e">
        <f t="shared" si="140"/>
        <v>#REF!</v>
      </c>
      <c r="V196" t="e">
        <f t="shared" si="140"/>
        <v>#REF!</v>
      </c>
      <c r="W196" t="e">
        <f t="shared" si="140"/>
        <v>#REF!</v>
      </c>
      <c r="X196" t="e">
        <f t="shared" si="140"/>
        <v>#REF!</v>
      </c>
      <c r="Y196" t="e">
        <f t="shared" si="140"/>
        <v>#REF!</v>
      </c>
      <c r="Z196" t="e">
        <f t="shared" si="140"/>
        <v>#REF!</v>
      </c>
      <c r="AA196" t="e">
        <f t="shared" si="140"/>
        <v>#REF!</v>
      </c>
      <c r="AB196" t="e">
        <f t="shared" si="140"/>
        <v>#REF!</v>
      </c>
      <c r="AC196" t="e">
        <f t="shared" si="140"/>
        <v>#REF!</v>
      </c>
      <c r="AD196" t="e">
        <f t="shared" si="140"/>
        <v>#REF!</v>
      </c>
      <c r="AE196" t="e">
        <f t="shared" si="140"/>
        <v>#REF!</v>
      </c>
      <c r="AF196" t="e">
        <f t="shared" si="140"/>
        <v>#REF!</v>
      </c>
      <c r="AG196" t="e">
        <f t="shared" si="140"/>
        <v>#REF!</v>
      </c>
      <c r="AH196" t="e">
        <f t="shared" si="140"/>
        <v>#REF!</v>
      </c>
      <c r="AI196" t="e">
        <f t="shared" si="144"/>
        <v>#REF!</v>
      </c>
      <c r="AJ196" t="e">
        <f t="shared" si="144"/>
        <v>#REF!</v>
      </c>
      <c r="AK196" t="e">
        <f t="shared" si="144"/>
        <v>#REF!</v>
      </c>
      <c r="AL196" t="e">
        <f t="shared" si="144"/>
        <v>#REF!</v>
      </c>
      <c r="AM196" t="e">
        <f t="shared" si="144"/>
        <v>#REF!</v>
      </c>
      <c r="AN196" t="e">
        <f t="shared" si="144"/>
        <v>#REF!</v>
      </c>
      <c r="AO196" t="e">
        <f t="shared" si="144"/>
        <v>#REF!</v>
      </c>
      <c r="AP196" t="e">
        <f t="shared" si="144"/>
        <v>#REF!</v>
      </c>
      <c r="AQ196" t="e">
        <f t="shared" si="144"/>
        <v>#REF!</v>
      </c>
      <c r="AR196" t="e">
        <f t="shared" si="143"/>
        <v>#REF!</v>
      </c>
      <c r="AS196" t="e">
        <f t="shared" si="143"/>
        <v>#REF!</v>
      </c>
      <c r="AT196" t="e">
        <f t="shared" si="143"/>
        <v>#REF!</v>
      </c>
      <c r="AU196" t="e">
        <f t="shared" si="143"/>
        <v>#REF!</v>
      </c>
      <c r="AV196" t="e">
        <f t="shared" si="143"/>
        <v>#REF!</v>
      </c>
      <c r="AW196" t="e">
        <f t="shared" si="143"/>
        <v>#REF!</v>
      </c>
      <c r="AX196" t="e">
        <f t="shared" si="143"/>
        <v>#REF!</v>
      </c>
      <c r="AY196" t="e">
        <f t="shared" si="143"/>
        <v>#REF!</v>
      </c>
      <c r="AZ196" t="e">
        <f t="shared" si="143"/>
        <v>#REF!</v>
      </c>
      <c r="BA196" t="e">
        <f t="shared" si="143"/>
        <v>#REF!</v>
      </c>
      <c r="BB196" t="e">
        <f t="shared" si="143"/>
        <v>#REF!</v>
      </c>
      <c r="BC196" t="e">
        <f t="shared" si="143"/>
        <v>#REF!</v>
      </c>
      <c r="BD196" t="e">
        <f t="shared" si="143"/>
        <v>#REF!</v>
      </c>
      <c r="BE196" t="e">
        <f t="shared" si="143"/>
        <v>#REF!</v>
      </c>
      <c r="BF196" t="e">
        <f t="shared" si="143"/>
        <v>#REF!</v>
      </c>
      <c r="BG196" t="e">
        <f t="shared" si="149"/>
        <v>#REF!</v>
      </c>
      <c r="BH196" t="e">
        <f t="shared" si="149"/>
        <v>#REF!</v>
      </c>
      <c r="BI196" t="e">
        <f t="shared" si="149"/>
        <v>#REF!</v>
      </c>
      <c r="BJ196" t="e">
        <f t="shared" si="149"/>
        <v>#REF!</v>
      </c>
      <c r="BK196" t="e">
        <f t="shared" si="149"/>
        <v>#REF!</v>
      </c>
      <c r="BL196" t="e">
        <f t="shared" si="134"/>
        <v>#REF!</v>
      </c>
      <c r="BM196" t="e">
        <f t="shared" si="134"/>
        <v>#REF!</v>
      </c>
      <c r="BN196" t="e">
        <f t="shared" si="134"/>
        <v>#REF!</v>
      </c>
      <c r="BO196" t="e">
        <f t="shared" si="134"/>
        <v>#REF!</v>
      </c>
      <c r="BP196" t="e">
        <f t="shared" si="134"/>
        <v>#REF!</v>
      </c>
      <c r="BQ196" t="e">
        <f t="shared" si="134"/>
        <v>#REF!</v>
      </c>
      <c r="BR196" t="e">
        <f t="shared" si="134"/>
        <v>#REF!</v>
      </c>
      <c r="BS196" t="e">
        <f t="shared" si="134"/>
        <v>#REF!</v>
      </c>
      <c r="BT196" t="e">
        <f t="shared" si="134"/>
        <v>#REF!</v>
      </c>
      <c r="BU196" t="e">
        <f t="shared" si="134"/>
        <v>#REF!</v>
      </c>
      <c r="BV196" t="e">
        <f t="shared" si="134"/>
        <v>#REF!</v>
      </c>
      <c r="BW196" t="e">
        <f t="shared" si="147"/>
        <v>#REF!</v>
      </c>
      <c r="BX196" t="e">
        <f t="shared" si="147"/>
        <v>#REF!</v>
      </c>
      <c r="BY196" t="e">
        <f t="shared" si="147"/>
        <v>#REF!</v>
      </c>
      <c r="BZ196" t="e">
        <f t="shared" si="147"/>
        <v>#REF!</v>
      </c>
      <c r="CA196" t="e">
        <f t="shared" si="147"/>
        <v>#REF!</v>
      </c>
      <c r="CB196" t="e">
        <f t="shared" si="147"/>
        <v>#REF!</v>
      </c>
      <c r="CC196" t="e">
        <f t="shared" si="147"/>
        <v>#REF!</v>
      </c>
      <c r="CD196" t="e">
        <f t="shared" si="147"/>
        <v>#REF!</v>
      </c>
      <c r="CE196" t="e">
        <f t="shared" si="147"/>
        <v>#REF!</v>
      </c>
      <c r="CF196" t="e">
        <f t="shared" si="147"/>
        <v>#REF!</v>
      </c>
      <c r="CG196" t="e">
        <f t="shared" si="147"/>
        <v>#REF!</v>
      </c>
      <c r="CH196" t="e">
        <f t="shared" si="147"/>
        <v>#REF!</v>
      </c>
      <c r="CI196" t="e">
        <f t="shared" si="147"/>
        <v>#REF!</v>
      </c>
      <c r="CJ196" t="e">
        <f t="shared" si="147"/>
        <v>#REF!</v>
      </c>
      <c r="CK196" t="e">
        <f t="shared" si="147"/>
        <v>#REF!</v>
      </c>
      <c r="CL196" t="e">
        <f t="shared" si="147"/>
        <v>#REF!</v>
      </c>
      <c r="CM196" t="e">
        <f t="shared" si="150"/>
        <v>#REF!</v>
      </c>
      <c r="CN196" t="e">
        <f t="shared" si="150"/>
        <v>#REF!</v>
      </c>
      <c r="CO196" t="e">
        <f t="shared" si="150"/>
        <v>#REF!</v>
      </c>
      <c r="CP196" t="e">
        <f t="shared" si="150"/>
        <v>#REF!</v>
      </c>
      <c r="CQ196" t="e">
        <f t="shared" si="150"/>
        <v>#REF!</v>
      </c>
      <c r="CR196" t="e">
        <f t="shared" si="150"/>
        <v>#REF!</v>
      </c>
      <c r="CS196" t="e">
        <f t="shared" si="150"/>
        <v>#REF!</v>
      </c>
      <c r="CT196" t="e">
        <f t="shared" si="150"/>
        <v>#REF!</v>
      </c>
      <c r="CU196" t="e">
        <f t="shared" si="150"/>
        <v>#REF!</v>
      </c>
      <c r="CV196" t="e">
        <f t="shared" si="150"/>
        <v>#REF!</v>
      </c>
      <c r="CW196" t="e">
        <f t="shared" si="150"/>
        <v>#REF!</v>
      </c>
      <c r="CX196" t="e">
        <f t="shared" si="150"/>
        <v>#REF!</v>
      </c>
      <c r="CY196" t="e">
        <f t="shared" si="150"/>
        <v>#REF!</v>
      </c>
      <c r="CZ196" t="e">
        <f t="shared" si="136"/>
        <v>#REF!</v>
      </c>
      <c r="DA196" t="e">
        <f t="shared" si="136"/>
        <v>#REF!</v>
      </c>
      <c r="DB196" t="e">
        <f t="shared" si="136"/>
        <v>#REF!</v>
      </c>
      <c r="DC196" t="e">
        <f t="shared" si="136"/>
        <v>#REF!</v>
      </c>
      <c r="DD196" t="e">
        <f t="shared" si="136"/>
        <v>#REF!</v>
      </c>
      <c r="DE196" t="e">
        <f t="shared" si="136"/>
        <v>#REF!</v>
      </c>
      <c r="DF196" t="e">
        <f t="shared" si="136"/>
        <v>#REF!</v>
      </c>
      <c r="DG196" t="e">
        <f t="shared" si="138"/>
        <v>#REF!</v>
      </c>
      <c r="DH196" t="e">
        <f t="shared" si="138"/>
        <v>#REF!</v>
      </c>
      <c r="DI196" t="e">
        <f t="shared" si="138"/>
        <v>#REF!</v>
      </c>
      <c r="DJ196" t="e">
        <f t="shared" si="138"/>
        <v>#REF!</v>
      </c>
      <c r="DK196" t="e">
        <f t="shared" si="138"/>
        <v>#REF!</v>
      </c>
      <c r="DL196" t="e">
        <f t="shared" si="138"/>
        <v>#REF!</v>
      </c>
      <c r="DM196" t="e">
        <f t="shared" si="138"/>
        <v>#REF!</v>
      </c>
      <c r="DN196" t="e">
        <f t="shared" si="138"/>
        <v>#REF!</v>
      </c>
      <c r="DO196" t="e">
        <f t="shared" si="138"/>
        <v>#REF!</v>
      </c>
      <c r="DP196" t="e">
        <f t="shared" si="138"/>
        <v>#REF!</v>
      </c>
      <c r="DQ196" t="e">
        <f t="shared" si="138"/>
        <v>#REF!</v>
      </c>
      <c r="DR196" t="e">
        <f t="shared" si="138"/>
        <v>#REF!</v>
      </c>
      <c r="DS196" t="e">
        <f t="shared" si="152"/>
        <v>#REF!</v>
      </c>
      <c r="DT196" t="e">
        <f t="shared" si="152"/>
        <v>#REF!</v>
      </c>
      <c r="DU196" t="e">
        <f t="shared" si="152"/>
        <v>#REF!</v>
      </c>
      <c r="DV196" t="e">
        <f t="shared" si="152"/>
        <v>#REF!</v>
      </c>
      <c r="DW196" t="e">
        <f t="shared" si="152"/>
        <v>#REF!</v>
      </c>
      <c r="DX196" t="e">
        <f t="shared" si="152"/>
        <v>#REF!</v>
      </c>
      <c r="DY196" t="e">
        <f t="shared" si="152"/>
        <v>#REF!</v>
      </c>
      <c r="DZ196" t="e">
        <f t="shared" si="151"/>
        <v>#REF!</v>
      </c>
      <c r="EA196" t="e">
        <f t="shared" si="151"/>
        <v>#REF!</v>
      </c>
      <c r="EB196" t="e">
        <f t="shared" si="151"/>
        <v>#REF!</v>
      </c>
      <c r="EC196" t="e">
        <f t="shared" si="151"/>
        <v>#REF!</v>
      </c>
      <c r="ED196" t="e">
        <f t="shared" si="151"/>
        <v>#REF!</v>
      </c>
      <c r="EE196" t="e">
        <f t="shared" si="151"/>
        <v>#REF!</v>
      </c>
      <c r="EF196" t="e">
        <f t="shared" si="151"/>
        <v>#REF!</v>
      </c>
      <c r="EG196" t="e">
        <f t="shared" si="151"/>
        <v>#REF!</v>
      </c>
      <c r="EH196" t="e">
        <f t="shared" si="151"/>
        <v>#REF!</v>
      </c>
      <c r="EI196" t="e">
        <f t="shared" si="151"/>
        <v>#REF!</v>
      </c>
      <c r="EJ196" t="e">
        <f t="shared" si="151"/>
        <v>#REF!</v>
      </c>
      <c r="EK196" t="e">
        <f t="shared" si="151"/>
        <v>#REF!</v>
      </c>
      <c r="EL196" t="e">
        <f t="shared" si="151"/>
        <v>#REF!</v>
      </c>
      <c r="EM196" t="e">
        <f t="shared" si="151"/>
        <v>#REF!</v>
      </c>
    </row>
    <row r="197" spans="1:143" x14ac:dyDescent="0.4">
      <c r="A197" t="str">
        <f t="shared" si="120"/>
        <v>X</v>
      </c>
      <c r="B197">
        <v>194</v>
      </c>
      <c r="C197" t="e" cm="1">
        <f t="array" ref="C197">INDEX(auto_Series_Code,B197)</f>
        <v>#REF!</v>
      </c>
      <c r="D197" t="e">
        <f t="shared" si="142"/>
        <v>#REF!</v>
      </c>
      <c r="E197" t="e">
        <f t="shared" si="142"/>
        <v>#REF!</v>
      </c>
      <c r="F197" t="e">
        <f t="shared" si="142"/>
        <v>#REF!</v>
      </c>
      <c r="G197" t="e">
        <f t="shared" si="142"/>
        <v>#REF!</v>
      </c>
      <c r="H197" t="e">
        <f t="shared" si="142"/>
        <v>#REF!</v>
      </c>
      <c r="I197" t="e">
        <f t="shared" si="142"/>
        <v>#REF!</v>
      </c>
      <c r="J197" t="e">
        <f t="shared" si="142"/>
        <v>#REF!</v>
      </c>
      <c r="K197" t="e">
        <f t="shared" si="142"/>
        <v>#REF!</v>
      </c>
      <c r="L197" t="e">
        <f t="shared" si="142"/>
        <v>#REF!</v>
      </c>
      <c r="M197" t="e">
        <f t="shared" si="142"/>
        <v>#REF!</v>
      </c>
      <c r="N197" t="e">
        <f t="shared" si="142"/>
        <v>#REF!</v>
      </c>
      <c r="O197" t="e">
        <f t="shared" si="142"/>
        <v>#REF!</v>
      </c>
      <c r="P197" t="e">
        <f t="shared" si="142"/>
        <v>#REF!</v>
      </c>
      <c r="Q197" t="e">
        <f t="shared" si="142"/>
        <v>#REF!</v>
      </c>
      <c r="R197" t="e">
        <f t="shared" si="142"/>
        <v>#REF!</v>
      </c>
      <c r="S197" t="e">
        <f t="shared" si="142"/>
        <v>#REF!</v>
      </c>
      <c r="T197" t="e">
        <f t="shared" si="140"/>
        <v>#REF!</v>
      </c>
      <c r="U197" t="e">
        <f t="shared" si="140"/>
        <v>#REF!</v>
      </c>
      <c r="V197" t="e">
        <f t="shared" si="140"/>
        <v>#REF!</v>
      </c>
      <c r="W197" t="e">
        <f t="shared" si="140"/>
        <v>#REF!</v>
      </c>
      <c r="X197" t="e">
        <f t="shared" si="140"/>
        <v>#REF!</v>
      </c>
      <c r="Y197" t="e">
        <f t="shared" si="140"/>
        <v>#REF!</v>
      </c>
      <c r="Z197" t="e">
        <f t="shared" si="140"/>
        <v>#REF!</v>
      </c>
      <c r="AA197" t="e">
        <f t="shared" si="140"/>
        <v>#REF!</v>
      </c>
      <c r="AB197" t="e">
        <f t="shared" si="140"/>
        <v>#REF!</v>
      </c>
      <c r="AC197" t="e">
        <f t="shared" si="140"/>
        <v>#REF!</v>
      </c>
      <c r="AD197" t="e">
        <f t="shared" si="140"/>
        <v>#REF!</v>
      </c>
      <c r="AE197" t="e">
        <f t="shared" si="140"/>
        <v>#REF!</v>
      </c>
      <c r="AF197" t="e">
        <f t="shared" si="140"/>
        <v>#REF!</v>
      </c>
      <c r="AG197" t="e">
        <f t="shared" si="140"/>
        <v>#REF!</v>
      </c>
      <c r="AH197" t="e">
        <f t="shared" si="140"/>
        <v>#REF!</v>
      </c>
      <c r="AI197" t="e">
        <f t="shared" si="144"/>
        <v>#REF!</v>
      </c>
      <c r="AJ197" t="e">
        <f t="shared" si="144"/>
        <v>#REF!</v>
      </c>
      <c r="AK197" t="e">
        <f t="shared" si="144"/>
        <v>#REF!</v>
      </c>
      <c r="AL197" t="e">
        <f t="shared" si="144"/>
        <v>#REF!</v>
      </c>
      <c r="AM197" t="e">
        <f t="shared" si="144"/>
        <v>#REF!</v>
      </c>
      <c r="AN197" t="e">
        <f t="shared" si="144"/>
        <v>#REF!</v>
      </c>
      <c r="AO197" t="e">
        <f t="shared" si="144"/>
        <v>#REF!</v>
      </c>
      <c r="AP197" t="e">
        <f t="shared" si="144"/>
        <v>#REF!</v>
      </c>
      <c r="AQ197" t="e">
        <f t="shared" si="144"/>
        <v>#REF!</v>
      </c>
      <c r="AR197" t="e">
        <f t="shared" si="143"/>
        <v>#REF!</v>
      </c>
      <c r="AS197" t="e">
        <f t="shared" si="143"/>
        <v>#REF!</v>
      </c>
      <c r="AT197" t="e">
        <f t="shared" si="143"/>
        <v>#REF!</v>
      </c>
      <c r="AU197" t="e">
        <f t="shared" si="143"/>
        <v>#REF!</v>
      </c>
      <c r="AV197" t="e">
        <f t="shared" si="143"/>
        <v>#REF!</v>
      </c>
      <c r="AW197" t="e">
        <f t="shared" si="143"/>
        <v>#REF!</v>
      </c>
      <c r="AX197" t="e">
        <f t="shared" si="143"/>
        <v>#REF!</v>
      </c>
      <c r="AY197" t="e">
        <f t="shared" si="143"/>
        <v>#REF!</v>
      </c>
      <c r="AZ197" t="e">
        <f t="shared" si="143"/>
        <v>#REF!</v>
      </c>
      <c r="BA197" t="e">
        <f t="shared" si="143"/>
        <v>#REF!</v>
      </c>
      <c r="BB197" t="e">
        <f t="shared" si="143"/>
        <v>#REF!</v>
      </c>
      <c r="BC197" t="e">
        <f t="shared" si="143"/>
        <v>#REF!</v>
      </c>
      <c r="BD197" t="e">
        <f t="shared" si="143"/>
        <v>#REF!</v>
      </c>
      <c r="BE197" t="e">
        <f t="shared" si="143"/>
        <v>#REF!</v>
      </c>
      <c r="BF197" t="e">
        <f t="shared" si="143"/>
        <v>#REF!</v>
      </c>
      <c r="BG197" t="e">
        <f t="shared" si="149"/>
        <v>#REF!</v>
      </c>
      <c r="BH197" t="e">
        <f t="shared" si="149"/>
        <v>#REF!</v>
      </c>
      <c r="BI197" t="e">
        <f t="shared" si="149"/>
        <v>#REF!</v>
      </c>
      <c r="BJ197" t="e">
        <f t="shared" si="149"/>
        <v>#REF!</v>
      </c>
      <c r="BK197" t="e">
        <f t="shared" si="149"/>
        <v>#REF!</v>
      </c>
      <c r="BL197" t="e">
        <f t="shared" si="134"/>
        <v>#REF!</v>
      </c>
      <c r="BM197" t="e">
        <f t="shared" si="134"/>
        <v>#REF!</v>
      </c>
      <c r="BN197" t="e">
        <f t="shared" si="134"/>
        <v>#REF!</v>
      </c>
      <c r="BO197" t="e">
        <f t="shared" si="134"/>
        <v>#REF!</v>
      </c>
      <c r="BP197" t="e">
        <f t="shared" si="134"/>
        <v>#REF!</v>
      </c>
      <c r="BQ197" t="e">
        <f t="shared" si="134"/>
        <v>#REF!</v>
      </c>
      <c r="BR197" t="e">
        <f t="shared" si="134"/>
        <v>#REF!</v>
      </c>
      <c r="BS197" t="e">
        <f t="shared" si="134"/>
        <v>#REF!</v>
      </c>
      <c r="BT197" t="e">
        <f t="shared" si="134"/>
        <v>#REF!</v>
      </c>
      <c r="BU197" t="e">
        <f t="shared" si="134"/>
        <v>#REF!</v>
      </c>
      <c r="BV197" t="e">
        <f t="shared" si="134"/>
        <v>#REF!</v>
      </c>
      <c r="BW197" t="e">
        <f t="shared" si="147"/>
        <v>#REF!</v>
      </c>
      <c r="BX197" t="e">
        <f t="shared" si="147"/>
        <v>#REF!</v>
      </c>
      <c r="BY197" t="e">
        <f t="shared" si="147"/>
        <v>#REF!</v>
      </c>
      <c r="BZ197" t="e">
        <f t="shared" si="147"/>
        <v>#REF!</v>
      </c>
      <c r="CA197" t="e">
        <f t="shared" si="147"/>
        <v>#REF!</v>
      </c>
      <c r="CB197" t="e">
        <f t="shared" si="147"/>
        <v>#REF!</v>
      </c>
      <c r="CC197" t="e">
        <f t="shared" si="147"/>
        <v>#REF!</v>
      </c>
      <c r="CD197" t="e">
        <f t="shared" si="147"/>
        <v>#REF!</v>
      </c>
      <c r="CE197" t="e">
        <f t="shared" si="147"/>
        <v>#REF!</v>
      </c>
      <c r="CF197" t="e">
        <f t="shared" si="147"/>
        <v>#REF!</v>
      </c>
      <c r="CG197" t="e">
        <f t="shared" si="147"/>
        <v>#REF!</v>
      </c>
      <c r="CH197" t="e">
        <f t="shared" si="147"/>
        <v>#REF!</v>
      </c>
      <c r="CI197" t="e">
        <f t="shared" si="147"/>
        <v>#REF!</v>
      </c>
      <c r="CJ197" t="e">
        <f t="shared" si="147"/>
        <v>#REF!</v>
      </c>
      <c r="CK197" t="e">
        <f t="shared" si="147"/>
        <v>#REF!</v>
      </c>
      <c r="CL197" t="e">
        <f t="shared" si="147"/>
        <v>#REF!</v>
      </c>
      <c r="CM197" t="e">
        <f t="shared" si="150"/>
        <v>#REF!</v>
      </c>
      <c r="CN197" t="e">
        <f t="shared" si="150"/>
        <v>#REF!</v>
      </c>
      <c r="CO197" t="e">
        <f t="shared" si="150"/>
        <v>#REF!</v>
      </c>
      <c r="CP197" t="e">
        <f t="shared" si="150"/>
        <v>#REF!</v>
      </c>
      <c r="CQ197" t="e">
        <f t="shared" si="150"/>
        <v>#REF!</v>
      </c>
      <c r="CR197" t="e">
        <f t="shared" si="150"/>
        <v>#REF!</v>
      </c>
      <c r="CS197" t="e">
        <f t="shared" si="150"/>
        <v>#REF!</v>
      </c>
      <c r="CT197" t="e">
        <f t="shared" si="150"/>
        <v>#REF!</v>
      </c>
      <c r="CU197" t="e">
        <f t="shared" si="150"/>
        <v>#REF!</v>
      </c>
      <c r="CV197" t="e">
        <f t="shared" si="150"/>
        <v>#REF!</v>
      </c>
      <c r="CW197" t="e">
        <f t="shared" si="150"/>
        <v>#REF!</v>
      </c>
      <c r="CX197" t="e">
        <f t="shared" si="150"/>
        <v>#REF!</v>
      </c>
      <c r="CY197" t="e">
        <f t="shared" si="150"/>
        <v>#REF!</v>
      </c>
      <c r="CZ197" t="e">
        <f t="shared" si="136"/>
        <v>#REF!</v>
      </c>
      <c r="DA197" t="e">
        <f t="shared" si="136"/>
        <v>#REF!</v>
      </c>
      <c r="DB197" t="e">
        <f t="shared" si="136"/>
        <v>#REF!</v>
      </c>
      <c r="DC197" t="e">
        <f t="shared" si="136"/>
        <v>#REF!</v>
      </c>
      <c r="DD197" t="e">
        <f t="shared" si="136"/>
        <v>#REF!</v>
      </c>
      <c r="DE197" t="e">
        <f t="shared" si="136"/>
        <v>#REF!</v>
      </c>
      <c r="DF197" t="e">
        <f t="shared" si="136"/>
        <v>#REF!</v>
      </c>
      <c r="DG197" t="e">
        <f t="shared" si="138"/>
        <v>#REF!</v>
      </c>
      <c r="DH197" t="e">
        <f t="shared" si="138"/>
        <v>#REF!</v>
      </c>
      <c r="DI197" t="e">
        <f t="shared" si="138"/>
        <v>#REF!</v>
      </c>
      <c r="DJ197" t="e">
        <f t="shared" si="138"/>
        <v>#REF!</v>
      </c>
      <c r="DK197" t="e">
        <f t="shared" si="138"/>
        <v>#REF!</v>
      </c>
      <c r="DL197" t="e">
        <f t="shared" si="138"/>
        <v>#REF!</v>
      </c>
      <c r="DM197" t="e">
        <f t="shared" si="138"/>
        <v>#REF!</v>
      </c>
      <c r="DN197" t="e">
        <f t="shared" si="138"/>
        <v>#REF!</v>
      </c>
      <c r="DO197" t="e">
        <f t="shared" si="138"/>
        <v>#REF!</v>
      </c>
      <c r="DP197" t="e">
        <f t="shared" si="138"/>
        <v>#REF!</v>
      </c>
      <c r="DQ197" t="e">
        <f t="shared" si="138"/>
        <v>#REF!</v>
      </c>
      <c r="DR197" t="e">
        <f t="shared" ref="DR197:EG233" si="153">MATCH(CONCATENATE(DR$3,"_",$C197),auto_DataFlat_UID,0)</f>
        <v>#REF!</v>
      </c>
      <c r="DS197" t="e">
        <f t="shared" si="153"/>
        <v>#REF!</v>
      </c>
      <c r="DT197" t="e">
        <f t="shared" si="153"/>
        <v>#REF!</v>
      </c>
      <c r="DU197" t="e">
        <f t="shared" si="153"/>
        <v>#REF!</v>
      </c>
      <c r="DV197" t="e">
        <f t="shared" si="153"/>
        <v>#REF!</v>
      </c>
      <c r="DW197" t="e">
        <f t="shared" si="153"/>
        <v>#REF!</v>
      </c>
      <c r="DX197" t="e">
        <f t="shared" si="153"/>
        <v>#REF!</v>
      </c>
      <c r="DY197" t="e">
        <f t="shared" si="153"/>
        <v>#REF!</v>
      </c>
      <c r="DZ197" t="e">
        <f t="shared" si="151"/>
        <v>#REF!</v>
      </c>
      <c r="EA197" t="e">
        <f t="shared" si="151"/>
        <v>#REF!</v>
      </c>
      <c r="EB197" t="e">
        <f t="shared" si="151"/>
        <v>#REF!</v>
      </c>
      <c r="EC197" t="e">
        <f t="shared" si="151"/>
        <v>#REF!</v>
      </c>
      <c r="ED197" t="e">
        <f t="shared" si="151"/>
        <v>#REF!</v>
      </c>
      <c r="EE197" t="e">
        <f t="shared" si="151"/>
        <v>#REF!</v>
      </c>
      <c r="EF197" t="e">
        <f t="shared" si="151"/>
        <v>#REF!</v>
      </c>
      <c r="EG197" t="e">
        <f t="shared" si="151"/>
        <v>#REF!</v>
      </c>
      <c r="EH197" t="e">
        <f t="shared" si="151"/>
        <v>#REF!</v>
      </c>
      <c r="EI197" t="e">
        <f t="shared" si="151"/>
        <v>#REF!</v>
      </c>
      <c r="EJ197" t="e">
        <f t="shared" si="151"/>
        <v>#REF!</v>
      </c>
      <c r="EK197" t="e">
        <f t="shared" si="151"/>
        <v>#REF!</v>
      </c>
      <c r="EL197" t="e">
        <f t="shared" si="151"/>
        <v>#REF!</v>
      </c>
      <c r="EM197" t="e">
        <f t="shared" si="151"/>
        <v>#REF!</v>
      </c>
    </row>
    <row r="198" spans="1:143" x14ac:dyDescent="0.4">
      <c r="A198" t="str">
        <f t="shared" si="120"/>
        <v>X</v>
      </c>
      <c r="B198">
        <v>195</v>
      </c>
      <c r="C198" t="e" cm="1">
        <f t="array" ref="C198">INDEX(auto_Series_Code,B198)</f>
        <v>#REF!</v>
      </c>
      <c r="D198" t="e">
        <f t="shared" si="142"/>
        <v>#REF!</v>
      </c>
      <c r="E198" t="e">
        <f t="shared" si="142"/>
        <v>#REF!</v>
      </c>
      <c r="F198" t="e">
        <f t="shared" si="142"/>
        <v>#REF!</v>
      </c>
      <c r="G198" t="e">
        <f t="shared" si="142"/>
        <v>#REF!</v>
      </c>
      <c r="H198" t="e">
        <f t="shared" si="142"/>
        <v>#REF!</v>
      </c>
      <c r="I198" t="e">
        <f t="shared" si="142"/>
        <v>#REF!</v>
      </c>
      <c r="J198" t="e">
        <f t="shared" si="142"/>
        <v>#REF!</v>
      </c>
      <c r="K198" t="e">
        <f t="shared" si="142"/>
        <v>#REF!</v>
      </c>
      <c r="L198" t="e">
        <f t="shared" si="142"/>
        <v>#REF!</v>
      </c>
      <c r="M198" t="e">
        <f t="shared" si="142"/>
        <v>#REF!</v>
      </c>
      <c r="N198" t="e">
        <f t="shared" si="142"/>
        <v>#REF!</v>
      </c>
      <c r="O198" t="e">
        <f t="shared" si="142"/>
        <v>#REF!</v>
      </c>
      <c r="P198" t="e">
        <f t="shared" si="142"/>
        <v>#REF!</v>
      </c>
      <c r="Q198" t="e">
        <f t="shared" si="142"/>
        <v>#REF!</v>
      </c>
      <c r="R198" t="e">
        <f t="shared" si="142"/>
        <v>#REF!</v>
      </c>
      <c r="S198" t="e">
        <f t="shared" si="142"/>
        <v>#REF!</v>
      </c>
      <c r="T198" t="e">
        <f t="shared" si="140"/>
        <v>#REF!</v>
      </c>
      <c r="U198" t="e">
        <f t="shared" si="140"/>
        <v>#REF!</v>
      </c>
      <c r="V198" t="e">
        <f t="shared" si="140"/>
        <v>#REF!</v>
      </c>
      <c r="W198" t="e">
        <f t="shared" si="140"/>
        <v>#REF!</v>
      </c>
      <c r="X198" t="e">
        <f t="shared" si="140"/>
        <v>#REF!</v>
      </c>
      <c r="Y198" t="e">
        <f t="shared" si="140"/>
        <v>#REF!</v>
      </c>
      <c r="Z198" t="e">
        <f t="shared" si="140"/>
        <v>#REF!</v>
      </c>
      <c r="AA198" t="e">
        <f t="shared" si="140"/>
        <v>#REF!</v>
      </c>
      <c r="AB198" t="e">
        <f t="shared" si="140"/>
        <v>#REF!</v>
      </c>
      <c r="AC198" t="e">
        <f t="shared" si="140"/>
        <v>#REF!</v>
      </c>
      <c r="AD198" t="e">
        <f t="shared" si="140"/>
        <v>#REF!</v>
      </c>
      <c r="AE198" t="e">
        <f t="shared" si="140"/>
        <v>#REF!</v>
      </c>
      <c r="AF198" t="e">
        <f t="shared" si="140"/>
        <v>#REF!</v>
      </c>
      <c r="AG198" t="e">
        <f t="shared" si="140"/>
        <v>#REF!</v>
      </c>
      <c r="AH198" t="e">
        <f t="shared" si="140"/>
        <v>#REF!</v>
      </c>
      <c r="AI198" t="e">
        <f t="shared" si="144"/>
        <v>#REF!</v>
      </c>
      <c r="AJ198" t="e">
        <f t="shared" si="144"/>
        <v>#REF!</v>
      </c>
      <c r="AK198" t="e">
        <f t="shared" si="144"/>
        <v>#REF!</v>
      </c>
      <c r="AL198" t="e">
        <f t="shared" si="144"/>
        <v>#REF!</v>
      </c>
      <c r="AM198" t="e">
        <f t="shared" si="144"/>
        <v>#REF!</v>
      </c>
      <c r="AN198" t="e">
        <f t="shared" si="144"/>
        <v>#REF!</v>
      </c>
      <c r="AO198" t="e">
        <f t="shared" si="144"/>
        <v>#REF!</v>
      </c>
      <c r="AP198" t="e">
        <f t="shared" si="144"/>
        <v>#REF!</v>
      </c>
      <c r="AQ198" t="e">
        <f t="shared" si="144"/>
        <v>#REF!</v>
      </c>
      <c r="AR198" t="e">
        <f t="shared" si="143"/>
        <v>#REF!</v>
      </c>
      <c r="AS198" t="e">
        <f t="shared" si="143"/>
        <v>#REF!</v>
      </c>
      <c r="AT198" t="e">
        <f t="shared" si="143"/>
        <v>#REF!</v>
      </c>
      <c r="AU198" t="e">
        <f t="shared" si="143"/>
        <v>#REF!</v>
      </c>
      <c r="AV198" t="e">
        <f t="shared" si="143"/>
        <v>#REF!</v>
      </c>
      <c r="AW198" t="e">
        <f t="shared" si="143"/>
        <v>#REF!</v>
      </c>
      <c r="AX198" t="e">
        <f t="shared" si="143"/>
        <v>#REF!</v>
      </c>
      <c r="AY198" t="e">
        <f t="shared" si="143"/>
        <v>#REF!</v>
      </c>
      <c r="AZ198" t="e">
        <f t="shared" si="143"/>
        <v>#REF!</v>
      </c>
      <c r="BA198" t="e">
        <f t="shared" si="143"/>
        <v>#REF!</v>
      </c>
      <c r="BB198" t="e">
        <f t="shared" si="143"/>
        <v>#REF!</v>
      </c>
      <c r="BC198" t="e">
        <f t="shared" si="143"/>
        <v>#REF!</v>
      </c>
      <c r="BD198" t="e">
        <f t="shared" si="143"/>
        <v>#REF!</v>
      </c>
      <c r="BE198" t="e">
        <f t="shared" si="143"/>
        <v>#REF!</v>
      </c>
      <c r="BF198" t="e">
        <f t="shared" si="143"/>
        <v>#REF!</v>
      </c>
      <c r="BG198" t="e">
        <f t="shared" si="149"/>
        <v>#REF!</v>
      </c>
      <c r="BH198" t="e">
        <f t="shared" si="149"/>
        <v>#REF!</v>
      </c>
      <c r="BI198" t="e">
        <f t="shared" si="149"/>
        <v>#REF!</v>
      </c>
      <c r="BJ198" t="e">
        <f t="shared" si="149"/>
        <v>#REF!</v>
      </c>
      <c r="BK198" t="e">
        <f t="shared" si="149"/>
        <v>#REF!</v>
      </c>
      <c r="BL198" t="e">
        <f t="shared" si="134"/>
        <v>#REF!</v>
      </c>
      <c r="BM198" t="e">
        <f t="shared" si="134"/>
        <v>#REF!</v>
      </c>
      <c r="BN198" t="e">
        <f t="shared" si="134"/>
        <v>#REF!</v>
      </c>
      <c r="BO198" t="e">
        <f t="shared" si="134"/>
        <v>#REF!</v>
      </c>
      <c r="BP198" t="e">
        <f t="shared" si="134"/>
        <v>#REF!</v>
      </c>
      <c r="BQ198" t="e">
        <f t="shared" si="134"/>
        <v>#REF!</v>
      </c>
      <c r="BR198" t="e">
        <f t="shared" si="134"/>
        <v>#REF!</v>
      </c>
      <c r="BS198" t="e">
        <f t="shared" si="134"/>
        <v>#REF!</v>
      </c>
      <c r="BT198" t="e">
        <f t="shared" si="134"/>
        <v>#REF!</v>
      </c>
      <c r="BU198" t="e">
        <f t="shared" si="134"/>
        <v>#REF!</v>
      </c>
      <c r="BV198" t="e">
        <f t="shared" si="134"/>
        <v>#REF!</v>
      </c>
      <c r="BW198" t="e">
        <f t="shared" si="147"/>
        <v>#REF!</v>
      </c>
      <c r="BX198" t="e">
        <f t="shared" si="147"/>
        <v>#REF!</v>
      </c>
      <c r="BY198" t="e">
        <f t="shared" si="147"/>
        <v>#REF!</v>
      </c>
      <c r="BZ198" t="e">
        <f t="shared" si="147"/>
        <v>#REF!</v>
      </c>
      <c r="CA198" t="e">
        <f t="shared" si="147"/>
        <v>#REF!</v>
      </c>
      <c r="CB198" t="e">
        <f t="shared" si="147"/>
        <v>#REF!</v>
      </c>
      <c r="CC198" t="e">
        <f t="shared" si="147"/>
        <v>#REF!</v>
      </c>
      <c r="CD198" t="e">
        <f t="shared" si="147"/>
        <v>#REF!</v>
      </c>
      <c r="CE198" t="e">
        <f t="shared" si="147"/>
        <v>#REF!</v>
      </c>
      <c r="CF198" t="e">
        <f t="shared" si="147"/>
        <v>#REF!</v>
      </c>
      <c r="CG198" t="e">
        <f t="shared" si="147"/>
        <v>#REF!</v>
      </c>
      <c r="CH198" t="e">
        <f t="shared" si="147"/>
        <v>#REF!</v>
      </c>
      <c r="CI198" t="e">
        <f t="shared" si="147"/>
        <v>#REF!</v>
      </c>
      <c r="CJ198" t="e">
        <f t="shared" si="147"/>
        <v>#REF!</v>
      </c>
      <c r="CK198" t="e">
        <f t="shared" si="147"/>
        <v>#REF!</v>
      </c>
      <c r="CL198" t="e">
        <f t="shared" si="147"/>
        <v>#REF!</v>
      </c>
      <c r="CM198" t="e">
        <f t="shared" si="150"/>
        <v>#REF!</v>
      </c>
      <c r="CN198" t="e">
        <f t="shared" si="150"/>
        <v>#REF!</v>
      </c>
      <c r="CO198" t="e">
        <f t="shared" si="150"/>
        <v>#REF!</v>
      </c>
      <c r="CP198" t="e">
        <f t="shared" si="150"/>
        <v>#REF!</v>
      </c>
      <c r="CQ198" t="e">
        <f t="shared" si="150"/>
        <v>#REF!</v>
      </c>
      <c r="CR198" t="e">
        <f t="shared" si="150"/>
        <v>#REF!</v>
      </c>
      <c r="CS198" t="e">
        <f t="shared" si="150"/>
        <v>#REF!</v>
      </c>
      <c r="CT198" t="e">
        <f t="shared" si="150"/>
        <v>#REF!</v>
      </c>
      <c r="CU198" t="e">
        <f t="shared" si="150"/>
        <v>#REF!</v>
      </c>
      <c r="CV198" t="e">
        <f t="shared" si="150"/>
        <v>#REF!</v>
      </c>
      <c r="CW198" t="e">
        <f t="shared" si="150"/>
        <v>#REF!</v>
      </c>
      <c r="CX198" t="e">
        <f t="shared" si="150"/>
        <v>#REF!</v>
      </c>
      <c r="CY198" t="e">
        <f t="shared" si="150"/>
        <v>#REF!</v>
      </c>
      <c r="CZ198" t="e">
        <f t="shared" si="136"/>
        <v>#REF!</v>
      </c>
      <c r="DA198" t="e">
        <f t="shared" si="136"/>
        <v>#REF!</v>
      </c>
      <c r="DB198" t="e">
        <f t="shared" si="136"/>
        <v>#REF!</v>
      </c>
      <c r="DC198" t="e">
        <f t="shared" si="136"/>
        <v>#REF!</v>
      </c>
      <c r="DD198" t="e">
        <f t="shared" si="136"/>
        <v>#REF!</v>
      </c>
      <c r="DE198" t="e">
        <f t="shared" si="136"/>
        <v>#REF!</v>
      </c>
      <c r="DF198" t="e">
        <f t="shared" si="136"/>
        <v>#REF!</v>
      </c>
      <c r="DG198" t="e">
        <f t="shared" ref="DG198:DV216" si="154">MATCH(CONCATENATE(DG$3,"_",$C198),auto_DataFlat_UID,0)</f>
        <v>#REF!</v>
      </c>
      <c r="DH198" t="e">
        <f t="shared" si="154"/>
        <v>#REF!</v>
      </c>
      <c r="DI198" t="e">
        <f t="shared" si="154"/>
        <v>#REF!</v>
      </c>
      <c r="DJ198" t="e">
        <f t="shared" si="154"/>
        <v>#REF!</v>
      </c>
      <c r="DK198" t="e">
        <f t="shared" si="154"/>
        <v>#REF!</v>
      </c>
      <c r="DL198" t="e">
        <f t="shared" si="154"/>
        <v>#REF!</v>
      </c>
      <c r="DM198" t="e">
        <f t="shared" si="154"/>
        <v>#REF!</v>
      </c>
      <c r="DN198" t="e">
        <f t="shared" si="154"/>
        <v>#REF!</v>
      </c>
      <c r="DO198" t="e">
        <f t="shared" si="154"/>
        <v>#REF!</v>
      </c>
      <c r="DP198" t="e">
        <f t="shared" si="154"/>
        <v>#REF!</v>
      </c>
      <c r="DQ198" t="e">
        <f t="shared" si="154"/>
        <v>#REF!</v>
      </c>
      <c r="DR198" t="e">
        <f t="shared" si="154"/>
        <v>#REF!</v>
      </c>
      <c r="DS198" t="e">
        <f t="shared" si="154"/>
        <v>#REF!</v>
      </c>
      <c r="DT198" t="e">
        <f t="shared" si="154"/>
        <v>#REF!</v>
      </c>
      <c r="DU198" t="e">
        <f t="shared" si="154"/>
        <v>#REF!</v>
      </c>
      <c r="DV198" t="e">
        <f t="shared" si="154"/>
        <v>#REF!</v>
      </c>
      <c r="DW198" t="e">
        <f t="shared" si="153"/>
        <v>#REF!</v>
      </c>
      <c r="DX198" t="e">
        <f t="shared" si="153"/>
        <v>#REF!</v>
      </c>
      <c r="DY198" t="e">
        <f t="shared" si="153"/>
        <v>#REF!</v>
      </c>
      <c r="DZ198" t="e">
        <f t="shared" si="151"/>
        <v>#REF!</v>
      </c>
      <c r="EA198" t="e">
        <f t="shared" si="151"/>
        <v>#REF!</v>
      </c>
      <c r="EB198" t="e">
        <f t="shared" si="151"/>
        <v>#REF!</v>
      </c>
      <c r="EC198" t="e">
        <f t="shared" si="151"/>
        <v>#REF!</v>
      </c>
      <c r="ED198" t="e">
        <f t="shared" si="151"/>
        <v>#REF!</v>
      </c>
      <c r="EE198" t="e">
        <f t="shared" si="151"/>
        <v>#REF!</v>
      </c>
      <c r="EF198" t="e">
        <f t="shared" si="151"/>
        <v>#REF!</v>
      </c>
      <c r="EG198" t="e">
        <f t="shared" si="151"/>
        <v>#REF!</v>
      </c>
      <c r="EH198" t="e">
        <f t="shared" si="151"/>
        <v>#REF!</v>
      </c>
      <c r="EI198" t="e">
        <f t="shared" si="151"/>
        <v>#REF!</v>
      </c>
      <c r="EJ198" t="e">
        <f t="shared" si="151"/>
        <v>#REF!</v>
      </c>
      <c r="EK198" t="e">
        <f t="shared" si="151"/>
        <v>#REF!</v>
      </c>
      <c r="EL198" t="e">
        <f t="shared" si="151"/>
        <v>#REF!</v>
      </c>
      <c r="EM198" t="e">
        <f t="shared" si="151"/>
        <v>#REF!</v>
      </c>
    </row>
    <row r="199" spans="1:143" x14ac:dyDescent="0.4">
      <c r="A199" t="str">
        <f t="shared" si="120"/>
        <v>X</v>
      </c>
      <c r="B199">
        <v>196</v>
      </c>
      <c r="C199" t="e" cm="1">
        <f t="array" ref="C199">INDEX(auto_Series_Code,B199)</f>
        <v>#REF!</v>
      </c>
      <c r="D199" t="e">
        <f t="shared" si="142"/>
        <v>#REF!</v>
      </c>
      <c r="E199" t="e">
        <f t="shared" si="142"/>
        <v>#REF!</v>
      </c>
      <c r="F199" t="e">
        <f t="shared" si="142"/>
        <v>#REF!</v>
      </c>
      <c r="G199" t="e">
        <f t="shared" si="142"/>
        <v>#REF!</v>
      </c>
      <c r="H199" t="e">
        <f t="shared" si="142"/>
        <v>#REF!</v>
      </c>
      <c r="I199" t="e">
        <f t="shared" si="142"/>
        <v>#REF!</v>
      </c>
      <c r="J199" t="e">
        <f t="shared" si="142"/>
        <v>#REF!</v>
      </c>
      <c r="K199" t="e">
        <f t="shared" si="142"/>
        <v>#REF!</v>
      </c>
      <c r="L199" t="e">
        <f t="shared" si="142"/>
        <v>#REF!</v>
      </c>
      <c r="M199" t="e">
        <f t="shared" si="142"/>
        <v>#REF!</v>
      </c>
      <c r="N199" t="e">
        <f t="shared" si="142"/>
        <v>#REF!</v>
      </c>
      <c r="O199" t="e">
        <f t="shared" si="142"/>
        <v>#REF!</v>
      </c>
      <c r="P199" t="e">
        <f t="shared" si="142"/>
        <v>#REF!</v>
      </c>
      <c r="Q199" t="e">
        <f t="shared" si="142"/>
        <v>#REF!</v>
      </c>
      <c r="R199" t="e">
        <f t="shared" si="142"/>
        <v>#REF!</v>
      </c>
      <c r="S199" t="e">
        <f t="shared" ref="S199:AG221" si="155">MATCH(CONCATENATE(S$3,"_",$C199),auto_DataFlat_UID,0)</f>
        <v>#REF!</v>
      </c>
      <c r="T199" t="e">
        <f t="shared" si="155"/>
        <v>#REF!</v>
      </c>
      <c r="U199" t="e">
        <f t="shared" si="155"/>
        <v>#REF!</v>
      </c>
      <c r="V199" t="e">
        <f t="shared" si="155"/>
        <v>#REF!</v>
      </c>
      <c r="W199" t="e">
        <f t="shared" si="155"/>
        <v>#REF!</v>
      </c>
      <c r="X199" t="e">
        <f t="shared" si="140"/>
        <v>#REF!</v>
      </c>
      <c r="Y199" t="e">
        <f t="shared" si="140"/>
        <v>#REF!</v>
      </c>
      <c r="Z199" t="e">
        <f t="shared" si="140"/>
        <v>#REF!</v>
      </c>
      <c r="AA199" t="e">
        <f t="shared" si="140"/>
        <v>#REF!</v>
      </c>
      <c r="AB199" t="e">
        <f t="shared" si="140"/>
        <v>#REF!</v>
      </c>
      <c r="AC199" t="e">
        <f t="shared" si="140"/>
        <v>#REF!</v>
      </c>
      <c r="AD199" t="e">
        <f t="shared" si="140"/>
        <v>#REF!</v>
      </c>
      <c r="AE199" t="e">
        <f t="shared" si="140"/>
        <v>#REF!</v>
      </c>
      <c r="AF199" t="e">
        <f t="shared" si="140"/>
        <v>#REF!</v>
      </c>
      <c r="AG199" t="e">
        <f t="shared" si="140"/>
        <v>#REF!</v>
      </c>
      <c r="AH199" t="e">
        <f t="shared" si="140"/>
        <v>#REF!</v>
      </c>
      <c r="AI199" t="e">
        <f t="shared" si="144"/>
        <v>#REF!</v>
      </c>
      <c r="AJ199" t="e">
        <f t="shared" si="144"/>
        <v>#REF!</v>
      </c>
      <c r="AK199" t="e">
        <f t="shared" si="144"/>
        <v>#REF!</v>
      </c>
      <c r="AL199" t="e">
        <f t="shared" si="144"/>
        <v>#REF!</v>
      </c>
      <c r="AM199" t="e">
        <f t="shared" si="144"/>
        <v>#REF!</v>
      </c>
      <c r="AN199" t="e">
        <f t="shared" si="144"/>
        <v>#REF!</v>
      </c>
      <c r="AO199" t="e">
        <f t="shared" si="144"/>
        <v>#REF!</v>
      </c>
      <c r="AP199" t="e">
        <f t="shared" si="144"/>
        <v>#REF!</v>
      </c>
      <c r="AQ199" t="e">
        <f t="shared" si="144"/>
        <v>#REF!</v>
      </c>
      <c r="AR199" t="e">
        <f t="shared" si="143"/>
        <v>#REF!</v>
      </c>
      <c r="AS199" t="e">
        <f t="shared" si="143"/>
        <v>#REF!</v>
      </c>
      <c r="AT199" t="e">
        <f t="shared" si="143"/>
        <v>#REF!</v>
      </c>
      <c r="AU199" t="e">
        <f t="shared" si="143"/>
        <v>#REF!</v>
      </c>
      <c r="AV199" t="e">
        <f t="shared" si="143"/>
        <v>#REF!</v>
      </c>
      <c r="AW199" t="e">
        <f t="shared" si="143"/>
        <v>#REF!</v>
      </c>
      <c r="AX199" t="e">
        <f t="shared" si="143"/>
        <v>#REF!</v>
      </c>
      <c r="AY199" t="e">
        <f t="shared" si="143"/>
        <v>#REF!</v>
      </c>
      <c r="AZ199" t="e">
        <f t="shared" si="143"/>
        <v>#REF!</v>
      </c>
      <c r="BA199" t="e">
        <f t="shared" si="143"/>
        <v>#REF!</v>
      </c>
      <c r="BB199" t="e">
        <f t="shared" si="143"/>
        <v>#REF!</v>
      </c>
      <c r="BC199" t="e">
        <f t="shared" si="143"/>
        <v>#REF!</v>
      </c>
      <c r="BD199" t="e">
        <f t="shared" si="143"/>
        <v>#REF!</v>
      </c>
      <c r="BE199" t="e">
        <f t="shared" si="143"/>
        <v>#REF!</v>
      </c>
      <c r="BF199" t="e">
        <f t="shared" si="143"/>
        <v>#REF!</v>
      </c>
      <c r="BG199" t="e">
        <f t="shared" si="149"/>
        <v>#REF!</v>
      </c>
      <c r="BH199" t="e">
        <f t="shared" si="149"/>
        <v>#REF!</v>
      </c>
      <c r="BI199" t="e">
        <f t="shared" si="149"/>
        <v>#REF!</v>
      </c>
      <c r="BJ199" t="e">
        <f t="shared" si="149"/>
        <v>#REF!</v>
      </c>
      <c r="BK199" t="e">
        <f t="shared" si="149"/>
        <v>#REF!</v>
      </c>
      <c r="BL199" t="e">
        <f t="shared" si="134"/>
        <v>#REF!</v>
      </c>
      <c r="BM199" t="e">
        <f t="shared" si="134"/>
        <v>#REF!</v>
      </c>
      <c r="BN199" t="e">
        <f t="shared" si="134"/>
        <v>#REF!</v>
      </c>
      <c r="BO199" t="e">
        <f t="shared" si="134"/>
        <v>#REF!</v>
      </c>
      <c r="BP199" t="e">
        <f t="shared" si="134"/>
        <v>#REF!</v>
      </c>
      <c r="BQ199" t="e">
        <f t="shared" si="134"/>
        <v>#REF!</v>
      </c>
      <c r="BR199" t="e">
        <f t="shared" si="134"/>
        <v>#REF!</v>
      </c>
      <c r="BS199" t="e">
        <f t="shared" si="134"/>
        <v>#REF!</v>
      </c>
      <c r="BT199" t="e">
        <f t="shared" si="134"/>
        <v>#REF!</v>
      </c>
      <c r="BU199" t="e">
        <f t="shared" si="134"/>
        <v>#REF!</v>
      </c>
      <c r="BV199" t="e">
        <f t="shared" si="134"/>
        <v>#REF!</v>
      </c>
      <c r="BW199" t="e">
        <f t="shared" si="147"/>
        <v>#REF!</v>
      </c>
      <c r="BX199" t="e">
        <f t="shared" si="147"/>
        <v>#REF!</v>
      </c>
      <c r="BY199" t="e">
        <f t="shared" si="147"/>
        <v>#REF!</v>
      </c>
      <c r="BZ199" t="e">
        <f t="shared" si="147"/>
        <v>#REF!</v>
      </c>
      <c r="CA199" t="e">
        <f t="shared" si="147"/>
        <v>#REF!</v>
      </c>
      <c r="CB199" t="e">
        <f t="shared" si="147"/>
        <v>#REF!</v>
      </c>
      <c r="CC199" t="e">
        <f t="shared" si="147"/>
        <v>#REF!</v>
      </c>
      <c r="CD199" t="e">
        <f t="shared" si="147"/>
        <v>#REF!</v>
      </c>
      <c r="CE199" t="e">
        <f t="shared" si="147"/>
        <v>#REF!</v>
      </c>
      <c r="CF199" t="e">
        <f t="shared" si="147"/>
        <v>#REF!</v>
      </c>
      <c r="CG199" t="e">
        <f t="shared" si="147"/>
        <v>#REF!</v>
      </c>
      <c r="CH199" t="e">
        <f t="shared" si="147"/>
        <v>#REF!</v>
      </c>
      <c r="CI199" t="e">
        <f t="shared" si="147"/>
        <v>#REF!</v>
      </c>
      <c r="CJ199" t="e">
        <f t="shared" si="147"/>
        <v>#REF!</v>
      </c>
      <c r="CK199" t="e">
        <f t="shared" si="147"/>
        <v>#REF!</v>
      </c>
      <c r="CL199" t="e">
        <f t="shared" si="147"/>
        <v>#REF!</v>
      </c>
      <c r="CM199" t="e">
        <f t="shared" si="150"/>
        <v>#REF!</v>
      </c>
      <c r="CN199" t="e">
        <f t="shared" si="150"/>
        <v>#REF!</v>
      </c>
      <c r="CO199" t="e">
        <f t="shared" si="150"/>
        <v>#REF!</v>
      </c>
      <c r="CP199" t="e">
        <f t="shared" si="150"/>
        <v>#REF!</v>
      </c>
      <c r="CQ199" t="e">
        <f t="shared" si="150"/>
        <v>#REF!</v>
      </c>
      <c r="CR199" t="e">
        <f t="shared" si="150"/>
        <v>#REF!</v>
      </c>
      <c r="CS199" t="e">
        <f t="shared" si="150"/>
        <v>#REF!</v>
      </c>
      <c r="CT199" t="e">
        <f t="shared" si="150"/>
        <v>#REF!</v>
      </c>
      <c r="CU199" t="e">
        <f t="shared" si="150"/>
        <v>#REF!</v>
      </c>
      <c r="CV199" t="e">
        <f t="shared" si="150"/>
        <v>#REF!</v>
      </c>
      <c r="CW199" t="e">
        <f t="shared" si="150"/>
        <v>#REF!</v>
      </c>
      <c r="CX199" t="e">
        <f t="shared" si="150"/>
        <v>#REF!</v>
      </c>
      <c r="CY199" t="e">
        <f t="shared" si="150"/>
        <v>#REF!</v>
      </c>
      <c r="CZ199" t="e">
        <f t="shared" si="136"/>
        <v>#REF!</v>
      </c>
      <c r="DA199" t="e">
        <f t="shared" si="136"/>
        <v>#REF!</v>
      </c>
      <c r="DB199" t="e">
        <f t="shared" si="136"/>
        <v>#REF!</v>
      </c>
      <c r="DC199" t="e">
        <f t="shared" si="136"/>
        <v>#REF!</v>
      </c>
      <c r="DD199" t="e">
        <f t="shared" si="136"/>
        <v>#REF!</v>
      </c>
      <c r="DE199" t="e">
        <f t="shared" si="136"/>
        <v>#REF!</v>
      </c>
      <c r="DF199" t="e">
        <f t="shared" si="136"/>
        <v>#REF!</v>
      </c>
      <c r="DG199" t="e">
        <f t="shared" si="154"/>
        <v>#REF!</v>
      </c>
      <c r="DH199" t="e">
        <f t="shared" si="154"/>
        <v>#REF!</v>
      </c>
      <c r="DI199" t="e">
        <f t="shared" si="154"/>
        <v>#REF!</v>
      </c>
      <c r="DJ199" t="e">
        <f t="shared" si="154"/>
        <v>#REF!</v>
      </c>
      <c r="DK199" t="e">
        <f t="shared" si="154"/>
        <v>#REF!</v>
      </c>
      <c r="DL199" t="e">
        <f t="shared" si="154"/>
        <v>#REF!</v>
      </c>
      <c r="DM199" t="e">
        <f t="shared" si="154"/>
        <v>#REF!</v>
      </c>
      <c r="DN199" t="e">
        <f t="shared" si="154"/>
        <v>#REF!</v>
      </c>
      <c r="DO199" t="e">
        <f t="shared" si="154"/>
        <v>#REF!</v>
      </c>
      <c r="DP199" t="e">
        <f t="shared" si="154"/>
        <v>#REF!</v>
      </c>
      <c r="DQ199" t="e">
        <f t="shared" si="154"/>
        <v>#REF!</v>
      </c>
      <c r="DR199" t="e">
        <f t="shared" si="154"/>
        <v>#REF!</v>
      </c>
      <c r="DS199" t="e">
        <f t="shared" si="154"/>
        <v>#REF!</v>
      </c>
      <c r="DT199" t="e">
        <f t="shared" si="154"/>
        <v>#REF!</v>
      </c>
      <c r="DU199" t="e">
        <f t="shared" si="154"/>
        <v>#REF!</v>
      </c>
      <c r="DV199" t="e">
        <f t="shared" si="154"/>
        <v>#REF!</v>
      </c>
      <c r="DW199" t="e">
        <f t="shared" si="153"/>
        <v>#REF!</v>
      </c>
      <c r="DX199" t="e">
        <f t="shared" si="153"/>
        <v>#REF!</v>
      </c>
      <c r="DY199" t="e">
        <f t="shared" si="153"/>
        <v>#REF!</v>
      </c>
      <c r="DZ199" t="e">
        <f t="shared" si="151"/>
        <v>#REF!</v>
      </c>
      <c r="EA199" t="e">
        <f t="shared" si="151"/>
        <v>#REF!</v>
      </c>
      <c r="EB199" t="e">
        <f t="shared" si="151"/>
        <v>#REF!</v>
      </c>
      <c r="EC199" t="e">
        <f t="shared" si="151"/>
        <v>#REF!</v>
      </c>
      <c r="ED199" t="e">
        <f t="shared" si="151"/>
        <v>#REF!</v>
      </c>
      <c r="EE199" t="e">
        <f t="shared" si="151"/>
        <v>#REF!</v>
      </c>
      <c r="EF199" t="e">
        <f t="shared" si="151"/>
        <v>#REF!</v>
      </c>
      <c r="EG199" t="e">
        <f t="shared" si="151"/>
        <v>#REF!</v>
      </c>
      <c r="EH199" t="e">
        <f t="shared" si="151"/>
        <v>#REF!</v>
      </c>
      <c r="EI199" t="e">
        <f t="shared" si="151"/>
        <v>#REF!</v>
      </c>
      <c r="EJ199" t="e">
        <f t="shared" si="151"/>
        <v>#REF!</v>
      </c>
      <c r="EK199" t="e">
        <f t="shared" si="151"/>
        <v>#REF!</v>
      </c>
      <c r="EL199" t="e">
        <f t="shared" si="151"/>
        <v>#REF!</v>
      </c>
      <c r="EM199" t="e">
        <f t="shared" si="151"/>
        <v>#REF!</v>
      </c>
    </row>
    <row r="200" spans="1:143" x14ac:dyDescent="0.4">
      <c r="A200" t="str">
        <f t="shared" si="120"/>
        <v>X</v>
      </c>
      <c r="B200">
        <v>197</v>
      </c>
      <c r="C200" t="e" cm="1">
        <f t="array" ref="C200">INDEX(auto_Series_Code,B200)</f>
        <v>#REF!</v>
      </c>
      <c r="D200" t="e">
        <f t="shared" ref="D200:S215" si="156">MATCH(CONCATENATE(D$3,"_",$C200),auto_DataFlat_UID,0)</f>
        <v>#REF!</v>
      </c>
      <c r="E200" t="e">
        <f t="shared" si="156"/>
        <v>#REF!</v>
      </c>
      <c r="F200" t="e">
        <f t="shared" si="156"/>
        <v>#REF!</v>
      </c>
      <c r="G200" t="e">
        <f t="shared" si="156"/>
        <v>#REF!</v>
      </c>
      <c r="H200" t="e">
        <f t="shared" si="156"/>
        <v>#REF!</v>
      </c>
      <c r="I200" t="e">
        <f t="shared" si="156"/>
        <v>#REF!</v>
      </c>
      <c r="J200" t="e">
        <f t="shared" si="156"/>
        <v>#REF!</v>
      </c>
      <c r="K200" t="e">
        <f t="shared" si="156"/>
        <v>#REF!</v>
      </c>
      <c r="L200" t="e">
        <f t="shared" si="156"/>
        <v>#REF!</v>
      </c>
      <c r="M200" t="e">
        <f t="shared" si="156"/>
        <v>#REF!</v>
      </c>
      <c r="N200" t="e">
        <f t="shared" si="156"/>
        <v>#REF!</v>
      </c>
      <c r="O200" t="e">
        <f t="shared" si="156"/>
        <v>#REF!</v>
      </c>
      <c r="P200" t="e">
        <f t="shared" si="156"/>
        <v>#REF!</v>
      </c>
      <c r="Q200" t="e">
        <f t="shared" si="156"/>
        <v>#REF!</v>
      </c>
      <c r="R200" t="e">
        <f t="shared" si="156"/>
        <v>#REF!</v>
      </c>
      <c r="S200" t="e">
        <f t="shared" si="156"/>
        <v>#REF!</v>
      </c>
      <c r="T200" t="e">
        <f t="shared" si="155"/>
        <v>#REF!</v>
      </c>
      <c r="U200" t="e">
        <f t="shared" si="155"/>
        <v>#REF!</v>
      </c>
      <c r="V200" t="e">
        <f t="shared" si="155"/>
        <v>#REF!</v>
      </c>
      <c r="W200" t="e">
        <f t="shared" si="155"/>
        <v>#REF!</v>
      </c>
      <c r="X200" t="e">
        <f t="shared" si="140"/>
        <v>#REF!</v>
      </c>
      <c r="Y200" t="e">
        <f t="shared" si="140"/>
        <v>#REF!</v>
      </c>
      <c r="Z200" t="e">
        <f t="shared" si="140"/>
        <v>#REF!</v>
      </c>
      <c r="AA200" t="e">
        <f t="shared" si="140"/>
        <v>#REF!</v>
      </c>
      <c r="AB200" t="e">
        <f t="shared" si="140"/>
        <v>#REF!</v>
      </c>
      <c r="AC200" t="e">
        <f t="shared" si="140"/>
        <v>#REF!</v>
      </c>
      <c r="AD200" t="e">
        <f t="shared" si="140"/>
        <v>#REF!</v>
      </c>
      <c r="AE200" t="e">
        <f t="shared" si="140"/>
        <v>#REF!</v>
      </c>
      <c r="AF200" t="e">
        <f t="shared" si="140"/>
        <v>#REF!</v>
      </c>
      <c r="AG200" t="e">
        <f t="shared" si="140"/>
        <v>#REF!</v>
      </c>
      <c r="AH200" t="e">
        <f t="shared" si="140"/>
        <v>#REF!</v>
      </c>
      <c r="AI200" t="e">
        <f t="shared" si="144"/>
        <v>#REF!</v>
      </c>
      <c r="AJ200" t="e">
        <f t="shared" si="144"/>
        <v>#REF!</v>
      </c>
      <c r="AK200" t="e">
        <f t="shared" si="144"/>
        <v>#REF!</v>
      </c>
      <c r="AL200" t="e">
        <f t="shared" si="144"/>
        <v>#REF!</v>
      </c>
      <c r="AM200" t="e">
        <f t="shared" si="144"/>
        <v>#REF!</v>
      </c>
      <c r="AN200" t="e">
        <f t="shared" si="144"/>
        <v>#REF!</v>
      </c>
      <c r="AO200" t="e">
        <f t="shared" si="144"/>
        <v>#REF!</v>
      </c>
      <c r="AP200" t="e">
        <f t="shared" si="144"/>
        <v>#REF!</v>
      </c>
      <c r="AQ200" t="e">
        <f t="shared" si="144"/>
        <v>#REF!</v>
      </c>
      <c r="AR200" t="e">
        <f t="shared" si="143"/>
        <v>#REF!</v>
      </c>
      <c r="AS200" t="e">
        <f t="shared" si="143"/>
        <v>#REF!</v>
      </c>
      <c r="AT200" t="e">
        <f t="shared" si="143"/>
        <v>#REF!</v>
      </c>
      <c r="AU200" t="e">
        <f t="shared" si="143"/>
        <v>#REF!</v>
      </c>
      <c r="AV200" t="e">
        <f t="shared" si="143"/>
        <v>#REF!</v>
      </c>
      <c r="AW200" t="e">
        <f t="shared" si="143"/>
        <v>#REF!</v>
      </c>
      <c r="AX200" t="e">
        <f t="shared" si="143"/>
        <v>#REF!</v>
      </c>
      <c r="AY200" t="e">
        <f t="shared" si="143"/>
        <v>#REF!</v>
      </c>
      <c r="AZ200" t="e">
        <f t="shared" si="143"/>
        <v>#REF!</v>
      </c>
      <c r="BA200" t="e">
        <f t="shared" si="143"/>
        <v>#REF!</v>
      </c>
      <c r="BB200" t="e">
        <f t="shared" si="143"/>
        <v>#REF!</v>
      </c>
      <c r="BC200" t="e">
        <f t="shared" si="143"/>
        <v>#REF!</v>
      </c>
      <c r="BD200" t="e">
        <f t="shared" si="143"/>
        <v>#REF!</v>
      </c>
      <c r="BE200" t="e">
        <f t="shared" si="143"/>
        <v>#REF!</v>
      </c>
      <c r="BF200" t="e">
        <f t="shared" si="143"/>
        <v>#REF!</v>
      </c>
      <c r="BG200" t="e">
        <f t="shared" si="149"/>
        <v>#REF!</v>
      </c>
      <c r="BH200" t="e">
        <f t="shared" si="149"/>
        <v>#REF!</v>
      </c>
      <c r="BI200" t="e">
        <f t="shared" si="149"/>
        <v>#REF!</v>
      </c>
      <c r="BJ200" t="e">
        <f t="shared" si="149"/>
        <v>#REF!</v>
      </c>
      <c r="BK200" t="e">
        <f t="shared" si="149"/>
        <v>#REF!</v>
      </c>
      <c r="BL200" t="e">
        <f t="shared" si="134"/>
        <v>#REF!</v>
      </c>
      <c r="BM200" t="e">
        <f t="shared" si="134"/>
        <v>#REF!</v>
      </c>
      <c r="BN200" t="e">
        <f t="shared" si="134"/>
        <v>#REF!</v>
      </c>
      <c r="BO200" t="e">
        <f t="shared" si="134"/>
        <v>#REF!</v>
      </c>
      <c r="BP200" t="e">
        <f t="shared" si="134"/>
        <v>#REF!</v>
      </c>
      <c r="BQ200" t="e">
        <f t="shared" si="134"/>
        <v>#REF!</v>
      </c>
      <c r="BR200" t="e">
        <f t="shared" si="134"/>
        <v>#REF!</v>
      </c>
      <c r="BS200" t="e">
        <f t="shared" si="134"/>
        <v>#REF!</v>
      </c>
      <c r="BT200" t="e">
        <f t="shared" si="134"/>
        <v>#REF!</v>
      </c>
      <c r="BU200" t="e">
        <f t="shared" si="134"/>
        <v>#REF!</v>
      </c>
      <c r="BV200" t="e">
        <f t="shared" si="134"/>
        <v>#REF!</v>
      </c>
      <c r="BW200" t="e">
        <f t="shared" si="147"/>
        <v>#REF!</v>
      </c>
      <c r="BX200" t="e">
        <f t="shared" si="147"/>
        <v>#REF!</v>
      </c>
      <c r="BY200" t="e">
        <f t="shared" si="147"/>
        <v>#REF!</v>
      </c>
      <c r="BZ200" t="e">
        <f t="shared" si="147"/>
        <v>#REF!</v>
      </c>
      <c r="CA200" t="e">
        <f t="shared" si="147"/>
        <v>#REF!</v>
      </c>
      <c r="CB200" t="e">
        <f t="shared" si="147"/>
        <v>#REF!</v>
      </c>
      <c r="CC200" t="e">
        <f t="shared" si="147"/>
        <v>#REF!</v>
      </c>
      <c r="CD200" t="e">
        <f t="shared" si="147"/>
        <v>#REF!</v>
      </c>
      <c r="CE200" t="e">
        <f t="shared" si="147"/>
        <v>#REF!</v>
      </c>
      <c r="CF200" t="e">
        <f t="shared" si="147"/>
        <v>#REF!</v>
      </c>
      <c r="CG200" t="e">
        <f t="shared" si="147"/>
        <v>#REF!</v>
      </c>
      <c r="CH200" t="e">
        <f t="shared" si="147"/>
        <v>#REF!</v>
      </c>
      <c r="CI200" t="e">
        <f t="shared" si="147"/>
        <v>#REF!</v>
      </c>
      <c r="CJ200" t="e">
        <f t="shared" si="147"/>
        <v>#REF!</v>
      </c>
      <c r="CK200" t="e">
        <f t="shared" si="147"/>
        <v>#REF!</v>
      </c>
      <c r="CL200" t="e">
        <f t="shared" si="147"/>
        <v>#REF!</v>
      </c>
      <c r="CM200" t="e">
        <f t="shared" si="150"/>
        <v>#REF!</v>
      </c>
      <c r="CN200" t="e">
        <f t="shared" si="150"/>
        <v>#REF!</v>
      </c>
      <c r="CO200" t="e">
        <f t="shared" si="150"/>
        <v>#REF!</v>
      </c>
      <c r="CP200" t="e">
        <f t="shared" si="150"/>
        <v>#REF!</v>
      </c>
      <c r="CQ200" t="e">
        <f t="shared" si="150"/>
        <v>#REF!</v>
      </c>
      <c r="CR200" t="e">
        <f t="shared" si="150"/>
        <v>#REF!</v>
      </c>
      <c r="CS200" t="e">
        <f t="shared" si="150"/>
        <v>#REF!</v>
      </c>
      <c r="CT200" t="e">
        <f t="shared" si="150"/>
        <v>#REF!</v>
      </c>
      <c r="CU200" t="e">
        <f t="shared" si="150"/>
        <v>#REF!</v>
      </c>
      <c r="CV200" t="e">
        <f t="shared" si="150"/>
        <v>#REF!</v>
      </c>
      <c r="CW200" t="e">
        <f t="shared" si="150"/>
        <v>#REF!</v>
      </c>
      <c r="CX200" t="e">
        <f t="shared" si="150"/>
        <v>#REF!</v>
      </c>
      <c r="CY200" t="e">
        <f t="shared" si="150"/>
        <v>#REF!</v>
      </c>
      <c r="CZ200" t="e">
        <f t="shared" si="136"/>
        <v>#REF!</v>
      </c>
      <c r="DA200" t="e">
        <f t="shared" si="136"/>
        <v>#REF!</v>
      </c>
      <c r="DB200" t="e">
        <f t="shared" si="136"/>
        <v>#REF!</v>
      </c>
      <c r="DC200" t="e">
        <f t="shared" si="136"/>
        <v>#REF!</v>
      </c>
      <c r="DD200" t="e">
        <f t="shared" si="136"/>
        <v>#REF!</v>
      </c>
      <c r="DE200" t="e">
        <f t="shared" si="136"/>
        <v>#REF!</v>
      </c>
      <c r="DF200" t="e">
        <f t="shared" si="136"/>
        <v>#REF!</v>
      </c>
      <c r="DG200" t="e">
        <f t="shared" si="154"/>
        <v>#REF!</v>
      </c>
      <c r="DH200" t="e">
        <f t="shared" si="154"/>
        <v>#REF!</v>
      </c>
      <c r="DI200" t="e">
        <f t="shared" si="154"/>
        <v>#REF!</v>
      </c>
      <c r="DJ200" t="e">
        <f t="shared" si="154"/>
        <v>#REF!</v>
      </c>
      <c r="DK200" t="e">
        <f t="shared" si="154"/>
        <v>#REF!</v>
      </c>
      <c r="DL200" t="e">
        <f t="shared" si="154"/>
        <v>#REF!</v>
      </c>
      <c r="DM200" t="e">
        <f t="shared" si="154"/>
        <v>#REF!</v>
      </c>
      <c r="DN200" t="e">
        <f t="shared" si="154"/>
        <v>#REF!</v>
      </c>
      <c r="DO200" t="e">
        <f t="shared" si="154"/>
        <v>#REF!</v>
      </c>
      <c r="DP200" t="e">
        <f t="shared" si="154"/>
        <v>#REF!</v>
      </c>
      <c r="DQ200" t="e">
        <f t="shared" si="154"/>
        <v>#REF!</v>
      </c>
      <c r="DR200" t="e">
        <f t="shared" si="154"/>
        <v>#REF!</v>
      </c>
      <c r="DS200" t="e">
        <f t="shared" si="154"/>
        <v>#REF!</v>
      </c>
      <c r="DT200" t="e">
        <f t="shared" si="154"/>
        <v>#REF!</v>
      </c>
      <c r="DU200" t="e">
        <f t="shared" si="154"/>
        <v>#REF!</v>
      </c>
      <c r="DV200" t="e">
        <f t="shared" si="154"/>
        <v>#REF!</v>
      </c>
      <c r="DW200" t="e">
        <f t="shared" si="153"/>
        <v>#REF!</v>
      </c>
      <c r="DX200" t="e">
        <f t="shared" si="153"/>
        <v>#REF!</v>
      </c>
      <c r="DY200" t="e">
        <f t="shared" si="153"/>
        <v>#REF!</v>
      </c>
      <c r="DZ200" t="e">
        <f t="shared" si="151"/>
        <v>#REF!</v>
      </c>
      <c r="EA200" t="e">
        <f t="shared" si="151"/>
        <v>#REF!</v>
      </c>
      <c r="EB200" t="e">
        <f t="shared" si="151"/>
        <v>#REF!</v>
      </c>
      <c r="EC200" t="e">
        <f t="shared" si="151"/>
        <v>#REF!</v>
      </c>
      <c r="ED200" t="e">
        <f t="shared" si="151"/>
        <v>#REF!</v>
      </c>
      <c r="EE200" t="e">
        <f t="shared" si="151"/>
        <v>#REF!</v>
      </c>
      <c r="EF200" t="e">
        <f t="shared" si="151"/>
        <v>#REF!</v>
      </c>
      <c r="EG200" t="e">
        <f t="shared" si="151"/>
        <v>#REF!</v>
      </c>
      <c r="EH200" t="e">
        <f t="shared" si="151"/>
        <v>#REF!</v>
      </c>
      <c r="EI200" t="e">
        <f t="shared" si="151"/>
        <v>#REF!</v>
      </c>
      <c r="EJ200" t="e">
        <f t="shared" si="151"/>
        <v>#REF!</v>
      </c>
      <c r="EK200" t="e">
        <f t="shared" si="151"/>
        <v>#REF!</v>
      </c>
      <c r="EL200" t="e">
        <f t="shared" si="151"/>
        <v>#REF!</v>
      </c>
      <c r="EM200" t="e">
        <f t="shared" si="151"/>
        <v>#REF!</v>
      </c>
    </row>
    <row r="201" spans="1:143" x14ac:dyDescent="0.4">
      <c r="A201" t="str">
        <f t="shared" si="120"/>
        <v>X</v>
      </c>
      <c r="B201">
        <v>198</v>
      </c>
      <c r="C201" t="e" cm="1">
        <f t="array" ref="C201">INDEX(auto_Series_Code,B201)</f>
        <v>#REF!</v>
      </c>
      <c r="D201" t="e">
        <f t="shared" si="156"/>
        <v>#REF!</v>
      </c>
      <c r="E201" t="e">
        <f t="shared" si="156"/>
        <v>#REF!</v>
      </c>
      <c r="F201" t="e">
        <f t="shared" si="156"/>
        <v>#REF!</v>
      </c>
      <c r="G201" t="e">
        <f t="shared" si="156"/>
        <v>#REF!</v>
      </c>
      <c r="H201" t="e">
        <f t="shared" si="156"/>
        <v>#REF!</v>
      </c>
      <c r="I201" t="e">
        <f t="shared" si="156"/>
        <v>#REF!</v>
      </c>
      <c r="J201" t="e">
        <f t="shared" si="156"/>
        <v>#REF!</v>
      </c>
      <c r="K201" t="e">
        <f t="shared" si="156"/>
        <v>#REF!</v>
      </c>
      <c r="L201" t="e">
        <f t="shared" si="156"/>
        <v>#REF!</v>
      </c>
      <c r="M201" t="e">
        <f t="shared" si="156"/>
        <v>#REF!</v>
      </c>
      <c r="N201" t="e">
        <f t="shared" si="156"/>
        <v>#REF!</v>
      </c>
      <c r="O201" t="e">
        <f t="shared" si="156"/>
        <v>#REF!</v>
      </c>
      <c r="P201" t="e">
        <f t="shared" si="156"/>
        <v>#REF!</v>
      </c>
      <c r="Q201" t="e">
        <f t="shared" si="156"/>
        <v>#REF!</v>
      </c>
      <c r="R201" t="e">
        <f t="shared" si="156"/>
        <v>#REF!</v>
      </c>
      <c r="S201" t="e">
        <f t="shared" si="156"/>
        <v>#REF!</v>
      </c>
      <c r="T201" t="e">
        <f t="shared" si="155"/>
        <v>#REF!</v>
      </c>
      <c r="U201" t="e">
        <f t="shared" si="155"/>
        <v>#REF!</v>
      </c>
      <c r="V201" t="e">
        <f t="shared" si="155"/>
        <v>#REF!</v>
      </c>
      <c r="W201" t="e">
        <f t="shared" si="155"/>
        <v>#REF!</v>
      </c>
      <c r="X201" t="e">
        <f t="shared" si="140"/>
        <v>#REF!</v>
      </c>
      <c r="Y201" t="e">
        <f t="shared" si="140"/>
        <v>#REF!</v>
      </c>
      <c r="Z201" t="e">
        <f t="shared" si="140"/>
        <v>#REF!</v>
      </c>
      <c r="AA201" t="e">
        <f t="shared" si="140"/>
        <v>#REF!</v>
      </c>
      <c r="AB201" t="e">
        <f t="shared" si="140"/>
        <v>#REF!</v>
      </c>
      <c r="AC201" t="e">
        <f t="shared" si="140"/>
        <v>#REF!</v>
      </c>
      <c r="AD201" t="e">
        <f t="shared" si="140"/>
        <v>#REF!</v>
      </c>
      <c r="AE201" t="e">
        <f t="shared" si="140"/>
        <v>#REF!</v>
      </c>
      <c r="AF201" t="e">
        <f t="shared" si="140"/>
        <v>#REF!</v>
      </c>
      <c r="AG201" t="e">
        <f t="shared" si="140"/>
        <v>#REF!</v>
      </c>
      <c r="AH201" t="e">
        <f t="shared" si="140"/>
        <v>#REF!</v>
      </c>
      <c r="AI201" t="e">
        <f t="shared" si="144"/>
        <v>#REF!</v>
      </c>
      <c r="AJ201" t="e">
        <f t="shared" si="144"/>
        <v>#REF!</v>
      </c>
      <c r="AK201" t="e">
        <f t="shared" si="144"/>
        <v>#REF!</v>
      </c>
      <c r="AL201" t="e">
        <f t="shared" si="144"/>
        <v>#REF!</v>
      </c>
      <c r="AM201" t="e">
        <f t="shared" si="144"/>
        <v>#REF!</v>
      </c>
      <c r="AN201" t="e">
        <f t="shared" si="144"/>
        <v>#REF!</v>
      </c>
      <c r="AO201" t="e">
        <f t="shared" si="144"/>
        <v>#REF!</v>
      </c>
      <c r="AP201" t="e">
        <f t="shared" si="144"/>
        <v>#REF!</v>
      </c>
      <c r="AQ201" t="e">
        <f t="shared" si="144"/>
        <v>#REF!</v>
      </c>
      <c r="AR201" t="e">
        <f t="shared" si="143"/>
        <v>#REF!</v>
      </c>
      <c r="AS201" t="e">
        <f t="shared" si="143"/>
        <v>#REF!</v>
      </c>
      <c r="AT201" t="e">
        <f t="shared" si="143"/>
        <v>#REF!</v>
      </c>
      <c r="AU201" t="e">
        <f t="shared" si="143"/>
        <v>#REF!</v>
      </c>
      <c r="AV201" t="e">
        <f t="shared" si="143"/>
        <v>#REF!</v>
      </c>
      <c r="AW201" t="e">
        <f t="shared" si="143"/>
        <v>#REF!</v>
      </c>
      <c r="AX201" t="e">
        <f t="shared" si="143"/>
        <v>#REF!</v>
      </c>
      <c r="AY201" t="e">
        <f t="shared" si="143"/>
        <v>#REF!</v>
      </c>
      <c r="AZ201" t="e">
        <f t="shared" si="143"/>
        <v>#REF!</v>
      </c>
      <c r="BA201" t="e">
        <f t="shared" si="143"/>
        <v>#REF!</v>
      </c>
      <c r="BB201" t="e">
        <f t="shared" si="143"/>
        <v>#REF!</v>
      </c>
      <c r="BC201" t="e">
        <f t="shared" si="143"/>
        <v>#REF!</v>
      </c>
      <c r="BD201" t="e">
        <f t="shared" si="143"/>
        <v>#REF!</v>
      </c>
      <c r="BE201" t="e">
        <f t="shared" si="143"/>
        <v>#REF!</v>
      </c>
      <c r="BF201" t="e">
        <f t="shared" si="143"/>
        <v>#REF!</v>
      </c>
      <c r="BG201" t="e">
        <f t="shared" si="149"/>
        <v>#REF!</v>
      </c>
      <c r="BH201" t="e">
        <f t="shared" si="149"/>
        <v>#REF!</v>
      </c>
      <c r="BI201" t="e">
        <f t="shared" si="149"/>
        <v>#REF!</v>
      </c>
      <c r="BJ201" t="e">
        <f t="shared" si="149"/>
        <v>#REF!</v>
      </c>
      <c r="BK201" t="e">
        <f t="shared" si="149"/>
        <v>#REF!</v>
      </c>
      <c r="BL201" t="e">
        <f t="shared" si="134"/>
        <v>#REF!</v>
      </c>
      <c r="BM201" t="e">
        <f t="shared" si="134"/>
        <v>#REF!</v>
      </c>
      <c r="BN201" t="e">
        <f t="shared" si="134"/>
        <v>#REF!</v>
      </c>
      <c r="BO201" t="e">
        <f t="shared" si="134"/>
        <v>#REF!</v>
      </c>
      <c r="BP201" t="e">
        <f t="shared" si="134"/>
        <v>#REF!</v>
      </c>
      <c r="BQ201" t="e">
        <f t="shared" si="134"/>
        <v>#REF!</v>
      </c>
      <c r="BR201" t="e">
        <f t="shared" si="134"/>
        <v>#REF!</v>
      </c>
      <c r="BS201" t="e">
        <f t="shared" si="134"/>
        <v>#REF!</v>
      </c>
      <c r="BT201" t="e">
        <f t="shared" si="134"/>
        <v>#REF!</v>
      </c>
      <c r="BU201" t="e">
        <f t="shared" si="134"/>
        <v>#REF!</v>
      </c>
      <c r="BV201" t="e">
        <f t="shared" si="134"/>
        <v>#REF!</v>
      </c>
      <c r="BW201" t="e">
        <f t="shared" si="147"/>
        <v>#REF!</v>
      </c>
      <c r="BX201" t="e">
        <f t="shared" si="147"/>
        <v>#REF!</v>
      </c>
      <c r="BY201" t="e">
        <f t="shared" si="147"/>
        <v>#REF!</v>
      </c>
      <c r="BZ201" t="e">
        <f t="shared" si="147"/>
        <v>#REF!</v>
      </c>
      <c r="CA201" t="e">
        <f t="shared" si="147"/>
        <v>#REF!</v>
      </c>
      <c r="CB201" t="e">
        <f t="shared" si="147"/>
        <v>#REF!</v>
      </c>
      <c r="CC201" t="e">
        <f t="shared" si="147"/>
        <v>#REF!</v>
      </c>
      <c r="CD201" t="e">
        <f t="shared" si="147"/>
        <v>#REF!</v>
      </c>
      <c r="CE201" t="e">
        <f t="shared" si="147"/>
        <v>#REF!</v>
      </c>
      <c r="CF201" t="e">
        <f t="shared" si="147"/>
        <v>#REF!</v>
      </c>
      <c r="CG201" t="e">
        <f t="shared" si="147"/>
        <v>#REF!</v>
      </c>
      <c r="CH201" t="e">
        <f t="shared" si="147"/>
        <v>#REF!</v>
      </c>
      <c r="CI201" t="e">
        <f t="shared" si="147"/>
        <v>#REF!</v>
      </c>
      <c r="CJ201" t="e">
        <f t="shared" si="147"/>
        <v>#REF!</v>
      </c>
      <c r="CK201" t="e">
        <f t="shared" si="147"/>
        <v>#REF!</v>
      </c>
      <c r="CL201" t="e">
        <f t="shared" si="147"/>
        <v>#REF!</v>
      </c>
      <c r="CM201" t="e">
        <f t="shared" si="150"/>
        <v>#REF!</v>
      </c>
      <c r="CN201" t="e">
        <f t="shared" si="150"/>
        <v>#REF!</v>
      </c>
      <c r="CO201" t="e">
        <f t="shared" si="150"/>
        <v>#REF!</v>
      </c>
      <c r="CP201" t="e">
        <f t="shared" si="150"/>
        <v>#REF!</v>
      </c>
      <c r="CQ201" t="e">
        <f t="shared" si="150"/>
        <v>#REF!</v>
      </c>
      <c r="CR201" t="e">
        <f t="shared" si="150"/>
        <v>#REF!</v>
      </c>
      <c r="CS201" t="e">
        <f t="shared" si="150"/>
        <v>#REF!</v>
      </c>
      <c r="CT201" t="e">
        <f t="shared" si="150"/>
        <v>#REF!</v>
      </c>
      <c r="CU201" t="e">
        <f t="shared" si="150"/>
        <v>#REF!</v>
      </c>
      <c r="CV201" t="e">
        <f t="shared" si="150"/>
        <v>#REF!</v>
      </c>
      <c r="CW201" t="e">
        <f t="shared" si="150"/>
        <v>#REF!</v>
      </c>
      <c r="CX201" t="e">
        <f t="shared" si="150"/>
        <v>#REF!</v>
      </c>
      <c r="CY201" t="e">
        <f t="shared" si="150"/>
        <v>#REF!</v>
      </c>
      <c r="CZ201" t="e">
        <f t="shared" si="136"/>
        <v>#REF!</v>
      </c>
      <c r="DA201" t="e">
        <f t="shared" si="136"/>
        <v>#REF!</v>
      </c>
      <c r="DB201" t="e">
        <f t="shared" si="136"/>
        <v>#REF!</v>
      </c>
      <c r="DC201" t="e">
        <f t="shared" si="136"/>
        <v>#REF!</v>
      </c>
      <c r="DD201" t="e">
        <f t="shared" si="136"/>
        <v>#REF!</v>
      </c>
      <c r="DE201" t="e">
        <f t="shared" si="136"/>
        <v>#REF!</v>
      </c>
      <c r="DF201" t="e">
        <f t="shared" si="136"/>
        <v>#REF!</v>
      </c>
      <c r="DG201" t="e">
        <f t="shared" si="154"/>
        <v>#REF!</v>
      </c>
      <c r="DH201" t="e">
        <f t="shared" si="154"/>
        <v>#REF!</v>
      </c>
      <c r="DI201" t="e">
        <f t="shared" si="154"/>
        <v>#REF!</v>
      </c>
      <c r="DJ201" t="e">
        <f t="shared" si="154"/>
        <v>#REF!</v>
      </c>
      <c r="DK201" t="e">
        <f t="shared" si="154"/>
        <v>#REF!</v>
      </c>
      <c r="DL201" t="e">
        <f t="shared" si="154"/>
        <v>#REF!</v>
      </c>
      <c r="DM201" t="e">
        <f t="shared" si="154"/>
        <v>#REF!</v>
      </c>
      <c r="DN201" t="e">
        <f t="shared" si="154"/>
        <v>#REF!</v>
      </c>
      <c r="DO201" t="e">
        <f t="shared" si="154"/>
        <v>#REF!</v>
      </c>
      <c r="DP201" t="e">
        <f t="shared" si="154"/>
        <v>#REF!</v>
      </c>
      <c r="DQ201" t="e">
        <f t="shared" si="154"/>
        <v>#REF!</v>
      </c>
      <c r="DR201" t="e">
        <f t="shared" si="154"/>
        <v>#REF!</v>
      </c>
      <c r="DS201" t="e">
        <f t="shared" si="154"/>
        <v>#REF!</v>
      </c>
      <c r="DT201" t="e">
        <f t="shared" si="154"/>
        <v>#REF!</v>
      </c>
      <c r="DU201" t="e">
        <f t="shared" si="154"/>
        <v>#REF!</v>
      </c>
      <c r="DV201" t="e">
        <f t="shared" si="154"/>
        <v>#REF!</v>
      </c>
      <c r="DW201" t="e">
        <f t="shared" si="153"/>
        <v>#REF!</v>
      </c>
      <c r="DX201" t="e">
        <f t="shared" si="153"/>
        <v>#REF!</v>
      </c>
      <c r="DY201" t="e">
        <f t="shared" si="153"/>
        <v>#REF!</v>
      </c>
      <c r="DZ201" t="e">
        <f t="shared" si="151"/>
        <v>#REF!</v>
      </c>
      <c r="EA201" t="e">
        <f t="shared" si="151"/>
        <v>#REF!</v>
      </c>
      <c r="EB201" t="e">
        <f t="shared" si="151"/>
        <v>#REF!</v>
      </c>
      <c r="EC201" t="e">
        <f t="shared" si="151"/>
        <v>#REF!</v>
      </c>
      <c r="ED201" t="e">
        <f t="shared" si="151"/>
        <v>#REF!</v>
      </c>
      <c r="EE201" t="e">
        <f t="shared" si="151"/>
        <v>#REF!</v>
      </c>
      <c r="EF201" t="e">
        <f t="shared" si="151"/>
        <v>#REF!</v>
      </c>
      <c r="EG201" t="e">
        <f t="shared" si="151"/>
        <v>#REF!</v>
      </c>
      <c r="EH201" t="e">
        <f t="shared" si="151"/>
        <v>#REF!</v>
      </c>
      <c r="EI201" t="e">
        <f t="shared" si="151"/>
        <v>#REF!</v>
      </c>
      <c r="EJ201" t="e">
        <f t="shared" si="151"/>
        <v>#REF!</v>
      </c>
      <c r="EK201" t="e">
        <f t="shared" si="151"/>
        <v>#REF!</v>
      </c>
      <c r="EL201" t="e">
        <f t="shared" si="151"/>
        <v>#REF!</v>
      </c>
      <c r="EM201" t="e">
        <f t="shared" si="151"/>
        <v>#REF!</v>
      </c>
    </row>
    <row r="202" spans="1:143" x14ac:dyDescent="0.4">
      <c r="A202" t="str">
        <f t="shared" si="120"/>
        <v>X</v>
      </c>
      <c r="B202">
        <v>199</v>
      </c>
      <c r="C202" t="e" cm="1">
        <f t="array" ref="C202">INDEX(auto_Series_Code,B202)</f>
        <v>#REF!</v>
      </c>
      <c r="D202" t="e">
        <f t="shared" si="156"/>
        <v>#REF!</v>
      </c>
      <c r="E202" t="e">
        <f t="shared" si="156"/>
        <v>#REF!</v>
      </c>
      <c r="F202" t="e">
        <f t="shared" si="156"/>
        <v>#REF!</v>
      </c>
      <c r="G202" t="e">
        <f t="shared" si="156"/>
        <v>#REF!</v>
      </c>
      <c r="H202" t="e">
        <f t="shared" si="156"/>
        <v>#REF!</v>
      </c>
      <c r="I202" t="e">
        <f t="shared" si="156"/>
        <v>#REF!</v>
      </c>
      <c r="J202" t="e">
        <f t="shared" si="156"/>
        <v>#REF!</v>
      </c>
      <c r="K202" t="e">
        <f t="shared" si="156"/>
        <v>#REF!</v>
      </c>
      <c r="L202" t="e">
        <f t="shared" si="156"/>
        <v>#REF!</v>
      </c>
      <c r="M202" t="e">
        <f t="shared" si="156"/>
        <v>#REF!</v>
      </c>
      <c r="N202" t="e">
        <f t="shared" si="156"/>
        <v>#REF!</v>
      </c>
      <c r="O202" t="e">
        <f t="shared" si="156"/>
        <v>#REF!</v>
      </c>
      <c r="P202" t="e">
        <f t="shared" si="156"/>
        <v>#REF!</v>
      </c>
      <c r="Q202" t="e">
        <f t="shared" si="156"/>
        <v>#REF!</v>
      </c>
      <c r="R202" t="e">
        <f t="shared" si="156"/>
        <v>#REF!</v>
      </c>
      <c r="S202" t="e">
        <f t="shared" si="156"/>
        <v>#REF!</v>
      </c>
      <c r="T202" t="e">
        <f t="shared" si="155"/>
        <v>#REF!</v>
      </c>
      <c r="U202" t="e">
        <f t="shared" si="155"/>
        <v>#REF!</v>
      </c>
      <c r="V202" t="e">
        <f t="shared" si="155"/>
        <v>#REF!</v>
      </c>
      <c r="W202" t="e">
        <f t="shared" si="155"/>
        <v>#REF!</v>
      </c>
      <c r="X202" t="e">
        <f t="shared" si="140"/>
        <v>#REF!</v>
      </c>
      <c r="Y202" t="e">
        <f t="shared" si="140"/>
        <v>#REF!</v>
      </c>
      <c r="Z202" t="e">
        <f t="shared" si="140"/>
        <v>#REF!</v>
      </c>
      <c r="AA202" t="e">
        <f t="shared" si="140"/>
        <v>#REF!</v>
      </c>
      <c r="AB202" t="e">
        <f t="shared" si="140"/>
        <v>#REF!</v>
      </c>
      <c r="AC202" t="e">
        <f t="shared" ref="AC202:AR224" si="157">MATCH(CONCATENATE(AC$3,"_",$C202),auto_DataFlat_UID,0)</f>
        <v>#REF!</v>
      </c>
      <c r="AD202" t="e">
        <f t="shared" si="157"/>
        <v>#REF!</v>
      </c>
      <c r="AE202" t="e">
        <f t="shared" si="157"/>
        <v>#REF!</v>
      </c>
      <c r="AF202" t="e">
        <f t="shared" si="157"/>
        <v>#REF!</v>
      </c>
      <c r="AG202" t="e">
        <f t="shared" si="157"/>
        <v>#REF!</v>
      </c>
      <c r="AH202" t="e">
        <f t="shared" si="157"/>
        <v>#REF!</v>
      </c>
      <c r="AI202" t="e">
        <f t="shared" si="157"/>
        <v>#REF!</v>
      </c>
      <c r="AJ202" t="e">
        <f t="shared" si="157"/>
        <v>#REF!</v>
      </c>
      <c r="AK202" t="e">
        <f t="shared" si="157"/>
        <v>#REF!</v>
      </c>
      <c r="AL202" t="e">
        <f t="shared" si="157"/>
        <v>#REF!</v>
      </c>
      <c r="AM202" t="e">
        <f t="shared" si="157"/>
        <v>#REF!</v>
      </c>
      <c r="AN202" t="e">
        <f t="shared" si="157"/>
        <v>#REF!</v>
      </c>
      <c r="AO202" t="e">
        <f t="shared" si="157"/>
        <v>#REF!</v>
      </c>
      <c r="AP202" t="e">
        <f t="shared" si="157"/>
        <v>#REF!</v>
      </c>
      <c r="AQ202" t="e">
        <f t="shared" si="157"/>
        <v>#REF!</v>
      </c>
      <c r="AR202" t="e">
        <f t="shared" si="143"/>
        <v>#REF!</v>
      </c>
      <c r="AS202" t="e">
        <f t="shared" si="143"/>
        <v>#REF!</v>
      </c>
      <c r="AT202" t="e">
        <f t="shared" si="143"/>
        <v>#REF!</v>
      </c>
      <c r="AU202" t="e">
        <f t="shared" si="143"/>
        <v>#REF!</v>
      </c>
      <c r="AV202" t="e">
        <f t="shared" si="143"/>
        <v>#REF!</v>
      </c>
      <c r="AW202" t="e">
        <f t="shared" si="143"/>
        <v>#REF!</v>
      </c>
      <c r="AX202" t="e">
        <f t="shared" si="143"/>
        <v>#REF!</v>
      </c>
      <c r="AY202" t="e">
        <f t="shared" si="143"/>
        <v>#REF!</v>
      </c>
      <c r="AZ202" t="e">
        <f t="shared" si="143"/>
        <v>#REF!</v>
      </c>
      <c r="BA202" t="e">
        <f t="shared" si="143"/>
        <v>#REF!</v>
      </c>
      <c r="BB202" t="e">
        <f t="shared" si="143"/>
        <v>#REF!</v>
      </c>
      <c r="BC202" t="e">
        <f t="shared" si="143"/>
        <v>#REF!</v>
      </c>
      <c r="BD202" t="e">
        <f t="shared" si="143"/>
        <v>#REF!</v>
      </c>
      <c r="BE202" t="e">
        <f t="shared" si="143"/>
        <v>#REF!</v>
      </c>
      <c r="BF202" t="e">
        <f t="shared" si="143"/>
        <v>#REF!</v>
      </c>
      <c r="BG202" t="e">
        <f t="shared" si="149"/>
        <v>#REF!</v>
      </c>
      <c r="BH202" t="e">
        <f t="shared" si="149"/>
        <v>#REF!</v>
      </c>
      <c r="BI202" t="e">
        <f t="shared" si="149"/>
        <v>#REF!</v>
      </c>
      <c r="BJ202" t="e">
        <f t="shared" si="149"/>
        <v>#REF!</v>
      </c>
      <c r="BK202" t="e">
        <f t="shared" si="149"/>
        <v>#REF!</v>
      </c>
      <c r="BL202" t="e">
        <f t="shared" si="134"/>
        <v>#REF!</v>
      </c>
      <c r="BM202" t="e">
        <f t="shared" si="134"/>
        <v>#REF!</v>
      </c>
      <c r="BN202" t="e">
        <f t="shared" si="134"/>
        <v>#REF!</v>
      </c>
      <c r="BO202" t="e">
        <f t="shared" si="134"/>
        <v>#REF!</v>
      </c>
      <c r="BP202" t="e">
        <f t="shared" si="134"/>
        <v>#REF!</v>
      </c>
      <c r="BQ202" t="e">
        <f t="shared" si="134"/>
        <v>#REF!</v>
      </c>
      <c r="BR202" t="e">
        <f t="shared" si="134"/>
        <v>#REF!</v>
      </c>
      <c r="BS202" t="e">
        <f t="shared" si="134"/>
        <v>#REF!</v>
      </c>
      <c r="BT202" t="e">
        <f t="shared" si="134"/>
        <v>#REF!</v>
      </c>
      <c r="BU202" t="e">
        <f t="shared" si="134"/>
        <v>#REF!</v>
      </c>
      <c r="BV202" t="e">
        <f t="shared" si="134"/>
        <v>#REF!</v>
      </c>
      <c r="BW202" t="e">
        <f t="shared" si="147"/>
        <v>#REF!</v>
      </c>
      <c r="BX202" t="e">
        <f t="shared" si="147"/>
        <v>#REF!</v>
      </c>
      <c r="BY202" t="e">
        <f t="shared" si="147"/>
        <v>#REF!</v>
      </c>
      <c r="BZ202" t="e">
        <f t="shared" si="147"/>
        <v>#REF!</v>
      </c>
      <c r="CA202" t="e">
        <f t="shared" si="147"/>
        <v>#REF!</v>
      </c>
      <c r="CB202" t="e">
        <f t="shared" si="147"/>
        <v>#REF!</v>
      </c>
      <c r="CC202" t="e">
        <f t="shared" si="147"/>
        <v>#REF!</v>
      </c>
      <c r="CD202" t="e">
        <f t="shared" si="147"/>
        <v>#REF!</v>
      </c>
      <c r="CE202" t="e">
        <f t="shared" si="147"/>
        <v>#REF!</v>
      </c>
      <c r="CF202" t="e">
        <f t="shared" si="147"/>
        <v>#REF!</v>
      </c>
      <c r="CG202" t="e">
        <f t="shared" si="147"/>
        <v>#REF!</v>
      </c>
      <c r="CH202" t="e">
        <f t="shared" si="147"/>
        <v>#REF!</v>
      </c>
      <c r="CI202" t="e">
        <f t="shared" si="147"/>
        <v>#REF!</v>
      </c>
      <c r="CJ202" t="e">
        <f t="shared" si="147"/>
        <v>#REF!</v>
      </c>
      <c r="CK202" t="e">
        <f t="shared" si="147"/>
        <v>#REF!</v>
      </c>
      <c r="CL202" t="e">
        <f t="shared" si="147"/>
        <v>#REF!</v>
      </c>
      <c r="CM202" t="e">
        <f t="shared" si="150"/>
        <v>#REF!</v>
      </c>
      <c r="CN202" t="e">
        <f t="shared" si="150"/>
        <v>#REF!</v>
      </c>
      <c r="CO202" t="e">
        <f t="shared" si="150"/>
        <v>#REF!</v>
      </c>
      <c r="CP202" t="e">
        <f t="shared" si="150"/>
        <v>#REF!</v>
      </c>
      <c r="CQ202" t="e">
        <f t="shared" si="150"/>
        <v>#REF!</v>
      </c>
      <c r="CR202" t="e">
        <f t="shared" si="150"/>
        <v>#REF!</v>
      </c>
      <c r="CS202" t="e">
        <f t="shared" si="150"/>
        <v>#REF!</v>
      </c>
      <c r="CT202" t="e">
        <f t="shared" si="150"/>
        <v>#REF!</v>
      </c>
      <c r="CU202" t="e">
        <f t="shared" si="150"/>
        <v>#REF!</v>
      </c>
      <c r="CV202" t="e">
        <f t="shared" si="150"/>
        <v>#REF!</v>
      </c>
      <c r="CW202" t="e">
        <f t="shared" si="150"/>
        <v>#REF!</v>
      </c>
      <c r="CX202" t="e">
        <f t="shared" si="150"/>
        <v>#REF!</v>
      </c>
      <c r="CY202" t="e">
        <f t="shared" si="150"/>
        <v>#REF!</v>
      </c>
      <c r="CZ202" t="e">
        <f t="shared" si="136"/>
        <v>#REF!</v>
      </c>
      <c r="DA202" t="e">
        <f t="shared" si="136"/>
        <v>#REF!</v>
      </c>
      <c r="DB202" t="e">
        <f t="shared" si="136"/>
        <v>#REF!</v>
      </c>
      <c r="DC202" t="e">
        <f t="shared" si="136"/>
        <v>#REF!</v>
      </c>
      <c r="DD202" t="e">
        <f t="shared" si="136"/>
        <v>#REF!</v>
      </c>
      <c r="DE202" t="e">
        <f t="shared" si="136"/>
        <v>#REF!</v>
      </c>
      <c r="DF202" t="e">
        <f t="shared" si="136"/>
        <v>#REF!</v>
      </c>
      <c r="DG202" t="e">
        <f t="shared" si="154"/>
        <v>#REF!</v>
      </c>
      <c r="DH202" t="e">
        <f t="shared" si="154"/>
        <v>#REF!</v>
      </c>
      <c r="DI202" t="e">
        <f t="shared" si="154"/>
        <v>#REF!</v>
      </c>
      <c r="DJ202" t="e">
        <f t="shared" si="154"/>
        <v>#REF!</v>
      </c>
      <c r="DK202" t="e">
        <f t="shared" si="154"/>
        <v>#REF!</v>
      </c>
      <c r="DL202" t="e">
        <f t="shared" si="154"/>
        <v>#REF!</v>
      </c>
      <c r="DM202" t="e">
        <f t="shared" si="154"/>
        <v>#REF!</v>
      </c>
      <c r="DN202" t="e">
        <f t="shared" si="154"/>
        <v>#REF!</v>
      </c>
      <c r="DO202" t="e">
        <f t="shared" si="154"/>
        <v>#REF!</v>
      </c>
      <c r="DP202" t="e">
        <f t="shared" si="154"/>
        <v>#REF!</v>
      </c>
      <c r="DQ202" t="e">
        <f t="shared" si="154"/>
        <v>#REF!</v>
      </c>
      <c r="DR202" t="e">
        <f t="shared" si="154"/>
        <v>#REF!</v>
      </c>
      <c r="DS202" t="e">
        <f t="shared" si="154"/>
        <v>#REF!</v>
      </c>
      <c r="DT202" t="e">
        <f t="shared" si="154"/>
        <v>#REF!</v>
      </c>
      <c r="DU202" t="e">
        <f t="shared" si="154"/>
        <v>#REF!</v>
      </c>
      <c r="DV202" t="e">
        <f t="shared" si="154"/>
        <v>#REF!</v>
      </c>
      <c r="DW202" t="e">
        <f t="shared" si="153"/>
        <v>#REF!</v>
      </c>
      <c r="DX202" t="e">
        <f t="shared" si="153"/>
        <v>#REF!</v>
      </c>
      <c r="DY202" t="e">
        <f t="shared" si="153"/>
        <v>#REF!</v>
      </c>
      <c r="DZ202" t="e">
        <f t="shared" si="151"/>
        <v>#REF!</v>
      </c>
      <c r="EA202" t="e">
        <f t="shared" si="151"/>
        <v>#REF!</v>
      </c>
      <c r="EB202" t="e">
        <f t="shared" si="151"/>
        <v>#REF!</v>
      </c>
      <c r="EC202" t="e">
        <f t="shared" si="151"/>
        <v>#REF!</v>
      </c>
      <c r="ED202" t="e">
        <f t="shared" si="151"/>
        <v>#REF!</v>
      </c>
      <c r="EE202" t="e">
        <f t="shared" si="151"/>
        <v>#REF!</v>
      </c>
      <c r="EF202" t="e">
        <f t="shared" si="151"/>
        <v>#REF!</v>
      </c>
      <c r="EG202" t="e">
        <f t="shared" si="151"/>
        <v>#REF!</v>
      </c>
      <c r="EH202" t="e">
        <f t="shared" si="151"/>
        <v>#REF!</v>
      </c>
      <c r="EI202" t="e">
        <f t="shared" si="151"/>
        <v>#REF!</v>
      </c>
      <c r="EJ202" t="e">
        <f t="shared" si="151"/>
        <v>#REF!</v>
      </c>
      <c r="EK202" t="e">
        <f t="shared" si="151"/>
        <v>#REF!</v>
      </c>
      <c r="EL202" t="e">
        <f t="shared" si="151"/>
        <v>#REF!</v>
      </c>
      <c r="EM202" t="e">
        <f t="shared" si="151"/>
        <v>#REF!</v>
      </c>
    </row>
    <row r="203" spans="1:143" x14ac:dyDescent="0.4">
      <c r="A203" t="str">
        <f t="shared" si="120"/>
        <v>X</v>
      </c>
      <c r="B203">
        <v>200</v>
      </c>
      <c r="C203" t="e" cm="1">
        <f t="array" ref="C203">INDEX(auto_Series_Code,B203)</f>
        <v>#REF!</v>
      </c>
      <c r="D203" t="e">
        <f t="shared" si="156"/>
        <v>#REF!</v>
      </c>
      <c r="E203" t="e">
        <f t="shared" si="156"/>
        <v>#REF!</v>
      </c>
      <c r="F203" t="e">
        <f t="shared" si="156"/>
        <v>#REF!</v>
      </c>
      <c r="G203" t="e">
        <f t="shared" si="156"/>
        <v>#REF!</v>
      </c>
      <c r="H203" t="e">
        <f t="shared" si="156"/>
        <v>#REF!</v>
      </c>
      <c r="I203" t="e">
        <f t="shared" si="156"/>
        <v>#REF!</v>
      </c>
      <c r="J203" t="e">
        <f t="shared" si="156"/>
        <v>#REF!</v>
      </c>
      <c r="K203" t="e">
        <f t="shared" si="156"/>
        <v>#REF!</v>
      </c>
      <c r="L203" t="e">
        <f t="shared" si="156"/>
        <v>#REF!</v>
      </c>
      <c r="M203" t="e">
        <f t="shared" si="156"/>
        <v>#REF!</v>
      </c>
      <c r="N203" t="e">
        <f t="shared" si="156"/>
        <v>#REF!</v>
      </c>
      <c r="O203" t="e">
        <f t="shared" si="156"/>
        <v>#REF!</v>
      </c>
      <c r="P203" t="e">
        <f t="shared" si="156"/>
        <v>#REF!</v>
      </c>
      <c r="Q203" t="e">
        <f t="shared" si="156"/>
        <v>#REF!</v>
      </c>
      <c r="R203" t="e">
        <f t="shared" si="156"/>
        <v>#REF!</v>
      </c>
      <c r="S203" t="e">
        <f t="shared" si="156"/>
        <v>#REF!</v>
      </c>
      <c r="T203" t="e">
        <f t="shared" si="155"/>
        <v>#REF!</v>
      </c>
      <c r="U203" t="e">
        <f t="shared" si="155"/>
        <v>#REF!</v>
      </c>
      <c r="V203" t="e">
        <f t="shared" si="155"/>
        <v>#REF!</v>
      </c>
      <c r="W203" t="e">
        <f t="shared" si="155"/>
        <v>#REF!</v>
      </c>
      <c r="X203" t="e">
        <f t="shared" si="155"/>
        <v>#REF!</v>
      </c>
      <c r="Y203" t="e">
        <f t="shared" si="155"/>
        <v>#REF!</v>
      </c>
      <c r="Z203" t="e">
        <f t="shared" si="155"/>
        <v>#REF!</v>
      </c>
      <c r="AA203" t="e">
        <f t="shared" si="155"/>
        <v>#REF!</v>
      </c>
      <c r="AB203" t="e">
        <f t="shared" si="155"/>
        <v>#REF!</v>
      </c>
      <c r="AC203" t="e">
        <f t="shared" si="155"/>
        <v>#REF!</v>
      </c>
      <c r="AD203" t="e">
        <f t="shared" si="155"/>
        <v>#REF!</v>
      </c>
      <c r="AE203" t="e">
        <f t="shared" si="155"/>
        <v>#REF!</v>
      </c>
      <c r="AF203" t="e">
        <f t="shared" si="155"/>
        <v>#REF!</v>
      </c>
      <c r="AG203" t="e">
        <f t="shared" si="155"/>
        <v>#REF!</v>
      </c>
      <c r="AH203" t="e">
        <f t="shared" si="157"/>
        <v>#REF!</v>
      </c>
      <c r="AI203" t="e">
        <f t="shared" si="157"/>
        <v>#REF!</v>
      </c>
      <c r="AJ203" t="e">
        <f t="shared" si="157"/>
        <v>#REF!</v>
      </c>
      <c r="AK203" t="e">
        <f t="shared" si="157"/>
        <v>#REF!</v>
      </c>
      <c r="AL203" t="e">
        <f t="shared" si="157"/>
        <v>#REF!</v>
      </c>
      <c r="AM203" t="e">
        <f t="shared" si="157"/>
        <v>#REF!</v>
      </c>
      <c r="AN203" t="e">
        <f t="shared" si="157"/>
        <v>#REF!</v>
      </c>
      <c r="AO203" t="e">
        <f t="shared" si="157"/>
        <v>#REF!</v>
      </c>
      <c r="AP203" t="e">
        <f t="shared" si="157"/>
        <v>#REF!</v>
      </c>
      <c r="AQ203" t="e">
        <f t="shared" si="157"/>
        <v>#REF!</v>
      </c>
      <c r="AR203" t="e">
        <f t="shared" si="143"/>
        <v>#REF!</v>
      </c>
      <c r="AS203" t="e">
        <f t="shared" si="143"/>
        <v>#REF!</v>
      </c>
      <c r="AT203" t="e">
        <f t="shared" si="143"/>
        <v>#REF!</v>
      </c>
      <c r="AU203" t="e">
        <f t="shared" si="143"/>
        <v>#REF!</v>
      </c>
      <c r="AV203" t="e">
        <f t="shared" si="143"/>
        <v>#REF!</v>
      </c>
      <c r="AW203" t="e">
        <f t="shared" si="143"/>
        <v>#REF!</v>
      </c>
      <c r="AX203" t="e">
        <f t="shared" si="143"/>
        <v>#REF!</v>
      </c>
      <c r="AY203" t="e">
        <f t="shared" si="143"/>
        <v>#REF!</v>
      </c>
      <c r="AZ203" t="e">
        <f t="shared" si="143"/>
        <v>#REF!</v>
      </c>
      <c r="BA203" t="e">
        <f t="shared" si="143"/>
        <v>#REF!</v>
      </c>
      <c r="BB203" t="e">
        <f t="shared" si="143"/>
        <v>#REF!</v>
      </c>
      <c r="BC203" t="e">
        <f t="shared" si="143"/>
        <v>#REF!</v>
      </c>
      <c r="BD203" t="e">
        <f t="shared" si="143"/>
        <v>#REF!</v>
      </c>
      <c r="BE203" t="e">
        <f t="shared" si="143"/>
        <v>#REF!</v>
      </c>
      <c r="BF203" t="e">
        <f t="shared" ref="BF203:BU225" si="158">MATCH(CONCATENATE(BF$3,"_",$C203),auto_DataFlat_UID,0)</f>
        <v>#REF!</v>
      </c>
      <c r="BG203" t="e">
        <f t="shared" si="158"/>
        <v>#REF!</v>
      </c>
      <c r="BH203" t="e">
        <f t="shared" si="158"/>
        <v>#REF!</v>
      </c>
      <c r="BI203" t="e">
        <f t="shared" si="158"/>
        <v>#REF!</v>
      </c>
      <c r="BJ203" t="e">
        <f t="shared" si="158"/>
        <v>#REF!</v>
      </c>
      <c r="BK203" t="e">
        <f t="shared" si="158"/>
        <v>#REF!</v>
      </c>
      <c r="BL203" t="e">
        <f t="shared" si="134"/>
        <v>#REF!</v>
      </c>
      <c r="BM203" t="e">
        <f t="shared" si="134"/>
        <v>#REF!</v>
      </c>
      <c r="BN203" t="e">
        <f t="shared" si="134"/>
        <v>#REF!</v>
      </c>
      <c r="BO203" t="e">
        <f t="shared" si="134"/>
        <v>#REF!</v>
      </c>
      <c r="BP203" t="e">
        <f t="shared" si="134"/>
        <v>#REF!</v>
      </c>
      <c r="BQ203" t="e">
        <f t="shared" si="134"/>
        <v>#REF!</v>
      </c>
      <c r="BR203" t="e">
        <f t="shared" si="134"/>
        <v>#REF!</v>
      </c>
      <c r="BS203" t="e">
        <f t="shared" si="134"/>
        <v>#REF!</v>
      </c>
      <c r="BT203" t="e">
        <f t="shared" si="134"/>
        <v>#REF!</v>
      </c>
      <c r="BU203" t="e">
        <f t="shared" si="134"/>
        <v>#REF!</v>
      </c>
      <c r="BV203" t="e">
        <f t="shared" si="134"/>
        <v>#REF!</v>
      </c>
      <c r="BW203" t="e">
        <f t="shared" si="147"/>
        <v>#REF!</v>
      </c>
      <c r="BX203" t="e">
        <f t="shared" si="147"/>
        <v>#REF!</v>
      </c>
      <c r="BY203" t="e">
        <f t="shared" si="147"/>
        <v>#REF!</v>
      </c>
      <c r="BZ203" t="e">
        <f t="shared" si="147"/>
        <v>#REF!</v>
      </c>
      <c r="CA203" t="e">
        <f t="shared" si="147"/>
        <v>#REF!</v>
      </c>
      <c r="CB203" t="e">
        <f t="shared" si="147"/>
        <v>#REF!</v>
      </c>
      <c r="CC203" t="e">
        <f t="shared" si="147"/>
        <v>#REF!</v>
      </c>
      <c r="CD203" t="e">
        <f t="shared" si="147"/>
        <v>#REF!</v>
      </c>
      <c r="CE203" t="e">
        <f t="shared" si="147"/>
        <v>#REF!</v>
      </c>
      <c r="CF203" t="e">
        <f t="shared" si="147"/>
        <v>#REF!</v>
      </c>
      <c r="CG203" t="e">
        <f t="shared" si="147"/>
        <v>#REF!</v>
      </c>
      <c r="CH203" t="e">
        <f t="shared" si="147"/>
        <v>#REF!</v>
      </c>
      <c r="CI203" t="e">
        <f t="shared" si="147"/>
        <v>#REF!</v>
      </c>
      <c r="CJ203" t="e">
        <f t="shared" si="147"/>
        <v>#REF!</v>
      </c>
      <c r="CK203" t="e">
        <f t="shared" si="147"/>
        <v>#REF!</v>
      </c>
      <c r="CL203" t="e">
        <f t="shared" si="147"/>
        <v>#REF!</v>
      </c>
      <c r="CM203" t="e">
        <f t="shared" si="150"/>
        <v>#REF!</v>
      </c>
      <c r="CN203" t="e">
        <f t="shared" si="150"/>
        <v>#REF!</v>
      </c>
      <c r="CO203" t="e">
        <f t="shared" si="150"/>
        <v>#REF!</v>
      </c>
      <c r="CP203" t="e">
        <f t="shared" si="150"/>
        <v>#REF!</v>
      </c>
      <c r="CQ203" t="e">
        <f t="shared" si="150"/>
        <v>#REF!</v>
      </c>
      <c r="CR203" t="e">
        <f t="shared" si="150"/>
        <v>#REF!</v>
      </c>
      <c r="CS203" t="e">
        <f t="shared" si="150"/>
        <v>#REF!</v>
      </c>
      <c r="CT203" t="e">
        <f t="shared" si="150"/>
        <v>#REF!</v>
      </c>
      <c r="CU203" t="e">
        <f t="shared" si="150"/>
        <v>#REF!</v>
      </c>
      <c r="CV203" t="e">
        <f t="shared" si="150"/>
        <v>#REF!</v>
      </c>
      <c r="CW203" t="e">
        <f t="shared" si="150"/>
        <v>#REF!</v>
      </c>
      <c r="CX203" t="e">
        <f t="shared" si="150"/>
        <v>#REF!</v>
      </c>
      <c r="CY203" t="e">
        <f t="shared" si="150"/>
        <v>#REF!</v>
      </c>
      <c r="CZ203" t="e">
        <f t="shared" si="136"/>
        <v>#REF!</v>
      </c>
      <c r="DA203" t="e">
        <f t="shared" ref="DA203:DI207" si="159">MATCH(CONCATENATE(DA$3,"_",$C203),auto_DataFlat_UID,0)</f>
        <v>#REF!</v>
      </c>
      <c r="DB203" t="e">
        <f t="shared" si="159"/>
        <v>#REF!</v>
      </c>
      <c r="DC203" t="e">
        <f t="shared" si="159"/>
        <v>#REF!</v>
      </c>
      <c r="DD203" t="e">
        <f t="shared" si="159"/>
        <v>#REF!</v>
      </c>
      <c r="DE203" t="e">
        <f t="shared" si="159"/>
        <v>#REF!</v>
      </c>
      <c r="DF203" t="e">
        <f t="shared" si="159"/>
        <v>#REF!</v>
      </c>
      <c r="DG203" t="e">
        <f t="shared" si="159"/>
        <v>#REF!</v>
      </c>
      <c r="DH203" t="e">
        <f t="shared" si="159"/>
        <v>#REF!</v>
      </c>
      <c r="DI203" t="e">
        <f t="shared" si="159"/>
        <v>#REF!</v>
      </c>
      <c r="DJ203" t="e">
        <f t="shared" si="154"/>
        <v>#REF!</v>
      </c>
      <c r="DK203" t="e">
        <f t="shared" si="154"/>
        <v>#REF!</v>
      </c>
      <c r="DL203" t="e">
        <f t="shared" si="154"/>
        <v>#REF!</v>
      </c>
      <c r="DM203" t="e">
        <f t="shared" si="154"/>
        <v>#REF!</v>
      </c>
      <c r="DN203" t="e">
        <f t="shared" si="154"/>
        <v>#REF!</v>
      </c>
      <c r="DO203" t="e">
        <f t="shared" si="154"/>
        <v>#REF!</v>
      </c>
      <c r="DP203" t="e">
        <f t="shared" si="154"/>
        <v>#REF!</v>
      </c>
      <c r="DQ203" t="e">
        <f t="shared" si="154"/>
        <v>#REF!</v>
      </c>
      <c r="DR203" t="e">
        <f t="shared" si="154"/>
        <v>#REF!</v>
      </c>
      <c r="DS203" t="e">
        <f t="shared" si="154"/>
        <v>#REF!</v>
      </c>
      <c r="DT203" t="e">
        <f t="shared" si="154"/>
        <v>#REF!</v>
      </c>
      <c r="DU203" t="e">
        <f t="shared" si="154"/>
        <v>#REF!</v>
      </c>
      <c r="DV203" t="e">
        <f t="shared" si="154"/>
        <v>#REF!</v>
      </c>
      <c r="DW203" t="e">
        <f t="shared" si="153"/>
        <v>#REF!</v>
      </c>
      <c r="DX203" t="e">
        <f t="shared" si="153"/>
        <v>#REF!</v>
      </c>
      <c r="DY203" t="e">
        <f t="shared" si="153"/>
        <v>#REF!</v>
      </c>
      <c r="DZ203" t="e">
        <f t="shared" si="151"/>
        <v>#REF!</v>
      </c>
      <c r="EA203" t="e">
        <f t="shared" si="151"/>
        <v>#REF!</v>
      </c>
      <c r="EB203" t="e">
        <f t="shared" si="151"/>
        <v>#REF!</v>
      </c>
      <c r="EC203" t="e">
        <f t="shared" si="151"/>
        <v>#REF!</v>
      </c>
      <c r="ED203" t="e">
        <f t="shared" si="151"/>
        <v>#REF!</v>
      </c>
      <c r="EE203" t="e">
        <f t="shared" si="151"/>
        <v>#REF!</v>
      </c>
      <c r="EF203" t="e">
        <f t="shared" si="151"/>
        <v>#REF!</v>
      </c>
      <c r="EG203" t="e">
        <f t="shared" si="151"/>
        <v>#REF!</v>
      </c>
      <c r="EH203" t="e">
        <f t="shared" si="151"/>
        <v>#REF!</v>
      </c>
      <c r="EI203" t="e">
        <f t="shared" si="151"/>
        <v>#REF!</v>
      </c>
      <c r="EJ203" t="e">
        <f t="shared" si="151"/>
        <v>#REF!</v>
      </c>
      <c r="EK203" t="e">
        <f t="shared" si="151"/>
        <v>#REF!</v>
      </c>
      <c r="EL203" t="e">
        <f t="shared" si="151"/>
        <v>#REF!</v>
      </c>
      <c r="EM203" t="e">
        <f t="shared" si="151"/>
        <v>#REF!</v>
      </c>
    </row>
    <row r="204" spans="1:143" x14ac:dyDescent="0.4">
      <c r="A204" t="str">
        <f t="shared" si="120"/>
        <v>X</v>
      </c>
      <c r="B204">
        <v>201</v>
      </c>
      <c r="C204" t="e" cm="1">
        <f t="array" ref="C204">INDEX(auto_Series_Code,B204)</f>
        <v>#REF!</v>
      </c>
      <c r="D204" t="e">
        <f t="shared" si="156"/>
        <v>#REF!</v>
      </c>
      <c r="E204" t="e">
        <f t="shared" si="156"/>
        <v>#REF!</v>
      </c>
      <c r="F204" t="e">
        <f t="shared" si="156"/>
        <v>#REF!</v>
      </c>
      <c r="G204" t="e">
        <f t="shared" si="156"/>
        <v>#REF!</v>
      </c>
      <c r="H204" t="e">
        <f t="shared" si="156"/>
        <v>#REF!</v>
      </c>
      <c r="I204" t="e">
        <f t="shared" si="156"/>
        <v>#REF!</v>
      </c>
      <c r="J204" t="e">
        <f t="shared" si="156"/>
        <v>#REF!</v>
      </c>
      <c r="K204" t="e">
        <f t="shared" si="156"/>
        <v>#REF!</v>
      </c>
      <c r="L204" t="e">
        <f t="shared" si="156"/>
        <v>#REF!</v>
      </c>
      <c r="M204" t="e">
        <f t="shared" si="156"/>
        <v>#REF!</v>
      </c>
      <c r="N204" t="e">
        <f t="shared" si="156"/>
        <v>#REF!</v>
      </c>
      <c r="O204" t="e">
        <f t="shared" si="156"/>
        <v>#REF!</v>
      </c>
      <c r="P204" t="e">
        <f t="shared" si="156"/>
        <v>#REF!</v>
      </c>
      <c r="Q204" t="e">
        <f t="shared" si="156"/>
        <v>#REF!</v>
      </c>
      <c r="R204" t="e">
        <f t="shared" si="156"/>
        <v>#REF!</v>
      </c>
      <c r="S204" t="e">
        <f t="shared" si="156"/>
        <v>#REF!</v>
      </c>
      <c r="T204" t="e">
        <f t="shared" si="155"/>
        <v>#REF!</v>
      </c>
      <c r="U204" t="e">
        <f t="shared" si="155"/>
        <v>#REF!</v>
      </c>
      <c r="V204" t="e">
        <f t="shared" si="155"/>
        <v>#REF!</v>
      </c>
      <c r="W204" t="e">
        <f t="shared" si="155"/>
        <v>#REF!</v>
      </c>
      <c r="X204" t="e">
        <f t="shared" si="155"/>
        <v>#REF!</v>
      </c>
      <c r="Y204" t="e">
        <f t="shared" si="155"/>
        <v>#REF!</v>
      </c>
      <c r="Z204" t="e">
        <f t="shared" si="155"/>
        <v>#REF!</v>
      </c>
      <c r="AA204" t="e">
        <f t="shared" si="155"/>
        <v>#REF!</v>
      </c>
      <c r="AB204" t="e">
        <f t="shared" si="155"/>
        <v>#REF!</v>
      </c>
      <c r="AC204" t="e">
        <f t="shared" si="155"/>
        <v>#REF!</v>
      </c>
      <c r="AD204" t="e">
        <f t="shared" si="155"/>
        <v>#REF!</v>
      </c>
      <c r="AE204" t="e">
        <f t="shared" si="155"/>
        <v>#REF!</v>
      </c>
      <c r="AF204" t="e">
        <f t="shared" si="155"/>
        <v>#REF!</v>
      </c>
      <c r="AG204" t="e">
        <f t="shared" si="155"/>
        <v>#REF!</v>
      </c>
      <c r="AH204" t="e">
        <f t="shared" si="157"/>
        <v>#REF!</v>
      </c>
      <c r="AI204" t="e">
        <f t="shared" si="157"/>
        <v>#REF!</v>
      </c>
      <c r="AJ204" t="e">
        <f t="shared" si="157"/>
        <v>#REF!</v>
      </c>
      <c r="AK204" t="e">
        <f t="shared" si="157"/>
        <v>#REF!</v>
      </c>
      <c r="AL204" t="e">
        <f t="shared" si="157"/>
        <v>#REF!</v>
      </c>
      <c r="AM204" t="e">
        <f t="shared" si="157"/>
        <v>#REF!</v>
      </c>
      <c r="AN204" t="e">
        <f t="shared" si="157"/>
        <v>#REF!</v>
      </c>
      <c r="AO204" t="e">
        <f t="shared" si="157"/>
        <v>#REF!</v>
      </c>
      <c r="AP204" t="e">
        <f t="shared" si="157"/>
        <v>#REF!</v>
      </c>
      <c r="AQ204" t="e">
        <f t="shared" si="157"/>
        <v>#REF!</v>
      </c>
      <c r="AR204" t="e">
        <f t="shared" si="157"/>
        <v>#REF!</v>
      </c>
      <c r="AS204" t="e">
        <f t="shared" ref="AS204:BH219" si="160">MATCH(CONCATENATE(AS$3,"_",$C204),auto_DataFlat_UID,0)</f>
        <v>#REF!</v>
      </c>
      <c r="AT204" t="e">
        <f t="shared" si="160"/>
        <v>#REF!</v>
      </c>
      <c r="AU204" t="e">
        <f t="shared" si="160"/>
        <v>#REF!</v>
      </c>
      <c r="AV204" t="e">
        <f t="shared" si="160"/>
        <v>#REF!</v>
      </c>
      <c r="AW204" t="e">
        <f t="shared" si="160"/>
        <v>#REF!</v>
      </c>
      <c r="AX204" t="e">
        <f t="shared" si="160"/>
        <v>#REF!</v>
      </c>
      <c r="AY204" t="e">
        <f t="shared" si="160"/>
        <v>#REF!</v>
      </c>
      <c r="AZ204" t="e">
        <f t="shared" si="160"/>
        <v>#REF!</v>
      </c>
      <c r="BA204" t="e">
        <f t="shared" si="160"/>
        <v>#REF!</v>
      </c>
      <c r="BB204" t="e">
        <f t="shared" si="160"/>
        <v>#REF!</v>
      </c>
      <c r="BC204" t="e">
        <f t="shared" si="160"/>
        <v>#REF!</v>
      </c>
      <c r="BD204" t="e">
        <f t="shared" si="160"/>
        <v>#REF!</v>
      </c>
      <c r="BE204" t="e">
        <f t="shared" si="160"/>
        <v>#REF!</v>
      </c>
      <c r="BF204" t="e">
        <f t="shared" si="160"/>
        <v>#REF!</v>
      </c>
      <c r="BG204" t="e">
        <f t="shared" si="160"/>
        <v>#REF!</v>
      </c>
      <c r="BH204" t="e">
        <f t="shared" si="160"/>
        <v>#REF!</v>
      </c>
      <c r="BI204" t="e">
        <f t="shared" si="158"/>
        <v>#REF!</v>
      </c>
      <c r="BJ204" t="e">
        <f t="shared" si="158"/>
        <v>#REF!</v>
      </c>
      <c r="BK204" t="e">
        <f t="shared" si="158"/>
        <v>#REF!</v>
      </c>
      <c r="BL204" t="e">
        <f t="shared" si="134"/>
        <v>#REF!</v>
      </c>
      <c r="BM204" t="e">
        <f t="shared" si="134"/>
        <v>#REF!</v>
      </c>
      <c r="BN204" t="e">
        <f t="shared" si="134"/>
        <v>#REF!</v>
      </c>
      <c r="BO204" t="e">
        <f t="shared" si="134"/>
        <v>#REF!</v>
      </c>
      <c r="BP204" t="e">
        <f t="shared" ref="BP204:CE228" si="161">MATCH(CONCATENATE(BP$3,"_",$C204),auto_DataFlat_UID,0)</f>
        <v>#REF!</v>
      </c>
      <c r="BQ204" t="e">
        <f t="shared" si="161"/>
        <v>#REF!</v>
      </c>
      <c r="BR204" t="e">
        <f t="shared" si="161"/>
        <v>#REF!</v>
      </c>
      <c r="BS204" t="e">
        <f t="shared" si="161"/>
        <v>#REF!</v>
      </c>
      <c r="BT204" t="e">
        <f t="shared" si="161"/>
        <v>#REF!</v>
      </c>
      <c r="BU204" t="e">
        <f t="shared" si="161"/>
        <v>#REF!</v>
      </c>
      <c r="BV204" t="e">
        <f t="shared" si="161"/>
        <v>#REF!</v>
      </c>
      <c r="BW204" t="e">
        <f t="shared" si="161"/>
        <v>#REF!</v>
      </c>
      <c r="BX204" t="e">
        <f t="shared" si="161"/>
        <v>#REF!</v>
      </c>
      <c r="BY204" t="e">
        <f t="shared" si="161"/>
        <v>#REF!</v>
      </c>
      <c r="BZ204" t="e">
        <f t="shared" si="161"/>
        <v>#REF!</v>
      </c>
      <c r="CA204" t="e">
        <f t="shared" si="161"/>
        <v>#REF!</v>
      </c>
      <c r="CB204" t="e">
        <f t="shared" si="161"/>
        <v>#REF!</v>
      </c>
      <c r="CC204" t="e">
        <f t="shared" si="161"/>
        <v>#REF!</v>
      </c>
      <c r="CD204" t="e">
        <f t="shared" si="161"/>
        <v>#REF!</v>
      </c>
      <c r="CE204" t="e">
        <f t="shared" si="161"/>
        <v>#REF!</v>
      </c>
      <c r="CF204" t="e">
        <f t="shared" si="147"/>
        <v>#REF!</v>
      </c>
      <c r="CG204" t="e">
        <f t="shared" si="147"/>
        <v>#REF!</v>
      </c>
      <c r="CH204" t="e">
        <f t="shared" si="147"/>
        <v>#REF!</v>
      </c>
      <c r="CI204" t="e">
        <f t="shared" si="147"/>
        <v>#REF!</v>
      </c>
      <c r="CJ204" t="e">
        <f t="shared" si="147"/>
        <v>#REF!</v>
      </c>
      <c r="CK204" t="e">
        <f t="shared" si="147"/>
        <v>#REF!</v>
      </c>
      <c r="CL204" t="e">
        <f t="shared" ref="CL204:CO204" si="162">MATCH(CONCATENATE(CL$3,"_",$C204),auto_DataFlat_UID,0)</f>
        <v>#REF!</v>
      </c>
      <c r="CM204" t="e">
        <f t="shared" si="162"/>
        <v>#REF!</v>
      </c>
      <c r="CN204" t="e">
        <f t="shared" si="162"/>
        <v>#REF!</v>
      </c>
      <c r="CO204" t="e">
        <f t="shared" si="162"/>
        <v>#REF!</v>
      </c>
      <c r="CP204" t="e">
        <f t="shared" si="150"/>
        <v>#REF!</v>
      </c>
      <c r="CQ204" t="e">
        <f t="shared" si="150"/>
        <v>#REF!</v>
      </c>
      <c r="CR204" t="e">
        <f t="shared" si="150"/>
        <v>#REF!</v>
      </c>
      <c r="CS204" t="e">
        <f t="shared" si="150"/>
        <v>#REF!</v>
      </c>
      <c r="CT204" t="e">
        <f t="shared" si="150"/>
        <v>#REF!</v>
      </c>
      <c r="CU204" t="e">
        <f t="shared" si="150"/>
        <v>#REF!</v>
      </c>
      <c r="CV204" t="e">
        <f t="shared" si="150"/>
        <v>#REF!</v>
      </c>
      <c r="CW204" t="e">
        <f t="shared" si="150"/>
        <v>#REF!</v>
      </c>
      <c r="CX204" t="e">
        <f t="shared" si="150"/>
        <v>#REF!</v>
      </c>
      <c r="CY204" t="e">
        <f t="shared" si="150"/>
        <v>#REF!</v>
      </c>
      <c r="CZ204" t="e">
        <f t="shared" si="150"/>
        <v>#REF!</v>
      </c>
      <c r="DA204" t="e">
        <f t="shared" si="150"/>
        <v>#REF!</v>
      </c>
      <c r="DB204" t="e">
        <f t="shared" si="150"/>
        <v>#REF!</v>
      </c>
      <c r="DC204" t="e">
        <f t="shared" si="159"/>
        <v>#REF!</v>
      </c>
      <c r="DD204" t="e">
        <f t="shared" si="159"/>
        <v>#REF!</v>
      </c>
      <c r="DE204" t="e">
        <f t="shared" si="159"/>
        <v>#REF!</v>
      </c>
      <c r="DF204" t="e">
        <f t="shared" si="159"/>
        <v>#REF!</v>
      </c>
      <c r="DG204" t="e">
        <f t="shared" si="159"/>
        <v>#REF!</v>
      </c>
      <c r="DH204" t="e">
        <f t="shared" si="159"/>
        <v>#REF!</v>
      </c>
      <c r="DI204" t="e">
        <f t="shared" si="159"/>
        <v>#REF!</v>
      </c>
      <c r="DJ204" t="e">
        <f t="shared" si="154"/>
        <v>#REF!</v>
      </c>
      <c r="DK204" t="e">
        <f t="shared" si="154"/>
        <v>#REF!</v>
      </c>
      <c r="DL204" t="e">
        <f t="shared" si="154"/>
        <v>#REF!</v>
      </c>
      <c r="DM204" t="e">
        <f t="shared" si="154"/>
        <v>#REF!</v>
      </c>
      <c r="DN204" t="e">
        <f t="shared" si="154"/>
        <v>#REF!</v>
      </c>
      <c r="DO204" t="e">
        <f t="shared" si="154"/>
        <v>#REF!</v>
      </c>
      <c r="DP204" t="e">
        <f t="shared" si="154"/>
        <v>#REF!</v>
      </c>
      <c r="DQ204" t="e">
        <f t="shared" si="154"/>
        <v>#REF!</v>
      </c>
      <c r="DR204" t="e">
        <f t="shared" si="154"/>
        <v>#REF!</v>
      </c>
      <c r="DS204" t="e">
        <f t="shared" si="154"/>
        <v>#REF!</v>
      </c>
      <c r="DT204" t="e">
        <f t="shared" si="154"/>
        <v>#REF!</v>
      </c>
      <c r="DU204" t="e">
        <f t="shared" si="154"/>
        <v>#REF!</v>
      </c>
      <c r="DV204" t="e">
        <f t="shared" si="154"/>
        <v>#REF!</v>
      </c>
      <c r="DW204" t="e">
        <f t="shared" si="153"/>
        <v>#REF!</v>
      </c>
      <c r="DX204" t="e">
        <f t="shared" si="153"/>
        <v>#REF!</v>
      </c>
      <c r="DY204" t="e">
        <f t="shared" si="153"/>
        <v>#REF!</v>
      </c>
      <c r="DZ204" t="e">
        <f t="shared" si="151"/>
        <v>#REF!</v>
      </c>
      <c r="EA204" t="e">
        <f t="shared" si="151"/>
        <v>#REF!</v>
      </c>
      <c r="EB204" t="e">
        <f t="shared" si="151"/>
        <v>#REF!</v>
      </c>
      <c r="EC204" t="e">
        <f t="shared" si="151"/>
        <v>#REF!</v>
      </c>
      <c r="ED204" t="e">
        <f t="shared" si="151"/>
        <v>#REF!</v>
      </c>
      <c r="EE204" t="e">
        <f t="shared" si="151"/>
        <v>#REF!</v>
      </c>
      <c r="EF204" t="e">
        <f t="shared" si="151"/>
        <v>#REF!</v>
      </c>
      <c r="EG204" t="e">
        <f t="shared" si="151"/>
        <v>#REF!</v>
      </c>
      <c r="EH204" t="e">
        <f t="shared" si="151"/>
        <v>#REF!</v>
      </c>
      <c r="EI204" t="e">
        <f t="shared" si="151"/>
        <v>#REF!</v>
      </c>
      <c r="EJ204" t="e">
        <f t="shared" si="151"/>
        <v>#REF!</v>
      </c>
      <c r="EK204" t="e">
        <f t="shared" si="151"/>
        <v>#REF!</v>
      </c>
      <c r="EL204" t="e">
        <f t="shared" si="151"/>
        <v>#REF!</v>
      </c>
      <c r="EM204" t="e">
        <f t="shared" si="151"/>
        <v>#REF!</v>
      </c>
    </row>
    <row r="205" spans="1:143" x14ac:dyDescent="0.4">
      <c r="A205" t="str">
        <f t="shared" si="120"/>
        <v>X</v>
      </c>
      <c r="B205">
        <v>202</v>
      </c>
      <c r="C205" t="e" cm="1">
        <f t="array" ref="C205">INDEX(auto_Series_Code,B205)</f>
        <v>#REF!</v>
      </c>
      <c r="D205" t="e">
        <f t="shared" si="156"/>
        <v>#REF!</v>
      </c>
      <c r="E205" t="e">
        <f t="shared" si="156"/>
        <v>#REF!</v>
      </c>
      <c r="F205" t="e">
        <f t="shared" si="156"/>
        <v>#REF!</v>
      </c>
      <c r="G205" t="e">
        <f t="shared" si="156"/>
        <v>#REF!</v>
      </c>
      <c r="H205" t="e">
        <f t="shared" si="156"/>
        <v>#REF!</v>
      </c>
      <c r="I205" t="e">
        <f t="shared" si="156"/>
        <v>#REF!</v>
      </c>
      <c r="J205" t="e">
        <f t="shared" si="156"/>
        <v>#REF!</v>
      </c>
      <c r="K205" t="e">
        <f t="shared" si="156"/>
        <v>#REF!</v>
      </c>
      <c r="L205" t="e">
        <f t="shared" si="156"/>
        <v>#REF!</v>
      </c>
      <c r="M205" t="e">
        <f t="shared" si="156"/>
        <v>#REF!</v>
      </c>
      <c r="N205" t="e">
        <f t="shared" si="156"/>
        <v>#REF!</v>
      </c>
      <c r="O205" t="e">
        <f t="shared" si="156"/>
        <v>#REF!</v>
      </c>
      <c r="P205" t="e">
        <f t="shared" si="156"/>
        <v>#REF!</v>
      </c>
      <c r="Q205" t="e">
        <f t="shared" si="156"/>
        <v>#REF!</v>
      </c>
      <c r="R205" t="e">
        <f t="shared" si="156"/>
        <v>#REF!</v>
      </c>
      <c r="S205" t="e">
        <f t="shared" si="156"/>
        <v>#REF!</v>
      </c>
      <c r="T205" t="e">
        <f t="shared" si="155"/>
        <v>#REF!</v>
      </c>
      <c r="U205" t="e">
        <f t="shared" si="155"/>
        <v>#REF!</v>
      </c>
      <c r="V205" t="e">
        <f t="shared" si="155"/>
        <v>#REF!</v>
      </c>
      <c r="W205" t="e">
        <f t="shared" si="155"/>
        <v>#REF!</v>
      </c>
      <c r="X205" t="e">
        <f t="shared" si="155"/>
        <v>#REF!</v>
      </c>
      <c r="Y205" t="e">
        <f t="shared" si="155"/>
        <v>#REF!</v>
      </c>
      <c r="Z205" t="e">
        <f t="shared" si="155"/>
        <v>#REF!</v>
      </c>
      <c r="AA205" t="e">
        <f t="shared" si="155"/>
        <v>#REF!</v>
      </c>
      <c r="AB205" t="e">
        <f t="shared" si="155"/>
        <v>#REF!</v>
      </c>
      <c r="AC205" t="e">
        <f t="shared" si="155"/>
        <v>#REF!</v>
      </c>
      <c r="AD205" t="e">
        <f t="shared" si="155"/>
        <v>#REF!</v>
      </c>
      <c r="AE205" t="e">
        <f t="shared" si="155"/>
        <v>#REF!</v>
      </c>
      <c r="AF205" t="e">
        <f t="shared" si="155"/>
        <v>#REF!</v>
      </c>
      <c r="AG205" t="e">
        <f t="shared" si="155"/>
        <v>#REF!</v>
      </c>
      <c r="AH205" t="e">
        <f t="shared" si="157"/>
        <v>#REF!</v>
      </c>
      <c r="AI205" t="e">
        <f t="shared" si="157"/>
        <v>#REF!</v>
      </c>
      <c r="AJ205" t="e">
        <f t="shared" si="157"/>
        <v>#REF!</v>
      </c>
      <c r="AK205" t="e">
        <f t="shared" si="157"/>
        <v>#REF!</v>
      </c>
      <c r="AL205" t="e">
        <f t="shared" si="157"/>
        <v>#REF!</v>
      </c>
      <c r="AM205" t="e">
        <f t="shared" si="157"/>
        <v>#REF!</v>
      </c>
      <c r="AN205" t="e">
        <f t="shared" si="157"/>
        <v>#REF!</v>
      </c>
      <c r="AO205" t="e">
        <f t="shared" si="157"/>
        <v>#REF!</v>
      </c>
      <c r="AP205" t="e">
        <f t="shared" si="157"/>
        <v>#REF!</v>
      </c>
      <c r="AQ205" t="e">
        <f t="shared" si="157"/>
        <v>#REF!</v>
      </c>
      <c r="AR205" t="e">
        <f t="shared" si="157"/>
        <v>#REF!</v>
      </c>
      <c r="AS205" t="e">
        <f t="shared" si="160"/>
        <v>#REF!</v>
      </c>
      <c r="AT205" t="e">
        <f t="shared" si="160"/>
        <v>#REF!</v>
      </c>
      <c r="AU205" t="e">
        <f t="shared" si="160"/>
        <v>#REF!</v>
      </c>
      <c r="AV205" t="e">
        <f t="shared" si="160"/>
        <v>#REF!</v>
      </c>
      <c r="AW205" t="e">
        <f t="shared" si="160"/>
        <v>#REF!</v>
      </c>
      <c r="AX205" t="e">
        <f t="shared" si="160"/>
        <v>#REF!</v>
      </c>
      <c r="AY205" t="e">
        <f t="shared" si="160"/>
        <v>#REF!</v>
      </c>
      <c r="AZ205" t="e">
        <f t="shared" si="160"/>
        <v>#REF!</v>
      </c>
      <c r="BA205" t="e">
        <f t="shared" si="160"/>
        <v>#REF!</v>
      </c>
      <c r="BB205" t="e">
        <f t="shared" si="160"/>
        <v>#REF!</v>
      </c>
      <c r="BC205" t="e">
        <f t="shared" si="160"/>
        <v>#REF!</v>
      </c>
      <c r="BD205" t="e">
        <f t="shared" si="160"/>
        <v>#REF!</v>
      </c>
      <c r="BE205" t="e">
        <f t="shared" si="160"/>
        <v>#REF!</v>
      </c>
      <c r="BF205" t="e">
        <f t="shared" si="160"/>
        <v>#REF!</v>
      </c>
      <c r="BG205" t="e">
        <f t="shared" si="160"/>
        <v>#REF!</v>
      </c>
      <c r="BH205" t="e">
        <f t="shared" si="160"/>
        <v>#REF!</v>
      </c>
      <c r="BI205" t="e">
        <f t="shared" si="158"/>
        <v>#REF!</v>
      </c>
      <c r="BJ205" t="e">
        <f t="shared" si="158"/>
        <v>#REF!</v>
      </c>
      <c r="BK205" t="e">
        <f t="shared" si="158"/>
        <v>#REF!</v>
      </c>
      <c r="BL205" t="e">
        <f t="shared" si="158"/>
        <v>#REF!</v>
      </c>
      <c r="BM205" t="e">
        <f t="shared" si="158"/>
        <v>#REF!</v>
      </c>
      <c r="BN205" t="e">
        <f t="shared" si="158"/>
        <v>#REF!</v>
      </c>
      <c r="BO205" t="e">
        <f t="shared" si="158"/>
        <v>#REF!</v>
      </c>
      <c r="BP205" t="e">
        <f t="shared" si="158"/>
        <v>#REF!</v>
      </c>
      <c r="BQ205" t="e">
        <f t="shared" si="158"/>
        <v>#REF!</v>
      </c>
      <c r="BR205" t="e">
        <f t="shared" si="158"/>
        <v>#REF!</v>
      </c>
      <c r="BS205" t="e">
        <f t="shared" si="158"/>
        <v>#REF!</v>
      </c>
      <c r="BT205" t="e">
        <f t="shared" si="158"/>
        <v>#REF!</v>
      </c>
      <c r="BU205" t="e">
        <f t="shared" si="158"/>
        <v>#REF!</v>
      </c>
      <c r="BV205" t="e">
        <f t="shared" si="161"/>
        <v>#REF!</v>
      </c>
      <c r="BW205" t="e">
        <f t="shared" si="161"/>
        <v>#REF!</v>
      </c>
      <c r="BX205" t="e">
        <f t="shared" si="161"/>
        <v>#REF!</v>
      </c>
      <c r="BY205" t="e">
        <f t="shared" si="161"/>
        <v>#REF!</v>
      </c>
      <c r="BZ205" t="e">
        <f t="shared" si="161"/>
        <v>#REF!</v>
      </c>
      <c r="CA205" t="e">
        <f t="shared" si="161"/>
        <v>#REF!</v>
      </c>
      <c r="CB205" t="e">
        <f t="shared" si="161"/>
        <v>#REF!</v>
      </c>
      <c r="CC205" t="e">
        <f t="shared" si="161"/>
        <v>#REF!</v>
      </c>
      <c r="CD205" t="e">
        <f t="shared" si="161"/>
        <v>#REF!</v>
      </c>
      <c r="CE205" t="e">
        <f t="shared" si="161"/>
        <v>#REF!</v>
      </c>
      <c r="CF205" t="e">
        <f t="shared" ref="CF205:CU222" si="163">MATCH(CONCATENATE(CF$3,"_",$C205),auto_DataFlat_UID,0)</f>
        <v>#REF!</v>
      </c>
      <c r="CG205" t="e">
        <f t="shared" si="163"/>
        <v>#REF!</v>
      </c>
      <c r="CH205" t="e">
        <f t="shared" si="163"/>
        <v>#REF!</v>
      </c>
      <c r="CI205" t="e">
        <f t="shared" si="163"/>
        <v>#REF!</v>
      </c>
      <c r="CJ205" t="e">
        <f t="shared" si="163"/>
        <v>#REF!</v>
      </c>
      <c r="CK205" t="e">
        <f t="shared" si="163"/>
        <v>#REF!</v>
      </c>
      <c r="CL205" t="e">
        <f t="shared" si="163"/>
        <v>#REF!</v>
      </c>
      <c r="CM205" t="e">
        <f t="shared" si="163"/>
        <v>#REF!</v>
      </c>
      <c r="CN205" t="e">
        <f t="shared" si="163"/>
        <v>#REF!</v>
      </c>
      <c r="CO205" t="e">
        <f t="shared" si="163"/>
        <v>#REF!</v>
      </c>
      <c r="CP205" t="e">
        <f t="shared" si="150"/>
        <v>#REF!</v>
      </c>
      <c r="CQ205" t="e">
        <f t="shared" si="150"/>
        <v>#REF!</v>
      </c>
      <c r="CR205" t="e">
        <f t="shared" si="150"/>
        <v>#REF!</v>
      </c>
      <c r="CS205" t="e">
        <f t="shared" si="150"/>
        <v>#REF!</v>
      </c>
      <c r="CT205" t="e">
        <f t="shared" si="150"/>
        <v>#REF!</v>
      </c>
      <c r="CU205" t="e">
        <f t="shared" si="150"/>
        <v>#REF!</v>
      </c>
      <c r="CV205" t="e">
        <f t="shared" si="150"/>
        <v>#REF!</v>
      </c>
      <c r="CW205" t="e">
        <f t="shared" si="150"/>
        <v>#REF!</v>
      </c>
      <c r="CX205" t="e">
        <f t="shared" si="150"/>
        <v>#REF!</v>
      </c>
      <c r="CY205" t="e">
        <f t="shared" si="150"/>
        <v>#REF!</v>
      </c>
      <c r="CZ205" t="e">
        <f t="shared" si="150"/>
        <v>#REF!</v>
      </c>
      <c r="DA205" t="e">
        <f t="shared" si="150"/>
        <v>#REF!</v>
      </c>
      <c r="DB205" t="e">
        <f t="shared" si="150"/>
        <v>#REF!</v>
      </c>
      <c r="DC205" t="e">
        <f t="shared" si="159"/>
        <v>#REF!</v>
      </c>
      <c r="DD205" t="e">
        <f t="shared" si="159"/>
        <v>#REF!</v>
      </c>
      <c r="DE205" t="e">
        <f t="shared" si="159"/>
        <v>#REF!</v>
      </c>
      <c r="DF205" t="e">
        <f t="shared" si="159"/>
        <v>#REF!</v>
      </c>
      <c r="DG205" t="e">
        <f t="shared" si="159"/>
        <v>#REF!</v>
      </c>
      <c r="DH205" t="e">
        <f t="shared" si="159"/>
        <v>#REF!</v>
      </c>
      <c r="DI205" t="e">
        <f t="shared" si="159"/>
        <v>#REF!</v>
      </c>
      <c r="DJ205" t="e">
        <f t="shared" si="154"/>
        <v>#REF!</v>
      </c>
      <c r="DK205" t="e">
        <f t="shared" si="154"/>
        <v>#REF!</v>
      </c>
      <c r="DL205" t="e">
        <f t="shared" si="154"/>
        <v>#REF!</v>
      </c>
      <c r="DM205" t="e">
        <f t="shared" si="154"/>
        <v>#REF!</v>
      </c>
      <c r="DN205" t="e">
        <f t="shared" si="154"/>
        <v>#REF!</v>
      </c>
      <c r="DO205" t="e">
        <f t="shared" si="154"/>
        <v>#REF!</v>
      </c>
      <c r="DP205" t="e">
        <f t="shared" si="154"/>
        <v>#REF!</v>
      </c>
      <c r="DQ205" t="e">
        <f t="shared" si="154"/>
        <v>#REF!</v>
      </c>
      <c r="DR205" t="e">
        <f t="shared" si="154"/>
        <v>#REF!</v>
      </c>
      <c r="DS205" t="e">
        <f t="shared" si="154"/>
        <v>#REF!</v>
      </c>
      <c r="DT205" t="e">
        <f t="shared" si="154"/>
        <v>#REF!</v>
      </c>
      <c r="DU205" t="e">
        <f t="shared" si="154"/>
        <v>#REF!</v>
      </c>
      <c r="DV205" t="e">
        <f t="shared" si="154"/>
        <v>#REF!</v>
      </c>
      <c r="DW205" t="e">
        <f t="shared" si="153"/>
        <v>#REF!</v>
      </c>
      <c r="DX205" t="e">
        <f t="shared" si="153"/>
        <v>#REF!</v>
      </c>
      <c r="DY205" t="e">
        <f t="shared" si="153"/>
        <v>#REF!</v>
      </c>
      <c r="DZ205" t="e">
        <f t="shared" si="151"/>
        <v>#REF!</v>
      </c>
      <c r="EA205" t="e">
        <f t="shared" si="151"/>
        <v>#REF!</v>
      </c>
      <c r="EB205" t="e">
        <f t="shared" si="151"/>
        <v>#REF!</v>
      </c>
      <c r="EC205" t="e">
        <f t="shared" si="151"/>
        <v>#REF!</v>
      </c>
      <c r="ED205" t="e">
        <f t="shared" si="151"/>
        <v>#REF!</v>
      </c>
      <c r="EE205" t="e">
        <f t="shared" si="151"/>
        <v>#REF!</v>
      </c>
      <c r="EF205" t="e">
        <f t="shared" si="151"/>
        <v>#REF!</v>
      </c>
      <c r="EG205" t="e">
        <f t="shared" si="151"/>
        <v>#REF!</v>
      </c>
      <c r="EH205" t="e">
        <f t="shared" si="151"/>
        <v>#REF!</v>
      </c>
      <c r="EI205" t="e">
        <f t="shared" si="151"/>
        <v>#REF!</v>
      </c>
      <c r="EJ205" t="e">
        <f t="shared" si="151"/>
        <v>#REF!</v>
      </c>
      <c r="EK205" t="e">
        <f t="shared" si="151"/>
        <v>#REF!</v>
      </c>
      <c r="EL205" t="e">
        <f t="shared" si="151"/>
        <v>#REF!</v>
      </c>
      <c r="EM205" t="e">
        <f t="shared" si="151"/>
        <v>#REF!</v>
      </c>
    </row>
    <row r="206" spans="1:143" x14ac:dyDescent="0.4">
      <c r="A206" t="str">
        <f t="shared" si="120"/>
        <v>X</v>
      </c>
      <c r="B206">
        <v>203</v>
      </c>
      <c r="C206" t="e" cm="1">
        <f t="array" ref="C206">INDEX(auto_Series_Code,B206)</f>
        <v>#REF!</v>
      </c>
      <c r="D206" t="e">
        <f t="shared" si="156"/>
        <v>#REF!</v>
      </c>
      <c r="E206" t="e">
        <f t="shared" si="156"/>
        <v>#REF!</v>
      </c>
      <c r="F206" t="e">
        <f t="shared" si="156"/>
        <v>#REF!</v>
      </c>
      <c r="G206" t="e">
        <f t="shared" si="156"/>
        <v>#REF!</v>
      </c>
      <c r="H206" t="e">
        <f t="shared" si="156"/>
        <v>#REF!</v>
      </c>
      <c r="I206" t="e">
        <f t="shared" si="156"/>
        <v>#REF!</v>
      </c>
      <c r="J206" t="e">
        <f t="shared" si="156"/>
        <v>#REF!</v>
      </c>
      <c r="K206" t="e">
        <f t="shared" si="156"/>
        <v>#REF!</v>
      </c>
      <c r="L206" t="e">
        <f t="shared" si="156"/>
        <v>#REF!</v>
      </c>
      <c r="M206" t="e">
        <f t="shared" si="156"/>
        <v>#REF!</v>
      </c>
      <c r="N206" t="e">
        <f t="shared" si="156"/>
        <v>#REF!</v>
      </c>
      <c r="O206" t="e">
        <f t="shared" si="156"/>
        <v>#REF!</v>
      </c>
      <c r="P206" t="e">
        <f t="shared" si="156"/>
        <v>#REF!</v>
      </c>
      <c r="Q206" t="e">
        <f t="shared" si="156"/>
        <v>#REF!</v>
      </c>
      <c r="R206" t="e">
        <f t="shared" si="156"/>
        <v>#REF!</v>
      </c>
      <c r="S206" t="e">
        <f t="shared" si="156"/>
        <v>#REF!</v>
      </c>
      <c r="T206" t="e">
        <f t="shared" si="155"/>
        <v>#REF!</v>
      </c>
      <c r="U206" t="e">
        <f t="shared" si="155"/>
        <v>#REF!</v>
      </c>
      <c r="V206" t="e">
        <f t="shared" si="155"/>
        <v>#REF!</v>
      </c>
      <c r="W206" t="e">
        <f t="shared" si="155"/>
        <v>#REF!</v>
      </c>
      <c r="X206" t="e">
        <f t="shared" si="155"/>
        <v>#REF!</v>
      </c>
      <c r="Y206" t="e">
        <f t="shared" si="155"/>
        <v>#REF!</v>
      </c>
      <c r="Z206" t="e">
        <f t="shared" si="155"/>
        <v>#REF!</v>
      </c>
      <c r="AA206" t="e">
        <f t="shared" si="155"/>
        <v>#REF!</v>
      </c>
      <c r="AB206" t="e">
        <f t="shared" si="155"/>
        <v>#REF!</v>
      </c>
      <c r="AC206" t="e">
        <f t="shared" si="155"/>
        <v>#REF!</v>
      </c>
      <c r="AD206" t="e">
        <f t="shared" si="155"/>
        <v>#REF!</v>
      </c>
      <c r="AE206" t="e">
        <f t="shared" si="155"/>
        <v>#REF!</v>
      </c>
      <c r="AF206" t="e">
        <f t="shared" si="155"/>
        <v>#REF!</v>
      </c>
      <c r="AG206" t="e">
        <f t="shared" si="155"/>
        <v>#REF!</v>
      </c>
      <c r="AH206" t="e">
        <f t="shared" si="157"/>
        <v>#REF!</v>
      </c>
      <c r="AI206" t="e">
        <f t="shared" si="157"/>
        <v>#REF!</v>
      </c>
      <c r="AJ206" t="e">
        <f t="shared" si="157"/>
        <v>#REF!</v>
      </c>
      <c r="AK206" t="e">
        <f t="shared" si="157"/>
        <v>#REF!</v>
      </c>
      <c r="AL206" t="e">
        <f t="shared" si="157"/>
        <v>#REF!</v>
      </c>
      <c r="AM206" t="e">
        <f t="shared" si="157"/>
        <v>#REF!</v>
      </c>
      <c r="AN206" t="e">
        <f t="shared" si="157"/>
        <v>#REF!</v>
      </c>
      <c r="AO206" t="e">
        <f t="shared" si="157"/>
        <v>#REF!</v>
      </c>
      <c r="AP206" t="e">
        <f t="shared" si="157"/>
        <v>#REF!</v>
      </c>
      <c r="AQ206" t="e">
        <f t="shared" si="157"/>
        <v>#REF!</v>
      </c>
      <c r="AR206" t="e">
        <f t="shared" si="157"/>
        <v>#REF!</v>
      </c>
      <c r="AS206" t="e">
        <f t="shared" si="160"/>
        <v>#REF!</v>
      </c>
      <c r="AT206" t="e">
        <f t="shared" si="160"/>
        <v>#REF!</v>
      </c>
      <c r="AU206" t="e">
        <f t="shared" si="160"/>
        <v>#REF!</v>
      </c>
      <c r="AV206" t="e">
        <f t="shared" si="160"/>
        <v>#REF!</v>
      </c>
      <c r="AW206" t="e">
        <f t="shared" si="160"/>
        <v>#REF!</v>
      </c>
      <c r="AX206" t="e">
        <f t="shared" si="160"/>
        <v>#REF!</v>
      </c>
      <c r="AY206" t="e">
        <f t="shared" si="160"/>
        <v>#REF!</v>
      </c>
      <c r="AZ206" t="e">
        <f t="shared" si="160"/>
        <v>#REF!</v>
      </c>
      <c r="BA206" t="e">
        <f t="shared" si="160"/>
        <v>#REF!</v>
      </c>
      <c r="BB206" t="e">
        <f t="shared" si="160"/>
        <v>#REF!</v>
      </c>
      <c r="BC206" t="e">
        <f t="shared" si="160"/>
        <v>#REF!</v>
      </c>
      <c r="BD206" t="e">
        <f t="shared" si="160"/>
        <v>#REF!</v>
      </c>
      <c r="BE206" t="e">
        <f t="shared" si="160"/>
        <v>#REF!</v>
      </c>
      <c r="BF206" t="e">
        <f t="shared" si="160"/>
        <v>#REF!</v>
      </c>
      <c r="BG206" t="e">
        <f t="shared" si="160"/>
        <v>#REF!</v>
      </c>
      <c r="BH206" t="e">
        <f t="shared" si="160"/>
        <v>#REF!</v>
      </c>
      <c r="BI206" t="e">
        <f t="shared" si="158"/>
        <v>#REF!</v>
      </c>
      <c r="BJ206" t="e">
        <f t="shared" si="158"/>
        <v>#REF!</v>
      </c>
      <c r="BK206" t="e">
        <f t="shared" si="158"/>
        <v>#REF!</v>
      </c>
      <c r="BL206" t="e">
        <f t="shared" si="158"/>
        <v>#REF!</v>
      </c>
      <c r="BM206" t="e">
        <f t="shared" si="158"/>
        <v>#REF!</v>
      </c>
      <c r="BN206" t="e">
        <f t="shared" si="158"/>
        <v>#REF!</v>
      </c>
      <c r="BO206" t="e">
        <f t="shared" si="158"/>
        <v>#REF!</v>
      </c>
      <c r="BP206" t="e">
        <f t="shared" si="158"/>
        <v>#REF!</v>
      </c>
      <c r="BQ206" t="e">
        <f t="shared" si="158"/>
        <v>#REF!</v>
      </c>
      <c r="BR206" t="e">
        <f t="shared" si="158"/>
        <v>#REF!</v>
      </c>
      <c r="BS206" t="e">
        <f t="shared" si="158"/>
        <v>#REF!</v>
      </c>
      <c r="BT206" t="e">
        <f t="shared" si="158"/>
        <v>#REF!</v>
      </c>
      <c r="BU206" t="e">
        <f t="shared" si="158"/>
        <v>#REF!</v>
      </c>
      <c r="BV206" t="e">
        <f t="shared" si="161"/>
        <v>#REF!</v>
      </c>
      <c r="BW206" t="e">
        <f t="shared" si="161"/>
        <v>#REF!</v>
      </c>
      <c r="BX206" t="e">
        <f t="shared" si="161"/>
        <v>#REF!</v>
      </c>
      <c r="BY206" t="e">
        <f t="shared" si="161"/>
        <v>#REF!</v>
      </c>
      <c r="BZ206" t="e">
        <f t="shared" si="161"/>
        <v>#REF!</v>
      </c>
      <c r="CA206" t="e">
        <f t="shared" si="161"/>
        <v>#REF!</v>
      </c>
      <c r="CB206" t="e">
        <f t="shared" si="161"/>
        <v>#REF!</v>
      </c>
      <c r="CC206" t="e">
        <f t="shared" si="161"/>
        <v>#REF!</v>
      </c>
      <c r="CD206" t="e">
        <f t="shared" si="161"/>
        <v>#REF!</v>
      </c>
      <c r="CE206" t="e">
        <f t="shared" si="161"/>
        <v>#REF!</v>
      </c>
      <c r="CF206" t="e">
        <f t="shared" si="163"/>
        <v>#REF!</v>
      </c>
      <c r="CG206" t="e">
        <f t="shared" si="163"/>
        <v>#REF!</v>
      </c>
      <c r="CH206" t="e">
        <f t="shared" si="163"/>
        <v>#REF!</v>
      </c>
      <c r="CI206" t="e">
        <f t="shared" si="163"/>
        <v>#REF!</v>
      </c>
      <c r="CJ206" t="e">
        <f t="shared" si="163"/>
        <v>#REF!</v>
      </c>
      <c r="CK206" t="e">
        <f t="shared" si="163"/>
        <v>#REF!</v>
      </c>
      <c r="CL206" t="e">
        <f t="shared" si="163"/>
        <v>#REF!</v>
      </c>
      <c r="CM206" t="e">
        <f t="shared" si="163"/>
        <v>#REF!</v>
      </c>
      <c r="CN206" t="e">
        <f t="shared" si="163"/>
        <v>#REF!</v>
      </c>
      <c r="CO206" t="e">
        <f t="shared" si="163"/>
        <v>#REF!</v>
      </c>
      <c r="CP206" t="e">
        <f t="shared" si="150"/>
        <v>#REF!</v>
      </c>
      <c r="CQ206" t="e">
        <f t="shared" si="150"/>
        <v>#REF!</v>
      </c>
      <c r="CR206" t="e">
        <f t="shared" si="150"/>
        <v>#REF!</v>
      </c>
      <c r="CS206" t="e">
        <f t="shared" si="150"/>
        <v>#REF!</v>
      </c>
      <c r="CT206" t="e">
        <f t="shared" si="150"/>
        <v>#REF!</v>
      </c>
      <c r="CU206" t="e">
        <f t="shared" si="150"/>
        <v>#REF!</v>
      </c>
      <c r="CV206" t="e">
        <f t="shared" si="150"/>
        <v>#REF!</v>
      </c>
      <c r="CW206" t="e">
        <f t="shared" si="150"/>
        <v>#REF!</v>
      </c>
      <c r="CX206" t="e">
        <f t="shared" si="150"/>
        <v>#REF!</v>
      </c>
      <c r="CY206" t="e">
        <f t="shared" si="150"/>
        <v>#REF!</v>
      </c>
      <c r="CZ206" t="e">
        <f t="shared" si="150"/>
        <v>#REF!</v>
      </c>
      <c r="DA206" t="e">
        <f t="shared" si="150"/>
        <v>#REF!</v>
      </c>
      <c r="DB206" t="e">
        <f t="shared" si="150"/>
        <v>#REF!</v>
      </c>
      <c r="DC206" t="e">
        <f t="shared" si="159"/>
        <v>#REF!</v>
      </c>
      <c r="DD206" t="e">
        <f t="shared" si="159"/>
        <v>#REF!</v>
      </c>
      <c r="DE206" t="e">
        <f t="shared" si="159"/>
        <v>#REF!</v>
      </c>
      <c r="DF206" t="e">
        <f t="shared" si="159"/>
        <v>#REF!</v>
      </c>
      <c r="DG206" t="e">
        <f t="shared" si="159"/>
        <v>#REF!</v>
      </c>
      <c r="DH206" t="e">
        <f t="shared" si="159"/>
        <v>#REF!</v>
      </c>
      <c r="DI206" t="e">
        <f t="shared" si="159"/>
        <v>#REF!</v>
      </c>
      <c r="DJ206" t="e">
        <f t="shared" si="154"/>
        <v>#REF!</v>
      </c>
      <c r="DK206" t="e">
        <f t="shared" si="154"/>
        <v>#REF!</v>
      </c>
      <c r="DL206" t="e">
        <f t="shared" si="154"/>
        <v>#REF!</v>
      </c>
      <c r="DM206" t="e">
        <f t="shared" si="154"/>
        <v>#REF!</v>
      </c>
      <c r="DN206" t="e">
        <f t="shared" si="154"/>
        <v>#REF!</v>
      </c>
      <c r="DO206" t="e">
        <f t="shared" si="154"/>
        <v>#REF!</v>
      </c>
      <c r="DP206" t="e">
        <f t="shared" si="154"/>
        <v>#REF!</v>
      </c>
      <c r="DQ206" t="e">
        <f t="shared" si="154"/>
        <v>#REF!</v>
      </c>
      <c r="DR206" t="e">
        <f t="shared" si="154"/>
        <v>#REF!</v>
      </c>
      <c r="DS206" t="e">
        <f t="shared" si="154"/>
        <v>#REF!</v>
      </c>
      <c r="DT206" t="e">
        <f t="shared" si="154"/>
        <v>#REF!</v>
      </c>
      <c r="DU206" t="e">
        <f t="shared" si="154"/>
        <v>#REF!</v>
      </c>
      <c r="DV206" t="e">
        <f t="shared" si="154"/>
        <v>#REF!</v>
      </c>
      <c r="DW206" t="e">
        <f t="shared" si="153"/>
        <v>#REF!</v>
      </c>
      <c r="DX206" t="e">
        <f t="shared" si="153"/>
        <v>#REF!</v>
      </c>
      <c r="DY206" t="e">
        <f t="shared" si="153"/>
        <v>#REF!</v>
      </c>
      <c r="DZ206" t="e">
        <f t="shared" si="151"/>
        <v>#REF!</v>
      </c>
      <c r="EA206" t="e">
        <f t="shared" si="151"/>
        <v>#REF!</v>
      </c>
      <c r="EB206" t="e">
        <f t="shared" si="151"/>
        <v>#REF!</v>
      </c>
      <c r="EC206" t="e">
        <f t="shared" si="151"/>
        <v>#REF!</v>
      </c>
      <c r="ED206" t="e">
        <f t="shared" si="151"/>
        <v>#REF!</v>
      </c>
      <c r="EE206" t="e">
        <f t="shared" si="151"/>
        <v>#REF!</v>
      </c>
      <c r="EF206" t="e">
        <f t="shared" si="151"/>
        <v>#REF!</v>
      </c>
      <c r="EG206" t="e">
        <f t="shared" si="151"/>
        <v>#REF!</v>
      </c>
      <c r="EH206" t="e">
        <f t="shared" si="151"/>
        <v>#REF!</v>
      </c>
      <c r="EI206" t="e">
        <f t="shared" si="151"/>
        <v>#REF!</v>
      </c>
      <c r="EJ206" t="e">
        <f t="shared" si="151"/>
        <v>#REF!</v>
      </c>
      <c r="EK206" t="e">
        <f t="shared" si="151"/>
        <v>#REF!</v>
      </c>
      <c r="EL206" t="e">
        <f t="shared" si="151"/>
        <v>#REF!</v>
      </c>
      <c r="EM206" t="e">
        <f t="shared" si="151"/>
        <v>#REF!</v>
      </c>
    </row>
    <row r="207" spans="1:143" x14ac:dyDescent="0.4">
      <c r="A207" t="str">
        <f t="shared" si="120"/>
        <v>X</v>
      </c>
      <c r="B207">
        <v>204</v>
      </c>
      <c r="C207" t="e" cm="1">
        <f t="array" ref="C207">INDEX(auto_Series_Code,B207)</f>
        <v>#REF!</v>
      </c>
      <c r="D207" t="e">
        <f t="shared" si="156"/>
        <v>#REF!</v>
      </c>
      <c r="E207" t="e">
        <f t="shared" si="156"/>
        <v>#REF!</v>
      </c>
      <c r="F207" t="e">
        <f t="shared" si="156"/>
        <v>#REF!</v>
      </c>
      <c r="G207" t="e">
        <f t="shared" si="156"/>
        <v>#REF!</v>
      </c>
      <c r="H207" t="e">
        <f t="shared" si="156"/>
        <v>#REF!</v>
      </c>
      <c r="I207" t="e">
        <f t="shared" si="156"/>
        <v>#REF!</v>
      </c>
      <c r="J207" t="e">
        <f t="shared" si="156"/>
        <v>#REF!</v>
      </c>
      <c r="K207" t="e">
        <f t="shared" si="156"/>
        <v>#REF!</v>
      </c>
      <c r="L207" t="e">
        <f t="shared" si="156"/>
        <v>#REF!</v>
      </c>
      <c r="M207" t="e">
        <f t="shared" si="156"/>
        <v>#REF!</v>
      </c>
      <c r="N207" t="e">
        <f t="shared" si="156"/>
        <v>#REF!</v>
      </c>
      <c r="O207" t="e">
        <f t="shared" si="156"/>
        <v>#REF!</v>
      </c>
      <c r="P207" t="e">
        <f t="shared" si="156"/>
        <v>#REF!</v>
      </c>
      <c r="Q207" t="e">
        <f t="shared" si="156"/>
        <v>#REF!</v>
      </c>
      <c r="R207" t="e">
        <f t="shared" si="156"/>
        <v>#REF!</v>
      </c>
      <c r="S207" t="e">
        <f t="shared" si="156"/>
        <v>#REF!</v>
      </c>
      <c r="T207" t="e">
        <f t="shared" si="155"/>
        <v>#REF!</v>
      </c>
      <c r="U207" t="e">
        <f t="shared" si="155"/>
        <v>#REF!</v>
      </c>
      <c r="V207" t="e">
        <f t="shared" si="155"/>
        <v>#REF!</v>
      </c>
      <c r="W207" t="e">
        <f t="shared" si="155"/>
        <v>#REF!</v>
      </c>
      <c r="X207" t="e">
        <f t="shared" si="155"/>
        <v>#REF!</v>
      </c>
      <c r="Y207" t="e">
        <f t="shared" si="155"/>
        <v>#REF!</v>
      </c>
      <c r="Z207" t="e">
        <f t="shared" si="155"/>
        <v>#REF!</v>
      </c>
      <c r="AA207" t="e">
        <f t="shared" si="155"/>
        <v>#REF!</v>
      </c>
      <c r="AB207" t="e">
        <f t="shared" si="155"/>
        <v>#REF!</v>
      </c>
      <c r="AC207" t="e">
        <f t="shared" si="155"/>
        <v>#REF!</v>
      </c>
      <c r="AD207" t="e">
        <f t="shared" si="155"/>
        <v>#REF!</v>
      </c>
      <c r="AE207" t="e">
        <f t="shared" si="155"/>
        <v>#REF!</v>
      </c>
      <c r="AF207" t="e">
        <f t="shared" si="155"/>
        <v>#REF!</v>
      </c>
      <c r="AG207" t="e">
        <f t="shared" si="155"/>
        <v>#REF!</v>
      </c>
      <c r="AH207" t="e">
        <f t="shared" si="157"/>
        <v>#REF!</v>
      </c>
      <c r="AI207" t="e">
        <f t="shared" si="157"/>
        <v>#REF!</v>
      </c>
      <c r="AJ207" t="e">
        <f t="shared" si="157"/>
        <v>#REF!</v>
      </c>
      <c r="AK207" t="e">
        <f t="shared" si="157"/>
        <v>#REF!</v>
      </c>
      <c r="AL207" t="e">
        <f t="shared" si="157"/>
        <v>#REF!</v>
      </c>
      <c r="AM207" t="e">
        <f t="shared" si="157"/>
        <v>#REF!</v>
      </c>
      <c r="AN207" t="e">
        <f t="shared" si="157"/>
        <v>#REF!</v>
      </c>
      <c r="AO207" t="e">
        <f t="shared" si="157"/>
        <v>#REF!</v>
      </c>
      <c r="AP207" t="e">
        <f t="shared" si="157"/>
        <v>#REF!</v>
      </c>
      <c r="AQ207" t="e">
        <f t="shared" si="157"/>
        <v>#REF!</v>
      </c>
      <c r="AR207" t="e">
        <f t="shared" si="157"/>
        <v>#REF!</v>
      </c>
      <c r="AS207" t="e">
        <f t="shared" si="160"/>
        <v>#REF!</v>
      </c>
      <c r="AT207" t="e">
        <f t="shared" si="160"/>
        <v>#REF!</v>
      </c>
      <c r="AU207" t="e">
        <f t="shared" si="160"/>
        <v>#REF!</v>
      </c>
      <c r="AV207" t="e">
        <f t="shared" si="160"/>
        <v>#REF!</v>
      </c>
      <c r="AW207" t="e">
        <f t="shared" si="160"/>
        <v>#REF!</v>
      </c>
      <c r="AX207" t="e">
        <f t="shared" si="160"/>
        <v>#REF!</v>
      </c>
      <c r="AY207" t="e">
        <f t="shared" si="160"/>
        <v>#REF!</v>
      </c>
      <c r="AZ207" t="e">
        <f t="shared" si="160"/>
        <v>#REF!</v>
      </c>
      <c r="BA207" t="e">
        <f t="shared" si="160"/>
        <v>#REF!</v>
      </c>
      <c r="BB207" t="e">
        <f t="shared" si="160"/>
        <v>#REF!</v>
      </c>
      <c r="BC207" t="e">
        <f t="shared" si="160"/>
        <v>#REF!</v>
      </c>
      <c r="BD207" t="e">
        <f t="shared" si="160"/>
        <v>#REF!</v>
      </c>
      <c r="BE207" t="e">
        <f t="shared" si="160"/>
        <v>#REF!</v>
      </c>
      <c r="BF207" t="e">
        <f t="shared" si="160"/>
        <v>#REF!</v>
      </c>
      <c r="BG207" t="e">
        <f t="shared" si="160"/>
        <v>#REF!</v>
      </c>
      <c r="BH207" t="e">
        <f t="shared" si="160"/>
        <v>#REF!</v>
      </c>
      <c r="BI207" t="e">
        <f t="shared" si="158"/>
        <v>#REF!</v>
      </c>
      <c r="BJ207" t="e">
        <f t="shared" si="158"/>
        <v>#REF!</v>
      </c>
      <c r="BK207" t="e">
        <f t="shared" si="158"/>
        <v>#REF!</v>
      </c>
      <c r="BL207" t="e">
        <f t="shared" si="158"/>
        <v>#REF!</v>
      </c>
      <c r="BM207" t="e">
        <f t="shared" si="158"/>
        <v>#REF!</v>
      </c>
      <c r="BN207" t="e">
        <f t="shared" si="158"/>
        <v>#REF!</v>
      </c>
      <c r="BO207" t="e">
        <f t="shared" si="158"/>
        <v>#REF!</v>
      </c>
      <c r="BP207" t="e">
        <f t="shared" si="158"/>
        <v>#REF!</v>
      </c>
      <c r="BQ207" t="e">
        <f t="shared" si="158"/>
        <v>#REF!</v>
      </c>
      <c r="BR207" t="e">
        <f t="shared" si="158"/>
        <v>#REF!</v>
      </c>
      <c r="BS207" t="e">
        <f t="shared" si="158"/>
        <v>#REF!</v>
      </c>
      <c r="BT207" t="e">
        <f t="shared" si="158"/>
        <v>#REF!</v>
      </c>
      <c r="BU207" t="e">
        <f t="shared" si="158"/>
        <v>#REF!</v>
      </c>
      <c r="BV207" t="e">
        <f t="shared" si="161"/>
        <v>#REF!</v>
      </c>
      <c r="BW207" t="e">
        <f t="shared" si="161"/>
        <v>#REF!</v>
      </c>
      <c r="BX207" t="e">
        <f t="shared" si="161"/>
        <v>#REF!</v>
      </c>
      <c r="BY207" t="e">
        <f t="shared" si="161"/>
        <v>#REF!</v>
      </c>
      <c r="BZ207" t="e">
        <f t="shared" si="161"/>
        <v>#REF!</v>
      </c>
      <c r="CA207" t="e">
        <f t="shared" si="161"/>
        <v>#REF!</v>
      </c>
      <c r="CB207" t="e">
        <f t="shared" si="161"/>
        <v>#REF!</v>
      </c>
      <c r="CC207" t="e">
        <f t="shared" si="161"/>
        <v>#REF!</v>
      </c>
      <c r="CD207" t="e">
        <f t="shared" si="161"/>
        <v>#REF!</v>
      </c>
      <c r="CE207" t="e">
        <f t="shared" si="161"/>
        <v>#REF!</v>
      </c>
      <c r="CF207" t="e">
        <f t="shared" si="163"/>
        <v>#REF!</v>
      </c>
      <c r="CG207" t="e">
        <f t="shared" si="163"/>
        <v>#REF!</v>
      </c>
      <c r="CH207" t="e">
        <f t="shared" si="163"/>
        <v>#REF!</v>
      </c>
      <c r="CI207" t="e">
        <f t="shared" si="163"/>
        <v>#REF!</v>
      </c>
      <c r="CJ207" t="e">
        <f t="shared" si="163"/>
        <v>#REF!</v>
      </c>
      <c r="CK207" t="e">
        <f t="shared" si="163"/>
        <v>#REF!</v>
      </c>
      <c r="CL207" t="e">
        <f t="shared" si="163"/>
        <v>#REF!</v>
      </c>
      <c r="CM207" t="e">
        <f t="shared" si="163"/>
        <v>#REF!</v>
      </c>
      <c r="CN207" t="e">
        <f t="shared" si="163"/>
        <v>#REF!</v>
      </c>
      <c r="CO207" t="e">
        <f t="shared" si="163"/>
        <v>#REF!</v>
      </c>
      <c r="CP207" t="e">
        <f t="shared" si="150"/>
        <v>#REF!</v>
      </c>
      <c r="CQ207" t="e">
        <f t="shared" si="150"/>
        <v>#REF!</v>
      </c>
      <c r="CR207" t="e">
        <f t="shared" si="150"/>
        <v>#REF!</v>
      </c>
      <c r="CS207" t="e">
        <f t="shared" si="150"/>
        <v>#REF!</v>
      </c>
      <c r="CT207" t="e">
        <f t="shared" si="150"/>
        <v>#REF!</v>
      </c>
      <c r="CU207" t="e">
        <f t="shared" si="150"/>
        <v>#REF!</v>
      </c>
      <c r="CV207" t="e">
        <f t="shared" si="150"/>
        <v>#REF!</v>
      </c>
      <c r="CW207" t="e">
        <f t="shared" si="150"/>
        <v>#REF!</v>
      </c>
      <c r="CX207" t="e">
        <f t="shared" si="150"/>
        <v>#REF!</v>
      </c>
      <c r="CY207" t="e">
        <f t="shared" si="150"/>
        <v>#REF!</v>
      </c>
      <c r="CZ207" t="e">
        <f t="shared" si="150"/>
        <v>#REF!</v>
      </c>
      <c r="DA207" t="e">
        <f t="shared" si="150"/>
        <v>#REF!</v>
      </c>
      <c r="DB207" t="e">
        <f t="shared" si="150"/>
        <v>#REF!</v>
      </c>
      <c r="DC207" t="e">
        <f t="shared" si="159"/>
        <v>#REF!</v>
      </c>
      <c r="DD207" t="e">
        <f t="shared" si="159"/>
        <v>#REF!</v>
      </c>
      <c r="DE207" t="e">
        <f t="shared" si="159"/>
        <v>#REF!</v>
      </c>
      <c r="DF207" t="e">
        <f t="shared" si="159"/>
        <v>#REF!</v>
      </c>
      <c r="DG207" t="e">
        <f t="shared" si="159"/>
        <v>#REF!</v>
      </c>
      <c r="DH207" t="e">
        <f t="shared" si="159"/>
        <v>#REF!</v>
      </c>
      <c r="DI207" t="e">
        <f t="shared" si="159"/>
        <v>#REF!</v>
      </c>
      <c r="DJ207" t="e">
        <f t="shared" si="154"/>
        <v>#REF!</v>
      </c>
      <c r="DK207" t="e">
        <f t="shared" si="154"/>
        <v>#REF!</v>
      </c>
      <c r="DL207" t="e">
        <f t="shared" si="154"/>
        <v>#REF!</v>
      </c>
      <c r="DM207" t="e">
        <f t="shared" si="154"/>
        <v>#REF!</v>
      </c>
      <c r="DN207" t="e">
        <f t="shared" si="154"/>
        <v>#REF!</v>
      </c>
      <c r="DO207" t="e">
        <f t="shared" si="154"/>
        <v>#REF!</v>
      </c>
      <c r="DP207" t="e">
        <f t="shared" si="154"/>
        <v>#REF!</v>
      </c>
      <c r="DQ207" t="e">
        <f t="shared" si="154"/>
        <v>#REF!</v>
      </c>
      <c r="DR207" t="e">
        <f t="shared" si="154"/>
        <v>#REF!</v>
      </c>
      <c r="DS207" t="e">
        <f t="shared" si="154"/>
        <v>#REF!</v>
      </c>
      <c r="DT207" t="e">
        <f t="shared" si="154"/>
        <v>#REF!</v>
      </c>
      <c r="DU207" t="e">
        <f t="shared" si="154"/>
        <v>#REF!</v>
      </c>
      <c r="DV207" t="e">
        <f t="shared" si="154"/>
        <v>#REF!</v>
      </c>
      <c r="DW207" t="e">
        <f t="shared" si="153"/>
        <v>#REF!</v>
      </c>
      <c r="DX207" t="e">
        <f t="shared" si="153"/>
        <v>#REF!</v>
      </c>
      <c r="DY207" t="e">
        <f t="shared" si="153"/>
        <v>#REF!</v>
      </c>
      <c r="DZ207" t="e">
        <f t="shared" si="151"/>
        <v>#REF!</v>
      </c>
      <c r="EA207" t="e">
        <f t="shared" si="151"/>
        <v>#REF!</v>
      </c>
      <c r="EB207" t="e">
        <f t="shared" si="151"/>
        <v>#REF!</v>
      </c>
      <c r="EC207" t="e">
        <f t="shared" si="151"/>
        <v>#REF!</v>
      </c>
      <c r="ED207" t="e">
        <f t="shared" si="151"/>
        <v>#REF!</v>
      </c>
      <c r="EE207" t="e">
        <f t="shared" si="151"/>
        <v>#REF!</v>
      </c>
      <c r="EF207" t="e">
        <f t="shared" si="151"/>
        <v>#REF!</v>
      </c>
      <c r="EG207" t="e">
        <f t="shared" si="151"/>
        <v>#REF!</v>
      </c>
      <c r="EH207" t="e">
        <f t="shared" si="151"/>
        <v>#REF!</v>
      </c>
      <c r="EI207" t="e">
        <f t="shared" si="151"/>
        <v>#REF!</v>
      </c>
      <c r="EJ207" t="e">
        <f t="shared" si="151"/>
        <v>#REF!</v>
      </c>
      <c r="EK207" t="e">
        <f t="shared" si="151"/>
        <v>#REF!</v>
      </c>
      <c r="EL207" t="e">
        <f t="shared" si="151"/>
        <v>#REF!</v>
      </c>
      <c r="EM207" t="e">
        <f t="shared" si="151"/>
        <v>#REF!</v>
      </c>
    </row>
    <row r="208" spans="1:143" x14ac:dyDescent="0.4">
      <c r="A208" t="str">
        <f t="shared" si="120"/>
        <v>X</v>
      </c>
      <c r="B208">
        <v>205</v>
      </c>
      <c r="C208" t="e" cm="1">
        <f t="array" ref="C208">INDEX(auto_Series_Code,B208)</f>
        <v>#REF!</v>
      </c>
      <c r="D208" t="e">
        <f t="shared" si="156"/>
        <v>#REF!</v>
      </c>
      <c r="E208" t="e">
        <f t="shared" si="156"/>
        <v>#REF!</v>
      </c>
      <c r="F208" t="e">
        <f t="shared" si="156"/>
        <v>#REF!</v>
      </c>
      <c r="G208" t="e">
        <f t="shared" si="156"/>
        <v>#REF!</v>
      </c>
      <c r="H208" t="e">
        <f t="shared" si="156"/>
        <v>#REF!</v>
      </c>
      <c r="I208" t="e">
        <f t="shared" si="156"/>
        <v>#REF!</v>
      </c>
      <c r="J208" t="e">
        <f t="shared" si="156"/>
        <v>#REF!</v>
      </c>
      <c r="K208" t="e">
        <f t="shared" si="156"/>
        <v>#REF!</v>
      </c>
      <c r="L208" t="e">
        <f t="shared" si="156"/>
        <v>#REF!</v>
      </c>
      <c r="M208" t="e">
        <f t="shared" si="156"/>
        <v>#REF!</v>
      </c>
      <c r="N208" t="e">
        <f t="shared" si="156"/>
        <v>#REF!</v>
      </c>
      <c r="O208" t="e">
        <f t="shared" si="156"/>
        <v>#REF!</v>
      </c>
      <c r="P208" t="e">
        <f t="shared" si="156"/>
        <v>#REF!</v>
      </c>
      <c r="Q208" t="e">
        <f t="shared" si="156"/>
        <v>#REF!</v>
      </c>
      <c r="R208" t="e">
        <f t="shared" si="156"/>
        <v>#REF!</v>
      </c>
      <c r="S208" t="e">
        <f t="shared" si="156"/>
        <v>#REF!</v>
      </c>
      <c r="T208" t="e">
        <f t="shared" si="155"/>
        <v>#REF!</v>
      </c>
      <c r="U208" t="e">
        <f t="shared" si="155"/>
        <v>#REF!</v>
      </c>
      <c r="V208" t="e">
        <f t="shared" si="155"/>
        <v>#REF!</v>
      </c>
      <c r="W208" t="e">
        <f t="shared" si="155"/>
        <v>#REF!</v>
      </c>
      <c r="X208" t="e">
        <f t="shared" si="155"/>
        <v>#REF!</v>
      </c>
      <c r="Y208" t="e">
        <f t="shared" si="155"/>
        <v>#REF!</v>
      </c>
      <c r="Z208" t="e">
        <f t="shared" si="155"/>
        <v>#REF!</v>
      </c>
      <c r="AA208" t="e">
        <f t="shared" si="155"/>
        <v>#REF!</v>
      </c>
      <c r="AB208" t="e">
        <f t="shared" si="155"/>
        <v>#REF!</v>
      </c>
      <c r="AC208" t="e">
        <f t="shared" si="155"/>
        <v>#REF!</v>
      </c>
      <c r="AD208" t="e">
        <f t="shared" si="155"/>
        <v>#REF!</v>
      </c>
      <c r="AE208" t="e">
        <f t="shared" si="155"/>
        <v>#REF!</v>
      </c>
      <c r="AF208" t="e">
        <f t="shared" si="155"/>
        <v>#REF!</v>
      </c>
      <c r="AG208" t="e">
        <f t="shared" si="155"/>
        <v>#REF!</v>
      </c>
      <c r="AH208" t="e">
        <f t="shared" si="157"/>
        <v>#REF!</v>
      </c>
      <c r="AI208" t="e">
        <f t="shared" si="157"/>
        <v>#REF!</v>
      </c>
      <c r="AJ208" t="e">
        <f t="shared" si="157"/>
        <v>#REF!</v>
      </c>
      <c r="AK208" t="e">
        <f t="shared" si="157"/>
        <v>#REF!</v>
      </c>
      <c r="AL208" t="e">
        <f t="shared" si="157"/>
        <v>#REF!</v>
      </c>
      <c r="AM208" t="e">
        <f t="shared" si="157"/>
        <v>#REF!</v>
      </c>
      <c r="AN208" t="e">
        <f t="shared" si="157"/>
        <v>#REF!</v>
      </c>
      <c r="AO208" t="e">
        <f t="shared" si="157"/>
        <v>#REF!</v>
      </c>
      <c r="AP208" t="e">
        <f t="shared" si="157"/>
        <v>#REF!</v>
      </c>
      <c r="AQ208" t="e">
        <f t="shared" si="157"/>
        <v>#REF!</v>
      </c>
      <c r="AR208" t="e">
        <f t="shared" si="157"/>
        <v>#REF!</v>
      </c>
      <c r="AS208" t="e">
        <f t="shared" si="160"/>
        <v>#REF!</v>
      </c>
      <c r="AT208" t="e">
        <f t="shared" si="160"/>
        <v>#REF!</v>
      </c>
      <c r="AU208" t="e">
        <f t="shared" si="160"/>
        <v>#REF!</v>
      </c>
      <c r="AV208" t="e">
        <f t="shared" si="160"/>
        <v>#REF!</v>
      </c>
      <c r="AW208" t="e">
        <f t="shared" si="160"/>
        <v>#REF!</v>
      </c>
      <c r="AX208" t="e">
        <f t="shared" si="160"/>
        <v>#REF!</v>
      </c>
      <c r="AY208" t="e">
        <f t="shared" si="160"/>
        <v>#REF!</v>
      </c>
      <c r="AZ208" t="e">
        <f t="shared" si="160"/>
        <v>#REF!</v>
      </c>
      <c r="BA208" t="e">
        <f t="shared" si="160"/>
        <v>#REF!</v>
      </c>
      <c r="BB208" t="e">
        <f t="shared" si="160"/>
        <v>#REF!</v>
      </c>
      <c r="BC208" t="e">
        <f t="shared" si="160"/>
        <v>#REF!</v>
      </c>
      <c r="BD208" t="e">
        <f t="shared" si="160"/>
        <v>#REF!</v>
      </c>
      <c r="BE208" t="e">
        <f t="shared" si="160"/>
        <v>#REF!</v>
      </c>
      <c r="BF208" t="e">
        <f t="shared" si="160"/>
        <v>#REF!</v>
      </c>
      <c r="BG208" t="e">
        <f t="shared" si="160"/>
        <v>#REF!</v>
      </c>
      <c r="BH208" t="e">
        <f t="shared" si="160"/>
        <v>#REF!</v>
      </c>
      <c r="BI208" t="e">
        <f t="shared" si="158"/>
        <v>#REF!</v>
      </c>
      <c r="BJ208" t="e">
        <f t="shared" si="158"/>
        <v>#REF!</v>
      </c>
      <c r="BK208" t="e">
        <f t="shared" si="158"/>
        <v>#REF!</v>
      </c>
      <c r="BL208" t="e">
        <f t="shared" si="158"/>
        <v>#REF!</v>
      </c>
      <c r="BM208" t="e">
        <f t="shared" si="158"/>
        <v>#REF!</v>
      </c>
      <c r="BN208" t="e">
        <f t="shared" si="158"/>
        <v>#REF!</v>
      </c>
      <c r="BO208" t="e">
        <f t="shared" si="158"/>
        <v>#REF!</v>
      </c>
      <c r="BP208" t="e">
        <f t="shared" si="158"/>
        <v>#REF!</v>
      </c>
      <c r="BQ208" t="e">
        <f t="shared" si="158"/>
        <v>#REF!</v>
      </c>
      <c r="BR208" t="e">
        <f t="shared" si="158"/>
        <v>#REF!</v>
      </c>
      <c r="BS208" t="e">
        <f t="shared" si="158"/>
        <v>#REF!</v>
      </c>
      <c r="BT208" t="e">
        <f t="shared" si="158"/>
        <v>#REF!</v>
      </c>
      <c r="BU208" t="e">
        <f t="shared" si="158"/>
        <v>#REF!</v>
      </c>
      <c r="BV208" t="e">
        <f t="shared" si="161"/>
        <v>#REF!</v>
      </c>
      <c r="BW208" t="e">
        <f t="shared" si="161"/>
        <v>#REF!</v>
      </c>
      <c r="BX208" t="e">
        <f t="shared" si="161"/>
        <v>#REF!</v>
      </c>
      <c r="BY208" t="e">
        <f t="shared" si="161"/>
        <v>#REF!</v>
      </c>
      <c r="BZ208" t="e">
        <f t="shared" si="161"/>
        <v>#REF!</v>
      </c>
      <c r="CA208" t="e">
        <f t="shared" si="161"/>
        <v>#REF!</v>
      </c>
      <c r="CB208" t="e">
        <f t="shared" si="161"/>
        <v>#REF!</v>
      </c>
      <c r="CC208" t="e">
        <f t="shared" si="161"/>
        <v>#REF!</v>
      </c>
      <c r="CD208" t="e">
        <f t="shared" si="161"/>
        <v>#REF!</v>
      </c>
      <c r="CE208" t="e">
        <f t="shared" si="161"/>
        <v>#REF!</v>
      </c>
      <c r="CF208" t="e">
        <f t="shared" si="163"/>
        <v>#REF!</v>
      </c>
      <c r="CG208" t="e">
        <f t="shared" si="163"/>
        <v>#REF!</v>
      </c>
      <c r="CH208" t="e">
        <f t="shared" si="163"/>
        <v>#REF!</v>
      </c>
      <c r="CI208" t="e">
        <f t="shared" si="163"/>
        <v>#REF!</v>
      </c>
      <c r="CJ208" t="e">
        <f t="shared" si="163"/>
        <v>#REF!</v>
      </c>
      <c r="CK208" t="e">
        <f t="shared" si="163"/>
        <v>#REF!</v>
      </c>
      <c r="CL208" t="e">
        <f t="shared" si="163"/>
        <v>#REF!</v>
      </c>
      <c r="CM208" t="e">
        <f t="shared" si="163"/>
        <v>#REF!</v>
      </c>
      <c r="CN208" t="e">
        <f t="shared" si="163"/>
        <v>#REF!</v>
      </c>
      <c r="CO208" t="e">
        <f t="shared" si="163"/>
        <v>#REF!</v>
      </c>
      <c r="CP208" t="e">
        <f t="shared" si="150"/>
        <v>#REF!</v>
      </c>
      <c r="CQ208" t="e">
        <f t="shared" si="150"/>
        <v>#REF!</v>
      </c>
      <c r="CR208" t="e">
        <f t="shared" si="150"/>
        <v>#REF!</v>
      </c>
      <c r="CS208" t="e">
        <f t="shared" si="150"/>
        <v>#REF!</v>
      </c>
      <c r="CT208" t="e">
        <f t="shared" si="150"/>
        <v>#REF!</v>
      </c>
      <c r="CU208" t="e">
        <f t="shared" si="150"/>
        <v>#REF!</v>
      </c>
      <c r="CV208" t="e">
        <f t="shared" si="150"/>
        <v>#REF!</v>
      </c>
      <c r="CW208" t="e">
        <f t="shared" si="150"/>
        <v>#REF!</v>
      </c>
      <c r="CX208" t="e">
        <f t="shared" ref="CX208:DM228" si="164">MATCH(CONCATENATE(CX$3,"_",$C208),auto_DataFlat_UID,0)</f>
        <v>#REF!</v>
      </c>
      <c r="CY208" t="e">
        <f t="shared" si="164"/>
        <v>#REF!</v>
      </c>
      <c r="CZ208" t="e">
        <f t="shared" si="164"/>
        <v>#REF!</v>
      </c>
      <c r="DA208" t="e">
        <f t="shared" si="164"/>
        <v>#REF!</v>
      </c>
      <c r="DB208" t="e">
        <f t="shared" si="164"/>
        <v>#REF!</v>
      </c>
      <c r="DC208" t="e">
        <f t="shared" si="164"/>
        <v>#REF!</v>
      </c>
      <c r="DD208" t="e">
        <f t="shared" si="164"/>
        <v>#REF!</v>
      </c>
      <c r="DE208" t="e">
        <f t="shared" si="164"/>
        <v>#REF!</v>
      </c>
      <c r="DF208" t="e">
        <f t="shared" si="164"/>
        <v>#REF!</v>
      </c>
      <c r="DG208" t="e">
        <f t="shared" si="164"/>
        <v>#REF!</v>
      </c>
      <c r="DH208" t="e">
        <f t="shared" si="164"/>
        <v>#REF!</v>
      </c>
      <c r="DI208" t="e">
        <f t="shared" si="164"/>
        <v>#REF!</v>
      </c>
      <c r="DJ208" t="e">
        <f t="shared" si="154"/>
        <v>#REF!</v>
      </c>
      <c r="DK208" t="e">
        <f t="shared" si="154"/>
        <v>#REF!</v>
      </c>
      <c r="DL208" t="e">
        <f t="shared" si="154"/>
        <v>#REF!</v>
      </c>
      <c r="DM208" t="e">
        <f t="shared" si="154"/>
        <v>#REF!</v>
      </c>
      <c r="DN208" t="e">
        <f t="shared" si="154"/>
        <v>#REF!</v>
      </c>
      <c r="DO208" t="e">
        <f t="shared" si="154"/>
        <v>#REF!</v>
      </c>
      <c r="DP208" t="e">
        <f t="shared" si="154"/>
        <v>#REF!</v>
      </c>
      <c r="DQ208" t="e">
        <f t="shared" si="154"/>
        <v>#REF!</v>
      </c>
      <c r="DR208" t="e">
        <f t="shared" si="154"/>
        <v>#REF!</v>
      </c>
      <c r="DS208" t="e">
        <f t="shared" si="154"/>
        <v>#REF!</v>
      </c>
      <c r="DT208" t="e">
        <f t="shared" si="154"/>
        <v>#REF!</v>
      </c>
      <c r="DU208" t="e">
        <f t="shared" si="154"/>
        <v>#REF!</v>
      </c>
      <c r="DV208" t="e">
        <f t="shared" si="154"/>
        <v>#REF!</v>
      </c>
      <c r="DW208" t="e">
        <f t="shared" si="153"/>
        <v>#REF!</v>
      </c>
      <c r="DX208" t="e">
        <f t="shared" si="153"/>
        <v>#REF!</v>
      </c>
      <c r="DY208" t="e">
        <f t="shared" si="153"/>
        <v>#REF!</v>
      </c>
      <c r="DZ208" t="e">
        <f t="shared" si="151"/>
        <v>#REF!</v>
      </c>
      <c r="EA208" t="e">
        <f t="shared" si="151"/>
        <v>#REF!</v>
      </c>
      <c r="EB208" t="e">
        <f t="shared" ref="EB208:EM232" si="165">MATCH(CONCATENATE(EB$3,"_",$C208),auto_DataFlat_UID,0)</f>
        <v>#REF!</v>
      </c>
      <c r="EC208" t="e">
        <f t="shared" si="165"/>
        <v>#REF!</v>
      </c>
      <c r="ED208" t="e">
        <f t="shared" si="165"/>
        <v>#REF!</v>
      </c>
      <c r="EE208" t="e">
        <f t="shared" si="165"/>
        <v>#REF!</v>
      </c>
      <c r="EF208" t="e">
        <f t="shared" si="165"/>
        <v>#REF!</v>
      </c>
      <c r="EG208" t="e">
        <f t="shared" si="165"/>
        <v>#REF!</v>
      </c>
      <c r="EH208" t="e">
        <f t="shared" si="165"/>
        <v>#REF!</v>
      </c>
      <c r="EI208" t="e">
        <f t="shared" si="165"/>
        <v>#REF!</v>
      </c>
      <c r="EJ208" t="e">
        <f t="shared" si="165"/>
        <v>#REF!</v>
      </c>
      <c r="EK208" t="e">
        <f t="shared" si="165"/>
        <v>#REF!</v>
      </c>
      <c r="EL208" t="e">
        <f t="shared" si="165"/>
        <v>#REF!</v>
      </c>
      <c r="EM208" t="e">
        <f t="shared" si="165"/>
        <v>#REF!</v>
      </c>
    </row>
    <row r="209" spans="1:143" x14ac:dyDescent="0.4">
      <c r="A209" t="str">
        <f t="shared" si="120"/>
        <v>X</v>
      </c>
      <c r="B209">
        <v>206</v>
      </c>
      <c r="C209" t="e" cm="1">
        <f t="array" ref="C209">INDEX(auto_Series_Code,B209)</f>
        <v>#REF!</v>
      </c>
      <c r="D209" t="e">
        <f t="shared" si="156"/>
        <v>#REF!</v>
      </c>
      <c r="E209" t="e">
        <f t="shared" si="156"/>
        <v>#REF!</v>
      </c>
      <c r="F209" t="e">
        <f t="shared" si="156"/>
        <v>#REF!</v>
      </c>
      <c r="G209" t="e">
        <f t="shared" si="156"/>
        <v>#REF!</v>
      </c>
      <c r="H209" t="e">
        <f t="shared" si="156"/>
        <v>#REF!</v>
      </c>
      <c r="I209" t="e">
        <f t="shared" si="156"/>
        <v>#REF!</v>
      </c>
      <c r="J209" t="e">
        <f t="shared" si="156"/>
        <v>#REF!</v>
      </c>
      <c r="K209" t="e">
        <f t="shared" si="156"/>
        <v>#REF!</v>
      </c>
      <c r="L209" t="e">
        <f t="shared" si="156"/>
        <v>#REF!</v>
      </c>
      <c r="M209" t="e">
        <f t="shared" si="156"/>
        <v>#REF!</v>
      </c>
      <c r="N209" t="e">
        <f t="shared" si="156"/>
        <v>#REF!</v>
      </c>
      <c r="O209" t="e">
        <f t="shared" si="156"/>
        <v>#REF!</v>
      </c>
      <c r="P209" t="e">
        <f t="shared" si="156"/>
        <v>#REF!</v>
      </c>
      <c r="Q209" t="e">
        <f t="shared" si="156"/>
        <v>#REF!</v>
      </c>
      <c r="R209" t="e">
        <f t="shared" si="156"/>
        <v>#REF!</v>
      </c>
      <c r="S209" t="e">
        <f t="shared" si="156"/>
        <v>#REF!</v>
      </c>
      <c r="T209" t="e">
        <f t="shared" si="155"/>
        <v>#REF!</v>
      </c>
      <c r="U209" t="e">
        <f t="shared" si="155"/>
        <v>#REF!</v>
      </c>
      <c r="V209" t="e">
        <f t="shared" si="155"/>
        <v>#REF!</v>
      </c>
      <c r="W209" t="e">
        <f t="shared" si="155"/>
        <v>#REF!</v>
      </c>
      <c r="X209" t="e">
        <f t="shared" si="155"/>
        <v>#REF!</v>
      </c>
      <c r="Y209" t="e">
        <f t="shared" si="155"/>
        <v>#REF!</v>
      </c>
      <c r="Z209" t="e">
        <f t="shared" si="155"/>
        <v>#REF!</v>
      </c>
      <c r="AA209" t="e">
        <f t="shared" si="155"/>
        <v>#REF!</v>
      </c>
      <c r="AB209" t="e">
        <f t="shared" si="155"/>
        <v>#REF!</v>
      </c>
      <c r="AC209" t="e">
        <f t="shared" si="155"/>
        <v>#REF!</v>
      </c>
      <c r="AD209" t="e">
        <f t="shared" si="155"/>
        <v>#REF!</v>
      </c>
      <c r="AE209" t="e">
        <f t="shared" si="155"/>
        <v>#REF!</v>
      </c>
      <c r="AF209" t="e">
        <f t="shared" si="155"/>
        <v>#REF!</v>
      </c>
      <c r="AG209" t="e">
        <f t="shared" si="155"/>
        <v>#REF!</v>
      </c>
      <c r="AH209" t="e">
        <f t="shared" si="157"/>
        <v>#REF!</v>
      </c>
      <c r="AI209" t="e">
        <f t="shared" si="157"/>
        <v>#REF!</v>
      </c>
      <c r="AJ209" t="e">
        <f t="shared" si="157"/>
        <v>#REF!</v>
      </c>
      <c r="AK209" t="e">
        <f t="shared" si="157"/>
        <v>#REF!</v>
      </c>
      <c r="AL209" t="e">
        <f t="shared" si="157"/>
        <v>#REF!</v>
      </c>
      <c r="AM209" t="e">
        <f t="shared" si="157"/>
        <v>#REF!</v>
      </c>
      <c r="AN209" t="e">
        <f t="shared" si="157"/>
        <v>#REF!</v>
      </c>
      <c r="AO209" t="e">
        <f t="shared" si="157"/>
        <v>#REF!</v>
      </c>
      <c r="AP209" t="e">
        <f t="shared" si="157"/>
        <v>#REF!</v>
      </c>
      <c r="AQ209" t="e">
        <f t="shared" si="157"/>
        <v>#REF!</v>
      </c>
      <c r="AR209" t="e">
        <f t="shared" si="157"/>
        <v>#REF!</v>
      </c>
      <c r="AS209" t="e">
        <f t="shared" si="160"/>
        <v>#REF!</v>
      </c>
      <c r="AT209" t="e">
        <f t="shared" si="160"/>
        <v>#REF!</v>
      </c>
      <c r="AU209" t="e">
        <f t="shared" si="160"/>
        <v>#REF!</v>
      </c>
      <c r="AV209" t="e">
        <f t="shared" si="160"/>
        <v>#REF!</v>
      </c>
      <c r="AW209" t="e">
        <f t="shared" si="160"/>
        <v>#REF!</v>
      </c>
      <c r="AX209" t="e">
        <f t="shared" si="160"/>
        <v>#REF!</v>
      </c>
      <c r="AY209" t="e">
        <f t="shared" si="160"/>
        <v>#REF!</v>
      </c>
      <c r="AZ209" t="e">
        <f t="shared" si="160"/>
        <v>#REF!</v>
      </c>
      <c r="BA209" t="e">
        <f t="shared" si="160"/>
        <v>#REF!</v>
      </c>
      <c r="BB209" t="e">
        <f t="shared" si="160"/>
        <v>#REF!</v>
      </c>
      <c r="BC209" t="e">
        <f t="shared" si="160"/>
        <v>#REF!</v>
      </c>
      <c r="BD209" t="e">
        <f t="shared" si="160"/>
        <v>#REF!</v>
      </c>
      <c r="BE209" t="e">
        <f t="shared" si="160"/>
        <v>#REF!</v>
      </c>
      <c r="BF209" t="e">
        <f t="shared" si="160"/>
        <v>#REF!</v>
      </c>
      <c r="BG209" t="e">
        <f t="shared" si="160"/>
        <v>#REF!</v>
      </c>
      <c r="BH209" t="e">
        <f t="shared" si="160"/>
        <v>#REF!</v>
      </c>
      <c r="BI209" t="e">
        <f t="shared" si="158"/>
        <v>#REF!</v>
      </c>
      <c r="BJ209" t="e">
        <f t="shared" si="158"/>
        <v>#REF!</v>
      </c>
      <c r="BK209" t="e">
        <f t="shared" si="158"/>
        <v>#REF!</v>
      </c>
      <c r="BL209" t="e">
        <f t="shared" si="158"/>
        <v>#REF!</v>
      </c>
      <c r="BM209" t="e">
        <f t="shared" si="158"/>
        <v>#REF!</v>
      </c>
      <c r="BN209" t="e">
        <f t="shared" si="158"/>
        <v>#REF!</v>
      </c>
      <c r="BO209" t="e">
        <f t="shared" si="158"/>
        <v>#REF!</v>
      </c>
      <c r="BP209" t="e">
        <f t="shared" si="158"/>
        <v>#REF!</v>
      </c>
      <c r="BQ209" t="e">
        <f t="shared" si="158"/>
        <v>#REF!</v>
      </c>
      <c r="BR209" t="e">
        <f t="shared" si="158"/>
        <v>#REF!</v>
      </c>
      <c r="BS209" t="e">
        <f t="shared" si="158"/>
        <v>#REF!</v>
      </c>
      <c r="BT209" t="e">
        <f t="shared" si="158"/>
        <v>#REF!</v>
      </c>
      <c r="BU209" t="e">
        <f t="shared" si="158"/>
        <v>#REF!</v>
      </c>
      <c r="BV209" t="e">
        <f t="shared" si="161"/>
        <v>#REF!</v>
      </c>
      <c r="BW209" t="e">
        <f t="shared" si="161"/>
        <v>#REF!</v>
      </c>
      <c r="BX209" t="e">
        <f t="shared" si="161"/>
        <v>#REF!</v>
      </c>
      <c r="BY209" t="e">
        <f t="shared" si="161"/>
        <v>#REF!</v>
      </c>
      <c r="BZ209" t="e">
        <f t="shared" si="161"/>
        <v>#REF!</v>
      </c>
      <c r="CA209" t="e">
        <f t="shared" si="161"/>
        <v>#REF!</v>
      </c>
      <c r="CB209" t="e">
        <f t="shared" si="161"/>
        <v>#REF!</v>
      </c>
      <c r="CC209" t="e">
        <f t="shared" si="161"/>
        <v>#REF!</v>
      </c>
      <c r="CD209" t="e">
        <f t="shared" si="161"/>
        <v>#REF!</v>
      </c>
      <c r="CE209" t="e">
        <f t="shared" si="161"/>
        <v>#REF!</v>
      </c>
      <c r="CF209" t="e">
        <f t="shared" si="163"/>
        <v>#REF!</v>
      </c>
      <c r="CG209" t="e">
        <f t="shared" si="163"/>
        <v>#REF!</v>
      </c>
      <c r="CH209" t="e">
        <f t="shared" si="163"/>
        <v>#REF!</v>
      </c>
      <c r="CI209" t="e">
        <f t="shared" si="163"/>
        <v>#REF!</v>
      </c>
      <c r="CJ209" t="e">
        <f t="shared" si="163"/>
        <v>#REF!</v>
      </c>
      <c r="CK209" t="e">
        <f t="shared" si="163"/>
        <v>#REF!</v>
      </c>
      <c r="CL209" t="e">
        <f t="shared" si="163"/>
        <v>#REF!</v>
      </c>
      <c r="CM209" t="e">
        <f t="shared" si="163"/>
        <v>#REF!</v>
      </c>
      <c r="CN209" t="e">
        <f t="shared" si="163"/>
        <v>#REF!</v>
      </c>
      <c r="CO209" t="e">
        <f t="shared" si="163"/>
        <v>#REF!</v>
      </c>
      <c r="CP209" t="e">
        <f t="shared" si="163"/>
        <v>#REF!</v>
      </c>
      <c r="CQ209" t="e">
        <f t="shared" si="163"/>
        <v>#REF!</v>
      </c>
      <c r="CR209" t="e">
        <f t="shared" si="163"/>
        <v>#REF!</v>
      </c>
      <c r="CS209" t="e">
        <f t="shared" si="163"/>
        <v>#REF!</v>
      </c>
      <c r="CT209" t="e">
        <f t="shared" si="163"/>
        <v>#REF!</v>
      </c>
      <c r="CU209" t="e">
        <f t="shared" si="163"/>
        <v>#REF!</v>
      </c>
      <c r="CV209" t="e">
        <f t="shared" ref="CV209:CY221" si="166">MATCH(CONCATENATE(CV$3,"_",$C209),auto_DataFlat_UID,0)</f>
        <v>#REF!</v>
      </c>
      <c r="CW209" t="e">
        <f t="shared" si="166"/>
        <v>#REF!</v>
      </c>
      <c r="CX209" t="e">
        <f t="shared" si="166"/>
        <v>#REF!</v>
      </c>
      <c r="CY209" t="e">
        <f t="shared" si="166"/>
        <v>#REF!</v>
      </c>
      <c r="CZ209" t="e">
        <f t="shared" si="164"/>
        <v>#REF!</v>
      </c>
      <c r="DA209" t="e">
        <f t="shared" si="164"/>
        <v>#REF!</v>
      </c>
      <c r="DB209" t="e">
        <f t="shared" si="164"/>
        <v>#REF!</v>
      </c>
      <c r="DC209" t="e">
        <f t="shared" si="164"/>
        <v>#REF!</v>
      </c>
      <c r="DD209" t="e">
        <f t="shared" si="164"/>
        <v>#REF!</v>
      </c>
      <c r="DE209" t="e">
        <f t="shared" si="164"/>
        <v>#REF!</v>
      </c>
      <c r="DF209" t="e">
        <f t="shared" si="164"/>
        <v>#REF!</v>
      </c>
      <c r="DG209" t="e">
        <f t="shared" si="164"/>
        <v>#REF!</v>
      </c>
      <c r="DH209" t="e">
        <f t="shared" si="164"/>
        <v>#REF!</v>
      </c>
      <c r="DI209" t="e">
        <f t="shared" si="164"/>
        <v>#REF!</v>
      </c>
      <c r="DJ209" t="e">
        <f t="shared" si="154"/>
        <v>#REF!</v>
      </c>
      <c r="DK209" t="e">
        <f t="shared" si="154"/>
        <v>#REF!</v>
      </c>
      <c r="DL209" t="e">
        <f t="shared" si="154"/>
        <v>#REF!</v>
      </c>
      <c r="DM209" t="e">
        <f t="shared" si="154"/>
        <v>#REF!</v>
      </c>
      <c r="DN209" t="e">
        <f t="shared" si="154"/>
        <v>#REF!</v>
      </c>
      <c r="DO209" t="e">
        <f t="shared" si="154"/>
        <v>#REF!</v>
      </c>
      <c r="DP209" t="e">
        <f t="shared" si="154"/>
        <v>#REF!</v>
      </c>
      <c r="DQ209" t="e">
        <f t="shared" si="154"/>
        <v>#REF!</v>
      </c>
      <c r="DR209" t="e">
        <f t="shared" si="154"/>
        <v>#REF!</v>
      </c>
      <c r="DS209" t="e">
        <f t="shared" si="154"/>
        <v>#REF!</v>
      </c>
      <c r="DT209" t="e">
        <f t="shared" si="154"/>
        <v>#REF!</v>
      </c>
      <c r="DU209" t="e">
        <f t="shared" si="154"/>
        <v>#REF!</v>
      </c>
      <c r="DV209" t="e">
        <f t="shared" si="154"/>
        <v>#REF!</v>
      </c>
      <c r="DW209" t="e">
        <f t="shared" si="153"/>
        <v>#REF!</v>
      </c>
      <c r="DX209" t="e">
        <f t="shared" si="153"/>
        <v>#REF!</v>
      </c>
      <c r="DY209" t="e">
        <f t="shared" si="153"/>
        <v>#REF!</v>
      </c>
      <c r="DZ209" t="e">
        <f t="shared" si="153"/>
        <v>#REF!</v>
      </c>
      <c r="EA209" t="e">
        <f t="shared" si="153"/>
        <v>#REF!</v>
      </c>
      <c r="EB209" t="e">
        <f t="shared" si="153"/>
        <v>#REF!</v>
      </c>
      <c r="EC209" t="e">
        <f t="shared" si="153"/>
        <v>#REF!</v>
      </c>
      <c r="ED209" t="e">
        <f t="shared" si="153"/>
        <v>#REF!</v>
      </c>
      <c r="EE209" t="e">
        <f t="shared" si="153"/>
        <v>#REF!</v>
      </c>
      <c r="EF209" t="e">
        <f t="shared" si="153"/>
        <v>#REF!</v>
      </c>
      <c r="EG209" t="e">
        <f t="shared" si="153"/>
        <v>#REF!</v>
      </c>
      <c r="EH209" t="e">
        <f t="shared" si="165"/>
        <v>#REF!</v>
      </c>
      <c r="EI209" t="e">
        <f t="shared" si="165"/>
        <v>#REF!</v>
      </c>
      <c r="EJ209" t="e">
        <f t="shared" si="165"/>
        <v>#REF!</v>
      </c>
      <c r="EK209" t="e">
        <f t="shared" si="165"/>
        <v>#REF!</v>
      </c>
      <c r="EL209" t="e">
        <f t="shared" si="165"/>
        <v>#REF!</v>
      </c>
      <c r="EM209" t="e">
        <f t="shared" si="165"/>
        <v>#REF!</v>
      </c>
    </row>
    <row r="210" spans="1:143" x14ac:dyDescent="0.4">
      <c r="A210" t="str">
        <f t="shared" si="120"/>
        <v>X</v>
      </c>
      <c r="B210">
        <v>207</v>
      </c>
      <c r="C210" t="e" cm="1">
        <f t="array" ref="C210">INDEX(auto_Series_Code,B210)</f>
        <v>#REF!</v>
      </c>
      <c r="D210" t="e">
        <f t="shared" si="156"/>
        <v>#REF!</v>
      </c>
      <c r="E210" t="e">
        <f t="shared" si="156"/>
        <v>#REF!</v>
      </c>
      <c r="F210" t="e">
        <f t="shared" si="156"/>
        <v>#REF!</v>
      </c>
      <c r="G210" t="e">
        <f t="shared" si="156"/>
        <v>#REF!</v>
      </c>
      <c r="H210" t="e">
        <f t="shared" si="156"/>
        <v>#REF!</v>
      </c>
      <c r="I210" t="e">
        <f t="shared" si="156"/>
        <v>#REF!</v>
      </c>
      <c r="J210" t="e">
        <f t="shared" si="156"/>
        <v>#REF!</v>
      </c>
      <c r="K210" t="e">
        <f t="shared" si="156"/>
        <v>#REF!</v>
      </c>
      <c r="L210" t="e">
        <f t="shared" si="156"/>
        <v>#REF!</v>
      </c>
      <c r="M210" t="e">
        <f t="shared" si="156"/>
        <v>#REF!</v>
      </c>
      <c r="N210" t="e">
        <f t="shared" si="156"/>
        <v>#REF!</v>
      </c>
      <c r="O210" t="e">
        <f t="shared" si="156"/>
        <v>#REF!</v>
      </c>
      <c r="P210" t="e">
        <f t="shared" si="156"/>
        <v>#REF!</v>
      </c>
      <c r="Q210" t="e">
        <f t="shared" si="156"/>
        <v>#REF!</v>
      </c>
      <c r="R210" t="e">
        <f t="shared" si="156"/>
        <v>#REF!</v>
      </c>
      <c r="S210" t="e">
        <f t="shared" si="156"/>
        <v>#REF!</v>
      </c>
      <c r="T210" t="e">
        <f t="shared" si="155"/>
        <v>#REF!</v>
      </c>
      <c r="U210" t="e">
        <f t="shared" si="155"/>
        <v>#REF!</v>
      </c>
      <c r="V210" t="e">
        <f t="shared" si="155"/>
        <v>#REF!</v>
      </c>
      <c r="W210" t="e">
        <f t="shared" si="155"/>
        <v>#REF!</v>
      </c>
      <c r="X210" t="e">
        <f t="shared" si="155"/>
        <v>#REF!</v>
      </c>
      <c r="Y210" t="e">
        <f t="shared" si="155"/>
        <v>#REF!</v>
      </c>
      <c r="Z210" t="e">
        <f t="shared" si="155"/>
        <v>#REF!</v>
      </c>
      <c r="AA210" t="e">
        <f t="shared" si="155"/>
        <v>#REF!</v>
      </c>
      <c r="AB210" t="e">
        <f t="shared" si="155"/>
        <v>#REF!</v>
      </c>
      <c r="AC210" t="e">
        <f t="shared" si="155"/>
        <v>#REF!</v>
      </c>
      <c r="AD210" t="e">
        <f t="shared" si="155"/>
        <v>#REF!</v>
      </c>
      <c r="AE210" t="e">
        <f t="shared" si="155"/>
        <v>#REF!</v>
      </c>
      <c r="AF210" t="e">
        <f t="shared" si="155"/>
        <v>#REF!</v>
      </c>
      <c r="AG210" t="e">
        <f t="shared" si="155"/>
        <v>#REF!</v>
      </c>
      <c r="AH210" t="e">
        <f t="shared" si="157"/>
        <v>#REF!</v>
      </c>
      <c r="AI210" t="e">
        <f t="shared" si="157"/>
        <v>#REF!</v>
      </c>
      <c r="AJ210" t="e">
        <f t="shared" si="157"/>
        <v>#REF!</v>
      </c>
      <c r="AK210" t="e">
        <f t="shared" si="157"/>
        <v>#REF!</v>
      </c>
      <c r="AL210" t="e">
        <f t="shared" si="157"/>
        <v>#REF!</v>
      </c>
      <c r="AM210" t="e">
        <f t="shared" si="157"/>
        <v>#REF!</v>
      </c>
      <c r="AN210" t="e">
        <f t="shared" si="157"/>
        <v>#REF!</v>
      </c>
      <c r="AO210" t="e">
        <f t="shared" si="157"/>
        <v>#REF!</v>
      </c>
      <c r="AP210" t="e">
        <f t="shared" si="157"/>
        <v>#REF!</v>
      </c>
      <c r="AQ210" t="e">
        <f t="shared" si="157"/>
        <v>#REF!</v>
      </c>
      <c r="AR210" t="e">
        <f t="shared" si="157"/>
        <v>#REF!</v>
      </c>
      <c r="AS210" t="e">
        <f t="shared" si="160"/>
        <v>#REF!</v>
      </c>
      <c r="AT210" t="e">
        <f t="shared" si="160"/>
        <v>#REF!</v>
      </c>
      <c r="AU210" t="e">
        <f t="shared" si="160"/>
        <v>#REF!</v>
      </c>
      <c r="AV210" t="e">
        <f t="shared" si="160"/>
        <v>#REF!</v>
      </c>
      <c r="AW210" t="e">
        <f t="shared" si="160"/>
        <v>#REF!</v>
      </c>
      <c r="AX210" t="e">
        <f t="shared" si="160"/>
        <v>#REF!</v>
      </c>
      <c r="AY210" t="e">
        <f t="shared" si="160"/>
        <v>#REF!</v>
      </c>
      <c r="AZ210" t="e">
        <f t="shared" si="160"/>
        <v>#REF!</v>
      </c>
      <c r="BA210" t="e">
        <f t="shared" si="160"/>
        <v>#REF!</v>
      </c>
      <c r="BB210" t="e">
        <f t="shared" si="160"/>
        <v>#REF!</v>
      </c>
      <c r="BC210" t="e">
        <f t="shared" si="160"/>
        <v>#REF!</v>
      </c>
      <c r="BD210" t="e">
        <f t="shared" si="160"/>
        <v>#REF!</v>
      </c>
      <c r="BE210" t="e">
        <f t="shared" si="160"/>
        <v>#REF!</v>
      </c>
      <c r="BF210" t="e">
        <f t="shared" si="160"/>
        <v>#REF!</v>
      </c>
      <c r="BG210" t="e">
        <f t="shared" si="160"/>
        <v>#REF!</v>
      </c>
      <c r="BH210" t="e">
        <f t="shared" si="160"/>
        <v>#REF!</v>
      </c>
      <c r="BI210" t="e">
        <f t="shared" si="158"/>
        <v>#REF!</v>
      </c>
      <c r="BJ210" t="e">
        <f t="shared" si="158"/>
        <v>#REF!</v>
      </c>
      <c r="BK210" t="e">
        <f t="shared" si="158"/>
        <v>#REF!</v>
      </c>
      <c r="BL210" t="e">
        <f t="shared" si="158"/>
        <v>#REF!</v>
      </c>
      <c r="BM210" t="e">
        <f t="shared" si="158"/>
        <v>#REF!</v>
      </c>
      <c r="BN210" t="e">
        <f t="shared" si="158"/>
        <v>#REF!</v>
      </c>
      <c r="BO210" t="e">
        <f t="shared" si="158"/>
        <v>#REF!</v>
      </c>
      <c r="BP210" t="e">
        <f t="shared" si="158"/>
        <v>#REF!</v>
      </c>
      <c r="BQ210" t="e">
        <f t="shared" si="158"/>
        <v>#REF!</v>
      </c>
      <c r="BR210" t="e">
        <f t="shared" si="158"/>
        <v>#REF!</v>
      </c>
      <c r="BS210" t="e">
        <f t="shared" si="158"/>
        <v>#REF!</v>
      </c>
      <c r="BT210" t="e">
        <f t="shared" si="158"/>
        <v>#REF!</v>
      </c>
      <c r="BU210" t="e">
        <f t="shared" si="158"/>
        <v>#REF!</v>
      </c>
      <c r="BV210" t="e">
        <f t="shared" si="161"/>
        <v>#REF!</v>
      </c>
      <c r="BW210" t="e">
        <f t="shared" si="161"/>
        <v>#REF!</v>
      </c>
      <c r="BX210" t="e">
        <f t="shared" si="161"/>
        <v>#REF!</v>
      </c>
      <c r="BY210" t="e">
        <f t="shared" si="161"/>
        <v>#REF!</v>
      </c>
      <c r="BZ210" t="e">
        <f t="shared" si="161"/>
        <v>#REF!</v>
      </c>
      <c r="CA210" t="e">
        <f t="shared" si="161"/>
        <v>#REF!</v>
      </c>
      <c r="CB210" t="e">
        <f t="shared" si="161"/>
        <v>#REF!</v>
      </c>
      <c r="CC210" t="e">
        <f t="shared" si="161"/>
        <v>#REF!</v>
      </c>
      <c r="CD210" t="e">
        <f t="shared" si="161"/>
        <v>#REF!</v>
      </c>
      <c r="CE210" t="e">
        <f t="shared" si="161"/>
        <v>#REF!</v>
      </c>
      <c r="CF210" t="e">
        <f t="shared" si="163"/>
        <v>#REF!</v>
      </c>
      <c r="CG210" t="e">
        <f t="shared" si="163"/>
        <v>#REF!</v>
      </c>
      <c r="CH210" t="e">
        <f t="shared" si="163"/>
        <v>#REF!</v>
      </c>
      <c r="CI210" t="e">
        <f t="shared" si="163"/>
        <v>#REF!</v>
      </c>
      <c r="CJ210" t="e">
        <f t="shared" si="163"/>
        <v>#REF!</v>
      </c>
      <c r="CK210" t="e">
        <f t="shared" si="163"/>
        <v>#REF!</v>
      </c>
      <c r="CL210" t="e">
        <f t="shared" si="163"/>
        <v>#REF!</v>
      </c>
      <c r="CM210" t="e">
        <f t="shared" si="163"/>
        <v>#REF!</v>
      </c>
      <c r="CN210" t="e">
        <f t="shared" si="163"/>
        <v>#REF!</v>
      </c>
      <c r="CO210" t="e">
        <f t="shared" si="163"/>
        <v>#REF!</v>
      </c>
      <c r="CP210" t="e">
        <f t="shared" si="163"/>
        <v>#REF!</v>
      </c>
      <c r="CQ210" t="e">
        <f t="shared" si="163"/>
        <v>#REF!</v>
      </c>
      <c r="CR210" t="e">
        <f t="shared" si="163"/>
        <v>#REF!</v>
      </c>
      <c r="CS210" t="e">
        <f t="shared" si="163"/>
        <v>#REF!</v>
      </c>
      <c r="CT210" t="e">
        <f t="shared" si="163"/>
        <v>#REF!</v>
      </c>
      <c r="CU210" t="e">
        <f t="shared" si="163"/>
        <v>#REF!</v>
      </c>
      <c r="CV210" t="e">
        <f t="shared" si="166"/>
        <v>#REF!</v>
      </c>
      <c r="CW210" t="e">
        <f t="shared" si="166"/>
        <v>#REF!</v>
      </c>
      <c r="CX210" t="e">
        <f t="shared" si="166"/>
        <v>#REF!</v>
      </c>
      <c r="CY210" t="e">
        <f t="shared" si="166"/>
        <v>#REF!</v>
      </c>
      <c r="CZ210" t="e">
        <f t="shared" si="164"/>
        <v>#REF!</v>
      </c>
      <c r="DA210" t="e">
        <f t="shared" si="164"/>
        <v>#REF!</v>
      </c>
      <c r="DB210" t="e">
        <f t="shared" si="164"/>
        <v>#REF!</v>
      </c>
      <c r="DC210" t="e">
        <f t="shared" si="164"/>
        <v>#REF!</v>
      </c>
      <c r="DD210" t="e">
        <f t="shared" si="164"/>
        <v>#REF!</v>
      </c>
      <c r="DE210" t="e">
        <f t="shared" si="164"/>
        <v>#REF!</v>
      </c>
      <c r="DF210" t="e">
        <f t="shared" si="164"/>
        <v>#REF!</v>
      </c>
      <c r="DG210" t="e">
        <f t="shared" si="164"/>
        <v>#REF!</v>
      </c>
      <c r="DH210" t="e">
        <f t="shared" si="164"/>
        <v>#REF!</v>
      </c>
      <c r="DI210" t="e">
        <f t="shared" si="164"/>
        <v>#REF!</v>
      </c>
      <c r="DJ210" t="e">
        <f t="shared" si="154"/>
        <v>#REF!</v>
      </c>
      <c r="DK210" t="e">
        <f t="shared" si="154"/>
        <v>#REF!</v>
      </c>
      <c r="DL210" t="e">
        <f t="shared" si="154"/>
        <v>#REF!</v>
      </c>
      <c r="DM210" t="e">
        <f t="shared" si="154"/>
        <v>#REF!</v>
      </c>
      <c r="DN210" t="e">
        <f t="shared" si="154"/>
        <v>#REF!</v>
      </c>
      <c r="DO210" t="e">
        <f t="shared" si="154"/>
        <v>#REF!</v>
      </c>
      <c r="DP210" t="e">
        <f t="shared" si="154"/>
        <v>#REF!</v>
      </c>
      <c r="DQ210" t="e">
        <f t="shared" si="154"/>
        <v>#REF!</v>
      </c>
      <c r="DR210" t="e">
        <f t="shared" si="154"/>
        <v>#REF!</v>
      </c>
      <c r="DS210" t="e">
        <f t="shared" si="154"/>
        <v>#REF!</v>
      </c>
      <c r="DT210" t="e">
        <f t="shared" si="154"/>
        <v>#REF!</v>
      </c>
      <c r="DU210" t="e">
        <f t="shared" si="154"/>
        <v>#REF!</v>
      </c>
      <c r="DV210" t="e">
        <f t="shared" si="154"/>
        <v>#REF!</v>
      </c>
      <c r="DW210" t="e">
        <f t="shared" si="153"/>
        <v>#REF!</v>
      </c>
      <c r="DX210" t="e">
        <f t="shared" si="153"/>
        <v>#REF!</v>
      </c>
      <c r="DY210" t="e">
        <f t="shared" si="153"/>
        <v>#REF!</v>
      </c>
      <c r="DZ210" t="e">
        <f t="shared" si="153"/>
        <v>#REF!</v>
      </c>
      <c r="EA210" t="e">
        <f t="shared" si="153"/>
        <v>#REF!</v>
      </c>
      <c r="EB210" t="e">
        <f t="shared" si="153"/>
        <v>#REF!</v>
      </c>
      <c r="EC210" t="e">
        <f t="shared" si="153"/>
        <v>#REF!</v>
      </c>
      <c r="ED210" t="e">
        <f t="shared" si="153"/>
        <v>#REF!</v>
      </c>
      <c r="EE210" t="e">
        <f t="shared" si="153"/>
        <v>#REF!</v>
      </c>
      <c r="EF210" t="e">
        <f t="shared" si="153"/>
        <v>#REF!</v>
      </c>
      <c r="EG210" t="e">
        <f t="shared" si="153"/>
        <v>#REF!</v>
      </c>
      <c r="EH210" t="e">
        <f t="shared" si="165"/>
        <v>#REF!</v>
      </c>
      <c r="EI210" t="e">
        <f t="shared" si="165"/>
        <v>#REF!</v>
      </c>
      <c r="EJ210" t="e">
        <f t="shared" si="165"/>
        <v>#REF!</v>
      </c>
      <c r="EK210" t="e">
        <f t="shared" si="165"/>
        <v>#REF!</v>
      </c>
      <c r="EL210" t="e">
        <f t="shared" si="165"/>
        <v>#REF!</v>
      </c>
      <c r="EM210" t="e">
        <f t="shared" si="165"/>
        <v>#REF!</v>
      </c>
    </row>
    <row r="211" spans="1:143" x14ac:dyDescent="0.4">
      <c r="A211" t="str">
        <f t="shared" si="120"/>
        <v>X</v>
      </c>
      <c r="B211">
        <v>208</v>
      </c>
      <c r="C211" t="e" cm="1">
        <f t="array" ref="C211">INDEX(auto_Series_Code,B211)</f>
        <v>#REF!</v>
      </c>
      <c r="D211" t="e">
        <f t="shared" si="156"/>
        <v>#REF!</v>
      </c>
      <c r="E211" t="e">
        <f t="shared" si="156"/>
        <v>#REF!</v>
      </c>
      <c r="F211" t="e">
        <f t="shared" si="156"/>
        <v>#REF!</v>
      </c>
      <c r="G211" t="e">
        <f t="shared" si="156"/>
        <v>#REF!</v>
      </c>
      <c r="H211" t="e">
        <f t="shared" si="156"/>
        <v>#REF!</v>
      </c>
      <c r="I211" t="e">
        <f t="shared" si="156"/>
        <v>#REF!</v>
      </c>
      <c r="J211" t="e">
        <f t="shared" si="156"/>
        <v>#REF!</v>
      </c>
      <c r="K211" t="e">
        <f t="shared" si="156"/>
        <v>#REF!</v>
      </c>
      <c r="L211" t="e">
        <f t="shared" si="156"/>
        <v>#REF!</v>
      </c>
      <c r="M211" t="e">
        <f t="shared" si="156"/>
        <v>#REF!</v>
      </c>
      <c r="N211" t="e">
        <f t="shared" si="156"/>
        <v>#REF!</v>
      </c>
      <c r="O211" t="e">
        <f t="shared" si="156"/>
        <v>#REF!</v>
      </c>
      <c r="P211" t="e">
        <f t="shared" si="156"/>
        <v>#REF!</v>
      </c>
      <c r="Q211" t="e">
        <f t="shared" si="156"/>
        <v>#REF!</v>
      </c>
      <c r="R211" t="e">
        <f t="shared" si="156"/>
        <v>#REF!</v>
      </c>
      <c r="S211" t="e">
        <f t="shared" si="156"/>
        <v>#REF!</v>
      </c>
      <c r="T211" t="e">
        <f t="shared" si="155"/>
        <v>#REF!</v>
      </c>
      <c r="U211" t="e">
        <f t="shared" si="155"/>
        <v>#REF!</v>
      </c>
      <c r="V211" t="e">
        <f t="shared" si="155"/>
        <v>#REF!</v>
      </c>
      <c r="W211" t="e">
        <f t="shared" si="155"/>
        <v>#REF!</v>
      </c>
      <c r="X211" t="e">
        <f t="shared" si="155"/>
        <v>#REF!</v>
      </c>
      <c r="Y211" t="e">
        <f t="shared" si="155"/>
        <v>#REF!</v>
      </c>
      <c r="Z211" t="e">
        <f t="shared" si="155"/>
        <v>#REF!</v>
      </c>
      <c r="AA211" t="e">
        <f t="shared" si="155"/>
        <v>#REF!</v>
      </c>
      <c r="AB211" t="e">
        <f t="shared" si="155"/>
        <v>#REF!</v>
      </c>
      <c r="AC211" t="e">
        <f t="shared" si="155"/>
        <v>#REF!</v>
      </c>
      <c r="AD211" t="e">
        <f t="shared" si="155"/>
        <v>#REF!</v>
      </c>
      <c r="AE211" t="e">
        <f t="shared" si="155"/>
        <v>#REF!</v>
      </c>
      <c r="AF211" t="e">
        <f t="shared" si="155"/>
        <v>#REF!</v>
      </c>
      <c r="AG211" t="e">
        <f t="shared" si="155"/>
        <v>#REF!</v>
      </c>
      <c r="AH211" t="e">
        <f t="shared" si="157"/>
        <v>#REF!</v>
      </c>
      <c r="AI211" t="e">
        <f t="shared" si="157"/>
        <v>#REF!</v>
      </c>
      <c r="AJ211" t="e">
        <f t="shared" si="157"/>
        <v>#REF!</v>
      </c>
      <c r="AK211" t="e">
        <f t="shared" si="157"/>
        <v>#REF!</v>
      </c>
      <c r="AL211" t="e">
        <f t="shared" si="157"/>
        <v>#REF!</v>
      </c>
      <c r="AM211" t="e">
        <f t="shared" si="157"/>
        <v>#REF!</v>
      </c>
      <c r="AN211" t="e">
        <f t="shared" si="157"/>
        <v>#REF!</v>
      </c>
      <c r="AO211" t="e">
        <f t="shared" si="157"/>
        <v>#REF!</v>
      </c>
      <c r="AP211" t="e">
        <f t="shared" si="157"/>
        <v>#REF!</v>
      </c>
      <c r="AQ211" t="e">
        <f t="shared" si="157"/>
        <v>#REF!</v>
      </c>
      <c r="AR211" t="e">
        <f t="shared" si="157"/>
        <v>#REF!</v>
      </c>
      <c r="AS211" t="e">
        <f t="shared" si="160"/>
        <v>#REF!</v>
      </c>
      <c r="AT211" t="e">
        <f t="shared" si="160"/>
        <v>#REF!</v>
      </c>
      <c r="AU211" t="e">
        <f t="shared" si="160"/>
        <v>#REF!</v>
      </c>
      <c r="AV211" t="e">
        <f t="shared" si="160"/>
        <v>#REF!</v>
      </c>
      <c r="AW211" t="e">
        <f t="shared" si="160"/>
        <v>#REF!</v>
      </c>
      <c r="AX211" t="e">
        <f t="shared" si="160"/>
        <v>#REF!</v>
      </c>
      <c r="AY211" t="e">
        <f t="shared" si="160"/>
        <v>#REF!</v>
      </c>
      <c r="AZ211" t="e">
        <f t="shared" si="160"/>
        <v>#REF!</v>
      </c>
      <c r="BA211" t="e">
        <f t="shared" si="160"/>
        <v>#REF!</v>
      </c>
      <c r="BB211" t="e">
        <f t="shared" si="160"/>
        <v>#REF!</v>
      </c>
      <c r="BC211" t="e">
        <f t="shared" si="160"/>
        <v>#REF!</v>
      </c>
      <c r="BD211" t="e">
        <f t="shared" si="160"/>
        <v>#REF!</v>
      </c>
      <c r="BE211" t="e">
        <f t="shared" si="160"/>
        <v>#REF!</v>
      </c>
      <c r="BF211" t="e">
        <f t="shared" si="160"/>
        <v>#REF!</v>
      </c>
      <c r="BG211" t="e">
        <f t="shared" si="160"/>
        <v>#REF!</v>
      </c>
      <c r="BH211" t="e">
        <f t="shared" si="160"/>
        <v>#REF!</v>
      </c>
      <c r="BI211" t="e">
        <f t="shared" si="158"/>
        <v>#REF!</v>
      </c>
      <c r="BJ211" t="e">
        <f t="shared" si="158"/>
        <v>#REF!</v>
      </c>
      <c r="BK211" t="e">
        <f t="shared" si="158"/>
        <v>#REF!</v>
      </c>
      <c r="BL211" t="e">
        <f t="shared" si="158"/>
        <v>#REF!</v>
      </c>
      <c r="BM211" t="e">
        <f t="shared" si="158"/>
        <v>#REF!</v>
      </c>
      <c r="BN211" t="e">
        <f t="shared" si="158"/>
        <v>#REF!</v>
      </c>
      <c r="BO211" t="e">
        <f t="shared" si="158"/>
        <v>#REF!</v>
      </c>
      <c r="BP211" t="e">
        <f t="shared" si="158"/>
        <v>#REF!</v>
      </c>
      <c r="BQ211" t="e">
        <f t="shared" si="158"/>
        <v>#REF!</v>
      </c>
      <c r="BR211" t="e">
        <f t="shared" si="158"/>
        <v>#REF!</v>
      </c>
      <c r="BS211" t="e">
        <f t="shared" si="158"/>
        <v>#REF!</v>
      </c>
      <c r="BT211" t="e">
        <f t="shared" si="158"/>
        <v>#REF!</v>
      </c>
      <c r="BU211" t="e">
        <f t="shared" si="158"/>
        <v>#REF!</v>
      </c>
      <c r="BV211" t="e">
        <f t="shared" si="161"/>
        <v>#REF!</v>
      </c>
      <c r="BW211" t="e">
        <f t="shared" si="161"/>
        <v>#REF!</v>
      </c>
      <c r="BX211" t="e">
        <f t="shared" si="161"/>
        <v>#REF!</v>
      </c>
      <c r="BY211" t="e">
        <f t="shared" si="161"/>
        <v>#REF!</v>
      </c>
      <c r="BZ211" t="e">
        <f t="shared" si="161"/>
        <v>#REF!</v>
      </c>
      <c r="CA211" t="e">
        <f t="shared" si="161"/>
        <v>#REF!</v>
      </c>
      <c r="CB211" t="e">
        <f t="shared" si="161"/>
        <v>#REF!</v>
      </c>
      <c r="CC211" t="e">
        <f t="shared" si="161"/>
        <v>#REF!</v>
      </c>
      <c r="CD211" t="e">
        <f t="shared" si="161"/>
        <v>#REF!</v>
      </c>
      <c r="CE211" t="e">
        <f t="shared" si="161"/>
        <v>#REF!</v>
      </c>
      <c r="CF211" t="e">
        <f t="shared" si="163"/>
        <v>#REF!</v>
      </c>
      <c r="CG211" t="e">
        <f t="shared" si="163"/>
        <v>#REF!</v>
      </c>
      <c r="CH211" t="e">
        <f t="shared" si="163"/>
        <v>#REF!</v>
      </c>
      <c r="CI211" t="e">
        <f t="shared" si="163"/>
        <v>#REF!</v>
      </c>
      <c r="CJ211" t="e">
        <f t="shared" si="163"/>
        <v>#REF!</v>
      </c>
      <c r="CK211" t="e">
        <f t="shared" si="163"/>
        <v>#REF!</v>
      </c>
      <c r="CL211" t="e">
        <f t="shared" si="163"/>
        <v>#REF!</v>
      </c>
      <c r="CM211" t="e">
        <f t="shared" si="163"/>
        <v>#REF!</v>
      </c>
      <c r="CN211" t="e">
        <f t="shared" si="163"/>
        <v>#REF!</v>
      </c>
      <c r="CO211" t="e">
        <f t="shared" si="163"/>
        <v>#REF!</v>
      </c>
      <c r="CP211" t="e">
        <f t="shared" si="163"/>
        <v>#REF!</v>
      </c>
      <c r="CQ211" t="e">
        <f t="shared" si="163"/>
        <v>#REF!</v>
      </c>
      <c r="CR211" t="e">
        <f t="shared" si="163"/>
        <v>#REF!</v>
      </c>
      <c r="CS211" t="e">
        <f t="shared" si="163"/>
        <v>#REF!</v>
      </c>
      <c r="CT211" t="e">
        <f t="shared" si="163"/>
        <v>#REF!</v>
      </c>
      <c r="CU211" t="e">
        <f t="shared" si="163"/>
        <v>#REF!</v>
      </c>
      <c r="CV211" t="e">
        <f t="shared" si="166"/>
        <v>#REF!</v>
      </c>
      <c r="CW211" t="e">
        <f t="shared" si="166"/>
        <v>#REF!</v>
      </c>
      <c r="CX211" t="e">
        <f t="shared" si="166"/>
        <v>#REF!</v>
      </c>
      <c r="CY211" t="e">
        <f t="shared" si="166"/>
        <v>#REF!</v>
      </c>
      <c r="CZ211" t="e">
        <f t="shared" si="164"/>
        <v>#REF!</v>
      </c>
      <c r="DA211" t="e">
        <f t="shared" si="164"/>
        <v>#REF!</v>
      </c>
      <c r="DB211" t="e">
        <f t="shared" si="164"/>
        <v>#REF!</v>
      </c>
      <c r="DC211" t="e">
        <f t="shared" si="164"/>
        <v>#REF!</v>
      </c>
      <c r="DD211" t="e">
        <f t="shared" si="164"/>
        <v>#REF!</v>
      </c>
      <c r="DE211" t="e">
        <f t="shared" si="164"/>
        <v>#REF!</v>
      </c>
      <c r="DF211" t="e">
        <f t="shared" si="164"/>
        <v>#REF!</v>
      </c>
      <c r="DG211" t="e">
        <f t="shared" si="164"/>
        <v>#REF!</v>
      </c>
      <c r="DH211" t="e">
        <f t="shared" si="164"/>
        <v>#REF!</v>
      </c>
      <c r="DI211" t="e">
        <f t="shared" si="164"/>
        <v>#REF!</v>
      </c>
      <c r="DJ211" t="e">
        <f t="shared" si="154"/>
        <v>#REF!</v>
      </c>
      <c r="DK211" t="e">
        <f t="shared" si="154"/>
        <v>#REF!</v>
      </c>
      <c r="DL211" t="e">
        <f t="shared" si="154"/>
        <v>#REF!</v>
      </c>
      <c r="DM211" t="e">
        <f t="shared" si="154"/>
        <v>#REF!</v>
      </c>
      <c r="DN211" t="e">
        <f t="shared" si="154"/>
        <v>#REF!</v>
      </c>
      <c r="DO211" t="e">
        <f t="shared" si="154"/>
        <v>#REF!</v>
      </c>
      <c r="DP211" t="e">
        <f t="shared" si="154"/>
        <v>#REF!</v>
      </c>
      <c r="DQ211" t="e">
        <f t="shared" si="154"/>
        <v>#REF!</v>
      </c>
      <c r="DR211" t="e">
        <f t="shared" si="154"/>
        <v>#REF!</v>
      </c>
      <c r="DS211" t="e">
        <f t="shared" si="154"/>
        <v>#REF!</v>
      </c>
      <c r="DT211" t="e">
        <f t="shared" si="154"/>
        <v>#REF!</v>
      </c>
      <c r="DU211" t="e">
        <f t="shared" si="154"/>
        <v>#REF!</v>
      </c>
      <c r="DV211" t="e">
        <f t="shared" si="154"/>
        <v>#REF!</v>
      </c>
      <c r="DW211" t="e">
        <f t="shared" si="153"/>
        <v>#REF!</v>
      </c>
      <c r="DX211" t="e">
        <f t="shared" si="153"/>
        <v>#REF!</v>
      </c>
      <c r="DY211" t="e">
        <f t="shared" si="153"/>
        <v>#REF!</v>
      </c>
      <c r="DZ211" t="e">
        <f t="shared" si="153"/>
        <v>#REF!</v>
      </c>
      <c r="EA211" t="e">
        <f t="shared" si="153"/>
        <v>#REF!</v>
      </c>
      <c r="EB211" t="e">
        <f t="shared" si="153"/>
        <v>#REF!</v>
      </c>
      <c r="EC211" t="e">
        <f t="shared" si="153"/>
        <v>#REF!</v>
      </c>
      <c r="ED211" t="e">
        <f t="shared" si="153"/>
        <v>#REF!</v>
      </c>
      <c r="EE211" t="e">
        <f t="shared" si="153"/>
        <v>#REF!</v>
      </c>
      <c r="EF211" t="e">
        <f t="shared" si="153"/>
        <v>#REF!</v>
      </c>
      <c r="EG211" t="e">
        <f t="shared" si="153"/>
        <v>#REF!</v>
      </c>
      <c r="EH211" t="e">
        <f t="shared" si="165"/>
        <v>#REF!</v>
      </c>
      <c r="EI211" t="e">
        <f t="shared" si="165"/>
        <v>#REF!</v>
      </c>
      <c r="EJ211" t="e">
        <f t="shared" si="165"/>
        <v>#REF!</v>
      </c>
      <c r="EK211" t="e">
        <f t="shared" si="165"/>
        <v>#REF!</v>
      </c>
      <c r="EL211" t="e">
        <f t="shared" si="165"/>
        <v>#REF!</v>
      </c>
      <c r="EM211" t="e">
        <f t="shared" si="165"/>
        <v>#REF!</v>
      </c>
    </row>
    <row r="212" spans="1:143" x14ac:dyDescent="0.4">
      <c r="A212" t="str">
        <f t="shared" si="120"/>
        <v>X</v>
      </c>
      <c r="B212">
        <v>209</v>
      </c>
      <c r="C212" t="e" cm="1">
        <f t="array" ref="C212">INDEX(auto_Series_Code,B212)</f>
        <v>#REF!</v>
      </c>
      <c r="D212" t="e">
        <f t="shared" si="156"/>
        <v>#REF!</v>
      </c>
      <c r="E212" t="e">
        <f t="shared" si="156"/>
        <v>#REF!</v>
      </c>
      <c r="F212" t="e">
        <f t="shared" si="156"/>
        <v>#REF!</v>
      </c>
      <c r="G212" t="e">
        <f t="shared" si="156"/>
        <v>#REF!</v>
      </c>
      <c r="H212" t="e">
        <f t="shared" si="156"/>
        <v>#REF!</v>
      </c>
      <c r="I212" t="e">
        <f t="shared" si="156"/>
        <v>#REF!</v>
      </c>
      <c r="J212" t="e">
        <f t="shared" si="156"/>
        <v>#REF!</v>
      </c>
      <c r="K212" t="e">
        <f t="shared" si="156"/>
        <v>#REF!</v>
      </c>
      <c r="L212" t="e">
        <f t="shared" si="156"/>
        <v>#REF!</v>
      </c>
      <c r="M212" t="e">
        <f t="shared" si="156"/>
        <v>#REF!</v>
      </c>
      <c r="N212" t="e">
        <f t="shared" si="156"/>
        <v>#REF!</v>
      </c>
      <c r="O212" t="e">
        <f t="shared" si="156"/>
        <v>#REF!</v>
      </c>
      <c r="P212" t="e">
        <f t="shared" si="156"/>
        <v>#REF!</v>
      </c>
      <c r="Q212" t="e">
        <f t="shared" si="156"/>
        <v>#REF!</v>
      </c>
      <c r="R212" t="e">
        <f t="shared" si="156"/>
        <v>#REF!</v>
      </c>
      <c r="S212" t="e">
        <f t="shared" si="156"/>
        <v>#REF!</v>
      </c>
      <c r="T212" t="e">
        <f t="shared" si="155"/>
        <v>#REF!</v>
      </c>
      <c r="U212" t="e">
        <f t="shared" si="155"/>
        <v>#REF!</v>
      </c>
      <c r="V212" t="e">
        <f t="shared" si="155"/>
        <v>#REF!</v>
      </c>
      <c r="W212" t="e">
        <f t="shared" si="155"/>
        <v>#REF!</v>
      </c>
      <c r="X212" t="e">
        <f t="shared" si="155"/>
        <v>#REF!</v>
      </c>
      <c r="Y212" t="e">
        <f t="shared" si="155"/>
        <v>#REF!</v>
      </c>
      <c r="Z212" t="e">
        <f t="shared" si="155"/>
        <v>#REF!</v>
      </c>
      <c r="AA212" t="e">
        <f t="shared" si="155"/>
        <v>#REF!</v>
      </c>
      <c r="AB212" t="e">
        <f t="shared" si="155"/>
        <v>#REF!</v>
      </c>
      <c r="AC212" t="e">
        <f t="shared" si="155"/>
        <v>#REF!</v>
      </c>
      <c r="AD212" t="e">
        <f t="shared" si="155"/>
        <v>#REF!</v>
      </c>
      <c r="AE212" t="e">
        <f t="shared" si="155"/>
        <v>#REF!</v>
      </c>
      <c r="AF212" t="e">
        <f t="shared" si="155"/>
        <v>#REF!</v>
      </c>
      <c r="AG212" t="e">
        <f t="shared" si="155"/>
        <v>#REF!</v>
      </c>
      <c r="AH212" t="e">
        <f t="shared" si="157"/>
        <v>#REF!</v>
      </c>
      <c r="AI212" t="e">
        <f t="shared" si="157"/>
        <v>#REF!</v>
      </c>
      <c r="AJ212" t="e">
        <f t="shared" si="157"/>
        <v>#REF!</v>
      </c>
      <c r="AK212" t="e">
        <f t="shared" si="157"/>
        <v>#REF!</v>
      </c>
      <c r="AL212" t="e">
        <f t="shared" si="157"/>
        <v>#REF!</v>
      </c>
      <c r="AM212" t="e">
        <f t="shared" si="157"/>
        <v>#REF!</v>
      </c>
      <c r="AN212" t="e">
        <f t="shared" si="157"/>
        <v>#REF!</v>
      </c>
      <c r="AO212" t="e">
        <f t="shared" si="157"/>
        <v>#REF!</v>
      </c>
      <c r="AP212" t="e">
        <f t="shared" si="157"/>
        <v>#REF!</v>
      </c>
      <c r="AQ212" t="e">
        <f t="shared" si="157"/>
        <v>#REF!</v>
      </c>
      <c r="AR212" t="e">
        <f t="shared" si="157"/>
        <v>#REF!</v>
      </c>
      <c r="AS212" t="e">
        <f t="shared" si="160"/>
        <v>#REF!</v>
      </c>
      <c r="AT212" t="e">
        <f t="shared" si="160"/>
        <v>#REF!</v>
      </c>
      <c r="AU212" t="e">
        <f t="shared" si="160"/>
        <v>#REF!</v>
      </c>
      <c r="AV212" t="e">
        <f t="shared" si="160"/>
        <v>#REF!</v>
      </c>
      <c r="AW212" t="e">
        <f t="shared" si="160"/>
        <v>#REF!</v>
      </c>
      <c r="AX212" t="e">
        <f t="shared" si="160"/>
        <v>#REF!</v>
      </c>
      <c r="AY212" t="e">
        <f t="shared" si="160"/>
        <v>#REF!</v>
      </c>
      <c r="AZ212" t="e">
        <f t="shared" si="160"/>
        <v>#REF!</v>
      </c>
      <c r="BA212" t="e">
        <f t="shared" si="160"/>
        <v>#REF!</v>
      </c>
      <c r="BB212" t="e">
        <f t="shared" si="160"/>
        <v>#REF!</v>
      </c>
      <c r="BC212" t="e">
        <f t="shared" si="160"/>
        <v>#REF!</v>
      </c>
      <c r="BD212" t="e">
        <f t="shared" si="160"/>
        <v>#REF!</v>
      </c>
      <c r="BE212" t="e">
        <f t="shared" si="160"/>
        <v>#REF!</v>
      </c>
      <c r="BF212" t="e">
        <f t="shared" si="160"/>
        <v>#REF!</v>
      </c>
      <c r="BG212" t="e">
        <f t="shared" si="160"/>
        <v>#REF!</v>
      </c>
      <c r="BH212" t="e">
        <f t="shared" si="160"/>
        <v>#REF!</v>
      </c>
      <c r="BI212" t="e">
        <f t="shared" si="158"/>
        <v>#REF!</v>
      </c>
      <c r="BJ212" t="e">
        <f t="shared" si="158"/>
        <v>#REF!</v>
      </c>
      <c r="BK212" t="e">
        <f t="shared" si="158"/>
        <v>#REF!</v>
      </c>
      <c r="BL212" t="e">
        <f t="shared" si="158"/>
        <v>#REF!</v>
      </c>
      <c r="BM212" t="e">
        <f t="shared" si="158"/>
        <v>#REF!</v>
      </c>
      <c r="BN212" t="e">
        <f t="shared" si="158"/>
        <v>#REF!</v>
      </c>
      <c r="BO212" t="e">
        <f t="shared" si="158"/>
        <v>#REF!</v>
      </c>
      <c r="BP212" t="e">
        <f t="shared" si="158"/>
        <v>#REF!</v>
      </c>
      <c r="BQ212" t="e">
        <f t="shared" si="158"/>
        <v>#REF!</v>
      </c>
      <c r="BR212" t="e">
        <f t="shared" si="158"/>
        <v>#REF!</v>
      </c>
      <c r="BS212" t="e">
        <f t="shared" si="158"/>
        <v>#REF!</v>
      </c>
      <c r="BT212" t="e">
        <f t="shared" si="158"/>
        <v>#REF!</v>
      </c>
      <c r="BU212" t="e">
        <f t="shared" si="158"/>
        <v>#REF!</v>
      </c>
      <c r="BV212" t="e">
        <f t="shared" si="161"/>
        <v>#REF!</v>
      </c>
      <c r="BW212" t="e">
        <f t="shared" si="161"/>
        <v>#REF!</v>
      </c>
      <c r="BX212" t="e">
        <f t="shared" si="161"/>
        <v>#REF!</v>
      </c>
      <c r="BY212" t="e">
        <f t="shared" si="161"/>
        <v>#REF!</v>
      </c>
      <c r="BZ212" t="e">
        <f t="shared" si="161"/>
        <v>#REF!</v>
      </c>
      <c r="CA212" t="e">
        <f t="shared" si="161"/>
        <v>#REF!</v>
      </c>
      <c r="CB212" t="e">
        <f t="shared" si="161"/>
        <v>#REF!</v>
      </c>
      <c r="CC212" t="e">
        <f t="shared" si="161"/>
        <v>#REF!</v>
      </c>
      <c r="CD212" t="e">
        <f t="shared" si="161"/>
        <v>#REF!</v>
      </c>
      <c r="CE212" t="e">
        <f t="shared" si="161"/>
        <v>#REF!</v>
      </c>
      <c r="CF212" t="e">
        <f t="shared" si="163"/>
        <v>#REF!</v>
      </c>
      <c r="CG212" t="e">
        <f t="shared" si="163"/>
        <v>#REF!</v>
      </c>
      <c r="CH212" t="e">
        <f t="shared" si="163"/>
        <v>#REF!</v>
      </c>
      <c r="CI212" t="e">
        <f t="shared" si="163"/>
        <v>#REF!</v>
      </c>
      <c r="CJ212" t="e">
        <f t="shared" si="163"/>
        <v>#REF!</v>
      </c>
      <c r="CK212" t="e">
        <f t="shared" si="163"/>
        <v>#REF!</v>
      </c>
      <c r="CL212" t="e">
        <f t="shared" si="163"/>
        <v>#REF!</v>
      </c>
      <c r="CM212" t="e">
        <f t="shared" si="163"/>
        <v>#REF!</v>
      </c>
      <c r="CN212" t="e">
        <f t="shared" si="163"/>
        <v>#REF!</v>
      </c>
      <c r="CO212" t="e">
        <f t="shared" si="163"/>
        <v>#REF!</v>
      </c>
      <c r="CP212" t="e">
        <f t="shared" si="163"/>
        <v>#REF!</v>
      </c>
      <c r="CQ212" t="e">
        <f t="shared" si="163"/>
        <v>#REF!</v>
      </c>
      <c r="CR212" t="e">
        <f t="shared" si="163"/>
        <v>#REF!</v>
      </c>
      <c r="CS212" t="e">
        <f t="shared" si="163"/>
        <v>#REF!</v>
      </c>
      <c r="CT212" t="e">
        <f t="shared" si="163"/>
        <v>#REF!</v>
      </c>
      <c r="CU212" t="e">
        <f t="shared" si="163"/>
        <v>#REF!</v>
      </c>
      <c r="CV212" t="e">
        <f t="shared" si="166"/>
        <v>#REF!</v>
      </c>
      <c r="CW212" t="e">
        <f t="shared" si="166"/>
        <v>#REF!</v>
      </c>
      <c r="CX212" t="e">
        <f t="shared" si="166"/>
        <v>#REF!</v>
      </c>
      <c r="CY212" t="e">
        <f t="shared" si="166"/>
        <v>#REF!</v>
      </c>
      <c r="CZ212" t="e">
        <f t="shared" si="164"/>
        <v>#REF!</v>
      </c>
      <c r="DA212" t="e">
        <f t="shared" si="164"/>
        <v>#REF!</v>
      </c>
      <c r="DB212" t="e">
        <f t="shared" si="164"/>
        <v>#REF!</v>
      </c>
      <c r="DC212" t="e">
        <f t="shared" si="164"/>
        <v>#REF!</v>
      </c>
      <c r="DD212" t="e">
        <f t="shared" si="164"/>
        <v>#REF!</v>
      </c>
      <c r="DE212" t="e">
        <f t="shared" si="164"/>
        <v>#REF!</v>
      </c>
      <c r="DF212" t="e">
        <f t="shared" si="164"/>
        <v>#REF!</v>
      </c>
      <c r="DG212" t="e">
        <f t="shared" si="164"/>
        <v>#REF!</v>
      </c>
      <c r="DH212" t="e">
        <f t="shared" si="164"/>
        <v>#REF!</v>
      </c>
      <c r="DI212" t="e">
        <f t="shared" si="164"/>
        <v>#REF!</v>
      </c>
      <c r="DJ212" t="e">
        <f t="shared" si="154"/>
        <v>#REF!</v>
      </c>
      <c r="DK212" t="e">
        <f t="shared" si="154"/>
        <v>#REF!</v>
      </c>
      <c r="DL212" t="e">
        <f t="shared" si="154"/>
        <v>#REF!</v>
      </c>
      <c r="DM212" t="e">
        <f t="shared" si="154"/>
        <v>#REF!</v>
      </c>
      <c r="DN212" t="e">
        <f t="shared" si="154"/>
        <v>#REF!</v>
      </c>
      <c r="DO212" t="e">
        <f t="shared" si="154"/>
        <v>#REF!</v>
      </c>
      <c r="DP212" t="e">
        <f t="shared" si="154"/>
        <v>#REF!</v>
      </c>
      <c r="DQ212" t="e">
        <f t="shared" si="154"/>
        <v>#REF!</v>
      </c>
      <c r="DR212" t="e">
        <f t="shared" si="154"/>
        <v>#REF!</v>
      </c>
      <c r="DS212" t="e">
        <f t="shared" si="154"/>
        <v>#REF!</v>
      </c>
      <c r="DT212" t="e">
        <f t="shared" si="154"/>
        <v>#REF!</v>
      </c>
      <c r="DU212" t="e">
        <f t="shared" si="154"/>
        <v>#REF!</v>
      </c>
      <c r="DV212" t="e">
        <f t="shared" si="154"/>
        <v>#REF!</v>
      </c>
      <c r="DW212" t="e">
        <f t="shared" si="153"/>
        <v>#REF!</v>
      </c>
      <c r="DX212" t="e">
        <f t="shared" si="153"/>
        <v>#REF!</v>
      </c>
      <c r="DY212" t="e">
        <f t="shared" si="153"/>
        <v>#REF!</v>
      </c>
      <c r="DZ212" t="e">
        <f t="shared" si="153"/>
        <v>#REF!</v>
      </c>
      <c r="EA212" t="e">
        <f t="shared" si="153"/>
        <v>#REF!</v>
      </c>
      <c r="EB212" t="e">
        <f t="shared" si="153"/>
        <v>#REF!</v>
      </c>
      <c r="EC212" t="e">
        <f t="shared" si="153"/>
        <v>#REF!</v>
      </c>
      <c r="ED212" t="e">
        <f t="shared" si="153"/>
        <v>#REF!</v>
      </c>
      <c r="EE212" t="e">
        <f t="shared" si="153"/>
        <v>#REF!</v>
      </c>
      <c r="EF212" t="e">
        <f t="shared" si="153"/>
        <v>#REF!</v>
      </c>
      <c r="EG212" t="e">
        <f t="shared" si="153"/>
        <v>#REF!</v>
      </c>
      <c r="EH212" t="e">
        <f t="shared" si="165"/>
        <v>#REF!</v>
      </c>
      <c r="EI212" t="e">
        <f t="shared" si="165"/>
        <v>#REF!</v>
      </c>
      <c r="EJ212" t="e">
        <f t="shared" si="165"/>
        <v>#REF!</v>
      </c>
      <c r="EK212" t="e">
        <f t="shared" si="165"/>
        <v>#REF!</v>
      </c>
      <c r="EL212" t="e">
        <f t="shared" si="165"/>
        <v>#REF!</v>
      </c>
      <c r="EM212" t="e">
        <f t="shared" si="165"/>
        <v>#REF!</v>
      </c>
    </row>
    <row r="213" spans="1:143" x14ac:dyDescent="0.4">
      <c r="A213" t="str">
        <f t="shared" si="120"/>
        <v>X</v>
      </c>
      <c r="B213">
        <v>210</v>
      </c>
      <c r="C213" t="e" cm="1">
        <f t="array" ref="C213">INDEX(auto_Series_Code,B213)</f>
        <v>#REF!</v>
      </c>
      <c r="D213" t="e">
        <f t="shared" si="156"/>
        <v>#REF!</v>
      </c>
      <c r="E213" t="e">
        <f t="shared" si="156"/>
        <v>#REF!</v>
      </c>
      <c r="F213" t="e">
        <f t="shared" si="156"/>
        <v>#REF!</v>
      </c>
      <c r="G213" t="e">
        <f t="shared" si="156"/>
        <v>#REF!</v>
      </c>
      <c r="H213" t="e">
        <f t="shared" si="156"/>
        <v>#REF!</v>
      </c>
      <c r="I213" t="e">
        <f t="shared" si="156"/>
        <v>#REF!</v>
      </c>
      <c r="J213" t="e">
        <f t="shared" si="156"/>
        <v>#REF!</v>
      </c>
      <c r="K213" t="e">
        <f t="shared" si="156"/>
        <v>#REF!</v>
      </c>
      <c r="L213" t="e">
        <f t="shared" si="156"/>
        <v>#REF!</v>
      </c>
      <c r="M213" t="e">
        <f t="shared" si="156"/>
        <v>#REF!</v>
      </c>
      <c r="N213" t="e">
        <f t="shared" si="156"/>
        <v>#REF!</v>
      </c>
      <c r="O213" t="e">
        <f t="shared" si="156"/>
        <v>#REF!</v>
      </c>
      <c r="P213" t="e">
        <f t="shared" si="156"/>
        <v>#REF!</v>
      </c>
      <c r="Q213" t="e">
        <f t="shared" si="156"/>
        <v>#REF!</v>
      </c>
      <c r="R213" t="e">
        <f t="shared" si="156"/>
        <v>#REF!</v>
      </c>
      <c r="S213" t="e">
        <f t="shared" si="156"/>
        <v>#REF!</v>
      </c>
      <c r="T213" t="e">
        <f t="shared" si="155"/>
        <v>#REF!</v>
      </c>
      <c r="U213" t="e">
        <f t="shared" si="155"/>
        <v>#REF!</v>
      </c>
      <c r="V213" t="e">
        <f t="shared" si="155"/>
        <v>#REF!</v>
      </c>
      <c r="W213" t="e">
        <f t="shared" si="155"/>
        <v>#REF!</v>
      </c>
      <c r="X213" t="e">
        <f t="shared" si="155"/>
        <v>#REF!</v>
      </c>
      <c r="Y213" t="e">
        <f t="shared" si="155"/>
        <v>#REF!</v>
      </c>
      <c r="Z213" t="e">
        <f t="shared" si="155"/>
        <v>#REF!</v>
      </c>
      <c r="AA213" t="e">
        <f t="shared" si="155"/>
        <v>#REF!</v>
      </c>
      <c r="AB213" t="e">
        <f t="shared" si="155"/>
        <v>#REF!</v>
      </c>
      <c r="AC213" t="e">
        <f t="shared" si="155"/>
        <v>#REF!</v>
      </c>
      <c r="AD213" t="e">
        <f t="shared" si="155"/>
        <v>#REF!</v>
      </c>
      <c r="AE213" t="e">
        <f t="shared" si="155"/>
        <v>#REF!</v>
      </c>
      <c r="AF213" t="e">
        <f t="shared" si="155"/>
        <v>#REF!</v>
      </c>
      <c r="AG213" t="e">
        <f t="shared" si="155"/>
        <v>#REF!</v>
      </c>
      <c r="AH213" t="e">
        <f t="shared" si="157"/>
        <v>#REF!</v>
      </c>
      <c r="AI213" t="e">
        <f t="shared" si="157"/>
        <v>#REF!</v>
      </c>
      <c r="AJ213" t="e">
        <f t="shared" si="157"/>
        <v>#REF!</v>
      </c>
      <c r="AK213" t="e">
        <f t="shared" si="157"/>
        <v>#REF!</v>
      </c>
      <c r="AL213" t="e">
        <f t="shared" si="157"/>
        <v>#REF!</v>
      </c>
      <c r="AM213" t="e">
        <f t="shared" si="157"/>
        <v>#REF!</v>
      </c>
      <c r="AN213" t="e">
        <f t="shared" si="157"/>
        <v>#REF!</v>
      </c>
      <c r="AO213" t="e">
        <f t="shared" si="157"/>
        <v>#REF!</v>
      </c>
      <c r="AP213" t="e">
        <f t="shared" si="157"/>
        <v>#REF!</v>
      </c>
      <c r="AQ213" t="e">
        <f t="shared" si="157"/>
        <v>#REF!</v>
      </c>
      <c r="AR213" t="e">
        <f t="shared" si="157"/>
        <v>#REF!</v>
      </c>
      <c r="AS213" t="e">
        <f t="shared" si="160"/>
        <v>#REF!</v>
      </c>
      <c r="AT213" t="e">
        <f t="shared" si="160"/>
        <v>#REF!</v>
      </c>
      <c r="AU213" t="e">
        <f t="shared" si="160"/>
        <v>#REF!</v>
      </c>
      <c r="AV213" t="e">
        <f t="shared" si="160"/>
        <v>#REF!</v>
      </c>
      <c r="AW213" t="e">
        <f t="shared" si="160"/>
        <v>#REF!</v>
      </c>
      <c r="AX213" t="e">
        <f t="shared" si="160"/>
        <v>#REF!</v>
      </c>
      <c r="AY213" t="e">
        <f t="shared" si="160"/>
        <v>#REF!</v>
      </c>
      <c r="AZ213" t="e">
        <f t="shared" si="160"/>
        <v>#REF!</v>
      </c>
      <c r="BA213" t="e">
        <f t="shared" si="160"/>
        <v>#REF!</v>
      </c>
      <c r="BB213" t="e">
        <f t="shared" si="160"/>
        <v>#REF!</v>
      </c>
      <c r="BC213" t="e">
        <f t="shared" si="160"/>
        <v>#REF!</v>
      </c>
      <c r="BD213" t="e">
        <f t="shared" si="160"/>
        <v>#REF!</v>
      </c>
      <c r="BE213" t="e">
        <f t="shared" si="160"/>
        <v>#REF!</v>
      </c>
      <c r="BF213" t="e">
        <f t="shared" si="160"/>
        <v>#REF!</v>
      </c>
      <c r="BG213" t="e">
        <f t="shared" si="160"/>
        <v>#REF!</v>
      </c>
      <c r="BH213" t="e">
        <f t="shared" si="160"/>
        <v>#REF!</v>
      </c>
      <c r="BI213" t="e">
        <f t="shared" si="158"/>
        <v>#REF!</v>
      </c>
      <c r="BJ213" t="e">
        <f t="shared" si="158"/>
        <v>#REF!</v>
      </c>
      <c r="BK213" t="e">
        <f t="shared" si="158"/>
        <v>#REF!</v>
      </c>
      <c r="BL213" t="e">
        <f t="shared" si="158"/>
        <v>#REF!</v>
      </c>
      <c r="BM213" t="e">
        <f t="shared" si="158"/>
        <v>#REF!</v>
      </c>
      <c r="BN213" t="e">
        <f t="shared" si="158"/>
        <v>#REF!</v>
      </c>
      <c r="BO213" t="e">
        <f t="shared" si="158"/>
        <v>#REF!</v>
      </c>
      <c r="BP213" t="e">
        <f t="shared" si="158"/>
        <v>#REF!</v>
      </c>
      <c r="BQ213" t="e">
        <f t="shared" si="158"/>
        <v>#REF!</v>
      </c>
      <c r="BR213" t="e">
        <f t="shared" si="158"/>
        <v>#REF!</v>
      </c>
      <c r="BS213" t="e">
        <f t="shared" si="158"/>
        <v>#REF!</v>
      </c>
      <c r="BT213" t="e">
        <f t="shared" si="158"/>
        <v>#REF!</v>
      </c>
      <c r="BU213" t="e">
        <f t="shared" si="158"/>
        <v>#REF!</v>
      </c>
      <c r="BV213" t="e">
        <f t="shared" si="161"/>
        <v>#REF!</v>
      </c>
      <c r="BW213" t="e">
        <f t="shared" si="161"/>
        <v>#REF!</v>
      </c>
      <c r="BX213" t="e">
        <f t="shared" si="161"/>
        <v>#REF!</v>
      </c>
      <c r="BY213" t="e">
        <f t="shared" si="161"/>
        <v>#REF!</v>
      </c>
      <c r="BZ213" t="e">
        <f t="shared" si="161"/>
        <v>#REF!</v>
      </c>
      <c r="CA213" t="e">
        <f t="shared" si="161"/>
        <v>#REF!</v>
      </c>
      <c r="CB213" t="e">
        <f t="shared" si="161"/>
        <v>#REF!</v>
      </c>
      <c r="CC213" t="e">
        <f t="shared" si="161"/>
        <v>#REF!</v>
      </c>
      <c r="CD213" t="e">
        <f t="shared" si="161"/>
        <v>#REF!</v>
      </c>
      <c r="CE213" t="e">
        <f t="shared" si="161"/>
        <v>#REF!</v>
      </c>
      <c r="CF213" t="e">
        <f t="shared" si="163"/>
        <v>#REF!</v>
      </c>
      <c r="CG213" t="e">
        <f t="shared" si="163"/>
        <v>#REF!</v>
      </c>
      <c r="CH213" t="e">
        <f t="shared" si="163"/>
        <v>#REF!</v>
      </c>
      <c r="CI213" t="e">
        <f t="shared" si="163"/>
        <v>#REF!</v>
      </c>
      <c r="CJ213" t="e">
        <f t="shared" si="163"/>
        <v>#REF!</v>
      </c>
      <c r="CK213" t="e">
        <f t="shared" si="163"/>
        <v>#REF!</v>
      </c>
      <c r="CL213" t="e">
        <f t="shared" si="163"/>
        <v>#REF!</v>
      </c>
      <c r="CM213" t="e">
        <f t="shared" si="163"/>
        <v>#REF!</v>
      </c>
      <c r="CN213" t="e">
        <f t="shared" si="163"/>
        <v>#REF!</v>
      </c>
      <c r="CO213" t="e">
        <f t="shared" si="163"/>
        <v>#REF!</v>
      </c>
      <c r="CP213" t="e">
        <f t="shared" si="163"/>
        <v>#REF!</v>
      </c>
      <c r="CQ213" t="e">
        <f t="shared" si="163"/>
        <v>#REF!</v>
      </c>
      <c r="CR213" t="e">
        <f t="shared" si="163"/>
        <v>#REF!</v>
      </c>
      <c r="CS213" t="e">
        <f t="shared" si="163"/>
        <v>#REF!</v>
      </c>
      <c r="CT213" t="e">
        <f t="shared" si="163"/>
        <v>#REF!</v>
      </c>
      <c r="CU213" t="e">
        <f t="shared" si="163"/>
        <v>#REF!</v>
      </c>
      <c r="CV213" t="e">
        <f t="shared" si="166"/>
        <v>#REF!</v>
      </c>
      <c r="CW213" t="e">
        <f t="shared" si="166"/>
        <v>#REF!</v>
      </c>
      <c r="CX213" t="e">
        <f t="shared" si="166"/>
        <v>#REF!</v>
      </c>
      <c r="CY213" t="e">
        <f t="shared" si="166"/>
        <v>#REF!</v>
      </c>
      <c r="CZ213" t="e">
        <f t="shared" si="164"/>
        <v>#REF!</v>
      </c>
      <c r="DA213" t="e">
        <f t="shared" si="164"/>
        <v>#REF!</v>
      </c>
      <c r="DB213" t="e">
        <f t="shared" si="164"/>
        <v>#REF!</v>
      </c>
      <c r="DC213" t="e">
        <f t="shared" si="164"/>
        <v>#REF!</v>
      </c>
      <c r="DD213" t="e">
        <f t="shared" si="164"/>
        <v>#REF!</v>
      </c>
      <c r="DE213" t="e">
        <f t="shared" si="164"/>
        <v>#REF!</v>
      </c>
      <c r="DF213" t="e">
        <f t="shared" si="164"/>
        <v>#REF!</v>
      </c>
      <c r="DG213" t="e">
        <f t="shared" si="164"/>
        <v>#REF!</v>
      </c>
      <c r="DH213" t="e">
        <f t="shared" si="164"/>
        <v>#REF!</v>
      </c>
      <c r="DI213" t="e">
        <f t="shared" si="164"/>
        <v>#REF!</v>
      </c>
      <c r="DJ213" t="e">
        <f t="shared" si="154"/>
        <v>#REF!</v>
      </c>
      <c r="DK213" t="e">
        <f t="shared" si="154"/>
        <v>#REF!</v>
      </c>
      <c r="DL213" t="e">
        <f t="shared" si="154"/>
        <v>#REF!</v>
      </c>
      <c r="DM213" t="e">
        <f t="shared" si="154"/>
        <v>#REF!</v>
      </c>
      <c r="DN213" t="e">
        <f t="shared" si="154"/>
        <v>#REF!</v>
      </c>
      <c r="DO213" t="e">
        <f t="shared" si="154"/>
        <v>#REF!</v>
      </c>
      <c r="DP213" t="e">
        <f t="shared" si="154"/>
        <v>#REF!</v>
      </c>
      <c r="DQ213" t="e">
        <f t="shared" si="154"/>
        <v>#REF!</v>
      </c>
      <c r="DR213" t="e">
        <f t="shared" si="154"/>
        <v>#REF!</v>
      </c>
      <c r="DS213" t="e">
        <f t="shared" si="154"/>
        <v>#REF!</v>
      </c>
      <c r="DT213" t="e">
        <f t="shared" si="154"/>
        <v>#REF!</v>
      </c>
      <c r="DU213" t="e">
        <f t="shared" si="154"/>
        <v>#REF!</v>
      </c>
      <c r="DV213" t="e">
        <f t="shared" si="154"/>
        <v>#REF!</v>
      </c>
      <c r="DW213" t="e">
        <f t="shared" si="153"/>
        <v>#REF!</v>
      </c>
      <c r="DX213" t="e">
        <f t="shared" si="153"/>
        <v>#REF!</v>
      </c>
      <c r="DY213" t="e">
        <f t="shared" si="153"/>
        <v>#REF!</v>
      </c>
      <c r="DZ213" t="e">
        <f t="shared" si="153"/>
        <v>#REF!</v>
      </c>
      <c r="EA213" t="e">
        <f t="shared" si="153"/>
        <v>#REF!</v>
      </c>
      <c r="EB213" t="e">
        <f t="shared" si="153"/>
        <v>#REF!</v>
      </c>
      <c r="EC213" t="e">
        <f t="shared" si="153"/>
        <v>#REF!</v>
      </c>
      <c r="ED213" t="e">
        <f t="shared" si="153"/>
        <v>#REF!</v>
      </c>
      <c r="EE213" t="e">
        <f t="shared" si="153"/>
        <v>#REF!</v>
      </c>
      <c r="EF213" t="e">
        <f t="shared" si="153"/>
        <v>#REF!</v>
      </c>
      <c r="EG213" t="e">
        <f t="shared" si="153"/>
        <v>#REF!</v>
      </c>
      <c r="EH213" t="e">
        <f t="shared" si="165"/>
        <v>#REF!</v>
      </c>
      <c r="EI213" t="e">
        <f t="shared" si="165"/>
        <v>#REF!</v>
      </c>
      <c r="EJ213" t="e">
        <f t="shared" si="165"/>
        <v>#REF!</v>
      </c>
      <c r="EK213" t="e">
        <f t="shared" si="165"/>
        <v>#REF!</v>
      </c>
      <c r="EL213" t="e">
        <f t="shared" si="165"/>
        <v>#REF!</v>
      </c>
      <c r="EM213" t="e">
        <f t="shared" si="165"/>
        <v>#REF!</v>
      </c>
    </row>
    <row r="214" spans="1:143" x14ac:dyDescent="0.4">
      <c r="A214" t="str">
        <f t="shared" si="120"/>
        <v>X</v>
      </c>
      <c r="B214">
        <v>211</v>
      </c>
      <c r="C214" t="e" cm="1">
        <f t="array" ref="C214">INDEX(auto_Series_Code,B214)</f>
        <v>#REF!</v>
      </c>
      <c r="D214" t="e">
        <f t="shared" si="156"/>
        <v>#REF!</v>
      </c>
      <c r="E214" t="e">
        <f t="shared" si="156"/>
        <v>#REF!</v>
      </c>
      <c r="F214" t="e">
        <f t="shared" si="156"/>
        <v>#REF!</v>
      </c>
      <c r="G214" t="e">
        <f t="shared" si="156"/>
        <v>#REF!</v>
      </c>
      <c r="H214" t="e">
        <f t="shared" si="156"/>
        <v>#REF!</v>
      </c>
      <c r="I214" t="e">
        <f t="shared" si="156"/>
        <v>#REF!</v>
      </c>
      <c r="J214" t="e">
        <f t="shared" si="156"/>
        <v>#REF!</v>
      </c>
      <c r="K214" t="e">
        <f t="shared" si="156"/>
        <v>#REF!</v>
      </c>
      <c r="L214" t="e">
        <f t="shared" si="156"/>
        <v>#REF!</v>
      </c>
      <c r="M214" t="e">
        <f t="shared" si="156"/>
        <v>#REF!</v>
      </c>
      <c r="N214" t="e">
        <f t="shared" si="156"/>
        <v>#REF!</v>
      </c>
      <c r="O214" t="e">
        <f t="shared" si="156"/>
        <v>#REF!</v>
      </c>
      <c r="P214" t="e">
        <f t="shared" si="156"/>
        <v>#REF!</v>
      </c>
      <c r="Q214" t="e">
        <f t="shared" si="156"/>
        <v>#REF!</v>
      </c>
      <c r="R214" t="e">
        <f t="shared" si="156"/>
        <v>#REF!</v>
      </c>
      <c r="S214" t="e">
        <f t="shared" si="156"/>
        <v>#REF!</v>
      </c>
      <c r="T214" t="e">
        <f t="shared" si="155"/>
        <v>#REF!</v>
      </c>
      <c r="U214" t="e">
        <f t="shared" si="155"/>
        <v>#REF!</v>
      </c>
      <c r="V214" t="e">
        <f t="shared" si="155"/>
        <v>#REF!</v>
      </c>
      <c r="W214" t="e">
        <f t="shared" si="155"/>
        <v>#REF!</v>
      </c>
      <c r="X214" t="e">
        <f t="shared" si="155"/>
        <v>#REF!</v>
      </c>
      <c r="Y214" t="e">
        <f t="shared" si="155"/>
        <v>#REF!</v>
      </c>
      <c r="Z214" t="e">
        <f t="shared" si="155"/>
        <v>#REF!</v>
      </c>
      <c r="AA214" t="e">
        <f t="shared" si="155"/>
        <v>#REF!</v>
      </c>
      <c r="AB214" t="e">
        <f t="shared" si="155"/>
        <v>#REF!</v>
      </c>
      <c r="AC214" t="e">
        <f t="shared" si="155"/>
        <v>#REF!</v>
      </c>
      <c r="AD214" t="e">
        <f t="shared" si="155"/>
        <v>#REF!</v>
      </c>
      <c r="AE214" t="e">
        <f t="shared" si="155"/>
        <v>#REF!</v>
      </c>
      <c r="AF214" t="e">
        <f t="shared" si="155"/>
        <v>#REF!</v>
      </c>
      <c r="AG214" t="e">
        <f t="shared" si="155"/>
        <v>#REF!</v>
      </c>
      <c r="AH214" t="e">
        <f t="shared" si="157"/>
        <v>#REF!</v>
      </c>
      <c r="AI214" t="e">
        <f t="shared" si="157"/>
        <v>#REF!</v>
      </c>
      <c r="AJ214" t="e">
        <f t="shared" si="157"/>
        <v>#REF!</v>
      </c>
      <c r="AK214" t="e">
        <f t="shared" si="157"/>
        <v>#REF!</v>
      </c>
      <c r="AL214" t="e">
        <f t="shared" si="157"/>
        <v>#REF!</v>
      </c>
      <c r="AM214" t="e">
        <f t="shared" si="157"/>
        <v>#REF!</v>
      </c>
      <c r="AN214" t="e">
        <f t="shared" si="157"/>
        <v>#REF!</v>
      </c>
      <c r="AO214" t="e">
        <f t="shared" si="157"/>
        <v>#REF!</v>
      </c>
      <c r="AP214" t="e">
        <f t="shared" si="157"/>
        <v>#REF!</v>
      </c>
      <c r="AQ214" t="e">
        <f t="shared" si="157"/>
        <v>#REF!</v>
      </c>
      <c r="AR214" t="e">
        <f t="shared" si="157"/>
        <v>#REF!</v>
      </c>
      <c r="AS214" t="e">
        <f t="shared" si="160"/>
        <v>#REF!</v>
      </c>
      <c r="AT214" t="e">
        <f t="shared" si="160"/>
        <v>#REF!</v>
      </c>
      <c r="AU214" t="e">
        <f t="shared" si="160"/>
        <v>#REF!</v>
      </c>
      <c r="AV214" t="e">
        <f t="shared" si="160"/>
        <v>#REF!</v>
      </c>
      <c r="AW214" t="e">
        <f t="shared" si="160"/>
        <v>#REF!</v>
      </c>
      <c r="AX214" t="e">
        <f t="shared" si="160"/>
        <v>#REF!</v>
      </c>
      <c r="AY214" t="e">
        <f t="shared" si="160"/>
        <v>#REF!</v>
      </c>
      <c r="AZ214" t="e">
        <f t="shared" si="160"/>
        <v>#REF!</v>
      </c>
      <c r="BA214" t="e">
        <f t="shared" si="160"/>
        <v>#REF!</v>
      </c>
      <c r="BB214" t="e">
        <f t="shared" si="160"/>
        <v>#REF!</v>
      </c>
      <c r="BC214" t="e">
        <f t="shared" si="160"/>
        <v>#REF!</v>
      </c>
      <c r="BD214" t="e">
        <f t="shared" si="160"/>
        <v>#REF!</v>
      </c>
      <c r="BE214" t="e">
        <f t="shared" si="160"/>
        <v>#REF!</v>
      </c>
      <c r="BF214" t="e">
        <f t="shared" si="160"/>
        <v>#REF!</v>
      </c>
      <c r="BG214" t="e">
        <f t="shared" si="160"/>
        <v>#REF!</v>
      </c>
      <c r="BH214" t="e">
        <f t="shared" si="160"/>
        <v>#REF!</v>
      </c>
      <c r="BI214" t="e">
        <f t="shared" si="158"/>
        <v>#REF!</v>
      </c>
      <c r="BJ214" t="e">
        <f t="shared" si="158"/>
        <v>#REF!</v>
      </c>
      <c r="BK214" t="e">
        <f t="shared" si="158"/>
        <v>#REF!</v>
      </c>
      <c r="BL214" t="e">
        <f t="shared" si="158"/>
        <v>#REF!</v>
      </c>
      <c r="BM214" t="e">
        <f t="shared" si="158"/>
        <v>#REF!</v>
      </c>
      <c r="BN214" t="e">
        <f t="shared" si="158"/>
        <v>#REF!</v>
      </c>
      <c r="BO214" t="e">
        <f t="shared" si="158"/>
        <v>#REF!</v>
      </c>
      <c r="BP214" t="e">
        <f t="shared" si="158"/>
        <v>#REF!</v>
      </c>
      <c r="BQ214" t="e">
        <f t="shared" si="158"/>
        <v>#REF!</v>
      </c>
      <c r="BR214" t="e">
        <f t="shared" si="158"/>
        <v>#REF!</v>
      </c>
      <c r="BS214" t="e">
        <f t="shared" si="158"/>
        <v>#REF!</v>
      </c>
      <c r="BT214" t="e">
        <f t="shared" si="158"/>
        <v>#REF!</v>
      </c>
      <c r="BU214" t="e">
        <f t="shared" si="158"/>
        <v>#REF!</v>
      </c>
      <c r="BV214" t="e">
        <f t="shared" si="161"/>
        <v>#REF!</v>
      </c>
      <c r="BW214" t="e">
        <f t="shared" si="161"/>
        <v>#REF!</v>
      </c>
      <c r="BX214" t="e">
        <f t="shared" si="161"/>
        <v>#REF!</v>
      </c>
      <c r="BY214" t="e">
        <f t="shared" si="161"/>
        <v>#REF!</v>
      </c>
      <c r="BZ214" t="e">
        <f t="shared" si="161"/>
        <v>#REF!</v>
      </c>
      <c r="CA214" t="e">
        <f t="shared" si="161"/>
        <v>#REF!</v>
      </c>
      <c r="CB214" t="e">
        <f t="shared" si="161"/>
        <v>#REF!</v>
      </c>
      <c r="CC214" t="e">
        <f t="shared" si="161"/>
        <v>#REF!</v>
      </c>
      <c r="CD214" t="e">
        <f t="shared" si="161"/>
        <v>#REF!</v>
      </c>
      <c r="CE214" t="e">
        <f t="shared" si="161"/>
        <v>#REF!</v>
      </c>
      <c r="CF214" t="e">
        <f t="shared" si="163"/>
        <v>#REF!</v>
      </c>
      <c r="CG214" t="e">
        <f t="shared" si="163"/>
        <v>#REF!</v>
      </c>
      <c r="CH214" t="e">
        <f t="shared" si="163"/>
        <v>#REF!</v>
      </c>
      <c r="CI214" t="e">
        <f t="shared" si="163"/>
        <v>#REF!</v>
      </c>
      <c r="CJ214" t="e">
        <f t="shared" si="163"/>
        <v>#REF!</v>
      </c>
      <c r="CK214" t="e">
        <f t="shared" si="163"/>
        <v>#REF!</v>
      </c>
      <c r="CL214" t="e">
        <f t="shared" si="163"/>
        <v>#REF!</v>
      </c>
      <c r="CM214" t="e">
        <f t="shared" si="163"/>
        <v>#REF!</v>
      </c>
      <c r="CN214" t="e">
        <f t="shared" si="163"/>
        <v>#REF!</v>
      </c>
      <c r="CO214" t="e">
        <f t="shared" si="163"/>
        <v>#REF!</v>
      </c>
      <c r="CP214" t="e">
        <f t="shared" si="163"/>
        <v>#REF!</v>
      </c>
      <c r="CQ214" t="e">
        <f t="shared" si="163"/>
        <v>#REF!</v>
      </c>
      <c r="CR214" t="e">
        <f t="shared" si="163"/>
        <v>#REF!</v>
      </c>
      <c r="CS214" t="e">
        <f t="shared" si="163"/>
        <v>#REF!</v>
      </c>
      <c r="CT214" t="e">
        <f t="shared" si="163"/>
        <v>#REF!</v>
      </c>
      <c r="CU214" t="e">
        <f t="shared" si="163"/>
        <v>#REF!</v>
      </c>
      <c r="CV214" t="e">
        <f t="shared" si="166"/>
        <v>#REF!</v>
      </c>
      <c r="CW214" t="e">
        <f t="shared" si="166"/>
        <v>#REF!</v>
      </c>
      <c r="CX214" t="e">
        <f t="shared" si="166"/>
        <v>#REF!</v>
      </c>
      <c r="CY214" t="e">
        <f t="shared" si="166"/>
        <v>#REF!</v>
      </c>
      <c r="CZ214" t="e">
        <f t="shared" si="164"/>
        <v>#REF!</v>
      </c>
      <c r="DA214" t="e">
        <f t="shared" si="164"/>
        <v>#REF!</v>
      </c>
      <c r="DB214" t="e">
        <f t="shared" si="164"/>
        <v>#REF!</v>
      </c>
      <c r="DC214" t="e">
        <f t="shared" si="164"/>
        <v>#REF!</v>
      </c>
      <c r="DD214" t="e">
        <f t="shared" si="164"/>
        <v>#REF!</v>
      </c>
      <c r="DE214" t="e">
        <f t="shared" si="164"/>
        <v>#REF!</v>
      </c>
      <c r="DF214" t="e">
        <f t="shared" si="164"/>
        <v>#REF!</v>
      </c>
      <c r="DG214" t="e">
        <f t="shared" si="164"/>
        <v>#REF!</v>
      </c>
      <c r="DH214" t="e">
        <f t="shared" si="164"/>
        <v>#REF!</v>
      </c>
      <c r="DI214" t="e">
        <f t="shared" si="164"/>
        <v>#REF!</v>
      </c>
      <c r="DJ214" t="e">
        <f t="shared" si="154"/>
        <v>#REF!</v>
      </c>
      <c r="DK214" t="e">
        <f t="shared" si="154"/>
        <v>#REF!</v>
      </c>
      <c r="DL214" t="e">
        <f t="shared" si="154"/>
        <v>#REF!</v>
      </c>
      <c r="DM214" t="e">
        <f t="shared" si="154"/>
        <v>#REF!</v>
      </c>
      <c r="DN214" t="e">
        <f t="shared" si="154"/>
        <v>#REF!</v>
      </c>
      <c r="DO214" t="e">
        <f t="shared" si="154"/>
        <v>#REF!</v>
      </c>
      <c r="DP214" t="e">
        <f t="shared" si="154"/>
        <v>#REF!</v>
      </c>
      <c r="DQ214" t="e">
        <f t="shared" si="154"/>
        <v>#REF!</v>
      </c>
      <c r="DR214" t="e">
        <f t="shared" si="154"/>
        <v>#REF!</v>
      </c>
      <c r="DS214" t="e">
        <f t="shared" si="154"/>
        <v>#REF!</v>
      </c>
      <c r="DT214" t="e">
        <f t="shared" si="154"/>
        <v>#REF!</v>
      </c>
      <c r="DU214" t="e">
        <f t="shared" si="154"/>
        <v>#REF!</v>
      </c>
      <c r="DV214" t="e">
        <f t="shared" si="154"/>
        <v>#REF!</v>
      </c>
      <c r="DW214" t="e">
        <f t="shared" si="153"/>
        <v>#REF!</v>
      </c>
      <c r="DX214" t="e">
        <f t="shared" si="153"/>
        <v>#REF!</v>
      </c>
      <c r="DY214" t="e">
        <f t="shared" si="153"/>
        <v>#REF!</v>
      </c>
      <c r="DZ214" t="e">
        <f t="shared" si="153"/>
        <v>#REF!</v>
      </c>
      <c r="EA214" t="e">
        <f t="shared" si="153"/>
        <v>#REF!</v>
      </c>
      <c r="EB214" t="e">
        <f t="shared" si="153"/>
        <v>#REF!</v>
      </c>
      <c r="EC214" t="e">
        <f t="shared" si="153"/>
        <v>#REF!</v>
      </c>
      <c r="ED214" t="e">
        <f t="shared" si="153"/>
        <v>#REF!</v>
      </c>
      <c r="EE214" t="e">
        <f t="shared" si="153"/>
        <v>#REF!</v>
      </c>
      <c r="EF214" t="e">
        <f t="shared" si="153"/>
        <v>#REF!</v>
      </c>
      <c r="EG214" t="e">
        <f t="shared" si="153"/>
        <v>#REF!</v>
      </c>
      <c r="EH214" t="e">
        <f t="shared" si="165"/>
        <v>#REF!</v>
      </c>
      <c r="EI214" t="e">
        <f t="shared" si="165"/>
        <v>#REF!</v>
      </c>
      <c r="EJ214" t="e">
        <f t="shared" si="165"/>
        <v>#REF!</v>
      </c>
      <c r="EK214" t="e">
        <f t="shared" si="165"/>
        <v>#REF!</v>
      </c>
      <c r="EL214" t="e">
        <f t="shared" si="165"/>
        <v>#REF!</v>
      </c>
      <c r="EM214" t="e">
        <f t="shared" si="165"/>
        <v>#REF!</v>
      </c>
    </row>
    <row r="215" spans="1:143" x14ac:dyDescent="0.4">
      <c r="A215" t="str">
        <f t="shared" si="120"/>
        <v>X</v>
      </c>
      <c r="B215">
        <v>212</v>
      </c>
      <c r="C215" t="e" cm="1">
        <f t="array" ref="C215">INDEX(auto_Series_Code,B215)</f>
        <v>#REF!</v>
      </c>
      <c r="D215" t="e">
        <f t="shared" si="156"/>
        <v>#REF!</v>
      </c>
      <c r="E215" t="e">
        <f t="shared" si="156"/>
        <v>#REF!</v>
      </c>
      <c r="F215" t="e">
        <f t="shared" si="156"/>
        <v>#REF!</v>
      </c>
      <c r="G215" t="e">
        <f t="shared" si="156"/>
        <v>#REF!</v>
      </c>
      <c r="H215" t="e">
        <f t="shared" si="156"/>
        <v>#REF!</v>
      </c>
      <c r="I215" t="e">
        <f t="shared" si="156"/>
        <v>#REF!</v>
      </c>
      <c r="J215" t="e">
        <f t="shared" si="156"/>
        <v>#REF!</v>
      </c>
      <c r="K215" t="e">
        <f t="shared" si="156"/>
        <v>#REF!</v>
      </c>
      <c r="L215" t="e">
        <f t="shared" si="156"/>
        <v>#REF!</v>
      </c>
      <c r="M215" t="e">
        <f t="shared" si="156"/>
        <v>#REF!</v>
      </c>
      <c r="N215" t="e">
        <f t="shared" si="156"/>
        <v>#REF!</v>
      </c>
      <c r="O215" t="e">
        <f t="shared" si="156"/>
        <v>#REF!</v>
      </c>
      <c r="P215" t="e">
        <f t="shared" si="156"/>
        <v>#REF!</v>
      </c>
      <c r="Q215" t="e">
        <f t="shared" si="156"/>
        <v>#REF!</v>
      </c>
      <c r="R215" t="e">
        <f t="shared" si="156"/>
        <v>#REF!</v>
      </c>
      <c r="S215" t="e">
        <f t="shared" ref="S215:AH239" si="167">MATCH(CONCATENATE(S$3,"_",$C215),auto_DataFlat_UID,0)</f>
        <v>#REF!</v>
      </c>
      <c r="T215" t="e">
        <f t="shared" si="167"/>
        <v>#REF!</v>
      </c>
      <c r="U215" t="e">
        <f t="shared" si="167"/>
        <v>#REF!</v>
      </c>
      <c r="V215" t="e">
        <f t="shared" si="167"/>
        <v>#REF!</v>
      </c>
      <c r="W215" t="e">
        <f t="shared" si="167"/>
        <v>#REF!</v>
      </c>
      <c r="X215" t="e">
        <f t="shared" si="155"/>
        <v>#REF!</v>
      </c>
      <c r="Y215" t="e">
        <f t="shared" si="155"/>
        <v>#REF!</v>
      </c>
      <c r="Z215" t="e">
        <f t="shared" si="155"/>
        <v>#REF!</v>
      </c>
      <c r="AA215" t="e">
        <f t="shared" si="155"/>
        <v>#REF!</v>
      </c>
      <c r="AB215" t="e">
        <f t="shared" si="155"/>
        <v>#REF!</v>
      </c>
      <c r="AC215" t="e">
        <f t="shared" si="155"/>
        <v>#REF!</v>
      </c>
      <c r="AD215" t="e">
        <f t="shared" si="155"/>
        <v>#REF!</v>
      </c>
      <c r="AE215" t="e">
        <f t="shared" si="155"/>
        <v>#REF!</v>
      </c>
      <c r="AF215" t="e">
        <f t="shared" si="155"/>
        <v>#REF!</v>
      </c>
      <c r="AG215" t="e">
        <f t="shared" si="155"/>
        <v>#REF!</v>
      </c>
      <c r="AH215" t="e">
        <f t="shared" si="157"/>
        <v>#REF!</v>
      </c>
      <c r="AI215" t="e">
        <f t="shared" si="157"/>
        <v>#REF!</v>
      </c>
      <c r="AJ215" t="e">
        <f t="shared" si="157"/>
        <v>#REF!</v>
      </c>
      <c r="AK215" t="e">
        <f t="shared" si="157"/>
        <v>#REF!</v>
      </c>
      <c r="AL215" t="e">
        <f t="shared" si="157"/>
        <v>#REF!</v>
      </c>
      <c r="AM215" t="e">
        <f t="shared" si="157"/>
        <v>#REF!</v>
      </c>
      <c r="AN215" t="e">
        <f t="shared" si="157"/>
        <v>#REF!</v>
      </c>
      <c r="AO215" t="e">
        <f t="shared" si="157"/>
        <v>#REF!</v>
      </c>
      <c r="AP215" t="e">
        <f t="shared" si="157"/>
        <v>#REF!</v>
      </c>
      <c r="AQ215" t="e">
        <f t="shared" si="157"/>
        <v>#REF!</v>
      </c>
      <c r="AR215" t="e">
        <f t="shared" si="157"/>
        <v>#REF!</v>
      </c>
      <c r="AS215" t="e">
        <f t="shared" si="160"/>
        <v>#REF!</v>
      </c>
      <c r="AT215" t="e">
        <f t="shared" si="160"/>
        <v>#REF!</v>
      </c>
      <c r="AU215" t="e">
        <f t="shared" si="160"/>
        <v>#REF!</v>
      </c>
      <c r="AV215" t="e">
        <f t="shared" si="160"/>
        <v>#REF!</v>
      </c>
      <c r="AW215" t="e">
        <f t="shared" si="160"/>
        <v>#REF!</v>
      </c>
      <c r="AX215" t="e">
        <f t="shared" si="160"/>
        <v>#REF!</v>
      </c>
      <c r="AY215" t="e">
        <f t="shared" si="160"/>
        <v>#REF!</v>
      </c>
      <c r="AZ215" t="e">
        <f t="shared" si="160"/>
        <v>#REF!</v>
      </c>
      <c r="BA215" t="e">
        <f t="shared" si="160"/>
        <v>#REF!</v>
      </c>
      <c r="BB215" t="e">
        <f t="shared" si="160"/>
        <v>#REF!</v>
      </c>
      <c r="BC215" t="e">
        <f t="shared" si="160"/>
        <v>#REF!</v>
      </c>
      <c r="BD215" t="e">
        <f t="shared" si="160"/>
        <v>#REF!</v>
      </c>
      <c r="BE215" t="e">
        <f t="shared" si="160"/>
        <v>#REF!</v>
      </c>
      <c r="BF215" t="e">
        <f t="shared" si="160"/>
        <v>#REF!</v>
      </c>
      <c r="BG215" t="e">
        <f t="shared" si="160"/>
        <v>#REF!</v>
      </c>
      <c r="BH215" t="e">
        <f t="shared" si="160"/>
        <v>#REF!</v>
      </c>
      <c r="BI215" t="e">
        <f t="shared" si="158"/>
        <v>#REF!</v>
      </c>
      <c r="BJ215" t="e">
        <f t="shared" si="158"/>
        <v>#REF!</v>
      </c>
      <c r="BK215" t="e">
        <f t="shared" si="158"/>
        <v>#REF!</v>
      </c>
      <c r="BL215" t="e">
        <f t="shared" si="158"/>
        <v>#REF!</v>
      </c>
      <c r="BM215" t="e">
        <f t="shared" si="158"/>
        <v>#REF!</v>
      </c>
      <c r="BN215" t="e">
        <f t="shared" si="158"/>
        <v>#REF!</v>
      </c>
      <c r="BO215" t="e">
        <f t="shared" si="158"/>
        <v>#REF!</v>
      </c>
      <c r="BP215" t="e">
        <f t="shared" si="158"/>
        <v>#REF!</v>
      </c>
      <c r="BQ215" t="e">
        <f t="shared" si="158"/>
        <v>#REF!</v>
      </c>
      <c r="BR215" t="e">
        <f t="shared" si="158"/>
        <v>#REF!</v>
      </c>
      <c r="BS215" t="e">
        <f t="shared" si="158"/>
        <v>#REF!</v>
      </c>
      <c r="BT215" t="e">
        <f t="shared" si="158"/>
        <v>#REF!</v>
      </c>
      <c r="BU215" t="e">
        <f t="shared" si="158"/>
        <v>#REF!</v>
      </c>
      <c r="BV215" t="e">
        <f t="shared" si="161"/>
        <v>#REF!</v>
      </c>
      <c r="BW215" t="e">
        <f t="shared" si="161"/>
        <v>#REF!</v>
      </c>
      <c r="BX215" t="e">
        <f t="shared" si="161"/>
        <v>#REF!</v>
      </c>
      <c r="BY215" t="e">
        <f t="shared" si="161"/>
        <v>#REF!</v>
      </c>
      <c r="BZ215" t="e">
        <f t="shared" si="161"/>
        <v>#REF!</v>
      </c>
      <c r="CA215" t="e">
        <f t="shared" si="161"/>
        <v>#REF!</v>
      </c>
      <c r="CB215" t="e">
        <f t="shared" si="161"/>
        <v>#REF!</v>
      </c>
      <c r="CC215" t="e">
        <f t="shared" si="161"/>
        <v>#REF!</v>
      </c>
      <c r="CD215" t="e">
        <f t="shared" si="161"/>
        <v>#REF!</v>
      </c>
      <c r="CE215" t="e">
        <f t="shared" si="161"/>
        <v>#REF!</v>
      </c>
      <c r="CF215" t="e">
        <f t="shared" si="163"/>
        <v>#REF!</v>
      </c>
      <c r="CG215" t="e">
        <f t="shared" si="163"/>
        <v>#REF!</v>
      </c>
      <c r="CH215" t="e">
        <f t="shared" si="163"/>
        <v>#REF!</v>
      </c>
      <c r="CI215" t="e">
        <f t="shared" si="163"/>
        <v>#REF!</v>
      </c>
      <c r="CJ215" t="e">
        <f t="shared" si="163"/>
        <v>#REF!</v>
      </c>
      <c r="CK215" t="e">
        <f t="shared" si="163"/>
        <v>#REF!</v>
      </c>
      <c r="CL215" t="e">
        <f t="shared" si="163"/>
        <v>#REF!</v>
      </c>
      <c r="CM215" t="e">
        <f t="shared" si="163"/>
        <v>#REF!</v>
      </c>
      <c r="CN215" t="e">
        <f t="shared" si="163"/>
        <v>#REF!</v>
      </c>
      <c r="CO215" t="e">
        <f t="shared" si="163"/>
        <v>#REF!</v>
      </c>
      <c r="CP215" t="e">
        <f t="shared" si="163"/>
        <v>#REF!</v>
      </c>
      <c r="CQ215" t="e">
        <f t="shared" si="163"/>
        <v>#REF!</v>
      </c>
      <c r="CR215" t="e">
        <f t="shared" si="163"/>
        <v>#REF!</v>
      </c>
      <c r="CS215" t="e">
        <f t="shared" si="163"/>
        <v>#REF!</v>
      </c>
      <c r="CT215" t="e">
        <f t="shared" si="163"/>
        <v>#REF!</v>
      </c>
      <c r="CU215" t="e">
        <f t="shared" si="163"/>
        <v>#REF!</v>
      </c>
      <c r="CV215" t="e">
        <f t="shared" si="166"/>
        <v>#REF!</v>
      </c>
      <c r="CW215" t="e">
        <f t="shared" si="166"/>
        <v>#REF!</v>
      </c>
      <c r="CX215" t="e">
        <f t="shared" si="166"/>
        <v>#REF!</v>
      </c>
      <c r="CY215" t="e">
        <f t="shared" si="166"/>
        <v>#REF!</v>
      </c>
      <c r="CZ215" t="e">
        <f t="shared" si="164"/>
        <v>#REF!</v>
      </c>
      <c r="DA215" t="e">
        <f t="shared" si="164"/>
        <v>#REF!</v>
      </c>
      <c r="DB215" t="e">
        <f t="shared" si="164"/>
        <v>#REF!</v>
      </c>
      <c r="DC215" t="e">
        <f t="shared" si="164"/>
        <v>#REF!</v>
      </c>
      <c r="DD215" t="e">
        <f t="shared" si="164"/>
        <v>#REF!</v>
      </c>
      <c r="DE215" t="e">
        <f t="shared" si="164"/>
        <v>#REF!</v>
      </c>
      <c r="DF215" t="e">
        <f t="shared" si="164"/>
        <v>#REF!</v>
      </c>
      <c r="DG215" t="e">
        <f t="shared" si="164"/>
        <v>#REF!</v>
      </c>
      <c r="DH215" t="e">
        <f t="shared" si="164"/>
        <v>#REF!</v>
      </c>
      <c r="DI215" t="e">
        <f t="shared" si="164"/>
        <v>#REF!</v>
      </c>
      <c r="DJ215" t="e">
        <f t="shared" si="154"/>
        <v>#REF!</v>
      </c>
      <c r="DK215" t="e">
        <f t="shared" si="154"/>
        <v>#REF!</v>
      </c>
      <c r="DL215" t="e">
        <f t="shared" si="154"/>
        <v>#REF!</v>
      </c>
      <c r="DM215" t="e">
        <f t="shared" si="154"/>
        <v>#REF!</v>
      </c>
      <c r="DN215" t="e">
        <f t="shared" si="154"/>
        <v>#REF!</v>
      </c>
      <c r="DO215" t="e">
        <f t="shared" si="154"/>
        <v>#REF!</v>
      </c>
      <c r="DP215" t="e">
        <f t="shared" si="154"/>
        <v>#REF!</v>
      </c>
      <c r="DQ215" t="e">
        <f t="shared" si="154"/>
        <v>#REF!</v>
      </c>
      <c r="DR215" t="e">
        <f t="shared" si="154"/>
        <v>#REF!</v>
      </c>
      <c r="DS215" t="e">
        <f t="shared" si="154"/>
        <v>#REF!</v>
      </c>
      <c r="DT215" t="e">
        <f t="shared" si="154"/>
        <v>#REF!</v>
      </c>
      <c r="DU215" t="e">
        <f t="shared" si="154"/>
        <v>#REF!</v>
      </c>
      <c r="DV215" t="e">
        <f t="shared" si="154"/>
        <v>#REF!</v>
      </c>
      <c r="DW215" t="e">
        <f t="shared" si="153"/>
        <v>#REF!</v>
      </c>
      <c r="DX215" t="e">
        <f t="shared" si="153"/>
        <v>#REF!</v>
      </c>
      <c r="DY215" t="e">
        <f t="shared" si="153"/>
        <v>#REF!</v>
      </c>
      <c r="DZ215" t="e">
        <f t="shared" si="153"/>
        <v>#REF!</v>
      </c>
      <c r="EA215" t="e">
        <f t="shared" si="153"/>
        <v>#REF!</v>
      </c>
      <c r="EB215" t="e">
        <f t="shared" si="153"/>
        <v>#REF!</v>
      </c>
      <c r="EC215" t="e">
        <f t="shared" si="153"/>
        <v>#REF!</v>
      </c>
      <c r="ED215" t="e">
        <f t="shared" si="153"/>
        <v>#REF!</v>
      </c>
      <c r="EE215" t="e">
        <f t="shared" si="153"/>
        <v>#REF!</v>
      </c>
      <c r="EF215" t="e">
        <f t="shared" si="153"/>
        <v>#REF!</v>
      </c>
      <c r="EG215" t="e">
        <f t="shared" si="153"/>
        <v>#REF!</v>
      </c>
      <c r="EH215" t="e">
        <f t="shared" si="165"/>
        <v>#REF!</v>
      </c>
      <c r="EI215" t="e">
        <f t="shared" si="165"/>
        <v>#REF!</v>
      </c>
      <c r="EJ215" t="e">
        <f t="shared" si="165"/>
        <v>#REF!</v>
      </c>
      <c r="EK215" t="e">
        <f t="shared" si="165"/>
        <v>#REF!</v>
      </c>
      <c r="EL215" t="e">
        <f t="shared" si="165"/>
        <v>#REF!</v>
      </c>
      <c r="EM215" t="e">
        <f t="shared" si="165"/>
        <v>#REF!</v>
      </c>
    </row>
    <row r="216" spans="1:143" x14ac:dyDescent="0.4">
      <c r="A216" t="str">
        <f t="shared" si="120"/>
        <v>X</v>
      </c>
      <c r="B216">
        <v>213</v>
      </c>
      <c r="C216" t="e" cm="1">
        <f t="array" ref="C216">INDEX(auto_Series_Code,B216)</f>
        <v>#REF!</v>
      </c>
      <c r="D216" t="e">
        <f t="shared" ref="D216:S231" si="168">MATCH(CONCATENATE(D$3,"_",$C216),auto_DataFlat_UID,0)</f>
        <v>#REF!</v>
      </c>
      <c r="E216" t="e">
        <f t="shared" si="168"/>
        <v>#REF!</v>
      </c>
      <c r="F216" t="e">
        <f t="shared" si="168"/>
        <v>#REF!</v>
      </c>
      <c r="G216" t="e">
        <f t="shared" si="168"/>
        <v>#REF!</v>
      </c>
      <c r="H216" t="e">
        <f t="shared" si="168"/>
        <v>#REF!</v>
      </c>
      <c r="I216" t="e">
        <f t="shared" si="168"/>
        <v>#REF!</v>
      </c>
      <c r="J216" t="e">
        <f t="shared" si="168"/>
        <v>#REF!</v>
      </c>
      <c r="K216" t="e">
        <f t="shared" si="168"/>
        <v>#REF!</v>
      </c>
      <c r="L216" t="e">
        <f t="shared" si="168"/>
        <v>#REF!</v>
      </c>
      <c r="M216" t="e">
        <f t="shared" si="168"/>
        <v>#REF!</v>
      </c>
      <c r="N216" t="e">
        <f t="shared" si="168"/>
        <v>#REF!</v>
      </c>
      <c r="O216" t="e">
        <f t="shared" si="168"/>
        <v>#REF!</v>
      </c>
      <c r="P216" t="e">
        <f t="shared" si="168"/>
        <v>#REF!</v>
      </c>
      <c r="Q216" t="e">
        <f t="shared" si="168"/>
        <v>#REF!</v>
      </c>
      <c r="R216" t="e">
        <f t="shared" si="168"/>
        <v>#REF!</v>
      </c>
      <c r="S216" t="e">
        <f t="shared" si="168"/>
        <v>#REF!</v>
      </c>
      <c r="T216" t="e">
        <f t="shared" si="167"/>
        <v>#REF!</v>
      </c>
      <c r="U216" t="e">
        <f t="shared" si="167"/>
        <v>#REF!</v>
      </c>
      <c r="V216" t="e">
        <f t="shared" si="167"/>
        <v>#REF!</v>
      </c>
      <c r="W216" t="e">
        <f t="shared" si="167"/>
        <v>#REF!</v>
      </c>
      <c r="X216" t="e">
        <f t="shared" si="155"/>
        <v>#REF!</v>
      </c>
      <c r="Y216" t="e">
        <f t="shared" si="155"/>
        <v>#REF!</v>
      </c>
      <c r="Z216" t="e">
        <f t="shared" si="155"/>
        <v>#REF!</v>
      </c>
      <c r="AA216" t="e">
        <f t="shared" si="155"/>
        <v>#REF!</v>
      </c>
      <c r="AB216" t="e">
        <f t="shared" si="155"/>
        <v>#REF!</v>
      </c>
      <c r="AC216" t="e">
        <f t="shared" si="155"/>
        <v>#REF!</v>
      </c>
      <c r="AD216" t="e">
        <f t="shared" si="155"/>
        <v>#REF!</v>
      </c>
      <c r="AE216" t="e">
        <f t="shared" si="155"/>
        <v>#REF!</v>
      </c>
      <c r="AF216" t="e">
        <f t="shared" si="155"/>
        <v>#REF!</v>
      </c>
      <c r="AG216" t="e">
        <f t="shared" si="155"/>
        <v>#REF!</v>
      </c>
      <c r="AH216" t="e">
        <f t="shared" si="157"/>
        <v>#REF!</v>
      </c>
      <c r="AI216" t="e">
        <f t="shared" si="157"/>
        <v>#REF!</v>
      </c>
      <c r="AJ216" t="e">
        <f t="shared" si="157"/>
        <v>#REF!</v>
      </c>
      <c r="AK216" t="e">
        <f t="shared" si="157"/>
        <v>#REF!</v>
      </c>
      <c r="AL216" t="e">
        <f t="shared" si="157"/>
        <v>#REF!</v>
      </c>
      <c r="AM216" t="e">
        <f t="shared" si="157"/>
        <v>#REF!</v>
      </c>
      <c r="AN216" t="e">
        <f t="shared" si="157"/>
        <v>#REF!</v>
      </c>
      <c r="AO216" t="e">
        <f t="shared" si="157"/>
        <v>#REF!</v>
      </c>
      <c r="AP216" t="e">
        <f t="shared" si="157"/>
        <v>#REF!</v>
      </c>
      <c r="AQ216" t="e">
        <f t="shared" si="157"/>
        <v>#REF!</v>
      </c>
      <c r="AR216" t="e">
        <f t="shared" si="157"/>
        <v>#REF!</v>
      </c>
      <c r="AS216" t="e">
        <f t="shared" si="160"/>
        <v>#REF!</v>
      </c>
      <c r="AT216" t="e">
        <f t="shared" si="160"/>
        <v>#REF!</v>
      </c>
      <c r="AU216" t="e">
        <f t="shared" si="160"/>
        <v>#REF!</v>
      </c>
      <c r="AV216" t="e">
        <f t="shared" si="160"/>
        <v>#REF!</v>
      </c>
      <c r="AW216" t="e">
        <f t="shared" si="160"/>
        <v>#REF!</v>
      </c>
      <c r="AX216" t="e">
        <f t="shared" si="160"/>
        <v>#REF!</v>
      </c>
      <c r="AY216" t="e">
        <f t="shared" si="160"/>
        <v>#REF!</v>
      </c>
      <c r="AZ216" t="e">
        <f t="shared" si="160"/>
        <v>#REF!</v>
      </c>
      <c r="BA216" t="e">
        <f t="shared" si="160"/>
        <v>#REF!</v>
      </c>
      <c r="BB216" t="e">
        <f t="shared" si="160"/>
        <v>#REF!</v>
      </c>
      <c r="BC216" t="e">
        <f t="shared" si="160"/>
        <v>#REF!</v>
      </c>
      <c r="BD216" t="e">
        <f t="shared" si="160"/>
        <v>#REF!</v>
      </c>
      <c r="BE216" t="e">
        <f t="shared" si="160"/>
        <v>#REF!</v>
      </c>
      <c r="BF216" t="e">
        <f t="shared" si="160"/>
        <v>#REF!</v>
      </c>
      <c r="BG216" t="e">
        <f t="shared" si="160"/>
        <v>#REF!</v>
      </c>
      <c r="BH216" t="e">
        <f t="shared" si="160"/>
        <v>#REF!</v>
      </c>
      <c r="BI216" t="e">
        <f t="shared" si="158"/>
        <v>#REF!</v>
      </c>
      <c r="BJ216" t="e">
        <f t="shared" si="158"/>
        <v>#REF!</v>
      </c>
      <c r="BK216" t="e">
        <f t="shared" si="158"/>
        <v>#REF!</v>
      </c>
      <c r="BL216" t="e">
        <f t="shared" si="158"/>
        <v>#REF!</v>
      </c>
      <c r="BM216" t="e">
        <f t="shared" si="158"/>
        <v>#REF!</v>
      </c>
      <c r="BN216" t="e">
        <f t="shared" si="158"/>
        <v>#REF!</v>
      </c>
      <c r="BO216" t="e">
        <f t="shared" si="158"/>
        <v>#REF!</v>
      </c>
      <c r="BP216" t="e">
        <f t="shared" si="158"/>
        <v>#REF!</v>
      </c>
      <c r="BQ216" t="e">
        <f t="shared" si="158"/>
        <v>#REF!</v>
      </c>
      <c r="BR216" t="e">
        <f t="shared" si="158"/>
        <v>#REF!</v>
      </c>
      <c r="BS216" t="e">
        <f t="shared" si="158"/>
        <v>#REF!</v>
      </c>
      <c r="BT216" t="e">
        <f t="shared" si="158"/>
        <v>#REF!</v>
      </c>
      <c r="BU216" t="e">
        <f t="shared" si="158"/>
        <v>#REF!</v>
      </c>
      <c r="BV216" t="e">
        <f t="shared" si="161"/>
        <v>#REF!</v>
      </c>
      <c r="BW216" t="e">
        <f t="shared" si="161"/>
        <v>#REF!</v>
      </c>
      <c r="BX216" t="e">
        <f t="shared" si="161"/>
        <v>#REF!</v>
      </c>
      <c r="BY216" t="e">
        <f t="shared" si="161"/>
        <v>#REF!</v>
      </c>
      <c r="BZ216" t="e">
        <f t="shared" si="161"/>
        <v>#REF!</v>
      </c>
      <c r="CA216" t="e">
        <f t="shared" si="161"/>
        <v>#REF!</v>
      </c>
      <c r="CB216" t="e">
        <f t="shared" si="161"/>
        <v>#REF!</v>
      </c>
      <c r="CC216" t="e">
        <f t="shared" si="161"/>
        <v>#REF!</v>
      </c>
      <c r="CD216" t="e">
        <f t="shared" si="161"/>
        <v>#REF!</v>
      </c>
      <c r="CE216" t="e">
        <f t="shared" si="161"/>
        <v>#REF!</v>
      </c>
      <c r="CF216" t="e">
        <f t="shared" si="163"/>
        <v>#REF!</v>
      </c>
      <c r="CG216" t="e">
        <f t="shared" si="163"/>
        <v>#REF!</v>
      </c>
      <c r="CH216" t="e">
        <f t="shared" si="163"/>
        <v>#REF!</v>
      </c>
      <c r="CI216" t="e">
        <f t="shared" si="163"/>
        <v>#REF!</v>
      </c>
      <c r="CJ216" t="e">
        <f t="shared" si="163"/>
        <v>#REF!</v>
      </c>
      <c r="CK216" t="e">
        <f t="shared" si="163"/>
        <v>#REF!</v>
      </c>
      <c r="CL216" t="e">
        <f t="shared" si="163"/>
        <v>#REF!</v>
      </c>
      <c r="CM216" t="e">
        <f t="shared" si="163"/>
        <v>#REF!</v>
      </c>
      <c r="CN216" t="e">
        <f t="shared" si="163"/>
        <v>#REF!</v>
      </c>
      <c r="CO216" t="e">
        <f t="shared" si="163"/>
        <v>#REF!</v>
      </c>
      <c r="CP216" t="e">
        <f t="shared" si="163"/>
        <v>#REF!</v>
      </c>
      <c r="CQ216" t="e">
        <f t="shared" si="163"/>
        <v>#REF!</v>
      </c>
      <c r="CR216" t="e">
        <f t="shared" si="163"/>
        <v>#REF!</v>
      </c>
      <c r="CS216" t="e">
        <f t="shared" si="163"/>
        <v>#REF!</v>
      </c>
      <c r="CT216" t="e">
        <f t="shared" si="163"/>
        <v>#REF!</v>
      </c>
      <c r="CU216" t="e">
        <f t="shared" si="163"/>
        <v>#REF!</v>
      </c>
      <c r="CV216" t="e">
        <f t="shared" si="166"/>
        <v>#REF!</v>
      </c>
      <c r="CW216" t="e">
        <f t="shared" si="166"/>
        <v>#REF!</v>
      </c>
      <c r="CX216" t="e">
        <f t="shared" si="166"/>
        <v>#REF!</v>
      </c>
      <c r="CY216" t="e">
        <f t="shared" si="166"/>
        <v>#REF!</v>
      </c>
      <c r="CZ216" t="e">
        <f t="shared" si="164"/>
        <v>#REF!</v>
      </c>
      <c r="DA216" t="e">
        <f t="shared" si="164"/>
        <v>#REF!</v>
      </c>
      <c r="DB216" t="e">
        <f t="shared" si="164"/>
        <v>#REF!</v>
      </c>
      <c r="DC216" t="e">
        <f t="shared" si="164"/>
        <v>#REF!</v>
      </c>
      <c r="DD216" t="e">
        <f t="shared" si="164"/>
        <v>#REF!</v>
      </c>
      <c r="DE216" t="e">
        <f t="shared" si="164"/>
        <v>#REF!</v>
      </c>
      <c r="DF216" t="e">
        <f t="shared" si="164"/>
        <v>#REF!</v>
      </c>
      <c r="DG216" t="e">
        <f t="shared" si="164"/>
        <v>#REF!</v>
      </c>
      <c r="DH216" t="e">
        <f t="shared" si="164"/>
        <v>#REF!</v>
      </c>
      <c r="DI216" t="e">
        <f t="shared" si="164"/>
        <v>#REF!</v>
      </c>
      <c r="DJ216" t="e">
        <f t="shared" si="154"/>
        <v>#REF!</v>
      </c>
      <c r="DK216" t="e">
        <f t="shared" si="154"/>
        <v>#REF!</v>
      </c>
      <c r="DL216" t="e">
        <f t="shared" si="154"/>
        <v>#REF!</v>
      </c>
      <c r="DM216" t="e">
        <f t="shared" si="154"/>
        <v>#REF!</v>
      </c>
      <c r="DN216" t="e">
        <f t="shared" si="154"/>
        <v>#REF!</v>
      </c>
      <c r="DO216" t="e">
        <f t="shared" si="154"/>
        <v>#REF!</v>
      </c>
      <c r="DP216" t="e">
        <f t="shared" ref="DP216:DY216" si="169">MATCH(CONCATENATE(DP$3,"_",$C216),auto_DataFlat_UID,0)</f>
        <v>#REF!</v>
      </c>
      <c r="DQ216" t="e">
        <f t="shared" si="169"/>
        <v>#REF!</v>
      </c>
      <c r="DR216" t="e">
        <f t="shared" si="169"/>
        <v>#REF!</v>
      </c>
      <c r="DS216" t="e">
        <f t="shared" si="169"/>
        <v>#REF!</v>
      </c>
      <c r="DT216" t="e">
        <f t="shared" si="169"/>
        <v>#REF!</v>
      </c>
      <c r="DU216" t="e">
        <f t="shared" si="169"/>
        <v>#REF!</v>
      </c>
      <c r="DV216" t="e">
        <f t="shared" si="169"/>
        <v>#REF!</v>
      </c>
      <c r="DW216" t="e">
        <f t="shared" si="169"/>
        <v>#REF!</v>
      </c>
      <c r="DX216" t="e">
        <f t="shared" si="169"/>
        <v>#REF!</v>
      </c>
      <c r="DY216" t="e">
        <f t="shared" si="169"/>
        <v>#REF!</v>
      </c>
      <c r="DZ216" t="e">
        <f t="shared" si="153"/>
        <v>#REF!</v>
      </c>
      <c r="EA216" t="e">
        <f t="shared" si="153"/>
        <v>#REF!</v>
      </c>
      <c r="EB216" t="e">
        <f t="shared" si="153"/>
        <v>#REF!</v>
      </c>
      <c r="EC216" t="e">
        <f t="shared" si="153"/>
        <v>#REF!</v>
      </c>
      <c r="ED216" t="e">
        <f t="shared" si="153"/>
        <v>#REF!</v>
      </c>
      <c r="EE216" t="e">
        <f t="shared" si="153"/>
        <v>#REF!</v>
      </c>
      <c r="EF216" t="e">
        <f t="shared" si="153"/>
        <v>#REF!</v>
      </c>
      <c r="EG216" t="e">
        <f t="shared" si="153"/>
        <v>#REF!</v>
      </c>
      <c r="EH216" t="e">
        <f t="shared" si="165"/>
        <v>#REF!</v>
      </c>
      <c r="EI216" t="e">
        <f t="shared" si="165"/>
        <v>#REF!</v>
      </c>
      <c r="EJ216" t="e">
        <f t="shared" si="165"/>
        <v>#REF!</v>
      </c>
      <c r="EK216" t="e">
        <f t="shared" si="165"/>
        <v>#REF!</v>
      </c>
      <c r="EL216" t="e">
        <f t="shared" si="165"/>
        <v>#REF!</v>
      </c>
      <c r="EM216" t="e">
        <f t="shared" si="165"/>
        <v>#REF!</v>
      </c>
    </row>
    <row r="217" spans="1:143" x14ac:dyDescent="0.4">
      <c r="A217" t="str">
        <f t="shared" ref="A217:A262" si="170">IF(ISERROR(C217),"X","")</f>
        <v>X</v>
      </c>
      <c r="B217">
        <v>214</v>
      </c>
      <c r="C217" t="e" cm="1">
        <f t="array" ref="C217">INDEX(auto_Series_Code,B217)</f>
        <v>#REF!</v>
      </c>
      <c r="D217" t="e">
        <f t="shared" si="168"/>
        <v>#REF!</v>
      </c>
      <c r="E217" t="e">
        <f t="shared" si="168"/>
        <v>#REF!</v>
      </c>
      <c r="F217" t="e">
        <f t="shared" si="168"/>
        <v>#REF!</v>
      </c>
      <c r="G217" t="e">
        <f t="shared" si="168"/>
        <v>#REF!</v>
      </c>
      <c r="H217" t="e">
        <f t="shared" si="168"/>
        <v>#REF!</v>
      </c>
      <c r="I217" t="e">
        <f t="shared" si="168"/>
        <v>#REF!</v>
      </c>
      <c r="J217" t="e">
        <f t="shared" si="168"/>
        <v>#REF!</v>
      </c>
      <c r="K217" t="e">
        <f t="shared" si="168"/>
        <v>#REF!</v>
      </c>
      <c r="L217" t="e">
        <f t="shared" si="168"/>
        <v>#REF!</v>
      </c>
      <c r="M217" t="e">
        <f t="shared" si="168"/>
        <v>#REF!</v>
      </c>
      <c r="N217" t="e">
        <f t="shared" si="168"/>
        <v>#REF!</v>
      </c>
      <c r="O217" t="e">
        <f t="shared" si="168"/>
        <v>#REF!</v>
      </c>
      <c r="P217" t="e">
        <f t="shared" si="168"/>
        <v>#REF!</v>
      </c>
      <c r="Q217" t="e">
        <f t="shared" si="168"/>
        <v>#REF!</v>
      </c>
      <c r="R217" t="e">
        <f t="shared" si="168"/>
        <v>#REF!</v>
      </c>
      <c r="S217" t="e">
        <f t="shared" si="168"/>
        <v>#REF!</v>
      </c>
      <c r="T217" t="e">
        <f t="shared" si="167"/>
        <v>#REF!</v>
      </c>
      <c r="U217" t="e">
        <f t="shared" si="167"/>
        <v>#REF!</v>
      </c>
      <c r="V217" t="e">
        <f t="shared" si="167"/>
        <v>#REF!</v>
      </c>
      <c r="W217" t="e">
        <f t="shared" si="167"/>
        <v>#REF!</v>
      </c>
      <c r="X217" t="e">
        <f t="shared" si="155"/>
        <v>#REF!</v>
      </c>
      <c r="Y217" t="e">
        <f t="shared" si="155"/>
        <v>#REF!</v>
      </c>
      <c r="Z217" t="e">
        <f t="shared" si="155"/>
        <v>#REF!</v>
      </c>
      <c r="AA217" t="e">
        <f t="shared" si="155"/>
        <v>#REF!</v>
      </c>
      <c r="AB217" t="e">
        <f t="shared" si="155"/>
        <v>#REF!</v>
      </c>
      <c r="AC217" t="e">
        <f t="shared" si="155"/>
        <v>#REF!</v>
      </c>
      <c r="AD217" t="e">
        <f t="shared" si="155"/>
        <v>#REF!</v>
      </c>
      <c r="AE217" t="e">
        <f t="shared" si="155"/>
        <v>#REF!</v>
      </c>
      <c r="AF217" t="e">
        <f t="shared" si="155"/>
        <v>#REF!</v>
      </c>
      <c r="AG217" t="e">
        <f t="shared" si="155"/>
        <v>#REF!</v>
      </c>
      <c r="AH217" t="e">
        <f t="shared" si="157"/>
        <v>#REF!</v>
      </c>
      <c r="AI217" t="e">
        <f t="shared" si="157"/>
        <v>#REF!</v>
      </c>
      <c r="AJ217" t="e">
        <f t="shared" si="157"/>
        <v>#REF!</v>
      </c>
      <c r="AK217" t="e">
        <f t="shared" si="157"/>
        <v>#REF!</v>
      </c>
      <c r="AL217" t="e">
        <f t="shared" si="157"/>
        <v>#REF!</v>
      </c>
      <c r="AM217" t="e">
        <f t="shared" si="157"/>
        <v>#REF!</v>
      </c>
      <c r="AN217" t="e">
        <f t="shared" si="157"/>
        <v>#REF!</v>
      </c>
      <c r="AO217" t="e">
        <f t="shared" si="157"/>
        <v>#REF!</v>
      </c>
      <c r="AP217" t="e">
        <f t="shared" si="157"/>
        <v>#REF!</v>
      </c>
      <c r="AQ217" t="e">
        <f t="shared" si="157"/>
        <v>#REF!</v>
      </c>
      <c r="AR217" t="e">
        <f t="shared" si="157"/>
        <v>#REF!</v>
      </c>
      <c r="AS217" t="e">
        <f t="shared" si="160"/>
        <v>#REF!</v>
      </c>
      <c r="AT217" t="e">
        <f t="shared" si="160"/>
        <v>#REF!</v>
      </c>
      <c r="AU217" t="e">
        <f t="shared" si="160"/>
        <v>#REF!</v>
      </c>
      <c r="AV217" t="e">
        <f t="shared" si="160"/>
        <v>#REF!</v>
      </c>
      <c r="AW217" t="e">
        <f t="shared" si="160"/>
        <v>#REF!</v>
      </c>
      <c r="AX217" t="e">
        <f t="shared" si="160"/>
        <v>#REF!</v>
      </c>
      <c r="AY217" t="e">
        <f t="shared" si="160"/>
        <v>#REF!</v>
      </c>
      <c r="AZ217" t="e">
        <f t="shared" si="160"/>
        <v>#REF!</v>
      </c>
      <c r="BA217" t="e">
        <f t="shared" si="160"/>
        <v>#REF!</v>
      </c>
      <c r="BB217" t="e">
        <f t="shared" si="160"/>
        <v>#REF!</v>
      </c>
      <c r="BC217" t="e">
        <f t="shared" si="160"/>
        <v>#REF!</v>
      </c>
      <c r="BD217" t="e">
        <f t="shared" si="160"/>
        <v>#REF!</v>
      </c>
      <c r="BE217" t="e">
        <f t="shared" si="160"/>
        <v>#REF!</v>
      </c>
      <c r="BF217" t="e">
        <f t="shared" si="160"/>
        <v>#REF!</v>
      </c>
      <c r="BG217" t="e">
        <f t="shared" si="160"/>
        <v>#REF!</v>
      </c>
      <c r="BH217" t="e">
        <f t="shared" si="160"/>
        <v>#REF!</v>
      </c>
      <c r="BI217" t="e">
        <f t="shared" si="158"/>
        <v>#REF!</v>
      </c>
      <c r="BJ217" t="e">
        <f t="shared" si="158"/>
        <v>#REF!</v>
      </c>
      <c r="BK217" t="e">
        <f t="shared" si="158"/>
        <v>#REF!</v>
      </c>
      <c r="BL217" t="e">
        <f t="shared" si="158"/>
        <v>#REF!</v>
      </c>
      <c r="BM217" t="e">
        <f t="shared" si="158"/>
        <v>#REF!</v>
      </c>
      <c r="BN217" t="e">
        <f t="shared" si="158"/>
        <v>#REF!</v>
      </c>
      <c r="BO217" t="e">
        <f t="shared" si="158"/>
        <v>#REF!</v>
      </c>
      <c r="BP217" t="e">
        <f t="shared" si="158"/>
        <v>#REF!</v>
      </c>
      <c r="BQ217" t="e">
        <f t="shared" si="158"/>
        <v>#REF!</v>
      </c>
      <c r="BR217" t="e">
        <f t="shared" si="158"/>
        <v>#REF!</v>
      </c>
      <c r="BS217" t="e">
        <f t="shared" si="158"/>
        <v>#REF!</v>
      </c>
      <c r="BT217" t="e">
        <f t="shared" si="158"/>
        <v>#REF!</v>
      </c>
      <c r="BU217" t="e">
        <f t="shared" si="158"/>
        <v>#REF!</v>
      </c>
      <c r="BV217" t="e">
        <f t="shared" si="161"/>
        <v>#REF!</v>
      </c>
      <c r="BW217" t="e">
        <f t="shared" si="161"/>
        <v>#REF!</v>
      </c>
      <c r="BX217" t="e">
        <f t="shared" si="161"/>
        <v>#REF!</v>
      </c>
      <c r="BY217" t="e">
        <f t="shared" si="161"/>
        <v>#REF!</v>
      </c>
      <c r="BZ217" t="e">
        <f t="shared" si="161"/>
        <v>#REF!</v>
      </c>
      <c r="CA217" t="e">
        <f t="shared" si="161"/>
        <v>#REF!</v>
      </c>
      <c r="CB217" t="e">
        <f t="shared" si="161"/>
        <v>#REF!</v>
      </c>
      <c r="CC217" t="e">
        <f t="shared" si="161"/>
        <v>#REF!</v>
      </c>
      <c r="CD217" t="e">
        <f t="shared" si="161"/>
        <v>#REF!</v>
      </c>
      <c r="CE217" t="e">
        <f t="shared" si="161"/>
        <v>#REF!</v>
      </c>
      <c r="CF217" t="e">
        <f t="shared" si="163"/>
        <v>#REF!</v>
      </c>
      <c r="CG217" t="e">
        <f t="shared" si="163"/>
        <v>#REF!</v>
      </c>
      <c r="CH217" t="e">
        <f t="shared" si="163"/>
        <v>#REF!</v>
      </c>
      <c r="CI217" t="e">
        <f t="shared" si="163"/>
        <v>#REF!</v>
      </c>
      <c r="CJ217" t="e">
        <f t="shared" si="163"/>
        <v>#REF!</v>
      </c>
      <c r="CK217" t="e">
        <f t="shared" si="163"/>
        <v>#REF!</v>
      </c>
      <c r="CL217" t="e">
        <f t="shared" si="163"/>
        <v>#REF!</v>
      </c>
      <c r="CM217" t="e">
        <f t="shared" si="163"/>
        <v>#REF!</v>
      </c>
      <c r="CN217" t="e">
        <f t="shared" si="163"/>
        <v>#REF!</v>
      </c>
      <c r="CO217" t="e">
        <f t="shared" si="163"/>
        <v>#REF!</v>
      </c>
      <c r="CP217" t="e">
        <f t="shared" si="163"/>
        <v>#REF!</v>
      </c>
      <c r="CQ217" t="e">
        <f t="shared" si="163"/>
        <v>#REF!</v>
      </c>
      <c r="CR217" t="e">
        <f t="shared" si="163"/>
        <v>#REF!</v>
      </c>
      <c r="CS217" t="e">
        <f t="shared" si="163"/>
        <v>#REF!</v>
      </c>
      <c r="CT217" t="e">
        <f t="shared" si="163"/>
        <v>#REF!</v>
      </c>
      <c r="CU217" t="e">
        <f t="shared" si="163"/>
        <v>#REF!</v>
      </c>
      <c r="CV217" t="e">
        <f t="shared" si="166"/>
        <v>#REF!</v>
      </c>
      <c r="CW217" t="e">
        <f t="shared" si="166"/>
        <v>#REF!</v>
      </c>
      <c r="CX217" t="e">
        <f t="shared" si="166"/>
        <v>#REF!</v>
      </c>
      <c r="CY217" t="e">
        <f t="shared" si="166"/>
        <v>#REF!</v>
      </c>
      <c r="CZ217" t="e">
        <f t="shared" si="164"/>
        <v>#REF!</v>
      </c>
      <c r="DA217" t="e">
        <f t="shared" si="164"/>
        <v>#REF!</v>
      </c>
      <c r="DB217" t="e">
        <f t="shared" si="164"/>
        <v>#REF!</v>
      </c>
      <c r="DC217" t="e">
        <f t="shared" si="164"/>
        <v>#REF!</v>
      </c>
      <c r="DD217" t="e">
        <f t="shared" si="164"/>
        <v>#REF!</v>
      </c>
      <c r="DE217" t="e">
        <f t="shared" si="164"/>
        <v>#REF!</v>
      </c>
      <c r="DF217" t="e">
        <f t="shared" si="164"/>
        <v>#REF!</v>
      </c>
      <c r="DG217" t="e">
        <f t="shared" si="164"/>
        <v>#REF!</v>
      </c>
      <c r="DH217" t="e">
        <f t="shared" si="164"/>
        <v>#REF!</v>
      </c>
      <c r="DI217" t="e">
        <f t="shared" si="164"/>
        <v>#REF!</v>
      </c>
      <c r="DJ217" t="e">
        <f t="shared" si="164"/>
        <v>#REF!</v>
      </c>
      <c r="DK217" t="e">
        <f t="shared" si="164"/>
        <v>#REF!</v>
      </c>
      <c r="DL217" t="e">
        <f t="shared" si="164"/>
        <v>#REF!</v>
      </c>
      <c r="DM217" t="e">
        <f t="shared" si="164"/>
        <v>#REF!</v>
      </c>
      <c r="DN217" t="e">
        <f t="shared" ref="DN217:EC260" si="171">MATCH(CONCATENATE(DN$3,"_",$C217),auto_DataFlat_UID,0)</f>
        <v>#REF!</v>
      </c>
      <c r="DO217" t="e">
        <f t="shared" si="171"/>
        <v>#REF!</v>
      </c>
      <c r="DP217" t="e">
        <f t="shared" si="171"/>
        <v>#REF!</v>
      </c>
      <c r="DQ217" t="e">
        <f t="shared" si="171"/>
        <v>#REF!</v>
      </c>
      <c r="DR217" t="e">
        <f t="shared" si="171"/>
        <v>#REF!</v>
      </c>
      <c r="DS217" t="e">
        <f t="shared" si="171"/>
        <v>#REF!</v>
      </c>
      <c r="DT217" t="e">
        <f t="shared" si="171"/>
        <v>#REF!</v>
      </c>
      <c r="DU217" t="e">
        <f t="shared" si="171"/>
        <v>#REF!</v>
      </c>
      <c r="DV217" t="e">
        <f t="shared" si="171"/>
        <v>#REF!</v>
      </c>
      <c r="DW217" t="e">
        <f t="shared" si="171"/>
        <v>#REF!</v>
      </c>
      <c r="DX217" t="e">
        <f t="shared" si="171"/>
        <v>#REF!</v>
      </c>
      <c r="DY217" t="e">
        <f t="shared" si="171"/>
        <v>#REF!</v>
      </c>
      <c r="DZ217" t="e">
        <f t="shared" si="153"/>
        <v>#REF!</v>
      </c>
      <c r="EA217" t="e">
        <f t="shared" si="153"/>
        <v>#REF!</v>
      </c>
      <c r="EB217" t="e">
        <f t="shared" si="153"/>
        <v>#REF!</v>
      </c>
      <c r="EC217" t="e">
        <f t="shared" si="153"/>
        <v>#REF!</v>
      </c>
      <c r="ED217" t="e">
        <f t="shared" si="153"/>
        <v>#REF!</v>
      </c>
      <c r="EE217" t="e">
        <f t="shared" si="153"/>
        <v>#REF!</v>
      </c>
      <c r="EF217" t="e">
        <f t="shared" si="153"/>
        <v>#REF!</v>
      </c>
      <c r="EG217" t="e">
        <f t="shared" si="153"/>
        <v>#REF!</v>
      </c>
      <c r="EH217" t="e">
        <f t="shared" si="165"/>
        <v>#REF!</v>
      </c>
      <c r="EI217" t="e">
        <f t="shared" si="165"/>
        <v>#REF!</v>
      </c>
      <c r="EJ217" t="e">
        <f t="shared" si="165"/>
        <v>#REF!</v>
      </c>
      <c r="EK217" t="e">
        <f t="shared" si="165"/>
        <v>#REF!</v>
      </c>
      <c r="EL217" t="e">
        <f t="shared" si="165"/>
        <v>#REF!</v>
      </c>
      <c r="EM217" t="e">
        <f t="shared" si="165"/>
        <v>#REF!</v>
      </c>
    </row>
    <row r="218" spans="1:143" x14ac:dyDescent="0.4">
      <c r="A218" t="str">
        <f t="shared" si="170"/>
        <v>X</v>
      </c>
      <c r="B218">
        <v>215</v>
      </c>
      <c r="C218" t="e" cm="1">
        <f t="array" ref="C218">INDEX(auto_Series_Code,B218)</f>
        <v>#REF!</v>
      </c>
      <c r="D218" t="e">
        <f t="shared" si="168"/>
        <v>#REF!</v>
      </c>
      <c r="E218" t="e">
        <f t="shared" si="168"/>
        <v>#REF!</v>
      </c>
      <c r="F218" t="e">
        <f t="shared" si="168"/>
        <v>#REF!</v>
      </c>
      <c r="G218" t="e">
        <f t="shared" si="168"/>
        <v>#REF!</v>
      </c>
      <c r="H218" t="e">
        <f t="shared" si="168"/>
        <v>#REF!</v>
      </c>
      <c r="I218" t="e">
        <f t="shared" si="168"/>
        <v>#REF!</v>
      </c>
      <c r="J218" t="e">
        <f t="shared" si="168"/>
        <v>#REF!</v>
      </c>
      <c r="K218" t="e">
        <f t="shared" si="168"/>
        <v>#REF!</v>
      </c>
      <c r="L218" t="e">
        <f t="shared" si="168"/>
        <v>#REF!</v>
      </c>
      <c r="M218" t="e">
        <f t="shared" si="168"/>
        <v>#REF!</v>
      </c>
      <c r="N218" t="e">
        <f t="shared" si="168"/>
        <v>#REF!</v>
      </c>
      <c r="O218" t="e">
        <f t="shared" si="168"/>
        <v>#REF!</v>
      </c>
      <c r="P218" t="e">
        <f t="shared" si="168"/>
        <v>#REF!</v>
      </c>
      <c r="Q218" t="e">
        <f t="shared" si="168"/>
        <v>#REF!</v>
      </c>
      <c r="R218" t="e">
        <f t="shared" si="168"/>
        <v>#REF!</v>
      </c>
      <c r="S218" t="e">
        <f t="shared" si="168"/>
        <v>#REF!</v>
      </c>
      <c r="T218" t="e">
        <f t="shared" si="167"/>
        <v>#REF!</v>
      </c>
      <c r="U218" t="e">
        <f t="shared" si="167"/>
        <v>#REF!</v>
      </c>
      <c r="V218" t="e">
        <f t="shared" si="167"/>
        <v>#REF!</v>
      </c>
      <c r="W218" t="e">
        <f t="shared" si="167"/>
        <v>#REF!</v>
      </c>
      <c r="X218" t="e">
        <f t="shared" si="155"/>
        <v>#REF!</v>
      </c>
      <c r="Y218" t="e">
        <f t="shared" si="155"/>
        <v>#REF!</v>
      </c>
      <c r="Z218" t="e">
        <f t="shared" si="155"/>
        <v>#REF!</v>
      </c>
      <c r="AA218" t="e">
        <f t="shared" si="155"/>
        <v>#REF!</v>
      </c>
      <c r="AB218" t="e">
        <f t="shared" si="155"/>
        <v>#REF!</v>
      </c>
      <c r="AC218" t="e">
        <f t="shared" si="155"/>
        <v>#REF!</v>
      </c>
      <c r="AD218" t="e">
        <f t="shared" si="155"/>
        <v>#REF!</v>
      </c>
      <c r="AE218" t="e">
        <f t="shared" si="155"/>
        <v>#REF!</v>
      </c>
      <c r="AF218" t="e">
        <f t="shared" si="155"/>
        <v>#REF!</v>
      </c>
      <c r="AG218" t="e">
        <f t="shared" si="155"/>
        <v>#REF!</v>
      </c>
      <c r="AH218" t="e">
        <f t="shared" si="157"/>
        <v>#REF!</v>
      </c>
      <c r="AI218" t="e">
        <f t="shared" si="157"/>
        <v>#REF!</v>
      </c>
      <c r="AJ218" t="e">
        <f t="shared" si="157"/>
        <v>#REF!</v>
      </c>
      <c r="AK218" t="e">
        <f t="shared" si="157"/>
        <v>#REF!</v>
      </c>
      <c r="AL218" t="e">
        <f t="shared" si="157"/>
        <v>#REF!</v>
      </c>
      <c r="AM218" t="e">
        <f t="shared" si="157"/>
        <v>#REF!</v>
      </c>
      <c r="AN218" t="e">
        <f t="shared" si="157"/>
        <v>#REF!</v>
      </c>
      <c r="AO218" t="e">
        <f t="shared" si="157"/>
        <v>#REF!</v>
      </c>
      <c r="AP218" t="e">
        <f t="shared" si="157"/>
        <v>#REF!</v>
      </c>
      <c r="AQ218" t="e">
        <f t="shared" si="157"/>
        <v>#REF!</v>
      </c>
      <c r="AR218" t="e">
        <f t="shared" si="157"/>
        <v>#REF!</v>
      </c>
      <c r="AS218" t="e">
        <f t="shared" si="160"/>
        <v>#REF!</v>
      </c>
      <c r="AT218" t="e">
        <f t="shared" si="160"/>
        <v>#REF!</v>
      </c>
      <c r="AU218" t="e">
        <f t="shared" si="160"/>
        <v>#REF!</v>
      </c>
      <c r="AV218" t="e">
        <f t="shared" si="160"/>
        <v>#REF!</v>
      </c>
      <c r="AW218" t="e">
        <f t="shared" si="160"/>
        <v>#REF!</v>
      </c>
      <c r="AX218" t="e">
        <f t="shared" si="160"/>
        <v>#REF!</v>
      </c>
      <c r="AY218" t="e">
        <f t="shared" si="160"/>
        <v>#REF!</v>
      </c>
      <c r="AZ218" t="e">
        <f t="shared" si="160"/>
        <v>#REF!</v>
      </c>
      <c r="BA218" t="e">
        <f t="shared" si="160"/>
        <v>#REF!</v>
      </c>
      <c r="BB218" t="e">
        <f t="shared" si="160"/>
        <v>#REF!</v>
      </c>
      <c r="BC218" t="e">
        <f t="shared" si="160"/>
        <v>#REF!</v>
      </c>
      <c r="BD218" t="e">
        <f t="shared" si="160"/>
        <v>#REF!</v>
      </c>
      <c r="BE218" t="e">
        <f t="shared" si="160"/>
        <v>#REF!</v>
      </c>
      <c r="BF218" t="e">
        <f t="shared" si="160"/>
        <v>#REF!</v>
      </c>
      <c r="BG218" t="e">
        <f t="shared" si="160"/>
        <v>#REF!</v>
      </c>
      <c r="BH218" t="e">
        <f t="shared" si="160"/>
        <v>#REF!</v>
      </c>
      <c r="BI218" t="e">
        <f t="shared" si="158"/>
        <v>#REF!</v>
      </c>
      <c r="BJ218" t="e">
        <f t="shared" si="158"/>
        <v>#REF!</v>
      </c>
      <c r="BK218" t="e">
        <f t="shared" si="158"/>
        <v>#REF!</v>
      </c>
      <c r="BL218" t="e">
        <f t="shared" si="158"/>
        <v>#REF!</v>
      </c>
      <c r="BM218" t="e">
        <f t="shared" si="158"/>
        <v>#REF!</v>
      </c>
      <c r="BN218" t="e">
        <f t="shared" si="158"/>
        <v>#REF!</v>
      </c>
      <c r="BO218" t="e">
        <f t="shared" si="158"/>
        <v>#REF!</v>
      </c>
      <c r="BP218" t="e">
        <f t="shared" si="158"/>
        <v>#REF!</v>
      </c>
      <c r="BQ218" t="e">
        <f t="shared" si="158"/>
        <v>#REF!</v>
      </c>
      <c r="BR218" t="e">
        <f t="shared" si="158"/>
        <v>#REF!</v>
      </c>
      <c r="BS218" t="e">
        <f t="shared" si="158"/>
        <v>#REF!</v>
      </c>
      <c r="BT218" t="e">
        <f t="shared" si="158"/>
        <v>#REF!</v>
      </c>
      <c r="BU218" t="e">
        <f t="shared" si="158"/>
        <v>#REF!</v>
      </c>
      <c r="BV218" t="e">
        <f t="shared" si="161"/>
        <v>#REF!</v>
      </c>
      <c r="BW218" t="e">
        <f t="shared" si="161"/>
        <v>#REF!</v>
      </c>
      <c r="BX218" t="e">
        <f t="shared" si="161"/>
        <v>#REF!</v>
      </c>
      <c r="BY218" t="e">
        <f t="shared" si="161"/>
        <v>#REF!</v>
      </c>
      <c r="BZ218" t="e">
        <f t="shared" si="161"/>
        <v>#REF!</v>
      </c>
      <c r="CA218" t="e">
        <f t="shared" si="161"/>
        <v>#REF!</v>
      </c>
      <c r="CB218" t="e">
        <f t="shared" si="161"/>
        <v>#REF!</v>
      </c>
      <c r="CC218" t="e">
        <f t="shared" si="161"/>
        <v>#REF!</v>
      </c>
      <c r="CD218" t="e">
        <f t="shared" si="161"/>
        <v>#REF!</v>
      </c>
      <c r="CE218" t="e">
        <f t="shared" si="161"/>
        <v>#REF!</v>
      </c>
      <c r="CF218" t="e">
        <f t="shared" si="163"/>
        <v>#REF!</v>
      </c>
      <c r="CG218" t="e">
        <f t="shared" si="163"/>
        <v>#REF!</v>
      </c>
      <c r="CH218" t="e">
        <f t="shared" si="163"/>
        <v>#REF!</v>
      </c>
      <c r="CI218" t="e">
        <f t="shared" si="163"/>
        <v>#REF!</v>
      </c>
      <c r="CJ218" t="e">
        <f t="shared" si="163"/>
        <v>#REF!</v>
      </c>
      <c r="CK218" t="e">
        <f t="shared" si="163"/>
        <v>#REF!</v>
      </c>
      <c r="CL218" t="e">
        <f t="shared" si="163"/>
        <v>#REF!</v>
      </c>
      <c r="CM218" t="e">
        <f t="shared" si="163"/>
        <v>#REF!</v>
      </c>
      <c r="CN218" t="e">
        <f t="shared" si="163"/>
        <v>#REF!</v>
      </c>
      <c r="CO218" t="e">
        <f t="shared" si="163"/>
        <v>#REF!</v>
      </c>
      <c r="CP218" t="e">
        <f t="shared" si="163"/>
        <v>#REF!</v>
      </c>
      <c r="CQ218" t="e">
        <f t="shared" si="163"/>
        <v>#REF!</v>
      </c>
      <c r="CR218" t="e">
        <f t="shared" si="163"/>
        <v>#REF!</v>
      </c>
      <c r="CS218" t="e">
        <f t="shared" si="163"/>
        <v>#REF!</v>
      </c>
      <c r="CT218" t="e">
        <f t="shared" si="163"/>
        <v>#REF!</v>
      </c>
      <c r="CU218" t="e">
        <f t="shared" si="163"/>
        <v>#REF!</v>
      </c>
      <c r="CV218" t="e">
        <f t="shared" si="166"/>
        <v>#REF!</v>
      </c>
      <c r="CW218" t="e">
        <f t="shared" si="166"/>
        <v>#REF!</v>
      </c>
      <c r="CX218" t="e">
        <f t="shared" si="166"/>
        <v>#REF!</v>
      </c>
      <c r="CY218" t="e">
        <f t="shared" si="166"/>
        <v>#REF!</v>
      </c>
      <c r="CZ218" t="e">
        <f t="shared" si="164"/>
        <v>#REF!</v>
      </c>
      <c r="DA218" t="e">
        <f t="shared" si="164"/>
        <v>#REF!</v>
      </c>
      <c r="DB218" t="e">
        <f t="shared" si="164"/>
        <v>#REF!</v>
      </c>
      <c r="DC218" t="e">
        <f t="shared" si="164"/>
        <v>#REF!</v>
      </c>
      <c r="DD218" t="e">
        <f t="shared" si="164"/>
        <v>#REF!</v>
      </c>
      <c r="DE218" t="e">
        <f t="shared" si="164"/>
        <v>#REF!</v>
      </c>
      <c r="DF218" t="e">
        <f t="shared" si="164"/>
        <v>#REF!</v>
      </c>
      <c r="DG218" t="e">
        <f t="shared" si="164"/>
        <v>#REF!</v>
      </c>
      <c r="DH218" t="e">
        <f t="shared" si="164"/>
        <v>#REF!</v>
      </c>
      <c r="DI218" t="e">
        <f t="shared" si="164"/>
        <v>#REF!</v>
      </c>
      <c r="DJ218" t="e">
        <f t="shared" si="164"/>
        <v>#REF!</v>
      </c>
      <c r="DK218" t="e">
        <f t="shared" si="164"/>
        <v>#REF!</v>
      </c>
      <c r="DL218" t="e">
        <f t="shared" si="164"/>
        <v>#REF!</v>
      </c>
      <c r="DM218" t="e">
        <f t="shared" si="164"/>
        <v>#REF!</v>
      </c>
      <c r="DN218" t="e">
        <f t="shared" si="171"/>
        <v>#REF!</v>
      </c>
      <c r="DO218" t="e">
        <f t="shared" si="171"/>
        <v>#REF!</v>
      </c>
      <c r="DP218" t="e">
        <f t="shared" si="171"/>
        <v>#REF!</v>
      </c>
      <c r="DQ218" t="e">
        <f t="shared" si="171"/>
        <v>#REF!</v>
      </c>
      <c r="DR218" t="e">
        <f t="shared" si="171"/>
        <v>#REF!</v>
      </c>
      <c r="DS218" t="e">
        <f t="shared" si="171"/>
        <v>#REF!</v>
      </c>
      <c r="DT218" t="e">
        <f t="shared" si="171"/>
        <v>#REF!</v>
      </c>
      <c r="DU218" t="e">
        <f t="shared" si="171"/>
        <v>#REF!</v>
      </c>
      <c r="DV218" t="e">
        <f t="shared" si="171"/>
        <v>#REF!</v>
      </c>
      <c r="DW218" t="e">
        <f t="shared" si="171"/>
        <v>#REF!</v>
      </c>
      <c r="DX218" t="e">
        <f t="shared" si="171"/>
        <v>#REF!</v>
      </c>
      <c r="DY218" t="e">
        <f t="shared" si="171"/>
        <v>#REF!</v>
      </c>
      <c r="DZ218" t="e">
        <f t="shared" si="153"/>
        <v>#REF!</v>
      </c>
      <c r="EA218" t="e">
        <f t="shared" si="153"/>
        <v>#REF!</v>
      </c>
      <c r="EB218" t="e">
        <f t="shared" si="153"/>
        <v>#REF!</v>
      </c>
      <c r="EC218" t="e">
        <f t="shared" si="153"/>
        <v>#REF!</v>
      </c>
      <c r="ED218" t="e">
        <f t="shared" si="153"/>
        <v>#REF!</v>
      </c>
      <c r="EE218" t="e">
        <f t="shared" si="153"/>
        <v>#REF!</v>
      </c>
      <c r="EF218" t="e">
        <f t="shared" si="153"/>
        <v>#REF!</v>
      </c>
      <c r="EG218" t="e">
        <f t="shared" si="153"/>
        <v>#REF!</v>
      </c>
      <c r="EH218" t="e">
        <f t="shared" si="165"/>
        <v>#REF!</v>
      </c>
      <c r="EI218" t="e">
        <f t="shared" si="165"/>
        <v>#REF!</v>
      </c>
      <c r="EJ218" t="e">
        <f t="shared" si="165"/>
        <v>#REF!</v>
      </c>
      <c r="EK218" t="e">
        <f t="shared" si="165"/>
        <v>#REF!</v>
      </c>
      <c r="EL218" t="e">
        <f t="shared" si="165"/>
        <v>#REF!</v>
      </c>
      <c r="EM218" t="e">
        <f t="shared" si="165"/>
        <v>#REF!</v>
      </c>
    </row>
    <row r="219" spans="1:143" x14ac:dyDescent="0.4">
      <c r="A219" t="str">
        <f t="shared" si="170"/>
        <v>X</v>
      </c>
      <c r="B219">
        <v>216</v>
      </c>
      <c r="C219" t="e" cm="1">
        <f t="array" ref="C219">INDEX(auto_Series_Code,B219)</f>
        <v>#REF!</v>
      </c>
      <c r="D219" t="e">
        <f t="shared" si="168"/>
        <v>#REF!</v>
      </c>
      <c r="E219" t="e">
        <f t="shared" si="168"/>
        <v>#REF!</v>
      </c>
      <c r="F219" t="e">
        <f t="shared" si="168"/>
        <v>#REF!</v>
      </c>
      <c r="G219" t="e">
        <f t="shared" si="168"/>
        <v>#REF!</v>
      </c>
      <c r="H219" t="e">
        <f t="shared" si="168"/>
        <v>#REF!</v>
      </c>
      <c r="I219" t="e">
        <f t="shared" si="168"/>
        <v>#REF!</v>
      </c>
      <c r="J219" t="e">
        <f t="shared" si="168"/>
        <v>#REF!</v>
      </c>
      <c r="K219" t="e">
        <f t="shared" si="168"/>
        <v>#REF!</v>
      </c>
      <c r="L219" t="e">
        <f t="shared" si="168"/>
        <v>#REF!</v>
      </c>
      <c r="M219" t="e">
        <f t="shared" si="168"/>
        <v>#REF!</v>
      </c>
      <c r="N219" t="e">
        <f t="shared" si="168"/>
        <v>#REF!</v>
      </c>
      <c r="O219" t="e">
        <f t="shared" si="168"/>
        <v>#REF!</v>
      </c>
      <c r="P219" t="e">
        <f t="shared" si="168"/>
        <v>#REF!</v>
      </c>
      <c r="Q219" t="e">
        <f t="shared" si="168"/>
        <v>#REF!</v>
      </c>
      <c r="R219" t="e">
        <f t="shared" si="168"/>
        <v>#REF!</v>
      </c>
      <c r="S219" t="e">
        <f t="shared" si="168"/>
        <v>#REF!</v>
      </c>
      <c r="T219" t="e">
        <f t="shared" si="167"/>
        <v>#REF!</v>
      </c>
      <c r="U219" t="e">
        <f t="shared" si="167"/>
        <v>#REF!</v>
      </c>
      <c r="V219" t="e">
        <f t="shared" si="167"/>
        <v>#REF!</v>
      </c>
      <c r="W219" t="e">
        <f t="shared" si="167"/>
        <v>#REF!</v>
      </c>
      <c r="X219" t="e">
        <f t="shared" si="155"/>
        <v>#REF!</v>
      </c>
      <c r="Y219" t="e">
        <f t="shared" si="155"/>
        <v>#REF!</v>
      </c>
      <c r="Z219" t="e">
        <f t="shared" si="155"/>
        <v>#REF!</v>
      </c>
      <c r="AA219" t="e">
        <f t="shared" si="155"/>
        <v>#REF!</v>
      </c>
      <c r="AB219" t="e">
        <f t="shared" si="155"/>
        <v>#REF!</v>
      </c>
      <c r="AC219" t="e">
        <f t="shared" si="155"/>
        <v>#REF!</v>
      </c>
      <c r="AD219" t="e">
        <f t="shared" si="155"/>
        <v>#REF!</v>
      </c>
      <c r="AE219" t="e">
        <f t="shared" si="155"/>
        <v>#REF!</v>
      </c>
      <c r="AF219" t="e">
        <f t="shared" si="155"/>
        <v>#REF!</v>
      </c>
      <c r="AG219" t="e">
        <f t="shared" si="155"/>
        <v>#REF!</v>
      </c>
      <c r="AH219" t="e">
        <f t="shared" si="157"/>
        <v>#REF!</v>
      </c>
      <c r="AI219" t="e">
        <f t="shared" si="157"/>
        <v>#REF!</v>
      </c>
      <c r="AJ219" t="e">
        <f t="shared" si="157"/>
        <v>#REF!</v>
      </c>
      <c r="AK219" t="e">
        <f t="shared" si="157"/>
        <v>#REF!</v>
      </c>
      <c r="AL219" t="e">
        <f t="shared" si="157"/>
        <v>#REF!</v>
      </c>
      <c r="AM219" t="e">
        <f t="shared" si="157"/>
        <v>#REF!</v>
      </c>
      <c r="AN219" t="e">
        <f t="shared" si="157"/>
        <v>#REF!</v>
      </c>
      <c r="AO219" t="e">
        <f t="shared" si="157"/>
        <v>#REF!</v>
      </c>
      <c r="AP219" t="e">
        <f t="shared" si="157"/>
        <v>#REF!</v>
      </c>
      <c r="AQ219" t="e">
        <f t="shared" si="157"/>
        <v>#REF!</v>
      </c>
      <c r="AR219" t="e">
        <f t="shared" si="157"/>
        <v>#REF!</v>
      </c>
      <c r="AS219" t="e">
        <f t="shared" si="160"/>
        <v>#REF!</v>
      </c>
      <c r="AT219" t="e">
        <f t="shared" si="160"/>
        <v>#REF!</v>
      </c>
      <c r="AU219" t="e">
        <f t="shared" si="160"/>
        <v>#REF!</v>
      </c>
      <c r="AV219" t="e">
        <f t="shared" si="160"/>
        <v>#REF!</v>
      </c>
      <c r="AW219" t="e">
        <f t="shared" si="160"/>
        <v>#REF!</v>
      </c>
      <c r="AX219" t="e">
        <f t="shared" si="160"/>
        <v>#REF!</v>
      </c>
      <c r="AY219" t="e">
        <f t="shared" si="160"/>
        <v>#REF!</v>
      </c>
      <c r="AZ219" t="e">
        <f t="shared" si="160"/>
        <v>#REF!</v>
      </c>
      <c r="BA219" t="e">
        <f t="shared" si="160"/>
        <v>#REF!</v>
      </c>
      <c r="BB219" t="e">
        <f t="shared" si="160"/>
        <v>#REF!</v>
      </c>
      <c r="BC219" t="e">
        <f t="shared" si="160"/>
        <v>#REF!</v>
      </c>
      <c r="BD219" t="e">
        <f t="shared" si="160"/>
        <v>#REF!</v>
      </c>
      <c r="BE219" t="e">
        <f t="shared" si="160"/>
        <v>#REF!</v>
      </c>
      <c r="BF219" t="e">
        <f t="shared" si="160"/>
        <v>#REF!</v>
      </c>
      <c r="BG219" t="e">
        <f t="shared" si="160"/>
        <v>#REF!</v>
      </c>
      <c r="BH219" t="e">
        <f t="shared" ref="BH219:BW241" si="172">MATCH(CONCATENATE(BH$3,"_",$C219),auto_DataFlat_UID,0)</f>
        <v>#REF!</v>
      </c>
      <c r="BI219" t="e">
        <f t="shared" si="172"/>
        <v>#REF!</v>
      </c>
      <c r="BJ219" t="e">
        <f t="shared" si="172"/>
        <v>#REF!</v>
      </c>
      <c r="BK219" t="e">
        <f t="shared" si="172"/>
        <v>#REF!</v>
      </c>
      <c r="BL219" t="e">
        <f t="shared" si="158"/>
        <v>#REF!</v>
      </c>
      <c r="BM219" t="e">
        <f t="shared" si="158"/>
        <v>#REF!</v>
      </c>
      <c r="BN219" t="e">
        <f t="shared" si="158"/>
        <v>#REF!</v>
      </c>
      <c r="BO219" t="e">
        <f t="shared" si="158"/>
        <v>#REF!</v>
      </c>
      <c r="BP219" t="e">
        <f t="shared" si="158"/>
        <v>#REF!</v>
      </c>
      <c r="BQ219" t="e">
        <f t="shared" si="158"/>
        <v>#REF!</v>
      </c>
      <c r="BR219" t="e">
        <f t="shared" si="158"/>
        <v>#REF!</v>
      </c>
      <c r="BS219" t="e">
        <f t="shared" si="158"/>
        <v>#REF!</v>
      </c>
      <c r="BT219" t="e">
        <f t="shared" si="158"/>
        <v>#REF!</v>
      </c>
      <c r="BU219" t="e">
        <f t="shared" si="158"/>
        <v>#REF!</v>
      </c>
      <c r="BV219" t="e">
        <f t="shared" si="161"/>
        <v>#REF!</v>
      </c>
      <c r="BW219" t="e">
        <f t="shared" si="161"/>
        <v>#REF!</v>
      </c>
      <c r="BX219" t="e">
        <f t="shared" si="161"/>
        <v>#REF!</v>
      </c>
      <c r="BY219" t="e">
        <f t="shared" si="161"/>
        <v>#REF!</v>
      </c>
      <c r="BZ219" t="e">
        <f t="shared" si="161"/>
        <v>#REF!</v>
      </c>
      <c r="CA219" t="e">
        <f t="shared" si="161"/>
        <v>#REF!</v>
      </c>
      <c r="CB219" t="e">
        <f t="shared" si="161"/>
        <v>#REF!</v>
      </c>
      <c r="CC219" t="e">
        <f t="shared" si="161"/>
        <v>#REF!</v>
      </c>
      <c r="CD219" t="e">
        <f t="shared" si="161"/>
        <v>#REF!</v>
      </c>
      <c r="CE219" t="e">
        <f t="shared" si="161"/>
        <v>#REF!</v>
      </c>
      <c r="CF219" t="e">
        <f t="shared" si="163"/>
        <v>#REF!</v>
      </c>
      <c r="CG219" t="e">
        <f t="shared" si="163"/>
        <v>#REF!</v>
      </c>
      <c r="CH219" t="e">
        <f t="shared" si="163"/>
        <v>#REF!</v>
      </c>
      <c r="CI219" t="e">
        <f t="shared" si="163"/>
        <v>#REF!</v>
      </c>
      <c r="CJ219" t="e">
        <f t="shared" si="163"/>
        <v>#REF!</v>
      </c>
      <c r="CK219" t="e">
        <f t="shared" si="163"/>
        <v>#REF!</v>
      </c>
      <c r="CL219" t="e">
        <f t="shared" si="163"/>
        <v>#REF!</v>
      </c>
      <c r="CM219" t="e">
        <f t="shared" si="163"/>
        <v>#REF!</v>
      </c>
      <c r="CN219" t="e">
        <f t="shared" si="163"/>
        <v>#REF!</v>
      </c>
      <c r="CO219" t="e">
        <f t="shared" si="163"/>
        <v>#REF!</v>
      </c>
      <c r="CP219" t="e">
        <f t="shared" si="163"/>
        <v>#REF!</v>
      </c>
      <c r="CQ219" t="e">
        <f t="shared" si="163"/>
        <v>#REF!</v>
      </c>
      <c r="CR219" t="e">
        <f t="shared" si="163"/>
        <v>#REF!</v>
      </c>
      <c r="CS219" t="e">
        <f t="shared" si="163"/>
        <v>#REF!</v>
      </c>
      <c r="CT219" t="e">
        <f t="shared" si="163"/>
        <v>#REF!</v>
      </c>
      <c r="CU219" t="e">
        <f t="shared" si="163"/>
        <v>#REF!</v>
      </c>
      <c r="CV219" t="e">
        <f t="shared" si="166"/>
        <v>#REF!</v>
      </c>
      <c r="CW219" t="e">
        <f t="shared" si="166"/>
        <v>#REF!</v>
      </c>
      <c r="CX219" t="e">
        <f t="shared" si="166"/>
        <v>#REF!</v>
      </c>
      <c r="CY219" t="e">
        <f t="shared" si="166"/>
        <v>#REF!</v>
      </c>
      <c r="CZ219" t="e">
        <f t="shared" si="164"/>
        <v>#REF!</v>
      </c>
      <c r="DA219" t="e">
        <f t="shared" si="164"/>
        <v>#REF!</v>
      </c>
      <c r="DB219" t="e">
        <f t="shared" si="164"/>
        <v>#REF!</v>
      </c>
      <c r="DC219" t="e">
        <f t="shared" si="164"/>
        <v>#REF!</v>
      </c>
      <c r="DD219" t="e">
        <f t="shared" si="164"/>
        <v>#REF!</v>
      </c>
      <c r="DE219" t="e">
        <f t="shared" si="164"/>
        <v>#REF!</v>
      </c>
      <c r="DF219" t="e">
        <f t="shared" si="164"/>
        <v>#REF!</v>
      </c>
      <c r="DG219" t="e">
        <f t="shared" si="164"/>
        <v>#REF!</v>
      </c>
      <c r="DH219" t="e">
        <f t="shared" si="164"/>
        <v>#REF!</v>
      </c>
      <c r="DI219" t="e">
        <f t="shared" si="164"/>
        <v>#REF!</v>
      </c>
      <c r="DJ219" t="e">
        <f t="shared" si="164"/>
        <v>#REF!</v>
      </c>
      <c r="DK219" t="e">
        <f t="shared" si="164"/>
        <v>#REF!</v>
      </c>
      <c r="DL219" t="e">
        <f t="shared" si="164"/>
        <v>#REF!</v>
      </c>
      <c r="DM219" t="e">
        <f t="shared" si="164"/>
        <v>#REF!</v>
      </c>
      <c r="DN219" t="e">
        <f t="shared" si="171"/>
        <v>#REF!</v>
      </c>
      <c r="DO219" t="e">
        <f t="shared" si="171"/>
        <v>#REF!</v>
      </c>
      <c r="DP219" t="e">
        <f t="shared" si="171"/>
        <v>#REF!</v>
      </c>
      <c r="DQ219" t="e">
        <f t="shared" si="171"/>
        <v>#REF!</v>
      </c>
      <c r="DR219" t="e">
        <f t="shared" si="171"/>
        <v>#REF!</v>
      </c>
      <c r="DS219" t="e">
        <f t="shared" si="171"/>
        <v>#REF!</v>
      </c>
      <c r="DT219" t="e">
        <f t="shared" si="171"/>
        <v>#REF!</v>
      </c>
      <c r="DU219" t="e">
        <f t="shared" si="171"/>
        <v>#REF!</v>
      </c>
      <c r="DV219" t="e">
        <f t="shared" si="171"/>
        <v>#REF!</v>
      </c>
      <c r="DW219" t="e">
        <f t="shared" si="171"/>
        <v>#REF!</v>
      </c>
      <c r="DX219" t="e">
        <f t="shared" si="171"/>
        <v>#REF!</v>
      </c>
      <c r="DY219" t="e">
        <f t="shared" si="171"/>
        <v>#REF!</v>
      </c>
      <c r="DZ219" t="e">
        <f t="shared" si="153"/>
        <v>#REF!</v>
      </c>
      <c r="EA219" t="e">
        <f t="shared" si="153"/>
        <v>#REF!</v>
      </c>
      <c r="EB219" t="e">
        <f t="shared" si="153"/>
        <v>#REF!</v>
      </c>
      <c r="EC219" t="e">
        <f t="shared" si="153"/>
        <v>#REF!</v>
      </c>
      <c r="ED219" t="e">
        <f t="shared" si="153"/>
        <v>#REF!</v>
      </c>
      <c r="EE219" t="e">
        <f t="shared" si="153"/>
        <v>#REF!</v>
      </c>
      <c r="EF219" t="e">
        <f t="shared" si="153"/>
        <v>#REF!</v>
      </c>
      <c r="EG219" t="e">
        <f t="shared" si="153"/>
        <v>#REF!</v>
      </c>
      <c r="EH219" t="e">
        <f t="shared" si="165"/>
        <v>#REF!</v>
      </c>
      <c r="EI219" t="e">
        <f t="shared" si="165"/>
        <v>#REF!</v>
      </c>
      <c r="EJ219" t="e">
        <f t="shared" si="165"/>
        <v>#REF!</v>
      </c>
      <c r="EK219" t="e">
        <f t="shared" si="165"/>
        <v>#REF!</v>
      </c>
      <c r="EL219" t="e">
        <f t="shared" si="165"/>
        <v>#REF!</v>
      </c>
      <c r="EM219" t="e">
        <f t="shared" si="165"/>
        <v>#REF!</v>
      </c>
    </row>
    <row r="220" spans="1:143" x14ac:dyDescent="0.4">
      <c r="A220" t="str">
        <f t="shared" si="170"/>
        <v>X</v>
      </c>
      <c r="B220">
        <v>217</v>
      </c>
      <c r="C220" t="e" cm="1">
        <f t="array" ref="C220">INDEX(auto_Series_Code,B220)</f>
        <v>#REF!</v>
      </c>
      <c r="D220" t="e">
        <f t="shared" si="168"/>
        <v>#REF!</v>
      </c>
      <c r="E220" t="e">
        <f t="shared" si="168"/>
        <v>#REF!</v>
      </c>
      <c r="F220" t="e">
        <f t="shared" si="168"/>
        <v>#REF!</v>
      </c>
      <c r="G220" t="e">
        <f t="shared" si="168"/>
        <v>#REF!</v>
      </c>
      <c r="H220" t="e">
        <f t="shared" si="168"/>
        <v>#REF!</v>
      </c>
      <c r="I220" t="e">
        <f t="shared" si="168"/>
        <v>#REF!</v>
      </c>
      <c r="J220" t="e">
        <f t="shared" si="168"/>
        <v>#REF!</v>
      </c>
      <c r="K220" t="e">
        <f t="shared" si="168"/>
        <v>#REF!</v>
      </c>
      <c r="L220" t="e">
        <f t="shared" si="168"/>
        <v>#REF!</v>
      </c>
      <c r="M220" t="e">
        <f t="shared" si="168"/>
        <v>#REF!</v>
      </c>
      <c r="N220" t="e">
        <f t="shared" si="168"/>
        <v>#REF!</v>
      </c>
      <c r="O220" t="e">
        <f t="shared" si="168"/>
        <v>#REF!</v>
      </c>
      <c r="P220" t="e">
        <f t="shared" si="168"/>
        <v>#REF!</v>
      </c>
      <c r="Q220" t="e">
        <f t="shared" si="168"/>
        <v>#REF!</v>
      </c>
      <c r="R220" t="e">
        <f t="shared" si="168"/>
        <v>#REF!</v>
      </c>
      <c r="S220" t="e">
        <f t="shared" si="168"/>
        <v>#REF!</v>
      </c>
      <c r="T220" t="e">
        <f t="shared" si="167"/>
        <v>#REF!</v>
      </c>
      <c r="U220" t="e">
        <f t="shared" si="167"/>
        <v>#REF!</v>
      </c>
      <c r="V220" t="e">
        <f t="shared" si="167"/>
        <v>#REF!</v>
      </c>
      <c r="W220" t="e">
        <f t="shared" si="167"/>
        <v>#REF!</v>
      </c>
      <c r="X220" t="e">
        <f t="shared" si="155"/>
        <v>#REF!</v>
      </c>
      <c r="Y220" t="e">
        <f t="shared" si="155"/>
        <v>#REF!</v>
      </c>
      <c r="Z220" t="e">
        <f t="shared" si="155"/>
        <v>#REF!</v>
      </c>
      <c r="AA220" t="e">
        <f t="shared" si="155"/>
        <v>#REF!</v>
      </c>
      <c r="AB220" t="e">
        <f t="shared" si="155"/>
        <v>#REF!</v>
      </c>
      <c r="AC220" t="e">
        <f t="shared" si="155"/>
        <v>#REF!</v>
      </c>
      <c r="AD220" t="e">
        <f t="shared" si="155"/>
        <v>#REF!</v>
      </c>
      <c r="AE220" t="e">
        <f t="shared" si="155"/>
        <v>#REF!</v>
      </c>
      <c r="AF220" t="e">
        <f t="shared" si="155"/>
        <v>#REF!</v>
      </c>
      <c r="AG220" t="e">
        <f t="shared" si="155"/>
        <v>#REF!</v>
      </c>
      <c r="AH220" t="e">
        <f t="shared" si="157"/>
        <v>#REF!</v>
      </c>
      <c r="AI220" t="e">
        <f t="shared" si="157"/>
        <v>#REF!</v>
      </c>
      <c r="AJ220" t="e">
        <f t="shared" si="157"/>
        <v>#REF!</v>
      </c>
      <c r="AK220" t="e">
        <f t="shared" si="157"/>
        <v>#REF!</v>
      </c>
      <c r="AL220" t="e">
        <f t="shared" si="157"/>
        <v>#REF!</v>
      </c>
      <c r="AM220" t="e">
        <f t="shared" si="157"/>
        <v>#REF!</v>
      </c>
      <c r="AN220" t="e">
        <f t="shared" si="157"/>
        <v>#REF!</v>
      </c>
      <c r="AO220" t="e">
        <f t="shared" si="157"/>
        <v>#REF!</v>
      </c>
      <c r="AP220" t="e">
        <f t="shared" si="157"/>
        <v>#REF!</v>
      </c>
      <c r="AQ220" t="e">
        <f t="shared" si="157"/>
        <v>#REF!</v>
      </c>
      <c r="AR220" t="e">
        <f t="shared" si="157"/>
        <v>#REF!</v>
      </c>
      <c r="AS220" t="e">
        <f t="shared" ref="AS220:BH251" si="173">MATCH(CONCATENATE(AS$3,"_",$C220),auto_DataFlat_UID,0)</f>
        <v>#REF!</v>
      </c>
      <c r="AT220" t="e">
        <f t="shared" si="173"/>
        <v>#REF!</v>
      </c>
      <c r="AU220" t="e">
        <f t="shared" si="173"/>
        <v>#REF!</v>
      </c>
      <c r="AV220" t="e">
        <f t="shared" si="173"/>
        <v>#REF!</v>
      </c>
      <c r="AW220" t="e">
        <f t="shared" si="173"/>
        <v>#REF!</v>
      </c>
      <c r="AX220" t="e">
        <f t="shared" si="173"/>
        <v>#REF!</v>
      </c>
      <c r="AY220" t="e">
        <f t="shared" si="173"/>
        <v>#REF!</v>
      </c>
      <c r="AZ220" t="e">
        <f t="shared" si="173"/>
        <v>#REF!</v>
      </c>
      <c r="BA220" t="e">
        <f t="shared" si="173"/>
        <v>#REF!</v>
      </c>
      <c r="BB220" t="e">
        <f t="shared" si="173"/>
        <v>#REF!</v>
      </c>
      <c r="BC220" t="e">
        <f t="shared" si="173"/>
        <v>#REF!</v>
      </c>
      <c r="BD220" t="e">
        <f t="shared" si="173"/>
        <v>#REF!</v>
      </c>
      <c r="BE220" t="e">
        <f t="shared" si="173"/>
        <v>#REF!</v>
      </c>
      <c r="BF220" t="e">
        <f t="shared" si="173"/>
        <v>#REF!</v>
      </c>
      <c r="BG220" t="e">
        <f t="shared" si="173"/>
        <v>#REF!</v>
      </c>
      <c r="BH220" t="e">
        <f t="shared" si="173"/>
        <v>#REF!</v>
      </c>
      <c r="BI220" t="e">
        <f t="shared" si="172"/>
        <v>#REF!</v>
      </c>
      <c r="BJ220" t="e">
        <f t="shared" si="172"/>
        <v>#REF!</v>
      </c>
      <c r="BK220" t="e">
        <f t="shared" si="172"/>
        <v>#REF!</v>
      </c>
      <c r="BL220" t="e">
        <f t="shared" si="158"/>
        <v>#REF!</v>
      </c>
      <c r="BM220" t="e">
        <f t="shared" si="158"/>
        <v>#REF!</v>
      </c>
      <c r="BN220" t="e">
        <f t="shared" si="158"/>
        <v>#REF!</v>
      </c>
      <c r="BO220" t="e">
        <f t="shared" si="158"/>
        <v>#REF!</v>
      </c>
      <c r="BP220" t="e">
        <f t="shared" si="158"/>
        <v>#REF!</v>
      </c>
      <c r="BQ220" t="e">
        <f t="shared" si="158"/>
        <v>#REF!</v>
      </c>
      <c r="BR220" t="e">
        <f t="shared" si="158"/>
        <v>#REF!</v>
      </c>
      <c r="BS220" t="e">
        <f t="shared" si="158"/>
        <v>#REF!</v>
      </c>
      <c r="BT220" t="e">
        <f t="shared" si="158"/>
        <v>#REF!</v>
      </c>
      <c r="BU220" t="e">
        <f t="shared" si="158"/>
        <v>#REF!</v>
      </c>
      <c r="BV220" t="e">
        <f t="shared" si="161"/>
        <v>#REF!</v>
      </c>
      <c r="BW220" t="e">
        <f t="shared" si="161"/>
        <v>#REF!</v>
      </c>
      <c r="BX220" t="e">
        <f t="shared" si="161"/>
        <v>#REF!</v>
      </c>
      <c r="BY220" t="e">
        <f t="shared" si="161"/>
        <v>#REF!</v>
      </c>
      <c r="BZ220" t="e">
        <f t="shared" si="161"/>
        <v>#REF!</v>
      </c>
      <c r="CA220" t="e">
        <f t="shared" si="161"/>
        <v>#REF!</v>
      </c>
      <c r="CB220" t="e">
        <f t="shared" si="161"/>
        <v>#REF!</v>
      </c>
      <c r="CC220" t="e">
        <f t="shared" si="161"/>
        <v>#REF!</v>
      </c>
      <c r="CD220" t="e">
        <f t="shared" si="161"/>
        <v>#REF!</v>
      </c>
      <c r="CE220" t="e">
        <f t="shared" si="161"/>
        <v>#REF!</v>
      </c>
      <c r="CF220" t="e">
        <f t="shared" si="163"/>
        <v>#REF!</v>
      </c>
      <c r="CG220" t="e">
        <f t="shared" si="163"/>
        <v>#REF!</v>
      </c>
      <c r="CH220" t="e">
        <f t="shared" si="163"/>
        <v>#REF!</v>
      </c>
      <c r="CI220" t="e">
        <f t="shared" si="163"/>
        <v>#REF!</v>
      </c>
      <c r="CJ220" t="e">
        <f t="shared" si="163"/>
        <v>#REF!</v>
      </c>
      <c r="CK220" t="e">
        <f t="shared" si="163"/>
        <v>#REF!</v>
      </c>
      <c r="CL220" t="e">
        <f t="shared" si="163"/>
        <v>#REF!</v>
      </c>
      <c r="CM220" t="e">
        <f t="shared" si="163"/>
        <v>#REF!</v>
      </c>
      <c r="CN220" t="e">
        <f t="shared" si="163"/>
        <v>#REF!</v>
      </c>
      <c r="CO220" t="e">
        <f t="shared" si="163"/>
        <v>#REF!</v>
      </c>
      <c r="CP220" t="e">
        <f t="shared" si="163"/>
        <v>#REF!</v>
      </c>
      <c r="CQ220" t="e">
        <f t="shared" si="163"/>
        <v>#REF!</v>
      </c>
      <c r="CR220" t="e">
        <f t="shared" si="163"/>
        <v>#REF!</v>
      </c>
      <c r="CS220" t="e">
        <f t="shared" si="163"/>
        <v>#REF!</v>
      </c>
      <c r="CT220" t="e">
        <f t="shared" si="163"/>
        <v>#REF!</v>
      </c>
      <c r="CU220" t="e">
        <f t="shared" si="163"/>
        <v>#REF!</v>
      </c>
      <c r="CV220" t="e">
        <f t="shared" si="166"/>
        <v>#REF!</v>
      </c>
      <c r="CW220" t="e">
        <f t="shared" si="166"/>
        <v>#REF!</v>
      </c>
      <c r="CX220" t="e">
        <f t="shared" si="166"/>
        <v>#REF!</v>
      </c>
      <c r="CY220" t="e">
        <f t="shared" si="166"/>
        <v>#REF!</v>
      </c>
      <c r="CZ220" t="e">
        <f t="shared" si="164"/>
        <v>#REF!</v>
      </c>
      <c r="DA220" t="e">
        <f t="shared" si="164"/>
        <v>#REF!</v>
      </c>
      <c r="DB220" t="e">
        <f t="shared" si="164"/>
        <v>#REF!</v>
      </c>
      <c r="DC220" t="e">
        <f t="shared" si="164"/>
        <v>#REF!</v>
      </c>
      <c r="DD220" t="e">
        <f t="shared" si="164"/>
        <v>#REF!</v>
      </c>
      <c r="DE220" t="e">
        <f t="shared" si="164"/>
        <v>#REF!</v>
      </c>
      <c r="DF220" t="e">
        <f t="shared" si="164"/>
        <v>#REF!</v>
      </c>
      <c r="DG220" t="e">
        <f t="shared" si="164"/>
        <v>#REF!</v>
      </c>
      <c r="DH220" t="e">
        <f t="shared" si="164"/>
        <v>#REF!</v>
      </c>
      <c r="DI220" t="e">
        <f t="shared" si="164"/>
        <v>#REF!</v>
      </c>
      <c r="DJ220" t="e">
        <f t="shared" si="164"/>
        <v>#REF!</v>
      </c>
      <c r="DK220" t="e">
        <f t="shared" si="164"/>
        <v>#REF!</v>
      </c>
      <c r="DL220" t="e">
        <f t="shared" si="164"/>
        <v>#REF!</v>
      </c>
      <c r="DM220" t="e">
        <f t="shared" si="164"/>
        <v>#REF!</v>
      </c>
      <c r="DN220" t="e">
        <f t="shared" si="171"/>
        <v>#REF!</v>
      </c>
      <c r="DO220" t="e">
        <f t="shared" si="171"/>
        <v>#REF!</v>
      </c>
      <c r="DP220" t="e">
        <f t="shared" si="171"/>
        <v>#REF!</v>
      </c>
      <c r="DQ220" t="e">
        <f t="shared" si="171"/>
        <v>#REF!</v>
      </c>
      <c r="DR220" t="e">
        <f t="shared" si="171"/>
        <v>#REF!</v>
      </c>
      <c r="DS220" t="e">
        <f t="shared" si="171"/>
        <v>#REF!</v>
      </c>
      <c r="DT220" t="e">
        <f t="shared" si="171"/>
        <v>#REF!</v>
      </c>
      <c r="DU220" t="e">
        <f t="shared" si="171"/>
        <v>#REF!</v>
      </c>
      <c r="DV220" t="e">
        <f t="shared" si="171"/>
        <v>#REF!</v>
      </c>
      <c r="DW220" t="e">
        <f t="shared" si="171"/>
        <v>#REF!</v>
      </c>
      <c r="DX220" t="e">
        <f t="shared" si="171"/>
        <v>#REF!</v>
      </c>
      <c r="DY220" t="e">
        <f t="shared" si="171"/>
        <v>#REF!</v>
      </c>
      <c r="DZ220" t="e">
        <f t="shared" si="153"/>
        <v>#REF!</v>
      </c>
      <c r="EA220" t="e">
        <f t="shared" si="153"/>
        <v>#REF!</v>
      </c>
      <c r="EB220" t="e">
        <f t="shared" si="153"/>
        <v>#REF!</v>
      </c>
      <c r="EC220" t="e">
        <f t="shared" si="153"/>
        <v>#REF!</v>
      </c>
      <c r="ED220" t="e">
        <f t="shared" si="153"/>
        <v>#REF!</v>
      </c>
      <c r="EE220" t="e">
        <f t="shared" si="153"/>
        <v>#REF!</v>
      </c>
      <c r="EF220" t="e">
        <f t="shared" si="153"/>
        <v>#REF!</v>
      </c>
      <c r="EG220" t="e">
        <f t="shared" si="153"/>
        <v>#REF!</v>
      </c>
      <c r="EH220" t="e">
        <f t="shared" si="165"/>
        <v>#REF!</v>
      </c>
      <c r="EI220" t="e">
        <f t="shared" si="165"/>
        <v>#REF!</v>
      </c>
      <c r="EJ220" t="e">
        <f t="shared" si="165"/>
        <v>#REF!</v>
      </c>
      <c r="EK220" t="e">
        <f t="shared" si="165"/>
        <v>#REF!</v>
      </c>
      <c r="EL220" t="e">
        <f t="shared" si="165"/>
        <v>#REF!</v>
      </c>
      <c r="EM220" t="e">
        <f t="shared" si="165"/>
        <v>#REF!</v>
      </c>
    </row>
    <row r="221" spans="1:143" x14ac:dyDescent="0.4">
      <c r="A221" t="str">
        <f t="shared" si="170"/>
        <v>X</v>
      </c>
      <c r="B221">
        <v>218</v>
      </c>
      <c r="C221" t="e" cm="1">
        <f t="array" ref="C221">INDEX(auto_Series_Code,B221)</f>
        <v>#REF!</v>
      </c>
      <c r="D221" t="e">
        <f t="shared" si="168"/>
        <v>#REF!</v>
      </c>
      <c r="E221" t="e">
        <f t="shared" si="168"/>
        <v>#REF!</v>
      </c>
      <c r="F221" t="e">
        <f t="shared" si="168"/>
        <v>#REF!</v>
      </c>
      <c r="G221" t="e">
        <f t="shared" si="168"/>
        <v>#REF!</v>
      </c>
      <c r="H221" t="e">
        <f t="shared" si="168"/>
        <v>#REF!</v>
      </c>
      <c r="I221" t="e">
        <f t="shared" si="168"/>
        <v>#REF!</v>
      </c>
      <c r="J221" t="e">
        <f t="shared" si="168"/>
        <v>#REF!</v>
      </c>
      <c r="K221" t="e">
        <f t="shared" si="168"/>
        <v>#REF!</v>
      </c>
      <c r="L221" t="e">
        <f t="shared" si="168"/>
        <v>#REF!</v>
      </c>
      <c r="M221" t="e">
        <f t="shared" si="168"/>
        <v>#REF!</v>
      </c>
      <c r="N221" t="e">
        <f t="shared" si="168"/>
        <v>#REF!</v>
      </c>
      <c r="O221" t="e">
        <f t="shared" si="168"/>
        <v>#REF!</v>
      </c>
      <c r="P221" t="e">
        <f t="shared" si="168"/>
        <v>#REF!</v>
      </c>
      <c r="Q221" t="e">
        <f t="shared" si="168"/>
        <v>#REF!</v>
      </c>
      <c r="R221" t="e">
        <f t="shared" si="168"/>
        <v>#REF!</v>
      </c>
      <c r="S221" t="e">
        <f t="shared" si="168"/>
        <v>#REF!</v>
      </c>
      <c r="T221" t="e">
        <f t="shared" si="167"/>
        <v>#REF!</v>
      </c>
      <c r="U221" t="e">
        <f t="shared" si="167"/>
        <v>#REF!</v>
      </c>
      <c r="V221" t="e">
        <f t="shared" si="167"/>
        <v>#REF!</v>
      </c>
      <c r="W221" t="e">
        <f t="shared" si="167"/>
        <v>#REF!</v>
      </c>
      <c r="X221" t="e">
        <f t="shared" si="155"/>
        <v>#REF!</v>
      </c>
      <c r="Y221" t="e">
        <f t="shared" si="155"/>
        <v>#REF!</v>
      </c>
      <c r="Z221" t="e">
        <f t="shared" si="155"/>
        <v>#REF!</v>
      </c>
      <c r="AA221" t="e">
        <f t="shared" si="155"/>
        <v>#REF!</v>
      </c>
      <c r="AB221" t="e">
        <f t="shared" si="155"/>
        <v>#REF!</v>
      </c>
      <c r="AC221" t="e">
        <f t="shared" si="155"/>
        <v>#REF!</v>
      </c>
      <c r="AD221" t="e">
        <f t="shared" si="155"/>
        <v>#REF!</v>
      </c>
      <c r="AE221" t="e">
        <f t="shared" si="155"/>
        <v>#REF!</v>
      </c>
      <c r="AF221" t="e">
        <f t="shared" si="155"/>
        <v>#REF!</v>
      </c>
      <c r="AG221" t="e">
        <f t="shared" si="155"/>
        <v>#REF!</v>
      </c>
      <c r="AH221" t="e">
        <f t="shared" si="157"/>
        <v>#REF!</v>
      </c>
      <c r="AI221" t="e">
        <f t="shared" si="157"/>
        <v>#REF!</v>
      </c>
      <c r="AJ221" t="e">
        <f t="shared" si="157"/>
        <v>#REF!</v>
      </c>
      <c r="AK221" t="e">
        <f t="shared" si="157"/>
        <v>#REF!</v>
      </c>
      <c r="AL221" t="e">
        <f t="shared" si="157"/>
        <v>#REF!</v>
      </c>
      <c r="AM221" t="e">
        <f t="shared" si="157"/>
        <v>#REF!</v>
      </c>
      <c r="AN221" t="e">
        <f t="shared" si="157"/>
        <v>#REF!</v>
      </c>
      <c r="AO221" t="e">
        <f t="shared" si="157"/>
        <v>#REF!</v>
      </c>
      <c r="AP221" t="e">
        <f t="shared" si="157"/>
        <v>#REF!</v>
      </c>
      <c r="AQ221" t="e">
        <f t="shared" si="157"/>
        <v>#REF!</v>
      </c>
      <c r="AR221" t="e">
        <f t="shared" si="157"/>
        <v>#REF!</v>
      </c>
      <c r="AS221" t="e">
        <f t="shared" si="173"/>
        <v>#REF!</v>
      </c>
      <c r="AT221" t="e">
        <f t="shared" si="173"/>
        <v>#REF!</v>
      </c>
      <c r="AU221" t="e">
        <f t="shared" si="173"/>
        <v>#REF!</v>
      </c>
      <c r="AV221" t="e">
        <f t="shared" si="173"/>
        <v>#REF!</v>
      </c>
      <c r="AW221" t="e">
        <f t="shared" si="173"/>
        <v>#REF!</v>
      </c>
      <c r="AX221" t="e">
        <f t="shared" si="173"/>
        <v>#REF!</v>
      </c>
      <c r="AY221" t="e">
        <f t="shared" si="173"/>
        <v>#REF!</v>
      </c>
      <c r="AZ221" t="e">
        <f t="shared" si="173"/>
        <v>#REF!</v>
      </c>
      <c r="BA221" t="e">
        <f t="shared" si="173"/>
        <v>#REF!</v>
      </c>
      <c r="BB221" t="e">
        <f t="shared" si="173"/>
        <v>#REF!</v>
      </c>
      <c r="BC221" t="e">
        <f t="shared" si="173"/>
        <v>#REF!</v>
      </c>
      <c r="BD221" t="e">
        <f t="shared" si="173"/>
        <v>#REF!</v>
      </c>
      <c r="BE221" t="e">
        <f t="shared" si="173"/>
        <v>#REF!</v>
      </c>
      <c r="BF221" t="e">
        <f t="shared" si="173"/>
        <v>#REF!</v>
      </c>
      <c r="BG221" t="e">
        <f t="shared" si="173"/>
        <v>#REF!</v>
      </c>
      <c r="BH221" t="e">
        <f t="shared" si="173"/>
        <v>#REF!</v>
      </c>
      <c r="BI221" t="e">
        <f t="shared" si="172"/>
        <v>#REF!</v>
      </c>
      <c r="BJ221" t="e">
        <f t="shared" si="172"/>
        <v>#REF!</v>
      </c>
      <c r="BK221" t="e">
        <f t="shared" si="172"/>
        <v>#REF!</v>
      </c>
      <c r="BL221" t="e">
        <f t="shared" si="158"/>
        <v>#REF!</v>
      </c>
      <c r="BM221" t="e">
        <f t="shared" si="158"/>
        <v>#REF!</v>
      </c>
      <c r="BN221" t="e">
        <f t="shared" si="158"/>
        <v>#REF!</v>
      </c>
      <c r="BO221" t="e">
        <f t="shared" si="158"/>
        <v>#REF!</v>
      </c>
      <c r="BP221" t="e">
        <f t="shared" si="158"/>
        <v>#REF!</v>
      </c>
      <c r="BQ221" t="e">
        <f t="shared" si="158"/>
        <v>#REF!</v>
      </c>
      <c r="BR221" t="e">
        <f t="shared" si="158"/>
        <v>#REF!</v>
      </c>
      <c r="BS221" t="e">
        <f t="shared" si="158"/>
        <v>#REF!</v>
      </c>
      <c r="BT221" t="e">
        <f t="shared" si="158"/>
        <v>#REF!</v>
      </c>
      <c r="BU221" t="e">
        <f t="shared" si="158"/>
        <v>#REF!</v>
      </c>
      <c r="BV221" t="e">
        <f t="shared" si="161"/>
        <v>#REF!</v>
      </c>
      <c r="BW221" t="e">
        <f t="shared" si="161"/>
        <v>#REF!</v>
      </c>
      <c r="BX221" t="e">
        <f t="shared" si="161"/>
        <v>#REF!</v>
      </c>
      <c r="BY221" t="e">
        <f t="shared" si="161"/>
        <v>#REF!</v>
      </c>
      <c r="BZ221" t="e">
        <f t="shared" si="161"/>
        <v>#REF!</v>
      </c>
      <c r="CA221" t="e">
        <f t="shared" si="161"/>
        <v>#REF!</v>
      </c>
      <c r="CB221" t="e">
        <f t="shared" si="161"/>
        <v>#REF!</v>
      </c>
      <c r="CC221" t="e">
        <f t="shared" si="161"/>
        <v>#REF!</v>
      </c>
      <c r="CD221" t="e">
        <f t="shared" si="161"/>
        <v>#REF!</v>
      </c>
      <c r="CE221" t="e">
        <f t="shared" si="161"/>
        <v>#REF!</v>
      </c>
      <c r="CF221" t="e">
        <f t="shared" si="163"/>
        <v>#REF!</v>
      </c>
      <c r="CG221" t="e">
        <f t="shared" si="163"/>
        <v>#REF!</v>
      </c>
      <c r="CH221" t="e">
        <f t="shared" si="163"/>
        <v>#REF!</v>
      </c>
      <c r="CI221" t="e">
        <f t="shared" si="163"/>
        <v>#REF!</v>
      </c>
      <c r="CJ221" t="e">
        <f t="shared" si="163"/>
        <v>#REF!</v>
      </c>
      <c r="CK221" t="e">
        <f t="shared" si="163"/>
        <v>#REF!</v>
      </c>
      <c r="CL221" t="e">
        <f t="shared" si="163"/>
        <v>#REF!</v>
      </c>
      <c r="CM221" t="e">
        <f t="shared" si="163"/>
        <v>#REF!</v>
      </c>
      <c r="CN221" t="e">
        <f t="shared" si="163"/>
        <v>#REF!</v>
      </c>
      <c r="CO221" t="e">
        <f t="shared" si="163"/>
        <v>#REF!</v>
      </c>
      <c r="CP221" t="e">
        <f t="shared" si="163"/>
        <v>#REF!</v>
      </c>
      <c r="CQ221" t="e">
        <f t="shared" si="163"/>
        <v>#REF!</v>
      </c>
      <c r="CR221" t="e">
        <f t="shared" si="163"/>
        <v>#REF!</v>
      </c>
      <c r="CS221" t="e">
        <f t="shared" si="163"/>
        <v>#REF!</v>
      </c>
      <c r="CT221" t="e">
        <f t="shared" si="163"/>
        <v>#REF!</v>
      </c>
      <c r="CU221" t="e">
        <f t="shared" si="163"/>
        <v>#REF!</v>
      </c>
      <c r="CV221" t="e">
        <f t="shared" si="166"/>
        <v>#REF!</v>
      </c>
      <c r="CW221" t="e">
        <f t="shared" si="166"/>
        <v>#REF!</v>
      </c>
      <c r="CX221" t="e">
        <f t="shared" si="166"/>
        <v>#REF!</v>
      </c>
      <c r="CY221" t="e">
        <f t="shared" si="166"/>
        <v>#REF!</v>
      </c>
      <c r="CZ221" t="e">
        <f t="shared" si="164"/>
        <v>#REF!</v>
      </c>
      <c r="DA221" t="e">
        <f t="shared" si="164"/>
        <v>#REF!</v>
      </c>
      <c r="DB221" t="e">
        <f t="shared" si="164"/>
        <v>#REF!</v>
      </c>
      <c r="DC221" t="e">
        <f t="shared" si="164"/>
        <v>#REF!</v>
      </c>
      <c r="DD221" t="e">
        <f t="shared" si="164"/>
        <v>#REF!</v>
      </c>
      <c r="DE221" t="e">
        <f t="shared" si="164"/>
        <v>#REF!</v>
      </c>
      <c r="DF221" t="e">
        <f t="shared" si="164"/>
        <v>#REF!</v>
      </c>
      <c r="DG221" t="e">
        <f t="shared" si="164"/>
        <v>#REF!</v>
      </c>
      <c r="DH221" t="e">
        <f t="shared" si="164"/>
        <v>#REF!</v>
      </c>
      <c r="DI221" t="e">
        <f t="shared" si="164"/>
        <v>#REF!</v>
      </c>
      <c r="DJ221" t="e">
        <f t="shared" si="164"/>
        <v>#REF!</v>
      </c>
      <c r="DK221" t="e">
        <f t="shared" si="164"/>
        <v>#REF!</v>
      </c>
      <c r="DL221" t="e">
        <f t="shared" si="164"/>
        <v>#REF!</v>
      </c>
      <c r="DM221" t="e">
        <f t="shared" si="164"/>
        <v>#REF!</v>
      </c>
      <c r="DN221" t="e">
        <f t="shared" si="171"/>
        <v>#REF!</v>
      </c>
      <c r="DO221" t="e">
        <f t="shared" si="171"/>
        <v>#REF!</v>
      </c>
      <c r="DP221" t="e">
        <f t="shared" si="171"/>
        <v>#REF!</v>
      </c>
      <c r="DQ221" t="e">
        <f t="shared" si="171"/>
        <v>#REF!</v>
      </c>
      <c r="DR221" t="e">
        <f t="shared" si="171"/>
        <v>#REF!</v>
      </c>
      <c r="DS221" t="e">
        <f t="shared" si="171"/>
        <v>#REF!</v>
      </c>
      <c r="DT221" t="e">
        <f t="shared" si="171"/>
        <v>#REF!</v>
      </c>
      <c r="DU221" t="e">
        <f t="shared" si="171"/>
        <v>#REF!</v>
      </c>
      <c r="DV221" t="e">
        <f t="shared" si="171"/>
        <v>#REF!</v>
      </c>
      <c r="DW221" t="e">
        <f t="shared" si="171"/>
        <v>#REF!</v>
      </c>
      <c r="DX221" t="e">
        <f t="shared" si="171"/>
        <v>#REF!</v>
      </c>
      <c r="DY221" t="e">
        <f t="shared" si="171"/>
        <v>#REF!</v>
      </c>
      <c r="DZ221" t="e">
        <f t="shared" si="153"/>
        <v>#REF!</v>
      </c>
      <c r="EA221" t="e">
        <f t="shared" si="153"/>
        <v>#REF!</v>
      </c>
      <c r="EB221" t="e">
        <f t="shared" si="153"/>
        <v>#REF!</v>
      </c>
      <c r="EC221" t="e">
        <f t="shared" si="153"/>
        <v>#REF!</v>
      </c>
      <c r="ED221" t="e">
        <f t="shared" si="153"/>
        <v>#REF!</v>
      </c>
      <c r="EE221" t="e">
        <f t="shared" si="153"/>
        <v>#REF!</v>
      </c>
      <c r="EF221" t="e">
        <f t="shared" si="153"/>
        <v>#REF!</v>
      </c>
      <c r="EG221" t="e">
        <f t="shared" si="153"/>
        <v>#REF!</v>
      </c>
      <c r="EH221" t="e">
        <f t="shared" si="165"/>
        <v>#REF!</v>
      </c>
      <c r="EI221" t="e">
        <f t="shared" si="165"/>
        <v>#REF!</v>
      </c>
      <c r="EJ221" t="e">
        <f t="shared" si="165"/>
        <v>#REF!</v>
      </c>
      <c r="EK221" t="e">
        <f t="shared" si="165"/>
        <v>#REF!</v>
      </c>
      <c r="EL221" t="e">
        <f t="shared" si="165"/>
        <v>#REF!</v>
      </c>
      <c r="EM221" t="e">
        <f t="shared" si="165"/>
        <v>#REF!</v>
      </c>
    </row>
    <row r="222" spans="1:143" x14ac:dyDescent="0.4">
      <c r="A222" t="str">
        <f t="shared" si="170"/>
        <v>X</v>
      </c>
      <c r="B222">
        <v>219</v>
      </c>
      <c r="C222" t="e" cm="1">
        <f t="array" ref="C222">INDEX(auto_Series_Code,B222)</f>
        <v>#REF!</v>
      </c>
      <c r="D222" t="e">
        <f t="shared" si="168"/>
        <v>#REF!</v>
      </c>
      <c r="E222" t="e">
        <f t="shared" si="168"/>
        <v>#REF!</v>
      </c>
      <c r="F222" t="e">
        <f t="shared" si="168"/>
        <v>#REF!</v>
      </c>
      <c r="G222" t="e">
        <f t="shared" si="168"/>
        <v>#REF!</v>
      </c>
      <c r="H222" t="e">
        <f t="shared" si="168"/>
        <v>#REF!</v>
      </c>
      <c r="I222" t="e">
        <f t="shared" si="168"/>
        <v>#REF!</v>
      </c>
      <c r="J222" t="e">
        <f t="shared" si="168"/>
        <v>#REF!</v>
      </c>
      <c r="K222" t="e">
        <f t="shared" si="168"/>
        <v>#REF!</v>
      </c>
      <c r="L222" t="e">
        <f t="shared" si="168"/>
        <v>#REF!</v>
      </c>
      <c r="M222" t="e">
        <f t="shared" si="168"/>
        <v>#REF!</v>
      </c>
      <c r="N222" t="e">
        <f t="shared" si="168"/>
        <v>#REF!</v>
      </c>
      <c r="O222" t="e">
        <f t="shared" si="168"/>
        <v>#REF!</v>
      </c>
      <c r="P222" t="e">
        <f t="shared" si="168"/>
        <v>#REF!</v>
      </c>
      <c r="Q222" t="e">
        <f t="shared" si="168"/>
        <v>#REF!</v>
      </c>
      <c r="R222" t="e">
        <f t="shared" si="168"/>
        <v>#REF!</v>
      </c>
      <c r="S222" t="e">
        <f t="shared" si="168"/>
        <v>#REF!</v>
      </c>
      <c r="T222" t="e">
        <f t="shared" si="167"/>
        <v>#REF!</v>
      </c>
      <c r="U222" t="e">
        <f t="shared" si="167"/>
        <v>#REF!</v>
      </c>
      <c r="V222" t="e">
        <f t="shared" si="167"/>
        <v>#REF!</v>
      </c>
      <c r="W222" t="e">
        <f t="shared" si="167"/>
        <v>#REF!</v>
      </c>
      <c r="X222" t="e">
        <f t="shared" si="167"/>
        <v>#REF!</v>
      </c>
      <c r="Y222" t="e">
        <f t="shared" si="167"/>
        <v>#REF!</v>
      </c>
      <c r="Z222" t="e">
        <f t="shared" si="167"/>
        <v>#REF!</v>
      </c>
      <c r="AA222" t="e">
        <f t="shared" si="167"/>
        <v>#REF!</v>
      </c>
      <c r="AB222" t="e">
        <f t="shared" si="167"/>
        <v>#REF!</v>
      </c>
      <c r="AC222" t="e">
        <f t="shared" si="167"/>
        <v>#REF!</v>
      </c>
      <c r="AD222" t="e">
        <f t="shared" si="167"/>
        <v>#REF!</v>
      </c>
      <c r="AE222" t="e">
        <f t="shared" si="167"/>
        <v>#REF!</v>
      </c>
      <c r="AF222" t="e">
        <f t="shared" si="167"/>
        <v>#REF!</v>
      </c>
      <c r="AG222" t="e">
        <f t="shared" si="167"/>
        <v>#REF!</v>
      </c>
      <c r="AH222" t="e">
        <f t="shared" si="157"/>
        <v>#REF!</v>
      </c>
      <c r="AI222" t="e">
        <f t="shared" si="157"/>
        <v>#REF!</v>
      </c>
      <c r="AJ222" t="e">
        <f t="shared" si="157"/>
        <v>#REF!</v>
      </c>
      <c r="AK222" t="e">
        <f t="shared" si="157"/>
        <v>#REF!</v>
      </c>
      <c r="AL222" t="e">
        <f t="shared" si="157"/>
        <v>#REF!</v>
      </c>
      <c r="AM222" t="e">
        <f t="shared" si="157"/>
        <v>#REF!</v>
      </c>
      <c r="AN222" t="e">
        <f t="shared" si="157"/>
        <v>#REF!</v>
      </c>
      <c r="AO222" t="e">
        <f t="shared" si="157"/>
        <v>#REF!</v>
      </c>
      <c r="AP222" t="e">
        <f t="shared" si="157"/>
        <v>#REF!</v>
      </c>
      <c r="AQ222" t="e">
        <f t="shared" si="157"/>
        <v>#REF!</v>
      </c>
      <c r="AR222" t="e">
        <f t="shared" si="157"/>
        <v>#REF!</v>
      </c>
      <c r="AS222" t="e">
        <f t="shared" si="173"/>
        <v>#REF!</v>
      </c>
      <c r="AT222" t="e">
        <f t="shared" si="173"/>
        <v>#REF!</v>
      </c>
      <c r="AU222" t="e">
        <f t="shared" si="173"/>
        <v>#REF!</v>
      </c>
      <c r="AV222" t="e">
        <f t="shared" si="173"/>
        <v>#REF!</v>
      </c>
      <c r="AW222" t="e">
        <f t="shared" si="173"/>
        <v>#REF!</v>
      </c>
      <c r="AX222" t="e">
        <f t="shared" si="173"/>
        <v>#REF!</v>
      </c>
      <c r="AY222" t="e">
        <f t="shared" si="173"/>
        <v>#REF!</v>
      </c>
      <c r="AZ222" t="e">
        <f t="shared" si="173"/>
        <v>#REF!</v>
      </c>
      <c r="BA222" t="e">
        <f t="shared" si="173"/>
        <v>#REF!</v>
      </c>
      <c r="BB222" t="e">
        <f t="shared" si="173"/>
        <v>#REF!</v>
      </c>
      <c r="BC222" t="e">
        <f t="shared" si="173"/>
        <v>#REF!</v>
      </c>
      <c r="BD222" t="e">
        <f t="shared" si="173"/>
        <v>#REF!</v>
      </c>
      <c r="BE222" t="e">
        <f t="shared" si="173"/>
        <v>#REF!</v>
      </c>
      <c r="BF222" t="e">
        <f t="shared" si="173"/>
        <v>#REF!</v>
      </c>
      <c r="BG222" t="e">
        <f t="shared" si="173"/>
        <v>#REF!</v>
      </c>
      <c r="BH222" t="e">
        <f t="shared" si="173"/>
        <v>#REF!</v>
      </c>
      <c r="BI222" t="e">
        <f t="shared" si="172"/>
        <v>#REF!</v>
      </c>
      <c r="BJ222" t="e">
        <f t="shared" si="172"/>
        <v>#REF!</v>
      </c>
      <c r="BK222" t="e">
        <f t="shared" si="172"/>
        <v>#REF!</v>
      </c>
      <c r="BL222" t="e">
        <f t="shared" si="158"/>
        <v>#REF!</v>
      </c>
      <c r="BM222" t="e">
        <f t="shared" si="158"/>
        <v>#REF!</v>
      </c>
      <c r="BN222" t="e">
        <f t="shared" si="158"/>
        <v>#REF!</v>
      </c>
      <c r="BO222" t="e">
        <f t="shared" si="158"/>
        <v>#REF!</v>
      </c>
      <c r="BP222" t="e">
        <f t="shared" si="158"/>
        <v>#REF!</v>
      </c>
      <c r="BQ222" t="e">
        <f t="shared" si="158"/>
        <v>#REF!</v>
      </c>
      <c r="BR222" t="e">
        <f t="shared" si="158"/>
        <v>#REF!</v>
      </c>
      <c r="BS222" t="e">
        <f t="shared" si="158"/>
        <v>#REF!</v>
      </c>
      <c r="BT222" t="e">
        <f t="shared" si="158"/>
        <v>#REF!</v>
      </c>
      <c r="BU222" t="e">
        <f t="shared" si="158"/>
        <v>#REF!</v>
      </c>
      <c r="BV222" t="e">
        <f t="shared" si="161"/>
        <v>#REF!</v>
      </c>
      <c r="BW222" t="e">
        <f t="shared" si="161"/>
        <v>#REF!</v>
      </c>
      <c r="BX222" t="e">
        <f t="shared" si="161"/>
        <v>#REF!</v>
      </c>
      <c r="BY222" t="e">
        <f t="shared" si="161"/>
        <v>#REF!</v>
      </c>
      <c r="BZ222" t="e">
        <f t="shared" si="161"/>
        <v>#REF!</v>
      </c>
      <c r="CA222" t="e">
        <f t="shared" si="161"/>
        <v>#REF!</v>
      </c>
      <c r="CB222" t="e">
        <f t="shared" si="161"/>
        <v>#REF!</v>
      </c>
      <c r="CC222" t="e">
        <f t="shared" si="161"/>
        <v>#REF!</v>
      </c>
      <c r="CD222" t="e">
        <f t="shared" si="161"/>
        <v>#REF!</v>
      </c>
      <c r="CE222" t="e">
        <f t="shared" si="161"/>
        <v>#REF!</v>
      </c>
      <c r="CF222" t="e">
        <f t="shared" si="163"/>
        <v>#REF!</v>
      </c>
      <c r="CG222" t="e">
        <f t="shared" si="163"/>
        <v>#REF!</v>
      </c>
      <c r="CH222" t="e">
        <f t="shared" si="163"/>
        <v>#REF!</v>
      </c>
      <c r="CI222" t="e">
        <f t="shared" si="163"/>
        <v>#REF!</v>
      </c>
      <c r="CJ222" t="e">
        <f t="shared" si="163"/>
        <v>#REF!</v>
      </c>
      <c r="CK222" t="e">
        <f t="shared" si="163"/>
        <v>#REF!</v>
      </c>
      <c r="CL222" t="e">
        <f t="shared" si="163"/>
        <v>#REF!</v>
      </c>
      <c r="CM222" t="e">
        <f t="shared" ref="CM222:DB242" si="174">MATCH(CONCATENATE(CM$3,"_",$C222),auto_DataFlat_UID,0)</f>
        <v>#REF!</v>
      </c>
      <c r="CN222" t="e">
        <f t="shared" si="174"/>
        <v>#REF!</v>
      </c>
      <c r="CO222" t="e">
        <f t="shared" si="174"/>
        <v>#REF!</v>
      </c>
      <c r="CP222" t="e">
        <f t="shared" si="174"/>
        <v>#REF!</v>
      </c>
      <c r="CQ222" t="e">
        <f t="shared" si="174"/>
        <v>#REF!</v>
      </c>
      <c r="CR222" t="e">
        <f t="shared" si="174"/>
        <v>#REF!</v>
      </c>
      <c r="CS222" t="e">
        <f t="shared" si="174"/>
        <v>#REF!</v>
      </c>
      <c r="CT222" t="e">
        <f t="shared" si="174"/>
        <v>#REF!</v>
      </c>
      <c r="CU222" t="e">
        <f t="shared" si="174"/>
        <v>#REF!</v>
      </c>
      <c r="CV222" t="e">
        <f t="shared" si="174"/>
        <v>#REF!</v>
      </c>
      <c r="CW222" t="e">
        <f t="shared" si="174"/>
        <v>#REF!</v>
      </c>
      <c r="CX222" t="e">
        <f t="shared" si="174"/>
        <v>#REF!</v>
      </c>
      <c r="CY222" t="e">
        <f t="shared" si="174"/>
        <v>#REF!</v>
      </c>
      <c r="CZ222" t="e">
        <f t="shared" si="164"/>
        <v>#REF!</v>
      </c>
      <c r="DA222" t="e">
        <f t="shared" si="164"/>
        <v>#REF!</v>
      </c>
      <c r="DB222" t="e">
        <f t="shared" si="164"/>
        <v>#REF!</v>
      </c>
      <c r="DC222" t="e">
        <f t="shared" si="164"/>
        <v>#REF!</v>
      </c>
      <c r="DD222" t="e">
        <f t="shared" si="164"/>
        <v>#REF!</v>
      </c>
      <c r="DE222" t="e">
        <f t="shared" si="164"/>
        <v>#REF!</v>
      </c>
      <c r="DF222" t="e">
        <f t="shared" si="164"/>
        <v>#REF!</v>
      </c>
      <c r="DG222" t="e">
        <f t="shared" si="164"/>
        <v>#REF!</v>
      </c>
      <c r="DH222" t="e">
        <f t="shared" si="164"/>
        <v>#REF!</v>
      </c>
      <c r="DI222" t="e">
        <f t="shared" si="164"/>
        <v>#REF!</v>
      </c>
      <c r="DJ222" t="e">
        <f t="shared" si="164"/>
        <v>#REF!</v>
      </c>
      <c r="DK222" t="e">
        <f t="shared" si="164"/>
        <v>#REF!</v>
      </c>
      <c r="DL222" t="e">
        <f t="shared" si="164"/>
        <v>#REF!</v>
      </c>
      <c r="DM222" t="e">
        <f t="shared" si="164"/>
        <v>#REF!</v>
      </c>
      <c r="DN222" t="e">
        <f t="shared" si="171"/>
        <v>#REF!</v>
      </c>
      <c r="DO222" t="e">
        <f t="shared" si="171"/>
        <v>#REF!</v>
      </c>
      <c r="DP222" t="e">
        <f t="shared" si="171"/>
        <v>#REF!</v>
      </c>
      <c r="DQ222" t="e">
        <f t="shared" si="171"/>
        <v>#REF!</v>
      </c>
      <c r="DR222" t="e">
        <f t="shared" si="171"/>
        <v>#REF!</v>
      </c>
      <c r="DS222" t="e">
        <f t="shared" si="171"/>
        <v>#REF!</v>
      </c>
      <c r="DT222" t="e">
        <f t="shared" si="171"/>
        <v>#REF!</v>
      </c>
      <c r="DU222" t="e">
        <f t="shared" si="171"/>
        <v>#REF!</v>
      </c>
      <c r="DV222" t="e">
        <f t="shared" si="171"/>
        <v>#REF!</v>
      </c>
      <c r="DW222" t="e">
        <f t="shared" si="171"/>
        <v>#REF!</v>
      </c>
      <c r="DX222" t="e">
        <f t="shared" si="171"/>
        <v>#REF!</v>
      </c>
      <c r="DY222" t="e">
        <f t="shared" si="171"/>
        <v>#REF!</v>
      </c>
      <c r="DZ222" t="e">
        <f t="shared" si="153"/>
        <v>#REF!</v>
      </c>
      <c r="EA222" t="e">
        <f t="shared" si="153"/>
        <v>#REF!</v>
      </c>
      <c r="EB222" t="e">
        <f t="shared" si="153"/>
        <v>#REF!</v>
      </c>
      <c r="EC222" t="e">
        <f t="shared" si="153"/>
        <v>#REF!</v>
      </c>
      <c r="ED222" t="e">
        <f t="shared" si="153"/>
        <v>#REF!</v>
      </c>
      <c r="EE222" t="e">
        <f t="shared" si="153"/>
        <v>#REF!</v>
      </c>
      <c r="EF222" t="e">
        <f t="shared" si="153"/>
        <v>#REF!</v>
      </c>
      <c r="EG222" t="e">
        <f t="shared" si="153"/>
        <v>#REF!</v>
      </c>
      <c r="EH222" t="e">
        <f t="shared" si="165"/>
        <v>#REF!</v>
      </c>
      <c r="EI222" t="e">
        <f t="shared" si="165"/>
        <v>#REF!</v>
      </c>
      <c r="EJ222" t="e">
        <f t="shared" si="165"/>
        <v>#REF!</v>
      </c>
      <c r="EK222" t="e">
        <f t="shared" si="165"/>
        <v>#REF!</v>
      </c>
      <c r="EL222" t="e">
        <f t="shared" si="165"/>
        <v>#REF!</v>
      </c>
      <c r="EM222" t="e">
        <f t="shared" si="165"/>
        <v>#REF!</v>
      </c>
    </row>
    <row r="223" spans="1:143" x14ac:dyDescent="0.4">
      <c r="A223" t="str">
        <f t="shared" si="170"/>
        <v>X</v>
      </c>
      <c r="B223">
        <v>220</v>
      </c>
      <c r="C223" t="e" cm="1">
        <f t="array" ref="C223">INDEX(auto_Series_Code,B223)</f>
        <v>#REF!</v>
      </c>
      <c r="D223" t="e">
        <f t="shared" si="168"/>
        <v>#REF!</v>
      </c>
      <c r="E223" t="e">
        <f t="shared" si="168"/>
        <v>#REF!</v>
      </c>
      <c r="F223" t="e">
        <f t="shared" si="168"/>
        <v>#REF!</v>
      </c>
      <c r="G223" t="e">
        <f t="shared" si="168"/>
        <v>#REF!</v>
      </c>
      <c r="H223" t="e">
        <f t="shared" si="168"/>
        <v>#REF!</v>
      </c>
      <c r="I223" t="e">
        <f t="shared" si="168"/>
        <v>#REF!</v>
      </c>
      <c r="J223" t="e">
        <f t="shared" si="168"/>
        <v>#REF!</v>
      </c>
      <c r="K223" t="e">
        <f t="shared" si="168"/>
        <v>#REF!</v>
      </c>
      <c r="L223" t="e">
        <f t="shared" si="168"/>
        <v>#REF!</v>
      </c>
      <c r="M223" t="e">
        <f t="shared" si="168"/>
        <v>#REF!</v>
      </c>
      <c r="N223" t="e">
        <f t="shared" si="168"/>
        <v>#REF!</v>
      </c>
      <c r="O223" t="e">
        <f t="shared" si="168"/>
        <v>#REF!</v>
      </c>
      <c r="P223" t="e">
        <f t="shared" si="168"/>
        <v>#REF!</v>
      </c>
      <c r="Q223" t="e">
        <f t="shared" si="168"/>
        <v>#REF!</v>
      </c>
      <c r="R223" t="e">
        <f t="shared" si="168"/>
        <v>#REF!</v>
      </c>
      <c r="S223" t="e">
        <f t="shared" si="168"/>
        <v>#REF!</v>
      </c>
      <c r="T223" t="e">
        <f t="shared" si="167"/>
        <v>#REF!</v>
      </c>
      <c r="U223" t="e">
        <f t="shared" si="167"/>
        <v>#REF!</v>
      </c>
      <c r="V223" t="e">
        <f t="shared" si="167"/>
        <v>#REF!</v>
      </c>
      <c r="W223" t="e">
        <f t="shared" si="167"/>
        <v>#REF!</v>
      </c>
      <c r="X223" t="e">
        <f t="shared" si="167"/>
        <v>#REF!</v>
      </c>
      <c r="Y223" t="e">
        <f t="shared" si="167"/>
        <v>#REF!</v>
      </c>
      <c r="Z223" t="e">
        <f t="shared" si="167"/>
        <v>#REF!</v>
      </c>
      <c r="AA223" t="e">
        <f t="shared" si="167"/>
        <v>#REF!</v>
      </c>
      <c r="AB223" t="e">
        <f t="shared" si="167"/>
        <v>#REF!</v>
      </c>
      <c r="AC223" t="e">
        <f t="shared" si="167"/>
        <v>#REF!</v>
      </c>
      <c r="AD223" t="e">
        <f t="shared" si="167"/>
        <v>#REF!</v>
      </c>
      <c r="AE223" t="e">
        <f t="shared" si="167"/>
        <v>#REF!</v>
      </c>
      <c r="AF223" t="e">
        <f t="shared" si="167"/>
        <v>#REF!</v>
      </c>
      <c r="AG223" t="e">
        <f t="shared" si="167"/>
        <v>#REF!</v>
      </c>
      <c r="AH223" t="e">
        <f t="shared" si="157"/>
        <v>#REF!</v>
      </c>
      <c r="AI223" t="e">
        <f t="shared" si="157"/>
        <v>#REF!</v>
      </c>
      <c r="AJ223" t="e">
        <f t="shared" si="157"/>
        <v>#REF!</v>
      </c>
      <c r="AK223" t="e">
        <f t="shared" si="157"/>
        <v>#REF!</v>
      </c>
      <c r="AL223" t="e">
        <f t="shared" si="157"/>
        <v>#REF!</v>
      </c>
      <c r="AM223" t="e">
        <f t="shared" si="157"/>
        <v>#REF!</v>
      </c>
      <c r="AN223" t="e">
        <f t="shared" si="157"/>
        <v>#REF!</v>
      </c>
      <c r="AO223" t="e">
        <f t="shared" si="157"/>
        <v>#REF!</v>
      </c>
      <c r="AP223" t="e">
        <f t="shared" si="157"/>
        <v>#REF!</v>
      </c>
      <c r="AQ223" t="e">
        <f t="shared" si="157"/>
        <v>#REF!</v>
      </c>
      <c r="AR223" t="e">
        <f t="shared" si="157"/>
        <v>#REF!</v>
      </c>
      <c r="AS223" t="e">
        <f t="shared" si="173"/>
        <v>#REF!</v>
      </c>
      <c r="AT223" t="e">
        <f t="shared" si="173"/>
        <v>#REF!</v>
      </c>
      <c r="AU223" t="e">
        <f t="shared" si="173"/>
        <v>#REF!</v>
      </c>
      <c r="AV223" t="e">
        <f t="shared" si="173"/>
        <v>#REF!</v>
      </c>
      <c r="AW223" t="e">
        <f t="shared" si="173"/>
        <v>#REF!</v>
      </c>
      <c r="AX223" t="e">
        <f t="shared" si="173"/>
        <v>#REF!</v>
      </c>
      <c r="AY223" t="e">
        <f t="shared" si="173"/>
        <v>#REF!</v>
      </c>
      <c r="AZ223" t="e">
        <f t="shared" si="173"/>
        <v>#REF!</v>
      </c>
      <c r="BA223" t="e">
        <f t="shared" si="173"/>
        <v>#REF!</v>
      </c>
      <c r="BB223" t="e">
        <f t="shared" si="173"/>
        <v>#REF!</v>
      </c>
      <c r="BC223" t="e">
        <f t="shared" si="173"/>
        <v>#REF!</v>
      </c>
      <c r="BD223" t="e">
        <f t="shared" si="173"/>
        <v>#REF!</v>
      </c>
      <c r="BE223" t="e">
        <f t="shared" si="173"/>
        <v>#REF!</v>
      </c>
      <c r="BF223" t="e">
        <f t="shared" si="173"/>
        <v>#REF!</v>
      </c>
      <c r="BG223" t="e">
        <f t="shared" si="173"/>
        <v>#REF!</v>
      </c>
      <c r="BH223" t="e">
        <f t="shared" si="173"/>
        <v>#REF!</v>
      </c>
      <c r="BI223" t="e">
        <f t="shared" si="172"/>
        <v>#REF!</v>
      </c>
      <c r="BJ223" t="e">
        <f t="shared" si="172"/>
        <v>#REF!</v>
      </c>
      <c r="BK223" t="e">
        <f t="shared" si="172"/>
        <v>#REF!</v>
      </c>
      <c r="BL223" t="e">
        <f t="shared" si="158"/>
        <v>#REF!</v>
      </c>
      <c r="BM223" t="e">
        <f t="shared" si="158"/>
        <v>#REF!</v>
      </c>
      <c r="BN223" t="e">
        <f t="shared" si="158"/>
        <v>#REF!</v>
      </c>
      <c r="BO223" t="e">
        <f t="shared" si="158"/>
        <v>#REF!</v>
      </c>
      <c r="BP223" t="e">
        <f t="shared" si="158"/>
        <v>#REF!</v>
      </c>
      <c r="BQ223" t="e">
        <f t="shared" si="158"/>
        <v>#REF!</v>
      </c>
      <c r="BR223" t="e">
        <f t="shared" si="158"/>
        <v>#REF!</v>
      </c>
      <c r="BS223" t="e">
        <f t="shared" si="158"/>
        <v>#REF!</v>
      </c>
      <c r="BT223" t="e">
        <f t="shared" si="158"/>
        <v>#REF!</v>
      </c>
      <c r="BU223" t="e">
        <f t="shared" si="158"/>
        <v>#REF!</v>
      </c>
      <c r="BV223" t="e">
        <f t="shared" si="161"/>
        <v>#REF!</v>
      </c>
      <c r="BW223" t="e">
        <f t="shared" si="161"/>
        <v>#REF!</v>
      </c>
      <c r="BX223" t="e">
        <f t="shared" si="161"/>
        <v>#REF!</v>
      </c>
      <c r="BY223" t="e">
        <f t="shared" si="161"/>
        <v>#REF!</v>
      </c>
      <c r="BZ223" t="e">
        <f t="shared" si="161"/>
        <v>#REF!</v>
      </c>
      <c r="CA223" t="e">
        <f t="shared" si="161"/>
        <v>#REF!</v>
      </c>
      <c r="CB223" t="e">
        <f t="shared" si="161"/>
        <v>#REF!</v>
      </c>
      <c r="CC223" t="e">
        <f t="shared" si="161"/>
        <v>#REF!</v>
      </c>
      <c r="CD223" t="e">
        <f t="shared" si="161"/>
        <v>#REF!</v>
      </c>
      <c r="CE223" t="e">
        <f t="shared" si="161"/>
        <v>#REF!</v>
      </c>
      <c r="CF223" t="e">
        <f t="shared" ref="CF223:CU246" si="175">MATCH(CONCATENATE(CF$3,"_",$C223),auto_DataFlat_UID,0)</f>
        <v>#REF!</v>
      </c>
      <c r="CG223" t="e">
        <f t="shared" si="175"/>
        <v>#REF!</v>
      </c>
      <c r="CH223" t="e">
        <f t="shared" si="175"/>
        <v>#REF!</v>
      </c>
      <c r="CI223" t="e">
        <f t="shared" si="175"/>
        <v>#REF!</v>
      </c>
      <c r="CJ223" t="e">
        <f t="shared" si="175"/>
        <v>#REF!</v>
      </c>
      <c r="CK223" t="e">
        <f t="shared" si="175"/>
        <v>#REF!</v>
      </c>
      <c r="CL223" t="e">
        <f t="shared" si="175"/>
        <v>#REF!</v>
      </c>
      <c r="CM223" t="e">
        <f t="shared" si="175"/>
        <v>#REF!</v>
      </c>
      <c r="CN223" t="e">
        <f t="shared" si="175"/>
        <v>#REF!</v>
      </c>
      <c r="CO223" t="e">
        <f t="shared" si="175"/>
        <v>#REF!</v>
      </c>
      <c r="CP223" t="e">
        <f t="shared" si="174"/>
        <v>#REF!</v>
      </c>
      <c r="CQ223" t="e">
        <f t="shared" si="174"/>
        <v>#REF!</v>
      </c>
      <c r="CR223" t="e">
        <f t="shared" si="174"/>
        <v>#REF!</v>
      </c>
      <c r="CS223" t="e">
        <f t="shared" si="174"/>
        <v>#REF!</v>
      </c>
      <c r="CT223" t="e">
        <f t="shared" si="174"/>
        <v>#REF!</v>
      </c>
      <c r="CU223" t="e">
        <f t="shared" si="174"/>
        <v>#REF!</v>
      </c>
      <c r="CV223" t="e">
        <f t="shared" si="174"/>
        <v>#REF!</v>
      </c>
      <c r="CW223" t="e">
        <f t="shared" si="174"/>
        <v>#REF!</v>
      </c>
      <c r="CX223" t="e">
        <f t="shared" si="174"/>
        <v>#REF!</v>
      </c>
      <c r="CY223" t="e">
        <f t="shared" si="174"/>
        <v>#REF!</v>
      </c>
      <c r="CZ223" t="e">
        <f t="shared" si="164"/>
        <v>#REF!</v>
      </c>
      <c r="DA223" t="e">
        <f t="shared" si="164"/>
        <v>#REF!</v>
      </c>
      <c r="DB223" t="e">
        <f t="shared" si="164"/>
        <v>#REF!</v>
      </c>
      <c r="DC223" t="e">
        <f t="shared" si="164"/>
        <v>#REF!</v>
      </c>
      <c r="DD223" t="e">
        <f t="shared" si="164"/>
        <v>#REF!</v>
      </c>
      <c r="DE223" t="e">
        <f t="shared" si="164"/>
        <v>#REF!</v>
      </c>
      <c r="DF223" t="e">
        <f t="shared" si="164"/>
        <v>#REF!</v>
      </c>
      <c r="DG223" t="e">
        <f t="shared" si="164"/>
        <v>#REF!</v>
      </c>
      <c r="DH223" t="e">
        <f t="shared" si="164"/>
        <v>#REF!</v>
      </c>
      <c r="DI223" t="e">
        <f t="shared" si="164"/>
        <v>#REF!</v>
      </c>
      <c r="DJ223" t="e">
        <f t="shared" si="164"/>
        <v>#REF!</v>
      </c>
      <c r="DK223" t="e">
        <f t="shared" si="164"/>
        <v>#REF!</v>
      </c>
      <c r="DL223" t="e">
        <f t="shared" si="164"/>
        <v>#REF!</v>
      </c>
      <c r="DM223" t="e">
        <f t="shared" si="164"/>
        <v>#REF!</v>
      </c>
      <c r="DN223" t="e">
        <f t="shared" si="171"/>
        <v>#REF!</v>
      </c>
      <c r="DO223" t="e">
        <f t="shared" si="171"/>
        <v>#REF!</v>
      </c>
      <c r="DP223" t="e">
        <f t="shared" si="171"/>
        <v>#REF!</v>
      </c>
      <c r="DQ223" t="e">
        <f t="shared" si="171"/>
        <v>#REF!</v>
      </c>
      <c r="DR223" t="e">
        <f t="shared" si="171"/>
        <v>#REF!</v>
      </c>
      <c r="DS223" t="e">
        <f t="shared" si="171"/>
        <v>#REF!</v>
      </c>
      <c r="DT223" t="e">
        <f t="shared" si="171"/>
        <v>#REF!</v>
      </c>
      <c r="DU223" t="e">
        <f t="shared" si="171"/>
        <v>#REF!</v>
      </c>
      <c r="DV223" t="e">
        <f t="shared" si="171"/>
        <v>#REF!</v>
      </c>
      <c r="DW223" t="e">
        <f t="shared" si="171"/>
        <v>#REF!</v>
      </c>
      <c r="DX223" t="e">
        <f t="shared" si="171"/>
        <v>#REF!</v>
      </c>
      <c r="DY223" t="e">
        <f t="shared" si="171"/>
        <v>#REF!</v>
      </c>
      <c r="DZ223" t="e">
        <f t="shared" si="153"/>
        <v>#REF!</v>
      </c>
      <c r="EA223" t="e">
        <f t="shared" si="153"/>
        <v>#REF!</v>
      </c>
      <c r="EB223" t="e">
        <f t="shared" si="153"/>
        <v>#REF!</v>
      </c>
      <c r="EC223" t="e">
        <f t="shared" si="153"/>
        <v>#REF!</v>
      </c>
      <c r="ED223" t="e">
        <f t="shared" si="153"/>
        <v>#REF!</v>
      </c>
      <c r="EE223" t="e">
        <f t="shared" si="153"/>
        <v>#REF!</v>
      </c>
      <c r="EF223" t="e">
        <f t="shared" si="153"/>
        <v>#REF!</v>
      </c>
      <c r="EG223" t="e">
        <f t="shared" si="153"/>
        <v>#REF!</v>
      </c>
      <c r="EH223" t="e">
        <f t="shared" si="165"/>
        <v>#REF!</v>
      </c>
      <c r="EI223" t="e">
        <f t="shared" si="165"/>
        <v>#REF!</v>
      </c>
      <c r="EJ223" t="e">
        <f t="shared" si="165"/>
        <v>#REF!</v>
      </c>
      <c r="EK223" t="e">
        <f t="shared" si="165"/>
        <v>#REF!</v>
      </c>
      <c r="EL223" t="e">
        <f t="shared" si="165"/>
        <v>#REF!</v>
      </c>
      <c r="EM223" t="e">
        <f t="shared" si="165"/>
        <v>#REF!</v>
      </c>
    </row>
    <row r="224" spans="1:143" x14ac:dyDescent="0.4">
      <c r="A224" t="str">
        <f t="shared" si="170"/>
        <v>X</v>
      </c>
      <c r="B224">
        <v>221</v>
      </c>
      <c r="C224" t="e" cm="1">
        <f t="array" ref="C224">INDEX(auto_Series_Code,B224)</f>
        <v>#REF!</v>
      </c>
      <c r="D224" t="e">
        <f t="shared" si="168"/>
        <v>#REF!</v>
      </c>
      <c r="E224" t="e">
        <f t="shared" si="168"/>
        <v>#REF!</v>
      </c>
      <c r="F224" t="e">
        <f t="shared" si="168"/>
        <v>#REF!</v>
      </c>
      <c r="G224" t="e">
        <f t="shared" si="168"/>
        <v>#REF!</v>
      </c>
      <c r="H224" t="e">
        <f t="shared" si="168"/>
        <v>#REF!</v>
      </c>
      <c r="I224" t="e">
        <f t="shared" si="168"/>
        <v>#REF!</v>
      </c>
      <c r="J224" t="e">
        <f t="shared" si="168"/>
        <v>#REF!</v>
      </c>
      <c r="K224" t="e">
        <f t="shared" si="168"/>
        <v>#REF!</v>
      </c>
      <c r="L224" t="e">
        <f t="shared" si="168"/>
        <v>#REF!</v>
      </c>
      <c r="M224" t="e">
        <f t="shared" si="168"/>
        <v>#REF!</v>
      </c>
      <c r="N224" t="e">
        <f t="shared" si="168"/>
        <v>#REF!</v>
      </c>
      <c r="O224" t="e">
        <f t="shared" si="168"/>
        <v>#REF!</v>
      </c>
      <c r="P224" t="e">
        <f t="shared" si="168"/>
        <v>#REF!</v>
      </c>
      <c r="Q224" t="e">
        <f t="shared" si="168"/>
        <v>#REF!</v>
      </c>
      <c r="R224" t="e">
        <f t="shared" si="168"/>
        <v>#REF!</v>
      </c>
      <c r="S224" t="e">
        <f t="shared" si="168"/>
        <v>#REF!</v>
      </c>
      <c r="T224" t="e">
        <f t="shared" si="167"/>
        <v>#REF!</v>
      </c>
      <c r="U224" t="e">
        <f t="shared" si="167"/>
        <v>#REF!</v>
      </c>
      <c r="V224" t="e">
        <f t="shared" si="167"/>
        <v>#REF!</v>
      </c>
      <c r="W224" t="e">
        <f t="shared" si="167"/>
        <v>#REF!</v>
      </c>
      <c r="X224" t="e">
        <f t="shared" si="167"/>
        <v>#REF!</v>
      </c>
      <c r="Y224" t="e">
        <f t="shared" si="167"/>
        <v>#REF!</v>
      </c>
      <c r="Z224" t="e">
        <f t="shared" si="167"/>
        <v>#REF!</v>
      </c>
      <c r="AA224" t="e">
        <f t="shared" si="167"/>
        <v>#REF!</v>
      </c>
      <c r="AB224" t="e">
        <f t="shared" si="167"/>
        <v>#REF!</v>
      </c>
      <c r="AC224" t="e">
        <f t="shared" si="167"/>
        <v>#REF!</v>
      </c>
      <c r="AD224" t="e">
        <f t="shared" si="167"/>
        <v>#REF!</v>
      </c>
      <c r="AE224" t="e">
        <f t="shared" si="167"/>
        <v>#REF!</v>
      </c>
      <c r="AF224" t="e">
        <f t="shared" si="167"/>
        <v>#REF!</v>
      </c>
      <c r="AG224" t="e">
        <f t="shared" si="167"/>
        <v>#REF!</v>
      </c>
      <c r="AH224" t="e">
        <f t="shared" si="157"/>
        <v>#REF!</v>
      </c>
      <c r="AI224" t="e">
        <f t="shared" si="157"/>
        <v>#REF!</v>
      </c>
      <c r="AJ224" t="e">
        <f t="shared" si="157"/>
        <v>#REF!</v>
      </c>
      <c r="AK224" t="e">
        <f t="shared" si="157"/>
        <v>#REF!</v>
      </c>
      <c r="AL224" t="e">
        <f t="shared" si="157"/>
        <v>#REF!</v>
      </c>
      <c r="AM224" t="e">
        <f t="shared" si="157"/>
        <v>#REF!</v>
      </c>
      <c r="AN224" t="e">
        <f t="shared" si="157"/>
        <v>#REF!</v>
      </c>
      <c r="AO224" t="e">
        <f t="shared" si="157"/>
        <v>#REF!</v>
      </c>
      <c r="AP224" t="e">
        <f t="shared" si="157"/>
        <v>#REF!</v>
      </c>
      <c r="AQ224" t="e">
        <f t="shared" si="157"/>
        <v>#REF!</v>
      </c>
      <c r="AR224" t="e">
        <f t="shared" ref="AR224:BA249" si="176">MATCH(CONCATENATE(AR$3,"_",$C224),auto_DataFlat_UID,0)</f>
        <v>#REF!</v>
      </c>
      <c r="AS224" t="e">
        <f t="shared" si="176"/>
        <v>#REF!</v>
      </c>
      <c r="AT224" t="e">
        <f t="shared" si="176"/>
        <v>#REF!</v>
      </c>
      <c r="AU224" t="e">
        <f t="shared" si="176"/>
        <v>#REF!</v>
      </c>
      <c r="AV224" t="e">
        <f t="shared" si="176"/>
        <v>#REF!</v>
      </c>
      <c r="AW224" t="e">
        <f t="shared" si="176"/>
        <v>#REF!</v>
      </c>
      <c r="AX224" t="e">
        <f t="shared" si="176"/>
        <v>#REF!</v>
      </c>
      <c r="AY224" t="e">
        <f t="shared" si="176"/>
        <v>#REF!</v>
      </c>
      <c r="AZ224" t="e">
        <f t="shared" si="176"/>
        <v>#REF!</v>
      </c>
      <c r="BA224" t="e">
        <f t="shared" si="176"/>
        <v>#REF!</v>
      </c>
      <c r="BB224" t="e">
        <f t="shared" si="173"/>
        <v>#REF!</v>
      </c>
      <c r="BC224" t="e">
        <f t="shared" si="173"/>
        <v>#REF!</v>
      </c>
      <c r="BD224" t="e">
        <f t="shared" si="173"/>
        <v>#REF!</v>
      </c>
      <c r="BE224" t="e">
        <f t="shared" si="173"/>
        <v>#REF!</v>
      </c>
      <c r="BF224" t="e">
        <f t="shared" si="173"/>
        <v>#REF!</v>
      </c>
      <c r="BG224" t="e">
        <f t="shared" si="173"/>
        <v>#REF!</v>
      </c>
      <c r="BH224" t="e">
        <f t="shared" si="173"/>
        <v>#REF!</v>
      </c>
      <c r="BI224" t="e">
        <f t="shared" si="172"/>
        <v>#REF!</v>
      </c>
      <c r="BJ224" t="e">
        <f t="shared" si="172"/>
        <v>#REF!</v>
      </c>
      <c r="BK224" t="e">
        <f t="shared" si="172"/>
        <v>#REF!</v>
      </c>
      <c r="BL224" t="e">
        <f t="shared" si="158"/>
        <v>#REF!</v>
      </c>
      <c r="BM224" t="e">
        <f t="shared" si="158"/>
        <v>#REF!</v>
      </c>
      <c r="BN224" t="e">
        <f t="shared" si="158"/>
        <v>#REF!</v>
      </c>
      <c r="BO224" t="e">
        <f t="shared" si="158"/>
        <v>#REF!</v>
      </c>
      <c r="BP224" t="e">
        <f t="shared" si="158"/>
        <v>#REF!</v>
      </c>
      <c r="BQ224" t="e">
        <f t="shared" si="158"/>
        <v>#REF!</v>
      </c>
      <c r="BR224" t="e">
        <f t="shared" si="158"/>
        <v>#REF!</v>
      </c>
      <c r="BS224" t="e">
        <f t="shared" si="158"/>
        <v>#REF!</v>
      </c>
      <c r="BT224" t="e">
        <f t="shared" si="158"/>
        <v>#REF!</v>
      </c>
      <c r="BU224" t="e">
        <f t="shared" si="158"/>
        <v>#REF!</v>
      </c>
      <c r="BV224" t="e">
        <f t="shared" si="161"/>
        <v>#REF!</v>
      </c>
      <c r="BW224" t="e">
        <f t="shared" si="161"/>
        <v>#REF!</v>
      </c>
      <c r="BX224" t="e">
        <f t="shared" si="161"/>
        <v>#REF!</v>
      </c>
      <c r="BY224" t="e">
        <f t="shared" si="161"/>
        <v>#REF!</v>
      </c>
      <c r="BZ224" t="e">
        <f t="shared" si="161"/>
        <v>#REF!</v>
      </c>
      <c r="CA224" t="e">
        <f t="shared" si="161"/>
        <v>#REF!</v>
      </c>
      <c r="CB224" t="e">
        <f t="shared" si="161"/>
        <v>#REF!</v>
      </c>
      <c r="CC224" t="e">
        <f t="shared" si="161"/>
        <v>#REF!</v>
      </c>
      <c r="CD224" t="e">
        <f t="shared" si="161"/>
        <v>#REF!</v>
      </c>
      <c r="CE224" t="e">
        <f t="shared" si="161"/>
        <v>#REF!</v>
      </c>
      <c r="CF224" t="e">
        <f t="shared" si="175"/>
        <v>#REF!</v>
      </c>
      <c r="CG224" t="e">
        <f t="shared" si="175"/>
        <v>#REF!</v>
      </c>
      <c r="CH224" t="e">
        <f t="shared" si="175"/>
        <v>#REF!</v>
      </c>
      <c r="CI224" t="e">
        <f t="shared" si="175"/>
        <v>#REF!</v>
      </c>
      <c r="CJ224" t="e">
        <f t="shared" si="175"/>
        <v>#REF!</v>
      </c>
      <c r="CK224" t="e">
        <f t="shared" si="175"/>
        <v>#REF!</v>
      </c>
      <c r="CL224" t="e">
        <f t="shared" si="175"/>
        <v>#REF!</v>
      </c>
      <c r="CM224" t="e">
        <f t="shared" si="175"/>
        <v>#REF!</v>
      </c>
      <c r="CN224" t="e">
        <f t="shared" si="175"/>
        <v>#REF!</v>
      </c>
      <c r="CO224" t="e">
        <f t="shared" si="175"/>
        <v>#REF!</v>
      </c>
      <c r="CP224" t="e">
        <f t="shared" si="174"/>
        <v>#REF!</v>
      </c>
      <c r="CQ224" t="e">
        <f t="shared" si="174"/>
        <v>#REF!</v>
      </c>
      <c r="CR224" t="e">
        <f t="shared" si="174"/>
        <v>#REF!</v>
      </c>
      <c r="CS224" t="e">
        <f t="shared" si="174"/>
        <v>#REF!</v>
      </c>
      <c r="CT224" t="e">
        <f t="shared" si="174"/>
        <v>#REF!</v>
      </c>
      <c r="CU224" t="e">
        <f t="shared" si="174"/>
        <v>#REF!</v>
      </c>
      <c r="CV224" t="e">
        <f t="shared" si="174"/>
        <v>#REF!</v>
      </c>
      <c r="CW224" t="e">
        <f t="shared" si="174"/>
        <v>#REF!</v>
      </c>
      <c r="CX224" t="e">
        <f t="shared" si="174"/>
        <v>#REF!</v>
      </c>
      <c r="CY224" t="e">
        <f t="shared" si="174"/>
        <v>#REF!</v>
      </c>
      <c r="CZ224" t="e">
        <f t="shared" si="164"/>
        <v>#REF!</v>
      </c>
      <c r="DA224" t="e">
        <f t="shared" si="164"/>
        <v>#REF!</v>
      </c>
      <c r="DB224" t="e">
        <f t="shared" si="164"/>
        <v>#REF!</v>
      </c>
      <c r="DC224" t="e">
        <f t="shared" si="164"/>
        <v>#REF!</v>
      </c>
      <c r="DD224" t="e">
        <f t="shared" si="164"/>
        <v>#REF!</v>
      </c>
      <c r="DE224" t="e">
        <f t="shared" si="164"/>
        <v>#REF!</v>
      </c>
      <c r="DF224" t="e">
        <f t="shared" si="164"/>
        <v>#REF!</v>
      </c>
      <c r="DG224" t="e">
        <f t="shared" si="164"/>
        <v>#REF!</v>
      </c>
      <c r="DH224" t="e">
        <f t="shared" si="164"/>
        <v>#REF!</v>
      </c>
      <c r="DI224" t="e">
        <f t="shared" si="164"/>
        <v>#REF!</v>
      </c>
      <c r="DJ224" t="e">
        <f t="shared" si="164"/>
        <v>#REF!</v>
      </c>
      <c r="DK224" t="e">
        <f t="shared" si="164"/>
        <v>#REF!</v>
      </c>
      <c r="DL224" t="e">
        <f t="shared" si="164"/>
        <v>#REF!</v>
      </c>
      <c r="DM224" t="e">
        <f t="shared" si="164"/>
        <v>#REF!</v>
      </c>
      <c r="DN224" t="e">
        <f t="shared" si="171"/>
        <v>#REF!</v>
      </c>
      <c r="DO224" t="e">
        <f t="shared" si="171"/>
        <v>#REF!</v>
      </c>
      <c r="DP224" t="e">
        <f t="shared" si="171"/>
        <v>#REF!</v>
      </c>
      <c r="DQ224" t="e">
        <f t="shared" si="171"/>
        <v>#REF!</v>
      </c>
      <c r="DR224" t="e">
        <f t="shared" si="171"/>
        <v>#REF!</v>
      </c>
      <c r="DS224" t="e">
        <f t="shared" si="171"/>
        <v>#REF!</v>
      </c>
      <c r="DT224" t="e">
        <f t="shared" si="171"/>
        <v>#REF!</v>
      </c>
      <c r="DU224" t="e">
        <f t="shared" si="171"/>
        <v>#REF!</v>
      </c>
      <c r="DV224" t="e">
        <f t="shared" si="171"/>
        <v>#REF!</v>
      </c>
      <c r="DW224" t="e">
        <f t="shared" si="171"/>
        <v>#REF!</v>
      </c>
      <c r="DX224" t="e">
        <f t="shared" si="171"/>
        <v>#REF!</v>
      </c>
      <c r="DY224" t="e">
        <f t="shared" si="171"/>
        <v>#REF!</v>
      </c>
      <c r="DZ224" t="e">
        <f t="shared" si="153"/>
        <v>#REF!</v>
      </c>
      <c r="EA224" t="e">
        <f t="shared" si="153"/>
        <v>#REF!</v>
      </c>
      <c r="EB224" t="e">
        <f t="shared" si="153"/>
        <v>#REF!</v>
      </c>
      <c r="EC224" t="e">
        <f t="shared" si="153"/>
        <v>#REF!</v>
      </c>
      <c r="ED224" t="e">
        <f t="shared" si="153"/>
        <v>#REF!</v>
      </c>
      <c r="EE224" t="e">
        <f t="shared" si="153"/>
        <v>#REF!</v>
      </c>
      <c r="EF224" t="e">
        <f t="shared" si="153"/>
        <v>#REF!</v>
      </c>
      <c r="EG224" t="e">
        <f t="shared" si="153"/>
        <v>#REF!</v>
      </c>
      <c r="EH224" t="e">
        <f t="shared" si="165"/>
        <v>#REF!</v>
      </c>
      <c r="EI224" t="e">
        <f t="shared" si="165"/>
        <v>#REF!</v>
      </c>
      <c r="EJ224" t="e">
        <f t="shared" si="165"/>
        <v>#REF!</v>
      </c>
      <c r="EK224" t="e">
        <f t="shared" si="165"/>
        <v>#REF!</v>
      </c>
      <c r="EL224" t="e">
        <f t="shared" si="165"/>
        <v>#REF!</v>
      </c>
      <c r="EM224" t="e">
        <f t="shared" si="165"/>
        <v>#REF!</v>
      </c>
    </row>
    <row r="225" spans="1:143" x14ac:dyDescent="0.4">
      <c r="A225" t="str">
        <f t="shared" si="170"/>
        <v>X</v>
      </c>
      <c r="B225">
        <v>222</v>
      </c>
      <c r="C225" t="e" cm="1">
        <f t="array" ref="C225">INDEX(auto_Series_Code,B225)</f>
        <v>#REF!</v>
      </c>
      <c r="D225" t="e">
        <f t="shared" si="168"/>
        <v>#REF!</v>
      </c>
      <c r="E225" t="e">
        <f t="shared" si="168"/>
        <v>#REF!</v>
      </c>
      <c r="F225" t="e">
        <f t="shared" si="168"/>
        <v>#REF!</v>
      </c>
      <c r="G225" t="e">
        <f t="shared" si="168"/>
        <v>#REF!</v>
      </c>
      <c r="H225" t="e">
        <f t="shared" si="168"/>
        <v>#REF!</v>
      </c>
      <c r="I225" t="e">
        <f t="shared" si="168"/>
        <v>#REF!</v>
      </c>
      <c r="J225" t="e">
        <f t="shared" si="168"/>
        <v>#REF!</v>
      </c>
      <c r="K225" t="e">
        <f t="shared" si="168"/>
        <v>#REF!</v>
      </c>
      <c r="L225" t="e">
        <f t="shared" si="168"/>
        <v>#REF!</v>
      </c>
      <c r="M225" t="e">
        <f t="shared" si="168"/>
        <v>#REF!</v>
      </c>
      <c r="N225" t="e">
        <f t="shared" si="168"/>
        <v>#REF!</v>
      </c>
      <c r="O225" t="e">
        <f t="shared" si="168"/>
        <v>#REF!</v>
      </c>
      <c r="P225" t="e">
        <f t="shared" si="168"/>
        <v>#REF!</v>
      </c>
      <c r="Q225" t="e">
        <f t="shared" si="168"/>
        <v>#REF!</v>
      </c>
      <c r="R225" t="e">
        <f t="shared" si="168"/>
        <v>#REF!</v>
      </c>
      <c r="S225" t="e">
        <f t="shared" si="168"/>
        <v>#REF!</v>
      </c>
      <c r="T225" t="e">
        <f t="shared" si="167"/>
        <v>#REF!</v>
      </c>
      <c r="U225" t="e">
        <f t="shared" si="167"/>
        <v>#REF!</v>
      </c>
      <c r="V225" t="e">
        <f t="shared" si="167"/>
        <v>#REF!</v>
      </c>
      <c r="W225" t="e">
        <f t="shared" si="167"/>
        <v>#REF!</v>
      </c>
      <c r="X225" t="e">
        <f t="shared" si="167"/>
        <v>#REF!</v>
      </c>
      <c r="Y225" t="e">
        <f t="shared" si="167"/>
        <v>#REF!</v>
      </c>
      <c r="Z225" t="e">
        <f t="shared" si="167"/>
        <v>#REF!</v>
      </c>
      <c r="AA225" t="e">
        <f t="shared" si="167"/>
        <v>#REF!</v>
      </c>
      <c r="AB225" t="e">
        <f t="shared" si="167"/>
        <v>#REF!</v>
      </c>
      <c r="AC225" t="e">
        <f t="shared" si="167"/>
        <v>#REF!</v>
      </c>
      <c r="AD225" t="e">
        <f t="shared" si="167"/>
        <v>#REF!</v>
      </c>
      <c r="AE225" t="e">
        <f t="shared" si="167"/>
        <v>#REF!</v>
      </c>
      <c r="AF225" t="e">
        <f t="shared" si="167"/>
        <v>#REF!</v>
      </c>
      <c r="AG225" t="e">
        <f t="shared" si="167"/>
        <v>#REF!</v>
      </c>
      <c r="AH225" t="e">
        <f t="shared" si="167"/>
        <v>#REF!</v>
      </c>
      <c r="AI225" t="e">
        <f t="shared" ref="AI225:AQ238" si="177">MATCH(CONCATENATE(AI$3,"_",$C225),auto_DataFlat_UID,0)</f>
        <v>#REF!</v>
      </c>
      <c r="AJ225" t="e">
        <f t="shared" si="177"/>
        <v>#REF!</v>
      </c>
      <c r="AK225" t="e">
        <f t="shared" si="177"/>
        <v>#REF!</v>
      </c>
      <c r="AL225" t="e">
        <f t="shared" si="177"/>
        <v>#REF!</v>
      </c>
      <c r="AM225" t="e">
        <f t="shared" si="177"/>
        <v>#REF!</v>
      </c>
      <c r="AN225" t="e">
        <f t="shared" si="177"/>
        <v>#REF!</v>
      </c>
      <c r="AO225" t="e">
        <f t="shared" si="177"/>
        <v>#REF!</v>
      </c>
      <c r="AP225" t="e">
        <f t="shared" si="177"/>
        <v>#REF!</v>
      </c>
      <c r="AQ225" t="e">
        <f t="shared" si="177"/>
        <v>#REF!</v>
      </c>
      <c r="AR225" t="e">
        <f t="shared" si="176"/>
        <v>#REF!</v>
      </c>
      <c r="AS225" t="e">
        <f t="shared" si="176"/>
        <v>#REF!</v>
      </c>
      <c r="AT225" t="e">
        <f t="shared" si="176"/>
        <v>#REF!</v>
      </c>
      <c r="AU225" t="e">
        <f t="shared" si="176"/>
        <v>#REF!</v>
      </c>
      <c r="AV225" t="e">
        <f t="shared" si="176"/>
        <v>#REF!</v>
      </c>
      <c r="AW225" t="e">
        <f t="shared" si="176"/>
        <v>#REF!</v>
      </c>
      <c r="AX225" t="e">
        <f t="shared" si="176"/>
        <v>#REF!</v>
      </c>
      <c r="AY225" t="e">
        <f t="shared" si="176"/>
        <v>#REF!</v>
      </c>
      <c r="AZ225" t="e">
        <f t="shared" si="176"/>
        <v>#REF!</v>
      </c>
      <c r="BA225" t="e">
        <f t="shared" si="176"/>
        <v>#REF!</v>
      </c>
      <c r="BB225" t="e">
        <f t="shared" si="173"/>
        <v>#REF!</v>
      </c>
      <c r="BC225" t="e">
        <f t="shared" si="173"/>
        <v>#REF!</v>
      </c>
      <c r="BD225" t="e">
        <f t="shared" si="173"/>
        <v>#REF!</v>
      </c>
      <c r="BE225" t="e">
        <f t="shared" si="173"/>
        <v>#REF!</v>
      </c>
      <c r="BF225" t="e">
        <f t="shared" si="173"/>
        <v>#REF!</v>
      </c>
      <c r="BG225" t="e">
        <f t="shared" si="173"/>
        <v>#REF!</v>
      </c>
      <c r="BH225" t="e">
        <f t="shared" si="173"/>
        <v>#REF!</v>
      </c>
      <c r="BI225" t="e">
        <f t="shared" si="172"/>
        <v>#REF!</v>
      </c>
      <c r="BJ225" t="e">
        <f t="shared" si="172"/>
        <v>#REF!</v>
      </c>
      <c r="BK225" t="e">
        <f t="shared" si="172"/>
        <v>#REF!</v>
      </c>
      <c r="BL225" t="e">
        <f t="shared" si="158"/>
        <v>#REF!</v>
      </c>
      <c r="BM225" t="e">
        <f t="shared" si="158"/>
        <v>#REF!</v>
      </c>
      <c r="BN225" t="e">
        <f t="shared" si="158"/>
        <v>#REF!</v>
      </c>
      <c r="BO225" t="e">
        <f t="shared" si="158"/>
        <v>#REF!</v>
      </c>
      <c r="BP225" t="e">
        <f t="shared" ref="BP225:BU225" si="178">MATCH(CONCATENATE(BP$3,"_",$C225),auto_DataFlat_UID,0)</f>
        <v>#REF!</v>
      </c>
      <c r="BQ225" t="e">
        <f t="shared" si="178"/>
        <v>#REF!</v>
      </c>
      <c r="BR225" t="e">
        <f t="shared" si="178"/>
        <v>#REF!</v>
      </c>
      <c r="BS225" t="e">
        <f t="shared" si="178"/>
        <v>#REF!</v>
      </c>
      <c r="BT225" t="e">
        <f t="shared" si="178"/>
        <v>#REF!</v>
      </c>
      <c r="BU225" t="e">
        <f t="shared" si="178"/>
        <v>#REF!</v>
      </c>
      <c r="BV225" t="e">
        <f t="shared" si="161"/>
        <v>#REF!</v>
      </c>
      <c r="BW225" t="e">
        <f t="shared" si="161"/>
        <v>#REF!</v>
      </c>
      <c r="BX225" t="e">
        <f t="shared" si="161"/>
        <v>#REF!</v>
      </c>
      <c r="BY225" t="e">
        <f t="shared" si="161"/>
        <v>#REF!</v>
      </c>
      <c r="BZ225" t="e">
        <f t="shared" si="161"/>
        <v>#REF!</v>
      </c>
      <c r="CA225" t="e">
        <f t="shared" si="161"/>
        <v>#REF!</v>
      </c>
      <c r="CB225" t="e">
        <f t="shared" si="161"/>
        <v>#REF!</v>
      </c>
      <c r="CC225" t="e">
        <f t="shared" si="161"/>
        <v>#REF!</v>
      </c>
      <c r="CD225" t="e">
        <f t="shared" si="161"/>
        <v>#REF!</v>
      </c>
      <c r="CE225" t="e">
        <f t="shared" si="161"/>
        <v>#REF!</v>
      </c>
      <c r="CF225" t="e">
        <f t="shared" si="175"/>
        <v>#REF!</v>
      </c>
      <c r="CG225" t="e">
        <f t="shared" si="175"/>
        <v>#REF!</v>
      </c>
      <c r="CH225" t="e">
        <f t="shared" si="175"/>
        <v>#REF!</v>
      </c>
      <c r="CI225" t="e">
        <f t="shared" si="175"/>
        <v>#REF!</v>
      </c>
      <c r="CJ225" t="e">
        <f t="shared" si="175"/>
        <v>#REF!</v>
      </c>
      <c r="CK225" t="e">
        <f t="shared" si="175"/>
        <v>#REF!</v>
      </c>
      <c r="CL225" t="e">
        <f t="shared" si="175"/>
        <v>#REF!</v>
      </c>
      <c r="CM225" t="e">
        <f t="shared" si="175"/>
        <v>#REF!</v>
      </c>
      <c r="CN225" t="e">
        <f t="shared" si="175"/>
        <v>#REF!</v>
      </c>
      <c r="CO225" t="e">
        <f t="shared" si="175"/>
        <v>#REF!</v>
      </c>
      <c r="CP225" t="e">
        <f t="shared" si="174"/>
        <v>#REF!</v>
      </c>
      <c r="CQ225" t="e">
        <f t="shared" si="174"/>
        <v>#REF!</v>
      </c>
      <c r="CR225" t="e">
        <f t="shared" si="174"/>
        <v>#REF!</v>
      </c>
      <c r="CS225" t="e">
        <f t="shared" si="174"/>
        <v>#REF!</v>
      </c>
      <c r="CT225" t="e">
        <f t="shared" si="174"/>
        <v>#REF!</v>
      </c>
      <c r="CU225" t="e">
        <f t="shared" si="174"/>
        <v>#REF!</v>
      </c>
      <c r="CV225" t="e">
        <f t="shared" si="174"/>
        <v>#REF!</v>
      </c>
      <c r="CW225" t="e">
        <f t="shared" si="174"/>
        <v>#REF!</v>
      </c>
      <c r="CX225" t="e">
        <f t="shared" si="174"/>
        <v>#REF!</v>
      </c>
      <c r="CY225" t="e">
        <f t="shared" si="174"/>
        <v>#REF!</v>
      </c>
      <c r="CZ225" t="e">
        <f t="shared" si="164"/>
        <v>#REF!</v>
      </c>
      <c r="DA225" t="e">
        <f t="shared" si="164"/>
        <v>#REF!</v>
      </c>
      <c r="DB225" t="e">
        <f t="shared" si="164"/>
        <v>#REF!</v>
      </c>
      <c r="DC225" t="e">
        <f t="shared" si="164"/>
        <v>#REF!</v>
      </c>
      <c r="DD225" t="e">
        <f t="shared" si="164"/>
        <v>#REF!</v>
      </c>
      <c r="DE225" t="e">
        <f t="shared" si="164"/>
        <v>#REF!</v>
      </c>
      <c r="DF225" t="e">
        <f t="shared" si="164"/>
        <v>#REF!</v>
      </c>
      <c r="DG225" t="e">
        <f t="shared" si="164"/>
        <v>#REF!</v>
      </c>
      <c r="DH225" t="e">
        <f t="shared" si="164"/>
        <v>#REF!</v>
      </c>
      <c r="DI225" t="e">
        <f t="shared" si="164"/>
        <v>#REF!</v>
      </c>
      <c r="DJ225" t="e">
        <f t="shared" si="164"/>
        <v>#REF!</v>
      </c>
      <c r="DK225" t="e">
        <f t="shared" si="164"/>
        <v>#REF!</v>
      </c>
      <c r="DL225" t="e">
        <f t="shared" si="164"/>
        <v>#REF!</v>
      </c>
      <c r="DM225" t="e">
        <f t="shared" si="164"/>
        <v>#REF!</v>
      </c>
      <c r="DN225" t="e">
        <f t="shared" si="171"/>
        <v>#REF!</v>
      </c>
      <c r="DO225" t="e">
        <f t="shared" si="171"/>
        <v>#REF!</v>
      </c>
      <c r="DP225" t="e">
        <f t="shared" si="171"/>
        <v>#REF!</v>
      </c>
      <c r="DQ225" t="e">
        <f t="shared" si="171"/>
        <v>#REF!</v>
      </c>
      <c r="DR225" t="e">
        <f t="shared" si="171"/>
        <v>#REF!</v>
      </c>
      <c r="DS225" t="e">
        <f t="shared" si="171"/>
        <v>#REF!</v>
      </c>
      <c r="DT225" t="e">
        <f t="shared" si="171"/>
        <v>#REF!</v>
      </c>
      <c r="DU225" t="e">
        <f t="shared" si="171"/>
        <v>#REF!</v>
      </c>
      <c r="DV225" t="e">
        <f t="shared" si="171"/>
        <v>#REF!</v>
      </c>
      <c r="DW225" t="e">
        <f t="shared" si="171"/>
        <v>#REF!</v>
      </c>
      <c r="DX225" t="e">
        <f t="shared" si="171"/>
        <v>#REF!</v>
      </c>
      <c r="DY225" t="e">
        <f t="shared" si="171"/>
        <v>#REF!</v>
      </c>
      <c r="DZ225" t="e">
        <f t="shared" si="153"/>
        <v>#REF!</v>
      </c>
      <c r="EA225" t="e">
        <f t="shared" si="153"/>
        <v>#REF!</v>
      </c>
      <c r="EB225" t="e">
        <f t="shared" si="153"/>
        <v>#REF!</v>
      </c>
      <c r="EC225" t="e">
        <f t="shared" si="153"/>
        <v>#REF!</v>
      </c>
      <c r="ED225" t="e">
        <f t="shared" si="153"/>
        <v>#REF!</v>
      </c>
      <c r="EE225" t="e">
        <f t="shared" si="153"/>
        <v>#REF!</v>
      </c>
      <c r="EF225" t="e">
        <f t="shared" si="153"/>
        <v>#REF!</v>
      </c>
      <c r="EG225" t="e">
        <f t="shared" si="153"/>
        <v>#REF!</v>
      </c>
      <c r="EH225" t="e">
        <f t="shared" si="165"/>
        <v>#REF!</v>
      </c>
      <c r="EI225" t="e">
        <f t="shared" si="165"/>
        <v>#REF!</v>
      </c>
      <c r="EJ225" t="e">
        <f t="shared" si="165"/>
        <v>#REF!</v>
      </c>
      <c r="EK225" t="e">
        <f t="shared" si="165"/>
        <v>#REF!</v>
      </c>
      <c r="EL225" t="e">
        <f t="shared" si="165"/>
        <v>#REF!</v>
      </c>
      <c r="EM225" t="e">
        <f t="shared" si="165"/>
        <v>#REF!</v>
      </c>
    </row>
    <row r="226" spans="1:143" x14ac:dyDescent="0.4">
      <c r="A226" t="str">
        <f t="shared" si="170"/>
        <v>X</v>
      </c>
      <c r="B226">
        <v>223</v>
      </c>
      <c r="C226" t="e" cm="1">
        <f t="array" ref="C226">INDEX(auto_Series_Code,B226)</f>
        <v>#REF!</v>
      </c>
      <c r="D226" t="e">
        <f t="shared" si="168"/>
        <v>#REF!</v>
      </c>
      <c r="E226" t="e">
        <f t="shared" si="168"/>
        <v>#REF!</v>
      </c>
      <c r="F226" t="e">
        <f t="shared" si="168"/>
        <v>#REF!</v>
      </c>
      <c r="G226" t="e">
        <f t="shared" si="168"/>
        <v>#REF!</v>
      </c>
      <c r="H226" t="e">
        <f t="shared" si="168"/>
        <v>#REF!</v>
      </c>
      <c r="I226" t="e">
        <f t="shared" si="168"/>
        <v>#REF!</v>
      </c>
      <c r="J226" t="e">
        <f t="shared" si="168"/>
        <v>#REF!</v>
      </c>
      <c r="K226" t="e">
        <f t="shared" si="168"/>
        <v>#REF!</v>
      </c>
      <c r="L226" t="e">
        <f t="shared" si="168"/>
        <v>#REF!</v>
      </c>
      <c r="M226" t="e">
        <f t="shared" si="168"/>
        <v>#REF!</v>
      </c>
      <c r="N226" t="e">
        <f t="shared" si="168"/>
        <v>#REF!</v>
      </c>
      <c r="O226" t="e">
        <f t="shared" si="168"/>
        <v>#REF!</v>
      </c>
      <c r="P226" t="e">
        <f t="shared" si="168"/>
        <v>#REF!</v>
      </c>
      <c r="Q226" t="e">
        <f t="shared" si="168"/>
        <v>#REF!</v>
      </c>
      <c r="R226" t="e">
        <f t="shared" si="168"/>
        <v>#REF!</v>
      </c>
      <c r="S226" t="e">
        <f t="shared" si="168"/>
        <v>#REF!</v>
      </c>
      <c r="T226" t="e">
        <f t="shared" si="167"/>
        <v>#REF!</v>
      </c>
      <c r="U226" t="e">
        <f t="shared" si="167"/>
        <v>#REF!</v>
      </c>
      <c r="V226" t="e">
        <f t="shared" si="167"/>
        <v>#REF!</v>
      </c>
      <c r="W226" t="e">
        <f t="shared" si="167"/>
        <v>#REF!</v>
      </c>
      <c r="X226" t="e">
        <f t="shared" si="167"/>
        <v>#REF!</v>
      </c>
      <c r="Y226" t="e">
        <f t="shared" si="167"/>
        <v>#REF!</v>
      </c>
      <c r="Z226" t="e">
        <f t="shared" si="167"/>
        <v>#REF!</v>
      </c>
      <c r="AA226" t="e">
        <f t="shared" si="167"/>
        <v>#REF!</v>
      </c>
      <c r="AB226" t="e">
        <f t="shared" si="167"/>
        <v>#REF!</v>
      </c>
      <c r="AC226" t="e">
        <f t="shared" si="167"/>
        <v>#REF!</v>
      </c>
      <c r="AD226" t="e">
        <f t="shared" si="167"/>
        <v>#REF!</v>
      </c>
      <c r="AE226" t="e">
        <f t="shared" si="167"/>
        <v>#REF!</v>
      </c>
      <c r="AF226" t="e">
        <f t="shared" si="167"/>
        <v>#REF!</v>
      </c>
      <c r="AG226" t="e">
        <f t="shared" si="167"/>
        <v>#REF!</v>
      </c>
      <c r="AH226" t="e">
        <f t="shared" si="167"/>
        <v>#REF!</v>
      </c>
      <c r="AI226" t="e">
        <f t="shared" si="177"/>
        <v>#REF!</v>
      </c>
      <c r="AJ226" t="e">
        <f t="shared" si="177"/>
        <v>#REF!</v>
      </c>
      <c r="AK226" t="e">
        <f t="shared" si="177"/>
        <v>#REF!</v>
      </c>
      <c r="AL226" t="e">
        <f t="shared" si="177"/>
        <v>#REF!</v>
      </c>
      <c r="AM226" t="e">
        <f t="shared" si="177"/>
        <v>#REF!</v>
      </c>
      <c r="AN226" t="e">
        <f t="shared" si="177"/>
        <v>#REF!</v>
      </c>
      <c r="AO226" t="e">
        <f t="shared" si="177"/>
        <v>#REF!</v>
      </c>
      <c r="AP226" t="e">
        <f t="shared" si="177"/>
        <v>#REF!</v>
      </c>
      <c r="AQ226" t="e">
        <f t="shared" si="177"/>
        <v>#REF!</v>
      </c>
      <c r="AR226" t="e">
        <f t="shared" si="176"/>
        <v>#REF!</v>
      </c>
      <c r="AS226" t="e">
        <f t="shared" si="176"/>
        <v>#REF!</v>
      </c>
      <c r="AT226" t="e">
        <f t="shared" si="176"/>
        <v>#REF!</v>
      </c>
      <c r="AU226" t="e">
        <f t="shared" si="176"/>
        <v>#REF!</v>
      </c>
      <c r="AV226" t="e">
        <f t="shared" si="176"/>
        <v>#REF!</v>
      </c>
      <c r="AW226" t="e">
        <f t="shared" si="176"/>
        <v>#REF!</v>
      </c>
      <c r="AX226" t="e">
        <f t="shared" si="176"/>
        <v>#REF!</v>
      </c>
      <c r="AY226" t="e">
        <f t="shared" si="176"/>
        <v>#REF!</v>
      </c>
      <c r="AZ226" t="e">
        <f t="shared" si="176"/>
        <v>#REF!</v>
      </c>
      <c r="BA226" t="e">
        <f t="shared" si="176"/>
        <v>#REF!</v>
      </c>
      <c r="BB226" t="e">
        <f t="shared" si="173"/>
        <v>#REF!</v>
      </c>
      <c r="BC226" t="e">
        <f t="shared" si="173"/>
        <v>#REF!</v>
      </c>
      <c r="BD226" t="e">
        <f t="shared" si="173"/>
        <v>#REF!</v>
      </c>
      <c r="BE226" t="e">
        <f t="shared" si="173"/>
        <v>#REF!</v>
      </c>
      <c r="BF226" t="e">
        <f t="shared" si="173"/>
        <v>#REF!</v>
      </c>
      <c r="BG226" t="e">
        <f t="shared" si="173"/>
        <v>#REF!</v>
      </c>
      <c r="BH226" t="e">
        <f t="shared" si="173"/>
        <v>#REF!</v>
      </c>
      <c r="BI226" t="e">
        <f t="shared" si="172"/>
        <v>#REF!</v>
      </c>
      <c r="BJ226" t="e">
        <f t="shared" si="172"/>
        <v>#REF!</v>
      </c>
      <c r="BK226" t="e">
        <f t="shared" si="172"/>
        <v>#REF!</v>
      </c>
      <c r="BL226" t="e">
        <f t="shared" si="172"/>
        <v>#REF!</v>
      </c>
      <c r="BM226" t="e">
        <f t="shared" si="172"/>
        <v>#REF!</v>
      </c>
      <c r="BN226" t="e">
        <f t="shared" si="172"/>
        <v>#REF!</v>
      </c>
      <c r="BO226" t="e">
        <f t="shared" si="172"/>
        <v>#REF!</v>
      </c>
      <c r="BP226" t="e">
        <f t="shared" si="172"/>
        <v>#REF!</v>
      </c>
      <c r="BQ226" t="e">
        <f t="shared" si="172"/>
        <v>#REF!</v>
      </c>
      <c r="BR226" t="e">
        <f t="shared" si="172"/>
        <v>#REF!</v>
      </c>
      <c r="BS226" t="e">
        <f t="shared" si="172"/>
        <v>#REF!</v>
      </c>
      <c r="BT226" t="e">
        <f t="shared" si="172"/>
        <v>#REF!</v>
      </c>
      <c r="BU226" t="e">
        <f t="shared" si="172"/>
        <v>#REF!</v>
      </c>
      <c r="BV226" t="e">
        <f t="shared" si="161"/>
        <v>#REF!</v>
      </c>
      <c r="BW226" t="e">
        <f t="shared" si="161"/>
        <v>#REF!</v>
      </c>
      <c r="BX226" t="e">
        <f t="shared" si="161"/>
        <v>#REF!</v>
      </c>
      <c r="BY226" t="e">
        <f t="shared" si="161"/>
        <v>#REF!</v>
      </c>
      <c r="BZ226" t="e">
        <f t="shared" si="161"/>
        <v>#REF!</v>
      </c>
      <c r="CA226" t="e">
        <f t="shared" si="161"/>
        <v>#REF!</v>
      </c>
      <c r="CB226" t="e">
        <f t="shared" si="161"/>
        <v>#REF!</v>
      </c>
      <c r="CC226" t="e">
        <f t="shared" si="161"/>
        <v>#REF!</v>
      </c>
      <c r="CD226" t="e">
        <f t="shared" si="161"/>
        <v>#REF!</v>
      </c>
      <c r="CE226" t="e">
        <f t="shared" si="161"/>
        <v>#REF!</v>
      </c>
      <c r="CF226" t="e">
        <f t="shared" si="175"/>
        <v>#REF!</v>
      </c>
      <c r="CG226" t="e">
        <f t="shared" si="175"/>
        <v>#REF!</v>
      </c>
      <c r="CH226" t="e">
        <f t="shared" si="175"/>
        <v>#REF!</v>
      </c>
      <c r="CI226" t="e">
        <f t="shared" si="175"/>
        <v>#REF!</v>
      </c>
      <c r="CJ226" t="e">
        <f t="shared" si="175"/>
        <v>#REF!</v>
      </c>
      <c r="CK226" t="e">
        <f t="shared" si="175"/>
        <v>#REF!</v>
      </c>
      <c r="CL226" t="e">
        <f t="shared" si="175"/>
        <v>#REF!</v>
      </c>
      <c r="CM226" t="e">
        <f t="shared" si="175"/>
        <v>#REF!</v>
      </c>
      <c r="CN226" t="e">
        <f t="shared" si="175"/>
        <v>#REF!</v>
      </c>
      <c r="CO226" t="e">
        <f t="shared" si="175"/>
        <v>#REF!</v>
      </c>
      <c r="CP226" t="e">
        <f t="shared" si="174"/>
        <v>#REF!</v>
      </c>
      <c r="CQ226" t="e">
        <f t="shared" si="174"/>
        <v>#REF!</v>
      </c>
      <c r="CR226" t="e">
        <f t="shared" si="174"/>
        <v>#REF!</v>
      </c>
      <c r="CS226" t="e">
        <f t="shared" si="174"/>
        <v>#REF!</v>
      </c>
      <c r="CT226" t="e">
        <f t="shared" si="174"/>
        <v>#REF!</v>
      </c>
      <c r="CU226" t="e">
        <f t="shared" si="174"/>
        <v>#REF!</v>
      </c>
      <c r="CV226" t="e">
        <f t="shared" si="174"/>
        <v>#REF!</v>
      </c>
      <c r="CW226" t="e">
        <f t="shared" si="174"/>
        <v>#REF!</v>
      </c>
      <c r="CX226" t="e">
        <f t="shared" si="174"/>
        <v>#REF!</v>
      </c>
      <c r="CY226" t="e">
        <f t="shared" si="174"/>
        <v>#REF!</v>
      </c>
      <c r="CZ226" t="e">
        <f t="shared" si="164"/>
        <v>#REF!</v>
      </c>
      <c r="DA226" t="e">
        <f t="shared" si="164"/>
        <v>#REF!</v>
      </c>
      <c r="DB226" t="e">
        <f t="shared" si="164"/>
        <v>#REF!</v>
      </c>
      <c r="DC226" t="e">
        <f t="shared" si="164"/>
        <v>#REF!</v>
      </c>
      <c r="DD226" t="e">
        <f t="shared" si="164"/>
        <v>#REF!</v>
      </c>
      <c r="DE226" t="e">
        <f t="shared" si="164"/>
        <v>#REF!</v>
      </c>
      <c r="DF226" t="e">
        <f t="shared" si="164"/>
        <v>#REF!</v>
      </c>
      <c r="DG226" t="e">
        <f t="shared" si="164"/>
        <v>#REF!</v>
      </c>
      <c r="DH226" t="e">
        <f t="shared" si="164"/>
        <v>#REF!</v>
      </c>
      <c r="DI226" t="e">
        <f t="shared" si="164"/>
        <v>#REF!</v>
      </c>
      <c r="DJ226" t="e">
        <f t="shared" si="164"/>
        <v>#REF!</v>
      </c>
      <c r="DK226" t="e">
        <f t="shared" si="164"/>
        <v>#REF!</v>
      </c>
      <c r="DL226" t="e">
        <f t="shared" si="164"/>
        <v>#REF!</v>
      </c>
      <c r="DM226" t="e">
        <f t="shared" si="164"/>
        <v>#REF!</v>
      </c>
      <c r="DN226" t="e">
        <f t="shared" si="171"/>
        <v>#REF!</v>
      </c>
      <c r="DO226" t="e">
        <f t="shared" si="171"/>
        <v>#REF!</v>
      </c>
      <c r="DP226" t="e">
        <f t="shared" si="171"/>
        <v>#REF!</v>
      </c>
      <c r="DQ226" t="e">
        <f t="shared" si="171"/>
        <v>#REF!</v>
      </c>
      <c r="DR226" t="e">
        <f t="shared" si="171"/>
        <v>#REF!</v>
      </c>
      <c r="DS226" t="e">
        <f t="shared" si="171"/>
        <v>#REF!</v>
      </c>
      <c r="DT226" t="e">
        <f t="shared" si="171"/>
        <v>#REF!</v>
      </c>
      <c r="DU226" t="e">
        <f t="shared" si="171"/>
        <v>#REF!</v>
      </c>
      <c r="DV226" t="e">
        <f t="shared" si="171"/>
        <v>#REF!</v>
      </c>
      <c r="DW226" t="e">
        <f t="shared" si="171"/>
        <v>#REF!</v>
      </c>
      <c r="DX226" t="e">
        <f t="shared" si="171"/>
        <v>#REF!</v>
      </c>
      <c r="DY226" t="e">
        <f t="shared" si="171"/>
        <v>#REF!</v>
      </c>
      <c r="DZ226" t="e">
        <f t="shared" si="153"/>
        <v>#REF!</v>
      </c>
      <c r="EA226" t="e">
        <f t="shared" si="153"/>
        <v>#REF!</v>
      </c>
      <c r="EB226" t="e">
        <f t="shared" si="153"/>
        <v>#REF!</v>
      </c>
      <c r="EC226" t="e">
        <f t="shared" si="153"/>
        <v>#REF!</v>
      </c>
      <c r="ED226" t="e">
        <f t="shared" si="153"/>
        <v>#REF!</v>
      </c>
      <c r="EE226" t="e">
        <f t="shared" si="153"/>
        <v>#REF!</v>
      </c>
      <c r="EF226" t="e">
        <f t="shared" si="153"/>
        <v>#REF!</v>
      </c>
      <c r="EG226" t="e">
        <f t="shared" si="153"/>
        <v>#REF!</v>
      </c>
      <c r="EH226" t="e">
        <f t="shared" si="165"/>
        <v>#REF!</v>
      </c>
      <c r="EI226" t="e">
        <f t="shared" si="165"/>
        <v>#REF!</v>
      </c>
      <c r="EJ226" t="e">
        <f t="shared" si="165"/>
        <v>#REF!</v>
      </c>
      <c r="EK226" t="e">
        <f t="shared" si="165"/>
        <v>#REF!</v>
      </c>
      <c r="EL226" t="e">
        <f t="shared" si="165"/>
        <v>#REF!</v>
      </c>
      <c r="EM226" t="e">
        <f t="shared" si="165"/>
        <v>#REF!</v>
      </c>
    </row>
    <row r="227" spans="1:143" x14ac:dyDescent="0.4">
      <c r="A227" t="str">
        <f t="shared" si="170"/>
        <v>X</v>
      </c>
      <c r="B227">
        <v>224</v>
      </c>
      <c r="C227" t="e" cm="1">
        <f t="array" ref="C227">INDEX(auto_Series_Code,B227)</f>
        <v>#REF!</v>
      </c>
      <c r="D227" t="e">
        <f t="shared" si="168"/>
        <v>#REF!</v>
      </c>
      <c r="E227" t="e">
        <f t="shared" si="168"/>
        <v>#REF!</v>
      </c>
      <c r="F227" t="e">
        <f t="shared" si="168"/>
        <v>#REF!</v>
      </c>
      <c r="G227" t="e">
        <f t="shared" si="168"/>
        <v>#REF!</v>
      </c>
      <c r="H227" t="e">
        <f t="shared" si="168"/>
        <v>#REF!</v>
      </c>
      <c r="I227" t="e">
        <f t="shared" si="168"/>
        <v>#REF!</v>
      </c>
      <c r="J227" t="e">
        <f t="shared" si="168"/>
        <v>#REF!</v>
      </c>
      <c r="K227" t="e">
        <f t="shared" si="168"/>
        <v>#REF!</v>
      </c>
      <c r="L227" t="e">
        <f t="shared" si="168"/>
        <v>#REF!</v>
      </c>
      <c r="M227" t="e">
        <f t="shared" si="168"/>
        <v>#REF!</v>
      </c>
      <c r="N227" t="e">
        <f t="shared" si="168"/>
        <v>#REF!</v>
      </c>
      <c r="O227" t="e">
        <f t="shared" si="168"/>
        <v>#REF!</v>
      </c>
      <c r="P227" t="e">
        <f t="shared" si="168"/>
        <v>#REF!</v>
      </c>
      <c r="Q227" t="e">
        <f t="shared" si="168"/>
        <v>#REF!</v>
      </c>
      <c r="R227" t="e">
        <f t="shared" si="168"/>
        <v>#REF!</v>
      </c>
      <c r="S227" t="e">
        <f t="shared" si="168"/>
        <v>#REF!</v>
      </c>
      <c r="T227" t="e">
        <f t="shared" si="167"/>
        <v>#REF!</v>
      </c>
      <c r="U227" t="e">
        <f t="shared" si="167"/>
        <v>#REF!</v>
      </c>
      <c r="V227" t="e">
        <f t="shared" si="167"/>
        <v>#REF!</v>
      </c>
      <c r="W227" t="e">
        <f t="shared" si="167"/>
        <v>#REF!</v>
      </c>
      <c r="X227" t="e">
        <f t="shared" si="167"/>
        <v>#REF!</v>
      </c>
      <c r="Y227" t="e">
        <f t="shared" si="167"/>
        <v>#REF!</v>
      </c>
      <c r="Z227" t="e">
        <f t="shared" si="167"/>
        <v>#REF!</v>
      </c>
      <c r="AA227" t="e">
        <f t="shared" si="167"/>
        <v>#REF!</v>
      </c>
      <c r="AB227" t="e">
        <f t="shared" si="167"/>
        <v>#REF!</v>
      </c>
      <c r="AC227" t="e">
        <f t="shared" si="167"/>
        <v>#REF!</v>
      </c>
      <c r="AD227" t="e">
        <f t="shared" si="167"/>
        <v>#REF!</v>
      </c>
      <c r="AE227" t="e">
        <f t="shared" si="167"/>
        <v>#REF!</v>
      </c>
      <c r="AF227" t="e">
        <f t="shared" si="167"/>
        <v>#REF!</v>
      </c>
      <c r="AG227" t="e">
        <f t="shared" si="167"/>
        <v>#REF!</v>
      </c>
      <c r="AH227" t="e">
        <f t="shared" si="167"/>
        <v>#REF!</v>
      </c>
      <c r="AI227" t="e">
        <f t="shared" si="177"/>
        <v>#REF!</v>
      </c>
      <c r="AJ227" t="e">
        <f t="shared" si="177"/>
        <v>#REF!</v>
      </c>
      <c r="AK227" t="e">
        <f t="shared" si="177"/>
        <v>#REF!</v>
      </c>
      <c r="AL227" t="e">
        <f t="shared" si="177"/>
        <v>#REF!</v>
      </c>
      <c r="AM227" t="e">
        <f t="shared" si="177"/>
        <v>#REF!</v>
      </c>
      <c r="AN227" t="e">
        <f t="shared" si="177"/>
        <v>#REF!</v>
      </c>
      <c r="AO227" t="e">
        <f t="shared" si="177"/>
        <v>#REF!</v>
      </c>
      <c r="AP227" t="e">
        <f t="shared" si="177"/>
        <v>#REF!</v>
      </c>
      <c r="AQ227" t="e">
        <f t="shared" si="177"/>
        <v>#REF!</v>
      </c>
      <c r="AR227" t="e">
        <f t="shared" si="176"/>
        <v>#REF!</v>
      </c>
      <c r="AS227" t="e">
        <f t="shared" si="176"/>
        <v>#REF!</v>
      </c>
      <c r="AT227" t="e">
        <f t="shared" si="176"/>
        <v>#REF!</v>
      </c>
      <c r="AU227" t="e">
        <f t="shared" si="176"/>
        <v>#REF!</v>
      </c>
      <c r="AV227" t="e">
        <f t="shared" si="176"/>
        <v>#REF!</v>
      </c>
      <c r="AW227" t="e">
        <f t="shared" si="176"/>
        <v>#REF!</v>
      </c>
      <c r="AX227" t="e">
        <f t="shared" si="176"/>
        <v>#REF!</v>
      </c>
      <c r="AY227" t="e">
        <f t="shared" si="176"/>
        <v>#REF!</v>
      </c>
      <c r="AZ227" t="e">
        <f t="shared" si="176"/>
        <v>#REF!</v>
      </c>
      <c r="BA227" t="e">
        <f t="shared" si="176"/>
        <v>#REF!</v>
      </c>
      <c r="BB227" t="e">
        <f t="shared" si="173"/>
        <v>#REF!</v>
      </c>
      <c r="BC227" t="e">
        <f t="shared" si="173"/>
        <v>#REF!</v>
      </c>
      <c r="BD227" t="e">
        <f t="shared" si="173"/>
        <v>#REF!</v>
      </c>
      <c r="BE227" t="e">
        <f t="shared" si="173"/>
        <v>#REF!</v>
      </c>
      <c r="BF227" t="e">
        <f t="shared" si="173"/>
        <v>#REF!</v>
      </c>
      <c r="BG227" t="e">
        <f t="shared" si="173"/>
        <v>#REF!</v>
      </c>
      <c r="BH227" t="e">
        <f t="shared" si="173"/>
        <v>#REF!</v>
      </c>
      <c r="BI227" t="e">
        <f t="shared" si="172"/>
        <v>#REF!</v>
      </c>
      <c r="BJ227" t="e">
        <f t="shared" si="172"/>
        <v>#REF!</v>
      </c>
      <c r="BK227" t="e">
        <f t="shared" si="172"/>
        <v>#REF!</v>
      </c>
      <c r="BL227" t="e">
        <f t="shared" si="172"/>
        <v>#REF!</v>
      </c>
      <c r="BM227" t="e">
        <f t="shared" si="172"/>
        <v>#REF!</v>
      </c>
      <c r="BN227" t="e">
        <f t="shared" si="172"/>
        <v>#REF!</v>
      </c>
      <c r="BO227" t="e">
        <f t="shared" si="172"/>
        <v>#REF!</v>
      </c>
      <c r="BP227" t="e">
        <f t="shared" si="172"/>
        <v>#REF!</v>
      </c>
      <c r="BQ227" t="e">
        <f t="shared" si="172"/>
        <v>#REF!</v>
      </c>
      <c r="BR227" t="e">
        <f t="shared" si="172"/>
        <v>#REF!</v>
      </c>
      <c r="BS227" t="e">
        <f t="shared" si="172"/>
        <v>#REF!</v>
      </c>
      <c r="BT227" t="e">
        <f t="shared" si="172"/>
        <v>#REF!</v>
      </c>
      <c r="BU227" t="e">
        <f t="shared" si="172"/>
        <v>#REF!</v>
      </c>
      <c r="BV227" t="e">
        <f t="shared" si="161"/>
        <v>#REF!</v>
      </c>
      <c r="BW227" t="e">
        <f t="shared" si="161"/>
        <v>#REF!</v>
      </c>
      <c r="BX227" t="e">
        <f t="shared" si="161"/>
        <v>#REF!</v>
      </c>
      <c r="BY227" t="e">
        <f t="shared" si="161"/>
        <v>#REF!</v>
      </c>
      <c r="BZ227" t="e">
        <f t="shared" si="161"/>
        <v>#REF!</v>
      </c>
      <c r="CA227" t="e">
        <f t="shared" si="161"/>
        <v>#REF!</v>
      </c>
      <c r="CB227" t="e">
        <f t="shared" si="161"/>
        <v>#REF!</v>
      </c>
      <c r="CC227" t="e">
        <f t="shared" si="161"/>
        <v>#REF!</v>
      </c>
      <c r="CD227" t="e">
        <f t="shared" si="161"/>
        <v>#REF!</v>
      </c>
      <c r="CE227" t="e">
        <f t="shared" si="161"/>
        <v>#REF!</v>
      </c>
      <c r="CF227" t="e">
        <f t="shared" si="175"/>
        <v>#REF!</v>
      </c>
      <c r="CG227" t="e">
        <f t="shared" si="175"/>
        <v>#REF!</v>
      </c>
      <c r="CH227" t="e">
        <f t="shared" si="175"/>
        <v>#REF!</v>
      </c>
      <c r="CI227" t="e">
        <f t="shared" si="175"/>
        <v>#REF!</v>
      </c>
      <c r="CJ227" t="e">
        <f t="shared" si="175"/>
        <v>#REF!</v>
      </c>
      <c r="CK227" t="e">
        <f t="shared" si="175"/>
        <v>#REF!</v>
      </c>
      <c r="CL227" t="e">
        <f t="shared" si="175"/>
        <v>#REF!</v>
      </c>
      <c r="CM227" t="e">
        <f t="shared" si="175"/>
        <v>#REF!</v>
      </c>
      <c r="CN227" t="e">
        <f t="shared" si="175"/>
        <v>#REF!</v>
      </c>
      <c r="CO227" t="e">
        <f t="shared" si="175"/>
        <v>#REF!</v>
      </c>
      <c r="CP227" t="e">
        <f t="shared" si="174"/>
        <v>#REF!</v>
      </c>
      <c r="CQ227" t="e">
        <f t="shared" si="174"/>
        <v>#REF!</v>
      </c>
      <c r="CR227" t="e">
        <f t="shared" si="174"/>
        <v>#REF!</v>
      </c>
      <c r="CS227" t="e">
        <f t="shared" si="174"/>
        <v>#REF!</v>
      </c>
      <c r="CT227" t="e">
        <f t="shared" si="174"/>
        <v>#REF!</v>
      </c>
      <c r="CU227" t="e">
        <f t="shared" si="174"/>
        <v>#REF!</v>
      </c>
      <c r="CV227" t="e">
        <f t="shared" si="174"/>
        <v>#REF!</v>
      </c>
      <c r="CW227" t="e">
        <f t="shared" si="174"/>
        <v>#REF!</v>
      </c>
      <c r="CX227" t="e">
        <f t="shared" si="174"/>
        <v>#REF!</v>
      </c>
      <c r="CY227" t="e">
        <f t="shared" si="174"/>
        <v>#REF!</v>
      </c>
      <c r="CZ227" t="e">
        <f t="shared" si="164"/>
        <v>#REF!</v>
      </c>
      <c r="DA227" t="e">
        <f t="shared" si="164"/>
        <v>#REF!</v>
      </c>
      <c r="DB227" t="e">
        <f t="shared" si="164"/>
        <v>#REF!</v>
      </c>
      <c r="DC227" t="e">
        <f t="shared" si="164"/>
        <v>#REF!</v>
      </c>
      <c r="DD227" t="e">
        <f t="shared" si="164"/>
        <v>#REF!</v>
      </c>
      <c r="DE227" t="e">
        <f t="shared" si="164"/>
        <v>#REF!</v>
      </c>
      <c r="DF227" t="e">
        <f t="shared" si="164"/>
        <v>#REF!</v>
      </c>
      <c r="DG227" t="e">
        <f t="shared" si="164"/>
        <v>#REF!</v>
      </c>
      <c r="DH227" t="e">
        <f t="shared" si="164"/>
        <v>#REF!</v>
      </c>
      <c r="DI227" t="e">
        <f t="shared" si="164"/>
        <v>#REF!</v>
      </c>
      <c r="DJ227" t="e">
        <f t="shared" si="164"/>
        <v>#REF!</v>
      </c>
      <c r="DK227" t="e">
        <f t="shared" si="164"/>
        <v>#REF!</v>
      </c>
      <c r="DL227" t="e">
        <f t="shared" si="164"/>
        <v>#REF!</v>
      </c>
      <c r="DM227" t="e">
        <f t="shared" si="164"/>
        <v>#REF!</v>
      </c>
      <c r="DN227" t="e">
        <f t="shared" si="171"/>
        <v>#REF!</v>
      </c>
      <c r="DO227" t="e">
        <f t="shared" si="171"/>
        <v>#REF!</v>
      </c>
      <c r="DP227" t="e">
        <f t="shared" si="171"/>
        <v>#REF!</v>
      </c>
      <c r="DQ227" t="e">
        <f t="shared" si="171"/>
        <v>#REF!</v>
      </c>
      <c r="DR227" t="e">
        <f t="shared" si="171"/>
        <v>#REF!</v>
      </c>
      <c r="DS227" t="e">
        <f t="shared" si="171"/>
        <v>#REF!</v>
      </c>
      <c r="DT227" t="e">
        <f t="shared" si="171"/>
        <v>#REF!</v>
      </c>
      <c r="DU227" t="e">
        <f t="shared" si="171"/>
        <v>#REF!</v>
      </c>
      <c r="DV227" t="e">
        <f t="shared" si="171"/>
        <v>#REF!</v>
      </c>
      <c r="DW227" t="e">
        <f t="shared" si="171"/>
        <v>#REF!</v>
      </c>
      <c r="DX227" t="e">
        <f t="shared" si="171"/>
        <v>#REF!</v>
      </c>
      <c r="DY227" t="e">
        <f t="shared" si="171"/>
        <v>#REF!</v>
      </c>
      <c r="DZ227" t="e">
        <f t="shared" si="153"/>
        <v>#REF!</v>
      </c>
      <c r="EA227" t="e">
        <f t="shared" si="153"/>
        <v>#REF!</v>
      </c>
      <c r="EB227" t="e">
        <f t="shared" si="153"/>
        <v>#REF!</v>
      </c>
      <c r="EC227" t="e">
        <f t="shared" si="153"/>
        <v>#REF!</v>
      </c>
      <c r="ED227" t="e">
        <f t="shared" si="153"/>
        <v>#REF!</v>
      </c>
      <c r="EE227" t="e">
        <f t="shared" si="153"/>
        <v>#REF!</v>
      </c>
      <c r="EF227" t="e">
        <f t="shared" si="153"/>
        <v>#REF!</v>
      </c>
      <c r="EG227" t="e">
        <f t="shared" si="153"/>
        <v>#REF!</v>
      </c>
      <c r="EH227" t="e">
        <f t="shared" si="165"/>
        <v>#REF!</v>
      </c>
      <c r="EI227" t="e">
        <f t="shared" si="165"/>
        <v>#REF!</v>
      </c>
      <c r="EJ227" t="e">
        <f t="shared" si="165"/>
        <v>#REF!</v>
      </c>
      <c r="EK227" t="e">
        <f t="shared" si="165"/>
        <v>#REF!</v>
      </c>
      <c r="EL227" t="e">
        <f t="shared" si="165"/>
        <v>#REF!</v>
      </c>
      <c r="EM227" t="e">
        <f t="shared" si="165"/>
        <v>#REF!</v>
      </c>
    </row>
    <row r="228" spans="1:143" x14ac:dyDescent="0.4">
      <c r="A228" t="str">
        <f t="shared" si="170"/>
        <v>X</v>
      </c>
      <c r="B228">
        <v>225</v>
      </c>
      <c r="C228" t="e" cm="1">
        <f t="array" ref="C228">INDEX(auto_Series_Code,B228)</f>
        <v>#REF!</v>
      </c>
      <c r="D228" t="e">
        <f t="shared" si="168"/>
        <v>#REF!</v>
      </c>
      <c r="E228" t="e">
        <f t="shared" si="168"/>
        <v>#REF!</v>
      </c>
      <c r="F228" t="e">
        <f t="shared" si="168"/>
        <v>#REF!</v>
      </c>
      <c r="G228" t="e">
        <f t="shared" si="168"/>
        <v>#REF!</v>
      </c>
      <c r="H228" t="e">
        <f t="shared" si="168"/>
        <v>#REF!</v>
      </c>
      <c r="I228" t="e">
        <f t="shared" si="168"/>
        <v>#REF!</v>
      </c>
      <c r="J228" t="e">
        <f t="shared" si="168"/>
        <v>#REF!</v>
      </c>
      <c r="K228" t="e">
        <f t="shared" si="168"/>
        <v>#REF!</v>
      </c>
      <c r="L228" t="e">
        <f t="shared" si="168"/>
        <v>#REF!</v>
      </c>
      <c r="M228" t="e">
        <f t="shared" si="168"/>
        <v>#REF!</v>
      </c>
      <c r="N228" t="e">
        <f t="shared" si="168"/>
        <v>#REF!</v>
      </c>
      <c r="O228" t="e">
        <f t="shared" si="168"/>
        <v>#REF!</v>
      </c>
      <c r="P228" t="e">
        <f t="shared" si="168"/>
        <v>#REF!</v>
      </c>
      <c r="Q228" t="e">
        <f t="shared" si="168"/>
        <v>#REF!</v>
      </c>
      <c r="R228" t="e">
        <f t="shared" si="168"/>
        <v>#REF!</v>
      </c>
      <c r="S228" t="e">
        <f t="shared" si="168"/>
        <v>#REF!</v>
      </c>
      <c r="T228" t="e">
        <f t="shared" si="167"/>
        <v>#REF!</v>
      </c>
      <c r="U228" t="e">
        <f t="shared" si="167"/>
        <v>#REF!</v>
      </c>
      <c r="V228" t="e">
        <f t="shared" si="167"/>
        <v>#REF!</v>
      </c>
      <c r="W228" t="e">
        <f t="shared" si="167"/>
        <v>#REF!</v>
      </c>
      <c r="X228" t="e">
        <f t="shared" si="167"/>
        <v>#REF!</v>
      </c>
      <c r="Y228" t="e">
        <f t="shared" si="167"/>
        <v>#REF!</v>
      </c>
      <c r="Z228" t="e">
        <f t="shared" si="167"/>
        <v>#REF!</v>
      </c>
      <c r="AA228" t="e">
        <f t="shared" si="167"/>
        <v>#REF!</v>
      </c>
      <c r="AB228" t="e">
        <f t="shared" si="167"/>
        <v>#REF!</v>
      </c>
      <c r="AC228" t="e">
        <f t="shared" si="167"/>
        <v>#REF!</v>
      </c>
      <c r="AD228" t="e">
        <f t="shared" si="167"/>
        <v>#REF!</v>
      </c>
      <c r="AE228" t="e">
        <f t="shared" si="167"/>
        <v>#REF!</v>
      </c>
      <c r="AF228" t="e">
        <f t="shared" si="167"/>
        <v>#REF!</v>
      </c>
      <c r="AG228" t="e">
        <f t="shared" si="167"/>
        <v>#REF!</v>
      </c>
      <c r="AH228" t="e">
        <f t="shared" si="167"/>
        <v>#REF!</v>
      </c>
      <c r="AI228" t="e">
        <f t="shared" si="177"/>
        <v>#REF!</v>
      </c>
      <c r="AJ228" t="e">
        <f t="shared" si="177"/>
        <v>#REF!</v>
      </c>
      <c r="AK228" t="e">
        <f t="shared" si="177"/>
        <v>#REF!</v>
      </c>
      <c r="AL228" t="e">
        <f t="shared" si="177"/>
        <v>#REF!</v>
      </c>
      <c r="AM228" t="e">
        <f t="shared" si="177"/>
        <v>#REF!</v>
      </c>
      <c r="AN228" t="e">
        <f t="shared" si="177"/>
        <v>#REF!</v>
      </c>
      <c r="AO228" t="e">
        <f t="shared" si="177"/>
        <v>#REF!</v>
      </c>
      <c r="AP228" t="e">
        <f t="shared" si="177"/>
        <v>#REF!</v>
      </c>
      <c r="AQ228" t="e">
        <f t="shared" si="177"/>
        <v>#REF!</v>
      </c>
      <c r="AR228" t="e">
        <f t="shared" si="176"/>
        <v>#REF!</v>
      </c>
      <c r="AS228" t="e">
        <f t="shared" si="176"/>
        <v>#REF!</v>
      </c>
      <c r="AT228" t="e">
        <f t="shared" si="176"/>
        <v>#REF!</v>
      </c>
      <c r="AU228" t="e">
        <f t="shared" si="176"/>
        <v>#REF!</v>
      </c>
      <c r="AV228" t="e">
        <f t="shared" si="176"/>
        <v>#REF!</v>
      </c>
      <c r="AW228" t="e">
        <f t="shared" si="176"/>
        <v>#REF!</v>
      </c>
      <c r="AX228" t="e">
        <f t="shared" si="176"/>
        <v>#REF!</v>
      </c>
      <c r="AY228" t="e">
        <f t="shared" si="176"/>
        <v>#REF!</v>
      </c>
      <c r="AZ228" t="e">
        <f t="shared" si="176"/>
        <v>#REF!</v>
      </c>
      <c r="BA228" t="e">
        <f t="shared" si="176"/>
        <v>#REF!</v>
      </c>
      <c r="BB228" t="e">
        <f t="shared" si="173"/>
        <v>#REF!</v>
      </c>
      <c r="BC228" t="e">
        <f t="shared" si="173"/>
        <v>#REF!</v>
      </c>
      <c r="BD228" t="e">
        <f t="shared" si="173"/>
        <v>#REF!</v>
      </c>
      <c r="BE228" t="e">
        <f t="shared" si="173"/>
        <v>#REF!</v>
      </c>
      <c r="BF228" t="e">
        <f t="shared" si="173"/>
        <v>#REF!</v>
      </c>
      <c r="BG228" t="e">
        <f t="shared" si="173"/>
        <v>#REF!</v>
      </c>
      <c r="BH228" t="e">
        <f t="shared" si="173"/>
        <v>#REF!</v>
      </c>
      <c r="BI228" t="e">
        <f t="shared" si="172"/>
        <v>#REF!</v>
      </c>
      <c r="BJ228" t="e">
        <f t="shared" si="172"/>
        <v>#REF!</v>
      </c>
      <c r="BK228" t="e">
        <f t="shared" si="172"/>
        <v>#REF!</v>
      </c>
      <c r="BL228" t="e">
        <f t="shared" si="172"/>
        <v>#REF!</v>
      </c>
      <c r="BM228" t="e">
        <f t="shared" si="172"/>
        <v>#REF!</v>
      </c>
      <c r="BN228" t="e">
        <f t="shared" si="172"/>
        <v>#REF!</v>
      </c>
      <c r="BO228" t="e">
        <f t="shared" si="172"/>
        <v>#REF!</v>
      </c>
      <c r="BP228" t="e">
        <f t="shared" si="172"/>
        <v>#REF!</v>
      </c>
      <c r="BQ228" t="e">
        <f t="shared" si="172"/>
        <v>#REF!</v>
      </c>
      <c r="BR228" t="e">
        <f t="shared" si="172"/>
        <v>#REF!</v>
      </c>
      <c r="BS228" t="e">
        <f t="shared" si="172"/>
        <v>#REF!</v>
      </c>
      <c r="BT228" t="e">
        <f t="shared" si="172"/>
        <v>#REF!</v>
      </c>
      <c r="BU228" t="e">
        <f t="shared" si="172"/>
        <v>#REF!</v>
      </c>
      <c r="BV228" t="e">
        <f t="shared" si="161"/>
        <v>#REF!</v>
      </c>
      <c r="BW228" t="e">
        <f t="shared" si="161"/>
        <v>#REF!</v>
      </c>
      <c r="BX228" t="e">
        <f t="shared" si="161"/>
        <v>#REF!</v>
      </c>
      <c r="BY228" t="e">
        <f t="shared" si="161"/>
        <v>#REF!</v>
      </c>
      <c r="BZ228" t="e">
        <f t="shared" si="161"/>
        <v>#REF!</v>
      </c>
      <c r="CA228" t="e">
        <f t="shared" si="161"/>
        <v>#REF!</v>
      </c>
      <c r="CB228" t="e">
        <f t="shared" si="161"/>
        <v>#REF!</v>
      </c>
      <c r="CC228" t="e">
        <f t="shared" si="161"/>
        <v>#REF!</v>
      </c>
      <c r="CD228" t="e">
        <f t="shared" si="161"/>
        <v>#REF!</v>
      </c>
      <c r="CE228" t="e">
        <f t="shared" ref="CE228" si="179">MATCH(CONCATENATE(CE$3,"_",$C228),auto_DataFlat_UID,0)</f>
        <v>#REF!</v>
      </c>
      <c r="CF228" t="e">
        <f t="shared" si="175"/>
        <v>#REF!</v>
      </c>
      <c r="CG228" t="e">
        <f t="shared" si="175"/>
        <v>#REF!</v>
      </c>
      <c r="CH228" t="e">
        <f t="shared" si="175"/>
        <v>#REF!</v>
      </c>
      <c r="CI228" t="e">
        <f t="shared" si="175"/>
        <v>#REF!</v>
      </c>
      <c r="CJ228" t="e">
        <f t="shared" si="175"/>
        <v>#REF!</v>
      </c>
      <c r="CK228" t="e">
        <f t="shared" si="175"/>
        <v>#REF!</v>
      </c>
      <c r="CL228" t="e">
        <f t="shared" si="175"/>
        <v>#REF!</v>
      </c>
      <c r="CM228" t="e">
        <f t="shared" si="175"/>
        <v>#REF!</v>
      </c>
      <c r="CN228" t="e">
        <f t="shared" si="175"/>
        <v>#REF!</v>
      </c>
      <c r="CO228" t="e">
        <f t="shared" si="175"/>
        <v>#REF!</v>
      </c>
      <c r="CP228" t="e">
        <f t="shared" si="174"/>
        <v>#REF!</v>
      </c>
      <c r="CQ228" t="e">
        <f t="shared" si="174"/>
        <v>#REF!</v>
      </c>
      <c r="CR228" t="e">
        <f t="shared" si="174"/>
        <v>#REF!</v>
      </c>
      <c r="CS228" t="e">
        <f t="shared" si="174"/>
        <v>#REF!</v>
      </c>
      <c r="CT228" t="e">
        <f t="shared" si="174"/>
        <v>#REF!</v>
      </c>
      <c r="CU228" t="e">
        <f t="shared" si="174"/>
        <v>#REF!</v>
      </c>
      <c r="CV228" t="e">
        <f t="shared" si="174"/>
        <v>#REF!</v>
      </c>
      <c r="CW228" t="e">
        <f t="shared" si="174"/>
        <v>#REF!</v>
      </c>
      <c r="CX228" t="e">
        <f t="shared" si="174"/>
        <v>#REF!</v>
      </c>
      <c r="CY228" t="e">
        <f t="shared" si="174"/>
        <v>#REF!</v>
      </c>
      <c r="CZ228" t="e">
        <f t="shared" si="164"/>
        <v>#REF!</v>
      </c>
      <c r="DA228" t="e">
        <f t="shared" si="164"/>
        <v>#REF!</v>
      </c>
      <c r="DB228" t="e">
        <f t="shared" si="164"/>
        <v>#REF!</v>
      </c>
      <c r="DC228" t="e">
        <f t="shared" si="164"/>
        <v>#REF!</v>
      </c>
      <c r="DD228" t="e">
        <f t="shared" si="164"/>
        <v>#REF!</v>
      </c>
      <c r="DE228" t="e">
        <f t="shared" si="164"/>
        <v>#REF!</v>
      </c>
      <c r="DF228" t="e">
        <f t="shared" si="164"/>
        <v>#REF!</v>
      </c>
      <c r="DG228" t="e">
        <f t="shared" si="164"/>
        <v>#REF!</v>
      </c>
      <c r="DH228" t="e">
        <f t="shared" si="164"/>
        <v>#REF!</v>
      </c>
      <c r="DI228" t="e">
        <f t="shared" ref="DI228:DX244" si="180">MATCH(CONCATENATE(DI$3,"_",$C228),auto_DataFlat_UID,0)</f>
        <v>#REF!</v>
      </c>
      <c r="DJ228" t="e">
        <f t="shared" si="180"/>
        <v>#REF!</v>
      </c>
      <c r="DK228" t="e">
        <f t="shared" si="180"/>
        <v>#REF!</v>
      </c>
      <c r="DL228" t="e">
        <f t="shared" si="180"/>
        <v>#REF!</v>
      </c>
      <c r="DM228" t="e">
        <f t="shared" si="180"/>
        <v>#REF!</v>
      </c>
      <c r="DN228" t="e">
        <f t="shared" si="180"/>
        <v>#REF!</v>
      </c>
      <c r="DO228" t="e">
        <f t="shared" si="180"/>
        <v>#REF!</v>
      </c>
      <c r="DP228" t="e">
        <f t="shared" si="180"/>
        <v>#REF!</v>
      </c>
      <c r="DQ228" t="e">
        <f t="shared" si="180"/>
        <v>#REF!</v>
      </c>
      <c r="DR228" t="e">
        <f t="shared" si="180"/>
        <v>#REF!</v>
      </c>
      <c r="DS228" t="e">
        <f t="shared" si="180"/>
        <v>#REF!</v>
      </c>
      <c r="DT228" t="e">
        <f t="shared" si="180"/>
        <v>#REF!</v>
      </c>
      <c r="DU228" t="e">
        <f t="shared" si="180"/>
        <v>#REF!</v>
      </c>
      <c r="DV228" t="e">
        <f t="shared" si="180"/>
        <v>#REF!</v>
      </c>
      <c r="DW228" t="e">
        <f t="shared" si="180"/>
        <v>#REF!</v>
      </c>
      <c r="DX228" t="e">
        <f t="shared" si="180"/>
        <v>#REF!</v>
      </c>
      <c r="DY228" t="e">
        <f t="shared" si="171"/>
        <v>#REF!</v>
      </c>
      <c r="DZ228" t="e">
        <f t="shared" si="153"/>
        <v>#REF!</v>
      </c>
      <c r="EA228" t="e">
        <f t="shared" si="153"/>
        <v>#REF!</v>
      </c>
      <c r="EB228" t="e">
        <f t="shared" si="153"/>
        <v>#REF!</v>
      </c>
      <c r="EC228" t="e">
        <f t="shared" si="153"/>
        <v>#REF!</v>
      </c>
      <c r="ED228" t="e">
        <f t="shared" si="153"/>
        <v>#REF!</v>
      </c>
      <c r="EE228" t="e">
        <f t="shared" si="153"/>
        <v>#REF!</v>
      </c>
      <c r="EF228" t="e">
        <f t="shared" si="153"/>
        <v>#REF!</v>
      </c>
      <c r="EG228" t="e">
        <f t="shared" si="153"/>
        <v>#REF!</v>
      </c>
      <c r="EH228" t="e">
        <f t="shared" si="165"/>
        <v>#REF!</v>
      </c>
      <c r="EI228" t="e">
        <f t="shared" si="165"/>
        <v>#REF!</v>
      </c>
      <c r="EJ228" t="e">
        <f t="shared" si="165"/>
        <v>#REF!</v>
      </c>
      <c r="EK228" t="e">
        <f t="shared" si="165"/>
        <v>#REF!</v>
      </c>
      <c r="EL228" t="e">
        <f t="shared" si="165"/>
        <v>#REF!</v>
      </c>
      <c r="EM228" t="e">
        <f t="shared" si="165"/>
        <v>#REF!</v>
      </c>
    </row>
    <row r="229" spans="1:143" x14ac:dyDescent="0.4">
      <c r="A229" t="str">
        <f t="shared" si="170"/>
        <v>X</v>
      </c>
      <c r="B229">
        <v>226</v>
      </c>
      <c r="C229" t="e" cm="1">
        <f t="array" ref="C229">INDEX(auto_Series_Code,B229)</f>
        <v>#REF!</v>
      </c>
      <c r="D229" t="e">
        <f t="shared" si="168"/>
        <v>#REF!</v>
      </c>
      <c r="E229" t="e">
        <f t="shared" si="168"/>
        <v>#REF!</v>
      </c>
      <c r="F229" t="e">
        <f t="shared" si="168"/>
        <v>#REF!</v>
      </c>
      <c r="G229" t="e">
        <f t="shared" si="168"/>
        <v>#REF!</v>
      </c>
      <c r="H229" t="e">
        <f t="shared" si="168"/>
        <v>#REF!</v>
      </c>
      <c r="I229" t="e">
        <f t="shared" si="168"/>
        <v>#REF!</v>
      </c>
      <c r="J229" t="e">
        <f t="shared" si="168"/>
        <v>#REF!</v>
      </c>
      <c r="K229" t="e">
        <f t="shared" si="168"/>
        <v>#REF!</v>
      </c>
      <c r="L229" t="e">
        <f t="shared" si="168"/>
        <v>#REF!</v>
      </c>
      <c r="M229" t="e">
        <f t="shared" si="168"/>
        <v>#REF!</v>
      </c>
      <c r="N229" t="e">
        <f t="shared" si="168"/>
        <v>#REF!</v>
      </c>
      <c r="O229" t="e">
        <f t="shared" si="168"/>
        <v>#REF!</v>
      </c>
      <c r="P229" t="e">
        <f t="shared" si="168"/>
        <v>#REF!</v>
      </c>
      <c r="Q229" t="e">
        <f t="shared" si="168"/>
        <v>#REF!</v>
      </c>
      <c r="R229" t="e">
        <f t="shared" si="168"/>
        <v>#REF!</v>
      </c>
      <c r="S229" t="e">
        <f t="shared" si="168"/>
        <v>#REF!</v>
      </c>
      <c r="T229" t="e">
        <f t="shared" si="167"/>
        <v>#REF!</v>
      </c>
      <c r="U229" t="e">
        <f t="shared" si="167"/>
        <v>#REF!</v>
      </c>
      <c r="V229" t="e">
        <f t="shared" si="167"/>
        <v>#REF!</v>
      </c>
      <c r="W229" t="e">
        <f t="shared" si="167"/>
        <v>#REF!</v>
      </c>
      <c r="X229" t="e">
        <f t="shared" si="167"/>
        <v>#REF!</v>
      </c>
      <c r="Y229" t="e">
        <f t="shared" si="167"/>
        <v>#REF!</v>
      </c>
      <c r="Z229" t="e">
        <f t="shared" si="167"/>
        <v>#REF!</v>
      </c>
      <c r="AA229" t="e">
        <f t="shared" si="167"/>
        <v>#REF!</v>
      </c>
      <c r="AB229" t="e">
        <f t="shared" si="167"/>
        <v>#REF!</v>
      </c>
      <c r="AC229" t="e">
        <f t="shared" si="167"/>
        <v>#REF!</v>
      </c>
      <c r="AD229" t="e">
        <f t="shared" si="167"/>
        <v>#REF!</v>
      </c>
      <c r="AE229" t="e">
        <f t="shared" si="167"/>
        <v>#REF!</v>
      </c>
      <c r="AF229" t="e">
        <f t="shared" si="167"/>
        <v>#REF!</v>
      </c>
      <c r="AG229" t="e">
        <f t="shared" si="167"/>
        <v>#REF!</v>
      </c>
      <c r="AH229" t="e">
        <f t="shared" si="167"/>
        <v>#REF!</v>
      </c>
      <c r="AI229" t="e">
        <f t="shared" si="177"/>
        <v>#REF!</v>
      </c>
      <c r="AJ229" t="e">
        <f t="shared" si="177"/>
        <v>#REF!</v>
      </c>
      <c r="AK229" t="e">
        <f t="shared" si="177"/>
        <v>#REF!</v>
      </c>
      <c r="AL229" t="e">
        <f t="shared" si="177"/>
        <v>#REF!</v>
      </c>
      <c r="AM229" t="e">
        <f t="shared" si="177"/>
        <v>#REF!</v>
      </c>
      <c r="AN229" t="e">
        <f t="shared" si="177"/>
        <v>#REF!</v>
      </c>
      <c r="AO229" t="e">
        <f t="shared" si="177"/>
        <v>#REF!</v>
      </c>
      <c r="AP229" t="e">
        <f t="shared" si="177"/>
        <v>#REF!</v>
      </c>
      <c r="AQ229" t="e">
        <f t="shared" si="177"/>
        <v>#REF!</v>
      </c>
      <c r="AR229" t="e">
        <f t="shared" si="176"/>
        <v>#REF!</v>
      </c>
      <c r="AS229" t="e">
        <f t="shared" si="176"/>
        <v>#REF!</v>
      </c>
      <c r="AT229" t="e">
        <f t="shared" si="176"/>
        <v>#REF!</v>
      </c>
      <c r="AU229" t="e">
        <f t="shared" si="176"/>
        <v>#REF!</v>
      </c>
      <c r="AV229" t="e">
        <f t="shared" si="176"/>
        <v>#REF!</v>
      </c>
      <c r="AW229" t="e">
        <f t="shared" si="176"/>
        <v>#REF!</v>
      </c>
      <c r="AX229" t="e">
        <f t="shared" si="176"/>
        <v>#REF!</v>
      </c>
      <c r="AY229" t="e">
        <f t="shared" si="176"/>
        <v>#REF!</v>
      </c>
      <c r="AZ229" t="e">
        <f t="shared" si="176"/>
        <v>#REF!</v>
      </c>
      <c r="BA229" t="e">
        <f t="shared" si="176"/>
        <v>#REF!</v>
      </c>
      <c r="BB229" t="e">
        <f t="shared" si="173"/>
        <v>#REF!</v>
      </c>
      <c r="BC229" t="e">
        <f t="shared" si="173"/>
        <v>#REF!</v>
      </c>
      <c r="BD229" t="e">
        <f t="shared" si="173"/>
        <v>#REF!</v>
      </c>
      <c r="BE229" t="e">
        <f t="shared" si="173"/>
        <v>#REF!</v>
      </c>
      <c r="BF229" t="e">
        <f t="shared" si="173"/>
        <v>#REF!</v>
      </c>
      <c r="BG229" t="e">
        <f t="shared" si="173"/>
        <v>#REF!</v>
      </c>
      <c r="BH229" t="e">
        <f t="shared" si="173"/>
        <v>#REF!</v>
      </c>
      <c r="BI229" t="e">
        <f t="shared" si="172"/>
        <v>#REF!</v>
      </c>
      <c r="BJ229" t="e">
        <f t="shared" si="172"/>
        <v>#REF!</v>
      </c>
      <c r="BK229" t="e">
        <f t="shared" si="172"/>
        <v>#REF!</v>
      </c>
      <c r="BL229" t="e">
        <f t="shared" si="172"/>
        <v>#REF!</v>
      </c>
      <c r="BM229" t="e">
        <f t="shared" si="172"/>
        <v>#REF!</v>
      </c>
      <c r="BN229" t="e">
        <f t="shared" si="172"/>
        <v>#REF!</v>
      </c>
      <c r="BO229" t="e">
        <f t="shared" si="172"/>
        <v>#REF!</v>
      </c>
      <c r="BP229" t="e">
        <f t="shared" si="172"/>
        <v>#REF!</v>
      </c>
      <c r="BQ229" t="e">
        <f t="shared" si="172"/>
        <v>#REF!</v>
      </c>
      <c r="BR229" t="e">
        <f t="shared" si="172"/>
        <v>#REF!</v>
      </c>
      <c r="BS229" t="e">
        <f t="shared" si="172"/>
        <v>#REF!</v>
      </c>
      <c r="BT229" t="e">
        <f t="shared" si="172"/>
        <v>#REF!</v>
      </c>
      <c r="BU229" t="e">
        <f t="shared" si="172"/>
        <v>#REF!</v>
      </c>
      <c r="BV229" t="e">
        <f t="shared" si="172"/>
        <v>#REF!</v>
      </c>
      <c r="BW229" t="e">
        <f t="shared" si="172"/>
        <v>#REF!</v>
      </c>
      <c r="BX229" t="e">
        <f t="shared" ref="BX229:CE240" si="181">MATCH(CONCATENATE(BX$3,"_",$C229),auto_DataFlat_UID,0)</f>
        <v>#REF!</v>
      </c>
      <c r="BY229" t="e">
        <f t="shared" si="181"/>
        <v>#REF!</v>
      </c>
      <c r="BZ229" t="e">
        <f t="shared" si="181"/>
        <v>#REF!</v>
      </c>
      <c r="CA229" t="e">
        <f t="shared" si="181"/>
        <v>#REF!</v>
      </c>
      <c r="CB229" t="e">
        <f t="shared" si="181"/>
        <v>#REF!</v>
      </c>
      <c r="CC229" t="e">
        <f t="shared" si="181"/>
        <v>#REF!</v>
      </c>
      <c r="CD229" t="e">
        <f t="shared" si="181"/>
        <v>#REF!</v>
      </c>
      <c r="CE229" t="e">
        <f t="shared" si="181"/>
        <v>#REF!</v>
      </c>
      <c r="CF229" t="e">
        <f t="shared" si="175"/>
        <v>#REF!</v>
      </c>
      <c r="CG229" t="e">
        <f t="shared" si="175"/>
        <v>#REF!</v>
      </c>
      <c r="CH229" t="e">
        <f t="shared" si="175"/>
        <v>#REF!</v>
      </c>
      <c r="CI229" t="e">
        <f t="shared" si="175"/>
        <v>#REF!</v>
      </c>
      <c r="CJ229" t="e">
        <f t="shared" si="175"/>
        <v>#REF!</v>
      </c>
      <c r="CK229" t="e">
        <f t="shared" si="175"/>
        <v>#REF!</v>
      </c>
      <c r="CL229" t="e">
        <f t="shared" si="175"/>
        <v>#REF!</v>
      </c>
      <c r="CM229" t="e">
        <f t="shared" si="175"/>
        <v>#REF!</v>
      </c>
      <c r="CN229" t="e">
        <f t="shared" si="175"/>
        <v>#REF!</v>
      </c>
      <c r="CO229" t="e">
        <f t="shared" si="175"/>
        <v>#REF!</v>
      </c>
      <c r="CP229" t="e">
        <f t="shared" si="174"/>
        <v>#REF!</v>
      </c>
      <c r="CQ229" t="e">
        <f t="shared" si="174"/>
        <v>#REF!</v>
      </c>
      <c r="CR229" t="e">
        <f t="shared" si="174"/>
        <v>#REF!</v>
      </c>
      <c r="CS229" t="e">
        <f t="shared" si="174"/>
        <v>#REF!</v>
      </c>
      <c r="CT229" t="e">
        <f t="shared" si="174"/>
        <v>#REF!</v>
      </c>
      <c r="CU229" t="e">
        <f t="shared" si="174"/>
        <v>#REF!</v>
      </c>
      <c r="CV229" t="e">
        <f t="shared" si="174"/>
        <v>#REF!</v>
      </c>
      <c r="CW229" t="e">
        <f t="shared" si="174"/>
        <v>#REF!</v>
      </c>
      <c r="CX229" t="e">
        <f t="shared" si="174"/>
        <v>#REF!</v>
      </c>
      <c r="CY229" t="e">
        <f t="shared" si="174"/>
        <v>#REF!</v>
      </c>
      <c r="CZ229" t="e">
        <f t="shared" si="174"/>
        <v>#REF!</v>
      </c>
      <c r="DA229" t="e">
        <f t="shared" si="174"/>
        <v>#REF!</v>
      </c>
      <c r="DB229" t="e">
        <f t="shared" si="174"/>
        <v>#REF!</v>
      </c>
      <c r="DC229" t="e">
        <f t="shared" ref="DC229:DI242" si="182">MATCH(CONCATENATE(DC$3,"_",$C229),auto_DataFlat_UID,0)</f>
        <v>#REF!</v>
      </c>
      <c r="DD229" t="e">
        <f t="shared" si="182"/>
        <v>#REF!</v>
      </c>
      <c r="DE229" t="e">
        <f t="shared" si="182"/>
        <v>#REF!</v>
      </c>
      <c r="DF229" t="e">
        <f t="shared" si="182"/>
        <v>#REF!</v>
      </c>
      <c r="DG229" t="e">
        <f t="shared" si="182"/>
        <v>#REF!</v>
      </c>
      <c r="DH229" t="e">
        <f t="shared" si="182"/>
        <v>#REF!</v>
      </c>
      <c r="DI229" t="e">
        <f t="shared" si="182"/>
        <v>#REF!</v>
      </c>
      <c r="DJ229" t="e">
        <f t="shared" si="180"/>
        <v>#REF!</v>
      </c>
      <c r="DK229" t="e">
        <f t="shared" si="180"/>
        <v>#REF!</v>
      </c>
      <c r="DL229" t="e">
        <f t="shared" si="180"/>
        <v>#REF!</v>
      </c>
      <c r="DM229" t="e">
        <f t="shared" si="180"/>
        <v>#REF!</v>
      </c>
      <c r="DN229" t="e">
        <f t="shared" si="180"/>
        <v>#REF!</v>
      </c>
      <c r="DO229" t="e">
        <f t="shared" si="180"/>
        <v>#REF!</v>
      </c>
      <c r="DP229" t="e">
        <f t="shared" si="180"/>
        <v>#REF!</v>
      </c>
      <c r="DQ229" t="e">
        <f t="shared" si="180"/>
        <v>#REF!</v>
      </c>
      <c r="DR229" t="e">
        <f t="shared" si="180"/>
        <v>#REF!</v>
      </c>
      <c r="DS229" t="e">
        <f t="shared" si="180"/>
        <v>#REF!</v>
      </c>
      <c r="DT229" t="e">
        <f t="shared" si="180"/>
        <v>#REF!</v>
      </c>
      <c r="DU229" t="e">
        <f t="shared" si="180"/>
        <v>#REF!</v>
      </c>
      <c r="DV229" t="e">
        <f t="shared" si="180"/>
        <v>#REF!</v>
      </c>
      <c r="DW229" t="e">
        <f t="shared" si="180"/>
        <v>#REF!</v>
      </c>
      <c r="DX229" t="e">
        <f t="shared" si="180"/>
        <v>#REF!</v>
      </c>
      <c r="DY229" t="e">
        <f t="shared" si="171"/>
        <v>#REF!</v>
      </c>
      <c r="DZ229" t="e">
        <f t="shared" si="153"/>
        <v>#REF!</v>
      </c>
      <c r="EA229" t="e">
        <f t="shared" si="153"/>
        <v>#REF!</v>
      </c>
      <c r="EB229" t="e">
        <f t="shared" si="153"/>
        <v>#REF!</v>
      </c>
      <c r="EC229" t="e">
        <f t="shared" si="153"/>
        <v>#REF!</v>
      </c>
      <c r="ED229" t="e">
        <f t="shared" si="153"/>
        <v>#REF!</v>
      </c>
      <c r="EE229" t="e">
        <f t="shared" si="153"/>
        <v>#REF!</v>
      </c>
      <c r="EF229" t="e">
        <f t="shared" si="153"/>
        <v>#REF!</v>
      </c>
      <c r="EG229" t="e">
        <f t="shared" si="153"/>
        <v>#REF!</v>
      </c>
      <c r="EH229" t="e">
        <f t="shared" si="165"/>
        <v>#REF!</v>
      </c>
      <c r="EI229" t="e">
        <f t="shared" si="165"/>
        <v>#REF!</v>
      </c>
      <c r="EJ229" t="e">
        <f t="shared" si="165"/>
        <v>#REF!</v>
      </c>
      <c r="EK229" t="e">
        <f t="shared" si="165"/>
        <v>#REF!</v>
      </c>
      <c r="EL229" t="e">
        <f t="shared" si="165"/>
        <v>#REF!</v>
      </c>
      <c r="EM229" t="e">
        <f t="shared" si="165"/>
        <v>#REF!</v>
      </c>
    </row>
    <row r="230" spans="1:143" x14ac:dyDescent="0.4">
      <c r="A230" t="str">
        <f t="shared" si="170"/>
        <v>X</v>
      </c>
      <c r="B230">
        <v>227</v>
      </c>
      <c r="C230" t="e" cm="1">
        <f t="array" ref="C230">INDEX(auto_Series_Code,B230)</f>
        <v>#REF!</v>
      </c>
      <c r="D230" t="e">
        <f t="shared" si="168"/>
        <v>#REF!</v>
      </c>
      <c r="E230" t="e">
        <f t="shared" si="168"/>
        <v>#REF!</v>
      </c>
      <c r="F230" t="e">
        <f t="shared" si="168"/>
        <v>#REF!</v>
      </c>
      <c r="G230" t="e">
        <f t="shared" si="168"/>
        <v>#REF!</v>
      </c>
      <c r="H230" t="e">
        <f t="shared" si="168"/>
        <v>#REF!</v>
      </c>
      <c r="I230" t="e">
        <f t="shared" si="168"/>
        <v>#REF!</v>
      </c>
      <c r="J230" t="e">
        <f t="shared" si="168"/>
        <v>#REF!</v>
      </c>
      <c r="K230" t="e">
        <f t="shared" si="168"/>
        <v>#REF!</v>
      </c>
      <c r="L230" t="e">
        <f t="shared" si="168"/>
        <v>#REF!</v>
      </c>
      <c r="M230" t="e">
        <f t="shared" si="168"/>
        <v>#REF!</v>
      </c>
      <c r="N230" t="e">
        <f t="shared" si="168"/>
        <v>#REF!</v>
      </c>
      <c r="O230" t="e">
        <f t="shared" si="168"/>
        <v>#REF!</v>
      </c>
      <c r="P230" t="e">
        <f t="shared" si="168"/>
        <v>#REF!</v>
      </c>
      <c r="Q230" t="e">
        <f t="shared" si="168"/>
        <v>#REF!</v>
      </c>
      <c r="R230" t="e">
        <f t="shared" si="168"/>
        <v>#REF!</v>
      </c>
      <c r="S230" t="e">
        <f t="shared" si="168"/>
        <v>#REF!</v>
      </c>
      <c r="T230" t="e">
        <f t="shared" si="167"/>
        <v>#REF!</v>
      </c>
      <c r="U230" t="e">
        <f t="shared" si="167"/>
        <v>#REF!</v>
      </c>
      <c r="V230" t="e">
        <f t="shared" si="167"/>
        <v>#REF!</v>
      </c>
      <c r="W230" t="e">
        <f t="shared" si="167"/>
        <v>#REF!</v>
      </c>
      <c r="X230" t="e">
        <f t="shared" si="167"/>
        <v>#REF!</v>
      </c>
      <c r="Y230" t="e">
        <f t="shared" si="167"/>
        <v>#REF!</v>
      </c>
      <c r="Z230" t="e">
        <f t="shared" si="167"/>
        <v>#REF!</v>
      </c>
      <c r="AA230" t="e">
        <f t="shared" si="167"/>
        <v>#REF!</v>
      </c>
      <c r="AB230" t="e">
        <f t="shared" si="167"/>
        <v>#REF!</v>
      </c>
      <c r="AC230" t="e">
        <f t="shared" si="167"/>
        <v>#REF!</v>
      </c>
      <c r="AD230" t="e">
        <f t="shared" si="167"/>
        <v>#REF!</v>
      </c>
      <c r="AE230" t="e">
        <f t="shared" si="167"/>
        <v>#REF!</v>
      </c>
      <c r="AF230" t="e">
        <f t="shared" si="167"/>
        <v>#REF!</v>
      </c>
      <c r="AG230" t="e">
        <f t="shared" si="167"/>
        <v>#REF!</v>
      </c>
      <c r="AH230" t="e">
        <f t="shared" si="167"/>
        <v>#REF!</v>
      </c>
      <c r="AI230" t="e">
        <f t="shared" si="177"/>
        <v>#REF!</v>
      </c>
      <c r="AJ230" t="e">
        <f t="shared" si="177"/>
        <v>#REF!</v>
      </c>
      <c r="AK230" t="e">
        <f t="shared" si="177"/>
        <v>#REF!</v>
      </c>
      <c r="AL230" t="e">
        <f t="shared" si="177"/>
        <v>#REF!</v>
      </c>
      <c r="AM230" t="e">
        <f t="shared" si="177"/>
        <v>#REF!</v>
      </c>
      <c r="AN230" t="e">
        <f t="shared" si="177"/>
        <v>#REF!</v>
      </c>
      <c r="AO230" t="e">
        <f t="shared" si="177"/>
        <v>#REF!</v>
      </c>
      <c r="AP230" t="e">
        <f t="shared" si="177"/>
        <v>#REF!</v>
      </c>
      <c r="AQ230" t="e">
        <f t="shared" si="177"/>
        <v>#REF!</v>
      </c>
      <c r="AR230" t="e">
        <f t="shared" si="176"/>
        <v>#REF!</v>
      </c>
      <c r="AS230" t="e">
        <f t="shared" si="176"/>
        <v>#REF!</v>
      </c>
      <c r="AT230" t="e">
        <f t="shared" si="176"/>
        <v>#REF!</v>
      </c>
      <c r="AU230" t="e">
        <f t="shared" si="176"/>
        <v>#REF!</v>
      </c>
      <c r="AV230" t="e">
        <f t="shared" si="176"/>
        <v>#REF!</v>
      </c>
      <c r="AW230" t="e">
        <f t="shared" si="176"/>
        <v>#REF!</v>
      </c>
      <c r="AX230" t="e">
        <f t="shared" si="176"/>
        <v>#REF!</v>
      </c>
      <c r="AY230" t="e">
        <f t="shared" si="176"/>
        <v>#REF!</v>
      </c>
      <c r="AZ230" t="e">
        <f t="shared" si="176"/>
        <v>#REF!</v>
      </c>
      <c r="BA230" t="e">
        <f t="shared" si="176"/>
        <v>#REF!</v>
      </c>
      <c r="BB230" t="e">
        <f t="shared" si="173"/>
        <v>#REF!</v>
      </c>
      <c r="BC230" t="e">
        <f t="shared" si="173"/>
        <v>#REF!</v>
      </c>
      <c r="BD230" t="e">
        <f t="shared" si="173"/>
        <v>#REF!</v>
      </c>
      <c r="BE230" t="e">
        <f t="shared" si="173"/>
        <v>#REF!</v>
      </c>
      <c r="BF230" t="e">
        <f t="shared" si="173"/>
        <v>#REF!</v>
      </c>
      <c r="BG230" t="e">
        <f t="shared" si="173"/>
        <v>#REF!</v>
      </c>
      <c r="BH230" t="e">
        <f t="shared" si="173"/>
        <v>#REF!</v>
      </c>
      <c r="BI230" t="e">
        <f t="shared" si="172"/>
        <v>#REF!</v>
      </c>
      <c r="BJ230" t="e">
        <f t="shared" si="172"/>
        <v>#REF!</v>
      </c>
      <c r="BK230" t="e">
        <f t="shared" si="172"/>
        <v>#REF!</v>
      </c>
      <c r="BL230" t="e">
        <f t="shared" si="172"/>
        <v>#REF!</v>
      </c>
      <c r="BM230" t="e">
        <f t="shared" si="172"/>
        <v>#REF!</v>
      </c>
      <c r="BN230" t="e">
        <f t="shared" si="172"/>
        <v>#REF!</v>
      </c>
      <c r="BO230" t="e">
        <f t="shared" si="172"/>
        <v>#REF!</v>
      </c>
      <c r="BP230" t="e">
        <f t="shared" si="172"/>
        <v>#REF!</v>
      </c>
      <c r="BQ230" t="e">
        <f t="shared" si="172"/>
        <v>#REF!</v>
      </c>
      <c r="BR230" t="e">
        <f t="shared" si="172"/>
        <v>#REF!</v>
      </c>
      <c r="BS230" t="e">
        <f t="shared" si="172"/>
        <v>#REF!</v>
      </c>
      <c r="BT230" t="e">
        <f t="shared" si="172"/>
        <v>#REF!</v>
      </c>
      <c r="BU230" t="e">
        <f t="shared" si="172"/>
        <v>#REF!</v>
      </c>
      <c r="BV230" t="e">
        <f t="shared" si="172"/>
        <v>#REF!</v>
      </c>
      <c r="BW230" t="e">
        <f t="shared" si="172"/>
        <v>#REF!</v>
      </c>
      <c r="BX230" t="e">
        <f t="shared" si="181"/>
        <v>#REF!</v>
      </c>
      <c r="BY230" t="e">
        <f t="shared" si="181"/>
        <v>#REF!</v>
      </c>
      <c r="BZ230" t="e">
        <f t="shared" si="181"/>
        <v>#REF!</v>
      </c>
      <c r="CA230" t="e">
        <f t="shared" si="181"/>
        <v>#REF!</v>
      </c>
      <c r="CB230" t="e">
        <f t="shared" si="181"/>
        <v>#REF!</v>
      </c>
      <c r="CC230" t="e">
        <f t="shared" si="181"/>
        <v>#REF!</v>
      </c>
      <c r="CD230" t="e">
        <f t="shared" si="181"/>
        <v>#REF!</v>
      </c>
      <c r="CE230" t="e">
        <f t="shared" si="181"/>
        <v>#REF!</v>
      </c>
      <c r="CF230" t="e">
        <f t="shared" si="175"/>
        <v>#REF!</v>
      </c>
      <c r="CG230" t="e">
        <f t="shared" si="175"/>
        <v>#REF!</v>
      </c>
      <c r="CH230" t="e">
        <f t="shared" si="175"/>
        <v>#REF!</v>
      </c>
      <c r="CI230" t="e">
        <f t="shared" si="175"/>
        <v>#REF!</v>
      </c>
      <c r="CJ230" t="e">
        <f t="shared" si="175"/>
        <v>#REF!</v>
      </c>
      <c r="CK230" t="e">
        <f t="shared" si="175"/>
        <v>#REF!</v>
      </c>
      <c r="CL230" t="e">
        <f t="shared" si="175"/>
        <v>#REF!</v>
      </c>
      <c r="CM230" t="e">
        <f t="shared" si="175"/>
        <v>#REF!</v>
      </c>
      <c r="CN230" t="e">
        <f t="shared" si="175"/>
        <v>#REF!</v>
      </c>
      <c r="CO230" t="e">
        <f t="shared" si="175"/>
        <v>#REF!</v>
      </c>
      <c r="CP230" t="e">
        <f t="shared" si="174"/>
        <v>#REF!</v>
      </c>
      <c r="CQ230" t="e">
        <f t="shared" si="174"/>
        <v>#REF!</v>
      </c>
      <c r="CR230" t="e">
        <f t="shared" si="174"/>
        <v>#REF!</v>
      </c>
      <c r="CS230" t="e">
        <f t="shared" si="174"/>
        <v>#REF!</v>
      </c>
      <c r="CT230" t="e">
        <f t="shared" si="174"/>
        <v>#REF!</v>
      </c>
      <c r="CU230" t="e">
        <f t="shared" si="174"/>
        <v>#REF!</v>
      </c>
      <c r="CV230" t="e">
        <f t="shared" si="174"/>
        <v>#REF!</v>
      </c>
      <c r="CW230" t="e">
        <f t="shared" si="174"/>
        <v>#REF!</v>
      </c>
      <c r="CX230" t="e">
        <f t="shared" si="174"/>
        <v>#REF!</v>
      </c>
      <c r="CY230" t="e">
        <f t="shared" si="174"/>
        <v>#REF!</v>
      </c>
      <c r="CZ230" t="e">
        <f t="shared" si="174"/>
        <v>#REF!</v>
      </c>
      <c r="DA230" t="e">
        <f t="shared" si="174"/>
        <v>#REF!</v>
      </c>
      <c r="DB230" t="e">
        <f t="shared" si="174"/>
        <v>#REF!</v>
      </c>
      <c r="DC230" t="e">
        <f t="shared" si="182"/>
        <v>#REF!</v>
      </c>
      <c r="DD230" t="e">
        <f t="shared" si="182"/>
        <v>#REF!</v>
      </c>
      <c r="DE230" t="e">
        <f t="shared" si="182"/>
        <v>#REF!</v>
      </c>
      <c r="DF230" t="e">
        <f t="shared" si="182"/>
        <v>#REF!</v>
      </c>
      <c r="DG230" t="e">
        <f t="shared" si="182"/>
        <v>#REF!</v>
      </c>
      <c r="DH230" t="e">
        <f t="shared" si="182"/>
        <v>#REF!</v>
      </c>
      <c r="DI230" t="e">
        <f t="shared" si="182"/>
        <v>#REF!</v>
      </c>
      <c r="DJ230" t="e">
        <f t="shared" si="180"/>
        <v>#REF!</v>
      </c>
      <c r="DK230" t="e">
        <f t="shared" si="180"/>
        <v>#REF!</v>
      </c>
      <c r="DL230" t="e">
        <f t="shared" si="180"/>
        <v>#REF!</v>
      </c>
      <c r="DM230" t="e">
        <f t="shared" si="180"/>
        <v>#REF!</v>
      </c>
      <c r="DN230" t="e">
        <f t="shared" si="180"/>
        <v>#REF!</v>
      </c>
      <c r="DO230" t="e">
        <f t="shared" si="180"/>
        <v>#REF!</v>
      </c>
      <c r="DP230" t="e">
        <f t="shared" si="180"/>
        <v>#REF!</v>
      </c>
      <c r="DQ230" t="e">
        <f t="shared" si="180"/>
        <v>#REF!</v>
      </c>
      <c r="DR230" t="e">
        <f t="shared" si="180"/>
        <v>#REF!</v>
      </c>
      <c r="DS230" t="e">
        <f t="shared" si="180"/>
        <v>#REF!</v>
      </c>
      <c r="DT230" t="e">
        <f t="shared" si="180"/>
        <v>#REF!</v>
      </c>
      <c r="DU230" t="e">
        <f t="shared" si="180"/>
        <v>#REF!</v>
      </c>
      <c r="DV230" t="e">
        <f t="shared" si="180"/>
        <v>#REF!</v>
      </c>
      <c r="DW230" t="e">
        <f t="shared" si="180"/>
        <v>#REF!</v>
      </c>
      <c r="DX230" t="e">
        <f t="shared" si="180"/>
        <v>#REF!</v>
      </c>
      <c r="DY230" t="e">
        <f t="shared" si="171"/>
        <v>#REF!</v>
      </c>
      <c r="DZ230" t="e">
        <f t="shared" si="153"/>
        <v>#REF!</v>
      </c>
      <c r="EA230" t="e">
        <f t="shared" si="153"/>
        <v>#REF!</v>
      </c>
      <c r="EB230" t="e">
        <f t="shared" si="153"/>
        <v>#REF!</v>
      </c>
      <c r="EC230" t="e">
        <f t="shared" si="153"/>
        <v>#REF!</v>
      </c>
      <c r="ED230" t="e">
        <f t="shared" si="153"/>
        <v>#REF!</v>
      </c>
      <c r="EE230" t="e">
        <f t="shared" si="153"/>
        <v>#REF!</v>
      </c>
      <c r="EF230" t="e">
        <f t="shared" si="153"/>
        <v>#REF!</v>
      </c>
      <c r="EG230" t="e">
        <f t="shared" si="153"/>
        <v>#REF!</v>
      </c>
      <c r="EH230" t="e">
        <f t="shared" si="165"/>
        <v>#REF!</v>
      </c>
      <c r="EI230" t="e">
        <f t="shared" si="165"/>
        <v>#REF!</v>
      </c>
      <c r="EJ230" t="e">
        <f t="shared" si="165"/>
        <v>#REF!</v>
      </c>
      <c r="EK230" t="e">
        <f t="shared" si="165"/>
        <v>#REF!</v>
      </c>
      <c r="EL230" t="e">
        <f t="shared" si="165"/>
        <v>#REF!</v>
      </c>
      <c r="EM230" t="e">
        <f t="shared" si="165"/>
        <v>#REF!</v>
      </c>
    </row>
    <row r="231" spans="1:143" x14ac:dyDescent="0.4">
      <c r="A231" t="str">
        <f t="shared" si="170"/>
        <v>X</v>
      </c>
      <c r="B231">
        <v>228</v>
      </c>
      <c r="C231" t="e" cm="1">
        <f t="array" ref="C231">INDEX(auto_Series_Code,B231)</f>
        <v>#REF!</v>
      </c>
      <c r="D231" t="e">
        <f t="shared" si="168"/>
        <v>#REF!</v>
      </c>
      <c r="E231" t="e">
        <f t="shared" si="168"/>
        <v>#REF!</v>
      </c>
      <c r="F231" t="e">
        <f t="shared" si="168"/>
        <v>#REF!</v>
      </c>
      <c r="G231" t="e">
        <f t="shared" si="168"/>
        <v>#REF!</v>
      </c>
      <c r="H231" t="e">
        <f t="shared" si="168"/>
        <v>#REF!</v>
      </c>
      <c r="I231" t="e">
        <f t="shared" si="168"/>
        <v>#REF!</v>
      </c>
      <c r="J231" t="e">
        <f t="shared" si="168"/>
        <v>#REF!</v>
      </c>
      <c r="K231" t="e">
        <f t="shared" si="168"/>
        <v>#REF!</v>
      </c>
      <c r="L231" t="e">
        <f t="shared" si="168"/>
        <v>#REF!</v>
      </c>
      <c r="M231" t="e">
        <f t="shared" si="168"/>
        <v>#REF!</v>
      </c>
      <c r="N231" t="e">
        <f t="shared" si="168"/>
        <v>#REF!</v>
      </c>
      <c r="O231" t="e">
        <f t="shared" si="168"/>
        <v>#REF!</v>
      </c>
      <c r="P231" t="e">
        <f t="shared" si="168"/>
        <v>#REF!</v>
      </c>
      <c r="Q231" t="e">
        <f t="shared" si="168"/>
        <v>#REF!</v>
      </c>
      <c r="R231" t="e">
        <f t="shared" si="168"/>
        <v>#REF!</v>
      </c>
      <c r="S231" t="e">
        <f t="shared" ref="S231:AG258" si="183">MATCH(CONCATENATE(S$3,"_",$C231),auto_DataFlat_UID,0)</f>
        <v>#REF!</v>
      </c>
      <c r="T231" t="e">
        <f t="shared" si="183"/>
        <v>#REF!</v>
      </c>
      <c r="U231" t="e">
        <f t="shared" si="183"/>
        <v>#REF!</v>
      </c>
      <c r="V231" t="e">
        <f t="shared" si="183"/>
        <v>#REF!</v>
      </c>
      <c r="W231" t="e">
        <f t="shared" si="183"/>
        <v>#REF!</v>
      </c>
      <c r="X231" t="e">
        <f t="shared" si="167"/>
        <v>#REF!</v>
      </c>
      <c r="Y231" t="e">
        <f t="shared" si="167"/>
        <v>#REF!</v>
      </c>
      <c r="Z231" t="e">
        <f t="shared" si="167"/>
        <v>#REF!</v>
      </c>
      <c r="AA231" t="e">
        <f t="shared" si="167"/>
        <v>#REF!</v>
      </c>
      <c r="AB231" t="e">
        <f t="shared" si="167"/>
        <v>#REF!</v>
      </c>
      <c r="AC231" t="e">
        <f t="shared" si="167"/>
        <v>#REF!</v>
      </c>
      <c r="AD231" t="e">
        <f t="shared" si="167"/>
        <v>#REF!</v>
      </c>
      <c r="AE231" t="e">
        <f t="shared" si="167"/>
        <v>#REF!</v>
      </c>
      <c r="AF231" t="e">
        <f t="shared" si="167"/>
        <v>#REF!</v>
      </c>
      <c r="AG231" t="e">
        <f t="shared" si="167"/>
        <v>#REF!</v>
      </c>
      <c r="AH231" t="e">
        <f t="shared" si="167"/>
        <v>#REF!</v>
      </c>
      <c r="AI231" t="e">
        <f t="shared" si="177"/>
        <v>#REF!</v>
      </c>
      <c r="AJ231" t="e">
        <f t="shared" si="177"/>
        <v>#REF!</v>
      </c>
      <c r="AK231" t="e">
        <f t="shared" si="177"/>
        <v>#REF!</v>
      </c>
      <c r="AL231" t="e">
        <f t="shared" si="177"/>
        <v>#REF!</v>
      </c>
      <c r="AM231" t="e">
        <f t="shared" si="177"/>
        <v>#REF!</v>
      </c>
      <c r="AN231" t="e">
        <f t="shared" si="177"/>
        <v>#REF!</v>
      </c>
      <c r="AO231" t="e">
        <f t="shared" si="177"/>
        <v>#REF!</v>
      </c>
      <c r="AP231" t="e">
        <f t="shared" si="177"/>
        <v>#REF!</v>
      </c>
      <c r="AQ231" t="e">
        <f t="shared" si="177"/>
        <v>#REF!</v>
      </c>
      <c r="AR231" t="e">
        <f t="shared" si="176"/>
        <v>#REF!</v>
      </c>
      <c r="AS231" t="e">
        <f t="shared" si="176"/>
        <v>#REF!</v>
      </c>
      <c r="AT231" t="e">
        <f t="shared" si="176"/>
        <v>#REF!</v>
      </c>
      <c r="AU231" t="e">
        <f t="shared" si="176"/>
        <v>#REF!</v>
      </c>
      <c r="AV231" t="e">
        <f t="shared" si="176"/>
        <v>#REF!</v>
      </c>
      <c r="AW231" t="e">
        <f t="shared" si="176"/>
        <v>#REF!</v>
      </c>
      <c r="AX231" t="e">
        <f t="shared" si="176"/>
        <v>#REF!</v>
      </c>
      <c r="AY231" t="e">
        <f t="shared" si="176"/>
        <v>#REF!</v>
      </c>
      <c r="AZ231" t="e">
        <f t="shared" si="176"/>
        <v>#REF!</v>
      </c>
      <c r="BA231" t="e">
        <f t="shared" si="176"/>
        <v>#REF!</v>
      </c>
      <c r="BB231" t="e">
        <f t="shared" si="173"/>
        <v>#REF!</v>
      </c>
      <c r="BC231" t="e">
        <f t="shared" si="173"/>
        <v>#REF!</v>
      </c>
      <c r="BD231" t="e">
        <f t="shared" si="173"/>
        <v>#REF!</v>
      </c>
      <c r="BE231" t="e">
        <f t="shared" si="173"/>
        <v>#REF!</v>
      </c>
      <c r="BF231" t="e">
        <f t="shared" si="173"/>
        <v>#REF!</v>
      </c>
      <c r="BG231" t="e">
        <f t="shared" si="173"/>
        <v>#REF!</v>
      </c>
      <c r="BH231" t="e">
        <f t="shared" si="173"/>
        <v>#REF!</v>
      </c>
      <c r="BI231" t="e">
        <f t="shared" si="172"/>
        <v>#REF!</v>
      </c>
      <c r="BJ231" t="e">
        <f t="shared" si="172"/>
        <v>#REF!</v>
      </c>
      <c r="BK231" t="e">
        <f t="shared" si="172"/>
        <v>#REF!</v>
      </c>
      <c r="BL231" t="e">
        <f t="shared" si="172"/>
        <v>#REF!</v>
      </c>
      <c r="BM231" t="e">
        <f t="shared" si="172"/>
        <v>#REF!</v>
      </c>
      <c r="BN231" t="e">
        <f t="shared" si="172"/>
        <v>#REF!</v>
      </c>
      <c r="BO231" t="e">
        <f t="shared" si="172"/>
        <v>#REF!</v>
      </c>
      <c r="BP231" t="e">
        <f t="shared" si="172"/>
        <v>#REF!</v>
      </c>
      <c r="BQ231" t="e">
        <f t="shared" si="172"/>
        <v>#REF!</v>
      </c>
      <c r="BR231" t="e">
        <f t="shared" si="172"/>
        <v>#REF!</v>
      </c>
      <c r="BS231" t="e">
        <f t="shared" si="172"/>
        <v>#REF!</v>
      </c>
      <c r="BT231" t="e">
        <f t="shared" si="172"/>
        <v>#REF!</v>
      </c>
      <c r="BU231" t="e">
        <f t="shared" si="172"/>
        <v>#REF!</v>
      </c>
      <c r="BV231" t="e">
        <f t="shared" si="172"/>
        <v>#REF!</v>
      </c>
      <c r="BW231" t="e">
        <f t="shared" si="172"/>
        <v>#REF!</v>
      </c>
      <c r="BX231" t="e">
        <f t="shared" si="181"/>
        <v>#REF!</v>
      </c>
      <c r="BY231" t="e">
        <f t="shared" si="181"/>
        <v>#REF!</v>
      </c>
      <c r="BZ231" t="e">
        <f t="shared" si="181"/>
        <v>#REF!</v>
      </c>
      <c r="CA231" t="e">
        <f t="shared" si="181"/>
        <v>#REF!</v>
      </c>
      <c r="CB231" t="e">
        <f t="shared" si="181"/>
        <v>#REF!</v>
      </c>
      <c r="CC231" t="e">
        <f t="shared" si="181"/>
        <v>#REF!</v>
      </c>
      <c r="CD231" t="e">
        <f t="shared" si="181"/>
        <v>#REF!</v>
      </c>
      <c r="CE231" t="e">
        <f t="shared" si="181"/>
        <v>#REF!</v>
      </c>
      <c r="CF231" t="e">
        <f t="shared" si="175"/>
        <v>#REF!</v>
      </c>
      <c r="CG231" t="e">
        <f t="shared" si="175"/>
        <v>#REF!</v>
      </c>
      <c r="CH231" t="e">
        <f t="shared" si="175"/>
        <v>#REF!</v>
      </c>
      <c r="CI231" t="e">
        <f t="shared" si="175"/>
        <v>#REF!</v>
      </c>
      <c r="CJ231" t="e">
        <f t="shared" si="175"/>
        <v>#REF!</v>
      </c>
      <c r="CK231" t="e">
        <f t="shared" si="175"/>
        <v>#REF!</v>
      </c>
      <c r="CL231" t="e">
        <f t="shared" si="175"/>
        <v>#REF!</v>
      </c>
      <c r="CM231" t="e">
        <f t="shared" si="175"/>
        <v>#REF!</v>
      </c>
      <c r="CN231" t="e">
        <f t="shared" si="175"/>
        <v>#REF!</v>
      </c>
      <c r="CO231" t="e">
        <f t="shared" si="175"/>
        <v>#REF!</v>
      </c>
      <c r="CP231" t="e">
        <f t="shared" si="174"/>
        <v>#REF!</v>
      </c>
      <c r="CQ231" t="e">
        <f t="shared" si="174"/>
        <v>#REF!</v>
      </c>
      <c r="CR231" t="e">
        <f t="shared" si="174"/>
        <v>#REF!</v>
      </c>
      <c r="CS231" t="e">
        <f t="shared" si="174"/>
        <v>#REF!</v>
      </c>
      <c r="CT231" t="e">
        <f t="shared" si="174"/>
        <v>#REF!</v>
      </c>
      <c r="CU231" t="e">
        <f t="shared" si="174"/>
        <v>#REF!</v>
      </c>
      <c r="CV231" t="e">
        <f t="shared" si="174"/>
        <v>#REF!</v>
      </c>
      <c r="CW231" t="e">
        <f t="shared" si="174"/>
        <v>#REF!</v>
      </c>
      <c r="CX231" t="e">
        <f t="shared" si="174"/>
        <v>#REF!</v>
      </c>
      <c r="CY231" t="e">
        <f t="shared" si="174"/>
        <v>#REF!</v>
      </c>
      <c r="CZ231" t="e">
        <f t="shared" si="174"/>
        <v>#REF!</v>
      </c>
      <c r="DA231" t="e">
        <f t="shared" si="174"/>
        <v>#REF!</v>
      </c>
      <c r="DB231" t="e">
        <f t="shared" si="174"/>
        <v>#REF!</v>
      </c>
      <c r="DC231" t="e">
        <f t="shared" si="182"/>
        <v>#REF!</v>
      </c>
      <c r="DD231" t="e">
        <f t="shared" si="182"/>
        <v>#REF!</v>
      </c>
      <c r="DE231" t="e">
        <f t="shared" si="182"/>
        <v>#REF!</v>
      </c>
      <c r="DF231" t="e">
        <f t="shared" si="182"/>
        <v>#REF!</v>
      </c>
      <c r="DG231" t="e">
        <f t="shared" si="182"/>
        <v>#REF!</v>
      </c>
      <c r="DH231" t="e">
        <f t="shared" si="182"/>
        <v>#REF!</v>
      </c>
      <c r="DI231" t="e">
        <f t="shared" si="182"/>
        <v>#REF!</v>
      </c>
      <c r="DJ231" t="e">
        <f t="shared" si="180"/>
        <v>#REF!</v>
      </c>
      <c r="DK231" t="e">
        <f t="shared" si="180"/>
        <v>#REF!</v>
      </c>
      <c r="DL231" t="e">
        <f t="shared" si="180"/>
        <v>#REF!</v>
      </c>
      <c r="DM231" t="e">
        <f t="shared" si="180"/>
        <v>#REF!</v>
      </c>
      <c r="DN231" t="e">
        <f t="shared" si="180"/>
        <v>#REF!</v>
      </c>
      <c r="DO231" t="e">
        <f t="shared" si="180"/>
        <v>#REF!</v>
      </c>
      <c r="DP231" t="e">
        <f t="shared" si="180"/>
        <v>#REF!</v>
      </c>
      <c r="DQ231" t="e">
        <f t="shared" si="180"/>
        <v>#REF!</v>
      </c>
      <c r="DR231" t="e">
        <f t="shared" si="180"/>
        <v>#REF!</v>
      </c>
      <c r="DS231" t="e">
        <f t="shared" si="180"/>
        <v>#REF!</v>
      </c>
      <c r="DT231" t="e">
        <f t="shared" si="180"/>
        <v>#REF!</v>
      </c>
      <c r="DU231" t="e">
        <f t="shared" si="180"/>
        <v>#REF!</v>
      </c>
      <c r="DV231" t="e">
        <f t="shared" si="180"/>
        <v>#REF!</v>
      </c>
      <c r="DW231" t="e">
        <f t="shared" si="180"/>
        <v>#REF!</v>
      </c>
      <c r="DX231" t="e">
        <f t="shared" si="180"/>
        <v>#REF!</v>
      </c>
      <c r="DY231" t="e">
        <f t="shared" si="171"/>
        <v>#REF!</v>
      </c>
      <c r="DZ231" t="e">
        <f t="shared" si="153"/>
        <v>#REF!</v>
      </c>
      <c r="EA231" t="e">
        <f t="shared" si="153"/>
        <v>#REF!</v>
      </c>
      <c r="EB231" t="e">
        <f t="shared" si="153"/>
        <v>#REF!</v>
      </c>
      <c r="EC231" t="e">
        <f t="shared" si="153"/>
        <v>#REF!</v>
      </c>
      <c r="ED231" t="e">
        <f t="shared" si="153"/>
        <v>#REF!</v>
      </c>
      <c r="EE231" t="e">
        <f t="shared" si="153"/>
        <v>#REF!</v>
      </c>
      <c r="EF231" t="e">
        <f t="shared" si="153"/>
        <v>#REF!</v>
      </c>
      <c r="EG231" t="e">
        <f t="shared" si="153"/>
        <v>#REF!</v>
      </c>
      <c r="EH231" t="e">
        <f t="shared" si="165"/>
        <v>#REF!</v>
      </c>
      <c r="EI231" t="e">
        <f t="shared" si="165"/>
        <v>#REF!</v>
      </c>
      <c r="EJ231" t="e">
        <f t="shared" si="165"/>
        <v>#REF!</v>
      </c>
      <c r="EK231" t="e">
        <f t="shared" si="165"/>
        <v>#REF!</v>
      </c>
      <c r="EL231" t="e">
        <f t="shared" si="165"/>
        <v>#REF!</v>
      </c>
      <c r="EM231" t="e">
        <f t="shared" si="165"/>
        <v>#REF!</v>
      </c>
    </row>
    <row r="232" spans="1:143" x14ac:dyDescent="0.4">
      <c r="A232" t="str">
        <f t="shared" si="170"/>
        <v>X</v>
      </c>
      <c r="B232">
        <v>229</v>
      </c>
      <c r="C232" t="e" cm="1">
        <f t="array" ref="C232">INDEX(auto_Series_Code,B232)</f>
        <v>#REF!</v>
      </c>
      <c r="D232" t="e">
        <f t="shared" ref="D232:S247" si="184">MATCH(CONCATENATE(D$3,"_",$C232),auto_DataFlat_UID,0)</f>
        <v>#REF!</v>
      </c>
      <c r="E232" t="e">
        <f t="shared" si="184"/>
        <v>#REF!</v>
      </c>
      <c r="F232" t="e">
        <f t="shared" si="184"/>
        <v>#REF!</v>
      </c>
      <c r="G232" t="e">
        <f t="shared" si="184"/>
        <v>#REF!</v>
      </c>
      <c r="H232" t="e">
        <f t="shared" si="184"/>
        <v>#REF!</v>
      </c>
      <c r="I232" t="e">
        <f t="shared" si="184"/>
        <v>#REF!</v>
      </c>
      <c r="J232" t="e">
        <f t="shared" si="184"/>
        <v>#REF!</v>
      </c>
      <c r="K232" t="e">
        <f t="shared" si="184"/>
        <v>#REF!</v>
      </c>
      <c r="L232" t="e">
        <f t="shared" si="184"/>
        <v>#REF!</v>
      </c>
      <c r="M232" t="e">
        <f t="shared" si="184"/>
        <v>#REF!</v>
      </c>
      <c r="N232" t="e">
        <f t="shared" si="184"/>
        <v>#REF!</v>
      </c>
      <c r="O232" t="e">
        <f t="shared" si="184"/>
        <v>#REF!</v>
      </c>
      <c r="P232" t="e">
        <f t="shared" si="184"/>
        <v>#REF!</v>
      </c>
      <c r="Q232" t="e">
        <f t="shared" si="184"/>
        <v>#REF!</v>
      </c>
      <c r="R232" t="e">
        <f t="shared" si="184"/>
        <v>#REF!</v>
      </c>
      <c r="S232" t="e">
        <f t="shared" si="184"/>
        <v>#REF!</v>
      </c>
      <c r="T232" t="e">
        <f t="shared" si="183"/>
        <v>#REF!</v>
      </c>
      <c r="U232" t="e">
        <f t="shared" si="183"/>
        <v>#REF!</v>
      </c>
      <c r="V232" t="e">
        <f t="shared" si="183"/>
        <v>#REF!</v>
      </c>
      <c r="W232" t="e">
        <f t="shared" si="183"/>
        <v>#REF!</v>
      </c>
      <c r="X232" t="e">
        <f t="shared" si="167"/>
        <v>#REF!</v>
      </c>
      <c r="Y232" t="e">
        <f t="shared" si="167"/>
        <v>#REF!</v>
      </c>
      <c r="Z232" t="e">
        <f t="shared" si="167"/>
        <v>#REF!</v>
      </c>
      <c r="AA232" t="e">
        <f t="shared" si="167"/>
        <v>#REF!</v>
      </c>
      <c r="AB232" t="e">
        <f t="shared" si="167"/>
        <v>#REF!</v>
      </c>
      <c r="AC232" t="e">
        <f t="shared" si="167"/>
        <v>#REF!</v>
      </c>
      <c r="AD232" t="e">
        <f t="shared" si="167"/>
        <v>#REF!</v>
      </c>
      <c r="AE232" t="e">
        <f t="shared" si="167"/>
        <v>#REF!</v>
      </c>
      <c r="AF232" t="e">
        <f t="shared" si="167"/>
        <v>#REF!</v>
      </c>
      <c r="AG232" t="e">
        <f t="shared" si="167"/>
        <v>#REF!</v>
      </c>
      <c r="AH232" t="e">
        <f t="shared" si="167"/>
        <v>#REF!</v>
      </c>
      <c r="AI232" t="e">
        <f t="shared" si="177"/>
        <v>#REF!</v>
      </c>
      <c r="AJ232" t="e">
        <f t="shared" si="177"/>
        <v>#REF!</v>
      </c>
      <c r="AK232" t="e">
        <f t="shared" si="177"/>
        <v>#REF!</v>
      </c>
      <c r="AL232" t="e">
        <f t="shared" si="177"/>
        <v>#REF!</v>
      </c>
      <c r="AM232" t="e">
        <f t="shared" si="177"/>
        <v>#REF!</v>
      </c>
      <c r="AN232" t="e">
        <f t="shared" si="177"/>
        <v>#REF!</v>
      </c>
      <c r="AO232" t="e">
        <f t="shared" si="177"/>
        <v>#REF!</v>
      </c>
      <c r="AP232" t="e">
        <f t="shared" si="177"/>
        <v>#REF!</v>
      </c>
      <c r="AQ232" t="e">
        <f t="shared" si="177"/>
        <v>#REF!</v>
      </c>
      <c r="AR232" t="e">
        <f t="shared" si="176"/>
        <v>#REF!</v>
      </c>
      <c r="AS232" t="e">
        <f t="shared" si="176"/>
        <v>#REF!</v>
      </c>
      <c r="AT232" t="e">
        <f t="shared" si="176"/>
        <v>#REF!</v>
      </c>
      <c r="AU232" t="e">
        <f t="shared" si="176"/>
        <v>#REF!</v>
      </c>
      <c r="AV232" t="e">
        <f t="shared" si="176"/>
        <v>#REF!</v>
      </c>
      <c r="AW232" t="e">
        <f t="shared" si="176"/>
        <v>#REF!</v>
      </c>
      <c r="AX232" t="e">
        <f t="shared" si="176"/>
        <v>#REF!</v>
      </c>
      <c r="AY232" t="e">
        <f t="shared" si="176"/>
        <v>#REF!</v>
      </c>
      <c r="AZ232" t="e">
        <f t="shared" si="176"/>
        <v>#REF!</v>
      </c>
      <c r="BA232" t="e">
        <f t="shared" si="176"/>
        <v>#REF!</v>
      </c>
      <c r="BB232" t="e">
        <f t="shared" si="173"/>
        <v>#REF!</v>
      </c>
      <c r="BC232" t="e">
        <f t="shared" si="173"/>
        <v>#REF!</v>
      </c>
      <c r="BD232" t="e">
        <f t="shared" si="173"/>
        <v>#REF!</v>
      </c>
      <c r="BE232" t="e">
        <f t="shared" si="173"/>
        <v>#REF!</v>
      </c>
      <c r="BF232" t="e">
        <f t="shared" si="173"/>
        <v>#REF!</v>
      </c>
      <c r="BG232" t="e">
        <f t="shared" si="173"/>
        <v>#REF!</v>
      </c>
      <c r="BH232" t="e">
        <f t="shared" si="173"/>
        <v>#REF!</v>
      </c>
      <c r="BI232" t="e">
        <f t="shared" si="172"/>
        <v>#REF!</v>
      </c>
      <c r="BJ232" t="e">
        <f t="shared" si="172"/>
        <v>#REF!</v>
      </c>
      <c r="BK232" t="e">
        <f t="shared" si="172"/>
        <v>#REF!</v>
      </c>
      <c r="BL232" t="e">
        <f t="shared" si="172"/>
        <v>#REF!</v>
      </c>
      <c r="BM232" t="e">
        <f t="shared" si="172"/>
        <v>#REF!</v>
      </c>
      <c r="BN232" t="e">
        <f t="shared" si="172"/>
        <v>#REF!</v>
      </c>
      <c r="BO232" t="e">
        <f t="shared" si="172"/>
        <v>#REF!</v>
      </c>
      <c r="BP232" t="e">
        <f t="shared" si="172"/>
        <v>#REF!</v>
      </c>
      <c r="BQ232" t="e">
        <f t="shared" si="172"/>
        <v>#REF!</v>
      </c>
      <c r="BR232" t="e">
        <f t="shared" si="172"/>
        <v>#REF!</v>
      </c>
      <c r="BS232" t="e">
        <f t="shared" si="172"/>
        <v>#REF!</v>
      </c>
      <c r="BT232" t="e">
        <f t="shared" si="172"/>
        <v>#REF!</v>
      </c>
      <c r="BU232" t="e">
        <f t="shared" si="172"/>
        <v>#REF!</v>
      </c>
      <c r="BV232" t="e">
        <f t="shared" si="172"/>
        <v>#REF!</v>
      </c>
      <c r="BW232" t="e">
        <f t="shared" si="172"/>
        <v>#REF!</v>
      </c>
      <c r="BX232" t="e">
        <f t="shared" si="181"/>
        <v>#REF!</v>
      </c>
      <c r="BY232" t="e">
        <f t="shared" si="181"/>
        <v>#REF!</v>
      </c>
      <c r="BZ232" t="e">
        <f t="shared" si="181"/>
        <v>#REF!</v>
      </c>
      <c r="CA232" t="e">
        <f t="shared" si="181"/>
        <v>#REF!</v>
      </c>
      <c r="CB232" t="e">
        <f t="shared" si="181"/>
        <v>#REF!</v>
      </c>
      <c r="CC232" t="e">
        <f t="shared" si="181"/>
        <v>#REF!</v>
      </c>
      <c r="CD232" t="e">
        <f t="shared" si="181"/>
        <v>#REF!</v>
      </c>
      <c r="CE232" t="e">
        <f t="shared" si="181"/>
        <v>#REF!</v>
      </c>
      <c r="CF232" t="e">
        <f t="shared" si="175"/>
        <v>#REF!</v>
      </c>
      <c r="CG232" t="e">
        <f t="shared" si="175"/>
        <v>#REF!</v>
      </c>
      <c r="CH232" t="e">
        <f t="shared" si="175"/>
        <v>#REF!</v>
      </c>
      <c r="CI232" t="e">
        <f t="shared" si="175"/>
        <v>#REF!</v>
      </c>
      <c r="CJ232" t="e">
        <f t="shared" si="175"/>
        <v>#REF!</v>
      </c>
      <c r="CK232" t="e">
        <f t="shared" si="175"/>
        <v>#REF!</v>
      </c>
      <c r="CL232" t="e">
        <f t="shared" si="175"/>
        <v>#REF!</v>
      </c>
      <c r="CM232" t="e">
        <f t="shared" si="175"/>
        <v>#REF!</v>
      </c>
      <c r="CN232" t="e">
        <f t="shared" si="175"/>
        <v>#REF!</v>
      </c>
      <c r="CO232" t="e">
        <f t="shared" si="175"/>
        <v>#REF!</v>
      </c>
      <c r="CP232" t="e">
        <f t="shared" si="174"/>
        <v>#REF!</v>
      </c>
      <c r="CQ232" t="e">
        <f t="shared" si="174"/>
        <v>#REF!</v>
      </c>
      <c r="CR232" t="e">
        <f t="shared" si="174"/>
        <v>#REF!</v>
      </c>
      <c r="CS232" t="e">
        <f t="shared" si="174"/>
        <v>#REF!</v>
      </c>
      <c r="CT232" t="e">
        <f t="shared" si="174"/>
        <v>#REF!</v>
      </c>
      <c r="CU232" t="e">
        <f t="shared" si="174"/>
        <v>#REF!</v>
      </c>
      <c r="CV232" t="e">
        <f t="shared" si="174"/>
        <v>#REF!</v>
      </c>
      <c r="CW232" t="e">
        <f t="shared" si="174"/>
        <v>#REF!</v>
      </c>
      <c r="CX232" t="e">
        <f t="shared" si="174"/>
        <v>#REF!</v>
      </c>
      <c r="CY232" t="e">
        <f t="shared" si="174"/>
        <v>#REF!</v>
      </c>
      <c r="CZ232" t="e">
        <f t="shared" si="174"/>
        <v>#REF!</v>
      </c>
      <c r="DA232" t="e">
        <f t="shared" si="174"/>
        <v>#REF!</v>
      </c>
      <c r="DB232" t="e">
        <f t="shared" si="174"/>
        <v>#REF!</v>
      </c>
      <c r="DC232" t="e">
        <f t="shared" si="182"/>
        <v>#REF!</v>
      </c>
      <c r="DD232" t="e">
        <f t="shared" si="182"/>
        <v>#REF!</v>
      </c>
      <c r="DE232" t="e">
        <f t="shared" si="182"/>
        <v>#REF!</v>
      </c>
      <c r="DF232" t="e">
        <f t="shared" si="182"/>
        <v>#REF!</v>
      </c>
      <c r="DG232" t="e">
        <f t="shared" si="182"/>
        <v>#REF!</v>
      </c>
      <c r="DH232" t="e">
        <f t="shared" si="182"/>
        <v>#REF!</v>
      </c>
      <c r="DI232" t="e">
        <f t="shared" si="182"/>
        <v>#REF!</v>
      </c>
      <c r="DJ232" t="e">
        <f t="shared" si="180"/>
        <v>#REF!</v>
      </c>
      <c r="DK232" t="e">
        <f t="shared" si="180"/>
        <v>#REF!</v>
      </c>
      <c r="DL232" t="e">
        <f t="shared" si="180"/>
        <v>#REF!</v>
      </c>
      <c r="DM232" t="e">
        <f t="shared" si="180"/>
        <v>#REF!</v>
      </c>
      <c r="DN232" t="e">
        <f t="shared" si="180"/>
        <v>#REF!</v>
      </c>
      <c r="DO232" t="e">
        <f t="shared" si="180"/>
        <v>#REF!</v>
      </c>
      <c r="DP232" t="e">
        <f t="shared" si="180"/>
        <v>#REF!</v>
      </c>
      <c r="DQ232" t="e">
        <f t="shared" si="180"/>
        <v>#REF!</v>
      </c>
      <c r="DR232" t="e">
        <f t="shared" si="180"/>
        <v>#REF!</v>
      </c>
      <c r="DS232" t="e">
        <f t="shared" si="180"/>
        <v>#REF!</v>
      </c>
      <c r="DT232" t="e">
        <f t="shared" si="180"/>
        <v>#REF!</v>
      </c>
      <c r="DU232" t="e">
        <f t="shared" si="180"/>
        <v>#REF!</v>
      </c>
      <c r="DV232" t="e">
        <f t="shared" si="180"/>
        <v>#REF!</v>
      </c>
      <c r="DW232" t="e">
        <f t="shared" si="180"/>
        <v>#REF!</v>
      </c>
      <c r="DX232" t="e">
        <f t="shared" si="180"/>
        <v>#REF!</v>
      </c>
      <c r="DY232" t="e">
        <f t="shared" si="171"/>
        <v>#REF!</v>
      </c>
      <c r="DZ232" t="e">
        <f t="shared" si="153"/>
        <v>#REF!</v>
      </c>
      <c r="EA232" t="e">
        <f t="shared" si="153"/>
        <v>#REF!</v>
      </c>
      <c r="EB232" t="e">
        <f t="shared" si="153"/>
        <v>#REF!</v>
      </c>
      <c r="EC232" t="e">
        <f t="shared" si="153"/>
        <v>#REF!</v>
      </c>
      <c r="ED232" t="e">
        <f t="shared" si="153"/>
        <v>#REF!</v>
      </c>
      <c r="EE232" t="e">
        <f t="shared" si="153"/>
        <v>#REF!</v>
      </c>
      <c r="EF232" t="e">
        <f t="shared" si="153"/>
        <v>#REF!</v>
      </c>
      <c r="EG232" t="e">
        <f t="shared" si="153"/>
        <v>#REF!</v>
      </c>
      <c r="EH232" t="e">
        <f t="shared" si="165"/>
        <v>#REF!</v>
      </c>
      <c r="EI232" t="e">
        <f t="shared" si="165"/>
        <v>#REF!</v>
      </c>
      <c r="EJ232" t="e">
        <f t="shared" si="165"/>
        <v>#REF!</v>
      </c>
      <c r="EK232" t="e">
        <f t="shared" si="165"/>
        <v>#REF!</v>
      </c>
      <c r="EL232" t="e">
        <f t="shared" si="165"/>
        <v>#REF!</v>
      </c>
      <c r="EM232" t="e">
        <f t="shared" si="165"/>
        <v>#REF!</v>
      </c>
    </row>
    <row r="233" spans="1:143" x14ac:dyDescent="0.4">
      <c r="A233" t="str">
        <f t="shared" si="170"/>
        <v>X</v>
      </c>
      <c r="B233">
        <v>230</v>
      </c>
      <c r="C233" t="e" cm="1">
        <f t="array" ref="C233">INDEX(auto_Series_Code,B233)</f>
        <v>#REF!</v>
      </c>
      <c r="D233" t="e">
        <f t="shared" si="184"/>
        <v>#REF!</v>
      </c>
      <c r="E233" t="e">
        <f t="shared" si="184"/>
        <v>#REF!</v>
      </c>
      <c r="F233" t="e">
        <f t="shared" si="184"/>
        <v>#REF!</v>
      </c>
      <c r="G233" t="e">
        <f t="shared" si="184"/>
        <v>#REF!</v>
      </c>
      <c r="H233" t="e">
        <f t="shared" si="184"/>
        <v>#REF!</v>
      </c>
      <c r="I233" t="e">
        <f t="shared" si="184"/>
        <v>#REF!</v>
      </c>
      <c r="J233" t="e">
        <f t="shared" si="184"/>
        <v>#REF!</v>
      </c>
      <c r="K233" t="e">
        <f t="shared" si="184"/>
        <v>#REF!</v>
      </c>
      <c r="L233" t="e">
        <f t="shared" si="184"/>
        <v>#REF!</v>
      </c>
      <c r="M233" t="e">
        <f t="shared" si="184"/>
        <v>#REF!</v>
      </c>
      <c r="N233" t="e">
        <f t="shared" si="184"/>
        <v>#REF!</v>
      </c>
      <c r="O233" t="e">
        <f t="shared" si="184"/>
        <v>#REF!</v>
      </c>
      <c r="P233" t="e">
        <f t="shared" si="184"/>
        <v>#REF!</v>
      </c>
      <c r="Q233" t="e">
        <f t="shared" si="184"/>
        <v>#REF!</v>
      </c>
      <c r="R233" t="e">
        <f t="shared" si="184"/>
        <v>#REF!</v>
      </c>
      <c r="S233" t="e">
        <f t="shared" si="184"/>
        <v>#REF!</v>
      </c>
      <c r="T233" t="e">
        <f t="shared" si="183"/>
        <v>#REF!</v>
      </c>
      <c r="U233" t="e">
        <f t="shared" si="183"/>
        <v>#REF!</v>
      </c>
      <c r="V233" t="e">
        <f t="shared" si="183"/>
        <v>#REF!</v>
      </c>
      <c r="W233" t="e">
        <f t="shared" si="183"/>
        <v>#REF!</v>
      </c>
      <c r="X233" t="e">
        <f t="shared" si="167"/>
        <v>#REF!</v>
      </c>
      <c r="Y233" t="e">
        <f t="shared" si="167"/>
        <v>#REF!</v>
      </c>
      <c r="Z233" t="e">
        <f t="shared" si="167"/>
        <v>#REF!</v>
      </c>
      <c r="AA233" t="e">
        <f t="shared" si="167"/>
        <v>#REF!</v>
      </c>
      <c r="AB233" t="e">
        <f t="shared" si="167"/>
        <v>#REF!</v>
      </c>
      <c r="AC233" t="e">
        <f t="shared" si="167"/>
        <v>#REF!</v>
      </c>
      <c r="AD233" t="e">
        <f t="shared" si="167"/>
        <v>#REF!</v>
      </c>
      <c r="AE233" t="e">
        <f t="shared" si="167"/>
        <v>#REF!</v>
      </c>
      <c r="AF233" t="e">
        <f t="shared" si="167"/>
        <v>#REF!</v>
      </c>
      <c r="AG233" t="e">
        <f t="shared" si="167"/>
        <v>#REF!</v>
      </c>
      <c r="AH233" t="e">
        <f t="shared" si="167"/>
        <v>#REF!</v>
      </c>
      <c r="AI233" t="e">
        <f t="shared" si="177"/>
        <v>#REF!</v>
      </c>
      <c r="AJ233" t="e">
        <f t="shared" si="177"/>
        <v>#REF!</v>
      </c>
      <c r="AK233" t="e">
        <f t="shared" si="177"/>
        <v>#REF!</v>
      </c>
      <c r="AL233" t="e">
        <f t="shared" si="177"/>
        <v>#REF!</v>
      </c>
      <c r="AM233" t="e">
        <f t="shared" si="177"/>
        <v>#REF!</v>
      </c>
      <c r="AN233" t="e">
        <f t="shared" si="177"/>
        <v>#REF!</v>
      </c>
      <c r="AO233" t="e">
        <f t="shared" si="177"/>
        <v>#REF!</v>
      </c>
      <c r="AP233" t="e">
        <f t="shared" si="177"/>
        <v>#REF!</v>
      </c>
      <c r="AQ233" t="e">
        <f t="shared" si="177"/>
        <v>#REF!</v>
      </c>
      <c r="AR233" t="e">
        <f t="shared" si="176"/>
        <v>#REF!</v>
      </c>
      <c r="AS233" t="e">
        <f t="shared" si="176"/>
        <v>#REF!</v>
      </c>
      <c r="AT233" t="e">
        <f t="shared" si="176"/>
        <v>#REF!</v>
      </c>
      <c r="AU233" t="e">
        <f t="shared" si="176"/>
        <v>#REF!</v>
      </c>
      <c r="AV233" t="e">
        <f t="shared" si="176"/>
        <v>#REF!</v>
      </c>
      <c r="AW233" t="e">
        <f t="shared" si="176"/>
        <v>#REF!</v>
      </c>
      <c r="AX233" t="e">
        <f t="shared" si="176"/>
        <v>#REF!</v>
      </c>
      <c r="AY233" t="e">
        <f t="shared" si="176"/>
        <v>#REF!</v>
      </c>
      <c r="AZ233" t="e">
        <f t="shared" si="176"/>
        <v>#REF!</v>
      </c>
      <c r="BA233" t="e">
        <f t="shared" si="176"/>
        <v>#REF!</v>
      </c>
      <c r="BB233" t="e">
        <f t="shared" si="173"/>
        <v>#REF!</v>
      </c>
      <c r="BC233" t="e">
        <f t="shared" si="173"/>
        <v>#REF!</v>
      </c>
      <c r="BD233" t="e">
        <f t="shared" si="173"/>
        <v>#REF!</v>
      </c>
      <c r="BE233" t="e">
        <f t="shared" si="173"/>
        <v>#REF!</v>
      </c>
      <c r="BF233" t="e">
        <f t="shared" si="173"/>
        <v>#REF!</v>
      </c>
      <c r="BG233" t="e">
        <f t="shared" si="173"/>
        <v>#REF!</v>
      </c>
      <c r="BH233" t="e">
        <f t="shared" si="173"/>
        <v>#REF!</v>
      </c>
      <c r="BI233" t="e">
        <f t="shared" si="172"/>
        <v>#REF!</v>
      </c>
      <c r="BJ233" t="e">
        <f t="shared" si="172"/>
        <v>#REF!</v>
      </c>
      <c r="BK233" t="e">
        <f t="shared" si="172"/>
        <v>#REF!</v>
      </c>
      <c r="BL233" t="e">
        <f t="shared" si="172"/>
        <v>#REF!</v>
      </c>
      <c r="BM233" t="e">
        <f t="shared" si="172"/>
        <v>#REF!</v>
      </c>
      <c r="BN233" t="e">
        <f t="shared" si="172"/>
        <v>#REF!</v>
      </c>
      <c r="BO233" t="e">
        <f t="shared" si="172"/>
        <v>#REF!</v>
      </c>
      <c r="BP233" t="e">
        <f t="shared" si="172"/>
        <v>#REF!</v>
      </c>
      <c r="BQ233" t="e">
        <f t="shared" si="172"/>
        <v>#REF!</v>
      </c>
      <c r="BR233" t="e">
        <f t="shared" si="172"/>
        <v>#REF!</v>
      </c>
      <c r="BS233" t="e">
        <f t="shared" si="172"/>
        <v>#REF!</v>
      </c>
      <c r="BT233" t="e">
        <f t="shared" si="172"/>
        <v>#REF!</v>
      </c>
      <c r="BU233" t="e">
        <f t="shared" si="172"/>
        <v>#REF!</v>
      </c>
      <c r="BV233" t="e">
        <f t="shared" si="172"/>
        <v>#REF!</v>
      </c>
      <c r="BW233" t="e">
        <f t="shared" si="172"/>
        <v>#REF!</v>
      </c>
      <c r="BX233" t="e">
        <f t="shared" si="181"/>
        <v>#REF!</v>
      </c>
      <c r="BY233" t="e">
        <f t="shared" si="181"/>
        <v>#REF!</v>
      </c>
      <c r="BZ233" t="e">
        <f t="shared" si="181"/>
        <v>#REF!</v>
      </c>
      <c r="CA233" t="e">
        <f t="shared" si="181"/>
        <v>#REF!</v>
      </c>
      <c r="CB233" t="e">
        <f t="shared" si="181"/>
        <v>#REF!</v>
      </c>
      <c r="CC233" t="e">
        <f t="shared" si="181"/>
        <v>#REF!</v>
      </c>
      <c r="CD233" t="e">
        <f t="shared" si="181"/>
        <v>#REF!</v>
      </c>
      <c r="CE233" t="e">
        <f t="shared" si="181"/>
        <v>#REF!</v>
      </c>
      <c r="CF233" t="e">
        <f t="shared" si="175"/>
        <v>#REF!</v>
      </c>
      <c r="CG233" t="e">
        <f t="shared" si="175"/>
        <v>#REF!</v>
      </c>
      <c r="CH233" t="e">
        <f t="shared" si="175"/>
        <v>#REF!</v>
      </c>
      <c r="CI233" t="e">
        <f t="shared" si="175"/>
        <v>#REF!</v>
      </c>
      <c r="CJ233" t="e">
        <f t="shared" si="175"/>
        <v>#REF!</v>
      </c>
      <c r="CK233" t="e">
        <f t="shared" si="175"/>
        <v>#REF!</v>
      </c>
      <c r="CL233" t="e">
        <f t="shared" si="175"/>
        <v>#REF!</v>
      </c>
      <c r="CM233" t="e">
        <f t="shared" si="175"/>
        <v>#REF!</v>
      </c>
      <c r="CN233" t="e">
        <f t="shared" si="175"/>
        <v>#REF!</v>
      </c>
      <c r="CO233" t="e">
        <f t="shared" si="175"/>
        <v>#REF!</v>
      </c>
      <c r="CP233" t="e">
        <f t="shared" si="174"/>
        <v>#REF!</v>
      </c>
      <c r="CQ233" t="e">
        <f t="shared" si="174"/>
        <v>#REF!</v>
      </c>
      <c r="CR233" t="e">
        <f t="shared" si="174"/>
        <v>#REF!</v>
      </c>
      <c r="CS233" t="e">
        <f t="shared" si="174"/>
        <v>#REF!</v>
      </c>
      <c r="CT233" t="e">
        <f t="shared" si="174"/>
        <v>#REF!</v>
      </c>
      <c r="CU233" t="e">
        <f t="shared" si="174"/>
        <v>#REF!</v>
      </c>
      <c r="CV233" t="e">
        <f t="shared" si="174"/>
        <v>#REF!</v>
      </c>
      <c r="CW233" t="e">
        <f t="shared" si="174"/>
        <v>#REF!</v>
      </c>
      <c r="CX233" t="e">
        <f t="shared" si="174"/>
        <v>#REF!</v>
      </c>
      <c r="CY233" t="e">
        <f t="shared" si="174"/>
        <v>#REF!</v>
      </c>
      <c r="CZ233" t="e">
        <f t="shared" si="174"/>
        <v>#REF!</v>
      </c>
      <c r="DA233" t="e">
        <f t="shared" si="174"/>
        <v>#REF!</v>
      </c>
      <c r="DB233" t="e">
        <f t="shared" si="174"/>
        <v>#REF!</v>
      </c>
      <c r="DC233" t="e">
        <f t="shared" si="182"/>
        <v>#REF!</v>
      </c>
      <c r="DD233" t="e">
        <f t="shared" si="182"/>
        <v>#REF!</v>
      </c>
      <c r="DE233" t="e">
        <f t="shared" si="182"/>
        <v>#REF!</v>
      </c>
      <c r="DF233" t="e">
        <f t="shared" si="182"/>
        <v>#REF!</v>
      </c>
      <c r="DG233" t="e">
        <f t="shared" si="182"/>
        <v>#REF!</v>
      </c>
      <c r="DH233" t="e">
        <f t="shared" si="182"/>
        <v>#REF!</v>
      </c>
      <c r="DI233" t="e">
        <f t="shared" si="182"/>
        <v>#REF!</v>
      </c>
      <c r="DJ233" t="e">
        <f t="shared" si="180"/>
        <v>#REF!</v>
      </c>
      <c r="DK233" t="e">
        <f t="shared" si="180"/>
        <v>#REF!</v>
      </c>
      <c r="DL233" t="e">
        <f t="shared" si="180"/>
        <v>#REF!</v>
      </c>
      <c r="DM233" t="e">
        <f t="shared" si="180"/>
        <v>#REF!</v>
      </c>
      <c r="DN233" t="e">
        <f t="shared" si="180"/>
        <v>#REF!</v>
      </c>
      <c r="DO233" t="e">
        <f t="shared" si="180"/>
        <v>#REF!</v>
      </c>
      <c r="DP233" t="e">
        <f t="shared" si="180"/>
        <v>#REF!</v>
      </c>
      <c r="DQ233" t="e">
        <f t="shared" si="180"/>
        <v>#REF!</v>
      </c>
      <c r="DR233" t="e">
        <f t="shared" si="180"/>
        <v>#REF!</v>
      </c>
      <c r="DS233" t="e">
        <f t="shared" si="180"/>
        <v>#REF!</v>
      </c>
      <c r="DT233" t="e">
        <f t="shared" si="180"/>
        <v>#REF!</v>
      </c>
      <c r="DU233" t="e">
        <f t="shared" si="180"/>
        <v>#REF!</v>
      </c>
      <c r="DV233" t="e">
        <f t="shared" si="180"/>
        <v>#REF!</v>
      </c>
      <c r="DW233" t="e">
        <f t="shared" si="180"/>
        <v>#REF!</v>
      </c>
      <c r="DX233" t="e">
        <f t="shared" si="180"/>
        <v>#REF!</v>
      </c>
      <c r="DY233" t="e">
        <f t="shared" si="171"/>
        <v>#REF!</v>
      </c>
      <c r="DZ233" t="e">
        <f t="shared" si="153"/>
        <v>#REF!</v>
      </c>
      <c r="EA233" t="e">
        <f t="shared" ref="EA233:EM258" si="185">MATCH(CONCATENATE(EA$3,"_",$C233),auto_DataFlat_UID,0)</f>
        <v>#REF!</v>
      </c>
      <c r="EB233" t="e">
        <f t="shared" si="185"/>
        <v>#REF!</v>
      </c>
      <c r="EC233" t="e">
        <f t="shared" si="185"/>
        <v>#REF!</v>
      </c>
      <c r="ED233" t="e">
        <f t="shared" si="185"/>
        <v>#REF!</v>
      </c>
      <c r="EE233" t="e">
        <f t="shared" si="185"/>
        <v>#REF!</v>
      </c>
      <c r="EF233" t="e">
        <f t="shared" si="185"/>
        <v>#REF!</v>
      </c>
      <c r="EG233" t="e">
        <f t="shared" si="185"/>
        <v>#REF!</v>
      </c>
      <c r="EH233" t="e">
        <f t="shared" si="185"/>
        <v>#REF!</v>
      </c>
      <c r="EI233" t="e">
        <f t="shared" si="185"/>
        <v>#REF!</v>
      </c>
      <c r="EJ233" t="e">
        <f t="shared" si="185"/>
        <v>#REF!</v>
      </c>
      <c r="EK233" t="e">
        <f t="shared" si="185"/>
        <v>#REF!</v>
      </c>
      <c r="EL233" t="e">
        <f t="shared" si="185"/>
        <v>#REF!</v>
      </c>
      <c r="EM233" t="e">
        <f t="shared" si="185"/>
        <v>#REF!</v>
      </c>
    </row>
    <row r="234" spans="1:143" x14ac:dyDescent="0.4">
      <c r="A234" t="str">
        <f t="shared" si="170"/>
        <v>X</v>
      </c>
      <c r="B234">
        <v>231</v>
      </c>
      <c r="C234" t="e" cm="1">
        <f t="array" ref="C234">INDEX(auto_Series_Code,B234)</f>
        <v>#REF!</v>
      </c>
      <c r="D234" t="e">
        <f t="shared" si="184"/>
        <v>#REF!</v>
      </c>
      <c r="E234" t="e">
        <f t="shared" si="184"/>
        <v>#REF!</v>
      </c>
      <c r="F234" t="e">
        <f t="shared" si="184"/>
        <v>#REF!</v>
      </c>
      <c r="G234" t="e">
        <f t="shared" si="184"/>
        <v>#REF!</v>
      </c>
      <c r="H234" t="e">
        <f t="shared" si="184"/>
        <v>#REF!</v>
      </c>
      <c r="I234" t="e">
        <f t="shared" si="184"/>
        <v>#REF!</v>
      </c>
      <c r="J234" t="e">
        <f t="shared" si="184"/>
        <v>#REF!</v>
      </c>
      <c r="K234" t="e">
        <f t="shared" si="184"/>
        <v>#REF!</v>
      </c>
      <c r="L234" t="e">
        <f t="shared" si="184"/>
        <v>#REF!</v>
      </c>
      <c r="M234" t="e">
        <f t="shared" si="184"/>
        <v>#REF!</v>
      </c>
      <c r="N234" t="e">
        <f t="shared" si="184"/>
        <v>#REF!</v>
      </c>
      <c r="O234" t="e">
        <f t="shared" si="184"/>
        <v>#REF!</v>
      </c>
      <c r="P234" t="e">
        <f t="shared" si="184"/>
        <v>#REF!</v>
      </c>
      <c r="Q234" t="e">
        <f t="shared" si="184"/>
        <v>#REF!</v>
      </c>
      <c r="R234" t="e">
        <f t="shared" si="184"/>
        <v>#REF!</v>
      </c>
      <c r="S234" t="e">
        <f t="shared" si="184"/>
        <v>#REF!</v>
      </c>
      <c r="T234" t="e">
        <f t="shared" si="183"/>
        <v>#REF!</v>
      </c>
      <c r="U234" t="e">
        <f t="shared" si="183"/>
        <v>#REF!</v>
      </c>
      <c r="V234" t="e">
        <f t="shared" si="183"/>
        <v>#REF!</v>
      </c>
      <c r="W234" t="e">
        <f t="shared" si="183"/>
        <v>#REF!</v>
      </c>
      <c r="X234" t="e">
        <f t="shared" si="167"/>
        <v>#REF!</v>
      </c>
      <c r="Y234" t="e">
        <f t="shared" si="167"/>
        <v>#REF!</v>
      </c>
      <c r="Z234" t="e">
        <f t="shared" si="167"/>
        <v>#REF!</v>
      </c>
      <c r="AA234" t="e">
        <f t="shared" si="167"/>
        <v>#REF!</v>
      </c>
      <c r="AB234" t="e">
        <f t="shared" si="167"/>
        <v>#REF!</v>
      </c>
      <c r="AC234" t="e">
        <f t="shared" si="167"/>
        <v>#REF!</v>
      </c>
      <c r="AD234" t="e">
        <f t="shared" si="167"/>
        <v>#REF!</v>
      </c>
      <c r="AE234" t="e">
        <f t="shared" si="167"/>
        <v>#REF!</v>
      </c>
      <c r="AF234" t="e">
        <f t="shared" si="167"/>
        <v>#REF!</v>
      </c>
      <c r="AG234" t="e">
        <f t="shared" si="167"/>
        <v>#REF!</v>
      </c>
      <c r="AH234" t="e">
        <f t="shared" si="167"/>
        <v>#REF!</v>
      </c>
      <c r="AI234" t="e">
        <f t="shared" si="177"/>
        <v>#REF!</v>
      </c>
      <c r="AJ234" t="e">
        <f t="shared" si="177"/>
        <v>#REF!</v>
      </c>
      <c r="AK234" t="e">
        <f t="shared" si="177"/>
        <v>#REF!</v>
      </c>
      <c r="AL234" t="e">
        <f t="shared" si="177"/>
        <v>#REF!</v>
      </c>
      <c r="AM234" t="e">
        <f t="shared" si="177"/>
        <v>#REF!</v>
      </c>
      <c r="AN234" t="e">
        <f t="shared" si="177"/>
        <v>#REF!</v>
      </c>
      <c r="AO234" t="e">
        <f t="shared" si="177"/>
        <v>#REF!</v>
      </c>
      <c r="AP234" t="e">
        <f t="shared" si="177"/>
        <v>#REF!</v>
      </c>
      <c r="AQ234" t="e">
        <f t="shared" si="177"/>
        <v>#REF!</v>
      </c>
      <c r="AR234" t="e">
        <f t="shared" si="176"/>
        <v>#REF!</v>
      </c>
      <c r="AS234" t="e">
        <f t="shared" si="176"/>
        <v>#REF!</v>
      </c>
      <c r="AT234" t="e">
        <f t="shared" si="176"/>
        <v>#REF!</v>
      </c>
      <c r="AU234" t="e">
        <f t="shared" si="176"/>
        <v>#REF!</v>
      </c>
      <c r="AV234" t="e">
        <f t="shared" si="176"/>
        <v>#REF!</v>
      </c>
      <c r="AW234" t="e">
        <f t="shared" si="176"/>
        <v>#REF!</v>
      </c>
      <c r="AX234" t="e">
        <f t="shared" si="176"/>
        <v>#REF!</v>
      </c>
      <c r="AY234" t="e">
        <f t="shared" si="176"/>
        <v>#REF!</v>
      </c>
      <c r="AZ234" t="e">
        <f t="shared" si="176"/>
        <v>#REF!</v>
      </c>
      <c r="BA234" t="e">
        <f t="shared" si="176"/>
        <v>#REF!</v>
      </c>
      <c r="BB234" t="e">
        <f t="shared" si="173"/>
        <v>#REF!</v>
      </c>
      <c r="BC234" t="e">
        <f t="shared" si="173"/>
        <v>#REF!</v>
      </c>
      <c r="BD234" t="e">
        <f t="shared" si="173"/>
        <v>#REF!</v>
      </c>
      <c r="BE234" t="e">
        <f t="shared" si="173"/>
        <v>#REF!</v>
      </c>
      <c r="BF234" t="e">
        <f t="shared" si="173"/>
        <v>#REF!</v>
      </c>
      <c r="BG234" t="e">
        <f t="shared" si="173"/>
        <v>#REF!</v>
      </c>
      <c r="BH234" t="e">
        <f t="shared" si="173"/>
        <v>#REF!</v>
      </c>
      <c r="BI234" t="e">
        <f t="shared" si="172"/>
        <v>#REF!</v>
      </c>
      <c r="BJ234" t="e">
        <f t="shared" si="172"/>
        <v>#REF!</v>
      </c>
      <c r="BK234" t="e">
        <f t="shared" si="172"/>
        <v>#REF!</v>
      </c>
      <c r="BL234" t="e">
        <f t="shared" si="172"/>
        <v>#REF!</v>
      </c>
      <c r="BM234" t="e">
        <f t="shared" si="172"/>
        <v>#REF!</v>
      </c>
      <c r="BN234" t="e">
        <f t="shared" si="172"/>
        <v>#REF!</v>
      </c>
      <c r="BO234" t="e">
        <f t="shared" si="172"/>
        <v>#REF!</v>
      </c>
      <c r="BP234" t="e">
        <f t="shared" si="172"/>
        <v>#REF!</v>
      </c>
      <c r="BQ234" t="e">
        <f t="shared" si="172"/>
        <v>#REF!</v>
      </c>
      <c r="BR234" t="e">
        <f t="shared" si="172"/>
        <v>#REF!</v>
      </c>
      <c r="BS234" t="e">
        <f t="shared" si="172"/>
        <v>#REF!</v>
      </c>
      <c r="BT234" t="e">
        <f t="shared" si="172"/>
        <v>#REF!</v>
      </c>
      <c r="BU234" t="e">
        <f t="shared" si="172"/>
        <v>#REF!</v>
      </c>
      <c r="BV234" t="e">
        <f t="shared" si="172"/>
        <v>#REF!</v>
      </c>
      <c r="BW234" t="e">
        <f t="shared" si="172"/>
        <v>#REF!</v>
      </c>
      <c r="BX234" t="e">
        <f t="shared" si="181"/>
        <v>#REF!</v>
      </c>
      <c r="BY234" t="e">
        <f t="shared" si="181"/>
        <v>#REF!</v>
      </c>
      <c r="BZ234" t="e">
        <f t="shared" si="181"/>
        <v>#REF!</v>
      </c>
      <c r="CA234" t="e">
        <f t="shared" si="181"/>
        <v>#REF!</v>
      </c>
      <c r="CB234" t="e">
        <f t="shared" si="181"/>
        <v>#REF!</v>
      </c>
      <c r="CC234" t="e">
        <f t="shared" si="181"/>
        <v>#REF!</v>
      </c>
      <c r="CD234" t="e">
        <f t="shared" si="181"/>
        <v>#REF!</v>
      </c>
      <c r="CE234" t="e">
        <f t="shared" si="181"/>
        <v>#REF!</v>
      </c>
      <c r="CF234" t="e">
        <f t="shared" si="175"/>
        <v>#REF!</v>
      </c>
      <c r="CG234" t="e">
        <f t="shared" si="175"/>
        <v>#REF!</v>
      </c>
      <c r="CH234" t="e">
        <f t="shared" si="175"/>
        <v>#REF!</v>
      </c>
      <c r="CI234" t="e">
        <f t="shared" si="175"/>
        <v>#REF!</v>
      </c>
      <c r="CJ234" t="e">
        <f t="shared" si="175"/>
        <v>#REF!</v>
      </c>
      <c r="CK234" t="e">
        <f t="shared" si="175"/>
        <v>#REF!</v>
      </c>
      <c r="CL234" t="e">
        <f t="shared" si="175"/>
        <v>#REF!</v>
      </c>
      <c r="CM234" t="e">
        <f t="shared" si="175"/>
        <v>#REF!</v>
      </c>
      <c r="CN234" t="e">
        <f t="shared" si="175"/>
        <v>#REF!</v>
      </c>
      <c r="CO234" t="e">
        <f t="shared" si="175"/>
        <v>#REF!</v>
      </c>
      <c r="CP234" t="e">
        <f t="shared" si="174"/>
        <v>#REF!</v>
      </c>
      <c r="CQ234" t="e">
        <f t="shared" si="174"/>
        <v>#REF!</v>
      </c>
      <c r="CR234" t="e">
        <f t="shared" si="174"/>
        <v>#REF!</v>
      </c>
      <c r="CS234" t="e">
        <f t="shared" si="174"/>
        <v>#REF!</v>
      </c>
      <c r="CT234" t="e">
        <f t="shared" si="174"/>
        <v>#REF!</v>
      </c>
      <c r="CU234" t="e">
        <f t="shared" si="174"/>
        <v>#REF!</v>
      </c>
      <c r="CV234" t="e">
        <f t="shared" si="174"/>
        <v>#REF!</v>
      </c>
      <c r="CW234" t="e">
        <f t="shared" si="174"/>
        <v>#REF!</v>
      </c>
      <c r="CX234" t="e">
        <f t="shared" si="174"/>
        <v>#REF!</v>
      </c>
      <c r="CY234" t="e">
        <f t="shared" si="174"/>
        <v>#REF!</v>
      </c>
      <c r="CZ234" t="e">
        <f t="shared" si="174"/>
        <v>#REF!</v>
      </c>
      <c r="DA234" t="e">
        <f t="shared" si="174"/>
        <v>#REF!</v>
      </c>
      <c r="DB234" t="e">
        <f t="shared" si="174"/>
        <v>#REF!</v>
      </c>
      <c r="DC234" t="e">
        <f t="shared" si="182"/>
        <v>#REF!</v>
      </c>
      <c r="DD234" t="e">
        <f t="shared" si="182"/>
        <v>#REF!</v>
      </c>
      <c r="DE234" t="e">
        <f t="shared" si="182"/>
        <v>#REF!</v>
      </c>
      <c r="DF234" t="e">
        <f t="shared" si="182"/>
        <v>#REF!</v>
      </c>
      <c r="DG234" t="e">
        <f t="shared" si="182"/>
        <v>#REF!</v>
      </c>
      <c r="DH234" t="e">
        <f t="shared" si="182"/>
        <v>#REF!</v>
      </c>
      <c r="DI234" t="e">
        <f t="shared" si="182"/>
        <v>#REF!</v>
      </c>
      <c r="DJ234" t="e">
        <f t="shared" si="180"/>
        <v>#REF!</v>
      </c>
      <c r="DK234" t="e">
        <f t="shared" si="180"/>
        <v>#REF!</v>
      </c>
      <c r="DL234" t="e">
        <f t="shared" si="180"/>
        <v>#REF!</v>
      </c>
      <c r="DM234" t="e">
        <f t="shared" si="180"/>
        <v>#REF!</v>
      </c>
      <c r="DN234" t="e">
        <f t="shared" si="180"/>
        <v>#REF!</v>
      </c>
      <c r="DO234" t="e">
        <f t="shared" si="180"/>
        <v>#REF!</v>
      </c>
      <c r="DP234" t="e">
        <f t="shared" si="180"/>
        <v>#REF!</v>
      </c>
      <c r="DQ234" t="e">
        <f t="shared" si="180"/>
        <v>#REF!</v>
      </c>
      <c r="DR234" t="e">
        <f t="shared" si="180"/>
        <v>#REF!</v>
      </c>
      <c r="DS234" t="e">
        <f t="shared" si="180"/>
        <v>#REF!</v>
      </c>
      <c r="DT234" t="e">
        <f t="shared" si="180"/>
        <v>#REF!</v>
      </c>
      <c r="DU234" t="e">
        <f t="shared" si="180"/>
        <v>#REF!</v>
      </c>
      <c r="DV234" t="e">
        <f t="shared" si="180"/>
        <v>#REF!</v>
      </c>
      <c r="DW234" t="e">
        <f t="shared" si="180"/>
        <v>#REF!</v>
      </c>
      <c r="DX234" t="e">
        <f t="shared" si="180"/>
        <v>#REF!</v>
      </c>
      <c r="DY234" t="e">
        <f t="shared" si="171"/>
        <v>#REF!</v>
      </c>
      <c r="DZ234" t="e">
        <f t="shared" si="171"/>
        <v>#REF!</v>
      </c>
      <c r="EA234" t="e">
        <f t="shared" si="171"/>
        <v>#REF!</v>
      </c>
      <c r="EB234" t="e">
        <f t="shared" si="171"/>
        <v>#REF!</v>
      </c>
      <c r="EC234" t="e">
        <f t="shared" si="171"/>
        <v>#REF!</v>
      </c>
      <c r="ED234" t="e">
        <f t="shared" si="185"/>
        <v>#REF!</v>
      </c>
      <c r="EE234" t="e">
        <f t="shared" si="185"/>
        <v>#REF!</v>
      </c>
      <c r="EF234" t="e">
        <f t="shared" si="185"/>
        <v>#REF!</v>
      </c>
      <c r="EG234" t="e">
        <f t="shared" si="185"/>
        <v>#REF!</v>
      </c>
      <c r="EH234" t="e">
        <f t="shared" si="185"/>
        <v>#REF!</v>
      </c>
      <c r="EI234" t="e">
        <f t="shared" si="185"/>
        <v>#REF!</v>
      </c>
      <c r="EJ234" t="e">
        <f t="shared" si="185"/>
        <v>#REF!</v>
      </c>
      <c r="EK234" t="e">
        <f t="shared" si="185"/>
        <v>#REF!</v>
      </c>
      <c r="EL234" t="e">
        <f t="shared" si="185"/>
        <v>#REF!</v>
      </c>
      <c r="EM234" t="e">
        <f t="shared" si="185"/>
        <v>#REF!</v>
      </c>
    </row>
    <row r="235" spans="1:143" x14ac:dyDescent="0.4">
      <c r="A235" t="str">
        <f t="shared" si="170"/>
        <v>X</v>
      </c>
      <c r="B235">
        <v>232</v>
      </c>
      <c r="C235" t="e" cm="1">
        <f t="array" ref="C235">INDEX(auto_Series_Code,B235)</f>
        <v>#REF!</v>
      </c>
      <c r="D235" t="e">
        <f t="shared" si="184"/>
        <v>#REF!</v>
      </c>
      <c r="E235" t="e">
        <f t="shared" si="184"/>
        <v>#REF!</v>
      </c>
      <c r="F235" t="e">
        <f t="shared" si="184"/>
        <v>#REF!</v>
      </c>
      <c r="G235" t="e">
        <f t="shared" si="184"/>
        <v>#REF!</v>
      </c>
      <c r="H235" t="e">
        <f t="shared" si="184"/>
        <v>#REF!</v>
      </c>
      <c r="I235" t="e">
        <f t="shared" si="184"/>
        <v>#REF!</v>
      </c>
      <c r="J235" t="e">
        <f t="shared" si="184"/>
        <v>#REF!</v>
      </c>
      <c r="K235" t="e">
        <f t="shared" si="184"/>
        <v>#REF!</v>
      </c>
      <c r="L235" t="e">
        <f t="shared" si="184"/>
        <v>#REF!</v>
      </c>
      <c r="M235" t="e">
        <f t="shared" si="184"/>
        <v>#REF!</v>
      </c>
      <c r="N235" t="e">
        <f t="shared" si="184"/>
        <v>#REF!</v>
      </c>
      <c r="O235" t="e">
        <f t="shared" si="184"/>
        <v>#REF!</v>
      </c>
      <c r="P235" t="e">
        <f t="shared" si="184"/>
        <v>#REF!</v>
      </c>
      <c r="Q235" t="e">
        <f t="shared" si="184"/>
        <v>#REF!</v>
      </c>
      <c r="R235" t="e">
        <f t="shared" si="184"/>
        <v>#REF!</v>
      </c>
      <c r="S235" t="e">
        <f t="shared" si="184"/>
        <v>#REF!</v>
      </c>
      <c r="T235" t="e">
        <f t="shared" si="183"/>
        <v>#REF!</v>
      </c>
      <c r="U235" t="e">
        <f t="shared" si="183"/>
        <v>#REF!</v>
      </c>
      <c r="V235" t="e">
        <f t="shared" si="183"/>
        <v>#REF!</v>
      </c>
      <c r="W235" t="e">
        <f t="shared" si="183"/>
        <v>#REF!</v>
      </c>
      <c r="X235" t="e">
        <f t="shared" si="167"/>
        <v>#REF!</v>
      </c>
      <c r="Y235" t="e">
        <f t="shared" si="167"/>
        <v>#REF!</v>
      </c>
      <c r="Z235" t="e">
        <f t="shared" si="167"/>
        <v>#REF!</v>
      </c>
      <c r="AA235" t="e">
        <f t="shared" si="167"/>
        <v>#REF!</v>
      </c>
      <c r="AB235" t="e">
        <f t="shared" si="167"/>
        <v>#REF!</v>
      </c>
      <c r="AC235" t="e">
        <f t="shared" si="167"/>
        <v>#REF!</v>
      </c>
      <c r="AD235" t="e">
        <f t="shared" si="167"/>
        <v>#REF!</v>
      </c>
      <c r="AE235" t="e">
        <f t="shared" si="167"/>
        <v>#REF!</v>
      </c>
      <c r="AF235" t="e">
        <f t="shared" si="167"/>
        <v>#REF!</v>
      </c>
      <c r="AG235" t="e">
        <f t="shared" si="167"/>
        <v>#REF!</v>
      </c>
      <c r="AH235" t="e">
        <f t="shared" si="167"/>
        <v>#REF!</v>
      </c>
      <c r="AI235" t="e">
        <f t="shared" si="177"/>
        <v>#REF!</v>
      </c>
      <c r="AJ235" t="e">
        <f t="shared" si="177"/>
        <v>#REF!</v>
      </c>
      <c r="AK235" t="e">
        <f t="shared" si="177"/>
        <v>#REF!</v>
      </c>
      <c r="AL235" t="e">
        <f t="shared" si="177"/>
        <v>#REF!</v>
      </c>
      <c r="AM235" t="e">
        <f t="shared" si="177"/>
        <v>#REF!</v>
      </c>
      <c r="AN235" t="e">
        <f t="shared" si="177"/>
        <v>#REF!</v>
      </c>
      <c r="AO235" t="e">
        <f t="shared" si="177"/>
        <v>#REF!</v>
      </c>
      <c r="AP235" t="e">
        <f t="shared" si="177"/>
        <v>#REF!</v>
      </c>
      <c r="AQ235" t="e">
        <f t="shared" si="177"/>
        <v>#REF!</v>
      </c>
      <c r="AR235" t="e">
        <f t="shared" si="176"/>
        <v>#REF!</v>
      </c>
      <c r="AS235" t="e">
        <f t="shared" si="176"/>
        <v>#REF!</v>
      </c>
      <c r="AT235" t="e">
        <f t="shared" si="176"/>
        <v>#REF!</v>
      </c>
      <c r="AU235" t="e">
        <f t="shared" si="176"/>
        <v>#REF!</v>
      </c>
      <c r="AV235" t="e">
        <f t="shared" si="176"/>
        <v>#REF!</v>
      </c>
      <c r="AW235" t="e">
        <f t="shared" si="176"/>
        <v>#REF!</v>
      </c>
      <c r="AX235" t="e">
        <f t="shared" si="176"/>
        <v>#REF!</v>
      </c>
      <c r="AY235" t="e">
        <f t="shared" si="176"/>
        <v>#REF!</v>
      </c>
      <c r="AZ235" t="e">
        <f t="shared" si="176"/>
        <v>#REF!</v>
      </c>
      <c r="BA235" t="e">
        <f t="shared" si="176"/>
        <v>#REF!</v>
      </c>
      <c r="BB235" t="e">
        <f t="shared" si="173"/>
        <v>#REF!</v>
      </c>
      <c r="BC235" t="e">
        <f t="shared" si="173"/>
        <v>#REF!</v>
      </c>
      <c r="BD235" t="e">
        <f t="shared" si="173"/>
        <v>#REF!</v>
      </c>
      <c r="BE235" t="e">
        <f t="shared" si="173"/>
        <v>#REF!</v>
      </c>
      <c r="BF235" t="e">
        <f t="shared" si="173"/>
        <v>#REF!</v>
      </c>
      <c r="BG235" t="e">
        <f t="shared" si="173"/>
        <v>#REF!</v>
      </c>
      <c r="BH235" t="e">
        <f t="shared" si="173"/>
        <v>#REF!</v>
      </c>
      <c r="BI235" t="e">
        <f t="shared" si="172"/>
        <v>#REF!</v>
      </c>
      <c r="BJ235" t="e">
        <f t="shared" si="172"/>
        <v>#REF!</v>
      </c>
      <c r="BK235" t="e">
        <f t="shared" si="172"/>
        <v>#REF!</v>
      </c>
      <c r="BL235" t="e">
        <f t="shared" si="172"/>
        <v>#REF!</v>
      </c>
      <c r="BM235" t="e">
        <f t="shared" si="172"/>
        <v>#REF!</v>
      </c>
      <c r="BN235" t="e">
        <f t="shared" si="172"/>
        <v>#REF!</v>
      </c>
      <c r="BO235" t="e">
        <f t="shared" si="172"/>
        <v>#REF!</v>
      </c>
      <c r="BP235" t="e">
        <f t="shared" si="172"/>
        <v>#REF!</v>
      </c>
      <c r="BQ235" t="e">
        <f t="shared" si="172"/>
        <v>#REF!</v>
      </c>
      <c r="BR235" t="e">
        <f t="shared" si="172"/>
        <v>#REF!</v>
      </c>
      <c r="BS235" t="e">
        <f t="shared" si="172"/>
        <v>#REF!</v>
      </c>
      <c r="BT235" t="e">
        <f t="shared" si="172"/>
        <v>#REF!</v>
      </c>
      <c r="BU235" t="e">
        <f t="shared" si="172"/>
        <v>#REF!</v>
      </c>
      <c r="BV235" t="e">
        <f t="shared" si="172"/>
        <v>#REF!</v>
      </c>
      <c r="BW235" t="e">
        <f t="shared" si="172"/>
        <v>#REF!</v>
      </c>
      <c r="BX235" t="e">
        <f t="shared" si="181"/>
        <v>#REF!</v>
      </c>
      <c r="BY235" t="e">
        <f t="shared" si="181"/>
        <v>#REF!</v>
      </c>
      <c r="BZ235" t="e">
        <f t="shared" si="181"/>
        <v>#REF!</v>
      </c>
      <c r="CA235" t="e">
        <f t="shared" si="181"/>
        <v>#REF!</v>
      </c>
      <c r="CB235" t="e">
        <f t="shared" si="181"/>
        <v>#REF!</v>
      </c>
      <c r="CC235" t="e">
        <f t="shared" si="181"/>
        <v>#REF!</v>
      </c>
      <c r="CD235" t="e">
        <f t="shared" si="181"/>
        <v>#REF!</v>
      </c>
      <c r="CE235" t="e">
        <f t="shared" si="181"/>
        <v>#REF!</v>
      </c>
      <c r="CF235" t="e">
        <f t="shared" si="175"/>
        <v>#REF!</v>
      </c>
      <c r="CG235" t="e">
        <f t="shared" si="175"/>
        <v>#REF!</v>
      </c>
      <c r="CH235" t="e">
        <f t="shared" si="175"/>
        <v>#REF!</v>
      </c>
      <c r="CI235" t="e">
        <f t="shared" si="175"/>
        <v>#REF!</v>
      </c>
      <c r="CJ235" t="e">
        <f t="shared" si="175"/>
        <v>#REF!</v>
      </c>
      <c r="CK235" t="e">
        <f t="shared" si="175"/>
        <v>#REF!</v>
      </c>
      <c r="CL235" t="e">
        <f t="shared" si="175"/>
        <v>#REF!</v>
      </c>
      <c r="CM235" t="e">
        <f t="shared" si="175"/>
        <v>#REF!</v>
      </c>
      <c r="CN235" t="e">
        <f t="shared" si="175"/>
        <v>#REF!</v>
      </c>
      <c r="CO235" t="e">
        <f t="shared" si="175"/>
        <v>#REF!</v>
      </c>
      <c r="CP235" t="e">
        <f t="shared" si="174"/>
        <v>#REF!</v>
      </c>
      <c r="CQ235" t="e">
        <f t="shared" si="174"/>
        <v>#REF!</v>
      </c>
      <c r="CR235" t="e">
        <f t="shared" si="174"/>
        <v>#REF!</v>
      </c>
      <c r="CS235" t="e">
        <f t="shared" si="174"/>
        <v>#REF!</v>
      </c>
      <c r="CT235" t="e">
        <f t="shared" si="174"/>
        <v>#REF!</v>
      </c>
      <c r="CU235" t="e">
        <f t="shared" si="174"/>
        <v>#REF!</v>
      </c>
      <c r="CV235" t="e">
        <f t="shared" si="174"/>
        <v>#REF!</v>
      </c>
      <c r="CW235" t="e">
        <f t="shared" si="174"/>
        <v>#REF!</v>
      </c>
      <c r="CX235" t="e">
        <f t="shared" si="174"/>
        <v>#REF!</v>
      </c>
      <c r="CY235" t="e">
        <f t="shared" si="174"/>
        <v>#REF!</v>
      </c>
      <c r="CZ235" t="e">
        <f t="shared" si="174"/>
        <v>#REF!</v>
      </c>
      <c r="DA235" t="e">
        <f t="shared" si="174"/>
        <v>#REF!</v>
      </c>
      <c r="DB235" t="e">
        <f t="shared" si="174"/>
        <v>#REF!</v>
      </c>
      <c r="DC235" t="e">
        <f t="shared" si="182"/>
        <v>#REF!</v>
      </c>
      <c r="DD235" t="e">
        <f t="shared" si="182"/>
        <v>#REF!</v>
      </c>
      <c r="DE235" t="e">
        <f t="shared" si="182"/>
        <v>#REF!</v>
      </c>
      <c r="DF235" t="e">
        <f t="shared" si="182"/>
        <v>#REF!</v>
      </c>
      <c r="DG235" t="e">
        <f t="shared" si="182"/>
        <v>#REF!</v>
      </c>
      <c r="DH235" t="e">
        <f t="shared" si="182"/>
        <v>#REF!</v>
      </c>
      <c r="DI235" t="e">
        <f t="shared" si="182"/>
        <v>#REF!</v>
      </c>
      <c r="DJ235" t="e">
        <f t="shared" si="180"/>
        <v>#REF!</v>
      </c>
      <c r="DK235" t="e">
        <f t="shared" si="180"/>
        <v>#REF!</v>
      </c>
      <c r="DL235" t="e">
        <f t="shared" si="180"/>
        <v>#REF!</v>
      </c>
      <c r="DM235" t="e">
        <f t="shared" si="180"/>
        <v>#REF!</v>
      </c>
      <c r="DN235" t="e">
        <f t="shared" si="180"/>
        <v>#REF!</v>
      </c>
      <c r="DO235" t="e">
        <f t="shared" si="180"/>
        <v>#REF!</v>
      </c>
      <c r="DP235" t="e">
        <f t="shared" si="180"/>
        <v>#REF!</v>
      </c>
      <c r="DQ235" t="e">
        <f t="shared" si="180"/>
        <v>#REF!</v>
      </c>
      <c r="DR235" t="e">
        <f t="shared" si="180"/>
        <v>#REF!</v>
      </c>
      <c r="DS235" t="e">
        <f t="shared" si="180"/>
        <v>#REF!</v>
      </c>
      <c r="DT235" t="e">
        <f t="shared" si="180"/>
        <v>#REF!</v>
      </c>
      <c r="DU235" t="e">
        <f t="shared" si="180"/>
        <v>#REF!</v>
      </c>
      <c r="DV235" t="e">
        <f t="shared" si="180"/>
        <v>#REF!</v>
      </c>
      <c r="DW235" t="e">
        <f t="shared" si="180"/>
        <v>#REF!</v>
      </c>
      <c r="DX235" t="e">
        <f t="shared" si="180"/>
        <v>#REF!</v>
      </c>
      <c r="DY235" t="e">
        <f t="shared" si="171"/>
        <v>#REF!</v>
      </c>
      <c r="DZ235" t="e">
        <f t="shared" si="171"/>
        <v>#REF!</v>
      </c>
      <c r="EA235" t="e">
        <f t="shared" si="171"/>
        <v>#REF!</v>
      </c>
      <c r="EB235" t="e">
        <f t="shared" si="171"/>
        <v>#REF!</v>
      </c>
      <c r="EC235" t="e">
        <f t="shared" si="171"/>
        <v>#REF!</v>
      </c>
      <c r="ED235" t="e">
        <f t="shared" si="185"/>
        <v>#REF!</v>
      </c>
      <c r="EE235" t="e">
        <f t="shared" si="185"/>
        <v>#REF!</v>
      </c>
      <c r="EF235" t="e">
        <f t="shared" si="185"/>
        <v>#REF!</v>
      </c>
      <c r="EG235" t="e">
        <f t="shared" si="185"/>
        <v>#REF!</v>
      </c>
      <c r="EH235" t="e">
        <f t="shared" si="185"/>
        <v>#REF!</v>
      </c>
      <c r="EI235" t="e">
        <f t="shared" si="185"/>
        <v>#REF!</v>
      </c>
      <c r="EJ235" t="e">
        <f t="shared" si="185"/>
        <v>#REF!</v>
      </c>
      <c r="EK235" t="e">
        <f t="shared" si="185"/>
        <v>#REF!</v>
      </c>
      <c r="EL235" t="e">
        <f t="shared" si="185"/>
        <v>#REF!</v>
      </c>
      <c r="EM235" t="e">
        <f t="shared" si="185"/>
        <v>#REF!</v>
      </c>
    </row>
    <row r="236" spans="1:143" x14ac:dyDescent="0.4">
      <c r="A236" t="str">
        <f t="shared" si="170"/>
        <v>X</v>
      </c>
      <c r="B236">
        <v>233</v>
      </c>
      <c r="C236" t="e" cm="1">
        <f t="array" ref="C236">INDEX(auto_Series_Code,B236)</f>
        <v>#REF!</v>
      </c>
      <c r="D236" t="e">
        <f t="shared" si="184"/>
        <v>#REF!</v>
      </c>
      <c r="E236" t="e">
        <f t="shared" si="184"/>
        <v>#REF!</v>
      </c>
      <c r="F236" t="e">
        <f t="shared" si="184"/>
        <v>#REF!</v>
      </c>
      <c r="G236" t="e">
        <f t="shared" si="184"/>
        <v>#REF!</v>
      </c>
      <c r="H236" t="e">
        <f t="shared" si="184"/>
        <v>#REF!</v>
      </c>
      <c r="I236" t="e">
        <f t="shared" si="184"/>
        <v>#REF!</v>
      </c>
      <c r="J236" t="e">
        <f t="shared" si="184"/>
        <v>#REF!</v>
      </c>
      <c r="K236" t="e">
        <f t="shared" si="184"/>
        <v>#REF!</v>
      </c>
      <c r="L236" t="e">
        <f t="shared" si="184"/>
        <v>#REF!</v>
      </c>
      <c r="M236" t="e">
        <f t="shared" si="184"/>
        <v>#REF!</v>
      </c>
      <c r="N236" t="e">
        <f t="shared" si="184"/>
        <v>#REF!</v>
      </c>
      <c r="O236" t="e">
        <f t="shared" si="184"/>
        <v>#REF!</v>
      </c>
      <c r="P236" t="e">
        <f t="shared" si="184"/>
        <v>#REF!</v>
      </c>
      <c r="Q236" t="e">
        <f t="shared" si="184"/>
        <v>#REF!</v>
      </c>
      <c r="R236" t="e">
        <f t="shared" si="184"/>
        <v>#REF!</v>
      </c>
      <c r="S236" t="e">
        <f t="shared" si="184"/>
        <v>#REF!</v>
      </c>
      <c r="T236" t="e">
        <f t="shared" si="183"/>
        <v>#REF!</v>
      </c>
      <c r="U236" t="e">
        <f t="shared" si="183"/>
        <v>#REF!</v>
      </c>
      <c r="V236" t="e">
        <f t="shared" si="183"/>
        <v>#REF!</v>
      </c>
      <c r="W236" t="e">
        <f t="shared" si="183"/>
        <v>#REF!</v>
      </c>
      <c r="X236" t="e">
        <f t="shared" si="167"/>
        <v>#REF!</v>
      </c>
      <c r="Y236" t="e">
        <f t="shared" si="167"/>
        <v>#REF!</v>
      </c>
      <c r="Z236" t="e">
        <f t="shared" si="167"/>
        <v>#REF!</v>
      </c>
      <c r="AA236" t="e">
        <f t="shared" si="167"/>
        <v>#REF!</v>
      </c>
      <c r="AB236" t="e">
        <f t="shared" si="167"/>
        <v>#REF!</v>
      </c>
      <c r="AC236" t="e">
        <f t="shared" si="167"/>
        <v>#REF!</v>
      </c>
      <c r="AD236" t="e">
        <f t="shared" si="167"/>
        <v>#REF!</v>
      </c>
      <c r="AE236" t="e">
        <f t="shared" si="167"/>
        <v>#REF!</v>
      </c>
      <c r="AF236" t="e">
        <f t="shared" si="167"/>
        <v>#REF!</v>
      </c>
      <c r="AG236" t="e">
        <f t="shared" si="167"/>
        <v>#REF!</v>
      </c>
      <c r="AH236" t="e">
        <f t="shared" si="167"/>
        <v>#REF!</v>
      </c>
      <c r="AI236" t="e">
        <f t="shared" si="177"/>
        <v>#REF!</v>
      </c>
      <c r="AJ236" t="e">
        <f t="shared" si="177"/>
        <v>#REF!</v>
      </c>
      <c r="AK236" t="e">
        <f t="shared" si="177"/>
        <v>#REF!</v>
      </c>
      <c r="AL236" t="e">
        <f t="shared" si="177"/>
        <v>#REF!</v>
      </c>
      <c r="AM236" t="e">
        <f t="shared" si="177"/>
        <v>#REF!</v>
      </c>
      <c r="AN236" t="e">
        <f t="shared" si="177"/>
        <v>#REF!</v>
      </c>
      <c r="AO236" t="e">
        <f t="shared" si="177"/>
        <v>#REF!</v>
      </c>
      <c r="AP236" t="e">
        <f t="shared" si="177"/>
        <v>#REF!</v>
      </c>
      <c r="AQ236" t="e">
        <f t="shared" si="177"/>
        <v>#REF!</v>
      </c>
      <c r="AR236" t="e">
        <f t="shared" si="176"/>
        <v>#REF!</v>
      </c>
      <c r="AS236" t="e">
        <f t="shared" si="176"/>
        <v>#REF!</v>
      </c>
      <c r="AT236" t="e">
        <f t="shared" si="176"/>
        <v>#REF!</v>
      </c>
      <c r="AU236" t="e">
        <f t="shared" si="176"/>
        <v>#REF!</v>
      </c>
      <c r="AV236" t="e">
        <f t="shared" si="176"/>
        <v>#REF!</v>
      </c>
      <c r="AW236" t="e">
        <f t="shared" si="176"/>
        <v>#REF!</v>
      </c>
      <c r="AX236" t="e">
        <f t="shared" si="176"/>
        <v>#REF!</v>
      </c>
      <c r="AY236" t="e">
        <f t="shared" si="176"/>
        <v>#REF!</v>
      </c>
      <c r="AZ236" t="e">
        <f t="shared" si="176"/>
        <v>#REF!</v>
      </c>
      <c r="BA236" t="e">
        <f t="shared" si="176"/>
        <v>#REF!</v>
      </c>
      <c r="BB236" t="e">
        <f t="shared" si="173"/>
        <v>#REF!</v>
      </c>
      <c r="BC236" t="e">
        <f t="shared" si="173"/>
        <v>#REF!</v>
      </c>
      <c r="BD236" t="e">
        <f t="shared" si="173"/>
        <v>#REF!</v>
      </c>
      <c r="BE236" t="e">
        <f t="shared" si="173"/>
        <v>#REF!</v>
      </c>
      <c r="BF236" t="e">
        <f t="shared" si="173"/>
        <v>#REF!</v>
      </c>
      <c r="BG236" t="e">
        <f t="shared" si="173"/>
        <v>#REF!</v>
      </c>
      <c r="BH236" t="e">
        <f t="shared" si="173"/>
        <v>#REF!</v>
      </c>
      <c r="BI236" t="e">
        <f t="shared" si="172"/>
        <v>#REF!</v>
      </c>
      <c r="BJ236" t="e">
        <f t="shared" si="172"/>
        <v>#REF!</v>
      </c>
      <c r="BK236" t="e">
        <f t="shared" si="172"/>
        <v>#REF!</v>
      </c>
      <c r="BL236" t="e">
        <f t="shared" si="172"/>
        <v>#REF!</v>
      </c>
      <c r="BM236" t="e">
        <f t="shared" si="172"/>
        <v>#REF!</v>
      </c>
      <c r="BN236" t="e">
        <f t="shared" si="172"/>
        <v>#REF!</v>
      </c>
      <c r="BO236" t="e">
        <f t="shared" si="172"/>
        <v>#REF!</v>
      </c>
      <c r="BP236" t="e">
        <f t="shared" si="172"/>
        <v>#REF!</v>
      </c>
      <c r="BQ236" t="e">
        <f t="shared" si="172"/>
        <v>#REF!</v>
      </c>
      <c r="BR236" t="e">
        <f t="shared" si="172"/>
        <v>#REF!</v>
      </c>
      <c r="BS236" t="e">
        <f t="shared" si="172"/>
        <v>#REF!</v>
      </c>
      <c r="BT236" t="e">
        <f t="shared" si="172"/>
        <v>#REF!</v>
      </c>
      <c r="BU236" t="e">
        <f t="shared" si="172"/>
        <v>#REF!</v>
      </c>
      <c r="BV236" t="e">
        <f t="shared" si="172"/>
        <v>#REF!</v>
      </c>
      <c r="BW236" t="e">
        <f t="shared" si="172"/>
        <v>#REF!</v>
      </c>
      <c r="BX236" t="e">
        <f t="shared" si="181"/>
        <v>#REF!</v>
      </c>
      <c r="BY236" t="e">
        <f t="shared" si="181"/>
        <v>#REF!</v>
      </c>
      <c r="BZ236" t="e">
        <f t="shared" si="181"/>
        <v>#REF!</v>
      </c>
      <c r="CA236" t="e">
        <f t="shared" si="181"/>
        <v>#REF!</v>
      </c>
      <c r="CB236" t="e">
        <f t="shared" si="181"/>
        <v>#REF!</v>
      </c>
      <c r="CC236" t="e">
        <f t="shared" si="181"/>
        <v>#REF!</v>
      </c>
      <c r="CD236" t="e">
        <f t="shared" si="181"/>
        <v>#REF!</v>
      </c>
      <c r="CE236" t="e">
        <f t="shared" si="181"/>
        <v>#REF!</v>
      </c>
      <c r="CF236" t="e">
        <f t="shared" si="175"/>
        <v>#REF!</v>
      </c>
      <c r="CG236" t="e">
        <f t="shared" si="175"/>
        <v>#REF!</v>
      </c>
      <c r="CH236" t="e">
        <f t="shared" si="175"/>
        <v>#REF!</v>
      </c>
      <c r="CI236" t="e">
        <f t="shared" si="175"/>
        <v>#REF!</v>
      </c>
      <c r="CJ236" t="e">
        <f t="shared" si="175"/>
        <v>#REF!</v>
      </c>
      <c r="CK236" t="e">
        <f t="shared" si="175"/>
        <v>#REF!</v>
      </c>
      <c r="CL236" t="e">
        <f t="shared" si="175"/>
        <v>#REF!</v>
      </c>
      <c r="CM236" t="e">
        <f t="shared" si="175"/>
        <v>#REF!</v>
      </c>
      <c r="CN236" t="e">
        <f t="shared" si="175"/>
        <v>#REF!</v>
      </c>
      <c r="CO236" t="e">
        <f t="shared" si="175"/>
        <v>#REF!</v>
      </c>
      <c r="CP236" t="e">
        <f t="shared" si="174"/>
        <v>#REF!</v>
      </c>
      <c r="CQ236" t="e">
        <f t="shared" si="174"/>
        <v>#REF!</v>
      </c>
      <c r="CR236" t="e">
        <f t="shared" si="174"/>
        <v>#REF!</v>
      </c>
      <c r="CS236" t="e">
        <f t="shared" si="174"/>
        <v>#REF!</v>
      </c>
      <c r="CT236" t="e">
        <f t="shared" si="174"/>
        <v>#REF!</v>
      </c>
      <c r="CU236" t="e">
        <f t="shared" si="174"/>
        <v>#REF!</v>
      </c>
      <c r="CV236" t="e">
        <f t="shared" si="174"/>
        <v>#REF!</v>
      </c>
      <c r="CW236" t="e">
        <f t="shared" si="174"/>
        <v>#REF!</v>
      </c>
      <c r="CX236" t="e">
        <f t="shared" si="174"/>
        <v>#REF!</v>
      </c>
      <c r="CY236" t="e">
        <f t="shared" si="174"/>
        <v>#REF!</v>
      </c>
      <c r="CZ236" t="e">
        <f t="shared" si="174"/>
        <v>#REF!</v>
      </c>
      <c r="DA236" t="e">
        <f t="shared" si="174"/>
        <v>#REF!</v>
      </c>
      <c r="DB236" t="e">
        <f t="shared" si="174"/>
        <v>#REF!</v>
      </c>
      <c r="DC236" t="e">
        <f t="shared" si="182"/>
        <v>#REF!</v>
      </c>
      <c r="DD236" t="e">
        <f t="shared" si="182"/>
        <v>#REF!</v>
      </c>
      <c r="DE236" t="e">
        <f t="shared" si="182"/>
        <v>#REF!</v>
      </c>
      <c r="DF236" t="e">
        <f t="shared" si="182"/>
        <v>#REF!</v>
      </c>
      <c r="DG236" t="e">
        <f t="shared" si="182"/>
        <v>#REF!</v>
      </c>
      <c r="DH236" t="e">
        <f t="shared" si="182"/>
        <v>#REF!</v>
      </c>
      <c r="DI236" t="e">
        <f t="shared" si="182"/>
        <v>#REF!</v>
      </c>
      <c r="DJ236" t="e">
        <f t="shared" si="180"/>
        <v>#REF!</v>
      </c>
      <c r="DK236" t="e">
        <f t="shared" si="180"/>
        <v>#REF!</v>
      </c>
      <c r="DL236" t="e">
        <f t="shared" si="180"/>
        <v>#REF!</v>
      </c>
      <c r="DM236" t="e">
        <f t="shared" si="180"/>
        <v>#REF!</v>
      </c>
      <c r="DN236" t="e">
        <f t="shared" si="180"/>
        <v>#REF!</v>
      </c>
      <c r="DO236" t="e">
        <f t="shared" si="180"/>
        <v>#REF!</v>
      </c>
      <c r="DP236" t="e">
        <f t="shared" si="180"/>
        <v>#REF!</v>
      </c>
      <c r="DQ236" t="e">
        <f t="shared" si="180"/>
        <v>#REF!</v>
      </c>
      <c r="DR236" t="e">
        <f t="shared" si="180"/>
        <v>#REF!</v>
      </c>
      <c r="DS236" t="e">
        <f t="shared" si="180"/>
        <v>#REF!</v>
      </c>
      <c r="DT236" t="e">
        <f t="shared" si="180"/>
        <v>#REF!</v>
      </c>
      <c r="DU236" t="e">
        <f t="shared" si="180"/>
        <v>#REF!</v>
      </c>
      <c r="DV236" t="e">
        <f t="shared" si="180"/>
        <v>#REF!</v>
      </c>
      <c r="DW236" t="e">
        <f t="shared" si="180"/>
        <v>#REF!</v>
      </c>
      <c r="DX236" t="e">
        <f t="shared" si="180"/>
        <v>#REF!</v>
      </c>
      <c r="DY236" t="e">
        <f t="shared" si="171"/>
        <v>#REF!</v>
      </c>
      <c r="DZ236" t="e">
        <f t="shared" si="171"/>
        <v>#REF!</v>
      </c>
      <c r="EA236" t="e">
        <f t="shared" si="171"/>
        <v>#REF!</v>
      </c>
      <c r="EB236" t="e">
        <f t="shared" si="171"/>
        <v>#REF!</v>
      </c>
      <c r="EC236" t="e">
        <f t="shared" si="171"/>
        <v>#REF!</v>
      </c>
      <c r="ED236" t="e">
        <f t="shared" si="185"/>
        <v>#REF!</v>
      </c>
      <c r="EE236" t="e">
        <f t="shared" si="185"/>
        <v>#REF!</v>
      </c>
      <c r="EF236" t="e">
        <f t="shared" si="185"/>
        <v>#REF!</v>
      </c>
      <c r="EG236" t="e">
        <f t="shared" si="185"/>
        <v>#REF!</v>
      </c>
      <c r="EH236" t="e">
        <f t="shared" si="185"/>
        <v>#REF!</v>
      </c>
      <c r="EI236" t="e">
        <f t="shared" si="185"/>
        <v>#REF!</v>
      </c>
      <c r="EJ236" t="e">
        <f t="shared" si="185"/>
        <v>#REF!</v>
      </c>
      <c r="EK236" t="e">
        <f t="shared" si="185"/>
        <v>#REF!</v>
      </c>
      <c r="EL236" t="e">
        <f t="shared" si="185"/>
        <v>#REF!</v>
      </c>
      <c r="EM236" t="e">
        <f t="shared" si="185"/>
        <v>#REF!</v>
      </c>
    </row>
    <row r="237" spans="1:143" x14ac:dyDescent="0.4">
      <c r="A237" t="str">
        <f t="shared" si="170"/>
        <v>X</v>
      </c>
      <c r="B237">
        <v>234</v>
      </c>
      <c r="C237" t="e" cm="1">
        <f t="array" ref="C237">INDEX(auto_Series_Code,B237)</f>
        <v>#REF!</v>
      </c>
      <c r="D237" t="e">
        <f t="shared" si="184"/>
        <v>#REF!</v>
      </c>
      <c r="E237" t="e">
        <f t="shared" si="184"/>
        <v>#REF!</v>
      </c>
      <c r="F237" t="e">
        <f t="shared" si="184"/>
        <v>#REF!</v>
      </c>
      <c r="G237" t="e">
        <f t="shared" si="184"/>
        <v>#REF!</v>
      </c>
      <c r="H237" t="e">
        <f t="shared" si="184"/>
        <v>#REF!</v>
      </c>
      <c r="I237" t="e">
        <f t="shared" si="184"/>
        <v>#REF!</v>
      </c>
      <c r="J237" t="e">
        <f t="shared" si="184"/>
        <v>#REF!</v>
      </c>
      <c r="K237" t="e">
        <f t="shared" si="184"/>
        <v>#REF!</v>
      </c>
      <c r="L237" t="e">
        <f t="shared" si="184"/>
        <v>#REF!</v>
      </c>
      <c r="M237" t="e">
        <f t="shared" si="184"/>
        <v>#REF!</v>
      </c>
      <c r="N237" t="e">
        <f t="shared" si="184"/>
        <v>#REF!</v>
      </c>
      <c r="O237" t="e">
        <f t="shared" si="184"/>
        <v>#REF!</v>
      </c>
      <c r="P237" t="e">
        <f t="shared" si="184"/>
        <v>#REF!</v>
      </c>
      <c r="Q237" t="e">
        <f t="shared" si="184"/>
        <v>#REF!</v>
      </c>
      <c r="R237" t="e">
        <f t="shared" si="184"/>
        <v>#REF!</v>
      </c>
      <c r="S237" t="e">
        <f t="shared" si="184"/>
        <v>#REF!</v>
      </c>
      <c r="T237" t="e">
        <f t="shared" si="183"/>
        <v>#REF!</v>
      </c>
      <c r="U237" t="e">
        <f t="shared" si="183"/>
        <v>#REF!</v>
      </c>
      <c r="V237" t="e">
        <f t="shared" si="183"/>
        <v>#REF!</v>
      </c>
      <c r="W237" t="e">
        <f t="shared" si="183"/>
        <v>#REF!</v>
      </c>
      <c r="X237" t="e">
        <f t="shared" si="167"/>
        <v>#REF!</v>
      </c>
      <c r="Y237" t="e">
        <f t="shared" si="167"/>
        <v>#REF!</v>
      </c>
      <c r="Z237" t="e">
        <f t="shared" si="167"/>
        <v>#REF!</v>
      </c>
      <c r="AA237" t="e">
        <f t="shared" si="167"/>
        <v>#REF!</v>
      </c>
      <c r="AB237" t="e">
        <f t="shared" si="167"/>
        <v>#REF!</v>
      </c>
      <c r="AC237" t="e">
        <f t="shared" si="167"/>
        <v>#REF!</v>
      </c>
      <c r="AD237" t="e">
        <f t="shared" si="167"/>
        <v>#REF!</v>
      </c>
      <c r="AE237" t="e">
        <f t="shared" si="167"/>
        <v>#REF!</v>
      </c>
      <c r="AF237" t="e">
        <f t="shared" si="167"/>
        <v>#REF!</v>
      </c>
      <c r="AG237" t="e">
        <f t="shared" si="167"/>
        <v>#REF!</v>
      </c>
      <c r="AH237" t="e">
        <f t="shared" si="167"/>
        <v>#REF!</v>
      </c>
      <c r="AI237" t="e">
        <f t="shared" si="177"/>
        <v>#REF!</v>
      </c>
      <c r="AJ237" t="e">
        <f t="shared" si="177"/>
        <v>#REF!</v>
      </c>
      <c r="AK237" t="e">
        <f t="shared" si="177"/>
        <v>#REF!</v>
      </c>
      <c r="AL237" t="e">
        <f t="shared" si="177"/>
        <v>#REF!</v>
      </c>
      <c r="AM237" t="e">
        <f t="shared" si="177"/>
        <v>#REF!</v>
      </c>
      <c r="AN237" t="e">
        <f t="shared" si="177"/>
        <v>#REF!</v>
      </c>
      <c r="AO237" t="e">
        <f t="shared" si="177"/>
        <v>#REF!</v>
      </c>
      <c r="AP237" t="e">
        <f t="shared" si="177"/>
        <v>#REF!</v>
      </c>
      <c r="AQ237" t="e">
        <f t="shared" si="177"/>
        <v>#REF!</v>
      </c>
      <c r="AR237" t="e">
        <f t="shared" si="176"/>
        <v>#REF!</v>
      </c>
      <c r="AS237" t="e">
        <f t="shared" si="176"/>
        <v>#REF!</v>
      </c>
      <c r="AT237" t="e">
        <f t="shared" si="176"/>
        <v>#REF!</v>
      </c>
      <c r="AU237" t="e">
        <f t="shared" si="176"/>
        <v>#REF!</v>
      </c>
      <c r="AV237" t="e">
        <f t="shared" si="176"/>
        <v>#REF!</v>
      </c>
      <c r="AW237" t="e">
        <f t="shared" si="176"/>
        <v>#REF!</v>
      </c>
      <c r="AX237" t="e">
        <f t="shared" si="176"/>
        <v>#REF!</v>
      </c>
      <c r="AY237" t="e">
        <f t="shared" si="176"/>
        <v>#REF!</v>
      </c>
      <c r="AZ237" t="e">
        <f t="shared" si="176"/>
        <v>#REF!</v>
      </c>
      <c r="BA237" t="e">
        <f t="shared" si="176"/>
        <v>#REF!</v>
      </c>
      <c r="BB237" t="e">
        <f t="shared" si="173"/>
        <v>#REF!</v>
      </c>
      <c r="BC237" t="e">
        <f t="shared" si="173"/>
        <v>#REF!</v>
      </c>
      <c r="BD237" t="e">
        <f t="shared" si="173"/>
        <v>#REF!</v>
      </c>
      <c r="BE237" t="e">
        <f t="shared" si="173"/>
        <v>#REF!</v>
      </c>
      <c r="BF237" t="e">
        <f t="shared" si="173"/>
        <v>#REF!</v>
      </c>
      <c r="BG237" t="e">
        <f t="shared" si="173"/>
        <v>#REF!</v>
      </c>
      <c r="BH237" t="e">
        <f t="shared" si="173"/>
        <v>#REF!</v>
      </c>
      <c r="BI237" t="e">
        <f t="shared" si="172"/>
        <v>#REF!</v>
      </c>
      <c r="BJ237" t="e">
        <f t="shared" si="172"/>
        <v>#REF!</v>
      </c>
      <c r="BK237" t="e">
        <f t="shared" si="172"/>
        <v>#REF!</v>
      </c>
      <c r="BL237" t="e">
        <f t="shared" si="172"/>
        <v>#REF!</v>
      </c>
      <c r="BM237" t="e">
        <f t="shared" si="172"/>
        <v>#REF!</v>
      </c>
      <c r="BN237" t="e">
        <f t="shared" si="172"/>
        <v>#REF!</v>
      </c>
      <c r="BO237" t="e">
        <f t="shared" si="172"/>
        <v>#REF!</v>
      </c>
      <c r="BP237" t="e">
        <f t="shared" si="172"/>
        <v>#REF!</v>
      </c>
      <c r="BQ237" t="e">
        <f t="shared" si="172"/>
        <v>#REF!</v>
      </c>
      <c r="BR237" t="e">
        <f t="shared" si="172"/>
        <v>#REF!</v>
      </c>
      <c r="BS237" t="e">
        <f t="shared" si="172"/>
        <v>#REF!</v>
      </c>
      <c r="BT237" t="e">
        <f t="shared" si="172"/>
        <v>#REF!</v>
      </c>
      <c r="BU237" t="e">
        <f t="shared" si="172"/>
        <v>#REF!</v>
      </c>
      <c r="BV237" t="e">
        <f t="shared" si="172"/>
        <v>#REF!</v>
      </c>
      <c r="BW237" t="e">
        <f t="shared" si="172"/>
        <v>#REF!</v>
      </c>
      <c r="BX237" t="e">
        <f t="shared" si="181"/>
        <v>#REF!</v>
      </c>
      <c r="BY237" t="e">
        <f t="shared" si="181"/>
        <v>#REF!</v>
      </c>
      <c r="BZ237" t="e">
        <f t="shared" si="181"/>
        <v>#REF!</v>
      </c>
      <c r="CA237" t="e">
        <f t="shared" si="181"/>
        <v>#REF!</v>
      </c>
      <c r="CB237" t="e">
        <f t="shared" si="181"/>
        <v>#REF!</v>
      </c>
      <c r="CC237" t="e">
        <f t="shared" si="181"/>
        <v>#REF!</v>
      </c>
      <c r="CD237" t="e">
        <f t="shared" si="181"/>
        <v>#REF!</v>
      </c>
      <c r="CE237" t="e">
        <f t="shared" si="181"/>
        <v>#REF!</v>
      </c>
      <c r="CF237" t="e">
        <f t="shared" si="175"/>
        <v>#REF!</v>
      </c>
      <c r="CG237" t="e">
        <f t="shared" si="175"/>
        <v>#REF!</v>
      </c>
      <c r="CH237" t="e">
        <f t="shared" si="175"/>
        <v>#REF!</v>
      </c>
      <c r="CI237" t="e">
        <f t="shared" si="175"/>
        <v>#REF!</v>
      </c>
      <c r="CJ237" t="e">
        <f t="shared" si="175"/>
        <v>#REF!</v>
      </c>
      <c r="CK237" t="e">
        <f t="shared" si="175"/>
        <v>#REF!</v>
      </c>
      <c r="CL237" t="e">
        <f t="shared" si="175"/>
        <v>#REF!</v>
      </c>
      <c r="CM237" t="e">
        <f t="shared" si="175"/>
        <v>#REF!</v>
      </c>
      <c r="CN237" t="e">
        <f t="shared" si="175"/>
        <v>#REF!</v>
      </c>
      <c r="CO237" t="e">
        <f t="shared" si="175"/>
        <v>#REF!</v>
      </c>
      <c r="CP237" t="e">
        <f t="shared" si="174"/>
        <v>#REF!</v>
      </c>
      <c r="CQ237" t="e">
        <f t="shared" si="174"/>
        <v>#REF!</v>
      </c>
      <c r="CR237" t="e">
        <f t="shared" si="174"/>
        <v>#REF!</v>
      </c>
      <c r="CS237" t="e">
        <f t="shared" si="174"/>
        <v>#REF!</v>
      </c>
      <c r="CT237" t="e">
        <f t="shared" si="174"/>
        <v>#REF!</v>
      </c>
      <c r="CU237" t="e">
        <f t="shared" si="174"/>
        <v>#REF!</v>
      </c>
      <c r="CV237" t="e">
        <f t="shared" si="174"/>
        <v>#REF!</v>
      </c>
      <c r="CW237" t="e">
        <f t="shared" si="174"/>
        <v>#REF!</v>
      </c>
      <c r="CX237" t="e">
        <f t="shared" si="174"/>
        <v>#REF!</v>
      </c>
      <c r="CY237" t="e">
        <f t="shared" si="174"/>
        <v>#REF!</v>
      </c>
      <c r="CZ237" t="e">
        <f t="shared" si="174"/>
        <v>#REF!</v>
      </c>
      <c r="DA237" t="e">
        <f t="shared" si="174"/>
        <v>#REF!</v>
      </c>
      <c r="DB237" t="e">
        <f t="shared" si="174"/>
        <v>#REF!</v>
      </c>
      <c r="DC237" t="e">
        <f t="shared" si="182"/>
        <v>#REF!</v>
      </c>
      <c r="DD237" t="e">
        <f t="shared" si="182"/>
        <v>#REF!</v>
      </c>
      <c r="DE237" t="e">
        <f t="shared" si="182"/>
        <v>#REF!</v>
      </c>
      <c r="DF237" t="e">
        <f t="shared" si="182"/>
        <v>#REF!</v>
      </c>
      <c r="DG237" t="e">
        <f t="shared" si="182"/>
        <v>#REF!</v>
      </c>
      <c r="DH237" t="e">
        <f t="shared" si="182"/>
        <v>#REF!</v>
      </c>
      <c r="DI237" t="e">
        <f t="shared" si="182"/>
        <v>#REF!</v>
      </c>
      <c r="DJ237" t="e">
        <f t="shared" si="180"/>
        <v>#REF!</v>
      </c>
      <c r="DK237" t="e">
        <f t="shared" si="180"/>
        <v>#REF!</v>
      </c>
      <c r="DL237" t="e">
        <f t="shared" si="180"/>
        <v>#REF!</v>
      </c>
      <c r="DM237" t="e">
        <f t="shared" si="180"/>
        <v>#REF!</v>
      </c>
      <c r="DN237" t="e">
        <f t="shared" si="180"/>
        <v>#REF!</v>
      </c>
      <c r="DO237" t="e">
        <f t="shared" si="180"/>
        <v>#REF!</v>
      </c>
      <c r="DP237" t="e">
        <f t="shared" si="180"/>
        <v>#REF!</v>
      </c>
      <c r="DQ237" t="e">
        <f t="shared" si="180"/>
        <v>#REF!</v>
      </c>
      <c r="DR237" t="e">
        <f t="shared" si="180"/>
        <v>#REF!</v>
      </c>
      <c r="DS237" t="e">
        <f t="shared" si="180"/>
        <v>#REF!</v>
      </c>
      <c r="DT237" t="e">
        <f t="shared" si="180"/>
        <v>#REF!</v>
      </c>
      <c r="DU237" t="e">
        <f t="shared" si="180"/>
        <v>#REF!</v>
      </c>
      <c r="DV237" t="e">
        <f t="shared" si="180"/>
        <v>#REF!</v>
      </c>
      <c r="DW237" t="e">
        <f t="shared" si="180"/>
        <v>#REF!</v>
      </c>
      <c r="DX237" t="e">
        <f t="shared" si="180"/>
        <v>#REF!</v>
      </c>
      <c r="DY237" t="e">
        <f t="shared" si="171"/>
        <v>#REF!</v>
      </c>
      <c r="DZ237" t="e">
        <f t="shared" si="171"/>
        <v>#REF!</v>
      </c>
      <c r="EA237" t="e">
        <f t="shared" si="171"/>
        <v>#REF!</v>
      </c>
      <c r="EB237" t="e">
        <f t="shared" si="171"/>
        <v>#REF!</v>
      </c>
      <c r="EC237" t="e">
        <f t="shared" si="171"/>
        <v>#REF!</v>
      </c>
      <c r="ED237" t="e">
        <f t="shared" si="185"/>
        <v>#REF!</v>
      </c>
      <c r="EE237" t="e">
        <f t="shared" si="185"/>
        <v>#REF!</v>
      </c>
      <c r="EF237" t="e">
        <f t="shared" si="185"/>
        <v>#REF!</v>
      </c>
      <c r="EG237" t="e">
        <f t="shared" si="185"/>
        <v>#REF!</v>
      </c>
      <c r="EH237" t="e">
        <f t="shared" si="185"/>
        <v>#REF!</v>
      </c>
      <c r="EI237" t="e">
        <f t="shared" si="185"/>
        <v>#REF!</v>
      </c>
      <c r="EJ237" t="e">
        <f t="shared" si="185"/>
        <v>#REF!</v>
      </c>
      <c r="EK237" t="e">
        <f t="shared" si="185"/>
        <v>#REF!</v>
      </c>
      <c r="EL237" t="e">
        <f t="shared" si="185"/>
        <v>#REF!</v>
      </c>
      <c r="EM237" t="e">
        <f t="shared" si="185"/>
        <v>#REF!</v>
      </c>
    </row>
    <row r="238" spans="1:143" x14ac:dyDescent="0.4">
      <c r="A238" t="str">
        <f t="shared" si="170"/>
        <v>X</v>
      </c>
      <c r="B238">
        <v>235</v>
      </c>
      <c r="C238" t="e" cm="1">
        <f t="array" ref="C238">INDEX(auto_Series_Code,B238)</f>
        <v>#REF!</v>
      </c>
      <c r="D238" t="e">
        <f t="shared" si="184"/>
        <v>#REF!</v>
      </c>
      <c r="E238" t="e">
        <f t="shared" si="184"/>
        <v>#REF!</v>
      </c>
      <c r="F238" t="e">
        <f t="shared" si="184"/>
        <v>#REF!</v>
      </c>
      <c r="G238" t="e">
        <f t="shared" si="184"/>
        <v>#REF!</v>
      </c>
      <c r="H238" t="e">
        <f t="shared" si="184"/>
        <v>#REF!</v>
      </c>
      <c r="I238" t="e">
        <f t="shared" si="184"/>
        <v>#REF!</v>
      </c>
      <c r="J238" t="e">
        <f t="shared" si="184"/>
        <v>#REF!</v>
      </c>
      <c r="K238" t="e">
        <f t="shared" si="184"/>
        <v>#REF!</v>
      </c>
      <c r="L238" t="e">
        <f t="shared" si="184"/>
        <v>#REF!</v>
      </c>
      <c r="M238" t="e">
        <f t="shared" si="184"/>
        <v>#REF!</v>
      </c>
      <c r="N238" t="e">
        <f t="shared" si="184"/>
        <v>#REF!</v>
      </c>
      <c r="O238" t="e">
        <f t="shared" si="184"/>
        <v>#REF!</v>
      </c>
      <c r="P238" t="e">
        <f t="shared" si="184"/>
        <v>#REF!</v>
      </c>
      <c r="Q238" t="e">
        <f t="shared" si="184"/>
        <v>#REF!</v>
      </c>
      <c r="R238" t="e">
        <f t="shared" si="184"/>
        <v>#REF!</v>
      </c>
      <c r="S238" t="e">
        <f t="shared" si="184"/>
        <v>#REF!</v>
      </c>
      <c r="T238" t="e">
        <f t="shared" si="183"/>
        <v>#REF!</v>
      </c>
      <c r="U238" t="e">
        <f t="shared" si="183"/>
        <v>#REF!</v>
      </c>
      <c r="V238" t="e">
        <f t="shared" si="183"/>
        <v>#REF!</v>
      </c>
      <c r="W238" t="e">
        <f t="shared" si="183"/>
        <v>#REF!</v>
      </c>
      <c r="X238" t="e">
        <f t="shared" si="167"/>
        <v>#REF!</v>
      </c>
      <c r="Y238" t="e">
        <f t="shared" si="167"/>
        <v>#REF!</v>
      </c>
      <c r="Z238" t="e">
        <f t="shared" si="167"/>
        <v>#REF!</v>
      </c>
      <c r="AA238" t="e">
        <f t="shared" si="167"/>
        <v>#REF!</v>
      </c>
      <c r="AB238" t="e">
        <f t="shared" si="167"/>
        <v>#REF!</v>
      </c>
      <c r="AC238" t="e">
        <f t="shared" si="167"/>
        <v>#REF!</v>
      </c>
      <c r="AD238" t="e">
        <f t="shared" si="167"/>
        <v>#REF!</v>
      </c>
      <c r="AE238" t="e">
        <f t="shared" si="167"/>
        <v>#REF!</v>
      </c>
      <c r="AF238" t="e">
        <f t="shared" si="167"/>
        <v>#REF!</v>
      </c>
      <c r="AG238" t="e">
        <f t="shared" si="167"/>
        <v>#REF!</v>
      </c>
      <c r="AH238" t="e">
        <f t="shared" si="167"/>
        <v>#REF!</v>
      </c>
      <c r="AI238" t="e">
        <f t="shared" si="177"/>
        <v>#REF!</v>
      </c>
      <c r="AJ238" t="e">
        <f t="shared" si="177"/>
        <v>#REF!</v>
      </c>
      <c r="AK238" t="e">
        <f t="shared" si="177"/>
        <v>#REF!</v>
      </c>
      <c r="AL238" t="e">
        <f t="shared" si="177"/>
        <v>#REF!</v>
      </c>
      <c r="AM238" t="e">
        <f t="shared" si="177"/>
        <v>#REF!</v>
      </c>
      <c r="AN238" t="e">
        <f t="shared" si="177"/>
        <v>#REF!</v>
      </c>
      <c r="AO238" t="e">
        <f t="shared" si="177"/>
        <v>#REF!</v>
      </c>
      <c r="AP238" t="e">
        <f t="shared" si="177"/>
        <v>#REF!</v>
      </c>
      <c r="AQ238" t="e">
        <f t="shared" si="177"/>
        <v>#REF!</v>
      </c>
      <c r="AR238" t="e">
        <f t="shared" si="176"/>
        <v>#REF!</v>
      </c>
      <c r="AS238" t="e">
        <f t="shared" si="176"/>
        <v>#REF!</v>
      </c>
      <c r="AT238" t="e">
        <f t="shared" si="176"/>
        <v>#REF!</v>
      </c>
      <c r="AU238" t="e">
        <f t="shared" si="176"/>
        <v>#REF!</v>
      </c>
      <c r="AV238" t="e">
        <f t="shared" si="176"/>
        <v>#REF!</v>
      </c>
      <c r="AW238" t="e">
        <f t="shared" si="176"/>
        <v>#REF!</v>
      </c>
      <c r="AX238" t="e">
        <f t="shared" si="176"/>
        <v>#REF!</v>
      </c>
      <c r="AY238" t="e">
        <f t="shared" si="176"/>
        <v>#REF!</v>
      </c>
      <c r="AZ238" t="e">
        <f t="shared" si="176"/>
        <v>#REF!</v>
      </c>
      <c r="BA238" t="e">
        <f t="shared" si="176"/>
        <v>#REF!</v>
      </c>
      <c r="BB238" t="e">
        <f t="shared" si="173"/>
        <v>#REF!</v>
      </c>
      <c r="BC238" t="e">
        <f t="shared" si="173"/>
        <v>#REF!</v>
      </c>
      <c r="BD238" t="e">
        <f t="shared" si="173"/>
        <v>#REF!</v>
      </c>
      <c r="BE238" t="e">
        <f t="shared" si="173"/>
        <v>#REF!</v>
      </c>
      <c r="BF238" t="e">
        <f t="shared" si="173"/>
        <v>#REF!</v>
      </c>
      <c r="BG238" t="e">
        <f t="shared" si="173"/>
        <v>#REF!</v>
      </c>
      <c r="BH238" t="e">
        <f t="shared" si="173"/>
        <v>#REF!</v>
      </c>
      <c r="BI238" t="e">
        <f t="shared" si="172"/>
        <v>#REF!</v>
      </c>
      <c r="BJ238" t="e">
        <f t="shared" si="172"/>
        <v>#REF!</v>
      </c>
      <c r="BK238" t="e">
        <f t="shared" si="172"/>
        <v>#REF!</v>
      </c>
      <c r="BL238" t="e">
        <f t="shared" si="172"/>
        <v>#REF!</v>
      </c>
      <c r="BM238" t="e">
        <f t="shared" si="172"/>
        <v>#REF!</v>
      </c>
      <c r="BN238" t="e">
        <f t="shared" si="172"/>
        <v>#REF!</v>
      </c>
      <c r="BO238" t="e">
        <f t="shared" si="172"/>
        <v>#REF!</v>
      </c>
      <c r="BP238" t="e">
        <f t="shared" si="172"/>
        <v>#REF!</v>
      </c>
      <c r="BQ238" t="e">
        <f t="shared" si="172"/>
        <v>#REF!</v>
      </c>
      <c r="BR238" t="e">
        <f t="shared" si="172"/>
        <v>#REF!</v>
      </c>
      <c r="BS238" t="e">
        <f t="shared" si="172"/>
        <v>#REF!</v>
      </c>
      <c r="BT238" t="e">
        <f t="shared" si="172"/>
        <v>#REF!</v>
      </c>
      <c r="BU238" t="e">
        <f t="shared" si="172"/>
        <v>#REF!</v>
      </c>
      <c r="BV238" t="e">
        <f t="shared" si="172"/>
        <v>#REF!</v>
      </c>
      <c r="BW238" t="e">
        <f t="shared" si="172"/>
        <v>#REF!</v>
      </c>
      <c r="BX238" t="e">
        <f t="shared" si="181"/>
        <v>#REF!</v>
      </c>
      <c r="BY238" t="e">
        <f t="shared" si="181"/>
        <v>#REF!</v>
      </c>
      <c r="BZ238" t="e">
        <f t="shared" si="181"/>
        <v>#REF!</v>
      </c>
      <c r="CA238" t="e">
        <f t="shared" si="181"/>
        <v>#REF!</v>
      </c>
      <c r="CB238" t="e">
        <f t="shared" si="181"/>
        <v>#REF!</v>
      </c>
      <c r="CC238" t="e">
        <f t="shared" si="181"/>
        <v>#REF!</v>
      </c>
      <c r="CD238" t="e">
        <f t="shared" si="181"/>
        <v>#REF!</v>
      </c>
      <c r="CE238" t="e">
        <f t="shared" si="181"/>
        <v>#REF!</v>
      </c>
      <c r="CF238" t="e">
        <f t="shared" si="175"/>
        <v>#REF!</v>
      </c>
      <c r="CG238" t="e">
        <f t="shared" si="175"/>
        <v>#REF!</v>
      </c>
      <c r="CH238" t="e">
        <f t="shared" si="175"/>
        <v>#REF!</v>
      </c>
      <c r="CI238" t="e">
        <f t="shared" si="175"/>
        <v>#REF!</v>
      </c>
      <c r="CJ238" t="e">
        <f t="shared" si="175"/>
        <v>#REF!</v>
      </c>
      <c r="CK238" t="e">
        <f t="shared" si="175"/>
        <v>#REF!</v>
      </c>
      <c r="CL238" t="e">
        <f t="shared" si="175"/>
        <v>#REF!</v>
      </c>
      <c r="CM238" t="e">
        <f t="shared" si="175"/>
        <v>#REF!</v>
      </c>
      <c r="CN238" t="e">
        <f t="shared" si="175"/>
        <v>#REF!</v>
      </c>
      <c r="CO238" t="e">
        <f t="shared" si="175"/>
        <v>#REF!</v>
      </c>
      <c r="CP238" t="e">
        <f t="shared" si="174"/>
        <v>#REF!</v>
      </c>
      <c r="CQ238" t="e">
        <f t="shared" si="174"/>
        <v>#REF!</v>
      </c>
      <c r="CR238" t="e">
        <f t="shared" si="174"/>
        <v>#REF!</v>
      </c>
      <c r="CS238" t="e">
        <f t="shared" si="174"/>
        <v>#REF!</v>
      </c>
      <c r="CT238" t="e">
        <f t="shared" si="174"/>
        <v>#REF!</v>
      </c>
      <c r="CU238" t="e">
        <f t="shared" si="174"/>
        <v>#REF!</v>
      </c>
      <c r="CV238" t="e">
        <f t="shared" si="174"/>
        <v>#REF!</v>
      </c>
      <c r="CW238" t="e">
        <f t="shared" si="174"/>
        <v>#REF!</v>
      </c>
      <c r="CX238" t="e">
        <f t="shared" si="174"/>
        <v>#REF!</v>
      </c>
      <c r="CY238" t="e">
        <f t="shared" si="174"/>
        <v>#REF!</v>
      </c>
      <c r="CZ238" t="e">
        <f t="shared" si="174"/>
        <v>#REF!</v>
      </c>
      <c r="DA238" t="e">
        <f t="shared" si="174"/>
        <v>#REF!</v>
      </c>
      <c r="DB238" t="e">
        <f t="shared" si="174"/>
        <v>#REF!</v>
      </c>
      <c r="DC238" t="e">
        <f t="shared" si="182"/>
        <v>#REF!</v>
      </c>
      <c r="DD238" t="e">
        <f t="shared" si="182"/>
        <v>#REF!</v>
      </c>
      <c r="DE238" t="e">
        <f t="shared" si="182"/>
        <v>#REF!</v>
      </c>
      <c r="DF238" t="e">
        <f t="shared" si="182"/>
        <v>#REF!</v>
      </c>
      <c r="DG238" t="e">
        <f t="shared" si="182"/>
        <v>#REF!</v>
      </c>
      <c r="DH238" t="e">
        <f t="shared" si="182"/>
        <v>#REF!</v>
      </c>
      <c r="DI238" t="e">
        <f t="shared" si="182"/>
        <v>#REF!</v>
      </c>
      <c r="DJ238" t="e">
        <f t="shared" si="180"/>
        <v>#REF!</v>
      </c>
      <c r="DK238" t="e">
        <f t="shared" si="180"/>
        <v>#REF!</v>
      </c>
      <c r="DL238" t="e">
        <f t="shared" si="180"/>
        <v>#REF!</v>
      </c>
      <c r="DM238" t="e">
        <f t="shared" si="180"/>
        <v>#REF!</v>
      </c>
      <c r="DN238" t="e">
        <f t="shared" si="180"/>
        <v>#REF!</v>
      </c>
      <c r="DO238" t="e">
        <f t="shared" si="180"/>
        <v>#REF!</v>
      </c>
      <c r="DP238" t="e">
        <f t="shared" si="180"/>
        <v>#REF!</v>
      </c>
      <c r="DQ238" t="e">
        <f t="shared" si="180"/>
        <v>#REF!</v>
      </c>
      <c r="DR238" t="e">
        <f t="shared" si="180"/>
        <v>#REF!</v>
      </c>
      <c r="DS238" t="e">
        <f t="shared" si="180"/>
        <v>#REF!</v>
      </c>
      <c r="DT238" t="e">
        <f t="shared" si="180"/>
        <v>#REF!</v>
      </c>
      <c r="DU238" t="e">
        <f t="shared" si="180"/>
        <v>#REF!</v>
      </c>
      <c r="DV238" t="e">
        <f t="shared" si="180"/>
        <v>#REF!</v>
      </c>
      <c r="DW238" t="e">
        <f t="shared" si="180"/>
        <v>#REF!</v>
      </c>
      <c r="DX238" t="e">
        <f t="shared" si="180"/>
        <v>#REF!</v>
      </c>
      <c r="DY238" t="e">
        <f t="shared" si="171"/>
        <v>#REF!</v>
      </c>
      <c r="DZ238" t="e">
        <f t="shared" si="171"/>
        <v>#REF!</v>
      </c>
      <c r="EA238" t="e">
        <f t="shared" si="171"/>
        <v>#REF!</v>
      </c>
      <c r="EB238" t="e">
        <f t="shared" si="171"/>
        <v>#REF!</v>
      </c>
      <c r="EC238" t="e">
        <f t="shared" si="171"/>
        <v>#REF!</v>
      </c>
      <c r="ED238" t="e">
        <f t="shared" si="185"/>
        <v>#REF!</v>
      </c>
      <c r="EE238" t="e">
        <f t="shared" si="185"/>
        <v>#REF!</v>
      </c>
      <c r="EF238" t="e">
        <f t="shared" si="185"/>
        <v>#REF!</v>
      </c>
      <c r="EG238" t="e">
        <f t="shared" si="185"/>
        <v>#REF!</v>
      </c>
      <c r="EH238" t="e">
        <f t="shared" si="185"/>
        <v>#REF!</v>
      </c>
      <c r="EI238" t="e">
        <f t="shared" si="185"/>
        <v>#REF!</v>
      </c>
      <c r="EJ238" t="e">
        <f t="shared" si="185"/>
        <v>#REF!</v>
      </c>
      <c r="EK238" t="e">
        <f t="shared" si="185"/>
        <v>#REF!</v>
      </c>
      <c r="EL238" t="e">
        <f t="shared" si="185"/>
        <v>#REF!</v>
      </c>
      <c r="EM238" t="e">
        <f t="shared" si="185"/>
        <v>#REF!</v>
      </c>
    </row>
    <row r="239" spans="1:143" x14ac:dyDescent="0.4">
      <c r="A239" t="str">
        <f t="shared" si="170"/>
        <v>X</v>
      </c>
      <c r="B239">
        <v>236</v>
      </c>
      <c r="C239" t="e" cm="1">
        <f t="array" ref="C239">INDEX(auto_Series_Code,B239)</f>
        <v>#REF!</v>
      </c>
      <c r="D239" t="e">
        <f t="shared" si="184"/>
        <v>#REF!</v>
      </c>
      <c r="E239" t="e">
        <f t="shared" si="184"/>
        <v>#REF!</v>
      </c>
      <c r="F239" t="e">
        <f t="shared" si="184"/>
        <v>#REF!</v>
      </c>
      <c r="G239" t="e">
        <f t="shared" si="184"/>
        <v>#REF!</v>
      </c>
      <c r="H239" t="e">
        <f t="shared" si="184"/>
        <v>#REF!</v>
      </c>
      <c r="I239" t="e">
        <f t="shared" si="184"/>
        <v>#REF!</v>
      </c>
      <c r="J239" t="e">
        <f t="shared" si="184"/>
        <v>#REF!</v>
      </c>
      <c r="K239" t="e">
        <f t="shared" si="184"/>
        <v>#REF!</v>
      </c>
      <c r="L239" t="e">
        <f t="shared" si="184"/>
        <v>#REF!</v>
      </c>
      <c r="M239" t="e">
        <f t="shared" si="184"/>
        <v>#REF!</v>
      </c>
      <c r="N239" t="e">
        <f t="shared" si="184"/>
        <v>#REF!</v>
      </c>
      <c r="O239" t="e">
        <f t="shared" si="184"/>
        <v>#REF!</v>
      </c>
      <c r="P239" t="e">
        <f t="shared" si="184"/>
        <v>#REF!</v>
      </c>
      <c r="Q239" t="e">
        <f t="shared" si="184"/>
        <v>#REF!</v>
      </c>
      <c r="R239" t="e">
        <f t="shared" si="184"/>
        <v>#REF!</v>
      </c>
      <c r="S239" t="e">
        <f t="shared" si="184"/>
        <v>#REF!</v>
      </c>
      <c r="T239" t="e">
        <f t="shared" si="183"/>
        <v>#REF!</v>
      </c>
      <c r="U239" t="e">
        <f t="shared" si="183"/>
        <v>#REF!</v>
      </c>
      <c r="V239" t="e">
        <f t="shared" si="183"/>
        <v>#REF!</v>
      </c>
      <c r="W239" t="e">
        <f t="shared" si="183"/>
        <v>#REF!</v>
      </c>
      <c r="X239" t="e">
        <f t="shared" si="167"/>
        <v>#REF!</v>
      </c>
      <c r="Y239" t="e">
        <f t="shared" si="167"/>
        <v>#REF!</v>
      </c>
      <c r="Z239" t="e">
        <f t="shared" si="167"/>
        <v>#REF!</v>
      </c>
      <c r="AA239" t="e">
        <f t="shared" si="167"/>
        <v>#REF!</v>
      </c>
      <c r="AB239" t="e">
        <f t="shared" si="167"/>
        <v>#REF!</v>
      </c>
      <c r="AC239" t="e">
        <f t="shared" si="167"/>
        <v>#REF!</v>
      </c>
      <c r="AD239" t="e">
        <f t="shared" ref="AD239:AS261" si="186">MATCH(CONCATENATE(AD$3,"_",$C239),auto_DataFlat_UID,0)</f>
        <v>#REF!</v>
      </c>
      <c r="AE239" t="e">
        <f t="shared" si="186"/>
        <v>#REF!</v>
      </c>
      <c r="AF239" t="e">
        <f t="shared" si="186"/>
        <v>#REF!</v>
      </c>
      <c r="AG239" t="e">
        <f t="shared" si="186"/>
        <v>#REF!</v>
      </c>
      <c r="AH239" t="e">
        <f t="shared" si="186"/>
        <v>#REF!</v>
      </c>
      <c r="AI239" t="e">
        <f t="shared" si="186"/>
        <v>#REF!</v>
      </c>
      <c r="AJ239" t="e">
        <f t="shared" si="186"/>
        <v>#REF!</v>
      </c>
      <c r="AK239" t="e">
        <f t="shared" si="186"/>
        <v>#REF!</v>
      </c>
      <c r="AL239" t="e">
        <f t="shared" si="186"/>
        <v>#REF!</v>
      </c>
      <c r="AM239" t="e">
        <f t="shared" si="186"/>
        <v>#REF!</v>
      </c>
      <c r="AN239" t="e">
        <f t="shared" si="186"/>
        <v>#REF!</v>
      </c>
      <c r="AO239" t="e">
        <f t="shared" si="186"/>
        <v>#REF!</v>
      </c>
      <c r="AP239" t="e">
        <f t="shared" si="186"/>
        <v>#REF!</v>
      </c>
      <c r="AQ239" t="e">
        <f t="shared" si="186"/>
        <v>#REF!</v>
      </c>
      <c r="AR239" t="e">
        <f t="shared" si="176"/>
        <v>#REF!</v>
      </c>
      <c r="AS239" t="e">
        <f t="shared" si="176"/>
        <v>#REF!</v>
      </c>
      <c r="AT239" t="e">
        <f t="shared" si="176"/>
        <v>#REF!</v>
      </c>
      <c r="AU239" t="e">
        <f t="shared" si="176"/>
        <v>#REF!</v>
      </c>
      <c r="AV239" t="e">
        <f t="shared" si="176"/>
        <v>#REF!</v>
      </c>
      <c r="AW239" t="e">
        <f t="shared" si="176"/>
        <v>#REF!</v>
      </c>
      <c r="AX239" t="e">
        <f t="shared" si="176"/>
        <v>#REF!</v>
      </c>
      <c r="AY239" t="e">
        <f t="shared" si="176"/>
        <v>#REF!</v>
      </c>
      <c r="AZ239" t="e">
        <f t="shared" si="176"/>
        <v>#REF!</v>
      </c>
      <c r="BA239" t="e">
        <f t="shared" si="176"/>
        <v>#REF!</v>
      </c>
      <c r="BB239" t="e">
        <f t="shared" si="173"/>
        <v>#REF!</v>
      </c>
      <c r="BC239" t="e">
        <f t="shared" si="173"/>
        <v>#REF!</v>
      </c>
      <c r="BD239" t="e">
        <f t="shared" si="173"/>
        <v>#REF!</v>
      </c>
      <c r="BE239" t="e">
        <f t="shared" si="173"/>
        <v>#REF!</v>
      </c>
      <c r="BF239" t="e">
        <f t="shared" si="173"/>
        <v>#REF!</v>
      </c>
      <c r="BG239" t="e">
        <f t="shared" si="173"/>
        <v>#REF!</v>
      </c>
      <c r="BH239" t="e">
        <f t="shared" si="173"/>
        <v>#REF!</v>
      </c>
      <c r="BI239" t="e">
        <f t="shared" si="172"/>
        <v>#REF!</v>
      </c>
      <c r="BJ239" t="e">
        <f t="shared" si="172"/>
        <v>#REF!</v>
      </c>
      <c r="BK239" t="e">
        <f t="shared" si="172"/>
        <v>#REF!</v>
      </c>
      <c r="BL239" t="e">
        <f t="shared" si="172"/>
        <v>#REF!</v>
      </c>
      <c r="BM239" t="e">
        <f t="shared" si="172"/>
        <v>#REF!</v>
      </c>
      <c r="BN239" t="e">
        <f t="shared" si="172"/>
        <v>#REF!</v>
      </c>
      <c r="BO239" t="e">
        <f t="shared" si="172"/>
        <v>#REF!</v>
      </c>
      <c r="BP239" t="e">
        <f t="shared" si="172"/>
        <v>#REF!</v>
      </c>
      <c r="BQ239" t="e">
        <f t="shared" si="172"/>
        <v>#REF!</v>
      </c>
      <c r="BR239" t="e">
        <f t="shared" si="172"/>
        <v>#REF!</v>
      </c>
      <c r="BS239" t="e">
        <f t="shared" si="172"/>
        <v>#REF!</v>
      </c>
      <c r="BT239" t="e">
        <f t="shared" si="172"/>
        <v>#REF!</v>
      </c>
      <c r="BU239" t="e">
        <f t="shared" si="172"/>
        <v>#REF!</v>
      </c>
      <c r="BV239" t="e">
        <f t="shared" si="172"/>
        <v>#REF!</v>
      </c>
      <c r="BW239" t="e">
        <f t="shared" si="172"/>
        <v>#REF!</v>
      </c>
      <c r="BX239" t="e">
        <f t="shared" si="181"/>
        <v>#REF!</v>
      </c>
      <c r="BY239" t="e">
        <f t="shared" si="181"/>
        <v>#REF!</v>
      </c>
      <c r="BZ239" t="e">
        <f t="shared" si="181"/>
        <v>#REF!</v>
      </c>
      <c r="CA239" t="e">
        <f t="shared" si="181"/>
        <v>#REF!</v>
      </c>
      <c r="CB239" t="e">
        <f t="shared" si="181"/>
        <v>#REF!</v>
      </c>
      <c r="CC239" t="e">
        <f t="shared" si="181"/>
        <v>#REF!</v>
      </c>
      <c r="CD239" t="e">
        <f t="shared" si="181"/>
        <v>#REF!</v>
      </c>
      <c r="CE239" t="e">
        <f t="shared" si="181"/>
        <v>#REF!</v>
      </c>
      <c r="CF239" t="e">
        <f t="shared" si="175"/>
        <v>#REF!</v>
      </c>
      <c r="CG239" t="e">
        <f t="shared" si="175"/>
        <v>#REF!</v>
      </c>
      <c r="CH239" t="e">
        <f t="shared" si="175"/>
        <v>#REF!</v>
      </c>
      <c r="CI239" t="e">
        <f t="shared" si="175"/>
        <v>#REF!</v>
      </c>
      <c r="CJ239" t="e">
        <f t="shared" si="175"/>
        <v>#REF!</v>
      </c>
      <c r="CK239" t="e">
        <f t="shared" si="175"/>
        <v>#REF!</v>
      </c>
      <c r="CL239" t="e">
        <f t="shared" si="175"/>
        <v>#REF!</v>
      </c>
      <c r="CM239" t="e">
        <f t="shared" si="175"/>
        <v>#REF!</v>
      </c>
      <c r="CN239" t="e">
        <f t="shared" si="175"/>
        <v>#REF!</v>
      </c>
      <c r="CO239" t="e">
        <f t="shared" si="175"/>
        <v>#REF!</v>
      </c>
      <c r="CP239" t="e">
        <f t="shared" si="174"/>
        <v>#REF!</v>
      </c>
      <c r="CQ239" t="e">
        <f t="shared" si="174"/>
        <v>#REF!</v>
      </c>
      <c r="CR239" t="e">
        <f t="shared" si="174"/>
        <v>#REF!</v>
      </c>
      <c r="CS239" t="e">
        <f t="shared" si="174"/>
        <v>#REF!</v>
      </c>
      <c r="CT239" t="e">
        <f t="shared" si="174"/>
        <v>#REF!</v>
      </c>
      <c r="CU239" t="e">
        <f t="shared" si="174"/>
        <v>#REF!</v>
      </c>
      <c r="CV239" t="e">
        <f t="shared" si="174"/>
        <v>#REF!</v>
      </c>
      <c r="CW239" t="e">
        <f t="shared" si="174"/>
        <v>#REF!</v>
      </c>
      <c r="CX239" t="e">
        <f t="shared" si="174"/>
        <v>#REF!</v>
      </c>
      <c r="CY239" t="e">
        <f t="shared" si="174"/>
        <v>#REF!</v>
      </c>
      <c r="CZ239" t="e">
        <f t="shared" si="174"/>
        <v>#REF!</v>
      </c>
      <c r="DA239" t="e">
        <f t="shared" si="174"/>
        <v>#REF!</v>
      </c>
      <c r="DB239" t="e">
        <f t="shared" si="174"/>
        <v>#REF!</v>
      </c>
      <c r="DC239" t="e">
        <f t="shared" si="182"/>
        <v>#REF!</v>
      </c>
      <c r="DD239" t="e">
        <f t="shared" si="182"/>
        <v>#REF!</v>
      </c>
      <c r="DE239" t="e">
        <f t="shared" si="182"/>
        <v>#REF!</v>
      </c>
      <c r="DF239" t="e">
        <f t="shared" si="182"/>
        <v>#REF!</v>
      </c>
      <c r="DG239" t="e">
        <f t="shared" si="182"/>
        <v>#REF!</v>
      </c>
      <c r="DH239" t="e">
        <f t="shared" si="182"/>
        <v>#REF!</v>
      </c>
      <c r="DI239" t="e">
        <f t="shared" si="182"/>
        <v>#REF!</v>
      </c>
      <c r="DJ239" t="e">
        <f t="shared" si="180"/>
        <v>#REF!</v>
      </c>
      <c r="DK239" t="e">
        <f t="shared" si="180"/>
        <v>#REF!</v>
      </c>
      <c r="DL239" t="e">
        <f t="shared" si="180"/>
        <v>#REF!</v>
      </c>
      <c r="DM239" t="e">
        <f t="shared" si="180"/>
        <v>#REF!</v>
      </c>
      <c r="DN239" t="e">
        <f t="shared" si="180"/>
        <v>#REF!</v>
      </c>
      <c r="DO239" t="e">
        <f t="shared" si="180"/>
        <v>#REF!</v>
      </c>
      <c r="DP239" t="e">
        <f t="shared" si="180"/>
        <v>#REF!</v>
      </c>
      <c r="DQ239" t="e">
        <f t="shared" si="180"/>
        <v>#REF!</v>
      </c>
      <c r="DR239" t="e">
        <f t="shared" si="180"/>
        <v>#REF!</v>
      </c>
      <c r="DS239" t="e">
        <f t="shared" si="180"/>
        <v>#REF!</v>
      </c>
      <c r="DT239" t="e">
        <f t="shared" si="180"/>
        <v>#REF!</v>
      </c>
      <c r="DU239" t="e">
        <f t="shared" si="180"/>
        <v>#REF!</v>
      </c>
      <c r="DV239" t="e">
        <f t="shared" si="180"/>
        <v>#REF!</v>
      </c>
      <c r="DW239" t="e">
        <f t="shared" si="180"/>
        <v>#REF!</v>
      </c>
      <c r="DX239" t="e">
        <f t="shared" si="180"/>
        <v>#REF!</v>
      </c>
      <c r="DY239" t="e">
        <f t="shared" si="171"/>
        <v>#REF!</v>
      </c>
      <c r="DZ239" t="e">
        <f t="shared" si="171"/>
        <v>#REF!</v>
      </c>
      <c r="EA239" t="e">
        <f t="shared" si="171"/>
        <v>#REF!</v>
      </c>
      <c r="EB239" t="e">
        <f t="shared" si="171"/>
        <v>#REF!</v>
      </c>
      <c r="EC239" t="e">
        <f t="shared" si="171"/>
        <v>#REF!</v>
      </c>
      <c r="ED239" t="e">
        <f t="shared" si="185"/>
        <v>#REF!</v>
      </c>
      <c r="EE239" t="e">
        <f t="shared" si="185"/>
        <v>#REF!</v>
      </c>
      <c r="EF239" t="e">
        <f t="shared" si="185"/>
        <v>#REF!</v>
      </c>
      <c r="EG239" t="e">
        <f t="shared" si="185"/>
        <v>#REF!</v>
      </c>
      <c r="EH239" t="e">
        <f t="shared" si="185"/>
        <v>#REF!</v>
      </c>
      <c r="EI239" t="e">
        <f t="shared" si="185"/>
        <v>#REF!</v>
      </c>
      <c r="EJ239" t="e">
        <f t="shared" si="185"/>
        <v>#REF!</v>
      </c>
      <c r="EK239" t="e">
        <f t="shared" si="185"/>
        <v>#REF!</v>
      </c>
      <c r="EL239" t="e">
        <f t="shared" si="185"/>
        <v>#REF!</v>
      </c>
      <c r="EM239" t="e">
        <f t="shared" si="185"/>
        <v>#REF!</v>
      </c>
    </row>
    <row r="240" spans="1:143" x14ac:dyDescent="0.4">
      <c r="A240" t="str">
        <f t="shared" si="170"/>
        <v>X</v>
      </c>
      <c r="B240">
        <v>237</v>
      </c>
      <c r="C240" t="e" cm="1">
        <f t="array" ref="C240">INDEX(auto_Series_Code,B240)</f>
        <v>#REF!</v>
      </c>
      <c r="D240" t="e">
        <f t="shared" si="184"/>
        <v>#REF!</v>
      </c>
      <c r="E240" t="e">
        <f t="shared" si="184"/>
        <v>#REF!</v>
      </c>
      <c r="F240" t="e">
        <f t="shared" si="184"/>
        <v>#REF!</v>
      </c>
      <c r="G240" t="e">
        <f t="shared" si="184"/>
        <v>#REF!</v>
      </c>
      <c r="H240" t="e">
        <f t="shared" si="184"/>
        <v>#REF!</v>
      </c>
      <c r="I240" t="e">
        <f t="shared" si="184"/>
        <v>#REF!</v>
      </c>
      <c r="J240" t="e">
        <f t="shared" si="184"/>
        <v>#REF!</v>
      </c>
      <c r="K240" t="e">
        <f t="shared" si="184"/>
        <v>#REF!</v>
      </c>
      <c r="L240" t="e">
        <f t="shared" si="184"/>
        <v>#REF!</v>
      </c>
      <c r="M240" t="e">
        <f t="shared" si="184"/>
        <v>#REF!</v>
      </c>
      <c r="N240" t="e">
        <f t="shared" si="184"/>
        <v>#REF!</v>
      </c>
      <c r="O240" t="e">
        <f t="shared" si="184"/>
        <v>#REF!</v>
      </c>
      <c r="P240" t="e">
        <f t="shared" si="184"/>
        <v>#REF!</v>
      </c>
      <c r="Q240" t="e">
        <f t="shared" si="184"/>
        <v>#REF!</v>
      </c>
      <c r="R240" t="e">
        <f t="shared" si="184"/>
        <v>#REF!</v>
      </c>
      <c r="S240" t="e">
        <f t="shared" si="184"/>
        <v>#REF!</v>
      </c>
      <c r="T240" t="e">
        <f t="shared" si="183"/>
        <v>#REF!</v>
      </c>
      <c r="U240" t="e">
        <f t="shared" si="183"/>
        <v>#REF!</v>
      </c>
      <c r="V240" t="e">
        <f t="shared" si="183"/>
        <v>#REF!</v>
      </c>
      <c r="W240" t="e">
        <f t="shared" si="183"/>
        <v>#REF!</v>
      </c>
      <c r="X240" t="e">
        <f t="shared" si="183"/>
        <v>#REF!</v>
      </c>
      <c r="Y240" t="e">
        <f t="shared" si="183"/>
        <v>#REF!</v>
      </c>
      <c r="Z240" t="e">
        <f t="shared" si="183"/>
        <v>#REF!</v>
      </c>
      <c r="AA240" t="e">
        <f t="shared" si="183"/>
        <v>#REF!</v>
      </c>
      <c r="AB240" t="e">
        <f t="shared" si="183"/>
        <v>#REF!</v>
      </c>
      <c r="AC240" t="e">
        <f t="shared" si="183"/>
        <v>#REF!</v>
      </c>
      <c r="AD240" t="e">
        <f t="shared" si="183"/>
        <v>#REF!</v>
      </c>
      <c r="AE240" t="e">
        <f t="shared" si="183"/>
        <v>#REF!</v>
      </c>
      <c r="AF240" t="e">
        <f t="shared" si="183"/>
        <v>#REF!</v>
      </c>
      <c r="AG240" t="e">
        <f t="shared" si="183"/>
        <v>#REF!</v>
      </c>
      <c r="AH240" t="e">
        <f t="shared" si="186"/>
        <v>#REF!</v>
      </c>
      <c r="AI240" t="e">
        <f t="shared" si="186"/>
        <v>#REF!</v>
      </c>
      <c r="AJ240" t="e">
        <f t="shared" si="186"/>
        <v>#REF!</v>
      </c>
      <c r="AK240" t="e">
        <f t="shared" si="186"/>
        <v>#REF!</v>
      </c>
      <c r="AL240" t="e">
        <f t="shared" si="186"/>
        <v>#REF!</v>
      </c>
      <c r="AM240" t="e">
        <f t="shared" si="186"/>
        <v>#REF!</v>
      </c>
      <c r="AN240" t="e">
        <f t="shared" si="186"/>
        <v>#REF!</v>
      </c>
      <c r="AO240" t="e">
        <f t="shared" si="186"/>
        <v>#REF!</v>
      </c>
      <c r="AP240" t="e">
        <f t="shared" si="186"/>
        <v>#REF!</v>
      </c>
      <c r="AQ240" t="e">
        <f t="shared" si="186"/>
        <v>#REF!</v>
      </c>
      <c r="AR240" t="e">
        <f t="shared" si="176"/>
        <v>#REF!</v>
      </c>
      <c r="AS240" t="e">
        <f t="shared" si="176"/>
        <v>#REF!</v>
      </c>
      <c r="AT240" t="e">
        <f t="shared" si="176"/>
        <v>#REF!</v>
      </c>
      <c r="AU240" t="e">
        <f t="shared" si="176"/>
        <v>#REF!</v>
      </c>
      <c r="AV240" t="e">
        <f t="shared" si="176"/>
        <v>#REF!</v>
      </c>
      <c r="AW240" t="e">
        <f t="shared" si="176"/>
        <v>#REF!</v>
      </c>
      <c r="AX240" t="e">
        <f t="shared" si="176"/>
        <v>#REF!</v>
      </c>
      <c r="AY240" t="e">
        <f t="shared" si="176"/>
        <v>#REF!</v>
      </c>
      <c r="AZ240" t="e">
        <f t="shared" si="176"/>
        <v>#REF!</v>
      </c>
      <c r="BA240" t="e">
        <f t="shared" si="176"/>
        <v>#REF!</v>
      </c>
      <c r="BB240" t="e">
        <f t="shared" si="173"/>
        <v>#REF!</v>
      </c>
      <c r="BC240" t="e">
        <f t="shared" si="173"/>
        <v>#REF!</v>
      </c>
      <c r="BD240" t="e">
        <f t="shared" si="173"/>
        <v>#REF!</v>
      </c>
      <c r="BE240" t="e">
        <f t="shared" si="173"/>
        <v>#REF!</v>
      </c>
      <c r="BF240" t="e">
        <f t="shared" si="173"/>
        <v>#REF!</v>
      </c>
      <c r="BG240" t="e">
        <f t="shared" si="173"/>
        <v>#REF!</v>
      </c>
      <c r="BH240" t="e">
        <f t="shared" si="173"/>
        <v>#REF!</v>
      </c>
      <c r="BI240" t="e">
        <f t="shared" si="172"/>
        <v>#REF!</v>
      </c>
      <c r="BJ240" t="e">
        <f t="shared" si="172"/>
        <v>#REF!</v>
      </c>
      <c r="BK240" t="e">
        <f t="shared" si="172"/>
        <v>#REF!</v>
      </c>
      <c r="BL240" t="e">
        <f t="shared" si="172"/>
        <v>#REF!</v>
      </c>
      <c r="BM240" t="e">
        <f t="shared" si="172"/>
        <v>#REF!</v>
      </c>
      <c r="BN240" t="e">
        <f t="shared" si="172"/>
        <v>#REF!</v>
      </c>
      <c r="BO240" t="e">
        <f t="shared" si="172"/>
        <v>#REF!</v>
      </c>
      <c r="BP240" t="e">
        <f t="shared" si="172"/>
        <v>#REF!</v>
      </c>
      <c r="BQ240" t="e">
        <f t="shared" si="172"/>
        <v>#REF!</v>
      </c>
      <c r="BR240" t="e">
        <f t="shared" si="172"/>
        <v>#REF!</v>
      </c>
      <c r="BS240" t="e">
        <f t="shared" si="172"/>
        <v>#REF!</v>
      </c>
      <c r="BT240" t="e">
        <f t="shared" si="172"/>
        <v>#REF!</v>
      </c>
      <c r="BU240" t="e">
        <f t="shared" si="172"/>
        <v>#REF!</v>
      </c>
      <c r="BV240" t="e">
        <f t="shared" si="172"/>
        <v>#REF!</v>
      </c>
      <c r="BW240" t="e">
        <f t="shared" si="172"/>
        <v>#REF!</v>
      </c>
      <c r="BX240" t="e">
        <f t="shared" si="181"/>
        <v>#REF!</v>
      </c>
      <c r="BY240" t="e">
        <f t="shared" si="181"/>
        <v>#REF!</v>
      </c>
      <c r="BZ240" t="e">
        <f t="shared" si="181"/>
        <v>#REF!</v>
      </c>
      <c r="CA240" t="e">
        <f t="shared" si="181"/>
        <v>#REF!</v>
      </c>
      <c r="CB240" t="e">
        <f t="shared" si="181"/>
        <v>#REF!</v>
      </c>
      <c r="CC240" t="e">
        <f t="shared" si="181"/>
        <v>#REF!</v>
      </c>
      <c r="CD240" t="e">
        <f t="shared" si="181"/>
        <v>#REF!</v>
      </c>
      <c r="CE240" t="e">
        <f t="shared" si="181"/>
        <v>#REF!</v>
      </c>
      <c r="CF240" t="e">
        <f t="shared" si="175"/>
        <v>#REF!</v>
      </c>
      <c r="CG240" t="e">
        <f t="shared" si="175"/>
        <v>#REF!</v>
      </c>
      <c r="CH240" t="e">
        <f t="shared" si="175"/>
        <v>#REF!</v>
      </c>
      <c r="CI240" t="e">
        <f t="shared" si="175"/>
        <v>#REF!</v>
      </c>
      <c r="CJ240" t="e">
        <f t="shared" si="175"/>
        <v>#REF!</v>
      </c>
      <c r="CK240" t="e">
        <f t="shared" si="175"/>
        <v>#REF!</v>
      </c>
      <c r="CL240" t="e">
        <f t="shared" si="175"/>
        <v>#REF!</v>
      </c>
      <c r="CM240" t="e">
        <f t="shared" si="175"/>
        <v>#REF!</v>
      </c>
      <c r="CN240" t="e">
        <f t="shared" si="175"/>
        <v>#REF!</v>
      </c>
      <c r="CO240" t="e">
        <f t="shared" si="175"/>
        <v>#REF!</v>
      </c>
      <c r="CP240" t="e">
        <f t="shared" si="174"/>
        <v>#REF!</v>
      </c>
      <c r="CQ240" t="e">
        <f t="shared" si="174"/>
        <v>#REF!</v>
      </c>
      <c r="CR240" t="e">
        <f t="shared" si="174"/>
        <v>#REF!</v>
      </c>
      <c r="CS240" t="e">
        <f t="shared" si="174"/>
        <v>#REF!</v>
      </c>
      <c r="CT240" t="e">
        <f t="shared" si="174"/>
        <v>#REF!</v>
      </c>
      <c r="CU240" t="e">
        <f t="shared" si="174"/>
        <v>#REF!</v>
      </c>
      <c r="CV240" t="e">
        <f t="shared" si="174"/>
        <v>#REF!</v>
      </c>
      <c r="CW240" t="e">
        <f t="shared" si="174"/>
        <v>#REF!</v>
      </c>
      <c r="CX240" t="e">
        <f t="shared" si="174"/>
        <v>#REF!</v>
      </c>
      <c r="CY240" t="e">
        <f t="shared" si="174"/>
        <v>#REF!</v>
      </c>
      <c r="CZ240" t="e">
        <f t="shared" si="174"/>
        <v>#REF!</v>
      </c>
      <c r="DA240" t="e">
        <f t="shared" si="174"/>
        <v>#REF!</v>
      </c>
      <c r="DB240" t="e">
        <f t="shared" si="174"/>
        <v>#REF!</v>
      </c>
      <c r="DC240" t="e">
        <f t="shared" si="182"/>
        <v>#REF!</v>
      </c>
      <c r="DD240" t="e">
        <f t="shared" si="182"/>
        <v>#REF!</v>
      </c>
      <c r="DE240" t="e">
        <f t="shared" si="182"/>
        <v>#REF!</v>
      </c>
      <c r="DF240" t="e">
        <f t="shared" si="182"/>
        <v>#REF!</v>
      </c>
      <c r="DG240" t="e">
        <f t="shared" si="182"/>
        <v>#REF!</v>
      </c>
      <c r="DH240" t="e">
        <f t="shared" si="182"/>
        <v>#REF!</v>
      </c>
      <c r="DI240" t="e">
        <f t="shared" si="182"/>
        <v>#REF!</v>
      </c>
      <c r="DJ240" t="e">
        <f t="shared" si="180"/>
        <v>#REF!</v>
      </c>
      <c r="DK240" t="e">
        <f t="shared" si="180"/>
        <v>#REF!</v>
      </c>
      <c r="DL240" t="e">
        <f t="shared" si="180"/>
        <v>#REF!</v>
      </c>
      <c r="DM240" t="e">
        <f t="shared" si="180"/>
        <v>#REF!</v>
      </c>
      <c r="DN240" t="e">
        <f t="shared" si="180"/>
        <v>#REF!</v>
      </c>
      <c r="DO240" t="e">
        <f t="shared" si="180"/>
        <v>#REF!</v>
      </c>
      <c r="DP240" t="e">
        <f t="shared" si="180"/>
        <v>#REF!</v>
      </c>
      <c r="DQ240" t="e">
        <f t="shared" si="180"/>
        <v>#REF!</v>
      </c>
      <c r="DR240" t="e">
        <f t="shared" si="180"/>
        <v>#REF!</v>
      </c>
      <c r="DS240" t="e">
        <f t="shared" si="180"/>
        <v>#REF!</v>
      </c>
      <c r="DT240" t="e">
        <f t="shared" si="180"/>
        <v>#REF!</v>
      </c>
      <c r="DU240" t="e">
        <f t="shared" si="180"/>
        <v>#REF!</v>
      </c>
      <c r="DV240" t="e">
        <f t="shared" si="180"/>
        <v>#REF!</v>
      </c>
      <c r="DW240" t="e">
        <f t="shared" si="180"/>
        <v>#REF!</v>
      </c>
      <c r="DX240" t="e">
        <f t="shared" si="180"/>
        <v>#REF!</v>
      </c>
      <c r="DY240" t="e">
        <f t="shared" si="171"/>
        <v>#REF!</v>
      </c>
      <c r="DZ240" t="e">
        <f t="shared" si="171"/>
        <v>#REF!</v>
      </c>
      <c r="EA240" t="e">
        <f t="shared" si="171"/>
        <v>#REF!</v>
      </c>
      <c r="EB240" t="e">
        <f t="shared" si="171"/>
        <v>#REF!</v>
      </c>
      <c r="EC240" t="e">
        <f t="shared" si="171"/>
        <v>#REF!</v>
      </c>
      <c r="ED240" t="e">
        <f t="shared" si="185"/>
        <v>#REF!</v>
      </c>
      <c r="EE240" t="e">
        <f t="shared" si="185"/>
        <v>#REF!</v>
      </c>
      <c r="EF240" t="e">
        <f t="shared" si="185"/>
        <v>#REF!</v>
      </c>
      <c r="EG240" t="e">
        <f t="shared" si="185"/>
        <v>#REF!</v>
      </c>
      <c r="EH240" t="e">
        <f t="shared" si="185"/>
        <v>#REF!</v>
      </c>
      <c r="EI240" t="e">
        <f t="shared" si="185"/>
        <v>#REF!</v>
      </c>
      <c r="EJ240" t="e">
        <f t="shared" si="185"/>
        <v>#REF!</v>
      </c>
      <c r="EK240" t="e">
        <f t="shared" si="185"/>
        <v>#REF!</v>
      </c>
      <c r="EL240" t="e">
        <f t="shared" si="185"/>
        <v>#REF!</v>
      </c>
      <c r="EM240" t="e">
        <f t="shared" si="185"/>
        <v>#REF!</v>
      </c>
    </row>
    <row r="241" spans="1:143" x14ac:dyDescent="0.4">
      <c r="A241" t="str">
        <f t="shared" si="170"/>
        <v>X</v>
      </c>
      <c r="B241">
        <v>238</v>
      </c>
      <c r="C241" t="e" cm="1">
        <f t="array" ref="C241">INDEX(auto_Series_Code,B241)</f>
        <v>#REF!</v>
      </c>
      <c r="D241" t="e">
        <f t="shared" si="184"/>
        <v>#REF!</v>
      </c>
      <c r="E241" t="e">
        <f t="shared" si="184"/>
        <v>#REF!</v>
      </c>
      <c r="F241" t="e">
        <f t="shared" si="184"/>
        <v>#REF!</v>
      </c>
      <c r="G241" t="e">
        <f t="shared" si="184"/>
        <v>#REF!</v>
      </c>
      <c r="H241" t="e">
        <f t="shared" si="184"/>
        <v>#REF!</v>
      </c>
      <c r="I241" t="e">
        <f t="shared" si="184"/>
        <v>#REF!</v>
      </c>
      <c r="J241" t="e">
        <f t="shared" si="184"/>
        <v>#REF!</v>
      </c>
      <c r="K241" t="e">
        <f t="shared" si="184"/>
        <v>#REF!</v>
      </c>
      <c r="L241" t="e">
        <f t="shared" si="184"/>
        <v>#REF!</v>
      </c>
      <c r="M241" t="e">
        <f t="shared" si="184"/>
        <v>#REF!</v>
      </c>
      <c r="N241" t="e">
        <f t="shared" si="184"/>
        <v>#REF!</v>
      </c>
      <c r="O241" t="e">
        <f t="shared" si="184"/>
        <v>#REF!</v>
      </c>
      <c r="P241" t="e">
        <f t="shared" si="184"/>
        <v>#REF!</v>
      </c>
      <c r="Q241" t="e">
        <f t="shared" si="184"/>
        <v>#REF!</v>
      </c>
      <c r="R241" t="e">
        <f t="shared" si="184"/>
        <v>#REF!</v>
      </c>
      <c r="S241" t="e">
        <f t="shared" si="184"/>
        <v>#REF!</v>
      </c>
      <c r="T241" t="e">
        <f t="shared" si="183"/>
        <v>#REF!</v>
      </c>
      <c r="U241" t="e">
        <f t="shared" si="183"/>
        <v>#REF!</v>
      </c>
      <c r="V241" t="e">
        <f t="shared" si="183"/>
        <v>#REF!</v>
      </c>
      <c r="W241" t="e">
        <f t="shared" si="183"/>
        <v>#REF!</v>
      </c>
      <c r="X241" t="e">
        <f t="shared" si="183"/>
        <v>#REF!</v>
      </c>
      <c r="Y241" t="e">
        <f t="shared" si="183"/>
        <v>#REF!</v>
      </c>
      <c r="Z241" t="e">
        <f t="shared" si="183"/>
        <v>#REF!</v>
      </c>
      <c r="AA241" t="e">
        <f t="shared" si="183"/>
        <v>#REF!</v>
      </c>
      <c r="AB241" t="e">
        <f t="shared" si="183"/>
        <v>#REF!</v>
      </c>
      <c r="AC241" t="e">
        <f t="shared" si="183"/>
        <v>#REF!</v>
      </c>
      <c r="AD241" t="e">
        <f t="shared" si="183"/>
        <v>#REF!</v>
      </c>
      <c r="AE241" t="e">
        <f t="shared" si="183"/>
        <v>#REF!</v>
      </c>
      <c r="AF241" t="e">
        <f t="shared" si="183"/>
        <v>#REF!</v>
      </c>
      <c r="AG241" t="e">
        <f t="shared" si="183"/>
        <v>#REF!</v>
      </c>
      <c r="AH241" t="e">
        <f t="shared" si="186"/>
        <v>#REF!</v>
      </c>
      <c r="AI241" t="e">
        <f t="shared" si="186"/>
        <v>#REF!</v>
      </c>
      <c r="AJ241" t="e">
        <f t="shared" si="186"/>
        <v>#REF!</v>
      </c>
      <c r="AK241" t="e">
        <f t="shared" si="186"/>
        <v>#REF!</v>
      </c>
      <c r="AL241" t="e">
        <f t="shared" si="186"/>
        <v>#REF!</v>
      </c>
      <c r="AM241" t="e">
        <f t="shared" si="186"/>
        <v>#REF!</v>
      </c>
      <c r="AN241" t="e">
        <f t="shared" si="186"/>
        <v>#REF!</v>
      </c>
      <c r="AO241" t="e">
        <f t="shared" si="186"/>
        <v>#REF!</v>
      </c>
      <c r="AP241" t="e">
        <f t="shared" si="186"/>
        <v>#REF!</v>
      </c>
      <c r="AQ241" t="e">
        <f t="shared" si="186"/>
        <v>#REF!</v>
      </c>
      <c r="AR241" t="e">
        <f t="shared" si="176"/>
        <v>#REF!</v>
      </c>
      <c r="AS241" t="e">
        <f t="shared" si="176"/>
        <v>#REF!</v>
      </c>
      <c r="AT241" t="e">
        <f t="shared" si="176"/>
        <v>#REF!</v>
      </c>
      <c r="AU241" t="e">
        <f t="shared" si="176"/>
        <v>#REF!</v>
      </c>
      <c r="AV241" t="e">
        <f t="shared" si="176"/>
        <v>#REF!</v>
      </c>
      <c r="AW241" t="e">
        <f t="shared" si="176"/>
        <v>#REF!</v>
      </c>
      <c r="AX241" t="e">
        <f t="shared" si="176"/>
        <v>#REF!</v>
      </c>
      <c r="AY241" t="e">
        <f t="shared" si="176"/>
        <v>#REF!</v>
      </c>
      <c r="AZ241" t="e">
        <f t="shared" si="176"/>
        <v>#REF!</v>
      </c>
      <c r="BA241" t="e">
        <f t="shared" si="176"/>
        <v>#REF!</v>
      </c>
      <c r="BB241" t="e">
        <f t="shared" si="173"/>
        <v>#REF!</v>
      </c>
      <c r="BC241" t="e">
        <f t="shared" si="173"/>
        <v>#REF!</v>
      </c>
      <c r="BD241" t="e">
        <f t="shared" si="173"/>
        <v>#REF!</v>
      </c>
      <c r="BE241" t="e">
        <f t="shared" si="173"/>
        <v>#REF!</v>
      </c>
      <c r="BF241" t="e">
        <f t="shared" si="173"/>
        <v>#REF!</v>
      </c>
      <c r="BG241" t="e">
        <f t="shared" si="173"/>
        <v>#REF!</v>
      </c>
      <c r="BH241" t="e">
        <f t="shared" si="173"/>
        <v>#REF!</v>
      </c>
      <c r="BI241" t="e">
        <f t="shared" si="172"/>
        <v>#REF!</v>
      </c>
      <c r="BJ241" t="e">
        <f t="shared" si="172"/>
        <v>#REF!</v>
      </c>
      <c r="BK241" t="e">
        <f t="shared" si="172"/>
        <v>#REF!</v>
      </c>
      <c r="BL241" t="e">
        <f t="shared" si="172"/>
        <v>#REF!</v>
      </c>
      <c r="BM241" t="e">
        <f t="shared" si="172"/>
        <v>#REF!</v>
      </c>
      <c r="BN241" t="e">
        <f t="shared" si="172"/>
        <v>#REF!</v>
      </c>
      <c r="BO241" t="e">
        <f t="shared" si="172"/>
        <v>#REF!</v>
      </c>
      <c r="BP241" t="e">
        <f t="shared" si="172"/>
        <v>#REF!</v>
      </c>
      <c r="BQ241" t="e">
        <f t="shared" si="172"/>
        <v>#REF!</v>
      </c>
      <c r="BR241" t="e">
        <f t="shared" si="172"/>
        <v>#REF!</v>
      </c>
      <c r="BS241" t="e">
        <f t="shared" si="172"/>
        <v>#REF!</v>
      </c>
      <c r="BT241" t="e">
        <f t="shared" si="172"/>
        <v>#REF!</v>
      </c>
      <c r="BU241" t="e">
        <f t="shared" si="172"/>
        <v>#REF!</v>
      </c>
      <c r="BV241" t="e">
        <f t="shared" si="172"/>
        <v>#REF!</v>
      </c>
      <c r="BW241" t="e">
        <f t="shared" ref="BW241:CL265" si="187">MATCH(CONCATENATE(BW$3,"_",$C241),auto_DataFlat_UID,0)</f>
        <v>#REF!</v>
      </c>
      <c r="BX241" t="e">
        <f t="shared" si="187"/>
        <v>#REF!</v>
      </c>
      <c r="BY241" t="e">
        <f t="shared" si="187"/>
        <v>#REF!</v>
      </c>
      <c r="BZ241" t="e">
        <f t="shared" si="187"/>
        <v>#REF!</v>
      </c>
      <c r="CA241" t="e">
        <f t="shared" si="187"/>
        <v>#REF!</v>
      </c>
      <c r="CB241" t="e">
        <f t="shared" si="187"/>
        <v>#REF!</v>
      </c>
      <c r="CC241" t="e">
        <f t="shared" si="187"/>
        <v>#REF!</v>
      </c>
      <c r="CD241" t="e">
        <f t="shared" si="187"/>
        <v>#REF!</v>
      </c>
      <c r="CE241" t="e">
        <f t="shared" si="187"/>
        <v>#REF!</v>
      </c>
      <c r="CF241" t="e">
        <f t="shared" si="175"/>
        <v>#REF!</v>
      </c>
      <c r="CG241" t="e">
        <f t="shared" si="175"/>
        <v>#REF!</v>
      </c>
      <c r="CH241" t="e">
        <f t="shared" si="175"/>
        <v>#REF!</v>
      </c>
      <c r="CI241" t="e">
        <f t="shared" si="175"/>
        <v>#REF!</v>
      </c>
      <c r="CJ241" t="e">
        <f t="shared" si="175"/>
        <v>#REF!</v>
      </c>
      <c r="CK241" t="e">
        <f t="shared" si="175"/>
        <v>#REF!</v>
      </c>
      <c r="CL241" t="e">
        <f t="shared" si="175"/>
        <v>#REF!</v>
      </c>
      <c r="CM241" t="e">
        <f t="shared" si="175"/>
        <v>#REF!</v>
      </c>
      <c r="CN241" t="e">
        <f t="shared" si="175"/>
        <v>#REF!</v>
      </c>
      <c r="CO241" t="e">
        <f t="shared" si="175"/>
        <v>#REF!</v>
      </c>
      <c r="CP241" t="e">
        <f t="shared" si="174"/>
        <v>#REF!</v>
      </c>
      <c r="CQ241" t="e">
        <f t="shared" si="174"/>
        <v>#REF!</v>
      </c>
      <c r="CR241" t="e">
        <f t="shared" si="174"/>
        <v>#REF!</v>
      </c>
      <c r="CS241" t="e">
        <f t="shared" si="174"/>
        <v>#REF!</v>
      </c>
      <c r="CT241" t="e">
        <f t="shared" si="174"/>
        <v>#REF!</v>
      </c>
      <c r="CU241" t="e">
        <f t="shared" si="174"/>
        <v>#REF!</v>
      </c>
      <c r="CV241" t="e">
        <f t="shared" si="174"/>
        <v>#REF!</v>
      </c>
      <c r="CW241" t="e">
        <f t="shared" si="174"/>
        <v>#REF!</v>
      </c>
      <c r="CX241" t="e">
        <f t="shared" si="174"/>
        <v>#REF!</v>
      </c>
      <c r="CY241" t="e">
        <f t="shared" si="174"/>
        <v>#REF!</v>
      </c>
      <c r="CZ241" t="e">
        <f t="shared" si="174"/>
        <v>#REF!</v>
      </c>
      <c r="DA241" t="e">
        <f t="shared" si="174"/>
        <v>#REF!</v>
      </c>
      <c r="DB241" t="e">
        <f t="shared" si="174"/>
        <v>#REF!</v>
      </c>
      <c r="DC241" t="e">
        <f t="shared" si="182"/>
        <v>#REF!</v>
      </c>
      <c r="DD241" t="e">
        <f t="shared" si="182"/>
        <v>#REF!</v>
      </c>
      <c r="DE241" t="e">
        <f t="shared" si="182"/>
        <v>#REF!</v>
      </c>
      <c r="DF241" t="e">
        <f t="shared" si="182"/>
        <v>#REF!</v>
      </c>
      <c r="DG241" t="e">
        <f t="shared" si="182"/>
        <v>#REF!</v>
      </c>
      <c r="DH241" t="e">
        <f t="shared" si="182"/>
        <v>#REF!</v>
      </c>
      <c r="DI241" t="e">
        <f t="shared" si="182"/>
        <v>#REF!</v>
      </c>
      <c r="DJ241" t="e">
        <f t="shared" si="180"/>
        <v>#REF!</v>
      </c>
      <c r="DK241" t="e">
        <f t="shared" si="180"/>
        <v>#REF!</v>
      </c>
      <c r="DL241" t="e">
        <f t="shared" si="180"/>
        <v>#REF!</v>
      </c>
      <c r="DM241" t="e">
        <f t="shared" si="180"/>
        <v>#REF!</v>
      </c>
      <c r="DN241" t="e">
        <f t="shared" si="180"/>
        <v>#REF!</v>
      </c>
      <c r="DO241" t="e">
        <f t="shared" si="180"/>
        <v>#REF!</v>
      </c>
      <c r="DP241" t="e">
        <f t="shared" si="180"/>
        <v>#REF!</v>
      </c>
      <c r="DQ241" t="e">
        <f t="shared" si="180"/>
        <v>#REF!</v>
      </c>
      <c r="DR241" t="e">
        <f t="shared" si="180"/>
        <v>#REF!</v>
      </c>
      <c r="DS241" t="e">
        <f t="shared" si="180"/>
        <v>#REF!</v>
      </c>
      <c r="DT241" t="e">
        <f t="shared" si="180"/>
        <v>#REF!</v>
      </c>
      <c r="DU241" t="e">
        <f t="shared" si="180"/>
        <v>#REF!</v>
      </c>
      <c r="DV241" t="e">
        <f t="shared" si="180"/>
        <v>#REF!</v>
      </c>
      <c r="DW241" t="e">
        <f t="shared" si="180"/>
        <v>#REF!</v>
      </c>
      <c r="DX241" t="e">
        <f t="shared" si="180"/>
        <v>#REF!</v>
      </c>
      <c r="DY241" t="e">
        <f t="shared" si="171"/>
        <v>#REF!</v>
      </c>
      <c r="DZ241" t="e">
        <f t="shared" si="171"/>
        <v>#REF!</v>
      </c>
      <c r="EA241" t="e">
        <f t="shared" si="171"/>
        <v>#REF!</v>
      </c>
      <c r="EB241" t="e">
        <f t="shared" si="171"/>
        <v>#REF!</v>
      </c>
      <c r="EC241" t="e">
        <f t="shared" si="171"/>
        <v>#REF!</v>
      </c>
      <c r="ED241" t="e">
        <f t="shared" si="185"/>
        <v>#REF!</v>
      </c>
      <c r="EE241" t="e">
        <f t="shared" si="185"/>
        <v>#REF!</v>
      </c>
      <c r="EF241" t="e">
        <f t="shared" si="185"/>
        <v>#REF!</v>
      </c>
      <c r="EG241" t="e">
        <f t="shared" si="185"/>
        <v>#REF!</v>
      </c>
      <c r="EH241" t="e">
        <f t="shared" si="185"/>
        <v>#REF!</v>
      </c>
      <c r="EI241" t="e">
        <f t="shared" si="185"/>
        <v>#REF!</v>
      </c>
      <c r="EJ241" t="e">
        <f t="shared" si="185"/>
        <v>#REF!</v>
      </c>
      <c r="EK241" t="e">
        <f t="shared" si="185"/>
        <v>#REF!</v>
      </c>
      <c r="EL241" t="e">
        <f t="shared" si="185"/>
        <v>#REF!</v>
      </c>
      <c r="EM241" t="e">
        <f t="shared" si="185"/>
        <v>#REF!</v>
      </c>
    </row>
    <row r="242" spans="1:143" x14ac:dyDescent="0.4">
      <c r="A242" t="str">
        <f t="shared" si="170"/>
        <v>X</v>
      </c>
      <c r="B242">
        <v>239</v>
      </c>
      <c r="C242" t="e" cm="1">
        <f t="array" ref="C242">INDEX(auto_Series_Code,B242)</f>
        <v>#REF!</v>
      </c>
      <c r="D242" t="e">
        <f t="shared" si="184"/>
        <v>#REF!</v>
      </c>
      <c r="E242" t="e">
        <f t="shared" si="184"/>
        <v>#REF!</v>
      </c>
      <c r="F242" t="e">
        <f t="shared" si="184"/>
        <v>#REF!</v>
      </c>
      <c r="G242" t="e">
        <f t="shared" si="184"/>
        <v>#REF!</v>
      </c>
      <c r="H242" t="e">
        <f t="shared" si="184"/>
        <v>#REF!</v>
      </c>
      <c r="I242" t="e">
        <f t="shared" si="184"/>
        <v>#REF!</v>
      </c>
      <c r="J242" t="e">
        <f t="shared" si="184"/>
        <v>#REF!</v>
      </c>
      <c r="K242" t="e">
        <f t="shared" si="184"/>
        <v>#REF!</v>
      </c>
      <c r="L242" t="e">
        <f t="shared" si="184"/>
        <v>#REF!</v>
      </c>
      <c r="M242" t="e">
        <f t="shared" si="184"/>
        <v>#REF!</v>
      </c>
      <c r="N242" t="e">
        <f t="shared" si="184"/>
        <v>#REF!</v>
      </c>
      <c r="O242" t="e">
        <f t="shared" si="184"/>
        <v>#REF!</v>
      </c>
      <c r="P242" t="e">
        <f t="shared" si="184"/>
        <v>#REF!</v>
      </c>
      <c r="Q242" t="e">
        <f t="shared" si="184"/>
        <v>#REF!</v>
      </c>
      <c r="R242" t="e">
        <f t="shared" si="184"/>
        <v>#REF!</v>
      </c>
      <c r="S242" t="e">
        <f t="shared" si="184"/>
        <v>#REF!</v>
      </c>
      <c r="T242" t="e">
        <f t="shared" si="183"/>
        <v>#REF!</v>
      </c>
      <c r="U242" t="e">
        <f t="shared" si="183"/>
        <v>#REF!</v>
      </c>
      <c r="V242" t="e">
        <f t="shared" si="183"/>
        <v>#REF!</v>
      </c>
      <c r="W242" t="e">
        <f t="shared" si="183"/>
        <v>#REF!</v>
      </c>
      <c r="X242" t="e">
        <f t="shared" si="183"/>
        <v>#REF!</v>
      </c>
      <c r="Y242" t="e">
        <f t="shared" si="183"/>
        <v>#REF!</v>
      </c>
      <c r="Z242" t="e">
        <f t="shared" si="183"/>
        <v>#REF!</v>
      </c>
      <c r="AA242" t="e">
        <f t="shared" si="183"/>
        <v>#REF!</v>
      </c>
      <c r="AB242" t="e">
        <f t="shared" si="183"/>
        <v>#REF!</v>
      </c>
      <c r="AC242" t="e">
        <f t="shared" si="183"/>
        <v>#REF!</v>
      </c>
      <c r="AD242" t="e">
        <f t="shared" si="183"/>
        <v>#REF!</v>
      </c>
      <c r="AE242" t="e">
        <f t="shared" si="183"/>
        <v>#REF!</v>
      </c>
      <c r="AF242" t="e">
        <f t="shared" si="183"/>
        <v>#REF!</v>
      </c>
      <c r="AG242" t="e">
        <f t="shared" si="183"/>
        <v>#REF!</v>
      </c>
      <c r="AH242" t="e">
        <f t="shared" si="186"/>
        <v>#REF!</v>
      </c>
      <c r="AI242" t="e">
        <f t="shared" si="186"/>
        <v>#REF!</v>
      </c>
      <c r="AJ242" t="e">
        <f t="shared" si="186"/>
        <v>#REF!</v>
      </c>
      <c r="AK242" t="e">
        <f t="shared" si="186"/>
        <v>#REF!</v>
      </c>
      <c r="AL242" t="e">
        <f t="shared" si="186"/>
        <v>#REF!</v>
      </c>
      <c r="AM242" t="e">
        <f t="shared" si="186"/>
        <v>#REF!</v>
      </c>
      <c r="AN242" t="e">
        <f t="shared" si="186"/>
        <v>#REF!</v>
      </c>
      <c r="AO242" t="e">
        <f t="shared" si="186"/>
        <v>#REF!</v>
      </c>
      <c r="AP242" t="e">
        <f t="shared" si="186"/>
        <v>#REF!</v>
      </c>
      <c r="AQ242" t="e">
        <f t="shared" si="186"/>
        <v>#REF!</v>
      </c>
      <c r="AR242" t="e">
        <f t="shared" si="176"/>
        <v>#REF!</v>
      </c>
      <c r="AS242" t="e">
        <f t="shared" si="176"/>
        <v>#REF!</v>
      </c>
      <c r="AT242" t="e">
        <f t="shared" si="176"/>
        <v>#REF!</v>
      </c>
      <c r="AU242" t="e">
        <f t="shared" si="176"/>
        <v>#REF!</v>
      </c>
      <c r="AV242" t="e">
        <f t="shared" si="176"/>
        <v>#REF!</v>
      </c>
      <c r="AW242" t="e">
        <f t="shared" si="176"/>
        <v>#REF!</v>
      </c>
      <c r="AX242" t="e">
        <f t="shared" si="176"/>
        <v>#REF!</v>
      </c>
      <c r="AY242" t="e">
        <f t="shared" si="176"/>
        <v>#REF!</v>
      </c>
      <c r="AZ242" t="e">
        <f t="shared" si="176"/>
        <v>#REF!</v>
      </c>
      <c r="BA242" t="e">
        <f t="shared" si="176"/>
        <v>#REF!</v>
      </c>
      <c r="BB242" t="e">
        <f t="shared" si="173"/>
        <v>#REF!</v>
      </c>
      <c r="BC242" t="e">
        <f t="shared" si="173"/>
        <v>#REF!</v>
      </c>
      <c r="BD242" t="e">
        <f t="shared" si="173"/>
        <v>#REF!</v>
      </c>
      <c r="BE242" t="e">
        <f t="shared" si="173"/>
        <v>#REF!</v>
      </c>
      <c r="BF242" t="e">
        <f t="shared" si="173"/>
        <v>#REF!</v>
      </c>
      <c r="BG242" t="e">
        <f t="shared" si="173"/>
        <v>#REF!</v>
      </c>
      <c r="BH242" t="e">
        <f t="shared" si="173"/>
        <v>#REF!</v>
      </c>
      <c r="BI242" t="e">
        <f t="shared" ref="BI242:BX259" si="188">MATCH(CONCATENATE(BI$3,"_",$C242),auto_DataFlat_UID,0)</f>
        <v>#REF!</v>
      </c>
      <c r="BJ242" t="e">
        <f t="shared" si="188"/>
        <v>#REF!</v>
      </c>
      <c r="BK242" t="e">
        <f t="shared" si="188"/>
        <v>#REF!</v>
      </c>
      <c r="BL242" t="e">
        <f t="shared" si="188"/>
        <v>#REF!</v>
      </c>
      <c r="BM242" t="e">
        <f t="shared" si="188"/>
        <v>#REF!</v>
      </c>
      <c r="BN242" t="e">
        <f t="shared" si="188"/>
        <v>#REF!</v>
      </c>
      <c r="BO242" t="e">
        <f t="shared" si="188"/>
        <v>#REF!</v>
      </c>
      <c r="BP242" t="e">
        <f t="shared" si="188"/>
        <v>#REF!</v>
      </c>
      <c r="BQ242" t="e">
        <f t="shared" si="188"/>
        <v>#REF!</v>
      </c>
      <c r="BR242" t="e">
        <f t="shared" si="188"/>
        <v>#REF!</v>
      </c>
      <c r="BS242" t="e">
        <f t="shared" si="188"/>
        <v>#REF!</v>
      </c>
      <c r="BT242" t="e">
        <f t="shared" si="188"/>
        <v>#REF!</v>
      </c>
      <c r="BU242" t="e">
        <f t="shared" si="188"/>
        <v>#REF!</v>
      </c>
      <c r="BV242" t="e">
        <f t="shared" si="188"/>
        <v>#REF!</v>
      </c>
      <c r="BW242" t="e">
        <f t="shared" si="188"/>
        <v>#REF!</v>
      </c>
      <c r="BX242" t="e">
        <f t="shared" si="188"/>
        <v>#REF!</v>
      </c>
      <c r="BY242" t="e">
        <f t="shared" si="187"/>
        <v>#REF!</v>
      </c>
      <c r="BZ242" t="e">
        <f t="shared" si="187"/>
        <v>#REF!</v>
      </c>
      <c r="CA242" t="e">
        <f t="shared" si="187"/>
        <v>#REF!</v>
      </c>
      <c r="CB242" t="e">
        <f t="shared" si="187"/>
        <v>#REF!</v>
      </c>
      <c r="CC242" t="e">
        <f t="shared" si="187"/>
        <v>#REF!</v>
      </c>
      <c r="CD242" t="e">
        <f t="shared" si="187"/>
        <v>#REF!</v>
      </c>
      <c r="CE242" t="e">
        <f t="shared" si="187"/>
        <v>#REF!</v>
      </c>
      <c r="CF242" t="e">
        <f t="shared" si="175"/>
        <v>#REF!</v>
      </c>
      <c r="CG242" t="e">
        <f t="shared" si="175"/>
        <v>#REF!</v>
      </c>
      <c r="CH242" t="e">
        <f t="shared" si="175"/>
        <v>#REF!</v>
      </c>
      <c r="CI242" t="e">
        <f t="shared" si="175"/>
        <v>#REF!</v>
      </c>
      <c r="CJ242" t="e">
        <f t="shared" si="175"/>
        <v>#REF!</v>
      </c>
      <c r="CK242" t="e">
        <f t="shared" si="175"/>
        <v>#REF!</v>
      </c>
      <c r="CL242" t="e">
        <f t="shared" si="175"/>
        <v>#REF!</v>
      </c>
      <c r="CM242" t="e">
        <f t="shared" si="175"/>
        <v>#REF!</v>
      </c>
      <c r="CN242" t="e">
        <f t="shared" si="175"/>
        <v>#REF!</v>
      </c>
      <c r="CO242" t="e">
        <f t="shared" si="175"/>
        <v>#REF!</v>
      </c>
      <c r="CP242" t="e">
        <f t="shared" si="174"/>
        <v>#REF!</v>
      </c>
      <c r="CQ242" t="e">
        <f t="shared" si="174"/>
        <v>#REF!</v>
      </c>
      <c r="CR242" t="e">
        <f t="shared" si="174"/>
        <v>#REF!</v>
      </c>
      <c r="CS242" t="e">
        <f t="shared" si="174"/>
        <v>#REF!</v>
      </c>
      <c r="CT242" t="e">
        <f t="shared" si="174"/>
        <v>#REF!</v>
      </c>
      <c r="CU242" t="e">
        <f t="shared" si="174"/>
        <v>#REF!</v>
      </c>
      <c r="CV242" t="e">
        <f t="shared" si="174"/>
        <v>#REF!</v>
      </c>
      <c r="CW242" t="e">
        <f t="shared" si="174"/>
        <v>#REF!</v>
      </c>
      <c r="CX242" t="e">
        <f t="shared" si="174"/>
        <v>#REF!</v>
      </c>
      <c r="CY242" t="e">
        <f t="shared" si="174"/>
        <v>#REF!</v>
      </c>
      <c r="CZ242" t="e">
        <f t="shared" si="174"/>
        <v>#REF!</v>
      </c>
      <c r="DA242" t="e">
        <f t="shared" si="174"/>
        <v>#REF!</v>
      </c>
      <c r="DB242" t="e">
        <f t="shared" si="174"/>
        <v>#REF!</v>
      </c>
      <c r="DC242" t="e">
        <f t="shared" si="182"/>
        <v>#REF!</v>
      </c>
      <c r="DD242" t="e">
        <f t="shared" si="182"/>
        <v>#REF!</v>
      </c>
      <c r="DE242" t="e">
        <f t="shared" si="182"/>
        <v>#REF!</v>
      </c>
      <c r="DF242" t="e">
        <f t="shared" si="182"/>
        <v>#REF!</v>
      </c>
      <c r="DG242" t="e">
        <f t="shared" si="182"/>
        <v>#REF!</v>
      </c>
      <c r="DH242" t="e">
        <f t="shared" si="182"/>
        <v>#REF!</v>
      </c>
      <c r="DI242" t="e">
        <f t="shared" si="182"/>
        <v>#REF!</v>
      </c>
      <c r="DJ242" t="e">
        <f t="shared" si="180"/>
        <v>#REF!</v>
      </c>
      <c r="DK242" t="e">
        <f t="shared" si="180"/>
        <v>#REF!</v>
      </c>
      <c r="DL242" t="e">
        <f t="shared" si="180"/>
        <v>#REF!</v>
      </c>
      <c r="DM242" t="e">
        <f t="shared" si="180"/>
        <v>#REF!</v>
      </c>
      <c r="DN242" t="e">
        <f t="shared" si="180"/>
        <v>#REF!</v>
      </c>
      <c r="DO242" t="e">
        <f t="shared" si="180"/>
        <v>#REF!</v>
      </c>
      <c r="DP242" t="e">
        <f t="shared" si="180"/>
        <v>#REF!</v>
      </c>
      <c r="DQ242" t="e">
        <f t="shared" si="180"/>
        <v>#REF!</v>
      </c>
      <c r="DR242" t="e">
        <f t="shared" si="180"/>
        <v>#REF!</v>
      </c>
      <c r="DS242" t="e">
        <f t="shared" si="180"/>
        <v>#REF!</v>
      </c>
      <c r="DT242" t="e">
        <f t="shared" si="180"/>
        <v>#REF!</v>
      </c>
      <c r="DU242" t="e">
        <f t="shared" si="180"/>
        <v>#REF!</v>
      </c>
      <c r="DV242" t="e">
        <f t="shared" si="180"/>
        <v>#REF!</v>
      </c>
      <c r="DW242" t="e">
        <f t="shared" si="180"/>
        <v>#REF!</v>
      </c>
      <c r="DX242" t="e">
        <f t="shared" si="180"/>
        <v>#REF!</v>
      </c>
      <c r="DY242" t="e">
        <f t="shared" si="171"/>
        <v>#REF!</v>
      </c>
      <c r="DZ242" t="e">
        <f t="shared" si="171"/>
        <v>#REF!</v>
      </c>
      <c r="EA242" t="e">
        <f t="shared" si="171"/>
        <v>#REF!</v>
      </c>
      <c r="EB242" t="e">
        <f t="shared" si="171"/>
        <v>#REF!</v>
      </c>
      <c r="EC242" t="e">
        <f t="shared" si="171"/>
        <v>#REF!</v>
      </c>
      <c r="ED242" t="e">
        <f t="shared" si="185"/>
        <v>#REF!</v>
      </c>
      <c r="EE242" t="e">
        <f t="shared" si="185"/>
        <v>#REF!</v>
      </c>
      <c r="EF242" t="e">
        <f t="shared" si="185"/>
        <v>#REF!</v>
      </c>
      <c r="EG242" t="e">
        <f t="shared" si="185"/>
        <v>#REF!</v>
      </c>
      <c r="EH242" t="e">
        <f t="shared" si="185"/>
        <v>#REF!</v>
      </c>
      <c r="EI242" t="e">
        <f t="shared" si="185"/>
        <v>#REF!</v>
      </c>
      <c r="EJ242" t="e">
        <f t="shared" si="185"/>
        <v>#REF!</v>
      </c>
      <c r="EK242" t="e">
        <f t="shared" si="185"/>
        <v>#REF!</v>
      </c>
      <c r="EL242" t="e">
        <f t="shared" si="185"/>
        <v>#REF!</v>
      </c>
      <c r="EM242" t="e">
        <f t="shared" si="185"/>
        <v>#REF!</v>
      </c>
    </row>
    <row r="243" spans="1:143" x14ac:dyDescent="0.4">
      <c r="A243" t="str">
        <f t="shared" si="170"/>
        <v>X</v>
      </c>
      <c r="B243">
        <v>240</v>
      </c>
      <c r="C243" t="e" cm="1">
        <f t="array" ref="C243">INDEX(auto_Series_Code,B243)</f>
        <v>#REF!</v>
      </c>
      <c r="D243" t="e">
        <f t="shared" si="184"/>
        <v>#REF!</v>
      </c>
      <c r="E243" t="e">
        <f t="shared" si="184"/>
        <v>#REF!</v>
      </c>
      <c r="F243" t="e">
        <f t="shared" si="184"/>
        <v>#REF!</v>
      </c>
      <c r="G243" t="e">
        <f t="shared" si="184"/>
        <v>#REF!</v>
      </c>
      <c r="H243" t="e">
        <f t="shared" si="184"/>
        <v>#REF!</v>
      </c>
      <c r="I243" t="e">
        <f t="shared" si="184"/>
        <v>#REF!</v>
      </c>
      <c r="J243" t="e">
        <f t="shared" si="184"/>
        <v>#REF!</v>
      </c>
      <c r="K243" t="e">
        <f t="shared" si="184"/>
        <v>#REF!</v>
      </c>
      <c r="L243" t="e">
        <f t="shared" si="184"/>
        <v>#REF!</v>
      </c>
      <c r="M243" t="e">
        <f t="shared" si="184"/>
        <v>#REF!</v>
      </c>
      <c r="N243" t="e">
        <f t="shared" si="184"/>
        <v>#REF!</v>
      </c>
      <c r="O243" t="e">
        <f t="shared" si="184"/>
        <v>#REF!</v>
      </c>
      <c r="P243" t="e">
        <f t="shared" si="184"/>
        <v>#REF!</v>
      </c>
      <c r="Q243" t="e">
        <f t="shared" si="184"/>
        <v>#REF!</v>
      </c>
      <c r="R243" t="e">
        <f t="shared" si="184"/>
        <v>#REF!</v>
      </c>
      <c r="S243" t="e">
        <f t="shared" si="184"/>
        <v>#REF!</v>
      </c>
      <c r="T243" t="e">
        <f t="shared" si="183"/>
        <v>#REF!</v>
      </c>
      <c r="U243" t="e">
        <f t="shared" si="183"/>
        <v>#REF!</v>
      </c>
      <c r="V243" t="e">
        <f t="shared" si="183"/>
        <v>#REF!</v>
      </c>
      <c r="W243" t="e">
        <f t="shared" si="183"/>
        <v>#REF!</v>
      </c>
      <c r="X243" t="e">
        <f t="shared" si="183"/>
        <v>#REF!</v>
      </c>
      <c r="Y243" t="e">
        <f t="shared" si="183"/>
        <v>#REF!</v>
      </c>
      <c r="Z243" t="e">
        <f t="shared" si="183"/>
        <v>#REF!</v>
      </c>
      <c r="AA243" t="e">
        <f t="shared" si="183"/>
        <v>#REF!</v>
      </c>
      <c r="AB243" t="e">
        <f t="shared" si="183"/>
        <v>#REF!</v>
      </c>
      <c r="AC243" t="e">
        <f t="shared" si="183"/>
        <v>#REF!</v>
      </c>
      <c r="AD243" t="e">
        <f t="shared" si="183"/>
        <v>#REF!</v>
      </c>
      <c r="AE243" t="e">
        <f t="shared" si="183"/>
        <v>#REF!</v>
      </c>
      <c r="AF243" t="e">
        <f t="shared" si="183"/>
        <v>#REF!</v>
      </c>
      <c r="AG243" t="e">
        <f t="shared" si="183"/>
        <v>#REF!</v>
      </c>
      <c r="AH243" t="e">
        <f t="shared" si="186"/>
        <v>#REF!</v>
      </c>
      <c r="AI243" t="e">
        <f t="shared" si="186"/>
        <v>#REF!</v>
      </c>
      <c r="AJ243" t="e">
        <f t="shared" si="186"/>
        <v>#REF!</v>
      </c>
      <c r="AK243" t="e">
        <f t="shared" si="186"/>
        <v>#REF!</v>
      </c>
      <c r="AL243" t="e">
        <f t="shared" si="186"/>
        <v>#REF!</v>
      </c>
      <c r="AM243" t="e">
        <f t="shared" si="186"/>
        <v>#REF!</v>
      </c>
      <c r="AN243" t="e">
        <f t="shared" si="186"/>
        <v>#REF!</v>
      </c>
      <c r="AO243" t="e">
        <f t="shared" si="186"/>
        <v>#REF!</v>
      </c>
      <c r="AP243" t="e">
        <f t="shared" si="186"/>
        <v>#REF!</v>
      </c>
      <c r="AQ243" t="e">
        <f t="shared" si="186"/>
        <v>#REF!</v>
      </c>
      <c r="AR243" t="e">
        <f t="shared" si="176"/>
        <v>#REF!</v>
      </c>
      <c r="AS243" t="e">
        <f t="shared" si="176"/>
        <v>#REF!</v>
      </c>
      <c r="AT243" t="e">
        <f t="shared" si="176"/>
        <v>#REF!</v>
      </c>
      <c r="AU243" t="e">
        <f t="shared" si="176"/>
        <v>#REF!</v>
      </c>
      <c r="AV243" t="e">
        <f t="shared" si="176"/>
        <v>#REF!</v>
      </c>
      <c r="AW243" t="e">
        <f t="shared" si="176"/>
        <v>#REF!</v>
      </c>
      <c r="AX243" t="e">
        <f t="shared" si="176"/>
        <v>#REF!</v>
      </c>
      <c r="AY243" t="e">
        <f t="shared" si="176"/>
        <v>#REF!</v>
      </c>
      <c r="AZ243" t="e">
        <f t="shared" si="176"/>
        <v>#REF!</v>
      </c>
      <c r="BA243" t="e">
        <f t="shared" si="176"/>
        <v>#REF!</v>
      </c>
      <c r="BB243" t="e">
        <f t="shared" si="173"/>
        <v>#REF!</v>
      </c>
      <c r="BC243" t="e">
        <f t="shared" si="173"/>
        <v>#REF!</v>
      </c>
      <c r="BD243" t="e">
        <f t="shared" si="173"/>
        <v>#REF!</v>
      </c>
      <c r="BE243" t="e">
        <f t="shared" si="173"/>
        <v>#REF!</v>
      </c>
      <c r="BF243" t="e">
        <f t="shared" si="173"/>
        <v>#REF!</v>
      </c>
      <c r="BG243" t="e">
        <f t="shared" si="173"/>
        <v>#REF!</v>
      </c>
      <c r="BH243" t="e">
        <f t="shared" si="173"/>
        <v>#REF!</v>
      </c>
      <c r="BI243" t="e">
        <f t="shared" si="188"/>
        <v>#REF!</v>
      </c>
      <c r="BJ243" t="e">
        <f t="shared" si="188"/>
        <v>#REF!</v>
      </c>
      <c r="BK243" t="e">
        <f t="shared" si="188"/>
        <v>#REF!</v>
      </c>
      <c r="BL243" t="e">
        <f t="shared" si="188"/>
        <v>#REF!</v>
      </c>
      <c r="BM243" t="e">
        <f t="shared" si="188"/>
        <v>#REF!</v>
      </c>
      <c r="BN243" t="e">
        <f t="shared" si="188"/>
        <v>#REF!</v>
      </c>
      <c r="BO243" t="e">
        <f t="shared" si="188"/>
        <v>#REF!</v>
      </c>
      <c r="BP243" t="e">
        <f t="shared" si="188"/>
        <v>#REF!</v>
      </c>
      <c r="BQ243" t="e">
        <f t="shared" si="188"/>
        <v>#REF!</v>
      </c>
      <c r="BR243" t="e">
        <f t="shared" si="188"/>
        <v>#REF!</v>
      </c>
      <c r="BS243" t="e">
        <f t="shared" si="188"/>
        <v>#REF!</v>
      </c>
      <c r="BT243" t="e">
        <f t="shared" si="188"/>
        <v>#REF!</v>
      </c>
      <c r="BU243" t="e">
        <f t="shared" si="188"/>
        <v>#REF!</v>
      </c>
      <c r="BV243" t="e">
        <f t="shared" si="188"/>
        <v>#REF!</v>
      </c>
      <c r="BW243" t="e">
        <f t="shared" si="188"/>
        <v>#REF!</v>
      </c>
      <c r="BX243" t="e">
        <f t="shared" si="188"/>
        <v>#REF!</v>
      </c>
      <c r="BY243" t="e">
        <f t="shared" si="187"/>
        <v>#REF!</v>
      </c>
      <c r="BZ243" t="e">
        <f t="shared" si="187"/>
        <v>#REF!</v>
      </c>
      <c r="CA243" t="e">
        <f t="shared" si="187"/>
        <v>#REF!</v>
      </c>
      <c r="CB243" t="e">
        <f t="shared" si="187"/>
        <v>#REF!</v>
      </c>
      <c r="CC243" t="e">
        <f t="shared" si="187"/>
        <v>#REF!</v>
      </c>
      <c r="CD243" t="e">
        <f t="shared" si="187"/>
        <v>#REF!</v>
      </c>
      <c r="CE243" t="e">
        <f t="shared" si="187"/>
        <v>#REF!</v>
      </c>
      <c r="CF243" t="e">
        <f t="shared" si="175"/>
        <v>#REF!</v>
      </c>
      <c r="CG243" t="e">
        <f t="shared" si="175"/>
        <v>#REF!</v>
      </c>
      <c r="CH243" t="e">
        <f t="shared" si="175"/>
        <v>#REF!</v>
      </c>
      <c r="CI243" t="e">
        <f t="shared" si="175"/>
        <v>#REF!</v>
      </c>
      <c r="CJ243" t="e">
        <f t="shared" si="175"/>
        <v>#REF!</v>
      </c>
      <c r="CK243" t="e">
        <f t="shared" si="175"/>
        <v>#REF!</v>
      </c>
      <c r="CL243" t="e">
        <f t="shared" si="175"/>
        <v>#REF!</v>
      </c>
      <c r="CM243" t="e">
        <f t="shared" si="175"/>
        <v>#REF!</v>
      </c>
      <c r="CN243" t="e">
        <f t="shared" si="175"/>
        <v>#REF!</v>
      </c>
      <c r="CO243" t="e">
        <f t="shared" si="175"/>
        <v>#REF!</v>
      </c>
      <c r="CP243" t="e">
        <f t="shared" si="175"/>
        <v>#REF!</v>
      </c>
      <c r="CQ243" t="e">
        <f t="shared" si="175"/>
        <v>#REF!</v>
      </c>
      <c r="CR243" t="e">
        <f t="shared" si="175"/>
        <v>#REF!</v>
      </c>
      <c r="CS243" t="e">
        <f t="shared" si="175"/>
        <v>#REF!</v>
      </c>
      <c r="CT243" t="e">
        <f t="shared" si="175"/>
        <v>#REF!</v>
      </c>
      <c r="CU243" t="e">
        <f t="shared" si="175"/>
        <v>#REF!</v>
      </c>
      <c r="CV243" t="e">
        <f t="shared" ref="CV243:DK263" si="189">MATCH(CONCATENATE(CV$3,"_",$C243),auto_DataFlat_UID,0)</f>
        <v>#REF!</v>
      </c>
      <c r="CW243" t="e">
        <f t="shared" si="189"/>
        <v>#REF!</v>
      </c>
      <c r="CX243" t="e">
        <f t="shared" si="189"/>
        <v>#REF!</v>
      </c>
      <c r="CY243" t="e">
        <f t="shared" si="189"/>
        <v>#REF!</v>
      </c>
      <c r="CZ243" t="e">
        <f t="shared" si="189"/>
        <v>#REF!</v>
      </c>
      <c r="DA243" t="e">
        <f t="shared" si="189"/>
        <v>#REF!</v>
      </c>
      <c r="DB243" t="e">
        <f t="shared" si="189"/>
        <v>#REF!</v>
      </c>
      <c r="DC243" t="e">
        <f t="shared" si="189"/>
        <v>#REF!</v>
      </c>
      <c r="DD243" t="e">
        <f t="shared" si="189"/>
        <v>#REF!</v>
      </c>
      <c r="DE243" t="e">
        <f t="shared" si="189"/>
        <v>#REF!</v>
      </c>
      <c r="DF243" t="e">
        <f t="shared" si="189"/>
        <v>#REF!</v>
      </c>
      <c r="DG243" t="e">
        <f t="shared" si="189"/>
        <v>#REF!</v>
      </c>
      <c r="DH243" t="e">
        <f t="shared" si="189"/>
        <v>#REF!</v>
      </c>
      <c r="DI243" t="e">
        <f t="shared" si="189"/>
        <v>#REF!</v>
      </c>
      <c r="DJ243" t="e">
        <f t="shared" si="180"/>
        <v>#REF!</v>
      </c>
      <c r="DK243" t="e">
        <f t="shared" si="180"/>
        <v>#REF!</v>
      </c>
      <c r="DL243" t="e">
        <f t="shared" si="180"/>
        <v>#REF!</v>
      </c>
      <c r="DM243" t="e">
        <f t="shared" si="180"/>
        <v>#REF!</v>
      </c>
      <c r="DN243" t="e">
        <f t="shared" si="180"/>
        <v>#REF!</v>
      </c>
      <c r="DO243" t="e">
        <f t="shared" si="180"/>
        <v>#REF!</v>
      </c>
      <c r="DP243" t="e">
        <f t="shared" si="180"/>
        <v>#REF!</v>
      </c>
      <c r="DQ243" t="e">
        <f t="shared" si="180"/>
        <v>#REF!</v>
      </c>
      <c r="DR243" t="e">
        <f t="shared" si="180"/>
        <v>#REF!</v>
      </c>
      <c r="DS243" t="e">
        <f t="shared" si="180"/>
        <v>#REF!</v>
      </c>
      <c r="DT243" t="e">
        <f t="shared" si="180"/>
        <v>#REF!</v>
      </c>
      <c r="DU243" t="e">
        <f t="shared" si="180"/>
        <v>#REF!</v>
      </c>
      <c r="DV243" t="e">
        <f t="shared" si="180"/>
        <v>#REF!</v>
      </c>
      <c r="DW243" t="e">
        <f t="shared" si="180"/>
        <v>#REF!</v>
      </c>
      <c r="DX243" t="e">
        <f t="shared" si="180"/>
        <v>#REF!</v>
      </c>
      <c r="DY243" t="e">
        <f t="shared" si="171"/>
        <v>#REF!</v>
      </c>
      <c r="DZ243" t="e">
        <f t="shared" si="171"/>
        <v>#REF!</v>
      </c>
      <c r="EA243" t="e">
        <f t="shared" si="171"/>
        <v>#REF!</v>
      </c>
      <c r="EB243" t="e">
        <f t="shared" si="171"/>
        <v>#REF!</v>
      </c>
      <c r="EC243" t="e">
        <f t="shared" si="171"/>
        <v>#REF!</v>
      </c>
      <c r="ED243" t="e">
        <f t="shared" si="185"/>
        <v>#REF!</v>
      </c>
      <c r="EE243" t="e">
        <f t="shared" si="185"/>
        <v>#REF!</v>
      </c>
      <c r="EF243" t="e">
        <f t="shared" si="185"/>
        <v>#REF!</v>
      </c>
      <c r="EG243" t="e">
        <f t="shared" si="185"/>
        <v>#REF!</v>
      </c>
      <c r="EH243" t="e">
        <f t="shared" si="185"/>
        <v>#REF!</v>
      </c>
      <c r="EI243" t="e">
        <f t="shared" si="185"/>
        <v>#REF!</v>
      </c>
      <c r="EJ243" t="e">
        <f t="shared" si="185"/>
        <v>#REF!</v>
      </c>
      <c r="EK243" t="e">
        <f t="shared" si="185"/>
        <v>#REF!</v>
      </c>
      <c r="EL243" t="e">
        <f t="shared" si="185"/>
        <v>#REF!</v>
      </c>
      <c r="EM243" t="e">
        <f t="shared" si="185"/>
        <v>#REF!</v>
      </c>
    </row>
    <row r="244" spans="1:143" x14ac:dyDescent="0.4">
      <c r="A244" t="str">
        <f t="shared" si="170"/>
        <v>X</v>
      </c>
      <c r="B244">
        <v>241</v>
      </c>
      <c r="C244" t="e" cm="1">
        <f t="array" ref="C244">INDEX(auto_Series_Code,B244)</f>
        <v>#REF!</v>
      </c>
      <c r="D244" t="e">
        <f t="shared" si="184"/>
        <v>#REF!</v>
      </c>
      <c r="E244" t="e">
        <f t="shared" si="184"/>
        <v>#REF!</v>
      </c>
      <c r="F244" t="e">
        <f t="shared" si="184"/>
        <v>#REF!</v>
      </c>
      <c r="G244" t="e">
        <f t="shared" si="184"/>
        <v>#REF!</v>
      </c>
      <c r="H244" t="e">
        <f t="shared" si="184"/>
        <v>#REF!</v>
      </c>
      <c r="I244" t="e">
        <f t="shared" si="184"/>
        <v>#REF!</v>
      </c>
      <c r="J244" t="e">
        <f t="shared" si="184"/>
        <v>#REF!</v>
      </c>
      <c r="K244" t="e">
        <f t="shared" si="184"/>
        <v>#REF!</v>
      </c>
      <c r="L244" t="e">
        <f t="shared" si="184"/>
        <v>#REF!</v>
      </c>
      <c r="M244" t="e">
        <f t="shared" si="184"/>
        <v>#REF!</v>
      </c>
      <c r="N244" t="e">
        <f t="shared" si="184"/>
        <v>#REF!</v>
      </c>
      <c r="O244" t="e">
        <f t="shared" si="184"/>
        <v>#REF!</v>
      </c>
      <c r="P244" t="e">
        <f t="shared" si="184"/>
        <v>#REF!</v>
      </c>
      <c r="Q244" t="e">
        <f t="shared" si="184"/>
        <v>#REF!</v>
      </c>
      <c r="R244" t="e">
        <f t="shared" si="184"/>
        <v>#REF!</v>
      </c>
      <c r="S244" t="e">
        <f t="shared" si="184"/>
        <v>#REF!</v>
      </c>
      <c r="T244" t="e">
        <f t="shared" si="183"/>
        <v>#REF!</v>
      </c>
      <c r="U244" t="e">
        <f t="shared" si="183"/>
        <v>#REF!</v>
      </c>
      <c r="V244" t="e">
        <f t="shared" si="183"/>
        <v>#REF!</v>
      </c>
      <c r="W244" t="e">
        <f t="shared" si="183"/>
        <v>#REF!</v>
      </c>
      <c r="X244" t="e">
        <f t="shared" si="183"/>
        <v>#REF!</v>
      </c>
      <c r="Y244" t="e">
        <f t="shared" si="183"/>
        <v>#REF!</v>
      </c>
      <c r="Z244" t="e">
        <f t="shared" si="183"/>
        <v>#REF!</v>
      </c>
      <c r="AA244" t="e">
        <f t="shared" si="183"/>
        <v>#REF!</v>
      </c>
      <c r="AB244" t="e">
        <f t="shared" si="183"/>
        <v>#REF!</v>
      </c>
      <c r="AC244" t="e">
        <f t="shared" si="183"/>
        <v>#REF!</v>
      </c>
      <c r="AD244" t="e">
        <f t="shared" si="183"/>
        <v>#REF!</v>
      </c>
      <c r="AE244" t="e">
        <f t="shared" si="183"/>
        <v>#REF!</v>
      </c>
      <c r="AF244" t="e">
        <f t="shared" si="183"/>
        <v>#REF!</v>
      </c>
      <c r="AG244" t="e">
        <f t="shared" si="183"/>
        <v>#REF!</v>
      </c>
      <c r="AH244" t="e">
        <f t="shared" si="186"/>
        <v>#REF!</v>
      </c>
      <c r="AI244" t="e">
        <f t="shared" si="186"/>
        <v>#REF!</v>
      </c>
      <c r="AJ244" t="e">
        <f t="shared" si="186"/>
        <v>#REF!</v>
      </c>
      <c r="AK244" t="e">
        <f t="shared" si="186"/>
        <v>#REF!</v>
      </c>
      <c r="AL244" t="e">
        <f t="shared" si="186"/>
        <v>#REF!</v>
      </c>
      <c r="AM244" t="e">
        <f t="shared" si="186"/>
        <v>#REF!</v>
      </c>
      <c r="AN244" t="e">
        <f t="shared" si="186"/>
        <v>#REF!</v>
      </c>
      <c r="AO244" t="e">
        <f t="shared" si="186"/>
        <v>#REF!</v>
      </c>
      <c r="AP244" t="e">
        <f t="shared" si="186"/>
        <v>#REF!</v>
      </c>
      <c r="AQ244" t="e">
        <f t="shared" si="186"/>
        <v>#REF!</v>
      </c>
      <c r="AR244" t="e">
        <f t="shared" si="176"/>
        <v>#REF!</v>
      </c>
      <c r="AS244" t="e">
        <f t="shared" si="176"/>
        <v>#REF!</v>
      </c>
      <c r="AT244" t="e">
        <f t="shared" si="176"/>
        <v>#REF!</v>
      </c>
      <c r="AU244" t="e">
        <f t="shared" si="176"/>
        <v>#REF!</v>
      </c>
      <c r="AV244" t="e">
        <f t="shared" si="176"/>
        <v>#REF!</v>
      </c>
      <c r="AW244" t="e">
        <f t="shared" si="176"/>
        <v>#REF!</v>
      </c>
      <c r="AX244" t="e">
        <f t="shared" si="176"/>
        <v>#REF!</v>
      </c>
      <c r="AY244" t="e">
        <f t="shared" si="176"/>
        <v>#REF!</v>
      </c>
      <c r="AZ244" t="e">
        <f t="shared" si="176"/>
        <v>#REF!</v>
      </c>
      <c r="BA244" t="e">
        <f t="shared" si="176"/>
        <v>#REF!</v>
      </c>
      <c r="BB244" t="e">
        <f t="shared" si="173"/>
        <v>#REF!</v>
      </c>
      <c r="BC244" t="e">
        <f t="shared" si="173"/>
        <v>#REF!</v>
      </c>
      <c r="BD244" t="e">
        <f t="shared" si="173"/>
        <v>#REF!</v>
      </c>
      <c r="BE244" t="e">
        <f t="shared" si="173"/>
        <v>#REF!</v>
      </c>
      <c r="BF244" t="e">
        <f t="shared" si="173"/>
        <v>#REF!</v>
      </c>
      <c r="BG244" t="e">
        <f t="shared" si="173"/>
        <v>#REF!</v>
      </c>
      <c r="BH244" t="e">
        <f t="shared" si="173"/>
        <v>#REF!</v>
      </c>
      <c r="BI244" t="e">
        <f t="shared" si="188"/>
        <v>#REF!</v>
      </c>
      <c r="BJ244" t="e">
        <f t="shared" si="188"/>
        <v>#REF!</v>
      </c>
      <c r="BK244" t="e">
        <f t="shared" si="188"/>
        <v>#REF!</v>
      </c>
      <c r="BL244" t="e">
        <f t="shared" si="188"/>
        <v>#REF!</v>
      </c>
      <c r="BM244" t="e">
        <f t="shared" si="188"/>
        <v>#REF!</v>
      </c>
      <c r="BN244" t="e">
        <f t="shared" si="188"/>
        <v>#REF!</v>
      </c>
      <c r="BO244" t="e">
        <f t="shared" si="188"/>
        <v>#REF!</v>
      </c>
      <c r="BP244" t="e">
        <f t="shared" si="188"/>
        <v>#REF!</v>
      </c>
      <c r="BQ244" t="e">
        <f t="shared" si="188"/>
        <v>#REF!</v>
      </c>
      <c r="BR244" t="e">
        <f t="shared" si="188"/>
        <v>#REF!</v>
      </c>
      <c r="BS244" t="e">
        <f t="shared" si="188"/>
        <v>#REF!</v>
      </c>
      <c r="BT244" t="e">
        <f t="shared" si="188"/>
        <v>#REF!</v>
      </c>
      <c r="BU244" t="e">
        <f t="shared" si="188"/>
        <v>#REF!</v>
      </c>
      <c r="BV244" t="e">
        <f t="shared" si="188"/>
        <v>#REF!</v>
      </c>
      <c r="BW244" t="e">
        <f t="shared" si="188"/>
        <v>#REF!</v>
      </c>
      <c r="BX244" t="e">
        <f t="shared" si="188"/>
        <v>#REF!</v>
      </c>
      <c r="BY244" t="e">
        <f t="shared" si="187"/>
        <v>#REF!</v>
      </c>
      <c r="BZ244" t="e">
        <f t="shared" si="187"/>
        <v>#REF!</v>
      </c>
      <c r="CA244" t="e">
        <f t="shared" si="187"/>
        <v>#REF!</v>
      </c>
      <c r="CB244" t="e">
        <f t="shared" si="187"/>
        <v>#REF!</v>
      </c>
      <c r="CC244" t="e">
        <f t="shared" si="187"/>
        <v>#REF!</v>
      </c>
      <c r="CD244" t="e">
        <f t="shared" si="187"/>
        <v>#REF!</v>
      </c>
      <c r="CE244" t="e">
        <f t="shared" si="187"/>
        <v>#REF!</v>
      </c>
      <c r="CF244" t="e">
        <f t="shared" si="175"/>
        <v>#REF!</v>
      </c>
      <c r="CG244" t="e">
        <f t="shared" si="175"/>
        <v>#REF!</v>
      </c>
      <c r="CH244" t="e">
        <f t="shared" si="175"/>
        <v>#REF!</v>
      </c>
      <c r="CI244" t="e">
        <f t="shared" si="175"/>
        <v>#REF!</v>
      </c>
      <c r="CJ244" t="e">
        <f t="shared" si="175"/>
        <v>#REF!</v>
      </c>
      <c r="CK244" t="e">
        <f t="shared" si="175"/>
        <v>#REF!</v>
      </c>
      <c r="CL244" t="e">
        <f t="shared" si="175"/>
        <v>#REF!</v>
      </c>
      <c r="CM244" t="e">
        <f t="shared" si="175"/>
        <v>#REF!</v>
      </c>
      <c r="CN244" t="e">
        <f t="shared" si="175"/>
        <v>#REF!</v>
      </c>
      <c r="CO244" t="e">
        <f t="shared" si="175"/>
        <v>#REF!</v>
      </c>
      <c r="CP244" t="e">
        <f t="shared" si="175"/>
        <v>#REF!</v>
      </c>
      <c r="CQ244" t="e">
        <f t="shared" si="175"/>
        <v>#REF!</v>
      </c>
      <c r="CR244" t="e">
        <f t="shared" si="175"/>
        <v>#REF!</v>
      </c>
      <c r="CS244" t="e">
        <f t="shared" si="175"/>
        <v>#REF!</v>
      </c>
      <c r="CT244" t="e">
        <f t="shared" si="175"/>
        <v>#REF!</v>
      </c>
      <c r="CU244" t="e">
        <f t="shared" si="175"/>
        <v>#REF!</v>
      </c>
      <c r="CV244" t="e">
        <f t="shared" si="189"/>
        <v>#REF!</v>
      </c>
      <c r="CW244" t="e">
        <f t="shared" si="189"/>
        <v>#REF!</v>
      </c>
      <c r="CX244" t="e">
        <f t="shared" si="189"/>
        <v>#REF!</v>
      </c>
      <c r="CY244" t="e">
        <f t="shared" si="189"/>
        <v>#REF!</v>
      </c>
      <c r="CZ244" t="e">
        <f t="shared" si="189"/>
        <v>#REF!</v>
      </c>
      <c r="DA244" t="e">
        <f t="shared" si="189"/>
        <v>#REF!</v>
      </c>
      <c r="DB244" t="e">
        <f t="shared" si="189"/>
        <v>#REF!</v>
      </c>
      <c r="DC244" t="e">
        <f t="shared" si="189"/>
        <v>#REF!</v>
      </c>
      <c r="DD244" t="e">
        <f t="shared" si="189"/>
        <v>#REF!</v>
      </c>
      <c r="DE244" t="e">
        <f t="shared" si="189"/>
        <v>#REF!</v>
      </c>
      <c r="DF244" t="e">
        <f t="shared" si="189"/>
        <v>#REF!</v>
      </c>
      <c r="DG244" t="e">
        <f t="shared" si="189"/>
        <v>#REF!</v>
      </c>
      <c r="DH244" t="e">
        <f t="shared" si="189"/>
        <v>#REF!</v>
      </c>
      <c r="DI244" t="e">
        <f t="shared" si="189"/>
        <v>#REF!</v>
      </c>
      <c r="DJ244" t="e">
        <f t="shared" si="180"/>
        <v>#REF!</v>
      </c>
      <c r="DK244" t="e">
        <f t="shared" si="180"/>
        <v>#REF!</v>
      </c>
      <c r="DL244" t="e">
        <f t="shared" si="180"/>
        <v>#REF!</v>
      </c>
      <c r="DM244" t="e">
        <f t="shared" si="180"/>
        <v>#REF!</v>
      </c>
      <c r="DN244" t="e">
        <f t="shared" si="180"/>
        <v>#REF!</v>
      </c>
      <c r="DO244" t="e">
        <f t="shared" si="180"/>
        <v>#REF!</v>
      </c>
      <c r="DP244" t="e">
        <f t="shared" si="180"/>
        <v>#REF!</v>
      </c>
      <c r="DQ244" t="e">
        <f t="shared" si="180"/>
        <v>#REF!</v>
      </c>
      <c r="DR244" t="e">
        <f t="shared" si="180"/>
        <v>#REF!</v>
      </c>
      <c r="DS244" t="e">
        <f t="shared" si="180"/>
        <v>#REF!</v>
      </c>
      <c r="DT244" t="e">
        <f t="shared" si="180"/>
        <v>#REF!</v>
      </c>
      <c r="DU244" t="e">
        <f t="shared" si="180"/>
        <v>#REF!</v>
      </c>
      <c r="DV244" t="e">
        <f t="shared" si="180"/>
        <v>#REF!</v>
      </c>
      <c r="DW244" t="e">
        <f t="shared" si="180"/>
        <v>#REF!</v>
      </c>
      <c r="DX244" t="e">
        <f t="shared" ref="DX244:DY244" si="190">MATCH(CONCATENATE(DX$3,"_",$C244),auto_DataFlat_UID,0)</f>
        <v>#REF!</v>
      </c>
      <c r="DY244" t="e">
        <f t="shared" si="190"/>
        <v>#REF!</v>
      </c>
      <c r="DZ244" t="e">
        <f t="shared" si="171"/>
        <v>#REF!</v>
      </c>
      <c r="EA244" t="e">
        <f t="shared" si="171"/>
        <v>#REF!</v>
      </c>
      <c r="EB244" t="e">
        <f t="shared" si="171"/>
        <v>#REF!</v>
      </c>
      <c r="EC244" t="e">
        <f t="shared" si="171"/>
        <v>#REF!</v>
      </c>
      <c r="ED244" t="e">
        <f t="shared" si="185"/>
        <v>#REF!</v>
      </c>
      <c r="EE244" t="e">
        <f t="shared" si="185"/>
        <v>#REF!</v>
      </c>
      <c r="EF244" t="e">
        <f t="shared" si="185"/>
        <v>#REF!</v>
      </c>
      <c r="EG244" t="e">
        <f t="shared" si="185"/>
        <v>#REF!</v>
      </c>
      <c r="EH244" t="e">
        <f t="shared" si="185"/>
        <v>#REF!</v>
      </c>
      <c r="EI244" t="e">
        <f t="shared" si="185"/>
        <v>#REF!</v>
      </c>
      <c r="EJ244" t="e">
        <f t="shared" si="185"/>
        <v>#REF!</v>
      </c>
      <c r="EK244" t="e">
        <f t="shared" si="185"/>
        <v>#REF!</v>
      </c>
      <c r="EL244" t="e">
        <f t="shared" si="185"/>
        <v>#REF!</v>
      </c>
      <c r="EM244" t="e">
        <f t="shared" si="185"/>
        <v>#REF!</v>
      </c>
    </row>
    <row r="245" spans="1:143" x14ac:dyDescent="0.4">
      <c r="A245" t="str">
        <f t="shared" si="170"/>
        <v>X</v>
      </c>
      <c r="B245">
        <v>242</v>
      </c>
      <c r="C245" t="e" cm="1">
        <f t="array" ref="C245">INDEX(auto_Series_Code,B245)</f>
        <v>#REF!</v>
      </c>
      <c r="D245" t="e">
        <f t="shared" si="184"/>
        <v>#REF!</v>
      </c>
      <c r="E245" t="e">
        <f t="shared" si="184"/>
        <v>#REF!</v>
      </c>
      <c r="F245" t="e">
        <f t="shared" si="184"/>
        <v>#REF!</v>
      </c>
      <c r="G245" t="e">
        <f t="shared" si="184"/>
        <v>#REF!</v>
      </c>
      <c r="H245" t="e">
        <f t="shared" si="184"/>
        <v>#REF!</v>
      </c>
      <c r="I245" t="e">
        <f t="shared" si="184"/>
        <v>#REF!</v>
      </c>
      <c r="J245" t="e">
        <f t="shared" si="184"/>
        <v>#REF!</v>
      </c>
      <c r="K245" t="e">
        <f t="shared" si="184"/>
        <v>#REF!</v>
      </c>
      <c r="L245" t="e">
        <f t="shared" si="184"/>
        <v>#REF!</v>
      </c>
      <c r="M245" t="e">
        <f t="shared" si="184"/>
        <v>#REF!</v>
      </c>
      <c r="N245" t="e">
        <f t="shared" si="184"/>
        <v>#REF!</v>
      </c>
      <c r="O245" t="e">
        <f t="shared" si="184"/>
        <v>#REF!</v>
      </c>
      <c r="P245" t="e">
        <f t="shared" si="184"/>
        <v>#REF!</v>
      </c>
      <c r="Q245" t="e">
        <f t="shared" si="184"/>
        <v>#REF!</v>
      </c>
      <c r="R245" t="e">
        <f t="shared" si="184"/>
        <v>#REF!</v>
      </c>
      <c r="S245" t="e">
        <f t="shared" si="184"/>
        <v>#REF!</v>
      </c>
      <c r="T245" t="e">
        <f t="shared" si="183"/>
        <v>#REF!</v>
      </c>
      <c r="U245" t="e">
        <f t="shared" si="183"/>
        <v>#REF!</v>
      </c>
      <c r="V245" t="e">
        <f t="shared" si="183"/>
        <v>#REF!</v>
      </c>
      <c r="W245" t="e">
        <f t="shared" si="183"/>
        <v>#REF!</v>
      </c>
      <c r="X245" t="e">
        <f t="shared" si="183"/>
        <v>#REF!</v>
      </c>
      <c r="Y245" t="e">
        <f t="shared" si="183"/>
        <v>#REF!</v>
      </c>
      <c r="Z245" t="e">
        <f t="shared" si="183"/>
        <v>#REF!</v>
      </c>
      <c r="AA245" t="e">
        <f t="shared" si="183"/>
        <v>#REF!</v>
      </c>
      <c r="AB245" t="e">
        <f t="shared" si="183"/>
        <v>#REF!</v>
      </c>
      <c r="AC245" t="e">
        <f t="shared" si="183"/>
        <v>#REF!</v>
      </c>
      <c r="AD245" t="e">
        <f t="shared" si="183"/>
        <v>#REF!</v>
      </c>
      <c r="AE245" t="e">
        <f t="shared" si="183"/>
        <v>#REF!</v>
      </c>
      <c r="AF245" t="e">
        <f t="shared" si="183"/>
        <v>#REF!</v>
      </c>
      <c r="AG245" t="e">
        <f t="shared" si="183"/>
        <v>#REF!</v>
      </c>
      <c r="AH245" t="e">
        <f t="shared" si="186"/>
        <v>#REF!</v>
      </c>
      <c r="AI245" t="e">
        <f t="shared" si="186"/>
        <v>#REF!</v>
      </c>
      <c r="AJ245" t="e">
        <f t="shared" si="186"/>
        <v>#REF!</v>
      </c>
      <c r="AK245" t="e">
        <f t="shared" si="186"/>
        <v>#REF!</v>
      </c>
      <c r="AL245" t="e">
        <f t="shared" si="186"/>
        <v>#REF!</v>
      </c>
      <c r="AM245" t="e">
        <f t="shared" si="186"/>
        <v>#REF!</v>
      </c>
      <c r="AN245" t="e">
        <f t="shared" si="186"/>
        <v>#REF!</v>
      </c>
      <c r="AO245" t="e">
        <f t="shared" si="186"/>
        <v>#REF!</v>
      </c>
      <c r="AP245" t="e">
        <f t="shared" si="186"/>
        <v>#REF!</v>
      </c>
      <c r="AQ245" t="e">
        <f t="shared" si="186"/>
        <v>#REF!</v>
      </c>
      <c r="AR245" t="e">
        <f t="shared" si="176"/>
        <v>#REF!</v>
      </c>
      <c r="AS245" t="e">
        <f t="shared" si="176"/>
        <v>#REF!</v>
      </c>
      <c r="AT245" t="e">
        <f t="shared" si="176"/>
        <v>#REF!</v>
      </c>
      <c r="AU245" t="e">
        <f t="shared" si="176"/>
        <v>#REF!</v>
      </c>
      <c r="AV245" t="e">
        <f t="shared" si="176"/>
        <v>#REF!</v>
      </c>
      <c r="AW245" t="e">
        <f t="shared" si="176"/>
        <v>#REF!</v>
      </c>
      <c r="AX245" t="e">
        <f t="shared" si="176"/>
        <v>#REF!</v>
      </c>
      <c r="AY245" t="e">
        <f t="shared" si="176"/>
        <v>#REF!</v>
      </c>
      <c r="AZ245" t="e">
        <f t="shared" si="176"/>
        <v>#REF!</v>
      </c>
      <c r="BA245" t="e">
        <f t="shared" si="176"/>
        <v>#REF!</v>
      </c>
      <c r="BB245" t="e">
        <f t="shared" si="173"/>
        <v>#REF!</v>
      </c>
      <c r="BC245" t="e">
        <f t="shared" si="173"/>
        <v>#REF!</v>
      </c>
      <c r="BD245" t="e">
        <f t="shared" si="173"/>
        <v>#REF!</v>
      </c>
      <c r="BE245" t="e">
        <f t="shared" si="173"/>
        <v>#REF!</v>
      </c>
      <c r="BF245" t="e">
        <f t="shared" si="173"/>
        <v>#REF!</v>
      </c>
      <c r="BG245" t="e">
        <f t="shared" si="173"/>
        <v>#REF!</v>
      </c>
      <c r="BH245" t="e">
        <f t="shared" si="173"/>
        <v>#REF!</v>
      </c>
      <c r="BI245" t="e">
        <f t="shared" si="188"/>
        <v>#REF!</v>
      </c>
      <c r="BJ245" t="e">
        <f t="shared" si="188"/>
        <v>#REF!</v>
      </c>
      <c r="BK245" t="e">
        <f t="shared" si="188"/>
        <v>#REF!</v>
      </c>
      <c r="BL245" t="e">
        <f t="shared" si="188"/>
        <v>#REF!</v>
      </c>
      <c r="BM245" t="e">
        <f t="shared" si="188"/>
        <v>#REF!</v>
      </c>
      <c r="BN245" t="e">
        <f t="shared" si="188"/>
        <v>#REF!</v>
      </c>
      <c r="BO245" t="e">
        <f t="shared" si="188"/>
        <v>#REF!</v>
      </c>
      <c r="BP245" t="e">
        <f t="shared" si="188"/>
        <v>#REF!</v>
      </c>
      <c r="BQ245" t="e">
        <f t="shared" si="188"/>
        <v>#REF!</v>
      </c>
      <c r="BR245" t="e">
        <f t="shared" si="188"/>
        <v>#REF!</v>
      </c>
      <c r="BS245" t="e">
        <f t="shared" si="188"/>
        <v>#REF!</v>
      </c>
      <c r="BT245" t="e">
        <f t="shared" si="188"/>
        <v>#REF!</v>
      </c>
      <c r="BU245" t="e">
        <f t="shared" si="188"/>
        <v>#REF!</v>
      </c>
      <c r="BV245" t="e">
        <f t="shared" si="188"/>
        <v>#REF!</v>
      </c>
      <c r="BW245" t="e">
        <f t="shared" si="188"/>
        <v>#REF!</v>
      </c>
      <c r="BX245" t="e">
        <f t="shared" si="188"/>
        <v>#REF!</v>
      </c>
      <c r="BY245" t="e">
        <f t="shared" si="187"/>
        <v>#REF!</v>
      </c>
      <c r="BZ245" t="e">
        <f t="shared" si="187"/>
        <v>#REF!</v>
      </c>
      <c r="CA245" t="e">
        <f t="shared" si="187"/>
        <v>#REF!</v>
      </c>
      <c r="CB245" t="e">
        <f t="shared" si="187"/>
        <v>#REF!</v>
      </c>
      <c r="CC245" t="e">
        <f t="shared" si="187"/>
        <v>#REF!</v>
      </c>
      <c r="CD245" t="e">
        <f t="shared" si="187"/>
        <v>#REF!</v>
      </c>
      <c r="CE245" t="e">
        <f t="shared" si="187"/>
        <v>#REF!</v>
      </c>
      <c r="CF245" t="e">
        <f t="shared" si="175"/>
        <v>#REF!</v>
      </c>
      <c r="CG245" t="e">
        <f t="shared" si="175"/>
        <v>#REF!</v>
      </c>
      <c r="CH245" t="e">
        <f t="shared" si="175"/>
        <v>#REF!</v>
      </c>
      <c r="CI245" t="e">
        <f t="shared" si="175"/>
        <v>#REF!</v>
      </c>
      <c r="CJ245" t="e">
        <f t="shared" si="175"/>
        <v>#REF!</v>
      </c>
      <c r="CK245" t="e">
        <f t="shared" si="175"/>
        <v>#REF!</v>
      </c>
      <c r="CL245" t="e">
        <f t="shared" si="175"/>
        <v>#REF!</v>
      </c>
      <c r="CM245" t="e">
        <f t="shared" si="175"/>
        <v>#REF!</v>
      </c>
      <c r="CN245" t="e">
        <f t="shared" si="175"/>
        <v>#REF!</v>
      </c>
      <c r="CO245" t="e">
        <f t="shared" si="175"/>
        <v>#REF!</v>
      </c>
      <c r="CP245" t="e">
        <f t="shared" si="175"/>
        <v>#REF!</v>
      </c>
      <c r="CQ245" t="e">
        <f t="shared" si="175"/>
        <v>#REF!</v>
      </c>
      <c r="CR245" t="e">
        <f t="shared" si="175"/>
        <v>#REF!</v>
      </c>
      <c r="CS245" t="e">
        <f t="shared" si="175"/>
        <v>#REF!</v>
      </c>
      <c r="CT245" t="e">
        <f t="shared" si="175"/>
        <v>#REF!</v>
      </c>
      <c r="CU245" t="e">
        <f t="shared" si="175"/>
        <v>#REF!</v>
      </c>
      <c r="CV245" t="e">
        <f t="shared" si="189"/>
        <v>#REF!</v>
      </c>
      <c r="CW245" t="e">
        <f t="shared" si="189"/>
        <v>#REF!</v>
      </c>
      <c r="CX245" t="e">
        <f t="shared" si="189"/>
        <v>#REF!</v>
      </c>
      <c r="CY245" t="e">
        <f t="shared" si="189"/>
        <v>#REF!</v>
      </c>
      <c r="CZ245" t="e">
        <f t="shared" si="189"/>
        <v>#REF!</v>
      </c>
      <c r="DA245" t="e">
        <f t="shared" si="189"/>
        <v>#REF!</v>
      </c>
      <c r="DB245" t="e">
        <f t="shared" si="189"/>
        <v>#REF!</v>
      </c>
      <c r="DC245" t="e">
        <f t="shared" si="189"/>
        <v>#REF!</v>
      </c>
      <c r="DD245" t="e">
        <f t="shared" si="189"/>
        <v>#REF!</v>
      </c>
      <c r="DE245" t="e">
        <f t="shared" si="189"/>
        <v>#REF!</v>
      </c>
      <c r="DF245" t="e">
        <f t="shared" si="189"/>
        <v>#REF!</v>
      </c>
      <c r="DG245" t="e">
        <f t="shared" si="189"/>
        <v>#REF!</v>
      </c>
      <c r="DH245" t="e">
        <f t="shared" si="189"/>
        <v>#REF!</v>
      </c>
      <c r="DI245" t="e">
        <f t="shared" si="189"/>
        <v>#REF!</v>
      </c>
      <c r="DJ245" t="e">
        <f t="shared" si="189"/>
        <v>#REF!</v>
      </c>
      <c r="DK245" t="e">
        <f t="shared" si="189"/>
        <v>#REF!</v>
      </c>
      <c r="DL245" t="e">
        <f t="shared" ref="DL245:EA262" si="191">MATCH(CONCATENATE(DL$3,"_",$C245),auto_DataFlat_UID,0)</f>
        <v>#REF!</v>
      </c>
      <c r="DM245" t="e">
        <f t="shared" si="191"/>
        <v>#REF!</v>
      </c>
      <c r="DN245" t="e">
        <f t="shared" si="191"/>
        <v>#REF!</v>
      </c>
      <c r="DO245" t="e">
        <f t="shared" si="191"/>
        <v>#REF!</v>
      </c>
      <c r="DP245" t="e">
        <f t="shared" si="191"/>
        <v>#REF!</v>
      </c>
      <c r="DQ245" t="e">
        <f t="shared" si="191"/>
        <v>#REF!</v>
      </c>
      <c r="DR245" t="e">
        <f t="shared" si="191"/>
        <v>#REF!</v>
      </c>
      <c r="DS245" t="e">
        <f t="shared" si="191"/>
        <v>#REF!</v>
      </c>
      <c r="DT245" t="e">
        <f t="shared" si="191"/>
        <v>#REF!</v>
      </c>
      <c r="DU245" t="e">
        <f t="shared" si="191"/>
        <v>#REF!</v>
      </c>
      <c r="DV245" t="e">
        <f t="shared" si="191"/>
        <v>#REF!</v>
      </c>
      <c r="DW245" t="e">
        <f t="shared" si="191"/>
        <v>#REF!</v>
      </c>
      <c r="DX245" t="e">
        <f t="shared" si="191"/>
        <v>#REF!</v>
      </c>
      <c r="DY245" t="e">
        <f t="shared" si="191"/>
        <v>#REF!</v>
      </c>
      <c r="DZ245" t="e">
        <f t="shared" si="171"/>
        <v>#REF!</v>
      </c>
      <c r="EA245" t="e">
        <f t="shared" si="171"/>
        <v>#REF!</v>
      </c>
      <c r="EB245" t="e">
        <f t="shared" si="171"/>
        <v>#REF!</v>
      </c>
      <c r="EC245" t="e">
        <f t="shared" si="171"/>
        <v>#REF!</v>
      </c>
      <c r="ED245" t="e">
        <f t="shared" si="185"/>
        <v>#REF!</v>
      </c>
      <c r="EE245" t="e">
        <f t="shared" si="185"/>
        <v>#REF!</v>
      </c>
      <c r="EF245" t="e">
        <f t="shared" si="185"/>
        <v>#REF!</v>
      </c>
      <c r="EG245" t="e">
        <f t="shared" si="185"/>
        <v>#REF!</v>
      </c>
      <c r="EH245" t="e">
        <f t="shared" si="185"/>
        <v>#REF!</v>
      </c>
      <c r="EI245" t="e">
        <f t="shared" si="185"/>
        <v>#REF!</v>
      </c>
      <c r="EJ245" t="e">
        <f t="shared" si="185"/>
        <v>#REF!</v>
      </c>
      <c r="EK245" t="e">
        <f t="shared" si="185"/>
        <v>#REF!</v>
      </c>
      <c r="EL245" t="e">
        <f t="shared" si="185"/>
        <v>#REF!</v>
      </c>
      <c r="EM245" t="e">
        <f t="shared" si="185"/>
        <v>#REF!</v>
      </c>
    </row>
    <row r="246" spans="1:143" x14ac:dyDescent="0.4">
      <c r="A246" t="str">
        <f t="shared" si="170"/>
        <v>X</v>
      </c>
      <c r="B246">
        <v>243</v>
      </c>
      <c r="C246" t="e" cm="1">
        <f t="array" ref="C246">INDEX(auto_Series_Code,B246)</f>
        <v>#REF!</v>
      </c>
      <c r="D246" t="e">
        <f t="shared" si="184"/>
        <v>#REF!</v>
      </c>
      <c r="E246" t="e">
        <f t="shared" si="184"/>
        <v>#REF!</v>
      </c>
      <c r="F246" t="e">
        <f t="shared" si="184"/>
        <v>#REF!</v>
      </c>
      <c r="G246" t="e">
        <f t="shared" si="184"/>
        <v>#REF!</v>
      </c>
      <c r="H246" t="e">
        <f t="shared" si="184"/>
        <v>#REF!</v>
      </c>
      <c r="I246" t="e">
        <f t="shared" si="184"/>
        <v>#REF!</v>
      </c>
      <c r="J246" t="e">
        <f t="shared" si="184"/>
        <v>#REF!</v>
      </c>
      <c r="K246" t="e">
        <f t="shared" si="184"/>
        <v>#REF!</v>
      </c>
      <c r="L246" t="e">
        <f t="shared" si="184"/>
        <v>#REF!</v>
      </c>
      <c r="M246" t="e">
        <f t="shared" si="184"/>
        <v>#REF!</v>
      </c>
      <c r="N246" t="e">
        <f t="shared" si="184"/>
        <v>#REF!</v>
      </c>
      <c r="O246" t="e">
        <f t="shared" si="184"/>
        <v>#REF!</v>
      </c>
      <c r="P246" t="e">
        <f t="shared" si="184"/>
        <v>#REF!</v>
      </c>
      <c r="Q246" t="e">
        <f t="shared" si="184"/>
        <v>#REF!</v>
      </c>
      <c r="R246" t="e">
        <f t="shared" si="184"/>
        <v>#REF!</v>
      </c>
      <c r="S246" t="e">
        <f t="shared" si="184"/>
        <v>#REF!</v>
      </c>
      <c r="T246" t="e">
        <f t="shared" si="183"/>
        <v>#REF!</v>
      </c>
      <c r="U246" t="e">
        <f t="shared" si="183"/>
        <v>#REF!</v>
      </c>
      <c r="V246" t="e">
        <f t="shared" si="183"/>
        <v>#REF!</v>
      </c>
      <c r="W246" t="e">
        <f t="shared" si="183"/>
        <v>#REF!</v>
      </c>
      <c r="X246" t="e">
        <f t="shared" si="183"/>
        <v>#REF!</v>
      </c>
      <c r="Y246" t="e">
        <f t="shared" si="183"/>
        <v>#REF!</v>
      </c>
      <c r="Z246" t="e">
        <f t="shared" si="183"/>
        <v>#REF!</v>
      </c>
      <c r="AA246" t="e">
        <f t="shared" si="183"/>
        <v>#REF!</v>
      </c>
      <c r="AB246" t="e">
        <f t="shared" si="183"/>
        <v>#REF!</v>
      </c>
      <c r="AC246" t="e">
        <f t="shared" si="183"/>
        <v>#REF!</v>
      </c>
      <c r="AD246" t="e">
        <f t="shared" si="183"/>
        <v>#REF!</v>
      </c>
      <c r="AE246" t="e">
        <f t="shared" si="183"/>
        <v>#REF!</v>
      </c>
      <c r="AF246" t="e">
        <f t="shared" si="183"/>
        <v>#REF!</v>
      </c>
      <c r="AG246" t="e">
        <f t="shared" si="183"/>
        <v>#REF!</v>
      </c>
      <c r="AH246" t="e">
        <f t="shared" si="186"/>
        <v>#REF!</v>
      </c>
      <c r="AI246" t="e">
        <f t="shared" si="186"/>
        <v>#REF!</v>
      </c>
      <c r="AJ246" t="e">
        <f t="shared" si="186"/>
        <v>#REF!</v>
      </c>
      <c r="AK246" t="e">
        <f t="shared" si="186"/>
        <v>#REF!</v>
      </c>
      <c r="AL246" t="e">
        <f t="shared" si="186"/>
        <v>#REF!</v>
      </c>
      <c r="AM246" t="e">
        <f t="shared" si="186"/>
        <v>#REF!</v>
      </c>
      <c r="AN246" t="e">
        <f t="shared" si="186"/>
        <v>#REF!</v>
      </c>
      <c r="AO246" t="e">
        <f t="shared" si="186"/>
        <v>#REF!</v>
      </c>
      <c r="AP246" t="e">
        <f t="shared" si="186"/>
        <v>#REF!</v>
      </c>
      <c r="AQ246" t="e">
        <f t="shared" si="186"/>
        <v>#REF!</v>
      </c>
      <c r="AR246" t="e">
        <f t="shared" si="176"/>
        <v>#REF!</v>
      </c>
      <c r="AS246" t="e">
        <f t="shared" si="176"/>
        <v>#REF!</v>
      </c>
      <c r="AT246" t="e">
        <f t="shared" si="176"/>
        <v>#REF!</v>
      </c>
      <c r="AU246" t="e">
        <f t="shared" si="176"/>
        <v>#REF!</v>
      </c>
      <c r="AV246" t="e">
        <f t="shared" si="176"/>
        <v>#REF!</v>
      </c>
      <c r="AW246" t="e">
        <f t="shared" si="176"/>
        <v>#REF!</v>
      </c>
      <c r="AX246" t="e">
        <f t="shared" si="176"/>
        <v>#REF!</v>
      </c>
      <c r="AY246" t="e">
        <f t="shared" si="176"/>
        <v>#REF!</v>
      </c>
      <c r="AZ246" t="e">
        <f t="shared" si="176"/>
        <v>#REF!</v>
      </c>
      <c r="BA246" t="e">
        <f t="shared" si="176"/>
        <v>#REF!</v>
      </c>
      <c r="BB246" t="e">
        <f t="shared" si="173"/>
        <v>#REF!</v>
      </c>
      <c r="BC246" t="e">
        <f t="shared" si="173"/>
        <v>#REF!</v>
      </c>
      <c r="BD246" t="e">
        <f t="shared" si="173"/>
        <v>#REF!</v>
      </c>
      <c r="BE246" t="e">
        <f t="shared" si="173"/>
        <v>#REF!</v>
      </c>
      <c r="BF246" t="e">
        <f t="shared" si="173"/>
        <v>#REF!</v>
      </c>
      <c r="BG246" t="e">
        <f t="shared" si="173"/>
        <v>#REF!</v>
      </c>
      <c r="BH246" t="e">
        <f t="shared" si="173"/>
        <v>#REF!</v>
      </c>
      <c r="BI246" t="e">
        <f t="shared" si="188"/>
        <v>#REF!</v>
      </c>
      <c r="BJ246" t="e">
        <f t="shared" si="188"/>
        <v>#REF!</v>
      </c>
      <c r="BK246" t="e">
        <f t="shared" si="188"/>
        <v>#REF!</v>
      </c>
      <c r="BL246" t="e">
        <f t="shared" si="188"/>
        <v>#REF!</v>
      </c>
      <c r="BM246" t="e">
        <f t="shared" si="188"/>
        <v>#REF!</v>
      </c>
      <c r="BN246" t="e">
        <f t="shared" si="188"/>
        <v>#REF!</v>
      </c>
      <c r="BO246" t="e">
        <f t="shared" si="188"/>
        <v>#REF!</v>
      </c>
      <c r="BP246" t="e">
        <f t="shared" si="188"/>
        <v>#REF!</v>
      </c>
      <c r="BQ246" t="e">
        <f t="shared" si="188"/>
        <v>#REF!</v>
      </c>
      <c r="BR246" t="e">
        <f t="shared" si="188"/>
        <v>#REF!</v>
      </c>
      <c r="BS246" t="e">
        <f t="shared" si="188"/>
        <v>#REF!</v>
      </c>
      <c r="BT246" t="e">
        <f t="shared" si="188"/>
        <v>#REF!</v>
      </c>
      <c r="BU246" t="e">
        <f t="shared" si="188"/>
        <v>#REF!</v>
      </c>
      <c r="BV246" t="e">
        <f t="shared" si="188"/>
        <v>#REF!</v>
      </c>
      <c r="BW246" t="e">
        <f t="shared" si="188"/>
        <v>#REF!</v>
      </c>
      <c r="BX246" t="e">
        <f t="shared" si="188"/>
        <v>#REF!</v>
      </c>
      <c r="BY246" t="e">
        <f t="shared" si="187"/>
        <v>#REF!</v>
      </c>
      <c r="BZ246" t="e">
        <f t="shared" si="187"/>
        <v>#REF!</v>
      </c>
      <c r="CA246" t="e">
        <f t="shared" si="187"/>
        <v>#REF!</v>
      </c>
      <c r="CB246" t="e">
        <f t="shared" si="187"/>
        <v>#REF!</v>
      </c>
      <c r="CC246" t="e">
        <f t="shared" si="187"/>
        <v>#REF!</v>
      </c>
      <c r="CD246" t="e">
        <f t="shared" si="187"/>
        <v>#REF!</v>
      </c>
      <c r="CE246" t="e">
        <f t="shared" si="187"/>
        <v>#REF!</v>
      </c>
      <c r="CF246" t="e">
        <f t="shared" si="175"/>
        <v>#REF!</v>
      </c>
      <c r="CG246" t="e">
        <f t="shared" si="175"/>
        <v>#REF!</v>
      </c>
      <c r="CH246" t="e">
        <f t="shared" si="175"/>
        <v>#REF!</v>
      </c>
      <c r="CI246" t="e">
        <f t="shared" si="175"/>
        <v>#REF!</v>
      </c>
      <c r="CJ246" t="e">
        <f t="shared" si="175"/>
        <v>#REF!</v>
      </c>
      <c r="CK246" t="e">
        <f t="shared" si="175"/>
        <v>#REF!</v>
      </c>
      <c r="CL246" t="e">
        <f t="shared" si="175"/>
        <v>#REF!</v>
      </c>
      <c r="CM246" t="e">
        <f t="shared" ref="CM246:DB265" si="192">MATCH(CONCATENATE(CM$3,"_",$C246),auto_DataFlat_UID,0)</f>
        <v>#REF!</v>
      </c>
      <c r="CN246" t="e">
        <f t="shared" si="192"/>
        <v>#REF!</v>
      </c>
      <c r="CO246" t="e">
        <f t="shared" si="192"/>
        <v>#REF!</v>
      </c>
      <c r="CP246" t="e">
        <f t="shared" si="192"/>
        <v>#REF!</v>
      </c>
      <c r="CQ246" t="e">
        <f t="shared" si="192"/>
        <v>#REF!</v>
      </c>
      <c r="CR246" t="e">
        <f t="shared" si="192"/>
        <v>#REF!</v>
      </c>
      <c r="CS246" t="e">
        <f t="shared" si="192"/>
        <v>#REF!</v>
      </c>
      <c r="CT246" t="e">
        <f t="shared" si="192"/>
        <v>#REF!</v>
      </c>
      <c r="CU246" t="e">
        <f t="shared" si="192"/>
        <v>#REF!</v>
      </c>
      <c r="CV246" t="e">
        <f t="shared" si="192"/>
        <v>#REF!</v>
      </c>
      <c r="CW246" t="e">
        <f t="shared" si="192"/>
        <v>#REF!</v>
      </c>
      <c r="CX246" t="e">
        <f t="shared" si="192"/>
        <v>#REF!</v>
      </c>
      <c r="CY246" t="e">
        <f t="shared" si="192"/>
        <v>#REF!</v>
      </c>
      <c r="CZ246" t="e">
        <f t="shared" si="189"/>
        <v>#REF!</v>
      </c>
      <c r="DA246" t="e">
        <f t="shared" si="189"/>
        <v>#REF!</v>
      </c>
      <c r="DB246" t="e">
        <f t="shared" si="189"/>
        <v>#REF!</v>
      </c>
      <c r="DC246" t="e">
        <f t="shared" si="189"/>
        <v>#REF!</v>
      </c>
      <c r="DD246" t="e">
        <f t="shared" si="189"/>
        <v>#REF!</v>
      </c>
      <c r="DE246" t="e">
        <f t="shared" si="189"/>
        <v>#REF!</v>
      </c>
      <c r="DF246" t="e">
        <f t="shared" si="189"/>
        <v>#REF!</v>
      </c>
      <c r="DG246" t="e">
        <f t="shared" si="189"/>
        <v>#REF!</v>
      </c>
      <c r="DH246" t="e">
        <f t="shared" si="189"/>
        <v>#REF!</v>
      </c>
      <c r="DI246" t="e">
        <f t="shared" si="189"/>
        <v>#REF!</v>
      </c>
      <c r="DJ246" t="e">
        <f t="shared" si="189"/>
        <v>#REF!</v>
      </c>
      <c r="DK246" t="e">
        <f t="shared" si="189"/>
        <v>#REF!</v>
      </c>
      <c r="DL246" t="e">
        <f t="shared" si="191"/>
        <v>#REF!</v>
      </c>
      <c r="DM246" t="e">
        <f t="shared" si="191"/>
        <v>#REF!</v>
      </c>
      <c r="DN246" t="e">
        <f t="shared" si="191"/>
        <v>#REF!</v>
      </c>
      <c r="DO246" t="e">
        <f t="shared" si="191"/>
        <v>#REF!</v>
      </c>
      <c r="DP246" t="e">
        <f t="shared" si="191"/>
        <v>#REF!</v>
      </c>
      <c r="DQ246" t="e">
        <f t="shared" si="191"/>
        <v>#REF!</v>
      </c>
      <c r="DR246" t="e">
        <f t="shared" si="191"/>
        <v>#REF!</v>
      </c>
      <c r="DS246" t="e">
        <f t="shared" si="191"/>
        <v>#REF!</v>
      </c>
      <c r="DT246" t="e">
        <f t="shared" si="191"/>
        <v>#REF!</v>
      </c>
      <c r="DU246" t="e">
        <f t="shared" si="191"/>
        <v>#REF!</v>
      </c>
      <c r="DV246" t="e">
        <f t="shared" si="191"/>
        <v>#REF!</v>
      </c>
      <c r="DW246" t="e">
        <f t="shared" si="191"/>
        <v>#REF!</v>
      </c>
      <c r="DX246" t="e">
        <f t="shared" si="191"/>
        <v>#REF!</v>
      </c>
      <c r="DY246" t="e">
        <f t="shared" si="191"/>
        <v>#REF!</v>
      </c>
      <c r="DZ246" t="e">
        <f t="shared" si="171"/>
        <v>#REF!</v>
      </c>
      <c r="EA246" t="e">
        <f t="shared" si="171"/>
        <v>#REF!</v>
      </c>
      <c r="EB246" t="e">
        <f t="shared" si="171"/>
        <v>#REF!</v>
      </c>
      <c r="EC246" t="e">
        <f t="shared" si="171"/>
        <v>#REF!</v>
      </c>
      <c r="ED246" t="e">
        <f t="shared" si="185"/>
        <v>#REF!</v>
      </c>
      <c r="EE246" t="e">
        <f t="shared" si="185"/>
        <v>#REF!</v>
      </c>
      <c r="EF246" t="e">
        <f t="shared" si="185"/>
        <v>#REF!</v>
      </c>
      <c r="EG246" t="e">
        <f t="shared" si="185"/>
        <v>#REF!</v>
      </c>
      <c r="EH246" t="e">
        <f t="shared" si="185"/>
        <v>#REF!</v>
      </c>
      <c r="EI246" t="e">
        <f t="shared" si="185"/>
        <v>#REF!</v>
      </c>
      <c r="EJ246" t="e">
        <f t="shared" si="185"/>
        <v>#REF!</v>
      </c>
      <c r="EK246" t="e">
        <f t="shared" si="185"/>
        <v>#REF!</v>
      </c>
      <c r="EL246" t="e">
        <f t="shared" si="185"/>
        <v>#REF!</v>
      </c>
      <c r="EM246" t="e">
        <f t="shared" si="185"/>
        <v>#REF!</v>
      </c>
    </row>
    <row r="247" spans="1:143" x14ac:dyDescent="0.4">
      <c r="A247" t="str">
        <f t="shared" si="170"/>
        <v>X</v>
      </c>
      <c r="B247">
        <v>244</v>
      </c>
      <c r="C247" t="e" cm="1">
        <f t="array" ref="C247">INDEX(auto_Series_Code,B247)</f>
        <v>#REF!</v>
      </c>
      <c r="D247" t="e">
        <f t="shared" si="184"/>
        <v>#REF!</v>
      </c>
      <c r="E247" t="e">
        <f t="shared" si="184"/>
        <v>#REF!</v>
      </c>
      <c r="F247" t="e">
        <f t="shared" si="184"/>
        <v>#REF!</v>
      </c>
      <c r="G247" t="e">
        <f t="shared" si="184"/>
        <v>#REF!</v>
      </c>
      <c r="H247" t="e">
        <f t="shared" si="184"/>
        <v>#REF!</v>
      </c>
      <c r="I247" t="e">
        <f t="shared" si="184"/>
        <v>#REF!</v>
      </c>
      <c r="J247" t="e">
        <f t="shared" si="184"/>
        <v>#REF!</v>
      </c>
      <c r="K247" t="e">
        <f t="shared" si="184"/>
        <v>#REF!</v>
      </c>
      <c r="L247" t="e">
        <f t="shared" si="184"/>
        <v>#REF!</v>
      </c>
      <c r="M247" t="e">
        <f t="shared" si="184"/>
        <v>#REF!</v>
      </c>
      <c r="N247" t="e">
        <f t="shared" si="184"/>
        <v>#REF!</v>
      </c>
      <c r="O247" t="e">
        <f t="shared" si="184"/>
        <v>#REF!</v>
      </c>
      <c r="P247" t="e">
        <f t="shared" si="184"/>
        <v>#REF!</v>
      </c>
      <c r="Q247" t="e">
        <f t="shared" si="184"/>
        <v>#REF!</v>
      </c>
      <c r="R247" t="e">
        <f t="shared" si="184"/>
        <v>#REF!</v>
      </c>
      <c r="S247" t="e">
        <f t="shared" ref="S247:AH276" si="193">MATCH(CONCATENATE(S$3,"_",$C247),auto_DataFlat_UID,0)</f>
        <v>#REF!</v>
      </c>
      <c r="T247" t="e">
        <f t="shared" si="193"/>
        <v>#REF!</v>
      </c>
      <c r="U247" t="e">
        <f t="shared" si="193"/>
        <v>#REF!</v>
      </c>
      <c r="V247" t="e">
        <f t="shared" si="193"/>
        <v>#REF!</v>
      </c>
      <c r="W247" t="e">
        <f t="shared" si="193"/>
        <v>#REF!</v>
      </c>
      <c r="X247" t="e">
        <f t="shared" si="183"/>
        <v>#REF!</v>
      </c>
      <c r="Y247" t="e">
        <f t="shared" si="183"/>
        <v>#REF!</v>
      </c>
      <c r="Z247" t="e">
        <f t="shared" si="183"/>
        <v>#REF!</v>
      </c>
      <c r="AA247" t="e">
        <f t="shared" si="183"/>
        <v>#REF!</v>
      </c>
      <c r="AB247" t="e">
        <f t="shared" si="183"/>
        <v>#REF!</v>
      </c>
      <c r="AC247" t="e">
        <f t="shared" si="183"/>
        <v>#REF!</v>
      </c>
      <c r="AD247" t="e">
        <f t="shared" si="183"/>
        <v>#REF!</v>
      </c>
      <c r="AE247" t="e">
        <f t="shared" si="183"/>
        <v>#REF!</v>
      </c>
      <c r="AF247" t="e">
        <f t="shared" si="183"/>
        <v>#REF!</v>
      </c>
      <c r="AG247" t="e">
        <f t="shared" si="183"/>
        <v>#REF!</v>
      </c>
      <c r="AH247" t="e">
        <f t="shared" si="186"/>
        <v>#REF!</v>
      </c>
      <c r="AI247" t="e">
        <f t="shared" si="186"/>
        <v>#REF!</v>
      </c>
      <c r="AJ247" t="e">
        <f t="shared" si="186"/>
        <v>#REF!</v>
      </c>
      <c r="AK247" t="e">
        <f t="shared" si="186"/>
        <v>#REF!</v>
      </c>
      <c r="AL247" t="e">
        <f t="shared" si="186"/>
        <v>#REF!</v>
      </c>
      <c r="AM247" t="e">
        <f t="shared" si="186"/>
        <v>#REF!</v>
      </c>
      <c r="AN247" t="e">
        <f t="shared" si="186"/>
        <v>#REF!</v>
      </c>
      <c r="AO247" t="e">
        <f t="shared" si="186"/>
        <v>#REF!</v>
      </c>
      <c r="AP247" t="e">
        <f t="shared" si="186"/>
        <v>#REF!</v>
      </c>
      <c r="AQ247" t="e">
        <f t="shared" si="186"/>
        <v>#REF!</v>
      </c>
      <c r="AR247" t="e">
        <f t="shared" si="176"/>
        <v>#REF!</v>
      </c>
      <c r="AS247" t="e">
        <f t="shared" si="176"/>
        <v>#REF!</v>
      </c>
      <c r="AT247" t="e">
        <f t="shared" si="176"/>
        <v>#REF!</v>
      </c>
      <c r="AU247" t="e">
        <f t="shared" si="176"/>
        <v>#REF!</v>
      </c>
      <c r="AV247" t="e">
        <f t="shared" si="176"/>
        <v>#REF!</v>
      </c>
      <c r="AW247" t="e">
        <f t="shared" si="176"/>
        <v>#REF!</v>
      </c>
      <c r="AX247" t="e">
        <f t="shared" si="176"/>
        <v>#REF!</v>
      </c>
      <c r="AY247" t="e">
        <f t="shared" si="176"/>
        <v>#REF!</v>
      </c>
      <c r="AZ247" t="e">
        <f t="shared" si="176"/>
        <v>#REF!</v>
      </c>
      <c r="BA247" t="e">
        <f t="shared" si="176"/>
        <v>#REF!</v>
      </c>
      <c r="BB247" t="e">
        <f t="shared" si="173"/>
        <v>#REF!</v>
      </c>
      <c r="BC247" t="e">
        <f t="shared" si="173"/>
        <v>#REF!</v>
      </c>
      <c r="BD247" t="e">
        <f t="shared" si="173"/>
        <v>#REF!</v>
      </c>
      <c r="BE247" t="e">
        <f t="shared" si="173"/>
        <v>#REF!</v>
      </c>
      <c r="BF247" t="e">
        <f t="shared" si="173"/>
        <v>#REF!</v>
      </c>
      <c r="BG247" t="e">
        <f t="shared" si="173"/>
        <v>#REF!</v>
      </c>
      <c r="BH247" t="e">
        <f t="shared" si="173"/>
        <v>#REF!</v>
      </c>
      <c r="BI247" t="e">
        <f t="shared" si="188"/>
        <v>#REF!</v>
      </c>
      <c r="BJ247" t="e">
        <f t="shared" si="188"/>
        <v>#REF!</v>
      </c>
      <c r="BK247" t="e">
        <f t="shared" si="188"/>
        <v>#REF!</v>
      </c>
      <c r="BL247" t="e">
        <f t="shared" si="188"/>
        <v>#REF!</v>
      </c>
      <c r="BM247" t="e">
        <f t="shared" si="188"/>
        <v>#REF!</v>
      </c>
      <c r="BN247" t="e">
        <f t="shared" si="188"/>
        <v>#REF!</v>
      </c>
      <c r="BO247" t="e">
        <f t="shared" si="188"/>
        <v>#REF!</v>
      </c>
      <c r="BP247" t="e">
        <f t="shared" si="188"/>
        <v>#REF!</v>
      </c>
      <c r="BQ247" t="e">
        <f t="shared" si="188"/>
        <v>#REF!</v>
      </c>
      <c r="BR247" t="e">
        <f t="shared" si="188"/>
        <v>#REF!</v>
      </c>
      <c r="BS247" t="e">
        <f t="shared" si="188"/>
        <v>#REF!</v>
      </c>
      <c r="BT247" t="e">
        <f t="shared" si="188"/>
        <v>#REF!</v>
      </c>
      <c r="BU247" t="e">
        <f t="shared" si="188"/>
        <v>#REF!</v>
      </c>
      <c r="BV247" t="e">
        <f t="shared" si="188"/>
        <v>#REF!</v>
      </c>
      <c r="BW247" t="e">
        <f t="shared" si="188"/>
        <v>#REF!</v>
      </c>
      <c r="BX247" t="e">
        <f t="shared" si="188"/>
        <v>#REF!</v>
      </c>
      <c r="BY247" t="e">
        <f t="shared" si="187"/>
        <v>#REF!</v>
      </c>
      <c r="BZ247" t="e">
        <f t="shared" si="187"/>
        <v>#REF!</v>
      </c>
      <c r="CA247" t="e">
        <f t="shared" si="187"/>
        <v>#REF!</v>
      </c>
      <c r="CB247" t="e">
        <f t="shared" si="187"/>
        <v>#REF!</v>
      </c>
      <c r="CC247" t="e">
        <f t="shared" si="187"/>
        <v>#REF!</v>
      </c>
      <c r="CD247" t="e">
        <f t="shared" si="187"/>
        <v>#REF!</v>
      </c>
      <c r="CE247" t="e">
        <f t="shared" si="187"/>
        <v>#REF!</v>
      </c>
      <c r="CF247" t="e">
        <f t="shared" si="187"/>
        <v>#REF!</v>
      </c>
      <c r="CG247" t="e">
        <f t="shared" si="187"/>
        <v>#REF!</v>
      </c>
      <c r="CH247" t="e">
        <f t="shared" si="187"/>
        <v>#REF!</v>
      </c>
      <c r="CI247" t="e">
        <f t="shared" si="187"/>
        <v>#REF!</v>
      </c>
      <c r="CJ247" t="e">
        <f t="shared" si="187"/>
        <v>#REF!</v>
      </c>
      <c r="CK247" t="e">
        <f t="shared" si="187"/>
        <v>#REF!</v>
      </c>
      <c r="CL247" t="e">
        <f t="shared" si="187"/>
        <v>#REF!</v>
      </c>
      <c r="CM247" t="e">
        <f t="shared" si="192"/>
        <v>#REF!</v>
      </c>
      <c r="CN247" t="e">
        <f t="shared" si="192"/>
        <v>#REF!</v>
      </c>
      <c r="CO247" t="e">
        <f t="shared" si="192"/>
        <v>#REF!</v>
      </c>
      <c r="CP247" t="e">
        <f t="shared" si="192"/>
        <v>#REF!</v>
      </c>
      <c r="CQ247" t="e">
        <f t="shared" si="192"/>
        <v>#REF!</v>
      </c>
      <c r="CR247" t="e">
        <f t="shared" si="192"/>
        <v>#REF!</v>
      </c>
      <c r="CS247" t="e">
        <f t="shared" si="192"/>
        <v>#REF!</v>
      </c>
      <c r="CT247" t="e">
        <f t="shared" si="192"/>
        <v>#REF!</v>
      </c>
      <c r="CU247" t="e">
        <f t="shared" si="192"/>
        <v>#REF!</v>
      </c>
      <c r="CV247" t="e">
        <f t="shared" si="192"/>
        <v>#REF!</v>
      </c>
      <c r="CW247" t="e">
        <f t="shared" si="192"/>
        <v>#REF!</v>
      </c>
      <c r="CX247" t="e">
        <f t="shared" si="192"/>
        <v>#REF!</v>
      </c>
      <c r="CY247" t="e">
        <f t="shared" si="192"/>
        <v>#REF!</v>
      </c>
      <c r="CZ247" t="e">
        <f t="shared" si="189"/>
        <v>#REF!</v>
      </c>
      <c r="DA247" t="e">
        <f t="shared" si="189"/>
        <v>#REF!</v>
      </c>
      <c r="DB247" t="e">
        <f t="shared" si="189"/>
        <v>#REF!</v>
      </c>
      <c r="DC247" t="e">
        <f t="shared" si="189"/>
        <v>#REF!</v>
      </c>
      <c r="DD247" t="e">
        <f t="shared" si="189"/>
        <v>#REF!</v>
      </c>
      <c r="DE247" t="e">
        <f t="shared" si="189"/>
        <v>#REF!</v>
      </c>
      <c r="DF247" t="e">
        <f t="shared" si="189"/>
        <v>#REF!</v>
      </c>
      <c r="DG247" t="e">
        <f t="shared" si="189"/>
        <v>#REF!</v>
      </c>
      <c r="DH247" t="e">
        <f t="shared" si="189"/>
        <v>#REF!</v>
      </c>
      <c r="DI247" t="e">
        <f t="shared" si="189"/>
        <v>#REF!</v>
      </c>
      <c r="DJ247" t="e">
        <f t="shared" si="189"/>
        <v>#REF!</v>
      </c>
      <c r="DK247" t="e">
        <f t="shared" si="189"/>
        <v>#REF!</v>
      </c>
      <c r="DL247" t="e">
        <f t="shared" si="191"/>
        <v>#REF!</v>
      </c>
      <c r="DM247" t="e">
        <f t="shared" si="191"/>
        <v>#REF!</v>
      </c>
      <c r="DN247" t="e">
        <f t="shared" si="191"/>
        <v>#REF!</v>
      </c>
      <c r="DO247" t="e">
        <f t="shared" si="191"/>
        <v>#REF!</v>
      </c>
      <c r="DP247" t="e">
        <f t="shared" si="191"/>
        <v>#REF!</v>
      </c>
      <c r="DQ247" t="e">
        <f t="shared" si="191"/>
        <v>#REF!</v>
      </c>
      <c r="DR247" t="e">
        <f t="shared" si="191"/>
        <v>#REF!</v>
      </c>
      <c r="DS247" t="e">
        <f t="shared" si="191"/>
        <v>#REF!</v>
      </c>
      <c r="DT247" t="e">
        <f t="shared" si="191"/>
        <v>#REF!</v>
      </c>
      <c r="DU247" t="e">
        <f t="shared" si="191"/>
        <v>#REF!</v>
      </c>
      <c r="DV247" t="e">
        <f t="shared" si="191"/>
        <v>#REF!</v>
      </c>
      <c r="DW247" t="e">
        <f t="shared" si="191"/>
        <v>#REF!</v>
      </c>
      <c r="DX247" t="e">
        <f t="shared" si="191"/>
        <v>#REF!</v>
      </c>
      <c r="DY247" t="e">
        <f t="shared" si="191"/>
        <v>#REF!</v>
      </c>
      <c r="DZ247" t="e">
        <f t="shared" si="171"/>
        <v>#REF!</v>
      </c>
      <c r="EA247" t="e">
        <f t="shared" si="171"/>
        <v>#REF!</v>
      </c>
      <c r="EB247" t="e">
        <f t="shared" si="171"/>
        <v>#REF!</v>
      </c>
      <c r="EC247" t="e">
        <f t="shared" si="171"/>
        <v>#REF!</v>
      </c>
      <c r="ED247" t="e">
        <f t="shared" si="185"/>
        <v>#REF!</v>
      </c>
      <c r="EE247" t="e">
        <f t="shared" si="185"/>
        <v>#REF!</v>
      </c>
      <c r="EF247" t="e">
        <f t="shared" si="185"/>
        <v>#REF!</v>
      </c>
      <c r="EG247" t="e">
        <f t="shared" si="185"/>
        <v>#REF!</v>
      </c>
      <c r="EH247" t="e">
        <f t="shared" si="185"/>
        <v>#REF!</v>
      </c>
      <c r="EI247" t="e">
        <f t="shared" si="185"/>
        <v>#REF!</v>
      </c>
      <c r="EJ247" t="e">
        <f t="shared" si="185"/>
        <v>#REF!</v>
      </c>
      <c r="EK247" t="e">
        <f t="shared" si="185"/>
        <v>#REF!</v>
      </c>
      <c r="EL247" t="e">
        <f t="shared" si="185"/>
        <v>#REF!</v>
      </c>
      <c r="EM247" t="e">
        <f t="shared" si="185"/>
        <v>#REF!</v>
      </c>
    </row>
    <row r="248" spans="1:143" x14ac:dyDescent="0.4">
      <c r="A248" t="str">
        <f t="shared" si="170"/>
        <v>X</v>
      </c>
      <c r="B248">
        <v>245</v>
      </c>
      <c r="C248" t="e" cm="1">
        <f t="array" ref="C248">INDEX(auto_Series_Code,B248)</f>
        <v>#REF!</v>
      </c>
      <c r="D248" t="e">
        <f t="shared" ref="D248:S263" si="194">MATCH(CONCATENATE(D$3,"_",$C248),auto_DataFlat_UID,0)</f>
        <v>#REF!</v>
      </c>
      <c r="E248" t="e">
        <f t="shared" si="194"/>
        <v>#REF!</v>
      </c>
      <c r="F248" t="e">
        <f t="shared" si="194"/>
        <v>#REF!</v>
      </c>
      <c r="G248" t="e">
        <f t="shared" si="194"/>
        <v>#REF!</v>
      </c>
      <c r="H248" t="e">
        <f t="shared" si="194"/>
        <v>#REF!</v>
      </c>
      <c r="I248" t="e">
        <f t="shared" si="194"/>
        <v>#REF!</v>
      </c>
      <c r="J248" t="e">
        <f t="shared" si="194"/>
        <v>#REF!</v>
      </c>
      <c r="K248" t="e">
        <f t="shared" si="194"/>
        <v>#REF!</v>
      </c>
      <c r="L248" t="e">
        <f t="shared" si="194"/>
        <v>#REF!</v>
      </c>
      <c r="M248" t="e">
        <f t="shared" si="194"/>
        <v>#REF!</v>
      </c>
      <c r="N248" t="e">
        <f t="shared" si="194"/>
        <v>#REF!</v>
      </c>
      <c r="O248" t="e">
        <f t="shared" si="194"/>
        <v>#REF!</v>
      </c>
      <c r="P248" t="e">
        <f t="shared" si="194"/>
        <v>#REF!</v>
      </c>
      <c r="Q248" t="e">
        <f t="shared" si="194"/>
        <v>#REF!</v>
      </c>
      <c r="R248" t="e">
        <f t="shared" si="194"/>
        <v>#REF!</v>
      </c>
      <c r="S248" t="e">
        <f t="shared" si="194"/>
        <v>#REF!</v>
      </c>
      <c r="T248" t="e">
        <f t="shared" si="193"/>
        <v>#REF!</v>
      </c>
      <c r="U248" t="e">
        <f t="shared" si="193"/>
        <v>#REF!</v>
      </c>
      <c r="V248" t="e">
        <f t="shared" si="193"/>
        <v>#REF!</v>
      </c>
      <c r="W248" t="e">
        <f t="shared" si="193"/>
        <v>#REF!</v>
      </c>
      <c r="X248" t="e">
        <f t="shared" si="183"/>
        <v>#REF!</v>
      </c>
      <c r="Y248" t="e">
        <f t="shared" si="183"/>
        <v>#REF!</v>
      </c>
      <c r="Z248" t="e">
        <f t="shared" si="183"/>
        <v>#REF!</v>
      </c>
      <c r="AA248" t="e">
        <f t="shared" si="183"/>
        <v>#REF!</v>
      </c>
      <c r="AB248" t="e">
        <f t="shared" si="183"/>
        <v>#REF!</v>
      </c>
      <c r="AC248" t="e">
        <f t="shared" si="183"/>
        <v>#REF!</v>
      </c>
      <c r="AD248" t="e">
        <f t="shared" si="183"/>
        <v>#REF!</v>
      </c>
      <c r="AE248" t="e">
        <f t="shared" si="183"/>
        <v>#REF!</v>
      </c>
      <c r="AF248" t="e">
        <f t="shared" si="183"/>
        <v>#REF!</v>
      </c>
      <c r="AG248" t="e">
        <f t="shared" si="183"/>
        <v>#REF!</v>
      </c>
      <c r="AH248" t="e">
        <f t="shared" si="186"/>
        <v>#REF!</v>
      </c>
      <c r="AI248" t="e">
        <f t="shared" si="186"/>
        <v>#REF!</v>
      </c>
      <c r="AJ248" t="e">
        <f t="shared" si="186"/>
        <v>#REF!</v>
      </c>
      <c r="AK248" t="e">
        <f t="shared" si="186"/>
        <v>#REF!</v>
      </c>
      <c r="AL248" t="e">
        <f t="shared" si="186"/>
        <v>#REF!</v>
      </c>
      <c r="AM248" t="e">
        <f t="shared" si="186"/>
        <v>#REF!</v>
      </c>
      <c r="AN248" t="e">
        <f t="shared" si="186"/>
        <v>#REF!</v>
      </c>
      <c r="AO248" t="e">
        <f t="shared" si="186"/>
        <v>#REF!</v>
      </c>
      <c r="AP248" t="e">
        <f t="shared" si="186"/>
        <v>#REF!</v>
      </c>
      <c r="AQ248" t="e">
        <f t="shared" si="186"/>
        <v>#REF!</v>
      </c>
      <c r="AR248" t="e">
        <f t="shared" si="176"/>
        <v>#REF!</v>
      </c>
      <c r="AS248" t="e">
        <f t="shared" si="176"/>
        <v>#REF!</v>
      </c>
      <c r="AT248" t="e">
        <f t="shared" si="176"/>
        <v>#REF!</v>
      </c>
      <c r="AU248" t="e">
        <f t="shared" si="176"/>
        <v>#REF!</v>
      </c>
      <c r="AV248" t="e">
        <f t="shared" si="176"/>
        <v>#REF!</v>
      </c>
      <c r="AW248" t="e">
        <f t="shared" si="176"/>
        <v>#REF!</v>
      </c>
      <c r="AX248" t="e">
        <f t="shared" si="176"/>
        <v>#REF!</v>
      </c>
      <c r="AY248" t="e">
        <f t="shared" si="176"/>
        <v>#REF!</v>
      </c>
      <c r="AZ248" t="e">
        <f t="shared" si="176"/>
        <v>#REF!</v>
      </c>
      <c r="BA248" t="e">
        <f t="shared" si="176"/>
        <v>#REF!</v>
      </c>
      <c r="BB248" t="e">
        <f t="shared" si="173"/>
        <v>#REF!</v>
      </c>
      <c r="BC248" t="e">
        <f t="shared" si="173"/>
        <v>#REF!</v>
      </c>
      <c r="BD248" t="e">
        <f t="shared" si="173"/>
        <v>#REF!</v>
      </c>
      <c r="BE248" t="e">
        <f t="shared" si="173"/>
        <v>#REF!</v>
      </c>
      <c r="BF248" t="e">
        <f t="shared" si="173"/>
        <v>#REF!</v>
      </c>
      <c r="BG248" t="e">
        <f t="shared" si="173"/>
        <v>#REF!</v>
      </c>
      <c r="BH248" t="e">
        <f t="shared" si="173"/>
        <v>#REF!</v>
      </c>
      <c r="BI248" t="e">
        <f t="shared" si="188"/>
        <v>#REF!</v>
      </c>
      <c r="BJ248" t="e">
        <f t="shared" si="188"/>
        <v>#REF!</v>
      </c>
      <c r="BK248" t="e">
        <f t="shared" si="188"/>
        <v>#REF!</v>
      </c>
      <c r="BL248" t="e">
        <f t="shared" si="188"/>
        <v>#REF!</v>
      </c>
      <c r="BM248" t="e">
        <f t="shared" si="188"/>
        <v>#REF!</v>
      </c>
      <c r="BN248" t="e">
        <f t="shared" si="188"/>
        <v>#REF!</v>
      </c>
      <c r="BO248" t="e">
        <f t="shared" si="188"/>
        <v>#REF!</v>
      </c>
      <c r="BP248" t="e">
        <f t="shared" si="188"/>
        <v>#REF!</v>
      </c>
      <c r="BQ248" t="e">
        <f t="shared" si="188"/>
        <v>#REF!</v>
      </c>
      <c r="BR248" t="e">
        <f t="shared" si="188"/>
        <v>#REF!</v>
      </c>
      <c r="BS248" t="e">
        <f t="shared" si="188"/>
        <v>#REF!</v>
      </c>
      <c r="BT248" t="e">
        <f t="shared" si="188"/>
        <v>#REF!</v>
      </c>
      <c r="BU248" t="e">
        <f t="shared" si="188"/>
        <v>#REF!</v>
      </c>
      <c r="BV248" t="e">
        <f t="shared" si="188"/>
        <v>#REF!</v>
      </c>
      <c r="BW248" t="e">
        <f t="shared" si="188"/>
        <v>#REF!</v>
      </c>
      <c r="BX248" t="e">
        <f t="shared" si="188"/>
        <v>#REF!</v>
      </c>
      <c r="BY248" t="e">
        <f t="shared" si="187"/>
        <v>#REF!</v>
      </c>
      <c r="BZ248" t="e">
        <f t="shared" si="187"/>
        <v>#REF!</v>
      </c>
      <c r="CA248" t="e">
        <f t="shared" si="187"/>
        <v>#REF!</v>
      </c>
      <c r="CB248" t="e">
        <f t="shared" si="187"/>
        <v>#REF!</v>
      </c>
      <c r="CC248" t="e">
        <f t="shared" si="187"/>
        <v>#REF!</v>
      </c>
      <c r="CD248" t="e">
        <f t="shared" si="187"/>
        <v>#REF!</v>
      </c>
      <c r="CE248" t="e">
        <f t="shared" si="187"/>
        <v>#REF!</v>
      </c>
      <c r="CF248" t="e">
        <f t="shared" si="187"/>
        <v>#REF!</v>
      </c>
      <c r="CG248" t="e">
        <f t="shared" si="187"/>
        <v>#REF!</v>
      </c>
      <c r="CH248" t="e">
        <f t="shared" si="187"/>
        <v>#REF!</v>
      </c>
      <c r="CI248" t="e">
        <f t="shared" si="187"/>
        <v>#REF!</v>
      </c>
      <c r="CJ248" t="e">
        <f t="shared" si="187"/>
        <v>#REF!</v>
      </c>
      <c r="CK248" t="e">
        <f t="shared" si="187"/>
        <v>#REF!</v>
      </c>
      <c r="CL248" t="e">
        <f t="shared" si="187"/>
        <v>#REF!</v>
      </c>
      <c r="CM248" t="e">
        <f t="shared" si="192"/>
        <v>#REF!</v>
      </c>
      <c r="CN248" t="e">
        <f t="shared" si="192"/>
        <v>#REF!</v>
      </c>
      <c r="CO248" t="e">
        <f t="shared" si="192"/>
        <v>#REF!</v>
      </c>
      <c r="CP248" t="e">
        <f t="shared" si="192"/>
        <v>#REF!</v>
      </c>
      <c r="CQ248" t="e">
        <f t="shared" si="192"/>
        <v>#REF!</v>
      </c>
      <c r="CR248" t="e">
        <f t="shared" si="192"/>
        <v>#REF!</v>
      </c>
      <c r="CS248" t="e">
        <f t="shared" si="192"/>
        <v>#REF!</v>
      </c>
      <c r="CT248" t="e">
        <f t="shared" si="192"/>
        <v>#REF!</v>
      </c>
      <c r="CU248" t="e">
        <f t="shared" si="192"/>
        <v>#REF!</v>
      </c>
      <c r="CV248" t="e">
        <f t="shared" si="192"/>
        <v>#REF!</v>
      </c>
      <c r="CW248" t="e">
        <f t="shared" si="192"/>
        <v>#REF!</v>
      </c>
      <c r="CX248" t="e">
        <f t="shared" si="192"/>
        <v>#REF!</v>
      </c>
      <c r="CY248" t="e">
        <f t="shared" si="192"/>
        <v>#REF!</v>
      </c>
      <c r="CZ248" t="e">
        <f t="shared" si="189"/>
        <v>#REF!</v>
      </c>
      <c r="DA248" t="e">
        <f t="shared" si="189"/>
        <v>#REF!</v>
      </c>
      <c r="DB248" t="e">
        <f t="shared" si="189"/>
        <v>#REF!</v>
      </c>
      <c r="DC248" t="e">
        <f t="shared" si="189"/>
        <v>#REF!</v>
      </c>
      <c r="DD248" t="e">
        <f t="shared" si="189"/>
        <v>#REF!</v>
      </c>
      <c r="DE248" t="e">
        <f t="shared" si="189"/>
        <v>#REF!</v>
      </c>
      <c r="DF248" t="e">
        <f t="shared" si="189"/>
        <v>#REF!</v>
      </c>
      <c r="DG248" t="e">
        <f t="shared" si="189"/>
        <v>#REF!</v>
      </c>
      <c r="DH248" t="e">
        <f t="shared" si="189"/>
        <v>#REF!</v>
      </c>
      <c r="DI248" t="e">
        <f t="shared" si="189"/>
        <v>#REF!</v>
      </c>
      <c r="DJ248" t="e">
        <f t="shared" si="189"/>
        <v>#REF!</v>
      </c>
      <c r="DK248" t="e">
        <f t="shared" si="189"/>
        <v>#REF!</v>
      </c>
      <c r="DL248" t="e">
        <f t="shared" si="191"/>
        <v>#REF!</v>
      </c>
      <c r="DM248" t="e">
        <f t="shared" si="191"/>
        <v>#REF!</v>
      </c>
      <c r="DN248" t="e">
        <f t="shared" si="191"/>
        <v>#REF!</v>
      </c>
      <c r="DO248" t="e">
        <f t="shared" si="191"/>
        <v>#REF!</v>
      </c>
      <c r="DP248" t="e">
        <f t="shared" si="191"/>
        <v>#REF!</v>
      </c>
      <c r="DQ248" t="e">
        <f t="shared" si="191"/>
        <v>#REF!</v>
      </c>
      <c r="DR248" t="e">
        <f t="shared" si="191"/>
        <v>#REF!</v>
      </c>
      <c r="DS248" t="e">
        <f t="shared" si="191"/>
        <v>#REF!</v>
      </c>
      <c r="DT248" t="e">
        <f t="shared" si="191"/>
        <v>#REF!</v>
      </c>
      <c r="DU248" t="e">
        <f t="shared" si="191"/>
        <v>#REF!</v>
      </c>
      <c r="DV248" t="e">
        <f t="shared" si="191"/>
        <v>#REF!</v>
      </c>
      <c r="DW248" t="e">
        <f t="shared" si="191"/>
        <v>#REF!</v>
      </c>
      <c r="DX248" t="e">
        <f t="shared" si="191"/>
        <v>#REF!</v>
      </c>
      <c r="DY248" t="e">
        <f t="shared" si="191"/>
        <v>#REF!</v>
      </c>
      <c r="DZ248" t="e">
        <f t="shared" si="171"/>
        <v>#REF!</v>
      </c>
      <c r="EA248" t="e">
        <f t="shared" si="171"/>
        <v>#REF!</v>
      </c>
      <c r="EB248" t="e">
        <f t="shared" si="171"/>
        <v>#REF!</v>
      </c>
      <c r="EC248" t="e">
        <f t="shared" si="171"/>
        <v>#REF!</v>
      </c>
      <c r="ED248" t="e">
        <f t="shared" si="185"/>
        <v>#REF!</v>
      </c>
      <c r="EE248" t="e">
        <f t="shared" si="185"/>
        <v>#REF!</v>
      </c>
      <c r="EF248" t="e">
        <f t="shared" si="185"/>
        <v>#REF!</v>
      </c>
      <c r="EG248" t="e">
        <f t="shared" si="185"/>
        <v>#REF!</v>
      </c>
      <c r="EH248" t="e">
        <f t="shared" si="185"/>
        <v>#REF!</v>
      </c>
      <c r="EI248" t="e">
        <f t="shared" si="185"/>
        <v>#REF!</v>
      </c>
      <c r="EJ248" t="e">
        <f t="shared" si="185"/>
        <v>#REF!</v>
      </c>
      <c r="EK248" t="e">
        <f t="shared" si="185"/>
        <v>#REF!</v>
      </c>
      <c r="EL248" t="e">
        <f t="shared" si="185"/>
        <v>#REF!</v>
      </c>
      <c r="EM248" t="e">
        <f t="shared" si="185"/>
        <v>#REF!</v>
      </c>
    </row>
    <row r="249" spans="1:143" x14ac:dyDescent="0.4">
      <c r="A249" t="str">
        <f t="shared" si="170"/>
        <v>X</v>
      </c>
      <c r="B249">
        <v>246</v>
      </c>
      <c r="C249" t="e" cm="1">
        <f t="array" ref="C249">INDEX(auto_Series_Code,B249)</f>
        <v>#REF!</v>
      </c>
      <c r="D249" t="e">
        <f t="shared" si="194"/>
        <v>#REF!</v>
      </c>
      <c r="E249" t="e">
        <f t="shared" si="194"/>
        <v>#REF!</v>
      </c>
      <c r="F249" t="e">
        <f t="shared" si="194"/>
        <v>#REF!</v>
      </c>
      <c r="G249" t="e">
        <f t="shared" si="194"/>
        <v>#REF!</v>
      </c>
      <c r="H249" t="e">
        <f t="shared" si="194"/>
        <v>#REF!</v>
      </c>
      <c r="I249" t="e">
        <f t="shared" si="194"/>
        <v>#REF!</v>
      </c>
      <c r="J249" t="e">
        <f t="shared" si="194"/>
        <v>#REF!</v>
      </c>
      <c r="K249" t="e">
        <f t="shared" si="194"/>
        <v>#REF!</v>
      </c>
      <c r="L249" t="e">
        <f t="shared" si="194"/>
        <v>#REF!</v>
      </c>
      <c r="M249" t="e">
        <f t="shared" si="194"/>
        <v>#REF!</v>
      </c>
      <c r="N249" t="e">
        <f t="shared" si="194"/>
        <v>#REF!</v>
      </c>
      <c r="O249" t="e">
        <f t="shared" si="194"/>
        <v>#REF!</v>
      </c>
      <c r="P249" t="e">
        <f t="shared" si="194"/>
        <v>#REF!</v>
      </c>
      <c r="Q249" t="e">
        <f t="shared" si="194"/>
        <v>#REF!</v>
      </c>
      <c r="R249" t="e">
        <f t="shared" si="194"/>
        <v>#REF!</v>
      </c>
      <c r="S249" t="e">
        <f t="shared" si="194"/>
        <v>#REF!</v>
      </c>
      <c r="T249" t="e">
        <f t="shared" si="193"/>
        <v>#REF!</v>
      </c>
      <c r="U249" t="e">
        <f t="shared" si="193"/>
        <v>#REF!</v>
      </c>
      <c r="V249" t="e">
        <f t="shared" si="193"/>
        <v>#REF!</v>
      </c>
      <c r="W249" t="e">
        <f t="shared" si="193"/>
        <v>#REF!</v>
      </c>
      <c r="X249" t="e">
        <f t="shared" si="183"/>
        <v>#REF!</v>
      </c>
      <c r="Y249" t="e">
        <f t="shared" si="183"/>
        <v>#REF!</v>
      </c>
      <c r="Z249" t="e">
        <f t="shared" si="183"/>
        <v>#REF!</v>
      </c>
      <c r="AA249" t="e">
        <f t="shared" si="183"/>
        <v>#REF!</v>
      </c>
      <c r="AB249" t="e">
        <f t="shared" si="183"/>
        <v>#REF!</v>
      </c>
      <c r="AC249" t="e">
        <f t="shared" si="183"/>
        <v>#REF!</v>
      </c>
      <c r="AD249" t="e">
        <f t="shared" si="183"/>
        <v>#REF!</v>
      </c>
      <c r="AE249" t="e">
        <f t="shared" si="183"/>
        <v>#REF!</v>
      </c>
      <c r="AF249" t="e">
        <f t="shared" si="183"/>
        <v>#REF!</v>
      </c>
      <c r="AG249" t="e">
        <f t="shared" si="183"/>
        <v>#REF!</v>
      </c>
      <c r="AH249" t="e">
        <f t="shared" si="186"/>
        <v>#REF!</v>
      </c>
      <c r="AI249" t="e">
        <f t="shared" si="186"/>
        <v>#REF!</v>
      </c>
      <c r="AJ249" t="e">
        <f t="shared" si="186"/>
        <v>#REF!</v>
      </c>
      <c r="AK249" t="e">
        <f t="shared" si="186"/>
        <v>#REF!</v>
      </c>
      <c r="AL249" t="e">
        <f t="shared" si="186"/>
        <v>#REF!</v>
      </c>
      <c r="AM249" t="e">
        <f t="shared" si="186"/>
        <v>#REF!</v>
      </c>
      <c r="AN249" t="e">
        <f t="shared" si="186"/>
        <v>#REF!</v>
      </c>
      <c r="AO249" t="e">
        <f t="shared" si="186"/>
        <v>#REF!</v>
      </c>
      <c r="AP249" t="e">
        <f t="shared" si="186"/>
        <v>#REF!</v>
      </c>
      <c r="AQ249" t="e">
        <f t="shared" si="186"/>
        <v>#REF!</v>
      </c>
      <c r="AR249" t="e">
        <f t="shared" si="176"/>
        <v>#REF!</v>
      </c>
      <c r="AS249" t="e">
        <f t="shared" si="176"/>
        <v>#REF!</v>
      </c>
      <c r="AT249" t="e">
        <f t="shared" si="176"/>
        <v>#REF!</v>
      </c>
      <c r="AU249" t="e">
        <f t="shared" si="176"/>
        <v>#REF!</v>
      </c>
      <c r="AV249" t="e">
        <f t="shared" si="176"/>
        <v>#REF!</v>
      </c>
      <c r="AW249" t="e">
        <f t="shared" ref="AW249:BA249" si="195">MATCH(CONCATENATE(AW$3,"_",$C249),auto_DataFlat_UID,0)</f>
        <v>#REF!</v>
      </c>
      <c r="AX249" t="e">
        <f t="shared" si="195"/>
        <v>#REF!</v>
      </c>
      <c r="AY249" t="e">
        <f t="shared" si="195"/>
        <v>#REF!</v>
      </c>
      <c r="AZ249" t="e">
        <f t="shared" si="195"/>
        <v>#REF!</v>
      </c>
      <c r="BA249" t="e">
        <f t="shared" si="195"/>
        <v>#REF!</v>
      </c>
      <c r="BB249" t="e">
        <f t="shared" si="173"/>
        <v>#REF!</v>
      </c>
      <c r="BC249" t="e">
        <f t="shared" si="173"/>
        <v>#REF!</v>
      </c>
      <c r="BD249" t="e">
        <f t="shared" si="173"/>
        <v>#REF!</v>
      </c>
      <c r="BE249" t="e">
        <f t="shared" si="173"/>
        <v>#REF!</v>
      </c>
      <c r="BF249" t="e">
        <f t="shared" si="173"/>
        <v>#REF!</v>
      </c>
      <c r="BG249" t="e">
        <f t="shared" si="173"/>
        <v>#REF!</v>
      </c>
      <c r="BH249" t="e">
        <f t="shared" si="173"/>
        <v>#REF!</v>
      </c>
      <c r="BI249" t="e">
        <f t="shared" si="188"/>
        <v>#REF!</v>
      </c>
      <c r="BJ249" t="e">
        <f t="shared" si="188"/>
        <v>#REF!</v>
      </c>
      <c r="BK249" t="e">
        <f t="shared" si="188"/>
        <v>#REF!</v>
      </c>
      <c r="BL249" t="e">
        <f t="shared" si="188"/>
        <v>#REF!</v>
      </c>
      <c r="BM249" t="e">
        <f t="shared" si="188"/>
        <v>#REF!</v>
      </c>
      <c r="BN249" t="e">
        <f t="shared" si="188"/>
        <v>#REF!</v>
      </c>
      <c r="BO249" t="e">
        <f t="shared" si="188"/>
        <v>#REF!</v>
      </c>
      <c r="BP249" t="e">
        <f t="shared" si="188"/>
        <v>#REF!</v>
      </c>
      <c r="BQ249" t="e">
        <f t="shared" si="188"/>
        <v>#REF!</v>
      </c>
      <c r="BR249" t="e">
        <f t="shared" si="188"/>
        <v>#REF!</v>
      </c>
      <c r="BS249" t="e">
        <f t="shared" si="188"/>
        <v>#REF!</v>
      </c>
      <c r="BT249" t="e">
        <f t="shared" si="188"/>
        <v>#REF!</v>
      </c>
      <c r="BU249" t="e">
        <f t="shared" si="188"/>
        <v>#REF!</v>
      </c>
      <c r="BV249" t="e">
        <f t="shared" si="188"/>
        <v>#REF!</v>
      </c>
      <c r="BW249" t="e">
        <f t="shared" si="188"/>
        <v>#REF!</v>
      </c>
      <c r="BX249" t="e">
        <f t="shared" si="188"/>
        <v>#REF!</v>
      </c>
      <c r="BY249" t="e">
        <f t="shared" si="187"/>
        <v>#REF!</v>
      </c>
      <c r="BZ249" t="e">
        <f t="shared" si="187"/>
        <v>#REF!</v>
      </c>
      <c r="CA249" t="e">
        <f t="shared" si="187"/>
        <v>#REF!</v>
      </c>
      <c r="CB249" t="e">
        <f t="shared" si="187"/>
        <v>#REF!</v>
      </c>
      <c r="CC249" t="e">
        <f t="shared" si="187"/>
        <v>#REF!</v>
      </c>
      <c r="CD249" t="e">
        <f t="shared" si="187"/>
        <v>#REF!</v>
      </c>
      <c r="CE249" t="e">
        <f t="shared" si="187"/>
        <v>#REF!</v>
      </c>
      <c r="CF249" t="e">
        <f t="shared" si="187"/>
        <v>#REF!</v>
      </c>
      <c r="CG249" t="e">
        <f t="shared" si="187"/>
        <v>#REF!</v>
      </c>
      <c r="CH249" t="e">
        <f t="shared" si="187"/>
        <v>#REF!</v>
      </c>
      <c r="CI249" t="e">
        <f t="shared" si="187"/>
        <v>#REF!</v>
      </c>
      <c r="CJ249" t="e">
        <f t="shared" si="187"/>
        <v>#REF!</v>
      </c>
      <c r="CK249" t="e">
        <f t="shared" si="187"/>
        <v>#REF!</v>
      </c>
      <c r="CL249" t="e">
        <f t="shared" si="187"/>
        <v>#REF!</v>
      </c>
      <c r="CM249" t="e">
        <f t="shared" si="192"/>
        <v>#REF!</v>
      </c>
      <c r="CN249" t="e">
        <f t="shared" si="192"/>
        <v>#REF!</v>
      </c>
      <c r="CO249" t="e">
        <f t="shared" si="192"/>
        <v>#REF!</v>
      </c>
      <c r="CP249" t="e">
        <f t="shared" si="192"/>
        <v>#REF!</v>
      </c>
      <c r="CQ249" t="e">
        <f t="shared" si="192"/>
        <v>#REF!</v>
      </c>
      <c r="CR249" t="e">
        <f t="shared" si="192"/>
        <v>#REF!</v>
      </c>
      <c r="CS249" t="e">
        <f t="shared" si="192"/>
        <v>#REF!</v>
      </c>
      <c r="CT249" t="e">
        <f t="shared" si="192"/>
        <v>#REF!</v>
      </c>
      <c r="CU249" t="e">
        <f t="shared" si="192"/>
        <v>#REF!</v>
      </c>
      <c r="CV249" t="e">
        <f t="shared" si="192"/>
        <v>#REF!</v>
      </c>
      <c r="CW249" t="e">
        <f t="shared" si="192"/>
        <v>#REF!</v>
      </c>
      <c r="CX249" t="e">
        <f t="shared" si="192"/>
        <v>#REF!</v>
      </c>
      <c r="CY249" t="e">
        <f t="shared" si="192"/>
        <v>#REF!</v>
      </c>
      <c r="CZ249" t="e">
        <f t="shared" si="189"/>
        <v>#REF!</v>
      </c>
      <c r="DA249" t="e">
        <f t="shared" si="189"/>
        <v>#REF!</v>
      </c>
      <c r="DB249" t="e">
        <f t="shared" si="189"/>
        <v>#REF!</v>
      </c>
      <c r="DC249" t="e">
        <f t="shared" si="189"/>
        <v>#REF!</v>
      </c>
      <c r="DD249" t="e">
        <f t="shared" si="189"/>
        <v>#REF!</v>
      </c>
      <c r="DE249" t="e">
        <f t="shared" si="189"/>
        <v>#REF!</v>
      </c>
      <c r="DF249" t="e">
        <f t="shared" si="189"/>
        <v>#REF!</v>
      </c>
      <c r="DG249" t="e">
        <f t="shared" si="189"/>
        <v>#REF!</v>
      </c>
      <c r="DH249" t="e">
        <f t="shared" si="189"/>
        <v>#REF!</v>
      </c>
      <c r="DI249" t="e">
        <f t="shared" si="189"/>
        <v>#REF!</v>
      </c>
      <c r="DJ249" t="e">
        <f t="shared" si="189"/>
        <v>#REF!</v>
      </c>
      <c r="DK249" t="e">
        <f t="shared" si="189"/>
        <v>#REF!</v>
      </c>
      <c r="DL249" t="e">
        <f t="shared" si="191"/>
        <v>#REF!</v>
      </c>
      <c r="DM249" t="e">
        <f t="shared" si="191"/>
        <v>#REF!</v>
      </c>
      <c r="DN249" t="e">
        <f t="shared" si="191"/>
        <v>#REF!</v>
      </c>
      <c r="DO249" t="e">
        <f t="shared" si="191"/>
        <v>#REF!</v>
      </c>
      <c r="DP249" t="e">
        <f t="shared" si="191"/>
        <v>#REF!</v>
      </c>
      <c r="DQ249" t="e">
        <f t="shared" si="191"/>
        <v>#REF!</v>
      </c>
      <c r="DR249" t="e">
        <f t="shared" si="191"/>
        <v>#REF!</v>
      </c>
      <c r="DS249" t="e">
        <f t="shared" si="191"/>
        <v>#REF!</v>
      </c>
      <c r="DT249" t="e">
        <f t="shared" si="191"/>
        <v>#REF!</v>
      </c>
      <c r="DU249" t="e">
        <f t="shared" si="191"/>
        <v>#REF!</v>
      </c>
      <c r="DV249" t="e">
        <f t="shared" si="191"/>
        <v>#REF!</v>
      </c>
      <c r="DW249" t="e">
        <f t="shared" si="191"/>
        <v>#REF!</v>
      </c>
      <c r="DX249" t="e">
        <f t="shared" si="191"/>
        <v>#REF!</v>
      </c>
      <c r="DY249" t="e">
        <f t="shared" si="191"/>
        <v>#REF!</v>
      </c>
      <c r="DZ249" t="e">
        <f t="shared" si="171"/>
        <v>#REF!</v>
      </c>
      <c r="EA249" t="e">
        <f t="shared" si="171"/>
        <v>#REF!</v>
      </c>
      <c r="EB249" t="e">
        <f t="shared" si="171"/>
        <v>#REF!</v>
      </c>
      <c r="EC249" t="e">
        <f t="shared" si="171"/>
        <v>#REF!</v>
      </c>
      <c r="ED249" t="e">
        <f t="shared" si="185"/>
        <v>#REF!</v>
      </c>
      <c r="EE249" t="e">
        <f t="shared" si="185"/>
        <v>#REF!</v>
      </c>
      <c r="EF249" t="e">
        <f t="shared" si="185"/>
        <v>#REF!</v>
      </c>
      <c r="EG249" t="e">
        <f t="shared" si="185"/>
        <v>#REF!</v>
      </c>
      <c r="EH249" t="e">
        <f t="shared" si="185"/>
        <v>#REF!</v>
      </c>
      <c r="EI249" t="e">
        <f t="shared" si="185"/>
        <v>#REF!</v>
      </c>
      <c r="EJ249" t="e">
        <f t="shared" si="185"/>
        <v>#REF!</v>
      </c>
      <c r="EK249" t="e">
        <f t="shared" si="185"/>
        <v>#REF!</v>
      </c>
      <c r="EL249" t="e">
        <f t="shared" si="185"/>
        <v>#REF!</v>
      </c>
      <c r="EM249" t="e">
        <f t="shared" si="185"/>
        <v>#REF!</v>
      </c>
    </row>
    <row r="250" spans="1:143" x14ac:dyDescent="0.4">
      <c r="A250" t="str">
        <f t="shared" si="170"/>
        <v>X</v>
      </c>
      <c r="B250">
        <v>247</v>
      </c>
      <c r="C250" t="e" cm="1">
        <f t="array" ref="C250">INDEX(auto_Series_Code,B250)</f>
        <v>#REF!</v>
      </c>
      <c r="D250" t="e">
        <f t="shared" si="194"/>
        <v>#REF!</v>
      </c>
      <c r="E250" t="e">
        <f t="shared" si="194"/>
        <v>#REF!</v>
      </c>
      <c r="F250" t="e">
        <f t="shared" si="194"/>
        <v>#REF!</v>
      </c>
      <c r="G250" t="e">
        <f t="shared" si="194"/>
        <v>#REF!</v>
      </c>
      <c r="H250" t="e">
        <f t="shared" si="194"/>
        <v>#REF!</v>
      </c>
      <c r="I250" t="e">
        <f t="shared" si="194"/>
        <v>#REF!</v>
      </c>
      <c r="J250" t="e">
        <f t="shared" si="194"/>
        <v>#REF!</v>
      </c>
      <c r="K250" t="e">
        <f t="shared" si="194"/>
        <v>#REF!</v>
      </c>
      <c r="L250" t="e">
        <f t="shared" si="194"/>
        <v>#REF!</v>
      </c>
      <c r="M250" t="e">
        <f t="shared" si="194"/>
        <v>#REF!</v>
      </c>
      <c r="N250" t="e">
        <f t="shared" si="194"/>
        <v>#REF!</v>
      </c>
      <c r="O250" t="e">
        <f t="shared" si="194"/>
        <v>#REF!</v>
      </c>
      <c r="P250" t="e">
        <f t="shared" si="194"/>
        <v>#REF!</v>
      </c>
      <c r="Q250" t="e">
        <f t="shared" si="194"/>
        <v>#REF!</v>
      </c>
      <c r="R250" t="e">
        <f t="shared" si="194"/>
        <v>#REF!</v>
      </c>
      <c r="S250" t="e">
        <f t="shared" si="194"/>
        <v>#REF!</v>
      </c>
      <c r="T250" t="e">
        <f t="shared" si="193"/>
        <v>#REF!</v>
      </c>
      <c r="U250" t="e">
        <f t="shared" si="193"/>
        <v>#REF!</v>
      </c>
      <c r="V250" t="e">
        <f t="shared" si="193"/>
        <v>#REF!</v>
      </c>
      <c r="W250" t="e">
        <f t="shared" si="193"/>
        <v>#REF!</v>
      </c>
      <c r="X250" t="e">
        <f t="shared" si="183"/>
        <v>#REF!</v>
      </c>
      <c r="Y250" t="e">
        <f t="shared" si="183"/>
        <v>#REF!</v>
      </c>
      <c r="Z250" t="e">
        <f t="shared" si="183"/>
        <v>#REF!</v>
      </c>
      <c r="AA250" t="e">
        <f t="shared" si="183"/>
        <v>#REF!</v>
      </c>
      <c r="AB250" t="e">
        <f t="shared" si="183"/>
        <v>#REF!</v>
      </c>
      <c r="AC250" t="e">
        <f t="shared" si="183"/>
        <v>#REF!</v>
      </c>
      <c r="AD250" t="e">
        <f t="shared" si="183"/>
        <v>#REF!</v>
      </c>
      <c r="AE250" t="e">
        <f t="shared" si="183"/>
        <v>#REF!</v>
      </c>
      <c r="AF250" t="e">
        <f t="shared" si="183"/>
        <v>#REF!</v>
      </c>
      <c r="AG250" t="e">
        <f t="shared" si="183"/>
        <v>#REF!</v>
      </c>
      <c r="AH250" t="e">
        <f t="shared" si="186"/>
        <v>#REF!</v>
      </c>
      <c r="AI250" t="e">
        <f t="shared" si="186"/>
        <v>#REF!</v>
      </c>
      <c r="AJ250" t="e">
        <f t="shared" si="186"/>
        <v>#REF!</v>
      </c>
      <c r="AK250" t="e">
        <f t="shared" si="186"/>
        <v>#REF!</v>
      </c>
      <c r="AL250" t="e">
        <f t="shared" si="186"/>
        <v>#REF!</v>
      </c>
      <c r="AM250" t="e">
        <f t="shared" si="186"/>
        <v>#REF!</v>
      </c>
      <c r="AN250" t="e">
        <f t="shared" si="186"/>
        <v>#REF!</v>
      </c>
      <c r="AO250" t="e">
        <f t="shared" si="186"/>
        <v>#REF!</v>
      </c>
      <c r="AP250" t="e">
        <f t="shared" si="186"/>
        <v>#REF!</v>
      </c>
      <c r="AQ250" t="e">
        <f t="shared" si="186"/>
        <v>#REF!</v>
      </c>
      <c r="AR250" t="e">
        <f t="shared" si="186"/>
        <v>#REF!</v>
      </c>
      <c r="AS250" t="e">
        <f t="shared" si="186"/>
        <v>#REF!</v>
      </c>
      <c r="AT250" t="e">
        <f t="shared" ref="AT250:BI272" si="196">MATCH(CONCATENATE(AT$3,"_",$C250),auto_DataFlat_UID,0)</f>
        <v>#REF!</v>
      </c>
      <c r="AU250" t="e">
        <f t="shared" si="196"/>
        <v>#REF!</v>
      </c>
      <c r="AV250" t="e">
        <f t="shared" si="196"/>
        <v>#REF!</v>
      </c>
      <c r="AW250" t="e">
        <f t="shared" si="196"/>
        <v>#REF!</v>
      </c>
      <c r="AX250" t="e">
        <f t="shared" si="196"/>
        <v>#REF!</v>
      </c>
      <c r="AY250" t="e">
        <f t="shared" si="196"/>
        <v>#REF!</v>
      </c>
      <c r="AZ250" t="e">
        <f t="shared" si="196"/>
        <v>#REF!</v>
      </c>
      <c r="BA250" t="e">
        <f t="shared" si="196"/>
        <v>#REF!</v>
      </c>
      <c r="BB250" t="e">
        <f t="shared" si="173"/>
        <v>#REF!</v>
      </c>
      <c r="BC250" t="e">
        <f t="shared" si="173"/>
        <v>#REF!</v>
      </c>
      <c r="BD250" t="e">
        <f t="shared" si="173"/>
        <v>#REF!</v>
      </c>
      <c r="BE250" t="e">
        <f t="shared" si="173"/>
        <v>#REF!</v>
      </c>
      <c r="BF250" t="e">
        <f t="shared" si="173"/>
        <v>#REF!</v>
      </c>
      <c r="BG250" t="e">
        <f t="shared" si="173"/>
        <v>#REF!</v>
      </c>
      <c r="BH250" t="e">
        <f t="shared" si="173"/>
        <v>#REF!</v>
      </c>
      <c r="BI250" t="e">
        <f t="shared" si="188"/>
        <v>#REF!</v>
      </c>
      <c r="BJ250" t="e">
        <f t="shared" si="188"/>
        <v>#REF!</v>
      </c>
      <c r="BK250" t="e">
        <f t="shared" si="188"/>
        <v>#REF!</v>
      </c>
      <c r="BL250" t="e">
        <f t="shared" si="188"/>
        <v>#REF!</v>
      </c>
      <c r="BM250" t="e">
        <f t="shared" si="188"/>
        <v>#REF!</v>
      </c>
      <c r="BN250" t="e">
        <f t="shared" si="188"/>
        <v>#REF!</v>
      </c>
      <c r="BO250" t="e">
        <f t="shared" si="188"/>
        <v>#REF!</v>
      </c>
      <c r="BP250" t="e">
        <f t="shared" si="188"/>
        <v>#REF!</v>
      </c>
      <c r="BQ250" t="e">
        <f t="shared" si="188"/>
        <v>#REF!</v>
      </c>
      <c r="BR250" t="e">
        <f t="shared" si="188"/>
        <v>#REF!</v>
      </c>
      <c r="BS250" t="e">
        <f t="shared" si="188"/>
        <v>#REF!</v>
      </c>
      <c r="BT250" t="e">
        <f t="shared" si="188"/>
        <v>#REF!</v>
      </c>
      <c r="BU250" t="e">
        <f t="shared" si="188"/>
        <v>#REF!</v>
      </c>
      <c r="BV250" t="e">
        <f t="shared" si="188"/>
        <v>#REF!</v>
      </c>
      <c r="BW250" t="e">
        <f t="shared" si="188"/>
        <v>#REF!</v>
      </c>
      <c r="BX250" t="e">
        <f t="shared" si="188"/>
        <v>#REF!</v>
      </c>
      <c r="BY250" t="e">
        <f t="shared" si="187"/>
        <v>#REF!</v>
      </c>
      <c r="BZ250" t="e">
        <f t="shared" si="187"/>
        <v>#REF!</v>
      </c>
      <c r="CA250" t="e">
        <f t="shared" si="187"/>
        <v>#REF!</v>
      </c>
      <c r="CB250" t="e">
        <f t="shared" si="187"/>
        <v>#REF!</v>
      </c>
      <c r="CC250" t="e">
        <f t="shared" si="187"/>
        <v>#REF!</v>
      </c>
      <c r="CD250" t="e">
        <f t="shared" si="187"/>
        <v>#REF!</v>
      </c>
      <c r="CE250" t="e">
        <f t="shared" si="187"/>
        <v>#REF!</v>
      </c>
      <c r="CF250" t="e">
        <f t="shared" si="187"/>
        <v>#REF!</v>
      </c>
      <c r="CG250" t="e">
        <f t="shared" si="187"/>
        <v>#REF!</v>
      </c>
      <c r="CH250" t="e">
        <f t="shared" si="187"/>
        <v>#REF!</v>
      </c>
      <c r="CI250" t="e">
        <f t="shared" si="187"/>
        <v>#REF!</v>
      </c>
      <c r="CJ250" t="e">
        <f t="shared" si="187"/>
        <v>#REF!</v>
      </c>
      <c r="CK250" t="e">
        <f t="shared" si="187"/>
        <v>#REF!</v>
      </c>
      <c r="CL250" t="e">
        <f t="shared" si="187"/>
        <v>#REF!</v>
      </c>
      <c r="CM250" t="e">
        <f t="shared" si="192"/>
        <v>#REF!</v>
      </c>
      <c r="CN250" t="e">
        <f t="shared" si="192"/>
        <v>#REF!</v>
      </c>
      <c r="CO250" t="e">
        <f t="shared" si="192"/>
        <v>#REF!</v>
      </c>
      <c r="CP250" t="e">
        <f t="shared" si="192"/>
        <v>#REF!</v>
      </c>
      <c r="CQ250" t="e">
        <f t="shared" si="192"/>
        <v>#REF!</v>
      </c>
      <c r="CR250" t="e">
        <f t="shared" si="192"/>
        <v>#REF!</v>
      </c>
      <c r="CS250" t="e">
        <f t="shared" si="192"/>
        <v>#REF!</v>
      </c>
      <c r="CT250" t="e">
        <f t="shared" si="192"/>
        <v>#REF!</v>
      </c>
      <c r="CU250" t="e">
        <f t="shared" si="192"/>
        <v>#REF!</v>
      </c>
      <c r="CV250" t="e">
        <f t="shared" si="192"/>
        <v>#REF!</v>
      </c>
      <c r="CW250" t="e">
        <f t="shared" si="192"/>
        <v>#REF!</v>
      </c>
      <c r="CX250" t="e">
        <f t="shared" si="192"/>
        <v>#REF!</v>
      </c>
      <c r="CY250" t="e">
        <f t="shared" si="192"/>
        <v>#REF!</v>
      </c>
      <c r="CZ250" t="e">
        <f t="shared" si="189"/>
        <v>#REF!</v>
      </c>
      <c r="DA250" t="e">
        <f t="shared" si="189"/>
        <v>#REF!</v>
      </c>
      <c r="DB250" t="e">
        <f t="shared" si="189"/>
        <v>#REF!</v>
      </c>
      <c r="DC250" t="e">
        <f t="shared" si="189"/>
        <v>#REF!</v>
      </c>
      <c r="DD250" t="e">
        <f t="shared" si="189"/>
        <v>#REF!</v>
      </c>
      <c r="DE250" t="e">
        <f t="shared" si="189"/>
        <v>#REF!</v>
      </c>
      <c r="DF250" t="e">
        <f t="shared" si="189"/>
        <v>#REF!</v>
      </c>
      <c r="DG250" t="e">
        <f t="shared" si="189"/>
        <v>#REF!</v>
      </c>
      <c r="DH250" t="e">
        <f t="shared" si="189"/>
        <v>#REF!</v>
      </c>
      <c r="DI250" t="e">
        <f t="shared" si="189"/>
        <v>#REF!</v>
      </c>
      <c r="DJ250" t="e">
        <f t="shared" si="189"/>
        <v>#REF!</v>
      </c>
      <c r="DK250" t="e">
        <f t="shared" si="189"/>
        <v>#REF!</v>
      </c>
      <c r="DL250" t="e">
        <f t="shared" si="191"/>
        <v>#REF!</v>
      </c>
      <c r="DM250" t="e">
        <f t="shared" si="191"/>
        <v>#REF!</v>
      </c>
      <c r="DN250" t="e">
        <f t="shared" si="191"/>
        <v>#REF!</v>
      </c>
      <c r="DO250" t="e">
        <f t="shared" si="191"/>
        <v>#REF!</v>
      </c>
      <c r="DP250" t="e">
        <f t="shared" si="191"/>
        <v>#REF!</v>
      </c>
      <c r="DQ250" t="e">
        <f t="shared" si="191"/>
        <v>#REF!</v>
      </c>
      <c r="DR250" t="e">
        <f t="shared" si="191"/>
        <v>#REF!</v>
      </c>
      <c r="DS250" t="e">
        <f t="shared" si="191"/>
        <v>#REF!</v>
      </c>
      <c r="DT250" t="e">
        <f t="shared" si="191"/>
        <v>#REF!</v>
      </c>
      <c r="DU250" t="e">
        <f t="shared" si="191"/>
        <v>#REF!</v>
      </c>
      <c r="DV250" t="e">
        <f t="shared" si="191"/>
        <v>#REF!</v>
      </c>
      <c r="DW250" t="e">
        <f t="shared" si="191"/>
        <v>#REF!</v>
      </c>
      <c r="DX250" t="e">
        <f t="shared" si="191"/>
        <v>#REF!</v>
      </c>
      <c r="DY250" t="e">
        <f t="shared" si="191"/>
        <v>#REF!</v>
      </c>
      <c r="DZ250" t="e">
        <f t="shared" si="171"/>
        <v>#REF!</v>
      </c>
      <c r="EA250" t="e">
        <f t="shared" si="171"/>
        <v>#REF!</v>
      </c>
      <c r="EB250" t="e">
        <f t="shared" si="171"/>
        <v>#REF!</v>
      </c>
      <c r="EC250" t="e">
        <f t="shared" si="171"/>
        <v>#REF!</v>
      </c>
      <c r="ED250" t="e">
        <f t="shared" si="185"/>
        <v>#REF!</v>
      </c>
      <c r="EE250" t="e">
        <f t="shared" si="185"/>
        <v>#REF!</v>
      </c>
      <c r="EF250" t="e">
        <f t="shared" si="185"/>
        <v>#REF!</v>
      </c>
      <c r="EG250" t="e">
        <f t="shared" si="185"/>
        <v>#REF!</v>
      </c>
      <c r="EH250" t="e">
        <f t="shared" si="185"/>
        <v>#REF!</v>
      </c>
      <c r="EI250" t="e">
        <f t="shared" si="185"/>
        <v>#REF!</v>
      </c>
      <c r="EJ250" t="e">
        <f t="shared" si="185"/>
        <v>#REF!</v>
      </c>
      <c r="EK250" t="e">
        <f t="shared" si="185"/>
        <v>#REF!</v>
      </c>
      <c r="EL250" t="e">
        <f t="shared" si="185"/>
        <v>#REF!</v>
      </c>
      <c r="EM250" t="e">
        <f t="shared" si="185"/>
        <v>#REF!</v>
      </c>
    </row>
    <row r="251" spans="1:143" x14ac:dyDescent="0.4">
      <c r="A251" t="str">
        <f t="shared" si="170"/>
        <v>X</v>
      </c>
      <c r="B251">
        <v>248</v>
      </c>
      <c r="C251" t="e" cm="1">
        <f t="array" ref="C251">INDEX(auto_Series_Code,B251)</f>
        <v>#REF!</v>
      </c>
      <c r="D251" t="e">
        <f t="shared" si="194"/>
        <v>#REF!</v>
      </c>
      <c r="E251" t="e">
        <f t="shared" si="194"/>
        <v>#REF!</v>
      </c>
      <c r="F251" t="e">
        <f t="shared" si="194"/>
        <v>#REF!</v>
      </c>
      <c r="G251" t="e">
        <f t="shared" si="194"/>
        <v>#REF!</v>
      </c>
      <c r="H251" t="e">
        <f t="shared" si="194"/>
        <v>#REF!</v>
      </c>
      <c r="I251" t="e">
        <f t="shared" si="194"/>
        <v>#REF!</v>
      </c>
      <c r="J251" t="e">
        <f t="shared" si="194"/>
        <v>#REF!</v>
      </c>
      <c r="K251" t="e">
        <f t="shared" si="194"/>
        <v>#REF!</v>
      </c>
      <c r="L251" t="e">
        <f t="shared" si="194"/>
        <v>#REF!</v>
      </c>
      <c r="M251" t="e">
        <f t="shared" si="194"/>
        <v>#REF!</v>
      </c>
      <c r="N251" t="e">
        <f t="shared" si="194"/>
        <v>#REF!</v>
      </c>
      <c r="O251" t="e">
        <f t="shared" si="194"/>
        <v>#REF!</v>
      </c>
      <c r="P251" t="e">
        <f t="shared" si="194"/>
        <v>#REF!</v>
      </c>
      <c r="Q251" t="e">
        <f t="shared" si="194"/>
        <v>#REF!</v>
      </c>
      <c r="R251" t="e">
        <f t="shared" si="194"/>
        <v>#REF!</v>
      </c>
      <c r="S251" t="e">
        <f t="shared" si="194"/>
        <v>#REF!</v>
      </c>
      <c r="T251" t="e">
        <f t="shared" si="193"/>
        <v>#REF!</v>
      </c>
      <c r="U251" t="e">
        <f t="shared" si="193"/>
        <v>#REF!</v>
      </c>
      <c r="V251" t="e">
        <f t="shared" si="193"/>
        <v>#REF!</v>
      </c>
      <c r="W251" t="e">
        <f t="shared" si="193"/>
        <v>#REF!</v>
      </c>
      <c r="X251" t="e">
        <f t="shared" si="183"/>
        <v>#REF!</v>
      </c>
      <c r="Y251" t="e">
        <f t="shared" si="183"/>
        <v>#REF!</v>
      </c>
      <c r="Z251" t="e">
        <f t="shared" si="183"/>
        <v>#REF!</v>
      </c>
      <c r="AA251" t="e">
        <f t="shared" si="183"/>
        <v>#REF!</v>
      </c>
      <c r="AB251" t="e">
        <f t="shared" si="183"/>
        <v>#REF!</v>
      </c>
      <c r="AC251" t="e">
        <f t="shared" si="183"/>
        <v>#REF!</v>
      </c>
      <c r="AD251" t="e">
        <f t="shared" si="183"/>
        <v>#REF!</v>
      </c>
      <c r="AE251" t="e">
        <f t="shared" si="183"/>
        <v>#REF!</v>
      </c>
      <c r="AF251" t="e">
        <f t="shared" si="183"/>
        <v>#REF!</v>
      </c>
      <c r="AG251" t="e">
        <f t="shared" si="183"/>
        <v>#REF!</v>
      </c>
      <c r="AH251" t="e">
        <f t="shared" si="186"/>
        <v>#REF!</v>
      </c>
      <c r="AI251" t="e">
        <f t="shared" si="186"/>
        <v>#REF!</v>
      </c>
      <c r="AJ251" t="e">
        <f t="shared" si="186"/>
        <v>#REF!</v>
      </c>
      <c r="AK251" t="e">
        <f t="shared" si="186"/>
        <v>#REF!</v>
      </c>
      <c r="AL251" t="e">
        <f t="shared" si="186"/>
        <v>#REF!</v>
      </c>
      <c r="AM251" t="e">
        <f t="shared" si="186"/>
        <v>#REF!</v>
      </c>
      <c r="AN251" t="e">
        <f t="shared" si="186"/>
        <v>#REF!</v>
      </c>
      <c r="AO251" t="e">
        <f t="shared" si="186"/>
        <v>#REF!</v>
      </c>
      <c r="AP251" t="e">
        <f t="shared" si="186"/>
        <v>#REF!</v>
      </c>
      <c r="AQ251" t="e">
        <f t="shared" si="186"/>
        <v>#REF!</v>
      </c>
      <c r="AR251" t="e">
        <f t="shared" si="186"/>
        <v>#REF!</v>
      </c>
      <c r="AS251" t="e">
        <f t="shared" si="186"/>
        <v>#REF!</v>
      </c>
      <c r="AT251" t="e">
        <f t="shared" si="196"/>
        <v>#REF!</v>
      </c>
      <c r="AU251" t="e">
        <f t="shared" si="196"/>
        <v>#REF!</v>
      </c>
      <c r="AV251" t="e">
        <f t="shared" si="196"/>
        <v>#REF!</v>
      </c>
      <c r="AW251" t="e">
        <f t="shared" si="196"/>
        <v>#REF!</v>
      </c>
      <c r="AX251" t="e">
        <f t="shared" si="196"/>
        <v>#REF!</v>
      </c>
      <c r="AY251" t="e">
        <f t="shared" si="196"/>
        <v>#REF!</v>
      </c>
      <c r="AZ251" t="e">
        <f t="shared" si="196"/>
        <v>#REF!</v>
      </c>
      <c r="BA251" t="e">
        <f t="shared" si="196"/>
        <v>#REF!</v>
      </c>
      <c r="BB251" t="e">
        <f t="shared" si="173"/>
        <v>#REF!</v>
      </c>
      <c r="BC251" t="e">
        <f t="shared" si="173"/>
        <v>#REF!</v>
      </c>
      <c r="BD251" t="e">
        <f t="shared" ref="BD251:BS285" si="197">MATCH(CONCATENATE(BD$3,"_",$C251),auto_DataFlat_UID,0)</f>
        <v>#REF!</v>
      </c>
      <c r="BE251" t="e">
        <f t="shared" si="197"/>
        <v>#REF!</v>
      </c>
      <c r="BF251" t="e">
        <f t="shared" si="197"/>
        <v>#REF!</v>
      </c>
      <c r="BG251" t="e">
        <f t="shared" si="197"/>
        <v>#REF!</v>
      </c>
      <c r="BH251" t="e">
        <f t="shared" si="197"/>
        <v>#REF!</v>
      </c>
      <c r="BI251" t="e">
        <f t="shared" si="197"/>
        <v>#REF!</v>
      </c>
      <c r="BJ251" t="e">
        <f t="shared" si="197"/>
        <v>#REF!</v>
      </c>
      <c r="BK251" t="e">
        <f t="shared" si="197"/>
        <v>#REF!</v>
      </c>
      <c r="BL251" t="e">
        <f t="shared" si="188"/>
        <v>#REF!</v>
      </c>
      <c r="BM251" t="e">
        <f t="shared" si="188"/>
        <v>#REF!</v>
      </c>
      <c r="BN251" t="e">
        <f t="shared" si="188"/>
        <v>#REF!</v>
      </c>
      <c r="BO251" t="e">
        <f t="shared" si="188"/>
        <v>#REF!</v>
      </c>
      <c r="BP251" t="e">
        <f t="shared" si="188"/>
        <v>#REF!</v>
      </c>
      <c r="BQ251" t="e">
        <f t="shared" si="188"/>
        <v>#REF!</v>
      </c>
      <c r="BR251" t="e">
        <f t="shared" si="188"/>
        <v>#REF!</v>
      </c>
      <c r="BS251" t="e">
        <f t="shared" si="188"/>
        <v>#REF!</v>
      </c>
      <c r="BT251" t="e">
        <f t="shared" si="188"/>
        <v>#REF!</v>
      </c>
      <c r="BU251" t="e">
        <f t="shared" si="188"/>
        <v>#REF!</v>
      </c>
      <c r="BV251" t="e">
        <f t="shared" si="188"/>
        <v>#REF!</v>
      </c>
      <c r="BW251" t="e">
        <f t="shared" si="188"/>
        <v>#REF!</v>
      </c>
      <c r="BX251" t="e">
        <f t="shared" si="188"/>
        <v>#REF!</v>
      </c>
      <c r="BY251" t="e">
        <f t="shared" si="187"/>
        <v>#REF!</v>
      </c>
      <c r="BZ251" t="e">
        <f t="shared" si="187"/>
        <v>#REF!</v>
      </c>
      <c r="CA251" t="e">
        <f t="shared" si="187"/>
        <v>#REF!</v>
      </c>
      <c r="CB251" t="e">
        <f t="shared" si="187"/>
        <v>#REF!</v>
      </c>
      <c r="CC251" t="e">
        <f t="shared" si="187"/>
        <v>#REF!</v>
      </c>
      <c r="CD251" t="e">
        <f t="shared" si="187"/>
        <v>#REF!</v>
      </c>
      <c r="CE251" t="e">
        <f t="shared" si="187"/>
        <v>#REF!</v>
      </c>
      <c r="CF251" t="e">
        <f t="shared" si="187"/>
        <v>#REF!</v>
      </c>
      <c r="CG251" t="e">
        <f t="shared" si="187"/>
        <v>#REF!</v>
      </c>
      <c r="CH251" t="e">
        <f t="shared" si="187"/>
        <v>#REF!</v>
      </c>
      <c r="CI251" t="e">
        <f t="shared" si="187"/>
        <v>#REF!</v>
      </c>
      <c r="CJ251" t="e">
        <f t="shared" si="187"/>
        <v>#REF!</v>
      </c>
      <c r="CK251" t="e">
        <f t="shared" si="187"/>
        <v>#REF!</v>
      </c>
      <c r="CL251" t="e">
        <f t="shared" si="187"/>
        <v>#REF!</v>
      </c>
      <c r="CM251" t="e">
        <f t="shared" si="192"/>
        <v>#REF!</v>
      </c>
      <c r="CN251" t="e">
        <f t="shared" si="192"/>
        <v>#REF!</v>
      </c>
      <c r="CO251" t="e">
        <f t="shared" si="192"/>
        <v>#REF!</v>
      </c>
      <c r="CP251" t="e">
        <f t="shared" si="192"/>
        <v>#REF!</v>
      </c>
      <c r="CQ251" t="e">
        <f t="shared" si="192"/>
        <v>#REF!</v>
      </c>
      <c r="CR251" t="e">
        <f t="shared" si="192"/>
        <v>#REF!</v>
      </c>
      <c r="CS251" t="e">
        <f t="shared" si="192"/>
        <v>#REF!</v>
      </c>
      <c r="CT251" t="e">
        <f t="shared" si="192"/>
        <v>#REF!</v>
      </c>
      <c r="CU251" t="e">
        <f t="shared" si="192"/>
        <v>#REF!</v>
      </c>
      <c r="CV251" t="e">
        <f t="shared" si="192"/>
        <v>#REF!</v>
      </c>
      <c r="CW251" t="e">
        <f t="shared" si="192"/>
        <v>#REF!</v>
      </c>
      <c r="CX251" t="e">
        <f t="shared" si="192"/>
        <v>#REF!</v>
      </c>
      <c r="CY251" t="e">
        <f t="shared" si="192"/>
        <v>#REF!</v>
      </c>
      <c r="CZ251" t="e">
        <f t="shared" si="189"/>
        <v>#REF!</v>
      </c>
      <c r="DA251" t="e">
        <f t="shared" si="189"/>
        <v>#REF!</v>
      </c>
      <c r="DB251" t="e">
        <f t="shared" si="189"/>
        <v>#REF!</v>
      </c>
      <c r="DC251" t="e">
        <f t="shared" si="189"/>
        <v>#REF!</v>
      </c>
      <c r="DD251" t="e">
        <f t="shared" si="189"/>
        <v>#REF!</v>
      </c>
      <c r="DE251" t="e">
        <f t="shared" si="189"/>
        <v>#REF!</v>
      </c>
      <c r="DF251" t="e">
        <f t="shared" si="189"/>
        <v>#REF!</v>
      </c>
      <c r="DG251" t="e">
        <f t="shared" si="189"/>
        <v>#REF!</v>
      </c>
      <c r="DH251" t="e">
        <f t="shared" si="189"/>
        <v>#REF!</v>
      </c>
      <c r="DI251" t="e">
        <f t="shared" si="189"/>
        <v>#REF!</v>
      </c>
      <c r="DJ251" t="e">
        <f t="shared" si="189"/>
        <v>#REF!</v>
      </c>
      <c r="DK251" t="e">
        <f t="shared" si="189"/>
        <v>#REF!</v>
      </c>
      <c r="DL251" t="e">
        <f t="shared" si="191"/>
        <v>#REF!</v>
      </c>
      <c r="DM251" t="e">
        <f t="shared" si="191"/>
        <v>#REF!</v>
      </c>
      <c r="DN251" t="e">
        <f t="shared" si="191"/>
        <v>#REF!</v>
      </c>
      <c r="DO251" t="e">
        <f t="shared" si="191"/>
        <v>#REF!</v>
      </c>
      <c r="DP251" t="e">
        <f t="shared" si="191"/>
        <v>#REF!</v>
      </c>
      <c r="DQ251" t="e">
        <f t="shared" si="191"/>
        <v>#REF!</v>
      </c>
      <c r="DR251" t="e">
        <f t="shared" si="191"/>
        <v>#REF!</v>
      </c>
      <c r="DS251" t="e">
        <f t="shared" si="191"/>
        <v>#REF!</v>
      </c>
      <c r="DT251" t="e">
        <f t="shared" si="191"/>
        <v>#REF!</v>
      </c>
      <c r="DU251" t="e">
        <f t="shared" si="191"/>
        <v>#REF!</v>
      </c>
      <c r="DV251" t="e">
        <f t="shared" si="191"/>
        <v>#REF!</v>
      </c>
      <c r="DW251" t="e">
        <f t="shared" si="191"/>
        <v>#REF!</v>
      </c>
      <c r="DX251" t="e">
        <f t="shared" si="191"/>
        <v>#REF!</v>
      </c>
      <c r="DY251" t="e">
        <f t="shared" si="191"/>
        <v>#REF!</v>
      </c>
      <c r="DZ251" t="e">
        <f t="shared" si="171"/>
        <v>#REF!</v>
      </c>
      <c r="EA251" t="e">
        <f t="shared" si="171"/>
        <v>#REF!</v>
      </c>
      <c r="EB251" t="e">
        <f t="shared" si="171"/>
        <v>#REF!</v>
      </c>
      <c r="EC251" t="e">
        <f t="shared" si="171"/>
        <v>#REF!</v>
      </c>
      <c r="ED251" t="e">
        <f t="shared" si="185"/>
        <v>#REF!</v>
      </c>
      <c r="EE251" t="e">
        <f t="shared" si="185"/>
        <v>#REF!</v>
      </c>
      <c r="EF251" t="e">
        <f t="shared" si="185"/>
        <v>#REF!</v>
      </c>
      <c r="EG251" t="e">
        <f t="shared" si="185"/>
        <v>#REF!</v>
      </c>
      <c r="EH251" t="e">
        <f t="shared" si="185"/>
        <v>#REF!</v>
      </c>
      <c r="EI251" t="e">
        <f t="shared" si="185"/>
        <v>#REF!</v>
      </c>
      <c r="EJ251" t="e">
        <f t="shared" si="185"/>
        <v>#REF!</v>
      </c>
      <c r="EK251" t="e">
        <f t="shared" si="185"/>
        <v>#REF!</v>
      </c>
      <c r="EL251" t="e">
        <f t="shared" si="185"/>
        <v>#REF!</v>
      </c>
      <c r="EM251" t="e">
        <f t="shared" si="185"/>
        <v>#REF!</v>
      </c>
    </row>
    <row r="252" spans="1:143" x14ac:dyDescent="0.4">
      <c r="A252" t="str">
        <f t="shared" si="170"/>
        <v>X</v>
      </c>
      <c r="B252">
        <v>249</v>
      </c>
      <c r="C252" t="e" cm="1">
        <f t="array" ref="C252">INDEX(auto_Series_Code,B252)</f>
        <v>#REF!</v>
      </c>
      <c r="D252" t="e">
        <f t="shared" si="194"/>
        <v>#REF!</v>
      </c>
      <c r="E252" t="e">
        <f t="shared" si="194"/>
        <v>#REF!</v>
      </c>
      <c r="F252" t="e">
        <f t="shared" si="194"/>
        <v>#REF!</v>
      </c>
      <c r="G252" t="e">
        <f t="shared" si="194"/>
        <v>#REF!</v>
      </c>
      <c r="H252" t="e">
        <f t="shared" si="194"/>
        <v>#REF!</v>
      </c>
      <c r="I252" t="e">
        <f t="shared" si="194"/>
        <v>#REF!</v>
      </c>
      <c r="J252" t="e">
        <f t="shared" si="194"/>
        <v>#REF!</v>
      </c>
      <c r="K252" t="e">
        <f t="shared" si="194"/>
        <v>#REF!</v>
      </c>
      <c r="L252" t="e">
        <f t="shared" si="194"/>
        <v>#REF!</v>
      </c>
      <c r="M252" t="e">
        <f t="shared" si="194"/>
        <v>#REF!</v>
      </c>
      <c r="N252" t="e">
        <f t="shared" si="194"/>
        <v>#REF!</v>
      </c>
      <c r="O252" t="e">
        <f t="shared" si="194"/>
        <v>#REF!</v>
      </c>
      <c r="P252" t="e">
        <f t="shared" si="194"/>
        <v>#REF!</v>
      </c>
      <c r="Q252" t="e">
        <f t="shared" si="194"/>
        <v>#REF!</v>
      </c>
      <c r="R252" t="e">
        <f t="shared" si="194"/>
        <v>#REF!</v>
      </c>
      <c r="S252" t="e">
        <f t="shared" si="194"/>
        <v>#REF!</v>
      </c>
      <c r="T252" t="e">
        <f t="shared" si="193"/>
        <v>#REF!</v>
      </c>
      <c r="U252" t="e">
        <f t="shared" si="193"/>
        <v>#REF!</v>
      </c>
      <c r="V252" t="e">
        <f t="shared" si="193"/>
        <v>#REF!</v>
      </c>
      <c r="W252" t="e">
        <f t="shared" si="193"/>
        <v>#REF!</v>
      </c>
      <c r="X252" t="e">
        <f t="shared" si="183"/>
        <v>#REF!</v>
      </c>
      <c r="Y252" t="e">
        <f t="shared" si="183"/>
        <v>#REF!</v>
      </c>
      <c r="Z252" t="e">
        <f t="shared" si="183"/>
        <v>#REF!</v>
      </c>
      <c r="AA252" t="e">
        <f t="shared" si="183"/>
        <v>#REF!</v>
      </c>
      <c r="AB252" t="e">
        <f t="shared" si="183"/>
        <v>#REF!</v>
      </c>
      <c r="AC252" t="e">
        <f t="shared" si="183"/>
        <v>#REF!</v>
      </c>
      <c r="AD252" t="e">
        <f t="shared" si="183"/>
        <v>#REF!</v>
      </c>
      <c r="AE252" t="e">
        <f t="shared" si="183"/>
        <v>#REF!</v>
      </c>
      <c r="AF252" t="e">
        <f t="shared" si="183"/>
        <v>#REF!</v>
      </c>
      <c r="AG252" t="e">
        <f t="shared" si="183"/>
        <v>#REF!</v>
      </c>
      <c r="AH252" t="e">
        <f t="shared" si="186"/>
        <v>#REF!</v>
      </c>
      <c r="AI252" t="e">
        <f t="shared" si="186"/>
        <v>#REF!</v>
      </c>
      <c r="AJ252" t="e">
        <f t="shared" si="186"/>
        <v>#REF!</v>
      </c>
      <c r="AK252" t="e">
        <f t="shared" si="186"/>
        <v>#REF!</v>
      </c>
      <c r="AL252" t="e">
        <f t="shared" si="186"/>
        <v>#REF!</v>
      </c>
      <c r="AM252" t="e">
        <f t="shared" si="186"/>
        <v>#REF!</v>
      </c>
      <c r="AN252" t="e">
        <f t="shared" si="186"/>
        <v>#REF!</v>
      </c>
      <c r="AO252" t="e">
        <f t="shared" si="186"/>
        <v>#REF!</v>
      </c>
      <c r="AP252" t="e">
        <f t="shared" si="186"/>
        <v>#REF!</v>
      </c>
      <c r="AQ252" t="e">
        <f t="shared" si="186"/>
        <v>#REF!</v>
      </c>
      <c r="AR252" t="e">
        <f t="shared" si="186"/>
        <v>#REF!</v>
      </c>
      <c r="AS252" t="e">
        <f t="shared" si="186"/>
        <v>#REF!</v>
      </c>
      <c r="AT252" t="e">
        <f t="shared" si="196"/>
        <v>#REF!</v>
      </c>
      <c r="AU252" t="e">
        <f t="shared" si="196"/>
        <v>#REF!</v>
      </c>
      <c r="AV252" t="e">
        <f t="shared" si="196"/>
        <v>#REF!</v>
      </c>
      <c r="AW252" t="e">
        <f t="shared" si="196"/>
        <v>#REF!</v>
      </c>
      <c r="AX252" t="e">
        <f t="shared" si="196"/>
        <v>#REF!</v>
      </c>
      <c r="AY252" t="e">
        <f t="shared" si="196"/>
        <v>#REF!</v>
      </c>
      <c r="AZ252" t="e">
        <f t="shared" si="196"/>
        <v>#REF!</v>
      </c>
      <c r="BA252" t="e">
        <f t="shared" si="196"/>
        <v>#REF!</v>
      </c>
      <c r="BB252" t="e">
        <f t="shared" si="196"/>
        <v>#REF!</v>
      </c>
      <c r="BC252" t="e">
        <f t="shared" si="196"/>
        <v>#REF!</v>
      </c>
      <c r="BD252" t="e">
        <f t="shared" si="196"/>
        <v>#REF!</v>
      </c>
      <c r="BE252" t="e">
        <f t="shared" si="196"/>
        <v>#REF!</v>
      </c>
      <c r="BF252" t="e">
        <f t="shared" si="196"/>
        <v>#REF!</v>
      </c>
      <c r="BG252" t="e">
        <f t="shared" si="196"/>
        <v>#REF!</v>
      </c>
      <c r="BH252" t="e">
        <f t="shared" si="196"/>
        <v>#REF!</v>
      </c>
      <c r="BI252" t="e">
        <f t="shared" si="196"/>
        <v>#REF!</v>
      </c>
      <c r="BJ252" t="e">
        <f t="shared" si="197"/>
        <v>#REF!</v>
      </c>
      <c r="BK252" t="e">
        <f t="shared" si="197"/>
        <v>#REF!</v>
      </c>
      <c r="BL252" t="e">
        <f t="shared" si="188"/>
        <v>#REF!</v>
      </c>
      <c r="BM252" t="e">
        <f t="shared" si="188"/>
        <v>#REF!</v>
      </c>
      <c r="BN252" t="e">
        <f t="shared" si="188"/>
        <v>#REF!</v>
      </c>
      <c r="BO252" t="e">
        <f t="shared" si="188"/>
        <v>#REF!</v>
      </c>
      <c r="BP252" t="e">
        <f t="shared" si="188"/>
        <v>#REF!</v>
      </c>
      <c r="BQ252" t="e">
        <f t="shared" si="188"/>
        <v>#REF!</v>
      </c>
      <c r="BR252" t="e">
        <f t="shared" si="188"/>
        <v>#REF!</v>
      </c>
      <c r="BS252" t="e">
        <f t="shared" si="188"/>
        <v>#REF!</v>
      </c>
      <c r="BT252" t="e">
        <f t="shared" si="188"/>
        <v>#REF!</v>
      </c>
      <c r="BU252" t="e">
        <f t="shared" si="188"/>
        <v>#REF!</v>
      </c>
      <c r="BV252" t="e">
        <f t="shared" si="188"/>
        <v>#REF!</v>
      </c>
      <c r="BW252" t="e">
        <f t="shared" si="188"/>
        <v>#REF!</v>
      </c>
      <c r="BX252" t="e">
        <f t="shared" si="188"/>
        <v>#REF!</v>
      </c>
      <c r="BY252" t="e">
        <f t="shared" si="187"/>
        <v>#REF!</v>
      </c>
      <c r="BZ252" t="e">
        <f t="shared" si="187"/>
        <v>#REF!</v>
      </c>
      <c r="CA252" t="e">
        <f t="shared" si="187"/>
        <v>#REF!</v>
      </c>
      <c r="CB252" t="e">
        <f t="shared" si="187"/>
        <v>#REF!</v>
      </c>
      <c r="CC252" t="e">
        <f t="shared" si="187"/>
        <v>#REF!</v>
      </c>
      <c r="CD252" t="e">
        <f t="shared" si="187"/>
        <v>#REF!</v>
      </c>
      <c r="CE252" t="e">
        <f t="shared" si="187"/>
        <v>#REF!</v>
      </c>
      <c r="CF252" t="e">
        <f t="shared" si="187"/>
        <v>#REF!</v>
      </c>
      <c r="CG252" t="e">
        <f t="shared" si="187"/>
        <v>#REF!</v>
      </c>
      <c r="CH252" t="e">
        <f t="shared" si="187"/>
        <v>#REF!</v>
      </c>
      <c r="CI252" t="e">
        <f t="shared" si="187"/>
        <v>#REF!</v>
      </c>
      <c r="CJ252" t="e">
        <f t="shared" si="187"/>
        <v>#REF!</v>
      </c>
      <c r="CK252" t="e">
        <f t="shared" si="187"/>
        <v>#REF!</v>
      </c>
      <c r="CL252" t="e">
        <f t="shared" si="187"/>
        <v>#REF!</v>
      </c>
      <c r="CM252" t="e">
        <f t="shared" si="192"/>
        <v>#REF!</v>
      </c>
      <c r="CN252" t="e">
        <f t="shared" si="192"/>
        <v>#REF!</v>
      </c>
      <c r="CO252" t="e">
        <f t="shared" si="192"/>
        <v>#REF!</v>
      </c>
      <c r="CP252" t="e">
        <f t="shared" si="192"/>
        <v>#REF!</v>
      </c>
      <c r="CQ252" t="e">
        <f t="shared" si="192"/>
        <v>#REF!</v>
      </c>
      <c r="CR252" t="e">
        <f t="shared" si="192"/>
        <v>#REF!</v>
      </c>
      <c r="CS252" t="e">
        <f t="shared" si="192"/>
        <v>#REF!</v>
      </c>
      <c r="CT252" t="e">
        <f t="shared" si="192"/>
        <v>#REF!</v>
      </c>
      <c r="CU252" t="e">
        <f t="shared" si="192"/>
        <v>#REF!</v>
      </c>
      <c r="CV252" t="e">
        <f t="shared" si="192"/>
        <v>#REF!</v>
      </c>
      <c r="CW252" t="e">
        <f t="shared" si="192"/>
        <v>#REF!</v>
      </c>
      <c r="CX252" t="e">
        <f t="shared" si="192"/>
        <v>#REF!</v>
      </c>
      <c r="CY252" t="e">
        <f t="shared" si="192"/>
        <v>#REF!</v>
      </c>
      <c r="CZ252" t="e">
        <f t="shared" si="189"/>
        <v>#REF!</v>
      </c>
      <c r="DA252" t="e">
        <f t="shared" si="189"/>
        <v>#REF!</v>
      </c>
      <c r="DB252" t="e">
        <f t="shared" si="189"/>
        <v>#REF!</v>
      </c>
      <c r="DC252" t="e">
        <f t="shared" si="189"/>
        <v>#REF!</v>
      </c>
      <c r="DD252" t="e">
        <f t="shared" si="189"/>
        <v>#REF!</v>
      </c>
      <c r="DE252" t="e">
        <f t="shared" si="189"/>
        <v>#REF!</v>
      </c>
      <c r="DF252" t="e">
        <f t="shared" si="189"/>
        <v>#REF!</v>
      </c>
      <c r="DG252" t="e">
        <f t="shared" si="189"/>
        <v>#REF!</v>
      </c>
      <c r="DH252" t="e">
        <f t="shared" si="189"/>
        <v>#REF!</v>
      </c>
      <c r="DI252" t="e">
        <f t="shared" si="189"/>
        <v>#REF!</v>
      </c>
      <c r="DJ252" t="e">
        <f t="shared" si="189"/>
        <v>#REF!</v>
      </c>
      <c r="DK252" t="e">
        <f t="shared" si="189"/>
        <v>#REF!</v>
      </c>
      <c r="DL252" t="e">
        <f t="shared" si="191"/>
        <v>#REF!</v>
      </c>
      <c r="DM252" t="e">
        <f t="shared" si="191"/>
        <v>#REF!</v>
      </c>
      <c r="DN252" t="e">
        <f t="shared" si="191"/>
        <v>#REF!</v>
      </c>
      <c r="DO252" t="e">
        <f t="shared" si="191"/>
        <v>#REF!</v>
      </c>
      <c r="DP252" t="e">
        <f t="shared" si="191"/>
        <v>#REF!</v>
      </c>
      <c r="DQ252" t="e">
        <f t="shared" si="191"/>
        <v>#REF!</v>
      </c>
      <c r="DR252" t="e">
        <f t="shared" si="191"/>
        <v>#REF!</v>
      </c>
      <c r="DS252" t="e">
        <f t="shared" si="191"/>
        <v>#REF!</v>
      </c>
      <c r="DT252" t="e">
        <f t="shared" si="191"/>
        <v>#REF!</v>
      </c>
      <c r="DU252" t="e">
        <f t="shared" si="191"/>
        <v>#REF!</v>
      </c>
      <c r="DV252" t="e">
        <f t="shared" si="191"/>
        <v>#REF!</v>
      </c>
      <c r="DW252" t="e">
        <f t="shared" si="191"/>
        <v>#REF!</v>
      </c>
      <c r="DX252" t="e">
        <f t="shared" si="191"/>
        <v>#REF!</v>
      </c>
      <c r="DY252" t="e">
        <f t="shared" si="191"/>
        <v>#REF!</v>
      </c>
      <c r="DZ252" t="e">
        <f t="shared" si="171"/>
        <v>#REF!</v>
      </c>
      <c r="EA252" t="e">
        <f t="shared" si="171"/>
        <v>#REF!</v>
      </c>
      <c r="EB252" t="e">
        <f t="shared" si="171"/>
        <v>#REF!</v>
      </c>
      <c r="EC252" t="e">
        <f t="shared" si="171"/>
        <v>#REF!</v>
      </c>
      <c r="ED252" t="e">
        <f t="shared" si="185"/>
        <v>#REF!</v>
      </c>
      <c r="EE252" t="e">
        <f t="shared" si="185"/>
        <v>#REF!</v>
      </c>
      <c r="EF252" t="e">
        <f t="shared" si="185"/>
        <v>#REF!</v>
      </c>
      <c r="EG252" t="e">
        <f t="shared" si="185"/>
        <v>#REF!</v>
      </c>
      <c r="EH252" t="e">
        <f t="shared" si="185"/>
        <v>#REF!</v>
      </c>
      <c r="EI252" t="e">
        <f t="shared" si="185"/>
        <v>#REF!</v>
      </c>
      <c r="EJ252" t="e">
        <f t="shared" si="185"/>
        <v>#REF!</v>
      </c>
      <c r="EK252" t="e">
        <f t="shared" si="185"/>
        <v>#REF!</v>
      </c>
      <c r="EL252" t="e">
        <f t="shared" si="185"/>
        <v>#REF!</v>
      </c>
      <c r="EM252" t="e">
        <f t="shared" si="185"/>
        <v>#REF!</v>
      </c>
    </row>
    <row r="253" spans="1:143" x14ac:dyDescent="0.4">
      <c r="A253" t="str">
        <f t="shared" si="170"/>
        <v>X</v>
      </c>
      <c r="B253">
        <v>250</v>
      </c>
      <c r="C253" t="e" cm="1">
        <f t="array" ref="C253">INDEX(auto_Series_Code,B253)</f>
        <v>#REF!</v>
      </c>
      <c r="D253" t="e">
        <f t="shared" si="194"/>
        <v>#REF!</v>
      </c>
      <c r="E253" t="e">
        <f t="shared" si="194"/>
        <v>#REF!</v>
      </c>
      <c r="F253" t="e">
        <f t="shared" si="194"/>
        <v>#REF!</v>
      </c>
      <c r="G253" t="e">
        <f t="shared" si="194"/>
        <v>#REF!</v>
      </c>
      <c r="H253" t="e">
        <f t="shared" si="194"/>
        <v>#REF!</v>
      </c>
      <c r="I253" t="e">
        <f t="shared" si="194"/>
        <v>#REF!</v>
      </c>
      <c r="J253" t="e">
        <f t="shared" si="194"/>
        <v>#REF!</v>
      </c>
      <c r="K253" t="e">
        <f t="shared" si="194"/>
        <v>#REF!</v>
      </c>
      <c r="L253" t="e">
        <f t="shared" si="194"/>
        <v>#REF!</v>
      </c>
      <c r="M253" t="e">
        <f t="shared" si="194"/>
        <v>#REF!</v>
      </c>
      <c r="N253" t="e">
        <f t="shared" si="194"/>
        <v>#REF!</v>
      </c>
      <c r="O253" t="e">
        <f t="shared" si="194"/>
        <v>#REF!</v>
      </c>
      <c r="P253" t="e">
        <f t="shared" si="194"/>
        <v>#REF!</v>
      </c>
      <c r="Q253" t="e">
        <f t="shared" si="194"/>
        <v>#REF!</v>
      </c>
      <c r="R253" t="e">
        <f t="shared" si="194"/>
        <v>#REF!</v>
      </c>
      <c r="S253" t="e">
        <f t="shared" si="194"/>
        <v>#REF!</v>
      </c>
      <c r="T253" t="e">
        <f t="shared" si="193"/>
        <v>#REF!</v>
      </c>
      <c r="U253" t="e">
        <f t="shared" si="193"/>
        <v>#REF!</v>
      </c>
      <c r="V253" t="e">
        <f t="shared" si="193"/>
        <v>#REF!</v>
      </c>
      <c r="W253" t="e">
        <f t="shared" si="193"/>
        <v>#REF!</v>
      </c>
      <c r="X253" t="e">
        <f t="shared" si="183"/>
        <v>#REF!</v>
      </c>
      <c r="Y253" t="e">
        <f t="shared" si="183"/>
        <v>#REF!</v>
      </c>
      <c r="Z253" t="e">
        <f t="shared" si="183"/>
        <v>#REF!</v>
      </c>
      <c r="AA253" t="e">
        <f t="shared" si="183"/>
        <v>#REF!</v>
      </c>
      <c r="AB253" t="e">
        <f t="shared" si="183"/>
        <v>#REF!</v>
      </c>
      <c r="AC253" t="e">
        <f t="shared" si="183"/>
        <v>#REF!</v>
      </c>
      <c r="AD253" t="e">
        <f t="shared" si="183"/>
        <v>#REF!</v>
      </c>
      <c r="AE253" t="e">
        <f t="shared" si="183"/>
        <v>#REF!</v>
      </c>
      <c r="AF253" t="e">
        <f t="shared" si="183"/>
        <v>#REF!</v>
      </c>
      <c r="AG253" t="e">
        <f t="shared" si="183"/>
        <v>#REF!</v>
      </c>
      <c r="AH253" t="e">
        <f t="shared" si="186"/>
        <v>#REF!</v>
      </c>
      <c r="AI253" t="e">
        <f t="shared" si="186"/>
        <v>#REF!</v>
      </c>
      <c r="AJ253" t="e">
        <f t="shared" si="186"/>
        <v>#REF!</v>
      </c>
      <c r="AK253" t="e">
        <f t="shared" si="186"/>
        <v>#REF!</v>
      </c>
      <c r="AL253" t="e">
        <f t="shared" si="186"/>
        <v>#REF!</v>
      </c>
      <c r="AM253" t="e">
        <f t="shared" si="186"/>
        <v>#REF!</v>
      </c>
      <c r="AN253" t="e">
        <f t="shared" si="186"/>
        <v>#REF!</v>
      </c>
      <c r="AO253" t="e">
        <f t="shared" si="186"/>
        <v>#REF!</v>
      </c>
      <c r="AP253" t="e">
        <f t="shared" si="186"/>
        <v>#REF!</v>
      </c>
      <c r="AQ253" t="e">
        <f t="shared" si="186"/>
        <v>#REF!</v>
      </c>
      <c r="AR253" t="e">
        <f t="shared" si="186"/>
        <v>#REF!</v>
      </c>
      <c r="AS253" t="e">
        <f t="shared" si="186"/>
        <v>#REF!</v>
      </c>
      <c r="AT253" t="e">
        <f t="shared" si="196"/>
        <v>#REF!</v>
      </c>
      <c r="AU253" t="e">
        <f t="shared" si="196"/>
        <v>#REF!</v>
      </c>
      <c r="AV253" t="e">
        <f t="shared" si="196"/>
        <v>#REF!</v>
      </c>
      <c r="AW253" t="e">
        <f t="shared" si="196"/>
        <v>#REF!</v>
      </c>
      <c r="AX253" t="e">
        <f t="shared" si="196"/>
        <v>#REF!</v>
      </c>
      <c r="AY253" t="e">
        <f t="shared" si="196"/>
        <v>#REF!</v>
      </c>
      <c r="AZ253" t="e">
        <f t="shared" si="196"/>
        <v>#REF!</v>
      </c>
      <c r="BA253" t="e">
        <f t="shared" si="196"/>
        <v>#REF!</v>
      </c>
      <c r="BB253" t="e">
        <f t="shared" si="196"/>
        <v>#REF!</v>
      </c>
      <c r="BC253" t="e">
        <f t="shared" si="196"/>
        <v>#REF!</v>
      </c>
      <c r="BD253" t="e">
        <f t="shared" si="196"/>
        <v>#REF!</v>
      </c>
      <c r="BE253" t="e">
        <f t="shared" si="196"/>
        <v>#REF!</v>
      </c>
      <c r="BF253" t="e">
        <f t="shared" si="196"/>
        <v>#REF!</v>
      </c>
      <c r="BG253" t="e">
        <f t="shared" si="196"/>
        <v>#REF!</v>
      </c>
      <c r="BH253" t="e">
        <f t="shared" si="196"/>
        <v>#REF!</v>
      </c>
      <c r="BI253" t="e">
        <f t="shared" si="196"/>
        <v>#REF!</v>
      </c>
      <c r="BJ253" t="e">
        <f t="shared" si="197"/>
        <v>#REF!</v>
      </c>
      <c r="BK253" t="e">
        <f t="shared" si="197"/>
        <v>#REF!</v>
      </c>
      <c r="BL253" t="e">
        <f t="shared" si="188"/>
        <v>#REF!</v>
      </c>
      <c r="BM253" t="e">
        <f t="shared" si="188"/>
        <v>#REF!</v>
      </c>
      <c r="BN253" t="e">
        <f t="shared" si="188"/>
        <v>#REF!</v>
      </c>
      <c r="BO253" t="e">
        <f t="shared" si="188"/>
        <v>#REF!</v>
      </c>
      <c r="BP253" t="e">
        <f t="shared" si="188"/>
        <v>#REF!</v>
      </c>
      <c r="BQ253" t="e">
        <f t="shared" si="188"/>
        <v>#REF!</v>
      </c>
      <c r="BR253" t="e">
        <f t="shared" si="188"/>
        <v>#REF!</v>
      </c>
      <c r="BS253" t="e">
        <f t="shared" si="188"/>
        <v>#REF!</v>
      </c>
      <c r="BT253" t="e">
        <f t="shared" si="188"/>
        <v>#REF!</v>
      </c>
      <c r="BU253" t="e">
        <f t="shared" si="188"/>
        <v>#REF!</v>
      </c>
      <c r="BV253" t="e">
        <f t="shared" si="188"/>
        <v>#REF!</v>
      </c>
      <c r="BW253" t="e">
        <f t="shared" si="188"/>
        <v>#REF!</v>
      </c>
      <c r="BX253" t="e">
        <f t="shared" si="188"/>
        <v>#REF!</v>
      </c>
      <c r="BY253" t="e">
        <f t="shared" si="187"/>
        <v>#REF!</v>
      </c>
      <c r="BZ253" t="e">
        <f t="shared" si="187"/>
        <v>#REF!</v>
      </c>
      <c r="CA253" t="e">
        <f t="shared" si="187"/>
        <v>#REF!</v>
      </c>
      <c r="CB253" t="e">
        <f t="shared" si="187"/>
        <v>#REF!</v>
      </c>
      <c r="CC253" t="e">
        <f t="shared" si="187"/>
        <v>#REF!</v>
      </c>
      <c r="CD253" t="e">
        <f t="shared" si="187"/>
        <v>#REF!</v>
      </c>
      <c r="CE253" t="e">
        <f t="shared" si="187"/>
        <v>#REF!</v>
      </c>
      <c r="CF253" t="e">
        <f t="shared" si="187"/>
        <v>#REF!</v>
      </c>
      <c r="CG253" t="e">
        <f t="shared" si="187"/>
        <v>#REF!</v>
      </c>
      <c r="CH253" t="e">
        <f t="shared" si="187"/>
        <v>#REF!</v>
      </c>
      <c r="CI253" t="e">
        <f t="shared" si="187"/>
        <v>#REF!</v>
      </c>
      <c r="CJ253" t="e">
        <f t="shared" si="187"/>
        <v>#REF!</v>
      </c>
      <c r="CK253" t="e">
        <f t="shared" si="187"/>
        <v>#REF!</v>
      </c>
      <c r="CL253" t="e">
        <f t="shared" si="187"/>
        <v>#REF!</v>
      </c>
      <c r="CM253" t="e">
        <f t="shared" si="192"/>
        <v>#REF!</v>
      </c>
      <c r="CN253" t="e">
        <f t="shared" si="192"/>
        <v>#REF!</v>
      </c>
      <c r="CO253" t="e">
        <f t="shared" si="192"/>
        <v>#REF!</v>
      </c>
      <c r="CP253" t="e">
        <f t="shared" si="192"/>
        <v>#REF!</v>
      </c>
      <c r="CQ253" t="e">
        <f t="shared" si="192"/>
        <v>#REF!</v>
      </c>
      <c r="CR253" t="e">
        <f t="shared" si="192"/>
        <v>#REF!</v>
      </c>
      <c r="CS253" t="e">
        <f t="shared" si="192"/>
        <v>#REF!</v>
      </c>
      <c r="CT253" t="e">
        <f t="shared" si="192"/>
        <v>#REF!</v>
      </c>
      <c r="CU253" t="e">
        <f t="shared" si="192"/>
        <v>#REF!</v>
      </c>
      <c r="CV253" t="e">
        <f t="shared" si="192"/>
        <v>#REF!</v>
      </c>
      <c r="CW253" t="e">
        <f t="shared" si="192"/>
        <v>#REF!</v>
      </c>
      <c r="CX253" t="e">
        <f t="shared" si="192"/>
        <v>#REF!</v>
      </c>
      <c r="CY253" t="e">
        <f t="shared" si="192"/>
        <v>#REF!</v>
      </c>
      <c r="CZ253" t="e">
        <f t="shared" si="189"/>
        <v>#REF!</v>
      </c>
      <c r="DA253" t="e">
        <f t="shared" si="189"/>
        <v>#REF!</v>
      </c>
      <c r="DB253" t="e">
        <f t="shared" si="189"/>
        <v>#REF!</v>
      </c>
      <c r="DC253" t="e">
        <f t="shared" si="189"/>
        <v>#REF!</v>
      </c>
      <c r="DD253" t="e">
        <f t="shared" si="189"/>
        <v>#REF!</v>
      </c>
      <c r="DE253" t="e">
        <f t="shared" si="189"/>
        <v>#REF!</v>
      </c>
      <c r="DF253" t="e">
        <f t="shared" si="189"/>
        <v>#REF!</v>
      </c>
      <c r="DG253" t="e">
        <f t="shared" si="189"/>
        <v>#REF!</v>
      </c>
      <c r="DH253" t="e">
        <f t="shared" si="189"/>
        <v>#REF!</v>
      </c>
      <c r="DI253" t="e">
        <f t="shared" si="189"/>
        <v>#REF!</v>
      </c>
      <c r="DJ253" t="e">
        <f t="shared" si="189"/>
        <v>#REF!</v>
      </c>
      <c r="DK253" t="e">
        <f t="shared" si="189"/>
        <v>#REF!</v>
      </c>
      <c r="DL253" t="e">
        <f t="shared" si="191"/>
        <v>#REF!</v>
      </c>
      <c r="DM253" t="e">
        <f t="shared" si="191"/>
        <v>#REF!</v>
      </c>
      <c r="DN253" t="e">
        <f t="shared" si="191"/>
        <v>#REF!</v>
      </c>
      <c r="DO253" t="e">
        <f t="shared" si="191"/>
        <v>#REF!</v>
      </c>
      <c r="DP253" t="e">
        <f t="shared" si="191"/>
        <v>#REF!</v>
      </c>
      <c r="DQ253" t="e">
        <f t="shared" si="191"/>
        <v>#REF!</v>
      </c>
      <c r="DR253" t="e">
        <f t="shared" si="191"/>
        <v>#REF!</v>
      </c>
      <c r="DS253" t="e">
        <f t="shared" si="191"/>
        <v>#REF!</v>
      </c>
      <c r="DT253" t="e">
        <f t="shared" si="191"/>
        <v>#REF!</v>
      </c>
      <c r="DU253" t="e">
        <f t="shared" si="191"/>
        <v>#REF!</v>
      </c>
      <c r="DV253" t="e">
        <f t="shared" si="191"/>
        <v>#REF!</v>
      </c>
      <c r="DW253" t="e">
        <f t="shared" si="191"/>
        <v>#REF!</v>
      </c>
      <c r="DX253" t="e">
        <f t="shared" si="191"/>
        <v>#REF!</v>
      </c>
      <c r="DY253" t="e">
        <f t="shared" si="191"/>
        <v>#REF!</v>
      </c>
      <c r="DZ253" t="e">
        <f t="shared" si="171"/>
        <v>#REF!</v>
      </c>
      <c r="EA253" t="e">
        <f t="shared" si="171"/>
        <v>#REF!</v>
      </c>
      <c r="EB253" t="e">
        <f t="shared" si="171"/>
        <v>#REF!</v>
      </c>
      <c r="EC253" t="e">
        <f t="shared" si="171"/>
        <v>#REF!</v>
      </c>
      <c r="ED253" t="e">
        <f t="shared" si="185"/>
        <v>#REF!</v>
      </c>
      <c r="EE253" t="e">
        <f t="shared" si="185"/>
        <v>#REF!</v>
      </c>
      <c r="EF253" t="e">
        <f t="shared" si="185"/>
        <v>#REF!</v>
      </c>
      <c r="EG253" t="e">
        <f t="shared" si="185"/>
        <v>#REF!</v>
      </c>
      <c r="EH253" t="e">
        <f t="shared" si="185"/>
        <v>#REF!</v>
      </c>
      <c r="EI253" t="e">
        <f t="shared" si="185"/>
        <v>#REF!</v>
      </c>
      <c r="EJ253" t="e">
        <f t="shared" si="185"/>
        <v>#REF!</v>
      </c>
      <c r="EK253" t="e">
        <f t="shared" si="185"/>
        <v>#REF!</v>
      </c>
      <c r="EL253" t="e">
        <f t="shared" si="185"/>
        <v>#REF!</v>
      </c>
      <c r="EM253" t="e">
        <f t="shared" si="185"/>
        <v>#REF!</v>
      </c>
    </row>
    <row r="254" spans="1:143" x14ac:dyDescent="0.4">
      <c r="A254" t="str">
        <f t="shared" si="170"/>
        <v>X</v>
      </c>
      <c r="B254">
        <v>251</v>
      </c>
      <c r="C254" t="e" cm="1">
        <f t="array" ref="C254">INDEX(auto_Series_Code,B254)</f>
        <v>#REF!</v>
      </c>
      <c r="D254" t="e">
        <f t="shared" si="194"/>
        <v>#REF!</v>
      </c>
      <c r="E254" t="e">
        <f t="shared" si="194"/>
        <v>#REF!</v>
      </c>
      <c r="F254" t="e">
        <f t="shared" si="194"/>
        <v>#REF!</v>
      </c>
      <c r="G254" t="e">
        <f t="shared" si="194"/>
        <v>#REF!</v>
      </c>
      <c r="H254" t="e">
        <f t="shared" si="194"/>
        <v>#REF!</v>
      </c>
      <c r="I254" t="e">
        <f t="shared" si="194"/>
        <v>#REF!</v>
      </c>
      <c r="J254" t="e">
        <f t="shared" si="194"/>
        <v>#REF!</v>
      </c>
      <c r="K254" t="e">
        <f t="shared" si="194"/>
        <v>#REF!</v>
      </c>
      <c r="L254" t="e">
        <f t="shared" si="194"/>
        <v>#REF!</v>
      </c>
      <c r="M254" t="e">
        <f t="shared" si="194"/>
        <v>#REF!</v>
      </c>
      <c r="N254" t="e">
        <f t="shared" si="194"/>
        <v>#REF!</v>
      </c>
      <c r="O254" t="e">
        <f t="shared" si="194"/>
        <v>#REF!</v>
      </c>
      <c r="P254" t="e">
        <f t="shared" si="194"/>
        <v>#REF!</v>
      </c>
      <c r="Q254" t="e">
        <f t="shared" si="194"/>
        <v>#REF!</v>
      </c>
      <c r="R254" t="e">
        <f t="shared" si="194"/>
        <v>#REF!</v>
      </c>
      <c r="S254" t="e">
        <f t="shared" si="194"/>
        <v>#REF!</v>
      </c>
      <c r="T254" t="e">
        <f t="shared" si="193"/>
        <v>#REF!</v>
      </c>
      <c r="U254" t="e">
        <f t="shared" si="193"/>
        <v>#REF!</v>
      </c>
      <c r="V254" t="e">
        <f t="shared" si="193"/>
        <v>#REF!</v>
      </c>
      <c r="W254" t="e">
        <f t="shared" si="193"/>
        <v>#REF!</v>
      </c>
      <c r="X254" t="e">
        <f t="shared" si="183"/>
        <v>#REF!</v>
      </c>
      <c r="Y254" t="e">
        <f t="shared" si="183"/>
        <v>#REF!</v>
      </c>
      <c r="Z254" t="e">
        <f t="shared" si="183"/>
        <v>#REF!</v>
      </c>
      <c r="AA254" t="e">
        <f t="shared" si="183"/>
        <v>#REF!</v>
      </c>
      <c r="AB254" t="e">
        <f t="shared" si="183"/>
        <v>#REF!</v>
      </c>
      <c r="AC254" t="e">
        <f t="shared" si="183"/>
        <v>#REF!</v>
      </c>
      <c r="AD254" t="e">
        <f t="shared" si="183"/>
        <v>#REF!</v>
      </c>
      <c r="AE254" t="e">
        <f t="shared" si="183"/>
        <v>#REF!</v>
      </c>
      <c r="AF254" t="e">
        <f t="shared" si="183"/>
        <v>#REF!</v>
      </c>
      <c r="AG254" t="e">
        <f t="shared" si="183"/>
        <v>#REF!</v>
      </c>
      <c r="AH254" t="e">
        <f t="shared" si="186"/>
        <v>#REF!</v>
      </c>
      <c r="AI254" t="e">
        <f t="shared" si="186"/>
        <v>#REF!</v>
      </c>
      <c r="AJ254" t="e">
        <f t="shared" si="186"/>
        <v>#REF!</v>
      </c>
      <c r="AK254" t="e">
        <f t="shared" si="186"/>
        <v>#REF!</v>
      </c>
      <c r="AL254" t="e">
        <f t="shared" si="186"/>
        <v>#REF!</v>
      </c>
      <c r="AM254" t="e">
        <f t="shared" si="186"/>
        <v>#REF!</v>
      </c>
      <c r="AN254" t="e">
        <f t="shared" si="186"/>
        <v>#REF!</v>
      </c>
      <c r="AO254" t="e">
        <f t="shared" si="186"/>
        <v>#REF!</v>
      </c>
      <c r="AP254" t="e">
        <f t="shared" si="186"/>
        <v>#REF!</v>
      </c>
      <c r="AQ254" t="e">
        <f t="shared" si="186"/>
        <v>#REF!</v>
      </c>
      <c r="AR254" t="e">
        <f t="shared" si="186"/>
        <v>#REF!</v>
      </c>
      <c r="AS254" t="e">
        <f t="shared" si="186"/>
        <v>#REF!</v>
      </c>
      <c r="AT254" t="e">
        <f t="shared" si="196"/>
        <v>#REF!</v>
      </c>
      <c r="AU254" t="e">
        <f t="shared" si="196"/>
        <v>#REF!</v>
      </c>
      <c r="AV254" t="e">
        <f t="shared" si="196"/>
        <v>#REF!</v>
      </c>
      <c r="AW254" t="e">
        <f t="shared" si="196"/>
        <v>#REF!</v>
      </c>
      <c r="AX254" t="e">
        <f t="shared" si="196"/>
        <v>#REF!</v>
      </c>
      <c r="AY254" t="e">
        <f t="shared" si="196"/>
        <v>#REF!</v>
      </c>
      <c r="AZ254" t="e">
        <f t="shared" si="196"/>
        <v>#REF!</v>
      </c>
      <c r="BA254" t="e">
        <f t="shared" si="196"/>
        <v>#REF!</v>
      </c>
      <c r="BB254" t="e">
        <f t="shared" si="196"/>
        <v>#REF!</v>
      </c>
      <c r="BC254" t="e">
        <f t="shared" si="196"/>
        <v>#REF!</v>
      </c>
      <c r="BD254" t="e">
        <f t="shared" si="196"/>
        <v>#REF!</v>
      </c>
      <c r="BE254" t="e">
        <f t="shared" si="196"/>
        <v>#REF!</v>
      </c>
      <c r="BF254" t="e">
        <f t="shared" si="196"/>
        <v>#REF!</v>
      </c>
      <c r="BG254" t="e">
        <f t="shared" si="196"/>
        <v>#REF!</v>
      </c>
      <c r="BH254" t="e">
        <f t="shared" si="196"/>
        <v>#REF!</v>
      </c>
      <c r="BI254" t="e">
        <f t="shared" si="196"/>
        <v>#REF!</v>
      </c>
      <c r="BJ254" t="e">
        <f t="shared" si="197"/>
        <v>#REF!</v>
      </c>
      <c r="BK254" t="e">
        <f t="shared" si="197"/>
        <v>#REF!</v>
      </c>
      <c r="BL254" t="e">
        <f t="shared" si="188"/>
        <v>#REF!</v>
      </c>
      <c r="BM254" t="e">
        <f t="shared" si="188"/>
        <v>#REF!</v>
      </c>
      <c r="BN254" t="e">
        <f t="shared" si="188"/>
        <v>#REF!</v>
      </c>
      <c r="BO254" t="e">
        <f t="shared" si="188"/>
        <v>#REF!</v>
      </c>
      <c r="BP254" t="e">
        <f t="shared" si="188"/>
        <v>#REF!</v>
      </c>
      <c r="BQ254" t="e">
        <f t="shared" si="188"/>
        <v>#REF!</v>
      </c>
      <c r="BR254" t="e">
        <f t="shared" si="188"/>
        <v>#REF!</v>
      </c>
      <c r="BS254" t="e">
        <f t="shared" si="188"/>
        <v>#REF!</v>
      </c>
      <c r="BT254" t="e">
        <f t="shared" si="188"/>
        <v>#REF!</v>
      </c>
      <c r="BU254" t="e">
        <f t="shared" si="188"/>
        <v>#REF!</v>
      </c>
      <c r="BV254" t="e">
        <f t="shared" si="188"/>
        <v>#REF!</v>
      </c>
      <c r="BW254" t="e">
        <f t="shared" si="188"/>
        <v>#REF!</v>
      </c>
      <c r="BX254" t="e">
        <f t="shared" si="188"/>
        <v>#REF!</v>
      </c>
      <c r="BY254" t="e">
        <f t="shared" si="187"/>
        <v>#REF!</v>
      </c>
      <c r="BZ254" t="e">
        <f t="shared" si="187"/>
        <v>#REF!</v>
      </c>
      <c r="CA254" t="e">
        <f t="shared" si="187"/>
        <v>#REF!</v>
      </c>
      <c r="CB254" t="e">
        <f t="shared" si="187"/>
        <v>#REF!</v>
      </c>
      <c r="CC254" t="e">
        <f t="shared" si="187"/>
        <v>#REF!</v>
      </c>
      <c r="CD254" t="e">
        <f t="shared" si="187"/>
        <v>#REF!</v>
      </c>
      <c r="CE254" t="e">
        <f t="shared" si="187"/>
        <v>#REF!</v>
      </c>
      <c r="CF254" t="e">
        <f t="shared" si="187"/>
        <v>#REF!</v>
      </c>
      <c r="CG254" t="e">
        <f t="shared" si="187"/>
        <v>#REF!</v>
      </c>
      <c r="CH254" t="e">
        <f t="shared" si="187"/>
        <v>#REF!</v>
      </c>
      <c r="CI254" t="e">
        <f t="shared" si="187"/>
        <v>#REF!</v>
      </c>
      <c r="CJ254" t="e">
        <f t="shared" si="187"/>
        <v>#REF!</v>
      </c>
      <c r="CK254" t="e">
        <f t="shared" si="187"/>
        <v>#REF!</v>
      </c>
      <c r="CL254" t="e">
        <f t="shared" si="187"/>
        <v>#REF!</v>
      </c>
      <c r="CM254" t="e">
        <f t="shared" si="192"/>
        <v>#REF!</v>
      </c>
      <c r="CN254" t="e">
        <f t="shared" si="192"/>
        <v>#REF!</v>
      </c>
      <c r="CO254" t="e">
        <f t="shared" si="192"/>
        <v>#REF!</v>
      </c>
      <c r="CP254" t="e">
        <f t="shared" si="192"/>
        <v>#REF!</v>
      </c>
      <c r="CQ254" t="e">
        <f t="shared" si="192"/>
        <v>#REF!</v>
      </c>
      <c r="CR254" t="e">
        <f t="shared" si="192"/>
        <v>#REF!</v>
      </c>
      <c r="CS254" t="e">
        <f t="shared" si="192"/>
        <v>#REF!</v>
      </c>
      <c r="CT254" t="e">
        <f t="shared" si="192"/>
        <v>#REF!</v>
      </c>
      <c r="CU254" t="e">
        <f t="shared" si="192"/>
        <v>#REF!</v>
      </c>
      <c r="CV254" t="e">
        <f t="shared" si="192"/>
        <v>#REF!</v>
      </c>
      <c r="CW254" t="e">
        <f t="shared" si="192"/>
        <v>#REF!</v>
      </c>
      <c r="CX254" t="e">
        <f t="shared" si="192"/>
        <v>#REF!</v>
      </c>
      <c r="CY254" t="e">
        <f t="shared" si="192"/>
        <v>#REF!</v>
      </c>
      <c r="CZ254" t="e">
        <f t="shared" si="189"/>
        <v>#REF!</v>
      </c>
      <c r="DA254" t="e">
        <f t="shared" si="189"/>
        <v>#REF!</v>
      </c>
      <c r="DB254" t="e">
        <f t="shared" si="189"/>
        <v>#REF!</v>
      </c>
      <c r="DC254" t="e">
        <f t="shared" si="189"/>
        <v>#REF!</v>
      </c>
      <c r="DD254" t="e">
        <f t="shared" si="189"/>
        <v>#REF!</v>
      </c>
      <c r="DE254" t="e">
        <f t="shared" si="189"/>
        <v>#REF!</v>
      </c>
      <c r="DF254" t="e">
        <f t="shared" si="189"/>
        <v>#REF!</v>
      </c>
      <c r="DG254" t="e">
        <f t="shared" si="189"/>
        <v>#REF!</v>
      </c>
      <c r="DH254" t="e">
        <f t="shared" si="189"/>
        <v>#REF!</v>
      </c>
      <c r="DI254" t="e">
        <f t="shared" si="189"/>
        <v>#REF!</v>
      </c>
      <c r="DJ254" t="e">
        <f t="shared" si="189"/>
        <v>#REF!</v>
      </c>
      <c r="DK254" t="e">
        <f t="shared" si="189"/>
        <v>#REF!</v>
      </c>
      <c r="DL254" t="e">
        <f t="shared" si="191"/>
        <v>#REF!</v>
      </c>
      <c r="DM254" t="e">
        <f t="shared" si="191"/>
        <v>#REF!</v>
      </c>
      <c r="DN254" t="e">
        <f t="shared" si="191"/>
        <v>#REF!</v>
      </c>
      <c r="DO254" t="e">
        <f t="shared" si="191"/>
        <v>#REF!</v>
      </c>
      <c r="DP254" t="e">
        <f t="shared" si="191"/>
        <v>#REF!</v>
      </c>
      <c r="DQ254" t="e">
        <f t="shared" si="191"/>
        <v>#REF!</v>
      </c>
      <c r="DR254" t="e">
        <f t="shared" si="191"/>
        <v>#REF!</v>
      </c>
      <c r="DS254" t="e">
        <f t="shared" si="191"/>
        <v>#REF!</v>
      </c>
      <c r="DT254" t="e">
        <f t="shared" si="191"/>
        <v>#REF!</v>
      </c>
      <c r="DU254" t="e">
        <f t="shared" si="191"/>
        <v>#REF!</v>
      </c>
      <c r="DV254" t="e">
        <f t="shared" si="191"/>
        <v>#REF!</v>
      </c>
      <c r="DW254" t="e">
        <f t="shared" si="191"/>
        <v>#REF!</v>
      </c>
      <c r="DX254" t="e">
        <f t="shared" si="191"/>
        <v>#REF!</v>
      </c>
      <c r="DY254" t="e">
        <f t="shared" si="191"/>
        <v>#REF!</v>
      </c>
      <c r="DZ254" t="e">
        <f t="shared" si="171"/>
        <v>#REF!</v>
      </c>
      <c r="EA254" t="e">
        <f t="shared" si="171"/>
        <v>#REF!</v>
      </c>
      <c r="EB254" t="e">
        <f t="shared" si="171"/>
        <v>#REF!</v>
      </c>
      <c r="EC254" t="e">
        <f t="shared" si="171"/>
        <v>#REF!</v>
      </c>
      <c r="ED254" t="e">
        <f t="shared" si="185"/>
        <v>#REF!</v>
      </c>
      <c r="EE254" t="e">
        <f t="shared" si="185"/>
        <v>#REF!</v>
      </c>
      <c r="EF254" t="e">
        <f t="shared" si="185"/>
        <v>#REF!</v>
      </c>
      <c r="EG254" t="e">
        <f t="shared" si="185"/>
        <v>#REF!</v>
      </c>
      <c r="EH254" t="e">
        <f t="shared" si="185"/>
        <v>#REF!</v>
      </c>
      <c r="EI254" t="e">
        <f t="shared" si="185"/>
        <v>#REF!</v>
      </c>
      <c r="EJ254" t="e">
        <f t="shared" si="185"/>
        <v>#REF!</v>
      </c>
      <c r="EK254" t="e">
        <f t="shared" si="185"/>
        <v>#REF!</v>
      </c>
      <c r="EL254" t="e">
        <f t="shared" si="185"/>
        <v>#REF!</v>
      </c>
      <c r="EM254" t="e">
        <f t="shared" si="185"/>
        <v>#REF!</v>
      </c>
    </row>
    <row r="255" spans="1:143" x14ac:dyDescent="0.4">
      <c r="A255" t="str">
        <f t="shared" si="170"/>
        <v>X</v>
      </c>
      <c r="B255">
        <v>252</v>
      </c>
      <c r="C255" t="e" cm="1">
        <f t="array" ref="C255">INDEX(auto_Series_Code,B255)</f>
        <v>#REF!</v>
      </c>
      <c r="D255" t="e">
        <f t="shared" si="194"/>
        <v>#REF!</v>
      </c>
      <c r="E255" t="e">
        <f t="shared" si="194"/>
        <v>#REF!</v>
      </c>
      <c r="F255" t="e">
        <f t="shared" si="194"/>
        <v>#REF!</v>
      </c>
      <c r="G255" t="e">
        <f t="shared" si="194"/>
        <v>#REF!</v>
      </c>
      <c r="H255" t="e">
        <f t="shared" si="194"/>
        <v>#REF!</v>
      </c>
      <c r="I255" t="e">
        <f t="shared" si="194"/>
        <v>#REF!</v>
      </c>
      <c r="J255" t="e">
        <f t="shared" si="194"/>
        <v>#REF!</v>
      </c>
      <c r="K255" t="e">
        <f t="shared" si="194"/>
        <v>#REF!</v>
      </c>
      <c r="L255" t="e">
        <f t="shared" si="194"/>
        <v>#REF!</v>
      </c>
      <c r="M255" t="e">
        <f t="shared" si="194"/>
        <v>#REF!</v>
      </c>
      <c r="N255" t="e">
        <f t="shared" si="194"/>
        <v>#REF!</v>
      </c>
      <c r="O255" t="e">
        <f t="shared" si="194"/>
        <v>#REF!</v>
      </c>
      <c r="P255" t="e">
        <f t="shared" si="194"/>
        <v>#REF!</v>
      </c>
      <c r="Q255" t="e">
        <f t="shared" si="194"/>
        <v>#REF!</v>
      </c>
      <c r="R255" t="e">
        <f t="shared" si="194"/>
        <v>#REF!</v>
      </c>
      <c r="S255" t="e">
        <f t="shared" si="194"/>
        <v>#REF!</v>
      </c>
      <c r="T255" t="e">
        <f t="shared" si="193"/>
        <v>#REF!</v>
      </c>
      <c r="U255" t="e">
        <f t="shared" si="193"/>
        <v>#REF!</v>
      </c>
      <c r="V255" t="e">
        <f t="shared" si="193"/>
        <v>#REF!</v>
      </c>
      <c r="W255" t="e">
        <f t="shared" si="193"/>
        <v>#REF!</v>
      </c>
      <c r="X255" t="e">
        <f t="shared" si="183"/>
        <v>#REF!</v>
      </c>
      <c r="Y255" t="e">
        <f t="shared" si="183"/>
        <v>#REF!</v>
      </c>
      <c r="Z255" t="e">
        <f t="shared" si="183"/>
        <v>#REF!</v>
      </c>
      <c r="AA255" t="e">
        <f t="shared" si="183"/>
        <v>#REF!</v>
      </c>
      <c r="AB255" t="e">
        <f t="shared" si="183"/>
        <v>#REF!</v>
      </c>
      <c r="AC255" t="e">
        <f t="shared" si="183"/>
        <v>#REF!</v>
      </c>
      <c r="AD255" t="e">
        <f t="shared" si="183"/>
        <v>#REF!</v>
      </c>
      <c r="AE255" t="e">
        <f t="shared" si="183"/>
        <v>#REF!</v>
      </c>
      <c r="AF255" t="e">
        <f t="shared" si="183"/>
        <v>#REF!</v>
      </c>
      <c r="AG255" t="e">
        <f t="shared" si="183"/>
        <v>#REF!</v>
      </c>
      <c r="AH255" t="e">
        <f t="shared" si="186"/>
        <v>#REF!</v>
      </c>
      <c r="AI255" t="e">
        <f t="shared" si="186"/>
        <v>#REF!</v>
      </c>
      <c r="AJ255" t="e">
        <f t="shared" si="186"/>
        <v>#REF!</v>
      </c>
      <c r="AK255" t="e">
        <f t="shared" si="186"/>
        <v>#REF!</v>
      </c>
      <c r="AL255" t="e">
        <f t="shared" si="186"/>
        <v>#REF!</v>
      </c>
      <c r="AM255" t="e">
        <f t="shared" si="186"/>
        <v>#REF!</v>
      </c>
      <c r="AN255" t="e">
        <f t="shared" si="186"/>
        <v>#REF!</v>
      </c>
      <c r="AO255" t="e">
        <f t="shared" si="186"/>
        <v>#REF!</v>
      </c>
      <c r="AP255" t="e">
        <f t="shared" si="186"/>
        <v>#REF!</v>
      </c>
      <c r="AQ255" t="e">
        <f t="shared" si="186"/>
        <v>#REF!</v>
      </c>
      <c r="AR255" t="e">
        <f t="shared" si="186"/>
        <v>#REF!</v>
      </c>
      <c r="AS255" t="e">
        <f t="shared" si="186"/>
        <v>#REF!</v>
      </c>
      <c r="AT255" t="e">
        <f t="shared" si="196"/>
        <v>#REF!</v>
      </c>
      <c r="AU255" t="e">
        <f t="shared" si="196"/>
        <v>#REF!</v>
      </c>
      <c r="AV255" t="e">
        <f t="shared" si="196"/>
        <v>#REF!</v>
      </c>
      <c r="AW255" t="e">
        <f t="shared" si="196"/>
        <v>#REF!</v>
      </c>
      <c r="AX255" t="e">
        <f t="shared" si="196"/>
        <v>#REF!</v>
      </c>
      <c r="AY255" t="e">
        <f t="shared" si="196"/>
        <v>#REF!</v>
      </c>
      <c r="AZ255" t="e">
        <f t="shared" si="196"/>
        <v>#REF!</v>
      </c>
      <c r="BA255" t="e">
        <f t="shared" si="196"/>
        <v>#REF!</v>
      </c>
      <c r="BB255" t="e">
        <f t="shared" si="196"/>
        <v>#REF!</v>
      </c>
      <c r="BC255" t="e">
        <f t="shared" si="196"/>
        <v>#REF!</v>
      </c>
      <c r="BD255" t="e">
        <f t="shared" si="196"/>
        <v>#REF!</v>
      </c>
      <c r="BE255" t="e">
        <f t="shared" si="196"/>
        <v>#REF!</v>
      </c>
      <c r="BF255" t="e">
        <f t="shared" si="196"/>
        <v>#REF!</v>
      </c>
      <c r="BG255" t="e">
        <f t="shared" si="196"/>
        <v>#REF!</v>
      </c>
      <c r="BH255" t="e">
        <f t="shared" si="196"/>
        <v>#REF!</v>
      </c>
      <c r="BI255" t="e">
        <f t="shared" si="196"/>
        <v>#REF!</v>
      </c>
      <c r="BJ255" t="e">
        <f t="shared" si="197"/>
        <v>#REF!</v>
      </c>
      <c r="BK255" t="e">
        <f t="shared" si="197"/>
        <v>#REF!</v>
      </c>
      <c r="BL255" t="e">
        <f t="shared" si="188"/>
        <v>#REF!</v>
      </c>
      <c r="BM255" t="e">
        <f t="shared" si="188"/>
        <v>#REF!</v>
      </c>
      <c r="BN255" t="e">
        <f t="shared" si="188"/>
        <v>#REF!</v>
      </c>
      <c r="BO255" t="e">
        <f t="shared" si="188"/>
        <v>#REF!</v>
      </c>
      <c r="BP255" t="e">
        <f t="shared" si="188"/>
        <v>#REF!</v>
      </c>
      <c r="BQ255" t="e">
        <f t="shared" si="188"/>
        <v>#REF!</v>
      </c>
      <c r="BR255" t="e">
        <f t="shared" si="188"/>
        <v>#REF!</v>
      </c>
      <c r="BS255" t="e">
        <f t="shared" si="188"/>
        <v>#REF!</v>
      </c>
      <c r="BT255" t="e">
        <f t="shared" si="188"/>
        <v>#REF!</v>
      </c>
      <c r="BU255" t="e">
        <f t="shared" si="188"/>
        <v>#REF!</v>
      </c>
      <c r="BV255" t="e">
        <f t="shared" si="188"/>
        <v>#REF!</v>
      </c>
      <c r="BW255" t="e">
        <f t="shared" si="188"/>
        <v>#REF!</v>
      </c>
      <c r="BX255" t="e">
        <f t="shared" si="188"/>
        <v>#REF!</v>
      </c>
      <c r="BY255" t="e">
        <f t="shared" si="187"/>
        <v>#REF!</v>
      </c>
      <c r="BZ255" t="e">
        <f t="shared" si="187"/>
        <v>#REF!</v>
      </c>
      <c r="CA255" t="e">
        <f t="shared" si="187"/>
        <v>#REF!</v>
      </c>
      <c r="CB255" t="e">
        <f t="shared" si="187"/>
        <v>#REF!</v>
      </c>
      <c r="CC255" t="e">
        <f t="shared" si="187"/>
        <v>#REF!</v>
      </c>
      <c r="CD255" t="e">
        <f t="shared" si="187"/>
        <v>#REF!</v>
      </c>
      <c r="CE255" t="e">
        <f t="shared" si="187"/>
        <v>#REF!</v>
      </c>
      <c r="CF255" t="e">
        <f t="shared" si="187"/>
        <v>#REF!</v>
      </c>
      <c r="CG255" t="e">
        <f t="shared" si="187"/>
        <v>#REF!</v>
      </c>
      <c r="CH255" t="e">
        <f t="shared" si="187"/>
        <v>#REF!</v>
      </c>
      <c r="CI255" t="e">
        <f t="shared" si="187"/>
        <v>#REF!</v>
      </c>
      <c r="CJ255" t="e">
        <f t="shared" si="187"/>
        <v>#REF!</v>
      </c>
      <c r="CK255" t="e">
        <f t="shared" si="187"/>
        <v>#REF!</v>
      </c>
      <c r="CL255" t="e">
        <f t="shared" si="187"/>
        <v>#REF!</v>
      </c>
      <c r="CM255" t="e">
        <f t="shared" si="192"/>
        <v>#REF!</v>
      </c>
      <c r="CN255" t="e">
        <f t="shared" si="192"/>
        <v>#REF!</v>
      </c>
      <c r="CO255" t="e">
        <f t="shared" si="192"/>
        <v>#REF!</v>
      </c>
      <c r="CP255" t="e">
        <f t="shared" si="192"/>
        <v>#REF!</v>
      </c>
      <c r="CQ255" t="e">
        <f t="shared" si="192"/>
        <v>#REF!</v>
      </c>
      <c r="CR255" t="e">
        <f t="shared" si="192"/>
        <v>#REF!</v>
      </c>
      <c r="CS255" t="e">
        <f t="shared" si="192"/>
        <v>#REF!</v>
      </c>
      <c r="CT255" t="e">
        <f t="shared" si="192"/>
        <v>#REF!</v>
      </c>
      <c r="CU255" t="e">
        <f t="shared" si="192"/>
        <v>#REF!</v>
      </c>
      <c r="CV255" t="e">
        <f t="shared" si="192"/>
        <v>#REF!</v>
      </c>
      <c r="CW255" t="e">
        <f t="shared" si="192"/>
        <v>#REF!</v>
      </c>
      <c r="CX255" t="e">
        <f t="shared" si="192"/>
        <v>#REF!</v>
      </c>
      <c r="CY255" t="e">
        <f t="shared" si="192"/>
        <v>#REF!</v>
      </c>
      <c r="CZ255" t="e">
        <f t="shared" si="189"/>
        <v>#REF!</v>
      </c>
      <c r="DA255" t="e">
        <f t="shared" si="189"/>
        <v>#REF!</v>
      </c>
      <c r="DB255" t="e">
        <f t="shared" si="189"/>
        <v>#REF!</v>
      </c>
      <c r="DC255" t="e">
        <f t="shared" si="189"/>
        <v>#REF!</v>
      </c>
      <c r="DD255" t="e">
        <f t="shared" si="189"/>
        <v>#REF!</v>
      </c>
      <c r="DE255" t="e">
        <f t="shared" si="189"/>
        <v>#REF!</v>
      </c>
      <c r="DF255" t="e">
        <f t="shared" si="189"/>
        <v>#REF!</v>
      </c>
      <c r="DG255" t="e">
        <f t="shared" si="189"/>
        <v>#REF!</v>
      </c>
      <c r="DH255" t="e">
        <f t="shared" si="189"/>
        <v>#REF!</v>
      </c>
      <c r="DI255" t="e">
        <f t="shared" si="189"/>
        <v>#REF!</v>
      </c>
      <c r="DJ255" t="e">
        <f t="shared" si="189"/>
        <v>#REF!</v>
      </c>
      <c r="DK255" t="e">
        <f t="shared" si="189"/>
        <v>#REF!</v>
      </c>
      <c r="DL255" t="e">
        <f t="shared" si="191"/>
        <v>#REF!</v>
      </c>
      <c r="DM255" t="e">
        <f t="shared" si="191"/>
        <v>#REF!</v>
      </c>
      <c r="DN255" t="e">
        <f t="shared" si="191"/>
        <v>#REF!</v>
      </c>
      <c r="DO255" t="e">
        <f t="shared" si="191"/>
        <v>#REF!</v>
      </c>
      <c r="DP255" t="e">
        <f t="shared" si="191"/>
        <v>#REF!</v>
      </c>
      <c r="DQ255" t="e">
        <f t="shared" si="191"/>
        <v>#REF!</v>
      </c>
      <c r="DR255" t="e">
        <f t="shared" si="191"/>
        <v>#REF!</v>
      </c>
      <c r="DS255" t="e">
        <f t="shared" si="191"/>
        <v>#REF!</v>
      </c>
      <c r="DT255" t="e">
        <f t="shared" si="191"/>
        <v>#REF!</v>
      </c>
      <c r="DU255" t="e">
        <f t="shared" si="191"/>
        <v>#REF!</v>
      </c>
      <c r="DV255" t="e">
        <f t="shared" si="191"/>
        <v>#REF!</v>
      </c>
      <c r="DW255" t="e">
        <f t="shared" si="191"/>
        <v>#REF!</v>
      </c>
      <c r="DX255" t="e">
        <f t="shared" si="191"/>
        <v>#REF!</v>
      </c>
      <c r="DY255" t="e">
        <f t="shared" si="191"/>
        <v>#REF!</v>
      </c>
      <c r="DZ255" t="e">
        <f t="shared" si="171"/>
        <v>#REF!</v>
      </c>
      <c r="EA255" t="e">
        <f t="shared" si="171"/>
        <v>#REF!</v>
      </c>
      <c r="EB255" t="e">
        <f t="shared" si="171"/>
        <v>#REF!</v>
      </c>
      <c r="EC255" t="e">
        <f t="shared" si="171"/>
        <v>#REF!</v>
      </c>
      <c r="ED255" t="e">
        <f t="shared" si="185"/>
        <v>#REF!</v>
      </c>
      <c r="EE255" t="e">
        <f t="shared" si="185"/>
        <v>#REF!</v>
      </c>
      <c r="EF255" t="e">
        <f t="shared" si="185"/>
        <v>#REF!</v>
      </c>
      <c r="EG255" t="e">
        <f t="shared" si="185"/>
        <v>#REF!</v>
      </c>
      <c r="EH255" t="e">
        <f t="shared" si="185"/>
        <v>#REF!</v>
      </c>
      <c r="EI255" t="e">
        <f t="shared" si="185"/>
        <v>#REF!</v>
      </c>
      <c r="EJ255" t="e">
        <f t="shared" si="185"/>
        <v>#REF!</v>
      </c>
      <c r="EK255" t="e">
        <f t="shared" si="185"/>
        <v>#REF!</v>
      </c>
      <c r="EL255" t="e">
        <f t="shared" si="185"/>
        <v>#REF!</v>
      </c>
      <c r="EM255" t="e">
        <f t="shared" si="185"/>
        <v>#REF!</v>
      </c>
    </row>
    <row r="256" spans="1:143" x14ac:dyDescent="0.4">
      <c r="A256" t="str">
        <f t="shared" si="170"/>
        <v>X</v>
      </c>
      <c r="B256">
        <v>253</v>
      </c>
      <c r="C256" t="e" cm="1">
        <f t="array" ref="C256">INDEX(auto_Series_Code,B256)</f>
        <v>#REF!</v>
      </c>
      <c r="D256" t="e">
        <f t="shared" si="194"/>
        <v>#REF!</v>
      </c>
      <c r="E256" t="e">
        <f t="shared" si="194"/>
        <v>#REF!</v>
      </c>
      <c r="F256" t="e">
        <f t="shared" si="194"/>
        <v>#REF!</v>
      </c>
      <c r="G256" t="e">
        <f t="shared" si="194"/>
        <v>#REF!</v>
      </c>
      <c r="H256" t="e">
        <f t="shared" si="194"/>
        <v>#REF!</v>
      </c>
      <c r="I256" t="e">
        <f t="shared" si="194"/>
        <v>#REF!</v>
      </c>
      <c r="J256" t="e">
        <f t="shared" si="194"/>
        <v>#REF!</v>
      </c>
      <c r="K256" t="e">
        <f t="shared" si="194"/>
        <v>#REF!</v>
      </c>
      <c r="L256" t="e">
        <f t="shared" si="194"/>
        <v>#REF!</v>
      </c>
      <c r="M256" t="e">
        <f t="shared" si="194"/>
        <v>#REF!</v>
      </c>
      <c r="N256" t="e">
        <f t="shared" si="194"/>
        <v>#REF!</v>
      </c>
      <c r="O256" t="e">
        <f t="shared" si="194"/>
        <v>#REF!</v>
      </c>
      <c r="P256" t="e">
        <f t="shared" si="194"/>
        <v>#REF!</v>
      </c>
      <c r="Q256" t="e">
        <f t="shared" si="194"/>
        <v>#REF!</v>
      </c>
      <c r="R256" t="e">
        <f t="shared" si="194"/>
        <v>#REF!</v>
      </c>
      <c r="S256" t="e">
        <f t="shared" si="194"/>
        <v>#REF!</v>
      </c>
      <c r="T256" t="e">
        <f t="shared" si="193"/>
        <v>#REF!</v>
      </c>
      <c r="U256" t="e">
        <f t="shared" si="193"/>
        <v>#REF!</v>
      </c>
      <c r="V256" t="e">
        <f t="shared" si="193"/>
        <v>#REF!</v>
      </c>
      <c r="W256" t="e">
        <f t="shared" si="193"/>
        <v>#REF!</v>
      </c>
      <c r="X256" t="e">
        <f t="shared" si="183"/>
        <v>#REF!</v>
      </c>
      <c r="Y256" t="e">
        <f t="shared" si="183"/>
        <v>#REF!</v>
      </c>
      <c r="Z256" t="e">
        <f t="shared" si="183"/>
        <v>#REF!</v>
      </c>
      <c r="AA256" t="e">
        <f t="shared" si="183"/>
        <v>#REF!</v>
      </c>
      <c r="AB256" t="e">
        <f t="shared" si="183"/>
        <v>#REF!</v>
      </c>
      <c r="AC256" t="e">
        <f t="shared" si="183"/>
        <v>#REF!</v>
      </c>
      <c r="AD256" t="e">
        <f t="shared" si="183"/>
        <v>#REF!</v>
      </c>
      <c r="AE256" t="e">
        <f t="shared" si="183"/>
        <v>#REF!</v>
      </c>
      <c r="AF256" t="e">
        <f t="shared" si="183"/>
        <v>#REF!</v>
      </c>
      <c r="AG256" t="e">
        <f t="shared" si="183"/>
        <v>#REF!</v>
      </c>
      <c r="AH256" t="e">
        <f t="shared" si="186"/>
        <v>#REF!</v>
      </c>
      <c r="AI256" t="e">
        <f t="shared" si="186"/>
        <v>#REF!</v>
      </c>
      <c r="AJ256" t="e">
        <f t="shared" si="186"/>
        <v>#REF!</v>
      </c>
      <c r="AK256" t="e">
        <f t="shared" si="186"/>
        <v>#REF!</v>
      </c>
      <c r="AL256" t="e">
        <f t="shared" si="186"/>
        <v>#REF!</v>
      </c>
      <c r="AM256" t="e">
        <f t="shared" si="186"/>
        <v>#REF!</v>
      </c>
      <c r="AN256" t="e">
        <f t="shared" si="186"/>
        <v>#REF!</v>
      </c>
      <c r="AO256" t="e">
        <f t="shared" si="186"/>
        <v>#REF!</v>
      </c>
      <c r="AP256" t="e">
        <f t="shared" si="186"/>
        <v>#REF!</v>
      </c>
      <c r="AQ256" t="e">
        <f t="shared" si="186"/>
        <v>#REF!</v>
      </c>
      <c r="AR256" t="e">
        <f t="shared" si="186"/>
        <v>#REF!</v>
      </c>
      <c r="AS256" t="e">
        <f t="shared" si="186"/>
        <v>#REF!</v>
      </c>
      <c r="AT256" t="e">
        <f t="shared" si="196"/>
        <v>#REF!</v>
      </c>
      <c r="AU256" t="e">
        <f t="shared" si="196"/>
        <v>#REF!</v>
      </c>
      <c r="AV256" t="e">
        <f t="shared" si="196"/>
        <v>#REF!</v>
      </c>
      <c r="AW256" t="e">
        <f t="shared" si="196"/>
        <v>#REF!</v>
      </c>
      <c r="AX256" t="e">
        <f t="shared" si="196"/>
        <v>#REF!</v>
      </c>
      <c r="AY256" t="e">
        <f t="shared" si="196"/>
        <v>#REF!</v>
      </c>
      <c r="AZ256" t="e">
        <f t="shared" si="196"/>
        <v>#REF!</v>
      </c>
      <c r="BA256" t="e">
        <f t="shared" si="196"/>
        <v>#REF!</v>
      </c>
      <c r="BB256" t="e">
        <f t="shared" si="196"/>
        <v>#REF!</v>
      </c>
      <c r="BC256" t="e">
        <f t="shared" si="196"/>
        <v>#REF!</v>
      </c>
      <c r="BD256" t="e">
        <f t="shared" si="196"/>
        <v>#REF!</v>
      </c>
      <c r="BE256" t="e">
        <f t="shared" si="196"/>
        <v>#REF!</v>
      </c>
      <c r="BF256" t="e">
        <f t="shared" si="196"/>
        <v>#REF!</v>
      </c>
      <c r="BG256" t="e">
        <f t="shared" si="196"/>
        <v>#REF!</v>
      </c>
      <c r="BH256" t="e">
        <f t="shared" si="196"/>
        <v>#REF!</v>
      </c>
      <c r="BI256" t="e">
        <f t="shared" si="196"/>
        <v>#REF!</v>
      </c>
      <c r="BJ256" t="e">
        <f t="shared" si="197"/>
        <v>#REF!</v>
      </c>
      <c r="BK256" t="e">
        <f t="shared" si="197"/>
        <v>#REF!</v>
      </c>
      <c r="BL256" t="e">
        <f t="shared" si="188"/>
        <v>#REF!</v>
      </c>
      <c r="BM256" t="e">
        <f t="shared" si="188"/>
        <v>#REF!</v>
      </c>
      <c r="BN256" t="e">
        <f t="shared" si="188"/>
        <v>#REF!</v>
      </c>
      <c r="BO256" t="e">
        <f t="shared" si="188"/>
        <v>#REF!</v>
      </c>
      <c r="BP256" t="e">
        <f t="shared" si="188"/>
        <v>#REF!</v>
      </c>
      <c r="BQ256" t="e">
        <f t="shared" si="188"/>
        <v>#REF!</v>
      </c>
      <c r="BR256" t="e">
        <f t="shared" si="188"/>
        <v>#REF!</v>
      </c>
      <c r="BS256" t="e">
        <f t="shared" si="188"/>
        <v>#REF!</v>
      </c>
      <c r="BT256" t="e">
        <f t="shared" si="188"/>
        <v>#REF!</v>
      </c>
      <c r="BU256" t="e">
        <f t="shared" si="188"/>
        <v>#REF!</v>
      </c>
      <c r="BV256" t="e">
        <f t="shared" si="188"/>
        <v>#REF!</v>
      </c>
      <c r="BW256" t="e">
        <f t="shared" si="188"/>
        <v>#REF!</v>
      </c>
      <c r="BX256" t="e">
        <f t="shared" si="188"/>
        <v>#REF!</v>
      </c>
      <c r="BY256" t="e">
        <f t="shared" si="187"/>
        <v>#REF!</v>
      </c>
      <c r="BZ256" t="e">
        <f t="shared" si="187"/>
        <v>#REF!</v>
      </c>
      <c r="CA256" t="e">
        <f t="shared" si="187"/>
        <v>#REF!</v>
      </c>
      <c r="CB256" t="e">
        <f t="shared" si="187"/>
        <v>#REF!</v>
      </c>
      <c r="CC256" t="e">
        <f t="shared" si="187"/>
        <v>#REF!</v>
      </c>
      <c r="CD256" t="e">
        <f t="shared" si="187"/>
        <v>#REF!</v>
      </c>
      <c r="CE256" t="e">
        <f t="shared" si="187"/>
        <v>#REF!</v>
      </c>
      <c r="CF256" t="e">
        <f t="shared" si="187"/>
        <v>#REF!</v>
      </c>
      <c r="CG256" t="e">
        <f t="shared" si="187"/>
        <v>#REF!</v>
      </c>
      <c r="CH256" t="e">
        <f t="shared" si="187"/>
        <v>#REF!</v>
      </c>
      <c r="CI256" t="e">
        <f t="shared" si="187"/>
        <v>#REF!</v>
      </c>
      <c r="CJ256" t="e">
        <f t="shared" si="187"/>
        <v>#REF!</v>
      </c>
      <c r="CK256" t="e">
        <f t="shared" si="187"/>
        <v>#REF!</v>
      </c>
      <c r="CL256" t="e">
        <f t="shared" si="187"/>
        <v>#REF!</v>
      </c>
      <c r="CM256" t="e">
        <f t="shared" si="192"/>
        <v>#REF!</v>
      </c>
      <c r="CN256" t="e">
        <f t="shared" si="192"/>
        <v>#REF!</v>
      </c>
      <c r="CO256" t="e">
        <f t="shared" si="192"/>
        <v>#REF!</v>
      </c>
      <c r="CP256" t="e">
        <f t="shared" si="192"/>
        <v>#REF!</v>
      </c>
      <c r="CQ256" t="e">
        <f t="shared" si="192"/>
        <v>#REF!</v>
      </c>
      <c r="CR256" t="e">
        <f t="shared" si="192"/>
        <v>#REF!</v>
      </c>
      <c r="CS256" t="e">
        <f t="shared" si="192"/>
        <v>#REF!</v>
      </c>
      <c r="CT256" t="e">
        <f t="shared" si="192"/>
        <v>#REF!</v>
      </c>
      <c r="CU256" t="e">
        <f t="shared" si="192"/>
        <v>#REF!</v>
      </c>
      <c r="CV256" t="e">
        <f t="shared" si="192"/>
        <v>#REF!</v>
      </c>
      <c r="CW256" t="e">
        <f t="shared" si="192"/>
        <v>#REF!</v>
      </c>
      <c r="CX256" t="e">
        <f t="shared" si="192"/>
        <v>#REF!</v>
      </c>
      <c r="CY256" t="e">
        <f t="shared" si="192"/>
        <v>#REF!</v>
      </c>
      <c r="CZ256" t="e">
        <f t="shared" si="189"/>
        <v>#REF!</v>
      </c>
      <c r="DA256" t="e">
        <f t="shared" si="189"/>
        <v>#REF!</v>
      </c>
      <c r="DB256" t="e">
        <f t="shared" si="189"/>
        <v>#REF!</v>
      </c>
      <c r="DC256" t="e">
        <f t="shared" si="189"/>
        <v>#REF!</v>
      </c>
      <c r="DD256" t="e">
        <f t="shared" si="189"/>
        <v>#REF!</v>
      </c>
      <c r="DE256" t="e">
        <f t="shared" si="189"/>
        <v>#REF!</v>
      </c>
      <c r="DF256" t="e">
        <f t="shared" si="189"/>
        <v>#REF!</v>
      </c>
      <c r="DG256" t="e">
        <f t="shared" si="189"/>
        <v>#REF!</v>
      </c>
      <c r="DH256" t="e">
        <f t="shared" si="189"/>
        <v>#REF!</v>
      </c>
      <c r="DI256" t="e">
        <f t="shared" si="189"/>
        <v>#REF!</v>
      </c>
      <c r="DJ256" t="e">
        <f t="shared" si="189"/>
        <v>#REF!</v>
      </c>
      <c r="DK256" t="e">
        <f t="shared" si="189"/>
        <v>#REF!</v>
      </c>
      <c r="DL256" t="e">
        <f t="shared" si="191"/>
        <v>#REF!</v>
      </c>
      <c r="DM256" t="e">
        <f t="shared" si="191"/>
        <v>#REF!</v>
      </c>
      <c r="DN256" t="e">
        <f t="shared" si="191"/>
        <v>#REF!</v>
      </c>
      <c r="DO256" t="e">
        <f t="shared" si="191"/>
        <v>#REF!</v>
      </c>
      <c r="DP256" t="e">
        <f t="shared" si="191"/>
        <v>#REF!</v>
      </c>
      <c r="DQ256" t="e">
        <f t="shared" si="191"/>
        <v>#REF!</v>
      </c>
      <c r="DR256" t="e">
        <f t="shared" si="191"/>
        <v>#REF!</v>
      </c>
      <c r="DS256" t="e">
        <f t="shared" si="191"/>
        <v>#REF!</v>
      </c>
      <c r="DT256" t="e">
        <f t="shared" si="191"/>
        <v>#REF!</v>
      </c>
      <c r="DU256" t="e">
        <f t="shared" si="191"/>
        <v>#REF!</v>
      </c>
      <c r="DV256" t="e">
        <f t="shared" si="191"/>
        <v>#REF!</v>
      </c>
      <c r="DW256" t="e">
        <f t="shared" si="191"/>
        <v>#REF!</v>
      </c>
      <c r="DX256" t="e">
        <f t="shared" si="191"/>
        <v>#REF!</v>
      </c>
      <c r="DY256" t="e">
        <f t="shared" si="191"/>
        <v>#REF!</v>
      </c>
      <c r="DZ256" t="e">
        <f t="shared" si="171"/>
        <v>#REF!</v>
      </c>
      <c r="EA256" t="e">
        <f t="shared" si="171"/>
        <v>#REF!</v>
      </c>
      <c r="EB256" t="e">
        <f t="shared" si="171"/>
        <v>#REF!</v>
      </c>
      <c r="EC256" t="e">
        <f t="shared" si="171"/>
        <v>#REF!</v>
      </c>
      <c r="ED256" t="e">
        <f t="shared" si="185"/>
        <v>#REF!</v>
      </c>
      <c r="EE256" t="e">
        <f t="shared" si="185"/>
        <v>#REF!</v>
      </c>
      <c r="EF256" t="e">
        <f t="shared" si="185"/>
        <v>#REF!</v>
      </c>
      <c r="EG256" t="e">
        <f t="shared" si="185"/>
        <v>#REF!</v>
      </c>
      <c r="EH256" t="e">
        <f t="shared" si="185"/>
        <v>#REF!</v>
      </c>
      <c r="EI256" t="e">
        <f t="shared" si="185"/>
        <v>#REF!</v>
      </c>
      <c r="EJ256" t="e">
        <f t="shared" si="185"/>
        <v>#REF!</v>
      </c>
      <c r="EK256" t="e">
        <f t="shared" si="185"/>
        <v>#REF!</v>
      </c>
      <c r="EL256" t="e">
        <f t="shared" si="185"/>
        <v>#REF!</v>
      </c>
      <c r="EM256" t="e">
        <f t="shared" si="185"/>
        <v>#REF!</v>
      </c>
    </row>
    <row r="257" spans="1:143" x14ac:dyDescent="0.4">
      <c r="A257" t="str">
        <f t="shared" si="170"/>
        <v>X</v>
      </c>
      <c r="B257">
        <v>254</v>
      </c>
      <c r="C257" t="e" cm="1">
        <f t="array" ref="C257">INDEX(auto_Series_Code,B257)</f>
        <v>#REF!</v>
      </c>
      <c r="D257" t="e">
        <f t="shared" si="194"/>
        <v>#REF!</v>
      </c>
      <c r="E257" t="e">
        <f t="shared" si="194"/>
        <v>#REF!</v>
      </c>
      <c r="F257" t="e">
        <f t="shared" si="194"/>
        <v>#REF!</v>
      </c>
      <c r="G257" t="e">
        <f t="shared" si="194"/>
        <v>#REF!</v>
      </c>
      <c r="H257" t="e">
        <f t="shared" si="194"/>
        <v>#REF!</v>
      </c>
      <c r="I257" t="e">
        <f t="shared" si="194"/>
        <v>#REF!</v>
      </c>
      <c r="J257" t="e">
        <f t="shared" si="194"/>
        <v>#REF!</v>
      </c>
      <c r="K257" t="e">
        <f t="shared" si="194"/>
        <v>#REF!</v>
      </c>
      <c r="L257" t="e">
        <f t="shared" si="194"/>
        <v>#REF!</v>
      </c>
      <c r="M257" t="e">
        <f t="shared" si="194"/>
        <v>#REF!</v>
      </c>
      <c r="N257" t="e">
        <f t="shared" si="194"/>
        <v>#REF!</v>
      </c>
      <c r="O257" t="e">
        <f t="shared" si="194"/>
        <v>#REF!</v>
      </c>
      <c r="P257" t="e">
        <f t="shared" si="194"/>
        <v>#REF!</v>
      </c>
      <c r="Q257" t="e">
        <f t="shared" si="194"/>
        <v>#REF!</v>
      </c>
      <c r="R257" t="e">
        <f t="shared" si="194"/>
        <v>#REF!</v>
      </c>
      <c r="S257" t="e">
        <f t="shared" si="194"/>
        <v>#REF!</v>
      </c>
      <c r="T257" t="e">
        <f t="shared" si="193"/>
        <v>#REF!</v>
      </c>
      <c r="U257" t="e">
        <f t="shared" si="193"/>
        <v>#REF!</v>
      </c>
      <c r="V257" t="e">
        <f t="shared" si="193"/>
        <v>#REF!</v>
      </c>
      <c r="W257" t="e">
        <f t="shared" si="193"/>
        <v>#REF!</v>
      </c>
      <c r="X257" t="e">
        <f t="shared" si="183"/>
        <v>#REF!</v>
      </c>
      <c r="Y257" t="e">
        <f t="shared" si="183"/>
        <v>#REF!</v>
      </c>
      <c r="Z257" t="e">
        <f t="shared" si="183"/>
        <v>#REF!</v>
      </c>
      <c r="AA257" t="e">
        <f t="shared" si="183"/>
        <v>#REF!</v>
      </c>
      <c r="AB257" t="e">
        <f t="shared" si="183"/>
        <v>#REF!</v>
      </c>
      <c r="AC257" t="e">
        <f t="shared" si="183"/>
        <v>#REF!</v>
      </c>
      <c r="AD257" t="e">
        <f t="shared" si="183"/>
        <v>#REF!</v>
      </c>
      <c r="AE257" t="e">
        <f t="shared" si="183"/>
        <v>#REF!</v>
      </c>
      <c r="AF257" t="e">
        <f t="shared" si="183"/>
        <v>#REF!</v>
      </c>
      <c r="AG257" t="e">
        <f t="shared" si="183"/>
        <v>#REF!</v>
      </c>
      <c r="AH257" t="e">
        <f t="shared" si="186"/>
        <v>#REF!</v>
      </c>
      <c r="AI257" t="e">
        <f t="shared" si="186"/>
        <v>#REF!</v>
      </c>
      <c r="AJ257" t="e">
        <f t="shared" si="186"/>
        <v>#REF!</v>
      </c>
      <c r="AK257" t="e">
        <f t="shared" si="186"/>
        <v>#REF!</v>
      </c>
      <c r="AL257" t="e">
        <f t="shared" si="186"/>
        <v>#REF!</v>
      </c>
      <c r="AM257" t="e">
        <f t="shared" si="186"/>
        <v>#REF!</v>
      </c>
      <c r="AN257" t="e">
        <f t="shared" si="186"/>
        <v>#REF!</v>
      </c>
      <c r="AO257" t="e">
        <f t="shared" si="186"/>
        <v>#REF!</v>
      </c>
      <c r="AP257" t="e">
        <f t="shared" si="186"/>
        <v>#REF!</v>
      </c>
      <c r="AQ257" t="e">
        <f t="shared" si="186"/>
        <v>#REF!</v>
      </c>
      <c r="AR257" t="e">
        <f t="shared" si="186"/>
        <v>#REF!</v>
      </c>
      <c r="AS257" t="e">
        <f t="shared" si="186"/>
        <v>#REF!</v>
      </c>
      <c r="AT257" t="e">
        <f t="shared" si="196"/>
        <v>#REF!</v>
      </c>
      <c r="AU257" t="e">
        <f t="shared" si="196"/>
        <v>#REF!</v>
      </c>
      <c r="AV257" t="e">
        <f t="shared" si="196"/>
        <v>#REF!</v>
      </c>
      <c r="AW257" t="e">
        <f t="shared" si="196"/>
        <v>#REF!</v>
      </c>
      <c r="AX257" t="e">
        <f t="shared" si="196"/>
        <v>#REF!</v>
      </c>
      <c r="AY257" t="e">
        <f t="shared" si="196"/>
        <v>#REF!</v>
      </c>
      <c r="AZ257" t="e">
        <f t="shared" si="196"/>
        <v>#REF!</v>
      </c>
      <c r="BA257" t="e">
        <f t="shared" si="196"/>
        <v>#REF!</v>
      </c>
      <c r="BB257" t="e">
        <f t="shared" si="196"/>
        <v>#REF!</v>
      </c>
      <c r="BC257" t="e">
        <f t="shared" si="196"/>
        <v>#REF!</v>
      </c>
      <c r="BD257" t="e">
        <f t="shared" si="196"/>
        <v>#REF!</v>
      </c>
      <c r="BE257" t="e">
        <f t="shared" si="196"/>
        <v>#REF!</v>
      </c>
      <c r="BF257" t="e">
        <f t="shared" si="196"/>
        <v>#REF!</v>
      </c>
      <c r="BG257" t="e">
        <f t="shared" si="196"/>
        <v>#REF!</v>
      </c>
      <c r="BH257" t="e">
        <f t="shared" si="196"/>
        <v>#REF!</v>
      </c>
      <c r="BI257" t="e">
        <f t="shared" si="196"/>
        <v>#REF!</v>
      </c>
      <c r="BJ257" t="e">
        <f t="shared" si="197"/>
        <v>#REF!</v>
      </c>
      <c r="BK257" t="e">
        <f t="shared" si="197"/>
        <v>#REF!</v>
      </c>
      <c r="BL257" t="e">
        <f t="shared" si="188"/>
        <v>#REF!</v>
      </c>
      <c r="BM257" t="e">
        <f t="shared" si="188"/>
        <v>#REF!</v>
      </c>
      <c r="BN257" t="e">
        <f t="shared" si="188"/>
        <v>#REF!</v>
      </c>
      <c r="BO257" t="e">
        <f t="shared" si="188"/>
        <v>#REF!</v>
      </c>
      <c r="BP257" t="e">
        <f t="shared" si="188"/>
        <v>#REF!</v>
      </c>
      <c r="BQ257" t="e">
        <f t="shared" si="188"/>
        <v>#REF!</v>
      </c>
      <c r="BR257" t="e">
        <f t="shared" si="188"/>
        <v>#REF!</v>
      </c>
      <c r="BS257" t="e">
        <f t="shared" si="188"/>
        <v>#REF!</v>
      </c>
      <c r="BT257" t="e">
        <f t="shared" si="188"/>
        <v>#REF!</v>
      </c>
      <c r="BU257" t="e">
        <f t="shared" si="188"/>
        <v>#REF!</v>
      </c>
      <c r="BV257" t="e">
        <f t="shared" si="188"/>
        <v>#REF!</v>
      </c>
      <c r="BW257" t="e">
        <f t="shared" si="188"/>
        <v>#REF!</v>
      </c>
      <c r="BX257" t="e">
        <f t="shared" si="188"/>
        <v>#REF!</v>
      </c>
      <c r="BY257" t="e">
        <f t="shared" si="187"/>
        <v>#REF!</v>
      </c>
      <c r="BZ257" t="e">
        <f t="shared" si="187"/>
        <v>#REF!</v>
      </c>
      <c r="CA257" t="e">
        <f t="shared" si="187"/>
        <v>#REF!</v>
      </c>
      <c r="CB257" t="e">
        <f t="shared" si="187"/>
        <v>#REF!</v>
      </c>
      <c r="CC257" t="e">
        <f t="shared" si="187"/>
        <v>#REF!</v>
      </c>
      <c r="CD257" t="e">
        <f t="shared" si="187"/>
        <v>#REF!</v>
      </c>
      <c r="CE257" t="e">
        <f t="shared" si="187"/>
        <v>#REF!</v>
      </c>
      <c r="CF257" t="e">
        <f t="shared" si="187"/>
        <v>#REF!</v>
      </c>
      <c r="CG257" t="e">
        <f t="shared" si="187"/>
        <v>#REF!</v>
      </c>
      <c r="CH257" t="e">
        <f t="shared" si="187"/>
        <v>#REF!</v>
      </c>
      <c r="CI257" t="e">
        <f t="shared" si="187"/>
        <v>#REF!</v>
      </c>
      <c r="CJ257" t="e">
        <f t="shared" si="187"/>
        <v>#REF!</v>
      </c>
      <c r="CK257" t="e">
        <f t="shared" si="187"/>
        <v>#REF!</v>
      </c>
      <c r="CL257" t="e">
        <f t="shared" si="187"/>
        <v>#REF!</v>
      </c>
      <c r="CM257" t="e">
        <f t="shared" si="192"/>
        <v>#REF!</v>
      </c>
      <c r="CN257" t="e">
        <f t="shared" si="192"/>
        <v>#REF!</v>
      </c>
      <c r="CO257" t="e">
        <f t="shared" si="192"/>
        <v>#REF!</v>
      </c>
      <c r="CP257" t="e">
        <f t="shared" si="192"/>
        <v>#REF!</v>
      </c>
      <c r="CQ257" t="e">
        <f t="shared" si="192"/>
        <v>#REF!</v>
      </c>
      <c r="CR257" t="e">
        <f t="shared" si="192"/>
        <v>#REF!</v>
      </c>
      <c r="CS257" t="e">
        <f t="shared" si="192"/>
        <v>#REF!</v>
      </c>
      <c r="CT257" t="e">
        <f t="shared" si="192"/>
        <v>#REF!</v>
      </c>
      <c r="CU257" t="e">
        <f t="shared" si="192"/>
        <v>#REF!</v>
      </c>
      <c r="CV257" t="e">
        <f t="shared" si="192"/>
        <v>#REF!</v>
      </c>
      <c r="CW257" t="e">
        <f t="shared" si="192"/>
        <v>#REF!</v>
      </c>
      <c r="CX257" t="e">
        <f t="shared" si="192"/>
        <v>#REF!</v>
      </c>
      <c r="CY257" t="e">
        <f t="shared" si="192"/>
        <v>#REF!</v>
      </c>
      <c r="CZ257" t="e">
        <f t="shared" si="189"/>
        <v>#REF!</v>
      </c>
      <c r="DA257" t="e">
        <f t="shared" si="189"/>
        <v>#REF!</v>
      </c>
      <c r="DB257" t="e">
        <f t="shared" si="189"/>
        <v>#REF!</v>
      </c>
      <c r="DC257" t="e">
        <f t="shared" si="189"/>
        <v>#REF!</v>
      </c>
      <c r="DD257" t="e">
        <f t="shared" si="189"/>
        <v>#REF!</v>
      </c>
      <c r="DE257" t="e">
        <f t="shared" si="189"/>
        <v>#REF!</v>
      </c>
      <c r="DF257" t="e">
        <f t="shared" si="189"/>
        <v>#REF!</v>
      </c>
      <c r="DG257" t="e">
        <f t="shared" si="189"/>
        <v>#REF!</v>
      </c>
      <c r="DH257" t="e">
        <f t="shared" si="189"/>
        <v>#REF!</v>
      </c>
      <c r="DI257" t="e">
        <f t="shared" si="189"/>
        <v>#REF!</v>
      </c>
      <c r="DJ257" t="e">
        <f t="shared" si="189"/>
        <v>#REF!</v>
      </c>
      <c r="DK257" t="e">
        <f t="shared" si="189"/>
        <v>#REF!</v>
      </c>
      <c r="DL257" t="e">
        <f t="shared" si="191"/>
        <v>#REF!</v>
      </c>
      <c r="DM257" t="e">
        <f t="shared" si="191"/>
        <v>#REF!</v>
      </c>
      <c r="DN257" t="e">
        <f t="shared" si="191"/>
        <v>#REF!</v>
      </c>
      <c r="DO257" t="e">
        <f t="shared" si="191"/>
        <v>#REF!</v>
      </c>
      <c r="DP257" t="e">
        <f t="shared" si="191"/>
        <v>#REF!</v>
      </c>
      <c r="DQ257" t="e">
        <f t="shared" si="191"/>
        <v>#REF!</v>
      </c>
      <c r="DR257" t="e">
        <f t="shared" si="191"/>
        <v>#REF!</v>
      </c>
      <c r="DS257" t="e">
        <f t="shared" si="191"/>
        <v>#REF!</v>
      </c>
      <c r="DT257" t="e">
        <f t="shared" si="191"/>
        <v>#REF!</v>
      </c>
      <c r="DU257" t="e">
        <f t="shared" si="191"/>
        <v>#REF!</v>
      </c>
      <c r="DV257" t="e">
        <f t="shared" si="191"/>
        <v>#REF!</v>
      </c>
      <c r="DW257" t="e">
        <f t="shared" si="191"/>
        <v>#REF!</v>
      </c>
      <c r="DX257" t="e">
        <f t="shared" si="191"/>
        <v>#REF!</v>
      </c>
      <c r="DY257" t="e">
        <f t="shared" si="191"/>
        <v>#REF!</v>
      </c>
      <c r="DZ257" t="e">
        <f t="shared" si="171"/>
        <v>#REF!</v>
      </c>
      <c r="EA257" t="e">
        <f t="shared" si="171"/>
        <v>#REF!</v>
      </c>
      <c r="EB257" t="e">
        <f t="shared" si="171"/>
        <v>#REF!</v>
      </c>
      <c r="EC257" t="e">
        <f t="shared" si="171"/>
        <v>#REF!</v>
      </c>
      <c r="ED257" t="e">
        <f t="shared" si="185"/>
        <v>#REF!</v>
      </c>
      <c r="EE257" t="e">
        <f t="shared" si="185"/>
        <v>#REF!</v>
      </c>
      <c r="EF257" t="e">
        <f t="shared" si="185"/>
        <v>#REF!</v>
      </c>
      <c r="EG257" t="e">
        <f t="shared" si="185"/>
        <v>#REF!</v>
      </c>
      <c r="EH257" t="e">
        <f t="shared" si="185"/>
        <v>#REF!</v>
      </c>
      <c r="EI257" t="e">
        <f t="shared" si="185"/>
        <v>#REF!</v>
      </c>
      <c r="EJ257" t="e">
        <f t="shared" si="185"/>
        <v>#REF!</v>
      </c>
      <c r="EK257" t="e">
        <f t="shared" si="185"/>
        <v>#REF!</v>
      </c>
      <c r="EL257" t="e">
        <f t="shared" si="185"/>
        <v>#REF!</v>
      </c>
      <c r="EM257" t="e">
        <f t="shared" si="185"/>
        <v>#REF!</v>
      </c>
    </row>
    <row r="258" spans="1:143" x14ac:dyDescent="0.4">
      <c r="A258" t="str">
        <f t="shared" si="170"/>
        <v>X</v>
      </c>
      <c r="B258">
        <v>255</v>
      </c>
      <c r="C258" t="e" cm="1">
        <f t="array" ref="C258">INDEX(auto_Series_Code,B258)</f>
        <v>#REF!</v>
      </c>
      <c r="D258" t="e">
        <f t="shared" si="194"/>
        <v>#REF!</v>
      </c>
      <c r="E258" t="e">
        <f t="shared" si="194"/>
        <v>#REF!</v>
      </c>
      <c r="F258" t="e">
        <f t="shared" si="194"/>
        <v>#REF!</v>
      </c>
      <c r="G258" t="e">
        <f t="shared" si="194"/>
        <v>#REF!</v>
      </c>
      <c r="H258" t="e">
        <f t="shared" si="194"/>
        <v>#REF!</v>
      </c>
      <c r="I258" t="e">
        <f t="shared" si="194"/>
        <v>#REF!</v>
      </c>
      <c r="J258" t="e">
        <f t="shared" si="194"/>
        <v>#REF!</v>
      </c>
      <c r="K258" t="e">
        <f t="shared" si="194"/>
        <v>#REF!</v>
      </c>
      <c r="L258" t="e">
        <f t="shared" si="194"/>
        <v>#REF!</v>
      </c>
      <c r="M258" t="e">
        <f t="shared" si="194"/>
        <v>#REF!</v>
      </c>
      <c r="N258" t="e">
        <f t="shared" si="194"/>
        <v>#REF!</v>
      </c>
      <c r="O258" t="e">
        <f t="shared" si="194"/>
        <v>#REF!</v>
      </c>
      <c r="P258" t="e">
        <f t="shared" si="194"/>
        <v>#REF!</v>
      </c>
      <c r="Q258" t="e">
        <f t="shared" si="194"/>
        <v>#REF!</v>
      </c>
      <c r="R258" t="e">
        <f t="shared" si="194"/>
        <v>#REF!</v>
      </c>
      <c r="S258" t="e">
        <f t="shared" si="194"/>
        <v>#REF!</v>
      </c>
      <c r="T258" t="e">
        <f t="shared" si="193"/>
        <v>#REF!</v>
      </c>
      <c r="U258" t="e">
        <f t="shared" si="193"/>
        <v>#REF!</v>
      </c>
      <c r="V258" t="e">
        <f t="shared" si="193"/>
        <v>#REF!</v>
      </c>
      <c r="W258" t="e">
        <f t="shared" si="193"/>
        <v>#REF!</v>
      </c>
      <c r="X258" t="e">
        <f t="shared" si="183"/>
        <v>#REF!</v>
      </c>
      <c r="Y258" t="e">
        <f t="shared" si="183"/>
        <v>#REF!</v>
      </c>
      <c r="Z258" t="e">
        <f t="shared" si="183"/>
        <v>#REF!</v>
      </c>
      <c r="AA258" t="e">
        <f t="shared" si="183"/>
        <v>#REF!</v>
      </c>
      <c r="AB258" t="e">
        <f t="shared" si="183"/>
        <v>#REF!</v>
      </c>
      <c r="AC258" t="e">
        <f t="shared" si="183"/>
        <v>#REF!</v>
      </c>
      <c r="AD258" t="e">
        <f t="shared" si="183"/>
        <v>#REF!</v>
      </c>
      <c r="AE258" t="e">
        <f t="shared" si="183"/>
        <v>#REF!</v>
      </c>
      <c r="AF258" t="e">
        <f t="shared" si="183"/>
        <v>#REF!</v>
      </c>
      <c r="AG258" t="e">
        <f t="shared" si="183"/>
        <v>#REF!</v>
      </c>
      <c r="AH258" t="e">
        <f t="shared" si="186"/>
        <v>#REF!</v>
      </c>
      <c r="AI258" t="e">
        <f t="shared" si="186"/>
        <v>#REF!</v>
      </c>
      <c r="AJ258" t="e">
        <f t="shared" si="186"/>
        <v>#REF!</v>
      </c>
      <c r="AK258" t="e">
        <f t="shared" si="186"/>
        <v>#REF!</v>
      </c>
      <c r="AL258" t="e">
        <f t="shared" si="186"/>
        <v>#REF!</v>
      </c>
      <c r="AM258" t="e">
        <f t="shared" si="186"/>
        <v>#REF!</v>
      </c>
      <c r="AN258" t="e">
        <f t="shared" si="186"/>
        <v>#REF!</v>
      </c>
      <c r="AO258" t="e">
        <f t="shared" si="186"/>
        <v>#REF!</v>
      </c>
      <c r="AP258" t="e">
        <f t="shared" si="186"/>
        <v>#REF!</v>
      </c>
      <c r="AQ258" t="e">
        <f t="shared" si="186"/>
        <v>#REF!</v>
      </c>
      <c r="AR258" t="e">
        <f t="shared" si="186"/>
        <v>#REF!</v>
      </c>
      <c r="AS258" t="e">
        <f t="shared" si="186"/>
        <v>#REF!</v>
      </c>
      <c r="AT258" t="e">
        <f t="shared" si="196"/>
        <v>#REF!</v>
      </c>
      <c r="AU258" t="e">
        <f t="shared" si="196"/>
        <v>#REF!</v>
      </c>
      <c r="AV258" t="e">
        <f t="shared" si="196"/>
        <v>#REF!</v>
      </c>
      <c r="AW258" t="e">
        <f t="shared" si="196"/>
        <v>#REF!</v>
      </c>
      <c r="AX258" t="e">
        <f t="shared" si="196"/>
        <v>#REF!</v>
      </c>
      <c r="AY258" t="e">
        <f t="shared" si="196"/>
        <v>#REF!</v>
      </c>
      <c r="AZ258" t="e">
        <f t="shared" si="196"/>
        <v>#REF!</v>
      </c>
      <c r="BA258" t="e">
        <f t="shared" si="196"/>
        <v>#REF!</v>
      </c>
      <c r="BB258" t="e">
        <f t="shared" si="196"/>
        <v>#REF!</v>
      </c>
      <c r="BC258" t="e">
        <f t="shared" si="196"/>
        <v>#REF!</v>
      </c>
      <c r="BD258" t="e">
        <f t="shared" si="196"/>
        <v>#REF!</v>
      </c>
      <c r="BE258" t="e">
        <f t="shared" si="196"/>
        <v>#REF!</v>
      </c>
      <c r="BF258" t="e">
        <f t="shared" si="196"/>
        <v>#REF!</v>
      </c>
      <c r="BG258" t="e">
        <f t="shared" si="196"/>
        <v>#REF!</v>
      </c>
      <c r="BH258" t="e">
        <f t="shared" si="196"/>
        <v>#REF!</v>
      </c>
      <c r="BI258" t="e">
        <f t="shared" si="196"/>
        <v>#REF!</v>
      </c>
      <c r="BJ258" t="e">
        <f t="shared" si="197"/>
        <v>#REF!</v>
      </c>
      <c r="BK258" t="e">
        <f t="shared" si="197"/>
        <v>#REF!</v>
      </c>
      <c r="BL258" t="e">
        <f t="shared" si="188"/>
        <v>#REF!</v>
      </c>
      <c r="BM258" t="e">
        <f t="shared" si="188"/>
        <v>#REF!</v>
      </c>
      <c r="BN258" t="e">
        <f t="shared" si="188"/>
        <v>#REF!</v>
      </c>
      <c r="BO258" t="e">
        <f t="shared" si="188"/>
        <v>#REF!</v>
      </c>
      <c r="BP258" t="e">
        <f t="shared" si="188"/>
        <v>#REF!</v>
      </c>
      <c r="BQ258" t="e">
        <f t="shared" si="188"/>
        <v>#REF!</v>
      </c>
      <c r="BR258" t="e">
        <f t="shared" si="188"/>
        <v>#REF!</v>
      </c>
      <c r="BS258" t="e">
        <f t="shared" si="188"/>
        <v>#REF!</v>
      </c>
      <c r="BT258" t="e">
        <f t="shared" si="188"/>
        <v>#REF!</v>
      </c>
      <c r="BU258" t="e">
        <f t="shared" si="188"/>
        <v>#REF!</v>
      </c>
      <c r="BV258" t="e">
        <f t="shared" si="188"/>
        <v>#REF!</v>
      </c>
      <c r="BW258" t="e">
        <f t="shared" si="188"/>
        <v>#REF!</v>
      </c>
      <c r="BX258" t="e">
        <f t="shared" si="188"/>
        <v>#REF!</v>
      </c>
      <c r="BY258" t="e">
        <f t="shared" si="187"/>
        <v>#REF!</v>
      </c>
      <c r="BZ258" t="e">
        <f t="shared" si="187"/>
        <v>#REF!</v>
      </c>
      <c r="CA258" t="e">
        <f t="shared" si="187"/>
        <v>#REF!</v>
      </c>
      <c r="CB258" t="e">
        <f t="shared" si="187"/>
        <v>#REF!</v>
      </c>
      <c r="CC258" t="e">
        <f t="shared" si="187"/>
        <v>#REF!</v>
      </c>
      <c r="CD258" t="e">
        <f t="shared" si="187"/>
        <v>#REF!</v>
      </c>
      <c r="CE258" t="e">
        <f t="shared" si="187"/>
        <v>#REF!</v>
      </c>
      <c r="CF258" t="e">
        <f t="shared" si="187"/>
        <v>#REF!</v>
      </c>
      <c r="CG258" t="e">
        <f t="shared" si="187"/>
        <v>#REF!</v>
      </c>
      <c r="CH258" t="e">
        <f t="shared" si="187"/>
        <v>#REF!</v>
      </c>
      <c r="CI258" t="e">
        <f t="shared" si="187"/>
        <v>#REF!</v>
      </c>
      <c r="CJ258" t="e">
        <f t="shared" si="187"/>
        <v>#REF!</v>
      </c>
      <c r="CK258" t="e">
        <f t="shared" si="187"/>
        <v>#REF!</v>
      </c>
      <c r="CL258" t="e">
        <f t="shared" si="187"/>
        <v>#REF!</v>
      </c>
      <c r="CM258" t="e">
        <f t="shared" si="192"/>
        <v>#REF!</v>
      </c>
      <c r="CN258" t="e">
        <f t="shared" si="192"/>
        <v>#REF!</v>
      </c>
      <c r="CO258" t="e">
        <f t="shared" si="192"/>
        <v>#REF!</v>
      </c>
      <c r="CP258" t="e">
        <f t="shared" si="192"/>
        <v>#REF!</v>
      </c>
      <c r="CQ258" t="e">
        <f t="shared" si="192"/>
        <v>#REF!</v>
      </c>
      <c r="CR258" t="e">
        <f t="shared" si="192"/>
        <v>#REF!</v>
      </c>
      <c r="CS258" t="e">
        <f t="shared" si="192"/>
        <v>#REF!</v>
      </c>
      <c r="CT258" t="e">
        <f t="shared" si="192"/>
        <v>#REF!</v>
      </c>
      <c r="CU258" t="e">
        <f t="shared" si="192"/>
        <v>#REF!</v>
      </c>
      <c r="CV258" t="e">
        <f t="shared" si="192"/>
        <v>#REF!</v>
      </c>
      <c r="CW258" t="e">
        <f t="shared" si="192"/>
        <v>#REF!</v>
      </c>
      <c r="CX258" t="e">
        <f t="shared" si="192"/>
        <v>#REF!</v>
      </c>
      <c r="CY258" t="e">
        <f t="shared" si="192"/>
        <v>#REF!</v>
      </c>
      <c r="CZ258" t="e">
        <f t="shared" si="189"/>
        <v>#REF!</v>
      </c>
      <c r="DA258" t="e">
        <f t="shared" si="189"/>
        <v>#REF!</v>
      </c>
      <c r="DB258" t="e">
        <f t="shared" si="189"/>
        <v>#REF!</v>
      </c>
      <c r="DC258" t="e">
        <f t="shared" si="189"/>
        <v>#REF!</v>
      </c>
      <c r="DD258" t="e">
        <f t="shared" si="189"/>
        <v>#REF!</v>
      </c>
      <c r="DE258" t="e">
        <f t="shared" si="189"/>
        <v>#REF!</v>
      </c>
      <c r="DF258" t="e">
        <f t="shared" si="189"/>
        <v>#REF!</v>
      </c>
      <c r="DG258" t="e">
        <f t="shared" si="189"/>
        <v>#REF!</v>
      </c>
      <c r="DH258" t="e">
        <f t="shared" si="189"/>
        <v>#REF!</v>
      </c>
      <c r="DI258" t="e">
        <f t="shared" si="189"/>
        <v>#REF!</v>
      </c>
      <c r="DJ258" t="e">
        <f t="shared" si="189"/>
        <v>#REF!</v>
      </c>
      <c r="DK258" t="e">
        <f t="shared" si="189"/>
        <v>#REF!</v>
      </c>
      <c r="DL258" t="e">
        <f t="shared" si="191"/>
        <v>#REF!</v>
      </c>
      <c r="DM258" t="e">
        <f t="shared" si="191"/>
        <v>#REF!</v>
      </c>
      <c r="DN258" t="e">
        <f t="shared" si="191"/>
        <v>#REF!</v>
      </c>
      <c r="DO258" t="e">
        <f t="shared" si="191"/>
        <v>#REF!</v>
      </c>
      <c r="DP258" t="e">
        <f t="shared" si="191"/>
        <v>#REF!</v>
      </c>
      <c r="DQ258" t="e">
        <f t="shared" si="191"/>
        <v>#REF!</v>
      </c>
      <c r="DR258" t="e">
        <f t="shared" si="191"/>
        <v>#REF!</v>
      </c>
      <c r="DS258" t="e">
        <f t="shared" si="191"/>
        <v>#REF!</v>
      </c>
      <c r="DT258" t="e">
        <f t="shared" si="191"/>
        <v>#REF!</v>
      </c>
      <c r="DU258" t="e">
        <f t="shared" si="191"/>
        <v>#REF!</v>
      </c>
      <c r="DV258" t="e">
        <f t="shared" si="191"/>
        <v>#REF!</v>
      </c>
      <c r="DW258" t="e">
        <f t="shared" si="191"/>
        <v>#REF!</v>
      </c>
      <c r="DX258" t="e">
        <f t="shared" si="191"/>
        <v>#REF!</v>
      </c>
      <c r="DY258" t="e">
        <f t="shared" si="191"/>
        <v>#REF!</v>
      </c>
      <c r="DZ258" t="e">
        <f t="shared" si="171"/>
        <v>#REF!</v>
      </c>
      <c r="EA258" t="e">
        <f t="shared" si="171"/>
        <v>#REF!</v>
      </c>
      <c r="EB258" t="e">
        <f t="shared" si="171"/>
        <v>#REF!</v>
      </c>
      <c r="EC258" t="e">
        <f t="shared" si="171"/>
        <v>#REF!</v>
      </c>
      <c r="ED258" t="e">
        <f t="shared" si="185"/>
        <v>#REF!</v>
      </c>
      <c r="EE258" t="e">
        <f t="shared" si="185"/>
        <v>#REF!</v>
      </c>
      <c r="EF258" t="e">
        <f t="shared" ref="EF258:EM258" si="198">MATCH(CONCATENATE(EF$3,"_",$C258),auto_DataFlat_UID,0)</f>
        <v>#REF!</v>
      </c>
      <c r="EG258" t="e">
        <f t="shared" si="198"/>
        <v>#REF!</v>
      </c>
      <c r="EH258" t="e">
        <f t="shared" si="198"/>
        <v>#REF!</v>
      </c>
      <c r="EI258" t="e">
        <f t="shared" si="198"/>
        <v>#REF!</v>
      </c>
      <c r="EJ258" t="e">
        <f t="shared" si="198"/>
        <v>#REF!</v>
      </c>
      <c r="EK258" t="e">
        <f t="shared" si="198"/>
        <v>#REF!</v>
      </c>
      <c r="EL258" t="e">
        <f t="shared" si="198"/>
        <v>#REF!</v>
      </c>
      <c r="EM258" t="e">
        <f t="shared" si="198"/>
        <v>#REF!</v>
      </c>
    </row>
    <row r="259" spans="1:143" x14ac:dyDescent="0.4">
      <c r="A259" t="str">
        <f t="shared" si="170"/>
        <v>X</v>
      </c>
      <c r="B259">
        <v>256</v>
      </c>
      <c r="C259" t="e" cm="1">
        <f t="array" ref="C259">INDEX(auto_Series_Code,B259)</f>
        <v>#REF!</v>
      </c>
      <c r="D259" t="e">
        <f t="shared" si="194"/>
        <v>#REF!</v>
      </c>
      <c r="E259" t="e">
        <f t="shared" si="194"/>
        <v>#REF!</v>
      </c>
      <c r="F259" t="e">
        <f t="shared" si="194"/>
        <v>#REF!</v>
      </c>
      <c r="G259" t="e">
        <f t="shared" si="194"/>
        <v>#REF!</v>
      </c>
      <c r="H259" t="e">
        <f t="shared" si="194"/>
        <v>#REF!</v>
      </c>
      <c r="I259" t="e">
        <f t="shared" si="194"/>
        <v>#REF!</v>
      </c>
      <c r="J259" t="e">
        <f t="shared" si="194"/>
        <v>#REF!</v>
      </c>
      <c r="K259" t="e">
        <f t="shared" si="194"/>
        <v>#REF!</v>
      </c>
      <c r="L259" t="e">
        <f t="shared" si="194"/>
        <v>#REF!</v>
      </c>
      <c r="M259" t="e">
        <f t="shared" si="194"/>
        <v>#REF!</v>
      </c>
      <c r="N259" t="e">
        <f t="shared" si="194"/>
        <v>#REF!</v>
      </c>
      <c r="O259" t="e">
        <f t="shared" si="194"/>
        <v>#REF!</v>
      </c>
      <c r="P259" t="e">
        <f t="shared" si="194"/>
        <v>#REF!</v>
      </c>
      <c r="Q259" t="e">
        <f t="shared" si="194"/>
        <v>#REF!</v>
      </c>
      <c r="R259" t="e">
        <f t="shared" si="194"/>
        <v>#REF!</v>
      </c>
      <c r="S259" t="e">
        <f t="shared" si="194"/>
        <v>#REF!</v>
      </c>
      <c r="T259" t="e">
        <f t="shared" si="193"/>
        <v>#REF!</v>
      </c>
      <c r="U259" t="e">
        <f t="shared" si="193"/>
        <v>#REF!</v>
      </c>
      <c r="V259" t="e">
        <f t="shared" si="193"/>
        <v>#REF!</v>
      </c>
      <c r="W259" t="e">
        <f t="shared" si="193"/>
        <v>#REF!</v>
      </c>
      <c r="X259" t="e">
        <f t="shared" si="193"/>
        <v>#REF!</v>
      </c>
      <c r="Y259" t="e">
        <f t="shared" si="193"/>
        <v>#REF!</v>
      </c>
      <c r="Z259" t="e">
        <f t="shared" si="193"/>
        <v>#REF!</v>
      </c>
      <c r="AA259" t="e">
        <f t="shared" si="193"/>
        <v>#REF!</v>
      </c>
      <c r="AB259" t="e">
        <f t="shared" si="193"/>
        <v>#REF!</v>
      </c>
      <c r="AC259" t="e">
        <f t="shared" si="193"/>
        <v>#REF!</v>
      </c>
      <c r="AD259" t="e">
        <f t="shared" si="193"/>
        <v>#REF!</v>
      </c>
      <c r="AE259" t="e">
        <f t="shared" si="193"/>
        <v>#REF!</v>
      </c>
      <c r="AF259" t="e">
        <f t="shared" si="193"/>
        <v>#REF!</v>
      </c>
      <c r="AG259" t="e">
        <f t="shared" si="193"/>
        <v>#REF!</v>
      </c>
      <c r="AH259" t="e">
        <f t="shared" si="186"/>
        <v>#REF!</v>
      </c>
      <c r="AI259" t="e">
        <f t="shared" si="186"/>
        <v>#REF!</v>
      </c>
      <c r="AJ259" t="e">
        <f t="shared" si="186"/>
        <v>#REF!</v>
      </c>
      <c r="AK259" t="e">
        <f t="shared" si="186"/>
        <v>#REF!</v>
      </c>
      <c r="AL259" t="e">
        <f t="shared" si="186"/>
        <v>#REF!</v>
      </c>
      <c r="AM259" t="e">
        <f t="shared" si="186"/>
        <v>#REF!</v>
      </c>
      <c r="AN259" t="e">
        <f t="shared" si="186"/>
        <v>#REF!</v>
      </c>
      <c r="AO259" t="e">
        <f t="shared" si="186"/>
        <v>#REF!</v>
      </c>
      <c r="AP259" t="e">
        <f t="shared" si="186"/>
        <v>#REF!</v>
      </c>
      <c r="AQ259" t="e">
        <f t="shared" si="186"/>
        <v>#REF!</v>
      </c>
      <c r="AR259" t="e">
        <f t="shared" si="186"/>
        <v>#REF!</v>
      </c>
      <c r="AS259" t="e">
        <f t="shared" si="186"/>
        <v>#REF!</v>
      </c>
      <c r="AT259" t="e">
        <f t="shared" si="196"/>
        <v>#REF!</v>
      </c>
      <c r="AU259" t="e">
        <f t="shared" si="196"/>
        <v>#REF!</v>
      </c>
      <c r="AV259" t="e">
        <f t="shared" si="196"/>
        <v>#REF!</v>
      </c>
      <c r="AW259" t="e">
        <f t="shared" si="196"/>
        <v>#REF!</v>
      </c>
      <c r="AX259" t="e">
        <f t="shared" si="196"/>
        <v>#REF!</v>
      </c>
      <c r="AY259" t="e">
        <f t="shared" si="196"/>
        <v>#REF!</v>
      </c>
      <c r="AZ259" t="e">
        <f t="shared" si="196"/>
        <v>#REF!</v>
      </c>
      <c r="BA259" t="e">
        <f t="shared" si="196"/>
        <v>#REF!</v>
      </c>
      <c r="BB259" t="e">
        <f t="shared" si="196"/>
        <v>#REF!</v>
      </c>
      <c r="BC259" t="e">
        <f t="shared" si="196"/>
        <v>#REF!</v>
      </c>
      <c r="BD259" t="e">
        <f t="shared" si="196"/>
        <v>#REF!</v>
      </c>
      <c r="BE259" t="e">
        <f t="shared" si="196"/>
        <v>#REF!</v>
      </c>
      <c r="BF259" t="e">
        <f t="shared" si="196"/>
        <v>#REF!</v>
      </c>
      <c r="BG259" t="e">
        <f t="shared" si="196"/>
        <v>#REF!</v>
      </c>
      <c r="BH259" t="e">
        <f t="shared" si="196"/>
        <v>#REF!</v>
      </c>
      <c r="BI259" t="e">
        <f t="shared" si="196"/>
        <v>#REF!</v>
      </c>
      <c r="BJ259" t="e">
        <f t="shared" si="197"/>
        <v>#REF!</v>
      </c>
      <c r="BK259" t="e">
        <f t="shared" si="197"/>
        <v>#REF!</v>
      </c>
      <c r="BL259" t="e">
        <f t="shared" si="188"/>
        <v>#REF!</v>
      </c>
      <c r="BM259" t="e">
        <f t="shared" si="188"/>
        <v>#REF!</v>
      </c>
      <c r="BN259" t="e">
        <f t="shared" si="188"/>
        <v>#REF!</v>
      </c>
      <c r="BO259" t="e">
        <f t="shared" si="188"/>
        <v>#REF!</v>
      </c>
      <c r="BP259" t="e">
        <f t="shared" si="188"/>
        <v>#REF!</v>
      </c>
      <c r="BQ259" t="e">
        <f t="shared" si="188"/>
        <v>#REF!</v>
      </c>
      <c r="BR259" t="e">
        <f t="shared" si="188"/>
        <v>#REF!</v>
      </c>
      <c r="BS259" t="e">
        <f t="shared" ref="BS259:CH277" si="199">MATCH(CONCATENATE(BS$3,"_",$C259),auto_DataFlat_UID,0)</f>
        <v>#REF!</v>
      </c>
      <c r="BT259" t="e">
        <f t="shared" si="199"/>
        <v>#REF!</v>
      </c>
      <c r="BU259" t="e">
        <f t="shared" si="199"/>
        <v>#REF!</v>
      </c>
      <c r="BV259" t="e">
        <f t="shared" si="199"/>
        <v>#REF!</v>
      </c>
      <c r="BW259" t="e">
        <f t="shared" si="199"/>
        <v>#REF!</v>
      </c>
      <c r="BX259" t="e">
        <f t="shared" si="199"/>
        <v>#REF!</v>
      </c>
      <c r="BY259" t="e">
        <f t="shared" si="199"/>
        <v>#REF!</v>
      </c>
      <c r="BZ259" t="e">
        <f t="shared" si="199"/>
        <v>#REF!</v>
      </c>
      <c r="CA259" t="e">
        <f t="shared" si="199"/>
        <v>#REF!</v>
      </c>
      <c r="CB259" t="e">
        <f t="shared" si="199"/>
        <v>#REF!</v>
      </c>
      <c r="CC259" t="e">
        <f t="shared" si="199"/>
        <v>#REF!</v>
      </c>
      <c r="CD259" t="e">
        <f t="shared" si="199"/>
        <v>#REF!</v>
      </c>
      <c r="CE259" t="e">
        <f t="shared" si="199"/>
        <v>#REF!</v>
      </c>
      <c r="CF259" t="e">
        <f t="shared" si="187"/>
        <v>#REF!</v>
      </c>
      <c r="CG259" t="e">
        <f t="shared" si="187"/>
        <v>#REF!</v>
      </c>
      <c r="CH259" t="e">
        <f t="shared" si="187"/>
        <v>#REF!</v>
      </c>
      <c r="CI259" t="e">
        <f t="shared" si="187"/>
        <v>#REF!</v>
      </c>
      <c r="CJ259" t="e">
        <f t="shared" si="187"/>
        <v>#REF!</v>
      </c>
      <c r="CK259" t="e">
        <f t="shared" si="187"/>
        <v>#REF!</v>
      </c>
      <c r="CL259" t="e">
        <f t="shared" si="187"/>
        <v>#REF!</v>
      </c>
      <c r="CM259" t="e">
        <f t="shared" si="192"/>
        <v>#REF!</v>
      </c>
      <c r="CN259" t="e">
        <f t="shared" si="192"/>
        <v>#REF!</v>
      </c>
      <c r="CO259" t="e">
        <f t="shared" si="192"/>
        <v>#REF!</v>
      </c>
      <c r="CP259" t="e">
        <f t="shared" si="192"/>
        <v>#REF!</v>
      </c>
      <c r="CQ259" t="e">
        <f t="shared" si="192"/>
        <v>#REF!</v>
      </c>
      <c r="CR259" t="e">
        <f t="shared" si="192"/>
        <v>#REF!</v>
      </c>
      <c r="CS259" t="e">
        <f t="shared" si="192"/>
        <v>#REF!</v>
      </c>
      <c r="CT259" t="e">
        <f t="shared" si="192"/>
        <v>#REF!</v>
      </c>
      <c r="CU259" t="e">
        <f t="shared" si="192"/>
        <v>#REF!</v>
      </c>
      <c r="CV259" t="e">
        <f t="shared" si="192"/>
        <v>#REF!</v>
      </c>
      <c r="CW259" t="e">
        <f t="shared" si="192"/>
        <v>#REF!</v>
      </c>
      <c r="CX259" t="e">
        <f t="shared" si="192"/>
        <v>#REF!</v>
      </c>
      <c r="CY259" t="e">
        <f t="shared" si="192"/>
        <v>#REF!</v>
      </c>
      <c r="CZ259" t="e">
        <f t="shared" si="189"/>
        <v>#REF!</v>
      </c>
      <c r="DA259" t="e">
        <f t="shared" si="189"/>
        <v>#REF!</v>
      </c>
      <c r="DB259" t="e">
        <f t="shared" si="189"/>
        <v>#REF!</v>
      </c>
      <c r="DC259" t="e">
        <f t="shared" si="189"/>
        <v>#REF!</v>
      </c>
      <c r="DD259" t="e">
        <f t="shared" si="189"/>
        <v>#REF!</v>
      </c>
      <c r="DE259" t="e">
        <f t="shared" si="189"/>
        <v>#REF!</v>
      </c>
      <c r="DF259" t="e">
        <f t="shared" si="189"/>
        <v>#REF!</v>
      </c>
      <c r="DG259" t="e">
        <f t="shared" si="189"/>
        <v>#REF!</v>
      </c>
      <c r="DH259" t="e">
        <f t="shared" si="189"/>
        <v>#REF!</v>
      </c>
      <c r="DI259" t="e">
        <f t="shared" si="189"/>
        <v>#REF!</v>
      </c>
      <c r="DJ259" t="e">
        <f t="shared" si="189"/>
        <v>#REF!</v>
      </c>
      <c r="DK259" t="e">
        <f t="shared" si="189"/>
        <v>#REF!</v>
      </c>
      <c r="DL259" t="e">
        <f t="shared" si="191"/>
        <v>#REF!</v>
      </c>
      <c r="DM259" t="e">
        <f t="shared" si="191"/>
        <v>#REF!</v>
      </c>
      <c r="DN259" t="e">
        <f t="shared" si="191"/>
        <v>#REF!</v>
      </c>
      <c r="DO259" t="e">
        <f t="shared" si="191"/>
        <v>#REF!</v>
      </c>
      <c r="DP259" t="e">
        <f t="shared" si="191"/>
        <v>#REF!</v>
      </c>
      <c r="DQ259" t="e">
        <f t="shared" si="191"/>
        <v>#REF!</v>
      </c>
      <c r="DR259" t="e">
        <f t="shared" si="191"/>
        <v>#REF!</v>
      </c>
      <c r="DS259" t="e">
        <f t="shared" si="191"/>
        <v>#REF!</v>
      </c>
      <c r="DT259" t="e">
        <f t="shared" si="191"/>
        <v>#REF!</v>
      </c>
      <c r="DU259" t="e">
        <f t="shared" si="191"/>
        <v>#REF!</v>
      </c>
      <c r="DV259" t="e">
        <f t="shared" si="191"/>
        <v>#REF!</v>
      </c>
      <c r="DW259" t="e">
        <f t="shared" si="191"/>
        <v>#REF!</v>
      </c>
      <c r="DX259" t="e">
        <f t="shared" si="191"/>
        <v>#REF!</v>
      </c>
      <c r="DY259" t="e">
        <f t="shared" si="191"/>
        <v>#REF!</v>
      </c>
      <c r="DZ259" t="e">
        <f t="shared" si="171"/>
        <v>#REF!</v>
      </c>
      <c r="EA259" t="e">
        <f t="shared" si="171"/>
        <v>#REF!</v>
      </c>
      <c r="EB259" t="e">
        <f t="shared" si="171"/>
        <v>#REF!</v>
      </c>
      <c r="EC259" t="e">
        <f t="shared" si="171"/>
        <v>#REF!</v>
      </c>
      <c r="ED259" t="e">
        <f t="shared" ref="ED259:EM259" si="200">MATCH(CONCATENATE(ED$3,"_",$C259),auto_DataFlat_UID,0)</f>
        <v>#REF!</v>
      </c>
      <c r="EE259" t="e">
        <f t="shared" si="200"/>
        <v>#REF!</v>
      </c>
      <c r="EF259" t="e">
        <f t="shared" si="200"/>
        <v>#REF!</v>
      </c>
      <c r="EG259" t="e">
        <f t="shared" si="200"/>
        <v>#REF!</v>
      </c>
      <c r="EH259" t="e">
        <f t="shared" si="200"/>
        <v>#REF!</v>
      </c>
      <c r="EI259" t="e">
        <f t="shared" si="200"/>
        <v>#REF!</v>
      </c>
      <c r="EJ259" t="e">
        <f t="shared" si="200"/>
        <v>#REF!</v>
      </c>
      <c r="EK259" t="e">
        <f t="shared" si="200"/>
        <v>#REF!</v>
      </c>
      <c r="EL259" t="e">
        <f t="shared" si="200"/>
        <v>#REF!</v>
      </c>
      <c r="EM259" t="e">
        <f t="shared" si="200"/>
        <v>#REF!</v>
      </c>
    </row>
    <row r="260" spans="1:143" x14ac:dyDescent="0.4">
      <c r="A260" t="str">
        <f t="shared" si="170"/>
        <v>X</v>
      </c>
      <c r="B260">
        <v>257</v>
      </c>
      <c r="C260" t="e" cm="1">
        <f t="array" ref="C260">INDEX(auto_Series_Code,B260)</f>
        <v>#REF!</v>
      </c>
      <c r="D260" t="e">
        <f t="shared" si="194"/>
        <v>#REF!</v>
      </c>
      <c r="E260" t="e">
        <f t="shared" si="194"/>
        <v>#REF!</v>
      </c>
      <c r="F260" t="e">
        <f t="shared" si="194"/>
        <v>#REF!</v>
      </c>
      <c r="G260" t="e">
        <f t="shared" si="194"/>
        <v>#REF!</v>
      </c>
      <c r="H260" t="e">
        <f t="shared" si="194"/>
        <v>#REF!</v>
      </c>
      <c r="I260" t="e">
        <f t="shared" si="194"/>
        <v>#REF!</v>
      </c>
      <c r="J260" t="e">
        <f t="shared" si="194"/>
        <v>#REF!</v>
      </c>
      <c r="K260" t="e">
        <f t="shared" si="194"/>
        <v>#REF!</v>
      </c>
      <c r="L260" t="e">
        <f t="shared" si="194"/>
        <v>#REF!</v>
      </c>
      <c r="M260" t="e">
        <f t="shared" si="194"/>
        <v>#REF!</v>
      </c>
      <c r="N260" t="e">
        <f t="shared" si="194"/>
        <v>#REF!</v>
      </c>
      <c r="O260" t="e">
        <f t="shared" si="194"/>
        <v>#REF!</v>
      </c>
      <c r="P260" t="e">
        <f t="shared" si="194"/>
        <v>#REF!</v>
      </c>
      <c r="Q260" t="e">
        <f t="shared" si="194"/>
        <v>#REF!</v>
      </c>
      <c r="R260" t="e">
        <f t="shared" si="194"/>
        <v>#REF!</v>
      </c>
      <c r="S260" t="e">
        <f t="shared" si="194"/>
        <v>#REF!</v>
      </c>
      <c r="T260" t="e">
        <f t="shared" si="193"/>
        <v>#REF!</v>
      </c>
      <c r="U260" t="e">
        <f t="shared" si="193"/>
        <v>#REF!</v>
      </c>
      <c r="V260" t="e">
        <f t="shared" si="193"/>
        <v>#REF!</v>
      </c>
      <c r="W260" t="e">
        <f t="shared" si="193"/>
        <v>#REF!</v>
      </c>
      <c r="X260" t="e">
        <f t="shared" si="193"/>
        <v>#REF!</v>
      </c>
      <c r="Y260" t="e">
        <f t="shared" si="193"/>
        <v>#REF!</v>
      </c>
      <c r="Z260" t="e">
        <f t="shared" si="193"/>
        <v>#REF!</v>
      </c>
      <c r="AA260" t="e">
        <f t="shared" si="193"/>
        <v>#REF!</v>
      </c>
      <c r="AB260" t="e">
        <f t="shared" si="193"/>
        <v>#REF!</v>
      </c>
      <c r="AC260" t="e">
        <f t="shared" si="193"/>
        <v>#REF!</v>
      </c>
      <c r="AD260" t="e">
        <f t="shared" si="193"/>
        <v>#REF!</v>
      </c>
      <c r="AE260" t="e">
        <f t="shared" si="193"/>
        <v>#REF!</v>
      </c>
      <c r="AF260" t="e">
        <f t="shared" si="193"/>
        <v>#REF!</v>
      </c>
      <c r="AG260" t="e">
        <f t="shared" si="193"/>
        <v>#REF!</v>
      </c>
      <c r="AH260" t="e">
        <f t="shared" si="186"/>
        <v>#REF!</v>
      </c>
      <c r="AI260" t="e">
        <f t="shared" si="186"/>
        <v>#REF!</v>
      </c>
      <c r="AJ260" t="e">
        <f t="shared" si="186"/>
        <v>#REF!</v>
      </c>
      <c r="AK260" t="e">
        <f t="shared" si="186"/>
        <v>#REF!</v>
      </c>
      <c r="AL260" t="e">
        <f t="shared" si="186"/>
        <v>#REF!</v>
      </c>
      <c r="AM260" t="e">
        <f t="shared" si="186"/>
        <v>#REF!</v>
      </c>
      <c r="AN260" t="e">
        <f t="shared" si="186"/>
        <v>#REF!</v>
      </c>
      <c r="AO260" t="e">
        <f t="shared" si="186"/>
        <v>#REF!</v>
      </c>
      <c r="AP260" t="e">
        <f t="shared" si="186"/>
        <v>#REF!</v>
      </c>
      <c r="AQ260" t="e">
        <f t="shared" si="186"/>
        <v>#REF!</v>
      </c>
      <c r="AR260" t="e">
        <f t="shared" si="186"/>
        <v>#REF!</v>
      </c>
      <c r="AS260" t="e">
        <f t="shared" si="186"/>
        <v>#REF!</v>
      </c>
      <c r="AT260" t="e">
        <f t="shared" si="196"/>
        <v>#REF!</v>
      </c>
      <c r="AU260" t="e">
        <f t="shared" si="196"/>
        <v>#REF!</v>
      </c>
      <c r="AV260" t="e">
        <f t="shared" si="196"/>
        <v>#REF!</v>
      </c>
      <c r="AW260" t="e">
        <f t="shared" si="196"/>
        <v>#REF!</v>
      </c>
      <c r="AX260" t="e">
        <f t="shared" si="196"/>
        <v>#REF!</v>
      </c>
      <c r="AY260" t="e">
        <f t="shared" si="196"/>
        <v>#REF!</v>
      </c>
      <c r="AZ260" t="e">
        <f t="shared" si="196"/>
        <v>#REF!</v>
      </c>
      <c r="BA260" t="e">
        <f t="shared" si="196"/>
        <v>#REF!</v>
      </c>
      <c r="BB260" t="e">
        <f t="shared" si="196"/>
        <v>#REF!</v>
      </c>
      <c r="BC260" t="e">
        <f t="shared" si="196"/>
        <v>#REF!</v>
      </c>
      <c r="BD260" t="e">
        <f t="shared" si="196"/>
        <v>#REF!</v>
      </c>
      <c r="BE260" t="e">
        <f t="shared" si="196"/>
        <v>#REF!</v>
      </c>
      <c r="BF260" t="e">
        <f t="shared" si="196"/>
        <v>#REF!</v>
      </c>
      <c r="BG260" t="e">
        <f t="shared" si="196"/>
        <v>#REF!</v>
      </c>
      <c r="BH260" t="e">
        <f t="shared" si="196"/>
        <v>#REF!</v>
      </c>
      <c r="BI260" t="e">
        <f t="shared" si="196"/>
        <v>#REF!</v>
      </c>
      <c r="BJ260" t="e">
        <f t="shared" si="197"/>
        <v>#REF!</v>
      </c>
      <c r="BK260" t="e">
        <f t="shared" si="197"/>
        <v>#REF!</v>
      </c>
      <c r="BL260" t="e">
        <f t="shared" si="197"/>
        <v>#REF!</v>
      </c>
      <c r="BM260" t="e">
        <f t="shared" si="197"/>
        <v>#REF!</v>
      </c>
      <c r="BN260" t="e">
        <f t="shared" si="197"/>
        <v>#REF!</v>
      </c>
      <c r="BO260" t="e">
        <f t="shared" si="197"/>
        <v>#REF!</v>
      </c>
      <c r="BP260" t="e">
        <f t="shared" si="197"/>
        <v>#REF!</v>
      </c>
      <c r="BQ260" t="e">
        <f t="shared" si="197"/>
        <v>#REF!</v>
      </c>
      <c r="BR260" t="e">
        <f t="shared" si="197"/>
        <v>#REF!</v>
      </c>
      <c r="BS260" t="e">
        <f t="shared" si="197"/>
        <v>#REF!</v>
      </c>
      <c r="BT260" t="e">
        <f t="shared" si="199"/>
        <v>#REF!</v>
      </c>
      <c r="BU260" t="e">
        <f t="shared" si="199"/>
        <v>#REF!</v>
      </c>
      <c r="BV260" t="e">
        <f t="shared" si="199"/>
        <v>#REF!</v>
      </c>
      <c r="BW260" t="e">
        <f t="shared" si="199"/>
        <v>#REF!</v>
      </c>
      <c r="BX260" t="e">
        <f t="shared" si="199"/>
        <v>#REF!</v>
      </c>
      <c r="BY260" t="e">
        <f t="shared" si="199"/>
        <v>#REF!</v>
      </c>
      <c r="BZ260" t="e">
        <f t="shared" si="199"/>
        <v>#REF!</v>
      </c>
      <c r="CA260" t="e">
        <f t="shared" si="199"/>
        <v>#REF!</v>
      </c>
      <c r="CB260" t="e">
        <f t="shared" si="199"/>
        <v>#REF!</v>
      </c>
      <c r="CC260" t="e">
        <f t="shared" si="199"/>
        <v>#REF!</v>
      </c>
      <c r="CD260" t="e">
        <f t="shared" si="199"/>
        <v>#REF!</v>
      </c>
      <c r="CE260" t="e">
        <f t="shared" si="199"/>
        <v>#REF!</v>
      </c>
      <c r="CF260" t="e">
        <f t="shared" si="187"/>
        <v>#REF!</v>
      </c>
      <c r="CG260" t="e">
        <f t="shared" si="187"/>
        <v>#REF!</v>
      </c>
      <c r="CH260" t="e">
        <f t="shared" si="187"/>
        <v>#REF!</v>
      </c>
      <c r="CI260" t="e">
        <f t="shared" si="187"/>
        <v>#REF!</v>
      </c>
      <c r="CJ260" t="e">
        <f t="shared" si="187"/>
        <v>#REF!</v>
      </c>
      <c r="CK260" t="e">
        <f t="shared" si="187"/>
        <v>#REF!</v>
      </c>
      <c r="CL260" t="e">
        <f t="shared" si="187"/>
        <v>#REF!</v>
      </c>
      <c r="CM260" t="e">
        <f t="shared" si="192"/>
        <v>#REF!</v>
      </c>
      <c r="CN260" t="e">
        <f t="shared" si="192"/>
        <v>#REF!</v>
      </c>
      <c r="CO260" t="e">
        <f t="shared" si="192"/>
        <v>#REF!</v>
      </c>
      <c r="CP260" t="e">
        <f t="shared" si="192"/>
        <v>#REF!</v>
      </c>
      <c r="CQ260" t="e">
        <f t="shared" si="192"/>
        <v>#REF!</v>
      </c>
      <c r="CR260" t="e">
        <f t="shared" si="192"/>
        <v>#REF!</v>
      </c>
      <c r="CS260" t="e">
        <f t="shared" si="192"/>
        <v>#REF!</v>
      </c>
      <c r="CT260" t="e">
        <f t="shared" si="192"/>
        <v>#REF!</v>
      </c>
      <c r="CU260" t="e">
        <f t="shared" si="192"/>
        <v>#REF!</v>
      </c>
      <c r="CV260" t="e">
        <f t="shared" si="192"/>
        <v>#REF!</v>
      </c>
      <c r="CW260" t="e">
        <f t="shared" si="192"/>
        <v>#REF!</v>
      </c>
      <c r="CX260" t="e">
        <f t="shared" si="192"/>
        <v>#REF!</v>
      </c>
      <c r="CY260" t="e">
        <f t="shared" si="192"/>
        <v>#REF!</v>
      </c>
      <c r="CZ260" t="e">
        <f t="shared" si="189"/>
        <v>#REF!</v>
      </c>
      <c r="DA260" t="e">
        <f t="shared" si="189"/>
        <v>#REF!</v>
      </c>
      <c r="DB260" t="e">
        <f t="shared" si="189"/>
        <v>#REF!</v>
      </c>
      <c r="DC260" t="e">
        <f t="shared" si="189"/>
        <v>#REF!</v>
      </c>
      <c r="DD260" t="e">
        <f t="shared" si="189"/>
        <v>#REF!</v>
      </c>
      <c r="DE260" t="e">
        <f t="shared" si="189"/>
        <v>#REF!</v>
      </c>
      <c r="DF260" t="e">
        <f t="shared" si="189"/>
        <v>#REF!</v>
      </c>
      <c r="DG260" t="e">
        <f t="shared" si="189"/>
        <v>#REF!</v>
      </c>
      <c r="DH260" t="e">
        <f t="shared" si="189"/>
        <v>#REF!</v>
      </c>
      <c r="DI260" t="e">
        <f t="shared" si="189"/>
        <v>#REF!</v>
      </c>
      <c r="DJ260" t="e">
        <f t="shared" si="189"/>
        <v>#REF!</v>
      </c>
      <c r="DK260" t="e">
        <f t="shared" si="189"/>
        <v>#REF!</v>
      </c>
      <c r="DL260" t="e">
        <f t="shared" si="191"/>
        <v>#REF!</v>
      </c>
      <c r="DM260" t="e">
        <f t="shared" si="191"/>
        <v>#REF!</v>
      </c>
      <c r="DN260" t="e">
        <f t="shared" si="191"/>
        <v>#REF!</v>
      </c>
      <c r="DO260" t="e">
        <f t="shared" si="191"/>
        <v>#REF!</v>
      </c>
      <c r="DP260" t="e">
        <f t="shared" si="191"/>
        <v>#REF!</v>
      </c>
      <c r="DQ260" t="e">
        <f t="shared" si="191"/>
        <v>#REF!</v>
      </c>
      <c r="DR260" t="e">
        <f t="shared" si="191"/>
        <v>#REF!</v>
      </c>
      <c r="DS260" t="e">
        <f t="shared" si="191"/>
        <v>#REF!</v>
      </c>
      <c r="DT260" t="e">
        <f t="shared" si="191"/>
        <v>#REF!</v>
      </c>
      <c r="DU260" t="e">
        <f t="shared" si="191"/>
        <v>#REF!</v>
      </c>
      <c r="DV260" t="e">
        <f t="shared" si="191"/>
        <v>#REF!</v>
      </c>
      <c r="DW260" t="e">
        <f t="shared" si="191"/>
        <v>#REF!</v>
      </c>
      <c r="DX260" t="e">
        <f t="shared" si="191"/>
        <v>#REF!</v>
      </c>
      <c r="DY260" t="e">
        <f t="shared" si="191"/>
        <v>#REF!</v>
      </c>
      <c r="DZ260" t="e">
        <f t="shared" si="171"/>
        <v>#REF!</v>
      </c>
      <c r="EA260" t="e">
        <f t="shared" si="171"/>
        <v>#REF!</v>
      </c>
      <c r="EB260" t="e">
        <f t="shared" si="171"/>
        <v>#REF!</v>
      </c>
      <c r="EC260" t="e">
        <f t="shared" ref="EC260:EM260" si="201">MATCH(CONCATENATE(EC$3,"_",$C260),auto_DataFlat_UID,0)</f>
        <v>#REF!</v>
      </c>
      <c r="ED260" t="e">
        <f t="shared" si="201"/>
        <v>#REF!</v>
      </c>
      <c r="EE260" t="e">
        <f t="shared" si="201"/>
        <v>#REF!</v>
      </c>
      <c r="EF260" t="e">
        <f t="shared" si="201"/>
        <v>#REF!</v>
      </c>
      <c r="EG260" t="e">
        <f t="shared" si="201"/>
        <v>#REF!</v>
      </c>
      <c r="EH260" t="e">
        <f t="shared" si="201"/>
        <v>#REF!</v>
      </c>
      <c r="EI260" t="e">
        <f t="shared" si="201"/>
        <v>#REF!</v>
      </c>
      <c r="EJ260" t="e">
        <f t="shared" si="201"/>
        <v>#REF!</v>
      </c>
      <c r="EK260" t="e">
        <f t="shared" si="201"/>
        <v>#REF!</v>
      </c>
      <c r="EL260" t="e">
        <f t="shared" si="201"/>
        <v>#REF!</v>
      </c>
      <c r="EM260" t="e">
        <f t="shared" si="201"/>
        <v>#REF!</v>
      </c>
    </row>
    <row r="261" spans="1:143" x14ac:dyDescent="0.4">
      <c r="A261" t="str">
        <f t="shared" si="170"/>
        <v>X</v>
      </c>
      <c r="B261">
        <v>258</v>
      </c>
      <c r="C261" t="e" cm="1">
        <f t="array" ref="C261">INDEX(auto_Series_Code,B261)</f>
        <v>#REF!</v>
      </c>
      <c r="D261" t="e">
        <f t="shared" si="194"/>
        <v>#REF!</v>
      </c>
      <c r="E261" t="e">
        <f t="shared" si="194"/>
        <v>#REF!</v>
      </c>
      <c r="F261" t="e">
        <f t="shared" si="194"/>
        <v>#REF!</v>
      </c>
      <c r="G261" t="e">
        <f t="shared" si="194"/>
        <v>#REF!</v>
      </c>
      <c r="H261" t="e">
        <f t="shared" si="194"/>
        <v>#REF!</v>
      </c>
      <c r="I261" t="e">
        <f t="shared" si="194"/>
        <v>#REF!</v>
      </c>
      <c r="J261" t="e">
        <f t="shared" si="194"/>
        <v>#REF!</v>
      </c>
      <c r="K261" t="e">
        <f t="shared" si="194"/>
        <v>#REF!</v>
      </c>
      <c r="L261" t="e">
        <f t="shared" si="194"/>
        <v>#REF!</v>
      </c>
      <c r="M261" t="e">
        <f t="shared" si="194"/>
        <v>#REF!</v>
      </c>
      <c r="N261" t="e">
        <f t="shared" si="194"/>
        <v>#REF!</v>
      </c>
      <c r="O261" t="e">
        <f t="shared" si="194"/>
        <v>#REF!</v>
      </c>
      <c r="P261" t="e">
        <f t="shared" si="194"/>
        <v>#REF!</v>
      </c>
      <c r="Q261" t="e">
        <f t="shared" si="194"/>
        <v>#REF!</v>
      </c>
      <c r="R261" t="e">
        <f t="shared" si="194"/>
        <v>#REF!</v>
      </c>
      <c r="S261" t="e">
        <f t="shared" si="194"/>
        <v>#REF!</v>
      </c>
      <c r="T261" t="e">
        <f t="shared" si="193"/>
        <v>#REF!</v>
      </c>
      <c r="U261" t="e">
        <f t="shared" si="193"/>
        <v>#REF!</v>
      </c>
      <c r="V261" t="e">
        <f t="shared" si="193"/>
        <v>#REF!</v>
      </c>
      <c r="W261" t="e">
        <f t="shared" si="193"/>
        <v>#REF!</v>
      </c>
      <c r="X261" t="e">
        <f t="shared" si="193"/>
        <v>#REF!</v>
      </c>
      <c r="Y261" t="e">
        <f t="shared" si="193"/>
        <v>#REF!</v>
      </c>
      <c r="Z261" t="e">
        <f t="shared" si="193"/>
        <v>#REF!</v>
      </c>
      <c r="AA261" t="e">
        <f t="shared" si="193"/>
        <v>#REF!</v>
      </c>
      <c r="AB261" t="e">
        <f t="shared" si="193"/>
        <v>#REF!</v>
      </c>
      <c r="AC261" t="e">
        <f t="shared" si="193"/>
        <v>#REF!</v>
      </c>
      <c r="AD261" t="e">
        <f t="shared" si="193"/>
        <v>#REF!</v>
      </c>
      <c r="AE261" t="e">
        <f t="shared" si="193"/>
        <v>#REF!</v>
      </c>
      <c r="AF261" t="e">
        <f t="shared" si="193"/>
        <v>#REF!</v>
      </c>
      <c r="AG261" t="e">
        <f t="shared" si="193"/>
        <v>#REF!</v>
      </c>
      <c r="AH261" t="e">
        <f t="shared" si="186"/>
        <v>#REF!</v>
      </c>
      <c r="AI261" t="e">
        <f t="shared" si="186"/>
        <v>#REF!</v>
      </c>
      <c r="AJ261" t="e">
        <f t="shared" si="186"/>
        <v>#REF!</v>
      </c>
      <c r="AK261" t="e">
        <f t="shared" si="186"/>
        <v>#REF!</v>
      </c>
      <c r="AL261" t="e">
        <f t="shared" si="186"/>
        <v>#REF!</v>
      </c>
      <c r="AM261" t="e">
        <f t="shared" si="186"/>
        <v>#REF!</v>
      </c>
      <c r="AN261" t="e">
        <f t="shared" si="186"/>
        <v>#REF!</v>
      </c>
      <c r="AO261" t="e">
        <f t="shared" si="186"/>
        <v>#REF!</v>
      </c>
      <c r="AP261" t="e">
        <f t="shared" si="186"/>
        <v>#REF!</v>
      </c>
      <c r="AQ261" t="e">
        <f t="shared" ref="AQ261:BF281" si="202">MATCH(CONCATENATE(AQ$3,"_",$C261),auto_DataFlat_UID,0)</f>
        <v>#REF!</v>
      </c>
      <c r="AR261" t="e">
        <f t="shared" si="202"/>
        <v>#REF!</v>
      </c>
      <c r="AS261" t="e">
        <f t="shared" si="202"/>
        <v>#REF!</v>
      </c>
      <c r="AT261" t="e">
        <f t="shared" si="202"/>
        <v>#REF!</v>
      </c>
      <c r="AU261" t="e">
        <f t="shared" si="202"/>
        <v>#REF!</v>
      </c>
      <c r="AV261" t="e">
        <f t="shared" si="202"/>
        <v>#REF!</v>
      </c>
      <c r="AW261" t="e">
        <f t="shared" si="202"/>
        <v>#REF!</v>
      </c>
      <c r="AX261" t="e">
        <f t="shared" si="202"/>
        <v>#REF!</v>
      </c>
      <c r="AY261" t="e">
        <f t="shared" si="202"/>
        <v>#REF!</v>
      </c>
      <c r="AZ261" t="e">
        <f t="shared" si="202"/>
        <v>#REF!</v>
      </c>
      <c r="BA261" t="e">
        <f t="shared" si="202"/>
        <v>#REF!</v>
      </c>
      <c r="BB261" t="e">
        <f t="shared" si="196"/>
        <v>#REF!</v>
      </c>
      <c r="BC261" t="e">
        <f t="shared" si="196"/>
        <v>#REF!</v>
      </c>
      <c r="BD261" t="e">
        <f t="shared" si="196"/>
        <v>#REF!</v>
      </c>
      <c r="BE261" t="e">
        <f t="shared" si="196"/>
        <v>#REF!</v>
      </c>
      <c r="BF261" t="e">
        <f t="shared" si="196"/>
        <v>#REF!</v>
      </c>
      <c r="BG261" t="e">
        <f t="shared" si="196"/>
        <v>#REF!</v>
      </c>
      <c r="BH261" t="e">
        <f t="shared" si="196"/>
        <v>#REF!</v>
      </c>
      <c r="BI261" t="e">
        <f t="shared" si="196"/>
        <v>#REF!</v>
      </c>
      <c r="BJ261" t="e">
        <f t="shared" si="197"/>
        <v>#REF!</v>
      </c>
      <c r="BK261" t="e">
        <f t="shared" si="197"/>
        <v>#REF!</v>
      </c>
      <c r="BL261" t="e">
        <f t="shared" si="197"/>
        <v>#REF!</v>
      </c>
      <c r="BM261" t="e">
        <f t="shared" si="197"/>
        <v>#REF!</v>
      </c>
      <c r="BN261" t="e">
        <f t="shared" si="197"/>
        <v>#REF!</v>
      </c>
      <c r="BO261" t="e">
        <f t="shared" si="197"/>
        <v>#REF!</v>
      </c>
      <c r="BP261" t="e">
        <f t="shared" si="197"/>
        <v>#REF!</v>
      </c>
      <c r="BQ261" t="e">
        <f t="shared" si="197"/>
        <v>#REF!</v>
      </c>
      <c r="BR261" t="e">
        <f t="shared" si="197"/>
        <v>#REF!</v>
      </c>
      <c r="BS261" t="e">
        <f t="shared" si="197"/>
        <v>#REF!</v>
      </c>
      <c r="BT261" t="e">
        <f t="shared" si="199"/>
        <v>#REF!</v>
      </c>
      <c r="BU261" t="e">
        <f t="shared" si="199"/>
        <v>#REF!</v>
      </c>
      <c r="BV261" t="e">
        <f t="shared" si="199"/>
        <v>#REF!</v>
      </c>
      <c r="BW261" t="e">
        <f t="shared" si="199"/>
        <v>#REF!</v>
      </c>
      <c r="BX261" t="e">
        <f t="shared" si="199"/>
        <v>#REF!</v>
      </c>
      <c r="BY261" t="e">
        <f t="shared" si="199"/>
        <v>#REF!</v>
      </c>
      <c r="BZ261" t="e">
        <f t="shared" si="199"/>
        <v>#REF!</v>
      </c>
      <c r="CA261" t="e">
        <f t="shared" si="199"/>
        <v>#REF!</v>
      </c>
      <c r="CB261" t="e">
        <f t="shared" si="199"/>
        <v>#REF!</v>
      </c>
      <c r="CC261" t="e">
        <f t="shared" si="199"/>
        <v>#REF!</v>
      </c>
      <c r="CD261" t="e">
        <f t="shared" si="199"/>
        <v>#REF!</v>
      </c>
      <c r="CE261" t="e">
        <f t="shared" si="199"/>
        <v>#REF!</v>
      </c>
      <c r="CF261" t="e">
        <f t="shared" si="187"/>
        <v>#REF!</v>
      </c>
      <c r="CG261" t="e">
        <f t="shared" si="187"/>
        <v>#REF!</v>
      </c>
      <c r="CH261" t="e">
        <f t="shared" si="187"/>
        <v>#REF!</v>
      </c>
      <c r="CI261" t="e">
        <f t="shared" si="187"/>
        <v>#REF!</v>
      </c>
      <c r="CJ261" t="e">
        <f t="shared" si="187"/>
        <v>#REF!</v>
      </c>
      <c r="CK261" t="e">
        <f t="shared" si="187"/>
        <v>#REF!</v>
      </c>
      <c r="CL261" t="e">
        <f t="shared" si="187"/>
        <v>#REF!</v>
      </c>
      <c r="CM261" t="e">
        <f t="shared" si="192"/>
        <v>#REF!</v>
      </c>
      <c r="CN261" t="e">
        <f t="shared" si="192"/>
        <v>#REF!</v>
      </c>
      <c r="CO261" t="e">
        <f t="shared" si="192"/>
        <v>#REF!</v>
      </c>
      <c r="CP261" t="e">
        <f t="shared" si="192"/>
        <v>#REF!</v>
      </c>
      <c r="CQ261" t="e">
        <f t="shared" si="192"/>
        <v>#REF!</v>
      </c>
      <c r="CR261" t="e">
        <f t="shared" si="192"/>
        <v>#REF!</v>
      </c>
      <c r="CS261" t="e">
        <f t="shared" si="192"/>
        <v>#REF!</v>
      </c>
      <c r="CT261" t="e">
        <f t="shared" si="192"/>
        <v>#REF!</v>
      </c>
      <c r="CU261" t="e">
        <f t="shared" si="192"/>
        <v>#REF!</v>
      </c>
      <c r="CV261" t="e">
        <f t="shared" si="192"/>
        <v>#REF!</v>
      </c>
      <c r="CW261" t="e">
        <f t="shared" si="192"/>
        <v>#REF!</v>
      </c>
      <c r="CX261" t="e">
        <f t="shared" si="192"/>
        <v>#REF!</v>
      </c>
      <c r="CY261" t="e">
        <f t="shared" si="192"/>
        <v>#REF!</v>
      </c>
      <c r="CZ261" t="e">
        <f t="shared" si="189"/>
        <v>#REF!</v>
      </c>
      <c r="DA261" t="e">
        <f t="shared" si="189"/>
        <v>#REF!</v>
      </c>
      <c r="DB261" t="e">
        <f t="shared" si="189"/>
        <v>#REF!</v>
      </c>
      <c r="DC261" t="e">
        <f t="shared" si="189"/>
        <v>#REF!</v>
      </c>
      <c r="DD261" t="e">
        <f t="shared" si="189"/>
        <v>#REF!</v>
      </c>
      <c r="DE261" t="e">
        <f t="shared" si="189"/>
        <v>#REF!</v>
      </c>
      <c r="DF261" t="e">
        <f t="shared" si="189"/>
        <v>#REF!</v>
      </c>
      <c r="DG261" t="e">
        <f t="shared" si="189"/>
        <v>#REF!</v>
      </c>
      <c r="DH261" t="e">
        <f t="shared" si="189"/>
        <v>#REF!</v>
      </c>
      <c r="DI261" t="e">
        <f t="shared" si="189"/>
        <v>#REF!</v>
      </c>
      <c r="DJ261" t="e">
        <f t="shared" si="189"/>
        <v>#REF!</v>
      </c>
      <c r="DK261" t="e">
        <f t="shared" si="189"/>
        <v>#REF!</v>
      </c>
      <c r="DL261" t="e">
        <f t="shared" si="191"/>
        <v>#REF!</v>
      </c>
      <c r="DM261" t="e">
        <f t="shared" si="191"/>
        <v>#REF!</v>
      </c>
      <c r="DN261" t="e">
        <f t="shared" si="191"/>
        <v>#REF!</v>
      </c>
      <c r="DO261" t="e">
        <f t="shared" si="191"/>
        <v>#REF!</v>
      </c>
      <c r="DP261" t="e">
        <f t="shared" si="191"/>
        <v>#REF!</v>
      </c>
      <c r="DQ261" t="e">
        <f t="shared" si="191"/>
        <v>#REF!</v>
      </c>
      <c r="DR261" t="e">
        <f t="shared" si="191"/>
        <v>#REF!</v>
      </c>
      <c r="DS261" t="e">
        <f t="shared" si="191"/>
        <v>#REF!</v>
      </c>
      <c r="DT261" t="e">
        <f t="shared" si="191"/>
        <v>#REF!</v>
      </c>
      <c r="DU261" t="e">
        <f t="shared" si="191"/>
        <v>#REF!</v>
      </c>
      <c r="DV261" t="e">
        <f t="shared" si="191"/>
        <v>#REF!</v>
      </c>
      <c r="DW261" t="e">
        <f t="shared" si="191"/>
        <v>#REF!</v>
      </c>
      <c r="DX261" t="e">
        <f t="shared" si="191"/>
        <v>#REF!</v>
      </c>
      <c r="DY261" t="e">
        <f t="shared" si="191"/>
        <v>#REF!</v>
      </c>
      <c r="DZ261" t="e">
        <f t="shared" si="191"/>
        <v>#REF!</v>
      </c>
      <c r="EA261" t="e">
        <f t="shared" si="191"/>
        <v>#REF!</v>
      </c>
      <c r="EB261" t="e">
        <f t="shared" ref="EB261:EM261" si="203">MATCH(CONCATENATE(EB$3,"_",$C261),auto_DataFlat_UID,0)</f>
        <v>#REF!</v>
      </c>
      <c r="EC261" t="e">
        <f t="shared" si="203"/>
        <v>#REF!</v>
      </c>
      <c r="ED261" t="e">
        <f t="shared" si="203"/>
        <v>#REF!</v>
      </c>
      <c r="EE261" t="e">
        <f t="shared" si="203"/>
        <v>#REF!</v>
      </c>
      <c r="EF261" t="e">
        <f t="shared" si="203"/>
        <v>#REF!</v>
      </c>
      <c r="EG261" t="e">
        <f t="shared" si="203"/>
        <v>#REF!</v>
      </c>
      <c r="EH261" t="e">
        <f t="shared" si="203"/>
        <v>#REF!</v>
      </c>
      <c r="EI261" t="e">
        <f t="shared" si="203"/>
        <v>#REF!</v>
      </c>
      <c r="EJ261" t="e">
        <f t="shared" si="203"/>
        <v>#REF!</v>
      </c>
      <c r="EK261" t="e">
        <f t="shared" si="203"/>
        <v>#REF!</v>
      </c>
      <c r="EL261" t="e">
        <f t="shared" si="203"/>
        <v>#REF!</v>
      </c>
      <c r="EM261" t="e">
        <f t="shared" si="203"/>
        <v>#REF!</v>
      </c>
    </row>
    <row r="262" spans="1:143" x14ac:dyDescent="0.4">
      <c r="A262" t="str">
        <f t="shared" si="170"/>
        <v>X</v>
      </c>
      <c r="B262">
        <v>259</v>
      </c>
      <c r="C262" t="e" cm="1">
        <f t="array" ref="C262">INDEX(auto_Series_Code,B262)</f>
        <v>#REF!</v>
      </c>
      <c r="D262" t="e">
        <f t="shared" si="194"/>
        <v>#REF!</v>
      </c>
      <c r="E262" t="e">
        <f t="shared" si="194"/>
        <v>#REF!</v>
      </c>
      <c r="F262" t="e">
        <f t="shared" si="194"/>
        <v>#REF!</v>
      </c>
      <c r="G262" t="e">
        <f t="shared" si="194"/>
        <v>#REF!</v>
      </c>
      <c r="H262" t="e">
        <f t="shared" si="194"/>
        <v>#REF!</v>
      </c>
      <c r="I262" t="e">
        <f t="shared" si="194"/>
        <v>#REF!</v>
      </c>
      <c r="J262" t="e">
        <f t="shared" si="194"/>
        <v>#REF!</v>
      </c>
      <c r="K262" t="e">
        <f t="shared" si="194"/>
        <v>#REF!</v>
      </c>
      <c r="L262" t="e">
        <f t="shared" si="194"/>
        <v>#REF!</v>
      </c>
      <c r="M262" t="e">
        <f t="shared" si="194"/>
        <v>#REF!</v>
      </c>
      <c r="N262" t="e">
        <f t="shared" si="194"/>
        <v>#REF!</v>
      </c>
      <c r="O262" t="e">
        <f t="shared" si="194"/>
        <v>#REF!</v>
      </c>
      <c r="P262" t="e">
        <f t="shared" si="194"/>
        <v>#REF!</v>
      </c>
      <c r="Q262" t="e">
        <f t="shared" si="194"/>
        <v>#REF!</v>
      </c>
      <c r="R262" t="e">
        <f t="shared" si="194"/>
        <v>#REF!</v>
      </c>
      <c r="S262" t="e">
        <f t="shared" si="194"/>
        <v>#REF!</v>
      </c>
      <c r="T262" t="e">
        <f t="shared" si="193"/>
        <v>#REF!</v>
      </c>
      <c r="U262" t="e">
        <f t="shared" si="193"/>
        <v>#REF!</v>
      </c>
      <c r="V262" t="e">
        <f t="shared" si="193"/>
        <v>#REF!</v>
      </c>
      <c r="W262" t="e">
        <f t="shared" si="193"/>
        <v>#REF!</v>
      </c>
      <c r="X262" t="e">
        <f t="shared" si="193"/>
        <v>#REF!</v>
      </c>
      <c r="Y262" t="e">
        <f t="shared" si="193"/>
        <v>#REF!</v>
      </c>
      <c r="Z262" t="e">
        <f t="shared" si="193"/>
        <v>#REF!</v>
      </c>
      <c r="AA262" t="e">
        <f t="shared" si="193"/>
        <v>#REF!</v>
      </c>
      <c r="AB262" t="e">
        <f t="shared" si="193"/>
        <v>#REF!</v>
      </c>
      <c r="AC262" t="e">
        <f t="shared" si="193"/>
        <v>#REF!</v>
      </c>
      <c r="AD262" t="e">
        <f t="shared" si="193"/>
        <v>#REF!</v>
      </c>
      <c r="AE262" t="e">
        <f t="shared" si="193"/>
        <v>#REF!</v>
      </c>
      <c r="AF262" t="e">
        <f t="shared" si="193"/>
        <v>#REF!</v>
      </c>
      <c r="AG262" t="e">
        <f t="shared" si="193"/>
        <v>#REF!</v>
      </c>
      <c r="AH262" t="e">
        <f t="shared" si="193"/>
        <v>#REF!</v>
      </c>
      <c r="AI262" t="e">
        <f t="shared" ref="AI262:AQ275" si="204">MATCH(CONCATENATE(AI$3,"_",$C262),auto_DataFlat_UID,0)</f>
        <v>#REF!</v>
      </c>
      <c r="AJ262" t="e">
        <f t="shared" si="204"/>
        <v>#REF!</v>
      </c>
      <c r="AK262" t="e">
        <f t="shared" si="204"/>
        <v>#REF!</v>
      </c>
      <c r="AL262" t="e">
        <f t="shared" si="204"/>
        <v>#REF!</v>
      </c>
      <c r="AM262" t="e">
        <f t="shared" si="204"/>
        <v>#REF!</v>
      </c>
      <c r="AN262" t="e">
        <f t="shared" si="204"/>
        <v>#REF!</v>
      </c>
      <c r="AO262" t="e">
        <f t="shared" si="204"/>
        <v>#REF!</v>
      </c>
      <c r="AP262" t="e">
        <f t="shared" si="204"/>
        <v>#REF!</v>
      </c>
      <c r="AQ262" t="e">
        <f t="shared" si="204"/>
        <v>#REF!</v>
      </c>
      <c r="AR262" t="e">
        <f t="shared" si="202"/>
        <v>#REF!</v>
      </c>
      <c r="AS262" t="e">
        <f t="shared" si="202"/>
        <v>#REF!</v>
      </c>
      <c r="AT262" t="e">
        <f t="shared" si="202"/>
        <v>#REF!</v>
      </c>
      <c r="AU262" t="e">
        <f t="shared" si="202"/>
        <v>#REF!</v>
      </c>
      <c r="AV262" t="e">
        <f t="shared" si="202"/>
        <v>#REF!</v>
      </c>
      <c r="AW262" t="e">
        <f t="shared" si="202"/>
        <v>#REF!</v>
      </c>
      <c r="AX262" t="e">
        <f t="shared" si="202"/>
        <v>#REF!</v>
      </c>
      <c r="AY262" t="e">
        <f t="shared" si="202"/>
        <v>#REF!</v>
      </c>
      <c r="AZ262" t="e">
        <f t="shared" si="202"/>
        <v>#REF!</v>
      </c>
      <c r="BA262" t="e">
        <f t="shared" si="202"/>
        <v>#REF!</v>
      </c>
      <c r="BB262" t="e">
        <f t="shared" si="196"/>
        <v>#REF!</v>
      </c>
      <c r="BC262" t="e">
        <f t="shared" si="196"/>
        <v>#REF!</v>
      </c>
      <c r="BD262" t="e">
        <f t="shared" si="196"/>
        <v>#REF!</v>
      </c>
      <c r="BE262" t="e">
        <f t="shared" si="196"/>
        <v>#REF!</v>
      </c>
      <c r="BF262" t="e">
        <f t="shared" si="196"/>
        <v>#REF!</v>
      </c>
      <c r="BG262" t="e">
        <f t="shared" si="196"/>
        <v>#REF!</v>
      </c>
      <c r="BH262" t="e">
        <f t="shared" si="196"/>
        <v>#REF!</v>
      </c>
      <c r="BI262" t="e">
        <f t="shared" si="196"/>
        <v>#REF!</v>
      </c>
      <c r="BJ262" t="e">
        <f t="shared" si="197"/>
        <v>#REF!</v>
      </c>
      <c r="BK262" t="e">
        <f t="shared" si="197"/>
        <v>#REF!</v>
      </c>
      <c r="BL262" t="e">
        <f t="shared" si="197"/>
        <v>#REF!</v>
      </c>
      <c r="BM262" t="e">
        <f t="shared" si="197"/>
        <v>#REF!</v>
      </c>
      <c r="BN262" t="e">
        <f t="shared" si="197"/>
        <v>#REF!</v>
      </c>
      <c r="BO262" t="e">
        <f t="shared" si="197"/>
        <v>#REF!</v>
      </c>
      <c r="BP262" t="e">
        <f t="shared" si="197"/>
        <v>#REF!</v>
      </c>
      <c r="BQ262" t="e">
        <f t="shared" si="197"/>
        <v>#REF!</v>
      </c>
      <c r="BR262" t="e">
        <f t="shared" si="197"/>
        <v>#REF!</v>
      </c>
      <c r="BS262" t="e">
        <f t="shared" si="197"/>
        <v>#REF!</v>
      </c>
      <c r="BT262" t="e">
        <f t="shared" si="199"/>
        <v>#REF!</v>
      </c>
      <c r="BU262" t="e">
        <f t="shared" si="199"/>
        <v>#REF!</v>
      </c>
      <c r="BV262" t="e">
        <f t="shared" si="199"/>
        <v>#REF!</v>
      </c>
      <c r="BW262" t="e">
        <f t="shared" si="199"/>
        <v>#REF!</v>
      </c>
      <c r="BX262" t="e">
        <f t="shared" si="199"/>
        <v>#REF!</v>
      </c>
      <c r="BY262" t="e">
        <f t="shared" si="199"/>
        <v>#REF!</v>
      </c>
      <c r="BZ262" t="e">
        <f t="shared" si="199"/>
        <v>#REF!</v>
      </c>
      <c r="CA262" t="e">
        <f t="shared" si="199"/>
        <v>#REF!</v>
      </c>
      <c r="CB262" t="e">
        <f t="shared" si="199"/>
        <v>#REF!</v>
      </c>
      <c r="CC262" t="e">
        <f t="shared" si="199"/>
        <v>#REF!</v>
      </c>
      <c r="CD262" t="e">
        <f t="shared" si="199"/>
        <v>#REF!</v>
      </c>
      <c r="CE262" t="e">
        <f t="shared" si="199"/>
        <v>#REF!</v>
      </c>
      <c r="CF262" t="e">
        <f t="shared" si="187"/>
        <v>#REF!</v>
      </c>
      <c r="CG262" t="e">
        <f t="shared" si="187"/>
        <v>#REF!</v>
      </c>
      <c r="CH262" t="e">
        <f t="shared" si="187"/>
        <v>#REF!</v>
      </c>
      <c r="CI262" t="e">
        <f t="shared" si="187"/>
        <v>#REF!</v>
      </c>
      <c r="CJ262" t="e">
        <f t="shared" si="187"/>
        <v>#REF!</v>
      </c>
      <c r="CK262" t="e">
        <f t="shared" si="187"/>
        <v>#REF!</v>
      </c>
      <c r="CL262" t="e">
        <f t="shared" si="187"/>
        <v>#REF!</v>
      </c>
      <c r="CM262" t="e">
        <f t="shared" si="192"/>
        <v>#REF!</v>
      </c>
      <c r="CN262" t="e">
        <f t="shared" si="192"/>
        <v>#REF!</v>
      </c>
      <c r="CO262" t="e">
        <f t="shared" si="192"/>
        <v>#REF!</v>
      </c>
      <c r="CP262" t="e">
        <f t="shared" si="192"/>
        <v>#REF!</v>
      </c>
      <c r="CQ262" t="e">
        <f t="shared" si="192"/>
        <v>#REF!</v>
      </c>
      <c r="CR262" t="e">
        <f t="shared" si="192"/>
        <v>#REF!</v>
      </c>
      <c r="CS262" t="e">
        <f t="shared" si="192"/>
        <v>#REF!</v>
      </c>
      <c r="CT262" t="e">
        <f t="shared" si="192"/>
        <v>#REF!</v>
      </c>
      <c r="CU262" t="e">
        <f t="shared" si="192"/>
        <v>#REF!</v>
      </c>
      <c r="CV262" t="e">
        <f t="shared" si="192"/>
        <v>#REF!</v>
      </c>
      <c r="CW262" t="e">
        <f t="shared" si="192"/>
        <v>#REF!</v>
      </c>
      <c r="CX262" t="e">
        <f t="shared" si="192"/>
        <v>#REF!</v>
      </c>
      <c r="CY262" t="e">
        <f t="shared" si="192"/>
        <v>#REF!</v>
      </c>
      <c r="CZ262" t="e">
        <f t="shared" si="189"/>
        <v>#REF!</v>
      </c>
      <c r="DA262" t="e">
        <f t="shared" si="189"/>
        <v>#REF!</v>
      </c>
      <c r="DB262" t="e">
        <f t="shared" si="189"/>
        <v>#REF!</v>
      </c>
      <c r="DC262" t="e">
        <f t="shared" si="189"/>
        <v>#REF!</v>
      </c>
      <c r="DD262" t="e">
        <f t="shared" si="189"/>
        <v>#REF!</v>
      </c>
      <c r="DE262" t="e">
        <f t="shared" si="189"/>
        <v>#REF!</v>
      </c>
      <c r="DF262" t="e">
        <f t="shared" si="189"/>
        <v>#REF!</v>
      </c>
      <c r="DG262" t="e">
        <f t="shared" si="189"/>
        <v>#REF!</v>
      </c>
      <c r="DH262" t="e">
        <f t="shared" si="189"/>
        <v>#REF!</v>
      </c>
      <c r="DI262" t="e">
        <f t="shared" si="189"/>
        <v>#REF!</v>
      </c>
      <c r="DJ262" t="e">
        <f t="shared" si="189"/>
        <v>#REF!</v>
      </c>
      <c r="DK262" t="e">
        <f t="shared" si="189"/>
        <v>#REF!</v>
      </c>
      <c r="DL262" t="e">
        <f t="shared" si="191"/>
        <v>#REF!</v>
      </c>
      <c r="DM262" t="e">
        <f t="shared" si="191"/>
        <v>#REF!</v>
      </c>
      <c r="DN262" t="e">
        <f t="shared" si="191"/>
        <v>#REF!</v>
      </c>
      <c r="DO262" t="e">
        <f t="shared" si="191"/>
        <v>#REF!</v>
      </c>
      <c r="DP262" t="e">
        <f t="shared" si="191"/>
        <v>#REF!</v>
      </c>
      <c r="DQ262" t="e">
        <f t="shared" si="191"/>
        <v>#REF!</v>
      </c>
      <c r="DR262" t="e">
        <f t="shared" si="191"/>
        <v>#REF!</v>
      </c>
      <c r="DS262" t="e">
        <f t="shared" si="191"/>
        <v>#REF!</v>
      </c>
      <c r="DT262" t="e">
        <f t="shared" si="191"/>
        <v>#REF!</v>
      </c>
      <c r="DU262" t="e">
        <f t="shared" si="191"/>
        <v>#REF!</v>
      </c>
      <c r="DV262" t="e">
        <f t="shared" si="191"/>
        <v>#REF!</v>
      </c>
      <c r="DW262" t="e">
        <f t="shared" si="191"/>
        <v>#REF!</v>
      </c>
      <c r="DX262" t="e">
        <f t="shared" si="191"/>
        <v>#REF!</v>
      </c>
      <c r="DY262" t="e">
        <f t="shared" si="191"/>
        <v>#REF!</v>
      </c>
      <c r="DZ262" t="e">
        <f t="shared" si="191"/>
        <v>#REF!</v>
      </c>
      <c r="EA262" t="e">
        <f t="shared" ref="EA262:EM277" si="205">MATCH(CONCATENATE(EA$3,"_",$C262),auto_DataFlat_UID,0)</f>
        <v>#REF!</v>
      </c>
      <c r="EB262" t="e">
        <f t="shared" si="205"/>
        <v>#REF!</v>
      </c>
      <c r="EC262" t="e">
        <f t="shared" si="205"/>
        <v>#REF!</v>
      </c>
      <c r="ED262" t="e">
        <f t="shared" si="205"/>
        <v>#REF!</v>
      </c>
      <c r="EE262" t="e">
        <f t="shared" si="205"/>
        <v>#REF!</v>
      </c>
      <c r="EF262" t="e">
        <f t="shared" si="205"/>
        <v>#REF!</v>
      </c>
      <c r="EG262" t="e">
        <f t="shared" si="205"/>
        <v>#REF!</v>
      </c>
      <c r="EH262" t="e">
        <f t="shared" si="205"/>
        <v>#REF!</v>
      </c>
      <c r="EI262" t="e">
        <f t="shared" si="205"/>
        <v>#REF!</v>
      </c>
      <c r="EJ262" t="e">
        <f t="shared" si="205"/>
        <v>#REF!</v>
      </c>
      <c r="EK262" t="e">
        <f t="shared" si="205"/>
        <v>#REF!</v>
      </c>
      <c r="EL262" t="e">
        <f t="shared" si="205"/>
        <v>#REF!</v>
      </c>
      <c r="EM262" t="e">
        <f t="shared" si="205"/>
        <v>#REF!</v>
      </c>
    </row>
    <row r="263" spans="1:143" x14ac:dyDescent="0.4">
      <c r="A263" t="str">
        <f t="shared" ref="A263:A288" si="206">IF(ISERROR(C263),"X","")</f>
        <v>X</v>
      </c>
      <c r="B263">
        <v>260</v>
      </c>
      <c r="C263" t="e" cm="1">
        <f t="array" ref="C263">INDEX(auto_Series_Code,B263)</f>
        <v>#REF!</v>
      </c>
      <c r="D263" t="e">
        <f t="shared" si="194"/>
        <v>#REF!</v>
      </c>
      <c r="E263" t="e">
        <f t="shared" si="194"/>
        <v>#REF!</v>
      </c>
      <c r="F263" t="e">
        <f t="shared" si="194"/>
        <v>#REF!</v>
      </c>
      <c r="G263" t="e">
        <f t="shared" si="194"/>
        <v>#REF!</v>
      </c>
      <c r="H263" t="e">
        <f t="shared" si="194"/>
        <v>#REF!</v>
      </c>
      <c r="I263" t="e">
        <f t="shared" si="194"/>
        <v>#REF!</v>
      </c>
      <c r="J263" t="e">
        <f t="shared" si="194"/>
        <v>#REF!</v>
      </c>
      <c r="K263" t="e">
        <f t="shared" si="194"/>
        <v>#REF!</v>
      </c>
      <c r="L263" t="e">
        <f t="shared" si="194"/>
        <v>#REF!</v>
      </c>
      <c r="M263" t="e">
        <f t="shared" si="194"/>
        <v>#REF!</v>
      </c>
      <c r="N263" t="e">
        <f t="shared" si="194"/>
        <v>#REF!</v>
      </c>
      <c r="O263" t="e">
        <f t="shared" si="194"/>
        <v>#REF!</v>
      </c>
      <c r="P263" t="e">
        <f t="shared" si="194"/>
        <v>#REF!</v>
      </c>
      <c r="Q263" t="e">
        <f t="shared" si="194"/>
        <v>#REF!</v>
      </c>
      <c r="R263" t="e">
        <f t="shared" si="194"/>
        <v>#REF!</v>
      </c>
      <c r="S263" t="e">
        <f t="shared" ref="S263:AG288" si="207">MATCH(CONCATENATE(S$3,"_",$C263),auto_DataFlat_UID,0)</f>
        <v>#REF!</v>
      </c>
      <c r="T263" t="e">
        <f t="shared" si="207"/>
        <v>#REF!</v>
      </c>
      <c r="U263" t="e">
        <f t="shared" si="207"/>
        <v>#REF!</v>
      </c>
      <c r="V263" t="e">
        <f t="shared" si="207"/>
        <v>#REF!</v>
      </c>
      <c r="W263" t="e">
        <f t="shared" si="207"/>
        <v>#REF!</v>
      </c>
      <c r="X263" t="e">
        <f t="shared" si="193"/>
        <v>#REF!</v>
      </c>
      <c r="Y263" t="e">
        <f t="shared" si="193"/>
        <v>#REF!</v>
      </c>
      <c r="Z263" t="e">
        <f t="shared" si="193"/>
        <v>#REF!</v>
      </c>
      <c r="AA263" t="e">
        <f t="shared" si="193"/>
        <v>#REF!</v>
      </c>
      <c r="AB263" t="e">
        <f t="shared" si="193"/>
        <v>#REF!</v>
      </c>
      <c r="AC263" t="e">
        <f t="shared" si="193"/>
        <v>#REF!</v>
      </c>
      <c r="AD263" t="e">
        <f t="shared" si="193"/>
        <v>#REF!</v>
      </c>
      <c r="AE263" t="e">
        <f t="shared" si="193"/>
        <v>#REF!</v>
      </c>
      <c r="AF263" t="e">
        <f t="shared" si="193"/>
        <v>#REF!</v>
      </c>
      <c r="AG263" t="e">
        <f t="shared" si="193"/>
        <v>#REF!</v>
      </c>
      <c r="AH263" t="e">
        <f t="shared" si="193"/>
        <v>#REF!</v>
      </c>
      <c r="AI263" t="e">
        <f t="shared" si="204"/>
        <v>#REF!</v>
      </c>
      <c r="AJ263" t="e">
        <f t="shared" si="204"/>
        <v>#REF!</v>
      </c>
      <c r="AK263" t="e">
        <f t="shared" si="204"/>
        <v>#REF!</v>
      </c>
      <c r="AL263" t="e">
        <f t="shared" si="204"/>
        <v>#REF!</v>
      </c>
      <c r="AM263" t="e">
        <f t="shared" si="204"/>
        <v>#REF!</v>
      </c>
      <c r="AN263" t="e">
        <f t="shared" si="204"/>
        <v>#REF!</v>
      </c>
      <c r="AO263" t="e">
        <f t="shared" si="204"/>
        <v>#REF!</v>
      </c>
      <c r="AP263" t="e">
        <f t="shared" si="204"/>
        <v>#REF!</v>
      </c>
      <c r="AQ263" t="e">
        <f t="shared" si="204"/>
        <v>#REF!</v>
      </c>
      <c r="AR263" t="e">
        <f t="shared" si="202"/>
        <v>#REF!</v>
      </c>
      <c r="AS263" t="e">
        <f t="shared" si="202"/>
        <v>#REF!</v>
      </c>
      <c r="AT263" t="e">
        <f t="shared" si="202"/>
        <v>#REF!</v>
      </c>
      <c r="AU263" t="e">
        <f t="shared" si="202"/>
        <v>#REF!</v>
      </c>
      <c r="AV263" t="e">
        <f t="shared" si="202"/>
        <v>#REF!</v>
      </c>
      <c r="AW263" t="e">
        <f t="shared" si="202"/>
        <v>#REF!</v>
      </c>
      <c r="AX263" t="e">
        <f t="shared" si="202"/>
        <v>#REF!</v>
      </c>
      <c r="AY263" t="e">
        <f t="shared" si="202"/>
        <v>#REF!</v>
      </c>
      <c r="AZ263" t="e">
        <f t="shared" si="202"/>
        <v>#REF!</v>
      </c>
      <c r="BA263" t="e">
        <f t="shared" si="202"/>
        <v>#REF!</v>
      </c>
      <c r="BB263" t="e">
        <f t="shared" si="196"/>
        <v>#REF!</v>
      </c>
      <c r="BC263" t="e">
        <f t="shared" si="196"/>
        <v>#REF!</v>
      </c>
      <c r="BD263" t="e">
        <f t="shared" si="196"/>
        <v>#REF!</v>
      </c>
      <c r="BE263" t="e">
        <f t="shared" si="196"/>
        <v>#REF!</v>
      </c>
      <c r="BF263" t="e">
        <f t="shared" si="196"/>
        <v>#REF!</v>
      </c>
      <c r="BG263" t="e">
        <f t="shared" si="196"/>
        <v>#REF!</v>
      </c>
      <c r="BH263" t="e">
        <f t="shared" si="196"/>
        <v>#REF!</v>
      </c>
      <c r="BI263" t="e">
        <f t="shared" si="196"/>
        <v>#REF!</v>
      </c>
      <c r="BJ263" t="e">
        <f t="shared" si="197"/>
        <v>#REF!</v>
      </c>
      <c r="BK263" t="e">
        <f t="shared" si="197"/>
        <v>#REF!</v>
      </c>
      <c r="BL263" t="e">
        <f t="shared" si="197"/>
        <v>#REF!</v>
      </c>
      <c r="BM263" t="e">
        <f t="shared" si="197"/>
        <v>#REF!</v>
      </c>
      <c r="BN263" t="e">
        <f t="shared" si="197"/>
        <v>#REF!</v>
      </c>
      <c r="BO263" t="e">
        <f t="shared" si="197"/>
        <v>#REF!</v>
      </c>
      <c r="BP263" t="e">
        <f t="shared" si="197"/>
        <v>#REF!</v>
      </c>
      <c r="BQ263" t="e">
        <f t="shared" si="197"/>
        <v>#REF!</v>
      </c>
      <c r="BR263" t="e">
        <f t="shared" si="197"/>
        <v>#REF!</v>
      </c>
      <c r="BS263" t="e">
        <f t="shared" si="197"/>
        <v>#REF!</v>
      </c>
      <c r="BT263" t="e">
        <f t="shared" si="199"/>
        <v>#REF!</v>
      </c>
      <c r="BU263" t="e">
        <f t="shared" si="199"/>
        <v>#REF!</v>
      </c>
      <c r="BV263" t="e">
        <f t="shared" si="199"/>
        <v>#REF!</v>
      </c>
      <c r="BW263" t="e">
        <f t="shared" si="199"/>
        <v>#REF!</v>
      </c>
      <c r="BX263" t="e">
        <f t="shared" si="199"/>
        <v>#REF!</v>
      </c>
      <c r="BY263" t="e">
        <f t="shared" si="199"/>
        <v>#REF!</v>
      </c>
      <c r="BZ263" t="e">
        <f t="shared" si="199"/>
        <v>#REF!</v>
      </c>
      <c r="CA263" t="e">
        <f t="shared" si="199"/>
        <v>#REF!</v>
      </c>
      <c r="CB263" t="e">
        <f t="shared" si="199"/>
        <v>#REF!</v>
      </c>
      <c r="CC263" t="e">
        <f t="shared" si="199"/>
        <v>#REF!</v>
      </c>
      <c r="CD263" t="e">
        <f t="shared" si="199"/>
        <v>#REF!</v>
      </c>
      <c r="CE263" t="e">
        <f t="shared" si="199"/>
        <v>#REF!</v>
      </c>
      <c r="CF263" t="e">
        <f t="shared" si="187"/>
        <v>#REF!</v>
      </c>
      <c r="CG263" t="e">
        <f t="shared" si="187"/>
        <v>#REF!</v>
      </c>
      <c r="CH263" t="e">
        <f t="shared" si="187"/>
        <v>#REF!</v>
      </c>
      <c r="CI263" t="e">
        <f t="shared" si="187"/>
        <v>#REF!</v>
      </c>
      <c r="CJ263" t="e">
        <f t="shared" si="187"/>
        <v>#REF!</v>
      </c>
      <c r="CK263" t="e">
        <f t="shared" si="187"/>
        <v>#REF!</v>
      </c>
      <c r="CL263" t="e">
        <f t="shared" si="187"/>
        <v>#REF!</v>
      </c>
      <c r="CM263" t="e">
        <f t="shared" si="192"/>
        <v>#REF!</v>
      </c>
      <c r="CN263" t="e">
        <f t="shared" si="192"/>
        <v>#REF!</v>
      </c>
      <c r="CO263" t="e">
        <f t="shared" si="192"/>
        <v>#REF!</v>
      </c>
      <c r="CP263" t="e">
        <f t="shared" si="192"/>
        <v>#REF!</v>
      </c>
      <c r="CQ263" t="e">
        <f t="shared" si="192"/>
        <v>#REF!</v>
      </c>
      <c r="CR263" t="e">
        <f t="shared" si="192"/>
        <v>#REF!</v>
      </c>
      <c r="CS263" t="e">
        <f t="shared" si="192"/>
        <v>#REF!</v>
      </c>
      <c r="CT263" t="e">
        <f t="shared" si="192"/>
        <v>#REF!</v>
      </c>
      <c r="CU263" t="e">
        <f t="shared" si="192"/>
        <v>#REF!</v>
      </c>
      <c r="CV263" t="e">
        <f t="shared" si="192"/>
        <v>#REF!</v>
      </c>
      <c r="CW263" t="e">
        <f t="shared" si="192"/>
        <v>#REF!</v>
      </c>
      <c r="CX263" t="e">
        <f t="shared" si="192"/>
        <v>#REF!</v>
      </c>
      <c r="CY263" t="e">
        <f t="shared" si="192"/>
        <v>#REF!</v>
      </c>
      <c r="CZ263" t="e">
        <f t="shared" si="189"/>
        <v>#REF!</v>
      </c>
      <c r="DA263" t="e">
        <f t="shared" si="189"/>
        <v>#REF!</v>
      </c>
      <c r="DB263" t="e">
        <f t="shared" si="189"/>
        <v>#REF!</v>
      </c>
      <c r="DC263" t="e">
        <f t="shared" si="189"/>
        <v>#REF!</v>
      </c>
      <c r="DD263" t="e">
        <f t="shared" si="189"/>
        <v>#REF!</v>
      </c>
      <c r="DE263" t="e">
        <f t="shared" si="189"/>
        <v>#REF!</v>
      </c>
      <c r="DF263" t="e">
        <f t="shared" si="189"/>
        <v>#REF!</v>
      </c>
      <c r="DG263" t="e">
        <f t="shared" ref="DG263:DV282" si="208">MATCH(CONCATENATE(DG$3,"_",$C263),auto_DataFlat_UID,0)</f>
        <v>#REF!</v>
      </c>
      <c r="DH263" t="e">
        <f t="shared" si="208"/>
        <v>#REF!</v>
      </c>
      <c r="DI263" t="e">
        <f t="shared" si="208"/>
        <v>#REF!</v>
      </c>
      <c r="DJ263" t="e">
        <f t="shared" si="208"/>
        <v>#REF!</v>
      </c>
      <c r="DK263" t="e">
        <f t="shared" si="208"/>
        <v>#REF!</v>
      </c>
      <c r="DL263" t="e">
        <f t="shared" si="208"/>
        <v>#REF!</v>
      </c>
      <c r="DM263" t="e">
        <f t="shared" si="208"/>
        <v>#REF!</v>
      </c>
      <c r="DN263" t="e">
        <f t="shared" si="208"/>
        <v>#REF!</v>
      </c>
      <c r="DO263" t="e">
        <f t="shared" si="208"/>
        <v>#REF!</v>
      </c>
      <c r="DP263" t="e">
        <f t="shared" si="208"/>
        <v>#REF!</v>
      </c>
      <c r="DQ263" t="e">
        <f t="shared" si="208"/>
        <v>#REF!</v>
      </c>
      <c r="DR263" t="e">
        <f t="shared" si="208"/>
        <v>#REF!</v>
      </c>
      <c r="DS263" t="e">
        <f t="shared" si="208"/>
        <v>#REF!</v>
      </c>
      <c r="DT263" t="e">
        <f t="shared" si="208"/>
        <v>#REF!</v>
      </c>
      <c r="DU263" t="e">
        <f t="shared" si="208"/>
        <v>#REF!</v>
      </c>
      <c r="DV263" t="e">
        <f t="shared" si="208"/>
        <v>#REF!</v>
      </c>
      <c r="DW263" t="e">
        <f t="shared" ref="DW263:EL278" si="209">MATCH(CONCATENATE(DW$3,"_",$C263),auto_DataFlat_UID,0)</f>
        <v>#REF!</v>
      </c>
      <c r="DX263" t="e">
        <f t="shared" si="209"/>
        <v>#REF!</v>
      </c>
      <c r="DY263" t="e">
        <f t="shared" si="209"/>
        <v>#REF!</v>
      </c>
      <c r="DZ263" t="e">
        <f t="shared" si="209"/>
        <v>#REF!</v>
      </c>
      <c r="EA263" t="e">
        <f t="shared" si="209"/>
        <v>#REF!</v>
      </c>
      <c r="EB263" t="e">
        <f t="shared" si="209"/>
        <v>#REF!</v>
      </c>
      <c r="EC263" t="e">
        <f t="shared" si="209"/>
        <v>#REF!</v>
      </c>
      <c r="ED263" t="e">
        <f t="shared" si="209"/>
        <v>#REF!</v>
      </c>
      <c r="EE263" t="e">
        <f t="shared" si="209"/>
        <v>#REF!</v>
      </c>
      <c r="EF263" t="e">
        <f t="shared" si="209"/>
        <v>#REF!</v>
      </c>
      <c r="EG263" t="e">
        <f t="shared" si="209"/>
        <v>#REF!</v>
      </c>
      <c r="EH263" t="e">
        <f t="shared" si="209"/>
        <v>#REF!</v>
      </c>
      <c r="EI263" t="e">
        <f t="shared" si="209"/>
        <v>#REF!</v>
      </c>
      <c r="EJ263" t="e">
        <f t="shared" si="209"/>
        <v>#REF!</v>
      </c>
      <c r="EK263" t="e">
        <f t="shared" si="209"/>
        <v>#REF!</v>
      </c>
      <c r="EL263" t="e">
        <f t="shared" si="209"/>
        <v>#REF!</v>
      </c>
      <c r="EM263" t="e">
        <f t="shared" si="205"/>
        <v>#REF!</v>
      </c>
    </row>
    <row r="264" spans="1:143" x14ac:dyDescent="0.4">
      <c r="A264" t="str">
        <f t="shared" si="206"/>
        <v>X</v>
      </c>
      <c r="B264">
        <v>261</v>
      </c>
      <c r="C264" t="e" cm="1">
        <f t="array" ref="C264">INDEX(auto_Series_Code,B264)</f>
        <v>#REF!</v>
      </c>
      <c r="D264" t="e">
        <f t="shared" ref="D264:S279" si="210">MATCH(CONCATENATE(D$3,"_",$C264),auto_DataFlat_UID,0)</f>
        <v>#REF!</v>
      </c>
      <c r="E264" t="e">
        <f t="shared" si="210"/>
        <v>#REF!</v>
      </c>
      <c r="F264" t="e">
        <f t="shared" si="210"/>
        <v>#REF!</v>
      </c>
      <c r="G264" t="e">
        <f t="shared" si="210"/>
        <v>#REF!</v>
      </c>
      <c r="H264" t="e">
        <f t="shared" si="210"/>
        <v>#REF!</v>
      </c>
      <c r="I264" t="e">
        <f t="shared" si="210"/>
        <v>#REF!</v>
      </c>
      <c r="J264" t="e">
        <f t="shared" si="210"/>
        <v>#REF!</v>
      </c>
      <c r="K264" t="e">
        <f t="shared" si="210"/>
        <v>#REF!</v>
      </c>
      <c r="L264" t="e">
        <f t="shared" si="210"/>
        <v>#REF!</v>
      </c>
      <c r="M264" t="e">
        <f t="shared" si="210"/>
        <v>#REF!</v>
      </c>
      <c r="N264" t="e">
        <f t="shared" si="210"/>
        <v>#REF!</v>
      </c>
      <c r="O264" t="e">
        <f t="shared" si="210"/>
        <v>#REF!</v>
      </c>
      <c r="P264" t="e">
        <f t="shared" si="210"/>
        <v>#REF!</v>
      </c>
      <c r="Q264" t="e">
        <f t="shared" si="210"/>
        <v>#REF!</v>
      </c>
      <c r="R264" t="e">
        <f t="shared" si="210"/>
        <v>#REF!</v>
      </c>
      <c r="S264" t="e">
        <f t="shared" si="210"/>
        <v>#REF!</v>
      </c>
      <c r="T264" t="e">
        <f t="shared" si="207"/>
        <v>#REF!</v>
      </c>
      <c r="U264" t="e">
        <f t="shared" si="207"/>
        <v>#REF!</v>
      </c>
      <c r="V264" t="e">
        <f t="shared" si="207"/>
        <v>#REF!</v>
      </c>
      <c r="W264" t="e">
        <f t="shared" si="207"/>
        <v>#REF!</v>
      </c>
      <c r="X264" t="e">
        <f t="shared" si="193"/>
        <v>#REF!</v>
      </c>
      <c r="Y264" t="e">
        <f t="shared" si="193"/>
        <v>#REF!</v>
      </c>
      <c r="Z264" t="e">
        <f t="shared" si="193"/>
        <v>#REF!</v>
      </c>
      <c r="AA264" t="e">
        <f t="shared" si="193"/>
        <v>#REF!</v>
      </c>
      <c r="AB264" t="e">
        <f t="shared" si="193"/>
        <v>#REF!</v>
      </c>
      <c r="AC264" t="e">
        <f t="shared" si="193"/>
        <v>#REF!</v>
      </c>
      <c r="AD264" t="e">
        <f t="shared" si="193"/>
        <v>#REF!</v>
      </c>
      <c r="AE264" t="e">
        <f t="shared" si="193"/>
        <v>#REF!</v>
      </c>
      <c r="AF264" t="e">
        <f t="shared" si="193"/>
        <v>#REF!</v>
      </c>
      <c r="AG264" t="e">
        <f t="shared" si="193"/>
        <v>#REF!</v>
      </c>
      <c r="AH264" t="e">
        <f t="shared" si="193"/>
        <v>#REF!</v>
      </c>
      <c r="AI264" t="e">
        <f t="shared" si="204"/>
        <v>#REF!</v>
      </c>
      <c r="AJ264" t="e">
        <f t="shared" si="204"/>
        <v>#REF!</v>
      </c>
      <c r="AK264" t="e">
        <f t="shared" si="204"/>
        <v>#REF!</v>
      </c>
      <c r="AL264" t="e">
        <f t="shared" si="204"/>
        <v>#REF!</v>
      </c>
      <c r="AM264" t="e">
        <f t="shared" si="204"/>
        <v>#REF!</v>
      </c>
      <c r="AN264" t="e">
        <f t="shared" si="204"/>
        <v>#REF!</v>
      </c>
      <c r="AO264" t="e">
        <f t="shared" si="204"/>
        <v>#REF!</v>
      </c>
      <c r="AP264" t="e">
        <f t="shared" si="204"/>
        <v>#REF!</v>
      </c>
      <c r="AQ264" t="e">
        <f t="shared" si="204"/>
        <v>#REF!</v>
      </c>
      <c r="AR264" t="e">
        <f t="shared" si="202"/>
        <v>#REF!</v>
      </c>
      <c r="AS264" t="e">
        <f t="shared" si="202"/>
        <v>#REF!</v>
      </c>
      <c r="AT264" t="e">
        <f t="shared" si="202"/>
        <v>#REF!</v>
      </c>
      <c r="AU264" t="e">
        <f t="shared" si="202"/>
        <v>#REF!</v>
      </c>
      <c r="AV264" t="e">
        <f t="shared" si="202"/>
        <v>#REF!</v>
      </c>
      <c r="AW264" t="e">
        <f t="shared" si="202"/>
        <v>#REF!</v>
      </c>
      <c r="AX264" t="e">
        <f t="shared" si="202"/>
        <v>#REF!</v>
      </c>
      <c r="AY264" t="e">
        <f t="shared" si="202"/>
        <v>#REF!</v>
      </c>
      <c r="AZ264" t="e">
        <f t="shared" si="202"/>
        <v>#REF!</v>
      </c>
      <c r="BA264" t="e">
        <f t="shared" si="202"/>
        <v>#REF!</v>
      </c>
      <c r="BB264" t="e">
        <f t="shared" si="196"/>
        <v>#REF!</v>
      </c>
      <c r="BC264" t="e">
        <f t="shared" si="196"/>
        <v>#REF!</v>
      </c>
      <c r="BD264" t="e">
        <f t="shared" si="196"/>
        <v>#REF!</v>
      </c>
      <c r="BE264" t="e">
        <f t="shared" si="196"/>
        <v>#REF!</v>
      </c>
      <c r="BF264" t="e">
        <f t="shared" si="196"/>
        <v>#REF!</v>
      </c>
      <c r="BG264" t="e">
        <f t="shared" si="196"/>
        <v>#REF!</v>
      </c>
      <c r="BH264" t="e">
        <f t="shared" si="196"/>
        <v>#REF!</v>
      </c>
      <c r="BI264" t="e">
        <f t="shared" si="196"/>
        <v>#REF!</v>
      </c>
      <c r="BJ264" t="e">
        <f t="shared" si="197"/>
        <v>#REF!</v>
      </c>
      <c r="BK264" t="e">
        <f t="shared" si="197"/>
        <v>#REF!</v>
      </c>
      <c r="BL264" t="e">
        <f t="shared" si="197"/>
        <v>#REF!</v>
      </c>
      <c r="BM264" t="e">
        <f t="shared" si="197"/>
        <v>#REF!</v>
      </c>
      <c r="BN264" t="e">
        <f t="shared" si="197"/>
        <v>#REF!</v>
      </c>
      <c r="BO264" t="e">
        <f t="shared" si="197"/>
        <v>#REF!</v>
      </c>
      <c r="BP264" t="e">
        <f t="shared" si="197"/>
        <v>#REF!</v>
      </c>
      <c r="BQ264" t="e">
        <f t="shared" si="197"/>
        <v>#REF!</v>
      </c>
      <c r="BR264" t="e">
        <f t="shared" si="197"/>
        <v>#REF!</v>
      </c>
      <c r="BS264" t="e">
        <f t="shared" si="197"/>
        <v>#REF!</v>
      </c>
      <c r="BT264" t="e">
        <f t="shared" si="199"/>
        <v>#REF!</v>
      </c>
      <c r="BU264" t="e">
        <f t="shared" si="199"/>
        <v>#REF!</v>
      </c>
      <c r="BV264" t="e">
        <f t="shared" si="199"/>
        <v>#REF!</v>
      </c>
      <c r="BW264" t="e">
        <f t="shared" si="199"/>
        <v>#REF!</v>
      </c>
      <c r="BX264" t="e">
        <f t="shared" si="199"/>
        <v>#REF!</v>
      </c>
      <c r="BY264" t="e">
        <f t="shared" si="199"/>
        <v>#REF!</v>
      </c>
      <c r="BZ264" t="e">
        <f t="shared" si="199"/>
        <v>#REF!</v>
      </c>
      <c r="CA264" t="e">
        <f t="shared" si="199"/>
        <v>#REF!</v>
      </c>
      <c r="CB264" t="e">
        <f t="shared" si="199"/>
        <v>#REF!</v>
      </c>
      <c r="CC264" t="e">
        <f t="shared" si="199"/>
        <v>#REF!</v>
      </c>
      <c r="CD264" t="e">
        <f t="shared" si="199"/>
        <v>#REF!</v>
      </c>
      <c r="CE264" t="e">
        <f t="shared" si="199"/>
        <v>#REF!</v>
      </c>
      <c r="CF264" t="e">
        <f t="shared" si="187"/>
        <v>#REF!</v>
      </c>
      <c r="CG264" t="e">
        <f t="shared" si="187"/>
        <v>#REF!</v>
      </c>
      <c r="CH264" t="e">
        <f t="shared" si="187"/>
        <v>#REF!</v>
      </c>
      <c r="CI264" t="e">
        <f t="shared" si="187"/>
        <v>#REF!</v>
      </c>
      <c r="CJ264" t="e">
        <f t="shared" si="187"/>
        <v>#REF!</v>
      </c>
      <c r="CK264" t="e">
        <f t="shared" si="187"/>
        <v>#REF!</v>
      </c>
      <c r="CL264" t="e">
        <f t="shared" si="187"/>
        <v>#REF!</v>
      </c>
      <c r="CM264" t="e">
        <f t="shared" si="192"/>
        <v>#REF!</v>
      </c>
      <c r="CN264" t="e">
        <f t="shared" si="192"/>
        <v>#REF!</v>
      </c>
      <c r="CO264" t="e">
        <f t="shared" si="192"/>
        <v>#REF!</v>
      </c>
      <c r="CP264" t="e">
        <f t="shared" si="192"/>
        <v>#REF!</v>
      </c>
      <c r="CQ264" t="e">
        <f t="shared" si="192"/>
        <v>#REF!</v>
      </c>
      <c r="CR264" t="e">
        <f t="shared" si="192"/>
        <v>#REF!</v>
      </c>
      <c r="CS264" t="e">
        <f t="shared" si="192"/>
        <v>#REF!</v>
      </c>
      <c r="CT264" t="e">
        <f t="shared" si="192"/>
        <v>#REF!</v>
      </c>
      <c r="CU264" t="e">
        <f t="shared" si="192"/>
        <v>#REF!</v>
      </c>
      <c r="CV264" t="e">
        <f t="shared" si="192"/>
        <v>#REF!</v>
      </c>
      <c r="CW264" t="e">
        <f t="shared" si="192"/>
        <v>#REF!</v>
      </c>
      <c r="CX264" t="e">
        <f t="shared" si="192"/>
        <v>#REF!</v>
      </c>
      <c r="CY264" t="e">
        <f t="shared" si="192"/>
        <v>#REF!</v>
      </c>
      <c r="CZ264" t="e">
        <f t="shared" si="192"/>
        <v>#REF!</v>
      </c>
      <c r="DA264" t="e">
        <f t="shared" si="192"/>
        <v>#REF!</v>
      </c>
      <c r="DB264" t="e">
        <f t="shared" si="192"/>
        <v>#REF!</v>
      </c>
      <c r="DC264" t="e">
        <f t="shared" ref="DC264:DI264" si="211">MATCH(CONCATENATE(DC$3,"_",$C264),auto_DataFlat_UID,0)</f>
        <v>#REF!</v>
      </c>
      <c r="DD264" t="e">
        <f t="shared" si="211"/>
        <v>#REF!</v>
      </c>
      <c r="DE264" t="e">
        <f t="shared" si="211"/>
        <v>#REF!</v>
      </c>
      <c r="DF264" t="e">
        <f t="shared" si="211"/>
        <v>#REF!</v>
      </c>
      <c r="DG264" t="e">
        <f t="shared" si="211"/>
        <v>#REF!</v>
      </c>
      <c r="DH264" t="e">
        <f t="shared" si="211"/>
        <v>#REF!</v>
      </c>
      <c r="DI264" t="e">
        <f t="shared" si="211"/>
        <v>#REF!</v>
      </c>
      <c r="DJ264" t="e">
        <f t="shared" si="208"/>
        <v>#REF!</v>
      </c>
      <c r="DK264" t="e">
        <f t="shared" si="208"/>
        <v>#REF!</v>
      </c>
      <c r="DL264" t="e">
        <f t="shared" si="208"/>
        <v>#REF!</v>
      </c>
      <c r="DM264" t="e">
        <f t="shared" si="208"/>
        <v>#REF!</v>
      </c>
      <c r="DN264" t="e">
        <f t="shared" si="208"/>
        <v>#REF!</v>
      </c>
      <c r="DO264" t="e">
        <f t="shared" si="208"/>
        <v>#REF!</v>
      </c>
      <c r="DP264" t="e">
        <f t="shared" si="208"/>
        <v>#REF!</v>
      </c>
      <c r="DQ264" t="e">
        <f t="shared" si="208"/>
        <v>#REF!</v>
      </c>
      <c r="DR264" t="e">
        <f t="shared" si="208"/>
        <v>#REF!</v>
      </c>
      <c r="DS264" t="e">
        <f t="shared" si="208"/>
        <v>#REF!</v>
      </c>
      <c r="DT264" t="e">
        <f t="shared" si="208"/>
        <v>#REF!</v>
      </c>
      <c r="DU264" t="e">
        <f t="shared" si="208"/>
        <v>#REF!</v>
      </c>
      <c r="DV264" t="e">
        <f t="shared" si="208"/>
        <v>#REF!</v>
      </c>
      <c r="DW264" t="e">
        <f t="shared" si="209"/>
        <v>#REF!</v>
      </c>
      <c r="DX264" t="e">
        <f t="shared" si="209"/>
        <v>#REF!</v>
      </c>
      <c r="DY264" t="e">
        <f t="shared" si="209"/>
        <v>#REF!</v>
      </c>
      <c r="DZ264" t="e">
        <f t="shared" si="209"/>
        <v>#REF!</v>
      </c>
      <c r="EA264" t="e">
        <f t="shared" si="209"/>
        <v>#REF!</v>
      </c>
      <c r="EB264" t="e">
        <f t="shared" si="209"/>
        <v>#REF!</v>
      </c>
      <c r="EC264" t="e">
        <f t="shared" si="209"/>
        <v>#REF!</v>
      </c>
      <c r="ED264" t="e">
        <f t="shared" si="209"/>
        <v>#REF!</v>
      </c>
      <c r="EE264" t="e">
        <f t="shared" si="209"/>
        <v>#REF!</v>
      </c>
      <c r="EF264" t="e">
        <f t="shared" si="209"/>
        <v>#REF!</v>
      </c>
      <c r="EG264" t="e">
        <f t="shared" si="209"/>
        <v>#REF!</v>
      </c>
      <c r="EH264" t="e">
        <f t="shared" si="209"/>
        <v>#REF!</v>
      </c>
      <c r="EI264" t="e">
        <f t="shared" si="209"/>
        <v>#REF!</v>
      </c>
      <c r="EJ264" t="e">
        <f t="shared" si="209"/>
        <v>#REF!</v>
      </c>
      <c r="EK264" t="e">
        <f t="shared" si="209"/>
        <v>#REF!</v>
      </c>
      <c r="EL264" t="e">
        <f t="shared" si="209"/>
        <v>#REF!</v>
      </c>
      <c r="EM264" t="e">
        <f t="shared" si="205"/>
        <v>#REF!</v>
      </c>
    </row>
    <row r="265" spans="1:143" x14ac:dyDescent="0.4">
      <c r="A265" t="str">
        <f t="shared" si="206"/>
        <v>X</v>
      </c>
      <c r="B265">
        <v>262</v>
      </c>
      <c r="C265" t="e" cm="1">
        <f t="array" ref="C265">INDEX(auto_Series_Code,B265)</f>
        <v>#REF!</v>
      </c>
      <c r="D265" t="e">
        <f t="shared" si="210"/>
        <v>#REF!</v>
      </c>
      <c r="E265" t="e">
        <f t="shared" si="210"/>
        <v>#REF!</v>
      </c>
      <c r="F265" t="e">
        <f t="shared" si="210"/>
        <v>#REF!</v>
      </c>
      <c r="G265" t="e">
        <f t="shared" si="210"/>
        <v>#REF!</v>
      </c>
      <c r="H265" t="e">
        <f t="shared" si="210"/>
        <v>#REF!</v>
      </c>
      <c r="I265" t="e">
        <f t="shared" si="210"/>
        <v>#REF!</v>
      </c>
      <c r="J265" t="e">
        <f t="shared" si="210"/>
        <v>#REF!</v>
      </c>
      <c r="K265" t="e">
        <f t="shared" si="210"/>
        <v>#REF!</v>
      </c>
      <c r="L265" t="e">
        <f t="shared" si="210"/>
        <v>#REF!</v>
      </c>
      <c r="M265" t="e">
        <f t="shared" si="210"/>
        <v>#REF!</v>
      </c>
      <c r="N265" t="e">
        <f t="shared" si="210"/>
        <v>#REF!</v>
      </c>
      <c r="O265" t="e">
        <f t="shared" si="210"/>
        <v>#REF!</v>
      </c>
      <c r="P265" t="e">
        <f t="shared" si="210"/>
        <v>#REF!</v>
      </c>
      <c r="Q265" t="e">
        <f t="shared" si="210"/>
        <v>#REF!</v>
      </c>
      <c r="R265" t="e">
        <f t="shared" si="210"/>
        <v>#REF!</v>
      </c>
      <c r="S265" t="e">
        <f t="shared" si="210"/>
        <v>#REF!</v>
      </c>
      <c r="T265" t="e">
        <f t="shared" si="207"/>
        <v>#REF!</v>
      </c>
      <c r="U265" t="e">
        <f t="shared" si="207"/>
        <v>#REF!</v>
      </c>
      <c r="V265" t="e">
        <f t="shared" si="207"/>
        <v>#REF!</v>
      </c>
      <c r="W265" t="e">
        <f t="shared" si="207"/>
        <v>#REF!</v>
      </c>
      <c r="X265" t="e">
        <f t="shared" si="193"/>
        <v>#REF!</v>
      </c>
      <c r="Y265" t="e">
        <f t="shared" si="193"/>
        <v>#REF!</v>
      </c>
      <c r="Z265" t="e">
        <f t="shared" si="193"/>
        <v>#REF!</v>
      </c>
      <c r="AA265" t="e">
        <f t="shared" si="193"/>
        <v>#REF!</v>
      </c>
      <c r="AB265" t="e">
        <f t="shared" si="193"/>
        <v>#REF!</v>
      </c>
      <c r="AC265" t="e">
        <f t="shared" si="193"/>
        <v>#REF!</v>
      </c>
      <c r="AD265" t="e">
        <f t="shared" si="193"/>
        <v>#REF!</v>
      </c>
      <c r="AE265" t="e">
        <f t="shared" si="193"/>
        <v>#REF!</v>
      </c>
      <c r="AF265" t="e">
        <f t="shared" si="193"/>
        <v>#REF!</v>
      </c>
      <c r="AG265" t="e">
        <f t="shared" si="193"/>
        <v>#REF!</v>
      </c>
      <c r="AH265" t="e">
        <f t="shared" si="193"/>
        <v>#REF!</v>
      </c>
      <c r="AI265" t="e">
        <f t="shared" si="204"/>
        <v>#REF!</v>
      </c>
      <c r="AJ265" t="e">
        <f t="shared" si="204"/>
        <v>#REF!</v>
      </c>
      <c r="AK265" t="e">
        <f t="shared" si="204"/>
        <v>#REF!</v>
      </c>
      <c r="AL265" t="e">
        <f t="shared" si="204"/>
        <v>#REF!</v>
      </c>
      <c r="AM265" t="e">
        <f t="shared" si="204"/>
        <v>#REF!</v>
      </c>
      <c r="AN265" t="e">
        <f t="shared" si="204"/>
        <v>#REF!</v>
      </c>
      <c r="AO265" t="e">
        <f t="shared" si="204"/>
        <v>#REF!</v>
      </c>
      <c r="AP265" t="e">
        <f t="shared" si="204"/>
        <v>#REF!</v>
      </c>
      <c r="AQ265" t="e">
        <f t="shared" si="204"/>
        <v>#REF!</v>
      </c>
      <c r="AR265" t="e">
        <f t="shared" si="202"/>
        <v>#REF!</v>
      </c>
      <c r="AS265" t="e">
        <f t="shared" si="202"/>
        <v>#REF!</v>
      </c>
      <c r="AT265" t="e">
        <f t="shared" si="202"/>
        <v>#REF!</v>
      </c>
      <c r="AU265" t="e">
        <f t="shared" si="202"/>
        <v>#REF!</v>
      </c>
      <c r="AV265" t="e">
        <f t="shared" si="202"/>
        <v>#REF!</v>
      </c>
      <c r="AW265" t="e">
        <f t="shared" si="202"/>
        <v>#REF!</v>
      </c>
      <c r="AX265" t="e">
        <f t="shared" si="202"/>
        <v>#REF!</v>
      </c>
      <c r="AY265" t="e">
        <f t="shared" si="202"/>
        <v>#REF!</v>
      </c>
      <c r="AZ265" t="e">
        <f t="shared" si="202"/>
        <v>#REF!</v>
      </c>
      <c r="BA265" t="e">
        <f t="shared" si="202"/>
        <v>#REF!</v>
      </c>
      <c r="BB265" t="e">
        <f t="shared" si="196"/>
        <v>#REF!</v>
      </c>
      <c r="BC265" t="e">
        <f t="shared" si="196"/>
        <v>#REF!</v>
      </c>
      <c r="BD265" t="e">
        <f t="shared" si="196"/>
        <v>#REF!</v>
      </c>
      <c r="BE265" t="e">
        <f t="shared" si="196"/>
        <v>#REF!</v>
      </c>
      <c r="BF265" t="e">
        <f t="shared" si="196"/>
        <v>#REF!</v>
      </c>
      <c r="BG265" t="e">
        <f t="shared" si="196"/>
        <v>#REF!</v>
      </c>
      <c r="BH265" t="e">
        <f t="shared" si="196"/>
        <v>#REF!</v>
      </c>
      <c r="BI265" t="e">
        <f t="shared" si="196"/>
        <v>#REF!</v>
      </c>
      <c r="BJ265" t="e">
        <f t="shared" si="197"/>
        <v>#REF!</v>
      </c>
      <c r="BK265" t="e">
        <f t="shared" si="197"/>
        <v>#REF!</v>
      </c>
      <c r="BL265" t="e">
        <f t="shared" si="197"/>
        <v>#REF!</v>
      </c>
      <c r="BM265" t="e">
        <f t="shared" si="197"/>
        <v>#REF!</v>
      </c>
      <c r="BN265" t="e">
        <f t="shared" si="197"/>
        <v>#REF!</v>
      </c>
      <c r="BO265" t="e">
        <f t="shared" si="197"/>
        <v>#REF!</v>
      </c>
      <c r="BP265" t="e">
        <f t="shared" si="197"/>
        <v>#REF!</v>
      </c>
      <c r="BQ265" t="e">
        <f t="shared" si="197"/>
        <v>#REF!</v>
      </c>
      <c r="BR265" t="e">
        <f t="shared" si="197"/>
        <v>#REF!</v>
      </c>
      <c r="BS265" t="e">
        <f t="shared" si="197"/>
        <v>#REF!</v>
      </c>
      <c r="BT265" t="e">
        <f t="shared" si="199"/>
        <v>#REF!</v>
      </c>
      <c r="BU265" t="e">
        <f t="shared" si="199"/>
        <v>#REF!</v>
      </c>
      <c r="BV265" t="e">
        <f t="shared" si="199"/>
        <v>#REF!</v>
      </c>
      <c r="BW265" t="e">
        <f t="shared" si="199"/>
        <v>#REF!</v>
      </c>
      <c r="BX265" t="e">
        <f t="shared" si="199"/>
        <v>#REF!</v>
      </c>
      <c r="BY265" t="e">
        <f t="shared" si="199"/>
        <v>#REF!</v>
      </c>
      <c r="BZ265" t="e">
        <f t="shared" si="199"/>
        <v>#REF!</v>
      </c>
      <c r="CA265" t="e">
        <f t="shared" si="199"/>
        <v>#REF!</v>
      </c>
      <c r="CB265" t="e">
        <f t="shared" si="199"/>
        <v>#REF!</v>
      </c>
      <c r="CC265" t="e">
        <f t="shared" si="199"/>
        <v>#REF!</v>
      </c>
      <c r="CD265" t="e">
        <f t="shared" si="199"/>
        <v>#REF!</v>
      </c>
      <c r="CE265" t="e">
        <f t="shared" si="199"/>
        <v>#REF!</v>
      </c>
      <c r="CF265" t="e">
        <f t="shared" si="187"/>
        <v>#REF!</v>
      </c>
      <c r="CG265" t="e">
        <f t="shared" ref="CG265:CV288" si="212">MATCH(CONCATENATE(CG$3,"_",$C265),auto_DataFlat_UID,0)</f>
        <v>#REF!</v>
      </c>
      <c r="CH265" t="e">
        <f t="shared" si="212"/>
        <v>#REF!</v>
      </c>
      <c r="CI265" t="e">
        <f t="shared" si="212"/>
        <v>#REF!</v>
      </c>
      <c r="CJ265" t="e">
        <f t="shared" si="212"/>
        <v>#REF!</v>
      </c>
      <c r="CK265" t="e">
        <f t="shared" si="212"/>
        <v>#REF!</v>
      </c>
      <c r="CL265" t="e">
        <f t="shared" si="212"/>
        <v>#REF!</v>
      </c>
      <c r="CM265" t="e">
        <f t="shared" si="212"/>
        <v>#REF!</v>
      </c>
      <c r="CN265" t="e">
        <f t="shared" si="212"/>
        <v>#REF!</v>
      </c>
      <c r="CO265" t="e">
        <f t="shared" si="212"/>
        <v>#REF!</v>
      </c>
      <c r="CP265" t="e">
        <f t="shared" si="192"/>
        <v>#REF!</v>
      </c>
      <c r="CQ265" t="e">
        <f t="shared" si="192"/>
        <v>#REF!</v>
      </c>
      <c r="CR265" t="e">
        <f t="shared" si="192"/>
        <v>#REF!</v>
      </c>
      <c r="CS265" t="e">
        <f t="shared" si="192"/>
        <v>#REF!</v>
      </c>
      <c r="CT265" t="e">
        <f t="shared" si="192"/>
        <v>#REF!</v>
      </c>
      <c r="CU265" t="e">
        <f t="shared" ref="CU265:DJ284" si="213">MATCH(CONCATENATE(CU$3,"_",$C265),auto_DataFlat_UID,0)</f>
        <v>#REF!</v>
      </c>
      <c r="CV265" t="e">
        <f t="shared" si="213"/>
        <v>#REF!</v>
      </c>
      <c r="CW265" t="e">
        <f t="shared" si="213"/>
        <v>#REF!</v>
      </c>
      <c r="CX265" t="e">
        <f t="shared" si="213"/>
        <v>#REF!</v>
      </c>
      <c r="CY265" t="e">
        <f t="shared" si="213"/>
        <v>#REF!</v>
      </c>
      <c r="CZ265" t="e">
        <f t="shared" si="213"/>
        <v>#REF!</v>
      </c>
      <c r="DA265" t="e">
        <f t="shared" si="213"/>
        <v>#REF!</v>
      </c>
      <c r="DB265" t="e">
        <f t="shared" si="213"/>
        <v>#REF!</v>
      </c>
      <c r="DC265" t="e">
        <f t="shared" si="213"/>
        <v>#REF!</v>
      </c>
      <c r="DD265" t="e">
        <f t="shared" si="213"/>
        <v>#REF!</v>
      </c>
      <c r="DE265" t="e">
        <f t="shared" si="213"/>
        <v>#REF!</v>
      </c>
      <c r="DF265" t="e">
        <f t="shared" si="213"/>
        <v>#REF!</v>
      </c>
      <c r="DG265" t="e">
        <f t="shared" si="213"/>
        <v>#REF!</v>
      </c>
      <c r="DH265" t="e">
        <f t="shared" si="213"/>
        <v>#REF!</v>
      </c>
      <c r="DI265" t="e">
        <f t="shared" si="213"/>
        <v>#REF!</v>
      </c>
      <c r="DJ265" t="e">
        <f t="shared" si="208"/>
        <v>#REF!</v>
      </c>
      <c r="DK265" t="e">
        <f t="shared" si="208"/>
        <v>#REF!</v>
      </c>
      <c r="DL265" t="e">
        <f t="shared" si="208"/>
        <v>#REF!</v>
      </c>
      <c r="DM265" t="e">
        <f t="shared" si="208"/>
        <v>#REF!</v>
      </c>
      <c r="DN265" t="e">
        <f t="shared" si="208"/>
        <v>#REF!</v>
      </c>
      <c r="DO265" t="e">
        <f t="shared" si="208"/>
        <v>#REF!</v>
      </c>
      <c r="DP265" t="e">
        <f t="shared" si="208"/>
        <v>#REF!</v>
      </c>
      <c r="DQ265" t="e">
        <f t="shared" si="208"/>
        <v>#REF!</v>
      </c>
      <c r="DR265" t="e">
        <f t="shared" si="208"/>
        <v>#REF!</v>
      </c>
      <c r="DS265" t="e">
        <f t="shared" si="208"/>
        <v>#REF!</v>
      </c>
      <c r="DT265" t="e">
        <f t="shared" si="208"/>
        <v>#REF!</v>
      </c>
      <c r="DU265" t="e">
        <f t="shared" si="208"/>
        <v>#REF!</v>
      </c>
      <c r="DV265" t="e">
        <f t="shared" si="208"/>
        <v>#REF!</v>
      </c>
      <c r="DW265" t="e">
        <f t="shared" si="209"/>
        <v>#REF!</v>
      </c>
      <c r="DX265" t="e">
        <f t="shared" si="209"/>
        <v>#REF!</v>
      </c>
      <c r="DY265" t="e">
        <f t="shared" si="209"/>
        <v>#REF!</v>
      </c>
      <c r="DZ265" t="e">
        <f t="shared" si="209"/>
        <v>#REF!</v>
      </c>
      <c r="EA265" t="e">
        <f t="shared" si="209"/>
        <v>#REF!</v>
      </c>
      <c r="EB265" t="e">
        <f t="shared" si="209"/>
        <v>#REF!</v>
      </c>
      <c r="EC265" t="e">
        <f t="shared" si="209"/>
        <v>#REF!</v>
      </c>
      <c r="ED265" t="e">
        <f t="shared" si="209"/>
        <v>#REF!</v>
      </c>
      <c r="EE265" t="e">
        <f t="shared" si="209"/>
        <v>#REF!</v>
      </c>
      <c r="EF265" t="e">
        <f t="shared" si="209"/>
        <v>#REF!</v>
      </c>
      <c r="EG265" t="e">
        <f t="shared" si="209"/>
        <v>#REF!</v>
      </c>
      <c r="EH265" t="e">
        <f t="shared" si="209"/>
        <v>#REF!</v>
      </c>
      <c r="EI265" t="e">
        <f t="shared" si="209"/>
        <v>#REF!</v>
      </c>
      <c r="EJ265" t="e">
        <f t="shared" si="209"/>
        <v>#REF!</v>
      </c>
      <c r="EK265" t="e">
        <f t="shared" si="209"/>
        <v>#REF!</v>
      </c>
      <c r="EL265" t="e">
        <f t="shared" si="209"/>
        <v>#REF!</v>
      </c>
      <c r="EM265" t="e">
        <f t="shared" si="205"/>
        <v>#REF!</v>
      </c>
    </row>
    <row r="266" spans="1:143" x14ac:dyDescent="0.4">
      <c r="A266" t="str">
        <f t="shared" si="206"/>
        <v>X</v>
      </c>
      <c r="B266">
        <v>263</v>
      </c>
      <c r="C266" t="e" cm="1">
        <f t="array" ref="C266">INDEX(auto_Series_Code,B266)</f>
        <v>#REF!</v>
      </c>
      <c r="D266" t="e">
        <f t="shared" si="210"/>
        <v>#REF!</v>
      </c>
      <c r="E266" t="e">
        <f t="shared" si="210"/>
        <v>#REF!</v>
      </c>
      <c r="F266" t="e">
        <f t="shared" si="210"/>
        <v>#REF!</v>
      </c>
      <c r="G266" t="e">
        <f t="shared" si="210"/>
        <v>#REF!</v>
      </c>
      <c r="H266" t="e">
        <f t="shared" si="210"/>
        <v>#REF!</v>
      </c>
      <c r="I266" t="e">
        <f t="shared" si="210"/>
        <v>#REF!</v>
      </c>
      <c r="J266" t="e">
        <f t="shared" si="210"/>
        <v>#REF!</v>
      </c>
      <c r="K266" t="e">
        <f t="shared" si="210"/>
        <v>#REF!</v>
      </c>
      <c r="L266" t="e">
        <f t="shared" si="210"/>
        <v>#REF!</v>
      </c>
      <c r="M266" t="e">
        <f t="shared" si="210"/>
        <v>#REF!</v>
      </c>
      <c r="N266" t="e">
        <f t="shared" si="210"/>
        <v>#REF!</v>
      </c>
      <c r="O266" t="e">
        <f t="shared" si="210"/>
        <v>#REF!</v>
      </c>
      <c r="P266" t="e">
        <f t="shared" si="210"/>
        <v>#REF!</v>
      </c>
      <c r="Q266" t="e">
        <f t="shared" si="210"/>
        <v>#REF!</v>
      </c>
      <c r="R266" t="e">
        <f t="shared" si="210"/>
        <v>#REF!</v>
      </c>
      <c r="S266" t="e">
        <f t="shared" si="210"/>
        <v>#REF!</v>
      </c>
      <c r="T266" t="e">
        <f t="shared" si="207"/>
        <v>#REF!</v>
      </c>
      <c r="U266" t="e">
        <f t="shared" si="207"/>
        <v>#REF!</v>
      </c>
      <c r="V266" t="e">
        <f t="shared" si="207"/>
        <v>#REF!</v>
      </c>
      <c r="W266" t="e">
        <f t="shared" si="207"/>
        <v>#REF!</v>
      </c>
      <c r="X266" t="e">
        <f t="shared" si="193"/>
        <v>#REF!</v>
      </c>
      <c r="Y266" t="e">
        <f t="shared" si="193"/>
        <v>#REF!</v>
      </c>
      <c r="Z266" t="e">
        <f t="shared" si="193"/>
        <v>#REF!</v>
      </c>
      <c r="AA266" t="e">
        <f t="shared" si="193"/>
        <v>#REF!</v>
      </c>
      <c r="AB266" t="e">
        <f t="shared" si="193"/>
        <v>#REF!</v>
      </c>
      <c r="AC266" t="e">
        <f t="shared" si="193"/>
        <v>#REF!</v>
      </c>
      <c r="AD266" t="e">
        <f t="shared" si="193"/>
        <v>#REF!</v>
      </c>
      <c r="AE266" t="e">
        <f t="shared" si="193"/>
        <v>#REF!</v>
      </c>
      <c r="AF266" t="e">
        <f t="shared" si="193"/>
        <v>#REF!</v>
      </c>
      <c r="AG266" t="e">
        <f t="shared" si="193"/>
        <v>#REF!</v>
      </c>
      <c r="AH266" t="e">
        <f t="shared" si="193"/>
        <v>#REF!</v>
      </c>
      <c r="AI266" t="e">
        <f t="shared" si="204"/>
        <v>#REF!</v>
      </c>
      <c r="AJ266" t="e">
        <f t="shared" si="204"/>
        <v>#REF!</v>
      </c>
      <c r="AK266" t="e">
        <f t="shared" si="204"/>
        <v>#REF!</v>
      </c>
      <c r="AL266" t="e">
        <f t="shared" si="204"/>
        <v>#REF!</v>
      </c>
      <c r="AM266" t="e">
        <f t="shared" si="204"/>
        <v>#REF!</v>
      </c>
      <c r="AN266" t="e">
        <f t="shared" si="204"/>
        <v>#REF!</v>
      </c>
      <c r="AO266" t="e">
        <f t="shared" si="204"/>
        <v>#REF!</v>
      </c>
      <c r="AP266" t="e">
        <f t="shared" si="204"/>
        <v>#REF!</v>
      </c>
      <c r="AQ266" t="e">
        <f t="shared" si="204"/>
        <v>#REF!</v>
      </c>
      <c r="AR266" t="e">
        <f t="shared" si="202"/>
        <v>#REF!</v>
      </c>
      <c r="AS266" t="e">
        <f t="shared" si="202"/>
        <v>#REF!</v>
      </c>
      <c r="AT266" t="e">
        <f t="shared" si="202"/>
        <v>#REF!</v>
      </c>
      <c r="AU266" t="e">
        <f t="shared" si="202"/>
        <v>#REF!</v>
      </c>
      <c r="AV266" t="e">
        <f t="shared" si="202"/>
        <v>#REF!</v>
      </c>
      <c r="AW266" t="e">
        <f t="shared" si="202"/>
        <v>#REF!</v>
      </c>
      <c r="AX266" t="e">
        <f t="shared" si="202"/>
        <v>#REF!</v>
      </c>
      <c r="AY266" t="e">
        <f t="shared" si="202"/>
        <v>#REF!</v>
      </c>
      <c r="AZ266" t="e">
        <f t="shared" si="202"/>
        <v>#REF!</v>
      </c>
      <c r="BA266" t="e">
        <f t="shared" si="202"/>
        <v>#REF!</v>
      </c>
      <c r="BB266" t="e">
        <f t="shared" si="196"/>
        <v>#REF!</v>
      </c>
      <c r="BC266" t="e">
        <f t="shared" si="196"/>
        <v>#REF!</v>
      </c>
      <c r="BD266" t="e">
        <f t="shared" si="196"/>
        <v>#REF!</v>
      </c>
      <c r="BE266" t="e">
        <f t="shared" si="196"/>
        <v>#REF!</v>
      </c>
      <c r="BF266" t="e">
        <f t="shared" si="196"/>
        <v>#REF!</v>
      </c>
      <c r="BG266" t="e">
        <f t="shared" si="196"/>
        <v>#REF!</v>
      </c>
      <c r="BH266" t="e">
        <f t="shared" si="196"/>
        <v>#REF!</v>
      </c>
      <c r="BI266" t="e">
        <f t="shared" si="196"/>
        <v>#REF!</v>
      </c>
      <c r="BJ266" t="e">
        <f t="shared" si="197"/>
        <v>#REF!</v>
      </c>
      <c r="BK266" t="e">
        <f t="shared" si="197"/>
        <v>#REF!</v>
      </c>
      <c r="BL266" t="e">
        <f t="shared" si="197"/>
        <v>#REF!</v>
      </c>
      <c r="BM266" t="e">
        <f t="shared" si="197"/>
        <v>#REF!</v>
      </c>
      <c r="BN266" t="e">
        <f t="shared" si="197"/>
        <v>#REF!</v>
      </c>
      <c r="BO266" t="e">
        <f t="shared" si="197"/>
        <v>#REF!</v>
      </c>
      <c r="BP266" t="e">
        <f t="shared" si="197"/>
        <v>#REF!</v>
      </c>
      <c r="BQ266" t="e">
        <f t="shared" si="197"/>
        <v>#REF!</v>
      </c>
      <c r="BR266" t="e">
        <f t="shared" si="197"/>
        <v>#REF!</v>
      </c>
      <c r="BS266" t="e">
        <f t="shared" si="197"/>
        <v>#REF!</v>
      </c>
      <c r="BT266" t="e">
        <f t="shared" si="199"/>
        <v>#REF!</v>
      </c>
      <c r="BU266" t="e">
        <f t="shared" si="199"/>
        <v>#REF!</v>
      </c>
      <c r="BV266" t="e">
        <f t="shared" si="199"/>
        <v>#REF!</v>
      </c>
      <c r="BW266" t="e">
        <f t="shared" si="199"/>
        <v>#REF!</v>
      </c>
      <c r="BX266" t="e">
        <f t="shared" si="199"/>
        <v>#REF!</v>
      </c>
      <c r="BY266" t="e">
        <f t="shared" si="199"/>
        <v>#REF!</v>
      </c>
      <c r="BZ266" t="e">
        <f t="shared" si="199"/>
        <v>#REF!</v>
      </c>
      <c r="CA266" t="e">
        <f t="shared" si="199"/>
        <v>#REF!</v>
      </c>
      <c r="CB266" t="e">
        <f t="shared" si="199"/>
        <v>#REF!</v>
      </c>
      <c r="CC266" t="e">
        <f t="shared" si="199"/>
        <v>#REF!</v>
      </c>
      <c r="CD266" t="e">
        <f t="shared" si="199"/>
        <v>#REF!</v>
      </c>
      <c r="CE266" t="e">
        <f t="shared" si="199"/>
        <v>#REF!</v>
      </c>
      <c r="CF266" t="e">
        <f t="shared" si="199"/>
        <v>#REF!</v>
      </c>
      <c r="CG266" t="e">
        <f t="shared" si="199"/>
        <v>#REF!</v>
      </c>
      <c r="CH266" t="e">
        <f t="shared" si="199"/>
        <v>#REF!</v>
      </c>
      <c r="CI266" t="e">
        <f t="shared" si="212"/>
        <v>#REF!</v>
      </c>
      <c r="CJ266" t="e">
        <f t="shared" si="212"/>
        <v>#REF!</v>
      </c>
      <c r="CK266" t="e">
        <f t="shared" si="212"/>
        <v>#REF!</v>
      </c>
      <c r="CL266" t="e">
        <f t="shared" si="212"/>
        <v>#REF!</v>
      </c>
      <c r="CM266" t="e">
        <f t="shared" si="212"/>
        <v>#REF!</v>
      </c>
      <c r="CN266" t="e">
        <f t="shared" si="212"/>
        <v>#REF!</v>
      </c>
      <c r="CO266" t="e">
        <f t="shared" si="212"/>
        <v>#REF!</v>
      </c>
      <c r="CP266" t="e">
        <f t="shared" si="212"/>
        <v>#REF!</v>
      </c>
      <c r="CQ266" t="e">
        <f t="shared" si="212"/>
        <v>#REF!</v>
      </c>
      <c r="CR266" t="e">
        <f t="shared" si="212"/>
        <v>#REF!</v>
      </c>
      <c r="CS266" t="e">
        <f t="shared" si="212"/>
        <v>#REF!</v>
      </c>
      <c r="CT266" t="e">
        <f t="shared" si="212"/>
        <v>#REF!</v>
      </c>
      <c r="CU266" t="e">
        <f t="shared" si="212"/>
        <v>#REF!</v>
      </c>
      <c r="CV266" t="e">
        <f t="shared" si="212"/>
        <v>#REF!</v>
      </c>
      <c r="CW266" t="e">
        <f t="shared" si="213"/>
        <v>#REF!</v>
      </c>
      <c r="CX266" t="e">
        <f t="shared" si="213"/>
        <v>#REF!</v>
      </c>
      <c r="CY266" t="e">
        <f t="shared" si="213"/>
        <v>#REF!</v>
      </c>
      <c r="CZ266" t="e">
        <f t="shared" si="213"/>
        <v>#REF!</v>
      </c>
      <c r="DA266" t="e">
        <f t="shared" si="213"/>
        <v>#REF!</v>
      </c>
      <c r="DB266" t="e">
        <f t="shared" si="213"/>
        <v>#REF!</v>
      </c>
      <c r="DC266" t="e">
        <f t="shared" si="213"/>
        <v>#REF!</v>
      </c>
      <c r="DD266" t="e">
        <f t="shared" si="213"/>
        <v>#REF!</v>
      </c>
      <c r="DE266" t="e">
        <f t="shared" si="213"/>
        <v>#REF!</v>
      </c>
      <c r="DF266" t="e">
        <f t="shared" si="213"/>
        <v>#REF!</v>
      </c>
      <c r="DG266" t="e">
        <f t="shared" si="213"/>
        <v>#REF!</v>
      </c>
      <c r="DH266" t="e">
        <f t="shared" si="213"/>
        <v>#REF!</v>
      </c>
      <c r="DI266" t="e">
        <f t="shared" si="213"/>
        <v>#REF!</v>
      </c>
      <c r="DJ266" t="e">
        <f t="shared" si="208"/>
        <v>#REF!</v>
      </c>
      <c r="DK266" t="e">
        <f t="shared" si="208"/>
        <v>#REF!</v>
      </c>
      <c r="DL266" t="e">
        <f t="shared" si="208"/>
        <v>#REF!</v>
      </c>
      <c r="DM266" t="e">
        <f t="shared" si="208"/>
        <v>#REF!</v>
      </c>
      <c r="DN266" t="e">
        <f t="shared" si="208"/>
        <v>#REF!</v>
      </c>
      <c r="DO266" t="e">
        <f t="shared" si="208"/>
        <v>#REF!</v>
      </c>
      <c r="DP266" t="e">
        <f t="shared" si="208"/>
        <v>#REF!</v>
      </c>
      <c r="DQ266" t="e">
        <f t="shared" si="208"/>
        <v>#REF!</v>
      </c>
      <c r="DR266" t="e">
        <f t="shared" si="208"/>
        <v>#REF!</v>
      </c>
      <c r="DS266" t="e">
        <f t="shared" si="208"/>
        <v>#REF!</v>
      </c>
      <c r="DT266" t="e">
        <f t="shared" si="208"/>
        <v>#REF!</v>
      </c>
      <c r="DU266" t="e">
        <f t="shared" si="208"/>
        <v>#REF!</v>
      </c>
      <c r="DV266" t="e">
        <f t="shared" si="208"/>
        <v>#REF!</v>
      </c>
      <c r="DW266" t="e">
        <f t="shared" si="209"/>
        <v>#REF!</v>
      </c>
      <c r="DX266" t="e">
        <f t="shared" si="209"/>
        <v>#REF!</v>
      </c>
      <c r="DY266" t="e">
        <f t="shared" si="209"/>
        <v>#REF!</v>
      </c>
      <c r="DZ266" t="e">
        <f t="shared" si="209"/>
        <v>#REF!</v>
      </c>
      <c r="EA266" t="e">
        <f t="shared" si="209"/>
        <v>#REF!</v>
      </c>
      <c r="EB266" t="e">
        <f t="shared" si="209"/>
        <v>#REF!</v>
      </c>
      <c r="EC266" t="e">
        <f t="shared" si="209"/>
        <v>#REF!</v>
      </c>
      <c r="ED266" t="e">
        <f t="shared" si="209"/>
        <v>#REF!</v>
      </c>
      <c r="EE266" t="e">
        <f t="shared" si="209"/>
        <v>#REF!</v>
      </c>
      <c r="EF266" t="e">
        <f t="shared" si="209"/>
        <v>#REF!</v>
      </c>
      <c r="EG266" t="e">
        <f t="shared" si="209"/>
        <v>#REF!</v>
      </c>
      <c r="EH266" t="e">
        <f t="shared" si="209"/>
        <v>#REF!</v>
      </c>
      <c r="EI266" t="e">
        <f t="shared" si="209"/>
        <v>#REF!</v>
      </c>
      <c r="EJ266" t="e">
        <f t="shared" si="209"/>
        <v>#REF!</v>
      </c>
      <c r="EK266" t="e">
        <f t="shared" si="209"/>
        <v>#REF!</v>
      </c>
      <c r="EL266" t="e">
        <f t="shared" si="209"/>
        <v>#REF!</v>
      </c>
      <c r="EM266" t="e">
        <f t="shared" si="205"/>
        <v>#REF!</v>
      </c>
    </row>
    <row r="267" spans="1:143" x14ac:dyDescent="0.4">
      <c r="A267" t="str">
        <f t="shared" si="206"/>
        <v>X</v>
      </c>
      <c r="B267">
        <v>264</v>
      </c>
      <c r="C267" t="e" cm="1">
        <f t="array" ref="C267">INDEX(auto_Series_Code,B267)</f>
        <v>#REF!</v>
      </c>
      <c r="D267" t="e">
        <f t="shared" si="210"/>
        <v>#REF!</v>
      </c>
      <c r="E267" t="e">
        <f t="shared" si="210"/>
        <v>#REF!</v>
      </c>
      <c r="F267" t="e">
        <f t="shared" si="210"/>
        <v>#REF!</v>
      </c>
      <c r="G267" t="e">
        <f t="shared" si="210"/>
        <v>#REF!</v>
      </c>
      <c r="H267" t="e">
        <f t="shared" si="210"/>
        <v>#REF!</v>
      </c>
      <c r="I267" t="e">
        <f t="shared" si="210"/>
        <v>#REF!</v>
      </c>
      <c r="J267" t="e">
        <f t="shared" si="210"/>
        <v>#REF!</v>
      </c>
      <c r="K267" t="e">
        <f t="shared" si="210"/>
        <v>#REF!</v>
      </c>
      <c r="L267" t="e">
        <f t="shared" si="210"/>
        <v>#REF!</v>
      </c>
      <c r="M267" t="e">
        <f t="shared" si="210"/>
        <v>#REF!</v>
      </c>
      <c r="N267" t="e">
        <f t="shared" si="210"/>
        <v>#REF!</v>
      </c>
      <c r="O267" t="e">
        <f t="shared" si="210"/>
        <v>#REF!</v>
      </c>
      <c r="P267" t="e">
        <f t="shared" si="210"/>
        <v>#REF!</v>
      </c>
      <c r="Q267" t="e">
        <f t="shared" si="210"/>
        <v>#REF!</v>
      </c>
      <c r="R267" t="e">
        <f t="shared" si="210"/>
        <v>#REF!</v>
      </c>
      <c r="S267" t="e">
        <f t="shared" si="210"/>
        <v>#REF!</v>
      </c>
      <c r="T267" t="e">
        <f t="shared" si="207"/>
        <v>#REF!</v>
      </c>
      <c r="U267" t="e">
        <f t="shared" si="207"/>
        <v>#REF!</v>
      </c>
      <c r="V267" t="e">
        <f t="shared" si="207"/>
        <v>#REF!</v>
      </c>
      <c r="W267" t="e">
        <f t="shared" si="207"/>
        <v>#REF!</v>
      </c>
      <c r="X267" t="e">
        <f t="shared" si="193"/>
        <v>#REF!</v>
      </c>
      <c r="Y267" t="e">
        <f t="shared" si="193"/>
        <v>#REF!</v>
      </c>
      <c r="Z267" t="e">
        <f t="shared" si="193"/>
        <v>#REF!</v>
      </c>
      <c r="AA267" t="e">
        <f t="shared" si="193"/>
        <v>#REF!</v>
      </c>
      <c r="AB267" t="e">
        <f t="shared" si="193"/>
        <v>#REF!</v>
      </c>
      <c r="AC267" t="e">
        <f t="shared" si="193"/>
        <v>#REF!</v>
      </c>
      <c r="AD267" t="e">
        <f t="shared" si="193"/>
        <v>#REF!</v>
      </c>
      <c r="AE267" t="e">
        <f t="shared" si="193"/>
        <v>#REF!</v>
      </c>
      <c r="AF267" t="e">
        <f t="shared" si="193"/>
        <v>#REF!</v>
      </c>
      <c r="AG267" t="e">
        <f t="shared" si="193"/>
        <v>#REF!</v>
      </c>
      <c r="AH267" t="e">
        <f t="shared" si="193"/>
        <v>#REF!</v>
      </c>
      <c r="AI267" t="e">
        <f t="shared" si="204"/>
        <v>#REF!</v>
      </c>
      <c r="AJ267" t="e">
        <f t="shared" si="204"/>
        <v>#REF!</v>
      </c>
      <c r="AK267" t="e">
        <f t="shared" si="204"/>
        <v>#REF!</v>
      </c>
      <c r="AL267" t="e">
        <f t="shared" si="204"/>
        <v>#REF!</v>
      </c>
      <c r="AM267" t="e">
        <f t="shared" si="204"/>
        <v>#REF!</v>
      </c>
      <c r="AN267" t="e">
        <f t="shared" si="204"/>
        <v>#REF!</v>
      </c>
      <c r="AO267" t="e">
        <f t="shared" si="204"/>
        <v>#REF!</v>
      </c>
      <c r="AP267" t="e">
        <f t="shared" si="204"/>
        <v>#REF!</v>
      </c>
      <c r="AQ267" t="e">
        <f t="shared" si="204"/>
        <v>#REF!</v>
      </c>
      <c r="AR267" t="e">
        <f t="shared" si="202"/>
        <v>#REF!</v>
      </c>
      <c r="AS267" t="e">
        <f t="shared" si="202"/>
        <v>#REF!</v>
      </c>
      <c r="AT267" t="e">
        <f t="shared" si="202"/>
        <v>#REF!</v>
      </c>
      <c r="AU267" t="e">
        <f t="shared" si="202"/>
        <v>#REF!</v>
      </c>
      <c r="AV267" t="e">
        <f t="shared" si="202"/>
        <v>#REF!</v>
      </c>
      <c r="AW267" t="e">
        <f t="shared" si="202"/>
        <v>#REF!</v>
      </c>
      <c r="AX267" t="e">
        <f t="shared" si="202"/>
        <v>#REF!</v>
      </c>
      <c r="AY267" t="e">
        <f t="shared" si="202"/>
        <v>#REF!</v>
      </c>
      <c r="AZ267" t="e">
        <f t="shared" si="202"/>
        <v>#REF!</v>
      </c>
      <c r="BA267" t="e">
        <f t="shared" si="202"/>
        <v>#REF!</v>
      </c>
      <c r="BB267" t="e">
        <f t="shared" si="196"/>
        <v>#REF!</v>
      </c>
      <c r="BC267" t="e">
        <f t="shared" si="196"/>
        <v>#REF!</v>
      </c>
      <c r="BD267" t="e">
        <f t="shared" si="196"/>
        <v>#REF!</v>
      </c>
      <c r="BE267" t="e">
        <f t="shared" si="196"/>
        <v>#REF!</v>
      </c>
      <c r="BF267" t="e">
        <f t="shared" si="196"/>
        <v>#REF!</v>
      </c>
      <c r="BG267" t="e">
        <f t="shared" si="196"/>
        <v>#REF!</v>
      </c>
      <c r="BH267" t="e">
        <f t="shared" si="196"/>
        <v>#REF!</v>
      </c>
      <c r="BI267" t="e">
        <f t="shared" si="196"/>
        <v>#REF!</v>
      </c>
      <c r="BJ267" t="e">
        <f t="shared" si="197"/>
        <v>#REF!</v>
      </c>
      <c r="BK267" t="e">
        <f t="shared" si="197"/>
        <v>#REF!</v>
      </c>
      <c r="BL267" t="e">
        <f t="shared" si="197"/>
        <v>#REF!</v>
      </c>
      <c r="BM267" t="e">
        <f t="shared" si="197"/>
        <v>#REF!</v>
      </c>
      <c r="BN267" t="e">
        <f t="shared" si="197"/>
        <v>#REF!</v>
      </c>
      <c r="BO267" t="e">
        <f t="shared" si="197"/>
        <v>#REF!</v>
      </c>
      <c r="BP267" t="e">
        <f t="shared" si="197"/>
        <v>#REF!</v>
      </c>
      <c r="BQ267" t="e">
        <f t="shared" si="197"/>
        <v>#REF!</v>
      </c>
      <c r="BR267" t="e">
        <f t="shared" si="197"/>
        <v>#REF!</v>
      </c>
      <c r="BS267" t="e">
        <f t="shared" si="197"/>
        <v>#REF!</v>
      </c>
      <c r="BT267" t="e">
        <f t="shared" si="199"/>
        <v>#REF!</v>
      </c>
      <c r="BU267" t="e">
        <f t="shared" si="199"/>
        <v>#REF!</v>
      </c>
      <c r="BV267" t="e">
        <f t="shared" si="199"/>
        <v>#REF!</v>
      </c>
      <c r="BW267" t="e">
        <f t="shared" si="199"/>
        <v>#REF!</v>
      </c>
      <c r="BX267" t="e">
        <f t="shared" si="199"/>
        <v>#REF!</v>
      </c>
      <c r="BY267" t="e">
        <f t="shared" si="199"/>
        <v>#REF!</v>
      </c>
      <c r="BZ267" t="e">
        <f t="shared" si="199"/>
        <v>#REF!</v>
      </c>
      <c r="CA267" t="e">
        <f t="shared" si="199"/>
        <v>#REF!</v>
      </c>
      <c r="CB267" t="e">
        <f t="shared" si="199"/>
        <v>#REF!</v>
      </c>
      <c r="CC267" t="e">
        <f t="shared" si="199"/>
        <v>#REF!</v>
      </c>
      <c r="CD267" t="e">
        <f t="shared" si="199"/>
        <v>#REF!</v>
      </c>
      <c r="CE267" t="e">
        <f t="shared" si="199"/>
        <v>#REF!</v>
      </c>
      <c r="CF267" t="e">
        <f t="shared" si="199"/>
        <v>#REF!</v>
      </c>
      <c r="CG267" t="e">
        <f t="shared" si="199"/>
        <v>#REF!</v>
      </c>
      <c r="CH267" t="e">
        <f t="shared" si="199"/>
        <v>#REF!</v>
      </c>
      <c r="CI267" t="e">
        <f t="shared" si="212"/>
        <v>#REF!</v>
      </c>
      <c r="CJ267" t="e">
        <f t="shared" si="212"/>
        <v>#REF!</v>
      </c>
      <c r="CK267" t="e">
        <f t="shared" si="212"/>
        <v>#REF!</v>
      </c>
      <c r="CL267" t="e">
        <f t="shared" si="212"/>
        <v>#REF!</v>
      </c>
      <c r="CM267" t="e">
        <f t="shared" si="212"/>
        <v>#REF!</v>
      </c>
      <c r="CN267" t="e">
        <f t="shared" si="212"/>
        <v>#REF!</v>
      </c>
      <c r="CO267" t="e">
        <f t="shared" si="212"/>
        <v>#REF!</v>
      </c>
      <c r="CP267" t="e">
        <f t="shared" si="212"/>
        <v>#REF!</v>
      </c>
      <c r="CQ267" t="e">
        <f t="shared" si="212"/>
        <v>#REF!</v>
      </c>
      <c r="CR267" t="e">
        <f t="shared" si="212"/>
        <v>#REF!</v>
      </c>
      <c r="CS267" t="e">
        <f t="shared" si="212"/>
        <v>#REF!</v>
      </c>
      <c r="CT267" t="e">
        <f t="shared" si="212"/>
        <v>#REF!</v>
      </c>
      <c r="CU267" t="e">
        <f t="shared" si="212"/>
        <v>#REF!</v>
      </c>
      <c r="CV267" t="e">
        <f t="shared" si="212"/>
        <v>#REF!</v>
      </c>
      <c r="CW267" t="e">
        <f t="shared" si="213"/>
        <v>#REF!</v>
      </c>
      <c r="CX267" t="e">
        <f t="shared" si="213"/>
        <v>#REF!</v>
      </c>
      <c r="CY267" t="e">
        <f t="shared" si="213"/>
        <v>#REF!</v>
      </c>
      <c r="CZ267" t="e">
        <f t="shared" si="213"/>
        <v>#REF!</v>
      </c>
      <c r="DA267" t="e">
        <f t="shared" si="213"/>
        <v>#REF!</v>
      </c>
      <c r="DB267" t="e">
        <f t="shared" si="213"/>
        <v>#REF!</v>
      </c>
      <c r="DC267" t="e">
        <f t="shared" si="213"/>
        <v>#REF!</v>
      </c>
      <c r="DD267" t="e">
        <f t="shared" si="213"/>
        <v>#REF!</v>
      </c>
      <c r="DE267" t="e">
        <f t="shared" si="213"/>
        <v>#REF!</v>
      </c>
      <c r="DF267" t="e">
        <f t="shared" si="213"/>
        <v>#REF!</v>
      </c>
      <c r="DG267" t="e">
        <f t="shared" si="213"/>
        <v>#REF!</v>
      </c>
      <c r="DH267" t="e">
        <f t="shared" si="213"/>
        <v>#REF!</v>
      </c>
      <c r="DI267" t="e">
        <f t="shared" si="213"/>
        <v>#REF!</v>
      </c>
      <c r="DJ267" t="e">
        <f t="shared" si="208"/>
        <v>#REF!</v>
      </c>
      <c r="DK267" t="e">
        <f t="shared" si="208"/>
        <v>#REF!</v>
      </c>
      <c r="DL267" t="e">
        <f t="shared" si="208"/>
        <v>#REF!</v>
      </c>
      <c r="DM267" t="e">
        <f t="shared" si="208"/>
        <v>#REF!</v>
      </c>
      <c r="DN267" t="e">
        <f t="shared" si="208"/>
        <v>#REF!</v>
      </c>
      <c r="DO267" t="e">
        <f t="shared" si="208"/>
        <v>#REF!</v>
      </c>
      <c r="DP267" t="e">
        <f t="shared" si="208"/>
        <v>#REF!</v>
      </c>
      <c r="DQ267" t="e">
        <f t="shared" si="208"/>
        <v>#REF!</v>
      </c>
      <c r="DR267" t="e">
        <f t="shared" si="208"/>
        <v>#REF!</v>
      </c>
      <c r="DS267" t="e">
        <f t="shared" si="208"/>
        <v>#REF!</v>
      </c>
      <c r="DT267" t="e">
        <f t="shared" si="208"/>
        <v>#REF!</v>
      </c>
      <c r="DU267" t="e">
        <f t="shared" si="208"/>
        <v>#REF!</v>
      </c>
      <c r="DV267" t="e">
        <f t="shared" si="208"/>
        <v>#REF!</v>
      </c>
      <c r="DW267" t="e">
        <f t="shared" si="209"/>
        <v>#REF!</v>
      </c>
      <c r="DX267" t="e">
        <f t="shared" si="209"/>
        <v>#REF!</v>
      </c>
      <c r="DY267" t="e">
        <f t="shared" si="209"/>
        <v>#REF!</v>
      </c>
      <c r="DZ267" t="e">
        <f t="shared" si="209"/>
        <v>#REF!</v>
      </c>
      <c r="EA267" t="e">
        <f t="shared" si="209"/>
        <v>#REF!</v>
      </c>
      <c r="EB267" t="e">
        <f t="shared" si="209"/>
        <v>#REF!</v>
      </c>
      <c r="EC267" t="e">
        <f t="shared" si="209"/>
        <v>#REF!</v>
      </c>
      <c r="ED267" t="e">
        <f t="shared" si="209"/>
        <v>#REF!</v>
      </c>
      <c r="EE267" t="e">
        <f t="shared" si="209"/>
        <v>#REF!</v>
      </c>
      <c r="EF267" t="e">
        <f t="shared" si="209"/>
        <v>#REF!</v>
      </c>
      <c r="EG267" t="e">
        <f t="shared" si="209"/>
        <v>#REF!</v>
      </c>
      <c r="EH267" t="e">
        <f t="shared" si="209"/>
        <v>#REF!</v>
      </c>
      <c r="EI267" t="e">
        <f t="shared" si="209"/>
        <v>#REF!</v>
      </c>
      <c r="EJ267" t="e">
        <f t="shared" si="209"/>
        <v>#REF!</v>
      </c>
      <c r="EK267" t="e">
        <f t="shared" si="209"/>
        <v>#REF!</v>
      </c>
      <c r="EL267" t="e">
        <f t="shared" si="209"/>
        <v>#REF!</v>
      </c>
      <c r="EM267" t="e">
        <f t="shared" si="205"/>
        <v>#REF!</v>
      </c>
    </row>
    <row r="268" spans="1:143" x14ac:dyDescent="0.4">
      <c r="A268" t="str">
        <f t="shared" si="206"/>
        <v>X</v>
      </c>
      <c r="B268">
        <v>265</v>
      </c>
      <c r="C268" t="e" cm="1">
        <f t="array" ref="C268">INDEX(auto_Series_Code,B268)</f>
        <v>#REF!</v>
      </c>
      <c r="D268" t="e">
        <f t="shared" si="210"/>
        <v>#REF!</v>
      </c>
      <c r="E268" t="e">
        <f t="shared" si="210"/>
        <v>#REF!</v>
      </c>
      <c r="F268" t="e">
        <f t="shared" si="210"/>
        <v>#REF!</v>
      </c>
      <c r="G268" t="e">
        <f t="shared" si="210"/>
        <v>#REF!</v>
      </c>
      <c r="H268" t="e">
        <f t="shared" si="210"/>
        <v>#REF!</v>
      </c>
      <c r="I268" t="e">
        <f t="shared" si="210"/>
        <v>#REF!</v>
      </c>
      <c r="J268" t="e">
        <f t="shared" si="210"/>
        <v>#REF!</v>
      </c>
      <c r="K268" t="e">
        <f t="shared" si="210"/>
        <v>#REF!</v>
      </c>
      <c r="L268" t="e">
        <f t="shared" si="210"/>
        <v>#REF!</v>
      </c>
      <c r="M268" t="e">
        <f t="shared" si="210"/>
        <v>#REF!</v>
      </c>
      <c r="N268" t="e">
        <f t="shared" si="210"/>
        <v>#REF!</v>
      </c>
      <c r="O268" t="e">
        <f t="shared" si="210"/>
        <v>#REF!</v>
      </c>
      <c r="P268" t="e">
        <f t="shared" si="210"/>
        <v>#REF!</v>
      </c>
      <c r="Q268" t="e">
        <f t="shared" si="210"/>
        <v>#REF!</v>
      </c>
      <c r="R268" t="e">
        <f t="shared" si="210"/>
        <v>#REF!</v>
      </c>
      <c r="S268" t="e">
        <f t="shared" si="210"/>
        <v>#REF!</v>
      </c>
      <c r="T268" t="e">
        <f t="shared" si="207"/>
        <v>#REF!</v>
      </c>
      <c r="U268" t="e">
        <f t="shared" si="207"/>
        <v>#REF!</v>
      </c>
      <c r="V268" t="e">
        <f t="shared" si="207"/>
        <v>#REF!</v>
      </c>
      <c r="W268" t="e">
        <f t="shared" si="207"/>
        <v>#REF!</v>
      </c>
      <c r="X268" t="e">
        <f t="shared" si="193"/>
        <v>#REF!</v>
      </c>
      <c r="Y268" t="e">
        <f t="shared" si="193"/>
        <v>#REF!</v>
      </c>
      <c r="Z268" t="e">
        <f t="shared" si="193"/>
        <v>#REF!</v>
      </c>
      <c r="AA268" t="e">
        <f t="shared" si="193"/>
        <v>#REF!</v>
      </c>
      <c r="AB268" t="e">
        <f t="shared" si="193"/>
        <v>#REF!</v>
      </c>
      <c r="AC268" t="e">
        <f t="shared" si="193"/>
        <v>#REF!</v>
      </c>
      <c r="AD268" t="e">
        <f t="shared" si="193"/>
        <v>#REF!</v>
      </c>
      <c r="AE268" t="e">
        <f t="shared" si="193"/>
        <v>#REF!</v>
      </c>
      <c r="AF268" t="e">
        <f t="shared" si="193"/>
        <v>#REF!</v>
      </c>
      <c r="AG268" t="e">
        <f t="shared" si="193"/>
        <v>#REF!</v>
      </c>
      <c r="AH268" t="e">
        <f t="shared" si="193"/>
        <v>#REF!</v>
      </c>
      <c r="AI268" t="e">
        <f t="shared" si="204"/>
        <v>#REF!</v>
      </c>
      <c r="AJ268" t="e">
        <f t="shared" si="204"/>
        <v>#REF!</v>
      </c>
      <c r="AK268" t="e">
        <f t="shared" si="204"/>
        <v>#REF!</v>
      </c>
      <c r="AL268" t="e">
        <f t="shared" si="204"/>
        <v>#REF!</v>
      </c>
      <c r="AM268" t="e">
        <f t="shared" si="204"/>
        <v>#REF!</v>
      </c>
      <c r="AN268" t="e">
        <f t="shared" si="204"/>
        <v>#REF!</v>
      </c>
      <c r="AO268" t="e">
        <f t="shared" si="204"/>
        <v>#REF!</v>
      </c>
      <c r="AP268" t="e">
        <f t="shared" si="204"/>
        <v>#REF!</v>
      </c>
      <c r="AQ268" t="e">
        <f t="shared" si="204"/>
        <v>#REF!</v>
      </c>
      <c r="AR268" t="e">
        <f t="shared" si="202"/>
        <v>#REF!</v>
      </c>
      <c r="AS268" t="e">
        <f t="shared" si="202"/>
        <v>#REF!</v>
      </c>
      <c r="AT268" t="e">
        <f t="shared" si="202"/>
        <v>#REF!</v>
      </c>
      <c r="AU268" t="e">
        <f t="shared" si="202"/>
        <v>#REF!</v>
      </c>
      <c r="AV268" t="e">
        <f t="shared" si="202"/>
        <v>#REF!</v>
      </c>
      <c r="AW268" t="e">
        <f t="shared" si="202"/>
        <v>#REF!</v>
      </c>
      <c r="AX268" t="e">
        <f t="shared" si="202"/>
        <v>#REF!</v>
      </c>
      <c r="AY268" t="e">
        <f t="shared" si="202"/>
        <v>#REF!</v>
      </c>
      <c r="AZ268" t="e">
        <f t="shared" si="202"/>
        <v>#REF!</v>
      </c>
      <c r="BA268" t="e">
        <f t="shared" si="202"/>
        <v>#REF!</v>
      </c>
      <c r="BB268" t="e">
        <f t="shared" si="196"/>
        <v>#REF!</v>
      </c>
      <c r="BC268" t="e">
        <f t="shared" si="196"/>
        <v>#REF!</v>
      </c>
      <c r="BD268" t="e">
        <f t="shared" si="196"/>
        <v>#REF!</v>
      </c>
      <c r="BE268" t="e">
        <f t="shared" si="196"/>
        <v>#REF!</v>
      </c>
      <c r="BF268" t="e">
        <f t="shared" si="196"/>
        <v>#REF!</v>
      </c>
      <c r="BG268" t="e">
        <f t="shared" si="196"/>
        <v>#REF!</v>
      </c>
      <c r="BH268" t="e">
        <f t="shared" si="196"/>
        <v>#REF!</v>
      </c>
      <c r="BI268" t="e">
        <f t="shared" si="196"/>
        <v>#REF!</v>
      </c>
      <c r="BJ268" t="e">
        <f t="shared" si="197"/>
        <v>#REF!</v>
      </c>
      <c r="BK268" t="e">
        <f t="shared" si="197"/>
        <v>#REF!</v>
      </c>
      <c r="BL268" t="e">
        <f t="shared" si="197"/>
        <v>#REF!</v>
      </c>
      <c r="BM268" t="e">
        <f t="shared" si="197"/>
        <v>#REF!</v>
      </c>
      <c r="BN268" t="e">
        <f t="shared" si="197"/>
        <v>#REF!</v>
      </c>
      <c r="BO268" t="e">
        <f t="shared" si="197"/>
        <v>#REF!</v>
      </c>
      <c r="BP268" t="e">
        <f t="shared" si="197"/>
        <v>#REF!</v>
      </c>
      <c r="BQ268" t="e">
        <f t="shared" si="197"/>
        <v>#REF!</v>
      </c>
      <c r="BR268" t="e">
        <f t="shared" si="197"/>
        <v>#REF!</v>
      </c>
      <c r="BS268" t="e">
        <f t="shared" si="197"/>
        <v>#REF!</v>
      </c>
      <c r="BT268" t="e">
        <f t="shared" si="199"/>
        <v>#REF!</v>
      </c>
      <c r="BU268" t="e">
        <f t="shared" si="199"/>
        <v>#REF!</v>
      </c>
      <c r="BV268" t="e">
        <f t="shared" si="199"/>
        <v>#REF!</v>
      </c>
      <c r="BW268" t="e">
        <f t="shared" si="199"/>
        <v>#REF!</v>
      </c>
      <c r="BX268" t="e">
        <f t="shared" si="199"/>
        <v>#REF!</v>
      </c>
      <c r="BY268" t="e">
        <f t="shared" si="199"/>
        <v>#REF!</v>
      </c>
      <c r="BZ268" t="e">
        <f t="shared" si="199"/>
        <v>#REF!</v>
      </c>
      <c r="CA268" t="e">
        <f t="shared" si="199"/>
        <v>#REF!</v>
      </c>
      <c r="CB268" t="e">
        <f t="shared" si="199"/>
        <v>#REF!</v>
      </c>
      <c r="CC268" t="e">
        <f t="shared" si="199"/>
        <v>#REF!</v>
      </c>
      <c r="CD268" t="e">
        <f t="shared" si="199"/>
        <v>#REF!</v>
      </c>
      <c r="CE268" t="e">
        <f t="shared" si="199"/>
        <v>#REF!</v>
      </c>
      <c r="CF268" t="e">
        <f t="shared" si="199"/>
        <v>#REF!</v>
      </c>
      <c r="CG268" t="e">
        <f t="shared" si="199"/>
        <v>#REF!</v>
      </c>
      <c r="CH268" t="e">
        <f t="shared" si="199"/>
        <v>#REF!</v>
      </c>
      <c r="CI268" t="e">
        <f t="shared" si="212"/>
        <v>#REF!</v>
      </c>
      <c r="CJ268" t="e">
        <f t="shared" si="212"/>
        <v>#REF!</v>
      </c>
      <c r="CK268" t="e">
        <f t="shared" si="212"/>
        <v>#REF!</v>
      </c>
      <c r="CL268" t="e">
        <f t="shared" si="212"/>
        <v>#REF!</v>
      </c>
      <c r="CM268" t="e">
        <f t="shared" si="212"/>
        <v>#REF!</v>
      </c>
      <c r="CN268" t="e">
        <f t="shared" si="212"/>
        <v>#REF!</v>
      </c>
      <c r="CO268" t="e">
        <f t="shared" si="212"/>
        <v>#REF!</v>
      </c>
      <c r="CP268" t="e">
        <f t="shared" si="212"/>
        <v>#REF!</v>
      </c>
      <c r="CQ268" t="e">
        <f t="shared" si="212"/>
        <v>#REF!</v>
      </c>
      <c r="CR268" t="e">
        <f t="shared" si="212"/>
        <v>#REF!</v>
      </c>
      <c r="CS268" t="e">
        <f t="shared" si="212"/>
        <v>#REF!</v>
      </c>
      <c r="CT268" t="e">
        <f t="shared" si="212"/>
        <v>#REF!</v>
      </c>
      <c r="CU268" t="e">
        <f t="shared" si="212"/>
        <v>#REF!</v>
      </c>
      <c r="CV268" t="e">
        <f t="shared" si="212"/>
        <v>#REF!</v>
      </c>
      <c r="CW268" t="e">
        <f t="shared" si="213"/>
        <v>#REF!</v>
      </c>
      <c r="CX268" t="e">
        <f t="shared" si="213"/>
        <v>#REF!</v>
      </c>
      <c r="CY268" t="e">
        <f t="shared" si="213"/>
        <v>#REF!</v>
      </c>
      <c r="CZ268" t="e">
        <f t="shared" si="213"/>
        <v>#REF!</v>
      </c>
      <c r="DA268" t="e">
        <f t="shared" si="213"/>
        <v>#REF!</v>
      </c>
      <c r="DB268" t="e">
        <f t="shared" si="213"/>
        <v>#REF!</v>
      </c>
      <c r="DC268" t="e">
        <f t="shared" si="213"/>
        <v>#REF!</v>
      </c>
      <c r="DD268" t="e">
        <f t="shared" si="213"/>
        <v>#REF!</v>
      </c>
      <c r="DE268" t="e">
        <f t="shared" si="213"/>
        <v>#REF!</v>
      </c>
      <c r="DF268" t="e">
        <f t="shared" si="213"/>
        <v>#REF!</v>
      </c>
      <c r="DG268" t="e">
        <f t="shared" si="213"/>
        <v>#REF!</v>
      </c>
      <c r="DH268" t="e">
        <f t="shared" si="213"/>
        <v>#REF!</v>
      </c>
      <c r="DI268" t="e">
        <f t="shared" si="213"/>
        <v>#REF!</v>
      </c>
      <c r="DJ268" t="e">
        <f t="shared" si="208"/>
        <v>#REF!</v>
      </c>
      <c r="DK268" t="e">
        <f t="shared" si="208"/>
        <v>#REF!</v>
      </c>
      <c r="DL268" t="e">
        <f t="shared" si="208"/>
        <v>#REF!</v>
      </c>
      <c r="DM268" t="e">
        <f t="shared" si="208"/>
        <v>#REF!</v>
      </c>
      <c r="DN268" t="e">
        <f t="shared" si="208"/>
        <v>#REF!</v>
      </c>
      <c r="DO268" t="e">
        <f t="shared" si="208"/>
        <v>#REF!</v>
      </c>
      <c r="DP268" t="e">
        <f t="shared" si="208"/>
        <v>#REF!</v>
      </c>
      <c r="DQ268" t="e">
        <f t="shared" si="208"/>
        <v>#REF!</v>
      </c>
      <c r="DR268" t="e">
        <f t="shared" si="208"/>
        <v>#REF!</v>
      </c>
      <c r="DS268" t="e">
        <f t="shared" si="208"/>
        <v>#REF!</v>
      </c>
      <c r="DT268" t="e">
        <f t="shared" si="208"/>
        <v>#REF!</v>
      </c>
      <c r="DU268" t="e">
        <f t="shared" si="208"/>
        <v>#REF!</v>
      </c>
      <c r="DV268" t="e">
        <f t="shared" si="208"/>
        <v>#REF!</v>
      </c>
      <c r="DW268" t="e">
        <f t="shared" si="209"/>
        <v>#REF!</v>
      </c>
      <c r="DX268" t="e">
        <f t="shared" si="209"/>
        <v>#REF!</v>
      </c>
      <c r="DY268" t="e">
        <f t="shared" si="209"/>
        <v>#REF!</v>
      </c>
      <c r="DZ268" t="e">
        <f t="shared" si="209"/>
        <v>#REF!</v>
      </c>
      <c r="EA268" t="e">
        <f t="shared" si="209"/>
        <v>#REF!</v>
      </c>
      <c r="EB268" t="e">
        <f t="shared" si="209"/>
        <v>#REF!</v>
      </c>
      <c r="EC268" t="e">
        <f t="shared" si="209"/>
        <v>#REF!</v>
      </c>
      <c r="ED268" t="e">
        <f t="shared" si="209"/>
        <v>#REF!</v>
      </c>
      <c r="EE268" t="e">
        <f t="shared" si="209"/>
        <v>#REF!</v>
      </c>
      <c r="EF268" t="e">
        <f t="shared" si="209"/>
        <v>#REF!</v>
      </c>
      <c r="EG268" t="e">
        <f t="shared" si="209"/>
        <v>#REF!</v>
      </c>
      <c r="EH268" t="e">
        <f t="shared" si="209"/>
        <v>#REF!</v>
      </c>
      <c r="EI268" t="e">
        <f t="shared" si="209"/>
        <v>#REF!</v>
      </c>
      <c r="EJ268" t="e">
        <f t="shared" si="209"/>
        <v>#REF!</v>
      </c>
      <c r="EK268" t="e">
        <f t="shared" si="209"/>
        <v>#REF!</v>
      </c>
      <c r="EL268" t="e">
        <f t="shared" si="209"/>
        <v>#REF!</v>
      </c>
      <c r="EM268" t="e">
        <f t="shared" si="205"/>
        <v>#REF!</v>
      </c>
    </row>
    <row r="269" spans="1:143" x14ac:dyDescent="0.4">
      <c r="A269" t="str">
        <f t="shared" si="206"/>
        <v>X</v>
      </c>
      <c r="B269">
        <v>266</v>
      </c>
      <c r="C269" t="e" cm="1">
        <f t="array" ref="C269">INDEX(auto_Series_Code,B269)</f>
        <v>#REF!</v>
      </c>
      <c r="D269" t="e">
        <f t="shared" si="210"/>
        <v>#REF!</v>
      </c>
      <c r="E269" t="e">
        <f t="shared" si="210"/>
        <v>#REF!</v>
      </c>
      <c r="F269" t="e">
        <f t="shared" si="210"/>
        <v>#REF!</v>
      </c>
      <c r="G269" t="e">
        <f t="shared" si="210"/>
        <v>#REF!</v>
      </c>
      <c r="H269" t="e">
        <f t="shared" si="210"/>
        <v>#REF!</v>
      </c>
      <c r="I269" t="e">
        <f t="shared" si="210"/>
        <v>#REF!</v>
      </c>
      <c r="J269" t="e">
        <f t="shared" si="210"/>
        <v>#REF!</v>
      </c>
      <c r="K269" t="e">
        <f t="shared" si="210"/>
        <v>#REF!</v>
      </c>
      <c r="L269" t="e">
        <f t="shared" si="210"/>
        <v>#REF!</v>
      </c>
      <c r="M269" t="e">
        <f t="shared" si="210"/>
        <v>#REF!</v>
      </c>
      <c r="N269" t="e">
        <f t="shared" si="210"/>
        <v>#REF!</v>
      </c>
      <c r="O269" t="e">
        <f t="shared" si="210"/>
        <v>#REF!</v>
      </c>
      <c r="P269" t="e">
        <f t="shared" si="210"/>
        <v>#REF!</v>
      </c>
      <c r="Q269" t="e">
        <f t="shared" si="210"/>
        <v>#REF!</v>
      </c>
      <c r="R269" t="e">
        <f t="shared" si="210"/>
        <v>#REF!</v>
      </c>
      <c r="S269" t="e">
        <f t="shared" si="210"/>
        <v>#REF!</v>
      </c>
      <c r="T269" t="e">
        <f t="shared" si="207"/>
        <v>#REF!</v>
      </c>
      <c r="U269" t="e">
        <f t="shared" si="207"/>
        <v>#REF!</v>
      </c>
      <c r="V269" t="e">
        <f t="shared" si="207"/>
        <v>#REF!</v>
      </c>
      <c r="W269" t="e">
        <f t="shared" si="207"/>
        <v>#REF!</v>
      </c>
      <c r="X269" t="e">
        <f t="shared" si="193"/>
        <v>#REF!</v>
      </c>
      <c r="Y269" t="e">
        <f t="shared" si="193"/>
        <v>#REF!</v>
      </c>
      <c r="Z269" t="e">
        <f t="shared" si="193"/>
        <v>#REF!</v>
      </c>
      <c r="AA269" t="e">
        <f t="shared" si="193"/>
        <v>#REF!</v>
      </c>
      <c r="AB269" t="e">
        <f t="shared" si="193"/>
        <v>#REF!</v>
      </c>
      <c r="AC269" t="e">
        <f t="shared" si="193"/>
        <v>#REF!</v>
      </c>
      <c r="AD269" t="e">
        <f t="shared" si="193"/>
        <v>#REF!</v>
      </c>
      <c r="AE269" t="e">
        <f t="shared" si="193"/>
        <v>#REF!</v>
      </c>
      <c r="AF269" t="e">
        <f t="shared" si="193"/>
        <v>#REF!</v>
      </c>
      <c r="AG269" t="e">
        <f t="shared" si="193"/>
        <v>#REF!</v>
      </c>
      <c r="AH269" t="e">
        <f t="shared" si="193"/>
        <v>#REF!</v>
      </c>
      <c r="AI269" t="e">
        <f t="shared" si="204"/>
        <v>#REF!</v>
      </c>
      <c r="AJ269" t="e">
        <f t="shared" si="204"/>
        <v>#REF!</v>
      </c>
      <c r="AK269" t="e">
        <f t="shared" si="204"/>
        <v>#REF!</v>
      </c>
      <c r="AL269" t="e">
        <f t="shared" si="204"/>
        <v>#REF!</v>
      </c>
      <c r="AM269" t="e">
        <f t="shared" si="204"/>
        <v>#REF!</v>
      </c>
      <c r="AN269" t="e">
        <f t="shared" si="204"/>
        <v>#REF!</v>
      </c>
      <c r="AO269" t="e">
        <f t="shared" si="204"/>
        <v>#REF!</v>
      </c>
      <c r="AP269" t="e">
        <f t="shared" si="204"/>
        <v>#REF!</v>
      </c>
      <c r="AQ269" t="e">
        <f t="shared" si="204"/>
        <v>#REF!</v>
      </c>
      <c r="AR269" t="e">
        <f t="shared" si="202"/>
        <v>#REF!</v>
      </c>
      <c r="AS269" t="e">
        <f t="shared" si="202"/>
        <v>#REF!</v>
      </c>
      <c r="AT269" t="e">
        <f t="shared" si="202"/>
        <v>#REF!</v>
      </c>
      <c r="AU269" t="e">
        <f t="shared" si="202"/>
        <v>#REF!</v>
      </c>
      <c r="AV269" t="e">
        <f t="shared" si="202"/>
        <v>#REF!</v>
      </c>
      <c r="AW269" t="e">
        <f t="shared" si="202"/>
        <v>#REF!</v>
      </c>
      <c r="AX269" t="e">
        <f t="shared" si="202"/>
        <v>#REF!</v>
      </c>
      <c r="AY269" t="e">
        <f t="shared" si="202"/>
        <v>#REF!</v>
      </c>
      <c r="AZ269" t="e">
        <f t="shared" si="202"/>
        <v>#REF!</v>
      </c>
      <c r="BA269" t="e">
        <f t="shared" si="202"/>
        <v>#REF!</v>
      </c>
      <c r="BB269" t="e">
        <f t="shared" si="196"/>
        <v>#REF!</v>
      </c>
      <c r="BC269" t="e">
        <f t="shared" si="196"/>
        <v>#REF!</v>
      </c>
      <c r="BD269" t="e">
        <f t="shared" si="196"/>
        <v>#REF!</v>
      </c>
      <c r="BE269" t="e">
        <f t="shared" si="196"/>
        <v>#REF!</v>
      </c>
      <c r="BF269" t="e">
        <f t="shared" si="196"/>
        <v>#REF!</v>
      </c>
      <c r="BG269" t="e">
        <f t="shared" si="196"/>
        <v>#REF!</v>
      </c>
      <c r="BH269" t="e">
        <f t="shared" si="196"/>
        <v>#REF!</v>
      </c>
      <c r="BI269" t="e">
        <f t="shared" si="196"/>
        <v>#REF!</v>
      </c>
      <c r="BJ269" t="e">
        <f t="shared" si="197"/>
        <v>#REF!</v>
      </c>
      <c r="BK269" t="e">
        <f t="shared" si="197"/>
        <v>#REF!</v>
      </c>
      <c r="BL269" t="e">
        <f t="shared" si="197"/>
        <v>#REF!</v>
      </c>
      <c r="BM269" t="e">
        <f t="shared" si="197"/>
        <v>#REF!</v>
      </c>
      <c r="BN269" t="e">
        <f t="shared" si="197"/>
        <v>#REF!</v>
      </c>
      <c r="BO269" t="e">
        <f t="shared" si="197"/>
        <v>#REF!</v>
      </c>
      <c r="BP269" t="e">
        <f t="shared" si="197"/>
        <v>#REF!</v>
      </c>
      <c r="BQ269" t="e">
        <f t="shared" si="197"/>
        <v>#REF!</v>
      </c>
      <c r="BR269" t="e">
        <f t="shared" si="197"/>
        <v>#REF!</v>
      </c>
      <c r="BS269" t="e">
        <f t="shared" si="197"/>
        <v>#REF!</v>
      </c>
      <c r="BT269" t="e">
        <f t="shared" si="199"/>
        <v>#REF!</v>
      </c>
      <c r="BU269" t="e">
        <f t="shared" si="199"/>
        <v>#REF!</v>
      </c>
      <c r="BV269" t="e">
        <f t="shared" si="199"/>
        <v>#REF!</v>
      </c>
      <c r="BW269" t="e">
        <f t="shared" si="199"/>
        <v>#REF!</v>
      </c>
      <c r="BX269" t="e">
        <f t="shared" si="199"/>
        <v>#REF!</v>
      </c>
      <c r="BY269" t="e">
        <f t="shared" si="199"/>
        <v>#REF!</v>
      </c>
      <c r="BZ269" t="e">
        <f t="shared" si="199"/>
        <v>#REF!</v>
      </c>
      <c r="CA269" t="e">
        <f t="shared" si="199"/>
        <v>#REF!</v>
      </c>
      <c r="CB269" t="e">
        <f t="shared" si="199"/>
        <v>#REF!</v>
      </c>
      <c r="CC269" t="e">
        <f t="shared" si="199"/>
        <v>#REF!</v>
      </c>
      <c r="CD269" t="e">
        <f t="shared" si="199"/>
        <v>#REF!</v>
      </c>
      <c r="CE269" t="e">
        <f t="shared" si="199"/>
        <v>#REF!</v>
      </c>
      <c r="CF269" t="e">
        <f t="shared" si="199"/>
        <v>#REF!</v>
      </c>
      <c r="CG269" t="e">
        <f t="shared" si="199"/>
        <v>#REF!</v>
      </c>
      <c r="CH269" t="e">
        <f t="shared" si="199"/>
        <v>#REF!</v>
      </c>
      <c r="CI269" t="e">
        <f t="shared" si="212"/>
        <v>#REF!</v>
      </c>
      <c r="CJ269" t="e">
        <f t="shared" si="212"/>
        <v>#REF!</v>
      </c>
      <c r="CK269" t="e">
        <f t="shared" si="212"/>
        <v>#REF!</v>
      </c>
      <c r="CL269" t="e">
        <f t="shared" si="212"/>
        <v>#REF!</v>
      </c>
      <c r="CM269" t="e">
        <f t="shared" si="212"/>
        <v>#REF!</v>
      </c>
      <c r="CN269" t="e">
        <f t="shared" si="212"/>
        <v>#REF!</v>
      </c>
      <c r="CO269" t="e">
        <f t="shared" si="212"/>
        <v>#REF!</v>
      </c>
      <c r="CP269" t="e">
        <f t="shared" si="212"/>
        <v>#REF!</v>
      </c>
      <c r="CQ269" t="e">
        <f t="shared" si="212"/>
        <v>#REF!</v>
      </c>
      <c r="CR269" t="e">
        <f t="shared" si="212"/>
        <v>#REF!</v>
      </c>
      <c r="CS269" t="e">
        <f t="shared" si="212"/>
        <v>#REF!</v>
      </c>
      <c r="CT269" t="e">
        <f t="shared" si="212"/>
        <v>#REF!</v>
      </c>
      <c r="CU269" t="e">
        <f t="shared" si="212"/>
        <v>#REF!</v>
      </c>
      <c r="CV269" t="e">
        <f t="shared" si="212"/>
        <v>#REF!</v>
      </c>
      <c r="CW269" t="e">
        <f t="shared" si="213"/>
        <v>#REF!</v>
      </c>
      <c r="CX269" t="e">
        <f t="shared" si="213"/>
        <v>#REF!</v>
      </c>
      <c r="CY269" t="e">
        <f t="shared" si="213"/>
        <v>#REF!</v>
      </c>
      <c r="CZ269" t="e">
        <f t="shared" si="213"/>
        <v>#REF!</v>
      </c>
      <c r="DA269" t="e">
        <f t="shared" si="213"/>
        <v>#REF!</v>
      </c>
      <c r="DB269" t="e">
        <f t="shared" si="213"/>
        <v>#REF!</v>
      </c>
      <c r="DC269" t="e">
        <f t="shared" si="213"/>
        <v>#REF!</v>
      </c>
      <c r="DD269" t="e">
        <f t="shared" si="213"/>
        <v>#REF!</v>
      </c>
      <c r="DE269" t="e">
        <f t="shared" si="213"/>
        <v>#REF!</v>
      </c>
      <c r="DF269" t="e">
        <f t="shared" si="213"/>
        <v>#REF!</v>
      </c>
      <c r="DG269" t="e">
        <f t="shared" si="213"/>
        <v>#REF!</v>
      </c>
      <c r="DH269" t="e">
        <f t="shared" si="213"/>
        <v>#REF!</v>
      </c>
      <c r="DI269" t="e">
        <f t="shared" si="213"/>
        <v>#REF!</v>
      </c>
      <c r="DJ269" t="e">
        <f t="shared" si="208"/>
        <v>#REF!</v>
      </c>
      <c r="DK269" t="e">
        <f t="shared" si="208"/>
        <v>#REF!</v>
      </c>
      <c r="DL269" t="e">
        <f t="shared" si="208"/>
        <v>#REF!</v>
      </c>
      <c r="DM269" t="e">
        <f t="shared" si="208"/>
        <v>#REF!</v>
      </c>
      <c r="DN269" t="e">
        <f t="shared" si="208"/>
        <v>#REF!</v>
      </c>
      <c r="DO269" t="e">
        <f t="shared" si="208"/>
        <v>#REF!</v>
      </c>
      <c r="DP269" t="e">
        <f t="shared" si="208"/>
        <v>#REF!</v>
      </c>
      <c r="DQ269" t="e">
        <f t="shared" si="208"/>
        <v>#REF!</v>
      </c>
      <c r="DR269" t="e">
        <f t="shared" si="208"/>
        <v>#REF!</v>
      </c>
      <c r="DS269" t="e">
        <f t="shared" si="208"/>
        <v>#REF!</v>
      </c>
      <c r="DT269" t="e">
        <f t="shared" si="208"/>
        <v>#REF!</v>
      </c>
      <c r="DU269" t="e">
        <f t="shared" si="208"/>
        <v>#REF!</v>
      </c>
      <c r="DV269" t="e">
        <f t="shared" si="208"/>
        <v>#REF!</v>
      </c>
      <c r="DW269" t="e">
        <f t="shared" si="209"/>
        <v>#REF!</v>
      </c>
      <c r="DX269" t="e">
        <f t="shared" si="209"/>
        <v>#REF!</v>
      </c>
      <c r="DY269" t="e">
        <f t="shared" si="209"/>
        <v>#REF!</v>
      </c>
      <c r="DZ269" t="e">
        <f t="shared" si="209"/>
        <v>#REF!</v>
      </c>
      <c r="EA269" t="e">
        <f t="shared" si="209"/>
        <v>#REF!</v>
      </c>
      <c r="EB269" t="e">
        <f t="shared" si="209"/>
        <v>#REF!</v>
      </c>
      <c r="EC269" t="e">
        <f t="shared" si="209"/>
        <v>#REF!</v>
      </c>
      <c r="ED269" t="e">
        <f t="shared" si="209"/>
        <v>#REF!</v>
      </c>
      <c r="EE269" t="e">
        <f t="shared" si="209"/>
        <v>#REF!</v>
      </c>
      <c r="EF269" t="e">
        <f t="shared" si="209"/>
        <v>#REF!</v>
      </c>
      <c r="EG269" t="e">
        <f t="shared" si="209"/>
        <v>#REF!</v>
      </c>
      <c r="EH269" t="e">
        <f t="shared" si="209"/>
        <v>#REF!</v>
      </c>
      <c r="EI269" t="e">
        <f t="shared" si="209"/>
        <v>#REF!</v>
      </c>
      <c r="EJ269" t="e">
        <f t="shared" si="209"/>
        <v>#REF!</v>
      </c>
      <c r="EK269" t="e">
        <f t="shared" si="209"/>
        <v>#REF!</v>
      </c>
      <c r="EL269" t="e">
        <f t="shared" si="209"/>
        <v>#REF!</v>
      </c>
      <c r="EM269" t="e">
        <f t="shared" si="205"/>
        <v>#REF!</v>
      </c>
    </row>
    <row r="270" spans="1:143" x14ac:dyDescent="0.4">
      <c r="A270" t="str">
        <f t="shared" si="206"/>
        <v>X</v>
      </c>
      <c r="B270">
        <v>267</v>
      </c>
      <c r="C270" t="e" cm="1">
        <f t="array" ref="C270">INDEX(auto_Series_Code,B270)</f>
        <v>#REF!</v>
      </c>
      <c r="D270" t="e">
        <f t="shared" si="210"/>
        <v>#REF!</v>
      </c>
      <c r="E270" t="e">
        <f t="shared" si="210"/>
        <v>#REF!</v>
      </c>
      <c r="F270" t="e">
        <f t="shared" si="210"/>
        <v>#REF!</v>
      </c>
      <c r="G270" t="e">
        <f t="shared" si="210"/>
        <v>#REF!</v>
      </c>
      <c r="H270" t="e">
        <f t="shared" si="210"/>
        <v>#REF!</v>
      </c>
      <c r="I270" t="e">
        <f t="shared" si="210"/>
        <v>#REF!</v>
      </c>
      <c r="J270" t="e">
        <f t="shared" si="210"/>
        <v>#REF!</v>
      </c>
      <c r="K270" t="e">
        <f t="shared" si="210"/>
        <v>#REF!</v>
      </c>
      <c r="L270" t="e">
        <f t="shared" si="210"/>
        <v>#REF!</v>
      </c>
      <c r="M270" t="e">
        <f t="shared" si="210"/>
        <v>#REF!</v>
      </c>
      <c r="N270" t="e">
        <f t="shared" si="210"/>
        <v>#REF!</v>
      </c>
      <c r="O270" t="e">
        <f t="shared" si="210"/>
        <v>#REF!</v>
      </c>
      <c r="P270" t="e">
        <f t="shared" si="210"/>
        <v>#REF!</v>
      </c>
      <c r="Q270" t="e">
        <f t="shared" si="210"/>
        <v>#REF!</v>
      </c>
      <c r="R270" t="e">
        <f t="shared" si="210"/>
        <v>#REF!</v>
      </c>
      <c r="S270" t="e">
        <f t="shared" si="210"/>
        <v>#REF!</v>
      </c>
      <c r="T270" t="e">
        <f t="shared" si="207"/>
        <v>#REF!</v>
      </c>
      <c r="U270" t="e">
        <f t="shared" si="207"/>
        <v>#REF!</v>
      </c>
      <c r="V270" t="e">
        <f t="shared" si="207"/>
        <v>#REF!</v>
      </c>
      <c r="W270" t="e">
        <f t="shared" si="207"/>
        <v>#REF!</v>
      </c>
      <c r="X270" t="e">
        <f t="shared" si="193"/>
        <v>#REF!</v>
      </c>
      <c r="Y270" t="e">
        <f t="shared" si="193"/>
        <v>#REF!</v>
      </c>
      <c r="Z270" t="e">
        <f t="shared" si="193"/>
        <v>#REF!</v>
      </c>
      <c r="AA270" t="e">
        <f t="shared" si="193"/>
        <v>#REF!</v>
      </c>
      <c r="AB270" t="e">
        <f t="shared" si="193"/>
        <v>#REF!</v>
      </c>
      <c r="AC270" t="e">
        <f t="shared" si="193"/>
        <v>#REF!</v>
      </c>
      <c r="AD270" t="e">
        <f t="shared" si="193"/>
        <v>#REF!</v>
      </c>
      <c r="AE270" t="e">
        <f t="shared" si="193"/>
        <v>#REF!</v>
      </c>
      <c r="AF270" t="e">
        <f t="shared" si="193"/>
        <v>#REF!</v>
      </c>
      <c r="AG270" t="e">
        <f t="shared" si="193"/>
        <v>#REF!</v>
      </c>
      <c r="AH270" t="e">
        <f t="shared" si="193"/>
        <v>#REF!</v>
      </c>
      <c r="AI270" t="e">
        <f t="shared" si="204"/>
        <v>#REF!</v>
      </c>
      <c r="AJ270" t="e">
        <f t="shared" si="204"/>
        <v>#REF!</v>
      </c>
      <c r="AK270" t="e">
        <f t="shared" si="204"/>
        <v>#REF!</v>
      </c>
      <c r="AL270" t="e">
        <f t="shared" si="204"/>
        <v>#REF!</v>
      </c>
      <c r="AM270" t="e">
        <f t="shared" si="204"/>
        <v>#REF!</v>
      </c>
      <c r="AN270" t="e">
        <f t="shared" si="204"/>
        <v>#REF!</v>
      </c>
      <c r="AO270" t="e">
        <f t="shared" si="204"/>
        <v>#REF!</v>
      </c>
      <c r="AP270" t="e">
        <f t="shared" si="204"/>
        <v>#REF!</v>
      </c>
      <c r="AQ270" t="e">
        <f t="shared" si="204"/>
        <v>#REF!</v>
      </c>
      <c r="AR270" t="e">
        <f t="shared" si="202"/>
        <v>#REF!</v>
      </c>
      <c r="AS270" t="e">
        <f t="shared" si="202"/>
        <v>#REF!</v>
      </c>
      <c r="AT270" t="e">
        <f t="shared" si="202"/>
        <v>#REF!</v>
      </c>
      <c r="AU270" t="e">
        <f t="shared" si="202"/>
        <v>#REF!</v>
      </c>
      <c r="AV270" t="e">
        <f t="shared" si="202"/>
        <v>#REF!</v>
      </c>
      <c r="AW270" t="e">
        <f t="shared" si="202"/>
        <v>#REF!</v>
      </c>
      <c r="AX270" t="e">
        <f t="shared" si="202"/>
        <v>#REF!</v>
      </c>
      <c r="AY270" t="e">
        <f t="shared" si="202"/>
        <v>#REF!</v>
      </c>
      <c r="AZ270" t="e">
        <f t="shared" si="202"/>
        <v>#REF!</v>
      </c>
      <c r="BA270" t="e">
        <f t="shared" si="202"/>
        <v>#REF!</v>
      </c>
      <c r="BB270" t="e">
        <f t="shared" si="196"/>
        <v>#REF!</v>
      </c>
      <c r="BC270" t="e">
        <f t="shared" si="196"/>
        <v>#REF!</v>
      </c>
      <c r="BD270" t="e">
        <f t="shared" si="196"/>
        <v>#REF!</v>
      </c>
      <c r="BE270" t="e">
        <f t="shared" si="196"/>
        <v>#REF!</v>
      </c>
      <c r="BF270" t="e">
        <f t="shared" si="196"/>
        <v>#REF!</v>
      </c>
      <c r="BG270" t="e">
        <f t="shared" si="196"/>
        <v>#REF!</v>
      </c>
      <c r="BH270" t="e">
        <f t="shared" si="196"/>
        <v>#REF!</v>
      </c>
      <c r="BI270" t="e">
        <f t="shared" si="196"/>
        <v>#REF!</v>
      </c>
      <c r="BJ270" t="e">
        <f t="shared" si="197"/>
        <v>#REF!</v>
      </c>
      <c r="BK270" t="e">
        <f t="shared" si="197"/>
        <v>#REF!</v>
      </c>
      <c r="BL270" t="e">
        <f t="shared" si="197"/>
        <v>#REF!</v>
      </c>
      <c r="BM270" t="e">
        <f t="shared" si="197"/>
        <v>#REF!</v>
      </c>
      <c r="BN270" t="e">
        <f t="shared" si="197"/>
        <v>#REF!</v>
      </c>
      <c r="BO270" t="e">
        <f t="shared" si="197"/>
        <v>#REF!</v>
      </c>
      <c r="BP270" t="e">
        <f t="shared" si="197"/>
        <v>#REF!</v>
      </c>
      <c r="BQ270" t="e">
        <f t="shared" si="197"/>
        <v>#REF!</v>
      </c>
      <c r="BR270" t="e">
        <f t="shared" si="197"/>
        <v>#REF!</v>
      </c>
      <c r="BS270" t="e">
        <f t="shared" si="197"/>
        <v>#REF!</v>
      </c>
      <c r="BT270" t="e">
        <f t="shared" si="199"/>
        <v>#REF!</v>
      </c>
      <c r="BU270" t="e">
        <f t="shared" si="199"/>
        <v>#REF!</v>
      </c>
      <c r="BV270" t="e">
        <f t="shared" si="199"/>
        <v>#REF!</v>
      </c>
      <c r="BW270" t="e">
        <f t="shared" si="199"/>
        <v>#REF!</v>
      </c>
      <c r="BX270" t="e">
        <f t="shared" si="199"/>
        <v>#REF!</v>
      </c>
      <c r="BY270" t="e">
        <f t="shared" si="199"/>
        <v>#REF!</v>
      </c>
      <c r="BZ270" t="e">
        <f t="shared" si="199"/>
        <v>#REF!</v>
      </c>
      <c r="CA270" t="e">
        <f t="shared" si="199"/>
        <v>#REF!</v>
      </c>
      <c r="CB270" t="e">
        <f t="shared" si="199"/>
        <v>#REF!</v>
      </c>
      <c r="CC270" t="e">
        <f t="shared" si="199"/>
        <v>#REF!</v>
      </c>
      <c r="CD270" t="e">
        <f t="shared" si="199"/>
        <v>#REF!</v>
      </c>
      <c r="CE270" t="e">
        <f t="shared" si="199"/>
        <v>#REF!</v>
      </c>
      <c r="CF270" t="e">
        <f t="shared" si="199"/>
        <v>#REF!</v>
      </c>
      <c r="CG270" t="e">
        <f t="shared" si="199"/>
        <v>#REF!</v>
      </c>
      <c r="CH270" t="e">
        <f t="shared" si="199"/>
        <v>#REF!</v>
      </c>
      <c r="CI270" t="e">
        <f t="shared" si="212"/>
        <v>#REF!</v>
      </c>
      <c r="CJ270" t="e">
        <f t="shared" si="212"/>
        <v>#REF!</v>
      </c>
      <c r="CK270" t="e">
        <f t="shared" si="212"/>
        <v>#REF!</v>
      </c>
      <c r="CL270" t="e">
        <f t="shared" si="212"/>
        <v>#REF!</v>
      </c>
      <c r="CM270" t="e">
        <f t="shared" si="212"/>
        <v>#REF!</v>
      </c>
      <c r="CN270" t="e">
        <f t="shared" si="212"/>
        <v>#REF!</v>
      </c>
      <c r="CO270" t="e">
        <f t="shared" si="212"/>
        <v>#REF!</v>
      </c>
      <c r="CP270" t="e">
        <f t="shared" si="212"/>
        <v>#REF!</v>
      </c>
      <c r="CQ270" t="e">
        <f t="shared" si="212"/>
        <v>#REF!</v>
      </c>
      <c r="CR270" t="e">
        <f t="shared" si="212"/>
        <v>#REF!</v>
      </c>
      <c r="CS270" t="e">
        <f t="shared" si="212"/>
        <v>#REF!</v>
      </c>
      <c r="CT270" t="e">
        <f t="shared" si="212"/>
        <v>#REF!</v>
      </c>
      <c r="CU270" t="e">
        <f t="shared" si="212"/>
        <v>#REF!</v>
      </c>
      <c r="CV270" t="e">
        <f t="shared" si="212"/>
        <v>#REF!</v>
      </c>
      <c r="CW270" t="e">
        <f t="shared" si="213"/>
        <v>#REF!</v>
      </c>
      <c r="CX270" t="e">
        <f t="shared" si="213"/>
        <v>#REF!</v>
      </c>
      <c r="CY270" t="e">
        <f t="shared" si="213"/>
        <v>#REF!</v>
      </c>
      <c r="CZ270" t="e">
        <f t="shared" si="213"/>
        <v>#REF!</v>
      </c>
      <c r="DA270" t="e">
        <f t="shared" si="213"/>
        <v>#REF!</v>
      </c>
      <c r="DB270" t="e">
        <f t="shared" si="213"/>
        <v>#REF!</v>
      </c>
      <c r="DC270" t="e">
        <f t="shared" si="213"/>
        <v>#REF!</v>
      </c>
      <c r="DD270" t="e">
        <f t="shared" si="213"/>
        <v>#REF!</v>
      </c>
      <c r="DE270" t="e">
        <f t="shared" si="213"/>
        <v>#REF!</v>
      </c>
      <c r="DF270" t="e">
        <f t="shared" si="213"/>
        <v>#REF!</v>
      </c>
      <c r="DG270" t="e">
        <f t="shared" si="213"/>
        <v>#REF!</v>
      </c>
      <c r="DH270" t="e">
        <f t="shared" si="213"/>
        <v>#REF!</v>
      </c>
      <c r="DI270" t="e">
        <f t="shared" si="213"/>
        <v>#REF!</v>
      </c>
      <c r="DJ270" t="e">
        <f t="shared" si="208"/>
        <v>#REF!</v>
      </c>
      <c r="DK270" t="e">
        <f t="shared" si="208"/>
        <v>#REF!</v>
      </c>
      <c r="DL270" t="e">
        <f t="shared" si="208"/>
        <v>#REF!</v>
      </c>
      <c r="DM270" t="e">
        <f t="shared" si="208"/>
        <v>#REF!</v>
      </c>
      <c r="DN270" t="e">
        <f t="shared" si="208"/>
        <v>#REF!</v>
      </c>
      <c r="DO270" t="e">
        <f t="shared" si="208"/>
        <v>#REF!</v>
      </c>
      <c r="DP270" t="e">
        <f t="shared" si="208"/>
        <v>#REF!</v>
      </c>
      <c r="DQ270" t="e">
        <f t="shared" si="208"/>
        <v>#REF!</v>
      </c>
      <c r="DR270" t="e">
        <f t="shared" si="208"/>
        <v>#REF!</v>
      </c>
      <c r="DS270" t="e">
        <f t="shared" si="208"/>
        <v>#REF!</v>
      </c>
      <c r="DT270" t="e">
        <f t="shared" si="208"/>
        <v>#REF!</v>
      </c>
      <c r="DU270" t="e">
        <f t="shared" si="208"/>
        <v>#REF!</v>
      </c>
      <c r="DV270" t="e">
        <f t="shared" si="208"/>
        <v>#REF!</v>
      </c>
      <c r="DW270" t="e">
        <f t="shared" si="209"/>
        <v>#REF!</v>
      </c>
      <c r="DX270" t="e">
        <f t="shared" si="209"/>
        <v>#REF!</v>
      </c>
      <c r="DY270" t="e">
        <f t="shared" si="209"/>
        <v>#REF!</v>
      </c>
      <c r="DZ270" t="e">
        <f t="shared" si="209"/>
        <v>#REF!</v>
      </c>
      <c r="EA270" t="e">
        <f t="shared" si="209"/>
        <v>#REF!</v>
      </c>
      <c r="EB270" t="e">
        <f t="shared" si="209"/>
        <v>#REF!</v>
      </c>
      <c r="EC270" t="e">
        <f t="shared" si="209"/>
        <v>#REF!</v>
      </c>
      <c r="ED270" t="e">
        <f t="shared" si="209"/>
        <v>#REF!</v>
      </c>
      <c r="EE270" t="e">
        <f t="shared" si="209"/>
        <v>#REF!</v>
      </c>
      <c r="EF270" t="e">
        <f t="shared" si="209"/>
        <v>#REF!</v>
      </c>
      <c r="EG270" t="e">
        <f t="shared" si="209"/>
        <v>#REF!</v>
      </c>
      <c r="EH270" t="e">
        <f t="shared" si="209"/>
        <v>#REF!</v>
      </c>
      <c r="EI270" t="e">
        <f t="shared" si="209"/>
        <v>#REF!</v>
      </c>
      <c r="EJ270" t="e">
        <f t="shared" si="209"/>
        <v>#REF!</v>
      </c>
      <c r="EK270" t="e">
        <f t="shared" si="209"/>
        <v>#REF!</v>
      </c>
      <c r="EL270" t="e">
        <f t="shared" si="209"/>
        <v>#REF!</v>
      </c>
      <c r="EM270" t="e">
        <f t="shared" si="205"/>
        <v>#REF!</v>
      </c>
    </row>
    <row r="271" spans="1:143" x14ac:dyDescent="0.4">
      <c r="A271" t="str">
        <f t="shared" si="206"/>
        <v>X</v>
      </c>
      <c r="B271">
        <v>268</v>
      </c>
      <c r="C271" t="e" cm="1">
        <f t="array" ref="C271">INDEX(auto_Series_Code,B271)</f>
        <v>#REF!</v>
      </c>
      <c r="D271" t="e">
        <f t="shared" si="210"/>
        <v>#REF!</v>
      </c>
      <c r="E271" t="e">
        <f t="shared" si="210"/>
        <v>#REF!</v>
      </c>
      <c r="F271" t="e">
        <f t="shared" si="210"/>
        <v>#REF!</v>
      </c>
      <c r="G271" t="e">
        <f t="shared" si="210"/>
        <v>#REF!</v>
      </c>
      <c r="H271" t="e">
        <f t="shared" si="210"/>
        <v>#REF!</v>
      </c>
      <c r="I271" t="e">
        <f t="shared" si="210"/>
        <v>#REF!</v>
      </c>
      <c r="J271" t="e">
        <f t="shared" si="210"/>
        <v>#REF!</v>
      </c>
      <c r="K271" t="e">
        <f t="shared" si="210"/>
        <v>#REF!</v>
      </c>
      <c r="L271" t="e">
        <f t="shared" si="210"/>
        <v>#REF!</v>
      </c>
      <c r="M271" t="e">
        <f t="shared" si="210"/>
        <v>#REF!</v>
      </c>
      <c r="N271" t="e">
        <f t="shared" si="210"/>
        <v>#REF!</v>
      </c>
      <c r="O271" t="e">
        <f t="shared" si="210"/>
        <v>#REF!</v>
      </c>
      <c r="P271" t="e">
        <f t="shared" si="210"/>
        <v>#REF!</v>
      </c>
      <c r="Q271" t="e">
        <f t="shared" si="210"/>
        <v>#REF!</v>
      </c>
      <c r="R271" t="e">
        <f t="shared" si="210"/>
        <v>#REF!</v>
      </c>
      <c r="S271" t="e">
        <f t="shared" si="210"/>
        <v>#REF!</v>
      </c>
      <c r="T271" t="e">
        <f t="shared" si="207"/>
        <v>#REF!</v>
      </c>
      <c r="U271" t="e">
        <f t="shared" si="207"/>
        <v>#REF!</v>
      </c>
      <c r="V271" t="e">
        <f t="shared" si="207"/>
        <v>#REF!</v>
      </c>
      <c r="W271" t="e">
        <f t="shared" si="207"/>
        <v>#REF!</v>
      </c>
      <c r="X271" t="e">
        <f t="shared" si="193"/>
        <v>#REF!</v>
      </c>
      <c r="Y271" t="e">
        <f t="shared" si="193"/>
        <v>#REF!</v>
      </c>
      <c r="Z271" t="e">
        <f t="shared" si="193"/>
        <v>#REF!</v>
      </c>
      <c r="AA271" t="e">
        <f t="shared" si="193"/>
        <v>#REF!</v>
      </c>
      <c r="AB271" t="e">
        <f t="shared" si="193"/>
        <v>#REF!</v>
      </c>
      <c r="AC271" t="e">
        <f t="shared" si="193"/>
        <v>#REF!</v>
      </c>
      <c r="AD271" t="e">
        <f t="shared" si="193"/>
        <v>#REF!</v>
      </c>
      <c r="AE271" t="e">
        <f t="shared" si="193"/>
        <v>#REF!</v>
      </c>
      <c r="AF271" t="e">
        <f t="shared" si="193"/>
        <v>#REF!</v>
      </c>
      <c r="AG271" t="e">
        <f t="shared" si="193"/>
        <v>#REF!</v>
      </c>
      <c r="AH271" t="e">
        <f t="shared" si="193"/>
        <v>#REF!</v>
      </c>
      <c r="AI271" t="e">
        <f t="shared" si="204"/>
        <v>#REF!</v>
      </c>
      <c r="AJ271" t="e">
        <f t="shared" si="204"/>
        <v>#REF!</v>
      </c>
      <c r="AK271" t="e">
        <f t="shared" si="204"/>
        <v>#REF!</v>
      </c>
      <c r="AL271" t="e">
        <f t="shared" si="204"/>
        <v>#REF!</v>
      </c>
      <c r="AM271" t="e">
        <f t="shared" si="204"/>
        <v>#REF!</v>
      </c>
      <c r="AN271" t="e">
        <f t="shared" si="204"/>
        <v>#REF!</v>
      </c>
      <c r="AO271" t="e">
        <f t="shared" si="204"/>
        <v>#REF!</v>
      </c>
      <c r="AP271" t="e">
        <f t="shared" si="204"/>
        <v>#REF!</v>
      </c>
      <c r="AQ271" t="e">
        <f t="shared" si="204"/>
        <v>#REF!</v>
      </c>
      <c r="AR271" t="e">
        <f t="shared" si="202"/>
        <v>#REF!</v>
      </c>
      <c r="AS271" t="e">
        <f t="shared" si="202"/>
        <v>#REF!</v>
      </c>
      <c r="AT271" t="e">
        <f t="shared" si="202"/>
        <v>#REF!</v>
      </c>
      <c r="AU271" t="e">
        <f t="shared" si="202"/>
        <v>#REF!</v>
      </c>
      <c r="AV271" t="e">
        <f t="shared" si="202"/>
        <v>#REF!</v>
      </c>
      <c r="AW271" t="e">
        <f t="shared" si="202"/>
        <v>#REF!</v>
      </c>
      <c r="AX271" t="e">
        <f t="shared" si="202"/>
        <v>#REF!</v>
      </c>
      <c r="AY271" t="e">
        <f t="shared" si="202"/>
        <v>#REF!</v>
      </c>
      <c r="AZ271" t="e">
        <f t="shared" si="202"/>
        <v>#REF!</v>
      </c>
      <c r="BA271" t="e">
        <f t="shared" si="202"/>
        <v>#REF!</v>
      </c>
      <c r="BB271" t="e">
        <f t="shared" si="196"/>
        <v>#REF!</v>
      </c>
      <c r="BC271" t="e">
        <f t="shared" si="196"/>
        <v>#REF!</v>
      </c>
      <c r="BD271" t="e">
        <f t="shared" si="196"/>
        <v>#REF!</v>
      </c>
      <c r="BE271" t="e">
        <f t="shared" si="196"/>
        <v>#REF!</v>
      </c>
      <c r="BF271" t="e">
        <f t="shared" si="196"/>
        <v>#REF!</v>
      </c>
      <c r="BG271" t="e">
        <f t="shared" si="196"/>
        <v>#REF!</v>
      </c>
      <c r="BH271" t="e">
        <f t="shared" si="196"/>
        <v>#REF!</v>
      </c>
      <c r="BI271" t="e">
        <f t="shared" si="196"/>
        <v>#REF!</v>
      </c>
      <c r="BJ271" t="e">
        <f t="shared" si="197"/>
        <v>#REF!</v>
      </c>
      <c r="BK271" t="e">
        <f t="shared" si="197"/>
        <v>#REF!</v>
      </c>
      <c r="BL271" t="e">
        <f t="shared" si="197"/>
        <v>#REF!</v>
      </c>
      <c r="BM271" t="e">
        <f t="shared" si="197"/>
        <v>#REF!</v>
      </c>
      <c r="BN271" t="e">
        <f t="shared" si="197"/>
        <v>#REF!</v>
      </c>
      <c r="BO271" t="e">
        <f t="shared" si="197"/>
        <v>#REF!</v>
      </c>
      <c r="BP271" t="e">
        <f t="shared" si="197"/>
        <v>#REF!</v>
      </c>
      <c r="BQ271" t="e">
        <f t="shared" si="197"/>
        <v>#REF!</v>
      </c>
      <c r="BR271" t="e">
        <f t="shared" si="197"/>
        <v>#REF!</v>
      </c>
      <c r="BS271" t="e">
        <f t="shared" si="197"/>
        <v>#REF!</v>
      </c>
      <c r="BT271" t="e">
        <f t="shared" si="199"/>
        <v>#REF!</v>
      </c>
      <c r="BU271" t="e">
        <f t="shared" si="199"/>
        <v>#REF!</v>
      </c>
      <c r="BV271" t="e">
        <f t="shared" si="199"/>
        <v>#REF!</v>
      </c>
      <c r="BW271" t="e">
        <f t="shared" si="199"/>
        <v>#REF!</v>
      </c>
      <c r="BX271" t="e">
        <f t="shared" si="199"/>
        <v>#REF!</v>
      </c>
      <c r="BY271" t="e">
        <f t="shared" si="199"/>
        <v>#REF!</v>
      </c>
      <c r="BZ271" t="e">
        <f t="shared" si="199"/>
        <v>#REF!</v>
      </c>
      <c r="CA271" t="e">
        <f t="shared" si="199"/>
        <v>#REF!</v>
      </c>
      <c r="CB271" t="e">
        <f t="shared" si="199"/>
        <v>#REF!</v>
      </c>
      <c r="CC271" t="e">
        <f t="shared" si="199"/>
        <v>#REF!</v>
      </c>
      <c r="CD271" t="e">
        <f t="shared" si="199"/>
        <v>#REF!</v>
      </c>
      <c r="CE271" t="e">
        <f t="shared" si="199"/>
        <v>#REF!</v>
      </c>
      <c r="CF271" t="e">
        <f t="shared" si="199"/>
        <v>#REF!</v>
      </c>
      <c r="CG271" t="e">
        <f t="shared" si="199"/>
        <v>#REF!</v>
      </c>
      <c r="CH271" t="e">
        <f t="shared" si="199"/>
        <v>#REF!</v>
      </c>
      <c r="CI271" t="e">
        <f t="shared" si="212"/>
        <v>#REF!</v>
      </c>
      <c r="CJ271" t="e">
        <f t="shared" si="212"/>
        <v>#REF!</v>
      </c>
      <c r="CK271" t="e">
        <f t="shared" si="212"/>
        <v>#REF!</v>
      </c>
      <c r="CL271" t="e">
        <f t="shared" si="212"/>
        <v>#REF!</v>
      </c>
      <c r="CM271" t="e">
        <f t="shared" si="212"/>
        <v>#REF!</v>
      </c>
      <c r="CN271" t="e">
        <f t="shared" si="212"/>
        <v>#REF!</v>
      </c>
      <c r="CO271" t="e">
        <f t="shared" si="212"/>
        <v>#REF!</v>
      </c>
      <c r="CP271" t="e">
        <f t="shared" si="212"/>
        <v>#REF!</v>
      </c>
      <c r="CQ271" t="e">
        <f t="shared" si="212"/>
        <v>#REF!</v>
      </c>
      <c r="CR271" t="e">
        <f t="shared" si="212"/>
        <v>#REF!</v>
      </c>
      <c r="CS271" t="e">
        <f t="shared" si="212"/>
        <v>#REF!</v>
      </c>
      <c r="CT271" t="e">
        <f t="shared" si="212"/>
        <v>#REF!</v>
      </c>
      <c r="CU271" t="e">
        <f t="shared" si="212"/>
        <v>#REF!</v>
      </c>
      <c r="CV271" t="e">
        <f t="shared" si="212"/>
        <v>#REF!</v>
      </c>
      <c r="CW271" t="e">
        <f t="shared" si="213"/>
        <v>#REF!</v>
      </c>
      <c r="CX271" t="e">
        <f t="shared" si="213"/>
        <v>#REF!</v>
      </c>
      <c r="CY271" t="e">
        <f t="shared" si="213"/>
        <v>#REF!</v>
      </c>
      <c r="CZ271" t="e">
        <f t="shared" si="213"/>
        <v>#REF!</v>
      </c>
      <c r="DA271" t="e">
        <f t="shared" si="213"/>
        <v>#REF!</v>
      </c>
      <c r="DB271" t="e">
        <f t="shared" si="213"/>
        <v>#REF!</v>
      </c>
      <c r="DC271" t="e">
        <f t="shared" si="213"/>
        <v>#REF!</v>
      </c>
      <c r="DD271" t="e">
        <f t="shared" si="213"/>
        <v>#REF!</v>
      </c>
      <c r="DE271" t="e">
        <f t="shared" si="213"/>
        <v>#REF!</v>
      </c>
      <c r="DF271" t="e">
        <f t="shared" si="213"/>
        <v>#REF!</v>
      </c>
      <c r="DG271" t="e">
        <f t="shared" si="213"/>
        <v>#REF!</v>
      </c>
      <c r="DH271" t="e">
        <f t="shared" si="213"/>
        <v>#REF!</v>
      </c>
      <c r="DI271" t="e">
        <f t="shared" si="213"/>
        <v>#REF!</v>
      </c>
      <c r="DJ271" t="e">
        <f t="shared" si="208"/>
        <v>#REF!</v>
      </c>
      <c r="DK271" t="e">
        <f t="shared" si="208"/>
        <v>#REF!</v>
      </c>
      <c r="DL271" t="e">
        <f t="shared" si="208"/>
        <v>#REF!</v>
      </c>
      <c r="DM271" t="e">
        <f t="shared" si="208"/>
        <v>#REF!</v>
      </c>
      <c r="DN271" t="e">
        <f t="shared" si="208"/>
        <v>#REF!</v>
      </c>
      <c r="DO271" t="e">
        <f t="shared" si="208"/>
        <v>#REF!</v>
      </c>
      <c r="DP271" t="e">
        <f t="shared" si="208"/>
        <v>#REF!</v>
      </c>
      <c r="DQ271" t="e">
        <f t="shared" si="208"/>
        <v>#REF!</v>
      </c>
      <c r="DR271" t="e">
        <f t="shared" si="208"/>
        <v>#REF!</v>
      </c>
      <c r="DS271" t="e">
        <f t="shared" si="208"/>
        <v>#REF!</v>
      </c>
      <c r="DT271" t="e">
        <f t="shared" si="208"/>
        <v>#REF!</v>
      </c>
      <c r="DU271" t="e">
        <f t="shared" si="208"/>
        <v>#REF!</v>
      </c>
      <c r="DV271" t="e">
        <f t="shared" si="208"/>
        <v>#REF!</v>
      </c>
      <c r="DW271" t="e">
        <f t="shared" si="209"/>
        <v>#REF!</v>
      </c>
      <c r="DX271" t="e">
        <f t="shared" si="209"/>
        <v>#REF!</v>
      </c>
      <c r="DY271" t="e">
        <f t="shared" si="209"/>
        <v>#REF!</v>
      </c>
      <c r="DZ271" t="e">
        <f t="shared" si="209"/>
        <v>#REF!</v>
      </c>
      <c r="EA271" t="e">
        <f t="shared" si="209"/>
        <v>#REF!</v>
      </c>
      <c r="EB271" t="e">
        <f t="shared" si="209"/>
        <v>#REF!</v>
      </c>
      <c r="EC271" t="e">
        <f t="shared" si="209"/>
        <v>#REF!</v>
      </c>
      <c r="ED271" t="e">
        <f t="shared" si="209"/>
        <v>#REF!</v>
      </c>
      <c r="EE271" t="e">
        <f t="shared" si="209"/>
        <v>#REF!</v>
      </c>
      <c r="EF271" t="e">
        <f t="shared" si="209"/>
        <v>#REF!</v>
      </c>
      <c r="EG271" t="e">
        <f t="shared" si="209"/>
        <v>#REF!</v>
      </c>
      <c r="EH271" t="e">
        <f t="shared" si="209"/>
        <v>#REF!</v>
      </c>
      <c r="EI271" t="e">
        <f t="shared" si="209"/>
        <v>#REF!</v>
      </c>
      <c r="EJ271" t="e">
        <f t="shared" si="209"/>
        <v>#REF!</v>
      </c>
      <c r="EK271" t="e">
        <f t="shared" si="209"/>
        <v>#REF!</v>
      </c>
      <c r="EL271" t="e">
        <f t="shared" si="209"/>
        <v>#REF!</v>
      </c>
      <c r="EM271" t="e">
        <f t="shared" si="205"/>
        <v>#REF!</v>
      </c>
    </row>
    <row r="272" spans="1:143" x14ac:dyDescent="0.4">
      <c r="A272" t="str">
        <f t="shared" si="206"/>
        <v>X</v>
      </c>
      <c r="B272">
        <v>269</v>
      </c>
      <c r="C272" t="e" cm="1">
        <f t="array" ref="C272">INDEX(auto_Series_Code,B272)</f>
        <v>#REF!</v>
      </c>
      <c r="D272" t="e">
        <f t="shared" si="210"/>
        <v>#REF!</v>
      </c>
      <c r="E272" t="e">
        <f t="shared" si="210"/>
        <v>#REF!</v>
      </c>
      <c r="F272" t="e">
        <f t="shared" si="210"/>
        <v>#REF!</v>
      </c>
      <c r="G272" t="e">
        <f t="shared" si="210"/>
        <v>#REF!</v>
      </c>
      <c r="H272" t="e">
        <f t="shared" si="210"/>
        <v>#REF!</v>
      </c>
      <c r="I272" t="e">
        <f t="shared" si="210"/>
        <v>#REF!</v>
      </c>
      <c r="J272" t="e">
        <f t="shared" si="210"/>
        <v>#REF!</v>
      </c>
      <c r="K272" t="e">
        <f t="shared" si="210"/>
        <v>#REF!</v>
      </c>
      <c r="L272" t="e">
        <f t="shared" si="210"/>
        <v>#REF!</v>
      </c>
      <c r="M272" t="e">
        <f t="shared" si="210"/>
        <v>#REF!</v>
      </c>
      <c r="N272" t="e">
        <f t="shared" si="210"/>
        <v>#REF!</v>
      </c>
      <c r="O272" t="e">
        <f t="shared" si="210"/>
        <v>#REF!</v>
      </c>
      <c r="P272" t="e">
        <f t="shared" si="210"/>
        <v>#REF!</v>
      </c>
      <c r="Q272" t="e">
        <f t="shared" si="210"/>
        <v>#REF!</v>
      </c>
      <c r="R272" t="e">
        <f t="shared" si="210"/>
        <v>#REF!</v>
      </c>
      <c r="S272" t="e">
        <f t="shared" si="210"/>
        <v>#REF!</v>
      </c>
      <c r="T272" t="e">
        <f t="shared" si="207"/>
        <v>#REF!</v>
      </c>
      <c r="U272" t="e">
        <f t="shared" si="207"/>
        <v>#REF!</v>
      </c>
      <c r="V272" t="e">
        <f t="shared" si="207"/>
        <v>#REF!</v>
      </c>
      <c r="W272" t="e">
        <f t="shared" si="207"/>
        <v>#REF!</v>
      </c>
      <c r="X272" t="e">
        <f t="shared" si="193"/>
        <v>#REF!</v>
      </c>
      <c r="Y272" t="e">
        <f t="shared" si="193"/>
        <v>#REF!</v>
      </c>
      <c r="Z272" t="e">
        <f t="shared" si="193"/>
        <v>#REF!</v>
      </c>
      <c r="AA272" t="e">
        <f t="shared" si="193"/>
        <v>#REF!</v>
      </c>
      <c r="AB272" t="e">
        <f t="shared" si="193"/>
        <v>#REF!</v>
      </c>
      <c r="AC272" t="e">
        <f t="shared" si="193"/>
        <v>#REF!</v>
      </c>
      <c r="AD272" t="e">
        <f t="shared" si="193"/>
        <v>#REF!</v>
      </c>
      <c r="AE272" t="e">
        <f t="shared" si="193"/>
        <v>#REF!</v>
      </c>
      <c r="AF272" t="e">
        <f t="shared" si="193"/>
        <v>#REF!</v>
      </c>
      <c r="AG272" t="e">
        <f t="shared" si="193"/>
        <v>#REF!</v>
      </c>
      <c r="AH272" t="e">
        <f t="shared" si="193"/>
        <v>#REF!</v>
      </c>
      <c r="AI272" t="e">
        <f t="shared" si="204"/>
        <v>#REF!</v>
      </c>
      <c r="AJ272" t="e">
        <f t="shared" si="204"/>
        <v>#REF!</v>
      </c>
      <c r="AK272" t="e">
        <f t="shared" si="204"/>
        <v>#REF!</v>
      </c>
      <c r="AL272" t="e">
        <f t="shared" si="204"/>
        <v>#REF!</v>
      </c>
      <c r="AM272" t="e">
        <f t="shared" si="204"/>
        <v>#REF!</v>
      </c>
      <c r="AN272" t="e">
        <f t="shared" si="204"/>
        <v>#REF!</v>
      </c>
      <c r="AO272" t="e">
        <f t="shared" si="204"/>
        <v>#REF!</v>
      </c>
      <c r="AP272" t="e">
        <f t="shared" si="204"/>
        <v>#REF!</v>
      </c>
      <c r="AQ272" t="e">
        <f t="shared" si="204"/>
        <v>#REF!</v>
      </c>
      <c r="AR272" t="e">
        <f t="shared" si="202"/>
        <v>#REF!</v>
      </c>
      <c r="AS272" t="e">
        <f t="shared" si="202"/>
        <v>#REF!</v>
      </c>
      <c r="AT272" t="e">
        <f t="shared" si="202"/>
        <v>#REF!</v>
      </c>
      <c r="AU272" t="e">
        <f t="shared" si="202"/>
        <v>#REF!</v>
      </c>
      <c r="AV272" t="e">
        <f t="shared" si="202"/>
        <v>#REF!</v>
      </c>
      <c r="AW272" t="e">
        <f t="shared" si="202"/>
        <v>#REF!</v>
      </c>
      <c r="AX272" t="e">
        <f t="shared" si="202"/>
        <v>#REF!</v>
      </c>
      <c r="AY272" t="e">
        <f t="shared" si="202"/>
        <v>#REF!</v>
      </c>
      <c r="AZ272" t="e">
        <f t="shared" si="202"/>
        <v>#REF!</v>
      </c>
      <c r="BA272" t="e">
        <f t="shared" si="202"/>
        <v>#REF!</v>
      </c>
      <c r="BB272" t="e">
        <f t="shared" si="196"/>
        <v>#REF!</v>
      </c>
      <c r="BC272" t="e">
        <f t="shared" si="196"/>
        <v>#REF!</v>
      </c>
      <c r="BD272" t="e">
        <f t="shared" si="196"/>
        <v>#REF!</v>
      </c>
      <c r="BE272" t="e">
        <f t="shared" si="196"/>
        <v>#REF!</v>
      </c>
      <c r="BF272" t="e">
        <f t="shared" si="196"/>
        <v>#REF!</v>
      </c>
      <c r="BG272" t="e">
        <f t="shared" si="196"/>
        <v>#REF!</v>
      </c>
      <c r="BH272" t="e">
        <f t="shared" si="196"/>
        <v>#REF!</v>
      </c>
      <c r="BI272" t="e">
        <f t="shared" ref="BI272:BK272" si="214">MATCH(CONCATENATE(BI$3,"_",$C272),auto_DataFlat_UID,0)</f>
        <v>#REF!</v>
      </c>
      <c r="BJ272" t="e">
        <f t="shared" si="214"/>
        <v>#REF!</v>
      </c>
      <c r="BK272" t="e">
        <f t="shared" si="214"/>
        <v>#REF!</v>
      </c>
      <c r="BL272" t="e">
        <f t="shared" si="197"/>
        <v>#REF!</v>
      </c>
      <c r="BM272" t="e">
        <f t="shared" si="197"/>
        <v>#REF!</v>
      </c>
      <c r="BN272" t="e">
        <f t="shared" si="197"/>
        <v>#REF!</v>
      </c>
      <c r="BO272" t="e">
        <f t="shared" si="197"/>
        <v>#REF!</v>
      </c>
      <c r="BP272" t="e">
        <f t="shared" si="197"/>
        <v>#REF!</v>
      </c>
      <c r="BQ272" t="e">
        <f t="shared" si="197"/>
        <v>#REF!</v>
      </c>
      <c r="BR272" t="e">
        <f t="shared" si="197"/>
        <v>#REF!</v>
      </c>
      <c r="BS272" t="e">
        <f t="shared" si="197"/>
        <v>#REF!</v>
      </c>
      <c r="BT272" t="e">
        <f t="shared" si="199"/>
        <v>#REF!</v>
      </c>
      <c r="BU272" t="e">
        <f t="shared" si="199"/>
        <v>#REF!</v>
      </c>
      <c r="BV272" t="e">
        <f t="shared" si="199"/>
        <v>#REF!</v>
      </c>
      <c r="BW272" t="e">
        <f t="shared" si="199"/>
        <v>#REF!</v>
      </c>
      <c r="BX272" t="e">
        <f t="shared" si="199"/>
        <v>#REF!</v>
      </c>
      <c r="BY272" t="e">
        <f t="shared" si="199"/>
        <v>#REF!</v>
      </c>
      <c r="BZ272" t="e">
        <f t="shared" si="199"/>
        <v>#REF!</v>
      </c>
      <c r="CA272" t="e">
        <f t="shared" si="199"/>
        <v>#REF!</v>
      </c>
      <c r="CB272" t="e">
        <f t="shared" si="199"/>
        <v>#REF!</v>
      </c>
      <c r="CC272" t="e">
        <f t="shared" si="199"/>
        <v>#REF!</v>
      </c>
      <c r="CD272" t="e">
        <f t="shared" si="199"/>
        <v>#REF!</v>
      </c>
      <c r="CE272" t="e">
        <f t="shared" si="199"/>
        <v>#REF!</v>
      </c>
      <c r="CF272" t="e">
        <f t="shared" si="199"/>
        <v>#REF!</v>
      </c>
      <c r="CG272" t="e">
        <f t="shared" si="199"/>
        <v>#REF!</v>
      </c>
      <c r="CH272" t="e">
        <f t="shared" si="199"/>
        <v>#REF!</v>
      </c>
      <c r="CI272" t="e">
        <f t="shared" si="212"/>
        <v>#REF!</v>
      </c>
      <c r="CJ272" t="e">
        <f t="shared" si="212"/>
        <v>#REF!</v>
      </c>
      <c r="CK272" t="e">
        <f t="shared" si="212"/>
        <v>#REF!</v>
      </c>
      <c r="CL272" t="e">
        <f t="shared" si="212"/>
        <v>#REF!</v>
      </c>
      <c r="CM272" t="e">
        <f t="shared" si="212"/>
        <v>#REF!</v>
      </c>
      <c r="CN272" t="e">
        <f t="shared" si="212"/>
        <v>#REF!</v>
      </c>
      <c r="CO272" t="e">
        <f t="shared" si="212"/>
        <v>#REF!</v>
      </c>
      <c r="CP272" t="e">
        <f t="shared" si="212"/>
        <v>#REF!</v>
      </c>
      <c r="CQ272" t="e">
        <f t="shared" si="212"/>
        <v>#REF!</v>
      </c>
      <c r="CR272" t="e">
        <f t="shared" si="212"/>
        <v>#REF!</v>
      </c>
      <c r="CS272" t="e">
        <f t="shared" si="212"/>
        <v>#REF!</v>
      </c>
      <c r="CT272" t="e">
        <f t="shared" si="212"/>
        <v>#REF!</v>
      </c>
      <c r="CU272" t="e">
        <f t="shared" si="212"/>
        <v>#REF!</v>
      </c>
      <c r="CV272" t="e">
        <f t="shared" si="212"/>
        <v>#REF!</v>
      </c>
      <c r="CW272" t="e">
        <f t="shared" si="213"/>
        <v>#REF!</v>
      </c>
      <c r="CX272" t="e">
        <f t="shared" si="213"/>
        <v>#REF!</v>
      </c>
      <c r="CY272" t="e">
        <f t="shared" si="213"/>
        <v>#REF!</v>
      </c>
      <c r="CZ272" t="e">
        <f t="shared" si="213"/>
        <v>#REF!</v>
      </c>
      <c r="DA272" t="e">
        <f t="shared" si="213"/>
        <v>#REF!</v>
      </c>
      <c r="DB272" t="e">
        <f t="shared" si="213"/>
        <v>#REF!</v>
      </c>
      <c r="DC272" t="e">
        <f t="shared" si="213"/>
        <v>#REF!</v>
      </c>
      <c r="DD272" t="e">
        <f t="shared" si="213"/>
        <v>#REF!</v>
      </c>
      <c r="DE272" t="e">
        <f t="shared" si="213"/>
        <v>#REF!</v>
      </c>
      <c r="DF272" t="e">
        <f t="shared" si="213"/>
        <v>#REF!</v>
      </c>
      <c r="DG272" t="e">
        <f t="shared" si="213"/>
        <v>#REF!</v>
      </c>
      <c r="DH272" t="e">
        <f t="shared" si="213"/>
        <v>#REF!</v>
      </c>
      <c r="DI272" t="e">
        <f t="shared" si="213"/>
        <v>#REF!</v>
      </c>
      <c r="DJ272" t="e">
        <f t="shared" si="208"/>
        <v>#REF!</v>
      </c>
      <c r="DK272" t="e">
        <f t="shared" si="208"/>
        <v>#REF!</v>
      </c>
      <c r="DL272" t="e">
        <f t="shared" si="208"/>
        <v>#REF!</v>
      </c>
      <c r="DM272" t="e">
        <f t="shared" si="208"/>
        <v>#REF!</v>
      </c>
      <c r="DN272" t="e">
        <f t="shared" si="208"/>
        <v>#REF!</v>
      </c>
      <c r="DO272" t="e">
        <f t="shared" si="208"/>
        <v>#REF!</v>
      </c>
      <c r="DP272" t="e">
        <f t="shared" si="208"/>
        <v>#REF!</v>
      </c>
      <c r="DQ272" t="e">
        <f t="shared" si="208"/>
        <v>#REF!</v>
      </c>
      <c r="DR272" t="e">
        <f t="shared" si="208"/>
        <v>#REF!</v>
      </c>
      <c r="DS272" t="e">
        <f t="shared" si="208"/>
        <v>#REF!</v>
      </c>
      <c r="DT272" t="e">
        <f t="shared" si="208"/>
        <v>#REF!</v>
      </c>
      <c r="DU272" t="e">
        <f t="shared" si="208"/>
        <v>#REF!</v>
      </c>
      <c r="DV272" t="e">
        <f t="shared" si="208"/>
        <v>#REF!</v>
      </c>
      <c r="DW272" t="e">
        <f t="shared" si="209"/>
        <v>#REF!</v>
      </c>
      <c r="DX272" t="e">
        <f t="shared" si="209"/>
        <v>#REF!</v>
      </c>
      <c r="DY272" t="e">
        <f t="shared" si="209"/>
        <v>#REF!</v>
      </c>
      <c r="DZ272" t="e">
        <f t="shared" si="209"/>
        <v>#REF!</v>
      </c>
      <c r="EA272" t="e">
        <f t="shared" si="209"/>
        <v>#REF!</v>
      </c>
      <c r="EB272" t="e">
        <f t="shared" si="209"/>
        <v>#REF!</v>
      </c>
      <c r="EC272" t="e">
        <f t="shared" si="209"/>
        <v>#REF!</v>
      </c>
      <c r="ED272" t="e">
        <f t="shared" si="209"/>
        <v>#REF!</v>
      </c>
      <c r="EE272" t="e">
        <f t="shared" si="209"/>
        <v>#REF!</v>
      </c>
      <c r="EF272" t="e">
        <f t="shared" si="209"/>
        <v>#REF!</v>
      </c>
      <c r="EG272" t="e">
        <f t="shared" si="209"/>
        <v>#REF!</v>
      </c>
      <c r="EH272" t="e">
        <f t="shared" si="209"/>
        <v>#REF!</v>
      </c>
      <c r="EI272" t="e">
        <f t="shared" si="209"/>
        <v>#REF!</v>
      </c>
      <c r="EJ272" t="e">
        <f t="shared" si="209"/>
        <v>#REF!</v>
      </c>
      <c r="EK272" t="e">
        <f t="shared" si="209"/>
        <v>#REF!</v>
      </c>
      <c r="EL272" t="e">
        <f t="shared" si="209"/>
        <v>#REF!</v>
      </c>
      <c r="EM272" t="e">
        <f t="shared" si="205"/>
        <v>#REF!</v>
      </c>
    </row>
    <row r="273" spans="1:143" x14ac:dyDescent="0.4">
      <c r="A273" t="str">
        <f t="shared" si="206"/>
        <v>X</v>
      </c>
      <c r="B273">
        <v>270</v>
      </c>
      <c r="C273" t="e" cm="1">
        <f t="array" ref="C273">INDEX(auto_Series_Code,B273)</f>
        <v>#REF!</v>
      </c>
      <c r="D273" t="e">
        <f t="shared" si="210"/>
        <v>#REF!</v>
      </c>
      <c r="E273" t="e">
        <f t="shared" si="210"/>
        <v>#REF!</v>
      </c>
      <c r="F273" t="e">
        <f t="shared" si="210"/>
        <v>#REF!</v>
      </c>
      <c r="G273" t="e">
        <f t="shared" si="210"/>
        <v>#REF!</v>
      </c>
      <c r="H273" t="e">
        <f t="shared" si="210"/>
        <v>#REF!</v>
      </c>
      <c r="I273" t="e">
        <f t="shared" si="210"/>
        <v>#REF!</v>
      </c>
      <c r="J273" t="e">
        <f t="shared" si="210"/>
        <v>#REF!</v>
      </c>
      <c r="K273" t="e">
        <f t="shared" si="210"/>
        <v>#REF!</v>
      </c>
      <c r="L273" t="e">
        <f t="shared" si="210"/>
        <v>#REF!</v>
      </c>
      <c r="M273" t="e">
        <f t="shared" si="210"/>
        <v>#REF!</v>
      </c>
      <c r="N273" t="e">
        <f t="shared" si="210"/>
        <v>#REF!</v>
      </c>
      <c r="O273" t="e">
        <f t="shared" si="210"/>
        <v>#REF!</v>
      </c>
      <c r="P273" t="e">
        <f t="shared" si="210"/>
        <v>#REF!</v>
      </c>
      <c r="Q273" t="e">
        <f t="shared" si="210"/>
        <v>#REF!</v>
      </c>
      <c r="R273" t="e">
        <f t="shared" si="210"/>
        <v>#REF!</v>
      </c>
      <c r="S273" t="e">
        <f t="shared" si="210"/>
        <v>#REF!</v>
      </c>
      <c r="T273" t="e">
        <f t="shared" si="207"/>
        <v>#REF!</v>
      </c>
      <c r="U273" t="e">
        <f t="shared" si="207"/>
        <v>#REF!</v>
      </c>
      <c r="V273" t="e">
        <f t="shared" si="207"/>
        <v>#REF!</v>
      </c>
      <c r="W273" t="e">
        <f t="shared" si="207"/>
        <v>#REF!</v>
      </c>
      <c r="X273" t="e">
        <f t="shared" si="193"/>
        <v>#REF!</v>
      </c>
      <c r="Y273" t="e">
        <f t="shared" si="193"/>
        <v>#REF!</v>
      </c>
      <c r="Z273" t="e">
        <f t="shared" si="193"/>
        <v>#REF!</v>
      </c>
      <c r="AA273" t="e">
        <f t="shared" si="193"/>
        <v>#REF!</v>
      </c>
      <c r="AB273" t="e">
        <f t="shared" si="193"/>
        <v>#REF!</v>
      </c>
      <c r="AC273" t="e">
        <f t="shared" si="193"/>
        <v>#REF!</v>
      </c>
      <c r="AD273" t="e">
        <f t="shared" si="193"/>
        <v>#REF!</v>
      </c>
      <c r="AE273" t="e">
        <f t="shared" si="193"/>
        <v>#REF!</v>
      </c>
      <c r="AF273" t="e">
        <f t="shared" si="193"/>
        <v>#REF!</v>
      </c>
      <c r="AG273" t="e">
        <f t="shared" si="193"/>
        <v>#REF!</v>
      </c>
      <c r="AH273" t="e">
        <f t="shared" si="193"/>
        <v>#REF!</v>
      </c>
      <c r="AI273" t="e">
        <f t="shared" si="204"/>
        <v>#REF!</v>
      </c>
      <c r="AJ273" t="e">
        <f t="shared" si="204"/>
        <v>#REF!</v>
      </c>
      <c r="AK273" t="e">
        <f t="shared" si="204"/>
        <v>#REF!</v>
      </c>
      <c r="AL273" t="e">
        <f t="shared" si="204"/>
        <v>#REF!</v>
      </c>
      <c r="AM273" t="e">
        <f t="shared" si="204"/>
        <v>#REF!</v>
      </c>
      <c r="AN273" t="e">
        <f t="shared" si="204"/>
        <v>#REF!</v>
      </c>
      <c r="AO273" t="e">
        <f t="shared" si="204"/>
        <v>#REF!</v>
      </c>
      <c r="AP273" t="e">
        <f t="shared" si="204"/>
        <v>#REF!</v>
      </c>
      <c r="AQ273" t="e">
        <f t="shared" si="204"/>
        <v>#REF!</v>
      </c>
      <c r="AR273" t="e">
        <f t="shared" si="202"/>
        <v>#REF!</v>
      </c>
      <c r="AS273" t="e">
        <f t="shared" si="202"/>
        <v>#REF!</v>
      </c>
      <c r="AT273" t="e">
        <f t="shared" si="202"/>
        <v>#REF!</v>
      </c>
      <c r="AU273" t="e">
        <f t="shared" si="202"/>
        <v>#REF!</v>
      </c>
      <c r="AV273" t="e">
        <f t="shared" si="202"/>
        <v>#REF!</v>
      </c>
      <c r="AW273" t="e">
        <f t="shared" si="202"/>
        <v>#REF!</v>
      </c>
      <c r="AX273" t="e">
        <f t="shared" si="202"/>
        <v>#REF!</v>
      </c>
      <c r="AY273" t="e">
        <f t="shared" si="202"/>
        <v>#REF!</v>
      </c>
      <c r="AZ273" t="e">
        <f t="shared" si="202"/>
        <v>#REF!</v>
      </c>
      <c r="BA273" t="e">
        <f t="shared" si="202"/>
        <v>#REF!</v>
      </c>
      <c r="BB273" t="e">
        <f t="shared" si="202"/>
        <v>#REF!</v>
      </c>
      <c r="BC273" t="e">
        <f t="shared" si="202"/>
        <v>#REF!</v>
      </c>
      <c r="BD273" t="e">
        <f t="shared" si="202"/>
        <v>#REF!</v>
      </c>
      <c r="BE273" t="e">
        <f t="shared" si="202"/>
        <v>#REF!</v>
      </c>
      <c r="BF273" t="e">
        <f t="shared" si="202"/>
        <v>#REF!</v>
      </c>
      <c r="BG273" t="e">
        <f t="shared" ref="BG273:BK280" si="215">MATCH(CONCATENATE(BG$3,"_",$C273),auto_DataFlat_UID,0)</f>
        <v>#REF!</v>
      </c>
      <c r="BH273" t="e">
        <f t="shared" si="215"/>
        <v>#REF!</v>
      </c>
      <c r="BI273" t="e">
        <f t="shared" si="215"/>
        <v>#REF!</v>
      </c>
      <c r="BJ273" t="e">
        <f t="shared" si="215"/>
        <v>#REF!</v>
      </c>
      <c r="BK273" t="e">
        <f t="shared" si="215"/>
        <v>#REF!</v>
      </c>
      <c r="BL273" t="e">
        <f t="shared" si="197"/>
        <v>#REF!</v>
      </c>
      <c r="BM273" t="e">
        <f t="shared" si="197"/>
        <v>#REF!</v>
      </c>
      <c r="BN273" t="e">
        <f t="shared" si="197"/>
        <v>#REF!</v>
      </c>
      <c r="BO273" t="e">
        <f t="shared" si="197"/>
        <v>#REF!</v>
      </c>
      <c r="BP273" t="e">
        <f t="shared" si="197"/>
        <v>#REF!</v>
      </c>
      <c r="BQ273" t="e">
        <f t="shared" si="197"/>
        <v>#REF!</v>
      </c>
      <c r="BR273" t="e">
        <f t="shared" si="197"/>
        <v>#REF!</v>
      </c>
      <c r="BS273" t="e">
        <f t="shared" si="197"/>
        <v>#REF!</v>
      </c>
      <c r="BT273" t="e">
        <f t="shared" si="199"/>
        <v>#REF!</v>
      </c>
      <c r="BU273" t="e">
        <f t="shared" si="199"/>
        <v>#REF!</v>
      </c>
      <c r="BV273" t="e">
        <f t="shared" si="199"/>
        <v>#REF!</v>
      </c>
      <c r="BW273" t="e">
        <f t="shared" si="199"/>
        <v>#REF!</v>
      </c>
      <c r="BX273" t="e">
        <f t="shared" si="199"/>
        <v>#REF!</v>
      </c>
      <c r="BY273" t="e">
        <f t="shared" si="199"/>
        <v>#REF!</v>
      </c>
      <c r="BZ273" t="e">
        <f t="shared" si="199"/>
        <v>#REF!</v>
      </c>
      <c r="CA273" t="e">
        <f t="shared" si="199"/>
        <v>#REF!</v>
      </c>
      <c r="CB273" t="e">
        <f t="shared" si="199"/>
        <v>#REF!</v>
      </c>
      <c r="CC273" t="e">
        <f t="shared" si="199"/>
        <v>#REF!</v>
      </c>
      <c r="CD273" t="e">
        <f t="shared" si="199"/>
        <v>#REF!</v>
      </c>
      <c r="CE273" t="e">
        <f t="shared" si="199"/>
        <v>#REF!</v>
      </c>
      <c r="CF273" t="e">
        <f t="shared" si="199"/>
        <v>#REF!</v>
      </c>
      <c r="CG273" t="e">
        <f t="shared" si="199"/>
        <v>#REF!</v>
      </c>
      <c r="CH273" t="e">
        <f t="shared" si="199"/>
        <v>#REF!</v>
      </c>
      <c r="CI273" t="e">
        <f t="shared" si="212"/>
        <v>#REF!</v>
      </c>
      <c r="CJ273" t="e">
        <f t="shared" si="212"/>
        <v>#REF!</v>
      </c>
      <c r="CK273" t="e">
        <f t="shared" si="212"/>
        <v>#REF!</v>
      </c>
      <c r="CL273" t="e">
        <f t="shared" si="212"/>
        <v>#REF!</v>
      </c>
      <c r="CM273" t="e">
        <f t="shared" si="212"/>
        <v>#REF!</v>
      </c>
      <c r="CN273" t="e">
        <f t="shared" si="212"/>
        <v>#REF!</v>
      </c>
      <c r="CO273" t="e">
        <f t="shared" si="212"/>
        <v>#REF!</v>
      </c>
      <c r="CP273" t="e">
        <f t="shared" si="212"/>
        <v>#REF!</v>
      </c>
      <c r="CQ273" t="e">
        <f t="shared" si="212"/>
        <v>#REF!</v>
      </c>
      <c r="CR273" t="e">
        <f t="shared" si="212"/>
        <v>#REF!</v>
      </c>
      <c r="CS273" t="e">
        <f t="shared" si="212"/>
        <v>#REF!</v>
      </c>
      <c r="CT273" t="e">
        <f t="shared" si="212"/>
        <v>#REF!</v>
      </c>
      <c r="CU273" t="e">
        <f t="shared" si="212"/>
        <v>#REF!</v>
      </c>
      <c r="CV273" t="e">
        <f t="shared" si="212"/>
        <v>#REF!</v>
      </c>
      <c r="CW273" t="e">
        <f t="shared" si="213"/>
        <v>#REF!</v>
      </c>
      <c r="CX273" t="e">
        <f t="shared" si="213"/>
        <v>#REF!</v>
      </c>
      <c r="CY273" t="e">
        <f t="shared" si="213"/>
        <v>#REF!</v>
      </c>
      <c r="CZ273" t="e">
        <f t="shared" si="213"/>
        <v>#REF!</v>
      </c>
      <c r="DA273" t="e">
        <f t="shared" si="213"/>
        <v>#REF!</v>
      </c>
      <c r="DB273" t="e">
        <f t="shared" si="213"/>
        <v>#REF!</v>
      </c>
      <c r="DC273" t="e">
        <f t="shared" si="213"/>
        <v>#REF!</v>
      </c>
      <c r="DD273" t="e">
        <f t="shared" si="213"/>
        <v>#REF!</v>
      </c>
      <c r="DE273" t="e">
        <f t="shared" si="213"/>
        <v>#REF!</v>
      </c>
      <c r="DF273" t="e">
        <f t="shared" si="213"/>
        <v>#REF!</v>
      </c>
      <c r="DG273" t="e">
        <f t="shared" si="213"/>
        <v>#REF!</v>
      </c>
      <c r="DH273" t="e">
        <f t="shared" si="213"/>
        <v>#REF!</v>
      </c>
      <c r="DI273" t="e">
        <f t="shared" si="213"/>
        <v>#REF!</v>
      </c>
      <c r="DJ273" t="e">
        <f t="shared" si="208"/>
        <v>#REF!</v>
      </c>
      <c r="DK273" t="e">
        <f t="shared" si="208"/>
        <v>#REF!</v>
      </c>
      <c r="DL273" t="e">
        <f t="shared" si="208"/>
        <v>#REF!</v>
      </c>
      <c r="DM273" t="e">
        <f t="shared" si="208"/>
        <v>#REF!</v>
      </c>
      <c r="DN273" t="e">
        <f t="shared" si="208"/>
        <v>#REF!</v>
      </c>
      <c r="DO273" t="e">
        <f t="shared" si="208"/>
        <v>#REF!</v>
      </c>
      <c r="DP273" t="e">
        <f t="shared" si="208"/>
        <v>#REF!</v>
      </c>
      <c r="DQ273" t="e">
        <f t="shared" si="208"/>
        <v>#REF!</v>
      </c>
      <c r="DR273" t="e">
        <f t="shared" si="208"/>
        <v>#REF!</v>
      </c>
      <c r="DS273" t="e">
        <f t="shared" si="208"/>
        <v>#REF!</v>
      </c>
      <c r="DT273" t="e">
        <f t="shared" si="208"/>
        <v>#REF!</v>
      </c>
      <c r="DU273" t="e">
        <f t="shared" si="208"/>
        <v>#REF!</v>
      </c>
      <c r="DV273" t="e">
        <f t="shared" si="208"/>
        <v>#REF!</v>
      </c>
      <c r="DW273" t="e">
        <f t="shared" si="209"/>
        <v>#REF!</v>
      </c>
      <c r="DX273" t="e">
        <f t="shared" si="209"/>
        <v>#REF!</v>
      </c>
      <c r="DY273" t="e">
        <f t="shared" si="209"/>
        <v>#REF!</v>
      </c>
      <c r="DZ273" t="e">
        <f t="shared" si="209"/>
        <v>#REF!</v>
      </c>
      <c r="EA273" t="e">
        <f t="shared" si="209"/>
        <v>#REF!</v>
      </c>
      <c r="EB273" t="e">
        <f t="shared" si="209"/>
        <v>#REF!</v>
      </c>
      <c r="EC273" t="e">
        <f t="shared" si="209"/>
        <v>#REF!</v>
      </c>
      <c r="ED273" t="e">
        <f t="shared" si="209"/>
        <v>#REF!</v>
      </c>
      <c r="EE273" t="e">
        <f t="shared" si="209"/>
        <v>#REF!</v>
      </c>
      <c r="EF273" t="e">
        <f t="shared" si="209"/>
        <v>#REF!</v>
      </c>
      <c r="EG273" t="e">
        <f t="shared" si="209"/>
        <v>#REF!</v>
      </c>
      <c r="EH273" t="e">
        <f t="shared" si="209"/>
        <v>#REF!</v>
      </c>
      <c r="EI273" t="e">
        <f t="shared" si="209"/>
        <v>#REF!</v>
      </c>
      <c r="EJ273" t="e">
        <f t="shared" si="209"/>
        <v>#REF!</v>
      </c>
      <c r="EK273" t="e">
        <f t="shared" si="209"/>
        <v>#REF!</v>
      </c>
      <c r="EL273" t="e">
        <f t="shared" si="209"/>
        <v>#REF!</v>
      </c>
      <c r="EM273" t="e">
        <f t="shared" si="205"/>
        <v>#REF!</v>
      </c>
    </row>
    <row r="274" spans="1:143" x14ac:dyDescent="0.4">
      <c r="A274" t="str">
        <f t="shared" si="206"/>
        <v>X</v>
      </c>
      <c r="B274">
        <v>271</v>
      </c>
      <c r="C274" t="e" cm="1">
        <f t="array" ref="C274">INDEX(auto_Series_Code,B274)</f>
        <v>#REF!</v>
      </c>
      <c r="D274" t="e">
        <f t="shared" si="210"/>
        <v>#REF!</v>
      </c>
      <c r="E274" t="e">
        <f t="shared" si="210"/>
        <v>#REF!</v>
      </c>
      <c r="F274" t="e">
        <f t="shared" si="210"/>
        <v>#REF!</v>
      </c>
      <c r="G274" t="e">
        <f t="shared" si="210"/>
        <v>#REF!</v>
      </c>
      <c r="H274" t="e">
        <f t="shared" si="210"/>
        <v>#REF!</v>
      </c>
      <c r="I274" t="e">
        <f t="shared" si="210"/>
        <v>#REF!</v>
      </c>
      <c r="J274" t="e">
        <f t="shared" si="210"/>
        <v>#REF!</v>
      </c>
      <c r="K274" t="e">
        <f t="shared" si="210"/>
        <v>#REF!</v>
      </c>
      <c r="L274" t="e">
        <f t="shared" si="210"/>
        <v>#REF!</v>
      </c>
      <c r="M274" t="e">
        <f t="shared" si="210"/>
        <v>#REF!</v>
      </c>
      <c r="N274" t="e">
        <f t="shared" si="210"/>
        <v>#REF!</v>
      </c>
      <c r="O274" t="e">
        <f t="shared" si="210"/>
        <v>#REF!</v>
      </c>
      <c r="P274" t="e">
        <f t="shared" si="210"/>
        <v>#REF!</v>
      </c>
      <c r="Q274" t="e">
        <f t="shared" si="210"/>
        <v>#REF!</v>
      </c>
      <c r="R274" t="e">
        <f t="shared" si="210"/>
        <v>#REF!</v>
      </c>
      <c r="S274" t="e">
        <f t="shared" si="210"/>
        <v>#REF!</v>
      </c>
      <c r="T274" t="e">
        <f t="shared" si="207"/>
        <v>#REF!</v>
      </c>
      <c r="U274" t="e">
        <f t="shared" si="207"/>
        <v>#REF!</v>
      </c>
      <c r="V274" t="e">
        <f t="shared" si="207"/>
        <v>#REF!</v>
      </c>
      <c r="W274" t="e">
        <f t="shared" si="207"/>
        <v>#REF!</v>
      </c>
      <c r="X274" t="e">
        <f t="shared" si="193"/>
        <v>#REF!</v>
      </c>
      <c r="Y274" t="e">
        <f t="shared" si="193"/>
        <v>#REF!</v>
      </c>
      <c r="Z274" t="e">
        <f t="shared" si="193"/>
        <v>#REF!</v>
      </c>
      <c r="AA274" t="e">
        <f t="shared" si="193"/>
        <v>#REF!</v>
      </c>
      <c r="AB274" t="e">
        <f t="shared" si="193"/>
        <v>#REF!</v>
      </c>
      <c r="AC274" t="e">
        <f t="shared" si="193"/>
        <v>#REF!</v>
      </c>
      <c r="AD274" t="e">
        <f t="shared" si="193"/>
        <v>#REF!</v>
      </c>
      <c r="AE274" t="e">
        <f t="shared" si="193"/>
        <v>#REF!</v>
      </c>
      <c r="AF274" t="e">
        <f t="shared" si="193"/>
        <v>#REF!</v>
      </c>
      <c r="AG274" t="e">
        <f t="shared" si="193"/>
        <v>#REF!</v>
      </c>
      <c r="AH274" t="e">
        <f t="shared" si="193"/>
        <v>#REF!</v>
      </c>
      <c r="AI274" t="e">
        <f t="shared" si="204"/>
        <v>#REF!</v>
      </c>
      <c r="AJ274" t="e">
        <f t="shared" si="204"/>
        <v>#REF!</v>
      </c>
      <c r="AK274" t="e">
        <f t="shared" si="204"/>
        <v>#REF!</v>
      </c>
      <c r="AL274" t="e">
        <f t="shared" si="204"/>
        <v>#REF!</v>
      </c>
      <c r="AM274" t="e">
        <f t="shared" si="204"/>
        <v>#REF!</v>
      </c>
      <c r="AN274" t="e">
        <f t="shared" si="204"/>
        <v>#REF!</v>
      </c>
      <c r="AO274" t="e">
        <f t="shared" si="204"/>
        <v>#REF!</v>
      </c>
      <c r="AP274" t="e">
        <f t="shared" si="204"/>
        <v>#REF!</v>
      </c>
      <c r="AQ274" t="e">
        <f t="shared" si="204"/>
        <v>#REF!</v>
      </c>
      <c r="AR274" t="e">
        <f t="shared" si="202"/>
        <v>#REF!</v>
      </c>
      <c r="AS274" t="e">
        <f t="shared" si="202"/>
        <v>#REF!</v>
      </c>
      <c r="AT274" t="e">
        <f t="shared" si="202"/>
        <v>#REF!</v>
      </c>
      <c r="AU274" t="e">
        <f t="shared" si="202"/>
        <v>#REF!</v>
      </c>
      <c r="AV274" t="e">
        <f t="shared" si="202"/>
        <v>#REF!</v>
      </c>
      <c r="AW274" t="e">
        <f t="shared" si="202"/>
        <v>#REF!</v>
      </c>
      <c r="AX274" t="e">
        <f t="shared" si="202"/>
        <v>#REF!</v>
      </c>
      <c r="AY274" t="e">
        <f t="shared" si="202"/>
        <v>#REF!</v>
      </c>
      <c r="AZ274" t="e">
        <f t="shared" si="202"/>
        <v>#REF!</v>
      </c>
      <c r="BA274" t="e">
        <f t="shared" si="202"/>
        <v>#REF!</v>
      </c>
      <c r="BB274" t="e">
        <f t="shared" si="202"/>
        <v>#REF!</v>
      </c>
      <c r="BC274" t="e">
        <f t="shared" si="202"/>
        <v>#REF!</v>
      </c>
      <c r="BD274" t="e">
        <f t="shared" si="202"/>
        <v>#REF!</v>
      </c>
      <c r="BE274" t="e">
        <f t="shared" si="202"/>
        <v>#REF!</v>
      </c>
      <c r="BF274" t="e">
        <f t="shared" si="202"/>
        <v>#REF!</v>
      </c>
      <c r="BG274" t="e">
        <f t="shared" si="215"/>
        <v>#REF!</v>
      </c>
      <c r="BH274" t="e">
        <f t="shared" si="215"/>
        <v>#REF!</v>
      </c>
      <c r="BI274" t="e">
        <f t="shared" si="215"/>
        <v>#REF!</v>
      </c>
      <c r="BJ274" t="e">
        <f t="shared" si="215"/>
        <v>#REF!</v>
      </c>
      <c r="BK274" t="e">
        <f t="shared" si="215"/>
        <v>#REF!</v>
      </c>
      <c r="BL274" t="e">
        <f t="shared" si="197"/>
        <v>#REF!</v>
      </c>
      <c r="BM274" t="e">
        <f t="shared" si="197"/>
        <v>#REF!</v>
      </c>
      <c r="BN274" t="e">
        <f t="shared" si="197"/>
        <v>#REF!</v>
      </c>
      <c r="BO274" t="e">
        <f t="shared" si="197"/>
        <v>#REF!</v>
      </c>
      <c r="BP274" t="e">
        <f t="shared" si="197"/>
        <v>#REF!</v>
      </c>
      <c r="BQ274" t="e">
        <f t="shared" si="197"/>
        <v>#REF!</v>
      </c>
      <c r="BR274" t="e">
        <f t="shared" si="197"/>
        <v>#REF!</v>
      </c>
      <c r="BS274" t="e">
        <f t="shared" si="197"/>
        <v>#REF!</v>
      </c>
      <c r="BT274" t="e">
        <f t="shared" si="199"/>
        <v>#REF!</v>
      </c>
      <c r="BU274" t="e">
        <f t="shared" si="199"/>
        <v>#REF!</v>
      </c>
      <c r="BV274" t="e">
        <f t="shared" si="199"/>
        <v>#REF!</v>
      </c>
      <c r="BW274" t="e">
        <f t="shared" si="199"/>
        <v>#REF!</v>
      </c>
      <c r="BX274" t="e">
        <f t="shared" si="199"/>
        <v>#REF!</v>
      </c>
      <c r="BY274" t="e">
        <f t="shared" si="199"/>
        <v>#REF!</v>
      </c>
      <c r="BZ274" t="e">
        <f t="shared" si="199"/>
        <v>#REF!</v>
      </c>
      <c r="CA274" t="e">
        <f t="shared" si="199"/>
        <v>#REF!</v>
      </c>
      <c r="CB274" t="e">
        <f t="shared" si="199"/>
        <v>#REF!</v>
      </c>
      <c r="CC274" t="e">
        <f t="shared" si="199"/>
        <v>#REF!</v>
      </c>
      <c r="CD274" t="e">
        <f t="shared" si="199"/>
        <v>#REF!</v>
      </c>
      <c r="CE274" t="e">
        <f t="shared" si="199"/>
        <v>#REF!</v>
      </c>
      <c r="CF274" t="e">
        <f t="shared" si="199"/>
        <v>#REF!</v>
      </c>
      <c r="CG274" t="e">
        <f t="shared" si="199"/>
        <v>#REF!</v>
      </c>
      <c r="CH274" t="e">
        <f t="shared" si="199"/>
        <v>#REF!</v>
      </c>
      <c r="CI274" t="e">
        <f t="shared" si="212"/>
        <v>#REF!</v>
      </c>
      <c r="CJ274" t="e">
        <f t="shared" si="212"/>
        <v>#REF!</v>
      </c>
      <c r="CK274" t="e">
        <f t="shared" si="212"/>
        <v>#REF!</v>
      </c>
      <c r="CL274" t="e">
        <f t="shared" si="212"/>
        <v>#REF!</v>
      </c>
      <c r="CM274" t="e">
        <f t="shared" si="212"/>
        <v>#REF!</v>
      </c>
      <c r="CN274" t="e">
        <f t="shared" si="212"/>
        <v>#REF!</v>
      </c>
      <c r="CO274" t="e">
        <f t="shared" si="212"/>
        <v>#REF!</v>
      </c>
      <c r="CP274" t="e">
        <f t="shared" si="212"/>
        <v>#REF!</v>
      </c>
      <c r="CQ274" t="e">
        <f t="shared" si="212"/>
        <v>#REF!</v>
      </c>
      <c r="CR274" t="e">
        <f t="shared" si="212"/>
        <v>#REF!</v>
      </c>
      <c r="CS274" t="e">
        <f t="shared" si="212"/>
        <v>#REF!</v>
      </c>
      <c r="CT274" t="e">
        <f t="shared" si="212"/>
        <v>#REF!</v>
      </c>
      <c r="CU274" t="e">
        <f t="shared" si="212"/>
        <v>#REF!</v>
      </c>
      <c r="CV274" t="e">
        <f t="shared" si="212"/>
        <v>#REF!</v>
      </c>
      <c r="CW274" t="e">
        <f t="shared" si="213"/>
        <v>#REF!</v>
      </c>
      <c r="CX274" t="e">
        <f t="shared" si="213"/>
        <v>#REF!</v>
      </c>
      <c r="CY274" t="e">
        <f t="shared" si="213"/>
        <v>#REF!</v>
      </c>
      <c r="CZ274" t="e">
        <f t="shared" si="213"/>
        <v>#REF!</v>
      </c>
      <c r="DA274" t="e">
        <f t="shared" si="213"/>
        <v>#REF!</v>
      </c>
      <c r="DB274" t="e">
        <f t="shared" si="213"/>
        <v>#REF!</v>
      </c>
      <c r="DC274" t="e">
        <f t="shared" si="213"/>
        <v>#REF!</v>
      </c>
      <c r="DD274" t="e">
        <f t="shared" si="213"/>
        <v>#REF!</v>
      </c>
      <c r="DE274" t="e">
        <f t="shared" si="213"/>
        <v>#REF!</v>
      </c>
      <c r="DF274" t="e">
        <f t="shared" si="213"/>
        <v>#REF!</v>
      </c>
      <c r="DG274" t="e">
        <f t="shared" si="213"/>
        <v>#REF!</v>
      </c>
      <c r="DH274" t="e">
        <f t="shared" si="213"/>
        <v>#REF!</v>
      </c>
      <c r="DI274" t="e">
        <f t="shared" si="213"/>
        <v>#REF!</v>
      </c>
      <c r="DJ274" t="e">
        <f t="shared" si="208"/>
        <v>#REF!</v>
      </c>
      <c r="DK274" t="e">
        <f t="shared" si="208"/>
        <v>#REF!</v>
      </c>
      <c r="DL274" t="e">
        <f t="shared" si="208"/>
        <v>#REF!</v>
      </c>
      <c r="DM274" t="e">
        <f t="shared" si="208"/>
        <v>#REF!</v>
      </c>
      <c r="DN274" t="e">
        <f t="shared" si="208"/>
        <v>#REF!</v>
      </c>
      <c r="DO274" t="e">
        <f t="shared" si="208"/>
        <v>#REF!</v>
      </c>
      <c r="DP274" t="e">
        <f t="shared" si="208"/>
        <v>#REF!</v>
      </c>
      <c r="DQ274" t="e">
        <f t="shared" si="208"/>
        <v>#REF!</v>
      </c>
      <c r="DR274" t="e">
        <f t="shared" si="208"/>
        <v>#REF!</v>
      </c>
      <c r="DS274" t="e">
        <f t="shared" si="208"/>
        <v>#REF!</v>
      </c>
      <c r="DT274" t="e">
        <f t="shared" si="208"/>
        <v>#REF!</v>
      </c>
      <c r="DU274" t="e">
        <f t="shared" si="208"/>
        <v>#REF!</v>
      </c>
      <c r="DV274" t="e">
        <f t="shared" si="208"/>
        <v>#REF!</v>
      </c>
      <c r="DW274" t="e">
        <f t="shared" si="209"/>
        <v>#REF!</v>
      </c>
      <c r="DX274" t="e">
        <f t="shared" si="209"/>
        <v>#REF!</v>
      </c>
      <c r="DY274" t="e">
        <f t="shared" si="209"/>
        <v>#REF!</v>
      </c>
      <c r="DZ274" t="e">
        <f t="shared" si="209"/>
        <v>#REF!</v>
      </c>
      <c r="EA274" t="e">
        <f t="shared" si="209"/>
        <v>#REF!</v>
      </c>
      <c r="EB274" t="e">
        <f t="shared" si="209"/>
        <v>#REF!</v>
      </c>
      <c r="EC274" t="e">
        <f t="shared" si="209"/>
        <v>#REF!</v>
      </c>
      <c r="ED274" t="e">
        <f t="shared" si="209"/>
        <v>#REF!</v>
      </c>
      <c r="EE274" t="e">
        <f t="shared" si="209"/>
        <v>#REF!</v>
      </c>
      <c r="EF274" t="e">
        <f t="shared" si="209"/>
        <v>#REF!</v>
      </c>
      <c r="EG274" t="e">
        <f t="shared" si="209"/>
        <v>#REF!</v>
      </c>
      <c r="EH274" t="e">
        <f t="shared" si="209"/>
        <v>#REF!</v>
      </c>
      <c r="EI274" t="e">
        <f t="shared" si="209"/>
        <v>#REF!</v>
      </c>
      <c r="EJ274" t="e">
        <f t="shared" si="209"/>
        <v>#REF!</v>
      </c>
      <c r="EK274" t="e">
        <f t="shared" si="209"/>
        <v>#REF!</v>
      </c>
      <c r="EL274" t="e">
        <f t="shared" si="209"/>
        <v>#REF!</v>
      </c>
      <c r="EM274" t="e">
        <f t="shared" si="205"/>
        <v>#REF!</v>
      </c>
    </row>
    <row r="275" spans="1:143" x14ac:dyDescent="0.4">
      <c r="A275" t="str">
        <f t="shared" si="206"/>
        <v>X</v>
      </c>
      <c r="B275">
        <v>272</v>
      </c>
      <c r="C275" t="e" cm="1">
        <f t="array" ref="C275">INDEX(auto_Series_Code,B275)</f>
        <v>#REF!</v>
      </c>
      <c r="D275" t="e">
        <f t="shared" si="210"/>
        <v>#REF!</v>
      </c>
      <c r="E275" t="e">
        <f t="shared" si="210"/>
        <v>#REF!</v>
      </c>
      <c r="F275" t="e">
        <f t="shared" si="210"/>
        <v>#REF!</v>
      </c>
      <c r="G275" t="e">
        <f t="shared" si="210"/>
        <v>#REF!</v>
      </c>
      <c r="H275" t="e">
        <f t="shared" si="210"/>
        <v>#REF!</v>
      </c>
      <c r="I275" t="e">
        <f t="shared" si="210"/>
        <v>#REF!</v>
      </c>
      <c r="J275" t="e">
        <f t="shared" si="210"/>
        <v>#REF!</v>
      </c>
      <c r="K275" t="e">
        <f t="shared" si="210"/>
        <v>#REF!</v>
      </c>
      <c r="L275" t="e">
        <f t="shared" si="210"/>
        <v>#REF!</v>
      </c>
      <c r="M275" t="e">
        <f t="shared" si="210"/>
        <v>#REF!</v>
      </c>
      <c r="N275" t="e">
        <f t="shared" si="210"/>
        <v>#REF!</v>
      </c>
      <c r="O275" t="e">
        <f t="shared" si="210"/>
        <v>#REF!</v>
      </c>
      <c r="P275" t="e">
        <f t="shared" si="210"/>
        <v>#REF!</v>
      </c>
      <c r="Q275" t="e">
        <f t="shared" si="210"/>
        <v>#REF!</v>
      </c>
      <c r="R275" t="e">
        <f t="shared" si="210"/>
        <v>#REF!</v>
      </c>
      <c r="S275" t="e">
        <f t="shared" si="210"/>
        <v>#REF!</v>
      </c>
      <c r="T275" t="e">
        <f t="shared" si="207"/>
        <v>#REF!</v>
      </c>
      <c r="U275" t="e">
        <f t="shared" si="207"/>
        <v>#REF!</v>
      </c>
      <c r="V275" t="e">
        <f t="shared" si="207"/>
        <v>#REF!</v>
      </c>
      <c r="W275" t="e">
        <f t="shared" si="207"/>
        <v>#REF!</v>
      </c>
      <c r="X275" t="e">
        <f t="shared" si="193"/>
        <v>#REF!</v>
      </c>
      <c r="Y275" t="e">
        <f t="shared" si="193"/>
        <v>#REF!</v>
      </c>
      <c r="Z275" t="e">
        <f t="shared" si="193"/>
        <v>#REF!</v>
      </c>
      <c r="AA275" t="e">
        <f t="shared" si="193"/>
        <v>#REF!</v>
      </c>
      <c r="AB275" t="e">
        <f t="shared" si="193"/>
        <v>#REF!</v>
      </c>
      <c r="AC275" t="e">
        <f t="shared" si="193"/>
        <v>#REF!</v>
      </c>
      <c r="AD275" t="e">
        <f t="shared" si="193"/>
        <v>#REF!</v>
      </c>
      <c r="AE275" t="e">
        <f t="shared" si="193"/>
        <v>#REF!</v>
      </c>
      <c r="AF275" t="e">
        <f t="shared" si="193"/>
        <v>#REF!</v>
      </c>
      <c r="AG275" t="e">
        <f t="shared" si="193"/>
        <v>#REF!</v>
      </c>
      <c r="AH275" t="e">
        <f t="shared" si="193"/>
        <v>#REF!</v>
      </c>
      <c r="AI275" t="e">
        <f t="shared" si="204"/>
        <v>#REF!</v>
      </c>
      <c r="AJ275" t="e">
        <f t="shared" si="204"/>
        <v>#REF!</v>
      </c>
      <c r="AK275" t="e">
        <f t="shared" si="204"/>
        <v>#REF!</v>
      </c>
      <c r="AL275" t="e">
        <f t="shared" si="204"/>
        <v>#REF!</v>
      </c>
      <c r="AM275" t="e">
        <f t="shared" si="204"/>
        <v>#REF!</v>
      </c>
      <c r="AN275" t="e">
        <f t="shared" si="204"/>
        <v>#REF!</v>
      </c>
      <c r="AO275" t="e">
        <f t="shared" si="204"/>
        <v>#REF!</v>
      </c>
      <c r="AP275" t="e">
        <f t="shared" si="204"/>
        <v>#REF!</v>
      </c>
      <c r="AQ275" t="e">
        <f t="shared" si="204"/>
        <v>#REF!</v>
      </c>
      <c r="AR275" t="e">
        <f t="shared" si="202"/>
        <v>#REF!</v>
      </c>
      <c r="AS275" t="e">
        <f t="shared" si="202"/>
        <v>#REF!</v>
      </c>
      <c r="AT275" t="e">
        <f t="shared" si="202"/>
        <v>#REF!</v>
      </c>
      <c r="AU275" t="e">
        <f t="shared" si="202"/>
        <v>#REF!</v>
      </c>
      <c r="AV275" t="e">
        <f t="shared" si="202"/>
        <v>#REF!</v>
      </c>
      <c r="AW275" t="e">
        <f t="shared" si="202"/>
        <v>#REF!</v>
      </c>
      <c r="AX275" t="e">
        <f t="shared" si="202"/>
        <v>#REF!</v>
      </c>
      <c r="AY275" t="e">
        <f t="shared" si="202"/>
        <v>#REF!</v>
      </c>
      <c r="AZ275" t="e">
        <f t="shared" si="202"/>
        <v>#REF!</v>
      </c>
      <c r="BA275" t="e">
        <f t="shared" si="202"/>
        <v>#REF!</v>
      </c>
      <c r="BB275" t="e">
        <f t="shared" si="202"/>
        <v>#REF!</v>
      </c>
      <c r="BC275" t="e">
        <f t="shared" si="202"/>
        <v>#REF!</v>
      </c>
      <c r="BD275" t="e">
        <f t="shared" si="202"/>
        <v>#REF!</v>
      </c>
      <c r="BE275" t="e">
        <f t="shared" si="202"/>
        <v>#REF!</v>
      </c>
      <c r="BF275" t="e">
        <f t="shared" si="202"/>
        <v>#REF!</v>
      </c>
      <c r="BG275" t="e">
        <f t="shared" si="215"/>
        <v>#REF!</v>
      </c>
      <c r="BH275" t="e">
        <f t="shared" si="215"/>
        <v>#REF!</v>
      </c>
      <c r="BI275" t="e">
        <f t="shared" si="215"/>
        <v>#REF!</v>
      </c>
      <c r="BJ275" t="e">
        <f t="shared" si="215"/>
        <v>#REF!</v>
      </c>
      <c r="BK275" t="e">
        <f t="shared" si="215"/>
        <v>#REF!</v>
      </c>
      <c r="BL275" t="e">
        <f t="shared" si="197"/>
        <v>#REF!</v>
      </c>
      <c r="BM275" t="e">
        <f t="shared" si="197"/>
        <v>#REF!</v>
      </c>
      <c r="BN275" t="e">
        <f t="shared" si="197"/>
        <v>#REF!</v>
      </c>
      <c r="BO275" t="e">
        <f t="shared" si="197"/>
        <v>#REF!</v>
      </c>
      <c r="BP275" t="e">
        <f t="shared" si="197"/>
        <v>#REF!</v>
      </c>
      <c r="BQ275" t="e">
        <f t="shared" si="197"/>
        <v>#REF!</v>
      </c>
      <c r="BR275" t="e">
        <f t="shared" si="197"/>
        <v>#REF!</v>
      </c>
      <c r="BS275" t="e">
        <f t="shared" si="197"/>
        <v>#REF!</v>
      </c>
      <c r="BT275" t="e">
        <f t="shared" si="199"/>
        <v>#REF!</v>
      </c>
      <c r="BU275" t="e">
        <f t="shared" si="199"/>
        <v>#REF!</v>
      </c>
      <c r="BV275" t="e">
        <f t="shared" si="199"/>
        <v>#REF!</v>
      </c>
      <c r="BW275" t="e">
        <f t="shared" si="199"/>
        <v>#REF!</v>
      </c>
      <c r="BX275" t="e">
        <f t="shared" si="199"/>
        <v>#REF!</v>
      </c>
      <c r="BY275" t="e">
        <f t="shared" si="199"/>
        <v>#REF!</v>
      </c>
      <c r="BZ275" t="e">
        <f t="shared" si="199"/>
        <v>#REF!</v>
      </c>
      <c r="CA275" t="e">
        <f t="shared" si="199"/>
        <v>#REF!</v>
      </c>
      <c r="CB275" t="e">
        <f t="shared" si="199"/>
        <v>#REF!</v>
      </c>
      <c r="CC275" t="e">
        <f t="shared" si="199"/>
        <v>#REF!</v>
      </c>
      <c r="CD275" t="e">
        <f t="shared" si="199"/>
        <v>#REF!</v>
      </c>
      <c r="CE275" t="e">
        <f t="shared" si="199"/>
        <v>#REF!</v>
      </c>
      <c r="CF275" t="e">
        <f t="shared" si="199"/>
        <v>#REF!</v>
      </c>
      <c r="CG275" t="e">
        <f t="shared" si="199"/>
        <v>#REF!</v>
      </c>
      <c r="CH275" t="e">
        <f t="shared" si="199"/>
        <v>#REF!</v>
      </c>
      <c r="CI275" t="e">
        <f t="shared" si="212"/>
        <v>#REF!</v>
      </c>
      <c r="CJ275" t="e">
        <f t="shared" si="212"/>
        <v>#REF!</v>
      </c>
      <c r="CK275" t="e">
        <f t="shared" si="212"/>
        <v>#REF!</v>
      </c>
      <c r="CL275" t="e">
        <f t="shared" si="212"/>
        <v>#REF!</v>
      </c>
      <c r="CM275" t="e">
        <f t="shared" si="212"/>
        <v>#REF!</v>
      </c>
      <c r="CN275" t="e">
        <f t="shared" si="212"/>
        <v>#REF!</v>
      </c>
      <c r="CO275" t="e">
        <f t="shared" si="212"/>
        <v>#REF!</v>
      </c>
      <c r="CP275" t="e">
        <f t="shared" si="212"/>
        <v>#REF!</v>
      </c>
      <c r="CQ275" t="e">
        <f t="shared" si="212"/>
        <v>#REF!</v>
      </c>
      <c r="CR275" t="e">
        <f t="shared" si="212"/>
        <v>#REF!</v>
      </c>
      <c r="CS275" t="e">
        <f t="shared" si="212"/>
        <v>#REF!</v>
      </c>
      <c r="CT275" t="e">
        <f t="shared" si="212"/>
        <v>#REF!</v>
      </c>
      <c r="CU275" t="e">
        <f t="shared" si="212"/>
        <v>#REF!</v>
      </c>
      <c r="CV275" t="e">
        <f t="shared" si="212"/>
        <v>#REF!</v>
      </c>
      <c r="CW275" t="e">
        <f t="shared" si="213"/>
        <v>#REF!</v>
      </c>
      <c r="CX275" t="e">
        <f t="shared" si="213"/>
        <v>#REF!</v>
      </c>
      <c r="CY275" t="e">
        <f t="shared" si="213"/>
        <v>#REF!</v>
      </c>
      <c r="CZ275" t="e">
        <f t="shared" si="213"/>
        <v>#REF!</v>
      </c>
      <c r="DA275" t="e">
        <f t="shared" si="213"/>
        <v>#REF!</v>
      </c>
      <c r="DB275" t="e">
        <f t="shared" si="213"/>
        <v>#REF!</v>
      </c>
      <c r="DC275" t="e">
        <f t="shared" si="213"/>
        <v>#REF!</v>
      </c>
      <c r="DD275" t="e">
        <f t="shared" si="213"/>
        <v>#REF!</v>
      </c>
      <c r="DE275" t="e">
        <f t="shared" si="213"/>
        <v>#REF!</v>
      </c>
      <c r="DF275" t="e">
        <f t="shared" si="213"/>
        <v>#REF!</v>
      </c>
      <c r="DG275" t="e">
        <f t="shared" si="213"/>
        <v>#REF!</v>
      </c>
      <c r="DH275" t="e">
        <f t="shared" si="213"/>
        <v>#REF!</v>
      </c>
      <c r="DI275" t="e">
        <f t="shared" si="213"/>
        <v>#REF!</v>
      </c>
      <c r="DJ275" t="e">
        <f t="shared" si="208"/>
        <v>#REF!</v>
      </c>
      <c r="DK275" t="e">
        <f t="shared" si="208"/>
        <v>#REF!</v>
      </c>
      <c r="DL275" t="e">
        <f t="shared" si="208"/>
        <v>#REF!</v>
      </c>
      <c r="DM275" t="e">
        <f t="shared" si="208"/>
        <v>#REF!</v>
      </c>
      <c r="DN275" t="e">
        <f t="shared" si="208"/>
        <v>#REF!</v>
      </c>
      <c r="DO275" t="e">
        <f t="shared" si="208"/>
        <v>#REF!</v>
      </c>
      <c r="DP275" t="e">
        <f t="shared" si="208"/>
        <v>#REF!</v>
      </c>
      <c r="DQ275" t="e">
        <f t="shared" si="208"/>
        <v>#REF!</v>
      </c>
      <c r="DR275" t="e">
        <f t="shared" si="208"/>
        <v>#REF!</v>
      </c>
      <c r="DS275" t="e">
        <f t="shared" si="208"/>
        <v>#REF!</v>
      </c>
      <c r="DT275" t="e">
        <f t="shared" si="208"/>
        <v>#REF!</v>
      </c>
      <c r="DU275" t="e">
        <f t="shared" si="208"/>
        <v>#REF!</v>
      </c>
      <c r="DV275" t="e">
        <f t="shared" si="208"/>
        <v>#REF!</v>
      </c>
      <c r="DW275" t="e">
        <f t="shared" si="209"/>
        <v>#REF!</v>
      </c>
      <c r="DX275" t="e">
        <f t="shared" si="209"/>
        <v>#REF!</v>
      </c>
      <c r="DY275" t="e">
        <f t="shared" si="209"/>
        <v>#REF!</v>
      </c>
      <c r="DZ275" t="e">
        <f t="shared" si="209"/>
        <v>#REF!</v>
      </c>
      <c r="EA275" t="e">
        <f t="shared" si="209"/>
        <v>#REF!</v>
      </c>
      <c r="EB275" t="e">
        <f t="shared" si="209"/>
        <v>#REF!</v>
      </c>
      <c r="EC275" t="e">
        <f t="shared" si="209"/>
        <v>#REF!</v>
      </c>
      <c r="ED275" t="e">
        <f t="shared" si="209"/>
        <v>#REF!</v>
      </c>
      <c r="EE275" t="e">
        <f t="shared" si="209"/>
        <v>#REF!</v>
      </c>
      <c r="EF275" t="e">
        <f t="shared" si="209"/>
        <v>#REF!</v>
      </c>
      <c r="EG275" t="e">
        <f t="shared" si="209"/>
        <v>#REF!</v>
      </c>
      <c r="EH275" t="e">
        <f t="shared" si="209"/>
        <v>#REF!</v>
      </c>
      <c r="EI275" t="e">
        <f t="shared" si="209"/>
        <v>#REF!</v>
      </c>
      <c r="EJ275" t="e">
        <f t="shared" si="209"/>
        <v>#REF!</v>
      </c>
      <c r="EK275" t="e">
        <f t="shared" si="209"/>
        <v>#REF!</v>
      </c>
      <c r="EL275" t="e">
        <f t="shared" si="209"/>
        <v>#REF!</v>
      </c>
      <c r="EM275" t="e">
        <f t="shared" si="205"/>
        <v>#REF!</v>
      </c>
    </row>
    <row r="276" spans="1:143" x14ac:dyDescent="0.4">
      <c r="A276" t="str">
        <f t="shared" si="206"/>
        <v>X</v>
      </c>
      <c r="B276">
        <v>273</v>
      </c>
      <c r="C276" t="e" cm="1">
        <f t="array" ref="C276">INDEX(auto_Series_Code,B276)</f>
        <v>#REF!</v>
      </c>
      <c r="D276" t="e">
        <f t="shared" si="210"/>
        <v>#REF!</v>
      </c>
      <c r="E276" t="e">
        <f t="shared" si="210"/>
        <v>#REF!</v>
      </c>
      <c r="F276" t="e">
        <f t="shared" si="210"/>
        <v>#REF!</v>
      </c>
      <c r="G276" t="e">
        <f t="shared" si="210"/>
        <v>#REF!</v>
      </c>
      <c r="H276" t="e">
        <f t="shared" si="210"/>
        <v>#REF!</v>
      </c>
      <c r="I276" t="e">
        <f t="shared" si="210"/>
        <v>#REF!</v>
      </c>
      <c r="J276" t="e">
        <f t="shared" si="210"/>
        <v>#REF!</v>
      </c>
      <c r="K276" t="e">
        <f t="shared" si="210"/>
        <v>#REF!</v>
      </c>
      <c r="L276" t="e">
        <f t="shared" si="210"/>
        <v>#REF!</v>
      </c>
      <c r="M276" t="e">
        <f t="shared" si="210"/>
        <v>#REF!</v>
      </c>
      <c r="N276" t="e">
        <f t="shared" si="210"/>
        <v>#REF!</v>
      </c>
      <c r="O276" t="e">
        <f t="shared" si="210"/>
        <v>#REF!</v>
      </c>
      <c r="P276" t="e">
        <f t="shared" si="210"/>
        <v>#REF!</v>
      </c>
      <c r="Q276" t="e">
        <f t="shared" si="210"/>
        <v>#REF!</v>
      </c>
      <c r="R276" t="e">
        <f t="shared" si="210"/>
        <v>#REF!</v>
      </c>
      <c r="S276" t="e">
        <f t="shared" si="210"/>
        <v>#REF!</v>
      </c>
      <c r="T276" t="e">
        <f t="shared" si="207"/>
        <v>#REF!</v>
      </c>
      <c r="U276" t="e">
        <f t="shared" si="207"/>
        <v>#REF!</v>
      </c>
      <c r="V276" t="e">
        <f t="shared" si="207"/>
        <v>#REF!</v>
      </c>
      <c r="W276" t="e">
        <f t="shared" si="207"/>
        <v>#REF!</v>
      </c>
      <c r="X276" t="e">
        <f t="shared" si="193"/>
        <v>#REF!</v>
      </c>
      <c r="Y276" t="e">
        <f t="shared" si="193"/>
        <v>#REF!</v>
      </c>
      <c r="Z276" t="e">
        <f t="shared" si="193"/>
        <v>#REF!</v>
      </c>
      <c r="AA276" t="e">
        <f t="shared" si="193"/>
        <v>#REF!</v>
      </c>
      <c r="AB276" t="e">
        <f t="shared" si="193"/>
        <v>#REF!</v>
      </c>
      <c r="AC276" t="e">
        <f t="shared" si="193"/>
        <v>#REF!</v>
      </c>
      <c r="AD276" t="e">
        <f t="shared" ref="AD276:AS288" si="216">MATCH(CONCATENATE(AD$3,"_",$C276),auto_DataFlat_UID,0)</f>
        <v>#REF!</v>
      </c>
      <c r="AE276" t="e">
        <f t="shared" si="216"/>
        <v>#REF!</v>
      </c>
      <c r="AF276" t="e">
        <f t="shared" si="216"/>
        <v>#REF!</v>
      </c>
      <c r="AG276" t="e">
        <f t="shared" si="216"/>
        <v>#REF!</v>
      </c>
      <c r="AH276" t="e">
        <f t="shared" si="216"/>
        <v>#REF!</v>
      </c>
      <c r="AI276" t="e">
        <f t="shared" si="216"/>
        <v>#REF!</v>
      </c>
      <c r="AJ276" t="e">
        <f t="shared" si="216"/>
        <v>#REF!</v>
      </c>
      <c r="AK276" t="e">
        <f t="shared" si="216"/>
        <v>#REF!</v>
      </c>
      <c r="AL276" t="e">
        <f t="shared" si="216"/>
        <v>#REF!</v>
      </c>
      <c r="AM276" t="e">
        <f t="shared" si="216"/>
        <v>#REF!</v>
      </c>
      <c r="AN276" t="e">
        <f t="shared" si="216"/>
        <v>#REF!</v>
      </c>
      <c r="AO276" t="e">
        <f t="shared" si="216"/>
        <v>#REF!</v>
      </c>
      <c r="AP276" t="e">
        <f t="shared" si="216"/>
        <v>#REF!</v>
      </c>
      <c r="AQ276" t="e">
        <f t="shared" si="216"/>
        <v>#REF!</v>
      </c>
      <c r="AR276" t="e">
        <f t="shared" si="202"/>
        <v>#REF!</v>
      </c>
      <c r="AS276" t="e">
        <f t="shared" si="202"/>
        <v>#REF!</v>
      </c>
      <c r="AT276" t="e">
        <f t="shared" si="202"/>
        <v>#REF!</v>
      </c>
      <c r="AU276" t="e">
        <f t="shared" si="202"/>
        <v>#REF!</v>
      </c>
      <c r="AV276" t="e">
        <f t="shared" si="202"/>
        <v>#REF!</v>
      </c>
      <c r="AW276" t="e">
        <f t="shared" si="202"/>
        <v>#REF!</v>
      </c>
      <c r="AX276" t="e">
        <f t="shared" si="202"/>
        <v>#REF!</v>
      </c>
      <c r="AY276" t="e">
        <f t="shared" si="202"/>
        <v>#REF!</v>
      </c>
      <c r="AZ276" t="e">
        <f t="shared" si="202"/>
        <v>#REF!</v>
      </c>
      <c r="BA276" t="e">
        <f t="shared" si="202"/>
        <v>#REF!</v>
      </c>
      <c r="BB276" t="e">
        <f t="shared" si="202"/>
        <v>#REF!</v>
      </c>
      <c r="BC276" t="e">
        <f t="shared" si="202"/>
        <v>#REF!</v>
      </c>
      <c r="BD276" t="e">
        <f t="shared" si="202"/>
        <v>#REF!</v>
      </c>
      <c r="BE276" t="e">
        <f t="shared" si="202"/>
        <v>#REF!</v>
      </c>
      <c r="BF276" t="e">
        <f t="shared" si="202"/>
        <v>#REF!</v>
      </c>
      <c r="BG276" t="e">
        <f t="shared" si="215"/>
        <v>#REF!</v>
      </c>
      <c r="BH276" t="e">
        <f t="shared" si="215"/>
        <v>#REF!</v>
      </c>
      <c r="BI276" t="e">
        <f t="shared" si="215"/>
        <v>#REF!</v>
      </c>
      <c r="BJ276" t="e">
        <f t="shared" si="215"/>
        <v>#REF!</v>
      </c>
      <c r="BK276" t="e">
        <f t="shared" si="215"/>
        <v>#REF!</v>
      </c>
      <c r="BL276" t="e">
        <f t="shared" si="197"/>
        <v>#REF!</v>
      </c>
      <c r="BM276" t="e">
        <f t="shared" si="197"/>
        <v>#REF!</v>
      </c>
      <c r="BN276" t="e">
        <f t="shared" si="197"/>
        <v>#REF!</v>
      </c>
      <c r="BO276" t="e">
        <f t="shared" si="197"/>
        <v>#REF!</v>
      </c>
      <c r="BP276" t="e">
        <f t="shared" si="197"/>
        <v>#REF!</v>
      </c>
      <c r="BQ276" t="e">
        <f t="shared" si="197"/>
        <v>#REF!</v>
      </c>
      <c r="BR276" t="e">
        <f t="shared" si="197"/>
        <v>#REF!</v>
      </c>
      <c r="BS276" t="e">
        <f t="shared" si="197"/>
        <v>#REF!</v>
      </c>
      <c r="BT276" t="e">
        <f t="shared" si="199"/>
        <v>#REF!</v>
      </c>
      <c r="BU276" t="e">
        <f t="shared" si="199"/>
        <v>#REF!</v>
      </c>
      <c r="BV276" t="e">
        <f t="shared" si="199"/>
        <v>#REF!</v>
      </c>
      <c r="BW276" t="e">
        <f t="shared" si="199"/>
        <v>#REF!</v>
      </c>
      <c r="BX276" t="e">
        <f t="shared" si="199"/>
        <v>#REF!</v>
      </c>
      <c r="BY276" t="e">
        <f t="shared" si="199"/>
        <v>#REF!</v>
      </c>
      <c r="BZ276" t="e">
        <f t="shared" si="199"/>
        <v>#REF!</v>
      </c>
      <c r="CA276" t="e">
        <f t="shared" si="199"/>
        <v>#REF!</v>
      </c>
      <c r="CB276" t="e">
        <f t="shared" si="199"/>
        <v>#REF!</v>
      </c>
      <c r="CC276" t="e">
        <f t="shared" si="199"/>
        <v>#REF!</v>
      </c>
      <c r="CD276" t="e">
        <f t="shared" si="199"/>
        <v>#REF!</v>
      </c>
      <c r="CE276" t="e">
        <f t="shared" si="199"/>
        <v>#REF!</v>
      </c>
      <c r="CF276" t="e">
        <f t="shared" si="199"/>
        <v>#REF!</v>
      </c>
      <c r="CG276" t="e">
        <f t="shared" si="199"/>
        <v>#REF!</v>
      </c>
      <c r="CH276" t="e">
        <f t="shared" si="199"/>
        <v>#REF!</v>
      </c>
      <c r="CI276" t="e">
        <f t="shared" si="212"/>
        <v>#REF!</v>
      </c>
      <c r="CJ276" t="e">
        <f t="shared" si="212"/>
        <v>#REF!</v>
      </c>
      <c r="CK276" t="e">
        <f t="shared" si="212"/>
        <v>#REF!</v>
      </c>
      <c r="CL276" t="e">
        <f t="shared" si="212"/>
        <v>#REF!</v>
      </c>
      <c r="CM276" t="e">
        <f t="shared" si="212"/>
        <v>#REF!</v>
      </c>
      <c r="CN276" t="e">
        <f t="shared" si="212"/>
        <v>#REF!</v>
      </c>
      <c r="CO276" t="e">
        <f t="shared" si="212"/>
        <v>#REF!</v>
      </c>
      <c r="CP276" t="e">
        <f t="shared" si="212"/>
        <v>#REF!</v>
      </c>
      <c r="CQ276" t="e">
        <f t="shared" si="212"/>
        <v>#REF!</v>
      </c>
      <c r="CR276" t="e">
        <f t="shared" si="212"/>
        <v>#REF!</v>
      </c>
      <c r="CS276" t="e">
        <f t="shared" si="212"/>
        <v>#REF!</v>
      </c>
      <c r="CT276" t="e">
        <f t="shared" si="212"/>
        <v>#REF!</v>
      </c>
      <c r="CU276" t="e">
        <f t="shared" si="212"/>
        <v>#REF!</v>
      </c>
      <c r="CV276" t="e">
        <f t="shared" si="212"/>
        <v>#REF!</v>
      </c>
      <c r="CW276" t="e">
        <f t="shared" si="213"/>
        <v>#REF!</v>
      </c>
      <c r="CX276" t="e">
        <f t="shared" si="213"/>
        <v>#REF!</v>
      </c>
      <c r="CY276" t="e">
        <f t="shared" si="213"/>
        <v>#REF!</v>
      </c>
      <c r="CZ276" t="e">
        <f t="shared" si="213"/>
        <v>#REF!</v>
      </c>
      <c r="DA276" t="e">
        <f t="shared" si="213"/>
        <v>#REF!</v>
      </c>
      <c r="DB276" t="e">
        <f t="shared" si="213"/>
        <v>#REF!</v>
      </c>
      <c r="DC276" t="e">
        <f t="shared" si="213"/>
        <v>#REF!</v>
      </c>
      <c r="DD276" t="e">
        <f t="shared" si="213"/>
        <v>#REF!</v>
      </c>
      <c r="DE276" t="e">
        <f t="shared" si="213"/>
        <v>#REF!</v>
      </c>
      <c r="DF276" t="e">
        <f t="shared" si="213"/>
        <v>#REF!</v>
      </c>
      <c r="DG276" t="e">
        <f t="shared" si="213"/>
        <v>#REF!</v>
      </c>
      <c r="DH276" t="e">
        <f t="shared" si="213"/>
        <v>#REF!</v>
      </c>
      <c r="DI276" t="e">
        <f t="shared" si="213"/>
        <v>#REF!</v>
      </c>
      <c r="DJ276" t="e">
        <f t="shared" si="208"/>
        <v>#REF!</v>
      </c>
      <c r="DK276" t="e">
        <f t="shared" si="208"/>
        <v>#REF!</v>
      </c>
      <c r="DL276" t="e">
        <f t="shared" si="208"/>
        <v>#REF!</v>
      </c>
      <c r="DM276" t="e">
        <f t="shared" si="208"/>
        <v>#REF!</v>
      </c>
      <c r="DN276" t="e">
        <f t="shared" si="208"/>
        <v>#REF!</v>
      </c>
      <c r="DO276" t="e">
        <f t="shared" si="208"/>
        <v>#REF!</v>
      </c>
      <c r="DP276" t="e">
        <f t="shared" si="208"/>
        <v>#REF!</v>
      </c>
      <c r="DQ276" t="e">
        <f t="shared" si="208"/>
        <v>#REF!</v>
      </c>
      <c r="DR276" t="e">
        <f t="shared" si="208"/>
        <v>#REF!</v>
      </c>
      <c r="DS276" t="e">
        <f t="shared" si="208"/>
        <v>#REF!</v>
      </c>
      <c r="DT276" t="e">
        <f t="shared" si="208"/>
        <v>#REF!</v>
      </c>
      <c r="DU276" t="e">
        <f t="shared" si="208"/>
        <v>#REF!</v>
      </c>
      <c r="DV276" t="e">
        <f t="shared" si="208"/>
        <v>#REF!</v>
      </c>
      <c r="DW276" t="e">
        <f t="shared" si="209"/>
        <v>#REF!</v>
      </c>
      <c r="DX276" t="e">
        <f t="shared" si="209"/>
        <v>#REF!</v>
      </c>
      <c r="DY276" t="e">
        <f t="shared" si="209"/>
        <v>#REF!</v>
      </c>
      <c r="DZ276" t="e">
        <f t="shared" si="209"/>
        <v>#REF!</v>
      </c>
      <c r="EA276" t="e">
        <f t="shared" si="209"/>
        <v>#REF!</v>
      </c>
      <c r="EB276" t="e">
        <f t="shared" si="209"/>
        <v>#REF!</v>
      </c>
      <c r="EC276" t="e">
        <f t="shared" si="209"/>
        <v>#REF!</v>
      </c>
      <c r="ED276" t="e">
        <f t="shared" si="209"/>
        <v>#REF!</v>
      </c>
      <c r="EE276" t="e">
        <f t="shared" si="209"/>
        <v>#REF!</v>
      </c>
      <c r="EF276" t="e">
        <f t="shared" si="209"/>
        <v>#REF!</v>
      </c>
      <c r="EG276" t="e">
        <f t="shared" si="209"/>
        <v>#REF!</v>
      </c>
      <c r="EH276" t="e">
        <f t="shared" si="209"/>
        <v>#REF!</v>
      </c>
      <c r="EI276" t="e">
        <f t="shared" si="209"/>
        <v>#REF!</v>
      </c>
      <c r="EJ276" t="e">
        <f t="shared" si="209"/>
        <v>#REF!</v>
      </c>
      <c r="EK276" t="e">
        <f t="shared" si="209"/>
        <v>#REF!</v>
      </c>
      <c r="EL276" t="e">
        <f t="shared" si="209"/>
        <v>#REF!</v>
      </c>
      <c r="EM276" t="e">
        <f t="shared" si="205"/>
        <v>#REF!</v>
      </c>
    </row>
    <row r="277" spans="1:143" x14ac:dyDescent="0.4">
      <c r="A277" t="str">
        <f t="shared" si="206"/>
        <v>X</v>
      </c>
      <c r="B277">
        <v>274</v>
      </c>
      <c r="C277" t="e" cm="1">
        <f t="array" ref="C277">INDEX(auto_Series_Code,B277)</f>
        <v>#REF!</v>
      </c>
      <c r="D277" t="e">
        <f t="shared" si="210"/>
        <v>#REF!</v>
      </c>
      <c r="E277" t="e">
        <f t="shared" si="210"/>
        <v>#REF!</v>
      </c>
      <c r="F277" t="e">
        <f t="shared" si="210"/>
        <v>#REF!</v>
      </c>
      <c r="G277" t="e">
        <f t="shared" si="210"/>
        <v>#REF!</v>
      </c>
      <c r="H277" t="e">
        <f t="shared" si="210"/>
        <v>#REF!</v>
      </c>
      <c r="I277" t="e">
        <f t="shared" si="210"/>
        <v>#REF!</v>
      </c>
      <c r="J277" t="e">
        <f t="shared" si="210"/>
        <v>#REF!</v>
      </c>
      <c r="K277" t="e">
        <f t="shared" si="210"/>
        <v>#REF!</v>
      </c>
      <c r="L277" t="e">
        <f t="shared" si="210"/>
        <v>#REF!</v>
      </c>
      <c r="M277" t="e">
        <f t="shared" si="210"/>
        <v>#REF!</v>
      </c>
      <c r="N277" t="e">
        <f t="shared" si="210"/>
        <v>#REF!</v>
      </c>
      <c r="O277" t="e">
        <f t="shared" si="210"/>
        <v>#REF!</v>
      </c>
      <c r="P277" t="e">
        <f t="shared" si="210"/>
        <v>#REF!</v>
      </c>
      <c r="Q277" t="e">
        <f t="shared" si="210"/>
        <v>#REF!</v>
      </c>
      <c r="R277" t="e">
        <f t="shared" si="210"/>
        <v>#REF!</v>
      </c>
      <c r="S277" t="e">
        <f t="shared" si="210"/>
        <v>#REF!</v>
      </c>
      <c r="T277" t="e">
        <f t="shared" si="207"/>
        <v>#REF!</v>
      </c>
      <c r="U277" t="e">
        <f t="shared" si="207"/>
        <v>#REF!</v>
      </c>
      <c r="V277" t="e">
        <f t="shared" si="207"/>
        <v>#REF!</v>
      </c>
      <c r="W277" t="e">
        <f t="shared" si="207"/>
        <v>#REF!</v>
      </c>
      <c r="X277" t="e">
        <f t="shared" si="207"/>
        <v>#REF!</v>
      </c>
      <c r="Y277" t="e">
        <f t="shared" si="207"/>
        <v>#REF!</v>
      </c>
      <c r="Z277" t="e">
        <f t="shared" si="207"/>
        <v>#REF!</v>
      </c>
      <c r="AA277" t="e">
        <f t="shared" si="207"/>
        <v>#REF!</v>
      </c>
      <c r="AB277" t="e">
        <f t="shared" si="207"/>
        <v>#REF!</v>
      </c>
      <c r="AC277" t="e">
        <f t="shared" si="207"/>
        <v>#REF!</v>
      </c>
      <c r="AD277" t="e">
        <f t="shared" si="207"/>
        <v>#REF!</v>
      </c>
      <c r="AE277" t="e">
        <f t="shared" si="207"/>
        <v>#REF!</v>
      </c>
      <c r="AF277" t="e">
        <f t="shared" si="207"/>
        <v>#REF!</v>
      </c>
      <c r="AG277" t="e">
        <f t="shared" si="207"/>
        <v>#REF!</v>
      </c>
      <c r="AH277" t="e">
        <f t="shared" si="216"/>
        <v>#REF!</v>
      </c>
      <c r="AI277" t="e">
        <f t="shared" si="216"/>
        <v>#REF!</v>
      </c>
      <c r="AJ277" t="e">
        <f t="shared" si="216"/>
        <v>#REF!</v>
      </c>
      <c r="AK277" t="e">
        <f t="shared" si="216"/>
        <v>#REF!</v>
      </c>
      <c r="AL277" t="e">
        <f t="shared" si="216"/>
        <v>#REF!</v>
      </c>
      <c r="AM277" t="e">
        <f t="shared" si="216"/>
        <v>#REF!</v>
      </c>
      <c r="AN277" t="e">
        <f t="shared" si="216"/>
        <v>#REF!</v>
      </c>
      <c r="AO277" t="e">
        <f t="shared" si="216"/>
        <v>#REF!</v>
      </c>
      <c r="AP277" t="e">
        <f t="shared" si="216"/>
        <v>#REF!</v>
      </c>
      <c r="AQ277" t="e">
        <f t="shared" si="216"/>
        <v>#REF!</v>
      </c>
      <c r="AR277" t="e">
        <f t="shared" si="202"/>
        <v>#REF!</v>
      </c>
      <c r="AS277" t="e">
        <f t="shared" si="202"/>
        <v>#REF!</v>
      </c>
      <c r="AT277" t="e">
        <f t="shared" si="202"/>
        <v>#REF!</v>
      </c>
      <c r="AU277" t="e">
        <f t="shared" si="202"/>
        <v>#REF!</v>
      </c>
      <c r="AV277" t="e">
        <f t="shared" si="202"/>
        <v>#REF!</v>
      </c>
      <c r="AW277" t="e">
        <f t="shared" si="202"/>
        <v>#REF!</v>
      </c>
      <c r="AX277" t="e">
        <f t="shared" si="202"/>
        <v>#REF!</v>
      </c>
      <c r="AY277" t="e">
        <f t="shared" si="202"/>
        <v>#REF!</v>
      </c>
      <c r="AZ277" t="e">
        <f t="shared" si="202"/>
        <v>#REF!</v>
      </c>
      <c r="BA277" t="e">
        <f t="shared" si="202"/>
        <v>#REF!</v>
      </c>
      <c r="BB277" t="e">
        <f t="shared" si="202"/>
        <v>#REF!</v>
      </c>
      <c r="BC277" t="e">
        <f t="shared" si="202"/>
        <v>#REF!</v>
      </c>
      <c r="BD277" t="e">
        <f t="shared" si="202"/>
        <v>#REF!</v>
      </c>
      <c r="BE277" t="e">
        <f t="shared" si="202"/>
        <v>#REF!</v>
      </c>
      <c r="BF277" t="e">
        <f t="shared" si="202"/>
        <v>#REF!</v>
      </c>
      <c r="BG277" t="e">
        <f t="shared" si="215"/>
        <v>#REF!</v>
      </c>
      <c r="BH277" t="e">
        <f t="shared" si="215"/>
        <v>#REF!</v>
      </c>
      <c r="BI277" t="e">
        <f t="shared" si="215"/>
        <v>#REF!</v>
      </c>
      <c r="BJ277" t="e">
        <f t="shared" si="215"/>
        <v>#REF!</v>
      </c>
      <c r="BK277" t="e">
        <f t="shared" si="215"/>
        <v>#REF!</v>
      </c>
      <c r="BL277" t="e">
        <f t="shared" si="197"/>
        <v>#REF!</v>
      </c>
      <c r="BM277" t="e">
        <f t="shared" si="197"/>
        <v>#REF!</v>
      </c>
      <c r="BN277" t="e">
        <f t="shared" si="197"/>
        <v>#REF!</v>
      </c>
      <c r="BO277" t="e">
        <f t="shared" si="197"/>
        <v>#REF!</v>
      </c>
      <c r="BP277" t="e">
        <f t="shared" si="197"/>
        <v>#REF!</v>
      </c>
      <c r="BQ277" t="e">
        <f t="shared" si="197"/>
        <v>#REF!</v>
      </c>
      <c r="BR277" t="e">
        <f t="shared" si="197"/>
        <v>#REF!</v>
      </c>
      <c r="BS277" t="e">
        <f t="shared" si="197"/>
        <v>#REF!</v>
      </c>
      <c r="BT277" t="e">
        <f t="shared" si="199"/>
        <v>#REF!</v>
      </c>
      <c r="BU277" t="e">
        <f t="shared" si="199"/>
        <v>#REF!</v>
      </c>
      <c r="BV277" t="e">
        <f t="shared" si="199"/>
        <v>#REF!</v>
      </c>
      <c r="BW277" t="e">
        <f t="shared" si="199"/>
        <v>#REF!</v>
      </c>
      <c r="BX277" t="e">
        <f t="shared" si="199"/>
        <v>#REF!</v>
      </c>
      <c r="BY277" t="e">
        <f t="shared" ref="BY277:CN288" si="217">MATCH(CONCATENATE(BY$3,"_",$C277),auto_DataFlat_UID,0)</f>
        <v>#REF!</v>
      </c>
      <c r="BZ277" t="e">
        <f t="shared" si="217"/>
        <v>#REF!</v>
      </c>
      <c r="CA277" t="e">
        <f t="shared" si="217"/>
        <v>#REF!</v>
      </c>
      <c r="CB277" t="e">
        <f t="shared" si="217"/>
        <v>#REF!</v>
      </c>
      <c r="CC277" t="e">
        <f t="shared" si="217"/>
        <v>#REF!</v>
      </c>
      <c r="CD277" t="e">
        <f t="shared" si="217"/>
        <v>#REF!</v>
      </c>
      <c r="CE277" t="e">
        <f t="shared" si="217"/>
        <v>#REF!</v>
      </c>
      <c r="CF277" t="e">
        <f t="shared" si="217"/>
        <v>#REF!</v>
      </c>
      <c r="CG277" t="e">
        <f t="shared" si="217"/>
        <v>#REF!</v>
      </c>
      <c r="CH277" t="e">
        <f t="shared" si="217"/>
        <v>#REF!</v>
      </c>
      <c r="CI277" t="e">
        <f t="shared" si="217"/>
        <v>#REF!</v>
      </c>
      <c r="CJ277" t="e">
        <f t="shared" si="217"/>
        <v>#REF!</v>
      </c>
      <c r="CK277" t="e">
        <f t="shared" si="217"/>
        <v>#REF!</v>
      </c>
      <c r="CL277" t="e">
        <f t="shared" si="217"/>
        <v>#REF!</v>
      </c>
      <c r="CM277" t="e">
        <f t="shared" si="217"/>
        <v>#REF!</v>
      </c>
      <c r="CN277" t="e">
        <f t="shared" si="217"/>
        <v>#REF!</v>
      </c>
      <c r="CO277" t="e">
        <f t="shared" si="212"/>
        <v>#REF!</v>
      </c>
      <c r="CP277" t="e">
        <f t="shared" si="212"/>
        <v>#REF!</v>
      </c>
      <c r="CQ277" t="e">
        <f t="shared" si="212"/>
        <v>#REF!</v>
      </c>
      <c r="CR277" t="e">
        <f t="shared" si="212"/>
        <v>#REF!</v>
      </c>
      <c r="CS277" t="e">
        <f t="shared" si="212"/>
        <v>#REF!</v>
      </c>
      <c r="CT277" t="e">
        <f t="shared" si="212"/>
        <v>#REF!</v>
      </c>
      <c r="CU277" t="e">
        <f t="shared" si="212"/>
        <v>#REF!</v>
      </c>
      <c r="CV277" t="e">
        <f t="shared" si="212"/>
        <v>#REF!</v>
      </c>
      <c r="CW277" t="e">
        <f t="shared" si="213"/>
        <v>#REF!</v>
      </c>
      <c r="CX277" t="e">
        <f t="shared" si="213"/>
        <v>#REF!</v>
      </c>
      <c r="CY277" t="e">
        <f t="shared" si="213"/>
        <v>#REF!</v>
      </c>
      <c r="CZ277" t="e">
        <f t="shared" si="213"/>
        <v>#REF!</v>
      </c>
      <c r="DA277" t="e">
        <f t="shared" si="213"/>
        <v>#REF!</v>
      </c>
      <c r="DB277" t="e">
        <f t="shared" si="213"/>
        <v>#REF!</v>
      </c>
      <c r="DC277" t="e">
        <f t="shared" si="213"/>
        <v>#REF!</v>
      </c>
      <c r="DD277" t="e">
        <f t="shared" si="213"/>
        <v>#REF!</v>
      </c>
      <c r="DE277" t="e">
        <f t="shared" si="213"/>
        <v>#REF!</v>
      </c>
      <c r="DF277" t="e">
        <f t="shared" si="213"/>
        <v>#REF!</v>
      </c>
      <c r="DG277" t="e">
        <f t="shared" si="213"/>
        <v>#REF!</v>
      </c>
      <c r="DH277" t="e">
        <f t="shared" si="213"/>
        <v>#REF!</v>
      </c>
      <c r="DI277" t="e">
        <f t="shared" si="213"/>
        <v>#REF!</v>
      </c>
      <c r="DJ277" t="e">
        <f t="shared" si="208"/>
        <v>#REF!</v>
      </c>
      <c r="DK277" t="e">
        <f t="shared" si="208"/>
        <v>#REF!</v>
      </c>
      <c r="DL277" t="e">
        <f t="shared" si="208"/>
        <v>#REF!</v>
      </c>
      <c r="DM277" t="e">
        <f t="shared" si="208"/>
        <v>#REF!</v>
      </c>
      <c r="DN277" t="e">
        <f t="shared" si="208"/>
        <v>#REF!</v>
      </c>
      <c r="DO277" t="e">
        <f t="shared" si="208"/>
        <v>#REF!</v>
      </c>
      <c r="DP277" t="e">
        <f t="shared" si="208"/>
        <v>#REF!</v>
      </c>
      <c r="DQ277" t="e">
        <f t="shared" si="208"/>
        <v>#REF!</v>
      </c>
      <c r="DR277" t="e">
        <f t="shared" si="208"/>
        <v>#REF!</v>
      </c>
      <c r="DS277" t="e">
        <f t="shared" si="208"/>
        <v>#REF!</v>
      </c>
      <c r="DT277" t="e">
        <f t="shared" si="208"/>
        <v>#REF!</v>
      </c>
      <c r="DU277" t="e">
        <f t="shared" si="208"/>
        <v>#REF!</v>
      </c>
      <c r="DV277" t="e">
        <f t="shared" si="208"/>
        <v>#REF!</v>
      </c>
      <c r="DW277" t="e">
        <f t="shared" si="209"/>
        <v>#REF!</v>
      </c>
      <c r="DX277" t="e">
        <f t="shared" si="209"/>
        <v>#REF!</v>
      </c>
      <c r="DY277" t="e">
        <f t="shared" si="209"/>
        <v>#REF!</v>
      </c>
      <c r="DZ277" t="e">
        <f t="shared" si="209"/>
        <v>#REF!</v>
      </c>
      <c r="EA277" t="e">
        <f t="shared" si="209"/>
        <v>#REF!</v>
      </c>
      <c r="EB277" t="e">
        <f t="shared" si="209"/>
        <v>#REF!</v>
      </c>
      <c r="EC277" t="e">
        <f t="shared" si="209"/>
        <v>#REF!</v>
      </c>
      <c r="ED277" t="e">
        <f t="shared" si="209"/>
        <v>#REF!</v>
      </c>
      <c r="EE277" t="e">
        <f t="shared" si="209"/>
        <v>#REF!</v>
      </c>
      <c r="EF277" t="e">
        <f t="shared" si="209"/>
        <v>#REF!</v>
      </c>
      <c r="EG277" t="e">
        <f t="shared" si="209"/>
        <v>#REF!</v>
      </c>
      <c r="EH277" t="e">
        <f t="shared" si="209"/>
        <v>#REF!</v>
      </c>
      <c r="EI277" t="e">
        <f t="shared" si="209"/>
        <v>#REF!</v>
      </c>
      <c r="EJ277" t="e">
        <f t="shared" si="209"/>
        <v>#REF!</v>
      </c>
      <c r="EK277" t="e">
        <f t="shared" si="209"/>
        <v>#REF!</v>
      </c>
      <c r="EL277" t="e">
        <f t="shared" si="209"/>
        <v>#REF!</v>
      </c>
      <c r="EM277" t="e">
        <f t="shared" si="205"/>
        <v>#REF!</v>
      </c>
    </row>
    <row r="278" spans="1:143" x14ac:dyDescent="0.4">
      <c r="A278" t="str">
        <f t="shared" si="206"/>
        <v>X</v>
      </c>
      <c r="B278">
        <v>275</v>
      </c>
      <c r="C278" t="e" cm="1">
        <f t="array" ref="C278">INDEX(auto_Series_Code,B278)</f>
        <v>#REF!</v>
      </c>
      <c r="D278" t="e">
        <f t="shared" si="210"/>
        <v>#REF!</v>
      </c>
      <c r="E278" t="e">
        <f t="shared" si="210"/>
        <v>#REF!</v>
      </c>
      <c r="F278" t="e">
        <f t="shared" si="210"/>
        <v>#REF!</v>
      </c>
      <c r="G278" t="e">
        <f t="shared" si="210"/>
        <v>#REF!</v>
      </c>
      <c r="H278" t="e">
        <f t="shared" si="210"/>
        <v>#REF!</v>
      </c>
      <c r="I278" t="e">
        <f t="shared" si="210"/>
        <v>#REF!</v>
      </c>
      <c r="J278" t="e">
        <f t="shared" si="210"/>
        <v>#REF!</v>
      </c>
      <c r="K278" t="e">
        <f t="shared" si="210"/>
        <v>#REF!</v>
      </c>
      <c r="L278" t="e">
        <f t="shared" si="210"/>
        <v>#REF!</v>
      </c>
      <c r="M278" t="e">
        <f t="shared" si="210"/>
        <v>#REF!</v>
      </c>
      <c r="N278" t="e">
        <f t="shared" si="210"/>
        <v>#REF!</v>
      </c>
      <c r="O278" t="e">
        <f t="shared" si="210"/>
        <v>#REF!</v>
      </c>
      <c r="P278" t="e">
        <f t="shared" si="210"/>
        <v>#REF!</v>
      </c>
      <c r="Q278" t="e">
        <f t="shared" si="210"/>
        <v>#REF!</v>
      </c>
      <c r="R278" t="e">
        <f t="shared" si="210"/>
        <v>#REF!</v>
      </c>
      <c r="S278" t="e">
        <f t="shared" si="210"/>
        <v>#REF!</v>
      </c>
      <c r="T278" t="e">
        <f t="shared" si="207"/>
        <v>#REF!</v>
      </c>
      <c r="U278" t="e">
        <f t="shared" si="207"/>
        <v>#REF!</v>
      </c>
      <c r="V278" t="e">
        <f t="shared" si="207"/>
        <v>#REF!</v>
      </c>
      <c r="W278" t="e">
        <f t="shared" si="207"/>
        <v>#REF!</v>
      </c>
      <c r="X278" t="e">
        <f t="shared" si="207"/>
        <v>#REF!</v>
      </c>
      <c r="Y278" t="e">
        <f t="shared" si="207"/>
        <v>#REF!</v>
      </c>
      <c r="Z278" t="e">
        <f t="shared" si="207"/>
        <v>#REF!</v>
      </c>
      <c r="AA278" t="e">
        <f t="shared" si="207"/>
        <v>#REF!</v>
      </c>
      <c r="AB278" t="e">
        <f t="shared" si="207"/>
        <v>#REF!</v>
      </c>
      <c r="AC278" t="e">
        <f t="shared" si="207"/>
        <v>#REF!</v>
      </c>
      <c r="AD278" t="e">
        <f t="shared" si="207"/>
        <v>#REF!</v>
      </c>
      <c r="AE278" t="e">
        <f t="shared" si="207"/>
        <v>#REF!</v>
      </c>
      <c r="AF278" t="e">
        <f t="shared" si="207"/>
        <v>#REF!</v>
      </c>
      <c r="AG278" t="e">
        <f t="shared" si="207"/>
        <v>#REF!</v>
      </c>
      <c r="AH278" t="e">
        <f t="shared" si="216"/>
        <v>#REF!</v>
      </c>
      <c r="AI278" t="e">
        <f t="shared" si="216"/>
        <v>#REF!</v>
      </c>
      <c r="AJ278" t="e">
        <f t="shared" si="216"/>
        <v>#REF!</v>
      </c>
      <c r="AK278" t="e">
        <f t="shared" si="216"/>
        <v>#REF!</v>
      </c>
      <c r="AL278" t="e">
        <f t="shared" si="216"/>
        <v>#REF!</v>
      </c>
      <c r="AM278" t="e">
        <f t="shared" si="216"/>
        <v>#REF!</v>
      </c>
      <c r="AN278" t="e">
        <f t="shared" si="216"/>
        <v>#REF!</v>
      </c>
      <c r="AO278" t="e">
        <f t="shared" si="216"/>
        <v>#REF!</v>
      </c>
      <c r="AP278" t="e">
        <f t="shared" si="216"/>
        <v>#REF!</v>
      </c>
      <c r="AQ278" t="e">
        <f t="shared" si="216"/>
        <v>#REF!</v>
      </c>
      <c r="AR278" t="e">
        <f t="shared" si="202"/>
        <v>#REF!</v>
      </c>
      <c r="AS278" t="e">
        <f t="shared" si="202"/>
        <v>#REF!</v>
      </c>
      <c r="AT278" t="e">
        <f t="shared" si="202"/>
        <v>#REF!</v>
      </c>
      <c r="AU278" t="e">
        <f t="shared" si="202"/>
        <v>#REF!</v>
      </c>
      <c r="AV278" t="e">
        <f t="shared" si="202"/>
        <v>#REF!</v>
      </c>
      <c r="AW278" t="e">
        <f t="shared" si="202"/>
        <v>#REF!</v>
      </c>
      <c r="AX278" t="e">
        <f t="shared" si="202"/>
        <v>#REF!</v>
      </c>
      <c r="AY278" t="e">
        <f t="shared" si="202"/>
        <v>#REF!</v>
      </c>
      <c r="AZ278" t="e">
        <f t="shared" si="202"/>
        <v>#REF!</v>
      </c>
      <c r="BA278" t="e">
        <f t="shared" si="202"/>
        <v>#REF!</v>
      </c>
      <c r="BB278" t="e">
        <f t="shared" si="202"/>
        <v>#REF!</v>
      </c>
      <c r="BC278" t="e">
        <f t="shared" si="202"/>
        <v>#REF!</v>
      </c>
      <c r="BD278" t="e">
        <f t="shared" si="202"/>
        <v>#REF!</v>
      </c>
      <c r="BE278" t="e">
        <f t="shared" si="202"/>
        <v>#REF!</v>
      </c>
      <c r="BF278" t="e">
        <f t="shared" si="202"/>
        <v>#REF!</v>
      </c>
      <c r="BG278" t="e">
        <f t="shared" si="215"/>
        <v>#REF!</v>
      </c>
      <c r="BH278" t="e">
        <f t="shared" si="215"/>
        <v>#REF!</v>
      </c>
      <c r="BI278" t="e">
        <f t="shared" si="215"/>
        <v>#REF!</v>
      </c>
      <c r="BJ278" t="e">
        <f t="shared" si="215"/>
        <v>#REF!</v>
      </c>
      <c r="BK278" t="e">
        <f t="shared" si="215"/>
        <v>#REF!</v>
      </c>
      <c r="BL278" t="e">
        <f t="shared" si="197"/>
        <v>#REF!</v>
      </c>
      <c r="BM278" t="e">
        <f t="shared" si="197"/>
        <v>#REF!</v>
      </c>
      <c r="BN278" t="e">
        <f t="shared" si="197"/>
        <v>#REF!</v>
      </c>
      <c r="BO278" t="e">
        <f t="shared" si="197"/>
        <v>#REF!</v>
      </c>
      <c r="BP278" t="e">
        <f t="shared" si="197"/>
        <v>#REF!</v>
      </c>
      <c r="BQ278" t="e">
        <f t="shared" si="197"/>
        <v>#REF!</v>
      </c>
      <c r="BR278" t="e">
        <f t="shared" si="197"/>
        <v>#REF!</v>
      </c>
      <c r="BS278" t="e">
        <f t="shared" si="197"/>
        <v>#REF!</v>
      </c>
      <c r="BT278" t="e">
        <f t="shared" ref="BT278:CE288" si="218">MATCH(CONCATENATE(BT$3,"_",$C278),auto_DataFlat_UID,0)</f>
        <v>#REF!</v>
      </c>
      <c r="BU278" t="e">
        <f t="shared" si="218"/>
        <v>#REF!</v>
      </c>
      <c r="BV278" t="e">
        <f t="shared" si="218"/>
        <v>#REF!</v>
      </c>
      <c r="BW278" t="e">
        <f t="shared" si="218"/>
        <v>#REF!</v>
      </c>
      <c r="BX278" t="e">
        <f t="shared" si="218"/>
        <v>#REF!</v>
      </c>
      <c r="BY278" t="e">
        <f t="shared" si="218"/>
        <v>#REF!</v>
      </c>
      <c r="BZ278" t="e">
        <f t="shared" si="218"/>
        <v>#REF!</v>
      </c>
      <c r="CA278" t="e">
        <f t="shared" si="218"/>
        <v>#REF!</v>
      </c>
      <c r="CB278" t="e">
        <f t="shared" si="218"/>
        <v>#REF!</v>
      </c>
      <c r="CC278" t="e">
        <f t="shared" si="218"/>
        <v>#REF!</v>
      </c>
      <c r="CD278" t="e">
        <f t="shared" si="218"/>
        <v>#REF!</v>
      </c>
      <c r="CE278" t="e">
        <f t="shared" si="218"/>
        <v>#REF!</v>
      </c>
      <c r="CF278" t="e">
        <f t="shared" si="217"/>
        <v>#REF!</v>
      </c>
      <c r="CG278" t="e">
        <f t="shared" si="217"/>
        <v>#REF!</v>
      </c>
      <c r="CH278" t="e">
        <f t="shared" si="217"/>
        <v>#REF!</v>
      </c>
      <c r="CI278" t="e">
        <f t="shared" si="217"/>
        <v>#REF!</v>
      </c>
      <c r="CJ278" t="e">
        <f t="shared" si="217"/>
        <v>#REF!</v>
      </c>
      <c r="CK278" t="e">
        <f t="shared" si="217"/>
        <v>#REF!</v>
      </c>
      <c r="CL278" t="e">
        <f t="shared" si="217"/>
        <v>#REF!</v>
      </c>
      <c r="CM278" t="e">
        <f t="shared" si="217"/>
        <v>#REF!</v>
      </c>
      <c r="CN278" t="e">
        <f t="shared" si="217"/>
        <v>#REF!</v>
      </c>
      <c r="CO278" t="e">
        <f t="shared" si="212"/>
        <v>#REF!</v>
      </c>
      <c r="CP278" t="e">
        <f t="shared" si="212"/>
        <v>#REF!</v>
      </c>
      <c r="CQ278" t="e">
        <f t="shared" si="212"/>
        <v>#REF!</v>
      </c>
      <c r="CR278" t="e">
        <f t="shared" si="212"/>
        <v>#REF!</v>
      </c>
      <c r="CS278" t="e">
        <f t="shared" si="212"/>
        <v>#REF!</v>
      </c>
      <c r="CT278" t="e">
        <f t="shared" si="212"/>
        <v>#REF!</v>
      </c>
      <c r="CU278" t="e">
        <f t="shared" si="212"/>
        <v>#REF!</v>
      </c>
      <c r="CV278" t="e">
        <f t="shared" si="212"/>
        <v>#REF!</v>
      </c>
      <c r="CW278" t="e">
        <f t="shared" si="213"/>
        <v>#REF!</v>
      </c>
      <c r="CX278" t="e">
        <f t="shared" si="213"/>
        <v>#REF!</v>
      </c>
      <c r="CY278" t="e">
        <f t="shared" si="213"/>
        <v>#REF!</v>
      </c>
      <c r="CZ278" t="e">
        <f t="shared" si="213"/>
        <v>#REF!</v>
      </c>
      <c r="DA278" t="e">
        <f t="shared" si="213"/>
        <v>#REF!</v>
      </c>
      <c r="DB278" t="e">
        <f t="shared" si="213"/>
        <v>#REF!</v>
      </c>
      <c r="DC278" t="e">
        <f t="shared" si="213"/>
        <v>#REF!</v>
      </c>
      <c r="DD278" t="e">
        <f t="shared" si="213"/>
        <v>#REF!</v>
      </c>
      <c r="DE278" t="e">
        <f t="shared" si="213"/>
        <v>#REF!</v>
      </c>
      <c r="DF278" t="e">
        <f t="shared" si="213"/>
        <v>#REF!</v>
      </c>
      <c r="DG278" t="e">
        <f t="shared" si="213"/>
        <v>#REF!</v>
      </c>
      <c r="DH278" t="e">
        <f t="shared" si="213"/>
        <v>#REF!</v>
      </c>
      <c r="DI278" t="e">
        <f t="shared" si="213"/>
        <v>#REF!</v>
      </c>
      <c r="DJ278" t="e">
        <f t="shared" si="208"/>
        <v>#REF!</v>
      </c>
      <c r="DK278" t="e">
        <f t="shared" si="208"/>
        <v>#REF!</v>
      </c>
      <c r="DL278" t="e">
        <f t="shared" si="208"/>
        <v>#REF!</v>
      </c>
      <c r="DM278" t="e">
        <f t="shared" si="208"/>
        <v>#REF!</v>
      </c>
      <c r="DN278" t="e">
        <f t="shared" si="208"/>
        <v>#REF!</v>
      </c>
      <c r="DO278" t="e">
        <f t="shared" si="208"/>
        <v>#REF!</v>
      </c>
      <c r="DP278" t="e">
        <f t="shared" si="208"/>
        <v>#REF!</v>
      </c>
      <c r="DQ278" t="e">
        <f t="shared" si="208"/>
        <v>#REF!</v>
      </c>
      <c r="DR278" t="e">
        <f t="shared" si="208"/>
        <v>#REF!</v>
      </c>
      <c r="DS278" t="e">
        <f t="shared" si="208"/>
        <v>#REF!</v>
      </c>
      <c r="DT278" t="e">
        <f t="shared" si="208"/>
        <v>#REF!</v>
      </c>
      <c r="DU278" t="e">
        <f t="shared" si="208"/>
        <v>#REF!</v>
      </c>
      <c r="DV278" t="e">
        <f t="shared" si="208"/>
        <v>#REF!</v>
      </c>
      <c r="DW278" t="e">
        <f t="shared" si="209"/>
        <v>#REF!</v>
      </c>
      <c r="DX278" t="e">
        <f t="shared" si="209"/>
        <v>#REF!</v>
      </c>
      <c r="DY278" t="e">
        <f t="shared" si="209"/>
        <v>#REF!</v>
      </c>
      <c r="DZ278" t="e">
        <f t="shared" si="209"/>
        <v>#REF!</v>
      </c>
      <c r="EA278" t="e">
        <f t="shared" si="209"/>
        <v>#REF!</v>
      </c>
      <c r="EB278" t="e">
        <f t="shared" si="209"/>
        <v>#REF!</v>
      </c>
      <c r="EC278" t="e">
        <f t="shared" si="209"/>
        <v>#REF!</v>
      </c>
      <c r="ED278" t="e">
        <f t="shared" si="209"/>
        <v>#REF!</v>
      </c>
      <c r="EE278" t="e">
        <f t="shared" si="209"/>
        <v>#REF!</v>
      </c>
      <c r="EF278" t="e">
        <f t="shared" si="209"/>
        <v>#REF!</v>
      </c>
      <c r="EG278" t="e">
        <f t="shared" si="209"/>
        <v>#REF!</v>
      </c>
      <c r="EH278" t="e">
        <f t="shared" si="209"/>
        <v>#REF!</v>
      </c>
      <c r="EI278" t="e">
        <f t="shared" si="209"/>
        <v>#REF!</v>
      </c>
      <c r="EJ278" t="e">
        <f t="shared" si="209"/>
        <v>#REF!</v>
      </c>
      <c r="EK278" t="e">
        <f t="shared" si="209"/>
        <v>#REF!</v>
      </c>
      <c r="EL278" t="e">
        <f t="shared" ref="EL278:EM288" si="219">MATCH(CONCATENATE(EL$3,"_",$C278),auto_DataFlat_UID,0)</f>
        <v>#REF!</v>
      </c>
      <c r="EM278" t="e">
        <f t="shared" si="219"/>
        <v>#REF!</v>
      </c>
    </row>
    <row r="279" spans="1:143" x14ac:dyDescent="0.4">
      <c r="A279" t="str">
        <f t="shared" si="206"/>
        <v>X</v>
      </c>
      <c r="B279">
        <v>276</v>
      </c>
      <c r="C279" t="e" cm="1">
        <f t="array" ref="C279">INDEX(auto_Series_Code,B279)</f>
        <v>#REF!</v>
      </c>
      <c r="D279" t="e">
        <f t="shared" si="210"/>
        <v>#REF!</v>
      </c>
      <c r="E279" t="e">
        <f t="shared" si="210"/>
        <v>#REF!</v>
      </c>
      <c r="F279" t="e">
        <f t="shared" si="210"/>
        <v>#REF!</v>
      </c>
      <c r="G279" t="e">
        <f t="shared" si="210"/>
        <v>#REF!</v>
      </c>
      <c r="H279" t="e">
        <f t="shared" si="210"/>
        <v>#REF!</v>
      </c>
      <c r="I279" t="e">
        <f t="shared" si="210"/>
        <v>#REF!</v>
      </c>
      <c r="J279" t="e">
        <f t="shared" si="210"/>
        <v>#REF!</v>
      </c>
      <c r="K279" t="e">
        <f t="shared" si="210"/>
        <v>#REF!</v>
      </c>
      <c r="L279" t="e">
        <f t="shared" si="210"/>
        <v>#REF!</v>
      </c>
      <c r="M279" t="e">
        <f t="shared" si="210"/>
        <v>#REF!</v>
      </c>
      <c r="N279" t="e">
        <f t="shared" si="210"/>
        <v>#REF!</v>
      </c>
      <c r="O279" t="e">
        <f t="shared" si="210"/>
        <v>#REF!</v>
      </c>
      <c r="P279" t="e">
        <f t="shared" si="210"/>
        <v>#REF!</v>
      </c>
      <c r="Q279" t="e">
        <f t="shared" si="210"/>
        <v>#REF!</v>
      </c>
      <c r="R279" t="e">
        <f t="shared" si="210"/>
        <v>#REF!</v>
      </c>
      <c r="S279" t="e">
        <f t="shared" ref="S279:W288" si="220">MATCH(CONCATENATE(S$3,"_",$C279),auto_DataFlat_UID,0)</f>
        <v>#REF!</v>
      </c>
      <c r="T279" t="e">
        <f t="shared" si="220"/>
        <v>#REF!</v>
      </c>
      <c r="U279" t="e">
        <f t="shared" si="220"/>
        <v>#REF!</v>
      </c>
      <c r="V279" t="e">
        <f t="shared" si="220"/>
        <v>#REF!</v>
      </c>
      <c r="W279" t="e">
        <f t="shared" si="220"/>
        <v>#REF!</v>
      </c>
      <c r="X279" t="e">
        <f t="shared" si="207"/>
        <v>#REF!</v>
      </c>
      <c r="Y279" t="e">
        <f t="shared" si="207"/>
        <v>#REF!</v>
      </c>
      <c r="Z279" t="e">
        <f t="shared" si="207"/>
        <v>#REF!</v>
      </c>
      <c r="AA279" t="e">
        <f t="shared" si="207"/>
        <v>#REF!</v>
      </c>
      <c r="AB279" t="e">
        <f t="shared" si="207"/>
        <v>#REF!</v>
      </c>
      <c r="AC279" t="e">
        <f t="shared" si="207"/>
        <v>#REF!</v>
      </c>
      <c r="AD279" t="e">
        <f t="shared" si="207"/>
        <v>#REF!</v>
      </c>
      <c r="AE279" t="e">
        <f t="shared" si="207"/>
        <v>#REF!</v>
      </c>
      <c r="AF279" t="e">
        <f t="shared" si="207"/>
        <v>#REF!</v>
      </c>
      <c r="AG279" t="e">
        <f t="shared" si="207"/>
        <v>#REF!</v>
      </c>
      <c r="AH279" t="e">
        <f t="shared" si="216"/>
        <v>#REF!</v>
      </c>
      <c r="AI279" t="e">
        <f t="shared" si="216"/>
        <v>#REF!</v>
      </c>
      <c r="AJ279" t="e">
        <f t="shared" si="216"/>
        <v>#REF!</v>
      </c>
      <c r="AK279" t="e">
        <f t="shared" si="216"/>
        <v>#REF!</v>
      </c>
      <c r="AL279" t="e">
        <f t="shared" si="216"/>
        <v>#REF!</v>
      </c>
      <c r="AM279" t="e">
        <f t="shared" si="216"/>
        <v>#REF!</v>
      </c>
      <c r="AN279" t="e">
        <f t="shared" si="216"/>
        <v>#REF!</v>
      </c>
      <c r="AO279" t="e">
        <f t="shared" si="216"/>
        <v>#REF!</v>
      </c>
      <c r="AP279" t="e">
        <f t="shared" si="216"/>
        <v>#REF!</v>
      </c>
      <c r="AQ279" t="e">
        <f t="shared" si="216"/>
        <v>#REF!</v>
      </c>
      <c r="AR279" t="e">
        <f t="shared" si="202"/>
        <v>#REF!</v>
      </c>
      <c r="AS279" t="e">
        <f t="shared" si="202"/>
        <v>#REF!</v>
      </c>
      <c r="AT279" t="e">
        <f t="shared" si="202"/>
        <v>#REF!</v>
      </c>
      <c r="AU279" t="e">
        <f t="shared" si="202"/>
        <v>#REF!</v>
      </c>
      <c r="AV279" t="e">
        <f t="shared" si="202"/>
        <v>#REF!</v>
      </c>
      <c r="AW279" t="e">
        <f t="shared" si="202"/>
        <v>#REF!</v>
      </c>
      <c r="AX279" t="e">
        <f t="shared" si="202"/>
        <v>#REF!</v>
      </c>
      <c r="AY279" t="e">
        <f t="shared" si="202"/>
        <v>#REF!</v>
      </c>
      <c r="AZ279" t="e">
        <f t="shared" si="202"/>
        <v>#REF!</v>
      </c>
      <c r="BA279" t="e">
        <f t="shared" si="202"/>
        <v>#REF!</v>
      </c>
      <c r="BB279" t="e">
        <f t="shared" si="202"/>
        <v>#REF!</v>
      </c>
      <c r="BC279" t="e">
        <f t="shared" si="202"/>
        <v>#REF!</v>
      </c>
      <c r="BD279" t="e">
        <f t="shared" si="202"/>
        <v>#REF!</v>
      </c>
      <c r="BE279" t="e">
        <f t="shared" si="202"/>
        <v>#REF!</v>
      </c>
      <c r="BF279" t="e">
        <f t="shared" si="202"/>
        <v>#REF!</v>
      </c>
      <c r="BG279" t="e">
        <f t="shared" si="215"/>
        <v>#REF!</v>
      </c>
      <c r="BH279" t="e">
        <f t="shared" si="215"/>
        <v>#REF!</v>
      </c>
      <c r="BI279" t="e">
        <f t="shared" si="215"/>
        <v>#REF!</v>
      </c>
      <c r="BJ279" t="e">
        <f t="shared" si="215"/>
        <v>#REF!</v>
      </c>
      <c r="BK279" t="e">
        <f t="shared" si="215"/>
        <v>#REF!</v>
      </c>
      <c r="BL279" t="e">
        <f t="shared" si="197"/>
        <v>#REF!</v>
      </c>
      <c r="BM279" t="e">
        <f t="shared" si="197"/>
        <v>#REF!</v>
      </c>
      <c r="BN279" t="e">
        <f t="shared" si="197"/>
        <v>#REF!</v>
      </c>
      <c r="BO279" t="e">
        <f t="shared" si="197"/>
        <v>#REF!</v>
      </c>
      <c r="BP279" t="e">
        <f t="shared" si="197"/>
        <v>#REF!</v>
      </c>
      <c r="BQ279" t="e">
        <f t="shared" si="197"/>
        <v>#REF!</v>
      </c>
      <c r="BR279" t="e">
        <f t="shared" si="197"/>
        <v>#REF!</v>
      </c>
      <c r="BS279" t="e">
        <f t="shared" si="197"/>
        <v>#REF!</v>
      </c>
      <c r="BT279" t="e">
        <f t="shared" si="218"/>
        <v>#REF!</v>
      </c>
      <c r="BU279" t="e">
        <f t="shared" si="218"/>
        <v>#REF!</v>
      </c>
      <c r="BV279" t="e">
        <f t="shared" si="218"/>
        <v>#REF!</v>
      </c>
      <c r="BW279" t="e">
        <f t="shared" si="218"/>
        <v>#REF!</v>
      </c>
      <c r="BX279" t="e">
        <f t="shared" si="218"/>
        <v>#REF!</v>
      </c>
      <c r="BY279" t="e">
        <f t="shared" si="218"/>
        <v>#REF!</v>
      </c>
      <c r="BZ279" t="e">
        <f t="shared" si="218"/>
        <v>#REF!</v>
      </c>
      <c r="CA279" t="e">
        <f t="shared" si="218"/>
        <v>#REF!</v>
      </c>
      <c r="CB279" t="e">
        <f t="shared" si="218"/>
        <v>#REF!</v>
      </c>
      <c r="CC279" t="e">
        <f t="shared" si="218"/>
        <v>#REF!</v>
      </c>
      <c r="CD279" t="e">
        <f t="shared" si="218"/>
        <v>#REF!</v>
      </c>
      <c r="CE279" t="e">
        <f t="shared" si="218"/>
        <v>#REF!</v>
      </c>
      <c r="CF279" t="e">
        <f t="shared" si="217"/>
        <v>#REF!</v>
      </c>
      <c r="CG279" t="e">
        <f t="shared" si="217"/>
        <v>#REF!</v>
      </c>
      <c r="CH279" t="e">
        <f t="shared" si="217"/>
        <v>#REF!</v>
      </c>
      <c r="CI279" t="e">
        <f t="shared" si="217"/>
        <v>#REF!</v>
      </c>
      <c r="CJ279" t="e">
        <f t="shared" si="217"/>
        <v>#REF!</v>
      </c>
      <c r="CK279" t="e">
        <f t="shared" si="217"/>
        <v>#REF!</v>
      </c>
      <c r="CL279" t="e">
        <f t="shared" si="217"/>
        <v>#REF!</v>
      </c>
      <c r="CM279" t="e">
        <f t="shared" si="217"/>
        <v>#REF!</v>
      </c>
      <c r="CN279" t="e">
        <f t="shared" si="217"/>
        <v>#REF!</v>
      </c>
      <c r="CO279" t="e">
        <f t="shared" si="212"/>
        <v>#REF!</v>
      </c>
      <c r="CP279" t="e">
        <f t="shared" si="212"/>
        <v>#REF!</v>
      </c>
      <c r="CQ279" t="e">
        <f t="shared" si="212"/>
        <v>#REF!</v>
      </c>
      <c r="CR279" t="e">
        <f t="shared" si="212"/>
        <v>#REF!</v>
      </c>
      <c r="CS279" t="e">
        <f t="shared" si="212"/>
        <v>#REF!</v>
      </c>
      <c r="CT279" t="e">
        <f t="shared" si="212"/>
        <v>#REF!</v>
      </c>
      <c r="CU279" t="e">
        <f t="shared" si="212"/>
        <v>#REF!</v>
      </c>
      <c r="CV279" t="e">
        <f t="shared" si="212"/>
        <v>#REF!</v>
      </c>
      <c r="CW279" t="e">
        <f t="shared" si="213"/>
        <v>#REF!</v>
      </c>
      <c r="CX279" t="e">
        <f t="shared" si="213"/>
        <v>#REF!</v>
      </c>
      <c r="CY279" t="e">
        <f t="shared" si="213"/>
        <v>#REF!</v>
      </c>
      <c r="CZ279" t="e">
        <f t="shared" si="213"/>
        <v>#REF!</v>
      </c>
      <c r="DA279" t="e">
        <f t="shared" si="213"/>
        <v>#REF!</v>
      </c>
      <c r="DB279" t="e">
        <f t="shared" si="213"/>
        <v>#REF!</v>
      </c>
      <c r="DC279" t="e">
        <f t="shared" si="213"/>
        <v>#REF!</v>
      </c>
      <c r="DD279" t="e">
        <f t="shared" si="213"/>
        <v>#REF!</v>
      </c>
      <c r="DE279" t="e">
        <f t="shared" si="213"/>
        <v>#REF!</v>
      </c>
      <c r="DF279" t="e">
        <f t="shared" si="213"/>
        <v>#REF!</v>
      </c>
      <c r="DG279" t="e">
        <f t="shared" si="213"/>
        <v>#REF!</v>
      </c>
      <c r="DH279" t="e">
        <f t="shared" si="213"/>
        <v>#REF!</v>
      </c>
      <c r="DI279" t="e">
        <f t="shared" si="213"/>
        <v>#REF!</v>
      </c>
      <c r="DJ279" t="e">
        <f t="shared" si="208"/>
        <v>#REF!</v>
      </c>
      <c r="DK279" t="e">
        <f t="shared" si="208"/>
        <v>#REF!</v>
      </c>
      <c r="DL279" t="e">
        <f t="shared" si="208"/>
        <v>#REF!</v>
      </c>
      <c r="DM279" t="e">
        <f t="shared" si="208"/>
        <v>#REF!</v>
      </c>
      <c r="DN279" t="e">
        <f t="shared" si="208"/>
        <v>#REF!</v>
      </c>
      <c r="DO279" t="e">
        <f t="shared" si="208"/>
        <v>#REF!</v>
      </c>
      <c r="DP279" t="e">
        <f t="shared" si="208"/>
        <v>#REF!</v>
      </c>
      <c r="DQ279" t="e">
        <f t="shared" si="208"/>
        <v>#REF!</v>
      </c>
      <c r="DR279" t="e">
        <f t="shared" si="208"/>
        <v>#REF!</v>
      </c>
      <c r="DS279" t="e">
        <f t="shared" si="208"/>
        <v>#REF!</v>
      </c>
      <c r="DT279" t="e">
        <f t="shared" si="208"/>
        <v>#REF!</v>
      </c>
      <c r="DU279" t="e">
        <f t="shared" si="208"/>
        <v>#REF!</v>
      </c>
      <c r="DV279" t="e">
        <f t="shared" si="208"/>
        <v>#REF!</v>
      </c>
      <c r="DW279" t="e">
        <f t="shared" ref="DW279:EL288" si="221">MATCH(CONCATENATE(DW$3,"_",$C279),auto_DataFlat_UID,0)</f>
        <v>#REF!</v>
      </c>
      <c r="DX279" t="e">
        <f t="shared" si="221"/>
        <v>#REF!</v>
      </c>
      <c r="DY279" t="e">
        <f t="shared" si="221"/>
        <v>#REF!</v>
      </c>
      <c r="DZ279" t="e">
        <f t="shared" si="221"/>
        <v>#REF!</v>
      </c>
      <c r="EA279" t="e">
        <f t="shared" si="221"/>
        <v>#REF!</v>
      </c>
      <c r="EB279" t="e">
        <f t="shared" si="221"/>
        <v>#REF!</v>
      </c>
      <c r="EC279" t="e">
        <f t="shared" si="221"/>
        <v>#REF!</v>
      </c>
      <c r="ED279" t="e">
        <f t="shared" si="221"/>
        <v>#REF!</v>
      </c>
      <c r="EE279" t="e">
        <f t="shared" si="221"/>
        <v>#REF!</v>
      </c>
      <c r="EF279" t="e">
        <f t="shared" si="221"/>
        <v>#REF!</v>
      </c>
      <c r="EG279" t="e">
        <f t="shared" si="221"/>
        <v>#REF!</v>
      </c>
      <c r="EH279" t="e">
        <f t="shared" si="221"/>
        <v>#REF!</v>
      </c>
      <c r="EI279" t="e">
        <f t="shared" si="221"/>
        <v>#REF!</v>
      </c>
      <c r="EJ279" t="e">
        <f t="shared" si="221"/>
        <v>#REF!</v>
      </c>
      <c r="EK279" t="e">
        <f t="shared" si="221"/>
        <v>#REF!</v>
      </c>
      <c r="EL279" t="e">
        <f t="shared" si="221"/>
        <v>#REF!</v>
      </c>
      <c r="EM279" t="e">
        <f t="shared" si="219"/>
        <v>#REF!</v>
      </c>
    </row>
    <row r="280" spans="1:143" x14ac:dyDescent="0.4">
      <c r="A280" t="str">
        <f t="shared" si="206"/>
        <v>X</v>
      </c>
      <c r="B280">
        <v>277</v>
      </c>
      <c r="C280" t="e" cm="1">
        <f t="array" ref="C280">INDEX(auto_Series_Code,B280)</f>
        <v>#REF!</v>
      </c>
      <c r="D280" t="e">
        <f t="shared" ref="D280:S288" si="222">MATCH(CONCATENATE(D$3,"_",$C280),auto_DataFlat_UID,0)</f>
        <v>#REF!</v>
      </c>
      <c r="E280" t="e">
        <f t="shared" si="222"/>
        <v>#REF!</v>
      </c>
      <c r="F280" t="e">
        <f t="shared" si="222"/>
        <v>#REF!</v>
      </c>
      <c r="G280" t="e">
        <f t="shared" si="222"/>
        <v>#REF!</v>
      </c>
      <c r="H280" t="e">
        <f t="shared" si="222"/>
        <v>#REF!</v>
      </c>
      <c r="I280" t="e">
        <f t="shared" si="222"/>
        <v>#REF!</v>
      </c>
      <c r="J280" t="e">
        <f t="shared" si="222"/>
        <v>#REF!</v>
      </c>
      <c r="K280" t="e">
        <f t="shared" si="222"/>
        <v>#REF!</v>
      </c>
      <c r="L280" t="e">
        <f t="shared" si="222"/>
        <v>#REF!</v>
      </c>
      <c r="M280" t="e">
        <f t="shared" si="222"/>
        <v>#REF!</v>
      </c>
      <c r="N280" t="e">
        <f t="shared" si="222"/>
        <v>#REF!</v>
      </c>
      <c r="O280" t="e">
        <f t="shared" si="222"/>
        <v>#REF!</v>
      </c>
      <c r="P280" t="e">
        <f t="shared" si="222"/>
        <v>#REF!</v>
      </c>
      <c r="Q280" t="e">
        <f t="shared" si="222"/>
        <v>#REF!</v>
      </c>
      <c r="R280" t="e">
        <f t="shared" si="222"/>
        <v>#REF!</v>
      </c>
      <c r="S280" t="e">
        <f t="shared" si="222"/>
        <v>#REF!</v>
      </c>
      <c r="T280" t="e">
        <f t="shared" si="220"/>
        <v>#REF!</v>
      </c>
      <c r="U280" t="e">
        <f t="shared" si="220"/>
        <v>#REF!</v>
      </c>
      <c r="V280" t="e">
        <f t="shared" si="220"/>
        <v>#REF!</v>
      </c>
      <c r="W280" t="e">
        <f t="shared" si="220"/>
        <v>#REF!</v>
      </c>
      <c r="X280" t="e">
        <f t="shared" si="207"/>
        <v>#REF!</v>
      </c>
      <c r="Y280" t="e">
        <f t="shared" si="207"/>
        <v>#REF!</v>
      </c>
      <c r="Z280" t="e">
        <f t="shared" si="207"/>
        <v>#REF!</v>
      </c>
      <c r="AA280" t="e">
        <f t="shared" si="207"/>
        <v>#REF!</v>
      </c>
      <c r="AB280" t="e">
        <f t="shared" si="207"/>
        <v>#REF!</v>
      </c>
      <c r="AC280" t="e">
        <f t="shared" si="207"/>
        <v>#REF!</v>
      </c>
      <c r="AD280" t="e">
        <f t="shared" si="207"/>
        <v>#REF!</v>
      </c>
      <c r="AE280" t="e">
        <f t="shared" si="207"/>
        <v>#REF!</v>
      </c>
      <c r="AF280" t="e">
        <f t="shared" si="207"/>
        <v>#REF!</v>
      </c>
      <c r="AG280" t="e">
        <f t="shared" si="207"/>
        <v>#REF!</v>
      </c>
      <c r="AH280" t="e">
        <f t="shared" si="216"/>
        <v>#REF!</v>
      </c>
      <c r="AI280" t="e">
        <f t="shared" si="216"/>
        <v>#REF!</v>
      </c>
      <c r="AJ280" t="e">
        <f t="shared" si="216"/>
        <v>#REF!</v>
      </c>
      <c r="AK280" t="e">
        <f t="shared" si="216"/>
        <v>#REF!</v>
      </c>
      <c r="AL280" t="e">
        <f t="shared" si="216"/>
        <v>#REF!</v>
      </c>
      <c r="AM280" t="e">
        <f t="shared" si="216"/>
        <v>#REF!</v>
      </c>
      <c r="AN280" t="e">
        <f t="shared" si="216"/>
        <v>#REF!</v>
      </c>
      <c r="AO280" t="e">
        <f t="shared" si="216"/>
        <v>#REF!</v>
      </c>
      <c r="AP280" t="e">
        <f t="shared" si="216"/>
        <v>#REF!</v>
      </c>
      <c r="AQ280" t="e">
        <f t="shared" si="216"/>
        <v>#REF!</v>
      </c>
      <c r="AR280" t="e">
        <f t="shared" si="202"/>
        <v>#REF!</v>
      </c>
      <c r="AS280" t="e">
        <f t="shared" si="202"/>
        <v>#REF!</v>
      </c>
      <c r="AT280" t="e">
        <f t="shared" si="202"/>
        <v>#REF!</v>
      </c>
      <c r="AU280" t="e">
        <f t="shared" si="202"/>
        <v>#REF!</v>
      </c>
      <c r="AV280" t="e">
        <f t="shared" si="202"/>
        <v>#REF!</v>
      </c>
      <c r="AW280" t="e">
        <f t="shared" si="202"/>
        <v>#REF!</v>
      </c>
      <c r="AX280" t="e">
        <f t="shared" si="202"/>
        <v>#REF!</v>
      </c>
      <c r="AY280" t="e">
        <f t="shared" si="202"/>
        <v>#REF!</v>
      </c>
      <c r="AZ280" t="e">
        <f t="shared" si="202"/>
        <v>#REF!</v>
      </c>
      <c r="BA280" t="e">
        <f t="shared" si="202"/>
        <v>#REF!</v>
      </c>
      <c r="BB280" t="e">
        <f t="shared" si="202"/>
        <v>#REF!</v>
      </c>
      <c r="BC280" t="e">
        <f t="shared" si="202"/>
        <v>#REF!</v>
      </c>
      <c r="BD280" t="e">
        <f t="shared" si="202"/>
        <v>#REF!</v>
      </c>
      <c r="BE280" t="e">
        <f t="shared" si="202"/>
        <v>#REF!</v>
      </c>
      <c r="BF280" t="e">
        <f t="shared" si="202"/>
        <v>#REF!</v>
      </c>
      <c r="BG280" t="e">
        <f t="shared" si="215"/>
        <v>#REF!</v>
      </c>
      <c r="BH280" t="e">
        <f t="shared" si="215"/>
        <v>#REF!</v>
      </c>
      <c r="BI280" t="e">
        <f t="shared" si="215"/>
        <v>#REF!</v>
      </c>
      <c r="BJ280" t="e">
        <f t="shared" si="215"/>
        <v>#REF!</v>
      </c>
      <c r="BK280" t="e">
        <f t="shared" si="215"/>
        <v>#REF!</v>
      </c>
      <c r="BL280" t="e">
        <f t="shared" si="197"/>
        <v>#REF!</v>
      </c>
      <c r="BM280" t="e">
        <f t="shared" si="197"/>
        <v>#REF!</v>
      </c>
      <c r="BN280" t="e">
        <f t="shared" si="197"/>
        <v>#REF!</v>
      </c>
      <c r="BO280" t="e">
        <f t="shared" si="197"/>
        <v>#REF!</v>
      </c>
      <c r="BP280" t="e">
        <f t="shared" si="197"/>
        <v>#REF!</v>
      </c>
      <c r="BQ280" t="e">
        <f t="shared" si="197"/>
        <v>#REF!</v>
      </c>
      <c r="BR280" t="e">
        <f t="shared" si="197"/>
        <v>#REF!</v>
      </c>
      <c r="BS280" t="e">
        <f t="shared" si="197"/>
        <v>#REF!</v>
      </c>
      <c r="BT280" t="e">
        <f t="shared" si="218"/>
        <v>#REF!</v>
      </c>
      <c r="BU280" t="e">
        <f t="shared" si="218"/>
        <v>#REF!</v>
      </c>
      <c r="BV280" t="e">
        <f t="shared" si="218"/>
        <v>#REF!</v>
      </c>
      <c r="BW280" t="e">
        <f t="shared" si="218"/>
        <v>#REF!</v>
      </c>
      <c r="BX280" t="e">
        <f t="shared" si="218"/>
        <v>#REF!</v>
      </c>
      <c r="BY280" t="e">
        <f t="shared" si="218"/>
        <v>#REF!</v>
      </c>
      <c r="BZ280" t="e">
        <f t="shared" si="218"/>
        <v>#REF!</v>
      </c>
      <c r="CA280" t="e">
        <f t="shared" si="218"/>
        <v>#REF!</v>
      </c>
      <c r="CB280" t="e">
        <f t="shared" si="218"/>
        <v>#REF!</v>
      </c>
      <c r="CC280" t="e">
        <f t="shared" si="218"/>
        <v>#REF!</v>
      </c>
      <c r="CD280" t="e">
        <f t="shared" si="218"/>
        <v>#REF!</v>
      </c>
      <c r="CE280" t="e">
        <f t="shared" si="218"/>
        <v>#REF!</v>
      </c>
      <c r="CF280" t="e">
        <f t="shared" si="217"/>
        <v>#REF!</v>
      </c>
      <c r="CG280" t="e">
        <f t="shared" si="217"/>
        <v>#REF!</v>
      </c>
      <c r="CH280" t="e">
        <f t="shared" si="217"/>
        <v>#REF!</v>
      </c>
      <c r="CI280" t="e">
        <f t="shared" si="217"/>
        <v>#REF!</v>
      </c>
      <c r="CJ280" t="e">
        <f t="shared" si="217"/>
        <v>#REF!</v>
      </c>
      <c r="CK280" t="e">
        <f t="shared" si="217"/>
        <v>#REF!</v>
      </c>
      <c r="CL280" t="e">
        <f t="shared" si="217"/>
        <v>#REF!</v>
      </c>
      <c r="CM280" t="e">
        <f t="shared" si="217"/>
        <v>#REF!</v>
      </c>
      <c r="CN280" t="e">
        <f t="shared" si="217"/>
        <v>#REF!</v>
      </c>
      <c r="CO280" t="e">
        <f t="shared" si="212"/>
        <v>#REF!</v>
      </c>
      <c r="CP280" t="e">
        <f t="shared" si="212"/>
        <v>#REF!</v>
      </c>
      <c r="CQ280" t="e">
        <f t="shared" si="212"/>
        <v>#REF!</v>
      </c>
      <c r="CR280" t="e">
        <f t="shared" si="212"/>
        <v>#REF!</v>
      </c>
      <c r="CS280" t="e">
        <f t="shared" si="212"/>
        <v>#REF!</v>
      </c>
      <c r="CT280" t="e">
        <f t="shared" si="212"/>
        <v>#REF!</v>
      </c>
      <c r="CU280" t="e">
        <f t="shared" si="212"/>
        <v>#REF!</v>
      </c>
      <c r="CV280" t="e">
        <f t="shared" si="212"/>
        <v>#REF!</v>
      </c>
      <c r="CW280" t="e">
        <f t="shared" si="213"/>
        <v>#REF!</v>
      </c>
      <c r="CX280" t="e">
        <f t="shared" si="213"/>
        <v>#REF!</v>
      </c>
      <c r="CY280" t="e">
        <f t="shared" si="213"/>
        <v>#REF!</v>
      </c>
      <c r="CZ280" t="e">
        <f t="shared" si="213"/>
        <v>#REF!</v>
      </c>
      <c r="DA280" t="e">
        <f t="shared" si="213"/>
        <v>#REF!</v>
      </c>
      <c r="DB280" t="e">
        <f t="shared" si="213"/>
        <v>#REF!</v>
      </c>
      <c r="DC280" t="e">
        <f t="shared" si="213"/>
        <v>#REF!</v>
      </c>
      <c r="DD280" t="e">
        <f t="shared" si="213"/>
        <v>#REF!</v>
      </c>
      <c r="DE280" t="e">
        <f t="shared" si="213"/>
        <v>#REF!</v>
      </c>
      <c r="DF280" t="e">
        <f t="shared" si="213"/>
        <v>#REF!</v>
      </c>
      <c r="DG280" t="e">
        <f t="shared" si="213"/>
        <v>#REF!</v>
      </c>
      <c r="DH280" t="e">
        <f t="shared" si="213"/>
        <v>#REF!</v>
      </c>
      <c r="DI280" t="e">
        <f t="shared" si="213"/>
        <v>#REF!</v>
      </c>
      <c r="DJ280" t="e">
        <f t="shared" si="208"/>
        <v>#REF!</v>
      </c>
      <c r="DK280" t="e">
        <f t="shared" si="208"/>
        <v>#REF!</v>
      </c>
      <c r="DL280" t="e">
        <f t="shared" si="208"/>
        <v>#REF!</v>
      </c>
      <c r="DM280" t="e">
        <f t="shared" si="208"/>
        <v>#REF!</v>
      </c>
      <c r="DN280" t="e">
        <f t="shared" si="208"/>
        <v>#REF!</v>
      </c>
      <c r="DO280" t="e">
        <f t="shared" si="208"/>
        <v>#REF!</v>
      </c>
      <c r="DP280" t="e">
        <f t="shared" si="208"/>
        <v>#REF!</v>
      </c>
      <c r="DQ280" t="e">
        <f t="shared" si="208"/>
        <v>#REF!</v>
      </c>
      <c r="DR280" t="e">
        <f t="shared" si="208"/>
        <v>#REF!</v>
      </c>
      <c r="DS280" t="e">
        <f t="shared" si="208"/>
        <v>#REF!</v>
      </c>
      <c r="DT280" t="e">
        <f t="shared" si="208"/>
        <v>#REF!</v>
      </c>
      <c r="DU280" t="e">
        <f t="shared" si="208"/>
        <v>#REF!</v>
      </c>
      <c r="DV280" t="e">
        <f t="shared" si="208"/>
        <v>#REF!</v>
      </c>
      <c r="DW280" t="e">
        <f t="shared" si="221"/>
        <v>#REF!</v>
      </c>
      <c r="DX280" t="e">
        <f t="shared" si="221"/>
        <v>#REF!</v>
      </c>
      <c r="DY280" t="e">
        <f t="shared" si="221"/>
        <v>#REF!</v>
      </c>
      <c r="DZ280" t="e">
        <f t="shared" si="221"/>
        <v>#REF!</v>
      </c>
      <c r="EA280" t="e">
        <f t="shared" si="221"/>
        <v>#REF!</v>
      </c>
      <c r="EB280" t="e">
        <f t="shared" si="221"/>
        <v>#REF!</v>
      </c>
      <c r="EC280" t="e">
        <f t="shared" si="221"/>
        <v>#REF!</v>
      </c>
      <c r="ED280" t="e">
        <f t="shared" si="221"/>
        <v>#REF!</v>
      </c>
      <c r="EE280" t="e">
        <f t="shared" si="221"/>
        <v>#REF!</v>
      </c>
      <c r="EF280" t="e">
        <f t="shared" si="221"/>
        <v>#REF!</v>
      </c>
      <c r="EG280" t="e">
        <f t="shared" si="221"/>
        <v>#REF!</v>
      </c>
      <c r="EH280" t="e">
        <f t="shared" si="221"/>
        <v>#REF!</v>
      </c>
      <c r="EI280" t="e">
        <f t="shared" si="221"/>
        <v>#REF!</v>
      </c>
      <c r="EJ280" t="e">
        <f t="shared" si="221"/>
        <v>#REF!</v>
      </c>
      <c r="EK280" t="e">
        <f t="shared" si="221"/>
        <v>#REF!</v>
      </c>
      <c r="EL280" t="e">
        <f t="shared" si="221"/>
        <v>#REF!</v>
      </c>
      <c r="EM280" t="e">
        <f t="shared" si="219"/>
        <v>#REF!</v>
      </c>
    </row>
    <row r="281" spans="1:143" x14ac:dyDescent="0.4">
      <c r="A281" t="str">
        <f t="shared" si="206"/>
        <v>X</v>
      </c>
      <c r="B281">
        <v>278</v>
      </c>
      <c r="C281" t="e" cm="1">
        <f t="array" ref="C281">INDEX(auto_Series_Code,B281)</f>
        <v>#REF!</v>
      </c>
      <c r="D281" t="e">
        <f t="shared" si="222"/>
        <v>#REF!</v>
      </c>
      <c r="E281" t="e">
        <f t="shared" si="222"/>
        <v>#REF!</v>
      </c>
      <c r="F281" t="e">
        <f t="shared" si="222"/>
        <v>#REF!</v>
      </c>
      <c r="G281" t="e">
        <f t="shared" si="222"/>
        <v>#REF!</v>
      </c>
      <c r="H281" t="e">
        <f t="shared" si="222"/>
        <v>#REF!</v>
      </c>
      <c r="I281" t="e">
        <f t="shared" si="222"/>
        <v>#REF!</v>
      </c>
      <c r="J281" t="e">
        <f t="shared" si="222"/>
        <v>#REF!</v>
      </c>
      <c r="K281" t="e">
        <f t="shared" si="222"/>
        <v>#REF!</v>
      </c>
      <c r="L281" t="e">
        <f t="shared" si="222"/>
        <v>#REF!</v>
      </c>
      <c r="M281" t="e">
        <f t="shared" si="222"/>
        <v>#REF!</v>
      </c>
      <c r="N281" t="e">
        <f t="shared" si="222"/>
        <v>#REF!</v>
      </c>
      <c r="O281" t="e">
        <f t="shared" si="222"/>
        <v>#REF!</v>
      </c>
      <c r="P281" t="e">
        <f t="shared" si="222"/>
        <v>#REF!</v>
      </c>
      <c r="Q281" t="e">
        <f t="shared" si="222"/>
        <v>#REF!</v>
      </c>
      <c r="R281" t="e">
        <f t="shared" si="222"/>
        <v>#REF!</v>
      </c>
      <c r="S281" t="e">
        <f t="shared" si="222"/>
        <v>#REF!</v>
      </c>
      <c r="T281" t="e">
        <f t="shared" si="220"/>
        <v>#REF!</v>
      </c>
      <c r="U281" t="e">
        <f t="shared" si="220"/>
        <v>#REF!</v>
      </c>
      <c r="V281" t="e">
        <f t="shared" si="220"/>
        <v>#REF!</v>
      </c>
      <c r="W281" t="e">
        <f t="shared" si="220"/>
        <v>#REF!</v>
      </c>
      <c r="X281" t="e">
        <f t="shared" si="207"/>
        <v>#REF!</v>
      </c>
      <c r="Y281" t="e">
        <f t="shared" si="207"/>
        <v>#REF!</v>
      </c>
      <c r="Z281" t="e">
        <f t="shared" si="207"/>
        <v>#REF!</v>
      </c>
      <c r="AA281" t="e">
        <f t="shared" si="207"/>
        <v>#REF!</v>
      </c>
      <c r="AB281" t="e">
        <f t="shared" si="207"/>
        <v>#REF!</v>
      </c>
      <c r="AC281" t="e">
        <f t="shared" si="207"/>
        <v>#REF!</v>
      </c>
      <c r="AD281" t="e">
        <f t="shared" si="207"/>
        <v>#REF!</v>
      </c>
      <c r="AE281" t="e">
        <f t="shared" si="207"/>
        <v>#REF!</v>
      </c>
      <c r="AF281" t="e">
        <f t="shared" si="207"/>
        <v>#REF!</v>
      </c>
      <c r="AG281" t="e">
        <f t="shared" si="207"/>
        <v>#REF!</v>
      </c>
      <c r="AH281" t="e">
        <f t="shared" si="216"/>
        <v>#REF!</v>
      </c>
      <c r="AI281" t="e">
        <f t="shared" si="216"/>
        <v>#REF!</v>
      </c>
      <c r="AJ281" t="e">
        <f t="shared" si="216"/>
        <v>#REF!</v>
      </c>
      <c r="AK281" t="e">
        <f t="shared" si="216"/>
        <v>#REF!</v>
      </c>
      <c r="AL281" t="e">
        <f t="shared" si="216"/>
        <v>#REF!</v>
      </c>
      <c r="AM281" t="e">
        <f t="shared" si="216"/>
        <v>#REF!</v>
      </c>
      <c r="AN281" t="e">
        <f t="shared" si="216"/>
        <v>#REF!</v>
      </c>
      <c r="AO281" t="e">
        <f t="shared" si="216"/>
        <v>#REF!</v>
      </c>
      <c r="AP281" t="e">
        <f t="shared" si="216"/>
        <v>#REF!</v>
      </c>
      <c r="AQ281" t="e">
        <f t="shared" si="216"/>
        <v>#REF!</v>
      </c>
      <c r="AR281" t="e">
        <f t="shared" si="202"/>
        <v>#REF!</v>
      </c>
      <c r="AS281" t="e">
        <f t="shared" si="202"/>
        <v>#REF!</v>
      </c>
      <c r="AT281" t="e">
        <f t="shared" si="202"/>
        <v>#REF!</v>
      </c>
      <c r="AU281" t="e">
        <f t="shared" si="202"/>
        <v>#REF!</v>
      </c>
      <c r="AV281" t="e">
        <f t="shared" si="202"/>
        <v>#REF!</v>
      </c>
      <c r="AW281" t="e">
        <f t="shared" si="202"/>
        <v>#REF!</v>
      </c>
      <c r="AX281" t="e">
        <f t="shared" si="202"/>
        <v>#REF!</v>
      </c>
      <c r="AY281" t="e">
        <f t="shared" si="202"/>
        <v>#REF!</v>
      </c>
      <c r="AZ281" t="e">
        <f t="shared" si="202"/>
        <v>#REF!</v>
      </c>
      <c r="BA281" t="e">
        <f t="shared" si="202"/>
        <v>#REF!</v>
      </c>
      <c r="BB281" t="e">
        <f t="shared" si="202"/>
        <v>#REF!</v>
      </c>
      <c r="BC281" t="e">
        <f t="shared" si="202"/>
        <v>#REF!</v>
      </c>
      <c r="BD281" t="e">
        <f t="shared" si="202"/>
        <v>#REF!</v>
      </c>
      <c r="BE281" t="e">
        <f t="shared" si="202"/>
        <v>#REF!</v>
      </c>
      <c r="BF281" t="e">
        <f t="shared" ref="BF281:BU288" si="223">MATCH(CONCATENATE(BF$3,"_",$C281),auto_DataFlat_UID,0)</f>
        <v>#REF!</v>
      </c>
      <c r="BG281" t="e">
        <f t="shared" si="223"/>
        <v>#REF!</v>
      </c>
      <c r="BH281" t="e">
        <f t="shared" si="223"/>
        <v>#REF!</v>
      </c>
      <c r="BI281" t="e">
        <f t="shared" si="223"/>
        <v>#REF!</v>
      </c>
      <c r="BJ281" t="e">
        <f t="shared" si="223"/>
        <v>#REF!</v>
      </c>
      <c r="BK281" t="e">
        <f t="shared" si="223"/>
        <v>#REF!</v>
      </c>
      <c r="BL281" t="e">
        <f t="shared" si="197"/>
        <v>#REF!</v>
      </c>
      <c r="BM281" t="e">
        <f t="shared" si="197"/>
        <v>#REF!</v>
      </c>
      <c r="BN281" t="e">
        <f t="shared" si="197"/>
        <v>#REF!</v>
      </c>
      <c r="BO281" t="e">
        <f t="shared" si="197"/>
        <v>#REF!</v>
      </c>
      <c r="BP281" t="e">
        <f t="shared" si="197"/>
        <v>#REF!</v>
      </c>
      <c r="BQ281" t="e">
        <f t="shared" si="197"/>
        <v>#REF!</v>
      </c>
      <c r="BR281" t="e">
        <f t="shared" si="197"/>
        <v>#REF!</v>
      </c>
      <c r="BS281" t="e">
        <f t="shared" si="197"/>
        <v>#REF!</v>
      </c>
      <c r="BT281" t="e">
        <f t="shared" si="218"/>
        <v>#REF!</v>
      </c>
      <c r="BU281" t="e">
        <f t="shared" si="218"/>
        <v>#REF!</v>
      </c>
      <c r="BV281" t="e">
        <f t="shared" si="218"/>
        <v>#REF!</v>
      </c>
      <c r="BW281" t="e">
        <f t="shared" si="218"/>
        <v>#REF!</v>
      </c>
      <c r="BX281" t="e">
        <f t="shared" si="218"/>
        <v>#REF!</v>
      </c>
      <c r="BY281" t="e">
        <f t="shared" si="218"/>
        <v>#REF!</v>
      </c>
      <c r="BZ281" t="e">
        <f t="shared" si="218"/>
        <v>#REF!</v>
      </c>
      <c r="CA281" t="e">
        <f t="shared" si="218"/>
        <v>#REF!</v>
      </c>
      <c r="CB281" t="e">
        <f t="shared" si="218"/>
        <v>#REF!</v>
      </c>
      <c r="CC281" t="e">
        <f t="shared" si="218"/>
        <v>#REF!</v>
      </c>
      <c r="CD281" t="e">
        <f t="shared" si="218"/>
        <v>#REF!</v>
      </c>
      <c r="CE281" t="e">
        <f t="shared" si="218"/>
        <v>#REF!</v>
      </c>
      <c r="CF281" t="e">
        <f t="shared" si="217"/>
        <v>#REF!</v>
      </c>
      <c r="CG281" t="e">
        <f t="shared" si="217"/>
        <v>#REF!</v>
      </c>
      <c r="CH281" t="e">
        <f t="shared" si="217"/>
        <v>#REF!</v>
      </c>
      <c r="CI281" t="e">
        <f t="shared" si="217"/>
        <v>#REF!</v>
      </c>
      <c r="CJ281" t="e">
        <f t="shared" si="217"/>
        <v>#REF!</v>
      </c>
      <c r="CK281" t="e">
        <f t="shared" si="217"/>
        <v>#REF!</v>
      </c>
      <c r="CL281" t="e">
        <f t="shared" si="217"/>
        <v>#REF!</v>
      </c>
      <c r="CM281" t="e">
        <f t="shared" si="217"/>
        <v>#REF!</v>
      </c>
      <c r="CN281" t="e">
        <f t="shared" si="217"/>
        <v>#REF!</v>
      </c>
      <c r="CO281" t="e">
        <f t="shared" si="212"/>
        <v>#REF!</v>
      </c>
      <c r="CP281" t="e">
        <f t="shared" si="212"/>
        <v>#REF!</v>
      </c>
      <c r="CQ281" t="e">
        <f t="shared" si="212"/>
        <v>#REF!</v>
      </c>
      <c r="CR281" t="e">
        <f t="shared" si="212"/>
        <v>#REF!</v>
      </c>
      <c r="CS281" t="e">
        <f t="shared" si="212"/>
        <v>#REF!</v>
      </c>
      <c r="CT281" t="e">
        <f t="shared" si="212"/>
        <v>#REF!</v>
      </c>
      <c r="CU281" t="e">
        <f t="shared" si="212"/>
        <v>#REF!</v>
      </c>
      <c r="CV281" t="e">
        <f t="shared" si="212"/>
        <v>#REF!</v>
      </c>
      <c r="CW281" t="e">
        <f t="shared" si="213"/>
        <v>#REF!</v>
      </c>
      <c r="CX281" t="e">
        <f t="shared" si="213"/>
        <v>#REF!</v>
      </c>
      <c r="CY281" t="e">
        <f t="shared" si="213"/>
        <v>#REF!</v>
      </c>
      <c r="CZ281" t="e">
        <f t="shared" si="213"/>
        <v>#REF!</v>
      </c>
      <c r="DA281" t="e">
        <f t="shared" si="213"/>
        <v>#REF!</v>
      </c>
      <c r="DB281" t="e">
        <f t="shared" si="213"/>
        <v>#REF!</v>
      </c>
      <c r="DC281" t="e">
        <f t="shared" si="213"/>
        <v>#REF!</v>
      </c>
      <c r="DD281" t="e">
        <f t="shared" si="213"/>
        <v>#REF!</v>
      </c>
      <c r="DE281" t="e">
        <f t="shared" si="213"/>
        <v>#REF!</v>
      </c>
      <c r="DF281" t="e">
        <f t="shared" si="213"/>
        <v>#REF!</v>
      </c>
      <c r="DG281" t="e">
        <f t="shared" si="213"/>
        <v>#REF!</v>
      </c>
      <c r="DH281" t="e">
        <f t="shared" si="213"/>
        <v>#REF!</v>
      </c>
      <c r="DI281" t="e">
        <f t="shared" si="213"/>
        <v>#REF!</v>
      </c>
      <c r="DJ281" t="e">
        <f t="shared" si="208"/>
        <v>#REF!</v>
      </c>
      <c r="DK281" t="e">
        <f t="shared" si="208"/>
        <v>#REF!</v>
      </c>
      <c r="DL281" t="e">
        <f t="shared" si="208"/>
        <v>#REF!</v>
      </c>
      <c r="DM281" t="e">
        <f t="shared" si="208"/>
        <v>#REF!</v>
      </c>
      <c r="DN281" t="e">
        <f t="shared" si="208"/>
        <v>#REF!</v>
      </c>
      <c r="DO281" t="e">
        <f t="shared" si="208"/>
        <v>#REF!</v>
      </c>
      <c r="DP281" t="e">
        <f t="shared" si="208"/>
        <v>#REF!</v>
      </c>
      <c r="DQ281" t="e">
        <f t="shared" si="208"/>
        <v>#REF!</v>
      </c>
      <c r="DR281" t="e">
        <f t="shared" si="208"/>
        <v>#REF!</v>
      </c>
      <c r="DS281" t="e">
        <f t="shared" si="208"/>
        <v>#REF!</v>
      </c>
      <c r="DT281" t="e">
        <f t="shared" si="208"/>
        <v>#REF!</v>
      </c>
      <c r="DU281" t="e">
        <f t="shared" si="208"/>
        <v>#REF!</v>
      </c>
      <c r="DV281" t="e">
        <f t="shared" si="208"/>
        <v>#REF!</v>
      </c>
      <c r="DW281" t="e">
        <f t="shared" si="221"/>
        <v>#REF!</v>
      </c>
      <c r="DX281" t="e">
        <f t="shared" si="221"/>
        <v>#REF!</v>
      </c>
      <c r="DY281" t="e">
        <f t="shared" si="221"/>
        <v>#REF!</v>
      </c>
      <c r="DZ281" t="e">
        <f t="shared" si="221"/>
        <v>#REF!</v>
      </c>
      <c r="EA281" t="e">
        <f t="shared" si="221"/>
        <v>#REF!</v>
      </c>
      <c r="EB281" t="e">
        <f t="shared" si="221"/>
        <v>#REF!</v>
      </c>
      <c r="EC281" t="e">
        <f t="shared" si="221"/>
        <v>#REF!</v>
      </c>
      <c r="ED281" t="e">
        <f t="shared" si="221"/>
        <v>#REF!</v>
      </c>
      <c r="EE281" t="e">
        <f t="shared" si="221"/>
        <v>#REF!</v>
      </c>
      <c r="EF281" t="e">
        <f t="shared" si="221"/>
        <v>#REF!</v>
      </c>
      <c r="EG281" t="e">
        <f t="shared" si="221"/>
        <v>#REF!</v>
      </c>
      <c r="EH281" t="e">
        <f t="shared" si="221"/>
        <v>#REF!</v>
      </c>
      <c r="EI281" t="e">
        <f t="shared" si="221"/>
        <v>#REF!</v>
      </c>
      <c r="EJ281" t="e">
        <f t="shared" si="221"/>
        <v>#REF!</v>
      </c>
      <c r="EK281" t="e">
        <f t="shared" si="221"/>
        <v>#REF!</v>
      </c>
      <c r="EL281" t="e">
        <f t="shared" si="221"/>
        <v>#REF!</v>
      </c>
      <c r="EM281" t="e">
        <f t="shared" si="219"/>
        <v>#REF!</v>
      </c>
    </row>
    <row r="282" spans="1:143" x14ac:dyDescent="0.4">
      <c r="A282" t="str">
        <f t="shared" si="206"/>
        <v>X</v>
      </c>
      <c r="B282">
        <v>279</v>
      </c>
      <c r="C282" t="e" cm="1">
        <f t="array" ref="C282">INDEX(auto_Series_Code,B282)</f>
        <v>#REF!</v>
      </c>
      <c r="D282" t="e">
        <f t="shared" si="222"/>
        <v>#REF!</v>
      </c>
      <c r="E282" t="e">
        <f t="shared" si="222"/>
        <v>#REF!</v>
      </c>
      <c r="F282" t="e">
        <f t="shared" si="222"/>
        <v>#REF!</v>
      </c>
      <c r="G282" t="e">
        <f t="shared" si="222"/>
        <v>#REF!</v>
      </c>
      <c r="H282" t="e">
        <f t="shared" si="222"/>
        <v>#REF!</v>
      </c>
      <c r="I282" t="e">
        <f t="shared" si="222"/>
        <v>#REF!</v>
      </c>
      <c r="J282" t="e">
        <f t="shared" si="222"/>
        <v>#REF!</v>
      </c>
      <c r="K282" t="e">
        <f t="shared" si="222"/>
        <v>#REF!</v>
      </c>
      <c r="L282" t="e">
        <f t="shared" si="222"/>
        <v>#REF!</v>
      </c>
      <c r="M282" t="e">
        <f t="shared" si="222"/>
        <v>#REF!</v>
      </c>
      <c r="N282" t="e">
        <f t="shared" si="222"/>
        <v>#REF!</v>
      </c>
      <c r="O282" t="e">
        <f t="shared" si="222"/>
        <v>#REF!</v>
      </c>
      <c r="P282" t="e">
        <f t="shared" si="222"/>
        <v>#REF!</v>
      </c>
      <c r="Q282" t="e">
        <f t="shared" si="222"/>
        <v>#REF!</v>
      </c>
      <c r="R282" t="e">
        <f t="shared" si="222"/>
        <v>#REF!</v>
      </c>
      <c r="S282" t="e">
        <f t="shared" si="222"/>
        <v>#REF!</v>
      </c>
      <c r="T282" t="e">
        <f t="shared" si="220"/>
        <v>#REF!</v>
      </c>
      <c r="U282" t="e">
        <f t="shared" si="220"/>
        <v>#REF!</v>
      </c>
      <c r="V282" t="e">
        <f t="shared" si="220"/>
        <v>#REF!</v>
      </c>
      <c r="W282" t="e">
        <f t="shared" si="220"/>
        <v>#REF!</v>
      </c>
      <c r="X282" t="e">
        <f t="shared" si="207"/>
        <v>#REF!</v>
      </c>
      <c r="Y282" t="e">
        <f t="shared" si="207"/>
        <v>#REF!</v>
      </c>
      <c r="Z282" t="e">
        <f t="shared" si="207"/>
        <v>#REF!</v>
      </c>
      <c r="AA282" t="e">
        <f t="shared" si="207"/>
        <v>#REF!</v>
      </c>
      <c r="AB282" t="e">
        <f t="shared" si="207"/>
        <v>#REF!</v>
      </c>
      <c r="AC282" t="e">
        <f t="shared" si="207"/>
        <v>#REF!</v>
      </c>
      <c r="AD282" t="e">
        <f t="shared" si="207"/>
        <v>#REF!</v>
      </c>
      <c r="AE282" t="e">
        <f t="shared" si="207"/>
        <v>#REF!</v>
      </c>
      <c r="AF282" t="e">
        <f t="shared" si="207"/>
        <v>#REF!</v>
      </c>
      <c r="AG282" t="e">
        <f t="shared" si="207"/>
        <v>#REF!</v>
      </c>
      <c r="AH282" t="e">
        <f t="shared" si="216"/>
        <v>#REF!</v>
      </c>
      <c r="AI282" t="e">
        <f t="shared" si="216"/>
        <v>#REF!</v>
      </c>
      <c r="AJ282" t="e">
        <f t="shared" si="216"/>
        <v>#REF!</v>
      </c>
      <c r="AK282" t="e">
        <f t="shared" si="216"/>
        <v>#REF!</v>
      </c>
      <c r="AL282" t="e">
        <f t="shared" si="216"/>
        <v>#REF!</v>
      </c>
      <c r="AM282" t="e">
        <f t="shared" si="216"/>
        <v>#REF!</v>
      </c>
      <c r="AN282" t="e">
        <f t="shared" si="216"/>
        <v>#REF!</v>
      </c>
      <c r="AO282" t="e">
        <f t="shared" si="216"/>
        <v>#REF!</v>
      </c>
      <c r="AP282" t="e">
        <f t="shared" si="216"/>
        <v>#REF!</v>
      </c>
      <c r="AQ282" t="e">
        <f t="shared" si="216"/>
        <v>#REF!</v>
      </c>
      <c r="AR282" t="e">
        <f t="shared" si="216"/>
        <v>#REF!</v>
      </c>
      <c r="AS282" t="e">
        <f t="shared" si="216"/>
        <v>#REF!</v>
      </c>
      <c r="AT282" t="e">
        <f t="shared" ref="AT282:BI288" si="224">MATCH(CONCATENATE(AT$3,"_",$C282),auto_DataFlat_UID,0)</f>
        <v>#REF!</v>
      </c>
      <c r="AU282" t="e">
        <f t="shared" si="224"/>
        <v>#REF!</v>
      </c>
      <c r="AV282" t="e">
        <f t="shared" si="224"/>
        <v>#REF!</v>
      </c>
      <c r="AW282" t="e">
        <f t="shared" si="224"/>
        <v>#REF!</v>
      </c>
      <c r="AX282" t="e">
        <f t="shared" si="224"/>
        <v>#REF!</v>
      </c>
      <c r="AY282" t="e">
        <f t="shared" si="224"/>
        <v>#REF!</v>
      </c>
      <c r="AZ282" t="e">
        <f t="shared" si="224"/>
        <v>#REF!</v>
      </c>
      <c r="BA282" t="e">
        <f t="shared" si="224"/>
        <v>#REF!</v>
      </c>
      <c r="BB282" t="e">
        <f t="shared" si="224"/>
        <v>#REF!</v>
      </c>
      <c r="BC282" t="e">
        <f t="shared" si="224"/>
        <v>#REF!</v>
      </c>
      <c r="BD282" t="e">
        <f t="shared" si="224"/>
        <v>#REF!</v>
      </c>
      <c r="BE282" t="e">
        <f t="shared" si="224"/>
        <v>#REF!</v>
      </c>
      <c r="BF282" t="e">
        <f t="shared" si="224"/>
        <v>#REF!</v>
      </c>
      <c r="BG282" t="e">
        <f t="shared" si="224"/>
        <v>#REF!</v>
      </c>
      <c r="BH282" t="e">
        <f t="shared" si="224"/>
        <v>#REF!</v>
      </c>
      <c r="BI282" t="e">
        <f t="shared" si="224"/>
        <v>#REF!</v>
      </c>
      <c r="BJ282" t="e">
        <f t="shared" si="223"/>
        <v>#REF!</v>
      </c>
      <c r="BK282" t="e">
        <f t="shared" si="223"/>
        <v>#REF!</v>
      </c>
      <c r="BL282" t="e">
        <f t="shared" si="197"/>
        <v>#REF!</v>
      </c>
      <c r="BM282" t="e">
        <f t="shared" si="197"/>
        <v>#REF!</v>
      </c>
      <c r="BN282" t="e">
        <f t="shared" si="197"/>
        <v>#REF!</v>
      </c>
      <c r="BO282" t="e">
        <f t="shared" si="197"/>
        <v>#REF!</v>
      </c>
      <c r="BP282" t="e">
        <f t="shared" si="197"/>
        <v>#REF!</v>
      </c>
      <c r="BQ282" t="e">
        <f t="shared" si="197"/>
        <v>#REF!</v>
      </c>
      <c r="BR282" t="e">
        <f t="shared" si="197"/>
        <v>#REF!</v>
      </c>
      <c r="BS282" t="e">
        <f t="shared" si="197"/>
        <v>#REF!</v>
      </c>
      <c r="BT282" t="e">
        <f t="shared" si="218"/>
        <v>#REF!</v>
      </c>
      <c r="BU282" t="e">
        <f t="shared" si="218"/>
        <v>#REF!</v>
      </c>
      <c r="BV282" t="e">
        <f t="shared" si="218"/>
        <v>#REF!</v>
      </c>
      <c r="BW282" t="e">
        <f t="shared" si="218"/>
        <v>#REF!</v>
      </c>
      <c r="BX282" t="e">
        <f t="shared" si="218"/>
        <v>#REF!</v>
      </c>
      <c r="BY282" t="e">
        <f t="shared" si="218"/>
        <v>#REF!</v>
      </c>
      <c r="BZ282" t="e">
        <f t="shared" si="218"/>
        <v>#REF!</v>
      </c>
      <c r="CA282" t="e">
        <f t="shared" si="218"/>
        <v>#REF!</v>
      </c>
      <c r="CB282" t="e">
        <f t="shared" si="218"/>
        <v>#REF!</v>
      </c>
      <c r="CC282" t="e">
        <f t="shared" si="218"/>
        <v>#REF!</v>
      </c>
      <c r="CD282" t="e">
        <f t="shared" si="218"/>
        <v>#REF!</v>
      </c>
      <c r="CE282" t="e">
        <f t="shared" si="218"/>
        <v>#REF!</v>
      </c>
      <c r="CF282" t="e">
        <f t="shared" si="217"/>
        <v>#REF!</v>
      </c>
      <c r="CG282" t="e">
        <f t="shared" si="217"/>
        <v>#REF!</v>
      </c>
      <c r="CH282" t="e">
        <f t="shared" si="217"/>
        <v>#REF!</v>
      </c>
      <c r="CI282" t="e">
        <f t="shared" si="217"/>
        <v>#REF!</v>
      </c>
      <c r="CJ282" t="e">
        <f t="shared" si="217"/>
        <v>#REF!</v>
      </c>
      <c r="CK282" t="e">
        <f t="shared" si="217"/>
        <v>#REF!</v>
      </c>
      <c r="CL282" t="e">
        <f t="shared" si="217"/>
        <v>#REF!</v>
      </c>
      <c r="CM282" t="e">
        <f t="shared" si="217"/>
        <v>#REF!</v>
      </c>
      <c r="CN282" t="e">
        <f t="shared" si="217"/>
        <v>#REF!</v>
      </c>
      <c r="CO282" t="e">
        <f t="shared" si="212"/>
        <v>#REF!</v>
      </c>
      <c r="CP282" t="e">
        <f t="shared" si="212"/>
        <v>#REF!</v>
      </c>
      <c r="CQ282" t="e">
        <f t="shared" si="212"/>
        <v>#REF!</v>
      </c>
      <c r="CR282" t="e">
        <f t="shared" si="212"/>
        <v>#REF!</v>
      </c>
      <c r="CS282" t="e">
        <f t="shared" si="212"/>
        <v>#REF!</v>
      </c>
      <c r="CT282" t="e">
        <f t="shared" si="212"/>
        <v>#REF!</v>
      </c>
      <c r="CU282" t="e">
        <f t="shared" si="212"/>
        <v>#REF!</v>
      </c>
      <c r="CV282" t="e">
        <f t="shared" si="212"/>
        <v>#REF!</v>
      </c>
      <c r="CW282" t="e">
        <f t="shared" si="213"/>
        <v>#REF!</v>
      </c>
      <c r="CX282" t="e">
        <f t="shared" si="213"/>
        <v>#REF!</v>
      </c>
      <c r="CY282" t="e">
        <f t="shared" si="213"/>
        <v>#REF!</v>
      </c>
      <c r="CZ282" t="e">
        <f t="shared" si="213"/>
        <v>#REF!</v>
      </c>
      <c r="DA282" t="e">
        <f t="shared" si="213"/>
        <v>#REF!</v>
      </c>
      <c r="DB282" t="e">
        <f t="shared" si="213"/>
        <v>#REF!</v>
      </c>
      <c r="DC282" t="e">
        <f t="shared" si="213"/>
        <v>#REF!</v>
      </c>
      <c r="DD282" t="e">
        <f t="shared" si="213"/>
        <v>#REF!</v>
      </c>
      <c r="DE282" t="e">
        <f t="shared" si="213"/>
        <v>#REF!</v>
      </c>
      <c r="DF282" t="e">
        <f t="shared" si="213"/>
        <v>#REF!</v>
      </c>
      <c r="DG282" t="e">
        <f t="shared" si="213"/>
        <v>#REF!</v>
      </c>
      <c r="DH282" t="e">
        <f t="shared" si="213"/>
        <v>#REF!</v>
      </c>
      <c r="DI282" t="e">
        <f t="shared" si="213"/>
        <v>#REF!</v>
      </c>
      <c r="DJ282" t="e">
        <f t="shared" si="208"/>
        <v>#REF!</v>
      </c>
      <c r="DK282" t="e">
        <f t="shared" si="208"/>
        <v>#REF!</v>
      </c>
      <c r="DL282" t="e">
        <f t="shared" si="208"/>
        <v>#REF!</v>
      </c>
      <c r="DM282" t="e">
        <f t="shared" si="208"/>
        <v>#REF!</v>
      </c>
      <c r="DN282" t="e">
        <f t="shared" si="208"/>
        <v>#REF!</v>
      </c>
      <c r="DO282" t="e">
        <f t="shared" ref="DO282:DY282" si="225">MATCH(CONCATENATE(DO$3,"_",$C282),auto_DataFlat_UID,0)</f>
        <v>#REF!</v>
      </c>
      <c r="DP282" t="e">
        <f t="shared" si="225"/>
        <v>#REF!</v>
      </c>
      <c r="DQ282" t="e">
        <f t="shared" si="225"/>
        <v>#REF!</v>
      </c>
      <c r="DR282" t="e">
        <f t="shared" si="225"/>
        <v>#REF!</v>
      </c>
      <c r="DS282" t="e">
        <f t="shared" si="225"/>
        <v>#REF!</v>
      </c>
      <c r="DT282" t="e">
        <f t="shared" si="225"/>
        <v>#REF!</v>
      </c>
      <c r="DU282" t="e">
        <f t="shared" si="225"/>
        <v>#REF!</v>
      </c>
      <c r="DV282" t="e">
        <f t="shared" si="225"/>
        <v>#REF!</v>
      </c>
      <c r="DW282" t="e">
        <f t="shared" si="225"/>
        <v>#REF!</v>
      </c>
      <c r="DX282" t="e">
        <f t="shared" si="225"/>
        <v>#REF!</v>
      </c>
      <c r="DY282" t="e">
        <f t="shared" si="225"/>
        <v>#REF!</v>
      </c>
      <c r="DZ282" t="e">
        <f t="shared" si="221"/>
        <v>#REF!</v>
      </c>
      <c r="EA282" t="e">
        <f t="shared" si="221"/>
        <v>#REF!</v>
      </c>
      <c r="EB282" t="e">
        <f t="shared" si="221"/>
        <v>#REF!</v>
      </c>
      <c r="EC282" t="e">
        <f t="shared" si="221"/>
        <v>#REF!</v>
      </c>
      <c r="ED282" t="e">
        <f t="shared" si="221"/>
        <v>#REF!</v>
      </c>
      <c r="EE282" t="e">
        <f t="shared" si="221"/>
        <v>#REF!</v>
      </c>
      <c r="EF282" t="e">
        <f t="shared" si="221"/>
        <v>#REF!</v>
      </c>
      <c r="EG282" t="e">
        <f t="shared" si="221"/>
        <v>#REF!</v>
      </c>
      <c r="EH282" t="e">
        <f t="shared" si="221"/>
        <v>#REF!</v>
      </c>
      <c r="EI282" t="e">
        <f t="shared" si="221"/>
        <v>#REF!</v>
      </c>
      <c r="EJ282" t="e">
        <f t="shared" si="221"/>
        <v>#REF!</v>
      </c>
      <c r="EK282" t="e">
        <f t="shared" si="221"/>
        <v>#REF!</v>
      </c>
      <c r="EL282" t="e">
        <f t="shared" si="221"/>
        <v>#REF!</v>
      </c>
      <c r="EM282" t="e">
        <f t="shared" si="219"/>
        <v>#REF!</v>
      </c>
    </row>
    <row r="283" spans="1:143" x14ac:dyDescent="0.4">
      <c r="A283" t="str">
        <f t="shared" si="206"/>
        <v>X</v>
      </c>
      <c r="B283">
        <v>280</v>
      </c>
      <c r="C283" t="e" cm="1">
        <f t="array" ref="C283">INDEX(auto_Series_Code,B283)</f>
        <v>#REF!</v>
      </c>
      <c r="D283" t="e">
        <f t="shared" si="222"/>
        <v>#REF!</v>
      </c>
      <c r="E283" t="e">
        <f t="shared" si="222"/>
        <v>#REF!</v>
      </c>
      <c r="F283" t="e">
        <f t="shared" si="222"/>
        <v>#REF!</v>
      </c>
      <c r="G283" t="e">
        <f t="shared" si="222"/>
        <v>#REF!</v>
      </c>
      <c r="H283" t="e">
        <f t="shared" si="222"/>
        <v>#REF!</v>
      </c>
      <c r="I283" t="e">
        <f t="shared" si="222"/>
        <v>#REF!</v>
      </c>
      <c r="J283" t="e">
        <f t="shared" si="222"/>
        <v>#REF!</v>
      </c>
      <c r="K283" t="e">
        <f t="shared" si="222"/>
        <v>#REF!</v>
      </c>
      <c r="L283" t="e">
        <f t="shared" si="222"/>
        <v>#REF!</v>
      </c>
      <c r="M283" t="e">
        <f t="shared" si="222"/>
        <v>#REF!</v>
      </c>
      <c r="N283" t="e">
        <f t="shared" si="222"/>
        <v>#REF!</v>
      </c>
      <c r="O283" t="e">
        <f t="shared" si="222"/>
        <v>#REF!</v>
      </c>
      <c r="P283" t="e">
        <f t="shared" si="222"/>
        <v>#REF!</v>
      </c>
      <c r="Q283" t="e">
        <f t="shared" si="222"/>
        <v>#REF!</v>
      </c>
      <c r="R283" t="e">
        <f t="shared" si="222"/>
        <v>#REF!</v>
      </c>
      <c r="S283" t="e">
        <f t="shared" si="222"/>
        <v>#REF!</v>
      </c>
      <c r="T283" t="e">
        <f t="shared" si="220"/>
        <v>#REF!</v>
      </c>
      <c r="U283" t="e">
        <f t="shared" si="220"/>
        <v>#REF!</v>
      </c>
      <c r="V283" t="e">
        <f t="shared" si="220"/>
        <v>#REF!</v>
      </c>
      <c r="W283" t="e">
        <f t="shared" si="220"/>
        <v>#REF!</v>
      </c>
      <c r="X283" t="e">
        <f t="shared" si="207"/>
        <v>#REF!</v>
      </c>
      <c r="Y283" t="e">
        <f t="shared" si="207"/>
        <v>#REF!</v>
      </c>
      <c r="Z283" t="e">
        <f t="shared" si="207"/>
        <v>#REF!</v>
      </c>
      <c r="AA283" t="e">
        <f t="shared" si="207"/>
        <v>#REF!</v>
      </c>
      <c r="AB283" t="e">
        <f t="shared" si="207"/>
        <v>#REF!</v>
      </c>
      <c r="AC283" t="e">
        <f t="shared" si="207"/>
        <v>#REF!</v>
      </c>
      <c r="AD283" t="e">
        <f t="shared" si="207"/>
        <v>#REF!</v>
      </c>
      <c r="AE283" t="e">
        <f t="shared" si="207"/>
        <v>#REF!</v>
      </c>
      <c r="AF283" t="e">
        <f t="shared" si="207"/>
        <v>#REF!</v>
      </c>
      <c r="AG283" t="e">
        <f t="shared" si="207"/>
        <v>#REF!</v>
      </c>
      <c r="AH283" t="e">
        <f t="shared" si="216"/>
        <v>#REF!</v>
      </c>
      <c r="AI283" t="e">
        <f t="shared" si="216"/>
        <v>#REF!</v>
      </c>
      <c r="AJ283" t="e">
        <f t="shared" si="216"/>
        <v>#REF!</v>
      </c>
      <c r="AK283" t="e">
        <f t="shared" si="216"/>
        <v>#REF!</v>
      </c>
      <c r="AL283" t="e">
        <f t="shared" si="216"/>
        <v>#REF!</v>
      </c>
      <c r="AM283" t="e">
        <f t="shared" si="216"/>
        <v>#REF!</v>
      </c>
      <c r="AN283" t="e">
        <f t="shared" si="216"/>
        <v>#REF!</v>
      </c>
      <c r="AO283" t="e">
        <f t="shared" si="216"/>
        <v>#REF!</v>
      </c>
      <c r="AP283" t="e">
        <f t="shared" si="216"/>
        <v>#REF!</v>
      </c>
      <c r="AQ283" t="e">
        <f t="shared" si="216"/>
        <v>#REF!</v>
      </c>
      <c r="AR283" t="e">
        <f t="shared" si="216"/>
        <v>#REF!</v>
      </c>
      <c r="AS283" t="e">
        <f t="shared" si="216"/>
        <v>#REF!</v>
      </c>
      <c r="AT283" t="e">
        <f t="shared" si="224"/>
        <v>#REF!</v>
      </c>
      <c r="AU283" t="e">
        <f t="shared" si="224"/>
        <v>#REF!</v>
      </c>
      <c r="AV283" t="e">
        <f t="shared" si="224"/>
        <v>#REF!</v>
      </c>
      <c r="AW283" t="e">
        <f t="shared" si="224"/>
        <v>#REF!</v>
      </c>
      <c r="AX283" t="e">
        <f t="shared" si="224"/>
        <v>#REF!</v>
      </c>
      <c r="AY283" t="e">
        <f t="shared" si="224"/>
        <v>#REF!</v>
      </c>
      <c r="AZ283" t="e">
        <f t="shared" si="224"/>
        <v>#REF!</v>
      </c>
      <c r="BA283" t="e">
        <f t="shared" si="224"/>
        <v>#REF!</v>
      </c>
      <c r="BB283" t="e">
        <f t="shared" si="224"/>
        <v>#REF!</v>
      </c>
      <c r="BC283" t="e">
        <f t="shared" si="224"/>
        <v>#REF!</v>
      </c>
      <c r="BD283" t="e">
        <f t="shared" si="224"/>
        <v>#REF!</v>
      </c>
      <c r="BE283" t="e">
        <f t="shared" si="224"/>
        <v>#REF!</v>
      </c>
      <c r="BF283" t="e">
        <f t="shared" si="224"/>
        <v>#REF!</v>
      </c>
      <c r="BG283" t="e">
        <f t="shared" si="224"/>
        <v>#REF!</v>
      </c>
      <c r="BH283" t="e">
        <f t="shared" si="224"/>
        <v>#REF!</v>
      </c>
      <c r="BI283" t="e">
        <f t="shared" si="224"/>
        <v>#REF!</v>
      </c>
      <c r="BJ283" t="e">
        <f t="shared" si="223"/>
        <v>#REF!</v>
      </c>
      <c r="BK283" t="e">
        <f t="shared" si="223"/>
        <v>#REF!</v>
      </c>
      <c r="BL283" t="e">
        <f t="shared" si="197"/>
        <v>#REF!</v>
      </c>
      <c r="BM283" t="e">
        <f t="shared" si="197"/>
        <v>#REF!</v>
      </c>
      <c r="BN283" t="e">
        <f t="shared" si="197"/>
        <v>#REF!</v>
      </c>
      <c r="BO283" t="e">
        <f t="shared" si="197"/>
        <v>#REF!</v>
      </c>
      <c r="BP283" t="e">
        <f t="shared" si="197"/>
        <v>#REF!</v>
      </c>
      <c r="BQ283" t="e">
        <f t="shared" si="197"/>
        <v>#REF!</v>
      </c>
      <c r="BR283" t="e">
        <f t="shared" si="197"/>
        <v>#REF!</v>
      </c>
      <c r="BS283" t="e">
        <f t="shared" si="197"/>
        <v>#REF!</v>
      </c>
      <c r="BT283" t="e">
        <f t="shared" si="218"/>
        <v>#REF!</v>
      </c>
      <c r="BU283" t="e">
        <f t="shared" si="218"/>
        <v>#REF!</v>
      </c>
      <c r="BV283" t="e">
        <f t="shared" si="218"/>
        <v>#REF!</v>
      </c>
      <c r="BW283" t="e">
        <f t="shared" si="218"/>
        <v>#REF!</v>
      </c>
      <c r="BX283" t="e">
        <f t="shared" si="218"/>
        <v>#REF!</v>
      </c>
      <c r="BY283" t="e">
        <f t="shared" si="218"/>
        <v>#REF!</v>
      </c>
      <c r="BZ283" t="e">
        <f t="shared" si="218"/>
        <v>#REF!</v>
      </c>
      <c r="CA283" t="e">
        <f t="shared" si="218"/>
        <v>#REF!</v>
      </c>
      <c r="CB283" t="e">
        <f t="shared" si="218"/>
        <v>#REF!</v>
      </c>
      <c r="CC283" t="e">
        <f t="shared" si="218"/>
        <v>#REF!</v>
      </c>
      <c r="CD283" t="e">
        <f t="shared" si="218"/>
        <v>#REF!</v>
      </c>
      <c r="CE283" t="e">
        <f t="shared" si="218"/>
        <v>#REF!</v>
      </c>
      <c r="CF283" t="e">
        <f t="shared" si="217"/>
        <v>#REF!</v>
      </c>
      <c r="CG283" t="e">
        <f t="shared" si="217"/>
        <v>#REF!</v>
      </c>
      <c r="CH283" t="e">
        <f t="shared" si="217"/>
        <v>#REF!</v>
      </c>
      <c r="CI283" t="e">
        <f t="shared" si="217"/>
        <v>#REF!</v>
      </c>
      <c r="CJ283" t="e">
        <f t="shared" si="217"/>
        <v>#REF!</v>
      </c>
      <c r="CK283" t="e">
        <f t="shared" si="217"/>
        <v>#REF!</v>
      </c>
      <c r="CL283" t="e">
        <f t="shared" si="217"/>
        <v>#REF!</v>
      </c>
      <c r="CM283" t="e">
        <f t="shared" si="217"/>
        <v>#REF!</v>
      </c>
      <c r="CN283" t="e">
        <f t="shared" si="217"/>
        <v>#REF!</v>
      </c>
      <c r="CO283" t="e">
        <f t="shared" si="212"/>
        <v>#REF!</v>
      </c>
      <c r="CP283" t="e">
        <f t="shared" si="212"/>
        <v>#REF!</v>
      </c>
      <c r="CQ283" t="e">
        <f t="shared" si="212"/>
        <v>#REF!</v>
      </c>
      <c r="CR283" t="e">
        <f t="shared" si="212"/>
        <v>#REF!</v>
      </c>
      <c r="CS283" t="e">
        <f t="shared" si="212"/>
        <v>#REF!</v>
      </c>
      <c r="CT283" t="e">
        <f t="shared" si="212"/>
        <v>#REF!</v>
      </c>
      <c r="CU283" t="e">
        <f t="shared" si="212"/>
        <v>#REF!</v>
      </c>
      <c r="CV283" t="e">
        <f t="shared" si="212"/>
        <v>#REF!</v>
      </c>
      <c r="CW283" t="e">
        <f t="shared" si="213"/>
        <v>#REF!</v>
      </c>
      <c r="CX283" t="e">
        <f t="shared" si="213"/>
        <v>#REF!</v>
      </c>
      <c r="CY283" t="e">
        <f t="shared" si="213"/>
        <v>#REF!</v>
      </c>
      <c r="CZ283" t="e">
        <f t="shared" si="213"/>
        <v>#REF!</v>
      </c>
      <c r="DA283" t="e">
        <f t="shared" si="213"/>
        <v>#REF!</v>
      </c>
      <c r="DB283" t="e">
        <f t="shared" si="213"/>
        <v>#REF!</v>
      </c>
      <c r="DC283" t="e">
        <f t="shared" si="213"/>
        <v>#REF!</v>
      </c>
      <c r="DD283" t="e">
        <f t="shared" si="213"/>
        <v>#REF!</v>
      </c>
      <c r="DE283" t="e">
        <f t="shared" si="213"/>
        <v>#REF!</v>
      </c>
      <c r="DF283" t="e">
        <f t="shared" si="213"/>
        <v>#REF!</v>
      </c>
      <c r="DG283" t="e">
        <f t="shared" si="213"/>
        <v>#REF!</v>
      </c>
      <c r="DH283" t="e">
        <f t="shared" si="213"/>
        <v>#REF!</v>
      </c>
      <c r="DI283" t="e">
        <f t="shared" si="213"/>
        <v>#REF!</v>
      </c>
      <c r="DJ283" t="e">
        <f t="shared" si="213"/>
        <v>#REF!</v>
      </c>
      <c r="DK283" t="e">
        <f t="shared" ref="DK283:DY288" si="226">MATCH(CONCATENATE(DK$3,"_",$C283),auto_DataFlat_UID,0)</f>
        <v>#REF!</v>
      </c>
      <c r="DL283" t="e">
        <f t="shared" si="226"/>
        <v>#REF!</v>
      </c>
      <c r="DM283" t="e">
        <f t="shared" si="226"/>
        <v>#REF!</v>
      </c>
      <c r="DN283" t="e">
        <f t="shared" si="226"/>
        <v>#REF!</v>
      </c>
      <c r="DO283" t="e">
        <f t="shared" si="226"/>
        <v>#REF!</v>
      </c>
      <c r="DP283" t="e">
        <f t="shared" si="226"/>
        <v>#REF!</v>
      </c>
      <c r="DQ283" t="e">
        <f t="shared" si="226"/>
        <v>#REF!</v>
      </c>
      <c r="DR283" t="e">
        <f t="shared" si="226"/>
        <v>#REF!</v>
      </c>
      <c r="DS283" t="e">
        <f t="shared" si="226"/>
        <v>#REF!</v>
      </c>
      <c r="DT283" t="e">
        <f t="shared" si="226"/>
        <v>#REF!</v>
      </c>
      <c r="DU283" t="e">
        <f t="shared" si="226"/>
        <v>#REF!</v>
      </c>
      <c r="DV283" t="e">
        <f t="shared" si="226"/>
        <v>#REF!</v>
      </c>
      <c r="DW283" t="e">
        <f t="shared" si="226"/>
        <v>#REF!</v>
      </c>
      <c r="DX283" t="e">
        <f t="shared" si="226"/>
        <v>#REF!</v>
      </c>
      <c r="DY283" t="e">
        <f t="shared" si="226"/>
        <v>#REF!</v>
      </c>
      <c r="DZ283" t="e">
        <f t="shared" si="221"/>
        <v>#REF!</v>
      </c>
      <c r="EA283" t="e">
        <f t="shared" si="221"/>
        <v>#REF!</v>
      </c>
      <c r="EB283" t="e">
        <f t="shared" si="221"/>
        <v>#REF!</v>
      </c>
      <c r="EC283" t="e">
        <f t="shared" si="221"/>
        <v>#REF!</v>
      </c>
      <c r="ED283" t="e">
        <f t="shared" si="221"/>
        <v>#REF!</v>
      </c>
      <c r="EE283" t="e">
        <f t="shared" si="221"/>
        <v>#REF!</v>
      </c>
      <c r="EF283" t="e">
        <f t="shared" si="221"/>
        <v>#REF!</v>
      </c>
      <c r="EG283" t="e">
        <f t="shared" si="221"/>
        <v>#REF!</v>
      </c>
      <c r="EH283" t="e">
        <f t="shared" si="221"/>
        <v>#REF!</v>
      </c>
      <c r="EI283" t="e">
        <f t="shared" si="221"/>
        <v>#REF!</v>
      </c>
      <c r="EJ283" t="e">
        <f t="shared" si="221"/>
        <v>#REF!</v>
      </c>
      <c r="EK283" t="e">
        <f t="shared" si="221"/>
        <v>#REF!</v>
      </c>
      <c r="EL283" t="e">
        <f t="shared" si="221"/>
        <v>#REF!</v>
      </c>
      <c r="EM283" t="e">
        <f t="shared" si="219"/>
        <v>#REF!</v>
      </c>
    </row>
    <row r="284" spans="1:143" x14ac:dyDescent="0.4">
      <c r="A284" t="str">
        <f t="shared" si="206"/>
        <v>X</v>
      </c>
      <c r="B284">
        <v>281</v>
      </c>
      <c r="C284" t="e" cm="1">
        <f t="array" ref="C284">INDEX(auto_Series_Code,B284)</f>
        <v>#REF!</v>
      </c>
      <c r="D284" t="e">
        <f t="shared" si="222"/>
        <v>#REF!</v>
      </c>
      <c r="E284" t="e">
        <f t="shared" si="222"/>
        <v>#REF!</v>
      </c>
      <c r="F284" t="e">
        <f t="shared" si="222"/>
        <v>#REF!</v>
      </c>
      <c r="G284" t="e">
        <f t="shared" si="222"/>
        <v>#REF!</v>
      </c>
      <c r="H284" t="e">
        <f t="shared" si="222"/>
        <v>#REF!</v>
      </c>
      <c r="I284" t="e">
        <f t="shared" si="222"/>
        <v>#REF!</v>
      </c>
      <c r="J284" t="e">
        <f t="shared" si="222"/>
        <v>#REF!</v>
      </c>
      <c r="K284" t="e">
        <f t="shared" si="222"/>
        <v>#REF!</v>
      </c>
      <c r="L284" t="e">
        <f t="shared" si="222"/>
        <v>#REF!</v>
      </c>
      <c r="M284" t="e">
        <f t="shared" si="222"/>
        <v>#REF!</v>
      </c>
      <c r="N284" t="e">
        <f t="shared" si="222"/>
        <v>#REF!</v>
      </c>
      <c r="O284" t="e">
        <f t="shared" si="222"/>
        <v>#REF!</v>
      </c>
      <c r="P284" t="e">
        <f t="shared" si="222"/>
        <v>#REF!</v>
      </c>
      <c r="Q284" t="e">
        <f t="shared" si="222"/>
        <v>#REF!</v>
      </c>
      <c r="R284" t="e">
        <f t="shared" si="222"/>
        <v>#REF!</v>
      </c>
      <c r="S284" t="e">
        <f t="shared" si="222"/>
        <v>#REF!</v>
      </c>
      <c r="T284" t="e">
        <f t="shared" si="220"/>
        <v>#REF!</v>
      </c>
      <c r="U284" t="e">
        <f t="shared" si="220"/>
        <v>#REF!</v>
      </c>
      <c r="V284" t="e">
        <f t="shared" si="220"/>
        <v>#REF!</v>
      </c>
      <c r="W284" t="e">
        <f t="shared" si="220"/>
        <v>#REF!</v>
      </c>
      <c r="X284" t="e">
        <f t="shared" si="207"/>
        <v>#REF!</v>
      </c>
      <c r="Y284" t="e">
        <f t="shared" si="207"/>
        <v>#REF!</v>
      </c>
      <c r="Z284" t="e">
        <f t="shared" si="207"/>
        <v>#REF!</v>
      </c>
      <c r="AA284" t="e">
        <f t="shared" si="207"/>
        <v>#REF!</v>
      </c>
      <c r="AB284" t="e">
        <f t="shared" si="207"/>
        <v>#REF!</v>
      </c>
      <c r="AC284" t="e">
        <f t="shared" si="207"/>
        <v>#REF!</v>
      </c>
      <c r="AD284" t="e">
        <f t="shared" si="207"/>
        <v>#REF!</v>
      </c>
      <c r="AE284" t="e">
        <f t="shared" si="207"/>
        <v>#REF!</v>
      </c>
      <c r="AF284" t="e">
        <f t="shared" si="207"/>
        <v>#REF!</v>
      </c>
      <c r="AG284" t="e">
        <f t="shared" si="207"/>
        <v>#REF!</v>
      </c>
      <c r="AH284" t="e">
        <f t="shared" si="216"/>
        <v>#REF!</v>
      </c>
      <c r="AI284" t="e">
        <f t="shared" si="216"/>
        <v>#REF!</v>
      </c>
      <c r="AJ284" t="e">
        <f t="shared" si="216"/>
        <v>#REF!</v>
      </c>
      <c r="AK284" t="e">
        <f t="shared" si="216"/>
        <v>#REF!</v>
      </c>
      <c r="AL284" t="e">
        <f t="shared" si="216"/>
        <v>#REF!</v>
      </c>
      <c r="AM284" t="e">
        <f t="shared" si="216"/>
        <v>#REF!</v>
      </c>
      <c r="AN284" t="e">
        <f t="shared" si="216"/>
        <v>#REF!</v>
      </c>
      <c r="AO284" t="e">
        <f t="shared" si="216"/>
        <v>#REF!</v>
      </c>
      <c r="AP284" t="e">
        <f t="shared" si="216"/>
        <v>#REF!</v>
      </c>
      <c r="AQ284" t="e">
        <f t="shared" si="216"/>
        <v>#REF!</v>
      </c>
      <c r="AR284" t="e">
        <f t="shared" si="216"/>
        <v>#REF!</v>
      </c>
      <c r="AS284" t="e">
        <f t="shared" si="216"/>
        <v>#REF!</v>
      </c>
      <c r="AT284" t="e">
        <f t="shared" si="224"/>
        <v>#REF!</v>
      </c>
      <c r="AU284" t="e">
        <f t="shared" si="224"/>
        <v>#REF!</v>
      </c>
      <c r="AV284" t="e">
        <f t="shared" si="224"/>
        <v>#REF!</v>
      </c>
      <c r="AW284" t="e">
        <f t="shared" si="224"/>
        <v>#REF!</v>
      </c>
      <c r="AX284" t="e">
        <f t="shared" si="224"/>
        <v>#REF!</v>
      </c>
      <c r="AY284" t="e">
        <f t="shared" si="224"/>
        <v>#REF!</v>
      </c>
      <c r="AZ284" t="e">
        <f t="shared" si="224"/>
        <v>#REF!</v>
      </c>
      <c r="BA284" t="e">
        <f t="shared" si="224"/>
        <v>#REF!</v>
      </c>
      <c r="BB284" t="e">
        <f t="shared" si="224"/>
        <v>#REF!</v>
      </c>
      <c r="BC284" t="e">
        <f t="shared" si="224"/>
        <v>#REF!</v>
      </c>
      <c r="BD284" t="e">
        <f t="shared" si="224"/>
        <v>#REF!</v>
      </c>
      <c r="BE284" t="e">
        <f t="shared" si="224"/>
        <v>#REF!</v>
      </c>
      <c r="BF284" t="e">
        <f t="shared" si="224"/>
        <v>#REF!</v>
      </c>
      <c r="BG284" t="e">
        <f t="shared" si="224"/>
        <v>#REF!</v>
      </c>
      <c r="BH284" t="e">
        <f t="shared" si="224"/>
        <v>#REF!</v>
      </c>
      <c r="BI284" t="e">
        <f t="shared" si="224"/>
        <v>#REF!</v>
      </c>
      <c r="BJ284" t="e">
        <f t="shared" si="223"/>
        <v>#REF!</v>
      </c>
      <c r="BK284" t="e">
        <f t="shared" si="223"/>
        <v>#REF!</v>
      </c>
      <c r="BL284" t="e">
        <f t="shared" si="197"/>
        <v>#REF!</v>
      </c>
      <c r="BM284" t="e">
        <f t="shared" si="197"/>
        <v>#REF!</v>
      </c>
      <c r="BN284" t="e">
        <f t="shared" si="197"/>
        <v>#REF!</v>
      </c>
      <c r="BO284" t="e">
        <f t="shared" si="197"/>
        <v>#REF!</v>
      </c>
      <c r="BP284" t="e">
        <f t="shared" si="197"/>
        <v>#REF!</v>
      </c>
      <c r="BQ284" t="e">
        <f t="shared" si="197"/>
        <v>#REF!</v>
      </c>
      <c r="BR284" t="e">
        <f t="shared" si="197"/>
        <v>#REF!</v>
      </c>
      <c r="BS284" t="e">
        <f t="shared" si="197"/>
        <v>#REF!</v>
      </c>
      <c r="BT284" t="e">
        <f t="shared" si="218"/>
        <v>#REF!</v>
      </c>
      <c r="BU284" t="e">
        <f t="shared" si="218"/>
        <v>#REF!</v>
      </c>
      <c r="BV284" t="e">
        <f t="shared" si="218"/>
        <v>#REF!</v>
      </c>
      <c r="BW284" t="e">
        <f t="shared" si="218"/>
        <v>#REF!</v>
      </c>
      <c r="BX284" t="e">
        <f t="shared" si="218"/>
        <v>#REF!</v>
      </c>
      <c r="BY284" t="e">
        <f t="shared" si="218"/>
        <v>#REF!</v>
      </c>
      <c r="BZ284" t="e">
        <f t="shared" si="218"/>
        <v>#REF!</v>
      </c>
      <c r="CA284" t="e">
        <f t="shared" si="218"/>
        <v>#REF!</v>
      </c>
      <c r="CB284" t="e">
        <f t="shared" si="218"/>
        <v>#REF!</v>
      </c>
      <c r="CC284" t="e">
        <f t="shared" si="218"/>
        <v>#REF!</v>
      </c>
      <c r="CD284" t="e">
        <f t="shared" si="218"/>
        <v>#REF!</v>
      </c>
      <c r="CE284" t="e">
        <f t="shared" si="218"/>
        <v>#REF!</v>
      </c>
      <c r="CF284" t="e">
        <f t="shared" si="217"/>
        <v>#REF!</v>
      </c>
      <c r="CG284" t="e">
        <f t="shared" si="217"/>
        <v>#REF!</v>
      </c>
      <c r="CH284" t="e">
        <f t="shared" si="217"/>
        <v>#REF!</v>
      </c>
      <c r="CI284" t="e">
        <f t="shared" si="217"/>
        <v>#REF!</v>
      </c>
      <c r="CJ284" t="e">
        <f t="shared" si="217"/>
        <v>#REF!</v>
      </c>
      <c r="CK284" t="e">
        <f t="shared" si="217"/>
        <v>#REF!</v>
      </c>
      <c r="CL284" t="e">
        <f t="shared" si="217"/>
        <v>#REF!</v>
      </c>
      <c r="CM284" t="e">
        <f t="shared" si="217"/>
        <v>#REF!</v>
      </c>
      <c r="CN284" t="e">
        <f t="shared" si="217"/>
        <v>#REF!</v>
      </c>
      <c r="CO284" t="e">
        <f t="shared" si="212"/>
        <v>#REF!</v>
      </c>
      <c r="CP284" t="e">
        <f t="shared" si="212"/>
        <v>#REF!</v>
      </c>
      <c r="CQ284" t="e">
        <f t="shared" si="212"/>
        <v>#REF!</v>
      </c>
      <c r="CR284" t="e">
        <f t="shared" si="212"/>
        <v>#REF!</v>
      </c>
      <c r="CS284" t="e">
        <f t="shared" si="212"/>
        <v>#REF!</v>
      </c>
      <c r="CT284" t="e">
        <f t="shared" si="212"/>
        <v>#REF!</v>
      </c>
      <c r="CU284" t="e">
        <f t="shared" si="212"/>
        <v>#REF!</v>
      </c>
      <c r="CV284" t="e">
        <f t="shared" si="212"/>
        <v>#REF!</v>
      </c>
      <c r="CW284" t="e">
        <f t="shared" si="213"/>
        <v>#REF!</v>
      </c>
      <c r="CX284" t="e">
        <f t="shared" si="213"/>
        <v>#REF!</v>
      </c>
      <c r="CY284" t="e">
        <f t="shared" si="213"/>
        <v>#REF!</v>
      </c>
      <c r="CZ284" t="e">
        <f t="shared" si="213"/>
        <v>#REF!</v>
      </c>
      <c r="DA284" t="e">
        <f t="shared" si="213"/>
        <v>#REF!</v>
      </c>
      <c r="DB284" t="e">
        <f t="shared" ref="DB284:DQ288" si="227">MATCH(CONCATENATE(DB$3,"_",$C284),auto_DataFlat_UID,0)</f>
        <v>#REF!</v>
      </c>
      <c r="DC284" t="e">
        <f t="shared" si="227"/>
        <v>#REF!</v>
      </c>
      <c r="DD284" t="e">
        <f t="shared" si="227"/>
        <v>#REF!</v>
      </c>
      <c r="DE284" t="e">
        <f t="shared" si="227"/>
        <v>#REF!</v>
      </c>
      <c r="DF284" t="e">
        <f t="shared" si="227"/>
        <v>#REF!</v>
      </c>
      <c r="DG284" t="e">
        <f t="shared" si="227"/>
        <v>#REF!</v>
      </c>
      <c r="DH284" t="e">
        <f t="shared" si="227"/>
        <v>#REF!</v>
      </c>
      <c r="DI284" t="e">
        <f t="shared" si="227"/>
        <v>#REF!</v>
      </c>
      <c r="DJ284" t="e">
        <f t="shared" si="227"/>
        <v>#REF!</v>
      </c>
      <c r="DK284" t="e">
        <f t="shared" si="227"/>
        <v>#REF!</v>
      </c>
      <c r="DL284" t="e">
        <f t="shared" si="227"/>
        <v>#REF!</v>
      </c>
      <c r="DM284" t="e">
        <f t="shared" si="227"/>
        <v>#REF!</v>
      </c>
      <c r="DN284" t="e">
        <f t="shared" si="227"/>
        <v>#REF!</v>
      </c>
      <c r="DO284" t="e">
        <f t="shared" si="227"/>
        <v>#REF!</v>
      </c>
      <c r="DP284" t="e">
        <f t="shared" si="227"/>
        <v>#REF!</v>
      </c>
      <c r="DQ284" t="e">
        <f t="shared" si="227"/>
        <v>#REF!</v>
      </c>
      <c r="DR284" t="e">
        <f t="shared" si="226"/>
        <v>#REF!</v>
      </c>
      <c r="DS284" t="e">
        <f t="shared" si="226"/>
        <v>#REF!</v>
      </c>
      <c r="DT284" t="e">
        <f t="shared" si="226"/>
        <v>#REF!</v>
      </c>
      <c r="DU284" t="e">
        <f t="shared" si="226"/>
        <v>#REF!</v>
      </c>
      <c r="DV284" t="e">
        <f t="shared" si="226"/>
        <v>#REF!</v>
      </c>
      <c r="DW284" t="e">
        <f t="shared" si="226"/>
        <v>#REF!</v>
      </c>
      <c r="DX284" t="e">
        <f t="shared" si="226"/>
        <v>#REF!</v>
      </c>
      <c r="DY284" t="e">
        <f t="shared" si="226"/>
        <v>#REF!</v>
      </c>
      <c r="DZ284" t="e">
        <f t="shared" si="221"/>
        <v>#REF!</v>
      </c>
      <c r="EA284" t="e">
        <f t="shared" si="221"/>
        <v>#REF!</v>
      </c>
      <c r="EB284" t="e">
        <f t="shared" si="221"/>
        <v>#REF!</v>
      </c>
      <c r="EC284" t="e">
        <f t="shared" si="221"/>
        <v>#REF!</v>
      </c>
      <c r="ED284" t="e">
        <f t="shared" si="221"/>
        <v>#REF!</v>
      </c>
      <c r="EE284" t="e">
        <f t="shared" si="221"/>
        <v>#REF!</v>
      </c>
      <c r="EF284" t="e">
        <f t="shared" si="221"/>
        <v>#REF!</v>
      </c>
      <c r="EG284" t="e">
        <f t="shared" si="221"/>
        <v>#REF!</v>
      </c>
      <c r="EH284" t="e">
        <f t="shared" si="221"/>
        <v>#REF!</v>
      </c>
      <c r="EI284" t="e">
        <f t="shared" si="221"/>
        <v>#REF!</v>
      </c>
      <c r="EJ284" t="e">
        <f t="shared" si="221"/>
        <v>#REF!</v>
      </c>
      <c r="EK284" t="e">
        <f t="shared" si="221"/>
        <v>#REF!</v>
      </c>
      <c r="EL284" t="e">
        <f t="shared" si="221"/>
        <v>#REF!</v>
      </c>
      <c r="EM284" t="e">
        <f t="shared" si="219"/>
        <v>#REF!</v>
      </c>
    </row>
    <row r="285" spans="1:143" x14ac:dyDescent="0.4">
      <c r="A285" t="str">
        <f t="shared" si="206"/>
        <v>X</v>
      </c>
      <c r="B285">
        <v>282</v>
      </c>
      <c r="C285" t="e" cm="1">
        <f t="array" ref="C285">INDEX(auto_Series_Code,B285)</f>
        <v>#REF!</v>
      </c>
      <c r="D285" t="e">
        <f t="shared" si="222"/>
        <v>#REF!</v>
      </c>
      <c r="E285" t="e">
        <f t="shared" si="222"/>
        <v>#REF!</v>
      </c>
      <c r="F285" t="e">
        <f t="shared" si="222"/>
        <v>#REF!</v>
      </c>
      <c r="G285" t="e">
        <f t="shared" si="222"/>
        <v>#REF!</v>
      </c>
      <c r="H285" t="e">
        <f t="shared" si="222"/>
        <v>#REF!</v>
      </c>
      <c r="I285" t="e">
        <f t="shared" si="222"/>
        <v>#REF!</v>
      </c>
      <c r="J285" t="e">
        <f t="shared" si="222"/>
        <v>#REF!</v>
      </c>
      <c r="K285" t="e">
        <f t="shared" si="222"/>
        <v>#REF!</v>
      </c>
      <c r="L285" t="e">
        <f t="shared" si="222"/>
        <v>#REF!</v>
      </c>
      <c r="M285" t="e">
        <f t="shared" si="222"/>
        <v>#REF!</v>
      </c>
      <c r="N285" t="e">
        <f t="shared" si="222"/>
        <v>#REF!</v>
      </c>
      <c r="O285" t="e">
        <f t="shared" si="222"/>
        <v>#REF!</v>
      </c>
      <c r="P285" t="e">
        <f t="shared" si="222"/>
        <v>#REF!</v>
      </c>
      <c r="Q285" t="e">
        <f t="shared" si="222"/>
        <v>#REF!</v>
      </c>
      <c r="R285" t="e">
        <f t="shared" si="222"/>
        <v>#REF!</v>
      </c>
      <c r="S285" t="e">
        <f t="shared" si="222"/>
        <v>#REF!</v>
      </c>
      <c r="T285" t="e">
        <f t="shared" si="220"/>
        <v>#REF!</v>
      </c>
      <c r="U285" t="e">
        <f t="shared" si="220"/>
        <v>#REF!</v>
      </c>
      <c r="V285" t="e">
        <f t="shared" si="220"/>
        <v>#REF!</v>
      </c>
      <c r="W285" t="e">
        <f t="shared" si="220"/>
        <v>#REF!</v>
      </c>
      <c r="X285" t="e">
        <f t="shared" si="207"/>
        <v>#REF!</v>
      </c>
      <c r="Y285" t="e">
        <f t="shared" si="207"/>
        <v>#REF!</v>
      </c>
      <c r="Z285" t="e">
        <f t="shared" si="207"/>
        <v>#REF!</v>
      </c>
      <c r="AA285" t="e">
        <f t="shared" si="207"/>
        <v>#REF!</v>
      </c>
      <c r="AB285" t="e">
        <f t="shared" si="207"/>
        <v>#REF!</v>
      </c>
      <c r="AC285" t="e">
        <f t="shared" si="207"/>
        <v>#REF!</v>
      </c>
      <c r="AD285" t="e">
        <f t="shared" si="207"/>
        <v>#REF!</v>
      </c>
      <c r="AE285" t="e">
        <f t="shared" si="207"/>
        <v>#REF!</v>
      </c>
      <c r="AF285" t="e">
        <f t="shared" si="207"/>
        <v>#REF!</v>
      </c>
      <c r="AG285" t="e">
        <f t="shared" si="207"/>
        <v>#REF!</v>
      </c>
      <c r="AH285" t="e">
        <f t="shared" si="216"/>
        <v>#REF!</v>
      </c>
      <c r="AI285" t="e">
        <f t="shared" si="216"/>
        <v>#REF!</v>
      </c>
      <c r="AJ285" t="e">
        <f t="shared" si="216"/>
        <v>#REF!</v>
      </c>
      <c r="AK285" t="e">
        <f t="shared" si="216"/>
        <v>#REF!</v>
      </c>
      <c r="AL285" t="e">
        <f t="shared" si="216"/>
        <v>#REF!</v>
      </c>
      <c r="AM285" t="e">
        <f t="shared" si="216"/>
        <v>#REF!</v>
      </c>
      <c r="AN285" t="e">
        <f t="shared" si="216"/>
        <v>#REF!</v>
      </c>
      <c r="AO285" t="e">
        <f t="shared" si="216"/>
        <v>#REF!</v>
      </c>
      <c r="AP285" t="e">
        <f t="shared" si="216"/>
        <v>#REF!</v>
      </c>
      <c r="AQ285" t="e">
        <f t="shared" si="216"/>
        <v>#REF!</v>
      </c>
      <c r="AR285" t="e">
        <f t="shared" si="216"/>
        <v>#REF!</v>
      </c>
      <c r="AS285" t="e">
        <f t="shared" si="216"/>
        <v>#REF!</v>
      </c>
      <c r="AT285" t="e">
        <f t="shared" si="224"/>
        <v>#REF!</v>
      </c>
      <c r="AU285" t="e">
        <f t="shared" si="224"/>
        <v>#REF!</v>
      </c>
      <c r="AV285" t="e">
        <f t="shared" si="224"/>
        <v>#REF!</v>
      </c>
      <c r="AW285" t="e">
        <f t="shared" si="224"/>
        <v>#REF!</v>
      </c>
      <c r="AX285" t="e">
        <f t="shared" si="224"/>
        <v>#REF!</v>
      </c>
      <c r="AY285" t="e">
        <f t="shared" si="224"/>
        <v>#REF!</v>
      </c>
      <c r="AZ285" t="e">
        <f t="shared" si="224"/>
        <v>#REF!</v>
      </c>
      <c r="BA285" t="e">
        <f t="shared" si="224"/>
        <v>#REF!</v>
      </c>
      <c r="BB285" t="e">
        <f t="shared" si="224"/>
        <v>#REF!</v>
      </c>
      <c r="BC285" t="e">
        <f t="shared" si="224"/>
        <v>#REF!</v>
      </c>
      <c r="BD285" t="e">
        <f t="shared" si="224"/>
        <v>#REF!</v>
      </c>
      <c r="BE285" t="e">
        <f t="shared" si="224"/>
        <v>#REF!</v>
      </c>
      <c r="BF285" t="e">
        <f t="shared" si="224"/>
        <v>#REF!</v>
      </c>
      <c r="BG285" t="e">
        <f t="shared" si="224"/>
        <v>#REF!</v>
      </c>
      <c r="BH285" t="e">
        <f t="shared" si="224"/>
        <v>#REF!</v>
      </c>
      <c r="BI285" t="e">
        <f t="shared" si="224"/>
        <v>#REF!</v>
      </c>
      <c r="BJ285" t="e">
        <f t="shared" si="223"/>
        <v>#REF!</v>
      </c>
      <c r="BK285" t="e">
        <f t="shared" si="223"/>
        <v>#REF!</v>
      </c>
      <c r="BL285" t="e">
        <f t="shared" si="197"/>
        <v>#REF!</v>
      </c>
      <c r="BM285" t="e">
        <f t="shared" si="197"/>
        <v>#REF!</v>
      </c>
      <c r="BN285" t="e">
        <f t="shared" si="197"/>
        <v>#REF!</v>
      </c>
      <c r="BO285" t="e">
        <f t="shared" si="197"/>
        <v>#REF!</v>
      </c>
      <c r="BP285" t="e">
        <f t="shared" si="197"/>
        <v>#REF!</v>
      </c>
      <c r="BQ285" t="e">
        <f t="shared" si="197"/>
        <v>#REF!</v>
      </c>
      <c r="BR285" t="e">
        <f t="shared" si="197"/>
        <v>#REF!</v>
      </c>
      <c r="BS285" t="e">
        <f t="shared" ref="BS285:BU285" si="228">MATCH(CONCATENATE(BS$3,"_",$C285),auto_DataFlat_UID,0)</f>
        <v>#REF!</v>
      </c>
      <c r="BT285" t="e">
        <f t="shared" si="228"/>
        <v>#REF!</v>
      </c>
      <c r="BU285" t="e">
        <f t="shared" si="228"/>
        <v>#REF!</v>
      </c>
      <c r="BV285" t="e">
        <f t="shared" si="218"/>
        <v>#REF!</v>
      </c>
      <c r="BW285" t="e">
        <f t="shared" si="218"/>
        <v>#REF!</v>
      </c>
      <c r="BX285" t="e">
        <f t="shared" si="218"/>
        <v>#REF!</v>
      </c>
      <c r="BY285" t="e">
        <f t="shared" si="218"/>
        <v>#REF!</v>
      </c>
      <c r="BZ285" t="e">
        <f t="shared" si="218"/>
        <v>#REF!</v>
      </c>
      <c r="CA285" t="e">
        <f t="shared" si="218"/>
        <v>#REF!</v>
      </c>
      <c r="CB285" t="e">
        <f t="shared" si="218"/>
        <v>#REF!</v>
      </c>
      <c r="CC285" t="e">
        <f t="shared" si="218"/>
        <v>#REF!</v>
      </c>
      <c r="CD285" t="e">
        <f t="shared" si="218"/>
        <v>#REF!</v>
      </c>
      <c r="CE285" t="e">
        <f t="shared" si="218"/>
        <v>#REF!</v>
      </c>
      <c r="CF285" t="e">
        <f t="shared" si="217"/>
        <v>#REF!</v>
      </c>
      <c r="CG285" t="e">
        <f t="shared" si="217"/>
        <v>#REF!</v>
      </c>
      <c r="CH285" t="e">
        <f t="shared" si="217"/>
        <v>#REF!</v>
      </c>
      <c r="CI285" t="e">
        <f t="shared" si="217"/>
        <v>#REF!</v>
      </c>
      <c r="CJ285" t="e">
        <f t="shared" si="217"/>
        <v>#REF!</v>
      </c>
      <c r="CK285" t="e">
        <f t="shared" si="217"/>
        <v>#REF!</v>
      </c>
      <c r="CL285" t="e">
        <f t="shared" si="217"/>
        <v>#REF!</v>
      </c>
      <c r="CM285" t="e">
        <f t="shared" si="217"/>
        <v>#REF!</v>
      </c>
      <c r="CN285" t="e">
        <f t="shared" si="217"/>
        <v>#REF!</v>
      </c>
      <c r="CO285" t="e">
        <f t="shared" si="212"/>
        <v>#REF!</v>
      </c>
      <c r="CP285" t="e">
        <f t="shared" si="212"/>
        <v>#REF!</v>
      </c>
      <c r="CQ285" t="e">
        <f t="shared" si="212"/>
        <v>#REF!</v>
      </c>
      <c r="CR285" t="e">
        <f t="shared" si="212"/>
        <v>#REF!</v>
      </c>
      <c r="CS285" t="e">
        <f t="shared" si="212"/>
        <v>#REF!</v>
      </c>
      <c r="CT285" t="e">
        <f t="shared" si="212"/>
        <v>#REF!</v>
      </c>
      <c r="CU285" t="e">
        <f t="shared" si="212"/>
        <v>#REF!</v>
      </c>
      <c r="CV285" t="e">
        <f t="shared" si="212"/>
        <v>#REF!</v>
      </c>
      <c r="CW285" t="e">
        <f t="shared" ref="CW285:DI288" si="229">MATCH(CONCATENATE(CW$3,"_",$C285),auto_DataFlat_UID,0)</f>
        <v>#REF!</v>
      </c>
      <c r="CX285" t="e">
        <f t="shared" si="229"/>
        <v>#REF!</v>
      </c>
      <c r="CY285" t="e">
        <f t="shared" si="229"/>
        <v>#REF!</v>
      </c>
      <c r="CZ285" t="e">
        <f t="shared" si="229"/>
        <v>#REF!</v>
      </c>
      <c r="DA285" t="e">
        <f t="shared" si="229"/>
        <v>#REF!</v>
      </c>
      <c r="DB285" t="e">
        <f t="shared" si="229"/>
        <v>#REF!</v>
      </c>
      <c r="DC285" t="e">
        <f t="shared" si="229"/>
        <v>#REF!</v>
      </c>
      <c r="DD285" t="e">
        <f t="shared" si="229"/>
        <v>#REF!</v>
      </c>
      <c r="DE285" t="e">
        <f t="shared" si="229"/>
        <v>#REF!</v>
      </c>
      <c r="DF285" t="e">
        <f t="shared" si="229"/>
        <v>#REF!</v>
      </c>
      <c r="DG285" t="e">
        <f t="shared" si="229"/>
        <v>#REF!</v>
      </c>
      <c r="DH285" t="e">
        <f t="shared" si="229"/>
        <v>#REF!</v>
      </c>
      <c r="DI285" t="e">
        <f t="shared" si="229"/>
        <v>#REF!</v>
      </c>
      <c r="DJ285" t="e">
        <f t="shared" si="227"/>
        <v>#REF!</v>
      </c>
      <c r="DK285" t="e">
        <f t="shared" si="227"/>
        <v>#REF!</v>
      </c>
      <c r="DL285" t="e">
        <f t="shared" si="227"/>
        <v>#REF!</v>
      </c>
      <c r="DM285" t="e">
        <f t="shared" si="227"/>
        <v>#REF!</v>
      </c>
      <c r="DN285" t="e">
        <f t="shared" si="227"/>
        <v>#REF!</v>
      </c>
      <c r="DO285" t="e">
        <f t="shared" si="227"/>
        <v>#REF!</v>
      </c>
      <c r="DP285" t="e">
        <f t="shared" si="227"/>
        <v>#REF!</v>
      </c>
      <c r="DQ285" t="e">
        <f t="shared" si="227"/>
        <v>#REF!</v>
      </c>
      <c r="DR285" t="e">
        <f t="shared" si="226"/>
        <v>#REF!</v>
      </c>
      <c r="DS285" t="e">
        <f t="shared" si="226"/>
        <v>#REF!</v>
      </c>
      <c r="DT285" t="e">
        <f t="shared" si="226"/>
        <v>#REF!</v>
      </c>
      <c r="DU285" t="e">
        <f t="shared" si="226"/>
        <v>#REF!</v>
      </c>
      <c r="DV285" t="e">
        <f t="shared" si="226"/>
        <v>#REF!</v>
      </c>
      <c r="DW285" t="e">
        <f t="shared" si="226"/>
        <v>#REF!</v>
      </c>
      <c r="DX285" t="e">
        <f t="shared" si="226"/>
        <v>#REF!</v>
      </c>
      <c r="DY285" t="e">
        <f t="shared" si="226"/>
        <v>#REF!</v>
      </c>
      <c r="DZ285" t="e">
        <f t="shared" si="221"/>
        <v>#REF!</v>
      </c>
      <c r="EA285" t="e">
        <f t="shared" si="221"/>
        <v>#REF!</v>
      </c>
      <c r="EB285" t="e">
        <f t="shared" si="221"/>
        <v>#REF!</v>
      </c>
      <c r="EC285" t="e">
        <f t="shared" si="221"/>
        <v>#REF!</v>
      </c>
      <c r="ED285" t="e">
        <f t="shared" si="221"/>
        <v>#REF!</v>
      </c>
      <c r="EE285" t="e">
        <f t="shared" si="221"/>
        <v>#REF!</v>
      </c>
      <c r="EF285" t="e">
        <f t="shared" si="221"/>
        <v>#REF!</v>
      </c>
      <c r="EG285" t="e">
        <f t="shared" si="221"/>
        <v>#REF!</v>
      </c>
      <c r="EH285" t="e">
        <f t="shared" si="221"/>
        <v>#REF!</v>
      </c>
      <c r="EI285" t="e">
        <f t="shared" si="221"/>
        <v>#REF!</v>
      </c>
      <c r="EJ285" t="e">
        <f t="shared" si="221"/>
        <v>#REF!</v>
      </c>
      <c r="EK285" t="e">
        <f t="shared" si="221"/>
        <v>#REF!</v>
      </c>
      <c r="EL285" t="e">
        <f t="shared" si="221"/>
        <v>#REF!</v>
      </c>
      <c r="EM285" t="e">
        <f t="shared" si="219"/>
        <v>#REF!</v>
      </c>
    </row>
    <row r="286" spans="1:143" x14ac:dyDescent="0.4">
      <c r="A286" t="str">
        <f t="shared" si="206"/>
        <v>X</v>
      </c>
      <c r="B286">
        <v>283</v>
      </c>
      <c r="C286" t="e" cm="1">
        <f t="array" ref="C286">INDEX(auto_Series_Code,B286)</f>
        <v>#REF!</v>
      </c>
      <c r="D286" t="e">
        <f t="shared" si="222"/>
        <v>#REF!</v>
      </c>
      <c r="E286" t="e">
        <f t="shared" si="222"/>
        <v>#REF!</v>
      </c>
      <c r="F286" t="e">
        <f t="shared" si="222"/>
        <v>#REF!</v>
      </c>
      <c r="G286" t="e">
        <f t="shared" si="222"/>
        <v>#REF!</v>
      </c>
      <c r="H286" t="e">
        <f t="shared" si="222"/>
        <v>#REF!</v>
      </c>
      <c r="I286" t="e">
        <f t="shared" si="222"/>
        <v>#REF!</v>
      </c>
      <c r="J286" t="e">
        <f t="shared" si="222"/>
        <v>#REF!</v>
      </c>
      <c r="K286" t="e">
        <f t="shared" si="222"/>
        <v>#REF!</v>
      </c>
      <c r="L286" t="e">
        <f t="shared" si="222"/>
        <v>#REF!</v>
      </c>
      <c r="M286" t="e">
        <f t="shared" si="222"/>
        <v>#REF!</v>
      </c>
      <c r="N286" t="e">
        <f t="shared" si="222"/>
        <v>#REF!</v>
      </c>
      <c r="O286" t="e">
        <f t="shared" si="222"/>
        <v>#REF!</v>
      </c>
      <c r="P286" t="e">
        <f t="shared" si="222"/>
        <v>#REF!</v>
      </c>
      <c r="Q286" t="e">
        <f t="shared" si="222"/>
        <v>#REF!</v>
      </c>
      <c r="R286" t="e">
        <f t="shared" si="222"/>
        <v>#REF!</v>
      </c>
      <c r="S286" t="e">
        <f t="shared" si="222"/>
        <v>#REF!</v>
      </c>
      <c r="T286" t="e">
        <f t="shared" si="220"/>
        <v>#REF!</v>
      </c>
      <c r="U286" t="e">
        <f t="shared" si="220"/>
        <v>#REF!</v>
      </c>
      <c r="V286" t="e">
        <f t="shared" si="220"/>
        <v>#REF!</v>
      </c>
      <c r="W286" t="e">
        <f t="shared" si="220"/>
        <v>#REF!</v>
      </c>
      <c r="X286" t="e">
        <f t="shared" si="207"/>
        <v>#REF!</v>
      </c>
      <c r="Y286" t="e">
        <f t="shared" si="207"/>
        <v>#REF!</v>
      </c>
      <c r="Z286" t="e">
        <f t="shared" si="207"/>
        <v>#REF!</v>
      </c>
      <c r="AA286" t="e">
        <f t="shared" si="207"/>
        <v>#REF!</v>
      </c>
      <c r="AB286" t="e">
        <f t="shared" si="207"/>
        <v>#REF!</v>
      </c>
      <c r="AC286" t="e">
        <f t="shared" si="207"/>
        <v>#REF!</v>
      </c>
      <c r="AD286" t="e">
        <f t="shared" si="207"/>
        <v>#REF!</v>
      </c>
      <c r="AE286" t="e">
        <f t="shared" si="207"/>
        <v>#REF!</v>
      </c>
      <c r="AF286" t="e">
        <f t="shared" si="207"/>
        <v>#REF!</v>
      </c>
      <c r="AG286" t="e">
        <f t="shared" si="207"/>
        <v>#REF!</v>
      </c>
      <c r="AH286" t="e">
        <f t="shared" si="216"/>
        <v>#REF!</v>
      </c>
      <c r="AI286" t="e">
        <f t="shared" si="216"/>
        <v>#REF!</v>
      </c>
      <c r="AJ286" t="e">
        <f t="shared" si="216"/>
        <v>#REF!</v>
      </c>
      <c r="AK286" t="e">
        <f t="shared" si="216"/>
        <v>#REF!</v>
      </c>
      <c r="AL286" t="e">
        <f t="shared" si="216"/>
        <v>#REF!</v>
      </c>
      <c r="AM286" t="e">
        <f t="shared" si="216"/>
        <v>#REF!</v>
      </c>
      <c r="AN286" t="e">
        <f t="shared" si="216"/>
        <v>#REF!</v>
      </c>
      <c r="AO286" t="e">
        <f t="shared" si="216"/>
        <v>#REF!</v>
      </c>
      <c r="AP286" t="e">
        <f t="shared" si="216"/>
        <v>#REF!</v>
      </c>
      <c r="AQ286" t="e">
        <f t="shared" si="216"/>
        <v>#REF!</v>
      </c>
      <c r="AR286" t="e">
        <f t="shared" si="216"/>
        <v>#REF!</v>
      </c>
      <c r="AS286" t="e">
        <f t="shared" si="216"/>
        <v>#REF!</v>
      </c>
      <c r="AT286" t="e">
        <f t="shared" si="224"/>
        <v>#REF!</v>
      </c>
      <c r="AU286" t="e">
        <f t="shared" si="224"/>
        <v>#REF!</v>
      </c>
      <c r="AV286" t="e">
        <f t="shared" si="224"/>
        <v>#REF!</v>
      </c>
      <c r="AW286" t="e">
        <f t="shared" si="224"/>
        <v>#REF!</v>
      </c>
      <c r="AX286" t="e">
        <f t="shared" si="224"/>
        <v>#REF!</v>
      </c>
      <c r="AY286" t="e">
        <f t="shared" si="224"/>
        <v>#REF!</v>
      </c>
      <c r="AZ286" t="e">
        <f t="shared" si="224"/>
        <v>#REF!</v>
      </c>
      <c r="BA286" t="e">
        <f t="shared" si="224"/>
        <v>#REF!</v>
      </c>
      <c r="BB286" t="e">
        <f t="shared" si="224"/>
        <v>#REF!</v>
      </c>
      <c r="BC286" t="e">
        <f t="shared" si="224"/>
        <v>#REF!</v>
      </c>
      <c r="BD286" t="e">
        <f t="shared" si="224"/>
        <v>#REF!</v>
      </c>
      <c r="BE286" t="e">
        <f t="shared" si="224"/>
        <v>#REF!</v>
      </c>
      <c r="BF286" t="e">
        <f t="shared" si="224"/>
        <v>#REF!</v>
      </c>
      <c r="BG286" t="e">
        <f t="shared" si="224"/>
        <v>#REF!</v>
      </c>
      <c r="BH286" t="e">
        <f t="shared" si="224"/>
        <v>#REF!</v>
      </c>
      <c r="BI286" t="e">
        <f t="shared" si="224"/>
        <v>#REF!</v>
      </c>
      <c r="BJ286" t="e">
        <f t="shared" si="223"/>
        <v>#REF!</v>
      </c>
      <c r="BK286" t="e">
        <f t="shared" si="223"/>
        <v>#REF!</v>
      </c>
      <c r="BL286" t="e">
        <f t="shared" si="223"/>
        <v>#REF!</v>
      </c>
      <c r="BM286" t="e">
        <f t="shared" si="223"/>
        <v>#REF!</v>
      </c>
      <c r="BN286" t="e">
        <f t="shared" si="223"/>
        <v>#REF!</v>
      </c>
      <c r="BO286" t="e">
        <f t="shared" si="223"/>
        <v>#REF!</v>
      </c>
      <c r="BP286" t="e">
        <f t="shared" si="223"/>
        <v>#REF!</v>
      </c>
      <c r="BQ286" t="e">
        <f t="shared" si="223"/>
        <v>#REF!</v>
      </c>
      <c r="BR286" t="e">
        <f t="shared" si="223"/>
        <v>#REF!</v>
      </c>
      <c r="BS286" t="e">
        <f t="shared" si="223"/>
        <v>#REF!</v>
      </c>
      <c r="BT286" t="e">
        <f t="shared" si="223"/>
        <v>#REF!</v>
      </c>
      <c r="BU286" t="e">
        <f t="shared" si="223"/>
        <v>#REF!</v>
      </c>
      <c r="BV286" t="e">
        <f t="shared" si="218"/>
        <v>#REF!</v>
      </c>
      <c r="BW286" t="e">
        <f t="shared" si="218"/>
        <v>#REF!</v>
      </c>
      <c r="BX286" t="e">
        <f t="shared" si="218"/>
        <v>#REF!</v>
      </c>
      <c r="BY286" t="e">
        <f t="shared" si="218"/>
        <v>#REF!</v>
      </c>
      <c r="BZ286" t="e">
        <f t="shared" si="218"/>
        <v>#REF!</v>
      </c>
      <c r="CA286" t="e">
        <f t="shared" si="218"/>
        <v>#REF!</v>
      </c>
      <c r="CB286" t="e">
        <f t="shared" si="218"/>
        <v>#REF!</v>
      </c>
      <c r="CC286" t="e">
        <f t="shared" si="218"/>
        <v>#REF!</v>
      </c>
      <c r="CD286" t="e">
        <f t="shared" si="218"/>
        <v>#REF!</v>
      </c>
      <c r="CE286" t="e">
        <f t="shared" si="218"/>
        <v>#REF!</v>
      </c>
      <c r="CF286" t="e">
        <f t="shared" si="217"/>
        <v>#REF!</v>
      </c>
      <c r="CG286" t="e">
        <f t="shared" si="217"/>
        <v>#REF!</v>
      </c>
      <c r="CH286" t="e">
        <f t="shared" si="217"/>
        <v>#REF!</v>
      </c>
      <c r="CI286" t="e">
        <f t="shared" si="217"/>
        <v>#REF!</v>
      </c>
      <c r="CJ286" t="e">
        <f t="shared" si="217"/>
        <v>#REF!</v>
      </c>
      <c r="CK286" t="e">
        <f t="shared" si="217"/>
        <v>#REF!</v>
      </c>
      <c r="CL286" t="e">
        <f t="shared" si="217"/>
        <v>#REF!</v>
      </c>
      <c r="CM286" t="e">
        <f t="shared" si="217"/>
        <v>#REF!</v>
      </c>
      <c r="CN286" t="e">
        <f t="shared" si="217"/>
        <v>#REF!</v>
      </c>
      <c r="CO286" t="e">
        <f t="shared" si="212"/>
        <v>#REF!</v>
      </c>
      <c r="CP286" t="e">
        <f t="shared" si="212"/>
        <v>#REF!</v>
      </c>
      <c r="CQ286" t="e">
        <f t="shared" si="212"/>
        <v>#REF!</v>
      </c>
      <c r="CR286" t="e">
        <f t="shared" si="212"/>
        <v>#REF!</v>
      </c>
      <c r="CS286" t="e">
        <f t="shared" si="212"/>
        <v>#REF!</v>
      </c>
      <c r="CT286" t="e">
        <f t="shared" si="212"/>
        <v>#REF!</v>
      </c>
      <c r="CU286" t="e">
        <f t="shared" si="212"/>
        <v>#REF!</v>
      </c>
      <c r="CV286" t="e">
        <f t="shared" si="212"/>
        <v>#REF!</v>
      </c>
      <c r="CW286" t="e">
        <f t="shared" si="229"/>
        <v>#REF!</v>
      </c>
      <c r="CX286" t="e">
        <f t="shared" si="229"/>
        <v>#REF!</v>
      </c>
      <c r="CY286" t="e">
        <f t="shared" si="229"/>
        <v>#REF!</v>
      </c>
      <c r="CZ286" t="e">
        <f t="shared" si="229"/>
        <v>#REF!</v>
      </c>
      <c r="DA286" t="e">
        <f t="shared" si="229"/>
        <v>#REF!</v>
      </c>
      <c r="DB286" t="e">
        <f t="shared" si="229"/>
        <v>#REF!</v>
      </c>
      <c r="DC286" t="e">
        <f t="shared" si="229"/>
        <v>#REF!</v>
      </c>
      <c r="DD286" t="e">
        <f t="shared" si="229"/>
        <v>#REF!</v>
      </c>
      <c r="DE286" t="e">
        <f t="shared" si="229"/>
        <v>#REF!</v>
      </c>
      <c r="DF286" t="e">
        <f t="shared" si="229"/>
        <v>#REF!</v>
      </c>
      <c r="DG286" t="e">
        <f t="shared" si="229"/>
        <v>#REF!</v>
      </c>
      <c r="DH286" t="e">
        <f t="shared" si="229"/>
        <v>#REF!</v>
      </c>
      <c r="DI286" t="e">
        <f t="shared" si="229"/>
        <v>#REF!</v>
      </c>
      <c r="DJ286" t="e">
        <f t="shared" si="227"/>
        <v>#REF!</v>
      </c>
      <c r="DK286" t="e">
        <f t="shared" si="227"/>
        <v>#REF!</v>
      </c>
      <c r="DL286" t="e">
        <f t="shared" si="227"/>
        <v>#REF!</v>
      </c>
      <c r="DM286" t="e">
        <f t="shared" si="227"/>
        <v>#REF!</v>
      </c>
      <c r="DN286" t="e">
        <f t="shared" si="227"/>
        <v>#REF!</v>
      </c>
      <c r="DO286" t="e">
        <f t="shared" si="227"/>
        <v>#REF!</v>
      </c>
      <c r="DP286" t="e">
        <f t="shared" si="227"/>
        <v>#REF!</v>
      </c>
      <c r="DQ286" t="e">
        <f t="shared" si="227"/>
        <v>#REF!</v>
      </c>
      <c r="DR286" t="e">
        <f t="shared" si="226"/>
        <v>#REF!</v>
      </c>
      <c r="DS286" t="e">
        <f t="shared" si="226"/>
        <v>#REF!</v>
      </c>
      <c r="DT286" t="e">
        <f t="shared" si="226"/>
        <v>#REF!</v>
      </c>
      <c r="DU286" t="e">
        <f t="shared" si="226"/>
        <v>#REF!</v>
      </c>
      <c r="DV286" t="e">
        <f t="shared" si="226"/>
        <v>#REF!</v>
      </c>
      <c r="DW286" t="e">
        <f t="shared" si="226"/>
        <v>#REF!</v>
      </c>
      <c r="DX286" t="e">
        <f t="shared" si="226"/>
        <v>#REF!</v>
      </c>
      <c r="DY286" t="e">
        <f t="shared" si="226"/>
        <v>#REF!</v>
      </c>
      <c r="DZ286" t="e">
        <f t="shared" si="221"/>
        <v>#REF!</v>
      </c>
      <c r="EA286" t="e">
        <f t="shared" si="221"/>
        <v>#REF!</v>
      </c>
      <c r="EB286" t="e">
        <f t="shared" si="221"/>
        <v>#REF!</v>
      </c>
      <c r="EC286" t="e">
        <f t="shared" si="221"/>
        <v>#REF!</v>
      </c>
      <c r="ED286" t="e">
        <f t="shared" si="221"/>
        <v>#REF!</v>
      </c>
      <c r="EE286" t="e">
        <f t="shared" si="221"/>
        <v>#REF!</v>
      </c>
      <c r="EF286" t="e">
        <f t="shared" si="221"/>
        <v>#REF!</v>
      </c>
      <c r="EG286" t="e">
        <f t="shared" si="221"/>
        <v>#REF!</v>
      </c>
      <c r="EH286" t="e">
        <f t="shared" si="221"/>
        <v>#REF!</v>
      </c>
      <c r="EI286" t="e">
        <f t="shared" si="221"/>
        <v>#REF!</v>
      </c>
      <c r="EJ286" t="e">
        <f t="shared" si="221"/>
        <v>#REF!</v>
      </c>
      <c r="EK286" t="e">
        <f t="shared" si="221"/>
        <v>#REF!</v>
      </c>
      <c r="EL286" t="e">
        <f t="shared" si="221"/>
        <v>#REF!</v>
      </c>
      <c r="EM286" t="e">
        <f t="shared" si="219"/>
        <v>#REF!</v>
      </c>
    </row>
    <row r="287" spans="1:143" x14ac:dyDescent="0.4">
      <c r="A287" t="str">
        <f t="shared" si="206"/>
        <v>X</v>
      </c>
      <c r="B287">
        <v>284</v>
      </c>
      <c r="C287" t="e" cm="1">
        <f t="array" ref="C287">INDEX(auto_Series_Code,B287)</f>
        <v>#REF!</v>
      </c>
      <c r="D287" t="e">
        <f t="shared" si="222"/>
        <v>#REF!</v>
      </c>
      <c r="E287" t="e">
        <f t="shared" si="222"/>
        <v>#REF!</v>
      </c>
      <c r="F287" t="e">
        <f t="shared" si="222"/>
        <v>#REF!</v>
      </c>
      <c r="G287" t="e">
        <f t="shared" si="222"/>
        <v>#REF!</v>
      </c>
      <c r="H287" t="e">
        <f t="shared" si="222"/>
        <v>#REF!</v>
      </c>
      <c r="I287" t="e">
        <f t="shared" si="222"/>
        <v>#REF!</v>
      </c>
      <c r="J287" t="e">
        <f t="shared" si="222"/>
        <v>#REF!</v>
      </c>
      <c r="K287" t="e">
        <f t="shared" si="222"/>
        <v>#REF!</v>
      </c>
      <c r="L287" t="e">
        <f t="shared" si="222"/>
        <v>#REF!</v>
      </c>
      <c r="M287" t="e">
        <f t="shared" si="222"/>
        <v>#REF!</v>
      </c>
      <c r="N287" t="e">
        <f t="shared" si="222"/>
        <v>#REF!</v>
      </c>
      <c r="O287" t="e">
        <f t="shared" si="222"/>
        <v>#REF!</v>
      </c>
      <c r="P287" t="e">
        <f t="shared" si="222"/>
        <v>#REF!</v>
      </c>
      <c r="Q287" t="e">
        <f t="shared" si="222"/>
        <v>#REF!</v>
      </c>
      <c r="R287" t="e">
        <f t="shared" si="222"/>
        <v>#REF!</v>
      </c>
      <c r="S287" t="e">
        <f t="shared" si="222"/>
        <v>#REF!</v>
      </c>
      <c r="T287" t="e">
        <f t="shared" si="220"/>
        <v>#REF!</v>
      </c>
      <c r="U287" t="e">
        <f t="shared" si="220"/>
        <v>#REF!</v>
      </c>
      <c r="V287" t="e">
        <f t="shared" si="220"/>
        <v>#REF!</v>
      </c>
      <c r="W287" t="e">
        <f t="shared" si="220"/>
        <v>#REF!</v>
      </c>
      <c r="X287" t="e">
        <f t="shared" si="207"/>
        <v>#REF!</v>
      </c>
      <c r="Y287" t="e">
        <f t="shared" si="207"/>
        <v>#REF!</v>
      </c>
      <c r="Z287" t="e">
        <f t="shared" si="207"/>
        <v>#REF!</v>
      </c>
      <c r="AA287" t="e">
        <f t="shared" si="207"/>
        <v>#REF!</v>
      </c>
      <c r="AB287" t="e">
        <f t="shared" si="207"/>
        <v>#REF!</v>
      </c>
      <c r="AC287" t="e">
        <f t="shared" si="207"/>
        <v>#REF!</v>
      </c>
      <c r="AD287" t="e">
        <f t="shared" si="207"/>
        <v>#REF!</v>
      </c>
      <c r="AE287" t="e">
        <f t="shared" si="207"/>
        <v>#REF!</v>
      </c>
      <c r="AF287" t="e">
        <f t="shared" si="207"/>
        <v>#REF!</v>
      </c>
      <c r="AG287" t="e">
        <f t="shared" si="207"/>
        <v>#REF!</v>
      </c>
      <c r="AH287" t="e">
        <f t="shared" si="216"/>
        <v>#REF!</v>
      </c>
      <c r="AI287" t="e">
        <f t="shared" si="216"/>
        <v>#REF!</v>
      </c>
      <c r="AJ287" t="e">
        <f t="shared" si="216"/>
        <v>#REF!</v>
      </c>
      <c r="AK287" t="e">
        <f t="shared" si="216"/>
        <v>#REF!</v>
      </c>
      <c r="AL287" t="e">
        <f t="shared" si="216"/>
        <v>#REF!</v>
      </c>
      <c r="AM287" t="e">
        <f t="shared" si="216"/>
        <v>#REF!</v>
      </c>
      <c r="AN287" t="e">
        <f t="shared" si="216"/>
        <v>#REF!</v>
      </c>
      <c r="AO287" t="e">
        <f t="shared" si="216"/>
        <v>#REF!</v>
      </c>
      <c r="AP287" t="e">
        <f t="shared" si="216"/>
        <v>#REF!</v>
      </c>
      <c r="AQ287" t="e">
        <f t="shared" si="216"/>
        <v>#REF!</v>
      </c>
      <c r="AR287" t="e">
        <f t="shared" si="216"/>
        <v>#REF!</v>
      </c>
      <c r="AS287" t="e">
        <f t="shared" si="216"/>
        <v>#REF!</v>
      </c>
      <c r="AT287" t="e">
        <f t="shared" si="224"/>
        <v>#REF!</v>
      </c>
      <c r="AU287" t="e">
        <f t="shared" si="224"/>
        <v>#REF!</v>
      </c>
      <c r="AV287" t="e">
        <f t="shared" si="224"/>
        <v>#REF!</v>
      </c>
      <c r="AW287" t="e">
        <f t="shared" si="224"/>
        <v>#REF!</v>
      </c>
      <c r="AX287" t="e">
        <f t="shared" si="224"/>
        <v>#REF!</v>
      </c>
      <c r="AY287" t="e">
        <f t="shared" si="224"/>
        <v>#REF!</v>
      </c>
      <c r="AZ287" t="e">
        <f t="shared" si="224"/>
        <v>#REF!</v>
      </c>
      <c r="BA287" t="e">
        <f t="shared" si="224"/>
        <v>#REF!</v>
      </c>
      <c r="BB287" t="e">
        <f t="shared" si="224"/>
        <v>#REF!</v>
      </c>
      <c r="BC287" t="e">
        <f t="shared" si="224"/>
        <v>#REF!</v>
      </c>
      <c r="BD287" t="e">
        <f t="shared" si="224"/>
        <v>#REF!</v>
      </c>
      <c r="BE287" t="e">
        <f t="shared" si="224"/>
        <v>#REF!</v>
      </c>
      <c r="BF287" t="e">
        <f t="shared" si="224"/>
        <v>#REF!</v>
      </c>
      <c r="BG287" t="e">
        <f t="shared" si="224"/>
        <v>#REF!</v>
      </c>
      <c r="BH287" t="e">
        <f t="shared" si="224"/>
        <v>#REF!</v>
      </c>
      <c r="BI287" t="e">
        <f t="shared" si="224"/>
        <v>#REF!</v>
      </c>
      <c r="BJ287" t="e">
        <f t="shared" si="223"/>
        <v>#REF!</v>
      </c>
      <c r="BK287" t="e">
        <f t="shared" si="223"/>
        <v>#REF!</v>
      </c>
      <c r="BL287" t="e">
        <f t="shared" si="223"/>
        <v>#REF!</v>
      </c>
      <c r="BM287" t="e">
        <f t="shared" si="223"/>
        <v>#REF!</v>
      </c>
      <c r="BN287" t="e">
        <f t="shared" si="223"/>
        <v>#REF!</v>
      </c>
      <c r="BO287" t="e">
        <f t="shared" si="223"/>
        <v>#REF!</v>
      </c>
      <c r="BP287" t="e">
        <f t="shared" si="223"/>
        <v>#REF!</v>
      </c>
      <c r="BQ287" t="e">
        <f t="shared" si="223"/>
        <v>#REF!</v>
      </c>
      <c r="BR287" t="e">
        <f t="shared" si="223"/>
        <v>#REF!</v>
      </c>
      <c r="BS287" t="e">
        <f t="shared" si="223"/>
        <v>#REF!</v>
      </c>
      <c r="BT287" t="e">
        <f t="shared" si="223"/>
        <v>#REF!</v>
      </c>
      <c r="BU287" t="e">
        <f t="shared" si="223"/>
        <v>#REF!</v>
      </c>
      <c r="BV287" t="e">
        <f t="shared" si="218"/>
        <v>#REF!</v>
      </c>
      <c r="BW287" t="e">
        <f t="shared" si="218"/>
        <v>#REF!</v>
      </c>
      <c r="BX287" t="e">
        <f t="shared" si="218"/>
        <v>#REF!</v>
      </c>
      <c r="BY287" t="e">
        <f t="shared" si="218"/>
        <v>#REF!</v>
      </c>
      <c r="BZ287" t="e">
        <f t="shared" si="218"/>
        <v>#REF!</v>
      </c>
      <c r="CA287" t="e">
        <f t="shared" si="218"/>
        <v>#REF!</v>
      </c>
      <c r="CB287" t="e">
        <f t="shared" si="218"/>
        <v>#REF!</v>
      </c>
      <c r="CC287" t="e">
        <f t="shared" si="218"/>
        <v>#REF!</v>
      </c>
      <c r="CD287" t="e">
        <f t="shared" si="218"/>
        <v>#REF!</v>
      </c>
      <c r="CE287" t="e">
        <f t="shared" si="218"/>
        <v>#REF!</v>
      </c>
      <c r="CF287" t="e">
        <f t="shared" si="217"/>
        <v>#REF!</v>
      </c>
      <c r="CG287" t="e">
        <f t="shared" si="217"/>
        <v>#REF!</v>
      </c>
      <c r="CH287" t="e">
        <f t="shared" si="217"/>
        <v>#REF!</v>
      </c>
      <c r="CI287" t="e">
        <f t="shared" si="217"/>
        <v>#REF!</v>
      </c>
      <c r="CJ287" t="e">
        <f t="shared" si="217"/>
        <v>#REF!</v>
      </c>
      <c r="CK287" t="e">
        <f t="shared" si="217"/>
        <v>#REF!</v>
      </c>
      <c r="CL287" t="e">
        <f t="shared" si="217"/>
        <v>#REF!</v>
      </c>
      <c r="CM287" t="e">
        <f t="shared" si="217"/>
        <v>#REF!</v>
      </c>
      <c r="CN287" t="e">
        <f t="shared" si="217"/>
        <v>#REF!</v>
      </c>
      <c r="CO287" t="e">
        <f t="shared" si="212"/>
        <v>#REF!</v>
      </c>
      <c r="CP287" t="e">
        <f t="shared" si="212"/>
        <v>#REF!</v>
      </c>
      <c r="CQ287" t="e">
        <f t="shared" si="212"/>
        <v>#REF!</v>
      </c>
      <c r="CR287" t="e">
        <f t="shared" si="212"/>
        <v>#REF!</v>
      </c>
      <c r="CS287" t="e">
        <f t="shared" si="212"/>
        <v>#REF!</v>
      </c>
      <c r="CT287" t="e">
        <f t="shared" si="212"/>
        <v>#REF!</v>
      </c>
      <c r="CU287" t="e">
        <f t="shared" si="212"/>
        <v>#REF!</v>
      </c>
      <c r="CV287" t="e">
        <f t="shared" si="212"/>
        <v>#REF!</v>
      </c>
      <c r="CW287" t="e">
        <f t="shared" si="229"/>
        <v>#REF!</v>
      </c>
      <c r="CX287" t="e">
        <f t="shared" si="229"/>
        <v>#REF!</v>
      </c>
      <c r="CY287" t="e">
        <f t="shared" si="229"/>
        <v>#REF!</v>
      </c>
      <c r="CZ287" t="e">
        <f t="shared" si="229"/>
        <v>#REF!</v>
      </c>
      <c r="DA287" t="e">
        <f t="shared" si="229"/>
        <v>#REF!</v>
      </c>
      <c r="DB287" t="e">
        <f t="shared" si="229"/>
        <v>#REF!</v>
      </c>
      <c r="DC287" t="e">
        <f t="shared" si="229"/>
        <v>#REF!</v>
      </c>
      <c r="DD287" t="e">
        <f t="shared" si="229"/>
        <v>#REF!</v>
      </c>
      <c r="DE287" t="e">
        <f t="shared" si="229"/>
        <v>#REF!</v>
      </c>
      <c r="DF287" t="e">
        <f t="shared" si="229"/>
        <v>#REF!</v>
      </c>
      <c r="DG287" t="e">
        <f t="shared" si="229"/>
        <v>#REF!</v>
      </c>
      <c r="DH287" t="e">
        <f t="shared" si="229"/>
        <v>#REF!</v>
      </c>
      <c r="DI287" t="e">
        <f t="shared" si="229"/>
        <v>#REF!</v>
      </c>
      <c r="DJ287" t="e">
        <f t="shared" si="227"/>
        <v>#REF!</v>
      </c>
      <c r="DK287" t="e">
        <f t="shared" si="227"/>
        <v>#REF!</v>
      </c>
      <c r="DL287" t="e">
        <f t="shared" si="227"/>
        <v>#REF!</v>
      </c>
      <c r="DM287" t="e">
        <f t="shared" si="227"/>
        <v>#REF!</v>
      </c>
      <c r="DN287" t="e">
        <f t="shared" si="227"/>
        <v>#REF!</v>
      </c>
      <c r="DO287" t="e">
        <f t="shared" si="227"/>
        <v>#REF!</v>
      </c>
      <c r="DP287" t="e">
        <f t="shared" si="227"/>
        <v>#REF!</v>
      </c>
      <c r="DQ287" t="e">
        <f t="shared" si="227"/>
        <v>#REF!</v>
      </c>
      <c r="DR287" t="e">
        <f t="shared" si="226"/>
        <v>#REF!</v>
      </c>
      <c r="DS287" t="e">
        <f t="shared" si="226"/>
        <v>#REF!</v>
      </c>
      <c r="DT287" t="e">
        <f t="shared" si="226"/>
        <v>#REF!</v>
      </c>
      <c r="DU287" t="e">
        <f t="shared" si="226"/>
        <v>#REF!</v>
      </c>
      <c r="DV287" t="e">
        <f t="shared" si="226"/>
        <v>#REF!</v>
      </c>
      <c r="DW287" t="e">
        <f t="shared" si="226"/>
        <v>#REF!</v>
      </c>
      <c r="DX287" t="e">
        <f t="shared" si="226"/>
        <v>#REF!</v>
      </c>
      <c r="DY287" t="e">
        <f t="shared" si="226"/>
        <v>#REF!</v>
      </c>
      <c r="DZ287" t="e">
        <f t="shared" si="221"/>
        <v>#REF!</v>
      </c>
      <c r="EA287" t="e">
        <f t="shared" si="221"/>
        <v>#REF!</v>
      </c>
      <c r="EB287" t="e">
        <f t="shared" si="221"/>
        <v>#REF!</v>
      </c>
      <c r="EC287" t="e">
        <f t="shared" si="221"/>
        <v>#REF!</v>
      </c>
      <c r="ED287" t="e">
        <f t="shared" si="221"/>
        <v>#REF!</v>
      </c>
      <c r="EE287" t="e">
        <f t="shared" si="221"/>
        <v>#REF!</v>
      </c>
      <c r="EF287" t="e">
        <f t="shared" si="221"/>
        <v>#REF!</v>
      </c>
      <c r="EG287" t="e">
        <f t="shared" si="221"/>
        <v>#REF!</v>
      </c>
      <c r="EH287" t="e">
        <f t="shared" si="221"/>
        <v>#REF!</v>
      </c>
      <c r="EI287" t="e">
        <f t="shared" si="221"/>
        <v>#REF!</v>
      </c>
      <c r="EJ287" t="e">
        <f t="shared" si="221"/>
        <v>#REF!</v>
      </c>
      <c r="EK287" t="e">
        <f t="shared" si="221"/>
        <v>#REF!</v>
      </c>
      <c r="EL287" t="e">
        <f t="shared" si="221"/>
        <v>#REF!</v>
      </c>
      <c r="EM287" t="e">
        <f t="shared" si="219"/>
        <v>#REF!</v>
      </c>
    </row>
    <row r="288" spans="1:143" x14ac:dyDescent="0.4">
      <c r="A288" t="str">
        <f t="shared" si="206"/>
        <v>X</v>
      </c>
      <c r="B288">
        <v>285</v>
      </c>
      <c r="C288" t="e" cm="1">
        <f t="array" ref="C288">INDEX(auto_Series_Code,B288)</f>
        <v>#REF!</v>
      </c>
      <c r="D288" t="e">
        <f t="shared" si="222"/>
        <v>#REF!</v>
      </c>
      <c r="E288" t="e">
        <f t="shared" si="222"/>
        <v>#REF!</v>
      </c>
      <c r="F288" t="e">
        <f t="shared" si="222"/>
        <v>#REF!</v>
      </c>
      <c r="G288" t="e">
        <f t="shared" si="222"/>
        <v>#REF!</v>
      </c>
      <c r="H288" t="e">
        <f t="shared" si="222"/>
        <v>#REF!</v>
      </c>
      <c r="I288" t="e">
        <f t="shared" si="222"/>
        <v>#REF!</v>
      </c>
      <c r="J288" t="e">
        <f t="shared" si="222"/>
        <v>#REF!</v>
      </c>
      <c r="K288" t="e">
        <f t="shared" si="222"/>
        <v>#REF!</v>
      </c>
      <c r="L288" t="e">
        <f t="shared" si="222"/>
        <v>#REF!</v>
      </c>
      <c r="M288" t="e">
        <f t="shared" si="222"/>
        <v>#REF!</v>
      </c>
      <c r="N288" t="e">
        <f t="shared" si="222"/>
        <v>#REF!</v>
      </c>
      <c r="O288" t="e">
        <f t="shared" si="222"/>
        <v>#REF!</v>
      </c>
      <c r="P288" t="e">
        <f t="shared" si="222"/>
        <v>#REF!</v>
      </c>
      <c r="Q288" t="e">
        <f t="shared" si="222"/>
        <v>#REF!</v>
      </c>
      <c r="R288" t="e">
        <f t="shared" si="222"/>
        <v>#REF!</v>
      </c>
      <c r="S288" t="e">
        <f t="shared" si="222"/>
        <v>#REF!</v>
      </c>
      <c r="T288" t="e">
        <f t="shared" si="220"/>
        <v>#REF!</v>
      </c>
      <c r="U288" t="e">
        <f t="shared" si="220"/>
        <v>#REF!</v>
      </c>
      <c r="V288" t="e">
        <f t="shared" si="220"/>
        <v>#REF!</v>
      </c>
      <c r="W288" t="e">
        <f t="shared" si="220"/>
        <v>#REF!</v>
      </c>
      <c r="X288" t="e">
        <f t="shared" si="207"/>
        <v>#REF!</v>
      </c>
      <c r="Y288" t="e">
        <f t="shared" si="207"/>
        <v>#REF!</v>
      </c>
      <c r="Z288" t="e">
        <f t="shared" si="207"/>
        <v>#REF!</v>
      </c>
      <c r="AA288" t="e">
        <f t="shared" si="207"/>
        <v>#REF!</v>
      </c>
      <c r="AB288" t="e">
        <f t="shared" si="207"/>
        <v>#REF!</v>
      </c>
      <c r="AC288" t="e">
        <f t="shared" si="207"/>
        <v>#REF!</v>
      </c>
      <c r="AD288" t="e">
        <f t="shared" si="207"/>
        <v>#REF!</v>
      </c>
      <c r="AE288" t="e">
        <f t="shared" si="207"/>
        <v>#REF!</v>
      </c>
      <c r="AF288" t="e">
        <f t="shared" si="207"/>
        <v>#REF!</v>
      </c>
      <c r="AG288" t="e">
        <f t="shared" si="207"/>
        <v>#REF!</v>
      </c>
      <c r="AH288" t="e">
        <f t="shared" si="216"/>
        <v>#REF!</v>
      </c>
      <c r="AI288" t="e">
        <f t="shared" si="216"/>
        <v>#REF!</v>
      </c>
      <c r="AJ288" t="e">
        <f t="shared" si="216"/>
        <v>#REF!</v>
      </c>
      <c r="AK288" t="e">
        <f t="shared" si="216"/>
        <v>#REF!</v>
      </c>
      <c r="AL288" t="e">
        <f t="shared" si="216"/>
        <v>#REF!</v>
      </c>
      <c r="AM288" t="e">
        <f t="shared" si="216"/>
        <v>#REF!</v>
      </c>
      <c r="AN288" t="e">
        <f t="shared" si="216"/>
        <v>#REF!</v>
      </c>
      <c r="AO288" t="e">
        <f t="shared" si="216"/>
        <v>#REF!</v>
      </c>
      <c r="AP288" t="e">
        <f t="shared" si="216"/>
        <v>#REF!</v>
      </c>
      <c r="AQ288" t="e">
        <f t="shared" si="216"/>
        <v>#REF!</v>
      </c>
      <c r="AR288" t="e">
        <f t="shared" si="216"/>
        <v>#REF!</v>
      </c>
      <c r="AS288" t="e">
        <f t="shared" si="216"/>
        <v>#REF!</v>
      </c>
      <c r="AT288" t="e">
        <f t="shared" si="224"/>
        <v>#REF!</v>
      </c>
      <c r="AU288" t="e">
        <f t="shared" si="224"/>
        <v>#REF!</v>
      </c>
      <c r="AV288" t="e">
        <f t="shared" si="224"/>
        <v>#REF!</v>
      </c>
      <c r="AW288" t="e">
        <f t="shared" si="224"/>
        <v>#REF!</v>
      </c>
      <c r="AX288" t="e">
        <f t="shared" si="224"/>
        <v>#REF!</v>
      </c>
      <c r="AY288" t="e">
        <f t="shared" si="224"/>
        <v>#REF!</v>
      </c>
      <c r="AZ288" t="e">
        <f t="shared" si="224"/>
        <v>#REF!</v>
      </c>
      <c r="BA288" t="e">
        <f t="shared" si="224"/>
        <v>#REF!</v>
      </c>
      <c r="BB288" t="e">
        <f t="shared" si="224"/>
        <v>#REF!</v>
      </c>
      <c r="BC288" t="e">
        <f t="shared" si="224"/>
        <v>#REF!</v>
      </c>
      <c r="BD288" t="e">
        <f t="shared" si="224"/>
        <v>#REF!</v>
      </c>
      <c r="BE288" t="e">
        <f t="shared" si="224"/>
        <v>#REF!</v>
      </c>
      <c r="BF288" t="e">
        <f t="shared" si="224"/>
        <v>#REF!</v>
      </c>
      <c r="BG288" t="e">
        <f t="shared" si="224"/>
        <v>#REF!</v>
      </c>
      <c r="BH288" t="e">
        <f t="shared" si="224"/>
        <v>#REF!</v>
      </c>
      <c r="BI288" t="e">
        <f t="shared" si="224"/>
        <v>#REF!</v>
      </c>
      <c r="BJ288" t="e">
        <f t="shared" si="223"/>
        <v>#REF!</v>
      </c>
      <c r="BK288" t="e">
        <f t="shared" si="223"/>
        <v>#REF!</v>
      </c>
      <c r="BL288" t="e">
        <f t="shared" si="223"/>
        <v>#REF!</v>
      </c>
      <c r="BM288" t="e">
        <f t="shared" si="223"/>
        <v>#REF!</v>
      </c>
      <c r="BN288" t="e">
        <f t="shared" si="223"/>
        <v>#REF!</v>
      </c>
      <c r="BO288" t="e">
        <f t="shared" si="223"/>
        <v>#REF!</v>
      </c>
      <c r="BP288" t="e">
        <f t="shared" si="223"/>
        <v>#REF!</v>
      </c>
      <c r="BQ288" t="e">
        <f t="shared" si="223"/>
        <v>#REF!</v>
      </c>
      <c r="BR288" t="e">
        <f t="shared" si="223"/>
        <v>#REF!</v>
      </c>
      <c r="BS288" t="e">
        <f t="shared" si="223"/>
        <v>#REF!</v>
      </c>
      <c r="BT288" t="e">
        <f t="shared" si="223"/>
        <v>#REF!</v>
      </c>
      <c r="BU288" t="e">
        <f t="shared" si="223"/>
        <v>#REF!</v>
      </c>
      <c r="BV288" t="e">
        <f t="shared" si="218"/>
        <v>#REF!</v>
      </c>
      <c r="BW288" t="e">
        <f t="shared" si="218"/>
        <v>#REF!</v>
      </c>
      <c r="BX288" t="e">
        <f t="shared" si="218"/>
        <v>#REF!</v>
      </c>
      <c r="BY288" t="e">
        <f t="shared" si="218"/>
        <v>#REF!</v>
      </c>
      <c r="BZ288" t="e">
        <f t="shared" si="218"/>
        <v>#REF!</v>
      </c>
      <c r="CA288" t="e">
        <f t="shared" si="218"/>
        <v>#REF!</v>
      </c>
      <c r="CB288" t="e">
        <f t="shared" si="218"/>
        <v>#REF!</v>
      </c>
      <c r="CC288" t="e">
        <f t="shared" si="218"/>
        <v>#REF!</v>
      </c>
      <c r="CD288" t="e">
        <f t="shared" si="218"/>
        <v>#REF!</v>
      </c>
      <c r="CE288" t="e">
        <f t="shared" si="218"/>
        <v>#REF!</v>
      </c>
      <c r="CF288" t="e">
        <f t="shared" si="217"/>
        <v>#REF!</v>
      </c>
      <c r="CG288" t="e">
        <f t="shared" si="217"/>
        <v>#REF!</v>
      </c>
      <c r="CH288" t="e">
        <f t="shared" si="217"/>
        <v>#REF!</v>
      </c>
      <c r="CI288" t="e">
        <f t="shared" si="217"/>
        <v>#REF!</v>
      </c>
      <c r="CJ288" t="e">
        <f t="shared" si="217"/>
        <v>#REF!</v>
      </c>
      <c r="CK288" t="e">
        <f t="shared" si="217"/>
        <v>#REF!</v>
      </c>
      <c r="CL288" t="e">
        <f t="shared" si="217"/>
        <v>#REF!</v>
      </c>
      <c r="CM288" t="e">
        <f t="shared" si="217"/>
        <v>#REF!</v>
      </c>
      <c r="CN288" t="e">
        <f t="shared" si="217"/>
        <v>#REF!</v>
      </c>
      <c r="CO288" t="e">
        <f t="shared" si="212"/>
        <v>#REF!</v>
      </c>
      <c r="CP288" t="e">
        <f t="shared" si="212"/>
        <v>#REF!</v>
      </c>
      <c r="CQ288" t="e">
        <f t="shared" si="212"/>
        <v>#REF!</v>
      </c>
      <c r="CR288" t="e">
        <f t="shared" si="212"/>
        <v>#REF!</v>
      </c>
      <c r="CS288" t="e">
        <f t="shared" ref="CS288:CY288" si="230">MATCH(CONCATENATE(CS$3,"_",$C288),auto_DataFlat_UID,0)</f>
        <v>#REF!</v>
      </c>
      <c r="CT288" t="e">
        <f t="shared" si="230"/>
        <v>#REF!</v>
      </c>
      <c r="CU288" t="e">
        <f t="shared" si="230"/>
        <v>#REF!</v>
      </c>
      <c r="CV288" t="e">
        <f t="shared" si="230"/>
        <v>#REF!</v>
      </c>
      <c r="CW288" t="e">
        <f t="shared" si="230"/>
        <v>#REF!</v>
      </c>
      <c r="CX288" t="e">
        <f t="shared" si="230"/>
        <v>#REF!</v>
      </c>
      <c r="CY288" t="e">
        <f t="shared" si="230"/>
        <v>#REF!</v>
      </c>
      <c r="CZ288" t="e">
        <f t="shared" si="229"/>
        <v>#REF!</v>
      </c>
      <c r="DA288" t="e">
        <f t="shared" si="229"/>
        <v>#REF!</v>
      </c>
      <c r="DB288" t="e">
        <f t="shared" si="229"/>
        <v>#REF!</v>
      </c>
      <c r="DC288" t="e">
        <f t="shared" si="229"/>
        <v>#REF!</v>
      </c>
      <c r="DD288" t="e">
        <f t="shared" si="229"/>
        <v>#REF!</v>
      </c>
      <c r="DE288" t="e">
        <f t="shared" si="229"/>
        <v>#REF!</v>
      </c>
      <c r="DF288" t="e">
        <f t="shared" si="229"/>
        <v>#REF!</v>
      </c>
      <c r="DG288" t="e">
        <f t="shared" si="229"/>
        <v>#REF!</v>
      </c>
      <c r="DH288" t="e">
        <f t="shared" si="229"/>
        <v>#REF!</v>
      </c>
      <c r="DI288" t="e">
        <f t="shared" si="229"/>
        <v>#REF!</v>
      </c>
      <c r="DJ288" t="e">
        <f t="shared" si="227"/>
        <v>#REF!</v>
      </c>
      <c r="DK288" t="e">
        <f t="shared" si="227"/>
        <v>#REF!</v>
      </c>
      <c r="DL288" t="e">
        <f t="shared" si="227"/>
        <v>#REF!</v>
      </c>
      <c r="DM288" t="e">
        <f t="shared" si="227"/>
        <v>#REF!</v>
      </c>
      <c r="DN288" t="e">
        <f t="shared" si="227"/>
        <v>#REF!</v>
      </c>
      <c r="DO288" t="e">
        <f t="shared" si="227"/>
        <v>#REF!</v>
      </c>
      <c r="DP288" t="e">
        <f t="shared" si="227"/>
        <v>#REF!</v>
      </c>
      <c r="DQ288" t="e">
        <f t="shared" si="227"/>
        <v>#REF!</v>
      </c>
      <c r="DR288" t="e">
        <f t="shared" si="226"/>
        <v>#REF!</v>
      </c>
      <c r="DS288" t="e">
        <f t="shared" si="226"/>
        <v>#REF!</v>
      </c>
      <c r="DT288" t="e">
        <f t="shared" si="226"/>
        <v>#REF!</v>
      </c>
      <c r="DU288" t="e">
        <f t="shared" si="226"/>
        <v>#REF!</v>
      </c>
      <c r="DV288" t="e">
        <f t="shared" si="226"/>
        <v>#REF!</v>
      </c>
      <c r="DW288" t="e">
        <f t="shared" si="226"/>
        <v>#REF!</v>
      </c>
      <c r="DX288" t="e">
        <f t="shared" si="226"/>
        <v>#REF!</v>
      </c>
      <c r="DY288" t="e">
        <f t="shared" si="226"/>
        <v>#REF!</v>
      </c>
      <c r="DZ288" t="e">
        <f t="shared" si="221"/>
        <v>#REF!</v>
      </c>
      <c r="EA288" t="e">
        <f t="shared" si="221"/>
        <v>#REF!</v>
      </c>
      <c r="EB288" t="e">
        <f t="shared" si="221"/>
        <v>#REF!</v>
      </c>
      <c r="EC288" t="e">
        <f t="shared" si="221"/>
        <v>#REF!</v>
      </c>
      <c r="ED288" t="e">
        <f t="shared" si="221"/>
        <v>#REF!</v>
      </c>
      <c r="EE288" t="e">
        <f t="shared" si="221"/>
        <v>#REF!</v>
      </c>
      <c r="EF288" t="e">
        <f t="shared" si="221"/>
        <v>#REF!</v>
      </c>
      <c r="EG288" t="e">
        <f t="shared" si="221"/>
        <v>#REF!</v>
      </c>
      <c r="EH288" t="e">
        <f t="shared" si="221"/>
        <v>#REF!</v>
      </c>
      <c r="EI288" t="e">
        <f t="shared" si="221"/>
        <v>#REF!</v>
      </c>
      <c r="EJ288" t="e">
        <f t="shared" si="221"/>
        <v>#REF!</v>
      </c>
      <c r="EK288" t="e">
        <f t="shared" si="221"/>
        <v>#REF!</v>
      </c>
      <c r="EL288" t="e">
        <f t="shared" si="221"/>
        <v>#REF!</v>
      </c>
      <c r="EM288" t="e">
        <f t="shared" si="219"/>
        <v>#REF!</v>
      </c>
    </row>
  </sheetData>
  <pageMargins left="0.28958880139982501" right="0.28958880139982501" top="0.62992125984251945" bottom="0.39370078740157499" header="0.11811023622047251" footer="0.3"/>
  <pageSetup orientation="portrait"/>
  <headerFooter scaleWithDoc="0">
    <oddHeader>&amp;R&amp;"Calibri"&amp;10&amp;K808080Global Access to Healthcare</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62D1-207F-44E7-B9EC-6895CAB6039A}">
  <sheetPr codeName="Sheet46">
    <pageSetUpPr fitToPage="1"/>
  </sheetPr>
  <dimension ref="A1:BR300"/>
  <sheetViews>
    <sheetView showGridLines="0" showRowColHeaders="0" zoomScaleNormal="100" workbookViewId="0">
      <pane ySplit="7" topLeftCell="A8" activePane="bottomLeft" state="frozen"/>
      <selection pane="bottomLeft"/>
    </sheetView>
  </sheetViews>
  <sheetFormatPr defaultRowHeight="14.6" zeroHeight="1" x14ac:dyDescent="0.4"/>
  <cols>
    <col min="1" max="1" width="2.69140625" customWidth="1"/>
    <col min="2" max="2" width="4.69140625" customWidth="1"/>
    <col min="3" max="3" width="4.23046875" customWidth="1"/>
    <col min="4" max="7" width="4.3046875" customWidth="1"/>
    <col min="8" max="8" width="2.3828125" customWidth="1"/>
    <col min="9" max="13" width="3.69140625" customWidth="1"/>
    <col min="14" max="14" width="2.3828125" customWidth="1"/>
    <col min="15" max="20" width="4.3046875" customWidth="1"/>
    <col min="21" max="21" width="3.69140625" customWidth="1"/>
    <col min="22" max="23" width="4.84375" customWidth="1"/>
    <col min="24" max="24" width="24.69140625" customWidth="1"/>
    <col min="25" max="25" width="6.3046875" customWidth="1"/>
    <col min="26" max="26" width="10.3046875" customWidth="1"/>
    <col min="27" max="28" width="4.84375" customWidth="1"/>
    <col min="29" max="29" width="24.69140625" customWidth="1"/>
    <col min="30" max="30" width="6.3046875" customWidth="1"/>
    <col min="31" max="31" width="10.3046875" customWidth="1"/>
    <col min="32" max="33" width="4.84375" customWidth="1"/>
    <col min="34" max="34" width="24.69140625" customWidth="1"/>
    <col min="35" max="35" width="6.3046875" customWidth="1"/>
    <col min="36" max="36" width="10.3046875" customWidth="1"/>
    <col min="37" max="38" width="4.84375" customWidth="1"/>
    <col min="39" max="39" width="24.69140625" customWidth="1"/>
    <col min="40" max="40" width="6.3046875" customWidth="1"/>
    <col min="41" max="41" width="10.3046875" customWidth="1"/>
    <col min="42" max="43" width="4.84375" customWidth="1"/>
    <col min="44" max="44" width="24.69140625" customWidth="1"/>
    <col min="45" max="45" width="6.3046875" customWidth="1"/>
    <col min="46" max="46" width="6" customWidth="1"/>
    <col min="47" max="47" width="4.84375" customWidth="1"/>
    <col min="48" max="48" width="4.3046875" customWidth="1"/>
    <col min="49" max="49" width="24.69140625" customWidth="1"/>
    <col min="50" max="50" width="6.3046875" customWidth="1"/>
    <col min="51" max="51" width="2.69140625" customWidth="1"/>
    <col min="52" max="52" width="4.84375" customWidth="1"/>
    <col min="53" max="53" width="4.69140625" customWidth="1"/>
    <col min="54" max="54" width="24.69140625" customWidth="1"/>
    <col min="55" max="55" width="6.3046875" customWidth="1"/>
    <col min="56" max="56" width="2.69140625" customWidth="1"/>
    <col min="57" max="57" width="4.84375" customWidth="1"/>
    <col min="58" max="58" width="4.69140625" customWidth="1"/>
    <col min="59" max="59" width="24.69140625" customWidth="1"/>
    <col min="60" max="60" width="6.3046875" customWidth="1"/>
    <col min="61" max="61" width="2.69140625" customWidth="1"/>
    <col min="62" max="62" width="4.84375" customWidth="1"/>
    <col min="63" max="63" width="4.69140625" customWidth="1"/>
    <col min="64" max="64" width="24.69140625" customWidth="1"/>
    <col min="65" max="65" width="6.3046875" customWidth="1"/>
    <col min="66" max="66" width="2.69140625" customWidth="1"/>
    <col min="67" max="67" width="4.84375" customWidth="1"/>
    <col min="68" max="68" width="4.69140625" customWidth="1"/>
    <col min="69" max="69" width="24.69140625" customWidth="1"/>
    <col min="70" max="70" width="6.3046875" customWidth="1"/>
  </cols>
  <sheetData>
    <row r="1" spans="1:70" ht="24" hidden="1" customHeight="1" x14ac:dyDescent="0.4">
      <c r="A1" s="4" t="s">
        <v>2</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row>
    <row r="2" spans="1:70" ht="24" customHeight="1" x14ac:dyDescent="0.4">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1:70" ht="26.05" customHeight="1" x14ac:dyDescent="0.4">
      <c r="A3" s="4"/>
      <c r="B3" s="4" t="s">
        <v>1064</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1:70" ht="42" customHeight="1" x14ac:dyDescent="0.4">
      <c r="A4" s="4"/>
      <c r="B4" s="35" t="s">
        <v>1540</v>
      </c>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1:70" ht="24" customHeight="1" x14ac:dyDescent="0.4">
      <c r="A5" s="4" t="s">
        <v>2</v>
      </c>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1:70" ht="24" customHeight="1" x14ac:dyDescent="0.4">
      <c r="A6" s="4" t="s">
        <v>2</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row>
    <row r="7" spans="1:70" ht="24" customHeight="1" x14ac:dyDescent="0.4">
      <c r="A7" s="4" t="s">
        <v>2</v>
      </c>
      <c r="B7" s="40">
        <f>uxbGlobals!$B$317</f>
        <v>0</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row>
    <row r="8" spans="1:70" ht="8.0500000000000007" customHeight="1" x14ac:dyDescent="0.4">
      <c r="A8" s="4"/>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row>
    <row r="9" spans="1:70" ht="15" customHeight="1" x14ac:dyDescent="0.4">
      <c r="A9" s="4" t="s">
        <v>2</v>
      </c>
      <c r="B9" s="4" t="s">
        <v>2</v>
      </c>
      <c r="C9" s="4" t="s">
        <v>2</v>
      </c>
      <c r="D9" s="4" t="s">
        <v>2</v>
      </c>
      <c r="E9" s="4" t="s">
        <v>2</v>
      </c>
      <c r="F9" s="4" t="s">
        <v>2</v>
      </c>
      <c r="G9" s="4" t="s">
        <v>2</v>
      </c>
      <c r="H9" s="4" t="s">
        <v>2</v>
      </c>
      <c r="I9" s="4" t="s">
        <v>2</v>
      </c>
      <c r="J9" s="4" t="s">
        <v>2</v>
      </c>
      <c r="K9" s="4" t="s">
        <v>2</v>
      </c>
      <c r="L9" s="4" t="s">
        <v>2</v>
      </c>
      <c r="M9" s="4" t="s">
        <v>2</v>
      </c>
      <c r="N9" s="4" t="s">
        <v>2</v>
      </c>
      <c r="O9" s="4" t="s">
        <v>2</v>
      </c>
      <c r="P9" s="4" t="s">
        <v>2</v>
      </c>
      <c r="Q9" s="4" t="s">
        <v>2</v>
      </c>
      <c r="R9" s="4" t="s">
        <v>2</v>
      </c>
      <c r="S9" s="4" t="s">
        <v>2</v>
      </c>
      <c r="T9" s="4" t="s">
        <v>2</v>
      </c>
      <c r="U9" s="4"/>
      <c r="V9" s="4" t="s">
        <v>2</v>
      </c>
      <c r="W9" s="4" t="s">
        <v>2</v>
      </c>
      <c r="X9" s="4"/>
      <c r="Y9" s="4" t="s">
        <v>2</v>
      </c>
      <c r="Z9" s="4"/>
      <c r="AA9" s="4" t="s">
        <v>2</v>
      </c>
      <c r="AB9" s="4" t="s">
        <v>2</v>
      </c>
      <c r="AC9" s="4"/>
      <c r="AD9" s="4" t="s">
        <v>2</v>
      </c>
      <c r="AE9" s="4"/>
      <c r="AF9" s="4" t="s">
        <v>2</v>
      </c>
      <c r="AG9" s="4" t="s">
        <v>2</v>
      </c>
      <c r="AH9" s="4"/>
      <c r="AI9" s="4" t="s">
        <v>2</v>
      </c>
      <c r="AJ9" s="4"/>
      <c r="AK9" s="4" t="s">
        <v>2</v>
      </c>
      <c r="AL9" s="4" t="s">
        <v>2</v>
      </c>
      <c r="AM9" s="4"/>
      <c r="AN9" s="4" t="s">
        <v>2</v>
      </c>
      <c r="AO9" s="4"/>
      <c r="AP9" s="4" t="s">
        <v>2</v>
      </c>
      <c r="AQ9" s="4" t="s">
        <v>2</v>
      </c>
      <c r="AR9" s="4"/>
      <c r="AS9" s="4" t="s">
        <v>2</v>
      </c>
      <c r="AT9" s="4"/>
      <c r="AU9" s="4" t="s">
        <v>2</v>
      </c>
      <c r="AV9" s="4" t="s">
        <v>2</v>
      </c>
      <c r="AW9" s="4" t="s">
        <v>2</v>
      </c>
      <c r="AX9" s="4" t="s">
        <v>2</v>
      </c>
      <c r="AY9" s="4" t="s">
        <v>2</v>
      </c>
      <c r="AZ9" s="4" t="s">
        <v>2</v>
      </c>
      <c r="BA9" s="4" t="s">
        <v>2</v>
      </c>
      <c r="BB9" s="4" t="s">
        <v>2</v>
      </c>
      <c r="BC9" s="4" t="s">
        <v>2</v>
      </c>
      <c r="BD9" s="4" t="s">
        <v>2</v>
      </c>
      <c r="BE9" s="4" t="s">
        <v>2</v>
      </c>
      <c r="BF9" s="4" t="s">
        <v>2</v>
      </c>
      <c r="BG9" s="4" t="s">
        <v>2</v>
      </c>
      <c r="BH9" s="4" t="s">
        <v>2</v>
      </c>
      <c r="BI9" s="4" t="s">
        <v>2</v>
      </c>
      <c r="BJ9" s="4" t="s">
        <v>2</v>
      </c>
      <c r="BK9" s="4" t="s">
        <v>2</v>
      </c>
      <c r="BL9" s="4" t="s">
        <v>2</v>
      </c>
      <c r="BM9" s="4" t="s">
        <v>2</v>
      </c>
      <c r="BN9" s="4" t="s">
        <v>2</v>
      </c>
      <c r="BO9" s="4" t="s">
        <v>2</v>
      </c>
      <c r="BP9" s="4" t="s">
        <v>2</v>
      </c>
      <c r="BQ9" s="4" t="s">
        <v>2</v>
      </c>
      <c r="BR9" s="4" t="s">
        <v>2</v>
      </c>
    </row>
    <row r="10" spans="1:70" ht="15" customHeight="1" x14ac:dyDescent="0.4">
      <c r="A10" s="13" t="s">
        <v>2</v>
      </c>
      <c r="B10" s="13" t="s">
        <v>2</v>
      </c>
      <c r="C10" s="41" t="s">
        <v>164</v>
      </c>
      <c r="D10" s="41" t="s">
        <v>164</v>
      </c>
      <c r="E10" s="41" t="s">
        <v>164</v>
      </c>
      <c r="F10" s="41" t="s">
        <v>164</v>
      </c>
      <c r="G10" s="41" t="s">
        <v>164</v>
      </c>
      <c r="H10" s="4"/>
      <c r="I10" s="42" t="s">
        <v>136</v>
      </c>
      <c r="J10" s="42" t="s">
        <v>136</v>
      </c>
      <c r="K10" s="42" t="s">
        <v>136</v>
      </c>
      <c r="L10" s="42" t="s">
        <v>136</v>
      </c>
      <c r="M10" s="42" t="s">
        <v>136</v>
      </c>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row>
    <row r="11" spans="1:70" ht="30.9" x14ac:dyDescent="0.8">
      <c r="A11" s="4"/>
      <c r="B11" s="4"/>
      <c r="C11" s="4"/>
      <c r="D11" s="4"/>
      <c r="E11" s="4"/>
      <c r="F11" s="4"/>
      <c r="G11" s="43"/>
      <c r="H11" s="12"/>
      <c r="I11" s="4"/>
      <c r="J11" s="4"/>
      <c r="K11" s="4"/>
      <c r="L11" s="4"/>
      <c r="M11" s="4"/>
      <c r="N11" s="4"/>
      <c r="O11" s="4"/>
      <c r="P11" s="4"/>
      <c r="Q11" s="4"/>
      <c r="R11" s="4"/>
      <c r="S11" s="4"/>
      <c r="T11" s="4"/>
      <c r="U11" s="4"/>
      <c r="V11" s="4"/>
      <c r="W11" s="4"/>
      <c r="X11" s="44" t="str">
        <f>uxbGlobals!$B$407</f>
        <v>50 city average</v>
      </c>
      <c r="Y11" s="45"/>
      <c r="Z11" s="38"/>
      <c r="AA11" s="4"/>
      <c r="AB11" s="46"/>
      <c r="AC11" s="4"/>
      <c r="AD11" s="4"/>
      <c r="AE11" s="38"/>
      <c r="AF11" s="4"/>
      <c r="AG11" s="46"/>
      <c r="AH11" s="12"/>
      <c r="AI11" s="4"/>
      <c r="AJ11" s="4"/>
      <c r="AK11" s="4"/>
      <c r="AL11" s="46"/>
      <c r="AM11" s="4"/>
      <c r="AN11" s="4"/>
      <c r="AO11" s="38"/>
      <c r="AP11" s="4"/>
      <c r="AQ11" s="4"/>
      <c r="AR11" s="4"/>
      <c r="AS11" s="4"/>
      <c r="AT11" s="4"/>
      <c r="AU11" s="4"/>
      <c r="AV11" s="47" t="str">
        <f>iCountry!$C$4</f>
        <v>Addis Ababa</v>
      </c>
      <c r="AW11" s="47"/>
      <c r="AX11" s="45"/>
      <c r="AY11" s="38"/>
      <c r="AZ11" s="4"/>
      <c r="BA11" s="47"/>
      <c r="BB11" s="47"/>
      <c r="BC11" s="45"/>
      <c r="BD11" s="38"/>
      <c r="BE11" s="4"/>
      <c r="BF11" s="47"/>
      <c r="BG11" s="47"/>
      <c r="BH11" s="45"/>
      <c r="BI11" s="38"/>
      <c r="BJ11" s="4"/>
      <c r="BK11" s="47"/>
      <c r="BL11" s="47"/>
      <c r="BM11" s="45"/>
      <c r="BN11" s="38"/>
      <c r="BO11" s="4"/>
      <c r="BP11" s="47"/>
      <c r="BQ11" s="47"/>
      <c r="BR11" s="45"/>
    </row>
    <row r="12" spans="1:70" ht="17.25" customHeight="1" x14ac:dyDescent="0.4">
      <c r="A12" s="4"/>
      <c r="B12" s="4"/>
      <c r="C12" s="4"/>
      <c r="D12" s="4"/>
      <c r="E12" s="4"/>
      <c r="F12" s="4" t="s">
        <v>1538</v>
      </c>
      <c r="G12" s="4"/>
      <c r="H12" s="12" t="str">
        <f>uxbGlobals!$B$408</f>
        <v>G00</v>
      </c>
      <c r="I12" s="4"/>
      <c r="J12" s="4"/>
      <c r="K12" s="4"/>
      <c r="L12" s="4"/>
      <c r="M12" s="4"/>
      <c r="N12" s="4"/>
      <c r="O12" s="4"/>
      <c r="P12" s="4"/>
      <c r="Q12" s="4"/>
      <c r="R12" s="4"/>
      <c r="S12" s="4"/>
      <c r="T12" s="4"/>
      <c r="U12" s="4"/>
      <c r="V12" s="4"/>
      <c r="W12" s="4"/>
      <c r="X12" s="48" t="s">
        <v>7617</v>
      </c>
      <c r="Y12" s="4"/>
      <c r="Z12" s="4"/>
      <c r="AA12" s="4"/>
      <c r="AB12" s="48"/>
      <c r="AC12" s="4"/>
      <c r="AD12" s="4"/>
      <c r="AE12" s="4"/>
      <c r="AF12" s="4"/>
      <c r="AG12" s="48"/>
      <c r="AH12" s="4"/>
      <c r="AI12" s="4"/>
      <c r="AJ12" s="4"/>
      <c r="AK12" s="4"/>
      <c r="AL12" s="48"/>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row>
    <row r="13" spans="1:70" ht="20.25" customHeight="1" x14ac:dyDescent="0.4">
      <c r="A13" s="13" t="s">
        <v>2</v>
      </c>
      <c r="B13" s="4"/>
      <c r="C13" s="4"/>
      <c r="D13" s="4"/>
      <c r="E13" s="4"/>
      <c r="F13" s="4"/>
      <c r="G13" s="4"/>
      <c r="H13" s="4"/>
      <c r="I13" s="4"/>
      <c r="J13" s="4"/>
      <c r="K13" s="4"/>
      <c r="L13" s="4"/>
      <c r="M13" s="4"/>
      <c r="N13" s="4"/>
      <c r="O13" s="4"/>
      <c r="P13" s="4"/>
      <c r="Q13" s="4"/>
      <c r="R13" s="4"/>
      <c r="S13" s="4"/>
      <c r="T13" s="4"/>
      <c r="U13" s="4"/>
      <c r="V13" s="4"/>
      <c r="W13" s="4"/>
      <c r="X13" s="37" t="str">
        <f>uxbGlobals!$B$202</f>
        <v>Score 0-100 where 100=most healthy environment</v>
      </c>
      <c r="Y13" s="4"/>
      <c r="Z13" s="4"/>
      <c r="AA13" s="4"/>
      <c r="AB13" s="37"/>
      <c r="AC13" s="4"/>
      <c r="AD13" s="4"/>
      <c r="AE13" s="4"/>
      <c r="AF13" s="4"/>
      <c r="AG13" s="37"/>
      <c r="AH13" s="4"/>
      <c r="AI13" s="4"/>
      <c r="AJ13" s="4"/>
      <c r="AK13" s="4"/>
      <c r="AL13" s="37"/>
      <c r="AM13" s="4"/>
      <c r="AN13" s="4"/>
      <c r="AO13" s="4"/>
      <c r="AP13" s="4"/>
      <c r="AQ13" s="4"/>
      <c r="AR13" s="4"/>
      <c r="AS13" s="4"/>
      <c r="AT13" s="4"/>
      <c r="AU13" s="4"/>
      <c r="AV13" s="37" t="str">
        <f>uxbGlobals!$B$202</f>
        <v>Score 0-100 where 100=most healthy environment</v>
      </c>
      <c r="AW13" s="37"/>
      <c r="AX13" s="4"/>
      <c r="AY13" s="4"/>
      <c r="AZ13" s="4"/>
      <c r="BA13" s="37"/>
      <c r="BB13" s="37"/>
      <c r="BC13" s="4"/>
      <c r="BD13" s="4"/>
      <c r="BE13" s="4"/>
      <c r="BF13" s="37"/>
      <c r="BG13" s="37"/>
      <c r="BH13" s="4"/>
      <c r="BI13" s="4"/>
      <c r="BJ13" s="4"/>
      <c r="BK13" s="37"/>
      <c r="BL13" s="37"/>
      <c r="BM13" s="4"/>
      <c r="BN13" s="4"/>
      <c r="BO13" s="4"/>
      <c r="BP13" s="37"/>
      <c r="BQ13" s="37"/>
      <c r="BR13" s="4"/>
    </row>
    <row r="14" spans="1:70" ht="9.75" customHeight="1" x14ac:dyDescent="0.4">
      <c r="A14" s="4"/>
      <c r="B14" s="4"/>
      <c r="C14" s="4"/>
      <c r="D14" s="4"/>
      <c r="E14" s="4"/>
      <c r="F14" s="4"/>
      <c r="G14" s="4"/>
      <c r="H14" s="4"/>
      <c r="I14" s="4" t="s">
        <v>933</v>
      </c>
      <c r="J14" s="4"/>
      <c r="K14" s="4"/>
      <c r="L14" s="4"/>
      <c r="M14" s="4"/>
      <c r="N14" s="4"/>
      <c r="O14" s="4" t="s">
        <v>934</v>
      </c>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row>
    <row r="15" spans="1:70" x14ac:dyDescent="0.4">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row>
    <row r="16" spans="1:70" ht="38.25" customHeight="1" x14ac:dyDescent="0.4">
      <c r="A16" s="4"/>
      <c r="B16" s="4"/>
      <c r="C16" s="26" t="s">
        <v>68</v>
      </c>
      <c r="D16" s="4"/>
      <c r="E16" s="4"/>
      <c r="F16" s="4"/>
      <c r="G16" s="4"/>
      <c r="H16" s="4"/>
      <c r="I16" s="49">
        <f t="shared" ref="I16:I20" si="0">IF(C16="",0,MATCH(C16,auto_Series_Code,0))</f>
        <v>1</v>
      </c>
      <c r="J16" s="49">
        <f t="shared" ref="J16:J20" si="1">IF(D16="",0,MATCH(D16,auto_Series_Code,0))</f>
        <v>0</v>
      </c>
      <c r="K16" s="49">
        <f t="shared" ref="K16:K20" si="2">IF(E16="",0,MATCH(E16,auto_Series_Code,0))</f>
        <v>0</v>
      </c>
      <c r="L16" s="49">
        <f t="shared" ref="L16:L20" si="3">IF(F16="",0,MATCH(F16,auto_Series_Code,0))</f>
        <v>0</v>
      </c>
      <c r="M16" s="49">
        <f t="shared" ref="M16:M20" si="4">IF(G16="",0,MATCH(G16,auto_Series_Code,0))</f>
        <v>0</v>
      </c>
      <c r="N16" s="4"/>
      <c r="O16" s="49">
        <f t="shared" ref="O16:S20" si="5">IF(I16=0,0,MATCH(CONCATENATE($H$12,"_",C16),auto_DataFlat_UID,0))</f>
        <v>51</v>
      </c>
      <c r="P16" s="49">
        <f t="shared" si="5"/>
        <v>0</v>
      </c>
      <c r="Q16" s="49">
        <f t="shared" si="5"/>
        <v>0</v>
      </c>
      <c r="R16" s="49">
        <f t="shared" si="5"/>
        <v>0</v>
      </c>
      <c r="S16" s="49">
        <f t="shared" si="5"/>
        <v>0</v>
      </c>
      <c r="T16" s="49"/>
      <c r="U16" s="4"/>
      <c r="V16" s="49" cm="1">
        <f t="array" ref="V16">IF(O16=0,0,INDEX(auto_DataFlat_Classification,O16))</f>
        <v>4</v>
      </c>
      <c r="W16" s="50" t="str" cm="1">
        <f t="array" ref="W16">INDEX(uxbGlobals!$B$133:$B$139,V16)</f>
        <v xml:space="preserve"> </v>
      </c>
      <c r="X16" s="344" t="str" cm="1">
        <f t="array" ref="X16">IF(1=1,INDEX(auto_Series_NameNumbered,MATCH(C16,auto_Series_Code,0)),CONCATENATE(INDEX(auto_Series_NameNumbered,MATCH(C16,auto_Series_Code,0)),": ",TEXT(INDEX(auto_DataFlat_Score,O16),"0.0")))</f>
        <v>OVERALL</v>
      </c>
      <c r="Y16" s="345"/>
      <c r="Z16" s="345"/>
      <c r="AA16" s="345"/>
      <c r="AB16" s="345"/>
      <c r="AC16" s="345"/>
      <c r="AD16" s="345"/>
      <c r="AE16" s="345"/>
      <c r="AF16" s="345"/>
      <c r="AG16" s="345"/>
      <c r="AH16" s="345"/>
      <c r="AI16" s="345"/>
      <c r="AJ16" s="345"/>
      <c r="AK16" s="345"/>
      <c r="AL16" s="345"/>
      <c r="AM16" s="345"/>
      <c r="AN16" s="345"/>
      <c r="AO16" s="345"/>
      <c r="AP16" s="345"/>
      <c r="AQ16" s="345"/>
      <c r="AR16" s="345"/>
      <c r="AS16" s="345"/>
      <c r="AT16" s="4"/>
      <c r="AU16" s="49" cm="1">
        <f t="array" ref="AU16">IF(O16=0,0,INDEX(auto_DataFlat_Classification,O16))</f>
        <v>4</v>
      </c>
      <c r="AV16" s="4"/>
      <c r="AW16" s="4"/>
      <c r="AX16" s="4"/>
      <c r="AY16" s="4"/>
      <c r="AZ16" s="49"/>
      <c r="BA16" s="4"/>
      <c r="BB16" s="4"/>
      <c r="BC16" s="4"/>
      <c r="BD16" s="4"/>
      <c r="BE16" s="49"/>
      <c r="BF16" s="4"/>
      <c r="BG16" s="4"/>
      <c r="BH16" s="4"/>
      <c r="BI16" s="4"/>
      <c r="BJ16" s="49"/>
      <c r="BK16" s="4"/>
      <c r="BL16" s="4"/>
      <c r="BM16" s="4"/>
      <c r="BN16" s="4"/>
      <c r="BO16" s="49"/>
      <c r="BP16" s="4"/>
      <c r="BQ16" s="4"/>
      <c r="BR16" s="4"/>
    </row>
    <row r="17" spans="1:70" ht="33.75" customHeight="1" x14ac:dyDescent="0.4">
      <c r="A17" s="4"/>
      <c r="B17" s="4"/>
      <c r="C17" s="26"/>
      <c r="D17" s="4"/>
      <c r="E17" s="4"/>
      <c r="F17" s="4"/>
      <c r="G17" s="4"/>
      <c r="H17" s="4"/>
      <c r="I17" s="49"/>
      <c r="J17" s="49"/>
      <c r="K17" s="49"/>
      <c r="L17" s="49"/>
      <c r="M17" s="49"/>
      <c r="N17" s="4"/>
      <c r="O17" s="49"/>
      <c r="P17" s="49"/>
      <c r="Q17" s="49"/>
      <c r="R17" s="49"/>
      <c r="S17" s="49"/>
      <c r="T17" s="49"/>
      <c r="U17" s="4"/>
      <c r="V17" s="49"/>
      <c r="W17" s="49"/>
      <c r="X17" s="51"/>
      <c r="Y17" s="4"/>
      <c r="Z17" s="4"/>
      <c r="AA17" s="4"/>
      <c r="AB17" s="49"/>
      <c r="AC17" s="4"/>
      <c r="AD17" s="4"/>
      <c r="AE17" s="4"/>
      <c r="AF17" s="4"/>
      <c r="AG17" s="49"/>
      <c r="AH17" s="4"/>
      <c r="AI17" s="4"/>
      <c r="AJ17" s="4"/>
      <c r="AK17" s="4"/>
      <c r="AL17" s="49"/>
      <c r="AM17" s="4"/>
      <c r="AN17" s="4"/>
      <c r="AO17" s="4"/>
      <c r="AP17" s="4"/>
      <c r="AQ17" s="4"/>
      <c r="AR17" s="4"/>
      <c r="AS17" s="52"/>
      <c r="AT17" s="4"/>
      <c r="AU17" s="49"/>
      <c r="AV17" s="4"/>
      <c r="AW17" s="4"/>
      <c r="AX17" s="4"/>
      <c r="AY17" s="4"/>
      <c r="AZ17" s="49"/>
      <c r="BA17" s="4"/>
      <c r="BB17" s="4"/>
      <c r="BC17" s="4"/>
      <c r="BD17" s="4"/>
      <c r="BE17" s="49"/>
      <c r="BF17" s="4"/>
      <c r="BG17" s="4"/>
      <c r="BH17" s="4"/>
      <c r="BI17" s="4"/>
      <c r="BJ17" s="49"/>
      <c r="BK17" s="4"/>
      <c r="BL17" s="4"/>
      <c r="BM17" s="4"/>
      <c r="BN17" s="4"/>
      <c r="BO17" s="49"/>
      <c r="BP17" s="4"/>
      <c r="BQ17" s="4"/>
      <c r="BR17" s="4"/>
    </row>
    <row r="18" spans="1:70" ht="34.5" customHeight="1" x14ac:dyDescent="0.4">
      <c r="A18" s="13" t="s">
        <v>2</v>
      </c>
      <c r="B18" s="4"/>
      <c r="C18" s="53" t="s">
        <v>1573</v>
      </c>
      <c r="D18" s="53"/>
      <c r="E18" s="53" t="s">
        <v>1574</v>
      </c>
      <c r="F18" s="53"/>
      <c r="G18" s="53"/>
      <c r="H18" s="26"/>
      <c r="I18" s="49" t="e">
        <f t="shared" ref="I18" si="6">IF(C18="",0,MATCH(C18,auto_Series_Code,0))</f>
        <v>#N/A</v>
      </c>
      <c r="J18" s="49">
        <f t="shared" ref="J18" si="7">IF(D18="",0,MATCH(D18,auto_Series_Code,0))</f>
        <v>0</v>
      </c>
      <c r="K18" s="49" t="e">
        <f t="shared" ref="K18" si="8">IF(E18="",0,MATCH(E18,auto_Series_Code,0))</f>
        <v>#N/A</v>
      </c>
      <c r="L18" s="49">
        <f t="shared" ref="L18" si="9">IF(F18="",0,MATCH(F18,auto_Series_Code,0))</f>
        <v>0</v>
      </c>
      <c r="M18" s="49">
        <f t="shared" ref="M18" si="10">IF(G18="",0,MATCH(G18,auto_Series_Code,0))</f>
        <v>0</v>
      </c>
      <c r="N18" s="26"/>
      <c r="O18" s="49" t="e">
        <f t="shared" ref="O18" si="11">IF(I18=0,0,MATCH(CONCATENATE($H$12,"_",C18),auto_DataFlat_UID,0))</f>
        <v>#N/A</v>
      </c>
      <c r="P18" s="49">
        <f t="shared" ref="P18" si="12">IF(J18=0,0,MATCH(CONCATENATE($H$12,"_",D18),auto_DataFlat_UID,0))</f>
        <v>0</v>
      </c>
      <c r="Q18" s="49" t="e">
        <f t="shared" ref="Q18" si="13">IF(K18=0,0,MATCH(CONCATENATE($H$12,"_",E18),auto_DataFlat_UID,0))</f>
        <v>#N/A</v>
      </c>
      <c r="R18" s="49">
        <f t="shared" ref="R18" si="14">IF(L18=0,0,MATCH(CONCATENATE($H$12,"_",F18),auto_DataFlat_UID,0))</f>
        <v>0</v>
      </c>
      <c r="S18" s="49">
        <f t="shared" ref="S18" si="15">IF(M18=0,0,MATCH(CONCATENATE($H$12,"_",G18),auto_DataFlat_UID,0))</f>
        <v>0</v>
      </c>
      <c r="T18" s="49"/>
      <c r="U18" s="26"/>
      <c r="V18" s="49" t="e" cm="1">
        <f t="array" ref="V18">IF(O18=0,0,INDEX(auto_DataFlat_Classification,O18))</f>
        <v>#N/A</v>
      </c>
      <c r="W18" s="50" t="e" cm="1">
        <f t="array" ref="W18">INDEX(uxbGlobals!$B$133:$B$139,V18)</f>
        <v>#N/A</v>
      </c>
      <c r="X18" s="341" t="e">
        <f>IF(C18="","",INDEX(auto_Series_NameNumbered,MATCH(C18,auto_Series_Code,0)))</f>
        <v>#N/A</v>
      </c>
      <c r="Y18" s="342"/>
      <c r="Z18" s="342"/>
      <c r="AA18" s="342"/>
      <c r="AB18" s="342"/>
      <c r="AC18" s="343"/>
      <c r="AD18" s="55" t="e" cm="1">
        <f t="array" ref="AD18">IF(O18=0,"",INDEX(auto_DataFlat_Score,O18))</f>
        <v>#N/A</v>
      </c>
      <c r="AE18" s="56"/>
      <c r="AF18" s="49" t="e" cm="1">
        <f t="array" ref="AF18">IF(Q18=0,0,INDEX(auto_DataFlat_Classification,Q18))</f>
        <v>#N/A</v>
      </c>
      <c r="AG18" s="50" t="e" cm="1">
        <f t="array" ref="AG18">INDEX(uxbGlobals!$B$133:$B$139,AF18)</f>
        <v>#N/A</v>
      </c>
      <c r="AH18" s="341" t="e">
        <f>IF(E18="","",INDEX(auto_Series_NameNumbered,MATCH(E18,auto_Series_Code,0)))</f>
        <v>#N/A</v>
      </c>
      <c r="AI18" s="342"/>
      <c r="AJ18" s="342"/>
      <c r="AK18" s="342"/>
      <c r="AL18" s="342"/>
      <c r="AM18" s="343"/>
      <c r="AN18" s="55" t="e" cm="1">
        <f t="array" ref="AN18">IF(Q18=0,"",INDEX(auto_DataFlat_Score,Q18))</f>
        <v>#N/A</v>
      </c>
      <c r="AO18" s="56"/>
      <c r="AP18" s="49" cm="1">
        <f t="array" ref="AP18">IF(S18=0,0,INDEX(auto_DataFlat_Classification,S18))</f>
        <v>0</v>
      </c>
      <c r="AQ18" s="49"/>
      <c r="AR18" s="57" t="str">
        <f>IF(G18="","",INDEX(auto_Series_NameNumbered,MATCH(G18,auto_Series_Code,0)))</f>
        <v/>
      </c>
      <c r="AS18" s="55" t="str" cm="1">
        <f t="array" ref="AS18">IF(S18=0,"",INDEX(auto_DataFlat_Score,S18))</f>
        <v/>
      </c>
      <c r="AT18" s="4"/>
      <c r="AU18" s="58" t="e" cm="1">
        <f t="array" ref="AU18">IF(O18=0,0,INDEX(auto_DataFlat_Classification,O18))</f>
        <v>#N/A</v>
      </c>
      <c r="AV18" s="59" t="e">
        <f>IF(C18="","",INDEX(auto_tblSeries,MATCH(C18,auto_Series_Code,0),10))</f>
        <v>#N/A</v>
      </c>
      <c r="AW18" s="60" t="e">
        <f>IF(C18="","",INDEX(auto_Series_NameNoNumber,MATCH(C18,auto_Series_Code,0)))</f>
        <v>#N/A</v>
      </c>
      <c r="AX18" s="61" t="e" cm="1">
        <f t="array" ref="AX18">IF(O18=0,"",INDEX(auto_DataFlat_Score,O18))</f>
        <v>#N/A</v>
      </c>
      <c r="AY18" s="56"/>
      <c r="AZ18" s="58" t="e" cm="1">
        <f t="array" ref="AZ18">IF(O18=0,0,INDEX(auto_DataFlat_Classification,O18))</f>
        <v>#N/A</v>
      </c>
      <c r="BA18" s="59" t="str">
        <f>IF(D18="","",INDEX(auto_tblSeries,MATCH(D18,auto_Series_Code,0),10))</f>
        <v/>
      </c>
      <c r="BB18" s="60" t="str">
        <f>IF(D18="","",INDEX(auto_Series_NameNoNumber,MATCH(D18,auto_Series_Code,0)))</f>
        <v/>
      </c>
      <c r="BC18" s="61" t="str" cm="1">
        <f t="array" ref="BC18">IF(P18=0,"",INDEX(auto_DataFlat_Score,P18))</f>
        <v/>
      </c>
      <c r="BD18" s="56"/>
      <c r="BE18" s="58" cm="1">
        <f t="array" ref="BE18">IF(P18=0,0,INDEX(auto_DataFlat_Classification,P18))</f>
        <v>0</v>
      </c>
      <c r="BF18" s="59" t="e">
        <f>IF(E18="","",INDEX(auto_tblSeries,MATCH(E18,auto_Series_Code,0),10))</f>
        <v>#N/A</v>
      </c>
      <c r="BG18" s="60" t="e">
        <f>IF(E18="","",INDEX(auto_Series_NameNoNumber,MATCH(E18,auto_Series_Code,0)))</f>
        <v>#N/A</v>
      </c>
      <c r="BH18" s="61" t="str" cm="1">
        <f t="array" ref="BH18">IF(P18=0,"",INDEX(auto_DataFlat_Score,P18))</f>
        <v/>
      </c>
      <c r="BI18" s="56"/>
      <c r="BJ18" s="58" t="e">
        <f>IF(Q18=0,0,INDEX(auto_DataFlat_Classification,19))</f>
        <v>#N/A</v>
      </c>
      <c r="BK18" s="59" t="str">
        <f>IF(F18="","",INDEX(auto_tblSeries,MATCH(F18,auto_Series_Code,0),10))</f>
        <v/>
      </c>
      <c r="BL18" s="60" t="str">
        <f>IF(F18="","",INDEX(auto_Series_NameNoNumber,MATCH(F18,auto_Series_Code,0)))</f>
        <v/>
      </c>
      <c r="BM18" s="61" t="e" cm="1">
        <f t="array" ref="BM18">IF(Q18=0,"",INDEX(auto_DataFlat_Score,Q18))</f>
        <v>#N/A</v>
      </c>
      <c r="BN18" s="56"/>
      <c r="BO18" s="58" cm="1">
        <f t="array" ref="BO18">IF(R18=0,0,INDEX(auto_DataFlat_Classification,R18))</f>
        <v>0</v>
      </c>
      <c r="BP18" s="59" t="str">
        <f>IF(G18="","",INDEX(auto_tblSeries,MATCH(G18,auto_Series_Code,0),10))</f>
        <v/>
      </c>
      <c r="BQ18" s="60" t="str">
        <f>IF(G18="","",INDEX(auto_Series_NameNoNumber,MATCH(G18,auto_Series_Code,0)))</f>
        <v/>
      </c>
      <c r="BR18" s="61" t="str" cm="1">
        <f t="array" ref="BR18">IF(R18=0,"",INDEX(auto_DataFlat_Score,R18))</f>
        <v/>
      </c>
    </row>
    <row r="19" spans="1:70" ht="45" customHeight="1" x14ac:dyDescent="0.4">
      <c r="A19" s="13" t="s">
        <v>2</v>
      </c>
      <c r="B19" s="4"/>
      <c r="C19" s="4"/>
      <c r="D19" s="4"/>
      <c r="E19" s="4"/>
      <c r="F19" s="4"/>
      <c r="G19" s="4"/>
      <c r="H19" s="4"/>
      <c r="I19" s="49">
        <f t="shared" si="0"/>
        <v>0</v>
      </c>
      <c r="J19" s="49">
        <f t="shared" si="1"/>
        <v>0</v>
      </c>
      <c r="K19" s="49">
        <f t="shared" si="2"/>
        <v>0</v>
      </c>
      <c r="L19" s="49">
        <f t="shared" si="3"/>
        <v>0</v>
      </c>
      <c r="M19" s="49">
        <f t="shared" si="4"/>
        <v>0</v>
      </c>
      <c r="N19" s="4"/>
      <c r="O19" s="49">
        <f t="shared" si="5"/>
        <v>0</v>
      </c>
      <c r="P19" s="49">
        <f t="shared" si="5"/>
        <v>0</v>
      </c>
      <c r="Q19" s="49">
        <f t="shared" si="5"/>
        <v>0</v>
      </c>
      <c r="R19" s="49">
        <f t="shared" si="5"/>
        <v>0</v>
      </c>
      <c r="S19" s="49">
        <f t="shared" si="5"/>
        <v>0</v>
      </c>
      <c r="T19" s="49"/>
      <c r="U19" s="4"/>
      <c r="V19" s="49" cm="1">
        <f t="array" ref="V19">IF(O19=0,0,INDEX(auto_DataFlat_Classification,O19))</f>
        <v>0</v>
      </c>
      <c r="W19" s="49"/>
      <c r="X19" s="62"/>
      <c r="Y19" s="62"/>
      <c r="Z19" s="62"/>
      <c r="AA19" s="49" cm="1">
        <f t="array" ref="AA19">IF(P19=0,0,INDEX(auto_DataFlat_Classification,P19))</f>
        <v>0</v>
      </c>
      <c r="AB19" s="49"/>
      <c r="AC19" s="62"/>
      <c r="AD19" s="62"/>
      <c r="AE19" s="62"/>
      <c r="AF19" s="49" cm="1">
        <f t="array" ref="AF19">IF(Q19=0,0,INDEX(auto_DataFlat_Classification,Q19))</f>
        <v>0</v>
      </c>
      <c r="AG19" s="49"/>
      <c r="AH19" s="62"/>
      <c r="AI19" s="62"/>
      <c r="AJ19" s="62"/>
      <c r="AK19" s="49" cm="1">
        <f t="array" ref="AK19">IF(R19=0,0,INDEX(auto_DataFlat_Classification,R19))</f>
        <v>0</v>
      </c>
      <c r="AL19" s="49"/>
      <c r="AM19" s="62"/>
      <c r="AN19" s="62"/>
      <c r="AO19" s="62"/>
      <c r="AP19" s="49" cm="1">
        <f t="array" ref="AP19">IF(S19=0,0,INDEX(auto_DataFlat_Classification,S19))</f>
        <v>0</v>
      </c>
      <c r="AQ19" s="49"/>
      <c r="AR19" s="62"/>
      <c r="AS19" s="4"/>
      <c r="AT19" s="4"/>
      <c r="AU19" s="49"/>
      <c r="AV19" s="62"/>
      <c r="AW19" s="62"/>
      <c r="AX19" s="62"/>
      <c r="AY19" s="62"/>
      <c r="AZ19" s="49"/>
      <c r="BA19" s="62"/>
      <c r="BB19" s="62"/>
      <c r="BC19" s="62"/>
      <c r="BD19" s="62"/>
      <c r="BE19" s="49"/>
      <c r="BF19" s="62"/>
      <c r="BG19" s="62"/>
      <c r="BH19" s="62"/>
      <c r="BI19" s="62"/>
      <c r="BJ19" s="49"/>
      <c r="BK19" s="62"/>
      <c r="BL19" s="62"/>
      <c r="BM19" s="62"/>
      <c r="BN19" s="62"/>
      <c r="BO19" s="49"/>
      <c r="BP19" s="62"/>
      <c r="BQ19" s="62"/>
      <c r="BR19" s="62"/>
    </row>
    <row r="20" spans="1:70" ht="47.25" customHeight="1" x14ac:dyDescent="0.4">
      <c r="A20" s="4"/>
      <c r="B20" s="4"/>
      <c r="C20" s="53" t="s">
        <v>1769</v>
      </c>
      <c r="D20" s="53" t="s">
        <v>1781</v>
      </c>
      <c r="E20" s="53" t="s">
        <v>1795</v>
      </c>
      <c r="F20" s="53" t="s">
        <v>1796</v>
      </c>
      <c r="G20" s="53" t="s">
        <v>4583</v>
      </c>
      <c r="H20" s="26"/>
      <c r="I20" s="49">
        <f t="shared" si="0"/>
        <v>2</v>
      </c>
      <c r="J20" s="49">
        <f t="shared" si="1"/>
        <v>14</v>
      </c>
      <c r="K20" s="49">
        <f t="shared" si="2"/>
        <v>22</v>
      </c>
      <c r="L20" s="49">
        <f t="shared" si="3"/>
        <v>47</v>
      </c>
      <c r="M20" s="49">
        <f t="shared" si="4"/>
        <v>52</v>
      </c>
      <c r="N20" s="26"/>
      <c r="O20" s="49">
        <f t="shared" si="5"/>
        <v>111</v>
      </c>
      <c r="P20" s="49">
        <f t="shared" si="5"/>
        <v>831</v>
      </c>
      <c r="Q20" s="49">
        <f t="shared" si="5"/>
        <v>1311</v>
      </c>
      <c r="R20" s="49">
        <f t="shared" si="5"/>
        <v>2811</v>
      </c>
      <c r="S20" s="49">
        <f t="shared" si="5"/>
        <v>3111</v>
      </c>
      <c r="T20" s="49"/>
      <c r="U20" s="26"/>
      <c r="V20" s="49" cm="1">
        <f t="array" ref="V20">IF(O20=0,0,INDEX(auto_DataFlat_Classification,O20))</f>
        <v>4</v>
      </c>
      <c r="W20" s="50" t="str" cm="1">
        <f t="array" ref="W20">INDEX(uxbGlobals!$B$133:$B$139,V20)</f>
        <v xml:space="preserve"> </v>
      </c>
      <c r="X20" s="63" t="str">
        <f>IF(C20="","",INDEX(auto_Series_NameNumbered,MATCH(C20,auto_Series_Code,0)))</f>
        <v>1) SOCIAL DETERMINANTS</v>
      </c>
      <c r="Y20" s="55" cm="1">
        <f t="array" ref="Y20">IF(O20=0,"",INDEX(auto_DataFlat_Score,O20))</f>
        <v>70</v>
      </c>
      <c r="Z20" s="56"/>
      <c r="AA20" s="49" cm="1">
        <f t="array" ref="AA20">IF(P20=0,0,INDEX(auto_DataFlat_Classification,P20))</f>
        <v>3</v>
      </c>
      <c r="AB20" s="50" t="str" cm="1">
        <f t="array" ref="AB20">INDEX(uxbGlobals!$B$133:$B$139,AA20)</f>
        <v xml:space="preserve"> </v>
      </c>
      <c r="AC20" s="63" t="str">
        <f>IF(D20="","",INDEX(auto_Series_NameNumbered,MATCH(D20,auto_Series_Code,0)))</f>
        <v>2) PHYSICAL ENVIRONMENT</v>
      </c>
      <c r="AD20" s="55" cm="1">
        <f t="array" ref="AD20">IF(P20=0,"",INDEX(auto_DataFlat_Score,P20))</f>
        <v>48.8</v>
      </c>
      <c r="AE20" s="56"/>
      <c r="AF20" s="49" cm="1">
        <f t="array" ref="AF20">IF(Q20=0,0,INDEX(auto_DataFlat_Classification,Q20))</f>
        <v>3</v>
      </c>
      <c r="AG20" s="50" t="str" cm="1">
        <f t="array" ref="AG20">INDEX(uxbGlobals!$B$133:$B$139,AF20)</f>
        <v xml:space="preserve"> </v>
      </c>
      <c r="AH20" s="63" t="str">
        <f>IF(E20="","",INDEX(auto_Series_NameNumbered,MATCH(E20,auto_Series_Code,0)))</f>
        <v>3) HEALTH RISKS</v>
      </c>
      <c r="AI20" s="55" cm="1">
        <f t="array" ref="AI20">IF(Q20=0,"",INDEX(auto_DataFlat_Score,Q20))</f>
        <v>57.9</v>
      </c>
      <c r="AJ20" s="64"/>
      <c r="AK20" s="49" cm="1">
        <f t="array" ref="AK20">IF(R20=0,0,INDEX(auto_DataFlat_Classification,R20))</f>
        <v>4</v>
      </c>
      <c r="AL20" s="65" t="str" cm="1">
        <f t="array" ref="AL20">INDEX(uxbGlobals!$B$133:$B$139,AK20)</f>
        <v xml:space="preserve"> </v>
      </c>
      <c r="AM20" s="57" t="str">
        <f>IF(F20="","",INDEX(auto_Series_NameNumbered,MATCH(F20,auto_Series_Code,0)))</f>
        <v>4) HEALTH SERVICES</v>
      </c>
      <c r="AN20" s="55" cm="1">
        <f t="array" ref="AN20">IF(R20=0,"",INDEX(auto_DataFlat_Score,R20))</f>
        <v>64.3</v>
      </c>
      <c r="AO20" s="56"/>
      <c r="AP20" s="49" cm="1">
        <f t="array" ref="AP20">IF(S20=0,0,INDEX(auto_DataFlat_Classification,S20))</f>
        <v>4</v>
      </c>
      <c r="AQ20" s="65" t="str" cm="1">
        <f t="array" ref="AQ20">INDEX(uxbGlobals!$B$133:$B$139,AP20)</f>
        <v xml:space="preserve"> </v>
      </c>
      <c r="AR20" s="57" t="str">
        <f>IF(G20="","",INDEX(auto_Series_NameNumbered,MATCH(G20,auto_Series_Code,0)))</f>
        <v>5) GOVERNANCE</v>
      </c>
      <c r="AS20" s="55" cm="1">
        <f t="array" ref="AS20">IF(S20=0,"",INDEX(auto_DataFlat_Score,S20))</f>
        <v>68.900000000000006</v>
      </c>
      <c r="AT20" s="4"/>
      <c r="AU20" s="58" cm="1">
        <f t="array" ref="AU20">IF(O20=0,0,INDEX(auto_DataFlat_Classification,O20))</f>
        <v>4</v>
      </c>
      <c r="AV20" s="59">
        <f>IF(C20="","",INDEX(auto_tblSeries,MATCH(C20,auto_Series_Code,0),10))</f>
        <v>1</v>
      </c>
      <c r="AW20" s="60" t="str">
        <f>IF(C20="","",INDEX(auto_Series_NameNoNumber,MATCH(C20,auto_Series_Code,0)))</f>
        <v>SOCIAL DETERMINANTS</v>
      </c>
      <c r="AX20" s="61" cm="1">
        <f t="array" ref="AX20">IF(O20=0,"",INDEX(auto_DataFlat_Score,O20))</f>
        <v>70</v>
      </c>
      <c r="AY20" s="56"/>
      <c r="AZ20" s="58" cm="1">
        <f t="array" ref="AZ20">IF(O20=0,0,INDEX(auto_DataFlat_Classification,O20))</f>
        <v>4</v>
      </c>
      <c r="BA20" s="59">
        <f>IF(D20="","",INDEX(auto_tblSeries,MATCH(D20,auto_Series_Code,0),10))</f>
        <v>2</v>
      </c>
      <c r="BB20" s="60" t="str">
        <f>IF(D20="","",INDEX(auto_Series_NameNoNumber,MATCH(D20,auto_Series_Code,0)))</f>
        <v>PHYSICAL ENVIRONMENT</v>
      </c>
      <c r="BC20" s="61" cm="1">
        <f t="array" ref="BC20">IF(P20=0,"",INDEX(auto_DataFlat_Score,P20))</f>
        <v>48.8</v>
      </c>
      <c r="BD20" s="56"/>
      <c r="BE20" s="58" cm="1">
        <f t="array" ref="BE20">IF(P20=0,0,INDEX(auto_DataFlat_Classification,P20))</f>
        <v>3</v>
      </c>
      <c r="BF20" s="59">
        <f>IF(E20="","",INDEX(auto_tblSeries,MATCH(E20,auto_Series_Code,0),10))</f>
        <v>3</v>
      </c>
      <c r="BG20" s="60" t="str">
        <f>IF(E20="","",INDEX(auto_Series_NameNoNumber,MATCH(E20,auto_Series_Code,0)))</f>
        <v>HEALTH RISKS</v>
      </c>
      <c r="BH20" s="61" cm="1">
        <f t="array" ref="BH20">IF(P20=0,"",INDEX(auto_DataFlat_Score,P20))</f>
        <v>48.8</v>
      </c>
      <c r="BI20" s="56"/>
      <c r="BJ20" s="58">
        <f>IF(Q20=0,0,INDEX(auto_DataFlat_Classification,19))</f>
        <v>4</v>
      </c>
      <c r="BK20" s="59">
        <f>IF(F20="","",INDEX(auto_tblSeries,MATCH(F20,auto_Series_Code,0),10))</f>
        <v>4</v>
      </c>
      <c r="BL20" s="60" t="str">
        <f>IF(F20="","",INDEX(auto_Series_NameNoNumber,MATCH(F20,auto_Series_Code,0)))</f>
        <v>HEALTH SERVICES</v>
      </c>
      <c r="BM20" s="61" cm="1">
        <f t="array" ref="BM20">IF(Q20=0,"",INDEX(auto_DataFlat_Score,Q20))</f>
        <v>57.9</v>
      </c>
      <c r="BN20" s="56"/>
      <c r="BO20" s="58" cm="1">
        <f t="array" ref="BO20">IF(R20=0,0,INDEX(auto_DataFlat_Classification,R20))</f>
        <v>4</v>
      </c>
      <c r="BP20" s="59">
        <f>IF(G20="","",INDEX(auto_tblSeries,MATCH(G20,auto_Series_Code,0),10))</f>
        <v>5</v>
      </c>
      <c r="BQ20" s="60" t="str">
        <f>IF(G20="","",INDEX(auto_Series_NameNoNumber,MATCH(G20,auto_Series_Code,0)))</f>
        <v>GOVERNANCE</v>
      </c>
      <c r="BR20" s="61" cm="1">
        <f t="array" ref="BR20">IF(R20=0,"",INDEX(auto_DataFlat_Score,R20))</f>
        <v>64.3</v>
      </c>
    </row>
    <row r="21" spans="1:70" ht="30.75" customHeight="1" x14ac:dyDescent="0.4">
      <c r="A21" s="4"/>
      <c r="B21" s="4"/>
      <c r="C21" s="4"/>
      <c r="D21" s="4"/>
      <c r="E21" s="4"/>
      <c r="F21" s="4"/>
      <c r="G21" s="4"/>
      <c r="H21" s="4"/>
      <c r="I21" s="49"/>
      <c r="J21" s="49"/>
      <c r="K21" s="49"/>
      <c r="L21" s="49"/>
      <c r="M21" s="49"/>
      <c r="N21" s="4"/>
      <c r="O21" s="49"/>
      <c r="P21" s="49"/>
      <c r="Q21" s="49"/>
      <c r="R21" s="49"/>
      <c r="S21" s="49"/>
      <c r="T21" s="49"/>
      <c r="U21" s="4"/>
      <c r="V21" s="49"/>
      <c r="W21" s="66"/>
      <c r="X21" s="66" t="s">
        <v>1525</v>
      </c>
      <c r="Y21" s="67"/>
      <c r="Z21" s="62"/>
      <c r="AA21" s="49"/>
      <c r="AB21" s="66"/>
      <c r="AC21" s="66" t="s">
        <v>1525</v>
      </c>
      <c r="AD21" s="67"/>
      <c r="AE21" s="62"/>
      <c r="AF21" s="49"/>
      <c r="AG21" s="66"/>
      <c r="AH21" s="66" t="s">
        <v>1525</v>
      </c>
      <c r="AI21" s="67"/>
      <c r="AJ21" s="62"/>
      <c r="AK21" s="49"/>
      <c r="AL21" s="66"/>
      <c r="AM21" s="66" t="s">
        <v>1525</v>
      </c>
      <c r="AN21" s="67"/>
      <c r="AO21" s="62"/>
      <c r="AP21" s="49"/>
      <c r="AQ21" s="66"/>
      <c r="AR21" s="66" t="s">
        <v>1525</v>
      </c>
      <c r="AS21" s="67"/>
      <c r="AT21" s="4"/>
      <c r="AU21" s="49"/>
      <c r="AV21" s="68"/>
      <c r="AW21" s="69"/>
      <c r="AX21" s="62"/>
      <c r="AY21" s="62"/>
      <c r="AZ21" s="49"/>
      <c r="BA21" s="68"/>
      <c r="BB21" s="69"/>
      <c r="BC21" s="62"/>
      <c r="BD21" s="62"/>
      <c r="BE21" s="49"/>
      <c r="BF21" s="68"/>
      <c r="BG21" s="69"/>
      <c r="BH21" s="62"/>
      <c r="BI21" s="62"/>
      <c r="BJ21" s="49"/>
      <c r="BK21" s="68"/>
      <c r="BL21" s="69"/>
      <c r="BM21" s="62"/>
      <c r="BN21" s="62"/>
      <c r="BO21" s="49"/>
      <c r="BP21" s="68"/>
      <c r="BQ21" s="69"/>
      <c r="BR21" s="62"/>
    </row>
    <row r="22" spans="1:70" ht="55.5" customHeight="1" x14ac:dyDescent="0.4">
      <c r="A22" s="4"/>
      <c r="B22" s="4"/>
      <c r="C22" s="70" t="s">
        <v>1409</v>
      </c>
      <c r="D22" s="70" t="s">
        <v>1569</v>
      </c>
      <c r="E22" s="70" t="s">
        <v>1417</v>
      </c>
      <c r="F22" s="70" t="s">
        <v>1425</v>
      </c>
      <c r="G22" s="70" t="s">
        <v>4584</v>
      </c>
      <c r="H22" s="71"/>
      <c r="I22" s="58">
        <f t="shared" ref="I22" si="16">IF(C22="",0,MATCH(C22,auto_Series_Code,0))</f>
        <v>3</v>
      </c>
      <c r="J22" s="58">
        <f t="shared" ref="J22" si="17">IF(D22="",0,MATCH(D22,auto_Series_Code,0))</f>
        <v>15</v>
      </c>
      <c r="K22" s="58">
        <f t="shared" ref="K22" si="18">IF(E22="",0,MATCH(E22,auto_Series_Code,0))</f>
        <v>23</v>
      </c>
      <c r="L22" s="58">
        <f t="shared" ref="L22" si="19">IF(F22="",0,MATCH(F22,auto_Series_Code,0))</f>
        <v>48</v>
      </c>
      <c r="M22" s="58">
        <f t="shared" ref="M22" si="20">IF(G22="",0,MATCH(G22,auto_Series_Code,0))</f>
        <v>53</v>
      </c>
      <c r="N22" s="71"/>
      <c r="O22" s="58">
        <f t="shared" ref="O22:S22" si="21">IF(I22=0,0,MATCH(CONCATENATE($H$12,"_",C22),auto_DataFlat_UID,0))</f>
        <v>171</v>
      </c>
      <c r="P22" s="58">
        <f t="shared" si="21"/>
        <v>891</v>
      </c>
      <c r="Q22" s="58">
        <f t="shared" si="21"/>
        <v>1371</v>
      </c>
      <c r="R22" s="58">
        <f t="shared" si="21"/>
        <v>2871</v>
      </c>
      <c r="S22" s="58">
        <f t="shared" si="21"/>
        <v>3171</v>
      </c>
      <c r="T22" s="58"/>
      <c r="U22" s="26"/>
      <c r="V22" s="49" cm="1">
        <f t="array" ref="V22">IF(O22=0,0,INDEX(auto_DataFlat_Classification,O22))</f>
        <v>4</v>
      </c>
      <c r="W22" s="72" t="str" cm="1">
        <f t="array" ref="W22">INDEX(uxbGlobals!$B$133:$B$139,V22)</f>
        <v xml:space="preserve"> </v>
      </c>
      <c r="X22" s="72" t="str">
        <f t="shared" ref="X22" si="22">IF(C22="","",INDEX(auto_Series_NameNoNumber,MATCH(C22,auto_Series_Code,0)))</f>
        <v>Poverty and inequality</v>
      </c>
      <c r="Y22" s="55" cm="1">
        <f t="array" ref="Y22">IF(O22=0,"",INDEX(auto_DataFlat_Score,O22))</f>
        <v>67.2</v>
      </c>
      <c r="Z22" s="64"/>
      <c r="AA22" s="49" cm="1">
        <f t="array" ref="AA22">IF(P22=0,0,INDEX(auto_DataFlat_Classification,P22))</f>
        <v>1</v>
      </c>
      <c r="AB22" s="72" t="str" cm="1">
        <f t="array" ref="AB22">INDEX(uxbGlobals!$B$133:$B$139,AA22)</f>
        <v xml:space="preserve"> </v>
      </c>
      <c r="AC22" s="72" t="str">
        <f t="shared" ref="AC22:AC26" si="23">IF(D22="","",INDEX(auto_Series_NameNoNumber,MATCH(D22,auto_Series_Code,0)))</f>
        <v>Air quality</v>
      </c>
      <c r="AD22" s="55" cm="1">
        <f t="array" ref="AD22">IF(P22=0,"",INDEX(auto_DataFlat_Score,P22))</f>
        <v>0</v>
      </c>
      <c r="AE22" s="64"/>
      <c r="AF22" s="49" cm="1">
        <f t="array" ref="AF22">IF(Q22=0,0,INDEX(auto_DataFlat_Classification,Q22))</f>
        <v>4</v>
      </c>
      <c r="AG22" s="72" t="str" cm="1">
        <f t="array" ref="AG22">INDEX(uxbGlobals!$B$133:$B$139,AF22)</f>
        <v xml:space="preserve"> </v>
      </c>
      <c r="AH22" s="72" t="str">
        <f t="shared" ref="AH22:AH25" si="24">IF(E22="","",INDEX(auto_Series_NameNoNumber,MATCH(E22,auto_Series_Code,0)))</f>
        <v>Tobacco use</v>
      </c>
      <c r="AI22" s="55" cm="1">
        <f t="array" ref="AI22">IF(Q22=0,"",INDEX(auto_DataFlat_Score,Q22))</f>
        <v>66.5</v>
      </c>
      <c r="AJ22" s="64"/>
      <c r="AK22" s="49" cm="1">
        <f t="array" ref="AK22">IF(R22=0,0,INDEX(auto_DataFlat_Classification,R22))</f>
        <v>5</v>
      </c>
      <c r="AL22" s="72" t="str" cm="1">
        <f t="array" ref="AL22">INDEX(uxbGlobals!$B$133:$B$139,AK22)</f>
        <v xml:space="preserve"> </v>
      </c>
      <c r="AM22" s="72" t="str">
        <f t="shared" ref="AM22:AM25" si="25">IF(F22="","",INDEX(auto_Series_NameNoNumber,MATCH(F22,auto_Series_Code,0)))</f>
        <v>Access to medicines</v>
      </c>
      <c r="AN22" s="55" cm="1">
        <f t="array" ref="AN22">IF(R22=0,"",INDEX(auto_DataFlat_Score,R22))</f>
        <v>89</v>
      </c>
      <c r="AO22" s="64"/>
      <c r="AP22" s="49" cm="1">
        <f t="array" ref="AP22">IF(S22=0,0,INDEX(auto_DataFlat_Classification,S22))</f>
        <v>3</v>
      </c>
      <c r="AQ22" s="72" t="str" cm="1">
        <f t="array" ref="AQ22">INDEX(uxbGlobals!$B$133:$B$139,AP22)</f>
        <v xml:space="preserve"> </v>
      </c>
      <c r="AR22" s="72" t="str">
        <f t="shared" ref="AR22:AR26" si="26">IF(G22="","",INDEX(auto_Series_NameNoNumber,MATCH(G22,auto_Series_Code,0)))</f>
        <v>Regulatory power</v>
      </c>
      <c r="AS22" s="55" cm="1">
        <f t="array" ref="AS22">IF(S22=0,"",INDEX(auto_DataFlat_Score,S22))</f>
        <v>52</v>
      </c>
      <c r="AT22" s="4"/>
      <c r="AU22" s="58" cm="1">
        <f t="array" ref="AU22">IF(O22=0,0,INDEX(auto_DataFlat_Classification,O22))</f>
        <v>4</v>
      </c>
      <c r="AV22" s="59" t="str">
        <f t="shared" ref="AV22:AV27" si="27">IF(C22="","",INDEX(auto_tblSeries,MATCH(C22,auto_Series_Code,0),10))</f>
        <v>1.1</v>
      </c>
      <c r="AW22" s="60" t="str">
        <f t="shared" ref="AW22:AW27" si="28">IF(C22="","",INDEX(auto_Series_NameNoNumber,MATCH(C22,auto_Series_Code,0)))</f>
        <v>Poverty and inequality</v>
      </c>
      <c r="AX22" s="61" cm="1">
        <f t="array" ref="AX22">IF(O22=0,"",INDEX(auto_DataFlat_Score,O22))</f>
        <v>67.2</v>
      </c>
      <c r="AY22" s="56"/>
      <c r="AZ22" s="58" cm="1">
        <f t="array" ref="AZ22">IF(O22=0,0,INDEX(auto_DataFlat_Classification,O22))</f>
        <v>4</v>
      </c>
      <c r="BA22" s="59" t="str">
        <f t="shared" ref="BA22:BA27" si="29">IF(D22="","",INDEX(auto_tblSeries,MATCH(D22,auto_Series_Code,0),10))</f>
        <v>2.1</v>
      </c>
      <c r="BB22" s="60" t="str">
        <f t="shared" ref="BB22:BB27" si="30">IF(D22="","",INDEX(auto_Series_NameNoNumber,MATCH(D22,auto_Series_Code,0)))</f>
        <v>Air quality</v>
      </c>
      <c r="BC22" s="61" cm="1">
        <f t="array" ref="BC22">IF(P22=0,"",INDEX(auto_DataFlat_Score,P22))</f>
        <v>0</v>
      </c>
      <c r="BD22" s="56"/>
      <c r="BE22" s="58" cm="1">
        <f t="array" ref="BE22">IF(P22=0,0,INDEX(auto_DataFlat_Classification,P22))</f>
        <v>1</v>
      </c>
      <c r="BF22" s="59">
        <f t="shared" ref="BF22:BF27" si="31">IF(E22="","",INDEX(auto_tblSeries,MATCH(E22,auto_Series_Code,0),10))</f>
        <v>3.1</v>
      </c>
      <c r="BG22" s="60" t="str">
        <f t="shared" ref="BG22:BG27" si="32">IF(E22="","",INDEX(auto_Series_NameNoNumber,MATCH(E22,auto_Series_Code,0)))</f>
        <v>Tobacco use</v>
      </c>
      <c r="BH22" s="61" cm="1">
        <f t="array" ref="BH22">IF(P22=0,"",INDEX(auto_DataFlat_Score,P22))</f>
        <v>0</v>
      </c>
      <c r="BI22" s="56"/>
      <c r="BJ22" s="58">
        <f t="shared" ref="BJ22:BJ27" si="33">IF(Q22=0,0,INDEX(auto_DataFlat_Classification,19))</f>
        <v>4</v>
      </c>
      <c r="BK22" s="59">
        <f t="shared" ref="BK22:BK27" si="34">IF(F22="","",INDEX(auto_tblSeries,MATCH(F22,auto_Series_Code,0),10))</f>
        <v>4.0999999999999996</v>
      </c>
      <c r="BL22" s="60" t="str">
        <f t="shared" ref="BL22:BL27" si="35">IF(F22="","",INDEX(auto_Series_NameNoNumber,MATCH(F22,auto_Series_Code,0)))</f>
        <v>Access to medicines</v>
      </c>
      <c r="BM22" s="61" cm="1">
        <f t="array" ref="BM22">IF(Q22=0,"",INDEX(auto_DataFlat_Score,Q22))</f>
        <v>66.5</v>
      </c>
      <c r="BN22" s="56"/>
      <c r="BO22" s="58" cm="1">
        <f t="array" ref="BO22">IF(R22=0,0,INDEX(auto_DataFlat_Classification,R22))</f>
        <v>5</v>
      </c>
      <c r="BP22" s="59">
        <f t="shared" ref="BP22:BP27" si="36">IF(G22="","",INDEX(auto_tblSeries,MATCH(G22,auto_Series_Code,0),10))</f>
        <v>5.0999999999999996</v>
      </c>
      <c r="BQ22" s="60" t="str">
        <f t="shared" ref="BQ22:BQ27" si="37">IF(G22="","",INDEX(auto_Series_NameNoNumber,MATCH(G22,auto_Series_Code,0)))</f>
        <v>Regulatory power</v>
      </c>
      <c r="BR22" s="61" cm="1">
        <f t="array" ref="BR22">IF(R22=0,"",INDEX(auto_DataFlat_Score,R22))</f>
        <v>89</v>
      </c>
    </row>
    <row r="23" spans="1:70" ht="55.5" customHeight="1" x14ac:dyDescent="0.4">
      <c r="A23" s="4"/>
      <c r="B23" s="4"/>
      <c r="C23" s="70" t="s">
        <v>1410</v>
      </c>
      <c r="D23" s="70" t="s">
        <v>1414</v>
      </c>
      <c r="E23" s="70" t="s">
        <v>1418</v>
      </c>
      <c r="F23" s="70" t="s">
        <v>4580</v>
      </c>
      <c r="G23" s="70" t="s">
        <v>4585</v>
      </c>
      <c r="H23" s="71"/>
      <c r="I23" s="58">
        <f t="shared" ref="I23:I30" si="38">IF(C23="",0,MATCH(C23,auto_Series_Code,0))</f>
        <v>6</v>
      </c>
      <c r="J23" s="58">
        <f t="shared" ref="J23:J30" si="39">IF(D23="",0,MATCH(D23,auto_Series_Code,0))</f>
        <v>16</v>
      </c>
      <c r="K23" s="58">
        <f t="shared" ref="K23:K30" si="40">IF(E23="",0,MATCH(E23,auto_Series_Code,0))</f>
        <v>26</v>
      </c>
      <c r="L23" s="58">
        <f t="shared" ref="L23:L30" si="41">IF(F23="",0,MATCH(F23,auto_Series_Code,0))</f>
        <v>49</v>
      </c>
      <c r="M23" s="58">
        <f t="shared" ref="M23:M30" si="42">IF(G23="",0,MATCH(G23,auto_Series_Code,0))</f>
        <v>54</v>
      </c>
      <c r="N23" s="71"/>
      <c r="O23" s="58">
        <f t="shared" ref="O23:O30" si="43">IF(I23=0,0,MATCH(CONCATENATE($H$12,"_",C23),auto_DataFlat_UID,0))</f>
        <v>351</v>
      </c>
      <c r="P23" s="58">
        <f t="shared" ref="P23:P30" si="44">IF(J23=0,0,MATCH(CONCATENATE($H$12,"_",D23),auto_DataFlat_UID,0))</f>
        <v>951</v>
      </c>
      <c r="Q23" s="58">
        <f t="shared" ref="Q23:Q30" si="45">IF(K23=0,0,MATCH(CONCATENATE($H$12,"_",E23),auto_DataFlat_UID,0))</f>
        <v>1551</v>
      </c>
      <c r="R23" s="58">
        <f t="shared" ref="R23:R30" si="46">IF(L23=0,0,MATCH(CONCATENATE($H$12,"_",F23),auto_DataFlat_UID,0))</f>
        <v>2931</v>
      </c>
      <c r="S23" s="58">
        <f t="shared" ref="S23:S30" si="47">IF(M23=0,0,MATCH(CONCATENATE($H$12,"_",G23),auto_DataFlat_UID,0))</f>
        <v>3231</v>
      </c>
      <c r="T23" s="58"/>
      <c r="U23" s="26"/>
      <c r="V23" s="49" cm="1">
        <f t="array" ref="V23">IF(O23=0,0,INDEX(auto_DataFlat_Classification,O23))</f>
        <v>3</v>
      </c>
      <c r="W23" s="72" t="str" cm="1">
        <f t="array" ref="W23">INDEX(uxbGlobals!$B$133:$B$139,V23)</f>
        <v xml:space="preserve"> </v>
      </c>
      <c r="X23" s="72" t="str">
        <f t="shared" ref="X23:X26" si="48">IF(C23="","",INDEX(auto_Series_NameNoNumber,MATCH(C23,auto_Series_Code,0)))</f>
        <v>Education</v>
      </c>
      <c r="Y23" s="55" cm="1">
        <f t="array" ref="Y23">IF(O23=0,"",INDEX(auto_DataFlat_Score,O23))</f>
        <v>59.4</v>
      </c>
      <c r="Z23" s="64"/>
      <c r="AA23" s="49" cm="1">
        <f t="array" ref="AA23">IF(P23=0,0,INDEX(auto_DataFlat_Classification,P23))</f>
        <v>3</v>
      </c>
      <c r="AB23" s="72" t="str" cm="1">
        <f t="array" ref="AB23">INDEX(uxbGlobals!$B$133:$B$139,AA23)</f>
        <v xml:space="preserve"> </v>
      </c>
      <c r="AC23" s="72" t="str">
        <f t="shared" si="23"/>
        <v>Open spaces and green areas</v>
      </c>
      <c r="AD23" s="55" cm="1">
        <f t="array" ref="AD23">IF(P23=0,"",INDEX(auto_DataFlat_Score,P23))</f>
        <v>47.8</v>
      </c>
      <c r="AE23" s="64"/>
      <c r="AF23" s="49" cm="1">
        <f t="array" ref="AF23">IF(Q23=0,0,INDEX(auto_DataFlat_Classification,Q23))</f>
        <v>3</v>
      </c>
      <c r="AG23" s="72" t="str" cm="1">
        <f t="array" ref="AG23">INDEX(uxbGlobals!$B$133:$B$139,AF23)</f>
        <v xml:space="preserve"> </v>
      </c>
      <c r="AH23" s="72" t="str">
        <f t="shared" si="24"/>
        <v>Vegetable consumption</v>
      </c>
      <c r="AI23" s="55" cm="1">
        <f t="array" ref="AI23">IF(Q23=0,"",INDEX(auto_DataFlat_Score,Q23))</f>
        <v>45.8</v>
      </c>
      <c r="AJ23" s="64"/>
      <c r="AK23" s="49" cm="1">
        <f t="array" ref="AK23">IF(R23=0,0,INDEX(auto_DataFlat_Classification,R23))</f>
        <v>3</v>
      </c>
      <c r="AL23" s="72" t="str" cm="1">
        <f t="array" ref="AL23">INDEX(uxbGlobals!$B$133:$B$139,AK23)</f>
        <v xml:space="preserve"> </v>
      </c>
      <c r="AM23" s="72" t="str">
        <f t="shared" si="25"/>
        <v>Hypertension diagnosis coverage</v>
      </c>
      <c r="AN23" s="55" cm="1">
        <f t="array" ref="AN23">IF(R23=0,"",INDEX(auto_DataFlat_Score,R23))</f>
        <v>56.9</v>
      </c>
      <c r="AO23" s="64"/>
      <c r="AP23" s="49" cm="1">
        <f t="array" ref="AP23">IF(S23=0,0,INDEX(auto_DataFlat_Classification,S23))</f>
        <v>5</v>
      </c>
      <c r="AQ23" s="72" t="str" cm="1">
        <f t="array" ref="AQ23">INDEX(uxbGlobals!$B$133:$B$139,AP23)</f>
        <v xml:space="preserve"> </v>
      </c>
      <c r="AR23" s="72" t="str">
        <f t="shared" si="26"/>
        <v>Political will</v>
      </c>
      <c r="AS23" s="55" cm="1">
        <f t="array" ref="AS23">IF(S23=0,"",INDEX(auto_DataFlat_Score,S23))</f>
        <v>88.7</v>
      </c>
      <c r="AT23" s="4"/>
      <c r="AU23" s="58" cm="1">
        <f t="array" ref="AU23">IF(O23=0,0,INDEX(auto_DataFlat_Classification,O23))</f>
        <v>3</v>
      </c>
      <c r="AV23" s="59">
        <f t="shared" si="27"/>
        <v>1.2</v>
      </c>
      <c r="AW23" s="60" t="str">
        <f t="shared" si="28"/>
        <v>Education</v>
      </c>
      <c r="AX23" s="61" cm="1">
        <f t="array" ref="AX23">IF(O23=0,"",INDEX(auto_DataFlat_Score,O23))</f>
        <v>59.4</v>
      </c>
      <c r="AY23" s="56"/>
      <c r="AZ23" s="58" cm="1">
        <f t="array" ref="AZ23">IF(O23=0,0,INDEX(auto_DataFlat_Classification,O23))</f>
        <v>3</v>
      </c>
      <c r="BA23" s="59" t="str">
        <f t="shared" si="29"/>
        <v>2.2</v>
      </c>
      <c r="BB23" s="60" t="str">
        <f t="shared" si="30"/>
        <v>Open spaces and green areas</v>
      </c>
      <c r="BC23" s="61" cm="1">
        <f t="array" ref="BC23">IF(P23=0,"",INDEX(auto_DataFlat_Score,P23))</f>
        <v>47.8</v>
      </c>
      <c r="BD23" s="56"/>
      <c r="BE23" s="58" cm="1">
        <f t="array" ref="BE23">IF(P23=0,0,INDEX(auto_DataFlat_Classification,P23))</f>
        <v>3</v>
      </c>
      <c r="BF23" s="59">
        <f t="shared" si="31"/>
        <v>3.2</v>
      </c>
      <c r="BG23" s="60" t="str">
        <f t="shared" si="32"/>
        <v>Vegetable consumption</v>
      </c>
      <c r="BH23" s="61" cm="1">
        <f t="array" ref="BH23">IF(P23=0,"",INDEX(auto_DataFlat_Score,P23))</f>
        <v>47.8</v>
      </c>
      <c r="BI23" s="56"/>
      <c r="BJ23" s="58">
        <f t="shared" si="33"/>
        <v>4</v>
      </c>
      <c r="BK23" s="59">
        <f t="shared" si="34"/>
        <v>4.2</v>
      </c>
      <c r="BL23" s="60" t="str">
        <f t="shared" si="35"/>
        <v>Hypertension diagnosis coverage</v>
      </c>
      <c r="BM23" s="61" cm="1">
        <f t="array" ref="BM23">IF(Q23=0,"",INDEX(auto_DataFlat_Score,Q23))</f>
        <v>45.8</v>
      </c>
      <c r="BN23" s="56"/>
      <c r="BO23" s="58" cm="1">
        <f t="array" ref="BO23">IF(R23=0,0,INDEX(auto_DataFlat_Classification,R23))</f>
        <v>3</v>
      </c>
      <c r="BP23" s="59">
        <f t="shared" si="36"/>
        <v>5.2</v>
      </c>
      <c r="BQ23" s="60" t="str">
        <f t="shared" si="37"/>
        <v>Political will</v>
      </c>
      <c r="BR23" s="61" cm="1">
        <f t="array" ref="BR23">IF(R23=0,"",INDEX(auto_DataFlat_Score,R23))</f>
        <v>56.9</v>
      </c>
    </row>
    <row r="24" spans="1:70" ht="55.5" customHeight="1" x14ac:dyDescent="0.4">
      <c r="A24" s="4"/>
      <c r="B24" s="4"/>
      <c r="C24" s="70" t="s">
        <v>1411</v>
      </c>
      <c r="D24" s="70" t="s">
        <v>1415</v>
      </c>
      <c r="E24" s="70" t="s">
        <v>1419</v>
      </c>
      <c r="F24" s="70" t="s">
        <v>4581</v>
      </c>
      <c r="G24" s="70" t="s">
        <v>4586</v>
      </c>
      <c r="H24" s="71"/>
      <c r="I24" s="58">
        <f t="shared" si="38"/>
        <v>9</v>
      </c>
      <c r="J24" s="58">
        <f t="shared" si="39"/>
        <v>17</v>
      </c>
      <c r="K24" s="58">
        <f t="shared" si="40"/>
        <v>29</v>
      </c>
      <c r="L24" s="58">
        <f t="shared" si="41"/>
        <v>50</v>
      </c>
      <c r="M24" s="58">
        <f t="shared" si="42"/>
        <v>55</v>
      </c>
      <c r="N24" s="71"/>
      <c r="O24" s="58">
        <f t="shared" si="43"/>
        <v>531</v>
      </c>
      <c r="P24" s="58">
        <f t="shared" si="44"/>
        <v>1011</v>
      </c>
      <c r="Q24" s="58">
        <f t="shared" si="45"/>
        <v>1731</v>
      </c>
      <c r="R24" s="58">
        <f t="shared" si="46"/>
        <v>2991</v>
      </c>
      <c r="S24" s="58">
        <f t="shared" si="47"/>
        <v>3291</v>
      </c>
      <c r="T24" s="58"/>
      <c r="U24" s="26"/>
      <c r="V24" s="49" cm="1">
        <f t="array" ref="V24">IF(O24=0,0,INDEX(auto_DataFlat_Classification,O24))</f>
        <v>5</v>
      </c>
      <c r="W24" s="72" t="str" cm="1">
        <f t="array" ref="W24">INDEX(uxbGlobals!$B$133:$B$139,V24)</f>
        <v xml:space="preserve"> </v>
      </c>
      <c r="X24" s="72" t="str">
        <f t="shared" si="48"/>
        <v>Employment</v>
      </c>
      <c r="Y24" s="55" cm="1">
        <f t="array" ref="Y24">IF(O24=0,"",INDEX(auto_DataFlat_Score,O24))</f>
        <v>85.2</v>
      </c>
      <c r="Z24" s="64"/>
      <c r="AA24" s="49" cm="1">
        <f t="array" ref="AA24">IF(P24=0,0,INDEX(auto_DataFlat_Classification,P24))</f>
        <v>4</v>
      </c>
      <c r="AB24" s="72" t="str" cm="1">
        <f t="array" ref="AB24">INDEX(uxbGlobals!$B$133:$B$139,AA24)</f>
        <v xml:space="preserve"> </v>
      </c>
      <c r="AC24" s="72" t="str">
        <f t="shared" si="23"/>
        <v>Active transport</v>
      </c>
      <c r="AD24" s="55" cm="1">
        <f t="array" ref="AD24">IF(P24=0,"",INDEX(auto_DataFlat_Score,P24))</f>
        <v>70</v>
      </c>
      <c r="AE24" s="64"/>
      <c r="AF24" s="49" cm="1">
        <f t="array" ref="AF24">IF(Q24=0,0,INDEX(auto_DataFlat_Classification,Q24))</f>
        <v>3</v>
      </c>
      <c r="AG24" s="72" t="str" cm="1">
        <f t="array" ref="AG24">INDEX(uxbGlobals!$B$133:$B$139,AF24)</f>
        <v xml:space="preserve"> </v>
      </c>
      <c r="AH24" s="72" t="str">
        <f t="shared" si="24"/>
        <v>Trans fats consumption</v>
      </c>
      <c r="AI24" s="55" cm="1">
        <f t="array" ref="AI24">IF(Q24=0,"",INDEX(auto_DataFlat_Score,Q24))</f>
        <v>53.9</v>
      </c>
      <c r="AJ24" s="64"/>
      <c r="AK24" s="49" cm="1">
        <f t="array" ref="AK24">IF(R24=0,0,INDEX(auto_DataFlat_Classification,R24))</f>
        <v>3</v>
      </c>
      <c r="AL24" s="72" t="str" cm="1">
        <f t="array" ref="AL24">INDEX(uxbGlobals!$B$133:$B$139,AK24)</f>
        <v xml:space="preserve"> </v>
      </c>
      <c r="AM24" s="72" t="str">
        <f t="shared" si="25"/>
        <v>Undiagnosed diabetes</v>
      </c>
      <c r="AN24" s="55" cm="1">
        <f t="array" ref="AN24">IF(R24=0,"",INDEX(auto_DataFlat_Score,R24))</f>
        <v>59</v>
      </c>
      <c r="AO24" s="64"/>
      <c r="AP24" s="49" cm="1">
        <f t="array" ref="AP24">IF(S24=0,0,INDEX(auto_DataFlat_Classification,S24))</f>
        <v>4</v>
      </c>
      <c r="AQ24" s="72" t="str" cm="1">
        <f t="array" ref="AQ24">INDEX(uxbGlobals!$B$133:$B$139,AP24)</f>
        <v xml:space="preserve"> </v>
      </c>
      <c r="AR24" s="72" t="str">
        <f t="shared" si="26"/>
        <v>Urban health plan</v>
      </c>
      <c r="AS24" s="55" cm="1">
        <f t="array" ref="AS24">IF(S24=0,"",INDEX(auto_DataFlat_Score,S24))</f>
        <v>60.7</v>
      </c>
      <c r="AT24" s="4"/>
      <c r="AU24" s="58" cm="1">
        <f t="array" ref="AU24">IF(O24=0,0,INDEX(auto_DataFlat_Classification,O24))</f>
        <v>5</v>
      </c>
      <c r="AV24" s="59">
        <f t="shared" si="27"/>
        <v>1.3</v>
      </c>
      <c r="AW24" s="60" t="str">
        <f t="shared" si="28"/>
        <v>Employment</v>
      </c>
      <c r="AX24" s="61" cm="1">
        <f t="array" ref="AX24">IF(O24=0,"",INDEX(auto_DataFlat_Score,O24))</f>
        <v>85.2</v>
      </c>
      <c r="AY24" s="56"/>
      <c r="AZ24" s="58" cm="1">
        <f t="array" ref="AZ24">IF(O24=0,0,INDEX(auto_DataFlat_Classification,O24))</f>
        <v>5</v>
      </c>
      <c r="BA24" s="59">
        <f t="shared" si="29"/>
        <v>2.2999999999999998</v>
      </c>
      <c r="BB24" s="60" t="str">
        <f t="shared" si="30"/>
        <v>Active transport</v>
      </c>
      <c r="BC24" s="61" cm="1">
        <f t="array" ref="BC24">IF(P24=0,"",INDEX(auto_DataFlat_Score,P24))</f>
        <v>70</v>
      </c>
      <c r="BD24" s="56"/>
      <c r="BE24" s="58" cm="1">
        <f t="array" ref="BE24">IF(P24=0,0,INDEX(auto_DataFlat_Classification,P24))</f>
        <v>4</v>
      </c>
      <c r="BF24" s="59">
        <f t="shared" si="31"/>
        <v>3.3</v>
      </c>
      <c r="BG24" s="60" t="str">
        <f t="shared" si="32"/>
        <v>Trans fats consumption</v>
      </c>
      <c r="BH24" s="61" cm="1">
        <f t="array" ref="BH24">IF(P24=0,"",INDEX(auto_DataFlat_Score,P24))</f>
        <v>70</v>
      </c>
      <c r="BI24" s="56"/>
      <c r="BJ24" s="58">
        <f t="shared" si="33"/>
        <v>4</v>
      </c>
      <c r="BK24" s="59">
        <f t="shared" si="34"/>
        <v>4.3</v>
      </c>
      <c r="BL24" s="60" t="str">
        <f t="shared" si="35"/>
        <v>Undiagnosed diabetes</v>
      </c>
      <c r="BM24" s="61" cm="1">
        <f t="array" ref="BM24">IF(Q24=0,"",INDEX(auto_DataFlat_Score,Q24))</f>
        <v>53.9</v>
      </c>
      <c r="BN24" s="56"/>
      <c r="BO24" s="58" cm="1">
        <f t="array" ref="BO24">IF(R24=0,0,INDEX(auto_DataFlat_Classification,R24))</f>
        <v>3</v>
      </c>
      <c r="BP24" s="59">
        <f t="shared" si="36"/>
        <v>5.3</v>
      </c>
      <c r="BQ24" s="60" t="str">
        <f t="shared" si="37"/>
        <v>Urban health plan</v>
      </c>
      <c r="BR24" s="61" cm="1">
        <f t="array" ref="BR24">IF(R24=0,"",INDEX(auto_DataFlat_Score,R24))</f>
        <v>59</v>
      </c>
    </row>
    <row r="25" spans="1:70" ht="55.5" customHeight="1" x14ac:dyDescent="0.4">
      <c r="A25" s="4"/>
      <c r="B25" s="4"/>
      <c r="C25" s="70" t="s">
        <v>1412</v>
      </c>
      <c r="D25" s="70" t="s">
        <v>1416</v>
      </c>
      <c r="E25" s="70" t="s">
        <v>1420</v>
      </c>
      <c r="F25" s="70" t="s">
        <v>4582</v>
      </c>
      <c r="G25" s="70" t="s">
        <v>4587</v>
      </c>
      <c r="H25" s="71"/>
      <c r="I25" s="58">
        <f t="shared" si="38"/>
        <v>12</v>
      </c>
      <c r="J25" s="58">
        <f t="shared" si="39"/>
        <v>18</v>
      </c>
      <c r="K25" s="58">
        <f t="shared" si="40"/>
        <v>32</v>
      </c>
      <c r="L25" s="58">
        <f t="shared" si="41"/>
        <v>51</v>
      </c>
      <c r="M25" s="58">
        <f t="shared" si="42"/>
        <v>58</v>
      </c>
      <c r="N25" s="71"/>
      <c r="O25" s="58">
        <f t="shared" si="43"/>
        <v>711</v>
      </c>
      <c r="P25" s="58">
        <f t="shared" si="44"/>
        <v>1071</v>
      </c>
      <c r="Q25" s="58">
        <f t="shared" si="45"/>
        <v>1911</v>
      </c>
      <c r="R25" s="58">
        <f t="shared" si="46"/>
        <v>3051</v>
      </c>
      <c r="S25" s="58">
        <f t="shared" si="47"/>
        <v>3471</v>
      </c>
      <c r="T25" s="58"/>
      <c r="U25" s="26"/>
      <c r="V25" s="49" cm="1">
        <f t="array" ref="V25">IF(O25=0,0,INDEX(auto_DataFlat_Classification,O25))</f>
        <v>4</v>
      </c>
      <c r="W25" s="72" t="str" cm="1">
        <f t="array" ref="W25">INDEX(uxbGlobals!$B$133:$B$139,V25)</f>
        <v xml:space="preserve"> </v>
      </c>
      <c r="X25" s="72" t="str">
        <f t="shared" si="48"/>
        <v>Access to healthcare</v>
      </c>
      <c r="Y25" s="55" cm="1">
        <f t="array" ref="Y25">IF(O25=0,"",INDEX(auto_DataFlat_Score,O25))</f>
        <v>63.3</v>
      </c>
      <c r="Z25" s="64"/>
      <c r="AA25" s="49" cm="1">
        <f t="array" ref="AA25">IF(P25=0,0,INDEX(auto_DataFlat_Classification,P25))</f>
        <v>4</v>
      </c>
      <c r="AB25" s="72" t="str" cm="1">
        <f t="array" ref="AB25">INDEX(uxbGlobals!$B$133:$B$139,AA25)</f>
        <v xml:space="preserve"> </v>
      </c>
      <c r="AC25" s="72" t="str">
        <f t="shared" si="23"/>
        <v>Food security</v>
      </c>
      <c r="AD25" s="55" cm="1">
        <f t="array" ref="AD25">IF(P25=0,"",INDEX(auto_DataFlat_Score,P25))</f>
        <v>61.6</v>
      </c>
      <c r="AE25" s="64"/>
      <c r="AF25" s="49" cm="1">
        <f t="array" ref="AF25">IF(Q25=0,0,INDEX(auto_DataFlat_Classification,Q25))</f>
        <v>4</v>
      </c>
      <c r="AG25" s="72" t="str" cm="1">
        <f t="array" ref="AG25">INDEX(uxbGlobals!$B$133:$B$139,AF25)</f>
        <v xml:space="preserve"> </v>
      </c>
      <c r="AH25" s="72" t="str">
        <f t="shared" si="24"/>
        <v>Physical activity</v>
      </c>
      <c r="AI25" s="55" cm="1">
        <f t="array" ref="AI25">IF(Q25=0,"",INDEX(auto_DataFlat_Score,Q25))</f>
        <v>60.4</v>
      </c>
      <c r="AJ25" s="64"/>
      <c r="AK25" s="49" cm="1">
        <f t="array" ref="AK25">IF(R25=0,0,INDEX(auto_DataFlat_Classification,R25))</f>
        <v>3</v>
      </c>
      <c r="AL25" s="72" t="str" cm="1">
        <f t="array" ref="AL25">INDEX(uxbGlobals!$B$133:$B$139,AK25)</f>
        <v xml:space="preserve"> </v>
      </c>
      <c r="AM25" s="72" t="str">
        <f t="shared" si="25"/>
        <v>Patient-centred care</v>
      </c>
      <c r="AN25" s="55" cm="1">
        <f t="array" ref="AN25">IF(R25=0,"",INDEX(auto_DataFlat_Score,R25))</f>
        <v>52</v>
      </c>
      <c r="AO25" s="64"/>
      <c r="AP25" s="49" cm="1">
        <f t="array" ref="AP25">IF(S25=0,0,INDEX(auto_DataFlat_Classification,S25))</f>
        <v>3</v>
      </c>
      <c r="AQ25" s="72" t="str" cm="1">
        <f t="array" ref="AQ25">INDEX(uxbGlobals!$B$133:$B$139,AP25)</f>
        <v xml:space="preserve"> </v>
      </c>
      <c r="AR25" s="72" t="str">
        <f t="shared" si="26"/>
        <v>Healthy diet policies</v>
      </c>
      <c r="AS25" s="55" cm="1">
        <f t="array" ref="AS25">IF(S25=0,"",INDEX(auto_DataFlat_Score,S25))</f>
        <v>55</v>
      </c>
      <c r="AT25" s="4"/>
      <c r="AU25" s="58" cm="1">
        <f t="array" ref="AU25">IF(O25=0,0,INDEX(auto_DataFlat_Classification,O25))</f>
        <v>4</v>
      </c>
      <c r="AV25" s="59">
        <f t="shared" si="27"/>
        <v>1.4</v>
      </c>
      <c r="AW25" s="60" t="str">
        <f t="shared" si="28"/>
        <v>Access to healthcare</v>
      </c>
      <c r="AX25" s="61" cm="1">
        <f t="array" ref="AX25">IF(O25=0,"",INDEX(auto_DataFlat_Score,O25))</f>
        <v>63.3</v>
      </c>
      <c r="AY25" s="56"/>
      <c r="AZ25" s="58" cm="1">
        <f t="array" ref="AZ25">IF(O25=0,0,INDEX(auto_DataFlat_Classification,O25))</f>
        <v>4</v>
      </c>
      <c r="BA25" s="59">
        <f t="shared" si="29"/>
        <v>2.4</v>
      </c>
      <c r="BB25" s="60" t="str">
        <f t="shared" si="30"/>
        <v>Food security</v>
      </c>
      <c r="BC25" s="61" cm="1">
        <f t="array" ref="BC25">IF(P25=0,"",INDEX(auto_DataFlat_Score,P25))</f>
        <v>61.6</v>
      </c>
      <c r="BD25" s="56"/>
      <c r="BE25" s="58" cm="1">
        <f t="array" ref="BE25">IF(P25=0,0,INDEX(auto_DataFlat_Classification,P25))</f>
        <v>4</v>
      </c>
      <c r="BF25" s="59">
        <f t="shared" si="31"/>
        <v>3.4</v>
      </c>
      <c r="BG25" s="60" t="str">
        <f t="shared" si="32"/>
        <v>Physical activity</v>
      </c>
      <c r="BH25" s="61" cm="1">
        <f t="array" ref="BH25">IF(P25=0,"",INDEX(auto_DataFlat_Score,P25))</f>
        <v>61.6</v>
      </c>
      <c r="BI25" s="56"/>
      <c r="BJ25" s="58">
        <f t="shared" si="33"/>
        <v>4</v>
      </c>
      <c r="BK25" s="59">
        <f t="shared" si="34"/>
        <v>4.4000000000000004</v>
      </c>
      <c r="BL25" s="60" t="str">
        <f t="shared" si="35"/>
        <v>Patient-centred care</v>
      </c>
      <c r="BM25" s="61" cm="1">
        <f t="array" ref="BM25">IF(Q25=0,"",INDEX(auto_DataFlat_Score,Q25))</f>
        <v>60.4</v>
      </c>
      <c r="BN25" s="56"/>
      <c r="BO25" s="58" cm="1">
        <f t="array" ref="BO25">IF(R25=0,0,INDEX(auto_DataFlat_Classification,R25))</f>
        <v>3</v>
      </c>
      <c r="BP25" s="59">
        <f t="shared" si="36"/>
        <v>5.4</v>
      </c>
      <c r="BQ25" s="60" t="str">
        <f t="shared" si="37"/>
        <v>Healthy diet policies</v>
      </c>
      <c r="BR25" s="61" cm="1">
        <f t="array" ref="BR25">IF(R25=0,"",INDEX(auto_DataFlat_Score,R25))</f>
        <v>52</v>
      </c>
    </row>
    <row r="26" spans="1:70" ht="55.5" customHeight="1" x14ac:dyDescent="0.4">
      <c r="A26" s="4"/>
      <c r="B26" s="4"/>
      <c r="C26" s="70" t="s">
        <v>1413</v>
      </c>
      <c r="D26" s="70" t="s">
        <v>1570</v>
      </c>
      <c r="E26" s="70" t="s">
        <v>1421</v>
      </c>
      <c r="F26" s="70"/>
      <c r="G26" s="70" t="s">
        <v>4588</v>
      </c>
      <c r="H26" s="71"/>
      <c r="I26" s="58">
        <f t="shared" si="38"/>
        <v>13</v>
      </c>
      <c r="J26" s="58">
        <f t="shared" si="39"/>
        <v>21</v>
      </c>
      <c r="K26" s="58">
        <f t="shared" si="40"/>
        <v>35</v>
      </c>
      <c r="L26" s="58">
        <f t="shared" si="41"/>
        <v>0</v>
      </c>
      <c r="M26" s="58">
        <f t="shared" si="42"/>
        <v>59</v>
      </c>
      <c r="N26" s="71"/>
      <c r="O26" s="58">
        <f t="shared" si="43"/>
        <v>771</v>
      </c>
      <c r="P26" s="58">
        <f t="shared" si="44"/>
        <v>1251</v>
      </c>
      <c r="Q26" s="58">
        <f t="shared" si="45"/>
        <v>2091</v>
      </c>
      <c r="R26" s="58">
        <f t="shared" si="46"/>
        <v>0</v>
      </c>
      <c r="S26" s="58">
        <f t="shared" si="47"/>
        <v>3531</v>
      </c>
      <c r="T26" s="58"/>
      <c r="U26" s="26"/>
      <c r="V26" s="49" cm="1">
        <f t="array" ref="V26">IF(O26=0,0,INDEX(auto_DataFlat_Classification,O26))</f>
        <v>4</v>
      </c>
      <c r="W26" s="72" t="str" cm="1">
        <f t="array" ref="W26">INDEX(uxbGlobals!$B$133:$B$139,V26)</f>
        <v xml:space="preserve"> </v>
      </c>
      <c r="X26" s="72" t="str">
        <f t="shared" si="48"/>
        <v>Household health expenditure</v>
      </c>
      <c r="Y26" s="55" cm="1">
        <f t="array" ref="Y26">IF(O26=0,"",INDEX(auto_DataFlat_Score,O26))</f>
        <v>74.599999999999994</v>
      </c>
      <c r="Z26" s="64"/>
      <c r="AA26" s="49" cm="1">
        <f t="array" ref="AA26">IF(P26=0,0,INDEX(auto_DataFlat_Classification,P26))</f>
        <v>4</v>
      </c>
      <c r="AB26" s="72" t="str" cm="1">
        <f t="array" ref="AB26">INDEX(uxbGlobals!$B$133:$B$139,AA26)</f>
        <v xml:space="preserve"> </v>
      </c>
      <c r="AC26" s="72" t="str">
        <f t="shared" si="23"/>
        <v>Access to public transport</v>
      </c>
      <c r="AD26" s="55" cm="1">
        <f t="array" ref="AD26">IF(P26=0,"",INDEX(auto_DataFlat_Score,P26))</f>
        <v>64.900000000000006</v>
      </c>
      <c r="AE26" s="64"/>
      <c r="AF26" s="49" cm="1">
        <f t="array" ref="AF26">IF(Q26=0,0,INDEX(auto_DataFlat_Classification,Q26))</f>
        <v>4</v>
      </c>
      <c r="AG26" s="72" t="str" cm="1">
        <f t="array" ref="AG26">INDEX(uxbGlobals!$B$133:$B$139,AF26)</f>
        <v xml:space="preserve"> </v>
      </c>
      <c r="AH26" s="72" t="str">
        <f t="shared" ref="AH26:AH27" si="49">IF(E26="","",INDEX(auto_Series_NameNoNumber,MATCH(E26,auto_Series_Code,0)))</f>
        <v>Hypertension</v>
      </c>
      <c r="AI26" s="55" cm="1">
        <f t="array" ref="AI26">IF(Q26=0,"",INDEX(auto_DataFlat_Score,Q26))</f>
        <v>63</v>
      </c>
      <c r="AJ26" s="64"/>
      <c r="AK26" s="49" cm="1">
        <f t="array" ref="AK26">IF(R26=0,0,INDEX(auto_DataFlat_Classification,R26))</f>
        <v>0</v>
      </c>
      <c r="AL26" s="65"/>
      <c r="AM26" s="65"/>
      <c r="AN26" s="55"/>
      <c r="AO26" s="64"/>
      <c r="AP26" s="49" cm="1">
        <f t="array" ref="AP26">IF(S26=0,0,INDEX(auto_DataFlat_Classification,S26))</f>
        <v>4</v>
      </c>
      <c r="AQ26" s="72" t="str" cm="1">
        <f t="array" ref="AQ26">INDEX(uxbGlobals!$B$133:$B$139,AP26)</f>
        <v xml:space="preserve"> </v>
      </c>
      <c r="AR26" s="72" t="str">
        <f t="shared" si="26"/>
        <v>CVD management guidelines</v>
      </c>
      <c r="AS26" s="55" cm="1">
        <f t="array" ref="AS26">IF(S26=0,"",INDEX(auto_DataFlat_Score,S26))</f>
        <v>78</v>
      </c>
      <c r="AT26" s="4"/>
      <c r="AU26" s="58" cm="1">
        <f t="array" ref="AU26">IF(O26=0,0,INDEX(auto_DataFlat_Classification,O26))</f>
        <v>4</v>
      </c>
      <c r="AV26" s="59">
        <f t="shared" si="27"/>
        <v>1.5</v>
      </c>
      <c r="AW26" s="60" t="str">
        <f t="shared" si="28"/>
        <v>Household health expenditure</v>
      </c>
      <c r="AX26" s="61" cm="1">
        <f t="array" ref="AX26">IF(O26=0,"",INDEX(auto_DataFlat_Score,O26))</f>
        <v>74.599999999999994</v>
      </c>
      <c r="AY26" s="56"/>
      <c r="AZ26" s="58" cm="1">
        <f t="array" ref="AZ26">IF(O26=0,0,INDEX(auto_DataFlat_Classification,O26))</f>
        <v>4</v>
      </c>
      <c r="BA26" s="59">
        <f t="shared" si="29"/>
        <v>2.5</v>
      </c>
      <c r="BB26" s="60" t="str">
        <f t="shared" si="30"/>
        <v>Access to public transport</v>
      </c>
      <c r="BC26" s="61" cm="1">
        <f t="array" ref="BC26">IF(P26=0,"",INDEX(auto_DataFlat_Score,P26))</f>
        <v>64.900000000000006</v>
      </c>
      <c r="BD26" s="56"/>
      <c r="BE26" s="58" cm="1">
        <f t="array" ref="BE26">IF(P26=0,0,INDEX(auto_DataFlat_Classification,P26))</f>
        <v>4</v>
      </c>
      <c r="BF26" s="59">
        <f t="shared" si="31"/>
        <v>3.5</v>
      </c>
      <c r="BG26" s="60" t="str">
        <f t="shared" si="32"/>
        <v>Hypertension</v>
      </c>
      <c r="BH26" s="61" cm="1">
        <f t="array" ref="BH26">IF(P26=0,"",INDEX(auto_DataFlat_Score,P26))</f>
        <v>64.900000000000006</v>
      </c>
      <c r="BI26" s="56"/>
      <c r="BJ26" s="58">
        <f t="shared" si="33"/>
        <v>4</v>
      </c>
      <c r="BK26" s="59" t="str">
        <f t="shared" si="34"/>
        <v/>
      </c>
      <c r="BL26" s="60" t="str">
        <f t="shared" si="35"/>
        <v/>
      </c>
      <c r="BM26" s="61" cm="1">
        <f t="array" ref="BM26">IF(Q26=0,"",INDEX(auto_DataFlat_Score,Q26))</f>
        <v>63</v>
      </c>
      <c r="BN26" s="56"/>
      <c r="BO26" s="58" cm="1">
        <f t="array" ref="BO26">IF(R26=0,0,INDEX(auto_DataFlat_Classification,R26))</f>
        <v>0</v>
      </c>
      <c r="BP26" s="59">
        <f t="shared" si="36"/>
        <v>5.5</v>
      </c>
      <c r="BQ26" s="60" t="str">
        <f t="shared" si="37"/>
        <v>CVD management guidelines</v>
      </c>
      <c r="BR26" s="61" t="str" cm="1">
        <f t="array" ref="BR26">IF(R26=0,"",INDEX(auto_DataFlat_Score,R26))</f>
        <v/>
      </c>
    </row>
    <row r="27" spans="1:70" ht="55.5" customHeight="1" x14ac:dyDescent="0.4">
      <c r="A27" s="4"/>
      <c r="B27" s="4"/>
      <c r="C27" s="70"/>
      <c r="D27" s="70"/>
      <c r="E27" s="70" t="s">
        <v>1422</v>
      </c>
      <c r="F27" s="70"/>
      <c r="G27" s="70" t="s">
        <v>4589</v>
      </c>
      <c r="H27" s="71"/>
      <c r="I27" s="58">
        <f t="shared" si="38"/>
        <v>0</v>
      </c>
      <c r="J27" s="58">
        <f t="shared" si="39"/>
        <v>0</v>
      </c>
      <c r="K27" s="58">
        <f t="shared" si="40"/>
        <v>38</v>
      </c>
      <c r="L27" s="58">
        <f t="shared" si="41"/>
        <v>0</v>
      </c>
      <c r="M27" s="58">
        <f t="shared" si="42"/>
        <v>60</v>
      </c>
      <c r="N27" s="71"/>
      <c r="O27" s="58">
        <f t="shared" si="43"/>
        <v>0</v>
      </c>
      <c r="P27" s="58">
        <f t="shared" si="44"/>
        <v>0</v>
      </c>
      <c r="Q27" s="58">
        <f t="shared" si="45"/>
        <v>2271</v>
      </c>
      <c r="R27" s="58">
        <f t="shared" si="46"/>
        <v>0</v>
      </c>
      <c r="S27" s="58">
        <f t="shared" si="47"/>
        <v>3591</v>
      </c>
      <c r="T27" s="58"/>
      <c r="U27" s="26"/>
      <c r="V27" s="49"/>
      <c r="W27" s="72"/>
      <c r="X27" s="65"/>
      <c r="Y27" s="55"/>
      <c r="Z27" s="64"/>
      <c r="AA27" s="49" cm="1">
        <f t="array" ref="AA27">IF(P27=0,0,INDEX(auto_DataFlat_Classification,P27))</f>
        <v>0</v>
      </c>
      <c r="AB27" s="73" t="str" cm="1">
        <f t="array" ref="AB27:AB33">INDEX(uxbGlobals!$B$133:$B$139,AA27)</f>
        <v xml:space="preserve"> </v>
      </c>
      <c r="AC27" s="65"/>
      <c r="AD27" s="55" t="str" cm="1">
        <f t="array" ref="AD27">IF(P27=0,"",INDEX(auto_DataFlat_Score,P27))</f>
        <v/>
      </c>
      <c r="AE27" s="64"/>
      <c r="AF27" s="49" cm="1">
        <f t="array" ref="AF27">IF(Q27=0,0,INDEX(auto_DataFlat_Classification,Q27))</f>
        <v>4</v>
      </c>
      <c r="AG27" s="72" t="str" cm="1">
        <f t="array" ref="AG27">INDEX(uxbGlobals!$B$133:$B$139,AF27)</f>
        <v xml:space="preserve"> </v>
      </c>
      <c r="AH27" s="72" t="str">
        <f t="shared" si="49"/>
        <v>Diabetes</v>
      </c>
      <c r="AI27" s="55" cm="1">
        <f t="array" ref="AI27">IF(Q27=0,"",INDEX(auto_DataFlat_Score,Q27))</f>
        <v>78.900000000000006</v>
      </c>
      <c r="AJ27" s="64"/>
      <c r="AK27" s="49" cm="1">
        <f t="array" ref="AK27">IF(R27=0,0,INDEX(auto_DataFlat_Classification,R27))</f>
        <v>0</v>
      </c>
      <c r="AL27" s="65"/>
      <c r="AM27" s="65"/>
      <c r="AN27" s="55"/>
      <c r="AO27" s="64"/>
      <c r="AP27" s="49" cm="1">
        <f t="array" ref="AP27">IF(S27=0,0,INDEX(auto_DataFlat_Classification,S27))</f>
        <v>5</v>
      </c>
      <c r="AQ27" s="72" t="str" cm="1">
        <f t="array" ref="AQ27">INDEX(uxbGlobals!$B$133:$B$139,AP27)</f>
        <v xml:space="preserve"> </v>
      </c>
      <c r="AR27" s="72" t="str">
        <f t="shared" ref="AR27:AR30" si="50">IF(G27="","",INDEX(auto_Series_NameNoNumber,MATCH(G27,auto_Series_Code,0)))</f>
        <v>Treatment guidelines</v>
      </c>
      <c r="AS27" s="55" cm="1">
        <f t="array" ref="AS27">IF(S27=0,"",INDEX(auto_DataFlat_Score,S27))</f>
        <v>95</v>
      </c>
      <c r="AT27" s="4"/>
      <c r="AU27" s="58" cm="1">
        <f t="array" ref="AU27">IF(O27=0,0,INDEX(auto_DataFlat_Classification,O27))</f>
        <v>0</v>
      </c>
      <c r="AV27" s="59" t="str">
        <f t="shared" si="27"/>
        <v/>
      </c>
      <c r="AW27" s="60" t="str">
        <f t="shared" si="28"/>
        <v/>
      </c>
      <c r="AX27" s="61" t="str" cm="1">
        <f t="array" ref="AX27">IF(O27=0,"",INDEX(auto_DataFlat_Score,O27))</f>
        <v/>
      </c>
      <c r="AY27" s="56"/>
      <c r="AZ27" s="58" cm="1">
        <f t="array" ref="AZ27">IF(O27=0,0,INDEX(auto_DataFlat_Classification,O27))</f>
        <v>0</v>
      </c>
      <c r="BA27" s="59" t="str">
        <f t="shared" si="29"/>
        <v/>
      </c>
      <c r="BB27" s="60" t="str">
        <f t="shared" si="30"/>
        <v/>
      </c>
      <c r="BC27" s="61" t="str" cm="1">
        <f t="array" ref="BC27">IF(P27=0,"",INDEX(auto_DataFlat_Score,P27))</f>
        <v/>
      </c>
      <c r="BD27" s="56"/>
      <c r="BE27" s="58" cm="1">
        <f t="array" ref="BE27">IF(P27=0,0,INDEX(auto_DataFlat_Classification,P27))</f>
        <v>0</v>
      </c>
      <c r="BF27" s="59">
        <f t="shared" si="31"/>
        <v>3.6</v>
      </c>
      <c r="BG27" s="60" t="str">
        <f t="shared" si="32"/>
        <v>Diabetes</v>
      </c>
      <c r="BH27" s="61" t="str" cm="1">
        <f t="array" ref="BH27">IF(P27=0,"",INDEX(auto_DataFlat_Score,P27))</f>
        <v/>
      </c>
      <c r="BI27" s="56"/>
      <c r="BJ27" s="58">
        <f t="shared" si="33"/>
        <v>4</v>
      </c>
      <c r="BK27" s="59" t="str">
        <f t="shared" si="34"/>
        <v/>
      </c>
      <c r="BL27" s="60" t="str">
        <f t="shared" si="35"/>
        <v/>
      </c>
      <c r="BM27" s="61" cm="1">
        <f t="array" ref="BM27">IF(Q27=0,"",INDEX(auto_DataFlat_Score,Q27))</f>
        <v>78.900000000000006</v>
      </c>
      <c r="BN27" s="56"/>
      <c r="BO27" s="58" cm="1">
        <f t="array" ref="BO27">IF(R27=0,0,INDEX(auto_DataFlat_Classification,R27))</f>
        <v>0</v>
      </c>
      <c r="BP27" s="59">
        <f t="shared" si="36"/>
        <v>5.6</v>
      </c>
      <c r="BQ27" s="60" t="str">
        <f t="shared" si="37"/>
        <v>Treatment guidelines</v>
      </c>
      <c r="BR27" s="61" t="str" cm="1">
        <f t="array" ref="BR27">IF(R27=0,"",INDEX(auto_DataFlat_Score,R27))</f>
        <v/>
      </c>
    </row>
    <row r="28" spans="1:70" ht="55.5" customHeight="1" x14ac:dyDescent="0.4">
      <c r="A28" s="4"/>
      <c r="B28" s="4"/>
      <c r="C28" s="70"/>
      <c r="D28" s="70"/>
      <c r="E28" s="70" t="s">
        <v>1423</v>
      </c>
      <c r="F28" s="70"/>
      <c r="G28" s="70" t="s">
        <v>1426</v>
      </c>
      <c r="H28" s="71"/>
      <c r="I28" s="58">
        <f t="shared" si="38"/>
        <v>0</v>
      </c>
      <c r="J28" s="58">
        <f t="shared" si="39"/>
        <v>0</v>
      </c>
      <c r="K28" s="58">
        <f t="shared" si="40"/>
        <v>41</v>
      </c>
      <c r="L28" s="58">
        <f t="shared" si="41"/>
        <v>0</v>
      </c>
      <c r="M28" s="58">
        <f t="shared" si="42"/>
        <v>61</v>
      </c>
      <c r="N28" s="71"/>
      <c r="O28" s="58">
        <f t="shared" si="43"/>
        <v>0</v>
      </c>
      <c r="P28" s="58">
        <f t="shared" si="44"/>
        <v>0</v>
      </c>
      <c r="Q28" s="58">
        <f t="shared" si="45"/>
        <v>2451</v>
      </c>
      <c r="R28" s="58">
        <f t="shared" si="46"/>
        <v>0</v>
      </c>
      <c r="S28" s="58">
        <f t="shared" si="47"/>
        <v>3651</v>
      </c>
      <c r="T28" s="58"/>
      <c r="U28" s="26"/>
      <c r="V28" s="49"/>
      <c r="W28" s="65"/>
      <c r="X28" s="65"/>
      <c r="Y28" s="55"/>
      <c r="Z28" s="64"/>
      <c r="AA28" s="49"/>
      <c r="AB28" s="65" t="str">
        <v xml:space="preserve"> </v>
      </c>
      <c r="AC28" s="65"/>
      <c r="AD28" s="55"/>
      <c r="AE28" s="64"/>
      <c r="AF28" s="49" cm="1">
        <f t="array" ref="AF28">IF(Q28=0,0,INDEX(auto_DataFlat_Classification,Q28))</f>
        <v>4</v>
      </c>
      <c r="AG28" s="72" t="str" cm="1">
        <f t="array" ref="AG28">INDEX(uxbGlobals!$B$133:$B$139,AF28)</f>
        <v xml:space="preserve"> </v>
      </c>
      <c r="AH28" s="72" t="str">
        <f t="shared" ref="AH28:AH29" si="51">IF(E28="","",INDEX(auto_Series_NameNoNumber,MATCH(E28,auto_Series_Code,0)))</f>
        <v>Obesity</v>
      </c>
      <c r="AI28" s="55" cm="1">
        <f t="array" ref="AI28">IF(Q28=0,"",INDEX(auto_DataFlat_Score,Q28))</f>
        <v>62.9</v>
      </c>
      <c r="AJ28" s="64"/>
      <c r="AK28" s="49" cm="1">
        <f t="array" ref="AK28">IF(R28=0,0,INDEX(auto_DataFlat_Classification,R28))</f>
        <v>0</v>
      </c>
      <c r="AL28" s="65"/>
      <c r="AM28" s="65"/>
      <c r="AN28" s="55"/>
      <c r="AO28" s="64"/>
      <c r="AP28" s="49" cm="1">
        <f t="array" ref="AP28">IF(S28=0,0,INDEX(auto_DataFlat_Classification,S28))</f>
        <v>4</v>
      </c>
      <c r="AQ28" s="72" t="str" cm="1">
        <f t="array" ref="AQ28">INDEX(uxbGlobals!$B$133:$B$139,AP28)</f>
        <v xml:space="preserve"> </v>
      </c>
      <c r="AR28" s="72" t="str">
        <f t="shared" si="50"/>
        <v>Tobacco control</v>
      </c>
      <c r="AS28" s="55" cm="1">
        <f t="array" ref="AS28">IF(S28=0,"",INDEX(auto_DataFlat_Score,S28))</f>
        <v>67</v>
      </c>
      <c r="AT28" s="4"/>
      <c r="AU28" s="58"/>
      <c r="AV28" s="74"/>
      <c r="AW28" s="75"/>
      <c r="AX28" s="76"/>
      <c r="AY28" s="56"/>
      <c r="AZ28" s="58"/>
      <c r="BA28" s="74"/>
      <c r="BB28" s="75"/>
      <c r="BC28" s="76"/>
      <c r="BD28" s="56"/>
      <c r="BE28" s="58"/>
      <c r="BF28" s="74"/>
      <c r="BG28" s="75"/>
      <c r="BH28" s="76"/>
      <c r="BI28" s="56"/>
      <c r="BJ28" s="58"/>
      <c r="BK28" s="74"/>
      <c r="BL28" s="75"/>
      <c r="BM28" s="76"/>
      <c r="BN28" s="56"/>
      <c r="BO28" s="58"/>
      <c r="BP28" s="74"/>
      <c r="BQ28" s="75"/>
      <c r="BR28" s="76"/>
    </row>
    <row r="29" spans="1:70" ht="55.5" customHeight="1" x14ac:dyDescent="0.4">
      <c r="A29" s="4"/>
      <c r="B29" s="4"/>
      <c r="C29" s="70"/>
      <c r="D29" s="70"/>
      <c r="E29" s="70" t="s">
        <v>1424</v>
      </c>
      <c r="F29" s="70"/>
      <c r="G29" s="70" t="s">
        <v>4590</v>
      </c>
      <c r="H29" s="71"/>
      <c r="I29" s="58">
        <f t="shared" si="38"/>
        <v>0</v>
      </c>
      <c r="J29" s="58">
        <f t="shared" si="39"/>
        <v>0</v>
      </c>
      <c r="K29" s="58">
        <f t="shared" si="40"/>
        <v>44</v>
      </c>
      <c r="L29" s="58">
        <f t="shared" si="41"/>
        <v>0</v>
      </c>
      <c r="M29" s="58">
        <f t="shared" si="42"/>
        <v>62</v>
      </c>
      <c r="N29" s="71"/>
      <c r="O29" s="58">
        <f t="shared" si="43"/>
        <v>0</v>
      </c>
      <c r="P29" s="58">
        <f t="shared" si="44"/>
        <v>0</v>
      </c>
      <c r="Q29" s="58">
        <f t="shared" si="45"/>
        <v>2631</v>
      </c>
      <c r="R29" s="58">
        <f t="shared" si="46"/>
        <v>0</v>
      </c>
      <c r="S29" s="58">
        <f t="shared" si="47"/>
        <v>3711</v>
      </c>
      <c r="T29" s="58"/>
      <c r="U29" s="26"/>
      <c r="V29" s="49"/>
      <c r="W29" s="65"/>
      <c r="X29" s="65"/>
      <c r="Y29" s="55"/>
      <c r="Z29" s="64"/>
      <c r="AA29" s="49"/>
      <c r="AB29" s="65" t="str">
        <v xml:space="preserve"> </v>
      </c>
      <c r="AC29" s="65"/>
      <c r="AD29" s="55"/>
      <c r="AE29" s="64"/>
      <c r="AF29" s="49" cm="1">
        <f t="array" ref="AF29">IF(Q29=0,0,INDEX(auto_DataFlat_Classification,Q29))</f>
        <v>2</v>
      </c>
      <c r="AG29" s="72" t="str" cm="1">
        <f t="array" ref="AG29">INDEX(uxbGlobals!$B$133:$B$139,AF29)</f>
        <v xml:space="preserve"> </v>
      </c>
      <c r="AH29" s="72" t="str">
        <f t="shared" si="51"/>
        <v>Cholesterol</v>
      </c>
      <c r="AI29" s="55" cm="1">
        <f t="array" ref="AI29">IF(Q29=0,"",INDEX(auto_DataFlat_Score,Q29))</f>
        <v>31.8</v>
      </c>
      <c r="AJ29" s="64"/>
      <c r="AK29" s="49" cm="1">
        <f t="array" ref="AK29">IF(R29=0,0,INDEX(auto_DataFlat_Classification,R29))</f>
        <v>0</v>
      </c>
      <c r="AL29" s="65"/>
      <c r="AM29" s="65"/>
      <c r="AN29" s="55"/>
      <c r="AO29" s="64"/>
      <c r="AP29" s="49" cm="1">
        <f t="array" ref="AP29">IF(S29=0,0,INDEX(auto_DataFlat_Classification,S29))</f>
        <v>5</v>
      </c>
      <c r="AQ29" s="72" t="str" cm="1">
        <f t="array" ref="AQ29">INDEX(uxbGlobals!$B$133:$B$139,AP29)</f>
        <v xml:space="preserve"> </v>
      </c>
      <c r="AR29" s="72" t="str">
        <f t="shared" si="50"/>
        <v>Air pollution control</v>
      </c>
      <c r="AS29" s="55" cm="1">
        <f t="array" ref="AS29">IF(S29=0,"",INDEX(auto_DataFlat_Score,S29))</f>
        <v>82.7</v>
      </c>
      <c r="AT29" s="4"/>
      <c r="AU29" s="58"/>
      <c r="AV29" s="74"/>
      <c r="AW29" s="75"/>
      <c r="AX29" s="76"/>
      <c r="AY29" s="56"/>
      <c r="AZ29" s="58"/>
      <c r="BA29" s="74"/>
      <c r="BB29" s="75"/>
      <c r="BC29" s="76"/>
      <c r="BD29" s="56"/>
      <c r="BE29" s="58"/>
      <c r="BF29" s="74"/>
      <c r="BG29" s="75"/>
      <c r="BH29" s="76"/>
      <c r="BI29" s="56"/>
      <c r="BJ29" s="58"/>
      <c r="BK29" s="74"/>
      <c r="BL29" s="75"/>
      <c r="BM29" s="76"/>
      <c r="BN29" s="56"/>
      <c r="BO29" s="58"/>
      <c r="BP29" s="74"/>
      <c r="BQ29" s="75"/>
      <c r="BR29" s="76"/>
    </row>
    <row r="30" spans="1:70" ht="55.5" customHeight="1" x14ac:dyDescent="0.4">
      <c r="A30" s="4"/>
      <c r="B30" s="4"/>
      <c r="C30" s="70"/>
      <c r="D30" s="70"/>
      <c r="E30" s="70"/>
      <c r="F30" s="70"/>
      <c r="G30" s="70" t="s">
        <v>4591</v>
      </c>
      <c r="H30" s="71"/>
      <c r="I30" s="58">
        <f t="shared" si="38"/>
        <v>0</v>
      </c>
      <c r="J30" s="58">
        <f t="shared" si="39"/>
        <v>0</v>
      </c>
      <c r="K30" s="58">
        <f t="shared" si="40"/>
        <v>0</v>
      </c>
      <c r="L30" s="58">
        <f t="shared" si="41"/>
        <v>0</v>
      </c>
      <c r="M30" s="58">
        <f t="shared" si="42"/>
        <v>63</v>
      </c>
      <c r="N30" s="71"/>
      <c r="O30" s="58">
        <f t="shared" si="43"/>
        <v>0</v>
      </c>
      <c r="P30" s="58">
        <f t="shared" si="44"/>
        <v>0</v>
      </c>
      <c r="Q30" s="58">
        <f t="shared" si="45"/>
        <v>0</v>
      </c>
      <c r="R30" s="58">
        <f t="shared" si="46"/>
        <v>0</v>
      </c>
      <c r="S30" s="58">
        <f t="shared" si="47"/>
        <v>3771</v>
      </c>
      <c r="T30" s="58"/>
      <c r="U30" s="26"/>
      <c r="V30" s="49"/>
      <c r="W30" s="65"/>
      <c r="X30" s="65"/>
      <c r="Y30" s="55"/>
      <c r="Z30" s="64"/>
      <c r="AA30" s="49"/>
      <c r="AB30" s="65" t="str">
        <v xml:space="preserve"> </v>
      </c>
      <c r="AC30" s="65"/>
      <c r="AD30" s="55"/>
      <c r="AE30" s="64"/>
      <c r="AF30" s="49"/>
      <c r="AG30" s="49"/>
      <c r="AH30" s="69"/>
      <c r="AI30" s="62"/>
      <c r="AJ30" s="64"/>
      <c r="AK30" s="49" cm="1">
        <f t="array" ref="AK30">IF(R30=0,0,INDEX(auto_DataFlat_Classification,R30))</f>
        <v>0</v>
      </c>
      <c r="AL30" s="65"/>
      <c r="AM30" s="65"/>
      <c r="AN30" s="55"/>
      <c r="AO30" s="64"/>
      <c r="AP30" s="49" cm="1">
        <f t="array" ref="AP30">IF(S30=0,0,INDEX(auto_DataFlat_Classification,S30))</f>
        <v>3</v>
      </c>
      <c r="AQ30" s="72" t="str" cm="1">
        <f t="array" ref="AQ30">INDEX(uxbGlobals!$B$133:$B$139,AP30)</f>
        <v xml:space="preserve"> </v>
      </c>
      <c r="AR30" s="72" t="str">
        <f t="shared" si="50"/>
        <v>Health promotion</v>
      </c>
      <c r="AS30" s="55" cm="1">
        <f t="array" ref="AS30">IF(S30=0,"",INDEX(auto_DataFlat_Score,S30))</f>
        <v>41</v>
      </c>
      <c r="AT30" s="4"/>
      <c r="AU30" s="58"/>
      <c r="AV30" s="74"/>
      <c r="AW30" s="75"/>
      <c r="AX30" s="76"/>
      <c r="AY30" s="56"/>
      <c r="AZ30" s="58"/>
      <c r="BA30" s="74"/>
      <c r="BB30" s="75"/>
      <c r="BC30" s="76"/>
      <c r="BD30" s="56"/>
      <c r="BE30" s="58"/>
      <c r="BF30" s="74"/>
      <c r="BG30" s="75"/>
      <c r="BH30" s="76"/>
      <c r="BI30" s="56"/>
      <c r="BJ30" s="58"/>
      <c r="BK30" s="74"/>
      <c r="BL30" s="75"/>
      <c r="BM30" s="76"/>
      <c r="BN30" s="56"/>
      <c r="BO30" s="58"/>
      <c r="BP30" s="74"/>
      <c r="BQ30" s="75"/>
      <c r="BR30" s="76"/>
    </row>
    <row r="31" spans="1:70" ht="33.9" customHeight="1" x14ac:dyDescent="0.4">
      <c r="A31" s="4"/>
      <c r="B31" s="4"/>
      <c r="C31" s="4"/>
      <c r="D31" s="4"/>
      <c r="E31" s="4"/>
      <c r="F31" s="4"/>
      <c r="G31" s="4"/>
      <c r="H31" s="4"/>
      <c r="I31" s="49"/>
      <c r="J31" s="49"/>
      <c r="K31" s="49"/>
      <c r="L31" s="49"/>
      <c r="M31" s="49"/>
      <c r="N31" s="4"/>
      <c r="O31" s="49"/>
      <c r="P31" s="49"/>
      <c r="Q31" s="49"/>
      <c r="R31" s="49"/>
      <c r="S31" s="49"/>
      <c r="T31" s="49"/>
      <c r="U31" s="4"/>
      <c r="V31" s="49"/>
      <c r="W31" s="49"/>
      <c r="X31" s="69"/>
      <c r="Y31" s="62"/>
      <c r="Z31" s="62"/>
      <c r="AA31" s="49"/>
      <c r="AB31" s="49" t="str">
        <v xml:space="preserve"> </v>
      </c>
      <c r="AC31" s="69"/>
      <c r="AD31" s="62"/>
      <c r="AE31" s="62"/>
      <c r="AF31" s="49"/>
      <c r="AG31" s="49"/>
      <c r="AH31" s="69"/>
      <c r="AI31" s="62"/>
      <c r="AJ31" s="62"/>
      <c r="AK31" s="49"/>
      <c r="AL31" s="49"/>
      <c r="AM31" s="69"/>
      <c r="AN31" s="62"/>
      <c r="AO31" s="62"/>
      <c r="AP31" s="49"/>
      <c r="AQ31" s="49"/>
      <c r="AR31" s="69"/>
      <c r="AS31" s="4"/>
      <c r="AT31" s="4"/>
      <c r="AU31" s="49"/>
      <c r="AV31" s="77"/>
      <c r="AW31" s="69"/>
      <c r="AX31" s="62"/>
      <c r="AY31" s="62"/>
      <c r="AZ31" s="49"/>
      <c r="BA31" s="69"/>
      <c r="BB31" s="69"/>
      <c r="BC31" s="62"/>
      <c r="BD31" s="62"/>
      <c r="BE31" s="49"/>
      <c r="BF31" s="69"/>
      <c r="BG31" s="69"/>
      <c r="BH31" s="62"/>
      <c r="BI31" s="62"/>
      <c r="BJ31" s="49"/>
      <c r="BK31" s="69"/>
      <c r="BL31" s="69"/>
      <c r="BM31" s="62"/>
      <c r="BN31" s="62"/>
      <c r="BO31" s="49"/>
      <c r="BP31" s="69"/>
      <c r="BQ31" s="69"/>
      <c r="BR31" s="62"/>
    </row>
    <row r="32" spans="1:70" x14ac:dyDescent="0.4">
      <c r="A32" s="4"/>
      <c r="B32" s="4"/>
      <c r="C32" s="71"/>
      <c r="D32" s="71"/>
      <c r="E32" s="71"/>
      <c r="F32" s="71"/>
      <c r="G32" s="4"/>
      <c r="H32" s="4"/>
      <c r="I32" s="4"/>
      <c r="J32" s="4"/>
      <c r="K32" s="4"/>
      <c r="L32" s="4"/>
      <c r="M32" s="4"/>
      <c r="N32" s="4"/>
      <c r="O32" s="4"/>
      <c r="P32" s="4"/>
      <c r="Q32" s="4"/>
      <c r="R32" s="4"/>
      <c r="S32" s="4"/>
      <c r="T32" s="4"/>
      <c r="U32" s="4"/>
      <c r="V32" s="4"/>
      <c r="W32" s="4"/>
      <c r="X32" s="78"/>
      <c r="Y32" s="78"/>
      <c r="Z32" s="78"/>
      <c r="AA32" s="4"/>
      <c r="AB32" s="4" t="str">
        <v xml:space="preserve"> </v>
      </c>
      <c r="AC32" s="78"/>
      <c r="AD32" s="78"/>
      <c r="AE32" s="78"/>
      <c r="AF32" s="4"/>
      <c r="AG32" s="4"/>
      <c r="AH32" s="78"/>
      <c r="AI32" s="78"/>
      <c r="AJ32" s="78"/>
      <c r="AK32" s="4"/>
      <c r="AL32" s="4"/>
      <c r="AM32" s="78"/>
      <c r="AN32" s="78"/>
      <c r="AO32" s="78"/>
      <c r="AP32" s="4"/>
      <c r="AQ32" s="4"/>
      <c r="AR32" s="78"/>
      <c r="AS32" s="4"/>
      <c r="AT32" s="4"/>
      <c r="AU32" s="4"/>
      <c r="AV32" s="78"/>
      <c r="AW32" s="78"/>
      <c r="AX32" s="78"/>
      <c r="AY32" s="78"/>
      <c r="AZ32" s="4"/>
      <c r="BA32" s="78"/>
      <c r="BB32" s="78"/>
      <c r="BC32" s="78"/>
      <c r="BD32" s="78"/>
      <c r="BE32" s="4"/>
      <c r="BF32" s="78"/>
      <c r="BG32" s="78"/>
      <c r="BH32" s="78"/>
      <c r="BI32" s="78"/>
      <c r="BJ32" s="4"/>
      <c r="BK32" s="78"/>
      <c r="BL32" s="78"/>
      <c r="BM32" s="78"/>
      <c r="BN32" s="78"/>
      <c r="BO32" s="4"/>
      <c r="BP32" s="78"/>
      <c r="BQ32" s="78"/>
      <c r="BR32" s="78"/>
    </row>
    <row r="33" spans="1:70" x14ac:dyDescent="0.4">
      <c r="A33" s="4"/>
      <c r="B33" s="4"/>
      <c r="C33" s="71"/>
      <c r="D33" s="71"/>
      <c r="E33" s="71"/>
      <c r="F33" s="71"/>
      <c r="G33" s="4"/>
      <c r="H33" s="4"/>
      <c r="I33" s="4"/>
      <c r="J33" s="4"/>
      <c r="K33" s="4"/>
      <c r="L33" s="4"/>
      <c r="M33" s="4"/>
      <c r="N33" s="4"/>
      <c r="O33" s="4"/>
      <c r="P33" s="4"/>
      <c r="Q33" s="4"/>
      <c r="R33" s="4"/>
      <c r="S33" s="4"/>
      <c r="T33" s="4"/>
      <c r="U33" s="4"/>
      <c r="V33" s="4"/>
      <c r="W33" s="4"/>
      <c r="X33" s="78"/>
      <c r="Y33" s="78"/>
      <c r="Z33" s="78"/>
      <c r="AA33" s="4"/>
      <c r="AB33" s="4" t="str">
        <v>X</v>
      </c>
      <c r="AC33" s="78"/>
      <c r="AD33" s="78"/>
      <c r="AE33" s="78"/>
      <c r="AF33" s="4"/>
      <c r="AG33" s="4"/>
      <c r="AH33" s="78"/>
      <c r="AI33" s="78"/>
      <c r="AJ33" s="78"/>
      <c r="AK33" s="4"/>
      <c r="AL33" s="4"/>
      <c r="AM33" s="78"/>
      <c r="AN33" s="78"/>
      <c r="AO33" s="78"/>
      <c r="AP33" s="4"/>
      <c r="AQ33" s="4"/>
      <c r="AR33" s="78"/>
      <c r="AS33" s="4"/>
      <c r="AT33" s="4"/>
      <c r="AU33" s="4"/>
      <c r="AV33" s="78"/>
      <c r="AW33" s="78"/>
      <c r="AX33" s="78"/>
      <c r="AY33" s="78"/>
      <c r="AZ33" s="4"/>
      <c r="BA33" s="78"/>
      <c r="BB33" s="78"/>
      <c r="BC33" s="78"/>
      <c r="BD33" s="78"/>
      <c r="BE33" s="4"/>
      <c r="BF33" s="78"/>
      <c r="BG33" s="78"/>
      <c r="BH33" s="78"/>
      <c r="BI33" s="78"/>
      <c r="BJ33" s="4"/>
      <c r="BK33" s="78"/>
      <c r="BL33" s="78"/>
      <c r="BM33" s="78"/>
      <c r="BN33" s="78"/>
      <c r="BO33" s="4"/>
      <c r="BP33" s="78"/>
      <c r="BQ33" s="78"/>
      <c r="BR33" s="78"/>
    </row>
    <row r="34" spans="1:70" x14ac:dyDescent="0.4">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row>
    <row r="35" spans="1:70" x14ac:dyDescent="0.4">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row>
    <row r="36" spans="1:70" x14ac:dyDescent="0.4">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row>
    <row r="37" spans="1:70" x14ac:dyDescent="0.4">
      <c r="A37" s="4" t="s">
        <v>3</v>
      </c>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row>
    <row r="38" spans="1:70" x14ac:dyDescent="0.4"/>
    <row r="39" spans="1:70" x14ac:dyDescent="0.4"/>
    <row r="40" spans="1:70" x14ac:dyDescent="0.4"/>
    <row r="41" spans="1:70" x14ac:dyDescent="0.4"/>
    <row r="42" spans="1:70" x14ac:dyDescent="0.4"/>
    <row r="43" spans="1:70" x14ac:dyDescent="0.4"/>
    <row r="44" spans="1:70" x14ac:dyDescent="0.4"/>
    <row r="45" spans="1:70" x14ac:dyDescent="0.4"/>
    <row r="46" spans="1:70" x14ac:dyDescent="0.4"/>
    <row r="47" spans="1:70" x14ac:dyDescent="0.4"/>
    <row r="48" spans="1:70" x14ac:dyDescent="0.4"/>
    <row r="49" x14ac:dyDescent="0.4"/>
    <row r="50" x14ac:dyDescent="0.4"/>
    <row r="51" x14ac:dyDescent="0.4"/>
    <row r="52" x14ac:dyDescent="0.4"/>
    <row r="53" x14ac:dyDescent="0.4"/>
    <row r="54" x14ac:dyDescent="0.4"/>
    <row r="55" x14ac:dyDescent="0.4"/>
    <row r="56" x14ac:dyDescent="0.4"/>
    <row r="57" x14ac:dyDescent="0.4"/>
    <row r="58" x14ac:dyDescent="0.4"/>
    <row r="59" x14ac:dyDescent="0.4"/>
    <row r="60" x14ac:dyDescent="0.4"/>
    <row r="61" x14ac:dyDescent="0.4"/>
    <row r="62" x14ac:dyDescent="0.4"/>
    <row r="63" x14ac:dyDescent="0.4"/>
    <row r="64" x14ac:dyDescent="0.4"/>
    <row r="65" x14ac:dyDescent="0.4"/>
    <row r="66" x14ac:dyDescent="0.4"/>
    <row r="67" x14ac:dyDescent="0.4"/>
    <row r="68" x14ac:dyDescent="0.4"/>
    <row r="69" x14ac:dyDescent="0.4"/>
    <row r="70" x14ac:dyDescent="0.4"/>
    <row r="71" x14ac:dyDescent="0.4"/>
    <row r="72" x14ac:dyDescent="0.4"/>
    <row r="73" x14ac:dyDescent="0.4"/>
    <row r="74" x14ac:dyDescent="0.4"/>
    <row r="75" x14ac:dyDescent="0.4"/>
    <row r="76" x14ac:dyDescent="0.4"/>
    <row r="77" x14ac:dyDescent="0.4"/>
    <row r="78" x14ac:dyDescent="0.4"/>
    <row r="79" x14ac:dyDescent="0.4"/>
    <row r="80" x14ac:dyDescent="0.4"/>
    <row r="81" x14ac:dyDescent="0.4"/>
    <row r="82" x14ac:dyDescent="0.4"/>
    <row r="83" x14ac:dyDescent="0.4"/>
    <row r="84" x14ac:dyDescent="0.4"/>
    <row r="85" x14ac:dyDescent="0.4"/>
    <row r="86" x14ac:dyDescent="0.4"/>
    <row r="87" x14ac:dyDescent="0.4"/>
    <row r="88" x14ac:dyDescent="0.4"/>
    <row r="89" x14ac:dyDescent="0.4"/>
    <row r="90" x14ac:dyDescent="0.4"/>
    <row r="91" x14ac:dyDescent="0.4"/>
    <row r="92" x14ac:dyDescent="0.4"/>
    <row r="93" x14ac:dyDescent="0.4"/>
    <row r="94" x14ac:dyDescent="0.4"/>
    <row r="95" x14ac:dyDescent="0.4"/>
    <row r="96" x14ac:dyDescent="0.4"/>
    <row r="97" x14ac:dyDescent="0.4"/>
    <row r="98" x14ac:dyDescent="0.4"/>
    <row r="99" x14ac:dyDescent="0.4"/>
    <row r="100" x14ac:dyDescent="0.4"/>
    <row r="101" x14ac:dyDescent="0.4"/>
    <row r="102" x14ac:dyDescent="0.4"/>
    <row r="103" x14ac:dyDescent="0.4"/>
    <row r="104" x14ac:dyDescent="0.4"/>
    <row r="105" x14ac:dyDescent="0.4"/>
    <row r="106" x14ac:dyDescent="0.4"/>
    <row r="107" x14ac:dyDescent="0.4"/>
    <row r="108" x14ac:dyDescent="0.4"/>
    <row r="109" x14ac:dyDescent="0.4"/>
    <row r="110" x14ac:dyDescent="0.4"/>
    <row r="111" x14ac:dyDescent="0.4"/>
    <row r="112" x14ac:dyDescent="0.4"/>
    <row r="113" x14ac:dyDescent="0.4"/>
    <row r="114" x14ac:dyDescent="0.4"/>
    <row r="115" x14ac:dyDescent="0.4"/>
    <row r="116" x14ac:dyDescent="0.4"/>
    <row r="117" x14ac:dyDescent="0.4"/>
    <row r="118" x14ac:dyDescent="0.4"/>
    <row r="119" x14ac:dyDescent="0.4"/>
    <row r="120" x14ac:dyDescent="0.4"/>
    <row r="121" x14ac:dyDescent="0.4"/>
    <row r="122" x14ac:dyDescent="0.4"/>
    <row r="123" x14ac:dyDescent="0.4"/>
    <row r="124" x14ac:dyDescent="0.4"/>
    <row r="125" x14ac:dyDescent="0.4"/>
    <row r="126" x14ac:dyDescent="0.4"/>
    <row r="127" x14ac:dyDescent="0.4"/>
    <row r="128" x14ac:dyDescent="0.4"/>
    <row r="129" x14ac:dyDescent="0.4"/>
    <row r="130" x14ac:dyDescent="0.4"/>
    <row r="131" x14ac:dyDescent="0.4"/>
    <row r="132" x14ac:dyDescent="0.4"/>
    <row r="133" x14ac:dyDescent="0.4"/>
    <row r="134" x14ac:dyDescent="0.4"/>
    <row r="135" x14ac:dyDescent="0.4"/>
    <row r="136" x14ac:dyDescent="0.4"/>
    <row r="137" x14ac:dyDescent="0.4"/>
    <row r="138" x14ac:dyDescent="0.4"/>
    <row r="139" x14ac:dyDescent="0.4"/>
    <row r="140" x14ac:dyDescent="0.4"/>
    <row r="141" x14ac:dyDescent="0.4"/>
    <row r="142" x14ac:dyDescent="0.4"/>
    <row r="143" x14ac:dyDescent="0.4"/>
    <row r="144" x14ac:dyDescent="0.4"/>
    <row r="145" x14ac:dyDescent="0.4"/>
    <row r="146" x14ac:dyDescent="0.4"/>
    <row r="147" x14ac:dyDescent="0.4"/>
    <row r="148" x14ac:dyDescent="0.4"/>
    <row r="149" x14ac:dyDescent="0.4"/>
    <row r="150" x14ac:dyDescent="0.4"/>
    <row r="151" x14ac:dyDescent="0.4"/>
    <row r="152" x14ac:dyDescent="0.4"/>
    <row r="153" x14ac:dyDescent="0.4"/>
    <row r="154" x14ac:dyDescent="0.4"/>
    <row r="155" x14ac:dyDescent="0.4"/>
    <row r="156" x14ac:dyDescent="0.4"/>
    <row r="157" x14ac:dyDescent="0.4"/>
    <row r="158" x14ac:dyDescent="0.4"/>
    <row r="159" x14ac:dyDescent="0.4"/>
    <row r="160" x14ac:dyDescent="0.4"/>
    <row r="161" x14ac:dyDescent="0.4"/>
    <row r="162" x14ac:dyDescent="0.4"/>
    <row r="163" x14ac:dyDescent="0.4"/>
    <row r="164" x14ac:dyDescent="0.4"/>
    <row r="165" x14ac:dyDescent="0.4"/>
    <row r="166" x14ac:dyDescent="0.4"/>
    <row r="167" x14ac:dyDescent="0.4"/>
    <row r="168" x14ac:dyDescent="0.4"/>
    <row r="169" x14ac:dyDescent="0.4"/>
    <row r="170" x14ac:dyDescent="0.4"/>
    <row r="171" x14ac:dyDescent="0.4"/>
    <row r="172" x14ac:dyDescent="0.4"/>
    <row r="173" x14ac:dyDescent="0.4"/>
    <row r="174" x14ac:dyDescent="0.4"/>
    <row r="175" x14ac:dyDescent="0.4"/>
    <row r="176" x14ac:dyDescent="0.4"/>
    <row r="177" x14ac:dyDescent="0.4"/>
    <row r="178" x14ac:dyDescent="0.4"/>
    <row r="179" x14ac:dyDescent="0.4"/>
    <row r="180" x14ac:dyDescent="0.4"/>
    <row r="181" x14ac:dyDescent="0.4"/>
    <row r="182" x14ac:dyDescent="0.4"/>
    <row r="183" x14ac:dyDescent="0.4"/>
    <row r="184" x14ac:dyDescent="0.4"/>
    <row r="185" x14ac:dyDescent="0.4"/>
    <row r="186" x14ac:dyDescent="0.4"/>
    <row r="187" x14ac:dyDescent="0.4"/>
    <row r="188" x14ac:dyDescent="0.4"/>
    <row r="189" x14ac:dyDescent="0.4"/>
    <row r="190" x14ac:dyDescent="0.4"/>
    <row r="191" x14ac:dyDescent="0.4"/>
    <row r="192" x14ac:dyDescent="0.4"/>
    <row r="193" x14ac:dyDescent="0.4"/>
    <row r="194" x14ac:dyDescent="0.4"/>
    <row r="195" x14ac:dyDescent="0.4"/>
    <row r="196" x14ac:dyDescent="0.4"/>
    <row r="197" x14ac:dyDescent="0.4"/>
    <row r="198" x14ac:dyDescent="0.4"/>
    <row r="199" x14ac:dyDescent="0.4"/>
    <row r="200" x14ac:dyDescent="0.4"/>
    <row r="201" x14ac:dyDescent="0.4"/>
    <row r="202" x14ac:dyDescent="0.4"/>
    <row r="203" x14ac:dyDescent="0.4"/>
    <row r="204" x14ac:dyDescent="0.4"/>
    <row r="205" x14ac:dyDescent="0.4"/>
    <row r="206" x14ac:dyDescent="0.4"/>
    <row r="207" x14ac:dyDescent="0.4"/>
    <row r="208" x14ac:dyDescent="0.4"/>
    <row r="209" x14ac:dyDescent="0.4"/>
    <row r="210" x14ac:dyDescent="0.4"/>
    <row r="211" x14ac:dyDescent="0.4"/>
    <row r="212" x14ac:dyDescent="0.4"/>
    <row r="213" x14ac:dyDescent="0.4"/>
    <row r="214" x14ac:dyDescent="0.4"/>
    <row r="215" x14ac:dyDescent="0.4"/>
    <row r="216" x14ac:dyDescent="0.4"/>
    <row r="217" x14ac:dyDescent="0.4"/>
    <row r="218" x14ac:dyDescent="0.4"/>
    <row r="219" x14ac:dyDescent="0.4"/>
    <row r="220" x14ac:dyDescent="0.4"/>
    <row r="221" x14ac:dyDescent="0.4"/>
    <row r="222" x14ac:dyDescent="0.4"/>
    <row r="223" x14ac:dyDescent="0.4"/>
    <row r="224" x14ac:dyDescent="0.4"/>
    <row r="225" x14ac:dyDescent="0.4"/>
    <row r="226" x14ac:dyDescent="0.4"/>
    <row r="227" x14ac:dyDescent="0.4"/>
    <row r="228" x14ac:dyDescent="0.4"/>
    <row r="229" x14ac:dyDescent="0.4"/>
    <row r="230" x14ac:dyDescent="0.4"/>
    <row r="231" x14ac:dyDescent="0.4"/>
    <row r="232" x14ac:dyDescent="0.4"/>
    <row r="233" x14ac:dyDescent="0.4"/>
    <row r="234" x14ac:dyDescent="0.4"/>
    <row r="235" x14ac:dyDescent="0.4"/>
    <row r="236" x14ac:dyDescent="0.4"/>
    <row r="237" x14ac:dyDescent="0.4"/>
    <row r="238" x14ac:dyDescent="0.4"/>
    <row r="239" x14ac:dyDescent="0.4"/>
    <row r="240" x14ac:dyDescent="0.4"/>
    <row r="241" x14ac:dyDescent="0.4"/>
    <row r="242" x14ac:dyDescent="0.4"/>
    <row r="243" x14ac:dyDescent="0.4"/>
    <row r="244" x14ac:dyDescent="0.4"/>
    <row r="245" x14ac:dyDescent="0.4"/>
    <row r="246" x14ac:dyDescent="0.4"/>
    <row r="247" x14ac:dyDescent="0.4"/>
    <row r="248" x14ac:dyDescent="0.4"/>
    <row r="249" x14ac:dyDescent="0.4"/>
    <row r="250" x14ac:dyDescent="0.4"/>
    <row r="251" x14ac:dyDescent="0.4"/>
    <row r="252" x14ac:dyDescent="0.4"/>
    <row r="253" x14ac:dyDescent="0.4"/>
    <row r="254" x14ac:dyDescent="0.4"/>
    <row r="255" x14ac:dyDescent="0.4"/>
    <row r="256" x14ac:dyDescent="0.4"/>
    <row r="257" x14ac:dyDescent="0.4"/>
    <row r="258" x14ac:dyDescent="0.4"/>
    <row r="259" x14ac:dyDescent="0.4"/>
    <row r="260" x14ac:dyDescent="0.4"/>
    <row r="261" x14ac:dyDescent="0.4"/>
    <row r="262" x14ac:dyDescent="0.4"/>
    <row r="263" x14ac:dyDescent="0.4"/>
    <row r="264" x14ac:dyDescent="0.4"/>
    <row r="265" x14ac:dyDescent="0.4"/>
    <row r="266" x14ac:dyDescent="0.4"/>
    <row r="267" x14ac:dyDescent="0.4"/>
    <row r="268" x14ac:dyDescent="0.4"/>
    <row r="269" x14ac:dyDescent="0.4"/>
    <row r="270" x14ac:dyDescent="0.4"/>
    <row r="271" x14ac:dyDescent="0.4"/>
    <row r="272" x14ac:dyDescent="0.4"/>
    <row r="273" x14ac:dyDescent="0.4"/>
    <row r="274" x14ac:dyDescent="0.4"/>
    <row r="275" x14ac:dyDescent="0.4"/>
    <row r="276" x14ac:dyDescent="0.4"/>
    <row r="277" x14ac:dyDescent="0.4"/>
    <row r="278" x14ac:dyDescent="0.4"/>
    <row r="279" x14ac:dyDescent="0.4"/>
    <row r="280" x14ac:dyDescent="0.4"/>
    <row r="281" x14ac:dyDescent="0.4"/>
    <row r="282" x14ac:dyDescent="0.4"/>
    <row r="283" x14ac:dyDescent="0.4"/>
    <row r="284" x14ac:dyDescent="0.4"/>
    <row r="285" x14ac:dyDescent="0.4"/>
    <row r="286" x14ac:dyDescent="0.4"/>
    <row r="287" x14ac:dyDescent="0.4"/>
    <row r="288" x14ac:dyDescent="0.4"/>
    <row r="289" x14ac:dyDescent="0.4"/>
    <row r="290" x14ac:dyDescent="0.4"/>
    <row r="291" x14ac:dyDescent="0.4"/>
    <row r="292" x14ac:dyDescent="0.4"/>
    <row r="293" x14ac:dyDescent="0.4"/>
    <row r="294" x14ac:dyDescent="0.4"/>
    <row r="295" x14ac:dyDescent="0.4"/>
    <row r="296" x14ac:dyDescent="0.4"/>
    <row r="297" x14ac:dyDescent="0.4"/>
    <row r="298" x14ac:dyDescent="0.4"/>
    <row r="299" x14ac:dyDescent="0.4"/>
    <row r="300" x14ac:dyDescent="0.4"/>
  </sheetData>
  <mergeCells count="3">
    <mergeCell ref="X18:AC18"/>
    <mergeCell ref="AH18:AM18"/>
    <mergeCell ref="X16:AS16"/>
  </mergeCells>
  <phoneticPr fontId="8" type="noConversion"/>
  <conditionalFormatting sqref="AV16:AW17">
    <cfRule type="expression" dxfId="886" priority="822">
      <formula>AU16=5</formula>
    </cfRule>
    <cfRule type="expression" dxfId="885" priority="823">
      <formula>AU16=4</formula>
    </cfRule>
    <cfRule type="expression" dxfId="884" priority="824" stopIfTrue="1">
      <formula>AU16=3</formula>
    </cfRule>
    <cfRule type="expression" dxfId="883" priority="825" stopIfTrue="1">
      <formula>AU16=2</formula>
    </cfRule>
    <cfRule type="expression" dxfId="882" priority="826" stopIfTrue="1">
      <formula>AU16=1</formula>
    </cfRule>
  </conditionalFormatting>
  <conditionalFormatting sqref="BA16:BB17">
    <cfRule type="expression" dxfId="881" priority="782">
      <formula>AZ16=5</formula>
    </cfRule>
    <cfRule type="expression" dxfId="880" priority="783">
      <formula>AZ16=4</formula>
    </cfRule>
    <cfRule type="expression" dxfId="879" priority="784" stopIfTrue="1">
      <formula>AZ16=3</formula>
    </cfRule>
    <cfRule type="expression" dxfId="878" priority="785" stopIfTrue="1">
      <formula>AZ16=2</formula>
    </cfRule>
    <cfRule type="expression" dxfId="877" priority="786" stopIfTrue="1">
      <formula>AZ16=1</formula>
    </cfRule>
  </conditionalFormatting>
  <conditionalFormatting sqref="BF16:BG17">
    <cfRule type="expression" dxfId="876" priority="742">
      <formula>BE16=5</formula>
    </cfRule>
    <cfRule type="expression" dxfId="875" priority="743">
      <formula>BE16=4</formula>
    </cfRule>
    <cfRule type="expression" dxfId="874" priority="744" stopIfTrue="1">
      <formula>BE16=3</formula>
    </cfRule>
    <cfRule type="expression" dxfId="873" priority="745" stopIfTrue="1">
      <formula>BE16=2</formula>
    </cfRule>
    <cfRule type="expression" dxfId="872" priority="746" stopIfTrue="1">
      <formula>BE16=1</formula>
    </cfRule>
  </conditionalFormatting>
  <conditionalFormatting sqref="BK16:BL17">
    <cfRule type="expression" dxfId="871" priority="727">
      <formula>BJ16=5</formula>
    </cfRule>
    <cfRule type="expression" dxfId="870" priority="728">
      <formula>BJ16=4</formula>
    </cfRule>
    <cfRule type="expression" dxfId="869" priority="729" stopIfTrue="1">
      <formula>BJ16=3</formula>
    </cfRule>
    <cfRule type="expression" dxfId="868" priority="730" stopIfTrue="1">
      <formula>BJ16=2</formula>
    </cfRule>
    <cfRule type="expression" dxfId="867" priority="731" stopIfTrue="1">
      <formula>BJ16=1</formula>
    </cfRule>
  </conditionalFormatting>
  <conditionalFormatting sqref="BP16:BQ17">
    <cfRule type="expression" dxfId="866" priority="712">
      <formula>BO16=5</formula>
    </cfRule>
    <cfRule type="expression" dxfId="865" priority="713">
      <formula>BO16=4</formula>
    </cfRule>
    <cfRule type="expression" dxfId="864" priority="714" stopIfTrue="1">
      <formula>BO16=3</formula>
    </cfRule>
    <cfRule type="expression" dxfId="863" priority="715" stopIfTrue="1">
      <formula>BO16=2</formula>
    </cfRule>
    <cfRule type="expression" dxfId="862" priority="716" stopIfTrue="1">
      <formula>BO16=1</formula>
    </cfRule>
  </conditionalFormatting>
  <conditionalFormatting sqref="AX20 AX22:AX30 BC22:BC30 BH22:BH30 BM22:BM30 BR22:BR30">
    <cfRule type="expression" dxfId="861" priority="677">
      <formula>AU20=5</formula>
    </cfRule>
    <cfRule type="expression" dxfId="860" priority="678">
      <formula>AU20=4</formula>
    </cfRule>
    <cfRule type="expression" dxfId="859" priority="679" stopIfTrue="1">
      <formula>AU20=3</formula>
    </cfRule>
    <cfRule type="expression" dxfId="858" priority="680" stopIfTrue="1">
      <formula>AU20=2</formula>
    </cfRule>
    <cfRule type="expression" dxfId="857" priority="681" stopIfTrue="1">
      <formula>AU20=1</formula>
    </cfRule>
  </conditionalFormatting>
  <conditionalFormatting sqref="BC20">
    <cfRule type="expression" dxfId="856" priority="667">
      <formula>AZ20=5</formula>
    </cfRule>
    <cfRule type="expression" dxfId="855" priority="668">
      <formula>AZ20=4</formula>
    </cfRule>
    <cfRule type="expression" dxfId="854" priority="669" stopIfTrue="1">
      <formula>AZ20=3</formula>
    </cfRule>
    <cfRule type="expression" dxfId="853" priority="670" stopIfTrue="1">
      <formula>AZ20=2</formula>
    </cfRule>
    <cfRule type="expression" dxfId="852" priority="671" stopIfTrue="1">
      <formula>AZ20=1</formula>
    </cfRule>
  </conditionalFormatting>
  <conditionalFormatting sqref="BH20">
    <cfRule type="expression" dxfId="851" priority="657">
      <formula>BE20=5</formula>
    </cfRule>
    <cfRule type="expression" dxfId="850" priority="658">
      <formula>BE20=4</formula>
    </cfRule>
    <cfRule type="expression" dxfId="849" priority="659" stopIfTrue="1">
      <formula>BE20=3</formula>
    </cfRule>
    <cfRule type="expression" dxfId="848" priority="660" stopIfTrue="1">
      <formula>BE20=2</formula>
    </cfRule>
    <cfRule type="expression" dxfId="847" priority="661" stopIfTrue="1">
      <formula>BE20=1</formula>
    </cfRule>
  </conditionalFormatting>
  <conditionalFormatting sqref="BM20">
    <cfRule type="expression" dxfId="846" priority="647">
      <formula>BJ20=5</formula>
    </cfRule>
    <cfRule type="expression" dxfId="845" priority="648">
      <formula>BJ20=4</formula>
    </cfRule>
    <cfRule type="expression" dxfId="844" priority="649" stopIfTrue="1">
      <formula>BJ20=3</formula>
    </cfRule>
    <cfRule type="expression" dxfId="843" priority="650" stopIfTrue="1">
      <formula>BJ20=2</formula>
    </cfRule>
    <cfRule type="expression" dxfId="842" priority="651" stopIfTrue="1">
      <formula>BJ20=1</formula>
    </cfRule>
  </conditionalFormatting>
  <conditionalFormatting sqref="BR20">
    <cfRule type="expression" dxfId="841" priority="637">
      <formula>BO20=5</formula>
    </cfRule>
    <cfRule type="expression" dxfId="840" priority="638">
      <formula>BO20=4</formula>
    </cfRule>
    <cfRule type="expression" dxfId="839" priority="639" stopIfTrue="1">
      <formula>BO20=3</formula>
    </cfRule>
    <cfRule type="expression" dxfId="838" priority="640" stopIfTrue="1">
      <formula>BO20=2</formula>
    </cfRule>
    <cfRule type="expression" dxfId="837" priority="641" stopIfTrue="1">
      <formula>BO20=1</formula>
    </cfRule>
  </conditionalFormatting>
  <conditionalFormatting sqref="AD20">
    <cfRule type="expression" dxfId="836" priority="532">
      <formula>AA20=0</formula>
    </cfRule>
    <cfRule type="expression" dxfId="835" priority="533">
      <formula>AA20=1</formula>
    </cfRule>
    <cfRule type="expression" dxfId="834" priority="534">
      <formula>AA20=2</formula>
    </cfRule>
    <cfRule type="expression" dxfId="833" priority="535">
      <formula>AA20=3</formula>
    </cfRule>
    <cfRule type="expression" dxfId="832" priority="536">
      <formula>AA20=4</formula>
    </cfRule>
    <cfRule type="expression" dxfId="831" priority="537">
      <formula>AA20=5</formula>
    </cfRule>
  </conditionalFormatting>
  <conditionalFormatting sqref="AS17">
    <cfRule type="expression" dxfId="830" priority="963">
      <formula>V17=0</formula>
    </cfRule>
  </conditionalFormatting>
  <conditionalFormatting sqref="AS17">
    <cfRule type="expression" dxfId="829" priority="964">
      <formula>V17=1</formula>
    </cfRule>
  </conditionalFormatting>
  <conditionalFormatting sqref="AS17">
    <cfRule type="expression" dxfId="828" priority="965">
      <formula>V17=2</formula>
    </cfRule>
  </conditionalFormatting>
  <conditionalFormatting sqref="AS17">
    <cfRule type="expression" dxfId="827" priority="966">
      <formula>V17=3</formula>
    </cfRule>
  </conditionalFormatting>
  <conditionalFormatting sqref="AS17">
    <cfRule type="expression" dxfId="826" priority="967">
      <formula>V17=4</formula>
    </cfRule>
  </conditionalFormatting>
  <conditionalFormatting sqref="AS17">
    <cfRule type="expression" dxfId="825" priority="968">
      <formula>V17=5</formula>
    </cfRule>
  </conditionalFormatting>
  <conditionalFormatting sqref="AX18">
    <cfRule type="expression" dxfId="824" priority="434">
      <formula>AU18=5</formula>
    </cfRule>
    <cfRule type="expression" dxfId="823" priority="435">
      <formula>AU18=4</formula>
    </cfRule>
    <cfRule type="expression" dxfId="822" priority="436" stopIfTrue="1">
      <formula>AU18=3</formula>
    </cfRule>
    <cfRule type="expression" dxfId="821" priority="437" stopIfTrue="1">
      <formula>AU18=2</formula>
    </cfRule>
    <cfRule type="expression" dxfId="820" priority="438" stopIfTrue="1">
      <formula>AU18=1</formula>
    </cfRule>
  </conditionalFormatting>
  <conditionalFormatting sqref="BC18">
    <cfRule type="expression" dxfId="819" priority="429">
      <formula>AZ18=5</formula>
    </cfRule>
    <cfRule type="expression" dxfId="818" priority="430">
      <formula>AZ18=4</formula>
    </cfRule>
    <cfRule type="expression" dxfId="817" priority="431" stopIfTrue="1">
      <formula>AZ18=3</formula>
    </cfRule>
    <cfRule type="expression" dxfId="816" priority="432" stopIfTrue="1">
      <formula>AZ18=2</formula>
    </cfRule>
    <cfRule type="expression" dxfId="815" priority="433" stopIfTrue="1">
      <formula>AZ18=1</formula>
    </cfRule>
  </conditionalFormatting>
  <conditionalFormatting sqref="BH18">
    <cfRule type="expression" dxfId="814" priority="424">
      <formula>BE18=5</formula>
    </cfRule>
    <cfRule type="expression" dxfId="813" priority="425">
      <formula>BE18=4</formula>
    </cfRule>
    <cfRule type="expression" dxfId="812" priority="426" stopIfTrue="1">
      <formula>BE18=3</formula>
    </cfRule>
    <cfRule type="expression" dxfId="811" priority="427" stopIfTrue="1">
      <formula>BE18=2</formula>
    </cfRule>
    <cfRule type="expression" dxfId="810" priority="428" stopIfTrue="1">
      <formula>BE18=1</formula>
    </cfRule>
  </conditionalFormatting>
  <conditionalFormatting sqref="BM18">
    <cfRule type="expression" dxfId="809" priority="419">
      <formula>BJ18=5</formula>
    </cfRule>
    <cfRule type="expression" dxfId="808" priority="420">
      <formula>BJ18=4</formula>
    </cfRule>
    <cfRule type="expression" dxfId="807" priority="421" stopIfTrue="1">
      <formula>BJ18=3</formula>
    </cfRule>
    <cfRule type="expression" dxfId="806" priority="422" stopIfTrue="1">
      <formula>BJ18=2</formula>
    </cfRule>
    <cfRule type="expression" dxfId="805" priority="423" stopIfTrue="1">
      <formula>BJ18=1</formula>
    </cfRule>
  </conditionalFormatting>
  <conditionalFormatting sqref="BR18">
    <cfRule type="expression" dxfId="804" priority="414">
      <formula>BO18=5</formula>
    </cfRule>
    <cfRule type="expression" dxfId="803" priority="415">
      <formula>BO18=4</formula>
    </cfRule>
    <cfRule type="expression" dxfId="802" priority="416" stopIfTrue="1">
      <formula>BO18=3</formula>
    </cfRule>
    <cfRule type="expression" dxfId="801" priority="417" stopIfTrue="1">
      <formula>BO18=2</formula>
    </cfRule>
    <cfRule type="expression" dxfId="800" priority="418" stopIfTrue="1">
      <formula>BO18=1</formula>
    </cfRule>
  </conditionalFormatting>
  <conditionalFormatting sqref="AR18">
    <cfRule type="expression" dxfId="799" priority="370">
      <formula>AP18=5</formula>
    </cfRule>
    <cfRule type="expression" dxfId="798" priority="371">
      <formula>AP18=4</formula>
    </cfRule>
    <cfRule type="expression" dxfId="797" priority="372" stopIfTrue="1">
      <formula>AP18=3</formula>
    </cfRule>
    <cfRule type="expression" dxfId="796" priority="373" stopIfTrue="1">
      <formula>AP18=2</formula>
    </cfRule>
    <cfRule type="expression" dxfId="795" priority="374" stopIfTrue="1">
      <formula>AP18=1</formula>
    </cfRule>
  </conditionalFormatting>
  <conditionalFormatting sqref="AS18">
    <cfRule type="expression" dxfId="794" priority="375">
      <formula>AP18=0</formula>
    </cfRule>
    <cfRule type="expression" dxfId="793" priority="376">
      <formula>AP18=1</formula>
    </cfRule>
    <cfRule type="expression" dxfId="792" priority="377">
      <formula>AP18=2</formula>
    </cfRule>
    <cfRule type="expression" dxfId="791" priority="378">
      <formula>AP18=3</formula>
    </cfRule>
    <cfRule type="expression" dxfId="790" priority="379">
      <formula>AP18=4</formula>
    </cfRule>
    <cfRule type="expression" dxfId="789" priority="380">
      <formula>AP18=5</formula>
    </cfRule>
  </conditionalFormatting>
  <conditionalFormatting sqref="Y18 AI22:AI29">
    <cfRule type="expression" dxfId="788" priority="1102">
      <formula>X18=0</formula>
    </cfRule>
    <cfRule type="expression" dxfId="787" priority="1103">
      <formula>X18=1</formula>
    </cfRule>
    <cfRule type="expression" dxfId="786" priority="1104">
      <formula>X18=2</formula>
    </cfRule>
    <cfRule type="expression" dxfId="785" priority="1105">
      <formula>X18=3</formula>
    </cfRule>
    <cfRule type="expression" dxfId="784" priority="1106">
      <formula>X18=4</formula>
    </cfRule>
    <cfRule type="expression" dxfId="783" priority="1107">
      <formula>X18=5</formula>
    </cfRule>
    <cfRule type="expression" dxfId="782" priority="1108">
      <formula>X18=6</formula>
    </cfRule>
  </conditionalFormatting>
  <conditionalFormatting sqref="Z18">
    <cfRule type="expression" dxfId="781" priority="1109">
      <formula>Y18=0</formula>
    </cfRule>
    <cfRule type="expression" dxfId="780" priority="1110">
      <formula>Y18=1</formula>
    </cfRule>
    <cfRule type="expression" dxfId="779" priority="1111">
      <formula>Y18=2</formula>
    </cfRule>
    <cfRule type="expression" dxfId="778" priority="1112">
      <formula>Y18=3</formula>
    </cfRule>
    <cfRule type="expression" dxfId="777" priority="1113">
      <formula>Y18=4</formula>
    </cfRule>
    <cfRule type="expression" dxfId="776" priority="1114">
      <formula>Y18=5</formula>
    </cfRule>
    <cfRule type="expression" dxfId="775" priority="1115">
      <formula>Y18=6</formula>
    </cfRule>
  </conditionalFormatting>
  <conditionalFormatting sqref="AA18">
    <cfRule type="expression" dxfId="774" priority="1116">
      <formula>Z18=0</formula>
    </cfRule>
    <cfRule type="expression" dxfId="773" priority="1117">
      <formula>Z18=1</formula>
    </cfRule>
    <cfRule type="expression" dxfId="772" priority="1118">
      <formula>Z18=2</formula>
    </cfRule>
    <cfRule type="expression" dxfId="771" priority="1119">
      <formula>Z18=3</formula>
    </cfRule>
    <cfRule type="expression" dxfId="770" priority="1120">
      <formula>Z18=4</formula>
    </cfRule>
    <cfRule type="expression" dxfId="769" priority="1121">
      <formula>Z18=5</formula>
    </cfRule>
    <cfRule type="expression" dxfId="768" priority="1122">
      <formula>Z18=6</formula>
    </cfRule>
  </conditionalFormatting>
  <conditionalFormatting sqref="AC18 AH22:AH29">
    <cfRule type="expression" dxfId="767" priority="1123">
      <formula>AA18=0</formula>
    </cfRule>
    <cfRule type="expression" dxfId="766" priority="1124">
      <formula>AA18=1</formula>
    </cfRule>
    <cfRule type="expression" dxfId="765" priority="1125">
      <formula>AA18=2</formula>
    </cfRule>
    <cfRule type="expression" dxfId="764" priority="1126">
      <formula>AA18=3</formula>
    </cfRule>
    <cfRule type="expression" dxfId="763" priority="1127">
      <formula>AA18=4</formula>
    </cfRule>
    <cfRule type="expression" dxfId="762" priority="1128">
      <formula>AA18=5</formula>
    </cfRule>
    <cfRule type="expression" dxfId="761" priority="1129">
      <formula>AA18=6</formula>
    </cfRule>
  </conditionalFormatting>
  <conditionalFormatting sqref="AD18">
    <cfRule type="expression" dxfId="760" priority="1130">
      <formula>AC18=0</formula>
    </cfRule>
    <cfRule type="expression" dxfId="759" priority="1131">
      <formula>AC18=1</formula>
    </cfRule>
    <cfRule type="expression" dxfId="758" priority="1132">
      <formula>AC18=2</formula>
    </cfRule>
    <cfRule type="expression" dxfId="757" priority="1133">
      <formula>AC18=3</formula>
    </cfRule>
    <cfRule type="expression" dxfId="756" priority="1134">
      <formula>AC18=4</formula>
    </cfRule>
    <cfRule type="expression" dxfId="755" priority="1135">
      <formula>AC18=5</formula>
    </cfRule>
    <cfRule type="expression" dxfId="754" priority="1136">
      <formula>AC18=6</formula>
    </cfRule>
  </conditionalFormatting>
  <conditionalFormatting sqref="AH18">
    <cfRule type="expression" dxfId="753" priority="1137">
      <formula>AF18=0</formula>
    </cfRule>
    <cfRule type="expression" dxfId="752" priority="1138">
      <formula>AF18=1</formula>
    </cfRule>
    <cfRule type="expression" dxfId="751" priority="1139">
      <formula>AF18=2</formula>
    </cfRule>
    <cfRule type="expression" dxfId="750" priority="1140">
      <formula>AF18=3</formula>
    </cfRule>
    <cfRule type="expression" dxfId="749" priority="1141">
      <formula>AF18=4</formula>
    </cfRule>
    <cfRule type="expression" dxfId="748" priority="1142">
      <formula>AF18=5</formula>
    </cfRule>
    <cfRule type="expression" dxfId="747" priority="1143">
      <formula>AF18=6</formula>
    </cfRule>
  </conditionalFormatting>
  <conditionalFormatting sqref="AI18">
    <cfRule type="expression" dxfId="746" priority="1144">
      <formula>AH18=0</formula>
    </cfRule>
    <cfRule type="expression" dxfId="745" priority="1145">
      <formula>AH18=1</formula>
    </cfRule>
    <cfRule type="expression" dxfId="744" priority="1146">
      <formula>AH18=2</formula>
    </cfRule>
    <cfRule type="expression" dxfId="743" priority="1147">
      <formula>AH18=3</formula>
    </cfRule>
    <cfRule type="expression" dxfId="742" priority="1148">
      <formula>AH18=4</formula>
    </cfRule>
    <cfRule type="expression" dxfId="741" priority="1149">
      <formula>AH18=5</formula>
    </cfRule>
    <cfRule type="expression" dxfId="740" priority="1150">
      <formula>AH18=6</formula>
    </cfRule>
  </conditionalFormatting>
  <conditionalFormatting sqref="AJ18">
    <cfRule type="expression" dxfId="739" priority="1151">
      <formula>AI18=0</formula>
    </cfRule>
    <cfRule type="expression" dxfId="738" priority="1152">
      <formula>AI18=1</formula>
    </cfRule>
    <cfRule type="expression" dxfId="737" priority="1153">
      <formula>AI18=2</formula>
    </cfRule>
    <cfRule type="expression" dxfId="736" priority="1154">
      <formula>AI18=3</formula>
    </cfRule>
    <cfRule type="expression" dxfId="735" priority="1155">
      <formula>AI18=4</formula>
    </cfRule>
    <cfRule type="expression" dxfId="734" priority="1156">
      <formula>AI18=5</formula>
    </cfRule>
    <cfRule type="expression" dxfId="733" priority="1157">
      <formula>AI18=6</formula>
    </cfRule>
  </conditionalFormatting>
  <conditionalFormatting sqref="AK18">
    <cfRule type="expression" dxfId="732" priority="1158">
      <formula>AJ18=0</formula>
    </cfRule>
    <cfRule type="expression" dxfId="731" priority="1159">
      <formula>AJ18=1</formula>
    </cfRule>
    <cfRule type="expression" dxfId="730" priority="1160">
      <formula>AJ18=2</formula>
    </cfRule>
    <cfRule type="expression" dxfId="729" priority="1161">
      <formula>AJ18=3</formula>
    </cfRule>
    <cfRule type="expression" dxfId="728" priority="1162">
      <formula>AJ18=4</formula>
    </cfRule>
    <cfRule type="expression" dxfId="727" priority="1163">
      <formula>AJ18=5</formula>
    </cfRule>
    <cfRule type="expression" dxfId="726" priority="1164">
      <formula>AJ18=6</formula>
    </cfRule>
  </conditionalFormatting>
  <conditionalFormatting sqref="AM18">
    <cfRule type="expression" dxfId="725" priority="1165">
      <formula>AK18=0</formula>
    </cfRule>
  </conditionalFormatting>
  <conditionalFormatting sqref="AM18">
    <cfRule type="expression" dxfId="724" priority="1166">
      <formula>AK18=1</formula>
    </cfRule>
  </conditionalFormatting>
  <conditionalFormatting sqref="AM18">
    <cfRule type="expression" dxfId="723" priority="1167">
      <formula>AK18=2</formula>
    </cfRule>
  </conditionalFormatting>
  <conditionalFormatting sqref="AM18">
    <cfRule type="expression" dxfId="722" priority="1168">
      <formula>AK18=3</formula>
    </cfRule>
  </conditionalFormatting>
  <conditionalFormatting sqref="AM18">
    <cfRule type="expression" dxfId="721" priority="1169">
      <formula>AK18=4</formula>
    </cfRule>
  </conditionalFormatting>
  <conditionalFormatting sqref="AM18">
    <cfRule type="expression" dxfId="720" priority="1170">
      <formula>AK18=5</formula>
    </cfRule>
  </conditionalFormatting>
  <conditionalFormatting sqref="AM18">
    <cfRule type="expression" dxfId="719" priority="1171">
      <formula>AK18=6</formula>
    </cfRule>
  </conditionalFormatting>
  <conditionalFormatting sqref="AN18 AG22:AG29">
    <cfRule type="expression" dxfId="718" priority="1172">
      <formula>AF18=0</formula>
    </cfRule>
  </conditionalFormatting>
  <conditionalFormatting sqref="AN18 AG22:AG29">
    <cfRule type="expression" dxfId="717" priority="1173">
      <formula>AF18=1</formula>
    </cfRule>
  </conditionalFormatting>
  <conditionalFormatting sqref="AN18 AG22:AG29">
    <cfRule type="expression" dxfId="716" priority="1174">
      <formula>AF18=2</formula>
    </cfRule>
  </conditionalFormatting>
  <conditionalFormatting sqref="AN18 AG22:AG29">
    <cfRule type="expression" dxfId="715" priority="1175">
      <formula>AF18=3</formula>
    </cfRule>
  </conditionalFormatting>
  <conditionalFormatting sqref="AN18 AG22:AG29">
    <cfRule type="expression" dxfId="714" priority="1176">
      <formula>AF18=4</formula>
    </cfRule>
  </conditionalFormatting>
  <conditionalFormatting sqref="AN18 AG22:AG29">
    <cfRule type="expression" dxfId="713" priority="1177">
      <formula>AF18=5</formula>
    </cfRule>
  </conditionalFormatting>
  <conditionalFormatting sqref="AN18 AG22:AG29">
    <cfRule type="expression" dxfId="712" priority="1178">
      <formula>AF18=6</formula>
    </cfRule>
  </conditionalFormatting>
  <conditionalFormatting sqref="X20">
    <cfRule type="expression" dxfId="711" priority="1179">
      <formula>V20=0</formula>
    </cfRule>
    <cfRule type="expression" dxfId="710" priority="1180">
      <formula>V20=1</formula>
    </cfRule>
    <cfRule type="expression" dxfId="709" priority="1181">
      <formula>V20=2</formula>
    </cfRule>
    <cfRule type="expression" dxfId="708" priority="1182">
      <formula>V20=3</formula>
    </cfRule>
    <cfRule type="expression" dxfId="707" priority="1183">
      <formula>V20=4</formula>
    </cfRule>
    <cfRule type="expression" dxfId="706" priority="1184">
      <formula>V20=5</formula>
    </cfRule>
    <cfRule type="expression" dxfId="705" priority="1185">
      <formula>V20=6</formula>
    </cfRule>
  </conditionalFormatting>
  <conditionalFormatting sqref="Y20">
    <cfRule type="expression" dxfId="704" priority="1186">
      <formula>X20=0</formula>
    </cfRule>
    <cfRule type="expression" dxfId="703" priority="1187">
      <formula>X20=1</formula>
    </cfRule>
    <cfRule type="expression" dxfId="702" priority="1188">
      <formula>X20=2</formula>
    </cfRule>
    <cfRule type="expression" dxfId="701" priority="1189">
      <formula>X20=3</formula>
    </cfRule>
    <cfRule type="expression" dxfId="700" priority="1190">
      <formula>X20=4</formula>
    </cfRule>
    <cfRule type="expression" dxfId="699" priority="1191">
      <formula>X20=5</formula>
    </cfRule>
    <cfRule type="expression" dxfId="698" priority="1192">
      <formula>X20=6</formula>
    </cfRule>
  </conditionalFormatting>
  <conditionalFormatting sqref="X22:X26">
    <cfRule type="expression" dxfId="697" priority="1193">
      <formula>V22=0</formula>
    </cfRule>
    <cfRule type="expression" dxfId="696" priority="1194">
      <formula>V22=1</formula>
    </cfRule>
    <cfRule type="expression" dxfId="695" priority="1195">
      <formula>V22=2</formula>
    </cfRule>
    <cfRule type="expression" dxfId="694" priority="1196">
      <formula>V22=3</formula>
    </cfRule>
    <cfRule type="expression" dxfId="693" priority="1197">
      <formula>V22=4</formula>
    </cfRule>
    <cfRule type="expression" dxfId="692" priority="1198">
      <formula>V22=5</formula>
    </cfRule>
    <cfRule type="expression" dxfId="691" priority="1199">
      <formula>V22=6</formula>
    </cfRule>
  </conditionalFormatting>
  <conditionalFormatting sqref="Y22:Y30">
    <cfRule type="expression" dxfId="690" priority="1200">
      <formula>X22=0</formula>
    </cfRule>
    <cfRule type="expression" dxfId="689" priority="1201">
      <formula>X22=1</formula>
    </cfRule>
    <cfRule type="expression" dxfId="688" priority="1202">
      <formula>X22=2</formula>
    </cfRule>
    <cfRule type="expression" dxfId="687" priority="1203">
      <formula>X22=3</formula>
    </cfRule>
    <cfRule type="expression" dxfId="686" priority="1204">
      <formula>X22=4</formula>
    </cfRule>
    <cfRule type="expression" dxfId="685" priority="1205">
      <formula>X22=5</formula>
    </cfRule>
    <cfRule type="expression" dxfId="684" priority="1206">
      <formula>X22=6</formula>
    </cfRule>
  </conditionalFormatting>
  <conditionalFormatting sqref="AD22:AD30">
    <cfRule type="expression" dxfId="683" priority="363">
      <formula>AC22=0</formula>
    </cfRule>
    <cfRule type="expression" dxfId="682" priority="364">
      <formula>AC22=1</formula>
    </cfRule>
    <cfRule type="expression" dxfId="681" priority="365">
      <formula>AC22=2</formula>
    </cfRule>
    <cfRule type="expression" dxfId="680" priority="366">
      <formula>AC22=3</formula>
    </cfRule>
    <cfRule type="expression" dxfId="679" priority="367">
      <formula>AC22=4</formula>
    </cfRule>
    <cfRule type="expression" dxfId="678" priority="368">
      <formula>AC22=5</formula>
    </cfRule>
    <cfRule type="expression" dxfId="677" priority="369">
      <formula>AC22=6</formula>
    </cfRule>
  </conditionalFormatting>
  <conditionalFormatting sqref="AN22:AN25">
    <cfRule type="expression" dxfId="676" priority="335">
      <formula>AM22=0</formula>
    </cfRule>
    <cfRule type="expression" dxfId="675" priority="336">
      <formula>AM22=1</formula>
    </cfRule>
    <cfRule type="expression" dxfId="674" priority="337">
      <formula>AM22=2</formula>
    </cfRule>
    <cfRule type="expression" dxfId="673" priority="338">
      <formula>AM22=3</formula>
    </cfRule>
    <cfRule type="expression" dxfId="672" priority="339">
      <formula>AM22=4</formula>
    </cfRule>
    <cfRule type="expression" dxfId="671" priority="340">
      <formula>AM22=5</formula>
    </cfRule>
    <cfRule type="expression" dxfId="670" priority="341">
      <formula>AM22=6</formula>
    </cfRule>
  </conditionalFormatting>
  <conditionalFormatting sqref="AM20">
    <cfRule type="expression" dxfId="669" priority="1207">
      <formula>AK20=0</formula>
    </cfRule>
  </conditionalFormatting>
  <conditionalFormatting sqref="AM20">
    <cfRule type="expression" dxfId="668" priority="1208">
      <formula>AK20=1</formula>
    </cfRule>
  </conditionalFormatting>
  <conditionalFormatting sqref="AM20">
    <cfRule type="expression" dxfId="667" priority="1209">
      <formula>AK20=2</formula>
    </cfRule>
  </conditionalFormatting>
  <conditionalFormatting sqref="AM20">
    <cfRule type="expression" dxfId="666" priority="1210">
      <formula>AK20=3</formula>
    </cfRule>
  </conditionalFormatting>
  <conditionalFormatting sqref="AM20">
    <cfRule type="expression" dxfId="665" priority="1211">
      <formula>AK20=4</formula>
    </cfRule>
  </conditionalFormatting>
  <conditionalFormatting sqref="AM20">
    <cfRule type="expression" dxfId="664" priority="1212">
      <formula>AK20=5</formula>
    </cfRule>
  </conditionalFormatting>
  <conditionalFormatting sqref="AM20">
    <cfRule type="expression" dxfId="663" priority="1213">
      <formula>AK20=6</formula>
    </cfRule>
  </conditionalFormatting>
  <conditionalFormatting sqref="AN20">
    <cfRule type="expression" dxfId="662" priority="1214">
      <formula>AM20=0</formula>
    </cfRule>
  </conditionalFormatting>
  <conditionalFormatting sqref="AN20">
    <cfRule type="expression" dxfId="661" priority="1215">
      <formula>AM20=1</formula>
    </cfRule>
  </conditionalFormatting>
  <conditionalFormatting sqref="AN20">
    <cfRule type="expression" dxfId="660" priority="1216">
      <formula>AM20=2</formula>
    </cfRule>
  </conditionalFormatting>
  <conditionalFormatting sqref="AN20">
    <cfRule type="expression" dxfId="659" priority="1217">
      <formula>AM20=3</formula>
    </cfRule>
  </conditionalFormatting>
  <conditionalFormatting sqref="AN20">
    <cfRule type="expression" dxfId="658" priority="1218">
      <formula>AM20=4</formula>
    </cfRule>
  </conditionalFormatting>
  <conditionalFormatting sqref="AN20">
    <cfRule type="expression" dxfId="657" priority="1219">
      <formula>AM20=5</formula>
    </cfRule>
  </conditionalFormatting>
  <conditionalFormatting sqref="AN20">
    <cfRule type="expression" dxfId="656" priority="1220">
      <formula>AM20=6</formula>
    </cfRule>
  </conditionalFormatting>
  <conditionalFormatting sqref="AH20">
    <cfRule type="expression" dxfId="655" priority="303">
      <formula>AF20=0</formula>
    </cfRule>
  </conditionalFormatting>
  <conditionalFormatting sqref="AH20">
    <cfRule type="expression" dxfId="654" priority="304">
      <formula>AF20=1</formula>
    </cfRule>
  </conditionalFormatting>
  <conditionalFormatting sqref="AH20">
    <cfRule type="expression" dxfId="653" priority="305">
      <formula>AF20=2</formula>
    </cfRule>
  </conditionalFormatting>
  <conditionalFormatting sqref="AH20">
    <cfRule type="expression" dxfId="652" priority="306">
      <formula>AF20=3</formula>
    </cfRule>
  </conditionalFormatting>
  <conditionalFormatting sqref="AH20">
    <cfRule type="expression" dxfId="651" priority="307">
      <formula>AF20=4</formula>
    </cfRule>
  </conditionalFormatting>
  <conditionalFormatting sqref="AH20">
    <cfRule type="expression" dxfId="650" priority="308">
      <formula>AF20=5</formula>
    </cfRule>
  </conditionalFormatting>
  <conditionalFormatting sqref="AH20">
    <cfRule type="expression" dxfId="649" priority="309">
      <formula>AF20=6</formula>
    </cfRule>
  </conditionalFormatting>
  <conditionalFormatting sqref="AI20">
    <cfRule type="expression" dxfId="648" priority="310">
      <formula>AH20=0</formula>
    </cfRule>
  </conditionalFormatting>
  <conditionalFormatting sqref="AI20">
    <cfRule type="expression" dxfId="647" priority="311">
      <formula>AH20=1</formula>
    </cfRule>
  </conditionalFormatting>
  <conditionalFormatting sqref="AI20">
    <cfRule type="expression" dxfId="646" priority="312">
      <formula>AH20=2</formula>
    </cfRule>
  </conditionalFormatting>
  <conditionalFormatting sqref="AI20">
    <cfRule type="expression" dxfId="645" priority="313">
      <formula>AH20=3</formula>
    </cfRule>
  </conditionalFormatting>
  <conditionalFormatting sqref="AI20">
    <cfRule type="expression" dxfId="644" priority="314">
      <formula>AH20=4</formula>
    </cfRule>
  </conditionalFormatting>
  <conditionalFormatting sqref="AI20">
    <cfRule type="expression" dxfId="643" priority="315">
      <formula>AH20=5</formula>
    </cfRule>
  </conditionalFormatting>
  <conditionalFormatting sqref="AI20">
    <cfRule type="expression" dxfId="642" priority="316">
      <formula>AH20=6</formula>
    </cfRule>
  </conditionalFormatting>
  <conditionalFormatting sqref="X17">
    <cfRule type="expression" dxfId="641" priority="1981">
      <formula>V17=5</formula>
    </cfRule>
    <cfRule type="expression" dxfId="640" priority="1982">
      <formula>V17=4</formula>
    </cfRule>
    <cfRule type="expression" dxfId="639" priority="1983" stopIfTrue="1">
      <formula>V17=3</formula>
    </cfRule>
    <cfRule type="expression" dxfId="638" priority="1984" stopIfTrue="1">
      <formula>V17=2</formula>
    </cfRule>
    <cfRule type="expression" dxfId="637" priority="1985" stopIfTrue="1">
      <formula>V17=1</formula>
    </cfRule>
  </conditionalFormatting>
  <conditionalFormatting sqref="W20">
    <cfRule type="expression" dxfId="636" priority="1986">
      <formula>V20=0</formula>
    </cfRule>
  </conditionalFormatting>
  <conditionalFormatting sqref="W20">
    <cfRule type="expression" dxfId="635" priority="1987">
      <formula>V20=1</formula>
    </cfRule>
  </conditionalFormatting>
  <conditionalFormatting sqref="W20">
    <cfRule type="expression" dxfId="634" priority="1988">
      <formula>V20=2</formula>
    </cfRule>
  </conditionalFormatting>
  <conditionalFormatting sqref="W20">
    <cfRule type="expression" dxfId="633" priority="1989">
      <formula>V20=3</formula>
    </cfRule>
  </conditionalFormatting>
  <conditionalFormatting sqref="W20">
    <cfRule type="expression" dxfId="632" priority="1990">
      <formula>V20=4</formula>
    </cfRule>
  </conditionalFormatting>
  <conditionalFormatting sqref="W20">
    <cfRule type="expression" dxfId="631" priority="1991">
      <formula>V20=5</formula>
    </cfRule>
  </conditionalFormatting>
  <conditionalFormatting sqref="W20">
    <cfRule type="expression" dxfId="630" priority="1992">
      <formula>V20=6</formula>
    </cfRule>
  </conditionalFormatting>
  <conditionalFormatting sqref="W22:W30">
    <cfRule type="expression" dxfId="629" priority="268">
      <formula>V22=0</formula>
    </cfRule>
  </conditionalFormatting>
  <conditionalFormatting sqref="W22:W30">
    <cfRule type="expression" dxfId="628" priority="269">
      <formula>V22=1</formula>
    </cfRule>
  </conditionalFormatting>
  <conditionalFormatting sqref="W22:W30">
    <cfRule type="expression" dxfId="627" priority="270">
      <formula>V22=2</formula>
    </cfRule>
  </conditionalFormatting>
  <conditionalFormatting sqref="W22:W30">
    <cfRule type="expression" dxfId="626" priority="271">
      <formula>V22=3</formula>
    </cfRule>
  </conditionalFormatting>
  <conditionalFormatting sqref="W22:W30">
    <cfRule type="expression" dxfId="625" priority="272">
      <formula>V22=4</formula>
    </cfRule>
  </conditionalFormatting>
  <conditionalFormatting sqref="W22:W30">
    <cfRule type="expression" dxfId="624" priority="273">
      <formula>V22=5</formula>
    </cfRule>
  </conditionalFormatting>
  <conditionalFormatting sqref="W22:W30">
    <cfRule type="expression" dxfId="623" priority="274">
      <formula>V22=6</formula>
    </cfRule>
  </conditionalFormatting>
  <conditionalFormatting sqref="W18">
    <cfRule type="expression" dxfId="622" priority="261">
      <formula>V18=0</formula>
    </cfRule>
  </conditionalFormatting>
  <conditionalFormatting sqref="W18">
    <cfRule type="expression" dxfId="621" priority="262">
      <formula>V18=1</formula>
    </cfRule>
  </conditionalFormatting>
  <conditionalFormatting sqref="W18">
    <cfRule type="expression" dxfId="620" priority="263">
      <formula>V18=2</formula>
    </cfRule>
  </conditionalFormatting>
  <conditionalFormatting sqref="W18">
    <cfRule type="expression" dxfId="619" priority="264">
      <formula>V18=3</formula>
    </cfRule>
  </conditionalFormatting>
  <conditionalFormatting sqref="W18">
    <cfRule type="expression" dxfId="618" priority="265">
      <formula>V18=4</formula>
    </cfRule>
  </conditionalFormatting>
  <conditionalFormatting sqref="W18">
    <cfRule type="expression" dxfId="617" priority="266">
      <formula>V18=5</formula>
    </cfRule>
  </conditionalFormatting>
  <conditionalFormatting sqref="W18">
    <cfRule type="expression" dxfId="616" priority="267">
      <formula>V18=6</formula>
    </cfRule>
  </conditionalFormatting>
  <conditionalFormatting sqref="W16">
    <cfRule type="expression" dxfId="615" priority="254">
      <formula>V16=0</formula>
    </cfRule>
  </conditionalFormatting>
  <conditionalFormatting sqref="W16">
    <cfRule type="expression" dxfId="614" priority="255">
      <formula>V16=1</formula>
    </cfRule>
  </conditionalFormatting>
  <conditionalFormatting sqref="W16">
    <cfRule type="expression" dxfId="613" priority="256">
      <formula>V16=2</formula>
    </cfRule>
  </conditionalFormatting>
  <conditionalFormatting sqref="W16">
    <cfRule type="expression" dxfId="612" priority="257">
      <formula>V16=3</formula>
    </cfRule>
  </conditionalFormatting>
  <conditionalFormatting sqref="W16">
    <cfRule type="expression" dxfId="611" priority="258">
      <formula>V16=4</formula>
    </cfRule>
  </conditionalFormatting>
  <conditionalFormatting sqref="W16">
    <cfRule type="expression" dxfId="610" priority="259">
      <formula>V16=5</formula>
    </cfRule>
  </conditionalFormatting>
  <conditionalFormatting sqref="W16">
    <cfRule type="expression" dxfId="609" priority="260">
      <formula>V16=6</formula>
    </cfRule>
  </conditionalFormatting>
  <conditionalFormatting sqref="AB20">
    <cfRule type="expression" dxfId="608" priority="247">
      <formula>AA20=0</formula>
    </cfRule>
  </conditionalFormatting>
  <conditionalFormatting sqref="AB20">
    <cfRule type="expression" dxfId="607" priority="248">
      <formula>AA20=1</formula>
    </cfRule>
  </conditionalFormatting>
  <conditionalFormatting sqref="AB20">
    <cfRule type="expression" dxfId="606" priority="249">
      <formula>AA20=2</formula>
    </cfRule>
  </conditionalFormatting>
  <conditionalFormatting sqref="AB20">
    <cfRule type="expression" dxfId="605" priority="250">
      <formula>AA20=3</formula>
    </cfRule>
  </conditionalFormatting>
  <conditionalFormatting sqref="AB20">
    <cfRule type="expression" dxfId="604" priority="251">
      <formula>AA20=4</formula>
    </cfRule>
  </conditionalFormatting>
  <conditionalFormatting sqref="AB20">
    <cfRule type="expression" dxfId="603" priority="252">
      <formula>AA20=5</formula>
    </cfRule>
  </conditionalFormatting>
  <conditionalFormatting sqref="AB20">
    <cfRule type="expression" dxfId="602" priority="253">
      <formula>AA20=6</formula>
    </cfRule>
  </conditionalFormatting>
  <conditionalFormatting sqref="AB18">
    <cfRule type="expression" dxfId="601" priority="233">
      <formula>AA18=0</formula>
    </cfRule>
  </conditionalFormatting>
  <conditionalFormatting sqref="AB18">
    <cfRule type="expression" dxfId="600" priority="234">
      <formula>AA18=1</formula>
    </cfRule>
  </conditionalFormatting>
  <conditionalFormatting sqref="AB18">
    <cfRule type="expression" dxfId="599" priority="235">
      <formula>AA18=2</formula>
    </cfRule>
  </conditionalFormatting>
  <conditionalFormatting sqref="AB18">
    <cfRule type="expression" dxfId="598" priority="236">
      <formula>AA18=3</formula>
    </cfRule>
  </conditionalFormatting>
  <conditionalFormatting sqref="AB18">
    <cfRule type="expression" dxfId="597" priority="237">
      <formula>AA18=4</formula>
    </cfRule>
  </conditionalFormatting>
  <conditionalFormatting sqref="AB18">
    <cfRule type="expression" dxfId="596" priority="238">
      <formula>AA18=5</formula>
    </cfRule>
  </conditionalFormatting>
  <conditionalFormatting sqref="AB18">
    <cfRule type="expression" dxfId="595" priority="239">
      <formula>AA18=6</formula>
    </cfRule>
  </conditionalFormatting>
  <conditionalFormatting sqref="AG20">
    <cfRule type="expression" dxfId="594" priority="219">
      <formula>AF20=0</formula>
    </cfRule>
  </conditionalFormatting>
  <conditionalFormatting sqref="AG20">
    <cfRule type="expression" dxfId="593" priority="220">
      <formula>AF20=1</formula>
    </cfRule>
  </conditionalFormatting>
  <conditionalFormatting sqref="AG20">
    <cfRule type="expression" dxfId="592" priority="221">
      <formula>AF20=2</formula>
    </cfRule>
  </conditionalFormatting>
  <conditionalFormatting sqref="AG20">
    <cfRule type="expression" dxfId="591" priority="222">
      <formula>AF20=3</formula>
    </cfRule>
  </conditionalFormatting>
  <conditionalFormatting sqref="AG20">
    <cfRule type="expression" dxfId="590" priority="223">
      <formula>AF20=4</formula>
    </cfRule>
  </conditionalFormatting>
  <conditionalFormatting sqref="AG20">
    <cfRule type="expression" dxfId="589" priority="224">
      <formula>AF20=5</formula>
    </cfRule>
  </conditionalFormatting>
  <conditionalFormatting sqref="AG20">
    <cfRule type="expression" dxfId="588" priority="225">
      <formula>AF20=6</formula>
    </cfRule>
  </conditionalFormatting>
  <conditionalFormatting sqref="AL20">
    <cfRule type="expression" dxfId="587" priority="191">
      <formula>AK20=0</formula>
    </cfRule>
  </conditionalFormatting>
  <conditionalFormatting sqref="AL20">
    <cfRule type="expression" dxfId="586" priority="192">
      <formula>AK20=1</formula>
    </cfRule>
  </conditionalFormatting>
  <conditionalFormatting sqref="AL20">
    <cfRule type="expression" dxfId="585" priority="193">
      <formula>AK20=2</formula>
    </cfRule>
  </conditionalFormatting>
  <conditionalFormatting sqref="AL20">
    <cfRule type="expression" dxfId="584" priority="194">
      <formula>AK20=3</formula>
    </cfRule>
  </conditionalFormatting>
  <conditionalFormatting sqref="AL20">
    <cfRule type="expression" dxfId="583" priority="195">
      <formula>AK20=4</formula>
    </cfRule>
  </conditionalFormatting>
  <conditionalFormatting sqref="AL20">
    <cfRule type="expression" dxfId="582" priority="196">
      <formula>AK20=5</formula>
    </cfRule>
  </conditionalFormatting>
  <conditionalFormatting sqref="AL20">
    <cfRule type="expression" dxfId="581" priority="197">
      <formula>AK20=6</formula>
    </cfRule>
  </conditionalFormatting>
  <conditionalFormatting sqref="AL18">
    <cfRule type="expression" dxfId="580" priority="177">
      <formula>AK18=0</formula>
    </cfRule>
  </conditionalFormatting>
  <conditionalFormatting sqref="AL18">
    <cfRule type="expression" dxfId="579" priority="178">
      <formula>AK18=1</formula>
    </cfRule>
  </conditionalFormatting>
  <conditionalFormatting sqref="AL18">
    <cfRule type="expression" dxfId="578" priority="179">
      <formula>AK18=2</formula>
    </cfRule>
  </conditionalFormatting>
  <conditionalFormatting sqref="AL18">
    <cfRule type="expression" dxfId="577" priority="180">
      <formula>AK18=3</formula>
    </cfRule>
  </conditionalFormatting>
  <conditionalFormatting sqref="AL18">
    <cfRule type="expression" dxfId="576" priority="181">
      <formula>AK18=4</formula>
    </cfRule>
  </conditionalFormatting>
  <conditionalFormatting sqref="AL18">
    <cfRule type="expression" dxfId="575" priority="182">
      <formula>AK18=5</formula>
    </cfRule>
  </conditionalFormatting>
  <conditionalFormatting sqref="AL18">
    <cfRule type="expression" dxfId="574" priority="183">
      <formula>AK18=6</formula>
    </cfRule>
  </conditionalFormatting>
  <conditionalFormatting sqref="AG18">
    <cfRule type="expression" dxfId="573" priority="163">
      <formula>AF18=0</formula>
    </cfRule>
  </conditionalFormatting>
  <conditionalFormatting sqref="AG18">
    <cfRule type="expression" dxfId="572" priority="164">
      <formula>AF18=1</formula>
    </cfRule>
  </conditionalFormatting>
  <conditionalFormatting sqref="AG18">
    <cfRule type="expression" dxfId="571" priority="165">
      <formula>AF18=2</formula>
    </cfRule>
  </conditionalFormatting>
  <conditionalFormatting sqref="AG18">
    <cfRule type="expression" dxfId="570" priority="166">
      <formula>AF18=3</formula>
    </cfRule>
  </conditionalFormatting>
  <conditionalFormatting sqref="AG18">
    <cfRule type="expression" dxfId="569" priority="167">
      <formula>AF18=4</formula>
    </cfRule>
  </conditionalFormatting>
  <conditionalFormatting sqref="AG18">
    <cfRule type="expression" dxfId="568" priority="168">
      <formula>AF18=5</formula>
    </cfRule>
  </conditionalFormatting>
  <conditionalFormatting sqref="AG18">
    <cfRule type="expression" dxfId="567" priority="169">
      <formula>AF18=6</formula>
    </cfRule>
  </conditionalFormatting>
  <conditionalFormatting sqref="AC22:AC26">
    <cfRule type="expression" dxfId="566" priority="114">
      <formula>AA22=0</formula>
    </cfRule>
    <cfRule type="expression" dxfId="565" priority="115">
      <formula>AA22=1</formula>
    </cfRule>
    <cfRule type="expression" dxfId="564" priority="116">
      <formula>AA22=2</formula>
    </cfRule>
    <cfRule type="expression" dxfId="563" priority="117">
      <formula>AA22=3</formula>
    </cfRule>
    <cfRule type="expression" dxfId="562" priority="118">
      <formula>AA22=4</formula>
    </cfRule>
    <cfRule type="expression" dxfId="561" priority="119">
      <formula>AA22=5</formula>
    </cfRule>
    <cfRule type="expression" dxfId="560" priority="120">
      <formula>AA22=6</formula>
    </cfRule>
  </conditionalFormatting>
  <conditionalFormatting sqref="AB22:AB30">
    <cfRule type="expression" dxfId="559" priority="107">
      <formula>AA22=0</formula>
    </cfRule>
  </conditionalFormatting>
  <conditionalFormatting sqref="AB22:AB30">
    <cfRule type="expression" dxfId="558" priority="108">
      <formula>AA22=1</formula>
    </cfRule>
  </conditionalFormatting>
  <conditionalFormatting sqref="AB22:AB30">
    <cfRule type="expression" dxfId="557" priority="109">
      <formula>AA22=2</formula>
    </cfRule>
  </conditionalFormatting>
  <conditionalFormatting sqref="AB22:AB30">
    <cfRule type="expression" dxfId="556" priority="110">
      <formula>AA22=3</formula>
    </cfRule>
  </conditionalFormatting>
  <conditionalFormatting sqref="AB22:AB30">
    <cfRule type="expression" dxfId="555" priority="111">
      <formula>AA22=4</formula>
    </cfRule>
  </conditionalFormatting>
  <conditionalFormatting sqref="AB22:AB30">
    <cfRule type="expression" dxfId="554" priority="112">
      <formula>AA22=5</formula>
    </cfRule>
  </conditionalFormatting>
  <conditionalFormatting sqref="AB22:AB30">
    <cfRule type="expression" dxfId="553" priority="113">
      <formula>AA22=6</formula>
    </cfRule>
  </conditionalFormatting>
  <conditionalFormatting sqref="AM22:AM25">
    <cfRule type="expression" dxfId="552" priority="86">
      <formula>AK22=0</formula>
    </cfRule>
    <cfRule type="expression" dxfId="551" priority="87">
      <formula>AK22=1</formula>
    </cfRule>
    <cfRule type="expression" dxfId="550" priority="88">
      <formula>AK22=2</formula>
    </cfRule>
    <cfRule type="expression" dxfId="549" priority="89">
      <formula>AK22=3</formula>
    </cfRule>
    <cfRule type="expression" dxfId="548" priority="90">
      <formula>AK22=4</formula>
    </cfRule>
    <cfRule type="expression" dxfId="547" priority="91">
      <formula>AK22=5</formula>
    </cfRule>
    <cfRule type="expression" dxfId="546" priority="92">
      <formula>AK22=6</formula>
    </cfRule>
  </conditionalFormatting>
  <conditionalFormatting sqref="AL22:AL25">
    <cfRule type="expression" dxfId="545" priority="79">
      <formula>AK22=0</formula>
    </cfRule>
  </conditionalFormatting>
  <conditionalFormatting sqref="AL22:AL25">
    <cfRule type="expression" dxfId="544" priority="80">
      <formula>AK22=1</formula>
    </cfRule>
  </conditionalFormatting>
  <conditionalFormatting sqref="AL22:AL25">
    <cfRule type="expression" dxfId="543" priority="81">
      <formula>AK22=2</formula>
    </cfRule>
  </conditionalFormatting>
  <conditionalFormatting sqref="AL22:AL25">
    <cfRule type="expression" dxfId="542" priority="82">
      <formula>AK22=3</formula>
    </cfRule>
  </conditionalFormatting>
  <conditionalFormatting sqref="AL22:AL25">
    <cfRule type="expression" dxfId="541" priority="83">
      <formula>AK22=4</formula>
    </cfRule>
  </conditionalFormatting>
  <conditionalFormatting sqref="AL22:AL25">
    <cfRule type="expression" dxfId="540" priority="84">
      <formula>AK22=5</formula>
    </cfRule>
  </conditionalFormatting>
  <conditionalFormatting sqref="AL22:AL25">
    <cfRule type="expression" dxfId="539" priority="85">
      <formula>AK22=6</formula>
    </cfRule>
  </conditionalFormatting>
  <conditionalFormatting sqref="AC20">
    <cfRule type="expression" dxfId="538" priority="72">
      <formula>AA20=0</formula>
    </cfRule>
    <cfRule type="expression" dxfId="537" priority="73">
      <formula>AA20=1</formula>
    </cfRule>
    <cfRule type="expression" dxfId="536" priority="74">
      <formula>AA20=2</formula>
    </cfRule>
    <cfRule type="expression" dxfId="535" priority="75">
      <formula>AA20=3</formula>
    </cfRule>
    <cfRule type="expression" dxfId="534" priority="76">
      <formula>AA20=4</formula>
    </cfRule>
    <cfRule type="expression" dxfId="533" priority="77">
      <formula>AA20=5</formula>
    </cfRule>
    <cfRule type="expression" dxfId="532" priority="78">
      <formula>AA20=6</formula>
    </cfRule>
  </conditionalFormatting>
  <conditionalFormatting sqref="X27:X30">
    <cfRule type="expression" dxfId="531" priority="67">
      <formula>V27=5</formula>
    </cfRule>
    <cfRule type="expression" dxfId="530" priority="68">
      <formula>V27=4</formula>
    </cfRule>
    <cfRule type="expression" dxfId="529" priority="69" stopIfTrue="1">
      <formula>V27=3</formula>
    </cfRule>
    <cfRule type="expression" dxfId="528" priority="70" stopIfTrue="1">
      <formula>V27=2</formula>
    </cfRule>
    <cfRule type="expression" dxfId="527" priority="71" stopIfTrue="1">
      <formula>V27=1</formula>
    </cfRule>
  </conditionalFormatting>
  <conditionalFormatting sqref="X16">
    <cfRule type="expression" dxfId="526" priority="976">
      <formula>V16=0</formula>
    </cfRule>
    <cfRule type="expression" dxfId="525" priority="977">
      <formula>V16=1</formula>
    </cfRule>
    <cfRule type="expression" dxfId="524" priority="978">
      <formula>V16=2</formula>
    </cfRule>
    <cfRule type="expression" dxfId="523" priority="979">
      <formula>V16=3</formula>
    </cfRule>
    <cfRule type="expression" dxfId="522" priority="980">
      <formula>V16=4</formula>
    </cfRule>
    <cfRule type="expression" dxfId="521" priority="981">
      <formula>V16=5</formula>
    </cfRule>
    <cfRule type="expression" dxfId="520" priority="982">
      <formula>V16=6</formula>
    </cfRule>
  </conditionalFormatting>
  <conditionalFormatting sqref="AQ20">
    <cfRule type="expression" dxfId="519" priority="60">
      <formula>AP20=0</formula>
    </cfRule>
  </conditionalFormatting>
  <conditionalFormatting sqref="AQ20">
    <cfRule type="expression" dxfId="518" priority="61">
      <formula>AP20=1</formula>
    </cfRule>
  </conditionalFormatting>
  <conditionalFormatting sqref="AQ20">
    <cfRule type="expression" dxfId="517" priority="62">
      <formula>AP20=2</formula>
    </cfRule>
  </conditionalFormatting>
  <conditionalFormatting sqref="AQ20">
    <cfRule type="expression" dxfId="516" priority="63">
      <formula>AP20=3</formula>
    </cfRule>
  </conditionalFormatting>
  <conditionalFormatting sqref="AQ20">
    <cfRule type="expression" dxfId="515" priority="64">
      <formula>AP20=4</formula>
    </cfRule>
  </conditionalFormatting>
  <conditionalFormatting sqref="AQ20">
    <cfRule type="expression" dxfId="514" priority="65">
      <formula>AP20=5</formula>
    </cfRule>
  </conditionalFormatting>
  <conditionalFormatting sqref="AQ20">
    <cfRule type="expression" dxfId="513" priority="66">
      <formula>AP20=6</formula>
    </cfRule>
  </conditionalFormatting>
  <conditionalFormatting sqref="AQ22:AQ30">
    <cfRule type="expression" dxfId="512" priority="53">
      <formula>AP22=0</formula>
    </cfRule>
  </conditionalFormatting>
  <conditionalFormatting sqref="AQ22:AQ30">
    <cfRule type="expression" dxfId="511" priority="54">
      <formula>AP22=1</formula>
    </cfRule>
  </conditionalFormatting>
  <conditionalFormatting sqref="AQ22:AQ30">
    <cfRule type="expression" dxfId="510" priority="55">
      <formula>AP22=2</formula>
    </cfRule>
  </conditionalFormatting>
  <conditionalFormatting sqref="AQ22:AQ30">
    <cfRule type="expression" dxfId="509" priority="56">
      <formula>AP22=3</formula>
    </cfRule>
  </conditionalFormatting>
  <conditionalFormatting sqref="AQ22:AQ30">
    <cfRule type="expression" dxfId="508" priority="57">
      <formula>AP22=4</formula>
    </cfRule>
  </conditionalFormatting>
  <conditionalFormatting sqref="AQ22:AQ30">
    <cfRule type="expression" dxfId="507" priority="58">
      <formula>AP22=5</formula>
    </cfRule>
  </conditionalFormatting>
  <conditionalFormatting sqref="AQ22:AQ30">
    <cfRule type="expression" dxfId="506" priority="59">
      <formula>AP22=6</formula>
    </cfRule>
  </conditionalFormatting>
  <conditionalFormatting sqref="AR20">
    <cfRule type="expression" dxfId="505" priority="46">
      <formula>AP20=0</formula>
    </cfRule>
  </conditionalFormatting>
  <conditionalFormatting sqref="AR20">
    <cfRule type="expression" dxfId="504" priority="47">
      <formula>AP20=1</formula>
    </cfRule>
  </conditionalFormatting>
  <conditionalFormatting sqref="AR20">
    <cfRule type="expression" dxfId="503" priority="48">
      <formula>AP20=2</formula>
    </cfRule>
  </conditionalFormatting>
  <conditionalFormatting sqref="AR20">
    <cfRule type="expression" dxfId="502" priority="49">
      <formula>AP20=3</formula>
    </cfRule>
  </conditionalFormatting>
  <conditionalFormatting sqref="AR20">
    <cfRule type="expression" dxfId="501" priority="50">
      <formula>AP20=4</formula>
    </cfRule>
  </conditionalFormatting>
  <conditionalFormatting sqref="AR20">
    <cfRule type="expression" dxfId="500" priority="51">
      <formula>AP20=5</formula>
    </cfRule>
  </conditionalFormatting>
  <conditionalFormatting sqref="AR20">
    <cfRule type="expression" dxfId="499" priority="52">
      <formula>AP20=6</formula>
    </cfRule>
  </conditionalFormatting>
  <conditionalFormatting sqref="AR22:AR30">
    <cfRule type="expression" dxfId="498" priority="39">
      <formula>AP22=0</formula>
    </cfRule>
    <cfRule type="expression" dxfId="497" priority="40">
      <formula>AP22=1</formula>
    </cfRule>
    <cfRule type="expression" dxfId="496" priority="41">
      <formula>AP22=2</formula>
    </cfRule>
    <cfRule type="expression" dxfId="495" priority="42">
      <formula>AP22=3</formula>
    </cfRule>
    <cfRule type="expression" dxfId="494" priority="43">
      <formula>AP22=4</formula>
    </cfRule>
    <cfRule type="expression" dxfId="493" priority="44">
      <formula>AP22=5</formula>
    </cfRule>
    <cfRule type="expression" dxfId="492" priority="45">
      <formula>AP22=6</formula>
    </cfRule>
  </conditionalFormatting>
  <conditionalFormatting sqref="AS22:AS30">
    <cfRule type="expression" dxfId="491" priority="25">
      <formula>AR22=0</formula>
    </cfRule>
    <cfRule type="expression" dxfId="490" priority="26">
      <formula>AR22=1</formula>
    </cfRule>
    <cfRule type="expression" dxfId="489" priority="27">
      <formula>AR22=2</formula>
    </cfRule>
    <cfRule type="expression" dxfId="488" priority="28">
      <formula>AR22=3</formula>
    </cfRule>
    <cfRule type="expression" dxfId="487" priority="29">
      <formula>AR22=4</formula>
    </cfRule>
    <cfRule type="expression" dxfId="486" priority="30">
      <formula>AR22=5</formula>
    </cfRule>
    <cfRule type="expression" dxfId="485" priority="31">
      <formula>AR22=6</formula>
    </cfRule>
  </conditionalFormatting>
  <conditionalFormatting sqref="AS20">
    <cfRule type="expression" dxfId="484" priority="32">
      <formula>AR20=0</formula>
    </cfRule>
  </conditionalFormatting>
  <conditionalFormatting sqref="AS20">
    <cfRule type="expression" dxfId="483" priority="33">
      <formula>AR20=1</formula>
    </cfRule>
  </conditionalFormatting>
  <conditionalFormatting sqref="AS20">
    <cfRule type="expression" dxfId="482" priority="34">
      <formula>AR20=2</formula>
    </cfRule>
  </conditionalFormatting>
  <conditionalFormatting sqref="AS20">
    <cfRule type="expression" dxfId="481" priority="35">
      <formula>AR20=3</formula>
    </cfRule>
  </conditionalFormatting>
  <conditionalFormatting sqref="AS20">
    <cfRule type="expression" dxfId="480" priority="36">
      <formula>AR20=4</formula>
    </cfRule>
  </conditionalFormatting>
  <conditionalFormatting sqref="AS20">
    <cfRule type="expression" dxfId="479" priority="37">
      <formula>AR20=5</formula>
    </cfRule>
  </conditionalFormatting>
  <conditionalFormatting sqref="AS20">
    <cfRule type="expression" dxfId="478" priority="38">
      <formula>AR20=6</formula>
    </cfRule>
  </conditionalFormatting>
  <conditionalFormatting sqref="AC27:AC30">
    <cfRule type="expression" dxfId="477" priority="20">
      <formula>AA27=5</formula>
    </cfRule>
    <cfRule type="expression" dxfId="476" priority="21">
      <formula>AA27=4</formula>
    </cfRule>
    <cfRule type="expression" dxfId="475" priority="22" stopIfTrue="1">
      <formula>AA27=3</formula>
    </cfRule>
    <cfRule type="expression" dxfId="474" priority="23" stopIfTrue="1">
      <formula>AA27=2</formula>
    </cfRule>
    <cfRule type="expression" dxfId="473" priority="24" stopIfTrue="1">
      <formula>AA27=1</formula>
    </cfRule>
  </conditionalFormatting>
  <conditionalFormatting sqref="AN26:AN30">
    <cfRule type="expression" dxfId="472" priority="13">
      <formula>AM26=0</formula>
    </cfRule>
    <cfRule type="expression" dxfId="471" priority="14">
      <formula>AM26=1</formula>
    </cfRule>
    <cfRule type="expression" dxfId="470" priority="15">
      <formula>AM26=2</formula>
    </cfRule>
    <cfRule type="expression" dxfId="469" priority="16">
      <formula>AM26=3</formula>
    </cfRule>
    <cfRule type="expression" dxfId="468" priority="17">
      <formula>AM26=4</formula>
    </cfRule>
    <cfRule type="expression" dxfId="467" priority="18">
      <formula>AM26=5</formula>
    </cfRule>
    <cfRule type="expression" dxfId="466" priority="19">
      <formula>AM26=6</formula>
    </cfRule>
  </conditionalFormatting>
  <conditionalFormatting sqref="AL26:AL30">
    <cfRule type="expression" dxfId="465" priority="6">
      <formula>AK26=0</formula>
    </cfRule>
  </conditionalFormatting>
  <conditionalFormatting sqref="AL26:AL30">
    <cfRule type="expression" dxfId="464" priority="7">
      <formula>AK26=1</formula>
    </cfRule>
  </conditionalFormatting>
  <conditionalFormatting sqref="AL26:AL30">
    <cfRule type="expression" dxfId="463" priority="8">
      <formula>AK26=2</formula>
    </cfRule>
  </conditionalFormatting>
  <conditionalFormatting sqref="AL26:AL30">
    <cfRule type="expression" dxfId="462" priority="9">
      <formula>AK26=3</formula>
    </cfRule>
  </conditionalFormatting>
  <conditionalFormatting sqref="AL26:AL30">
    <cfRule type="expression" dxfId="461" priority="10">
      <formula>AK26=4</formula>
    </cfRule>
  </conditionalFormatting>
  <conditionalFormatting sqref="AL26:AL30">
    <cfRule type="expression" dxfId="460" priority="11">
      <formula>AK26=5</formula>
    </cfRule>
  </conditionalFormatting>
  <conditionalFormatting sqref="AL26:AL30">
    <cfRule type="expression" dxfId="459" priority="12">
      <formula>AK26=6</formula>
    </cfRule>
  </conditionalFormatting>
  <conditionalFormatting sqref="AM26:AM30">
    <cfRule type="expression" dxfId="458" priority="1">
      <formula>AK26=5</formula>
    </cfRule>
    <cfRule type="expression" dxfId="457" priority="2">
      <formula>AK26=4</formula>
    </cfRule>
    <cfRule type="expression" dxfId="456" priority="3" stopIfTrue="1">
      <formula>AK26=3</formula>
    </cfRule>
    <cfRule type="expression" dxfId="455" priority="4" stopIfTrue="1">
      <formula>AK26=2</formula>
    </cfRule>
    <cfRule type="expression" dxfId="454" priority="5" stopIfTrue="1">
      <formula>AK26=1</formula>
    </cfRule>
  </conditionalFormatting>
  <pageMargins left="0.28958880139982501" right="0.28958880139982501" top="0.62992125984251945" bottom="0.39370078740157499" header="0.11811023622047251" footer="0.3"/>
  <pageSetup paperSize="9" scale="59" orientation="landscape" r:id="rId1"/>
  <headerFooter scaleWithDoc="0">
    <oddHeader>&amp;R&amp;"Calibri"&amp;10&amp;K808080City Heartbeat 2024, 50 city index (v1.0)</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365620" r:id="rId4" name="ui_cnt_Country_Or_Average_2">
              <controlPr defaultSize="0" print="0" autoFill="0" autoPict="0" macro="[0]!k">
                <anchor>
                  <from>
                    <xdr:col>0</xdr:col>
                    <xdr:colOff>125186</xdr:colOff>
                    <xdr:row>3</xdr:row>
                    <xdr:rowOff>239486</xdr:rowOff>
                  </from>
                  <to>
                    <xdr:col>4</xdr:col>
                    <xdr:colOff>103414</xdr:colOff>
                    <xdr:row>3</xdr:row>
                    <xdr:rowOff>451757</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CB68F-5CD9-4C4D-8FA0-5DF37E70BA70}">
  <sheetPr codeName="Sheet48">
    <pageSetUpPr fitToPage="1"/>
  </sheetPr>
  <dimension ref="A1:AE300"/>
  <sheetViews>
    <sheetView showGridLines="0" showRowColHeaders="0" tabSelected="1" zoomScaleNormal="100" workbookViewId="0">
      <pane ySplit="19" topLeftCell="A31" activePane="bottomLeft" state="frozen"/>
      <selection pane="bottomLeft"/>
    </sheetView>
  </sheetViews>
  <sheetFormatPr defaultRowHeight="14.6" zeroHeight="1" x14ac:dyDescent="0.4"/>
  <cols>
    <col min="1" max="1" width="2.69140625" hidden="1" customWidth="1"/>
    <col min="2" max="2" width="3.3828125" hidden="1" customWidth="1"/>
    <col min="3" max="3" width="4.23046875" hidden="1" customWidth="1"/>
    <col min="4" max="4" width="4.3046875" hidden="1" customWidth="1"/>
    <col min="5" max="6" width="8.3828125" hidden="1" customWidth="1"/>
    <col min="7" max="7" width="6" hidden="1" customWidth="1"/>
    <col min="8" max="9" width="4.3046875" hidden="1" customWidth="1"/>
    <col min="10" max="11" width="7.3828125" hidden="1" customWidth="1"/>
    <col min="12" max="14" width="4.3046875" hidden="1" customWidth="1"/>
    <col min="15" max="15" width="10.84375" hidden="1" customWidth="1"/>
    <col min="16" max="17" width="12.3828125" hidden="1" customWidth="1"/>
    <col min="18" max="22" width="4.3046875" hidden="1" customWidth="1"/>
    <col min="23" max="23" width="4.3046875" customWidth="1"/>
    <col min="24" max="24" width="63.53515625" customWidth="1"/>
    <col min="25" max="25" width="2.53515625" customWidth="1"/>
    <col min="26" max="26" width="4.15234375" customWidth="1"/>
    <col min="27" max="27" width="2.53515625" customWidth="1"/>
    <col min="28" max="28" width="92.69140625" customWidth="1"/>
    <col min="29" max="29" width="2.53515625" customWidth="1"/>
    <col min="30" max="30" width="106.69140625" customWidth="1"/>
    <col min="31" max="31" width="89.69140625" hidden="1" customWidth="1"/>
  </cols>
  <sheetData>
    <row r="1" spans="1:31" ht="24" hidden="1" customHeight="1" x14ac:dyDescent="0.4">
      <c r="A1" s="4" t="s">
        <v>2</v>
      </c>
      <c r="B1" s="4"/>
      <c r="C1" s="4"/>
      <c r="D1" s="4"/>
      <c r="E1" s="4"/>
      <c r="F1" s="4"/>
      <c r="G1" s="4"/>
      <c r="H1" s="4"/>
      <c r="I1" s="4"/>
      <c r="J1" s="4"/>
      <c r="K1" s="4"/>
      <c r="L1" s="4"/>
      <c r="M1" s="4"/>
      <c r="N1" s="4"/>
      <c r="O1" s="4"/>
      <c r="P1" s="4"/>
      <c r="Q1" s="4"/>
      <c r="R1" s="4"/>
      <c r="S1" s="4"/>
      <c r="T1" s="4"/>
      <c r="U1" s="4"/>
      <c r="V1" s="4"/>
      <c r="W1" s="4"/>
      <c r="X1" s="4"/>
      <c r="Y1" s="4"/>
      <c r="Z1" s="4"/>
      <c r="AA1" s="4"/>
      <c r="AB1" s="4"/>
      <c r="AC1" s="4"/>
      <c r="AD1" s="4"/>
      <c r="AE1" s="4"/>
    </row>
    <row r="2" spans="1:31" ht="24" customHeight="1" x14ac:dyDescent="0.4">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row>
    <row r="3" spans="1:31" ht="26.05" customHeight="1" x14ac:dyDescent="0.4">
      <c r="A3" s="4"/>
      <c r="B3" s="4" t="s">
        <v>1066</v>
      </c>
      <c r="C3" s="4"/>
      <c r="D3" s="4"/>
      <c r="E3" s="4"/>
      <c r="F3" s="4"/>
      <c r="G3" s="4"/>
      <c r="H3" s="4"/>
      <c r="I3" s="4"/>
      <c r="J3" s="4"/>
      <c r="K3" s="4"/>
      <c r="L3" s="4"/>
      <c r="M3" s="4"/>
      <c r="N3" s="4"/>
      <c r="O3" s="4"/>
      <c r="P3" s="4"/>
      <c r="Q3" s="4"/>
      <c r="R3" s="4"/>
      <c r="S3" s="4"/>
      <c r="T3" s="4"/>
      <c r="U3" s="4"/>
      <c r="V3" s="4"/>
      <c r="W3" s="4"/>
      <c r="X3" s="4"/>
      <c r="Y3" s="4"/>
      <c r="Z3" s="4"/>
      <c r="AA3" s="4"/>
      <c r="AB3" s="4"/>
      <c r="AC3" s="4"/>
      <c r="AD3" s="4"/>
      <c r="AE3" s="4"/>
    </row>
    <row r="4" spans="1:31" ht="42" customHeight="1" x14ac:dyDescent="0.4">
      <c r="A4" s="4"/>
      <c r="B4" s="35" t="s">
        <v>7208</v>
      </c>
      <c r="C4" s="35"/>
      <c r="D4" s="4"/>
      <c r="E4" s="4"/>
      <c r="F4" s="4"/>
      <c r="G4" s="4"/>
      <c r="H4" s="4"/>
      <c r="I4" s="4"/>
      <c r="J4" s="4"/>
      <c r="K4" s="4"/>
      <c r="L4" s="4"/>
      <c r="M4" s="4"/>
      <c r="N4" s="4"/>
      <c r="O4" s="4"/>
      <c r="P4" s="4"/>
      <c r="Q4" s="4"/>
      <c r="R4" s="4"/>
      <c r="S4" s="4"/>
      <c r="T4" s="4"/>
      <c r="U4" s="4"/>
      <c r="V4" s="4"/>
      <c r="W4" s="4"/>
      <c r="X4" s="4"/>
      <c r="Y4" s="4"/>
      <c r="Z4" s="4"/>
      <c r="AA4" s="4"/>
      <c r="AB4" s="4"/>
      <c r="AC4" s="4"/>
      <c r="AD4" s="4"/>
      <c r="AE4" s="4"/>
    </row>
    <row r="5" spans="1:31" ht="24" hidden="1" customHeight="1" x14ac:dyDescent="0.4">
      <c r="A5" s="4" t="s">
        <v>2</v>
      </c>
      <c r="B5" s="40" t="str">
        <f>uxbGlobals!$B$353</f>
        <v/>
      </c>
      <c r="C5" s="40"/>
      <c r="D5" s="4"/>
      <c r="E5" s="4"/>
      <c r="F5" s="4"/>
      <c r="G5" s="4"/>
      <c r="H5" s="4"/>
      <c r="I5" s="4"/>
      <c r="J5" s="4"/>
      <c r="K5" s="4"/>
      <c r="L5" s="4"/>
      <c r="M5" s="4"/>
      <c r="N5" s="4"/>
      <c r="O5" s="4"/>
      <c r="P5" s="4"/>
      <c r="Q5" s="4"/>
      <c r="R5" s="4"/>
      <c r="S5" s="4"/>
      <c r="T5" s="4"/>
      <c r="U5" s="4"/>
      <c r="V5" s="4"/>
      <c r="W5" s="4"/>
      <c r="X5" s="4"/>
      <c r="Y5" s="4"/>
      <c r="Z5" s="4"/>
      <c r="AA5" s="4"/>
      <c r="AB5" s="4"/>
      <c r="AC5" s="4"/>
      <c r="AD5" s="4"/>
      <c r="AE5" s="4"/>
    </row>
    <row r="6" spans="1:31" ht="24" hidden="1" customHeight="1" x14ac:dyDescent="0.4">
      <c r="A6" s="4" t="s">
        <v>2</v>
      </c>
      <c r="B6" s="4" t="str">
        <f>uxbGlobals!$B$337</f>
        <v/>
      </c>
      <c r="C6" s="4"/>
      <c r="D6" s="4"/>
      <c r="E6" s="4"/>
      <c r="F6" s="4"/>
      <c r="G6" s="4"/>
      <c r="H6" s="4"/>
      <c r="I6" s="4"/>
      <c r="J6" s="4"/>
      <c r="K6" s="4"/>
      <c r="L6" s="4"/>
      <c r="M6" s="4"/>
      <c r="N6" s="4"/>
      <c r="O6" s="4"/>
      <c r="P6" s="4"/>
      <c r="Q6" s="4"/>
      <c r="R6" s="4"/>
      <c r="S6" s="4"/>
      <c r="T6" s="4"/>
      <c r="U6" s="4"/>
      <c r="V6" s="4"/>
      <c r="W6" s="4"/>
      <c r="X6" s="79"/>
      <c r="Y6" s="4"/>
      <c r="Z6" s="4"/>
      <c r="AA6" s="4"/>
      <c r="AB6" s="4"/>
      <c r="AC6" s="4"/>
      <c r="AD6" s="4"/>
      <c r="AE6" s="4"/>
    </row>
    <row r="7" spans="1:31" ht="24" hidden="1" customHeight="1" x14ac:dyDescent="0.4">
      <c r="A7" s="4" t="s">
        <v>2</v>
      </c>
      <c r="B7" s="4"/>
      <c r="C7" s="4"/>
      <c r="D7" s="4"/>
      <c r="E7" s="4"/>
      <c r="F7" s="4"/>
      <c r="G7" s="4"/>
      <c r="H7" s="4"/>
      <c r="I7" s="4"/>
      <c r="J7" s="4"/>
      <c r="K7" s="4"/>
      <c r="L7" s="4"/>
      <c r="M7" s="4"/>
      <c r="N7" s="4"/>
      <c r="O7" s="4"/>
      <c r="P7" s="4"/>
      <c r="Q7" s="4"/>
      <c r="R7" s="4"/>
      <c r="S7" s="4"/>
      <c r="T7" s="4"/>
      <c r="U7" s="4"/>
      <c r="V7" s="4"/>
      <c r="W7" s="4"/>
      <c r="X7" s="4"/>
      <c r="Y7" s="4"/>
      <c r="Z7" s="4"/>
      <c r="AA7" s="4"/>
      <c r="AB7" s="4"/>
      <c r="AC7" s="4"/>
      <c r="AD7" s="4"/>
      <c r="AE7" s="4"/>
    </row>
    <row r="8" spans="1:31" ht="8.0500000000000007" customHeight="1" x14ac:dyDescent="0.4">
      <c r="A8" s="4"/>
      <c r="B8" s="4"/>
      <c r="C8" s="4"/>
      <c r="D8" s="4"/>
      <c r="E8" s="4"/>
      <c r="F8" s="4"/>
      <c r="G8" s="4"/>
      <c r="H8" s="4"/>
      <c r="I8" s="4"/>
      <c r="J8" s="4"/>
      <c r="K8" s="4"/>
      <c r="L8" s="4"/>
      <c r="M8" s="4"/>
      <c r="N8" s="4"/>
      <c r="O8" s="4"/>
      <c r="P8" s="4"/>
      <c r="Q8" s="4"/>
      <c r="R8" s="4"/>
      <c r="S8" s="4"/>
      <c r="T8" s="4"/>
      <c r="U8" s="4"/>
      <c r="V8" s="4"/>
      <c r="W8" s="4"/>
      <c r="X8" s="4"/>
      <c r="Y8" s="4"/>
      <c r="Z8" s="4"/>
      <c r="AA8" s="4"/>
      <c r="AB8" s="4"/>
      <c r="AC8" s="4"/>
      <c r="AD8" s="4"/>
      <c r="AE8" s="4"/>
    </row>
    <row r="9" spans="1:31" ht="15" hidden="1" customHeight="1" x14ac:dyDescent="0.4">
      <c r="A9" s="4" t="s">
        <v>2</v>
      </c>
      <c r="B9" s="4" t="s">
        <v>2</v>
      </c>
      <c r="C9" s="4" t="s">
        <v>2</v>
      </c>
      <c r="D9" s="4" t="s">
        <v>2</v>
      </c>
      <c r="E9" s="4" t="s">
        <v>2</v>
      </c>
      <c r="F9" s="4" t="s">
        <v>2</v>
      </c>
      <c r="G9" s="4" t="s">
        <v>2</v>
      </c>
      <c r="H9" s="4" t="s">
        <v>2</v>
      </c>
      <c r="I9" s="4" t="s">
        <v>2</v>
      </c>
      <c r="J9" s="4" t="s">
        <v>2</v>
      </c>
      <c r="K9" s="4" t="s">
        <v>2</v>
      </c>
      <c r="L9" s="4" t="s">
        <v>2</v>
      </c>
      <c r="M9" s="4" t="s">
        <v>2</v>
      </c>
      <c r="N9" s="4" t="s">
        <v>2</v>
      </c>
      <c r="O9" s="4" t="s">
        <v>2</v>
      </c>
      <c r="P9" s="4" t="s">
        <v>2</v>
      </c>
      <c r="Q9" s="4" t="s">
        <v>2</v>
      </c>
      <c r="R9" s="4" t="s">
        <v>2</v>
      </c>
      <c r="S9" s="4" t="s">
        <v>2</v>
      </c>
      <c r="T9" s="4" t="s">
        <v>2</v>
      </c>
      <c r="U9" s="4" t="s">
        <v>2</v>
      </c>
      <c r="V9" s="4" t="s">
        <v>2</v>
      </c>
      <c r="W9" s="4"/>
      <c r="X9" s="4"/>
      <c r="Y9" s="4"/>
      <c r="Z9" s="4"/>
      <c r="AA9" s="4"/>
      <c r="AB9" s="4"/>
      <c r="AC9" s="4"/>
      <c r="AD9" s="4"/>
      <c r="AE9" s="4" t="s">
        <v>2</v>
      </c>
    </row>
    <row r="10" spans="1:31" ht="15" hidden="1" customHeight="1" x14ac:dyDescent="0.4">
      <c r="A10" s="13" t="s">
        <v>2</v>
      </c>
      <c r="B10" s="13" t="s">
        <v>2</v>
      </c>
      <c r="C10" s="13"/>
      <c r="D10" s="4"/>
      <c r="E10" s="42" t="s">
        <v>136</v>
      </c>
      <c r="F10" s="42" t="s">
        <v>136</v>
      </c>
      <c r="G10" s="42" t="s">
        <v>136</v>
      </c>
      <c r="H10" s="42" t="s">
        <v>136</v>
      </c>
      <c r="I10" s="42"/>
      <c r="J10" s="42"/>
      <c r="K10" s="42"/>
      <c r="L10" s="42"/>
      <c r="M10" s="42"/>
      <c r="N10" s="42"/>
      <c r="O10" s="42"/>
      <c r="P10" s="42"/>
      <c r="Q10" s="42"/>
      <c r="R10" s="42"/>
      <c r="S10" s="42"/>
      <c r="T10" s="42"/>
      <c r="U10" s="42"/>
      <c r="V10" s="42"/>
      <c r="W10" s="42" t="s">
        <v>136</v>
      </c>
      <c r="X10" s="42" t="s">
        <v>136</v>
      </c>
      <c r="Y10" s="42"/>
      <c r="Z10" s="42"/>
      <c r="AA10" s="42"/>
      <c r="AB10" s="42" t="s">
        <v>136</v>
      </c>
      <c r="AC10" s="42"/>
      <c r="AD10" s="4"/>
      <c r="AE10" s="4"/>
    </row>
    <row r="11" spans="1:31" hidden="1" x14ac:dyDescent="0.4">
      <c r="A11" s="13" t="s">
        <v>2</v>
      </c>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row>
    <row r="12" spans="1:31" ht="18.45" x14ac:dyDescent="0.5">
      <c r="A12" s="4"/>
      <c r="B12" s="80" t="s">
        <v>487</v>
      </c>
      <c r="C12" s="80"/>
      <c r="D12" s="49">
        <v>1</v>
      </c>
      <c r="E12" s="4"/>
      <c r="F12" s="4"/>
      <c r="G12" s="4"/>
      <c r="H12" s="4"/>
      <c r="I12" s="4"/>
      <c r="J12" s="4"/>
      <c r="K12" s="4"/>
      <c r="L12" s="4"/>
      <c r="M12" s="4"/>
      <c r="N12" s="4"/>
      <c r="O12" s="4"/>
      <c r="P12" s="4"/>
      <c r="Q12" s="4"/>
      <c r="R12" s="4"/>
      <c r="S12" s="4"/>
      <c r="T12" s="4"/>
      <c r="U12" s="4"/>
      <c r="V12" s="4"/>
      <c r="W12" s="4"/>
      <c r="X12" s="47" t="str">
        <f>iCountry!$C$4</f>
        <v>Addis Ababa</v>
      </c>
      <c r="Y12" s="47"/>
      <c r="Z12" s="4"/>
      <c r="AA12" s="47"/>
      <c r="AB12" s="4"/>
      <c r="AC12" s="47"/>
      <c r="AD12" s="4"/>
      <c r="AE12" s="4"/>
    </row>
    <row r="13" spans="1:31" x14ac:dyDescent="0.4">
      <c r="A13" s="4"/>
      <c r="B13" s="80" t="s">
        <v>1076</v>
      </c>
      <c r="C13" s="80"/>
      <c r="D13" s="49">
        <f>uxbGlobals!$B$286</f>
        <v>1</v>
      </c>
      <c r="E13" s="4"/>
      <c r="F13" s="4"/>
      <c r="G13" s="4"/>
      <c r="H13" s="4"/>
      <c r="I13" s="4"/>
      <c r="J13" s="4"/>
      <c r="K13" s="4"/>
      <c r="L13" s="4"/>
      <c r="M13" s="4"/>
      <c r="N13" s="4"/>
      <c r="O13" s="4"/>
      <c r="P13" s="4"/>
      <c r="Q13" s="4"/>
      <c r="R13" s="4"/>
      <c r="S13" s="4"/>
      <c r="T13" s="4"/>
      <c r="U13" s="4"/>
      <c r="V13" s="4"/>
      <c r="W13" s="4"/>
      <c r="X13" s="81" t="s">
        <v>1243</v>
      </c>
      <c r="Y13" s="82"/>
      <c r="Z13" s="4"/>
      <c r="AA13" s="82"/>
      <c r="AB13" s="4"/>
      <c r="AC13" s="82"/>
      <c r="AD13" s="4"/>
      <c r="AE13" s="4"/>
    </row>
    <row r="14" spans="1:31" x14ac:dyDescent="0.4">
      <c r="A14" s="4"/>
      <c r="B14" s="80" t="s">
        <v>16</v>
      </c>
      <c r="C14" s="80"/>
      <c r="D14" s="49">
        <f>uxbGlobals!$B$361</f>
        <v>1</v>
      </c>
      <c r="E14" s="4"/>
      <c r="F14" s="4"/>
      <c r="G14" s="4"/>
      <c r="H14" s="4"/>
      <c r="I14" s="4"/>
      <c r="J14" s="4"/>
      <c r="K14" s="4"/>
      <c r="L14" s="4"/>
      <c r="M14" s="4"/>
      <c r="N14" s="4"/>
      <c r="O14" s="4"/>
      <c r="P14" s="4"/>
      <c r="Q14" s="4"/>
      <c r="R14" s="4"/>
      <c r="S14" s="4"/>
      <c r="T14" s="4"/>
      <c r="U14" s="4"/>
      <c r="V14" s="4"/>
      <c r="W14" s="4"/>
      <c r="X14" s="31"/>
      <c r="Y14" s="31"/>
      <c r="Z14" s="4"/>
      <c r="AA14" s="31"/>
      <c r="AB14" s="4"/>
      <c r="AC14" s="31"/>
      <c r="AD14" s="4"/>
      <c r="AE14" s="4"/>
    </row>
    <row r="15" spans="1:31" hidden="1" x14ac:dyDescent="0.4">
      <c r="A15" s="13" t="s">
        <v>2</v>
      </c>
      <c r="B15" s="80" t="s">
        <v>1653</v>
      </c>
      <c r="C15" s="80"/>
      <c r="D15" s="49">
        <f>uxbGlobals!$B$303</f>
        <v>2</v>
      </c>
      <c r="E15" s="4"/>
      <c r="F15" s="4"/>
      <c r="G15" s="4"/>
      <c r="H15" s="4"/>
      <c r="I15" s="4"/>
      <c r="J15" s="4"/>
      <c r="K15" s="4"/>
      <c r="L15" s="4"/>
      <c r="M15" s="4"/>
      <c r="N15" s="4"/>
      <c r="O15" s="4"/>
      <c r="P15" s="4"/>
      <c r="Q15" s="4"/>
      <c r="R15" s="4"/>
      <c r="S15" s="4"/>
      <c r="T15" s="4"/>
      <c r="U15" s="4"/>
      <c r="V15" s="4"/>
      <c r="W15" s="4"/>
      <c r="X15" s="36"/>
      <c r="Y15" s="36"/>
      <c r="Z15" s="4"/>
      <c r="AA15" s="36"/>
      <c r="AB15" s="4"/>
      <c r="AC15" s="36"/>
      <c r="AD15" s="4"/>
      <c r="AE15" s="4"/>
    </row>
    <row r="16" spans="1:31" hidden="1" x14ac:dyDescent="0.4">
      <c r="A16" s="13" t="s">
        <v>2</v>
      </c>
      <c r="B16" s="4"/>
      <c r="C16" s="4"/>
      <c r="D16" s="4"/>
      <c r="E16" s="4"/>
      <c r="F16" s="4"/>
      <c r="G16" s="4"/>
      <c r="H16" s="4"/>
      <c r="I16" s="4"/>
      <c r="J16" s="4"/>
      <c r="K16" s="4"/>
      <c r="L16" s="4"/>
      <c r="M16" s="4"/>
      <c r="N16" s="4"/>
      <c r="O16" s="4"/>
      <c r="P16" s="4"/>
      <c r="Q16" s="4"/>
      <c r="R16" s="4"/>
      <c r="S16" s="4"/>
      <c r="T16" s="4"/>
      <c r="U16" s="4"/>
      <c r="V16" s="4"/>
      <c r="W16" s="4"/>
      <c r="X16" s="83"/>
      <c r="Y16" s="83"/>
      <c r="Z16" s="4"/>
      <c r="AA16" s="83"/>
      <c r="AB16" s="4"/>
      <c r="AC16" s="83"/>
      <c r="AD16" s="4"/>
      <c r="AE16" s="4"/>
    </row>
    <row r="17" spans="1:31" hidden="1" x14ac:dyDescent="0.4">
      <c r="A17" s="13" t="s">
        <v>2</v>
      </c>
      <c r="B17" s="4"/>
      <c r="C17" s="4"/>
      <c r="D17" s="4"/>
      <c r="E17" s="84" t="s">
        <v>93</v>
      </c>
      <c r="F17" s="84" t="s">
        <v>29</v>
      </c>
      <c r="G17" s="85" t="s">
        <v>54</v>
      </c>
      <c r="H17" s="84" t="s">
        <v>35</v>
      </c>
      <c r="I17" s="84" t="s">
        <v>85</v>
      </c>
      <c r="J17" s="84" t="s">
        <v>15</v>
      </c>
      <c r="K17" s="84" t="s">
        <v>53</v>
      </c>
      <c r="L17" s="86"/>
      <c r="M17" s="71"/>
      <c r="N17" s="71"/>
      <c r="O17" s="84" t="s">
        <v>69</v>
      </c>
      <c r="P17" s="71"/>
      <c r="Q17" s="71"/>
      <c r="R17" s="71"/>
      <c r="S17" s="71"/>
      <c r="T17" s="71"/>
      <c r="U17" s="71"/>
      <c r="V17" s="71"/>
      <c r="W17" s="71"/>
      <c r="X17" s="4"/>
      <c r="Y17" s="4"/>
      <c r="Z17" s="71"/>
      <c r="AA17" s="4"/>
      <c r="AB17" s="71" t="s">
        <v>15</v>
      </c>
      <c r="AC17" s="4"/>
      <c r="AD17" s="4"/>
      <c r="AE17" s="4"/>
    </row>
    <row r="18" spans="1:31" hidden="1" x14ac:dyDescent="0.4">
      <c r="A18" s="13" t="s">
        <v>2</v>
      </c>
      <c r="B18" s="4"/>
      <c r="C18" s="4"/>
      <c r="D18" s="4"/>
      <c r="E18" s="87">
        <f t="shared" ref="E18:K18" si="0">MATCH(E17,auto_tblSeries_Header,0)</f>
        <v>45</v>
      </c>
      <c r="F18" s="87">
        <f t="shared" si="0"/>
        <v>4</v>
      </c>
      <c r="G18" s="87">
        <f t="shared" si="0"/>
        <v>51</v>
      </c>
      <c r="H18" s="87">
        <f t="shared" si="0"/>
        <v>5</v>
      </c>
      <c r="I18" s="87">
        <f t="shared" si="0"/>
        <v>6</v>
      </c>
      <c r="J18" s="87">
        <f t="shared" si="0"/>
        <v>12</v>
      </c>
      <c r="K18" s="87">
        <f t="shared" si="0"/>
        <v>50</v>
      </c>
      <c r="L18" s="87"/>
      <c r="M18" s="49"/>
      <c r="N18" s="49"/>
      <c r="O18" s="87">
        <f>MATCH(O17,auto_tblSeries_Header,0)</f>
        <v>34</v>
      </c>
      <c r="P18" s="49"/>
      <c r="Q18" s="49"/>
      <c r="R18" s="49"/>
      <c r="S18" s="49"/>
      <c r="T18" s="49"/>
      <c r="U18" s="49"/>
      <c r="V18" s="49"/>
      <c r="W18" s="49"/>
      <c r="X18" s="39"/>
      <c r="Y18" s="39"/>
      <c r="Z18" s="88"/>
      <c r="AA18" s="39"/>
      <c r="AB18" s="88">
        <f>MATCH(AB17,auto_tblSeries_Header,0)</f>
        <v>12</v>
      </c>
      <c r="AC18" s="39"/>
      <c r="AD18" s="4"/>
      <c r="AE18" s="4"/>
    </row>
    <row r="19" spans="1:31" x14ac:dyDescent="0.4">
      <c r="A19" s="32" t="s">
        <v>211</v>
      </c>
      <c r="B19" s="89" t="s">
        <v>136</v>
      </c>
      <c r="C19" s="4"/>
      <c r="D19" s="83"/>
      <c r="E19" s="87" t="s">
        <v>1238</v>
      </c>
      <c r="F19" s="87" t="s">
        <v>1238</v>
      </c>
      <c r="G19" s="87" t="s">
        <v>1146</v>
      </c>
      <c r="H19" s="87" t="s">
        <v>1239</v>
      </c>
      <c r="I19" s="87" t="s">
        <v>94</v>
      </c>
      <c r="J19" s="87" t="s">
        <v>21</v>
      </c>
      <c r="K19" s="87" t="s">
        <v>1648</v>
      </c>
      <c r="L19" s="90" t="s">
        <v>1242</v>
      </c>
      <c r="M19" s="91" t="s">
        <v>1651</v>
      </c>
      <c r="N19" s="91" t="s">
        <v>1645</v>
      </c>
      <c r="O19" s="90" t="s">
        <v>69</v>
      </c>
      <c r="P19" s="90" t="s">
        <v>1646</v>
      </c>
      <c r="Q19" s="91" t="s">
        <v>1647</v>
      </c>
      <c r="R19" s="49" t="s">
        <v>1649</v>
      </c>
      <c r="S19" s="91" t="s">
        <v>1650</v>
      </c>
      <c r="T19" s="49" t="s">
        <v>1652</v>
      </c>
      <c r="U19" s="49" t="s">
        <v>111</v>
      </c>
      <c r="V19" s="49"/>
      <c r="W19" s="49"/>
      <c r="X19" s="92" t="s">
        <v>1230</v>
      </c>
      <c r="Y19" s="92"/>
      <c r="Z19" s="92"/>
      <c r="AA19" s="92"/>
      <c r="AB19" s="92" t="s">
        <v>1644</v>
      </c>
      <c r="AC19" s="92"/>
      <c r="AD19" s="93" t="str">
        <f>IF($D$15=1,"Source","Source / references")</f>
        <v>Source / references</v>
      </c>
      <c r="AE19" s="4"/>
    </row>
    <row r="20" spans="1:31" x14ac:dyDescent="0.4">
      <c r="A20" s="94" t="str">
        <f>A21</f>
        <v/>
      </c>
      <c r="B20" s="95"/>
      <c r="C20" s="4"/>
      <c r="D20" s="96"/>
      <c r="E20" s="87"/>
      <c r="F20" s="87"/>
      <c r="G20" s="87"/>
      <c r="H20" s="87"/>
      <c r="I20" s="87"/>
      <c r="J20" s="87"/>
      <c r="K20" s="87"/>
      <c r="L20" s="90"/>
      <c r="M20" s="91"/>
      <c r="N20" s="91"/>
      <c r="O20" s="90"/>
      <c r="P20" s="91"/>
      <c r="Q20" s="91"/>
      <c r="R20" s="49"/>
      <c r="S20" s="91"/>
      <c r="T20" s="49"/>
      <c r="U20" s="49"/>
      <c r="V20" s="49"/>
      <c r="W20" s="49"/>
      <c r="X20" s="97"/>
      <c r="Y20" s="97"/>
      <c r="Z20" s="97"/>
      <c r="AA20" s="97"/>
      <c r="AB20" s="97"/>
      <c r="AC20" s="97"/>
      <c r="AD20" s="98"/>
      <c r="AE20" s="99"/>
    </row>
    <row r="21" spans="1:31" x14ac:dyDescent="0.4">
      <c r="A21" s="21" t="str">
        <f>IF($D$13=1,"",IF($E21&lt;&gt;$D$13-1,"H",""))</f>
        <v/>
      </c>
      <c r="B21" s="42" t="str">
        <f t="shared" ref="B21" ca="1" si="1">IF($H21=0,"V","")</f>
        <v/>
      </c>
      <c r="C21" s="100">
        <f>C18+1</f>
        <v>1</v>
      </c>
      <c r="D21" s="49" cm="1">
        <f t="array" aca="1" ref="D21" ca="1">INDEX(OFFSET(auto_ss_HasDetailedNotes,0,1,500,1),C21)</f>
        <v>5</v>
      </c>
      <c r="E21" s="101" cm="1">
        <f t="array" aca="1" ref="E21" ca="1">INDEX(auto_tblSeries,$D21,E$18)</f>
        <v>1</v>
      </c>
      <c r="F21" s="101" cm="1">
        <f t="array" aca="1" ref="F21" ca="1">INDEX(auto_tblSeries,$D21,F$18)</f>
        <v>3</v>
      </c>
      <c r="G21" s="101" t="str" cm="1">
        <f t="array" aca="1" ref="G21" ca="1">INDEX(auto_tblSeries,$D21,G$18)</f>
        <v>#,##0</v>
      </c>
      <c r="H21" s="101" cm="1">
        <f t="array" aca="1" ref="H21" ca="1">INDEX(auto_tblSeries,$D21,H$18)</f>
        <v>1</v>
      </c>
      <c r="I21" s="101" cm="1">
        <f t="array" aca="1" ref="I21" ca="1">INDEX(auto_tblSeries,$D21,I$18)</f>
        <v>1</v>
      </c>
      <c r="J21" s="101" t="str" cm="1">
        <f t="array" aca="1" ref="J21" ca="1">INDEX(auto_tblSeries,$D21,J$18)</f>
        <v>Rating 0-1</v>
      </c>
      <c r="K21" s="101" t="str" cm="1">
        <f t="array" aca="1" ref="K21" ca="1">INDEX(auto_tblSeries,$D21,K$18)</f>
        <v>1.1b) Poverty: city-level data availability</v>
      </c>
      <c r="L21" s="101" cm="1">
        <f t="array" aca="1" ref="L21" ca="1">INDEX(sys_DataFlat_LU_Grid,$D21,$D$14)</f>
        <v>241</v>
      </c>
      <c r="M21" s="102" cm="1">
        <f t="array" aca="1" ref="M21" ca="1">IF($H21=0,"",INDEX(auto_DataFlat_Classification,$L21))</f>
        <v>5</v>
      </c>
      <c r="N21" s="26" cm="1">
        <f t="array" aca="1" ref="N21" ca="1">IF($H21=0,"",INDEX(auto_DataFlat_DataValue,$L21))</f>
        <v>1</v>
      </c>
      <c r="O21" s="101" t="str" cm="1">
        <f t="array" aca="1" ref="O21" ca="1">INDEX(auto_tblSeries,$D21,O$18)</f>
        <v>In the last 5 years, has city-level data on the population living in poverty been collected and/or published?</v>
      </c>
      <c r="P21" s="26" t="str" cm="1">
        <f t="array" aca="1" ref="P21" ca="1">IF($I21=0,"",IF(N21="n/a","n/a",IF(LEFT(INDEX(tblSeries!$AI$2:$AP$240,$D21,$N21+1),1)="+","",INDEX(tblSeries!$AI$2:$AP$240,$D21,$N21+1))))</f>
        <v>Yes</v>
      </c>
      <c r="Q21" s="26" t="str">
        <f t="shared" ref="Q21" ca="1" si="2">IF(H21=0,"",IF(I21=1,O21,J21))</f>
        <v>In the last 5 years, has city-level data on the population living in poverty been collected and/or published?</v>
      </c>
      <c r="R21" s="26" t="str">
        <f ca="1">CONCATENATE(Q21,IF($I21=0,"",CONCATENATE(CHAR(10),CHAR(10),P21,CHAR(10))))</f>
        <v xml:space="preserve">In the last 5 years, has city-level data on the population living in poverty been collected and/or published?
Yes
</v>
      </c>
      <c r="S21" s="26" t="str" cm="1">
        <f t="array" aca="1" ref="S21" ca="1">IF($H21=0,"",INDEX(auto_DataFlat_Justification,$L21))</f>
        <v>A 2022 UNDP report has data on the percentage of Addis Ababa's population living in poverty. [1]</v>
      </c>
      <c r="T21" s="26" t="str">
        <f t="shared" ref="T21" ca="1" si="3">IF($I21=0,"",CONCATENATE(P21,CHAR(10),CHAR(10),S21))</f>
        <v>Yes
A 2022 UNDP report has data on the percentage of Addis Ababa's population living in poverty. [1]</v>
      </c>
      <c r="U21" s="26" t="str" cm="1">
        <f t="array" aca="1" ref="U21" ca="1">INDEX(auto_DataFlat_Source,L21)</f>
        <v>Economist Impact analyst rating</v>
      </c>
      <c r="V21" s="26"/>
      <c r="W21" s="26"/>
      <c r="X21" s="103" t="str">
        <f ca="1">K21</f>
        <v>1.1b) Poverty: city-level data availability</v>
      </c>
      <c r="Y21" s="104"/>
      <c r="Z21" s="105" t="str" cm="1">
        <f t="array" aca="1" ref="Z21" ca="1">IF(M21="","",INDEX(uxbGlobals!$B$133:$B$139,City_Detail!M21))</f>
        <v xml:space="preserve"> </v>
      </c>
      <c r="AA21" s="104"/>
      <c r="AB21" s="346" t="str" cm="1">
        <f t="array" aca="1" ref="AB21" ca="1">SUBSTITUTE(IF($H21=0,"",INDEX(auto_DataFlat_Justification,$L21)),"n/a","—")</f>
        <v>A 2022 UNDP report has data on the percentage of Addis Ababa's population living in poverty. [1]</v>
      </c>
      <c r="AC21" s="104"/>
      <c r="AD21" s="106" t="str">
        <f ca="1">CONCATENATE("Source: ",$U21)</f>
        <v>Source: Economist Impact analyst rating</v>
      </c>
      <c r="AE21" s="99"/>
    </row>
    <row r="22" spans="1:31" ht="60" x14ac:dyDescent="0.4">
      <c r="A22" s="107" t="str">
        <f>A21</f>
        <v/>
      </c>
      <c r="B22" s="42"/>
      <c r="C22" s="100">
        <f t="shared" ref="C22" si="4">C21</f>
        <v>1</v>
      </c>
      <c r="D22" s="49"/>
      <c r="E22" s="101"/>
      <c r="F22" s="101"/>
      <c r="G22" s="101"/>
      <c r="H22" s="101"/>
      <c r="I22" s="101"/>
      <c r="J22" s="101"/>
      <c r="K22" s="101"/>
      <c r="L22" s="101"/>
      <c r="M22" s="102"/>
      <c r="N22" s="26"/>
      <c r="O22" s="101"/>
      <c r="P22" s="26"/>
      <c r="Q22" s="26"/>
      <c r="R22" s="26"/>
      <c r="S22" s="26"/>
      <c r="T22" s="26"/>
      <c r="U22" s="26"/>
      <c r="V22" s="26"/>
      <c r="W22" s="26"/>
      <c r="X22" s="108" t="str">
        <f ca="1">R21</f>
        <v xml:space="preserve">In the last 5 years, has city-level data on the population living in poverty been collected and/or published?
Yes
</v>
      </c>
      <c r="Y22" s="108"/>
      <c r="Z22" s="109"/>
      <c r="AA22" s="108"/>
      <c r="AB22" s="347"/>
      <c r="AC22" s="108"/>
      <c r="AD22" s="108" t="str" cm="1">
        <f t="array" aca="1" ref="AD22" ca="1">IF($D$15=1,"",SUBSTITUTE(INDEX(auto_DataFlat_References,$L21),"n/a",""))</f>
        <v>[1] United Nations Development Program (UNDP) Ethiopia. Crisis, Resilience and Opportunity: Poverty, Human Development, and the Macro-Economy in Ethiopia, 2020-23. UNDP Ethiopia Working Paper Series (2022). [Accessed April 25th 2024]. Available from: https://bloombergcities.jhu.edu/news/addis-ababa-tackles-poverty-solution-big-problem-itself#:~:text=In%20Addis%20Ababa%2C%20where%20the,committed%20to%20reversing%20that%20trend.</v>
      </c>
      <c r="AE22" s="110" t="str">
        <f t="shared" ref="AE22" ca="1" si="5">AB21</f>
        <v>A 2022 UNDP report has data on the percentage of Addis Ababa's population living in poverty. [1]</v>
      </c>
    </row>
    <row r="23" spans="1:31" x14ac:dyDescent="0.4">
      <c r="A23" s="94" t="str">
        <f>A24</f>
        <v/>
      </c>
      <c r="B23" s="95"/>
      <c r="C23" s="4"/>
      <c r="D23" s="96"/>
      <c r="E23" s="87"/>
      <c r="F23" s="87"/>
      <c r="G23" s="87"/>
      <c r="H23" s="87"/>
      <c r="I23" s="87"/>
      <c r="J23" s="87"/>
      <c r="K23" s="87"/>
      <c r="L23" s="90"/>
      <c r="M23" s="91"/>
      <c r="N23" s="91"/>
      <c r="O23" s="90"/>
      <c r="P23" s="91"/>
      <c r="Q23" s="91"/>
      <c r="R23" s="49"/>
      <c r="S23" s="91"/>
      <c r="T23" s="49"/>
      <c r="U23" s="49"/>
      <c r="V23" s="49"/>
      <c r="W23" s="49"/>
      <c r="X23" s="97"/>
      <c r="Y23" s="97"/>
      <c r="Z23" s="97"/>
      <c r="AA23" s="97"/>
      <c r="AB23" s="97"/>
      <c r="AC23" s="97"/>
      <c r="AD23" s="98"/>
      <c r="AE23" s="99"/>
    </row>
    <row r="24" spans="1:31" x14ac:dyDescent="0.4">
      <c r="A24" s="21" t="str">
        <f>IF($D$13=1,"",IF($E24&lt;&gt;$D$13-1,"H",""))</f>
        <v/>
      </c>
      <c r="B24" s="42" t="str">
        <f t="shared" ref="B24" ca="1" si="6">IF($H24=0,"V","")</f>
        <v/>
      </c>
      <c r="C24" s="100">
        <f>C21+1</f>
        <v>2</v>
      </c>
      <c r="D24" s="49" cm="1">
        <f t="array" aca="1" ref="D24" ca="1">INDEX(OFFSET(auto_ss_HasDetailedNotes,0,1,500,1),C24)</f>
        <v>8</v>
      </c>
      <c r="E24" s="101" cm="1">
        <f t="array" aca="1" ref="E24" ca="1">INDEX(auto_tblSeries,$D24,E$18)</f>
        <v>1</v>
      </c>
      <c r="F24" s="101" cm="1">
        <f t="array" aca="1" ref="F24" ca="1">INDEX(auto_tblSeries,$D24,F$18)</f>
        <v>3</v>
      </c>
      <c r="G24" s="101" t="str" cm="1">
        <f t="array" aca="1" ref="G24" ca="1">INDEX(auto_tblSeries,$D24,G$18)</f>
        <v>#,##0</v>
      </c>
      <c r="H24" s="101" cm="1">
        <f t="array" aca="1" ref="H24" ca="1">INDEX(auto_tblSeries,$D24,H$18)</f>
        <v>1</v>
      </c>
      <c r="I24" s="101" cm="1">
        <f t="array" aca="1" ref="I24" ca="1">INDEX(auto_tblSeries,$D24,I$18)</f>
        <v>1</v>
      </c>
      <c r="J24" s="101" t="str" cm="1">
        <f t="array" aca="1" ref="J24" ca="1">INDEX(auto_tblSeries,$D24,J$18)</f>
        <v>Rating 0-1</v>
      </c>
      <c r="K24" s="101" t="str" cm="1">
        <f t="array" aca="1" ref="K24" ca="1">INDEX(auto_tblSeries,$D24,K$18)</f>
        <v>1.2b) Level of education: city-level data availability</v>
      </c>
      <c r="L24" s="101" cm="1">
        <f t="array" aca="1" ref="L24" ca="1">INDEX(sys_DataFlat_LU_Grid,$D24,$D$14)</f>
        <v>421</v>
      </c>
      <c r="M24" s="102" cm="1">
        <f t="array" aca="1" ref="M24" ca="1">IF($H24=0,"",INDEX(auto_DataFlat_Classification,$L24))</f>
        <v>1</v>
      </c>
      <c r="N24" s="26" cm="1">
        <f t="array" aca="1" ref="N24" ca="1">IF($H24=0,"",INDEX(auto_DataFlat_DataValue,$L24))</f>
        <v>0</v>
      </c>
      <c r="O24" s="101" t="str" cm="1">
        <f t="array" aca="1" ref="O24" ca="1">INDEX(auto_tblSeries,$D24,O$18)</f>
        <v>In the last 5 years, has city-level data on educational attainment been collected and/or published?</v>
      </c>
      <c r="P24" s="26" t="str" cm="1">
        <f t="array" aca="1" ref="P24" ca="1">IF($I24=0,"",IF(N24="n/a","n/a",IF(LEFT(INDEX(tblSeries!$AI$2:$AP$240,$D24,$N24+1),1)="+","",INDEX(tblSeries!$AI$2:$AP$240,$D24,$N24+1))))</f>
        <v>No</v>
      </c>
      <c r="Q24" s="26" t="str">
        <f t="shared" ref="Q24" ca="1" si="7">IF(H24=0,"",IF(I24=1,O24,J24))</f>
        <v>In the last 5 years, has city-level data on educational attainment been collected and/or published?</v>
      </c>
      <c r="R24" s="26" t="str">
        <f ca="1">CONCATENATE(Q24,IF($I24=0,"",CONCATENATE(CHAR(10),CHAR(10),P24,CHAR(10))))</f>
        <v xml:space="preserve">In the last 5 years, has city-level data on educational attainment been collected and/or published?
No
</v>
      </c>
      <c r="S24" s="26" t="str" cm="1">
        <f t="array" aca="1" ref="S24" ca="1">IF($H24=0,"",INDEX(auto_DataFlat_Justification,$L24))</f>
        <v>Data specific to the city of Addis Ababa on educational attainment is not readily available on the websites of the Addis Ababa City Administration Education Bureau, the Ministry of Education or the World Bank [1,2,3,4,5].</v>
      </c>
      <c r="T24" s="26" t="str">
        <f t="shared" ref="T24" ca="1" si="8">IF($I24=0,"",CONCATENATE(P24,CHAR(10),CHAR(10),S24))</f>
        <v>No
Data specific to the city of Addis Ababa on educational attainment is not readily available on the websites of the Addis Ababa City Administration Education Bureau, the Ministry of Education or the World Bank [1,2,3,4,5].</v>
      </c>
      <c r="U24" s="26" t="str" cm="1">
        <f t="array" aca="1" ref="U24" ca="1">INDEX(auto_DataFlat_Source,L24)</f>
        <v>Economist Impact analyst rating</v>
      </c>
      <c r="V24" s="26"/>
      <c r="W24" s="26"/>
      <c r="X24" s="103" t="str">
        <f ca="1">K24</f>
        <v>1.2b) Level of education: city-level data availability</v>
      </c>
      <c r="Y24" s="104"/>
      <c r="Z24" s="105" t="str" cm="1">
        <f t="array" aca="1" ref="Z24" ca="1">IF(M24="","",INDEX(uxbGlobals!$B$133:$B$139,City_Detail!M24))</f>
        <v xml:space="preserve"> </v>
      </c>
      <c r="AA24" s="104"/>
      <c r="AB24" s="346" t="str" cm="1">
        <f t="array" aca="1" ref="AB24" ca="1">SUBSTITUTE(IF($H24=0,"",INDEX(auto_DataFlat_Justification,$L24)),"n/a","—")</f>
        <v>Data specific to the city of Addis Ababa on educational attainment is not readily available on the websites of the Addis Ababa City Administration Education Bureau, the Ministry of Education or the World Bank [1,2,3,4,5].</v>
      </c>
      <c r="AC24" s="104"/>
      <c r="AD24" s="106" t="str">
        <f ca="1">CONCATENATE("Source: ",$U24)</f>
        <v>Source: Economist Impact analyst rating</v>
      </c>
      <c r="AE24" s="99"/>
    </row>
    <row r="25" spans="1:31" ht="108" x14ac:dyDescent="0.4">
      <c r="A25" s="107" t="str">
        <f>A24</f>
        <v/>
      </c>
      <c r="B25" s="42"/>
      <c r="C25" s="100">
        <f t="shared" ref="C25" si="9">C24</f>
        <v>2</v>
      </c>
      <c r="D25" s="49"/>
      <c r="E25" s="101"/>
      <c r="F25" s="101"/>
      <c r="G25" s="101"/>
      <c r="H25" s="101"/>
      <c r="I25" s="101"/>
      <c r="J25" s="101"/>
      <c r="K25" s="101"/>
      <c r="L25" s="101"/>
      <c r="M25" s="102"/>
      <c r="N25" s="26"/>
      <c r="O25" s="101"/>
      <c r="P25" s="26"/>
      <c r="Q25" s="26"/>
      <c r="R25" s="26"/>
      <c r="S25" s="26"/>
      <c r="T25" s="26"/>
      <c r="U25" s="26"/>
      <c r="V25" s="26"/>
      <c r="W25" s="26"/>
      <c r="X25" s="108" t="str">
        <f ca="1">R24</f>
        <v xml:space="preserve">In the last 5 years, has city-level data on educational attainment been collected and/or published?
No
</v>
      </c>
      <c r="Y25" s="108"/>
      <c r="Z25" s="109"/>
      <c r="AA25" s="108"/>
      <c r="AB25" s="347"/>
      <c r="AC25" s="108"/>
      <c r="AD25" s="108" t="str" cm="1">
        <f t="array" aca="1" ref="AD25" ca="1">IF($D$15=1,"",SUBSTITUTE(INDEX(auto_DataFlat_References,$L24),"n/a",""))</f>
        <v>[1] World Bank. Educational attainment, at least completed upper secondary, population 25+, total (%) (cumulative). Washington, DC: The World Bank; [updated 2024]. Available from: https://data.worldbank.org/indicator/SE.SEC.CUAT.UP.ZS 
[2] Ministry of Education. Home. Addis Ababa: Ministry of Education. [Accessed March 28th 2024]. Available from: www.moe.gov.et
[3] Addis Ababa City Education Bureau. City Government of Addis Ababa City Education Bureau. Addis Ababa: Addis Ababa City Education Bureau. [Accessed March 28th 2024]. Available from: www.aaceb.gov.et
[4] Ministry of Education. Education Statistics Annual Abstract September 2019 - March 2020. Addis Ababa: Ministry of Education; [December 2020]. Available from: https://ecde.aau.edu.et/jspui/bitstream/123456789/275/1/MoE%2017%20ESAA%202012%20E.C%20%282019-2020%20G.C.%29.pdf
[5] Lindner, J. Ethiopian Education Statistics. [location unavailable]: Gitnux; [updated December 2023]. Available from: https://gitnux.org/ethiopian-education-statistics/</v>
      </c>
      <c r="AE25" s="110" t="str">
        <f t="shared" ref="AE25" ca="1" si="10">AB24</f>
        <v>Data specific to the city of Addis Ababa on educational attainment is not readily available on the websites of the Addis Ababa City Administration Education Bureau, the Ministry of Education or the World Bank [1,2,3,4,5].</v>
      </c>
    </row>
    <row r="26" spans="1:31" x14ac:dyDescent="0.4">
      <c r="A26" s="94" t="str">
        <f t="shared" ref="A26" si="11">A27</f>
        <v/>
      </c>
      <c r="B26" s="95"/>
      <c r="C26" s="4"/>
      <c r="D26" s="96"/>
      <c r="E26" s="87"/>
      <c r="F26" s="87"/>
      <c r="G26" s="87"/>
      <c r="H26" s="87"/>
      <c r="I26" s="87"/>
      <c r="J26" s="87"/>
      <c r="K26" s="87"/>
      <c r="L26" s="90"/>
      <c r="M26" s="91"/>
      <c r="N26" s="91"/>
      <c r="O26" s="90"/>
      <c r="P26" s="91"/>
      <c r="Q26" s="91"/>
      <c r="R26" s="49"/>
      <c r="S26" s="91"/>
      <c r="T26" s="49"/>
      <c r="U26" s="49"/>
      <c r="V26" s="49"/>
      <c r="W26" s="49"/>
      <c r="X26" s="97"/>
      <c r="Y26" s="97"/>
      <c r="Z26" s="97"/>
      <c r="AA26" s="97"/>
      <c r="AB26" s="97"/>
      <c r="AC26" s="97"/>
      <c r="AD26" s="98"/>
      <c r="AE26" s="99"/>
    </row>
    <row r="27" spans="1:31" x14ac:dyDescent="0.4">
      <c r="A27" s="21" t="str">
        <f t="shared" ref="A27" si="12">IF($D$13=1,"",IF($E27&lt;&gt;$D$13-1,"H",""))</f>
        <v/>
      </c>
      <c r="B27" s="42" t="str">
        <f t="shared" ref="B27" ca="1" si="13">IF($H27=0,"V","")</f>
        <v/>
      </c>
      <c r="C27" s="100">
        <f t="shared" ref="C27" si="14">C24+1</f>
        <v>3</v>
      </c>
      <c r="D27" s="49" cm="1">
        <f t="array" aca="1" ref="D27" ca="1">INDEX(OFFSET(auto_ss_HasDetailedNotes,0,1,500,1),C27)</f>
        <v>11</v>
      </c>
      <c r="E27" s="101" cm="1">
        <f t="array" aca="1" ref="E27" ca="1">INDEX(auto_tblSeries,$D27,E$18)</f>
        <v>1</v>
      </c>
      <c r="F27" s="101" cm="1">
        <f t="array" aca="1" ref="F27" ca="1">INDEX(auto_tblSeries,$D27,F$18)</f>
        <v>3</v>
      </c>
      <c r="G27" s="101" t="str" cm="1">
        <f t="array" aca="1" ref="G27" ca="1">INDEX(auto_tblSeries,$D27,G$18)</f>
        <v>#,##0</v>
      </c>
      <c r="H27" s="101" cm="1">
        <f t="array" aca="1" ref="H27" ca="1">INDEX(auto_tblSeries,$D27,H$18)</f>
        <v>1</v>
      </c>
      <c r="I27" s="101" cm="1">
        <f t="array" aca="1" ref="I27" ca="1">INDEX(auto_tblSeries,$D27,I$18)</f>
        <v>1</v>
      </c>
      <c r="J27" s="101" t="str" cm="1">
        <f t="array" aca="1" ref="J27" ca="1">INDEX(auto_tblSeries,$D27,J$18)</f>
        <v>Rating 0-1</v>
      </c>
      <c r="K27" s="101" t="str" cm="1">
        <f t="array" aca="1" ref="K27" ca="1">INDEX(auto_tblSeries,$D27,K$18)</f>
        <v>1.3b) Total unemployment: city-level data availability</v>
      </c>
      <c r="L27" s="101" cm="1">
        <f t="array" aca="1" ref="L27" ca="1">INDEX(sys_DataFlat_LU_Grid,$D27,$D$14)</f>
        <v>601</v>
      </c>
      <c r="M27" s="102" cm="1">
        <f t="array" aca="1" ref="M27" ca="1">IF($H27=0,"",INDEX(auto_DataFlat_Classification,$L27))</f>
        <v>5</v>
      </c>
      <c r="N27" s="26" cm="1">
        <f t="array" aca="1" ref="N27" ca="1">IF($H27=0,"",INDEX(auto_DataFlat_DataValue,$L27))</f>
        <v>1</v>
      </c>
      <c r="O27" s="101" t="str" cm="1">
        <f t="array" aca="1" ref="O27" ca="1">INDEX(auto_tblSeries,$D27,O$18)</f>
        <v>In the last 5 years, has city-level data on unemployment been collected and/or published?</v>
      </c>
      <c r="P27" s="26" t="str" cm="1">
        <f t="array" aca="1" ref="P27" ca="1">IF($I27=0,"",IF(N27="n/a","n/a",IF(LEFT(INDEX(tblSeries!$AI$2:$AP$240,$D27,$N27+1),1)="+","",INDEX(tblSeries!$AI$2:$AP$240,$D27,$N27+1))))</f>
        <v>Yes</v>
      </c>
      <c r="Q27" s="26" t="str">
        <f t="shared" ref="Q27" ca="1" si="15">IF(H27=0,"",IF(I27=1,O27,J27))</f>
        <v>In the last 5 years, has city-level data on unemployment been collected and/or published?</v>
      </c>
      <c r="R27" s="26" t="str">
        <f t="shared" ref="R27" ca="1" si="16">CONCATENATE(Q27,IF($I27=0,"",CONCATENATE(CHAR(10),CHAR(10),P27,CHAR(10))))</f>
        <v xml:space="preserve">In the last 5 years, has city-level data on unemployment been collected and/or published?
Yes
</v>
      </c>
      <c r="S27" s="26" t="str" cm="1">
        <f t="array" aca="1" ref="S27" ca="1">IF($H27=0,"",INDEX(auto_DataFlat_Justification,$L27))</f>
        <v>A nationwide urban unemployment survey conducted in 2022 included the Addis Ababa unemployment rate. [1]</v>
      </c>
      <c r="T27" s="26" t="str">
        <f t="shared" ref="T27" ca="1" si="17">IF($I27=0,"",CONCATENATE(P27,CHAR(10),CHAR(10),S27))</f>
        <v>Yes
A nationwide urban unemployment survey conducted in 2022 included the Addis Ababa unemployment rate. [1]</v>
      </c>
      <c r="U27" s="26" t="str" cm="1">
        <f t="array" aca="1" ref="U27" ca="1">INDEX(auto_DataFlat_Source,L27)</f>
        <v>Economist Impact analyst rating</v>
      </c>
      <c r="V27" s="26"/>
      <c r="W27" s="26"/>
      <c r="X27" s="103" t="str">
        <f t="shared" ref="X27" ca="1" si="18">K27</f>
        <v>1.3b) Total unemployment: city-level data availability</v>
      </c>
      <c r="Y27" s="104"/>
      <c r="Z27" s="105" t="str" cm="1">
        <f t="array" aca="1" ref="Z27" ca="1">IF(M27="","",INDEX(uxbGlobals!$B$133:$B$139,City_Detail!M27))</f>
        <v xml:space="preserve"> </v>
      </c>
      <c r="AA27" s="104"/>
      <c r="AB27" s="346" t="str" cm="1">
        <f t="array" aca="1" ref="AB27" ca="1">SUBSTITUTE(IF($H27=0,"",INDEX(auto_DataFlat_Justification,$L27)),"n/a","—")</f>
        <v>A nationwide urban unemployment survey conducted in 2022 included the Addis Ababa unemployment rate. [1]</v>
      </c>
      <c r="AC27" s="104"/>
      <c r="AD27" s="106" t="str">
        <f t="shared" ref="AD27" ca="1" si="19">CONCATENATE("Source: ",$U27)</f>
        <v>Source: Economist Impact analyst rating</v>
      </c>
      <c r="AE27" s="99"/>
    </row>
    <row r="28" spans="1:31" ht="48" x14ac:dyDescent="0.4">
      <c r="A28" s="107" t="str">
        <f t="shared" ref="A28" si="20">A27</f>
        <v/>
      </c>
      <c r="B28" s="42"/>
      <c r="C28" s="100">
        <f t="shared" ref="C28" si="21">C27</f>
        <v>3</v>
      </c>
      <c r="D28" s="49"/>
      <c r="E28" s="101"/>
      <c r="F28" s="101"/>
      <c r="G28" s="101"/>
      <c r="H28" s="101"/>
      <c r="I28" s="101"/>
      <c r="J28" s="101"/>
      <c r="K28" s="101"/>
      <c r="L28" s="101"/>
      <c r="M28" s="102"/>
      <c r="N28" s="26"/>
      <c r="O28" s="101"/>
      <c r="P28" s="26"/>
      <c r="Q28" s="26"/>
      <c r="R28" s="26"/>
      <c r="S28" s="26"/>
      <c r="T28" s="26"/>
      <c r="U28" s="26"/>
      <c r="V28" s="26"/>
      <c r="W28" s="26"/>
      <c r="X28" s="108" t="str">
        <f t="shared" ref="X28" ca="1" si="22">R27</f>
        <v xml:space="preserve">In the last 5 years, has city-level data on unemployment been collected and/or published?
Yes
</v>
      </c>
      <c r="Y28" s="108"/>
      <c r="Z28" s="109"/>
      <c r="AA28" s="108"/>
      <c r="AB28" s="347"/>
      <c r="AC28" s="108"/>
      <c r="AD28" s="108" t="str" cm="1">
        <f t="array" aca="1" ref="AD28" ca="1">IF($D$15=1,"",SUBSTITUTE(INDEX(auto_DataFlat_References,$L27),"n/a",""))</f>
        <v>[1] Ethiopian Statistics Service (ESS). The 2022 second Round Urban Employment Unemployment Survey (A Comparative Analysis with 2016, 2018, 2020 UEUS and 2021 LMS Survey Results). Addis Ababa: Ethiopian Statistics Service. [Accessed 25th April 2024]. Available from: http://www.statsethiopia.gov.et/wp-content/uploads/2023/05/2022_-2nd-round-UEUS-Key-Findings.pdf</v>
      </c>
      <c r="AE28" s="110" t="str">
        <f t="shared" ref="AE28" ca="1" si="23">AB27</f>
        <v>A nationwide urban unemployment survey conducted in 2022 included the Addis Ababa unemployment rate. [1]</v>
      </c>
    </row>
    <row r="29" spans="1:31" x14ac:dyDescent="0.4">
      <c r="A29" s="94" t="str">
        <f t="shared" ref="A29" si="24">A30</f>
        <v/>
      </c>
      <c r="B29" s="95"/>
      <c r="C29" s="4"/>
      <c r="D29" s="96"/>
      <c r="E29" s="87"/>
      <c r="F29" s="87"/>
      <c r="G29" s="87"/>
      <c r="H29" s="87"/>
      <c r="I29" s="87"/>
      <c r="J29" s="87"/>
      <c r="K29" s="87"/>
      <c r="L29" s="90"/>
      <c r="M29" s="91"/>
      <c r="N29" s="91"/>
      <c r="O29" s="90"/>
      <c r="P29" s="91"/>
      <c r="Q29" s="91"/>
      <c r="R29" s="49"/>
      <c r="S29" s="91"/>
      <c r="T29" s="49"/>
      <c r="U29" s="49"/>
      <c r="V29" s="49"/>
      <c r="W29" s="49"/>
      <c r="X29" s="97"/>
      <c r="Y29" s="97"/>
      <c r="Z29" s="97"/>
      <c r="AA29" s="97"/>
      <c r="AB29" s="97"/>
      <c r="AC29" s="97"/>
      <c r="AD29" s="98"/>
      <c r="AE29" s="99"/>
    </row>
    <row r="30" spans="1:31" x14ac:dyDescent="0.4">
      <c r="A30" s="21" t="str">
        <f t="shared" ref="A30" si="25">IF($D$13=1,"",IF($E30&lt;&gt;$D$13-1,"H",""))</f>
        <v/>
      </c>
      <c r="B30" s="42" t="str">
        <f t="shared" ref="B30" ca="1" si="26">IF($H30=0,"V","")</f>
        <v/>
      </c>
      <c r="C30" s="100">
        <f t="shared" ref="C30" si="27">C27+1</f>
        <v>4</v>
      </c>
      <c r="D30" s="49" cm="1">
        <f t="array" aca="1" ref="D30" ca="1">INDEX(OFFSET(auto_ss_HasDetailedNotes,0,1,500,1),C30)</f>
        <v>17</v>
      </c>
      <c r="E30" s="101" cm="1">
        <f t="array" aca="1" ref="E30" ca="1">INDEX(auto_tblSeries,$D30,E$18)</f>
        <v>2</v>
      </c>
      <c r="F30" s="101" cm="1">
        <f t="array" aca="1" ref="F30" ca="1">INDEX(auto_tblSeries,$D30,F$18)</f>
        <v>2</v>
      </c>
      <c r="G30" s="101" t="str" cm="1">
        <f t="array" aca="1" ref="G30" ca="1">INDEX(auto_tblSeries,$D30,G$18)</f>
        <v>#,##0</v>
      </c>
      <c r="H30" s="101" cm="1">
        <f t="array" aca="1" ref="H30" ca="1">INDEX(auto_tblSeries,$D30,H$18)</f>
        <v>1</v>
      </c>
      <c r="I30" s="101" cm="1">
        <f t="array" aca="1" ref="I30" ca="1">INDEX(auto_tblSeries,$D30,I$18)</f>
        <v>1</v>
      </c>
      <c r="J30" s="101" t="str" cm="1">
        <f t="array" aca="1" ref="J30" ca="1">INDEX(auto_tblSeries,$D30,J$18)</f>
        <v>Rating 0-2</v>
      </c>
      <c r="K30" s="101" t="str" cm="1">
        <f t="array" aca="1" ref="K30" ca="1">INDEX(auto_tblSeries,$D30,K$18)</f>
        <v>2.3) Active transport</v>
      </c>
      <c r="L30" s="101" cm="1">
        <f t="array" aca="1" ref="L30" ca="1">INDEX(sys_DataFlat_LU_Grid,$D30,$D$14)</f>
        <v>961</v>
      </c>
      <c r="M30" s="102" cm="1">
        <f t="array" aca="1" ref="M30" ca="1">IF($H30=0,"",INDEX(auto_DataFlat_Classification,$L30))</f>
        <v>1</v>
      </c>
      <c r="N30" s="26" cm="1">
        <f t="array" aca="1" ref="N30" ca="1">IF($H30=0,"",INDEX(auto_DataFlat_DataValue,$L30))</f>
        <v>0</v>
      </c>
      <c r="O30" s="101" t="str" cm="1">
        <f t="array" aca="1" ref="O30" ca="1">INDEX(auto_tblSeries,$D30,O$18)</f>
        <v>Does the city have infrastructure for walking (e.g. provision of walking space, safe crossing points, audible signals) or cycling (e.g. cycle lanes)?</v>
      </c>
      <c r="P30" s="26" t="str" cm="1">
        <f t="array" aca="1" ref="P30" ca="1">IF($I30=0,"",IF(N30="n/a","n/a",IF(LEFT(INDEX(tblSeries!$AI$2:$AP$240,$D30,$N30+1),1)="+","",INDEX(tblSeries!$AI$2:$AP$240,$D30,$N30+1))))</f>
        <v>There is no infrastructure for walking and cycling</v>
      </c>
      <c r="Q30" s="26" t="str">
        <f t="shared" ref="Q30" ca="1" si="28">IF(H30=0,"",IF(I30=1,O30,J30))</f>
        <v>Does the city have infrastructure for walking (e.g. provision of walking space, safe crossing points, audible signals) or cycling (e.g. cycle lanes)?</v>
      </c>
      <c r="R30" s="26" t="str">
        <f t="shared" ref="R30" ca="1" si="29">CONCATENATE(Q30,IF($I30=0,"",CONCATENATE(CHAR(10),CHAR(10),P30,CHAR(10))))</f>
        <v xml:space="preserve">Does the city have infrastructure for walking (e.g. provision of walking space, safe crossing points, audible signals) or cycling (e.g. cycle lanes)?
There is no infrastructure for walking and cycling
</v>
      </c>
      <c r="S30" s="26" t="str" cm="1">
        <f t="array" aca="1" ref="S30" ca="1">IF($H30=0,"",INDEX(auto_DataFlat_Justification,$L30))</f>
        <v>Addis Ababa has insufficient and underdeveloped infrastructure for walking and cycling._x000D__x000D_Even though neither the city administration nor the federal ministry of transport websites have sufficient and updated data on pedestrian and cycling infrastructure, a survey report published (in Oct 2023) by the Addis Ababa transport bureau (AATB) shows that the majority (54%) of the city's residents walk for the majority of their daily trips. [1] [2] [3] Pedestrians' daily trips, however, are impeded by inadequate infrastructure and poor enforcement of transport safety related policies and regulations. Some of the challenges pedestrians face include inadequate sized footpaths, dangerous crossing, lack of traffic signs, lack of audible signals, inadequate illuminations, illegal blockages of walking pathways. [1]_x000D__x000D_Addis Ababa's cycling infrastructure and use is very limited. The first cycling lane in the city was the Lebu-Jemo Pilot Cycle Corridor, launched in February 2019. This 2.7km long (3.0 meter clear width) bidirectional cycle track has painted buffers and plastic delineators. Since 2019, four further cycling lanes were implemented in the city. [4] Even though a survey by the AATB showed that about 8% of the sampled respondents/residents own a bicycle, cycling is not captured as a mode of transport in official city government statistics. [4]_x000D__x000D_The AATB, in cooperation with UN Habitat and Institute for Transportation and Development Policy (ITDP) launched its national Non Motorized Transport (NMT) strategy for 2020-29. The NMT strategy aims to provide safe, efficient, and accessible pedestrian and cycling networks for the city's residents. Regarding cycle networks, the strategy calls for the construction of at least 200 km of cycle tracks [4].</v>
      </c>
      <c r="T30" s="26" t="str">
        <f t="shared" ref="T30" ca="1" si="30">IF($I30=0,"",CONCATENATE(P30,CHAR(10),CHAR(10),S30))</f>
        <v>There is no infrastructure for walking and cycling
Addis Ababa has insufficient and underdeveloped infrastructure for walking and cycling._x000D__x000D_Even though neither the city administration nor the federal ministry of transport websites have sufficient and updated data on pedestrian and cycling infrastructure, a survey report published (in Oct 2023) by the Addis Ababa transport bureau (AATB) shows that the majority (54%) of the city's residents walk for the majority of their daily trips. [1] [2] [3] Pedestrians' daily trips, however, are impeded by inadequate infrastructure and poor enforcement of transport safety related policies and regulations. Some of the challenges pedestrians face include inadequate sized footpaths, dangerous crossing, lack of traffic signs, lack of audible signals, inadequate illuminations, illegal blockages of walking pathways. [1]_x000D__x000D_Addis Ababa's cycling infrastructure and use is very limited. The first cycling lane in the city was the Lebu-Jemo Pilot Cycle Corridor, launched in February 2019. This 2.7km long (3.0 meter clear width) bidirectional cycle track has painted buffers and plastic delineators. Since 2019, four further cycling lanes were implemented in the city. [4] Even though a survey by the AATB showed that about 8% of the sampled respondents/residents own a bicycle, cycling is not captured as a mode of transport in official city government statistics. [4]_x000D__x000D_The AATB, in cooperation with UN Habitat and Institute for Transportation and Development Policy (ITDP) launched its national Non Motorized Transport (NMT) strategy for 2020-29. The NMT strategy aims to provide safe, efficient, and accessible pedestrian and cycling networks for the city's residents. Regarding cycle networks, the strategy calls for the construction of at least 200 km of cycle tracks [4].</v>
      </c>
      <c r="U30" s="26" t="str" cm="1">
        <f t="array" aca="1" ref="U30" ca="1">INDEX(auto_DataFlat_Source,L30)</f>
        <v>Economist Impact analyst rating</v>
      </c>
      <c r="V30" s="26"/>
      <c r="W30" s="26"/>
      <c r="X30" s="103" t="str">
        <f t="shared" ref="X30" ca="1" si="31">K30</f>
        <v>2.3) Active transport</v>
      </c>
      <c r="Y30" s="104"/>
      <c r="Z30" s="105" t="str" cm="1">
        <f t="array" aca="1" ref="Z30" ca="1">IF(M30="","",INDEX(uxbGlobals!$B$133:$B$139,City_Detail!M30))</f>
        <v xml:space="preserve"> </v>
      </c>
      <c r="AA30" s="104"/>
      <c r="AB30" s="346" t="str" cm="1">
        <f t="array" aca="1" ref="AB30" ca="1">SUBSTITUTE(IF($H30=0,"",INDEX(auto_DataFlat_Justification,$L30)),"n/a","—")</f>
        <v>Addis Ababa has insufficient and underdeveloped infrastructure for walking and cycling._x000D__x000D_Even though neither the city administration nor the federal ministry of transport websites have sufficient and updated data on pedestrian and cycling infrastructure, a survey report published (in Oct 2023) by the Addis Ababa transport bureau (AATB) shows that the majority (54%) of the city's residents walk for the majority of their daily trips. [1] [2] [3] Pedestrians' daily trips, however, are impeded by inadequate infrastructure and poor enforcement of transport safety related policies and regulations. Some of the challenges pedestrians face include inadequate sized footpaths, dangerous crossing, lack of traffic signs, lack of audible signals, inadequate illuminations, illegal blockages of walking pathways. [1]_x000D__x000D_Addis Ababa's cycling infrastructure and use is very limited. The first cycling lane in the city was the Lebu-Jemo Pilot Cycle Corridor, launched in February 2019. This 2.7km long (3.0 meter clear width) bidirectional cycle track has painted buffers and plastic delineators. Since 2019, four further cycling lanes were implemented in the city. [4] Even though a survey by the AATB showed that about 8% of the sampled respondents/residents own a bicycle, cycling is not captured as a mode of transport in official city government statistics. [4]_x000D__x000D_The AATB, in cooperation with UN Habitat and Institute for Transportation and Development Policy (ITDP) launched its national Non Motorized Transport (NMT) strategy for 2020-29. The NMT strategy aims to provide safe, efficient, and accessible pedestrian and cycling networks for the city's residents. Regarding cycle networks, the strategy calls for the construction of at least 200 km of cycle tracks [4].</v>
      </c>
      <c r="AC30" s="104"/>
      <c r="AD30" s="106" t="str">
        <f t="shared" ref="AD30" ca="1" si="32">CONCATENATE("Source: ",$U30)</f>
        <v>Source: Economist Impact analyst rating</v>
      </c>
      <c r="AE30" s="99"/>
    </row>
    <row r="31" spans="1:31" ht="168" x14ac:dyDescent="0.4">
      <c r="A31" s="107" t="str">
        <f t="shared" ref="A31" si="33">A30</f>
        <v/>
      </c>
      <c r="B31" s="42"/>
      <c r="C31" s="100">
        <f t="shared" ref="C31" si="34">C30</f>
        <v>4</v>
      </c>
      <c r="D31" s="49"/>
      <c r="E31" s="101"/>
      <c r="F31" s="101"/>
      <c r="G31" s="101"/>
      <c r="H31" s="101"/>
      <c r="I31" s="101"/>
      <c r="J31" s="101"/>
      <c r="K31" s="101"/>
      <c r="L31" s="101"/>
      <c r="M31" s="102"/>
      <c r="N31" s="26"/>
      <c r="O31" s="101"/>
      <c r="P31" s="26"/>
      <c r="Q31" s="26"/>
      <c r="R31" s="26"/>
      <c r="S31" s="26"/>
      <c r="T31" s="26"/>
      <c r="U31" s="26"/>
      <c r="V31" s="26"/>
      <c r="W31" s="26"/>
      <c r="X31" s="108" t="str">
        <f t="shared" ref="X31" ca="1" si="35">R30</f>
        <v xml:space="preserve">Does the city have infrastructure for walking (e.g. provision of walking space, safe crossing points, audible signals) or cycling (e.g. cycle lanes)?
There is no infrastructure for walking and cycling
</v>
      </c>
      <c r="Y31" s="108"/>
      <c r="Z31" s="109"/>
      <c r="AA31" s="108"/>
      <c r="AB31" s="347"/>
      <c r="AC31" s="108"/>
      <c r="AD31" s="108" t="str" cm="1">
        <f t="array" aca="1" ref="AD31" ca="1">IF($D$15=1,"",SUBSTITUTE(INDEX(auto_DataFlat_References,$L30),"n/a",""))</f>
        <v>[1] Addis Ababa Road and Transport Bureau. Addis Ababa Non-Motorised Transport Strategy 2019-2028. Addis Ababa: Addis Ababa Road and Transport Bureau; 2019. Available from: https://www.itdp.org/where-we-work/africa/ethiopia/
[2] Addis Ababa City Administration. Addis Ababa City Administration website. Addis Ababa: Addis Ababa City Administration. [Accessed 28 March 2024]. Available from: https://cityaddisababa.gov.et/ 
[3] Ministry of Transport and Logistics. Ministry of Transport and Logistics website. Ethiopia: Ministry of Transport and Logistics. [Accessed 28 March 2024]. Available from: http://www.motl.gov.et/ 
[4] Addis Ababa Transport Bureau. Institute for Transportation and Development Policy (ITDP). Addis Ababa cycle network plan 2023-2032. Addis Ababa: Addis Ababa Transport Bureau, Institute for Transportation and Development Policy (ITDP); 2023. Available from: https://globaldesigningcities.org/wp-content/uploads/2020/08/NMT-Strategy-181109.pdf</v>
      </c>
      <c r="AE31" s="110" t="str">
        <f t="shared" ref="AE31" ca="1" si="36">AB30</f>
        <v>Addis Ababa has insufficient and underdeveloped infrastructure for walking and cycling._x000D__x000D_Even though neither the city administration nor the federal ministry of transport websites have sufficient and updated data on pedestrian and cycling infrastructure, a survey report published (in Oct 2023) by the Addis Ababa transport bureau (AATB) shows that the majority (54%) of the city's residents walk for the majority of their daily trips. [1] [2] [3] Pedestrians' daily trips, however, are impeded by inadequate infrastructure and poor enforcement of transport safety related policies and regulations. Some of the challenges pedestrians face include inadequate sized footpaths, dangerous crossing, lack of traffic signs, lack of audible signals, inadequate illuminations, illegal blockages of walking pathways. [1]_x000D__x000D_Addis Ababa's cycling infrastructure and use is very limited. The first cycling lane in the city was the Lebu-Jemo Pilot Cycle Corridor, launched in February 2019. This 2.7km long (3.0 meter clear width) bidirectional cycle track has painted buffers and plastic delineators. Since 2019, four further cycling lanes were implemented in the city. [4] Even though a survey by the AATB showed that about 8% of the sampled respondents/residents own a bicycle, cycling is not captured as a mode of transport in official city government statistics. [4]_x000D__x000D_The AATB, in cooperation with UN Habitat and Institute for Transportation and Development Policy (ITDP) launched its national Non Motorized Transport (NMT) strategy for 2020-29. The NMT strategy aims to provide safe, efficient, and accessible pedestrian and cycling networks for the city's residents. Regarding cycle networks, the strategy calls for the construction of at least 200 km of cycle tracks [4].</v>
      </c>
    </row>
    <row r="32" spans="1:31" x14ac:dyDescent="0.4">
      <c r="A32" s="94" t="str">
        <f>A33</f>
        <v/>
      </c>
      <c r="B32" s="95"/>
      <c r="C32" s="4"/>
      <c r="D32" s="96"/>
      <c r="E32" s="87"/>
      <c r="F32" s="87"/>
      <c r="G32" s="87"/>
      <c r="H32" s="87"/>
      <c r="I32" s="87"/>
      <c r="J32" s="87"/>
      <c r="K32" s="87"/>
      <c r="L32" s="90"/>
      <c r="M32" s="91"/>
      <c r="N32" s="91"/>
      <c r="O32" s="90"/>
      <c r="P32" s="91"/>
      <c r="Q32" s="91"/>
      <c r="R32" s="49"/>
      <c r="S32" s="91"/>
      <c r="T32" s="49"/>
      <c r="U32" s="49"/>
      <c r="V32" s="49"/>
      <c r="W32" s="49"/>
      <c r="X32" s="97"/>
      <c r="Y32" s="97"/>
      <c r="Z32" s="97"/>
      <c r="AA32" s="97"/>
      <c r="AB32" s="97"/>
      <c r="AC32" s="97"/>
      <c r="AD32" s="98"/>
      <c r="AE32" s="99"/>
    </row>
    <row r="33" spans="1:31" x14ac:dyDescent="0.4">
      <c r="A33" s="21" t="str">
        <f>IF($D$13=1,"",IF($E33&lt;&gt;$D$13-1,"H",""))</f>
        <v/>
      </c>
      <c r="B33" s="42" t="str">
        <f t="shared" ref="B33" ca="1" si="37">IF($H33=0,"V","")</f>
        <v/>
      </c>
      <c r="C33" s="100">
        <f>C30+1</f>
        <v>5</v>
      </c>
      <c r="D33" s="49" cm="1">
        <f t="array" aca="1" ref="D33" ca="1">INDEX(OFFSET(auto_ss_HasDetailedNotes,0,1,500,1),C33)</f>
        <v>20</v>
      </c>
      <c r="E33" s="101" cm="1">
        <f t="array" aca="1" ref="E33" ca="1">INDEX(auto_tblSeries,$D33,E$18)</f>
        <v>2</v>
      </c>
      <c r="F33" s="101" cm="1">
        <f t="array" aca="1" ref="F33" ca="1">INDEX(auto_tblSeries,$D33,F$18)</f>
        <v>3</v>
      </c>
      <c r="G33" s="101" t="str" cm="1">
        <f t="array" aca="1" ref="G33" ca="1">INDEX(auto_tblSeries,$D33,G$18)</f>
        <v>#,##0</v>
      </c>
      <c r="H33" s="101" cm="1">
        <f t="array" aca="1" ref="H33" ca="1">INDEX(auto_tblSeries,$D33,H$18)</f>
        <v>1</v>
      </c>
      <c r="I33" s="101" cm="1">
        <f t="array" aca="1" ref="I33" ca="1">INDEX(auto_tblSeries,$D33,I$18)</f>
        <v>1</v>
      </c>
      <c r="J33" s="101" t="str" cm="1">
        <f t="array" aca="1" ref="J33" ca="1">INDEX(auto_tblSeries,$D33,J$18)</f>
        <v>Rating 0-1</v>
      </c>
      <c r="K33" s="101" t="str" cm="1">
        <f t="array" aca="1" ref="K33" ca="1">INDEX(auto_tblSeries,$D33,K$18)</f>
        <v>2.4b) Food security: city-level data availability</v>
      </c>
      <c r="L33" s="101" cm="1">
        <f t="array" aca="1" ref="L33" ca="1">INDEX(sys_DataFlat_LU_Grid,$D33,$D$14)</f>
        <v>1141</v>
      </c>
      <c r="M33" s="102" cm="1">
        <f t="array" aca="1" ref="M33" ca="1">IF($H33=0,"",INDEX(auto_DataFlat_Classification,$L33))</f>
        <v>5</v>
      </c>
      <c r="N33" s="26" cm="1">
        <f t="array" aca="1" ref="N33" ca="1">IF($H33=0,"",INDEX(auto_DataFlat_DataValue,$L33))</f>
        <v>1</v>
      </c>
      <c r="O33" s="101" t="str" cm="1">
        <f t="array" aca="1" ref="O33" ca="1">INDEX(auto_tblSeries,$D33,O$18)</f>
        <v>In the last 5 years, has city-level data on food insecurity been collected and/or published?</v>
      </c>
      <c r="P33" s="26" t="str" cm="1">
        <f t="array" aca="1" ref="P33" ca="1">IF($I33=0,"",IF(N33="n/a","n/a",IF(LEFT(INDEX(tblSeries!$AI$2:$AP$240,$D33,$N33+1),1)="+","",INDEX(tblSeries!$AI$2:$AP$240,$D33,$N33+1))))</f>
        <v>Yes</v>
      </c>
      <c r="Q33" s="26" t="str">
        <f t="shared" ref="Q33" ca="1" si="38">IF(H33=0,"",IF(I33=1,O33,J33))</f>
        <v>In the last 5 years, has city-level data on food insecurity been collected and/or published?</v>
      </c>
      <c r="R33" s="26" t="str">
        <f ca="1">CONCATENATE(Q33,IF($I33=0,"",CONCATENATE(CHAR(10),CHAR(10),P33,CHAR(10))))</f>
        <v xml:space="preserve">In the last 5 years, has city-level data on food insecurity been collected and/or published?
Yes
</v>
      </c>
      <c r="S33" s="26" t="str" cm="1">
        <f t="array" aca="1" ref="S33" ca="1">IF($H33=0,"",INDEX(auto_DataFlat_Justification,$L33))</f>
        <v>According to a national survey conducted by Ethiopian Statistics Services (ESS) in 2021/22, about a quarter of households in Addis Ababa city faced food insecurity. [1]</v>
      </c>
      <c r="T33" s="26" t="str">
        <f t="shared" ref="T33" ca="1" si="39">IF($I33=0,"",CONCATENATE(P33,CHAR(10),CHAR(10),S33))</f>
        <v>Yes
According to a national survey conducted by Ethiopian Statistics Services (ESS) in 2021/22, about a quarter of households in Addis Ababa city faced food insecurity. [1]</v>
      </c>
      <c r="U33" s="26" t="str" cm="1">
        <f t="array" aca="1" ref="U33" ca="1">INDEX(auto_DataFlat_Source,L33)</f>
        <v>Economist Impact analyst rating</v>
      </c>
      <c r="V33" s="26"/>
      <c r="W33" s="26"/>
      <c r="X33" s="103" t="str">
        <f ca="1">K33</f>
        <v>2.4b) Food security: city-level data availability</v>
      </c>
      <c r="Y33" s="104"/>
      <c r="Z33" s="105" t="str" cm="1">
        <f t="array" aca="1" ref="Z33" ca="1">IF(M33="","",INDEX(uxbGlobals!$B$133:$B$139,City_Detail!M33))</f>
        <v xml:space="preserve"> </v>
      </c>
      <c r="AA33" s="104"/>
      <c r="AB33" s="346" t="str" cm="1">
        <f t="array" aca="1" ref="AB33" ca="1">SUBSTITUTE(IF($H33=0,"",INDEX(auto_DataFlat_Justification,$L33)),"n/a","—")</f>
        <v>According to a national survey conducted by Ethiopian Statistics Services (ESS) in 2021/22, about a quarter of households in Addis Ababa city faced food insecurity. [1]</v>
      </c>
      <c r="AC33" s="104"/>
      <c r="AD33" s="106" t="str">
        <f t="shared" ref="AD33" ca="1" si="40">CONCATENATE("Source: ",$U33)</f>
        <v>Source: Economist Impact analyst rating</v>
      </c>
      <c r="AE33" s="99"/>
    </row>
    <row r="34" spans="1:31" ht="48" x14ac:dyDescent="0.4">
      <c r="A34" s="107" t="str">
        <f>A33</f>
        <v/>
      </c>
      <c r="B34" s="42"/>
      <c r="C34" s="100">
        <f t="shared" ref="C34" si="41">C33</f>
        <v>5</v>
      </c>
      <c r="D34" s="49"/>
      <c r="E34" s="101"/>
      <c r="F34" s="101"/>
      <c r="G34" s="101"/>
      <c r="H34" s="101"/>
      <c r="I34" s="101"/>
      <c r="J34" s="101"/>
      <c r="K34" s="101"/>
      <c r="L34" s="101"/>
      <c r="M34" s="102"/>
      <c r="N34" s="26"/>
      <c r="O34" s="101"/>
      <c r="P34" s="26"/>
      <c r="Q34" s="26"/>
      <c r="R34" s="26"/>
      <c r="S34" s="26"/>
      <c r="T34" s="26"/>
      <c r="U34" s="26"/>
      <c r="V34" s="26"/>
      <c r="W34" s="26"/>
      <c r="X34" s="108" t="str">
        <f ca="1">R33</f>
        <v xml:space="preserve">In the last 5 years, has city-level data on food insecurity been collected and/or published?
Yes
</v>
      </c>
      <c r="Y34" s="108"/>
      <c r="Z34" s="109"/>
      <c r="AA34" s="108"/>
      <c r="AB34" s="347"/>
      <c r="AC34" s="108"/>
      <c r="AD34" s="108" t="str" cm="1">
        <f t="array" aca="1" ref="AD34" ca="1">IF($D$15=1,"",SUBSTITUTE(INDEX(auto_DataFlat_References,$L33),"n/a",""))</f>
        <v>[1] Ethiopian Statistical Service (ESS), World Bank. Ethiopia Socioeconomic Panel Survey (ESPS) Report - Wave 5, 2021/22). Addis Ababa: Ethiopian Statistics Service. [Accessed 25th April 2024]. Available from: http://www.statsethiopia.gov.et/wp-content/uploads/2024/01/2021-22-Survey-Report.pdf)</v>
      </c>
      <c r="AE34" s="110" t="str">
        <f t="shared" ref="AE34" ca="1" si="42">AB33</f>
        <v>According to a national survey conducted by Ethiopian Statistics Services (ESS) in 2021/22, about a quarter of households in Addis Ababa city faced food insecurity. [1]</v>
      </c>
    </row>
    <row r="35" spans="1:31" x14ac:dyDescent="0.4">
      <c r="A35" s="94" t="str">
        <f>A36</f>
        <v/>
      </c>
      <c r="B35" s="95"/>
      <c r="C35" s="4"/>
      <c r="D35" s="96"/>
      <c r="E35" s="87"/>
      <c r="F35" s="87"/>
      <c r="G35" s="87"/>
      <c r="H35" s="87"/>
      <c r="I35" s="87"/>
      <c r="J35" s="87"/>
      <c r="K35" s="87"/>
      <c r="L35" s="90"/>
      <c r="M35" s="91"/>
      <c r="N35" s="91"/>
      <c r="O35" s="90"/>
      <c r="P35" s="91"/>
      <c r="Q35" s="91"/>
      <c r="R35" s="49"/>
      <c r="S35" s="91"/>
      <c r="T35" s="49"/>
      <c r="U35" s="49"/>
      <c r="V35" s="49"/>
      <c r="W35" s="49"/>
      <c r="X35" s="97"/>
      <c r="Y35" s="97"/>
      <c r="Z35" s="97"/>
      <c r="AA35" s="97"/>
      <c r="AB35" s="97"/>
      <c r="AC35" s="97"/>
      <c r="AD35" s="98"/>
      <c r="AE35" s="99"/>
    </row>
    <row r="36" spans="1:31" x14ac:dyDescent="0.4">
      <c r="A36" s="21" t="str">
        <f>IF($D$13=1,"",IF($E36&lt;&gt;$D$13-1,"H",""))</f>
        <v/>
      </c>
      <c r="B36" s="42" t="str">
        <f t="shared" ref="B36" ca="1" si="43">IF($H36=0,"V","")</f>
        <v/>
      </c>
      <c r="C36" s="100">
        <f>C33+1</f>
        <v>6</v>
      </c>
      <c r="D36" s="49" cm="1">
        <f t="array" aca="1" ref="D36" ca="1">INDEX(OFFSET(auto_ss_HasDetailedNotes,0,1,500,1),C36)</f>
        <v>25</v>
      </c>
      <c r="E36" s="101" cm="1">
        <f t="array" aca="1" ref="E36" ca="1">INDEX(auto_tblSeries,$D36,E$18)</f>
        <v>3</v>
      </c>
      <c r="F36" s="101" cm="1">
        <f t="array" aca="1" ref="F36" ca="1">INDEX(auto_tblSeries,$D36,F$18)</f>
        <v>3</v>
      </c>
      <c r="G36" s="101" t="str" cm="1">
        <f t="array" aca="1" ref="G36" ca="1">INDEX(auto_tblSeries,$D36,G$18)</f>
        <v>#,##0</v>
      </c>
      <c r="H36" s="101" cm="1">
        <f t="array" aca="1" ref="H36" ca="1">INDEX(auto_tblSeries,$D36,H$18)</f>
        <v>1</v>
      </c>
      <c r="I36" s="101" cm="1">
        <f t="array" aca="1" ref="I36" ca="1">INDEX(auto_tblSeries,$D36,I$18)</f>
        <v>1</v>
      </c>
      <c r="J36" s="101" t="str" cm="1">
        <f t="array" aca="1" ref="J36" ca="1">INDEX(auto_tblSeries,$D36,J$18)</f>
        <v>Rating 0-1</v>
      </c>
      <c r="K36" s="101" t="str" cm="1">
        <f t="array" aca="1" ref="K36" ca="1">INDEX(auto_tblSeries,$D36,K$18)</f>
        <v>3.1b) Tobacco use: city-level data availability</v>
      </c>
      <c r="L36" s="101" cm="1">
        <f t="array" aca="1" ref="L36" ca="1">INDEX(sys_DataFlat_LU_Grid,$D36,$D$14)</f>
        <v>1441</v>
      </c>
      <c r="M36" s="102" cm="1">
        <f t="array" aca="1" ref="M36" ca="1">IF($H36=0,"",INDEX(auto_DataFlat_Classification,$L36))</f>
        <v>1</v>
      </c>
      <c r="N36" s="26" cm="1">
        <f t="array" aca="1" ref="N36" ca="1">IF($H36=0,"",INDEX(auto_DataFlat_DataValue,$L36))</f>
        <v>0</v>
      </c>
      <c r="O36" s="101" t="str" cm="1">
        <f t="array" aca="1" ref="O36" ca="1">INDEX(auto_tblSeries,$D36,O$18)</f>
        <v>In the last 5 years, has city-level data on tobacco use been collected and/or published?</v>
      </c>
      <c r="P36" s="26" t="str" cm="1">
        <f t="array" aca="1" ref="P36" ca="1">IF($I36=0,"",IF(N36="n/a","n/a",IF(LEFT(INDEX(tblSeries!$AI$2:$AP$240,$D36,$N36+1),1)="+","",INDEX(tblSeries!$AI$2:$AP$240,$D36,$N36+1))))</f>
        <v>No</v>
      </c>
      <c r="Q36" s="26" t="str">
        <f t="shared" ref="Q36" ca="1" si="44">IF(H36=0,"",IF(I36=1,O36,J36))</f>
        <v>In the last 5 years, has city-level data on tobacco use been collected and/or published?</v>
      </c>
      <c r="R36" s="26" t="str">
        <f ca="1">CONCATENATE(Q36,IF($I36=0,"",CONCATENATE(CHAR(10),CHAR(10),P36,CHAR(10))))</f>
        <v xml:space="preserve">In the last 5 years, has city-level data on tobacco use been collected and/or published?
No
</v>
      </c>
      <c r="S36" s="26" t="str" cm="1">
        <f t="array" aca="1" ref="S36" ca="1">IF($H36=0,"",INDEX(auto_DataFlat_Justification,$L36))</f>
        <v>There is no evidence of the availability of city-level data on tobacco use on the websites of relevant agencies such as Addis Ababa Health Bureau, Ministry of Health, Ethiopian Public Health Institute, and WHO Ethiopia office. [1] [2] [3] [4] _x000D__x000D_Ethiopia's first and only Tobacco use survey, called Global Adult Tobacco Survey (GATS), was conducted in 2016. [5]</v>
      </c>
      <c r="T36" s="26" t="str">
        <f t="shared" ref="T36" ca="1" si="45">IF($I36=0,"",CONCATENATE(P36,CHAR(10),CHAR(10),S36))</f>
        <v>No
There is no evidence of the availability of city-level data on tobacco use on the websites of relevant agencies such as Addis Ababa Health Bureau, Ministry of Health, Ethiopian Public Health Institute, and WHO Ethiopia office. [1] [2] [3] [4] _x000D__x000D_Ethiopia's first and only Tobacco use survey, called Global Adult Tobacco Survey (GATS), was conducted in 2016. [5]</v>
      </c>
      <c r="U36" s="26" t="str" cm="1">
        <f t="array" aca="1" ref="U36" ca="1">INDEX(auto_DataFlat_Source,L36)</f>
        <v>Economist Impact analyst rating</v>
      </c>
      <c r="V36" s="26"/>
      <c r="W36" s="26"/>
      <c r="X36" s="103" t="str">
        <f ca="1">K36</f>
        <v>3.1b) Tobacco use: city-level data availability</v>
      </c>
      <c r="Y36" s="104"/>
      <c r="Z36" s="105" t="str" cm="1">
        <f t="array" aca="1" ref="Z36" ca="1">IF(M36="","",INDEX(uxbGlobals!$B$133:$B$139,City_Detail!M36))</f>
        <v xml:space="preserve"> </v>
      </c>
      <c r="AA36" s="104"/>
      <c r="AB36" s="346" t="str" cm="1">
        <f t="array" aca="1" ref="AB36" ca="1">SUBSTITUTE(IF($H36=0,"",INDEX(auto_DataFlat_Justification,$L36)),"n/a","—")</f>
        <v>There is no evidence of the availability of city-level data on tobacco use on the websites of relevant agencies such as Addis Ababa Health Bureau, Ministry of Health, Ethiopian Public Health Institute, and WHO Ethiopia office. [1] [2] [3] [4] _x000D__x000D_Ethiopia's first and only Tobacco use survey, called Global Adult Tobacco Survey (GATS), was conducted in 2016. [5]</v>
      </c>
      <c r="AC36" s="104"/>
      <c r="AD36" s="106" t="str">
        <f t="shared" ref="AD36" ca="1" si="46">CONCATENATE("Source: ",$U36)</f>
        <v>Source: Economist Impact analyst rating</v>
      </c>
      <c r="AE36" s="99"/>
    </row>
    <row r="37" spans="1:31" ht="108" x14ac:dyDescent="0.4">
      <c r="A37" s="107" t="str">
        <f>A36</f>
        <v/>
      </c>
      <c r="B37" s="42"/>
      <c r="C37" s="100">
        <f t="shared" ref="C37" si="47">C36</f>
        <v>6</v>
      </c>
      <c r="D37" s="49"/>
      <c r="E37" s="101"/>
      <c r="F37" s="101"/>
      <c r="G37" s="101"/>
      <c r="H37" s="101"/>
      <c r="I37" s="101"/>
      <c r="J37" s="101"/>
      <c r="K37" s="101"/>
      <c r="L37" s="101"/>
      <c r="M37" s="102"/>
      <c r="N37" s="26"/>
      <c r="O37" s="101"/>
      <c r="P37" s="26"/>
      <c r="Q37" s="26"/>
      <c r="R37" s="26"/>
      <c r="S37" s="26"/>
      <c r="T37" s="26"/>
      <c r="U37" s="26"/>
      <c r="V37" s="26"/>
      <c r="W37" s="26"/>
      <c r="X37" s="108" t="str">
        <f ca="1">R36</f>
        <v xml:space="preserve">In the last 5 years, has city-level data on tobacco use been collected and/or published?
No
</v>
      </c>
      <c r="Y37" s="108"/>
      <c r="Z37" s="109"/>
      <c r="AA37" s="108"/>
      <c r="AB37" s="347"/>
      <c r="AC37" s="108"/>
      <c r="AD37" s="108" t="str" cm="1">
        <f t="array" aca="1" ref="AD37" ca="1">IF($D$15=1,"",SUBSTITUTE(INDEX(auto_DataFlat_References,$L36),"n/a",""))</f>
        <v>[1] Addis Ababa City Health Bureau. City Government of Addis Ababa City Health Bureau. Addis Ababa: Addis Ababa City Health Bureau. [Accessed 25th April 2024]. Available from: https://cityaddisababa.gov.et/en/office/health-bureau 
[2] Ethiopian Ministry of Health. Home. Addis Ababa: Ministry of Health. [Accessed 25th April 2024]. Available from: https://www.moh.gov.et/en
[3] Ethiopian Public Health Institute (EPHI). Home. Addis Ababa: Ethiopian Public Health Institute. [Accessed 25th April 2024]. Available from: https://ephi.gov.et/
[4] Ethiopian Food and Drug Administration (EFDA). Home. Addis Ababa: Ethiopian Food and Drug Administration. [Accessed 25th April 2024]. Available from: http://www.efda.gov.et/
[5] World Health Organization (WHO) African Region/Ethiopia. Home. Addis Ababa: World Health Organization (WHO) Ethiopia. [Accessed 25th April 2024]. Available from: https://www.afro.who.int/countries/ethiopia.</v>
      </c>
      <c r="AE37" s="110" t="str">
        <f ca="1">AB36</f>
        <v>There is no evidence of the availability of city-level data on tobacco use on the websites of relevant agencies such as Addis Ababa Health Bureau, Ministry of Health, Ethiopian Public Health Institute, and WHO Ethiopia office. [1] [2] [3] [4] _x000D__x000D_Ethiopia's first and only Tobacco use survey, called Global Adult Tobacco Survey (GATS), was conducted in 2016. [5]</v>
      </c>
    </row>
    <row r="38" spans="1:31" x14ac:dyDescent="0.4">
      <c r="A38" s="94" t="str">
        <f>A39</f>
        <v/>
      </c>
      <c r="B38" s="95"/>
      <c r="C38" s="4"/>
      <c r="D38" s="96"/>
      <c r="E38" s="87"/>
      <c r="F38" s="87"/>
      <c r="G38" s="87"/>
      <c r="H38" s="87"/>
      <c r="I38" s="87"/>
      <c r="J38" s="87"/>
      <c r="K38" s="87"/>
      <c r="L38" s="90"/>
      <c r="M38" s="91"/>
      <c r="N38" s="91"/>
      <c r="O38" s="90"/>
      <c r="P38" s="91"/>
      <c r="Q38" s="91"/>
      <c r="R38" s="49"/>
      <c r="S38" s="91"/>
      <c r="T38" s="49"/>
      <c r="U38" s="49"/>
      <c r="V38" s="49"/>
      <c r="W38" s="49"/>
      <c r="X38" s="97"/>
      <c r="Y38" s="97"/>
      <c r="Z38" s="97"/>
      <c r="AA38" s="97"/>
      <c r="AB38" s="97"/>
      <c r="AC38" s="97"/>
      <c r="AD38" s="98"/>
      <c r="AE38" s="99"/>
    </row>
    <row r="39" spans="1:31" x14ac:dyDescent="0.4">
      <c r="A39" s="21" t="str">
        <f>IF($D$13=1,"",IF($E39&lt;&gt;$D$13-1,"H",""))</f>
        <v/>
      </c>
      <c r="B39" s="42" t="str">
        <f t="shared" ref="B39" ca="1" si="48">IF($H39=0,"V","")</f>
        <v/>
      </c>
      <c r="C39" s="100">
        <f>C36+1</f>
        <v>7</v>
      </c>
      <c r="D39" s="49" cm="1">
        <f t="array" aca="1" ref="D39" ca="1">INDEX(OFFSET(auto_ss_HasDetailedNotes,0,1,500,1),C39)</f>
        <v>28</v>
      </c>
      <c r="E39" s="101" cm="1">
        <f t="array" aca="1" ref="E39" ca="1">INDEX(auto_tblSeries,$D39,E$18)</f>
        <v>3</v>
      </c>
      <c r="F39" s="101" cm="1">
        <f t="array" aca="1" ref="F39" ca="1">INDEX(auto_tblSeries,$D39,F$18)</f>
        <v>3</v>
      </c>
      <c r="G39" s="101" t="str" cm="1">
        <f t="array" aca="1" ref="G39" ca="1">INDEX(auto_tblSeries,$D39,G$18)</f>
        <v>#,##0</v>
      </c>
      <c r="H39" s="101" cm="1">
        <f t="array" aca="1" ref="H39" ca="1">INDEX(auto_tblSeries,$D39,H$18)</f>
        <v>1</v>
      </c>
      <c r="I39" s="101" cm="1">
        <f t="array" aca="1" ref="I39" ca="1">INDEX(auto_tblSeries,$D39,I$18)</f>
        <v>1</v>
      </c>
      <c r="J39" s="101" t="str" cm="1">
        <f t="array" aca="1" ref="J39" ca="1">INDEX(auto_tblSeries,$D39,J$18)</f>
        <v>Rating 0-1</v>
      </c>
      <c r="K39" s="101" t="str" cm="1">
        <f t="array" aca="1" ref="K39" ca="1">INDEX(auto_tblSeries,$D39,K$18)</f>
        <v>3.2b) Vegetable consumption: city-level data availability</v>
      </c>
      <c r="L39" s="101" cm="1">
        <f t="array" aca="1" ref="L39" ca="1">INDEX(sys_DataFlat_LU_Grid,$D39,$D$14)</f>
        <v>1621</v>
      </c>
      <c r="M39" s="102" cm="1">
        <f t="array" aca="1" ref="M39" ca="1">IF($H39=0,"",INDEX(auto_DataFlat_Classification,$L39))</f>
        <v>1</v>
      </c>
      <c r="N39" s="26" cm="1">
        <f t="array" aca="1" ref="N39" ca="1">IF($H39=0,"",INDEX(auto_DataFlat_DataValue,$L39))</f>
        <v>0</v>
      </c>
      <c r="O39" s="101" t="str" cm="1">
        <f t="array" aca="1" ref="O39" ca="1">INDEX(auto_tblSeries,$D39,O$18)</f>
        <v>In the last 5 years, has city-level data on the consumption of vegetables been collected and/or published?</v>
      </c>
      <c r="P39" s="26" t="str" cm="1">
        <f t="array" aca="1" ref="P39" ca="1">IF($I39=0,"",IF(N39="n/a","n/a",IF(LEFT(INDEX(tblSeries!$AI$2:$AP$240,$D39,$N39+1),1)="+","",INDEX(tblSeries!$AI$2:$AP$240,$D39,$N39+1))))</f>
        <v>No</v>
      </c>
      <c r="Q39" s="26" t="str">
        <f t="shared" ref="Q39" ca="1" si="49">IF(H39=0,"",IF(I39=1,O39,J39))</f>
        <v>In the last 5 years, has city-level data on the consumption of vegetables been collected and/or published?</v>
      </c>
      <c r="R39" s="26" t="str">
        <f ca="1">CONCATENATE(Q39,IF($I39=0,"",CONCATENATE(CHAR(10),CHAR(10),P39,CHAR(10))))</f>
        <v xml:space="preserve">In the last 5 years, has city-level data on the consumption of vegetables been collected and/or published?
No
</v>
      </c>
      <c r="S39" s="26" t="str" cm="1">
        <f t="array" aca="1" ref="S39" ca="1">IF($H39=0,"",INDEX(auto_DataFlat_Justification,$L39))</f>
        <v>Addis Ababa city-level data on diet or on consumption of vegetables is not available through the websites of relevant agencies such as Addis Ababa Health Bureau, Ministry of Health, Ethiopian Public Health Institute, Ethiopian Food and Drug Administration, the WHO Ethiopia office, FAO Ethiopia, and WFP Ethiopia. [1] [2] [3] [4] [5] [6] [7]</v>
      </c>
      <c r="T39" s="26" t="str">
        <f t="shared" ref="T39" ca="1" si="50">IF($I39=0,"",CONCATENATE(P39,CHAR(10),CHAR(10),S39))</f>
        <v>No
Addis Ababa city-level data on diet or on consumption of vegetables is not available through the websites of relevant agencies such as Addis Ababa Health Bureau, Ministry of Health, Ethiopian Public Health Institute, Ethiopian Food and Drug Administration, the WHO Ethiopia office, FAO Ethiopia, and WFP Ethiopia. [1] [2] [3] [4] [5] [6] [7]</v>
      </c>
      <c r="U39" s="26" t="str" cm="1">
        <f t="array" aca="1" ref="U39" ca="1">INDEX(auto_DataFlat_Source,L39)</f>
        <v>Economist Impact analyst rating</v>
      </c>
      <c r="V39" s="26"/>
      <c r="W39" s="26"/>
      <c r="X39" s="103" t="str">
        <f ca="1">K39</f>
        <v>3.2b) Vegetable consumption: city-level data availability</v>
      </c>
      <c r="Y39" s="104"/>
      <c r="Z39" s="105" t="str" cm="1">
        <f t="array" aca="1" ref="Z39" ca="1">IF(M39="","",INDEX(uxbGlobals!$B$133:$B$139,City_Detail!M39))</f>
        <v xml:space="preserve"> </v>
      </c>
      <c r="AA39" s="104"/>
      <c r="AB39" s="346" t="str" cm="1">
        <f t="array" aca="1" ref="AB39" ca="1">SUBSTITUTE(IF($H39=0,"",INDEX(auto_DataFlat_Justification,$L39)),"n/a","—")</f>
        <v>Addis Ababa city-level data on diet or on consumption of vegetables is not available through the websites of relevant agencies such as Addis Ababa Health Bureau, Ministry of Health, Ethiopian Public Health Institute, Ethiopian Food and Drug Administration, the WHO Ethiopia office, FAO Ethiopia, and WFP Ethiopia. [1] [2] [3] [4] [5] [6] [7]</v>
      </c>
      <c r="AC39" s="104"/>
      <c r="AD39" s="106" t="str">
        <f t="shared" ref="AD39" ca="1" si="51">CONCATENATE("Source: ",$U39)</f>
        <v>Source: Economist Impact analyst rating</v>
      </c>
      <c r="AE39" s="99"/>
    </row>
    <row r="40" spans="1:31" ht="156" x14ac:dyDescent="0.4">
      <c r="A40" s="107" t="str">
        <f>A39</f>
        <v/>
      </c>
      <c r="B40" s="42"/>
      <c r="C40" s="100">
        <f t="shared" ref="C40" si="52">C39</f>
        <v>7</v>
      </c>
      <c r="D40" s="49"/>
      <c r="E40" s="101"/>
      <c r="F40" s="101"/>
      <c r="G40" s="101"/>
      <c r="H40" s="101"/>
      <c r="I40" s="101"/>
      <c r="J40" s="101"/>
      <c r="K40" s="101"/>
      <c r="L40" s="101"/>
      <c r="M40" s="102"/>
      <c r="N40" s="26"/>
      <c r="O40" s="101"/>
      <c r="P40" s="26"/>
      <c r="Q40" s="26"/>
      <c r="R40" s="26"/>
      <c r="S40" s="26"/>
      <c r="T40" s="26"/>
      <c r="U40" s="26"/>
      <c r="V40" s="26"/>
      <c r="W40" s="26"/>
      <c r="X40" s="108" t="str">
        <f ca="1">R39</f>
        <v xml:space="preserve">In the last 5 years, has city-level data on the consumption of vegetables been collected and/or published?
No
</v>
      </c>
      <c r="Y40" s="108"/>
      <c r="Z40" s="109"/>
      <c r="AA40" s="108"/>
      <c r="AB40" s="347"/>
      <c r="AC40" s="108"/>
      <c r="AD40" s="108" t="str" cm="1">
        <f t="array" aca="1" ref="AD40" ca="1">IF($D$15=1,"",SUBSTITUTE(INDEX(auto_DataFlat_References,$L39),"n/a",""))</f>
        <v>[1] Addis Ababa City Health Bureau. City Government of Addis Ababa City Health Bureau. Addis Ababa: Addis Ababa City Health Bureau. [Accessed 25th April 2024]. Available from: https://cityaddisababa.gov.et/en/office/health-bureau 
[2] Ethiopian Ministry of Health. Home. Addis Ababa: Ministry of Health. [Accessed 25th April 2024]. Available from: https://www.moh.gov.et/en
[3] Ethiopian Public Health Institute (EPHI). Home. Addis Ababa: Ethiopian Public Health Institute. [Accessed 25th April 2024]. Available from: https://ephi.gov.et/
[4] Ethiopian Food and Drug Administration (EFDA). Home. Addis Ababa: Ethiopian Food and Drug Administration. [Accessed 25th April 2024]. Available from: http://www.efda.gov.et/
[5] World Health Organization (WHO) African Region/Ethiopia. Home. Addis Ababa: World Health Organization (WHO) Ethiopia. [Accessed 25th April 2024]. Available from: https://www.afro.who.int/countries/ethiopia.
[6] Food and Agricultural Organization (FAO) in Ethiopia. Home. Addis Ababa: Food and Agricultural Organization in Ethiopia. [Accessed 25th April 2024]. Available from: https://www.fao.org/ethiopia/en/ 
[7] World Food Program (WFP) African Region/Ethiopia. Home. Addis Ababa: World Food Program Ethiopia. [Accessed 25th April 2024]. Available from: https://www.wfp.org/countries/ethiopia</v>
      </c>
      <c r="AE40" s="110" t="str">
        <f t="shared" ref="AE40" ca="1" si="53">AB39</f>
        <v>Addis Ababa city-level data on diet or on consumption of vegetables is not available through the websites of relevant agencies such as Addis Ababa Health Bureau, Ministry of Health, Ethiopian Public Health Institute, Ethiopian Food and Drug Administration, the WHO Ethiopia office, FAO Ethiopia, and WFP Ethiopia. [1] [2] [3] [4] [5] [6] [7]</v>
      </c>
    </row>
    <row r="41" spans="1:31" x14ac:dyDescent="0.4">
      <c r="A41" s="94" t="str">
        <f t="shared" ref="A41" si="54">A42</f>
        <v/>
      </c>
      <c r="B41" s="95"/>
      <c r="C41" s="4"/>
      <c r="D41" s="96"/>
      <c r="E41" s="87"/>
      <c r="F41" s="87"/>
      <c r="G41" s="87"/>
      <c r="H41" s="87"/>
      <c r="I41" s="87"/>
      <c r="J41" s="87"/>
      <c r="K41" s="87"/>
      <c r="L41" s="90"/>
      <c r="M41" s="91"/>
      <c r="N41" s="91"/>
      <c r="O41" s="90"/>
      <c r="P41" s="91"/>
      <c r="Q41" s="91"/>
      <c r="R41" s="49"/>
      <c r="S41" s="91"/>
      <c r="T41" s="49"/>
      <c r="U41" s="49"/>
      <c r="V41" s="49"/>
      <c r="W41" s="49"/>
      <c r="X41" s="97"/>
      <c r="Y41" s="97"/>
      <c r="Z41" s="97"/>
      <c r="AA41" s="97"/>
      <c r="AB41" s="97"/>
      <c r="AC41" s="97"/>
      <c r="AD41" s="98"/>
      <c r="AE41" s="99"/>
    </row>
    <row r="42" spans="1:31" x14ac:dyDescent="0.4">
      <c r="A42" s="21" t="str">
        <f t="shared" ref="A42" si="55">IF($D$13=1,"",IF($E42&lt;&gt;$D$13-1,"H",""))</f>
        <v/>
      </c>
      <c r="B42" s="42" t="str">
        <f t="shared" ref="B42" ca="1" si="56">IF($H42=0,"V","")</f>
        <v/>
      </c>
      <c r="C42" s="100">
        <f t="shared" ref="C42" si="57">C39+1</f>
        <v>8</v>
      </c>
      <c r="D42" s="49" cm="1">
        <f t="array" aca="1" ref="D42" ca="1">INDEX(OFFSET(auto_ss_HasDetailedNotes,0,1,500,1),C42)</f>
        <v>31</v>
      </c>
      <c r="E42" s="101" cm="1">
        <f t="array" aca="1" ref="E42" ca="1">INDEX(auto_tblSeries,$D42,E$18)</f>
        <v>3</v>
      </c>
      <c r="F42" s="101" cm="1">
        <f t="array" aca="1" ref="F42" ca="1">INDEX(auto_tblSeries,$D42,F$18)</f>
        <v>3</v>
      </c>
      <c r="G42" s="101" t="str" cm="1">
        <f t="array" aca="1" ref="G42" ca="1">INDEX(auto_tblSeries,$D42,G$18)</f>
        <v>#,##0</v>
      </c>
      <c r="H42" s="101" cm="1">
        <f t="array" aca="1" ref="H42" ca="1">INDEX(auto_tblSeries,$D42,H$18)</f>
        <v>1</v>
      </c>
      <c r="I42" s="101" cm="1">
        <f t="array" aca="1" ref="I42" ca="1">INDEX(auto_tblSeries,$D42,I$18)</f>
        <v>1</v>
      </c>
      <c r="J42" s="101" t="str" cm="1">
        <f t="array" aca="1" ref="J42" ca="1">INDEX(auto_tblSeries,$D42,J$18)</f>
        <v>Rating 0-1</v>
      </c>
      <c r="K42" s="101" t="str" cm="1">
        <f t="array" aca="1" ref="K42" ca="1">INDEX(auto_tblSeries,$D42,K$18)</f>
        <v>3.3b) Trans fats consumption: city-level data availability</v>
      </c>
      <c r="L42" s="101" cm="1">
        <f t="array" aca="1" ref="L42" ca="1">INDEX(sys_DataFlat_LU_Grid,$D42,$D$14)</f>
        <v>1801</v>
      </c>
      <c r="M42" s="102" cm="1">
        <f t="array" aca="1" ref="M42" ca="1">IF($H42=0,"",INDEX(auto_DataFlat_Classification,$L42))</f>
        <v>1</v>
      </c>
      <c r="N42" s="26" cm="1">
        <f t="array" aca="1" ref="N42" ca="1">IF($H42=0,"",INDEX(auto_DataFlat_DataValue,$L42))</f>
        <v>0</v>
      </c>
      <c r="O42" s="101" t="str" cm="1">
        <f t="array" aca="1" ref="O42" ca="1">INDEX(auto_tblSeries,$D42,O$18)</f>
        <v>In the last 5 years, has city-level data on the consumption of foods that are high in trans fatty acids been collected and/or published?</v>
      </c>
      <c r="P42" s="26" t="str" cm="1">
        <f t="array" aca="1" ref="P42" ca="1">IF($I42=0,"",IF(N42="n/a","n/a",IF(LEFT(INDEX(tblSeries!$AI$2:$AP$240,$D42,$N42+1),1)="+","",INDEX(tblSeries!$AI$2:$AP$240,$D42,$N42+1))))</f>
        <v>No</v>
      </c>
      <c r="Q42" s="26" t="str">
        <f t="shared" ref="Q42" ca="1" si="58">IF(H42=0,"",IF(I42=1,O42,J42))</f>
        <v>In the last 5 years, has city-level data on the consumption of foods that are high in trans fatty acids been collected and/or published?</v>
      </c>
      <c r="R42" s="26" t="str">
        <f t="shared" ref="R42" ca="1" si="59">CONCATENATE(Q42,IF($I42=0,"",CONCATENATE(CHAR(10),CHAR(10),P42,CHAR(10))))</f>
        <v xml:space="preserve">In the last 5 years, has city-level data on the consumption of foods that are high in trans fatty acids been collected and/or published?
No
</v>
      </c>
      <c r="S42" s="26" t="str" cm="1">
        <f t="array" aca="1" ref="S42" ca="1">IF($H42=0,"",INDEX(auto_DataFlat_Justification,$L42))</f>
        <v>Addis Ababa City level data on diet (or on diet high in fatty acids) is not available on the websites of relevant agencies such as Addis Ababa Health Bureau, Ministry of Health, Ethiopian Public Health Institute, Ethiopian Food and Drug Administration, WHO Ethiopia office, FAO Ethiopia, and WFP Ethiopia. [1] [2] [3] [4] [5] [6] [7]</v>
      </c>
      <c r="T42" s="26" t="str">
        <f t="shared" ref="T42" ca="1" si="60">IF($I42=0,"",CONCATENATE(P42,CHAR(10),CHAR(10),S42))</f>
        <v>No
Addis Ababa City level data on diet (or on diet high in fatty acids) is not available on the websites of relevant agencies such as Addis Ababa Health Bureau, Ministry of Health, Ethiopian Public Health Institute, Ethiopian Food and Drug Administration, WHO Ethiopia office, FAO Ethiopia, and WFP Ethiopia. [1] [2] [3] [4] [5] [6] [7]</v>
      </c>
      <c r="U42" s="26" t="str" cm="1">
        <f t="array" aca="1" ref="U42" ca="1">INDEX(auto_DataFlat_Source,L42)</f>
        <v>Economist Impact analyst rating</v>
      </c>
      <c r="V42" s="26"/>
      <c r="W42" s="26"/>
      <c r="X42" s="103" t="str">
        <f t="shared" ref="X42" ca="1" si="61">K42</f>
        <v>3.3b) Trans fats consumption: city-level data availability</v>
      </c>
      <c r="Y42" s="104"/>
      <c r="Z42" s="105" t="str" cm="1">
        <f t="array" aca="1" ref="Z42" ca="1">IF(M42="","",INDEX(uxbGlobals!$B$133:$B$139,City_Detail!M42))</f>
        <v xml:space="preserve"> </v>
      </c>
      <c r="AA42" s="104"/>
      <c r="AB42" s="346" t="str" cm="1">
        <f t="array" aca="1" ref="AB42" ca="1">SUBSTITUTE(IF($H42=0,"",INDEX(auto_DataFlat_Justification,$L42)),"n/a","—")</f>
        <v>Addis Ababa City level data on diet (or on diet high in fatty acids) is not available on the websites of relevant agencies such as Addis Ababa Health Bureau, Ministry of Health, Ethiopian Public Health Institute, Ethiopian Food and Drug Administration, WHO Ethiopia office, FAO Ethiopia, and WFP Ethiopia. [1] [2] [3] [4] [5] [6] [7]</v>
      </c>
      <c r="AC42" s="104"/>
      <c r="AD42" s="106" t="str">
        <f t="shared" ref="AD42" ca="1" si="62">CONCATENATE("Source: ",$U42)</f>
        <v>Source: Economist Impact analyst rating</v>
      </c>
      <c r="AE42" s="99"/>
    </row>
    <row r="43" spans="1:31" ht="156" x14ac:dyDescent="0.4">
      <c r="A43" s="107" t="str">
        <f t="shared" ref="A43" si="63">A42</f>
        <v/>
      </c>
      <c r="B43" s="42"/>
      <c r="C43" s="100">
        <f t="shared" ref="C43" si="64">C42</f>
        <v>8</v>
      </c>
      <c r="D43" s="49"/>
      <c r="E43" s="101"/>
      <c r="F43" s="101"/>
      <c r="G43" s="101"/>
      <c r="H43" s="101"/>
      <c r="I43" s="101"/>
      <c r="J43" s="101"/>
      <c r="K43" s="101"/>
      <c r="L43" s="101"/>
      <c r="M43" s="102"/>
      <c r="N43" s="26"/>
      <c r="O43" s="101"/>
      <c r="P43" s="26"/>
      <c r="Q43" s="26"/>
      <c r="R43" s="26"/>
      <c r="S43" s="26"/>
      <c r="T43" s="26"/>
      <c r="U43" s="26"/>
      <c r="V43" s="26"/>
      <c r="W43" s="26"/>
      <c r="X43" s="108" t="str">
        <f t="shared" ref="X43" ca="1" si="65">R42</f>
        <v xml:space="preserve">In the last 5 years, has city-level data on the consumption of foods that are high in trans fatty acids been collected and/or published?
No
</v>
      </c>
      <c r="Y43" s="108"/>
      <c r="Z43" s="109"/>
      <c r="AA43" s="108"/>
      <c r="AB43" s="347"/>
      <c r="AC43" s="108"/>
      <c r="AD43" s="108" t="str" cm="1">
        <f t="array" aca="1" ref="AD43" ca="1">IF($D$15=1,"",SUBSTITUTE(INDEX(auto_DataFlat_References,$L42),"n/a",""))</f>
        <v>[1] Addis Ababa City Health Bureau. City Government of Addis Ababa City Health Bureau. Addis Ababa: Addis Ababa City Health Bureau. [Accessed 25th April 2024]. Available from: https://cityaddisababa.gov.et/en/office/health-bureau 
[2] Ethiopian Ministry of Health. Home. Addis Ababa: Ministry of Health. [Accessed 25th April 2024]. Available from: https://www.moh.gov.et/en
[3] Ethiopian Public Health Institute (EPHI). Home. Addis Ababa: Ethiopian Public Health Institute. [Accessed 25th April 2024]. Available from: https://ephi.gov.et/
[4] Ethiopian Food and Drug Administration (EFDA). Home. Addis Ababa: Ethiopian Food and Drug Administration. [Accessed 25th April 2024]. Available from: http://www.efda.gov.et/
[5] World Health Organization (WHO) African Region/Ethiopia. Home. Addis Ababa: World Health Organization (WHO) Ethiopia. [Accessed 25 April 2024]. Available from: https://www.afro.who.int/countries/ethiopia.
[6] Food and Agricultural Organization (FAO) in Ethiopia. Home. Addis Ababa: Food and Agricultural Organization in Ethiopia; [Accessed 25th April 2024]. Available from: https://www.fao.org/ethiopia/en/ 
[7] World Food Program (WFP) African Region/Ethiopia. Home. Addis Ababa: World Food Program Ethiopia. [Accessed 25th April 2024]. Available from: https://www.wfp.org/countries/ethiopia</v>
      </c>
      <c r="AE43" s="110" t="str">
        <f t="shared" ref="AE43" ca="1" si="66">AB42</f>
        <v>Addis Ababa City level data on diet (or on diet high in fatty acids) is not available on the websites of relevant agencies such as Addis Ababa Health Bureau, Ministry of Health, Ethiopian Public Health Institute, Ethiopian Food and Drug Administration, WHO Ethiopia office, FAO Ethiopia, and WFP Ethiopia. [1] [2] [3] [4] [5] [6] [7]</v>
      </c>
    </row>
    <row r="44" spans="1:31" x14ac:dyDescent="0.4">
      <c r="A44" s="94" t="str">
        <f t="shared" ref="A44" si="67">A45</f>
        <v/>
      </c>
      <c r="B44" s="95"/>
      <c r="C44" s="4"/>
      <c r="D44" s="96"/>
      <c r="E44" s="87"/>
      <c r="F44" s="87"/>
      <c r="G44" s="87"/>
      <c r="H44" s="87"/>
      <c r="I44" s="87"/>
      <c r="J44" s="87"/>
      <c r="K44" s="87"/>
      <c r="L44" s="90"/>
      <c r="M44" s="91"/>
      <c r="N44" s="91"/>
      <c r="O44" s="90"/>
      <c r="P44" s="91"/>
      <c r="Q44" s="91"/>
      <c r="R44" s="49"/>
      <c r="S44" s="91"/>
      <c r="T44" s="49"/>
      <c r="U44" s="49"/>
      <c r="V44" s="49"/>
      <c r="W44" s="49"/>
      <c r="X44" s="97"/>
      <c r="Y44" s="97"/>
      <c r="Z44" s="97"/>
      <c r="AA44" s="97"/>
      <c r="AB44" s="97"/>
      <c r="AC44" s="97"/>
      <c r="AD44" s="98"/>
      <c r="AE44" s="99"/>
    </row>
    <row r="45" spans="1:31" x14ac:dyDescent="0.4">
      <c r="A45" s="21" t="str">
        <f t="shared" ref="A45" si="68">IF($D$13=1,"",IF($E45&lt;&gt;$D$13-1,"H",""))</f>
        <v/>
      </c>
      <c r="B45" s="42" t="str">
        <f t="shared" ref="B45" ca="1" si="69">IF($H45=0,"V","")</f>
        <v/>
      </c>
      <c r="C45" s="100">
        <f t="shared" ref="C45" si="70">C42+1</f>
        <v>9</v>
      </c>
      <c r="D45" s="49" cm="1">
        <f t="array" aca="1" ref="D45" ca="1">INDEX(OFFSET(auto_ss_HasDetailedNotes,0,1,500,1),C45)</f>
        <v>34</v>
      </c>
      <c r="E45" s="101" cm="1">
        <f t="array" aca="1" ref="E45" ca="1">INDEX(auto_tblSeries,$D45,E$18)</f>
        <v>3</v>
      </c>
      <c r="F45" s="101" cm="1">
        <f t="array" aca="1" ref="F45" ca="1">INDEX(auto_tblSeries,$D45,F$18)</f>
        <v>3</v>
      </c>
      <c r="G45" s="101" t="str" cm="1">
        <f t="array" aca="1" ref="G45" ca="1">INDEX(auto_tblSeries,$D45,G$18)</f>
        <v>#,##0</v>
      </c>
      <c r="H45" s="101" cm="1">
        <f t="array" aca="1" ref="H45" ca="1">INDEX(auto_tblSeries,$D45,H$18)</f>
        <v>1</v>
      </c>
      <c r="I45" s="101" cm="1">
        <f t="array" aca="1" ref="I45" ca="1">INDEX(auto_tblSeries,$D45,I$18)</f>
        <v>1</v>
      </c>
      <c r="J45" s="101" t="str" cm="1">
        <f t="array" aca="1" ref="J45" ca="1">INDEX(auto_tblSeries,$D45,J$18)</f>
        <v>Rating 0-1</v>
      </c>
      <c r="K45" s="101" t="str" cm="1">
        <f t="array" aca="1" ref="K45" ca="1">INDEX(auto_tblSeries,$D45,K$18)</f>
        <v>3.4b) Physical activity: city-level data availability</v>
      </c>
      <c r="L45" s="101" cm="1">
        <f t="array" aca="1" ref="L45" ca="1">INDEX(sys_DataFlat_LU_Grid,$D45,$D$14)</f>
        <v>1981</v>
      </c>
      <c r="M45" s="102" cm="1">
        <f t="array" aca="1" ref="M45" ca="1">IF($H45=0,"",INDEX(auto_DataFlat_Classification,$L45))</f>
        <v>1</v>
      </c>
      <c r="N45" s="26" cm="1">
        <f t="array" aca="1" ref="N45" ca="1">IF($H45=0,"",INDEX(auto_DataFlat_DataValue,$L45))</f>
        <v>0</v>
      </c>
      <c r="O45" s="101" t="str" cm="1">
        <f t="array" aca="1" ref="O45" ca="1">INDEX(auto_tblSeries,$D45,O$18)</f>
        <v>In the last 5 years, has city-level data on physical activity or inactivity been collected and/or published?</v>
      </c>
      <c r="P45" s="26" t="str" cm="1">
        <f t="array" aca="1" ref="P45" ca="1">IF($I45=0,"",IF(N45="n/a","n/a",IF(LEFT(INDEX(tblSeries!$AI$2:$AP$240,$D45,$N45+1),1)="+","",INDEX(tblSeries!$AI$2:$AP$240,$D45,$N45+1))))</f>
        <v>No</v>
      </c>
      <c r="Q45" s="26" t="str">
        <f t="shared" ref="Q45" ca="1" si="71">IF(H45=0,"",IF(I45=1,O45,J45))</f>
        <v>In the last 5 years, has city-level data on physical activity or inactivity been collected and/or published?</v>
      </c>
      <c r="R45" s="26" t="str">
        <f t="shared" ref="R45" ca="1" si="72">CONCATENATE(Q45,IF($I45=0,"",CONCATENATE(CHAR(10),CHAR(10),P45,CHAR(10))))</f>
        <v xml:space="preserve">In the last 5 years, has city-level data on physical activity or inactivity been collected and/or published?
No
</v>
      </c>
      <c r="S45" s="26" t="str" cm="1">
        <f t="array" aca="1" ref="S45" ca="1">IF($H45=0,"",INDEX(auto_DataFlat_Justification,$L45))</f>
        <v>City level data on physical inactivity among residents of Addis Ababa is not available on the websites of relevant agencies such as the Addis Ababa Health Bureau, Ministry of Health, Ethiopian Public Health Institute, WHO Ethiopia office or Addis Ababa Sports Commission. [1] [2] [3] [4] [5]</v>
      </c>
      <c r="T45" s="26" t="str">
        <f t="shared" ref="T45" ca="1" si="73">IF($I45=0,"",CONCATENATE(P45,CHAR(10),CHAR(10),S45))</f>
        <v>No
City level data on physical inactivity among residents of Addis Ababa is not available on the websites of relevant agencies such as the Addis Ababa Health Bureau, Ministry of Health, Ethiopian Public Health Institute, WHO Ethiopia office or Addis Ababa Sports Commission. [1] [2] [3] [4] [5]</v>
      </c>
      <c r="U45" s="26" t="str" cm="1">
        <f t="array" aca="1" ref="U45" ca="1">INDEX(auto_DataFlat_Source,L45)</f>
        <v>Economist Impact analyst rating</v>
      </c>
      <c r="V45" s="26"/>
      <c r="W45" s="26"/>
      <c r="X45" s="103" t="str">
        <f t="shared" ref="X45" ca="1" si="74">K45</f>
        <v>3.4b) Physical activity: city-level data availability</v>
      </c>
      <c r="Y45" s="104"/>
      <c r="Z45" s="105" t="str" cm="1">
        <f t="array" aca="1" ref="Z45" ca="1">IF(M45="","",INDEX(uxbGlobals!$B$133:$B$139,City_Detail!M45))</f>
        <v xml:space="preserve"> </v>
      </c>
      <c r="AA45" s="104"/>
      <c r="AB45" s="346" t="str" cm="1">
        <f t="array" aca="1" ref="AB45" ca="1">SUBSTITUTE(IF($H45=0,"",INDEX(auto_DataFlat_Justification,$L45)),"n/a","—")</f>
        <v>City level data on physical inactivity among residents of Addis Ababa is not available on the websites of relevant agencies such as the Addis Ababa Health Bureau, Ministry of Health, Ethiopian Public Health Institute, WHO Ethiopia office or Addis Ababa Sports Commission. [1] [2] [3] [4] [5]</v>
      </c>
      <c r="AC45" s="104"/>
      <c r="AD45" s="106" t="str">
        <f t="shared" ref="AD45" ca="1" si="75">CONCATENATE("Source: ",$U45)</f>
        <v>Source: Economist Impact analyst rating</v>
      </c>
      <c r="AE45" s="99"/>
    </row>
    <row r="46" spans="1:31" ht="108" x14ac:dyDescent="0.4">
      <c r="A46" s="107" t="str">
        <f t="shared" ref="A46" si="76">A45</f>
        <v/>
      </c>
      <c r="B46" s="42"/>
      <c r="C46" s="100">
        <f t="shared" ref="C46" si="77">C45</f>
        <v>9</v>
      </c>
      <c r="D46" s="49"/>
      <c r="E46" s="101"/>
      <c r="F46" s="101"/>
      <c r="G46" s="101"/>
      <c r="H46" s="101"/>
      <c r="I46" s="101"/>
      <c r="J46" s="101"/>
      <c r="K46" s="101"/>
      <c r="L46" s="101"/>
      <c r="M46" s="102"/>
      <c r="N46" s="26"/>
      <c r="O46" s="101"/>
      <c r="P46" s="26"/>
      <c r="Q46" s="26"/>
      <c r="R46" s="26"/>
      <c r="S46" s="26"/>
      <c r="T46" s="26"/>
      <c r="U46" s="26"/>
      <c r="V46" s="26"/>
      <c r="W46" s="26"/>
      <c r="X46" s="108" t="str">
        <f t="shared" ref="X46" ca="1" si="78">R45</f>
        <v xml:space="preserve">In the last 5 years, has city-level data on physical activity or inactivity been collected and/or published?
No
</v>
      </c>
      <c r="Y46" s="108"/>
      <c r="Z46" s="109"/>
      <c r="AA46" s="108"/>
      <c r="AB46" s="347"/>
      <c r="AC46" s="108"/>
      <c r="AD46" s="108" t="str" cm="1">
        <f t="array" aca="1" ref="AD46" ca="1">IF($D$15=1,"",SUBSTITUTE(INDEX(auto_DataFlat_References,$L45),"n/a",""))</f>
        <v>[1] Addis Ababa City Health Bureau. City Government of Addis Ababa City Health Bureau. Addis Ababa: Addis Ababa City Health Bureau. [Accessed 25th April 2024]. Available from: https://cityaddisababa.gov.et/en/office/health-bureau 
[2] Addis Ababa City Sports Commission. City Government of Addis Ababa City Sports Commission. Addis Ababa: Addis Ababa City Sports Commission. [Accessed 25th April 2024]. Available from: https://cityaddisababa.gov.et/en/office 
[3] Ethiopian Ministry of Health. Home. Addis Ababa: Ministry of Health. [Accessed 25th April 2024]. Available from: https://www.moh.gov.et/en
[4] Ethiopian Public Health Institute (EPHI). Home. Addis Ababa: Ethiopian Public Health Institute. [Accessed 25th April 2024]. Available from: https://ephi.gov.et/
[5] World Health Organization (WHO) African Region/Ethiopia. Home. Addis Ababa: World Health Organization (WHO) Ethiopia. [Accessed 25th April 2024]. Available from: https://www.afro.who.int/countries/ethiopia.</v>
      </c>
      <c r="AE46" s="110" t="str">
        <f t="shared" ref="AE46" ca="1" si="79">AB45</f>
        <v>City level data on physical inactivity among residents of Addis Ababa is not available on the websites of relevant agencies such as the Addis Ababa Health Bureau, Ministry of Health, Ethiopian Public Health Institute, WHO Ethiopia office or Addis Ababa Sports Commission. [1] [2] [3] [4] [5]</v>
      </c>
    </row>
    <row r="47" spans="1:31" x14ac:dyDescent="0.4">
      <c r="A47" s="94" t="str">
        <f>A48</f>
        <v/>
      </c>
      <c r="B47" s="95"/>
      <c r="C47" s="4"/>
      <c r="D47" s="96"/>
      <c r="E47" s="87"/>
      <c r="F47" s="87"/>
      <c r="G47" s="87"/>
      <c r="H47" s="87"/>
      <c r="I47" s="87"/>
      <c r="J47" s="87"/>
      <c r="K47" s="87"/>
      <c r="L47" s="90"/>
      <c r="M47" s="91"/>
      <c r="N47" s="91"/>
      <c r="O47" s="90"/>
      <c r="P47" s="91"/>
      <c r="Q47" s="91"/>
      <c r="R47" s="49"/>
      <c r="S47" s="91"/>
      <c r="T47" s="49"/>
      <c r="U47" s="49"/>
      <c r="V47" s="49"/>
      <c r="W47" s="49"/>
      <c r="X47" s="97"/>
      <c r="Y47" s="97"/>
      <c r="Z47" s="97"/>
      <c r="AA47" s="97"/>
      <c r="AB47" s="97"/>
      <c r="AC47" s="97"/>
      <c r="AD47" s="98"/>
      <c r="AE47" s="99"/>
    </row>
    <row r="48" spans="1:31" x14ac:dyDescent="0.4">
      <c r="A48" s="21" t="str">
        <f>IF($D$13=1,"",IF($E48&lt;&gt;$D$13-1,"H",""))</f>
        <v/>
      </c>
      <c r="B48" s="42" t="str">
        <f t="shared" ref="B48" ca="1" si="80">IF($H48=0,"V","")</f>
        <v/>
      </c>
      <c r="C48" s="100">
        <f>C45+1</f>
        <v>10</v>
      </c>
      <c r="D48" s="49" cm="1">
        <f t="array" aca="1" ref="D48" ca="1">INDEX(OFFSET(auto_ss_HasDetailedNotes,0,1,500,1),C48)</f>
        <v>37</v>
      </c>
      <c r="E48" s="101" cm="1">
        <f t="array" aca="1" ref="E48" ca="1">INDEX(auto_tblSeries,$D48,E$18)</f>
        <v>3</v>
      </c>
      <c r="F48" s="101" cm="1">
        <f t="array" aca="1" ref="F48" ca="1">INDEX(auto_tblSeries,$D48,F$18)</f>
        <v>3</v>
      </c>
      <c r="G48" s="101" t="str" cm="1">
        <f t="array" aca="1" ref="G48" ca="1">INDEX(auto_tblSeries,$D48,G$18)</f>
        <v>#,##0</v>
      </c>
      <c r="H48" s="101" cm="1">
        <f t="array" aca="1" ref="H48" ca="1">INDEX(auto_tblSeries,$D48,H$18)</f>
        <v>1</v>
      </c>
      <c r="I48" s="101" cm="1">
        <f t="array" aca="1" ref="I48" ca="1">INDEX(auto_tblSeries,$D48,I$18)</f>
        <v>1</v>
      </c>
      <c r="J48" s="101" t="str" cm="1">
        <f t="array" aca="1" ref="J48" ca="1">INDEX(auto_tblSeries,$D48,J$18)</f>
        <v>Rating 0-2</v>
      </c>
      <c r="K48" s="101" t="str" cm="1">
        <f t="array" aca="1" ref="K48" ca="1">INDEX(auto_tblSeries,$D48,K$18)</f>
        <v>3.5b) Hypertension surveillance: city-level data availability</v>
      </c>
      <c r="L48" s="101" cm="1">
        <f t="array" aca="1" ref="L48" ca="1">INDEX(sys_DataFlat_LU_Grid,$D48,$D$14)</f>
        <v>2161</v>
      </c>
      <c r="M48" s="102" cm="1">
        <f t="array" aca="1" ref="M48" ca="1">IF($H48=0,"",INDEX(auto_DataFlat_Classification,$L48))</f>
        <v>3</v>
      </c>
      <c r="N48" s="26" cm="1">
        <f t="array" aca="1" ref="N48" ca="1">IF($H48=0,"",INDEX(auto_DataFlat_DataValue,$L48))</f>
        <v>1</v>
      </c>
      <c r="O48" s="101" t="str" cm="1">
        <f t="array" aca="1" ref="O48" ca="1">INDEX(auto_tblSeries,$D48,O$18)</f>
        <v>Has the city conducted a recent adult risk factor survey covering raised blood pressure/hypertension?
Has the country conducted a recent national adult risk factor survey covering raised blood pressure/hypertension?</v>
      </c>
      <c r="P48" s="26" t="str" cm="1">
        <f t="array" aca="1" ref="P48" ca="1">IF($I48=0,"",IF(N48="n/a","n/a",IF(LEFT(INDEX(tblSeries!$AI$2:$AP$240,$D48,$N48+1),1)="+","",INDEX(tblSeries!$AI$2:$AP$240,$D48,$N48+1))))</f>
        <v>Either a national survey OR a city survey has been conducted</v>
      </c>
      <c r="Q48" s="26" t="str">
        <f t="shared" ref="Q48" ca="1" si="81">IF(H48=0,"",IF(I48=1,O48,J48))</f>
        <v>Has the city conducted a recent adult risk factor survey covering raised blood pressure/hypertension?
Has the country conducted a recent national adult risk factor survey covering raised blood pressure/hypertension?</v>
      </c>
      <c r="R48" s="26" t="str">
        <f ca="1">CONCATENATE(Q48,IF($I48=0,"",CONCATENATE(CHAR(10),CHAR(10),P48,CHAR(10))))</f>
        <v xml:space="preserve">Has the city conducted a recent adult risk factor survey covering raised blood pressure/hypertension?
Has the country conducted a recent national adult risk factor survey covering raised blood pressure/hypertension?
Either a national survey OR a city survey has been conducted
</v>
      </c>
      <c r="S48" s="26" t="str" cm="1">
        <f t="array" aca="1" ref="S48" ca="1">IF($H48=0,"",INDEX(auto_DataFlat_Justification,$L48))</f>
        <v>Ethiopia conducted a national survey on non-communicable disease (NCD) risk factors in 2015. [1] However, there is no evidence that a city-specific survey was conducted. [2]_x000D__x000D_The "STEPS survey on NCD risk factors in Ethiopia" was carried out from April to June 2015 by the Ethiopian Public Health Institute (EPHI). It was a population-based survey of adults aged 15-69 years. A total of 9,801 adults participated in the Ethiopia STEPS survey. A repeat survey was planned for 2020, but there is no evidence or update available on the EPHI website regarding whether the 2020 survey was conducted. [1]_x000D__x000D_There is no evidence that the City of Addis Ababa has ever carried out its own survey on adult risk factors covering raised blood pressure/hypertension. However, systematic meta-analyses and observational studies by EPHI and WHO have estimated the prevalence of hypertension in Addis Ababa to be between 15% and 30%. [3] These studies suggest the need to develop regular blood pressure surveillance programs for early diagnosis and prevention of complications.</v>
      </c>
      <c r="T48" s="26" t="str">
        <f t="shared" ref="T48" ca="1" si="82">IF($I48=0,"",CONCATENATE(P48,CHAR(10),CHAR(10),S48))</f>
        <v>Either a national survey OR a city survey has been conducted
Ethiopia conducted a national survey on non-communicable disease (NCD) risk factors in 2015. [1] However, there is no evidence that a city-specific survey was conducted. [2]_x000D__x000D_The "STEPS survey on NCD risk factors in Ethiopia" was carried out from April to June 2015 by the Ethiopian Public Health Institute (EPHI). It was a population-based survey of adults aged 15-69 years. A total of 9,801 adults participated in the Ethiopia STEPS survey. A repeat survey was planned for 2020, but there is no evidence or update available on the EPHI website regarding whether the 2020 survey was conducted. [1]_x000D__x000D_There is no evidence that the City of Addis Ababa has ever carried out its own survey on adult risk factors covering raised blood pressure/hypertension. However, systematic meta-analyses and observational studies by EPHI and WHO have estimated the prevalence of hypertension in Addis Ababa to be between 15% and 30%. [3] These studies suggest the need to develop regular blood pressure surveillance programs for early diagnosis and prevention of complications.</v>
      </c>
      <c r="U48" s="26" t="str" cm="1">
        <f t="array" aca="1" ref="U48" ca="1">INDEX(auto_DataFlat_Source,L48)</f>
        <v>Economist Impact analyst rating</v>
      </c>
      <c r="V48" s="26"/>
      <c r="W48" s="26"/>
      <c r="X48" s="103" t="str">
        <f ca="1">K48</f>
        <v>3.5b) Hypertension surveillance: city-level data availability</v>
      </c>
      <c r="Y48" s="104"/>
      <c r="Z48" s="105" t="str" cm="1">
        <f t="array" aca="1" ref="Z48" ca="1">IF(M48="","",INDEX(uxbGlobals!$B$133:$B$139,City_Detail!M48))</f>
        <v xml:space="preserve"> </v>
      </c>
      <c r="AA48" s="104"/>
      <c r="AB48" s="346" t="str" cm="1">
        <f t="array" aca="1" ref="AB48" ca="1">SUBSTITUTE(IF($H48=0,"",INDEX(auto_DataFlat_Justification,$L48)),"n/a","—")</f>
        <v>Ethiopia conducted a national survey on non-communicable disease (NCD) risk factors in 2015. [1] However, there is no evidence that a city-specific survey was conducted. [2]_x000D__x000D_The "STEPS survey on NCD risk factors in Ethiopia" was carried out from April to June 2015 by the Ethiopian Public Health Institute (EPHI). It was a population-based survey of adults aged 15-69 years. A total of 9,801 adults participated in the Ethiopia STEPS survey. A repeat survey was planned for 2020, but there is no evidence or update available on the EPHI website regarding whether the 2020 survey was conducted. [1]_x000D__x000D_There is no evidence that the City of Addis Ababa has ever carried out its own survey on adult risk factors covering raised blood pressure/hypertension. However, systematic meta-analyses and observational studies by EPHI and WHO have estimated the prevalence of hypertension in Addis Ababa to be between 15% and 30%. [3] These studies suggest the need to develop regular blood pressure surveillance programs for early diagnosis and prevention of complications.</v>
      </c>
      <c r="AC48" s="104"/>
      <c r="AD48" s="106" t="str">
        <f t="shared" ref="AD48" ca="1" si="83">CONCATENATE("Source: ",$U48)</f>
        <v>Source: Economist Impact analyst rating</v>
      </c>
      <c r="AE48" s="99"/>
    </row>
    <row r="49" spans="1:31" ht="108" x14ac:dyDescent="0.4">
      <c r="A49" s="107" t="str">
        <f>A48</f>
        <v/>
      </c>
      <c r="B49" s="42"/>
      <c r="C49" s="100">
        <f t="shared" ref="C49" si="84">C48</f>
        <v>10</v>
      </c>
      <c r="D49" s="49"/>
      <c r="E49" s="101"/>
      <c r="F49" s="101"/>
      <c r="G49" s="101"/>
      <c r="H49" s="101"/>
      <c r="I49" s="101"/>
      <c r="J49" s="101"/>
      <c r="K49" s="101"/>
      <c r="L49" s="101"/>
      <c r="M49" s="102"/>
      <c r="N49" s="26"/>
      <c r="O49" s="101"/>
      <c r="P49" s="26"/>
      <c r="Q49" s="26"/>
      <c r="R49" s="26"/>
      <c r="S49" s="26"/>
      <c r="T49" s="26"/>
      <c r="U49" s="26"/>
      <c r="V49" s="26"/>
      <c r="W49" s="26"/>
      <c r="X49" s="108" t="str">
        <f ca="1">R48</f>
        <v xml:space="preserve">Has the city conducted a recent adult risk factor survey covering raised blood pressure/hypertension?
Has the country conducted a recent national adult risk factor survey covering raised blood pressure/hypertension?
Either a national survey OR a city survey has been conducted
</v>
      </c>
      <c r="Y49" s="108"/>
      <c r="Z49" s="109"/>
      <c r="AA49" s="108"/>
      <c r="AB49" s="347"/>
      <c r="AC49" s="108"/>
      <c r="AD49" s="108" t="str" cm="1">
        <f t="array" aca="1" ref="AD49" ca="1">IF($D$15=1,"",SUBSTITUTE(INDEX(auto_DataFlat_References,$L48),"n/a",""))</f>
        <v>[1] Ethiopian Public Health Institute (EPHI). Ethiopia STEPS Survey 2015 Fact Sheet. Addis Ababa: Ethiopian Public Health Institute (EPHI); 2015. Available from: http://repository.iifphc.org/bitstream/handle/123456789/1083/Road%20Traffic%20Accident%20%20Fact%20Sheet%202015.pdf?sequence=1 2015 Fact Sheet, Ethiopian Public Health Institute (EPHI), 2015.
[2] Ethiopian Public Health Institute. Summary Report On Ethiopia Steps Survey On Risk Factors For Chronic Noncommunicable Diseases And Prevalence Of Selected NCDs. Addis Ababa: Ethiopian Public Health Institute; December 2016. Available from: https://extranet.who.int/ncdsmicrodata/index.php/catalog/794/download/5523
[3] World Health Organization (WHO). Ethiopia sets to improve hypertension prevention and control at primary health care level. Geneva: World Health Organization (WHO); 16 August, 2019. Available from: https://www.afro.who.int/news/ethiopia-sets-improve-hypertension-prevention-and-control-primary-health-care-level.</v>
      </c>
      <c r="AE49" s="110" t="str">
        <f t="shared" ref="AE49" ca="1" si="85">AB48</f>
        <v>Ethiopia conducted a national survey on non-communicable disease (NCD) risk factors in 2015. [1] However, there is no evidence that a city-specific survey was conducted. [2]_x000D__x000D_The "STEPS survey on NCD risk factors in Ethiopia" was carried out from April to June 2015 by the Ethiopian Public Health Institute (EPHI). It was a population-based survey of adults aged 15-69 years. A total of 9,801 adults participated in the Ethiopia STEPS survey. A repeat survey was planned for 2020, but there is no evidence or update available on the EPHI website regarding whether the 2020 survey was conducted. [1]_x000D__x000D_There is no evidence that the City of Addis Ababa has ever carried out its own survey on adult risk factors covering raised blood pressure/hypertension. However, systematic meta-analyses and observational studies by EPHI and WHO have estimated the prevalence of hypertension in Addis Ababa to be between 15% and 30%. [3] These studies suggest the need to develop regular blood pressure surveillance programs for early diagnosis and prevention of complications.</v>
      </c>
    </row>
    <row r="50" spans="1:31" x14ac:dyDescent="0.4">
      <c r="A50" s="94" t="str">
        <f>A51</f>
        <v/>
      </c>
      <c r="B50" s="95"/>
      <c r="C50" s="4"/>
      <c r="D50" s="96"/>
      <c r="E50" s="87"/>
      <c r="F50" s="87"/>
      <c r="G50" s="87"/>
      <c r="H50" s="87"/>
      <c r="I50" s="87"/>
      <c r="J50" s="87"/>
      <c r="K50" s="87"/>
      <c r="L50" s="90"/>
      <c r="M50" s="91"/>
      <c r="N50" s="91"/>
      <c r="O50" s="90"/>
      <c r="P50" s="91"/>
      <c r="Q50" s="91"/>
      <c r="R50" s="49"/>
      <c r="S50" s="91"/>
      <c r="T50" s="49"/>
      <c r="U50" s="49"/>
      <c r="V50" s="49"/>
      <c r="W50" s="49"/>
      <c r="X50" s="97"/>
      <c r="Y50" s="97"/>
      <c r="Z50" s="97"/>
      <c r="AA50" s="97"/>
      <c r="AB50" s="97"/>
      <c r="AC50" s="97"/>
      <c r="AD50" s="98"/>
      <c r="AE50" s="99"/>
    </row>
    <row r="51" spans="1:31" x14ac:dyDescent="0.4">
      <c r="A51" s="21" t="str">
        <f>IF($D$13=1,"",IF($E51&lt;&gt;$D$13-1,"H",""))</f>
        <v/>
      </c>
      <c r="B51" s="42" t="str">
        <f t="shared" ref="B51" ca="1" si="86">IF($H51=0,"V","")</f>
        <v/>
      </c>
      <c r="C51" s="100">
        <f>C48+1</f>
        <v>11</v>
      </c>
      <c r="D51" s="49" cm="1">
        <f t="array" aca="1" ref="D51" ca="1">INDEX(OFFSET(auto_ss_HasDetailedNotes,0,1,500,1),C51)</f>
        <v>40</v>
      </c>
      <c r="E51" s="101" cm="1">
        <f t="array" aca="1" ref="E51" ca="1">INDEX(auto_tblSeries,$D51,E$18)</f>
        <v>3</v>
      </c>
      <c r="F51" s="101" cm="1">
        <f t="array" aca="1" ref="F51" ca="1">INDEX(auto_tblSeries,$D51,F$18)</f>
        <v>3</v>
      </c>
      <c r="G51" s="101" t="str" cm="1">
        <f t="array" aca="1" ref="G51" ca="1">INDEX(auto_tblSeries,$D51,G$18)</f>
        <v>#,##0</v>
      </c>
      <c r="H51" s="101" cm="1">
        <f t="array" aca="1" ref="H51" ca="1">INDEX(auto_tblSeries,$D51,H$18)</f>
        <v>1</v>
      </c>
      <c r="I51" s="101" cm="1">
        <f t="array" aca="1" ref="I51" ca="1">INDEX(auto_tblSeries,$D51,I$18)</f>
        <v>1</v>
      </c>
      <c r="J51" s="101" t="str" cm="1">
        <f t="array" aca="1" ref="J51" ca="1">INDEX(auto_tblSeries,$D51,J$18)</f>
        <v>Rating 0-1</v>
      </c>
      <c r="K51" s="101" t="str" cm="1">
        <f t="array" aca="1" ref="K51" ca="1">INDEX(auto_tblSeries,$D51,K$18)</f>
        <v>3.6b) Diabetes: city-level data availability</v>
      </c>
      <c r="L51" s="101" cm="1">
        <f t="array" aca="1" ref="L51" ca="1">INDEX(sys_DataFlat_LU_Grid,$D51,$D$14)</f>
        <v>2341</v>
      </c>
      <c r="M51" s="102" cm="1">
        <f t="array" aca="1" ref="M51" ca="1">IF($H51=0,"",INDEX(auto_DataFlat_Classification,$L51))</f>
        <v>1</v>
      </c>
      <c r="N51" s="26" cm="1">
        <f t="array" aca="1" ref="N51" ca="1">IF($H51=0,"",INDEX(auto_DataFlat_DataValue,$L51))</f>
        <v>0</v>
      </c>
      <c r="O51" s="101" t="str" cm="1">
        <f t="array" aca="1" ref="O51" ca="1">INDEX(auto_tblSeries,$D51,O$18)</f>
        <v>In the last 5 years, has city-level data on diabetes been collected and/or published?</v>
      </c>
      <c r="P51" s="26" t="str" cm="1">
        <f t="array" aca="1" ref="P51" ca="1">IF($I51=0,"",IF(N51="n/a","n/a",IF(LEFT(INDEX(tblSeries!$AI$2:$AP$240,$D51,$N51+1),1)="+","",INDEX(tblSeries!$AI$2:$AP$240,$D51,$N51+1))))</f>
        <v>No</v>
      </c>
      <c r="Q51" s="26" t="str">
        <f t="shared" ref="Q51" ca="1" si="87">IF(H51=0,"",IF(I51=1,O51,J51))</f>
        <v>In the last 5 years, has city-level data on diabetes been collected and/or published?</v>
      </c>
      <c r="R51" s="26" t="str">
        <f ca="1">CONCATENATE(Q51,IF($I51=0,"",CONCATENATE(CHAR(10),CHAR(10),P51,CHAR(10))))</f>
        <v xml:space="preserve">In the last 5 years, has city-level data on diabetes been collected and/or published?
No
</v>
      </c>
      <c r="S51" s="26" t="str" cm="1">
        <f t="array" aca="1" ref="S51" ca="1">IF($H51=0,"",INDEX(auto_DataFlat_Justification,$L51))</f>
        <v>City-wide data on prevalence of diabetes in Addis Ababa are not available on the websites of the relevant agencies such as Addis Ababa Health Bureau, Ministry of Health, Ethiopian Public Health Institute, WHO Ethiopia office, or Ethiopian diabetes association. [1] [2] [3] [4] [5]</v>
      </c>
      <c r="T51" s="26" t="str">
        <f t="shared" ref="T51" ca="1" si="88">IF($I51=0,"",CONCATENATE(P51,CHAR(10),CHAR(10),S51))</f>
        <v>No
City-wide data on prevalence of diabetes in Addis Ababa are not available on the websites of the relevant agencies such as Addis Ababa Health Bureau, Ministry of Health, Ethiopian Public Health Institute, WHO Ethiopia office, or Ethiopian diabetes association. [1] [2] [3] [4] [5]</v>
      </c>
      <c r="U51" s="26" t="str" cm="1">
        <f t="array" aca="1" ref="U51" ca="1">INDEX(auto_DataFlat_Source,L51)</f>
        <v>Economist Impact analyst rating</v>
      </c>
      <c r="V51" s="26"/>
      <c r="W51" s="26"/>
      <c r="X51" s="103" t="str">
        <f ca="1">K51</f>
        <v>3.6b) Diabetes: city-level data availability</v>
      </c>
      <c r="Y51" s="104"/>
      <c r="Z51" s="105" t="str" cm="1">
        <f t="array" aca="1" ref="Z51" ca="1">IF(M51="","",INDEX(uxbGlobals!$B$133:$B$139,City_Detail!M51))</f>
        <v xml:space="preserve"> </v>
      </c>
      <c r="AA51" s="104"/>
      <c r="AB51" s="346" t="str" cm="1">
        <f t="array" aca="1" ref="AB51" ca="1">SUBSTITUTE(IF($H51=0,"",INDEX(auto_DataFlat_Justification,$L51)),"n/a","—")</f>
        <v>City-wide data on prevalence of diabetes in Addis Ababa are not available on the websites of the relevant agencies such as Addis Ababa Health Bureau, Ministry of Health, Ethiopian Public Health Institute, WHO Ethiopia office, or Ethiopian diabetes association. [1] [2] [3] [4] [5]</v>
      </c>
      <c r="AC51" s="104"/>
      <c r="AD51" s="106" t="str">
        <f t="shared" ref="AD51" ca="1" si="89">CONCATENATE("Source: ",$U51)</f>
        <v>Source: Economist Impact analyst rating</v>
      </c>
      <c r="AE51" s="99"/>
    </row>
    <row r="52" spans="1:31" ht="108" x14ac:dyDescent="0.4">
      <c r="A52" s="107" t="str">
        <f>A51</f>
        <v/>
      </c>
      <c r="B52" s="42"/>
      <c r="C52" s="100">
        <f t="shared" ref="C52" si="90">C51</f>
        <v>11</v>
      </c>
      <c r="D52" s="49"/>
      <c r="E52" s="101"/>
      <c r="F52" s="101"/>
      <c r="G52" s="101"/>
      <c r="H52" s="101"/>
      <c r="I52" s="101"/>
      <c r="J52" s="101"/>
      <c r="K52" s="101"/>
      <c r="L52" s="101"/>
      <c r="M52" s="102"/>
      <c r="N52" s="26"/>
      <c r="O52" s="101"/>
      <c r="P52" s="26"/>
      <c r="Q52" s="26"/>
      <c r="R52" s="26"/>
      <c r="S52" s="26"/>
      <c r="T52" s="26"/>
      <c r="U52" s="26"/>
      <c r="V52" s="26"/>
      <c r="W52" s="26"/>
      <c r="X52" s="108" t="str">
        <f ca="1">R51</f>
        <v xml:space="preserve">In the last 5 years, has city-level data on diabetes been collected and/or published?
No
</v>
      </c>
      <c r="Y52" s="108"/>
      <c r="Z52" s="109"/>
      <c r="AA52" s="108"/>
      <c r="AB52" s="347"/>
      <c r="AC52" s="108"/>
      <c r="AD52" s="108" t="str" cm="1">
        <f t="array" aca="1" ref="AD52" ca="1">IF($D$15=1,"",SUBSTITUTE(INDEX(auto_DataFlat_References,$L51),"n/a",""))</f>
        <v>[1] Addis Ababa City Health Bureau. City Government of Addis Ababa City Health Bureau. Addis Ababa: Addis Ababa City Health Bureau. [Accessed 25th April 2024]. Available from: https://cityaddisababa.gov.et/en/office/health-bureau 
[2] Ethiopian Ministry of Health. Home. Addis Ababa: Ministry of Health. [Accessed 25th April 2024]. Available from: https://www.moh.gov.et/en
[3] Ethiopian Public Health Institute (EPHI). Home. Addis Ababa: Ethiopian Public Health Institute. [Accessed 25th April 2024]. Available from: https://ephi.gov.et/
[4] World Health Organization (WHO) African Region/Ethiopia. Home. Addis Ababa: World Health Organization (WHO) Ethiopia. [Accessed 25 April 2024]. Available from: https://www.afro.who.int/countries/ethiopia
[5] Ethiopian Diabetes Association. Home. Addis Ababa. Ethiopian Diabetes Association. [Accessed 25th April 2024]. Available from: https://www.ethiopiandiabetesassociation.org/eabout.php</v>
      </c>
      <c r="AE52" s="110" t="str">
        <f t="shared" ref="AE52" ca="1" si="91">AB51</f>
        <v>City-wide data on prevalence of diabetes in Addis Ababa are not available on the websites of the relevant agencies such as Addis Ababa Health Bureau, Ministry of Health, Ethiopian Public Health Institute, WHO Ethiopia office, or Ethiopian diabetes association. [1] [2] [3] [4] [5]</v>
      </c>
    </row>
    <row r="53" spans="1:31" x14ac:dyDescent="0.4">
      <c r="A53" s="94" t="str">
        <f>A54</f>
        <v/>
      </c>
      <c r="B53" s="95"/>
      <c r="C53" s="4"/>
      <c r="D53" s="96"/>
      <c r="E53" s="87"/>
      <c r="F53" s="87"/>
      <c r="G53" s="87"/>
      <c r="H53" s="87"/>
      <c r="I53" s="87"/>
      <c r="J53" s="87"/>
      <c r="K53" s="87"/>
      <c r="L53" s="90"/>
      <c r="M53" s="91"/>
      <c r="N53" s="91"/>
      <c r="O53" s="90"/>
      <c r="P53" s="91"/>
      <c r="Q53" s="91"/>
      <c r="R53" s="49"/>
      <c r="S53" s="91"/>
      <c r="T53" s="49"/>
      <c r="U53" s="49"/>
      <c r="V53" s="49"/>
      <c r="W53" s="49"/>
      <c r="X53" s="97"/>
      <c r="Y53" s="97"/>
      <c r="Z53" s="97"/>
      <c r="AA53" s="97"/>
      <c r="AB53" s="97"/>
      <c r="AC53" s="97"/>
      <c r="AD53" s="98"/>
      <c r="AE53" s="99"/>
    </row>
    <row r="54" spans="1:31" x14ac:dyDescent="0.4">
      <c r="A54" s="21" t="str">
        <f>IF($D$13=1,"",IF($E54&lt;&gt;$D$13-1,"H",""))</f>
        <v/>
      </c>
      <c r="B54" s="42" t="str">
        <f t="shared" ref="B54" ca="1" si="92">IF($H54=0,"V","")</f>
        <v/>
      </c>
      <c r="C54" s="100">
        <f>C51+1</f>
        <v>12</v>
      </c>
      <c r="D54" s="49" cm="1">
        <f t="array" aca="1" ref="D54" ca="1">INDEX(OFFSET(auto_ss_HasDetailedNotes,0,1,500,1),C54)</f>
        <v>43</v>
      </c>
      <c r="E54" s="101" cm="1">
        <f t="array" aca="1" ref="E54" ca="1">INDEX(auto_tblSeries,$D54,E$18)</f>
        <v>3</v>
      </c>
      <c r="F54" s="101" cm="1">
        <f t="array" aca="1" ref="F54" ca="1">INDEX(auto_tblSeries,$D54,F$18)</f>
        <v>3</v>
      </c>
      <c r="G54" s="101" t="str" cm="1">
        <f t="array" aca="1" ref="G54" ca="1">INDEX(auto_tblSeries,$D54,G$18)</f>
        <v>#,##0</v>
      </c>
      <c r="H54" s="101" cm="1">
        <f t="array" aca="1" ref="H54" ca="1">INDEX(auto_tblSeries,$D54,H$18)</f>
        <v>1</v>
      </c>
      <c r="I54" s="101" cm="1">
        <f t="array" aca="1" ref="I54" ca="1">INDEX(auto_tblSeries,$D54,I$18)</f>
        <v>1</v>
      </c>
      <c r="J54" s="101" t="str" cm="1">
        <f t="array" aca="1" ref="J54" ca="1">INDEX(auto_tblSeries,$D54,J$18)</f>
        <v>Rating 0-1</v>
      </c>
      <c r="K54" s="101" t="str" cm="1">
        <f t="array" aca="1" ref="K54" ca="1">INDEX(auto_tblSeries,$D54,K$18)</f>
        <v>3.7b) Obesity: city-level data availability</v>
      </c>
      <c r="L54" s="101" cm="1">
        <f t="array" aca="1" ref="L54" ca="1">INDEX(sys_DataFlat_LU_Grid,$D54,$D$14)</f>
        <v>2521</v>
      </c>
      <c r="M54" s="102" cm="1">
        <f t="array" aca="1" ref="M54" ca="1">IF($H54=0,"",INDEX(auto_DataFlat_Classification,$L54))</f>
        <v>5</v>
      </c>
      <c r="N54" s="26" cm="1">
        <f t="array" aca="1" ref="N54" ca="1">IF($H54=0,"",INDEX(auto_DataFlat_DataValue,$L54))</f>
        <v>1</v>
      </c>
      <c r="O54" s="101" t="str" cm="1">
        <f t="array" aca="1" ref="O54" ca="1">INDEX(auto_tblSeries,$D54,O$18)</f>
        <v>In the last 5 years, has city-level data on obesity been collected and/or published?</v>
      </c>
      <c r="P54" s="26" t="str" cm="1">
        <f t="array" aca="1" ref="P54" ca="1">IF($I54=0,"",IF(N54="n/a","n/a",IF(LEFT(INDEX(tblSeries!$AI$2:$AP$240,$D54,$N54+1),1)="+","",INDEX(tblSeries!$AI$2:$AP$240,$D54,$N54+1))))</f>
        <v>Yes</v>
      </c>
      <c r="Q54" s="26" t="str">
        <f t="shared" ref="Q54" ca="1" si="93">IF(H54=0,"",IF(I54=1,O54,J54))</f>
        <v>In the last 5 years, has city-level data on obesity been collected and/or published?</v>
      </c>
      <c r="R54" s="26" t="str">
        <f ca="1">CONCATENATE(Q54,IF($I54=0,"",CONCATENATE(CHAR(10),CHAR(10),P54,CHAR(10))))</f>
        <v xml:space="preserve">In the last 5 years, has city-level data on obesity been collected and/or published?
Yes
</v>
      </c>
      <c r="S54" s="26" t="str" cm="1">
        <f t="array" aca="1" ref="S54" ca="1">IF($H54=0,"",INDEX(auto_DataFlat_Justification,$L54))</f>
        <v>A report published in 2021 provides the obesity/overweight ratio in Addis Ababa and indicates a strong increase over the past decade. [1] However, the data were collected from 2000 through 2016, but the report was first published in September 2021.</v>
      </c>
      <c r="T54" s="26" t="str">
        <f t="shared" ref="T54" ca="1" si="94">IF($I54=0,"",CONCATENATE(P54,CHAR(10),CHAR(10),S54))</f>
        <v>Yes
A report published in 2021 provides the obesity/overweight ratio in Addis Ababa and indicates a strong increase over the past decade. [1] However, the data were collected from 2000 through 2016, but the report was first published in September 2021.</v>
      </c>
      <c r="U54" s="26" t="str" cm="1">
        <f t="array" aca="1" ref="U54" ca="1">INDEX(auto_DataFlat_Source,L54)</f>
        <v>Economist Impact analyst rating</v>
      </c>
      <c r="V54" s="26"/>
      <c r="W54" s="26"/>
      <c r="X54" s="103" t="str">
        <f ca="1">K54</f>
        <v>3.7b) Obesity: city-level data availability</v>
      </c>
      <c r="Y54" s="104"/>
      <c r="Z54" s="105" t="str" cm="1">
        <f t="array" aca="1" ref="Z54" ca="1">IF(M54="","",INDEX(uxbGlobals!$B$133:$B$139,City_Detail!M54))</f>
        <v xml:space="preserve"> </v>
      </c>
      <c r="AA54" s="104"/>
      <c r="AB54" s="346" t="str" cm="1">
        <f t="array" aca="1" ref="AB54" ca="1">SUBSTITUTE(IF($H54=0,"",INDEX(auto_DataFlat_Justification,$L54)),"n/a","—")</f>
        <v>A report published in 2021 provides the obesity/overweight ratio in Addis Ababa and indicates a strong increase over the past decade. [1] However, the data were collected from 2000 through 2016, but the report was first published in September 2021.</v>
      </c>
      <c r="AC54" s="104"/>
      <c r="AD54" s="106" t="str">
        <f t="shared" ref="AD54" ca="1" si="95">CONCATENATE("Source: ",$U54)</f>
        <v>Source: Economist Impact analyst rating</v>
      </c>
      <c r="AE54" s="99"/>
    </row>
    <row r="55" spans="1:31" ht="48" x14ac:dyDescent="0.4">
      <c r="A55" s="107" t="str">
        <f>A54</f>
        <v/>
      </c>
      <c r="B55" s="42"/>
      <c r="C55" s="100">
        <f t="shared" ref="C55" si="96">C54</f>
        <v>12</v>
      </c>
      <c r="D55" s="49"/>
      <c r="E55" s="101"/>
      <c r="F55" s="101"/>
      <c r="G55" s="101"/>
      <c r="H55" s="101"/>
      <c r="I55" s="101"/>
      <c r="J55" s="101"/>
      <c r="K55" s="101"/>
      <c r="L55" s="101"/>
      <c r="M55" s="102"/>
      <c r="N55" s="26"/>
      <c r="O55" s="101"/>
      <c r="P55" s="26"/>
      <c r="Q55" s="26"/>
      <c r="R55" s="26"/>
      <c r="S55" s="26"/>
      <c r="T55" s="26"/>
      <c r="U55" s="26"/>
      <c r="V55" s="26"/>
      <c r="W55" s="26"/>
      <c r="X55" s="108" t="str">
        <f ca="1">R54</f>
        <v xml:space="preserve">In the last 5 years, has city-level data on obesity been collected and/or published?
Yes
</v>
      </c>
      <c r="Y55" s="108"/>
      <c r="Z55" s="109"/>
      <c r="AA55" s="108"/>
      <c r="AB55" s="347"/>
      <c r="AC55" s="108"/>
      <c r="AD55" s="108" t="str" cm="1">
        <f t="array" aca="1" ref="AD55" ca="1">IF($D$15=1,"",SUBSTITUTE(INDEX(auto_DataFlat_References,$L54),"n/a",""))</f>
        <v>[1] Ethiopian Public Health Institute (EPHI)/National Information Platforms for Nutrition (NIPN) (2021). The Rise in Overweight, Obesity and Nutrition Related Non-Communicable Diseases in Ethiopia: A Call for Action. [Accessed 25th April 2024]. Available from: https://www.nipn.ephi.gov.et/sites/default/files/2021-10/NCD_Policy_Brief_NIPN_September_2021_3.pdf</v>
      </c>
      <c r="AE55" s="110" t="str">
        <f t="shared" ref="AE55" ca="1" si="97">AB54</f>
        <v>A report published in 2021 provides the obesity/overweight ratio in Addis Ababa and indicates a strong increase over the past decade. [1] However, the data were collected from 2000 through 2016, but the report was first published in September 2021.</v>
      </c>
    </row>
    <row r="56" spans="1:31" x14ac:dyDescent="0.4">
      <c r="A56" s="94" t="str">
        <f t="shared" ref="A56" si="98">A57</f>
        <v/>
      </c>
      <c r="B56" s="95"/>
      <c r="C56" s="4"/>
      <c r="D56" s="96"/>
      <c r="E56" s="87"/>
      <c r="F56" s="87"/>
      <c r="G56" s="87"/>
      <c r="H56" s="87"/>
      <c r="I56" s="87"/>
      <c r="J56" s="87"/>
      <c r="K56" s="87"/>
      <c r="L56" s="90"/>
      <c r="M56" s="91"/>
      <c r="N56" s="91"/>
      <c r="O56" s="90"/>
      <c r="P56" s="91"/>
      <c r="Q56" s="91"/>
      <c r="R56" s="49"/>
      <c r="S56" s="91"/>
      <c r="T56" s="49"/>
      <c r="U56" s="49"/>
      <c r="V56" s="49"/>
      <c r="W56" s="49"/>
      <c r="X56" s="97"/>
      <c r="Y56" s="97"/>
      <c r="Z56" s="97"/>
      <c r="AA56" s="97"/>
      <c r="AB56" s="97"/>
      <c r="AC56" s="97"/>
      <c r="AD56" s="98"/>
      <c r="AE56" s="99"/>
    </row>
    <row r="57" spans="1:31" x14ac:dyDescent="0.4">
      <c r="A57" s="21" t="str">
        <f t="shared" ref="A57" si="99">IF($D$13=1,"",IF($E57&lt;&gt;$D$13-1,"H",""))</f>
        <v/>
      </c>
      <c r="B57" s="42" t="str">
        <f t="shared" ref="B57" ca="1" si="100">IF($H57=0,"V","")</f>
        <v/>
      </c>
      <c r="C57" s="100">
        <f t="shared" ref="C57" si="101">C54+1</f>
        <v>13</v>
      </c>
      <c r="D57" s="49" cm="1">
        <f t="array" aca="1" ref="D57" ca="1">INDEX(OFFSET(auto_ss_HasDetailedNotes,0,1,500,1),C57)</f>
        <v>46</v>
      </c>
      <c r="E57" s="101" cm="1">
        <f t="array" aca="1" ref="E57" ca="1">INDEX(auto_tblSeries,$D57,E$18)</f>
        <v>3</v>
      </c>
      <c r="F57" s="101" cm="1">
        <f t="array" aca="1" ref="F57" ca="1">INDEX(auto_tblSeries,$D57,F$18)</f>
        <v>3</v>
      </c>
      <c r="G57" s="101" t="str" cm="1">
        <f t="array" aca="1" ref="G57" ca="1">INDEX(auto_tblSeries,$D57,G$18)</f>
        <v>#,##0</v>
      </c>
      <c r="H57" s="101" cm="1">
        <f t="array" aca="1" ref="H57" ca="1">INDEX(auto_tblSeries,$D57,H$18)</f>
        <v>1</v>
      </c>
      <c r="I57" s="101" cm="1">
        <f t="array" aca="1" ref="I57" ca="1">INDEX(auto_tblSeries,$D57,I$18)</f>
        <v>1</v>
      </c>
      <c r="J57" s="101" t="str" cm="1">
        <f t="array" aca="1" ref="J57" ca="1">INDEX(auto_tblSeries,$D57,J$18)</f>
        <v>Rating 0-1</v>
      </c>
      <c r="K57" s="101" t="str" cm="1">
        <f t="array" aca="1" ref="K57" ca="1">INDEX(auto_tblSeries,$D57,K$18)</f>
        <v>3.8b) Cholesterol: city-level data availability</v>
      </c>
      <c r="L57" s="101" cm="1">
        <f t="array" aca="1" ref="L57" ca="1">INDEX(sys_DataFlat_LU_Grid,$D57,$D$14)</f>
        <v>2701</v>
      </c>
      <c r="M57" s="102" cm="1">
        <f t="array" aca="1" ref="M57" ca="1">IF($H57=0,"",INDEX(auto_DataFlat_Classification,$L57))</f>
        <v>1</v>
      </c>
      <c r="N57" s="26" cm="1">
        <f t="array" aca="1" ref="N57" ca="1">IF($H57=0,"",INDEX(auto_DataFlat_DataValue,$L57))</f>
        <v>0</v>
      </c>
      <c r="O57" s="101" t="str" cm="1">
        <f t="array" aca="1" ref="O57" ca="1">INDEX(auto_tblSeries,$D57,O$18)</f>
        <v>In the last 5 years, has city-level data on high cholesterol been collected and/or published?</v>
      </c>
      <c r="P57" s="26" t="str" cm="1">
        <f t="array" aca="1" ref="P57" ca="1">IF($I57=0,"",IF(N57="n/a","n/a",IF(LEFT(INDEX(tblSeries!$AI$2:$AP$240,$D57,$N57+1),1)="+","",INDEX(tblSeries!$AI$2:$AP$240,$D57,$N57+1))))</f>
        <v>No</v>
      </c>
      <c r="Q57" s="26" t="str">
        <f t="shared" ref="Q57" ca="1" si="102">IF(H57=0,"",IF(I57=1,O57,J57))</f>
        <v>In the last 5 years, has city-level data on high cholesterol been collected and/or published?</v>
      </c>
      <c r="R57" s="26" t="str">
        <f t="shared" ref="R57" ca="1" si="103">CONCATENATE(Q57,IF($I57=0,"",CONCATENATE(CHAR(10),CHAR(10),P57,CHAR(10))))</f>
        <v xml:space="preserve">In the last 5 years, has city-level data on high cholesterol been collected and/or published?
No
</v>
      </c>
      <c r="S57" s="26" t="str" cm="1">
        <f t="array" aca="1" ref="S57" ca="1">IF($H57=0,"",INDEX(auto_DataFlat_Justification,$L57))</f>
        <v>City-level data on high blood cholesterol levels is not available on the websites of the Addis Ababa Health Bureau, Ministry of Health, Ethiopian Public Health Institute, WHO Ethiopia office, or Ethiopian Diabetes Association. [1] [2] [3] [4] [5]</v>
      </c>
      <c r="T57" s="26" t="str">
        <f t="shared" ref="T57" ca="1" si="104">IF($I57=0,"",CONCATENATE(P57,CHAR(10),CHAR(10),S57))</f>
        <v>No
City-level data on high blood cholesterol levels is not available on the websites of the Addis Ababa Health Bureau, Ministry of Health, Ethiopian Public Health Institute, WHO Ethiopia office, or Ethiopian Diabetes Association. [1] [2] [3] [4] [5]</v>
      </c>
      <c r="U57" s="26" t="str" cm="1">
        <f t="array" aca="1" ref="U57" ca="1">INDEX(auto_DataFlat_Source,L57)</f>
        <v>Economist Impact analyst rating</v>
      </c>
      <c r="V57" s="26"/>
      <c r="W57" s="26"/>
      <c r="X57" s="103" t="str">
        <f t="shared" ref="X57" ca="1" si="105">K57</f>
        <v>3.8b) Cholesterol: city-level data availability</v>
      </c>
      <c r="Y57" s="104"/>
      <c r="Z57" s="105" t="str" cm="1">
        <f t="array" aca="1" ref="Z57" ca="1">IF(M57="","",INDEX(uxbGlobals!$B$133:$B$139,City_Detail!M57))</f>
        <v xml:space="preserve"> </v>
      </c>
      <c r="AA57" s="104"/>
      <c r="AB57" s="346" t="str" cm="1">
        <f t="array" aca="1" ref="AB57" ca="1">SUBSTITUTE(IF($H57=0,"",INDEX(auto_DataFlat_Justification,$L57)),"n/a","—")</f>
        <v>City-level data on high blood cholesterol levels is not available on the websites of the Addis Ababa Health Bureau, Ministry of Health, Ethiopian Public Health Institute, WHO Ethiopia office, or Ethiopian Diabetes Association. [1] [2] [3] [4] [5]</v>
      </c>
      <c r="AC57" s="104"/>
      <c r="AD57" s="106" t="str">
        <f t="shared" ref="AD57" ca="1" si="106">CONCATENATE("Source: ",$U57)</f>
        <v>Source: Economist Impact analyst rating</v>
      </c>
      <c r="AE57" s="99"/>
    </row>
    <row r="58" spans="1:31" ht="108" x14ac:dyDescent="0.4">
      <c r="A58" s="107" t="str">
        <f t="shared" ref="A58" si="107">A57</f>
        <v/>
      </c>
      <c r="B58" s="42"/>
      <c r="C58" s="100">
        <f t="shared" ref="C58" si="108">C57</f>
        <v>13</v>
      </c>
      <c r="D58" s="49"/>
      <c r="E58" s="101"/>
      <c r="F58" s="101"/>
      <c r="G58" s="101"/>
      <c r="H58" s="101"/>
      <c r="I58" s="101"/>
      <c r="J58" s="101"/>
      <c r="K58" s="101"/>
      <c r="L58" s="101"/>
      <c r="M58" s="102"/>
      <c r="N58" s="26"/>
      <c r="O58" s="101"/>
      <c r="P58" s="26"/>
      <c r="Q58" s="26"/>
      <c r="R58" s="26"/>
      <c r="S58" s="26"/>
      <c r="T58" s="26"/>
      <c r="U58" s="26"/>
      <c r="V58" s="26"/>
      <c r="W58" s="26"/>
      <c r="X58" s="108" t="str">
        <f t="shared" ref="X58" ca="1" si="109">R57</f>
        <v xml:space="preserve">In the last 5 years, has city-level data on high cholesterol been collected and/or published?
No
</v>
      </c>
      <c r="Y58" s="108"/>
      <c r="Z58" s="109"/>
      <c r="AA58" s="108"/>
      <c r="AB58" s="347"/>
      <c r="AC58" s="108"/>
      <c r="AD58" s="108" t="str" cm="1">
        <f t="array" aca="1" ref="AD58" ca="1">IF($D$15=1,"",SUBSTITUTE(INDEX(auto_DataFlat_References,$L57),"n/a",""))</f>
        <v>[1] Addis Ababa City Health Bureau. City Government of Addis Ababa City Health Bureau. Addis Ababa: Addis Ababa City Health Bureau. [Accessed 25th April 2024]. Available from: https://cityaddisababa.gov.et/en/office/health-bureau 
[2] Ethiopian Ministry of Health. Home. Addis Ababa: Ministry of Health. [Accessed 25th April 2024]. Available from: https://www.moh.gov.et/en
[3] Ethiopian Public Health Institute (EPHI). Home. Addis Ababa: Ethiopian Public Health Institute. [Accessed 2th5 April 2024]. Available from: https://ephi.gov.et/
[4] World Health Organization (WHO) African Region/Ethiopia. Home. Addis Ababa: World Health Organization (WHO) Ethiopia. [Accessed 25th April 2024]. Available from https://www.afro.who.int/countries/ethiopia
[5] Ethiopian Diabetes Association. Home. Addis Ababa. Ethiopian Diabetes Association. [Accessed 25th April 2024]. Available from: https://www.ethiopiandiabetesassociation.org/eabout.php</v>
      </c>
      <c r="AE58" s="110" t="str">
        <f t="shared" ref="AE58" ca="1" si="110">AB57</f>
        <v>City-level data on high blood cholesterol levels is not available on the websites of the Addis Ababa Health Bureau, Ministry of Health, Ethiopian Public Health Institute, WHO Ethiopia office, or Ethiopian Diabetes Association. [1] [2] [3] [4] [5]</v>
      </c>
    </row>
    <row r="59" spans="1:31" x14ac:dyDescent="0.4">
      <c r="A59" s="94" t="str">
        <f t="shared" ref="A59" si="111">A60</f>
        <v/>
      </c>
      <c r="B59" s="95"/>
      <c r="C59" s="4"/>
      <c r="D59" s="96"/>
      <c r="E59" s="87"/>
      <c r="F59" s="87"/>
      <c r="G59" s="87"/>
      <c r="H59" s="87"/>
      <c r="I59" s="87"/>
      <c r="J59" s="87"/>
      <c r="K59" s="87"/>
      <c r="L59" s="90"/>
      <c r="M59" s="91"/>
      <c r="N59" s="91"/>
      <c r="O59" s="90"/>
      <c r="P59" s="91"/>
      <c r="Q59" s="91"/>
      <c r="R59" s="49"/>
      <c r="S59" s="91"/>
      <c r="T59" s="49"/>
      <c r="U59" s="49"/>
      <c r="V59" s="49"/>
      <c r="W59" s="49"/>
      <c r="X59" s="97"/>
      <c r="Y59" s="97"/>
      <c r="Z59" s="97"/>
      <c r="AA59" s="97"/>
      <c r="AB59" s="97"/>
      <c r="AC59" s="97"/>
      <c r="AD59" s="98"/>
      <c r="AE59" s="99"/>
    </row>
    <row r="60" spans="1:31" x14ac:dyDescent="0.4">
      <c r="A60" s="21" t="str">
        <f t="shared" ref="A60" si="112">IF($D$13=1,"",IF($E60&lt;&gt;$D$13-1,"H",""))</f>
        <v/>
      </c>
      <c r="B60" s="42" t="str">
        <f t="shared" ref="B60" ca="1" si="113">IF($H60=0,"V","")</f>
        <v/>
      </c>
      <c r="C60" s="100">
        <f t="shared" ref="C60" si="114">C57+1</f>
        <v>14</v>
      </c>
      <c r="D60" s="49" cm="1">
        <f t="array" aca="1" ref="D60" ca="1">INDEX(OFFSET(auto_ss_HasDetailedNotes,0,1,500,1),C60)</f>
        <v>48</v>
      </c>
      <c r="E60" s="101" cm="1">
        <f t="array" aca="1" ref="E60" ca="1">INDEX(auto_tblSeries,$D60,E$18)</f>
        <v>4</v>
      </c>
      <c r="F60" s="101" cm="1">
        <f t="array" aca="1" ref="F60" ca="1">INDEX(auto_tblSeries,$D60,F$18)</f>
        <v>2</v>
      </c>
      <c r="G60" s="101" t="str" cm="1">
        <f t="array" aca="1" ref="G60" ca="1">INDEX(auto_tblSeries,$D60,G$18)</f>
        <v>#,##0</v>
      </c>
      <c r="H60" s="101" cm="1">
        <f t="array" aca="1" ref="H60" ca="1">INDEX(auto_tblSeries,$D60,H$18)</f>
        <v>1</v>
      </c>
      <c r="I60" s="101" cm="1">
        <f t="array" aca="1" ref="I60" ca="1">INDEX(auto_tblSeries,$D60,I$18)</f>
        <v>1</v>
      </c>
      <c r="J60" s="101" t="str" cm="1">
        <f t="array" aca="1" ref="J60" ca="1">INDEX(auto_tblSeries,$D60,J$18)</f>
        <v>Rating 0-2</v>
      </c>
      <c r="K60" s="101" t="str" cm="1">
        <f t="array" aca="1" ref="K60" ca="1">INDEX(auto_tblSeries,$D60,K$18)</f>
        <v>4.1) Access to medicines</v>
      </c>
      <c r="L60" s="101" cm="1">
        <f t="array" aca="1" ref="L60" ca="1">INDEX(sys_DataFlat_LU_Grid,$D60,$D$14)</f>
        <v>2821</v>
      </c>
      <c r="M60" s="102" cm="1">
        <f t="array" aca="1" ref="M60" ca="1">IF($H60=0,"",INDEX(auto_DataFlat_Classification,$L60))</f>
        <v>1</v>
      </c>
      <c r="N60" s="26" cm="1">
        <f t="array" aca="1" ref="N60" ca="1">IF($H60=0,"",INDEX(auto_DataFlat_DataValue,$L60))</f>
        <v>0</v>
      </c>
      <c r="O60" s="101" t="str" cm="1">
        <f t="array" aca="1" ref="O60" ca="1">INDEX(auto_tblSeries,$D60,O$18)</f>
        <v>Do patients identified at risk of developing CVD have access (in terms of availability and affordability) to the essential CVD medicines as defined in the WHO EML 23rd List (2023)? 
Specifically, do patients have access to ANY of the antihypertensive medicines (or their alternatives), lipid-lowering agents (or their alternatives), and to the fixed-dose combinations included in the WHO EML 23rd List?</v>
      </c>
      <c r="P60" s="26" t="str" cm="1">
        <f t="array" aca="1" ref="P60" ca="1">IF($I60=0,"",IF(N60="n/a","n/a",IF(LEFT(INDEX(tblSeries!$AI$2:$AP$240,$D60,$N60+1),1)="+","",INDEX(tblSeries!$AI$2:$AP$240,$D60,$N60+1))))</f>
        <v>Essential CVD medicines are not available or affordable</v>
      </c>
      <c r="Q60" s="26" t="str">
        <f t="shared" ref="Q60" ca="1" si="115">IF(H60=0,"",IF(I60=1,O60,J60))</f>
        <v>Do patients identified at risk of developing CVD have access (in terms of availability and affordability) to the essential CVD medicines as defined in the WHO EML 23rd List (2023)? 
Specifically, do patients have access to ANY of the antihypertensive medicines (or their alternatives), lipid-lowering agents (or their alternatives), and to the fixed-dose combinations included in the WHO EML 23rd List?</v>
      </c>
      <c r="R60" s="26" t="str">
        <f t="shared" ref="R60" ca="1" si="116">CONCATENATE(Q60,IF($I60=0,"",CONCATENATE(CHAR(10),CHAR(10),P60,CHAR(10))))</f>
        <v xml:space="preserve">Do patients identified at risk of developing CVD have access (in terms of availability and affordability) to the essential CVD medicines as defined in the WHO EML 23rd List (2023)? 
Specifically, do patients have access to ANY of the antihypertensive medicines (or their alternatives), lipid-lowering agents (or their alternatives), and to the fixed-dose combinations included in the WHO EML 23rd List?
Essential CVD medicines are not available or affordable
</v>
      </c>
      <c r="S60" s="26" t="str" cm="1">
        <f t="array" aca="1" ref="S60" ca="1">IF($H60=0,"",INDEX(auto_DataFlat_Justification,$L60))</f>
        <v>In Ethiopia, Essential Medicines (EMs) for CVD are not sufficiently available and their price is not affordable for the majority of citizens. _x000D__x000D_Ethiopia maintains an official list of essential medicines (EMs) that follow WHOs guidelines. The "Ethiopian Essential Medicines List Sixth Edition" published in September 2020 by the Federal Ministry of Health and Ethiopian Food and Drug Agency, provides the national list of EMs. [1] With the exception of telmisartan and perindopril, all of the medicines listed in the WHO Essential medicines for CVD are included on the Ethiopian EMs list. [1]_x000D__x000D_Public information on the availability and price of CVDs medicines or other EMs (at city or at national level) was not identified through official government sources. The website of the Ethiopian Pharmaceuticals Supply Service (EPSS), the national/state supplier of medicines, does not have information on the availability and affordability of EMs.[2]_x000D__x000D_Academic studies do provide assessments of national availability. A 2021 study indicates that "the national average availability of EMs in public and private facilities was 70.167% and 70.1% respectively". [3] This is below the WHO's minimum requirement, which recommends that availability of EMs should be 100% and sets the minimum requirement at 80%. [3] [4] _x000D__x000D_Concerning affordability, academic studies indicate, "the estimated cost per adult primary care user was USD 5.3 for hypertension control and USD 19.3 for integrated CVD risk management. The estimated medication cost per person treated for hypertension was USD 9.0, whereas treating diabetes and high cholesterol would cost USD 15.4 and USD 15.3 per person treated, respectively". As a result, the study concludes, about 27% of the households experienced 'catastrophic' health expenditure (which is defined as annual out-of-pocket payments above 10% of a household's annual income). [5] _x000D__x000D_Another study found that "the Lowest priced medicines were sold at 2.54 and 4.09 times their international reference prices (IRP) in the public and private sectors, respectively". Furthermore, a study found that, the percentage of unaffordable medicine were 72.09 and 91.84% for public and private facilities, respectively, with 79.17% of the medicines were unaffordable when both settings were combined. [4] Similarly, studies found, "less than half the prescribed drugs were obtained from the budget pharmacy, and one in six patients was forced to purchase drugs in the private sector, where drugs are roughly twice as expensive". Waiver systems (such as community based insurance) did not safeguard against having to pay for medicines. [4]</v>
      </c>
      <c r="T60" s="26" t="str">
        <f t="shared" ref="T60" ca="1" si="117">IF($I60=0,"",CONCATENATE(P60,CHAR(10),CHAR(10),S60))</f>
        <v>Essential CVD medicines are not available or affordable
In Ethiopia, Essential Medicines (EMs) for CVD are not sufficiently available and their price is not affordable for the majority of citizens. _x000D__x000D_Ethiopia maintains an official list of essential medicines (EMs) that follow WHOs guidelines. The "Ethiopian Essential Medicines List Sixth Edition" published in September 2020 by the Federal Ministry of Health and Ethiopian Food and Drug Agency, provides the national list of EMs. [1] With the exception of telmisartan and perindopril, all of the medicines listed in the WHO Essential medicines for CVD are included on the Ethiopian EMs list. [1]_x000D__x000D_Public information on the availability and price of CVDs medicines or other EMs (at city or at national level) was not identified through official government sources. The website of the Ethiopian Pharmaceuticals Supply Service (EPSS), the national/state supplier of medicines, does not have information on the availability and affordability of EMs.[2]_x000D__x000D_Academic studies do provide assessments of national availability. A 2021 study indicates that "the national average availability of EMs in public and private facilities was 70.167% and 70.1% respectively". [3] This is below the WHO's minimum requirement, which recommends that availability of EMs should be 100% and sets the minimum requirement at 80%. [3] [4] _x000D__x000D_Concerning affordability, academic studies indicate, "the estimated cost per adult primary care user was USD 5.3 for hypertension control and USD 19.3 for integrated CVD risk management. The estimated medication cost per person treated for hypertension was USD 9.0, whereas treating diabetes and high cholesterol would cost USD 15.4 and USD 15.3 per person treated, respectively". As a result, the study concludes, about 27% of the households experienced 'catastrophic' health expenditure (which is defined as annual out-of-pocket payments above 10% of a household's annual income). [5] _x000D__x000D_Another study found that "the Lowest priced medicines were sold at 2.54 and 4.09 times their international reference prices (IRP) in the public and private sectors, respectively". Furthermore, a study found that, the percentage of unaffordable medicine were 72.09 and 91.84% for public and private facilities, respectively, with 79.17% of the medicines were unaffordable when both settings were combined. [4] Similarly, studies found, "less than half the prescribed drugs were obtained from the budget pharmacy, and one in six patients was forced to purchase drugs in the private sector, where drugs are roughly twice as expensive". Waiver systems (such as community based insurance) did not safeguard against having to pay for medicines. [4]</v>
      </c>
      <c r="U60" s="26" t="str" cm="1">
        <f t="array" aca="1" ref="U60" ca="1">INDEX(auto_DataFlat_Source,L60)</f>
        <v>Economist Impact analyst rating</v>
      </c>
      <c r="V60" s="26"/>
      <c r="W60" s="26"/>
      <c r="X60" s="103" t="str">
        <f t="shared" ref="X60" ca="1" si="118">K60</f>
        <v>4.1) Access to medicines</v>
      </c>
      <c r="Y60" s="104"/>
      <c r="Z60" s="105" t="str" cm="1">
        <f t="array" aca="1" ref="Z60" ca="1">IF(M60="","",INDEX(uxbGlobals!$B$133:$B$139,City_Detail!M60))</f>
        <v xml:space="preserve"> </v>
      </c>
      <c r="AA60" s="104"/>
      <c r="AB60" s="346" t="str" cm="1">
        <f t="array" aca="1" ref="AB60" ca="1">SUBSTITUTE(IF($H60=0,"",INDEX(auto_DataFlat_Justification,$L60)),"n/a","—")</f>
        <v>In Ethiopia, Essential Medicines (EMs) for CVD are not sufficiently available and their price is not affordable for the majority of citizens. _x000D__x000D_Ethiopia maintains an official list of essential medicines (EMs) that follow WHOs guidelines. The "Ethiopian Essential Medicines List Sixth Edition" published in September 2020 by the Federal Ministry of Health and Ethiopian Food and Drug Agency, provides the national list of EMs. [1] With the exception of telmisartan and perindopril, all of the medicines listed in the WHO Essential medicines for CVD are included on the Ethiopian EMs list. [1]_x000D__x000D_Public information on the availability and price of CVDs medicines or other EMs (at city or at national level) was not identified through official government sources. The website of the Ethiopian Pharmaceuticals Supply Service (EPSS), the national/state supplier of medicines, does not have information on the availability and affordability of EMs.[2]_x000D__x000D_Academic studies do provide assessments of national availability. A 2021 study indicates that "the national average availability of EMs in public and private facilities was 70.167% and 70.1% respectively". [3] This is below the WHO's minimum requirement, which recommends that availability of EMs should be 100% and sets the minimum requirement at 80%. [3] [4] _x000D__x000D_Concerning affordability, academic studies indicate, "the estimated cost per adult primary care user was USD 5.3 for hypertension control and USD 19.3 for integrated CVD risk management. The estimated medication cost per person treated for hypertension was USD 9.0, whereas treating diabetes and high cholesterol would cost USD 15.4 and USD 15.3 per person treated, respectively". As a result, the study concludes, about 27% of the households experienced 'catastrophic' health expenditure (which is defined as annual out-of-pocket payments above 10% of a household's annual income). [5] _x000D__x000D_Another study found that "the Lowest priced medicines were sold at 2.54 and 4.09 times their international reference prices (IRP) in the public and private sectors, respectively". Furthermore, a study found that, the percentage of unaffordable medicine were 72.09 and 91.84% for public and private facilities, respectively, with 79.17% of the medicines were unaffordable when both settings were combined. [4] Similarly, studies found, "less than half the prescribed drugs were obtained from the budget pharmacy, and one in six patients was forced to purchase drugs in the private sector, where drugs are roughly twice as expensive". Waiver systems (such as community based insurance) did not safeguard against having to pay for medicines. [4]</v>
      </c>
      <c r="AC60" s="104"/>
      <c r="AD60" s="106" t="str">
        <f t="shared" ref="AD60" ca="1" si="119">CONCATENATE("Source: ",$U60)</f>
        <v>Source: Economist Impact analyst rating</v>
      </c>
      <c r="AE60" s="99"/>
    </row>
    <row r="61" spans="1:31" ht="252" x14ac:dyDescent="0.4">
      <c r="A61" s="107" t="str">
        <f t="shared" ref="A61" si="120">A60</f>
        <v/>
      </c>
      <c r="B61" s="42"/>
      <c r="C61" s="100">
        <f t="shared" ref="C61" si="121">C60</f>
        <v>14</v>
      </c>
      <c r="D61" s="49"/>
      <c r="E61" s="101"/>
      <c r="F61" s="101"/>
      <c r="G61" s="101"/>
      <c r="H61" s="101"/>
      <c r="I61" s="101"/>
      <c r="J61" s="101"/>
      <c r="K61" s="101"/>
      <c r="L61" s="101"/>
      <c r="M61" s="102"/>
      <c r="N61" s="26"/>
      <c r="O61" s="101"/>
      <c r="P61" s="26"/>
      <c r="Q61" s="26"/>
      <c r="R61" s="26"/>
      <c r="S61" s="26"/>
      <c r="T61" s="26"/>
      <c r="U61" s="26"/>
      <c r="V61" s="26"/>
      <c r="W61" s="26"/>
      <c r="X61" s="108" t="str">
        <f t="shared" ref="X61" ca="1" si="122">R60</f>
        <v xml:space="preserve">Do patients identified at risk of developing CVD have access (in terms of availability and affordability) to the essential CVD medicines as defined in the WHO EML 23rd List (2023)? 
Specifically, do patients have access to ANY of the antihypertensive medicines (or their alternatives), lipid-lowering agents (or their alternatives), and to the fixed-dose combinations included in the WHO EML 23rd List?
Essential CVD medicines are not available or affordable
</v>
      </c>
      <c r="Y61" s="108"/>
      <c r="Z61" s="109"/>
      <c r="AA61" s="108"/>
      <c r="AB61" s="347"/>
      <c r="AC61" s="108"/>
      <c r="AD61" s="108" t="str" cm="1">
        <f t="array" aca="1" ref="AD61" ca="1">IF($D$15=1,"",SUBSTITUTE(INDEX(auto_DataFlat_References,$L60),"n/a",""))</f>
        <v>[1] Federal Ministry of Health (FMOH)/Ethiopian Food and Drug Administration (EFDA). Ethiopian Essential Medicines List Sixth Edition. Addis Ababa: FMOH/EFDA, September 2020. Available from: http://efmhaca.hcmisonline.org/wp-content/uploads/2020/12/EML-sixth-edition.pdf
[2] Ethiopian Pharmaceutical Supply Agency (EPSA). Ethiopian Pharmaceutical Supply Agency website. Ethiopia: EPSA. [Accessed 27th March 2024]. Available from: http://www.epss.gov.et/
[3] Assefa, D., Alemnesh, D., &amp; Amberbir, A. Availability of Essential Medicines in Ethiopia: A Systematic Review (221). [2019]. Available from: https://www.researchgate.net/publication/353794113_Availability_of_Essential_Medicines_in_Ethiopia_A_Systematic_Review
[4] Carasso, B. S., Lagarde, M., Tesfaye, A., &amp; Palmer, N. Availability of essential medicines in Ethiopia: An efficiency-equity trade-off? [city unavailable]: Pubmed; 2009. Available from: https://pubmed.ncbi.nlm.nih.gov/19754520/
[5] Senait, A., et al. Cost analysis of the WHO-HEARTS program for hypertension control and CVD prevention in primary health facilities in Ethiopia. Addis Ababa: National Center for Biotechnology Information; 2023. Available from: https://www.ncbi.nlm.nih.gov/pmc/articles/PMC10506051/</v>
      </c>
      <c r="AE61" s="110" t="str">
        <f t="shared" ref="AE61" ca="1" si="123">AB60</f>
        <v>In Ethiopia, Essential Medicines (EMs) for CVD are not sufficiently available and their price is not affordable for the majority of citizens. _x000D__x000D_Ethiopia maintains an official list of essential medicines (EMs) that follow WHOs guidelines. The "Ethiopian Essential Medicines List Sixth Edition" published in September 2020 by the Federal Ministry of Health and Ethiopian Food and Drug Agency, provides the national list of EMs. [1] With the exception of telmisartan and perindopril, all of the medicines listed in the WHO Essential medicines for CVD are included on the Ethiopian EMs list. [1]_x000D__x000D_Public information on the availability and price of CVDs medicines or other EMs (at city or at national level) was not identified through official government sources. The website of the Ethiopian Pharmaceuticals Supply Service (EPSS), the national/state supplier of medicines, does not have information on the availability and affordability of EMs.[2]_x000D__x000D_Academic studies do provide assessments of national availability. A 2021 study indicates that "the national average availability of EMs in public and private facilities was 70.167% and 70.1% respectively". [3] This is below the WHO's minimum requirement, which recommends that availability of EMs should be 100% and sets the minimum requirement at 80%. [3] [4] _x000D__x000D_Concerning affordability, academic studies indicate, "the estimated cost per adult primary care user was USD 5.3 for hypertension control and USD 19.3 for integrated CVD risk management. The estimated medication cost per person treated for hypertension was USD 9.0, whereas treating diabetes and high cholesterol would cost USD 15.4 and USD 15.3 per person treated, respectively". As a result, the study concludes, about 27% of the households experienced 'catastrophic' health expenditure (which is defined as annual out-of-pocket payments above 10% of a household's annual income). [5] _x000D__x000D_Another study found that "the Lowest priced medicines were sold at 2.54 and 4.09 times their international reference prices (IRP) in the public and private sectors, respectively". Furthermore, a study found that, the percentage of unaffordable medicine were 72.09 and 91.84% for public and private facilities, respectively, with 79.17% of the medicines were unaffordable when both settings were combined. [4] Similarly, studies found, "less than half the prescribed drugs were obtained from the budget pharmacy, and one in six patients was forced to purchase drugs in the private sector, where drugs are roughly twice as expensive". Waiver systems (such as community based insurance) did not safeguard against having to pay for medicines. [4]</v>
      </c>
    </row>
    <row r="62" spans="1:31" x14ac:dyDescent="0.4">
      <c r="A62" s="94" t="str">
        <f>A63</f>
        <v/>
      </c>
      <c r="B62" s="95"/>
      <c r="C62" s="4"/>
      <c r="D62" s="96"/>
      <c r="E62" s="87"/>
      <c r="F62" s="87"/>
      <c r="G62" s="87"/>
      <c r="H62" s="87"/>
      <c r="I62" s="87"/>
      <c r="J62" s="87"/>
      <c r="K62" s="87"/>
      <c r="L62" s="90"/>
      <c r="M62" s="91"/>
      <c r="N62" s="91"/>
      <c r="O62" s="90"/>
      <c r="P62" s="91"/>
      <c r="Q62" s="91"/>
      <c r="R62" s="49"/>
      <c r="S62" s="91"/>
      <c r="T62" s="49"/>
      <c r="U62" s="49"/>
      <c r="V62" s="49"/>
      <c r="W62" s="49"/>
      <c r="X62" s="97"/>
      <c r="Y62" s="97"/>
      <c r="Z62" s="97"/>
      <c r="AA62" s="97"/>
      <c r="AB62" s="97"/>
      <c r="AC62" s="97"/>
      <c r="AD62" s="98"/>
      <c r="AE62" s="99"/>
    </row>
    <row r="63" spans="1:31" x14ac:dyDescent="0.4">
      <c r="A63" s="21" t="str">
        <f>IF($D$13=1,"",IF($E63&lt;&gt;$D$13-1,"H",""))</f>
        <v/>
      </c>
      <c r="B63" s="42" t="str">
        <f t="shared" ref="B63" ca="1" si="124">IF($H63=0,"V","")</f>
        <v/>
      </c>
      <c r="C63" s="100">
        <f>C60+1</f>
        <v>15</v>
      </c>
      <c r="D63" s="49" cm="1">
        <f t="array" aca="1" ref="D63" ca="1">INDEX(OFFSET(auto_ss_HasDetailedNotes,0,1,500,1),C63)</f>
        <v>51</v>
      </c>
      <c r="E63" s="101" cm="1">
        <f t="array" aca="1" ref="E63" ca="1">INDEX(auto_tblSeries,$D63,E$18)</f>
        <v>4</v>
      </c>
      <c r="F63" s="101" cm="1">
        <f t="array" aca="1" ref="F63" ca="1">INDEX(auto_tblSeries,$D63,F$18)</f>
        <v>2</v>
      </c>
      <c r="G63" s="101" t="str" cm="1">
        <f t="array" aca="1" ref="G63" ca="1">INDEX(auto_tblSeries,$D63,G$18)</f>
        <v>#,##0</v>
      </c>
      <c r="H63" s="101" cm="1">
        <f t="array" aca="1" ref="H63" ca="1">INDEX(auto_tblSeries,$D63,H$18)</f>
        <v>1</v>
      </c>
      <c r="I63" s="101" cm="1">
        <f t="array" aca="1" ref="I63" ca="1">INDEX(auto_tblSeries,$D63,I$18)</f>
        <v>1</v>
      </c>
      <c r="J63" s="101" t="str" cm="1">
        <f t="array" aca="1" ref="J63" ca="1">INDEX(auto_tblSeries,$D63,J$18)</f>
        <v>Rating 0-1</v>
      </c>
      <c r="K63" s="101" t="str" cm="1">
        <f t="array" aca="1" ref="K63" ca="1">INDEX(auto_tblSeries,$D63,K$18)</f>
        <v>4.4) Patient-centred care</v>
      </c>
      <c r="L63" s="101" cm="1">
        <f t="array" aca="1" ref="L63" ca="1">INDEX(sys_DataFlat_LU_Grid,$D63,$D$14)</f>
        <v>3001</v>
      </c>
      <c r="M63" s="102" cm="1">
        <f t="array" aca="1" ref="M63" ca="1">IF($H63=0,"",INDEX(auto_DataFlat_Classification,$L63))</f>
        <v>1</v>
      </c>
      <c r="N63" s="26" cm="1">
        <f t="array" aca="1" ref="N63" ca="1">IF($H63=0,"",INDEX(auto_DataFlat_DataValue,$L63))</f>
        <v>0</v>
      </c>
      <c r="O63" s="101" t="str" cm="1">
        <f t="array" aca="1" ref="O63" ca="1">INDEX(auto_tblSeries,$D63,O$18)</f>
        <v>Are patient-centred care models with multidisciplinary care teams to support self-management of CVD behavioural and metabolic risk factors adopted by care providers in the city (for example, mental health and lifestyle counselling by nurses, dietitians, counsellors and other allied health professionals)?</v>
      </c>
      <c r="P63" s="26" t="str" cm="1">
        <f t="array" aca="1" ref="P63" ca="1">IF($I63=0,"",IF(N63="n/a","n/a",IF(LEFT(INDEX(tblSeries!$AI$2:$AP$240,$D63,$N63+1),1)="+","",INDEX(tblSeries!$AI$2:$AP$240,$D63,$N63+1))))</f>
        <v>There is no evidence of multidisciplinary care model</v>
      </c>
      <c r="Q63" s="26" t="str">
        <f t="shared" ref="Q63" ca="1" si="125">IF(H63=0,"",IF(I63=1,O63,J63))</f>
        <v>Are patient-centred care models with multidisciplinary care teams to support self-management of CVD behavioural and metabolic risk factors adopted by care providers in the city (for example, mental health and lifestyle counselling by nurses, dietitians, counsellors and other allied health professionals)?</v>
      </c>
      <c r="R63" s="26" t="str">
        <f ca="1">CONCATENATE(Q63,IF($I63=0,"",CONCATENATE(CHAR(10),CHAR(10),P63,CHAR(10))))</f>
        <v xml:space="preserve">Are patient-centred care models with multidisciplinary care teams to support self-management of CVD behavioural and metabolic risk factors adopted by care providers in the city (for example, mental health and lifestyle counselling by nurses, dietitians, counsellors and other allied health professionals)?
There is no evidence of multidisciplinary care model
</v>
      </c>
      <c r="S63" s="26" t="str" cm="1">
        <f t="array" aca="1" ref="S63" ca="1">IF($H63=0,"",INDEX(auto_DataFlat_Justification,$L63))</f>
        <v>There is no evidence of patient-centred care models with multidisciplinary care teams to support self-management of risk factors and cardiovascular conditions._x000D__x000D_The 2016 "Guidelines on Clinical and Programmatic Management of Major Non Communicable Diseases" detail the treatment protocols for major NCDs such as CVDs, cancers, chronic respiratory diseases, and diabetes. However, it does not foresee multidisciplinary care models for self-management of risk factors and cardiovascular conditions at primary care level. [1]_x000D__x000D_The National Strategic Plan for the Prevention and Control of Major Non-communicable Diseases 2020/2021-2024/2025, a strategic plan of NCDs by the FMOH, that aims at prevention, treatment, and control of the major NCDs. The strategic plan envisions "to reduce the burden of NCDs by promoting healthy lifestyles...and providing integrated evidence-based treatment and care to those diagnosed with NCDs". However, the Plan does not discuss such care models for self-management of risk factors and cardiovascular conditions at primary care level, even though they are mentioned. [2] _x000D__x000D_According to the Plan, NCDs have been neglected for too long from the national health agenda and the prevention and treatment of CVD is being challenged by limited availability and affordability of high-quality CVD diagnosis and treatment technologies, inadequate mix and capacity of the health workforce, poor partnership between the public and private health systems. [2]</v>
      </c>
      <c r="T63" s="26" t="str">
        <f t="shared" ref="T63" ca="1" si="126">IF($I63=0,"",CONCATENATE(P63,CHAR(10),CHAR(10),S63))</f>
        <v>There is no evidence of multidisciplinary care model
There is no evidence of patient-centred care models with multidisciplinary care teams to support self-management of risk factors and cardiovascular conditions._x000D__x000D_The 2016 "Guidelines on Clinical and Programmatic Management of Major Non Communicable Diseases" detail the treatment protocols for major NCDs such as CVDs, cancers, chronic respiratory diseases, and diabetes. However, it does not foresee multidisciplinary care models for self-management of risk factors and cardiovascular conditions at primary care level. [1]_x000D__x000D_The National Strategic Plan for the Prevention and Control of Major Non-communicable Diseases 2020/2021-2024/2025, a strategic plan of NCDs by the FMOH, that aims at prevention, treatment, and control of the major NCDs. The strategic plan envisions "to reduce the burden of NCDs by promoting healthy lifestyles...and providing integrated evidence-based treatment and care to those diagnosed with NCDs". However, the Plan does not discuss such care models for self-management of risk factors and cardiovascular conditions at primary care level, even though they are mentioned. [2] _x000D__x000D_According to the Plan, NCDs have been neglected for too long from the national health agenda and the prevention and treatment of CVD is being challenged by limited availability and affordability of high-quality CVD diagnosis and treatment technologies, inadequate mix and capacity of the health workforce, poor partnership between the public and private health systems. [2]</v>
      </c>
      <c r="U63" s="26" t="str" cm="1">
        <f t="array" aca="1" ref="U63" ca="1">INDEX(auto_DataFlat_Source,L63)</f>
        <v>Economist Impact analyst rating</v>
      </c>
      <c r="V63" s="26"/>
      <c r="W63" s="26"/>
      <c r="X63" s="103" t="str">
        <f ca="1">K63</f>
        <v>4.4) Patient-centred care</v>
      </c>
      <c r="Y63" s="104"/>
      <c r="Z63" s="105" t="str" cm="1">
        <f t="array" aca="1" ref="Z63" ca="1">IF(M63="","",INDEX(uxbGlobals!$B$133:$B$139,City_Detail!M63))</f>
        <v xml:space="preserve"> </v>
      </c>
      <c r="AA63" s="104"/>
      <c r="AB63" s="346" t="str" cm="1">
        <f t="array" aca="1" ref="AB63" ca="1">SUBSTITUTE(IF($H63=0,"",INDEX(auto_DataFlat_Justification,$L63)),"n/a","—")</f>
        <v>There is no evidence of patient-centred care models with multidisciplinary care teams to support self-management of risk factors and cardiovascular conditions._x000D__x000D_The 2016 "Guidelines on Clinical and Programmatic Management of Major Non Communicable Diseases" detail the treatment protocols for major NCDs such as CVDs, cancers, chronic respiratory diseases, and diabetes. However, it does not foresee multidisciplinary care models for self-management of risk factors and cardiovascular conditions at primary care level. [1]_x000D__x000D_The National Strategic Plan for the Prevention and Control of Major Non-communicable Diseases 2020/2021-2024/2025, a strategic plan of NCDs by the FMOH, that aims at prevention, treatment, and control of the major NCDs. The strategic plan envisions "to reduce the burden of NCDs by promoting healthy lifestyles...and providing integrated evidence-based treatment and care to those diagnosed with NCDs". However, the Plan does not discuss such care models for self-management of risk factors and cardiovascular conditions at primary care level, even though they are mentioned. [2] _x000D__x000D_According to the Plan, NCDs have been neglected for too long from the national health agenda and the prevention and treatment of CVD is being challenged by limited availability and affordability of high-quality CVD diagnosis and treatment technologies, inadequate mix and capacity of the health workforce, poor partnership between the public and private health systems. [2]</v>
      </c>
      <c r="AC63" s="104"/>
      <c r="AD63" s="106" t="str">
        <f t="shared" ref="AD63" ca="1" si="127">CONCATENATE("Source: ",$U63)</f>
        <v>Source: Economist Impact analyst rating</v>
      </c>
      <c r="AE63" s="99"/>
    </row>
    <row r="64" spans="1:31" ht="144" x14ac:dyDescent="0.4">
      <c r="A64" s="107" t="str">
        <f>A63</f>
        <v/>
      </c>
      <c r="B64" s="42"/>
      <c r="C64" s="100">
        <f t="shared" ref="C64" si="128">C63</f>
        <v>15</v>
      </c>
      <c r="D64" s="49"/>
      <c r="E64" s="101"/>
      <c r="F64" s="101"/>
      <c r="G64" s="101"/>
      <c r="H64" s="101"/>
      <c r="I64" s="101"/>
      <c r="J64" s="101"/>
      <c r="K64" s="101"/>
      <c r="L64" s="101"/>
      <c r="M64" s="102"/>
      <c r="N64" s="26"/>
      <c r="O64" s="101"/>
      <c r="P64" s="26"/>
      <c r="Q64" s="26"/>
      <c r="R64" s="26"/>
      <c r="S64" s="26"/>
      <c r="T64" s="26"/>
      <c r="U64" s="26"/>
      <c r="V64" s="26"/>
      <c r="W64" s="26"/>
      <c r="X64" s="108" t="str">
        <f ca="1">R63</f>
        <v xml:space="preserve">Are patient-centred care models with multidisciplinary care teams to support self-management of CVD behavioural and metabolic risk factors adopted by care providers in the city (for example, mental health and lifestyle counselling by nurses, dietitians, counsellors and other allied health professionals)?
There is no evidence of multidisciplinary care model
</v>
      </c>
      <c r="Y64" s="108"/>
      <c r="Z64" s="109"/>
      <c r="AA64" s="108"/>
      <c r="AB64" s="347"/>
      <c r="AC64" s="108"/>
      <c r="AD64" s="108" t="str" cm="1">
        <f t="array" aca="1" ref="AD64" ca="1">IF($D$15=1,"",SUBSTITUTE(INDEX(auto_DataFlat_References,$L63),"n/a",""))</f>
        <v>[1] Federal Ministry of Health (FMOH). Guidelines on Clinical and Programmatic Management of Major Non Communicable Diseases. Addis Ababa: FMOH; 2016. Available from: https://extranet.who.int/ncdccs/Data/ETH_D1_National%20NCD%20Guideline%20June%2010,%202016%20for%20print.pdf
[2] Federal Ministry of Health (FMOH). National Strategic Plan for the Prevention and Control of Major Non-Communicable Diseases: 2013-2017 EFY (2020/21-2024/25). Addis Ababa: FMOH; July 2020. Available from: https://www.iccp-portal.org/system/files/plans/ETH_B3_s21_National_Strategic_Plan_for_Prevention_and_Control_of_NCDs2021.pdf</v>
      </c>
      <c r="AE64" s="110" t="str">
        <f t="shared" ref="AE64" ca="1" si="129">AB63</f>
        <v>There is no evidence of patient-centred care models with multidisciplinary care teams to support self-management of risk factors and cardiovascular conditions._x000D__x000D_The 2016 "Guidelines on Clinical and Programmatic Management of Major Non Communicable Diseases" detail the treatment protocols for major NCDs such as CVDs, cancers, chronic respiratory diseases, and diabetes. However, it does not foresee multidisciplinary care models for self-management of risk factors and cardiovascular conditions at primary care level. [1]_x000D__x000D_The National Strategic Plan for the Prevention and Control of Major Non-communicable Diseases 2020/2021-2024/2025, a strategic plan of NCDs by the FMOH, that aims at prevention, treatment, and control of the major NCDs. The strategic plan envisions "to reduce the burden of NCDs by promoting healthy lifestyles...and providing integrated evidence-based treatment and care to those diagnosed with NCDs". However, the Plan does not discuss such care models for self-management of risk factors and cardiovascular conditions at primary care level, even though they are mentioned. [2] _x000D__x000D_According to the Plan, NCDs have been neglected for too long from the national health agenda and the prevention and treatment of CVD is being challenged by limited availability and affordability of high-quality CVD diagnosis and treatment technologies, inadequate mix and capacity of the health workforce, poor partnership between the public and private health systems. [2]</v>
      </c>
    </row>
    <row r="65" spans="1:31" x14ac:dyDescent="0.4">
      <c r="A65" s="94" t="str">
        <f>A66</f>
        <v/>
      </c>
      <c r="B65" s="95"/>
      <c r="C65" s="4"/>
      <c r="D65" s="96"/>
      <c r="E65" s="87"/>
      <c r="F65" s="87"/>
      <c r="G65" s="87"/>
      <c r="H65" s="87"/>
      <c r="I65" s="87"/>
      <c r="J65" s="87"/>
      <c r="K65" s="87"/>
      <c r="L65" s="90"/>
      <c r="M65" s="91"/>
      <c r="N65" s="91"/>
      <c r="O65" s="90"/>
      <c r="P65" s="91"/>
      <c r="Q65" s="91"/>
      <c r="R65" s="49"/>
      <c r="S65" s="91"/>
      <c r="T65" s="49"/>
      <c r="U65" s="49"/>
      <c r="V65" s="49"/>
      <c r="W65" s="49"/>
      <c r="X65" s="97"/>
      <c r="Y65" s="97"/>
      <c r="Z65" s="97"/>
      <c r="AA65" s="97"/>
      <c r="AB65" s="97"/>
      <c r="AC65" s="97"/>
      <c r="AD65" s="98"/>
      <c r="AE65" s="99"/>
    </row>
    <row r="66" spans="1:31" x14ac:dyDescent="0.4">
      <c r="A66" s="21" t="str">
        <f>IF($D$13=1,"",IF($E66&lt;&gt;$D$13-1,"H",""))</f>
        <v/>
      </c>
      <c r="B66" s="42" t="str">
        <f t="shared" ref="B66" ca="1" si="130">IF($H66=0,"V","")</f>
        <v/>
      </c>
      <c r="C66" s="100">
        <f>C63+1</f>
        <v>16</v>
      </c>
      <c r="D66" s="49" cm="1">
        <f t="array" aca="1" ref="D66" ca="1">INDEX(OFFSET(auto_ss_HasDetailedNotes,0,1,500,1),C66)</f>
        <v>53</v>
      </c>
      <c r="E66" s="101" cm="1">
        <f t="array" aca="1" ref="E66" ca="1">INDEX(auto_tblSeries,$D66,E$18)</f>
        <v>5</v>
      </c>
      <c r="F66" s="101" cm="1">
        <f t="array" aca="1" ref="F66" ca="1">INDEX(auto_tblSeries,$D66,F$18)</f>
        <v>2</v>
      </c>
      <c r="G66" s="101" t="str" cm="1">
        <f t="array" aca="1" ref="G66" ca="1">INDEX(auto_tblSeries,$D66,G$18)</f>
        <v>#,##0</v>
      </c>
      <c r="H66" s="101" cm="1">
        <f t="array" aca="1" ref="H66" ca="1">INDEX(auto_tblSeries,$D66,H$18)</f>
        <v>1</v>
      </c>
      <c r="I66" s="101" cm="1">
        <f t="array" aca="1" ref="I66" ca="1">INDEX(auto_tblSeries,$D66,I$18)</f>
        <v>1</v>
      </c>
      <c r="J66" s="101" t="str" cm="1">
        <f t="array" aca="1" ref="J66" ca="1">INDEX(auto_tblSeries,$D66,J$18)</f>
        <v>Rating 0-1</v>
      </c>
      <c r="K66" s="101" t="str" cm="1">
        <f t="array" aca="1" ref="K66" ca="1">INDEX(auto_tblSeries,$D66,K$18)</f>
        <v>5.1) Regulatory power</v>
      </c>
      <c r="L66" s="101" cm="1">
        <f t="array" aca="1" ref="L66" ca="1">INDEX(sys_DataFlat_LU_Grid,$D66,$D$14)</f>
        <v>3121</v>
      </c>
      <c r="M66" s="102" cm="1">
        <f t="array" aca="1" ref="M66" ca="1">IF($H66=0,"",INDEX(auto_DataFlat_Classification,$L66))</f>
        <v>5</v>
      </c>
      <c r="N66" s="26" cm="1">
        <f t="array" aca="1" ref="N66" ca="1">IF($H66=0,"",INDEX(auto_DataFlat_DataValue,$L66))</f>
        <v>1</v>
      </c>
      <c r="O66" s="101" t="str" cm="1">
        <f t="array" aca="1" ref="O66" ca="1">INDEX(auto_tblSeries,$D66,O$18)</f>
        <v>Does the city have the power (autonomy) to introduce health policies addressing the major CVD risk factors that have not been introduced at national level (e.g. taxation policies such as sugar taxes)?</v>
      </c>
      <c r="P66" s="26" t="str" cm="1">
        <f t="array" aca="1" ref="P66" ca="1">IF($I66=0,"",IF(N66="n/a","n/a",IF(LEFT(INDEX(tblSeries!$AI$2:$AP$240,$D66,$N66+1),1)="+","",INDEX(tblSeries!$AI$2:$AP$240,$D66,$N66+1))))</f>
        <v>The city has regulatory power</v>
      </c>
      <c r="Q66" s="26" t="str">
        <f t="shared" ref="Q66" ca="1" si="131">IF(H66=0,"",IF(I66=1,O66,J66))</f>
        <v>Does the city have the power (autonomy) to introduce health policies addressing the major CVD risk factors that have not been introduced at national level (e.g. taxation policies such as sugar taxes)?</v>
      </c>
      <c r="R66" s="26" t="str">
        <f ca="1">CONCATENATE(Q66,IF($I66=0,"",CONCATENATE(CHAR(10),CHAR(10),P66,CHAR(10))))</f>
        <v xml:space="preserve">Does the city have the power (autonomy) to introduce health policies addressing the major CVD risk factors that have not been introduced at national level (e.g. taxation policies such as sugar taxes)?
The city has regulatory power
</v>
      </c>
      <c r="S66" s="26" t="str" cm="1">
        <f t="array" aca="1" ref="S66" ca="1">IF($H66=0,"",INDEX(auto_DataFlat_Justification,$L66))</f>
        <v>Addis Ababa city authorities possess regulatory powers regarding health affairs. [1]_x000D__x000D_Addis Ababa is one of the two autonomous city administrations in Ethiopia. The federal constitution of Ethiopia grants regions and the two cities considerable share of power on their internal affairs. As a result Addis Ababa city has its own health bureau (AAHB), and its own regulatory agency called Addis Ababa City Administration Food And Drug Authority (AAFDA). [2] [3] Some of the responsibilities of AAFDA include 1) Inspection of food establishments 2) Inspection of health facilities 3) food product quality and safety inspection 4) certification of food facilities 5) licensing of food and health facilities 6) enforcing applicable standards of food, drugs, and medical devices. [1]</v>
      </c>
      <c r="T66" s="26" t="str">
        <f t="shared" ref="T66" ca="1" si="132">IF($I66=0,"",CONCATENATE(P66,CHAR(10),CHAR(10),S66))</f>
        <v>The city has regulatory power
Addis Ababa city authorities possess regulatory powers regarding health affairs. [1]_x000D__x000D_Addis Ababa is one of the two autonomous city administrations in Ethiopia. The federal constitution of Ethiopia grants regions and the two cities considerable share of power on their internal affairs. As a result Addis Ababa city has its own health bureau (AAHB), and its own regulatory agency called Addis Ababa City Administration Food And Drug Authority (AAFDA). [2] [3] Some of the responsibilities of AAFDA include 1) Inspection of food establishments 2) Inspection of health facilities 3) food product quality and safety inspection 4) certification of food facilities 5) licensing of food and health facilities 6) enforcing applicable standards of food, drugs, and medical devices. [1]</v>
      </c>
      <c r="U66" s="26" t="str" cm="1">
        <f t="array" aca="1" ref="U66" ca="1">INDEX(auto_DataFlat_Source,L66)</f>
        <v>Economist Impact analyst rating</v>
      </c>
      <c r="V66" s="26"/>
      <c r="W66" s="26"/>
      <c r="X66" s="103" t="str">
        <f ca="1">K66</f>
        <v>5.1) Regulatory power</v>
      </c>
      <c r="Y66" s="104"/>
      <c r="Z66" s="105" t="str" cm="1">
        <f t="array" aca="1" ref="Z66" ca="1">IF(M66="","",INDEX(uxbGlobals!$B$133:$B$139,City_Detail!M66))</f>
        <v xml:space="preserve"> </v>
      </c>
      <c r="AA66" s="104"/>
      <c r="AB66" s="346" t="str" cm="1">
        <f t="array" aca="1" ref="AB66" ca="1">SUBSTITUTE(IF($H66=0,"",INDEX(auto_DataFlat_Justification,$L66)),"n/a","—")</f>
        <v>Addis Ababa city authorities possess regulatory powers regarding health affairs. [1]_x000D__x000D_Addis Ababa is one of the two autonomous city administrations in Ethiopia. The federal constitution of Ethiopia grants regions and the two cities considerable share of power on their internal affairs. As a result Addis Ababa city has its own health bureau (AAHB), and its own regulatory agency called Addis Ababa City Administration Food And Drug Authority (AAFDA). [2] [3] Some of the responsibilities of AAFDA include 1) Inspection of food establishments 2) Inspection of health facilities 3) food product quality and safety inspection 4) certification of food facilities 5) licensing of food and health facilities 6) enforcing applicable standards of food, drugs, and medical devices. [1]</v>
      </c>
      <c r="AC66" s="104"/>
      <c r="AD66" s="106" t="str">
        <f t="shared" ref="AD66" ca="1" si="133">CONCATENATE("Source: ",$U66)</f>
        <v>Source: Economist Impact analyst rating</v>
      </c>
      <c r="AE66" s="99"/>
    </row>
    <row r="67" spans="1:31" ht="72" x14ac:dyDescent="0.4">
      <c r="A67" s="107" t="str">
        <f>A66</f>
        <v/>
      </c>
      <c r="B67" s="42"/>
      <c r="C67" s="100">
        <f t="shared" ref="C67" si="134">C66</f>
        <v>16</v>
      </c>
      <c r="D67" s="49"/>
      <c r="E67" s="101"/>
      <c r="F67" s="101"/>
      <c r="G67" s="101"/>
      <c r="H67" s="101"/>
      <c r="I67" s="101"/>
      <c r="J67" s="101"/>
      <c r="K67" s="101"/>
      <c r="L67" s="101"/>
      <c r="M67" s="102"/>
      <c r="N67" s="26"/>
      <c r="O67" s="101"/>
      <c r="P67" s="26"/>
      <c r="Q67" s="26"/>
      <c r="R67" s="26"/>
      <c r="S67" s="26"/>
      <c r="T67" s="26"/>
      <c r="U67" s="26"/>
      <c r="V67" s="26"/>
      <c r="W67" s="26"/>
      <c r="X67" s="108" t="str">
        <f ca="1">R66</f>
        <v xml:space="preserve">Does the city have the power (autonomy) to introduce health policies addressing the major CVD risk factors that have not been introduced at national level (e.g. taxation policies such as sugar taxes)?
The city has regulatory power
</v>
      </c>
      <c r="Y67" s="108"/>
      <c r="Z67" s="109"/>
      <c r="AA67" s="108"/>
      <c r="AB67" s="347"/>
      <c r="AC67" s="108"/>
      <c r="AD67" s="108" t="str" cm="1">
        <f t="array" aca="1" ref="AD67" ca="1">IF($D$15=1,"",SUBSTITUTE(INDEX(auto_DataFlat_References,$L66),"n/a",""))</f>
        <v>[1] Addis Ababa City Administration Food and Drug Authority (AAFDA). About Us. Addis Ababa: Addis Ababa City Administration. [Archived 12th March 2024, Accessed 8 April 2024]. Available from: https://web.archive.org/web/20240312214026/https://aafda.gov.et/about.php
[2] Addis Ababa City Administration. Addis Ababa: Addis Ababa City Administration. [Accessed 29th March 2024]. Available from: www.cityaddisababa.gov.et
[3] Addis Ababa City Mayor's Office. Addis Ababa: Addis Ababa City Administration. [Accessed 29th March 2024]. Available from: https://addismayor.gov.et/aboutus</v>
      </c>
      <c r="AE67" s="110" t="str">
        <f t="shared" ref="AE67" ca="1" si="135">AB66</f>
        <v>Addis Ababa city authorities possess regulatory powers regarding health affairs. [1]_x000D__x000D_Addis Ababa is one of the two autonomous city administrations in Ethiopia. The federal constitution of Ethiopia grants regions and the two cities considerable share of power on their internal affairs. As a result Addis Ababa city has its own health bureau (AAHB), and its own regulatory agency called Addis Ababa City Administration Food And Drug Authority (AAFDA). [2] [3] Some of the responsibilities of AAFDA include 1) Inspection of food establishments 2) Inspection of health facilities 3) food product quality and safety inspection 4) certification of food facilities 5) licensing of food and health facilities 6) enforcing applicable standards of food, drugs, and medical devices. [1]</v>
      </c>
    </row>
    <row r="68" spans="1:31" x14ac:dyDescent="0.4">
      <c r="A68" s="94" t="str">
        <f>A69</f>
        <v/>
      </c>
      <c r="B68" s="95"/>
      <c r="C68" s="4"/>
      <c r="D68" s="96"/>
      <c r="E68" s="87"/>
      <c r="F68" s="87"/>
      <c r="G68" s="87"/>
      <c r="H68" s="87"/>
      <c r="I68" s="87"/>
      <c r="J68" s="87"/>
      <c r="K68" s="87"/>
      <c r="L68" s="90"/>
      <c r="M68" s="91"/>
      <c r="N68" s="91"/>
      <c r="O68" s="90"/>
      <c r="P68" s="91"/>
      <c r="Q68" s="91"/>
      <c r="R68" s="49"/>
      <c r="S68" s="91"/>
      <c r="T68" s="49"/>
      <c r="U68" s="49"/>
      <c r="V68" s="49"/>
      <c r="W68" s="49"/>
      <c r="X68" s="97"/>
      <c r="Y68" s="97"/>
      <c r="Z68" s="97"/>
      <c r="AA68" s="97"/>
      <c r="AB68" s="97"/>
      <c r="AC68" s="97"/>
      <c r="AD68" s="98"/>
      <c r="AE68" s="99"/>
    </row>
    <row r="69" spans="1:31" x14ac:dyDescent="0.4">
      <c r="A69" s="21" t="str">
        <f>IF($D$13=1,"",IF($E69&lt;&gt;$D$13-1,"H",""))</f>
        <v/>
      </c>
      <c r="B69" s="42" t="str">
        <f t="shared" ref="B69" ca="1" si="136">IF($H69=0,"V","")</f>
        <v/>
      </c>
      <c r="C69" s="100">
        <f>C66+1</f>
        <v>17</v>
      </c>
      <c r="D69" s="49" cm="1">
        <f t="array" aca="1" ref="D69" ca="1">INDEX(OFFSET(auto_ss_HasDetailedNotes,0,1,500,1),C69)</f>
        <v>54</v>
      </c>
      <c r="E69" s="101" cm="1">
        <f t="array" aca="1" ref="E69" ca="1">INDEX(auto_tblSeries,$D69,E$18)</f>
        <v>5</v>
      </c>
      <c r="F69" s="101" cm="1">
        <f t="array" aca="1" ref="F69" ca="1">INDEX(auto_tblSeries,$D69,F$18)</f>
        <v>2</v>
      </c>
      <c r="G69" s="101" t="str" cm="1">
        <f t="array" aca="1" ref="G69" ca="1">INDEX(auto_tblSeries,$D69,G$18)</f>
        <v>#,##0</v>
      </c>
      <c r="H69" s="101" cm="1">
        <f t="array" aca="1" ref="H69" ca="1">INDEX(auto_tblSeries,$D69,H$18)</f>
        <v>1</v>
      </c>
      <c r="I69" s="101" cm="1">
        <f t="array" aca="1" ref="I69" ca="1">INDEX(auto_tblSeries,$D69,I$18)</f>
        <v>1</v>
      </c>
      <c r="J69" s="101" t="str" cm="1">
        <f t="array" aca="1" ref="J69" ca="1">INDEX(auto_tblSeries,$D69,J$18)</f>
        <v>Rating 0-3</v>
      </c>
      <c r="K69" s="101" t="str" cm="1">
        <f t="array" aca="1" ref="K69" ca="1">INDEX(auto_tblSeries,$D69,K$18)</f>
        <v>5.2) Political will</v>
      </c>
      <c r="L69" s="101" cm="1">
        <f t="array" aca="1" ref="L69" ca="1">INDEX(sys_DataFlat_LU_Grid,$D69,$D$14)</f>
        <v>3181</v>
      </c>
      <c r="M69" s="102" cm="1">
        <f t="array" aca="1" ref="M69" ca="1">IF($H69=0,"",INDEX(auto_DataFlat_Classification,$L69))</f>
        <v>5</v>
      </c>
      <c r="N69" s="26" cm="1">
        <f t="array" aca="1" ref="N69" ca="1">IF($H69=0,"",INDEX(auto_DataFlat_DataValue,$L69))</f>
        <v>3</v>
      </c>
      <c r="O69" s="101" t="str" cm="1">
        <f t="array" aca="1" ref="O69" ca="1">INDEX(auto_tblSeries,$D69,O$18)</f>
        <v>Does the city government have a health department?
Is there a clear set of responsibilities and a process for health monitoring activities?
Is the city a member of any global, regional or national urban health network or initiative?</v>
      </c>
      <c r="P69" s="26" t="str" cm="1">
        <f t="array" aca="1" ref="P69" ca="1">IF($I69=0,"",IF(N69="n/a","n/a",IF(LEFT(INDEX(tblSeries!$AI$2:$AP$240,$D69,$N69+1),1)="+","",INDEX(tblSeries!$AI$2:$AP$240,$D69,$N69+1))))</f>
        <v/>
      </c>
      <c r="Q69" s="26" t="str">
        <f t="shared" ref="Q69" ca="1" si="137">IF(H69=0,"",IF(I69=1,O69,J69))</f>
        <v>Does the city government have a health department?
Is there a clear set of responsibilities and a process for health monitoring activities?
Is the city a member of any global, regional or national urban health network or initiative?</v>
      </c>
      <c r="R69" s="26" t="str">
        <f ca="1">CONCATENATE(Q69,IF($I69=0,"",CONCATENATE(CHAR(10),CHAR(10),P69,CHAR(10))))</f>
        <v xml:space="preserve">Does the city government have a health department?
Is there a clear set of responsibilities and a process for health monitoring activities?
Is the city a member of any global, regional or national urban health network or initiative?
</v>
      </c>
      <c r="S69" s="26" t="str" cm="1">
        <f t="array" aca="1" ref="S69" ca="1">IF($H69=0,"",INDEX(auto_DataFlat_Justification,$L69))</f>
        <v>The City of Addis Ababa possesses its own Health Bureau (AAHB) and Food &amp; Drug Regulatory Agency (AAFDA) with a clearly delineated set of powers and responsibilities._x000D__x000D_The AAHB and AAFDA conduct and oversee all necessary activities related to the health of the city's population. [1] [2] The mission of AAHB is stated as "provision of quality and equitable services and close monitoring to promote the health of the community."[3] Some of the mandates conferred upon the AAHB are: 1) Prepare and implement a healthcare plan and program for the residents of the city, 2) Ensure the observance of laws, regulations, and directives issued pertaining to public health, 3) Organise and administer hospitals, health centres, clinics, and research and training institutions established by the city administration, 4) Issue licences to health centres, clinics, laboratories, and pharmacies, 5) Supervise to ensure that they maintain standards fixed at the national level, 6) Ensure that professionals engaged in public health services in the city satisfy the prescribed standards, 7) Ensure an adequate and regular supply of effective, safe, and affordable essential drugs, medical supplies, and equipment in the city. [2]_x000D__x000D_Addis Ababa is a member of the global health network C40 Cities. [4]</v>
      </c>
      <c r="T69" s="26" t="str">
        <f t="shared" ref="T69" ca="1" si="138">IF($I69=0,"",CONCATENATE(P69,CHAR(10),CHAR(10),S69))</f>
        <v xml:space="preserve">
The City of Addis Ababa possesses its own Health Bureau (AAHB) and Food &amp; Drug Regulatory Agency (AAFDA) with a clearly delineated set of powers and responsibilities._x000D__x000D_The AAHB and AAFDA conduct and oversee all necessary activities related to the health of the city's population. [1] [2] The mission of AAHB is stated as "provision of quality and equitable services and close monitoring to promote the health of the community."[3] Some of the mandates conferred upon the AAHB are: 1) Prepare and implement a healthcare plan and program for the residents of the city, 2) Ensure the observance of laws, regulations, and directives issued pertaining to public health, 3) Organise and administer hospitals, health centres, clinics, and research and training institutions established by the city administration, 4) Issue licences to health centres, clinics, laboratories, and pharmacies, 5) Supervise to ensure that they maintain standards fixed at the national level, 6) Ensure that professionals engaged in public health services in the city satisfy the prescribed standards, 7) Ensure an adequate and regular supply of effective, safe, and affordable essential drugs, medical supplies, and equipment in the city. [2]_x000D__x000D_Addis Ababa is a member of the global health network C40 Cities. [4]</v>
      </c>
      <c r="U69" s="26" t="str" cm="1">
        <f t="array" aca="1" ref="U69" ca="1">INDEX(auto_DataFlat_Source,L69)</f>
        <v>Economist Impact analyst rating</v>
      </c>
      <c r="V69" s="26"/>
      <c r="W69" s="26"/>
      <c r="X69" s="103" t="str">
        <f ca="1">K69</f>
        <v>5.2) Political will</v>
      </c>
      <c r="Y69" s="104"/>
      <c r="Z69" s="105" t="str" cm="1">
        <f t="array" aca="1" ref="Z69" ca="1">IF(M69="","",INDEX(uxbGlobals!$B$133:$B$139,City_Detail!M69))</f>
        <v xml:space="preserve"> </v>
      </c>
      <c r="AA69" s="104"/>
      <c r="AB69" s="346" t="str" cm="1">
        <f t="array" aca="1" ref="AB69" ca="1">SUBSTITUTE(IF($H69=0,"",INDEX(auto_DataFlat_Justification,$L69)),"n/a","—")</f>
        <v>The City of Addis Ababa possesses its own Health Bureau (AAHB) and Food &amp; Drug Regulatory Agency (AAFDA) with a clearly delineated set of powers and responsibilities._x000D__x000D_The AAHB and AAFDA conduct and oversee all necessary activities related to the health of the city's population. [1] [2] The mission of AAHB is stated as "provision of quality and equitable services and close monitoring to promote the health of the community."[3] Some of the mandates conferred upon the AAHB are: 1) Prepare and implement a healthcare plan and program for the residents of the city, 2) Ensure the observance of laws, regulations, and directives issued pertaining to public health, 3) Organise and administer hospitals, health centres, clinics, and research and training institutions established by the city administration, 4) Issue licences to health centres, clinics, laboratories, and pharmacies, 5) Supervise to ensure that they maintain standards fixed at the national level, 6) Ensure that professionals engaged in public health services in the city satisfy the prescribed standards, 7) Ensure an adequate and regular supply of effective, safe, and affordable essential drugs, medical supplies, and equipment in the city. [2]_x000D__x000D_Addis Ababa is a member of the global health network C40 Cities. [4]</v>
      </c>
      <c r="AC69" s="104"/>
      <c r="AD69" s="106" t="str">
        <f t="shared" ref="AD69" ca="1" si="139">CONCATENATE("Source: ",$U69)</f>
        <v>Source: Economist Impact analyst rating</v>
      </c>
      <c r="AE69" s="99"/>
    </row>
    <row r="70" spans="1:31" ht="120" x14ac:dyDescent="0.4">
      <c r="A70" s="107" t="str">
        <f>A69</f>
        <v/>
      </c>
      <c r="B70" s="42"/>
      <c r="C70" s="100">
        <f t="shared" ref="C70" si="140">C69</f>
        <v>17</v>
      </c>
      <c r="D70" s="49"/>
      <c r="E70" s="101"/>
      <c r="F70" s="101"/>
      <c r="G70" s="101"/>
      <c r="H70" s="101"/>
      <c r="I70" s="101"/>
      <c r="J70" s="101"/>
      <c r="K70" s="101"/>
      <c r="L70" s="101"/>
      <c r="M70" s="102"/>
      <c r="N70" s="26"/>
      <c r="O70" s="101"/>
      <c r="P70" s="26"/>
      <c r="Q70" s="26"/>
      <c r="R70" s="26"/>
      <c r="S70" s="26"/>
      <c r="T70" s="26"/>
      <c r="U70" s="26"/>
      <c r="V70" s="26"/>
      <c r="W70" s="26"/>
      <c r="X70" s="108" t="str">
        <f ca="1">R69</f>
        <v xml:space="preserve">Does the city government have a health department?
Is there a clear set of responsibilities and a process for health monitoring activities?
Is the city a member of any global, regional or national urban health network or initiative?
</v>
      </c>
      <c r="Y70" s="108"/>
      <c r="Z70" s="109"/>
      <c r="AA70" s="108"/>
      <c r="AB70" s="347"/>
      <c r="AC70" s="108"/>
      <c r="AD70" s="108" t="str" cm="1">
        <f t="array" aca="1" ref="AD70" ca="1">IF($D$15=1,"",SUBSTITUTE(INDEX(auto_DataFlat_References,$L69),"n/a",""))</f>
        <v>[1] Addis Ababa City Administration Food and Drug Authority (AAFDA). About Us. Addis Ababa: Addis Ababa City Administration. [archived 12 March 2024, Accessed 8th April 2024]. Available from: https://web.archive.org/web/20240312214026/https://aafda.gov.et/about.php
[2] Ministry of Health. National Health Sector Strategic Plan For Early Childhood Development In Ethiopia 2020/21-2024/25. Addis Ababa, Ethiopia: Ministry of Health. [October 2020, Accessed 29th March 2024].
[3] Addis Ababa City Administration. Health Bureau. Addis Ababa: Addis Ababa City Administration. [Accessed 29th March 2024]. Available from: https://cityaddisababa.gov.et/en/office/health-bureau
[4] C40 Cities. [Accessed 29th March 2024]. Available from: www.c40.org</v>
      </c>
      <c r="AE70" s="110" t="str">
        <f t="shared" ref="AE70" ca="1" si="141">AB69</f>
        <v>The City of Addis Ababa possesses its own Health Bureau (AAHB) and Food &amp; Drug Regulatory Agency (AAFDA) with a clearly delineated set of powers and responsibilities._x000D__x000D_The AAHB and AAFDA conduct and oversee all necessary activities related to the health of the city's population. [1] [2] The mission of AAHB is stated as "provision of quality and equitable services and close monitoring to promote the health of the community."[3] Some of the mandates conferred upon the AAHB are: 1) Prepare and implement a healthcare plan and program for the residents of the city, 2) Ensure the observance of laws, regulations, and directives issued pertaining to public health, 3) Organise and administer hospitals, health centres, clinics, and research and training institutions established by the city administration, 4) Issue licences to health centres, clinics, laboratories, and pharmacies, 5) Supervise to ensure that they maintain standards fixed at the national level, 6) Ensure that professionals engaged in public health services in the city satisfy the prescribed standards, 7) Ensure an adequate and regular supply of effective, safe, and affordable essential drugs, medical supplies, and equipment in the city. [2]_x000D__x000D_Addis Ababa is a member of the global health network C40 Cities. [4]</v>
      </c>
    </row>
    <row r="71" spans="1:31" x14ac:dyDescent="0.4">
      <c r="A71" s="94" t="str">
        <f t="shared" ref="A71" si="142">A72</f>
        <v/>
      </c>
      <c r="B71" s="95"/>
      <c r="C71" s="4"/>
      <c r="D71" s="96"/>
      <c r="E71" s="87"/>
      <c r="F71" s="87"/>
      <c r="G71" s="87"/>
      <c r="H71" s="87"/>
      <c r="I71" s="87"/>
      <c r="J71" s="87"/>
      <c r="K71" s="87"/>
      <c r="L71" s="90"/>
      <c r="M71" s="91"/>
      <c r="N71" s="91"/>
      <c r="O71" s="90"/>
      <c r="P71" s="91"/>
      <c r="Q71" s="91"/>
      <c r="R71" s="49"/>
      <c r="S71" s="91"/>
      <c r="T71" s="49"/>
      <c r="U71" s="49"/>
      <c r="V71" s="49"/>
      <c r="W71" s="49"/>
      <c r="X71" s="97"/>
      <c r="Y71" s="97"/>
      <c r="Z71" s="97"/>
      <c r="AA71" s="97"/>
      <c r="AB71" s="97"/>
      <c r="AC71" s="97"/>
      <c r="AD71" s="98"/>
      <c r="AE71" s="99"/>
    </row>
    <row r="72" spans="1:31" x14ac:dyDescent="0.4">
      <c r="A72" s="21" t="str">
        <f t="shared" ref="A72" si="143">IF($D$13=1,"",IF($E72&lt;&gt;$D$13-1,"H",""))</f>
        <v/>
      </c>
      <c r="B72" s="42" t="str">
        <f t="shared" ref="B72" ca="1" si="144">IF($H72=0,"V","")</f>
        <v/>
      </c>
      <c r="C72" s="100">
        <f t="shared" ref="C72" si="145">C69+1</f>
        <v>18</v>
      </c>
      <c r="D72" s="49" cm="1">
        <f t="array" aca="1" ref="D72" ca="1">INDEX(OFFSET(auto_ss_HasDetailedNotes,0,1,500,1),C72)</f>
        <v>56</v>
      </c>
      <c r="E72" s="101" cm="1">
        <f t="array" aca="1" ref="E72" ca="1">INDEX(auto_tblSeries,$D72,E$18)</f>
        <v>5</v>
      </c>
      <c r="F72" s="101" cm="1">
        <f t="array" aca="1" ref="F72" ca="1">INDEX(auto_tblSeries,$D72,F$18)</f>
        <v>3</v>
      </c>
      <c r="G72" s="101" t="str" cm="1">
        <f t="array" aca="1" ref="G72" ca="1">INDEX(auto_tblSeries,$D72,G$18)</f>
        <v>#,##0</v>
      </c>
      <c r="H72" s="101" cm="1">
        <f t="array" aca="1" ref="H72" ca="1">INDEX(auto_tblSeries,$D72,H$18)</f>
        <v>1</v>
      </c>
      <c r="I72" s="101" cm="1">
        <f t="array" aca="1" ref="I72" ca="1">INDEX(auto_tblSeries,$D72,I$18)</f>
        <v>1</v>
      </c>
      <c r="J72" s="101" t="str" cm="1">
        <f t="array" aca="1" ref="J72" ca="1">INDEX(auto_tblSeries,$D72,J$18)</f>
        <v>Rating 0-3</v>
      </c>
      <c r="K72" s="101" t="str" cm="1">
        <f t="array" aca="1" ref="K72" ca="1">INDEX(auto_tblSeries,$D72,K$18)</f>
        <v>5.3a) Urban health plan: components</v>
      </c>
      <c r="L72" s="101" cm="1">
        <f t="array" aca="1" ref="L72" ca="1">INDEX(sys_DataFlat_LU_Grid,$D72,$D$14)</f>
        <v>3301</v>
      </c>
      <c r="M72" s="102" cm="1">
        <f t="array" aca="1" ref="M72" ca="1">IF($H72=0,"",INDEX(auto_DataFlat_Classification,$L72))</f>
        <v>2</v>
      </c>
      <c r="N72" s="26" cm="1">
        <f t="array" aca="1" ref="N72" ca="1">IF($H72=0,"",INDEX(auto_DataFlat_DataValue,$L72))</f>
        <v>1</v>
      </c>
      <c r="O72" s="101" t="str" cm="1">
        <f t="array" aca="1" ref="O72" ca="1">INDEX(auto_tblSeries,$D72,O$18)</f>
        <v>Is there an urban public health plan?
Does the public health plan specify a budget allocated for health services and/or programmes?
Is there an urban health plan for NCDs or CVDs (separate or a part of the general public health plan)?</v>
      </c>
      <c r="P72" s="26" t="str" cm="1">
        <f t="array" aca="1" ref="P72" ca="1">IF($I72=0,"",IF(N72="n/a","n/a",IF(LEFT(INDEX(tblSeries!$AI$2:$AP$240,$D72,$N72+1),1)="+","",INDEX(tblSeries!$AI$2:$AP$240,$D72,$N72+1))))</f>
        <v/>
      </c>
      <c r="Q72" s="26" t="str">
        <f t="shared" ref="Q72" ca="1" si="146">IF(H72=0,"",IF(I72=1,O72,J72))</f>
        <v>Is there an urban public health plan?
Does the public health plan specify a budget allocated for health services and/or programmes?
Is there an urban health plan for NCDs or CVDs (separate or a part of the general public health plan)?</v>
      </c>
      <c r="R72" s="26" t="str">
        <f t="shared" ref="R72" ca="1" si="147">CONCATENATE(Q72,IF($I72=0,"",CONCATENATE(CHAR(10),CHAR(10),P72,CHAR(10))))</f>
        <v xml:space="preserve">Is there an urban public health plan?
Does the public health plan specify a budget allocated for health services and/or programmes?
Is there an urban health plan for NCDs or CVDs (separate or a part of the general public health plan)?
</v>
      </c>
      <c r="S72" s="26" t="str" cm="1">
        <f t="array" aca="1" ref="S72" ca="1">IF($H72=0,"",INDEX(auto_DataFlat_Justification,$L72))</f>
        <v>The City has an Urban Health Extension Program (UHEP), but there is no evidence that it possesses a city-specific non-communicable disease (NCD)/cardiovascular disease (CVD) plan. The budget allocated for urban health is not readily available in open sources, such as the websites of the city administration. [1]_x000D__x000D_The UHEP was initiated in 2009 at the national level. Its aim was to create health equity by generating demand for essential health services through the provision of health information at the household level and access to services through referrals to health facilities. The UHEP was expected to provide 15 packages of services grouped into four thematic areas. The Urban Health Extension Professionals (UHE-Ps) are trained on the principles of the urban health extension program. Currently, more than 5,000 female UHE-Ps have been trained and deployed in approximately 400 cities/towns, including Addis Ababa. On average, one UHE-P is assigned to 500 households. UHE-Ps provide door-to-door health education and related services and refer clients to health centres as necessary. [2]_x000D__x000D_The Ethiopian Public Health Institute Establishment Council of Ministers Regulation No. 301/2013 is applicable nationwide, including in Addis Ababa, and makes certain provisions for the protection of public health. It establishes a Public Advisory Board at the Federal and Regional levels. The Public Health Authority shall appoint qualified inspectors to implement the provisions of this Proclamation and other laws and directives related to public health. [3]_x000D__x000D_Similarly, the Food, Medicine and Health Care Administration and Control Proclamation No. 661/2009 regulations were implemented in Ethiopia, which support the prevention of infectious diseases and harm caused by industries, including the nutrition industry. The Proclamation also has regulations on water quality, liquid waste, and other environmental health issues. However, it does not provide a specific urban NCD/CVD plan. [4]_x000D__x000D_Another health-related initiative adopted by Addis Ababa is the "Major Cities Emergency and Critical Care Improvement Program" (MECIP). MECIP is an initiative "designed to increase access to city-wide quality emergency, injury, and critical care services by creating a unique collaboration platform that can generate evidence-based innovative solutions to prioritised critical gaps and support health facilities and cities to ensure the integration of pre-hospital, emergency, injury, and critical care services in selected major cities." [5]</v>
      </c>
      <c r="T72" s="26" t="str">
        <f t="shared" ref="T72" ca="1" si="148">IF($I72=0,"",CONCATENATE(P72,CHAR(10),CHAR(10),S72))</f>
        <v xml:space="preserve">
The City has an Urban Health Extension Program (UHEP), but there is no evidence that it possesses a city-specific non-communicable disease (NCD)/cardiovascular disease (CVD) plan. The budget allocated for urban health is not readily available in open sources, such as the websites of the city administration. [1]_x000D__x000D_The UHEP was initiated in 2009 at the national level. Its aim was to create health equity by generating demand for essential health services through the provision of health information at the household level and access to services through referrals to health facilities. The UHEP was expected to provide 15 packages of services grouped into four thematic areas. The Urban Health Extension Professionals (UHE-Ps) are trained on the principles of the urban health extension program. Currently, more than 5,000 female UHE-Ps have been trained and deployed in approximately 400 cities/towns, including Addis Ababa. On average, one UHE-P is assigned to 500 households. UHE-Ps provide door-to-door health education and related services and refer clients to health centres as necessary. [2]_x000D__x000D_The Ethiopian Public Health Institute Establishment Council of Ministers Regulation No. 301/2013 is applicable nationwide, including in Addis Ababa, and makes certain provisions for the protection of public health. It establishes a Public Advisory Board at the Federal and Regional levels. The Public Health Authority shall appoint qualified inspectors to implement the provisions of this Proclamation and other laws and directives related to public health. [3]_x000D__x000D_Similarly, the Food, Medicine and Health Care Administration and Control Proclamation No. 661/2009 regulations were implemented in Ethiopia, which support the prevention of infectious diseases and harm caused by industries, including the nutrition industry. The Proclamation also has regulations on water quality, liquid waste, and other environmental health issues. However, it does not provide a specific urban NCD/CVD plan. [4]_x000D__x000D_Another health-related initiative adopted by Addis Ababa is the "Major Cities Emergency and Critical Care Improvement Program" (MECIP). MECIP is an initiative "designed to increase access to city-wide quality emergency, injury, and critical care services by creating a unique collaboration platform that can generate evidence-based innovative solutions to prioritised critical gaps and support health facilities and cities to ensure the integration of pre-hospital, emergency, injury, and critical care services in selected major cities." [5]</v>
      </c>
      <c r="U72" s="26" t="str" cm="1">
        <f t="array" aca="1" ref="U72" ca="1">INDEX(auto_DataFlat_Source,L72)</f>
        <v>Economist Impact analyst rating</v>
      </c>
      <c r="V72" s="26"/>
      <c r="W72" s="26"/>
      <c r="X72" s="103" t="str">
        <f t="shared" ref="X72" ca="1" si="149">K72</f>
        <v>5.3a) Urban health plan: components</v>
      </c>
      <c r="Y72" s="104"/>
      <c r="Z72" s="105" t="str" cm="1">
        <f t="array" aca="1" ref="Z72" ca="1">IF(M72="","",INDEX(uxbGlobals!$B$133:$B$139,City_Detail!M72))</f>
        <v xml:space="preserve"> </v>
      </c>
      <c r="AA72" s="104"/>
      <c r="AB72" s="346" t="str" cm="1">
        <f t="array" aca="1" ref="AB72" ca="1">SUBSTITUTE(IF($H72=0,"",INDEX(auto_DataFlat_Justification,$L72)),"n/a","—")</f>
        <v>The City has an Urban Health Extension Program (UHEP), but there is no evidence that it possesses a city-specific non-communicable disease (NCD)/cardiovascular disease (CVD) plan. The budget allocated for urban health is not readily available in open sources, such as the websites of the city administration. [1]_x000D__x000D_The UHEP was initiated in 2009 at the national level. Its aim was to create health equity by generating demand for essential health services through the provision of health information at the household level and access to services through referrals to health facilities. The UHEP was expected to provide 15 packages of services grouped into four thematic areas. The Urban Health Extension Professionals (UHE-Ps) are trained on the principles of the urban health extension program. Currently, more than 5,000 female UHE-Ps have been trained and deployed in approximately 400 cities/towns, including Addis Ababa. On average, one UHE-P is assigned to 500 households. UHE-Ps provide door-to-door health education and related services and refer clients to health centres as necessary. [2]_x000D__x000D_The Ethiopian Public Health Institute Establishment Council of Ministers Regulation No. 301/2013 is applicable nationwide, including in Addis Ababa, and makes certain provisions for the protection of public health. It establishes a Public Advisory Board at the Federal and Regional levels. The Public Health Authority shall appoint qualified inspectors to implement the provisions of this Proclamation and other laws and directives related to public health. [3]_x000D__x000D_Similarly, the Food, Medicine and Health Care Administration and Control Proclamation No. 661/2009 regulations were implemented in Ethiopia, which support the prevention of infectious diseases and harm caused by industries, including the nutrition industry. The Proclamation also has regulations on water quality, liquid waste, and other environmental health issues. However, it does not provide a specific urban NCD/CVD plan. [4]_x000D__x000D_Another health-related initiative adopted by Addis Ababa is the "Major Cities Emergency and Critical Care Improvement Program" (MECIP). MECIP is an initiative "designed to increase access to city-wide quality emergency, injury, and critical care services by creating a unique collaboration platform that can generate evidence-based innovative solutions to prioritised critical gaps and support health facilities and cities to ensure the integration of pre-hospital, emergency, injury, and critical care services in selected major cities." [5]</v>
      </c>
      <c r="AC72" s="104"/>
      <c r="AD72" s="106" t="str">
        <f t="shared" ref="AD72" ca="1" si="150">CONCATENATE("Source: ",$U72)</f>
        <v>Source: Economist Impact analyst rating</v>
      </c>
      <c r="AE72" s="99"/>
    </row>
    <row r="73" spans="1:31" ht="240" x14ac:dyDescent="0.4">
      <c r="A73" s="107" t="str">
        <f t="shared" ref="A73" si="151">A72</f>
        <v/>
      </c>
      <c r="B73" s="42"/>
      <c r="C73" s="100">
        <f t="shared" ref="C73" si="152">C72</f>
        <v>18</v>
      </c>
      <c r="D73" s="49"/>
      <c r="E73" s="101"/>
      <c r="F73" s="101"/>
      <c r="G73" s="101"/>
      <c r="H73" s="101"/>
      <c r="I73" s="101"/>
      <c r="J73" s="101"/>
      <c r="K73" s="101"/>
      <c r="L73" s="101"/>
      <c r="M73" s="102"/>
      <c r="N73" s="26"/>
      <c r="O73" s="101"/>
      <c r="P73" s="26"/>
      <c r="Q73" s="26"/>
      <c r="R73" s="26"/>
      <c r="S73" s="26"/>
      <c r="T73" s="26"/>
      <c r="U73" s="26"/>
      <c r="V73" s="26"/>
      <c r="W73" s="26"/>
      <c r="X73" s="108" t="str">
        <f t="shared" ref="X73" ca="1" si="153">R72</f>
        <v xml:space="preserve">Is there an urban public health plan?
Does the public health plan specify a budget allocated for health services and/or programmes?
Is there an urban health plan for NCDs or CVDs (separate or a part of the general public health plan)?
</v>
      </c>
      <c r="Y73" s="108"/>
      <c r="Z73" s="109"/>
      <c r="AA73" s="108"/>
      <c r="AB73" s="347"/>
      <c r="AC73" s="108"/>
      <c r="AD73" s="108" t="str" cm="1">
        <f t="array" aca="1" ref="AD73" ca="1">IF($D$15=1,"",SUBSTITUTE(INDEX(auto_DataFlat_References,$L72),"n/a",""))</f>
        <v>[1] Addis Ababa City Administration. Addis Ababa: Addis Ababa City Administration. [Accessed 29th March 2024]. Available from: https://www.cityaddisababa.gov.et/
[2] John Snow Inc and USAID. Strengthening Ethiopia's Urban Health Program Annual Report October 2017 – September 2018. Addis Ababa, Ethiopia: John Snow Inc and USAID; 2019. Available from: https://pdf.usaid.gov/pdf_docs/PA00TK37.pdf
[3] Council of Ministers. Regulation No. 301/2013. Addis Ababa: Council of Ministers; 14 January 2014. Available from: https://faolex.fao.org/docs/pdf/eth170312.pdf
[4] Council of Ministers. Food, Medicine and Health Care Administration and Control Proclamation No. 661/2009. Addis Ababa: Council of Ministers; 13 January 2010. Available from: https://faolex.fao.org/docs/pdf/eth94419.pdf
[5] Federal Ministry of Health (FMOH). Major Cities Emergency and Critical Care Improvement Program (MECIP) Addis Ababa: FMOH. [Accessed 28th March 2024]. Available at: https://www.moh.gov.et/en/initiatives-4-col/major_cities_emergency_and_critical_care_improvement_program?language_content_entity=en</v>
      </c>
      <c r="AE73" s="110" t="str">
        <f t="shared" ref="AE73" ca="1" si="154">AB72</f>
        <v>The City has an Urban Health Extension Program (UHEP), but there is no evidence that it possesses a city-specific non-communicable disease (NCD)/cardiovascular disease (CVD) plan. The budget allocated for urban health is not readily available in open sources, such as the websites of the city administration. [1]_x000D__x000D_The UHEP was initiated in 2009 at the national level. Its aim was to create health equity by generating demand for essential health services through the provision of health information at the household level and access to services through referrals to health facilities. The UHEP was expected to provide 15 packages of services grouped into four thematic areas. The Urban Health Extension Professionals (UHE-Ps) are trained on the principles of the urban health extension program. Currently, more than 5,000 female UHE-Ps have been trained and deployed in approximately 400 cities/towns, including Addis Ababa. On average, one UHE-P is assigned to 500 households. UHE-Ps provide door-to-door health education and related services and refer clients to health centres as necessary. [2]_x000D__x000D_The Ethiopian Public Health Institute Establishment Council of Ministers Regulation No. 301/2013 is applicable nationwide, including in Addis Ababa, and makes certain provisions for the protection of public health. It establishes a Public Advisory Board at the Federal and Regional levels. The Public Health Authority shall appoint qualified inspectors to implement the provisions of this Proclamation and other laws and directives related to public health. [3]_x000D__x000D_Similarly, the Food, Medicine and Health Care Administration and Control Proclamation No. 661/2009 regulations were implemented in Ethiopia, which support the prevention of infectious diseases and harm caused by industries, including the nutrition industry. The Proclamation also has regulations on water quality, liquid waste, and other environmental health issues. However, it does not provide a specific urban NCD/CVD plan. [4]_x000D__x000D_Another health-related initiative adopted by Addis Ababa is the "Major Cities Emergency and Critical Care Improvement Program" (MECIP). MECIP is an initiative "designed to increase access to city-wide quality emergency, injury, and critical care services by creating a unique collaboration platform that can generate evidence-based innovative solutions to prioritised critical gaps and support health facilities and cities to ensure the integration of pre-hospital, emergency, injury, and critical care services in selected major cities." [5]</v>
      </c>
    </row>
    <row r="74" spans="1:31" x14ac:dyDescent="0.4">
      <c r="A74" s="94" t="str">
        <f t="shared" ref="A74" si="155">A75</f>
        <v/>
      </c>
      <c r="B74" s="95"/>
      <c r="C74" s="4"/>
      <c r="D74" s="96"/>
      <c r="E74" s="87"/>
      <c r="F74" s="87"/>
      <c r="G74" s="87"/>
      <c r="H74" s="87"/>
      <c r="I74" s="87"/>
      <c r="J74" s="87"/>
      <c r="K74" s="87"/>
      <c r="L74" s="90"/>
      <c r="M74" s="91"/>
      <c r="N74" s="91"/>
      <c r="O74" s="90"/>
      <c r="P74" s="91"/>
      <c r="Q74" s="91"/>
      <c r="R74" s="49"/>
      <c r="S74" s="91"/>
      <c r="T74" s="49"/>
      <c r="U74" s="49"/>
      <c r="V74" s="49"/>
      <c r="W74" s="49"/>
      <c r="X74" s="97"/>
      <c r="Y74" s="97"/>
      <c r="Z74" s="97"/>
      <c r="AA74" s="97"/>
      <c r="AB74" s="97"/>
      <c r="AC74" s="97"/>
      <c r="AD74" s="98"/>
      <c r="AE74" s="99"/>
    </row>
    <row r="75" spans="1:31" x14ac:dyDescent="0.4">
      <c r="A75" s="21" t="str">
        <f t="shared" ref="A75" si="156">IF($D$13=1,"",IF($E75&lt;&gt;$D$13-1,"H",""))</f>
        <v/>
      </c>
      <c r="B75" s="42" t="str">
        <f t="shared" ref="B75" ca="1" si="157">IF($H75=0,"V","")</f>
        <v/>
      </c>
      <c r="C75" s="100">
        <f t="shared" ref="C75" si="158">C72+1</f>
        <v>19</v>
      </c>
      <c r="D75" s="49" cm="1">
        <f t="array" aca="1" ref="D75" ca="1">INDEX(OFFSET(auto_ss_HasDetailedNotes,0,1,500,1),C75)</f>
        <v>57</v>
      </c>
      <c r="E75" s="101" cm="1">
        <f t="array" aca="1" ref="E75" ca="1">INDEX(auto_tblSeries,$D75,E$18)</f>
        <v>5</v>
      </c>
      <c r="F75" s="101" cm="1">
        <f t="array" aca="1" ref="F75" ca="1">INDEX(auto_tblSeries,$D75,F$18)</f>
        <v>3</v>
      </c>
      <c r="G75" s="101" t="str" cm="1">
        <f t="array" aca="1" ref="G75" ca="1">INDEX(auto_tblSeries,$D75,G$18)</f>
        <v>#,##0</v>
      </c>
      <c r="H75" s="101" cm="1">
        <f t="array" aca="1" ref="H75" ca="1">INDEX(auto_tblSeries,$D75,H$18)</f>
        <v>1</v>
      </c>
      <c r="I75" s="101" cm="1">
        <f t="array" aca="1" ref="I75" ca="1">INDEX(auto_tblSeries,$D75,I$18)</f>
        <v>1</v>
      </c>
      <c r="J75" s="101" t="str" cm="1">
        <f t="array" aca="1" ref="J75" ca="1">INDEX(auto_tblSeries,$D75,J$18)</f>
        <v>Rating 0-1</v>
      </c>
      <c r="K75" s="101" t="str" cm="1">
        <f t="array" aca="1" ref="K75" ca="1">INDEX(auto_tblSeries,$D75,K$18)</f>
        <v>5.3b) Urban health plan: stakeholder engagement</v>
      </c>
      <c r="L75" s="101" cm="1">
        <f t="array" aca="1" ref="L75" ca="1">INDEX(sys_DataFlat_LU_Grid,$D75,$D$14)</f>
        <v>3361</v>
      </c>
      <c r="M75" s="102" cm="1">
        <f t="array" aca="1" ref="M75" ca="1">IF($H75=0,"",INDEX(auto_DataFlat_Classification,$L75))</f>
        <v>5</v>
      </c>
      <c r="N75" s="26" cm="1">
        <f t="array" aca="1" ref="N75" ca="1">IF($H75=0,"",INDEX(auto_DataFlat_DataValue,$L75))</f>
        <v>1</v>
      </c>
      <c r="O75" s="101" t="str" cm="1">
        <f t="array" aca="1" ref="O75" ca="1">INDEX(auto_tblSeries,$D75,O$18)</f>
        <v>Have stakeholders from different sectors (e.g. transport, education, retail, industry, healthcare providers and patients/general population representatives) been involved throughout the urban health plan development phase or in the process of policy development? (This could include providing input or assistance for the development or implementation of any health-related programmes or initiatives.)</v>
      </c>
      <c r="P75" s="26" t="str" cm="1">
        <f t="array" aca="1" ref="P75" ca="1">IF($I75=0,"",IF(N75="n/a","n/a",IF(LEFT(INDEX(tblSeries!$AI$2:$AP$240,$D75,$N75+1),1)="+","",INDEX(tblSeries!$AI$2:$AP$240,$D75,$N75+1))))</f>
        <v>There is evidence of engagement with different sectors</v>
      </c>
      <c r="Q75" s="26" t="str">
        <f t="shared" ref="Q75" ca="1" si="159">IF(H75=0,"",IF(I75=1,O75,J75))</f>
        <v>Have stakeholders from different sectors (e.g. transport, education, retail, industry, healthcare providers and patients/general population representatives) been involved throughout the urban health plan development phase or in the process of policy development? (This could include providing input or assistance for the development or implementation of any health-related programmes or initiatives.)</v>
      </c>
      <c r="R75" s="26" t="str">
        <f t="shared" ref="R75" ca="1" si="160">CONCATENATE(Q75,IF($I75=0,"",CONCATENATE(CHAR(10),CHAR(10),P75,CHAR(10))))</f>
        <v xml:space="preserve">Have stakeholders from different sectors (e.g. transport, education, retail, industry, healthcare providers and patients/general population representatives) been involved throughout the urban health plan development phase or in the process of policy development? (This could include providing input or assistance for the development or implementation of any health-related programmes or initiatives.)
There is evidence of engagement with different sectors
</v>
      </c>
      <c r="S75" s="26" t="str" cm="1">
        <f t="array" aca="1" ref="S75" ca="1">IF($H75=0,"",INDEX(auto_DataFlat_Justification,$L75))</f>
        <v>Addis Ababa has adopted and implemented a multisectoral program called the Urban Health Extension Plan (UHEP). [1]_x000D__x000D_The UHEP, which commenced in 2009, aims to provide 15 packages of services that are grouped into four thematic areas. There are over 5,000 Urban Health Extension Professionals (UHE-Ps) deployed in approximately 400 cities/towns, including Addis Ababa. [1] The UHE-Ps provide door-to-door health education and related services, and they refer clients to health centres as necessary. [1] The UHEP is supported by global partners, such as USAID, and is implemented in close collaboration with the city's health bureau, the city's mayor's office, and the government and community leaders. There is evidence of multisectoral stakeholder engagement in the design and implementation of the UHEP. [1]</v>
      </c>
      <c r="T75" s="26" t="str">
        <f t="shared" ref="T75" ca="1" si="161">IF($I75=0,"",CONCATENATE(P75,CHAR(10),CHAR(10),S75))</f>
        <v>There is evidence of engagement with different sectors
Addis Ababa has adopted and implemented a multisectoral program called the Urban Health Extension Plan (UHEP). [1]_x000D__x000D_The UHEP, which commenced in 2009, aims to provide 15 packages of services that are grouped into four thematic areas. There are over 5,000 Urban Health Extension Professionals (UHE-Ps) deployed in approximately 400 cities/towns, including Addis Ababa. [1] The UHE-Ps provide door-to-door health education and related services, and they refer clients to health centres as necessary. [1] The UHEP is supported by global partners, such as USAID, and is implemented in close collaboration with the city's health bureau, the city's mayor's office, and the government and community leaders. There is evidence of multisectoral stakeholder engagement in the design and implementation of the UHEP. [1]</v>
      </c>
      <c r="U75" s="26" t="str" cm="1">
        <f t="array" aca="1" ref="U75" ca="1">INDEX(auto_DataFlat_Source,L75)</f>
        <v>Economist Impact analyst rating</v>
      </c>
      <c r="V75" s="26"/>
      <c r="W75" s="26"/>
      <c r="X75" s="103" t="str">
        <f t="shared" ref="X75" ca="1" si="162">K75</f>
        <v>5.3b) Urban health plan: stakeholder engagement</v>
      </c>
      <c r="Y75" s="104"/>
      <c r="Z75" s="105" t="str" cm="1">
        <f t="array" aca="1" ref="Z75" ca="1">IF(M75="","",INDEX(uxbGlobals!$B$133:$B$139,City_Detail!M75))</f>
        <v xml:space="preserve"> </v>
      </c>
      <c r="AA75" s="104"/>
      <c r="AB75" s="346" t="str" cm="1">
        <f t="array" aca="1" ref="AB75" ca="1">SUBSTITUTE(IF($H75=0,"",INDEX(auto_DataFlat_Justification,$L75)),"n/a","—")</f>
        <v>Addis Ababa has adopted and implemented a multisectoral program called the Urban Health Extension Plan (UHEP). [1]_x000D__x000D_The UHEP, which commenced in 2009, aims to provide 15 packages of services that are grouped into four thematic areas. There are over 5,000 Urban Health Extension Professionals (UHE-Ps) deployed in approximately 400 cities/towns, including Addis Ababa. [1] The UHE-Ps provide door-to-door health education and related services, and they refer clients to health centres as necessary. [1] The UHEP is supported by global partners, such as USAID, and is implemented in close collaboration with the city's health bureau, the city's mayor's office, and the government and community leaders. There is evidence of multisectoral stakeholder engagement in the design and implementation of the UHEP. [1]</v>
      </c>
      <c r="AC75" s="104"/>
      <c r="AD75" s="106" t="str">
        <f t="shared" ref="AD75" ca="1" si="163">CONCATENATE("Source: ",$U75)</f>
        <v>Source: Economist Impact analyst rating</v>
      </c>
      <c r="AE75" s="99"/>
    </row>
    <row r="76" spans="1:31" ht="96" x14ac:dyDescent="0.4">
      <c r="A76" s="107" t="str">
        <f t="shared" ref="A76" si="164">A75</f>
        <v/>
      </c>
      <c r="B76" s="42"/>
      <c r="C76" s="100">
        <f t="shared" ref="C76" si="165">C75</f>
        <v>19</v>
      </c>
      <c r="D76" s="49"/>
      <c r="E76" s="101"/>
      <c r="F76" s="101"/>
      <c r="G76" s="101"/>
      <c r="H76" s="101"/>
      <c r="I76" s="101"/>
      <c r="J76" s="101"/>
      <c r="K76" s="101"/>
      <c r="L76" s="101"/>
      <c r="M76" s="102"/>
      <c r="N76" s="26"/>
      <c r="O76" s="101"/>
      <c r="P76" s="26"/>
      <c r="Q76" s="26"/>
      <c r="R76" s="26"/>
      <c r="S76" s="26"/>
      <c r="T76" s="26"/>
      <c r="U76" s="26"/>
      <c r="V76" s="26"/>
      <c r="W76" s="26"/>
      <c r="X76" s="108" t="str">
        <f t="shared" ref="X76" ca="1" si="166">R75</f>
        <v xml:space="preserve">Have stakeholders from different sectors (e.g. transport, education, retail, industry, healthcare providers and patients/general population representatives) been involved throughout the urban health plan development phase or in the process of policy development? (This could include providing input or assistance for the development or implementation of any health-related programmes or initiatives.)
There is evidence of engagement with different sectors
</v>
      </c>
      <c r="Y76" s="108"/>
      <c r="Z76" s="109"/>
      <c r="AA76" s="108"/>
      <c r="AB76" s="347"/>
      <c r="AC76" s="108"/>
      <c r="AD76" s="108" t="str" cm="1">
        <f t="array" aca="1" ref="AD76" ca="1">IF($D$15=1,"",SUBSTITUTE(INDEX(auto_DataFlat_References,$L75),"n/a",""))</f>
        <v>[1] John Snow Inc and USAID. Strengthening Ethiopia's Urban Health Program Annual Report October 2017 – September 2018. Addis Ababa, Ethiopia: John Snow Inc and USAID; 2019. Available from: https://pdf.usaid.gov/pdf_docs/PA00TK37.pdf</v>
      </c>
      <c r="AE76" s="110" t="str">
        <f t="shared" ref="AE76" ca="1" si="167">AB75</f>
        <v>Addis Ababa has adopted and implemented a multisectoral program called the Urban Health Extension Plan (UHEP). [1]_x000D__x000D_The UHEP, which commenced in 2009, aims to provide 15 packages of services that are grouped into four thematic areas. There are over 5,000 Urban Health Extension Professionals (UHE-Ps) deployed in approximately 400 cities/towns, including Addis Ababa. [1] The UHE-Ps provide door-to-door health education and related services, and they refer clients to health centres as necessary. [1] The UHEP is supported by global partners, such as USAID, and is implemented in close collaboration with the city's health bureau, the city's mayor's office, and the government and community leaders. There is evidence of multisectoral stakeholder engagement in the design and implementation of the UHEP. [1]</v>
      </c>
    </row>
    <row r="77" spans="1:31" x14ac:dyDescent="0.4">
      <c r="A77" s="94" t="str">
        <f>A78</f>
        <v/>
      </c>
      <c r="B77" s="95"/>
      <c r="C77" s="4"/>
      <c r="D77" s="96"/>
      <c r="E77" s="87"/>
      <c r="F77" s="87"/>
      <c r="G77" s="87"/>
      <c r="H77" s="87"/>
      <c r="I77" s="87"/>
      <c r="J77" s="87"/>
      <c r="K77" s="87"/>
      <c r="L77" s="90"/>
      <c r="M77" s="91"/>
      <c r="N77" s="91"/>
      <c r="O77" s="90"/>
      <c r="P77" s="91"/>
      <c r="Q77" s="91"/>
      <c r="R77" s="49"/>
      <c r="S77" s="91"/>
      <c r="T77" s="49"/>
      <c r="U77" s="49"/>
      <c r="V77" s="49"/>
      <c r="W77" s="49"/>
      <c r="X77" s="97"/>
      <c r="Y77" s="97"/>
      <c r="Z77" s="97"/>
      <c r="AA77" s="97"/>
      <c r="AB77" s="97"/>
      <c r="AC77" s="97"/>
      <c r="AD77" s="98"/>
      <c r="AE77" s="99"/>
    </row>
    <row r="78" spans="1:31" x14ac:dyDescent="0.4">
      <c r="A78" s="21" t="str">
        <f>IF($D$13=1,"",IF($E78&lt;&gt;$D$13-1,"H",""))</f>
        <v/>
      </c>
      <c r="B78" s="42" t="str">
        <f t="shared" ref="B78" ca="1" si="168">IF($H78=0,"V","")</f>
        <v/>
      </c>
      <c r="C78" s="100">
        <f>C75+1</f>
        <v>20</v>
      </c>
      <c r="D78" s="49" cm="1">
        <f t="array" aca="1" ref="D78" ca="1">INDEX(OFFSET(auto_ss_HasDetailedNotes,0,1,500,1),C78)</f>
        <v>58</v>
      </c>
      <c r="E78" s="101" cm="1">
        <f t="array" aca="1" ref="E78" ca="1">INDEX(auto_tblSeries,$D78,E$18)</f>
        <v>5</v>
      </c>
      <c r="F78" s="101" cm="1">
        <f t="array" aca="1" ref="F78" ca="1">INDEX(auto_tblSeries,$D78,F$18)</f>
        <v>2</v>
      </c>
      <c r="G78" s="101" t="str" cm="1">
        <f t="array" aca="1" ref="G78" ca="1">INDEX(auto_tblSeries,$D78,G$18)</f>
        <v>#,##0</v>
      </c>
      <c r="H78" s="101" cm="1">
        <f t="array" aca="1" ref="H78" ca="1">INDEX(auto_tblSeries,$D78,H$18)</f>
        <v>1</v>
      </c>
      <c r="I78" s="101" cm="1">
        <f t="array" aca="1" ref="I78" ca="1">INDEX(auto_tblSeries,$D78,I$18)</f>
        <v>1</v>
      </c>
      <c r="J78" s="101" t="str" cm="1">
        <f t="array" aca="1" ref="J78" ca="1">INDEX(auto_tblSeries,$D78,J$18)</f>
        <v>Rating 0-2</v>
      </c>
      <c r="K78" s="101" t="str" cm="1">
        <f t="array" aca="1" ref="K78" ca="1">INDEX(auto_tblSeries,$D78,K$18)</f>
        <v>5.4) Healthy diet policies</v>
      </c>
      <c r="L78" s="101" cm="1">
        <f t="array" aca="1" ref="L78" ca="1">INDEX(sys_DataFlat_LU_Grid,$D78,$D$14)</f>
        <v>3421</v>
      </c>
      <c r="M78" s="102" cm="1">
        <f t="array" aca="1" ref="M78" ca="1">IF($H78=0,"",INDEX(auto_DataFlat_Classification,$L78))</f>
        <v>1</v>
      </c>
      <c r="N78" s="26" cm="1">
        <f t="array" aca="1" ref="N78" ca="1">IF($H78=0,"",INDEX(auto_DataFlat_DataValue,$L78))</f>
        <v>0</v>
      </c>
      <c r="O78" s="101" t="str" cm="1">
        <f t="array" aca="1" ref="O78" ca="1">INDEX(auto_tblSeries,$D78,O$18)</f>
        <v>Are there any policies to reduce the impact on children of marketing of foods and non-alcoholic beverages high in saturated fats, trans-fatty acids, free sugars, or salt?
Has the city/country conducted a recent (i.e. in the past 5 years) adult risk factor survey covering unhealthy diet?</v>
      </c>
      <c r="P78" s="26" t="str" cm="1">
        <f t="array" aca="1" ref="P78" ca="1">IF($I78=0,"",IF(N78="n/a","n/a",IF(LEFT(INDEX(tblSeries!$AI$2:$AP$240,$D78,$N78+1),1)="+","",INDEX(tblSeries!$AI$2:$AP$240,$D78,$N78+1))))</f>
        <v>No survey or policies exist</v>
      </c>
      <c r="Q78" s="26" t="str">
        <f t="shared" ref="Q78" ca="1" si="169">IF(H78=0,"",IF(I78=1,O78,J78))</f>
        <v>Are there any policies to reduce the impact on children of marketing of foods and non-alcoholic beverages high in saturated fats, trans-fatty acids, free sugars, or salt?
Has the city/country conducted a recent (i.e. in the past 5 years) adult risk factor survey covering unhealthy diet?</v>
      </c>
      <c r="R78" s="26" t="str">
        <f ca="1">CONCATENATE(Q78,IF($I78=0,"",CONCATENATE(CHAR(10),CHAR(10),P78,CHAR(10))))</f>
        <v xml:space="preserve">Are there any policies to reduce the impact on children of marketing of foods and non-alcoholic beverages high in saturated fats, trans-fatty acids, free sugars, or salt?
Has the city/country conducted a recent (i.e. in the past 5 years) adult risk factor survey covering unhealthy diet?
No survey or policies exist
</v>
      </c>
      <c r="S78" s="26" t="str" cm="1">
        <f t="array" aca="1" ref="S78" ca="1">IF($H78=0,"",INDEX(auto_DataFlat_Justification,$L78))</f>
        <v>Addis Ababa has a policy on food production and marketing, but it does not specifically target children. [1] Moreover, there is no evidence on the website of the city administration that a survey about unhealthy diets was ever conducted in the city. [2]_x000D__x000D_Some of the food safety and food marketing-related regulations adopted by the city include the Ethiopian Food and Drug Administration (EFDA) and the Addis Ababa Food and Drug Administration (AAFDA) regulations. As per a proclamation of EFDA's mandates, the administration is mandated to undertake post-marketing surveillance and periodically undertake safety monitoring of food products placed on the market. The proclamation contains provisions regarding the labelling, description, or advertisement of food products. The EFDA determines the list of allowable food additives and prohibits the marketing of food supplements without registration. [2] The AAFDA has similar provisions and is responsible for overseeing the implementation of the relevant food safety regulations in the city. [3] However, none of these are targeted at children.</v>
      </c>
      <c r="T78" s="26" t="str">
        <f t="shared" ref="T78" ca="1" si="170">IF($I78=0,"",CONCATENATE(P78,CHAR(10),CHAR(10),S78))</f>
        <v>No survey or policies exist
Addis Ababa has a policy on food production and marketing, but it does not specifically target children. [1] Moreover, there is no evidence on the website of the city administration that a survey about unhealthy diets was ever conducted in the city. [2]_x000D__x000D_Some of the food safety and food marketing-related regulations adopted by the city include the Ethiopian Food and Drug Administration (EFDA) and the Addis Ababa Food and Drug Administration (AAFDA) regulations. As per a proclamation of EFDA's mandates, the administration is mandated to undertake post-marketing surveillance and periodically undertake safety monitoring of food products placed on the market. The proclamation contains provisions regarding the labelling, description, or advertisement of food products. The EFDA determines the list of allowable food additives and prohibits the marketing of food supplements without registration. [2] The AAFDA has similar provisions and is responsible for overseeing the implementation of the relevant food safety regulations in the city. [3] However, none of these are targeted at children.</v>
      </c>
      <c r="U78" s="26" t="str" cm="1">
        <f t="array" aca="1" ref="U78" ca="1">INDEX(auto_DataFlat_Source,L78)</f>
        <v>Economist Impact analyst rating</v>
      </c>
      <c r="V78" s="26"/>
      <c r="W78" s="26"/>
      <c r="X78" s="103" t="str">
        <f ca="1">K78</f>
        <v>5.4) Healthy diet policies</v>
      </c>
      <c r="Y78" s="104"/>
      <c r="Z78" s="105" t="str" cm="1">
        <f t="array" aca="1" ref="Z78" ca="1">IF(M78="","",INDEX(uxbGlobals!$B$133:$B$139,City_Detail!M78))</f>
        <v xml:space="preserve"> </v>
      </c>
      <c r="AA78" s="104"/>
      <c r="AB78" s="346" t="str" cm="1">
        <f t="array" aca="1" ref="AB78" ca="1">SUBSTITUTE(IF($H78=0,"",INDEX(auto_DataFlat_Justification,$L78)),"n/a","—")</f>
        <v>Addis Ababa has a policy on food production and marketing, but it does not specifically target children. [1] Moreover, there is no evidence on the website of the city administration that a survey about unhealthy diets was ever conducted in the city. [2]_x000D__x000D_Some of the food safety and food marketing-related regulations adopted by the city include the Ethiopian Food and Drug Administration (EFDA) and the Addis Ababa Food and Drug Administration (AAFDA) regulations. As per a proclamation of EFDA's mandates, the administration is mandated to undertake post-marketing surveillance and periodically undertake safety monitoring of food products placed on the market. The proclamation contains provisions regarding the labelling, description, or advertisement of food products. The EFDA determines the list of allowable food additives and prohibits the marketing of food supplements without registration. [2] The AAFDA has similar provisions and is responsible for overseeing the implementation of the relevant food safety regulations in the city. [3] However, none of these are targeted at children.</v>
      </c>
      <c r="AC78" s="104"/>
      <c r="AD78" s="106" t="str">
        <f t="shared" ref="AD78" ca="1" si="171">CONCATENATE("Source: ",$U78)</f>
        <v>Source: Economist Impact analyst rating</v>
      </c>
      <c r="AE78" s="99"/>
    </row>
    <row r="79" spans="1:31" ht="108" x14ac:dyDescent="0.4">
      <c r="A79" s="107" t="str">
        <f>A78</f>
        <v/>
      </c>
      <c r="B79" s="42"/>
      <c r="C79" s="100">
        <f t="shared" ref="C79" si="172">C78</f>
        <v>20</v>
      </c>
      <c r="D79" s="49"/>
      <c r="E79" s="101"/>
      <c r="F79" s="101"/>
      <c r="G79" s="101"/>
      <c r="H79" s="101"/>
      <c r="I79" s="101"/>
      <c r="J79" s="101"/>
      <c r="K79" s="101"/>
      <c r="L79" s="101"/>
      <c r="M79" s="102"/>
      <c r="N79" s="26"/>
      <c r="O79" s="101"/>
      <c r="P79" s="26"/>
      <c r="Q79" s="26"/>
      <c r="R79" s="26"/>
      <c r="S79" s="26"/>
      <c r="T79" s="26"/>
      <c r="U79" s="26"/>
      <c r="V79" s="26"/>
      <c r="W79" s="26"/>
      <c r="X79" s="108" t="str">
        <f ca="1">R78</f>
        <v xml:space="preserve">Are there any policies to reduce the impact on children of marketing of foods and non-alcoholic beverages high in saturated fats, trans-fatty acids, free sugars, or salt?
Has the city/country conducted a recent (i.e. in the past 5 years) adult risk factor survey covering unhealthy diet?
No survey or policies exist
</v>
      </c>
      <c r="Y79" s="108"/>
      <c r="Z79" s="109"/>
      <c r="AA79" s="108"/>
      <c r="AB79" s="347"/>
      <c r="AC79" s="108"/>
      <c r="AD79" s="108" t="str" cm="1">
        <f t="array" aca="1" ref="AD79" ca="1">IF($D$15=1,"",SUBSTITUTE(INDEX(auto_DataFlat_References,$L78),"n/a",""))</f>
        <v>[1] USAID. Review of Food Safety Policy and Legislation in Ethiopia. Washington, D.C.: USAID; January 2022. Available from: https://pdf.usaid.gov/pdf_docs/PA00Z882.pdf
[2] Ethiopian Food and Drug Administration (EFDA). Ethiopian Food and Drug Administration. Addis Ababa: Ethiopian Food and Drug Administration (EFDA); 2010. Available from: https://www.efda.gov.et/.
[3] Addis Ababa City Administration Food and Drug Authority (AAFDA). About Us. Addis Ababa: Addis Ababa City Administration. [Accessed 29 March 2024]. Available from: https://web.archive.org/web/20240312214026/https://aafda.gov.et/about.php</v>
      </c>
      <c r="AE79" s="110" t="str">
        <f t="shared" ref="AE79" ca="1" si="173">AB78</f>
        <v>Addis Ababa has a policy on food production and marketing, but it does not specifically target children. [1] Moreover, there is no evidence on the website of the city administration that a survey about unhealthy diets was ever conducted in the city. [2]_x000D__x000D_Some of the food safety and food marketing-related regulations adopted by the city include the Ethiopian Food and Drug Administration (EFDA) and the Addis Ababa Food and Drug Administration (AAFDA) regulations. As per a proclamation of EFDA's mandates, the administration is mandated to undertake post-marketing surveillance and periodically undertake safety monitoring of food products placed on the market. The proclamation contains provisions regarding the labelling, description, or advertisement of food products. The EFDA determines the list of allowable food additives and prohibits the marketing of food supplements without registration. [2] The AAFDA has similar provisions and is responsible for overseeing the implementation of the relevant food safety regulations in the city. [3] However, none of these are targeted at children.</v>
      </c>
    </row>
    <row r="80" spans="1:31" x14ac:dyDescent="0.4">
      <c r="A80" s="94" t="str">
        <f>A81</f>
        <v/>
      </c>
      <c r="B80" s="95"/>
      <c r="C80" s="4"/>
      <c r="D80" s="96"/>
      <c r="E80" s="87"/>
      <c r="F80" s="87"/>
      <c r="G80" s="87"/>
      <c r="H80" s="87"/>
      <c r="I80" s="87"/>
      <c r="J80" s="87"/>
      <c r="K80" s="87"/>
      <c r="L80" s="90"/>
      <c r="M80" s="91"/>
      <c r="N80" s="91"/>
      <c r="O80" s="90"/>
      <c r="P80" s="91"/>
      <c r="Q80" s="91"/>
      <c r="R80" s="49"/>
      <c r="S80" s="91"/>
      <c r="T80" s="49"/>
      <c r="U80" s="49"/>
      <c r="V80" s="49"/>
      <c r="W80" s="49"/>
      <c r="X80" s="97"/>
      <c r="Y80" s="97"/>
      <c r="Z80" s="97"/>
      <c r="AA80" s="97"/>
      <c r="AB80" s="97"/>
      <c r="AC80" s="97"/>
      <c r="AD80" s="98"/>
      <c r="AE80" s="99"/>
    </row>
    <row r="81" spans="1:31" x14ac:dyDescent="0.4">
      <c r="A81" s="21" t="str">
        <f>IF($D$13=1,"",IF($E81&lt;&gt;$D$13-1,"H",""))</f>
        <v/>
      </c>
      <c r="B81" s="42" t="str">
        <f t="shared" ref="B81" ca="1" si="174">IF($H81=0,"V","")</f>
        <v/>
      </c>
      <c r="C81" s="100">
        <f>C78+1</f>
        <v>21</v>
      </c>
      <c r="D81" s="49" cm="1">
        <f t="array" aca="1" ref="D81" ca="1">INDEX(OFFSET(auto_ss_HasDetailedNotes,0,1,500,1),C81)</f>
        <v>60</v>
      </c>
      <c r="E81" s="101" cm="1">
        <f t="array" aca="1" ref="E81" ca="1">INDEX(auto_tblSeries,$D81,E$18)</f>
        <v>5</v>
      </c>
      <c r="F81" s="101" cm="1">
        <f t="array" aca="1" ref="F81" ca="1">INDEX(auto_tblSeries,$D81,F$18)</f>
        <v>2</v>
      </c>
      <c r="G81" s="101" t="str" cm="1">
        <f t="array" aca="1" ref="G81" ca="1">INDEX(auto_tblSeries,$D81,G$18)</f>
        <v>#,##0</v>
      </c>
      <c r="H81" s="101" cm="1">
        <f t="array" aca="1" ref="H81" ca="1">INDEX(auto_tblSeries,$D81,H$18)</f>
        <v>1</v>
      </c>
      <c r="I81" s="101" cm="1">
        <f t="array" aca="1" ref="I81" ca="1">INDEX(auto_tblSeries,$D81,I$18)</f>
        <v>1</v>
      </c>
      <c r="J81" s="101" t="str" cm="1">
        <f t="array" aca="1" ref="J81" ca="1">INDEX(auto_tblSeries,$D81,J$18)</f>
        <v>Rating 0-2</v>
      </c>
      <c r="K81" s="101" t="str" cm="1">
        <f t="array" aca="1" ref="K81" ca="1">INDEX(auto_tblSeries,$D81,K$18)</f>
        <v>5.6) Treatment guidelines</v>
      </c>
      <c r="L81" s="101" cm="1">
        <f t="array" aca="1" ref="L81" ca="1">INDEX(sys_DataFlat_LU_Grid,$D81,$D$14)</f>
        <v>3541</v>
      </c>
      <c r="M81" s="102" cm="1">
        <f t="array" aca="1" ref="M81" ca="1">IF($H81=0,"",INDEX(auto_DataFlat_Classification,$L81))</f>
        <v>5</v>
      </c>
      <c r="N81" s="26" cm="1">
        <f t="array" aca="1" ref="N81" ca="1">IF($H81=0,"",INDEX(auto_DataFlat_DataValue,$L81))</f>
        <v>2</v>
      </c>
      <c r="O81" s="101" t="str" cm="1">
        <f t="array" aca="1" ref="O81" ca="1">INDEX(auto_tblSeries,$D81,O$18)</f>
        <v>Are there national or local (e.g. by care provider organisations) evidence-based treatment protocols or guidelines that are focused on hypertension detection and treatment and diabetes detection and treatment?</v>
      </c>
      <c r="P81" s="26" t="str" cm="1">
        <f t="array" aca="1" ref="P81" ca="1">IF($I81=0,"",IF(N81="n/a","n/a",IF(LEFT(INDEX(tblSeries!$AI$2:$AP$240,$D81,$N81+1),1)="+","",INDEX(tblSeries!$AI$2:$AP$240,$D81,$N81+1))))</f>
        <v>Evidence of both hypertension guidelines existence AND diabetes guidelines existence</v>
      </c>
      <c r="Q81" s="26" t="str">
        <f t="shared" ref="Q81" ca="1" si="175">IF(H81=0,"",IF(I81=1,O81,J81))</f>
        <v>Are there national or local (e.g. by care provider organisations) evidence-based treatment protocols or guidelines that are focused on hypertension detection and treatment and diabetes detection and treatment?</v>
      </c>
      <c r="R81" s="26" t="str">
        <f ca="1">CONCATENATE(Q81,IF($I81=0,"",CONCATENATE(CHAR(10),CHAR(10),P81,CHAR(10))))</f>
        <v xml:space="preserve">Are there national or local (e.g. by care provider organisations) evidence-based treatment protocols or guidelines that are focused on hypertension detection and treatment and diabetes detection and treatment?
Evidence of both hypertension guidelines existence AND diabetes guidelines existence
</v>
      </c>
      <c r="S81" s="26" t="str" cm="1">
        <f t="array" aca="1" ref="S81" ca="1">IF($H81=0,"",INDEX(auto_DataFlat_Justification,$L81))</f>
        <v>Evidence suggests the presence of national evidence-based treatment guidelines for hypertension and diabetes in Ethiopia._x000D__x000D_In 2014, the Ethiopian Food, Medicine and Healthcare Administration and Control Authority (FMHACA) published the "Standard Treatment Guidelines for General Hospitals Third Edition". [1] These treatment guidelines encompass, among others, the detection and treatment protocols for hypertension and diabetes._x000D__x000D_In 2016, the Federal Ministry of Health (FMOH) published the "Guidelines on Clinical and Programmatic Management of Major Non-Communicable Diseases". [2] These guidelines detail the treatment protocols for major non-communicable diseases (NCDs) such as cardiovascular diseases, cancers, chronic respiratory diseases, and diabetes._x000D__x000D_The "Ethiopian Primary Healthcare Clinical Guidelines: Care of Children 5-14 Years and Adults 15 Years or Older in Health Centers (FMOH)," published by the FMOH in 2019, contains treatment guidelines for major NCDs, including hypertension and diabetes. [3] These guidelines were developed with technical support from the World Health Organization (WHO) and are based on WHO guidelines._x000D__x000D_All three treatment protocols were prepared by the national regulatory agency and are therefore applicable to both private and public healthcare service providers throughout the country. [1] [2] [3]_x000D__x000D_Furthermore, the national NCD strategic plan aims to reduce the burden of NCDs "by promoting healthy lifestyles" and providing integrated "evidence-based treatment and care" to those diagnosed with NCDs. [4]</v>
      </c>
      <c r="T81" s="26" t="str">
        <f t="shared" ref="T81" ca="1" si="176">IF($I81=0,"",CONCATENATE(P81,CHAR(10),CHAR(10),S81))</f>
        <v>Evidence of both hypertension guidelines existence AND diabetes guidelines existence
Evidence suggests the presence of national evidence-based treatment guidelines for hypertension and diabetes in Ethiopia._x000D__x000D_In 2014, the Ethiopian Food, Medicine and Healthcare Administration and Control Authority (FMHACA) published the "Standard Treatment Guidelines for General Hospitals Third Edition". [1] These treatment guidelines encompass, among others, the detection and treatment protocols for hypertension and diabetes._x000D__x000D_In 2016, the Federal Ministry of Health (FMOH) published the "Guidelines on Clinical and Programmatic Management of Major Non-Communicable Diseases". [2] These guidelines detail the treatment protocols for major non-communicable diseases (NCDs) such as cardiovascular diseases, cancers, chronic respiratory diseases, and diabetes._x000D__x000D_The "Ethiopian Primary Healthcare Clinical Guidelines: Care of Children 5-14 Years and Adults 15 Years or Older in Health Centers (FMOH)," published by the FMOH in 2019, contains treatment guidelines for major NCDs, including hypertension and diabetes. [3] These guidelines were developed with technical support from the World Health Organization (WHO) and are based on WHO guidelines._x000D__x000D_All three treatment protocols were prepared by the national regulatory agency and are therefore applicable to both private and public healthcare service providers throughout the country. [1] [2] [3]_x000D__x000D_Furthermore, the national NCD strategic plan aims to reduce the burden of NCDs "by promoting healthy lifestyles" and providing integrated "evidence-based treatment and care" to those diagnosed with NCDs. [4]</v>
      </c>
      <c r="U81" s="26" t="str" cm="1">
        <f t="array" aca="1" ref="U81" ca="1">INDEX(auto_DataFlat_Source,L81)</f>
        <v>Economist Impact analyst rating</v>
      </c>
      <c r="V81" s="26"/>
      <c r="W81" s="26"/>
      <c r="X81" s="103" t="str">
        <f ca="1">K81</f>
        <v>5.6) Treatment guidelines</v>
      </c>
      <c r="Y81" s="104"/>
      <c r="Z81" s="105" t="str" cm="1">
        <f t="array" aca="1" ref="Z81" ca="1">IF(M81="","",INDEX(uxbGlobals!$B$133:$B$139,City_Detail!M81))</f>
        <v xml:space="preserve"> </v>
      </c>
      <c r="AA81" s="104"/>
      <c r="AB81" s="346" t="str" cm="1">
        <f t="array" aca="1" ref="AB81" ca="1">SUBSTITUTE(IF($H81=0,"",INDEX(auto_DataFlat_Justification,$L81)),"n/a","—")</f>
        <v>Evidence suggests the presence of national evidence-based treatment guidelines for hypertension and diabetes in Ethiopia._x000D__x000D_In 2014, the Ethiopian Food, Medicine and Healthcare Administration and Control Authority (FMHACA) published the "Standard Treatment Guidelines for General Hospitals Third Edition". [1] These treatment guidelines encompass, among others, the detection and treatment protocols for hypertension and diabetes._x000D__x000D_In 2016, the Federal Ministry of Health (FMOH) published the "Guidelines on Clinical and Programmatic Management of Major Non-Communicable Diseases". [2] These guidelines detail the treatment protocols for major non-communicable diseases (NCDs) such as cardiovascular diseases, cancers, chronic respiratory diseases, and diabetes._x000D__x000D_The "Ethiopian Primary Healthcare Clinical Guidelines: Care of Children 5-14 Years and Adults 15 Years or Older in Health Centers (FMOH)," published by the FMOH in 2019, contains treatment guidelines for major NCDs, including hypertension and diabetes. [3] These guidelines were developed with technical support from the World Health Organization (WHO) and are based on WHO guidelines._x000D__x000D_All three treatment protocols were prepared by the national regulatory agency and are therefore applicable to both private and public healthcare service providers throughout the country. [1] [2] [3]_x000D__x000D_Furthermore, the national NCD strategic plan aims to reduce the burden of NCDs "by promoting healthy lifestyles" and providing integrated "evidence-based treatment and care" to those diagnosed with NCDs. [4]</v>
      </c>
      <c r="AC81" s="104"/>
      <c r="AD81" s="106" t="str">
        <f t="shared" ref="AD81" ca="1" si="177">CONCATENATE("Source: ",$U81)</f>
        <v>Source: Economist Impact analyst rating</v>
      </c>
      <c r="AE81" s="99"/>
    </row>
    <row r="82" spans="1:31" ht="156" x14ac:dyDescent="0.4">
      <c r="A82" s="107" t="str">
        <f>A81</f>
        <v/>
      </c>
      <c r="B82" s="42"/>
      <c r="C82" s="100">
        <f t="shared" ref="C82" si="178">C81</f>
        <v>21</v>
      </c>
      <c r="D82" s="49"/>
      <c r="E82" s="101"/>
      <c r="F82" s="101"/>
      <c r="G82" s="101"/>
      <c r="H82" s="101"/>
      <c r="I82" s="101"/>
      <c r="J82" s="101"/>
      <c r="K82" s="101"/>
      <c r="L82" s="101"/>
      <c r="M82" s="102"/>
      <c r="N82" s="26"/>
      <c r="O82" s="101"/>
      <c r="P82" s="26"/>
      <c r="Q82" s="26"/>
      <c r="R82" s="26"/>
      <c r="S82" s="26"/>
      <c r="T82" s="26"/>
      <c r="U82" s="26"/>
      <c r="V82" s="26"/>
      <c r="W82" s="26"/>
      <c r="X82" s="108" t="str">
        <f ca="1">R81</f>
        <v xml:space="preserve">Are there national or local (e.g. by care provider organisations) evidence-based treatment protocols or guidelines that are focused on hypertension detection and treatment and diabetes detection and treatment?
Evidence of both hypertension guidelines existence AND diabetes guidelines existence
</v>
      </c>
      <c r="Y82" s="108"/>
      <c r="Z82" s="109"/>
      <c r="AA82" s="108"/>
      <c r="AB82" s="347"/>
      <c r="AC82" s="108"/>
      <c r="AD82" s="108" t="str" cm="1">
        <f t="array" aca="1" ref="AD82" ca="1">IF($D$15=1,"",SUBSTITUTE(INDEX(auto_DataFlat_References,$L81),"n/a",""))</f>
        <v>[1] Food, Medicine and Health Care Administration and Control Authority (FMHCA). Standard Treatment Guidelines for General Hospital, Third Edition. Addis Ababa: FMHCA; 2014. Available from: https://www.medbox.org/document/standard-treatment-guideline-for-general-hospital
[2] Federal Ministry of Health (FMOH). Guidelines on Clinical and Programmatic Management of Major Non Communicable Diseases. Addis Ababa: FMOH; 2016. Available from: https://extranet.who.int/ncdccs/Data/ETH_D1_National%20NCD%20Guideline%20June%2010,%202016%20for%20print.pdf
[3] Federal Ministry of Health (FMOH). Ethiopian primary health care clinical guidelines: Care of Children 5-14 years and Adults 15 years or older in Health Centers. Addis Ababa: FMOH; 2019. Available from: https://www.researchgate.net/publication/343609968_Ethiopian_Primary_Health_Care_Clinical_Guidelines
[4] Federal Ministry of Health (FMOH). National Strategic Plan for the Prevention and Control of Major Non-Communicable Diseases: 2013-2017 EFY (2020/21-2024/25). Addis Ababa: FMOH; July 2020. Available from: https://www.iccp-portal.org/system/files/plans/ETH_B3_s21_National_Strategic_Plan_for_Prevention_and_Control_of_NCDs2021.pdf</v>
      </c>
      <c r="AE82" s="110" t="str">
        <f t="shared" ref="AE82" ca="1" si="179">AB81</f>
        <v>Evidence suggests the presence of national evidence-based treatment guidelines for hypertension and diabetes in Ethiopia._x000D__x000D_In 2014, the Ethiopian Food, Medicine and Healthcare Administration and Control Authority (FMHACA) published the "Standard Treatment Guidelines for General Hospitals Third Edition". [1] These treatment guidelines encompass, among others, the detection and treatment protocols for hypertension and diabetes._x000D__x000D_In 2016, the Federal Ministry of Health (FMOH) published the "Guidelines on Clinical and Programmatic Management of Major Non-Communicable Diseases". [2] These guidelines detail the treatment protocols for major non-communicable diseases (NCDs) such as cardiovascular diseases, cancers, chronic respiratory diseases, and diabetes._x000D__x000D_The "Ethiopian Primary Healthcare Clinical Guidelines: Care of Children 5-14 Years and Adults 15 Years or Older in Health Centers (FMOH)," published by the FMOH in 2019, contains treatment guidelines for major NCDs, including hypertension and diabetes. [3] These guidelines were developed with technical support from the World Health Organization (WHO) and are based on WHO guidelines._x000D__x000D_All three treatment protocols were prepared by the national regulatory agency and are therefore applicable to both private and public healthcare service providers throughout the country. [1] [2] [3]_x000D__x000D_Furthermore, the national NCD strategic plan aims to reduce the burden of NCDs "by promoting healthy lifestyles" and providing integrated "evidence-based treatment and care" to those diagnosed with NCDs. [4]</v>
      </c>
    </row>
    <row r="83" spans="1:31" x14ac:dyDescent="0.4">
      <c r="A83" s="94" t="str">
        <f>A84</f>
        <v/>
      </c>
      <c r="B83" s="95"/>
      <c r="C83" s="4"/>
      <c r="D83" s="96"/>
      <c r="E83" s="87"/>
      <c r="F83" s="87"/>
      <c r="G83" s="87"/>
      <c r="H83" s="87"/>
      <c r="I83" s="87"/>
      <c r="J83" s="87"/>
      <c r="K83" s="87"/>
      <c r="L83" s="90"/>
      <c r="M83" s="91"/>
      <c r="N83" s="91"/>
      <c r="O83" s="90"/>
      <c r="P83" s="91"/>
      <c r="Q83" s="91"/>
      <c r="R83" s="49"/>
      <c r="S83" s="91"/>
      <c r="T83" s="49"/>
      <c r="U83" s="49"/>
      <c r="V83" s="49"/>
      <c r="W83" s="49"/>
      <c r="X83" s="97"/>
      <c r="Y83" s="97"/>
      <c r="Z83" s="97"/>
      <c r="AA83" s="97"/>
      <c r="AB83" s="97"/>
      <c r="AC83" s="97"/>
      <c r="AD83" s="98"/>
      <c r="AE83" s="99"/>
    </row>
    <row r="84" spans="1:31" x14ac:dyDescent="0.4">
      <c r="A84" s="21" t="str">
        <f>IF($D$13=1,"",IF($E84&lt;&gt;$D$13-1,"H",""))</f>
        <v/>
      </c>
      <c r="B84" s="42" t="str">
        <f t="shared" ref="B84" ca="1" si="180">IF($H84=0,"V","")</f>
        <v/>
      </c>
      <c r="C84" s="100">
        <f>C81+1</f>
        <v>22</v>
      </c>
      <c r="D84" s="49" cm="1">
        <f t="array" aca="1" ref="D84" ca="1">INDEX(OFFSET(auto_ss_HasDetailedNotes,0,1,500,1),C84)</f>
        <v>62</v>
      </c>
      <c r="E84" s="101" cm="1">
        <f t="array" aca="1" ref="E84" ca="1">INDEX(auto_tblSeries,$D84,E$18)</f>
        <v>5</v>
      </c>
      <c r="F84" s="101" cm="1">
        <f t="array" aca="1" ref="F84" ca="1">INDEX(auto_tblSeries,$D84,F$18)</f>
        <v>2</v>
      </c>
      <c r="G84" s="101" t="str" cm="1">
        <f t="array" aca="1" ref="G84" ca="1">INDEX(auto_tblSeries,$D84,G$18)</f>
        <v>#,##0</v>
      </c>
      <c r="H84" s="101" cm="1">
        <f t="array" aca="1" ref="H84" ca="1">INDEX(auto_tblSeries,$D84,H$18)</f>
        <v>1</v>
      </c>
      <c r="I84" s="101" cm="1">
        <f t="array" aca="1" ref="I84" ca="1">INDEX(auto_tblSeries,$D84,I$18)</f>
        <v>1</v>
      </c>
      <c r="J84" s="101" t="str" cm="1">
        <f t="array" aca="1" ref="J84" ca="1">INDEX(auto_tblSeries,$D84,J$18)</f>
        <v>Rating 0-3</v>
      </c>
      <c r="K84" s="101" t="str" cm="1">
        <f t="array" aca="1" ref="K84" ca="1">INDEX(auto_tblSeries,$D84,K$18)</f>
        <v>5.8) Air pollution control</v>
      </c>
      <c r="L84" s="101" cm="1">
        <f t="array" aca="1" ref="L84" ca="1">INDEX(sys_DataFlat_LU_Grid,$D84,$D$14)</f>
        <v>3661</v>
      </c>
      <c r="M84" s="102" cm="1">
        <f t="array" aca="1" ref="M84" ca="1">IF($H84=0,"",INDEX(auto_DataFlat_Classification,$L84))</f>
        <v>4</v>
      </c>
      <c r="N84" s="26" cm="1">
        <f t="array" aca="1" ref="N84" ca="1">IF($H84=0,"",INDEX(auto_DataFlat_DataValue,$L84))</f>
        <v>2</v>
      </c>
      <c r="O84" s="101" t="str" cm="1">
        <f t="array" aca="1" ref="O84" ca="1">INDEX(auto_tblSeries,$D84,O$18)</f>
        <v>Are there any city monitoring activities of air quality (e.g. existence of monitoring stations and data collection)?
Are there any city health education campaigns for shifting to clean household energy?
Are there any clean city initiatives to reduce the adverse environmental impact of cities, for example, by paying special attention to air quality (e.g. scheme to reduce car use)?</v>
      </c>
      <c r="P84" s="26" t="str" cm="1">
        <f t="array" aca="1" ref="P84" ca="1">IF($I84=0,"",IF(N84="n/a","n/a",IF(LEFT(INDEX(tblSeries!$AI$2:$AP$240,$D84,$N84+1),1)="+","",INDEX(tblSeries!$AI$2:$AP$240,$D84,$N84+1))))</f>
        <v/>
      </c>
      <c r="Q84" s="26" t="str">
        <f t="shared" ref="Q84" ca="1" si="181">IF(H84=0,"",IF(I84=1,O84,J84))</f>
        <v>Are there any city monitoring activities of air quality (e.g. existence of monitoring stations and data collection)?
Are there any city health education campaigns for shifting to clean household energy?
Are there any clean city initiatives to reduce the adverse environmental impact of cities, for example, by paying special attention to air quality (e.g. scheme to reduce car use)?</v>
      </c>
      <c r="R84" s="26" t="str">
        <f ca="1">CONCATENATE(Q84,IF($I84=0,"",CONCATENATE(CHAR(10),CHAR(10),P84,CHAR(10))))</f>
        <v xml:space="preserve">Are there any city monitoring activities of air quality (e.g. existence of monitoring stations and data collection)?
Are there any city health education campaigns for shifting to clean household energy?
Are there any clean city initiatives to reduce the adverse environmental impact of cities, for example, by paying special attention to air quality (e.g. scheme to reduce car use)?
</v>
      </c>
      <c r="S84" s="26" t="str" cm="1">
        <f t="array" aca="1" ref="S84" ca="1">IF($H84=0,"",INDEX(auto_DataFlat_Justification,$L84))</f>
        <v>Addis Ababa has health education programs and environmental protection initiatives, but there is no evidence of regular air pollution monitoring activities. _x000D__x000D_Addis Ababa lacks the necessary infrastructure to monitor air pollution. [1] [2] As of 2017, Ethiopia was still classified as having no data on urban monitoring of ambient air quality. [3] A 2019 report states that "while the Addis Ababa city government currently lacks an Air Quality Management Plan, the government of Ethiopia has recognized the need for one." [2] _x000D__x000D_The Addis Ababa city administration has developed a draft Air Quality Management Plan for the city. Some initiatives to improve air quality include the establishment of the "Addis Ababa Environmental Protection and Green Development Commission," the adoption of the "Addis Ababa Air Quality Management Plan," the Addis Ababa Non-Motorized Transport Strategy 2019-2028, and the National Improved Cookstoves Program (2013-2030). [3] The Non-Motorized Transport strategy aims to reduce air pollution by increasing the number, attractiveness, and usage of sidewalks, scooters, and cycling lanes. [4]_x000D__x000D_The national policy towards the adoption of safe, smokeless energy sources to mitigate indoor air pollution advocates for the safe disposal of hazardous wastes and proper handling of chemicals and heavy metals. [5]</v>
      </c>
      <c r="T84" s="26" t="str">
        <f t="shared" ref="T84" ca="1" si="182">IF($I84=0,"",CONCATENATE(P84,CHAR(10),CHAR(10),S84))</f>
        <v xml:space="preserve">
Addis Ababa has health education programs and environmental protection initiatives, but there is no evidence of regular air pollution monitoring activities. _x000D__x000D_Addis Ababa lacks the necessary infrastructure to monitor air pollution. [1] [2] As of 2017, Ethiopia was still classified as having no data on urban monitoring of ambient air quality. [3] A 2019 report states that "while the Addis Ababa city government currently lacks an Air Quality Management Plan, the government of Ethiopia has recognized the need for one." [2] _x000D__x000D_The Addis Ababa city administration has developed a draft Air Quality Management Plan for the city. Some initiatives to improve air quality include the establishment of the "Addis Ababa Environmental Protection and Green Development Commission," the adoption of the "Addis Ababa Air Quality Management Plan," the Addis Ababa Non-Motorized Transport Strategy 2019-2028, and the National Improved Cookstoves Program (2013-2030). [3] The Non-Motorized Transport strategy aims to reduce air pollution by increasing the number, attractiveness, and usage of sidewalks, scooters, and cycling lanes. [4]_x000D__x000D_The national policy towards the adoption of safe, smokeless energy sources to mitigate indoor air pollution advocates for the safe disposal of hazardous wastes and proper handling of chemicals and heavy metals. [5]</v>
      </c>
      <c r="U84" s="26" t="str" cm="1">
        <f t="array" aca="1" ref="U84" ca="1">INDEX(auto_DataFlat_Source,L84)</f>
        <v>Economist Impact analyst rating</v>
      </c>
      <c r="V84" s="26"/>
      <c r="W84" s="26"/>
      <c r="X84" s="103" t="str">
        <f ca="1">K84</f>
        <v>5.8) Air pollution control</v>
      </c>
      <c r="Y84" s="104"/>
      <c r="Z84" s="105" t="str" cm="1">
        <f t="array" aca="1" ref="Z84" ca="1">IF(M84="","",INDEX(uxbGlobals!$B$133:$B$139,City_Detail!M84))</f>
        <v xml:space="preserve"> </v>
      </c>
      <c r="AA84" s="104"/>
      <c r="AB84" s="346" t="str" cm="1">
        <f t="array" aca="1" ref="AB84" ca="1">SUBSTITUTE(IF($H84=0,"",INDEX(auto_DataFlat_Justification,$L84)),"n/a","—")</f>
        <v>Addis Ababa has health education programs and environmental protection initiatives, but there is no evidence of regular air pollution monitoring activities. _x000D__x000D_Addis Ababa lacks the necessary infrastructure to monitor air pollution. [1] [2] As of 2017, Ethiopia was still classified as having no data on urban monitoring of ambient air quality. [3] A 2019 report states that "while the Addis Ababa city government currently lacks an Air Quality Management Plan, the government of Ethiopia has recognized the need for one." [2] _x000D__x000D_The Addis Ababa city administration has developed a draft Air Quality Management Plan for the city. Some initiatives to improve air quality include the establishment of the "Addis Ababa Environmental Protection and Green Development Commission," the adoption of the "Addis Ababa Air Quality Management Plan," the Addis Ababa Non-Motorized Transport Strategy 2019-2028, and the National Improved Cookstoves Program (2013-2030). [3] The Non-Motorized Transport strategy aims to reduce air pollution by increasing the number, attractiveness, and usage of sidewalks, scooters, and cycling lanes. [4]_x000D__x000D_The national policy towards the adoption of safe, smokeless energy sources to mitigate indoor air pollution advocates for the safe disposal of hazardous wastes and proper handling of chemicals and heavy metals. [5]</v>
      </c>
      <c r="AC84" s="104"/>
      <c r="AD84" s="106" t="str">
        <f t="shared" ref="AD84" ca="1" si="183">CONCATENATE("Source: ",$U84)</f>
        <v>Source: Economist Impact analyst rating</v>
      </c>
      <c r="AE84" s="99"/>
    </row>
    <row r="85" spans="1:31" ht="132" x14ac:dyDescent="0.4">
      <c r="A85" s="107" t="str">
        <f>A84</f>
        <v/>
      </c>
      <c r="B85" s="42"/>
      <c r="C85" s="100">
        <f t="shared" ref="C85" si="184">C84</f>
        <v>22</v>
      </c>
      <c r="D85" s="49"/>
      <c r="E85" s="101"/>
      <c r="F85" s="101"/>
      <c r="G85" s="101"/>
      <c r="H85" s="101"/>
      <c r="I85" s="101"/>
      <c r="J85" s="101"/>
      <c r="K85" s="101"/>
      <c r="L85" s="101"/>
      <c r="M85" s="102"/>
      <c r="N85" s="26"/>
      <c r="O85" s="101"/>
      <c r="P85" s="26"/>
      <c r="Q85" s="26"/>
      <c r="R85" s="26"/>
      <c r="S85" s="26"/>
      <c r="T85" s="26"/>
      <c r="U85" s="26"/>
      <c r="V85" s="26"/>
      <c r="W85" s="26"/>
      <c r="X85" s="108" t="str">
        <f ca="1">R84</f>
        <v xml:space="preserve">Are there any city monitoring activities of air quality (e.g. existence of monitoring stations and data collection)?
Are there any city health education campaigns for shifting to clean household energy?
Are there any clean city initiatives to reduce the adverse environmental impact of cities, for example, by paying special attention to air quality (e.g. scheme to reduce car use)?
</v>
      </c>
      <c r="Y85" s="108"/>
      <c r="Z85" s="109"/>
      <c r="AA85" s="108"/>
      <c r="AB85" s="347"/>
      <c r="AC85" s="108"/>
      <c r="AD85" s="108" t="str" cm="1">
        <f t="array" aca="1" ref="AD85" ca="1">IF($D$15=1,"",SUBSTITUTE(INDEX(auto_DataFlat_References,$L84),"n/a",""))</f>
        <v>[1] UN Environment in collaboration with Environmental Compliance Institute. Addis Ababa City Air Quality Policy and Regulatory Situational Analysis. Addis Ababa, Ethiopia: UN Environment; 2018. Available from: https://www.eci-africa.org/wp-content/uploads/2019/05/Addis-Air-Quality-Policy-and-Regulatory-Situational-Analysis_Final_ECI_31.12.2018rev.pdf
[2] ASAP East Africa. Air Quality Briefing Note: Addis Ababa (Ethiopia). Addis Ababa, Ethiopia: ASAP East Africa; November 2019. Available from: https://assets.publishing.service.gov.uk/media/5eb16f10e90e0723bd470fdf/ASAP_-_East_Africa_-_Air_Quailty_Briefing_Note_-_Addis_Abada.pdf
[3] Addis Ababa Environmental Protection and Green Development Commission. Addis Ababa Air Quality Management Plan. Addis Ababa: Addis Ababa Environmental Protection and Green Development Commission; 2021. Available from: https://www.epa.gov/system/files/documents/2021-11/final-aqmp-addis-ababa.pdf
[4] Ministry of Transport. Addis Ababa Non-Motorized Transport Strategy 2019-2028. Addis Ababa: Ministry of Transport; May 2020. Available from: https://unhabitat.org/sites/default/files/2020/07/ethiopia_nmt_strategy_en_200629.pdf
[5] The World Bank. Steering Towards Cleaner Air: Measures to Mitigate Transport Air Pollution in Addis Ababa. Washington, D.C., United States: The World Bank; September 2021. Available from: https://documents1.worldbank.org/curated/en/159771631857626976/pdf/Steering-Towards-Cleaner-Air-Measures-to-Mitigate-Transport-Air-Pollution-in-Addis-Ababa.pdf</v>
      </c>
      <c r="AE85" s="110" t="str">
        <f t="shared" ref="AE85" ca="1" si="185">AB84</f>
        <v>Addis Ababa has health education programs and environmental protection initiatives, but there is no evidence of regular air pollution monitoring activities. _x000D__x000D_Addis Ababa lacks the necessary infrastructure to monitor air pollution. [1] [2] As of 2017, Ethiopia was still classified as having no data on urban monitoring of ambient air quality. [3] A 2019 report states that "while the Addis Ababa city government currently lacks an Air Quality Management Plan, the government of Ethiopia has recognized the need for one." [2] _x000D__x000D_The Addis Ababa city administration has developed a draft Air Quality Management Plan for the city. Some initiatives to improve air quality include the establishment of the "Addis Ababa Environmental Protection and Green Development Commission," the adoption of the "Addis Ababa Air Quality Management Plan," the Addis Ababa Non-Motorized Transport Strategy 2019-2028, and the National Improved Cookstoves Program (2013-2030). [3] The Non-Motorized Transport strategy aims to reduce air pollution by increasing the number, attractiveness, and usage of sidewalks, scooters, and cycling lanes. [4]_x000D__x000D_The national policy towards the adoption of safe, smokeless energy sources to mitigate indoor air pollution advocates for the safe disposal of hazardous wastes and proper handling of chemicals and heavy metals. [5]</v>
      </c>
    </row>
    <row r="86" spans="1:31" x14ac:dyDescent="0.4">
      <c r="A86" s="94" t="str">
        <f>A87</f>
        <v/>
      </c>
      <c r="B86" s="95"/>
      <c r="C86" s="4"/>
      <c r="D86" s="96"/>
      <c r="E86" s="87"/>
      <c r="F86" s="87"/>
      <c r="G86" s="87"/>
      <c r="H86" s="87"/>
      <c r="I86" s="87"/>
      <c r="J86" s="87"/>
      <c r="K86" s="87"/>
      <c r="L86" s="90"/>
      <c r="M86" s="91"/>
      <c r="N86" s="91"/>
      <c r="O86" s="90"/>
      <c r="P86" s="91"/>
      <c r="Q86" s="91"/>
      <c r="R86" s="49"/>
      <c r="S86" s="91"/>
      <c r="T86" s="49"/>
      <c r="U86" s="49"/>
      <c r="V86" s="49"/>
      <c r="W86" s="49"/>
      <c r="X86" s="97"/>
      <c r="Y86" s="97"/>
      <c r="Z86" s="97"/>
      <c r="AA86" s="97"/>
      <c r="AB86" s="97"/>
      <c r="AC86" s="97"/>
      <c r="AD86" s="98"/>
      <c r="AE86" s="99"/>
    </row>
    <row r="87" spans="1:31" x14ac:dyDescent="0.4">
      <c r="A87" s="21" t="str">
        <f>IF($D$13=1,"",IF($E87&lt;&gt;$D$13-1,"H",""))</f>
        <v/>
      </c>
      <c r="B87" s="42" t="str">
        <f t="shared" ref="B87" ca="1" si="186">IF($H87=0,"V","")</f>
        <v/>
      </c>
      <c r="C87" s="100">
        <f>C84+1</f>
        <v>23</v>
      </c>
      <c r="D87" s="49" cm="1">
        <f t="array" aca="1" ref="D87" ca="1">INDEX(OFFSET(auto_ss_HasDetailedNotes,0,1,500,1),C87)</f>
        <v>63</v>
      </c>
      <c r="E87" s="101" cm="1">
        <f t="array" aca="1" ref="E87" ca="1">INDEX(auto_tblSeries,$D87,E$18)</f>
        <v>5</v>
      </c>
      <c r="F87" s="101" cm="1">
        <f t="array" aca="1" ref="F87" ca="1">INDEX(auto_tblSeries,$D87,F$18)</f>
        <v>2</v>
      </c>
      <c r="G87" s="101" t="str" cm="1">
        <f t="array" aca="1" ref="G87" ca="1">INDEX(auto_tblSeries,$D87,G$18)</f>
        <v>#,##0</v>
      </c>
      <c r="H87" s="101" cm="1">
        <f t="array" aca="1" ref="H87" ca="1">INDEX(auto_tblSeries,$D87,H$18)</f>
        <v>1</v>
      </c>
      <c r="I87" s="101" cm="1">
        <f t="array" aca="1" ref="I87" ca="1">INDEX(auto_tblSeries,$D87,I$18)</f>
        <v>1</v>
      </c>
      <c r="J87" s="101" t="str" cm="1">
        <f t="array" aca="1" ref="J87" ca="1">INDEX(auto_tblSeries,$D87,J$18)</f>
        <v>Rating 0-2</v>
      </c>
      <c r="K87" s="101" t="str" cm="1">
        <f t="array" aca="1" ref="K87" ca="1">INDEX(auto_tblSeries,$D87,K$18)</f>
        <v>5.9) Health promotion</v>
      </c>
      <c r="L87" s="101" cm="1">
        <f t="array" aca="1" ref="L87" ca="1">INDEX(sys_DataFlat_LU_Grid,$D87,$D$14)</f>
        <v>3721</v>
      </c>
      <c r="M87" s="102" cm="1">
        <f t="array" aca="1" ref="M87" ca="1">IF($H87=0,"",INDEX(auto_DataFlat_Classification,$L87))</f>
        <v>1</v>
      </c>
      <c r="N87" s="26" cm="1">
        <f t="array" aca="1" ref="N87" ca="1">IF($H87=0,"",INDEX(auto_DataFlat_DataValue,$L87))</f>
        <v>0</v>
      </c>
      <c r="O87" s="101" t="str" cm="1">
        <f t="array" aca="1" ref="O87" ca="1">INDEX(auto_tblSeries,$D87,O$18)</f>
        <v>Does the city have multisectoral health education policies and programmes aimed at the general public to improve behaviour, health knowledge, attitudes and skills enabling individuals to adopt healthy behaviours (healthcare, education, hospitality, media sectors)?</v>
      </c>
      <c r="P87" s="26" t="str" cm="1">
        <f t="array" aca="1" ref="P87" ca="1">IF($I87=0,"",IF(N87="n/a","n/a",IF(LEFT(INDEX(tblSeries!$AI$2:$AP$240,$D87,$N87+1),1)="+","",INDEX(tblSeries!$AI$2:$AP$240,$D87,$N87+1))))</f>
        <v>There is no evidence of health promotion programmes</v>
      </c>
      <c r="Q87" s="26" t="str">
        <f t="shared" ref="Q87" ca="1" si="187">IF(H87=0,"",IF(I87=1,O87,J87))</f>
        <v>Does the city have multisectoral health education policies and programmes aimed at the general public to improve behaviour, health knowledge, attitudes and skills enabling individuals to adopt healthy behaviours (healthcare, education, hospitality, media sectors)?</v>
      </c>
      <c r="R87" s="26" t="str">
        <f ca="1">CONCATENATE(Q87,IF($I87=0,"",CONCATENATE(CHAR(10),CHAR(10),P87,CHAR(10))))</f>
        <v xml:space="preserve">Does the city have multisectoral health education policies and programmes aimed at the general public to improve behaviour, health knowledge, attitudes and skills enabling individuals to adopt healthy behaviours (healthcare, education, hospitality, media sectors)?
There is no evidence of health promotion programmes
</v>
      </c>
      <c r="S87" s="26" t="str" cm="1">
        <f t="array" aca="1" ref="S87" ca="1">IF($H87=0,"",INDEX(auto_DataFlat_Justification,$L87))</f>
        <v>There is no evidence of health promotion programs established by the city government of Addis Ababa. Neither the city's administration nor the Ministry of Health websites have any information regarding health promotion plans specific to Addis Ababa. However, the Federal Ministry of Health has implemented a national health promotion strategy. [1] [2]_x000D__x000D_The Federal Ministry of Health (FMOH) had a National Health Promotion and Communication Strategy for the period 2016 - 2020. [2] The initiatives outlined in the strategy included consultations with media houses, training media professionals on health reporting and messaging, providing free media space for health-related content, distributing up-to-date health information and materials highlighting national health priorities to media professionals, and advocating for improved protection of communities from non-communicable disease (NCD) risk factors through enabling policy measures. [2]_x000D__x000D_Furthermore, with technical and financial support from UNICEF, the FMOH has prepared a National Health Promotion/Social and Behavior Change Strategy. [3] UNICEF, in collaboration with the FMOH and the regional health bureaus, reached over 36.6 million individuals with prevention and lifesaving messages through mass media and community engagement platforms, utilising influencers such as community and religious leaders, as well as health extension workers. Nearly 6 million individuals received hygiene promotion advice focused on the prevention of communicable diseases. [3]</v>
      </c>
      <c r="T87" s="26" t="str">
        <f t="shared" ref="T87" ca="1" si="188">IF($I87=0,"",CONCATENATE(P87,CHAR(10),CHAR(10),S87))</f>
        <v>There is no evidence of health promotion programmes
There is no evidence of health promotion programs established by the city government of Addis Ababa. Neither the city's administration nor the Ministry of Health websites have any information regarding health promotion plans specific to Addis Ababa. However, the Federal Ministry of Health has implemented a national health promotion strategy. [1] [2]_x000D__x000D_The Federal Ministry of Health (FMOH) had a National Health Promotion and Communication Strategy for the period 2016 - 2020. [2] The initiatives outlined in the strategy included consultations with media houses, training media professionals on health reporting and messaging, providing free media space for health-related content, distributing up-to-date health information and materials highlighting national health priorities to media professionals, and advocating for improved protection of communities from non-communicable disease (NCD) risk factors through enabling policy measures. [2]_x000D__x000D_Furthermore, with technical and financial support from UNICEF, the FMOH has prepared a National Health Promotion/Social and Behavior Change Strategy. [3] UNICEF, in collaboration with the FMOH and the regional health bureaus, reached over 36.6 million individuals with prevention and lifesaving messages through mass media and community engagement platforms, utilising influencers such as community and religious leaders, as well as health extension workers. Nearly 6 million individuals received hygiene promotion advice focused on the prevention of communicable diseases. [3]</v>
      </c>
      <c r="U87" s="26" t="str" cm="1">
        <f t="array" aca="1" ref="U87" ca="1">INDEX(auto_DataFlat_Source,L87)</f>
        <v>Economist Impact analyst rating</v>
      </c>
      <c r="V87" s="26"/>
      <c r="W87" s="26"/>
      <c r="X87" s="103" t="str">
        <f ca="1">K87</f>
        <v>5.9) Health promotion</v>
      </c>
      <c r="Y87" s="104"/>
      <c r="Z87" s="105" t="str" cm="1">
        <f t="array" aca="1" ref="Z87" ca="1">IF(M87="","",INDEX(uxbGlobals!$B$133:$B$139,City_Detail!M87))</f>
        <v xml:space="preserve"> </v>
      </c>
      <c r="AA87" s="104"/>
      <c r="AB87" s="346" t="str" cm="1">
        <f t="array" aca="1" ref="AB87" ca="1">SUBSTITUTE(IF($H87=0,"",INDEX(auto_DataFlat_Justification,$L87)),"n/a","—")</f>
        <v>There is no evidence of health promotion programs established by the city government of Addis Ababa. Neither the city's administration nor the Ministry of Health websites have any information regarding health promotion plans specific to Addis Ababa. However, the Federal Ministry of Health has implemented a national health promotion strategy. [1] [2]_x000D__x000D_The Federal Ministry of Health (FMOH) had a National Health Promotion and Communication Strategy for the period 2016 - 2020. [2] The initiatives outlined in the strategy included consultations with media houses, training media professionals on health reporting and messaging, providing free media space for health-related content, distributing up-to-date health information and materials highlighting national health priorities to media professionals, and advocating for improved protection of communities from non-communicable disease (NCD) risk factors through enabling policy measures. [2]_x000D__x000D_Furthermore, with technical and financial support from UNICEF, the FMOH has prepared a National Health Promotion/Social and Behavior Change Strategy. [3] UNICEF, in collaboration with the FMOH and the regional health bureaus, reached over 36.6 million individuals with prevention and lifesaving messages through mass media and community engagement platforms, utilising influencers such as community and religious leaders, as well as health extension workers. Nearly 6 million individuals received hygiene promotion advice focused on the prevention of communicable diseases. [3]</v>
      </c>
      <c r="AC87" s="104"/>
      <c r="AD87" s="106" t="str">
        <f t="shared" ref="AD87" ca="1" si="189">CONCATENATE("Source: ",$U87)</f>
        <v>Source: Economist Impact analyst rating</v>
      </c>
      <c r="AE87" s="99"/>
    </row>
    <row r="88" spans="1:31" ht="144" x14ac:dyDescent="0.4">
      <c r="A88" s="107" t="str">
        <f>A87</f>
        <v/>
      </c>
      <c r="B88" s="42"/>
      <c r="C88" s="100">
        <f t="shared" ref="C88" si="190">C87</f>
        <v>23</v>
      </c>
      <c r="D88" s="49"/>
      <c r="E88" s="101"/>
      <c r="F88" s="101"/>
      <c r="G88" s="101"/>
      <c r="H88" s="101"/>
      <c r="I88" s="101"/>
      <c r="J88" s="101"/>
      <c r="K88" s="101"/>
      <c r="L88" s="101"/>
      <c r="M88" s="102"/>
      <c r="N88" s="26"/>
      <c r="O88" s="101"/>
      <c r="P88" s="26"/>
      <c r="Q88" s="26"/>
      <c r="R88" s="26"/>
      <c r="S88" s="26"/>
      <c r="T88" s="26"/>
      <c r="U88" s="26"/>
      <c r="V88" s="26"/>
      <c r="W88" s="26"/>
      <c r="X88" s="108" t="str">
        <f ca="1">R87</f>
        <v xml:space="preserve">Does the city have multisectoral health education policies and programmes aimed at the general public to improve behaviour, health knowledge, attitudes and skills enabling individuals to adopt healthy behaviours (healthcare, education, hospitality, media sectors)?
There is no evidence of health promotion programmes
</v>
      </c>
      <c r="Y88" s="108"/>
      <c r="Z88" s="109"/>
      <c r="AA88" s="108"/>
      <c r="AB88" s="347"/>
      <c r="AC88" s="108"/>
      <c r="AD88" s="108" t="str" cm="1">
        <f t="array" aca="1" ref="AD88" ca="1">IF($D$15=1,"",SUBSTITUTE(INDEX(auto_DataFlat_References,$L87),"n/a",""))</f>
        <v>[1] Addis Ababa City Administration. Addis Ababa: Addis Ababa City Administration. [Accessed 29 March 2024]. Available from: https://www.cityaddisababa.gov.et/
[2] Federal Ministry of Health. National Health Promotion and Communication Strategy 2016 - 2020. Addis Ababa: Federal Ministry of Health. [2016]. Available from: https://scorecard.prb.org/wp-content/uploads/2018/05/National-Health-Promotion-and-Communication-Strategy-2016-2020.Ethiopia.pdf
[3] UNICEF Ethiopia. ETHIOPIA ANNUAL REPORT (2021). Addis Ababa: UNICEF Ethiopia. [March 2022]. Available from: https://www.unicef.org/ethiopia/reports/annual-report-2021</v>
      </c>
      <c r="AE88" s="110" t="str">
        <f t="shared" ref="AE88" ca="1" si="191">AB87</f>
        <v>There is no evidence of health promotion programs established by the city government of Addis Ababa. Neither the city's administration nor the Ministry of Health websites have any information regarding health promotion plans specific to Addis Ababa. However, the Federal Ministry of Health has implemented a national health promotion strategy. [1] [2]_x000D__x000D_The Federal Ministry of Health (FMOH) had a National Health Promotion and Communication Strategy for the period 2016 - 2020. [2] The initiatives outlined in the strategy included consultations with media houses, training media professionals on health reporting and messaging, providing free media space for health-related content, distributing up-to-date health information and materials highlighting national health priorities to media professionals, and advocating for improved protection of communities from non-communicable disease (NCD) risk factors through enabling policy measures. [2]_x000D__x000D_Furthermore, with technical and financial support from UNICEF, the FMOH has prepared a National Health Promotion/Social and Behavior Change Strategy. [3] UNICEF, in collaboration with the FMOH and the regional health bureaus, reached over 36.6 million individuals with prevention and lifesaving messages through mass media and community engagement platforms, utilising influencers such as community and religious leaders, as well as health extension workers. Nearly 6 million individuals received hygiene promotion advice focused on the prevention of communicable diseases. [3]</v>
      </c>
    </row>
    <row r="89" spans="1:31" x14ac:dyDescent="0.4">
      <c r="A89" s="4"/>
      <c r="B89" s="4"/>
      <c r="C89" s="4"/>
      <c r="D89" s="4"/>
      <c r="E89" s="4"/>
      <c r="F89" s="4"/>
      <c r="G89" s="4"/>
      <c r="H89" s="4"/>
      <c r="I89" s="4"/>
      <c r="J89" s="4"/>
      <c r="K89" s="4"/>
      <c r="L89" s="4"/>
      <c r="M89" s="4"/>
      <c r="N89" s="4"/>
      <c r="O89" s="4"/>
      <c r="P89" s="91"/>
      <c r="Q89" s="4"/>
      <c r="R89" s="4"/>
      <c r="S89" s="4"/>
      <c r="T89" s="4"/>
      <c r="U89" s="4"/>
      <c r="V89" s="4"/>
      <c r="W89" s="4"/>
      <c r="X89" s="4"/>
      <c r="Y89" s="4"/>
      <c r="Z89" s="4"/>
      <c r="AA89" s="4"/>
      <c r="AB89" s="4"/>
      <c r="AC89" s="4"/>
      <c r="AD89" s="4"/>
      <c r="AE89" s="4"/>
    </row>
    <row r="90" spans="1:31"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row>
    <row r="91" spans="1:31"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row>
    <row r="92" spans="1:31"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row>
    <row r="93" spans="1:31"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row>
    <row r="94" spans="1:31" x14ac:dyDescent="0.4">
      <c r="A94" s="32"/>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row>
    <row r="95" spans="1:31"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row>
    <row r="96" spans="1:31"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row>
    <row r="97" spans="1:31"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row>
    <row r="98" spans="1:31" x14ac:dyDescent="0.4">
      <c r="A98" s="4" t="s">
        <v>3</v>
      </c>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row>
    <row r="99" spans="1:31" x14ac:dyDescent="0.4"/>
    <row r="100" spans="1:31" x14ac:dyDescent="0.4"/>
    <row r="101" spans="1:31" x14ac:dyDescent="0.4"/>
    <row r="102" spans="1:31" x14ac:dyDescent="0.4"/>
    <row r="103" spans="1:31" x14ac:dyDescent="0.4"/>
    <row r="104" spans="1:31" x14ac:dyDescent="0.4"/>
    <row r="105" spans="1:31" x14ac:dyDescent="0.4"/>
    <row r="106" spans="1:31" x14ac:dyDescent="0.4"/>
    <row r="107" spans="1:31" x14ac:dyDescent="0.4"/>
    <row r="108" spans="1:31" x14ac:dyDescent="0.4"/>
    <row r="109" spans="1:31" x14ac:dyDescent="0.4"/>
    <row r="110" spans="1:31" x14ac:dyDescent="0.4"/>
    <row r="111" spans="1:31" x14ac:dyDescent="0.4"/>
    <row r="112" spans="1:31" x14ac:dyDescent="0.4"/>
    <row r="113" x14ac:dyDescent="0.4"/>
    <row r="114" x14ac:dyDescent="0.4"/>
    <row r="115" x14ac:dyDescent="0.4"/>
    <row r="116" x14ac:dyDescent="0.4"/>
    <row r="117" x14ac:dyDescent="0.4"/>
    <row r="118" x14ac:dyDescent="0.4"/>
    <row r="119" x14ac:dyDescent="0.4"/>
    <row r="120" x14ac:dyDescent="0.4"/>
    <row r="121" x14ac:dyDescent="0.4"/>
    <row r="122" x14ac:dyDescent="0.4"/>
    <row r="123" x14ac:dyDescent="0.4"/>
    <row r="124" x14ac:dyDescent="0.4"/>
    <row r="125" x14ac:dyDescent="0.4"/>
    <row r="126" x14ac:dyDescent="0.4"/>
    <row r="127" x14ac:dyDescent="0.4"/>
    <row r="128" x14ac:dyDescent="0.4"/>
    <row r="129" x14ac:dyDescent="0.4"/>
    <row r="130" x14ac:dyDescent="0.4"/>
    <row r="131" x14ac:dyDescent="0.4"/>
    <row r="132" x14ac:dyDescent="0.4"/>
    <row r="133" x14ac:dyDescent="0.4"/>
    <row r="134" x14ac:dyDescent="0.4"/>
    <row r="135" x14ac:dyDescent="0.4"/>
    <row r="136" x14ac:dyDescent="0.4"/>
    <row r="137" x14ac:dyDescent="0.4"/>
    <row r="138" x14ac:dyDescent="0.4"/>
    <row r="139" x14ac:dyDescent="0.4"/>
    <row r="140" x14ac:dyDescent="0.4"/>
    <row r="141" x14ac:dyDescent="0.4"/>
    <row r="142" x14ac:dyDescent="0.4"/>
    <row r="143" x14ac:dyDescent="0.4"/>
    <row r="144" x14ac:dyDescent="0.4"/>
    <row r="145" x14ac:dyDescent="0.4"/>
    <row r="146" x14ac:dyDescent="0.4"/>
    <row r="147" x14ac:dyDescent="0.4"/>
    <row r="148" x14ac:dyDescent="0.4"/>
    <row r="149" x14ac:dyDescent="0.4"/>
    <row r="150" x14ac:dyDescent="0.4"/>
    <row r="151" x14ac:dyDescent="0.4"/>
    <row r="152" x14ac:dyDescent="0.4"/>
    <row r="153" x14ac:dyDescent="0.4"/>
    <row r="154" x14ac:dyDescent="0.4"/>
    <row r="155" x14ac:dyDescent="0.4"/>
    <row r="156" x14ac:dyDescent="0.4"/>
    <row r="157" x14ac:dyDescent="0.4"/>
    <row r="158" x14ac:dyDescent="0.4"/>
    <row r="159" x14ac:dyDescent="0.4"/>
    <row r="160" x14ac:dyDescent="0.4"/>
    <row r="161" x14ac:dyDescent="0.4"/>
    <row r="162" x14ac:dyDescent="0.4"/>
    <row r="163" x14ac:dyDescent="0.4"/>
    <row r="164" x14ac:dyDescent="0.4"/>
    <row r="165" x14ac:dyDescent="0.4"/>
    <row r="166" x14ac:dyDescent="0.4"/>
    <row r="167" x14ac:dyDescent="0.4"/>
    <row r="168" x14ac:dyDescent="0.4"/>
    <row r="169" x14ac:dyDescent="0.4"/>
    <row r="170" x14ac:dyDescent="0.4"/>
    <row r="171" x14ac:dyDescent="0.4"/>
    <row r="172" x14ac:dyDescent="0.4"/>
    <row r="173" x14ac:dyDescent="0.4"/>
    <row r="174" x14ac:dyDescent="0.4"/>
    <row r="175" x14ac:dyDescent="0.4"/>
    <row r="176" x14ac:dyDescent="0.4"/>
    <row r="177" x14ac:dyDescent="0.4"/>
    <row r="178" x14ac:dyDescent="0.4"/>
    <row r="179" x14ac:dyDescent="0.4"/>
    <row r="180" x14ac:dyDescent="0.4"/>
    <row r="181" x14ac:dyDescent="0.4"/>
    <row r="182" x14ac:dyDescent="0.4"/>
    <row r="183" x14ac:dyDescent="0.4"/>
    <row r="184" x14ac:dyDescent="0.4"/>
    <row r="185" x14ac:dyDescent="0.4"/>
    <row r="186" x14ac:dyDescent="0.4"/>
    <row r="187" x14ac:dyDescent="0.4"/>
    <row r="188" x14ac:dyDescent="0.4"/>
    <row r="189" x14ac:dyDescent="0.4"/>
    <row r="190" x14ac:dyDescent="0.4"/>
    <row r="191" x14ac:dyDescent="0.4"/>
    <row r="192" x14ac:dyDescent="0.4"/>
    <row r="193" x14ac:dyDescent="0.4"/>
    <row r="194" x14ac:dyDescent="0.4"/>
    <row r="195" x14ac:dyDescent="0.4"/>
    <row r="196" x14ac:dyDescent="0.4"/>
    <row r="197" x14ac:dyDescent="0.4"/>
    <row r="198" x14ac:dyDescent="0.4"/>
    <row r="199" x14ac:dyDescent="0.4"/>
    <row r="200" x14ac:dyDescent="0.4"/>
    <row r="201" x14ac:dyDescent="0.4"/>
    <row r="202" x14ac:dyDescent="0.4"/>
    <row r="203" x14ac:dyDescent="0.4"/>
    <row r="204" x14ac:dyDescent="0.4"/>
    <row r="205" x14ac:dyDescent="0.4"/>
    <row r="206" x14ac:dyDescent="0.4"/>
    <row r="207" x14ac:dyDescent="0.4"/>
    <row r="208" x14ac:dyDescent="0.4"/>
    <row r="209" x14ac:dyDescent="0.4"/>
    <row r="210" x14ac:dyDescent="0.4"/>
    <row r="211" x14ac:dyDescent="0.4"/>
    <row r="212" x14ac:dyDescent="0.4"/>
    <row r="213" x14ac:dyDescent="0.4"/>
    <row r="214" x14ac:dyDescent="0.4"/>
    <row r="215" x14ac:dyDescent="0.4"/>
    <row r="216" x14ac:dyDescent="0.4"/>
    <row r="217" x14ac:dyDescent="0.4"/>
    <row r="218" x14ac:dyDescent="0.4"/>
    <row r="219" x14ac:dyDescent="0.4"/>
    <row r="220" x14ac:dyDescent="0.4"/>
    <row r="221" x14ac:dyDescent="0.4"/>
    <row r="222" x14ac:dyDescent="0.4"/>
    <row r="223" x14ac:dyDescent="0.4"/>
    <row r="224" x14ac:dyDescent="0.4"/>
    <row r="225" x14ac:dyDescent="0.4"/>
    <row r="226" x14ac:dyDescent="0.4"/>
    <row r="227" x14ac:dyDescent="0.4"/>
    <row r="228" x14ac:dyDescent="0.4"/>
    <row r="229" x14ac:dyDescent="0.4"/>
    <row r="230" x14ac:dyDescent="0.4"/>
    <row r="231" x14ac:dyDescent="0.4"/>
    <row r="232" x14ac:dyDescent="0.4"/>
    <row r="233" x14ac:dyDescent="0.4"/>
    <row r="234" x14ac:dyDescent="0.4"/>
    <row r="235" x14ac:dyDescent="0.4"/>
    <row r="236" x14ac:dyDescent="0.4"/>
    <row r="237" x14ac:dyDescent="0.4"/>
    <row r="238" x14ac:dyDescent="0.4"/>
    <row r="239" x14ac:dyDescent="0.4"/>
    <row r="240" x14ac:dyDescent="0.4"/>
    <row r="241" x14ac:dyDescent="0.4"/>
    <row r="242" x14ac:dyDescent="0.4"/>
    <row r="243" x14ac:dyDescent="0.4"/>
    <row r="244" x14ac:dyDescent="0.4"/>
    <row r="245" x14ac:dyDescent="0.4"/>
    <row r="246" x14ac:dyDescent="0.4"/>
    <row r="247" x14ac:dyDescent="0.4"/>
    <row r="248" x14ac:dyDescent="0.4"/>
    <row r="249" x14ac:dyDescent="0.4"/>
    <row r="250" x14ac:dyDescent="0.4"/>
    <row r="251" x14ac:dyDescent="0.4"/>
    <row r="252" x14ac:dyDescent="0.4"/>
    <row r="253" x14ac:dyDescent="0.4"/>
    <row r="254" x14ac:dyDescent="0.4"/>
    <row r="255" x14ac:dyDescent="0.4"/>
    <row r="256" x14ac:dyDescent="0.4"/>
    <row r="257" x14ac:dyDescent="0.4"/>
    <row r="258" x14ac:dyDescent="0.4"/>
    <row r="259" x14ac:dyDescent="0.4"/>
    <row r="260" x14ac:dyDescent="0.4"/>
    <row r="261" x14ac:dyDescent="0.4"/>
    <row r="262" x14ac:dyDescent="0.4"/>
    <row r="263" x14ac:dyDescent="0.4"/>
    <row r="264" x14ac:dyDescent="0.4"/>
    <row r="265" x14ac:dyDescent="0.4"/>
    <row r="266" x14ac:dyDescent="0.4"/>
    <row r="267" x14ac:dyDescent="0.4"/>
    <row r="268" x14ac:dyDescent="0.4"/>
    <row r="269" x14ac:dyDescent="0.4"/>
    <row r="270" x14ac:dyDescent="0.4"/>
    <row r="271" x14ac:dyDescent="0.4"/>
    <row r="272" x14ac:dyDescent="0.4"/>
    <row r="273" x14ac:dyDescent="0.4"/>
    <row r="274" x14ac:dyDescent="0.4"/>
    <row r="275" x14ac:dyDescent="0.4"/>
    <row r="276" x14ac:dyDescent="0.4"/>
    <row r="277" x14ac:dyDescent="0.4"/>
    <row r="278" x14ac:dyDescent="0.4"/>
    <row r="279" x14ac:dyDescent="0.4"/>
    <row r="280" x14ac:dyDescent="0.4"/>
    <row r="281" x14ac:dyDescent="0.4"/>
    <row r="282" x14ac:dyDescent="0.4"/>
    <row r="283" x14ac:dyDescent="0.4"/>
    <row r="284" x14ac:dyDescent="0.4"/>
    <row r="285" x14ac:dyDescent="0.4"/>
    <row r="286" x14ac:dyDescent="0.4"/>
    <row r="287" x14ac:dyDescent="0.4"/>
    <row r="288" x14ac:dyDescent="0.4"/>
    <row r="289" x14ac:dyDescent="0.4"/>
    <row r="290" x14ac:dyDescent="0.4"/>
    <row r="291" x14ac:dyDescent="0.4"/>
    <row r="292" x14ac:dyDescent="0.4"/>
    <row r="293" x14ac:dyDescent="0.4"/>
    <row r="294" x14ac:dyDescent="0.4"/>
    <row r="295" x14ac:dyDescent="0.4"/>
    <row r="296" x14ac:dyDescent="0.4"/>
    <row r="297" x14ac:dyDescent="0.4"/>
    <row r="298" x14ac:dyDescent="0.4"/>
    <row r="299" x14ac:dyDescent="0.4"/>
    <row r="300" x14ac:dyDescent="0.4"/>
  </sheetData>
  <sheetProtection sheet="1" objects="1" scenarios="1"/>
  <mergeCells count="23">
    <mergeCell ref="AB48:AB49"/>
    <mergeCell ref="AB27:AB28"/>
    <mergeCell ref="AB21:AB22"/>
    <mergeCell ref="AB45:AB46"/>
    <mergeCell ref="AB39:AB40"/>
    <mergeCell ref="AB33:AB34"/>
    <mergeCell ref="AB24:AB25"/>
    <mergeCell ref="AB30:AB31"/>
    <mergeCell ref="AB36:AB37"/>
    <mergeCell ref="AB42:AB43"/>
    <mergeCell ref="AB63:AB64"/>
    <mergeCell ref="AB57:AB58"/>
    <mergeCell ref="AB51:AB52"/>
    <mergeCell ref="AB54:AB55"/>
    <mergeCell ref="AB60:AB61"/>
    <mergeCell ref="AB81:AB82"/>
    <mergeCell ref="AB84:AB85"/>
    <mergeCell ref="AB87:AB88"/>
    <mergeCell ref="AB66:AB67"/>
    <mergeCell ref="AB75:AB76"/>
    <mergeCell ref="AB69:AB70"/>
    <mergeCell ref="AB72:AB73"/>
    <mergeCell ref="AB78:AB79"/>
  </mergeCells>
  <conditionalFormatting sqref="Z21">
    <cfRule type="expression" dxfId="453" priority="876">
      <formula>M21=0</formula>
    </cfRule>
    <cfRule type="expression" dxfId="452" priority="877">
      <formula>M21=1</formula>
    </cfRule>
    <cfRule type="expression" dxfId="451" priority="878">
      <formula>M21=2</formula>
    </cfRule>
    <cfRule type="expression" dxfId="450" priority="879">
      <formula>M21=3</formula>
    </cfRule>
    <cfRule type="expression" dxfId="449" priority="880">
      <formula>M21=4</formula>
    </cfRule>
    <cfRule type="expression" dxfId="448" priority="881">
      <formula>M21=5</formula>
    </cfRule>
    <cfRule type="expression" dxfId="447" priority="882">
      <formula>M21=6</formula>
    </cfRule>
  </conditionalFormatting>
  <conditionalFormatting sqref="Z27 Z30">
    <cfRule type="expression" dxfId="446" priority="862">
      <formula>M27=0</formula>
    </cfRule>
    <cfRule type="expression" dxfId="445" priority="863">
      <formula>M27=1</formula>
    </cfRule>
    <cfRule type="expression" dxfId="444" priority="864">
      <formula>M27=2</formula>
    </cfRule>
    <cfRule type="expression" dxfId="443" priority="865">
      <formula>M27=3</formula>
    </cfRule>
    <cfRule type="expression" dxfId="442" priority="866">
      <formula>M27=4</formula>
    </cfRule>
    <cfRule type="expression" dxfId="441" priority="867">
      <formula>M27=5</formula>
    </cfRule>
    <cfRule type="expression" dxfId="440" priority="868">
      <formula>M27=6</formula>
    </cfRule>
  </conditionalFormatting>
  <conditionalFormatting sqref="Z33">
    <cfRule type="expression" dxfId="439" priority="855">
      <formula>M33=0</formula>
    </cfRule>
    <cfRule type="expression" dxfId="438" priority="856">
      <formula>M33=1</formula>
    </cfRule>
    <cfRule type="expression" dxfId="437" priority="857">
      <formula>M33=2</formula>
    </cfRule>
    <cfRule type="expression" dxfId="436" priority="858">
      <formula>M33=3</formula>
    </cfRule>
    <cfRule type="expression" dxfId="435" priority="859">
      <formula>M33=4</formula>
    </cfRule>
    <cfRule type="expression" dxfId="434" priority="860">
      <formula>M33=5</formula>
    </cfRule>
    <cfRule type="expression" dxfId="433" priority="861">
      <formula>M33=6</formula>
    </cfRule>
  </conditionalFormatting>
  <conditionalFormatting sqref="Z36">
    <cfRule type="expression" dxfId="432" priority="848">
      <formula>M36=0</formula>
    </cfRule>
    <cfRule type="expression" dxfId="431" priority="849">
      <formula>M36=1</formula>
    </cfRule>
    <cfRule type="expression" dxfId="430" priority="850">
      <formula>M36=2</formula>
    </cfRule>
    <cfRule type="expression" dxfId="429" priority="851">
      <formula>M36=3</formula>
    </cfRule>
    <cfRule type="expression" dxfId="428" priority="852">
      <formula>M36=4</formula>
    </cfRule>
    <cfRule type="expression" dxfId="427" priority="853">
      <formula>M36=5</formula>
    </cfRule>
    <cfRule type="expression" dxfId="426" priority="854">
      <formula>M36=6</formula>
    </cfRule>
  </conditionalFormatting>
  <conditionalFormatting sqref="Z39">
    <cfRule type="expression" dxfId="425" priority="841">
      <formula>M39=0</formula>
    </cfRule>
    <cfRule type="expression" dxfId="424" priority="842">
      <formula>M39=1</formula>
    </cfRule>
    <cfRule type="expression" dxfId="423" priority="843">
      <formula>M39=2</formula>
    </cfRule>
    <cfRule type="expression" dxfId="422" priority="844">
      <formula>M39=3</formula>
    </cfRule>
    <cfRule type="expression" dxfId="421" priority="845">
      <formula>M39=4</formula>
    </cfRule>
    <cfRule type="expression" dxfId="420" priority="846">
      <formula>M39=5</formula>
    </cfRule>
    <cfRule type="expression" dxfId="419" priority="847">
      <formula>M39=6</formula>
    </cfRule>
  </conditionalFormatting>
  <conditionalFormatting sqref="Z42 Z45">
    <cfRule type="expression" dxfId="418" priority="834">
      <formula>M42=0</formula>
    </cfRule>
    <cfRule type="expression" dxfId="417" priority="835">
      <formula>M42=1</formula>
    </cfRule>
    <cfRule type="expression" dxfId="416" priority="836">
      <formula>M42=2</formula>
    </cfRule>
    <cfRule type="expression" dxfId="415" priority="837">
      <formula>M42=3</formula>
    </cfRule>
    <cfRule type="expression" dxfId="414" priority="838">
      <formula>M42=4</formula>
    </cfRule>
    <cfRule type="expression" dxfId="413" priority="839">
      <formula>M42=5</formula>
    </cfRule>
    <cfRule type="expression" dxfId="412" priority="840">
      <formula>M42=6</formula>
    </cfRule>
  </conditionalFormatting>
  <conditionalFormatting sqref="Z48">
    <cfRule type="expression" dxfId="411" priority="827">
      <formula>M48=0</formula>
    </cfRule>
    <cfRule type="expression" dxfId="410" priority="828">
      <formula>M48=1</formula>
    </cfRule>
    <cfRule type="expression" dxfId="409" priority="829">
      <formula>M48=2</formula>
    </cfRule>
    <cfRule type="expression" dxfId="408" priority="830">
      <formula>M48=3</formula>
    </cfRule>
    <cfRule type="expression" dxfId="407" priority="831">
      <formula>M48=4</formula>
    </cfRule>
    <cfRule type="expression" dxfId="406" priority="832">
      <formula>M48=5</formula>
    </cfRule>
    <cfRule type="expression" dxfId="405" priority="833">
      <formula>M48=6</formula>
    </cfRule>
  </conditionalFormatting>
  <conditionalFormatting sqref="Z51">
    <cfRule type="expression" dxfId="404" priority="820">
      <formula>M51=0</formula>
    </cfRule>
    <cfRule type="expression" dxfId="403" priority="821">
      <formula>M51=1</formula>
    </cfRule>
    <cfRule type="expression" dxfId="402" priority="822">
      <formula>M51=2</formula>
    </cfRule>
    <cfRule type="expression" dxfId="401" priority="823">
      <formula>M51=3</formula>
    </cfRule>
    <cfRule type="expression" dxfId="400" priority="824">
      <formula>M51=4</formula>
    </cfRule>
    <cfRule type="expression" dxfId="399" priority="825">
      <formula>M51=5</formula>
    </cfRule>
    <cfRule type="expression" dxfId="398" priority="826">
      <formula>M51=6</formula>
    </cfRule>
  </conditionalFormatting>
  <conditionalFormatting sqref="Z54">
    <cfRule type="expression" dxfId="397" priority="813">
      <formula>M54=0</formula>
    </cfRule>
    <cfRule type="expression" dxfId="396" priority="814">
      <formula>M54=1</formula>
    </cfRule>
    <cfRule type="expression" dxfId="395" priority="815">
      <formula>M54=2</formula>
    </cfRule>
    <cfRule type="expression" dxfId="394" priority="816">
      <formula>M54=3</formula>
    </cfRule>
    <cfRule type="expression" dxfId="393" priority="817">
      <formula>M54=4</formula>
    </cfRule>
    <cfRule type="expression" dxfId="392" priority="818">
      <formula>M54=5</formula>
    </cfRule>
    <cfRule type="expression" dxfId="391" priority="819">
      <formula>M54=6</formula>
    </cfRule>
  </conditionalFormatting>
  <conditionalFormatting sqref="Z57 Z60">
    <cfRule type="expression" dxfId="390" priority="806">
      <formula>M57=0</formula>
    </cfRule>
    <cfRule type="expression" dxfId="389" priority="807">
      <formula>M57=1</formula>
    </cfRule>
    <cfRule type="expression" dxfId="388" priority="808">
      <formula>M57=2</formula>
    </cfRule>
    <cfRule type="expression" dxfId="387" priority="809">
      <formula>M57=3</formula>
    </cfRule>
    <cfRule type="expression" dxfId="386" priority="810">
      <formula>M57=4</formula>
    </cfRule>
    <cfRule type="expression" dxfId="385" priority="811">
      <formula>M57=5</formula>
    </cfRule>
    <cfRule type="expression" dxfId="384" priority="812">
      <formula>M57=6</formula>
    </cfRule>
  </conditionalFormatting>
  <conditionalFormatting sqref="Z63">
    <cfRule type="expression" dxfId="383" priority="799">
      <formula>M63=0</formula>
    </cfRule>
    <cfRule type="expression" dxfId="382" priority="800">
      <formula>M63=1</formula>
    </cfRule>
    <cfRule type="expression" dxfId="381" priority="801">
      <formula>M63=2</formula>
    </cfRule>
    <cfRule type="expression" dxfId="380" priority="802">
      <formula>M63=3</formula>
    </cfRule>
    <cfRule type="expression" dxfId="379" priority="803">
      <formula>M63=4</formula>
    </cfRule>
    <cfRule type="expression" dxfId="378" priority="804">
      <formula>M63=5</formula>
    </cfRule>
    <cfRule type="expression" dxfId="377" priority="805">
      <formula>M63=6</formula>
    </cfRule>
  </conditionalFormatting>
  <conditionalFormatting sqref="Z66">
    <cfRule type="expression" dxfId="376" priority="792">
      <formula>M66=0</formula>
    </cfRule>
    <cfRule type="expression" dxfId="375" priority="793">
      <formula>M66=1</formula>
    </cfRule>
    <cfRule type="expression" dxfId="374" priority="794">
      <formula>M66=2</formula>
    </cfRule>
    <cfRule type="expression" dxfId="373" priority="795">
      <formula>M66=3</formula>
    </cfRule>
    <cfRule type="expression" dxfId="372" priority="796">
      <formula>M66=4</formula>
    </cfRule>
    <cfRule type="expression" dxfId="371" priority="797">
      <formula>M66=5</formula>
    </cfRule>
    <cfRule type="expression" dxfId="370" priority="798">
      <formula>M66=6</formula>
    </cfRule>
  </conditionalFormatting>
  <conditionalFormatting sqref="Z69">
    <cfRule type="expression" dxfId="369" priority="785">
      <formula>M69=0</formula>
    </cfRule>
    <cfRule type="expression" dxfId="368" priority="786">
      <formula>M69=1</formula>
    </cfRule>
    <cfRule type="expression" dxfId="367" priority="787">
      <formula>M69=2</formula>
    </cfRule>
    <cfRule type="expression" dxfId="366" priority="788">
      <formula>M69=3</formula>
    </cfRule>
    <cfRule type="expression" dxfId="365" priority="789">
      <formula>M69=4</formula>
    </cfRule>
    <cfRule type="expression" dxfId="364" priority="790">
      <formula>M69=5</formula>
    </cfRule>
    <cfRule type="expression" dxfId="363" priority="791">
      <formula>M69=6</formula>
    </cfRule>
  </conditionalFormatting>
  <conditionalFormatting sqref="Z72 Z75">
    <cfRule type="expression" dxfId="362" priority="778">
      <formula>M72=0</formula>
    </cfRule>
    <cfRule type="expression" dxfId="361" priority="779">
      <formula>M72=1</formula>
    </cfRule>
    <cfRule type="expression" dxfId="360" priority="780">
      <formula>M72=2</formula>
    </cfRule>
    <cfRule type="expression" dxfId="359" priority="781">
      <formula>M72=3</formula>
    </cfRule>
    <cfRule type="expression" dxfId="358" priority="782">
      <formula>M72=4</formula>
    </cfRule>
    <cfRule type="expression" dxfId="357" priority="783">
      <formula>M72=5</formula>
    </cfRule>
    <cfRule type="expression" dxfId="356" priority="784">
      <formula>M72=6</formula>
    </cfRule>
  </conditionalFormatting>
  <conditionalFormatting sqref="Z78">
    <cfRule type="expression" dxfId="355" priority="771">
      <formula>M78=0</formula>
    </cfRule>
    <cfRule type="expression" dxfId="354" priority="772">
      <formula>M78=1</formula>
    </cfRule>
    <cfRule type="expression" dxfId="353" priority="773">
      <formula>M78=2</formula>
    </cfRule>
    <cfRule type="expression" dxfId="352" priority="774">
      <formula>M78=3</formula>
    </cfRule>
    <cfRule type="expression" dxfId="351" priority="775">
      <formula>M78=4</formula>
    </cfRule>
    <cfRule type="expression" dxfId="350" priority="776">
      <formula>M78=5</formula>
    </cfRule>
    <cfRule type="expression" dxfId="349" priority="777">
      <formula>M78=6</formula>
    </cfRule>
  </conditionalFormatting>
  <conditionalFormatting sqref="Z24">
    <cfRule type="expression" dxfId="348" priority="36">
      <formula>M24=0</formula>
    </cfRule>
    <cfRule type="expression" dxfId="347" priority="37">
      <formula>M24=1</formula>
    </cfRule>
    <cfRule type="expression" dxfId="346" priority="38">
      <formula>M24=2</formula>
    </cfRule>
    <cfRule type="expression" dxfId="345" priority="39">
      <formula>M24=3</formula>
    </cfRule>
    <cfRule type="expression" dxfId="344" priority="40">
      <formula>M24=4</formula>
    </cfRule>
    <cfRule type="expression" dxfId="343" priority="41">
      <formula>M24=5</formula>
    </cfRule>
    <cfRule type="expression" dxfId="342" priority="42">
      <formula>M24=6</formula>
    </cfRule>
  </conditionalFormatting>
  <conditionalFormatting sqref="Z81">
    <cfRule type="expression" dxfId="341" priority="29">
      <formula>M81=0</formula>
    </cfRule>
    <cfRule type="expression" dxfId="340" priority="30">
      <formula>M81=1</formula>
    </cfRule>
    <cfRule type="expression" dxfId="339" priority="31">
      <formula>M81=2</formula>
    </cfRule>
    <cfRule type="expression" dxfId="338" priority="32">
      <formula>M81=3</formula>
    </cfRule>
    <cfRule type="expression" dxfId="337" priority="33">
      <formula>M81=4</formula>
    </cfRule>
    <cfRule type="expression" dxfId="336" priority="34">
      <formula>M81=5</formula>
    </cfRule>
    <cfRule type="expression" dxfId="335" priority="35">
      <formula>M81=6</formula>
    </cfRule>
  </conditionalFormatting>
  <conditionalFormatting sqref="Z84">
    <cfRule type="expression" dxfId="334" priority="22">
      <formula>M84=0</formula>
    </cfRule>
    <cfRule type="expression" dxfId="333" priority="23">
      <formula>M84=1</formula>
    </cfRule>
    <cfRule type="expression" dxfId="332" priority="24">
      <formula>M84=2</formula>
    </cfRule>
    <cfRule type="expression" dxfId="331" priority="25">
      <formula>M84=3</formula>
    </cfRule>
    <cfRule type="expression" dxfId="330" priority="26">
      <formula>M84=4</formula>
    </cfRule>
    <cfRule type="expression" dxfId="329" priority="27">
      <formula>M84=5</formula>
    </cfRule>
    <cfRule type="expression" dxfId="328" priority="28">
      <formula>M84=6</formula>
    </cfRule>
  </conditionalFormatting>
  <conditionalFormatting sqref="Z87">
    <cfRule type="expression" dxfId="327" priority="15">
      <formula>M87=0</formula>
    </cfRule>
    <cfRule type="expression" dxfId="326" priority="16">
      <formula>M87=1</formula>
    </cfRule>
    <cfRule type="expression" dxfId="325" priority="17">
      <formula>M87=2</formula>
    </cfRule>
    <cfRule type="expression" dxfId="324" priority="18">
      <formula>M87=3</formula>
    </cfRule>
    <cfRule type="expression" dxfId="323" priority="19">
      <formula>M87=4</formula>
    </cfRule>
    <cfRule type="expression" dxfId="322" priority="20">
      <formula>M87=5</formula>
    </cfRule>
    <cfRule type="expression" dxfId="321" priority="21">
      <formula>M87=6</formula>
    </cfRule>
  </conditionalFormatting>
  <pageMargins left="0.28958880139982501" right="0.28958880139982501" top="0.62992125984251945" bottom="0.39370078740157499" header="0.11811023622047251" footer="0.3"/>
  <pageSetup paperSize="9" scale="28" fitToHeight="0" orientation="landscape" r:id="rId1"/>
  <headerFooter scaleWithDoc="0">
    <oddHeader>&amp;R&amp;"Calibri"&amp;10&amp;K808080City Heartbeat 2024, 50 city index (v1.0)</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6742387" r:id="rId4" name="ui_cnt_CountryFlt">
              <controlPr defaultSize="0" print="0" autoFill="0" autoPict="0" macro="[0]!k">
                <anchor>
                  <from>
                    <xdr:col>22</xdr:col>
                    <xdr:colOff>125186</xdr:colOff>
                    <xdr:row>3</xdr:row>
                    <xdr:rowOff>239486</xdr:rowOff>
                  </from>
                  <to>
                    <xdr:col>23</xdr:col>
                    <xdr:colOff>925286</xdr:colOff>
                    <xdr:row>3</xdr:row>
                    <xdr:rowOff>451757</xdr:rowOff>
                  </to>
                </anchor>
              </controlPr>
            </control>
          </mc:Choice>
        </mc:AlternateContent>
        <mc:AlternateContent xmlns:mc="http://schemas.openxmlformats.org/markup-compatibility/2006">
          <mc:Choice Requires="x14">
            <control shapeId="6742389" r:id="rId5" name="ui_cnt_ShowReferences">
              <controlPr defaultSize="0" print="0" autoFill="0" autoPict="0" macro="[0]!k">
                <anchor>
                  <from>
                    <xdr:col>23</xdr:col>
                    <xdr:colOff>1333500</xdr:colOff>
                    <xdr:row>3</xdr:row>
                    <xdr:rowOff>239486</xdr:rowOff>
                  </from>
                  <to>
                    <xdr:col>23</xdr:col>
                    <xdr:colOff>2754086</xdr:colOff>
                    <xdr:row>3</xdr:row>
                    <xdr:rowOff>451757</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3AEB7-A06F-428B-A26F-5C37007CEAB7}">
  <sheetPr codeName="Sheet68">
    <pageSetUpPr fitToPage="1"/>
  </sheetPr>
  <dimension ref="A1:AB300"/>
  <sheetViews>
    <sheetView showGridLines="0" showRowColHeaders="0" zoomScaleNormal="100" workbookViewId="0">
      <pane ySplit="7" topLeftCell="A8" activePane="bottomLeft" state="frozen"/>
      <selection pane="bottomLeft"/>
    </sheetView>
  </sheetViews>
  <sheetFormatPr defaultRowHeight="14.6" zeroHeight="1" x14ac:dyDescent="0.4"/>
  <cols>
    <col min="1" max="1" width="2.69140625" customWidth="1"/>
    <col min="2" max="2" width="3.53515625" customWidth="1"/>
    <col min="3" max="3" width="4.23046875" customWidth="1"/>
    <col min="4" max="5" width="4.3046875" customWidth="1"/>
    <col min="6" max="7" width="3.69140625" customWidth="1"/>
    <col min="8" max="8" width="52" customWidth="1"/>
    <col min="9" max="9" width="3.69140625" customWidth="1"/>
    <col min="10" max="10" width="9.53515625" customWidth="1"/>
    <col min="11" max="14" width="4.3046875" customWidth="1"/>
    <col min="15" max="15" width="4" customWidth="1"/>
    <col min="16" max="16" width="0.53515625" customWidth="1"/>
    <col min="17" max="17" width="2.53515625" customWidth="1"/>
    <col min="18" max="18" width="5.84375" customWidth="1"/>
    <col min="19" max="19" width="13.3046875" customWidth="1"/>
    <col min="20" max="20" width="10.69140625" customWidth="1"/>
    <col min="21" max="21" width="2.3828125" customWidth="1"/>
    <col min="22" max="22" width="9.3046875" customWidth="1"/>
    <col min="23" max="24" width="15.3828125" customWidth="1"/>
    <col min="25" max="25" width="6.53515625" bestFit="1" customWidth="1"/>
    <col min="26" max="26" width="46.3046875" customWidth="1"/>
  </cols>
  <sheetData>
    <row r="1" spans="1:28" ht="24" hidden="1" customHeight="1" x14ac:dyDescent="0.4">
      <c r="A1" s="4" t="s">
        <v>2</v>
      </c>
      <c r="B1" s="4"/>
      <c r="C1" s="4"/>
      <c r="D1" s="4"/>
      <c r="E1" s="4"/>
      <c r="F1" s="4"/>
      <c r="G1" s="4"/>
      <c r="H1" s="4"/>
      <c r="I1" s="4"/>
      <c r="J1" s="4"/>
      <c r="K1" s="4"/>
      <c r="L1" s="4"/>
      <c r="M1" s="4"/>
      <c r="N1" s="4"/>
      <c r="O1" s="4"/>
      <c r="P1" s="4"/>
      <c r="Q1" s="4"/>
      <c r="R1" s="4"/>
      <c r="S1" s="4"/>
      <c r="T1" s="4"/>
      <c r="U1" s="4"/>
      <c r="V1" s="4"/>
      <c r="W1" s="4"/>
      <c r="X1" s="4"/>
      <c r="Y1" s="4"/>
      <c r="Z1" s="4"/>
      <c r="AA1" s="4"/>
      <c r="AB1" s="4"/>
    </row>
    <row r="2" spans="1:28" ht="24" customHeight="1" x14ac:dyDescent="0.4">
      <c r="A2" s="4"/>
      <c r="B2" s="4"/>
      <c r="C2" s="4"/>
      <c r="D2" s="4"/>
      <c r="E2" s="4"/>
      <c r="F2" s="4"/>
      <c r="G2" s="4"/>
      <c r="H2" s="4"/>
      <c r="I2" s="4"/>
      <c r="J2" s="4"/>
      <c r="K2" s="4"/>
      <c r="L2" s="4"/>
      <c r="M2" s="4"/>
      <c r="N2" s="4"/>
      <c r="O2" s="4"/>
      <c r="P2" s="4"/>
      <c r="Q2" s="4"/>
      <c r="R2" s="4"/>
      <c r="S2" s="4"/>
      <c r="T2" s="4"/>
      <c r="U2" s="4"/>
      <c r="V2" s="4"/>
      <c r="W2" s="4"/>
      <c r="X2" s="4"/>
      <c r="Y2" s="4"/>
      <c r="Z2" s="4"/>
      <c r="AA2" s="4"/>
      <c r="AB2" s="4"/>
    </row>
    <row r="3" spans="1:28" ht="26.05" customHeight="1" x14ac:dyDescent="0.4">
      <c r="A3" s="4"/>
      <c r="B3" s="4" t="s">
        <v>1068</v>
      </c>
      <c r="C3" s="4"/>
      <c r="D3" s="4"/>
      <c r="E3" s="4"/>
      <c r="F3" s="4"/>
      <c r="G3" s="4"/>
      <c r="H3" s="4"/>
      <c r="I3" s="4"/>
      <c r="J3" s="4"/>
      <c r="K3" s="4"/>
      <c r="L3" s="4"/>
      <c r="M3" s="4"/>
      <c r="N3" s="4"/>
      <c r="O3" s="4"/>
      <c r="P3" s="4"/>
      <c r="Q3" s="4"/>
      <c r="R3" s="4"/>
      <c r="S3" s="4"/>
      <c r="T3" s="4"/>
      <c r="U3" s="4"/>
      <c r="V3" s="4"/>
      <c r="W3" s="4"/>
      <c r="X3" s="4"/>
      <c r="Y3" s="4"/>
      <c r="Z3" s="4"/>
      <c r="AA3" s="4"/>
      <c r="AB3" s="4"/>
    </row>
    <row r="4" spans="1:28" ht="42" customHeight="1" x14ac:dyDescent="0.4">
      <c r="A4" s="4"/>
      <c r="B4" s="35" t="s">
        <v>1660</v>
      </c>
      <c r="C4" s="35"/>
      <c r="D4" s="4"/>
      <c r="E4" s="4"/>
      <c r="F4" s="4"/>
      <c r="G4" s="4"/>
      <c r="H4" s="4"/>
      <c r="I4" s="4"/>
      <c r="J4" s="4"/>
      <c r="K4" s="4"/>
      <c r="L4" s="4"/>
      <c r="M4" s="4"/>
      <c r="N4" s="4"/>
      <c r="O4" s="4"/>
      <c r="P4" s="4"/>
      <c r="Q4" s="4"/>
      <c r="R4" s="4"/>
      <c r="S4" s="4"/>
      <c r="T4" s="4"/>
      <c r="U4" s="4"/>
      <c r="V4" s="4"/>
      <c r="W4" s="4"/>
      <c r="X4" s="4"/>
      <c r="Y4" s="4"/>
      <c r="Z4" s="4"/>
      <c r="AA4" s="4"/>
      <c r="AB4" s="4"/>
    </row>
    <row r="5" spans="1:28" ht="24" customHeight="1" x14ac:dyDescent="0.4">
      <c r="A5" s="4" t="s">
        <v>2</v>
      </c>
      <c r="B5" s="111" t="str">
        <f>uxbGlobals!$B$353</f>
        <v/>
      </c>
      <c r="C5" s="4"/>
      <c r="D5" s="4"/>
      <c r="E5" s="4"/>
      <c r="F5" s="4"/>
      <c r="G5" s="4"/>
      <c r="H5" s="4"/>
      <c r="I5" s="4"/>
      <c r="J5" s="4"/>
      <c r="K5" s="4"/>
      <c r="L5" s="4"/>
      <c r="M5" s="4"/>
      <c r="N5" s="4"/>
      <c r="O5" s="4"/>
      <c r="P5" s="4"/>
      <c r="Q5" s="4"/>
      <c r="R5" s="4"/>
      <c r="S5" s="4"/>
      <c r="T5" s="4"/>
      <c r="U5" s="4"/>
      <c r="V5" s="4"/>
      <c r="W5" s="4"/>
      <c r="X5" s="4"/>
      <c r="Y5" s="4"/>
      <c r="Z5" s="4"/>
      <c r="AA5" s="4"/>
      <c r="AB5" s="4"/>
    </row>
    <row r="6" spans="1:28" ht="24" customHeight="1" x14ac:dyDescent="0.4">
      <c r="A6" s="4" t="s">
        <v>2</v>
      </c>
      <c r="B6" s="4"/>
      <c r="C6" s="4"/>
      <c r="D6" s="4"/>
      <c r="E6" s="4"/>
      <c r="F6" s="4"/>
      <c r="G6" s="4"/>
      <c r="H6" s="4"/>
      <c r="I6" s="4"/>
      <c r="J6" s="4"/>
      <c r="K6" s="4"/>
      <c r="L6" s="4"/>
      <c r="M6" s="4"/>
      <c r="N6" s="4"/>
      <c r="O6" s="4"/>
      <c r="P6" s="4"/>
      <c r="Q6" s="4"/>
      <c r="R6" s="4"/>
      <c r="S6" s="4"/>
      <c r="T6" s="4"/>
      <c r="U6" s="4"/>
      <c r="V6" s="4"/>
      <c r="W6" s="4"/>
      <c r="X6" s="4"/>
      <c r="Y6" s="4"/>
      <c r="Z6" s="4"/>
      <c r="AA6" s="4"/>
      <c r="AB6" s="4"/>
    </row>
    <row r="7" spans="1:28" ht="24" customHeight="1" x14ac:dyDescent="0.4">
      <c r="A7" s="4" t="s">
        <v>2</v>
      </c>
      <c r="B7" s="40">
        <f>uxbGlobals!$B$317</f>
        <v>0</v>
      </c>
      <c r="C7" s="40"/>
      <c r="D7" s="4"/>
      <c r="E7" s="4"/>
      <c r="F7" s="4"/>
      <c r="G7" s="4"/>
      <c r="H7" s="4"/>
      <c r="I7" s="4"/>
      <c r="J7" s="4"/>
      <c r="K7" s="4"/>
      <c r="L7" s="4"/>
      <c r="M7" s="4"/>
      <c r="N7" s="4"/>
      <c r="O7" s="4"/>
      <c r="P7" s="4"/>
      <c r="Q7" s="4"/>
      <c r="R7" s="4"/>
      <c r="S7" s="4"/>
      <c r="T7" s="4"/>
      <c r="U7" s="4"/>
      <c r="V7" s="4"/>
      <c r="W7" s="4"/>
      <c r="X7" s="4"/>
      <c r="Y7" s="4"/>
      <c r="Z7" s="4"/>
      <c r="AA7" s="4"/>
      <c r="AB7" s="4"/>
    </row>
    <row r="8" spans="1:28" ht="8.0500000000000007" customHeight="1" x14ac:dyDescent="0.4">
      <c r="A8" s="4"/>
      <c r="B8" s="4"/>
      <c r="C8" s="4"/>
      <c r="D8" s="4"/>
      <c r="E8" s="4"/>
      <c r="F8" s="4"/>
      <c r="G8" s="4"/>
      <c r="H8" s="4"/>
      <c r="I8" s="4"/>
      <c r="J8" s="4"/>
      <c r="K8" s="4"/>
      <c r="L8" s="4"/>
      <c r="M8" s="4"/>
      <c r="N8" s="4"/>
      <c r="O8" s="4"/>
      <c r="P8" s="4"/>
      <c r="Q8" s="4"/>
      <c r="R8" s="4"/>
      <c r="S8" s="4"/>
      <c r="T8" s="4"/>
      <c r="U8" s="4"/>
      <c r="V8" s="4"/>
      <c r="W8" s="4"/>
      <c r="X8" s="4"/>
      <c r="Y8" s="4"/>
      <c r="Z8" s="4"/>
      <c r="AA8" s="4"/>
      <c r="AB8" s="4"/>
    </row>
    <row r="9" spans="1:28" ht="15" customHeight="1" x14ac:dyDescent="0.4">
      <c r="A9" s="4" t="s">
        <v>2</v>
      </c>
      <c r="B9" s="4" t="s">
        <v>2</v>
      </c>
      <c r="C9" s="4" t="s">
        <v>2</v>
      </c>
      <c r="D9" s="4" t="s">
        <v>2</v>
      </c>
      <c r="E9" s="4" t="s">
        <v>2</v>
      </c>
      <c r="F9" s="4"/>
      <c r="G9" s="4"/>
      <c r="H9" s="4"/>
      <c r="I9" s="4"/>
      <c r="J9" s="4"/>
      <c r="K9" s="4" t="s">
        <v>2</v>
      </c>
      <c r="L9" s="4" t="s">
        <v>2</v>
      </c>
      <c r="M9" s="4" t="s">
        <v>2</v>
      </c>
      <c r="N9" s="4" t="s">
        <v>2</v>
      </c>
      <c r="O9" s="4" t="s">
        <v>2</v>
      </c>
      <c r="P9" s="4"/>
      <c r="Q9" s="4" t="str">
        <f ca="1">IF($D$14=1,"H","")</f>
        <v/>
      </c>
      <c r="R9" s="4" t="str">
        <f ca="1">IF($D$14=1,"H","")</f>
        <v/>
      </c>
      <c r="S9" s="4"/>
      <c r="T9" s="4" t="str">
        <f t="shared" ref="T9" ca="1" si="0">IF(AND($D$19=1,$D$13=0),"H","")</f>
        <v>H</v>
      </c>
      <c r="U9" s="4"/>
      <c r="V9" s="4" t="str">
        <f ca="1">IF($D$14=1,"H","")</f>
        <v/>
      </c>
      <c r="W9" s="4"/>
      <c r="X9" s="4" t="str">
        <f ca="1">IF(AND($D$19=1,$D$13=0),"H","")</f>
        <v>H</v>
      </c>
      <c r="Y9" s="4" t="str">
        <f ca="1">IF(AND($D$19=1,$D$13=0),"H","")</f>
        <v>H</v>
      </c>
      <c r="Z9" s="4" t="str">
        <f ca="1">IF(T9="","H","")</f>
        <v/>
      </c>
      <c r="AA9" s="4"/>
      <c r="AB9" s="4"/>
    </row>
    <row r="10" spans="1:28" ht="15" customHeight="1" x14ac:dyDescent="0.4">
      <c r="A10" s="13" t="s">
        <v>2</v>
      </c>
      <c r="B10" s="13" t="s">
        <v>2</v>
      </c>
      <c r="C10" s="4"/>
      <c r="D10" s="4"/>
      <c r="E10" s="4"/>
      <c r="F10" s="4"/>
      <c r="G10" s="4"/>
      <c r="H10" s="4"/>
      <c r="I10" s="4"/>
      <c r="J10" s="4"/>
      <c r="K10" s="4"/>
      <c r="L10" s="4"/>
      <c r="M10" s="4"/>
      <c r="N10" s="4"/>
      <c r="O10" s="4"/>
      <c r="P10" s="4"/>
      <c r="Q10" s="4"/>
      <c r="R10" s="112"/>
      <c r="S10" s="112"/>
      <c r="T10" s="112" t="s">
        <v>2</v>
      </c>
      <c r="U10" s="112"/>
      <c r="V10" s="112"/>
      <c r="W10" s="112"/>
      <c r="X10" s="4"/>
      <c r="Y10" s="4"/>
      <c r="Z10" s="4"/>
      <c r="AA10" s="4"/>
      <c r="AB10" s="4"/>
    </row>
    <row r="11" spans="1:28" ht="15" customHeight="1" x14ac:dyDescent="0.4">
      <c r="A11" s="13" t="s">
        <v>2</v>
      </c>
      <c r="B11" s="4"/>
      <c r="C11" s="26" t="s">
        <v>482</v>
      </c>
      <c r="D11" s="49">
        <f>uxbGlobals!$B$321</f>
        <v>1</v>
      </c>
      <c r="E11" s="49"/>
      <c r="F11" s="4"/>
      <c r="G11" s="4"/>
      <c r="H11" s="4"/>
      <c r="I11" s="4"/>
      <c r="J11" s="4"/>
      <c r="K11" s="4"/>
      <c r="L11" s="4"/>
      <c r="M11" s="4"/>
      <c r="N11" s="4"/>
      <c r="O11" s="4"/>
      <c r="P11" s="4"/>
      <c r="Q11" s="4"/>
      <c r="R11" s="4"/>
      <c r="S11" s="4"/>
      <c r="T11" s="4"/>
      <c r="U11" s="4"/>
      <c r="V11" s="4"/>
      <c r="W11" s="4"/>
      <c r="X11" s="4"/>
      <c r="Y11" s="4"/>
      <c r="Z11" s="4"/>
      <c r="AA11" s="4"/>
      <c r="AB11" s="4"/>
    </row>
    <row r="12" spans="1:28" ht="15" customHeight="1" x14ac:dyDescent="0.4">
      <c r="A12" s="13" t="s">
        <v>2</v>
      </c>
      <c r="B12" s="4"/>
      <c r="C12" s="113" t="s">
        <v>66</v>
      </c>
      <c r="D12" s="49">
        <f ca="1">uxbGlobals!$B$452</f>
        <v>1</v>
      </c>
      <c r="E12" s="49"/>
      <c r="F12" s="4"/>
      <c r="G12" s="4"/>
      <c r="H12" s="4"/>
      <c r="I12" s="4"/>
      <c r="J12" s="4"/>
      <c r="K12" s="4"/>
      <c r="L12" s="4"/>
      <c r="M12" s="4"/>
      <c r="N12" s="4"/>
      <c r="O12" s="4"/>
      <c r="P12" s="4"/>
      <c r="Q12" s="4"/>
      <c r="R12" s="4"/>
      <c r="S12" s="4"/>
      <c r="T12" s="4"/>
      <c r="U12" s="4"/>
      <c r="V12" s="4"/>
      <c r="W12" s="4"/>
      <c r="X12" s="4"/>
      <c r="Y12" s="4"/>
      <c r="Z12" s="4"/>
      <c r="AA12" s="4"/>
      <c r="AB12" s="4"/>
    </row>
    <row r="13" spans="1:28" ht="15" customHeight="1" x14ac:dyDescent="0.4">
      <c r="A13" s="13" t="s">
        <v>2</v>
      </c>
      <c r="B13" s="4"/>
      <c r="C13" s="113" t="s">
        <v>67</v>
      </c>
      <c r="D13" s="49">
        <f ca="1">uxbGlobals!$B$454</f>
        <v>0</v>
      </c>
      <c r="E13" s="49"/>
      <c r="F13" s="4"/>
      <c r="G13" s="4"/>
      <c r="H13" s="4"/>
      <c r="I13" s="4"/>
      <c r="J13" s="4"/>
      <c r="K13" s="4"/>
      <c r="L13" s="4"/>
      <c r="M13" s="4"/>
      <c r="N13" s="4"/>
      <c r="O13" s="4"/>
      <c r="P13" s="4"/>
      <c r="Q13" s="4"/>
      <c r="R13" s="4"/>
      <c r="S13" s="4"/>
      <c r="T13" s="4"/>
      <c r="U13" s="4"/>
      <c r="V13" s="4"/>
      <c r="W13" s="4"/>
      <c r="X13" s="4"/>
      <c r="Y13" s="4"/>
      <c r="Z13" s="4"/>
      <c r="AA13" s="4"/>
      <c r="AB13" s="4"/>
    </row>
    <row r="14" spans="1:28" ht="15" customHeight="1" x14ac:dyDescent="0.4">
      <c r="A14" s="13" t="s">
        <v>2</v>
      </c>
      <c r="B14" s="4"/>
      <c r="C14" s="113" t="s">
        <v>483</v>
      </c>
      <c r="D14" s="49">
        <f ca="1">uxbGlobals!$B$455</f>
        <v>0</v>
      </c>
      <c r="E14" s="49"/>
      <c r="F14" s="4"/>
      <c r="G14" s="4"/>
      <c r="H14" s="4"/>
      <c r="I14" s="4"/>
      <c r="J14" s="4"/>
      <c r="K14" s="4"/>
      <c r="L14" s="4"/>
      <c r="M14" s="4"/>
      <c r="N14" s="4"/>
      <c r="O14" s="4"/>
      <c r="P14" s="4"/>
      <c r="Q14" s="4"/>
      <c r="R14" s="4"/>
      <c r="S14" s="4"/>
      <c r="T14" s="4"/>
      <c r="U14" s="4"/>
      <c r="V14" s="4"/>
      <c r="W14" s="4"/>
      <c r="X14" s="4"/>
      <c r="Y14" s="4"/>
      <c r="Z14" s="4"/>
      <c r="AA14" s="4"/>
      <c r="AB14" s="4"/>
    </row>
    <row r="15" spans="1:28" ht="15" customHeight="1" x14ac:dyDescent="0.4">
      <c r="A15" s="13" t="s">
        <v>2</v>
      </c>
      <c r="B15" s="4"/>
      <c r="C15" s="113" t="s">
        <v>815</v>
      </c>
      <c r="D15" s="49">
        <f ca="1">uxbGlobals!$B$468</f>
        <v>0</v>
      </c>
      <c r="E15" s="49"/>
      <c r="F15" s="4"/>
      <c r="G15" s="4"/>
      <c r="H15" s="4"/>
      <c r="I15" s="4"/>
      <c r="J15" s="4"/>
      <c r="K15" s="4"/>
      <c r="L15" s="4"/>
      <c r="M15" s="4"/>
      <c r="N15" s="4"/>
      <c r="O15" s="4"/>
      <c r="P15" s="4"/>
      <c r="Q15" s="4"/>
      <c r="R15" s="12"/>
      <c r="S15" s="4"/>
      <c r="T15" s="4"/>
      <c r="U15" s="4"/>
      <c r="V15" s="4"/>
      <c r="W15" s="4"/>
      <c r="X15" s="4"/>
      <c r="Y15" s="4"/>
      <c r="Z15" s="4"/>
      <c r="AA15" s="4"/>
      <c r="AB15" s="4"/>
    </row>
    <row r="16" spans="1:28" x14ac:dyDescent="0.4">
      <c r="A16" s="13" t="s">
        <v>2</v>
      </c>
      <c r="B16" s="4"/>
      <c r="C16" s="113" t="s">
        <v>1136</v>
      </c>
      <c r="D16" s="49">
        <f ca="1">uxbGlobals!$B$469</f>
        <v>0</v>
      </c>
      <c r="E16" s="49"/>
      <c r="F16" s="4"/>
      <c r="G16" s="4"/>
      <c r="H16" s="4"/>
      <c r="I16" s="4"/>
      <c r="J16" s="4"/>
      <c r="K16" s="4"/>
      <c r="L16" s="4"/>
      <c r="M16" s="4"/>
      <c r="N16" s="4"/>
      <c r="O16" s="4"/>
      <c r="P16" s="4"/>
      <c r="Q16" s="4"/>
      <c r="R16" s="91"/>
      <c r="S16" s="4"/>
      <c r="T16" s="4"/>
      <c r="U16" s="4"/>
      <c r="V16" s="91"/>
      <c r="W16" s="91"/>
      <c r="X16" s="4"/>
      <c r="Y16" s="4"/>
      <c r="Z16" s="4"/>
      <c r="AA16" s="4"/>
      <c r="AB16" s="4"/>
    </row>
    <row r="17" spans="1:28" x14ac:dyDescent="0.4">
      <c r="A17" s="13" t="s">
        <v>2</v>
      </c>
      <c r="B17" s="4"/>
      <c r="C17" s="113" t="s">
        <v>1137</v>
      </c>
      <c r="D17" s="49">
        <f>uxbGlobals!$B$387</f>
        <v>0</v>
      </c>
      <c r="E17" s="49"/>
      <c r="F17" s="4"/>
      <c r="G17" s="4"/>
      <c r="H17" s="4"/>
      <c r="I17" s="4"/>
      <c r="J17" s="4"/>
      <c r="K17" s="4"/>
      <c r="L17" s="4"/>
      <c r="M17" s="4"/>
      <c r="N17" s="4"/>
      <c r="O17" s="4"/>
      <c r="P17" s="4"/>
      <c r="Q17" s="4"/>
      <c r="R17" s="91"/>
      <c r="S17" s="4"/>
      <c r="T17" s="4"/>
      <c r="U17" s="4"/>
      <c r="V17" s="91"/>
      <c r="W17" s="91"/>
      <c r="X17" s="4"/>
      <c r="Y17" s="4"/>
      <c r="Z17" s="4"/>
      <c r="AA17" s="4"/>
      <c r="AB17" s="4"/>
    </row>
    <row r="18" spans="1:28" x14ac:dyDescent="0.4">
      <c r="A18" s="13" t="s">
        <v>2</v>
      </c>
      <c r="B18" s="4"/>
      <c r="C18" s="113" t="s">
        <v>445</v>
      </c>
      <c r="D18" s="49" t="str">
        <f>uxbGlobals!$B$388</f>
        <v>&lt;none&gt;</v>
      </c>
      <c r="E18" s="49"/>
      <c r="F18" s="4"/>
      <c r="G18" s="4"/>
      <c r="H18" s="4"/>
      <c r="I18" s="4"/>
      <c r="J18" s="4"/>
      <c r="K18" s="4"/>
      <c r="L18" s="4"/>
      <c r="M18" s="4"/>
      <c r="N18" s="4"/>
      <c r="O18" s="4"/>
      <c r="P18" s="4"/>
      <c r="Q18" s="4"/>
      <c r="R18" s="91"/>
      <c r="S18" s="4"/>
      <c r="T18" s="4"/>
      <c r="U18" s="4"/>
      <c r="V18" s="91"/>
      <c r="W18" s="91"/>
      <c r="X18" s="4"/>
      <c r="Y18" s="4"/>
      <c r="Z18" s="4"/>
      <c r="AA18" s="4"/>
      <c r="AB18" s="4"/>
    </row>
    <row r="19" spans="1:28" x14ac:dyDescent="0.4">
      <c r="A19" s="13" t="s">
        <v>2</v>
      </c>
      <c r="B19" s="4"/>
      <c r="C19" s="113" t="s">
        <v>1156</v>
      </c>
      <c r="D19" s="49">
        <f>uxbGlobals!$B$295</f>
        <v>1</v>
      </c>
      <c r="E19" s="49"/>
      <c r="F19" s="4"/>
      <c r="G19" s="4"/>
      <c r="H19" s="4"/>
      <c r="I19" s="4"/>
      <c r="J19" s="4"/>
      <c r="K19" s="4"/>
      <c r="L19" s="4"/>
      <c r="M19" s="4"/>
      <c r="N19" s="4"/>
      <c r="O19" s="4"/>
      <c r="P19" s="4"/>
      <c r="Q19" s="4"/>
      <c r="R19" s="91"/>
      <c r="S19" s="4"/>
      <c r="T19" s="4"/>
      <c r="U19" s="4"/>
      <c r="V19" s="91"/>
      <c r="W19" s="91"/>
      <c r="X19" s="4"/>
      <c r="Y19" s="4"/>
      <c r="Z19" s="4"/>
      <c r="AA19" s="4"/>
      <c r="AB19" s="4"/>
    </row>
    <row r="20" spans="1:28" x14ac:dyDescent="0.4">
      <c r="A20" s="13" t="s">
        <v>2</v>
      </c>
      <c r="B20" s="4"/>
      <c r="C20" s="113" t="s">
        <v>1113</v>
      </c>
      <c r="D20" s="49">
        <f>uxbGlobals!$B$224</f>
        <v>50</v>
      </c>
      <c r="E20" s="49"/>
      <c r="F20" s="4"/>
      <c r="G20" s="4"/>
      <c r="H20" s="4"/>
      <c r="I20" s="4"/>
      <c r="J20" s="4"/>
      <c r="K20" s="4"/>
      <c r="L20" s="4"/>
      <c r="M20" s="4"/>
      <c r="N20" s="4"/>
      <c r="O20" s="4"/>
      <c r="P20" s="4"/>
      <c r="Q20" s="4"/>
      <c r="R20" s="91"/>
      <c r="S20" s="4"/>
      <c r="T20" s="4"/>
      <c r="U20" s="4"/>
      <c r="V20" s="91"/>
      <c r="W20" s="91"/>
      <c r="X20" s="4"/>
      <c r="Y20" s="4"/>
      <c r="Z20" s="4"/>
      <c r="AA20" s="4"/>
      <c r="AB20" s="4"/>
    </row>
    <row r="21" spans="1:28" x14ac:dyDescent="0.4">
      <c r="A21" s="13" t="s">
        <v>2</v>
      </c>
      <c r="B21" s="4"/>
      <c r="C21" s="113" t="s">
        <v>1555</v>
      </c>
      <c r="D21" s="49" t="str" cm="1">
        <f t="array" aca="1" ref="D21" ca="1">INDEX(auto_Series_Code,D12)</f>
        <v>OVERALL</v>
      </c>
      <c r="E21" s="114">
        <f ca="1">IF(OR(D21="BG02",D21="BG03",D21="BG10"),1,0)</f>
        <v>0</v>
      </c>
      <c r="F21" s="4"/>
      <c r="G21" s="4"/>
      <c r="H21" s="4"/>
      <c r="I21" s="4"/>
      <c r="J21" s="4"/>
      <c r="K21" s="4"/>
      <c r="L21" s="4"/>
      <c r="M21" s="4"/>
      <c r="N21" s="4"/>
      <c r="O21" s="4"/>
      <c r="P21" s="4"/>
      <c r="Q21" s="4"/>
      <c r="R21" s="91"/>
      <c r="S21" s="4"/>
      <c r="T21" s="4"/>
      <c r="U21" s="4"/>
      <c r="V21" s="91"/>
      <c r="W21" s="91"/>
      <c r="X21" s="4"/>
      <c r="Y21" s="4"/>
      <c r="Z21" s="12"/>
      <c r="AA21" s="4"/>
      <c r="AB21" s="4"/>
    </row>
    <row r="22" spans="1:28" x14ac:dyDescent="0.4">
      <c r="A22" s="4"/>
      <c r="B22" s="4"/>
      <c r="C22" s="113"/>
      <c r="D22" s="49"/>
      <c r="E22" s="115" t="s">
        <v>1079</v>
      </c>
      <c r="F22" s="4"/>
      <c r="G22" s="10"/>
      <c r="H22" s="10"/>
      <c r="I22" s="10"/>
      <c r="J22" s="4"/>
      <c r="K22" s="4"/>
      <c r="L22" s="4"/>
      <c r="M22" s="4"/>
      <c r="N22" s="4"/>
      <c r="O22" s="4"/>
      <c r="P22" s="116" t="str">
        <f ca="1">uxbGlobals!$B$459</f>
        <v/>
      </c>
      <c r="Q22" s="4"/>
      <c r="R22" s="4"/>
      <c r="S22" s="4"/>
      <c r="T22" s="4"/>
      <c r="U22" s="4"/>
      <c r="V22" s="4"/>
      <c r="W22" s="4"/>
      <c r="X22" s="4"/>
      <c r="Y22" s="4"/>
      <c r="Z22" s="4"/>
      <c r="AA22" s="4"/>
      <c r="AB22" s="4"/>
    </row>
    <row r="23" spans="1:28" ht="18.45" x14ac:dyDescent="0.5">
      <c r="A23" s="4"/>
      <c r="B23" s="4" t="s">
        <v>1081</v>
      </c>
      <c r="C23" s="4" t="s">
        <v>1082</v>
      </c>
      <c r="D23" s="4" t="s">
        <v>1083</v>
      </c>
      <c r="E23" s="4"/>
      <c r="F23" s="4"/>
      <c r="G23" s="10"/>
      <c r="H23" s="10"/>
      <c r="I23" s="10"/>
      <c r="J23" s="4"/>
      <c r="K23" s="4"/>
      <c r="L23" s="4"/>
      <c r="M23" s="4"/>
      <c r="N23" s="4"/>
      <c r="O23" s="4"/>
      <c r="P23" s="117" t="str">
        <f ca="1">uxbGlobals!$B$462</f>
        <v>OVERALL</v>
      </c>
      <c r="Q23" s="4"/>
      <c r="R23" s="4"/>
      <c r="S23" s="4"/>
      <c r="T23" s="4"/>
      <c r="U23" s="4"/>
      <c r="V23" s="4"/>
      <c r="W23" s="4"/>
      <c r="X23" s="4"/>
      <c r="Y23" s="4"/>
      <c r="Z23" s="4"/>
      <c r="AA23" s="4"/>
      <c r="AB23" s="4"/>
    </row>
    <row r="24" spans="1:28" ht="15.75" customHeight="1" x14ac:dyDescent="0.4">
      <c r="A24" s="118" t="str">
        <f t="shared" ref="A24:A50" si="1">IF(OR(B24="H",C24="H"),"H","")</f>
        <v/>
      </c>
      <c r="B24" s="119" t="str">
        <f t="shared" ref="B24:B78" si="2">IF($D$19=2,"H","")</f>
        <v/>
      </c>
      <c r="C24" s="4"/>
      <c r="D24" s="4"/>
      <c r="E24" s="4"/>
      <c r="F24" s="4"/>
      <c r="G24" s="10"/>
      <c r="H24" s="10"/>
      <c r="I24" s="10"/>
      <c r="J24" s="4"/>
      <c r="K24" s="4"/>
      <c r="L24" s="4"/>
      <c r="M24" s="4"/>
      <c r="N24" s="4"/>
      <c r="O24" s="4"/>
      <c r="P24" s="120" t="str">
        <f ca="1">IF($E$21=0,uxbGlobals!$B$206,SUBSTITUTE(uxbGlobals!$B$206,"1=best","1=highest value"))</f>
        <v>Rank out of 50 cities where 1=best. '=' denotes tie in rank.</v>
      </c>
      <c r="Q24" s="4"/>
      <c r="R24" s="121"/>
      <c r="S24" s="4"/>
      <c r="T24" s="4"/>
      <c r="U24" s="4"/>
      <c r="V24" s="4"/>
      <c r="W24" s="4"/>
      <c r="X24" s="4"/>
      <c r="Y24" s="4"/>
      <c r="Z24" s="4"/>
      <c r="AA24" s="4"/>
      <c r="AB24" s="4"/>
    </row>
    <row r="25" spans="1:28" ht="15.75" customHeight="1" x14ac:dyDescent="0.4">
      <c r="A25" s="118" t="str">
        <f t="shared" si="1"/>
        <v/>
      </c>
      <c r="B25" s="119" t="str">
        <f t="shared" si="2"/>
        <v/>
      </c>
      <c r="C25" s="4"/>
      <c r="D25" s="4"/>
      <c r="E25" s="4"/>
      <c r="F25" s="4"/>
      <c r="G25" s="10"/>
      <c r="H25" s="10"/>
      <c r="I25" s="10"/>
      <c r="J25" s="4"/>
      <c r="K25" s="4"/>
      <c r="L25" s="4"/>
      <c r="M25" s="4"/>
      <c r="N25" s="4"/>
      <c r="O25" s="4"/>
      <c r="P25" s="120" t="str">
        <f ca="1">IF($E$21=0,uxbGlobals!$B$202,"Score 0-100; 100=highest data value")</f>
        <v>Score 0-100 where 100=most healthy environment</v>
      </c>
      <c r="Q25" s="4"/>
      <c r="R25" s="121"/>
      <c r="S25" s="4"/>
      <c r="T25" s="4"/>
      <c r="U25" s="4"/>
      <c r="V25" s="4"/>
      <c r="W25" s="4"/>
      <c r="X25" s="4"/>
      <c r="Y25" s="4"/>
      <c r="Z25" s="4"/>
      <c r="AA25" s="4"/>
      <c r="AB25" s="4"/>
    </row>
    <row r="26" spans="1:28" ht="13.5" customHeight="1" x14ac:dyDescent="0.4">
      <c r="A26" s="13" t="s">
        <v>2</v>
      </c>
      <c r="B26" s="119" t="str">
        <f t="shared" si="2"/>
        <v/>
      </c>
      <c r="C26" s="4"/>
      <c r="D26" s="4"/>
      <c r="E26" s="4"/>
      <c r="F26" s="4"/>
      <c r="G26" s="10"/>
      <c r="H26" s="10"/>
      <c r="I26" s="10"/>
      <c r="J26" s="4"/>
      <c r="K26" s="4"/>
      <c r="L26" s="4"/>
      <c r="M26" s="4"/>
      <c r="N26" s="4"/>
      <c r="O26" s="4"/>
      <c r="P26" s="4"/>
      <c r="Q26" s="122"/>
      <c r="R26" s="121"/>
      <c r="S26" s="4"/>
      <c r="T26" s="4"/>
      <c r="U26" s="4"/>
      <c r="V26" s="4"/>
      <c r="W26" s="4"/>
      <c r="X26" s="123" t="s">
        <v>1530</v>
      </c>
      <c r="Y26" s="4"/>
      <c r="Z26" s="4"/>
      <c r="AA26" s="4"/>
      <c r="AB26" s="4"/>
    </row>
    <row r="27" spans="1:28" ht="14.25" customHeight="1" x14ac:dyDescent="0.4">
      <c r="A27" s="118" t="str">
        <f t="shared" ref="A27" si="3">IF(OR(B27="H",C27="H"),"H","")</f>
        <v/>
      </c>
      <c r="B27" s="119" t="str">
        <f t="shared" si="2"/>
        <v/>
      </c>
      <c r="C27" s="4"/>
      <c r="D27" s="4"/>
      <c r="E27" s="4"/>
      <c r="F27" s="4"/>
      <c r="G27" s="10"/>
      <c r="H27" s="10"/>
      <c r="I27" s="10"/>
      <c r="J27" s="4"/>
      <c r="K27" s="4"/>
      <c r="L27" s="4"/>
      <c r="M27" s="4"/>
      <c r="N27" s="4"/>
      <c r="O27" s="4"/>
      <c r="P27" s="4"/>
      <c r="Q27" s="124"/>
      <c r="R27" s="4"/>
      <c r="S27" s="4"/>
      <c r="T27" s="4"/>
      <c r="U27" s="4"/>
      <c r="V27" s="4"/>
      <c r="W27" s="4"/>
      <c r="X27" s="4"/>
      <c r="Y27" s="4"/>
      <c r="Z27" s="4"/>
      <c r="AA27" s="4"/>
      <c r="AB27" s="4"/>
    </row>
    <row r="28" spans="1:28" ht="15" customHeight="1" x14ac:dyDescent="0.4">
      <c r="A28" s="118" t="str">
        <f t="shared" si="1"/>
        <v/>
      </c>
      <c r="B28" s="119" t="str">
        <f t="shared" si="2"/>
        <v/>
      </c>
      <c r="C28" s="7"/>
      <c r="D28" s="125"/>
      <c r="E28" s="7"/>
      <c r="F28" s="4"/>
      <c r="G28" s="10"/>
      <c r="H28" s="10"/>
      <c r="I28" s="10"/>
      <c r="J28" s="4"/>
      <c r="K28" s="126" t="s">
        <v>0</v>
      </c>
      <c r="L28" s="126" t="s">
        <v>484</v>
      </c>
      <c r="M28" s="126" t="s">
        <v>485</v>
      </c>
      <c r="N28" s="126" t="s">
        <v>253</v>
      </c>
      <c r="O28" s="126" t="s">
        <v>1256</v>
      </c>
      <c r="P28" s="126"/>
      <c r="Q28" s="127"/>
      <c r="R28" s="128" t="s">
        <v>17</v>
      </c>
      <c r="S28" s="127" t="s">
        <v>2673</v>
      </c>
      <c r="T28" s="128" t="s">
        <v>253</v>
      </c>
      <c r="U28" s="129"/>
      <c r="V28" s="129" t="s">
        <v>252</v>
      </c>
      <c r="W28" s="128"/>
      <c r="X28" s="130" t="s">
        <v>255</v>
      </c>
      <c r="Y28" s="131" t="s">
        <v>4</v>
      </c>
      <c r="Z28" s="4"/>
      <c r="AA28" s="4"/>
      <c r="AB28" s="4"/>
    </row>
    <row r="29" spans="1:28" ht="17.149999999999999" customHeight="1" x14ac:dyDescent="0.4">
      <c r="A29" s="118" t="str">
        <f t="shared" ca="1" si="1"/>
        <v/>
      </c>
      <c r="B29" s="119" t="str">
        <f t="shared" si="2"/>
        <v/>
      </c>
      <c r="C29" s="132" t="str">
        <f ca="1">IF($L29=0,"H","")</f>
        <v/>
      </c>
      <c r="D29" s="125"/>
      <c r="E29" s="7"/>
      <c r="F29" s="121"/>
      <c r="G29" s="133"/>
      <c r="H29" s="133"/>
      <c r="I29" s="133"/>
      <c r="J29" s="121"/>
      <c r="K29" s="58">
        <f ca="1">iMeasure_All!$N15</f>
        <v>17</v>
      </c>
      <c r="L29" s="58" cm="1">
        <f t="array" aca="1" ref="L29" ca="1">INDEX(auto_Country_Status,K29)</f>
        <v>1</v>
      </c>
      <c r="M29" s="58">
        <f ca="1">iMeasure_All!$P15</f>
        <v>17</v>
      </c>
      <c r="N29" s="58" t="str" cm="1">
        <f t="array" aca="1" ref="N29" ca="1">IF($L29=0,"",IF($D$13=0,"-",INDEX(auto_DataFlat_DataValue,$M29,1)))</f>
        <v>-</v>
      </c>
      <c r="O29" s="58" cm="1">
        <f t="array" aca="1" ref="O29" ca="1">IF($D$14=1,0,IF($L29=0,"",INDEX(auto_DataFlat_Classification,$M29,1)))</f>
        <v>5</v>
      </c>
      <c r="P29" s="58"/>
      <c r="Q29" s="134" t="str" cm="1">
        <f t="array" aca="1" ref="Q29" ca="1">IF($D$14=1,"",INDEX(uxbGlobals!$B$133:$B$139,All_Measures!O29))</f>
        <v xml:space="preserve"> </v>
      </c>
      <c r="R29" s="135" t="str" cm="1">
        <f t="array" aca="1" ref="R29" ca="1">IF($L29=0,"",INDEX(auto_DataFlat_Rank,$M29,R$16))</f>
        <v>1</v>
      </c>
      <c r="S29" s="122" t="str" cm="1">
        <f t="array" aca="1" ref="S29" ca="1">IF($L29=0,"",INDEX(auto_ddCountry,K29))</f>
        <v>Hong Kong</v>
      </c>
      <c r="T29" s="136" t="str">
        <f t="shared" ref="T29" ca="1" si="4">N29</f>
        <v>-</v>
      </c>
      <c r="U29" s="137" t="str" cm="1">
        <f t="array" aca="1" ref="U29" ca="1">IF($L29=0,"",IF(INDEX(auto_DataFlat_IsEstimate,$M29,V$16)="","",INDEX(auto_DataFlat_IsEstimate,$M29,V$16)))</f>
        <v/>
      </c>
      <c r="V29" s="138" cm="1">
        <f t="array" aca="1" ref="V29" ca="1">IF($L29=0,"",INDEX(auto_DataFlat_Score,$M29,V$16))</f>
        <v>83.2</v>
      </c>
      <c r="W29" s="139"/>
      <c r="X29" s="140" cm="1">
        <f t="array" aca="1" ref="X29" ca="1">IF($L29=0,"",INDEX(auto_DataFlat_DataYear,$M29,V$16))</f>
        <v>0</v>
      </c>
      <c r="Y29" s="141" cm="1">
        <f t="array" aca="1" ref="Y29" ca="1">IF($L29=0,"",INDEX(auto_DataFlat_Source,$M29,V$16))</f>
        <v>0</v>
      </c>
      <c r="Z29" s="4"/>
      <c r="AA29" s="4"/>
      <c r="AB29" s="4"/>
    </row>
    <row r="30" spans="1:28" ht="17.149999999999999" customHeight="1" x14ac:dyDescent="0.4">
      <c r="A30" s="118" t="str">
        <f t="shared" ca="1" si="1"/>
        <v/>
      </c>
      <c r="B30" s="119" t="str">
        <f t="shared" si="2"/>
        <v/>
      </c>
      <c r="C30" s="132" t="str">
        <f ca="1">IF($L30=0,"H","")</f>
        <v/>
      </c>
      <c r="D30" s="125"/>
      <c r="E30" s="7"/>
      <c r="F30" s="121"/>
      <c r="G30" s="133"/>
      <c r="H30" s="133"/>
      <c r="I30" s="133"/>
      <c r="J30" s="121"/>
      <c r="K30" s="58">
        <f ca="1">iMeasure_All!$N16</f>
        <v>26</v>
      </c>
      <c r="L30" s="58" cm="1">
        <f t="array" aca="1" ref="L30" ca="1">INDEX(auto_Country_Status,K30)</f>
        <v>1</v>
      </c>
      <c r="M30" s="58">
        <f ca="1">iMeasure_All!$P16</f>
        <v>26</v>
      </c>
      <c r="N30" s="58" t="str" cm="1">
        <f t="array" aca="1" ref="N30" ca="1">IF($L30=0,"",IF($D$13=0,"-",INDEX(auto_DataFlat_DataValue,$M30,1)))</f>
        <v>-</v>
      </c>
      <c r="O30" s="58" cm="1">
        <f t="array" aca="1" ref="O30" ca="1">IF($D$14=1,0,IF($L30=0,"",INDEX(auto_DataFlat_Classification,$M30,1)))</f>
        <v>5</v>
      </c>
      <c r="P30" s="58"/>
      <c r="Q30" s="134" t="str" cm="1">
        <f t="array" aca="1" ref="Q30" ca="1">IF($D$14=1,"",INDEX(uxbGlobals!$B$133:$B$139,All_Measures!O30))</f>
        <v xml:space="preserve"> </v>
      </c>
      <c r="R30" s="135" t="str" cm="1">
        <f t="array" aca="1" ref="R30" ca="1">IF($L30=0,"",INDEX(auto_DataFlat_Rank,$M30,R$16))</f>
        <v>2</v>
      </c>
      <c r="S30" s="122" t="str" cm="1">
        <f t="array" aca="1" ref="S30" ca="1">IF($L30=0,"",INDEX(auto_ddCountry,K30))</f>
        <v>London</v>
      </c>
      <c r="T30" s="136" t="str">
        <f t="shared" ref="T30:T49" ca="1" si="5">N30</f>
        <v>-</v>
      </c>
      <c r="U30" s="137" t="str" cm="1">
        <f t="array" aca="1" ref="U30" ca="1">IF($L30=0,"",IF(INDEX(auto_DataFlat_IsEstimate,$M30,V$16)="","",INDEX(auto_DataFlat_IsEstimate,$M30,V$16)))</f>
        <v/>
      </c>
      <c r="V30" s="138" cm="1">
        <f t="array" aca="1" ref="V30" ca="1">IF($L30=0,"",INDEX(auto_DataFlat_Score,$M30,V$16))</f>
        <v>82.6</v>
      </c>
      <c r="W30" s="139"/>
      <c r="X30" s="140" cm="1">
        <f t="array" aca="1" ref="X30" ca="1">IF($L30=0,"",INDEX(auto_DataFlat_DataYear,$M30,V$16))</f>
        <v>0</v>
      </c>
      <c r="Y30" s="141" cm="1">
        <f t="array" aca="1" ref="Y30" ca="1">IF($L30=0,"",INDEX(auto_DataFlat_Source,$M30,V$16))</f>
        <v>0</v>
      </c>
      <c r="Z30" s="4"/>
      <c r="AA30" s="4"/>
      <c r="AB30" s="4"/>
    </row>
    <row r="31" spans="1:28" ht="17.149999999999999" customHeight="1" x14ac:dyDescent="0.4">
      <c r="A31" s="118" t="str">
        <f t="shared" ca="1" si="1"/>
        <v/>
      </c>
      <c r="B31" s="119" t="str">
        <f t="shared" si="2"/>
        <v/>
      </c>
      <c r="C31" s="132" t="str">
        <f t="shared" ref="C31:C78" ca="1" si="6">IF($L31=0,"H","")</f>
        <v/>
      </c>
      <c r="D31" s="125"/>
      <c r="E31" s="7"/>
      <c r="F31" s="121"/>
      <c r="G31" s="133"/>
      <c r="H31" s="133"/>
      <c r="I31" s="133"/>
      <c r="J31" s="121"/>
      <c r="K31" s="58">
        <f ca="1">iMeasure_All!$N17</f>
        <v>27</v>
      </c>
      <c r="L31" s="58" cm="1">
        <f t="array" aca="1" ref="L31" ca="1">INDEX(auto_Country_Status,K31)</f>
        <v>1</v>
      </c>
      <c r="M31" s="58">
        <f ca="1">iMeasure_All!$P17</f>
        <v>27</v>
      </c>
      <c r="N31" s="58" t="str" cm="1">
        <f t="array" aca="1" ref="N31" ca="1">IF($L31=0,"",IF($D$13=0,"-",INDEX(auto_DataFlat_DataValue,$M31,1)))</f>
        <v>-</v>
      </c>
      <c r="O31" s="58" cm="1">
        <f t="array" aca="1" ref="O31" ca="1">IF($D$14=1,0,IF($L31=0,"",INDEX(auto_DataFlat_Classification,$M31,1)))</f>
        <v>4</v>
      </c>
      <c r="P31" s="58"/>
      <c r="Q31" s="134" t="str" cm="1">
        <f t="array" aca="1" ref="Q31" ca="1">IF($D$14=1,"",INDEX(uxbGlobals!$B$133:$B$139,All_Measures!O31))</f>
        <v xml:space="preserve"> </v>
      </c>
      <c r="R31" s="135" t="str" cm="1">
        <f t="array" aca="1" ref="R31" ca="1">IF($L31=0,"",INDEX(auto_DataFlat_Rank,$M31,R$16))</f>
        <v>3</v>
      </c>
      <c r="S31" s="122" t="str" cm="1">
        <f t="array" aca="1" ref="S31" ca="1">IF($L31=0,"",INDEX(auto_ddCountry,K31))</f>
        <v>Madrid</v>
      </c>
      <c r="T31" s="136" t="str">
        <f t="shared" ca="1" si="5"/>
        <v>-</v>
      </c>
      <c r="U31" s="137" t="str" cm="1">
        <f t="array" aca="1" ref="U31" ca="1">IF($L31=0,"",IF(INDEX(auto_DataFlat_IsEstimate,$M31,V$16)="","",INDEX(auto_DataFlat_IsEstimate,$M31,V$16)))</f>
        <v/>
      </c>
      <c r="V31" s="138" cm="1">
        <f t="array" aca="1" ref="V31" ca="1">IF($L31=0,"",INDEX(auto_DataFlat_Score,$M31,V$16))</f>
        <v>79.599999999999994</v>
      </c>
      <c r="W31" s="139"/>
      <c r="X31" s="140" cm="1">
        <f t="array" aca="1" ref="X31" ca="1">IF($L31=0,"",INDEX(auto_DataFlat_DataYear,$M31,V$16))</f>
        <v>0</v>
      </c>
      <c r="Y31" s="141" cm="1">
        <f t="array" aca="1" ref="Y31" ca="1">IF($L31=0,"",INDEX(auto_DataFlat_Source,$M31,V$16))</f>
        <v>0</v>
      </c>
      <c r="Z31" s="4"/>
      <c r="AA31" s="4"/>
      <c r="AB31" s="4"/>
    </row>
    <row r="32" spans="1:28" ht="17.149999999999999" customHeight="1" x14ac:dyDescent="0.4">
      <c r="A32" s="118" t="str">
        <f t="shared" ca="1" si="1"/>
        <v/>
      </c>
      <c r="B32" s="119" t="str">
        <f t="shared" si="2"/>
        <v/>
      </c>
      <c r="C32" s="132" t="str">
        <f t="shared" ca="1" si="6"/>
        <v/>
      </c>
      <c r="D32" s="125"/>
      <c r="E32" s="7"/>
      <c r="F32" s="121"/>
      <c r="G32" s="133"/>
      <c r="H32" s="133"/>
      <c r="I32" s="133"/>
      <c r="J32" s="121"/>
      <c r="K32" s="58">
        <f ca="1">iMeasure_All!$N18</f>
        <v>34</v>
      </c>
      <c r="L32" s="58" cm="1">
        <f t="array" aca="1" ref="L32" ca="1">INDEX(auto_Country_Status,K32)</f>
        <v>1</v>
      </c>
      <c r="M32" s="58">
        <f ca="1">iMeasure_All!$P18</f>
        <v>34</v>
      </c>
      <c r="N32" s="58" t="str" cm="1">
        <f t="array" aca="1" ref="N32" ca="1">IF($L32=0,"",IF($D$13=0,"-",INDEX(auto_DataFlat_DataValue,$M32,1)))</f>
        <v>-</v>
      </c>
      <c r="O32" s="58" cm="1">
        <f t="array" aca="1" ref="O32" ca="1">IF($D$14=1,0,IF($L32=0,"",INDEX(auto_DataFlat_Classification,$M32,1)))</f>
        <v>4</v>
      </c>
      <c r="P32" s="58"/>
      <c r="Q32" s="134" t="str" cm="1">
        <f t="array" aca="1" ref="Q32" ca="1">IF($D$14=1,"",INDEX(uxbGlobals!$B$133:$B$139,All_Measures!O32))</f>
        <v xml:space="preserve"> </v>
      </c>
      <c r="R32" s="135" t="str" cm="1">
        <f t="array" aca="1" ref="R32" ca="1">IF($L32=0,"",INDEX(auto_DataFlat_Rank,$M32,R$16))</f>
        <v>4</v>
      </c>
      <c r="S32" s="122" t="str" cm="1">
        <f t="array" aca="1" ref="S32" ca="1">IF($L32=0,"",INDEX(auto_ddCountry,K32))</f>
        <v>New York City</v>
      </c>
      <c r="T32" s="136" t="str">
        <f t="shared" ca="1" si="5"/>
        <v>-</v>
      </c>
      <c r="U32" s="137" t="str" cm="1">
        <f t="array" aca="1" ref="U32" ca="1">IF($L32=0,"",IF(INDEX(auto_DataFlat_IsEstimate,$M32,V$16)="","",INDEX(auto_DataFlat_IsEstimate,$M32,V$16)))</f>
        <v/>
      </c>
      <c r="V32" s="138" cm="1">
        <f t="array" aca="1" ref="V32" ca="1">IF($L32=0,"",INDEX(auto_DataFlat_Score,$M32,V$16))</f>
        <v>79.099999999999994</v>
      </c>
      <c r="W32" s="139"/>
      <c r="X32" s="140" cm="1">
        <f t="array" aca="1" ref="X32" ca="1">IF($L32=0,"",INDEX(auto_DataFlat_DataYear,$M32,V$16))</f>
        <v>0</v>
      </c>
      <c r="Y32" s="141" cm="1">
        <f t="array" aca="1" ref="Y32" ca="1">IF($L32=0,"",INDEX(auto_DataFlat_Source,$M32,V$16))</f>
        <v>0</v>
      </c>
      <c r="Z32" s="4"/>
      <c r="AA32" s="4"/>
      <c r="AB32" s="4"/>
    </row>
    <row r="33" spans="1:28" ht="17.149999999999999" customHeight="1" x14ac:dyDescent="0.4">
      <c r="A33" s="118" t="str">
        <f t="shared" ca="1" si="1"/>
        <v/>
      </c>
      <c r="B33" s="119" t="str">
        <f t="shared" si="2"/>
        <v/>
      </c>
      <c r="C33" s="132" t="str">
        <f t="shared" ca="1" si="6"/>
        <v/>
      </c>
      <c r="D33" s="125"/>
      <c r="E33" s="7"/>
      <c r="F33" s="121"/>
      <c r="G33" s="133"/>
      <c r="H33" s="133"/>
      <c r="I33" s="133"/>
      <c r="J33" s="121"/>
      <c r="K33" s="58">
        <f ca="1">iMeasure_All!$N19</f>
        <v>7</v>
      </c>
      <c r="L33" s="58" cm="1">
        <f t="array" aca="1" ref="L33" ca="1">INDEX(auto_Country_Status,K33)</f>
        <v>1</v>
      </c>
      <c r="M33" s="58">
        <f ca="1">iMeasure_All!$P19</f>
        <v>7</v>
      </c>
      <c r="N33" s="58" t="str" cm="1">
        <f t="array" aca="1" ref="N33" ca="1">IF($L33=0,"",IF($D$13=0,"-",INDEX(auto_DataFlat_DataValue,$M33,1)))</f>
        <v>-</v>
      </c>
      <c r="O33" s="58" cm="1">
        <f t="array" aca="1" ref="O33" ca="1">IF($D$14=1,0,IF($L33=0,"",INDEX(auto_DataFlat_Classification,$M33,1)))</f>
        <v>4</v>
      </c>
      <c r="P33" s="58"/>
      <c r="Q33" s="134" t="str" cm="1">
        <f t="array" aca="1" ref="Q33" ca="1">IF($D$14=1,"",INDEX(uxbGlobals!$B$133:$B$139,All_Measures!O33))</f>
        <v xml:space="preserve"> </v>
      </c>
      <c r="R33" s="135" t="str" cm="1">
        <f t="array" aca="1" ref="R33" ca="1">IF($L33=0,"",INDEX(auto_DataFlat_Rank,$M33,R$16))</f>
        <v>5</v>
      </c>
      <c r="S33" s="122" t="str" cm="1">
        <f t="array" aca="1" ref="S33" ca="1">IF($L33=0,"",INDEX(auto_ddCountry,K33))</f>
        <v>Berlin</v>
      </c>
      <c r="T33" s="136" t="str">
        <f t="shared" ca="1" si="5"/>
        <v>-</v>
      </c>
      <c r="U33" s="137" t="str" cm="1">
        <f t="array" aca="1" ref="U33" ca="1">IF($L33=0,"",IF(INDEX(auto_DataFlat_IsEstimate,$M33,V$16)="","",INDEX(auto_DataFlat_IsEstimate,$M33,V$16)))</f>
        <v/>
      </c>
      <c r="V33" s="138" cm="1">
        <f t="array" aca="1" ref="V33" ca="1">IF($L33=0,"",INDEX(auto_DataFlat_Score,$M33,V$16))</f>
        <v>77.400000000000006</v>
      </c>
      <c r="W33" s="139"/>
      <c r="X33" s="140" cm="1">
        <f t="array" aca="1" ref="X33" ca="1">IF($L33=0,"",INDEX(auto_DataFlat_DataYear,$M33,V$16))</f>
        <v>0</v>
      </c>
      <c r="Y33" s="141" cm="1">
        <f t="array" aca="1" ref="Y33" ca="1">IF($L33=0,"",INDEX(auto_DataFlat_Source,$M33,V$16))</f>
        <v>0</v>
      </c>
      <c r="Z33" s="4"/>
      <c r="AA33" s="4"/>
      <c r="AB33" s="4"/>
    </row>
    <row r="34" spans="1:28" ht="17.149999999999999" customHeight="1" x14ac:dyDescent="0.4">
      <c r="A34" s="118" t="str">
        <f t="shared" ca="1" si="1"/>
        <v/>
      </c>
      <c r="B34" s="119" t="str">
        <f t="shared" si="2"/>
        <v/>
      </c>
      <c r="C34" s="132" t="str">
        <f t="shared" ca="1" si="6"/>
        <v/>
      </c>
      <c r="D34" s="125"/>
      <c r="E34" s="7"/>
      <c r="F34" s="121"/>
      <c r="G34" s="133"/>
      <c r="H34" s="133"/>
      <c r="I34" s="133"/>
      <c r="J34" s="121"/>
      <c r="K34" s="58">
        <f ca="1">iMeasure_All!$N20</f>
        <v>47</v>
      </c>
      <c r="L34" s="58" cm="1">
        <f t="array" aca="1" ref="L34" ca="1">INDEX(auto_Country_Status,K34)</f>
        <v>1</v>
      </c>
      <c r="M34" s="58">
        <f ca="1">iMeasure_All!$P20</f>
        <v>47</v>
      </c>
      <c r="N34" s="58" t="str" cm="1">
        <f t="array" aca="1" ref="N34" ca="1">IF($L34=0,"",IF($D$13=0,"-",INDEX(auto_DataFlat_DataValue,$M34,1)))</f>
        <v>-</v>
      </c>
      <c r="O34" s="58" cm="1">
        <f t="array" aca="1" ref="O34" ca="1">IF($D$14=1,0,IF($L34=0,"",INDEX(auto_DataFlat_Classification,$M34,1)))</f>
        <v>4</v>
      </c>
      <c r="P34" s="58"/>
      <c r="Q34" s="134" t="str" cm="1">
        <f t="array" aca="1" ref="Q34" ca="1">IF($D$14=1,"",INDEX(uxbGlobals!$B$133:$B$139,All_Measures!O34))</f>
        <v xml:space="preserve"> </v>
      </c>
      <c r="R34" s="135" t="str" cm="1">
        <f t="array" aca="1" ref="R34" ca="1">IF($L34=0,"",INDEX(auto_DataFlat_Rank,$M34,R$16))</f>
        <v>6</v>
      </c>
      <c r="S34" s="122" t="str" cm="1">
        <f t="array" aca="1" ref="S34" ca="1">IF($L34=0,"",INDEX(auto_ddCountry,K34))</f>
        <v>Toronto</v>
      </c>
      <c r="T34" s="136" t="str">
        <f t="shared" ca="1" si="5"/>
        <v>-</v>
      </c>
      <c r="U34" s="137" t="str" cm="1">
        <f t="array" aca="1" ref="U34" ca="1">IF($L34=0,"",IF(INDEX(auto_DataFlat_IsEstimate,$M34,V$16)="","",INDEX(auto_DataFlat_IsEstimate,$M34,V$16)))</f>
        <v/>
      </c>
      <c r="V34" s="138" cm="1">
        <f t="array" aca="1" ref="V34" ca="1">IF($L34=0,"",INDEX(auto_DataFlat_Score,$M34,V$16))</f>
        <v>77</v>
      </c>
      <c r="W34" s="139"/>
      <c r="X34" s="140" cm="1">
        <f t="array" aca="1" ref="X34" ca="1">IF($L34=0,"",INDEX(auto_DataFlat_DataYear,$M34,V$16))</f>
        <v>0</v>
      </c>
      <c r="Y34" s="141" cm="1">
        <f t="array" aca="1" ref="Y34" ca="1">IF($L34=0,"",INDEX(auto_DataFlat_Source,$M34,V$16))</f>
        <v>0</v>
      </c>
      <c r="Z34" s="4"/>
      <c r="AA34" s="4"/>
      <c r="AB34" s="4"/>
    </row>
    <row r="35" spans="1:28" ht="17.149999999999999" customHeight="1" x14ac:dyDescent="0.4">
      <c r="A35" s="118" t="str">
        <f t="shared" ca="1" si="1"/>
        <v/>
      </c>
      <c r="B35" s="119" t="str">
        <f t="shared" si="2"/>
        <v/>
      </c>
      <c r="C35" s="132" t="str">
        <f t="shared" ca="1" si="6"/>
        <v/>
      </c>
      <c r="D35" s="125"/>
      <c r="E35" s="7"/>
      <c r="F35" s="121"/>
      <c r="G35" s="133"/>
      <c r="H35" s="133"/>
      <c r="I35" s="133"/>
      <c r="J35" s="121"/>
      <c r="K35" s="58">
        <f ca="1">iMeasure_All!$N21</f>
        <v>44</v>
      </c>
      <c r="L35" s="58" cm="1">
        <f t="array" aca="1" ref="L35" ca="1">INDEX(auto_Country_Status,K35)</f>
        <v>1</v>
      </c>
      <c r="M35" s="58">
        <f ca="1">iMeasure_All!$P21</f>
        <v>44</v>
      </c>
      <c r="N35" s="58" t="str" cm="1">
        <f t="array" aca="1" ref="N35" ca="1">IF($L35=0,"",IF($D$13=0,"-",INDEX(auto_DataFlat_DataValue,$M35,1)))</f>
        <v>-</v>
      </c>
      <c r="O35" s="58" cm="1">
        <f t="array" aca="1" ref="O35" ca="1">IF($D$14=1,0,IF($L35=0,"",INDEX(auto_DataFlat_Classification,$M35,1)))</f>
        <v>4</v>
      </c>
      <c r="P35" s="58"/>
      <c r="Q35" s="134" t="str" cm="1">
        <f t="array" aca="1" ref="Q35" ca="1">IF($D$14=1,"",INDEX(uxbGlobals!$B$133:$B$139,All_Measures!O35))</f>
        <v xml:space="preserve"> </v>
      </c>
      <c r="R35" s="135" t="str" cm="1">
        <f t="array" aca="1" ref="R35" ca="1">IF($L35=0,"",INDEX(auto_DataFlat_Rank,$M35,R$16))</f>
        <v>=7</v>
      </c>
      <c r="S35" s="122" t="str" cm="1">
        <f t="array" aca="1" ref="S35" ca="1">IF($L35=0,"",INDEX(auto_ddCountry,K35))</f>
        <v>Singapore</v>
      </c>
      <c r="T35" s="136" t="str">
        <f t="shared" ca="1" si="5"/>
        <v>-</v>
      </c>
      <c r="U35" s="137" t="str" cm="1">
        <f t="array" aca="1" ref="U35" ca="1">IF($L35=0,"",IF(INDEX(auto_DataFlat_IsEstimate,$M35,V$16)="","",INDEX(auto_DataFlat_IsEstimate,$M35,V$16)))</f>
        <v/>
      </c>
      <c r="V35" s="138" cm="1">
        <f t="array" aca="1" ref="V35" ca="1">IF($L35=0,"",INDEX(auto_DataFlat_Score,$M35,V$16))</f>
        <v>76.099999999999994</v>
      </c>
      <c r="W35" s="139"/>
      <c r="X35" s="140" cm="1">
        <f t="array" aca="1" ref="X35" ca="1">IF($L35=0,"",INDEX(auto_DataFlat_DataYear,$M35,V$16))</f>
        <v>0</v>
      </c>
      <c r="Y35" s="141" cm="1">
        <f t="array" aca="1" ref="Y35" ca="1">IF($L35=0,"",INDEX(auto_DataFlat_Source,$M35,V$16))</f>
        <v>0</v>
      </c>
      <c r="Z35" s="4"/>
      <c r="AA35" s="4"/>
      <c r="AB35" s="4"/>
    </row>
    <row r="36" spans="1:28" ht="17.149999999999999" customHeight="1" x14ac:dyDescent="0.4">
      <c r="A36" s="118" t="str">
        <f t="shared" ca="1" si="1"/>
        <v/>
      </c>
      <c r="B36" s="119" t="str">
        <f t="shared" si="2"/>
        <v/>
      </c>
      <c r="C36" s="132" t="str">
        <f t="shared" ca="1" si="6"/>
        <v/>
      </c>
      <c r="D36" s="125"/>
      <c r="E36" s="7"/>
      <c r="F36" s="121"/>
      <c r="G36" s="133"/>
      <c r="H36" s="133"/>
      <c r="I36" s="133"/>
      <c r="J36" s="121"/>
      <c r="K36" s="58">
        <f ca="1">iMeasure_All!$N22</f>
        <v>46</v>
      </c>
      <c r="L36" s="58" cm="1">
        <f t="array" aca="1" ref="L36" ca="1">INDEX(auto_Country_Status,K36)</f>
        <v>1</v>
      </c>
      <c r="M36" s="58">
        <f ca="1">iMeasure_All!$P22</f>
        <v>46</v>
      </c>
      <c r="N36" s="58" t="str" cm="1">
        <f t="array" aca="1" ref="N36" ca="1">IF($L36=0,"",IF($D$13=0,"-",INDEX(auto_DataFlat_DataValue,$M36,1)))</f>
        <v>-</v>
      </c>
      <c r="O36" s="58" cm="1">
        <f t="array" aca="1" ref="O36" ca="1">IF($D$14=1,0,IF($L36=0,"",INDEX(auto_DataFlat_Classification,$M36,1)))</f>
        <v>4</v>
      </c>
      <c r="P36" s="58"/>
      <c r="Q36" s="134" t="str" cm="1">
        <f t="array" aca="1" ref="Q36" ca="1">IF($D$14=1,"",INDEX(uxbGlobals!$B$133:$B$139,All_Measures!O36))</f>
        <v xml:space="preserve"> </v>
      </c>
      <c r="R36" s="135" t="str" cm="1">
        <f t="array" aca="1" ref="R36" ca="1">IF($L36=0,"",INDEX(auto_DataFlat_Rank,$M36,R$16))</f>
        <v>=7</v>
      </c>
      <c r="S36" s="122" t="str" cm="1">
        <f t="array" aca="1" ref="S36" ca="1">IF($L36=0,"",INDEX(auto_ddCountry,K36))</f>
        <v>Tokyo</v>
      </c>
      <c r="T36" s="136" t="str">
        <f t="shared" ca="1" si="5"/>
        <v>-</v>
      </c>
      <c r="U36" s="137" t="str" cm="1">
        <f t="array" aca="1" ref="U36" ca="1">IF($L36=0,"",IF(INDEX(auto_DataFlat_IsEstimate,$M36,V$16)="","",INDEX(auto_DataFlat_IsEstimate,$M36,V$16)))</f>
        <v/>
      </c>
      <c r="V36" s="138" cm="1">
        <f t="array" aca="1" ref="V36" ca="1">IF($L36=0,"",INDEX(auto_DataFlat_Score,$M36,V$16))</f>
        <v>76.099999999999994</v>
      </c>
      <c r="W36" s="139"/>
      <c r="X36" s="140" cm="1">
        <f t="array" aca="1" ref="X36" ca="1">IF($L36=0,"",INDEX(auto_DataFlat_DataYear,$M36,V$16))</f>
        <v>0</v>
      </c>
      <c r="Y36" s="141" cm="1">
        <f t="array" aca="1" ref="Y36" ca="1">IF($L36=0,"",INDEX(auto_DataFlat_Source,$M36,V$16))</f>
        <v>0</v>
      </c>
      <c r="Z36" s="4"/>
      <c r="AA36" s="4"/>
      <c r="AB36" s="4"/>
    </row>
    <row r="37" spans="1:28" ht="17.149999999999999" customHeight="1" x14ac:dyDescent="0.4">
      <c r="A37" s="118" t="str">
        <f t="shared" ca="1" si="1"/>
        <v/>
      </c>
      <c r="B37" s="119" t="str">
        <f t="shared" si="2"/>
        <v/>
      </c>
      <c r="C37" s="132" t="str">
        <f t="shared" ca="1" si="6"/>
        <v/>
      </c>
      <c r="D37" s="125"/>
      <c r="E37" s="7"/>
      <c r="F37" s="121"/>
      <c r="G37" s="133"/>
      <c r="H37" s="133"/>
      <c r="I37" s="133"/>
      <c r="J37" s="121"/>
      <c r="K37" s="58">
        <f ca="1">iMeasure_All!$N23</f>
        <v>29</v>
      </c>
      <c r="L37" s="58" cm="1">
        <f t="array" aca="1" ref="L37" ca="1">INDEX(auto_Country_Status,K37)</f>
        <v>1</v>
      </c>
      <c r="M37" s="58">
        <f ca="1">iMeasure_All!$P23</f>
        <v>29</v>
      </c>
      <c r="N37" s="58" t="str" cm="1">
        <f t="array" aca="1" ref="N37" ca="1">IF($L37=0,"",IF($D$13=0,"-",INDEX(auto_DataFlat_DataValue,$M37,1)))</f>
        <v>-</v>
      </c>
      <c r="O37" s="58" cm="1">
        <f t="array" aca="1" ref="O37" ca="1">IF($D$14=1,0,IF($L37=0,"",INDEX(auto_DataFlat_Classification,$M37,1)))</f>
        <v>4</v>
      </c>
      <c r="P37" s="58"/>
      <c r="Q37" s="134" t="str" cm="1">
        <f t="array" aca="1" ref="Q37" ca="1">IF($D$14=1,"",INDEX(uxbGlobals!$B$133:$B$139,All_Measures!O37))</f>
        <v xml:space="preserve"> </v>
      </c>
      <c r="R37" s="135" t="str" cm="1">
        <f t="array" aca="1" ref="R37" ca="1">IF($L37=0,"",INDEX(auto_DataFlat_Rank,$M37,R$16))</f>
        <v>9</v>
      </c>
      <c r="S37" s="122" t="str" cm="1">
        <f t="array" aca="1" ref="S37" ca="1">IF($L37=0,"",INDEX(auto_ddCountry,K37))</f>
        <v>Melbourne</v>
      </c>
      <c r="T37" s="136" t="str">
        <f t="shared" ca="1" si="5"/>
        <v>-</v>
      </c>
      <c r="U37" s="137" t="str" cm="1">
        <f t="array" aca="1" ref="U37" ca="1">IF($L37=0,"",IF(INDEX(auto_DataFlat_IsEstimate,$M37,V$16)="","",INDEX(auto_DataFlat_IsEstimate,$M37,V$16)))</f>
        <v/>
      </c>
      <c r="V37" s="138" cm="1">
        <f t="array" aca="1" ref="V37" ca="1">IF($L37=0,"",INDEX(auto_DataFlat_Score,$M37,V$16))</f>
        <v>75.8</v>
      </c>
      <c r="W37" s="139"/>
      <c r="X37" s="140" cm="1">
        <f t="array" aca="1" ref="X37" ca="1">IF($L37=0,"",INDEX(auto_DataFlat_DataYear,$M37,V$16))</f>
        <v>0</v>
      </c>
      <c r="Y37" s="141" cm="1">
        <f t="array" aca="1" ref="Y37" ca="1">IF($L37=0,"",INDEX(auto_DataFlat_Source,$M37,V$16))</f>
        <v>0</v>
      </c>
      <c r="Z37" s="4"/>
      <c r="AA37" s="4"/>
      <c r="AB37" s="4"/>
    </row>
    <row r="38" spans="1:28" ht="17.149999999999999" customHeight="1" x14ac:dyDescent="0.4">
      <c r="A38" s="118" t="str">
        <f t="shared" ca="1" si="1"/>
        <v/>
      </c>
      <c r="B38" s="119" t="str">
        <f t="shared" si="2"/>
        <v/>
      </c>
      <c r="C38" s="132" t="str">
        <f t="shared" ca="1" si="6"/>
        <v/>
      </c>
      <c r="D38" s="125"/>
      <c r="E38" s="7"/>
      <c r="F38" s="121"/>
      <c r="G38" s="133"/>
      <c r="H38" s="133"/>
      <c r="I38" s="133"/>
      <c r="J38" s="121"/>
      <c r="K38" s="58">
        <f ca="1">iMeasure_All!$N24</f>
        <v>42</v>
      </c>
      <c r="L38" s="58" cm="1">
        <f t="array" aca="1" ref="L38" ca="1">INDEX(auto_Country_Status,K38)</f>
        <v>1</v>
      </c>
      <c r="M38" s="58">
        <f ca="1">iMeasure_All!$P24</f>
        <v>42</v>
      </c>
      <c r="N38" s="58" t="str" cm="1">
        <f t="array" aca="1" ref="N38" ca="1">IF($L38=0,"",IF($D$13=0,"-",INDEX(auto_DataFlat_DataValue,$M38,1)))</f>
        <v>-</v>
      </c>
      <c r="O38" s="58" cm="1">
        <f t="array" aca="1" ref="O38" ca="1">IF($D$14=1,0,IF($L38=0,"",INDEX(auto_DataFlat_Classification,$M38,1)))</f>
        <v>4</v>
      </c>
      <c r="P38" s="58"/>
      <c r="Q38" s="134" t="str" cm="1">
        <f t="array" aca="1" ref="Q38" ca="1">IF($D$14=1,"",INDEX(uxbGlobals!$B$133:$B$139,All_Measures!O38))</f>
        <v xml:space="preserve"> </v>
      </c>
      <c r="R38" s="135" t="str" cm="1">
        <f t="array" aca="1" ref="R38" ca="1">IF($L38=0,"",INDEX(auto_DataFlat_Rank,$M38,R$16))</f>
        <v>10</v>
      </c>
      <c r="S38" s="122" t="str" cm="1">
        <f t="array" aca="1" ref="S38" ca="1">IF($L38=0,"",INDEX(auto_ddCountry,K38))</f>
        <v>Seoul</v>
      </c>
      <c r="T38" s="136" t="str">
        <f t="shared" ca="1" si="5"/>
        <v>-</v>
      </c>
      <c r="U38" s="137" t="str" cm="1">
        <f t="array" aca="1" ref="U38" ca="1">IF($L38=0,"",IF(INDEX(auto_DataFlat_IsEstimate,$M38,V$16)="","",INDEX(auto_DataFlat_IsEstimate,$M38,V$16)))</f>
        <v/>
      </c>
      <c r="V38" s="138" cm="1">
        <f t="array" aca="1" ref="V38" ca="1">IF($L38=0,"",INDEX(auto_DataFlat_Score,$M38,V$16))</f>
        <v>75.599999999999994</v>
      </c>
      <c r="W38" s="139"/>
      <c r="X38" s="140" cm="1">
        <f t="array" aca="1" ref="X38" ca="1">IF($L38=0,"",INDEX(auto_DataFlat_DataYear,$M38,V$16))</f>
        <v>0</v>
      </c>
      <c r="Y38" s="141" cm="1">
        <f t="array" aca="1" ref="Y38" ca="1">IF($L38=0,"",INDEX(auto_DataFlat_Source,$M38,V$16))</f>
        <v>0</v>
      </c>
      <c r="Z38" s="4"/>
      <c r="AA38" s="4"/>
      <c r="AB38" s="4"/>
    </row>
    <row r="39" spans="1:28" ht="17.149999999999999" customHeight="1" x14ac:dyDescent="0.4">
      <c r="A39" s="118" t="str">
        <f t="shared" ca="1" si="1"/>
        <v/>
      </c>
      <c r="B39" s="119" t="str">
        <f t="shared" si="2"/>
        <v/>
      </c>
      <c r="C39" s="132" t="str">
        <f t="shared" ca="1" si="6"/>
        <v/>
      </c>
      <c r="D39" s="125"/>
      <c r="E39" s="7"/>
      <c r="F39" s="121"/>
      <c r="G39" s="133"/>
      <c r="H39" s="133"/>
      <c r="I39" s="133"/>
      <c r="J39" s="121"/>
      <c r="K39" s="58">
        <f ca="1">iMeasure_All!$N25</f>
        <v>15</v>
      </c>
      <c r="L39" s="58" cm="1">
        <f t="array" aca="1" ref="L39" ca="1">INDEX(auto_Country_Status,K39)</f>
        <v>1</v>
      </c>
      <c r="M39" s="58">
        <f ca="1">iMeasure_All!$P25</f>
        <v>15</v>
      </c>
      <c r="N39" s="58" t="str" cm="1">
        <f t="array" aca="1" ref="N39" ca="1">IF($L39=0,"",IF($D$13=0,"-",INDEX(auto_DataFlat_DataValue,$M39,1)))</f>
        <v>-</v>
      </c>
      <c r="O39" s="58" cm="1">
        <f t="array" aca="1" ref="O39" ca="1">IF($D$14=1,0,IF($L39=0,"",INDEX(auto_DataFlat_Classification,$M39,1)))</f>
        <v>4</v>
      </c>
      <c r="P39" s="58"/>
      <c r="Q39" s="134" t="str" cm="1">
        <f t="array" aca="1" ref="Q39" ca="1">IF($D$14=1,"",INDEX(uxbGlobals!$B$133:$B$139,All_Measures!O39))</f>
        <v xml:space="preserve"> </v>
      </c>
      <c r="R39" s="135" t="str" cm="1">
        <f t="array" aca="1" ref="R39" ca="1">IF($L39=0,"",INDEX(auto_DataFlat_Rank,$M39,R$16))</f>
        <v>11</v>
      </c>
      <c r="S39" s="122" t="str" cm="1">
        <f t="array" aca="1" ref="S39" ca="1">IF($L39=0,"",INDEX(auto_ddCountry,K39))</f>
        <v>Helsinki</v>
      </c>
      <c r="T39" s="136" t="str">
        <f t="shared" ca="1" si="5"/>
        <v>-</v>
      </c>
      <c r="U39" s="137" t="str" cm="1">
        <f t="array" aca="1" ref="U39" ca="1">IF($L39=0,"",IF(INDEX(auto_DataFlat_IsEstimate,$M39,V$16)="","",INDEX(auto_DataFlat_IsEstimate,$M39,V$16)))</f>
        <v/>
      </c>
      <c r="V39" s="138" cm="1">
        <f t="array" aca="1" ref="V39" ca="1">IF($L39=0,"",INDEX(auto_DataFlat_Score,$M39,V$16))</f>
        <v>75.5</v>
      </c>
      <c r="W39" s="139"/>
      <c r="X39" s="140" cm="1">
        <f t="array" aca="1" ref="X39" ca="1">IF($L39=0,"",INDEX(auto_DataFlat_DataYear,$M39,V$16))</f>
        <v>0</v>
      </c>
      <c r="Y39" s="141" cm="1">
        <f t="array" aca="1" ref="Y39" ca="1">IF($L39=0,"",INDEX(auto_DataFlat_Source,$M39,V$16))</f>
        <v>0</v>
      </c>
      <c r="Z39" s="4"/>
      <c r="AA39" s="4"/>
      <c r="AB39" s="4"/>
    </row>
    <row r="40" spans="1:28" ht="17.149999999999999" customHeight="1" x14ac:dyDescent="0.4">
      <c r="A40" s="118" t="str">
        <f t="shared" ca="1" si="1"/>
        <v/>
      </c>
      <c r="B40" s="119" t="str">
        <f t="shared" si="2"/>
        <v/>
      </c>
      <c r="C40" s="132" t="str">
        <f t="shared" ca="1" si="6"/>
        <v/>
      </c>
      <c r="D40" s="125"/>
      <c r="E40" s="7"/>
      <c r="F40" s="121"/>
      <c r="G40" s="133"/>
      <c r="H40" s="133"/>
      <c r="I40" s="133"/>
      <c r="J40" s="121"/>
      <c r="K40" s="58">
        <f ca="1">iMeasure_All!$N26</f>
        <v>48</v>
      </c>
      <c r="L40" s="58" cm="1">
        <f t="array" aca="1" ref="L40" ca="1">INDEX(auto_Country_Status,K40)</f>
        <v>1</v>
      </c>
      <c r="M40" s="58">
        <f ca="1">iMeasure_All!$P26</f>
        <v>48</v>
      </c>
      <c r="N40" s="58" t="str" cm="1">
        <f t="array" aca="1" ref="N40" ca="1">IF($L40=0,"",IF($D$13=0,"-",INDEX(auto_DataFlat_DataValue,$M40,1)))</f>
        <v>-</v>
      </c>
      <c r="O40" s="58" cm="1">
        <f t="array" aca="1" ref="O40" ca="1">IF($D$14=1,0,IF($L40=0,"",INDEX(auto_DataFlat_Classification,$M40,1)))</f>
        <v>4</v>
      </c>
      <c r="P40" s="58"/>
      <c r="Q40" s="134" t="str" cm="1">
        <f t="array" aca="1" ref="Q40" ca="1">IF($D$14=1,"",INDEX(uxbGlobals!$B$133:$B$139,All_Measures!O40))</f>
        <v xml:space="preserve"> </v>
      </c>
      <c r="R40" s="135" t="str" cm="1">
        <f t="array" aca="1" ref="R40" ca="1">IF($L40=0,"",INDEX(auto_DataFlat_Rank,$M40,R$16))</f>
        <v>12</v>
      </c>
      <c r="S40" s="122" t="str" cm="1">
        <f t="array" aca="1" ref="S40" ca="1">IF($L40=0,"",INDEX(auto_ddCountry,K40))</f>
        <v>Vienna</v>
      </c>
      <c r="T40" s="136" t="str">
        <f t="shared" ca="1" si="5"/>
        <v>-</v>
      </c>
      <c r="U40" s="137" t="str" cm="1">
        <f t="array" aca="1" ref="U40" ca="1">IF($L40=0,"",IF(INDEX(auto_DataFlat_IsEstimate,$M40,V$16)="","",INDEX(auto_DataFlat_IsEstimate,$M40,V$16)))</f>
        <v/>
      </c>
      <c r="V40" s="138" cm="1">
        <f t="array" aca="1" ref="V40" ca="1">IF($L40=0,"",INDEX(auto_DataFlat_Score,$M40,V$16))</f>
        <v>75.099999999999994</v>
      </c>
      <c r="W40" s="139"/>
      <c r="X40" s="140" cm="1">
        <f t="array" aca="1" ref="X40" ca="1">IF($L40=0,"",INDEX(auto_DataFlat_DataYear,$M40,V$16))</f>
        <v>0</v>
      </c>
      <c r="Y40" s="141" cm="1">
        <f t="array" aca="1" ref="Y40" ca="1">IF($L40=0,"",INDEX(auto_DataFlat_Source,$M40,V$16))</f>
        <v>0</v>
      </c>
      <c r="Z40" s="4"/>
      <c r="AA40" s="4"/>
      <c r="AB40" s="4"/>
    </row>
    <row r="41" spans="1:28" ht="17.149999999999999" customHeight="1" x14ac:dyDescent="0.4">
      <c r="A41" s="118" t="str">
        <f t="shared" ca="1" si="1"/>
        <v/>
      </c>
      <c r="B41" s="119" t="str">
        <f t="shared" si="2"/>
        <v/>
      </c>
      <c r="C41" s="132" t="str">
        <f t="shared" ca="1" si="6"/>
        <v/>
      </c>
      <c r="D41" s="125"/>
      <c r="E41" s="7"/>
      <c r="F41" s="121"/>
      <c r="G41" s="133"/>
      <c r="H41" s="133"/>
      <c r="I41" s="133"/>
      <c r="J41" s="121"/>
      <c r="K41" s="58">
        <f ca="1">iMeasure_All!$N27</f>
        <v>35</v>
      </c>
      <c r="L41" s="58" cm="1">
        <f t="array" aca="1" ref="L41" ca="1">INDEX(auto_Country_Status,K41)</f>
        <v>1</v>
      </c>
      <c r="M41" s="58">
        <f ca="1">iMeasure_All!$P27</f>
        <v>35</v>
      </c>
      <c r="N41" s="58" t="str" cm="1">
        <f t="array" aca="1" ref="N41" ca="1">IF($L41=0,"",IF($D$13=0,"-",INDEX(auto_DataFlat_DataValue,$M41,1)))</f>
        <v>-</v>
      </c>
      <c r="O41" s="58" cm="1">
        <f t="array" aca="1" ref="O41" ca="1">IF($D$14=1,0,IF($L41=0,"",INDEX(auto_DataFlat_Classification,$M41,1)))</f>
        <v>4</v>
      </c>
      <c r="P41" s="58"/>
      <c r="Q41" s="134" t="str" cm="1">
        <f t="array" aca="1" ref="Q41" ca="1">IF($D$14=1,"",INDEX(uxbGlobals!$B$133:$B$139,All_Measures!O41))</f>
        <v xml:space="preserve"> </v>
      </c>
      <c r="R41" s="135" t="str" cm="1">
        <f t="array" aca="1" ref="R41" ca="1">IF($L41=0,"",INDEX(auto_DataFlat_Rank,$M41,R$16))</f>
        <v>13</v>
      </c>
      <c r="S41" s="122" t="str" cm="1">
        <f t="array" aca="1" ref="S41" ca="1">IF($L41=0,"",INDEX(auto_ddCountry,K41))</f>
        <v>Osaka</v>
      </c>
      <c r="T41" s="136" t="str">
        <f t="shared" ca="1" si="5"/>
        <v>-</v>
      </c>
      <c r="U41" s="137" t="str" cm="1">
        <f t="array" aca="1" ref="U41" ca="1">IF($L41=0,"",IF(INDEX(auto_DataFlat_IsEstimate,$M41,V$16)="","",INDEX(auto_DataFlat_IsEstimate,$M41,V$16)))</f>
        <v/>
      </c>
      <c r="V41" s="138" cm="1">
        <f t="array" aca="1" ref="V41" ca="1">IF($L41=0,"",INDEX(auto_DataFlat_Score,$M41,V$16))</f>
        <v>74.2</v>
      </c>
      <c r="W41" s="139"/>
      <c r="X41" s="140" cm="1">
        <f t="array" aca="1" ref="X41" ca="1">IF($L41=0,"",INDEX(auto_DataFlat_DataYear,$M41,V$16))</f>
        <v>0</v>
      </c>
      <c r="Y41" s="141" cm="1">
        <f t="array" aca="1" ref="Y41" ca="1">IF($L41=0,"",INDEX(auto_DataFlat_Source,$M41,V$16))</f>
        <v>0</v>
      </c>
      <c r="Z41" s="4"/>
      <c r="AA41" s="4"/>
      <c r="AB41" s="4"/>
    </row>
    <row r="42" spans="1:28" ht="17.149999999999999" customHeight="1" x14ac:dyDescent="0.4">
      <c r="A42" s="118" t="str">
        <f t="shared" ca="1" si="1"/>
        <v/>
      </c>
      <c r="B42" s="119" t="str">
        <f t="shared" si="2"/>
        <v/>
      </c>
      <c r="C42" s="132" t="str">
        <f t="shared" ca="1" si="6"/>
        <v/>
      </c>
      <c r="D42" s="125"/>
      <c r="E42" s="7"/>
      <c r="F42" s="121"/>
      <c r="G42" s="133"/>
      <c r="H42" s="133"/>
      <c r="I42" s="133"/>
      <c r="J42" s="121"/>
      <c r="K42" s="58">
        <f ca="1">iMeasure_All!$N28</f>
        <v>40</v>
      </c>
      <c r="L42" s="58" cm="1">
        <f t="array" aca="1" ref="L42" ca="1">INDEX(auto_Country_Status,K42)</f>
        <v>1</v>
      </c>
      <c r="M42" s="58">
        <f ca="1">iMeasure_All!$P28</f>
        <v>40</v>
      </c>
      <c r="N42" s="58" t="str" cm="1">
        <f t="array" aca="1" ref="N42" ca="1">IF($L42=0,"",IF($D$13=0,"-",INDEX(auto_DataFlat_DataValue,$M42,1)))</f>
        <v>-</v>
      </c>
      <c r="O42" s="58" cm="1">
        <f t="array" aca="1" ref="O42" ca="1">IF($D$14=1,0,IF($L42=0,"",INDEX(auto_DataFlat_Classification,$M42,1)))</f>
        <v>4</v>
      </c>
      <c r="P42" s="58"/>
      <c r="Q42" s="134" t="str" cm="1">
        <f t="array" aca="1" ref="Q42" ca="1">IF($D$14=1,"",INDEX(uxbGlobals!$B$133:$B$139,All_Measures!O42))</f>
        <v xml:space="preserve"> </v>
      </c>
      <c r="R42" s="135" t="str" cm="1">
        <f t="array" aca="1" ref="R42" ca="1">IF($L42=0,"",INDEX(auto_DataFlat_Rank,$M42,R$16))</f>
        <v>14</v>
      </c>
      <c r="S42" s="122" t="str" cm="1">
        <f t="array" aca="1" ref="S42" ca="1">IF($L42=0,"",INDEX(auto_ddCountry,K42))</f>
        <v>San Francisco</v>
      </c>
      <c r="T42" s="136" t="str">
        <f t="shared" ca="1" si="5"/>
        <v>-</v>
      </c>
      <c r="U42" s="137" t="str" cm="1">
        <f t="array" aca="1" ref="U42" ca="1">IF($L42=0,"",IF(INDEX(auto_DataFlat_IsEstimate,$M42,V$16)="","",INDEX(auto_DataFlat_IsEstimate,$M42,V$16)))</f>
        <v/>
      </c>
      <c r="V42" s="138" cm="1">
        <f t="array" aca="1" ref="V42" ca="1">IF($L42=0,"",INDEX(auto_DataFlat_Score,$M42,V$16))</f>
        <v>72</v>
      </c>
      <c r="W42" s="139"/>
      <c r="X42" s="140" cm="1">
        <f t="array" aca="1" ref="X42" ca="1">IF($L42=0,"",INDEX(auto_DataFlat_DataYear,$M42,V$16))</f>
        <v>0</v>
      </c>
      <c r="Y42" s="141" cm="1">
        <f t="array" aca="1" ref="Y42" ca="1">IF($L42=0,"",INDEX(auto_DataFlat_Source,$M42,V$16))</f>
        <v>0</v>
      </c>
      <c r="Z42" s="4"/>
      <c r="AA42" s="4"/>
      <c r="AB42" s="4"/>
    </row>
    <row r="43" spans="1:28" ht="17.149999999999999" customHeight="1" x14ac:dyDescent="0.4">
      <c r="A43" s="118" t="str">
        <f t="shared" ca="1" si="1"/>
        <v/>
      </c>
      <c r="B43" s="119" t="str">
        <f t="shared" si="2"/>
        <v/>
      </c>
      <c r="C43" s="132" t="str">
        <f t="shared" ca="1" si="6"/>
        <v/>
      </c>
      <c r="D43" s="125"/>
      <c r="E43" s="7"/>
      <c r="F43" s="121"/>
      <c r="G43" s="133"/>
      <c r="H43" s="133"/>
      <c r="I43" s="133"/>
      <c r="J43" s="121"/>
      <c r="K43" s="58">
        <f ca="1">iMeasure_All!$N29</f>
        <v>19</v>
      </c>
      <c r="L43" s="58" cm="1">
        <f t="array" aca="1" ref="L43" ca="1">INDEX(auto_Country_Status,K43)</f>
        <v>1</v>
      </c>
      <c r="M43" s="58">
        <f ca="1">iMeasure_All!$P29</f>
        <v>19</v>
      </c>
      <c r="N43" s="58" t="str" cm="1">
        <f t="array" aca="1" ref="N43" ca="1">IF($L43=0,"",IF($D$13=0,"-",INDEX(auto_DataFlat_DataValue,$M43,1)))</f>
        <v>-</v>
      </c>
      <c r="O43" s="58" cm="1">
        <f t="array" aca="1" ref="O43" ca="1">IF($D$14=1,0,IF($L43=0,"",INDEX(auto_DataFlat_Classification,$M43,1)))</f>
        <v>4</v>
      </c>
      <c r="P43" s="58"/>
      <c r="Q43" s="134" t="str" cm="1">
        <f t="array" aca="1" ref="Q43" ca="1">IF($D$14=1,"",INDEX(uxbGlobals!$B$133:$B$139,All_Measures!O43))</f>
        <v xml:space="preserve"> </v>
      </c>
      <c r="R43" s="135" t="str" cm="1">
        <f t="array" aca="1" ref="R43" ca="1">IF($L43=0,"",INDEX(auto_DataFlat_Rank,$M43,R$16))</f>
        <v>15</v>
      </c>
      <c r="S43" s="122" t="str" cm="1">
        <f t="array" aca="1" ref="S43" ca="1">IF($L43=0,"",INDEX(auto_ddCountry,K43))</f>
        <v>Jakarta</v>
      </c>
      <c r="T43" s="136" t="str">
        <f t="shared" ca="1" si="5"/>
        <v>-</v>
      </c>
      <c r="U43" s="137" t="str" cm="1">
        <f t="array" aca="1" ref="U43" ca="1">IF($L43=0,"",IF(INDEX(auto_DataFlat_IsEstimate,$M43,V$16)="","",INDEX(auto_DataFlat_IsEstimate,$M43,V$16)))</f>
        <v/>
      </c>
      <c r="V43" s="138" cm="1">
        <f t="array" aca="1" ref="V43" ca="1">IF($L43=0,"",INDEX(auto_DataFlat_Score,$M43,V$16))</f>
        <v>71.7</v>
      </c>
      <c r="W43" s="139"/>
      <c r="X43" s="140" cm="1">
        <f t="array" aca="1" ref="X43" ca="1">IF($L43=0,"",INDEX(auto_DataFlat_DataYear,$M43,V$16))</f>
        <v>0</v>
      </c>
      <c r="Y43" s="141" cm="1">
        <f t="array" aca="1" ref="Y43" ca="1">IF($L43=0,"",INDEX(auto_DataFlat_Source,$M43,V$16))</f>
        <v>0</v>
      </c>
      <c r="Z43" s="4"/>
      <c r="AA43" s="4"/>
      <c r="AB43" s="4"/>
    </row>
    <row r="44" spans="1:28" ht="17.149999999999999" customHeight="1" x14ac:dyDescent="0.4">
      <c r="A44" s="118" t="str">
        <f t="shared" ca="1" si="1"/>
        <v/>
      </c>
      <c r="B44" s="119" t="str">
        <f t="shared" si="2"/>
        <v/>
      </c>
      <c r="C44" s="132" t="str">
        <f t="shared" ca="1" si="6"/>
        <v/>
      </c>
      <c r="D44" s="125"/>
      <c r="E44" s="7"/>
      <c r="F44" s="121"/>
      <c r="G44" s="133"/>
      <c r="H44" s="133"/>
      <c r="I44" s="133"/>
      <c r="J44" s="121"/>
      <c r="K44" s="58">
        <f ca="1">iMeasure_All!$N30</f>
        <v>4</v>
      </c>
      <c r="L44" s="58" cm="1">
        <f t="array" aca="1" ref="L44" ca="1">INDEX(auto_Country_Status,K44)</f>
        <v>1</v>
      </c>
      <c r="M44" s="58">
        <f ca="1">iMeasure_All!$P30</f>
        <v>4</v>
      </c>
      <c r="N44" s="58" t="str" cm="1">
        <f t="array" aca="1" ref="N44" ca="1">IF($L44=0,"",IF($D$13=0,"-",INDEX(auto_DataFlat_DataValue,$M44,1)))</f>
        <v>-</v>
      </c>
      <c r="O44" s="58" cm="1">
        <f t="array" aca="1" ref="O44" ca="1">IF($D$14=1,0,IF($L44=0,"",INDEX(auto_DataFlat_Classification,$M44,1)))</f>
        <v>4</v>
      </c>
      <c r="P44" s="58"/>
      <c r="Q44" s="134" t="str" cm="1">
        <f t="array" aca="1" ref="Q44" ca="1">IF($D$14=1,"",INDEX(uxbGlobals!$B$133:$B$139,All_Measures!O44))</f>
        <v xml:space="preserve"> </v>
      </c>
      <c r="R44" s="135" t="str" cm="1">
        <f t="array" aca="1" ref="R44" ca="1">IF($L44=0,"",INDEX(auto_DataFlat_Rank,$M44,R$16))</f>
        <v>16</v>
      </c>
      <c r="S44" s="122" t="str" cm="1">
        <f t="array" aca="1" ref="S44" ca="1">IF($L44=0,"",INDEX(auto_ddCountry,K44))</f>
        <v>Auckland</v>
      </c>
      <c r="T44" s="136" t="str">
        <f t="shared" ca="1" si="5"/>
        <v>-</v>
      </c>
      <c r="U44" s="137" t="str" cm="1">
        <f t="array" aca="1" ref="U44" ca="1">IF($L44=0,"",IF(INDEX(auto_DataFlat_IsEstimate,$M44,V$16)="","",INDEX(auto_DataFlat_IsEstimate,$M44,V$16)))</f>
        <v/>
      </c>
      <c r="V44" s="138" cm="1">
        <f t="array" aca="1" ref="V44" ca="1">IF($L44=0,"",INDEX(auto_DataFlat_Score,$M44,V$16))</f>
        <v>71</v>
      </c>
      <c r="W44" s="139"/>
      <c r="X44" s="140" cm="1">
        <f t="array" aca="1" ref="X44" ca="1">IF($L44=0,"",INDEX(auto_DataFlat_DataYear,$M44,V$16))</f>
        <v>0</v>
      </c>
      <c r="Y44" s="141" cm="1">
        <f t="array" aca="1" ref="Y44" ca="1">IF($L44=0,"",INDEX(auto_DataFlat_Source,$M44,V$16))</f>
        <v>0</v>
      </c>
      <c r="Z44" s="4"/>
      <c r="AA44" s="4"/>
      <c r="AB44" s="4"/>
    </row>
    <row r="45" spans="1:28" ht="17.149999999999999" customHeight="1" x14ac:dyDescent="0.4">
      <c r="A45" s="118" t="str">
        <f t="shared" ca="1" si="1"/>
        <v/>
      </c>
      <c r="B45" s="119" t="str">
        <f t="shared" si="2"/>
        <v/>
      </c>
      <c r="C45" s="132" t="str">
        <f t="shared" ca="1" si="6"/>
        <v/>
      </c>
      <c r="D45" s="125"/>
      <c r="E45" s="7"/>
      <c r="F45" s="121"/>
      <c r="G45" s="133"/>
      <c r="H45" s="133"/>
      <c r="I45" s="133"/>
      <c r="J45" s="121"/>
      <c r="K45" s="58">
        <f ca="1">iMeasure_All!$N31</f>
        <v>45</v>
      </c>
      <c r="L45" s="58" cm="1">
        <f t="array" aca="1" ref="L45" ca="1">INDEX(auto_Country_Status,K45)</f>
        <v>1</v>
      </c>
      <c r="M45" s="58">
        <f ca="1">iMeasure_All!$P31</f>
        <v>45</v>
      </c>
      <c r="N45" s="58" t="str" cm="1">
        <f t="array" aca="1" ref="N45" ca="1">IF($L45=0,"",IF($D$13=0,"-",INDEX(auto_DataFlat_DataValue,$M45,1)))</f>
        <v>-</v>
      </c>
      <c r="O45" s="58" cm="1">
        <f t="array" aca="1" ref="O45" ca="1">IF($D$14=1,0,IF($L45=0,"",INDEX(auto_DataFlat_Classification,$M45,1)))</f>
        <v>4</v>
      </c>
      <c r="P45" s="58"/>
      <c r="Q45" s="134" t="str" cm="1">
        <f t="array" aca="1" ref="Q45" ca="1">IF($D$14=1,"",INDEX(uxbGlobals!$B$133:$B$139,All_Measures!O45))</f>
        <v xml:space="preserve"> </v>
      </c>
      <c r="R45" s="135" t="str" cm="1">
        <f t="array" aca="1" ref="R45" ca="1">IF($L45=0,"",INDEX(auto_DataFlat_Rank,$M45,R$16))</f>
        <v>17</v>
      </c>
      <c r="S45" s="122" t="str" cm="1">
        <f t="array" aca="1" ref="S45" ca="1">IF($L45=0,"",INDEX(auto_ddCountry,K45))</f>
        <v>Sydney</v>
      </c>
      <c r="T45" s="136" t="str">
        <f t="shared" ca="1" si="5"/>
        <v>-</v>
      </c>
      <c r="U45" s="137" t="str" cm="1">
        <f t="array" aca="1" ref="U45" ca="1">IF($L45=0,"",IF(INDEX(auto_DataFlat_IsEstimate,$M45,V$16)="","",INDEX(auto_DataFlat_IsEstimate,$M45,V$16)))</f>
        <v/>
      </c>
      <c r="V45" s="138" cm="1">
        <f t="array" aca="1" ref="V45" ca="1">IF($L45=0,"",INDEX(auto_DataFlat_Score,$M45,V$16))</f>
        <v>70.5</v>
      </c>
      <c r="W45" s="139"/>
      <c r="X45" s="140" cm="1">
        <f t="array" aca="1" ref="X45" ca="1">IF($L45=0,"",INDEX(auto_DataFlat_DataYear,$M45,V$16))</f>
        <v>0</v>
      </c>
      <c r="Y45" s="141" cm="1">
        <f t="array" aca="1" ref="Y45" ca="1">IF($L45=0,"",INDEX(auto_DataFlat_Source,$M45,V$16))</f>
        <v>0</v>
      </c>
      <c r="Z45" s="4"/>
      <c r="AA45" s="4"/>
      <c r="AB45" s="4"/>
    </row>
    <row r="46" spans="1:28" ht="17.149999999999999" customHeight="1" x14ac:dyDescent="0.4">
      <c r="A46" s="118" t="str">
        <f t="shared" ca="1" si="1"/>
        <v/>
      </c>
      <c r="B46" s="119" t="str">
        <f t="shared" si="2"/>
        <v/>
      </c>
      <c r="C46" s="132" t="str">
        <f t="shared" ca="1" si="6"/>
        <v/>
      </c>
      <c r="D46" s="125"/>
      <c r="E46" s="7"/>
      <c r="F46" s="121"/>
      <c r="G46" s="133"/>
      <c r="H46" s="133"/>
      <c r="I46" s="133"/>
      <c r="J46" s="121"/>
      <c r="K46" s="58">
        <f ca="1">iMeasure_All!$N32</f>
        <v>8</v>
      </c>
      <c r="L46" s="58" cm="1">
        <f t="array" aca="1" ref="L46" ca="1">INDEX(auto_Country_Status,K46)</f>
        <v>1</v>
      </c>
      <c r="M46" s="58">
        <f ca="1">iMeasure_All!$P32</f>
        <v>8</v>
      </c>
      <c r="N46" s="58" t="str" cm="1">
        <f t="array" aca="1" ref="N46" ca="1">IF($L46=0,"",IF($D$13=0,"-",INDEX(auto_DataFlat_DataValue,$M46,1)))</f>
        <v>-</v>
      </c>
      <c r="O46" s="58" cm="1">
        <f t="array" aca="1" ref="O46" ca="1">IF($D$14=1,0,IF($L46=0,"",INDEX(auto_DataFlat_Classification,$M46,1)))</f>
        <v>4</v>
      </c>
      <c r="P46" s="58"/>
      <c r="Q46" s="134" t="str" cm="1">
        <f t="array" aca="1" ref="Q46" ca="1">IF($D$14=1,"",INDEX(uxbGlobals!$B$133:$B$139,All_Measures!O46))</f>
        <v xml:space="preserve"> </v>
      </c>
      <c r="R46" s="135" t="str" cm="1">
        <f t="array" aca="1" ref="R46" ca="1">IF($L46=0,"",INDEX(auto_DataFlat_Rank,$M46,R$16))</f>
        <v>18</v>
      </c>
      <c r="S46" s="122" t="str" cm="1">
        <f t="array" aca="1" ref="S46" ca="1">IF($L46=0,"",INDEX(auto_ddCountry,K46))</f>
        <v>Bogotá</v>
      </c>
      <c r="T46" s="136" t="str">
        <f t="shared" ca="1" si="5"/>
        <v>-</v>
      </c>
      <c r="U46" s="137" t="str" cm="1">
        <f t="array" aca="1" ref="U46" ca="1">IF($L46=0,"",IF(INDEX(auto_DataFlat_IsEstimate,$M46,V$16)="","",INDEX(auto_DataFlat_IsEstimate,$M46,V$16)))</f>
        <v/>
      </c>
      <c r="V46" s="138" cm="1">
        <f t="array" aca="1" ref="V46" ca="1">IF($L46=0,"",INDEX(auto_DataFlat_Score,$M46,V$16))</f>
        <v>69.7</v>
      </c>
      <c r="W46" s="139"/>
      <c r="X46" s="140" cm="1">
        <f t="array" aca="1" ref="X46" ca="1">IF($L46=0,"",INDEX(auto_DataFlat_DataYear,$M46,V$16))</f>
        <v>0</v>
      </c>
      <c r="Y46" s="141" cm="1">
        <f t="array" aca="1" ref="Y46" ca="1">IF($L46=0,"",INDEX(auto_DataFlat_Source,$M46,V$16))</f>
        <v>0</v>
      </c>
      <c r="Z46" s="4"/>
      <c r="AA46" s="4"/>
      <c r="AB46" s="4"/>
    </row>
    <row r="47" spans="1:28" ht="17.149999999999999" customHeight="1" x14ac:dyDescent="0.4">
      <c r="A47" s="118" t="str">
        <f t="shared" ca="1" si="1"/>
        <v/>
      </c>
      <c r="B47" s="119" t="str">
        <f t="shared" si="2"/>
        <v/>
      </c>
      <c r="C47" s="132" t="str">
        <f t="shared" ca="1" si="6"/>
        <v/>
      </c>
      <c r="D47" s="125"/>
      <c r="E47" s="7"/>
      <c r="F47" s="121"/>
      <c r="G47" s="133"/>
      <c r="H47" s="133"/>
      <c r="I47" s="133"/>
      <c r="J47" s="121"/>
      <c r="K47" s="58">
        <f ca="1">iMeasure_All!$N33</f>
        <v>9</v>
      </c>
      <c r="L47" s="58" cm="1">
        <f t="array" aca="1" ref="L47" ca="1">INDEX(auto_Country_Status,K47)</f>
        <v>1</v>
      </c>
      <c r="M47" s="58">
        <f ca="1">iMeasure_All!$P33</f>
        <v>9</v>
      </c>
      <c r="N47" s="58" t="str" cm="1">
        <f t="array" aca="1" ref="N47" ca="1">IF($L47=0,"",IF($D$13=0,"-",INDEX(auto_DataFlat_DataValue,$M47,1)))</f>
        <v>-</v>
      </c>
      <c r="O47" s="58" cm="1">
        <f t="array" aca="1" ref="O47" ca="1">IF($D$14=1,0,IF($L47=0,"",INDEX(auto_DataFlat_Classification,$M47,1)))</f>
        <v>4</v>
      </c>
      <c r="P47" s="58"/>
      <c r="Q47" s="134" t="str" cm="1">
        <f t="array" aca="1" ref="Q47" ca="1">IF($D$14=1,"",INDEX(uxbGlobals!$B$133:$B$139,All_Measures!O47))</f>
        <v xml:space="preserve"> </v>
      </c>
      <c r="R47" s="135" t="str" cm="1">
        <f t="array" aca="1" ref="R47" ca="1">IF($L47=0,"",INDEX(auto_DataFlat_Rank,$M47,R$16))</f>
        <v>19</v>
      </c>
      <c r="S47" s="122" t="str" cm="1">
        <f t="array" aca="1" ref="S47" ca="1">IF($L47=0,"",INDEX(auto_ddCountry,K47))</f>
        <v>Budapest</v>
      </c>
      <c r="T47" s="136" t="str">
        <f t="shared" ca="1" si="5"/>
        <v>-</v>
      </c>
      <c r="U47" s="137" t="str" cm="1">
        <f t="array" aca="1" ref="U47" ca="1">IF($L47=0,"",IF(INDEX(auto_DataFlat_IsEstimate,$M47,V$16)="","",INDEX(auto_DataFlat_IsEstimate,$M47,V$16)))</f>
        <v/>
      </c>
      <c r="V47" s="138" cm="1">
        <f t="array" aca="1" ref="V47" ca="1">IF($L47=0,"",INDEX(auto_DataFlat_Score,$M47,V$16))</f>
        <v>69.5</v>
      </c>
      <c r="W47" s="139"/>
      <c r="X47" s="140" cm="1">
        <f t="array" aca="1" ref="X47" ca="1">IF($L47=0,"",INDEX(auto_DataFlat_DataYear,$M47,V$16))</f>
        <v>0</v>
      </c>
      <c r="Y47" s="141" cm="1">
        <f t="array" aca="1" ref="Y47" ca="1">IF($L47=0,"",INDEX(auto_DataFlat_Source,$M47,V$16))</f>
        <v>0</v>
      </c>
      <c r="Z47" s="4"/>
      <c r="AA47" s="4"/>
      <c r="AB47" s="4"/>
    </row>
    <row r="48" spans="1:28" ht="17.149999999999999" customHeight="1" x14ac:dyDescent="0.4">
      <c r="A48" s="118" t="str">
        <f t="shared" ca="1" si="1"/>
        <v/>
      </c>
      <c r="B48" s="119" t="str">
        <f t="shared" si="2"/>
        <v/>
      </c>
      <c r="C48" s="132" t="str">
        <f t="shared" ca="1" si="6"/>
        <v/>
      </c>
      <c r="D48" s="125"/>
      <c r="E48" s="7"/>
      <c r="F48" s="121"/>
      <c r="G48" s="133"/>
      <c r="H48" s="133"/>
      <c r="I48" s="133"/>
      <c r="J48" s="121"/>
      <c r="K48" s="58">
        <f ca="1">iMeasure_All!$N34</f>
        <v>5</v>
      </c>
      <c r="L48" s="58" cm="1">
        <f t="array" aca="1" ref="L48" ca="1">INDEX(auto_Country_Status,K48)</f>
        <v>1</v>
      </c>
      <c r="M48" s="58">
        <f ca="1">iMeasure_All!$P34</f>
        <v>5</v>
      </c>
      <c r="N48" s="58" t="str" cm="1">
        <f t="array" aca="1" ref="N48" ca="1">IF($L48=0,"",IF($D$13=0,"-",INDEX(auto_DataFlat_DataValue,$M48,1)))</f>
        <v>-</v>
      </c>
      <c r="O48" s="58" cm="1">
        <f t="array" aca="1" ref="O48" ca="1">IF($D$14=1,0,IF($L48=0,"",INDEX(auto_DataFlat_Classification,$M48,1)))</f>
        <v>4</v>
      </c>
      <c r="P48" s="58"/>
      <c r="Q48" s="134" t="str" cm="1">
        <f t="array" aca="1" ref="Q48" ca="1">IF($D$14=1,"",INDEX(uxbGlobals!$B$133:$B$139,All_Measures!O48))</f>
        <v xml:space="preserve"> </v>
      </c>
      <c r="R48" s="135" t="str" cm="1">
        <f t="array" aca="1" ref="R48" ca="1">IF($L48=0,"",INDEX(auto_DataFlat_Rank,$M48,R$16))</f>
        <v>20</v>
      </c>
      <c r="S48" s="122" t="str" cm="1">
        <f t="array" aca="1" ref="S48" ca="1">IF($L48=0,"",INDEX(auto_ddCountry,K48))</f>
        <v>Bangkok</v>
      </c>
      <c r="T48" s="136" t="str">
        <f t="shared" ca="1" si="5"/>
        <v>-</v>
      </c>
      <c r="U48" s="137" t="str" cm="1">
        <f t="array" aca="1" ref="U48" ca="1">IF($L48=0,"",IF(INDEX(auto_DataFlat_IsEstimate,$M48,V$16)="","",INDEX(auto_DataFlat_IsEstimate,$M48,V$16)))</f>
        <v/>
      </c>
      <c r="V48" s="138" cm="1">
        <f t="array" aca="1" ref="V48" ca="1">IF($L48=0,"",INDEX(auto_DataFlat_Score,$M48,V$16))</f>
        <v>68.8</v>
      </c>
      <c r="W48" s="139"/>
      <c r="X48" s="140" cm="1">
        <f t="array" aca="1" ref="X48" ca="1">IF($L48=0,"",INDEX(auto_DataFlat_DataYear,$M48,V$16))</f>
        <v>0</v>
      </c>
      <c r="Y48" s="141" cm="1">
        <f t="array" aca="1" ref="Y48" ca="1">IF($L48=0,"",INDEX(auto_DataFlat_Source,$M48,V$16))</f>
        <v>0</v>
      </c>
      <c r="Z48" s="4"/>
      <c r="AA48" s="4"/>
      <c r="AB48" s="4"/>
    </row>
    <row r="49" spans="1:28" ht="17.149999999999999" customHeight="1" x14ac:dyDescent="0.4">
      <c r="A49" s="118" t="str">
        <f t="shared" ca="1" si="1"/>
        <v/>
      </c>
      <c r="B49" s="119" t="str">
        <f t="shared" si="2"/>
        <v/>
      </c>
      <c r="C49" s="132" t="str">
        <f t="shared" ca="1" si="6"/>
        <v/>
      </c>
      <c r="D49" s="125"/>
      <c r="E49" s="7"/>
      <c r="F49" s="121"/>
      <c r="G49" s="133"/>
      <c r="H49" s="133"/>
      <c r="I49" s="133"/>
      <c r="J49" s="121"/>
      <c r="K49" s="58">
        <f ca="1">iMeasure_All!$N35</f>
        <v>41</v>
      </c>
      <c r="L49" s="58" cm="1">
        <f t="array" aca="1" ref="L49" ca="1">INDEX(auto_Country_Status,K49)</f>
        <v>1</v>
      </c>
      <c r="M49" s="58">
        <f ca="1">iMeasure_All!$P35</f>
        <v>41</v>
      </c>
      <c r="N49" s="58" t="str" cm="1">
        <f t="array" aca="1" ref="N49" ca="1">IF($L49=0,"",IF($D$13=0,"-",INDEX(auto_DataFlat_DataValue,$M49,1)))</f>
        <v>-</v>
      </c>
      <c r="O49" s="58" cm="1">
        <f t="array" aca="1" ref="O49" ca="1">IF($D$14=1,0,IF($L49=0,"",INDEX(auto_DataFlat_Classification,$M49,1)))</f>
        <v>4</v>
      </c>
      <c r="P49" s="58"/>
      <c r="Q49" s="134" t="str" cm="1">
        <f t="array" aca="1" ref="Q49" ca="1">IF($D$14=1,"",INDEX(uxbGlobals!$B$133:$B$139,All_Measures!O49))</f>
        <v xml:space="preserve"> </v>
      </c>
      <c r="R49" s="135" t="str" cm="1">
        <f t="array" aca="1" ref="R49" ca="1">IF($L49=0,"",INDEX(auto_DataFlat_Rank,$M49,R$16))</f>
        <v>21</v>
      </c>
      <c r="S49" s="122" t="str" cm="1">
        <f t="array" aca="1" ref="S49" ca="1">IF($L49=0,"",INDEX(auto_ddCountry,K49))</f>
        <v>São Paulo</v>
      </c>
      <c r="T49" s="136" t="str">
        <f t="shared" ca="1" si="5"/>
        <v>-</v>
      </c>
      <c r="U49" s="137" t="str" cm="1">
        <f t="array" aca="1" ref="U49" ca="1">IF($L49=0,"",IF(INDEX(auto_DataFlat_IsEstimate,$M49,V$16)="","",INDEX(auto_DataFlat_IsEstimate,$M49,V$16)))</f>
        <v/>
      </c>
      <c r="V49" s="138" cm="1">
        <f t="array" aca="1" ref="V49" ca="1">IF($L49=0,"",INDEX(auto_DataFlat_Score,$M49,V$16))</f>
        <v>67.099999999999994</v>
      </c>
      <c r="W49" s="139"/>
      <c r="X49" s="140" cm="1">
        <f t="array" aca="1" ref="X49" ca="1">IF($L49=0,"",INDEX(auto_DataFlat_DataYear,$M49,V$16))</f>
        <v>0</v>
      </c>
      <c r="Y49" s="141" cm="1">
        <f t="array" aca="1" ref="Y49" ca="1">IF($L49=0,"",INDEX(auto_DataFlat_Source,$M49,V$16))</f>
        <v>0</v>
      </c>
      <c r="Z49" s="4"/>
      <c r="AA49" s="4"/>
      <c r="AB49" s="4"/>
    </row>
    <row r="50" spans="1:28" ht="17.149999999999999" customHeight="1" x14ac:dyDescent="0.4">
      <c r="A50" s="118" t="str">
        <f t="shared" ca="1" si="1"/>
        <v/>
      </c>
      <c r="B50" s="119" t="str">
        <f t="shared" si="2"/>
        <v/>
      </c>
      <c r="C50" s="132" t="str">
        <f t="shared" ca="1" si="6"/>
        <v/>
      </c>
      <c r="D50" s="125"/>
      <c r="E50" s="7"/>
      <c r="F50" s="121"/>
      <c r="G50" s="133"/>
      <c r="H50" s="133"/>
      <c r="I50" s="133"/>
      <c r="J50" s="121"/>
      <c r="K50" s="58">
        <f ca="1">iMeasure_All!$N36</f>
        <v>16</v>
      </c>
      <c r="L50" s="58" cm="1">
        <f t="array" aca="1" ref="L50" ca="1">INDEX(auto_Country_Status,K50)</f>
        <v>1</v>
      </c>
      <c r="M50" s="58">
        <f ca="1">iMeasure_All!$P36</f>
        <v>16</v>
      </c>
      <c r="N50" s="58" t="str" cm="1">
        <f t="array" aca="1" ref="N50" ca="1">IF($L50=0,"",IF($D$13=0,"-",INDEX(auto_DataFlat_DataValue,$M50,1)))</f>
        <v>-</v>
      </c>
      <c r="O50" s="58" cm="1">
        <f t="array" aca="1" ref="O50" ca="1">IF($D$14=1,0,IF($L50=0,"",INDEX(auto_DataFlat_Classification,$M50,1)))</f>
        <v>4</v>
      </c>
      <c r="P50" s="58"/>
      <c r="Q50" s="134" t="str" cm="1">
        <f t="array" aca="1" ref="Q50" ca="1">IF($D$14=1,"",INDEX(uxbGlobals!$B$133:$B$139,All_Measures!O50))</f>
        <v xml:space="preserve"> </v>
      </c>
      <c r="R50" s="135" t="str" cm="1">
        <f t="array" aca="1" ref="R50" ca="1">IF($L50=0,"",INDEX(auto_DataFlat_Rank,$M50,R$16))</f>
        <v>22</v>
      </c>
      <c r="S50" s="122" t="str" cm="1">
        <f t="array" aca="1" ref="S50" ca="1">IF($L50=0,"",INDEX(auto_ddCountry,K50))</f>
        <v>Ho Chi Minh City</v>
      </c>
      <c r="T50" s="136" t="str">
        <f t="shared" ref="T50:T52" ca="1" si="7">N50</f>
        <v>-</v>
      </c>
      <c r="U50" s="137" t="str" cm="1">
        <f t="array" aca="1" ref="U50" ca="1">IF($L50=0,"",IF(INDEX(auto_DataFlat_IsEstimate,$M50,V$16)="","",INDEX(auto_DataFlat_IsEstimate,$M50,V$16)))</f>
        <v/>
      </c>
      <c r="V50" s="138" cm="1">
        <f t="array" aca="1" ref="V50" ca="1">IF($L50=0,"",INDEX(auto_DataFlat_Score,$M50,V$16))</f>
        <v>66</v>
      </c>
      <c r="W50" s="139"/>
      <c r="X50" s="140" cm="1">
        <f t="array" aca="1" ref="X50" ca="1">IF($L50=0,"",INDEX(auto_DataFlat_DataYear,$M50,V$16))</f>
        <v>0</v>
      </c>
      <c r="Y50" s="141" cm="1">
        <f t="array" aca="1" ref="Y50" ca="1">IF($L50=0,"",INDEX(auto_DataFlat_Source,$M50,V$16))</f>
        <v>0</v>
      </c>
      <c r="Z50" s="4"/>
      <c r="AA50" s="4"/>
      <c r="AB50" s="4"/>
    </row>
    <row r="51" spans="1:28" ht="17.149999999999999" customHeight="1" x14ac:dyDescent="0.4">
      <c r="A51" s="118" t="str">
        <f t="shared" ref="A51:A78" ca="1" si="8">IF(OR(B51="H",C51="H"),"H","")</f>
        <v/>
      </c>
      <c r="B51" s="119" t="str">
        <f t="shared" si="2"/>
        <v/>
      </c>
      <c r="C51" s="132" t="str">
        <f t="shared" ca="1" si="6"/>
        <v/>
      </c>
      <c r="D51" s="125"/>
      <c r="E51" s="7"/>
      <c r="F51" s="121"/>
      <c r="G51" s="133"/>
      <c r="H51" s="133"/>
      <c r="I51" s="133"/>
      <c r="J51" s="121"/>
      <c r="K51" s="58">
        <f ca="1">iMeasure_All!$N37</f>
        <v>31</v>
      </c>
      <c r="L51" s="58" cm="1">
        <f t="array" aca="1" ref="L51" ca="1">INDEX(auto_Country_Status,K51)</f>
        <v>1</v>
      </c>
      <c r="M51" s="58">
        <f ca="1">iMeasure_All!$P37</f>
        <v>31</v>
      </c>
      <c r="N51" s="58" t="str" cm="1">
        <f t="array" aca="1" ref="N51" ca="1">IF($L51=0,"",IF($D$13=0,"-",INDEX(auto_DataFlat_DataValue,$M51,1)))</f>
        <v>-</v>
      </c>
      <c r="O51" s="58" cm="1">
        <f t="array" aca="1" ref="O51" ca="1">IF($D$14=1,0,IF($L51=0,"",INDEX(auto_DataFlat_Classification,$M51,1)))</f>
        <v>4</v>
      </c>
      <c r="P51" s="58"/>
      <c r="Q51" s="134" t="str" cm="1">
        <f t="array" aca="1" ref="Q51" ca="1">IF($D$14=1,"",INDEX(uxbGlobals!$B$133:$B$139,All_Measures!O51))</f>
        <v xml:space="preserve"> </v>
      </c>
      <c r="R51" s="135" t="str" cm="1">
        <f t="array" aca="1" ref="R51" ca="1">IF($L51=0,"",INDEX(auto_DataFlat_Rank,$M51,R$16))</f>
        <v>23</v>
      </c>
      <c r="S51" s="122" t="str" cm="1">
        <f t="array" aca="1" ref="S51" ca="1">IF($L51=0,"",INDEX(auto_ddCountry,K51))</f>
        <v>Moscow</v>
      </c>
      <c r="T51" s="136" t="str">
        <f t="shared" ca="1" si="7"/>
        <v>-</v>
      </c>
      <c r="U51" s="137" t="str" cm="1">
        <f t="array" aca="1" ref="U51" ca="1">IF($L51=0,"",IF(INDEX(auto_DataFlat_IsEstimate,$M51,V$16)="","",INDEX(auto_DataFlat_IsEstimate,$M51,V$16)))</f>
        <v/>
      </c>
      <c r="V51" s="138" cm="1">
        <f t="array" aca="1" ref="V51" ca="1">IF($L51=0,"",INDEX(auto_DataFlat_Score,$M51,V$16))</f>
        <v>65.900000000000006</v>
      </c>
      <c r="W51" s="139"/>
      <c r="X51" s="140" cm="1">
        <f t="array" aca="1" ref="X51" ca="1">IF($L51=0,"",INDEX(auto_DataFlat_DataYear,$M51,V$16))</f>
        <v>0</v>
      </c>
      <c r="Y51" s="141" cm="1">
        <f t="array" aca="1" ref="Y51" ca="1">IF($L51=0,"",INDEX(auto_DataFlat_Source,$M51,V$16))</f>
        <v>0</v>
      </c>
      <c r="Z51" s="4"/>
      <c r="AA51" s="4"/>
      <c r="AB51" s="4"/>
    </row>
    <row r="52" spans="1:28" ht="17.149999999999999" customHeight="1" x14ac:dyDescent="0.4">
      <c r="A52" s="118" t="str">
        <f t="shared" ca="1" si="8"/>
        <v/>
      </c>
      <c r="B52" s="119" t="str">
        <f t="shared" si="2"/>
        <v/>
      </c>
      <c r="C52" s="132" t="str">
        <f t="shared" ca="1" si="6"/>
        <v/>
      </c>
      <c r="D52" s="125"/>
      <c r="E52" s="7"/>
      <c r="F52" s="121"/>
      <c r="G52" s="133"/>
      <c r="H52" s="133"/>
      <c r="I52" s="133"/>
      <c r="J52" s="121"/>
      <c r="K52" s="58">
        <f ca="1">iMeasure_All!$N38</f>
        <v>43</v>
      </c>
      <c r="L52" s="58" cm="1">
        <f t="array" aca="1" ref="L52" ca="1">INDEX(auto_Country_Status,K52)</f>
        <v>1</v>
      </c>
      <c r="M52" s="58">
        <f ca="1">iMeasure_All!$P38</f>
        <v>43</v>
      </c>
      <c r="N52" s="58" t="str" cm="1">
        <f t="array" aca="1" ref="N52" ca="1">IF($L52=0,"",IF($D$13=0,"-",INDEX(auto_DataFlat_DataValue,$M52,1)))</f>
        <v>-</v>
      </c>
      <c r="O52" s="58" cm="1">
        <f t="array" aca="1" ref="O52" ca="1">IF($D$14=1,0,IF($L52=0,"",INDEX(auto_DataFlat_Classification,$M52,1)))</f>
        <v>4</v>
      </c>
      <c r="P52" s="58"/>
      <c r="Q52" s="134" t="str" cm="1">
        <f t="array" aca="1" ref="Q52" ca="1">IF($D$14=1,"",INDEX(uxbGlobals!$B$133:$B$139,All_Measures!O52))</f>
        <v xml:space="preserve"> </v>
      </c>
      <c r="R52" s="135" t="str" cm="1">
        <f t="array" aca="1" ref="R52" ca="1">IF($L52=0,"",INDEX(auto_DataFlat_Rank,$M52,R$16))</f>
        <v>24</v>
      </c>
      <c r="S52" s="122" t="str" cm="1">
        <f t="array" aca="1" ref="S52" ca="1">IF($L52=0,"",INDEX(auto_ddCountry,K52))</f>
        <v>Shanghai</v>
      </c>
      <c r="T52" s="136" t="str">
        <f t="shared" ca="1" si="7"/>
        <v>-</v>
      </c>
      <c r="U52" s="137" t="str" cm="1">
        <f t="array" aca="1" ref="U52" ca="1">IF($L52=0,"",IF(INDEX(auto_DataFlat_IsEstimate,$M52,V$16)="","",INDEX(auto_DataFlat_IsEstimate,$M52,V$16)))</f>
        <v/>
      </c>
      <c r="V52" s="138" cm="1">
        <f t="array" aca="1" ref="V52" ca="1">IF($L52=0,"",INDEX(auto_DataFlat_Score,$M52,V$16))</f>
        <v>65.3</v>
      </c>
      <c r="W52" s="139"/>
      <c r="X52" s="140" cm="1">
        <f t="array" aca="1" ref="X52" ca="1">IF($L52=0,"",INDEX(auto_DataFlat_DataYear,$M52,V$16))</f>
        <v>0</v>
      </c>
      <c r="Y52" s="141" cm="1">
        <f t="array" aca="1" ref="Y52" ca="1">IF($L52=0,"",INDEX(auto_DataFlat_Source,$M52,V$16))</f>
        <v>0</v>
      </c>
      <c r="Z52" s="4"/>
      <c r="AA52" s="4"/>
      <c r="AB52" s="4"/>
    </row>
    <row r="53" spans="1:28" ht="17.149999999999999" customHeight="1" x14ac:dyDescent="0.4">
      <c r="A53" s="118"/>
      <c r="B53" s="119"/>
      <c r="C53" s="132"/>
      <c r="D53" s="125"/>
      <c r="E53" s="7"/>
      <c r="F53" s="121"/>
      <c r="G53" s="133"/>
      <c r="H53" s="133"/>
      <c r="I53" s="133"/>
      <c r="J53" s="121"/>
      <c r="K53" s="58">
        <f ca="1">iMeasure_All!$N39</f>
        <v>14</v>
      </c>
      <c r="L53" s="58" cm="1">
        <f t="array" aca="1" ref="L53" ca="1">INDEX(auto_Country_Status,K53)</f>
        <v>1</v>
      </c>
      <c r="M53" s="58">
        <f ca="1">iMeasure_All!$P39</f>
        <v>14</v>
      </c>
      <c r="N53" s="58" t="str" cm="1">
        <f t="array" aca="1" ref="N53" ca="1">IF($L53=0,"",IF($D$13=0,"-",INDEX(auto_DataFlat_DataValue,$M53,1)))</f>
        <v>-</v>
      </c>
      <c r="O53" s="58" cm="1">
        <f t="array" aca="1" ref="O53" ca="1">IF($D$14=1,0,IF($L53=0,"",INDEX(auto_DataFlat_Classification,$M53,1)))</f>
        <v>4</v>
      </c>
      <c r="P53" s="58"/>
      <c r="Q53" s="134" t="str" cm="1">
        <f t="array" aca="1" ref="Q53" ca="1">IF($D$14=1,"",INDEX(uxbGlobals!$B$133:$B$139,All_Measures!O53))</f>
        <v xml:space="preserve"> </v>
      </c>
      <c r="R53" s="135" t="str" cm="1">
        <f t="array" aca="1" ref="R53" ca="1">IF($L53=0,"",INDEX(auto_DataFlat_Rank,$M53,R$16))</f>
        <v>25</v>
      </c>
      <c r="S53" s="122" t="str" cm="1">
        <f t="array" aca="1" ref="S53" ca="1">IF($L53=0,"",INDEX(auto_ddCountry,K53))</f>
        <v>Dubai</v>
      </c>
      <c r="T53" s="136" t="str">
        <f t="shared" ref="T53:T78" ca="1" si="9">N53</f>
        <v>-</v>
      </c>
      <c r="U53" s="137" t="str" cm="1">
        <f t="array" aca="1" ref="U53" ca="1">IF($L53=0,"",IF(INDEX(auto_DataFlat_IsEstimate,$M53,V$16)="","",INDEX(auto_DataFlat_IsEstimate,$M53,V$16)))</f>
        <v/>
      </c>
      <c r="V53" s="138" cm="1">
        <f t="array" aca="1" ref="V53" ca="1">IF($L53=0,"",INDEX(auto_DataFlat_Score,$M53,V$16))</f>
        <v>65</v>
      </c>
      <c r="W53" s="139"/>
      <c r="X53" s="140" cm="1">
        <f t="array" aca="1" ref="X53" ca="1">IF($L53=0,"",INDEX(auto_DataFlat_DataYear,$M53,V$16))</f>
        <v>0</v>
      </c>
      <c r="Y53" s="141" cm="1">
        <f t="array" aca="1" ref="Y53" ca="1">IF($L53=0,"",INDEX(auto_DataFlat_Source,$M53,V$16))</f>
        <v>0</v>
      </c>
      <c r="Z53" s="4"/>
      <c r="AA53" s="4"/>
      <c r="AB53" s="4"/>
    </row>
    <row r="54" spans="1:28" ht="17.149999999999999" customHeight="1" x14ac:dyDescent="0.4">
      <c r="A54" s="118"/>
      <c r="B54" s="119"/>
      <c r="C54" s="132"/>
      <c r="D54" s="125"/>
      <c r="E54" s="7"/>
      <c r="F54" s="121"/>
      <c r="G54" s="133"/>
      <c r="H54" s="133"/>
      <c r="I54" s="133"/>
      <c r="J54" s="121"/>
      <c r="K54" s="58">
        <f ca="1">iMeasure_All!$N40</f>
        <v>36</v>
      </c>
      <c r="L54" s="58" cm="1">
        <f t="array" aca="1" ref="L54" ca="1">INDEX(auto_Country_Status,K54)</f>
        <v>1</v>
      </c>
      <c r="M54" s="58">
        <f ca="1">iMeasure_All!$P40</f>
        <v>36</v>
      </c>
      <c r="N54" s="58" t="str" cm="1">
        <f t="array" aca="1" ref="N54" ca="1">IF($L54=0,"",IF($D$13=0,"-",INDEX(auto_DataFlat_DataValue,$M54,1)))</f>
        <v>-</v>
      </c>
      <c r="O54" s="58" cm="1">
        <f t="array" aca="1" ref="O54" ca="1">IF($D$14=1,0,IF($L54=0,"",INDEX(auto_DataFlat_Classification,$M54,1)))</f>
        <v>4</v>
      </c>
      <c r="P54" s="58"/>
      <c r="Q54" s="134" t="str" cm="1">
        <f t="array" aca="1" ref="Q54" ca="1">IF($D$14=1,"",INDEX(uxbGlobals!$B$133:$B$139,All_Measures!O54))</f>
        <v xml:space="preserve"> </v>
      </c>
      <c r="R54" s="135" t="str" cm="1">
        <f t="array" aca="1" ref="R54" ca="1">IF($L54=0,"",INDEX(auto_DataFlat_Rank,$M54,R$16))</f>
        <v>26</v>
      </c>
      <c r="S54" s="122" t="str" cm="1">
        <f t="array" aca="1" ref="S54" ca="1">IF($L54=0,"",INDEX(auto_ddCountry,K54))</f>
        <v>Paris</v>
      </c>
      <c r="T54" s="136" t="str">
        <f t="shared" ca="1" si="9"/>
        <v>-</v>
      </c>
      <c r="U54" s="137" t="str" cm="1">
        <f t="array" aca="1" ref="U54" ca="1">IF($L54=0,"",IF(INDEX(auto_DataFlat_IsEstimate,$M54,V$16)="","",INDEX(auto_DataFlat_IsEstimate,$M54,V$16)))</f>
        <v/>
      </c>
      <c r="V54" s="138" cm="1">
        <f t="array" aca="1" ref="V54" ca="1">IF($L54=0,"",INDEX(auto_DataFlat_Score,$M54,V$16))</f>
        <v>64.5</v>
      </c>
      <c r="W54" s="139"/>
      <c r="X54" s="140" cm="1">
        <f t="array" aca="1" ref="X54" ca="1">IF($L54=0,"",INDEX(auto_DataFlat_DataYear,$M54,V$16))</f>
        <v>0</v>
      </c>
      <c r="Y54" s="141" cm="1">
        <f t="array" aca="1" ref="Y54" ca="1">IF($L54=0,"",INDEX(auto_DataFlat_Source,$M54,V$16))</f>
        <v>0</v>
      </c>
      <c r="Z54" s="4"/>
      <c r="AA54" s="4"/>
      <c r="AB54" s="4"/>
    </row>
    <row r="55" spans="1:28" ht="17.149999999999999" customHeight="1" x14ac:dyDescent="0.4">
      <c r="A55" s="118"/>
      <c r="B55" s="119"/>
      <c r="C55" s="132"/>
      <c r="D55" s="125"/>
      <c r="E55" s="7"/>
      <c r="F55" s="121"/>
      <c r="G55" s="133"/>
      <c r="H55" s="133"/>
      <c r="I55" s="133"/>
      <c r="J55" s="121"/>
      <c r="K55" s="58">
        <f ca="1">iMeasure_All!$N41</f>
        <v>39</v>
      </c>
      <c r="L55" s="58" cm="1">
        <f t="array" aca="1" ref="L55" ca="1">INDEX(auto_Country_Status,K55)</f>
        <v>1</v>
      </c>
      <c r="M55" s="58">
        <f ca="1">iMeasure_All!$P41</f>
        <v>39</v>
      </c>
      <c r="N55" s="58" t="str" cm="1">
        <f t="array" aca="1" ref="N55" ca="1">IF($L55=0,"",IF($D$13=0,"-",INDEX(auto_DataFlat_DataValue,$M55,1)))</f>
        <v>-</v>
      </c>
      <c r="O55" s="58" cm="1">
        <f t="array" aca="1" ref="O55" ca="1">IF($D$14=1,0,IF($L55=0,"",INDEX(auto_DataFlat_Classification,$M55,1)))</f>
        <v>4</v>
      </c>
      <c r="P55" s="58"/>
      <c r="Q55" s="134" t="str" cm="1">
        <f t="array" aca="1" ref="Q55" ca="1">IF($D$14=1,"",INDEX(uxbGlobals!$B$133:$B$139,All_Measures!O55))</f>
        <v xml:space="preserve"> </v>
      </c>
      <c r="R55" s="135" t="str" cm="1">
        <f t="array" aca="1" ref="R55" ca="1">IF($L55=0,"",INDEX(auto_DataFlat_Rank,$M55,R$16))</f>
        <v>27</v>
      </c>
      <c r="S55" s="122" t="str" cm="1">
        <f t="array" aca="1" ref="S55" ca="1">IF($L55=0,"",INDEX(auto_ddCountry,K55))</f>
        <v>Rome</v>
      </c>
      <c r="T55" s="136" t="str">
        <f t="shared" ca="1" si="9"/>
        <v>-</v>
      </c>
      <c r="U55" s="137" t="str" cm="1">
        <f t="array" aca="1" ref="U55" ca="1">IF($L55=0,"",IF(INDEX(auto_DataFlat_IsEstimate,$M55,V$16)="","",INDEX(auto_DataFlat_IsEstimate,$M55,V$16)))</f>
        <v/>
      </c>
      <c r="V55" s="138" cm="1">
        <f t="array" aca="1" ref="V55" ca="1">IF($L55=0,"",INDEX(auto_DataFlat_Score,$M55,V$16))</f>
        <v>63.5</v>
      </c>
      <c r="W55" s="139"/>
      <c r="X55" s="140" cm="1">
        <f t="array" aca="1" ref="X55" ca="1">IF($L55=0,"",INDEX(auto_DataFlat_DataYear,$M55,V$16))</f>
        <v>0</v>
      </c>
      <c r="Y55" s="141" cm="1">
        <f t="array" aca="1" ref="Y55" ca="1">IF($L55=0,"",INDEX(auto_DataFlat_Source,$M55,V$16))</f>
        <v>0</v>
      </c>
      <c r="Z55" s="4"/>
      <c r="AA55" s="4"/>
      <c r="AB55" s="4"/>
    </row>
    <row r="56" spans="1:28" ht="17.149999999999999" customHeight="1" x14ac:dyDescent="0.4">
      <c r="A56" s="118"/>
      <c r="B56" s="119"/>
      <c r="C56" s="132"/>
      <c r="D56" s="125"/>
      <c r="E56" s="7"/>
      <c r="F56" s="121"/>
      <c r="G56" s="133"/>
      <c r="H56" s="133"/>
      <c r="I56" s="133"/>
      <c r="J56" s="121"/>
      <c r="K56" s="58">
        <f ca="1">iMeasure_All!$N42</f>
        <v>6</v>
      </c>
      <c r="L56" s="58" cm="1">
        <f t="array" aca="1" ref="L56" ca="1">INDEX(auto_Country_Status,K56)</f>
        <v>1</v>
      </c>
      <c r="M56" s="58">
        <f ca="1">iMeasure_All!$P42</f>
        <v>6</v>
      </c>
      <c r="N56" s="58" t="str" cm="1">
        <f t="array" aca="1" ref="N56" ca="1">IF($L56=0,"",IF($D$13=0,"-",INDEX(auto_DataFlat_DataValue,$M56,1)))</f>
        <v>-</v>
      </c>
      <c r="O56" s="58" cm="1">
        <f t="array" aca="1" ref="O56" ca="1">IF($D$14=1,0,IF($L56=0,"",INDEX(auto_DataFlat_Classification,$M56,1)))</f>
        <v>4</v>
      </c>
      <c r="P56" s="58"/>
      <c r="Q56" s="134" t="str" cm="1">
        <f t="array" aca="1" ref="Q56" ca="1">IF($D$14=1,"",INDEX(uxbGlobals!$B$133:$B$139,All_Measures!O56))</f>
        <v xml:space="preserve"> </v>
      </c>
      <c r="R56" s="135" t="str" cm="1">
        <f t="array" aca="1" ref="R56" ca="1">IF($L56=0,"",INDEX(auto_DataFlat_Rank,$M56,R$16))</f>
        <v>28</v>
      </c>
      <c r="S56" s="122" t="str" cm="1">
        <f t="array" aca="1" ref="S56" ca="1">IF($L56=0,"",INDEX(auto_ddCountry,K56))</f>
        <v>Beijing</v>
      </c>
      <c r="T56" s="136" t="str">
        <f t="shared" ca="1" si="9"/>
        <v>-</v>
      </c>
      <c r="U56" s="137" t="str" cm="1">
        <f t="array" aca="1" ref="U56" ca="1">IF($L56=0,"",IF(INDEX(auto_DataFlat_IsEstimate,$M56,V$16)="","",INDEX(auto_DataFlat_IsEstimate,$M56,V$16)))</f>
        <v/>
      </c>
      <c r="V56" s="138" cm="1">
        <f t="array" aca="1" ref="V56" ca="1">IF($L56=0,"",INDEX(auto_DataFlat_Score,$M56,V$16))</f>
        <v>63.4</v>
      </c>
      <c r="W56" s="139"/>
      <c r="X56" s="140" cm="1">
        <f t="array" aca="1" ref="X56" ca="1">IF($L56=0,"",INDEX(auto_DataFlat_DataYear,$M56,V$16))</f>
        <v>0</v>
      </c>
      <c r="Y56" s="141" cm="1">
        <f t="array" aca="1" ref="Y56" ca="1">IF($L56=0,"",INDEX(auto_DataFlat_Source,$M56,V$16))</f>
        <v>0</v>
      </c>
      <c r="Z56" s="4"/>
      <c r="AA56" s="4"/>
      <c r="AB56" s="4"/>
    </row>
    <row r="57" spans="1:28" ht="17.149999999999999" customHeight="1" x14ac:dyDescent="0.4">
      <c r="A57" s="118"/>
      <c r="B57" s="119"/>
      <c r="C57" s="132"/>
      <c r="D57" s="125"/>
      <c r="E57" s="7"/>
      <c r="F57" s="121"/>
      <c r="G57" s="133"/>
      <c r="H57" s="133"/>
      <c r="I57" s="133"/>
      <c r="J57" s="121"/>
      <c r="K57" s="58">
        <f ca="1">iMeasure_All!$N43</f>
        <v>3</v>
      </c>
      <c r="L57" s="58" cm="1">
        <f t="array" aca="1" ref="L57" ca="1">INDEX(auto_Country_Status,K57)</f>
        <v>1</v>
      </c>
      <c r="M57" s="58">
        <f ca="1">iMeasure_All!$P43</f>
        <v>3</v>
      </c>
      <c r="N57" s="58" t="str" cm="1">
        <f t="array" aca="1" ref="N57" ca="1">IF($L57=0,"",IF($D$13=0,"-",INDEX(auto_DataFlat_DataValue,$M57,1)))</f>
        <v>-</v>
      </c>
      <c r="O57" s="58" cm="1">
        <f t="array" aca="1" ref="O57" ca="1">IF($D$14=1,0,IF($L57=0,"",INDEX(auto_DataFlat_Classification,$M57,1)))</f>
        <v>4</v>
      </c>
      <c r="P57" s="58"/>
      <c r="Q57" s="134" t="str" cm="1">
        <f t="array" aca="1" ref="Q57" ca="1">IF($D$14=1,"",INDEX(uxbGlobals!$B$133:$B$139,All_Measures!O57))</f>
        <v xml:space="preserve"> </v>
      </c>
      <c r="R57" s="135" t="str" cm="1">
        <f t="array" aca="1" ref="R57" ca="1">IF($L57=0,"",INDEX(auto_DataFlat_Rank,$M57,R$16))</f>
        <v>29</v>
      </c>
      <c r="S57" s="122" t="str" cm="1">
        <f t="array" aca="1" ref="S57" ca="1">IF($L57=0,"",INDEX(auto_ddCountry,K57))</f>
        <v>Atlanta</v>
      </c>
      <c r="T57" s="136" t="str">
        <f t="shared" ca="1" si="9"/>
        <v>-</v>
      </c>
      <c r="U57" s="137" t="str" cm="1">
        <f t="array" aca="1" ref="U57" ca="1">IF($L57=0,"",IF(INDEX(auto_DataFlat_IsEstimate,$M57,V$16)="","",INDEX(auto_DataFlat_IsEstimate,$M57,V$16)))</f>
        <v/>
      </c>
      <c r="V57" s="138" cm="1">
        <f t="array" aca="1" ref="V57" ca="1">IF($L57=0,"",INDEX(auto_DataFlat_Score,$M57,V$16))</f>
        <v>63.1</v>
      </c>
      <c r="W57" s="139"/>
      <c r="X57" s="140" cm="1">
        <f t="array" aca="1" ref="X57" ca="1">IF($L57=0,"",INDEX(auto_DataFlat_DataYear,$M57,V$16))</f>
        <v>0</v>
      </c>
      <c r="Y57" s="141" cm="1">
        <f t="array" aca="1" ref="Y57" ca="1">IF($L57=0,"",INDEX(auto_DataFlat_Source,$M57,V$16))</f>
        <v>0</v>
      </c>
      <c r="Z57" s="4"/>
      <c r="AA57" s="4"/>
      <c r="AB57" s="4"/>
    </row>
    <row r="58" spans="1:28" ht="17.149999999999999" customHeight="1" x14ac:dyDescent="0.4">
      <c r="A58" s="118"/>
      <c r="B58" s="119"/>
      <c r="C58" s="132"/>
      <c r="D58" s="125"/>
      <c r="E58" s="7"/>
      <c r="F58" s="121"/>
      <c r="G58" s="133"/>
      <c r="H58" s="133"/>
      <c r="I58" s="133"/>
      <c r="J58" s="121"/>
      <c r="K58" s="58">
        <f ca="1">iMeasure_All!$N44</f>
        <v>30</v>
      </c>
      <c r="L58" s="58" cm="1">
        <f t="array" aca="1" ref="L58" ca="1">INDEX(auto_Country_Status,K58)</f>
        <v>1</v>
      </c>
      <c r="M58" s="58">
        <f ca="1">iMeasure_All!$P44</f>
        <v>30</v>
      </c>
      <c r="N58" s="58" t="str" cm="1">
        <f t="array" aca="1" ref="N58" ca="1">IF($L58=0,"",IF($D$13=0,"-",INDEX(auto_DataFlat_DataValue,$M58,1)))</f>
        <v>-</v>
      </c>
      <c r="O58" s="58" cm="1">
        <f t="array" aca="1" ref="O58" ca="1">IF($D$14=1,0,IF($L58=0,"",INDEX(auto_DataFlat_Classification,$M58,1)))</f>
        <v>4</v>
      </c>
      <c r="P58" s="58"/>
      <c r="Q58" s="134" t="str" cm="1">
        <f t="array" aca="1" ref="Q58" ca="1">IF($D$14=1,"",INDEX(uxbGlobals!$B$133:$B$139,All_Measures!O58))</f>
        <v xml:space="preserve"> </v>
      </c>
      <c r="R58" s="135" t="str" cm="1">
        <f t="array" aca="1" ref="R58" ca="1">IF($L58=0,"",INDEX(auto_DataFlat_Rank,$M58,R$16))</f>
        <v>30</v>
      </c>
      <c r="S58" s="122" t="str" cm="1">
        <f t="array" aca="1" ref="S58" ca="1">IF($L58=0,"",INDEX(auto_ddCountry,K58))</f>
        <v>Mexico City</v>
      </c>
      <c r="T58" s="136" t="str">
        <f t="shared" ca="1" si="9"/>
        <v>-</v>
      </c>
      <c r="U58" s="137" t="str" cm="1">
        <f t="array" aca="1" ref="U58" ca="1">IF($L58=0,"",IF(INDEX(auto_DataFlat_IsEstimate,$M58,V$16)="","",INDEX(auto_DataFlat_IsEstimate,$M58,V$16)))</f>
        <v/>
      </c>
      <c r="V58" s="138" cm="1">
        <f t="array" aca="1" ref="V58" ca="1">IF($L58=0,"",INDEX(auto_DataFlat_Score,$M58,V$16))</f>
        <v>60.9</v>
      </c>
      <c r="W58" s="139"/>
      <c r="X58" s="140" cm="1">
        <f t="array" aca="1" ref="X58" ca="1">IF($L58=0,"",INDEX(auto_DataFlat_DataYear,$M58,V$16))</f>
        <v>0</v>
      </c>
      <c r="Y58" s="141" cm="1">
        <f t="array" aca="1" ref="Y58" ca="1">IF($L58=0,"",INDEX(auto_DataFlat_Source,$M58,V$16))</f>
        <v>0</v>
      </c>
      <c r="Z58" s="4"/>
      <c r="AA58" s="4"/>
      <c r="AB58" s="4"/>
    </row>
    <row r="59" spans="1:28" ht="17.149999999999999" customHeight="1" x14ac:dyDescent="0.4">
      <c r="A59" s="118"/>
      <c r="B59" s="119"/>
      <c r="C59" s="132"/>
      <c r="D59" s="125"/>
      <c r="E59" s="7"/>
      <c r="F59" s="121"/>
      <c r="G59" s="133"/>
      <c r="H59" s="133"/>
      <c r="I59" s="133"/>
      <c r="J59" s="121"/>
      <c r="K59" s="58">
        <f ca="1">iMeasure_All!$N45</f>
        <v>18</v>
      </c>
      <c r="L59" s="58" cm="1">
        <f t="array" aca="1" ref="L59" ca="1">INDEX(auto_Country_Status,K59)</f>
        <v>1</v>
      </c>
      <c r="M59" s="58">
        <f ca="1">iMeasure_All!$P45</f>
        <v>18</v>
      </c>
      <c r="N59" s="58" t="str" cm="1">
        <f t="array" aca="1" ref="N59" ca="1">IF($L59=0,"",IF($D$13=0,"-",INDEX(auto_DataFlat_DataValue,$M59,1)))</f>
        <v>-</v>
      </c>
      <c r="O59" s="58" cm="1">
        <f t="array" aca="1" ref="O59" ca="1">IF($D$14=1,0,IF($L59=0,"",INDEX(auto_DataFlat_Classification,$M59,1)))</f>
        <v>4</v>
      </c>
      <c r="P59" s="58"/>
      <c r="Q59" s="134" t="str" cm="1">
        <f t="array" aca="1" ref="Q59" ca="1">IF($D$14=1,"",INDEX(uxbGlobals!$B$133:$B$139,All_Measures!O59))</f>
        <v xml:space="preserve"> </v>
      </c>
      <c r="R59" s="135" t="str" cm="1">
        <f t="array" aca="1" ref="R59" ca="1">IF($L59=0,"",INDEX(auto_DataFlat_Rank,$M59,R$16))</f>
        <v>31</v>
      </c>
      <c r="S59" s="122" t="str" cm="1">
        <f t="array" aca="1" ref="S59" ca="1">IF($L59=0,"",INDEX(auto_ddCountry,K59))</f>
        <v>Istanbul</v>
      </c>
      <c r="T59" s="136" t="str">
        <f t="shared" ca="1" si="9"/>
        <v>-</v>
      </c>
      <c r="U59" s="137" t="str" cm="1">
        <f t="array" aca="1" ref="U59" ca="1">IF($L59=0,"",IF(INDEX(auto_DataFlat_IsEstimate,$M59,V$16)="","",INDEX(auto_DataFlat_IsEstimate,$M59,V$16)))</f>
        <v/>
      </c>
      <c r="V59" s="138" cm="1">
        <f t="array" aca="1" ref="V59" ca="1">IF($L59=0,"",INDEX(auto_DataFlat_Score,$M59,V$16))</f>
        <v>60.4</v>
      </c>
      <c r="W59" s="139"/>
      <c r="X59" s="140" cm="1">
        <f t="array" aca="1" ref="X59" ca="1">IF($L59=0,"",INDEX(auto_DataFlat_DataYear,$M59,V$16))</f>
        <v>0</v>
      </c>
      <c r="Y59" s="141" cm="1">
        <f t="array" aca="1" ref="Y59" ca="1">IF($L59=0,"",INDEX(auto_DataFlat_Source,$M59,V$16))</f>
        <v>0</v>
      </c>
      <c r="Z59" s="4"/>
      <c r="AA59" s="4"/>
      <c r="AB59" s="4"/>
    </row>
    <row r="60" spans="1:28" ht="17.149999999999999" customHeight="1" x14ac:dyDescent="0.4">
      <c r="A60" s="118"/>
      <c r="B60" s="119"/>
      <c r="C60" s="132"/>
      <c r="D60" s="125"/>
      <c r="E60" s="7"/>
      <c r="F60" s="121"/>
      <c r="G60" s="133"/>
      <c r="H60" s="133"/>
      <c r="I60" s="133"/>
      <c r="J60" s="121"/>
      <c r="K60" s="58">
        <f ca="1">iMeasure_All!$N46</f>
        <v>49</v>
      </c>
      <c r="L60" s="58" cm="1">
        <f t="array" aca="1" ref="L60" ca="1">INDEX(auto_Country_Status,K60)</f>
        <v>1</v>
      </c>
      <c r="M60" s="58">
        <f ca="1">iMeasure_All!$P46</f>
        <v>49</v>
      </c>
      <c r="N60" s="58" t="str" cm="1">
        <f t="array" aca="1" ref="N60" ca="1">IF($L60=0,"",IF($D$13=0,"-",INDEX(auto_DataFlat_DataValue,$M60,1)))</f>
        <v>-</v>
      </c>
      <c r="O60" s="58" cm="1">
        <f t="array" aca="1" ref="O60" ca="1">IF($D$14=1,0,IF($L60=0,"",INDEX(auto_DataFlat_Classification,$M60,1)))</f>
        <v>3</v>
      </c>
      <c r="P60" s="58"/>
      <c r="Q60" s="134" t="str" cm="1">
        <f t="array" aca="1" ref="Q60" ca="1">IF($D$14=1,"",INDEX(uxbGlobals!$B$133:$B$139,All_Measures!O60))</f>
        <v xml:space="preserve"> </v>
      </c>
      <c r="R60" s="135" t="str" cm="1">
        <f t="array" aca="1" ref="R60" ca="1">IF($L60=0,"",INDEX(auto_DataFlat_Rank,$M60,R$16))</f>
        <v>32</v>
      </c>
      <c r="S60" s="122" t="str" cm="1">
        <f t="array" aca="1" ref="S60" ca="1">IF($L60=0,"",INDEX(auto_ddCountry,K60))</f>
        <v>Wuhan</v>
      </c>
      <c r="T60" s="136" t="str">
        <f t="shared" ca="1" si="9"/>
        <v>-</v>
      </c>
      <c r="U60" s="137" t="str" cm="1">
        <f t="array" aca="1" ref="U60" ca="1">IF($L60=0,"",IF(INDEX(auto_DataFlat_IsEstimate,$M60,V$16)="","",INDEX(auto_DataFlat_IsEstimate,$M60,V$16)))</f>
        <v/>
      </c>
      <c r="V60" s="138" cm="1">
        <f t="array" aca="1" ref="V60" ca="1">IF($L60=0,"",INDEX(auto_DataFlat_Score,$M60,V$16))</f>
        <v>57.3</v>
      </c>
      <c r="W60" s="139"/>
      <c r="X60" s="140" cm="1">
        <f t="array" aca="1" ref="X60" ca="1">IF($L60=0,"",INDEX(auto_DataFlat_DataYear,$M60,V$16))</f>
        <v>0</v>
      </c>
      <c r="Y60" s="141" cm="1">
        <f t="array" aca="1" ref="Y60" ca="1">IF($L60=0,"",INDEX(auto_DataFlat_Source,$M60,V$16))</f>
        <v>0</v>
      </c>
      <c r="Z60" s="4"/>
      <c r="AA60" s="4"/>
      <c r="AB60" s="4"/>
    </row>
    <row r="61" spans="1:28" ht="17.149999999999999" customHeight="1" x14ac:dyDescent="0.4">
      <c r="A61" s="118"/>
      <c r="B61" s="119"/>
      <c r="C61" s="132"/>
      <c r="D61" s="125"/>
      <c r="E61" s="7"/>
      <c r="F61" s="121"/>
      <c r="G61" s="133"/>
      <c r="H61" s="133"/>
      <c r="I61" s="133"/>
      <c r="J61" s="121"/>
      <c r="K61" s="58">
        <f ca="1">iMeasure_All!$N47</f>
        <v>12</v>
      </c>
      <c r="L61" s="58" cm="1">
        <f t="array" aca="1" ref="L61" ca="1">INDEX(auto_Country_Status,K61)</f>
        <v>1</v>
      </c>
      <c r="M61" s="58">
        <f ca="1">iMeasure_All!$P47</f>
        <v>12</v>
      </c>
      <c r="N61" s="58" t="str" cm="1">
        <f t="array" aca="1" ref="N61" ca="1">IF($L61=0,"",IF($D$13=0,"-",INDEX(auto_DataFlat_DataValue,$M61,1)))</f>
        <v>-</v>
      </c>
      <c r="O61" s="58" cm="1">
        <f t="array" aca="1" ref="O61" ca="1">IF($D$14=1,0,IF($L61=0,"",INDEX(auto_DataFlat_Classification,$M61,1)))</f>
        <v>3</v>
      </c>
      <c r="P61" s="58"/>
      <c r="Q61" s="134" t="str" cm="1">
        <f t="array" aca="1" ref="Q61" ca="1">IF($D$14=1,"",INDEX(uxbGlobals!$B$133:$B$139,All_Measures!O61))</f>
        <v xml:space="preserve"> </v>
      </c>
      <c r="R61" s="135" t="str" cm="1">
        <f t="array" aca="1" ref="R61" ca="1">IF($L61=0,"",INDEX(auto_DataFlat_Rank,$M61,R$16))</f>
        <v>33</v>
      </c>
      <c r="S61" s="122" t="str" cm="1">
        <f t="array" aca="1" ref="S61" ca="1">IF($L61=0,"",INDEX(auto_ddCountry,K61))</f>
        <v>Delhi</v>
      </c>
      <c r="T61" s="136" t="str">
        <f t="shared" ca="1" si="9"/>
        <v>-</v>
      </c>
      <c r="U61" s="137" t="str" cm="1">
        <f t="array" aca="1" ref="U61" ca="1">IF($L61=0,"",IF(INDEX(auto_DataFlat_IsEstimate,$M61,V$16)="","",INDEX(auto_DataFlat_IsEstimate,$M61,V$16)))</f>
        <v/>
      </c>
      <c r="V61" s="138" cm="1">
        <f t="array" aca="1" ref="V61" ca="1">IF($L61=0,"",INDEX(auto_DataFlat_Score,$M61,V$16))</f>
        <v>56.8</v>
      </c>
      <c r="W61" s="139"/>
      <c r="X61" s="140" cm="1">
        <f t="array" aca="1" ref="X61" ca="1">IF($L61=0,"",INDEX(auto_DataFlat_DataYear,$M61,V$16))</f>
        <v>0</v>
      </c>
      <c r="Y61" s="141" cm="1">
        <f t="array" aca="1" ref="Y61" ca="1">IF($L61=0,"",INDEX(auto_DataFlat_Source,$M61,V$16))</f>
        <v>0</v>
      </c>
      <c r="Z61" s="4"/>
      <c r="AA61" s="4"/>
      <c r="AB61" s="4"/>
    </row>
    <row r="62" spans="1:28" ht="17.149999999999999" customHeight="1" x14ac:dyDescent="0.4">
      <c r="A62" s="118"/>
      <c r="B62" s="119"/>
      <c r="C62" s="132"/>
      <c r="D62" s="125"/>
      <c r="E62" s="7"/>
      <c r="F62" s="121"/>
      <c r="G62" s="133"/>
      <c r="H62" s="133"/>
      <c r="I62" s="133"/>
      <c r="J62" s="121"/>
      <c r="K62" s="58">
        <f ca="1">iMeasure_All!$N48</f>
        <v>32</v>
      </c>
      <c r="L62" s="58" cm="1">
        <f t="array" aca="1" ref="L62" ca="1">INDEX(auto_Country_Status,K62)</f>
        <v>1</v>
      </c>
      <c r="M62" s="58">
        <f ca="1">iMeasure_All!$P48</f>
        <v>32</v>
      </c>
      <c r="N62" s="58" t="str" cm="1">
        <f t="array" aca="1" ref="N62" ca="1">IF($L62=0,"",IF($D$13=0,"-",INDEX(auto_DataFlat_DataValue,$M62,1)))</f>
        <v>-</v>
      </c>
      <c r="O62" s="58" cm="1">
        <f t="array" aca="1" ref="O62" ca="1">IF($D$14=1,0,IF($L62=0,"",INDEX(auto_DataFlat_Classification,$M62,1)))</f>
        <v>3</v>
      </c>
      <c r="P62" s="58"/>
      <c r="Q62" s="134" t="str" cm="1">
        <f t="array" aca="1" ref="Q62" ca="1">IF($D$14=1,"",INDEX(uxbGlobals!$B$133:$B$139,All_Measures!O62))</f>
        <v xml:space="preserve"> </v>
      </c>
      <c r="R62" s="135" t="str" cm="1">
        <f t="array" aca="1" ref="R62" ca="1">IF($L62=0,"",INDEX(auto_DataFlat_Rank,$M62,R$16))</f>
        <v>34</v>
      </c>
      <c r="S62" s="122" t="str" cm="1">
        <f t="array" aca="1" ref="S62" ca="1">IF($L62=0,"",INDEX(auto_ddCountry,K62))</f>
        <v>Mumbai</v>
      </c>
      <c r="T62" s="136" t="str">
        <f t="shared" ca="1" si="9"/>
        <v>-</v>
      </c>
      <c r="U62" s="137" t="str" cm="1">
        <f t="array" aca="1" ref="U62" ca="1">IF($L62=0,"",IF(INDEX(auto_DataFlat_IsEstimate,$M62,V$16)="","",INDEX(auto_DataFlat_IsEstimate,$M62,V$16)))</f>
        <v/>
      </c>
      <c r="V62" s="138" cm="1">
        <f t="array" aca="1" ref="V62" ca="1">IF($L62=0,"",INDEX(auto_DataFlat_Score,$M62,V$16))</f>
        <v>53.2</v>
      </c>
      <c r="W62" s="139"/>
      <c r="X62" s="140" cm="1">
        <f t="array" aca="1" ref="X62" ca="1">IF($L62=0,"",INDEX(auto_DataFlat_DataYear,$M62,V$16))</f>
        <v>0</v>
      </c>
      <c r="Y62" s="141" cm="1">
        <f t="array" aca="1" ref="Y62" ca="1">IF($L62=0,"",INDEX(auto_DataFlat_Source,$M62,V$16))</f>
        <v>0</v>
      </c>
      <c r="Z62" s="4"/>
      <c r="AA62" s="4"/>
      <c r="AB62" s="4"/>
    </row>
    <row r="63" spans="1:28" ht="17.149999999999999" customHeight="1" x14ac:dyDescent="0.4">
      <c r="A63" s="118"/>
      <c r="B63" s="119"/>
      <c r="C63" s="132"/>
      <c r="D63" s="125"/>
      <c r="E63" s="7"/>
      <c r="F63" s="121"/>
      <c r="G63" s="133"/>
      <c r="H63" s="133"/>
      <c r="I63" s="133"/>
      <c r="J63" s="121"/>
      <c r="K63" s="58">
        <f ca="1">iMeasure_All!$N49</f>
        <v>20</v>
      </c>
      <c r="L63" s="58" cm="1">
        <f t="array" aca="1" ref="L63" ca="1">INDEX(auto_Country_Status,K63)</f>
        <v>1</v>
      </c>
      <c r="M63" s="58">
        <f ca="1">iMeasure_All!$P49</f>
        <v>20</v>
      </c>
      <c r="N63" s="58" t="str" cm="1">
        <f t="array" aca="1" ref="N63" ca="1">IF($L63=0,"",IF($D$13=0,"-",INDEX(auto_DataFlat_DataValue,$M63,1)))</f>
        <v>-</v>
      </c>
      <c r="O63" s="58" cm="1">
        <f t="array" aca="1" ref="O63" ca="1">IF($D$14=1,0,IF($L63=0,"",INDEX(auto_DataFlat_Classification,$M63,1)))</f>
        <v>3</v>
      </c>
      <c r="P63" s="58"/>
      <c r="Q63" s="134" t="str" cm="1">
        <f t="array" aca="1" ref="Q63" ca="1">IF($D$14=1,"",INDEX(uxbGlobals!$B$133:$B$139,All_Measures!O63))</f>
        <v xml:space="preserve"> </v>
      </c>
      <c r="R63" s="135" t="str" cm="1">
        <f t="array" aca="1" ref="R63" ca="1">IF($L63=0,"",INDEX(auto_DataFlat_Rank,$M63,R$16))</f>
        <v>35</v>
      </c>
      <c r="S63" s="122" t="str" cm="1">
        <f t="array" aca="1" ref="S63" ca="1">IF($L63=0,"",INDEX(auto_ddCountry,K63))</f>
        <v>Johannesburg</v>
      </c>
      <c r="T63" s="136" t="str">
        <f t="shared" ca="1" si="9"/>
        <v>-</v>
      </c>
      <c r="U63" s="137" t="str" cm="1">
        <f t="array" aca="1" ref="U63" ca="1">IF($L63=0,"",IF(INDEX(auto_DataFlat_IsEstimate,$M63,V$16)="","",INDEX(auto_DataFlat_IsEstimate,$M63,V$16)))</f>
        <v/>
      </c>
      <c r="V63" s="138" cm="1">
        <f t="array" aca="1" ref="V63" ca="1">IF($L63=0,"",INDEX(auto_DataFlat_Score,$M63,V$16))</f>
        <v>52.5</v>
      </c>
      <c r="W63" s="139"/>
      <c r="X63" s="140" cm="1">
        <f t="array" aca="1" ref="X63" ca="1">IF($L63=0,"",INDEX(auto_DataFlat_DataYear,$M63,V$16))</f>
        <v>0</v>
      </c>
      <c r="Y63" s="141" cm="1">
        <f t="array" aca="1" ref="Y63" ca="1">IF($L63=0,"",INDEX(auto_DataFlat_Source,$M63,V$16))</f>
        <v>0</v>
      </c>
      <c r="Z63" s="4"/>
      <c r="AA63" s="4"/>
      <c r="AB63" s="4"/>
    </row>
    <row r="64" spans="1:28" ht="17.149999999999999" customHeight="1" x14ac:dyDescent="0.4">
      <c r="A64" s="118"/>
      <c r="B64" s="119"/>
      <c r="C64" s="132"/>
      <c r="D64" s="125"/>
      <c r="E64" s="7"/>
      <c r="F64" s="121"/>
      <c r="G64" s="133"/>
      <c r="H64" s="133"/>
      <c r="I64" s="133"/>
      <c r="J64" s="121"/>
      <c r="K64" s="58">
        <f ca="1">iMeasure_All!$N50</f>
        <v>33</v>
      </c>
      <c r="L64" s="58" cm="1">
        <f t="array" aca="1" ref="L64" ca="1">INDEX(auto_Country_Status,K64)</f>
        <v>1</v>
      </c>
      <c r="M64" s="58">
        <f ca="1">iMeasure_All!$P50</f>
        <v>33</v>
      </c>
      <c r="N64" s="58" t="str" cm="1">
        <f t="array" aca="1" ref="N64" ca="1">IF($L64=0,"",IF($D$13=0,"-",INDEX(auto_DataFlat_DataValue,$M64,1)))</f>
        <v>-</v>
      </c>
      <c r="O64" s="58" cm="1">
        <f t="array" aca="1" ref="O64" ca="1">IF($D$14=1,0,IF($L64=0,"",INDEX(auto_DataFlat_Classification,$M64,1)))</f>
        <v>3</v>
      </c>
      <c r="P64" s="58"/>
      <c r="Q64" s="134" t="str" cm="1">
        <f t="array" aca="1" ref="Q64" ca="1">IF($D$14=1,"",INDEX(uxbGlobals!$B$133:$B$139,All_Measures!O64))</f>
        <v xml:space="preserve"> </v>
      </c>
      <c r="R64" s="135" t="str" cm="1">
        <f t="array" aca="1" ref="R64" ca="1">IF($L64=0,"",INDEX(auto_DataFlat_Rank,$M64,R$16))</f>
        <v>36</v>
      </c>
      <c r="S64" s="122" t="str" cm="1">
        <f t="array" aca="1" ref="S64" ca="1">IF($L64=0,"",INDEX(auto_ddCountry,K64))</f>
        <v>Nairobi</v>
      </c>
      <c r="T64" s="136" t="str">
        <f t="shared" ca="1" si="9"/>
        <v>-</v>
      </c>
      <c r="U64" s="137" t="str" cm="1">
        <f t="array" aca="1" ref="U64" ca="1">IF($L64=0,"",IF(INDEX(auto_DataFlat_IsEstimate,$M64,V$16)="","",INDEX(auto_DataFlat_IsEstimate,$M64,V$16)))</f>
        <v/>
      </c>
      <c r="V64" s="138" cm="1">
        <f t="array" aca="1" ref="V64" ca="1">IF($L64=0,"",INDEX(auto_DataFlat_Score,$M64,V$16))</f>
        <v>52.2</v>
      </c>
      <c r="W64" s="139"/>
      <c r="X64" s="140" cm="1">
        <f t="array" aca="1" ref="X64" ca="1">IF($L64=0,"",INDEX(auto_DataFlat_DataYear,$M64,V$16))</f>
        <v>0</v>
      </c>
      <c r="Y64" s="141" cm="1">
        <f t="array" aca="1" ref="Y64" ca="1">IF($L64=0,"",INDEX(auto_DataFlat_Source,$M64,V$16))</f>
        <v>0</v>
      </c>
      <c r="Z64" s="4"/>
      <c r="AA64" s="4"/>
      <c r="AB64" s="4"/>
    </row>
    <row r="65" spans="1:28" ht="17.149999999999999" customHeight="1" x14ac:dyDescent="0.4">
      <c r="A65" s="118"/>
      <c r="B65" s="119"/>
      <c r="C65" s="132"/>
      <c r="D65" s="125"/>
      <c r="E65" s="7"/>
      <c r="F65" s="121"/>
      <c r="G65" s="133"/>
      <c r="H65" s="133"/>
      <c r="I65" s="133"/>
      <c r="J65" s="121"/>
      <c r="K65" s="58">
        <f ca="1">iMeasure_All!$N51</f>
        <v>23</v>
      </c>
      <c r="L65" s="58" cm="1">
        <f t="array" aca="1" ref="L65" ca="1">INDEX(auto_Country_Status,K65)</f>
        <v>1</v>
      </c>
      <c r="M65" s="58">
        <f ca="1">iMeasure_All!$P51</f>
        <v>23</v>
      </c>
      <c r="N65" s="58" t="str" cm="1">
        <f t="array" aca="1" ref="N65" ca="1">IF($L65=0,"",IF($D$13=0,"-",INDEX(auto_DataFlat_DataValue,$M65,1)))</f>
        <v>-</v>
      </c>
      <c r="O65" s="58" cm="1">
        <f t="array" aca="1" ref="O65" ca="1">IF($D$14=1,0,IF($L65=0,"",INDEX(auto_DataFlat_Classification,$M65,1)))</f>
        <v>3</v>
      </c>
      <c r="P65" s="58"/>
      <c r="Q65" s="134" t="str" cm="1">
        <f t="array" aca="1" ref="Q65" ca="1">IF($D$14=1,"",INDEX(uxbGlobals!$B$133:$B$139,All_Measures!O65))</f>
        <v xml:space="preserve"> </v>
      </c>
      <c r="R65" s="135" t="str" cm="1">
        <f t="array" aca="1" ref="R65" ca="1">IF($L65=0,"",INDEX(auto_DataFlat_Rank,$M65,R$16))</f>
        <v>37</v>
      </c>
      <c r="S65" s="122" t="str" cm="1">
        <f t="array" aca="1" ref="S65" ca="1">IF($L65=0,"",INDEX(auto_ddCountry,K65))</f>
        <v>Kolkata</v>
      </c>
      <c r="T65" s="136" t="str">
        <f t="shared" ca="1" si="9"/>
        <v>-</v>
      </c>
      <c r="U65" s="137" t="str" cm="1">
        <f t="array" aca="1" ref="U65" ca="1">IF($L65=0,"",IF(INDEX(auto_DataFlat_IsEstimate,$M65,V$16)="","",INDEX(auto_DataFlat_IsEstimate,$M65,V$16)))</f>
        <v/>
      </c>
      <c r="V65" s="138" cm="1">
        <f t="array" aca="1" ref="V65" ca="1">IF($L65=0,"",INDEX(auto_DataFlat_Score,$M65,V$16))</f>
        <v>51.8</v>
      </c>
      <c r="W65" s="139"/>
      <c r="X65" s="140" cm="1">
        <f t="array" aca="1" ref="X65" ca="1">IF($L65=0,"",INDEX(auto_DataFlat_DataYear,$M65,V$16))</f>
        <v>0</v>
      </c>
      <c r="Y65" s="141" cm="1">
        <f t="array" aca="1" ref="Y65" ca="1">IF($L65=0,"",INDEX(auto_DataFlat_Source,$M65,V$16))</f>
        <v>0</v>
      </c>
      <c r="Z65" s="4"/>
      <c r="AA65" s="4"/>
      <c r="AB65" s="4"/>
    </row>
    <row r="66" spans="1:28" ht="17.149999999999999" customHeight="1" x14ac:dyDescent="0.4">
      <c r="A66" s="118"/>
      <c r="B66" s="119"/>
      <c r="C66" s="132"/>
      <c r="D66" s="125"/>
      <c r="E66" s="7"/>
      <c r="F66" s="121"/>
      <c r="G66" s="133"/>
      <c r="H66" s="133"/>
      <c r="I66" s="133"/>
      <c r="J66" s="121"/>
      <c r="K66" s="58">
        <f ca="1">iMeasure_All!$N52</f>
        <v>25</v>
      </c>
      <c r="L66" s="58" cm="1">
        <f t="array" aca="1" ref="L66" ca="1">INDEX(auto_Country_Status,K66)</f>
        <v>1</v>
      </c>
      <c r="M66" s="58">
        <f ca="1">iMeasure_All!$P52</f>
        <v>25</v>
      </c>
      <c r="N66" s="58" t="str" cm="1">
        <f t="array" aca="1" ref="N66" ca="1">IF($L66=0,"",IF($D$13=0,"-",INDEX(auto_DataFlat_DataValue,$M66,1)))</f>
        <v>-</v>
      </c>
      <c r="O66" s="58" cm="1">
        <f t="array" aca="1" ref="O66" ca="1">IF($D$14=1,0,IF($L66=0,"",INDEX(auto_DataFlat_Classification,$M66,1)))</f>
        <v>3</v>
      </c>
      <c r="P66" s="58"/>
      <c r="Q66" s="134" t="str" cm="1">
        <f t="array" aca="1" ref="Q66" ca="1">IF($D$14=1,"",INDEX(uxbGlobals!$B$133:$B$139,All_Measures!O66))</f>
        <v xml:space="preserve"> </v>
      </c>
      <c r="R66" s="135" t="str" cm="1">
        <f t="array" aca="1" ref="R66" ca="1">IF($L66=0,"",INDEX(auto_DataFlat_Rank,$M66,R$16))</f>
        <v>38</v>
      </c>
      <c r="S66" s="122" t="str" cm="1">
        <f t="array" aca="1" ref="S66" ca="1">IF($L66=0,"",INDEX(auto_ddCountry,K66))</f>
        <v>Lagos</v>
      </c>
      <c r="T66" s="136" t="str">
        <f t="shared" ca="1" si="9"/>
        <v>-</v>
      </c>
      <c r="U66" s="137" t="str" cm="1">
        <f t="array" aca="1" ref="U66" ca="1">IF($L66=0,"",IF(INDEX(auto_DataFlat_IsEstimate,$M66,V$16)="","",INDEX(auto_DataFlat_IsEstimate,$M66,V$16)))</f>
        <v/>
      </c>
      <c r="V66" s="138" cm="1">
        <f t="array" aca="1" ref="V66" ca="1">IF($L66=0,"",INDEX(auto_DataFlat_Score,$M66,V$16))</f>
        <v>51.6</v>
      </c>
      <c r="W66" s="139"/>
      <c r="X66" s="140" cm="1">
        <f t="array" aca="1" ref="X66" ca="1">IF($L66=0,"",INDEX(auto_DataFlat_DataYear,$M66,V$16))</f>
        <v>0</v>
      </c>
      <c r="Y66" s="141" cm="1">
        <f t="array" aca="1" ref="Y66" ca="1">IF($L66=0,"",INDEX(auto_DataFlat_Source,$M66,V$16))</f>
        <v>0</v>
      </c>
      <c r="Z66" s="4"/>
      <c r="AA66" s="4"/>
      <c r="AB66" s="4"/>
    </row>
    <row r="67" spans="1:28" ht="17.149999999999999" customHeight="1" x14ac:dyDescent="0.4">
      <c r="A67" s="118"/>
      <c r="B67" s="119"/>
      <c r="C67" s="132"/>
      <c r="D67" s="125"/>
      <c r="E67" s="7"/>
      <c r="F67" s="121"/>
      <c r="G67" s="133"/>
      <c r="H67" s="133"/>
      <c r="I67" s="133"/>
      <c r="J67" s="121"/>
      <c r="K67" s="58">
        <f ca="1">iMeasure_All!$N53</f>
        <v>37</v>
      </c>
      <c r="L67" s="58" cm="1">
        <f t="array" aca="1" ref="L67" ca="1">INDEX(auto_Country_Status,K67)</f>
        <v>1</v>
      </c>
      <c r="M67" s="58">
        <f ca="1">iMeasure_All!$P53</f>
        <v>37</v>
      </c>
      <c r="N67" s="58" t="str" cm="1">
        <f t="array" aca="1" ref="N67" ca="1">IF($L67=0,"",IF($D$13=0,"-",INDEX(auto_DataFlat_DataValue,$M67,1)))</f>
        <v>-</v>
      </c>
      <c r="O67" s="58" cm="1">
        <f t="array" aca="1" ref="O67" ca="1">IF($D$14=1,0,IF($L67=0,"",INDEX(auto_DataFlat_Classification,$M67,1)))</f>
        <v>3</v>
      </c>
      <c r="P67" s="58"/>
      <c r="Q67" s="134" t="str" cm="1">
        <f t="array" aca="1" ref="Q67" ca="1">IF($D$14=1,"",INDEX(uxbGlobals!$B$133:$B$139,All_Measures!O67))</f>
        <v xml:space="preserve"> </v>
      </c>
      <c r="R67" s="135" t="str" cm="1">
        <f t="array" aca="1" ref="R67" ca="1">IF($L67=0,"",INDEX(auto_DataFlat_Rank,$M67,R$16))</f>
        <v>39</v>
      </c>
      <c r="S67" s="122" t="str" cm="1">
        <f t="array" aca="1" ref="S67" ca="1">IF($L67=0,"",INDEX(auto_ddCountry,K67))</f>
        <v>Phnom Penh</v>
      </c>
      <c r="T67" s="136" t="str">
        <f t="shared" ca="1" si="9"/>
        <v>-</v>
      </c>
      <c r="U67" s="137" t="str" cm="1">
        <f t="array" aca="1" ref="U67" ca="1">IF($L67=0,"",IF(INDEX(auto_DataFlat_IsEstimate,$M67,V$16)="","",INDEX(auto_DataFlat_IsEstimate,$M67,V$16)))</f>
        <v/>
      </c>
      <c r="V67" s="138" cm="1">
        <f t="array" aca="1" ref="V67" ca="1">IF($L67=0,"",INDEX(auto_DataFlat_Score,$M67,V$16))</f>
        <v>51.4</v>
      </c>
      <c r="W67" s="139"/>
      <c r="X67" s="140" cm="1">
        <f t="array" aca="1" ref="X67" ca="1">IF($L67=0,"",INDEX(auto_DataFlat_DataYear,$M67,V$16))</f>
        <v>0</v>
      </c>
      <c r="Y67" s="141" cm="1">
        <f t="array" aca="1" ref="Y67" ca="1">IF($L67=0,"",INDEX(auto_DataFlat_Source,$M67,V$16))</f>
        <v>0</v>
      </c>
      <c r="Z67" s="4"/>
      <c r="AA67" s="4"/>
      <c r="AB67" s="4"/>
    </row>
    <row r="68" spans="1:28" ht="17.149999999999999" customHeight="1" x14ac:dyDescent="0.4">
      <c r="A68" s="118"/>
      <c r="B68" s="119"/>
      <c r="C68" s="132"/>
      <c r="D68" s="125"/>
      <c r="E68" s="7"/>
      <c r="F68" s="121"/>
      <c r="G68" s="133"/>
      <c r="H68" s="133"/>
      <c r="I68" s="133"/>
      <c r="J68" s="121"/>
      <c r="K68" s="58">
        <f ca="1">iMeasure_All!$N54</f>
        <v>11</v>
      </c>
      <c r="L68" s="58" cm="1">
        <f t="array" aca="1" ref="L68" ca="1">INDEX(auto_Country_Status,K68)</f>
        <v>1</v>
      </c>
      <c r="M68" s="58">
        <f ca="1">iMeasure_All!$P54</f>
        <v>11</v>
      </c>
      <c r="N68" s="58" t="str" cm="1">
        <f t="array" aca="1" ref="N68" ca="1">IF($L68=0,"",IF($D$13=0,"-",INDEX(auto_DataFlat_DataValue,$M68,1)))</f>
        <v>-</v>
      </c>
      <c r="O68" s="58" cm="1">
        <f t="array" aca="1" ref="O68" ca="1">IF($D$14=1,0,IF($L68=0,"",INDEX(auto_DataFlat_Classification,$M68,1)))</f>
        <v>3</v>
      </c>
      <c r="P68" s="58"/>
      <c r="Q68" s="134" t="str" cm="1">
        <f t="array" aca="1" ref="Q68" ca="1">IF($D$14=1,"",INDEX(uxbGlobals!$B$133:$B$139,All_Measures!O68))</f>
        <v xml:space="preserve"> </v>
      </c>
      <c r="R68" s="135" t="str" cm="1">
        <f t="array" aca="1" ref="R68" ca="1">IF($L68=0,"",INDEX(auto_DataFlat_Rank,$M68,R$16))</f>
        <v>40</v>
      </c>
      <c r="S68" s="122" t="str" cm="1">
        <f t="array" aca="1" ref="S68" ca="1">IF($L68=0,"",INDEX(auto_ddCountry,K68))</f>
        <v>Colombo</v>
      </c>
      <c r="T68" s="136" t="str">
        <f t="shared" ca="1" si="9"/>
        <v>-</v>
      </c>
      <c r="U68" s="137" t="str" cm="1">
        <f t="array" aca="1" ref="U68" ca="1">IF($L68=0,"",IF(INDEX(auto_DataFlat_IsEstimate,$M68,V$16)="","",INDEX(auto_DataFlat_IsEstimate,$M68,V$16)))</f>
        <v/>
      </c>
      <c r="V68" s="138" cm="1">
        <f t="array" aca="1" ref="V68" ca="1">IF($L68=0,"",INDEX(auto_DataFlat_Score,$M68,V$16))</f>
        <v>50.1</v>
      </c>
      <c r="W68" s="139"/>
      <c r="X68" s="140" cm="1">
        <f t="array" aca="1" ref="X68" ca="1">IF($L68=0,"",INDEX(auto_DataFlat_DataYear,$M68,V$16))</f>
        <v>0</v>
      </c>
      <c r="Y68" s="141" cm="1">
        <f t="array" aca="1" ref="Y68" ca="1">IF($L68=0,"",INDEX(auto_DataFlat_Source,$M68,V$16))</f>
        <v>0</v>
      </c>
      <c r="Z68" s="4"/>
      <c r="AA68" s="4"/>
      <c r="AB68" s="4"/>
    </row>
    <row r="69" spans="1:28" ht="17.149999999999999" customHeight="1" x14ac:dyDescent="0.4">
      <c r="A69" s="118"/>
      <c r="B69" s="119"/>
      <c r="C69" s="132"/>
      <c r="D69" s="125"/>
      <c r="E69" s="7"/>
      <c r="F69" s="121"/>
      <c r="G69" s="133"/>
      <c r="H69" s="133"/>
      <c r="I69" s="133"/>
      <c r="J69" s="121"/>
      <c r="K69" s="58">
        <f ca="1">iMeasure_All!$N55</f>
        <v>1</v>
      </c>
      <c r="L69" s="58" cm="1">
        <f t="array" aca="1" ref="L69" ca="1">INDEX(auto_Country_Status,K69)</f>
        <v>1</v>
      </c>
      <c r="M69" s="58">
        <f ca="1">iMeasure_All!$P55</f>
        <v>1</v>
      </c>
      <c r="N69" s="58" t="str" cm="1">
        <f t="array" aca="1" ref="N69" ca="1">IF($L69=0,"",IF($D$13=0,"-",INDEX(auto_DataFlat_DataValue,$M69,1)))</f>
        <v>-</v>
      </c>
      <c r="O69" s="58" cm="1">
        <f t="array" aca="1" ref="O69" ca="1">IF($D$14=1,0,IF($L69=0,"",INDEX(auto_DataFlat_Classification,$M69,1)))</f>
        <v>3</v>
      </c>
      <c r="P69" s="58"/>
      <c r="Q69" s="134" t="str" cm="1">
        <f t="array" aca="1" ref="Q69" ca="1">IF($D$14=1,"",INDEX(uxbGlobals!$B$133:$B$139,All_Measures!O69))</f>
        <v xml:space="preserve"> </v>
      </c>
      <c r="R69" s="135" t="str" cm="1">
        <f t="array" aca="1" ref="R69" ca="1">IF($L69=0,"",INDEX(auto_DataFlat_Rank,$M69,R$16))</f>
        <v>41</v>
      </c>
      <c r="S69" s="122" t="str" cm="1">
        <f t="array" aca="1" ref="S69" ca="1">IF($L69=0,"",INDEX(auto_ddCountry,K69))</f>
        <v>Addis Ababa</v>
      </c>
      <c r="T69" s="136" t="str">
        <f t="shared" ca="1" si="9"/>
        <v>-</v>
      </c>
      <c r="U69" s="137" t="str" cm="1">
        <f t="array" aca="1" ref="U69" ca="1">IF($L69=0,"",IF(INDEX(auto_DataFlat_IsEstimate,$M69,V$16)="","",INDEX(auto_DataFlat_IsEstimate,$M69,V$16)))</f>
        <v/>
      </c>
      <c r="V69" s="138" cm="1">
        <f t="array" aca="1" ref="V69" ca="1">IF($L69=0,"",INDEX(auto_DataFlat_Score,$M69,V$16))</f>
        <v>49.6</v>
      </c>
      <c r="W69" s="139"/>
      <c r="X69" s="140" cm="1">
        <f t="array" aca="1" ref="X69" ca="1">IF($L69=0,"",INDEX(auto_DataFlat_DataYear,$M69,V$16))</f>
        <v>0</v>
      </c>
      <c r="Y69" s="141" cm="1">
        <f t="array" aca="1" ref="Y69" ca="1">IF($L69=0,"",INDEX(auto_DataFlat_Source,$M69,V$16))</f>
        <v>0</v>
      </c>
      <c r="Z69" s="4"/>
      <c r="AA69" s="4"/>
      <c r="AB69" s="4"/>
    </row>
    <row r="70" spans="1:28" ht="17.149999999999999" customHeight="1" x14ac:dyDescent="0.4">
      <c r="A70" s="118"/>
      <c r="B70" s="119"/>
      <c r="C70" s="132"/>
      <c r="D70" s="125"/>
      <c r="E70" s="7"/>
      <c r="F70" s="121"/>
      <c r="G70" s="133"/>
      <c r="H70" s="133"/>
      <c r="I70" s="133"/>
      <c r="J70" s="121"/>
      <c r="K70" s="58">
        <f ca="1">iMeasure_All!$N56</f>
        <v>28</v>
      </c>
      <c r="L70" s="58" cm="1">
        <f t="array" aca="1" ref="L70" ca="1">INDEX(auto_Country_Status,K70)</f>
        <v>1</v>
      </c>
      <c r="M70" s="58">
        <f ca="1">iMeasure_All!$P56</f>
        <v>28</v>
      </c>
      <c r="N70" s="58" t="str" cm="1">
        <f t="array" aca="1" ref="N70" ca="1">IF($L70=0,"",IF($D$13=0,"-",INDEX(auto_DataFlat_DataValue,$M70,1)))</f>
        <v>-</v>
      </c>
      <c r="O70" s="58" cm="1">
        <f t="array" aca="1" ref="O70" ca="1">IF($D$14=1,0,IF($L70=0,"",INDEX(auto_DataFlat_Classification,$M70,1)))</f>
        <v>3</v>
      </c>
      <c r="P70" s="58"/>
      <c r="Q70" s="134" t="str" cm="1">
        <f t="array" aca="1" ref="Q70" ca="1">IF($D$14=1,"",INDEX(uxbGlobals!$B$133:$B$139,All_Measures!O70))</f>
        <v xml:space="preserve"> </v>
      </c>
      <c r="R70" s="135" t="str" cm="1">
        <f t="array" aca="1" ref="R70" ca="1">IF($L70=0,"",INDEX(auto_DataFlat_Rank,$M70,R$16))</f>
        <v>42</v>
      </c>
      <c r="S70" s="122" t="str" cm="1">
        <f t="array" aca="1" ref="S70" ca="1">IF($L70=0,"",INDEX(auto_ddCountry,K70))</f>
        <v>Manila</v>
      </c>
      <c r="T70" s="136" t="str">
        <f t="shared" ca="1" si="9"/>
        <v>-</v>
      </c>
      <c r="U70" s="137" t="str" cm="1">
        <f t="array" aca="1" ref="U70" ca="1">IF($L70=0,"",IF(INDEX(auto_DataFlat_IsEstimate,$M70,V$16)="","",INDEX(auto_DataFlat_IsEstimate,$M70,V$16)))</f>
        <v/>
      </c>
      <c r="V70" s="138" cm="1">
        <f t="array" aca="1" ref="V70" ca="1">IF($L70=0,"",INDEX(auto_DataFlat_Score,$M70,V$16))</f>
        <v>48.8</v>
      </c>
      <c r="W70" s="139"/>
      <c r="X70" s="140" cm="1">
        <f t="array" aca="1" ref="X70" ca="1">IF($L70=0,"",INDEX(auto_DataFlat_DataYear,$M70,V$16))</f>
        <v>0</v>
      </c>
      <c r="Y70" s="141" cm="1">
        <f t="array" aca="1" ref="Y70" ca="1">IF($L70=0,"",INDEX(auto_DataFlat_Source,$M70,V$16))</f>
        <v>0</v>
      </c>
      <c r="Z70" s="4"/>
      <c r="AA70" s="4"/>
      <c r="AB70" s="4"/>
    </row>
    <row r="71" spans="1:28" ht="17.149999999999999" customHeight="1" x14ac:dyDescent="0.4">
      <c r="A71" s="118"/>
      <c r="B71" s="119"/>
      <c r="C71" s="132"/>
      <c r="D71" s="125"/>
      <c r="E71" s="7"/>
      <c r="F71" s="121"/>
      <c r="G71" s="133"/>
      <c r="H71" s="133"/>
      <c r="I71" s="133"/>
      <c r="J71" s="121"/>
      <c r="K71" s="58">
        <f ca="1">iMeasure_All!$N57</f>
        <v>21</v>
      </c>
      <c r="L71" s="58" cm="1">
        <f t="array" aca="1" ref="L71" ca="1">INDEX(auto_Country_Status,K71)</f>
        <v>1</v>
      </c>
      <c r="M71" s="58">
        <f ca="1">iMeasure_All!$P57</f>
        <v>21</v>
      </c>
      <c r="N71" s="58" t="str" cm="1">
        <f t="array" aca="1" ref="N71" ca="1">IF($L71=0,"",IF($D$13=0,"-",INDEX(auto_DataFlat_DataValue,$M71,1)))</f>
        <v>-</v>
      </c>
      <c r="O71" s="58" cm="1">
        <f t="array" aca="1" ref="O71" ca="1">IF($D$14=1,0,IF($L71=0,"",INDEX(auto_DataFlat_Classification,$M71,1)))</f>
        <v>3</v>
      </c>
      <c r="P71" s="58"/>
      <c r="Q71" s="134" t="str" cm="1">
        <f t="array" aca="1" ref="Q71" ca="1">IF($D$14=1,"",INDEX(uxbGlobals!$B$133:$B$139,All_Measures!O71))</f>
        <v xml:space="preserve"> </v>
      </c>
      <c r="R71" s="135" t="str" cm="1">
        <f t="array" aca="1" ref="R71" ca="1">IF($L71=0,"",INDEX(auto_DataFlat_Rank,$M71,R$16))</f>
        <v>43</v>
      </c>
      <c r="S71" s="122" t="str" cm="1">
        <f t="array" aca="1" ref="S71" ca="1">IF($L71=0,"",INDEX(auto_ddCountry,K71))</f>
        <v>Karachi</v>
      </c>
      <c r="T71" s="136" t="str">
        <f t="shared" ca="1" si="9"/>
        <v>-</v>
      </c>
      <c r="U71" s="137" t="str" cm="1">
        <f t="array" aca="1" ref="U71" ca="1">IF($L71=0,"",IF(INDEX(auto_DataFlat_IsEstimate,$M71,V$16)="","",INDEX(auto_DataFlat_IsEstimate,$M71,V$16)))</f>
        <v/>
      </c>
      <c r="V71" s="138" cm="1">
        <f t="array" aca="1" ref="V71" ca="1">IF($L71=0,"",INDEX(auto_DataFlat_Score,$M71,V$16))</f>
        <v>44.3</v>
      </c>
      <c r="W71" s="139"/>
      <c r="X71" s="140" cm="1">
        <f t="array" aca="1" ref="X71" ca="1">IF($L71=0,"",INDEX(auto_DataFlat_DataYear,$M71,V$16))</f>
        <v>0</v>
      </c>
      <c r="Y71" s="141" cm="1">
        <f t="array" aca="1" ref="Y71" ca="1">IF($L71=0,"",INDEX(auto_DataFlat_Source,$M71,V$16))</f>
        <v>0</v>
      </c>
      <c r="Z71" s="4"/>
      <c r="AA71" s="4"/>
      <c r="AB71" s="4"/>
    </row>
    <row r="72" spans="1:28" ht="17.149999999999999" customHeight="1" x14ac:dyDescent="0.4">
      <c r="A72" s="118"/>
      <c r="B72" s="119"/>
      <c r="C72" s="132"/>
      <c r="D72" s="125"/>
      <c r="E72" s="7"/>
      <c r="F72" s="121"/>
      <c r="G72" s="133"/>
      <c r="H72" s="133"/>
      <c r="I72" s="133"/>
      <c r="J72" s="121"/>
      <c r="K72" s="58">
        <f ca="1">iMeasure_All!$N58</f>
        <v>38</v>
      </c>
      <c r="L72" s="58" cm="1">
        <f t="array" aca="1" ref="L72" ca="1">INDEX(auto_Country_Status,K72)</f>
        <v>1</v>
      </c>
      <c r="M72" s="58">
        <f ca="1">iMeasure_All!$P58</f>
        <v>38</v>
      </c>
      <c r="N72" s="58" t="str" cm="1">
        <f t="array" aca="1" ref="N72" ca="1">IF($L72=0,"",IF($D$13=0,"-",INDEX(auto_DataFlat_DataValue,$M72,1)))</f>
        <v>-</v>
      </c>
      <c r="O72" s="58" cm="1">
        <f t="array" aca="1" ref="O72" ca="1">IF($D$14=1,0,IF($L72=0,"",INDEX(auto_DataFlat_Classification,$M72,1)))</f>
        <v>3</v>
      </c>
      <c r="P72" s="58"/>
      <c r="Q72" s="134" t="str" cm="1">
        <f t="array" aca="1" ref="Q72" ca="1">IF($D$14=1,"",INDEX(uxbGlobals!$B$133:$B$139,All_Measures!O72))</f>
        <v xml:space="preserve"> </v>
      </c>
      <c r="R72" s="135" t="str" cm="1">
        <f t="array" aca="1" ref="R72" ca="1">IF($L72=0,"",INDEX(auto_DataFlat_Rank,$M72,R$16))</f>
        <v>44</v>
      </c>
      <c r="S72" s="122" t="str" cm="1">
        <f t="array" aca="1" ref="S72" ca="1">IF($L72=0,"",INDEX(auto_ddCountry,K72))</f>
        <v>Riyadh</v>
      </c>
      <c r="T72" s="136" t="str">
        <f t="shared" ca="1" si="9"/>
        <v>-</v>
      </c>
      <c r="U72" s="137" t="str" cm="1">
        <f t="array" aca="1" ref="U72" ca="1">IF($L72=0,"",IF(INDEX(auto_DataFlat_IsEstimate,$M72,V$16)="","",INDEX(auto_DataFlat_IsEstimate,$M72,V$16)))</f>
        <v/>
      </c>
      <c r="V72" s="138" cm="1">
        <f t="array" aca="1" ref="V72" ca="1">IF($L72=0,"",INDEX(auto_DataFlat_Score,$M72,V$16))</f>
        <v>44.2</v>
      </c>
      <c r="W72" s="139"/>
      <c r="X72" s="140" cm="1">
        <f t="array" aca="1" ref="X72" ca="1">IF($L72=0,"",INDEX(auto_DataFlat_DataYear,$M72,V$16))</f>
        <v>0</v>
      </c>
      <c r="Y72" s="141" cm="1">
        <f t="array" aca="1" ref="Y72" ca="1">IF($L72=0,"",INDEX(auto_DataFlat_Source,$M72,V$16))</f>
        <v>0</v>
      </c>
      <c r="Z72" s="4"/>
      <c r="AA72" s="4"/>
      <c r="AB72" s="4"/>
    </row>
    <row r="73" spans="1:28" ht="17.149999999999999" customHeight="1" x14ac:dyDescent="0.4">
      <c r="A73" s="118"/>
      <c r="B73" s="119"/>
      <c r="C73" s="132"/>
      <c r="D73" s="125"/>
      <c r="E73" s="7"/>
      <c r="F73" s="121"/>
      <c r="G73" s="133"/>
      <c r="H73" s="133"/>
      <c r="I73" s="133"/>
      <c r="J73" s="121"/>
      <c r="K73" s="58">
        <f ca="1">iMeasure_All!$N59</f>
        <v>50</v>
      </c>
      <c r="L73" s="58" cm="1">
        <f t="array" aca="1" ref="L73" ca="1">INDEX(auto_Country_Status,K73)</f>
        <v>1</v>
      </c>
      <c r="M73" s="58">
        <f ca="1">iMeasure_All!$P59</f>
        <v>50</v>
      </c>
      <c r="N73" s="58" t="str" cm="1">
        <f t="array" aca="1" ref="N73" ca="1">IF($L73=0,"",IF($D$13=0,"-",INDEX(auto_DataFlat_DataValue,$M73,1)))</f>
        <v>-</v>
      </c>
      <c r="O73" s="58" cm="1">
        <f t="array" aca="1" ref="O73" ca="1">IF($D$14=1,0,IF($L73=0,"",INDEX(auto_DataFlat_Classification,$M73,1)))</f>
        <v>3</v>
      </c>
      <c r="P73" s="58"/>
      <c r="Q73" s="134" t="str" cm="1">
        <f t="array" aca="1" ref="Q73" ca="1">IF($D$14=1,"",INDEX(uxbGlobals!$B$133:$B$139,All_Measures!O73))</f>
        <v xml:space="preserve"> </v>
      </c>
      <c r="R73" s="135" t="str" cm="1">
        <f t="array" aca="1" ref="R73" ca="1">IF($L73=0,"",INDEX(auto_DataFlat_Rank,$M73,R$16))</f>
        <v>45</v>
      </c>
      <c r="S73" s="122" t="str" cm="1">
        <f t="array" aca="1" ref="S73" ca="1">IF($L73=0,"",INDEX(auto_ddCountry,K73))</f>
        <v>Yangon</v>
      </c>
      <c r="T73" s="136" t="str">
        <f t="shared" ca="1" si="9"/>
        <v>-</v>
      </c>
      <c r="U73" s="137" t="str" cm="1">
        <f t="array" aca="1" ref="U73" ca="1">IF($L73=0,"",IF(INDEX(auto_DataFlat_IsEstimate,$M73,V$16)="","",INDEX(auto_DataFlat_IsEstimate,$M73,V$16)))</f>
        <v/>
      </c>
      <c r="V73" s="138" cm="1">
        <f t="array" aca="1" ref="V73" ca="1">IF($L73=0,"",INDEX(auto_DataFlat_Score,$M73,V$16))</f>
        <v>43.5</v>
      </c>
      <c r="W73" s="139"/>
      <c r="X73" s="140" cm="1">
        <f t="array" aca="1" ref="X73" ca="1">IF($L73=0,"",INDEX(auto_DataFlat_DataYear,$M73,V$16))</f>
        <v>0</v>
      </c>
      <c r="Y73" s="141" cm="1">
        <f t="array" aca="1" ref="Y73" ca="1">IF($L73=0,"",INDEX(auto_DataFlat_Source,$M73,V$16))</f>
        <v>0</v>
      </c>
      <c r="Z73" s="4"/>
      <c r="AA73" s="4"/>
      <c r="AB73" s="4"/>
    </row>
    <row r="74" spans="1:28" ht="17.149999999999999" customHeight="1" x14ac:dyDescent="0.4">
      <c r="A74" s="118"/>
      <c r="B74" s="119"/>
      <c r="C74" s="132"/>
      <c r="D74" s="125"/>
      <c r="E74" s="7"/>
      <c r="F74" s="121"/>
      <c r="G74" s="133"/>
      <c r="H74" s="133"/>
      <c r="I74" s="133"/>
      <c r="J74" s="121"/>
      <c r="K74" s="58">
        <f ca="1">iMeasure_All!$N60</f>
        <v>24</v>
      </c>
      <c r="L74" s="58" cm="1">
        <f t="array" aca="1" ref="L74" ca="1">INDEX(auto_Country_Status,K74)</f>
        <v>1</v>
      </c>
      <c r="M74" s="58">
        <f ca="1">iMeasure_All!$P60</f>
        <v>24</v>
      </c>
      <c r="N74" s="58" t="str" cm="1">
        <f t="array" aca="1" ref="N74" ca="1">IF($L74=0,"",IF($D$13=0,"-",INDEX(auto_DataFlat_DataValue,$M74,1)))</f>
        <v>-</v>
      </c>
      <c r="O74" s="58" cm="1">
        <f t="array" aca="1" ref="O74" ca="1">IF($D$14=1,0,IF($L74=0,"",INDEX(auto_DataFlat_Classification,$M74,1)))</f>
        <v>3</v>
      </c>
      <c r="P74" s="58"/>
      <c r="Q74" s="134" t="str" cm="1">
        <f t="array" aca="1" ref="Q74" ca="1">IF($D$14=1,"",INDEX(uxbGlobals!$B$133:$B$139,All_Measures!O74))</f>
        <v xml:space="preserve"> </v>
      </c>
      <c r="R74" s="135" t="str" cm="1">
        <f t="array" aca="1" ref="R74" ca="1">IF($L74=0,"",INDEX(auto_DataFlat_Rank,$M74,R$16))</f>
        <v>46</v>
      </c>
      <c r="S74" s="122" t="str" cm="1">
        <f t="array" aca="1" ref="S74" ca="1">IF($L74=0,"",INDEX(auto_ddCountry,K74))</f>
        <v>Kuwait City</v>
      </c>
      <c r="T74" s="136" t="str">
        <f t="shared" ca="1" si="9"/>
        <v>-</v>
      </c>
      <c r="U74" s="137" t="str" cm="1">
        <f t="array" aca="1" ref="U74" ca="1">IF($L74=0,"",IF(INDEX(auto_DataFlat_IsEstimate,$M74,V$16)="","",INDEX(auto_DataFlat_IsEstimate,$M74,V$16)))</f>
        <v/>
      </c>
      <c r="V74" s="138" cm="1">
        <f t="array" aca="1" ref="V74" ca="1">IF($L74=0,"",INDEX(auto_DataFlat_Score,$M74,V$16))</f>
        <v>42.1</v>
      </c>
      <c r="W74" s="139"/>
      <c r="X74" s="140" cm="1">
        <f t="array" aca="1" ref="X74" ca="1">IF($L74=0,"",INDEX(auto_DataFlat_DataYear,$M74,V$16))</f>
        <v>0</v>
      </c>
      <c r="Y74" s="141" cm="1">
        <f t="array" aca="1" ref="Y74" ca="1">IF($L74=0,"",INDEX(auto_DataFlat_Source,$M74,V$16))</f>
        <v>0</v>
      </c>
      <c r="Z74" s="4"/>
      <c r="AA74" s="4"/>
      <c r="AB74" s="4"/>
    </row>
    <row r="75" spans="1:28" ht="17.149999999999999" customHeight="1" x14ac:dyDescent="0.4">
      <c r="A75" s="118"/>
      <c r="B75" s="119"/>
      <c r="C75" s="132"/>
      <c r="D75" s="125"/>
      <c r="E75" s="7"/>
      <c r="F75" s="121"/>
      <c r="G75" s="133"/>
      <c r="H75" s="133"/>
      <c r="I75" s="133"/>
      <c r="J75" s="121"/>
      <c r="K75" s="58">
        <f ca="1">iMeasure_All!$N61</f>
        <v>13</v>
      </c>
      <c r="L75" s="58" cm="1">
        <f t="array" aca="1" ref="L75" ca="1">INDEX(auto_Country_Status,K75)</f>
        <v>1</v>
      </c>
      <c r="M75" s="58">
        <f ca="1">iMeasure_All!$P61</f>
        <v>13</v>
      </c>
      <c r="N75" s="58" t="str" cm="1">
        <f t="array" aca="1" ref="N75" ca="1">IF($L75=0,"",IF($D$13=0,"-",INDEX(auto_DataFlat_DataValue,$M75,1)))</f>
        <v>-</v>
      </c>
      <c r="O75" s="58" cm="1">
        <f t="array" aca="1" ref="O75" ca="1">IF($D$14=1,0,IF($L75=0,"",INDEX(auto_DataFlat_Classification,$M75,1)))</f>
        <v>3</v>
      </c>
      <c r="P75" s="58"/>
      <c r="Q75" s="134" t="str" cm="1">
        <f t="array" aca="1" ref="Q75" ca="1">IF($D$14=1,"",INDEX(uxbGlobals!$B$133:$B$139,All_Measures!O75))</f>
        <v xml:space="preserve"> </v>
      </c>
      <c r="R75" s="135" t="str" cm="1">
        <f t="array" aca="1" ref="R75" ca="1">IF($L75=0,"",INDEX(auto_DataFlat_Rank,$M75,R$16))</f>
        <v>47</v>
      </c>
      <c r="S75" s="122" t="str" cm="1">
        <f t="array" aca="1" ref="S75" ca="1">IF($L75=0,"",INDEX(auto_ddCountry,K75))</f>
        <v>Dhaka</v>
      </c>
      <c r="T75" s="136" t="str">
        <f t="shared" ca="1" si="9"/>
        <v>-</v>
      </c>
      <c r="U75" s="137" t="str" cm="1">
        <f t="array" aca="1" ref="U75" ca="1">IF($L75=0,"",IF(INDEX(auto_DataFlat_IsEstimate,$M75,V$16)="","",INDEX(auto_DataFlat_IsEstimate,$M75,V$16)))</f>
        <v/>
      </c>
      <c r="V75" s="138" cm="1">
        <f t="array" aca="1" ref="V75" ca="1">IF($L75=0,"",INDEX(auto_DataFlat_Score,$M75,V$16))</f>
        <v>41.8</v>
      </c>
      <c r="W75" s="139"/>
      <c r="X75" s="140" cm="1">
        <f t="array" aca="1" ref="X75" ca="1">IF($L75=0,"",INDEX(auto_DataFlat_DataYear,$M75,V$16))</f>
        <v>0</v>
      </c>
      <c r="Y75" s="141" cm="1">
        <f t="array" aca="1" ref="Y75" ca="1">IF($L75=0,"",INDEX(auto_DataFlat_Source,$M75,V$16))</f>
        <v>0</v>
      </c>
      <c r="Z75" s="4"/>
      <c r="AA75" s="4"/>
      <c r="AB75" s="4"/>
    </row>
    <row r="76" spans="1:28" ht="17.149999999999999" customHeight="1" x14ac:dyDescent="0.4">
      <c r="A76" s="118"/>
      <c r="B76" s="119"/>
      <c r="C76" s="132"/>
      <c r="D76" s="125"/>
      <c r="E76" s="7"/>
      <c r="F76" s="121"/>
      <c r="G76" s="133"/>
      <c r="H76" s="133"/>
      <c r="I76" s="133"/>
      <c r="J76" s="121"/>
      <c r="K76" s="58">
        <f ca="1">iMeasure_All!$N62</f>
        <v>2</v>
      </c>
      <c r="L76" s="58" cm="1">
        <f t="array" aca="1" ref="L76" ca="1">INDEX(auto_Country_Status,K76)</f>
        <v>1</v>
      </c>
      <c r="M76" s="58">
        <f ca="1">iMeasure_All!$P62</f>
        <v>2</v>
      </c>
      <c r="N76" s="58" t="str" cm="1">
        <f t="array" aca="1" ref="N76" ca="1">IF($L76=0,"",IF($D$13=0,"-",INDEX(auto_DataFlat_DataValue,$M76,1)))</f>
        <v>-</v>
      </c>
      <c r="O76" s="58" cm="1">
        <f t="array" aca="1" ref="O76" ca="1">IF($D$14=1,0,IF($L76=0,"",INDEX(auto_DataFlat_Classification,$M76,1)))</f>
        <v>3</v>
      </c>
      <c r="P76" s="58"/>
      <c r="Q76" s="134" t="str" cm="1">
        <f t="array" aca="1" ref="Q76" ca="1">IF($D$14=1,"",INDEX(uxbGlobals!$B$133:$B$139,All_Measures!O76))</f>
        <v xml:space="preserve"> </v>
      </c>
      <c r="R76" s="135" t="str" cm="1">
        <f t="array" aca="1" ref="R76" ca="1">IF($L76=0,"",INDEX(auto_DataFlat_Rank,$M76,R$16))</f>
        <v>48</v>
      </c>
      <c r="S76" s="122" t="str" cm="1">
        <f t="array" aca="1" ref="S76" ca="1">IF($L76=0,"",INDEX(auto_ddCountry,K76))</f>
        <v>Algiers</v>
      </c>
      <c r="T76" s="136" t="str">
        <f t="shared" ca="1" si="9"/>
        <v>-</v>
      </c>
      <c r="U76" s="137" t="str" cm="1">
        <f t="array" aca="1" ref="U76" ca="1">IF($L76=0,"",IF(INDEX(auto_DataFlat_IsEstimate,$M76,V$16)="","",INDEX(auto_DataFlat_IsEstimate,$M76,V$16)))</f>
        <v/>
      </c>
      <c r="V76" s="138" cm="1">
        <f t="array" aca="1" ref="V76" ca="1">IF($L76=0,"",INDEX(auto_DataFlat_Score,$M76,V$16))</f>
        <v>41</v>
      </c>
      <c r="W76" s="139"/>
      <c r="X76" s="140" cm="1">
        <f t="array" aca="1" ref="X76" ca="1">IF($L76=0,"",INDEX(auto_DataFlat_DataYear,$M76,V$16))</f>
        <v>0</v>
      </c>
      <c r="Y76" s="141" cm="1">
        <f t="array" aca="1" ref="Y76" ca="1">IF($L76=0,"",INDEX(auto_DataFlat_Source,$M76,V$16))</f>
        <v>0</v>
      </c>
      <c r="Z76" s="4"/>
      <c r="AA76" s="4"/>
      <c r="AB76" s="4"/>
    </row>
    <row r="77" spans="1:28" ht="17.149999999999999" customHeight="1" x14ac:dyDescent="0.4">
      <c r="A77" s="118"/>
      <c r="B77" s="119"/>
      <c r="C77" s="132"/>
      <c r="D77" s="125"/>
      <c r="E77" s="7"/>
      <c r="F77" s="121"/>
      <c r="G77" s="133"/>
      <c r="H77" s="133"/>
      <c r="I77" s="133"/>
      <c r="J77" s="121"/>
      <c r="K77" s="58">
        <f ca="1">iMeasure_All!$N63</f>
        <v>22</v>
      </c>
      <c r="L77" s="58" cm="1">
        <f t="array" aca="1" ref="L77" ca="1">INDEX(auto_Country_Status,K77)</f>
        <v>1</v>
      </c>
      <c r="M77" s="58">
        <f ca="1">iMeasure_All!$P63</f>
        <v>22</v>
      </c>
      <c r="N77" s="58" t="str" cm="1">
        <f t="array" aca="1" ref="N77" ca="1">IF($L77=0,"",IF($D$13=0,"-",INDEX(auto_DataFlat_DataValue,$M77,1)))</f>
        <v>-</v>
      </c>
      <c r="O77" s="58" cm="1">
        <f t="array" aca="1" ref="O77" ca="1">IF($D$14=1,0,IF($L77=0,"",INDEX(auto_DataFlat_Classification,$M77,1)))</f>
        <v>3</v>
      </c>
      <c r="P77" s="58"/>
      <c r="Q77" s="134" t="str" cm="1">
        <f t="array" aca="1" ref="Q77" ca="1">IF($D$14=1,"",INDEX(uxbGlobals!$B$133:$B$139,All_Measures!O77))</f>
        <v xml:space="preserve"> </v>
      </c>
      <c r="R77" s="135" t="str" cm="1">
        <f t="array" aca="1" ref="R77" ca="1">IF($L77=0,"",INDEX(auto_DataFlat_Rank,$M77,R$16))</f>
        <v>49</v>
      </c>
      <c r="S77" s="122" t="str" cm="1">
        <f t="array" aca="1" ref="S77" ca="1">IF($L77=0,"",INDEX(auto_ddCountry,K77))</f>
        <v>Kathmandu</v>
      </c>
      <c r="T77" s="136" t="str">
        <f t="shared" ca="1" si="9"/>
        <v>-</v>
      </c>
      <c r="U77" s="137" t="str" cm="1">
        <f t="array" aca="1" ref="U77" ca="1">IF($L77=0,"",IF(INDEX(auto_DataFlat_IsEstimate,$M77,V$16)="","",INDEX(auto_DataFlat_IsEstimate,$M77,V$16)))</f>
        <v/>
      </c>
      <c r="V77" s="138" cm="1">
        <f t="array" aca="1" ref="V77" ca="1">IF($L77=0,"",INDEX(auto_DataFlat_Score,$M77,V$16))</f>
        <v>40.9</v>
      </c>
      <c r="W77" s="139"/>
      <c r="X77" s="140" cm="1">
        <f t="array" aca="1" ref="X77" ca="1">IF($L77=0,"",INDEX(auto_DataFlat_DataYear,$M77,V$16))</f>
        <v>0</v>
      </c>
      <c r="Y77" s="141" cm="1">
        <f t="array" aca="1" ref="Y77" ca="1">IF($L77=0,"",INDEX(auto_DataFlat_Source,$M77,V$16))</f>
        <v>0</v>
      </c>
      <c r="Z77" s="4"/>
      <c r="AA77" s="4"/>
      <c r="AB77" s="4"/>
    </row>
    <row r="78" spans="1:28" ht="17.149999999999999" customHeight="1" x14ac:dyDescent="0.4">
      <c r="A78" s="118" t="str">
        <f t="shared" ca="1" si="8"/>
        <v/>
      </c>
      <c r="B78" s="119" t="str">
        <f t="shared" si="2"/>
        <v/>
      </c>
      <c r="C78" s="132" t="str">
        <f t="shared" ca="1" si="6"/>
        <v/>
      </c>
      <c r="D78" s="125"/>
      <c r="E78" s="7"/>
      <c r="F78" s="121"/>
      <c r="G78" s="133"/>
      <c r="H78" s="133"/>
      <c r="I78" s="133"/>
      <c r="J78" s="121"/>
      <c r="K78" s="58">
        <f ca="1">iMeasure_All!$N64</f>
        <v>10</v>
      </c>
      <c r="L78" s="58" cm="1">
        <f t="array" aca="1" ref="L78" ca="1">INDEX(auto_Country_Status,K78)</f>
        <v>1</v>
      </c>
      <c r="M78" s="58">
        <f ca="1">iMeasure_All!$P64</f>
        <v>10</v>
      </c>
      <c r="N78" s="58" t="str" cm="1">
        <f t="array" aca="1" ref="N78" ca="1">IF($L78=0,"",IF($D$13=0,"-",INDEX(auto_DataFlat_DataValue,$M78,1)))</f>
        <v>-</v>
      </c>
      <c r="O78" s="58" cm="1">
        <f t="array" aca="1" ref="O78" ca="1">IF($D$14=1,0,IF($L78=0,"",INDEX(auto_DataFlat_Classification,$M78,1)))</f>
        <v>3</v>
      </c>
      <c r="P78" s="58"/>
      <c r="Q78" s="134" t="str" cm="1">
        <f t="array" aca="1" ref="Q78" ca="1">IF($D$14=1,"",INDEX(uxbGlobals!$B$133:$B$139,All_Measures!O78))</f>
        <v xml:space="preserve"> </v>
      </c>
      <c r="R78" s="135" t="str" cm="1">
        <f t="array" aca="1" ref="R78" ca="1">IF($L78=0,"",INDEX(auto_DataFlat_Rank,$M78,R$16))</f>
        <v>50</v>
      </c>
      <c r="S78" s="122" t="str" cm="1">
        <f t="array" aca="1" ref="S78" ca="1">IF($L78=0,"",INDEX(auto_ddCountry,K78))</f>
        <v>Cairo</v>
      </c>
      <c r="T78" s="136" t="str">
        <f t="shared" ca="1" si="9"/>
        <v>-</v>
      </c>
      <c r="U78" s="137" t="str" cm="1">
        <f t="array" aca="1" ref="U78" ca="1">IF($L78=0,"",IF(INDEX(auto_DataFlat_IsEstimate,$M78,V$16)="","",INDEX(auto_DataFlat_IsEstimate,$M78,V$16)))</f>
        <v/>
      </c>
      <c r="V78" s="138" cm="1">
        <f t="array" aca="1" ref="V78" ca="1">IF($L78=0,"",INDEX(auto_DataFlat_Score,$M78,V$16))</f>
        <v>40.6</v>
      </c>
      <c r="W78" s="139"/>
      <c r="X78" s="140" cm="1">
        <f t="array" aca="1" ref="X78" ca="1">IF($L78=0,"",INDEX(auto_DataFlat_DataYear,$M78,V$16))</f>
        <v>0</v>
      </c>
      <c r="Y78" s="141" cm="1">
        <f t="array" aca="1" ref="Y78" ca="1">IF($L78=0,"",INDEX(auto_DataFlat_Source,$M78,V$16))</f>
        <v>0</v>
      </c>
      <c r="Z78" s="4"/>
      <c r="AA78" s="4"/>
      <c r="AB78" s="4"/>
    </row>
    <row r="79" spans="1:28" x14ac:dyDescent="0.4">
      <c r="A79" s="4"/>
      <c r="B79" s="4"/>
      <c r="C79" s="4"/>
      <c r="D79" s="4"/>
      <c r="E79" s="4"/>
      <c r="F79" s="4"/>
      <c r="G79" s="4"/>
      <c r="H79" s="4"/>
      <c r="I79" s="4"/>
      <c r="J79" s="4"/>
      <c r="K79" s="4"/>
      <c r="L79" s="4"/>
      <c r="M79" s="4"/>
      <c r="N79" s="4"/>
      <c r="O79" s="4"/>
      <c r="P79" s="4"/>
      <c r="Q79" s="4"/>
      <c r="R79" s="4"/>
      <c r="S79" s="4"/>
      <c r="T79" s="142"/>
      <c r="U79" s="4"/>
      <c r="V79" s="4"/>
      <c r="W79" s="4"/>
      <c r="X79" s="4"/>
      <c r="Y79" s="4"/>
      <c r="Z79" s="4"/>
      <c r="AA79" s="4"/>
      <c r="AB79" s="4"/>
    </row>
    <row r="80" spans="1:28" x14ac:dyDescent="0.4">
      <c r="A80" s="107" t="str">
        <f ca="1">IF(K80=0,"H","")</f>
        <v>H</v>
      </c>
      <c r="B80" s="4"/>
      <c r="C80" s="4"/>
      <c r="D80" s="4"/>
      <c r="E80" s="4"/>
      <c r="F80" s="4"/>
      <c r="G80" s="4"/>
      <c r="H80" s="4"/>
      <c r="I80" s="4"/>
      <c r="J80" s="4"/>
      <c r="K80" s="4">
        <f ca="1">COUNTIF($U$29:$U$78,"e")</f>
        <v>0</v>
      </c>
      <c r="L80" s="4"/>
      <c r="M80" s="4"/>
      <c r="N80" s="4"/>
      <c r="O80" s="4"/>
      <c r="P80" s="4"/>
      <c r="Q80" s="143" t="s">
        <v>1531</v>
      </c>
      <c r="R80" s="4"/>
      <c r="S80" s="4"/>
      <c r="T80" s="142"/>
      <c r="U80" s="4"/>
      <c r="V80" s="4"/>
      <c r="W80" s="4"/>
      <c r="X80" s="4"/>
      <c r="Y80" s="4"/>
      <c r="Z80" s="4"/>
      <c r="AA80" s="4"/>
      <c r="AB80" s="4"/>
    </row>
    <row r="81" spans="1:28" x14ac:dyDescent="0.4">
      <c r="A81" s="4"/>
      <c r="B81" s="4"/>
      <c r="C81" s="4"/>
      <c r="D81" s="4"/>
      <c r="E81" s="4"/>
      <c r="F81" s="4"/>
      <c r="G81" s="4"/>
      <c r="H81" s="4"/>
      <c r="I81" s="4"/>
      <c r="J81" s="4"/>
      <c r="K81" s="4"/>
      <c r="L81" s="4"/>
      <c r="M81" s="4"/>
      <c r="N81" s="4"/>
      <c r="O81" s="4"/>
      <c r="P81" s="4"/>
      <c r="Q81" s="144"/>
      <c r="R81" s="4"/>
      <c r="S81" s="4"/>
      <c r="T81" s="142"/>
      <c r="U81" s="4"/>
      <c r="V81" s="4"/>
      <c r="W81" s="4"/>
      <c r="X81" s="4"/>
      <c r="Y81" s="4"/>
      <c r="Z81" s="4"/>
      <c r="AA81" s="4"/>
      <c r="AB81" s="4"/>
    </row>
    <row r="82" spans="1:28" x14ac:dyDescent="0.4">
      <c r="A82" s="13" t="s">
        <v>2</v>
      </c>
      <c r="B82" s="4"/>
      <c r="C82" s="4"/>
      <c r="D82" s="4"/>
      <c r="E82" s="4"/>
      <c r="F82" s="4"/>
      <c r="G82" s="4"/>
      <c r="H82" s="4"/>
      <c r="I82" s="4"/>
      <c r="J82" s="4"/>
      <c r="K82" s="4"/>
      <c r="L82" s="4"/>
      <c r="M82" s="4"/>
      <c r="N82" s="4"/>
      <c r="O82" s="4"/>
      <c r="P82" s="4"/>
      <c r="Q82" s="4"/>
      <c r="R82" s="4"/>
      <c r="S82" s="4"/>
      <c r="T82" s="142"/>
      <c r="U82" s="4"/>
      <c r="V82" s="4"/>
      <c r="W82" s="4"/>
      <c r="X82" s="4"/>
      <c r="Y82" s="4"/>
      <c r="Z82" s="4"/>
      <c r="AA82" s="4"/>
      <c r="AB82" s="4" t="s">
        <v>164</v>
      </c>
    </row>
    <row r="83" spans="1:28" x14ac:dyDescent="0.4">
      <c r="A83" s="4"/>
      <c r="B83" s="4"/>
      <c r="C83" s="4"/>
      <c r="D83" s="4"/>
      <c r="E83" s="4"/>
      <c r="F83" s="4"/>
      <c r="G83" s="4"/>
      <c r="H83" s="4"/>
      <c r="I83" s="4"/>
      <c r="J83" s="4"/>
      <c r="K83" s="4"/>
      <c r="L83" s="4"/>
      <c r="M83" s="4"/>
      <c r="N83" s="4"/>
      <c r="O83" s="4"/>
      <c r="P83" s="4"/>
      <c r="Q83" s="4"/>
      <c r="R83" s="4"/>
      <c r="S83" s="4"/>
      <c r="T83" s="142"/>
      <c r="U83" s="4"/>
      <c r="V83" s="4"/>
      <c r="W83" s="4"/>
      <c r="X83" s="4"/>
      <c r="Y83" s="4"/>
      <c r="Z83" s="4"/>
      <c r="AA83" s="4"/>
      <c r="AB83" s="4"/>
    </row>
    <row r="84" spans="1:28" x14ac:dyDescent="0.4">
      <c r="A84" s="4"/>
      <c r="B84" s="4"/>
      <c r="C84" s="4"/>
      <c r="D84" s="4"/>
      <c r="E84" s="4"/>
      <c r="F84" s="4"/>
      <c r="G84" s="4"/>
      <c r="H84" s="4"/>
      <c r="I84" s="4"/>
      <c r="J84" s="4"/>
      <c r="K84" s="4"/>
      <c r="L84" s="4"/>
      <c r="M84" s="4"/>
      <c r="N84" s="4"/>
      <c r="O84" s="4"/>
      <c r="P84" s="4"/>
      <c r="Q84" s="4"/>
      <c r="R84" s="4"/>
      <c r="S84" s="4"/>
      <c r="T84" s="142"/>
      <c r="U84" s="4"/>
      <c r="V84" s="4"/>
      <c r="W84" s="4"/>
      <c r="X84" s="4"/>
      <c r="Y84" s="4"/>
      <c r="Z84" s="4"/>
      <c r="AA84" s="4"/>
      <c r="AB84" s="4"/>
    </row>
    <row r="85" spans="1:28" x14ac:dyDescent="0.4">
      <c r="A85" s="4"/>
      <c r="B85" s="4"/>
      <c r="C85" s="4"/>
      <c r="D85" s="4"/>
      <c r="E85" s="4"/>
      <c r="F85" s="4"/>
      <c r="G85" s="4"/>
      <c r="H85" s="4"/>
      <c r="I85" s="4"/>
      <c r="J85" s="4"/>
      <c r="K85" s="4"/>
      <c r="L85" s="4"/>
      <c r="M85" s="4"/>
      <c r="N85" s="4"/>
      <c r="O85" s="4"/>
      <c r="P85" s="4"/>
      <c r="Q85" s="4"/>
      <c r="R85" s="4"/>
      <c r="S85" s="4"/>
      <c r="T85" s="142"/>
      <c r="U85" s="4"/>
      <c r="V85" s="4"/>
      <c r="W85" s="4"/>
      <c r="X85" s="4"/>
      <c r="Y85" s="4"/>
      <c r="Z85" s="4"/>
      <c r="AA85" s="4"/>
      <c r="AB85" s="4"/>
    </row>
    <row r="86" spans="1:28" x14ac:dyDescent="0.4">
      <c r="A86" s="4"/>
      <c r="B86" s="4"/>
      <c r="C86" s="4"/>
      <c r="D86" s="4"/>
      <c r="E86" s="4"/>
      <c r="F86" s="4"/>
      <c r="G86" s="4"/>
      <c r="H86" s="4"/>
      <c r="I86" s="4"/>
      <c r="J86" s="4"/>
      <c r="K86" s="4"/>
      <c r="L86" s="4"/>
      <c r="M86" s="4"/>
      <c r="N86" s="4"/>
      <c r="O86" s="4"/>
      <c r="P86" s="4"/>
      <c r="Q86" s="4"/>
      <c r="R86" s="4"/>
      <c r="S86" s="4"/>
      <c r="T86" s="142"/>
      <c r="U86" s="4"/>
      <c r="V86" s="4"/>
      <c r="W86" s="4"/>
      <c r="X86" s="4"/>
      <c r="Y86" s="4"/>
      <c r="Z86" s="4"/>
      <c r="AA86" s="4"/>
      <c r="AB86" s="4"/>
    </row>
    <row r="87" spans="1:28" x14ac:dyDescent="0.4">
      <c r="A87" s="4"/>
      <c r="B87" s="4"/>
      <c r="C87" s="4"/>
      <c r="D87" s="4"/>
      <c r="E87" s="4"/>
      <c r="F87" s="4"/>
      <c r="G87" s="4"/>
      <c r="H87" s="4"/>
      <c r="I87" s="4"/>
      <c r="J87" s="4"/>
      <c r="K87" s="4"/>
      <c r="L87" s="4"/>
      <c r="M87" s="4"/>
      <c r="N87" s="4"/>
      <c r="O87" s="4"/>
      <c r="P87" s="4"/>
      <c r="Q87" s="4"/>
      <c r="R87" s="4"/>
      <c r="S87" s="4"/>
      <c r="T87" s="142"/>
      <c r="U87" s="4"/>
      <c r="V87" s="4"/>
      <c r="W87" s="4"/>
      <c r="X87" s="4"/>
      <c r="Y87" s="4"/>
      <c r="Z87" s="4"/>
      <c r="AA87" s="4"/>
      <c r="AB87" s="4"/>
    </row>
    <row r="88" spans="1:28" x14ac:dyDescent="0.4">
      <c r="A88" s="4"/>
      <c r="B88" s="4"/>
      <c r="C88" s="4"/>
      <c r="D88" s="4"/>
      <c r="E88" s="4"/>
      <c r="F88" s="4"/>
      <c r="G88" s="4"/>
      <c r="H88" s="4"/>
      <c r="I88" s="4"/>
      <c r="J88" s="4"/>
      <c r="K88" s="4"/>
      <c r="L88" s="4"/>
      <c r="M88" s="4"/>
      <c r="N88" s="4"/>
      <c r="O88" s="4"/>
      <c r="P88" s="4"/>
      <c r="Q88" s="4"/>
      <c r="R88" s="4"/>
      <c r="S88" s="4"/>
      <c r="T88" s="142"/>
      <c r="U88" s="4"/>
      <c r="V88" s="4"/>
      <c r="W88" s="4"/>
      <c r="X88" s="4"/>
      <c r="Y88" s="4"/>
      <c r="Z88" s="4"/>
      <c r="AA88" s="4"/>
      <c r="AB88" s="4"/>
    </row>
    <row r="89" spans="1:28" x14ac:dyDescent="0.4">
      <c r="A89" s="4"/>
      <c r="B89" s="4"/>
      <c r="C89" s="4"/>
      <c r="D89" s="4"/>
      <c r="E89" s="4"/>
      <c r="F89" s="4"/>
      <c r="G89" s="4"/>
      <c r="H89" s="4"/>
      <c r="I89" s="4"/>
      <c r="J89" s="4"/>
      <c r="K89" s="4"/>
      <c r="L89" s="4"/>
      <c r="M89" s="4"/>
      <c r="N89" s="4"/>
      <c r="O89" s="4"/>
      <c r="P89" s="4"/>
      <c r="Q89" s="4"/>
      <c r="R89" s="4"/>
      <c r="S89" s="4"/>
      <c r="T89" s="142"/>
      <c r="U89" s="4"/>
      <c r="V89" s="4"/>
      <c r="W89" s="4"/>
      <c r="X89" s="4"/>
      <c r="Y89" s="4"/>
      <c r="Z89" s="4"/>
      <c r="AA89" s="4"/>
      <c r="AB89" s="4"/>
    </row>
    <row r="90" spans="1:28" x14ac:dyDescent="0.4">
      <c r="A90" s="4"/>
      <c r="B90" s="4"/>
      <c r="C90" s="4"/>
      <c r="D90" s="4"/>
      <c r="E90" s="4"/>
      <c r="F90" s="4"/>
      <c r="G90" s="4"/>
      <c r="H90" s="4"/>
      <c r="I90" s="4"/>
      <c r="J90" s="4"/>
      <c r="K90" s="4"/>
      <c r="L90" s="4"/>
      <c r="M90" s="4"/>
      <c r="N90" s="4"/>
      <c r="O90" s="4"/>
      <c r="P90" s="4"/>
      <c r="Q90" s="4"/>
      <c r="R90" s="4"/>
      <c r="S90" s="4"/>
      <c r="T90" s="142"/>
      <c r="U90" s="4"/>
      <c r="V90" s="4"/>
      <c r="W90" s="4"/>
      <c r="X90" s="4"/>
      <c r="Y90" s="4"/>
      <c r="Z90" s="4"/>
      <c r="AA90" s="4"/>
      <c r="AB90" s="4"/>
    </row>
    <row r="91" spans="1:28" x14ac:dyDescent="0.4">
      <c r="A91" s="4"/>
      <c r="B91" s="4"/>
      <c r="C91" s="4"/>
      <c r="D91" s="4"/>
      <c r="E91" s="4"/>
      <c r="F91" s="4"/>
      <c r="G91" s="4"/>
      <c r="H91" s="4"/>
      <c r="I91" s="4"/>
      <c r="J91" s="4"/>
      <c r="K91" s="4"/>
      <c r="L91" s="4"/>
      <c r="M91" s="4"/>
      <c r="N91" s="4"/>
      <c r="O91" s="4"/>
      <c r="P91" s="4"/>
      <c r="Q91" s="4"/>
      <c r="R91" s="4"/>
      <c r="S91" s="4"/>
      <c r="T91" s="142"/>
      <c r="U91" s="4"/>
      <c r="V91" s="4"/>
      <c r="W91" s="4"/>
      <c r="X91" s="4"/>
      <c r="Y91" s="4"/>
      <c r="Z91" s="4"/>
      <c r="AA91" s="4"/>
      <c r="AB91" s="4"/>
    </row>
    <row r="92" spans="1:28" x14ac:dyDescent="0.4">
      <c r="A92" s="4"/>
      <c r="B92" s="4"/>
      <c r="C92" s="4"/>
      <c r="D92" s="4"/>
      <c r="E92" s="4"/>
      <c r="F92" s="4"/>
      <c r="G92" s="4"/>
      <c r="H92" s="4"/>
      <c r="I92" s="4"/>
      <c r="J92" s="4"/>
      <c r="K92" s="4"/>
      <c r="L92" s="4"/>
      <c r="M92" s="4"/>
      <c r="N92" s="4"/>
      <c r="O92" s="4"/>
      <c r="P92" s="4"/>
      <c r="Q92" s="4"/>
      <c r="R92" s="4"/>
      <c r="S92" s="4"/>
      <c r="T92" s="142"/>
      <c r="U92" s="4"/>
      <c r="V92" s="4"/>
      <c r="W92" s="4"/>
      <c r="X92" s="4"/>
      <c r="Y92" s="4"/>
      <c r="Z92" s="4"/>
      <c r="AA92" s="4"/>
      <c r="AB92" s="4"/>
    </row>
    <row r="93" spans="1:28" x14ac:dyDescent="0.4">
      <c r="A93" s="4"/>
      <c r="B93" s="4"/>
      <c r="C93" s="4"/>
      <c r="D93" s="4"/>
      <c r="E93" s="4"/>
      <c r="F93" s="4"/>
      <c r="G93" s="4"/>
      <c r="H93" s="4"/>
      <c r="I93" s="4"/>
      <c r="J93" s="4"/>
      <c r="K93" s="4"/>
      <c r="L93" s="4"/>
      <c r="M93" s="4"/>
      <c r="N93" s="4"/>
      <c r="O93" s="4"/>
      <c r="P93" s="4"/>
      <c r="Q93" s="4"/>
      <c r="R93" s="4"/>
      <c r="S93" s="4"/>
      <c r="T93" s="142"/>
      <c r="U93" s="4"/>
      <c r="V93" s="4"/>
      <c r="W93" s="4"/>
      <c r="X93" s="4"/>
      <c r="Y93" s="4"/>
      <c r="Z93" s="4"/>
      <c r="AA93" s="4"/>
      <c r="AB93" s="4"/>
    </row>
    <row r="94" spans="1:28" x14ac:dyDescent="0.4">
      <c r="A94" s="4"/>
      <c r="B94" s="4"/>
      <c r="C94" s="4"/>
      <c r="D94" s="4"/>
      <c r="E94" s="4"/>
      <c r="F94" s="4"/>
      <c r="G94" s="4"/>
      <c r="H94" s="4"/>
      <c r="I94" s="4"/>
      <c r="J94" s="4"/>
      <c r="K94" s="4"/>
      <c r="L94" s="4"/>
      <c r="M94" s="4"/>
      <c r="N94" s="4"/>
      <c r="O94" s="4"/>
      <c r="P94" s="4"/>
      <c r="Q94" s="4"/>
      <c r="R94" s="4"/>
      <c r="S94" s="4"/>
      <c r="T94" s="142"/>
      <c r="U94" s="4"/>
      <c r="V94" s="4"/>
      <c r="W94" s="4"/>
      <c r="X94" s="4"/>
      <c r="Y94" s="4"/>
      <c r="Z94" s="4"/>
      <c r="AA94" s="4"/>
      <c r="AB94" s="4"/>
    </row>
    <row r="95" spans="1:28" x14ac:dyDescent="0.4">
      <c r="A95" s="4"/>
      <c r="B95" s="4"/>
      <c r="C95" s="4"/>
      <c r="D95" s="4"/>
      <c r="E95" s="4"/>
      <c r="F95" s="4"/>
      <c r="G95" s="4"/>
      <c r="H95" s="4"/>
      <c r="I95" s="4"/>
      <c r="J95" s="4"/>
      <c r="K95" s="4"/>
      <c r="L95" s="4"/>
      <c r="M95" s="4"/>
      <c r="N95" s="4"/>
      <c r="O95" s="4"/>
      <c r="P95" s="4"/>
      <c r="Q95" s="4"/>
      <c r="R95" s="4"/>
      <c r="S95" s="4"/>
      <c r="T95" s="142"/>
      <c r="U95" s="4"/>
      <c r="V95" s="4"/>
      <c r="W95" s="4"/>
      <c r="X95" s="4"/>
      <c r="Y95" s="4"/>
      <c r="Z95" s="4"/>
      <c r="AA95" s="4"/>
      <c r="AB95" s="4"/>
    </row>
    <row r="96" spans="1:28" x14ac:dyDescent="0.4">
      <c r="A96" s="4"/>
      <c r="B96" s="4"/>
      <c r="C96" s="4"/>
      <c r="D96" s="4"/>
      <c r="E96" s="4"/>
      <c r="F96" s="4"/>
      <c r="G96" s="4"/>
      <c r="H96" s="4"/>
      <c r="I96" s="4"/>
      <c r="J96" s="4"/>
      <c r="K96" s="4"/>
      <c r="L96" s="4"/>
      <c r="M96" s="4"/>
      <c r="N96" s="4"/>
      <c r="O96" s="4"/>
      <c r="P96" s="4"/>
      <c r="Q96" s="4"/>
      <c r="R96" s="4"/>
      <c r="S96" s="4"/>
      <c r="T96" s="142"/>
      <c r="U96" s="4"/>
      <c r="V96" s="4"/>
      <c r="W96" s="4"/>
      <c r="X96" s="4"/>
      <c r="Y96" s="4"/>
      <c r="Z96" s="4"/>
      <c r="AA96" s="4"/>
      <c r="AB96" s="4"/>
    </row>
    <row r="97" spans="1:28" x14ac:dyDescent="0.4">
      <c r="A97" s="4"/>
      <c r="B97" s="4"/>
      <c r="C97" s="4"/>
      <c r="D97" s="4"/>
      <c r="E97" s="4"/>
      <c r="F97" s="4"/>
      <c r="G97" s="4"/>
      <c r="H97" s="4"/>
      <c r="I97" s="4"/>
      <c r="J97" s="4"/>
      <c r="K97" s="4"/>
      <c r="L97" s="4"/>
      <c r="M97" s="4"/>
      <c r="N97" s="4"/>
      <c r="O97" s="4"/>
      <c r="P97" s="4"/>
      <c r="Q97" s="4"/>
      <c r="R97" s="4"/>
      <c r="S97" s="4"/>
      <c r="T97" s="142"/>
      <c r="U97" s="4"/>
      <c r="V97" s="4"/>
      <c r="W97" s="4"/>
      <c r="X97" s="4"/>
      <c r="Y97" s="4"/>
      <c r="Z97" s="4"/>
      <c r="AA97" s="4"/>
      <c r="AB97" s="4"/>
    </row>
    <row r="98" spans="1:28" x14ac:dyDescent="0.4">
      <c r="A98" s="4"/>
      <c r="B98" s="4"/>
      <c r="C98" s="4"/>
      <c r="D98" s="4"/>
      <c r="E98" s="4"/>
      <c r="F98" s="4"/>
      <c r="G98" s="4"/>
      <c r="H98" s="4"/>
      <c r="I98" s="4"/>
      <c r="J98" s="4"/>
      <c r="K98" s="4"/>
      <c r="L98" s="4"/>
      <c r="M98" s="4"/>
      <c r="N98" s="4"/>
      <c r="O98" s="4"/>
      <c r="P98" s="4"/>
      <c r="Q98" s="4"/>
      <c r="R98" s="4"/>
      <c r="S98" s="4"/>
      <c r="T98" s="142"/>
      <c r="U98" s="4"/>
      <c r="V98" s="4"/>
      <c r="W98" s="4"/>
      <c r="X98" s="4"/>
      <c r="Y98" s="4"/>
      <c r="Z98" s="4"/>
      <c r="AA98" s="4"/>
      <c r="AB98" s="4"/>
    </row>
    <row r="99" spans="1:28" x14ac:dyDescent="0.4">
      <c r="A99" s="4"/>
      <c r="B99" s="4"/>
      <c r="C99" s="4"/>
      <c r="D99" s="4"/>
      <c r="E99" s="4"/>
      <c r="F99" s="4"/>
      <c r="G99" s="4"/>
      <c r="H99" s="4"/>
      <c r="I99" s="4"/>
      <c r="J99" s="4"/>
      <c r="K99" s="4"/>
      <c r="L99" s="4"/>
      <c r="M99" s="4"/>
      <c r="N99" s="4"/>
      <c r="O99" s="4"/>
      <c r="P99" s="4"/>
      <c r="Q99" s="4"/>
      <c r="R99" s="4"/>
      <c r="S99" s="4"/>
      <c r="T99" s="142"/>
      <c r="U99" s="4"/>
      <c r="V99" s="4"/>
      <c r="W99" s="4"/>
      <c r="X99" s="4"/>
      <c r="Y99" s="4"/>
      <c r="Z99" s="4"/>
      <c r="AA99" s="4"/>
      <c r="AB99" s="4"/>
    </row>
    <row r="100" spans="1:28" x14ac:dyDescent="0.4">
      <c r="A100" s="4"/>
      <c r="B100" s="4"/>
      <c r="C100" s="4"/>
      <c r="D100" s="4"/>
      <c r="E100" s="4"/>
      <c r="F100" s="4"/>
      <c r="G100" s="4"/>
      <c r="H100" s="4"/>
      <c r="I100" s="4"/>
      <c r="J100" s="4"/>
      <c r="K100" s="4"/>
      <c r="L100" s="4"/>
      <c r="M100" s="4"/>
      <c r="N100" s="4"/>
      <c r="O100" s="4"/>
      <c r="P100" s="4"/>
      <c r="Q100" s="4"/>
      <c r="R100" s="4"/>
      <c r="S100" s="4"/>
      <c r="T100" s="142"/>
      <c r="U100" s="4"/>
      <c r="V100" s="4"/>
      <c r="W100" s="4"/>
      <c r="X100" s="4"/>
      <c r="Y100" s="4"/>
      <c r="Z100" s="4"/>
      <c r="AA100" s="4"/>
      <c r="AB100" s="4"/>
    </row>
    <row r="101" spans="1:28" x14ac:dyDescent="0.4">
      <c r="A101" s="4"/>
      <c r="B101" s="4"/>
      <c r="C101" s="4"/>
      <c r="D101" s="4"/>
      <c r="E101" s="4"/>
      <c r="F101" s="4"/>
      <c r="G101" s="4"/>
      <c r="H101" s="4"/>
      <c r="I101" s="4"/>
      <c r="J101" s="4"/>
      <c r="K101" s="4"/>
      <c r="L101" s="4"/>
      <c r="M101" s="4"/>
      <c r="N101" s="4"/>
      <c r="O101" s="4"/>
      <c r="P101" s="4"/>
      <c r="Q101" s="4"/>
      <c r="R101" s="4"/>
      <c r="S101" s="4"/>
      <c r="T101" s="142"/>
      <c r="U101" s="4"/>
      <c r="V101" s="4"/>
      <c r="W101" s="4"/>
      <c r="X101" s="4"/>
      <c r="Y101" s="4"/>
      <c r="Z101" s="4"/>
      <c r="AA101" s="4"/>
      <c r="AB101" s="4"/>
    </row>
    <row r="102" spans="1:28" x14ac:dyDescent="0.4">
      <c r="A102" s="4"/>
      <c r="B102" s="4"/>
      <c r="C102" s="4"/>
      <c r="D102" s="4"/>
      <c r="E102" s="4"/>
      <c r="F102" s="4"/>
      <c r="G102" s="4"/>
      <c r="H102" s="4"/>
      <c r="I102" s="4"/>
      <c r="J102" s="4"/>
      <c r="K102" s="4"/>
      <c r="L102" s="4"/>
      <c r="M102" s="4"/>
      <c r="N102" s="4"/>
      <c r="O102" s="4"/>
      <c r="P102" s="4"/>
      <c r="Q102" s="4"/>
      <c r="R102" s="4"/>
      <c r="S102" s="4"/>
      <c r="T102" s="142"/>
      <c r="U102" s="4"/>
      <c r="V102" s="4"/>
      <c r="W102" s="4"/>
      <c r="X102" s="4"/>
      <c r="Y102" s="4"/>
      <c r="Z102" s="4"/>
      <c r="AA102" s="4"/>
      <c r="AB102" s="4"/>
    </row>
    <row r="103" spans="1:28" x14ac:dyDescent="0.4">
      <c r="A103" s="4"/>
      <c r="B103" s="4"/>
      <c r="C103" s="4"/>
      <c r="D103" s="4"/>
      <c r="E103" s="4"/>
      <c r="F103" s="4"/>
      <c r="G103" s="4"/>
      <c r="H103" s="4"/>
      <c r="I103" s="4"/>
      <c r="J103" s="4"/>
      <c r="K103" s="4"/>
      <c r="L103" s="4"/>
      <c r="M103" s="4"/>
      <c r="N103" s="4"/>
      <c r="O103" s="4"/>
      <c r="P103" s="4"/>
      <c r="Q103" s="4"/>
      <c r="R103" s="4"/>
      <c r="S103" s="4"/>
      <c r="T103" s="142"/>
      <c r="U103" s="4"/>
      <c r="V103" s="4"/>
      <c r="W103" s="4"/>
      <c r="X103" s="4"/>
      <c r="Y103" s="4"/>
      <c r="Z103" s="4"/>
      <c r="AA103" s="4"/>
      <c r="AB103" s="4"/>
    </row>
    <row r="104" spans="1:28"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x14ac:dyDescent="0.4">
      <c r="A108" s="4"/>
      <c r="B108" s="4"/>
      <c r="C108" s="4" t="s">
        <v>164</v>
      </c>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x14ac:dyDescent="0.4">
      <c r="A112" s="4" t="s">
        <v>3</v>
      </c>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x14ac:dyDescent="0.4"/>
    <row r="114" x14ac:dyDescent="0.4"/>
    <row r="115" x14ac:dyDescent="0.4"/>
    <row r="116" x14ac:dyDescent="0.4"/>
    <row r="117" x14ac:dyDescent="0.4"/>
    <row r="118" x14ac:dyDescent="0.4"/>
    <row r="119" x14ac:dyDescent="0.4"/>
    <row r="120" x14ac:dyDescent="0.4"/>
    <row r="121" x14ac:dyDescent="0.4"/>
    <row r="122" x14ac:dyDescent="0.4"/>
    <row r="123" x14ac:dyDescent="0.4"/>
    <row r="124" x14ac:dyDescent="0.4"/>
    <row r="125" x14ac:dyDescent="0.4"/>
    <row r="126" x14ac:dyDescent="0.4"/>
    <row r="127" x14ac:dyDescent="0.4"/>
    <row r="128" x14ac:dyDescent="0.4"/>
    <row r="129" x14ac:dyDescent="0.4"/>
    <row r="130" x14ac:dyDescent="0.4"/>
    <row r="131" x14ac:dyDescent="0.4"/>
    <row r="132" x14ac:dyDescent="0.4"/>
    <row r="133" x14ac:dyDescent="0.4"/>
    <row r="134" x14ac:dyDescent="0.4"/>
    <row r="135" x14ac:dyDescent="0.4"/>
    <row r="136" x14ac:dyDescent="0.4"/>
    <row r="137" x14ac:dyDescent="0.4"/>
    <row r="138" x14ac:dyDescent="0.4"/>
    <row r="139" x14ac:dyDescent="0.4"/>
    <row r="140" x14ac:dyDescent="0.4"/>
    <row r="141" x14ac:dyDescent="0.4"/>
    <row r="142" x14ac:dyDescent="0.4"/>
    <row r="143" x14ac:dyDescent="0.4"/>
    <row r="144" x14ac:dyDescent="0.4"/>
    <row r="145" x14ac:dyDescent="0.4"/>
    <row r="146" x14ac:dyDescent="0.4"/>
    <row r="147" x14ac:dyDescent="0.4"/>
    <row r="148" x14ac:dyDescent="0.4"/>
    <row r="149" x14ac:dyDescent="0.4"/>
    <row r="150" x14ac:dyDescent="0.4"/>
    <row r="151" x14ac:dyDescent="0.4"/>
    <row r="152" x14ac:dyDescent="0.4"/>
    <row r="153" x14ac:dyDescent="0.4"/>
    <row r="154" x14ac:dyDescent="0.4"/>
    <row r="155" x14ac:dyDescent="0.4"/>
    <row r="156" x14ac:dyDescent="0.4"/>
    <row r="157" x14ac:dyDescent="0.4"/>
    <row r="158" x14ac:dyDescent="0.4"/>
    <row r="159" x14ac:dyDescent="0.4"/>
    <row r="160" x14ac:dyDescent="0.4"/>
    <row r="161" x14ac:dyDescent="0.4"/>
    <row r="162" x14ac:dyDescent="0.4"/>
    <row r="163" x14ac:dyDescent="0.4"/>
    <row r="164" x14ac:dyDescent="0.4"/>
    <row r="165" x14ac:dyDescent="0.4"/>
    <row r="166" x14ac:dyDescent="0.4"/>
    <row r="167" x14ac:dyDescent="0.4"/>
    <row r="168" x14ac:dyDescent="0.4"/>
    <row r="169" x14ac:dyDescent="0.4"/>
    <row r="170" x14ac:dyDescent="0.4"/>
    <row r="171" x14ac:dyDescent="0.4"/>
    <row r="172" x14ac:dyDescent="0.4"/>
    <row r="173" x14ac:dyDescent="0.4"/>
    <row r="174" x14ac:dyDescent="0.4"/>
    <row r="175" x14ac:dyDescent="0.4"/>
    <row r="176" x14ac:dyDescent="0.4"/>
    <row r="177" x14ac:dyDescent="0.4"/>
    <row r="178" x14ac:dyDescent="0.4"/>
    <row r="179" x14ac:dyDescent="0.4"/>
    <row r="180" x14ac:dyDescent="0.4"/>
    <row r="181" x14ac:dyDescent="0.4"/>
    <row r="182" x14ac:dyDescent="0.4"/>
    <row r="183" x14ac:dyDescent="0.4"/>
    <row r="184" x14ac:dyDescent="0.4"/>
    <row r="185" x14ac:dyDescent="0.4"/>
    <row r="186" x14ac:dyDescent="0.4"/>
    <row r="187" x14ac:dyDescent="0.4"/>
    <row r="188" x14ac:dyDescent="0.4"/>
    <row r="189" x14ac:dyDescent="0.4"/>
    <row r="190" x14ac:dyDescent="0.4"/>
    <row r="191" x14ac:dyDescent="0.4"/>
    <row r="192" x14ac:dyDescent="0.4"/>
    <row r="193" x14ac:dyDescent="0.4"/>
    <row r="194" x14ac:dyDescent="0.4"/>
    <row r="195" x14ac:dyDescent="0.4"/>
    <row r="196" x14ac:dyDescent="0.4"/>
    <row r="197" x14ac:dyDescent="0.4"/>
    <row r="198" x14ac:dyDescent="0.4"/>
    <row r="199" x14ac:dyDescent="0.4"/>
    <row r="200" x14ac:dyDescent="0.4"/>
    <row r="201" x14ac:dyDescent="0.4"/>
    <row r="202" x14ac:dyDescent="0.4"/>
    <row r="203" x14ac:dyDescent="0.4"/>
    <row r="204" x14ac:dyDescent="0.4"/>
    <row r="205" x14ac:dyDescent="0.4"/>
    <row r="206" x14ac:dyDescent="0.4"/>
    <row r="207" x14ac:dyDescent="0.4"/>
    <row r="208" x14ac:dyDescent="0.4"/>
    <row r="209" x14ac:dyDescent="0.4"/>
    <row r="210" x14ac:dyDescent="0.4"/>
    <row r="211" x14ac:dyDescent="0.4"/>
    <row r="212" x14ac:dyDescent="0.4"/>
    <row r="213" x14ac:dyDescent="0.4"/>
    <row r="214" x14ac:dyDescent="0.4"/>
    <row r="215" x14ac:dyDescent="0.4"/>
    <row r="216" x14ac:dyDescent="0.4"/>
    <row r="217" x14ac:dyDescent="0.4"/>
    <row r="218" x14ac:dyDescent="0.4"/>
    <row r="219" x14ac:dyDescent="0.4"/>
    <row r="220" x14ac:dyDescent="0.4"/>
    <row r="221" x14ac:dyDescent="0.4"/>
    <row r="222" x14ac:dyDescent="0.4"/>
    <row r="223" x14ac:dyDescent="0.4"/>
    <row r="224" x14ac:dyDescent="0.4"/>
    <row r="225" x14ac:dyDescent="0.4"/>
    <row r="226" x14ac:dyDescent="0.4"/>
    <row r="227" x14ac:dyDescent="0.4"/>
    <row r="228" x14ac:dyDescent="0.4"/>
    <row r="229" x14ac:dyDescent="0.4"/>
    <row r="230" x14ac:dyDescent="0.4"/>
    <row r="231" x14ac:dyDescent="0.4"/>
    <row r="232" x14ac:dyDescent="0.4"/>
    <row r="233" x14ac:dyDescent="0.4"/>
    <row r="234" x14ac:dyDescent="0.4"/>
    <row r="235" x14ac:dyDescent="0.4"/>
    <row r="236" x14ac:dyDescent="0.4"/>
    <row r="237" x14ac:dyDescent="0.4"/>
    <row r="238" x14ac:dyDescent="0.4"/>
    <row r="239" x14ac:dyDescent="0.4"/>
    <row r="240" x14ac:dyDescent="0.4"/>
    <row r="241" x14ac:dyDescent="0.4"/>
    <row r="242" x14ac:dyDescent="0.4"/>
    <row r="243" x14ac:dyDescent="0.4"/>
    <row r="244" x14ac:dyDescent="0.4"/>
    <row r="245" x14ac:dyDescent="0.4"/>
    <row r="246" x14ac:dyDescent="0.4"/>
    <row r="247" x14ac:dyDescent="0.4"/>
    <row r="248" x14ac:dyDescent="0.4"/>
    <row r="249" x14ac:dyDescent="0.4"/>
    <row r="250" x14ac:dyDescent="0.4"/>
    <row r="251" x14ac:dyDescent="0.4"/>
    <row r="252" x14ac:dyDescent="0.4"/>
    <row r="253" x14ac:dyDescent="0.4"/>
    <row r="254" x14ac:dyDescent="0.4"/>
    <row r="255" x14ac:dyDescent="0.4"/>
    <row r="256" x14ac:dyDescent="0.4"/>
    <row r="257" x14ac:dyDescent="0.4"/>
    <row r="258" x14ac:dyDescent="0.4"/>
    <row r="259" x14ac:dyDescent="0.4"/>
    <row r="260" x14ac:dyDescent="0.4"/>
    <row r="261" x14ac:dyDescent="0.4"/>
    <row r="262" x14ac:dyDescent="0.4"/>
    <row r="263" x14ac:dyDescent="0.4"/>
    <row r="264" x14ac:dyDescent="0.4"/>
    <row r="265" x14ac:dyDescent="0.4"/>
    <row r="266" x14ac:dyDescent="0.4"/>
    <row r="267" x14ac:dyDescent="0.4"/>
    <row r="268" x14ac:dyDescent="0.4"/>
    <row r="269" x14ac:dyDescent="0.4"/>
    <row r="270" x14ac:dyDescent="0.4"/>
    <row r="271" x14ac:dyDescent="0.4"/>
    <row r="272" x14ac:dyDescent="0.4"/>
    <row r="273" x14ac:dyDescent="0.4"/>
    <row r="274" x14ac:dyDescent="0.4"/>
    <row r="275" x14ac:dyDescent="0.4"/>
    <row r="276" x14ac:dyDescent="0.4"/>
    <row r="277" x14ac:dyDescent="0.4"/>
    <row r="278" x14ac:dyDescent="0.4"/>
    <row r="279" x14ac:dyDescent="0.4"/>
    <row r="280" x14ac:dyDescent="0.4"/>
    <row r="281" x14ac:dyDescent="0.4"/>
    <row r="282" x14ac:dyDescent="0.4"/>
    <row r="283" x14ac:dyDescent="0.4"/>
    <row r="284" x14ac:dyDescent="0.4"/>
    <row r="285" x14ac:dyDescent="0.4"/>
    <row r="286" x14ac:dyDescent="0.4"/>
    <row r="287" x14ac:dyDescent="0.4"/>
    <row r="288" x14ac:dyDescent="0.4"/>
    <row r="289" x14ac:dyDescent="0.4"/>
    <row r="290" x14ac:dyDescent="0.4"/>
    <row r="291" x14ac:dyDescent="0.4"/>
    <row r="292" x14ac:dyDescent="0.4"/>
    <row r="293" x14ac:dyDescent="0.4"/>
    <row r="294" x14ac:dyDescent="0.4"/>
    <row r="295" x14ac:dyDescent="0.4"/>
    <row r="296" x14ac:dyDescent="0.4"/>
    <row r="297" x14ac:dyDescent="0.4"/>
    <row r="298" x14ac:dyDescent="0.4"/>
    <row r="299" x14ac:dyDescent="0.4"/>
    <row r="300" x14ac:dyDescent="0.4"/>
  </sheetData>
  <conditionalFormatting sqref="X30:X78">
    <cfRule type="expression" dxfId="320" priority="56">
      <formula>L30=1</formula>
    </cfRule>
    <cfRule type="expression" dxfId="319" priority="57">
      <formula>L30=2</formula>
    </cfRule>
    <cfRule type="expression" dxfId="318" priority="58">
      <formula>L30=3</formula>
    </cfRule>
  </conditionalFormatting>
  <conditionalFormatting sqref="Y30:Y78">
    <cfRule type="expression" dxfId="317" priority="59">
      <formula>L30=1</formula>
    </cfRule>
    <cfRule type="expression" dxfId="316" priority="60">
      <formula>L30=2</formula>
    </cfRule>
    <cfRule type="expression" dxfId="315" priority="61">
      <formula>L30=3</formula>
    </cfRule>
  </conditionalFormatting>
  <conditionalFormatting sqref="Q29:Q78">
    <cfRule type="expression" dxfId="314" priority="63">
      <formula>O29=1</formula>
    </cfRule>
    <cfRule type="expression" dxfId="313" priority="64">
      <formula>O29=2</formula>
    </cfRule>
    <cfRule type="expression" dxfId="312" priority="65">
      <formula>O29=3</formula>
    </cfRule>
    <cfRule type="expression" dxfId="311" priority="66">
      <formula>O29=4</formula>
    </cfRule>
    <cfRule type="expression" dxfId="310" priority="67">
      <formula>O29=5</formula>
    </cfRule>
  </conditionalFormatting>
  <conditionalFormatting sqref="R29:R78">
    <cfRule type="expression" dxfId="309" priority="69">
      <formula>L29=1</formula>
    </cfRule>
    <cfRule type="expression" dxfId="308" priority="70">
      <formula>L29=2</formula>
    </cfRule>
    <cfRule type="expression" dxfId="307" priority="71">
      <formula>L29=3</formula>
    </cfRule>
  </conditionalFormatting>
  <conditionalFormatting sqref="S29:S78">
    <cfRule type="expression" dxfId="306" priority="72">
      <formula>L29=1</formula>
    </cfRule>
    <cfRule type="expression" dxfId="305" priority="73">
      <formula>L29=2</formula>
    </cfRule>
    <cfRule type="expression" dxfId="304" priority="74">
      <formula>L29=3</formula>
    </cfRule>
  </conditionalFormatting>
  <conditionalFormatting sqref="T29:T78">
    <cfRule type="expression" dxfId="303" priority="75">
      <formula>L29=1</formula>
    </cfRule>
    <cfRule type="expression" dxfId="302" priority="76">
      <formula>L29=2</formula>
    </cfRule>
    <cfRule type="expression" dxfId="301" priority="77">
      <formula>L29=3</formula>
    </cfRule>
  </conditionalFormatting>
  <conditionalFormatting sqref="U29:U78">
    <cfRule type="expression" dxfId="300" priority="78">
      <formula>L29=1</formula>
    </cfRule>
    <cfRule type="expression" dxfId="299" priority="79">
      <formula>L29=2</formula>
    </cfRule>
    <cfRule type="expression" dxfId="298" priority="80">
      <formula>L29=3</formula>
    </cfRule>
  </conditionalFormatting>
  <conditionalFormatting sqref="V29:V78">
    <cfRule type="expression" dxfId="297" priority="81">
      <formula>L29=1</formula>
    </cfRule>
    <cfRule type="expression" dxfId="296" priority="82">
      <formula>L29=2</formula>
    </cfRule>
    <cfRule type="expression" dxfId="295" priority="83">
      <formula>L29=3</formula>
    </cfRule>
  </conditionalFormatting>
  <conditionalFormatting sqref="W29:W78">
    <cfRule type="expression" dxfId="294" priority="84">
      <formula>L29=1</formula>
    </cfRule>
    <cfRule type="expression" dxfId="293" priority="85">
      <formula>L29=2</formula>
    </cfRule>
    <cfRule type="expression" dxfId="292" priority="86">
      <formula>L29=3</formula>
    </cfRule>
  </conditionalFormatting>
  <conditionalFormatting sqref="X29:X78">
    <cfRule type="expression" dxfId="291" priority="87">
      <formula>L29=1</formula>
    </cfRule>
    <cfRule type="expression" dxfId="290" priority="88">
      <formula>L29=2</formula>
    </cfRule>
    <cfRule type="expression" dxfId="289" priority="89">
      <formula>L29=3</formula>
    </cfRule>
  </conditionalFormatting>
  <conditionalFormatting sqref="Y29:Y78">
    <cfRule type="expression" dxfId="288" priority="90">
      <formula>L29=1</formula>
    </cfRule>
    <cfRule type="expression" dxfId="287" priority="91">
      <formula>L29=2</formula>
    </cfRule>
    <cfRule type="expression" dxfId="286" priority="92">
      <formula>L29=3</formula>
    </cfRule>
  </conditionalFormatting>
  <pageMargins left="0.28958880139982501" right="0.28958880139982501" top="0.62992125984251945" bottom="0.39370078740157499" header="0.11811023622047251" footer="0.3"/>
  <pageSetup paperSize="9" scale="36" orientation="portrait" r:id="rId1"/>
  <headerFooter scaleWithDoc="0">
    <oddHeader>&amp;R&amp;"Calibri"&amp;10&amp;K808080City Heartbeat 2024, 50 city index (v1.0)</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6364050" r:id="rId4" name="ui_cnt_SeriesAll">
              <controlPr defaultSize="0" print="0" autoFill="0" autoPict="0" macro="[0]!k">
                <anchor>
                  <from>
                    <xdr:col>0</xdr:col>
                    <xdr:colOff>125186</xdr:colOff>
                    <xdr:row>3</xdr:row>
                    <xdr:rowOff>239486</xdr:rowOff>
                  </from>
                  <to>
                    <xdr:col>7</xdr:col>
                    <xdr:colOff>1045029</xdr:colOff>
                    <xdr:row>3</xdr:row>
                    <xdr:rowOff>451757</xdr:rowOff>
                  </to>
                </anchor>
              </controlPr>
            </control>
          </mc:Choice>
        </mc:AlternateContent>
        <mc:AlternateContent xmlns:mc="http://schemas.openxmlformats.org/markup-compatibility/2006">
          <mc:Choice Requires="x14">
            <control shapeId="6364052" r:id="rId5" name="ui_cnt_GroupHighlight">
              <controlPr defaultSize="0" print="0" autoFill="0" autoPict="0" macro="[0]!k">
                <anchor>
                  <from>
                    <xdr:col>7</xdr:col>
                    <xdr:colOff>1453243</xdr:colOff>
                    <xdr:row>3</xdr:row>
                    <xdr:rowOff>239486</xdr:rowOff>
                  </from>
                  <to>
                    <xdr:col>7</xdr:col>
                    <xdr:colOff>2797629</xdr:colOff>
                    <xdr:row>3</xdr:row>
                    <xdr:rowOff>451757</xdr:rowOff>
                  </to>
                </anchor>
              </controlPr>
            </control>
          </mc:Choice>
        </mc:AlternateContent>
        <mc:AlternateContent xmlns:mc="http://schemas.openxmlformats.org/markup-compatibility/2006">
          <mc:Choice Requires="x14">
            <control shapeId="6364054" r:id="rId6" name="ui_cnt_CountryFltHighlight">
              <controlPr defaultSize="0" print="0" autoFill="0" autoPict="0" macro="[0]!k">
                <anchor>
                  <from>
                    <xdr:col>7</xdr:col>
                    <xdr:colOff>2922814</xdr:colOff>
                    <xdr:row>3</xdr:row>
                    <xdr:rowOff>239486</xdr:rowOff>
                  </from>
                  <to>
                    <xdr:col>9</xdr:col>
                    <xdr:colOff>239486</xdr:colOff>
                    <xdr:row>3</xdr:row>
                    <xdr:rowOff>451757</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0C92B-85A8-471A-9B43-5817B200AAA2}">
  <sheetPr codeName="Sheet43">
    <pageSetUpPr fitToPage="1"/>
  </sheetPr>
  <dimension ref="A1:BI300"/>
  <sheetViews>
    <sheetView showGridLines="0" showRowColHeaders="0" zoomScaleNormal="100" workbookViewId="0">
      <pane ySplit="19" topLeftCell="A20" activePane="bottomLeft" state="frozen"/>
      <selection pane="bottomLeft"/>
    </sheetView>
  </sheetViews>
  <sheetFormatPr defaultRowHeight="14.6" zeroHeight="1" x14ac:dyDescent="0.4"/>
  <cols>
    <col min="1" max="1" width="2.69140625" customWidth="1"/>
    <col min="2" max="2" width="3.3828125" customWidth="1"/>
    <col min="3" max="3" width="4.23046875" customWidth="1"/>
    <col min="4" max="4" width="4.3046875" customWidth="1"/>
    <col min="5" max="5" width="8.3828125" customWidth="1"/>
    <col min="6" max="6" width="6" customWidth="1"/>
    <col min="7" max="9" width="4.3046875" customWidth="1"/>
    <col min="10" max="10" width="43.4609375" bestFit="1" customWidth="1"/>
    <col min="11" max="11" width="17.921875" bestFit="1" customWidth="1"/>
    <col min="12" max="61" width="12.84375" customWidth="1"/>
  </cols>
  <sheetData>
    <row r="1" spans="1:61" ht="24" hidden="1" customHeight="1" x14ac:dyDescent="0.4">
      <c r="A1" t="s">
        <v>2</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row>
    <row r="2" spans="1:61" ht="24" customHeight="1" x14ac:dyDescent="0.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row>
    <row r="3" spans="1:61" ht="26.05" customHeight="1" x14ac:dyDescent="0.4">
      <c r="B3" s="4" t="s">
        <v>1550</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row>
    <row r="4" spans="1:61" ht="42" customHeight="1" x14ac:dyDescent="0.4">
      <c r="B4" s="35" t="s">
        <v>1130</v>
      </c>
      <c r="C4" s="35"/>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row>
    <row r="5" spans="1:61" ht="24" customHeight="1" x14ac:dyDescent="0.4">
      <c r="A5" t="s">
        <v>2</v>
      </c>
      <c r="B5" s="40" t="str">
        <f>uxbGlobals!$B$353</f>
        <v/>
      </c>
      <c r="C5" s="40"/>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row>
    <row r="6" spans="1:61" ht="24" customHeight="1" x14ac:dyDescent="0.4">
      <c r="A6" t="s">
        <v>2</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4" customHeight="1" x14ac:dyDescent="0.4">
      <c r="A7" t="s">
        <v>2</v>
      </c>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row>
    <row r="8" spans="1:61" ht="8.0500000000000007" customHeight="1" x14ac:dyDescent="0.4">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row>
    <row r="9" spans="1:61" ht="15" customHeight="1" x14ac:dyDescent="0.4">
      <c r="A9" t="s">
        <v>2</v>
      </c>
      <c r="B9" t="s">
        <v>2</v>
      </c>
      <c r="C9" t="s">
        <v>2</v>
      </c>
      <c r="D9" t="s">
        <v>2</v>
      </c>
      <c r="E9" t="s">
        <v>2</v>
      </c>
      <c r="F9" t="s">
        <v>2</v>
      </c>
      <c r="G9" t="s">
        <v>2</v>
      </c>
      <c r="H9" t="s">
        <v>2</v>
      </c>
      <c r="L9" t="str">
        <f>IF(L17=0,"H","")</f>
        <v/>
      </c>
      <c r="M9" t="str">
        <f>IF(M17=0,"H","")</f>
        <v/>
      </c>
      <c r="N9" t="str">
        <f t="shared" ref="N9:BI9" si="0">IF(N17=0,"H","")</f>
        <v/>
      </c>
      <c r="O9" t="str">
        <f t="shared" si="0"/>
        <v/>
      </c>
      <c r="P9" t="str">
        <f t="shared" si="0"/>
        <v/>
      </c>
      <c r="Q9" t="str">
        <f t="shared" si="0"/>
        <v/>
      </c>
      <c r="R9" t="str">
        <f t="shared" si="0"/>
        <v/>
      </c>
      <c r="S9" t="str">
        <f t="shared" si="0"/>
        <v/>
      </c>
      <c r="T9" t="str">
        <f t="shared" si="0"/>
        <v/>
      </c>
      <c r="U9" t="str">
        <f t="shared" si="0"/>
        <v/>
      </c>
      <c r="V9" t="str">
        <f t="shared" si="0"/>
        <v/>
      </c>
      <c r="W9" t="str">
        <f t="shared" si="0"/>
        <v/>
      </c>
      <c r="X9" t="str">
        <f t="shared" si="0"/>
        <v/>
      </c>
      <c r="Y9" t="str">
        <f t="shared" si="0"/>
        <v/>
      </c>
      <c r="Z9" t="str">
        <f t="shared" si="0"/>
        <v/>
      </c>
      <c r="AA9" t="str">
        <f t="shared" si="0"/>
        <v/>
      </c>
      <c r="AB9" t="str">
        <f t="shared" si="0"/>
        <v/>
      </c>
      <c r="AC9" t="str">
        <f t="shared" si="0"/>
        <v/>
      </c>
      <c r="AD9" t="str">
        <f t="shared" si="0"/>
        <v/>
      </c>
      <c r="AE9" t="str">
        <f t="shared" si="0"/>
        <v/>
      </c>
      <c r="AF9" t="str">
        <f t="shared" si="0"/>
        <v/>
      </c>
      <c r="AG9" t="str">
        <f t="shared" si="0"/>
        <v/>
      </c>
      <c r="AH9" t="str">
        <f t="shared" si="0"/>
        <v/>
      </c>
      <c r="AI9" t="str">
        <f t="shared" si="0"/>
        <v/>
      </c>
      <c r="AJ9" t="str">
        <f t="shared" si="0"/>
        <v/>
      </c>
      <c r="AK9" t="str">
        <f t="shared" si="0"/>
        <v/>
      </c>
      <c r="AL9" t="str">
        <f t="shared" si="0"/>
        <v/>
      </c>
      <c r="AM9" t="str">
        <f t="shared" si="0"/>
        <v/>
      </c>
      <c r="AN9" t="str">
        <f t="shared" si="0"/>
        <v/>
      </c>
      <c r="AO9" t="str">
        <f t="shared" si="0"/>
        <v/>
      </c>
      <c r="AP9" t="str">
        <f t="shared" si="0"/>
        <v/>
      </c>
      <c r="AQ9" t="str">
        <f t="shared" si="0"/>
        <v/>
      </c>
      <c r="AR9" t="str">
        <f t="shared" si="0"/>
        <v/>
      </c>
      <c r="AS9" t="str">
        <f t="shared" si="0"/>
        <v/>
      </c>
      <c r="AT9" t="str">
        <f t="shared" si="0"/>
        <v/>
      </c>
      <c r="AU9" t="str">
        <f t="shared" si="0"/>
        <v/>
      </c>
      <c r="AV9" t="str">
        <f t="shared" si="0"/>
        <v/>
      </c>
      <c r="AW9" t="str">
        <f t="shared" si="0"/>
        <v/>
      </c>
      <c r="AX9" t="str">
        <f t="shared" si="0"/>
        <v/>
      </c>
      <c r="AY9" t="str">
        <f t="shared" si="0"/>
        <v/>
      </c>
      <c r="AZ9" t="str">
        <f t="shared" si="0"/>
        <v/>
      </c>
      <c r="BA9" t="str">
        <f t="shared" si="0"/>
        <v/>
      </c>
      <c r="BB9" t="str">
        <f t="shared" si="0"/>
        <v/>
      </c>
      <c r="BC9" t="str">
        <f t="shared" si="0"/>
        <v/>
      </c>
      <c r="BD9" t="str">
        <f t="shared" si="0"/>
        <v/>
      </c>
      <c r="BE9" t="str">
        <f t="shared" si="0"/>
        <v/>
      </c>
      <c r="BF9" t="str">
        <f t="shared" si="0"/>
        <v/>
      </c>
      <c r="BG9" t="str">
        <f t="shared" si="0"/>
        <v/>
      </c>
      <c r="BH9" t="str">
        <f t="shared" si="0"/>
        <v/>
      </c>
      <c r="BI9" t="str">
        <f t="shared" si="0"/>
        <v/>
      </c>
    </row>
    <row r="10" spans="1:61" ht="15" customHeight="1" x14ac:dyDescent="0.4">
      <c r="A10" t="s">
        <v>2</v>
      </c>
      <c r="B10" t="s">
        <v>2</v>
      </c>
      <c r="E10" t="s">
        <v>136</v>
      </c>
      <c r="F10" t="s">
        <v>136</v>
      </c>
      <c r="G10" t="s">
        <v>136</v>
      </c>
      <c r="I10" t="s">
        <v>136</v>
      </c>
      <c r="J10" t="s">
        <v>136</v>
      </c>
      <c r="K10" t="s">
        <v>136</v>
      </c>
      <c r="L10" t="s">
        <v>136</v>
      </c>
      <c r="M10" t="s">
        <v>136</v>
      </c>
      <c r="N10" t="s">
        <v>136</v>
      </c>
      <c r="O10" t="s">
        <v>136</v>
      </c>
      <c r="P10" t="s">
        <v>136</v>
      </c>
      <c r="Q10" t="s">
        <v>136</v>
      </c>
      <c r="R10" t="s">
        <v>136</v>
      </c>
      <c r="S10" t="s">
        <v>136</v>
      </c>
      <c r="T10" t="s">
        <v>136</v>
      </c>
      <c r="U10" t="s">
        <v>136</v>
      </c>
      <c r="V10" t="s">
        <v>136</v>
      </c>
      <c r="W10" t="s">
        <v>136</v>
      </c>
      <c r="X10" t="s">
        <v>136</v>
      </c>
      <c r="Y10" t="s">
        <v>136</v>
      </c>
      <c r="Z10" t="s">
        <v>136</v>
      </c>
      <c r="AA10" t="s">
        <v>136</v>
      </c>
      <c r="AB10" t="s">
        <v>136</v>
      </c>
      <c r="AC10" t="s">
        <v>136</v>
      </c>
      <c r="AD10" t="s">
        <v>136</v>
      </c>
      <c r="AE10" t="s">
        <v>136</v>
      </c>
      <c r="AF10" t="s">
        <v>136</v>
      </c>
      <c r="AG10" t="s">
        <v>136</v>
      </c>
      <c r="AH10" t="s">
        <v>136</v>
      </c>
      <c r="AI10" t="s">
        <v>136</v>
      </c>
      <c r="AJ10" t="s">
        <v>136</v>
      </c>
      <c r="AK10" t="s">
        <v>136</v>
      </c>
      <c r="AL10" t="s">
        <v>136</v>
      </c>
      <c r="AM10" t="s">
        <v>136</v>
      </c>
      <c r="AN10" t="s">
        <v>136</v>
      </c>
      <c r="AO10" t="s">
        <v>136</v>
      </c>
      <c r="AP10" t="s">
        <v>136</v>
      </c>
      <c r="AQ10" t="s">
        <v>136</v>
      </c>
      <c r="AR10" t="s">
        <v>136</v>
      </c>
      <c r="AS10" t="s">
        <v>136</v>
      </c>
      <c r="AT10" t="s">
        <v>136</v>
      </c>
      <c r="AU10" t="s">
        <v>136</v>
      </c>
      <c r="AV10" t="s">
        <v>136</v>
      </c>
      <c r="AW10" t="s">
        <v>136</v>
      </c>
      <c r="AX10" t="s">
        <v>136</v>
      </c>
      <c r="AY10" t="s">
        <v>136</v>
      </c>
      <c r="AZ10" t="s">
        <v>136</v>
      </c>
      <c r="BA10" t="s">
        <v>136</v>
      </c>
      <c r="BB10" t="s">
        <v>136</v>
      </c>
      <c r="BC10" t="s">
        <v>136</v>
      </c>
      <c r="BD10" t="s">
        <v>136</v>
      </c>
      <c r="BE10" t="s">
        <v>136</v>
      </c>
      <c r="BF10" t="s">
        <v>136</v>
      </c>
      <c r="BG10" t="s">
        <v>136</v>
      </c>
      <c r="BH10" t="s">
        <v>136</v>
      </c>
      <c r="BI10" t="s">
        <v>136</v>
      </c>
    </row>
    <row r="11" spans="1:61" ht="10.5" customHeight="1" x14ac:dyDescent="0.4">
      <c r="A11" t="s">
        <v>2</v>
      </c>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row>
    <row r="12" spans="1:61" ht="21" customHeight="1" x14ac:dyDescent="0.5">
      <c r="B12" s="80" t="s">
        <v>487</v>
      </c>
      <c r="C12" s="80"/>
      <c r="D12" s="49">
        <v>1</v>
      </c>
      <c r="E12" s="4"/>
      <c r="F12" s="4"/>
      <c r="G12" s="4"/>
      <c r="H12" s="4"/>
      <c r="I12" s="4"/>
      <c r="J12" s="117" t="s">
        <v>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row>
    <row r="13" spans="1:61" ht="17.25" customHeight="1" x14ac:dyDescent="0.4">
      <c r="B13" s="80" t="s">
        <v>1131</v>
      </c>
      <c r="C13" s="80"/>
      <c r="D13" s="49">
        <f>uxbGlobals!$B$271</f>
        <v>1</v>
      </c>
      <c r="E13" s="4"/>
      <c r="F13" s="4"/>
      <c r="G13" s="4"/>
      <c r="H13" s="4"/>
      <c r="I13" s="4"/>
      <c r="J13" s="81" t="s">
        <v>1664</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row>
    <row r="14" spans="1:61" ht="21.75" customHeight="1" x14ac:dyDescent="0.4">
      <c r="B14" s="145" t="s">
        <v>1271</v>
      </c>
      <c r="C14" s="80"/>
      <c r="D14" s="114">
        <v>67</v>
      </c>
      <c r="E14" s="4"/>
      <c r="F14" s="4"/>
      <c r="G14" s="4"/>
      <c r="H14" s="4"/>
      <c r="I14" s="4"/>
      <c r="J14" s="146"/>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ht="14.25" customHeight="1" x14ac:dyDescent="0.4">
      <c r="B15" s="80"/>
      <c r="C15" s="80"/>
      <c r="D15" s="49"/>
      <c r="E15" s="4"/>
      <c r="F15" s="4"/>
      <c r="G15" s="4"/>
      <c r="H15" s="4"/>
      <c r="I15" s="4"/>
      <c r="J15" s="36"/>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14.25" customHeight="1" x14ac:dyDescent="0.4">
      <c r="A16" t="s">
        <v>2</v>
      </c>
      <c r="B16" s="4"/>
      <c r="C16" s="4"/>
      <c r="D16" s="4"/>
      <c r="E16" s="4"/>
      <c r="F16" s="4"/>
      <c r="G16" s="4"/>
      <c r="H16" s="4"/>
      <c r="I16" s="4"/>
      <c r="J16" s="83" t="s">
        <v>1363</v>
      </c>
      <c r="K16" s="4"/>
      <c r="L16" s="83" t="s">
        <v>1244</v>
      </c>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row>
    <row r="17" spans="1:61" x14ac:dyDescent="0.4">
      <c r="A17" t="s">
        <v>2</v>
      </c>
      <c r="B17" s="4"/>
      <c r="C17" s="4"/>
      <c r="D17" s="4"/>
      <c r="E17" s="84" t="s">
        <v>29</v>
      </c>
      <c r="F17" s="85" t="s">
        <v>54</v>
      </c>
      <c r="G17" s="84" t="s">
        <v>35</v>
      </c>
      <c r="H17" s="86"/>
      <c r="I17" s="71"/>
      <c r="J17" s="4"/>
      <c r="K17" s="71" t="s">
        <v>15</v>
      </c>
      <c r="L17" s="49" cm="1">
        <f t="array" ref="L17">IFERROR(INDEX(auto_Country_Status,L18),0)</f>
        <v>1</v>
      </c>
      <c r="M17" s="49" cm="1">
        <f t="array" ref="M17">IFERROR(INDEX(auto_Country_Status,M18),0)</f>
        <v>1</v>
      </c>
      <c r="N17" s="49" cm="1">
        <f t="array" ref="N17">IFERROR(INDEX(auto_Country_Status,N18),0)</f>
        <v>1</v>
      </c>
      <c r="O17" s="49" cm="1">
        <f t="array" ref="O17">IFERROR(INDEX(auto_Country_Status,O18),0)</f>
        <v>1</v>
      </c>
      <c r="P17" s="49" cm="1">
        <f t="array" ref="P17">IFERROR(INDEX(auto_Country_Status,P18),0)</f>
        <v>1</v>
      </c>
      <c r="Q17" s="49" cm="1">
        <f t="array" ref="Q17">IFERROR(INDEX(auto_Country_Status,Q18),0)</f>
        <v>1</v>
      </c>
      <c r="R17" s="49" cm="1">
        <f t="array" ref="R17">IFERROR(INDEX(auto_Country_Status,R18),0)</f>
        <v>1</v>
      </c>
      <c r="S17" s="49" cm="1">
        <f t="array" ref="S17">IFERROR(INDEX(auto_Country_Status,S18),0)</f>
        <v>1</v>
      </c>
      <c r="T17" s="49" cm="1">
        <f t="array" ref="T17">IFERROR(INDEX(auto_Country_Status,T18),0)</f>
        <v>1</v>
      </c>
      <c r="U17" s="49" cm="1">
        <f t="array" ref="U17">IFERROR(INDEX(auto_Country_Status,U18),0)</f>
        <v>1</v>
      </c>
      <c r="V17" s="49" cm="1">
        <f t="array" ref="V17">IFERROR(INDEX(auto_Country_Status,V18),0)</f>
        <v>1</v>
      </c>
      <c r="W17" s="49" cm="1">
        <f t="array" ref="W17">IFERROR(INDEX(auto_Country_Status,W18),0)</f>
        <v>1</v>
      </c>
      <c r="X17" s="49" cm="1">
        <f t="array" ref="X17">IFERROR(INDEX(auto_Country_Status,X18),0)</f>
        <v>1</v>
      </c>
      <c r="Y17" s="49" cm="1">
        <f t="array" ref="Y17">IFERROR(INDEX(auto_Country_Status,Y18),0)</f>
        <v>1</v>
      </c>
      <c r="Z17" s="49" cm="1">
        <f t="array" ref="Z17">IFERROR(INDEX(auto_Country_Status,Z18),0)</f>
        <v>1</v>
      </c>
      <c r="AA17" s="49" cm="1">
        <f t="array" ref="AA17">IFERROR(INDEX(auto_Country_Status,AA18),0)</f>
        <v>1</v>
      </c>
      <c r="AB17" s="49" cm="1">
        <f t="array" ref="AB17">IFERROR(INDEX(auto_Country_Status,AB18),0)</f>
        <v>1</v>
      </c>
      <c r="AC17" s="49" cm="1">
        <f t="array" ref="AC17">IFERROR(INDEX(auto_Country_Status,AC18),0)</f>
        <v>1</v>
      </c>
      <c r="AD17" s="49" cm="1">
        <f t="array" ref="AD17">IFERROR(INDEX(auto_Country_Status,AD18),0)</f>
        <v>1</v>
      </c>
      <c r="AE17" s="49" cm="1">
        <f t="array" ref="AE17">IFERROR(INDEX(auto_Country_Status,AE18),0)</f>
        <v>1</v>
      </c>
      <c r="AF17" s="49" cm="1">
        <f t="array" ref="AF17">IFERROR(INDEX(auto_Country_Status,AF18),0)</f>
        <v>1</v>
      </c>
      <c r="AG17" s="49" cm="1">
        <f t="array" ref="AG17">IFERROR(INDEX(auto_Country_Status,AG18),0)</f>
        <v>1</v>
      </c>
      <c r="AH17" s="49" cm="1">
        <f t="array" ref="AH17">IFERROR(INDEX(auto_Country_Status,AH18),0)</f>
        <v>1</v>
      </c>
      <c r="AI17" s="49" cm="1">
        <f t="array" ref="AI17">IFERROR(INDEX(auto_Country_Status,AI18),0)</f>
        <v>1</v>
      </c>
      <c r="AJ17" s="49" cm="1">
        <f t="array" ref="AJ17">IFERROR(INDEX(auto_Country_Status,AJ18),0)</f>
        <v>1</v>
      </c>
      <c r="AK17" s="49" cm="1">
        <f t="array" ref="AK17">IFERROR(INDEX(auto_Country_Status,AK18),0)</f>
        <v>1</v>
      </c>
      <c r="AL17" s="49" cm="1">
        <f t="array" ref="AL17">IFERROR(INDEX(auto_Country_Status,AL18),0)</f>
        <v>1</v>
      </c>
      <c r="AM17" s="49" cm="1">
        <f t="array" ref="AM17">IFERROR(INDEX(auto_Country_Status,AM18),0)</f>
        <v>1</v>
      </c>
      <c r="AN17" s="49" cm="1">
        <f t="array" ref="AN17">IFERROR(INDEX(auto_Country_Status,AN18),0)</f>
        <v>1</v>
      </c>
      <c r="AO17" s="49" cm="1">
        <f t="array" ref="AO17">IFERROR(INDEX(auto_Country_Status,AO18),0)</f>
        <v>1</v>
      </c>
      <c r="AP17" s="49" cm="1">
        <f t="array" ref="AP17">IFERROR(INDEX(auto_Country_Status,AP18),0)</f>
        <v>1</v>
      </c>
      <c r="AQ17" s="49" cm="1">
        <f t="array" ref="AQ17">IFERROR(INDEX(auto_Country_Status,AQ18),0)</f>
        <v>1</v>
      </c>
      <c r="AR17" s="49" cm="1">
        <f t="array" ref="AR17">IFERROR(INDEX(auto_Country_Status,AR18),0)</f>
        <v>1</v>
      </c>
      <c r="AS17" s="49" cm="1">
        <f t="array" ref="AS17">IFERROR(INDEX(auto_Country_Status,AS18),0)</f>
        <v>1</v>
      </c>
      <c r="AT17" s="49" cm="1">
        <f t="array" ref="AT17">IFERROR(INDEX(auto_Country_Status,AT18),0)</f>
        <v>1</v>
      </c>
      <c r="AU17" s="49" cm="1">
        <f t="array" ref="AU17">IFERROR(INDEX(auto_Country_Status,AU18),0)</f>
        <v>1</v>
      </c>
      <c r="AV17" s="49" cm="1">
        <f t="array" ref="AV17">IFERROR(INDEX(auto_Country_Status,AV18),0)</f>
        <v>1</v>
      </c>
      <c r="AW17" s="49" cm="1">
        <f t="array" ref="AW17">IFERROR(INDEX(auto_Country_Status,AW18),0)</f>
        <v>1</v>
      </c>
      <c r="AX17" s="49" cm="1">
        <f t="array" ref="AX17">IFERROR(INDEX(auto_Country_Status,AX18),0)</f>
        <v>1</v>
      </c>
      <c r="AY17" s="49" cm="1">
        <f t="array" ref="AY17">IFERROR(INDEX(auto_Country_Status,AY18),0)</f>
        <v>1</v>
      </c>
      <c r="AZ17" s="49" cm="1">
        <f t="array" ref="AZ17">IFERROR(INDEX(auto_Country_Status,AZ18),0)</f>
        <v>1</v>
      </c>
      <c r="BA17" s="49" cm="1">
        <f t="array" ref="BA17">IFERROR(INDEX(auto_Country_Status,BA18),0)</f>
        <v>1</v>
      </c>
      <c r="BB17" s="49" cm="1">
        <f t="array" ref="BB17">IFERROR(INDEX(auto_Country_Status,BB18),0)</f>
        <v>1</v>
      </c>
      <c r="BC17" s="49" cm="1">
        <f t="array" ref="BC17">IFERROR(INDEX(auto_Country_Status,BC18),0)</f>
        <v>1</v>
      </c>
      <c r="BD17" s="49" cm="1">
        <f t="array" ref="BD17">IFERROR(INDEX(auto_Country_Status,BD18),0)</f>
        <v>1</v>
      </c>
      <c r="BE17" s="49" cm="1">
        <f t="array" ref="BE17">IFERROR(INDEX(auto_Country_Status,BE18),0)</f>
        <v>1</v>
      </c>
      <c r="BF17" s="49" cm="1">
        <f t="array" ref="BF17">IFERROR(INDEX(auto_Country_Status,BF18),0)</f>
        <v>1</v>
      </c>
      <c r="BG17" s="49" cm="1">
        <f t="array" ref="BG17">IFERROR(INDEX(auto_Country_Status,BG18),0)</f>
        <v>1</v>
      </c>
      <c r="BH17" s="49" cm="1">
        <f t="array" ref="BH17">IFERROR(INDEX(auto_Country_Status,BH18),0)</f>
        <v>1</v>
      </c>
      <c r="BI17" s="49" cm="1">
        <f t="array" ref="BI17">IFERROR(INDEX(auto_Country_Status,BI18),0)</f>
        <v>1</v>
      </c>
    </row>
    <row r="18" spans="1:61" x14ac:dyDescent="0.4">
      <c r="A18" t="s">
        <v>2</v>
      </c>
      <c r="B18" s="4"/>
      <c r="C18" s="4"/>
      <c r="D18" s="4"/>
      <c r="E18" s="87">
        <f>MATCH(E17,auto_tblSeries_Header,0)</f>
        <v>4</v>
      </c>
      <c r="F18" s="87">
        <f>MATCH(F17,auto_tblSeries_Header,0)</f>
        <v>51</v>
      </c>
      <c r="G18" s="87">
        <f>MATCH(G17,auto_tblSeries_Header,0)</f>
        <v>5</v>
      </c>
      <c r="H18" s="87"/>
      <c r="I18" s="49"/>
      <c r="J18" s="39" t="s">
        <v>1347</v>
      </c>
      <c r="K18" s="88">
        <f>MATCH(K17,auto_tblSeries_Header,0)</f>
        <v>12</v>
      </c>
      <c r="L18" s="91">
        <v>1</v>
      </c>
      <c r="M18" s="91">
        <v>2</v>
      </c>
      <c r="N18" s="91">
        <v>3</v>
      </c>
      <c r="O18" s="91">
        <v>4</v>
      </c>
      <c r="P18" s="91">
        <v>5</v>
      </c>
      <c r="Q18" s="91">
        <v>6</v>
      </c>
      <c r="R18" s="91">
        <v>7</v>
      </c>
      <c r="S18" s="91">
        <v>8</v>
      </c>
      <c r="T18" s="91">
        <v>9</v>
      </c>
      <c r="U18" s="91">
        <v>10</v>
      </c>
      <c r="V18" s="91">
        <v>11</v>
      </c>
      <c r="W18" s="91">
        <v>12</v>
      </c>
      <c r="X18" s="91">
        <v>13</v>
      </c>
      <c r="Y18" s="91">
        <v>14</v>
      </c>
      <c r="Z18" s="91">
        <v>15</v>
      </c>
      <c r="AA18" s="91">
        <v>16</v>
      </c>
      <c r="AB18" s="91">
        <v>17</v>
      </c>
      <c r="AC18" s="91">
        <v>18</v>
      </c>
      <c r="AD18" s="91">
        <v>19</v>
      </c>
      <c r="AE18" s="91">
        <v>20</v>
      </c>
      <c r="AF18" s="91">
        <v>21</v>
      </c>
      <c r="AG18" s="91">
        <v>22</v>
      </c>
      <c r="AH18" s="91">
        <v>23</v>
      </c>
      <c r="AI18" s="91">
        <v>24</v>
      </c>
      <c r="AJ18" s="91">
        <v>25</v>
      </c>
      <c r="AK18" s="91">
        <v>26</v>
      </c>
      <c r="AL18" s="91">
        <v>27</v>
      </c>
      <c r="AM18" s="91">
        <v>28</v>
      </c>
      <c r="AN18" s="91">
        <v>29</v>
      </c>
      <c r="AO18" s="91">
        <v>30</v>
      </c>
      <c r="AP18" s="91">
        <v>31</v>
      </c>
      <c r="AQ18" s="91">
        <v>32</v>
      </c>
      <c r="AR18" s="91">
        <v>33</v>
      </c>
      <c r="AS18" s="91">
        <v>34</v>
      </c>
      <c r="AT18" s="91">
        <v>35</v>
      </c>
      <c r="AU18" s="91">
        <v>36</v>
      </c>
      <c r="AV18" s="91">
        <v>37</v>
      </c>
      <c r="AW18" s="91">
        <v>38</v>
      </c>
      <c r="AX18" s="91">
        <v>39</v>
      </c>
      <c r="AY18" s="91">
        <v>40</v>
      </c>
      <c r="AZ18" s="91">
        <v>41</v>
      </c>
      <c r="BA18" s="91">
        <v>42</v>
      </c>
      <c r="BB18" s="91">
        <v>43</v>
      </c>
      <c r="BC18" s="91">
        <v>44</v>
      </c>
      <c r="BD18" s="91">
        <v>45</v>
      </c>
      <c r="BE18" s="91">
        <v>46</v>
      </c>
      <c r="BF18" s="91">
        <v>47</v>
      </c>
      <c r="BG18" s="91">
        <v>48</v>
      </c>
      <c r="BH18" s="91">
        <v>49</v>
      </c>
      <c r="BI18" s="91">
        <v>50</v>
      </c>
    </row>
    <row r="19" spans="1:61" ht="35.25" customHeight="1" x14ac:dyDescent="0.4">
      <c r="A19" t="s">
        <v>211</v>
      </c>
      <c r="B19" s="89" t="s">
        <v>136</v>
      </c>
      <c r="C19" s="4"/>
      <c r="D19" s="83" t="s">
        <v>1240</v>
      </c>
      <c r="E19" s="87" t="s">
        <v>1238</v>
      </c>
      <c r="F19" s="87" t="s">
        <v>1146</v>
      </c>
      <c r="G19" s="87" t="s">
        <v>1239</v>
      </c>
      <c r="H19" s="87" t="s">
        <v>1242</v>
      </c>
      <c r="I19" s="49"/>
      <c r="J19" s="92" t="s">
        <v>1230</v>
      </c>
      <c r="K19" s="92" t="s">
        <v>15</v>
      </c>
      <c r="L19" s="147" t="str" cm="1">
        <f t="array" ref="L19">INDEX(auto_ddCountry,L18)</f>
        <v>Addis Ababa</v>
      </c>
      <c r="M19" s="147" t="str" cm="1">
        <f t="array" ref="M19">INDEX(auto_ddCountry,M18)</f>
        <v>Algiers</v>
      </c>
      <c r="N19" s="147" t="str" cm="1">
        <f t="array" ref="N19">INDEX(auto_ddCountry,N18)</f>
        <v>Atlanta</v>
      </c>
      <c r="O19" s="147" t="str" cm="1">
        <f t="array" ref="O19">INDEX(auto_ddCountry,O18)</f>
        <v>Auckland</v>
      </c>
      <c r="P19" s="147" t="str" cm="1">
        <f t="array" ref="P19">INDEX(auto_ddCountry,P18)</f>
        <v>Bangkok</v>
      </c>
      <c r="Q19" s="147" t="str" cm="1">
        <f t="array" ref="Q19">INDEX(auto_ddCountry,Q18)</f>
        <v>Beijing</v>
      </c>
      <c r="R19" s="147" t="str" cm="1">
        <f t="array" ref="R19">INDEX(auto_ddCountry,R18)</f>
        <v>Berlin</v>
      </c>
      <c r="S19" s="147" t="str" cm="1">
        <f t="array" ref="S19">INDEX(auto_ddCountry,S18)</f>
        <v>Bogotá</v>
      </c>
      <c r="T19" s="147" t="str" cm="1">
        <f t="array" ref="T19">INDEX(auto_ddCountry,T18)</f>
        <v>Budapest</v>
      </c>
      <c r="U19" s="147" t="str" cm="1">
        <f t="array" ref="U19">INDEX(auto_ddCountry,U18)</f>
        <v>Cairo</v>
      </c>
      <c r="V19" s="147" t="str" cm="1">
        <f t="array" ref="V19">INDEX(auto_ddCountry,V18)</f>
        <v>Colombo</v>
      </c>
      <c r="W19" s="147" t="str" cm="1">
        <f t="array" ref="W19">INDEX(auto_ddCountry,W18)</f>
        <v>Delhi</v>
      </c>
      <c r="X19" s="147" t="str" cm="1">
        <f t="array" ref="X19">INDEX(auto_ddCountry,X18)</f>
        <v>Dhaka</v>
      </c>
      <c r="Y19" s="147" t="str" cm="1">
        <f t="array" ref="Y19">INDEX(auto_ddCountry,Y18)</f>
        <v>Dubai</v>
      </c>
      <c r="Z19" s="147" t="str" cm="1">
        <f t="array" ref="Z19">INDEX(auto_ddCountry,Z18)</f>
        <v>Helsinki</v>
      </c>
      <c r="AA19" s="147" t="str" cm="1">
        <f t="array" ref="AA19">INDEX(auto_ddCountry,AA18)</f>
        <v>Ho Chi Minh City</v>
      </c>
      <c r="AB19" s="147" t="str" cm="1">
        <f t="array" ref="AB19">INDEX(auto_ddCountry,AB18)</f>
        <v>Hong Kong</v>
      </c>
      <c r="AC19" s="147" t="str" cm="1">
        <f t="array" ref="AC19">INDEX(auto_ddCountry,AC18)</f>
        <v>Istanbul</v>
      </c>
      <c r="AD19" s="147" t="str" cm="1">
        <f t="array" ref="AD19">INDEX(auto_ddCountry,AD18)</f>
        <v>Jakarta</v>
      </c>
      <c r="AE19" s="147" t="str" cm="1">
        <f t="array" ref="AE19">INDEX(auto_ddCountry,AE18)</f>
        <v>Johannesburg</v>
      </c>
      <c r="AF19" s="147" t="str" cm="1">
        <f t="array" ref="AF19">INDEX(auto_ddCountry,AF18)</f>
        <v>Karachi</v>
      </c>
      <c r="AG19" s="147" t="str" cm="1">
        <f t="array" ref="AG19">INDEX(auto_ddCountry,AG18)</f>
        <v>Kathmandu</v>
      </c>
      <c r="AH19" s="147" t="str" cm="1">
        <f t="array" ref="AH19">INDEX(auto_ddCountry,AH18)</f>
        <v>Kolkata</v>
      </c>
      <c r="AI19" s="147" t="str" cm="1">
        <f t="array" ref="AI19">INDEX(auto_ddCountry,AI18)</f>
        <v>Kuwait City</v>
      </c>
      <c r="AJ19" s="147" t="str" cm="1">
        <f t="array" ref="AJ19">INDEX(auto_ddCountry,AJ18)</f>
        <v>Lagos</v>
      </c>
      <c r="AK19" s="147" t="str" cm="1">
        <f t="array" ref="AK19">INDEX(auto_ddCountry,AK18)</f>
        <v>London</v>
      </c>
      <c r="AL19" s="147" t="str" cm="1">
        <f t="array" ref="AL19">INDEX(auto_ddCountry,AL18)</f>
        <v>Madrid</v>
      </c>
      <c r="AM19" s="147" t="str" cm="1">
        <f t="array" ref="AM19">INDEX(auto_ddCountry,AM18)</f>
        <v>Manila</v>
      </c>
      <c r="AN19" s="147" t="str" cm="1">
        <f t="array" ref="AN19">INDEX(auto_ddCountry,AN18)</f>
        <v>Melbourne</v>
      </c>
      <c r="AO19" s="147" t="str" cm="1">
        <f t="array" ref="AO19">INDEX(auto_ddCountry,AO18)</f>
        <v>Mexico City</v>
      </c>
      <c r="AP19" s="147" t="str" cm="1">
        <f t="array" ref="AP19">INDEX(auto_ddCountry,AP18)</f>
        <v>Moscow</v>
      </c>
      <c r="AQ19" s="147" t="str" cm="1">
        <f t="array" ref="AQ19">INDEX(auto_ddCountry,AQ18)</f>
        <v>Mumbai</v>
      </c>
      <c r="AR19" s="147" t="str" cm="1">
        <f t="array" ref="AR19">INDEX(auto_ddCountry,AR18)</f>
        <v>Nairobi</v>
      </c>
      <c r="AS19" s="147" t="str" cm="1">
        <f t="array" ref="AS19">INDEX(auto_ddCountry,AS18)</f>
        <v>New York City</v>
      </c>
      <c r="AT19" s="147" t="str" cm="1">
        <f t="array" ref="AT19">INDEX(auto_ddCountry,AT18)</f>
        <v>Osaka</v>
      </c>
      <c r="AU19" s="147" t="str" cm="1">
        <f t="array" ref="AU19">INDEX(auto_ddCountry,AU18)</f>
        <v>Paris</v>
      </c>
      <c r="AV19" s="147" t="str" cm="1">
        <f t="array" ref="AV19">INDEX(auto_ddCountry,AV18)</f>
        <v>Phnom Penh</v>
      </c>
      <c r="AW19" s="147" t="str" cm="1">
        <f t="array" ref="AW19">INDEX(auto_ddCountry,AW18)</f>
        <v>Riyadh</v>
      </c>
      <c r="AX19" s="147" t="str" cm="1">
        <f t="array" ref="AX19">INDEX(auto_ddCountry,AX18)</f>
        <v>Rome</v>
      </c>
      <c r="AY19" s="147" t="str" cm="1">
        <f t="array" ref="AY19">INDEX(auto_ddCountry,AY18)</f>
        <v>San Francisco</v>
      </c>
      <c r="AZ19" s="147" t="str" cm="1">
        <f t="array" ref="AZ19">INDEX(auto_ddCountry,AZ18)</f>
        <v>São Paulo</v>
      </c>
      <c r="BA19" s="147" t="str" cm="1">
        <f t="array" ref="BA19">INDEX(auto_ddCountry,BA18)</f>
        <v>Seoul</v>
      </c>
      <c r="BB19" s="147" t="str" cm="1">
        <f t="array" ref="BB19">INDEX(auto_ddCountry,BB18)</f>
        <v>Shanghai</v>
      </c>
      <c r="BC19" s="147" t="str" cm="1">
        <f t="array" ref="BC19">INDEX(auto_ddCountry,BC18)</f>
        <v>Singapore</v>
      </c>
      <c r="BD19" s="147" t="str" cm="1">
        <f t="array" ref="BD19">INDEX(auto_ddCountry,BD18)</f>
        <v>Sydney</v>
      </c>
      <c r="BE19" s="147" t="str" cm="1">
        <f t="array" ref="BE19">INDEX(auto_ddCountry,BE18)</f>
        <v>Tokyo</v>
      </c>
      <c r="BF19" s="147" t="str" cm="1">
        <f t="array" ref="BF19">INDEX(auto_ddCountry,BF18)</f>
        <v>Toronto</v>
      </c>
      <c r="BG19" s="147" t="str" cm="1">
        <f t="array" ref="BG19">INDEX(auto_ddCountry,BG18)</f>
        <v>Vienna</v>
      </c>
      <c r="BH19" s="147" t="str" cm="1">
        <f t="array" ref="BH19">INDEX(auto_ddCountry,BH18)</f>
        <v>Wuhan</v>
      </c>
      <c r="BI19" s="147" t="str" cm="1">
        <f t="array" ref="BI19">INDEX(auto_ddCountry,BI18)</f>
        <v>Yangon</v>
      </c>
    </row>
    <row r="20" spans="1:61" ht="17.05" customHeight="1" x14ac:dyDescent="0.4">
      <c r="A20" t="str">
        <f>IF($D$13=1,"",IF(G20=0,"H",""))</f>
        <v/>
      </c>
      <c r="B20" s="42" t="str">
        <f t="shared" ref="B20:B97" ca="1" si="1">IF($G20=0,"V","")</f>
        <v>V</v>
      </c>
      <c r="C20" s="100">
        <v>1</v>
      </c>
      <c r="D20" s="49" cm="1">
        <f t="array" aca="1" ref="D20" ca="1">INDEX(OFFSET(auto_ss_data_table,0,1,500,1),C20)</f>
        <v>1</v>
      </c>
      <c r="E20" s="101" cm="1">
        <f t="array" aca="1" ref="E20" ca="1">INDEX(auto_tblSeries,$D20,E$18)</f>
        <v>0</v>
      </c>
      <c r="F20" s="101" t="str" cm="1">
        <f t="array" aca="1" ref="F20" ca="1">INDEX(auto_tblSeries,$D20,F$18)</f>
        <v>#,0.0</v>
      </c>
      <c r="G20" s="101" cm="1">
        <f t="array" aca="1" ref="G20" ca="1">INDEX(auto_tblSeries,$D20,G$18)</f>
        <v>0</v>
      </c>
      <c r="H20" s="101" cm="1">
        <f t="array" aca="1" ref="H20" ca="1">INDEX(sys_DataFlat_LU_Grid,$D20,1)-1</f>
        <v>0</v>
      </c>
      <c r="I20" s="26"/>
      <c r="J20" s="148" t="str" cm="1">
        <f t="array" aca="1" ref="J20" ca="1">INDEX(auto_Series_NameNumbered,$D20)</f>
        <v>OVERALL</v>
      </c>
      <c r="K20" s="149" t="str" cm="1">
        <f t="array" aca="1" ref="K20" ca="1">IF($G20=0,"",INDEX(auto_tblSeries,$D20,K$18))</f>
        <v/>
      </c>
      <c r="L20" s="150" t="str" cm="1">
        <f t="array" aca="1" ref="L20" ca="1">IF($G20=0,"",INDEX(auto_DataFlat_DataValue,$H20+L$18))</f>
        <v/>
      </c>
      <c r="M20" s="150" t="str" cm="1">
        <f t="array" aca="1" ref="M20" ca="1">IF($G20=0,"",INDEX(auto_DataFlat_DataValue,$H20+M$18))</f>
        <v/>
      </c>
      <c r="N20" s="150" t="str" cm="1">
        <f t="array" aca="1" ref="N20" ca="1">IF($G20=0,"",INDEX(auto_DataFlat_DataValue,$H20+N$18))</f>
        <v/>
      </c>
      <c r="O20" s="150" t="str" cm="1">
        <f t="array" aca="1" ref="O20" ca="1">IF($G20=0,"",INDEX(auto_DataFlat_DataValue,$H20+O$18))</f>
        <v/>
      </c>
      <c r="P20" s="150" t="str" cm="1">
        <f t="array" aca="1" ref="P20" ca="1">IF($G20=0,"",INDEX(auto_DataFlat_DataValue,$H20+P$18))</f>
        <v/>
      </c>
      <c r="Q20" s="150" t="str" cm="1">
        <f t="array" aca="1" ref="Q20" ca="1">IF($G20=0,"",INDEX(auto_DataFlat_DataValue,$H20+Q$18))</f>
        <v/>
      </c>
      <c r="R20" s="150" t="str" cm="1">
        <f t="array" aca="1" ref="R20" ca="1">IF($G20=0,"",INDEX(auto_DataFlat_DataValue,$H20+R$18))</f>
        <v/>
      </c>
      <c r="S20" s="150" t="str" cm="1">
        <f t="array" aca="1" ref="S20" ca="1">IF($G20=0,"",INDEX(auto_DataFlat_DataValue,$H20+S$18))</f>
        <v/>
      </c>
      <c r="T20" s="150" t="str" cm="1">
        <f t="array" aca="1" ref="T20" ca="1">IF($G20=0,"",INDEX(auto_DataFlat_DataValue,$H20+T$18))</f>
        <v/>
      </c>
      <c r="U20" s="150" t="str" cm="1">
        <f t="array" aca="1" ref="U20" ca="1">IF($G20=0,"",INDEX(auto_DataFlat_DataValue,$H20+U$18))</f>
        <v/>
      </c>
      <c r="V20" s="150" t="str" cm="1">
        <f t="array" aca="1" ref="V20" ca="1">IF($G20=0,"",INDEX(auto_DataFlat_DataValue,$H20+V$18))</f>
        <v/>
      </c>
      <c r="W20" s="150" t="str" cm="1">
        <f t="array" aca="1" ref="W20" ca="1">IF($G20=0,"",INDEX(auto_DataFlat_DataValue,$H20+W$18))</f>
        <v/>
      </c>
      <c r="X20" s="150" t="str" cm="1">
        <f t="array" aca="1" ref="X20" ca="1">IF($G20=0,"",INDEX(auto_DataFlat_DataValue,$H20+X$18))</f>
        <v/>
      </c>
      <c r="Y20" s="150" t="str" cm="1">
        <f t="array" aca="1" ref="Y20" ca="1">IF($G20=0,"",INDEX(auto_DataFlat_DataValue,$H20+Y$18))</f>
        <v/>
      </c>
      <c r="Z20" s="150" t="str" cm="1">
        <f t="array" aca="1" ref="Z20" ca="1">IF($G20=0,"",INDEX(auto_DataFlat_DataValue,$H20+Z$18))</f>
        <v/>
      </c>
      <c r="AA20" s="150" t="str" cm="1">
        <f t="array" aca="1" ref="AA20" ca="1">IF($G20=0,"",INDEX(auto_DataFlat_DataValue,$H20+AA$18))</f>
        <v/>
      </c>
      <c r="AB20" s="150" t="str" cm="1">
        <f t="array" aca="1" ref="AB20" ca="1">IF($G20=0,"",INDEX(auto_DataFlat_DataValue,$H20+AB$18))</f>
        <v/>
      </c>
      <c r="AC20" s="150" t="str" cm="1">
        <f t="array" aca="1" ref="AC20" ca="1">IF($G20=0,"",INDEX(auto_DataFlat_DataValue,$H20+AC$18))</f>
        <v/>
      </c>
      <c r="AD20" s="150" t="str" cm="1">
        <f t="array" aca="1" ref="AD20" ca="1">IF($G20=0,"",INDEX(auto_DataFlat_DataValue,$H20+AD$18))</f>
        <v/>
      </c>
      <c r="AE20" s="150" t="str" cm="1">
        <f t="array" aca="1" ref="AE20" ca="1">IF($G20=0,"",INDEX(auto_DataFlat_DataValue,$H20+AE$18))</f>
        <v/>
      </c>
      <c r="AF20" s="150" t="str" cm="1">
        <f t="array" aca="1" ref="AF20" ca="1">IF($G20=0,"",INDEX(auto_DataFlat_DataValue,$H20+AF$18))</f>
        <v/>
      </c>
      <c r="AG20" s="150" t="str" cm="1">
        <f t="array" aca="1" ref="AG20" ca="1">IF($G20=0,"",INDEX(auto_DataFlat_DataValue,$H20+AG$18))</f>
        <v/>
      </c>
      <c r="AH20" s="150" t="str" cm="1">
        <f t="array" aca="1" ref="AH20" ca="1">IF($G20=0,"",INDEX(auto_DataFlat_DataValue,$H20+AH$18))</f>
        <v/>
      </c>
      <c r="AI20" s="150" t="str" cm="1">
        <f t="array" aca="1" ref="AI20" ca="1">IF($G20=0,"",INDEX(auto_DataFlat_DataValue,$H20+AI$18))</f>
        <v/>
      </c>
      <c r="AJ20" s="150" t="str" cm="1">
        <f t="array" aca="1" ref="AJ20" ca="1">IF($G20=0,"",INDEX(auto_DataFlat_DataValue,$H20+AJ$18))</f>
        <v/>
      </c>
      <c r="AK20" s="150" t="str" cm="1">
        <f t="array" aca="1" ref="AK20" ca="1">IF($G20=0,"",INDEX(auto_DataFlat_DataValue,$H20+AK$18))</f>
        <v/>
      </c>
      <c r="AL20" s="150" t="str" cm="1">
        <f t="array" aca="1" ref="AL20" ca="1">IF($G20=0,"",INDEX(auto_DataFlat_DataValue,$H20+AL$18))</f>
        <v/>
      </c>
      <c r="AM20" s="150" t="str" cm="1">
        <f t="array" aca="1" ref="AM20" ca="1">IF($G20=0,"",INDEX(auto_DataFlat_DataValue,$H20+AM$18))</f>
        <v/>
      </c>
      <c r="AN20" s="150" t="str" cm="1">
        <f t="array" aca="1" ref="AN20" ca="1">IF($G20=0,"",INDEX(auto_DataFlat_DataValue,$H20+AN$18))</f>
        <v/>
      </c>
      <c r="AO20" s="150" t="str" cm="1">
        <f t="array" aca="1" ref="AO20" ca="1">IF($G20=0,"",INDEX(auto_DataFlat_DataValue,$H20+AO$18))</f>
        <v/>
      </c>
      <c r="AP20" s="150" t="str" cm="1">
        <f t="array" aca="1" ref="AP20" ca="1">IF($G20=0,"",INDEX(auto_DataFlat_DataValue,$H20+AP$18))</f>
        <v/>
      </c>
      <c r="AQ20" s="150" t="str" cm="1">
        <f t="array" aca="1" ref="AQ20" ca="1">IF($G20=0,"",INDEX(auto_DataFlat_DataValue,$H20+AQ$18))</f>
        <v/>
      </c>
      <c r="AR20" s="150" t="str" cm="1">
        <f t="array" aca="1" ref="AR20" ca="1">IF($G20=0,"",INDEX(auto_DataFlat_DataValue,$H20+AR$18))</f>
        <v/>
      </c>
      <c r="AS20" s="150" t="str" cm="1">
        <f t="array" aca="1" ref="AS20" ca="1">IF($G20=0,"",INDEX(auto_DataFlat_DataValue,$H20+AS$18))</f>
        <v/>
      </c>
      <c r="AT20" s="150" t="str" cm="1">
        <f t="array" aca="1" ref="AT20" ca="1">IF($G20=0,"",INDEX(auto_DataFlat_DataValue,$H20+AT$18))</f>
        <v/>
      </c>
      <c r="AU20" s="150" t="str" cm="1">
        <f t="array" aca="1" ref="AU20" ca="1">IF($G20=0,"",INDEX(auto_DataFlat_DataValue,$H20+AU$18))</f>
        <v/>
      </c>
      <c r="AV20" s="150" t="str" cm="1">
        <f t="array" aca="1" ref="AV20" ca="1">IF($G20=0,"",INDEX(auto_DataFlat_DataValue,$H20+AV$18))</f>
        <v/>
      </c>
      <c r="AW20" s="150" t="str" cm="1">
        <f t="array" aca="1" ref="AW20" ca="1">IF($G20=0,"",INDEX(auto_DataFlat_DataValue,$H20+AW$18))</f>
        <v/>
      </c>
      <c r="AX20" s="150" t="str" cm="1">
        <f t="array" aca="1" ref="AX20" ca="1">IF($G20=0,"",INDEX(auto_DataFlat_DataValue,$H20+AX$18))</f>
        <v/>
      </c>
      <c r="AY20" s="150" t="str" cm="1">
        <f t="array" aca="1" ref="AY20" ca="1">IF($G20=0,"",INDEX(auto_DataFlat_DataValue,$H20+AY$18))</f>
        <v/>
      </c>
      <c r="AZ20" s="150" t="str" cm="1">
        <f t="array" aca="1" ref="AZ20" ca="1">IF($G20=0,"",INDEX(auto_DataFlat_DataValue,$H20+AZ$18))</f>
        <v/>
      </c>
      <c r="BA20" s="150" t="str" cm="1">
        <f t="array" aca="1" ref="BA20" ca="1">IF($G20=0,"",INDEX(auto_DataFlat_DataValue,$H20+BA$18))</f>
        <v/>
      </c>
      <c r="BB20" s="150" t="str" cm="1">
        <f t="array" aca="1" ref="BB20" ca="1">IF($G20=0,"",INDEX(auto_DataFlat_DataValue,$H20+BB$18))</f>
        <v/>
      </c>
      <c r="BC20" s="150" t="str" cm="1">
        <f t="array" aca="1" ref="BC20" ca="1">IF($G20=0,"",INDEX(auto_DataFlat_DataValue,$H20+BC$18))</f>
        <v/>
      </c>
      <c r="BD20" s="150" t="str" cm="1">
        <f t="array" aca="1" ref="BD20" ca="1">IF($G20=0,"",INDEX(auto_DataFlat_DataValue,$H20+BD$18))</f>
        <v/>
      </c>
      <c r="BE20" s="150" t="str" cm="1">
        <f t="array" aca="1" ref="BE20" ca="1">IF($G20=0,"",INDEX(auto_DataFlat_DataValue,$H20+BE$18))</f>
        <v/>
      </c>
      <c r="BF20" s="150" t="str" cm="1">
        <f t="array" aca="1" ref="BF20" ca="1">IF($G20=0,"",INDEX(auto_DataFlat_DataValue,$H20+BF$18))</f>
        <v/>
      </c>
      <c r="BG20" s="150" t="str" cm="1">
        <f t="array" aca="1" ref="BG20" ca="1">IF($G20=0,"",INDEX(auto_DataFlat_DataValue,$H20+BG$18))</f>
        <v/>
      </c>
      <c r="BH20" s="150" t="str" cm="1">
        <f t="array" aca="1" ref="BH20" ca="1">IF($G20=0,"",INDEX(auto_DataFlat_DataValue,$H20+BH$18))</f>
        <v/>
      </c>
      <c r="BI20" s="150" t="str" cm="1">
        <f t="array" aca="1" ref="BI20" ca="1">IF($G20=0,"",INDEX(auto_DataFlat_DataValue,$H20+BI$18))</f>
        <v/>
      </c>
    </row>
    <row r="21" spans="1:61" ht="17.05" customHeight="1" x14ac:dyDescent="0.4">
      <c r="A21" t="str">
        <f t="shared" ref="A21:A22" si="2">IF($D$13=1,"",IF(G21=0,"H",""))</f>
        <v/>
      </c>
      <c r="B21" s="42" t="str">
        <f t="shared" ca="1" si="1"/>
        <v>V</v>
      </c>
      <c r="C21" s="100">
        <v>2</v>
      </c>
      <c r="D21" s="49" cm="1">
        <f t="array" aca="1" ref="D21" ca="1">INDEX(OFFSET(auto_ss_data_table,0,1,500,1),C21)</f>
        <v>2</v>
      </c>
      <c r="E21" s="101" cm="1">
        <f t="array" aca="1" ref="E21" ca="1">INDEX(auto_tblSeries,$D21,E$18)</f>
        <v>1</v>
      </c>
      <c r="F21" s="101" t="str" cm="1">
        <f t="array" aca="1" ref="F21" ca="1">INDEX(auto_tblSeries,$D21,F$18)</f>
        <v>#,0.0</v>
      </c>
      <c r="G21" s="101" cm="1">
        <f t="array" aca="1" ref="G21" ca="1">INDEX(auto_tblSeries,$D21,G$18)</f>
        <v>0</v>
      </c>
      <c r="H21" s="101" cm="1">
        <f t="array" aca="1" ref="H21" ca="1">INDEX(sys_DataFlat_LU_Grid,$D21,1)-1</f>
        <v>60</v>
      </c>
      <c r="I21" s="26"/>
      <c r="J21" s="148" t="str" cm="1">
        <f t="array" aca="1" ref="J21" ca="1">INDEX(auto_Series_NameNumbered,$D21)</f>
        <v>1) SOCIAL DETERMINANTS</v>
      </c>
      <c r="K21" s="149" t="str" cm="1">
        <f t="array" aca="1" ref="K21" ca="1">IF($G21=0,"",INDEX(auto_tblSeries,$D21,K$18))</f>
        <v/>
      </c>
      <c r="L21" s="150" t="str" cm="1">
        <f t="array" aca="1" ref="L21" ca="1">IF($G21=0,"",INDEX(auto_DataFlat_DataValue,$H21+L$18))</f>
        <v/>
      </c>
      <c r="M21" s="150" t="str" cm="1">
        <f t="array" aca="1" ref="M21" ca="1">IF($G21=0,"",INDEX(auto_DataFlat_DataValue,$H21+M$18))</f>
        <v/>
      </c>
      <c r="N21" s="150" t="str" cm="1">
        <f t="array" aca="1" ref="N21" ca="1">IF($G21=0,"",INDEX(auto_DataFlat_DataValue,$H21+N$18))</f>
        <v/>
      </c>
      <c r="O21" s="150" t="str" cm="1">
        <f t="array" aca="1" ref="O21" ca="1">IF($G21=0,"",INDEX(auto_DataFlat_DataValue,$H21+O$18))</f>
        <v/>
      </c>
      <c r="P21" s="150" t="str" cm="1">
        <f t="array" aca="1" ref="P21" ca="1">IF($G21=0,"",INDEX(auto_DataFlat_DataValue,$H21+P$18))</f>
        <v/>
      </c>
      <c r="Q21" s="150" t="str" cm="1">
        <f t="array" aca="1" ref="Q21" ca="1">IF($G21=0,"",INDEX(auto_DataFlat_DataValue,$H21+Q$18))</f>
        <v/>
      </c>
      <c r="R21" s="150" t="str" cm="1">
        <f t="array" aca="1" ref="R21" ca="1">IF($G21=0,"",INDEX(auto_DataFlat_DataValue,$H21+R$18))</f>
        <v/>
      </c>
      <c r="S21" s="150" t="str" cm="1">
        <f t="array" aca="1" ref="S21" ca="1">IF($G21=0,"",INDEX(auto_DataFlat_DataValue,$H21+S$18))</f>
        <v/>
      </c>
      <c r="T21" s="150" t="str" cm="1">
        <f t="array" aca="1" ref="T21" ca="1">IF($G21=0,"",INDEX(auto_DataFlat_DataValue,$H21+T$18))</f>
        <v/>
      </c>
      <c r="U21" s="150" t="str" cm="1">
        <f t="array" aca="1" ref="U21" ca="1">IF($G21=0,"",INDEX(auto_DataFlat_DataValue,$H21+U$18))</f>
        <v/>
      </c>
      <c r="V21" s="150" t="str" cm="1">
        <f t="array" aca="1" ref="V21" ca="1">IF($G21=0,"",INDEX(auto_DataFlat_DataValue,$H21+V$18))</f>
        <v/>
      </c>
      <c r="W21" s="150" t="str" cm="1">
        <f t="array" aca="1" ref="W21" ca="1">IF($G21=0,"",INDEX(auto_DataFlat_DataValue,$H21+W$18))</f>
        <v/>
      </c>
      <c r="X21" s="150" t="str" cm="1">
        <f t="array" aca="1" ref="X21" ca="1">IF($G21=0,"",INDEX(auto_DataFlat_DataValue,$H21+X$18))</f>
        <v/>
      </c>
      <c r="Y21" s="150" t="str" cm="1">
        <f t="array" aca="1" ref="Y21" ca="1">IF($G21=0,"",INDEX(auto_DataFlat_DataValue,$H21+Y$18))</f>
        <v/>
      </c>
      <c r="Z21" s="150" t="str" cm="1">
        <f t="array" aca="1" ref="Z21" ca="1">IF($G21=0,"",INDEX(auto_DataFlat_DataValue,$H21+Z$18))</f>
        <v/>
      </c>
      <c r="AA21" s="150" t="str" cm="1">
        <f t="array" aca="1" ref="AA21" ca="1">IF($G21=0,"",INDEX(auto_DataFlat_DataValue,$H21+AA$18))</f>
        <v/>
      </c>
      <c r="AB21" s="150" t="str" cm="1">
        <f t="array" aca="1" ref="AB21" ca="1">IF($G21=0,"",INDEX(auto_DataFlat_DataValue,$H21+AB$18))</f>
        <v/>
      </c>
      <c r="AC21" s="150" t="str" cm="1">
        <f t="array" aca="1" ref="AC21" ca="1">IF($G21=0,"",INDEX(auto_DataFlat_DataValue,$H21+AC$18))</f>
        <v/>
      </c>
      <c r="AD21" s="150" t="str" cm="1">
        <f t="array" aca="1" ref="AD21" ca="1">IF($G21=0,"",INDEX(auto_DataFlat_DataValue,$H21+AD$18))</f>
        <v/>
      </c>
      <c r="AE21" s="150" t="str" cm="1">
        <f t="array" aca="1" ref="AE21" ca="1">IF($G21=0,"",INDEX(auto_DataFlat_DataValue,$H21+AE$18))</f>
        <v/>
      </c>
      <c r="AF21" s="150" t="str" cm="1">
        <f t="array" aca="1" ref="AF21" ca="1">IF($G21=0,"",INDEX(auto_DataFlat_DataValue,$H21+AF$18))</f>
        <v/>
      </c>
      <c r="AG21" s="150" t="str" cm="1">
        <f t="array" aca="1" ref="AG21" ca="1">IF($G21=0,"",INDEX(auto_DataFlat_DataValue,$H21+AG$18))</f>
        <v/>
      </c>
      <c r="AH21" s="150" t="str" cm="1">
        <f t="array" aca="1" ref="AH21" ca="1">IF($G21=0,"",INDEX(auto_DataFlat_DataValue,$H21+AH$18))</f>
        <v/>
      </c>
      <c r="AI21" s="150" t="str" cm="1">
        <f t="array" aca="1" ref="AI21" ca="1">IF($G21=0,"",INDEX(auto_DataFlat_DataValue,$H21+AI$18))</f>
        <v/>
      </c>
      <c r="AJ21" s="150" t="str" cm="1">
        <f t="array" aca="1" ref="AJ21" ca="1">IF($G21=0,"",INDEX(auto_DataFlat_DataValue,$H21+AJ$18))</f>
        <v/>
      </c>
      <c r="AK21" s="150" t="str" cm="1">
        <f t="array" aca="1" ref="AK21" ca="1">IF($G21=0,"",INDEX(auto_DataFlat_DataValue,$H21+AK$18))</f>
        <v/>
      </c>
      <c r="AL21" s="150" t="str" cm="1">
        <f t="array" aca="1" ref="AL21" ca="1">IF($G21=0,"",INDEX(auto_DataFlat_DataValue,$H21+AL$18))</f>
        <v/>
      </c>
      <c r="AM21" s="150" t="str" cm="1">
        <f t="array" aca="1" ref="AM21" ca="1">IF($G21=0,"",INDEX(auto_DataFlat_DataValue,$H21+AM$18))</f>
        <v/>
      </c>
      <c r="AN21" s="150" t="str" cm="1">
        <f t="array" aca="1" ref="AN21" ca="1">IF($G21=0,"",INDEX(auto_DataFlat_DataValue,$H21+AN$18))</f>
        <v/>
      </c>
      <c r="AO21" s="150" t="str" cm="1">
        <f t="array" aca="1" ref="AO21" ca="1">IF($G21=0,"",INDEX(auto_DataFlat_DataValue,$H21+AO$18))</f>
        <v/>
      </c>
      <c r="AP21" s="150" t="str" cm="1">
        <f t="array" aca="1" ref="AP21" ca="1">IF($G21=0,"",INDEX(auto_DataFlat_DataValue,$H21+AP$18))</f>
        <v/>
      </c>
      <c r="AQ21" s="150" t="str" cm="1">
        <f t="array" aca="1" ref="AQ21" ca="1">IF($G21=0,"",INDEX(auto_DataFlat_DataValue,$H21+AQ$18))</f>
        <v/>
      </c>
      <c r="AR21" s="150" t="str" cm="1">
        <f t="array" aca="1" ref="AR21" ca="1">IF($G21=0,"",INDEX(auto_DataFlat_DataValue,$H21+AR$18))</f>
        <v/>
      </c>
      <c r="AS21" s="150" t="str" cm="1">
        <f t="array" aca="1" ref="AS21" ca="1">IF($G21=0,"",INDEX(auto_DataFlat_DataValue,$H21+AS$18))</f>
        <v/>
      </c>
      <c r="AT21" s="150" t="str" cm="1">
        <f t="array" aca="1" ref="AT21" ca="1">IF($G21=0,"",INDEX(auto_DataFlat_DataValue,$H21+AT$18))</f>
        <v/>
      </c>
      <c r="AU21" s="150" t="str" cm="1">
        <f t="array" aca="1" ref="AU21" ca="1">IF($G21=0,"",INDEX(auto_DataFlat_DataValue,$H21+AU$18))</f>
        <v/>
      </c>
      <c r="AV21" s="150" t="str" cm="1">
        <f t="array" aca="1" ref="AV21" ca="1">IF($G21=0,"",INDEX(auto_DataFlat_DataValue,$H21+AV$18))</f>
        <v/>
      </c>
      <c r="AW21" s="150" t="str" cm="1">
        <f t="array" aca="1" ref="AW21" ca="1">IF($G21=0,"",INDEX(auto_DataFlat_DataValue,$H21+AW$18))</f>
        <v/>
      </c>
      <c r="AX21" s="150" t="str" cm="1">
        <f t="array" aca="1" ref="AX21" ca="1">IF($G21=0,"",INDEX(auto_DataFlat_DataValue,$H21+AX$18))</f>
        <v/>
      </c>
      <c r="AY21" s="150" t="str" cm="1">
        <f t="array" aca="1" ref="AY21" ca="1">IF($G21=0,"",INDEX(auto_DataFlat_DataValue,$H21+AY$18))</f>
        <v/>
      </c>
      <c r="AZ21" s="150" t="str" cm="1">
        <f t="array" aca="1" ref="AZ21" ca="1">IF($G21=0,"",INDEX(auto_DataFlat_DataValue,$H21+AZ$18))</f>
        <v/>
      </c>
      <c r="BA21" s="150" t="str" cm="1">
        <f t="array" aca="1" ref="BA21" ca="1">IF($G21=0,"",INDEX(auto_DataFlat_DataValue,$H21+BA$18))</f>
        <v/>
      </c>
      <c r="BB21" s="150" t="str" cm="1">
        <f t="array" aca="1" ref="BB21" ca="1">IF($G21=0,"",INDEX(auto_DataFlat_DataValue,$H21+BB$18))</f>
        <v/>
      </c>
      <c r="BC21" s="150" t="str" cm="1">
        <f t="array" aca="1" ref="BC21" ca="1">IF($G21=0,"",INDEX(auto_DataFlat_DataValue,$H21+BC$18))</f>
        <v/>
      </c>
      <c r="BD21" s="150" t="str" cm="1">
        <f t="array" aca="1" ref="BD21" ca="1">IF($G21=0,"",INDEX(auto_DataFlat_DataValue,$H21+BD$18))</f>
        <v/>
      </c>
      <c r="BE21" s="150" t="str" cm="1">
        <f t="array" aca="1" ref="BE21" ca="1">IF($G21=0,"",INDEX(auto_DataFlat_DataValue,$H21+BE$18))</f>
        <v/>
      </c>
      <c r="BF21" s="150" t="str" cm="1">
        <f t="array" aca="1" ref="BF21" ca="1">IF($G21=0,"",INDEX(auto_DataFlat_DataValue,$H21+BF$18))</f>
        <v/>
      </c>
      <c r="BG21" s="150" t="str" cm="1">
        <f t="array" aca="1" ref="BG21" ca="1">IF($G21=0,"",INDEX(auto_DataFlat_DataValue,$H21+BG$18))</f>
        <v/>
      </c>
      <c r="BH21" s="150" t="str" cm="1">
        <f t="array" aca="1" ref="BH21" ca="1">IF($G21=0,"",INDEX(auto_DataFlat_DataValue,$H21+BH$18))</f>
        <v/>
      </c>
      <c r="BI21" s="150" t="str" cm="1">
        <f t="array" aca="1" ref="BI21" ca="1">IF($G21=0,"",INDEX(auto_DataFlat_DataValue,$H21+BI$18))</f>
        <v/>
      </c>
    </row>
    <row r="22" spans="1:61" ht="17.05" customHeight="1" x14ac:dyDescent="0.4">
      <c r="A22" t="str">
        <f t="shared" si="2"/>
        <v/>
      </c>
      <c r="B22" s="42" t="str">
        <f t="shared" ca="1" si="1"/>
        <v>V</v>
      </c>
      <c r="C22" s="100">
        <v>3</v>
      </c>
      <c r="D22" s="49" cm="1">
        <f t="array" aca="1" ref="D22" ca="1">INDEX(OFFSET(auto_ss_data_table,0,1,500,1),C22)</f>
        <v>3</v>
      </c>
      <c r="E22" s="101" cm="1">
        <f t="array" aca="1" ref="E22" ca="1">INDEX(auto_tblSeries,$D22,E$18)</f>
        <v>2</v>
      </c>
      <c r="F22" s="101" t="str" cm="1">
        <f t="array" aca="1" ref="F22" ca="1">INDEX(auto_tblSeries,$D22,F$18)</f>
        <v>#,0.0</v>
      </c>
      <c r="G22" s="101" cm="1">
        <f t="array" aca="1" ref="G22" ca="1">INDEX(auto_tblSeries,$D22,G$18)</f>
        <v>0</v>
      </c>
      <c r="H22" s="101" cm="1">
        <f t="array" aca="1" ref="H22" ca="1">INDEX(sys_DataFlat_LU_Grid,$D22,1)-1</f>
        <v>120</v>
      </c>
      <c r="I22" s="26"/>
      <c r="J22" s="148" t="str" cm="1">
        <f t="array" aca="1" ref="J22" ca="1">INDEX(auto_Series_NameNumbered,$D22)</f>
        <v>1.1) Poverty and inequality</v>
      </c>
      <c r="K22" s="149" t="str" cm="1">
        <f t="array" aca="1" ref="K22" ca="1">IF($G22=0,"",INDEX(auto_tblSeries,$D22,K$18))</f>
        <v/>
      </c>
      <c r="L22" s="150" t="str" cm="1">
        <f t="array" aca="1" ref="L22" ca="1">IF($G22=0,"",INDEX(auto_DataFlat_DataValue,$H22+L$18))</f>
        <v/>
      </c>
      <c r="M22" s="150" t="str" cm="1">
        <f t="array" aca="1" ref="M22" ca="1">IF($G22=0,"",INDEX(auto_DataFlat_DataValue,$H22+M$18))</f>
        <v/>
      </c>
      <c r="N22" s="150" t="str" cm="1">
        <f t="array" aca="1" ref="N22" ca="1">IF($G22=0,"",INDEX(auto_DataFlat_DataValue,$H22+N$18))</f>
        <v/>
      </c>
      <c r="O22" s="150" t="str" cm="1">
        <f t="array" aca="1" ref="O22" ca="1">IF($G22=0,"",INDEX(auto_DataFlat_DataValue,$H22+O$18))</f>
        <v/>
      </c>
      <c r="P22" s="150" t="str" cm="1">
        <f t="array" aca="1" ref="P22" ca="1">IF($G22=0,"",INDEX(auto_DataFlat_DataValue,$H22+P$18))</f>
        <v/>
      </c>
      <c r="Q22" s="150" t="str" cm="1">
        <f t="array" aca="1" ref="Q22" ca="1">IF($G22=0,"",INDEX(auto_DataFlat_DataValue,$H22+Q$18))</f>
        <v/>
      </c>
      <c r="R22" s="150" t="str" cm="1">
        <f t="array" aca="1" ref="R22" ca="1">IF($G22=0,"",INDEX(auto_DataFlat_DataValue,$H22+R$18))</f>
        <v/>
      </c>
      <c r="S22" s="150" t="str" cm="1">
        <f t="array" aca="1" ref="S22" ca="1">IF($G22=0,"",INDEX(auto_DataFlat_DataValue,$H22+S$18))</f>
        <v/>
      </c>
      <c r="T22" s="150" t="str" cm="1">
        <f t="array" aca="1" ref="T22" ca="1">IF($G22=0,"",INDEX(auto_DataFlat_DataValue,$H22+T$18))</f>
        <v/>
      </c>
      <c r="U22" s="150" t="str" cm="1">
        <f t="array" aca="1" ref="U22" ca="1">IF($G22=0,"",INDEX(auto_DataFlat_DataValue,$H22+U$18))</f>
        <v/>
      </c>
      <c r="V22" s="150" t="str" cm="1">
        <f t="array" aca="1" ref="V22" ca="1">IF($G22=0,"",INDEX(auto_DataFlat_DataValue,$H22+V$18))</f>
        <v/>
      </c>
      <c r="W22" s="150" t="str" cm="1">
        <f t="array" aca="1" ref="W22" ca="1">IF($G22=0,"",INDEX(auto_DataFlat_DataValue,$H22+W$18))</f>
        <v/>
      </c>
      <c r="X22" s="150" t="str" cm="1">
        <f t="array" aca="1" ref="X22" ca="1">IF($G22=0,"",INDEX(auto_DataFlat_DataValue,$H22+X$18))</f>
        <v/>
      </c>
      <c r="Y22" s="150" t="str" cm="1">
        <f t="array" aca="1" ref="Y22" ca="1">IF($G22=0,"",INDEX(auto_DataFlat_DataValue,$H22+Y$18))</f>
        <v/>
      </c>
      <c r="Z22" s="150" t="str" cm="1">
        <f t="array" aca="1" ref="Z22" ca="1">IF($G22=0,"",INDEX(auto_DataFlat_DataValue,$H22+Z$18))</f>
        <v/>
      </c>
      <c r="AA22" s="150" t="str" cm="1">
        <f t="array" aca="1" ref="AA22" ca="1">IF($G22=0,"",INDEX(auto_DataFlat_DataValue,$H22+AA$18))</f>
        <v/>
      </c>
      <c r="AB22" s="150" t="str" cm="1">
        <f t="array" aca="1" ref="AB22" ca="1">IF($G22=0,"",INDEX(auto_DataFlat_DataValue,$H22+AB$18))</f>
        <v/>
      </c>
      <c r="AC22" s="150" t="str" cm="1">
        <f t="array" aca="1" ref="AC22" ca="1">IF($G22=0,"",INDEX(auto_DataFlat_DataValue,$H22+AC$18))</f>
        <v/>
      </c>
      <c r="AD22" s="150" t="str" cm="1">
        <f t="array" aca="1" ref="AD22" ca="1">IF($G22=0,"",INDEX(auto_DataFlat_DataValue,$H22+AD$18))</f>
        <v/>
      </c>
      <c r="AE22" s="150" t="str" cm="1">
        <f t="array" aca="1" ref="AE22" ca="1">IF($G22=0,"",INDEX(auto_DataFlat_DataValue,$H22+AE$18))</f>
        <v/>
      </c>
      <c r="AF22" s="150" t="str" cm="1">
        <f t="array" aca="1" ref="AF22" ca="1">IF($G22=0,"",INDEX(auto_DataFlat_DataValue,$H22+AF$18))</f>
        <v/>
      </c>
      <c r="AG22" s="150" t="str" cm="1">
        <f t="array" aca="1" ref="AG22" ca="1">IF($G22=0,"",INDEX(auto_DataFlat_DataValue,$H22+AG$18))</f>
        <v/>
      </c>
      <c r="AH22" s="150" t="str" cm="1">
        <f t="array" aca="1" ref="AH22" ca="1">IF($G22=0,"",INDEX(auto_DataFlat_DataValue,$H22+AH$18))</f>
        <v/>
      </c>
      <c r="AI22" s="150" t="str" cm="1">
        <f t="array" aca="1" ref="AI22" ca="1">IF($G22=0,"",INDEX(auto_DataFlat_DataValue,$H22+AI$18))</f>
        <v/>
      </c>
      <c r="AJ22" s="150" t="str" cm="1">
        <f t="array" aca="1" ref="AJ22" ca="1">IF($G22=0,"",INDEX(auto_DataFlat_DataValue,$H22+AJ$18))</f>
        <v/>
      </c>
      <c r="AK22" s="150" t="str" cm="1">
        <f t="array" aca="1" ref="AK22" ca="1">IF($G22=0,"",INDEX(auto_DataFlat_DataValue,$H22+AK$18))</f>
        <v/>
      </c>
      <c r="AL22" s="150" t="str" cm="1">
        <f t="array" aca="1" ref="AL22" ca="1">IF($G22=0,"",INDEX(auto_DataFlat_DataValue,$H22+AL$18))</f>
        <v/>
      </c>
      <c r="AM22" s="150" t="str" cm="1">
        <f t="array" aca="1" ref="AM22" ca="1">IF($G22=0,"",INDEX(auto_DataFlat_DataValue,$H22+AM$18))</f>
        <v/>
      </c>
      <c r="AN22" s="150" t="str" cm="1">
        <f t="array" aca="1" ref="AN22" ca="1">IF($G22=0,"",INDEX(auto_DataFlat_DataValue,$H22+AN$18))</f>
        <v/>
      </c>
      <c r="AO22" s="150" t="str" cm="1">
        <f t="array" aca="1" ref="AO22" ca="1">IF($G22=0,"",INDEX(auto_DataFlat_DataValue,$H22+AO$18))</f>
        <v/>
      </c>
      <c r="AP22" s="150" t="str" cm="1">
        <f t="array" aca="1" ref="AP22" ca="1">IF($G22=0,"",INDEX(auto_DataFlat_DataValue,$H22+AP$18))</f>
        <v/>
      </c>
      <c r="AQ22" s="150" t="str" cm="1">
        <f t="array" aca="1" ref="AQ22" ca="1">IF($G22=0,"",INDEX(auto_DataFlat_DataValue,$H22+AQ$18))</f>
        <v/>
      </c>
      <c r="AR22" s="150" t="str" cm="1">
        <f t="array" aca="1" ref="AR22" ca="1">IF($G22=0,"",INDEX(auto_DataFlat_DataValue,$H22+AR$18))</f>
        <v/>
      </c>
      <c r="AS22" s="150" t="str" cm="1">
        <f t="array" aca="1" ref="AS22" ca="1">IF($G22=0,"",INDEX(auto_DataFlat_DataValue,$H22+AS$18))</f>
        <v/>
      </c>
      <c r="AT22" s="150" t="str" cm="1">
        <f t="array" aca="1" ref="AT22" ca="1">IF($G22=0,"",INDEX(auto_DataFlat_DataValue,$H22+AT$18))</f>
        <v/>
      </c>
      <c r="AU22" s="150" t="str" cm="1">
        <f t="array" aca="1" ref="AU22" ca="1">IF($G22=0,"",INDEX(auto_DataFlat_DataValue,$H22+AU$18))</f>
        <v/>
      </c>
      <c r="AV22" s="150" t="str" cm="1">
        <f t="array" aca="1" ref="AV22" ca="1">IF($G22=0,"",INDEX(auto_DataFlat_DataValue,$H22+AV$18))</f>
        <v/>
      </c>
      <c r="AW22" s="150" t="str" cm="1">
        <f t="array" aca="1" ref="AW22" ca="1">IF($G22=0,"",INDEX(auto_DataFlat_DataValue,$H22+AW$18))</f>
        <v/>
      </c>
      <c r="AX22" s="150" t="str" cm="1">
        <f t="array" aca="1" ref="AX22" ca="1">IF($G22=0,"",INDEX(auto_DataFlat_DataValue,$H22+AX$18))</f>
        <v/>
      </c>
      <c r="AY22" s="150" t="str" cm="1">
        <f t="array" aca="1" ref="AY22" ca="1">IF($G22=0,"",INDEX(auto_DataFlat_DataValue,$H22+AY$18))</f>
        <v/>
      </c>
      <c r="AZ22" s="150" t="str" cm="1">
        <f t="array" aca="1" ref="AZ22" ca="1">IF($G22=0,"",INDEX(auto_DataFlat_DataValue,$H22+AZ$18))</f>
        <v/>
      </c>
      <c r="BA22" s="150" t="str" cm="1">
        <f t="array" aca="1" ref="BA22" ca="1">IF($G22=0,"",INDEX(auto_DataFlat_DataValue,$H22+BA$18))</f>
        <v/>
      </c>
      <c r="BB22" s="150" t="str" cm="1">
        <f t="array" aca="1" ref="BB22" ca="1">IF($G22=0,"",INDEX(auto_DataFlat_DataValue,$H22+BB$18))</f>
        <v/>
      </c>
      <c r="BC22" s="150" t="str" cm="1">
        <f t="array" aca="1" ref="BC22" ca="1">IF($G22=0,"",INDEX(auto_DataFlat_DataValue,$H22+BC$18))</f>
        <v/>
      </c>
      <c r="BD22" s="150" t="str" cm="1">
        <f t="array" aca="1" ref="BD22" ca="1">IF($G22=0,"",INDEX(auto_DataFlat_DataValue,$H22+BD$18))</f>
        <v/>
      </c>
      <c r="BE22" s="150" t="str" cm="1">
        <f t="array" aca="1" ref="BE22" ca="1">IF($G22=0,"",INDEX(auto_DataFlat_DataValue,$H22+BE$18))</f>
        <v/>
      </c>
      <c r="BF22" s="150" t="str" cm="1">
        <f t="array" aca="1" ref="BF22" ca="1">IF($G22=0,"",INDEX(auto_DataFlat_DataValue,$H22+BF$18))</f>
        <v/>
      </c>
      <c r="BG22" s="150" t="str" cm="1">
        <f t="array" aca="1" ref="BG22" ca="1">IF($G22=0,"",INDEX(auto_DataFlat_DataValue,$H22+BG$18))</f>
        <v/>
      </c>
      <c r="BH22" s="150" t="str" cm="1">
        <f t="array" aca="1" ref="BH22" ca="1">IF($G22=0,"",INDEX(auto_DataFlat_DataValue,$H22+BH$18))</f>
        <v/>
      </c>
      <c r="BI22" s="150" t="str" cm="1">
        <f t="array" aca="1" ref="BI22" ca="1">IF($G22=0,"",INDEX(auto_DataFlat_DataValue,$H22+BI$18))</f>
        <v/>
      </c>
    </row>
    <row r="23" spans="1:61" ht="17.05" customHeight="1" x14ac:dyDescent="0.4">
      <c r="A23" t="str">
        <f t="shared" ref="A23:A86" si="3">IF($D$13=1,"",IF(G23=0,"H",""))</f>
        <v/>
      </c>
      <c r="B23" s="42" t="str">
        <f t="shared" ca="1" si="1"/>
        <v/>
      </c>
      <c r="C23" s="100">
        <v>4</v>
      </c>
      <c r="D23" s="49" cm="1">
        <f t="array" aca="1" ref="D23" ca="1">INDEX(OFFSET(auto_ss_data_table,0,1,500,1),C23)</f>
        <v>4</v>
      </c>
      <c r="E23" s="101" cm="1">
        <f t="array" aca="1" ref="E23" ca="1">INDEX(auto_tblSeries,$D23,E$18)</f>
        <v>3</v>
      </c>
      <c r="F23" s="101" t="str" cm="1">
        <f t="array" aca="1" ref="F23" ca="1">INDEX(auto_tblSeries,$D23,F$18)</f>
        <v>#,0.0</v>
      </c>
      <c r="G23" s="101" cm="1">
        <f t="array" aca="1" ref="G23" ca="1">INDEX(auto_tblSeries,$D23,G$18)</f>
        <v>1</v>
      </c>
      <c r="H23" s="101" cm="1">
        <f t="array" aca="1" ref="H23" ca="1">INDEX(sys_DataFlat_LU_Grid,$D23,1)-1</f>
        <v>180</v>
      </c>
      <c r="I23" s="26"/>
      <c r="J23" s="151" t="str" cm="1">
        <f t="array" aca="1" ref="J23" ca="1">INDEX(auto_Series_NameNumbered,$D23)</f>
        <v>1.1a) Gini Index: national data</v>
      </c>
      <c r="K23" s="152" t="str" cm="1">
        <f t="array" aca="1" ref="K23" ca="1">IF($G23=0,"",INDEX(auto_tblSeries,$D23,K$18))</f>
        <v>Gini Index score</v>
      </c>
      <c r="L23" s="153" cm="1">
        <f t="array" aca="1" ref="L23" ca="1">IF($G23=0,"",INDEX(auto_DataFlat_DataValue,$H23+L$18))</f>
        <v>35</v>
      </c>
      <c r="M23" s="153" cm="1">
        <f t="array" aca="1" ref="M23" ca="1">IF($G23=0,"",INDEX(auto_DataFlat_DataValue,$H23+M$18))</f>
        <v>27.6</v>
      </c>
      <c r="N23" s="153" cm="1">
        <f t="array" aca="1" ref="N23" ca="1">IF($G23=0,"",INDEX(auto_DataFlat_DataValue,$H23+N$18))</f>
        <v>39.799999999999997</v>
      </c>
      <c r="O23" s="153" cm="1">
        <f t="array" aca="1" ref="O23" ca="1">IF($G23=0,"",INDEX(auto_DataFlat_DataValue,$H23+O$18))</f>
        <v>32</v>
      </c>
      <c r="P23" s="153" cm="1">
        <f t="array" aca="1" ref="P23" ca="1">IF($G23=0,"",INDEX(auto_DataFlat_DataValue,$H23+P$18))</f>
        <v>34.9</v>
      </c>
      <c r="Q23" s="153" cm="1">
        <f t="array" aca="1" ref="Q23" ca="1">IF($G23=0,"",INDEX(auto_DataFlat_DataValue,$H23+Q$18))</f>
        <v>37.1</v>
      </c>
      <c r="R23" s="153" cm="1">
        <f t="array" aca="1" ref="R23" ca="1">IF($G23=0,"",INDEX(auto_DataFlat_DataValue,$H23+R$18))</f>
        <v>31.7</v>
      </c>
      <c r="S23" s="153" cm="1">
        <f t="array" aca="1" ref="S23" ca="1">IF($G23=0,"",INDEX(auto_DataFlat_DataValue,$H23+S$18))</f>
        <v>54.8</v>
      </c>
      <c r="T23" s="153" cm="1">
        <f t="array" aca="1" ref="T23" ca="1">IF($G23=0,"",INDEX(auto_DataFlat_DataValue,$H23+T$18))</f>
        <v>29.2</v>
      </c>
      <c r="U23" s="153" cm="1">
        <f t="array" aca="1" ref="U23" ca="1">IF($G23=0,"",INDEX(auto_DataFlat_DataValue,$H23+U$18))</f>
        <v>31.9</v>
      </c>
      <c r="V23" s="153" cm="1">
        <f t="array" aca="1" ref="V23" ca="1">IF($G23=0,"",INDEX(auto_DataFlat_DataValue,$H23+V$18))</f>
        <v>37.700000000000003</v>
      </c>
      <c r="W23" s="153" cm="1">
        <f t="array" aca="1" ref="W23" ca="1">IF($G23=0,"",INDEX(auto_DataFlat_DataValue,$H23+W$18))</f>
        <v>32.799999999999997</v>
      </c>
      <c r="X23" s="153" cm="1">
        <f t="array" aca="1" ref="X23" ca="1">IF($G23=0,"",INDEX(auto_DataFlat_DataValue,$H23+X$18))</f>
        <v>33.4</v>
      </c>
      <c r="Y23" s="153" cm="1">
        <f t="array" aca="1" ref="Y23" ca="1">IF($G23=0,"",INDEX(auto_DataFlat_DataValue,$H23+Y$18))</f>
        <v>26</v>
      </c>
      <c r="Z23" s="153" cm="1">
        <f t="array" aca="1" ref="Z23" ca="1">IF($G23=0,"",INDEX(auto_DataFlat_DataValue,$H23+Z$18))</f>
        <v>27.7</v>
      </c>
      <c r="AA23" s="153" cm="1">
        <f t="array" aca="1" ref="AA23" ca="1">IF($G23=0,"",INDEX(auto_DataFlat_DataValue,$H23+AA$18))</f>
        <v>36.1</v>
      </c>
      <c r="AB23" s="153" cm="1">
        <f t="array" aca="1" ref="AB23" ca="1">IF($G23=0,"",INDEX(auto_DataFlat_DataValue,$H23+AB$18))</f>
        <v>32</v>
      </c>
      <c r="AC23" s="153" cm="1">
        <f t="array" aca="1" ref="AC23" ca="1">IF($G23=0,"",INDEX(auto_DataFlat_DataValue,$H23+AC$18))</f>
        <v>44.4</v>
      </c>
      <c r="AD23" s="153" cm="1">
        <f t="array" aca="1" ref="AD23" ca="1">IF($G23=0,"",INDEX(auto_DataFlat_DataValue,$H23+AD$18))</f>
        <v>38.299999999999997</v>
      </c>
      <c r="AE23" s="153" cm="1">
        <f t="array" aca="1" ref="AE23" ca="1">IF($G23=0,"",INDEX(auto_DataFlat_DataValue,$H23+AE$18))</f>
        <v>63</v>
      </c>
      <c r="AF23" s="153" cm="1">
        <f t="array" aca="1" ref="AF23" ca="1">IF($G23=0,"",INDEX(auto_DataFlat_DataValue,$H23+AF$18))</f>
        <v>29.6</v>
      </c>
      <c r="AG23" s="153" cm="1">
        <f t="array" aca="1" ref="AG23" ca="1">IF($G23=0,"",INDEX(auto_DataFlat_DataValue,$H23+AG$18))</f>
        <v>32.799999999999997</v>
      </c>
      <c r="AH23" s="153" cm="1">
        <f t="array" aca="1" ref="AH23" ca="1">IF($G23=0,"",INDEX(auto_DataFlat_DataValue,$H23+AH$18))</f>
        <v>32.799999999999997</v>
      </c>
      <c r="AI23" s="153" cm="1">
        <f t="array" aca="1" ref="AI23" ca="1">IF($G23=0,"",INDEX(auto_DataFlat_DataValue,$H23+AI$18))</f>
        <v>32</v>
      </c>
      <c r="AJ23" s="153" cm="1">
        <f t="array" aca="1" ref="AJ23" ca="1">IF($G23=0,"",INDEX(auto_DataFlat_DataValue,$H23+AJ$18))</f>
        <v>35.1</v>
      </c>
      <c r="AK23" s="153" cm="1">
        <f t="array" aca="1" ref="AK23" ca="1">IF($G23=0,"",INDEX(auto_DataFlat_DataValue,$H23+AK$18))</f>
        <v>32.4</v>
      </c>
      <c r="AL23" s="153" cm="1">
        <f t="array" aca="1" ref="AL23" ca="1">IF($G23=0,"",INDEX(auto_DataFlat_DataValue,$H23+AL$18))</f>
        <v>33.9</v>
      </c>
      <c r="AM23" s="153" cm="1">
        <f t="array" aca="1" ref="AM23" ca="1">IF($G23=0,"",INDEX(auto_DataFlat_DataValue,$H23+AM$18))</f>
        <v>40.700000000000003</v>
      </c>
      <c r="AN23" s="153" cm="1">
        <f t="array" aca="1" ref="AN23" ca="1">IF($G23=0,"",INDEX(auto_DataFlat_DataValue,$H23+AN$18))</f>
        <v>34.299999999999997</v>
      </c>
      <c r="AO23" s="153" cm="1">
        <f t="array" aca="1" ref="AO23" ca="1">IF($G23=0,"",INDEX(auto_DataFlat_DataValue,$H23+AO$18))</f>
        <v>43.5</v>
      </c>
      <c r="AP23" s="153" cm="1">
        <f t="array" aca="1" ref="AP23" ca="1">IF($G23=0,"",INDEX(auto_DataFlat_DataValue,$H23+AP$18))</f>
        <v>36</v>
      </c>
      <c r="AQ23" s="153" cm="1">
        <f t="array" aca="1" ref="AQ23" ca="1">IF($G23=0,"",INDEX(auto_DataFlat_DataValue,$H23+AQ$18))</f>
        <v>32.799999999999997</v>
      </c>
      <c r="AR23" s="153" cm="1">
        <f t="array" aca="1" ref="AR23" ca="1">IF($G23=0,"",INDEX(auto_DataFlat_DataValue,$H23+AR$18))</f>
        <v>38.700000000000003</v>
      </c>
      <c r="AS23" s="153" cm="1">
        <f t="array" aca="1" ref="AS23" ca="1">IF($G23=0,"",INDEX(auto_DataFlat_DataValue,$H23+AS$18))</f>
        <v>39.799999999999997</v>
      </c>
      <c r="AT23" s="153" cm="1">
        <f t="array" aca="1" ref="AT23" ca="1">IF($G23=0,"",INDEX(auto_DataFlat_DataValue,$H23+AT$18))</f>
        <v>32.9</v>
      </c>
      <c r="AU23" s="153" cm="1">
        <f t="array" aca="1" ref="AU23" ca="1">IF($G23=0,"",INDEX(auto_DataFlat_DataValue,$H23+AU$18))</f>
        <v>31.5</v>
      </c>
      <c r="AV23" s="153" cm="1">
        <f t="array" aca="1" ref="AV23" ca="1">IF($G23=0,"",INDEX(auto_DataFlat_DataValue,$H23+AV$18))</f>
        <v>37.5</v>
      </c>
      <c r="AW23" s="153" cm="1">
        <f t="array" aca="1" ref="AW23" ca="1">IF($G23=0,"",INDEX(auto_DataFlat_DataValue,$H23+AW$18))</f>
        <v>32</v>
      </c>
      <c r="AX23" s="153" cm="1">
        <f t="array" aca="1" ref="AX23" ca="1">IF($G23=0,"",INDEX(auto_DataFlat_DataValue,$H23+AX$18))</f>
        <v>34.799999999999997</v>
      </c>
      <c r="AY23" s="153" cm="1">
        <f t="array" aca="1" ref="AY23" ca="1">IF($G23=0,"",INDEX(auto_DataFlat_DataValue,$H23+AY$18))</f>
        <v>39.799999999999997</v>
      </c>
      <c r="AZ23" s="153" cm="1">
        <f t="array" aca="1" ref="AZ23" ca="1">IF($G23=0,"",INDEX(auto_DataFlat_DataValue,$H23+AZ$18))</f>
        <v>52</v>
      </c>
      <c r="BA23" s="153" cm="1">
        <f t="array" aca="1" ref="BA23" ca="1">IF($G23=0,"",INDEX(auto_DataFlat_DataValue,$H23+BA$18))</f>
        <v>31.4</v>
      </c>
      <c r="BB23" s="153" cm="1">
        <f t="array" aca="1" ref="BB23" ca="1">IF($G23=0,"",INDEX(auto_DataFlat_DataValue,$H23+BB$18))</f>
        <v>37.1</v>
      </c>
      <c r="BC23" s="153" cm="1">
        <f t="array" aca="1" ref="BC23" ca="1">IF($G23=0,"",INDEX(auto_DataFlat_DataValue,$H23+BC$18))</f>
        <v>32</v>
      </c>
      <c r="BD23" s="153" cm="1">
        <f t="array" aca="1" ref="BD23" ca="1">IF($G23=0,"",INDEX(auto_DataFlat_DataValue,$H23+BD$18))</f>
        <v>34.299999999999997</v>
      </c>
      <c r="BE23" s="153" cm="1">
        <f t="array" aca="1" ref="BE23" ca="1">IF($G23=0,"",INDEX(auto_DataFlat_DataValue,$H23+BE$18))</f>
        <v>32.9</v>
      </c>
      <c r="BF23" s="153" cm="1">
        <f t="array" aca="1" ref="BF23" ca="1">IF($G23=0,"",INDEX(auto_DataFlat_DataValue,$H23+BF$18))</f>
        <v>31.7</v>
      </c>
      <c r="BG23" s="153" cm="1">
        <f t="array" aca="1" ref="BG23" ca="1">IF($G23=0,"",INDEX(auto_DataFlat_DataValue,$H23+BG$18))</f>
        <v>30.7</v>
      </c>
      <c r="BH23" s="153" cm="1">
        <f t="array" aca="1" ref="BH23" ca="1">IF($G23=0,"",INDEX(auto_DataFlat_DataValue,$H23+BH$18))</f>
        <v>37.1</v>
      </c>
      <c r="BI23" s="153" cm="1">
        <f t="array" aca="1" ref="BI23" ca="1">IF($G23=0,"",INDEX(auto_DataFlat_DataValue,$H23+BI$18))</f>
        <v>30.7</v>
      </c>
    </row>
    <row r="24" spans="1:61" ht="17.05" customHeight="1" x14ac:dyDescent="0.4">
      <c r="A24" t="str">
        <f t="shared" si="3"/>
        <v/>
      </c>
      <c r="B24" s="42" t="str">
        <f t="shared" ca="1" si="1"/>
        <v/>
      </c>
      <c r="C24" s="100">
        <v>5</v>
      </c>
      <c r="D24" s="49" cm="1">
        <f t="array" aca="1" ref="D24" ca="1">INDEX(OFFSET(auto_ss_data_table,0,1,500,1),C24)</f>
        <v>5</v>
      </c>
      <c r="E24" s="101" cm="1">
        <f t="array" aca="1" ref="E24" ca="1">INDEX(auto_tblSeries,$D24,E$18)</f>
        <v>3</v>
      </c>
      <c r="F24" s="101" t="str" cm="1">
        <f t="array" aca="1" ref="F24" ca="1">INDEX(auto_tblSeries,$D24,F$18)</f>
        <v>#,##0</v>
      </c>
      <c r="G24" s="101" cm="1">
        <f t="array" aca="1" ref="G24" ca="1">INDEX(auto_tblSeries,$D24,G$18)</f>
        <v>1</v>
      </c>
      <c r="H24" s="101" cm="1">
        <f t="array" aca="1" ref="H24" ca="1">INDEX(sys_DataFlat_LU_Grid,$D24,1)-1</f>
        <v>240</v>
      </c>
      <c r="I24" s="26"/>
      <c r="J24" s="151" t="str" cm="1">
        <f t="array" aca="1" ref="J24" ca="1">INDEX(auto_Series_NameNumbered,$D24)</f>
        <v>1.1b) Poverty: city-level data availability</v>
      </c>
      <c r="K24" s="152" t="str" cm="1">
        <f t="array" aca="1" ref="K24" ca="1">IF($G24=0,"",INDEX(auto_tblSeries,$D24,K$18))</f>
        <v>Rating 0-1</v>
      </c>
      <c r="L24" s="154" cm="1">
        <f t="array" aca="1" ref="L24" ca="1">IF($G24=0,"",INDEX(auto_DataFlat_DataValue,$H24+L$18))</f>
        <v>1</v>
      </c>
      <c r="M24" s="154" cm="1">
        <f t="array" aca="1" ref="M24" ca="1">IF($G24=0,"",INDEX(auto_DataFlat_DataValue,$H24+M$18))</f>
        <v>0</v>
      </c>
      <c r="N24" s="154" cm="1">
        <f t="array" aca="1" ref="N24" ca="1">IF($G24=0,"",INDEX(auto_DataFlat_DataValue,$H24+N$18))</f>
        <v>1</v>
      </c>
      <c r="O24" s="154" cm="1">
        <f t="array" aca="1" ref="O24" ca="1">IF($G24=0,"",INDEX(auto_DataFlat_DataValue,$H24+O$18))</f>
        <v>0</v>
      </c>
      <c r="P24" s="154" cm="1">
        <f t="array" aca="1" ref="P24" ca="1">IF($G24=0,"",INDEX(auto_DataFlat_DataValue,$H24+P$18))</f>
        <v>1</v>
      </c>
      <c r="Q24" s="154" cm="1">
        <f t="array" aca="1" ref="Q24" ca="1">IF($G24=0,"",INDEX(auto_DataFlat_DataValue,$H24+Q$18))</f>
        <v>0</v>
      </c>
      <c r="R24" s="154" cm="1">
        <f t="array" aca="1" ref="R24" ca="1">IF($G24=0,"",INDEX(auto_DataFlat_DataValue,$H24+R$18))</f>
        <v>1</v>
      </c>
      <c r="S24" s="154" cm="1">
        <f t="array" aca="1" ref="S24" ca="1">IF($G24=0,"",INDEX(auto_DataFlat_DataValue,$H24+S$18))</f>
        <v>1</v>
      </c>
      <c r="T24" s="154" cm="1">
        <f t="array" aca="1" ref="T24" ca="1">IF($G24=0,"",INDEX(auto_DataFlat_DataValue,$H24+T$18))</f>
        <v>1</v>
      </c>
      <c r="U24" s="154" cm="1">
        <f t="array" aca="1" ref="U24" ca="1">IF($G24=0,"",INDEX(auto_DataFlat_DataValue,$H24+U$18))</f>
        <v>0</v>
      </c>
      <c r="V24" s="154" cm="1">
        <f t="array" aca="1" ref="V24" ca="1">IF($G24=0,"",INDEX(auto_DataFlat_DataValue,$H24+V$18))</f>
        <v>0</v>
      </c>
      <c r="W24" s="154" cm="1">
        <f t="array" aca="1" ref="W24" ca="1">IF($G24=0,"",INDEX(auto_DataFlat_DataValue,$H24+W$18))</f>
        <v>0</v>
      </c>
      <c r="X24" s="154" cm="1">
        <f t="array" aca="1" ref="X24" ca="1">IF($G24=0,"",INDEX(auto_DataFlat_DataValue,$H24+X$18))</f>
        <v>1</v>
      </c>
      <c r="Y24" s="154" cm="1">
        <f t="array" aca="1" ref="Y24" ca="1">IF($G24=0,"",INDEX(auto_DataFlat_DataValue,$H24+Y$18))</f>
        <v>1</v>
      </c>
      <c r="Z24" s="154" cm="1">
        <f t="array" aca="1" ref="Z24" ca="1">IF($G24=0,"",INDEX(auto_DataFlat_DataValue,$H24+Z$18))</f>
        <v>1</v>
      </c>
      <c r="AA24" s="154" cm="1">
        <f t="array" aca="1" ref="AA24" ca="1">IF($G24=0,"",INDEX(auto_DataFlat_DataValue,$H24+AA$18))</f>
        <v>1</v>
      </c>
      <c r="AB24" s="154" cm="1">
        <f t="array" aca="1" ref="AB24" ca="1">IF($G24=0,"",INDEX(auto_DataFlat_DataValue,$H24+AB$18))</f>
        <v>1</v>
      </c>
      <c r="AC24" s="154" cm="1">
        <f t="array" aca="1" ref="AC24" ca="1">IF($G24=0,"",INDEX(auto_DataFlat_DataValue,$H24+AC$18))</f>
        <v>1</v>
      </c>
      <c r="AD24" s="154" cm="1">
        <f t="array" aca="1" ref="AD24" ca="1">IF($G24=0,"",INDEX(auto_DataFlat_DataValue,$H24+AD$18))</f>
        <v>1</v>
      </c>
      <c r="AE24" s="154" cm="1">
        <f t="array" aca="1" ref="AE24" ca="1">IF($G24=0,"",INDEX(auto_DataFlat_DataValue,$H24+AE$18))</f>
        <v>1</v>
      </c>
      <c r="AF24" s="154" cm="1">
        <f t="array" aca="1" ref="AF24" ca="1">IF($G24=0,"",INDEX(auto_DataFlat_DataValue,$H24+AF$18))</f>
        <v>0</v>
      </c>
      <c r="AG24" s="154" cm="1">
        <f t="array" aca="1" ref="AG24" ca="1">IF($G24=0,"",INDEX(auto_DataFlat_DataValue,$H24+AG$18))</f>
        <v>0</v>
      </c>
      <c r="AH24" s="154" cm="1">
        <f t="array" aca="1" ref="AH24" ca="1">IF($G24=0,"",INDEX(auto_DataFlat_DataValue,$H24+AH$18))</f>
        <v>0</v>
      </c>
      <c r="AI24" s="154" cm="1">
        <f t="array" aca="1" ref="AI24" ca="1">IF($G24=0,"",INDEX(auto_DataFlat_DataValue,$H24+AI$18))</f>
        <v>0</v>
      </c>
      <c r="AJ24" s="154" cm="1">
        <f t="array" aca="1" ref="AJ24" ca="1">IF($G24=0,"",INDEX(auto_DataFlat_DataValue,$H24+AJ$18))</f>
        <v>1</v>
      </c>
      <c r="AK24" s="154" cm="1">
        <f t="array" aca="1" ref="AK24" ca="1">IF($G24=0,"",INDEX(auto_DataFlat_DataValue,$H24+AK$18))</f>
        <v>1</v>
      </c>
      <c r="AL24" s="154" cm="1">
        <f t="array" aca="1" ref="AL24" ca="1">IF($G24=0,"",INDEX(auto_DataFlat_DataValue,$H24+AL$18))</f>
        <v>1</v>
      </c>
      <c r="AM24" s="154" cm="1">
        <f t="array" aca="1" ref="AM24" ca="1">IF($G24=0,"",INDEX(auto_DataFlat_DataValue,$H24+AM$18))</f>
        <v>1</v>
      </c>
      <c r="AN24" s="154" cm="1">
        <f t="array" aca="1" ref="AN24" ca="1">IF($G24=0,"",INDEX(auto_DataFlat_DataValue,$H24+AN$18))</f>
        <v>1</v>
      </c>
      <c r="AO24" s="154" cm="1">
        <f t="array" aca="1" ref="AO24" ca="1">IF($G24=0,"",INDEX(auto_DataFlat_DataValue,$H24+AO$18))</f>
        <v>1</v>
      </c>
      <c r="AP24" s="154" cm="1">
        <f t="array" aca="1" ref="AP24" ca="1">IF($G24=0,"",INDEX(auto_DataFlat_DataValue,$H24+AP$18))</f>
        <v>1</v>
      </c>
      <c r="AQ24" s="154" cm="1">
        <f t="array" aca="1" ref="AQ24" ca="1">IF($G24=0,"",INDEX(auto_DataFlat_DataValue,$H24+AQ$18))</f>
        <v>0</v>
      </c>
      <c r="AR24" s="154" cm="1">
        <f t="array" aca="1" ref="AR24" ca="1">IF($G24=0,"",INDEX(auto_DataFlat_DataValue,$H24+AR$18))</f>
        <v>1</v>
      </c>
      <c r="AS24" s="154" cm="1">
        <f t="array" aca="1" ref="AS24" ca="1">IF($G24=0,"",INDEX(auto_DataFlat_DataValue,$H24+AS$18))</f>
        <v>1</v>
      </c>
      <c r="AT24" s="154" cm="1">
        <f t="array" aca="1" ref="AT24" ca="1">IF($G24=0,"",INDEX(auto_DataFlat_DataValue,$H24+AT$18))</f>
        <v>1</v>
      </c>
      <c r="AU24" s="154" cm="1">
        <f t="array" aca="1" ref="AU24" ca="1">IF($G24=0,"",INDEX(auto_DataFlat_DataValue,$H24+AU$18))</f>
        <v>1</v>
      </c>
      <c r="AV24" s="154" cm="1">
        <f t="array" aca="1" ref="AV24" ca="1">IF($G24=0,"",INDEX(auto_DataFlat_DataValue,$H24+AV$18))</f>
        <v>0</v>
      </c>
      <c r="AW24" s="154" cm="1">
        <f t="array" aca="1" ref="AW24" ca="1">IF($G24=0,"",INDEX(auto_DataFlat_DataValue,$H24+AW$18))</f>
        <v>0</v>
      </c>
      <c r="AX24" s="154" cm="1">
        <f t="array" aca="1" ref="AX24" ca="1">IF($G24=0,"",INDEX(auto_DataFlat_DataValue,$H24+AX$18))</f>
        <v>1</v>
      </c>
      <c r="AY24" s="154" cm="1">
        <f t="array" aca="1" ref="AY24" ca="1">IF($G24=0,"",INDEX(auto_DataFlat_DataValue,$H24+AY$18))</f>
        <v>1</v>
      </c>
      <c r="AZ24" s="154" cm="1">
        <f t="array" aca="1" ref="AZ24" ca="1">IF($G24=0,"",INDEX(auto_DataFlat_DataValue,$H24+AZ$18))</f>
        <v>1</v>
      </c>
      <c r="BA24" s="154" cm="1">
        <f t="array" aca="1" ref="BA24" ca="1">IF($G24=0,"",INDEX(auto_DataFlat_DataValue,$H24+BA$18))</f>
        <v>1</v>
      </c>
      <c r="BB24" s="154" cm="1">
        <f t="array" aca="1" ref="BB24" ca="1">IF($G24=0,"",INDEX(auto_DataFlat_DataValue,$H24+BB$18))</f>
        <v>0</v>
      </c>
      <c r="BC24" s="154" cm="1">
        <f t="array" aca="1" ref="BC24" ca="1">IF($G24=0,"",INDEX(auto_DataFlat_DataValue,$H24+BC$18))</f>
        <v>1</v>
      </c>
      <c r="BD24" s="154" cm="1">
        <f t="array" aca="1" ref="BD24" ca="1">IF($G24=0,"",INDEX(auto_DataFlat_DataValue,$H24+BD$18))</f>
        <v>1</v>
      </c>
      <c r="BE24" s="154" cm="1">
        <f t="array" aca="1" ref="BE24" ca="1">IF($G24=0,"",INDEX(auto_DataFlat_DataValue,$H24+BE$18))</f>
        <v>1</v>
      </c>
      <c r="BF24" s="154" cm="1">
        <f t="array" aca="1" ref="BF24" ca="1">IF($G24=0,"",INDEX(auto_DataFlat_DataValue,$H24+BF$18))</f>
        <v>1</v>
      </c>
      <c r="BG24" s="154" cm="1">
        <f t="array" aca="1" ref="BG24" ca="1">IF($G24=0,"",INDEX(auto_DataFlat_DataValue,$H24+BG$18))</f>
        <v>1</v>
      </c>
      <c r="BH24" s="154" cm="1">
        <f t="array" aca="1" ref="BH24" ca="1">IF($G24=0,"",INDEX(auto_DataFlat_DataValue,$H24+BH$18))</f>
        <v>0</v>
      </c>
      <c r="BI24" s="154" cm="1">
        <f t="array" aca="1" ref="BI24" ca="1">IF($G24=0,"",INDEX(auto_DataFlat_DataValue,$H24+BI$18))</f>
        <v>1</v>
      </c>
    </row>
    <row r="25" spans="1:61" ht="17.05" customHeight="1" x14ac:dyDescent="0.4">
      <c r="A25" t="str">
        <f t="shared" si="3"/>
        <v/>
      </c>
      <c r="B25" s="42" t="str">
        <f t="shared" ca="1" si="1"/>
        <v>V</v>
      </c>
      <c r="C25" s="100">
        <v>6</v>
      </c>
      <c r="D25" s="49" cm="1">
        <f t="array" aca="1" ref="D25" ca="1">INDEX(OFFSET(auto_ss_data_table,0,1,500,1),C25)</f>
        <v>6</v>
      </c>
      <c r="E25" s="101" cm="1">
        <f t="array" aca="1" ref="E25" ca="1">INDEX(auto_tblSeries,$D25,E$18)</f>
        <v>2</v>
      </c>
      <c r="F25" s="101" t="str" cm="1">
        <f t="array" aca="1" ref="F25" ca="1">INDEX(auto_tblSeries,$D25,F$18)</f>
        <v>#,0.0</v>
      </c>
      <c r="G25" s="101" cm="1">
        <f t="array" aca="1" ref="G25" ca="1">INDEX(auto_tblSeries,$D25,G$18)</f>
        <v>0</v>
      </c>
      <c r="H25" s="101" cm="1">
        <f t="array" aca="1" ref="H25" ca="1">INDEX(sys_DataFlat_LU_Grid,$D25,1)-1</f>
        <v>300</v>
      </c>
      <c r="I25" s="26"/>
      <c r="J25" s="148" t="str" cm="1">
        <f t="array" aca="1" ref="J25" ca="1">INDEX(auto_Series_NameNumbered,$D25)</f>
        <v>1.2) Education</v>
      </c>
      <c r="K25" s="149" t="str" cm="1">
        <f t="array" aca="1" ref="K25" ca="1">IF($G25=0,"",INDEX(auto_tblSeries,$D25,K$18))</f>
        <v/>
      </c>
      <c r="L25" s="150" t="str" cm="1">
        <f t="array" aca="1" ref="L25" ca="1">IF($G25=0,"",INDEX(auto_DataFlat_DataValue,$H25+L$18))</f>
        <v/>
      </c>
      <c r="M25" s="150" t="str" cm="1">
        <f t="array" aca="1" ref="M25" ca="1">IF($G25=0,"",INDEX(auto_DataFlat_DataValue,$H25+M$18))</f>
        <v/>
      </c>
      <c r="N25" s="150" t="str" cm="1">
        <f t="array" aca="1" ref="N25" ca="1">IF($G25=0,"",INDEX(auto_DataFlat_DataValue,$H25+N$18))</f>
        <v/>
      </c>
      <c r="O25" s="150" t="str" cm="1">
        <f t="array" aca="1" ref="O25" ca="1">IF($G25=0,"",INDEX(auto_DataFlat_DataValue,$H25+O$18))</f>
        <v/>
      </c>
      <c r="P25" s="150" t="str" cm="1">
        <f t="array" aca="1" ref="P25" ca="1">IF($G25=0,"",INDEX(auto_DataFlat_DataValue,$H25+P$18))</f>
        <v/>
      </c>
      <c r="Q25" s="150" t="str" cm="1">
        <f t="array" aca="1" ref="Q25" ca="1">IF($G25=0,"",INDEX(auto_DataFlat_DataValue,$H25+Q$18))</f>
        <v/>
      </c>
      <c r="R25" s="150" t="str" cm="1">
        <f t="array" aca="1" ref="R25" ca="1">IF($G25=0,"",INDEX(auto_DataFlat_DataValue,$H25+R$18))</f>
        <v/>
      </c>
      <c r="S25" s="150" t="str" cm="1">
        <f t="array" aca="1" ref="S25" ca="1">IF($G25=0,"",INDEX(auto_DataFlat_DataValue,$H25+S$18))</f>
        <v/>
      </c>
      <c r="T25" s="150" t="str" cm="1">
        <f t="array" aca="1" ref="T25" ca="1">IF($G25=0,"",INDEX(auto_DataFlat_DataValue,$H25+T$18))</f>
        <v/>
      </c>
      <c r="U25" s="150" t="str" cm="1">
        <f t="array" aca="1" ref="U25" ca="1">IF($G25=0,"",INDEX(auto_DataFlat_DataValue,$H25+U$18))</f>
        <v/>
      </c>
      <c r="V25" s="150" t="str" cm="1">
        <f t="array" aca="1" ref="V25" ca="1">IF($G25=0,"",INDEX(auto_DataFlat_DataValue,$H25+V$18))</f>
        <v/>
      </c>
      <c r="W25" s="150" t="str" cm="1">
        <f t="array" aca="1" ref="W25" ca="1">IF($G25=0,"",INDEX(auto_DataFlat_DataValue,$H25+W$18))</f>
        <v/>
      </c>
      <c r="X25" s="150" t="str" cm="1">
        <f t="array" aca="1" ref="X25" ca="1">IF($G25=0,"",INDEX(auto_DataFlat_DataValue,$H25+X$18))</f>
        <v/>
      </c>
      <c r="Y25" s="150" t="str" cm="1">
        <f t="array" aca="1" ref="Y25" ca="1">IF($G25=0,"",INDEX(auto_DataFlat_DataValue,$H25+Y$18))</f>
        <v/>
      </c>
      <c r="Z25" s="150" t="str" cm="1">
        <f t="array" aca="1" ref="Z25" ca="1">IF($G25=0,"",INDEX(auto_DataFlat_DataValue,$H25+Z$18))</f>
        <v/>
      </c>
      <c r="AA25" s="150" t="str" cm="1">
        <f t="array" aca="1" ref="AA25" ca="1">IF($G25=0,"",INDEX(auto_DataFlat_DataValue,$H25+AA$18))</f>
        <v/>
      </c>
      <c r="AB25" s="150" t="str" cm="1">
        <f t="array" aca="1" ref="AB25" ca="1">IF($G25=0,"",INDEX(auto_DataFlat_DataValue,$H25+AB$18))</f>
        <v/>
      </c>
      <c r="AC25" s="150" t="str" cm="1">
        <f t="array" aca="1" ref="AC25" ca="1">IF($G25=0,"",INDEX(auto_DataFlat_DataValue,$H25+AC$18))</f>
        <v/>
      </c>
      <c r="AD25" s="150" t="str" cm="1">
        <f t="array" aca="1" ref="AD25" ca="1">IF($G25=0,"",INDEX(auto_DataFlat_DataValue,$H25+AD$18))</f>
        <v/>
      </c>
      <c r="AE25" s="150" t="str" cm="1">
        <f t="array" aca="1" ref="AE25" ca="1">IF($G25=0,"",INDEX(auto_DataFlat_DataValue,$H25+AE$18))</f>
        <v/>
      </c>
      <c r="AF25" s="150" t="str" cm="1">
        <f t="array" aca="1" ref="AF25" ca="1">IF($G25=0,"",INDEX(auto_DataFlat_DataValue,$H25+AF$18))</f>
        <v/>
      </c>
      <c r="AG25" s="150" t="str" cm="1">
        <f t="array" aca="1" ref="AG25" ca="1">IF($G25=0,"",INDEX(auto_DataFlat_DataValue,$H25+AG$18))</f>
        <v/>
      </c>
      <c r="AH25" s="150" t="str" cm="1">
        <f t="array" aca="1" ref="AH25" ca="1">IF($G25=0,"",INDEX(auto_DataFlat_DataValue,$H25+AH$18))</f>
        <v/>
      </c>
      <c r="AI25" s="150" t="str" cm="1">
        <f t="array" aca="1" ref="AI25" ca="1">IF($G25=0,"",INDEX(auto_DataFlat_DataValue,$H25+AI$18))</f>
        <v/>
      </c>
      <c r="AJ25" s="150" t="str" cm="1">
        <f t="array" aca="1" ref="AJ25" ca="1">IF($G25=0,"",INDEX(auto_DataFlat_DataValue,$H25+AJ$18))</f>
        <v/>
      </c>
      <c r="AK25" s="150" t="str" cm="1">
        <f t="array" aca="1" ref="AK25" ca="1">IF($G25=0,"",INDEX(auto_DataFlat_DataValue,$H25+AK$18))</f>
        <v/>
      </c>
      <c r="AL25" s="150" t="str" cm="1">
        <f t="array" aca="1" ref="AL25" ca="1">IF($G25=0,"",INDEX(auto_DataFlat_DataValue,$H25+AL$18))</f>
        <v/>
      </c>
      <c r="AM25" s="150" t="str" cm="1">
        <f t="array" aca="1" ref="AM25" ca="1">IF($G25=0,"",INDEX(auto_DataFlat_DataValue,$H25+AM$18))</f>
        <v/>
      </c>
      <c r="AN25" s="150" t="str" cm="1">
        <f t="array" aca="1" ref="AN25" ca="1">IF($G25=0,"",INDEX(auto_DataFlat_DataValue,$H25+AN$18))</f>
        <v/>
      </c>
      <c r="AO25" s="150" t="str" cm="1">
        <f t="array" aca="1" ref="AO25" ca="1">IF($G25=0,"",INDEX(auto_DataFlat_DataValue,$H25+AO$18))</f>
        <v/>
      </c>
      <c r="AP25" s="150" t="str" cm="1">
        <f t="array" aca="1" ref="AP25" ca="1">IF($G25=0,"",INDEX(auto_DataFlat_DataValue,$H25+AP$18))</f>
        <v/>
      </c>
      <c r="AQ25" s="150" t="str" cm="1">
        <f t="array" aca="1" ref="AQ25" ca="1">IF($G25=0,"",INDEX(auto_DataFlat_DataValue,$H25+AQ$18))</f>
        <v/>
      </c>
      <c r="AR25" s="150" t="str" cm="1">
        <f t="array" aca="1" ref="AR25" ca="1">IF($G25=0,"",INDEX(auto_DataFlat_DataValue,$H25+AR$18))</f>
        <v/>
      </c>
      <c r="AS25" s="150" t="str" cm="1">
        <f t="array" aca="1" ref="AS25" ca="1">IF($G25=0,"",INDEX(auto_DataFlat_DataValue,$H25+AS$18))</f>
        <v/>
      </c>
      <c r="AT25" s="150" t="str" cm="1">
        <f t="array" aca="1" ref="AT25" ca="1">IF($G25=0,"",INDEX(auto_DataFlat_DataValue,$H25+AT$18))</f>
        <v/>
      </c>
      <c r="AU25" s="150" t="str" cm="1">
        <f t="array" aca="1" ref="AU25" ca="1">IF($G25=0,"",INDEX(auto_DataFlat_DataValue,$H25+AU$18))</f>
        <v/>
      </c>
      <c r="AV25" s="150" t="str" cm="1">
        <f t="array" aca="1" ref="AV25" ca="1">IF($G25=0,"",INDEX(auto_DataFlat_DataValue,$H25+AV$18))</f>
        <v/>
      </c>
      <c r="AW25" s="150" t="str" cm="1">
        <f t="array" aca="1" ref="AW25" ca="1">IF($G25=0,"",INDEX(auto_DataFlat_DataValue,$H25+AW$18))</f>
        <v/>
      </c>
      <c r="AX25" s="150" t="str" cm="1">
        <f t="array" aca="1" ref="AX25" ca="1">IF($G25=0,"",INDEX(auto_DataFlat_DataValue,$H25+AX$18))</f>
        <v/>
      </c>
      <c r="AY25" s="150" t="str" cm="1">
        <f t="array" aca="1" ref="AY25" ca="1">IF($G25=0,"",INDEX(auto_DataFlat_DataValue,$H25+AY$18))</f>
        <v/>
      </c>
      <c r="AZ25" s="150" t="str" cm="1">
        <f t="array" aca="1" ref="AZ25" ca="1">IF($G25=0,"",INDEX(auto_DataFlat_DataValue,$H25+AZ$18))</f>
        <v/>
      </c>
      <c r="BA25" s="150" t="str" cm="1">
        <f t="array" aca="1" ref="BA25" ca="1">IF($G25=0,"",INDEX(auto_DataFlat_DataValue,$H25+BA$18))</f>
        <v/>
      </c>
      <c r="BB25" s="150" t="str" cm="1">
        <f t="array" aca="1" ref="BB25" ca="1">IF($G25=0,"",INDEX(auto_DataFlat_DataValue,$H25+BB$18))</f>
        <v/>
      </c>
      <c r="BC25" s="150" t="str" cm="1">
        <f t="array" aca="1" ref="BC25" ca="1">IF($G25=0,"",INDEX(auto_DataFlat_DataValue,$H25+BC$18))</f>
        <v/>
      </c>
      <c r="BD25" s="150" t="str" cm="1">
        <f t="array" aca="1" ref="BD25" ca="1">IF($G25=0,"",INDEX(auto_DataFlat_DataValue,$H25+BD$18))</f>
        <v/>
      </c>
      <c r="BE25" s="150" t="str" cm="1">
        <f t="array" aca="1" ref="BE25" ca="1">IF($G25=0,"",INDEX(auto_DataFlat_DataValue,$H25+BE$18))</f>
        <v/>
      </c>
      <c r="BF25" s="150" t="str" cm="1">
        <f t="array" aca="1" ref="BF25" ca="1">IF($G25=0,"",INDEX(auto_DataFlat_DataValue,$H25+BF$18))</f>
        <v/>
      </c>
      <c r="BG25" s="150" t="str" cm="1">
        <f t="array" aca="1" ref="BG25" ca="1">IF($G25=0,"",INDEX(auto_DataFlat_DataValue,$H25+BG$18))</f>
        <v/>
      </c>
      <c r="BH25" s="150" t="str" cm="1">
        <f t="array" aca="1" ref="BH25" ca="1">IF($G25=0,"",INDEX(auto_DataFlat_DataValue,$H25+BH$18))</f>
        <v/>
      </c>
      <c r="BI25" s="150" t="str" cm="1">
        <f t="array" aca="1" ref="BI25" ca="1">IF($G25=0,"",INDEX(auto_DataFlat_DataValue,$H25+BI$18))</f>
        <v/>
      </c>
    </row>
    <row r="26" spans="1:61" ht="17.05" customHeight="1" x14ac:dyDescent="0.4">
      <c r="A26" t="str">
        <f t="shared" si="3"/>
        <v/>
      </c>
      <c r="B26" s="42" t="str">
        <f t="shared" ca="1" si="1"/>
        <v/>
      </c>
      <c r="C26" s="100">
        <v>7</v>
      </c>
      <c r="D26" s="49" cm="1">
        <f t="array" aca="1" ref="D26" ca="1">INDEX(OFFSET(auto_ss_data_table,0,1,500,1),C26)</f>
        <v>7</v>
      </c>
      <c r="E26" s="101" cm="1">
        <f t="array" aca="1" ref="E26" ca="1">INDEX(auto_tblSeries,$D26,E$18)</f>
        <v>3</v>
      </c>
      <c r="F26" s="101" t="str" cm="1">
        <f t="array" aca="1" ref="F26" ca="1">INDEX(auto_tblSeries,$D26,F$18)</f>
        <v>#,0.0</v>
      </c>
      <c r="G26" s="101" cm="1">
        <f t="array" aca="1" ref="G26" ca="1">INDEX(auto_tblSeries,$D26,G$18)</f>
        <v>1</v>
      </c>
      <c r="H26" s="101" cm="1">
        <f t="array" aca="1" ref="H26" ca="1">INDEX(sys_DataFlat_LU_Grid,$D26,1)-1</f>
        <v>360</v>
      </c>
      <c r="I26" s="26"/>
      <c r="J26" s="151" t="str" cm="1">
        <f t="array" aca="1" ref="J26" ca="1">INDEX(auto_Series_NameNumbered,$D26)</f>
        <v>1.2a) Level of education: national data</v>
      </c>
      <c r="K26" s="152" t="str" cm="1">
        <f t="array" aca="1" ref="K26" ca="1">IF($G26=0,"",INDEX(auto_tblSeries,$D26,K$18))</f>
        <v>%</v>
      </c>
      <c r="L26" s="153" cm="1">
        <f t="array" aca="1" ref="L26" ca="1">IF($G26=0,"",INDEX(auto_DataFlat_DataValue,$H26+L$18))</f>
        <v>4.5</v>
      </c>
      <c r="M26" s="153" cm="1">
        <f t="array" aca="1" ref="M26" ca="1">IF($G26=0,"",INDEX(auto_DataFlat_DataValue,$H26+M$18))</f>
        <v>24.1</v>
      </c>
      <c r="N26" s="153" cm="1">
        <f t="array" aca="1" ref="N26" ca="1">IF($G26=0,"",INDEX(auto_DataFlat_DataValue,$H26+N$18))</f>
        <v>91.3</v>
      </c>
      <c r="O26" s="153" cm="1">
        <f t="array" aca="1" ref="O26" ca="1">IF($G26=0,"",INDEX(auto_DataFlat_DataValue,$H26+O$18))</f>
        <v>75.099999999999994</v>
      </c>
      <c r="P26" s="153" cm="1">
        <f t="array" aca="1" ref="P26" ca="1">IF($G26=0,"",INDEX(auto_DataFlat_DataValue,$H26+P$18))</f>
        <v>35.299999999999997</v>
      </c>
      <c r="Q26" s="153" cm="1">
        <f t="array" aca="1" ref="Q26" ca="1">IF($G26=0,"",INDEX(auto_DataFlat_DataValue,$H26+Q$18))</f>
        <v>36</v>
      </c>
      <c r="R26" s="153" cm="1">
        <f t="array" aca="1" ref="R26" ca="1">IF($G26=0,"",INDEX(auto_DataFlat_DataValue,$H26+R$18))</f>
        <v>83.7</v>
      </c>
      <c r="S26" s="153" cm="1">
        <f t="array" aca="1" ref="S26" ca="1">IF($G26=0,"",INDEX(auto_DataFlat_DataValue,$H26+S$18))</f>
        <v>54</v>
      </c>
      <c r="T26" s="153" cm="1">
        <f t="array" aca="1" ref="T26" ca="1">IF($G26=0,"",INDEX(auto_DataFlat_DataValue,$H26+T$18))</f>
        <v>80</v>
      </c>
      <c r="U26" s="153" cm="1">
        <f t="array" aca="1" ref="U26" ca="1">IF($G26=0,"",INDEX(auto_DataFlat_DataValue,$H26+U$18))</f>
        <v>67.2</v>
      </c>
      <c r="V26" s="153" cm="1">
        <f t="array" aca="1" ref="V26" ca="1">IF($G26=0,"",INDEX(auto_DataFlat_DataValue,$H26+V$18))</f>
        <v>63.7</v>
      </c>
      <c r="W26" s="153" cm="1">
        <f t="array" aca="1" ref="W26" ca="1">IF($G26=0,"",INDEX(auto_DataFlat_DataValue,$H26+W$18))</f>
        <v>31.6</v>
      </c>
      <c r="X26" s="153" cm="1">
        <f t="array" aca="1" ref="X26" ca="1">IF($G26=0,"",INDEX(auto_DataFlat_DataValue,$H26+X$18))</f>
        <v>31.3</v>
      </c>
      <c r="Y26" s="153" cm="1">
        <f t="array" aca="1" ref="Y26" ca="1">IF($G26=0,"",INDEX(auto_DataFlat_DataValue,$H26+Y$18))</f>
        <v>73.5</v>
      </c>
      <c r="Z26" s="153" cm="1">
        <f t="array" aca="1" ref="Z26" ca="1">IF($G26=0,"",INDEX(auto_DataFlat_DataValue,$H26+Z$18))</f>
        <v>77.5</v>
      </c>
      <c r="AA26" s="153" cm="1">
        <f t="array" aca="1" ref="AA26" ca="1">IF($G26=0,"",INDEX(auto_DataFlat_DataValue,$H26+AA$18))</f>
        <v>31.9</v>
      </c>
      <c r="AB26" s="153" cm="1">
        <f t="array" aca="1" ref="AB26" ca="1">IF($G26=0,"",INDEX(auto_DataFlat_DataValue,$H26+AB$18))</f>
        <v>65.099999999999994</v>
      </c>
      <c r="AC26" s="153" cm="1">
        <f t="array" aca="1" ref="AC26" ca="1">IF($G26=0,"",INDEX(auto_DataFlat_DataValue,$H26+AC$18))</f>
        <v>42.2</v>
      </c>
      <c r="AD26" s="153" cm="1">
        <f t="array" aca="1" ref="AD26" ca="1">IF($G26=0,"",INDEX(auto_DataFlat_DataValue,$H26+AD$18))</f>
        <v>38.1</v>
      </c>
      <c r="AE26" s="153" cm="1">
        <f t="array" aca="1" ref="AE26" ca="1">IF($G26=0,"",INDEX(auto_DataFlat_DataValue,$H26+AE$18))</f>
        <v>73.3</v>
      </c>
      <c r="AF26" s="153" cm="1">
        <f t="array" aca="1" ref="AF26" ca="1">IF($G26=0,"",INDEX(auto_DataFlat_DataValue,$H26+AF$18))</f>
        <v>11.6</v>
      </c>
      <c r="AG26" s="153" cm="1">
        <f t="array" aca="1" ref="AG26" ca="1">IF($G26=0,"",INDEX(auto_DataFlat_DataValue,$H26+AG$18))</f>
        <v>12.2</v>
      </c>
      <c r="AH26" s="153" cm="1">
        <f t="array" aca="1" ref="AH26" ca="1">IF($G26=0,"",INDEX(auto_DataFlat_DataValue,$H26+AH$18))</f>
        <v>31.6</v>
      </c>
      <c r="AI26" s="153" cm="1">
        <f t="array" aca="1" ref="AI26" ca="1">IF($G26=0,"",INDEX(auto_DataFlat_DataValue,$H26+AI$18))</f>
        <v>31.2</v>
      </c>
      <c r="AJ26" s="153" cm="1">
        <f t="array" aca="1" ref="AJ26" ca="1">IF($G26=0,"",INDEX(auto_DataFlat_DataValue,$H26+AJ$18))</f>
        <v>43.9</v>
      </c>
      <c r="AK26" s="153" cm="1">
        <f t="array" aca="1" ref="AK26" ca="1">IF($G26=0,"",INDEX(auto_DataFlat_DataValue,$H26+AK$18))</f>
        <v>79.900000000000006</v>
      </c>
      <c r="AL26" s="153" cm="1">
        <f t="array" aca="1" ref="AL26" ca="1">IF($G26=0,"",INDEX(auto_DataFlat_DataValue,$H26+AL$18))</f>
        <v>53.3</v>
      </c>
      <c r="AM26" s="153" cm="1">
        <f t="array" aca="1" ref="AM26" ca="1">IF($G26=0,"",INDEX(auto_DataFlat_DataValue,$H26+AM$18))</f>
        <v>30.5</v>
      </c>
      <c r="AN26" s="153" cm="1">
        <f t="array" aca="1" ref="AN26" ca="1">IF($G26=0,"",INDEX(auto_DataFlat_DataValue,$H26+AN$18))</f>
        <v>80.099999999999994</v>
      </c>
      <c r="AO26" s="153" cm="1">
        <f t="array" aca="1" ref="AO26" ca="1">IF($G26=0,"",INDEX(auto_DataFlat_DataValue,$H26+AO$18))</f>
        <v>36.299999999999997</v>
      </c>
      <c r="AP26" s="153" cm="1">
        <f t="array" aca="1" ref="AP26" ca="1">IF($G26=0,"",INDEX(auto_DataFlat_DataValue,$H26+AP$18))</f>
        <v>92.2</v>
      </c>
      <c r="AQ26" s="153" cm="1">
        <f t="array" aca="1" ref="AQ26" ca="1">IF($G26=0,"",INDEX(auto_DataFlat_DataValue,$H26+AQ$18))</f>
        <v>31.6</v>
      </c>
      <c r="AR26" s="153" cm="1">
        <f t="array" aca="1" ref="AR26" ca="1">IF($G26=0,"",INDEX(auto_DataFlat_DataValue,$H26+AR$18))</f>
        <v>29.4</v>
      </c>
      <c r="AS26" s="153" cm="1">
        <f t="array" aca="1" ref="AS26" ca="1">IF($G26=0,"",INDEX(auto_DataFlat_DataValue,$H26+AS$18))</f>
        <v>91.3</v>
      </c>
      <c r="AT26" s="153" cm="1">
        <f t="array" aca="1" ref="AT26" ca="1">IF($G26=0,"",INDEX(auto_DataFlat_DataValue,$H26+AT$18))</f>
        <v>85.2</v>
      </c>
      <c r="AU26" s="153" cm="1">
        <f t="array" aca="1" ref="AU26" ca="1">IF($G26=0,"",INDEX(auto_DataFlat_DataValue,$H26+AU$18))</f>
        <v>72.2</v>
      </c>
      <c r="AV26" s="153" cm="1">
        <f t="array" aca="1" ref="AV26" ca="1">IF($G26=0,"",INDEX(auto_DataFlat_DataValue,$H26+AV$18))</f>
        <v>11.5</v>
      </c>
      <c r="AW26" s="153" cm="1">
        <f t="array" aca="1" ref="AW26" ca="1">IF($G26=0,"",INDEX(auto_DataFlat_DataValue,$H26+AW$18))</f>
        <v>62.3</v>
      </c>
      <c r="AX26" s="153" cm="1">
        <f t="array" aca="1" ref="AX26" ca="1">IF($G26=0,"",INDEX(auto_DataFlat_DataValue,$H26+AX$18))</f>
        <v>52.5</v>
      </c>
      <c r="AY26" s="153" cm="1">
        <f t="array" aca="1" ref="AY26" ca="1">IF($G26=0,"",INDEX(auto_DataFlat_DataValue,$H26+AY$18))</f>
        <v>91.3</v>
      </c>
      <c r="AZ26" s="153" cm="1">
        <f t="array" aca="1" ref="AZ26" ca="1">IF($G26=0,"",INDEX(auto_DataFlat_DataValue,$H26+AZ$18))</f>
        <v>53.5</v>
      </c>
      <c r="BA26" s="153" cm="1">
        <f t="array" aca="1" ref="BA26" ca="1">IF($G26=0,"",INDEX(auto_DataFlat_DataValue,$H26+BA$18))</f>
        <v>76.400000000000006</v>
      </c>
      <c r="BB26" s="153" cm="1">
        <f t="array" aca="1" ref="BB26" ca="1">IF($G26=0,"",INDEX(auto_DataFlat_DataValue,$H26+BB$18))</f>
        <v>36</v>
      </c>
      <c r="BC26" s="153" cm="1">
        <f t="array" aca="1" ref="BC26" ca="1">IF($G26=0,"",INDEX(auto_DataFlat_DataValue,$H26+BC$18))</f>
        <v>74.5</v>
      </c>
      <c r="BD26" s="153" cm="1">
        <f t="array" aca="1" ref="BD26" ca="1">IF($G26=0,"",INDEX(auto_DataFlat_DataValue,$H26+BD$18))</f>
        <v>80.099999999999994</v>
      </c>
      <c r="BE26" s="153" cm="1">
        <f t="array" aca="1" ref="BE26" ca="1">IF($G26=0,"",INDEX(auto_DataFlat_DataValue,$H26+BE$18))</f>
        <v>85.2</v>
      </c>
      <c r="BF26" s="153" cm="1">
        <f t="array" aca="1" ref="BF26" ca="1">IF($G26=0,"",INDEX(auto_DataFlat_DataValue,$H26+BF$18))</f>
        <v>84.5</v>
      </c>
      <c r="BG26" s="153" cm="1">
        <f t="array" aca="1" ref="BG26" ca="1">IF($G26=0,"",INDEX(auto_DataFlat_DataValue,$H26+BG$18))</f>
        <v>80.7</v>
      </c>
      <c r="BH26" s="153" cm="1">
        <f t="array" aca="1" ref="BH26" ca="1">IF($G26=0,"",INDEX(auto_DataFlat_DataValue,$H26+BH$18))</f>
        <v>36</v>
      </c>
      <c r="BI26" s="153" cm="1">
        <f t="array" aca="1" ref="BI26" ca="1">IF($G26=0,"",INDEX(auto_DataFlat_DataValue,$H26+BI$18))</f>
        <v>22.8</v>
      </c>
    </row>
    <row r="27" spans="1:61" ht="17.05" customHeight="1" x14ac:dyDescent="0.4">
      <c r="A27" t="str">
        <f t="shared" si="3"/>
        <v/>
      </c>
      <c r="B27" s="42" t="str">
        <f t="shared" ca="1" si="1"/>
        <v/>
      </c>
      <c r="C27" s="100">
        <v>8</v>
      </c>
      <c r="D27" s="49" cm="1">
        <f t="array" aca="1" ref="D27" ca="1">INDEX(OFFSET(auto_ss_data_table,0,1,500,1),C27)</f>
        <v>8</v>
      </c>
      <c r="E27" s="101" cm="1">
        <f t="array" aca="1" ref="E27" ca="1">INDEX(auto_tblSeries,$D27,E$18)</f>
        <v>3</v>
      </c>
      <c r="F27" s="101" t="str" cm="1">
        <f t="array" aca="1" ref="F27" ca="1">INDEX(auto_tblSeries,$D27,F$18)</f>
        <v>#,##0</v>
      </c>
      <c r="G27" s="101" cm="1">
        <f t="array" aca="1" ref="G27" ca="1">INDEX(auto_tblSeries,$D27,G$18)</f>
        <v>1</v>
      </c>
      <c r="H27" s="101" cm="1">
        <f t="array" aca="1" ref="H27" ca="1">INDEX(sys_DataFlat_LU_Grid,$D27,1)-1</f>
        <v>420</v>
      </c>
      <c r="I27" s="26"/>
      <c r="J27" s="151" t="str" cm="1">
        <f t="array" aca="1" ref="J27" ca="1">INDEX(auto_Series_NameNumbered,$D27)</f>
        <v>1.2b) Level of education: city-level data availability</v>
      </c>
      <c r="K27" s="152" t="str" cm="1">
        <f t="array" aca="1" ref="K27" ca="1">IF($G27=0,"",INDEX(auto_tblSeries,$D27,K$18))</f>
        <v>Rating 0-1</v>
      </c>
      <c r="L27" s="154" cm="1">
        <f t="array" aca="1" ref="L27" ca="1">IF($G27=0,"",INDEX(auto_DataFlat_DataValue,$H27+L$18))</f>
        <v>0</v>
      </c>
      <c r="M27" s="154" cm="1">
        <f t="array" aca="1" ref="M27" ca="1">IF($G27=0,"",INDEX(auto_DataFlat_DataValue,$H27+M$18))</f>
        <v>0</v>
      </c>
      <c r="N27" s="154" cm="1">
        <f t="array" aca="1" ref="N27" ca="1">IF($G27=0,"",INDEX(auto_DataFlat_DataValue,$H27+N$18))</f>
        <v>1</v>
      </c>
      <c r="O27" s="154" cm="1">
        <f t="array" aca="1" ref="O27" ca="1">IF($G27=0,"",INDEX(auto_DataFlat_DataValue,$H27+O$18))</f>
        <v>1</v>
      </c>
      <c r="P27" s="154" cm="1">
        <f t="array" aca="1" ref="P27" ca="1">IF($G27=0,"",INDEX(auto_DataFlat_DataValue,$H27+P$18))</f>
        <v>1</v>
      </c>
      <c r="Q27" s="154" cm="1">
        <f t="array" aca="1" ref="Q27" ca="1">IF($G27=0,"",INDEX(auto_DataFlat_DataValue,$H27+Q$18))</f>
        <v>1</v>
      </c>
      <c r="R27" s="154" cm="1">
        <f t="array" aca="1" ref="R27" ca="1">IF($G27=0,"",INDEX(auto_DataFlat_DataValue,$H27+R$18))</f>
        <v>1</v>
      </c>
      <c r="S27" s="154" cm="1">
        <f t="array" aca="1" ref="S27" ca="1">IF($G27=0,"",INDEX(auto_DataFlat_DataValue,$H27+S$18))</f>
        <v>0</v>
      </c>
      <c r="T27" s="154" cm="1">
        <f t="array" aca="1" ref="T27" ca="1">IF($G27=0,"",INDEX(auto_DataFlat_DataValue,$H27+T$18))</f>
        <v>1</v>
      </c>
      <c r="U27" s="154" cm="1">
        <f t="array" aca="1" ref="U27" ca="1">IF($G27=0,"",INDEX(auto_DataFlat_DataValue,$H27+U$18))</f>
        <v>0</v>
      </c>
      <c r="V27" s="154" cm="1">
        <f t="array" aca="1" ref="V27" ca="1">IF($G27=0,"",INDEX(auto_DataFlat_DataValue,$H27+V$18))</f>
        <v>0</v>
      </c>
      <c r="W27" s="154" cm="1">
        <f t="array" aca="1" ref="W27" ca="1">IF($G27=0,"",INDEX(auto_DataFlat_DataValue,$H27+W$18))</f>
        <v>1</v>
      </c>
      <c r="X27" s="154" cm="1">
        <f t="array" aca="1" ref="X27" ca="1">IF($G27=0,"",INDEX(auto_DataFlat_DataValue,$H27+X$18))</f>
        <v>0</v>
      </c>
      <c r="Y27" s="154" cm="1">
        <f t="array" aca="1" ref="Y27" ca="1">IF($G27=0,"",INDEX(auto_DataFlat_DataValue,$H27+Y$18))</f>
        <v>0</v>
      </c>
      <c r="Z27" s="154" cm="1">
        <f t="array" aca="1" ref="Z27" ca="1">IF($G27=0,"",INDEX(auto_DataFlat_DataValue,$H27+Z$18))</f>
        <v>1</v>
      </c>
      <c r="AA27" s="154" cm="1">
        <f t="array" aca="1" ref="AA27" ca="1">IF($G27=0,"",INDEX(auto_DataFlat_DataValue,$H27+AA$18))</f>
        <v>1</v>
      </c>
      <c r="AB27" s="154" cm="1">
        <f t="array" aca="1" ref="AB27" ca="1">IF($G27=0,"",INDEX(auto_DataFlat_DataValue,$H27+AB$18))</f>
        <v>1</v>
      </c>
      <c r="AC27" s="154" cm="1">
        <f t="array" aca="1" ref="AC27" ca="1">IF($G27=0,"",INDEX(auto_DataFlat_DataValue,$H27+AC$18))</f>
        <v>1</v>
      </c>
      <c r="AD27" s="154" cm="1">
        <f t="array" aca="1" ref="AD27" ca="1">IF($G27=0,"",INDEX(auto_DataFlat_DataValue,$H27+AD$18))</f>
        <v>1</v>
      </c>
      <c r="AE27" s="154" cm="1">
        <f t="array" aca="1" ref="AE27" ca="1">IF($G27=0,"",INDEX(auto_DataFlat_DataValue,$H27+AE$18))</f>
        <v>1</v>
      </c>
      <c r="AF27" s="154" cm="1">
        <f t="array" aca="1" ref="AF27" ca="1">IF($G27=0,"",INDEX(auto_DataFlat_DataValue,$H27+AF$18))</f>
        <v>0</v>
      </c>
      <c r="AG27" s="154" cm="1">
        <f t="array" aca="1" ref="AG27" ca="1">IF($G27=0,"",INDEX(auto_DataFlat_DataValue,$H27+AG$18))</f>
        <v>0</v>
      </c>
      <c r="AH27" s="154" cm="1">
        <f t="array" aca="1" ref="AH27" ca="1">IF($G27=0,"",INDEX(auto_DataFlat_DataValue,$H27+AH$18))</f>
        <v>0</v>
      </c>
      <c r="AI27" s="154" cm="1">
        <f t="array" aca="1" ref="AI27" ca="1">IF($G27=0,"",INDEX(auto_DataFlat_DataValue,$H27+AI$18))</f>
        <v>0</v>
      </c>
      <c r="AJ27" s="154" cm="1">
        <f t="array" aca="1" ref="AJ27" ca="1">IF($G27=0,"",INDEX(auto_DataFlat_DataValue,$H27+AJ$18))</f>
        <v>1</v>
      </c>
      <c r="AK27" s="154" cm="1">
        <f t="array" aca="1" ref="AK27" ca="1">IF($G27=0,"",INDEX(auto_DataFlat_DataValue,$H27+AK$18))</f>
        <v>1</v>
      </c>
      <c r="AL27" s="154" cm="1">
        <f t="array" aca="1" ref="AL27" ca="1">IF($G27=0,"",INDEX(auto_DataFlat_DataValue,$H27+AL$18))</f>
        <v>1</v>
      </c>
      <c r="AM27" s="154" cm="1">
        <f t="array" aca="1" ref="AM27" ca="1">IF($G27=0,"",INDEX(auto_DataFlat_DataValue,$H27+AM$18))</f>
        <v>0</v>
      </c>
      <c r="AN27" s="154" cm="1">
        <f t="array" aca="1" ref="AN27" ca="1">IF($G27=0,"",INDEX(auto_DataFlat_DataValue,$H27+AN$18))</f>
        <v>1</v>
      </c>
      <c r="AO27" s="154" cm="1">
        <f t="array" aca="1" ref="AO27" ca="1">IF($G27=0,"",INDEX(auto_DataFlat_DataValue,$H27+AO$18))</f>
        <v>1</v>
      </c>
      <c r="AP27" s="154" cm="1">
        <f t="array" aca="1" ref="AP27" ca="1">IF($G27=0,"",INDEX(auto_DataFlat_DataValue,$H27+AP$18))</f>
        <v>0</v>
      </c>
      <c r="AQ27" s="154" cm="1">
        <f t="array" aca="1" ref="AQ27" ca="1">IF($G27=0,"",INDEX(auto_DataFlat_DataValue,$H27+AQ$18))</f>
        <v>0</v>
      </c>
      <c r="AR27" s="154" cm="1">
        <f t="array" aca="1" ref="AR27" ca="1">IF($G27=0,"",INDEX(auto_DataFlat_DataValue,$H27+AR$18))</f>
        <v>0</v>
      </c>
      <c r="AS27" s="154" cm="1">
        <f t="array" aca="1" ref="AS27" ca="1">IF($G27=0,"",INDEX(auto_DataFlat_DataValue,$H27+AS$18))</f>
        <v>1</v>
      </c>
      <c r="AT27" s="154" cm="1">
        <f t="array" aca="1" ref="AT27" ca="1">IF($G27=0,"",INDEX(auto_DataFlat_DataValue,$H27+AT$18))</f>
        <v>1</v>
      </c>
      <c r="AU27" s="154" cm="1">
        <f t="array" aca="1" ref="AU27" ca="1">IF($G27=0,"",INDEX(auto_DataFlat_DataValue,$H27+AU$18))</f>
        <v>1</v>
      </c>
      <c r="AV27" s="154" cm="1">
        <f t="array" aca="1" ref="AV27" ca="1">IF($G27=0,"",INDEX(auto_DataFlat_DataValue,$H27+AV$18))</f>
        <v>1</v>
      </c>
      <c r="AW27" s="154" cm="1">
        <f t="array" aca="1" ref="AW27" ca="1">IF($G27=0,"",INDEX(auto_DataFlat_DataValue,$H27+AW$18))</f>
        <v>0</v>
      </c>
      <c r="AX27" s="154" cm="1">
        <f t="array" aca="1" ref="AX27" ca="1">IF($G27=0,"",INDEX(auto_DataFlat_DataValue,$H27+AX$18))</f>
        <v>1</v>
      </c>
      <c r="AY27" s="154" cm="1">
        <f t="array" aca="1" ref="AY27" ca="1">IF($G27=0,"",INDEX(auto_DataFlat_DataValue,$H27+AY$18))</f>
        <v>1</v>
      </c>
      <c r="AZ27" s="154" cm="1">
        <f t="array" aca="1" ref="AZ27" ca="1">IF($G27=0,"",INDEX(auto_DataFlat_DataValue,$H27+AZ$18))</f>
        <v>0</v>
      </c>
      <c r="BA27" s="154" cm="1">
        <f t="array" aca="1" ref="BA27" ca="1">IF($G27=0,"",INDEX(auto_DataFlat_DataValue,$H27+BA$18))</f>
        <v>1</v>
      </c>
      <c r="BB27" s="154" cm="1">
        <f t="array" aca="1" ref="BB27" ca="1">IF($G27=0,"",INDEX(auto_DataFlat_DataValue,$H27+BB$18))</f>
        <v>1</v>
      </c>
      <c r="BC27" s="154" cm="1">
        <f t="array" aca="1" ref="BC27" ca="1">IF($G27=0,"",INDEX(auto_DataFlat_DataValue,$H27+BC$18))</f>
        <v>1</v>
      </c>
      <c r="BD27" s="154" cm="1">
        <f t="array" aca="1" ref="BD27" ca="1">IF($G27=0,"",INDEX(auto_DataFlat_DataValue,$H27+BD$18))</f>
        <v>1</v>
      </c>
      <c r="BE27" s="154" cm="1">
        <f t="array" aca="1" ref="BE27" ca="1">IF($G27=0,"",INDEX(auto_DataFlat_DataValue,$H27+BE$18))</f>
        <v>1</v>
      </c>
      <c r="BF27" s="154" cm="1">
        <f t="array" aca="1" ref="BF27" ca="1">IF($G27=0,"",INDEX(auto_DataFlat_DataValue,$H27+BF$18))</f>
        <v>1</v>
      </c>
      <c r="BG27" s="154" cm="1">
        <f t="array" aca="1" ref="BG27" ca="1">IF($G27=0,"",INDEX(auto_DataFlat_DataValue,$H27+BG$18))</f>
        <v>1</v>
      </c>
      <c r="BH27" s="154" cm="1">
        <f t="array" aca="1" ref="BH27" ca="1">IF($G27=0,"",INDEX(auto_DataFlat_DataValue,$H27+BH$18))</f>
        <v>1</v>
      </c>
      <c r="BI27" s="154" cm="1">
        <f t="array" aca="1" ref="BI27" ca="1">IF($G27=0,"",INDEX(auto_DataFlat_DataValue,$H27+BI$18))</f>
        <v>0</v>
      </c>
    </row>
    <row r="28" spans="1:61" ht="17.05" customHeight="1" x14ac:dyDescent="0.4">
      <c r="A28" t="str">
        <f t="shared" si="3"/>
        <v/>
      </c>
      <c r="B28" s="42" t="str">
        <f t="shared" ca="1" si="1"/>
        <v>V</v>
      </c>
      <c r="C28" s="100">
        <v>9</v>
      </c>
      <c r="D28" s="49" cm="1">
        <f t="array" aca="1" ref="D28" ca="1">INDEX(OFFSET(auto_ss_data_table,0,1,500,1),C28)</f>
        <v>9</v>
      </c>
      <c r="E28" s="101" cm="1">
        <f t="array" aca="1" ref="E28" ca="1">INDEX(auto_tblSeries,$D28,E$18)</f>
        <v>2</v>
      </c>
      <c r="F28" s="101" t="str" cm="1">
        <f t="array" aca="1" ref="F28" ca="1">INDEX(auto_tblSeries,$D28,F$18)</f>
        <v>#,0.0</v>
      </c>
      <c r="G28" s="101" cm="1">
        <f t="array" aca="1" ref="G28" ca="1">INDEX(auto_tblSeries,$D28,G$18)</f>
        <v>0</v>
      </c>
      <c r="H28" s="101" cm="1">
        <f t="array" aca="1" ref="H28" ca="1">INDEX(sys_DataFlat_LU_Grid,$D28,1)-1</f>
        <v>480</v>
      </c>
      <c r="I28" s="26"/>
      <c r="J28" s="148" t="str" cm="1">
        <f t="array" aca="1" ref="J28" ca="1">INDEX(auto_Series_NameNumbered,$D28)</f>
        <v>1.3) Employment</v>
      </c>
      <c r="K28" s="149" t="str" cm="1">
        <f t="array" aca="1" ref="K28" ca="1">IF($G28=0,"",INDEX(auto_tblSeries,$D28,K$18))</f>
        <v/>
      </c>
      <c r="L28" s="150" t="str" cm="1">
        <f t="array" aca="1" ref="L28" ca="1">IF($G28=0,"",INDEX(auto_DataFlat_DataValue,$H28+L$18))</f>
        <v/>
      </c>
      <c r="M28" s="150" t="str" cm="1">
        <f t="array" aca="1" ref="M28" ca="1">IF($G28=0,"",INDEX(auto_DataFlat_DataValue,$H28+M$18))</f>
        <v/>
      </c>
      <c r="N28" s="150" t="str" cm="1">
        <f t="array" aca="1" ref="N28" ca="1">IF($G28=0,"",INDEX(auto_DataFlat_DataValue,$H28+N$18))</f>
        <v/>
      </c>
      <c r="O28" s="150" t="str" cm="1">
        <f t="array" aca="1" ref="O28" ca="1">IF($G28=0,"",INDEX(auto_DataFlat_DataValue,$H28+O$18))</f>
        <v/>
      </c>
      <c r="P28" s="150" t="str" cm="1">
        <f t="array" aca="1" ref="P28" ca="1">IF($G28=0,"",INDEX(auto_DataFlat_DataValue,$H28+P$18))</f>
        <v/>
      </c>
      <c r="Q28" s="150" t="str" cm="1">
        <f t="array" aca="1" ref="Q28" ca="1">IF($G28=0,"",INDEX(auto_DataFlat_DataValue,$H28+Q$18))</f>
        <v/>
      </c>
      <c r="R28" s="150" t="str" cm="1">
        <f t="array" aca="1" ref="R28" ca="1">IF($G28=0,"",INDEX(auto_DataFlat_DataValue,$H28+R$18))</f>
        <v/>
      </c>
      <c r="S28" s="150" t="str" cm="1">
        <f t="array" aca="1" ref="S28" ca="1">IF($G28=0,"",INDEX(auto_DataFlat_DataValue,$H28+S$18))</f>
        <v/>
      </c>
      <c r="T28" s="150" t="str" cm="1">
        <f t="array" aca="1" ref="T28" ca="1">IF($G28=0,"",INDEX(auto_DataFlat_DataValue,$H28+T$18))</f>
        <v/>
      </c>
      <c r="U28" s="150" t="str" cm="1">
        <f t="array" aca="1" ref="U28" ca="1">IF($G28=0,"",INDEX(auto_DataFlat_DataValue,$H28+U$18))</f>
        <v/>
      </c>
      <c r="V28" s="150" t="str" cm="1">
        <f t="array" aca="1" ref="V28" ca="1">IF($G28=0,"",INDEX(auto_DataFlat_DataValue,$H28+V$18))</f>
        <v/>
      </c>
      <c r="W28" s="150" t="str" cm="1">
        <f t="array" aca="1" ref="W28" ca="1">IF($G28=0,"",INDEX(auto_DataFlat_DataValue,$H28+W$18))</f>
        <v/>
      </c>
      <c r="X28" s="150" t="str" cm="1">
        <f t="array" aca="1" ref="X28" ca="1">IF($G28=0,"",INDEX(auto_DataFlat_DataValue,$H28+X$18))</f>
        <v/>
      </c>
      <c r="Y28" s="150" t="str" cm="1">
        <f t="array" aca="1" ref="Y28" ca="1">IF($G28=0,"",INDEX(auto_DataFlat_DataValue,$H28+Y$18))</f>
        <v/>
      </c>
      <c r="Z28" s="150" t="str" cm="1">
        <f t="array" aca="1" ref="Z28" ca="1">IF($G28=0,"",INDEX(auto_DataFlat_DataValue,$H28+Z$18))</f>
        <v/>
      </c>
      <c r="AA28" s="150" t="str" cm="1">
        <f t="array" aca="1" ref="AA28" ca="1">IF($G28=0,"",INDEX(auto_DataFlat_DataValue,$H28+AA$18))</f>
        <v/>
      </c>
      <c r="AB28" s="150" t="str" cm="1">
        <f t="array" aca="1" ref="AB28" ca="1">IF($G28=0,"",INDEX(auto_DataFlat_DataValue,$H28+AB$18))</f>
        <v/>
      </c>
      <c r="AC28" s="150" t="str" cm="1">
        <f t="array" aca="1" ref="AC28" ca="1">IF($G28=0,"",INDEX(auto_DataFlat_DataValue,$H28+AC$18))</f>
        <v/>
      </c>
      <c r="AD28" s="150" t="str" cm="1">
        <f t="array" aca="1" ref="AD28" ca="1">IF($G28=0,"",INDEX(auto_DataFlat_DataValue,$H28+AD$18))</f>
        <v/>
      </c>
      <c r="AE28" s="150" t="str" cm="1">
        <f t="array" aca="1" ref="AE28" ca="1">IF($G28=0,"",INDEX(auto_DataFlat_DataValue,$H28+AE$18))</f>
        <v/>
      </c>
      <c r="AF28" s="150" t="str" cm="1">
        <f t="array" aca="1" ref="AF28" ca="1">IF($G28=0,"",INDEX(auto_DataFlat_DataValue,$H28+AF$18))</f>
        <v/>
      </c>
      <c r="AG28" s="150" t="str" cm="1">
        <f t="array" aca="1" ref="AG28" ca="1">IF($G28=0,"",INDEX(auto_DataFlat_DataValue,$H28+AG$18))</f>
        <v/>
      </c>
      <c r="AH28" s="150" t="str" cm="1">
        <f t="array" aca="1" ref="AH28" ca="1">IF($G28=0,"",INDEX(auto_DataFlat_DataValue,$H28+AH$18))</f>
        <v/>
      </c>
      <c r="AI28" s="150" t="str" cm="1">
        <f t="array" aca="1" ref="AI28" ca="1">IF($G28=0,"",INDEX(auto_DataFlat_DataValue,$H28+AI$18))</f>
        <v/>
      </c>
      <c r="AJ28" s="150" t="str" cm="1">
        <f t="array" aca="1" ref="AJ28" ca="1">IF($G28=0,"",INDEX(auto_DataFlat_DataValue,$H28+AJ$18))</f>
        <v/>
      </c>
      <c r="AK28" s="150" t="str" cm="1">
        <f t="array" aca="1" ref="AK28" ca="1">IF($G28=0,"",INDEX(auto_DataFlat_DataValue,$H28+AK$18))</f>
        <v/>
      </c>
      <c r="AL28" s="150" t="str" cm="1">
        <f t="array" aca="1" ref="AL28" ca="1">IF($G28=0,"",INDEX(auto_DataFlat_DataValue,$H28+AL$18))</f>
        <v/>
      </c>
      <c r="AM28" s="150" t="str" cm="1">
        <f t="array" aca="1" ref="AM28" ca="1">IF($G28=0,"",INDEX(auto_DataFlat_DataValue,$H28+AM$18))</f>
        <v/>
      </c>
      <c r="AN28" s="150" t="str" cm="1">
        <f t="array" aca="1" ref="AN28" ca="1">IF($G28=0,"",INDEX(auto_DataFlat_DataValue,$H28+AN$18))</f>
        <v/>
      </c>
      <c r="AO28" s="150" t="str" cm="1">
        <f t="array" aca="1" ref="AO28" ca="1">IF($G28=0,"",INDEX(auto_DataFlat_DataValue,$H28+AO$18))</f>
        <v/>
      </c>
      <c r="AP28" s="150" t="str" cm="1">
        <f t="array" aca="1" ref="AP28" ca="1">IF($G28=0,"",INDEX(auto_DataFlat_DataValue,$H28+AP$18))</f>
        <v/>
      </c>
      <c r="AQ28" s="150" t="str" cm="1">
        <f t="array" aca="1" ref="AQ28" ca="1">IF($G28=0,"",INDEX(auto_DataFlat_DataValue,$H28+AQ$18))</f>
        <v/>
      </c>
      <c r="AR28" s="150" t="str" cm="1">
        <f t="array" aca="1" ref="AR28" ca="1">IF($G28=0,"",INDEX(auto_DataFlat_DataValue,$H28+AR$18))</f>
        <v/>
      </c>
      <c r="AS28" s="150" t="str" cm="1">
        <f t="array" aca="1" ref="AS28" ca="1">IF($G28=0,"",INDEX(auto_DataFlat_DataValue,$H28+AS$18))</f>
        <v/>
      </c>
      <c r="AT28" s="150" t="str" cm="1">
        <f t="array" aca="1" ref="AT28" ca="1">IF($G28=0,"",INDEX(auto_DataFlat_DataValue,$H28+AT$18))</f>
        <v/>
      </c>
      <c r="AU28" s="150" t="str" cm="1">
        <f t="array" aca="1" ref="AU28" ca="1">IF($G28=0,"",INDEX(auto_DataFlat_DataValue,$H28+AU$18))</f>
        <v/>
      </c>
      <c r="AV28" s="150" t="str" cm="1">
        <f t="array" aca="1" ref="AV28" ca="1">IF($G28=0,"",INDEX(auto_DataFlat_DataValue,$H28+AV$18))</f>
        <v/>
      </c>
      <c r="AW28" s="150" t="str" cm="1">
        <f t="array" aca="1" ref="AW28" ca="1">IF($G28=0,"",INDEX(auto_DataFlat_DataValue,$H28+AW$18))</f>
        <v/>
      </c>
      <c r="AX28" s="150" t="str" cm="1">
        <f t="array" aca="1" ref="AX28" ca="1">IF($G28=0,"",INDEX(auto_DataFlat_DataValue,$H28+AX$18))</f>
        <v/>
      </c>
      <c r="AY28" s="150" t="str" cm="1">
        <f t="array" aca="1" ref="AY28" ca="1">IF($G28=0,"",INDEX(auto_DataFlat_DataValue,$H28+AY$18))</f>
        <v/>
      </c>
      <c r="AZ28" s="150" t="str" cm="1">
        <f t="array" aca="1" ref="AZ28" ca="1">IF($G28=0,"",INDEX(auto_DataFlat_DataValue,$H28+AZ$18))</f>
        <v/>
      </c>
      <c r="BA28" s="150" t="str" cm="1">
        <f t="array" aca="1" ref="BA28" ca="1">IF($G28=0,"",INDEX(auto_DataFlat_DataValue,$H28+BA$18))</f>
        <v/>
      </c>
      <c r="BB28" s="150" t="str" cm="1">
        <f t="array" aca="1" ref="BB28" ca="1">IF($G28=0,"",INDEX(auto_DataFlat_DataValue,$H28+BB$18))</f>
        <v/>
      </c>
      <c r="BC28" s="150" t="str" cm="1">
        <f t="array" aca="1" ref="BC28" ca="1">IF($G28=0,"",INDEX(auto_DataFlat_DataValue,$H28+BC$18))</f>
        <v/>
      </c>
      <c r="BD28" s="150" t="str" cm="1">
        <f t="array" aca="1" ref="BD28" ca="1">IF($G28=0,"",INDEX(auto_DataFlat_DataValue,$H28+BD$18))</f>
        <v/>
      </c>
      <c r="BE28" s="150" t="str" cm="1">
        <f t="array" aca="1" ref="BE28" ca="1">IF($G28=0,"",INDEX(auto_DataFlat_DataValue,$H28+BE$18))</f>
        <v/>
      </c>
      <c r="BF28" s="150" t="str" cm="1">
        <f t="array" aca="1" ref="BF28" ca="1">IF($G28=0,"",INDEX(auto_DataFlat_DataValue,$H28+BF$18))</f>
        <v/>
      </c>
      <c r="BG28" s="150" t="str" cm="1">
        <f t="array" aca="1" ref="BG28" ca="1">IF($G28=0,"",INDEX(auto_DataFlat_DataValue,$H28+BG$18))</f>
        <v/>
      </c>
      <c r="BH28" s="150" t="str" cm="1">
        <f t="array" aca="1" ref="BH28" ca="1">IF($G28=0,"",INDEX(auto_DataFlat_DataValue,$H28+BH$18))</f>
        <v/>
      </c>
      <c r="BI28" s="150" t="str" cm="1">
        <f t="array" aca="1" ref="BI28" ca="1">IF($G28=0,"",INDEX(auto_DataFlat_DataValue,$H28+BI$18))</f>
        <v/>
      </c>
    </row>
    <row r="29" spans="1:61" ht="17.05" customHeight="1" x14ac:dyDescent="0.4">
      <c r="A29" t="str">
        <f t="shared" si="3"/>
        <v/>
      </c>
      <c r="B29" s="42" t="str">
        <f t="shared" ca="1" si="1"/>
        <v/>
      </c>
      <c r="C29" s="100">
        <v>10</v>
      </c>
      <c r="D29" s="49" cm="1">
        <f t="array" aca="1" ref="D29" ca="1">INDEX(OFFSET(auto_ss_data_table,0,1,500,1),C29)</f>
        <v>10</v>
      </c>
      <c r="E29" s="101" cm="1">
        <f t="array" aca="1" ref="E29" ca="1">INDEX(auto_tblSeries,$D29,E$18)</f>
        <v>3</v>
      </c>
      <c r="F29" s="101" t="str" cm="1">
        <f t="array" aca="1" ref="F29" ca="1">INDEX(auto_tblSeries,$D29,F$18)</f>
        <v>#,0.00</v>
      </c>
      <c r="G29" s="101" cm="1">
        <f t="array" aca="1" ref="G29" ca="1">INDEX(auto_tblSeries,$D29,G$18)</f>
        <v>1</v>
      </c>
      <c r="H29" s="101" cm="1">
        <f t="array" aca="1" ref="H29" ca="1">INDEX(sys_DataFlat_LU_Grid,$D29,1)-1</f>
        <v>540</v>
      </c>
      <c r="I29" s="26"/>
      <c r="J29" s="151" t="str" cm="1">
        <f t="array" aca="1" ref="J29" ca="1">INDEX(auto_Series_NameNumbered,$D29)</f>
        <v>1.3a) Total unemployment: national data</v>
      </c>
      <c r="K29" s="152" t="str" cm="1">
        <f t="array" aca="1" ref="K29" ca="1">IF($G29=0,"",INDEX(auto_tblSeries,$D29,K$18))</f>
        <v>%</v>
      </c>
      <c r="L29" s="155" cm="1">
        <f t="array" aca="1" ref="L29" ca="1">IF($G29=0,"",INDEX(auto_DataFlat_DataValue,$H29+L$18))</f>
        <v>4.0199999999999996</v>
      </c>
      <c r="M29" s="155" cm="1">
        <f t="array" aca="1" ref="M29" ca="1">IF($G29=0,"",INDEX(auto_DataFlat_DataValue,$H29+M$18))</f>
        <v>11.55</v>
      </c>
      <c r="N29" s="155" cm="1">
        <f t="array" aca="1" ref="N29" ca="1">IF($G29=0,"",INDEX(auto_DataFlat_DataValue,$H29+N$18))</f>
        <v>3.61</v>
      </c>
      <c r="O29" s="155" cm="1">
        <f t="array" aca="1" ref="O29" ca="1">IF($G29=0,"",INDEX(auto_DataFlat_DataValue,$H29+O$18))</f>
        <v>3.25</v>
      </c>
      <c r="P29" s="155" cm="1">
        <f t="array" aca="1" ref="P29" ca="1">IF($G29=0,"",INDEX(auto_DataFlat_DataValue,$H29+P$18))</f>
        <v>0.86</v>
      </c>
      <c r="Q29" s="155" cm="1">
        <f t="array" aca="1" ref="Q29" ca="1">IF($G29=0,"",INDEX(auto_DataFlat_DataValue,$H29+Q$18))</f>
        <v>4.8899999999999997</v>
      </c>
      <c r="R29" s="155" cm="1">
        <f t="array" aca="1" ref="R29" ca="1">IF($G29=0,"",INDEX(auto_DataFlat_DataValue,$H29+R$18))</f>
        <v>2.99</v>
      </c>
      <c r="S29" s="155" cm="1">
        <f t="array" aca="1" ref="S29" ca="1">IF($G29=0,"",INDEX(auto_DataFlat_DataValue,$H29+S$18))</f>
        <v>10.73</v>
      </c>
      <c r="T29" s="155" cm="1">
        <f t="array" aca="1" ref="T29" ca="1">IF($G29=0,"",INDEX(auto_DataFlat_DataValue,$H29+T$18))</f>
        <v>3.42</v>
      </c>
      <c r="U29" s="155" cm="1">
        <f t="array" aca="1" ref="U29" ca="1">IF($G29=0,"",INDEX(auto_DataFlat_DataValue,$H29+U$18))</f>
        <v>6.96</v>
      </c>
      <c r="V29" s="155" cm="1">
        <f t="array" aca="1" ref="V29" ca="1">IF($G29=0,"",INDEX(auto_DataFlat_DataValue,$H29+V$18))</f>
        <v>6.71</v>
      </c>
      <c r="W29" s="155" cm="1">
        <f t="array" aca="1" ref="W29" ca="1">IF($G29=0,"",INDEX(auto_DataFlat_DataValue,$H29+W$18))</f>
        <v>7.33</v>
      </c>
      <c r="X29" s="155" cm="1">
        <f t="array" aca="1" ref="X29" ca="1">IF($G29=0,"",INDEX(auto_DataFlat_DataValue,$H29+X$18))</f>
        <v>4.7</v>
      </c>
      <c r="Y29" s="155" cm="1">
        <f t="array" aca="1" ref="Y29" ca="1">IF($G29=0,"",INDEX(auto_DataFlat_DataValue,$H29+Y$18))</f>
        <v>2.75</v>
      </c>
      <c r="Z29" s="155" cm="1">
        <f t="array" aca="1" ref="Z29" ca="1">IF($G29=0,"",INDEX(auto_DataFlat_DataValue,$H29+Z$18))</f>
        <v>6.8</v>
      </c>
      <c r="AA29" s="155" cm="1">
        <f t="array" aca="1" ref="AA29" ca="1">IF($G29=0,"",INDEX(auto_DataFlat_DataValue,$H29+AA$18))</f>
        <v>1.92</v>
      </c>
      <c r="AB29" s="155" cm="1">
        <f t="array" aca="1" ref="AB29" ca="1">IF($G29=0,"",INDEX(auto_DataFlat_DataValue,$H29+AB$18))</f>
        <v>5.0599999999999996</v>
      </c>
      <c r="AC29" s="155" cm="1">
        <f t="array" aca="1" ref="AC29" ca="1">IF($G29=0,"",INDEX(auto_DataFlat_DataValue,$H29+AC$18))</f>
        <v>10.029999999999999</v>
      </c>
      <c r="AD29" s="155" cm="1">
        <f t="array" aca="1" ref="AD29" ca="1">IF($G29=0,"",INDEX(auto_DataFlat_DataValue,$H29+AD$18))</f>
        <v>3.55</v>
      </c>
      <c r="AE29" s="155" cm="1">
        <f t="array" aca="1" ref="AE29" ca="1">IF($G29=0,"",INDEX(auto_DataFlat_DataValue,$H29+AE$18))</f>
        <v>29.81</v>
      </c>
      <c r="AF29" s="155" cm="1">
        <f t="array" aca="1" ref="AF29" ca="1">IF($G29=0,"",INDEX(auto_DataFlat_DataValue,$H29+AF$18))</f>
        <v>6.42</v>
      </c>
      <c r="AG29" s="155" cm="1">
        <f t="array" aca="1" ref="AG29" ca="1">IF($G29=0,"",INDEX(auto_DataFlat_DataValue,$H29+AG$18))</f>
        <v>11.12</v>
      </c>
      <c r="AH29" s="155" cm="1">
        <f t="array" aca="1" ref="AH29" ca="1">IF($G29=0,"",INDEX(auto_DataFlat_DataValue,$H29+AH$18))</f>
        <v>7.33</v>
      </c>
      <c r="AI29" s="155" cm="1">
        <f t="array" aca="1" ref="AI29" ca="1">IF($G29=0,"",INDEX(auto_DataFlat_DataValue,$H29+AI$18))</f>
        <v>2.48</v>
      </c>
      <c r="AJ29" s="155" cm="1">
        <f t="array" aca="1" ref="AJ29" ca="1">IF($G29=0,"",INDEX(auto_DataFlat_DataValue,$H29+AJ$18))</f>
        <v>5.76</v>
      </c>
      <c r="AK29" s="155" cm="1">
        <f t="array" aca="1" ref="AK29" ca="1">IF($G29=0,"",INDEX(auto_DataFlat_DataValue,$H29+AK$18))</f>
        <v>3.57</v>
      </c>
      <c r="AL29" s="155" cm="1">
        <f t="array" aca="1" ref="AL29" ca="1">IF($G29=0,"",INDEX(auto_DataFlat_DataValue,$H29+AL$18))</f>
        <v>13.01</v>
      </c>
      <c r="AM29" s="155" cm="1">
        <f t="array" aca="1" ref="AM29" ca="1">IF($G29=0,"",INDEX(auto_DataFlat_DataValue,$H29+AM$18))</f>
        <v>2.2400000000000002</v>
      </c>
      <c r="AN29" s="155" cm="1">
        <f t="array" aca="1" ref="AN29" ca="1">IF($G29=0,"",INDEX(auto_DataFlat_DataValue,$H29+AN$18))</f>
        <v>3.66</v>
      </c>
      <c r="AO29" s="155" cm="1">
        <f t="array" aca="1" ref="AO29" ca="1">IF($G29=0,"",INDEX(auto_DataFlat_DataValue,$H29+AO$18))</f>
        <v>3.31</v>
      </c>
      <c r="AP29" s="155" cm="1">
        <f t="array" aca="1" ref="AP29" ca="1">IF($G29=0,"",INDEX(auto_DataFlat_DataValue,$H29+AP$18))</f>
        <v>4.72</v>
      </c>
      <c r="AQ29" s="155" cm="1">
        <f t="array" aca="1" ref="AQ29" ca="1">IF($G29=0,"",INDEX(auto_DataFlat_DataValue,$H29+AQ$18))</f>
        <v>7.33</v>
      </c>
      <c r="AR29" s="155" cm="1">
        <f t="array" aca="1" ref="AR29" ca="1">IF($G29=0,"",INDEX(auto_DataFlat_DataValue,$H29+AR$18))</f>
        <v>5.5</v>
      </c>
      <c r="AS29" s="155" cm="1">
        <f t="array" aca="1" ref="AS29" ca="1">IF($G29=0,"",INDEX(auto_DataFlat_DataValue,$H29+AS$18))</f>
        <v>3.61</v>
      </c>
      <c r="AT29" s="155" cm="1">
        <f t="array" aca="1" ref="AT29" ca="1">IF($G29=0,"",INDEX(auto_DataFlat_DataValue,$H29+AT$18))</f>
        <v>2.64</v>
      </c>
      <c r="AU29" s="155" cm="1">
        <f t="array" aca="1" ref="AU29" ca="1">IF($G29=0,"",INDEX(auto_DataFlat_DataValue,$H29+AU$18))</f>
        <v>7.45</v>
      </c>
      <c r="AV29" s="155" cm="1">
        <f t="array" aca="1" ref="AV29" ca="1">IF($G29=0,"",INDEX(auto_DataFlat_DataValue,$H29+AV$18))</f>
        <v>0.36</v>
      </c>
      <c r="AW29" s="155" cm="1">
        <f t="array" aca="1" ref="AW29" ca="1">IF($G29=0,"",INDEX(auto_DataFlat_DataValue,$H29+AW$18))</f>
        <v>5.64</v>
      </c>
      <c r="AX29" s="155" cm="1">
        <f t="array" aca="1" ref="AX29" ca="1">IF($G29=0,"",INDEX(auto_DataFlat_DataValue,$H29+AX$18))</f>
        <v>8.09</v>
      </c>
      <c r="AY29" s="155" cm="1">
        <f t="array" aca="1" ref="AY29" ca="1">IF($G29=0,"",INDEX(auto_DataFlat_DataValue,$H29+AY$18))</f>
        <v>3.61</v>
      </c>
      <c r="AZ29" s="155" cm="1">
        <f t="array" aca="1" ref="AZ29" ca="1">IF($G29=0,"",INDEX(auto_DataFlat_DataValue,$H29+AZ$18))</f>
        <v>9.4600000000000009</v>
      </c>
      <c r="BA29" s="155" cm="1">
        <f t="array" aca="1" ref="BA29" ca="1">IF($G29=0,"",INDEX(auto_DataFlat_DataValue,$H29+BA$18))</f>
        <v>2.79</v>
      </c>
      <c r="BB29" s="155" cm="1">
        <f t="array" aca="1" ref="BB29" ca="1">IF($G29=0,"",INDEX(auto_DataFlat_DataValue,$H29+BB$18))</f>
        <v>4.8899999999999997</v>
      </c>
      <c r="BC29" s="155" cm="1">
        <f t="array" aca="1" ref="BC29" ca="1">IF($G29=0,"",INDEX(auto_DataFlat_DataValue,$H29+BC$18))</f>
        <v>2.76</v>
      </c>
      <c r="BD29" s="155" cm="1">
        <f t="array" aca="1" ref="BD29" ca="1">IF($G29=0,"",INDEX(auto_DataFlat_DataValue,$H29+BD$18))</f>
        <v>3.66</v>
      </c>
      <c r="BE29" s="155" cm="1">
        <f t="array" aca="1" ref="BE29" ca="1">IF($G29=0,"",INDEX(auto_DataFlat_DataValue,$H29+BE$18))</f>
        <v>2.64</v>
      </c>
      <c r="BF29" s="155" cm="1">
        <f t="array" aca="1" ref="BF29" ca="1">IF($G29=0,"",INDEX(auto_DataFlat_DataValue,$H29+BF$18))</f>
        <v>5.21</v>
      </c>
      <c r="BG29" s="155" cm="1">
        <f t="array" aca="1" ref="BG29" ca="1">IF($G29=0,"",INDEX(auto_DataFlat_DataValue,$H29+BG$18))</f>
        <v>4.71</v>
      </c>
      <c r="BH29" s="155" cm="1">
        <f t="array" aca="1" ref="BH29" ca="1">IF($G29=0,"",INDEX(auto_DataFlat_DataValue,$H29+BH$18))</f>
        <v>4.8899999999999997</v>
      </c>
      <c r="BI29" s="155" cm="1">
        <f t="array" aca="1" ref="BI29" ca="1">IF($G29=0,"",INDEX(auto_DataFlat_DataValue,$H29+BI$18))</f>
        <v>1.48</v>
      </c>
    </row>
    <row r="30" spans="1:61" ht="17.05" customHeight="1" x14ac:dyDescent="0.4">
      <c r="A30" t="str">
        <f t="shared" si="3"/>
        <v/>
      </c>
      <c r="B30" s="42" t="str">
        <f t="shared" ca="1" si="1"/>
        <v/>
      </c>
      <c r="C30" s="100">
        <v>11</v>
      </c>
      <c r="D30" s="49" cm="1">
        <f t="array" aca="1" ref="D30" ca="1">INDEX(OFFSET(auto_ss_data_table,0,1,500,1),C30)</f>
        <v>11</v>
      </c>
      <c r="E30" s="101" cm="1">
        <f t="array" aca="1" ref="E30" ca="1">INDEX(auto_tblSeries,$D30,E$18)</f>
        <v>3</v>
      </c>
      <c r="F30" s="101" t="str" cm="1">
        <f t="array" aca="1" ref="F30" ca="1">INDEX(auto_tblSeries,$D30,F$18)</f>
        <v>#,##0</v>
      </c>
      <c r="G30" s="101" cm="1">
        <f t="array" aca="1" ref="G30" ca="1">INDEX(auto_tblSeries,$D30,G$18)</f>
        <v>1</v>
      </c>
      <c r="H30" s="101" cm="1">
        <f t="array" aca="1" ref="H30" ca="1">INDEX(sys_DataFlat_LU_Grid,$D30,1)-1</f>
        <v>600</v>
      </c>
      <c r="I30" s="26"/>
      <c r="J30" s="151" t="str" cm="1">
        <f t="array" aca="1" ref="J30" ca="1">INDEX(auto_Series_NameNumbered,$D30)</f>
        <v>1.3b) Total unemployment: city-level data availability</v>
      </c>
      <c r="K30" s="152" t="str" cm="1">
        <f t="array" aca="1" ref="K30" ca="1">IF($G30=0,"",INDEX(auto_tblSeries,$D30,K$18))</f>
        <v>Rating 0-1</v>
      </c>
      <c r="L30" s="154" cm="1">
        <f t="array" aca="1" ref="L30" ca="1">IF($G30=0,"",INDEX(auto_DataFlat_DataValue,$H30+L$18))</f>
        <v>1</v>
      </c>
      <c r="M30" s="154" cm="1">
        <f t="array" aca="1" ref="M30" ca="1">IF($G30=0,"",INDEX(auto_DataFlat_DataValue,$H30+M$18))</f>
        <v>1</v>
      </c>
      <c r="N30" s="154" cm="1">
        <f t="array" aca="1" ref="N30" ca="1">IF($G30=0,"",INDEX(auto_DataFlat_DataValue,$H30+N$18))</f>
        <v>1</v>
      </c>
      <c r="O30" s="154" cm="1">
        <f t="array" aca="1" ref="O30" ca="1">IF($G30=0,"",INDEX(auto_DataFlat_DataValue,$H30+O$18))</f>
        <v>1</v>
      </c>
      <c r="P30" s="154" cm="1">
        <f t="array" aca="1" ref="P30" ca="1">IF($G30=0,"",INDEX(auto_DataFlat_DataValue,$H30+P$18))</f>
        <v>0</v>
      </c>
      <c r="Q30" s="154" cm="1">
        <f t="array" aca="1" ref="Q30" ca="1">IF($G30=0,"",INDEX(auto_DataFlat_DataValue,$H30+Q$18))</f>
        <v>1</v>
      </c>
      <c r="R30" s="154" cm="1">
        <f t="array" aca="1" ref="R30" ca="1">IF($G30=0,"",INDEX(auto_DataFlat_DataValue,$H30+R$18))</f>
        <v>1</v>
      </c>
      <c r="S30" s="154" cm="1">
        <f t="array" aca="1" ref="S30" ca="1">IF($G30=0,"",INDEX(auto_DataFlat_DataValue,$H30+S$18))</f>
        <v>1</v>
      </c>
      <c r="T30" s="154" cm="1">
        <f t="array" aca="1" ref="T30" ca="1">IF($G30=0,"",INDEX(auto_DataFlat_DataValue,$H30+T$18))</f>
        <v>1</v>
      </c>
      <c r="U30" s="154" cm="1">
        <f t="array" aca="1" ref="U30" ca="1">IF($G30=0,"",INDEX(auto_DataFlat_DataValue,$H30+U$18))</f>
        <v>0</v>
      </c>
      <c r="V30" s="154" cm="1">
        <f t="array" aca="1" ref="V30" ca="1">IF($G30=0,"",INDEX(auto_DataFlat_DataValue,$H30+V$18))</f>
        <v>0</v>
      </c>
      <c r="W30" s="154" cm="1">
        <f t="array" aca="1" ref="W30" ca="1">IF($G30=0,"",INDEX(auto_DataFlat_DataValue,$H30+W$18))</f>
        <v>0</v>
      </c>
      <c r="X30" s="154" cm="1">
        <f t="array" aca="1" ref="X30" ca="1">IF($G30=0,"",INDEX(auto_DataFlat_DataValue,$H30+X$18))</f>
        <v>0</v>
      </c>
      <c r="Y30" s="154" cm="1">
        <f t="array" aca="1" ref="Y30" ca="1">IF($G30=0,"",INDEX(auto_DataFlat_DataValue,$H30+Y$18))</f>
        <v>1</v>
      </c>
      <c r="Z30" s="154" cm="1">
        <f t="array" aca="1" ref="Z30" ca="1">IF($G30=0,"",INDEX(auto_DataFlat_DataValue,$H30+Z$18))</f>
        <v>1</v>
      </c>
      <c r="AA30" s="154" cm="1">
        <f t="array" aca="1" ref="AA30" ca="1">IF($G30=0,"",INDEX(auto_DataFlat_DataValue,$H30+AA$18))</f>
        <v>1</v>
      </c>
      <c r="AB30" s="154" cm="1">
        <f t="array" aca="1" ref="AB30" ca="1">IF($G30=0,"",INDEX(auto_DataFlat_DataValue,$H30+AB$18))</f>
        <v>1</v>
      </c>
      <c r="AC30" s="154" cm="1">
        <f t="array" aca="1" ref="AC30" ca="1">IF($G30=0,"",INDEX(auto_DataFlat_DataValue,$H30+AC$18))</f>
        <v>1</v>
      </c>
      <c r="AD30" s="154" cm="1">
        <f t="array" aca="1" ref="AD30" ca="1">IF($G30=0,"",INDEX(auto_DataFlat_DataValue,$H30+AD$18))</f>
        <v>1</v>
      </c>
      <c r="AE30" s="154" cm="1">
        <f t="array" aca="1" ref="AE30" ca="1">IF($G30=0,"",INDEX(auto_DataFlat_DataValue,$H30+AE$18))</f>
        <v>1</v>
      </c>
      <c r="AF30" s="154" cm="1">
        <f t="array" aca="1" ref="AF30" ca="1">IF($G30=0,"",INDEX(auto_DataFlat_DataValue,$H30+AF$18))</f>
        <v>1</v>
      </c>
      <c r="AG30" s="154" cm="1">
        <f t="array" aca="1" ref="AG30" ca="1">IF($G30=0,"",INDEX(auto_DataFlat_DataValue,$H30+AG$18))</f>
        <v>0</v>
      </c>
      <c r="AH30" s="154" cm="1">
        <f t="array" aca="1" ref="AH30" ca="1">IF($G30=0,"",INDEX(auto_DataFlat_DataValue,$H30+AH$18))</f>
        <v>0</v>
      </c>
      <c r="AI30" s="154" cm="1">
        <f t="array" aca="1" ref="AI30" ca="1">IF($G30=0,"",INDEX(auto_DataFlat_DataValue,$H30+AI$18))</f>
        <v>0</v>
      </c>
      <c r="AJ30" s="154" cm="1">
        <f t="array" aca="1" ref="AJ30" ca="1">IF($G30=0,"",INDEX(auto_DataFlat_DataValue,$H30+AJ$18))</f>
        <v>1</v>
      </c>
      <c r="AK30" s="154" cm="1">
        <f t="array" aca="1" ref="AK30" ca="1">IF($G30=0,"",INDEX(auto_DataFlat_DataValue,$H30+AK$18))</f>
        <v>1</v>
      </c>
      <c r="AL30" s="154" cm="1">
        <f t="array" aca="1" ref="AL30" ca="1">IF($G30=0,"",INDEX(auto_DataFlat_DataValue,$H30+AL$18))</f>
        <v>1</v>
      </c>
      <c r="AM30" s="154" cm="1">
        <f t="array" aca="1" ref="AM30" ca="1">IF($G30=0,"",INDEX(auto_DataFlat_DataValue,$H30+AM$18))</f>
        <v>0</v>
      </c>
      <c r="AN30" s="154" cm="1">
        <f t="array" aca="1" ref="AN30" ca="1">IF($G30=0,"",INDEX(auto_DataFlat_DataValue,$H30+AN$18))</f>
        <v>1</v>
      </c>
      <c r="AO30" s="154" cm="1">
        <f t="array" aca="1" ref="AO30" ca="1">IF($G30=0,"",INDEX(auto_DataFlat_DataValue,$H30+AO$18))</f>
        <v>1</v>
      </c>
      <c r="AP30" s="154" cm="1">
        <f t="array" aca="1" ref="AP30" ca="1">IF($G30=0,"",INDEX(auto_DataFlat_DataValue,$H30+AP$18))</f>
        <v>1</v>
      </c>
      <c r="AQ30" s="154" cm="1">
        <f t="array" aca="1" ref="AQ30" ca="1">IF($G30=0,"",INDEX(auto_DataFlat_DataValue,$H30+AQ$18))</f>
        <v>0</v>
      </c>
      <c r="AR30" s="154" cm="1">
        <f t="array" aca="1" ref="AR30" ca="1">IF($G30=0,"",INDEX(auto_DataFlat_DataValue,$H30+AR$18))</f>
        <v>0</v>
      </c>
      <c r="AS30" s="154" cm="1">
        <f t="array" aca="1" ref="AS30" ca="1">IF($G30=0,"",INDEX(auto_DataFlat_DataValue,$H30+AS$18))</f>
        <v>1</v>
      </c>
      <c r="AT30" s="154" cm="1">
        <f t="array" aca="1" ref="AT30" ca="1">IF($G30=0,"",INDEX(auto_DataFlat_DataValue,$H30+AT$18))</f>
        <v>1</v>
      </c>
      <c r="AU30" s="154" cm="1">
        <f t="array" aca="1" ref="AU30" ca="1">IF($G30=0,"",INDEX(auto_DataFlat_DataValue,$H30+AU$18))</f>
        <v>1</v>
      </c>
      <c r="AV30" s="154" cm="1">
        <f t="array" aca="1" ref="AV30" ca="1">IF($G30=0,"",INDEX(auto_DataFlat_DataValue,$H30+AV$18))</f>
        <v>1</v>
      </c>
      <c r="AW30" s="154" cm="1">
        <f t="array" aca="1" ref="AW30" ca="1">IF($G30=0,"",INDEX(auto_DataFlat_DataValue,$H30+AW$18))</f>
        <v>1</v>
      </c>
      <c r="AX30" s="154" cm="1">
        <f t="array" aca="1" ref="AX30" ca="1">IF($G30=0,"",INDEX(auto_DataFlat_DataValue,$H30+AX$18))</f>
        <v>1</v>
      </c>
      <c r="AY30" s="154" cm="1">
        <f t="array" aca="1" ref="AY30" ca="1">IF($G30=0,"",INDEX(auto_DataFlat_DataValue,$H30+AY$18))</f>
        <v>1</v>
      </c>
      <c r="AZ30" s="154" cm="1">
        <f t="array" aca="1" ref="AZ30" ca="1">IF($G30=0,"",INDEX(auto_DataFlat_DataValue,$H30+AZ$18))</f>
        <v>1</v>
      </c>
      <c r="BA30" s="154" cm="1">
        <f t="array" aca="1" ref="BA30" ca="1">IF($G30=0,"",INDEX(auto_DataFlat_DataValue,$H30+BA$18))</f>
        <v>1</v>
      </c>
      <c r="BB30" s="154" cm="1">
        <f t="array" aca="1" ref="BB30" ca="1">IF($G30=0,"",INDEX(auto_DataFlat_DataValue,$H30+BB$18))</f>
        <v>1</v>
      </c>
      <c r="BC30" s="154" cm="1">
        <f t="array" aca="1" ref="BC30" ca="1">IF($G30=0,"",INDEX(auto_DataFlat_DataValue,$H30+BC$18))</f>
        <v>1</v>
      </c>
      <c r="BD30" s="154" cm="1">
        <f t="array" aca="1" ref="BD30" ca="1">IF($G30=0,"",INDEX(auto_DataFlat_DataValue,$H30+BD$18))</f>
        <v>1</v>
      </c>
      <c r="BE30" s="154" cm="1">
        <f t="array" aca="1" ref="BE30" ca="1">IF($G30=0,"",INDEX(auto_DataFlat_DataValue,$H30+BE$18))</f>
        <v>1</v>
      </c>
      <c r="BF30" s="154" cm="1">
        <f t="array" aca="1" ref="BF30" ca="1">IF($G30=0,"",INDEX(auto_DataFlat_DataValue,$H30+BF$18))</f>
        <v>1</v>
      </c>
      <c r="BG30" s="154" cm="1">
        <f t="array" aca="1" ref="BG30" ca="1">IF($G30=0,"",INDEX(auto_DataFlat_DataValue,$H30+BG$18))</f>
        <v>1</v>
      </c>
      <c r="BH30" s="154" cm="1">
        <f t="array" aca="1" ref="BH30" ca="1">IF($G30=0,"",INDEX(auto_DataFlat_DataValue,$H30+BH$18))</f>
        <v>1</v>
      </c>
      <c r="BI30" s="154" cm="1">
        <f t="array" aca="1" ref="BI30" ca="1">IF($G30=0,"",INDEX(auto_DataFlat_DataValue,$H30+BI$18))</f>
        <v>0</v>
      </c>
    </row>
    <row r="31" spans="1:61" ht="17.05" customHeight="1" x14ac:dyDescent="0.4">
      <c r="A31" t="str">
        <f t="shared" si="3"/>
        <v/>
      </c>
      <c r="B31" s="42" t="str">
        <f t="shared" ca="1" si="1"/>
        <v/>
      </c>
      <c r="C31" s="100">
        <v>12</v>
      </c>
      <c r="D31" s="49" cm="1">
        <f t="array" aca="1" ref="D31" ca="1">INDEX(OFFSET(auto_ss_data_table,0,1,500,1),C31)</f>
        <v>12</v>
      </c>
      <c r="E31" s="101" cm="1">
        <f t="array" aca="1" ref="E31" ca="1">INDEX(auto_tblSeries,$D31,E$18)</f>
        <v>2</v>
      </c>
      <c r="F31" s="101" t="str" cm="1">
        <f t="array" aca="1" ref="F31" ca="1">INDEX(auto_tblSeries,$D31,F$18)</f>
        <v>#,0.00</v>
      </c>
      <c r="G31" s="101" cm="1">
        <f t="array" aca="1" ref="G31" ca="1">INDEX(auto_tblSeries,$D31,G$18)</f>
        <v>1</v>
      </c>
      <c r="H31" s="101" cm="1">
        <f t="array" aca="1" ref="H31" ca="1">INDEX(sys_DataFlat_LU_Grid,$D31,1)-1</f>
        <v>660</v>
      </c>
      <c r="I31" s="26"/>
      <c r="J31" s="151" t="str" cm="1">
        <f t="array" aca="1" ref="J31" ca="1">INDEX(auto_Series_NameNumbered,$D31)</f>
        <v>1.4) Access to healthcare</v>
      </c>
      <c r="K31" s="152" t="str" cm="1">
        <f t="array" aca="1" ref="K31" ca="1">IF($G31=0,"",INDEX(auto_tblSeries,$D31,K$18))</f>
        <v>Index score 0-100</v>
      </c>
      <c r="L31" s="155" cm="1">
        <f t="array" aca="1" ref="L31" ca="1">IF($G31=0,"",INDEX(auto_DataFlat_DataValue,$H31+L$18))</f>
        <v>52.49</v>
      </c>
      <c r="M31" s="155" cm="1">
        <f t="array" aca="1" ref="M31" ca="1">IF($G31=0,"",INDEX(auto_DataFlat_DataValue,$H31+M$18))</f>
        <v>60.71</v>
      </c>
      <c r="N31" s="155" cm="1">
        <f t="array" aca="1" ref="N31" ca="1">IF($G31=0,"",INDEX(auto_DataFlat_DataValue,$H31+N$18))</f>
        <v>69.709999999999994</v>
      </c>
      <c r="O31" s="155" cm="1">
        <f t="array" aca="1" ref="O31" ca="1">IF($G31=0,"",INDEX(auto_DataFlat_DataValue,$H31+O$18))</f>
        <v>70.319999999999993</v>
      </c>
      <c r="P31" s="155" cm="1">
        <f t="array" aca="1" ref="P31" ca="1">IF($G31=0,"",INDEX(auto_DataFlat_DataValue,$H31+P$18))</f>
        <v>67.23</v>
      </c>
      <c r="Q31" s="155" cm="1">
        <f t="array" aca="1" ref="Q31" ca="1">IF($G31=0,"",INDEX(auto_DataFlat_DataValue,$H31+Q$18))</f>
        <v>56.26</v>
      </c>
      <c r="R31" s="155" cm="1">
        <f t="array" aca="1" ref="R31" ca="1">IF($G31=0,"",INDEX(auto_DataFlat_DataValue,$H31+R$18))</f>
        <v>73.459999999999994</v>
      </c>
      <c r="S31" s="155" cm="1">
        <f t="array" aca="1" ref="S31" ca="1">IF($G31=0,"",INDEX(auto_DataFlat_DataValue,$H31+S$18))</f>
        <v>75.760000000000005</v>
      </c>
      <c r="T31" s="155" cm="1">
        <f t="array" aca="1" ref="T31" ca="1">IF($G31=0,"",INDEX(auto_DataFlat_DataValue,$H31+T$18))</f>
        <v>63.92</v>
      </c>
      <c r="U31" s="155" cm="1">
        <f t="array" aca="1" ref="U31" ca="1">IF($G31=0,"",INDEX(auto_DataFlat_DataValue,$H31+U$18))</f>
        <v>62.37</v>
      </c>
      <c r="V31" s="155" cm="1">
        <f t="array" aca="1" ref="V31" ca="1">IF($G31=0,"",INDEX(auto_DataFlat_DataValue,$H31+V$18))</f>
        <v>59.68</v>
      </c>
      <c r="W31" s="155" cm="1">
        <f t="array" aca="1" ref="W31" ca="1">IF($G31=0,"",INDEX(auto_DataFlat_DataValue,$H31+W$18))</f>
        <v>53.78</v>
      </c>
      <c r="X31" s="155" cm="1">
        <f t="array" aca="1" ref="X31" ca="1">IF($G31=0,"",INDEX(auto_DataFlat_DataValue,$H31+X$18))</f>
        <v>51.08</v>
      </c>
      <c r="Y31" s="155" cm="1">
        <f t="array" aca="1" ref="Y31" ca="1">IF($G31=0,"",INDEX(auto_DataFlat_DataValue,$H31+Y$18))</f>
        <v>60.63</v>
      </c>
      <c r="Z31" s="155" cm="1">
        <f t="array" aca="1" ref="Z31" ca="1">IF($G31=0,"",INDEX(auto_DataFlat_DataValue,$H31+Z$18))</f>
        <v>67.02</v>
      </c>
      <c r="AA31" s="155" cm="1">
        <f t="array" aca="1" ref="AA31" ca="1">IF($G31=0,"",INDEX(auto_DataFlat_DataValue,$H31+AA$18))</f>
        <v>57.6</v>
      </c>
      <c r="AB31" s="155" cm="1">
        <f t="array" aca="1" ref="AB31" ca="1">IF($G31=0,"",INDEX(auto_DataFlat_DataValue,$H31+AB$18))</f>
        <v>69</v>
      </c>
      <c r="AC31" s="155" cm="1">
        <f t="array" aca="1" ref="AC31" ca="1">IF($G31=0,"",INDEX(auto_DataFlat_DataValue,$H31+AC$18))</f>
        <v>65.959999999999994</v>
      </c>
      <c r="AD31" s="155" cm="1">
        <f t="array" aca="1" ref="AD31" ca="1">IF($G31=0,"",INDEX(auto_DataFlat_DataValue,$H31+AD$18))</f>
        <v>44.07</v>
      </c>
      <c r="AE31" s="155" cm="1">
        <f t="array" aca="1" ref="AE31" ca="1">IF($G31=0,"",INDEX(auto_DataFlat_DataValue,$H31+AE$18))</f>
        <v>60.66</v>
      </c>
      <c r="AF31" s="155" cm="1">
        <f t="array" aca="1" ref="AF31" ca="1">IF($G31=0,"",INDEX(auto_DataFlat_DataValue,$H31+AF$18))</f>
        <v>55.09</v>
      </c>
      <c r="AG31" s="155" cm="1">
        <f t="array" aca="1" ref="AG31" ca="1">IF($G31=0,"",INDEX(auto_DataFlat_DataValue,$H31+AG$18))</f>
        <v>46.38</v>
      </c>
      <c r="AH31" s="155" cm="1">
        <f t="array" aca="1" ref="AH31" ca="1">IF($G31=0,"",INDEX(auto_DataFlat_DataValue,$H31+AH$18))</f>
        <v>53.78</v>
      </c>
      <c r="AI31" s="155" cm="1">
        <f t="array" aca="1" ref="AI31" ca="1">IF($G31=0,"",INDEX(auto_DataFlat_DataValue,$H31+AI$18))</f>
        <v>60.4</v>
      </c>
      <c r="AJ31" s="155" cm="1">
        <f t="array" aca="1" ref="AJ31" ca="1">IF($G31=0,"",INDEX(auto_DataFlat_DataValue,$H31+AJ$18))</f>
        <v>62.66</v>
      </c>
      <c r="AK31" s="155" cm="1">
        <f t="array" aca="1" ref="AK31" ca="1">IF($G31=0,"",INDEX(auto_DataFlat_DataValue,$H31+AK$18))</f>
        <v>68.2</v>
      </c>
      <c r="AL31" s="155" cm="1">
        <f t="array" aca="1" ref="AL31" ca="1">IF($G31=0,"",INDEX(auto_DataFlat_DataValue,$H31+AL$18))</f>
        <v>68.349999999999994</v>
      </c>
      <c r="AM31" s="155" cm="1">
        <f t="array" aca="1" ref="AM31" ca="1">IF($G31=0,"",INDEX(auto_DataFlat_DataValue,$H31+AM$18))</f>
        <v>62.05</v>
      </c>
      <c r="AN31" s="155" cm="1">
        <f t="array" aca="1" ref="AN31" ca="1">IF($G31=0,"",INDEX(auto_DataFlat_DataValue,$H31+AN$18))</f>
        <v>71.87</v>
      </c>
      <c r="AO31" s="155" cm="1">
        <f t="array" aca="1" ref="AO31" ca="1">IF($G31=0,"",INDEX(auto_DataFlat_DataValue,$H31+AO$18))</f>
        <v>67.430000000000007</v>
      </c>
      <c r="AP31" s="155" cm="1">
        <f t="array" aca="1" ref="AP31" ca="1">IF($G31=0,"",INDEX(auto_DataFlat_DataValue,$H31+AP$18))</f>
        <v>62.48</v>
      </c>
      <c r="AQ31" s="155" cm="1">
        <f t="array" aca="1" ref="AQ31" ca="1">IF($G31=0,"",INDEX(auto_DataFlat_DataValue,$H31+AQ$18))</f>
        <v>53.78</v>
      </c>
      <c r="AR31" s="155" cm="1">
        <f t="array" aca="1" ref="AR31" ca="1">IF($G31=0,"",INDEX(auto_DataFlat_DataValue,$H31+AR$18))</f>
        <v>50.91</v>
      </c>
      <c r="AS31" s="155" cm="1">
        <f t="array" aca="1" ref="AS31" ca="1">IF($G31=0,"",INDEX(auto_DataFlat_DataValue,$H31+AS$18))</f>
        <v>69.709999999999994</v>
      </c>
      <c r="AT31" s="155" cm="1">
        <f t="array" aca="1" ref="AT31" ca="1">IF($G31=0,"",INDEX(auto_DataFlat_DataValue,$H31+AT$18))</f>
        <v>68.739999999999995</v>
      </c>
      <c r="AU31" s="155" cm="1">
        <f t="array" aca="1" ref="AU31" ca="1">IF($G31=0,"",INDEX(auto_DataFlat_DataValue,$H31+AU$18))</f>
        <v>64.91</v>
      </c>
      <c r="AV31" s="155" cm="1">
        <f t="array" aca="1" ref="AV31" ca="1">IF($G31=0,"",INDEX(auto_DataFlat_DataValue,$H31+AV$18))</f>
        <v>63.58</v>
      </c>
      <c r="AW31" s="155" cm="1">
        <f t="array" aca="1" ref="AW31" ca="1">IF($G31=0,"",INDEX(auto_DataFlat_DataValue,$H31+AW$18))</f>
        <v>48.63</v>
      </c>
      <c r="AX31" s="155" cm="1">
        <f t="array" aca="1" ref="AX31" ca="1">IF($G31=0,"",INDEX(auto_DataFlat_DataValue,$H31+AX$18))</f>
        <v>70.87</v>
      </c>
      <c r="AY31" s="155" cm="1">
        <f t="array" aca="1" ref="AY31" ca="1">IF($G31=0,"",INDEX(auto_DataFlat_DataValue,$H31+AY$18))</f>
        <v>69.709999999999994</v>
      </c>
      <c r="AZ31" s="155" cm="1">
        <f t="array" aca="1" ref="AZ31" ca="1">IF($G31=0,"",INDEX(auto_DataFlat_DataValue,$H31+AZ$18))</f>
        <v>75.900000000000006</v>
      </c>
      <c r="BA31" s="155" cm="1">
        <f t="array" aca="1" ref="BA31" ca="1">IF($G31=0,"",INDEX(auto_DataFlat_DataValue,$H31+BA$18))</f>
        <v>76</v>
      </c>
      <c r="BB31" s="155" cm="1">
        <f t="array" aca="1" ref="BB31" ca="1">IF($G31=0,"",INDEX(auto_DataFlat_DataValue,$H31+BB$18))</f>
        <v>56.26</v>
      </c>
      <c r="BC31" s="155" cm="1">
        <f t="array" aca="1" ref="BC31" ca="1">IF($G31=0,"",INDEX(auto_DataFlat_DataValue,$H31+BC$18))</f>
        <v>77.37</v>
      </c>
      <c r="BD31" s="155" cm="1">
        <f t="array" aca="1" ref="BD31" ca="1">IF($G31=0,"",INDEX(auto_DataFlat_DataValue,$H31+BD$18))</f>
        <v>71.87</v>
      </c>
      <c r="BE31" s="155" cm="1">
        <f t="array" aca="1" ref="BE31" ca="1">IF($G31=0,"",INDEX(auto_DataFlat_DataValue,$H31+BE$18))</f>
        <v>68.739999999999995</v>
      </c>
      <c r="BF31" s="155" cm="1">
        <f t="array" aca="1" ref="BF31" ca="1">IF($G31=0,"",INDEX(auto_DataFlat_DataValue,$H31+BF$18))</f>
        <v>84.06</v>
      </c>
      <c r="BG31" s="155" cm="1">
        <f t="array" aca="1" ref="BG31" ca="1">IF($G31=0,"",INDEX(auto_DataFlat_DataValue,$H31+BG$18))</f>
        <v>68.819999999999993</v>
      </c>
      <c r="BH31" s="155" cm="1">
        <f t="array" aca="1" ref="BH31" ca="1">IF($G31=0,"",INDEX(auto_DataFlat_DataValue,$H31+BH$18))</f>
        <v>56.26</v>
      </c>
      <c r="BI31" s="155" cm="1">
        <f t="array" aca="1" ref="BI31" ca="1">IF($G31=0,"",INDEX(auto_DataFlat_DataValue,$H31+BI$18))</f>
        <v>50.3</v>
      </c>
    </row>
    <row r="32" spans="1:61" ht="17.05" customHeight="1" x14ac:dyDescent="0.4">
      <c r="A32" t="str">
        <f t="shared" si="3"/>
        <v/>
      </c>
      <c r="B32" s="42" t="str">
        <f t="shared" ca="1" si="1"/>
        <v/>
      </c>
      <c r="C32" s="100">
        <v>13</v>
      </c>
      <c r="D32" s="49" cm="1">
        <f t="array" aca="1" ref="D32" ca="1">INDEX(OFFSET(auto_ss_data_table,0,1,500,1),C32)</f>
        <v>13</v>
      </c>
      <c r="E32" s="101" cm="1">
        <f t="array" aca="1" ref="E32" ca="1">INDEX(auto_tblSeries,$D32,E$18)</f>
        <v>2</v>
      </c>
      <c r="F32" s="101" t="str" cm="1">
        <f t="array" aca="1" ref="F32" ca="1">INDEX(auto_tblSeries,$D32,F$18)</f>
        <v>#,0.00</v>
      </c>
      <c r="G32" s="101" cm="1">
        <f t="array" aca="1" ref="G32" ca="1">INDEX(auto_tblSeries,$D32,G$18)</f>
        <v>1</v>
      </c>
      <c r="H32" s="101" cm="1">
        <f t="array" aca="1" ref="H32" ca="1">INDEX(sys_DataFlat_LU_Grid,$D32,1)-1</f>
        <v>720</v>
      </c>
      <c r="I32" s="26"/>
      <c r="J32" s="151" t="str" cm="1">
        <f t="array" aca="1" ref="J32" ca="1">INDEX(auto_Series_NameNumbered,$D32)</f>
        <v>1.5) Household health expenditure</v>
      </c>
      <c r="K32" s="152" t="str" cm="1">
        <f t="array" aca="1" ref="K32" ca="1">IF($G32=0,"",INDEX(auto_tblSeries,$D32,K$18))</f>
        <v>%</v>
      </c>
      <c r="L32" s="155" cm="1">
        <f t="array" aca="1" ref="L32" ca="1">IF($G32=0,"",INDEX(auto_DataFlat_DataValue,$H32+L$18))</f>
        <v>0.56999999999999995</v>
      </c>
      <c r="M32" s="155" cm="1">
        <f t="array" aca="1" ref="M32" ca="1">IF($G32=0,"",INDEX(auto_DataFlat_DataValue,$H32+M$18))</f>
        <v>2.74</v>
      </c>
      <c r="N32" s="155" cm="1">
        <f t="array" aca="1" ref="N32" ca="1">IF($G32=0,"",INDEX(auto_DataFlat_DataValue,$H32+N$18))</f>
        <v>0.89</v>
      </c>
      <c r="O32" s="155" cm="1">
        <f t="array" aca="1" ref="O32" ca="1">IF($G32=0,"",INDEX(auto_DataFlat_DataValue,$H32+O$18))</f>
        <v>1.06</v>
      </c>
      <c r="P32" s="155" cm="1">
        <f t="array" aca="1" ref="P32" ca="1">IF($G32=0,"",INDEX(auto_DataFlat_DataValue,$H32+P$18))</f>
        <v>0.33</v>
      </c>
      <c r="Q32" s="155" cm="1">
        <f t="array" aca="1" ref="Q32" ca="1">IF($G32=0,"",INDEX(auto_DataFlat_DataValue,$H32+Q$18))</f>
        <v>6.94</v>
      </c>
      <c r="R32" s="155" cm="1">
        <f t="array" aca="1" ref="R32" ca="1">IF($G32=0,"",INDEX(auto_DataFlat_DataValue,$H32+R$18))</f>
        <v>0.1</v>
      </c>
      <c r="S32" s="155" cm="1">
        <f t="array" aca="1" ref="S32" ca="1">IF($G32=0,"",INDEX(auto_DataFlat_DataValue,$H32+S$18))</f>
        <v>2.23</v>
      </c>
      <c r="T32" s="155" cm="1">
        <f t="array" aca="1" ref="T32" ca="1">IF($G32=0,"",INDEX(auto_DataFlat_DataValue,$H32+T$18))</f>
        <v>0.91</v>
      </c>
      <c r="U32" s="155" cm="1">
        <f t="array" aca="1" ref="U32" ca="1">IF($G32=0,"",INDEX(auto_DataFlat_DataValue,$H32+U$18))</f>
        <v>6.1</v>
      </c>
      <c r="V32" s="155" cm="1">
        <f t="array" aca="1" ref="V32" ca="1">IF($G32=0,"",INDEX(auto_DataFlat_DataValue,$H32+V$18))</f>
        <v>0.9</v>
      </c>
      <c r="W32" s="155" cm="1">
        <f t="array" aca="1" ref="W32" ca="1">IF($G32=0,"",INDEX(auto_DataFlat_DataValue,$H32+W$18))</f>
        <v>6.67</v>
      </c>
      <c r="X32" s="155" cm="1">
        <f t="array" aca="1" ref="X32" ca="1">IF($G32=0,"",INDEX(auto_DataFlat_DataValue,$H32+X$18))</f>
        <v>8.4499999999999993</v>
      </c>
      <c r="Y32" s="155" cm="1">
        <f t="array" aca="1" ref="Y32" ca="1">IF($G32=0,"",INDEX(auto_DataFlat_DataValue,$H32+Y$18))</f>
        <v>1.06</v>
      </c>
      <c r="Z32" s="155" cm="1">
        <f t="array" aca="1" ref="Z32" ca="1">IF($G32=0,"",INDEX(auto_DataFlat_DataValue,$H32+Z$18))</f>
        <v>0.66</v>
      </c>
      <c r="AA32" s="155" cm="1">
        <f t="array" aca="1" ref="AA32" ca="1">IF($G32=0,"",INDEX(auto_DataFlat_DataValue,$H32+AA$18))</f>
        <v>1.73</v>
      </c>
      <c r="AB32" s="155" cm="1">
        <f t="array" aca="1" ref="AB32" ca="1">IF($G32=0,"",INDEX(auto_DataFlat_DataValue,$H32+AB$18))</f>
        <v>1.06</v>
      </c>
      <c r="AC32" s="155" cm="1">
        <f t="array" aca="1" ref="AC32" ca="1">IF($G32=0,"",INDEX(auto_DataFlat_DataValue,$H32+AC$18))</f>
        <v>0.67</v>
      </c>
      <c r="AD32" s="155" cm="1">
        <f t="array" aca="1" ref="AD32" ca="1">IF($G32=0,"",INDEX(auto_DataFlat_DataValue,$H32+AD$18))</f>
        <v>0.35</v>
      </c>
      <c r="AE32" s="155" cm="1">
        <f t="array" aca="1" ref="AE32" ca="1">IF($G32=0,"",INDEX(auto_DataFlat_DataValue,$H32+AE$18))</f>
        <v>0.12</v>
      </c>
      <c r="AF32" s="155" cm="1">
        <f t="array" aca="1" ref="AF32" ca="1">IF($G32=0,"",INDEX(auto_DataFlat_DataValue,$H32+AF$18))</f>
        <v>1.02</v>
      </c>
      <c r="AG32" s="155" cm="1">
        <f t="array" aca="1" ref="AG32" ca="1">IF($G32=0,"",INDEX(auto_DataFlat_DataValue,$H32+AG$18))</f>
        <v>2.1</v>
      </c>
      <c r="AH32" s="155" cm="1">
        <f t="array" aca="1" ref="AH32" ca="1">IF($G32=0,"",INDEX(auto_DataFlat_DataValue,$H32+AH$18))</f>
        <v>6.67</v>
      </c>
      <c r="AI32" s="155" cm="1">
        <f t="array" aca="1" ref="AI32" ca="1">IF($G32=0,"",INDEX(auto_DataFlat_DataValue,$H32+AI$18))</f>
        <v>1.06</v>
      </c>
      <c r="AJ32" s="155" cm="1">
        <f t="array" aca="1" ref="AJ32" ca="1">IF($G32=0,"",INDEX(auto_DataFlat_DataValue,$H32+AJ$18))</f>
        <v>4.09</v>
      </c>
      <c r="AK32" s="155" cm="1">
        <f t="array" aca="1" ref="AK32" ca="1">IF($G32=0,"",INDEX(auto_DataFlat_DataValue,$H32+AK$18))</f>
        <v>0.56000000000000005</v>
      </c>
      <c r="AL32" s="155" cm="1">
        <f t="array" aca="1" ref="AL32" ca="1">IF($G32=0,"",INDEX(auto_DataFlat_DataValue,$H32+AL$18))</f>
        <v>1.1200000000000001</v>
      </c>
      <c r="AM32" s="155" cm="1">
        <f t="array" aca="1" ref="AM32" ca="1">IF($G32=0,"",INDEX(auto_DataFlat_DataValue,$H32+AM$18))</f>
        <v>1.41</v>
      </c>
      <c r="AN32" s="155" cm="1">
        <f t="array" aca="1" ref="AN32" ca="1">IF($G32=0,"",INDEX(auto_DataFlat_DataValue,$H32+AN$18))</f>
        <v>0.4</v>
      </c>
      <c r="AO32" s="155" cm="1">
        <f t="array" aca="1" ref="AO32" ca="1">IF($G32=0,"",INDEX(auto_DataFlat_DataValue,$H32+AO$18))</f>
        <v>1.22</v>
      </c>
      <c r="AP32" s="155" cm="1">
        <f t="array" aca="1" ref="AP32" ca="1">IF($G32=0,"",INDEX(auto_DataFlat_DataValue,$H32+AP$18))</f>
        <v>0.9</v>
      </c>
      <c r="AQ32" s="155" cm="1">
        <f t="array" aca="1" ref="AQ32" ca="1">IF($G32=0,"",INDEX(auto_DataFlat_DataValue,$H32+AQ$18))</f>
        <v>6.67</v>
      </c>
      <c r="AR32" s="155" cm="1">
        <f t="array" aca="1" ref="AR32" ca="1">IF($G32=0,"",INDEX(auto_DataFlat_DataValue,$H32+AR$18))</f>
        <v>1.4</v>
      </c>
      <c r="AS32" s="155" cm="1">
        <f t="array" aca="1" ref="AS32" ca="1">IF($G32=0,"",INDEX(auto_DataFlat_DataValue,$H32+AS$18))</f>
        <v>0.89</v>
      </c>
      <c r="AT32" s="155" cm="1">
        <f t="array" aca="1" ref="AT32" ca="1">IF($G32=0,"",INDEX(auto_DataFlat_DataValue,$H32+AT$18))</f>
        <v>2</v>
      </c>
      <c r="AU32" s="155" cm="1">
        <f t="array" aca="1" ref="AU32" ca="1">IF($G32=0,"",INDEX(auto_DataFlat_DataValue,$H32+AU$18))</f>
        <v>1.06</v>
      </c>
      <c r="AV32" s="155" cm="1">
        <f t="array" aca="1" ref="AV32" ca="1">IF($G32=0,"",INDEX(auto_DataFlat_DataValue,$H32+AV$18))</f>
        <v>4.92</v>
      </c>
      <c r="AW32" s="155" cm="1">
        <f t="array" aca="1" ref="AW32" ca="1">IF($G32=0,"",INDEX(auto_DataFlat_DataValue,$H32+AW$18))</f>
        <v>0.57999999999999996</v>
      </c>
      <c r="AX32" s="155" cm="1">
        <f t="array" aca="1" ref="AX32" ca="1">IF($G32=0,"",INDEX(auto_DataFlat_DataValue,$H32+AX$18))</f>
        <v>1.08</v>
      </c>
      <c r="AY32" s="155" cm="1">
        <f t="array" aca="1" ref="AY32" ca="1">IF($G32=0,"",INDEX(auto_DataFlat_DataValue,$H32+AY$18))</f>
        <v>0.89</v>
      </c>
      <c r="AZ32" s="155" cm="1">
        <f t="array" aca="1" ref="AZ32" ca="1">IF($G32=0,"",INDEX(auto_DataFlat_DataValue,$H32+AZ$18))</f>
        <v>1.88</v>
      </c>
      <c r="BA32" s="155" cm="1">
        <f t="array" aca="1" ref="BA32" ca="1">IF($G32=0,"",INDEX(auto_DataFlat_DataValue,$H32+BA$18))</f>
        <v>2.87</v>
      </c>
      <c r="BB32" s="155" cm="1">
        <f t="array" aca="1" ref="BB32" ca="1">IF($G32=0,"",INDEX(auto_DataFlat_DataValue,$H32+BB$18))</f>
        <v>6.94</v>
      </c>
      <c r="BC32" s="155" cm="1">
        <f t="array" aca="1" ref="BC32" ca="1">IF($G32=0,"",INDEX(auto_DataFlat_DataValue,$H32+BC$18))</f>
        <v>1.47</v>
      </c>
      <c r="BD32" s="155" cm="1">
        <f t="array" aca="1" ref="BD32" ca="1">IF($G32=0,"",INDEX(auto_DataFlat_DataValue,$H32+BD$18))</f>
        <v>0.4</v>
      </c>
      <c r="BE32" s="155" cm="1">
        <f t="array" aca="1" ref="BE32" ca="1">IF($G32=0,"",INDEX(auto_DataFlat_DataValue,$H32+BE$18))</f>
        <v>2</v>
      </c>
      <c r="BF32" s="155" cm="1">
        <f t="array" aca="1" ref="BF32" ca="1">IF($G32=0,"",INDEX(auto_DataFlat_DataValue,$H32+BF$18))</f>
        <v>0.8</v>
      </c>
      <c r="BG32" s="155" cm="1">
        <f t="array" aca="1" ref="BG32" ca="1">IF($G32=0,"",INDEX(auto_DataFlat_DataValue,$H32+BG$18))</f>
        <v>0.5</v>
      </c>
      <c r="BH32" s="155" cm="1">
        <f t="array" aca="1" ref="BH32" ca="1">IF($G32=0,"",INDEX(auto_DataFlat_DataValue,$H32+BH$18))</f>
        <v>6.94</v>
      </c>
      <c r="BI32" s="155" cm="1">
        <f t="array" aca="1" ref="BI32" ca="1">IF($G32=0,"",INDEX(auto_DataFlat_DataValue,$H32+BI$18))</f>
        <v>3.47</v>
      </c>
    </row>
    <row r="33" spans="1:61" ht="17.05" customHeight="1" x14ac:dyDescent="0.4">
      <c r="A33" t="str">
        <f t="shared" si="3"/>
        <v/>
      </c>
      <c r="B33" s="42" t="str">
        <f t="shared" ca="1" si="1"/>
        <v>V</v>
      </c>
      <c r="C33" s="100">
        <v>14</v>
      </c>
      <c r="D33" s="49" cm="1">
        <f t="array" aca="1" ref="D33" ca="1">INDEX(OFFSET(auto_ss_data_table,0,1,500,1),C33)</f>
        <v>14</v>
      </c>
      <c r="E33" s="101" cm="1">
        <f t="array" aca="1" ref="E33" ca="1">INDEX(auto_tblSeries,$D33,E$18)</f>
        <v>1</v>
      </c>
      <c r="F33" s="101" t="str" cm="1">
        <f t="array" aca="1" ref="F33" ca="1">INDEX(auto_tblSeries,$D33,F$18)</f>
        <v>#,0.0</v>
      </c>
      <c r="G33" s="101" cm="1">
        <f t="array" aca="1" ref="G33" ca="1">INDEX(auto_tblSeries,$D33,G$18)</f>
        <v>0</v>
      </c>
      <c r="H33" s="101" cm="1">
        <f t="array" aca="1" ref="H33" ca="1">INDEX(sys_DataFlat_LU_Grid,$D33,1)-1</f>
        <v>780</v>
      </c>
      <c r="I33" s="26"/>
      <c r="J33" s="148" t="str" cm="1">
        <f t="array" aca="1" ref="J33" ca="1">INDEX(auto_Series_NameNumbered,$D33)</f>
        <v>2) PHYSICAL ENVIRONMENT</v>
      </c>
      <c r="K33" s="149" t="str" cm="1">
        <f t="array" aca="1" ref="K33" ca="1">IF($G33=0,"",INDEX(auto_tblSeries,$D33,K$18))</f>
        <v/>
      </c>
      <c r="L33" s="150" t="str" cm="1">
        <f t="array" aca="1" ref="L33" ca="1">IF($G33=0,"",INDEX(auto_DataFlat_DataValue,$H33+L$18))</f>
        <v/>
      </c>
      <c r="M33" s="150" t="str" cm="1">
        <f t="array" aca="1" ref="M33" ca="1">IF($G33=0,"",INDEX(auto_DataFlat_DataValue,$H33+M$18))</f>
        <v/>
      </c>
      <c r="N33" s="150" t="str" cm="1">
        <f t="array" aca="1" ref="N33" ca="1">IF($G33=0,"",INDEX(auto_DataFlat_DataValue,$H33+N$18))</f>
        <v/>
      </c>
      <c r="O33" s="150" t="str" cm="1">
        <f t="array" aca="1" ref="O33" ca="1">IF($G33=0,"",INDEX(auto_DataFlat_DataValue,$H33+O$18))</f>
        <v/>
      </c>
      <c r="P33" s="150" t="str" cm="1">
        <f t="array" aca="1" ref="P33" ca="1">IF($G33=0,"",INDEX(auto_DataFlat_DataValue,$H33+P$18))</f>
        <v/>
      </c>
      <c r="Q33" s="150" t="str" cm="1">
        <f t="array" aca="1" ref="Q33" ca="1">IF($G33=0,"",INDEX(auto_DataFlat_DataValue,$H33+Q$18))</f>
        <v/>
      </c>
      <c r="R33" s="150" t="str" cm="1">
        <f t="array" aca="1" ref="R33" ca="1">IF($G33=0,"",INDEX(auto_DataFlat_DataValue,$H33+R$18))</f>
        <v/>
      </c>
      <c r="S33" s="150" t="str" cm="1">
        <f t="array" aca="1" ref="S33" ca="1">IF($G33=0,"",INDEX(auto_DataFlat_DataValue,$H33+S$18))</f>
        <v/>
      </c>
      <c r="T33" s="150" t="str" cm="1">
        <f t="array" aca="1" ref="T33" ca="1">IF($G33=0,"",INDEX(auto_DataFlat_DataValue,$H33+T$18))</f>
        <v/>
      </c>
      <c r="U33" s="150" t="str" cm="1">
        <f t="array" aca="1" ref="U33" ca="1">IF($G33=0,"",INDEX(auto_DataFlat_DataValue,$H33+U$18))</f>
        <v/>
      </c>
      <c r="V33" s="150" t="str" cm="1">
        <f t="array" aca="1" ref="V33" ca="1">IF($G33=0,"",INDEX(auto_DataFlat_DataValue,$H33+V$18))</f>
        <v/>
      </c>
      <c r="W33" s="150" t="str" cm="1">
        <f t="array" aca="1" ref="W33" ca="1">IF($G33=0,"",INDEX(auto_DataFlat_DataValue,$H33+W$18))</f>
        <v/>
      </c>
      <c r="X33" s="150" t="str" cm="1">
        <f t="array" aca="1" ref="X33" ca="1">IF($G33=0,"",INDEX(auto_DataFlat_DataValue,$H33+X$18))</f>
        <v/>
      </c>
      <c r="Y33" s="150" t="str" cm="1">
        <f t="array" aca="1" ref="Y33" ca="1">IF($G33=0,"",INDEX(auto_DataFlat_DataValue,$H33+Y$18))</f>
        <v/>
      </c>
      <c r="Z33" s="150" t="str" cm="1">
        <f t="array" aca="1" ref="Z33" ca="1">IF($G33=0,"",INDEX(auto_DataFlat_DataValue,$H33+Z$18))</f>
        <v/>
      </c>
      <c r="AA33" s="150" t="str" cm="1">
        <f t="array" aca="1" ref="AA33" ca="1">IF($G33=0,"",INDEX(auto_DataFlat_DataValue,$H33+AA$18))</f>
        <v/>
      </c>
      <c r="AB33" s="150" t="str" cm="1">
        <f t="array" aca="1" ref="AB33" ca="1">IF($G33=0,"",INDEX(auto_DataFlat_DataValue,$H33+AB$18))</f>
        <v/>
      </c>
      <c r="AC33" s="150" t="str" cm="1">
        <f t="array" aca="1" ref="AC33" ca="1">IF($G33=0,"",INDEX(auto_DataFlat_DataValue,$H33+AC$18))</f>
        <v/>
      </c>
      <c r="AD33" s="150" t="str" cm="1">
        <f t="array" aca="1" ref="AD33" ca="1">IF($G33=0,"",INDEX(auto_DataFlat_DataValue,$H33+AD$18))</f>
        <v/>
      </c>
      <c r="AE33" s="150" t="str" cm="1">
        <f t="array" aca="1" ref="AE33" ca="1">IF($G33=0,"",INDEX(auto_DataFlat_DataValue,$H33+AE$18))</f>
        <v/>
      </c>
      <c r="AF33" s="150" t="str" cm="1">
        <f t="array" aca="1" ref="AF33" ca="1">IF($G33=0,"",INDEX(auto_DataFlat_DataValue,$H33+AF$18))</f>
        <v/>
      </c>
      <c r="AG33" s="150" t="str" cm="1">
        <f t="array" aca="1" ref="AG33" ca="1">IF($G33=0,"",INDEX(auto_DataFlat_DataValue,$H33+AG$18))</f>
        <v/>
      </c>
      <c r="AH33" s="150" t="str" cm="1">
        <f t="array" aca="1" ref="AH33" ca="1">IF($G33=0,"",INDEX(auto_DataFlat_DataValue,$H33+AH$18))</f>
        <v/>
      </c>
      <c r="AI33" s="150" t="str" cm="1">
        <f t="array" aca="1" ref="AI33" ca="1">IF($G33=0,"",INDEX(auto_DataFlat_DataValue,$H33+AI$18))</f>
        <v/>
      </c>
      <c r="AJ33" s="150" t="str" cm="1">
        <f t="array" aca="1" ref="AJ33" ca="1">IF($G33=0,"",INDEX(auto_DataFlat_DataValue,$H33+AJ$18))</f>
        <v/>
      </c>
      <c r="AK33" s="150" t="str" cm="1">
        <f t="array" aca="1" ref="AK33" ca="1">IF($G33=0,"",INDEX(auto_DataFlat_DataValue,$H33+AK$18))</f>
        <v/>
      </c>
      <c r="AL33" s="150" t="str" cm="1">
        <f t="array" aca="1" ref="AL33" ca="1">IF($G33=0,"",INDEX(auto_DataFlat_DataValue,$H33+AL$18))</f>
        <v/>
      </c>
      <c r="AM33" s="150" t="str" cm="1">
        <f t="array" aca="1" ref="AM33" ca="1">IF($G33=0,"",INDEX(auto_DataFlat_DataValue,$H33+AM$18))</f>
        <v/>
      </c>
      <c r="AN33" s="150" t="str" cm="1">
        <f t="array" aca="1" ref="AN33" ca="1">IF($G33=0,"",INDEX(auto_DataFlat_DataValue,$H33+AN$18))</f>
        <v/>
      </c>
      <c r="AO33" s="150" t="str" cm="1">
        <f t="array" aca="1" ref="AO33" ca="1">IF($G33=0,"",INDEX(auto_DataFlat_DataValue,$H33+AO$18))</f>
        <v/>
      </c>
      <c r="AP33" s="150" t="str" cm="1">
        <f t="array" aca="1" ref="AP33" ca="1">IF($G33=0,"",INDEX(auto_DataFlat_DataValue,$H33+AP$18))</f>
        <v/>
      </c>
      <c r="AQ33" s="150" t="str" cm="1">
        <f t="array" aca="1" ref="AQ33" ca="1">IF($G33=0,"",INDEX(auto_DataFlat_DataValue,$H33+AQ$18))</f>
        <v/>
      </c>
      <c r="AR33" s="150" t="str" cm="1">
        <f t="array" aca="1" ref="AR33" ca="1">IF($G33=0,"",INDEX(auto_DataFlat_DataValue,$H33+AR$18))</f>
        <v/>
      </c>
      <c r="AS33" s="150" t="str" cm="1">
        <f t="array" aca="1" ref="AS33" ca="1">IF($G33=0,"",INDEX(auto_DataFlat_DataValue,$H33+AS$18))</f>
        <v/>
      </c>
      <c r="AT33" s="150" t="str" cm="1">
        <f t="array" aca="1" ref="AT33" ca="1">IF($G33=0,"",INDEX(auto_DataFlat_DataValue,$H33+AT$18))</f>
        <v/>
      </c>
      <c r="AU33" s="150" t="str" cm="1">
        <f t="array" aca="1" ref="AU33" ca="1">IF($G33=0,"",INDEX(auto_DataFlat_DataValue,$H33+AU$18))</f>
        <v/>
      </c>
      <c r="AV33" s="150" t="str" cm="1">
        <f t="array" aca="1" ref="AV33" ca="1">IF($G33=0,"",INDEX(auto_DataFlat_DataValue,$H33+AV$18))</f>
        <v/>
      </c>
      <c r="AW33" s="150" t="str" cm="1">
        <f t="array" aca="1" ref="AW33" ca="1">IF($G33=0,"",INDEX(auto_DataFlat_DataValue,$H33+AW$18))</f>
        <v/>
      </c>
      <c r="AX33" s="150" t="str" cm="1">
        <f t="array" aca="1" ref="AX33" ca="1">IF($G33=0,"",INDEX(auto_DataFlat_DataValue,$H33+AX$18))</f>
        <v/>
      </c>
      <c r="AY33" s="150" t="str" cm="1">
        <f t="array" aca="1" ref="AY33" ca="1">IF($G33=0,"",INDEX(auto_DataFlat_DataValue,$H33+AY$18))</f>
        <v/>
      </c>
      <c r="AZ33" s="150" t="str" cm="1">
        <f t="array" aca="1" ref="AZ33" ca="1">IF($G33=0,"",INDEX(auto_DataFlat_DataValue,$H33+AZ$18))</f>
        <v/>
      </c>
      <c r="BA33" s="150" t="str" cm="1">
        <f t="array" aca="1" ref="BA33" ca="1">IF($G33=0,"",INDEX(auto_DataFlat_DataValue,$H33+BA$18))</f>
        <v/>
      </c>
      <c r="BB33" s="150" t="str" cm="1">
        <f t="array" aca="1" ref="BB33" ca="1">IF($G33=0,"",INDEX(auto_DataFlat_DataValue,$H33+BB$18))</f>
        <v/>
      </c>
      <c r="BC33" s="150" t="str" cm="1">
        <f t="array" aca="1" ref="BC33" ca="1">IF($G33=0,"",INDEX(auto_DataFlat_DataValue,$H33+BC$18))</f>
        <v/>
      </c>
      <c r="BD33" s="150" t="str" cm="1">
        <f t="array" aca="1" ref="BD33" ca="1">IF($G33=0,"",INDEX(auto_DataFlat_DataValue,$H33+BD$18))</f>
        <v/>
      </c>
      <c r="BE33" s="150" t="str" cm="1">
        <f t="array" aca="1" ref="BE33" ca="1">IF($G33=0,"",INDEX(auto_DataFlat_DataValue,$H33+BE$18))</f>
        <v/>
      </c>
      <c r="BF33" s="150" t="str" cm="1">
        <f t="array" aca="1" ref="BF33" ca="1">IF($G33=0,"",INDEX(auto_DataFlat_DataValue,$H33+BF$18))</f>
        <v/>
      </c>
      <c r="BG33" s="150" t="str" cm="1">
        <f t="array" aca="1" ref="BG33" ca="1">IF($G33=0,"",INDEX(auto_DataFlat_DataValue,$H33+BG$18))</f>
        <v/>
      </c>
      <c r="BH33" s="150" t="str" cm="1">
        <f t="array" aca="1" ref="BH33" ca="1">IF($G33=0,"",INDEX(auto_DataFlat_DataValue,$H33+BH$18))</f>
        <v/>
      </c>
      <c r="BI33" s="150" t="str" cm="1">
        <f t="array" aca="1" ref="BI33" ca="1">IF($G33=0,"",INDEX(auto_DataFlat_DataValue,$H33+BI$18))</f>
        <v/>
      </c>
    </row>
    <row r="34" spans="1:61" ht="17.05" customHeight="1" x14ac:dyDescent="0.4">
      <c r="A34" t="str">
        <f t="shared" si="3"/>
        <v/>
      </c>
      <c r="B34" s="42" t="str">
        <f t="shared" ca="1" si="1"/>
        <v/>
      </c>
      <c r="C34" s="100">
        <v>15</v>
      </c>
      <c r="D34" s="49" cm="1">
        <f t="array" aca="1" ref="D34" ca="1">INDEX(OFFSET(auto_ss_data_table,0,1,500,1),C34)</f>
        <v>15</v>
      </c>
      <c r="E34" s="101" cm="1">
        <f t="array" aca="1" ref="E34" ca="1">INDEX(auto_tblSeries,$D34,E$18)</f>
        <v>2</v>
      </c>
      <c r="F34" s="101" t="str" cm="1">
        <f t="array" aca="1" ref="F34" ca="1">INDEX(auto_tblSeries,$D34,F$18)</f>
        <v>#,0.0</v>
      </c>
      <c r="G34" s="101" cm="1">
        <f t="array" aca="1" ref="G34" ca="1">INDEX(auto_tblSeries,$D34,G$18)</f>
        <v>1</v>
      </c>
      <c r="H34" s="101" cm="1">
        <f t="array" aca="1" ref="H34" ca="1">INDEX(sys_DataFlat_LU_Grid,$D34,1)-1</f>
        <v>840</v>
      </c>
      <c r="I34" s="26"/>
      <c r="J34" s="151" t="str" cm="1">
        <f t="array" aca="1" ref="J34" ca="1">INDEX(auto_Series_NameNumbered,$D34)</f>
        <v>2.1) Air quality</v>
      </c>
      <c r="K34" s="152" t="str" cm="1">
        <f t="array" aca="1" ref="K34" ca="1">IF($G34=0,"",INDEX(auto_tblSeries,$D34,K$18))</f>
        <v>μg/m³</v>
      </c>
      <c r="L34" s="153" cm="1">
        <f t="array" aca="1" ref="L34" ca="1">IF($G34=0,"",INDEX(auto_DataFlat_DataValue,$H34+L$18))</f>
        <v>22.9</v>
      </c>
      <c r="M34" s="153" cm="1">
        <f t="array" aca="1" ref="M34" ca="1">IF($G34=0,"",INDEX(auto_DataFlat_DataValue,$H34+M$18))</f>
        <v>22.9</v>
      </c>
      <c r="N34" s="153" cm="1">
        <f t="array" aca="1" ref="N34" ca="1">IF($G34=0,"",INDEX(auto_DataFlat_DataValue,$H34+N$18))</f>
        <v>7.4</v>
      </c>
      <c r="O34" s="153" cm="1">
        <f t="array" aca="1" ref="O34" ca="1">IF($G34=0,"",INDEX(auto_DataFlat_DataValue,$H34+O$18))</f>
        <v>8.6999999999999993</v>
      </c>
      <c r="P34" s="153" cm="1">
        <f t="array" aca="1" ref="P34" ca="1">IF($G34=0,"",INDEX(auto_DataFlat_DataValue,$H34+P$18))</f>
        <v>25.5</v>
      </c>
      <c r="Q34" s="153" cm="1">
        <f t="array" aca="1" ref="Q34" ca="1">IF($G34=0,"",INDEX(auto_DataFlat_DataValue,$H34+Q$18))</f>
        <v>40.200000000000003</v>
      </c>
      <c r="R34" s="153" cm="1">
        <f t="array" aca="1" ref="R34" ca="1">IF($G34=0,"",INDEX(auto_DataFlat_DataValue,$H34+R$18))</f>
        <v>11.2</v>
      </c>
      <c r="S34" s="153" cm="1">
        <f t="array" aca="1" ref="S34" ca="1">IF($G34=0,"",INDEX(auto_DataFlat_DataValue,$H34+S$18))</f>
        <v>15.1</v>
      </c>
      <c r="T34" s="153" cm="1">
        <f t="array" aca="1" ref="T34" ca="1">IF($G34=0,"",INDEX(auto_DataFlat_DataValue,$H34+T$18))</f>
        <v>14.8</v>
      </c>
      <c r="U34" s="153" cm="1">
        <f t="array" aca="1" ref="U34" ca="1">IF($G34=0,"",INDEX(auto_DataFlat_DataValue,$H34+U$18))</f>
        <v>64.099999999999994</v>
      </c>
      <c r="V34" s="153" cm="1">
        <f t="array" aca="1" ref="V34" ca="1">IF($G34=0,"",INDEX(auto_DataFlat_DataValue,$H34+V$18))</f>
        <v>24.8</v>
      </c>
      <c r="W34" s="153" cm="1">
        <f t="array" aca="1" ref="W34" ca="1">IF($G34=0,"",INDEX(auto_DataFlat_DataValue,$H34+W$18))</f>
        <v>53</v>
      </c>
      <c r="X34" s="153" cm="1">
        <f t="array" aca="1" ref="X34" ca="1">IF($G34=0,"",INDEX(auto_DataFlat_DataValue,$H34+X$18))</f>
        <v>46.8</v>
      </c>
      <c r="Y34" s="153" cm="1">
        <f t="array" aca="1" ref="Y34" ca="1">IF($G34=0,"",INDEX(auto_DataFlat_DataValue,$H34+Y$18))</f>
        <v>39</v>
      </c>
      <c r="Z34" s="153" cm="1">
        <f t="array" aca="1" ref="Z34" ca="1">IF($G34=0,"",INDEX(auto_DataFlat_DataValue,$H34+Z$18))</f>
        <v>6.2</v>
      </c>
      <c r="AA34" s="153" cm="1">
        <f t="array" aca="1" ref="AA34" ca="1">IF($G34=0,"",INDEX(auto_DataFlat_DataValue,$H34+AA$18))</f>
        <v>22.1</v>
      </c>
      <c r="AB34" s="153" cm="1">
        <f t="array" aca="1" ref="AB34" ca="1">IF($G34=0,"",INDEX(auto_DataFlat_DataValue,$H34+AB$18))</f>
        <v>24</v>
      </c>
      <c r="AC34" s="153" cm="1">
        <f t="array" aca="1" ref="AC34" ca="1">IF($G34=0,"",INDEX(auto_DataFlat_DataValue,$H34+AC$18))</f>
        <v>23.3</v>
      </c>
      <c r="AD34" s="153" cm="1">
        <f t="array" aca="1" ref="AD34" ca="1">IF($G34=0,"",INDEX(auto_DataFlat_DataValue,$H34+AD$18))</f>
        <v>19.899999999999999</v>
      </c>
      <c r="AE34" s="153" cm="1">
        <f t="array" aca="1" ref="AE34" ca="1">IF($G34=0,"",INDEX(auto_DataFlat_DataValue,$H34+AE$18))</f>
        <v>21.7</v>
      </c>
      <c r="AF34" s="153" cm="1">
        <f t="array" aca="1" ref="AF34" ca="1">IF($G34=0,"",INDEX(auto_DataFlat_DataValue,$H34+AF$18))</f>
        <v>51.6</v>
      </c>
      <c r="AG34" s="153" cm="1">
        <f t="array" aca="1" ref="AG34" ca="1">IF($G34=0,"",INDEX(auto_DataFlat_DataValue,$H34+AG$18))</f>
        <v>36.9</v>
      </c>
      <c r="AH34" s="153" cm="1">
        <f t="array" aca="1" ref="AH34" ca="1">IF($G34=0,"",INDEX(auto_DataFlat_DataValue,$H34+AH$18))</f>
        <v>53</v>
      </c>
      <c r="AI34" s="153" cm="1">
        <f t="array" aca="1" ref="AI34" ca="1">IF($G34=0,"",INDEX(auto_DataFlat_DataValue,$H34+AI$18))</f>
        <v>67.2</v>
      </c>
      <c r="AJ34" s="153" cm="1">
        <f t="array" aca="1" ref="AJ34" ca="1">IF($G34=0,"",INDEX(auto_DataFlat_DataValue,$H34+AJ$18))</f>
        <v>55.3</v>
      </c>
      <c r="AK34" s="153" cm="1">
        <f t="array" aca="1" ref="AK34" ca="1">IF($G34=0,"",INDEX(auto_DataFlat_DataValue,$H34+AK$18))</f>
        <v>9.6999999999999993</v>
      </c>
      <c r="AL34" s="153" cm="1">
        <f t="array" aca="1" ref="AL34" ca="1">IF($G34=0,"",INDEX(auto_DataFlat_DataValue,$H34+AL$18))</f>
        <v>9.8000000000000007</v>
      </c>
      <c r="AM34" s="153" cm="1">
        <f t="array" aca="1" ref="AM34" ca="1">IF($G34=0,"",INDEX(auto_DataFlat_DataValue,$H34+AM$18))</f>
        <v>24.2</v>
      </c>
      <c r="AN34" s="153" cm="1">
        <f t="array" aca="1" ref="AN34" ca="1">IF($G34=0,"",INDEX(auto_DataFlat_DataValue,$H34+AN$18))</f>
        <v>9.1</v>
      </c>
      <c r="AO34" s="153" cm="1">
        <f t="array" aca="1" ref="AO34" ca="1">IF($G34=0,"",INDEX(auto_DataFlat_DataValue,$H34+AO$18))</f>
        <v>18.399999999999999</v>
      </c>
      <c r="AP34" s="153" cm="1">
        <f t="array" aca="1" ref="AP34" ca="1">IF($G34=0,"",INDEX(auto_DataFlat_DataValue,$H34+AP$18))</f>
        <v>9.9</v>
      </c>
      <c r="AQ34" s="153" cm="1">
        <f t="array" aca="1" ref="AQ34" ca="1">IF($G34=0,"",INDEX(auto_DataFlat_DataValue,$H34+AQ$18))</f>
        <v>53</v>
      </c>
      <c r="AR34" s="153" cm="1">
        <f t="array" aca="1" ref="AR34" ca="1">IF($G34=0,"",INDEX(auto_DataFlat_DataValue,$H34+AR$18))</f>
        <v>12.3</v>
      </c>
      <c r="AS34" s="153" cm="1">
        <f t="array" aca="1" ref="AS34" ca="1">IF($G34=0,"",INDEX(auto_DataFlat_DataValue,$H34+AS$18))</f>
        <v>7.4</v>
      </c>
      <c r="AT34" s="153" cm="1">
        <f t="array" aca="1" ref="AT34" ca="1">IF($G34=0,"",INDEX(auto_DataFlat_DataValue,$H34+AT$18))</f>
        <v>11.1</v>
      </c>
      <c r="AU34" s="153" cm="1">
        <f t="array" aca="1" ref="AU34" ca="1">IF($G34=0,"",INDEX(auto_DataFlat_DataValue,$H34+AU$18))</f>
        <v>11.3</v>
      </c>
      <c r="AV34" s="153" cm="1">
        <f t="array" aca="1" ref="AV34" ca="1">IF($G34=0,"",INDEX(auto_DataFlat_DataValue,$H34+AV$18))</f>
        <v>18.3</v>
      </c>
      <c r="AW34" s="153" cm="1">
        <f t="array" aca="1" ref="AW34" ca="1">IF($G34=0,"",INDEX(auto_DataFlat_DataValue,$H34+AW$18))</f>
        <v>60.7</v>
      </c>
      <c r="AX34" s="153" cm="1">
        <f t="array" aca="1" ref="AX34" ca="1">IF($G34=0,"",INDEX(auto_DataFlat_DataValue,$H34+AX$18))</f>
        <v>14.7</v>
      </c>
      <c r="AY34" s="153" cm="1">
        <f t="array" aca="1" ref="AY34" ca="1">IF($G34=0,"",INDEX(auto_DataFlat_DataValue,$H34+AY$18))</f>
        <v>7.4</v>
      </c>
      <c r="AZ34" s="153" cm="1">
        <f t="array" aca="1" ref="AZ34" ca="1">IF($G34=0,"",INDEX(auto_DataFlat_DataValue,$H34+AZ$18))</f>
        <v>11.3</v>
      </c>
      <c r="BA34" s="153" cm="1">
        <f t="array" aca="1" ref="BA34" ca="1">IF($G34=0,"",INDEX(auto_DataFlat_DataValue,$H34+BA$18))</f>
        <v>24.4</v>
      </c>
      <c r="BB34" s="153" cm="1">
        <f t="array" aca="1" ref="BB34" ca="1">IF($G34=0,"",INDEX(auto_DataFlat_DataValue,$H34+BB$18))</f>
        <v>40.200000000000003</v>
      </c>
      <c r="BC34" s="153" cm="1">
        <f t="array" aca="1" ref="BC34" ca="1">IF($G34=0,"",INDEX(auto_DataFlat_DataValue,$H34+BC$18))</f>
        <v>13.3</v>
      </c>
      <c r="BD34" s="153" cm="1">
        <f t="array" aca="1" ref="BD34" ca="1">IF($G34=0,"",INDEX(auto_DataFlat_DataValue,$H34+BD$18))</f>
        <v>9.1</v>
      </c>
      <c r="BE34" s="153" cm="1">
        <f t="array" aca="1" ref="BE34" ca="1">IF($G34=0,"",INDEX(auto_DataFlat_DataValue,$H34+BE$18))</f>
        <v>11.1</v>
      </c>
      <c r="BF34" s="153" cm="1">
        <f t="array" aca="1" ref="BF34" ca="1">IF($G34=0,"",INDEX(auto_DataFlat_DataValue,$H34+BF$18))</f>
        <v>6.7</v>
      </c>
      <c r="BG34" s="153" cm="1">
        <f t="array" aca="1" ref="BG34" ca="1">IF($G34=0,"",INDEX(auto_DataFlat_DataValue,$H34+BG$18))</f>
        <v>12.4</v>
      </c>
      <c r="BH34" s="153" cm="1">
        <f t="array" aca="1" ref="BH34" ca="1">IF($G34=0,"",INDEX(auto_DataFlat_DataValue,$H34+BH$18))</f>
        <v>40.200000000000003</v>
      </c>
      <c r="BI34" s="153" cm="1">
        <f t="array" aca="1" ref="BI34" ca="1">IF($G34=0,"",INDEX(auto_DataFlat_DataValue,$H34+BI$18))</f>
        <v>27.8</v>
      </c>
    </row>
    <row r="35" spans="1:61" ht="17.05" customHeight="1" x14ac:dyDescent="0.4">
      <c r="A35" t="str">
        <f t="shared" si="3"/>
        <v/>
      </c>
      <c r="B35" s="42" t="str">
        <f t="shared" ca="1" si="1"/>
        <v/>
      </c>
      <c r="C35" s="100">
        <v>16</v>
      </c>
      <c r="D35" s="49" cm="1">
        <f t="array" aca="1" ref="D35" ca="1">INDEX(OFFSET(auto_ss_data_table,0,1,500,1),C35)</f>
        <v>16</v>
      </c>
      <c r="E35" s="101" cm="1">
        <f t="array" aca="1" ref="E35" ca="1">INDEX(auto_tblSeries,$D35,E$18)</f>
        <v>2</v>
      </c>
      <c r="F35" s="101" t="str" cm="1">
        <f t="array" aca="1" ref="F35" ca="1">INDEX(auto_tblSeries,$D35,F$18)</f>
        <v>#,0.0</v>
      </c>
      <c r="G35" s="101" cm="1">
        <f t="array" aca="1" ref="G35" ca="1">INDEX(auto_tblSeries,$D35,G$18)</f>
        <v>1</v>
      </c>
      <c r="H35" s="101" cm="1">
        <f t="array" aca="1" ref="H35" ca="1">INDEX(sys_DataFlat_LU_Grid,$D35,1)-1</f>
        <v>900</v>
      </c>
      <c r="I35" s="26"/>
      <c r="J35" s="151" t="str" cm="1">
        <f t="array" aca="1" ref="J35" ca="1">INDEX(auto_Series_NameNumbered,$D35)</f>
        <v>2.2) Open spaces and green areas</v>
      </c>
      <c r="K35" s="152" t="str" cm="1">
        <f t="array" aca="1" ref="K35" ca="1">IF($G35=0,"",INDEX(auto_tblSeries,$D35,K$18))</f>
        <v>%</v>
      </c>
      <c r="L35" s="153" cm="1">
        <f t="array" aca="1" ref="L35" ca="1">IF($G35=0,"",INDEX(auto_DataFlat_DataValue,$H35+L$18))</f>
        <v>41.8</v>
      </c>
      <c r="M35" s="153" cm="1">
        <f t="array" aca="1" ref="M35" ca="1">IF($G35=0,"",INDEX(auto_DataFlat_DataValue,$H35+M$18))</f>
        <v>41.2</v>
      </c>
      <c r="N35" s="153" cm="1">
        <f t="array" aca="1" ref="N35" ca="1">IF($G35=0,"",INDEX(auto_DataFlat_DataValue,$H35+N$18))</f>
        <v>41</v>
      </c>
      <c r="O35" s="153" cm="1">
        <f t="array" aca="1" ref="O35" ca="1">IF($G35=0,"",INDEX(auto_DataFlat_DataValue,$H35+O$18))</f>
        <v>88.4</v>
      </c>
      <c r="P35" s="153" cm="1">
        <f t="array" aca="1" ref="P35" ca="1">IF($G35=0,"",INDEX(auto_DataFlat_DataValue,$H35+P$18))</f>
        <v>11.8</v>
      </c>
      <c r="Q35" s="153" cm="1">
        <f t="array" aca="1" ref="Q35" ca="1">IF($G35=0,"",INDEX(auto_DataFlat_DataValue,$H35+Q$18))</f>
        <v>31.8</v>
      </c>
      <c r="R35" s="153" cm="1">
        <f t="array" aca="1" ref="R35" ca="1">IF($G35=0,"",INDEX(auto_DataFlat_DataValue,$H35+R$18))</f>
        <v>68.2</v>
      </c>
      <c r="S35" s="153" cm="1">
        <f t="array" aca="1" ref="S35" ca="1">IF($G35=0,"",INDEX(auto_DataFlat_DataValue,$H35+S$18))</f>
        <v>87.5</v>
      </c>
      <c r="T35" s="153" cm="1">
        <f t="array" aca="1" ref="T35" ca="1">IF($G35=0,"",INDEX(auto_DataFlat_DataValue,$H35+T$18))</f>
        <v>58.8</v>
      </c>
      <c r="U35" s="153" cm="1">
        <f t="array" aca="1" ref="U35" ca="1">IF($G35=0,"",INDEX(auto_DataFlat_DataValue,$H35+U$18))</f>
        <v>11.2</v>
      </c>
      <c r="V35" s="153" cm="1">
        <f t="array" aca="1" ref="V35" ca="1">IF($G35=0,"",INDEX(auto_DataFlat_DataValue,$H35+V$18))</f>
        <v>15.2</v>
      </c>
      <c r="W35" s="153" cm="1">
        <f t="array" aca="1" ref="W35" ca="1">IF($G35=0,"",INDEX(auto_DataFlat_DataValue,$H35+W$18))</f>
        <v>31</v>
      </c>
      <c r="X35" s="153" cm="1">
        <f t="array" aca="1" ref="X35" ca="1">IF($G35=0,"",INDEX(auto_DataFlat_DataValue,$H35+X$18))</f>
        <v>31.4</v>
      </c>
      <c r="Y35" s="153" cm="1">
        <f t="array" aca="1" ref="Y35" ca="1">IF($G35=0,"",INDEX(auto_DataFlat_DataValue,$H35+Y$18))</f>
        <v>40.6</v>
      </c>
      <c r="Z35" s="153" cm="1">
        <f t="array" aca="1" ref="Z35" ca="1">IF($G35=0,"",INDEX(auto_DataFlat_DataValue,$H35+Z$18))</f>
        <v>33</v>
      </c>
      <c r="AA35" s="153" cm="1">
        <f t="array" aca="1" ref="AA35" ca="1">IF($G35=0,"",INDEX(auto_DataFlat_DataValue,$H35+AA$18))</f>
        <v>30</v>
      </c>
      <c r="AB35" s="153" cm="1">
        <f t="array" aca="1" ref="AB35" ca="1">IF($G35=0,"",INDEX(auto_DataFlat_DataValue,$H35+AB$18))</f>
        <v>89.1</v>
      </c>
      <c r="AC35" s="153" cm="1">
        <f t="array" aca="1" ref="AC35" ca="1">IF($G35=0,"",INDEX(auto_DataFlat_DataValue,$H35+AC$18))</f>
        <v>59.8</v>
      </c>
      <c r="AD35" s="153" cm="1">
        <f t="array" aca="1" ref="AD35" ca="1">IF($G35=0,"",INDEX(auto_DataFlat_DataValue,$H35+AD$18))</f>
        <v>27.6</v>
      </c>
      <c r="AE35" s="153" cm="1">
        <f t="array" aca="1" ref="AE35" ca="1">IF($G35=0,"",INDEX(auto_DataFlat_DataValue,$H35+AE$18))</f>
        <v>15.4</v>
      </c>
      <c r="AF35" s="153" cm="1">
        <f t="array" aca="1" ref="AF35" ca="1">IF($G35=0,"",INDEX(auto_DataFlat_DataValue,$H35+AF$18))</f>
        <v>45.4</v>
      </c>
      <c r="AG35" s="153" cm="1">
        <f t="array" aca="1" ref="AG35" ca="1">IF($G35=0,"",INDEX(auto_DataFlat_DataValue,$H35+AG$18))</f>
        <v>45.1</v>
      </c>
      <c r="AH35" s="153" cm="1">
        <f t="array" aca="1" ref="AH35" ca="1">IF($G35=0,"",INDEX(auto_DataFlat_DataValue,$H35+AH$18))</f>
        <v>27.7</v>
      </c>
      <c r="AI35" s="153" cm="1">
        <f t="array" aca="1" ref="AI35" ca="1">IF($G35=0,"",INDEX(auto_DataFlat_DataValue,$H35+AI$18))</f>
        <v>49.4</v>
      </c>
      <c r="AJ35" s="153" cm="1">
        <f t="array" aca="1" ref="AJ35" ca="1">IF($G35=0,"",INDEX(auto_DataFlat_DataValue,$H35+AJ$18))</f>
        <v>6.9</v>
      </c>
      <c r="AK35" s="153" cm="1">
        <f t="array" aca="1" ref="AK35" ca="1">IF($G35=0,"",INDEX(auto_DataFlat_DataValue,$H35+AK$18))</f>
        <v>81.3</v>
      </c>
      <c r="AL35" s="153" cm="1">
        <f t="array" aca="1" ref="AL35" ca="1">IF($G35=0,"",INDEX(auto_DataFlat_DataValue,$H35+AL$18))</f>
        <v>63.1</v>
      </c>
      <c r="AM35" s="153" cm="1">
        <f t="array" aca="1" ref="AM35" ca="1">IF($G35=0,"",INDEX(auto_DataFlat_DataValue,$H35+AM$18))</f>
        <v>28.7</v>
      </c>
      <c r="AN35" s="153" cm="1">
        <f t="array" aca="1" ref="AN35" ca="1">IF($G35=0,"",INDEX(auto_DataFlat_DataValue,$H35+AN$18))</f>
        <v>84.4</v>
      </c>
      <c r="AO35" s="153" cm="1">
        <f t="array" aca="1" ref="AO35" ca="1">IF($G35=0,"",INDEX(auto_DataFlat_DataValue,$H35+AO$18))</f>
        <v>46.3</v>
      </c>
      <c r="AP35" s="153" cm="1">
        <f t="array" aca="1" ref="AP35" ca="1">IF($G35=0,"",INDEX(auto_DataFlat_DataValue,$H35+AP$18))</f>
        <v>83.3</v>
      </c>
      <c r="AQ35" s="153" cm="1">
        <f t="array" aca="1" ref="AQ35" ca="1">IF($G35=0,"",INDEX(auto_DataFlat_DataValue,$H35+AQ$18))</f>
        <v>35.299999999999997</v>
      </c>
      <c r="AR35" s="153" cm="1">
        <f t="array" aca="1" ref="AR35" ca="1">IF($G35=0,"",INDEX(auto_DataFlat_DataValue,$H35+AR$18))</f>
        <v>17.899999999999999</v>
      </c>
      <c r="AS35" s="153" cm="1">
        <f t="array" aca="1" ref="AS35" ca="1">IF($G35=0,"",INDEX(auto_DataFlat_DataValue,$H35+AS$18))</f>
        <v>71</v>
      </c>
      <c r="AT35" s="153" cm="1">
        <f t="array" aca="1" ref="AT35" ca="1">IF($G35=0,"",INDEX(auto_DataFlat_DataValue,$H35+AT$18))</f>
        <v>72.2</v>
      </c>
      <c r="AU35" s="153" cm="1">
        <f t="array" aca="1" ref="AU35" ca="1">IF($G35=0,"",INDEX(auto_DataFlat_DataValue,$H35+AU$18))</f>
        <v>51.6</v>
      </c>
      <c r="AV35" s="153" cm="1">
        <f t="array" aca="1" ref="AV35" ca="1">IF($G35=0,"",INDEX(auto_DataFlat_DataValue,$H35+AV$18))</f>
        <v>28</v>
      </c>
      <c r="AW35" s="153" cm="1">
        <f t="array" aca="1" ref="AW35" ca="1">IF($G35=0,"",INDEX(auto_DataFlat_DataValue,$H35+AW$18))</f>
        <v>10.3</v>
      </c>
      <c r="AX35" s="153" cm="1">
        <f t="array" aca="1" ref="AX35" ca="1">IF($G35=0,"",INDEX(auto_DataFlat_DataValue,$H35+AX$18))</f>
        <v>59.2</v>
      </c>
      <c r="AY35" s="153" cm="1">
        <f t="array" aca="1" ref="AY35" ca="1">IF($G35=0,"",INDEX(auto_DataFlat_DataValue,$H35+AY$18))</f>
        <v>41</v>
      </c>
      <c r="AZ35" s="153" cm="1">
        <f t="array" aca="1" ref="AZ35" ca="1">IF($G35=0,"",INDEX(auto_DataFlat_DataValue,$H35+AZ$18))</f>
        <v>53.8</v>
      </c>
      <c r="BA35" s="153" cm="1">
        <f t="array" aca="1" ref="BA35" ca="1">IF($G35=0,"",INDEX(auto_DataFlat_DataValue,$H35+BA$18))</f>
        <v>48.8</v>
      </c>
      <c r="BB35" s="153" cm="1">
        <f t="array" aca="1" ref="BB35" ca="1">IF($G35=0,"",INDEX(auto_DataFlat_DataValue,$H35+BB$18))</f>
        <v>31.8</v>
      </c>
      <c r="BC35" s="153" cm="1">
        <f t="array" aca="1" ref="BC35" ca="1">IF($G35=0,"",INDEX(auto_DataFlat_DataValue,$H35+BC$18))</f>
        <v>70.3</v>
      </c>
      <c r="BD35" s="153" cm="1">
        <f t="array" aca="1" ref="BD35" ca="1">IF($G35=0,"",INDEX(auto_DataFlat_DataValue,$H35+BD$18))</f>
        <v>33.4</v>
      </c>
      <c r="BE35" s="153" cm="1">
        <f t="array" aca="1" ref="BE35" ca="1">IF($G35=0,"",INDEX(auto_DataFlat_DataValue,$H35+BE$18))</f>
        <v>74.8</v>
      </c>
      <c r="BF35" s="153" cm="1">
        <f t="array" aca="1" ref="BF35" ca="1">IF($G35=0,"",INDEX(auto_DataFlat_DataValue,$H35+BF$18))</f>
        <v>87.6</v>
      </c>
      <c r="BG35" s="153" cm="1">
        <f t="array" aca="1" ref="BG35" ca="1">IF($G35=0,"",INDEX(auto_DataFlat_DataValue,$H35+BG$18))</f>
        <v>72.400000000000006</v>
      </c>
      <c r="BH35" s="153" cm="1">
        <f t="array" aca="1" ref="BH35" ca="1">IF($G35=0,"",INDEX(auto_DataFlat_DataValue,$H35+BH$18))</f>
        <v>16</v>
      </c>
      <c r="BI35" s="153" cm="1">
        <f t="array" aca="1" ref="BI35" ca="1">IF($G35=0,"",INDEX(auto_DataFlat_DataValue,$H35+BI$18))</f>
        <v>16.2</v>
      </c>
    </row>
    <row r="36" spans="1:61" ht="17.05" customHeight="1" x14ac:dyDescent="0.4">
      <c r="A36" t="str">
        <f t="shared" si="3"/>
        <v/>
      </c>
      <c r="B36" s="42" t="str">
        <f t="shared" ca="1" si="1"/>
        <v/>
      </c>
      <c r="C36" s="100">
        <v>17</v>
      </c>
      <c r="D36" s="49" cm="1">
        <f t="array" aca="1" ref="D36" ca="1">INDEX(OFFSET(auto_ss_data_table,0,1,500,1),C36)</f>
        <v>17</v>
      </c>
      <c r="E36" s="101" cm="1">
        <f t="array" aca="1" ref="E36" ca="1">INDEX(auto_tblSeries,$D36,E$18)</f>
        <v>2</v>
      </c>
      <c r="F36" s="101" t="str" cm="1">
        <f t="array" aca="1" ref="F36" ca="1">INDEX(auto_tblSeries,$D36,F$18)</f>
        <v>#,##0</v>
      </c>
      <c r="G36" s="101" cm="1">
        <f t="array" aca="1" ref="G36" ca="1">INDEX(auto_tblSeries,$D36,G$18)</f>
        <v>1</v>
      </c>
      <c r="H36" s="101" cm="1">
        <f t="array" aca="1" ref="H36" ca="1">INDEX(sys_DataFlat_LU_Grid,$D36,1)-1</f>
        <v>960</v>
      </c>
      <c r="I36" s="26"/>
      <c r="J36" s="151" t="str" cm="1">
        <f t="array" aca="1" ref="J36" ca="1">INDEX(auto_Series_NameNumbered,$D36)</f>
        <v>2.3) Active transport</v>
      </c>
      <c r="K36" s="152" t="str" cm="1">
        <f t="array" aca="1" ref="K36" ca="1">IF($G36=0,"",INDEX(auto_tblSeries,$D36,K$18))</f>
        <v>Rating 0-2</v>
      </c>
      <c r="L36" s="154" cm="1">
        <f t="array" aca="1" ref="L36" ca="1">IF($G36=0,"",INDEX(auto_DataFlat_DataValue,$H36+L$18))</f>
        <v>0</v>
      </c>
      <c r="M36" s="154" cm="1">
        <f t="array" aca="1" ref="M36" ca="1">IF($G36=0,"",INDEX(auto_DataFlat_DataValue,$H36+M$18))</f>
        <v>0</v>
      </c>
      <c r="N36" s="154" cm="1">
        <f t="array" aca="1" ref="N36" ca="1">IF($G36=0,"",INDEX(auto_DataFlat_DataValue,$H36+N$18))</f>
        <v>1</v>
      </c>
      <c r="O36" s="154" cm="1">
        <f t="array" aca="1" ref="O36" ca="1">IF($G36=0,"",INDEX(auto_DataFlat_DataValue,$H36+O$18))</f>
        <v>2</v>
      </c>
      <c r="P36" s="154" cm="1">
        <f t="array" aca="1" ref="P36" ca="1">IF($G36=0,"",INDEX(auto_DataFlat_DataValue,$H36+P$18))</f>
        <v>2</v>
      </c>
      <c r="Q36" s="154" cm="1">
        <f t="array" aca="1" ref="Q36" ca="1">IF($G36=0,"",INDEX(auto_DataFlat_DataValue,$H36+Q$18))</f>
        <v>2</v>
      </c>
      <c r="R36" s="154" cm="1">
        <f t="array" aca="1" ref="R36" ca="1">IF($G36=0,"",INDEX(auto_DataFlat_DataValue,$H36+R$18))</f>
        <v>2</v>
      </c>
      <c r="S36" s="154" cm="1">
        <f t="array" aca="1" ref="S36" ca="1">IF($G36=0,"",INDEX(auto_DataFlat_DataValue,$H36+S$18))</f>
        <v>2</v>
      </c>
      <c r="T36" s="154" cm="1">
        <f t="array" aca="1" ref="T36" ca="1">IF($G36=0,"",INDEX(auto_DataFlat_DataValue,$H36+T$18))</f>
        <v>2</v>
      </c>
      <c r="U36" s="154" cm="1">
        <f t="array" aca="1" ref="U36" ca="1">IF($G36=0,"",INDEX(auto_DataFlat_DataValue,$H36+U$18))</f>
        <v>0</v>
      </c>
      <c r="V36" s="154" cm="1">
        <f t="array" aca="1" ref="V36" ca="1">IF($G36=0,"",INDEX(auto_DataFlat_DataValue,$H36+V$18))</f>
        <v>0</v>
      </c>
      <c r="W36" s="154" cm="1">
        <f t="array" aca="1" ref="W36" ca="1">IF($G36=0,"",INDEX(auto_DataFlat_DataValue,$H36+W$18))</f>
        <v>0</v>
      </c>
      <c r="X36" s="154" cm="1">
        <f t="array" aca="1" ref="X36" ca="1">IF($G36=0,"",INDEX(auto_DataFlat_DataValue,$H36+X$18))</f>
        <v>1</v>
      </c>
      <c r="Y36" s="154" cm="1">
        <f t="array" aca="1" ref="Y36" ca="1">IF($G36=0,"",INDEX(auto_DataFlat_DataValue,$H36+Y$18))</f>
        <v>2</v>
      </c>
      <c r="Z36" s="154" cm="1">
        <f t="array" aca="1" ref="Z36" ca="1">IF($G36=0,"",INDEX(auto_DataFlat_DataValue,$H36+Z$18))</f>
        <v>2</v>
      </c>
      <c r="AA36" s="154" cm="1">
        <f t="array" aca="1" ref="AA36" ca="1">IF($G36=0,"",INDEX(auto_DataFlat_DataValue,$H36+AA$18))</f>
        <v>1</v>
      </c>
      <c r="AB36" s="154" cm="1">
        <f t="array" aca="1" ref="AB36" ca="1">IF($G36=0,"",INDEX(auto_DataFlat_DataValue,$H36+AB$18))</f>
        <v>2</v>
      </c>
      <c r="AC36" s="154" cm="1">
        <f t="array" aca="1" ref="AC36" ca="1">IF($G36=0,"",INDEX(auto_DataFlat_DataValue,$H36+AC$18))</f>
        <v>2</v>
      </c>
      <c r="AD36" s="154" cm="1">
        <f t="array" aca="1" ref="AD36" ca="1">IF($G36=0,"",INDEX(auto_DataFlat_DataValue,$H36+AD$18))</f>
        <v>2</v>
      </c>
      <c r="AE36" s="154" cm="1">
        <f t="array" aca="1" ref="AE36" ca="1">IF($G36=0,"",INDEX(auto_DataFlat_DataValue,$H36+AE$18))</f>
        <v>1</v>
      </c>
      <c r="AF36" s="154" cm="1">
        <f t="array" aca="1" ref="AF36" ca="1">IF($G36=0,"",INDEX(auto_DataFlat_DataValue,$H36+AF$18))</f>
        <v>0</v>
      </c>
      <c r="AG36" s="154" cm="1">
        <f t="array" aca="1" ref="AG36" ca="1">IF($G36=0,"",INDEX(auto_DataFlat_DataValue,$H36+AG$18))</f>
        <v>2</v>
      </c>
      <c r="AH36" s="154" cm="1">
        <f t="array" aca="1" ref="AH36" ca="1">IF($G36=0,"",INDEX(auto_DataFlat_DataValue,$H36+AH$18))</f>
        <v>0</v>
      </c>
      <c r="AI36" s="154" cm="1">
        <f t="array" aca="1" ref="AI36" ca="1">IF($G36=0,"",INDEX(auto_DataFlat_DataValue,$H36+AI$18))</f>
        <v>0</v>
      </c>
      <c r="AJ36" s="154" cm="1">
        <f t="array" aca="1" ref="AJ36" ca="1">IF($G36=0,"",INDEX(auto_DataFlat_DataValue,$H36+AJ$18))</f>
        <v>0</v>
      </c>
      <c r="AK36" s="154" cm="1">
        <f t="array" aca="1" ref="AK36" ca="1">IF($G36=0,"",INDEX(auto_DataFlat_DataValue,$H36+AK$18))</f>
        <v>2</v>
      </c>
      <c r="AL36" s="154" cm="1">
        <f t="array" aca="1" ref="AL36" ca="1">IF($G36=0,"",INDEX(auto_DataFlat_DataValue,$H36+AL$18))</f>
        <v>2</v>
      </c>
      <c r="AM36" s="154" cm="1">
        <f t="array" aca="1" ref="AM36" ca="1">IF($G36=0,"",INDEX(auto_DataFlat_DataValue,$H36+AM$18))</f>
        <v>2</v>
      </c>
      <c r="AN36" s="154" cm="1">
        <f t="array" aca="1" ref="AN36" ca="1">IF($G36=0,"",INDEX(auto_DataFlat_DataValue,$H36+AN$18))</f>
        <v>2</v>
      </c>
      <c r="AO36" s="154" cm="1">
        <f t="array" aca="1" ref="AO36" ca="1">IF($G36=0,"",INDEX(auto_DataFlat_DataValue,$H36+AO$18))</f>
        <v>2</v>
      </c>
      <c r="AP36" s="154" cm="1">
        <f t="array" aca="1" ref="AP36" ca="1">IF($G36=0,"",INDEX(auto_DataFlat_DataValue,$H36+AP$18))</f>
        <v>2</v>
      </c>
      <c r="AQ36" s="154" cm="1">
        <f t="array" aca="1" ref="AQ36" ca="1">IF($G36=0,"",INDEX(auto_DataFlat_DataValue,$H36+AQ$18))</f>
        <v>0</v>
      </c>
      <c r="AR36" s="154" cm="1">
        <f t="array" aca="1" ref="AR36" ca="1">IF($G36=0,"",INDEX(auto_DataFlat_DataValue,$H36+AR$18))</f>
        <v>2</v>
      </c>
      <c r="AS36" s="154" cm="1">
        <f t="array" aca="1" ref="AS36" ca="1">IF($G36=0,"",INDEX(auto_DataFlat_DataValue,$H36+AS$18))</f>
        <v>2</v>
      </c>
      <c r="AT36" s="154" cm="1">
        <f t="array" aca="1" ref="AT36" ca="1">IF($G36=0,"",INDEX(auto_DataFlat_DataValue,$H36+AT$18))</f>
        <v>2</v>
      </c>
      <c r="AU36" s="154" cm="1">
        <f t="array" aca="1" ref="AU36" ca="1">IF($G36=0,"",INDEX(auto_DataFlat_DataValue,$H36+AU$18))</f>
        <v>2</v>
      </c>
      <c r="AV36" s="154" cm="1">
        <f t="array" aca="1" ref="AV36" ca="1">IF($G36=0,"",INDEX(auto_DataFlat_DataValue,$H36+AV$18))</f>
        <v>0</v>
      </c>
      <c r="AW36" s="154" cm="1">
        <f t="array" aca="1" ref="AW36" ca="1">IF($G36=0,"",INDEX(auto_DataFlat_DataValue,$H36+AW$18))</f>
        <v>0</v>
      </c>
      <c r="AX36" s="154" cm="1">
        <f t="array" aca="1" ref="AX36" ca="1">IF($G36=0,"",INDEX(auto_DataFlat_DataValue,$H36+AX$18))</f>
        <v>2</v>
      </c>
      <c r="AY36" s="154" cm="1">
        <f t="array" aca="1" ref="AY36" ca="1">IF($G36=0,"",INDEX(auto_DataFlat_DataValue,$H36+AY$18))</f>
        <v>2</v>
      </c>
      <c r="AZ36" s="154" cm="1">
        <f t="array" aca="1" ref="AZ36" ca="1">IF($G36=0,"",INDEX(auto_DataFlat_DataValue,$H36+AZ$18))</f>
        <v>2</v>
      </c>
      <c r="BA36" s="154" cm="1">
        <f t="array" aca="1" ref="BA36" ca="1">IF($G36=0,"",INDEX(auto_DataFlat_DataValue,$H36+BA$18))</f>
        <v>2</v>
      </c>
      <c r="BB36" s="154" cm="1">
        <f t="array" aca="1" ref="BB36" ca="1">IF($G36=0,"",INDEX(auto_DataFlat_DataValue,$H36+BB$18))</f>
        <v>2</v>
      </c>
      <c r="BC36" s="154" cm="1">
        <f t="array" aca="1" ref="BC36" ca="1">IF($G36=0,"",INDEX(auto_DataFlat_DataValue,$H36+BC$18))</f>
        <v>2</v>
      </c>
      <c r="BD36" s="154" cm="1">
        <f t="array" aca="1" ref="BD36" ca="1">IF($G36=0,"",INDEX(auto_DataFlat_DataValue,$H36+BD$18))</f>
        <v>2</v>
      </c>
      <c r="BE36" s="154" cm="1">
        <f t="array" aca="1" ref="BE36" ca="1">IF($G36=0,"",INDEX(auto_DataFlat_DataValue,$H36+BE$18))</f>
        <v>2</v>
      </c>
      <c r="BF36" s="154" cm="1">
        <f t="array" aca="1" ref="BF36" ca="1">IF($G36=0,"",INDEX(auto_DataFlat_DataValue,$H36+BF$18))</f>
        <v>2</v>
      </c>
      <c r="BG36" s="154" cm="1">
        <f t="array" aca="1" ref="BG36" ca="1">IF($G36=0,"",INDEX(auto_DataFlat_DataValue,$H36+BG$18))</f>
        <v>2</v>
      </c>
      <c r="BH36" s="154" cm="1">
        <f t="array" aca="1" ref="BH36" ca="1">IF($G36=0,"",INDEX(auto_DataFlat_DataValue,$H36+BH$18))</f>
        <v>2</v>
      </c>
      <c r="BI36" s="154" cm="1">
        <f t="array" aca="1" ref="BI36" ca="1">IF($G36=0,"",INDEX(auto_DataFlat_DataValue,$H36+BI$18))</f>
        <v>0</v>
      </c>
    </row>
    <row r="37" spans="1:61" ht="17.05" customHeight="1" x14ac:dyDescent="0.4">
      <c r="A37" t="str">
        <f t="shared" si="3"/>
        <v/>
      </c>
      <c r="B37" s="42" t="str">
        <f t="shared" ca="1" si="1"/>
        <v>V</v>
      </c>
      <c r="C37" s="100">
        <v>18</v>
      </c>
      <c r="D37" s="49" cm="1">
        <f t="array" aca="1" ref="D37" ca="1">INDEX(OFFSET(auto_ss_data_table,0,1,500,1),C37)</f>
        <v>18</v>
      </c>
      <c r="E37" s="101" cm="1">
        <f t="array" aca="1" ref="E37" ca="1">INDEX(auto_tblSeries,$D37,E$18)</f>
        <v>2</v>
      </c>
      <c r="F37" s="101" t="str" cm="1">
        <f t="array" aca="1" ref="F37" ca="1">INDEX(auto_tblSeries,$D37,F$18)</f>
        <v>#,0.0</v>
      </c>
      <c r="G37" s="101" cm="1">
        <f t="array" aca="1" ref="G37" ca="1">INDEX(auto_tblSeries,$D37,G$18)</f>
        <v>0</v>
      </c>
      <c r="H37" s="101" cm="1">
        <f t="array" aca="1" ref="H37" ca="1">INDEX(sys_DataFlat_LU_Grid,$D37,1)-1</f>
        <v>1020</v>
      </c>
      <c r="I37" s="26"/>
      <c r="J37" s="148" t="str" cm="1">
        <f t="array" aca="1" ref="J37" ca="1">INDEX(auto_Series_NameNumbered,$D37)</f>
        <v>2.4) Food security</v>
      </c>
      <c r="K37" s="149" t="str" cm="1">
        <f t="array" aca="1" ref="K37" ca="1">IF($G37=0,"",INDEX(auto_tblSeries,$D37,K$18))</f>
        <v/>
      </c>
      <c r="L37" s="150" t="str" cm="1">
        <f t="array" aca="1" ref="L37" ca="1">IF($G37=0,"",INDEX(auto_DataFlat_DataValue,$H37+L$18))</f>
        <v/>
      </c>
      <c r="M37" s="150" t="str" cm="1">
        <f t="array" aca="1" ref="M37" ca="1">IF($G37=0,"",INDEX(auto_DataFlat_DataValue,$H37+M$18))</f>
        <v/>
      </c>
      <c r="N37" s="150" t="str" cm="1">
        <f t="array" aca="1" ref="N37" ca="1">IF($G37=0,"",INDEX(auto_DataFlat_DataValue,$H37+N$18))</f>
        <v/>
      </c>
      <c r="O37" s="150" t="str" cm="1">
        <f t="array" aca="1" ref="O37" ca="1">IF($G37=0,"",INDEX(auto_DataFlat_DataValue,$H37+O$18))</f>
        <v/>
      </c>
      <c r="P37" s="150" t="str" cm="1">
        <f t="array" aca="1" ref="P37" ca="1">IF($G37=0,"",INDEX(auto_DataFlat_DataValue,$H37+P$18))</f>
        <v/>
      </c>
      <c r="Q37" s="150" t="str" cm="1">
        <f t="array" aca="1" ref="Q37" ca="1">IF($G37=0,"",INDEX(auto_DataFlat_DataValue,$H37+Q$18))</f>
        <v/>
      </c>
      <c r="R37" s="150" t="str" cm="1">
        <f t="array" aca="1" ref="R37" ca="1">IF($G37=0,"",INDEX(auto_DataFlat_DataValue,$H37+R$18))</f>
        <v/>
      </c>
      <c r="S37" s="150" t="str" cm="1">
        <f t="array" aca="1" ref="S37" ca="1">IF($G37=0,"",INDEX(auto_DataFlat_DataValue,$H37+S$18))</f>
        <v/>
      </c>
      <c r="T37" s="150" t="str" cm="1">
        <f t="array" aca="1" ref="T37" ca="1">IF($G37=0,"",INDEX(auto_DataFlat_DataValue,$H37+T$18))</f>
        <v/>
      </c>
      <c r="U37" s="150" t="str" cm="1">
        <f t="array" aca="1" ref="U37" ca="1">IF($G37=0,"",INDEX(auto_DataFlat_DataValue,$H37+U$18))</f>
        <v/>
      </c>
      <c r="V37" s="150" t="str" cm="1">
        <f t="array" aca="1" ref="V37" ca="1">IF($G37=0,"",INDEX(auto_DataFlat_DataValue,$H37+V$18))</f>
        <v/>
      </c>
      <c r="W37" s="150" t="str" cm="1">
        <f t="array" aca="1" ref="W37" ca="1">IF($G37=0,"",INDEX(auto_DataFlat_DataValue,$H37+W$18))</f>
        <v/>
      </c>
      <c r="X37" s="150" t="str" cm="1">
        <f t="array" aca="1" ref="X37" ca="1">IF($G37=0,"",INDEX(auto_DataFlat_DataValue,$H37+X$18))</f>
        <v/>
      </c>
      <c r="Y37" s="150" t="str" cm="1">
        <f t="array" aca="1" ref="Y37" ca="1">IF($G37=0,"",INDEX(auto_DataFlat_DataValue,$H37+Y$18))</f>
        <v/>
      </c>
      <c r="Z37" s="150" t="str" cm="1">
        <f t="array" aca="1" ref="Z37" ca="1">IF($G37=0,"",INDEX(auto_DataFlat_DataValue,$H37+Z$18))</f>
        <v/>
      </c>
      <c r="AA37" s="150" t="str" cm="1">
        <f t="array" aca="1" ref="AA37" ca="1">IF($G37=0,"",INDEX(auto_DataFlat_DataValue,$H37+AA$18))</f>
        <v/>
      </c>
      <c r="AB37" s="150" t="str" cm="1">
        <f t="array" aca="1" ref="AB37" ca="1">IF($G37=0,"",INDEX(auto_DataFlat_DataValue,$H37+AB$18))</f>
        <v/>
      </c>
      <c r="AC37" s="150" t="str" cm="1">
        <f t="array" aca="1" ref="AC37" ca="1">IF($G37=0,"",INDEX(auto_DataFlat_DataValue,$H37+AC$18))</f>
        <v/>
      </c>
      <c r="AD37" s="150" t="str" cm="1">
        <f t="array" aca="1" ref="AD37" ca="1">IF($G37=0,"",INDEX(auto_DataFlat_DataValue,$H37+AD$18))</f>
        <v/>
      </c>
      <c r="AE37" s="150" t="str" cm="1">
        <f t="array" aca="1" ref="AE37" ca="1">IF($G37=0,"",INDEX(auto_DataFlat_DataValue,$H37+AE$18))</f>
        <v/>
      </c>
      <c r="AF37" s="150" t="str" cm="1">
        <f t="array" aca="1" ref="AF37" ca="1">IF($G37=0,"",INDEX(auto_DataFlat_DataValue,$H37+AF$18))</f>
        <v/>
      </c>
      <c r="AG37" s="150" t="str" cm="1">
        <f t="array" aca="1" ref="AG37" ca="1">IF($G37=0,"",INDEX(auto_DataFlat_DataValue,$H37+AG$18))</f>
        <v/>
      </c>
      <c r="AH37" s="150" t="str" cm="1">
        <f t="array" aca="1" ref="AH37" ca="1">IF($G37=0,"",INDEX(auto_DataFlat_DataValue,$H37+AH$18))</f>
        <v/>
      </c>
      <c r="AI37" s="150" t="str" cm="1">
        <f t="array" aca="1" ref="AI37" ca="1">IF($G37=0,"",INDEX(auto_DataFlat_DataValue,$H37+AI$18))</f>
        <v/>
      </c>
      <c r="AJ37" s="150" t="str" cm="1">
        <f t="array" aca="1" ref="AJ37" ca="1">IF($G37=0,"",INDEX(auto_DataFlat_DataValue,$H37+AJ$18))</f>
        <v/>
      </c>
      <c r="AK37" s="150" t="str" cm="1">
        <f t="array" aca="1" ref="AK37" ca="1">IF($G37=0,"",INDEX(auto_DataFlat_DataValue,$H37+AK$18))</f>
        <v/>
      </c>
      <c r="AL37" s="150" t="str" cm="1">
        <f t="array" aca="1" ref="AL37" ca="1">IF($G37=0,"",INDEX(auto_DataFlat_DataValue,$H37+AL$18))</f>
        <v/>
      </c>
      <c r="AM37" s="150" t="str" cm="1">
        <f t="array" aca="1" ref="AM37" ca="1">IF($G37=0,"",INDEX(auto_DataFlat_DataValue,$H37+AM$18))</f>
        <v/>
      </c>
      <c r="AN37" s="150" t="str" cm="1">
        <f t="array" aca="1" ref="AN37" ca="1">IF($G37=0,"",INDEX(auto_DataFlat_DataValue,$H37+AN$18))</f>
        <v/>
      </c>
      <c r="AO37" s="150" t="str" cm="1">
        <f t="array" aca="1" ref="AO37" ca="1">IF($G37=0,"",INDEX(auto_DataFlat_DataValue,$H37+AO$18))</f>
        <v/>
      </c>
      <c r="AP37" s="150" t="str" cm="1">
        <f t="array" aca="1" ref="AP37" ca="1">IF($G37=0,"",INDEX(auto_DataFlat_DataValue,$H37+AP$18))</f>
        <v/>
      </c>
      <c r="AQ37" s="150" t="str" cm="1">
        <f t="array" aca="1" ref="AQ37" ca="1">IF($G37=0,"",INDEX(auto_DataFlat_DataValue,$H37+AQ$18))</f>
        <v/>
      </c>
      <c r="AR37" s="150" t="str" cm="1">
        <f t="array" aca="1" ref="AR37" ca="1">IF($G37=0,"",INDEX(auto_DataFlat_DataValue,$H37+AR$18))</f>
        <v/>
      </c>
      <c r="AS37" s="150" t="str" cm="1">
        <f t="array" aca="1" ref="AS37" ca="1">IF($G37=0,"",INDEX(auto_DataFlat_DataValue,$H37+AS$18))</f>
        <v/>
      </c>
      <c r="AT37" s="150" t="str" cm="1">
        <f t="array" aca="1" ref="AT37" ca="1">IF($G37=0,"",INDEX(auto_DataFlat_DataValue,$H37+AT$18))</f>
        <v/>
      </c>
      <c r="AU37" s="150" t="str" cm="1">
        <f t="array" aca="1" ref="AU37" ca="1">IF($G37=0,"",INDEX(auto_DataFlat_DataValue,$H37+AU$18))</f>
        <v/>
      </c>
      <c r="AV37" s="150" t="str" cm="1">
        <f t="array" aca="1" ref="AV37" ca="1">IF($G37=0,"",INDEX(auto_DataFlat_DataValue,$H37+AV$18))</f>
        <v/>
      </c>
      <c r="AW37" s="150" t="str" cm="1">
        <f t="array" aca="1" ref="AW37" ca="1">IF($G37=0,"",INDEX(auto_DataFlat_DataValue,$H37+AW$18))</f>
        <v/>
      </c>
      <c r="AX37" s="150" t="str" cm="1">
        <f t="array" aca="1" ref="AX37" ca="1">IF($G37=0,"",INDEX(auto_DataFlat_DataValue,$H37+AX$18))</f>
        <v/>
      </c>
      <c r="AY37" s="150" t="str" cm="1">
        <f t="array" aca="1" ref="AY37" ca="1">IF($G37=0,"",INDEX(auto_DataFlat_DataValue,$H37+AY$18))</f>
        <v/>
      </c>
      <c r="AZ37" s="150" t="str" cm="1">
        <f t="array" aca="1" ref="AZ37" ca="1">IF($G37=0,"",INDEX(auto_DataFlat_DataValue,$H37+AZ$18))</f>
        <v/>
      </c>
      <c r="BA37" s="150" t="str" cm="1">
        <f t="array" aca="1" ref="BA37" ca="1">IF($G37=0,"",INDEX(auto_DataFlat_DataValue,$H37+BA$18))</f>
        <v/>
      </c>
      <c r="BB37" s="150" t="str" cm="1">
        <f t="array" aca="1" ref="BB37" ca="1">IF($G37=0,"",INDEX(auto_DataFlat_DataValue,$H37+BB$18))</f>
        <v/>
      </c>
      <c r="BC37" s="150" t="str" cm="1">
        <f t="array" aca="1" ref="BC37" ca="1">IF($G37=0,"",INDEX(auto_DataFlat_DataValue,$H37+BC$18))</f>
        <v/>
      </c>
      <c r="BD37" s="150" t="str" cm="1">
        <f t="array" aca="1" ref="BD37" ca="1">IF($G37=0,"",INDEX(auto_DataFlat_DataValue,$H37+BD$18))</f>
        <v/>
      </c>
      <c r="BE37" s="150" t="str" cm="1">
        <f t="array" aca="1" ref="BE37" ca="1">IF($G37=0,"",INDEX(auto_DataFlat_DataValue,$H37+BE$18))</f>
        <v/>
      </c>
      <c r="BF37" s="150" t="str" cm="1">
        <f t="array" aca="1" ref="BF37" ca="1">IF($G37=0,"",INDEX(auto_DataFlat_DataValue,$H37+BF$18))</f>
        <v/>
      </c>
      <c r="BG37" s="150" t="str" cm="1">
        <f t="array" aca="1" ref="BG37" ca="1">IF($G37=0,"",INDEX(auto_DataFlat_DataValue,$H37+BG$18))</f>
        <v/>
      </c>
      <c r="BH37" s="150" t="str" cm="1">
        <f t="array" aca="1" ref="BH37" ca="1">IF($G37=0,"",INDEX(auto_DataFlat_DataValue,$H37+BH$18))</f>
        <v/>
      </c>
      <c r="BI37" s="150" t="str" cm="1">
        <f t="array" aca="1" ref="BI37" ca="1">IF($G37=0,"",INDEX(auto_DataFlat_DataValue,$H37+BI$18))</f>
        <v/>
      </c>
    </row>
    <row r="38" spans="1:61" ht="17.05" customHeight="1" x14ac:dyDescent="0.4">
      <c r="A38" t="str">
        <f t="shared" si="3"/>
        <v/>
      </c>
      <c r="B38" s="42" t="str">
        <f t="shared" ca="1" si="1"/>
        <v/>
      </c>
      <c r="C38" s="100">
        <v>19</v>
      </c>
      <c r="D38" s="49" cm="1">
        <f t="array" aca="1" ref="D38" ca="1">INDEX(OFFSET(auto_ss_data_table,0,1,500,1),C38)</f>
        <v>19</v>
      </c>
      <c r="E38" s="101" cm="1">
        <f t="array" aca="1" ref="E38" ca="1">INDEX(auto_tblSeries,$D38,E$18)</f>
        <v>3</v>
      </c>
      <c r="F38" s="101" t="str" cm="1">
        <f t="array" aca="1" ref="F38" ca="1">INDEX(auto_tblSeries,$D38,F$18)</f>
        <v>#,0.0</v>
      </c>
      <c r="G38" s="101" cm="1">
        <f t="array" aca="1" ref="G38" ca="1">INDEX(auto_tblSeries,$D38,G$18)</f>
        <v>1</v>
      </c>
      <c r="H38" s="101" cm="1">
        <f t="array" aca="1" ref="H38" ca="1">INDEX(sys_DataFlat_LU_Grid,$D38,1)-1</f>
        <v>1080</v>
      </c>
      <c r="I38" s="26"/>
      <c r="J38" s="151" t="str" cm="1">
        <f t="array" aca="1" ref="J38" ca="1">INDEX(auto_Series_NameNumbered,$D38)</f>
        <v>2.4a) Food security: national data</v>
      </c>
      <c r="K38" s="152" t="str" cm="1">
        <f t="array" aca="1" ref="K38" ca="1">IF($G38=0,"",INDEX(auto_tblSeries,$D38,K$18))</f>
        <v>%</v>
      </c>
      <c r="L38" s="153" cm="1">
        <f t="array" aca="1" ref="L38" ca="1">IF($G38=0,"",INDEX(auto_DataFlat_DataValue,$H38+L$18))</f>
        <v>58.1</v>
      </c>
      <c r="M38" s="153" cm="1">
        <f t="array" aca="1" ref="M38" ca="1">IF($G38=0,"",INDEX(auto_DataFlat_DataValue,$H38+M$18))</f>
        <v>19.399999999999999</v>
      </c>
      <c r="N38" s="153" cm="1">
        <f t="array" aca="1" ref="N38" ca="1">IF($G38=0,"",INDEX(auto_DataFlat_DataValue,$H38+N$18))</f>
        <v>7.8</v>
      </c>
      <c r="O38" s="153" cm="1">
        <f t="array" aca="1" ref="O38" ca="1">IF($G38=0,"",INDEX(auto_DataFlat_DataValue,$H38+O$18))</f>
        <v>15.1</v>
      </c>
      <c r="P38" s="153" cm="1">
        <f t="array" aca="1" ref="P38" ca="1">IF($G38=0,"",INDEX(auto_DataFlat_DataValue,$H38+P$18))</f>
        <v>7.1</v>
      </c>
      <c r="Q38" s="153" cm="1">
        <f t="array" aca="1" ref="Q38" ca="1">IF($G38=0,"",INDEX(auto_DataFlat_DataValue,$H38+Q$18))</f>
        <v>5.9</v>
      </c>
      <c r="R38" s="153" cm="1">
        <f t="array" aca="1" ref="R38" ca="1">IF($G38=0,"",INDEX(auto_DataFlat_DataValue,$H38+R$18))</f>
        <v>3.8</v>
      </c>
      <c r="S38" s="153" cm="1">
        <f t="array" aca="1" ref="S38" ca="1">IF($G38=0,"",INDEX(auto_DataFlat_DataValue,$H38+S$18))</f>
        <v>36.4</v>
      </c>
      <c r="T38" s="153" cm="1">
        <f t="array" aca="1" ref="T38" ca="1">IF($G38=0,"",INDEX(auto_DataFlat_DataValue,$H38+T$18))</f>
        <v>12.6</v>
      </c>
      <c r="U38" s="153" cm="1">
        <f t="array" aca="1" ref="U38" ca="1">IF($G38=0,"",INDEX(auto_DataFlat_DataValue,$H38+U$18))</f>
        <v>28.5</v>
      </c>
      <c r="V38" s="153" cm="1">
        <f t="array" aca="1" ref="V38" ca="1">IF($G38=0,"",INDEX(auto_DataFlat_DataValue,$H38+V$18))</f>
        <v>10.9</v>
      </c>
      <c r="W38" s="153" cm="1">
        <f t="array" aca="1" ref="W38" ca="1">IF($G38=0,"",INDEX(auto_DataFlat_DataValue,$H38+W$18))</f>
        <v>27.7</v>
      </c>
      <c r="X38" s="153" cm="1">
        <f t="array" aca="1" ref="X38" ca="1">IF($G38=0,"",INDEX(auto_DataFlat_DataValue,$H38+X$18))</f>
        <v>31.1</v>
      </c>
      <c r="Y38" s="153" cm="1">
        <f t="array" aca="1" ref="Y38" ca="1">IF($G38=0,"",INDEX(auto_DataFlat_DataValue,$H38+Y$18))</f>
        <v>9.8000000000000007</v>
      </c>
      <c r="Z38" s="153" cm="1">
        <f t="array" aca="1" ref="Z38" ca="1">IF($G38=0,"",INDEX(auto_DataFlat_DataValue,$H38+Z$18))</f>
        <v>10.5</v>
      </c>
      <c r="AA38" s="153" cm="1">
        <f t="array" aca="1" ref="AA38" ca="1">IF($G38=0,"",INDEX(auto_DataFlat_DataValue,$H38+AA$18))</f>
        <v>9</v>
      </c>
      <c r="AB38" s="153" cm="1">
        <f t="array" aca="1" ref="AB38" ca="1">IF($G38=0,"",INDEX(auto_DataFlat_DataValue,$H38+AB$18))</f>
        <v>5.9</v>
      </c>
      <c r="AC38" s="153" cm="1">
        <f t="array" aca="1" ref="AC38" ca="1">IF($G38=0,"",INDEX(auto_DataFlat_DataValue,$H38+AC$18))</f>
        <v>8.1</v>
      </c>
      <c r="AD38" s="153" cm="1">
        <f t="array" aca="1" ref="AD38" ca="1">IF($G38=0,"",INDEX(auto_DataFlat_DataValue,$H38+AD$18))</f>
        <v>4.9000000000000004</v>
      </c>
      <c r="AE38" s="153" cm="1">
        <f t="array" aca="1" ref="AE38" ca="1">IF($G38=0,"",INDEX(auto_DataFlat_DataValue,$H38+AE$18))</f>
        <v>20.3</v>
      </c>
      <c r="AF38" s="153" cm="1">
        <f t="array" aca="1" ref="AF38" ca="1">IF($G38=0,"",INDEX(auto_DataFlat_DataValue,$H38+AF$18))</f>
        <v>42.3</v>
      </c>
      <c r="AG38" s="153" cm="1">
        <f t="array" aca="1" ref="AG38" ca="1">IF($G38=0,"",INDEX(auto_DataFlat_DataValue,$H38+AG$18))</f>
        <v>37.4</v>
      </c>
      <c r="AH38" s="153" cm="1">
        <f t="array" aca="1" ref="AH38" ca="1">IF($G38=0,"",INDEX(auto_DataFlat_DataValue,$H38+AH$18))</f>
        <v>27.7</v>
      </c>
      <c r="AI38" s="153" cm="1">
        <f t="array" aca="1" ref="AI38" ca="1">IF($G38=0,"",INDEX(auto_DataFlat_DataValue,$H38+AI$18))</f>
        <v>10.9</v>
      </c>
      <c r="AJ38" s="153" cm="1">
        <f t="array" aca="1" ref="AJ38" ca="1">IF($G38=0,"",INDEX(auto_DataFlat_DataValue,$H38+AJ$18))</f>
        <v>69.7</v>
      </c>
      <c r="AK38" s="153" cm="1">
        <f t="array" aca="1" ref="AK38" ca="1">IF($G38=0,"",INDEX(auto_DataFlat_DataValue,$H38+AK$18))</f>
        <v>4.0999999999999996</v>
      </c>
      <c r="AL38" s="153" cm="1">
        <f t="array" aca="1" ref="AL38" ca="1">IF($G38=0,"",INDEX(auto_DataFlat_DataValue,$H38+AL$18))</f>
        <v>8</v>
      </c>
      <c r="AM38" s="153" cm="1">
        <f t="array" aca="1" ref="AM38" ca="1">IF($G38=0,"",INDEX(auto_DataFlat_DataValue,$H38+AM$18))</f>
        <v>44.7</v>
      </c>
      <c r="AN38" s="153" cm="1">
        <f t="array" aca="1" ref="AN38" ca="1">IF($G38=0,"",INDEX(auto_DataFlat_DataValue,$H38+AN$18))</f>
        <v>11.4</v>
      </c>
      <c r="AO38" s="153" cm="1">
        <f t="array" aca="1" ref="AO38" ca="1">IF($G38=0,"",INDEX(auto_DataFlat_DataValue,$H38+AO$18))</f>
        <v>27.6</v>
      </c>
      <c r="AP38" s="153" cm="1">
        <f t="array" aca="1" ref="AP38" ca="1">IF($G38=0,"",INDEX(auto_DataFlat_DataValue,$H38+AP$18))</f>
        <v>5</v>
      </c>
      <c r="AQ38" s="153" cm="1">
        <f t="array" aca="1" ref="AQ38" ca="1">IF($G38=0,"",INDEX(auto_DataFlat_DataValue,$H38+AQ$18))</f>
        <v>27.7</v>
      </c>
      <c r="AR38" s="153" cm="1">
        <f t="array" aca="1" ref="AR38" ca="1">IF($G38=0,"",INDEX(auto_DataFlat_DataValue,$H38+AR$18))</f>
        <v>72.3</v>
      </c>
      <c r="AS38" s="153" cm="1">
        <f t="array" aca="1" ref="AS38" ca="1">IF($G38=0,"",INDEX(auto_DataFlat_DataValue,$H38+AS$18))</f>
        <v>7.8</v>
      </c>
      <c r="AT38" s="153" cm="1">
        <f t="array" aca="1" ref="AT38" ca="1">IF($G38=0,"",INDEX(auto_DataFlat_DataValue,$H38+AT$18))</f>
        <v>4.4000000000000004</v>
      </c>
      <c r="AU38" s="153" cm="1">
        <f t="array" aca="1" ref="AU38" ca="1">IF($G38=0,"",INDEX(auto_DataFlat_DataValue,$H38+AU$18))</f>
        <v>6.6</v>
      </c>
      <c r="AV38" s="153" cm="1">
        <f t="array" aca="1" ref="AV38" ca="1">IF($G38=0,"",INDEX(auto_DataFlat_DataValue,$H38+AV$18))</f>
        <v>51.1</v>
      </c>
      <c r="AW38" s="153" cm="1">
        <f t="array" aca="1" ref="AW38" ca="1">IF($G38=0,"",INDEX(auto_DataFlat_DataValue,$H38+AW$18))</f>
        <v>27.4</v>
      </c>
      <c r="AX38" s="153" cm="1">
        <f t="array" aca="1" ref="AX38" ca="1">IF($G38=0,"",INDEX(auto_DataFlat_DataValue,$H38+AX$18))</f>
        <v>5.7</v>
      </c>
      <c r="AY38" s="153" cm="1">
        <f t="array" aca="1" ref="AY38" ca="1">IF($G38=0,"",INDEX(auto_DataFlat_DataValue,$H38+AY$18))</f>
        <v>7.8</v>
      </c>
      <c r="AZ38" s="153" cm="1">
        <f t="array" aca="1" ref="AZ38" ca="1">IF($G38=0,"",INDEX(auto_DataFlat_DataValue,$H38+AZ$18))</f>
        <v>32.799999999999997</v>
      </c>
      <c r="BA38" s="153" cm="1">
        <f t="array" aca="1" ref="BA38" ca="1">IF($G38=0,"",INDEX(auto_DataFlat_DataValue,$H38+BA$18))</f>
        <v>5.6</v>
      </c>
      <c r="BB38" s="153" cm="1">
        <f t="array" aca="1" ref="BB38" ca="1">IF($G38=0,"",INDEX(auto_DataFlat_DataValue,$H38+BB$18))</f>
        <v>5.9</v>
      </c>
      <c r="BC38" s="153" cm="1">
        <f t="array" aca="1" ref="BC38" ca="1">IF($G38=0,"",INDEX(auto_DataFlat_DataValue,$H38+BC$18))</f>
        <v>6.6</v>
      </c>
      <c r="BD38" s="153" cm="1">
        <f t="array" aca="1" ref="BD38" ca="1">IF($G38=0,"",INDEX(auto_DataFlat_DataValue,$H38+BD$18))</f>
        <v>11.4</v>
      </c>
      <c r="BE38" s="153" cm="1">
        <f t="array" aca="1" ref="BE38" ca="1">IF($G38=0,"",INDEX(auto_DataFlat_DataValue,$H38+BE$18))</f>
        <v>4.4000000000000004</v>
      </c>
      <c r="BF38" s="153" cm="1">
        <f t="array" aca="1" ref="BF38" ca="1">IF($G38=0,"",INDEX(auto_DataFlat_DataValue,$H38+BF$18))</f>
        <v>7.7</v>
      </c>
      <c r="BG38" s="153" cm="1">
        <f t="array" aca="1" ref="BG38" ca="1">IF($G38=0,"",INDEX(auto_DataFlat_DataValue,$H38+BG$18))</f>
        <v>4.3</v>
      </c>
      <c r="BH38" s="153" cm="1">
        <f t="array" aca="1" ref="BH38" ca="1">IF($G38=0,"",INDEX(auto_DataFlat_DataValue,$H38+BH$18))</f>
        <v>5.9</v>
      </c>
      <c r="BI38" s="153" cm="1">
        <f t="array" aca="1" ref="BI38" ca="1">IF($G38=0,"",INDEX(auto_DataFlat_DataValue,$H38+BI$18))</f>
        <v>29.3</v>
      </c>
    </row>
    <row r="39" spans="1:61" ht="17.05" customHeight="1" x14ac:dyDescent="0.4">
      <c r="A39" t="str">
        <f t="shared" si="3"/>
        <v/>
      </c>
      <c r="B39" s="42" t="str">
        <f t="shared" ca="1" si="1"/>
        <v/>
      </c>
      <c r="C39" s="100">
        <v>20</v>
      </c>
      <c r="D39" s="49" cm="1">
        <f t="array" aca="1" ref="D39" ca="1">INDEX(OFFSET(auto_ss_data_table,0,1,500,1),C39)</f>
        <v>20</v>
      </c>
      <c r="E39" s="101" cm="1">
        <f t="array" aca="1" ref="E39" ca="1">INDEX(auto_tblSeries,$D39,E$18)</f>
        <v>3</v>
      </c>
      <c r="F39" s="101" t="str" cm="1">
        <f t="array" aca="1" ref="F39" ca="1">INDEX(auto_tblSeries,$D39,F$18)</f>
        <v>#,##0</v>
      </c>
      <c r="G39" s="101" cm="1">
        <f t="array" aca="1" ref="G39" ca="1">INDEX(auto_tblSeries,$D39,G$18)</f>
        <v>1</v>
      </c>
      <c r="H39" s="101" cm="1">
        <f t="array" aca="1" ref="H39" ca="1">INDEX(sys_DataFlat_LU_Grid,$D39,1)-1</f>
        <v>1140</v>
      </c>
      <c r="I39" s="26"/>
      <c r="J39" s="151" t="str" cm="1">
        <f t="array" aca="1" ref="J39" ca="1">INDEX(auto_Series_NameNumbered,$D39)</f>
        <v>2.4b) Food security: city-level data availability</v>
      </c>
      <c r="K39" s="152" t="str" cm="1">
        <f t="array" aca="1" ref="K39" ca="1">IF($G39=0,"",INDEX(auto_tblSeries,$D39,K$18))</f>
        <v>Rating 0-1</v>
      </c>
      <c r="L39" s="154" cm="1">
        <f t="array" aca="1" ref="L39" ca="1">IF($G39=0,"",INDEX(auto_DataFlat_DataValue,$H39+L$18))</f>
        <v>1</v>
      </c>
      <c r="M39" s="154" cm="1">
        <f t="array" aca="1" ref="M39" ca="1">IF($G39=0,"",INDEX(auto_DataFlat_DataValue,$H39+M$18))</f>
        <v>0</v>
      </c>
      <c r="N39" s="154" cm="1">
        <f t="array" aca="1" ref="N39" ca="1">IF($G39=0,"",INDEX(auto_DataFlat_DataValue,$H39+N$18))</f>
        <v>0</v>
      </c>
      <c r="O39" s="154" cm="1">
        <f t="array" aca="1" ref="O39" ca="1">IF($G39=0,"",INDEX(auto_DataFlat_DataValue,$H39+O$18))</f>
        <v>0</v>
      </c>
      <c r="P39" s="154" cm="1">
        <f t="array" aca="1" ref="P39" ca="1">IF($G39=0,"",INDEX(auto_DataFlat_DataValue,$H39+P$18))</f>
        <v>0</v>
      </c>
      <c r="Q39" s="154" cm="1">
        <f t="array" aca="1" ref="Q39" ca="1">IF($G39=0,"",INDEX(auto_DataFlat_DataValue,$H39+Q$18))</f>
        <v>0</v>
      </c>
      <c r="R39" s="154" cm="1">
        <f t="array" aca="1" ref="R39" ca="1">IF($G39=0,"",INDEX(auto_DataFlat_DataValue,$H39+R$18))</f>
        <v>0</v>
      </c>
      <c r="S39" s="154" cm="1">
        <f t="array" aca="1" ref="S39" ca="1">IF($G39=0,"",INDEX(auto_DataFlat_DataValue,$H39+S$18))</f>
        <v>1</v>
      </c>
      <c r="T39" s="154" cm="1">
        <f t="array" aca="1" ref="T39" ca="1">IF($G39=0,"",INDEX(auto_DataFlat_DataValue,$H39+T$18))</f>
        <v>0</v>
      </c>
      <c r="U39" s="154" cm="1">
        <f t="array" aca="1" ref="U39" ca="1">IF($G39=0,"",INDEX(auto_DataFlat_DataValue,$H39+U$18))</f>
        <v>0</v>
      </c>
      <c r="V39" s="154" cm="1">
        <f t="array" aca="1" ref="V39" ca="1">IF($G39=0,"",INDEX(auto_DataFlat_DataValue,$H39+V$18))</f>
        <v>0</v>
      </c>
      <c r="W39" s="154" cm="1">
        <f t="array" aca="1" ref="W39" ca="1">IF($G39=0,"",INDEX(auto_DataFlat_DataValue,$H39+W$18))</f>
        <v>0</v>
      </c>
      <c r="X39" s="154" cm="1">
        <f t="array" aca="1" ref="X39" ca="1">IF($G39=0,"",INDEX(auto_DataFlat_DataValue,$H39+X$18))</f>
        <v>1</v>
      </c>
      <c r="Y39" s="154" cm="1">
        <f t="array" aca="1" ref="Y39" ca="1">IF($G39=0,"",INDEX(auto_DataFlat_DataValue,$H39+Y$18))</f>
        <v>0</v>
      </c>
      <c r="Z39" s="154" cm="1">
        <f t="array" aca="1" ref="Z39" ca="1">IF($G39=0,"",INDEX(auto_DataFlat_DataValue,$H39+Z$18))</f>
        <v>0</v>
      </c>
      <c r="AA39" s="154" cm="1">
        <f t="array" aca="1" ref="AA39" ca="1">IF($G39=0,"",INDEX(auto_DataFlat_DataValue,$H39+AA$18))</f>
        <v>0</v>
      </c>
      <c r="AB39" s="154" cm="1">
        <f t="array" aca="1" ref="AB39" ca="1">IF($G39=0,"",INDEX(auto_DataFlat_DataValue,$H39+AB$18))</f>
        <v>0</v>
      </c>
      <c r="AC39" s="154" cm="1">
        <f t="array" aca="1" ref="AC39" ca="1">IF($G39=0,"",INDEX(auto_DataFlat_DataValue,$H39+AC$18))</f>
        <v>0</v>
      </c>
      <c r="AD39" s="154" cm="1">
        <f t="array" aca="1" ref="AD39" ca="1">IF($G39=0,"",INDEX(auto_DataFlat_DataValue,$H39+AD$18))</f>
        <v>1</v>
      </c>
      <c r="AE39" s="154" cm="1">
        <f t="array" aca="1" ref="AE39" ca="1">IF($G39=0,"",INDEX(auto_DataFlat_DataValue,$H39+AE$18))</f>
        <v>1</v>
      </c>
      <c r="AF39" s="154" cm="1">
        <f t="array" aca="1" ref="AF39" ca="1">IF($G39=0,"",INDEX(auto_DataFlat_DataValue,$H39+AF$18))</f>
        <v>1</v>
      </c>
      <c r="AG39" s="154" cm="1">
        <f t="array" aca="1" ref="AG39" ca="1">IF($G39=0,"",INDEX(auto_DataFlat_DataValue,$H39+AG$18))</f>
        <v>0</v>
      </c>
      <c r="AH39" s="154" cm="1">
        <f t="array" aca="1" ref="AH39" ca="1">IF($G39=0,"",INDEX(auto_DataFlat_DataValue,$H39+AH$18))</f>
        <v>0</v>
      </c>
      <c r="AI39" s="154" cm="1">
        <f t="array" aca="1" ref="AI39" ca="1">IF($G39=0,"",INDEX(auto_DataFlat_DataValue,$H39+AI$18))</f>
        <v>0</v>
      </c>
      <c r="AJ39" s="154" cm="1">
        <f t="array" aca="1" ref="AJ39" ca="1">IF($G39=0,"",INDEX(auto_DataFlat_DataValue,$H39+AJ$18))</f>
        <v>1</v>
      </c>
      <c r="AK39" s="154" cm="1">
        <f t="array" aca="1" ref="AK39" ca="1">IF($G39=0,"",INDEX(auto_DataFlat_DataValue,$H39+AK$18))</f>
        <v>1</v>
      </c>
      <c r="AL39" s="154" cm="1">
        <f t="array" aca="1" ref="AL39" ca="1">IF($G39=0,"",INDEX(auto_DataFlat_DataValue,$H39+AL$18))</f>
        <v>1</v>
      </c>
      <c r="AM39" s="154" cm="1">
        <f t="array" aca="1" ref="AM39" ca="1">IF($G39=0,"",INDEX(auto_DataFlat_DataValue,$H39+AM$18))</f>
        <v>1</v>
      </c>
      <c r="AN39" s="154" cm="1">
        <f t="array" aca="1" ref="AN39" ca="1">IF($G39=0,"",INDEX(auto_DataFlat_DataValue,$H39+AN$18))</f>
        <v>1</v>
      </c>
      <c r="AO39" s="154" cm="1">
        <f t="array" aca="1" ref="AO39" ca="1">IF($G39=0,"",INDEX(auto_DataFlat_DataValue,$H39+AO$18))</f>
        <v>1</v>
      </c>
      <c r="AP39" s="154" cm="1">
        <f t="array" aca="1" ref="AP39" ca="1">IF($G39=0,"",INDEX(auto_DataFlat_DataValue,$H39+AP$18))</f>
        <v>0</v>
      </c>
      <c r="AQ39" s="154" cm="1">
        <f t="array" aca="1" ref="AQ39" ca="1">IF($G39=0,"",INDEX(auto_DataFlat_DataValue,$H39+AQ$18))</f>
        <v>0</v>
      </c>
      <c r="AR39" s="154" cm="1">
        <f t="array" aca="1" ref="AR39" ca="1">IF($G39=0,"",INDEX(auto_DataFlat_DataValue,$H39+AR$18))</f>
        <v>0</v>
      </c>
      <c r="AS39" s="154" cm="1">
        <f t="array" aca="1" ref="AS39" ca="1">IF($G39=0,"",INDEX(auto_DataFlat_DataValue,$H39+AS$18))</f>
        <v>1</v>
      </c>
      <c r="AT39" s="154" cm="1">
        <f t="array" aca="1" ref="AT39" ca="1">IF($G39=0,"",INDEX(auto_DataFlat_DataValue,$H39+AT$18))</f>
        <v>0</v>
      </c>
      <c r="AU39" s="154" cm="1">
        <f t="array" aca="1" ref="AU39" ca="1">IF($G39=0,"",INDEX(auto_DataFlat_DataValue,$H39+AU$18))</f>
        <v>1</v>
      </c>
      <c r="AV39" s="154" cm="1">
        <f t="array" aca="1" ref="AV39" ca="1">IF($G39=0,"",INDEX(auto_DataFlat_DataValue,$H39+AV$18))</f>
        <v>1</v>
      </c>
      <c r="AW39" s="154" cm="1">
        <f t="array" aca="1" ref="AW39" ca="1">IF($G39=0,"",INDEX(auto_DataFlat_DataValue,$H39+AW$18))</f>
        <v>0</v>
      </c>
      <c r="AX39" s="154" cm="1">
        <f t="array" aca="1" ref="AX39" ca="1">IF($G39=0,"",INDEX(auto_DataFlat_DataValue,$H39+AX$18))</f>
        <v>1</v>
      </c>
      <c r="AY39" s="154" cm="1">
        <f t="array" aca="1" ref="AY39" ca="1">IF($G39=0,"",INDEX(auto_DataFlat_DataValue,$H39+AY$18))</f>
        <v>1</v>
      </c>
      <c r="AZ39" s="154" cm="1">
        <f t="array" aca="1" ref="AZ39" ca="1">IF($G39=0,"",INDEX(auto_DataFlat_DataValue,$H39+AZ$18))</f>
        <v>1</v>
      </c>
      <c r="BA39" s="154" cm="1">
        <f t="array" aca="1" ref="BA39" ca="1">IF($G39=0,"",INDEX(auto_DataFlat_DataValue,$H39+BA$18))</f>
        <v>0</v>
      </c>
      <c r="BB39" s="154" cm="1">
        <f t="array" aca="1" ref="BB39" ca="1">IF($G39=0,"",INDEX(auto_DataFlat_DataValue,$H39+BB$18))</f>
        <v>0</v>
      </c>
      <c r="BC39" s="154" cm="1">
        <f t="array" aca="1" ref="BC39" ca="1">IF($G39=0,"",INDEX(auto_DataFlat_DataValue,$H39+BC$18))</f>
        <v>1</v>
      </c>
      <c r="BD39" s="154" cm="1">
        <f t="array" aca="1" ref="BD39" ca="1">IF($G39=0,"",INDEX(auto_DataFlat_DataValue,$H39+BD$18))</f>
        <v>0</v>
      </c>
      <c r="BE39" s="154" cm="1">
        <f t="array" aca="1" ref="BE39" ca="1">IF($G39=0,"",INDEX(auto_DataFlat_DataValue,$H39+BE$18))</f>
        <v>0</v>
      </c>
      <c r="BF39" s="154" cm="1">
        <f t="array" aca="1" ref="BF39" ca="1">IF($G39=0,"",INDEX(auto_DataFlat_DataValue,$H39+BF$18))</f>
        <v>1</v>
      </c>
      <c r="BG39" s="154" cm="1">
        <f t="array" aca="1" ref="BG39" ca="1">IF($G39=0,"",INDEX(auto_DataFlat_DataValue,$H39+BG$18))</f>
        <v>0</v>
      </c>
      <c r="BH39" s="154" cm="1">
        <f t="array" aca="1" ref="BH39" ca="1">IF($G39=0,"",INDEX(auto_DataFlat_DataValue,$H39+BH$18))</f>
        <v>0</v>
      </c>
      <c r="BI39" s="154" cm="1">
        <f t="array" aca="1" ref="BI39" ca="1">IF($G39=0,"",INDEX(auto_DataFlat_DataValue,$H39+BI$18))</f>
        <v>1</v>
      </c>
    </row>
    <row r="40" spans="1:61" ht="17.05" customHeight="1" x14ac:dyDescent="0.4">
      <c r="A40" t="str">
        <f t="shared" si="3"/>
        <v/>
      </c>
      <c r="B40" s="42" t="str">
        <f t="shared" ca="1" si="1"/>
        <v/>
      </c>
      <c r="C40" s="100">
        <v>21</v>
      </c>
      <c r="D40" s="49" cm="1">
        <f t="array" aca="1" ref="D40" ca="1">INDEX(OFFSET(auto_ss_data_table,0,1,500,1),C40)</f>
        <v>21</v>
      </c>
      <c r="E40" s="101" cm="1">
        <f t="array" aca="1" ref="E40" ca="1">INDEX(auto_tblSeries,$D40,E$18)</f>
        <v>2</v>
      </c>
      <c r="F40" s="101" t="str" cm="1">
        <f t="array" aca="1" ref="F40" ca="1">INDEX(auto_tblSeries,$D40,F$18)</f>
        <v>#,0.0</v>
      </c>
      <c r="G40" s="101" cm="1">
        <f t="array" aca="1" ref="G40" ca="1">INDEX(auto_tblSeries,$D40,G$18)</f>
        <v>1</v>
      </c>
      <c r="H40" s="101" cm="1">
        <f t="array" aca="1" ref="H40" ca="1">INDEX(sys_DataFlat_LU_Grid,$D40,1)-1</f>
        <v>1200</v>
      </c>
      <c r="I40" s="26"/>
      <c r="J40" s="151" t="str" cm="1">
        <f t="array" aca="1" ref="J40" ca="1">INDEX(auto_Series_NameNumbered,$D40)</f>
        <v>2.5) Access to public transport</v>
      </c>
      <c r="K40" s="152" t="str" cm="1">
        <f t="array" aca="1" ref="K40" ca="1">IF($G40=0,"",INDEX(auto_tblSeries,$D40,K$18))</f>
        <v>%</v>
      </c>
      <c r="L40" s="153" cm="1">
        <f t="array" aca="1" ref="L40" ca="1">IF($G40=0,"",INDEX(auto_DataFlat_DataValue,$H40+L$18))</f>
        <v>31.5</v>
      </c>
      <c r="M40" s="153" cm="1">
        <f t="array" aca="1" ref="M40" ca="1">IF($G40=0,"",INDEX(auto_DataFlat_DataValue,$H40+M$18))</f>
        <v>48</v>
      </c>
      <c r="N40" s="153" cm="1">
        <f t="array" aca="1" ref="N40" ca="1">IF($G40=0,"",INDEX(auto_DataFlat_DataValue,$H40+N$18))</f>
        <v>50.9</v>
      </c>
      <c r="O40" s="153" cm="1">
        <f t="array" aca="1" ref="O40" ca="1">IF($G40=0,"",INDEX(auto_DataFlat_DataValue,$H40+O$18))</f>
        <v>94.4</v>
      </c>
      <c r="P40" s="153" cm="1">
        <f t="array" aca="1" ref="P40" ca="1">IF($G40=0,"",INDEX(auto_DataFlat_DataValue,$H40+P$18))</f>
        <v>26</v>
      </c>
      <c r="Q40" s="153" cm="1">
        <f t="array" aca="1" ref="Q40" ca="1">IF($G40=0,"",INDEX(auto_DataFlat_DataValue,$H40+Q$18))</f>
        <v>55.2</v>
      </c>
      <c r="R40" s="153" cm="1">
        <f t="array" aca="1" ref="R40" ca="1">IF($G40=0,"",INDEX(auto_DataFlat_DataValue,$H40+R$18))</f>
        <v>92.9</v>
      </c>
      <c r="S40" s="153" cm="1">
        <f t="array" aca="1" ref="S40" ca="1">IF($G40=0,"",INDEX(auto_DataFlat_DataValue,$H40+S$18))</f>
        <v>91.4</v>
      </c>
      <c r="T40" s="153" cm="1">
        <f t="array" aca="1" ref="T40" ca="1">IF($G40=0,"",INDEX(auto_DataFlat_DataValue,$H40+T$18))</f>
        <v>96.5</v>
      </c>
      <c r="U40" s="153" cm="1">
        <f t="array" aca="1" ref="U40" ca="1">IF($G40=0,"",INDEX(auto_DataFlat_DataValue,$H40+U$18))</f>
        <v>21.2</v>
      </c>
      <c r="V40" s="153" cm="1">
        <f t="array" aca="1" ref="V40" ca="1">IF($G40=0,"",INDEX(auto_DataFlat_DataValue,$H40+V$18))</f>
        <v>62.6</v>
      </c>
      <c r="W40" s="153" cm="1">
        <f t="array" aca="1" ref="W40" ca="1">IF($G40=0,"",INDEX(auto_DataFlat_DataValue,$H40+W$18))</f>
        <v>38.799999999999997</v>
      </c>
      <c r="X40" s="153" cm="1">
        <f t="array" aca="1" ref="X40" ca="1">IF($G40=0,"",INDEX(auto_DataFlat_DataValue,$H40+X$18))</f>
        <v>44.8</v>
      </c>
      <c r="Y40" s="153" cm="1">
        <f t="array" aca="1" ref="Y40" ca="1">IF($G40=0,"",INDEX(auto_DataFlat_DataValue,$H40+Y$18))</f>
        <v>41.2</v>
      </c>
      <c r="Z40" s="153" cm="1">
        <f t="array" aca="1" ref="Z40" ca="1">IF($G40=0,"",INDEX(auto_DataFlat_DataValue,$H40+Z$18))</f>
        <v>95.8</v>
      </c>
      <c r="AA40" s="153" cm="1">
        <f t="array" aca="1" ref="AA40" ca="1">IF($G40=0,"",INDEX(auto_DataFlat_DataValue,$H40+AA$18))</f>
        <v>68.7</v>
      </c>
      <c r="AB40" s="153" cm="1">
        <f t="array" aca="1" ref="AB40" ca="1">IF($G40=0,"",INDEX(auto_DataFlat_DataValue,$H40+AB$18))</f>
        <v>98.8</v>
      </c>
      <c r="AC40" s="153" cm="1">
        <f t="array" aca="1" ref="AC40" ca="1">IF($G40=0,"",INDEX(auto_DataFlat_DataValue,$H40+AC$18))</f>
        <v>91.1</v>
      </c>
      <c r="AD40" s="153" cm="1">
        <f t="array" aca="1" ref="AD40" ca="1">IF($G40=0,"",INDEX(auto_DataFlat_DataValue,$H40+AD$18))</f>
        <v>32.9</v>
      </c>
      <c r="AE40" s="153" cm="1">
        <f t="array" aca="1" ref="AE40" ca="1">IF($G40=0,"",INDEX(auto_DataFlat_DataValue,$H40+AE$18))</f>
        <v>20.8</v>
      </c>
      <c r="AF40" s="153" cm="1">
        <f t="array" aca="1" ref="AF40" ca="1">IF($G40=0,"",INDEX(auto_DataFlat_DataValue,$H40+AF$18))</f>
        <v>67.599999999999994</v>
      </c>
      <c r="AG40" s="153" cm="1">
        <f t="array" aca="1" ref="AG40" ca="1">IF($G40=0,"",INDEX(auto_DataFlat_DataValue,$H40+AG$18))</f>
        <v>56.4</v>
      </c>
      <c r="AH40" s="153" cm="1">
        <f t="array" aca="1" ref="AH40" ca="1">IF($G40=0,"",INDEX(auto_DataFlat_DataValue,$H40+AH$18))</f>
        <v>54.3</v>
      </c>
      <c r="AI40" s="153" cm="1">
        <f t="array" aca="1" ref="AI40" ca="1">IF($G40=0,"",INDEX(auto_DataFlat_DataValue,$H40+AI$18))</f>
        <v>39</v>
      </c>
      <c r="AJ40" s="153" cm="1">
        <f t="array" aca="1" ref="AJ40" ca="1">IF($G40=0,"",INDEX(auto_DataFlat_DataValue,$H40+AJ$18))</f>
        <v>38.1</v>
      </c>
      <c r="AK40" s="153" cm="1">
        <f t="array" aca="1" ref="AK40" ca="1">IF($G40=0,"",INDEX(auto_DataFlat_DataValue,$H40+AK$18))</f>
        <v>94.8</v>
      </c>
      <c r="AL40" s="153" cm="1">
        <f t="array" aca="1" ref="AL40" ca="1">IF($G40=0,"",INDEX(auto_DataFlat_DataValue,$H40+AL$18))</f>
        <v>98.4</v>
      </c>
      <c r="AM40" s="153" cm="1">
        <f t="array" aca="1" ref="AM40" ca="1">IF($G40=0,"",INDEX(auto_DataFlat_DataValue,$H40+AM$18))</f>
        <v>32.5</v>
      </c>
      <c r="AN40" s="153" cm="1">
        <f t="array" aca="1" ref="AN40" ca="1">IF($G40=0,"",INDEX(auto_DataFlat_DataValue,$H40+AN$18))</f>
        <v>88.9</v>
      </c>
      <c r="AO40" s="153" cm="1">
        <f t="array" aca="1" ref="AO40" ca="1">IF($G40=0,"",INDEX(auto_DataFlat_DataValue,$H40+AO$18))</f>
        <v>40.4</v>
      </c>
      <c r="AP40" s="153" cm="1">
        <f t="array" aca="1" ref="AP40" ca="1">IF($G40=0,"",INDEX(auto_DataFlat_DataValue,$H40+AP$18))</f>
        <v>85.9</v>
      </c>
      <c r="AQ40" s="153" cm="1">
        <f t="array" aca="1" ref="AQ40" ca="1">IF($G40=0,"",INDEX(auto_DataFlat_DataValue,$H40+AQ$18))</f>
        <v>80.900000000000006</v>
      </c>
      <c r="AR40" s="153" cm="1">
        <f t="array" aca="1" ref="AR40" ca="1">IF($G40=0,"",INDEX(auto_DataFlat_DataValue,$H40+AR$18))</f>
        <v>58</v>
      </c>
      <c r="AS40" s="153" cm="1">
        <f t="array" aca="1" ref="AS40" ca="1">IF($G40=0,"",INDEX(auto_DataFlat_DataValue,$H40+AS$18))</f>
        <v>69.8</v>
      </c>
      <c r="AT40" s="153" cm="1">
        <f t="array" aca="1" ref="AT40" ca="1">IF($G40=0,"",INDEX(auto_DataFlat_DataValue,$H40+AT$18))</f>
        <v>69.400000000000006</v>
      </c>
      <c r="AU40" s="153" cm="1">
        <f t="array" aca="1" ref="AU40" ca="1">IF($G40=0,"",INDEX(auto_DataFlat_DataValue,$H40+AU$18))</f>
        <v>97.7</v>
      </c>
      <c r="AV40" s="153" cm="1">
        <f t="array" aca="1" ref="AV40" ca="1">IF($G40=0,"",INDEX(auto_DataFlat_DataValue,$H40+AV$18))</f>
        <v>35</v>
      </c>
      <c r="AW40" s="153" cm="1">
        <f t="array" aca="1" ref="AW40" ca="1">IF($G40=0,"",INDEX(auto_DataFlat_DataValue,$H40+AW$18))</f>
        <v>8.6</v>
      </c>
      <c r="AX40" s="153" cm="1">
        <f t="array" aca="1" ref="AX40" ca="1">IF($G40=0,"",INDEX(auto_DataFlat_DataValue,$H40+AX$18))</f>
        <v>96.1</v>
      </c>
      <c r="AY40" s="153" cm="1">
        <f t="array" aca="1" ref="AY40" ca="1">IF($G40=0,"",INDEX(auto_DataFlat_DataValue,$H40+AY$18))</f>
        <v>50.9</v>
      </c>
      <c r="AZ40" s="153" cm="1">
        <f t="array" aca="1" ref="AZ40" ca="1">IF($G40=0,"",INDEX(auto_DataFlat_DataValue,$H40+AZ$18))</f>
        <v>88.3</v>
      </c>
      <c r="BA40" s="153" cm="1">
        <f t="array" aca="1" ref="BA40" ca="1">IF($G40=0,"",INDEX(auto_DataFlat_DataValue,$H40+BA$18))</f>
        <v>70.599999999999994</v>
      </c>
      <c r="BB40" s="153" cm="1">
        <f t="array" aca="1" ref="BB40" ca="1">IF($G40=0,"",INDEX(auto_DataFlat_DataValue,$H40+BB$18))</f>
        <v>55.2</v>
      </c>
      <c r="BC40" s="153" cm="1">
        <f t="array" aca="1" ref="BC40" ca="1">IF($G40=0,"",INDEX(auto_DataFlat_DataValue,$H40+BC$18))</f>
        <v>99</v>
      </c>
      <c r="BD40" s="153" cm="1">
        <f t="array" aca="1" ref="BD40" ca="1">IF($G40=0,"",INDEX(auto_DataFlat_DataValue,$H40+BD$18))</f>
        <v>69.599999999999994</v>
      </c>
      <c r="BE40" s="153" cm="1">
        <f t="array" aca="1" ref="BE40" ca="1">IF($G40=0,"",INDEX(auto_DataFlat_DataValue,$H40+BE$18))</f>
        <v>74</v>
      </c>
      <c r="BF40" s="153" cm="1">
        <f t="array" aca="1" ref="BF40" ca="1">IF($G40=0,"",INDEX(auto_DataFlat_DataValue,$H40+BF$18))</f>
        <v>93</v>
      </c>
      <c r="BG40" s="153" cm="1">
        <f t="array" aca="1" ref="BG40" ca="1">IF($G40=0,"",INDEX(auto_DataFlat_DataValue,$H40+BG$18))</f>
        <v>97.5</v>
      </c>
      <c r="BH40" s="153" cm="1">
        <f t="array" aca="1" ref="BH40" ca="1">IF($G40=0,"",INDEX(auto_DataFlat_DataValue,$H40+BH$18))</f>
        <v>60</v>
      </c>
      <c r="BI40" s="153" cm="1">
        <f t="array" aca="1" ref="BI40" ca="1">IF($G40=0,"",INDEX(auto_DataFlat_DataValue,$H40+BI$18))</f>
        <v>70.5</v>
      </c>
    </row>
    <row r="41" spans="1:61" ht="17.05" customHeight="1" x14ac:dyDescent="0.4">
      <c r="A41" t="str">
        <f t="shared" si="3"/>
        <v/>
      </c>
      <c r="B41" s="42" t="str">
        <f t="shared" ca="1" si="1"/>
        <v>V</v>
      </c>
      <c r="C41" s="100">
        <v>22</v>
      </c>
      <c r="D41" s="49" cm="1">
        <f t="array" aca="1" ref="D41" ca="1">INDEX(OFFSET(auto_ss_data_table,0,1,500,1),C41)</f>
        <v>22</v>
      </c>
      <c r="E41" s="101" cm="1">
        <f t="array" aca="1" ref="E41" ca="1">INDEX(auto_tblSeries,$D41,E$18)</f>
        <v>1</v>
      </c>
      <c r="F41" s="101" t="str" cm="1">
        <f t="array" aca="1" ref="F41" ca="1">INDEX(auto_tblSeries,$D41,F$18)</f>
        <v>#,0.0</v>
      </c>
      <c r="G41" s="101" cm="1">
        <f t="array" aca="1" ref="G41" ca="1">INDEX(auto_tblSeries,$D41,G$18)</f>
        <v>0</v>
      </c>
      <c r="H41" s="101" cm="1">
        <f t="array" aca="1" ref="H41" ca="1">INDEX(sys_DataFlat_LU_Grid,$D41,1)-1</f>
        <v>1260</v>
      </c>
      <c r="I41" s="26"/>
      <c r="J41" s="148" t="str" cm="1">
        <f t="array" aca="1" ref="J41" ca="1">INDEX(auto_Series_NameNumbered,$D41)</f>
        <v>3) HEALTH RISKS</v>
      </c>
      <c r="K41" s="149" t="str" cm="1">
        <f t="array" aca="1" ref="K41" ca="1">IF($G41=0,"",INDEX(auto_tblSeries,$D41,K$18))</f>
        <v/>
      </c>
      <c r="L41" s="150" t="str" cm="1">
        <f t="array" aca="1" ref="L41" ca="1">IF($G41=0,"",INDEX(auto_DataFlat_DataValue,$H41+L$18))</f>
        <v/>
      </c>
      <c r="M41" s="150" t="str" cm="1">
        <f t="array" aca="1" ref="M41" ca="1">IF($G41=0,"",INDEX(auto_DataFlat_DataValue,$H41+M$18))</f>
        <v/>
      </c>
      <c r="N41" s="150" t="str" cm="1">
        <f t="array" aca="1" ref="N41" ca="1">IF($G41=0,"",INDEX(auto_DataFlat_DataValue,$H41+N$18))</f>
        <v/>
      </c>
      <c r="O41" s="150" t="str" cm="1">
        <f t="array" aca="1" ref="O41" ca="1">IF($G41=0,"",INDEX(auto_DataFlat_DataValue,$H41+O$18))</f>
        <v/>
      </c>
      <c r="P41" s="150" t="str" cm="1">
        <f t="array" aca="1" ref="P41" ca="1">IF($G41=0,"",INDEX(auto_DataFlat_DataValue,$H41+P$18))</f>
        <v/>
      </c>
      <c r="Q41" s="150" t="str" cm="1">
        <f t="array" aca="1" ref="Q41" ca="1">IF($G41=0,"",INDEX(auto_DataFlat_DataValue,$H41+Q$18))</f>
        <v/>
      </c>
      <c r="R41" s="150" t="str" cm="1">
        <f t="array" aca="1" ref="R41" ca="1">IF($G41=0,"",INDEX(auto_DataFlat_DataValue,$H41+R$18))</f>
        <v/>
      </c>
      <c r="S41" s="150" t="str" cm="1">
        <f t="array" aca="1" ref="S41" ca="1">IF($G41=0,"",INDEX(auto_DataFlat_DataValue,$H41+S$18))</f>
        <v/>
      </c>
      <c r="T41" s="150" t="str" cm="1">
        <f t="array" aca="1" ref="T41" ca="1">IF($G41=0,"",INDEX(auto_DataFlat_DataValue,$H41+T$18))</f>
        <v/>
      </c>
      <c r="U41" s="150" t="str" cm="1">
        <f t="array" aca="1" ref="U41" ca="1">IF($G41=0,"",INDEX(auto_DataFlat_DataValue,$H41+U$18))</f>
        <v/>
      </c>
      <c r="V41" s="150" t="str" cm="1">
        <f t="array" aca="1" ref="V41" ca="1">IF($G41=0,"",INDEX(auto_DataFlat_DataValue,$H41+V$18))</f>
        <v/>
      </c>
      <c r="W41" s="150" t="str" cm="1">
        <f t="array" aca="1" ref="W41" ca="1">IF($G41=0,"",INDEX(auto_DataFlat_DataValue,$H41+W$18))</f>
        <v/>
      </c>
      <c r="X41" s="150" t="str" cm="1">
        <f t="array" aca="1" ref="X41" ca="1">IF($G41=0,"",INDEX(auto_DataFlat_DataValue,$H41+X$18))</f>
        <v/>
      </c>
      <c r="Y41" s="150" t="str" cm="1">
        <f t="array" aca="1" ref="Y41" ca="1">IF($G41=0,"",INDEX(auto_DataFlat_DataValue,$H41+Y$18))</f>
        <v/>
      </c>
      <c r="Z41" s="150" t="str" cm="1">
        <f t="array" aca="1" ref="Z41" ca="1">IF($G41=0,"",INDEX(auto_DataFlat_DataValue,$H41+Z$18))</f>
        <v/>
      </c>
      <c r="AA41" s="150" t="str" cm="1">
        <f t="array" aca="1" ref="AA41" ca="1">IF($G41=0,"",INDEX(auto_DataFlat_DataValue,$H41+AA$18))</f>
        <v/>
      </c>
      <c r="AB41" s="150" t="str" cm="1">
        <f t="array" aca="1" ref="AB41" ca="1">IF($G41=0,"",INDEX(auto_DataFlat_DataValue,$H41+AB$18))</f>
        <v/>
      </c>
      <c r="AC41" s="150" t="str" cm="1">
        <f t="array" aca="1" ref="AC41" ca="1">IF($G41=0,"",INDEX(auto_DataFlat_DataValue,$H41+AC$18))</f>
        <v/>
      </c>
      <c r="AD41" s="150" t="str" cm="1">
        <f t="array" aca="1" ref="AD41" ca="1">IF($G41=0,"",INDEX(auto_DataFlat_DataValue,$H41+AD$18))</f>
        <v/>
      </c>
      <c r="AE41" s="150" t="str" cm="1">
        <f t="array" aca="1" ref="AE41" ca="1">IF($G41=0,"",INDEX(auto_DataFlat_DataValue,$H41+AE$18))</f>
        <v/>
      </c>
      <c r="AF41" s="150" t="str" cm="1">
        <f t="array" aca="1" ref="AF41" ca="1">IF($G41=0,"",INDEX(auto_DataFlat_DataValue,$H41+AF$18))</f>
        <v/>
      </c>
      <c r="AG41" s="150" t="str" cm="1">
        <f t="array" aca="1" ref="AG41" ca="1">IF($G41=0,"",INDEX(auto_DataFlat_DataValue,$H41+AG$18))</f>
        <v/>
      </c>
      <c r="AH41" s="150" t="str" cm="1">
        <f t="array" aca="1" ref="AH41" ca="1">IF($G41=0,"",INDEX(auto_DataFlat_DataValue,$H41+AH$18))</f>
        <v/>
      </c>
      <c r="AI41" s="150" t="str" cm="1">
        <f t="array" aca="1" ref="AI41" ca="1">IF($G41=0,"",INDEX(auto_DataFlat_DataValue,$H41+AI$18))</f>
        <v/>
      </c>
      <c r="AJ41" s="150" t="str" cm="1">
        <f t="array" aca="1" ref="AJ41" ca="1">IF($G41=0,"",INDEX(auto_DataFlat_DataValue,$H41+AJ$18))</f>
        <v/>
      </c>
      <c r="AK41" s="150" t="str" cm="1">
        <f t="array" aca="1" ref="AK41" ca="1">IF($G41=0,"",INDEX(auto_DataFlat_DataValue,$H41+AK$18))</f>
        <v/>
      </c>
      <c r="AL41" s="150" t="str" cm="1">
        <f t="array" aca="1" ref="AL41" ca="1">IF($G41=0,"",INDEX(auto_DataFlat_DataValue,$H41+AL$18))</f>
        <v/>
      </c>
      <c r="AM41" s="150" t="str" cm="1">
        <f t="array" aca="1" ref="AM41" ca="1">IF($G41=0,"",INDEX(auto_DataFlat_DataValue,$H41+AM$18))</f>
        <v/>
      </c>
      <c r="AN41" s="150" t="str" cm="1">
        <f t="array" aca="1" ref="AN41" ca="1">IF($G41=0,"",INDEX(auto_DataFlat_DataValue,$H41+AN$18))</f>
        <v/>
      </c>
      <c r="AO41" s="150" t="str" cm="1">
        <f t="array" aca="1" ref="AO41" ca="1">IF($G41=0,"",INDEX(auto_DataFlat_DataValue,$H41+AO$18))</f>
        <v/>
      </c>
      <c r="AP41" s="150" t="str" cm="1">
        <f t="array" aca="1" ref="AP41" ca="1">IF($G41=0,"",INDEX(auto_DataFlat_DataValue,$H41+AP$18))</f>
        <v/>
      </c>
      <c r="AQ41" s="150" t="str" cm="1">
        <f t="array" aca="1" ref="AQ41" ca="1">IF($G41=0,"",INDEX(auto_DataFlat_DataValue,$H41+AQ$18))</f>
        <v/>
      </c>
      <c r="AR41" s="150" t="str" cm="1">
        <f t="array" aca="1" ref="AR41" ca="1">IF($G41=0,"",INDEX(auto_DataFlat_DataValue,$H41+AR$18))</f>
        <v/>
      </c>
      <c r="AS41" s="150" t="str" cm="1">
        <f t="array" aca="1" ref="AS41" ca="1">IF($G41=0,"",INDEX(auto_DataFlat_DataValue,$H41+AS$18))</f>
        <v/>
      </c>
      <c r="AT41" s="150" t="str" cm="1">
        <f t="array" aca="1" ref="AT41" ca="1">IF($G41=0,"",INDEX(auto_DataFlat_DataValue,$H41+AT$18))</f>
        <v/>
      </c>
      <c r="AU41" s="150" t="str" cm="1">
        <f t="array" aca="1" ref="AU41" ca="1">IF($G41=0,"",INDEX(auto_DataFlat_DataValue,$H41+AU$18))</f>
        <v/>
      </c>
      <c r="AV41" s="150" t="str" cm="1">
        <f t="array" aca="1" ref="AV41" ca="1">IF($G41=0,"",INDEX(auto_DataFlat_DataValue,$H41+AV$18))</f>
        <v/>
      </c>
      <c r="AW41" s="150" t="str" cm="1">
        <f t="array" aca="1" ref="AW41" ca="1">IF($G41=0,"",INDEX(auto_DataFlat_DataValue,$H41+AW$18))</f>
        <v/>
      </c>
      <c r="AX41" s="150" t="str" cm="1">
        <f t="array" aca="1" ref="AX41" ca="1">IF($G41=0,"",INDEX(auto_DataFlat_DataValue,$H41+AX$18))</f>
        <v/>
      </c>
      <c r="AY41" s="150" t="str" cm="1">
        <f t="array" aca="1" ref="AY41" ca="1">IF($G41=0,"",INDEX(auto_DataFlat_DataValue,$H41+AY$18))</f>
        <v/>
      </c>
      <c r="AZ41" s="150" t="str" cm="1">
        <f t="array" aca="1" ref="AZ41" ca="1">IF($G41=0,"",INDEX(auto_DataFlat_DataValue,$H41+AZ$18))</f>
        <v/>
      </c>
      <c r="BA41" s="150" t="str" cm="1">
        <f t="array" aca="1" ref="BA41" ca="1">IF($G41=0,"",INDEX(auto_DataFlat_DataValue,$H41+BA$18))</f>
        <v/>
      </c>
      <c r="BB41" s="150" t="str" cm="1">
        <f t="array" aca="1" ref="BB41" ca="1">IF($G41=0,"",INDEX(auto_DataFlat_DataValue,$H41+BB$18))</f>
        <v/>
      </c>
      <c r="BC41" s="150" t="str" cm="1">
        <f t="array" aca="1" ref="BC41" ca="1">IF($G41=0,"",INDEX(auto_DataFlat_DataValue,$H41+BC$18))</f>
        <v/>
      </c>
      <c r="BD41" s="150" t="str" cm="1">
        <f t="array" aca="1" ref="BD41" ca="1">IF($G41=0,"",INDEX(auto_DataFlat_DataValue,$H41+BD$18))</f>
        <v/>
      </c>
      <c r="BE41" s="150" t="str" cm="1">
        <f t="array" aca="1" ref="BE41" ca="1">IF($G41=0,"",INDEX(auto_DataFlat_DataValue,$H41+BE$18))</f>
        <v/>
      </c>
      <c r="BF41" s="150" t="str" cm="1">
        <f t="array" aca="1" ref="BF41" ca="1">IF($G41=0,"",INDEX(auto_DataFlat_DataValue,$H41+BF$18))</f>
        <v/>
      </c>
      <c r="BG41" s="150" t="str" cm="1">
        <f t="array" aca="1" ref="BG41" ca="1">IF($G41=0,"",INDEX(auto_DataFlat_DataValue,$H41+BG$18))</f>
        <v/>
      </c>
      <c r="BH41" s="150" t="str" cm="1">
        <f t="array" aca="1" ref="BH41" ca="1">IF($G41=0,"",INDEX(auto_DataFlat_DataValue,$H41+BH$18))</f>
        <v/>
      </c>
      <c r="BI41" s="150" t="str" cm="1">
        <f t="array" aca="1" ref="BI41" ca="1">IF($G41=0,"",INDEX(auto_DataFlat_DataValue,$H41+BI$18))</f>
        <v/>
      </c>
    </row>
    <row r="42" spans="1:61" ht="17.05" customHeight="1" x14ac:dyDescent="0.4">
      <c r="A42" t="str">
        <f t="shared" si="3"/>
        <v/>
      </c>
      <c r="B42" s="42" t="str">
        <f t="shared" ca="1" si="1"/>
        <v>V</v>
      </c>
      <c r="C42" s="100">
        <v>23</v>
      </c>
      <c r="D42" s="49" cm="1">
        <f t="array" aca="1" ref="D42" ca="1">INDEX(OFFSET(auto_ss_data_table,0,1,500,1),C42)</f>
        <v>23</v>
      </c>
      <c r="E42" s="101" cm="1">
        <f t="array" aca="1" ref="E42" ca="1">INDEX(auto_tblSeries,$D42,E$18)</f>
        <v>2</v>
      </c>
      <c r="F42" s="101" t="str" cm="1">
        <f t="array" aca="1" ref="F42" ca="1">INDEX(auto_tblSeries,$D42,F$18)</f>
        <v>#,0.0</v>
      </c>
      <c r="G42" s="101" cm="1">
        <f t="array" aca="1" ref="G42" ca="1">INDEX(auto_tblSeries,$D42,G$18)</f>
        <v>0</v>
      </c>
      <c r="H42" s="101" cm="1">
        <f t="array" aca="1" ref="H42" ca="1">INDEX(sys_DataFlat_LU_Grid,$D42,1)-1</f>
        <v>1320</v>
      </c>
      <c r="I42" s="26"/>
      <c r="J42" s="148" t="str" cm="1">
        <f t="array" aca="1" ref="J42" ca="1">INDEX(auto_Series_NameNumbered,$D42)</f>
        <v>3.1) Tobacco use</v>
      </c>
      <c r="K42" s="149" t="str" cm="1">
        <f t="array" aca="1" ref="K42" ca="1">IF($G42=0,"",INDEX(auto_tblSeries,$D42,K$18))</f>
        <v/>
      </c>
      <c r="L42" s="150" t="str" cm="1">
        <f t="array" aca="1" ref="L42" ca="1">IF($G42=0,"",INDEX(auto_DataFlat_DataValue,$H42+L$18))</f>
        <v/>
      </c>
      <c r="M42" s="150" t="str" cm="1">
        <f t="array" aca="1" ref="M42" ca="1">IF($G42=0,"",INDEX(auto_DataFlat_DataValue,$H42+M$18))</f>
        <v/>
      </c>
      <c r="N42" s="150" t="str" cm="1">
        <f t="array" aca="1" ref="N42" ca="1">IF($G42=0,"",INDEX(auto_DataFlat_DataValue,$H42+N$18))</f>
        <v/>
      </c>
      <c r="O42" s="150" t="str" cm="1">
        <f t="array" aca="1" ref="O42" ca="1">IF($G42=0,"",INDEX(auto_DataFlat_DataValue,$H42+O$18))</f>
        <v/>
      </c>
      <c r="P42" s="150" t="str" cm="1">
        <f t="array" aca="1" ref="P42" ca="1">IF($G42=0,"",INDEX(auto_DataFlat_DataValue,$H42+P$18))</f>
        <v/>
      </c>
      <c r="Q42" s="150" t="str" cm="1">
        <f t="array" aca="1" ref="Q42" ca="1">IF($G42=0,"",INDEX(auto_DataFlat_DataValue,$H42+Q$18))</f>
        <v/>
      </c>
      <c r="R42" s="150" t="str" cm="1">
        <f t="array" aca="1" ref="R42" ca="1">IF($G42=0,"",INDEX(auto_DataFlat_DataValue,$H42+R$18))</f>
        <v/>
      </c>
      <c r="S42" s="150" t="str" cm="1">
        <f t="array" aca="1" ref="S42" ca="1">IF($G42=0,"",INDEX(auto_DataFlat_DataValue,$H42+S$18))</f>
        <v/>
      </c>
      <c r="T42" s="150" t="str" cm="1">
        <f t="array" aca="1" ref="T42" ca="1">IF($G42=0,"",INDEX(auto_DataFlat_DataValue,$H42+T$18))</f>
        <v/>
      </c>
      <c r="U42" s="150" t="str" cm="1">
        <f t="array" aca="1" ref="U42" ca="1">IF($G42=0,"",INDEX(auto_DataFlat_DataValue,$H42+U$18))</f>
        <v/>
      </c>
      <c r="V42" s="150" t="str" cm="1">
        <f t="array" aca="1" ref="V42" ca="1">IF($G42=0,"",INDEX(auto_DataFlat_DataValue,$H42+V$18))</f>
        <v/>
      </c>
      <c r="W42" s="150" t="str" cm="1">
        <f t="array" aca="1" ref="W42" ca="1">IF($G42=0,"",INDEX(auto_DataFlat_DataValue,$H42+W$18))</f>
        <v/>
      </c>
      <c r="X42" s="150" t="str" cm="1">
        <f t="array" aca="1" ref="X42" ca="1">IF($G42=0,"",INDEX(auto_DataFlat_DataValue,$H42+X$18))</f>
        <v/>
      </c>
      <c r="Y42" s="150" t="str" cm="1">
        <f t="array" aca="1" ref="Y42" ca="1">IF($G42=0,"",INDEX(auto_DataFlat_DataValue,$H42+Y$18))</f>
        <v/>
      </c>
      <c r="Z42" s="150" t="str" cm="1">
        <f t="array" aca="1" ref="Z42" ca="1">IF($G42=0,"",INDEX(auto_DataFlat_DataValue,$H42+Z$18))</f>
        <v/>
      </c>
      <c r="AA42" s="150" t="str" cm="1">
        <f t="array" aca="1" ref="AA42" ca="1">IF($G42=0,"",INDEX(auto_DataFlat_DataValue,$H42+AA$18))</f>
        <v/>
      </c>
      <c r="AB42" s="150" t="str" cm="1">
        <f t="array" aca="1" ref="AB42" ca="1">IF($G42=0,"",INDEX(auto_DataFlat_DataValue,$H42+AB$18))</f>
        <v/>
      </c>
      <c r="AC42" s="150" t="str" cm="1">
        <f t="array" aca="1" ref="AC42" ca="1">IF($G42=0,"",INDEX(auto_DataFlat_DataValue,$H42+AC$18))</f>
        <v/>
      </c>
      <c r="AD42" s="150" t="str" cm="1">
        <f t="array" aca="1" ref="AD42" ca="1">IF($G42=0,"",INDEX(auto_DataFlat_DataValue,$H42+AD$18))</f>
        <v/>
      </c>
      <c r="AE42" s="150" t="str" cm="1">
        <f t="array" aca="1" ref="AE42" ca="1">IF($G42=0,"",INDEX(auto_DataFlat_DataValue,$H42+AE$18))</f>
        <v/>
      </c>
      <c r="AF42" s="150" t="str" cm="1">
        <f t="array" aca="1" ref="AF42" ca="1">IF($G42=0,"",INDEX(auto_DataFlat_DataValue,$H42+AF$18))</f>
        <v/>
      </c>
      <c r="AG42" s="150" t="str" cm="1">
        <f t="array" aca="1" ref="AG42" ca="1">IF($G42=0,"",INDEX(auto_DataFlat_DataValue,$H42+AG$18))</f>
        <v/>
      </c>
      <c r="AH42" s="150" t="str" cm="1">
        <f t="array" aca="1" ref="AH42" ca="1">IF($G42=0,"",INDEX(auto_DataFlat_DataValue,$H42+AH$18))</f>
        <v/>
      </c>
      <c r="AI42" s="150" t="str" cm="1">
        <f t="array" aca="1" ref="AI42" ca="1">IF($G42=0,"",INDEX(auto_DataFlat_DataValue,$H42+AI$18))</f>
        <v/>
      </c>
      <c r="AJ42" s="150" t="str" cm="1">
        <f t="array" aca="1" ref="AJ42" ca="1">IF($G42=0,"",INDEX(auto_DataFlat_DataValue,$H42+AJ$18))</f>
        <v/>
      </c>
      <c r="AK42" s="150" t="str" cm="1">
        <f t="array" aca="1" ref="AK42" ca="1">IF($G42=0,"",INDEX(auto_DataFlat_DataValue,$H42+AK$18))</f>
        <v/>
      </c>
      <c r="AL42" s="150" t="str" cm="1">
        <f t="array" aca="1" ref="AL42" ca="1">IF($G42=0,"",INDEX(auto_DataFlat_DataValue,$H42+AL$18))</f>
        <v/>
      </c>
      <c r="AM42" s="150" t="str" cm="1">
        <f t="array" aca="1" ref="AM42" ca="1">IF($G42=0,"",INDEX(auto_DataFlat_DataValue,$H42+AM$18))</f>
        <v/>
      </c>
      <c r="AN42" s="150" t="str" cm="1">
        <f t="array" aca="1" ref="AN42" ca="1">IF($G42=0,"",INDEX(auto_DataFlat_DataValue,$H42+AN$18))</f>
        <v/>
      </c>
      <c r="AO42" s="150" t="str" cm="1">
        <f t="array" aca="1" ref="AO42" ca="1">IF($G42=0,"",INDEX(auto_DataFlat_DataValue,$H42+AO$18))</f>
        <v/>
      </c>
      <c r="AP42" s="150" t="str" cm="1">
        <f t="array" aca="1" ref="AP42" ca="1">IF($G42=0,"",INDEX(auto_DataFlat_DataValue,$H42+AP$18))</f>
        <v/>
      </c>
      <c r="AQ42" s="150" t="str" cm="1">
        <f t="array" aca="1" ref="AQ42" ca="1">IF($G42=0,"",INDEX(auto_DataFlat_DataValue,$H42+AQ$18))</f>
        <v/>
      </c>
      <c r="AR42" s="150" t="str" cm="1">
        <f t="array" aca="1" ref="AR42" ca="1">IF($G42=0,"",INDEX(auto_DataFlat_DataValue,$H42+AR$18))</f>
        <v/>
      </c>
      <c r="AS42" s="150" t="str" cm="1">
        <f t="array" aca="1" ref="AS42" ca="1">IF($G42=0,"",INDEX(auto_DataFlat_DataValue,$H42+AS$18))</f>
        <v/>
      </c>
      <c r="AT42" s="150" t="str" cm="1">
        <f t="array" aca="1" ref="AT42" ca="1">IF($G42=0,"",INDEX(auto_DataFlat_DataValue,$H42+AT$18))</f>
        <v/>
      </c>
      <c r="AU42" s="150" t="str" cm="1">
        <f t="array" aca="1" ref="AU42" ca="1">IF($G42=0,"",INDEX(auto_DataFlat_DataValue,$H42+AU$18))</f>
        <v/>
      </c>
      <c r="AV42" s="150" t="str" cm="1">
        <f t="array" aca="1" ref="AV42" ca="1">IF($G42=0,"",INDEX(auto_DataFlat_DataValue,$H42+AV$18))</f>
        <v/>
      </c>
      <c r="AW42" s="150" t="str" cm="1">
        <f t="array" aca="1" ref="AW42" ca="1">IF($G42=0,"",INDEX(auto_DataFlat_DataValue,$H42+AW$18))</f>
        <v/>
      </c>
      <c r="AX42" s="150" t="str" cm="1">
        <f t="array" aca="1" ref="AX42" ca="1">IF($G42=0,"",INDEX(auto_DataFlat_DataValue,$H42+AX$18))</f>
        <v/>
      </c>
      <c r="AY42" s="150" t="str" cm="1">
        <f t="array" aca="1" ref="AY42" ca="1">IF($G42=0,"",INDEX(auto_DataFlat_DataValue,$H42+AY$18))</f>
        <v/>
      </c>
      <c r="AZ42" s="150" t="str" cm="1">
        <f t="array" aca="1" ref="AZ42" ca="1">IF($G42=0,"",INDEX(auto_DataFlat_DataValue,$H42+AZ$18))</f>
        <v/>
      </c>
      <c r="BA42" s="150" t="str" cm="1">
        <f t="array" aca="1" ref="BA42" ca="1">IF($G42=0,"",INDEX(auto_DataFlat_DataValue,$H42+BA$18))</f>
        <v/>
      </c>
      <c r="BB42" s="150" t="str" cm="1">
        <f t="array" aca="1" ref="BB42" ca="1">IF($G42=0,"",INDEX(auto_DataFlat_DataValue,$H42+BB$18))</f>
        <v/>
      </c>
      <c r="BC42" s="150" t="str" cm="1">
        <f t="array" aca="1" ref="BC42" ca="1">IF($G42=0,"",INDEX(auto_DataFlat_DataValue,$H42+BC$18))</f>
        <v/>
      </c>
      <c r="BD42" s="150" t="str" cm="1">
        <f t="array" aca="1" ref="BD42" ca="1">IF($G42=0,"",INDEX(auto_DataFlat_DataValue,$H42+BD$18))</f>
        <v/>
      </c>
      <c r="BE42" s="150" t="str" cm="1">
        <f t="array" aca="1" ref="BE42" ca="1">IF($G42=0,"",INDEX(auto_DataFlat_DataValue,$H42+BE$18))</f>
        <v/>
      </c>
      <c r="BF42" s="150" t="str" cm="1">
        <f t="array" aca="1" ref="BF42" ca="1">IF($G42=0,"",INDEX(auto_DataFlat_DataValue,$H42+BF$18))</f>
        <v/>
      </c>
      <c r="BG42" s="150" t="str" cm="1">
        <f t="array" aca="1" ref="BG42" ca="1">IF($G42=0,"",INDEX(auto_DataFlat_DataValue,$H42+BG$18))</f>
        <v/>
      </c>
      <c r="BH42" s="150" t="str" cm="1">
        <f t="array" aca="1" ref="BH42" ca="1">IF($G42=0,"",INDEX(auto_DataFlat_DataValue,$H42+BH$18))</f>
        <v/>
      </c>
      <c r="BI42" s="150" t="str" cm="1">
        <f t="array" aca="1" ref="BI42" ca="1">IF($G42=0,"",INDEX(auto_DataFlat_DataValue,$H42+BI$18))</f>
        <v/>
      </c>
    </row>
    <row r="43" spans="1:61" ht="17.05" customHeight="1" x14ac:dyDescent="0.4">
      <c r="A43" t="str">
        <f t="shared" si="3"/>
        <v/>
      </c>
      <c r="B43" s="42" t="str">
        <f t="shared" ca="1" si="1"/>
        <v/>
      </c>
      <c r="C43" s="100">
        <v>24</v>
      </c>
      <c r="D43" s="49" cm="1">
        <f t="array" aca="1" ref="D43" ca="1">INDEX(OFFSET(auto_ss_data_table,0,1,500,1),C43)</f>
        <v>24</v>
      </c>
      <c r="E43" s="101" cm="1">
        <f t="array" aca="1" ref="E43" ca="1">INDEX(auto_tblSeries,$D43,E$18)</f>
        <v>3</v>
      </c>
      <c r="F43" s="101" t="str" cm="1">
        <f t="array" aca="1" ref="F43" ca="1">INDEX(auto_tblSeries,$D43,F$18)</f>
        <v>#,0.0</v>
      </c>
      <c r="G43" s="101" cm="1">
        <f t="array" aca="1" ref="G43" ca="1">INDEX(auto_tblSeries,$D43,G$18)</f>
        <v>1</v>
      </c>
      <c r="H43" s="101" cm="1">
        <f t="array" aca="1" ref="H43" ca="1">INDEX(sys_DataFlat_LU_Grid,$D43,1)-1</f>
        <v>1380</v>
      </c>
      <c r="I43" s="26"/>
      <c r="J43" s="151" t="str" cm="1">
        <f t="array" aca="1" ref="J43" ca="1">INDEX(auto_Series_NameNumbered,$D43)</f>
        <v>3.1a) Tobacco use: national data</v>
      </c>
      <c r="K43" s="152" t="str" cm="1">
        <f t="array" aca="1" ref="K43" ca="1">IF($G43=0,"",INDEX(auto_tblSeries,$D43,K$18))</f>
        <v>%</v>
      </c>
      <c r="L43" s="153" cm="1">
        <f t="array" aca="1" ref="L43" ca="1">IF($G43=0,"",INDEX(auto_DataFlat_DataValue,$H43+L$18))</f>
        <v>5.2</v>
      </c>
      <c r="M43" s="153" cm="1">
        <f t="array" aca="1" ref="M43" ca="1">IF($G43=0,"",INDEX(auto_DataFlat_DataValue,$H43+M$18))</f>
        <v>21.2</v>
      </c>
      <c r="N43" s="153" cm="1">
        <f t="array" aca="1" ref="N43" ca="1">IF($G43=0,"",INDEX(auto_DataFlat_DataValue,$H43+N$18))</f>
        <v>24.3</v>
      </c>
      <c r="O43" s="153" cm="1">
        <f t="array" aca="1" ref="O43" ca="1">IF($G43=0,"",INDEX(auto_DataFlat_DataValue,$H43+O$18))</f>
        <v>12.2</v>
      </c>
      <c r="P43" s="153" cm="1">
        <f t="array" aca="1" ref="P43" ca="1">IF($G43=0,"",INDEX(auto_DataFlat_DataValue,$H43+P$18))</f>
        <v>19.2</v>
      </c>
      <c r="Q43" s="153" cm="1">
        <f t="array" aca="1" ref="Q43" ca="1">IF($G43=0,"",INDEX(auto_DataFlat_DataValue,$H43+Q$18))</f>
        <v>23.4</v>
      </c>
      <c r="R43" s="153" cm="1">
        <f t="array" aca="1" ref="R43" ca="1">IF($G43=0,"",INDEX(auto_DataFlat_DataValue,$H43+R$18))</f>
        <v>21.3</v>
      </c>
      <c r="S43" s="153" cm="1">
        <f t="array" aca="1" ref="S43" ca="1">IF($G43=0,"",INDEX(auto_DataFlat_DataValue,$H43+S$18))</f>
        <v>8.1999999999999993</v>
      </c>
      <c r="T43" s="153" cm="1">
        <f t="array" aca="1" ref="T43" ca="1">IF($G43=0,"",INDEX(auto_DataFlat_DataValue,$H43+T$18))</f>
        <v>32.200000000000003</v>
      </c>
      <c r="U43" s="153" cm="1">
        <f t="array" aca="1" ref="U43" ca="1">IF($G43=0,"",INDEX(auto_DataFlat_DataValue,$H43+U$18))</f>
        <v>24.7</v>
      </c>
      <c r="V43" s="153" cm="1">
        <f t="array" aca="1" ref="V43" ca="1">IF($G43=0,"",INDEX(auto_DataFlat_DataValue,$H43+V$18))</f>
        <v>19.5</v>
      </c>
      <c r="W43" s="153" cm="1">
        <f t="array" aca="1" ref="W43" ca="1">IF($G43=0,"",INDEX(auto_DataFlat_DataValue,$H43+W$18))</f>
        <v>24.3</v>
      </c>
      <c r="X43" s="153" cm="1">
        <f t="array" aca="1" ref="X43" ca="1">IF($G43=0,"",INDEX(auto_DataFlat_DataValue,$H43+X$18))</f>
        <v>32.9</v>
      </c>
      <c r="Y43" s="153" cm="1">
        <f t="array" aca="1" ref="Y43" ca="1">IF($G43=0,"",INDEX(auto_DataFlat_DataValue,$H43+Y$18))</f>
        <v>9</v>
      </c>
      <c r="Z43" s="153" cm="1">
        <f t="array" aca="1" ref="Z43" ca="1">IF($G43=0,"",INDEX(auto_DataFlat_DataValue,$H43+Z$18))</f>
        <v>22.3</v>
      </c>
      <c r="AA43" s="153" cm="1">
        <f t="array" aca="1" ref="AA43" ca="1">IF($G43=0,"",INDEX(auto_DataFlat_DataValue,$H43+AA$18))</f>
        <v>22.5</v>
      </c>
      <c r="AB43" s="153" cm="1">
        <f t="array" aca="1" ref="AB43" ca="1">IF($G43=0,"",INDEX(auto_DataFlat_DataValue,$H43+AB$18))</f>
        <v>22.5</v>
      </c>
      <c r="AC43" s="153" cm="1">
        <f t="array" aca="1" ref="AC43" ca="1">IF($G43=0,"",INDEX(auto_DataFlat_DataValue,$H43+AC$18))</f>
        <v>30.5</v>
      </c>
      <c r="AD43" s="153" cm="1">
        <f t="array" aca="1" ref="AD43" ca="1">IF($G43=0,"",INDEX(auto_DataFlat_DataValue,$H43+AD$18))</f>
        <v>38.200000000000003</v>
      </c>
      <c r="AE43" s="153" cm="1">
        <f t="array" aca="1" ref="AE43" ca="1">IF($G43=0,"",INDEX(auto_DataFlat_DataValue,$H43+AE$18))</f>
        <v>20.7</v>
      </c>
      <c r="AF43" s="153" cm="1">
        <f t="array" aca="1" ref="AF43" ca="1">IF($G43=0,"",INDEX(auto_DataFlat_DataValue,$H43+AF$18))</f>
        <v>18.899999999999999</v>
      </c>
      <c r="AG43" s="153" cm="1">
        <f t="array" aca="1" ref="AG43" ca="1">IF($G43=0,"",INDEX(auto_DataFlat_DataValue,$H43+AG$18))</f>
        <v>28.3</v>
      </c>
      <c r="AH43" s="153" cm="1">
        <f t="array" aca="1" ref="AH43" ca="1">IF($G43=0,"",INDEX(auto_DataFlat_DataValue,$H43+AH$18))</f>
        <v>24.3</v>
      </c>
      <c r="AI43" s="153" cm="1">
        <f t="array" aca="1" ref="AI43" ca="1">IF($G43=0,"",INDEX(auto_DataFlat_DataValue,$H43+AI$18))</f>
        <v>19.899999999999999</v>
      </c>
      <c r="AJ43" s="153" cm="1">
        <f t="array" aca="1" ref="AJ43" ca="1">IF($G43=0,"",INDEX(auto_DataFlat_DataValue,$H43+AJ$18))</f>
        <v>3.3</v>
      </c>
      <c r="AK43" s="153" cm="1">
        <f t="array" aca="1" ref="AK43" ca="1">IF($G43=0,"",INDEX(auto_DataFlat_DataValue,$H43+AK$18))</f>
        <v>14.2</v>
      </c>
      <c r="AL43" s="153" cm="1">
        <f t="array" aca="1" ref="AL43" ca="1">IF($G43=0,"",INDEX(auto_DataFlat_DataValue,$H43+AL$18))</f>
        <v>28.4</v>
      </c>
      <c r="AM43" s="153" cm="1">
        <f t="array" aca="1" ref="AM43" ca="1">IF($G43=0,"",INDEX(auto_DataFlat_DataValue,$H43+AM$18))</f>
        <v>20.399999999999999</v>
      </c>
      <c r="AN43" s="153" cm="1">
        <f t="array" aca="1" ref="AN43" ca="1">IF($G43=0,"",INDEX(auto_DataFlat_DataValue,$H43+AN$18))</f>
        <v>13.1</v>
      </c>
      <c r="AO43" s="153" cm="1">
        <f t="array" aca="1" ref="AO43" ca="1">IF($G43=0,"",INDEX(auto_DataFlat_DataValue,$H43+AO$18))</f>
        <v>14.9</v>
      </c>
      <c r="AP43" s="153" cm="1">
        <f t="array" aca="1" ref="AP43" ca="1">IF($G43=0,"",INDEX(auto_DataFlat_DataValue,$H43+AP$18))</f>
        <v>29.2</v>
      </c>
      <c r="AQ43" s="153" cm="1">
        <f t="array" aca="1" ref="AQ43" ca="1">IF($G43=0,"",INDEX(auto_DataFlat_DataValue,$H43+AQ$18))</f>
        <v>24.3</v>
      </c>
      <c r="AR43" s="153" cm="1">
        <f t="array" aca="1" ref="AR43" ca="1">IF($G43=0,"",INDEX(auto_DataFlat_DataValue,$H43+AR$18))</f>
        <v>10.7</v>
      </c>
      <c r="AS43" s="153" cm="1">
        <f t="array" aca="1" ref="AS43" ca="1">IF($G43=0,"",INDEX(auto_DataFlat_DataValue,$H43+AS$18))</f>
        <v>24.3</v>
      </c>
      <c r="AT43" s="153" cm="1">
        <f t="array" aca="1" ref="AT43" ca="1">IF($G43=0,"",INDEX(auto_DataFlat_DataValue,$H43+AT$18))</f>
        <v>19.2</v>
      </c>
      <c r="AU43" s="153" cm="1">
        <f t="array" aca="1" ref="AU43" ca="1">IF($G43=0,"",INDEX(auto_DataFlat_DataValue,$H43+AU$18))</f>
        <v>34.6</v>
      </c>
      <c r="AV43" s="153" cm="1">
        <f t="array" aca="1" ref="AV43" ca="1">IF($G43=0,"",INDEX(auto_DataFlat_DataValue,$H43+AV$18))</f>
        <v>17.2</v>
      </c>
      <c r="AW43" s="153" cm="1">
        <f t="array" aca="1" ref="AW43" ca="1">IF($G43=0,"",INDEX(auto_DataFlat_DataValue,$H43+AW$18))</f>
        <v>14.9</v>
      </c>
      <c r="AX43" s="153" cm="1">
        <f t="array" aca="1" ref="AX43" ca="1">IF($G43=0,"",INDEX(auto_DataFlat_DataValue,$H43+AX$18))</f>
        <v>22.4</v>
      </c>
      <c r="AY43" s="153" cm="1">
        <f t="array" aca="1" ref="AY43" ca="1">IF($G43=0,"",INDEX(auto_DataFlat_DataValue,$H43+AY$18))</f>
        <v>24.3</v>
      </c>
      <c r="AZ43" s="153" cm="1">
        <f t="array" aca="1" ref="AZ43" ca="1">IF($G43=0,"",INDEX(auto_DataFlat_DataValue,$H43+AZ$18))</f>
        <v>12.2</v>
      </c>
      <c r="BA43" s="153" cm="1">
        <f t="array" aca="1" ref="BA43" ca="1">IF($G43=0,"",INDEX(auto_DataFlat_DataValue,$H43+BA$18))</f>
        <v>20</v>
      </c>
      <c r="BB43" s="153" cm="1">
        <f t="array" aca="1" ref="BB43" ca="1">IF($G43=0,"",INDEX(auto_DataFlat_DataValue,$H43+BB$18))</f>
        <v>23.4</v>
      </c>
      <c r="BC43" s="153" cm="1">
        <f t="array" aca="1" ref="BC43" ca="1">IF($G43=0,"",INDEX(auto_DataFlat_DataValue,$H43+BC$18))</f>
        <v>16.399999999999999</v>
      </c>
      <c r="BD43" s="153" cm="1">
        <f t="array" aca="1" ref="BD43" ca="1">IF($G43=0,"",INDEX(auto_DataFlat_DataValue,$H43+BD$18))</f>
        <v>13.1</v>
      </c>
      <c r="BE43" s="153" cm="1">
        <f t="array" aca="1" ref="BE43" ca="1">IF($G43=0,"",INDEX(auto_DataFlat_DataValue,$H43+BE$18))</f>
        <v>19.2</v>
      </c>
      <c r="BF43" s="153" cm="1">
        <f t="array" aca="1" ref="BF43" ca="1">IF($G43=0,"",INDEX(auto_DataFlat_DataValue,$H43+BF$18))</f>
        <v>12</v>
      </c>
      <c r="BG43" s="153" cm="1">
        <f t="array" aca="1" ref="BG43" ca="1">IF($G43=0,"",INDEX(auto_DataFlat_DataValue,$H43+BG$18))</f>
        <v>24.9</v>
      </c>
      <c r="BH43" s="153" cm="1">
        <f t="array" aca="1" ref="BH43" ca="1">IF($G43=0,"",INDEX(auto_DataFlat_DataValue,$H43+BH$18))</f>
        <v>23.4</v>
      </c>
      <c r="BI43" s="153" cm="1">
        <f t="array" aca="1" ref="BI43" ca="1">IF($G43=0,"",INDEX(auto_DataFlat_DataValue,$H43+BI$18))</f>
        <v>44.4</v>
      </c>
    </row>
    <row r="44" spans="1:61" ht="17.05" customHeight="1" x14ac:dyDescent="0.4">
      <c r="A44" t="str">
        <f t="shared" si="3"/>
        <v/>
      </c>
      <c r="B44" s="42" t="str">
        <f t="shared" ca="1" si="1"/>
        <v/>
      </c>
      <c r="C44" s="100">
        <v>25</v>
      </c>
      <c r="D44" s="49" cm="1">
        <f t="array" aca="1" ref="D44" ca="1">INDEX(OFFSET(auto_ss_data_table,0,1,500,1),C44)</f>
        <v>25</v>
      </c>
      <c r="E44" s="101" cm="1">
        <f t="array" aca="1" ref="E44" ca="1">INDEX(auto_tblSeries,$D44,E$18)</f>
        <v>3</v>
      </c>
      <c r="F44" s="101" t="str" cm="1">
        <f t="array" aca="1" ref="F44" ca="1">INDEX(auto_tblSeries,$D44,F$18)</f>
        <v>#,##0</v>
      </c>
      <c r="G44" s="101" cm="1">
        <f t="array" aca="1" ref="G44" ca="1">INDEX(auto_tblSeries,$D44,G$18)</f>
        <v>1</v>
      </c>
      <c r="H44" s="101" cm="1">
        <f t="array" aca="1" ref="H44" ca="1">INDEX(sys_DataFlat_LU_Grid,$D44,1)-1</f>
        <v>1440</v>
      </c>
      <c r="I44" s="26"/>
      <c r="J44" s="151" t="str" cm="1">
        <f t="array" aca="1" ref="J44" ca="1">INDEX(auto_Series_NameNumbered,$D44)</f>
        <v>3.1b) Tobacco use: city-level data availability</v>
      </c>
      <c r="K44" s="152" t="str" cm="1">
        <f t="array" aca="1" ref="K44" ca="1">IF($G44=0,"",INDEX(auto_tblSeries,$D44,K$18))</f>
        <v>Rating 0-1</v>
      </c>
      <c r="L44" s="154" cm="1">
        <f t="array" aca="1" ref="L44" ca="1">IF($G44=0,"",INDEX(auto_DataFlat_DataValue,$H44+L$18))</f>
        <v>0</v>
      </c>
      <c r="M44" s="154" cm="1">
        <f t="array" aca="1" ref="M44" ca="1">IF($G44=0,"",INDEX(auto_DataFlat_DataValue,$H44+M$18))</f>
        <v>0</v>
      </c>
      <c r="N44" s="154" cm="1">
        <f t="array" aca="1" ref="N44" ca="1">IF($G44=0,"",INDEX(auto_DataFlat_DataValue,$H44+N$18))</f>
        <v>0</v>
      </c>
      <c r="O44" s="154" cm="1">
        <f t="array" aca="1" ref="O44" ca="1">IF($G44=0,"",INDEX(auto_DataFlat_DataValue,$H44+O$18))</f>
        <v>1</v>
      </c>
      <c r="P44" s="154" cm="1">
        <f t="array" aca="1" ref="P44" ca="1">IF($G44=0,"",INDEX(auto_DataFlat_DataValue,$H44+P$18))</f>
        <v>1</v>
      </c>
      <c r="Q44" s="154" cm="1">
        <f t="array" aca="1" ref="Q44" ca="1">IF($G44=0,"",INDEX(auto_DataFlat_DataValue,$H44+Q$18))</f>
        <v>1</v>
      </c>
      <c r="R44" s="154" cm="1">
        <f t="array" aca="1" ref="R44" ca="1">IF($G44=0,"",INDEX(auto_DataFlat_DataValue,$H44+R$18))</f>
        <v>1</v>
      </c>
      <c r="S44" s="154" cm="1">
        <f t="array" aca="1" ref="S44" ca="1">IF($G44=0,"",INDEX(auto_DataFlat_DataValue,$H44+S$18))</f>
        <v>1</v>
      </c>
      <c r="T44" s="154" cm="1">
        <f t="array" aca="1" ref="T44" ca="1">IF($G44=0,"",INDEX(auto_DataFlat_DataValue,$H44+T$18))</f>
        <v>1</v>
      </c>
      <c r="U44" s="154" cm="1">
        <f t="array" aca="1" ref="U44" ca="1">IF($G44=0,"",INDEX(auto_DataFlat_DataValue,$H44+U$18))</f>
        <v>0</v>
      </c>
      <c r="V44" s="154" cm="1">
        <f t="array" aca="1" ref="V44" ca="1">IF($G44=0,"",INDEX(auto_DataFlat_DataValue,$H44+V$18))</f>
        <v>1</v>
      </c>
      <c r="W44" s="154" cm="1">
        <f t="array" aca="1" ref="W44" ca="1">IF($G44=0,"",INDEX(auto_DataFlat_DataValue,$H44+W$18))</f>
        <v>1</v>
      </c>
      <c r="X44" s="154" cm="1">
        <f t="array" aca="1" ref="X44" ca="1">IF($G44=0,"",INDEX(auto_DataFlat_DataValue,$H44+X$18))</f>
        <v>0</v>
      </c>
      <c r="Y44" s="154" cm="1">
        <f t="array" aca="1" ref="Y44" ca="1">IF($G44=0,"",INDEX(auto_DataFlat_DataValue,$H44+Y$18))</f>
        <v>1</v>
      </c>
      <c r="Z44" s="154" cm="1">
        <f t="array" aca="1" ref="Z44" ca="1">IF($G44=0,"",INDEX(auto_DataFlat_DataValue,$H44+Z$18))</f>
        <v>1</v>
      </c>
      <c r="AA44" s="154" cm="1">
        <f t="array" aca="1" ref="AA44" ca="1">IF($G44=0,"",INDEX(auto_DataFlat_DataValue,$H44+AA$18))</f>
        <v>0</v>
      </c>
      <c r="AB44" s="154" cm="1">
        <f t="array" aca="1" ref="AB44" ca="1">IF($G44=0,"",INDEX(auto_DataFlat_DataValue,$H44+AB$18))</f>
        <v>1</v>
      </c>
      <c r="AC44" s="154" cm="1">
        <f t="array" aca="1" ref="AC44" ca="1">IF($G44=0,"",INDEX(auto_DataFlat_DataValue,$H44+AC$18))</f>
        <v>0</v>
      </c>
      <c r="AD44" s="154" cm="1">
        <f t="array" aca="1" ref="AD44" ca="1">IF($G44=0,"",INDEX(auto_DataFlat_DataValue,$H44+AD$18))</f>
        <v>1</v>
      </c>
      <c r="AE44" s="154" cm="1">
        <f t="array" aca="1" ref="AE44" ca="1">IF($G44=0,"",INDEX(auto_DataFlat_DataValue,$H44+AE$18))</f>
        <v>1</v>
      </c>
      <c r="AF44" s="154" cm="1">
        <f t="array" aca="1" ref="AF44" ca="1">IF($G44=0,"",INDEX(auto_DataFlat_DataValue,$H44+AF$18))</f>
        <v>0</v>
      </c>
      <c r="AG44" s="154" cm="1">
        <f t="array" aca="1" ref="AG44" ca="1">IF($G44=0,"",INDEX(auto_DataFlat_DataValue,$H44+AG$18))</f>
        <v>0</v>
      </c>
      <c r="AH44" s="154" cm="1">
        <f t="array" aca="1" ref="AH44" ca="1">IF($G44=0,"",INDEX(auto_DataFlat_DataValue,$H44+AH$18))</f>
        <v>0</v>
      </c>
      <c r="AI44" s="154" cm="1">
        <f t="array" aca="1" ref="AI44" ca="1">IF($G44=0,"",INDEX(auto_DataFlat_DataValue,$H44+AI$18))</f>
        <v>0</v>
      </c>
      <c r="AJ44" s="154" cm="1">
        <f t="array" aca="1" ref="AJ44" ca="1">IF($G44=0,"",INDEX(auto_DataFlat_DataValue,$H44+AJ$18))</f>
        <v>1</v>
      </c>
      <c r="AK44" s="154" cm="1">
        <f t="array" aca="1" ref="AK44" ca="1">IF($G44=0,"",INDEX(auto_DataFlat_DataValue,$H44+AK$18))</f>
        <v>1</v>
      </c>
      <c r="AL44" s="154" cm="1">
        <f t="array" aca="1" ref="AL44" ca="1">IF($G44=0,"",INDEX(auto_DataFlat_DataValue,$H44+AL$18))</f>
        <v>1</v>
      </c>
      <c r="AM44" s="154" cm="1">
        <f t="array" aca="1" ref="AM44" ca="1">IF($G44=0,"",INDEX(auto_DataFlat_DataValue,$H44+AM$18))</f>
        <v>0</v>
      </c>
      <c r="AN44" s="154" cm="1">
        <f t="array" aca="1" ref="AN44" ca="1">IF($G44=0,"",INDEX(auto_DataFlat_DataValue,$H44+AN$18))</f>
        <v>1</v>
      </c>
      <c r="AO44" s="154" cm="1">
        <f t="array" aca="1" ref="AO44" ca="1">IF($G44=0,"",INDEX(auto_DataFlat_DataValue,$H44+AO$18))</f>
        <v>0</v>
      </c>
      <c r="AP44" s="154" cm="1">
        <f t="array" aca="1" ref="AP44" ca="1">IF($G44=0,"",INDEX(auto_DataFlat_DataValue,$H44+AP$18))</f>
        <v>0</v>
      </c>
      <c r="AQ44" s="154" cm="1">
        <f t="array" aca="1" ref="AQ44" ca="1">IF($G44=0,"",INDEX(auto_DataFlat_DataValue,$H44+AQ$18))</f>
        <v>0</v>
      </c>
      <c r="AR44" s="154" cm="1">
        <f t="array" aca="1" ref="AR44" ca="1">IF($G44=0,"",INDEX(auto_DataFlat_DataValue,$H44+AR$18))</f>
        <v>0</v>
      </c>
      <c r="AS44" s="154" cm="1">
        <f t="array" aca="1" ref="AS44" ca="1">IF($G44=0,"",INDEX(auto_DataFlat_DataValue,$H44+AS$18))</f>
        <v>1</v>
      </c>
      <c r="AT44" s="154" cm="1">
        <f t="array" aca="1" ref="AT44" ca="1">IF($G44=0,"",INDEX(auto_DataFlat_DataValue,$H44+AT$18))</f>
        <v>1</v>
      </c>
      <c r="AU44" s="154" cm="1">
        <f t="array" aca="1" ref="AU44" ca="1">IF($G44=0,"",INDEX(auto_DataFlat_DataValue,$H44+AU$18))</f>
        <v>0</v>
      </c>
      <c r="AV44" s="154" cm="1">
        <f t="array" aca="1" ref="AV44" ca="1">IF($G44=0,"",INDEX(auto_DataFlat_DataValue,$H44+AV$18))</f>
        <v>1</v>
      </c>
      <c r="AW44" s="154" cm="1">
        <f t="array" aca="1" ref="AW44" ca="1">IF($G44=0,"",INDEX(auto_DataFlat_DataValue,$H44+AW$18))</f>
        <v>0</v>
      </c>
      <c r="AX44" s="154" cm="1">
        <f t="array" aca="1" ref="AX44" ca="1">IF($G44=0,"",INDEX(auto_DataFlat_DataValue,$H44+AX$18))</f>
        <v>0</v>
      </c>
      <c r="AY44" s="154" cm="1">
        <f t="array" aca="1" ref="AY44" ca="1">IF($G44=0,"",INDEX(auto_DataFlat_DataValue,$H44+AY$18))</f>
        <v>0</v>
      </c>
      <c r="AZ44" s="154" cm="1">
        <f t="array" aca="1" ref="AZ44" ca="1">IF($G44=0,"",INDEX(auto_DataFlat_DataValue,$H44+AZ$18))</f>
        <v>0</v>
      </c>
      <c r="BA44" s="154" cm="1">
        <f t="array" aca="1" ref="BA44" ca="1">IF($G44=0,"",INDEX(auto_DataFlat_DataValue,$H44+BA$18))</f>
        <v>1</v>
      </c>
      <c r="BB44" s="154" cm="1">
        <f t="array" aca="1" ref="BB44" ca="1">IF($G44=0,"",INDEX(auto_DataFlat_DataValue,$H44+BB$18))</f>
        <v>1</v>
      </c>
      <c r="BC44" s="154" cm="1">
        <f t="array" aca="1" ref="BC44" ca="1">IF($G44=0,"",INDEX(auto_DataFlat_DataValue,$H44+BC$18))</f>
        <v>1</v>
      </c>
      <c r="BD44" s="154" cm="1">
        <f t="array" aca="1" ref="BD44" ca="1">IF($G44=0,"",INDEX(auto_DataFlat_DataValue,$H44+BD$18))</f>
        <v>1</v>
      </c>
      <c r="BE44" s="154" cm="1">
        <f t="array" aca="1" ref="BE44" ca="1">IF($G44=0,"",INDEX(auto_DataFlat_DataValue,$H44+BE$18))</f>
        <v>1</v>
      </c>
      <c r="BF44" s="154" cm="1">
        <f t="array" aca="1" ref="BF44" ca="1">IF($G44=0,"",INDEX(auto_DataFlat_DataValue,$H44+BF$18))</f>
        <v>1</v>
      </c>
      <c r="BG44" s="154" cm="1">
        <f t="array" aca="1" ref="BG44" ca="1">IF($G44=0,"",INDEX(auto_DataFlat_DataValue,$H44+BG$18))</f>
        <v>1</v>
      </c>
      <c r="BH44" s="154" cm="1">
        <f t="array" aca="1" ref="BH44" ca="1">IF($G44=0,"",INDEX(auto_DataFlat_DataValue,$H44+BH$18))</f>
        <v>0</v>
      </c>
      <c r="BI44" s="154" cm="1">
        <f t="array" aca="1" ref="BI44" ca="1">IF($G44=0,"",INDEX(auto_DataFlat_DataValue,$H44+BI$18))</f>
        <v>0</v>
      </c>
    </row>
    <row r="45" spans="1:61" ht="17.05" customHeight="1" x14ac:dyDescent="0.4">
      <c r="A45" t="str">
        <f t="shared" si="3"/>
        <v/>
      </c>
      <c r="B45" s="42" t="str">
        <f t="shared" ca="1" si="1"/>
        <v>V</v>
      </c>
      <c r="C45" s="100">
        <v>26</v>
      </c>
      <c r="D45" s="49" cm="1">
        <f t="array" aca="1" ref="D45" ca="1">INDEX(OFFSET(auto_ss_data_table,0,1,500,1),C45)</f>
        <v>26</v>
      </c>
      <c r="E45" s="101" cm="1">
        <f t="array" aca="1" ref="E45" ca="1">INDEX(auto_tblSeries,$D45,E$18)</f>
        <v>2</v>
      </c>
      <c r="F45" s="101" t="str" cm="1">
        <f t="array" aca="1" ref="F45" ca="1">INDEX(auto_tblSeries,$D45,F$18)</f>
        <v>#,0.0</v>
      </c>
      <c r="G45" s="101" cm="1">
        <f t="array" aca="1" ref="G45" ca="1">INDEX(auto_tblSeries,$D45,G$18)</f>
        <v>0</v>
      </c>
      <c r="H45" s="101" cm="1">
        <f t="array" aca="1" ref="H45" ca="1">INDEX(sys_DataFlat_LU_Grid,$D45,1)-1</f>
        <v>1500</v>
      </c>
      <c r="I45" s="26"/>
      <c r="J45" s="148" t="str" cm="1">
        <f t="array" aca="1" ref="J45" ca="1">INDEX(auto_Series_NameNumbered,$D45)</f>
        <v>3.2) Vegetable consumption</v>
      </c>
      <c r="K45" s="149" t="str" cm="1">
        <f t="array" aca="1" ref="K45" ca="1">IF($G45=0,"",INDEX(auto_tblSeries,$D45,K$18))</f>
        <v/>
      </c>
      <c r="L45" s="150" t="str" cm="1">
        <f t="array" aca="1" ref="L45" ca="1">IF($G45=0,"",INDEX(auto_DataFlat_DataValue,$H45+L$18))</f>
        <v/>
      </c>
      <c r="M45" s="150" t="str" cm="1">
        <f t="array" aca="1" ref="M45" ca="1">IF($G45=0,"",INDEX(auto_DataFlat_DataValue,$H45+M$18))</f>
        <v/>
      </c>
      <c r="N45" s="150" t="str" cm="1">
        <f t="array" aca="1" ref="N45" ca="1">IF($G45=0,"",INDEX(auto_DataFlat_DataValue,$H45+N$18))</f>
        <v/>
      </c>
      <c r="O45" s="150" t="str" cm="1">
        <f t="array" aca="1" ref="O45" ca="1">IF($G45=0,"",INDEX(auto_DataFlat_DataValue,$H45+O$18))</f>
        <v/>
      </c>
      <c r="P45" s="150" t="str" cm="1">
        <f t="array" aca="1" ref="P45" ca="1">IF($G45=0,"",INDEX(auto_DataFlat_DataValue,$H45+P$18))</f>
        <v/>
      </c>
      <c r="Q45" s="150" t="str" cm="1">
        <f t="array" aca="1" ref="Q45" ca="1">IF($G45=0,"",INDEX(auto_DataFlat_DataValue,$H45+Q$18))</f>
        <v/>
      </c>
      <c r="R45" s="150" t="str" cm="1">
        <f t="array" aca="1" ref="R45" ca="1">IF($G45=0,"",INDEX(auto_DataFlat_DataValue,$H45+R$18))</f>
        <v/>
      </c>
      <c r="S45" s="150" t="str" cm="1">
        <f t="array" aca="1" ref="S45" ca="1">IF($G45=0,"",INDEX(auto_DataFlat_DataValue,$H45+S$18))</f>
        <v/>
      </c>
      <c r="T45" s="150" t="str" cm="1">
        <f t="array" aca="1" ref="T45" ca="1">IF($G45=0,"",INDEX(auto_DataFlat_DataValue,$H45+T$18))</f>
        <v/>
      </c>
      <c r="U45" s="150" t="str" cm="1">
        <f t="array" aca="1" ref="U45" ca="1">IF($G45=0,"",INDEX(auto_DataFlat_DataValue,$H45+U$18))</f>
        <v/>
      </c>
      <c r="V45" s="150" t="str" cm="1">
        <f t="array" aca="1" ref="V45" ca="1">IF($G45=0,"",INDEX(auto_DataFlat_DataValue,$H45+V$18))</f>
        <v/>
      </c>
      <c r="W45" s="150" t="str" cm="1">
        <f t="array" aca="1" ref="W45" ca="1">IF($G45=0,"",INDEX(auto_DataFlat_DataValue,$H45+W$18))</f>
        <v/>
      </c>
      <c r="X45" s="150" t="str" cm="1">
        <f t="array" aca="1" ref="X45" ca="1">IF($G45=0,"",INDEX(auto_DataFlat_DataValue,$H45+X$18))</f>
        <v/>
      </c>
      <c r="Y45" s="150" t="str" cm="1">
        <f t="array" aca="1" ref="Y45" ca="1">IF($G45=0,"",INDEX(auto_DataFlat_DataValue,$H45+Y$18))</f>
        <v/>
      </c>
      <c r="Z45" s="150" t="str" cm="1">
        <f t="array" aca="1" ref="Z45" ca="1">IF($G45=0,"",INDEX(auto_DataFlat_DataValue,$H45+Z$18))</f>
        <v/>
      </c>
      <c r="AA45" s="150" t="str" cm="1">
        <f t="array" aca="1" ref="AA45" ca="1">IF($G45=0,"",INDEX(auto_DataFlat_DataValue,$H45+AA$18))</f>
        <v/>
      </c>
      <c r="AB45" s="150" t="str" cm="1">
        <f t="array" aca="1" ref="AB45" ca="1">IF($G45=0,"",INDEX(auto_DataFlat_DataValue,$H45+AB$18))</f>
        <v/>
      </c>
      <c r="AC45" s="150" t="str" cm="1">
        <f t="array" aca="1" ref="AC45" ca="1">IF($G45=0,"",INDEX(auto_DataFlat_DataValue,$H45+AC$18))</f>
        <v/>
      </c>
      <c r="AD45" s="150" t="str" cm="1">
        <f t="array" aca="1" ref="AD45" ca="1">IF($G45=0,"",INDEX(auto_DataFlat_DataValue,$H45+AD$18))</f>
        <v/>
      </c>
      <c r="AE45" s="150" t="str" cm="1">
        <f t="array" aca="1" ref="AE45" ca="1">IF($G45=0,"",INDEX(auto_DataFlat_DataValue,$H45+AE$18))</f>
        <v/>
      </c>
      <c r="AF45" s="150" t="str" cm="1">
        <f t="array" aca="1" ref="AF45" ca="1">IF($G45=0,"",INDEX(auto_DataFlat_DataValue,$H45+AF$18))</f>
        <v/>
      </c>
      <c r="AG45" s="150" t="str" cm="1">
        <f t="array" aca="1" ref="AG45" ca="1">IF($G45=0,"",INDEX(auto_DataFlat_DataValue,$H45+AG$18))</f>
        <v/>
      </c>
      <c r="AH45" s="150" t="str" cm="1">
        <f t="array" aca="1" ref="AH45" ca="1">IF($G45=0,"",INDEX(auto_DataFlat_DataValue,$H45+AH$18))</f>
        <v/>
      </c>
      <c r="AI45" s="150" t="str" cm="1">
        <f t="array" aca="1" ref="AI45" ca="1">IF($G45=0,"",INDEX(auto_DataFlat_DataValue,$H45+AI$18))</f>
        <v/>
      </c>
      <c r="AJ45" s="150" t="str" cm="1">
        <f t="array" aca="1" ref="AJ45" ca="1">IF($G45=0,"",INDEX(auto_DataFlat_DataValue,$H45+AJ$18))</f>
        <v/>
      </c>
      <c r="AK45" s="150" t="str" cm="1">
        <f t="array" aca="1" ref="AK45" ca="1">IF($G45=0,"",INDEX(auto_DataFlat_DataValue,$H45+AK$18))</f>
        <v/>
      </c>
      <c r="AL45" s="150" t="str" cm="1">
        <f t="array" aca="1" ref="AL45" ca="1">IF($G45=0,"",INDEX(auto_DataFlat_DataValue,$H45+AL$18))</f>
        <v/>
      </c>
      <c r="AM45" s="150" t="str" cm="1">
        <f t="array" aca="1" ref="AM45" ca="1">IF($G45=0,"",INDEX(auto_DataFlat_DataValue,$H45+AM$18))</f>
        <v/>
      </c>
      <c r="AN45" s="150" t="str" cm="1">
        <f t="array" aca="1" ref="AN45" ca="1">IF($G45=0,"",INDEX(auto_DataFlat_DataValue,$H45+AN$18))</f>
        <v/>
      </c>
      <c r="AO45" s="150" t="str" cm="1">
        <f t="array" aca="1" ref="AO45" ca="1">IF($G45=0,"",INDEX(auto_DataFlat_DataValue,$H45+AO$18))</f>
        <v/>
      </c>
      <c r="AP45" s="150" t="str" cm="1">
        <f t="array" aca="1" ref="AP45" ca="1">IF($G45=0,"",INDEX(auto_DataFlat_DataValue,$H45+AP$18))</f>
        <v/>
      </c>
      <c r="AQ45" s="150" t="str" cm="1">
        <f t="array" aca="1" ref="AQ45" ca="1">IF($G45=0,"",INDEX(auto_DataFlat_DataValue,$H45+AQ$18))</f>
        <v/>
      </c>
      <c r="AR45" s="150" t="str" cm="1">
        <f t="array" aca="1" ref="AR45" ca="1">IF($G45=0,"",INDEX(auto_DataFlat_DataValue,$H45+AR$18))</f>
        <v/>
      </c>
      <c r="AS45" s="150" t="str" cm="1">
        <f t="array" aca="1" ref="AS45" ca="1">IF($G45=0,"",INDEX(auto_DataFlat_DataValue,$H45+AS$18))</f>
        <v/>
      </c>
      <c r="AT45" s="150" t="str" cm="1">
        <f t="array" aca="1" ref="AT45" ca="1">IF($G45=0,"",INDEX(auto_DataFlat_DataValue,$H45+AT$18))</f>
        <v/>
      </c>
      <c r="AU45" s="150" t="str" cm="1">
        <f t="array" aca="1" ref="AU45" ca="1">IF($G45=0,"",INDEX(auto_DataFlat_DataValue,$H45+AU$18))</f>
        <v/>
      </c>
      <c r="AV45" s="150" t="str" cm="1">
        <f t="array" aca="1" ref="AV45" ca="1">IF($G45=0,"",INDEX(auto_DataFlat_DataValue,$H45+AV$18))</f>
        <v/>
      </c>
      <c r="AW45" s="150" t="str" cm="1">
        <f t="array" aca="1" ref="AW45" ca="1">IF($G45=0,"",INDEX(auto_DataFlat_DataValue,$H45+AW$18))</f>
        <v/>
      </c>
      <c r="AX45" s="150" t="str" cm="1">
        <f t="array" aca="1" ref="AX45" ca="1">IF($G45=0,"",INDEX(auto_DataFlat_DataValue,$H45+AX$18))</f>
        <v/>
      </c>
      <c r="AY45" s="150" t="str" cm="1">
        <f t="array" aca="1" ref="AY45" ca="1">IF($G45=0,"",INDEX(auto_DataFlat_DataValue,$H45+AY$18))</f>
        <v/>
      </c>
      <c r="AZ45" s="150" t="str" cm="1">
        <f t="array" aca="1" ref="AZ45" ca="1">IF($G45=0,"",INDEX(auto_DataFlat_DataValue,$H45+AZ$18))</f>
        <v/>
      </c>
      <c r="BA45" s="150" t="str" cm="1">
        <f t="array" aca="1" ref="BA45" ca="1">IF($G45=0,"",INDEX(auto_DataFlat_DataValue,$H45+BA$18))</f>
        <v/>
      </c>
      <c r="BB45" s="150" t="str" cm="1">
        <f t="array" aca="1" ref="BB45" ca="1">IF($G45=0,"",INDEX(auto_DataFlat_DataValue,$H45+BB$18))</f>
        <v/>
      </c>
      <c r="BC45" s="150" t="str" cm="1">
        <f t="array" aca="1" ref="BC45" ca="1">IF($G45=0,"",INDEX(auto_DataFlat_DataValue,$H45+BC$18))</f>
        <v/>
      </c>
      <c r="BD45" s="150" t="str" cm="1">
        <f t="array" aca="1" ref="BD45" ca="1">IF($G45=0,"",INDEX(auto_DataFlat_DataValue,$H45+BD$18))</f>
        <v/>
      </c>
      <c r="BE45" s="150" t="str" cm="1">
        <f t="array" aca="1" ref="BE45" ca="1">IF($G45=0,"",INDEX(auto_DataFlat_DataValue,$H45+BE$18))</f>
        <v/>
      </c>
      <c r="BF45" s="150" t="str" cm="1">
        <f t="array" aca="1" ref="BF45" ca="1">IF($G45=0,"",INDEX(auto_DataFlat_DataValue,$H45+BF$18))</f>
        <v/>
      </c>
      <c r="BG45" s="150" t="str" cm="1">
        <f t="array" aca="1" ref="BG45" ca="1">IF($G45=0,"",INDEX(auto_DataFlat_DataValue,$H45+BG$18))</f>
        <v/>
      </c>
      <c r="BH45" s="150" t="str" cm="1">
        <f t="array" aca="1" ref="BH45" ca="1">IF($G45=0,"",INDEX(auto_DataFlat_DataValue,$H45+BH$18))</f>
        <v/>
      </c>
      <c r="BI45" s="150" t="str" cm="1">
        <f t="array" aca="1" ref="BI45" ca="1">IF($G45=0,"",INDEX(auto_DataFlat_DataValue,$H45+BI$18))</f>
        <v/>
      </c>
    </row>
    <row r="46" spans="1:61" ht="17.05" customHeight="1" x14ac:dyDescent="0.4">
      <c r="A46" t="str">
        <f t="shared" si="3"/>
        <v/>
      </c>
      <c r="B46" s="42" t="str">
        <f t="shared" ca="1" si="1"/>
        <v/>
      </c>
      <c r="C46" s="100">
        <v>27</v>
      </c>
      <c r="D46" s="49" cm="1">
        <f t="array" aca="1" ref="D46" ca="1">INDEX(OFFSET(auto_ss_data_table,0,1,500,1),C46)</f>
        <v>27</v>
      </c>
      <c r="E46" s="101" cm="1">
        <f t="array" aca="1" ref="E46" ca="1">INDEX(auto_tblSeries,$D46,E$18)</f>
        <v>3</v>
      </c>
      <c r="F46" s="101" t="str" cm="1">
        <f t="array" aca="1" ref="F46" ca="1">INDEX(auto_tblSeries,$D46,F$18)</f>
        <v>#,0.00</v>
      </c>
      <c r="G46" s="101" cm="1">
        <f t="array" aca="1" ref="G46" ca="1">INDEX(auto_tblSeries,$D46,G$18)</f>
        <v>1</v>
      </c>
      <c r="H46" s="101" cm="1">
        <f t="array" aca="1" ref="H46" ca="1">INDEX(sys_DataFlat_LU_Grid,$D46,1)-1</f>
        <v>1560</v>
      </c>
      <c r="I46" s="26"/>
      <c r="J46" s="151" t="str" cm="1">
        <f t="array" aca="1" ref="J46" ca="1">INDEX(auto_Series_NameNumbered,$D46)</f>
        <v>3.2a) Vegetable consumption: national data</v>
      </c>
      <c r="K46" s="152" t="str" cm="1">
        <f t="array" aca="1" ref="K46" ca="1">IF($G46=0,"",INDEX(auto_tblSeries,$D46,K$18))</f>
        <v>g/day</v>
      </c>
      <c r="L46" s="155" cm="1">
        <f t="array" aca="1" ref="L46" ca="1">IF($G46=0,"",INDEX(auto_DataFlat_DataValue,$H46+L$18))</f>
        <v>37.799999999999997</v>
      </c>
      <c r="M46" s="155" cm="1">
        <f t="array" aca="1" ref="M46" ca="1">IF($G46=0,"",INDEX(auto_DataFlat_DataValue,$H46+M$18))</f>
        <v>187.2</v>
      </c>
      <c r="N46" s="155" cm="1">
        <f t="array" aca="1" ref="N46" ca="1">IF($G46=0,"",INDEX(auto_DataFlat_DataValue,$H46+N$18))</f>
        <v>197.33</v>
      </c>
      <c r="O46" s="155" cm="1">
        <f t="array" aca="1" ref="O46" ca="1">IF($G46=0,"",INDEX(auto_DataFlat_DataValue,$H46+O$18))</f>
        <v>175.13</v>
      </c>
      <c r="P46" s="155" cm="1">
        <f t="array" aca="1" ref="P46" ca="1">IF($G46=0,"",INDEX(auto_DataFlat_DataValue,$H46+P$18))</f>
        <v>86.54</v>
      </c>
      <c r="Q46" s="155" cm="1">
        <f t="array" aca="1" ref="Q46" ca="1">IF($G46=0,"",INDEX(auto_DataFlat_DataValue,$H46+Q$18))</f>
        <v>425.64</v>
      </c>
      <c r="R46" s="155" cm="1">
        <f t="array" aca="1" ref="R46" ca="1">IF($G46=0,"",INDEX(auto_DataFlat_DataValue,$H46+R$18))</f>
        <v>156.07</v>
      </c>
      <c r="S46" s="155" cm="1">
        <f t="array" aca="1" ref="S46" ca="1">IF($G46=0,"",INDEX(auto_DataFlat_DataValue,$H46+S$18))</f>
        <v>98.7</v>
      </c>
      <c r="T46" s="155" cm="1">
        <f t="array" aca="1" ref="T46" ca="1">IF($G46=0,"",INDEX(auto_DataFlat_DataValue,$H46+T$18))</f>
        <v>243.43</v>
      </c>
      <c r="U46" s="155" cm="1">
        <f t="array" aca="1" ref="U46" ca="1">IF($G46=0,"",INDEX(auto_DataFlat_DataValue,$H46+U$18))</f>
        <v>443.03</v>
      </c>
      <c r="V46" s="155" cm="1">
        <f t="array" aca="1" ref="V46" ca="1">IF($G46=0,"",INDEX(auto_DataFlat_DataValue,$H46+V$18))</f>
        <v>88.41</v>
      </c>
      <c r="W46" s="155" cm="1">
        <f t="array" aca="1" ref="W46" ca="1">IF($G46=0,"",INDEX(auto_DataFlat_DataValue,$H46+W$18))</f>
        <v>111.19</v>
      </c>
      <c r="X46" s="155" cm="1">
        <f t="array" aca="1" ref="X46" ca="1">IF($G46=0,"",INDEX(auto_DataFlat_DataValue,$H46+X$18))</f>
        <v>45.97</v>
      </c>
      <c r="Y46" s="155" cm="1">
        <f t="array" aca="1" ref="Y46" ca="1">IF($G46=0,"",INDEX(auto_DataFlat_DataValue,$H46+Y$18))</f>
        <v>192.54</v>
      </c>
      <c r="Z46" s="155" cm="1">
        <f t="array" aca="1" ref="Z46" ca="1">IF($G46=0,"",INDEX(auto_DataFlat_DataValue,$H46+Z$18))</f>
        <v>146</v>
      </c>
      <c r="AA46" s="155" cm="1">
        <f t="array" aca="1" ref="AA46" ca="1">IF($G46=0,"",INDEX(auto_DataFlat_DataValue,$H46+AA$18))</f>
        <v>191.42</v>
      </c>
      <c r="AB46" s="155" cm="1">
        <f t="array" aca="1" ref="AB46" ca="1">IF($G46=0,"",INDEX(auto_DataFlat_DataValue,$H46+AB$18))</f>
        <v>373.93</v>
      </c>
      <c r="AC46" s="155" cm="1">
        <f t="array" aca="1" ref="AC46" ca="1">IF($G46=0,"",INDEX(auto_DataFlat_DataValue,$H46+AC$18))</f>
        <v>480.35</v>
      </c>
      <c r="AD46" s="155" cm="1">
        <f t="array" aca="1" ref="AD46" ca="1">IF($G46=0,"",INDEX(auto_DataFlat_DataValue,$H46+AD$18))</f>
        <v>88.96</v>
      </c>
      <c r="AE46" s="155" cm="1">
        <f t="array" aca="1" ref="AE46" ca="1">IF($G46=0,"",INDEX(auto_DataFlat_DataValue,$H46+AE$18))</f>
        <v>86.68</v>
      </c>
      <c r="AF46" s="155" cm="1">
        <f t="array" aca="1" ref="AF46" ca="1">IF($G46=0,"",INDEX(auto_DataFlat_DataValue,$H46+AF$18))</f>
        <v>57.24</v>
      </c>
      <c r="AG46" s="155" cm="1">
        <f t="array" aca="1" ref="AG46" ca="1">IF($G46=0,"",INDEX(auto_DataFlat_DataValue,$H46+AG$18))</f>
        <v>97.19</v>
      </c>
      <c r="AH46" s="155" cm="1">
        <f t="array" aca="1" ref="AH46" ca="1">IF($G46=0,"",INDEX(auto_DataFlat_DataValue,$H46+AH$18))</f>
        <v>111.19</v>
      </c>
      <c r="AI46" s="155" cm="1">
        <f t="array" aca="1" ref="AI46" ca="1">IF($G46=0,"",INDEX(auto_DataFlat_DataValue,$H46+AI$18))</f>
        <v>310.33</v>
      </c>
      <c r="AJ46" s="155" cm="1">
        <f t="array" aca="1" ref="AJ46" ca="1">IF($G46=0,"",INDEX(auto_DataFlat_DataValue,$H46+AJ$18))</f>
        <v>124.19</v>
      </c>
      <c r="AK46" s="155" cm="1">
        <f t="array" aca="1" ref="AK46" ca="1">IF($G46=0,"",INDEX(auto_DataFlat_DataValue,$H46+AK$18))</f>
        <v>160.6</v>
      </c>
      <c r="AL46" s="155" cm="1">
        <f t="array" aca="1" ref="AL46" ca="1">IF($G46=0,"",INDEX(auto_DataFlat_DataValue,$H46+AL$18))</f>
        <v>220.87</v>
      </c>
      <c r="AM46" s="155" cm="1">
        <f t="array" aca="1" ref="AM46" ca="1">IF($G46=0,"",INDEX(auto_DataFlat_DataValue,$H46+AM$18))</f>
        <v>104.77</v>
      </c>
      <c r="AN46" s="155" cm="1">
        <f t="array" aca="1" ref="AN46" ca="1">IF($G46=0,"",INDEX(auto_DataFlat_DataValue,$H46+AN$18))</f>
        <v>166.01</v>
      </c>
      <c r="AO46" s="155" cm="1">
        <f t="array" aca="1" ref="AO46" ca="1">IF($G46=0,"",INDEX(auto_DataFlat_DataValue,$H46+AO$18))</f>
        <v>121.77</v>
      </c>
      <c r="AP46" s="155" cm="1">
        <f t="array" aca="1" ref="AP46" ca="1">IF($G46=0,"",INDEX(auto_DataFlat_DataValue,$H46+AP$18))</f>
        <v>179.48</v>
      </c>
      <c r="AQ46" s="155" cm="1">
        <f t="array" aca="1" ref="AQ46" ca="1">IF($G46=0,"",INDEX(auto_DataFlat_DataValue,$H46+AQ$18))</f>
        <v>111.19</v>
      </c>
      <c r="AR46" s="155" cm="1">
        <f t="array" aca="1" ref="AR46" ca="1">IF($G46=0,"",INDEX(auto_DataFlat_DataValue,$H46+AR$18))</f>
        <v>92.48</v>
      </c>
      <c r="AS46" s="155" cm="1">
        <f t="array" aca="1" ref="AS46" ca="1">IF($G46=0,"",INDEX(auto_DataFlat_DataValue,$H46+AS$18))</f>
        <v>197.33</v>
      </c>
      <c r="AT46" s="155" cm="1">
        <f t="array" aca="1" ref="AT46" ca="1">IF($G46=0,"",INDEX(auto_DataFlat_DataValue,$H46+AT$18))</f>
        <v>271.70999999999998</v>
      </c>
      <c r="AU46" s="155" cm="1">
        <f t="array" aca="1" ref="AU46" ca="1">IF($G46=0,"",INDEX(auto_DataFlat_DataValue,$H46+AU$18))</f>
        <v>139.84</v>
      </c>
      <c r="AV46" s="155" cm="1">
        <f t="array" aca="1" ref="AV46" ca="1">IF($G46=0,"",INDEX(auto_DataFlat_DataValue,$H46+AV$18))</f>
        <v>39.729999999999997</v>
      </c>
      <c r="AW46" s="155" cm="1">
        <f t="array" aca="1" ref="AW46" ca="1">IF($G46=0,"",INDEX(auto_DataFlat_DataValue,$H46+AW$18))</f>
        <v>168.1</v>
      </c>
      <c r="AX46" s="155" cm="1">
        <f t="array" aca="1" ref="AX46" ca="1">IF($G46=0,"",INDEX(auto_DataFlat_DataValue,$H46+AX$18))</f>
        <v>215.82</v>
      </c>
      <c r="AY46" s="155" cm="1">
        <f t="array" aca="1" ref="AY46" ca="1">IF($G46=0,"",INDEX(auto_DataFlat_DataValue,$H46+AY$18))</f>
        <v>197.33</v>
      </c>
      <c r="AZ46" s="155" cm="1">
        <f t="array" aca="1" ref="AZ46" ca="1">IF($G46=0,"",INDEX(auto_DataFlat_DataValue,$H46+AZ$18))</f>
        <v>101.52</v>
      </c>
      <c r="BA46" s="155" cm="1">
        <f t="array" aca="1" ref="BA46" ca="1">IF($G46=0,"",INDEX(auto_DataFlat_DataValue,$H46+BA$18))</f>
        <v>275.35000000000002</v>
      </c>
      <c r="BB46" s="155" cm="1">
        <f t="array" aca="1" ref="BB46" ca="1">IF($G46=0,"",INDEX(auto_DataFlat_DataValue,$H46+BB$18))</f>
        <v>425.64</v>
      </c>
      <c r="BC46" s="155" cm="1">
        <f t="array" aca="1" ref="BC46" ca="1">IF($G46=0,"",INDEX(auto_DataFlat_DataValue,$H46+BC$18))</f>
        <v>239.2</v>
      </c>
      <c r="BD46" s="155" cm="1">
        <f t="array" aca="1" ref="BD46" ca="1">IF($G46=0,"",INDEX(auto_DataFlat_DataValue,$H46+BD$18))</f>
        <v>166.01</v>
      </c>
      <c r="BE46" s="155" cm="1">
        <f t="array" aca="1" ref="BE46" ca="1">IF($G46=0,"",INDEX(auto_DataFlat_DataValue,$H46+BE$18))</f>
        <v>271.70999999999998</v>
      </c>
      <c r="BF46" s="155" cm="1">
        <f t="array" aca="1" ref="BF46" ca="1">IF($G46=0,"",INDEX(auto_DataFlat_DataValue,$H46+BF$18))</f>
        <v>177.33</v>
      </c>
      <c r="BG46" s="155" cm="1">
        <f t="array" aca="1" ref="BG46" ca="1">IF($G46=0,"",INDEX(auto_DataFlat_DataValue,$H46+BG$18))</f>
        <v>178.77</v>
      </c>
      <c r="BH46" s="155" cm="1">
        <f t="array" aca="1" ref="BH46" ca="1">IF($G46=0,"",INDEX(auto_DataFlat_DataValue,$H46+BH$18))</f>
        <v>425.64</v>
      </c>
      <c r="BI46" s="155" cm="1">
        <f t="array" aca="1" ref="BI46" ca="1">IF($G46=0,"",INDEX(auto_DataFlat_DataValue,$H46+BI$18))</f>
        <v>119.59</v>
      </c>
    </row>
    <row r="47" spans="1:61" ht="17.05" customHeight="1" x14ac:dyDescent="0.4">
      <c r="A47" t="str">
        <f t="shared" si="3"/>
        <v/>
      </c>
      <c r="B47" s="42" t="str">
        <f t="shared" ca="1" si="1"/>
        <v/>
      </c>
      <c r="C47" s="100">
        <v>28</v>
      </c>
      <c r="D47" s="49" cm="1">
        <f t="array" aca="1" ref="D47" ca="1">INDEX(OFFSET(auto_ss_data_table,0,1,500,1),C47)</f>
        <v>28</v>
      </c>
      <c r="E47" s="101" cm="1">
        <f t="array" aca="1" ref="E47" ca="1">INDEX(auto_tblSeries,$D47,E$18)</f>
        <v>3</v>
      </c>
      <c r="F47" s="101" t="str" cm="1">
        <f t="array" aca="1" ref="F47" ca="1">INDEX(auto_tblSeries,$D47,F$18)</f>
        <v>#,##0</v>
      </c>
      <c r="G47" s="101" cm="1">
        <f t="array" aca="1" ref="G47" ca="1">INDEX(auto_tblSeries,$D47,G$18)</f>
        <v>1</v>
      </c>
      <c r="H47" s="101" cm="1">
        <f t="array" aca="1" ref="H47" ca="1">INDEX(sys_DataFlat_LU_Grid,$D47,1)-1</f>
        <v>1620</v>
      </c>
      <c r="I47" s="26"/>
      <c r="J47" s="151" t="str" cm="1">
        <f t="array" aca="1" ref="J47" ca="1">INDEX(auto_Series_NameNumbered,$D47)</f>
        <v>3.2b) Vegetable consumption: city-level data availability</v>
      </c>
      <c r="K47" s="152" t="str" cm="1">
        <f t="array" aca="1" ref="K47" ca="1">IF($G47=0,"",INDEX(auto_tblSeries,$D47,K$18))</f>
        <v>Rating 0-1</v>
      </c>
      <c r="L47" s="154" cm="1">
        <f t="array" aca="1" ref="L47" ca="1">IF($G47=0,"",INDEX(auto_DataFlat_DataValue,$H47+L$18))</f>
        <v>0</v>
      </c>
      <c r="M47" s="154" cm="1">
        <f t="array" aca="1" ref="M47" ca="1">IF($G47=0,"",INDEX(auto_DataFlat_DataValue,$H47+M$18))</f>
        <v>0</v>
      </c>
      <c r="N47" s="154" cm="1">
        <f t="array" aca="1" ref="N47" ca="1">IF($G47=0,"",INDEX(auto_DataFlat_DataValue,$H47+N$18))</f>
        <v>0</v>
      </c>
      <c r="O47" s="154" cm="1">
        <f t="array" aca="1" ref="O47" ca="1">IF($G47=0,"",INDEX(auto_DataFlat_DataValue,$H47+O$18))</f>
        <v>0</v>
      </c>
      <c r="P47" s="154" cm="1">
        <f t="array" aca="1" ref="P47" ca="1">IF($G47=0,"",INDEX(auto_DataFlat_DataValue,$H47+P$18))</f>
        <v>1</v>
      </c>
      <c r="Q47" s="154" cm="1">
        <f t="array" aca="1" ref="Q47" ca="1">IF($G47=0,"",INDEX(auto_DataFlat_DataValue,$H47+Q$18))</f>
        <v>1</v>
      </c>
      <c r="R47" s="154" cm="1">
        <f t="array" aca="1" ref="R47" ca="1">IF($G47=0,"",INDEX(auto_DataFlat_DataValue,$H47+R$18))</f>
        <v>1</v>
      </c>
      <c r="S47" s="154" cm="1">
        <f t="array" aca="1" ref="S47" ca="1">IF($G47=0,"",INDEX(auto_DataFlat_DataValue,$H47+S$18))</f>
        <v>0</v>
      </c>
      <c r="T47" s="154" cm="1">
        <f t="array" aca="1" ref="T47" ca="1">IF($G47=0,"",INDEX(auto_DataFlat_DataValue,$H47+T$18))</f>
        <v>1</v>
      </c>
      <c r="U47" s="154" cm="1">
        <f t="array" aca="1" ref="U47" ca="1">IF($G47=0,"",INDEX(auto_DataFlat_DataValue,$H47+U$18))</f>
        <v>0</v>
      </c>
      <c r="V47" s="154" cm="1">
        <f t="array" aca="1" ref="V47" ca="1">IF($G47=0,"",INDEX(auto_DataFlat_DataValue,$H47+V$18))</f>
        <v>0</v>
      </c>
      <c r="W47" s="154" cm="1">
        <f t="array" aca="1" ref="W47" ca="1">IF($G47=0,"",INDEX(auto_DataFlat_DataValue,$H47+W$18))</f>
        <v>0</v>
      </c>
      <c r="X47" s="154" cm="1">
        <f t="array" aca="1" ref="X47" ca="1">IF($G47=0,"",INDEX(auto_DataFlat_DataValue,$H47+X$18))</f>
        <v>0</v>
      </c>
      <c r="Y47" s="154" cm="1">
        <f t="array" aca="1" ref="Y47" ca="1">IF($G47=0,"",INDEX(auto_DataFlat_DataValue,$H47+Y$18))</f>
        <v>0</v>
      </c>
      <c r="Z47" s="154" cm="1">
        <f t="array" aca="1" ref="Z47" ca="1">IF($G47=0,"",INDEX(auto_DataFlat_DataValue,$H47+Z$18))</f>
        <v>1</v>
      </c>
      <c r="AA47" s="154" cm="1">
        <f t="array" aca="1" ref="AA47" ca="1">IF($G47=0,"",INDEX(auto_DataFlat_DataValue,$H47+AA$18))</f>
        <v>1</v>
      </c>
      <c r="AB47" s="154" cm="1">
        <f t="array" aca="1" ref="AB47" ca="1">IF($G47=0,"",INDEX(auto_DataFlat_DataValue,$H47+AB$18))</f>
        <v>1</v>
      </c>
      <c r="AC47" s="154" cm="1">
        <f t="array" aca="1" ref="AC47" ca="1">IF($G47=0,"",INDEX(auto_DataFlat_DataValue,$H47+AC$18))</f>
        <v>0</v>
      </c>
      <c r="AD47" s="154" cm="1">
        <f t="array" aca="1" ref="AD47" ca="1">IF($G47=0,"",INDEX(auto_DataFlat_DataValue,$H47+AD$18))</f>
        <v>1</v>
      </c>
      <c r="AE47" s="154" cm="1">
        <f t="array" aca="1" ref="AE47" ca="1">IF($G47=0,"",INDEX(auto_DataFlat_DataValue,$H47+AE$18))</f>
        <v>0</v>
      </c>
      <c r="AF47" s="154" cm="1">
        <f t="array" aca="1" ref="AF47" ca="1">IF($G47=0,"",INDEX(auto_DataFlat_DataValue,$H47+AF$18))</f>
        <v>0</v>
      </c>
      <c r="AG47" s="154" cm="1">
        <f t="array" aca="1" ref="AG47" ca="1">IF($G47=0,"",INDEX(auto_DataFlat_DataValue,$H47+AG$18))</f>
        <v>0</v>
      </c>
      <c r="AH47" s="154" cm="1">
        <f t="array" aca="1" ref="AH47" ca="1">IF($G47=0,"",INDEX(auto_DataFlat_DataValue,$H47+AH$18))</f>
        <v>0</v>
      </c>
      <c r="AI47" s="154" cm="1">
        <f t="array" aca="1" ref="AI47" ca="1">IF($G47=0,"",INDEX(auto_DataFlat_DataValue,$H47+AI$18))</f>
        <v>0</v>
      </c>
      <c r="AJ47" s="154" cm="1">
        <f t="array" aca="1" ref="AJ47" ca="1">IF($G47=0,"",INDEX(auto_DataFlat_DataValue,$H47+AJ$18))</f>
        <v>0</v>
      </c>
      <c r="AK47" s="154" cm="1">
        <f t="array" aca="1" ref="AK47" ca="1">IF($G47=0,"",INDEX(auto_DataFlat_DataValue,$H47+AK$18))</f>
        <v>1</v>
      </c>
      <c r="AL47" s="154" cm="1">
        <f t="array" aca="1" ref="AL47" ca="1">IF($G47=0,"",INDEX(auto_DataFlat_DataValue,$H47+AL$18))</f>
        <v>1</v>
      </c>
      <c r="AM47" s="154" cm="1">
        <f t="array" aca="1" ref="AM47" ca="1">IF($G47=0,"",INDEX(auto_DataFlat_DataValue,$H47+AM$18))</f>
        <v>0</v>
      </c>
      <c r="AN47" s="154" cm="1">
        <f t="array" aca="1" ref="AN47" ca="1">IF($G47=0,"",INDEX(auto_DataFlat_DataValue,$H47+AN$18))</f>
        <v>1</v>
      </c>
      <c r="AO47" s="154" cm="1">
        <f t="array" aca="1" ref="AO47" ca="1">IF($G47=0,"",INDEX(auto_DataFlat_DataValue,$H47+AO$18))</f>
        <v>0</v>
      </c>
      <c r="AP47" s="154" cm="1">
        <f t="array" aca="1" ref="AP47" ca="1">IF($G47=0,"",INDEX(auto_DataFlat_DataValue,$H47+AP$18))</f>
        <v>1</v>
      </c>
      <c r="AQ47" s="154" cm="1">
        <f t="array" aca="1" ref="AQ47" ca="1">IF($G47=0,"",INDEX(auto_DataFlat_DataValue,$H47+AQ$18))</f>
        <v>0</v>
      </c>
      <c r="AR47" s="154" cm="1">
        <f t="array" aca="1" ref="AR47" ca="1">IF($G47=0,"",INDEX(auto_DataFlat_DataValue,$H47+AR$18))</f>
        <v>0</v>
      </c>
      <c r="AS47" s="154" cm="1">
        <f t="array" aca="1" ref="AS47" ca="1">IF($G47=0,"",INDEX(auto_DataFlat_DataValue,$H47+AS$18))</f>
        <v>1</v>
      </c>
      <c r="AT47" s="154" cm="1">
        <f t="array" aca="1" ref="AT47" ca="1">IF($G47=0,"",INDEX(auto_DataFlat_DataValue,$H47+AT$18))</f>
        <v>1</v>
      </c>
      <c r="AU47" s="154" cm="1">
        <f t="array" aca="1" ref="AU47" ca="1">IF($G47=0,"",INDEX(auto_DataFlat_DataValue,$H47+AU$18))</f>
        <v>0</v>
      </c>
      <c r="AV47" s="154" cm="1">
        <f t="array" aca="1" ref="AV47" ca="1">IF($G47=0,"",INDEX(auto_DataFlat_DataValue,$H47+AV$18))</f>
        <v>1</v>
      </c>
      <c r="AW47" s="154" cm="1">
        <f t="array" aca="1" ref="AW47" ca="1">IF($G47=0,"",INDEX(auto_DataFlat_DataValue,$H47+AW$18))</f>
        <v>0</v>
      </c>
      <c r="AX47" s="154" cm="1">
        <f t="array" aca="1" ref="AX47" ca="1">IF($G47=0,"",INDEX(auto_DataFlat_DataValue,$H47+AX$18))</f>
        <v>0</v>
      </c>
      <c r="AY47" s="154" cm="1">
        <f t="array" aca="1" ref="AY47" ca="1">IF($G47=0,"",INDEX(auto_DataFlat_DataValue,$H47+AY$18))</f>
        <v>0</v>
      </c>
      <c r="AZ47" s="154" cm="1">
        <f t="array" aca="1" ref="AZ47" ca="1">IF($G47=0,"",INDEX(auto_DataFlat_DataValue,$H47+AZ$18))</f>
        <v>1</v>
      </c>
      <c r="BA47" s="154" cm="1">
        <f t="array" aca="1" ref="BA47" ca="1">IF($G47=0,"",INDEX(auto_DataFlat_DataValue,$H47+BA$18))</f>
        <v>1</v>
      </c>
      <c r="BB47" s="154" cm="1">
        <f t="array" aca="1" ref="BB47" ca="1">IF($G47=0,"",INDEX(auto_DataFlat_DataValue,$H47+BB$18))</f>
        <v>1</v>
      </c>
      <c r="BC47" s="154" cm="1">
        <f t="array" aca="1" ref="BC47" ca="1">IF($G47=0,"",INDEX(auto_DataFlat_DataValue,$H47+BC$18))</f>
        <v>1</v>
      </c>
      <c r="BD47" s="154" cm="1">
        <f t="array" aca="1" ref="BD47" ca="1">IF($G47=0,"",INDEX(auto_DataFlat_DataValue,$H47+BD$18))</f>
        <v>1</v>
      </c>
      <c r="BE47" s="154" cm="1">
        <f t="array" aca="1" ref="BE47" ca="1">IF($G47=0,"",INDEX(auto_DataFlat_DataValue,$H47+BE$18))</f>
        <v>1</v>
      </c>
      <c r="BF47" s="154" cm="1">
        <f t="array" aca="1" ref="BF47" ca="1">IF($G47=0,"",INDEX(auto_DataFlat_DataValue,$H47+BF$18))</f>
        <v>1</v>
      </c>
      <c r="BG47" s="154" cm="1">
        <f t="array" aca="1" ref="BG47" ca="1">IF($G47=0,"",INDEX(auto_DataFlat_DataValue,$H47+BG$18))</f>
        <v>1</v>
      </c>
      <c r="BH47" s="154" cm="1">
        <f t="array" aca="1" ref="BH47" ca="1">IF($G47=0,"",INDEX(auto_DataFlat_DataValue,$H47+BH$18))</f>
        <v>0</v>
      </c>
      <c r="BI47" s="154" cm="1">
        <f t="array" aca="1" ref="BI47" ca="1">IF($G47=0,"",INDEX(auto_DataFlat_DataValue,$H47+BI$18))</f>
        <v>0</v>
      </c>
    </row>
    <row r="48" spans="1:61" ht="17.05" customHeight="1" x14ac:dyDescent="0.4">
      <c r="A48" t="str">
        <f t="shared" si="3"/>
        <v/>
      </c>
      <c r="B48" s="42" t="str">
        <f t="shared" ca="1" si="1"/>
        <v>V</v>
      </c>
      <c r="C48" s="100">
        <v>29</v>
      </c>
      <c r="D48" s="49" cm="1">
        <f t="array" aca="1" ref="D48" ca="1">INDEX(OFFSET(auto_ss_data_table,0,1,500,1),C48)</f>
        <v>29</v>
      </c>
      <c r="E48" s="101" cm="1">
        <f t="array" aca="1" ref="E48" ca="1">INDEX(auto_tblSeries,$D48,E$18)</f>
        <v>2</v>
      </c>
      <c r="F48" s="101" t="str" cm="1">
        <f t="array" aca="1" ref="F48" ca="1">INDEX(auto_tblSeries,$D48,F$18)</f>
        <v>#,0.0</v>
      </c>
      <c r="G48" s="101" cm="1">
        <f t="array" aca="1" ref="G48" ca="1">INDEX(auto_tblSeries,$D48,G$18)</f>
        <v>0</v>
      </c>
      <c r="H48" s="101" cm="1">
        <f t="array" aca="1" ref="H48" ca="1">INDEX(sys_DataFlat_LU_Grid,$D48,1)-1</f>
        <v>1680</v>
      </c>
      <c r="I48" s="26"/>
      <c r="J48" s="148" t="str" cm="1">
        <f t="array" aca="1" ref="J48" ca="1">INDEX(auto_Series_NameNumbered,$D48)</f>
        <v>3.3) Trans fats consumption</v>
      </c>
      <c r="K48" s="149" t="str" cm="1">
        <f t="array" aca="1" ref="K48" ca="1">IF($G48=0,"",INDEX(auto_tblSeries,$D48,K$18))</f>
        <v/>
      </c>
      <c r="L48" s="150" t="str" cm="1">
        <f t="array" aca="1" ref="L48" ca="1">IF($G48=0,"",INDEX(auto_DataFlat_DataValue,$H48+L$18))</f>
        <v/>
      </c>
      <c r="M48" s="150" t="str" cm="1">
        <f t="array" aca="1" ref="M48" ca="1">IF($G48=0,"",INDEX(auto_DataFlat_DataValue,$H48+M$18))</f>
        <v/>
      </c>
      <c r="N48" s="150" t="str" cm="1">
        <f t="array" aca="1" ref="N48" ca="1">IF($G48=0,"",INDEX(auto_DataFlat_DataValue,$H48+N$18))</f>
        <v/>
      </c>
      <c r="O48" s="150" t="str" cm="1">
        <f t="array" aca="1" ref="O48" ca="1">IF($G48=0,"",INDEX(auto_DataFlat_DataValue,$H48+O$18))</f>
        <v/>
      </c>
      <c r="P48" s="150" t="str" cm="1">
        <f t="array" aca="1" ref="P48" ca="1">IF($G48=0,"",INDEX(auto_DataFlat_DataValue,$H48+P$18))</f>
        <v/>
      </c>
      <c r="Q48" s="150" t="str" cm="1">
        <f t="array" aca="1" ref="Q48" ca="1">IF($G48=0,"",INDEX(auto_DataFlat_DataValue,$H48+Q$18))</f>
        <v/>
      </c>
      <c r="R48" s="150" t="str" cm="1">
        <f t="array" aca="1" ref="R48" ca="1">IF($G48=0,"",INDEX(auto_DataFlat_DataValue,$H48+R$18))</f>
        <v/>
      </c>
      <c r="S48" s="150" t="str" cm="1">
        <f t="array" aca="1" ref="S48" ca="1">IF($G48=0,"",INDEX(auto_DataFlat_DataValue,$H48+S$18))</f>
        <v/>
      </c>
      <c r="T48" s="150" t="str" cm="1">
        <f t="array" aca="1" ref="T48" ca="1">IF($G48=0,"",INDEX(auto_DataFlat_DataValue,$H48+T$18))</f>
        <v/>
      </c>
      <c r="U48" s="150" t="str" cm="1">
        <f t="array" aca="1" ref="U48" ca="1">IF($G48=0,"",INDEX(auto_DataFlat_DataValue,$H48+U$18))</f>
        <v/>
      </c>
      <c r="V48" s="150" t="str" cm="1">
        <f t="array" aca="1" ref="V48" ca="1">IF($G48=0,"",INDEX(auto_DataFlat_DataValue,$H48+V$18))</f>
        <v/>
      </c>
      <c r="W48" s="150" t="str" cm="1">
        <f t="array" aca="1" ref="W48" ca="1">IF($G48=0,"",INDEX(auto_DataFlat_DataValue,$H48+W$18))</f>
        <v/>
      </c>
      <c r="X48" s="150" t="str" cm="1">
        <f t="array" aca="1" ref="X48" ca="1">IF($G48=0,"",INDEX(auto_DataFlat_DataValue,$H48+X$18))</f>
        <v/>
      </c>
      <c r="Y48" s="150" t="str" cm="1">
        <f t="array" aca="1" ref="Y48" ca="1">IF($G48=0,"",INDEX(auto_DataFlat_DataValue,$H48+Y$18))</f>
        <v/>
      </c>
      <c r="Z48" s="150" t="str" cm="1">
        <f t="array" aca="1" ref="Z48" ca="1">IF($G48=0,"",INDEX(auto_DataFlat_DataValue,$H48+Z$18))</f>
        <v/>
      </c>
      <c r="AA48" s="150" t="str" cm="1">
        <f t="array" aca="1" ref="AA48" ca="1">IF($G48=0,"",INDEX(auto_DataFlat_DataValue,$H48+AA$18))</f>
        <v/>
      </c>
      <c r="AB48" s="150" t="str" cm="1">
        <f t="array" aca="1" ref="AB48" ca="1">IF($G48=0,"",INDEX(auto_DataFlat_DataValue,$H48+AB$18))</f>
        <v/>
      </c>
      <c r="AC48" s="150" t="str" cm="1">
        <f t="array" aca="1" ref="AC48" ca="1">IF($G48=0,"",INDEX(auto_DataFlat_DataValue,$H48+AC$18))</f>
        <v/>
      </c>
      <c r="AD48" s="150" t="str" cm="1">
        <f t="array" aca="1" ref="AD48" ca="1">IF($G48=0,"",INDEX(auto_DataFlat_DataValue,$H48+AD$18))</f>
        <v/>
      </c>
      <c r="AE48" s="150" t="str" cm="1">
        <f t="array" aca="1" ref="AE48" ca="1">IF($G48=0,"",INDEX(auto_DataFlat_DataValue,$H48+AE$18))</f>
        <v/>
      </c>
      <c r="AF48" s="150" t="str" cm="1">
        <f t="array" aca="1" ref="AF48" ca="1">IF($G48=0,"",INDEX(auto_DataFlat_DataValue,$H48+AF$18))</f>
        <v/>
      </c>
      <c r="AG48" s="150" t="str" cm="1">
        <f t="array" aca="1" ref="AG48" ca="1">IF($G48=0,"",INDEX(auto_DataFlat_DataValue,$H48+AG$18))</f>
        <v/>
      </c>
      <c r="AH48" s="150" t="str" cm="1">
        <f t="array" aca="1" ref="AH48" ca="1">IF($G48=0,"",INDEX(auto_DataFlat_DataValue,$H48+AH$18))</f>
        <v/>
      </c>
      <c r="AI48" s="150" t="str" cm="1">
        <f t="array" aca="1" ref="AI48" ca="1">IF($G48=0,"",INDEX(auto_DataFlat_DataValue,$H48+AI$18))</f>
        <v/>
      </c>
      <c r="AJ48" s="150" t="str" cm="1">
        <f t="array" aca="1" ref="AJ48" ca="1">IF($G48=0,"",INDEX(auto_DataFlat_DataValue,$H48+AJ$18))</f>
        <v/>
      </c>
      <c r="AK48" s="150" t="str" cm="1">
        <f t="array" aca="1" ref="AK48" ca="1">IF($G48=0,"",INDEX(auto_DataFlat_DataValue,$H48+AK$18))</f>
        <v/>
      </c>
      <c r="AL48" s="150" t="str" cm="1">
        <f t="array" aca="1" ref="AL48" ca="1">IF($G48=0,"",INDEX(auto_DataFlat_DataValue,$H48+AL$18))</f>
        <v/>
      </c>
      <c r="AM48" s="150" t="str" cm="1">
        <f t="array" aca="1" ref="AM48" ca="1">IF($G48=0,"",INDEX(auto_DataFlat_DataValue,$H48+AM$18))</f>
        <v/>
      </c>
      <c r="AN48" s="150" t="str" cm="1">
        <f t="array" aca="1" ref="AN48" ca="1">IF($G48=0,"",INDEX(auto_DataFlat_DataValue,$H48+AN$18))</f>
        <v/>
      </c>
      <c r="AO48" s="150" t="str" cm="1">
        <f t="array" aca="1" ref="AO48" ca="1">IF($G48=0,"",INDEX(auto_DataFlat_DataValue,$H48+AO$18))</f>
        <v/>
      </c>
      <c r="AP48" s="150" t="str" cm="1">
        <f t="array" aca="1" ref="AP48" ca="1">IF($G48=0,"",INDEX(auto_DataFlat_DataValue,$H48+AP$18))</f>
        <v/>
      </c>
      <c r="AQ48" s="150" t="str" cm="1">
        <f t="array" aca="1" ref="AQ48" ca="1">IF($G48=0,"",INDEX(auto_DataFlat_DataValue,$H48+AQ$18))</f>
        <v/>
      </c>
      <c r="AR48" s="150" t="str" cm="1">
        <f t="array" aca="1" ref="AR48" ca="1">IF($G48=0,"",INDEX(auto_DataFlat_DataValue,$H48+AR$18))</f>
        <v/>
      </c>
      <c r="AS48" s="150" t="str" cm="1">
        <f t="array" aca="1" ref="AS48" ca="1">IF($G48=0,"",INDEX(auto_DataFlat_DataValue,$H48+AS$18))</f>
        <v/>
      </c>
      <c r="AT48" s="150" t="str" cm="1">
        <f t="array" aca="1" ref="AT48" ca="1">IF($G48=0,"",INDEX(auto_DataFlat_DataValue,$H48+AT$18))</f>
        <v/>
      </c>
      <c r="AU48" s="150" t="str" cm="1">
        <f t="array" aca="1" ref="AU48" ca="1">IF($G48=0,"",INDEX(auto_DataFlat_DataValue,$H48+AU$18))</f>
        <v/>
      </c>
      <c r="AV48" s="150" t="str" cm="1">
        <f t="array" aca="1" ref="AV48" ca="1">IF($G48=0,"",INDEX(auto_DataFlat_DataValue,$H48+AV$18))</f>
        <v/>
      </c>
      <c r="AW48" s="150" t="str" cm="1">
        <f t="array" aca="1" ref="AW48" ca="1">IF($G48=0,"",INDEX(auto_DataFlat_DataValue,$H48+AW$18))</f>
        <v/>
      </c>
      <c r="AX48" s="150" t="str" cm="1">
        <f t="array" aca="1" ref="AX48" ca="1">IF($G48=0,"",INDEX(auto_DataFlat_DataValue,$H48+AX$18))</f>
        <v/>
      </c>
      <c r="AY48" s="150" t="str" cm="1">
        <f t="array" aca="1" ref="AY48" ca="1">IF($G48=0,"",INDEX(auto_DataFlat_DataValue,$H48+AY$18))</f>
        <v/>
      </c>
      <c r="AZ48" s="150" t="str" cm="1">
        <f t="array" aca="1" ref="AZ48" ca="1">IF($G48=0,"",INDEX(auto_DataFlat_DataValue,$H48+AZ$18))</f>
        <v/>
      </c>
      <c r="BA48" s="150" t="str" cm="1">
        <f t="array" aca="1" ref="BA48" ca="1">IF($G48=0,"",INDEX(auto_DataFlat_DataValue,$H48+BA$18))</f>
        <v/>
      </c>
      <c r="BB48" s="150" t="str" cm="1">
        <f t="array" aca="1" ref="BB48" ca="1">IF($G48=0,"",INDEX(auto_DataFlat_DataValue,$H48+BB$18))</f>
        <v/>
      </c>
      <c r="BC48" s="150" t="str" cm="1">
        <f t="array" aca="1" ref="BC48" ca="1">IF($G48=0,"",INDEX(auto_DataFlat_DataValue,$H48+BC$18))</f>
        <v/>
      </c>
      <c r="BD48" s="150" t="str" cm="1">
        <f t="array" aca="1" ref="BD48" ca="1">IF($G48=0,"",INDEX(auto_DataFlat_DataValue,$H48+BD$18))</f>
        <v/>
      </c>
      <c r="BE48" s="150" t="str" cm="1">
        <f t="array" aca="1" ref="BE48" ca="1">IF($G48=0,"",INDEX(auto_DataFlat_DataValue,$H48+BE$18))</f>
        <v/>
      </c>
      <c r="BF48" s="150" t="str" cm="1">
        <f t="array" aca="1" ref="BF48" ca="1">IF($G48=0,"",INDEX(auto_DataFlat_DataValue,$H48+BF$18))</f>
        <v/>
      </c>
      <c r="BG48" s="150" t="str" cm="1">
        <f t="array" aca="1" ref="BG48" ca="1">IF($G48=0,"",INDEX(auto_DataFlat_DataValue,$H48+BG$18))</f>
        <v/>
      </c>
      <c r="BH48" s="150" t="str" cm="1">
        <f t="array" aca="1" ref="BH48" ca="1">IF($G48=0,"",INDEX(auto_DataFlat_DataValue,$H48+BH$18))</f>
        <v/>
      </c>
      <c r="BI48" s="150" t="str" cm="1">
        <f t="array" aca="1" ref="BI48" ca="1">IF($G48=0,"",INDEX(auto_DataFlat_DataValue,$H48+BI$18))</f>
        <v/>
      </c>
    </row>
    <row r="49" spans="1:61" ht="17.05" customHeight="1" x14ac:dyDescent="0.4">
      <c r="A49" t="str">
        <f t="shared" si="3"/>
        <v/>
      </c>
      <c r="B49" s="42" t="str">
        <f t="shared" ca="1" si="1"/>
        <v/>
      </c>
      <c r="C49" s="100">
        <v>30</v>
      </c>
      <c r="D49" s="49" cm="1">
        <f t="array" aca="1" ref="D49" ca="1">INDEX(OFFSET(auto_ss_data_table,0,1,500,1),C49)</f>
        <v>30</v>
      </c>
      <c r="E49" s="101" cm="1">
        <f t="array" aca="1" ref="E49" ca="1">INDEX(auto_tblSeries,$D49,E$18)</f>
        <v>3</v>
      </c>
      <c r="F49" s="101" t="str" cm="1">
        <f t="array" aca="1" ref="F49" ca="1">INDEX(auto_tblSeries,$D49,F$18)</f>
        <v>#,0.0</v>
      </c>
      <c r="G49" s="101" cm="1">
        <f t="array" aca="1" ref="G49" ca="1">INDEX(auto_tblSeries,$D49,G$18)</f>
        <v>1</v>
      </c>
      <c r="H49" s="101" cm="1">
        <f t="array" aca="1" ref="H49" ca="1">INDEX(sys_DataFlat_LU_Grid,$D49,1)-1</f>
        <v>1740</v>
      </c>
      <c r="I49" s="26"/>
      <c r="J49" s="151" t="str" cm="1">
        <f t="array" aca="1" ref="J49" ca="1">INDEX(auto_Series_NameNumbered,$D49)</f>
        <v>3.3a) Trans fats consumption: national data</v>
      </c>
      <c r="K49" s="152" t="str" cm="1">
        <f t="array" aca="1" ref="K49" ca="1">IF($G49=0,"",INDEX(auto_tblSeries,$D49,K$18))</f>
        <v>% energy/day</v>
      </c>
      <c r="L49" s="153" cm="1">
        <f t="array" aca="1" ref="L49" ca="1">IF($G49=0,"",INDEX(auto_DataFlat_DataValue,$H49+L$18))</f>
        <v>0.3</v>
      </c>
      <c r="M49" s="153" cm="1">
        <f t="array" aca="1" ref="M49" ca="1">IF($G49=0,"",INDEX(auto_DataFlat_DataValue,$H49+M$18))</f>
        <v>0.4</v>
      </c>
      <c r="N49" s="153" cm="1">
        <f t="array" aca="1" ref="N49" ca="1">IF($G49=0,"",INDEX(auto_DataFlat_DataValue,$H49+N$18))</f>
        <v>1.7</v>
      </c>
      <c r="O49" s="153" cm="1">
        <f t="array" aca="1" ref="O49" ca="1">IF($G49=0,"",INDEX(auto_DataFlat_DataValue,$H49+O$18))</f>
        <v>0.7</v>
      </c>
      <c r="P49" s="153" cm="1">
        <f t="array" aca="1" ref="P49" ca="1">IF($G49=0,"",INDEX(auto_DataFlat_DataValue,$H49+P$18))</f>
        <v>0.2</v>
      </c>
      <c r="Q49" s="153" cm="1">
        <f t="array" aca="1" ref="Q49" ca="1">IF($G49=0,"",INDEX(auto_DataFlat_DataValue,$H49+Q$18))</f>
        <v>0.4</v>
      </c>
      <c r="R49" s="153" cm="1">
        <f t="array" aca="1" ref="R49" ca="1">IF($G49=0,"",INDEX(auto_DataFlat_DataValue,$H49+R$18))</f>
        <v>0.7</v>
      </c>
      <c r="S49" s="153" cm="1">
        <f t="array" aca="1" ref="S49" ca="1">IF($G49=0,"",INDEX(auto_DataFlat_DataValue,$H49+S$18))</f>
        <v>0.4</v>
      </c>
      <c r="T49" s="153" cm="1">
        <f t="array" aca="1" ref="T49" ca="1">IF($G49=0,"",INDEX(auto_DataFlat_DataValue,$H49+T$18))</f>
        <v>0.4</v>
      </c>
      <c r="U49" s="153" cm="1">
        <f t="array" aca="1" ref="U49" ca="1">IF($G49=0,"",INDEX(auto_DataFlat_DataValue,$H49+U$18))</f>
        <v>1.8</v>
      </c>
      <c r="V49" s="153" cm="1">
        <f t="array" aca="1" ref="V49" ca="1">IF($G49=0,"",INDEX(auto_DataFlat_DataValue,$H49+V$18))</f>
        <v>0.3</v>
      </c>
      <c r="W49" s="153" cm="1">
        <f t="array" aca="1" ref="W49" ca="1">IF($G49=0,"",INDEX(auto_DataFlat_DataValue,$H49+W$18))</f>
        <v>0.8</v>
      </c>
      <c r="X49" s="153" cm="1">
        <f t="array" aca="1" ref="X49" ca="1">IF($G49=0,"",INDEX(auto_DataFlat_DataValue,$H49+X$18))</f>
        <v>0.8</v>
      </c>
      <c r="Y49" s="153" cm="1">
        <f t="array" aca="1" ref="Y49" ca="1">IF($G49=0,"",INDEX(auto_DataFlat_DataValue,$H49+Y$18))</f>
        <v>0.5</v>
      </c>
      <c r="Z49" s="153" cm="1">
        <f t="array" aca="1" ref="Z49" ca="1">IF($G49=0,"",INDEX(auto_DataFlat_DataValue,$H49+Z$18))</f>
        <v>0.4</v>
      </c>
      <c r="AA49" s="153" cm="1">
        <f t="array" aca="1" ref="AA49" ca="1">IF($G49=0,"",INDEX(auto_DataFlat_DataValue,$H49+AA$18))</f>
        <v>0.2</v>
      </c>
      <c r="AB49" s="153" cm="1">
        <f t="array" aca="1" ref="AB49" ca="1">IF($G49=0,"",INDEX(auto_DataFlat_DataValue,$H49+AB$18))</f>
        <v>0.4</v>
      </c>
      <c r="AC49" s="153" cm="1">
        <f t="array" aca="1" ref="AC49" ca="1">IF($G49=0,"",INDEX(auto_DataFlat_DataValue,$H49+AC$18))</f>
        <v>0.2</v>
      </c>
      <c r="AD49" s="153" cm="1">
        <f t="array" aca="1" ref="AD49" ca="1">IF($G49=0,"",INDEX(auto_DataFlat_DataValue,$H49+AD$18))</f>
        <v>0.2</v>
      </c>
      <c r="AE49" s="153" cm="1">
        <f t="array" aca="1" ref="AE49" ca="1">IF($G49=0,"",INDEX(auto_DataFlat_DataValue,$H49+AE$18))</f>
        <v>0.2</v>
      </c>
      <c r="AF49" s="153" cm="1">
        <f t="array" aca="1" ref="AF49" ca="1">IF($G49=0,"",INDEX(auto_DataFlat_DataValue,$H49+AF$18))</f>
        <v>0.8</v>
      </c>
      <c r="AG49" s="153" cm="1">
        <f t="array" aca="1" ref="AG49" ca="1">IF($G49=0,"",INDEX(auto_DataFlat_DataValue,$H49+AG$18))</f>
        <v>0.8</v>
      </c>
      <c r="AH49" s="153" cm="1">
        <f t="array" aca="1" ref="AH49" ca="1">IF($G49=0,"",INDEX(auto_DataFlat_DataValue,$H49+AH$18))</f>
        <v>0.8</v>
      </c>
      <c r="AI49" s="153" cm="1">
        <f t="array" aca="1" ref="AI49" ca="1">IF($G49=0,"",INDEX(auto_DataFlat_DataValue,$H49+AI$18))</f>
        <v>0.5</v>
      </c>
      <c r="AJ49" s="153" cm="1">
        <f t="array" aca="1" ref="AJ49" ca="1">IF($G49=0,"",INDEX(auto_DataFlat_DataValue,$H49+AJ$18))</f>
        <v>0.3</v>
      </c>
      <c r="AK49" s="153" cm="1">
        <f t="array" aca="1" ref="AK49" ca="1">IF($G49=0,"",INDEX(auto_DataFlat_DataValue,$H49+AK$18))</f>
        <v>0.6</v>
      </c>
      <c r="AL49" s="153" cm="1">
        <f t="array" aca="1" ref="AL49" ca="1">IF($G49=0,"",INDEX(auto_DataFlat_DataValue,$H49+AL$18))</f>
        <v>0.2</v>
      </c>
      <c r="AM49" s="153" cm="1">
        <f t="array" aca="1" ref="AM49" ca="1">IF($G49=0,"",INDEX(auto_DataFlat_DataValue,$H49+AM$18))</f>
        <v>0.2</v>
      </c>
      <c r="AN49" s="153" cm="1">
        <f t="array" aca="1" ref="AN49" ca="1">IF($G49=0,"",INDEX(auto_DataFlat_DataValue,$H49+AN$18))</f>
        <v>0.9</v>
      </c>
      <c r="AO49" s="153" cm="1">
        <f t="array" aca="1" ref="AO49" ca="1">IF($G49=0,"",INDEX(auto_DataFlat_DataValue,$H49+AO$18))</f>
        <v>0.8</v>
      </c>
      <c r="AP49" s="153" cm="1">
        <f t="array" aca="1" ref="AP49" ca="1">IF($G49=0,"",INDEX(auto_DataFlat_DataValue,$H49+AP$18))</f>
        <v>0.3</v>
      </c>
      <c r="AQ49" s="153" cm="1">
        <f t="array" aca="1" ref="AQ49" ca="1">IF($G49=0,"",INDEX(auto_DataFlat_DataValue,$H49+AQ$18))</f>
        <v>0.8</v>
      </c>
      <c r="AR49" s="153" cm="1">
        <f t="array" aca="1" ref="AR49" ca="1">IF($G49=0,"",INDEX(auto_DataFlat_DataValue,$H49+AR$18))</f>
        <v>0.3</v>
      </c>
      <c r="AS49" s="153" cm="1">
        <f t="array" aca="1" ref="AS49" ca="1">IF($G49=0,"",INDEX(auto_DataFlat_DataValue,$H49+AS$18))</f>
        <v>1.7</v>
      </c>
      <c r="AT49" s="153" cm="1">
        <f t="array" aca="1" ref="AT49" ca="1">IF($G49=0,"",INDEX(auto_DataFlat_DataValue,$H49+AT$18))</f>
        <v>0.3</v>
      </c>
      <c r="AU49" s="153" cm="1">
        <f t="array" aca="1" ref="AU49" ca="1">IF($G49=0,"",INDEX(auto_DataFlat_DataValue,$H49+AU$18))</f>
        <v>0.5</v>
      </c>
      <c r="AV49" s="153" cm="1">
        <f t="array" aca="1" ref="AV49" ca="1">IF($G49=0,"",INDEX(auto_DataFlat_DataValue,$H49+AV$18))</f>
        <v>0.2</v>
      </c>
      <c r="AW49" s="153" cm="1">
        <f t="array" aca="1" ref="AW49" ca="1">IF($G49=0,"",INDEX(auto_DataFlat_DataValue,$H49+AW$18))</f>
        <v>0.3</v>
      </c>
      <c r="AX49" s="153" cm="1">
        <f t="array" aca="1" ref="AX49" ca="1">IF($G49=0,"",INDEX(auto_DataFlat_DataValue,$H49+AX$18))</f>
        <v>0.2</v>
      </c>
      <c r="AY49" s="153" cm="1">
        <f t="array" aca="1" ref="AY49" ca="1">IF($G49=0,"",INDEX(auto_DataFlat_DataValue,$H49+AY$18))</f>
        <v>1.7</v>
      </c>
      <c r="AZ49" s="153" cm="1">
        <f t="array" aca="1" ref="AZ49" ca="1">IF($G49=0,"",INDEX(auto_DataFlat_DataValue,$H49+AZ$18))</f>
        <v>0.5</v>
      </c>
      <c r="BA49" s="153" cm="1">
        <f t="array" aca="1" ref="BA49" ca="1">IF($G49=0,"",INDEX(auto_DataFlat_DataValue,$H49+BA$18))</f>
        <v>0.9</v>
      </c>
      <c r="BB49" s="153" cm="1">
        <f t="array" aca="1" ref="BB49" ca="1">IF($G49=0,"",INDEX(auto_DataFlat_DataValue,$H49+BB$18))</f>
        <v>0.4</v>
      </c>
      <c r="BC49" s="153" cm="1">
        <f t="array" aca="1" ref="BC49" ca="1">IF($G49=0,"",INDEX(auto_DataFlat_DataValue,$H49+BC$18))</f>
        <v>0.4</v>
      </c>
      <c r="BD49" s="153" cm="1">
        <f t="array" aca="1" ref="BD49" ca="1">IF($G49=0,"",INDEX(auto_DataFlat_DataValue,$H49+BD$18))</f>
        <v>0.9</v>
      </c>
      <c r="BE49" s="153" cm="1">
        <f t="array" aca="1" ref="BE49" ca="1">IF($G49=0,"",INDEX(auto_DataFlat_DataValue,$H49+BE$18))</f>
        <v>0.3</v>
      </c>
      <c r="BF49" s="153" cm="1">
        <f t="array" aca="1" ref="BF49" ca="1">IF($G49=0,"",INDEX(auto_DataFlat_DataValue,$H49+BF$18))</f>
        <v>1.2</v>
      </c>
      <c r="BG49" s="153" cm="1">
        <f t="array" aca="1" ref="BG49" ca="1">IF($G49=0,"",INDEX(auto_DataFlat_DataValue,$H49+BG$18))</f>
        <v>0.3</v>
      </c>
      <c r="BH49" s="153" cm="1">
        <f t="array" aca="1" ref="BH49" ca="1">IF($G49=0,"",INDEX(auto_DataFlat_DataValue,$H49+BH$18))</f>
        <v>0.4</v>
      </c>
      <c r="BI49" s="153" cm="1">
        <f t="array" aca="1" ref="BI49" ca="1">IF($G49=0,"",INDEX(auto_DataFlat_DataValue,$H49+BI$18))</f>
        <v>0.2</v>
      </c>
    </row>
    <row r="50" spans="1:61" ht="17.05" customHeight="1" x14ac:dyDescent="0.4">
      <c r="A50" t="str">
        <f t="shared" si="3"/>
        <v/>
      </c>
      <c r="B50" s="42" t="str">
        <f t="shared" ca="1" si="1"/>
        <v/>
      </c>
      <c r="C50" s="100">
        <v>31</v>
      </c>
      <c r="D50" s="49" cm="1">
        <f t="array" aca="1" ref="D50" ca="1">INDEX(OFFSET(auto_ss_data_table,0,1,500,1),C50)</f>
        <v>31</v>
      </c>
      <c r="E50" s="101" cm="1">
        <f t="array" aca="1" ref="E50" ca="1">INDEX(auto_tblSeries,$D50,E$18)</f>
        <v>3</v>
      </c>
      <c r="F50" s="101" t="str" cm="1">
        <f t="array" aca="1" ref="F50" ca="1">INDEX(auto_tblSeries,$D50,F$18)</f>
        <v>#,##0</v>
      </c>
      <c r="G50" s="101" cm="1">
        <f t="array" aca="1" ref="G50" ca="1">INDEX(auto_tblSeries,$D50,G$18)</f>
        <v>1</v>
      </c>
      <c r="H50" s="101" cm="1">
        <f t="array" aca="1" ref="H50" ca="1">INDEX(sys_DataFlat_LU_Grid,$D50,1)-1</f>
        <v>1800</v>
      </c>
      <c r="I50" s="26"/>
      <c r="J50" s="151" t="str" cm="1">
        <f t="array" aca="1" ref="J50" ca="1">INDEX(auto_Series_NameNumbered,$D50)</f>
        <v>3.3b) Trans fats consumption: city-level data availability</v>
      </c>
      <c r="K50" s="152" t="str" cm="1">
        <f t="array" aca="1" ref="K50" ca="1">IF($G50=0,"",INDEX(auto_tblSeries,$D50,K$18))</f>
        <v>Rating 0-1</v>
      </c>
      <c r="L50" s="154" cm="1">
        <f t="array" aca="1" ref="L50" ca="1">IF($G50=0,"",INDEX(auto_DataFlat_DataValue,$H50+L$18))</f>
        <v>0</v>
      </c>
      <c r="M50" s="154" cm="1">
        <f t="array" aca="1" ref="M50" ca="1">IF($G50=0,"",INDEX(auto_DataFlat_DataValue,$H50+M$18))</f>
        <v>0</v>
      </c>
      <c r="N50" s="154" cm="1">
        <f t="array" aca="1" ref="N50" ca="1">IF($G50=0,"",INDEX(auto_DataFlat_DataValue,$H50+N$18))</f>
        <v>0</v>
      </c>
      <c r="O50" s="154" cm="1">
        <f t="array" aca="1" ref="O50" ca="1">IF($G50=0,"",INDEX(auto_DataFlat_DataValue,$H50+O$18))</f>
        <v>0</v>
      </c>
      <c r="P50" s="154" cm="1">
        <f t="array" aca="1" ref="P50" ca="1">IF($G50=0,"",INDEX(auto_DataFlat_DataValue,$H50+P$18))</f>
        <v>0</v>
      </c>
      <c r="Q50" s="154" cm="1">
        <f t="array" aca="1" ref="Q50" ca="1">IF($G50=0,"",INDEX(auto_DataFlat_DataValue,$H50+Q$18))</f>
        <v>1</v>
      </c>
      <c r="R50" s="154" cm="1">
        <f t="array" aca="1" ref="R50" ca="1">IF($G50=0,"",INDEX(auto_DataFlat_DataValue,$H50+R$18))</f>
        <v>1</v>
      </c>
      <c r="S50" s="154" cm="1">
        <f t="array" aca="1" ref="S50" ca="1">IF($G50=0,"",INDEX(auto_DataFlat_DataValue,$H50+S$18))</f>
        <v>0</v>
      </c>
      <c r="T50" s="154" cm="1">
        <f t="array" aca="1" ref="T50" ca="1">IF($G50=0,"",INDEX(auto_DataFlat_DataValue,$H50+T$18))</f>
        <v>1</v>
      </c>
      <c r="U50" s="154" cm="1">
        <f t="array" aca="1" ref="U50" ca="1">IF($G50=0,"",INDEX(auto_DataFlat_DataValue,$H50+U$18))</f>
        <v>0</v>
      </c>
      <c r="V50" s="154" cm="1">
        <f t="array" aca="1" ref="V50" ca="1">IF($G50=0,"",INDEX(auto_DataFlat_DataValue,$H50+V$18))</f>
        <v>0</v>
      </c>
      <c r="W50" s="154" cm="1">
        <f t="array" aca="1" ref="W50" ca="1">IF($G50=0,"",INDEX(auto_DataFlat_DataValue,$H50+W$18))</f>
        <v>0</v>
      </c>
      <c r="X50" s="154" cm="1">
        <f t="array" aca="1" ref="X50" ca="1">IF($G50=0,"",INDEX(auto_DataFlat_DataValue,$H50+X$18))</f>
        <v>0</v>
      </c>
      <c r="Y50" s="154" cm="1">
        <f t="array" aca="1" ref="Y50" ca="1">IF($G50=0,"",INDEX(auto_DataFlat_DataValue,$H50+Y$18))</f>
        <v>0</v>
      </c>
      <c r="Z50" s="154" cm="1">
        <f t="array" aca="1" ref="Z50" ca="1">IF($G50=0,"",INDEX(auto_DataFlat_DataValue,$H50+Z$18))</f>
        <v>0</v>
      </c>
      <c r="AA50" s="154" cm="1">
        <f t="array" aca="1" ref="AA50" ca="1">IF($G50=0,"",INDEX(auto_DataFlat_DataValue,$H50+AA$18))</f>
        <v>0</v>
      </c>
      <c r="AB50" s="154" cm="1">
        <f t="array" aca="1" ref="AB50" ca="1">IF($G50=0,"",INDEX(auto_DataFlat_DataValue,$H50+AB$18))</f>
        <v>1</v>
      </c>
      <c r="AC50" s="154" cm="1">
        <f t="array" aca="1" ref="AC50" ca="1">IF($G50=0,"",INDEX(auto_DataFlat_DataValue,$H50+AC$18))</f>
        <v>0</v>
      </c>
      <c r="AD50" s="154" cm="1">
        <f t="array" aca="1" ref="AD50" ca="1">IF($G50=0,"",INDEX(auto_DataFlat_DataValue,$H50+AD$18))</f>
        <v>1</v>
      </c>
      <c r="AE50" s="154" cm="1">
        <f t="array" aca="1" ref="AE50" ca="1">IF($G50=0,"",INDEX(auto_DataFlat_DataValue,$H50+AE$18))</f>
        <v>0</v>
      </c>
      <c r="AF50" s="154" cm="1">
        <f t="array" aca="1" ref="AF50" ca="1">IF($G50=0,"",INDEX(auto_DataFlat_DataValue,$H50+AF$18))</f>
        <v>0</v>
      </c>
      <c r="AG50" s="154" cm="1">
        <f t="array" aca="1" ref="AG50" ca="1">IF($G50=0,"",INDEX(auto_DataFlat_DataValue,$H50+AG$18))</f>
        <v>0</v>
      </c>
      <c r="AH50" s="154" cm="1">
        <f t="array" aca="1" ref="AH50" ca="1">IF($G50=0,"",INDEX(auto_DataFlat_DataValue,$H50+AH$18))</f>
        <v>0</v>
      </c>
      <c r="AI50" s="154" cm="1">
        <f t="array" aca="1" ref="AI50" ca="1">IF($G50=0,"",INDEX(auto_DataFlat_DataValue,$H50+AI$18))</f>
        <v>0</v>
      </c>
      <c r="AJ50" s="154" cm="1">
        <f t="array" aca="1" ref="AJ50" ca="1">IF($G50=0,"",INDEX(auto_DataFlat_DataValue,$H50+AJ$18))</f>
        <v>0</v>
      </c>
      <c r="AK50" s="154" cm="1">
        <f t="array" aca="1" ref="AK50" ca="1">IF($G50=0,"",INDEX(auto_DataFlat_DataValue,$H50+AK$18))</f>
        <v>0</v>
      </c>
      <c r="AL50" s="154" cm="1">
        <f t="array" aca="1" ref="AL50" ca="1">IF($G50=0,"",INDEX(auto_DataFlat_DataValue,$H50+AL$18))</f>
        <v>0</v>
      </c>
      <c r="AM50" s="154" cm="1">
        <f t="array" aca="1" ref="AM50" ca="1">IF($G50=0,"",INDEX(auto_DataFlat_DataValue,$H50+AM$18))</f>
        <v>0</v>
      </c>
      <c r="AN50" s="154" cm="1">
        <f t="array" aca="1" ref="AN50" ca="1">IF($G50=0,"",INDEX(auto_DataFlat_DataValue,$H50+AN$18))</f>
        <v>0</v>
      </c>
      <c r="AO50" s="154" cm="1">
        <f t="array" aca="1" ref="AO50" ca="1">IF($G50=0,"",INDEX(auto_DataFlat_DataValue,$H50+AO$18))</f>
        <v>0</v>
      </c>
      <c r="AP50" s="154" cm="1">
        <f t="array" aca="1" ref="AP50" ca="1">IF($G50=0,"",INDEX(auto_DataFlat_DataValue,$H50+AP$18))</f>
        <v>0</v>
      </c>
      <c r="AQ50" s="154" cm="1">
        <f t="array" aca="1" ref="AQ50" ca="1">IF($G50=0,"",INDEX(auto_DataFlat_DataValue,$H50+AQ$18))</f>
        <v>0</v>
      </c>
      <c r="AR50" s="154" cm="1">
        <f t="array" aca="1" ref="AR50" ca="1">IF($G50=0,"",INDEX(auto_DataFlat_DataValue,$H50+AR$18))</f>
        <v>0</v>
      </c>
      <c r="AS50" s="154" cm="1">
        <f t="array" aca="1" ref="AS50" ca="1">IF($G50=0,"",INDEX(auto_DataFlat_DataValue,$H50+AS$18))</f>
        <v>0</v>
      </c>
      <c r="AT50" s="154" cm="1">
        <f t="array" aca="1" ref="AT50" ca="1">IF($G50=0,"",INDEX(auto_DataFlat_DataValue,$H50+AT$18))</f>
        <v>0</v>
      </c>
      <c r="AU50" s="154" cm="1">
        <f t="array" aca="1" ref="AU50" ca="1">IF($G50=0,"",INDEX(auto_DataFlat_DataValue,$H50+AU$18))</f>
        <v>0</v>
      </c>
      <c r="AV50" s="154" cm="1">
        <f t="array" aca="1" ref="AV50" ca="1">IF($G50=0,"",INDEX(auto_DataFlat_DataValue,$H50+AV$18))</f>
        <v>0</v>
      </c>
      <c r="AW50" s="154" cm="1">
        <f t="array" aca="1" ref="AW50" ca="1">IF($G50=0,"",INDEX(auto_DataFlat_DataValue,$H50+AW$18))</f>
        <v>0</v>
      </c>
      <c r="AX50" s="154" cm="1">
        <f t="array" aca="1" ref="AX50" ca="1">IF($G50=0,"",INDEX(auto_DataFlat_DataValue,$H50+AX$18))</f>
        <v>0</v>
      </c>
      <c r="AY50" s="154" cm="1">
        <f t="array" aca="1" ref="AY50" ca="1">IF($G50=0,"",INDEX(auto_DataFlat_DataValue,$H50+AY$18))</f>
        <v>0</v>
      </c>
      <c r="AZ50" s="154" cm="1">
        <f t="array" aca="1" ref="AZ50" ca="1">IF($G50=0,"",INDEX(auto_DataFlat_DataValue,$H50+AZ$18))</f>
        <v>0</v>
      </c>
      <c r="BA50" s="154" cm="1">
        <f t="array" aca="1" ref="BA50" ca="1">IF($G50=0,"",INDEX(auto_DataFlat_DataValue,$H50+BA$18))</f>
        <v>0</v>
      </c>
      <c r="BB50" s="154" cm="1">
        <f t="array" aca="1" ref="BB50" ca="1">IF($G50=0,"",INDEX(auto_DataFlat_DataValue,$H50+BB$18))</f>
        <v>1</v>
      </c>
      <c r="BC50" s="154" cm="1">
        <f t="array" aca="1" ref="BC50" ca="1">IF($G50=0,"",INDEX(auto_DataFlat_DataValue,$H50+BC$18))</f>
        <v>1</v>
      </c>
      <c r="BD50" s="154" cm="1">
        <f t="array" aca="1" ref="BD50" ca="1">IF($G50=0,"",INDEX(auto_DataFlat_DataValue,$H50+BD$18))</f>
        <v>0</v>
      </c>
      <c r="BE50" s="154" cm="1">
        <f t="array" aca="1" ref="BE50" ca="1">IF($G50=0,"",INDEX(auto_DataFlat_DataValue,$H50+BE$18))</f>
        <v>0</v>
      </c>
      <c r="BF50" s="154" cm="1">
        <f t="array" aca="1" ref="BF50" ca="1">IF($G50=0,"",INDEX(auto_DataFlat_DataValue,$H50+BF$18))</f>
        <v>0</v>
      </c>
      <c r="BG50" s="154" cm="1">
        <f t="array" aca="1" ref="BG50" ca="1">IF($G50=0,"",INDEX(auto_DataFlat_DataValue,$H50+BG$18))</f>
        <v>0</v>
      </c>
      <c r="BH50" s="154" cm="1">
        <f t="array" aca="1" ref="BH50" ca="1">IF($G50=0,"",INDEX(auto_DataFlat_DataValue,$H50+BH$18))</f>
        <v>0</v>
      </c>
      <c r="BI50" s="154" cm="1">
        <f t="array" aca="1" ref="BI50" ca="1">IF($G50=0,"",INDEX(auto_DataFlat_DataValue,$H50+BI$18))</f>
        <v>0</v>
      </c>
    </row>
    <row r="51" spans="1:61" ht="17.05" customHeight="1" x14ac:dyDescent="0.4">
      <c r="A51" t="str">
        <f t="shared" si="3"/>
        <v/>
      </c>
      <c r="B51" s="42" t="str">
        <f t="shared" ca="1" si="1"/>
        <v>V</v>
      </c>
      <c r="C51" s="100">
        <v>32</v>
      </c>
      <c r="D51" s="49" cm="1">
        <f t="array" aca="1" ref="D51" ca="1">INDEX(OFFSET(auto_ss_data_table,0,1,500,1),C51)</f>
        <v>32</v>
      </c>
      <c r="E51" s="101" cm="1">
        <f t="array" aca="1" ref="E51" ca="1">INDEX(auto_tblSeries,$D51,E$18)</f>
        <v>2</v>
      </c>
      <c r="F51" s="101" t="str" cm="1">
        <f t="array" aca="1" ref="F51" ca="1">INDEX(auto_tblSeries,$D51,F$18)</f>
        <v>#,0.0</v>
      </c>
      <c r="G51" s="101" cm="1">
        <f t="array" aca="1" ref="G51" ca="1">INDEX(auto_tblSeries,$D51,G$18)</f>
        <v>0</v>
      </c>
      <c r="H51" s="101" cm="1">
        <f t="array" aca="1" ref="H51" ca="1">INDEX(sys_DataFlat_LU_Grid,$D51,1)-1</f>
        <v>1860</v>
      </c>
      <c r="I51" s="26"/>
      <c r="J51" s="148" t="str" cm="1">
        <f t="array" aca="1" ref="J51" ca="1">INDEX(auto_Series_NameNumbered,$D51)</f>
        <v>3.4) Physical activity</v>
      </c>
      <c r="K51" s="149" t="str" cm="1">
        <f t="array" aca="1" ref="K51" ca="1">IF($G51=0,"",INDEX(auto_tblSeries,$D51,K$18))</f>
        <v/>
      </c>
      <c r="L51" s="150" t="str" cm="1">
        <f t="array" aca="1" ref="L51" ca="1">IF($G51=0,"",INDEX(auto_DataFlat_DataValue,$H51+L$18))</f>
        <v/>
      </c>
      <c r="M51" s="150" t="str" cm="1">
        <f t="array" aca="1" ref="M51" ca="1">IF($G51=0,"",INDEX(auto_DataFlat_DataValue,$H51+M$18))</f>
        <v/>
      </c>
      <c r="N51" s="150" t="str" cm="1">
        <f t="array" aca="1" ref="N51" ca="1">IF($G51=0,"",INDEX(auto_DataFlat_DataValue,$H51+N$18))</f>
        <v/>
      </c>
      <c r="O51" s="150" t="str" cm="1">
        <f t="array" aca="1" ref="O51" ca="1">IF($G51=0,"",INDEX(auto_DataFlat_DataValue,$H51+O$18))</f>
        <v/>
      </c>
      <c r="P51" s="150" t="str" cm="1">
        <f t="array" aca="1" ref="P51" ca="1">IF($G51=0,"",INDEX(auto_DataFlat_DataValue,$H51+P$18))</f>
        <v/>
      </c>
      <c r="Q51" s="150" t="str" cm="1">
        <f t="array" aca="1" ref="Q51" ca="1">IF($G51=0,"",INDEX(auto_DataFlat_DataValue,$H51+Q$18))</f>
        <v/>
      </c>
      <c r="R51" s="150" t="str" cm="1">
        <f t="array" aca="1" ref="R51" ca="1">IF($G51=0,"",INDEX(auto_DataFlat_DataValue,$H51+R$18))</f>
        <v/>
      </c>
      <c r="S51" s="150" t="str" cm="1">
        <f t="array" aca="1" ref="S51" ca="1">IF($G51=0,"",INDEX(auto_DataFlat_DataValue,$H51+S$18))</f>
        <v/>
      </c>
      <c r="T51" s="150" t="str" cm="1">
        <f t="array" aca="1" ref="T51" ca="1">IF($G51=0,"",INDEX(auto_DataFlat_DataValue,$H51+T$18))</f>
        <v/>
      </c>
      <c r="U51" s="150" t="str" cm="1">
        <f t="array" aca="1" ref="U51" ca="1">IF($G51=0,"",INDEX(auto_DataFlat_DataValue,$H51+U$18))</f>
        <v/>
      </c>
      <c r="V51" s="150" t="str" cm="1">
        <f t="array" aca="1" ref="V51" ca="1">IF($G51=0,"",INDEX(auto_DataFlat_DataValue,$H51+V$18))</f>
        <v/>
      </c>
      <c r="W51" s="150" t="str" cm="1">
        <f t="array" aca="1" ref="W51" ca="1">IF($G51=0,"",INDEX(auto_DataFlat_DataValue,$H51+W$18))</f>
        <v/>
      </c>
      <c r="X51" s="150" t="str" cm="1">
        <f t="array" aca="1" ref="X51" ca="1">IF($G51=0,"",INDEX(auto_DataFlat_DataValue,$H51+X$18))</f>
        <v/>
      </c>
      <c r="Y51" s="150" t="str" cm="1">
        <f t="array" aca="1" ref="Y51" ca="1">IF($G51=0,"",INDEX(auto_DataFlat_DataValue,$H51+Y$18))</f>
        <v/>
      </c>
      <c r="Z51" s="150" t="str" cm="1">
        <f t="array" aca="1" ref="Z51" ca="1">IF($G51=0,"",INDEX(auto_DataFlat_DataValue,$H51+Z$18))</f>
        <v/>
      </c>
      <c r="AA51" s="150" t="str" cm="1">
        <f t="array" aca="1" ref="AA51" ca="1">IF($G51=0,"",INDEX(auto_DataFlat_DataValue,$H51+AA$18))</f>
        <v/>
      </c>
      <c r="AB51" s="150" t="str" cm="1">
        <f t="array" aca="1" ref="AB51" ca="1">IF($G51=0,"",INDEX(auto_DataFlat_DataValue,$H51+AB$18))</f>
        <v/>
      </c>
      <c r="AC51" s="150" t="str" cm="1">
        <f t="array" aca="1" ref="AC51" ca="1">IF($G51=0,"",INDEX(auto_DataFlat_DataValue,$H51+AC$18))</f>
        <v/>
      </c>
      <c r="AD51" s="150" t="str" cm="1">
        <f t="array" aca="1" ref="AD51" ca="1">IF($G51=0,"",INDEX(auto_DataFlat_DataValue,$H51+AD$18))</f>
        <v/>
      </c>
      <c r="AE51" s="150" t="str" cm="1">
        <f t="array" aca="1" ref="AE51" ca="1">IF($G51=0,"",INDEX(auto_DataFlat_DataValue,$H51+AE$18))</f>
        <v/>
      </c>
      <c r="AF51" s="150" t="str" cm="1">
        <f t="array" aca="1" ref="AF51" ca="1">IF($G51=0,"",INDEX(auto_DataFlat_DataValue,$H51+AF$18))</f>
        <v/>
      </c>
      <c r="AG51" s="150" t="str" cm="1">
        <f t="array" aca="1" ref="AG51" ca="1">IF($G51=0,"",INDEX(auto_DataFlat_DataValue,$H51+AG$18))</f>
        <v/>
      </c>
      <c r="AH51" s="150" t="str" cm="1">
        <f t="array" aca="1" ref="AH51" ca="1">IF($G51=0,"",INDEX(auto_DataFlat_DataValue,$H51+AH$18))</f>
        <v/>
      </c>
      <c r="AI51" s="150" t="str" cm="1">
        <f t="array" aca="1" ref="AI51" ca="1">IF($G51=0,"",INDEX(auto_DataFlat_DataValue,$H51+AI$18))</f>
        <v/>
      </c>
      <c r="AJ51" s="150" t="str" cm="1">
        <f t="array" aca="1" ref="AJ51" ca="1">IF($G51=0,"",INDEX(auto_DataFlat_DataValue,$H51+AJ$18))</f>
        <v/>
      </c>
      <c r="AK51" s="150" t="str" cm="1">
        <f t="array" aca="1" ref="AK51" ca="1">IF($G51=0,"",INDEX(auto_DataFlat_DataValue,$H51+AK$18))</f>
        <v/>
      </c>
      <c r="AL51" s="150" t="str" cm="1">
        <f t="array" aca="1" ref="AL51" ca="1">IF($G51=0,"",INDEX(auto_DataFlat_DataValue,$H51+AL$18))</f>
        <v/>
      </c>
      <c r="AM51" s="150" t="str" cm="1">
        <f t="array" aca="1" ref="AM51" ca="1">IF($G51=0,"",INDEX(auto_DataFlat_DataValue,$H51+AM$18))</f>
        <v/>
      </c>
      <c r="AN51" s="150" t="str" cm="1">
        <f t="array" aca="1" ref="AN51" ca="1">IF($G51=0,"",INDEX(auto_DataFlat_DataValue,$H51+AN$18))</f>
        <v/>
      </c>
      <c r="AO51" s="150" t="str" cm="1">
        <f t="array" aca="1" ref="AO51" ca="1">IF($G51=0,"",INDEX(auto_DataFlat_DataValue,$H51+AO$18))</f>
        <v/>
      </c>
      <c r="AP51" s="150" t="str" cm="1">
        <f t="array" aca="1" ref="AP51" ca="1">IF($G51=0,"",INDEX(auto_DataFlat_DataValue,$H51+AP$18))</f>
        <v/>
      </c>
      <c r="AQ51" s="150" t="str" cm="1">
        <f t="array" aca="1" ref="AQ51" ca="1">IF($G51=0,"",INDEX(auto_DataFlat_DataValue,$H51+AQ$18))</f>
        <v/>
      </c>
      <c r="AR51" s="150" t="str" cm="1">
        <f t="array" aca="1" ref="AR51" ca="1">IF($G51=0,"",INDEX(auto_DataFlat_DataValue,$H51+AR$18))</f>
        <v/>
      </c>
      <c r="AS51" s="150" t="str" cm="1">
        <f t="array" aca="1" ref="AS51" ca="1">IF($G51=0,"",INDEX(auto_DataFlat_DataValue,$H51+AS$18))</f>
        <v/>
      </c>
      <c r="AT51" s="150" t="str" cm="1">
        <f t="array" aca="1" ref="AT51" ca="1">IF($G51=0,"",INDEX(auto_DataFlat_DataValue,$H51+AT$18))</f>
        <v/>
      </c>
      <c r="AU51" s="150" t="str" cm="1">
        <f t="array" aca="1" ref="AU51" ca="1">IF($G51=0,"",INDEX(auto_DataFlat_DataValue,$H51+AU$18))</f>
        <v/>
      </c>
      <c r="AV51" s="150" t="str" cm="1">
        <f t="array" aca="1" ref="AV51" ca="1">IF($G51=0,"",INDEX(auto_DataFlat_DataValue,$H51+AV$18))</f>
        <v/>
      </c>
      <c r="AW51" s="150" t="str" cm="1">
        <f t="array" aca="1" ref="AW51" ca="1">IF($G51=0,"",INDEX(auto_DataFlat_DataValue,$H51+AW$18))</f>
        <v/>
      </c>
      <c r="AX51" s="150" t="str" cm="1">
        <f t="array" aca="1" ref="AX51" ca="1">IF($G51=0,"",INDEX(auto_DataFlat_DataValue,$H51+AX$18))</f>
        <v/>
      </c>
      <c r="AY51" s="150" t="str" cm="1">
        <f t="array" aca="1" ref="AY51" ca="1">IF($G51=0,"",INDEX(auto_DataFlat_DataValue,$H51+AY$18))</f>
        <v/>
      </c>
      <c r="AZ51" s="150" t="str" cm="1">
        <f t="array" aca="1" ref="AZ51" ca="1">IF($G51=0,"",INDEX(auto_DataFlat_DataValue,$H51+AZ$18))</f>
        <v/>
      </c>
      <c r="BA51" s="150" t="str" cm="1">
        <f t="array" aca="1" ref="BA51" ca="1">IF($G51=0,"",INDEX(auto_DataFlat_DataValue,$H51+BA$18))</f>
        <v/>
      </c>
      <c r="BB51" s="150" t="str" cm="1">
        <f t="array" aca="1" ref="BB51" ca="1">IF($G51=0,"",INDEX(auto_DataFlat_DataValue,$H51+BB$18))</f>
        <v/>
      </c>
      <c r="BC51" s="150" t="str" cm="1">
        <f t="array" aca="1" ref="BC51" ca="1">IF($G51=0,"",INDEX(auto_DataFlat_DataValue,$H51+BC$18))</f>
        <v/>
      </c>
      <c r="BD51" s="150" t="str" cm="1">
        <f t="array" aca="1" ref="BD51" ca="1">IF($G51=0,"",INDEX(auto_DataFlat_DataValue,$H51+BD$18))</f>
        <v/>
      </c>
      <c r="BE51" s="150" t="str" cm="1">
        <f t="array" aca="1" ref="BE51" ca="1">IF($G51=0,"",INDEX(auto_DataFlat_DataValue,$H51+BE$18))</f>
        <v/>
      </c>
      <c r="BF51" s="150" t="str" cm="1">
        <f t="array" aca="1" ref="BF51" ca="1">IF($G51=0,"",INDEX(auto_DataFlat_DataValue,$H51+BF$18))</f>
        <v/>
      </c>
      <c r="BG51" s="150" t="str" cm="1">
        <f t="array" aca="1" ref="BG51" ca="1">IF($G51=0,"",INDEX(auto_DataFlat_DataValue,$H51+BG$18))</f>
        <v/>
      </c>
      <c r="BH51" s="150" t="str" cm="1">
        <f t="array" aca="1" ref="BH51" ca="1">IF($G51=0,"",INDEX(auto_DataFlat_DataValue,$H51+BH$18))</f>
        <v/>
      </c>
      <c r="BI51" s="150" t="str" cm="1">
        <f t="array" aca="1" ref="BI51" ca="1">IF($G51=0,"",INDEX(auto_DataFlat_DataValue,$H51+BI$18))</f>
        <v/>
      </c>
    </row>
    <row r="52" spans="1:61" ht="17.05" customHeight="1" x14ac:dyDescent="0.4">
      <c r="A52" t="str">
        <f t="shared" si="3"/>
        <v/>
      </c>
      <c r="B52" s="42" t="str">
        <f t="shared" ca="1" si="1"/>
        <v/>
      </c>
      <c r="C52" s="100">
        <v>33</v>
      </c>
      <c r="D52" s="49" cm="1">
        <f t="array" aca="1" ref="D52" ca="1">INDEX(OFFSET(auto_ss_data_table,0,1,500,1),C52)</f>
        <v>33</v>
      </c>
      <c r="E52" s="101" cm="1">
        <f t="array" aca="1" ref="E52" ca="1">INDEX(auto_tblSeries,$D52,E$18)</f>
        <v>3</v>
      </c>
      <c r="F52" s="101" t="str" cm="1">
        <f t="array" aca="1" ref="F52" ca="1">INDEX(auto_tblSeries,$D52,F$18)</f>
        <v>#,0.00</v>
      </c>
      <c r="G52" s="101" cm="1">
        <f t="array" aca="1" ref="G52" ca="1">INDEX(auto_tblSeries,$D52,G$18)</f>
        <v>1</v>
      </c>
      <c r="H52" s="101" cm="1">
        <f t="array" aca="1" ref="H52" ca="1">INDEX(sys_DataFlat_LU_Grid,$D52,1)-1</f>
        <v>1920</v>
      </c>
      <c r="I52" s="26"/>
      <c r="J52" s="151" t="str" cm="1">
        <f t="array" aca="1" ref="J52" ca="1">INDEX(auto_Series_NameNumbered,$D52)</f>
        <v>3.4a) Physical inactivity: national data</v>
      </c>
      <c r="K52" s="152" t="str" cm="1">
        <f t="array" aca="1" ref="K52" ca="1">IF($G52=0,"",INDEX(auto_tblSeries,$D52,K$18))</f>
        <v>%</v>
      </c>
      <c r="L52" s="155" cm="1">
        <f t="array" aca="1" ref="L52" ca="1">IF($G52=0,"",INDEX(auto_DataFlat_DataValue,$H52+L$18))</f>
        <v>14.86</v>
      </c>
      <c r="M52" s="155" cm="1">
        <f t="array" aca="1" ref="M52" ca="1">IF($G52=0,"",INDEX(auto_DataFlat_DataValue,$H52+M$18))</f>
        <v>33.58</v>
      </c>
      <c r="N52" s="155" cm="1">
        <f t="array" aca="1" ref="N52" ca="1">IF($G52=0,"",INDEX(auto_DataFlat_DataValue,$H52+N$18))</f>
        <v>40.01</v>
      </c>
      <c r="O52" s="155" cm="1">
        <f t="array" aca="1" ref="O52" ca="1">IF($G52=0,"",INDEX(auto_DataFlat_DataValue,$H52+O$18))</f>
        <v>42.38</v>
      </c>
      <c r="P52" s="155" cm="1">
        <f t="array" aca="1" ref="P52" ca="1">IF($G52=0,"",INDEX(auto_DataFlat_DataValue,$H52+P$18))</f>
        <v>24.58</v>
      </c>
      <c r="Q52" s="155" cm="1">
        <f t="array" aca="1" ref="Q52" ca="1">IF($G52=0,"",INDEX(auto_DataFlat_DataValue,$H52+Q$18))</f>
        <v>14.11</v>
      </c>
      <c r="R52" s="155" cm="1">
        <f t="array" aca="1" ref="R52" ca="1">IF($G52=0,"",INDEX(auto_DataFlat_DataValue,$H52+R$18))</f>
        <v>42.21</v>
      </c>
      <c r="S52" s="155" cm="1">
        <f t="array" aca="1" ref="S52" ca="1">IF($G52=0,"",INDEX(auto_DataFlat_DataValue,$H52+S$18))</f>
        <v>44.01</v>
      </c>
      <c r="T52" s="155" cm="1">
        <f t="array" aca="1" ref="T52" ca="1">IF($G52=0,"",INDEX(auto_DataFlat_DataValue,$H52+T$18))</f>
        <v>38.54</v>
      </c>
      <c r="U52" s="155" cm="1">
        <f t="array" aca="1" ref="U52" ca="1">IF($G52=0,"",INDEX(auto_DataFlat_DataValue,$H52+U$18))</f>
        <v>31.02</v>
      </c>
      <c r="V52" s="155" cm="1">
        <f t="array" aca="1" ref="V52" ca="1">IF($G52=0,"",INDEX(auto_DataFlat_DataValue,$H52+V$18))</f>
        <v>28.95</v>
      </c>
      <c r="W52" s="155" cm="1">
        <f t="array" aca="1" ref="W52" ca="1">IF($G52=0,"",INDEX(auto_DataFlat_DataValue,$H52+W$18))</f>
        <v>34.03</v>
      </c>
      <c r="X52" s="155" cm="1">
        <f t="array" aca="1" ref="X52" ca="1">IF($G52=0,"",INDEX(auto_DataFlat_DataValue,$H52+X$18))</f>
        <v>27.76</v>
      </c>
      <c r="Y52" s="155" cm="1">
        <f t="array" aca="1" ref="Y52" ca="1">IF($G52=0,"",INDEX(auto_DataFlat_DataValue,$H52+Y$18))</f>
        <v>41.35</v>
      </c>
      <c r="Z52" s="155" cm="1">
        <f t="array" aca="1" ref="Z52" ca="1">IF($G52=0,"",INDEX(auto_DataFlat_DataValue,$H52+Z$18))</f>
        <v>16.559999999999999</v>
      </c>
      <c r="AA52" s="155" cm="1">
        <f t="array" aca="1" ref="AA52" ca="1">IF($G52=0,"",INDEX(auto_DataFlat_DataValue,$H52+AA$18))</f>
        <v>25.39</v>
      </c>
      <c r="AB52" s="155" cm="1">
        <f t="array" aca="1" ref="AB52" ca="1">IF($G52=0,"",INDEX(auto_DataFlat_DataValue,$H52+AB$18))</f>
        <v>36.799999999999997</v>
      </c>
      <c r="AC52" s="155" cm="1">
        <f t="array" aca="1" ref="AC52" ca="1">IF($G52=0,"",INDEX(auto_DataFlat_DataValue,$H52+AC$18))</f>
        <v>30.56</v>
      </c>
      <c r="AD52" s="155" cm="1">
        <f t="array" aca="1" ref="AD52" ca="1">IF($G52=0,"",INDEX(auto_DataFlat_DataValue,$H52+AD$18))</f>
        <v>22.57</v>
      </c>
      <c r="AE52" s="155" cm="1">
        <f t="array" aca="1" ref="AE52" ca="1">IF($G52=0,"",INDEX(auto_DataFlat_DataValue,$H52+AE$18))</f>
        <v>38.17</v>
      </c>
      <c r="AF52" s="155" cm="1">
        <f t="array" aca="1" ref="AF52" ca="1">IF($G52=0,"",INDEX(auto_DataFlat_DataValue,$H52+AF$18))</f>
        <v>33.65</v>
      </c>
      <c r="AG52" s="155" cm="1">
        <f t="array" aca="1" ref="AG52" ca="1">IF($G52=0,"",INDEX(auto_DataFlat_DataValue,$H52+AG$18))</f>
        <v>13.4</v>
      </c>
      <c r="AH52" s="155" cm="1">
        <f t="array" aca="1" ref="AH52" ca="1">IF($G52=0,"",INDEX(auto_DataFlat_DataValue,$H52+AH$18))</f>
        <v>34.03</v>
      </c>
      <c r="AI52" s="155" cm="1">
        <f t="array" aca="1" ref="AI52" ca="1">IF($G52=0,"",INDEX(auto_DataFlat_DataValue,$H52+AI$18))</f>
        <v>66.959999999999994</v>
      </c>
      <c r="AJ52" s="155" cm="1">
        <f t="array" aca="1" ref="AJ52" ca="1">IF($G52=0,"",INDEX(auto_DataFlat_DataValue,$H52+AJ$18))</f>
        <v>27.1</v>
      </c>
      <c r="AK52" s="155" cm="1">
        <f t="array" aca="1" ref="AK52" ca="1">IF($G52=0,"",INDEX(auto_DataFlat_DataValue,$H52+AK$18))</f>
        <v>35.86</v>
      </c>
      <c r="AL52" s="155" cm="1">
        <f t="array" aca="1" ref="AL52" ca="1">IF($G52=0,"",INDEX(auto_DataFlat_DataValue,$H52+AL$18))</f>
        <v>26.81</v>
      </c>
      <c r="AM52" s="155" cm="1">
        <f t="array" aca="1" ref="AM52" ca="1">IF($G52=0,"",INDEX(auto_DataFlat_DataValue,$H52+AM$18))</f>
        <v>39.659999999999997</v>
      </c>
      <c r="AN52" s="155" cm="1">
        <f t="array" aca="1" ref="AN52" ca="1">IF($G52=0,"",INDEX(auto_DataFlat_DataValue,$H52+AN$18))</f>
        <v>30.37</v>
      </c>
      <c r="AO52" s="155" cm="1">
        <f t="array" aca="1" ref="AO52" ca="1">IF($G52=0,"",INDEX(auto_DataFlat_DataValue,$H52+AO$18))</f>
        <v>28.89</v>
      </c>
      <c r="AP52" s="155" cm="1">
        <f t="array" aca="1" ref="AP52" ca="1">IF($G52=0,"",INDEX(auto_DataFlat_DataValue,$H52+AP$18))</f>
        <v>17.12</v>
      </c>
      <c r="AQ52" s="155" cm="1">
        <f t="array" aca="1" ref="AQ52" ca="1">IF($G52=0,"",INDEX(auto_DataFlat_DataValue,$H52+AQ$18))</f>
        <v>34.03</v>
      </c>
      <c r="AR52" s="155" cm="1">
        <f t="array" aca="1" ref="AR52" ca="1">IF($G52=0,"",INDEX(auto_DataFlat_DataValue,$H52+AR$18))</f>
        <v>15.44</v>
      </c>
      <c r="AS52" s="155" cm="1">
        <f t="array" aca="1" ref="AS52" ca="1">IF($G52=0,"",INDEX(auto_DataFlat_DataValue,$H52+AS$18))</f>
        <v>40.01</v>
      </c>
      <c r="AT52" s="155" cm="1">
        <f t="array" aca="1" ref="AT52" ca="1">IF($G52=0,"",INDEX(auto_DataFlat_DataValue,$H52+AT$18))</f>
        <v>35.47</v>
      </c>
      <c r="AU52" s="155" cm="1">
        <f t="array" aca="1" ref="AU52" ca="1">IF($G52=0,"",INDEX(auto_DataFlat_DataValue,$H52+AU$18))</f>
        <v>29.32</v>
      </c>
      <c r="AV52" s="155" cm="1">
        <f t="array" aca="1" ref="AV52" ca="1">IF($G52=0,"",INDEX(auto_DataFlat_DataValue,$H52+AV$18))</f>
        <v>10.51</v>
      </c>
      <c r="AW52" s="155" cm="1">
        <f t="array" aca="1" ref="AW52" ca="1">IF($G52=0,"",INDEX(auto_DataFlat_DataValue,$H52+AW$18))</f>
        <v>53.14</v>
      </c>
      <c r="AX52" s="155" cm="1">
        <f t="array" aca="1" ref="AX52" ca="1">IF($G52=0,"",INDEX(auto_DataFlat_DataValue,$H52+AX$18))</f>
        <v>41.39</v>
      </c>
      <c r="AY52" s="155" cm="1">
        <f t="array" aca="1" ref="AY52" ca="1">IF($G52=0,"",INDEX(auto_DataFlat_DataValue,$H52+AY$18))</f>
        <v>40.01</v>
      </c>
      <c r="AZ52" s="155" cm="1">
        <f t="array" aca="1" ref="AZ52" ca="1">IF($G52=0,"",INDEX(auto_DataFlat_DataValue,$H52+AZ$18))</f>
        <v>47.02</v>
      </c>
      <c r="BA52" s="155" cm="1">
        <f t="array" aca="1" ref="BA52" ca="1">IF($G52=0,"",INDEX(auto_DataFlat_DataValue,$H52+BA$18))</f>
        <v>35.35</v>
      </c>
      <c r="BB52" s="155" cm="1">
        <f t="array" aca="1" ref="BB52" ca="1">IF($G52=0,"",INDEX(auto_DataFlat_DataValue,$H52+BB$18))</f>
        <v>14.11</v>
      </c>
      <c r="BC52" s="155" cm="1">
        <f t="array" aca="1" ref="BC52" ca="1">IF($G52=0,"",INDEX(auto_DataFlat_DataValue,$H52+BC$18))</f>
        <v>36.5</v>
      </c>
      <c r="BD52" s="155" cm="1">
        <f t="array" aca="1" ref="BD52" ca="1">IF($G52=0,"",INDEX(auto_DataFlat_DataValue,$H52+BD$18))</f>
        <v>30.37</v>
      </c>
      <c r="BE52" s="155" cm="1">
        <f t="array" aca="1" ref="BE52" ca="1">IF($G52=0,"",INDEX(auto_DataFlat_DataValue,$H52+BE$18))</f>
        <v>35.47</v>
      </c>
      <c r="BF52" s="155" cm="1">
        <f t="array" aca="1" ref="BF52" ca="1">IF($G52=0,"",INDEX(auto_DataFlat_DataValue,$H52+BF$18))</f>
        <v>28.6</v>
      </c>
      <c r="BG52" s="155" cm="1">
        <f t="array" aca="1" ref="BG52" ca="1">IF($G52=0,"",INDEX(auto_DataFlat_DataValue,$H52+BG$18))</f>
        <v>30.09</v>
      </c>
      <c r="BH52" s="155" cm="1">
        <f t="array" aca="1" ref="BH52" ca="1">IF($G52=0,"",INDEX(auto_DataFlat_DataValue,$H52+BH$18))</f>
        <v>14.11</v>
      </c>
      <c r="BI52" s="155" cm="1">
        <f t="array" aca="1" ref="BI52" ca="1">IF($G52=0,"",INDEX(auto_DataFlat_DataValue,$H52+BI$18))</f>
        <v>10.73</v>
      </c>
    </row>
    <row r="53" spans="1:61" ht="17.05" customHeight="1" x14ac:dyDescent="0.4">
      <c r="A53" t="str">
        <f t="shared" si="3"/>
        <v/>
      </c>
      <c r="B53" s="42" t="str">
        <f t="shared" ca="1" si="1"/>
        <v/>
      </c>
      <c r="C53" s="100">
        <v>34</v>
      </c>
      <c r="D53" s="49" cm="1">
        <f t="array" aca="1" ref="D53" ca="1">INDEX(OFFSET(auto_ss_data_table,0,1,500,1),C53)</f>
        <v>34</v>
      </c>
      <c r="E53" s="101" cm="1">
        <f t="array" aca="1" ref="E53" ca="1">INDEX(auto_tblSeries,$D53,E$18)</f>
        <v>3</v>
      </c>
      <c r="F53" s="101" t="str" cm="1">
        <f t="array" aca="1" ref="F53" ca="1">INDEX(auto_tblSeries,$D53,F$18)</f>
        <v>#,##0</v>
      </c>
      <c r="G53" s="101" cm="1">
        <f t="array" aca="1" ref="G53" ca="1">INDEX(auto_tblSeries,$D53,G$18)</f>
        <v>1</v>
      </c>
      <c r="H53" s="101" cm="1">
        <f t="array" aca="1" ref="H53" ca="1">INDEX(sys_DataFlat_LU_Grid,$D53,1)-1</f>
        <v>1980</v>
      </c>
      <c r="I53" s="26"/>
      <c r="J53" s="151" t="str" cm="1">
        <f t="array" aca="1" ref="J53" ca="1">INDEX(auto_Series_NameNumbered,$D53)</f>
        <v>3.4b) Physical activity: city-level data availability</v>
      </c>
      <c r="K53" s="152" t="str" cm="1">
        <f t="array" aca="1" ref="K53" ca="1">IF($G53=0,"",INDEX(auto_tblSeries,$D53,K$18))</f>
        <v>Rating 0-1</v>
      </c>
      <c r="L53" s="154" cm="1">
        <f t="array" aca="1" ref="L53" ca="1">IF($G53=0,"",INDEX(auto_DataFlat_DataValue,$H53+L$18))</f>
        <v>0</v>
      </c>
      <c r="M53" s="154" cm="1">
        <f t="array" aca="1" ref="M53" ca="1">IF($G53=0,"",INDEX(auto_DataFlat_DataValue,$H53+M$18))</f>
        <v>0</v>
      </c>
      <c r="N53" s="154" cm="1">
        <f t="array" aca="1" ref="N53" ca="1">IF($G53=0,"",INDEX(auto_DataFlat_DataValue,$H53+N$18))</f>
        <v>1</v>
      </c>
      <c r="O53" s="154" cm="1">
        <f t="array" aca="1" ref="O53" ca="1">IF($G53=0,"",INDEX(auto_DataFlat_DataValue,$H53+O$18))</f>
        <v>1</v>
      </c>
      <c r="P53" s="154" cm="1">
        <f t="array" aca="1" ref="P53" ca="1">IF($G53=0,"",INDEX(auto_DataFlat_DataValue,$H53+P$18))</f>
        <v>1</v>
      </c>
      <c r="Q53" s="154" cm="1">
        <f t="array" aca="1" ref="Q53" ca="1">IF($G53=0,"",INDEX(auto_DataFlat_DataValue,$H53+Q$18))</f>
        <v>1</v>
      </c>
      <c r="R53" s="154" cm="1">
        <f t="array" aca="1" ref="R53" ca="1">IF($G53=0,"",INDEX(auto_DataFlat_DataValue,$H53+R$18))</f>
        <v>1</v>
      </c>
      <c r="S53" s="154" cm="1">
        <f t="array" aca="1" ref="S53" ca="1">IF($G53=0,"",INDEX(auto_DataFlat_DataValue,$H53+S$18))</f>
        <v>1</v>
      </c>
      <c r="T53" s="154" cm="1">
        <f t="array" aca="1" ref="T53" ca="1">IF($G53=0,"",INDEX(auto_DataFlat_DataValue,$H53+T$18))</f>
        <v>1</v>
      </c>
      <c r="U53" s="154" cm="1">
        <f t="array" aca="1" ref="U53" ca="1">IF($G53=0,"",INDEX(auto_DataFlat_DataValue,$H53+U$18))</f>
        <v>0</v>
      </c>
      <c r="V53" s="154" cm="1">
        <f t="array" aca="1" ref="V53" ca="1">IF($G53=0,"",INDEX(auto_DataFlat_DataValue,$H53+V$18))</f>
        <v>0</v>
      </c>
      <c r="W53" s="154" cm="1">
        <f t="array" aca="1" ref="W53" ca="1">IF($G53=0,"",INDEX(auto_DataFlat_DataValue,$H53+W$18))</f>
        <v>0</v>
      </c>
      <c r="X53" s="154" cm="1">
        <f t="array" aca="1" ref="X53" ca="1">IF($G53=0,"",INDEX(auto_DataFlat_DataValue,$H53+X$18))</f>
        <v>0</v>
      </c>
      <c r="Y53" s="154" cm="1">
        <f t="array" aca="1" ref="Y53" ca="1">IF($G53=0,"",INDEX(auto_DataFlat_DataValue,$H53+Y$18))</f>
        <v>1</v>
      </c>
      <c r="Z53" s="154" cm="1">
        <f t="array" aca="1" ref="Z53" ca="1">IF($G53=0,"",INDEX(auto_DataFlat_DataValue,$H53+Z$18))</f>
        <v>1</v>
      </c>
      <c r="AA53" s="154" cm="1">
        <f t="array" aca="1" ref="AA53" ca="1">IF($G53=0,"",INDEX(auto_DataFlat_DataValue,$H53+AA$18))</f>
        <v>1</v>
      </c>
      <c r="AB53" s="154" cm="1">
        <f t="array" aca="1" ref="AB53" ca="1">IF($G53=0,"",INDEX(auto_DataFlat_DataValue,$H53+AB$18))</f>
        <v>1</v>
      </c>
      <c r="AC53" s="154" cm="1">
        <f t="array" aca="1" ref="AC53" ca="1">IF($G53=0,"",INDEX(auto_DataFlat_DataValue,$H53+AC$18))</f>
        <v>0</v>
      </c>
      <c r="AD53" s="154" cm="1">
        <f t="array" aca="1" ref="AD53" ca="1">IF($G53=0,"",INDEX(auto_DataFlat_DataValue,$H53+AD$18))</f>
        <v>1</v>
      </c>
      <c r="AE53" s="154" cm="1">
        <f t="array" aca="1" ref="AE53" ca="1">IF($G53=0,"",INDEX(auto_DataFlat_DataValue,$H53+AE$18))</f>
        <v>0</v>
      </c>
      <c r="AF53" s="154" cm="1">
        <f t="array" aca="1" ref="AF53" ca="1">IF($G53=0,"",INDEX(auto_DataFlat_DataValue,$H53+AF$18))</f>
        <v>0</v>
      </c>
      <c r="AG53" s="154" cm="1">
        <f t="array" aca="1" ref="AG53" ca="1">IF($G53=0,"",INDEX(auto_DataFlat_DataValue,$H53+AG$18))</f>
        <v>0</v>
      </c>
      <c r="AH53" s="154" cm="1">
        <f t="array" aca="1" ref="AH53" ca="1">IF($G53=0,"",INDEX(auto_DataFlat_DataValue,$H53+AH$18))</f>
        <v>0</v>
      </c>
      <c r="AI53" s="154" cm="1">
        <f t="array" aca="1" ref="AI53" ca="1">IF($G53=0,"",INDEX(auto_DataFlat_DataValue,$H53+AI$18))</f>
        <v>0</v>
      </c>
      <c r="AJ53" s="154" cm="1">
        <f t="array" aca="1" ref="AJ53" ca="1">IF($G53=0,"",INDEX(auto_DataFlat_DataValue,$H53+AJ$18))</f>
        <v>0</v>
      </c>
      <c r="AK53" s="154" cm="1">
        <f t="array" aca="1" ref="AK53" ca="1">IF($G53=0,"",INDEX(auto_DataFlat_DataValue,$H53+AK$18))</f>
        <v>1</v>
      </c>
      <c r="AL53" s="154" cm="1">
        <f t="array" aca="1" ref="AL53" ca="1">IF($G53=0,"",INDEX(auto_DataFlat_DataValue,$H53+AL$18))</f>
        <v>1</v>
      </c>
      <c r="AM53" s="154" cm="1">
        <f t="array" aca="1" ref="AM53" ca="1">IF($G53=0,"",INDEX(auto_DataFlat_DataValue,$H53+AM$18))</f>
        <v>0</v>
      </c>
      <c r="AN53" s="154" cm="1">
        <f t="array" aca="1" ref="AN53" ca="1">IF($G53=0,"",INDEX(auto_DataFlat_DataValue,$H53+AN$18))</f>
        <v>1</v>
      </c>
      <c r="AO53" s="154" cm="1">
        <f t="array" aca="1" ref="AO53" ca="1">IF($G53=0,"",INDEX(auto_DataFlat_DataValue,$H53+AO$18))</f>
        <v>0</v>
      </c>
      <c r="AP53" s="154" cm="1">
        <f t="array" aca="1" ref="AP53" ca="1">IF($G53=0,"",INDEX(auto_DataFlat_DataValue,$H53+AP$18))</f>
        <v>0</v>
      </c>
      <c r="AQ53" s="154" cm="1">
        <f t="array" aca="1" ref="AQ53" ca="1">IF($G53=0,"",INDEX(auto_DataFlat_DataValue,$H53+AQ$18))</f>
        <v>0</v>
      </c>
      <c r="AR53" s="154" cm="1">
        <f t="array" aca="1" ref="AR53" ca="1">IF($G53=0,"",INDEX(auto_DataFlat_DataValue,$H53+AR$18))</f>
        <v>0</v>
      </c>
      <c r="AS53" s="154" cm="1">
        <f t="array" aca="1" ref="AS53" ca="1">IF($G53=0,"",INDEX(auto_DataFlat_DataValue,$H53+AS$18))</f>
        <v>1</v>
      </c>
      <c r="AT53" s="154" cm="1">
        <f t="array" aca="1" ref="AT53" ca="1">IF($G53=0,"",INDEX(auto_DataFlat_DataValue,$H53+AT$18))</f>
        <v>1</v>
      </c>
      <c r="AU53" s="154" cm="1">
        <f t="array" aca="1" ref="AU53" ca="1">IF($G53=0,"",INDEX(auto_DataFlat_DataValue,$H53+AU$18))</f>
        <v>0</v>
      </c>
      <c r="AV53" s="154" cm="1">
        <f t="array" aca="1" ref="AV53" ca="1">IF($G53=0,"",INDEX(auto_DataFlat_DataValue,$H53+AV$18))</f>
        <v>0</v>
      </c>
      <c r="AW53" s="154" cm="1">
        <f t="array" aca="1" ref="AW53" ca="1">IF($G53=0,"",INDEX(auto_DataFlat_DataValue,$H53+AW$18))</f>
        <v>0</v>
      </c>
      <c r="AX53" s="154" cm="1">
        <f t="array" aca="1" ref="AX53" ca="1">IF($G53=0,"",INDEX(auto_DataFlat_DataValue,$H53+AX$18))</f>
        <v>0</v>
      </c>
      <c r="AY53" s="154" cm="1">
        <f t="array" aca="1" ref="AY53" ca="1">IF($G53=0,"",INDEX(auto_DataFlat_DataValue,$H53+AY$18))</f>
        <v>1</v>
      </c>
      <c r="AZ53" s="154" cm="1">
        <f t="array" aca="1" ref="AZ53" ca="1">IF($G53=0,"",INDEX(auto_DataFlat_DataValue,$H53+AZ$18))</f>
        <v>1</v>
      </c>
      <c r="BA53" s="154" cm="1">
        <f t="array" aca="1" ref="BA53" ca="1">IF($G53=0,"",INDEX(auto_DataFlat_DataValue,$H53+BA$18))</f>
        <v>1</v>
      </c>
      <c r="BB53" s="154" cm="1">
        <f t="array" aca="1" ref="BB53" ca="1">IF($G53=0,"",INDEX(auto_DataFlat_DataValue,$H53+BB$18))</f>
        <v>1</v>
      </c>
      <c r="BC53" s="154" cm="1">
        <f t="array" aca="1" ref="BC53" ca="1">IF($G53=0,"",INDEX(auto_DataFlat_DataValue,$H53+BC$18))</f>
        <v>1</v>
      </c>
      <c r="BD53" s="154" cm="1">
        <f t="array" aca="1" ref="BD53" ca="1">IF($G53=0,"",INDEX(auto_DataFlat_DataValue,$H53+BD$18))</f>
        <v>1</v>
      </c>
      <c r="BE53" s="154" cm="1">
        <f t="array" aca="1" ref="BE53" ca="1">IF($G53=0,"",INDEX(auto_DataFlat_DataValue,$H53+BE$18))</f>
        <v>1</v>
      </c>
      <c r="BF53" s="154" cm="1">
        <f t="array" aca="1" ref="BF53" ca="1">IF($G53=0,"",INDEX(auto_DataFlat_DataValue,$H53+BF$18))</f>
        <v>1</v>
      </c>
      <c r="BG53" s="154" cm="1">
        <f t="array" aca="1" ref="BG53" ca="1">IF($G53=0,"",INDEX(auto_DataFlat_DataValue,$H53+BG$18))</f>
        <v>1</v>
      </c>
      <c r="BH53" s="154" cm="1">
        <f t="array" aca="1" ref="BH53" ca="1">IF($G53=0,"",INDEX(auto_DataFlat_DataValue,$H53+BH$18))</f>
        <v>0</v>
      </c>
      <c r="BI53" s="154" cm="1">
        <f t="array" aca="1" ref="BI53" ca="1">IF($G53=0,"",INDEX(auto_DataFlat_DataValue,$H53+BI$18))</f>
        <v>0</v>
      </c>
    </row>
    <row r="54" spans="1:61" ht="17.05" customHeight="1" x14ac:dyDescent="0.4">
      <c r="A54" t="str">
        <f t="shared" si="3"/>
        <v/>
      </c>
      <c r="B54" s="42" t="str">
        <f t="shared" ca="1" si="1"/>
        <v>V</v>
      </c>
      <c r="C54" s="100">
        <v>35</v>
      </c>
      <c r="D54" s="49" cm="1">
        <f t="array" aca="1" ref="D54" ca="1">INDEX(OFFSET(auto_ss_data_table,0,1,500,1),C54)</f>
        <v>35</v>
      </c>
      <c r="E54" s="101" cm="1">
        <f t="array" aca="1" ref="E54" ca="1">INDEX(auto_tblSeries,$D54,E$18)</f>
        <v>2</v>
      </c>
      <c r="F54" s="101" t="str" cm="1">
        <f t="array" aca="1" ref="F54" ca="1">INDEX(auto_tblSeries,$D54,F$18)</f>
        <v>#,0.0</v>
      </c>
      <c r="G54" s="101" cm="1">
        <f t="array" aca="1" ref="G54" ca="1">INDEX(auto_tblSeries,$D54,G$18)</f>
        <v>0</v>
      </c>
      <c r="H54" s="101" cm="1">
        <f t="array" aca="1" ref="H54" ca="1">INDEX(sys_DataFlat_LU_Grid,$D54,1)-1</f>
        <v>2040</v>
      </c>
      <c r="I54" s="26"/>
      <c r="J54" s="148" t="str" cm="1">
        <f t="array" aca="1" ref="J54" ca="1">INDEX(auto_Series_NameNumbered,$D54)</f>
        <v>3.5) Hypertension</v>
      </c>
      <c r="K54" s="149" t="str" cm="1">
        <f t="array" aca="1" ref="K54" ca="1">IF($G54=0,"",INDEX(auto_tblSeries,$D54,K$18))</f>
        <v/>
      </c>
      <c r="L54" s="150" t="str" cm="1">
        <f t="array" aca="1" ref="L54" ca="1">IF($G54=0,"",INDEX(auto_DataFlat_DataValue,$H54+L$18))</f>
        <v/>
      </c>
      <c r="M54" s="150" t="str" cm="1">
        <f t="array" aca="1" ref="M54" ca="1">IF($G54=0,"",INDEX(auto_DataFlat_DataValue,$H54+M$18))</f>
        <v/>
      </c>
      <c r="N54" s="150" t="str" cm="1">
        <f t="array" aca="1" ref="N54" ca="1">IF($G54=0,"",INDEX(auto_DataFlat_DataValue,$H54+N$18))</f>
        <v/>
      </c>
      <c r="O54" s="150" t="str" cm="1">
        <f t="array" aca="1" ref="O54" ca="1">IF($G54=0,"",INDEX(auto_DataFlat_DataValue,$H54+O$18))</f>
        <v/>
      </c>
      <c r="P54" s="150" t="str" cm="1">
        <f t="array" aca="1" ref="P54" ca="1">IF($G54=0,"",INDEX(auto_DataFlat_DataValue,$H54+P$18))</f>
        <v/>
      </c>
      <c r="Q54" s="150" t="str" cm="1">
        <f t="array" aca="1" ref="Q54" ca="1">IF($G54=0,"",INDEX(auto_DataFlat_DataValue,$H54+Q$18))</f>
        <v/>
      </c>
      <c r="R54" s="150" t="str" cm="1">
        <f t="array" aca="1" ref="R54" ca="1">IF($G54=0,"",INDEX(auto_DataFlat_DataValue,$H54+R$18))</f>
        <v/>
      </c>
      <c r="S54" s="150" t="str" cm="1">
        <f t="array" aca="1" ref="S54" ca="1">IF($G54=0,"",INDEX(auto_DataFlat_DataValue,$H54+S$18))</f>
        <v/>
      </c>
      <c r="T54" s="150" t="str" cm="1">
        <f t="array" aca="1" ref="T54" ca="1">IF($G54=0,"",INDEX(auto_DataFlat_DataValue,$H54+T$18))</f>
        <v/>
      </c>
      <c r="U54" s="150" t="str" cm="1">
        <f t="array" aca="1" ref="U54" ca="1">IF($G54=0,"",INDEX(auto_DataFlat_DataValue,$H54+U$18))</f>
        <v/>
      </c>
      <c r="V54" s="150" t="str" cm="1">
        <f t="array" aca="1" ref="V54" ca="1">IF($G54=0,"",INDEX(auto_DataFlat_DataValue,$H54+V$18))</f>
        <v/>
      </c>
      <c r="W54" s="150" t="str" cm="1">
        <f t="array" aca="1" ref="W54" ca="1">IF($G54=0,"",INDEX(auto_DataFlat_DataValue,$H54+W$18))</f>
        <v/>
      </c>
      <c r="X54" s="150" t="str" cm="1">
        <f t="array" aca="1" ref="X54" ca="1">IF($G54=0,"",INDEX(auto_DataFlat_DataValue,$H54+X$18))</f>
        <v/>
      </c>
      <c r="Y54" s="150" t="str" cm="1">
        <f t="array" aca="1" ref="Y54" ca="1">IF($G54=0,"",INDEX(auto_DataFlat_DataValue,$H54+Y$18))</f>
        <v/>
      </c>
      <c r="Z54" s="150" t="str" cm="1">
        <f t="array" aca="1" ref="Z54" ca="1">IF($G54=0,"",INDEX(auto_DataFlat_DataValue,$H54+Z$18))</f>
        <v/>
      </c>
      <c r="AA54" s="150" t="str" cm="1">
        <f t="array" aca="1" ref="AA54" ca="1">IF($G54=0,"",INDEX(auto_DataFlat_DataValue,$H54+AA$18))</f>
        <v/>
      </c>
      <c r="AB54" s="150" t="str" cm="1">
        <f t="array" aca="1" ref="AB54" ca="1">IF($G54=0,"",INDEX(auto_DataFlat_DataValue,$H54+AB$18))</f>
        <v/>
      </c>
      <c r="AC54" s="150" t="str" cm="1">
        <f t="array" aca="1" ref="AC54" ca="1">IF($G54=0,"",INDEX(auto_DataFlat_DataValue,$H54+AC$18))</f>
        <v/>
      </c>
      <c r="AD54" s="150" t="str" cm="1">
        <f t="array" aca="1" ref="AD54" ca="1">IF($G54=0,"",INDEX(auto_DataFlat_DataValue,$H54+AD$18))</f>
        <v/>
      </c>
      <c r="AE54" s="150" t="str" cm="1">
        <f t="array" aca="1" ref="AE54" ca="1">IF($G54=0,"",INDEX(auto_DataFlat_DataValue,$H54+AE$18))</f>
        <v/>
      </c>
      <c r="AF54" s="150" t="str" cm="1">
        <f t="array" aca="1" ref="AF54" ca="1">IF($G54=0,"",INDEX(auto_DataFlat_DataValue,$H54+AF$18))</f>
        <v/>
      </c>
      <c r="AG54" s="150" t="str" cm="1">
        <f t="array" aca="1" ref="AG54" ca="1">IF($G54=0,"",INDEX(auto_DataFlat_DataValue,$H54+AG$18))</f>
        <v/>
      </c>
      <c r="AH54" s="150" t="str" cm="1">
        <f t="array" aca="1" ref="AH54" ca="1">IF($G54=0,"",INDEX(auto_DataFlat_DataValue,$H54+AH$18))</f>
        <v/>
      </c>
      <c r="AI54" s="150" t="str" cm="1">
        <f t="array" aca="1" ref="AI54" ca="1">IF($G54=0,"",INDEX(auto_DataFlat_DataValue,$H54+AI$18))</f>
        <v/>
      </c>
      <c r="AJ54" s="150" t="str" cm="1">
        <f t="array" aca="1" ref="AJ54" ca="1">IF($G54=0,"",INDEX(auto_DataFlat_DataValue,$H54+AJ$18))</f>
        <v/>
      </c>
      <c r="AK54" s="150" t="str" cm="1">
        <f t="array" aca="1" ref="AK54" ca="1">IF($G54=0,"",INDEX(auto_DataFlat_DataValue,$H54+AK$18))</f>
        <v/>
      </c>
      <c r="AL54" s="150" t="str" cm="1">
        <f t="array" aca="1" ref="AL54" ca="1">IF($G54=0,"",INDEX(auto_DataFlat_DataValue,$H54+AL$18))</f>
        <v/>
      </c>
      <c r="AM54" s="150" t="str" cm="1">
        <f t="array" aca="1" ref="AM54" ca="1">IF($G54=0,"",INDEX(auto_DataFlat_DataValue,$H54+AM$18))</f>
        <v/>
      </c>
      <c r="AN54" s="150" t="str" cm="1">
        <f t="array" aca="1" ref="AN54" ca="1">IF($G54=0,"",INDEX(auto_DataFlat_DataValue,$H54+AN$18))</f>
        <v/>
      </c>
      <c r="AO54" s="150" t="str" cm="1">
        <f t="array" aca="1" ref="AO54" ca="1">IF($G54=0,"",INDEX(auto_DataFlat_DataValue,$H54+AO$18))</f>
        <v/>
      </c>
      <c r="AP54" s="150" t="str" cm="1">
        <f t="array" aca="1" ref="AP54" ca="1">IF($G54=0,"",INDEX(auto_DataFlat_DataValue,$H54+AP$18))</f>
        <v/>
      </c>
      <c r="AQ54" s="150" t="str" cm="1">
        <f t="array" aca="1" ref="AQ54" ca="1">IF($G54=0,"",INDEX(auto_DataFlat_DataValue,$H54+AQ$18))</f>
        <v/>
      </c>
      <c r="AR54" s="150" t="str" cm="1">
        <f t="array" aca="1" ref="AR54" ca="1">IF($G54=0,"",INDEX(auto_DataFlat_DataValue,$H54+AR$18))</f>
        <v/>
      </c>
      <c r="AS54" s="150" t="str" cm="1">
        <f t="array" aca="1" ref="AS54" ca="1">IF($G54=0,"",INDEX(auto_DataFlat_DataValue,$H54+AS$18))</f>
        <v/>
      </c>
      <c r="AT54" s="150" t="str" cm="1">
        <f t="array" aca="1" ref="AT54" ca="1">IF($G54=0,"",INDEX(auto_DataFlat_DataValue,$H54+AT$18))</f>
        <v/>
      </c>
      <c r="AU54" s="150" t="str" cm="1">
        <f t="array" aca="1" ref="AU54" ca="1">IF($G54=0,"",INDEX(auto_DataFlat_DataValue,$H54+AU$18))</f>
        <v/>
      </c>
      <c r="AV54" s="150" t="str" cm="1">
        <f t="array" aca="1" ref="AV54" ca="1">IF($G54=0,"",INDEX(auto_DataFlat_DataValue,$H54+AV$18))</f>
        <v/>
      </c>
      <c r="AW54" s="150" t="str" cm="1">
        <f t="array" aca="1" ref="AW54" ca="1">IF($G54=0,"",INDEX(auto_DataFlat_DataValue,$H54+AW$18))</f>
        <v/>
      </c>
      <c r="AX54" s="150" t="str" cm="1">
        <f t="array" aca="1" ref="AX54" ca="1">IF($G54=0,"",INDEX(auto_DataFlat_DataValue,$H54+AX$18))</f>
        <v/>
      </c>
      <c r="AY54" s="150" t="str" cm="1">
        <f t="array" aca="1" ref="AY54" ca="1">IF($G54=0,"",INDEX(auto_DataFlat_DataValue,$H54+AY$18))</f>
        <v/>
      </c>
      <c r="AZ54" s="150" t="str" cm="1">
        <f t="array" aca="1" ref="AZ54" ca="1">IF($G54=0,"",INDEX(auto_DataFlat_DataValue,$H54+AZ$18))</f>
        <v/>
      </c>
      <c r="BA54" s="150" t="str" cm="1">
        <f t="array" aca="1" ref="BA54" ca="1">IF($G54=0,"",INDEX(auto_DataFlat_DataValue,$H54+BA$18))</f>
        <v/>
      </c>
      <c r="BB54" s="150" t="str" cm="1">
        <f t="array" aca="1" ref="BB54" ca="1">IF($G54=0,"",INDEX(auto_DataFlat_DataValue,$H54+BB$18))</f>
        <v/>
      </c>
      <c r="BC54" s="150" t="str" cm="1">
        <f t="array" aca="1" ref="BC54" ca="1">IF($G54=0,"",INDEX(auto_DataFlat_DataValue,$H54+BC$18))</f>
        <v/>
      </c>
      <c r="BD54" s="150" t="str" cm="1">
        <f t="array" aca="1" ref="BD54" ca="1">IF($G54=0,"",INDEX(auto_DataFlat_DataValue,$H54+BD$18))</f>
        <v/>
      </c>
      <c r="BE54" s="150" t="str" cm="1">
        <f t="array" aca="1" ref="BE54" ca="1">IF($G54=0,"",INDEX(auto_DataFlat_DataValue,$H54+BE$18))</f>
        <v/>
      </c>
      <c r="BF54" s="150" t="str" cm="1">
        <f t="array" aca="1" ref="BF54" ca="1">IF($G54=0,"",INDEX(auto_DataFlat_DataValue,$H54+BF$18))</f>
        <v/>
      </c>
      <c r="BG54" s="150" t="str" cm="1">
        <f t="array" aca="1" ref="BG54" ca="1">IF($G54=0,"",INDEX(auto_DataFlat_DataValue,$H54+BG$18))</f>
        <v/>
      </c>
      <c r="BH54" s="150" t="str" cm="1">
        <f t="array" aca="1" ref="BH54" ca="1">IF($G54=0,"",INDEX(auto_DataFlat_DataValue,$H54+BH$18))</f>
        <v/>
      </c>
      <c r="BI54" s="150" t="str" cm="1">
        <f t="array" aca="1" ref="BI54" ca="1">IF($G54=0,"",INDEX(auto_DataFlat_DataValue,$H54+BI$18))</f>
        <v/>
      </c>
    </row>
    <row r="55" spans="1:61" ht="17.05" customHeight="1" x14ac:dyDescent="0.4">
      <c r="A55" t="str">
        <f t="shared" si="3"/>
        <v/>
      </c>
      <c r="B55" s="42" t="str">
        <f t="shared" ca="1" si="1"/>
        <v/>
      </c>
      <c r="C55" s="100">
        <v>36</v>
      </c>
      <c r="D55" s="49" cm="1">
        <f t="array" aca="1" ref="D55" ca="1">INDEX(OFFSET(auto_ss_data_table,0,1,500,1),C55)</f>
        <v>36</v>
      </c>
      <c r="E55" s="101" cm="1">
        <f t="array" aca="1" ref="E55" ca="1">INDEX(auto_tblSeries,$D55,E$18)</f>
        <v>3</v>
      </c>
      <c r="F55" s="101" t="str" cm="1">
        <f t="array" aca="1" ref="F55" ca="1">INDEX(auto_tblSeries,$D55,F$18)</f>
        <v>#,0.0</v>
      </c>
      <c r="G55" s="101" cm="1">
        <f t="array" aca="1" ref="G55" ca="1">INDEX(auto_tblSeries,$D55,G$18)</f>
        <v>1</v>
      </c>
      <c r="H55" s="101" cm="1">
        <f t="array" aca="1" ref="H55" ca="1">INDEX(sys_DataFlat_LU_Grid,$D55,1)-1</f>
        <v>2100</v>
      </c>
      <c r="I55" s="26"/>
      <c r="J55" s="151" t="str" cm="1">
        <f t="array" aca="1" ref="J55" ca="1">INDEX(auto_Series_NameNumbered,$D55)</f>
        <v>3.5a) Hypertension: national data</v>
      </c>
      <c r="K55" s="152" t="str" cm="1">
        <f t="array" aca="1" ref="K55" ca="1">IF($G55=0,"",INDEX(auto_tblSeries,$D55,K$18))</f>
        <v>%</v>
      </c>
      <c r="L55" s="153" cm="1">
        <f t="array" aca="1" ref="L55" ca="1">IF($G55=0,"",INDEX(auto_DataFlat_DataValue,$H55+L$18))</f>
        <v>27.4</v>
      </c>
      <c r="M55" s="153" cm="1">
        <f t="array" aca="1" ref="M55" ca="1">IF($G55=0,"",INDEX(auto_DataFlat_DataValue,$H55+M$18))</f>
        <v>36.200000000000003</v>
      </c>
      <c r="N55" s="153" cm="1">
        <f t="array" aca="1" ref="N55" ca="1">IF($G55=0,"",INDEX(auto_DataFlat_DataValue,$H55+N$18))</f>
        <v>31.6</v>
      </c>
      <c r="O55" s="153" cm="1">
        <f t="array" aca="1" ref="O55" ca="1">IF($G55=0,"",INDEX(auto_DataFlat_DataValue,$H55+O$18))</f>
        <v>30.9</v>
      </c>
      <c r="P55" s="153" cm="1">
        <f t="array" aca="1" ref="P55" ca="1">IF($G55=0,"",INDEX(auto_DataFlat_DataValue,$H55+P$18))</f>
        <v>29.2</v>
      </c>
      <c r="Q55" s="153" cm="1">
        <f t="array" aca="1" ref="Q55" ca="1">IF($G55=0,"",INDEX(auto_DataFlat_DataValue,$H55+Q$18))</f>
        <v>27.3</v>
      </c>
      <c r="R55" s="153" cm="1">
        <f t="array" aca="1" ref="R55" ca="1">IF($G55=0,"",INDEX(auto_DataFlat_DataValue,$H55+R$18))</f>
        <v>29.7</v>
      </c>
      <c r="S55" s="153" cm="1">
        <f t="array" aca="1" ref="S55" ca="1">IF($G55=0,"",INDEX(auto_DataFlat_DataValue,$H55+S$18))</f>
        <v>31</v>
      </c>
      <c r="T55" s="153" cm="1">
        <f t="array" aca="1" ref="T55" ca="1">IF($G55=0,"",INDEX(auto_DataFlat_DataValue,$H55+T$18))</f>
        <v>48.3</v>
      </c>
      <c r="U55" s="153" cm="1">
        <f t="array" aca="1" ref="U55" ca="1">IF($G55=0,"",INDEX(auto_DataFlat_DataValue,$H55+U$18))</f>
        <v>38.200000000000003</v>
      </c>
      <c r="V55" s="153" cm="1">
        <f t="array" aca="1" ref="V55" ca="1">IF($G55=0,"",INDEX(auto_DataFlat_DataValue,$H55+V$18))</f>
        <v>35.6</v>
      </c>
      <c r="W55" s="153" cm="1">
        <f t="array" aca="1" ref="W55" ca="1">IF($G55=0,"",INDEX(auto_DataFlat_DataValue,$H55+W$18))</f>
        <v>31.1</v>
      </c>
      <c r="X55" s="153" cm="1">
        <f t="array" aca="1" ref="X55" ca="1">IF($G55=0,"",INDEX(auto_DataFlat_DataValue,$H55+X$18))</f>
        <v>28.8</v>
      </c>
      <c r="Y55" s="153" cm="1">
        <f t="array" aca="1" ref="Y55" ca="1">IF($G55=0,"",INDEX(auto_DataFlat_DataValue,$H55+Y$18))</f>
        <v>41.4</v>
      </c>
      <c r="Z55" s="153" cm="1">
        <f t="array" aca="1" ref="Z55" ca="1">IF($G55=0,"",INDEX(auto_DataFlat_DataValue,$H55+Z$18))</f>
        <v>35.9</v>
      </c>
      <c r="AA55" s="153" cm="1">
        <f t="array" aca="1" ref="AA55" ca="1">IF($G55=0,"",INDEX(auto_DataFlat_DataValue,$H55+AA$18))</f>
        <v>29.7</v>
      </c>
      <c r="AB55" s="153" cm="1">
        <f t="array" aca="1" ref="AB55" ca="1">IF($G55=0,"",INDEX(auto_DataFlat_DataValue,$H55+AB$18))</f>
        <v>32</v>
      </c>
      <c r="AC55" s="153" cm="1">
        <f t="array" aca="1" ref="AC55" ca="1">IF($G55=0,"",INDEX(auto_DataFlat_DataValue,$H55+AC$18))</f>
        <v>32.799999999999997</v>
      </c>
      <c r="AD55" s="153" cm="1">
        <f t="array" aca="1" ref="AD55" ca="1">IF($G55=0,"",INDEX(auto_DataFlat_DataValue,$H55+AD$18))</f>
        <v>40.299999999999997</v>
      </c>
      <c r="AE55" s="153" cm="1">
        <f t="array" aca="1" ref="AE55" ca="1">IF($G55=0,"",INDEX(auto_DataFlat_DataValue,$H55+AE$18))</f>
        <v>44.1</v>
      </c>
      <c r="AF55" s="153" cm="1">
        <f t="array" aca="1" ref="AF55" ca="1">IF($G55=0,"",INDEX(auto_DataFlat_DataValue,$H55+AF$18))</f>
        <v>43.2</v>
      </c>
      <c r="AG55" s="153" cm="1">
        <f t="array" aca="1" ref="AG55" ca="1">IF($G55=0,"",INDEX(auto_DataFlat_DataValue,$H55+AG$18))</f>
        <v>36.1</v>
      </c>
      <c r="AH55" s="153" cm="1">
        <f t="array" aca="1" ref="AH55" ca="1">IF($G55=0,"",INDEX(auto_DataFlat_DataValue,$H55+AH$18))</f>
        <v>31.1</v>
      </c>
      <c r="AI55" s="153" cm="1">
        <f t="array" aca="1" ref="AI55" ca="1">IF($G55=0,"",INDEX(auto_DataFlat_DataValue,$H55+AI$18))</f>
        <v>40.5</v>
      </c>
      <c r="AJ55" s="153" cm="1">
        <f t="array" aca="1" ref="AJ55" ca="1">IF($G55=0,"",INDEX(auto_DataFlat_DataValue,$H55+AJ$18))</f>
        <v>36.1</v>
      </c>
      <c r="AK55" s="153" cm="1">
        <f t="array" aca="1" ref="AK55" ca="1">IF($G55=0,"",INDEX(auto_DataFlat_DataValue,$H55+AK$18))</f>
        <v>26.4</v>
      </c>
      <c r="AL55" s="153" cm="1">
        <f t="array" aca="1" ref="AL55" ca="1">IF($G55=0,"",INDEX(auto_DataFlat_DataValue,$H55+AL$18))</f>
        <v>27.2</v>
      </c>
      <c r="AM55" s="153" cm="1">
        <f t="array" aca="1" ref="AM55" ca="1">IF($G55=0,"",INDEX(auto_DataFlat_DataValue,$H55+AM$18))</f>
        <v>33.799999999999997</v>
      </c>
      <c r="AN55" s="153" cm="1">
        <f t="array" aca="1" ref="AN55" ca="1">IF($G55=0,"",INDEX(auto_DataFlat_DataValue,$H55+AN$18))</f>
        <v>29.3</v>
      </c>
      <c r="AO55" s="153" cm="1">
        <f t="array" aca="1" ref="AO55" ca="1">IF($G55=0,"",INDEX(auto_DataFlat_DataValue,$H55+AO$18))</f>
        <v>32.1</v>
      </c>
      <c r="AP55" s="153" cm="1">
        <f t="array" aca="1" ref="AP55" ca="1">IF($G55=0,"",INDEX(auto_DataFlat_DataValue,$H55+AP$18))</f>
        <v>44.3</v>
      </c>
      <c r="AQ55" s="153" cm="1">
        <f t="array" aca="1" ref="AQ55" ca="1">IF($G55=0,"",INDEX(auto_DataFlat_DataValue,$H55+AQ$18))</f>
        <v>31.1</v>
      </c>
      <c r="AR55" s="153" cm="1">
        <f t="array" aca="1" ref="AR55" ca="1">IF($G55=0,"",INDEX(auto_DataFlat_DataValue,$H55+AR$18))</f>
        <v>33.200000000000003</v>
      </c>
      <c r="AS55" s="153" cm="1">
        <f t="array" aca="1" ref="AS55" ca="1">IF($G55=0,"",INDEX(auto_DataFlat_DataValue,$H55+AS$18))</f>
        <v>31.6</v>
      </c>
      <c r="AT55" s="153" cm="1">
        <f t="array" aca="1" ref="AT55" ca="1">IF($G55=0,"",INDEX(auto_DataFlat_DataValue,$H55+AT$18))</f>
        <v>31.4</v>
      </c>
      <c r="AU55" s="153" cm="1">
        <f t="array" aca="1" ref="AU55" ca="1">IF($G55=0,"",INDEX(auto_DataFlat_DataValue,$H55+AU$18))</f>
        <v>29.1</v>
      </c>
      <c r="AV55" s="153" cm="1">
        <f t="array" aca="1" ref="AV55" ca="1">IF($G55=0,"",INDEX(auto_DataFlat_DataValue,$H55+AV$18))</f>
        <v>25.7</v>
      </c>
      <c r="AW55" s="153" cm="1">
        <f t="array" aca="1" ref="AW55" ca="1">IF($G55=0,"",INDEX(auto_DataFlat_DataValue,$H55+AW$18))</f>
        <v>34</v>
      </c>
      <c r="AX55" s="153" cm="1">
        <f t="array" aca="1" ref="AX55" ca="1">IF($G55=0,"",INDEX(auto_DataFlat_DataValue,$H55+AX$18))</f>
        <v>33.799999999999997</v>
      </c>
      <c r="AY55" s="153" cm="1">
        <f t="array" aca="1" ref="AY55" ca="1">IF($G55=0,"",INDEX(auto_DataFlat_DataValue,$H55+AY$18))</f>
        <v>31.6</v>
      </c>
      <c r="AZ55" s="153" cm="1">
        <f t="array" aca="1" ref="AZ55" ca="1">IF($G55=0,"",INDEX(auto_DataFlat_DataValue,$H55+AZ$18))</f>
        <v>45</v>
      </c>
      <c r="BA55" s="153" cm="1">
        <f t="array" aca="1" ref="BA55" ca="1">IF($G55=0,"",INDEX(auto_DataFlat_DataValue,$H55+BA$18))</f>
        <v>26.7</v>
      </c>
      <c r="BB55" s="153" cm="1">
        <f t="array" aca="1" ref="BB55" ca="1">IF($G55=0,"",INDEX(auto_DataFlat_DataValue,$H55+BB$18))</f>
        <v>27.3</v>
      </c>
      <c r="BC55" s="153" cm="1">
        <f t="array" aca="1" ref="BC55" ca="1">IF($G55=0,"",INDEX(auto_DataFlat_DataValue,$H55+BC$18))</f>
        <v>31.5</v>
      </c>
      <c r="BD55" s="153" cm="1">
        <f t="array" aca="1" ref="BD55" ca="1">IF($G55=0,"",INDEX(auto_DataFlat_DataValue,$H55+BD$18))</f>
        <v>29.3</v>
      </c>
      <c r="BE55" s="153" cm="1">
        <f t="array" aca="1" ref="BE55" ca="1">IF($G55=0,"",INDEX(auto_DataFlat_DataValue,$H55+BE$18))</f>
        <v>31.4</v>
      </c>
      <c r="BF55" s="153" cm="1">
        <f t="array" aca="1" ref="BF55" ca="1">IF($G55=0,"",INDEX(auto_DataFlat_DataValue,$H55+BF$18))</f>
        <v>22.1</v>
      </c>
      <c r="BG55" s="153" cm="1">
        <f t="array" aca="1" ref="BG55" ca="1">IF($G55=0,"",INDEX(auto_DataFlat_DataValue,$H55+BG$18))</f>
        <v>33.799999999999997</v>
      </c>
      <c r="BH55" s="153" cm="1">
        <f t="array" aca="1" ref="BH55" ca="1">IF($G55=0,"",INDEX(auto_DataFlat_DataValue,$H55+BH$18))</f>
        <v>27.3</v>
      </c>
      <c r="BI55" s="153" cm="1">
        <f t="array" aca="1" ref="BI55" ca="1">IF($G55=0,"",INDEX(auto_DataFlat_DataValue,$H55+BI$18))</f>
        <v>37.799999999999997</v>
      </c>
    </row>
    <row r="56" spans="1:61" ht="17.05" customHeight="1" x14ac:dyDescent="0.4">
      <c r="A56" t="str">
        <f t="shared" si="3"/>
        <v/>
      </c>
      <c r="B56" s="42" t="str">
        <f t="shared" ca="1" si="1"/>
        <v/>
      </c>
      <c r="C56" s="100">
        <v>37</v>
      </c>
      <c r="D56" s="49" cm="1">
        <f t="array" aca="1" ref="D56" ca="1">INDEX(OFFSET(auto_ss_data_table,0,1,500,1),C56)</f>
        <v>37</v>
      </c>
      <c r="E56" s="101" cm="1">
        <f t="array" aca="1" ref="E56" ca="1">INDEX(auto_tblSeries,$D56,E$18)</f>
        <v>3</v>
      </c>
      <c r="F56" s="101" t="str" cm="1">
        <f t="array" aca="1" ref="F56" ca="1">INDEX(auto_tblSeries,$D56,F$18)</f>
        <v>#,##0</v>
      </c>
      <c r="G56" s="101" cm="1">
        <f t="array" aca="1" ref="G56" ca="1">INDEX(auto_tblSeries,$D56,G$18)</f>
        <v>1</v>
      </c>
      <c r="H56" s="101" cm="1">
        <f t="array" aca="1" ref="H56" ca="1">INDEX(sys_DataFlat_LU_Grid,$D56,1)-1</f>
        <v>2160</v>
      </c>
      <c r="I56" s="26"/>
      <c r="J56" s="151" t="str" cm="1">
        <f t="array" aca="1" ref="J56" ca="1">INDEX(auto_Series_NameNumbered,$D56)</f>
        <v>3.5b) Hypertension surveillance: city-level data availability</v>
      </c>
      <c r="K56" s="152" t="str" cm="1">
        <f t="array" aca="1" ref="K56" ca="1">IF($G56=0,"",INDEX(auto_tblSeries,$D56,K$18))</f>
        <v>Rating 0-2</v>
      </c>
      <c r="L56" s="154" cm="1">
        <f t="array" aca="1" ref="L56" ca="1">IF($G56=0,"",INDEX(auto_DataFlat_DataValue,$H56+L$18))</f>
        <v>1</v>
      </c>
      <c r="M56" s="154" cm="1">
        <f t="array" aca="1" ref="M56" ca="1">IF($G56=0,"",INDEX(auto_DataFlat_DataValue,$H56+M$18))</f>
        <v>2</v>
      </c>
      <c r="N56" s="154" cm="1">
        <f t="array" aca="1" ref="N56" ca="1">IF($G56=0,"",INDEX(auto_DataFlat_DataValue,$H56+N$18))</f>
        <v>1</v>
      </c>
      <c r="O56" s="154" cm="1">
        <f t="array" aca="1" ref="O56" ca="1">IF($G56=0,"",INDEX(auto_DataFlat_DataValue,$H56+O$18))</f>
        <v>1</v>
      </c>
      <c r="P56" s="154" cm="1">
        <f t="array" aca="1" ref="P56" ca="1">IF($G56=0,"",INDEX(auto_DataFlat_DataValue,$H56+P$18))</f>
        <v>1</v>
      </c>
      <c r="Q56" s="154" cm="1">
        <f t="array" aca="1" ref="Q56" ca="1">IF($G56=0,"",INDEX(auto_DataFlat_DataValue,$H56+Q$18))</f>
        <v>1</v>
      </c>
      <c r="R56" s="154" cm="1">
        <f t="array" aca="1" ref="R56" ca="1">IF($G56=0,"",INDEX(auto_DataFlat_DataValue,$H56+R$18))</f>
        <v>0</v>
      </c>
      <c r="S56" s="154" cm="1">
        <f t="array" aca="1" ref="S56" ca="1">IF($G56=0,"",INDEX(auto_DataFlat_DataValue,$H56+S$18))</f>
        <v>0</v>
      </c>
      <c r="T56" s="154" cm="1">
        <f t="array" aca="1" ref="T56" ca="1">IF($G56=0,"",INDEX(auto_DataFlat_DataValue,$H56+T$18))</f>
        <v>1</v>
      </c>
      <c r="U56" s="154" cm="1">
        <f t="array" aca="1" ref="U56" ca="1">IF($G56=0,"",INDEX(auto_DataFlat_DataValue,$H56+U$18))</f>
        <v>1</v>
      </c>
      <c r="V56" s="154" cm="1">
        <f t="array" aca="1" ref="V56" ca="1">IF($G56=0,"",INDEX(auto_DataFlat_DataValue,$H56+V$18))</f>
        <v>0</v>
      </c>
      <c r="W56" s="154" cm="1">
        <f t="array" aca="1" ref="W56" ca="1">IF($G56=0,"",INDEX(auto_DataFlat_DataValue,$H56+W$18))</f>
        <v>1</v>
      </c>
      <c r="X56" s="154" cm="1">
        <f t="array" aca="1" ref="X56" ca="1">IF($G56=0,"",INDEX(auto_DataFlat_DataValue,$H56+X$18))</f>
        <v>2</v>
      </c>
      <c r="Y56" s="154" cm="1">
        <f t="array" aca="1" ref="Y56" ca="1">IF($G56=0,"",INDEX(auto_DataFlat_DataValue,$H56+Y$18))</f>
        <v>2</v>
      </c>
      <c r="Z56" s="154" cm="1">
        <f t="array" aca="1" ref="Z56" ca="1">IF($G56=0,"",INDEX(auto_DataFlat_DataValue,$H56+Z$18))</f>
        <v>2</v>
      </c>
      <c r="AA56" s="154" cm="1">
        <f t="array" aca="1" ref="AA56" ca="1">IF($G56=0,"",INDEX(auto_DataFlat_DataValue,$H56+AA$18))</f>
        <v>2</v>
      </c>
      <c r="AB56" s="154" cm="1">
        <f t="array" aca="1" ref="AB56" ca="1">IF($G56=0,"",INDEX(auto_DataFlat_DataValue,$H56+AB$18))</f>
        <v>2</v>
      </c>
      <c r="AC56" s="154" cm="1">
        <f t="array" aca="1" ref="AC56" ca="1">IF($G56=0,"",INDEX(auto_DataFlat_DataValue,$H56+AC$18))</f>
        <v>1</v>
      </c>
      <c r="AD56" s="154" cm="1">
        <f t="array" aca="1" ref="AD56" ca="1">IF($G56=0,"",INDEX(auto_DataFlat_DataValue,$H56+AD$18))</f>
        <v>2</v>
      </c>
      <c r="AE56" s="154" cm="1">
        <f t="array" aca="1" ref="AE56" ca="1">IF($G56=0,"",INDEX(auto_DataFlat_DataValue,$H56+AE$18))</f>
        <v>1</v>
      </c>
      <c r="AF56" s="154" cm="1">
        <f t="array" aca="1" ref="AF56" ca="1">IF($G56=0,"",INDEX(auto_DataFlat_DataValue,$H56+AF$18))</f>
        <v>1</v>
      </c>
      <c r="AG56" s="154" cm="1">
        <f t="array" aca="1" ref="AG56" ca="1">IF($G56=0,"",INDEX(auto_DataFlat_DataValue,$H56+AG$18))</f>
        <v>1</v>
      </c>
      <c r="AH56" s="154" cm="1">
        <f t="array" aca="1" ref="AH56" ca="1">IF($G56=0,"",INDEX(auto_DataFlat_DataValue,$H56+AH$18))</f>
        <v>1</v>
      </c>
      <c r="AI56" s="154" cm="1">
        <f t="array" aca="1" ref="AI56" ca="1">IF($G56=0,"",INDEX(auto_DataFlat_DataValue,$H56+AI$18))</f>
        <v>0</v>
      </c>
      <c r="AJ56" s="154" cm="1">
        <f t="array" aca="1" ref="AJ56" ca="1">IF($G56=0,"",INDEX(auto_DataFlat_DataValue,$H56+AJ$18))</f>
        <v>0</v>
      </c>
      <c r="AK56" s="154" cm="1">
        <f t="array" aca="1" ref="AK56" ca="1">IF($G56=0,"",INDEX(auto_DataFlat_DataValue,$H56+AK$18))</f>
        <v>1</v>
      </c>
      <c r="AL56" s="154" cm="1">
        <f t="array" aca="1" ref="AL56" ca="1">IF($G56=0,"",INDEX(auto_DataFlat_DataValue,$H56+AL$18))</f>
        <v>2</v>
      </c>
      <c r="AM56" s="154" cm="1">
        <f t="array" aca="1" ref="AM56" ca="1">IF($G56=0,"",INDEX(auto_DataFlat_DataValue,$H56+AM$18))</f>
        <v>1</v>
      </c>
      <c r="AN56" s="154" cm="1">
        <f t="array" aca="1" ref="AN56" ca="1">IF($G56=0,"",INDEX(auto_DataFlat_DataValue,$H56+AN$18))</f>
        <v>1</v>
      </c>
      <c r="AO56" s="154" cm="1">
        <f t="array" aca="1" ref="AO56" ca="1">IF($G56=0,"",INDEX(auto_DataFlat_DataValue,$H56+AO$18))</f>
        <v>1</v>
      </c>
      <c r="AP56" s="154" cm="1">
        <f t="array" aca="1" ref="AP56" ca="1">IF($G56=0,"",INDEX(auto_DataFlat_DataValue,$H56+AP$18))</f>
        <v>1</v>
      </c>
      <c r="AQ56" s="154" cm="1">
        <f t="array" aca="1" ref="AQ56" ca="1">IF($G56=0,"",INDEX(auto_DataFlat_DataValue,$H56+AQ$18))</f>
        <v>2</v>
      </c>
      <c r="AR56" s="154" cm="1">
        <f t="array" aca="1" ref="AR56" ca="1">IF($G56=0,"",INDEX(auto_DataFlat_DataValue,$H56+AR$18))</f>
        <v>0</v>
      </c>
      <c r="AS56" s="154" cm="1">
        <f t="array" aca="1" ref="AS56" ca="1">IF($G56=0,"",INDEX(auto_DataFlat_DataValue,$H56+AS$18))</f>
        <v>2</v>
      </c>
      <c r="AT56" s="154" cm="1">
        <f t="array" aca="1" ref="AT56" ca="1">IF($G56=0,"",INDEX(auto_DataFlat_DataValue,$H56+AT$18))</f>
        <v>2</v>
      </c>
      <c r="AU56" s="154" cm="1">
        <f t="array" aca="1" ref="AU56" ca="1">IF($G56=0,"",INDEX(auto_DataFlat_DataValue,$H56+AU$18))</f>
        <v>0</v>
      </c>
      <c r="AV56" s="154" cm="1">
        <f t="array" aca="1" ref="AV56" ca="1">IF($G56=0,"",INDEX(auto_DataFlat_DataValue,$H56+AV$18))</f>
        <v>1</v>
      </c>
      <c r="AW56" s="154" cm="1">
        <f t="array" aca="1" ref="AW56" ca="1">IF($G56=0,"",INDEX(auto_DataFlat_DataValue,$H56+AW$18))</f>
        <v>2</v>
      </c>
      <c r="AX56" s="154" cm="1">
        <f t="array" aca="1" ref="AX56" ca="1">IF($G56=0,"",INDEX(auto_DataFlat_DataValue,$H56+AX$18))</f>
        <v>0</v>
      </c>
      <c r="AY56" s="154" cm="1">
        <f t="array" aca="1" ref="AY56" ca="1">IF($G56=0,"",INDEX(auto_DataFlat_DataValue,$H56+AY$18))</f>
        <v>2</v>
      </c>
      <c r="AZ56" s="154" cm="1">
        <f t="array" aca="1" ref="AZ56" ca="1">IF($G56=0,"",INDEX(auto_DataFlat_DataValue,$H56+AZ$18))</f>
        <v>1</v>
      </c>
      <c r="BA56" s="154" cm="1">
        <f t="array" aca="1" ref="BA56" ca="1">IF($G56=0,"",INDEX(auto_DataFlat_DataValue,$H56+BA$18))</f>
        <v>2</v>
      </c>
      <c r="BB56" s="154" cm="1">
        <f t="array" aca="1" ref="BB56" ca="1">IF($G56=0,"",INDEX(auto_DataFlat_DataValue,$H56+BB$18))</f>
        <v>2</v>
      </c>
      <c r="BC56" s="154" cm="1">
        <f t="array" aca="1" ref="BC56" ca="1">IF($G56=0,"",INDEX(auto_DataFlat_DataValue,$H56+BC$18))</f>
        <v>1</v>
      </c>
      <c r="BD56" s="154" cm="1">
        <f t="array" aca="1" ref="BD56" ca="1">IF($G56=0,"",INDEX(auto_DataFlat_DataValue,$H56+BD$18))</f>
        <v>1</v>
      </c>
      <c r="BE56" s="154" cm="1">
        <f t="array" aca="1" ref="BE56" ca="1">IF($G56=0,"",INDEX(auto_DataFlat_DataValue,$H56+BE$18))</f>
        <v>2</v>
      </c>
      <c r="BF56" s="154" cm="1">
        <f t="array" aca="1" ref="BF56" ca="1">IF($G56=0,"",INDEX(auto_DataFlat_DataValue,$H56+BF$18))</f>
        <v>1</v>
      </c>
      <c r="BG56" s="154" cm="1">
        <f t="array" aca="1" ref="BG56" ca="1">IF($G56=0,"",INDEX(auto_DataFlat_DataValue,$H56+BG$18))</f>
        <v>1</v>
      </c>
      <c r="BH56" s="154" cm="1">
        <f t="array" aca="1" ref="BH56" ca="1">IF($G56=0,"",INDEX(auto_DataFlat_DataValue,$H56+BH$18))</f>
        <v>2</v>
      </c>
      <c r="BI56" s="154" cm="1">
        <f t="array" aca="1" ref="BI56" ca="1">IF($G56=0,"",INDEX(auto_DataFlat_DataValue,$H56+BI$18))</f>
        <v>1</v>
      </c>
    </row>
    <row r="57" spans="1:61" ht="17.05" customHeight="1" x14ac:dyDescent="0.4">
      <c r="A57" t="str">
        <f t="shared" si="3"/>
        <v/>
      </c>
      <c r="B57" s="42" t="str">
        <f t="shared" ca="1" si="1"/>
        <v>V</v>
      </c>
      <c r="C57" s="100">
        <v>38</v>
      </c>
      <c r="D57" s="49" cm="1">
        <f t="array" aca="1" ref="D57" ca="1">INDEX(OFFSET(auto_ss_data_table,0,1,500,1),C57)</f>
        <v>38</v>
      </c>
      <c r="E57" s="101" cm="1">
        <f t="array" aca="1" ref="E57" ca="1">INDEX(auto_tblSeries,$D57,E$18)</f>
        <v>2</v>
      </c>
      <c r="F57" s="101" t="str" cm="1">
        <f t="array" aca="1" ref="F57" ca="1">INDEX(auto_tblSeries,$D57,F$18)</f>
        <v>#,0.0</v>
      </c>
      <c r="G57" s="101" cm="1">
        <f t="array" aca="1" ref="G57" ca="1">INDEX(auto_tblSeries,$D57,G$18)</f>
        <v>0</v>
      </c>
      <c r="H57" s="101" cm="1">
        <f t="array" aca="1" ref="H57" ca="1">INDEX(sys_DataFlat_LU_Grid,$D57,1)-1</f>
        <v>2220</v>
      </c>
      <c r="I57" s="26"/>
      <c r="J57" s="148" t="str" cm="1">
        <f t="array" aca="1" ref="J57" ca="1">INDEX(auto_Series_NameNumbered,$D57)</f>
        <v>3.6) Diabetes</v>
      </c>
      <c r="K57" s="149" t="str" cm="1">
        <f t="array" aca="1" ref="K57" ca="1">IF($G57=0,"",INDEX(auto_tblSeries,$D57,K$18))</f>
        <v/>
      </c>
      <c r="L57" s="150" t="str" cm="1">
        <f t="array" aca="1" ref="L57" ca="1">IF($G57=0,"",INDEX(auto_DataFlat_DataValue,$H57+L$18))</f>
        <v/>
      </c>
      <c r="M57" s="150" t="str" cm="1">
        <f t="array" aca="1" ref="M57" ca="1">IF($G57=0,"",INDEX(auto_DataFlat_DataValue,$H57+M$18))</f>
        <v/>
      </c>
      <c r="N57" s="150" t="str" cm="1">
        <f t="array" aca="1" ref="N57" ca="1">IF($G57=0,"",INDEX(auto_DataFlat_DataValue,$H57+N$18))</f>
        <v/>
      </c>
      <c r="O57" s="150" t="str" cm="1">
        <f t="array" aca="1" ref="O57" ca="1">IF($G57=0,"",INDEX(auto_DataFlat_DataValue,$H57+O$18))</f>
        <v/>
      </c>
      <c r="P57" s="150" t="str" cm="1">
        <f t="array" aca="1" ref="P57" ca="1">IF($G57=0,"",INDEX(auto_DataFlat_DataValue,$H57+P$18))</f>
        <v/>
      </c>
      <c r="Q57" s="150" t="str" cm="1">
        <f t="array" aca="1" ref="Q57" ca="1">IF($G57=0,"",INDEX(auto_DataFlat_DataValue,$H57+Q$18))</f>
        <v/>
      </c>
      <c r="R57" s="150" t="str" cm="1">
        <f t="array" aca="1" ref="R57" ca="1">IF($G57=0,"",INDEX(auto_DataFlat_DataValue,$H57+R$18))</f>
        <v/>
      </c>
      <c r="S57" s="150" t="str" cm="1">
        <f t="array" aca="1" ref="S57" ca="1">IF($G57=0,"",INDEX(auto_DataFlat_DataValue,$H57+S$18))</f>
        <v/>
      </c>
      <c r="T57" s="150" t="str" cm="1">
        <f t="array" aca="1" ref="T57" ca="1">IF($G57=0,"",INDEX(auto_DataFlat_DataValue,$H57+T$18))</f>
        <v/>
      </c>
      <c r="U57" s="150" t="str" cm="1">
        <f t="array" aca="1" ref="U57" ca="1">IF($G57=0,"",INDEX(auto_DataFlat_DataValue,$H57+U$18))</f>
        <v/>
      </c>
      <c r="V57" s="150" t="str" cm="1">
        <f t="array" aca="1" ref="V57" ca="1">IF($G57=0,"",INDEX(auto_DataFlat_DataValue,$H57+V$18))</f>
        <v/>
      </c>
      <c r="W57" s="150" t="str" cm="1">
        <f t="array" aca="1" ref="W57" ca="1">IF($G57=0,"",INDEX(auto_DataFlat_DataValue,$H57+W$18))</f>
        <v/>
      </c>
      <c r="X57" s="150" t="str" cm="1">
        <f t="array" aca="1" ref="X57" ca="1">IF($G57=0,"",INDEX(auto_DataFlat_DataValue,$H57+X$18))</f>
        <v/>
      </c>
      <c r="Y57" s="150" t="str" cm="1">
        <f t="array" aca="1" ref="Y57" ca="1">IF($G57=0,"",INDEX(auto_DataFlat_DataValue,$H57+Y$18))</f>
        <v/>
      </c>
      <c r="Z57" s="150" t="str" cm="1">
        <f t="array" aca="1" ref="Z57" ca="1">IF($G57=0,"",INDEX(auto_DataFlat_DataValue,$H57+Z$18))</f>
        <v/>
      </c>
      <c r="AA57" s="150" t="str" cm="1">
        <f t="array" aca="1" ref="AA57" ca="1">IF($G57=0,"",INDEX(auto_DataFlat_DataValue,$H57+AA$18))</f>
        <v/>
      </c>
      <c r="AB57" s="150" t="str" cm="1">
        <f t="array" aca="1" ref="AB57" ca="1">IF($G57=0,"",INDEX(auto_DataFlat_DataValue,$H57+AB$18))</f>
        <v/>
      </c>
      <c r="AC57" s="150" t="str" cm="1">
        <f t="array" aca="1" ref="AC57" ca="1">IF($G57=0,"",INDEX(auto_DataFlat_DataValue,$H57+AC$18))</f>
        <v/>
      </c>
      <c r="AD57" s="150" t="str" cm="1">
        <f t="array" aca="1" ref="AD57" ca="1">IF($G57=0,"",INDEX(auto_DataFlat_DataValue,$H57+AD$18))</f>
        <v/>
      </c>
      <c r="AE57" s="150" t="str" cm="1">
        <f t="array" aca="1" ref="AE57" ca="1">IF($G57=0,"",INDEX(auto_DataFlat_DataValue,$H57+AE$18))</f>
        <v/>
      </c>
      <c r="AF57" s="150" t="str" cm="1">
        <f t="array" aca="1" ref="AF57" ca="1">IF($G57=0,"",INDEX(auto_DataFlat_DataValue,$H57+AF$18))</f>
        <v/>
      </c>
      <c r="AG57" s="150" t="str" cm="1">
        <f t="array" aca="1" ref="AG57" ca="1">IF($G57=0,"",INDEX(auto_DataFlat_DataValue,$H57+AG$18))</f>
        <v/>
      </c>
      <c r="AH57" s="150" t="str" cm="1">
        <f t="array" aca="1" ref="AH57" ca="1">IF($G57=0,"",INDEX(auto_DataFlat_DataValue,$H57+AH$18))</f>
        <v/>
      </c>
      <c r="AI57" s="150" t="str" cm="1">
        <f t="array" aca="1" ref="AI57" ca="1">IF($G57=0,"",INDEX(auto_DataFlat_DataValue,$H57+AI$18))</f>
        <v/>
      </c>
      <c r="AJ57" s="150" t="str" cm="1">
        <f t="array" aca="1" ref="AJ57" ca="1">IF($G57=0,"",INDEX(auto_DataFlat_DataValue,$H57+AJ$18))</f>
        <v/>
      </c>
      <c r="AK57" s="150" t="str" cm="1">
        <f t="array" aca="1" ref="AK57" ca="1">IF($G57=0,"",INDEX(auto_DataFlat_DataValue,$H57+AK$18))</f>
        <v/>
      </c>
      <c r="AL57" s="150" t="str" cm="1">
        <f t="array" aca="1" ref="AL57" ca="1">IF($G57=0,"",INDEX(auto_DataFlat_DataValue,$H57+AL$18))</f>
        <v/>
      </c>
      <c r="AM57" s="150" t="str" cm="1">
        <f t="array" aca="1" ref="AM57" ca="1">IF($G57=0,"",INDEX(auto_DataFlat_DataValue,$H57+AM$18))</f>
        <v/>
      </c>
      <c r="AN57" s="150" t="str" cm="1">
        <f t="array" aca="1" ref="AN57" ca="1">IF($G57=0,"",INDEX(auto_DataFlat_DataValue,$H57+AN$18))</f>
        <v/>
      </c>
      <c r="AO57" s="150" t="str" cm="1">
        <f t="array" aca="1" ref="AO57" ca="1">IF($G57=0,"",INDEX(auto_DataFlat_DataValue,$H57+AO$18))</f>
        <v/>
      </c>
      <c r="AP57" s="150" t="str" cm="1">
        <f t="array" aca="1" ref="AP57" ca="1">IF($G57=0,"",INDEX(auto_DataFlat_DataValue,$H57+AP$18))</f>
        <v/>
      </c>
      <c r="AQ57" s="150" t="str" cm="1">
        <f t="array" aca="1" ref="AQ57" ca="1">IF($G57=0,"",INDEX(auto_DataFlat_DataValue,$H57+AQ$18))</f>
        <v/>
      </c>
      <c r="AR57" s="150" t="str" cm="1">
        <f t="array" aca="1" ref="AR57" ca="1">IF($G57=0,"",INDEX(auto_DataFlat_DataValue,$H57+AR$18))</f>
        <v/>
      </c>
      <c r="AS57" s="150" t="str" cm="1">
        <f t="array" aca="1" ref="AS57" ca="1">IF($G57=0,"",INDEX(auto_DataFlat_DataValue,$H57+AS$18))</f>
        <v/>
      </c>
      <c r="AT57" s="150" t="str" cm="1">
        <f t="array" aca="1" ref="AT57" ca="1">IF($G57=0,"",INDEX(auto_DataFlat_DataValue,$H57+AT$18))</f>
        <v/>
      </c>
      <c r="AU57" s="150" t="str" cm="1">
        <f t="array" aca="1" ref="AU57" ca="1">IF($G57=0,"",INDEX(auto_DataFlat_DataValue,$H57+AU$18))</f>
        <v/>
      </c>
      <c r="AV57" s="150" t="str" cm="1">
        <f t="array" aca="1" ref="AV57" ca="1">IF($G57=0,"",INDEX(auto_DataFlat_DataValue,$H57+AV$18))</f>
        <v/>
      </c>
      <c r="AW57" s="150" t="str" cm="1">
        <f t="array" aca="1" ref="AW57" ca="1">IF($G57=0,"",INDEX(auto_DataFlat_DataValue,$H57+AW$18))</f>
        <v/>
      </c>
      <c r="AX57" s="150" t="str" cm="1">
        <f t="array" aca="1" ref="AX57" ca="1">IF($G57=0,"",INDEX(auto_DataFlat_DataValue,$H57+AX$18))</f>
        <v/>
      </c>
      <c r="AY57" s="150" t="str" cm="1">
        <f t="array" aca="1" ref="AY57" ca="1">IF($G57=0,"",INDEX(auto_DataFlat_DataValue,$H57+AY$18))</f>
        <v/>
      </c>
      <c r="AZ57" s="150" t="str" cm="1">
        <f t="array" aca="1" ref="AZ57" ca="1">IF($G57=0,"",INDEX(auto_DataFlat_DataValue,$H57+AZ$18))</f>
        <v/>
      </c>
      <c r="BA57" s="150" t="str" cm="1">
        <f t="array" aca="1" ref="BA57" ca="1">IF($G57=0,"",INDEX(auto_DataFlat_DataValue,$H57+BA$18))</f>
        <v/>
      </c>
      <c r="BB57" s="150" t="str" cm="1">
        <f t="array" aca="1" ref="BB57" ca="1">IF($G57=0,"",INDEX(auto_DataFlat_DataValue,$H57+BB$18))</f>
        <v/>
      </c>
      <c r="BC57" s="150" t="str" cm="1">
        <f t="array" aca="1" ref="BC57" ca="1">IF($G57=0,"",INDEX(auto_DataFlat_DataValue,$H57+BC$18))</f>
        <v/>
      </c>
      <c r="BD57" s="150" t="str" cm="1">
        <f t="array" aca="1" ref="BD57" ca="1">IF($G57=0,"",INDEX(auto_DataFlat_DataValue,$H57+BD$18))</f>
        <v/>
      </c>
      <c r="BE57" s="150" t="str" cm="1">
        <f t="array" aca="1" ref="BE57" ca="1">IF($G57=0,"",INDEX(auto_DataFlat_DataValue,$H57+BE$18))</f>
        <v/>
      </c>
      <c r="BF57" s="150" t="str" cm="1">
        <f t="array" aca="1" ref="BF57" ca="1">IF($G57=0,"",INDEX(auto_DataFlat_DataValue,$H57+BF$18))</f>
        <v/>
      </c>
      <c r="BG57" s="150" t="str" cm="1">
        <f t="array" aca="1" ref="BG57" ca="1">IF($G57=0,"",INDEX(auto_DataFlat_DataValue,$H57+BG$18))</f>
        <v/>
      </c>
      <c r="BH57" s="150" t="str" cm="1">
        <f t="array" aca="1" ref="BH57" ca="1">IF($G57=0,"",INDEX(auto_DataFlat_DataValue,$H57+BH$18))</f>
        <v/>
      </c>
      <c r="BI57" s="150" t="str" cm="1">
        <f t="array" aca="1" ref="BI57" ca="1">IF($G57=0,"",INDEX(auto_DataFlat_DataValue,$H57+BI$18))</f>
        <v/>
      </c>
    </row>
    <row r="58" spans="1:61" ht="17.05" customHeight="1" x14ac:dyDescent="0.4">
      <c r="A58" t="str">
        <f t="shared" si="3"/>
        <v/>
      </c>
      <c r="B58" s="42" t="str">
        <f t="shared" ca="1" si="1"/>
        <v/>
      </c>
      <c r="C58" s="100">
        <v>39</v>
      </c>
      <c r="D58" s="49" cm="1">
        <f t="array" aca="1" ref="D58" ca="1">INDEX(OFFSET(auto_ss_data_table,0,1,500,1),C58)</f>
        <v>39</v>
      </c>
      <c r="E58" s="101" cm="1">
        <f t="array" aca="1" ref="E58" ca="1">INDEX(auto_tblSeries,$D58,E$18)</f>
        <v>3</v>
      </c>
      <c r="F58" s="101" t="str" cm="1">
        <f t="array" aca="1" ref="F58" ca="1">INDEX(auto_tblSeries,$D58,F$18)</f>
        <v>#,0.0</v>
      </c>
      <c r="G58" s="101" cm="1">
        <f t="array" aca="1" ref="G58" ca="1">INDEX(auto_tblSeries,$D58,G$18)</f>
        <v>1</v>
      </c>
      <c r="H58" s="101" cm="1">
        <f t="array" aca="1" ref="H58" ca="1">INDEX(sys_DataFlat_LU_Grid,$D58,1)-1</f>
        <v>2280</v>
      </c>
      <c r="I58" s="26"/>
      <c r="J58" s="151" t="str" cm="1">
        <f t="array" aca="1" ref="J58" ca="1">INDEX(auto_Series_NameNumbered,$D58)</f>
        <v>3.6a) Diabetes: national data</v>
      </c>
      <c r="K58" s="152" t="str" cm="1">
        <f t="array" aca="1" ref="K58" ca="1">IF($G58=0,"",INDEX(auto_tblSeries,$D58,K$18))</f>
        <v>%</v>
      </c>
      <c r="L58" s="153" cm="1">
        <f t="array" aca="1" ref="L58" ca="1">IF($G58=0,"",INDEX(auto_DataFlat_DataValue,$H58+L$18))</f>
        <v>6.7</v>
      </c>
      <c r="M58" s="153" cm="1">
        <f t="array" aca="1" ref="M58" ca="1">IF($G58=0,"",INDEX(auto_DataFlat_DataValue,$H58+M$18))</f>
        <v>9.8000000000000007</v>
      </c>
      <c r="N58" s="153" cm="1">
        <f t="array" aca="1" ref="N58" ca="1">IF($G58=0,"",INDEX(auto_DataFlat_DataValue,$H58+N$18))</f>
        <v>8.1</v>
      </c>
      <c r="O58" s="153" cm="1">
        <f t="array" aca="1" ref="O58" ca="1">IF($G58=0,"",INDEX(auto_DataFlat_DataValue,$H58+O$18))</f>
        <v>4.5</v>
      </c>
      <c r="P58" s="153" cm="1">
        <f t="array" aca="1" ref="P58" ca="1">IF($G58=0,"",INDEX(auto_DataFlat_DataValue,$H58+P$18))</f>
        <v>2.2000000000000002</v>
      </c>
      <c r="Q58" s="153" cm="1">
        <f t="array" aca="1" ref="Q58" ca="1">IF($G58=0,"",INDEX(auto_DataFlat_DataValue,$H58+Q$18))</f>
        <v>2.2000000000000002</v>
      </c>
      <c r="R58" s="153" cm="1">
        <f t="array" aca="1" ref="R58" ca="1">IF($G58=0,"",INDEX(auto_DataFlat_DataValue,$H58+R$18))</f>
        <v>4.9000000000000004</v>
      </c>
      <c r="S58" s="153" cm="1">
        <f t="array" aca="1" ref="S58" ca="1">IF($G58=0,"",INDEX(auto_DataFlat_DataValue,$H58+S$18))</f>
        <v>9.9</v>
      </c>
      <c r="T58" s="153" cm="1">
        <f t="array" aca="1" ref="T58" ca="1">IF($G58=0,"",INDEX(auto_DataFlat_DataValue,$H58+T$18))</f>
        <v>3.8</v>
      </c>
      <c r="U58" s="153" cm="1">
        <f t="array" aca="1" ref="U58" ca="1">IF($G58=0,"",INDEX(auto_DataFlat_DataValue,$H58+U$18))</f>
        <v>9.8000000000000007</v>
      </c>
      <c r="V58" s="153" cm="1">
        <f t="array" aca="1" ref="V58" ca="1">IF($G58=0,"",INDEX(auto_DataFlat_DataValue,$H58+V$18))</f>
        <v>4.8</v>
      </c>
      <c r="W58" s="153" cm="1">
        <f t="array" aca="1" ref="W58" ca="1">IF($G58=0,"",INDEX(auto_DataFlat_DataValue,$H58+W$18))</f>
        <v>7.8</v>
      </c>
      <c r="X58" s="153" cm="1">
        <f t="array" aca="1" ref="X58" ca="1">IF($G58=0,"",INDEX(auto_DataFlat_DataValue,$H58+X$18))</f>
        <v>18.100000000000001</v>
      </c>
      <c r="Y58" s="153" cm="1">
        <f t="array" aca="1" ref="Y58" ca="1">IF($G58=0,"",INDEX(auto_DataFlat_DataValue,$H58+Y$18))</f>
        <v>8.8000000000000007</v>
      </c>
      <c r="Z58" s="153" cm="1">
        <f t="array" aca="1" ref="Z58" ca="1">IF($G58=0,"",INDEX(auto_DataFlat_DataValue,$H58+Z$18))</f>
        <v>4.5</v>
      </c>
      <c r="AA58" s="153" cm="1">
        <f t="array" aca="1" ref="AA58" ca="1">IF($G58=0,"",INDEX(auto_DataFlat_DataValue,$H58+AA$18))</f>
        <v>2.2000000000000002</v>
      </c>
      <c r="AB58" s="153" cm="1">
        <f t="array" aca="1" ref="AB58" ca="1">IF($G58=0,"",INDEX(auto_DataFlat_DataValue,$H58+AB$18))</f>
        <v>6.5</v>
      </c>
      <c r="AC58" s="153" cm="1">
        <f t="array" aca="1" ref="AC58" ca="1">IF($G58=0,"",INDEX(auto_DataFlat_DataValue,$H58+AC$18))</f>
        <v>1.7</v>
      </c>
      <c r="AD58" s="153" cm="1">
        <f t="array" aca="1" ref="AD58" ca="1">IF($G58=0,"",INDEX(auto_DataFlat_DataValue,$H58+AD$18))</f>
        <v>2.2000000000000002</v>
      </c>
      <c r="AE58" s="153" cm="1">
        <f t="array" aca="1" ref="AE58" ca="1">IF($G58=0,"",INDEX(auto_DataFlat_DataValue,$H58+AE$18))</f>
        <v>32.200000000000003</v>
      </c>
      <c r="AF58" s="153" cm="1">
        <f t="array" aca="1" ref="AF58" ca="1">IF($G58=0,"",INDEX(auto_DataFlat_DataValue,$H58+AF$18))</f>
        <v>2.1</v>
      </c>
      <c r="AG58" s="153" cm="1">
        <f t="array" aca="1" ref="AG58" ca="1">IF($G58=0,"",INDEX(auto_DataFlat_DataValue,$H58+AG$18))</f>
        <v>7.8</v>
      </c>
      <c r="AH58" s="153" cm="1">
        <f t="array" aca="1" ref="AH58" ca="1">IF($G58=0,"",INDEX(auto_DataFlat_DataValue,$H58+AH$18))</f>
        <v>7.8</v>
      </c>
      <c r="AI58" s="153" cm="1">
        <f t="array" aca="1" ref="AI58" ca="1">IF($G58=0,"",INDEX(auto_DataFlat_DataValue,$H58+AI$18))</f>
        <v>13</v>
      </c>
      <c r="AJ58" s="153" cm="1">
        <f t="array" aca="1" ref="AJ58" ca="1">IF($G58=0,"",INDEX(auto_DataFlat_DataValue,$H58+AJ$18))</f>
        <v>4.9000000000000004</v>
      </c>
      <c r="AK58" s="153" cm="1">
        <f t="array" aca="1" ref="AK58" ca="1">IF($G58=0,"",INDEX(auto_DataFlat_DataValue,$H58+AK$18))</f>
        <v>4.9000000000000004</v>
      </c>
      <c r="AL58" s="153" cm="1">
        <f t="array" aca="1" ref="AL58" ca="1">IF($G58=0,"",INDEX(auto_DataFlat_DataValue,$H58+AL$18))</f>
        <v>2.8</v>
      </c>
      <c r="AM58" s="153" cm="1">
        <f t="array" aca="1" ref="AM58" ca="1">IF($G58=0,"",INDEX(auto_DataFlat_DataValue,$H58+AM$18))</f>
        <v>2.2999999999999998</v>
      </c>
      <c r="AN58" s="153" cm="1">
        <f t="array" aca="1" ref="AN58" ca="1">IF($G58=0,"",INDEX(auto_DataFlat_DataValue,$H58+AN$18))</f>
        <v>4.5</v>
      </c>
      <c r="AO58" s="153" cm="1">
        <f t="array" aca="1" ref="AO58" ca="1">IF($G58=0,"",INDEX(auto_DataFlat_DataValue,$H58+AO$18))</f>
        <v>8.6999999999999993</v>
      </c>
      <c r="AP58" s="153" cm="1">
        <f t="array" aca="1" ref="AP58" ca="1">IF($G58=0,"",INDEX(auto_DataFlat_DataValue,$H58+AP$18))</f>
        <v>2.2999999999999998</v>
      </c>
      <c r="AQ58" s="153" cm="1">
        <f t="array" aca="1" ref="AQ58" ca="1">IF($G58=0,"",INDEX(auto_DataFlat_DataValue,$H58+AQ$18))</f>
        <v>7.8</v>
      </c>
      <c r="AR58" s="153" cm="1">
        <f t="array" aca="1" ref="AR58" ca="1">IF($G58=0,"",INDEX(auto_DataFlat_DataValue,$H58+AR$18))</f>
        <v>5</v>
      </c>
      <c r="AS58" s="153" cm="1">
        <f t="array" aca="1" ref="AS58" ca="1">IF($G58=0,"",INDEX(auto_DataFlat_DataValue,$H58+AS$18))</f>
        <v>8.1</v>
      </c>
      <c r="AT58" s="153" cm="1">
        <f t="array" aca="1" ref="AT58" ca="1">IF($G58=0,"",INDEX(auto_DataFlat_DataValue,$H58+AT$18))</f>
        <v>4.5</v>
      </c>
      <c r="AU58" s="153" cm="1">
        <f t="array" aca="1" ref="AU58" ca="1">IF($G58=0,"",INDEX(auto_DataFlat_DataValue,$H58+AU$18))</f>
        <v>4.9000000000000004</v>
      </c>
      <c r="AV58" s="153" cm="1">
        <f t="array" aca="1" ref="AV58" ca="1">IF($G58=0,"",INDEX(auto_DataFlat_DataValue,$H58+AV$18))</f>
        <v>2.2000000000000002</v>
      </c>
      <c r="AW58" s="153" cm="1">
        <f t="array" aca="1" ref="AW58" ca="1">IF($G58=0,"",INDEX(auto_DataFlat_DataValue,$H58+AW$18))</f>
        <v>8.8000000000000007</v>
      </c>
      <c r="AX58" s="153" cm="1">
        <f t="array" aca="1" ref="AX58" ca="1">IF($G58=0,"",INDEX(auto_DataFlat_DataValue,$H58+AX$18))</f>
        <v>2.8</v>
      </c>
      <c r="AY58" s="153" cm="1">
        <f t="array" aca="1" ref="AY58" ca="1">IF($G58=0,"",INDEX(auto_DataFlat_DataValue,$H58+AY$18))</f>
        <v>8.1</v>
      </c>
      <c r="AZ58" s="153" cm="1">
        <f t="array" aca="1" ref="AZ58" ca="1">IF($G58=0,"",INDEX(auto_DataFlat_DataValue,$H58+AZ$18))</f>
        <v>9.9</v>
      </c>
      <c r="BA58" s="153" cm="1">
        <f t="array" aca="1" ref="BA58" ca="1">IF($G58=0,"",INDEX(auto_DataFlat_DataValue,$H58+BA$18))</f>
        <v>4.5</v>
      </c>
      <c r="BB58" s="153" cm="1">
        <f t="array" aca="1" ref="BB58" ca="1">IF($G58=0,"",INDEX(auto_DataFlat_DataValue,$H58+BB$18))</f>
        <v>2.2000000000000002</v>
      </c>
      <c r="BC58" s="153" cm="1">
        <f t="array" aca="1" ref="BC58" ca="1">IF($G58=0,"",INDEX(auto_DataFlat_DataValue,$H58+BC$18))</f>
        <v>6.5</v>
      </c>
      <c r="BD58" s="153" cm="1">
        <f t="array" aca="1" ref="BD58" ca="1">IF($G58=0,"",INDEX(auto_DataFlat_DataValue,$H58+BD$18))</f>
        <v>4.5</v>
      </c>
      <c r="BE58" s="153" cm="1">
        <f t="array" aca="1" ref="BE58" ca="1">IF($G58=0,"",INDEX(auto_DataFlat_DataValue,$H58+BE$18))</f>
        <v>4.5</v>
      </c>
      <c r="BF58" s="153" cm="1">
        <f t="array" aca="1" ref="BF58" ca="1">IF($G58=0,"",INDEX(auto_DataFlat_DataValue,$H58+BF$18))</f>
        <v>8.1</v>
      </c>
      <c r="BG58" s="153" cm="1">
        <f t="array" aca="1" ref="BG58" ca="1">IF($G58=0,"",INDEX(auto_DataFlat_DataValue,$H58+BG$18))</f>
        <v>2.2000000000000002</v>
      </c>
      <c r="BH58" s="153" cm="1">
        <f t="array" aca="1" ref="BH58" ca="1">IF($G58=0,"",INDEX(auto_DataFlat_DataValue,$H58+BH$18))</f>
        <v>2.2000000000000002</v>
      </c>
      <c r="BI58" s="153" cm="1">
        <f t="array" aca="1" ref="BI58" ca="1">IF($G58=0,"",INDEX(auto_DataFlat_DataValue,$H58+BI$18))</f>
        <v>2.2000000000000002</v>
      </c>
    </row>
    <row r="59" spans="1:61" ht="17.05" customHeight="1" x14ac:dyDescent="0.4">
      <c r="A59" t="str">
        <f t="shared" si="3"/>
        <v/>
      </c>
      <c r="B59" s="42" t="str">
        <f t="shared" ca="1" si="1"/>
        <v/>
      </c>
      <c r="C59" s="100">
        <v>40</v>
      </c>
      <c r="D59" s="49" cm="1">
        <f t="array" aca="1" ref="D59" ca="1">INDEX(OFFSET(auto_ss_data_table,0,1,500,1),C59)</f>
        <v>40</v>
      </c>
      <c r="E59" s="101" cm="1">
        <f t="array" aca="1" ref="E59" ca="1">INDEX(auto_tblSeries,$D59,E$18)</f>
        <v>3</v>
      </c>
      <c r="F59" s="101" t="str" cm="1">
        <f t="array" aca="1" ref="F59" ca="1">INDEX(auto_tblSeries,$D59,F$18)</f>
        <v>#,##0</v>
      </c>
      <c r="G59" s="101" cm="1">
        <f t="array" aca="1" ref="G59" ca="1">INDEX(auto_tblSeries,$D59,G$18)</f>
        <v>1</v>
      </c>
      <c r="H59" s="101" cm="1">
        <f t="array" aca="1" ref="H59" ca="1">INDEX(sys_DataFlat_LU_Grid,$D59,1)-1</f>
        <v>2340</v>
      </c>
      <c r="I59" s="26"/>
      <c r="J59" s="151" t="str" cm="1">
        <f t="array" aca="1" ref="J59" ca="1">INDEX(auto_Series_NameNumbered,$D59)</f>
        <v>3.6b) Diabetes: city-level data availability</v>
      </c>
      <c r="K59" s="152" t="str" cm="1">
        <f t="array" aca="1" ref="K59" ca="1">IF($G59=0,"",INDEX(auto_tblSeries,$D59,K$18))</f>
        <v>Rating 0-1</v>
      </c>
      <c r="L59" s="154" cm="1">
        <f t="array" aca="1" ref="L59" ca="1">IF($G59=0,"",INDEX(auto_DataFlat_DataValue,$H59+L$18))</f>
        <v>0</v>
      </c>
      <c r="M59" s="154" cm="1">
        <f t="array" aca="1" ref="M59" ca="1">IF($G59=0,"",INDEX(auto_DataFlat_DataValue,$H59+M$18))</f>
        <v>0</v>
      </c>
      <c r="N59" s="154" cm="1">
        <f t="array" aca="1" ref="N59" ca="1">IF($G59=0,"",INDEX(auto_DataFlat_DataValue,$H59+N$18))</f>
        <v>1</v>
      </c>
      <c r="O59" s="154" cm="1">
        <f t="array" aca="1" ref="O59" ca="1">IF($G59=0,"",INDEX(auto_DataFlat_DataValue,$H59+O$18))</f>
        <v>1</v>
      </c>
      <c r="P59" s="154" cm="1">
        <f t="array" aca="1" ref="P59" ca="1">IF($G59=0,"",INDEX(auto_DataFlat_DataValue,$H59+P$18))</f>
        <v>1</v>
      </c>
      <c r="Q59" s="154" cm="1">
        <f t="array" aca="1" ref="Q59" ca="1">IF($G59=0,"",INDEX(auto_DataFlat_DataValue,$H59+Q$18))</f>
        <v>1</v>
      </c>
      <c r="R59" s="154" cm="1">
        <f t="array" aca="1" ref="R59" ca="1">IF($G59=0,"",INDEX(auto_DataFlat_DataValue,$H59+R$18))</f>
        <v>1</v>
      </c>
      <c r="S59" s="154" cm="1">
        <f t="array" aca="1" ref="S59" ca="1">IF($G59=0,"",INDEX(auto_DataFlat_DataValue,$H59+S$18))</f>
        <v>1</v>
      </c>
      <c r="T59" s="154" cm="1">
        <f t="array" aca="1" ref="T59" ca="1">IF($G59=0,"",INDEX(auto_DataFlat_DataValue,$H59+T$18))</f>
        <v>1</v>
      </c>
      <c r="U59" s="154" cm="1">
        <f t="array" aca="1" ref="U59" ca="1">IF($G59=0,"",INDEX(auto_DataFlat_DataValue,$H59+U$18))</f>
        <v>0</v>
      </c>
      <c r="V59" s="154" cm="1">
        <f t="array" aca="1" ref="V59" ca="1">IF($G59=0,"",INDEX(auto_DataFlat_DataValue,$H59+V$18))</f>
        <v>0</v>
      </c>
      <c r="W59" s="154" cm="1">
        <f t="array" aca="1" ref="W59" ca="1">IF($G59=0,"",INDEX(auto_DataFlat_DataValue,$H59+W$18))</f>
        <v>1</v>
      </c>
      <c r="X59" s="154" cm="1">
        <f t="array" aca="1" ref="X59" ca="1">IF($G59=0,"",INDEX(auto_DataFlat_DataValue,$H59+X$18))</f>
        <v>0</v>
      </c>
      <c r="Y59" s="154" cm="1">
        <f t="array" aca="1" ref="Y59" ca="1">IF($G59=0,"",INDEX(auto_DataFlat_DataValue,$H59+Y$18))</f>
        <v>1</v>
      </c>
      <c r="Z59" s="154" cm="1">
        <f t="array" aca="1" ref="Z59" ca="1">IF($G59=0,"",INDEX(auto_DataFlat_DataValue,$H59+Z$18))</f>
        <v>1</v>
      </c>
      <c r="AA59" s="154" cm="1">
        <f t="array" aca="1" ref="AA59" ca="1">IF($G59=0,"",INDEX(auto_DataFlat_DataValue,$H59+AA$18))</f>
        <v>1</v>
      </c>
      <c r="AB59" s="154" cm="1">
        <f t="array" aca="1" ref="AB59" ca="1">IF($G59=0,"",INDEX(auto_DataFlat_DataValue,$H59+AB$18))</f>
        <v>1</v>
      </c>
      <c r="AC59" s="154" cm="1">
        <f t="array" aca="1" ref="AC59" ca="1">IF($G59=0,"",INDEX(auto_DataFlat_DataValue,$H59+AC$18))</f>
        <v>0</v>
      </c>
      <c r="AD59" s="154" cm="1">
        <f t="array" aca="1" ref="AD59" ca="1">IF($G59=0,"",INDEX(auto_DataFlat_DataValue,$H59+AD$18))</f>
        <v>1</v>
      </c>
      <c r="AE59" s="154" cm="1">
        <f t="array" aca="1" ref="AE59" ca="1">IF($G59=0,"",INDEX(auto_DataFlat_DataValue,$H59+AE$18))</f>
        <v>1</v>
      </c>
      <c r="AF59" s="154" cm="1">
        <f t="array" aca="1" ref="AF59" ca="1">IF($G59=0,"",INDEX(auto_DataFlat_DataValue,$H59+AF$18))</f>
        <v>0</v>
      </c>
      <c r="AG59" s="154" cm="1">
        <f t="array" aca="1" ref="AG59" ca="1">IF($G59=0,"",INDEX(auto_DataFlat_DataValue,$H59+AG$18))</f>
        <v>0</v>
      </c>
      <c r="AH59" s="154" cm="1">
        <f t="array" aca="1" ref="AH59" ca="1">IF($G59=0,"",INDEX(auto_DataFlat_DataValue,$H59+AH$18))</f>
        <v>0</v>
      </c>
      <c r="AI59" s="154" cm="1">
        <f t="array" aca="1" ref="AI59" ca="1">IF($G59=0,"",INDEX(auto_DataFlat_DataValue,$H59+AI$18))</f>
        <v>0</v>
      </c>
      <c r="AJ59" s="154" cm="1">
        <f t="array" aca="1" ref="AJ59" ca="1">IF($G59=0,"",INDEX(auto_DataFlat_DataValue,$H59+AJ$18))</f>
        <v>0</v>
      </c>
      <c r="AK59" s="154" cm="1">
        <f t="array" aca="1" ref="AK59" ca="1">IF($G59=0,"",INDEX(auto_DataFlat_DataValue,$H59+AK$18))</f>
        <v>1</v>
      </c>
      <c r="AL59" s="154" cm="1">
        <f t="array" aca="1" ref="AL59" ca="1">IF($G59=0,"",INDEX(auto_DataFlat_DataValue,$H59+AL$18))</f>
        <v>1</v>
      </c>
      <c r="AM59" s="154" cm="1">
        <f t="array" aca="1" ref="AM59" ca="1">IF($G59=0,"",INDEX(auto_DataFlat_DataValue,$H59+AM$18))</f>
        <v>0</v>
      </c>
      <c r="AN59" s="154" cm="1">
        <f t="array" aca="1" ref="AN59" ca="1">IF($G59=0,"",INDEX(auto_DataFlat_DataValue,$H59+AN$18))</f>
        <v>1</v>
      </c>
      <c r="AO59" s="154" cm="1">
        <f t="array" aca="1" ref="AO59" ca="1">IF($G59=0,"",INDEX(auto_DataFlat_DataValue,$H59+AO$18))</f>
        <v>1</v>
      </c>
      <c r="AP59" s="154" cm="1">
        <f t="array" aca="1" ref="AP59" ca="1">IF($G59=0,"",INDEX(auto_DataFlat_DataValue,$H59+AP$18))</f>
        <v>1</v>
      </c>
      <c r="AQ59" s="154" cm="1">
        <f t="array" aca="1" ref="AQ59" ca="1">IF($G59=0,"",INDEX(auto_DataFlat_DataValue,$H59+AQ$18))</f>
        <v>0</v>
      </c>
      <c r="AR59" s="154" cm="1">
        <f t="array" aca="1" ref="AR59" ca="1">IF($G59=0,"",INDEX(auto_DataFlat_DataValue,$H59+AR$18))</f>
        <v>0</v>
      </c>
      <c r="AS59" s="154" cm="1">
        <f t="array" aca="1" ref="AS59" ca="1">IF($G59=0,"",INDEX(auto_DataFlat_DataValue,$H59+AS$18))</f>
        <v>1</v>
      </c>
      <c r="AT59" s="154" cm="1">
        <f t="array" aca="1" ref="AT59" ca="1">IF($G59=0,"",INDEX(auto_DataFlat_DataValue,$H59+AT$18))</f>
        <v>1</v>
      </c>
      <c r="AU59" s="154" cm="1">
        <f t="array" aca="1" ref="AU59" ca="1">IF($G59=0,"",INDEX(auto_DataFlat_DataValue,$H59+AU$18))</f>
        <v>0</v>
      </c>
      <c r="AV59" s="154" cm="1">
        <f t="array" aca="1" ref="AV59" ca="1">IF($G59=0,"",INDEX(auto_DataFlat_DataValue,$H59+AV$18))</f>
        <v>1</v>
      </c>
      <c r="AW59" s="154" cm="1">
        <f t="array" aca="1" ref="AW59" ca="1">IF($G59=0,"",INDEX(auto_DataFlat_DataValue,$H59+AW$18))</f>
        <v>0</v>
      </c>
      <c r="AX59" s="154" cm="1">
        <f t="array" aca="1" ref="AX59" ca="1">IF($G59=0,"",INDEX(auto_DataFlat_DataValue,$H59+AX$18))</f>
        <v>0</v>
      </c>
      <c r="AY59" s="154" cm="1">
        <f t="array" aca="1" ref="AY59" ca="1">IF($G59=0,"",INDEX(auto_DataFlat_DataValue,$H59+AY$18))</f>
        <v>1</v>
      </c>
      <c r="AZ59" s="154" cm="1">
        <f t="array" aca="1" ref="AZ59" ca="1">IF($G59=0,"",INDEX(auto_DataFlat_DataValue,$H59+AZ$18))</f>
        <v>0</v>
      </c>
      <c r="BA59" s="154" cm="1">
        <f t="array" aca="1" ref="BA59" ca="1">IF($G59=0,"",INDEX(auto_DataFlat_DataValue,$H59+BA$18))</f>
        <v>1</v>
      </c>
      <c r="BB59" s="154" cm="1">
        <f t="array" aca="1" ref="BB59" ca="1">IF($G59=0,"",INDEX(auto_DataFlat_DataValue,$H59+BB$18))</f>
        <v>1</v>
      </c>
      <c r="BC59" s="154" cm="1">
        <f t="array" aca="1" ref="BC59" ca="1">IF($G59=0,"",INDEX(auto_DataFlat_DataValue,$H59+BC$18))</f>
        <v>1</v>
      </c>
      <c r="BD59" s="154" cm="1">
        <f t="array" aca="1" ref="BD59" ca="1">IF($G59=0,"",INDEX(auto_DataFlat_DataValue,$H59+BD$18))</f>
        <v>1</v>
      </c>
      <c r="BE59" s="154" cm="1">
        <f t="array" aca="1" ref="BE59" ca="1">IF($G59=0,"",INDEX(auto_DataFlat_DataValue,$H59+BE$18))</f>
        <v>1</v>
      </c>
      <c r="BF59" s="154" cm="1">
        <f t="array" aca="1" ref="BF59" ca="1">IF($G59=0,"",INDEX(auto_DataFlat_DataValue,$H59+BF$18))</f>
        <v>1</v>
      </c>
      <c r="BG59" s="154" cm="1">
        <f t="array" aca="1" ref="BG59" ca="1">IF($G59=0,"",INDEX(auto_DataFlat_DataValue,$H59+BG$18))</f>
        <v>1</v>
      </c>
      <c r="BH59" s="154" cm="1">
        <f t="array" aca="1" ref="BH59" ca="1">IF($G59=0,"",INDEX(auto_DataFlat_DataValue,$H59+BH$18))</f>
        <v>1</v>
      </c>
      <c r="BI59" s="154" cm="1">
        <f t="array" aca="1" ref="BI59" ca="1">IF($G59=0,"",INDEX(auto_DataFlat_DataValue,$H59+BI$18))</f>
        <v>1</v>
      </c>
    </row>
    <row r="60" spans="1:61" ht="17.05" customHeight="1" x14ac:dyDescent="0.4">
      <c r="A60" t="str">
        <f t="shared" si="3"/>
        <v/>
      </c>
      <c r="B60" s="42" t="str">
        <f t="shared" ca="1" si="1"/>
        <v>V</v>
      </c>
      <c r="C60" s="100">
        <v>41</v>
      </c>
      <c r="D60" s="49" cm="1">
        <f t="array" aca="1" ref="D60" ca="1">INDEX(OFFSET(auto_ss_data_table,0,1,500,1),C60)</f>
        <v>41</v>
      </c>
      <c r="E60" s="101" cm="1">
        <f t="array" aca="1" ref="E60" ca="1">INDEX(auto_tblSeries,$D60,E$18)</f>
        <v>2</v>
      </c>
      <c r="F60" s="101" t="str" cm="1">
        <f t="array" aca="1" ref="F60" ca="1">INDEX(auto_tblSeries,$D60,F$18)</f>
        <v>#,0.0</v>
      </c>
      <c r="G60" s="101" cm="1">
        <f t="array" aca="1" ref="G60" ca="1">INDEX(auto_tblSeries,$D60,G$18)</f>
        <v>0</v>
      </c>
      <c r="H60" s="101" cm="1">
        <f t="array" aca="1" ref="H60" ca="1">INDEX(sys_DataFlat_LU_Grid,$D60,1)-1</f>
        <v>2400</v>
      </c>
      <c r="I60" s="26"/>
      <c r="J60" s="148" t="str" cm="1">
        <f t="array" aca="1" ref="J60" ca="1">INDEX(auto_Series_NameNumbered,$D60)</f>
        <v>3.7) Obesity</v>
      </c>
      <c r="K60" s="149" t="str" cm="1">
        <f t="array" aca="1" ref="K60" ca="1">IF($G60=0,"",INDEX(auto_tblSeries,$D60,K$18))</f>
        <v/>
      </c>
      <c r="L60" s="150" t="str" cm="1">
        <f t="array" aca="1" ref="L60" ca="1">IF($G60=0,"",INDEX(auto_DataFlat_DataValue,$H60+L$18))</f>
        <v/>
      </c>
      <c r="M60" s="150" t="str" cm="1">
        <f t="array" aca="1" ref="M60" ca="1">IF($G60=0,"",INDEX(auto_DataFlat_DataValue,$H60+M$18))</f>
        <v/>
      </c>
      <c r="N60" s="150" t="str" cm="1">
        <f t="array" aca="1" ref="N60" ca="1">IF($G60=0,"",INDEX(auto_DataFlat_DataValue,$H60+N$18))</f>
        <v/>
      </c>
      <c r="O60" s="150" t="str" cm="1">
        <f t="array" aca="1" ref="O60" ca="1">IF($G60=0,"",INDEX(auto_DataFlat_DataValue,$H60+O$18))</f>
        <v/>
      </c>
      <c r="P60" s="150" t="str" cm="1">
        <f t="array" aca="1" ref="P60" ca="1">IF($G60=0,"",INDEX(auto_DataFlat_DataValue,$H60+P$18))</f>
        <v/>
      </c>
      <c r="Q60" s="150" t="str" cm="1">
        <f t="array" aca="1" ref="Q60" ca="1">IF($G60=0,"",INDEX(auto_DataFlat_DataValue,$H60+Q$18))</f>
        <v/>
      </c>
      <c r="R60" s="150" t="str" cm="1">
        <f t="array" aca="1" ref="R60" ca="1">IF($G60=0,"",INDEX(auto_DataFlat_DataValue,$H60+R$18))</f>
        <v/>
      </c>
      <c r="S60" s="150" t="str" cm="1">
        <f t="array" aca="1" ref="S60" ca="1">IF($G60=0,"",INDEX(auto_DataFlat_DataValue,$H60+S$18))</f>
        <v/>
      </c>
      <c r="T60" s="150" t="str" cm="1">
        <f t="array" aca="1" ref="T60" ca="1">IF($G60=0,"",INDEX(auto_DataFlat_DataValue,$H60+T$18))</f>
        <v/>
      </c>
      <c r="U60" s="150" t="str" cm="1">
        <f t="array" aca="1" ref="U60" ca="1">IF($G60=0,"",INDEX(auto_DataFlat_DataValue,$H60+U$18))</f>
        <v/>
      </c>
      <c r="V60" s="150" t="str" cm="1">
        <f t="array" aca="1" ref="V60" ca="1">IF($G60=0,"",INDEX(auto_DataFlat_DataValue,$H60+V$18))</f>
        <v/>
      </c>
      <c r="W60" s="150" t="str" cm="1">
        <f t="array" aca="1" ref="W60" ca="1">IF($G60=0,"",INDEX(auto_DataFlat_DataValue,$H60+W$18))</f>
        <v/>
      </c>
      <c r="X60" s="150" t="str" cm="1">
        <f t="array" aca="1" ref="X60" ca="1">IF($G60=0,"",INDEX(auto_DataFlat_DataValue,$H60+X$18))</f>
        <v/>
      </c>
      <c r="Y60" s="150" t="str" cm="1">
        <f t="array" aca="1" ref="Y60" ca="1">IF($G60=0,"",INDEX(auto_DataFlat_DataValue,$H60+Y$18))</f>
        <v/>
      </c>
      <c r="Z60" s="150" t="str" cm="1">
        <f t="array" aca="1" ref="Z60" ca="1">IF($G60=0,"",INDEX(auto_DataFlat_DataValue,$H60+Z$18))</f>
        <v/>
      </c>
      <c r="AA60" s="150" t="str" cm="1">
        <f t="array" aca="1" ref="AA60" ca="1">IF($G60=0,"",INDEX(auto_DataFlat_DataValue,$H60+AA$18))</f>
        <v/>
      </c>
      <c r="AB60" s="150" t="str" cm="1">
        <f t="array" aca="1" ref="AB60" ca="1">IF($G60=0,"",INDEX(auto_DataFlat_DataValue,$H60+AB$18))</f>
        <v/>
      </c>
      <c r="AC60" s="150" t="str" cm="1">
        <f t="array" aca="1" ref="AC60" ca="1">IF($G60=0,"",INDEX(auto_DataFlat_DataValue,$H60+AC$18))</f>
        <v/>
      </c>
      <c r="AD60" s="150" t="str" cm="1">
        <f t="array" aca="1" ref="AD60" ca="1">IF($G60=0,"",INDEX(auto_DataFlat_DataValue,$H60+AD$18))</f>
        <v/>
      </c>
      <c r="AE60" s="150" t="str" cm="1">
        <f t="array" aca="1" ref="AE60" ca="1">IF($G60=0,"",INDEX(auto_DataFlat_DataValue,$H60+AE$18))</f>
        <v/>
      </c>
      <c r="AF60" s="150" t="str" cm="1">
        <f t="array" aca="1" ref="AF60" ca="1">IF($G60=0,"",INDEX(auto_DataFlat_DataValue,$H60+AF$18))</f>
        <v/>
      </c>
      <c r="AG60" s="150" t="str" cm="1">
        <f t="array" aca="1" ref="AG60" ca="1">IF($G60=0,"",INDEX(auto_DataFlat_DataValue,$H60+AG$18))</f>
        <v/>
      </c>
      <c r="AH60" s="150" t="str" cm="1">
        <f t="array" aca="1" ref="AH60" ca="1">IF($G60=0,"",INDEX(auto_DataFlat_DataValue,$H60+AH$18))</f>
        <v/>
      </c>
      <c r="AI60" s="150" t="str" cm="1">
        <f t="array" aca="1" ref="AI60" ca="1">IF($G60=0,"",INDEX(auto_DataFlat_DataValue,$H60+AI$18))</f>
        <v/>
      </c>
      <c r="AJ60" s="150" t="str" cm="1">
        <f t="array" aca="1" ref="AJ60" ca="1">IF($G60=0,"",INDEX(auto_DataFlat_DataValue,$H60+AJ$18))</f>
        <v/>
      </c>
      <c r="AK60" s="150" t="str" cm="1">
        <f t="array" aca="1" ref="AK60" ca="1">IF($G60=0,"",INDEX(auto_DataFlat_DataValue,$H60+AK$18))</f>
        <v/>
      </c>
      <c r="AL60" s="150" t="str" cm="1">
        <f t="array" aca="1" ref="AL60" ca="1">IF($G60=0,"",INDEX(auto_DataFlat_DataValue,$H60+AL$18))</f>
        <v/>
      </c>
      <c r="AM60" s="150" t="str" cm="1">
        <f t="array" aca="1" ref="AM60" ca="1">IF($G60=0,"",INDEX(auto_DataFlat_DataValue,$H60+AM$18))</f>
        <v/>
      </c>
      <c r="AN60" s="150" t="str" cm="1">
        <f t="array" aca="1" ref="AN60" ca="1">IF($G60=0,"",INDEX(auto_DataFlat_DataValue,$H60+AN$18))</f>
        <v/>
      </c>
      <c r="AO60" s="150" t="str" cm="1">
        <f t="array" aca="1" ref="AO60" ca="1">IF($G60=0,"",INDEX(auto_DataFlat_DataValue,$H60+AO$18))</f>
        <v/>
      </c>
      <c r="AP60" s="150" t="str" cm="1">
        <f t="array" aca="1" ref="AP60" ca="1">IF($G60=0,"",INDEX(auto_DataFlat_DataValue,$H60+AP$18))</f>
        <v/>
      </c>
      <c r="AQ60" s="150" t="str" cm="1">
        <f t="array" aca="1" ref="AQ60" ca="1">IF($G60=0,"",INDEX(auto_DataFlat_DataValue,$H60+AQ$18))</f>
        <v/>
      </c>
      <c r="AR60" s="150" t="str" cm="1">
        <f t="array" aca="1" ref="AR60" ca="1">IF($G60=0,"",INDEX(auto_DataFlat_DataValue,$H60+AR$18))</f>
        <v/>
      </c>
      <c r="AS60" s="150" t="str" cm="1">
        <f t="array" aca="1" ref="AS60" ca="1">IF($G60=0,"",INDEX(auto_DataFlat_DataValue,$H60+AS$18))</f>
        <v/>
      </c>
      <c r="AT60" s="150" t="str" cm="1">
        <f t="array" aca="1" ref="AT60" ca="1">IF($G60=0,"",INDEX(auto_DataFlat_DataValue,$H60+AT$18))</f>
        <v/>
      </c>
      <c r="AU60" s="150" t="str" cm="1">
        <f t="array" aca="1" ref="AU60" ca="1">IF($G60=0,"",INDEX(auto_DataFlat_DataValue,$H60+AU$18))</f>
        <v/>
      </c>
      <c r="AV60" s="150" t="str" cm="1">
        <f t="array" aca="1" ref="AV60" ca="1">IF($G60=0,"",INDEX(auto_DataFlat_DataValue,$H60+AV$18))</f>
        <v/>
      </c>
      <c r="AW60" s="150" t="str" cm="1">
        <f t="array" aca="1" ref="AW60" ca="1">IF($G60=0,"",INDEX(auto_DataFlat_DataValue,$H60+AW$18))</f>
        <v/>
      </c>
      <c r="AX60" s="150" t="str" cm="1">
        <f t="array" aca="1" ref="AX60" ca="1">IF($G60=0,"",INDEX(auto_DataFlat_DataValue,$H60+AX$18))</f>
        <v/>
      </c>
      <c r="AY60" s="150" t="str" cm="1">
        <f t="array" aca="1" ref="AY60" ca="1">IF($G60=0,"",INDEX(auto_DataFlat_DataValue,$H60+AY$18))</f>
        <v/>
      </c>
      <c r="AZ60" s="150" t="str" cm="1">
        <f t="array" aca="1" ref="AZ60" ca="1">IF($G60=0,"",INDEX(auto_DataFlat_DataValue,$H60+AZ$18))</f>
        <v/>
      </c>
      <c r="BA60" s="150" t="str" cm="1">
        <f t="array" aca="1" ref="BA60" ca="1">IF($G60=0,"",INDEX(auto_DataFlat_DataValue,$H60+BA$18))</f>
        <v/>
      </c>
      <c r="BB60" s="150" t="str" cm="1">
        <f t="array" aca="1" ref="BB60" ca="1">IF($G60=0,"",INDEX(auto_DataFlat_DataValue,$H60+BB$18))</f>
        <v/>
      </c>
      <c r="BC60" s="150" t="str" cm="1">
        <f t="array" aca="1" ref="BC60" ca="1">IF($G60=0,"",INDEX(auto_DataFlat_DataValue,$H60+BC$18))</f>
        <v/>
      </c>
      <c r="BD60" s="150" t="str" cm="1">
        <f t="array" aca="1" ref="BD60" ca="1">IF($G60=0,"",INDEX(auto_DataFlat_DataValue,$H60+BD$18))</f>
        <v/>
      </c>
      <c r="BE60" s="150" t="str" cm="1">
        <f t="array" aca="1" ref="BE60" ca="1">IF($G60=0,"",INDEX(auto_DataFlat_DataValue,$H60+BE$18))</f>
        <v/>
      </c>
      <c r="BF60" s="150" t="str" cm="1">
        <f t="array" aca="1" ref="BF60" ca="1">IF($G60=0,"",INDEX(auto_DataFlat_DataValue,$H60+BF$18))</f>
        <v/>
      </c>
      <c r="BG60" s="150" t="str" cm="1">
        <f t="array" aca="1" ref="BG60" ca="1">IF($G60=0,"",INDEX(auto_DataFlat_DataValue,$H60+BG$18))</f>
        <v/>
      </c>
      <c r="BH60" s="150" t="str" cm="1">
        <f t="array" aca="1" ref="BH60" ca="1">IF($G60=0,"",INDEX(auto_DataFlat_DataValue,$H60+BH$18))</f>
        <v/>
      </c>
      <c r="BI60" s="150" t="str" cm="1">
        <f t="array" aca="1" ref="BI60" ca="1">IF($G60=0,"",INDEX(auto_DataFlat_DataValue,$H60+BI$18))</f>
        <v/>
      </c>
    </row>
    <row r="61" spans="1:61" ht="17.05" customHeight="1" x14ac:dyDescent="0.4">
      <c r="A61" t="str">
        <f t="shared" si="3"/>
        <v/>
      </c>
      <c r="B61" s="42" t="str">
        <f t="shared" ca="1" si="1"/>
        <v/>
      </c>
      <c r="C61" s="100">
        <v>42</v>
      </c>
      <c r="D61" s="49" cm="1">
        <f t="array" aca="1" ref="D61" ca="1">INDEX(OFFSET(auto_ss_data_table,0,1,500,1),C61)</f>
        <v>42</v>
      </c>
      <c r="E61" s="101" cm="1">
        <f t="array" aca="1" ref="E61" ca="1">INDEX(auto_tblSeries,$D61,E$18)</f>
        <v>3</v>
      </c>
      <c r="F61" s="101" t="str" cm="1">
        <f t="array" aca="1" ref="F61" ca="1">INDEX(auto_tblSeries,$D61,F$18)</f>
        <v>#,0.00</v>
      </c>
      <c r="G61" s="101" cm="1">
        <f t="array" aca="1" ref="G61" ca="1">INDEX(auto_tblSeries,$D61,G$18)</f>
        <v>1</v>
      </c>
      <c r="H61" s="101" cm="1">
        <f t="array" aca="1" ref="H61" ca="1">INDEX(sys_DataFlat_LU_Grid,$D61,1)-1</f>
        <v>2460</v>
      </c>
      <c r="I61" s="26"/>
      <c r="J61" s="151" t="str" cm="1">
        <f t="array" aca="1" ref="J61" ca="1">INDEX(auto_Series_NameNumbered,$D61)</f>
        <v>3.7a) Obesity: national data</v>
      </c>
      <c r="K61" s="152" t="str" cm="1">
        <f t="array" aca="1" ref="K61" ca="1">IF($G61=0,"",INDEX(auto_tblSeries,$D61,K$18))</f>
        <v>%</v>
      </c>
      <c r="L61" s="155" cm="1">
        <f t="array" aca="1" ref="L61" ca="1">IF($G61=0,"",INDEX(auto_DataFlat_DataValue,$H61+L$18))</f>
        <v>10.87</v>
      </c>
      <c r="M61" s="155" cm="1">
        <f t="array" aca="1" ref="M61" ca="1">IF($G61=0,"",INDEX(auto_DataFlat_DataValue,$H61+M$18))</f>
        <v>57.62</v>
      </c>
      <c r="N61" s="155" cm="1">
        <f t="array" aca="1" ref="N61" ca="1">IF($G61=0,"",INDEX(auto_DataFlat_DataValue,$H61+N$18))</f>
        <v>72.430000000000007</v>
      </c>
      <c r="O61" s="155" cm="1">
        <f t="array" aca="1" ref="O61" ca="1">IF($G61=0,"",INDEX(auto_DataFlat_DataValue,$H61+O$18))</f>
        <v>67.44</v>
      </c>
      <c r="P61" s="155" cm="1">
        <f t="array" aca="1" ref="P61" ca="1">IF($G61=0,"",INDEX(auto_DataFlat_DataValue,$H61+P$18))</f>
        <v>45.68</v>
      </c>
      <c r="Q61" s="155" cm="1">
        <f t="array" aca="1" ref="Q61" ca="1">IF($G61=0,"",INDEX(auto_DataFlat_DataValue,$H61+Q$18))</f>
        <v>37.46</v>
      </c>
      <c r="R61" s="155" cm="1">
        <f t="array" aca="1" ref="R61" ca="1">IF($G61=0,"",INDEX(auto_DataFlat_DataValue,$H61+R$18))</f>
        <v>53.82</v>
      </c>
      <c r="S61" s="155" cm="1">
        <f t="array" aca="1" ref="S61" ca="1">IF($G61=0,"",INDEX(auto_DataFlat_DataValue,$H61+S$18))</f>
        <v>59.72</v>
      </c>
      <c r="T61" s="155" cm="1">
        <f t="array" aca="1" ref="T61" ca="1">IF($G61=0,"",INDEX(auto_DataFlat_DataValue,$H61+T$18))</f>
        <v>62.17</v>
      </c>
      <c r="U61" s="155" cm="1">
        <f t="array" aca="1" ref="U61" ca="1">IF($G61=0,"",INDEX(auto_DataFlat_DataValue,$H61+U$18))</f>
        <v>73.349999999999994</v>
      </c>
      <c r="V61" s="155" cm="1">
        <f t="array" aca="1" ref="V61" ca="1">IF($G61=0,"",INDEX(auto_DataFlat_DataValue,$H61+V$18))</f>
        <v>38.78</v>
      </c>
      <c r="W61" s="155" cm="1">
        <f t="array" aca="1" ref="W61" ca="1">IF($G61=0,"",INDEX(auto_DataFlat_DataValue,$H61+W$18))</f>
        <v>29.48</v>
      </c>
      <c r="X61" s="155" cm="1">
        <f t="array" aca="1" ref="X61" ca="1">IF($G61=0,"",INDEX(auto_DataFlat_DataValue,$H61+X$18))</f>
        <v>27.02</v>
      </c>
      <c r="Y61" s="155" cm="1">
        <f t="array" aca="1" ref="Y61" ca="1">IF($G61=0,"",INDEX(auto_DataFlat_DataValue,$H61+Y$18))</f>
        <v>71.33</v>
      </c>
      <c r="Z61" s="155" cm="1">
        <f t="array" aca="1" ref="Z61" ca="1">IF($G61=0,"",INDEX(auto_DataFlat_DataValue,$H61+Z$18))</f>
        <v>55.28</v>
      </c>
      <c r="AA61" s="155" cm="1">
        <f t="array" aca="1" ref="AA61" ca="1">IF($G61=0,"",INDEX(auto_DataFlat_DataValue,$H61+AA$18))</f>
        <v>18.21</v>
      </c>
      <c r="AB61" s="155" cm="1">
        <f t="array" aca="1" ref="AB61" ca="1">IF($G61=0,"",INDEX(auto_DataFlat_DataValue,$H61+AB$18))</f>
        <v>56.5</v>
      </c>
      <c r="AC61" s="155" cm="1">
        <f t="array" aca="1" ref="AC61" ca="1">IF($G61=0,"",INDEX(auto_DataFlat_DataValue,$H61+AC$18))</f>
        <v>67.569999999999993</v>
      </c>
      <c r="AD61" s="155" cm="1">
        <f t="array" aca="1" ref="AD61" ca="1">IF($G61=0,"",INDEX(auto_DataFlat_DataValue,$H61+AD$18))</f>
        <v>38.08</v>
      </c>
      <c r="AE61" s="155" cm="1">
        <f t="array" aca="1" ref="AE61" ca="1">IF($G61=0,"",INDEX(auto_DataFlat_DataValue,$H61+AE$18))</f>
        <v>55.05</v>
      </c>
      <c r="AF61" s="155" cm="1">
        <f t="array" aca="1" ref="AF61" ca="1">IF($G61=0,"",INDEX(auto_DataFlat_DataValue,$H61+AF$18))</f>
        <v>54.82</v>
      </c>
      <c r="AG61" s="155" cm="1">
        <f t="array" aca="1" ref="AG61" ca="1">IF($G61=0,"",INDEX(auto_DataFlat_DataValue,$H61+AG$18))</f>
        <v>30.9</v>
      </c>
      <c r="AH61" s="155" cm="1">
        <f t="array" aca="1" ref="AH61" ca="1">IF($G61=0,"",INDEX(auto_DataFlat_DataValue,$H61+AH$18))</f>
        <v>29.48</v>
      </c>
      <c r="AI61" s="155" cm="1">
        <f t="array" aca="1" ref="AI61" ca="1">IF($G61=0,"",INDEX(auto_DataFlat_DataValue,$H61+AI$18))</f>
        <v>77.75</v>
      </c>
      <c r="AJ61" s="155" cm="1">
        <f t="array" aca="1" ref="AJ61" ca="1">IF($G61=0,"",INDEX(auto_DataFlat_DataValue,$H61+AJ$18))</f>
        <v>34.270000000000003</v>
      </c>
      <c r="AK61" s="155" cm="1">
        <f t="array" aca="1" ref="AK61" ca="1">IF($G61=0,"",INDEX(auto_DataFlat_DataValue,$H61+AK$18))</f>
        <v>61.42</v>
      </c>
      <c r="AL61" s="155" cm="1">
        <f t="array" aca="1" ref="AL61" ca="1">IF($G61=0,"",INDEX(auto_DataFlat_DataValue,$H61+AL$18))</f>
        <v>49.9</v>
      </c>
      <c r="AM61" s="155" cm="1">
        <f t="array" aca="1" ref="AM61" ca="1">IF($G61=0,"",INDEX(auto_DataFlat_DataValue,$H61+AM$18))</f>
        <v>35</v>
      </c>
      <c r="AN61" s="155" cm="1">
        <f t="array" aca="1" ref="AN61" ca="1">IF($G61=0,"",INDEX(auto_DataFlat_DataValue,$H61+AN$18))</f>
        <v>63.96</v>
      </c>
      <c r="AO61" s="155" cm="1">
        <f t="array" aca="1" ref="AO61" ca="1">IF($G61=0,"",INDEX(auto_DataFlat_DataValue,$H61+AO$18))</f>
        <v>73.38</v>
      </c>
      <c r="AP61" s="155" cm="1">
        <f t="array" aca="1" ref="AP61" ca="1">IF($G61=0,"",INDEX(auto_DataFlat_DataValue,$H61+AP$18))</f>
        <v>58.76</v>
      </c>
      <c r="AQ61" s="155" cm="1">
        <f t="array" aca="1" ref="AQ61" ca="1">IF($G61=0,"",INDEX(auto_DataFlat_DataValue,$H61+AQ$18))</f>
        <v>29.48</v>
      </c>
      <c r="AR61" s="155" cm="1">
        <f t="array" aca="1" ref="AR61" ca="1">IF($G61=0,"",INDEX(auto_DataFlat_DataValue,$H61+AR$18))</f>
        <v>33.71</v>
      </c>
      <c r="AS61" s="155" cm="1">
        <f t="array" aca="1" ref="AS61" ca="1">IF($G61=0,"",INDEX(auto_DataFlat_DataValue,$H61+AS$18))</f>
        <v>72.430000000000007</v>
      </c>
      <c r="AT61" s="155" cm="1">
        <f t="array" aca="1" ref="AT61" ca="1">IF($G61=0,"",INDEX(auto_DataFlat_DataValue,$H61+AT$18))</f>
        <v>24.04</v>
      </c>
      <c r="AU61" s="155" cm="1">
        <f t="array" aca="1" ref="AU61" ca="1">IF($G61=0,"",INDEX(auto_DataFlat_DataValue,$H61+AU$18))</f>
        <v>34.29</v>
      </c>
      <c r="AV61" s="155" cm="1">
        <f t="array" aca="1" ref="AV61" ca="1">IF($G61=0,"",INDEX(auto_DataFlat_DataValue,$H61+AV$18))</f>
        <v>25.14</v>
      </c>
      <c r="AW61" s="155" cm="1">
        <f t="array" aca="1" ref="AW61" ca="1">IF($G61=0,"",INDEX(auto_DataFlat_DataValue,$H61+AW$18))</f>
        <v>71.84</v>
      </c>
      <c r="AX61" s="155" cm="1">
        <f t="array" aca="1" ref="AX61" ca="1">IF($G61=0,"",INDEX(auto_DataFlat_DataValue,$H61+AX$18))</f>
        <v>49.15</v>
      </c>
      <c r="AY61" s="155" cm="1">
        <f t="array" aca="1" ref="AY61" ca="1">IF($G61=0,"",INDEX(auto_DataFlat_DataValue,$H61+AY$18))</f>
        <v>72.430000000000007</v>
      </c>
      <c r="AZ61" s="155" cm="1">
        <f t="array" aca="1" ref="AZ61" ca="1">IF($G61=0,"",INDEX(auto_DataFlat_DataValue,$H61+AZ$18))</f>
        <v>63</v>
      </c>
      <c r="BA61" s="155" cm="1">
        <f t="array" aca="1" ref="BA61" ca="1">IF($G61=0,"",INDEX(auto_DataFlat_DataValue,$H61+BA$18))</f>
        <v>35.89</v>
      </c>
      <c r="BB61" s="155" cm="1">
        <f t="array" aca="1" ref="BB61" ca="1">IF($G61=0,"",INDEX(auto_DataFlat_DataValue,$H61+BB$18))</f>
        <v>37.46</v>
      </c>
      <c r="BC61" s="155" cm="1">
        <f t="array" aca="1" ref="BC61" ca="1">IF($G61=0,"",INDEX(auto_DataFlat_DataValue,$H61+BC$18))</f>
        <v>40.729999999999997</v>
      </c>
      <c r="BD61" s="155" cm="1">
        <f t="array" aca="1" ref="BD61" ca="1">IF($G61=0,"",INDEX(auto_DataFlat_DataValue,$H61+BD$18))</f>
        <v>63.96</v>
      </c>
      <c r="BE61" s="155" cm="1">
        <f t="array" aca="1" ref="BE61" ca="1">IF($G61=0,"",INDEX(auto_DataFlat_DataValue,$H61+BE$18))</f>
        <v>24.04</v>
      </c>
      <c r="BF61" s="155" cm="1">
        <f t="array" aca="1" ref="BF61" ca="1">IF($G61=0,"",INDEX(auto_DataFlat_DataValue,$H61+BF$18))</f>
        <v>59.15</v>
      </c>
      <c r="BG61" s="155" cm="1">
        <f t="array" aca="1" ref="BG61" ca="1">IF($G61=0,"",INDEX(auto_DataFlat_DataValue,$H61+BG$18))</f>
        <v>44.99</v>
      </c>
      <c r="BH61" s="155" cm="1">
        <f t="array" aca="1" ref="BH61" ca="1">IF($G61=0,"",INDEX(auto_DataFlat_DataValue,$H61+BH$18))</f>
        <v>37.46</v>
      </c>
      <c r="BI61" s="155" cm="1">
        <f t="array" aca="1" ref="BI61" ca="1">IF($G61=0,"",INDEX(auto_DataFlat_DataValue,$H61+BI$18))</f>
        <v>27.04</v>
      </c>
    </row>
    <row r="62" spans="1:61" ht="17.05" customHeight="1" x14ac:dyDescent="0.4">
      <c r="A62" t="str">
        <f t="shared" si="3"/>
        <v/>
      </c>
      <c r="B62" s="42" t="str">
        <f t="shared" ca="1" si="1"/>
        <v/>
      </c>
      <c r="C62" s="100">
        <v>43</v>
      </c>
      <c r="D62" s="49" cm="1">
        <f t="array" aca="1" ref="D62" ca="1">INDEX(OFFSET(auto_ss_data_table,0,1,500,1),C62)</f>
        <v>43</v>
      </c>
      <c r="E62" s="101" cm="1">
        <f t="array" aca="1" ref="E62" ca="1">INDEX(auto_tblSeries,$D62,E$18)</f>
        <v>3</v>
      </c>
      <c r="F62" s="101" t="str" cm="1">
        <f t="array" aca="1" ref="F62" ca="1">INDEX(auto_tblSeries,$D62,F$18)</f>
        <v>#,##0</v>
      </c>
      <c r="G62" s="101" cm="1">
        <f t="array" aca="1" ref="G62" ca="1">INDEX(auto_tblSeries,$D62,G$18)</f>
        <v>1</v>
      </c>
      <c r="H62" s="101" cm="1">
        <f t="array" aca="1" ref="H62" ca="1">INDEX(sys_DataFlat_LU_Grid,$D62,1)-1</f>
        <v>2520</v>
      </c>
      <c r="I62" s="26"/>
      <c r="J62" s="151" t="str" cm="1">
        <f t="array" aca="1" ref="J62" ca="1">INDEX(auto_Series_NameNumbered,$D62)</f>
        <v>3.7b) Obesity: city-level data availability</v>
      </c>
      <c r="K62" s="152" t="str" cm="1">
        <f t="array" aca="1" ref="K62" ca="1">IF($G62=0,"",INDEX(auto_tblSeries,$D62,K$18))</f>
        <v>Rating 0-1</v>
      </c>
      <c r="L62" s="154" cm="1">
        <f t="array" aca="1" ref="L62" ca="1">IF($G62=0,"",INDEX(auto_DataFlat_DataValue,$H62+L$18))</f>
        <v>1</v>
      </c>
      <c r="M62" s="154" cm="1">
        <f t="array" aca="1" ref="M62" ca="1">IF($G62=0,"",INDEX(auto_DataFlat_DataValue,$H62+M$18))</f>
        <v>0</v>
      </c>
      <c r="N62" s="154" cm="1">
        <f t="array" aca="1" ref="N62" ca="1">IF($G62=0,"",INDEX(auto_DataFlat_DataValue,$H62+N$18))</f>
        <v>1</v>
      </c>
      <c r="O62" s="154" cm="1">
        <f t="array" aca="1" ref="O62" ca="1">IF($G62=0,"",INDEX(auto_DataFlat_DataValue,$H62+O$18))</f>
        <v>1</v>
      </c>
      <c r="P62" s="154" cm="1">
        <f t="array" aca="1" ref="P62" ca="1">IF($G62=0,"",INDEX(auto_DataFlat_DataValue,$H62+P$18))</f>
        <v>1</v>
      </c>
      <c r="Q62" s="154" cm="1">
        <f t="array" aca="1" ref="Q62" ca="1">IF($G62=0,"",INDEX(auto_DataFlat_DataValue,$H62+Q$18))</f>
        <v>1</v>
      </c>
      <c r="R62" s="154" cm="1">
        <f t="array" aca="1" ref="R62" ca="1">IF($G62=0,"",INDEX(auto_DataFlat_DataValue,$H62+R$18))</f>
        <v>1</v>
      </c>
      <c r="S62" s="154" cm="1">
        <f t="array" aca="1" ref="S62" ca="1">IF($G62=0,"",INDEX(auto_DataFlat_DataValue,$H62+S$18))</f>
        <v>1</v>
      </c>
      <c r="T62" s="154" cm="1">
        <f t="array" aca="1" ref="T62" ca="1">IF($G62=0,"",INDEX(auto_DataFlat_DataValue,$H62+T$18))</f>
        <v>1</v>
      </c>
      <c r="U62" s="154" cm="1">
        <f t="array" aca="1" ref="U62" ca="1">IF($G62=0,"",INDEX(auto_DataFlat_DataValue,$H62+U$18))</f>
        <v>1</v>
      </c>
      <c r="V62" s="154" cm="1">
        <f t="array" aca="1" ref="V62" ca="1">IF($G62=0,"",INDEX(auto_DataFlat_DataValue,$H62+V$18))</f>
        <v>1</v>
      </c>
      <c r="W62" s="154" cm="1">
        <f t="array" aca="1" ref="W62" ca="1">IF($G62=0,"",INDEX(auto_DataFlat_DataValue,$H62+W$18))</f>
        <v>1</v>
      </c>
      <c r="X62" s="154" cm="1">
        <f t="array" aca="1" ref="X62" ca="1">IF($G62=0,"",INDEX(auto_DataFlat_DataValue,$H62+X$18))</f>
        <v>0</v>
      </c>
      <c r="Y62" s="154" cm="1">
        <f t="array" aca="1" ref="Y62" ca="1">IF($G62=0,"",INDEX(auto_DataFlat_DataValue,$H62+Y$18))</f>
        <v>1</v>
      </c>
      <c r="Z62" s="154" cm="1">
        <f t="array" aca="1" ref="Z62" ca="1">IF($G62=0,"",INDEX(auto_DataFlat_DataValue,$H62+Z$18))</f>
        <v>1</v>
      </c>
      <c r="AA62" s="154" cm="1">
        <f t="array" aca="1" ref="AA62" ca="1">IF($G62=0,"",INDEX(auto_DataFlat_DataValue,$H62+AA$18))</f>
        <v>1</v>
      </c>
      <c r="AB62" s="154" cm="1">
        <f t="array" aca="1" ref="AB62" ca="1">IF($G62=0,"",INDEX(auto_DataFlat_DataValue,$H62+AB$18))</f>
        <v>1</v>
      </c>
      <c r="AC62" s="154" cm="1">
        <f t="array" aca="1" ref="AC62" ca="1">IF($G62=0,"",INDEX(auto_DataFlat_DataValue,$H62+AC$18))</f>
        <v>1</v>
      </c>
      <c r="AD62" s="154" cm="1">
        <f t="array" aca="1" ref="AD62" ca="1">IF($G62=0,"",INDEX(auto_DataFlat_DataValue,$H62+AD$18))</f>
        <v>1</v>
      </c>
      <c r="AE62" s="154" cm="1">
        <f t="array" aca="1" ref="AE62" ca="1">IF($G62=0,"",INDEX(auto_DataFlat_DataValue,$H62+AE$18))</f>
        <v>0</v>
      </c>
      <c r="AF62" s="154" cm="1">
        <f t="array" aca="1" ref="AF62" ca="1">IF($G62=0,"",INDEX(auto_DataFlat_DataValue,$H62+AF$18))</f>
        <v>0</v>
      </c>
      <c r="AG62" s="154" cm="1">
        <f t="array" aca="1" ref="AG62" ca="1">IF($G62=0,"",INDEX(auto_DataFlat_DataValue,$H62+AG$18))</f>
        <v>0</v>
      </c>
      <c r="AH62" s="154" cm="1">
        <f t="array" aca="1" ref="AH62" ca="1">IF($G62=0,"",INDEX(auto_DataFlat_DataValue,$H62+AH$18))</f>
        <v>1</v>
      </c>
      <c r="AI62" s="154" cm="1">
        <f t="array" aca="1" ref="AI62" ca="1">IF($G62=0,"",INDEX(auto_DataFlat_DataValue,$H62+AI$18))</f>
        <v>1</v>
      </c>
      <c r="AJ62" s="154" cm="1">
        <f t="array" aca="1" ref="AJ62" ca="1">IF($G62=0,"",INDEX(auto_DataFlat_DataValue,$H62+AJ$18))</f>
        <v>1</v>
      </c>
      <c r="AK62" s="154" cm="1">
        <f t="array" aca="1" ref="AK62" ca="1">IF($G62=0,"",INDEX(auto_DataFlat_DataValue,$H62+AK$18))</f>
        <v>1</v>
      </c>
      <c r="AL62" s="154" cm="1">
        <f t="array" aca="1" ref="AL62" ca="1">IF($G62=0,"",INDEX(auto_DataFlat_DataValue,$H62+AL$18))</f>
        <v>1</v>
      </c>
      <c r="AM62" s="154" cm="1">
        <f t="array" aca="1" ref="AM62" ca="1">IF($G62=0,"",INDEX(auto_DataFlat_DataValue,$H62+AM$18))</f>
        <v>1</v>
      </c>
      <c r="AN62" s="154" cm="1">
        <f t="array" aca="1" ref="AN62" ca="1">IF($G62=0,"",INDEX(auto_DataFlat_DataValue,$H62+AN$18))</f>
        <v>1</v>
      </c>
      <c r="AO62" s="154" cm="1">
        <f t="array" aca="1" ref="AO62" ca="1">IF($G62=0,"",INDEX(auto_DataFlat_DataValue,$H62+AO$18))</f>
        <v>0</v>
      </c>
      <c r="AP62" s="154" cm="1">
        <f t="array" aca="1" ref="AP62" ca="1">IF($G62=0,"",INDEX(auto_DataFlat_DataValue,$H62+AP$18))</f>
        <v>1</v>
      </c>
      <c r="AQ62" s="154" cm="1">
        <f t="array" aca="1" ref="AQ62" ca="1">IF($G62=0,"",INDEX(auto_DataFlat_DataValue,$H62+AQ$18))</f>
        <v>0</v>
      </c>
      <c r="AR62" s="154" cm="1">
        <f t="array" aca="1" ref="AR62" ca="1">IF($G62=0,"",INDEX(auto_DataFlat_DataValue,$H62+AR$18))</f>
        <v>0</v>
      </c>
      <c r="AS62" s="154" cm="1">
        <f t="array" aca="1" ref="AS62" ca="1">IF($G62=0,"",INDEX(auto_DataFlat_DataValue,$H62+AS$18))</f>
        <v>1</v>
      </c>
      <c r="AT62" s="154" cm="1">
        <f t="array" aca="1" ref="AT62" ca="1">IF($G62=0,"",INDEX(auto_DataFlat_DataValue,$H62+AT$18))</f>
        <v>1</v>
      </c>
      <c r="AU62" s="154" cm="1">
        <f t="array" aca="1" ref="AU62" ca="1">IF($G62=0,"",INDEX(auto_DataFlat_DataValue,$H62+AU$18))</f>
        <v>0</v>
      </c>
      <c r="AV62" s="154" cm="1">
        <f t="array" aca="1" ref="AV62" ca="1">IF($G62=0,"",INDEX(auto_DataFlat_DataValue,$H62+AV$18))</f>
        <v>1</v>
      </c>
      <c r="AW62" s="154" cm="1">
        <f t="array" aca="1" ref="AW62" ca="1">IF($G62=0,"",INDEX(auto_DataFlat_DataValue,$H62+AW$18))</f>
        <v>0</v>
      </c>
      <c r="AX62" s="154" cm="1">
        <f t="array" aca="1" ref="AX62" ca="1">IF($G62=0,"",INDEX(auto_DataFlat_DataValue,$H62+AX$18))</f>
        <v>0</v>
      </c>
      <c r="AY62" s="154" cm="1">
        <f t="array" aca="1" ref="AY62" ca="1">IF($G62=0,"",INDEX(auto_DataFlat_DataValue,$H62+AY$18))</f>
        <v>1</v>
      </c>
      <c r="AZ62" s="154" cm="1">
        <f t="array" aca="1" ref="AZ62" ca="1">IF($G62=0,"",INDEX(auto_DataFlat_DataValue,$H62+AZ$18))</f>
        <v>1</v>
      </c>
      <c r="BA62" s="154" cm="1">
        <f t="array" aca="1" ref="BA62" ca="1">IF($G62=0,"",INDEX(auto_DataFlat_DataValue,$H62+BA$18))</f>
        <v>1</v>
      </c>
      <c r="BB62" s="154" cm="1">
        <f t="array" aca="1" ref="BB62" ca="1">IF($G62=0,"",INDEX(auto_DataFlat_DataValue,$H62+BB$18))</f>
        <v>0</v>
      </c>
      <c r="BC62" s="154" cm="1">
        <f t="array" aca="1" ref="BC62" ca="1">IF($G62=0,"",INDEX(auto_DataFlat_DataValue,$H62+BC$18))</f>
        <v>1</v>
      </c>
      <c r="BD62" s="154" cm="1">
        <f t="array" aca="1" ref="BD62" ca="1">IF($G62=0,"",INDEX(auto_DataFlat_DataValue,$H62+BD$18))</f>
        <v>1</v>
      </c>
      <c r="BE62" s="154" cm="1">
        <f t="array" aca="1" ref="BE62" ca="1">IF($G62=0,"",INDEX(auto_DataFlat_DataValue,$H62+BE$18))</f>
        <v>1</v>
      </c>
      <c r="BF62" s="154" cm="1">
        <f t="array" aca="1" ref="BF62" ca="1">IF($G62=0,"",INDEX(auto_DataFlat_DataValue,$H62+BF$18))</f>
        <v>1</v>
      </c>
      <c r="BG62" s="154" cm="1">
        <f t="array" aca="1" ref="BG62" ca="1">IF($G62=0,"",INDEX(auto_DataFlat_DataValue,$H62+BG$18))</f>
        <v>1</v>
      </c>
      <c r="BH62" s="154" cm="1">
        <f t="array" aca="1" ref="BH62" ca="1">IF($G62=0,"",INDEX(auto_DataFlat_DataValue,$H62+BH$18))</f>
        <v>1</v>
      </c>
      <c r="BI62" s="154" cm="1">
        <f t="array" aca="1" ref="BI62" ca="1">IF($G62=0,"",INDEX(auto_DataFlat_DataValue,$H62+BI$18))</f>
        <v>0</v>
      </c>
    </row>
    <row r="63" spans="1:61" ht="17.05" customHeight="1" x14ac:dyDescent="0.4">
      <c r="A63" t="str">
        <f t="shared" si="3"/>
        <v/>
      </c>
      <c r="B63" s="42" t="str">
        <f t="shared" ca="1" si="1"/>
        <v>V</v>
      </c>
      <c r="C63" s="100">
        <v>44</v>
      </c>
      <c r="D63" s="49" cm="1">
        <f t="array" aca="1" ref="D63" ca="1">INDEX(OFFSET(auto_ss_data_table,0,1,500,1),C63)</f>
        <v>44</v>
      </c>
      <c r="E63" s="101" cm="1">
        <f t="array" aca="1" ref="E63" ca="1">INDEX(auto_tblSeries,$D63,E$18)</f>
        <v>2</v>
      </c>
      <c r="F63" s="101" t="str" cm="1">
        <f t="array" aca="1" ref="F63" ca="1">INDEX(auto_tblSeries,$D63,F$18)</f>
        <v>#,0.0</v>
      </c>
      <c r="G63" s="101" cm="1">
        <f t="array" aca="1" ref="G63" ca="1">INDEX(auto_tblSeries,$D63,G$18)</f>
        <v>0</v>
      </c>
      <c r="H63" s="101" cm="1">
        <f t="array" aca="1" ref="H63" ca="1">INDEX(sys_DataFlat_LU_Grid,$D63,1)-1</f>
        <v>2580</v>
      </c>
      <c r="I63" s="26"/>
      <c r="J63" s="148" t="str" cm="1">
        <f t="array" aca="1" ref="J63" ca="1">INDEX(auto_Series_NameNumbered,$D63)</f>
        <v>3.8) Cholesterol</v>
      </c>
      <c r="K63" s="149" t="str" cm="1">
        <f t="array" aca="1" ref="K63" ca="1">IF($G63=0,"",INDEX(auto_tblSeries,$D63,K$18))</f>
        <v/>
      </c>
      <c r="L63" s="150" t="str" cm="1">
        <f t="array" aca="1" ref="L63" ca="1">IF($G63=0,"",INDEX(auto_DataFlat_DataValue,$H63+L$18))</f>
        <v/>
      </c>
      <c r="M63" s="150" t="str" cm="1">
        <f t="array" aca="1" ref="M63" ca="1">IF($G63=0,"",INDEX(auto_DataFlat_DataValue,$H63+M$18))</f>
        <v/>
      </c>
      <c r="N63" s="150" t="str" cm="1">
        <f t="array" aca="1" ref="N63" ca="1">IF($G63=0,"",INDEX(auto_DataFlat_DataValue,$H63+N$18))</f>
        <v/>
      </c>
      <c r="O63" s="150" t="str" cm="1">
        <f t="array" aca="1" ref="O63" ca="1">IF($G63=0,"",INDEX(auto_DataFlat_DataValue,$H63+O$18))</f>
        <v/>
      </c>
      <c r="P63" s="150" t="str" cm="1">
        <f t="array" aca="1" ref="P63" ca="1">IF($G63=0,"",INDEX(auto_DataFlat_DataValue,$H63+P$18))</f>
        <v/>
      </c>
      <c r="Q63" s="150" t="str" cm="1">
        <f t="array" aca="1" ref="Q63" ca="1">IF($G63=0,"",INDEX(auto_DataFlat_DataValue,$H63+Q$18))</f>
        <v/>
      </c>
      <c r="R63" s="150" t="str" cm="1">
        <f t="array" aca="1" ref="R63" ca="1">IF($G63=0,"",INDEX(auto_DataFlat_DataValue,$H63+R$18))</f>
        <v/>
      </c>
      <c r="S63" s="150" t="str" cm="1">
        <f t="array" aca="1" ref="S63" ca="1">IF($G63=0,"",INDEX(auto_DataFlat_DataValue,$H63+S$18))</f>
        <v/>
      </c>
      <c r="T63" s="150" t="str" cm="1">
        <f t="array" aca="1" ref="T63" ca="1">IF($G63=0,"",INDEX(auto_DataFlat_DataValue,$H63+T$18))</f>
        <v/>
      </c>
      <c r="U63" s="150" t="str" cm="1">
        <f t="array" aca="1" ref="U63" ca="1">IF($G63=0,"",INDEX(auto_DataFlat_DataValue,$H63+U$18))</f>
        <v/>
      </c>
      <c r="V63" s="150" t="str" cm="1">
        <f t="array" aca="1" ref="V63" ca="1">IF($G63=0,"",INDEX(auto_DataFlat_DataValue,$H63+V$18))</f>
        <v/>
      </c>
      <c r="W63" s="150" t="str" cm="1">
        <f t="array" aca="1" ref="W63" ca="1">IF($G63=0,"",INDEX(auto_DataFlat_DataValue,$H63+W$18))</f>
        <v/>
      </c>
      <c r="X63" s="150" t="str" cm="1">
        <f t="array" aca="1" ref="X63" ca="1">IF($G63=0,"",INDEX(auto_DataFlat_DataValue,$H63+X$18))</f>
        <v/>
      </c>
      <c r="Y63" s="150" t="str" cm="1">
        <f t="array" aca="1" ref="Y63" ca="1">IF($G63=0,"",INDEX(auto_DataFlat_DataValue,$H63+Y$18))</f>
        <v/>
      </c>
      <c r="Z63" s="150" t="str" cm="1">
        <f t="array" aca="1" ref="Z63" ca="1">IF($G63=0,"",INDEX(auto_DataFlat_DataValue,$H63+Z$18))</f>
        <v/>
      </c>
      <c r="AA63" s="150" t="str" cm="1">
        <f t="array" aca="1" ref="AA63" ca="1">IF($G63=0,"",INDEX(auto_DataFlat_DataValue,$H63+AA$18))</f>
        <v/>
      </c>
      <c r="AB63" s="150" t="str" cm="1">
        <f t="array" aca="1" ref="AB63" ca="1">IF($G63=0,"",INDEX(auto_DataFlat_DataValue,$H63+AB$18))</f>
        <v/>
      </c>
      <c r="AC63" s="150" t="str" cm="1">
        <f t="array" aca="1" ref="AC63" ca="1">IF($G63=0,"",INDEX(auto_DataFlat_DataValue,$H63+AC$18))</f>
        <v/>
      </c>
      <c r="AD63" s="150" t="str" cm="1">
        <f t="array" aca="1" ref="AD63" ca="1">IF($G63=0,"",INDEX(auto_DataFlat_DataValue,$H63+AD$18))</f>
        <v/>
      </c>
      <c r="AE63" s="150" t="str" cm="1">
        <f t="array" aca="1" ref="AE63" ca="1">IF($G63=0,"",INDEX(auto_DataFlat_DataValue,$H63+AE$18))</f>
        <v/>
      </c>
      <c r="AF63" s="150" t="str" cm="1">
        <f t="array" aca="1" ref="AF63" ca="1">IF($G63=0,"",INDEX(auto_DataFlat_DataValue,$H63+AF$18))</f>
        <v/>
      </c>
      <c r="AG63" s="150" t="str" cm="1">
        <f t="array" aca="1" ref="AG63" ca="1">IF($G63=0,"",INDEX(auto_DataFlat_DataValue,$H63+AG$18))</f>
        <v/>
      </c>
      <c r="AH63" s="150" t="str" cm="1">
        <f t="array" aca="1" ref="AH63" ca="1">IF($G63=0,"",INDEX(auto_DataFlat_DataValue,$H63+AH$18))</f>
        <v/>
      </c>
      <c r="AI63" s="150" t="str" cm="1">
        <f t="array" aca="1" ref="AI63" ca="1">IF($G63=0,"",INDEX(auto_DataFlat_DataValue,$H63+AI$18))</f>
        <v/>
      </c>
      <c r="AJ63" s="150" t="str" cm="1">
        <f t="array" aca="1" ref="AJ63" ca="1">IF($G63=0,"",INDEX(auto_DataFlat_DataValue,$H63+AJ$18))</f>
        <v/>
      </c>
      <c r="AK63" s="150" t="str" cm="1">
        <f t="array" aca="1" ref="AK63" ca="1">IF($G63=0,"",INDEX(auto_DataFlat_DataValue,$H63+AK$18))</f>
        <v/>
      </c>
      <c r="AL63" s="150" t="str" cm="1">
        <f t="array" aca="1" ref="AL63" ca="1">IF($G63=0,"",INDEX(auto_DataFlat_DataValue,$H63+AL$18))</f>
        <v/>
      </c>
      <c r="AM63" s="150" t="str" cm="1">
        <f t="array" aca="1" ref="AM63" ca="1">IF($G63=0,"",INDEX(auto_DataFlat_DataValue,$H63+AM$18))</f>
        <v/>
      </c>
      <c r="AN63" s="150" t="str" cm="1">
        <f t="array" aca="1" ref="AN63" ca="1">IF($G63=0,"",INDEX(auto_DataFlat_DataValue,$H63+AN$18))</f>
        <v/>
      </c>
      <c r="AO63" s="150" t="str" cm="1">
        <f t="array" aca="1" ref="AO63" ca="1">IF($G63=0,"",INDEX(auto_DataFlat_DataValue,$H63+AO$18))</f>
        <v/>
      </c>
      <c r="AP63" s="150" t="str" cm="1">
        <f t="array" aca="1" ref="AP63" ca="1">IF($G63=0,"",INDEX(auto_DataFlat_DataValue,$H63+AP$18))</f>
        <v/>
      </c>
      <c r="AQ63" s="150" t="str" cm="1">
        <f t="array" aca="1" ref="AQ63" ca="1">IF($G63=0,"",INDEX(auto_DataFlat_DataValue,$H63+AQ$18))</f>
        <v/>
      </c>
      <c r="AR63" s="150" t="str" cm="1">
        <f t="array" aca="1" ref="AR63" ca="1">IF($G63=0,"",INDEX(auto_DataFlat_DataValue,$H63+AR$18))</f>
        <v/>
      </c>
      <c r="AS63" s="150" t="str" cm="1">
        <f t="array" aca="1" ref="AS63" ca="1">IF($G63=0,"",INDEX(auto_DataFlat_DataValue,$H63+AS$18))</f>
        <v/>
      </c>
      <c r="AT63" s="150" t="str" cm="1">
        <f t="array" aca="1" ref="AT63" ca="1">IF($G63=0,"",INDEX(auto_DataFlat_DataValue,$H63+AT$18))</f>
        <v/>
      </c>
      <c r="AU63" s="150" t="str" cm="1">
        <f t="array" aca="1" ref="AU63" ca="1">IF($G63=0,"",INDEX(auto_DataFlat_DataValue,$H63+AU$18))</f>
        <v/>
      </c>
      <c r="AV63" s="150" t="str" cm="1">
        <f t="array" aca="1" ref="AV63" ca="1">IF($G63=0,"",INDEX(auto_DataFlat_DataValue,$H63+AV$18))</f>
        <v/>
      </c>
      <c r="AW63" s="150" t="str" cm="1">
        <f t="array" aca="1" ref="AW63" ca="1">IF($G63=0,"",INDEX(auto_DataFlat_DataValue,$H63+AW$18))</f>
        <v/>
      </c>
      <c r="AX63" s="150" t="str" cm="1">
        <f t="array" aca="1" ref="AX63" ca="1">IF($G63=0,"",INDEX(auto_DataFlat_DataValue,$H63+AX$18))</f>
        <v/>
      </c>
      <c r="AY63" s="150" t="str" cm="1">
        <f t="array" aca="1" ref="AY63" ca="1">IF($G63=0,"",INDEX(auto_DataFlat_DataValue,$H63+AY$18))</f>
        <v/>
      </c>
      <c r="AZ63" s="150" t="str" cm="1">
        <f t="array" aca="1" ref="AZ63" ca="1">IF($G63=0,"",INDEX(auto_DataFlat_DataValue,$H63+AZ$18))</f>
        <v/>
      </c>
      <c r="BA63" s="150" t="str" cm="1">
        <f t="array" aca="1" ref="BA63" ca="1">IF($G63=0,"",INDEX(auto_DataFlat_DataValue,$H63+BA$18))</f>
        <v/>
      </c>
      <c r="BB63" s="150" t="str" cm="1">
        <f t="array" aca="1" ref="BB63" ca="1">IF($G63=0,"",INDEX(auto_DataFlat_DataValue,$H63+BB$18))</f>
        <v/>
      </c>
      <c r="BC63" s="150" t="str" cm="1">
        <f t="array" aca="1" ref="BC63" ca="1">IF($G63=0,"",INDEX(auto_DataFlat_DataValue,$H63+BC$18))</f>
        <v/>
      </c>
      <c r="BD63" s="150" t="str" cm="1">
        <f t="array" aca="1" ref="BD63" ca="1">IF($G63=0,"",INDEX(auto_DataFlat_DataValue,$H63+BD$18))</f>
        <v/>
      </c>
      <c r="BE63" s="150" t="str" cm="1">
        <f t="array" aca="1" ref="BE63" ca="1">IF($G63=0,"",INDEX(auto_DataFlat_DataValue,$H63+BE$18))</f>
        <v/>
      </c>
      <c r="BF63" s="150" t="str" cm="1">
        <f t="array" aca="1" ref="BF63" ca="1">IF($G63=0,"",INDEX(auto_DataFlat_DataValue,$H63+BF$18))</f>
        <v/>
      </c>
      <c r="BG63" s="150" t="str" cm="1">
        <f t="array" aca="1" ref="BG63" ca="1">IF($G63=0,"",INDEX(auto_DataFlat_DataValue,$H63+BG$18))</f>
        <v/>
      </c>
      <c r="BH63" s="150" t="str" cm="1">
        <f t="array" aca="1" ref="BH63" ca="1">IF($G63=0,"",INDEX(auto_DataFlat_DataValue,$H63+BH$18))</f>
        <v/>
      </c>
      <c r="BI63" s="150" t="str" cm="1">
        <f t="array" aca="1" ref="BI63" ca="1">IF($G63=0,"",INDEX(auto_DataFlat_DataValue,$H63+BI$18))</f>
        <v/>
      </c>
    </row>
    <row r="64" spans="1:61" ht="17.05" customHeight="1" x14ac:dyDescent="0.4">
      <c r="A64" t="str">
        <f t="shared" si="3"/>
        <v/>
      </c>
      <c r="B64" s="42" t="str">
        <f t="shared" ca="1" si="1"/>
        <v/>
      </c>
      <c r="C64" s="100">
        <v>45</v>
      </c>
      <c r="D64" s="49" cm="1">
        <f t="array" aca="1" ref="D64" ca="1">INDEX(OFFSET(auto_ss_data_table,0,1,500,1),C64)</f>
        <v>45</v>
      </c>
      <c r="E64" s="101" cm="1">
        <f t="array" aca="1" ref="E64" ca="1">INDEX(auto_tblSeries,$D64,E$18)</f>
        <v>3</v>
      </c>
      <c r="F64" s="101" t="str" cm="1">
        <f t="array" aca="1" ref="F64" ca="1">INDEX(auto_tblSeries,$D64,F$18)</f>
        <v>#,0.00</v>
      </c>
      <c r="G64" s="101" cm="1">
        <f t="array" aca="1" ref="G64" ca="1">INDEX(auto_tblSeries,$D64,G$18)</f>
        <v>1</v>
      </c>
      <c r="H64" s="101" cm="1">
        <f t="array" aca="1" ref="H64" ca="1">INDEX(sys_DataFlat_LU_Grid,$D64,1)-1</f>
        <v>2640</v>
      </c>
      <c r="I64" s="26"/>
      <c r="J64" s="151" t="str" cm="1">
        <f t="array" aca="1" ref="J64" ca="1">INDEX(auto_Series_NameNumbered,$D64)</f>
        <v>3.8a) Mean blood cholesterol: national data</v>
      </c>
      <c r="K64" s="152" t="str" cm="1">
        <f t="array" aca="1" ref="K64" ca="1">IF($G64=0,"",INDEX(auto_tblSeries,$D64,K$18))</f>
        <v>mmol/L</v>
      </c>
      <c r="L64" s="155" cm="1">
        <f t="array" aca="1" ref="L64" ca="1">IF($G64=0,"",INDEX(auto_DataFlat_DataValue,$H64+L$18))</f>
        <v>2.0299999999999998</v>
      </c>
      <c r="M64" s="155" cm="1">
        <f t="array" aca="1" ref="M64" ca="1">IF($G64=0,"",INDEX(auto_DataFlat_DataValue,$H64+M$18))</f>
        <v>2.87</v>
      </c>
      <c r="N64" s="155" cm="1">
        <f t="array" aca="1" ref="N64" ca="1">IF($G64=0,"",INDEX(auto_DataFlat_DataValue,$H64+N$18))</f>
        <v>2.88</v>
      </c>
      <c r="O64" s="155" cm="1">
        <f t="array" aca="1" ref="O64" ca="1">IF($G64=0,"",INDEX(auto_DataFlat_DataValue,$H64+O$18))</f>
        <v>3.52</v>
      </c>
      <c r="P64" s="155" cm="1">
        <f t="array" aca="1" ref="P64" ca="1">IF($G64=0,"",INDEX(auto_DataFlat_DataValue,$H64+P$18))</f>
        <v>3.43</v>
      </c>
      <c r="Q64" s="155" cm="1">
        <f t="array" aca="1" ref="Q64" ca="1">IF($G64=0,"",INDEX(auto_DataFlat_DataValue,$H64+Q$18))</f>
        <v>2.91</v>
      </c>
      <c r="R64" s="155" cm="1">
        <f t="array" aca="1" ref="R64" ca="1">IF($G64=0,"",INDEX(auto_DataFlat_DataValue,$H64+R$18))</f>
        <v>3.51</v>
      </c>
      <c r="S64" s="155" cm="1">
        <f t="array" aca="1" ref="S64" ca="1">IF($G64=0,"",INDEX(auto_DataFlat_DataValue,$H64+S$18))</f>
        <v>3.2</v>
      </c>
      <c r="T64" s="155" cm="1">
        <f t="array" aca="1" ref="T64" ca="1">IF($G64=0,"",INDEX(auto_DataFlat_DataValue,$H64+T$18))</f>
        <v>3.33</v>
      </c>
      <c r="U64" s="155" cm="1">
        <f t="array" aca="1" ref="U64" ca="1">IF($G64=0,"",INDEX(auto_DataFlat_DataValue,$H64+U$18))</f>
        <v>2.97</v>
      </c>
      <c r="V64" s="155" cm="1">
        <f t="array" aca="1" ref="V64" ca="1">IF($G64=0,"",INDEX(auto_DataFlat_DataValue,$H64+V$18))</f>
        <v>3.37</v>
      </c>
      <c r="W64" s="155" cm="1">
        <f t="array" aca="1" ref="W64" ca="1">IF($G64=0,"",INDEX(auto_DataFlat_DataValue,$H64+W$18))</f>
        <v>2.52</v>
      </c>
      <c r="X64" s="155" cm="1">
        <f t="array" aca="1" ref="X64" ca="1">IF($G64=0,"",INDEX(auto_DataFlat_DataValue,$H64+X$18))</f>
        <v>2.21</v>
      </c>
      <c r="Y64" s="155" cm="1">
        <f t="array" aca="1" ref="Y64" ca="1">IF($G64=0,"",INDEX(auto_DataFlat_DataValue,$H64+Y$18))</f>
        <v>3.55</v>
      </c>
      <c r="Z64" s="155" cm="1">
        <f t="array" aca="1" ref="Z64" ca="1">IF($G64=0,"",INDEX(auto_DataFlat_DataValue,$H64+Z$18))</f>
        <v>3.29</v>
      </c>
      <c r="AA64" s="155" cm="1">
        <f t="array" aca="1" ref="AA64" ca="1">IF($G64=0,"",INDEX(auto_DataFlat_DataValue,$H64+AA$18))</f>
        <v>2.78</v>
      </c>
      <c r="AB64" s="155" cm="1">
        <f t="array" aca="1" ref="AB64" ca="1">IF($G64=0,"",INDEX(auto_DataFlat_DataValue,$H64+AB$18))</f>
        <v>3.28</v>
      </c>
      <c r="AC64" s="155" cm="1">
        <f t="array" aca="1" ref="AC64" ca="1">IF($G64=0,"",INDEX(auto_DataFlat_DataValue,$H64+AC$18))</f>
        <v>2.86</v>
      </c>
      <c r="AD64" s="155" cm="1">
        <f t="array" aca="1" ref="AD64" ca="1">IF($G64=0,"",INDEX(auto_DataFlat_DataValue,$H64+AD$18))</f>
        <v>2.5299999999999998</v>
      </c>
      <c r="AE64" s="155" cm="1">
        <f t="array" aca="1" ref="AE64" ca="1">IF($G64=0,"",INDEX(auto_DataFlat_DataValue,$H64+AE$18))</f>
        <v>2.69</v>
      </c>
      <c r="AF64" s="155" cm="1">
        <f t="array" aca="1" ref="AF64" ca="1">IF($G64=0,"",INDEX(auto_DataFlat_DataValue,$H64+AF$18))</f>
        <v>2.72</v>
      </c>
      <c r="AG64" s="155" cm="1">
        <f t="array" aca="1" ref="AG64" ca="1">IF($G64=0,"",INDEX(auto_DataFlat_DataValue,$H64+AG$18))</f>
        <v>2.52</v>
      </c>
      <c r="AH64" s="155" cm="1">
        <f t="array" aca="1" ref="AH64" ca="1">IF($G64=0,"",INDEX(auto_DataFlat_DataValue,$H64+AH$18))</f>
        <v>2.52</v>
      </c>
      <c r="AI64" s="155" cm="1">
        <f t="array" aca="1" ref="AI64" ca="1">IF($G64=0,"",INDEX(auto_DataFlat_DataValue,$H64+AI$18))</f>
        <v>3.39</v>
      </c>
      <c r="AJ64" s="155" cm="1">
        <f t="array" aca="1" ref="AJ64" ca="1">IF($G64=0,"",INDEX(auto_DataFlat_DataValue,$H64+AJ$18))</f>
        <v>2.62</v>
      </c>
      <c r="AK64" s="155" cm="1">
        <f t="array" aca="1" ref="AK64" ca="1">IF($G64=0,"",INDEX(auto_DataFlat_DataValue,$H64+AK$18))</f>
        <v>3.36</v>
      </c>
      <c r="AL64" s="155" cm="1">
        <f t="array" aca="1" ref="AL64" ca="1">IF($G64=0,"",INDEX(auto_DataFlat_DataValue,$H64+AL$18))</f>
        <v>3.25</v>
      </c>
      <c r="AM64" s="155" cm="1">
        <f t="array" aca="1" ref="AM64" ca="1">IF($G64=0,"",INDEX(auto_DataFlat_DataValue,$H64+AM$18))</f>
        <v>3.1</v>
      </c>
      <c r="AN64" s="155" cm="1">
        <f t="array" aca="1" ref="AN64" ca="1">IF($G64=0,"",INDEX(auto_DataFlat_DataValue,$H64+AN$18))</f>
        <v>3.52</v>
      </c>
      <c r="AO64" s="155" cm="1">
        <f t="array" aca="1" ref="AO64" ca="1">IF($G64=0,"",INDEX(auto_DataFlat_DataValue,$H64+AO$18))</f>
        <v>3.26</v>
      </c>
      <c r="AP64" s="155" cm="1">
        <f t="array" aca="1" ref="AP64" ca="1">IF($G64=0,"",INDEX(auto_DataFlat_DataValue,$H64+AP$18))</f>
        <v>3.55</v>
      </c>
      <c r="AQ64" s="155" cm="1">
        <f t="array" aca="1" ref="AQ64" ca="1">IF($G64=0,"",INDEX(auto_DataFlat_DataValue,$H64+AQ$18))</f>
        <v>2.52</v>
      </c>
      <c r="AR64" s="155" cm="1">
        <f t="array" aca="1" ref="AR64" ca="1">IF($G64=0,"",INDEX(auto_DataFlat_DataValue,$H64+AR$18))</f>
        <v>2.1800000000000002</v>
      </c>
      <c r="AS64" s="155" cm="1">
        <f t="array" aca="1" ref="AS64" ca="1">IF($G64=0,"",INDEX(auto_DataFlat_DataValue,$H64+AS$18))</f>
        <v>2.88</v>
      </c>
      <c r="AT64" s="155" cm="1">
        <f t="array" aca="1" ref="AT64" ca="1">IF($G64=0,"",INDEX(auto_DataFlat_DataValue,$H64+AT$18))</f>
        <v>3.27</v>
      </c>
      <c r="AU64" s="155" cm="1">
        <f t="array" aca="1" ref="AU64" ca="1">IF($G64=0,"",INDEX(auto_DataFlat_DataValue,$H64+AU$18))</f>
        <v>3.54</v>
      </c>
      <c r="AV64" s="155" cm="1">
        <f t="array" aca="1" ref="AV64" ca="1">IF($G64=0,"",INDEX(auto_DataFlat_DataValue,$H64+AV$18))</f>
        <v>2.77</v>
      </c>
      <c r="AW64" s="155" cm="1">
        <f t="array" aca="1" ref="AW64" ca="1">IF($G64=0,"",INDEX(auto_DataFlat_DataValue,$H64+AW$18))</f>
        <v>3.04</v>
      </c>
      <c r="AX64" s="155" cm="1">
        <f t="array" aca="1" ref="AX64" ca="1">IF($G64=0,"",INDEX(auto_DataFlat_DataValue,$H64+AX$18))</f>
        <v>3.38</v>
      </c>
      <c r="AY64" s="155" cm="1">
        <f t="array" aca="1" ref="AY64" ca="1">IF($G64=0,"",INDEX(auto_DataFlat_DataValue,$H64+AY$18))</f>
        <v>2.88</v>
      </c>
      <c r="AZ64" s="155" cm="1">
        <f t="array" aca="1" ref="AZ64" ca="1">IF($G64=0,"",INDEX(auto_DataFlat_DataValue,$H64+AZ$18))</f>
        <v>3.39</v>
      </c>
      <c r="BA64" s="155" cm="1">
        <f t="array" aca="1" ref="BA64" ca="1">IF($G64=0,"",INDEX(auto_DataFlat_DataValue,$H64+BA$18))</f>
        <v>3.06</v>
      </c>
      <c r="BB64" s="155" cm="1">
        <f t="array" aca="1" ref="BB64" ca="1">IF($G64=0,"",INDEX(auto_DataFlat_DataValue,$H64+BB$18))</f>
        <v>2.91</v>
      </c>
      <c r="BC64" s="155" cm="1">
        <f t="array" aca="1" ref="BC64" ca="1">IF($G64=0,"",INDEX(auto_DataFlat_DataValue,$H64+BC$18))</f>
        <v>3.33</v>
      </c>
      <c r="BD64" s="155" cm="1">
        <f t="array" aca="1" ref="BD64" ca="1">IF($G64=0,"",INDEX(auto_DataFlat_DataValue,$H64+BD$18))</f>
        <v>3.52</v>
      </c>
      <c r="BE64" s="155" cm="1">
        <f t="array" aca="1" ref="BE64" ca="1">IF($G64=0,"",INDEX(auto_DataFlat_DataValue,$H64+BE$18))</f>
        <v>3.27</v>
      </c>
      <c r="BF64" s="155" cm="1">
        <f t="array" aca="1" ref="BF64" ca="1">IF($G64=0,"",INDEX(auto_DataFlat_DataValue,$H64+BF$18))</f>
        <v>3.16</v>
      </c>
      <c r="BG64" s="155" cm="1">
        <f t="array" aca="1" ref="BG64" ca="1">IF($G64=0,"",INDEX(auto_DataFlat_DataValue,$H64+BG$18))</f>
        <v>3.7</v>
      </c>
      <c r="BH64" s="155" cm="1">
        <f t="array" aca="1" ref="BH64" ca="1">IF($G64=0,"",INDEX(auto_DataFlat_DataValue,$H64+BH$18))</f>
        <v>2.91</v>
      </c>
      <c r="BI64" s="155" cm="1">
        <f t="array" aca="1" ref="BI64" ca="1">IF($G64=0,"",INDEX(auto_DataFlat_DataValue,$H64+BI$18))</f>
        <v>2.79</v>
      </c>
    </row>
    <row r="65" spans="1:61" ht="17.05" customHeight="1" x14ac:dyDescent="0.4">
      <c r="A65" t="str">
        <f t="shared" si="3"/>
        <v/>
      </c>
      <c r="B65" s="42" t="str">
        <f t="shared" ca="1" si="1"/>
        <v/>
      </c>
      <c r="C65" s="100">
        <v>46</v>
      </c>
      <c r="D65" s="49" cm="1">
        <f t="array" aca="1" ref="D65" ca="1">INDEX(OFFSET(auto_ss_data_table,0,1,500,1),C65)</f>
        <v>46</v>
      </c>
      <c r="E65" s="101" cm="1">
        <f t="array" aca="1" ref="E65" ca="1">INDEX(auto_tblSeries,$D65,E$18)</f>
        <v>3</v>
      </c>
      <c r="F65" s="101" t="str" cm="1">
        <f t="array" aca="1" ref="F65" ca="1">INDEX(auto_tblSeries,$D65,F$18)</f>
        <v>#,##0</v>
      </c>
      <c r="G65" s="101" cm="1">
        <f t="array" aca="1" ref="G65" ca="1">INDEX(auto_tblSeries,$D65,G$18)</f>
        <v>1</v>
      </c>
      <c r="H65" s="101" cm="1">
        <f t="array" aca="1" ref="H65" ca="1">INDEX(sys_DataFlat_LU_Grid,$D65,1)-1</f>
        <v>2700</v>
      </c>
      <c r="I65" s="26"/>
      <c r="J65" s="151" t="str" cm="1">
        <f t="array" aca="1" ref="J65" ca="1">INDEX(auto_Series_NameNumbered,$D65)</f>
        <v>3.8b) Cholesterol: city-level data availability</v>
      </c>
      <c r="K65" s="152" t="str" cm="1">
        <f t="array" aca="1" ref="K65" ca="1">IF($G65=0,"",INDEX(auto_tblSeries,$D65,K$18))</f>
        <v>Rating 0-1</v>
      </c>
      <c r="L65" s="154" cm="1">
        <f t="array" aca="1" ref="L65" ca="1">IF($G65=0,"",INDEX(auto_DataFlat_DataValue,$H65+L$18))</f>
        <v>0</v>
      </c>
      <c r="M65" s="154" cm="1">
        <f t="array" aca="1" ref="M65" ca="1">IF($G65=0,"",INDEX(auto_DataFlat_DataValue,$H65+M$18))</f>
        <v>0</v>
      </c>
      <c r="N65" s="154" cm="1">
        <f t="array" aca="1" ref="N65" ca="1">IF($G65=0,"",INDEX(auto_DataFlat_DataValue,$H65+N$18))</f>
        <v>1</v>
      </c>
      <c r="O65" s="154" cm="1">
        <f t="array" aca="1" ref="O65" ca="1">IF($G65=0,"",INDEX(auto_DataFlat_DataValue,$H65+O$18))</f>
        <v>0</v>
      </c>
      <c r="P65" s="154" cm="1">
        <f t="array" aca="1" ref="P65" ca="1">IF($G65=0,"",INDEX(auto_DataFlat_DataValue,$H65+P$18))</f>
        <v>1</v>
      </c>
      <c r="Q65" s="154" cm="1">
        <f t="array" aca="1" ref="Q65" ca="1">IF($G65=0,"",INDEX(auto_DataFlat_DataValue,$H65+Q$18))</f>
        <v>0</v>
      </c>
      <c r="R65" s="154" cm="1">
        <f t="array" aca="1" ref="R65" ca="1">IF($G65=0,"",INDEX(auto_DataFlat_DataValue,$H65+R$18))</f>
        <v>0</v>
      </c>
      <c r="S65" s="154" cm="1">
        <f t="array" aca="1" ref="S65" ca="1">IF($G65=0,"",INDEX(auto_DataFlat_DataValue,$H65+S$18))</f>
        <v>0</v>
      </c>
      <c r="T65" s="154" cm="1">
        <f t="array" aca="1" ref="T65" ca="1">IF($G65=0,"",INDEX(auto_DataFlat_DataValue,$H65+T$18))</f>
        <v>0</v>
      </c>
      <c r="U65" s="154" cm="1">
        <f t="array" aca="1" ref="U65" ca="1">IF($G65=0,"",INDEX(auto_DataFlat_DataValue,$H65+U$18))</f>
        <v>0</v>
      </c>
      <c r="V65" s="154" cm="1">
        <f t="array" aca="1" ref="V65" ca="1">IF($G65=0,"",INDEX(auto_DataFlat_DataValue,$H65+V$18))</f>
        <v>0</v>
      </c>
      <c r="W65" s="154" cm="1">
        <f t="array" aca="1" ref="W65" ca="1">IF($G65=0,"",INDEX(auto_DataFlat_DataValue,$H65+W$18))</f>
        <v>0</v>
      </c>
      <c r="X65" s="154" cm="1">
        <f t="array" aca="1" ref="X65" ca="1">IF($G65=0,"",INDEX(auto_DataFlat_DataValue,$H65+X$18))</f>
        <v>0</v>
      </c>
      <c r="Y65" s="154" cm="1">
        <f t="array" aca="1" ref="Y65" ca="1">IF($G65=0,"",INDEX(auto_DataFlat_DataValue,$H65+Y$18))</f>
        <v>0</v>
      </c>
      <c r="Z65" s="154" cm="1">
        <f t="array" aca="1" ref="Z65" ca="1">IF($G65=0,"",INDEX(auto_DataFlat_DataValue,$H65+Z$18))</f>
        <v>1</v>
      </c>
      <c r="AA65" s="154" cm="1">
        <f t="array" aca="1" ref="AA65" ca="1">IF($G65=0,"",INDEX(auto_DataFlat_DataValue,$H65+AA$18))</f>
        <v>0</v>
      </c>
      <c r="AB65" s="154" cm="1">
        <f t="array" aca="1" ref="AB65" ca="1">IF($G65=0,"",INDEX(auto_DataFlat_DataValue,$H65+AB$18))</f>
        <v>1</v>
      </c>
      <c r="AC65" s="154" cm="1">
        <f t="array" aca="1" ref="AC65" ca="1">IF($G65=0,"",INDEX(auto_DataFlat_DataValue,$H65+AC$18))</f>
        <v>0</v>
      </c>
      <c r="AD65" s="154" cm="1">
        <f t="array" aca="1" ref="AD65" ca="1">IF($G65=0,"",INDEX(auto_DataFlat_DataValue,$H65+AD$18))</f>
        <v>1</v>
      </c>
      <c r="AE65" s="154" cm="1">
        <f t="array" aca="1" ref="AE65" ca="1">IF($G65=0,"",INDEX(auto_DataFlat_DataValue,$H65+AE$18))</f>
        <v>0</v>
      </c>
      <c r="AF65" s="154" cm="1">
        <f t="array" aca="1" ref="AF65" ca="1">IF($G65=0,"",INDEX(auto_DataFlat_DataValue,$H65+AF$18))</f>
        <v>0</v>
      </c>
      <c r="AG65" s="154" cm="1">
        <f t="array" aca="1" ref="AG65" ca="1">IF($G65=0,"",INDEX(auto_DataFlat_DataValue,$H65+AG$18))</f>
        <v>0</v>
      </c>
      <c r="AH65" s="154" cm="1">
        <f t="array" aca="1" ref="AH65" ca="1">IF($G65=0,"",INDEX(auto_DataFlat_DataValue,$H65+AH$18))</f>
        <v>0</v>
      </c>
      <c r="AI65" s="154" cm="1">
        <f t="array" aca="1" ref="AI65" ca="1">IF($G65=0,"",INDEX(auto_DataFlat_DataValue,$H65+AI$18))</f>
        <v>0</v>
      </c>
      <c r="AJ65" s="154" cm="1">
        <f t="array" aca="1" ref="AJ65" ca="1">IF($G65=0,"",INDEX(auto_DataFlat_DataValue,$H65+AJ$18))</f>
        <v>0</v>
      </c>
      <c r="AK65" s="154" cm="1">
        <f t="array" aca="1" ref="AK65" ca="1">IF($G65=0,"",INDEX(auto_DataFlat_DataValue,$H65+AK$18))</f>
        <v>0</v>
      </c>
      <c r="AL65" s="154" cm="1">
        <f t="array" aca="1" ref="AL65" ca="1">IF($G65=0,"",INDEX(auto_DataFlat_DataValue,$H65+AL$18))</f>
        <v>1</v>
      </c>
      <c r="AM65" s="154" cm="1">
        <f t="array" aca="1" ref="AM65" ca="1">IF($G65=0,"",INDEX(auto_DataFlat_DataValue,$H65+AM$18))</f>
        <v>0</v>
      </c>
      <c r="AN65" s="154" cm="1">
        <f t="array" aca="1" ref="AN65" ca="1">IF($G65=0,"",INDEX(auto_DataFlat_DataValue,$H65+AN$18))</f>
        <v>0</v>
      </c>
      <c r="AO65" s="154" cm="1">
        <f t="array" aca="1" ref="AO65" ca="1">IF($G65=0,"",INDEX(auto_DataFlat_DataValue,$H65+AO$18))</f>
        <v>0</v>
      </c>
      <c r="AP65" s="154" cm="1">
        <f t="array" aca="1" ref="AP65" ca="1">IF($G65=0,"",INDEX(auto_DataFlat_DataValue,$H65+AP$18))</f>
        <v>0</v>
      </c>
      <c r="AQ65" s="154" cm="1">
        <f t="array" aca="1" ref="AQ65" ca="1">IF($G65=0,"",INDEX(auto_DataFlat_DataValue,$H65+AQ$18))</f>
        <v>0</v>
      </c>
      <c r="AR65" s="154" cm="1">
        <f t="array" aca="1" ref="AR65" ca="1">IF($G65=0,"",INDEX(auto_DataFlat_DataValue,$H65+AR$18))</f>
        <v>0</v>
      </c>
      <c r="AS65" s="154" cm="1">
        <f t="array" aca="1" ref="AS65" ca="1">IF($G65=0,"",INDEX(auto_DataFlat_DataValue,$H65+AS$18))</f>
        <v>0</v>
      </c>
      <c r="AT65" s="154" cm="1">
        <f t="array" aca="1" ref="AT65" ca="1">IF($G65=0,"",INDEX(auto_DataFlat_DataValue,$H65+AT$18))</f>
        <v>1</v>
      </c>
      <c r="AU65" s="154" cm="1">
        <f t="array" aca="1" ref="AU65" ca="1">IF($G65=0,"",INDEX(auto_DataFlat_DataValue,$H65+AU$18))</f>
        <v>0</v>
      </c>
      <c r="AV65" s="154" cm="1">
        <f t="array" aca="1" ref="AV65" ca="1">IF($G65=0,"",INDEX(auto_DataFlat_DataValue,$H65+AV$18))</f>
        <v>0</v>
      </c>
      <c r="AW65" s="154" cm="1">
        <f t="array" aca="1" ref="AW65" ca="1">IF($G65=0,"",INDEX(auto_DataFlat_DataValue,$H65+AW$18))</f>
        <v>0</v>
      </c>
      <c r="AX65" s="154" cm="1">
        <f t="array" aca="1" ref="AX65" ca="1">IF($G65=0,"",INDEX(auto_DataFlat_DataValue,$H65+AX$18))</f>
        <v>0</v>
      </c>
      <c r="AY65" s="154" cm="1">
        <f t="array" aca="1" ref="AY65" ca="1">IF($G65=0,"",INDEX(auto_DataFlat_DataValue,$H65+AY$18))</f>
        <v>0</v>
      </c>
      <c r="AZ65" s="154" cm="1">
        <f t="array" aca="1" ref="AZ65" ca="1">IF($G65=0,"",INDEX(auto_DataFlat_DataValue,$H65+AZ$18))</f>
        <v>0</v>
      </c>
      <c r="BA65" s="154" cm="1">
        <f t="array" aca="1" ref="BA65" ca="1">IF($G65=0,"",INDEX(auto_DataFlat_DataValue,$H65+BA$18))</f>
        <v>1</v>
      </c>
      <c r="BB65" s="154" cm="1">
        <f t="array" aca="1" ref="BB65" ca="1">IF($G65=0,"",INDEX(auto_DataFlat_DataValue,$H65+BB$18))</f>
        <v>0</v>
      </c>
      <c r="BC65" s="154" cm="1">
        <f t="array" aca="1" ref="BC65" ca="1">IF($G65=0,"",INDEX(auto_DataFlat_DataValue,$H65+BC$18))</f>
        <v>1</v>
      </c>
      <c r="BD65" s="154" cm="1">
        <f t="array" aca="1" ref="BD65" ca="1">IF($G65=0,"",INDEX(auto_DataFlat_DataValue,$H65+BD$18))</f>
        <v>0</v>
      </c>
      <c r="BE65" s="154" cm="1">
        <f t="array" aca="1" ref="BE65" ca="1">IF($G65=0,"",INDEX(auto_DataFlat_DataValue,$H65+BE$18))</f>
        <v>1</v>
      </c>
      <c r="BF65" s="154" cm="1">
        <f t="array" aca="1" ref="BF65" ca="1">IF($G65=0,"",INDEX(auto_DataFlat_DataValue,$H65+BF$18))</f>
        <v>0</v>
      </c>
      <c r="BG65" s="154" cm="1">
        <f t="array" aca="1" ref="BG65" ca="1">IF($G65=0,"",INDEX(auto_DataFlat_DataValue,$H65+BG$18))</f>
        <v>1</v>
      </c>
      <c r="BH65" s="154" cm="1">
        <f t="array" aca="1" ref="BH65" ca="1">IF($G65=0,"",INDEX(auto_DataFlat_DataValue,$H65+BH$18))</f>
        <v>0</v>
      </c>
      <c r="BI65" s="154" cm="1">
        <f t="array" aca="1" ref="BI65" ca="1">IF($G65=0,"",INDEX(auto_DataFlat_DataValue,$H65+BI$18))</f>
        <v>0</v>
      </c>
    </row>
    <row r="66" spans="1:61" ht="17.05" customHeight="1" x14ac:dyDescent="0.4">
      <c r="A66" t="str">
        <f t="shared" si="3"/>
        <v/>
      </c>
      <c r="B66" s="42" t="str">
        <f t="shared" ca="1" si="1"/>
        <v>V</v>
      </c>
      <c r="C66" s="100">
        <v>47</v>
      </c>
      <c r="D66" s="49" cm="1">
        <f t="array" aca="1" ref="D66" ca="1">INDEX(OFFSET(auto_ss_data_table,0,1,500,1),C66)</f>
        <v>47</v>
      </c>
      <c r="E66" s="101" cm="1">
        <f t="array" aca="1" ref="E66" ca="1">INDEX(auto_tblSeries,$D66,E$18)</f>
        <v>1</v>
      </c>
      <c r="F66" s="101" t="str" cm="1">
        <f t="array" aca="1" ref="F66" ca="1">INDEX(auto_tblSeries,$D66,F$18)</f>
        <v>#,0.0</v>
      </c>
      <c r="G66" s="101" cm="1">
        <f t="array" aca="1" ref="G66" ca="1">INDEX(auto_tblSeries,$D66,G$18)</f>
        <v>0</v>
      </c>
      <c r="H66" s="101" cm="1">
        <f t="array" aca="1" ref="H66" ca="1">INDEX(sys_DataFlat_LU_Grid,$D66,1)-1</f>
        <v>2760</v>
      </c>
      <c r="I66" s="26"/>
      <c r="J66" s="148" t="str" cm="1">
        <f t="array" aca="1" ref="J66" ca="1">INDEX(auto_Series_NameNumbered,$D66)</f>
        <v>4) HEALTH SERVICES</v>
      </c>
      <c r="K66" s="149" t="str" cm="1">
        <f t="array" aca="1" ref="K66" ca="1">IF($G66=0,"",INDEX(auto_tblSeries,$D66,K$18))</f>
        <v/>
      </c>
      <c r="L66" s="150" t="str" cm="1">
        <f t="array" aca="1" ref="L66" ca="1">IF($G66=0,"",INDEX(auto_DataFlat_DataValue,$H66+L$18))</f>
        <v/>
      </c>
      <c r="M66" s="150" t="str" cm="1">
        <f t="array" aca="1" ref="M66" ca="1">IF($G66=0,"",INDEX(auto_DataFlat_DataValue,$H66+M$18))</f>
        <v/>
      </c>
      <c r="N66" s="150" t="str" cm="1">
        <f t="array" aca="1" ref="N66" ca="1">IF($G66=0,"",INDEX(auto_DataFlat_DataValue,$H66+N$18))</f>
        <v/>
      </c>
      <c r="O66" s="150" t="str" cm="1">
        <f t="array" aca="1" ref="O66" ca="1">IF($G66=0,"",INDEX(auto_DataFlat_DataValue,$H66+O$18))</f>
        <v/>
      </c>
      <c r="P66" s="150" t="str" cm="1">
        <f t="array" aca="1" ref="P66" ca="1">IF($G66=0,"",INDEX(auto_DataFlat_DataValue,$H66+P$18))</f>
        <v/>
      </c>
      <c r="Q66" s="150" t="str" cm="1">
        <f t="array" aca="1" ref="Q66" ca="1">IF($G66=0,"",INDEX(auto_DataFlat_DataValue,$H66+Q$18))</f>
        <v/>
      </c>
      <c r="R66" s="150" t="str" cm="1">
        <f t="array" aca="1" ref="R66" ca="1">IF($G66=0,"",INDEX(auto_DataFlat_DataValue,$H66+R$18))</f>
        <v/>
      </c>
      <c r="S66" s="150" t="str" cm="1">
        <f t="array" aca="1" ref="S66" ca="1">IF($G66=0,"",INDEX(auto_DataFlat_DataValue,$H66+S$18))</f>
        <v/>
      </c>
      <c r="T66" s="150" t="str" cm="1">
        <f t="array" aca="1" ref="T66" ca="1">IF($G66=0,"",INDEX(auto_DataFlat_DataValue,$H66+T$18))</f>
        <v/>
      </c>
      <c r="U66" s="150" t="str" cm="1">
        <f t="array" aca="1" ref="U66" ca="1">IF($G66=0,"",INDEX(auto_DataFlat_DataValue,$H66+U$18))</f>
        <v/>
      </c>
      <c r="V66" s="150" t="str" cm="1">
        <f t="array" aca="1" ref="V66" ca="1">IF($G66=0,"",INDEX(auto_DataFlat_DataValue,$H66+V$18))</f>
        <v/>
      </c>
      <c r="W66" s="150" t="str" cm="1">
        <f t="array" aca="1" ref="W66" ca="1">IF($G66=0,"",INDEX(auto_DataFlat_DataValue,$H66+W$18))</f>
        <v/>
      </c>
      <c r="X66" s="150" t="str" cm="1">
        <f t="array" aca="1" ref="X66" ca="1">IF($G66=0,"",INDEX(auto_DataFlat_DataValue,$H66+X$18))</f>
        <v/>
      </c>
      <c r="Y66" s="150" t="str" cm="1">
        <f t="array" aca="1" ref="Y66" ca="1">IF($G66=0,"",INDEX(auto_DataFlat_DataValue,$H66+Y$18))</f>
        <v/>
      </c>
      <c r="Z66" s="150" t="str" cm="1">
        <f t="array" aca="1" ref="Z66" ca="1">IF($G66=0,"",INDEX(auto_DataFlat_DataValue,$H66+Z$18))</f>
        <v/>
      </c>
      <c r="AA66" s="150" t="str" cm="1">
        <f t="array" aca="1" ref="AA66" ca="1">IF($G66=0,"",INDEX(auto_DataFlat_DataValue,$H66+AA$18))</f>
        <v/>
      </c>
      <c r="AB66" s="150" t="str" cm="1">
        <f t="array" aca="1" ref="AB66" ca="1">IF($G66=0,"",INDEX(auto_DataFlat_DataValue,$H66+AB$18))</f>
        <v/>
      </c>
      <c r="AC66" s="150" t="str" cm="1">
        <f t="array" aca="1" ref="AC66" ca="1">IF($G66=0,"",INDEX(auto_DataFlat_DataValue,$H66+AC$18))</f>
        <v/>
      </c>
      <c r="AD66" s="150" t="str" cm="1">
        <f t="array" aca="1" ref="AD66" ca="1">IF($G66=0,"",INDEX(auto_DataFlat_DataValue,$H66+AD$18))</f>
        <v/>
      </c>
      <c r="AE66" s="150" t="str" cm="1">
        <f t="array" aca="1" ref="AE66" ca="1">IF($G66=0,"",INDEX(auto_DataFlat_DataValue,$H66+AE$18))</f>
        <v/>
      </c>
      <c r="AF66" s="150" t="str" cm="1">
        <f t="array" aca="1" ref="AF66" ca="1">IF($G66=0,"",INDEX(auto_DataFlat_DataValue,$H66+AF$18))</f>
        <v/>
      </c>
      <c r="AG66" s="150" t="str" cm="1">
        <f t="array" aca="1" ref="AG66" ca="1">IF($G66=0,"",INDEX(auto_DataFlat_DataValue,$H66+AG$18))</f>
        <v/>
      </c>
      <c r="AH66" s="150" t="str" cm="1">
        <f t="array" aca="1" ref="AH66" ca="1">IF($G66=0,"",INDEX(auto_DataFlat_DataValue,$H66+AH$18))</f>
        <v/>
      </c>
      <c r="AI66" s="150" t="str" cm="1">
        <f t="array" aca="1" ref="AI66" ca="1">IF($G66=0,"",INDEX(auto_DataFlat_DataValue,$H66+AI$18))</f>
        <v/>
      </c>
      <c r="AJ66" s="150" t="str" cm="1">
        <f t="array" aca="1" ref="AJ66" ca="1">IF($G66=0,"",INDEX(auto_DataFlat_DataValue,$H66+AJ$18))</f>
        <v/>
      </c>
      <c r="AK66" s="150" t="str" cm="1">
        <f t="array" aca="1" ref="AK66" ca="1">IF($G66=0,"",INDEX(auto_DataFlat_DataValue,$H66+AK$18))</f>
        <v/>
      </c>
      <c r="AL66" s="150" t="str" cm="1">
        <f t="array" aca="1" ref="AL66" ca="1">IF($G66=0,"",INDEX(auto_DataFlat_DataValue,$H66+AL$18))</f>
        <v/>
      </c>
      <c r="AM66" s="150" t="str" cm="1">
        <f t="array" aca="1" ref="AM66" ca="1">IF($G66=0,"",INDEX(auto_DataFlat_DataValue,$H66+AM$18))</f>
        <v/>
      </c>
      <c r="AN66" s="150" t="str" cm="1">
        <f t="array" aca="1" ref="AN66" ca="1">IF($G66=0,"",INDEX(auto_DataFlat_DataValue,$H66+AN$18))</f>
        <v/>
      </c>
      <c r="AO66" s="150" t="str" cm="1">
        <f t="array" aca="1" ref="AO66" ca="1">IF($G66=0,"",INDEX(auto_DataFlat_DataValue,$H66+AO$18))</f>
        <v/>
      </c>
      <c r="AP66" s="150" t="str" cm="1">
        <f t="array" aca="1" ref="AP66" ca="1">IF($G66=0,"",INDEX(auto_DataFlat_DataValue,$H66+AP$18))</f>
        <v/>
      </c>
      <c r="AQ66" s="150" t="str" cm="1">
        <f t="array" aca="1" ref="AQ66" ca="1">IF($G66=0,"",INDEX(auto_DataFlat_DataValue,$H66+AQ$18))</f>
        <v/>
      </c>
      <c r="AR66" s="150" t="str" cm="1">
        <f t="array" aca="1" ref="AR66" ca="1">IF($G66=0,"",INDEX(auto_DataFlat_DataValue,$H66+AR$18))</f>
        <v/>
      </c>
      <c r="AS66" s="150" t="str" cm="1">
        <f t="array" aca="1" ref="AS66" ca="1">IF($G66=0,"",INDEX(auto_DataFlat_DataValue,$H66+AS$18))</f>
        <v/>
      </c>
      <c r="AT66" s="150" t="str" cm="1">
        <f t="array" aca="1" ref="AT66" ca="1">IF($G66=0,"",INDEX(auto_DataFlat_DataValue,$H66+AT$18))</f>
        <v/>
      </c>
      <c r="AU66" s="150" t="str" cm="1">
        <f t="array" aca="1" ref="AU66" ca="1">IF($G66=0,"",INDEX(auto_DataFlat_DataValue,$H66+AU$18))</f>
        <v/>
      </c>
      <c r="AV66" s="150" t="str" cm="1">
        <f t="array" aca="1" ref="AV66" ca="1">IF($G66=0,"",INDEX(auto_DataFlat_DataValue,$H66+AV$18))</f>
        <v/>
      </c>
      <c r="AW66" s="150" t="str" cm="1">
        <f t="array" aca="1" ref="AW66" ca="1">IF($G66=0,"",INDEX(auto_DataFlat_DataValue,$H66+AW$18))</f>
        <v/>
      </c>
      <c r="AX66" s="150" t="str" cm="1">
        <f t="array" aca="1" ref="AX66" ca="1">IF($G66=0,"",INDEX(auto_DataFlat_DataValue,$H66+AX$18))</f>
        <v/>
      </c>
      <c r="AY66" s="150" t="str" cm="1">
        <f t="array" aca="1" ref="AY66" ca="1">IF($G66=0,"",INDEX(auto_DataFlat_DataValue,$H66+AY$18))</f>
        <v/>
      </c>
      <c r="AZ66" s="150" t="str" cm="1">
        <f t="array" aca="1" ref="AZ66" ca="1">IF($G66=0,"",INDEX(auto_DataFlat_DataValue,$H66+AZ$18))</f>
        <v/>
      </c>
      <c r="BA66" s="150" t="str" cm="1">
        <f t="array" aca="1" ref="BA66" ca="1">IF($G66=0,"",INDEX(auto_DataFlat_DataValue,$H66+BA$18))</f>
        <v/>
      </c>
      <c r="BB66" s="150" t="str" cm="1">
        <f t="array" aca="1" ref="BB66" ca="1">IF($G66=0,"",INDEX(auto_DataFlat_DataValue,$H66+BB$18))</f>
        <v/>
      </c>
      <c r="BC66" s="150" t="str" cm="1">
        <f t="array" aca="1" ref="BC66" ca="1">IF($G66=0,"",INDEX(auto_DataFlat_DataValue,$H66+BC$18))</f>
        <v/>
      </c>
      <c r="BD66" s="150" t="str" cm="1">
        <f t="array" aca="1" ref="BD66" ca="1">IF($G66=0,"",INDEX(auto_DataFlat_DataValue,$H66+BD$18))</f>
        <v/>
      </c>
      <c r="BE66" s="150" t="str" cm="1">
        <f t="array" aca="1" ref="BE66" ca="1">IF($G66=0,"",INDEX(auto_DataFlat_DataValue,$H66+BE$18))</f>
        <v/>
      </c>
      <c r="BF66" s="150" t="str" cm="1">
        <f t="array" aca="1" ref="BF66" ca="1">IF($G66=0,"",INDEX(auto_DataFlat_DataValue,$H66+BF$18))</f>
        <v/>
      </c>
      <c r="BG66" s="150" t="str" cm="1">
        <f t="array" aca="1" ref="BG66" ca="1">IF($G66=0,"",INDEX(auto_DataFlat_DataValue,$H66+BG$18))</f>
        <v/>
      </c>
      <c r="BH66" s="150" t="str" cm="1">
        <f t="array" aca="1" ref="BH66" ca="1">IF($G66=0,"",INDEX(auto_DataFlat_DataValue,$H66+BH$18))</f>
        <v/>
      </c>
      <c r="BI66" s="150" t="str" cm="1">
        <f t="array" aca="1" ref="BI66" ca="1">IF($G66=0,"",INDEX(auto_DataFlat_DataValue,$H66+BI$18))</f>
        <v/>
      </c>
    </row>
    <row r="67" spans="1:61" ht="17.05" customHeight="1" x14ac:dyDescent="0.4">
      <c r="A67" t="str">
        <f t="shared" si="3"/>
        <v/>
      </c>
      <c r="B67" s="42" t="str">
        <f t="shared" ca="1" si="1"/>
        <v/>
      </c>
      <c r="C67" s="100">
        <v>48</v>
      </c>
      <c r="D67" s="49" cm="1">
        <f t="array" aca="1" ref="D67" ca="1">INDEX(OFFSET(auto_ss_data_table,0,1,500,1),C67)</f>
        <v>48</v>
      </c>
      <c r="E67" s="101" cm="1">
        <f t="array" aca="1" ref="E67" ca="1">INDEX(auto_tblSeries,$D67,E$18)</f>
        <v>2</v>
      </c>
      <c r="F67" s="101" t="str" cm="1">
        <f t="array" aca="1" ref="F67" ca="1">INDEX(auto_tblSeries,$D67,F$18)</f>
        <v>#,##0</v>
      </c>
      <c r="G67" s="101" cm="1">
        <f t="array" aca="1" ref="G67" ca="1">INDEX(auto_tblSeries,$D67,G$18)</f>
        <v>1</v>
      </c>
      <c r="H67" s="101" cm="1">
        <f t="array" aca="1" ref="H67" ca="1">INDEX(sys_DataFlat_LU_Grid,$D67,1)-1</f>
        <v>2820</v>
      </c>
      <c r="I67" s="26"/>
      <c r="J67" s="151" t="str" cm="1">
        <f t="array" aca="1" ref="J67" ca="1">INDEX(auto_Series_NameNumbered,$D67)</f>
        <v>4.1) Access to medicines</v>
      </c>
      <c r="K67" s="152" t="str" cm="1">
        <f t="array" aca="1" ref="K67" ca="1">IF($G67=0,"",INDEX(auto_tblSeries,$D67,K$18))</f>
        <v>Rating 0-2</v>
      </c>
      <c r="L67" s="154" cm="1">
        <f t="array" aca="1" ref="L67" ca="1">IF($G67=0,"",INDEX(auto_DataFlat_DataValue,$H67+L$18))</f>
        <v>0</v>
      </c>
      <c r="M67" s="154" cm="1">
        <f t="array" aca="1" ref="M67" ca="1">IF($G67=0,"",INDEX(auto_DataFlat_DataValue,$H67+M$18))</f>
        <v>2</v>
      </c>
      <c r="N67" s="154" cm="1">
        <f t="array" aca="1" ref="N67" ca="1">IF($G67=0,"",INDEX(auto_DataFlat_DataValue,$H67+N$18))</f>
        <v>2</v>
      </c>
      <c r="O67" s="154" cm="1">
        <f t="array" aca="1" ref="O67" ca="1">IF($G67=0,"",INDEX(auto_DataFlat_DataValue,$H67+O$18))</f>
        <v>2</v>
      </c>
      <c r="P67" s="154" cm="1">
        <f t="array" aca="1" ref="P67" ca="1">IF($G67=0,"",INDEX(auto_DataFlat_DataValue,$H67+P$18))</f>
        <v>2</v>
      </c>
      <c r="Q67" s="154" cm="1">
        <f t="array" aca="1" ref="Q67" ca="1">IF($G67=0,"",INDEX(auto_DataFlat_DataValue,$H67+Q$18))</f>
        <v>1</v>
      </c>
      <c r="R67" s="154" cm="1">
        <f t="array" aca="1" ref="R67" ca="1">IF($G67=0,"",INDEX(auto_DataFlat_DataValue,$H67+R$18))</f>
        <v>2</v>
      </c>
      <c r="S67" s="154" cm="1">
        <f t="array" aca="1" ref="S67" ca="1">IF($G67=0,"",INDEX(auto_DataFlat_DataValue,$H67+S$18))</f>
        <v>1</v>
      </c>
      <c r="T67" s="154" cm="1">
        <f t="array" aca="1" ref="T67" ca="1">IF($G67=0,"",INDEX(auto_DataFlat_DataValue,$H67+T$18))</f>
        <v>2</v>
      </c>
      <c r="U67" s="154" cm="1">
        <f t="array" aca="1" ref="U67" ca="1">IF($G67=0,"",INDEX(auto_DataFlat_DataValue,$H67+U$18))</f>
        <v>2</v>
      </c>
      <c r="V67" s="154" cm="1">
        <f t="array" aca="1" ref="V67" ca="1">IF($G67=0,"",INDEX(auto_DataFlat_DataValue,$H67+V$18))</f>
        <v>2</v>
      </c>
      <c r="W67" s="154" cm="1">
        <f t="array" aca="1" ref="W67" ca="1">IF($G67=0,"",INDEX(auto_DataFlat_DataValue,$H67+W$18))</f>
        <v>2</v>
      </c>
      <c r="X67" s="154" cm="1">
        <f t="array" aca="1" ref="X67" ca="1">IF($G67=0,"",INDEX(auto_DataFlat_DataValue,$H67+X$18))</f>
        <v>1</v>
      </c>
      <c r="Y67" s="154" cm="1">
        <f t="array" aca="1" ref="Y67" ca="1">IF($G67=0,"",INDEX(auto_DataFlat_DataValue,$H67+Y$18))</f>
        <v>2</v>
      </c>
      <c r="Z67" s="154" cm="1">
        <f t="array" aca="1" ref="Z67" ca="1">IF($G67=0,"",INDEX(auto_DataFlat_DataValue,$H67+Z$18))</f>
        <v>2</v>
      </c>
      <c r="AA67" s="154" cm="1">
        <f t="array" aca="1" ref="AA67" ca="1">IF($G67=0,"",INDEX(auto_DataFlat_DataValue,$H67+AA$18))</f>
        <v>2</v>
      </c>
      <c r="AB67" s="154" cm="1">
        <f t="array" aca="1" ref="AB67" ca="1">IF($G67=0,"",INDEX(auto_DataFlat_DataValue,$H67+AB$18))</f>
        <v>2</v>
      </c>
      <c r="AC67" s="154" cm="1">
        <f t="array" aca="1" ref="AC67" ca="1">IF($G67=0,"",INDEX(auto_DataFlat_DataValue,$H67+AC$18))</f>
        <v>2</v>
      </c>
      <c r="AD67" s="154" cm="1">
        <f t="array" aca="1" ref="AD67" ca="1">IF($G67=0,"",INDEX(auto_DataFlat_DataValue,$H67+AD$18))</f>
        <v>2</v>
      </c>
      <c r="AE67" s="154" cm="1">
        <f t="array" aca="1" ref="AE67" ca="1">IF($G67=0,"",INDEX(auto_DataFlat_DataValue,$H67+AE$18))</f>
        <v>2</v>
      </c>
      <c r="AF67" s="154" cm="1">
        <f t="array" aca="1" ref="AF67" ca="1">IF($G67=0,"",INDEX(auto_DataFlat_DataValue,$H67+AF$18))</f>
        <v>0</v>
      </c>
      <c r="AG67" s="154" cm="1">
        <f t="array" aca="1" ref="AG67" ca="1">IF($G67=0,"",INDEX(auto_DataFlat_DataValue,$H67+AG$18))</f>
        <v>2</v>
      </c>
      <c r="AH67" s="154" cm="1">
        <f t="array" aca="1" ref="AH67" ca="1">IF($G67=0,"",INDEX(auto_DataFlat_DataValue,$H67+AH$18))</f>
        <v>2</v>
      </c>
      <c r="AI67" s="154" cm="1">
        <f t="array" aca="1" ref="AI67" ca="1">IF($G67=0,"",INDEX(auto_DataFlat_DataValue,$H67+AI$18))</f>
        <v>1</v>
      </c>
      <c r="AJ67" s="154" cm="1">
        <f t="array" aca="1" ref="AJ67" ca="1">IF($G67=0,"",INDEX(auto_DataFlat_DataValue,$H67+AJ$18))</f>
        <v>2</v>
      </c>
      <c r="AK67" s="154" cm="1">
        <f t="array" aca="1" ref="AK67" ca="1">IF($G67=0,"",INDEX(auto_DataFlat_DataValue,$H67+AK$18))</f>
        <v>2</v>
      </c>
      <c r="AL67" s="154" cm="1">
        <f t="array" aca="1" ref="AL67" ca="1">IF($G67=0,"",INDEX(auto_DataFlat_DataValue,$H67+AL$18))</f>
        <v>2</v>
      </c>
      <c r="AM67" s="154" cm="1">
        <f t="array" aca="1" ref="AM67" ca="1">IF($G67=0,"",INDEX(auto_DataFlat_DataValue,$H67+AM$18))</f>
        <v>2</v>
      </c>
      <c r="AN67" s="154" cm="1">
        <f t="array" aca="1" ref="AN67" ca="1">IF($G67=0,"",INDEX(auto_DataFlat_DataValue,$H67+AN$18))</f>
        <v>2</v>
      </c>
      <c r="AO67" s="154" cm="1">
        <f t="array" aca="1" ref="AO67" ca="1">IF($G67=0,"",INDEX(auto_DataFlat_DataValue,$H67+AO$18))</f>
        <v>2</v>
      </c>
      <c r="AP67" s="154" cm="1">
        <f t="array" aca="1" ref="AP67" ca="1">IF($G67=0,"",INDEX(auto_DataFlat_DataValue,$H67+AP$18))</f>
        <v>2</v>
      </c>
      <c r="AQ67" s="154" cm="1">
        <f t="array" aca="1" ref="AQ67" ca="1">IF($G67=0,"",INDEX(auto_DataFlat_DataValue,$H67+AQ$18))</f>
        <v>2</v>
      </c>
      <c r="AR67" s="154" cm="1">
        <f t="array" aca="1" ref="AR67" ca="1">IF($G67=0,"",INDEX(auto_DataFlat_DataValue,$H67+AR$18))</f>
        <v>1</v>
      </c>
      <c r="AS67" s="154" cm="1">
        <f t="array" aca="1" ref="AS67" ca="1">IF($G67=0,"",INDEX(auto_DataFlat_DataValue,$H67+AS$18))</f>
        <v>2</v>
      </c>
      <c r="AT67" s="154" cm="1">
        <f t="array" aca="1" ref="AT67" ca="1">IF($G67=0,"",INDEX(auto_DataFlat_DataValue,$H67+AT$18))</f>
        <v>2</v>
      </c>
      <c r="AU67" s="154" cm="1">
        <f t="array" aca="1" ref="AU67" ca="1">IF($G67=0,"",INDEX(auto_DataFlat_DataValue,$H67+AU$18))</f>
        <v>2</v>
      </c>
      <c r="AV67" s="154" cm="1">
        <f t="array" aca="1" ref="AV67" ca="1">IF($G67=0,"",INDEX(auto_DataFlat_DataValue,$H67+AV$18))</f>
        <v>2</v>
      </c>
      <c r="AW67" s="154" cm="1">
        <f t="array" aca="1" ref="AW67" ca="1">IF($G67=0,"",INDEX(auto_DataFlat_DataValue,$H67+AW$18))</f>
        <v>2</v>
      </c>
      <c r="AX67" s="154" cm="1">
        <f t="array" aca="1" ref="AX67" ca="1">IF($G67=0,"",INDEX(auto_DataFlat_DataValue,$H67+AX$18))</f>
        <v>2</v>
      </c>
      <c r="AY67" s="154" cm="1">
        <f t="array" aca="1" ref="AY67" ca="1">IF($G67=0,"",INDEX(auto_DataFlat_DataValue,$H67+AY$18))</f>
        <v>2</v>
      </c>
      <c r="AZ67" s="154" cm="1">
        <f t="array" aca="1" ref="AZ67" ca="1">IF($G67=0,"",INDEX(auto_DataFlat_DataValue,$H67+AZ$18))</f>
        <v>2</v>
      </c>
      <c r="BA67" s="154" cm="1">
        <f t="array" aca="1" ref="BA67" ca="1">IF($G67=0,"",INDEX(auto_DataFlat_DataValue,$H67+BA$18))</f>
        <v>2</v>
      </c>
      <c r="BB67" s="154" cm="1">
        <f t="array" aca="1" ref="BB67" ca="1">IF($G67=0,"",INDEX(auto_DataFlat_DataValue,$H67+BB$18))</f>
        <v>2</v>
      </c>
      <c r="BC67" s="154" cm="1">
        <f t="array" aca="1" ref="BC67" ca="1">IF($G67=0,"",INDEX(auto_DataFlat_DataValue,$H67+BC$18))</f>
        <v>2</v>
      </c>
      <c r="BD67" s="154" cm="1">
        <f t="array" aca="1" ref="BD67" ca="1">IF($G67=0,"",INDEX(auto_DataFlat_DataValue,$H67+BD$18))</f>
        <v>2</v>
      </c>
      <c r="BE67" s="154" cm="1">
        <f t="array" aca="1" ref="BE67" ca="1">IF($G67=0,"",INDEX(auto_DataFlat_DataValue,$H67+BE$18))</f>
        <v>2</v>
      </c>
      <c r="BF67" s="154" cm="1">
        <f t="array" aca="1" ref="BF67" ca="1">IF($G67=0,"",INDEX(auto_DataFlat_DataValue,$H67+BF$18))</f>
        <v>2</v>
      </c>
      <c r="BG67" s="154" cm="1">
        <f t="array" aca="1" ref="BG67" ca="1">IF($G67=0,"",INDEX(auto_DataFlat_DataValue,$H67+BG$18))</f>
        <v>2</v>
      </c>
      <c r="BH67" s="154" cm="1">
        <f t="array" aca="1" ref="BH67" ca="1">IF($G67=0,"",INDEX(auto_DataFlat_DataValue,$H67+BH$18))</f>
        <v>0</v>
      </c>
      <c r="BI67" s="154" cm="1">
        <f t="array" aca="1" ref="BI67" ca="1">IF($G67=0,"",INDEX(auto_DataFlat_DataValue,$H67+BI$18))</f>
        <v>2</v>
      </c>
    </row>
    <row r="68" spans="1:61" ht="17.05" customHeight="1" x14ac:dyDescent="0.4">
      <c r="A68" t="str">
        <f t="shared" si="3"/>
        <v/>
      </c>
      <c r="B68" s="42" t="str">
        <f t="shared" ca="1" si="1"/>
        <v/>
      </c>
      <c r="C68" s="100">
        <v>49</v>
      </c>
      <c r="D68" s="49" cm="1">
        <f t="array" aca="1" ref="D68" ca="1">INDEX(OFFSET(auto_ss_data_table,0,1,500,1),C68)</f>
        <v>49</v>
      </c>
      <c r="E68" s="101" cm="1">
        <f t="array" aca="1" ref="E68" ca="1">INDEX(auto_tblSeries,$D68,E$18)</f>
        <v>2</v>
      </c>
      <c r="F68" s="101" t="str" cm="1">
        <f t="array" aca="1" ref="F68" ca="1">INDEX(auto_tblSeries,$D68,F$18)</f>
        <v>#,##0</v>
      </c>
      <c r="G68" s="101" cm="1">
        <f t="array" aca="1" ref="G68" ca="1">INDEX(auto_tblSeries,$D68,G$18)</f>
        <v>1</v>
      </c>
      <c r="H68" s="101" cm="1">
        <f t="array" aca="1" ref="H68" ca="1">INDEX(sys_DataFlat_LU_Grid,$D68,1)-1</f>
        <v>2880</v>
      </c>
      <c r="I68" s="26"/>
      <c r="J68" s="151" t="str" cm="1">
        <f t="array" aca="1" ref="J68" ca="1">INDEX(auto_Series_NameNumbered,$D68)</f>
        <v>4.2) Hypertension diagnosis coverage</v>
      </c>
      <c r="K68" s="152" t="str" cm="1">
        <f t="array" aca="1" ref="K68" ca="1">IF($G68=0,"",INDEX(auto_tblSeries,$D68,K$18))</f>
        <v>%</v>
      </c>
      <c r="L68" s="154" cm="1">
        <f t="array" aca="1" ref="L68" ca="1">IF($G68=0,"",INDEX(auto_DataFlat_DataValue,$H68+L$18))</f>
        <v>34</v>
      </c>
      <c r="M68" s="154" cm="1">
        <f t="array" aca="1" ref="M68" ca="1">IF($G68=0,"",INDEX(auto_DataFlat_DataValue,$H68+M$18))</f>
        <v>50</v>
      </c>
      <c r="N68" s="154" cm="1">
        <f t="array" aca="1" ref="N68" ca="1">IF($G68=0,"",INDEX(auto_DataFlat_DataValue,$H68+N$18))</f>
        <v>80</v>
      </c>
      <c r="O68" s="154" cm="1">
        <f t="array" aca="1" ref="O68" ca="1">IF($G68=0,"",INDEX(auto_DataFlat_DataValue,$H68+O$18))</f>
        <v>63</v>
      </c>
      <c r="P68" s="154" cm="1">
        <f t="array" aca="1" ref="P68" ca="1">IF($G68=0,"",INDEX(auto_DataFlat_DataValue,$H68+P$18))</f>
        <v>53</v>
      </c>
      <c r="Q68" s="154" cm="1">
        <f t="array" aca="1" ref="Q68" ca="1">IF($G68=0,"",INDEX(auto_DataFlat_DataValue,$H68+Q$18))</f>
        <v>52</v>
      </c>
      <c r="R68" s="154" cm="1">
        <f t="array" aca="1" ref="R68" ca="1">IF($G68=0,"",INDEX(auto_DataFlat_DataValue,$H68+R$18))</f>
        <v>72</v>
      </c>
      <c r="S68" s="154" cm="1">
        <f t="array" aca="1" ref="S68" ca="1">IF($G68=0,"",INDEX(auto_DataFlat_DataValue,$H68+S$18))</f>
        <v>69</v>
      </c>
      <c r="T68" s="154" cm="1">
        <f t="array" aca="1" ref="T68" ca="1">IF($G68=0,"",INDEX(auto_DataFlat_DataValue,$H68+T$18))</f>
        <v>60</v>
      </c>
      <c r="U68" s="154" cm="1">
        <f t="array" aca="1" ref="U68" ca="1">IF($G68=0,"",INDEX(auto_DataFlat_DataValue,$H68+U$18))</f>
        <v>53</v>
      </c>
      <c r="V68" s="154" cm="1">
        <f t="array" aca="1" ref="V68" ca="1">IF($G68=0,"",INDEX(auto_DataFlat_DataValue,$H68+V$18))</f>
        <v>47</v>
      </c>
      <c r="W68" s="154" cm="1">
        <f t="array" aca="1" ref="W68" ca="1">IF($G68=0,"",INDEX(auto_DataFlat_DataValue,$H68+W$18))</f>
        <v>37</v>
      </c>
      <c r="X68" s="154" cm="1">
        <f t="array" aca="1" ref="X68" ca="1">IF($G68=0,"",INDEX(auto_DataFlat_DataValue,$H68+X$18))</f>
        <v>50</v>
      </c>
      <c r="Y68" s="154" cm="1">
        <f t="array" aca="1" ref="Y68" ca="1">IF($G68=0,"",INDEX(auto_DataFlat_DataValue,$H68+Y$18))</f>
        <v>43</v>
      </c>
      <c r="Z68" s="154" cm="1">
        <f t="array" aca="1" ref="Z68" ca="1">IF($G68=0,"",INDEX(auto_DataFlat_DataValue,$H68+Z$18))</f>
        <v>68</v>
      </c>
      <c r="AA68" s="154" cm="1">
        <f t="array" aca="1" ref="AA68" ca="1">IF($G68=0,"",INDEX(auto_DataFlat_DataValue,$H68+AA$18))</f>
        <v>47</v>
      </c>
      <c r="AB68" s="154" cm="1">
        <f t="array" aca="1" ref="AB68" ca="1">IF($G68=0,"",INDEX(auto_DataFlat_DataValue,$H68+AB$18))</f>
        <v>60</v>
      </c>
      <c r="AC68" s="154" cm="1">
        <f t="array" aca="1" ref="AC68" ca="1">IF($G68=0,"",INDEX(auto_DataFlat_DataValue,$H68+AC$18))</f>
        <v>62</v>
      </c>
      <c r="AD68" s="154" cm="1">
        <f t="array" aca="1" ref="AD68" ca="1">IF($G68=0,"",INDEX(auto_DataFlat_DataValue,$H68+AD$18))</f>
        <v>36</v>
      </c>
      <c r="AE68" s="154" cm="1">
        <f t="array" aca="1" ref="AE68" ca="1">IF($G68=0,"",INDEX(auto_DataFlat_DataValue,$H68+AE$18))</f>
        <v>53</v>
      </c>
      <c r="AF68" s="154" cm="1">
        <f t="array" aca="1" ref="AF68" ca="1">IF($G68=0,"",INDEX(auto_DataFlat_DataValue,$H68+AF$18))</f>
        <v>44</v>
      </c>
      <c r="AG68" s="154" cm="1">
        <f t="array" aca="1" ref="AG68" ca="1">IF($G68=0,"",INDEX(auto_DataFlat_DataValue,$H68+AG$18))</f>
        <v>33</v>
      </c>
      <c r="AH68" s="154" cm="1">
        <f t="array" aca="1" ref="AH68" ca="1">IF($G68=0,"",INDEX(auto_DataFlat_DataValue,$H68+AH$18))</f>
        <v>37</v>
      </c>
      <c r="AI68" s="154" cm="1">
        <f t="array" aca="1" ref="AI68" ca="1">IF($G68=0,"",INDEX(auto_DataFlat_DataValue,$H68+AI$18))</f>
        <v>63</v>
      </c>
      <c r="AJ68" s="154" cm="1">
        <f t="array" aca="1" ref="AJ68" ca="1">IF($G68=0,"",INDEX(auto_DataFlat_DataValue,$H68+AJ$18))</f>
        <v>47</v>
      </c>
      <c r="AK68" s="154" cm="1">
        <f t="array" aca="1" ref="AK68" ca="1">IF($G68=0,"",INDEX(auto_DataFlat_DataValue,$H68+AK$18))</f>
        <v>59</v>
      </c>
      <c r="AL68" s="154" cm="1">
        <f t="array" aca="1" ref="AL68" ca="1">IF($G68=0,"",INDEX(auto_DataFlat_DataValue,$H68+AL$18))</f>
        <v>65</v>
      </c>
      <c r="AM68" s="154" cm="1">
        <f t="array" aca="1" ref="AM68" ca="1">IF($G68=0,"",INDEX(auto_DataFlat_DataValue,$H68+AM$18))</f>
        <v>52</v>
      </c>
      <c r="AN68" s="154" cm="1">
        <f t="array" aca="1" ref="AN68" ca="1">IF($G68=0,"",INDEX(auto_DataFlat_DataValue,$H68+AN$18))</f>
        <v>59</v>
      </c>
      <c r="AO68" s="154" cm="1">
        <f t="array" aca="1" ref="AO68" ca="1">IF($G68=0,"",INDEX(auto_DataFlat_DataValue,$H68+AO$18))</f>
        <v>58</v>
      </c>
      <c r="AP68" s="154" cm="1">
        <f t="array" aca="1" ref="AP68" ca="1">IF($G68=0,"",INDEX(auto_DataFlat_DataValue,$H68+AP$18))</f>
        <v>74</v>
      </c>
      <c r="AQ68" s="154" cm="1">
        <f t="array" aca="1" ref="AQ68" ca="1">IF($G68=0,"",INDEX(auto_DataFlat_DataValue,$H68+AQ$18))</f>
        <v>37</v>
      </c>
      <c r="AR68" s="154" cm="1">
        <f t="array" aca="1" ref="AR68" ca="1">IF($G68=0,"",INDEX(auto_DataFlat_DataValue,$H68+AR$18))</f>
        <v>40</v>
      </c>
      <c r="AS68" s="154" cm="1">
        <f t="array" aca="1" ref="AS68" ca="1">IF($G68=0,"",INDEX(auto_DataFlat_DataValue,$H68+AS$18))</f>
        <v>80</v>
      </c>
      <c r="AT68" s="154" cm="1">
        <f t="array" aca="1" ref="AT68" ca="1">IF($G68=0,"",INDEX(auto_DataFlat_DataValue,$H68+AT$18))</f>
        <v>67</v>
      </c>
      <c r="AU68" s="154" cm="1">
        <f t="array" aca="1" ref="AU68" ca="1">IF($G68=0,"",INDEX(auto_DataFlat_DataValue,$H68+AU$18))</f>
        <v>65</v>
      </c>
      <c r="AV68" s="154" cm="1">
        <f t="array" aca="1" ref="AV68" ca="1">IF($G68=0,"",INDEX(auto_DataFlat_DataValue,$H68+AV$18))</f>
        <v>51</v>
      </c>
      <c r="AW68" s="154" cm="1">
        <f t="array" aca="1" ref="AW68" ca="1">IF($G68=0,"",INDEX(auto_DataFlat_DataValue,$H68+AW$18))</f>
        <v>51</v>
      </c>
      <c r="AX68" s="154" cm="1">
        <f t="array" aca="1" ref="AX68" ca="1">IF($G68=0,"",INDEX(auto_DataFlat_DataValue,$H68+AX$18))</f>
        <v>62</v>
      </c>
      <c r="AY68" s="154" cm="1">
        <f t="array" aca="1" ref="AY68" ca="1">IF($G68=0,"",INDEX(auto_DataFlat_DataValue,$H68+AY$18))</f>
        <v>80</v>
      </c>
      <c r="AZ68" s="154" cm="1">
        <f t="array" aca="1" ref="AZ68" ca="1">IF($G68=0,"",INDEX(auto_DataFlat_DataValue,$H68+AZ$18))</f>
        <v>67</v>
      </c>
      <c r="BA68" s="154" cm="1">
        <f t="array" aca="1" ref="BA68" ca="1">IF($G68=0,"",INDEX(auto_DataFlat_DataValue,$H68+BA$18))</f>
        <v>71</v>
      </c>
      <c r="BB68" s="154" cm="1">
        <f t="array" aca="1" ref="BB68" ca="1">IF($G68=0,"",INDEX(auto_DataFlat_DataValue,$H68+BB$18))</f>
        <v>52</v>
      </c>
      <c r="BC68" s="154" cm="1">
        <f t="array" aca="1" ref="BC68" ca="1">IF($G68=0,"",INDEX(auto_DataFlat_DataValue,$H68+BC$18))</f>
        <v>66</v>
      </c>
      <c r="BD68" s="154" cm="1">
        <f t="array" aca="1" ref="BD68" ca="1">IF($G68=0,"",INDEX(auto_DataFlat_DataValue,$H68+BD$18))</f>
        <v>59</v>
      </c>
      <c r="BE68" s="154" cm="1">
        <f t="array" aca="1" ref="BE68" ca="1">IF($G68=0,"",INDEX(auto_DataFlat_DataValue,$H68+BE$18))</f>
        <v>67</v>
      </c>
      <c r="BF68" s="154" cm="1">
        <f t="array" aca="1" ref="BF68" ca="1">IF($G68=0,"",INDEX(auto_DataFlat_DataValue,$H68+BF$18))</f>
        <v>78</v>
      </c>
      <c r="BG68" s="154" cm="1">
        <f t="array" aca="1" ref="BG68" ca="1">IF($G68=0,"",INDEX(auto_DataFlat_DataValue,$H68+BG$18))</f>
        <v>63</v>
      </c>
      <c r="BH68" s="154" cm="1">
        <f t="array" aca="1" ref="BH68" ca="1">IF($G68=0,"",INDEX(auto_DataFlat_DataValue,$H68+BH$18))</f>
        <v>52</v>
      </c>
      <c r="BI68" s="154" cm="1">
        <f t="array" aca="1" ref="BI68" ca="1">IF($G68=0,"",INDEX(auto_DataFlat_DataValue,$H68+BI$18))</f>
        <v>58</v>
      </c>
    </row>
    <row r="69" spans="1:61" ht="17.05" customHeight="1" x14ac:dyDescent="0.4">
      <c r="A69" t="str">
        <f t="shared" si="3"/>
        <v/>
      </c>
      <c r="B69" s="42" t="str">
        <f t="shared" ca="1" si="1"/>
        <v/>
      </c>
      <c r="C69" s="100">
        <v>50</v>
      </c>
      <c r="D69" s="49" cm="1">
        <f t="array" aca="1" ref="D69" ca="1">INDEX(OFFSET(auto_ss_data_table,0,1,500,1),C69)</f>
        <v>50</v>
      </c>
      <c r="E69" s="101" cm="1">
        <f t="array" aca="1" ref="E69" ca="1">INDEX(auto_tblSeries,$D69,E$18)</f>
        <v>2</v>
      </c>
      <c r="F69" s="101" t="str" cm="1">
        <f t="array" aca="1" ref="F69" ca="1">INDEX(auto_tblSeries,$D69,F$18)</f>
        <v>#,0.0</v>
      </c>
      <c r="G69" s="101" cm="1">
        <f t="array" aca="1" ref="G69" ca="1">INDEX(auto_tblSeries,$D69,G$18)</f>
        <v>1</v>
      </c>
      <c r="H69" s="101" cm="1">
        <f t="array" aca="1" ref="H69" ca="1">INDEX(sys_DataFlat_LU_Grid,$D69,1)-1</f>
        <v>2940</v>
      </c>
      <c r="I69" s="26"/>
      <c r="J69" s="151" t="str" cm="1">
        <f t="array" aca="1" ref="J69" ca="1">INDEX(auto_Series_NameNumbered,$D69)</f>
        <v>4.3) Undiagnosed diabetes</v>
      </c>
      <c r="K69" s="152" t="str" cm="1">
        <f t="array" aca="1" ref="K69" ca="1">IF($G69=0,"",INDEX(auto_tblSeries,$D69,K$18))</f>
        <v>%</v>
      </c>
      <c r="L69" s="153" cm="1">
        <f t="array" aca="1" ref="L69" ca="1">IF($G69=0,"",INDEX(auto_DataFlat_DataValue,$H69+L$18))</f>
        <v>57.6</v>
      </c>
      <c r="M69" s="153" cm="1">
        <f t="array" aca="1" ref="M69" ca="1">IF($G69=0,"",INDEX(auto_DataFlat_DataValue,$H69+M$18))</f>
        <v>40.200000000000003</v>
      </c>
      <c r="N69" s="153" cm="1">
        <f t="array" aca="1" ref="N69" ca="1">IF($G69=0,"",INDEX(auto_DataFlat_DataValue,$H69+N$18))</f>
        <v>12.5</v>
      </c>
      <c r="O69" s="153" cm="1">
        <f t="array" aca="1" ref="O69" ca="1">IF($G69=0,"",INDEX(auto_DataFlat_DataValue,$H69+O$18))</f>
        <v>45.4</v>
      </c>
      <c r="P69" s="153" cm="1">
        <f t="array" aca="1" ref="P69" ca="1">IF($G69=0,"",INDEX(auto_DataFlat_DataValue,$H69+P$18))</f>
        <v>39.700000000000003</v>
      </c>
      <c r="Q69" s="153" cm="1">
        <f t="array" aca="1" ref="Q69" ca="1">IF($G69=0,"",INDEX(auto_DataFlat_DataValue,$H69+Q$18))</f>
        <v>51.7</v>
      </c>
      <c r="R69" s="153" cm="1">
        <f t="array" aca="1" ref="R69" ca="1">IF($G69=0,"",INDEX(auto_DataFlat_DataValue,$H69+R$18))</f>
        <v>21.7</v>
      </c>
      <c r="S69" s="153" cm="1">
        <f t="array" aca="1" ref="S69" ca="1">IF($G69=0,"",INDEX(auto_DataFlat_DataValue,$H69+S$18))</f>
        <v>36</v>
      </c>
      <c r="T69" s="153" cm="1">
        <f t="array" aca="1" ref="T69" ca="1">IF($G69=0,"",INDEX(auto_DataFlat_DataValue,$H69+T$18))</f>
        <v>16.7</v>
      </c>
      <c r="U69" s="153" cm="1">
        <f t="array" aca="1" ref="U69" ca="1">IF($G69=0,"",INDEX(auto_DataFlat_DataValue,$H69+U$18))</f>
        <v>62</v>
      </c>
      <c r="V69" s="153" cm="1">
        <f t="array" aca="1" ref="V69" ca="1">IF($G69=0,"",INDEX(auto_DataFlat_DataValue,$H69+V$18))</f>
        <v>35.799999999999997</v>
      </c>
      <c r="W69" s="153" cm="1">
        <f t="array" aca="1" ref="W69" ca="1">IF($G69=0,"",INDEX(auto_DataFlat_DataValue,$H69+W$18))</f>
        <v>53.1</v>
      </c>
      <c r="X69" s="153" cm="1">
        <f t="array" aca="1" ref="X69" ca="1">IF($G69=0,"",INDEX(auto_DataFlat_DataValue,$H69+X$18))</f>
        <v>43.5</v>
      </c>
      <c r="Y69" s="153" cm="1">
        <f t="array" aca="1" ref="Y69" ca="1">IF($G69=0,"",INDEX(auto_DataFlat_DataValue,$H69+Y$18))</f>
        <v>64</v>
      </c>
      <c r="Z69" s="153" cm="1">
        <f t="array" aca="1" ref="Z69" ca="1">IF($G69=0,"",INDEX(auto_DataFlat_DataValue,$H69+Z$18))</f>
        <v>18.8</v>
      </c>
      <c r="AA69" s="153" cm="1">
        <f t="array" aca="1" ref="AA69" ca="1">IF($G69=0,"",INDEX(auto_DataFlat_DataValue,$H69+AA$18))</f>
        <v>51.5</v>
      </c>
      <c r="AB69" s="153" cm="1">
        <f t="array" aca="1" ref="AB69" ca="1">IF($G69=0,"",INDEX(auto_DataFlat_DataValue,$H69+AB$18))</f>
        <v>54.2</v>
      </c>
      <c r="AC69" s="153" cm="1">
        <f t="array" aca="1" ref="AC69" ca="1">IF($G69=0,"",INDEX(auto_DataFlat_DataValue,$H69+AC$18))</f>
        <v>41.8</v>
      </c>
      <c r="AD69" s="153" cm="1">
        <f t="array" aca="1" ref="AD69" ca="1">IF($G69=0,"",INDEX(auto_DataFlat_DataValue,$H69+AD$18))</f>
        <v>73.7</v>
      </c>
      <c r="AE69" s="153" cm="1">
        <f t="array" aca="1" ref="AE69" ca="1">IF($G69=0,"",INDEX(auto_DataFlat_DataValue,$H69+AE$18))</f>
        <v>45.4</v>
      </c>
      <c r="AF69" s="153" cm="1">
        <f t="array" aca="1" ref="AF69" ca="1">IF($G69=0,"",INDEX(auto_DataFlat_DataValue,$H69+AF$18))</f>
        <v>26.9</v>
      </c>
      <c r="AG69" s="153" cm="1">
        <f t="array" aca="1" ref="AG69" ca="1">IF($G69=0,"",INDEX(auto_DataFlat_DataValue,$H69+AG$18))</f>
        <v>43.5</v>
      </c>
      <c r="AH69" s="153" cm="1">
        <f t="array" aca="1" ref="AH69" ca="1">IF($G69=0,"",INDEX(auto_DataFlat_DataValue,$H69+AH$18))</f>
        <v>53.1</v>
      </c>
      <c r="AI69" s="153" cm="1">
        <f t="array" aca="1" ref="AI69" ca="1">IF($G69=0,"",INDEX(auto_DataFlat_DataValue,$H69+AI$18))</f>
        <v>37.299999999999997</v>
      </c>
      <c r="AJ69" s="153" cm="1">
        <f t="array" aca="1" ref="AJ69" ca="1">IF($G69=0,"",INDEX(auto_DataFlat_DataValue,$H69+AJ$18))</f>
        <v>53.3</v>
      </c>
      <c r="AK69" s="153" cm="1">
        <f t="array" aca="1" ref="AK69" ca="1">IF($G69=0,"",INDEX(auto_DataFlat_DataValue,$H69+AK$18))</f>
        <v>23</v>
      </c>
      <c r="AL69" s="153" cm="1">
        <f t="array" aca="1" ref="AL69" ca="1">IF($G69=0,"",INDEX(auto_DataFlat_DataValue,$H69+AL$18))</f>
        <v>30.3</v>
      </c>
      <c r="AM69" s="153" cm="1">
        <f t="array" aca="1" ref="AM69" ca="1">IF($G69=0,"",INDEX(auto_DataFlat_DataValue,$H69+AM$18))</f>
        <v>66.7</v>
      </c>
      <c r="AN69" s="153" cm="1">
        <f t="array" aca="1" ref="AN69" ca="1">IF($G69=0,"",INDEX(auto_DataFlat_DataValue,$H69+AN$18))</f>
        <v>25</v>
      </c>
      <c r="AO69" s="153" cm="1">
        <f t="array" aca="1" ref="AO69" ca="1">IF($G69=0,"",INDEX(auto_DataFlat_DataValue,$H69+AO$18))</f>
        <v>47.5</v>
      </c>
      <c r="AP69" s="153" cm="1">
        <f t="array" aca="1" ref="AP69" ca="1">IF($G69=0,"",INDEX(auto_DataFlat_DataValue,$H69+AP$18))</f>
        <v>41</v>
      </c>
      <c r="AQ69" s="153" cm="1">
        <f t="array" aca="1" ref="AQ69" ca="1">IF($G69=0,"",INDEX(auto_DataFlat_DataValue,$H69+AQ$18))</f>
        <v>53.1</v>
      </c>
      <c r="AR69" s="153" cm="1">
        <f t="array" aca="1" ref="AR69" ca="1">IF($G69=0,"",INDEX(auto_DataFlat_DataValue,$H69+AR$18))</f>
        <v>43.7</v>
      </c>
      <c r="AS69" s="153" cm="1">
        <f t="array" aca="1" ref="AS69" ca="1">IF($G69=0,"",INDEX(auto_DataFlat_DataValue,$H69+AS$18))</f>
        <v>12.5</v>
      </c>
      <c r="AT69" s="153" cm="1">
        <f t="array" aca="1" ref="AT69" ca="1">IF($G69=0,"",INDEX(auto_DataFlat_DataValue,$H69+AT$18))</f>
        <v>45.5</v>
      </c>
      <c r="AU69" s="153" cm="1">
        <f t="array" aca="1" ref="AU69" ca="1">IF($G69=0,"",INDEX(auto_DataFlat_DataValue,$H69+AU$18))</f>
        <v>27.9</v>
      </c>
      <c r="AV69" s="153" cm="1">
        <f t="array" aca="1" ref="AV69" ca="1">IF($G69=0,"",INDEX(auto_DataFlat_DataValue,$H69+AV$18))</f>
        <v>56.1</v>
      </c>
      <c r="AW69" s="153" cm="1">
        <f t="array" aca="1" ref="AW69" ca="1">IF($G69=0,"",INDEX(auto_DataFlat_DataValue,$H69+AW$18))</f>
        <v>43.6</v>
      </c>
      <c r="AX69" s="153" cm="1">
        <f t="array" aca="1" ref="AX69" ca="1">IF($G69=0,"",INDEX(auto_DataFlat_DataValue,$H69+AX$18))</f>
        <v>33.5</v>
      </c>
      <c r="AY69" s="153" cm="1">
        <f t="array" aca="1" ref="AY69" ca="1">IF($G69=0,"",INDEX(auto_DataFlat_DataValue,$H69+AY$18))</f>
        <v>12.5</v>
      </c>
      <c r="AZ69" s="153" cm="1">
        <f t="array" aca="1" ref="AZ69" ca="1">IF($G69=0,"",INDEX(auto_DataFlat_DataValue,$H69+AZ$18))</f>
        <v>31.9</v>
      </c>
      <c r="BA69" s="153" cm="1">
        <f t="array" aca="1" ref="BA69" ca="1">IF($G69=0,"",INDEX(auto_DataFlat_DataValue,$H69+BA$18))</f>
        <v>36</v>
      </c>
      <c r="BB69" s="153" cm="1">
        <f t="array" aca="1" ref="BB69" ca="1">IF($G69=0,"",INDEX(auto_DataFlat_DataValue,$H69+BB$18))</f>
        <v>51.7</v>
      </c>
      <c r="BC69" s="153" cm="1">
        <f t="array" aca="1" ref="BC69" ca="1">IF($G69=0,"",INDEX(auto_DataFlat_DataValue,$H69+BC$18))</f>
        <v>50.4</v>
      </c>
      <c r="BD69" s="153" cm="1">
        <f t="array" aca="1" ref="BD69" ca="1">IF($G69=0,"",INDEX(auto_DataFlat_DataValue,$H69+BD$18))</f>
        <v>25</v>
      </c>
      <c r="BE69" s="153" cm="1">
        <f t="array" aca="1" ref="BE69" ca="1">IF($G69=0,"",INDEX(auto_DataFlat_DataValue,$H69+BE$18))</f>
        <v>45.5</v>
      </c>
      <c r="BF69" s="153" cm="1">
        <f t="array" aca="1" ref="BF69" ca="1">IF($G69=0,"",INDEX(auto_DataFlat_DataValue,$H69+BF$18))</f>
        <v>37.799999999999997</v>
      </c>
      <c r="BG69" s="153" cm="1">
        <f t="array" aca="1" ref="BG69" ca="1">IF($G69=0,"",INDEX(auto_DataFlat_DataValue,$H69+BG$18))</f>
        <v>25</v>
      </c>
      <c r="BH69" s="153" cm="1">
        <f t="array" aca="1" ref="BH69" ca="1">IF($G69=0,"",INDEX(auto_DataFlat_DataValue,$H69+BH$18))</f>
        <v>51.7</v>
      </c>
      <c r="BI69" s="153" cm="1">
        <f t="array" aca="1" ref="BI69" ca="1">IF($G69=0,"",INDEX(auto_DataFlat_DataValue,$H69+BI$18))</f>
        <v>51.7</v>
      </c>
    </row>
    <row r="70" spans="1:61" ht="17.05" customHeight="1" x14ac:dyDescent="0.4">
      <c r="A70" t="str">
        <f t="shared" si="3"/>
        <v/>
      </c>
      <c r="B70" s="42" t="str">
        <f t="shared" ca="1" si="1"/>
        <v/>
      </c>
      <c r="C70" s="100">
        <v>51</v>
      </c>
      <c r="D70" s="49" cm="1">
        <f t="array" aca="1" ref="D70" ca="1">INDEX(OFFSET(auto_ss_data_table,0,1,500,1),C70)</f>
        <v>51</v>
      </c>
      <c r="E70" s="101" cm="1">
        <f t="array" aca="1" ref="E70" ca="1">INDEX(auto_tblSeries,$D70,E$18)</f>
        <v>2</v>
      </c>
      <c r="F70" s="101" t="str" cm="1">
        <f t="array" aca="1" ref="F70" ca="1">INDEX(auto_tblSeries,$D70,F$18)</f>
        <v>#,##0</v>
      </c>
      <c r="G70" s="101" cm="1">
        <f t="array" aca="1" ref="G70" ca="1">INDEX(auto_tblSeries,$D70,G$18)</f>
        <v>1</v>
      </c>
      <c r="H70" s="101" cm="1">
        <f t="array" aca="1" ref="H70" ca="1">INDEX(sys_DataFlat_LU_Grid,$D70,1)-1</f>
        <v>3000</v>
      </c>
      <c r="I70" s="26"/>
      <c r="J70" s="151" t="str" cm="1">
        <f t="array" aca="1" ref="J70" ca="1">INDEX(auto_Series_NameNumbered,$D70)</f>
        <v>4.4) Patient-centred care</v>
      </c>
      <c r="K70" s="152" t="str" cm="1">
        <f t="array" aca="1" ref="K70" ca="1">IF($G70=0,"",INDEX(auto_tblSeries,$D70,K$18))</f>
        <v>Rating 0-1</v>
      </c>
      <c r="L70" s="154" cm="1">
        <f t="array" aca="1" ref="L70" ca="1">IF($G70=0,"",INDEX(auto_DataFlat_DataValue,$H70+L$18))</f>
        <v>0</v>
      </c>
      <c r="M70" s="154" cm="1">
        <f t="array" aca="1" ref="M70" ca="1">IF($G70=0,"",INDEX(auto_DataFlat_DataValue,$H70+M$18))</f>
        <v>0</v>
      </c>
      <c r="N70" s="154" cm="1">
        <f t="array" aca="1" ref="N70" ca="1">IF($G70=0,"",INDEX(auto_DataFlat_DataValue,$H70+N$18))</f>
        <v>0</v>
      </c>
      <c r="O70" s="154" cm="1">
        <f t="array" aca="1" ref="O70" ca="1">IF($G70=0,"",INDEX(auto_DataFlat_DataValue,$H70+O$18))</f>
        <v>1</v>
      </c>
      <c r="P70" s="154" cm="1">
        <f t="array" aca="1" ref="P70" ca="1">IF($G70=0,"",INDEX(auto_DataFlat_DataValue,$H70+P$18))</f>
        <v>1</v>
      </c>
      <c r="Q70" s="154" cm="1">
        <f t="array" aca="1" ref="Q70" ca="1">IF($G70=0,"",INDEX(auto_DataFlat_DataValue,$H70+Q$18))</f>
        <v>0</v>
      </c>
      <c r="R70" s="154" cm="1">
        <f t="array" aca="1" ref="R70" ca="1">IF($G70=0,"",INDEX(auto_DataFlat_DataValue,$H70+R$18))</f>
        <v>1</v>
      </c>
      <c r="S70" s="154" cm="1">
        <f t="array" aca="1" ref="S70" ca="1">IF($G70=0,"",INDEX(auto_DataFlat_DataValue,$H70+S$18))</f>
        <v>1</v>
      </c>
      <c r="T70" s="154" cm="1">
        <f t="array" aca="1" ref="T70" ca="1">IF($G70=0,"",INDEX(auto_DataFlat_DataValue,$H70+T$18))</f>
        <v>0</v>
      </c>
      <c r="U70" s="154" cm="1">
        <f t="array" aca="1" ref="U70" ca="1">IF($G70=0,"",INDEX(auto_DataFlat_DataValue,$H70+U$18))</f>
        <v>0</v>
      </c>
      <c r="V70" s="154" cm="1">
        <f t="array" aca="1" ref="V70" ca="1">IF($G70=0,"",INDEX(auto_DataFlat_DataValue,$H70+V$18))</f>
        <v>1</v>
      </c>
      <c r="W70" s="154" cm="1">
        <f t="array" aca="1" ref="W70" ca="1">IF($G70=0,"",INDEX(auto_DataFlat_DataValue,$H70+W$18))</f>
        <v>1</v>
      </c>
      <c r="X70" s="154" cm="1">
        <f t="array" aca="1" ref="X70" ca="1">IF($G70=0,"",INDEX(auto_DataFlat_DataValue,$H70+X$18))</f>
        <v>0</v>
      </c>
      <c r="Y70" s="154" cm="1">
        <f t="array" aca="1" ref="Y70" ca="1">IF($G70=0,"",INDEX(auto_DataFlat_DataValue,$H70+Y$18))</f>
        <v>0</v>
      </c>
      <c r="Z70" s="154" cm="1">
        <f t="array" aca="1" ref="Z70" ca="1">IF($G70=0,"",INDEX(auto_DataFlat_DataValue,$H70+Z$18))</f>
        <v>1</v>
      </c>
      <c r="AA70" s="154" cm="1">
        <f t="array" aca="1" ref="AA70" ca="1">IF($G70=0,"",INDEX(auto_DataFlat_DataValue,$H70+AA$18))</f>
        <v>0</v>
      </c>
      <c r="AB70" s="154" cm="1">
        <f t="array" aca="1" ref="AB70" ca="1">IF($G70=0,"",INDEX(auto_DataFlat_DataValue,$H70+AB$18))</f>
        <v>1</v>
      </c>
      <c r="AC70" s="154" cm="1">
        <f t="array" aca="1" ref="AC70" ca="1">IF($G70=0,"",INDEX(auto_DataFlat_DataValue,$H70+AC$18))</f>
        <v>1</v>
      </c>
      <c r="AD70" s="154" cm="1">
        <f t="array" aca="1" ref="AD70" ca="1">IF($G70=0,"",INDEX(auto_DataFlat_DataValue,$H70+AD$18))</f>
        <v>0</v>
      </c>
      <c r="AE70" s="154" cm="1">
        <f t="array" aca="1" ref="AE70" ca="1">IF($G70=0,"",INDEX(auto_DataFlat_DataValue,$H70+AE$18))</f>
        <v>0</v>
      </c>
      <c r="AF70" s="154" cm="1">
        <f t="array" aca="1" ref="AF70" ca="1">IF($G70=0,"",INDEX(auto_DataFlat_DataValue,$H70+AF$18))</f>
        <v>0</v>
      </c>
      <c r="AG70" s="154" cm="1">
        <f t="array" aca="1" ref="AG70" ca="1">IF($G70=0,"",INDEX(auto_DataFlat_DataValue,$H70+AG$18))</f>
        <v>0</v>
      </c>
      <c r="AH70" s="154" cm="1">
        <f t="array" aca="1" ref="AH70" ca="1">IF($G70=0,"",INDEX(auto_DataFlat_DataValue,$H70+AH$18))</f>
        <v>1</v>
      </c>
      <c r="AI70" s="154" cm="1">
        <f t="array" aca="1" ref="AI70" ca="1">IF($G70=0,"",INDEX(auto_DataFlat_DataValue,$H70+AI$18))</f>
        <v>0</v>
      </c>
      <c r="AJ70" s="154" cm="1">
        <f t="array" aca="1" ref="AJ70" ca="1">IF($G70=0,"",INDEX(auto_DataFlat_DataValue,$H70+AJ$18))</f>
        <v>0</v>
      </c>
      <c r="AK70" s="154" cm="1">
        <f t="array" aca="1" ref="AK70" ca="1">IF($G70=0,"",INDEX(auto_DataFlat_DataValue,$H70+AK$18))</f>
        <v>1</v>
      </c>
      <c r="AL70" s="154" cm="1">
        <f t="array" aca="1" ref="AL70" ca="1">IF($G70=0,"",INDEX(auto_DataFlat_DataValue,$H70+AL$18))</f>
        <v>1</v>
      </c>
      <c r="AM70" s="154" cm="1">
        <f t="array" aca="1" ref="AM70" ca="1">IF($G70=0,"",INDEX(auto_DataFlat_DataValue,$H70+AM$18))</f>
        <v>0</v>
      </c>
      <c r="AN70" s="154" cm="1">
        <f t="array" aca="1" ref="AN70" ca="1">IF($G70=0,"",INDEX(auto_DataFlat_DataValue,$H70+AN$18))</f>
        <v>1</v>
      </c>
      <c r="AO70" s="154" cm="1">
        <f t="array" aca="1" ref="AO70" ca="1">IF($G70=0,"",INDEX(auto_DataFlat_DataValue,$H70+AO$18))</f>
        <v>1</v>
      </c>
      <c r="AP70" s="154" cm="1">
        <f t="array" aca="1" ref="AP70" ca="1">IF($G70=0,"",INDEX(auto_DataFlat_DataValue,$H70+AP$18))</f>
        <v>0</v>
      </c>
      <c r="AQ70" s="154" cm="1">
        <f t="array" aca="1" ref="AQ70" ca="1">IF($G70=0,"",INDEX(auto_DataFlat_DataValue,$H70+AQ$18))</f>
        <v>1</v>
      </c>
      <c r="AR70" s="154" cm="1">
        <f t="array" aca="1" ref="AR70" ca="1">IF($G70=0,"",INDEX(auto_DataFlat_DataValue,$H70+AR$18))</f>
        <v>0</v>
      </c>
      <c r="AS70" s="154" cm="1">
        <f t="array" aca="1" ref="AS70" ca="1">IF($G70=0,"",INDEX(auto_DataFlat_DataValue,$H70+AS$18))</f>
        <v>1</v>
      </c>
      <c r="AT70" s="154" cm="1">
        <f t="array" aca="1" ref="AT70" ca="1">IF($G70=0,"",INDEX(auto_DataFlat_DataValue,$H70+AT$18))</f>
        <v>1</v>
      </c>
      <c r="AU70" s="154" cm="1">
        <f t="array" aca="1" ref="AU70" ca="1">IF($G70=0,"",INDEX(auto_DataFlat_DataValue,$H70+AU$18))</f>
        <v>1</v>
      </c>
      <c r="AV70" s="154" cm="1">
        <f t="array" aca="1" ref="AV70" ca="1">IF($G70=0,"",INDEX(auto_DataFlat_DataValue,$H70+AV$18))</f>
        <v>0</v>
      </c>
      <c r="AW70" s="154" cm="1">
        <f t="array" aca="1" ref="AW70" ca="1">IF($G70=0,"",INDEX(auto_DataFlat_DataValue,$H70+AW$18))</f>
        <v>0</v>
      </c>
      <c r="AX70" s="154" cm="1">
        <f t="array" aca="1" ref="AX70" ca="1">IF($G70=0,"",INDEX(auto_DataFlat_DataValue,$H70+AX$18))</f>
        <v>1</v>
      </c>
      <c r="AY70" s="154" cm="1">
        <f t="array" aca="1" ref="AY70" ca="1">IF($G70=0,"",INDEX(auto_DataFlat_DataValue,$H70+AY$18))</f>
        <v>1</v>
      </c>
      <c r="AZ70" s="154" cm="1">
        <f t="array" aca="1" ref="AZ70" ca="1">IF($G70=0,"",INDEX(auto_DataFlat_DataValue,$H70+AZ$18))</f>
        <v>1</v>
      </c>
      <c r="BA70" s="154" cm="1">
        <f t="array" aca="1" ref="BA70" ca="1">IF($G70=0,"",INDEX(auto_DataFlat_DataValue,$H70+BA$18))</f>
        <v>1</v>
      </c>
      <c r="BB70" s="154" cm="1">
        <f t="array" aca="1" ref="BB70" ca="1">IF($G70=0,"",INDEX(auto_DataFlat_DataValue,$H70+BB$18))</f>
        <v>0</v>
      </c>
      <c r="BC70" s="154" cm="1">
        <f t="array" aca="1" ref="BC70" ca="1">IF($G70=0,"",INDEX(auto_DataFlat_DataValue,$H70+BC$18))</f>
        <v>0</v>
      </c>
      <c r="BD70" s="154" cm="1">
        <f t="array" aca="1" ref="BD70" ca="1">IF($G70=0,"",INDEX(auto_DataFlat_DataValue,$H70+BD$18))</f>
        <v>1</v>
      </c>
      <c r="BE70" s="154" cm="1">
        <f t="array" aca="1" ref="BE70" ca="1">IF($G70=0,"",INDEX(auto_DataFlat_DataValue,$H70+BE$18))</f>
        <v>1</v>
      </c>
      <c r="BF70" s="154" cm="1">
        <f t="array" aca="1" ref="BF70" ca="1">IF($G70=0,"",INDEX(auto_DataFlat_DataValue,$H70+BF$18))</f>
        <v>0</v>
      </c>
      <c r="BG70" s="154" cm="1">
        <f t="array" aca="1" ref="BG70" ca="1">IF($G70=0,"",INDEX(auto_DataFlat_DataValue,$H70+BG$18))</f>
        <v>1</v>
      </c>
      <c r="BH70" s="154" cm="1">
        <f t="array" aca="1" ref="BH70" ca="1">IF($G70=0,"",INDEX(auto_DataFlat_DataValue,$H70+BH$18))</f>
        <v>1</v>
      </c>
      <c r="BI70" s="154" cm="1">
        <f t="array" aca="1" ref="BI70" ca="1">IF($G70=0,"",INDEX(auto_DataFlat_DataValue,$H70+BI$18))</f>
        <v>0</v>
      </c>
    </row>
    <row r="71" spans="1:61" ht="17.05" customHeight="1" x14ac:dyDescent="0.4">
      <c r="A71" t="str">
        <f t="shared" si="3"/>
        <v/>
      </c>
      <c r="B71" s="42" t="str">
        <f t="shared" ca="1" si="1"/>
        <v>V</v>
      </c>
      <c r="C71" s="100">
        <v>52</v>
      </c>
      <c r="D71" s="49" cm="1">
        <f t="array" aca="1" ref="D71" ca="1">INDEX(OFFSET(auto_ss_data_table,0,1,500,1),C71)</f>
        <v>52</v>
      </c>
      <c r="E71" s="101" cm="1">
        <f t="array" aca="1" ref="E71" ca="1">INDEX(auto_tblSeries,$D71,E$18)</f>
        <v>1</v>
      </c>
      <c r="F71" s="101" t="str" cm="1">
        <f t="array" aca="1" ref="F71" ca="1">INDEX(auto_tblSeries,$D71,F$18)</f>
        <v>#,0.0</v>
      </c>
      <c r="G71" s="101" cm="1">
        <f t="array" aca="1" ref="G71" ca="1">INDEX(auto_tblSeries,$D71,G$18)</f>
        <v>0</v>
      </c>
      <c r="H71" s="101" cm="1">
        <f t="array" aca="1" ref="H71" ca="1">INDEX(sys_DataFlat_LU_Grid,$D71,1)-1</f>
        <v>3060</v>
      </c>
      <c r="I71" s="26"/>
      <c r="J71" s="148" t="str" cm="1">
        <f t="array" aca="1" ref="J71" ca="1">INDEX(auto_Series_NameNumbered,$D71)</f>
        <v>5) GOVERNANCE</v>
      </c>
      <c r="K71" s="149" t="str" cm="1">
        <f t="array" aca="1" ref="K71" ca="1">IF($G71=0,"",INDEX(auto_tblSeries,$D71,K$18))</f>
        <v/>
      </c>
      <c r="L71" s="150" t="str" cm="1">
        <f t="array" aca="1" ref="L71" ca="1">IF($G71=0,"",INDEX(auto_DataFlat_DataValue,$H71+L$18))</f>
        <v/>
      </c>
      <c r="M71" s="150" t="str" cm="1">
        <f t="array" aca="1" ref="M71" ca="1">IF($G71=0,"",INDEX(auto_DataFlat_DataValue,$H71+M$18))</f>
        <v/>
      </c>
      <c r="N71" s="150" t="str" cm="1">
        <f t="array" aca="1" ref="N71" ca="1">IF($G71=0,"",INDEX(auto_DataFlat_DataValue,$H71+N$18))</f>
        <v/>
      </c>
      <c r="O71" s="150" t="str" cm="1">
        <f t="array" aca="1" ref="O71" ca="1">IF($G71=0,"",INDEX(auto_DataFlat_DataValue,$H71+O$18))</f>
        <v/>
      </c>
      <c r="P71" s="150" t="str" cm="1">
        <f t="array" aca="1" ref="P71" ca="1">IF($G71=0,"",INDEX(auto_DataFlat_DataValue,$H71+P$18))</f>
        <v/>
      </c>
      <c r="Q71" s="150" t="str" cm="1">
        <f t="array" aca="1" ref="Q71" ca="1">IF($G71=0,"",INDEX(auto_DataFlat_DataValue,$H71+Q$18))</f>
        <v/>
      </c>
      <c r="R71" s="150" t="str" cm="1">
        <f t="array" aca="1" ref="R71" ca="1">IF($G71=0,"",INDEX(auto_DataFlat_DataValue,$H71+R$18))</f>
        <v/>
      </c>
      <c r="S71" s="150" t="str" cm="1">
        <f t="array" aca="1" ref="S71" ca="1">IF($G71=0,"",INDEX(auto_DataFlat_DataValue,$H71+S$18))</f>
        <v/>
      </c>
      <c r="T71" s="150" t="str" cm="1">
        <f t="array" aca="1" ref="T71" ca="1">IF($G71=0,"",INDEX(auto_DataFlat_DataValue,$H71+T$18))</f>
        <v/>
      </c>
      <c r="U71" s="150" t="str" cm="1">
        <f t="array" aca="1" ref="U71" ca="1">IF($G71=0,"",INDEX(auto_DataFlat_DataValue,$H71+U$18))</f>
        <v/>
      </c>
      <c r="V71" s="150" t="str" cm="1">
        <f t="array" aca="1" ref="V71" ca="1">IF($G71=0,"",INDEX(auto_DataFlat_DataValue,$H71+V$18))</f>
        <v/>
      </c>
      <c r="W71" s="150" t="str" cm="1">
        <f t="array" aca="1" ref="W71" ca="1">IF($G71=0,"",INDEX(auto_DataFlat_DataValue,$H71+W$18))</f>
        <v/>
      </c>
      <c r="X71" s="150" t="str" cm="1">
        <f t="array" aca="1" ref="X71" ca="1">IF($G71=0,"",INDEX(auto_DataFlat_DataValue,$H71+X$18))</f>
        <v/>
      </c>
      <c r="Y71" s="150" t="str" cm="1">
        <f t="array" aca="1" ref="Y71" ca="1">IF($G71=0,"",INDEX(auto_DataFlat_DataValue,$H71+Y$18))</f>
        <v/>
      </c>
      <c r="Z71" s="150" t="str" cm="1">
        <f t="array" aca="1" ref="Z71" ca="1">IF($G71=0,"",INDEX(auto_DataFlat_DataValue,$H71+Z$18))</f>
        <v/>
      </c>
      <c r="AA71" s="150" t="str" cm="1">
        <f t="array" aca="1" ref="AA71" ca="1">IF($G71=0,"",INDEX(auto_DataFlat_DataValue,$H71+AA$18))</f>
        <v/>
      </c>
      <c r="AB71" s="150" t="str" cm="1">
        <f t="array" aca="1" ref="AB71" ca="1">IF($G71=0,"",INDEX(auto_DataFlat_DataValue,$H71+AB$18))</f>
        <v/>
      </c>
      <c r="AC71" s="150" t="str" cm="1">
        <f t="array" aca="1" ref="AC71" ca="1">IF($G71=0,"",INDEX(auto_DataFlat_DataValue,$H71+AC$18))</f>
        <v/>
      </c>
      <c r="AD71" s="150" t="str" cm="1">
        <f t="array" aca="1" ref="AD71" ca="1">IF($G71=0,"",INDEX(auto_DataFlat_DataValue,$H71+AD$18))</f>
        <v/>
      </c>
      <c r="AE71" s="150" t="str" cm="1">
        <f t="array" aca="1" ref="AE71" ca="1">IF($G71=0,"",INDEX(auto_DataFlat_DataValue,$H71+AE$18))</f>
        <v/>
      </c>
      <c r="AF71" s="150" t="str" cm="1">
        <f t="array" aca="1" ref="AF71" ca="1">IF($G71=0,"",INDEX(auto_DataFlat_DataValue,$H71+AF$18))</f>
        <v/>
      </c>
      <c r="AG71" s="150" t="str" cm="1">
        <f t="array" aca="1" ref="AG71" ca="1">IF($G71=0,"",INDEX(auto_DataFlat_DataValue,$H71+AG$18))</f>
        <v/>
      </c>
      <c r="AH71" s="150" t="str" cm="1">
        <f t="array" aca="1" ref="AH71" ca="1">IF($G71=0,"",INDEX(auto_DataFlat_DataValue,$H71+AH$18))</f>
        <v/>
      </c>
      <c r="AI71" s="150" t="str" cm="1">
        <f t="array" aca="1" ref="AI71" ca="1">IF($G71=0,"",INDEX(auto_DataFlat_DataValue,$H71+AI$18))</f>
        <v/>
      </c>
      <c r="AJ71" s="150" t="str" cm="1">
        <f t="array" aca="1" ref="AJ71" ca="1">IF($G71=0,"",INDEX(auto_DataFlat_DataValue,$H71+AJ$18))</f>
        <v/>
      </c>
      <c r="AK71" s="150" t="str" cm="1">
        <f t="array" aca="1" ref="AK71" ca="1">IF($G71=0,"",INDEX(auto_DataFlat_DataValue,$H71+AK$18))</f>
        <v/>
      </c>
      <c r="AL71" s="150" t="str" cm="1">
        <f t="array" aca="1" ref="AL71" ca="1">IF($G71=0,"",INDEX(auto_DataFlat_DataValue,$H71+AL$18))</f>
        <v/>
      </c>
      <c r="AM71" s="150" t="str" cm="1">
        <f t="array" aca="1" ref="AM71" ca="1">IF($G71=0,"",INDEX(auto_DataFlat_DataValue,$H71+AM$18))</f>
        <v/>
      </c>
      <c r="AN71" s="150" t="str" cm="1">
        <f t="array" aca="1" ref="AN71" ca="1">IF($G71=0,"",INDEX(auto_DataFlat_DataValue,$H71+AN$18))</f>
        <v/>
      </c>
      <c r="AO71" s="150" t="str" cm="1">
        <f t="array" aca="1" ref="AO71" ca="1">IF($G71=0,"",INDEX(auto_DataFlat_DataValue,$H71+AO$18))</f>
        <v/>
      </c>
      <c r="AP71" s="150" t="str" cm="1">
        <f t="array" aca="1" ref="AP71" ca="1">IF($G71=0,"",INDEX(auto_DataFlat_DataValue,$H71+AP$18))</f>
        <v/>
      </c>
      <c r="AQ71" s="150" t="str" cm="1">
        <f t="array" aca="1" ref="AQ71" ca="1">IF($G71=0,"",INDEX(auto_DataFlat_DataValue,$H71+AQ$18))</f>
        <v/>
      </c>
      <c r="AR71" s="150" t="str" cm="1">
        <f t="array" aca="1" ref="AR71" ca="1">IF($G71=0,"",INDEX(auto_DataFlat_DataValue,$H71+AR$18))</f>
        <v/>
      </c>
      <c r="AS71" s="150" t="str" cm="1">
        <f t="array" aca="1" ref="AS71" ca="1">IF($G71=0,"",INDEX(auto_DataFlat_DataValue,$H71+AS$18))</f>
        <v/>
      </c>
      <c r="AT71" s="150" t="str" cm="1">
        <f t="array" aca="1" ref="AT71" ca="1">IF($G71=0,"",INDEX(auto_DataFlat_DataValue,$H71+AT$18))</f>
        <v/>
      </c>
      <c r="AU71" s="150" t="str" cm="1">
        <f t="array" aca="1" ref="AU71" ca="1">IF($G71=0,"",INDEX(auto_DataFlat_DataValue,$H71+AU$18))</f>
        <v/>
      </c>
      <c r="AV71" s="150" t="str" cm="1">
        <f t="array" aca="1" ref="AV71" ca="1">IF($G71=0,"",INDEX(auto_DataFlat_DataValue,$H71+AV$18))</f>
        <v/>
      </c>
      <c r="AW71" s="150" t="str" cm="1">
        <f t="array" aca="1" ref="AW71" ca="1">IF($G71=0,"",INDEX(auto_DataFlat_DataValue,$H71+AW$18))</f>
        <v/>
      </c>
      <c r="AX71" s="150" t="str" cm="1">
        <f t="array" aca="1" ref="AX71" ca="1">IF($G71=0,"",INDEX(auto_DataFlat_DataValue,$H71+AX$18))</f>
        <v/>
      </c>
      <c r="AY71" s="150" t="str" cm="1">
        <f t="array" aca="1" ref="AY71" ca="1">IF($G71=0,"",INDEX(auto_DataFlat_DataValue,$H71+AY$18))</f>
        <v/>
      </c>
      <c r="AZ71" s="150" t="str" cm="1">
        <f t="array" aca="1" ref="AZ71" ca="1">IF($G71=0,"",INDEX(auto_DataFlat_DataValue,$H71+AZ$18))</f>
        <v/>
      </c>
      <c r="BA71" s="150" t="str" cm="1">
        <f t="array" aca="1" ref="BA71" ca="1">IF($G71=0,"",INDEX(auto_DataFlat_DataValue,$H71+BA$18))</f>
        <v/>
      </c>
      <c r="BB71" s="150" t="str" cm="1">
        <f t="array" aca="1" ref="BB71" ca="1">IF($G71=0,"",INDEX(auto_DataFlat_DataValue,$H71+BB$18))</f>
        <v/>
      </c>
      <c r="BC71" s="150" t="str" cm="1">
        <f t="array" aca="1" ref="BC71" ca="1">IF($G71=0,"",INDEX(auto_DataFlat_DataValue,$H71+BC$18))</f>
        <v/>
      </c>
      <c r="BD71" s="150" t="str" cm="1">
        <f t="array" aca="1" ref="BD71" ca="1">IF($G71=0,"",INDEX(auto_DataFlat_DataValue,$H71+BD$18))</f>
        <v/>
      </c>
      <c r="BE71" s="150" t="str" cm="1">
        <f t="array" aca="1" ref="BE71" ca="1">IF($G71=0,"",INDEX(auto_DataFlat_DataValue,$H71+BE$18))</f>
        <v/>
      </c>
      <c r="BF71" s="150" t="str" cm="1">
        <f t="array" aca="1" ref="BF71" ca="1">IF($G71=0,"",INDEX(auto_DataFlat_DataValue,$H71+BF$18))</f>
        <v/>
      </c>
      <c r="BG71" s="150" t="str" cm="1">
        <f t="array" aca="1" ref="BG71" ca="1">IF($G71=0,"",INDEX(auto_DataFlat_DataValue,$H71+BG$18))</f>
        <v/>
      </c>
      <c r="BH71" s="150" t="str" cm="1">
        <f t="array" aca="1" ref="BH71" ca="1">IF($G71=0,"",INDEX(auto_DataFlat_DataValue,$H71+BH$18))</f>
        <v/>
      </c>
      <c r="BI71" s="150" t="str" cm="1">
        <f t="array" aca="1" ref="BI71" ca="1">IF($G71=0,"",INDEX(auto_DataFlat_DataValue,$H71+BI$18))</f>
        <v/>
      </c>
    </row>
    <row r="72" spans="1:61" ht="17.05" customHeight="1" x14ac:dyDescent="0.4">
      <c r="A72" t="str">
        <f t="shared" si="3"/>
        <v/>
      </c>
      <c r="B72" s="42" t="str">
        <f t="shared" ca="1" si="1"/>
        <v/>
      </c>
      <c r="C72" s="100">
        <v>53</v>
      </c>
      <c r="D72" s="49" cm="1">
        <f t="array" aca="1" ref="D72" ca="1">INDEX(OFFSET(auto_ss_data_table,0,1,500,1),C72)</f>
        <v>53</v>
      </c>
      <c r="E72" s="101" cm="1">
        <f t="array" aca="1" ref="E72" ca="1">INDEX(auto_tblSeries,$D72,E$18)</f>
        <v>2</v>
      </c>
      <c r="F72" s="101" t="str" cm="1">
        <f t="array" aca="1" ref="F72" ca="1">INDEX(auto_tblSeries,$D72,F$18)</f>
        <v>#,##0</v>
      </c>
      <c r="G72" s="101" cm="1">
        <f t="array" aca="1" ref="G72" ca="1">INDEX(auto_tblSeries,$D72,G$18)</f>
        <v>1</v>
      </c>
      <c r="H72" s="101" cm="1">
        <f t="array" aca="1" ref="H72" ca="1">INDEX(sys_DataFlat_LU_Grid,$D72,1)-1</f>
        <v>3120</v>
      </c>
      <c r="I72" s="26"/>
      <c r="J72" s="151" t="str" cm="1">
        <f t="array" aca="1" ref="J72" ca="1">INDEX(auto_Series_NameNumbered,$D72)</f>
        <v>5.1) Regulatory power</v>
      </c>
      <c r="K72" s="152" t="str" cm="1">
        <f t="array" aca="1" ref="K72" ca="1">IF($G72=0,"",INDEX(auto_tblSeries,$D72,K$18))</f>
        <v>Rating 0-1</v>
      </c>
      <c r="L72" s="154" cm="1">
        <f t="array" aca="1" ref="L72" ca="1">IF($G72=0,"",INDEX(auto_DataFlat_DataValue,$H72+L$18))</f>
        <v>1</v>
      </c>
      <c r="M72" s="154" cm="1">
        <f t="array" aca="1" ref="M72" ca="1">IF($G72=0,"",INDEX(auto_DataFlat_DataValue,$H72+M$18))</f>
        <v>0</v>
      </c>
      <c r="N72" s="154" cm="1">
        <f t="array" aca="1" ref="N72" ca="1">IF($G72=0,"",INDEX(auto_DataFlat_DataValue,$H72+N$18))</f>
        <v>1</v>
      </c>
      <c r="O72" s="154" cm="1">
        <f t="array" aca="1" ref="O72" ca="1">IF($G72=0,"",INDEX(auto_DataFlat_DataValue,$H72+O$18))</f>
        <v>0</v>
      </c>
      <c r="P72" s="154" cm="1">
        <f t="array" aca="1" ref="P72" ca="1">IF($G72=0,"",INDEX(auto_DataFlat_DataValue,$H72+P$18))</f>
        <v>0</v>
      </c>
      <c r="Q72" s="154" cm="1">
        <f t="array" aca="1" ref="Q72" ca="1">IF($G72=0,"",INDEX(auto_DataFlat_DataValue,$H72+Q$18))</f>
        <v>1</v>
      </c>
      <c r="R72" s="154" cm="1">
        <f t="array" aca="1" ref="R72" ca="1">IF($G72=0,"",INDEX(auto_DataFlat_DataValue,$H72+R$18))</f>
        <v>1</v>
      </c>
      <c r="S72" s="154" cm="1">
        <f t="array" aca="1" ref="S72" ca="1">IF($G72=0,"",INDEX(auto_DataFlat_DataValue,$H72+S$18))</f>
        <v>1</v>
      </c>
      <c r="T72" s="154" cm="1">
        <f t="array" aca="1" ref="T72" ca="1">IF($G72=0,"",INDEX(auto_DataFlat_DataValue,$H72+T$18))</f>
        <v>0</v>
      </c>
      <c r="U72" s="154" cm="1">
        <f t="array" aca="1" ref="U72" ca="1">IF($G72=0,"",INDEX(auto_DataFlat_DataValue,$H72+U$18))</f>
        <v>0</v>
      </c>
      <c r="V72" s="154" cm="1">
        <f t="array" aca="1" ref="V72" ca="1">IF($G72=0,"",INDEX(auto_DataFlat_DataValue,$H72+V$18))</f>
        <v>0</v>
      </c>
      <c r="W72" s="154" cm="1">
        <f t="array" aca="1" ref="W72" ca="1">IF($G72=0,"",INDEX(auto_DataFlat_DataValue,$H72+W$18))</f>
        <v>0</v>
      </c>
      <c r="X72" s="154" cm="1">
        <f t="array" aca="1" ref="X72" ca="1">IF($G72=0,"",INDEX(auto_DataFlat_DataValue,$H72+X$18))</f>
        <v>0</v>
      </c>
      <c r="Y72" s="154" cm="1">
        <f t="array" aca="1" ref="Y72" ca="1">IF($G72=0,"",INDEX(auto_DataFlat_DataValue,$H72+Y$18))</f>
        <v>1</v>
      </c>
      <c r="Z72" s="154" cm="1">
        <f t="array" aca="1" ref="Z72" ca="1">IF($G72=0,"",INDEX(auto_DataFlat_DataValue,$H72+Z$18))</f>
        <v>0</v>
      </c>
      <c r="AA72" s="154" cm="1">
        <f t="array" aca="1" ref="AA72" ca="1">IF($G72=0,"",INDEX(auto_DataFlat_DataValue,$H72+AA$18))</f>
        <v>1</v>
      </c>
      <c r="AB72" s="154" cm="1">
        <f t="array" aca="1" ref="AB72" ca="1">IF($G72=0,"",INDEX(auto_DataFlat_DataValue,$H72+AB$18))</f>
        <v>1</v>
      </c>
      <c r="AC72" s="154" cm="1">
        <f t="array" aca="1" ref="AC72" ca="1">IF($G72=0,"",INDEX(auto_DataFlat_DataValue,$H72+AC$18))</f>
        <v>0</v>
      </c>
      <c r="AD72" s="154" cm="1">
        <f t="array" aca="1" ref="AD72" ca="1">IF($G72=0,"",INDEX(auto_DataFlat_DataValue,$H72+AD$18))</f>
        <v>1</v>
      </c>
      <c r="AE72" s="154" cm="1">
        <f t="array" aca="1" ref="AE72" ca="1">IF($G72=0,"",INDEX(auto_DataFlat_DataValue,$H72+AE$18))</f>
        <v>0</v>
      </c>
      <c r="AF72" s="154" cm="1">
        <f t="array" aca="1" ref="AF72" ca="1">IF($G72=0,"",INDEX(auto_DataFlat_DataValue,$H72+AF$18))</f>
        <v>0</v>
      </c>
      <c r="AG72" s="154" cm="1">
        <f t="array" aca="1" ref="AG72" ca="1">IF($G72=0,"",INDEX(auto_DataFlat_DataValue,$H72+AG$18))</f>
        <v>1</v>
      </c>
      <c r="AH72" s="154" cm="1">
        <f t="array" aca="1" ref="AH72" ca="1">IF($G72=0,"",INDEX(auto_DataFlat_DataValue,$H72+AH$18))</f>
        <v>0</v>
      </c>
      <c r="AI72" s="154" cm="1">
        <f t="array" aca="1" ref="AI72" ca="1">IF($G72=0,"",INDEX(auto_DataFlat_DataValue,$H72+AI$18))</f>
        <v>0</v>
      </c>
      <c r="AJ72" s="154" cm="1">
        <f t="array" aca="1" ref="AJ72" ca="1">IF($G72=0,"",INDEX(auto_DataFlat_DataValue,$H72+AJ$18))</f>
        <v>1</v>
      </c>
      <c r="AK72" s="154" cm="1">
        <f t="array" aca="1" ref="AK72" ca="1">IF($G72=0,"",INDEX(auto_DataFlat_DataValue,$H72+AK$18))</f>
        <v>1</v>
      </c>
      <c r="AL72" s="154" cm="1">
        <f t="array" aca="1" ref="AL72" ca="1">IF($G72=0,"",INDEX(auto_DataFlat_DataValue,$H72+AL$18))</f>
        <v>1</v>
      </c>
      <c r="AM72" s="154" cm="1">
        <f t="array" aca="1" ref="AM72" ca="1">IF($G72=0,"",INDEX(auto_DataFlat_DataValue,$H72+AM$18))</f>
        <v>1</v>
      </c>
      <c r="AN72" s="154" cm="1">
        <f t="array" aca="1" ref="AN72" ca="1">IF($G72=0,"",INDEX(auto_DataFlat_DataValue,$H72+AN$18))</f>
        <v>0</v>
      </c>
      <c r="AO72" s="154" cm="1">
        <f t="array" aca="1" ref="AO72" ca="1">IF($G72=0,"",INDEX(auto_DataFlat_DataValue,$H72+AO$18))</f>
        <v>0</v>
      </c>
      <c r="AP72" s="154" cm="1">
        <f t="array" aca="1" ref="AP72" ca="1">IF($G72=0,"",INDEX(auto_DataFlat_DataValue,$H72+AP$18))</f>
        <v>1</v>
      </c>
      <c r="AQ72" s="154" cm="1">
        <f t="array" aca="1" ref="AQ72" ca="1">IF($G72=0,"",INDEX(auto_DataFlat_DataValue,$H72+AQ$18))</f>
        <v>0</v>
      </c>
      <c r="AR72" s="154" cm="1">
        <f t="array" aca="1" ref="AR72" ca="1">IF($G72=0,"",INDEX(auto_DataFlat_DataValue,$H72+AR$18))</f>
        <v>1</v>
      </c>
      <c r="AS72" s="154" cm="1">
        <f t="array" aca="1" ref="AS72" ca="1">IF($G72=0,"",INDEX(auto_DataFlat_DataValue,$H72+AS$18))</f>
        <v>1</v>
      </c>
      <c r="AT72" s="154" cm="1">
        <f t="array" aca="1" ref="AT72" ca="1">IF($G72=0,"",INDEX(auto_DataFlat_DataValue,$H72+AT$18))</f>
        <v>1</v>
      </c>
      <c r="AU72" s="154" cm="1">
        <f t="array" aca="1" ref="AU72" ca="1">IF($G72=0,"",INDEX(auto_DataFlat_DataValue,$H72+AU$18))</f>
        <v>1</v>
      </c>
      <c r="AV72" s="154" cm="1">
        <f t="array" aca="1" ref="AV72" ca="1">IF($G72=0,"",INDEX(auto_DataFlat_DataValue,$H72+AV$18))</f>
        <v>0</v>
      </c>
      <c r="AW72" s="154" cm="1">
        <f t="array" aca="1" ref="AW72" ca="1">IF($G72=0,"",INDEX(auto_DataFlat_DataValue,$H72+AW$18))</f>
        <v>0</v>
      </c>
      <c r="AX72" s="154" cm="1">
        <f t="array" aca="1" ref="AX72" ca="1">IF($G72=0,"",INDEX(auto_DataFlat_DataValue,$H72+AX$18))</f>
        <v>1</v>
      </c>
      <c r="AY72" s="154" cm="1">
        <f t="array" aca="1" ref="AY72" ca="1">IF($G72=0,"",INDEX(auto_DataFlat_DataValue,$H72+AY$18))</f>
        <v>1</v>
      </c>
      <c r="AZ72" s="154" cm="1">
        <f t="array" aca="1" ref="AZ72" ca="1">IF($G72=0,"",INDEX(auto_DataFlat_DataValue,$H72+AZ$18))</f>
        <v>0</v>
      </c>
      <c r="BA72" s="154" cm="1">
        <f t="array" aca="1" ref="BA72" ca="1">IF($G72=0,"",INDEX(auto_DataFlat_DataValue,$H72+BA$18))</f>
        <v>1</v>
      </c>
      <c r="BB72" s="154" cm="1">
        <f t="array" aca="1" ref="BB72" ca="1">IF($G72=0,"",INDEX(auto_DataFlat_DataValue,$H72+BB$18))</f>
        <v>1</v>
      </c>
      <c r="BC72" s="154" cm="1">
        <f t="array" aca="1" ref="BC72" ca="1">IF($G72=0,"",INDEX(auto_DataFlat_DataValue,$H72+BC$18))</f>
        <v>0</v>
      </c>
      <c r="BD72" s="154" cm="1">
        <f t="array" aca="1" ref="BD72" ca="1">IF($G72=0,"",INDEX(auto_DataFlat_DataValue,$H72+BD$18))</f>
        <v>0</v>
      </c>
      <c r="BE72" s="154" cm="1">
        <f t="array" aca="1" ref="BE72" ca="1">IF($G72=0,"",INDEX(auto_DataFlat_DataValue,$H72+BE$18))</f>
        <v>1</v>
      </c>
      <c r="BF72" s="154" cm="1">
        <f t="array" aca="1" ref="BF72" ca="1">IF($G72=0,"",INDEX(auto_DataFlat_DataValue,$H72+BF$18))</f>
        <v>1</v>
      </c>
      <c r="BG72" s="154" cm="1">
        <f t="array" aca="1" ref="BG72" ca="1">IF($G72=0,"",INDEX(auto_DataFlat_DataValue,$H72+BG$18))</f>
        <v>1</v>
      </c>
      <c r="BH72" s="154" cm="1">
        <f t="array" aca="1" ref="BH72" ca="1">IF($G72=0,"",INDEX(auto_DataFlat_DataValue,$H72+BH$18))</f>
        <v>0</v>
      </c>
      <c r="BI72" s="154" cm="1">
        <f t="array" aca="1" ref="BI72" ca="1">IF($G72=0,"",INDEX(auto_DataFlat_DataValue,$H72+BI$18))</f>
        <v>0</v>
      </c>
    </row>
    <row r="73" spans="1:61" ht="17.05" customHeight="1" x14ac:dyDescent="0.4">
      <c r="A73" t="str">
        <f t="shared" si="3"/>
        <v/>
      </c>
      <c r="B73" s="42" t="str">
        <f t="shared" ca="1" si="1"/>
        <v/>
      </c>
      <c r="C73" s="100">
        <v>54</v>
      </c>
      <c r="D73" s="49" cm="1">
        <f t="array" aca="1" ref="D73" ca="1">INDEX(OFFSET(auto_ss_data_table,0,1,500,1),C73)</f>
        <v>54</v>
      </c>
      <c r="E73" s="101" cm="1">
        <f t="array" aca="1" ref="E73" ca="1">INDEX(auto_tblSeries,$D73,E$18)</f>
        <v>2</v>
      </c>
      <c r="F73" s="101" t="str" cm="1">
        <f t="array" aca="1" ref="F73" ca="1">INDEX(auto_tblSeries,$D73,F$18)</f>
        <v>#,##0</v>
      </c>
      <c r="G73" s="101" cm="1">
        <f t="array" aca="1" ref="G73" ca="1">INDEX(auto_tblSeries,$D73,G$18)</f>
        <v>1</v>
      </c>
      <c r="H73" s="101" cm="1">
        <f t="array" aca="1" ref="H73" ca="1">INDEX(sys_DataFlat_LU_Grid,$D73,1)-1</f>
        <v>3180</v>
      </c>
      <c r="I73" s="26"/>
      <c r="J73" s="151" t="str" cm="1">
        <f t="array" aca="1" ref="J73" ca="1">INDEX(auto_Series_NameNumbered,$D73)</f>
        <v>5.2) Political will</v>
      </c>
      <c r="K73" s="152" t="str" cm="1">
        <f t="array" aca="1" ref="K73" ca="1">IF($G73=0,"",INDEX(auto_tblSeries,$D73,K$18))</f>
        <v>Rating 0-3</v>
      </c>
      <c r="L73" s="154" cm="1">
        <f t="array" aca="1" ref="L73" ca="1">IF($G73=0,"",INDEX(auto_DataFlat_DataValue,$H73+L$18))</f>
        <v>3</v>
      </c>
      <c r="M73" s="154" cm="1">
        <f t="array" aca="1" ref="M73" ca="1">IF($G73=0,"",INDEX(auto_DataFlat_DataValue,$H73+M$18))</f>
        <v>1</v>
      </c>
      <c r="N73" s="154" cm="1">
        <f t="array" aca="1" ref="N73" ca="1">IF($G73=0,"",INDEX(auto_DataFlat_DataValue,$H73+N$18))</f>
        <v>3</v>
      </c>
      <c r="O73" s="154" cm="1">
        <f t="array" aca="1" ref="O73" ca="1">IF($G73=0,"",INDEX(auto_DataFlat_DataValue,$H73+O$18))</f>
        <v>3</v>
      </c>
      <c r="P73" s="154" cm="1">
        <f t="array" aca="1" ref="P73" ca="1">IF($G73=0,"",INDEX(auto_DataFlat_DataValue,$H73+P$18))</f>
        <v>3</v>
      </c>
      <c r="Q73" s="154" cm="1">
        <f t="array" aca="1" ref="Q73" ca="1">IF($G73=0,"",INDEX(auto_DataFlat_DataValue,$H73+Q$18))</f>
        <v>2</v>
      </c>
      <c r="R73" s="154" cm="1">
        <f t="array" aca="1" ref="R73" ca="1">IF($G73=0,"",INDEX(auto_DataFlat_DataValue,$H73+R$18))</f>
        <v>3</v>
      </c>
      <c r="S73" s="154" cm="1">
        <f t="array" aca="1" ref="S73" ca="1">IF($G73=0,"",INDEX(auto_DataFlat_DataValue,$H73+S$18))</f>
        <v>3</v>
      </c>
      <c r="T73" s="154" cm="1">
        <f t="array" aca="1" ref="T73" ca="1">IF($G73=0,"",INDEX(auto_DataFlat_DataValue,$H73+T$18))</f>
        <v>3</v>
      </c>
      <c r="U73" s="154" cm="1">
        <f t="array" aca="1" ref="U73" ca="1">IF($G73=0,"",INDEX(auto_DataFlat_DataValue,$H73+U$18))</f>
        <v>3</v>
      </c>
      <c r="V73" s="154" cm="1">
        <f t="array" aca="1" ref="V73" ca="1">IF($G73=0,"",INDEX(auto_DataFlat_DataValue,$H73+V$18))</f>
        <v>2</v>
      </c>
      <c r="W73" s="154" cm="1">
        <f t="array" aca="1" ref="W73" ca="1">IF($G73=0,"",INDEX(auto_DataFlat_DataValue,$H73+W$18))</f>
        <v>2</v>
      </c>
      <c r="X73" s="154" cm="1">
        <f t="array" aca="1" ref="X73" ca="1">IF($G73=0,"",INDEX(auto_DataFlat_DataValue,$H73+X$18))</f>
        <v>2</v>
      </c>
      <c r="Y73" s="154" cm="1">
        <f t="array" aca="1" ref="Y73" ca="1">IF($G73=0,"",INDEX(auto_DataFlat_DataValue,$H73+Y$18))</f>
        <v>3</v>
      </c>
      <c r="Z73" s="154" cm="1">
        <f t="array" aca="1" ref="Z73" ca="1">IF($G73=0,"",INDEX(auto_DataFlat_DataValue,$H73+Z$18))</f>
        <v>3</v>
      </c>
      <c r="AA73" s="154" cm="1">
        <f t="array" aca="1" ref="AA73" ca="1">IF($G73=0,"",INDEX(auto_DataFlat_DataValue,$H73+AA$18))</f>
        <v>3</v>
      </c>
      <c r="AB73" s="154" cm="1">
        <f t="array" aca="1" ref="AB73" ca="1">IF($G73=0,"",INDEX(auto_DataFlat_DataValue,$H73+AB$18))</f>
        <v>3</v>
      </c>
      <c r="AC73" s="154" cm="1">
        <f t="array" aca="1" ref="AC73" ca="1">IF($G73=0,"",INDEX(auto_DataFlat_DataValue,$H73+AC$18))</f>
        <v>2</v>
      </c>
      <c r="AD73" s="154" cm="1">
        <f t="array" aca="1" ref="AD73" ca="1">IF($G73=0,"",INDEX(auto_DataFlat_DataValue,$H73+AD$18))</f>
        <v>3</v>
      </c>
      <c r="AE73" s="154" cm="1">
        <f t="array" aca="1" ref="AE73" ca="1">IF($G73=0,"",INDEX(auto_DataFlat_DataValue,$H73+AE$18))</f>
        <v>3</v>
      </c>
      <c r="AF73" s="154" cm="1">
        <f t="array" aca="1" ref="AF73" ca="1">IF($G73=0,"",INDEX(auto_DataFlat_DataValue,$H73+AF$18))</f>
        <v>2</v>
      </c>
      <c r="AG73" s="154" cm="1">
        <f t="array" aca="1" ref="AG73" ca="1">IF($G73=0,"",INDEX(auto_DataFlat_DataValue,$H73+AG$18))</f>
        <v>3</v>
      </c>
      <c r="AH73" s="154" cm="1">
        <f t="array" aca="1" ref="AH73" ca="1">IF($G73=0,"",INDEX(auto_DataFlat_DataValue,$H73+AH$18))</f>
        <v>3</v>
      </c>
      <c r="AI73" s="154" cm="1">
        <f t="array" aca="1" ref="AI73" ca="1">IF($G73=0,"",INDEX(auto_DataFlat_DataValue,$H73+AI$18))</f>
        <v>2</v>
      </c>
      <c r="AJ73" s="154" cm="1">
        <f t="array" aca="1" ref="AJ73" ca="1">IF($G73=0,"",INDEX(auto_DataFlat_DataValue,$H73+AJ$18))</f>
        <v>3</v>
      </c>
      <c r="AK73" s="154" cm="1">
        <f t="array" aca="1" ref="AK73" ca="1">IF($G73=0,"",INDEX(auto_DataFlat_DataValue,$H73+AK$18))</f>
        <v>3</v>
      </c>
      <c r="AL73" s="154" cm="1">
        <f t="array" aca="1" ref="AL73" ca="1">IF($G73=0,"",INDEX(auto_DataFlat_DataValue,$H73+AL$18))</f>
        <v>3</v>
      </c>
      <c r="AM73" s="154" cm="1">
        <f t="array" aca="1" ref="AM73" ca="1">IF($G73=0,"",INDEX(auto_DataFlat_DataValue,$H73+AM$18))</f>
        <v>2</v>
      </c>
      <c r="AN73" s="154" cm="1">
        <f t="array" aca="1" ref="AN73" ca="1">IF($G73=0,"",INDEX(auto_DataFlat_DataValue,$H73+AN$18))</f>
        <v>3</v>
      </c>
      <c r="AO73" s="154" cm="1">
        <f t="array" aca="1" ref="AO73" ca="1">IF($G73=0,"",INDEX(auto_DataFlat_DataValue,$H73+AO$18))</f>
        <v>3</v>
      </c>
      <c r="AP73" s="154" cm="1">
        <f t="array" aca="1" ref="AP73" ca="1">IF($G73=0,"",INDEX(auto_DataFlat_DataValue,$H73+AP$18))</f>
        <v>2</v>
      </c>
      <c r="AQ73" s="154" cm="1">
        <f t="array" aca="1" ref="AQ73" ca="1">IF($G73=0,"",INDEX(auto_DataFlat_DataValue,$H73+AQ$18))</f>
        <v>2</v>
      </c>
      <c r="AR73" s="154" cm="1">
        <f t="array" aca="1" ref="AR73" ca="1">IF($G73=0,"",INDEX(auto_DataFlat_DataValue,$H73+AR$18))</f>
        <v>3</v>
      </c>
      <c r="AS73" s="154" cm="1">
        <f t="array" aca="1" ref="AS73" ca="1">IF($G73=0,"",INDEX(auto_DataFlat_DataValue,$H73+AS$18))</f>
        <v>3</v>
      </c>
      <c r="AT73" s="154" cm="1">
        <f t="array" aca="1" ref="AT73" ca="1">IF($G73=0,"",INDEX(auto_DataFlat_DataValue,$H73+AT$18))</f>
        <v>3</v>
      </c>
      <c r="AU73" s="154" cm="1">
        <f t="array" aca="1" ref="AU73" ca="1">IF($G73=0,"",INDEX(auto_DataFlat_DataValue,$H73+AU$18))</f>
        <v>3</v>
      </c>
      <c r="AV73" s="154" cm="1">
        <f t="array" aca="1" ref="AV73" ca="1">IF($G73=0,"",INDEX(auto_DataFlat_DataValue,$H73+AV$18))</f>
        <v>3</v>
      </c>
      <c r="AW73" s="154" cm="1">
        <f t="array" aca="1" ref="AW73" ca="1">IF($G73=0,"",INDEX(auto_DataFlat_DataValue,$H73+AW$18))</f>
        <v>1</v>
      </c>
      <c r="AX73" s="154" cm="1">
        <f t="array" aca="1" ref="AX73" ca="1">IF($G73=0,"",INDEX(auto_DataFlat_DataValue,$H73+AX$18))</f>
        <v>2</v>
      </c>
      <c r="AY73" s="154" cm="1">
        <f t="array" aca="1" ref="AY73" ca="1">IF($G73=0,"",INDEX(auto_DataFlat_DataValue,$H73+AY$18))</f>
        <v>3</v>
      </c>
      <c r="AZ73" s="154" cm="1">
        <f t="array" aca="1" ref="AZ73" ca="1">IF($G73=0,"",INDEX(auto_DataFlat_DataValue,$H73+AZ$18))</f>
        <v>3</v>
      </c>
      <c r="BA73" s="154" cm="1">
        <f t="array" aca="1" ref="BA73" ca="1">IF($G73=0,"",INDEX(auto_DataFlat_DataValue,$H73+BA$18))</f>
        <v>3</v>
      </c>
      <c r="BB73" s="154" cm="1">
        <f t="array" aca="1" ref="BB73" ca="1">IF($G73=0,"",INDEX(auto_DataFlat_DataValue,$H73+BB$18))</f>
        <v>3</v>
      </c>
      <c r="BC73" s="154" cm="1">
        <f t="array" aca="1" ref="BC73" ca="1">IF($G73=0,"",INDEX(auto_DataFlat_DataValue,$H73+BC$18))</f>
        <v>3</v>
      </c>
      <c r="BD73" s="154" cm="1">
        <f t="array" aca="1" ref="BD73" ca="1">IF($G73=0,"",INDEX(auto_DataFlat_DataValue,$H73+BD$18))</f>
        <v>2</v>
      </c>
      <c r="BE73" s="154" cm="1">
        <f t="array" aca="1" ref="BE73" ca="1">IF($G73=0,"",INDEX(auto_DataFlat_DataValue,$H73+BE$18))</f>
        <v>3</v>
      </c>
      <c r="BF73" s="154" cm="1">
        <f t="array" aca="1" ref="BF73" ca="1">IF($G73=0,"",INDEX(auto_DataFlat_DataValue,$H73+BF$18))</f>
        <v>3</v>
      </c>
      <c r="BG73" s="154" cm="1">
        <f t="array" aca="1" ref="BG73" ca="1">IF($G73=0,"",INDEX(auto_DataFlat_DataValue,$H73+BG$18))</f>
        <v>3</v>
      </c>
      <c r="BH73" s="154" cm="1">
        <f t="array" aca="1" ref="BH73" ca="1">IF($G73=0,"",INDEX(auto_DataFlat_DataValue,$H73+BH$18))</f>
        <v>3</v>
      </c>
      <c r="BI73" s="154" cm="1">
        <f t="array" aca="1" ref="BI73" ca="1">IF($G73=0,"",INDEX(auto_DataFlat_DataValue,$H73+BI$18))</f>
        <v>2</v>
      </c>
    </row>
    <row r="74" spans="1:61" ht="17.05" customHeight="1" x14ac:dyDescent="0.4">
      <c r="A74" t="str">
        <f t="shared" si="3"/>
        <v/>
      </c>
      <c r="B74" s="42" t="str">
        <f t="shared" ca="1" si="1"/>
        <v>V</v>
      </c>
      <c r="C74" s="100">
        <v>55</v>
      </c>
      <c r="D74" s="49" cm="1">
        <f t="array" aca="1" ref="D74" ca="1">INDEX(OFFSET(auto_ss_data_table,0,1,500,1),C74)</f>
        <v>55</v>
      </c>
      <c r="E74" s="101" cm="1">
        <f t="array" aca="1" ref="E74" ca="1">INDEX(auto_tblSeries,$D74,E$18)</f>
        <v>2</v>
      </c>
      <c r="F74" s="101" t="str" cm="1">
        <f t="array" aca="1" ref="F74" ca="1">INDEX(auto_tblSeries,$D74,F$18)</f>
        <v>#,0.0</v>
      </c>
      <c r="G74" s="101" cm="1">
        <f t="array" aca="1" ref="G74" ca="1">INDEX(auto_tblSeries,$D74,G$18)</f>
        <v>0</v>
      </c>
      <c r="H74" s="101" cm="1">
        <f t="array" aca="1" ref="H74" ca="1">INDEX(sys_DataFlat_LU_Grid,$D74,1)-1</f>
        <v>3240</v>
      </c>
      <c r="I74" s="26"/>
      <c r="J74" s="148" t="str" cm="1">
        <f t="array" aca="1" ref="J74" ca="1">INDEX(auto_Series_NameNumbered,$D74)</f>
        <v>5.3) Urban health plan</v>
      </c>
      <c r="K74" s="149" t="str" cm="1">
        <f t="array" aca="1" ref="K74" ca="1">IF($G74=0,"",INDEX(auto_tblSeries,$D74,K$18))</f>
        <v/>
      </c>
      <c r="L74" s="150" t="str" cm="1">
        <f t="array" aca="1" ref="L74" ca="1">IF($G74=0,"",INDEX(auto_DataFlat_DataValue,$H74+L$18))</f>
        <v/>
      </c>
      <c r="M74" s="150" t="str" cm="1">
        <f t="array" aca="1" ref="M74" ca="1">IF($G74=0,"",INDEX(auto_DataFlat_DataValue,$H74+M$18))</f>
        <v/>
      </c>
      <c r="N74" s="150" t="str" cm="1">
        <f t="array" aca="1" ref="N74" ca="1">IF($G74=0,"",INDEX(auto_DataFlat_DataValue,$H74+N$18))</f>
        <v/>
      </c>
      <c r="O74" s="150" t="str" cm="1">
        <f t="array" aca="1" ref="O74" ca="1">IF($G74=0,"",INDEX(auto_DataFlat_DataValue,$H74+O$18))</f>
        <v/>
      </c>
      <c r="P74" s="150" t="str" cm="1">
        <f t="array" aca="1" ref="P74" ca="1">IF($G74=0,"",INDEX(auto_DataFlat_DataValue,$H74+P$18))</f>
        <v/>
      </c>
      <c r="Q74" s="150" t="str" cm="1">
        <f t="array" aca="1" ref="Q74" ca="1">IF($G74=0,"",INDEX(auto_DataFlat_DataValue,$H74+Q$18))</f>
        <v/>
      </c>
      <c r="R74" s="150" t="str" cm="1">
        <f t="array" aca="1" ref="R74" ca="1">IF($G74=0,"",INDEX(auto_DataFlat_DataValue,$H74+R$18))</f>
        <v/>
      </c>
      <c r="S74" s="150" t="str" cm="1">
        <f t="array" aca="1" ref="S74" ca="1">IF($G74=0,"",INDEX(auto_DataFlat_DataValue,$H74+S$18))</f>
        <v/>
      </c>
      <c r="T74" s="150" t="str" cm="1">
        <f t="array" aca="1" ref="T74" ca="1">IF($G74=0,"",INDEX(auto_DataFlat_DataValue,$H74+T$18))</f>
        <v/>
      </c>
      <c r="U74" s="150" t="str" cm="1">
        <f t="array" aca="1" ref="U74" ca="1">IF($G74=0,"",INDEX(auto_DataFlat_DataValue,$H74+U$18))</f>
        <v/>
      </c>
      <c r="V74" s="150" t="str" cm="1">
        <f t="array" aca="1" ref="V74" ca="1">IF($G74=0,"",INDEX(auto_DataFlat_DataValue,$H74+V$18))</f>
        <v/>
      </c>
      <c r="W74" s="150" t="str" cm="1">
        <f t="array" aca="1" ref="W74" ca="1">IF($G74=0,"",INDEX(auto_DataFlat_DataValue,$H74+W$18))</f>
        <v/>
      </c>
      <c r="X74" s="150" t="str" cm="1">
        <f t="array" aca="1" ref="X74" ca="1">IF($G74=0,"",INDEX(auto_DataFlat_DataValue,$H74+X$18))</f>
        <v/>
      </c>
      <c r="Y74" s="150" t="str" cm="1">
        <f t="array" aca="1" ref="Y74" ca="1">IF($G74=0,"",INDEX(auto_DataFlat_DataValue,$H74+Y$18))</f>
        <v/>
      </c>
      <c r="Z74" s="150" t="str" cm="1">
        <f t="array" aca="1" ref="Z74" ca="1">IF($G74=0,"",INDEX(auto_DataFlat_DataValue,$H74+Z$18))</f>
        <v/>
      </c>
      <c r="AA74" s="150" t="str" cm="1">
        <f t="array" aca="1" ref="AA74" ca="1">IF($G74=0,"",INDEX(auto_DataFlat_DataValue,$H74+AA$18))</f>
        <v/>
      </c>
      <c r="AB74" s="150" t="str" cm="1">
        <f t="array" aca="1" ref="AB74" ca="1">IF($G74=0,"",INDEX(auto_DataFlat_DataValue,$H74+AB$18))</f>
        <v/>
      </c>
      <c r="AC74" s="150" t="str" cm="1">
        <f t="array" aca="1" ref="AC74" ca="1">IF($G74=0,"",INDEX(auto_DataFlat_DataValue,$H74+AC$18))</f>
        <v/>
      </c>
      <c r="AD74" s="150" t="str" cm="1">
        <f t="array" aca="1" ref="AD74" ca="1">IF($G74=0,"",INDEX(auto_DataFlat_DataValue,$H74+AD$18))</f>
        <v/>
      </c>
      <c r="AE74" s="150" t="str" cm="1">
        <f t="array" aca="1" ref="AE74" ca="1">IF($G74=0,"",INDEX(auto_DataFlat_DataValue,$H74+AE$18))</f>
        <v/>
      </c>
      <c r="AF74" s="150" t="str" cm="1">
        <f t="array" aca="1" ref="AF74" ca="1">IF($G74=0,"",INDEX(auto_DataFlat_DataValue,$H74+AF$18))</f>
        <v/>
      </c>
      <c r="AG74" s="150" t="str" cm="1">
        <f t="array" aca="1" ref="AG74" ca="1">IF($G74=0,"",INDEX(auto_DataFlat_DataValue,$H74+AG$18))</f>
        <v/>
      </c>
      <c r="AH74" s="150" t="str" cm="1">
        <f t="array" aca="1" ref="AH74" ca="1">IF($G74=0,"",INDEX(auto_DataFlat_DataValue,$H74+AH$18))</f>
        <v/>
      </c>
      <c r="AI74" s="150" t="str" cm="1">
        <f t="array" aca="1" ref="AI74" ca="1">IF($G74=0,"",INDEX(auto_DataFlat_DataValue,$H74+AI$18))</f>
        <v/>
      </c>
      <c r="AJ74" s="150" t="str" cm="1">
        <f t="array" aca="1" ref="AJ74" ca="1">IF($G74=0,"",INDEX(auto_DataFlat_DataValue,$H74+AJ$18))</f>
        <v/>
      </c>
      <c r="AK74" s="150" t="str" cm="1">
        <f t="array" aca="1" ref="AK74" ca="1">IF($G74=0,"",INDEX(auto_DataFlat_DataValue,$H74+AK$18))</f>
        <v/>
      </c>
      <c r="AL74" s="150" t="str" cm="1">
        <f t="array" aca="1" ref="AL74" ca="1">IF($G74=0,"",INDEX(auto_DataFlat_DataValue,$H74+AL$18))</f>
        <v/>
      </c>
      <c r="AM74" s="150" t="str" cm="1">
        <f t="array" aca="1" ref="AM74" ca="1">IF($G74=0,"",INDEX(auto_DataFlat_DataValue,$H74+AM$18))</f>
        <v/>
      </c>
      <c r="AN74" s="150" t="str" cm="1">
        <f t="array" aca="1" ref="AN74" ca="1">IF($G74=0,"",INDEX(auto_DataFlat_DataValue,$H74+AN$18))</f>
        <v/>
      </c>
      <c r="AO74" s="150" t="str" cm="1">
        <f t="array" aca="1" ref="AO74" ca="1">IF($G74=0,"",INDEX(auto_DataFlat_DataValue,$H74+AO$18))</f>
        <v/>
      </c>
      <c r="AP74" s="150" t="str" cm="1">
        <f t="array" aca="1" ref="AP74" ca="1">IF($G74=0,"",INDEX(auto_DataFlat_DataValue,$H74+AP$18))</f>
        <v/>
      </c>
      <c r="AQ74" s="150" t="str" cm="1">
        <f t="array" aca="1" ref="AQ74" ca="1">IF($G74=0,"",INDEX(auto_DataFlat_DataValue,$H74+AQ$18))</f>
        <v/>
      </c>
      <c r="AR74" s="150" t="str" cm="1">
        <f t="array" aca="1" ref="AR74" ca="1">IF($G74=0,"",INDEX(auto_DataFlat_DataValue,$H74+AR$18))</f>
        <v/>
      </c>
      <c r="AS74" s="150" t="str" cm="1">
        <f t="array" aca="1" ref="AS74" ca="1">IF($G74=0,"",INDEX(auto_DataFlat_DataValue,$H74+AS$18))</f>
        <v/>
      </c>
      <c r="AT74" s="150" t="str" cm="1">
        <f t="array" aca="1" ref="AT74" ca="1">IF($G74=0,"",INDEX(auto_DataFlat_DataValue,$H74+AT$18))</f>
        <v/>
      </c>
      <c r="AU74" s="150" t="str" cm="1">
        <f t="array" aca="1" ref="AU74" ca="1">IF($G74=0,"",INDEX(auto_DataFlat_DataValue,$H74+AU$18))</f>
        <v/>
      </c>
      <c r="AV74" s="150" t="str" cm="1">
        <f t="array" aca="1" ref="AV74" ca="1">IF($G74=0,"",INDEX(auto_DataFlat_DataValue,$H74+AV$18))</f>
        <v/>
      </c>
      <c r="AW74" s="150" t="str" cm="1">
        <f t="array" aca="1" ref="AW74" ca="1">IF($G74=0,"",INDEX(auto_DataFlat_DataValue,$H74+AW$18))</f>
        <v/>
      </c>
      <c r="AX74" s="150" t="str" cm="1">
        <f t="array" aca="1" ref="AX74" ca="1">IF($G74=0,"",INDEX(auto_DataFlat_DataValue,$H74+AX$18))</f>
        <v/>
      </c>
      <c r="AY74" s="150" t="str" cm="1">
        <f t="array" aca="1" ref="AY74" ca="1">IF($G74=0,"",INDEX(auto_DataFlat_DataValue,$H74+AY$18))</f>
        <v/>
      </c>
      <c r="AZ74" s="150" t="str" cm="1">
        <f t="array" aca="1" ref="AZ74" ca="1">IF($G74=0,"",INDEX(auto_DataFlat_DataValue,$H74+AZ$18))</f>
        <v/>
      </c>
      <c r="BA74" s="150" t="str" cm="1">
        <f t="array" aca="1" ref="BA74" ca="1">IF($G74=0,"",INDEX(auto_DataFlat_DataValue,$H74+BA$18))</f>
        <v/>
      </c>
      <c r="BB74" s="150" t="str" cm="1">
        <f t="array" aca="1" ref="BB74" ca="1">IF($G74=0,"",INDEX(auto_DataFlat_DataValue,$H74+BB$18))</f>
        <v/>
      </c>
      <c r="BC74" s="150" t="str" cm="1">
        <f t="array" aca="1" ref="BC74" ca="1">IF($G74=0,"",INDEX(auto_DataFlat_DataValue,$H74+BC$18))</f>
        <v/>
      </c>
      <c r="BD74" s="150" t="str" cm="1">
        <f t="array" aca="1" ref="BD74" ca="1">IF($G74=0,"",INDEX(auto_DataFlat_DataValue,$H74+BD$18))</f>
        <v/>
      </c>
      <c r="BE74" s="150" t="str" cm="1">
        <f t="array" aca="1" ref="BE74" ca="1">IF($G74=0,"",INDEX(auto_DataFlat_DataValue,$H74+BE$18))</f>
        <v/>
      </c>
      <c r="BF74" s="150" t="str" cm="1">
        <f t="array" aca="1" ref="BF74" ca="1">IF($G74=0,"",INDEX(auto_DataFlat_DataValue,$H74+BF$18))</f>
        <v/>
      </c>
      <c r="BG74" s="150" t="str" cm="1">
        <f t="array" aca="1" ref="BG74" ca="1">IF($G74=0,"",INDEX(auto_DataFlat_DataValue,$H74+BG$18))</f>
        <v/>
      </c>
      <c r="BH74" s="150" t="str" cm="1">
        <f t="array" aca="1" ref="BH74" ca="1">IF($G74=0,"",INDEX(auto_DataFlat_DataValue,$H74+BH$18))</f>
        <v/>
      </c>
      <c r="BI74" s="150" t="str" cm="1">
        <f t="array" aca="1" ref="BI74" ca="1">IF($G74=0,"",INDEX(auto_DataFlat_DataValue,$H74+BI$18))</f>
        <v/>
      </c>
    </row>
    <row r="75" spans="1:61" ht="17.05" customHeight="1" x14ac:dyDescent="0.4">
      <c r="A75" t="str">
        <f t="shared" si="3"/>
        <v/>
      </c>
      <c r="B75" s="42" t="str">
        <f t="shared" ca="1" si="1"/>
        <v/>
      </c>
      <c r="C75" s="100">
        <v>56</v>
      </c>
      <c r="D75" s="49" cm="1">
        <f t="array" aca="1" ref="D75" ca="1">INDEX(OFFSET(auto_ss_data_table,0,1,500,1),C75)</f>
        <v>56</v>
      </c>
      <c r="E75" s="101" cm="1">
        <f t="array" aca="1" ref="E75" ca="1">INDEX(auto_tblSeries,$D75,E$18)</f>
        <v>3</v>
      </c>
      <c r="F75" s="101" t="str" cm="1">
        <f t="array" aca="1" ref="F75" ca="1">INDEX(auto_tblSeries,$D75,F$18)</f>
        <v>#,##0</v>
      </c>
      <c r="G75" s="101" cm="1">
        <f t="array" aca="1" ref="G75" ca="1">INDEX(auto_tblSeries,$D75,G$18)</f>
        <v>1</v>
      </c>
      <c r="H75" s="101" cm="1">
        <f t="array" aca="1" ref="H75" ca="1">INDEX(sys_DataFlat_LU_Grid,$D75,1)-1</f>
        <v>3300</v>
      </c>
      <c r="I75" s="26"/>
      <c r="J75" s="151" t="str" cm="1">
        <f t="array" aca="1" ref="J75" ca="1">INDEX(auto_Series_NameNumbered,$D75)</f>
        <v>5.3a) Urban health plan: components</v>
      </c>
      <c r="K75" s="152" t="str" cm="1">
        <f t="array" aca="1" ref="K75" ca="1">IF($G75=0,"",INDEX(auto_tblSeries,$D75,K$18))</f>
        <v>Rating 0-3</v>
      </c>
      <c r="L75" s="154" cm="1">
        <f t="array" aca="1" ref="L75" ca="1">IF($G75=0,"",INDEX(auto_DataFlat_DataValue,$H75+L$18))</f>
        <v>1</v>
      </c>
      <c r="M75" s="154" cm="1">
        <f t="array" aca="1" ref="M75" ca="1">IF($G75=0,"",INDEX(auto_DataFlat_DataValue,$H75+M$18))</f>
        <v>1</v>
      </c>
      <c r="N75" s="154" cm="1">
        <f t="array" aca="1" ref="N75" ca="1">IF($G75=0,"",INDEX(auto_DataFlat_DataValue,$H75+N$18))</f>
        <v>0</v>
      </c>
      <c r="O75" s="154" cm="1">
        <f t="array" aca="1" ref="O75" ca="1">IF($G75=0,"",INDEX(auto_DataFlat_DataValue,$H75+O$18))</f>
        <v>1</v>
      </c>
      <c r="P75" s="154" cm="1">
        <f t="array" aca="1" ref="P75" ca="1">IF($G75=0,"",INDEX(auto_DataFlat_DataValue,$H75+P$18))</f>
        <v>2</v>
      </c>
      <c r="Q75" s="154" cm="1">
        <f t="array" aca="1" ref="Q75" ca="1">IF($G75=0,"",INDEX(auto_DataFlat_DataValue,$H75+Q$18))</f>
        <v>2</v>
      </c>
      <c r="R75" s="154" cm="1">
        <f t="array" aca="1" ref="R75" ca="1">IF($G75=0,"",INDEX(auto_DataFlat_DataValue,$H75+R$18))</f>
        <v>3</v>
      </c>
      <c r="S75" s="154" cm="1">
        <f t="array" aca="1" ref="S75" ca="1">IF($G75=0,"",INDEX(auto_DataFlat_DataValue,$H75+S$18))</f>
        <v>2</v>
      </c>
      <c r="T75" s="154" cm="1">
        <f t="array" aca="1" ref="T75" ca="1">IF($G75=0,"",INDEX(auto_DataFlat_DataValue,$H75+T$18))</f>
        <v>0</v>
      </c>
      <c r="U75" s="154" cm="1">
        <f t="array" aca="1" ref="U75" ca="1">IF($G75=0,"",INDEX(auto_DataFlat_DataValue,$H75+U$18))</f>
        <v>1</v>
      </c>
      <c r="V75" s="154" cm="1">
        <f t="array" aca="1" ref="V75" ca="1">IF($G75=0,"",INDEX(auto_DataFlat_DataValue,$H75+V$18))</f>
        <v>1</v>
      </c>
      <c r="W75" s="154" cm="1">
        <f t="array" aca="1" ref="W75" ca="1">IF($G75=0,"",INDEX(auto_DataFlat_DataValue,$H75+W$18))</f>
        <v>2</v>
      </c>
      <c r="X75" s="154" cm="1">
        <f t="array" aca="1" ref="X75" ca="1">IF($G75=0,"",INDEX(auto_DataFlat_DataValue,$H75+X$18))</f>
        <v>2</v>
      </c>
      <c r="Y75" s="154" cm="1">
        <f t="array" aca="1" ref="Y75" ca="1">IF($G75=0,"",INDEX(auto_DataFlat_DataValue,$H75+Y$18))</f>
        <v>2</v>
      </c>
      <c r="Z75" s="154" cm="1">
        <f t="array" aca="1" ref="Z75" ca="1">IF($G75=0,"",INDEX(auto_DataFlat_DataValue,$H75+Z$18))</f>
        <v>1</v>
      </c>
      <c r="AA75" s="154" cm="1">
        <f t="array" aca="1" ref="AA75" ca="1">IF($G75=0,"",INDEX(auto_DataFlat_DataValue,$H75+AA$18))</f>
        <v>3</v>
      </c>
      <c r="AB75" s="154" cm="1">
        <f t="array" aca="1" ref="AB75" ca="1">IF($G75=0,"",INDEX(auto_DataFlat_DataValue,$H75+AB$18))</f>
        <v>3</v>
      </c>
      <c r="AC75" s="154" cm="1">
        <f t="array" aca="1" ref="AC75" ca="1">IF($G75=0,"",INDEX(auto_DataFlat_DataValue,$H75+AC$18))</f>
        <v>1</v>
      </c>
      <c r="AD75" s="154" cm="1">
        <f t="array" aca="1" ref="AD75" ca="1">IF($G75=0,"",INDEX(auto_DataFlat_DataValue,$H75+AD$18))</f>
        <v>3</v>
      </c>
      <c r="AE75" s="154" cm="1">
        <f t="array" aca="1" ref="AE75" ca="1">IF($G75=0,"",INDEX(auto_DataFlat_DataValue,$H75+AE$18))</f>
        <v>1</v>
      </c>
      <c r="AF75" s="154" cm="1">
        <f t="array" aca="1" ref="AF75" ca="1">IF($G75=0,"",INDEX(auto_DataFlat_DataValue,$H75+AF$18))</f>
        <v>2</v>
      </c>
      <c r="AG75" s="154" cm="1">
        <f t="array" aca="1" ref="AG75" ca="1">IF($G75=0,"",INDEX(auto_DataFlat_DataValue,$H75+AG$18))</f>
        <v>0</v>
      </c>
      <c r="AH75" s="154" cm="1">
        <f t="array" aca="1" ref="AH75" ca="1">IF($G75=0,"",INDEX(auto_DataFlat_DataValue,$H75+AH$18))</f>
        <v>2</v>
      </c>
      <c r="AI75" s="154" cm="1">
        <f t="array" aca="1" ref="AI75" ca="1">IF($G75=0,"",INDEX(auto_DataFlat_DataValue,$H75+AI$18))</f>
        <v>2</v>
      </c>
      <c r="AJ75" s="154" cm="1">
        <f t="array" aca="1" ref="AJ75" ca="1">IF($G75=0,"",INDEX(auto_DataFlat_DataValue,$H75+AJ$18))</f>
        <v>1</v>
      </c>
      <c r="AK75" s="154" cm="1">
        <f t="array" aca="1" ref="AK75" ca="1">IF($G75=0,"",INDEX(auto_DataFlat_DataValue,$H75+AK$18))</f>
        <v>1</v>
      </c>
      <c r="AL75" s="154" cm="1">
        <f t="array" aca="1" ref="AL75" ca="1">IF($G75=0,"",INDEX(auto_DataFlat_DataValue,$H75+AL$18))</f>
        <v>2</v>
      </c>
      <c r="AM75" s="154" cm="1">
        <f t="array" aca="1" ref="AM75" ca="1">IF($G75=0,"",INDEX(auto_DataFlat_DataValue,$H75+AM$18))</f>
        <v>0</v>
      </c>
      <c r="AN75" s="154" cm="1">
        <f t="array" aca="1" ref="AN75" ca="1">IF($G75=0,"",INDEX(auto_DataFlat_DataValue,$H75+AN$18))</f>
        <v>2</v>
      </c>
      <c r="AO75" s="154" cm="1">
        <f t="array" aca="1" ref="AO75" ca="1">IF($G75=0,"",INDEX(auto_DataFlat_DataValue,$H75+AO$18))</f>
        <v>0</v>
      </c>
      <c r="AP75" s="154" cm="1">
        <f t="array" aca="1" ref="AP75" ca="1">IF($G75=0,"",INDEX(auto_DataFlat_DataValue,$H75+AP$18))</f>
        <v>2</v>
      </c>
      <c r="AQ75" s="154" cm="1">
        <f t="array" aca="1" ref="AQ75" ca="1">IF($G75=0,"",INDEX(auto_DataFlat_DataValue,$H75+AQ$18))</f>
        <v>3</v>
      </c>
      <c r="AR75" s="154" cm="1">
        <f t="array" aca="1" ref="AR75" ca="1">IF($G75=0,"",INDEX(auto_DataFlat_DataValue,$H75+AR$18))</f>
        <v>3</v>
      </c>
      <c r="AS75" s="154" cm="1">
        <f t="array" aca="1" ref="AS75" ca="1">IF($G75=0,"",INDEX(auto_DataFlat_DataValue,$H75+AS$18))</f>
        <v>2</v>
      </c>
      <c r="AT75" s="154" cm="1">
        <f t="array" aca="1" ref="AT75" ca="1">IF($G75=0,"",INDEX(auto_DataFlat_DataValue,$H75+AT$18))</f>
        <v>3</v>
      </c>
      <c r="AU75" s="154" cm="1">
        <f t="array" aca="1" ref="AU75" ca="1">IF($G75=0,"",INDEX(auto_DataFlat_DataValue,$H75+AU$18))</f>
        <v>2</v>
      </c>
      <c r="AV75" s="154" cm="1">
        <f t="array" aca="1" ref="AV75" ca="1">IF($G75=0,"",INDEX(auto_DataFlat_DataValue,$H75+AV$18))</f>
        <v>1</v>
      </c>
      <c r="AW75" s="154" cm="1">
        <f t="array" aca="1" ref="AW75" ca="1">IF($G75=0,"",INDEX(auto_DataFlat_DataValue,$H75+AW$18))</f>
        <v>0</v>
      </c>
      <c r="AX75" s="154" cm="1">
        <f t="array" aca="1" ref="AX75" ca="1">IF($G75=0,"",INDEX(auto_DataFlat_DataValue,$H75+AX$18))</f>
        <v>2</v>
      </c>
      <c r="AY75" s="154" cm="1">
        <f t="array" aca="1" ref="AY75" ca="1">IF($G75=0,"",INDEX(auto_DataFlat_DataValue,$H75+AY$18))</f>
        <v>1</v>
      </c>
      <c r="AZ75" s="154" cm="1">
        <f t="array" aca="1" ref="AZ75" ca="1">IF($G75=0,"",INDEX(auto_DataFlat_DataValue,$H75+AZ$18))</f>
        <v>2</v>
      </c>
      <c r="BA75" s="154" cm="1">
        <f t="array" aca="1" ref="BA75" ca="1">IF($G75=0,"",INDEX(auto_DataFlat_DataValue,$H75+BA$18))</f>
        <v>2</v>
      </c>
      <c r="BB75" s="154" cm="1">
        <f t="array" aca="1" ref="BB75" ca="1">IF($G75=0,"",INDEX(auto_DataFlat_DataValue,$H75+BB$18))</f>
        <v>2</v>
      </c>
      <c r="BC75" s="154" cm="1">
        <f t="array" aca="1" ref="BC75" ca="1">IF($G75=0,"",INDEX(auto_DataFlat_DataValue,$H75+BC$18))</f>
        <v>2</v>
      </c>
      <c r="BD75" s="154" cm="1">
        <f t="array" aca="1" ref="BD75" ca="1">IF($G75=0,"",INDEX(auto_DataFlat_DataValue,$H75+BD$18))</f>
        <v>2</v>
      </c>
      <c r="BE75" s="154" cm="1">
        <f t="array" aca="1" ref="BE75" ca="1">IF($G75=0,"",INDEX(auto_DataFlat_DataValue,$H75+BE$18))</f>
        <v>3</v>
      </c>
      <c r="BF75" s="154" cm="1">
        <f t="array" aca="1" ref="BF75" ca="1">IF($G75=0,"",INDEX(auto_DataFlat_DataValue,$H75+BF$18))</f>
        <v>1</v>
      </c>
      <c r="BG75" s="154" cm="1">
        <f t="array" aca="1" ref="BG75" ca="1">IF($G75=0,"",INDEX(auto_DataFlat_DataValue,$H75+BG$18))</f>
        <v>2</v>
      </c>
      <c r="BH75" s="154" cm="1">
        <f t="array" aca="1" ref="BH75" ca="1">IF($G75=0,"",INDEX(auto_DataFlat_DataValue,$H75+BH$18))</f>
        <v>3</v>
      </c>
      <c r="BI75" s="154" cm="1">
        <f t="array" aca="1" ref="BI75" ca="1">IF($G75=0,"",INDEX(auto_DataFlat_DataValue,$H75+BI$18))</f>
        <v>1</v>
      </c>
    </row>
    <row r="76" spans="1:61" ht="17.05" customHeight="1" x14ac:dyDescent="0.4">
      <c r="A76" t="str">
        <f t="shared" si="3"/>
        <v/>
      </c>
      <c r="B76" s="42" t="str">
        <f t="shared" ca="1" si="1"/>
        <v/>
      </c>
      <c r="C76" s="100">
        <v>57</v>
      </c>
      <c r="D76" s="49" cm="1">
        <f t="array" aca="1" ref="D76" ca="1">INDEX(OFFSET(auto_ss_data_table,0,1,500,1),C76)</f>
        <v>57</v>
      </c>
      <c r="E76" s="101" cm="1">
        <f t="array" aca="1" ref="E76" ca="1">INDEX(auto_tblSeries,$D76,E$18)</f>
        <v>3</v>
      </c>
      <c r="F76" s="101" t="str" cm="1">
        <f t="array" aca="1" ref="F76" ca="1">INDEX(auto_tblSeries,$D76,F$18)</f>
        <v>#,##0</v>
      </c>
      <c r="G76" s="101" cm="1">
        <f t="array" aca="1" ref="G76" ca="1">INDEX(auto_tblSeries,$D76,G$18)</f>
        <v>1</v>
      </c>
      <c r="H76" s="101" cm="1">
        <f t="array" aca="1" ref="H76" ca="1">INDEX(sys_DataFlat_LU_Grid,$D76,1)-1</f>
        <v>3360</v>
      </c>
      <c r="I76" s="26"/>
      <c r="J76" s="151" t="str" cm="1">
        <f t="array" aca="1" ref="J76" ca="1">INDEX(auto_Series_NameNumbered,$D76)</f>
        <v>5.3b) Urban health plan: stakeholder engagement</v>
      </c>
      <c r="K76" s="152" t="str" cm="1">
        <f t="array" aca="1" ref="K76" ca="1">IF($G76=0,"",INDEX(auto_tblSeries,$D76,K$18))</f>
        <v>Rating 0-1</v>
      </c>
      <c r="L76" s="154" cm="1">
        <f t="array" aca="1" ref="L76" ca="1">IF($G76=0,"",INDEX(auto_DataFlat_DataValue,$H76+L$18))</f>
        <v>1</v>
      </c>
      <c r="M76" s="154" cm="1">
        <f t="array" aca="1" ref="M76" ca="1">IF($G76=0,"",INDEX(auto_DataFlat_DataValue,$H76+M$18))</f>
        <v>0</v>
      </c>
      <c r="N76" s="154" cm="1">
        <f t="array" aca="1" ref="N76" ca="1">IF($G76=0,"",INDEX(auto_DataFlat_DataValue,$H76+N$18))</f>
        <v>0</v>
      </c>
      <c r="O76" s="154" cm="1">
        <f t="array" aca="1" ref="O76" ca="1">IF($G76=0,"",INDEX(auto_DataFlat_DataValue,$H76+O$18))</f>
        <v>1</v>
      </c>
      <c r="P76" s="154" cm="1">
        <f t="array" aca="1" ref="P76" ca="1">IF($G76=0,"",INDEX(auto_DataFlat_DataValue,$H76+P$18))</f>
        <v>1</v>
      </c>
      <c r="Q76" s="154" cm="1">
        <f t="array" aca="1" ref="Q76" ca="1">IF($G76=0,"",INDEX(auto_DataFlat_DataValue,$H76+Q$18))</f>
        <v>1</v>
      </c>
      <c r="R76" s="154" cm="1">
        <f t="array" aca="1" ref="R76" ca="1">IF($G76=0,"",INDEX(auto_DataFlat_DataValue,$H76+R$18))</f>
        <v>1</v>
      </c>
      <c r="S76" s="154" cm="1">
        <f t="array" aca="1" ref="S76" ca="1">IF($G76=0,"",INDEX(auto_DataFlat_DataValue,$H76+S$18))</f>
        <v>1</v>
      </c>
      <c r="T76" s="154" cm="1">
        <f t="array" aca="1" ref="T76" ca="1">IF($G76=0,"",INDEX(auto_DataFlat_DataValue,$H76+T$18))</f>
        <v>0</v>
      </c>
      <c r="U76" s="154" cm="1">
        <f t="array" aca="1" ref="U76" ca="1">IF($G76=0,"",INDEX(auto_DataFlat_DataValue,$H76+U$18))</f>
        <v>0</v>
      </c>
      <c r="V76" s="154" cm="1">
        <f t="array" aca="1" ref="V76" ca="1">IF($G76=0,"",INDEX(auto_DataFlat_DataValue,$H76+V$18))</f>
        <v>0</v>
      </c>
      <c r="W76" s="154" cm="1">
        <f t="array" aca="1" ref="W76" ca="1">IF($G76=0,"",INDEX(auto_DataFlat_DataValue,$H76+W$18))</f>
        <v>1</v>
      </c>
      <c r="X76" s="154" cm="1">
        <f t="array" aca="1" ref="X76" ca="1">IF($G76=0,"",INDEX(auto_DataFlat_DataValue,$H76+X$18))</f>
        <v>0</v>
      </c>
      <c r="Y76" s="154" cm="1">
        <f t="array" aca="1" ref="Y76" ca="1">IF($G76=0,"",INDEX(auto_DataFlat_DataValue,$H76+Y$18))</f>
        <v>1</v>
      </c>
      <c r="Z76" s="154" cm="1">
        <f t="array" aca="1" ref="Z76" ca="1">IF($G76=0,"",INDEX(auto_DataFlat_DataValue,$H76+Z$18))</f>
        <v>1</v>
      </c>
      <c r="AA76" s="154" cm="1">
        <f t="array" aca="1" ref="AA76" ca="1">IF($G76=0,"",INDEX(auto_DataFlat_DataValue,$H76+AA$18))</f>
        <v>1</v>
      </c>
      <c r="AB76" s="154" cm="1">
        <f t="array" aca="1" ref="AB76" ca="1">IF($G76=0,"",INDEX(auto_DataFlat_DataValue,$H76+AB$18))</f>
        <v>1</v>
      </c>
      <c r="AC76" s="154" cm="1">
        <f t="array" aca="1" ref="AC76" ca="1">IF($G76=0,"",INDEX(auto_DataFlat_DataValue,$H76+AC$18))</f>
        <v>0</v>
      </c>
      <c r="AD76" s="154" cm="1">
        <f t="array" aca="1" ref="AD76" ca="1">IF($G76=0,"",INDEX(auto_DataFlat_DataValue,$H76+AD$18))</f>
        <v>1</v>
      </c>
      <c r="AE76" s="154" cm="1">
        <f t="array" aca="1" ref="AE76" ca="1">IF($G76=0,"",INDEX(auto_DataFlat_DataValue,$H76+AE$18))</f>
        <v>0</v>
      </c>
      <c r="AF76" s="154" cm="1">
        <f t="array" aca="1" ref="AF76" ca="1">IF($G76=0,"",INDEX(auto_DataFlat_DataValue,$H76+AF$18))</f>
        <v>1</v>
      </c>
      <c r="AG76" s="154" cm="1">
        <f t="array" aca="1" ref="AG76" ca="1">IF($G76=0,"",INDEX(auto_DataFlat_DataValue,$H76+AG$18))</f>
        <v>0</v>
      </c>
      <c r="AH76" s="154" cm="1">
        <f t="array" aca="1" ref="AH76" ca="1">IF($G76=0,"",INDEX(auto_DataFlat_DataValue,$H76+AH$18))</f>
        <v>1</v>
      </c>
      <c r="AI76" s="154" cm="1">
        <f t="array" aca="1" ref="AI76" ca="1">IF($G76=0,"",INDEX(auto_DataFlat_DataValue,$H76+AI$18))</f>
        <v>1</v>
      </c>
      <c r="AJ76" s="154" cm="1">
        <f t="array" aca="1" ref="AJ76" ca="1">IF($G76=0,"",INDEX(auto_DataFlat_DataValue,$H76+AJ$18))</f>
        <v>0</v>
      </c>
      <c r="AK76" s="154" cm="1">
        <f t="array" aca="1" ref="AK76" ca="1">IF($G76=0,"",INDEX(auto_DataFlat_DataValue,$H76+AK$18))</f>
        <v>1</v>
      </c>
      <c r="AL76" s="154" cm="1">
        <f t="array" aca="1" ref="AL76" ca="1">IF($G76=0,"",INDEX(auto_DataFlat_DataValue,$H76+AL$18))</f>
        <v>0</v>
      </c>
      <c r="AM76" s="154" cm="1">
        <f t="array" aca="1" ref="AM76" ca="1">IF($G76=0,"",INDEX(auto_DataFlat_DataValue,$H76+AM$18))</f>
        <v>0</v>
      </c>
      <c r="AN76" s="154" cm="1">
        <f t="array" aca="1" ref="AN76" ca="1">IF($G76=0,"",INDEX(auto_DataFlat_DataValue,$H76+AN$18))</f>
        <v>1</v>
      </c>
      <c r="AO76" s="154" cm="1">
        <f t="array" aca="1" ref="AO76" ca="1">IF($G76=0,"",INDEX(auto_DataFlat_DataValue,$H76+AO$18))</f>
        <v>0</v>
      </c>
      <c r="AP76" s="154" cm="1">
        <f t="array" aca="1" ref="AP76" ca="1">IF($G76=0,"",INDEX(auto_DataFlat_DataValue,$H76+AP$18))</f>
        <v>0</v>
      </c>
      <c r="AQ76" s="154" cm="1">
        <f t="array" aca="1" ref="AQ76" ca="1">IF($G76=0,"",INDEX(auto_DataFlat_DataValue,$H76+AQ$18))</f>
        <v>1</v>
      </c>
      <c r="AR76" s="154" cm="1">
        <f t="array" aca="1" ref="AR76" ca="1">IF($G76=0,"",INDEX(auto_DataFlat_DataValue,$H76+AR$18))</f>
        <v>1</v>
      </c>
      <c r="AS76" s="154" cm="1">
        <f t="array" aca="1" ref="AS76" ca="1">IF($G76=0,"",INDEX(auto_DataFlat_DataValue,$H76+AS$18))</f>
        <v>1</v>
      </c>
      <c r="AT76" s="154" cm="1">
        <f t="array" aca="1" ref="AT76" ca="1">IF($G76=0,"",INDEX(auto_DataFlat_DataValue,$H76+AT$18))</f>
        <v>1</v>
      </c>
      <c r="AU76" s="154" cm="1">
        <f t="array" aca="1" ref="AU76" ca="1">IF($G76=0,"",INDEX(auto_DataFlat_DataValue,$H76+AU$18))</f>
        <v>1</v>
      </c>
      <c r="AV76" s="154" cm="1">
        <f t="array" aca="1" ref="AV76" ca="1">IF($G76=0,"",INDEX(auto_DataFlat_DataValue,$H76+AV$18))</f>
        <v>0</v>
      </c>
      <c r="AW76" s="154" cm="1">
        <f t="array" aca="1" ref="AW76" ca="1">IF($G76=0,"",INDEX(auto_DataFlat_DataValue,$H76+AW$18))</f>
        <v>0</v>
      </c>
      <c r="AX76" s="154" cm="1">
        <f t="array" aca="1" ref="AX76" ca="1">IF($G76=0,"",INDEX(auto_DataFlat_DataValue,$H76+AX$18))</f>
        <v>1</v>
      </c>
      <c r="AY76" s="154" cm="1">
        <f t="array" aca="1" ref="AY76" ca="1">IF($G76=0,"",INDEX(auto_DataFlat_DataValue,$H76+AY$18))</f>
        <v>1</v>
      </c>
      <c r="AZ76" s="154" cm="1">
        <f t="array" aca="1" ref="AZ76" ca="1">IF($G76=0,"",INDEX(auto_DataFlat_DataValue,$H76+AZ$18))</f>
        <v>1</v>
      </c>
      <c r="BA76" s="154" cm="1">
        <f t="array" aca="1" ref="BA76" ca="1">IF($G76=0,"",INDEX(auto_DataFlat_DataValue,$H76+BA$18))</f>
        <v>1</v>
      </c>
      <c r="BB76" s="154" cm="1">
        <f t="array" aca="1" ref="BB76" ca="1">IF($G76=0,"",INDEX(auto_DataFlat_DataValue,$H76+BB$18))</f>
        <v>1</v>
      </c>
      <c r="BC76" s="154" cm="1">
        <f t="array" aca="1" ref="BC76" ca="1">IF($G76=0,"",INDEX(auto_DataFlat_DataValue,$H76+BC$18))</f>
        <v>1</v>
      </c>
      <c r="BD76" s="154" cm="1">
        <f t="array" aca="1" ref="BD76" ca="1">IF($G76=0,"",INDEX(auto_DataFlat_DataValue,$H76+BD$18))</f>
        <v>1</v>
      </c>
      <c r="BE76" s="154" cm="1">
        <f t="array" aca="1" ref="BE76" ca="1">IF($G76=0,"",INDEX(auto_DataFlat_DataValue,$H76+BE$18))</f>
        <v>1</v>
      </c>
      <c r="BF76" s="154" cm="1">
        <f t="array" aca="1" ref="BF76" ca="1">IF($G76=0,"",INDEX(auto_DataFlat_DataValue,$H76+BF$18))</f>
        <v>1</v>
      </c>
      <c r="BG76" s="154" cm="1">
        <f t="array" aca="1" ref="BG76" ca="1">IF($G76=0,"",INDEX(auto_DataFlat_DataValue,$H76+BG$18))</f>
        <v>1</v>
      </c>
      <c r="BH76" s="154" cm="1">
        <f t="array" aca="1" ref="BH76" ca="1">IF($G76=0,"",INDEX(auto_DataFlat_DataValue,$H76+BH$18))</f>
        <v>1</v>
      </c>
      <c r="BI76" s="154" cm="1">
        <f t="array" aca="1" ref="BI76" ca="1">IF($G76=0,"",INDEX(auto_DataFlat_DataValue,$H76+BI$18))</f>
        <v>0</v>
      </c>
    </row>
    <row r="77" spans="1:61" ht="17.05" customHeight="1" x14ac:dyDescent="0.4">
      <c r="A77" t="str">
        <f t="shared" si="3"/>
        <v/>
      </c>
      <c r="B77" s="42" t="str">
        <f t="shared" ca="1" si="1"/>
        <v/>
      </c>
      <c r="C77" s="100">
        <v>58</v>
      </c>
      <c r="D77" s="49" cm="1">
        <f t="array" aca="1" ref="D77" ca="1">INDEX(OFFSET(auto_ss_data_table,0,1,500,1),C77)</f>
        <v>58</v>
      </c>
      <c r="E77" s="101" cm="1">
        <f t="array" aca="1" ref="E77" ca="1">INDEX(auto_tblSeries,$D77,E$18)</f>
        <v>2</v>
      </c>
      <c r="F77" s="101" t="str" cm="1">
        <f t="array" aca="1" ref="F77" ca="1">INDEX(auto_tblSeries,$D77,F$18)</f>
        <v>#,##0</v>
      </c>
      <c r="G77" s="101" cm="1">
        <f t="array" aca="1" ref="G77" ca="1">INDEX(auto_tblSeries,$D77,G$18)</f>
        <v>1</v>
      </c>
      <c r="H77" s="101" cm="1">
        <f t="array" aca="1" ref="H77" ca="1">INDEX(sys_DataFlat_LU_Grid,$D77,1)-1</f>
        <v>3420</v>
      </c>
      <c r="I77" s="26"/>
      <c r="J77" s="151" t="str" cm="1">
        <f t="array" aca="1" ref="J77" ca="1">INDEX(auto_Series_NameNumbered,$D77)</f>
        <v>5.4) Healthy diet policies</v>
      </c>
      <c r="K77" s="152" t="str" cm="1">
        <f t="array" aca="1" ref="K77" ca="1">IF($G77=0,"",INDEX(auto_tblSeries,$D77,K$18))</f>
        <v>Rating 0-2</v>
      </c>
      <c r="L77" s="154" cm="1">
        <f t="array" aca="1" ref="L77" ca="1">IF($G77=0,"",INDEX(auto_DataFlat_DataValue,$H77+L$18))</f>
        <v>0</v>
      </c>
      <c r="M77" s="154" cm="1">
        <f t="array" aca="1" ref="M77" ca="1">IF($G77=0,"",INDEX(auto_DataFlat_DataValue,$H77+M$18))</f>
        <v>1</v>
      </c>
      <c r="N77" s="154" cm="1">
        <f t="array" aca="1" ref="N77" ca="1">IF($G77=0,"",INDEX(auto_DataFlat_DataValue,$H77+N$18))</f>
        <v>1</v>
      </c>
      <c r="O77" s="154" cm="1">
        <f t="array" aca="1" ref="O77" ca="1">IF($G77=0,"",INDEX(auto_DataFlat_DataValue,$H77+O$18))</f>
        <v>1</v>
      </c>
      <c r="P77" s="154" cm="1">
        <f t="array" aca="1" ref="P77" ca="1">IF($G77=0,"",INDEX(auto_DataFlat_DataValue,$H77+P$18))</f>
        <v>1</v>
      </c>
      <c r="Q77" s="154" cm="1">
        <f t="array" aca="1" ref="Q77" ca="1">IF($G77=0,"",INDEX(auto_DataFlat_DataValue,$H77+Q$18))</f>
        <v>1</v>
      </c>
      <c r="R77" s="154" cm="1">
        <f t="array" aca="1" ref="R77" ca="1">IF($G77=0,"",INDEX(auto_DataFlat_DataValue,$H77+R$18))</f>
        <v>0</v>
      </c>
      <c r="S77" s="154" cm="1">
        <f t="array" aca="1" ref="S77" ca="1">IF($G77=0,"",INDEX(auto_DataFlat_DataValue,$H77+S$18))</f>
        <v>0</v>
      </c>
      <c r="T77" s="154" cm="1">
        <f t="array" aca="1" ref="T77" ca="1">IF($G77=0,"",INDEX(auto_DataFlat_DataValue,$H77+T$18))</f>
        <v>1</v>
      </c>
      <c r="U77" s="154" cm="1">
        <f t="array" aca="1" ref="U77" ca="1">IF($G77=0,"",INDEX(auto_DataFlat_DataValue,$H77+U$18))</f>
        <v>1</v>
      </c>
      <c r="V77" s="154" cm="1">
        <f t="array" aca="1" ref="V77" ca="1">IF($G77=0,"",INDEX(auto_DataFlat_DataValue,$H77+V$18))</f>
        <v>0</v>
      </c>
      <c r="W77" s="154" cm="1">
        <f t="array" aca="1" ref="W77" ca="1">IF($G77=0,"",INDEX(auto_DataFlat_DataValue,$H77+W$18))</f>
        <v>2</v>
      </c>
      <c r="X77" s="154" cm="1">
        <f t="array" aca="1" ref="X77" ca="1">IF($G77=0,"",INDEX(auto_DataFlat_DataValue,$H77+X$18))</f>
        <v>2</v>
      </c>
      <c r="Y77" s="154" cm="1">
        <f t="array" aca="1" ref="Y77" ca="1">IF($G77=0,"",INDEX(auto_DataFlat_DataValue,$H77+Y$18))</f>
        <v>1</v>
      </c>
      <c r="Z77" s="154" cm="1">
        <f t="array" aca="1" ref="Z77" ca="1">IF($G77=0,"",INDEX(auto_DataFlat_DataValue,$H77+Z$18))</f>
        <v>1</v>
      </c>
      <c r="AA77" s="154" cm="1">
        <f t="array" aca="1" ref="AA77" ca="1">IF($G77=0,"",INDEX(auto_DataFlat_DataValue,$H77+AA$18))</f>
        <v>1</v>
      </c>
      <c r="AB77" s="154" cm="1">
        <f t="array" aca="1" ref="AB77" ca="1">IF($G77=0,"",INDEX(auto_DataFlat_DataValue,$H77+AB$18))</f>
        <v>2</v>
      </c>
      <c r="AC77" s="154" cm="1">
        <f t="array" aca="1" ref="AC77" ca="1">IF($G77=0,"",INDEX(auto_DataFlat_DataValue,$H77+AC$18))</f>
        <v>0</v>
      </c>
      <c r="AD77" s="154" cm="1">
        <f t="array" aca="1" ref="AD77" ca="1">IF($G77=0,"",INDEX(auto_DataFlat_DataValue,$H77+AD$18))</f>
        <v>2</v>
      </c>
      <c r="AE77" s="154" cm="1">
        <f t="array" aca="1" ref="AE77" ca="1">IF($G77=0,"",INDEX(auto_DataFlat_DataValue,$H77+AE$18))</f>
        <v>0</v>
      </c>
      <c r="AF77" s="154" cm="1">
        <f t="array" aca="1" ref="AF77" ca="1">IF($G77=0,"",INDEX(auto_DataFlat_DataValue,$H77+AF$18))</f>
        <v>1</v>
      </c>
      <c r="AG77" s="154" cm="1">
        <f t="array" aca="1" ref="AG77" ca="1">IF($G77=0,"",INDEX(auto_DataFlat_DataValue,$H77+AG$18))</f>
        <v>1</v>
      </c>
      <c r="AH77" s="154" cm="1">
        <f t="array" aca="1" ref="AH77" ca="1">IF($G77=0,"",INDEX(auto_DataFlat_DataValue,$H77+AH$18))</f>
        <v>2</v>
      </c>
      <c r="AI77" s="154" cm="1">
        <f t="array" aca="1" ref="AI77" ca="1">IF($G77=0,"",INDEX(auto_DataFlat_DataValue,$H77+AI$18))</f>
        <v>1</v>
      </c>
      <c r="AJ77" s="154" cm="1">
        <f t="array" aca="1" ref="AJ77" ca="1">IF($G77=0,"",INDEX(auto_DataFlat_DataValue,$H77+AJ$18))</f>
        <v>2</v>
      </c>
      <c r="AK77" s="154" cm="1">
        <f t="array" aca="1" ref="AK77" ca="1">IF($G77=0,"",INDEX(auto_DataFlat_DataValue,$H77+AK$18))</f>
        <v>2</v>
      </c>
      <c r="AL77" s="154" cm="1">
        <f t="array" aca="1" ref="AL77" ca="1">IF($G77=0,"",INDEX(auto_DataFlat_DataValue,$H77+AL$18))</f>
        <v>1</v>
      </c>
      <c r="AM77" s="154" cm="1">
        <f t="array" aca="1" ref="AM77" ca="1">IF($G77=0,"",INDEX(auto_DataFlat_DataValue,$H77+AM$18))</f>
        <v>1</v>
      </c>
      <c r="AN77" s="154" cm="1">
        <f t="array" aca="1" ref="AN77" ca="1">IF($G77=0,"",INDEX(auto_DataFlat_DataValue,$H77+AN$18))</f>
        <v>1</v>
      </c>
      <c r="AO77" s="154" cm="1">
        <f t="array" aca="1" ref="AO77" ca="1">IF($G77=0,"",INDEX(auto_DataFlat_DataValue,$H77+AO$18))</f>
        <v>1</v>
      </c>
      <c r="AP77" s="154" cm="1">
        <f t="array" aca="1" ref="AP77" ca="1">IF($G77=0,"",INDEX(auto_DataFlat_DataValue,$H77+AP$18))</f>
        <v>1</v>
      </c>
      <c r="AQ77" s="154" cm="1">
        <f t="array" aca="1" ref="AQ77" ca="1">IF($G77=0,"",INDEX(auto_DataFlat_DataValue,$H77+AQ$18))</f>
        <v>2</v>
      </c>
      <c r="AR77" s="154" cm="1">
        <f t="array" aca="1" ref="AR77" ca="1">IF($G77=0,"",INDEX(auto_DataFlat_DataValue,$H77+AR$18))</f>
        <v>1</v>
      </c>
      <c r="AS77" s="154" cm="1">
        <f t="array" aca="1" ref="AS77" ca="1">IF($G77=0,"",INDEX(auto_DataFlat_DataValue,$H77+AS$18))</f>
        <v>1</v>
      </c>
      <c r="AT77" s="154" cm="1">
        <f t="array" aca="1" ref="AT77" ca="1">IF($G77=0,"",INDEX(auto_DataFlat_DataValue,$H77+AT$18))</f>
        <v>1</v>
      </c>
      <c r="AU77" s="154" cm="1">
        <f t="array" aca="1" ref="AU77" ca="1">IF($G77=0,"",INDEX(auto_DataFlat_DataValue,$H77+AU$18))</f>
        <v>0</v>
      </c>
      <c r="AV77" s="154" cm="1">
        <f t="array" aca="1" ref="AV77" ca="1">IF($G77=0,"",INDEX(auto_DataFlat_DataValue,$H77+AV$18))</f>
        <v>2</v>
      </c>
      <c r="AW77" s="154" cm="1">
        <f t="array" aca="1" ref="AW77" ca="1">IF($G77=0,"",INDEX(auto_DataFlat_DataValue,$H77+AW$18))</f>
        <v>1</v>
      </c>
      <c r="AX77" s="154" cm="1">
        <f t="array" aca="1" ref="AX77" ca="1">IF($G77=0,"",INDEX(auto_DataFlat_DataValue,$H77+AX$18))</f>
        <v>2</v>
      </c>
      <c r="AY77" s="154" cm="1">
        <f t="array" aca="1" ref="AY77" ca="1">IF($G77=0,"",INDEX(auto_DataFlat_DataValue,$H77+AY$18))</f>
        <v>1</v>
      </c>
      <c r="AZ77" s="154" cm="1">
        <f t="array" aca="1" ref="AZ77" ca="1">IF($G77=0,"",INDEX(auto_DataFlat_DataValue,$H77+AZ$18))</f>
        <v>2</v>
      </c>
      <c r="BA77" s="154" cm="1">
        <f t="array" aca="1" ref="BA77" ca="1">IF($G77=0,"",INDEX(auto_DataFlat_DataValue,$H77+BA$18))</f>
        <v>2</v>
      </c>
      <c r="BB77" s="154" cm="1">
        <f t="array" aca="1" ref="BB77" ca="1">IF($G77=0,"",INDEX(auto_DataFlat_DataValue,$H77+BB$18))</f>
        <v>1</v>
      </c>
      <c r="BC77" s="154" cm="1">
        <f t="array" aca="1" ref="BC77" ca="1">IF($G77=0,"",INDEX(auto_DataFlat_DataValue,$H77+BC$18))</f>
        <v>2</v>
      </c>
      <c r="BD77" s="154" cm="1">
        <f t="array" aca="1" ref="BD77" ca="1">IF($G77=0,"",INDEX(auto_DataFlat_DataValue,$H77+BD$18))</f>
        <v>1</v>
      </c>
      <c r="BE77" s="154" cm="1">
        <f t="array" aca="1" ref="BE77" ca="1">IF($G77=0,"",INDEX(auto_DataFlat_DataValue,$H77+BE$18))</f>
        <v>1</v>
      </c>
      <c r="BF77" s="154" cm="1">
        <f t="array" aca="1" ref="BF77" ca="1">IF($G77=0,"",INDEX(auto_DataFlat_DataValue,$H77+BF$18))</f>
        <v>1</v>
      </c>
      <c r="BG77" s="154" cm="1">
        <f t="array" aca="1" ref="BG77" ca="1">IF($G77=0,"",INDEX(auto_DataFlat_DataValue,$H77+BG$18))</f>
        <v>1</v>
      </c>
      <c r="BH77" s="154" cm="1">
        <f t="array" aca="1" ref="BH77" ca="1">IF($G77=0,"",INDEX(auto_DataFlat_DataValue,$H77+BH$18))</f>
        <v>1</v>
      </c>
      <c r="BI77" s="154" cm="1">
        <f t="array" aca="1" ref="BI77" ca="1">IF($G77=0,"",INDEX(auto_DataFlat_DataValue,$H77+BI$18))</f>
        <v>0</v>
      </c>
    </row>
    <row r="78" spans="1:61" ht="17.05" customHeight="1" x14ac:dyDescent="0.4">
      <c r="A78" t="str">
        <f t="shared" si="3"/>
        <v/>
      </c>
      <c r="B78" s="42" t="str">
        <f t="shared" ca="1" si="1"/>
        <v/>
      </c>
      <c r="C78" s="100">
        <v>59</v>
      </c>
      <c r="D78" s="49" cm="1">
        <f t="array" aca="1" ref="D78" ca="1">INDEX(OFFSET(auto_ss_data_table,0,1,500,1),C78)</f>
        <v>59</v>
      </c>
      <c r="E78" s="101" cm="1">
        <f t="array" aca="1" ref="E78" ca="1">INDEX(auto_tblSeries,$D78,E$18)</f>
        <v>2</v>
      </c>
      <c r="F78" s="101" t="str" cm="1">
        <f t="array" aca="1" ref="F78" ca="1">INDEX(auto_tblSeries,$D78,F$18)</f>
        <v>#,##0</v>
      </c>
      <c r="G78" s="101" cm="1">
        <f t="array" aca="1" ref="G78" ca="1">INDEX(auto_tblSeries,$D78,G$18)</f>
        <v>1</v>
      </c>
      <c r="H78" s="101" cm="1">
        <f t="array" aca="1" ref="H78" ca="1">INDEX(sys_DataFlat_LU_Grid,$D78,1)-1</f>
        <v>3480</v>
      </c>
      <c r="I78" s="26"/>
      <c r="J78" s="151" t="str" cm="1">
        <f t="array" aca="1" ref="J78" ca="1">INDEX(auto_Series_NameNumbered,$D78)</f>
        <v>5.5) CVD management guidelines</v>
      </c>
      <c r="K78" s="152" t="str" cm="1">
        <f t="array" aca="1" ref="K78" ca="1">IF($G78=0,"",INDEX(auto_tblSeries,$D78,K$18))</f>
        <v>Rating 0-1</v>
      </c>
      <c r="L78" s="154" cm="1">
        <f t="array" aca="1" ref="L78" ca="1">IF($G78=0,"",INDEX(auto_DataFlat_DataValue,$H78+L$18))</f>
        <v>1</v>
      </c>
      <c r="M78" s="154" cm="1">
        <f t="array" aca="1" ref="M78" ca="1">IF($G78=0,"",INDEX(auto_DataFlat_DataValue,$H78+M$18))</f>
        <v>1</v>
      </c>
      <c r="N78" s="154" cm="1">
        <f t="array" aca="1" ref="N78" ca="1">IF($G78=0,"",INDEX(auto_DataFlat_DataValue,$H78+N$18))</f>
        <v>1</v>
      </c>
      <c r="O78" s="154" cm="1">
        <f t="array" aca="1" ref="O78" ca="1">IF($G78=0,"",INDEX(auto_DataFlat_DataValue,$H78+O$18))</f>
        <v>1</v>
      </c>
      <c r="P78" s="154" cm="1">
        <f t="array" aca="1" ref="P78" ca="1">IF($G78=0,"",INDEX(auto_DataFlat_DataValue,$H78+P$18))</f>
        <v>1</v>
      </c>
      <c r="Q78" s="154" cm="1">
        <f t="array" aca="1" ref="Q78" ca="1">IF($G78=0,"",INDEX(auto_DataFlat_DataValue,$H78+Q$18))</f>
        <v>1</v>
      </c>
      <c r="R78" s="154" cm="1">
        <f t="array" aca="1" ref="R78" ca="1">IF($G78=0,"",INDEX(auto_DataFlat_DataValue,$H78+R$18))</f>
        <v>1</v>
      </c>
      <c r="S78" s="154" cm="1">
        <f t="array" aca="1" ref="S78" ca="1">IF($G78=0,"",INDEX(auto_DataFlat_DataValue,$H78+S$18))</f>
        <v>1</v>
      </c>
      <c r="T78" s="154" cm="1">
        <f t="array" aca="1" ref="T78" ca="1">IF($G78=0,"",INDEX(auto_DataFlat_DataValue,$H78+T$18))</f>
        <v>1</v>
      </c>
      <c r="U78" s="154" cm="1">
        <f t="array" aca="1" ref="U78" ca="1">IF($G78=0,"",INDEX(auto_DataFlat_DataValue,$H78+U$18))</f>
        <v>1</v>
      </c>
      <c r="V78" s="154" cm="1">
        <f t="array" aca="1" ref="V78" ca="1">IF($G78=0,"",INDEX(auto_DataFlat_DataValue,$H78+V$18))</f>
        <v>1</v>
      </c>
      <c r="W78" s="154" cm="1">
        <f t="array" aca="1" ref="W78" ca="1">IF($G78=0,"",INDEX(auto_DataFlat_DataValue,$H78+W$18))</f>
        <v>1</v>
      </c>
      <c r="X78" s="154" cm="1">
        <f t="array" aca="1" ref="X78" ca="1">IF($G78=0,"",INDEX(auto_DataFlat_DataValue,$H78+X$18))</f>
        <v>0</v>
      </c>
      <c r="Y78" s="154" cm="1">
        <f t="array" aca="1" ref="Y78" ca="1">IF($G78=0,"",INDEX(auto_DataFlat_DataValue,$H78+Y$18))</f>
        <v>1</v>
      </c>
      <c r="Z78" s="154" cm="1">
        <f t="array" aca="1" ref="Z78" ca="1">IF($G78=0,"",INDEX(auto_DataFlat_DataValue,$H78+Z$18))</f>
        <v>1</v>
      </c>
      <c r="AA78" s="154" cm="1">
        <f t="array" aca="1" ref="AA78" ca="1">IF($G78=0,"",INDEX(auto_DataFlat_DataValue,$H78+AA$18))</f>
        <v>1</v>
      </c>
      <c r="AB78" s="154" cm="1">
        <f t="array" aca="1" ref="AB78" ca="1">IF($G78=0,"",INDEX(auto_DataFlat_DataValue,$H78+AB$18))</f>
        <v>1</v>
      </c>
      <c r="AC78" s="154" cm="1">
        <f t="array" aca="1" ref="AC78" ca="1">IF($G78=0,"",INDEX(auto_DataFlat_DataValue,$H78+AC$18))</f>
        <v>1</v>
      </c>
      <c r="AD78" s="154" cm="1">
        <f t="array" aca="1" ref="AD78" ca="1">IF($G78=0,"",INDEX(auto_DataFlat_DataValue,$H78+AD$18))</f>
        <v>1</v>
      </c>
      <c r="AE78" s="154" cm="1">
        <f t="array" aca="1" ref="AE78" ca="1">IF($G78=0,"",INDEX(auto_DataFlat_DataValue,$H78+AE$18))</f>
        <v>1</v>
      </c>
      <c r="AF78" s="154" cm="1">
        <f t="array" aca="1" ref="AF78" ca="1">IF($G78=0,"",INDEX(auto_DataFlat_DataValue,$H78+AF$18))</f>
        <v>0</v>
      </c>
      <c r="AG78" s="154" cm="1">
        <f t="array" aca="1" ref="AG78" ca="1">IF($G78=0,"",INDEX(auto_DataFlat_DataValue,$H78+AG$18))</f>
        <v>0</v>
      </c>
      <c r="AH78" s="154" cm="1">
        <f t="array" aca="1" ref="AH78" ca="1">IF($G78=0,"",INDEX(auto_DataFlat_DataValue,$H78+AH$18))</f>
        <v>1</v>
      </c>
      <c r="AI78" s="154" cm="1">
        <f t="array" aca="1" ref="AI78" ca="1">IF($G78=0,"",INDEX(auto_DataFlat_DataValue,$H78+AI$18))</f>
        <v>1</v>
      </c>
      <c r="AJ78" s="154" cm="1">
        <f t="array" aca="1" ref="AJ78" ca="1">IF($G78=0,"",INDEX(auto_DataFlat_DataValue,$H78+AJ$18))</f>
        <v>0</v>
      </c>
      <c r="AK78" s="154" cm="1">
        <f t="array" aca="1" ref="AK78" ca="1">IF($G78=0,"",INDEX(auto_DataFlat_DataValue,$H78+AK$18))</f>
        <v>1</v>
      </c>
      <c r="AL78" s="154" cm="1">
        <f t="array" aca="1" ref="AL78" ca="1">IF($G78=0,"",INDEX(auto_DataFlat_DataValue,$H78+AL$18))</f>
        <v>1</v>
      </c>
      <c r="AM78" s="154" cm="1">
        <f t="array" aca="1" ref="AM78" ca="1">IF($G78=0,"",INDEX(auto_DataFlat_DataValue,$H78+AM$18))</f>
        <v>0</v>
      </c>
      <c r="AN78" s="154" cm="1">
        <f t="array" aca="1" ref="AN78" ca="1">IF($G78=0,"",INDEX(auto_DataFlat_DataValue,$H78+AN$18))</f>
        <v>1</v>
      </c>
      <c r="AO78" s="154" cm="1">
        <f t="array" aca="1" ref="AO78" ca="1">IF($G78=0,"",INDEX(auto_DataFlat_DataValue,$H78+AO$18))</f>
        <v>1</v>
      </c>
      <c r="AP78" s="154" cm="1">
        <f t="array" aca="1" ref="AP78" ca="1">IF($G78=0,"",INDEX(auto_DataFlat_DataValue,$H78+AP$18))</f>
        <v>1</v>
      </c>
      <c r="AQ78" s="154" cm="1">
        <f t="array" aca="1" ref="AQ78" ca="1">IF($G78=0,"",INDEX(auto_DataFlat_DataValue,$H78+AQ$18))</f>
        <v>1</v>
      </c>
      <c r="AR78" s="154" cm="1">
        <f t="array" aca="1" ref="AR78" ca="1">IF($G78=0,"",INDEX(auto_DataFlat_DataValue,$H78+AR$18))</f>
        <v>1</v>
      </c>
      <c r="AS78" s="154" cm="1">
        <f t="array" aca="1" ref="AS78" ca="1">IF($G78=0,"",INDEX(auto_DataFlat_DataValue,$H78+AS$18))</f>
        <v>1</v>
      </c>
      <c r="AT78" s="154" cm="1">
        <f t="array" aca="1" ref="AT78" ca="1">IF($G78=0,"",INDEX(auto_DataFlat_DataValue,$H78+AT$18))</f>
        <v>0</v>
      </c>
      <c r="AU78" s="154" cm="1">
        <f t="array" aca="1" ref="AU78" ca="1">IF($G78=0,"",INDEX(auto_DataFlat_DataValue,$H78+AU$18))</f>
        <v>1</v>
      </c>
      <c r="AV78" s="154" cm="1">
        <f t="array" aca="1" ref="AV78" ca="1">IF($G78=0,"",INDEX(auto_DataFlat_DataValue,$H78+AV$18))</f>
        <v>0</v>
      </c>
      <c r="AW78" s="154" cm="1">
        <f t="array" aca="1" ref="AW78" ca="1">IF($G78=0,"",INDEX(auto_DataFlat_DataValue,$H78+AW$18))</f>
        <v>1</v>
      </c>
      <c r="AX78" s="154" cm="1">
        <f t="array" aca="1" ref="AX78" ca="1">IF($G78=0,"",INDEX(auto_DataFlat_DataValue,$H78+AX$18))</f>
        <v>0</v>
      </c>
      <c r="AY78" s="154" cm="1">
        <f t="array" aca="1" ref="AY78" ca="1">IF($G78=0,"",INDEX(auto_DataFlat_DataValue,$H78+AY$18))</f>
        <v>1</v>
      </c>
      <c r="AZ78" s="154" cm="1">
        <f t="array" aca="1" ref="AZ78" ca="1">IF($G78=0,"",INDEX(auto_DataFlat_DataValue,$H78+AZ$18))</f>
        <v>1</v>
      </c>
      <c r="BA78" s="154" cm="1">
        <f t="array" aca="1" ref="BA78" ca="1">IF($G78=0,"",INDEX(auto_DataFlat_DataValue,$H78+BA$18))</f>
        <v>0</v>
      </c>
      <c r="BB78" s="154" cm="1">
        <f t="array" aca="1" ref="BB78" ca="1">IF($G78=0,"",INDEX(auto_DataFlat_DataValue,$H78+BB$18))</f>
        <v>1</v>
      </c>
      <c r="BC78" s="154" cm="1">
        <f t="array" aca="1" ref="BC78" ca="1">IF($G78=0,"",INDEX(auto_DataFlat_DataValue,$H78+BC$18))</f>
        <v>1</v>
      </c>
      <c r="BD78" s="154" cm="1">
        <f t="array" aca="1" ref="BD78" ca="1">IF($G78=0,"",INDEX(auto_DataFlat_DataValue,$H78+BD$18))</f>
        <v>1</v>
      </c>
      <c r="BE78" s="154" cm="1">
        <f t="array" aca="1" ref="BE78" ca="1">IF($G78=0,"",INDEX(auto_DataFlat_DataValue,$H78+BE$18))</f>
        <v>0</v>
      </c>
      <c r="BF78" s="154" cm="1">
        <f t="array" aca="1" ref="BF78" ca="1">IF($G78=0,"",INDEX(auto_DataFlat_DataValue,$H78+BF$18))</f>
        <v>1</v>
      </c>
      <c r="BG78" s="154" cm="1">
        <f t="array" aca="1" ref="BG78" ca="1">IF($G78=0,"",INDEX(auto_DataFlat_DataValue,$H78+BG$18))</f>
        <v>0</v>
      </c>
      <c r="BH78" s="154" cm="1">
        <f t="array" aca="1" ref="BH78" ca="1">IF($G78=0,"",INDEX(auto_DataFlat_DataValue,$H78+BH$18))</f>
        <v>1</v>
      </c>
      <c r="BI78" s="154" cm="1">
        <f t="array" aca="1" ref="BI78" ca="1">IF($G78=0,"",INDEX(auto_DataFlat_DataValue,$H78+BI$18))</f>
        <v>1</v>
      </c>
    </row>
    <row r="79" spans="1:61" ht="17.05" customHeight="1" x14ac:dyDescent="0.4">
      <c r="A79" t="str">
        <f t="shared" si="3"/>
        <v/>
      </c>
      <c r="B79" s="42" t="str">
        <f t="shared" ca="1" si="1"/>
        <v/>
      </c>
      <c r="C79" s="100">
        <v>60</v>
      </c>
      <c r="D79" s="49" cm="1">
        <f t="array" aca="1" ref="D79" ca="1">INDEX(OFFSET(auto_ss_data_table,0,1,500,1),C79)</f>
        <v>60</v>
      </c>
      <c r="E79" s="101" cm="1">
        <f t="array" aca="1" ref="E79" ca="1">INDEX(auto_tblSeries,$D79,E$18)</f>
        <v>2</v>
      </c>
      <c r="F79" s="101" t="str" cm="1">
        <f t="array" aca="1" ref="F79" ca="1">INDEX(auto_tblSeries,$D79,F$18)</f>
        <v>#,##0</v>
      </c>
      <c r="G79" s="101" cm="1">
        <f t="array" aca="1" ref="G79" ca="1">INDEX(auto_tblSeries,$D79,G$18)</f>
        <v>1</v>
      </c>
      <c r="H79" s="101" cm="1">
        <f t="array" aca="1" ref="H79" ca="1">INDEX(sys_DataFlat_LU_Grid,$D79,1)-1</f>
        <v>3540</v>
      </c>
      <c r="I79" s="26"/>
      <c r="J79" s="151" t="str" cm="1">
        <f t="array" aca="1" ref="J79" ca="1">INDEX(auto_Series_NameNumbered,$D79)</f>
        <v>5.6) Treatment guidelines</v>
      </c>
      <c r="K79" s="152" t="str" cm="1">
        <f t="array" aca="1" ref="K79" ca="1">IF($G79=0,"",INDEX(auto_tblSeries,$D79,K$18))</f>
        <v>Rating 0-2</v>
      </c>
      <c r="L79" s="154" cm="1">
        <f t="array" aca="1" ref="L79" ca="1">IF($G79=0,"",INDEX(auto_DataFlat_DataValue,$H79+L$18))</f>
        <v>2</v>
      </c>
      <c r="M79" s="154" cm="1">
        <f t="array" aca="1" ref="M79" ca="1">IF($G79=0,"",INDEX(auto_DataFlat_DataValue,$H79+M$18))</f>
        <v>1</v>
      </c>
      <c r="N79" s="154" cm="1">
        <f t="array" aca="1" ref="N79" ca="1">IF($G79=0,"",INDEX(auto_DataFlat_DataValue,$H79+N$18))</f>
        <v>2</v>
      </c>
      <c r="O79" s="154" cm="1">
        <f t="array" aca="1" ref="O79" ca="1">IF($G79=0,"",INDEX(auto_DataFlat_DataValue,$H79+O$18))</f>
        <v>2</v>
      </c>
      <c r="P79" s="154" cm="1">
        <f t="array" aca="1" ref="P79" ca="1">IF($G79=0,"",INDEX(auto_DataFlat_DataValue,$H79+P$18))</f>
        <v>2</v>
      </c>
      <c r="Q79" s="154" cm="1">
        <f t="array" aca="1" ref="Q79" ca="1">IF($G79=0,"",INDEX(auto_DataFlat_DataValue,$H79+Q$18))</f>
        <v>2</v>
      </c>
      <c r="R79" s="154" cm="1">
        <f t="array" aca="1" ref="R79" ca="1">IF($G79=0,"",INDEX(auto_DataFlat_DataValue,$H79+R$18))</f>
        <v>2</v>
      </c>
      <c r="S79" s="154" cm="1">
        <f t="array" aca="1" ref="S79" ca="1">IF($G79=0,"",INDEX(auto_DataFlat_DataValue,$H79+S$18))</f>
        <v>2</v>
      </c>
      <c r="T79" s="154" cm="1">
        <f t="array" aca="1" ref="T79" ca="1">IF($G79=0,"",INDEX(auto_DataFlat_DataValue,$H79+T$18))</f>
        <v>2</v>
      </c>
      <c r="U79" s="154" cm="1">
        <f t="array" aca="1" ref="U79" ca="1">IF($G79=0,"",INDEX(auto_DataFlat_DataValue,$H79+U$18))</f>
        <v>2</v>
      </c>
      <c r="V79" s="154" cm="1">
        <f t="array" aca="1" ref="V79" ca="1">IF($G79=0,"",INDEX(auto_DataFlat_DataValue,$H79+V$18))</f>
        <v>2</v>
      </c>
      <c r="W79" s="154" cm="1">
        <f t="array" aca="1" ref="W79" ca="1">IF($G79=0,"",INDEX(auto_DataFlat_DataValue,$H79+W$18))</f>
        <v>2</v>
      </c>
      <c r="X79" s="154" cm="1">
        <f t="array" aca="1" ref="X79" ca="1">IF($G79=0,"",INDEX(auto_DataFlat_DataValue,$H79+X$18))</f>
        <v>2</v>
      </c>
      <c r="Y79" s="154" cm="1">
        <f t="array" aca="1" ref="Y79" ca="1">IF($G79=0,"",INDEX(auto_DataFlat_DataValue,$H79+Y$18))</f>
        <v>2</v>
      </c>
      <c r="Z79" s="154" cm="1">
        <f t="array" aca="1" ref="Z79" ca="1">IF($G79=0,"",INDEX(auto_DataFlat_DataValue,$H79+Z$18))</f>
        <v>2</v>
      </c>
      <c r="AA79" s="154" cm="1">
        <f t="array" aca="1" ref="AA79" ca="1">IF($G79=0,"",INDEX(auto_DataFlat_DataValue,$H79+AA$18))</f>
        <v>2</v>
      </c>
      <c r="AB79" s="154" cm="1">
        <f t="array" aca="1" ref="AB79" ca="1">IF($G79=0,"",INDEX(auto_DataFlat_DataValue,$H79+AB$18))</f>
        <v>2</v>
      </c>
      <c r="AC79" s="154" cm="1">
        <f t="array" aca="1" ref="AC79" ca="1">IF($G79=0,"",INDEX(auto_DataFlat_DataValue,$H79+AC$18))</f>
        <v>2</v>
      </c>
      <c r="AD79" s="154" cm="1">
        <f t="array" aca="1" ref="AD79" ca="1">IF($G79=0,"",INDEX(auto_DataFlat_DataValue,$H79+AD$18))</f>
        <v>2</v>
      </c>
      <c r="AE79" s="154" cm="1">
        <f t="array" aca="1" ref="AE79" ca="1">IF($G79=0,"",INDEX(auto_DataFlat_DataValue,$H79+AE$18))</f>
        <v>2</v>
      </c>
      <c r="AF79" s="154" cm="1">
        <f t="array" aca="1" ref="AF79" ca="1">IF($G79=0,"",INDEX(auto_DataFlat_DataValue,$H79+AF$18))</f>
        <v>2</v>
      </c>
      <c r="AG79" s="154" cm="1">
        <f t="array" aca="1" ref="AG79" ca="1">IF($G79=0,"",INDEX(auto_DataFlat_DataValue,$H79+AG$18))</f>
        <v>0</v>
      </c>
      <c r="AH79" s="154" cm="1">
        <f t="array" aca="1" ref="AH79" ca="1">IF($G79=0,"",INDEX(auto_DataFlat_DataValue,$H79+AH$18))</f>
        <v>2</v>
      </c>
      <c r="AI79" s="154" cm="1">
        <f t="array" aca="1" ref="AI79" ca="1">IF($G79=0,"",INDEX(auto_DataFlat_DataValue,$H79+AI$18))</f>
        <v>0</v>
      </c>
      <c r="AJ79" s="154" cm="1">
        <f t="array" aca="1" ref="AJ79" ca="1">IF($G79=0,"",INDEX(auto_DataFlat_DataValue,$H79+AJ$18))</f>
        <v>2</v>
      </c>
      <c r="AK79" s="154" cm="1">
        <f t="array" aca="1" ref="AK79" ca="1">IF($G79=0,"",INDEX(auto_DataFlat_DataValue,$H79+AK$18))</f>
        <v>2</v>
      </c>
      <c r="AL79" s="154" cm="1">
        <f t="array" aca="1" ref="AL79" ca="1">IF($G79=0,"",INDEX(auto_DataFlat_DataValue,$H79+AL$18))</f>
        <v>2</v>
      </c>
      <c r="AM79" s="154" cm="1">
        <f t="array" aca="1" ref="AM79" ca="1">IF($G79=0,"",INDEX(auto_DataFlat_DataValue,$H79+AM$18))</f>
        <v>2</v>
      </c>
      <c r="AN79" s="154" cm="1">
        <f t="array" aca="1" ref="AN79" ca="1">IF($G79=0,"",INDEX(auto_DataFlat_DataValue,$H79+AN$18))</f>
        <v>2</v>
      </c>
      <c r="AO79" s="154" cm="1">
        <f t="array" aca="1" ref="AO79" ca="1">IF($G79=0,"",INDEX(auto_DataFlat_DataValue,$H79+AO$18))</f>
        <v>2</v>
      </c>
      <c r="AP79" s="154" cm="1">
        <f t="array" aca="1" ref="AP79" ca="1">IF($G79=0,"",INDEX(auto_DataFlat_DataValue,$H79+AP$18))</f>
        <v>2</v>
      </c>
      <c r="AQ79" s="154" cm="1">
        <f t="array" aca="1" ref="AQ79" ca="1">IF($G79=0,"",INDEX(auto_DataFlat_DataValue,$H79+AQ$18))</f>
        <v>2</v>
      </c>
      <c r="AR79" s="154" cm="1">
        <f t="array" aca="1" ref="AR79" ca="1">IF($G79=0,"",INDEX(auto_DataFlat_DataValue,$H79+AR$18))</f>
        <v>2</v>
      </c>
      <c r="AS79" s="154" cm="1">
        <f t="array" aca="1" ref="AS79" ca="1">IF($G79=0,"",INDEX(auto_DataFlat_DataValue,$H79+AS$18))</f>
        <v>2</v>
      </c>
      <c r="AT79" s="154" cm="1">
        <f t="array" aca="1" ref="AT79" ca="1">IF($G79=0,"",INDEX(auto_DataFlat_DataValue,$H79+AT$18))</f>
        <v>2</v>
      </c>
      <c r="AU79" s="154" cm="1">
        <f t="array" aca="1" ref="AU79" ca="1">IF($G79=0,"",INDEX(auto_DataFlat_DataValue,$H79+AU$18))</f>
        <v>2</v>
      </c>
      <c r="AV79" s="154" cm="1">
        <f t="array" aca="1" ref="AV79" ca="1">IF($G79=0,"",INDEX(auto_DataFlat_DataValue,$H79+AV$18))</f>
        <v>2</v>
      </c>
      <c r="AW79" s="154" cm="1">
        <f t="array" aca="1" ref="AW79" ca="1">IF($G79=0,"",INDEX(auto_DataFlat_DataValue,$H79+AW$18))</f>
        <v>2</v>
      </c>
      <c r="AX79" s="154" cm="1">
        <f t="array" aca="1" ref="AX79" ca="1">IF($G79=0,"",INDEX(auto_DataFlat_DataValue,$H79+AX$18))</f>
        <v>2</v>
      </c>
      <c r="AY79" s="154" cm="1">
        <f t="array" aca="1" ref="AY79" ca="1">IF($G79=0,"",INDEX(auto_DataFlat_DataValue,$H79+AY$18))</f>
        <v>2</v>
      </c>
      <c r="AZ79" s="154" cm="1">
        <f t="array" aca="1" ref="AZ79" ca="1">IF($G79=0,"",INDEX(auto_DataFlat_DataValue,$H79+AZ$18))</f>
        <v>2</v>
      </c>
      <c r="BA79" s="154" cm="1">
        <f t="array" aca="1" ref="BA79" ca="1">IF($G79=0,"",INDEX(auto_DataFlat_DataValue,$H79+BA$18))</f>
        <v>2</v>
      </c>
      <c r="BB79" s="154" cm="1">
        <f t="array" aca="1" ref="BB79" ca="1">IF($G79=0,"",INDEX(auto_DataFlat_DataValue,$H79+BB$18))</f>
        <v>2</v>
      </c>
      <c r="BC79" s="154" cm="1">
        <f t="array" aca="1" ref="BC79" ca="1">IF($G79=0,"",INDEX(auto_DataFlat_DataValue,$H79+BC$18))</f>
        <v>2</v>
      </c>
      <c r="BD79" s="154" cm="1">
        <f t="array" aca="1" ref="BD79" ca="1">IF($G79=0,"",INDEX(auto_DataFlat_DataValue,$H79+BD$18))</f>
        <v>2</v>
      </c>
      <c r="BE79" s="154" cm="1">
        <f t="array" aca="1" ref="BE79" ca="1">IF($G79=0,"",INDEX(auto_DataFlat_DataValue,$H79+BE$18))</f>
        <v>2</v>
      </c>
      <c r="BF79" s="154" cm="1">
        <f t="array" aca="1" ref="BF79" ca="1">IF($G79=0,"",INDEX(auto_DataFlat_DataValue,$H79+BF$18))</f>
        <v>2</v>
      </c>
      <c r="BG79" s="154" cm="1">
        <f t="array" aca="1" ref="BG79" ca="1">IF($G79=0,"",INDEX(auto_DataFlat_DataValue,$H79+BG$18))</f>
        <v>2</v>
      </c>
      <c r="BH79" s="154" cm="1">
        <f t="array" aca="1" ref="BH79" ca="1">IF($G79=0,"",INDEX(auto_DataFlat_DataValue,$H79+BH$18))</f>
        <v>2</v>
      </c>
      <c r="BI79" s="154" cm="1">
        <f t="array" aca="1" ref="BI79" ca="1">IF($G79=0,"",INDEX(auto_DataFlat_DataValue,$H79+BI$18))</f>
        <v>2</v>
      </c>
    </row>
    <row r="80" spans="1:61" ht="17.05" customHeight="1" x14ac:dyDescent="0.4">
      <c r="A80" t="str">
        <f t="shared" si="3"/>
        <v/>
      </c>
      <c r="B80" s="42" t="str">
        <f t="shared" ca="1" si="1"/>
        <v/>
      </c>
      <c r="C80" s="100">
        <v>61</v>
      </c>
      <c r="D80" s="49" cm="1">
        <f t="array" aca="1" ref="D80" ca="1">INDEX(OFFSET(auto_ss_data_table,0,1,500,1),C80)</f>
        <v>61</v>
      </c>
      <c r="E80" s="101" cm="1">
        <f t="array" aca="1" ref="E80" ca="1">INDEX(auto_tblSeries,$D80,E$18)</f>
        <v>2</v>
      </c>
      <c r="F80" s="101" t="str" cm="1">
        <f t="array" aca="1" ref="F80" ca="1">INDEX(auto_tblSeries,$D80,F$18)</f>
        <v>#,##0</v>
      </c>
      <c r="G80" s="101" cm="1">
        <f t="array" aca="1" ref="G80" ca="1">INDEX(auto_tblSeries,$D80,G$18)</f>
        <v>1</v>
      </c>
      <c r="H80" s="101" cm="1">
        <f t="array" aca="1" ref="H80" ca="1">INDEX(sys_DataFlat_LU_Grid,$D80,1)-1</f>
        <v>3600</v>
      </c>
      <c r="I80" s="26"/>
      <c r="J80" s="151" t="str" cm="1">
        <f t="array" aca="1" ref="J80" ca="1">INDEX(auto_Series_NameNumbered,$D80)</f>
        <v>5.7) Tobacco control</v>
      </c>
      <c r="K80" s="152" t="str" cm="1">
        <f t="array" aca="1" ref="K80" ca="1">IF($G80=0,"",INDEX(auto_tblSeries,$D80,K$18))</f>
        <v>Rating 0-4</v>
      </c>
      <c r="L80" s="154" cm="1">
        <f t="array" aca="1" ref="L80" ca="1">IF($G80=0,"",INDEX(auto_DataFlat_DataValue,$H80+L$18))</f>
        <v>3</v>
      </c>
      <c r="M80" s="154" cm="1">
        <f t="array" aca="1" ref="M80" ca="1">IF($G80=0,"",INDEX(auto_DataFlat_DataValue,$H80+M$18))</f>
        <v>1</v>
      </c>
      <c r="N80" s="154" cm="1">
        <f t="array" aca="1" ref="N80" ca="1">IF($G80=0,"",INDEX(auto_DataFlat_DataValue,$H80+N$18))</f>
        <v>2</v>
      </c>
      <c r="O80" s="154" cm="1">
        <f t="array" aca="1" ref="O80" ca="1">IF($G80=0,"",INDEX(auto_DataFlat_DataValue,$H80+O$18))</f>
        <v>4</v>
      </c>
      <c r="P80" s="154" cm="1">
        <f t="array" aca="1" ref="P80" ca="1">IF($G80=0,"",INDEX(auto_DataFlat_DataValue,$H80+P$18))</f>
        <v>4</v>
      </c>
      <c r="Q80" s="154" cm="1">
        <f t="array" aca="1" ref="Q80" ca="1">IF($G80=0,"",INDEX(auto_DataFlat_DataValue,$H80+Q$18))</f>
        <v>2</v>
      </c>
      <c r="R80" s="154" cm="1">
        <f t="array" aca="1" ref="R80" ca="1">IF($G80=0,"",INDEX(auto_DataFlat_DataValue,$H80+R$18))</f>
        <v>3</v>
      </c>
      <c r="S80" s="154" cm="1">
        <f t="array" aca="1" ref="S80" ca="1">IF($G80=0,"",INDEX(auto_DataFlat_DataValue,$H80+S$18))</f>
        <v>3</v>
      </c>
      <c r="T80" s="154" cm="1">
        <f t="array" aca="1" ref="T80" ca="1">IF($G80=0,"",INDEX(auto_DataFlat_DataValue,$H80+T$18))</f>
        <v>4</v>
      </c>
      <c r="U80" s="154" cm="1">
        <f t="array" aca="1" ref="U80" ca="1">IF($G80=0,"",INDEX(auto_DataFlat_DataValue,$H80+U$18))</f>
        <v>2</v>
      </c>
      <c r="V80" s="154" cm="1">
        <f t="array" aca="1" ref="V80" ca="1">IF($G80=0,"",INDEX(auto_DataFlat_DataValue,$H80+V$18))</f>
        <v>4</v>
      </c>
      <c r="W80" s="154" cm="1">
        <f t="array" aca="1" ref="W80" ca="1">IF($G80=0,"",INDEX(auto_DataFlat_DataValue,$H80+W$18))</f>
        <v>4</v>
      </c>
      <c r="X80" s="154" cm="1">
        <f t="array" aca="1" ref="X80" ca="1">IF($G80=0,"",INDEX(auto_DataFlat_DataValue,$H80+X$18))</f>
        <v>2</v>
      </c>
      <c r="Y80" s="154" cm="1">
        <f t="array" aca="1" ref="Y80" ca="1">IF($G80=0,"",INDEX(auto_DataFlat_DataValue,$H80+Y$18))</f>
        <v>2</v>
      </c>
      <c r="Z80" s="154" cm="1">
        <f t="array" aca="1" ref="Z80" ca="1">IF($G80=0,"",INDEX(auto_DataFlat_DataValue,$H80+Z$18))</f>
        <v>2</v>
      </c>
      <c r="AA80" s="154" cm="1">
        <f t="array" aca="1" ref="AA80" ca="1">IF($G80=0,"",INDEX(auto_DataFlat_DataValue,$H80+AA$18))</f>
        <v>3</v>
      </c>
      <c r="AB80" s="154" cm="1">
        <f t="array" aca="1" ref="AB80" ca="1">IF($G80=0,"",INDEX(auto_DataFlat_DataValue,$H80+AB$18))</f>
        <v>2</v>
      </c>
      <c r="AC80" s="154" cm="1">
        <f t="array" aca="1" ref="AC80" ca="1">IF($G80=0,"",INDEX(auto_DataFlat_DataValue,$H80+AC$18))</f>
        <v>4</v>
      </c>
      <c r="AD80" s="154" cm="1">
        <f t="array" aca="1" ref="AD80" ca="1">IF($G80=0,"",INDEX(auto_DataFlat_DataValue,$H80+AD$18))</f>
        <v>2</v>
      </c>
      <c r="AE80" s="154" cm="1">
        <f t="array" aca="1" ref="AE80" ca="1">IF($G80=0,"",INDEX(auto_DataFlat_DataValue,$H80+AE$18))</f>
        <v>2</v>
      </c>
      <c r="AF80" s="154" cm="1">
        <f t="array" aca="1" ref="AF80" ca="1">IF($G80=0,"",INDEX(auto_DataFlat_DataValue,$H80+AF$18))</f>
        <v>2</v>
      </c>
      <c r="AG80" s="154" cm="1">
        <f t="array" aca="1" ref="AG80" ca="1">IF($G80=0,"",INDEX(auto_DataFlat_DataValue,$H80+AG$18))</f>
        <v>2</v>
      </c>
      <c r="AH80" s="154" cm="1">
        <f t="array" aca="1" ref="AH80" ca="1">IF($G80=0,"",INDEX(auto_DataFlat_DataValue,$H80+AH$18))</f>
        <v>4</v>
      </c>
      <c r="AI80" s="154" cm="1">
        <f t="array" aca="1" ref="AI80" ca="1">IF($G80=0,"",INDEX(auto_DataFlat_DataValue,$H80+AI$18))</f>
        <v>2</v>
      </c>
      <c r="AJ80" s="154" cm="1">
        <f t="array" aca="1" ref="AJ80" ca="1">IF($G80=0,"",INDEX(auto_DataFlat_DataValue,$H80+AJ$18))</f>
        <v>2</v>
      </c>
      <c r="AK80" s="154" cm="1">
        <f t="array" aca="1" ref="AK80" ca="1">IF($G80=0,"",INDEX(auto_DataFlat_DataValue,$H80+AK$18))</f>
        <v>4</v>
      </c>
      <c r="AL80" s="154" cm="1">
        <f t="array" aca="1" ref="AL80" ca="1">IF($G80=0,"",INDEX(auto_DataFlat_DataValue,$H80+AL$18))</f>
        <v>4</v>
      </c>
      <c r="AM80" s="154" cm="1">
        <f t="array" aca="1" ref="AM80" ca="1">IF($G80=0,"",INDEX(auto_DataFlat_DataValue,$H80+AM$18))</f>
        <v>3</v>
      </c>
      <c r="AN80" s="154" cm="1">
        <f t="array" aca="1" ref="AN80" ca="1">IF($G80=0,"",INDEX(auto_DataFlat_DataValue,$H80+AN$18))</f>
        <v>3</v>
      </c>
      <c r="AO80" s="154" cm="1">
        <f t="array" aca="1" ref="AO80" ca="1">IF($G80=0,"",INDEX(auto_DataFlat_DataValue,$H80+AO$18))</f>
        <v>3</v>
      </c>
      <c r="AP80" s="154" cm="1">
        <f t="array" aca="1" ref="AP80" ca="1">IF($G80=0,"",INDEX(auto_DataFlat_DataValue,$H80+AP$18))</f>
        <v>4</v>
      </c>
      <c r="AQ80" s="154" cm="1">
        <f t="array" aca="1" ref="AQ80" ca="1">IF($G80=0,"",INDEX(auto_DataFlat_DataValue,$H80+AQ$18))</f>
        <v>4</v>
      </c>
      <c r="AR80" s="154" cm="1">
        <f t="array" aca="1" ref="AR80" ca="1">IF($G80=0,"",INDEX(auto_DataFlat_DataValue,$H80+AR$18))</f>
        <v>2</v>
      </c>
      <c r="AS80" s="154" cm="1">
        <f t="array" aca="1" ref="AS80" ca="1">IF($G80=0,"",INDEX(auto_DataFlat_DataValue,$H80+AS$18))</f>
        <v>2</v>
      </c>
      <c r="AT80" s="154" cm="1">
        <f t="array" aca="1" ref="AT80" ca="1">IF($G80=0,"",INDEX(auto_DataFlat_DataValue,$H80+AT$18))</f>
        <v>2</v>
      </c>
      <c r="AU80" s="154" cm="1">
        <f t="array" aca="1" ref="AU80" ca="1">IF($G80=0,"",INDEX(auto_DataFlat_DataValue,$H80+AU$18))</f>
        <v>3</v>
      </c>
      <c r="AV80" s="154" cm="1">
        <f t="array" aca="1" ref="AV80" ca="1">IF($G80=0,"",INDEX(auto_DataFlat_DataValue,$H80+AV$18))</f>
        <v>3</v>
      </c>
      <c r="AW80" s="154" cm="1">
        <f t="array" aca="1" ref="AW80" ca="1">IF($G80=0,"",INDEX(auto_DataFlat_DataValue,$H80+AW$18))</f>
        <v>3</v>
      </c>
      <c r="AX80" s="154" cm="1">
        <f t="array" aca="1" ref="AX80" ca="1">IF($G80=0,"",INDEX(auto_DataFlat_DataValue,$H80+AX$18))</f>
        <v>2</v>
      </c>
      <c r="AY80" s="154" cm="1">
        <f t="array" aca="1" ref="AY80" ca="1">IF($G80=0,"",INDEX(auto_DataFlat_DataValue,$H80+AY$18))</f>
        <v>2</v>
      </c>
      <c r="AZ80" s="154" cm="1">
        <f t="array" aca="1" ref="AZ80" ca="1">IF($G80=0,"",INDEX(auto_DataFlat_DataValue,$H80+AZ$18))</f>
        <v>2</v>
      </c>
      <c r="BA80" s="154" cm="1">
        <f t="array" aca="1" ref="BA80" ca="1">IF($G80=0,"",INDEX(auto_DataFlat_DataValue,$H80+BA$18))</f>
        <v>2</v>
      </c>
      <c r="BB80" s="154" cm="1">
        <f t="array" aca="1" ref="BB80" ca="1">IF($G80=0,"",INDEX(auto_DataFlat_DataValue,$H80+BB$18))</f>
        <v>2</v>
      </c>
      <c r="BC80" s="154" cm="1">
        <f t="array" aca="1" ref="BC80" ca="1">IF($G80=0,"",INDEX(auto_DataFlat_DataValue,$H80+BC$18))</f>
        <v>2</v>
      </c>
      <c r="BD80" s="154" cm="1">
        <f t="array" aca="1" ref="BD80" ca="1">IF($G80=0,"",INDEX(auto_DataFlat_DataValue,$H80+BD$18))</f>
        <v>3</v>
      </c>
      <c r="BE80" s="154" cm="1">
        <f t="array" aca="1" ref="BE80" ca="1">IF($G80=0,"",INDEX(auto_DataFlat_DataValue,$H80+BE$18))</f>
        <v>2</v>
      </c>
      <c r="BF80" s="154" cm="1">
        <f t="array" aca="1" ref="BF80" ca="1">IF($G80=0,"",INDEX(auto_DataFlat_DataValue,$H80+BF$18))</f>
        <v>4</v>
      </c>
      <c r="BG80" s="154" cm="1">
        <f t="array" aca="1" ref="BG80" ca="1">IF($G80=0,"",INDEX(auto_DataFlat_DataValue,$H80+BG$18))</f>
        <v>2</v>
      </c>
      <c r="BH80" s="154" cm="1">
        <f t="array" aca="1" ref="BH80" ca="1">IF($G80=0,"",INDEX(auto_DataFlat_DataValue,$H80+BH$18))</f>
        <v>2</v>
      </c>
      <c r="BI80" s="154" cm="1">
        <f t="array" aca="1" ref="BI80" ca="1">IF($G80=0,"",INDEX(auto_DataFlat_DataValue,$H80+BI$18))</f>
        <v>2</v>
      </c>
    </row>
    <row r="81" spans="1:61" ht="17.05" customHeight="1" x14ac:dyDescent="0.4">
      <c r="A81" t="str">
        <f t="shared" si="3"/>
        <v/>
      </c>
      <c r="B81" s="42" t="str">
        <f t="shared" ca="1" si="1"/>
        <v/>
      </c>
      <c r="C81" s="100">
        <v>62</v>
      </c>
      <c r="D81" s="49" cm="1">
        <f t="array" aca="1" ref="D81" ca="1">INDEX(OFFSET(auto_ss_data_table,0,1,500,1),C81)</f>
        <v>62</v>
      </c>
      <c r="E81" s="101" cm="1">
        <f t="array" aca="1" ref="E81" ca="1">INDEX(auto_tblSeries,$D81,E$18)</f>
        <v>2</v>
      </c>
      <c r="F81" s="101" t="str" cm="1">
        <f t="array" aca="1" ref="F81" ca="1">INDEX(auto_tblSeries,$D81,F$18)</f>
        <v>#,##0</v>
      </c>
      <c r="G81" s="101" cm="1">
        <f t="array" aca="1" ref="G81" ca="1">INDEX(auto_tblSeries,$D81,G$18)</f>
        <v>1</v>
      </c>
      <c r="H81" s="101" cm="1">
        <f t="array" aca="1" ref="H81" ca="1">INDEX(sys_DataFlat_LU_Grid,$D81,1)-1</f>
        <v>3660</v>
      </c>
      <c r="I81" s="26"/>
      <c r="J81" s="151" t="str" cm="1">
        <f t="array" aca="1" ref="J81" ca="1">INDEX(auto_Series_NameNumbered,$D81)</f>
        <v>5.8) Air pollution control</v>
      </c>
      <c r="K81" s="152" t="str" cm="1">
        <f t="array" aca="1" ref="K81" ca="1">IF($G81=0,"",INDEX(auto_tblSeries,$D81,K$18))</f>
        <v>Rating 0-3</v>
      </c>
      <c r="L81" s="154" cm="1">
        <f t="array" aca="1" ref="L81" ca="1">IF($G81=0,"",INDEX(auto_DataFlat_DataValue,$H81+L$18))</f>
        <v>2</v>
      </c>
      <c r="M81" s="154" cm="1">
        <f t="array" aca="1" ref="M81" ca="1">IF($G81=0,"",INDEX(auto_DataFlat_DataValue,$H81+M$18))</f>
        <v>2</v>
      </c>
      <c r="N81" s="154" cm="1">
        <f t="array" aca="1" ref="N81" ca="1">IF($G81=0,"",INDEX(auto_DataFlat_DataValue,$H81+N$18))</f>
        <v>2</v>
      </c>
      <c r="O81" s="154" cm="1">
        <f t="array" aca="1" ref="O81" ca="1">IF($G81=0,"",INDEX(auto_DataFlat_DataValue,$H81+O$18))</f>
        <v>2</v>
      </c>
      <c r="P81" s="154" cm="1">
        <f t="array" aca="1" ref="P81" ca="1">IF($G81=0,"",INDEX(auto_DataFlat_DataValue,$H81+P$18))</f>
        <v>3</v>
      </c>
      <c r="Q81" s="154" cm="1">
        <f t="array" aca="1" ref="Q81" ca="1">IF($G81=0,"",INDEX(auto_DataFlat_DataValue,$H81+Q$18))</f>
        <v>2</v>
      </c>
      <c r="R81" s="154" cm="1">
        <f t="array" aca="1" ref="R81" ca="1">IF($G81=0,"",INDEX(auto_DataFlat_DataValue,$H81+R$18))</f>
        <v>3</v>
      </c>
      <c r="S81" s="154" cm="1">
        <f t="array" aca="1" ref="S81" ca="1">IF($G81=0,"",INDEX(auto_DataFlat_DataValue,$H81+S$18))</f>
        <v>3</v>
      </c>
      <c r="T81" s="154" cm="1">
        <f t="array" aca="1" ref="T81" ca="1">IF($G81=0,"",INDEX(auto_DataFlat_DataValue,$H81+T$18))</f>
        <v>3</v>
      </c>
      <c r="U81" s="154" cm="1">
        <f t="array" aca="1" ref="U81" ca="1">IF($G81=0,"",INDEX(auto_DataFlat_DataValue,$H81+U$18))</f>
        <v>2</v>
      </c>
      <c r="V81" s="154" cm="1">
        <f t="array" aca="1" ref="V81" ca="1">IF($G81=0,"",INDEX(auto_DataFlat_DataValue,$H81+V$18))</f>
        <v>2</v>
      </c>
      <c r="W81" s="154" cm="1">
        <f t="array" aca="1" ref="W81" ca="1">IF($G81=0,"",INDEX(auto_DataFlat_DataValue,$H81+W$18))</f>
        <v>3</v>
      </c>
      <c r="X81" s="154" cm="1">
        <f t="array" aca="1" ref="X81" ca="1">IF($G81=0,"",INDEX(auto_DataFlat_DataValue,$H81+X$18))</f>
        <v>2</v>
      </c>
      <c r="Y81" s="154" cm="1">
        <f t="array" aca="1" ref="Y81" ca="1">IF($G81=0,"",INDEX(auto_DataFlat_DataValue,$H81+Y$18))</f>
        <v>3</v>
      </c>
      <c r="Z81" s="154" cm="1">
        <f t="array" aca="1" ref="Z81" ca="1">IF($G81=0,"",INDEX(auto_DataFlat_DataValue,$H81+Z$18))</f>
        <v>3</v>
      </c>
      <c r="AA81" s="154" cm="1">
        <f t="array" aca="1" ref="AA81" ca="1">IF($G81=0,"",INDEX(auto_DataFlat_DataValue,$H81+AA$18))</f>
        <v>3</v>
      </c>
      <c r="AB81" s="154" cm="1">
        <f t="array" aca="1" ref="AB81" ca="1">IF($G81=0,"",INDEX(auto_DataFlat_DataValue,$H81+AB$18))</f>
        <v>2</v>
      </c>
      <c r="AC81" s="154" cm="1">
        <f t="array" aca="1" ref="AC81" ca="1">IF($G81=0,"",INDEX(auto_DataFlat_DataValue,$H81+AC$18))</f>
        <v>3</v>
      </c>
      <c r="AD81" s="154" cm="1">
        <f t="array" aca="1" ref="AD81" ca="1">IF($G81=0,"",INDEX(auto_DataFlat_DataValue,$H81+AD$18))</f>
        <v>3</v>
      </c>
      <c r="AE81" s="154" cm="1">
        <f t="array" aca="1" ref="AE81" ca="1">IF($G81=0,"",INDEX(auto_DataFlat_DataValue,$H81+AE$18))</f>
        <v>2</v>
      </c>
      <c r="AF81" s="154" cm="1">
        <f t="array" aca="1" ref="AF81" ca="1">IF($G81=0,"",INDEX(auto_DataFlat_DataValue,$H81+AF$18))</f>
        <v>3</v>
      </c>
      <c r="AG81" s="154" cm="1">
        <f t="array" aca="1" ref="AG81" ca="1">IF($G81=0,"",INDEX(auto_DataFlat_DataValue,$H81+AG$18))</f>
        <v>1</v>
      </c>
      <c r="AH81" s="154" cm="1">
        <f t="array" aca="1" ref="AH81" ca="1">IF($G81=0,"",INDEX(auto_DataFlat_DataValue,$H81+AH$18))</f>
        <v>3</v>
      </c>
      <c r="AI81" s="154" cm="1">
        <f t="array" aca="1" ref="AI81" ca="1">IF($G81=0,"",INDEX(auto_DataFlat_DataValue,$H81+AI$18))</f>
        <v>3</v>
      </c>
      <c r="AJ81" s="154" cm="1">
        <f t="array" aca="1" ref="AJ81" ca="1">IF($G81=0,"",INDEX(auto_DataFlat_DataValue,$H81+AJ$18))</f>
        <v>1</v>
      </c>
      <c r="AK81" s="154" cm="1">
        <f t="array" aca="1" ref="AK81" ca="1">IF($G81=0,"",INDEX(auto_DataFlat_DataValue,$H81+AK$18))</f>
        <v>3</v>
      </c>
      <c r="AL81" s="154" cm="1">
        <f t="array" aca="1" ref="AL81" ca="1">IF($G81=0,"",INDEX(auto_DataFlat_DataValue,$H81+AL$18))</f>
        <v>3</v>
      </c>
      <c r="AM81" s="154" cm="1">
        <f t="array" aca="1" ref="AM81" ca="1">IF($G81=0,"",INDEX(auto_DataFlat_DataValue,$H81+AM$18))</f>
        <v>2</v>
      </c>
      <c r="AN81" s="154" cm="1">
        <f t="array" aca="1" ref="AN81" ca="1">IF($G81=0,"",INDEX(auto_DataFlat_DataValue,$H81+AN$18))</f>
        <v>3</v>
      </c>
      <c r="AO81" s="154" cm="1">
        <f t="array" aca="1" ref="AO81" ca="1">IF($G81=0,"",INDEX(auto_DataFlat_DataValue,$H81+AO$18))</f>
        <v>3</v>
      </c>
      <c r="AP81" s="154" cm="1">
        <f t="array" aca="1" ref="AP81" ca="1">IF($G81=0,"",INDEX(auto_DataFlat_DataValue,$H81+AP$18))</f>
        <v>2</v>
      </c>
      <c r="AQ81" s="154" cm="1">
        <f t="array" aca="1" ref="AQ81" ca="1">IF($G81=0,"",INDEX(auto_DataFlat_DataValue,$H81+AQ$18))</f>
        <v>3</v>
      </c>
      <c r="AR81" s="154" cm="1">
        <f t="array" aca="1" ref="AR81" ca="1">IF($G81=0,"",INDEX(auto_DataFlat_DataValue,$H81+AR$18))</f>
        <v>2</v>
      </c>
      <c r="AS81" s="154" cm="1">
        <f t="array" aca="1" ref="AS81" ca="1">IF($G81=0,"",INDEX(auto_DataFlat_DataValue,$H81+AS$18))</f>
        <v>3</v>
      </c>
      <c r="AT81" s="154" cm="1">
        <f t="array" aca="1" ref="AT81" ca="1">IF($G81=0,"",INDEX(auto_DataFlat_DataValue,$H81+AT$18))</f>
        <v>2</v>
      </c>
      <c r="AU81" s="154" cm="1">
        <f t="array" aca="1" ref="AU81" ca="1">IF($G81=0,"",INDEX(auto_DataFlat_DataValue,$H81+AU$18))</f>
        <v>2</v>
      </c>
      <c r="AV81" s="154" cm="1">
        <f t="array" aca="1" ref="AV81" ca="1">IF($G81=0,"",INDEX(auto_DataFlat_DataValue,$H81+AV$18))</f>
        <v>2</v>
      </c>
      <c r="AW81" s="154" cm="1">
        <f t="array" aca="1" ref="AW81" ca="1">IF($G81=0,"",INDEX(auto_DataFlat_DataValue,$H81+AW$18))</f>
        <v>3</v>
      </c>
      <c r="AX81" s="154" cm="1">
        <f t="array" aca="1" ref="AX81" ca="1">IF($G81=0,"",INDEX(auto_DataFlat_DataValue,$H81+AX$18))</f>
        <v>3</v>
      </c>
      <c r="AY81" s="154" cm="1">
        <f t="array" aca="1" ref="AY81" ca="1">IF($G81=0,"",INDEX(auto_DataFlat_DataValue,$H81+AY$18))</f>
        <v>3</v>
      </c>
      <c r="AZ81" s="154" cm="1">
        <f t="array" aca="1" ref="AZ81" ca="1">IF($G81=0,"",INDEX(auto_DataFlat_DataValue,$H81+AZ$18))</f>
        <v>2</v>
      </c>
      <c r="BA81" s="154" cm="1">
        <f t="array" aca="1" ref="BA81" ca="1">IF($G81=0,"",INDEX(auto_DataFlat_DataValue,$H81+BA$18))</f>
        <v>3</v>
      </c>
      <c r="BB81" s="154" cm="1">
        <f t="array" aca="1" ref="BB81" ca="1">IF($G81=0,"",INDEX(auto_DataFlat_DataValue,$H81+BB$18))</f>
        <v>2</v>
      </c>
      <c r="BC81" s="154" cm="1">
        <f t="array" aca="1" ref="BC81" ca="1">IF($G81=0,"",INDEX(auto_DataFlat_DataValue,$H81+BC$18))</f>
        <v>3</v>
      </c>
      <c r="BD81" s="154" cm="1">
        <f t="array" aca="1" ref="BD81" ca="1">IF($G81=0,"",INDEX(auto_DataFlat_DataValue,$H81+BD$18))</f>
        <v>3</v>
      </c>
      <c r="BE81" s="154" cm="1">
        <f t="array" aca="1" ref="BE81" ca="1">IF($G81=0,"",INDEX(auto_DataFlat_DataValue,$H81+BE$18))</f>
        <v>2</v>
      </c>
      <c r="BF81" s="154" cm="1">
        <f t="array" aca="1" ref="BF81" ca="1">IF($G81=0,"",INDEX(auto_DataFlat_DataValue,$H81+BF$18))</f>
        <v>3</v>
      </c>
      <c r="BG81" s="154" cm="1">
        <f t="array" aca="1" ref="BG81" ca="1">IF($G81=0,"",INDEX(auto_DataFlat_DataValue,$H81+BG$18))</f>
        <v>3</v>
      </c>
      <c r="BH81" s="154" cm="1">
        <f t="array" aca="1" ref="BH81" ca="1">IF($G81=0,"",INDEX(auto_DataFlat_DataValue,$H81+BH$18))</f>
        <v>2</v>
      </c>
      <c r="BI81" s="154" cm="1">
        <f t="array" aca="1" ref="BI81" ca="1">IF($G81=0,"",INDEX(auto_DataFlat_DataValue,$H81+BI$18))</f>
        <v>1</v>
      </c>
    </row>
    <row r="82" spans="1:61" ht="17.05" customHeight="1" x14ac:dyDescent="0.4">
      <c r="A82" t="str">
        <f t="shared" si="3"/>
        <v/>
      </c>
      <c r="B82" s="42" t="str">
        <f t="shared" ca="1" si="1"/>
        <v/>
      </c>
      <c r="C82" s="100">
        <v>63</v>
      </c>
      <c r="D82" s="49" cm="1">
        <f t="array" aca="1" ref="D82" ca="1">INDEX(OFFSET(auto_ss_data_table,0,1,500,1),C82)</f>
        <v>63</v>
      </c>
      <c r="E82" s="101" cm="1">
        <f t="array" aca="1" ref="E82" ca="1">INDEX(auto_tblSeries,$D82,E$18)</f>
        <v>2</v>
      </c>
      <c r="F82" s="101" t="str" cm="1">
        <f t="array" aca="1" ref="F82" ca="1">INDEX(auto_tblSeries,$D82,F$18)</f>
        <v>#,##0</v>
      </c>
      <c r="G82" s="101" cm="1">
        <f t="array" aca="1" ref="G82" ca="1">INDEX(auto_tblSeries,$D82,G$18)</f>
        <v>1</v>
      </c>
      <c r="H82" s="101" cm="1">
        <f t="array" aca="1" ref="H82" ca="1">INDEX(sys_DataFlat_LU_Grid,$D82,1)-1</f>
        <v>3720</v>
      </c>
      <c r="I82" s="26"/>
      <c r="J82" s="151" t="str" cm="1">
        <f t="array" aca="1" ref="J82" ca="1">INDEX(auto_Series_NameNumbered,$D82)</f>
        <v>5.9) Health promotion</v>
      </c>
      <c r="K82" s="152" t="str" cm="1">
        <f t="array" aca="1" ref="K82" ca="1">IF($G82=0,"",INDEX(auto_tblSeries,$D82,K$18))</f>
        <v>Rating 0-2</v>
      </c>
      <c r="L82" s="154" cm="1">
        <f t="array" aca="1" ref="L82" ca="1">IF($G82=0,"",INDEX(auto_DataFlat_DataValue,$H82+L$18))</f>
        <v>0</v>
      </c>
      <c r="M82" s="154" cm="1">
        <f t="array" aca="1" ref="M82" ca="1">IF($G82=0,"",INDEX(auto_DataFlat_DataValue,$H82+M$18))</f>
        <v>0</v>
      </c>
      <c r="N82" s="154" cm="1">
        <f t="array" aca="1" ref="N82" ca="1">IF($G82=0,"",INDEX(auto_DataFlat_DataValue,$H82+N$18))</f>
        <v>1</v>
      </c>
      <c r="O82" s="154" cm="1">
        <f t="array" aca="1" ref="O82" ca="1">IF($G82=0,"",INDEX(auto_DataFlat_DataValue,$H82+O$18))</f>
        <v>2</v>
      </c>
      <c r="P82" s="154" cm="1">
        <f t="array" aca="1" ref="P82" ca="1">IF($G82=0,"",INDEX(auto_DataFlat_DataValue,$H82+P$18))</f>
        <v>1</v>
      </c>
      <c r="Q82" s="154" cm="1">
        <f t="array" aca="1" ref="Q82" ca="1">IF($G82=0,"",INDEX(auto_DataFlat_DataValue,$H82+Q$18))</f>
        <v>1</v>
      </c>
      <c r="R82" s="154" cm="1">
        <f t="array" aca="1" ref="R82" ca="1">IF($G82=0,"",INDEX(auto_DataFlat_DataValue,$H82+R$18))</f>
        <v>1</v>
      </c>
      <c r="S82" s="154" cm="1">
        <f t="array" aca="1" ref="S82" ca="1">IF($G82=0,"",INDEX(auto_DataFlat_DataValue,$H82+S$18))</f>
        <v>1</v>
      </c>
      <c r="T82" s="154" cm="1">
        <f t="array" aca="1" ref="T82" ca="1">IF($G82=0,"",INDEX(auto_DataFlat_DataValue,$H82+T$18))</f>
        <v>1</v>
      </c>
      <c r="U82" s="154" cm="1">
        <f t="array" aca="1" ref="U82" ca="1">IF($G82=0,"",INDEX(auto_DataFlat_DataValue,$H82+U$18))</f>
        <v>0</v>
      </c>
      <c r="V82" s="154" cm="1">
        <f t="array" aca="1" ref="V82" ca="1">IF($G82=0,"",INDEX(auto_DataFlat_DataValue,$H82+V$18))</f>
        <v>1</v>
      </c>
      <c r="W82" s="154" cm="1">
        <f t="array" aca="1" ref="W82" ca="1">IF($G82=0,"",INDEX(auto_DataFlat_DataValue,$H82+W$18))</f>
        <v>1</v>
      </c>
      <c r="X82" s="154" cm="1">
        <f t="array" aca="1" ref="X82" ca="1">IF($G82=0,"",INDEX(auto_DataFlat_DataValue,$H82+X$18))</f>
        <v>0</v>
      </c>
      <c r="Y82" s="154" cm="1">
        <f t="array" aca="1" ref="Y82" ca="1">IF($G82=0,"",INDEX(auto_DataFlat_DataValue,$H82+Y$18))</f>
        <v>1</v>
      </c>
      <c r="Z82" s="154" cm="1">
        <f t="array" aca="1" ref="Z82" ca="1">IF($G82=0,"",INDEX(auto_DataFlat_DataValue,$H82+Z$18))</f>
        <v>2</v>
      </c>
      <c r="AA82" s="154" cm="1">
        <f t="array" aca="1" ref="AA82" ca="1">IF($G82=0,"",INDEX(auto_DataFlat_DataValue,$H82+AA$18))</f>
        <v>0</v>
      </c>
      <c r="AB82" s="154" cm="1">
        <f t="array" aca="1" ref="AB82" ca="1">IF($G82=0,"",INDEX(auto_DataFlat_DataValue,$H82+AB$18))</f>
        <v>2</v>
      </c>
      <c r="AC82" s="154" cm="1">
        <f t="array" aca="1" ref="AC82" ca="1">IF($G82=0,"",INDEX(auto_DataFlat_DataValue,$H82+AC$18))</f>
        <v>0</v>
      </c>
      <c r="AD82" s="154" cm="1">
        <f t="array" aca="1" ref="AD82" ca="1">IF($G82=0,"",INDEX(auto_DataFlat_DataValue,$H82+AD$18))</f>
        <v>0</v>
      </c>
      <c r="AE82" s="154" cm="1">
        <f t="array" aca="1" ref="AE82" ca="1">IF($G82=0,"",INDEX(auto_DataFlat_DataValue,$H82+AE$18))</f>
        <v>1</v>
      </c>
      <c r="AF82" s="154" cm="1">
        <f t="array" aca="1" ref="AF82" ca="1">IF($G82=0,"",INDEX(auto_DataFlat_DataValue,$H82+AF$18))</f>
        <v>1</v>
      </c>
      <c r="AG82" s="154" cm="1">
        <f t="array" aca="1" ref="AG82" ca="1">IF($G82=0,"",INDEX(auto_DataFlat_DataValue,$H82+AG$18))</f>
        <v>0</v>
      </c>
      <c r="AH82" s="154" cm="1">
        <f t="array" aca="1" ref="AH82" ca="1">IF($G82=0,"",INDEX(auto_DataFlat_DataValue,$H82+AH$18))</f>
        <v>0</v>
      </c>
      <c r="AI82" s="154" cm="1">
        <f t="array" aca="1" ref="AI82" ca="1">IF($G82=0,"",INDEX(auto_DataFlat_DataValue,$H82+AI$18))</f>
        <v>0</v>
      </c>
      <c r="AJ82" s="154" cm="1">
        <f t="array" aca="1" ref="AJ82" ca="1">IF($G82=0,"",INDEX(auto_DataFlat_DataValue,$H82+AJ$18))</f>
        <v>1</v>
      </c>
      <c r="AK82" s="154" cm="1">
        <f t="array" aca="1" ref="AK82" ca="1">IF($G82=0,"",INDEX(auto_DataFlat_DataValue,$H82+AK$18))</f>
        <v>2</v>
      </c>
      <c r="AL82" s="154" cm="1">
        <f t="array" aca="1" ref="AL82" ca="1">IF($G82=0,"",INDEX(auto_DataFlat_DataValue,$H82+AL$18))</f>
        <v>1</v>
      </c>
      <c r="AM82" s="154" cm="1">
        <f t="array" aca="1" ref="AM82" ca="1">IF($G82=0,"",INDEX(auto_DataFlat_DataValue,$H82+AM$18))</f>
        <v>0</v>
      </c>
      <c r="AN82" s="154" cm="1">
        <f t="array" aca="1" ref="AN82" ca="1">IF($G82=0,"",INDEX(auto_DataFlat_DataValue,$H82+AN$18))</f>
        <v>1</v>
      </c>
      <c r="AO82" s="154" cm="1">
        <f t="array" aca="1" ref="AO82" ca="1">IF($G82=0,"",INDEX(auto_DataFlat_DataValue,$H82+AO$18))</f>
        <v>1</v>
      </c>
      <c r="AP82" s="154" cm="1">
        <f t="array" aca="1" ref="AP82" ca="1">IF($G82=0,"",INDEX(auto_DataFlat_DataValue,$H82+AP$18))</f>
        <v>1</v>
      </c>
      <c r="AQ82" s="154" cm="1">
        <f t="array" aca="1" ref="AQ82" ca="1">IF($G82=0,"",INDEX(auto_DataFlat_DataValue,$H82+AQ$18))</f>
        <v>1</v>
      </c>
      <c r="AR82" s="154" cm="1">
        <f t="array" aca="1" ref="AR82" ca="1">IF($G82=0,"",INDEX(auto_DataFlat_DataValue,$H82+AR$18))</f>
        <v>1</v>
      </c>
      <c r="AS82" s="154" cm="1">
        <f t="array" aca="1" ref="AS82" ca="1">IF($G82=0,"",INDEX(auto_DataFlat_DataValue,$H82+AS$18))</f>
        <v>2</v>
      </c>
      <c r="AT82" s="154" cm="1">
        <f t="array" aca="1" ref="AT82" ca="1">IF($G82=0,"",INDEX(auto_DataFlat_DataValue,$H82+AT$18))</f>
        <v>1</v>
      </c>
      <c r="AU82" s="154" cm="1">
        <f t="array" aca="1" ref="AU82" ca="1">IF($G82=0,"",INDEX(auto_DataFlat_DataValue,$H82+AU$18))</f>
        <v>0</v>
      </c>
      <c r="AV82" s="154" cm="1">
        <f t="array" aca="1" ref="AV82" ca="1">IF($G82=0,"",INDEX(auto_DataFlat_DataValue,$H82+AV$18))</f>
        <v>0</v>
      </c>
      <c r="AW82" s="154" cm="1">
        <f t="array" aca="1" ref="AW82" ca="1">IF($G82=0,"",INDEX(auto_DataFlat_DataValue,$H82+AW$18))</f>
        <v>1</v>
      </c>
      <c r="AX82" s="154" cm="1">
        <f t="array" aca="1" ref="AX82" ca="1">IF($G82=0,"",INDEX(auto_DataFlat_DataValue,$H82+AX$18))</f>
        <v>0</v>
      </c>
      <c r="AY82" s="154" cm="1">
        <f t="array" aca="1" ref="AY82" ca="1">IF($G82=0,"",INDEX(auto_DataFlat_DataValue,$H82+AY$18))</f>
        <v>1</v>
      </c>
      <c r="AZ82" s="154" cm="1">
        <f t="array" aca="1" ref="AZ82" ca="1">IF($G82=0,"",INDEX(auto_DataFlat_DataValue,$H82+AZ$18))</f>
        <v>1</v>
      </c>
      <c r="BA82" s="154" cm="1">
        <f t="array" aca="1" ref="BA82" ca="1">IF($G82=0,"",INDEX(auto_DataFlat_DataValue,$H82+BA$18))</f>
        <v>1</v>
      </c>
      <c r="BB82" s="154" cm="1">
        <f t="array" aca="1" ref="BB82" ca="1">IF($G82=0,"",INDEX(auto_DataFlat_DataValue,$H82+BB$18))</f>
        <v>1</v>
      </c>
      <c r="BC82" s="154" cm="1">
        <f t="array" aca="1" ref="BC82" ca="1">IF($G82=0,"",INDEX(auto_DataFlat_DataValue,$H82+BC$18))</f>
        <v>1</v>
      </c>
      <c r="BD82" s="154" cm="1">
        <f t="array" aca="1" ref="BD82" ca="1">IF($G82=0,"",INDEX(auto_DataFlat_DataValue,$H82+BD$18))</f>
        <v>1</v>
      </c>
      <c r="BE82" s="154" cm="1">
        <f t="array" aca="1" ref="BE82" ca="1">IF($G82=0,"",INDEX(auto_DataFlat_DataValue,$H82+BE$18))</f>
        <v>2</v>
      </c>
      <c r="BF82" s="154" cm="1">
        <f t="array" aca="1" ref="BF82" ca="1">IF($G82=0,"",INDEX(auto_DataFlat_DataValue,$H82+BF$18))</f>
        <v>1</v>
      </c>
      <c r="BG82" s="154" cm="1">
        <f t="array" aca="1" ref="BG82" ca="1">IF($G82=0,"",INDEX(auto_DataFlat_DataValue,$H82+BG$18))</f>
        <v>1</v>
      </c>
      <c r="BH82" s="154" cm="1">
        <f t="array" aca="1" ref="BH82" ca="1">IF($G82=0,"",INDEX(auto_DataFlat_DataValue,$H82+BH$18))</f>
        <v>1</v>
      </c>
      <c r="BI82" s="154" cm="1">
        <f t="array" aca="1" ref="BI82" ca="1">IF($G82=0,"",INDEX(auto_DataFlat_DataValue,$H82+BI$18))</f>
        <v>0</v>
      </c>
    </row>
    <row r="83" spans="1:61" ht="17.05" customHeight="1" x14ac:dyDescent="0.4">
      <c r="A83" t="str">
        <f t="shared" si="3"/>
        <v/>
      </c>
      <c r="B83" s="42" t="str">
        <f t="shared" ca="1" si="1"/>
        <v>V</v>
      </c>
      <c r="C83" s="100">
        <v>64</v>
      </c>
      <c r="D83" s="49" cm="1">
        <f t="array" aca="1" ref="D83" ca="1">INDEX(OFFSET(auto_ss_data_table,0,1,500,1),C83)</f>
        <v>64</v>
      </c>
      <c r="E83" s="101" cm="1">
        <f t="array" aca="1" ref="E83" ca="1">INDEX(auto_tblSeries,$D83,E$18)</f>
        <v>0</v>
      </c>
      <c r="F83" s="101" t="str" cm="1">
        <f t="array" aca="1" ref="F83" ca="1">INDEX(auto_tblSeries,$D83,F$18)</f>
        <v>#,0.0</v>
      </c>
      <c r="G83" s="101" cm="1">
        <f t="array" aca="1" ref="G83" ca="1">INDEX(auto_tblSeries,$D83,G$18)</f>
        <v>0</v>
      </c>
      <c r="H83" s="101" cm="1">
        <f t="array" aca="1" ref="H83" ca="1">INDEX(sys_DataFlat_LU_Grid,$D83,1)-1</f>
        <v>3780</v>
      </c>
      <c r="I83" s="26"/>
      <c r="J83" s="148" t="str" cm="1">
        <f t="array" aca="1" ref="J83" ca="1">INDEX(auto_Series_NameNumbered,$D83)</f>
        <v>--- BACKGROUND INDICATORS ---</v>
      </c>
      <c r="K83" s="149" t="str" cm="1">
        <f t="array" aca="1" ref="K83" ca="1">IF($G83=0,"",INDEX(auto_tblSeries,$D83,K$18))</f>
        <v/>
      </c>
      <c r="L83" s="150" t="str" cm="1">
        <f t="array" aca="1" ref="L83" ca="1">IF($G83=0,"",INDEX(auto_DataFlat_DataValue,$H83+L$18))</f>
        <v/>
      </c>
      <c r="M83" s="150" t="str" cm="1">
        <f t="array" aca="1" ref="M83" ca="1">IF($G83=0,"",INDEX(auto_DataFlat_DataValue,$H83+M$18))</f>
        <v/>
      </c>
      <c r="N83" s="150" t="str" cm="1">
        <f t="array" aca="1" ref="N83" ca="1">IF($G83=0,"",INDEX(auto_DataFlat_DataValue,$H83+N$18))</f>
        <v/>
      </c>
      <c r="O83" s="150" t="str" cm="1">
        <f t="array" aca="1" ref="O83" ca="1">IF($G83=0,"",INDEX(auto_DataFlat_DataValue,$H83+O$18))</f>
        <v/>
      </c>
      <c r="P83" s="150" t="str" cm="1">
        <f t="array" aca="1" ref="P83" ca="1">IF($G83=0,"",INDEX(auto_DataFlat_DataValue,$H83+P$18))</f>
        <v/>
      </c>
      <c r="Q83" s="150" t="str" cm="1">
        <f t="array" aca="1" ref="Q83" ca="1">IF($G83=0,"",INDEX(auto_DataFlat_DataValue,$H83+Q$18))</f>
        <v/>
      </c>
      <c r="R83" s="150" t="str" cm="1">
        <f t="array" aca="1" ref="R83" ca="1">IF($G83=0,"",INDEX(auto_DataFlat_DataValue,$H83+R$18))</f>
        <v/>
      </c>
      <c r="S83" s="150" t="str" cm="1">
        <f t="array" aca="1" ref="S83" ca="1">IF($G83=0,"",INDEX(auto_DataFlat_DataValue,$H83+S$18))</f>
        <v/>
      </c>
      <c r="T83" s="150" t="str" cm="1">
        <f t="array" aca="1" ref="T83" ca="1">IF($G83=0,"",INDEX(auto_DataFlat_DataValue,$H83+T$18))</f>
        <v/>
      </c>
      <c r="U83" s="150" t="str" cm="1">
        <f t="array" aca="1" ref="U83" ca="1">IF($G83=0,"",INDEX(auto_DataFlat_DataValue,$H83+U$18))</f>
        <v/>
      </c>
      <c r="V83" s="150" t="str" cm="1">
        <f t="array" aca="1" ref="V83" ca="1">IF($G83=0,"",INDEX(auto_DataFlat_DataValue,$H83+V$18))</f>
        <v/>
      </c>
      <c r="W83" s="150" t="str" cm="1">
        <f t="array" aca="1" ref="W83" ca="1">IF($G83=0,"",INDEX(auto_DataFlat_DataValue,$H83+W$18))</f>
        <v/>
      </c>
      <c r="X83" s="150" t="str" cm="1">
        <f t="array" aca="1" ref="X83" ca="1">IF($G83=0,"",INDEX(auto_DataFlat_DataValue,$H83+X$18))</f>
        <v/>
      </c>
      <c r="Y83" s="150" t="str" cm="1">
        <f t="array" aca="1" ref="Y83" ca="1">IF($G83=0,"",INDEX(auto_DataFlat_DataValue,$H83+Y$18))</f>
        <v/>
      </c>
      <c r="Z83" s="150" t="str" cm="1">
        <f t="array" aca="1" ref="Z83" ca="1">IF($G83=0,"",INDEX(auto_DataFlat_DataValue,$H83+Z$18))</f>
        <v/>
      </c>
      <c r="AA83" s="150" t="str" cm="1">
        <f t="array" aca="1" ref="AA83" ca="1">IF($G83=0,"",INDEX(auto_DataFlat_DataValue,$H83+AA$18))</f>
        <v/>
      </c>
      <c r="AB83" s="150" t="str" cm="1">
        <f t="array" aca="1" ref="AB83" ca="1">IF($G83=0,"",INDEX(auto_DataFlat_DataValue,$H83+AB$18))</f>
        <v/>
      </c>
      <c r="AC83" s="150" t="str" cm="1">
        <f t="array" aca="1" ref="AC83" ca="1">IF($G83=0,"",INDEX(auto_DataFlat_DataValue,$H83+AC$18))</f>
        <v/>
      </c>
      <c r="AD83" s="150" t="str" cm="1">
        <f t="array" aca="1" ref="AD83" ca="1">IF($G83=0,"",INDEX(auto_DataFlat_DataValue,$H83+AD$18))</f>
        <v/>
      </c>
      <c r="AE83" s="150" t="str" cm="1">
        <f t="array" aca="1" ref="AE83" ca="1">IF($G83=0,"",INDEX(auto_DataFlat_DataValue,$H83+AE$18))</f>
        <v/>
      </c>
      <c r="AF83" s="150" t="str" cm="1">
        <f t="array" aca="1" ref="AF83" ca="1">IF($G83=0,"",INDEX(auto_DataFlat_DataValue,$H83+AF$18))</f>
        <v/>
      </c>
      <c r="AG83" s="150" t="str" cm="1">
        <f t="array" aca="1" ref="AG83" ca="1">IF($G83=0,"",INDEX(auto_DataFlat_DataValue,$H83+AG$18))</f>
        <v/>
      </c>
      <c r="AH83" s="150" t="str" cm="1">
        <f t="array" aca="1" ref="AH83" ca="1">IF($G83=0,"",INDEX(auto_DataFlat_DataValue,$H83+AH$18))</f>
        <v/>
      </c>
      <c r="AI83" s="150" t="str" cm="1">
        <f t="array" aca="1" ref="AI83" ca="1">IF($G83=0,"",INDEX(auto_DataFlat_DataValue,$H83+AI$18))</f>
        <v/>
      </c>
      <c r="AJ83" s="150" t="str" cm="1">
        <f t="array" aca="1" ref="AJ83" ca="1">IF($G83=0,"",INDEX(auto_DataFlat_DataValue,$H83+AJ$18))</f>
        <v/>
      </c>
      <c r="AK83" s="150" t="str" cm="1">
        <f t="array" aca="1" ref="AK83" ca="1">IF($G83=0,"",INDEX(auto_DataFlat_DataValue,$H83+AK$18))</f>
        <v/>
      </c>
      <c r="AL83" s="150" t="str" cm="1">
        <f t="array" aca="1" ref="AL83" ca="1">IF($G83=0,"",INDEX(auto_DataFlat_DataValue,$H83+AL$18))</f>
        <v/>
      </c>
      <c r="AM83" s="150" t="str" cm="1">
        <f t="array" aca="1" ref="AM83" ca="1">IF($G83=0,"",INDEX(auto_DataFlat_DataValue,$H83+AM$18))</f>
        <v/>
      </c>
      <c r="AN83" s="150" t="str" cm="1">
        <f t="array" aca="1" ref="AN83" ca="1">IF($G83=0,"",INDEX(auto_DataFlat_DataValue,$H83+AN$18))</f>
        <v/>
      </c>
      <c r="AO83" s="150" t="str" cm="1">
        <f t="array" aca="1" ref="AO83" ca="1">IF($G83=0,"",INDEX(auto_DataFlat_DataValue,$H83+AO$18))</f>
        <v/>
      </c>
      <c r="AP83" s="150" t="str" cm="1">
        <f t="array" aca="1" ref="AP83" ca="1">IF($G83=0,"",INDEX(auto_DataFlat_DataValue,$H83+AP$18))</f>
        <v/>
      </c>
      <c r="AQ83" s="150" t="str" cm="1">
        <f t="array" aca="1" ref="AQ83" ca="1">IF($G83=0,"",INDEX(auto_DataFlat_DataValue,$H83+AQ$18))</f>
        <v/>
      </c>
      <c r="AR83" s="150" t="str" cm="1">
        <f t="array" aca="1" ref="AR83" ca="1">IF($G83=0,"",INDEX(auto_DataFlat_DataValue,$H83+AR$18))</f>
        <v/>
      </c>
      <c r="AS83" s="150" t="str" cm="1">
        <f t="array" aca="1" ref="AS83" ca="1">IF($G83=0,"",INDEX(auto_DataFlat_DataValue,$H83+AS$18))</f>
        <v/>
      </c>
      <c r="AT83" s="150" t="str" cm="1">
        <f t="array" aca="1" ref="AT83" ca="1">IF($G83=0,"",INDEX(auto_DataFlat_DataValue,$H83+AT$18))</f>
        <v/>
      </c>
      <c r="AU83" s="150" t="str" cm="1">
        <f t="array" aca="1" ref="AU83" ca="1">IF($G83=0,"",INDEX(auto_DataFlat_DataValue,$H83+AU$18))</f>
        <v/>
      </c>
      <c r="AV83" s="150" t="str" cm="1">
        <f t="array" aca="1" ref="AV83" ca="1">IF($G83=0,"",INDEX(auto_DataFlat_DataValue,$H83+AV$18))</f>
        <v/>
      </c>
      <c r="AW83" s="150" t="str" cm="1">
        <f t="array" aca="1" ref="AW83" ca="1">IF($G83=0,"",INDEX(auto_DataFlat_DataValue,$H83+AW$18))</f>
        <v/>
      </c>
      <c r="AX83" s="150" t="str" cm="1">
        <f t="array" aca="1" ref="AX83" ca="1">IF($G83=0,"",INDEX(auto_DataFlat_DataValue,$H83+AX$18))</f>
        <v/>
      </c>
      <c r="AY83" s="150" t="str" cm="1">
        <f t="array" aca="1" ref="AY83" ca="1">IF($G83=0,"",INDEX(auto_DataFlat_DataValue,$H83+AY$18))</f>
        <v/>
      </c>
      <c r="AZ83" s="150" t="str" cm="1">
        <f t="array" aca="1" ref="AZ83" ca="1">IF($G83=0,"",INDEX(auto_DataFlat_DataValue,$H83+AZ$18))</f>
        <v/>
      </c>
      <c r="BA83" s="150" t="str" cm="1">
        <f t="array" aca="1" ref="BA83" ca="1">IF($G83=0,"",INDEX(auto_DataFlat_DataValue,$H83+BA$18))</f>
        <v/>
      </c>
      <c r="BB83" s="150" t="str" cm="1">
        <f t="array" aca="1" ref="BB83" ca="1">IF($G83=0,"",INDEX(auto_DataFlat_DataValue,$H83+BB$18))</f>
        <v/>
      </c>
      <c r="BC83" s="150" t="str" cm="1">
        <f t="array" aca="1" ref="BC83" ca="1">IF($G83=0,"",INDEX(auto_DataFlat_DataValue,$H83+BC$18))</f>
        <v/>
      </c>
      <c r="BD83" s="150" t="str" cm="1">
        <f t="array" aca="1" ref="BD83" ca="1">IF($G83=0,"",INDEX(auto_DataFlat_DataValue,$H83+BD$18))</f>
        <v/>
      </c>
      <c r="BE83" s="150" t="str" cm="1">
        <f t="array" aca="1" ref="BE83" ca="1">IF($G83=0,"",INDEX(auto_DataFlat_DataValue,$H83+BE$18))</f>
        <v/>
      </c>
      <c r="BF83" s="150" t="str" cm="1">
        <f t="array" aca="1" ref="BF83" ca="1">IF($G83=0,"",INDEX(auto_DataFlat_DataValue,$H83+BF$18))</f>
        <v/>
      </c>
      <c r="BG83" s="150" t="str" cm="1">
        <f t="array" aca="1" ref="BG83" ca="1">IF($G83=0,"",INDEX(auto_DataFlat_DataValue,$H83+BG$18))</f>
        <v/>
      </c>
      <c r="BH83" s="150" t="str" cm="1">
        <f t="array" aca="1" ref="BH83" ca="1">IF($G83=0,"",INDEX(auto_DataFlat_DataValue,$H83+BH$18))</f>
        <v/>
      </c>
      <c r="BI83" s="150" t="str" cm="1">
        <f t="array" aca="1" ref="BI83" ca="1">IF($G83=0,"",INDEX(auto_DataFlat_DataValue,$H83+BI$18))</f>
        <v/>
      </c>
    </row>
    <row r="84" spans="1:61" ht="17.05" customHeight="1" x14ac:dyDescent="0.4">
      <c r="A84" t="str">
        <f t="shared" si="3"/>
        <v/>
      </c>
      <c r="B84" s="42" t="str">
        <f t="shared" ca="1" si="1"/>
        <v/>
      </c>
      <c r="C84" s="100">
        <v>65</v>
      </c>
      <c r="D84" s="49" cm="1">
        <f t="array" aca="1" ref="D84" ca="1">INDEX(OFFSET(auto_ss_data_table,0,1,500,1),C84)</f>
        <v>65</v>
      </c>
      <c r="E84" s="101" cm="1">
        <f t="array" aca="1" ref="E84" ca="1">INDEX(auto_tblSeries,$D84,E$18)</f>
        <v>1</v>
      </c>
      <c r="F84" s="101" t="str" cm="1">
        <f t="array" aca="1" ref="F84" ca="1">INDEX(auto_tblSeries,$D84,F$18)</f>
        <v>#,0.0</v>
      </c>
      <c r="G84" s="101" cm="1">
        <f t="array" aca="1" ref="G84" ca="1">INDEX(auto_tblSeries,$D84,G$18)</f>
        <v>1</v>
      </c>
      <c r="H84" s="101" cm="1">
        <f t="array" aca="1" ref="H84" ca="1">INDEX(sys_DataFlat_LU_Grid,$D84,1)-1</f>
        <v>3840</v>
      </c>
      <c r="I84" s="26"/>
      <c r="J84" s="151" t="str" cm="1">
        <f t="array" aca="1" ref="J84" ca="1">INDEX(auto_Series_NameNumbered,$D84)</f>
        <v>BG01) PROPORTION OF ALL DEATHS CAUSED BY CVD</v>
      </c>
      <c r="K84" s="152" t="str" cm="1">
        <f t="array" aca="1" ref="K84" ca="1">IF($G84=0,"",INDEX(auto_tblSeries,$D84,K$18))</f>
        <v>%</v>
      </c>
      <c r="L84" s="153" t="str" cm="1">
        <f t="array" aca="1" ref="L84" ca="1">IF($G84=0,"",INDEX(auto_DataFlat_DataValue,$H84+L$18))</f>
        <v>n/a</v>
      </c>
      <c r="M84" s="153" t="str" cm="1">
        <f t="array" aca="1" ref="M84" ca="1">IF($G84=0,"",INDEX(auto_DataFlat_DataValue,$H84+M$18))</f>
        <v>n/a</v>
      </c>
      <c r="N84" s="153" cm="1">
        <f t="array" aca="1" ref="N84" ca="1">IF($G84=0,"",INDEX(auto_DataFlat_DataValue,$H84+N$18))</f>
        <v>27</v>
      </c>
      <c r="O84" s="153" cm="1">
        <f t="array" aca="1" ref="O84" ca="1">IF($G84=0,"",INDEX(auto_DataFlat_DataValue,$H84+O$18))</f>
        <v>31.2</v>
      </c>
      <c r="P84" s="153" cm="1">
        <f t="array" aca="1" ref="P84" ca="1">IF($G84=0,"",INDEX(auto_DataFlat_DataValue,$H84+P$18))</f>
        <v>15.1</v>
      </c>
      <c r="Q84" s="153" t="str" cm="1">
        <f t="array" aca="1" ref="Q84" ca="1">IF($G84=0,"",INDEX(auto_DataFlat_DataValue,$H84+Q$18))</f>
        <v>n/a</v>
      </c>
      <c r="R84" s="153" cm="1">
        <f t="array" aca="1" ref="R84" ca="1">IF($G84=0,"",INDEX(auto_DataFlat_DataValue,$H84+R$18))</f>
        <v>34.299999999999997</v>
      </c>
      <c r="S84" s="153" cm="1">
        <f t="array" aca="1" ref="S84" ca="1">IF($G84=0,"",INDEX(auto_DataFlat_DataValue,$H84+S$18))</f>
        <v>28.1</v>
      </c>
      <c r="T84" s="153" cm="1">
        <f t="array" aca="1" ref="T84" ca="1">IF($G84=0,"",INDEX(auto_DataFlat_DataValue,$H84+T$18))</f>
        <v>49.1</v>
      </c>
      <c r="U84" s="153" cm="1">
        <f t="array" aca="1" ref="U84" ca="1">IF($G84=0,"",INDEX(auto_DataFlat_DataValue,$H84+U$18))</f>
        <v>53.7</v>
      </c>
      <c r="V84" s="153" cm="1">
        <f t="array" aca="1" ref="V84" ca="1">IF($G84=0,"",INDEX(auto_DataFlat_DataValue,$H84+V$18))</f>
        <v>25.5</v>
      </c>
      <c r="W84" s="153" t="str" cm="1">
        <f t="array" aca="1" ref="W84" ca="1">IF($G84=0,"",INDEX(auto_DataFlat_DataValue,$H84+W$18))</f>
        <v>n/a</v>
      </c>
      <c r="X84" s="153" t="str" cm="1">
        <f t="array" aca="1" ref="X84" ca="1">IF($G84=0,"",INDEX(auto_DataFlat_DataValue,$H84+X$18))</f>
        <v>n/a</v>
      </c>
      <c r="Y84" s="153" cm="1">
        <f t="array" aca="1" ref="Y84" ca="1">IF($G84=0,"",INDEX(auto_DataFlat_DataValue,$H84+Y$18))</f>
        <v>20.100000000000001</v>
      </c>
      <c r="Z84" s="153" cm="1">
        <f t="array" aca="1" ref="Z84" ca="1">IF($G84=0,"",INDEX(auto_DataFlat_DataValue,$H84+Z$18))</f>
        <v>33.5</v>
      </c>
      <c r="AA84" s="153" t="str" cm="1">
        <f t="array" aca="1" ref="AA84" ca="1">IF($G84=0,"",INDEX(auto_DataFlat_DataValue,$H84+AA$18))</f>
        <v>n/a</v>
      </c>
      <c r="AB84" s="153" cm="1">
        <f t="array" aca="1" ref="AB84" ca="1">IF($G84=0,"",INDEX(auto_DataFlat_DataValue,$H84+AB$18))</f>
        <v>21.4</v>
      </c>
      <c r="AC84" s="153" cm="1">
        <f t="array" aca="1" ref="AC84" ca="1">IF($G84=0,"",INDEX(auto_DataFlat_DataValue,$H84+AC$18))</f>
        <v>36.799999999999997</v>
      </c>
      <c r="AD84" s="153" t="str" cm="1">
        <f t="array" aca="1" ref="AD84" ca="1">IF($G84=0,"",INDEX(auto_DataFlat_DataValue,$H84+AD$18))</f>
        <v>n/a</v>
      </c>
      <c r="AE84" s="153" cm="1">
        <f t="array" aca="1" ref="AE84" ca="1">IF($G84=0,"",INDEX(auto_DataFlat_DataValue,$H84+AE$18))</f>
        <v>18.899999999999999</v>
      </c>
      <c r="AF84" s="153" t="str" cm="1">
        <f t="array" aca="1" ref="AF84" ca="1">IF($G84=0,"",INDEX(auto_DataFlat_DataValue,$H84+AF$18))</f>
        <v>n/a</v>
      </c>
      <c r="AG84" s="153" t="str" cm="1">
        <f t="array" aca="1" ref="AG84" ca="1">IF($G84=0,"",INDEX(auto_DataFlat_DataValue,$H84+AG$18))</f>
        <v>n/a</v>
      </c>
      <c r="AH84" s="153" t="str" cm="1">
        <f t="array" aca="1" ref="AH84" ca="1">IF($G84=0,"",INDEX(auto_DataFlat_DataValue,$H84+AH$18))</f>
        <v>n/a</v>
      </c>
      <c r="AI84" s="153" cm="1">
        <f t="array" aca="1" ref="AI84" ca="1">IF($G84=0,"",INDEX(auto_DataFlat_DataValue,$H84+AI$18))</f>
        <v>41</v>
      </c>
      <c r="AJ84" s="153" t="str" cm="1">
        <f t="array" aca="1" ref="AJ84" ca="1">IF($G84=0,"",INDEX(auto_DataFlat_DataValue,$H84+AJ$18))</f>
        <v>n/a</v>
      </c>
      <c r="AK84" s="153" cm="1">
        <f t="array" aca="1" ref="AK84" ca="1">IF($G84=0,"",INDEX(auto_DataFlat_DataValue,$H84+AK$18))</f>
        <v>22</v>
      </c>
      <c r="AL84" s="153" cm="1">
        <f t="array" aca="1" ref="AL84" ca="1">IF($G84=0,"",INDEX(auto_DataFlat_DataValue,$H84+AL$18))</f>
        <v>26.4</v>
      </c>
      <c r="AM84" s="153" cm="1">
        <f t="array" aca="1" ref="AM84" ca="1">IF($G84=0,"",INDEX(auto_DataFlat_DataValue,$H84+AM$18))</f>
        <v>33.700000000000003</v>
      </c>
      <c r="AN84" s="153" cm="1">
        <f t="array" aca="1" ref="AN84" ca="1">IF($G84=0,"",INDEX(auto_DataFlat_DataValue,$H84+AN$18))</f>
        <v>24.9</v>
      </c>
      <c r="AO84" s="153" cm="1">
        <f t="array" aca="1" ref="AO84" ca="1">IF($G84=0,"",INDEX(auto_DataFlat_DataValue,$H84+AO$18))</f>
        <v>23.8</v>
      </c>
      <c r="AP84" s="153" cm="1">
        <f t="array" aca="1" ref="AP84" ca="1">IF($G84=0,"",INDEX(auto_DataFlat_DataValue,$H84+AP$18))</f>
        <v>46.8</v>
      </c>
      <c r="AQ84" s="153" t="str" cm="1">
        <f t="array" aca="1" ref="AQ84" ca="1">IF($G84=0,"",INDEX(auto_DataFlat_DataValue,$H84+AQ$18))</f>
        <v>n/a</v>
      </c>
      <c r="AR84" s="153" t="str" cm="1">
        <f t="array" aca="1" ref="AR84" ca="1">IF($G84=0,"",INDEX(auto_DataFlat_DataValue,$H84+AR$18))</f>
        <v>n/a</v>
      </c>
      <c r="AS84" s="153" cm="1">
        <f t="array" aca="1" ref="AS84" ca="1">IF($G84=0,"",INDEX(auto_DataFlat_DataValue,$H84+AS$18))</f>
        <v>27</v>
      </c>
      <c r="AT84" s="153" cm="1">
        <f t="array" aca="1" ref="AT84" ca="1">IF($G84=0,"",INDEX(auto_DataFlat_DataValue,$H84+AT$18))</f>
        <v>25.1</v>
      </c>
      <c r="AU84" s="153" cm="1">
        <f t="array" aca="1" ref="AU84" ca="1">IF($G84=0,"",INDEX(auto_DataFlat_DataValue,$H84+AU$18))</f>
        <v>23.8</v>
      </c>
      <c r="AV84" s="153" t="str" cm="1">
        <f t="array" aca="1" ref="AV84" ca="1">IF($G84=0,"",INDEX(auto_DataFlat_DataValue,$H84+AV$18))</f>
        <v>n/a</v>
      </c>
      <c r="AW84" s="153" t="str" cm="1">
        <f t="array" aca="1" ref="AW84" ca="1">IF($G84=0,"",INDEX(auto_DataFlat_DataValue,$H84+AW$18))</f>
        <v>n/a</v>
      </c>
      <c r="AX84" s="153" cm="1">
        <f t="array" aca="1" ref="AX84" ca="1">IF($G84=0,"",INDEX(auto_DataFlat_DataValue,$H84+AX$18))</f>
        <v>33.700000000000003</v>
      </c>
      <c r="AY84" s="153" cm="1">
        <f t="array" aca="1" ref="AY84" ca="1">IF($G84=0,"",INDEX(auto_DataFlat_DataValue,$H84+AY$18))</f>
        <v>27</v>
      </c>
      <c r="AZ84" s="153" cm="1">
        <f t="array" aca="1" ref="AZ84" ca="1">IF($G84=0,"",INDEX(auto_DataFlat_DataValue,$H84+AZ$18))</f>
        <v>23</v>
      </c>
      <c r="BA84" s="153" cm="1">
        <f t="array" aca="1" ref="BA84" ca="1">IF($G84=0,"",INDEX(auto_DataFlat_DataValue,$H84+BA$18))</f>
        <v>19.7</v>
      </c>
      <c r="BB84" s="153" t="str" cm="1">
        <f t="array" aca="1" ref="BB84" ca="1">IF($G84=0,"",INDEX(auto_DataFlat_DataValue,$H84+BB$18))</f>
        <v>n/a</v>
      </c>
      <c r="BC84" s="153" cm="1">
        <f t="array" aca="1" ref="BC84" ca="1">IF($G84=0,"",INDEX(auto_DataFlat_DataValue,$H84+BC$18))</f>
        <v>32.700000000000003</v>
      </c>
      <c r="BD84" s="153" cm="1">
        <f t="array" aca="1" ref="BD84" ca="1">IF($G84=0,"",INDEX(auto_DataFlat_DataValue,$H84+BD$18))</f>
        <v>24.9</v>
      </c>
      <c r="BE84" s="153" cm="1">
        <f t="array" aca="1" ref="BE84" ca="1">IF($G84=0,"",INDEX(auto_DataFlat_DataValue,$H84+BE$18))</f>
        <v>25.1</v>
      </c>
      <c r="BF84" s="153" cm="1">
        <f t="array" aca="1" ref="BF84" ca="1">IF($G84=0,"",INDEX(auto_DataFlat_DataValue,$H84+BF$18))</f>
        <v>25.2</v>
      </c>
      <c r="BG84" s="153" cm="1">
        <f t="array" aca="1" ref="BG84" ca="1">IF($G84=0,"",INDEX(auto_DataFlat_DataValue,$H84+BG$18))</f>
        <v>34</v>
      </c>
      <c r="BH84" s="153" t="str" cm="1">
        <f t="array" aca="1" ref="BH84" ca="1">IF($G84=0,"",INDEX(auto_DataFlat_DataValue,$H84+BH$18))</f>
        <v>n/a</v>
      </c>
      <c r="BI84" s="153" t="str" cm="1">
        <f t="array" aca="1" ref="BI84" ca="1">IF($G84=0,"",INDEX(auto_DataFlat_DataValue,$H84+BI$18))</f>
        <v>n/a</v>
      </c>
    </row>
    <row r="85" spans="1:61" ht="17.05" customHeight="1" x14ac:dyDescent="0.4">
      <c r="A85" t="str">
        <f t="shared" si="3"/>
        <v/>
      </c>
      <c r="B85" s="42" t="str">
        <f t="shared" ca="1" si="1"/>
        <v/>
      </c>
      <c r="C85" s="100">
        <v>66</v>
      </c>
      <c r="D85" s="49" cm="1">
        <f t="array" aca="1" ref="D85" ca="1">INDEX(OFFSET(auto_ss_data_table,0,1,500,1),C85)</f>
        <v>66</v>
      </c>
      <c r="E85" s="101" cm="1">
        <f t="array" aca="1" ref="E85" ca="1">INDEX(auto_tblSeries,$D85,E$18)</f>
        <v>1</v>
      </c>
      <c r="F85" s="101" t="str" cm="1">
        <f t="array" aca="1" ref="F85" ca="1">INDEX(auto_tblSeries,$D85,F$18)</f>
        <v>#,0.0</v>
      </c>
      <c r="G85" s="101" cm="1">
        <f t="array" aca="1" ref="G85" ca="1">INDEX(auto_tblSeries,$D85,G$18)</f>
        <v>1</v>
      </c>
      <c r="H85" s="101" cm="1">
        <f t="array" aca="1" ref="H85" ca="1">INDEX(sys_DataFlat_LU_Grid,$D85,1)-1</f>
        <v>3900</v>
      </c>
      <c r="I85" s="26"/>
      <c r="J85" s="151" t="str" cm="1">
        <f t="array" aca="1" ref="J85" ca="1">INDEX(auto_Series_NameNumbered,$D85)</f>
        <v>BG02) CVD MORTALITY RATE</v>
      </c>
      <c r="K85" s="152" t="str" cm="1">
        <f t="array" aca="1" ref="K85" ca="1">IF($G85=0,"",INDEX(auto_tblSeries,$D85,K$18))</f>
        <v>Rate (per 100,000 people)</v>
      </c>
      <c r="L85" s="153" cm="1">
        <f t="array" aca="1" ref="L85" ca="1">IF($G85=0,"",INDEX(auto_DataFlat_DataValue,$H85+L$18))</f>
        <v>63.8</v>
      </c>
      <c r="M85" s="153" cm="1">
        <f t="array" aca="1" ref="M85" ca="1">IF($G85=0,"",INDEX(auto_DataFlat_DataValue,$H85+M$18))</f>
        <v>222.8</v>
      </c>
      <c r="N85" s="153" cm="1">
        <f t="array" aca="1" ref="N85" ca="1">IF($G85=0,"",INDEX(auto_DataFlat_DataValue,$H85+N$18))</f>
        <v>277.10000000000002</v>
      </c>
      <c r="O85" s="153" cm="1">
        <f t="array" aca="1" ref="O85" ca="1">IF($G85=0,"",INDEX(auto_DataFlat_DataValue,$H85+O$18))</f>
        <v>228.2</v>
      </c>
      <c r="P85" s="153" cm="1">
        <f t="array" aca="1" ref="P85" ca="1">IF($G85=0,"",INDEX(auto_DataFlat_DataValue,$H85+P$18))</f>
        <v>211.8</v>
      </c>
      <c r="Q85" s="153" cm="1">
        <f t="array" aca="1" ref="Q85" ca="1">IF($G85=0,"",INDEX(auto_DataFlat_DataValue,$H85+Q$18))</f>
        <v>367.8</v>
      </c>
      <c r="R85" s="153" cm="1">
        <f t="array" aca="1" ref="R85" ca="1">IF($G85=0,"",INDEX(auto_DataFlat_DataValue,$H85+R$18))</f>
        <v>396.9</v>
      </c>
      <c r="S85" s="153" cm="1">
        <f t="array" aca="1" ref="S85" ca="1">IF($G85=0,"",INDEX(auto_DataFlat_DataValue,$H85+S$18))</f>
        <v>154.5</v>
      </c>
      <c r="T85" s="153" cm="1">
        <f t="array" aca="1" ref="T85" ca="1">IF($G85=0,"",INDEX(auto_DataFlat_DataValue,$H85+T$18))</f>
        <v>635</v>
      </c>
      <c r="U85" s="153" cm="1">
        <f t="array" aca="1" ref="U85" ca="1">IF($G85=0,"",INDEX(auto_DataFlat_DataValue,$H85+U$18))</f>
        <v>262.8</v>
      </c>
      <c r="V85" s="153" cm="1">
        <f t="array" aca="1" ref="V85" ca="1">IF($G85=0,"",INDEX(auto_DataFlat_DataValue,$H85+V$18))</f>
        <v>262.8</v>
      </c>
      <c r="W85" s="153" cm="1">
        <f t="array" aca="1" ref="W85" ca="1">IF($G85=0,"",INDEX(auto_DataFlat_DataValue,$H85+W$18))</f>
        <v>205.5</v>
      </c>
      <c r="X85" s="153" cm="1">
        <f t="array" aca="1" ref="X85" ca="1">IF($G85=0,"",INDEX(auto_DataFlat_DataValue,$H85+X$18))</f>
        <v>233.8</v>
      </c>
      <c r="Y85" s="153" cm="1">
        <f t="array" aca="1" ref="Y85" ca="1">IF($G85=0,"",INDEX(auto_DataFlat_DataValue,$H85+Y$18))</f>
        <v>78</v>
      </c>
      <c r="Z85" s="153" cm="1">
        <f t="array" aca="1" ref="Z85" ca="1">IF($G85=0,"",INDEX(auto_DataFlat_DataValue,$H85+Z$18))</f>
        <v>426.3</v>
      </c>
      <c r="AA85" s="153" cm="1">
        <f t="array" aca="1" ref="AA85" ca="1">IF($G85=0,"",INDEX(auto_DataFlat_DataValue,$H85+AA$18))</f>
        <v>264.39999999999998</v>
      </c>
      <c r="AB85" s="153" cm="1">
        <f t="array" aca="1" ref="AB85" ca="1">IF($G85=0,"",INDEX(auto_DataFlat_DataValue,$H85+AB$18))</f>
        <v>184.8</v>
      </c>
      <c r="AC85" s="153" cm="1">
        <f t="array" aca="1" ref="AC85" ca="1">IF($G85=0,"",INDEX(auto_DataFlat_DataValue,$H85+AC$18))</f>
        <v>247.6</v>
      </c>
      <c r="AD85" s="153" cm="1">
        <f t="array" aca="1" ref="AD85" ca="1">IF($G85=0,"",INDEX(auto_DataFlat_DataValue,$H85+AD$18))</f>
        <v>279</v>
      </c>
      <c r="AE85" s="153" cm="1">
        <f t="array" aca="1" ref="AE85" ca="1">IF($G85=0,"",INDEX(auto_DataFlat_DataValue,$H85+AE$18))</f>
        <v>167.3</v>
      </c>
      <c r="AF85" s="153" cm="1">
        <f t="array" aca="1" ref="AF85" ca="1">IF($G85=0,"",INDEX(auto_DataFlat_DataValue,$H85+AF$18))</f>
        <v>152</v>
      </c>
      <c r="AG85" s="153" cm="1">
        <f t="array" aca="1" ref="AG85" ca="1">IF($G85=0,"",INDEX(auto_DataFlat_DataValue,$H85+AG$18))</f>
        <v>180.2</v>
      </c>
      <c r="AH85" s="153" cm="1">
        <f t="array" aca="1" ref="AH85" ca="1">IF($G85=0,"",INDEX(auto_DataFlat_DataValue,$H85+AH$18))</f>
        <v>205.5</v>
      </c>
      <c r="AI85" s="153" cm="1">
        <f t="array" aca="1" ref="AI85" ca="1">IF($G85=0,"",INDEX(auto_DataFlat_DataValue,$H85+AI$18))</f>
        <v>98.9</v>
      </c>
      <c r="AJ85" s="153" cm="1">
        <f t="array" aca="1" ref="AJ85" ca="1">IF($G85=0,"",INDEX(auto_DataFlat_DataValue,$H85+AJ$18))</f>
        <v>82</v>
      </c>
      <c r="AK85" s="153" cm="1">
        <f t="array" aca="1" ref="AK85" ca="1">IF($G85=0,"",INDEX(auto_DataFlat_DataValue,$H85+AK$18))</f>
        <v>256.10000000000002</v>
      </c>
      <c r="AL85" s="153" cm="1">
        <f t="array" aca="1" ref="AL85" ca="1">IF($G85=0,"",INDEX(auto_DataFlat_DataValue,$H85+AL$18))</f>
        <v>275.89999999999998</v>
      </c>
      <c r="AM85" s="153" cm="1">
        <f t="array" aca="1" ref="AM85" ca="1">IF($G85=0,"",INDEX(auto_DataFlat_DataValue,$H85+AM$18))</f>
        <v>200.6</v>
      </c>
      <c r="AN85" s="153" cm="1">
        <f t="array" aca="1" ref="AN85" ca="1">IF($G85=0,"",INDEX(auto_DataFlat_DataValue,$H85+AN$18))</f>
        <v>196.9</v>
      </c>
      <c r="AO85" s="153" cm="1">
        <f t="array" aca="1" ref="AO85" ca="1">IF($G85=0,"",INDEX(auto_DataFlat_DataValue,$H85+AO$18))</f>
        <v>152</v>
      </c>
      <c r="AP85" s="153" cm="1">
        <f t="array" aca="1" ref="AP85" ca="1">IF($G85=0,"",INDEX(auto_DataFlat_DataValue,$H85+AP$18))</f>
        <v>660.3</v>
      </c>
      <c r="AQ85" s="153" cm="1">
        <f t="array" aca="1" ref="AQ85" ca="1">IF($G85=0,"",INDEX(auto_DataFlat_DataValue,$H85+AQ$18))</f>
        <v>205.5</v>
      </c>
      <c r="AR85" s="153" cm="1">
        <f t="array" aca="1" ref="AR85" ca="1">IF($G85=0,"",INDEX(auto_DataFlat_DataValue,$H85+AR$18))</f>
        <v>76.3</v>
      </c>
      <c r="AS85" s="153" cm="1">
        <f t="array" aca="1" ref="AS85" ca="1">IF($G85=0,"",INDEX(auto_DataFlat_DataValue,$H85+AS$18))</f>
        <v>277.10000000000002</v>
      </c>
      <c r="AT85" s="153" cm="1">
        <f t="array" aca="1" ref="AT85" ca="1">IF($G85=0,"",INDEX(auto_DataFlat_DataValue,$H85+AT$18))</f>
        <v>304.10000000000002</v>
      </c>
      <c r="AU85" s="153" cm="1">
        <f t="array" aca="1" ref="AU85" ca="1">IF($G85=0,"",INDEX(auto_DataFlat_DataValue,$H85+AU$18))</f>
        <v>247.7</v>
      </c>
      <c r="AV85" s="153" cm="1">
        <f t="array" aca="1" ref="AV85" ca="1">IF($G85=0,"",INDEX(auto_DataFlat_DataValue,$H85+AV$18))</f>
        <v>198.8</v>
      </c>
      <c r="AW85" s="153" cm="1">
        <f t="array" aca="1" ref="AW85" ca="1">IF($G85=0,"",INDEX(auto_DataFlat_DataValue,$H85+AW$18))</f>
        <v>148.5</v>
      </c>
      <c r="AX85" s="153" cm="1">
        <f t="array" aca="1" ref="AX85" ca="1">IF($G85=0,"",INDEX(auto_DataFlat_DataValue,$H85+AX$18))</f>
        <v>377</v>
      </c>
      <c r="AY85" s="153" cm="1">
        <f t="array" aca="1" ref="AY85" ca="1">IF($G85=0,"",INDEX(auto_DataFlat_DataValue,$H85+AY$18))</f>
        <v>277.10000000000002</v>
      </c>
      <c r="AZ85" s="153" cm="1">
        <f t="array" aca="1" ref="AZ85" ca="1">IF($G85=0,"",INDEX(auto_DataFlat_DataValue,$H85+AZ$18))</f>
        <v>178.3</v>
      </c>
      <c r="BA85" s="153" cm="1">
        <f t="array" aca="1" ref="BA85" ca="1">IF($G85=0,"",INDEX(auto_DataFlat_DataValue,$H85+BA$18))</f>
        <v>161.5</v>
      </c>
      <c r="BB85" s="153" cm="1">
        <f t="array" aca="1" ref="BB85" ca="1">IF($G85=0,"",INDEX(auto_DataFlat_DataValue,$H85+BB$18))</f>
        <v>367.8</v>
      </c>
      <c r="BC85" s="153" cm="1">
        <f t="array" aca="1" ref="BC85" ca="1">IF($G85=0,"",INDEX(auto_DataFlat_DataValue,$H85+BC$18))</f>
        <v>120.9</v>
      </c>
      <c r="BD85" s="153" cm="1">
        <f t="array" aca="1" ref="BD85" ca="1">IF($G85=0,"",INDEX(auto_DataFlat_DataValue,$H85+BD$18))</f>
        <v>196.9</v>
      </c>
      <c r="BE85" s="153" cm="1">
        <f t="array" aca="1" ref="BE85" ca="1">IF($G85=0,"",INDEX(auto_DataFlat_DataValue,$H85+BE$18))</f>
        <v>304.10000000000002</v>
      </c>
      <c r="BF85" s="153" cm="1">
        <f t="array" aca="1" ref="BF85" ca="1">IF($G85=0,"",INDEX(auto_DataFlat_DataValue,$H85+BF$18))</f>
        <v>220.5</v>
      </c>
      <c r="BG85" s="153" cm="1">
        <f t="array" aca="1" ref="BG85" ca="1">IF($G85=0,"",INDEX(auto_DataFlat_DataValue,$H85+BG$18))</f>
        <v>347.4</v>
      </c>
      <c r="BH85" s="153" cm="1">
        <f t="array" aca="1" ref="BH85" ca="1">IF($G85=0,"",INDEX(auto_DataFlat_DataValue,$H85+BH$18))</f>
        <v>367.8</v>
      </c>
      <c r="BI85" s="153" cm="1">
        <f t="array" aca="1" ref="BI85" ca="1">IF($G85=0,"",INDEX(auto_DataFlat_DataValue,$H85+BI$18))</f>
        <v>272.8</v>
      </c>
    </row>
    <row r="86" spans="1:61" ht="17.05" customHeight="1" x14ac:dyDescent="0.4">
      <c r="A86" t="str">
        <f t="shared" si="3"/>
        <v/>
      </c>
      <c r="B86" s="42" t="str">
        <f t="shared" ca="1" si="1"/>
        <v/>
      </c>
      <c r="C86" s="100">
        <v>67</v>
      </c>
      <c r="D86" s="49" cm="1">
        <f t="array" aca="1" ref="D86" ca="1">INDEX(OFFSET(auto_ss_data_table,0,1,500,1),C86)</f>
        <v>67</v>
      </c>
      <c r="E86" s="101" cm="1">
        <f t="array" aca="1" ref="E86" ca="1">INDEX(auto_tblSeries,$D86,E$18)</f>
        <v>1</v>
      </c>
      <c r="F86" s="101" t="str" cm="1">
        <f t="array" aca="1" ref="F86" ca="1">INDEX(auto_tblSeries,$D86,F$18)</f>
        <v>#,0.0</v>
      </c>
      <c r="G86" s="101" cm="1">
        <f t="array" aca="1" ref="G86" ca="1">INDEX(auto_tblSeries,$D86,G$18)</f>
        <v>1</v>
      </c>
      <c r="H86" s="101" cm="1">
        <f t="array" aca="1" ref="H86" ca="1">INDEX(sys_DataFlat_LU_Grid,$D86,1)-1</f>
        <v>3960</v>
      </c>
      <c r="I86" s="26"/>
      <c r="J86" s="151" t="str" cm="1">
        <f t="array" aca="1" ref="J86" ca="1">INDEX(auto_Series_NameNumbered,$D86)</f>
        <v>BG03) RISK OF PREMATURE DEATH FROM NCDS</v>
      </c>
      <c r="K86" s="152" t="str" cm="1">
        <f t="array" aca="1" ref="K86" ca="1">IF($G86=0,"",INDEX(auto_tblSeries,$D86,K$18))</f>
        <v>%</v>
      </c>
      <c r="L86" s="153" cm="1">
        <f t="array" aca="1" ref="L86" ca="1">IF($G86=0,"",INDEX(auto_DataFlat_DataValue,$H86+L$18))</f>
        <v>17.100000000000001</v>
      </c>
      <c r="M86" s="153" cm="1">
        <f t="array" aca="1" ref="M86" ca="1">IF($G86=0,"",INDEX(auto_DataFlat_DataValue,$H86+M$18))</f>
        <v>13.9</v>
      </c>
      <c r="N86" s="153" cm="1">
        <f t="array" aca="1" ref="N86" ca="1">IF($G86=0,"",INDEX(auto_DataFlat_DataValue,$H86+N$18))</f>
        <v>13.6</v>
      </c>
      <c r="O86" s="153" cm="1">
        <f t="array" aca="1" ref="O86" ca="1">IF($G86=0,"",INDEX(auto_DataFlat_DataValue,$H86+O$18))</f>
        <v>10.3</v>
      </c>
      <c r="P86" s="153" cm="1">
        <f t="array" aca="1" ref="P86" ca="1">IF($G86=0,"",INDEX(auto_DataFlat_DataValue,$H86+P$18))</f>
        <v>13.7</v>
      </c>
      <c r="Q86" s="153" cm="1">
        <f t="array" aca="1" ref="Q86" ca="1">IF($G86=0,"",INDEX(auto_DataFlat_DataValue,$H86+Q$18))</f>
        <v>15.9</v>
      </c>
      <c r="R86" s="153" cm="1">
        <f t="array" aca="1" ref="R86" ca="1">IF($G86=0,"",INDEX(auto_DataFlat_DataValue,$H86+R$18))</f>
        <v>12.1</v>
      </c>
      <c r="S86" s="153" cm="1">
        <f t="array" aca="1" ref="S86" ca="1">IF($G86=0,"",INDEX(auto_DataFlat_DataValue,$H86+S$18))</f>
        <v>9.6999999999999993</v>
      </c>
      <c r="T86" s="153" cm="1">
        <f t="array" aca="1" ref="T86" ca="1">IF($G86=0,"",INDEX(auto_DataFlat_DataValue,$H86+T$18))</f>
        <v>22.1</v>
      </c>
      <c r="U86" s="153" cm="1">
        <f t="array" aca="1" ref="U86" ca="1">IF($G86=0,"",INDEX(auto_DataFlat_DataValue,$H86+U$18))</f>
        <v>28</v>
      </c>
      <c r="V86" s="153" cm="1">
        <f t="array" aca="1" ref="V86" ca="1">IF($G86=0,"",INDEX(auto_DataFlat_DataValue,$H86+V$18))</f>
        <v>13.2</v>
      </c>
      <c r="W86" s="153" cm="1">
        <f t="array" aca="1" ref="W86" ca="1">IF($G86=0,"",INDEX(auto_DataFlat_DataValue,$H86+W$18))</f>
        <v>21.9</v>
      </c>
      <c r="X86" s="153" cm="1">
        <f t="array" aca="1" ref="X86" ca="1">IF($G86=0,"",INDEX(auto_DataFlat_DataValue,$H86+X$18))</f>
        <v>18.899999999999999</v>
      </c>
      <c r="Y86" s="153" cm="1">
        <f t="array" aca="1" ref="Y86" ca="1">IF($G86=0,"",INDEX(auto_DataFlat_DataValue,$H86+Y$18))</f>
        <v>18.5</v>
      </c>
      <c r="Z86" s="153" cm="1">
        <f t="array" aca="1" ref="Z86" ca="1">IF($G86=0,"",INDEX(auto_DataFlat_DataValue,$H86+Z$18))</f>
        <v>9.6</v>
      </c>
      <c r="AA86" s="153" cm="1">
        <f t="array" aca="1" ref="AA86" ca="1">IF($G86=0,"",INDEX(auto_DataFlat_DataValue,$H86+AA$18))</f>
        <v>21.2</v>
      </c>
      <c r="AB86" s="153" t="str" cm="1">
        <f t="array" aca="1" ref="AB86" ca="1">IF($G86=0,"",INDEX(auto_DataFlat_DataValue,$H86+AB$18))</f>
        <v>n/a</v>
      </c>
      <c r="AC86" s="153" cm="1">
        <f t="array" aca="1" ref="AC86" ca="1">IF($G86=0,"",INDEX(auto_DataFlat_DataValue,$H86+AC$18))</f>
        <v>15.6</v>
      </c>
      <c r="AD86" s="153" cm="1">
        <f t="array" aca="1" ref="AD86" ca="1">IF($G86=0,"",INDEX(auto_DataFlat_DataValue,$H86+AD$18))</f>
        <v>24.8</v>
      </c>
      <c r="AE86" s="153" cm="1">
        <f t="array" aca="1" ref="AE86" ca="1">IF($G86=0,"",INDEX(auto_DataFlat_DataValue,$H86+AE$18))</f>
        <v>24.1</v>
      </c>
      <c r="AF86" s="153" cm="1">
        <f t="array" aca="1" ref="AF86" ca="1">IF($G86=0,"",INDEX(auto_DataFlat_DataValue,$H86+AF$18))</f>
        <v>29.4</v>
      </c>
      <c r="AG86" s="153" cm="1">
        <f t="array" aca="1" ref="AG86" ca="1">IF($G86=0,"",INDEX(auto_DataFlat_DataValue,$H86+AG$18))</f>
        <v>21.5</v>
      </c>
      <c r="AH86" s="153" cm="1">
        <f t="array" aca="1" ref="AH86" ca="1">IF($G86=0,"",INDEX(auto_DataFlat_DataValue,$H86+AH$18))</f>
        <v>21.9</v>
      </c>
      <c r="AI86" s="153" cm="1">
        <f t="array" aca="1" ref="AI86" ca="1">IF($G86=0,"",INDEX(auto_DataFlat_DataValue,$H86+AI$18))</f>
        <v>11.9</v>
      </c>
      <c r="AJ86" s="153" cm="1">
        <f t="array" aca="1" ref="AJ86" ca="1">IF($G86=0,"",INDEX(auto_DataFlat_DataValue,$H86+AJ$18))</f>
        <v>16.899999999999999</v>
      </c>
      <c r="AK86" s="153" cm="1">
        <f t="array" aca="1" ref="AK86" ca="1">IF($G86=0,"",INDEX(auto_DataFlat_DataValue,$H86+AK$18))</f>
        <v>10.3</v>
      </c>
      <c r="AL86" s="153" cm="1">
        <f t="array" aca="1" ref="AL86" ca="1">IF($G86=0,"",INDEX(auto_DataFlat_DataValue,$H86+AL$18))</f>
        <v>9.6</v>
      </c>
      <c r="AM86" s="153" cm="1">
        <f t="array" aca="1" ref="AM86" ca="1">IF($G86=0,"",INDEX(auto_DataFlat_DataValue,$H86+AM$18))</f>
        <v>24.5</v>
      </c>
      <c r="AN86" s="153" cm="1">
        <f t="array" aca="1" ref="AN86" ca="1">IF($G86=0,"",INDEX(auto_DataFlat_DataValue,$H86+AN$18))</f>
        <v>8.6</v>
      </c>
      <c r="AO86" s="153" cm="1">
        <f t="array" aca="1" ref="AO86" ca="1">IF($G86=0,"",INDEX(auto_DataFlat_DataValue,$H86+AO$18))</f>
        <v>15.6</v>
      </c>
      <c r="AP86" s="153" cm="1">
        <f t="array" aca="1" ref="AP86" ca="1">IF($G86=0,"",INDEX(auto_DataFlat_DataValue,$H86+AP$18))</f>
        <v>24.2</v>
      </c>
      <c r="AQ86" s="153" cm="1">
        <f t="array" aca="1" ref="AQ86" ca="1">IF($G86=0,"",INDEX(auto_DataFlat_DataValue,$H86+AQ$18))</f>
        <v>21.9</v>
      </c>
      <c r="AR86" s="153" cm="1">
        <f t="array" aca="1" ref="AR86" ca="1">IF($G86=0,"",INDEX(auto_DataFlat_DataValue,$H86+AR$18))</f>
        <v>21</v>
      </c>
      <c r="AS86" s="153" cm="1">
        <f t="array" aca="1" ref="AS86" ca="1">IF($G86=0,"",INDEX(auto_DataFlat_DataValue,$H86+AS$18))</f>
        <v>13.6</v>
      </c>
      <c r="AT86" s="153" cm="1">
        <f t="array" aca="1" ref="AT86" ca="1">IF($G86=0,"",INDEX(auto_DataFlat_DataValue,$H86+AT$18))</f>
        <v>8.3000000000000007</v>
      </c>
      <c r="AU86" s="153" cm="1">
        <f t="array" aca="1" ref="AU86" ca="1">IF($G86=0,"",INDEX(auto_DataFlat_DataValue,$H86+AU$18))</f>
        <v>10.6</v>
      </c>
      <c r="AV86" s="153" cm="1">
        <f t="array" aca="1" ref="AV86" ca="1">IF($G86=0,"",INDEX(auto_DataFlat_DataValue,$H86+AV$18))</f>
        <v>22.5</v>
      </c>
      <c r="AW86" s="153" cm="1">
        <f t="array" aca="1" ref="AW86" ca="1">IF($G86=0,"",INDEX(auto_DataFlat_DataValue,$H86+AW$18))</f>
        <v>20.9</v>
      </c>
      <c r="AX86" s="153" cm="1">
        <f t="array" aca="1" ref="AX86" ca="1">IF($G86=0,"",INDEX(auto_DataFlat_DataValue,$H86+AX$18))</f>
        <v>9</v>
      </c>
      <c r="AY86" s="153" cm="1">
        <f t="array" aca="1" ref="AY86" ca="1">IF($G86=0,"",INDEX(auto_DataFlat_DataValue,$H86+AY$18))</f>
        <v>13.6</v>
      </c>
      <c r="AZ86" s="153" cm="1">
        <f t="array" aca="1" ref="AZ86" ca="1">IF($G86=0,"",INDEX(auto_DataFlat_DataValue,$H86+AZ$18))</f>
        <v>15.5</v>
      </c>
      <c r="BA86" s="153" cm="1">
        <f t="array" aca="1" ref="BA86" ca="1">IF($G86=0,"",INDEX(auto_DataFlat_DataValue,$H86+BA$18))</f>
        <v>7.3</v>
      </c>
      <c r="BB86" s="153" cm="1">
        <f t="array" aca="1" ref="BB86" ca="1">IF($G86=0,"",INDEX(auto_DataFlat_DataValue,$H86+BB$18))</f>
        <v>15.9</v>
      </c>
      <c r="BC86" s="153" cm="1">
        <f t="array" aca="1" ref="BC86" ca="1">IF($G86=0,"",INDEX(auto_DataFlat_DataValue,$H86+BC$18))</f>
        <v>9.5</v>
      </c>
      <c r="BD86" s="153" cm="1">
        <f t="array" aca="1" ref="BD86" ca="1">IF($G86=0,"",INDEX(auto_DataFlat_DataValue,$H86+BD$18))</f>
        <v>8.6</v>
      </c>
      <c r="BE86" s="153" cm="1">
        <f t="array" aca="1" ref="BE86" ca="1">IF($G86=0,"",INDEX(auto_DataFlat_DataValue,$H86+BE$18))</f>
        <v>8.3000000000000007</v>
      </c>
      <c r="BF86" s="153" cm="1">
        <f t="array" aca="1" ref="BF86" ca="1">IF($G86=0,"",INDEX(auto_DataFlat_DataValue,$H86+BF$18))</f>
        <v>9.6</v>
      </c>
      <c r="BG86" s="153" cm="1">
        <f t="array" aca="1" ref="BG86" ca="1">IF($G86=0,"",INDEX(auto_DataFlat_DataValue,$H86+BG$18))</f>
        <v>10.4</v>
      </c>
      <c r="BH86" s="153" cm="1">
        <f t="array" aca="1" ref="BH86" ca="1">IF($G86=0,"",INDEX(auto_DataFlat_DataValue,$H86+BH$18))</f>
        <v>15.9</v>
      </c>
      <c r="BI86" s="153" cm="1">
        <f t="array" aca="1" ref="BI86" ca="1">IF($G86=0,"",INDEX(auto_DataFlat_DataValue,$H86+BI$18))</f>
        <v>24.9</v>
      </c>
    </row>
    <row r="87" spans="1:61" ht="17.05" customHeight="1" x14ac:dyDescent="0.4">
      <c r="A87" t="str">
        <f t="shared" ref="A87:A97" si="4">IF($D$13=1,"",IF(G87=0,"H",""))</f>
        <v/>
      </c>
      <c r="B87" s="42" t="str">
        <f t="shared" ca="1" si="1"/>
        <v/>
      </c>
      <c r="C87" s="100">
        <v>68</v>
      </c>
      <c r="D87" s="49" cm="1">
        <f t="array" aca="1" ref="D87" ca="1">INDEX(OFFSET(auto_ss_data_table,0,1,500,1),C87)</f>
        <v>68</v>
      </c>
      <c r="E87" s="101" cm="1">
        <f t="array" aca="1" ref="E87" ca="1">INDEX(auto_tblSeries,$D87,E$18)</f>
        <v>1</v>
      </c>
      <c r="F87" s="101" t="str" cm="1">
        <f t="array" aca="1" ref="F87" ca="1">INDEX(auto_tblSeries,$D87,F$18)</f>
        <v>#,0.0</v>
      </c>
      <c r="G87" s="101" cm="1">
        <f t="array" aca="1" ref="G87" ca="1">INDEX(auto_tblSeries,$D87,G$18)</f>
        <v>1</v>
      </c>
      <c r="H87" s="101" cm="1">
        <f t="array" aca="1" ref="H87" ca="1">INDEX(sys_DataFlat_LU_Grid,$D87,1)-1</f>
        <v>4020</v>
      </c>
      <c r="I87" s="26"/>
      <c r="J87" s="151" t="str" cm="1">
        <f t="array" aca="1" ref="J87" ca="1">INDEX(auto_Series_NameNumbered,$D87)</f>
        <v>BG04) CVD INCIDENCE</v>
      </c>
      <c r="K87" s="152" t="str" cm="1">
        <f t="array" aca="1" ref="K87" ca="1">IF($G87=0,"",INDEX(auto_tblSeries,$D87,K$18))</f>
        <v>Rate (per 100,000 people)</v>
      </c>
      <c r="L87" s="153" cm="1">
        <f t="array" aca="1" ref="L87" ca="1">IF($G87=0,"",INDEX(auto_DataFlat_DataValue,$H87+L$18))</f>
        <v>363.2</v>
      </c>
      <c r="M87" s="153" cm="1">
        <f t="array" aca="1" ref="M87" ca="1">IF($G87=0,"",INDEX(auto_DataFlat_DataValue,$H87+M$18))</f>
        <v>989.7</v>
      </c>
      <c r="N87" s="153" cm="1">
        <f t="array" aca="1" ref="N87" ca="1">IF($G87=0,"",INDEX(auto_DataFlat_DataValue,$H87+N$18))</f>
        <v>1255.5999999999999</v>
      </c>
      <c r="O87" s="153" cm="1">
        <f t="array" aca="1" ref="O87" ca="1">IF($G87=0,"",INDEX(auto_DataFlat_DataValue,$H87+O$18))</f>
        <v>994</v>
      </c>
      <c r="P87" s="153" cm="1">
        <f t="array" aca="1" ref="P87" ca="1">IF($G87=0,"",INDEX(auto_DataFlat_DataValue,$H87+P$18))</f>
        <v>864.4</v>
      </c>
      <c r="Q87" s="153" cm="1">
        <f t="array" aca="1" ref="Q87" ca="1">IF($G87=0,"",INDEX(auto_DataFlat_DataValue,$H87+Q$18))</f>
        <v>1156.3</v>
      </c>
      <c r="R87" s="153" cm="1">
        <f t="array" aca="1" ref="R87" ca="1">IF($G87=0,"",INDEX(auto_DataFlat_DataValue,$H87+R$18))</f>
        <v>1410.2</v>
      </c>
      <c r="S87" s="153" cm="1">
        <f t="array" aca="1" ref="S87" ca="1">IF($G87=0,"",INDEX(auto_DataFlat_DataValue,$H87+S$18))</f>
        <v>633.29999999999995</v>
      </c>
      <c r="T87" s="153" cm="1">
        <f t="array" aca="1" ref="T87" ca="1">IF($G87=0,"",INDEX(auto_DataFlat_DataValue,$H87+T$18))</f>
        <v>1510.1</v>
      </c>
      <c r="U87" s="153" cm="1">
        <f t="array" aca="1" ref="U87" ca="1">IF($G87=0,"",INDEX(auto_DataFlat_DataValue,$H87+U$18))</f>
        <v>892.2</v>
      </c>
      <c r="V87" s="153" cm="1">
        <f t="array" aca="1" ref="V87" ca="1">IF($G87=0,"",INDEX(auto_DataFlat_DataValue,$H87+V$18))</f>
        <v>735.9</v>
      </c>
      <c r="W87" s="153" cm="1">
        <f t="array" aca="1" ref="W87" ca="1">IF($G87=0,"",INDEX(auto_DataFlat_DataValue,$H87+W$18))</f>
        <v>775.1</v>
      </c>
      <c r="X87" s="153" cm="1">
        <f t="array" aca="1" ref="X87" ca="1">IF($G87=0,"",INDEX(auto_DataFlat_DataValue,$H87+X$18))</f>
        <v>725.4</v>
      </c>
      <c r="Y87" s="153" cm="1">
        <f t="array" aca="1" ref="Y87" ca="1">IF($G87=0,"",INDEX(auto_DataFlat_DataValue,$H87+Y$18))</f>
        <v>963.8</v>
      </c>
      <c r="Z87" s="153" cm="1">
        <f t="array" aca="1" ref="Z87" ca="1">IF($G87=0,"",INDEX(auto_DataFlat_DataValue,$H87+Z$18))</f>
        <v>1427.9</v>
      </c>
      <c r="AA87" s="153" cm="1">
        <f t="array" aca="1" ref="AA87" ca="1">IF($G87=0,"",INDEX(auto_DataFlat_DataValue,$H87+AA$18))</f>
        <v>660.7</v>
      </c>
      <c r="AB87" s="153" cm="1">
        <f t="array" aca="1" ref="AB87" ca="1">IF($G87=0,"",INDEX(auto_DataFlat_DataValue,$H87+AB$18))</f>
        <v>1343.2</v>
      </c>
      <c r="AC87" s="153" cm="1">
        <f t="array" aca="1" ref="AC87" ca="1">IF($G87=0,"",INDEX(auto_DataFlat_DataValue,$H87+AC$18))</f>
        <v>1070.5</v>
      </c>
      <c r="AD87" s="153" cm="1">
        <f t="array" aca="1" ref="AD87" ca="1">IF($G87=0,"",INDEX(auto_DataFlat_DataValue,$H87+AD$18))</f>
        <v>638.6</v>
      </c>
      <c r="AE87" s="153" cm="1">
        <f t="array" aca="1" ref="AE87" ca="1">IF($G87=0,"",INDEX(auto_DataFlat_DataValue,$H87+AE$18))</f>
        <v>680.2</v>
      </c>
      <c r="AF87" s="153" cm="1">
        <f t="array" aca="1" ref="AF87" ca="1">IF($G87=0,"",INDEX(auto_DataFlat_DataValue,$H87+AF$18))</f>
        <v>610.20000000000005</v>
      </c>
      <c r="AG87" s="153" cm="1">
        <f t="array" aca="1" ref="AG87" ca="1">IF($G87=0,"",INDEX(auto_DataFlat_DataValue,$H87+AG$18))</f>
        <v>636.79999999999995</v>
      </c>
      <c r="AH87" s="153" cm="1">
        <f t="array" aca="1" ref="AH87" ca="1">IF($G87=0,"",INDEX(auto_DataFlat_DataValue,$H87+AH$18))</f>
        <v>775.1</v>
      </c>
      <c r="AI87" s="153" cm="1">
        <f t="array" aca="1" ref="AI87" ca="1">IF($G87=0,"",INDEX(auto_DataFlat_DataValue,$H87+AI$18))</f>
        <v>954.1</v>
      </c>
      <c r="AJ87" s="153" cm="1">
        <f t="array" aca="1" ref="AJ87" ca="1">IF($G87=0,"",INDEX(auto_DataFlat_DataValue,$H87+AJ$18))</f>
        <v>384.4</v>
      </c>
      <c r="AK87" s="153" cm="1">
        <f t="array" aca="1" ref="AK87" ca="1">IF($G87=0,"",INDEX(auto_DataFlat_DataValue,$H87+AK$18))</f>
        <v>963.9</v>
      </c>
      <c r="AL87" s="153" cm="1">
        <f t="array" aca="1" ref="AL87" ca="1">IF($G87=0,"",INDEX(auto_DataFlat_DataValue,$H87+AL$18))</f>
        <v>1052.3</v>
      </c>
      <c r="AM87" s="153" cm="1">
        <f t="array" aca="1" ref="AM87" ca="1">IF($G87=0,"",INDEX(auto_DataFlat_DataValue,$H87+AM$18))</f>
        <v>456.3</v>
      </c>
      <c r="AN87" s="153" cm="1">
        <f t="array" aca="1" ref="AN87" ca="1">IF($G87=0,"",INDEX(auto_DataFlat_DataValue,$H87+AN$18))</f>
        <v>934.4</v>
      </c>
      <c r="AO87" s="153" cm="1">
        <f t="array" aca="1" ref="AO87" ca="1">IF($G87=0,"",INDEX(auto_DataFlat_DataValue,$H87+AO$18))</f>
        <v>638.1</v>
      </c>
      <c r="AP87" s="153" cm="1">
        <f t="array" aca="1" ref="AP87" ca="1">IF($G87=0,"",INDEX(auto_DataFlat_DataValue,$H87+AP$18))</f>
        <v>1902.6</v>
      </c>
      <c r="AQ87" s="153" cm="1">
        <f t="array" aca="1" ref="AQ87" ca="1">IF($G87=0,"",INDEX(auto_DataFlat_DataValue,$H87+AQ$18))</f>
        <v>775.1</v>
      </c>
      <c r="AR87" s="153" cm="1">
        <f t="array" aca="1" ref="AR87" ca="1">IF($G87=0,"",INDEX(auto_DataFlat_DataValue,$H87+AR$18))</f>
        <v>429.4</v>
      </c>
      <c r="AS87" s="153" cm="1">
        <f t="array" aca="1" ref="AS87" ca="1">IF($G87=0,"",INDEX(auto_DataFlat_DataValue,$H87+AS$18))</f>
        <v>1255.5999999999999</v>
      </c>
      <c r="AT87" s="153" cm="1">
        <f t="array" aca="1" ref="AT87" ca="1">IF($G87=0,"",INDEX(auto_DataFlat_DataValue,$H87+AT$18))</f>
        <v>1109.8</v>
      </c>
      <c r="AU87" s="153" cm="1">
        <f t="array" aca="1" ref="AU87" ca="1">IF($G87=0,"",INDEX(auto_DataFlat_DataValue,$H87+AU$18))</f>
        <v>1093.0999999999999</v>
      </c>
      <c r="AV87" s="153" cm="1">
        <f t="array" aca="1" ref="AV87" ca="1">IF($G87=0,"",INDEX(auto_DataFlat_DataValue,$H87+AV$18))</f>
        <v>513.6</v>
      </c>
      <c r="AW87" s="153" cm="1">
        <f t="array" aca="1" ref="AW87" ca="1">IF($G87=0,"",INDEX(auto_DataFlat_DataValue,$H87+AW$18))</f>
        <v>733.7</v>
      </c>
      <c r="AX87" s="153" cm="1">
        <f t="array" aca="1" ref="AX87" ca="1">IF($G87=0,"",INDEX(auto_DataFlat_DataValue,$H87+AX$18))</f>
        <v>1377.6</v>
      </c>
      <c r="AY87" s="153" cm="1">
        <f t="array" aca="1" ref="AY87" ca="1">IF($G87=0,"",INDEX(auto_DataFlat_DataValue,$H87+AY$18))</f>
        <v>1255.5999999999999</v>
      </c>
      <c r="AZ87" s="153" cm="1">
        <f t="array" aca="1" ref="AZ87" ca="1">IF($G87=0,"",INDEX(auto_DataFlat_DataValue,$H87+AZ$18))</f>
        <v>612.5</v>
      </c>
      <c r="BA87" s="153" cm="1">
        <f t="array" aca="1" ref="BA87" ca="1">IF($G87=0,"",INDEX(auto_DataFlat_DataValue,$H87+BA$18))</f>
        <v>767.5</v>
      </c>
      <c r="BB87" s="153" cm="1">
        <f t="array" aca="1" ref="BB87" ca="1">IF($G87=0,"",INDEX(auto_DataFlat_DataValue,$H87+BB$18))</f>
        <v>1156.3</v>
      </c>
      <c r="BC87" s="153" cm="1">
        <f t="array" aca="1" ref="BC87" ca="1">IF($G87=0,"",INDEX(auto_DataFlat_DataValue,$H87+BC$18))</f>
        <v>658.5</v>
      </c>
      <c r="BD87" s="153" cm="1">
        <f t="array" aca="1" ref="BD87" ca="1">IF($G87=0,"",INDEX(auto_DataFlat_DataValue,$H87+BD$18))</f>
        <v>934.4</v>
      </c>
      <c r="BE87" s="153" cm="1">
        <f t="array" aca="1" ref="BE87" ca="1">IF($G87=0,"",INDEX(auto_DataFlat_DataValue,$H87+BE$18))</f>
        <v>1109.8</v>
      </c>
      <c r="BF87" s="153" cm="1">
        <f t="array" aca="1" ref="BF87" ca="1">IF($G87=0,"",INDEX(auto_DataFlat_DataValue,$H87+BF$18))</f>
        <v>1218.2</v>
      </c>
      <c r="BG87" s="153" cm="1">
        <f t="array" aca="1" ref="BG87" ca="1">IF($G87=0,"",INDEX(auto_DataFlat_DataValue,$H87+BG$18))</f>
        <v>1343.2</v>
      </c>
      <c r="BH87" s="153" cm="1">
        <f t="array" aca="1" ref="BH87" ca="1">IF($G87=0,"",INDEX(auto_DataFlat_DataValue,$H87+BH$18))</f>
        <v>1156.3</v>
      </c>
      <c r="BI87" s="153" cm="1">
        <f t="array" aca="1" ref="BI87" ca="1">IF($G87=0,"",INDEX(auto_DataFlat_DataValue,$H87+BI$18))</f>
        <v>607.1</v>
      </c>
    </row>
    <row r="88" spans="1:61" ht="17.05" customHeight="1" x14ac:dyDescent="0.4">
      <c r="A88" t="str">
        <f t="shared" si="4"/>
        <v/>
      </c>
      <c r="B88" s="42" t="str">
        <f t="shared" ca="1" si="1"/>
        <v/>
      </c>
      <c r="C88" s="100">
        <v>69</v>
      </c>
      <c r="D88" s="49" cm="1">
        <f t="array" aca="1" ref="D88" ca="1">INDEX(OFFSET(auto_ss_data_table,0,1,500,1),C88)</f>
        <v>69</v>
      </c>
      <c r="E88" s="101" cm="1">
        <f t="array" aca="1" ref="E88" ca="1">INDEX(auto_tblSeries,$D88,E$18)</f>
        <v>1</v>
      </c>
      <c r="F88" s="101" t="str" cm="1">
        <f t="array" aca="1" ref="F88" ca="1">INDEX(auto_tblSeries,$D88,F$18)</f>
        <v>#,0.0</v>
      </c>
      <c r="G88" s="101" cm="1">
        <f t="array" aca="1" ref="G88" ca="1">INDEX(auto_tblSeries,$D88,G$18)</f>
        <v>1</v>
      </c>
      <c r="H88" s="101" cm="1">
        <f t="array" aca="1" ref="H88" ca="1">INDEX(sys_DataFlat_LU_Grid,$D88,1)-1</f>
        <v>4080</v>
      </c>
      <c r="I88" s="26"/>
      <c r="J88" s="151" t="str" cm="1">
        <f t="array" aca="1" ref="J88" ca="1">INDEX(auto_Series_NameNumbered,$D88)</f>
        <v>BG05) CVD PREVALENCE</v>
      </c>
      <c r="K88" s="152" t="str" cm="1">
        <f t="array" aca="1" ref="K88" ca="1">IF($G88=0,"",INDEX(auto_tblSeries,$D88,K$18))</f>
        <v>Rate (per 100,000 people)</v>
      </c>
      <c r="L88" s="153" cm="1">
        <f t="array" aca="1" ref="L88" ca="1">IF($G88=0,"",INDEX(auto_DataFlat_DataValue,$H88+L$18))</f>
        <v>3809.4</v>
      </c>
      <c r="M88" s="153" cm="1">
        <f t="array" aca="1" ref="M88" ca="1">IF($G88=0,"",INDEX(auto_DataFlat_DataValue,$H88+M$18))</f>
        <v>8655.5</v>
      </c>
      <c r="N88" s="153" cm="1">
        <f t="array" aca="1" ref="N88" ca="1">IF($G88=0,"",INDEX(auto_DataFlat_DataValue,$H88+N$18))</f>
        <v>13466.1</v>
      </c>
      <c r="O88" s="153" cm="1">
        <f t="array" aca="1" ref="O88" ca="1">IF($G88=0,"",INDEX(auto_DataFlat_DataValue,$H88+O$18))</f>
        <v>9762.5</v>
      </c>
      <c r="P88" s="153" cm="1">
        <f t="array" aca="1" ref="P88" ca="1">IF($G88=0,"",INDEX(auto_DataFlat_DataValue,$H88+P$18))</f>
        <v>8820.9</v>
      </c>
      <c r="Q88" s="153" cm="1">
        <f t="array" aca="1" ref="Q88" ca="1">IF($G88=0,"",INDEX(auto_DataFlat_DataValue,$H88+Q$18))</f>
        <v>9646.7999999999993</v>
      </c>
      <c r="R88" s="153" cm="1">
        <f t="array" aca="1" ref="R88" ca="1">IF($G88=0,"",INDEX(auto_DataFlat_DataValue,$H88+R$18))</f>
        <v>14563.2</v>
      </c>
      <c r="S88" s="153" cm="1">
        <f t="array" aca="1" ref="S88" ca="1">IF($G88=0,"",INDEX(auto_DataFlat_DataValue,$H88+S$18))</f>
        <v>7201.7</v>
      </c>
      <c r="T88" s="153" cm="1">
        <f t="array" aca="1" ref="T88" ca="1">IF($G88=0,"",INDEX(auto_DataFlat_DataValue,$H88+T$18))</f>
        <v>13636.7</v>
      </c>
      <c r="U88" s="153" cm="1">
        <f t="array" aca="1" ref="U88" ca="1">IF($G88=0,"",INDEX(auto_DataFlat_DataValue,$H88+U$18))</f>
        <v>7082.8</v>
      </c>
      <c r="V88" s="153" cm="1">
        <f t="array" aca="1" ref="V88" ca="1">IF($G88=0,"",INDEX(auto_DataFlat_DataValue,$H88+V$18))</f>
        <v>6697.8</v>
      </c>
      <c r="W88" s="153" cm="1">
        <f t="array" aca="1" ref="W88" ca="1">IF($G88=0,"",INDEX(auto_DataFlat_DataValue,$H88+W$18))</f>
        <v>6411.1</v>
      </c>
      <c r="X88" s="153" cm="1">
        <f t="array" aca="1" ref="X88" ca="1">IF($G88=0,"",INDEX(auto_DataFlat_DataValue,$H88+X$18))</f>
        <v>6415.6</v>
      </c>
      <c r="Y88" s="153" cm="1">
        <f t="array" aca="1" ref="Y88" ca="1">IF($G88=0,"",INDEX(auto_DataFlat_DataValue,$H88+Y$18))</f>
        <v>8124.8</v>
      </c>
      <c r="Z88" s="153" cm="1">
        <f t="array" aca="1" ref="Z88" ca="1">IF($G88=0,"",INDEX(auto_DataFlat_DataValue,$H88+Z$18))</f>
        <v>13632.7</v>
      </c>
      <c r="AA88" s="153" cm="1">
        <f t="array" aca="1" ref="AA88" ca="1">IF($G88=0,"",INDEX(auto_DataFlat_DataValue,$H88+AA$18))</f>
        <v>5432.9</v>
      </c>
      <c r="AB88" s="153" cm="1">
        <f t="array" aca="1" ref="AB88" ca="1">IF($G88=0,"",INDEX(auto_DataFlat_DataValue,$H88+AB$18))</f>
        <v>12195.7</v>
      </c>
      <c r="AC88" s="153" cm="1">
        <f t="array" aca="1" ref="AC88" ca="1">IF($G88=0,"",INDEX(auto_DataFlat_DataValue,$H88+AC$18))</f>
        <v>9854</v>
      </c>
      <c r="AD88" s="153" cm="1">
        <f t="array" aca="1" ref="AD88" ca="1">IF($G88=0,"",INDEX(auto_DataFlat_DataValue,$H88+AD$18))</f>
        <v>5311.3</v>
      </c>
      <c r="AE88" s="153" cm="1">
        <f t="array" aca="1" ref="AE88" ca="1">IF($G88=0,"",INDEX(auto_DataFlat_DataValue,$H88+AE$18))</f>
        <v>6985.5</v>
      </c>
      <c r="AF88" s="153" cm="1">
        <f t="array" aca="1" ref="AF88" ca="1">IF($G88=0,"",INDEX(auto_DataFlat_DataValue,$H88+AF$18))</f>
        <v>4957.3999999999996</v>
      </c>
      <c r="AG88" s="153" cm="1">
        <f t="array" aca="1" ref="AG88" ca="1">IF($G88=0,"",INDEX(auto_DataFlat_DataValue,$H88+AG$18))</f>
        <v>5089.3</v>
      </c>
      <c r="AH88" s="153" cm="1">
        <f t="array" aca="1" ref="AH88" ca="1">IF($G88=0,"",INDEX(auto_DataFlat_DataValue,$H88+AH$18))</f>
        <v>6411.1</v>
      </c>
      <c r="AI88" s="153" cm="1">
        <f t="array" aca="1" ref="AI88" ca="1">IF($G88=0,"",INDEX(auto_DataFlat_DataValue,$H88+AI$18))</f>
        <v>7123.4</v>
      </c>
      <c r="AJ88" s="153" cm="1">
        <f t="array" aca="1" ref="AJ88" ca="1">IF($G88=0,"",INDEX(auto_DataFlat_DataValue,$H88+AJ$18))</f>
        <v>3976.8</v>
      </c>
      <c r="AK88" s="153" cm="1">
        <f t="array" aca="1" ref="AK88" ca="1">IF($G88=0,"",INDEX(auto_DataFlat_DataValue,$H88+AK$18))</f>
        <v>11005.4</v>
      </c>
      <c r="AL88" s="153" cm="1">
        <f t="array" aca="1" ref="AL88" ca="1">IF($G88=0,"",INDEX(auto_DataFlat_DataValue,$H88+AL$18))</f>
        <v>12610.5</v>
      </c>
      <c r="AM88" s="153" cm="1">
        <f t="array" aca="1" ref="AM88" ca="1">IF($G88=0,"",INDEX(auto_DataFlat_DataValue,$H88+AM$18))</f>
        <v>4357.8999999999996</v>
      </c>
      <c r="AN88" s="153" cm="1">
        <f t="array" aca="1" ref="AN88" ca="1">IF($G88=0,"",INDEX(auto_DataFlat_DataValue,$H88+AN$18))</f>
        <v>10986.7</v>
      </c>
      <c r="AO88" s="153" cm="1">
        <f t="array" aca="1" ref="AO88" ca="1">IF($G88=0,"",INDEX(auto_DataFlat_DataValue,$H88+AO$18))</f>
        <v>6598.3</v>
      </c>
      <c r="AP88" s="153" cm="1">
        <f t="array" aca="1" ref="AP88" ca="1">IF($G88=0,"",INDEX(auto_DataFlat_DataValue,$H88+AP$18))</f>
        <v>14126.4</v>
      </c>
      <c r="AQ88" s="153" cm="1">
        <f t="array" aca="1" ref="AQ88" ca="1">IF($G88=0,"",INDEX(auto_DataFlat_DataValue,$H88+AQ$18))</f>
        <v>6411.1</v>
      </c>
      <c r="AR88" s="153" cm="1">
        <f t="array" aca="1" ref="AR88" ca="1">IF($G88=0,"",INDEX(auto_DataFlat_DataValue,$H88+AR$18))</f>
        <v>4345.8999999999996</v>
      </c>
      <c r="AS88" s="153" cm="1">
        <f t="array" aca="1" ref="AS88" ca="1">IF($G88=0,"",INDEX(auto_DataFlat_DataValue,$H88+AS$18))</f>
        <v>13466.1</v>
      </c>
      <c r="AT88" s="153" cm="1">
        <f t="array" aca="1" ref="AT88" ca="1">IF($G88=0,"",INDEX(auto_DataFlat_DataValue,$H88+AT$18))</f>
        <v>12894.4</v>
      </c>
      <c r="AU88" s="153" cm="1">
        <f t="array" aca="1" ref="AU88" ca="1">IF($G88=0,"",INDEX(auto_DataFlat_DataValue,$H88+AU$18))</f>
        <v>17490.3</v>
      </c>
      <c r="AV88" s="153" cm="1">
        <f t="array" aca="1" ref="AV88" ca="1">IF($G88=0,"",INDEX(auto_DataFlat_DataValue,$H88+AV$18))</f>
        <v>4229.3</v>
      </c>
      <c r="AW88" s="153" cm="1">
        <f t="array" aca="1" ref="AW88" ca="1">IF($G88=0,"",INDEX(auto_DataFlat_DataValue,$H88+AW$18))</f>
        <v>5967.9</v>
      </c>
      <c r="AX88" s="153" cm="1">
        <f t="array" aca="1" ref="AX88" ca="1">IF($G88=0,"",INDEX(auto_DataFlat_DataValue,$H88+AX$18))</f>
        <v>15413.4</v>
      </c>
      <c r="AY88" s="153" cm="1">
        <f t="array" aca="1" ref="AY88" ca="1">IF($G88=0,"",INDEX(auto_DataFlat_DataValue,$H88+AY$18))</f>
        <v>13466.1</v>
      </c>
      <c r="AZ88" s="153" cm="1">
        <f t="array" aca="1" ref="AZ88" ca="1">IF($G88=0,"",INDEX(auto_DataFlat_DataValue,$H88+AZ$18))</f>
        <v>7830.5</v>
      </c>
      <c r="BA88" s="153" cm="1">
        <f t="array" aca="1" ref="BA88" ca="1">IF($G88=0,"",INDEX(auto_DataFlat_DataValue,$H88+BA$18))</f>
        <v>8743.2999999999993</v>
      </c>
      <c r="BB88" s="153" cm="1">
        <f t="array" aca="1" ref="BB88" ca="1">IF($G88=0,"",INDEX(auto_DataFlat_DataValue,$H88+BB$18))</f>
        <v>9646.7999999999993</v>
      </c>
      <c r="BC88" s="153" cm="1">
        <f t="array" aca="1" ref="BC88" ca="1">IF($G88=0,"",INDEX(auto_DataFlat_DataValue,$H88+BC$18))</f>
        <v>6999.2</v>
      </c>
      <c r="BD88" s="153" cm="1">
        <f t="array" aca="1" ref="BD88" ca="1">IF($G88=0,"",INDEX(auto_DataFlat_DataValue,$H88+BD$18))</f>
        <v>10986.7</v>
      </c>
      <c r="BE88" s="153" cm="1">
        <f t="array" aca="1" ref="BE88" ca="1">IF($G88=0,"",INDEX(auto_DataFlat_DataValue,$H88+BE$18))</f>
        <v>12894.4</v>
      </c>
      <c r="BF88" s="153" cm="1">
        <f t="array" aca="1" ref="BF88" ca="1">IF($G88=0,"",INDEX(auto_DataFlat_DataValue,$H88+BF$18))</f>
        <v>14008.1</v>
      </c>
      <c r="BG88" s="153" cm="1">
        <f t="array" aca="1" ref="BG88" ca="1">IF($G88=0,"",INDEX(auto_DataFlat_DataValue,$H88+BG$18))</f>
        <v>13387.6</v>
      </c>
      <c r="BH88" s="153" cm="1">
        <f t="array" aca="1" ref="BH88" ca="1">IF($G88=0,"",INDEX(auto_DataFlat_DataValue,$H88+BH$18))</f>
        <v>9646.7999999999993</v>
      </c>
      <c r="BI88" s="153" cm="1">
        <f t="array" aca="1" ref="BI88" ca="1">IF($G88=0,"",INDEX(auto_DataFlat_DataValue,$H88+BI$18))</f>
        <v>5210.3999999999996</v>
      </c>
    </row>
    <row r="89" spans="1:61" ht="17.05" customHeight="1" x14ac:dyDescent="0.4">
      <c r="A89" t="str">
        <f t="shared" si="4"/>
        <v/>
      </c>
      <c r="B89" s="42" t="str">
        <f t="shared" ca="1" si="1"/>
        <v/>
      </c>
      <c r="C89" s="100">
        <v>70</v>
      </c>
      <c r="D89" s="49" cm="1">
        <f t="array" aca="1" ref="D89" ca="1">INDEX(OFFSET(auto_ss_data_table,0,1,500,1),C89)</f>
        <v>70</v>
      </c>
      <c r="E89" s="101" cm="1">
        <f t="array" aca="1" ref="E89" ca="1">INDEX(auto_tblSeries,$D89,E$18)</f>
        <v>1</v>
      </c>
      <c r="F89" s="101" t="str" cm="1">
        <f t="array" aca="1" ref="F89" ca="1">INDEX(auto_tblSeries,$D89,F$18)</f>
        <v>#,0.0</v>
      </c>
      <c r="G89" s="101" cm="1">
        <f t="array" aca="1" ref="G89" ca="1">INDEX(auto_tblSeries,$D89,G$18)</f>
        <v>1</v>
      </c>
      <c r="H89" s="101" cm="1">
        <f t="array" aca="1" ref="H89" ca="1">INDEX(sys_DataFlat_LU_Grid,$D89,1)-1</f>
        <v>4140</v>
      </c>
      <c r="I89" s="26"/>
      <c r="J89" s="151" t="str" cm="1">
        <f t="array" aca="1" ref="J89" ca="1">INDEX(auto_Series_NameNumbered,$D89)</f>
        <v>BG06) YEARS LIVED WITH DISABILITY (YLDS) DUE TO CVD</v>
      </c>
      <c r="K89" s="152" t="str" cm="1">
        <f t="array" aca="1" ref="K89" ca="1">IF($G89=0,"",INDEX(auto_tblSeries,$D89,K$18))</f>
        <v>Rate (per 100,000 people)</v>
      </c>
      <c r="L89" s="153" cm="1">
        <f t="array" aca="1" ref="L89" ca="1">IF($G89=0,"",INDEX(auto_DataFlat_DataValue,$H89+L$18))</f>
        <v>214.5</v>
      </c>
      <c r="M89" s="153" cm="1">
        <f t="array" aca="1" ref="M89" ca="1">IF($G89=0,"",INDEX(auto_DataFlat_DataValue,$H89+M$18))</f>
        <v>365.2</v>
      </c>
      <c r="N89" s="153" cm="1">
        <f t="array" aca="1" ref="N89" ca="1">IF($G89=0,"",INDEX(auto_DataFlat_DataValue,$H89+N$18))</f>
        <v>697.4</v>
      </c>
      <c r="O89" s="153" cm="1">
        <f t="array" aca="1" ref="O89" ca="1">IF($G89=0,"",INDEX(auto_DataFlat_DataValue,$H89+O$18))</f>
        <v>448.1</v>
      </c>
      <c r="P89" s="153" cm="1">
        <f t="array" aca="1" ref="P89" ca="1">IF($G89=0,"",INDEX(auto_DataFlat_DataValue,$H89+P$18))</f>
        <v>585.70000000000005</v>
      </c>
      <c r="Q89" s="153" cm="1">
        <f t="array" aca="1" ref="Q89" ca="1">IF($G89=0,"",INDEX(auto_DataFlat_DataValue,$H89+Q$18))</f>
        <v>589</v>
      </c>
      <c r="R89" s="153" cm="1">
        <f t="array" aca="1" ref="R89" ca="1">IF($G89=0,"",INDEX(auto_DataFlat_DataValue,$H89+R$18))</f>
        <v>827.8</v>
      </c>
      <c r="S89" s="153" cm="1">
        <f t="array" aca="1" ref="S89" ca="1">IF($G89=0,"",INDEX(auto_DataFlat_DataValue,$H89+S$18))</f>
        <v>338.8</v>
      </c>
      <c r="T89" s="153" cm="1">
        <f t="array" aca="1" ref="T89" ca="1">IF($G89=0,"",INDEX(auto_DataFlat_DataValue,$H89+T$18))</f>
        <v>686</v>
      </c>
      <c r="U89" s="153" cm="1">
        <f t="array" aca="1" ref="U89" ca="1">IF($G89=0,"",INDEX(auto_DataFlat_DataValue,$H89+U$18))</f>
        <v>285.5</v>
      </c>
      <c r="V89" s="153" cm="1">
        <f t="array" aca="1" ref="V89" ca="1">IF($G89=0,"",INDEX(auto_DataFlat_DataValue,$H89+V$18))</f>
        <v>411.3</v>
      </c>
      <c r="W89" s="153" cm="1">
        <f t="array" aca="1" ref="W89" ca="1">IF($G89=0,"",INDEX(auto_DataFlat_DataValue,$H89+W$18))</f>
        <v>248.2</v>
      </c>
      <c r="X89" s="153" cm="1">
        <f t="array" aca="1" ref="X89" ca="1">IF($G89=0,"",INDEX(auto_DataFlat_DataValue,$H89+X$18))</f>
        <v>304.60000000000002</v>
      </c>
      <c r="Y89" s="153" cm="1">
        <f t="array" aca="1" ref="Y89" ca="1">IF($G89=0,"",INDEX(auto_DataFlat_DataValue,$H89+Y$18))</f>
        <v>347</v>
      </c>
      <c r="Z89" s="153" cm="1">
        <f t="array" aca="1" ref="Z89" ca="1">IF($G89=0,"",INDEX(auto_DataFlat_DataValue,$H89+Z$18))</f>
        <v>780.1</v>
      </c>
      <c r="AA89" s="153" cm="1">
        <f t="array" aca="1" ref="AA89" ca="1">IF($G89=0,"",INDEX(auto_DataFlat_DataValue,$H89+AA$18))</f>
        <v>384.1</v>
      </c>
      <c r="AB89" s="153" cm="1">
        <f t="array" aca="1" ref="AB89" ca="1">IF($G89=0,"",INDEX(auto_DataFlat_DataValue,$H89+AB$18))</f>
        <v>644.5</v>
      </c>
      <c r="AC89" s="153" cm="1">
        <f t="array" aca="1" ref="AC89" ca="1">IF($G89=0,"",INDEX(auto_DataFlat_DataValue,$H89+AC$18))</f>
        <v>393.1</v>
      </c>
      <c r="AD89" s="153" cm="1">
        <f t="array" aca="1" ref="AD89" ca="1">IF($G89=0,"",INDEX(auto_DataFlat_DataValue,$H89+AD$18))</f>
        <v>396.5</v>
      </c>
      <c r="AE89" s="153" cm="1">
        <f t="array" aca="1" ref="AE89" ca="1">IF($G89=0,"",INDEX(auto_DataFlat_DataValue,$H89+AE$18))</f>
        <v>381.8</v>
      </c>
      <c r="AF89" s="153" cm="1">
        <f t="array" aca="1" ref="AF89" ca="1">IF($G89=0,"",INDEX(auto_DataFlat_DataValue,$H89+AF$18))</f>
        <v>223.2</v>
      </c>
      <c r="AG89" s="153" cm="1">
        <f t="array" aca="1" ref="AG89" ca="1">IF($G89=0,"",INDEX(auto_DataFlat_DataValue,$H89+AG$18))</f>
        <v>212.9</v>
      </c>
      <c r="AH89" s="153" cm="1">
        <f t="array" aca="1" ref="AH89" ca="1">IF($G89=0,"",INDEX(auto_DataFlat_DataValue,$H89+AH$18))</f>
        <v>248.2</v>
      </c>
      <c r="AI89" s="153" cm="1">
        <f t="array" aca="1" ref="AI89" ca="1">IF($G89=0,"",INDEX(auto_DataFlat_DataValue,$H89+AI$18))</f>
        <v>257.5</v>
      </c>
      <c r="AJ89" s="153" cm="1">
        <f t="array" aca="1" ref="AJ89" ca="1">IF($G89=0,"",INDEX(auto_DataFlat_DataValue,$H89+AJ$18))</f>
        <v>229.1</v>
      </c>
      <c r="AK89" s="153" cm="1">
        <f t="array" aca="1" ref="AK89" ca="1">IF($G89=0,"",INDEX(auto_DataFlat_DataValue,$H89+AK$18))</f>
        <v>544.6</v>
      </c>
      <c r="AL89" s="153" cm="1">
        <f t="array" aca="1" ref="AL89" ca="1">IF($G89=0,"",INDEX(auto_DataFlat_DataValue,$H89+AL$18))</f>
        <v>692.1</v>
      </c>
      <c r="AM89" s="153" cm="1">
        <f t="array" aca="1" ref="AM89" ca="1">IF($G89=0,"",INDEX(auto_DataFlat_DataValue,$H89+AM$18))</f>
        <v>301.8</v>
      </c>
      <c r="AN89" s="153" cm="1">
        <f t="array" aca="1" ref="AN89" ca="1">IF($G89=0,"",INDEX(auto_DataFlat_DataValue,$H89+AN$18))</f>
        <v>605.20000000000005</v>
      </c>
      <c r="AO89" s="153" cm="1">
        <f t="array" aca="1" ref="AO89" ca="1">IF($G89=0,"",INDEX(auto_DataFlat_DataValue,$H89+AO$18))</f>
        <v>288.3</v>
      </c>
      <c r="AP89" s="153" cm="1">
        <f t="array" aca="1" ref="AP89" ca="1">IF($G89=0,"",INDEX(auto_DataFlat_DataValue,$H89+AP$18))</f>
        <v>644.6</v>
      </c>
      <c r="AQ89" s="153" cm="1">
        <f t="array" aca="1" ref="AQ89" ca="1">IF($G89=0,"",INDEX(auto_DataFlat_DataValue,$H89+AQ$18))</f>
        <v>248.2</v>
      </c>
      <c r="AR89" s="153" cm="1">
        <f t="array" aca="1" ref="AR89" ca="1">IF($G89=0,"",INDEX(auto_DataFlat_DataValue,$H89+AR$18))</f>
        <v>247.9</v>
      </c>
      <c r="AS89" s="153" cm="1">
        <f t="array" aca="1" ref="AS89" ca="1">IF($G89=0,"",INDEX(auto_DataFlat_DataValue,$H89+AS$18))</f>
        <v>697.4</v>
      </c>
      <c r="AT89" s="153" cm="1">
        <f t="array" aca="1" ref="AT89" ca="1">IF($G89=0,"",INDEX(auto_DataFlat_DataValue,$H89+AT$18))</f>
        <v>830.8</v>
      </c>
      <c r="AU89" s="153" cm="1">
        <f t="array" aca="1" ref="AU89" ca="1">IF($G89=0,"",INDEX(auto_DataFlat_DataValue,$H89+AU$18))</f>
        <v>1060.7</v>
      </c>
      <c r="AV89" s="153" cm="1">
        <f t="array" aca="1" ref="AV89" ca="1">IF($G89=0,"",INDEX(auto_DataFlat_DataValue,$H89+AV$18))</f>
        <v>277.89999999999998</v>
      </c>
      <c r="AW89" s="153" cm="1">
        <f t="array" aca="1" ref="AW89" ca="1">IF($G89=0,"",INDEX(auto_DataFlat_DataValue,$H89+AW$18))</f>
        <v>223.3</v>
      </c>
      <c r="AX89" s="153" cm="1">
        <f t="array" aca="1" ref="AX89" ca="1">IF($G89=0,"",INDEX(auto_DataFlat_DataValue,$H89+AX$18))</f>
        <v>715.9</v>
      </c>
      <c r="AY89" s="153" cm="1">
        <f t="array" aca="1" ref="AY89" ca="1">IF($G89=0,"",INDEX(auto_DataFlat_DataValue,$H89+AY$18))</f>
        <v>697.4</v>
      </c>
      <c r="AZ89" s="153" cm="1">
        <f t="array" aca="1" ref="AZ89" ca="1">IF($G89=0,"",INDEX(auto_DataFlat_DataValue,$H89+AZ$18))</f>
        <v>391.5</v>
      </c>
      <c r="BA89" s="153" cm="1">
        <f t="array" aca="1" ref="BA89" ca="1">IF($G89=0,"",INDEX(auto_DataFlat_DataValue,$H89+BA$18))</f>
        <v>608.6</v>
      </c>
      <c r="BB89" s="153" cm="1">
        <f t="array" aca="1" ref="BB89" ca="1">IF($G89=0,"",INDEX(auto_DataFlat_DataValue,$H89+BB$18))</f>
        <v>589</v>
      </c>
      <c r="BC89" s="153" cm="1">
        <f t="array" aca="1" ref="BC89" ca="1">IF($G89=0,"",INDEX(auto_DataFlat_DataValue,$H89+BC$18))</f>
        <v>417.6</v>
      </c>
      <c r="BD89" s="153" cm="1">
        <f t="array" aca="1" ref="BD89" ca="1">IF($G89=0,"",INDEX(auto_DataFlat_DataValue,$H89+BD$18))</f>
        <v>605.20000000000005</v>
      </c>
      <c r="BE89" s="153" cm="1">
        <f t="array" aca="1" ref="BE89" ca="1">IF($G89=0,"",INDEX(auto_DataFlat_DataValue,$H89+BE$18))</f>
        <v>830.8</v>
      </c>
      <c r="BF89" s="153" cm="1">
        <f t="array" aca="1" ref="BF89" ca="1">IF($G89=0,"",INDEX(auto_DataFlat_DataValue,$H89+BF$18))</f>
        <v>805.3</v>
      </c>
      <c r="BG89" s="153" cm="1">
        <f t="array" aca="1" ref="BG89" ca="1">IF($G89=0,"",INDEX(auto_DataFlat_DataValue,$H89+BG$18))</f>
        <v>810.8</v>
      </c>
      <c r="BH89" s="153" cm="1">
        <f t="array" aca="1" ref="BH89" ca="1">IF($G89=0,"",INDEX(auto_DataFlat_DataValue,$H89+BH$18))</f>
        <v>589</v>
      </c>
      <c r="BI89" s="153" cm="1">
        <f t="array" aca="1" ref="BI89" ca="1">IF($G89=0,"",INDEX(auto_DataFlat_DataValue,$H89+BI$18))</f>
        <v>344.4</v>
      </c>
    </row>
    <row r="90" spans="1:61" ht="17.05" customHeight="1" x14ac:dyDescent="0.4">
      <c r="A90" t="str">
        <f t="shared" si="4"/>
        <v/>
      </c>
      <c r="B90" s="42" t="str">
        <f t="shared" ca="1" si="1"/>
        <v/>
      </c>
      <c r="C90" s="100">
        <v>71</v>
      </c>
      <c r="D90" s="49" cm="1">
        <f t="array" aca="1" ref="D90" ca="1">INDEX(OFFSET(auto_ss_data_table,0,1,500,1),C90)</f>
        <v>71</v>
      </c>
      <c r="E90" s="101" cm="1">
        <f t="array" aca="1" ref="E90" ca="1">INDEX(auto_tblSeries,$D90,E$18)</f>
        <v>1</v>
      </c>
      <c r="F90" s="101" t="str" cm="1">
        <f t="array" aca="1" ref="F90" ca="1">INDEX(auto_tblSeries,$D90,F$18)</f>
        <v>#,0.0</v>
      </c>
      <c r="G90" s="101" cm="1">
        <f t="array" aca="1" ref="G90" ca="1">INDEX(auto_tblSeries,$D90,G$18)</f>
        <v>1</v>
      </c>
      <c r="H90" s="101" cm="1">
        <f t="array" aca="1" ref="H90" ca="1">INDEX(sys_DataFlat_LU_Grid,$D90,1)-1</f>
        <v>4200</v>
      </c>
      <c r="I90" s="26"/>
      <c r="J90" s="151" t="str" cm="1">
        <f t="array" aca="1" ref="J90" ca="1">INDEX(auto_Series_NameNumbered,$D90)</f>
        <v>BG07) YEARS OF LIFE LOST (YLLS) DUE TO CVD</v>
      </c>
      <c r="K90" s="152" t="str" cm="1">
        <f t="array" aca="1" ref="K90" ca="1">IF($G90=0,"",INDEX(auto_tblSeries,$D90,K$18))</f>
        <v>Rate (per 100,000 people)</v>
      </c>
      <c r="L90" s="153" cm="1">
        <f t="array" aca="1" ref="L90" ca="1">IF($G90=0,"",INDEX(auto_DataFlat_DataValue,$H90+L$18))</f>
        <v>1605.7</v>
      </c>
      <c r="M90" s="153" cm="1">
        <f t="array" aca="1" ref="M90" ca="1">IF($G90=0,"",INDEX(auto_DataFlat_DataValue,$H90+M$18))</f>
        <v>4401.1000000000004</v>
      </c>
      <c r="N90" s="153" cm="1">
        <f t="array" aca="1" ref="N90" ca="1">IF($G90=0,"",INDEX(auto_DataFlat_DataValue,$H90+N$18))</f>
        <v>4708.6000000000004</v>
      </c>
      <c r="O90" s="153" cm="1">
        <f t="array" aca="1" ref="O90" ca="1">IF($G90=0,"",INDEX(auto_DataFlat_DataValue,$H90+O$18))</f>
        <v>3408.7</v>
      </c>
      <c r="P90" s="153" cm="1">
        <f t="array" aca="1" ref="P90" ca="1">IF($G90=0,"",INDEX(auto_DataFlat_DataValue,$H90+P$18))</f>
        <v>4291.8999999999996</v>
      </c>
      <c r="Q90" s="153" cm="1">
        <f t="array" aca="1" ref="Q90" ca="1">IF($G90=0,"",INDEX(auto_DataFlat_DataValue,$H90+Q$18))</f>
        <v>6603.1</v>
      </c>
      <c r="R90" s="153" cm="1">
        <f t="array" aca="1" ref="R90" ca="1">IF($G90=0,"",INDEX(auto_DataFlat_DataValue,$H90+R$18))</f>
        <v>5453</v>
      </c>
      <c r="S90" s="153" cm="1">
        <f t="array" aca="1" ref="S90" ca="1">IF($G90=0,"",INDEX(auto_DataFlat_DataValue,$H90+S$18))</f>
        <v>2816.2</v>
      </c>
      <c r="T90" s="153" cm="1">
        <f t="array" aca="1" ref="T90" ca="1">IF($G90=0,"",INDEX(auto_DataFlat_DataValue,$H90+T$18))</f>
        <v>10212</v>
      </c>
      <c r="U90" s="153" cm="1">
        <f t="array" aca="1" ref="U90" ca="1">IF($G90=0,"",INDEX(auto_DataFlat_DataValue,$H90+U$18))</f>
        <v>6749.2</v>
      </c>
      <c r="V90" s="153" cm="1">
        <f t="array" aca="1" ref="V90" ca="1">IF($G90=0,"",INDEX(auto_DataFlat_DataValue,$H90+V$18))</f>
        <v>5178.3</v>
      </c>
      <c r="W90" s="153" cm="1">
        <f t="array" aca="1" ref="W90" ca="1">IF($G90=0,"",INDEX(auto_DataFlat_DataValue,$H90+W$18))</f>
        <v>5061.6000000000004</v>
      </c>
      <c r="X90" s="153" cm="1">
        <f t="array" aca="1" ref="X90" ca="1">IF($G90=0,"",INDEX(auto_DataFlat_DataValue,$H90+X$18))</f>
        <v>5218.5</v>
      </c>
      <c r="Y90" s="153" cm="1">
        <f t="array" aca="1" ref="Y90" ca="1">IF($G90=0,"",INDEX(auto_DataFlat_DataValue,$H90+Y$18))</f>
        <v>2423.6</v>
      </c>
      <c r="Z90" s="153" cm="1">
        <f t="array" aca="1" ref="Z90" ca="1">IF($G90=0,"",INDEX(auto_DataFlat_DataValue,$H90+Z$18))</f>
        <v>5878.7</v>
      </c>
      <c r="AA90" s="153" cm="1">
        <f t="array" aca="1" ref="AA90" ca="1">IF($G90=0,"",INDEX(auto_DataFlat_DataValue,$H90+AA$18))</f>
        <v>5561.9</v>
      </c>
      <c r="AB90" s="153" cm="1">
        <f t="array" aca="1" ref="AB90" ca="1">IF($G90=0,"",INDEX(auto_DataFlat_DataValue,$H90+AB$18))</f>
        <v>2870.7</v>
      </c>
      <c r="AC90" s="153" cm="1">
        <f t="array" aca="1" ref="AC90" ca="1">IF($G90=0,"",INDEX(auto_DataFlat_DataValue,$H90+AC$18))</f>
        <v>4562.8</v>
      </c>
      <c r="AD90" s="153" cm="1">
        <f t="array" aca="1" ref="AD90" ca="1">IF($G90=0,"",INDEX(auto_DataFlat_DataValue,$H90+AD$18))</f>
        <v>6981.7</v>
      </c>
      <c r="AE90" s="153" cm="1">
        <f t="array" aca="1" ref="AE90" ca="1">IF($G90=0,"",INDEX(auto_DataFlat_DataValue,$H90+AE$18))</f>
        <v>3803.5</v>
      </c>
      <c r="AF90" s="153" cm="1">
        <f t="array" aca="1" ref="AF90" ca="1">IF($G90=0,"",INDEX(auto_DataFlat_DataValue,$H90+AF$18))</f>
        <v>4223.7</v>
      </c>
      <c r="AG90" s="153" cm="1">
        <f t="array" aca="1" ref="AG90" ca="1">IF($G90=0,"",INDEX(auto_DataFlat_DataValue,$H90+AG$18))</f>
        <v>4265.7</v>
      </c>
      <c r="AH90" s="153" cm="1">
        <f t="array" aca="1" ref="AH90" ca="1">IF($G90=0,"",INDEX(auto_DataFlat_DataValue,$H90+AH$18))</f>
        <v>5061.6000000000004</v>
      </c>
      <c r="AI90" s="153" cm="1">
        <f t="array" aca="1" ref="AI90" ca="1">IF($G90=0,"",INDEX(auto_DataFlat_DataValue,$H90+AI$18))</f>
        <v>2432.6</v>
      </c>
      <c r="AJ90" s="153" cm="1">
        <f t="array" aca="1" ref="AJ90" ca="1">IF($G90=0,"",INDEX(auto_DataFlat_DataValue,$H90+AJ$18))</f>
        <v>2050.8000000000002</v>
      </c>
      <c r="AK90" s="153" cm="1">
        <f t="array" aca="1" ref="AK90" ca="1">IF($G90=0,"",INDEX(auto_DataFlat_DataValue,$H90+AK$18))</f>
        <v>3868.6</v>
      </c>
      <c r="AL90" s="153" cm="1">
        <f t="array" aca="1" ref="AL90" ca="1">IF($G90=0,"",INDEX(auto_DataFlat_DataValue,$H90+AL$18))</f>
        <v>3757.8</v>
      </c>
      <c r="AM90" s="153" cm="1">
        <f t="array" aca="1" ref="AM90" ca="1">IF($G90=0,"",INDEX(auto_DataFlat_DataValue,$H90+AM$18))</f>
        <v>5184.2</v>
      </c>
      <c r="AN90" s="153" cm="1">
        <f t="array" aca="1" ref="AN90" ca="1">IF($G90=0,"",INDEX(auto_DataFlat_DataValue,$H90+AN$18))</f>
        <v>2796.3</v>
      </c>
      <c r="AO90" s="153" cm="1">
        <f t="array" aca="1" ref="AO90" ca="1">IF($G90=0,"",INDEX(auto_DataFlat_DataValue,$H90+AO$18))</f>
        <v>3003.2</v>
      </c>
      <c r="AP90" s="153" cm="1">
        <f t="array" aca="1" ref="AP90" ca="1">IF($G90=0,"",INDEX(auto_DataFlat_DataValue,$H90+AP$18))</f>
        <v>12627</v>
      </c>
      <c r="AQ90" s="153" cm="1">
        <f t="array" aca="1" ref="AQ90" ca="1">IF($G90=0,"",INDEX(auto_DataFlat_DataValue,$H90+AQ$18))</f>
        <v>5061.6000000000004</v>
      </c>
      <c r="AR90" s="153" cm="1">
        <f t="array" aca="1" ref="AR90" ca="1">IF($G90=0,"",INDEX(auto_DataFlat_DataValue,$H90+AR$18))</f>
        <v>1859.6</v>
      </c>
      <c r="AS90" s="153" cm="1">
        <f t="array" aca="1" ref="AS90" ca="1">IF($G90=0,"",INDEX(auto_DataFlat_DataValue,$H90+AS$18))</f>
        <v>4708.6000000000004</v>
      </c>
      <c r="AT90" s="153" cm="1">
        <f t="array" aca="1" ref="AT90" ca="1">IF($G90=0,"",INDEX(auto_DataFlat_DataValue,$H90+AT$18))</f>
        <v>4002.7</v>
      </c>
      <c r="AU90" s="153" cm="1">
        <f t="array" aca="1" ref="AU90" ca="1">IF($G90=0,"",INDEX(auto_DataFlat_DataValue,$H90+AU$18))</f>
        <v>3176.6</v>
      </c>
      <c r="AV90" s="153" cm="1">
        <f t="array" aca="1" ref="AV90" ca="1">IF($G90=0,"",INDEX(auto_DataFlat_DataValue,$H90+AV$18))</f>
        <v>4670.8999999999996</v>
      </c>
      <c r="AW90" s="153" cm="1">
        <f t="array" aca="1" ref="AW90" ca="1">IF($G90=0,"",INDEX(auto_DataFlat_DataValue,$H90+AW$18))</f>
        <v>4685.3999999999996</v>
      </c>
      <c r="AX90" s="153" cm="1">
        <f t="array" aca="1" ref="AX90" ca="1">IF($G90=0,"",INDEX(auto_DataFlat_DataValue,$H90+AX$18))</f>
        <v>4773.6000000000004</v>
      </c>
      <c r="AY90" s="153" cm="1">
        <f t="array" aca="1" ref="AY90" ca="1">IF($G90=0,"",INDEX(auto_DataFlat_DataValue,$H90+AY$18))</f>
        <v>4708.6000000000004</v>
      </c>
      <c r="AZ90" s="153" cm="1">
        <f t="array" aca="1" ref="AZ90" ca="1">IF($G90=0,"",INDEX(auto_DataFlat_DataValue,$H90+AZ$18))</f>
        <v>3822.8</v>
      </c>
      <c r="BA90" s="153" cm="1">
        <f t="array" aca="1" ref="BA90" ca="1">IF($G90=0,"",INDEX(auto_DataFlat_DataValue,$H90+BA$18))</f>
        <v>2500.5</v>
      </c>
      <c r="BB90" s="153" cm="1">
        <f t="array" aca="1" ref="BB90" ca="1">IF($G90=0,"",INDEX(auto_DataFlat_DataValue,$H90+BB$18))</f>
        <v>6603.1</v>
      </c>
      <c r="BC90" s="153" cm="1">
        <f t="array" aca="1" ref="BC90" ca="1">IF($G90=0,"",INDEX(auto_DataFlat_DataValue,$H90+BC$18))</f>
        <v>2353.3000000000002</v>
      </c>
      <c r="BD90" s="153" cm="1">
        <f t="array" aca="1" ref="BD90" ca="1">IF($G90=0,"",INDEX(auto_DataFlat_DataValue,$H90+BD$18))</f>
        <v>2796.3</v>
      </c>
      <c r="BE90" s="153" cm="1">
        <f t="array" aca="1" ref="BE90" ca="1">IF($G90=0,"",INDEX(auto_DataFlat_DataValue,$H90+BE$18))</f>
        <v>4002.7</v>
      </c>
      <c r="BF90" s="153" cm="1">
        <f t="array" aca="1" ref="BF90" ca="1">IF($G90=0,"",INDEX(auto_DataFlat_DataValue,$H90+BF$18))</f>
        <v>3334.7</v>
      </c>
      <c r="BG90" s="153" cm="1">
        <f t="array" aca="1" ref="BG90" ca="1">IF($G90=0,"",INDEX(auto_DataFlat_DataValue,$H90+BG$18))</f>
        <v>4683.3</v>
      </c>
      <c r="BH90" s="153" cm="1">
        <f t="array" aca="1" ref="BH90" ca="1">IF($G90=0,"",INDEX(auto_DataFlat_DataValue,$H90+BH$18))</f>
        <v>6603.1</v>
      </c>
      <c r="BI90" s="153" cm="1">
        <f t="array" aca="1" ref="BI90" ca="1">IF($G90=0,"",INDEX(auto_DataFlat_DataValue,$H90+BI$18))</f>
        <v>6432.4</v>
      </c>
    </row>
    <row r="91" spans="1:61" ht="17.05" customHeight="1" x14ac:dyDescent="0.4">
      <c r="A91" t="str">
        <f t="shared" si="4"/>
        <v/>
      </c>
      <c r="B91" s="42" t="str">
        <f t="shared" ca="1" si="1"/>
        <v/>
      </c>
      <c r="C91" s="100">
        <v>72</v>
      </c>
      <c r="D91" s="49" cm="1">
        <f t="array" aca="1" ref="D91" ca="1">INDEX(OFFSET(auto_ss_data_table,0,1,500,1),C91)</f>
        <v>72</v>
      </c>
      <c r="E91" s="101" cm="1">
        <f t="array" aca="1" ref="E91" ca="1">INDEX(auto_tblSeries,$D91,E$18)</f>
        <v>1</v>
      </c>
      <c r="F91" s="101" t="str" cm="1">
        <f t="array" aca="1" ref="F91" ca="1">INDEX(auto_tblSeries,$D91,F$18)</f>
        <v>#,0.0</v>
      </c>
      <c r="G91" s="101" cm="1">
        <f t="array" aca="1" ref="G91" ca="1">INDEX(auto_tblSeries,$D91,G$18)</f>
        <v>1</v>
      </c>
      <c r="H91" s="101" cm="1">
        <f t="array" aca="1" ref="H91" ca="1">INDEX(sys_DataFlat_LU_Grid,$D91,1)-1</f>
        <v>4260</v>
      </c>
      <c r="I91" s="26"/>
      <c r="J91" s="151" t="str" cm="1">
        <f t="array" aca="1" ref="J91" ca="1">INDEX(auto_Series_NameNumbered,$D91)</f>
        <v>BG08) LIFE EXPECTANCY AT BIRTH</v>
      </c>
      <c r="K91" s="152" t="str" cm="1">
        <f t="array" aca="1" ref="K91" ca="1">IF($G91=0,"",INDEX(auto_tblSeries,$D91,K$18))</f>
        <v>Years</v>
      </c>
      <c r="L91" s="153" cm="1">
        <f t="array" aca="1" ref="L91" ca="1">IF($G91=0,"",INDEX(auto_DataFlat_DataValue,$H91+L$18))</f>
        <v>68.7</v>
      </c>
      <c r="M91" s="153" cm="1">
        <f t="array" aca="1" ref="M91" ca="1">IF($G91=0,"",INDEX(auto_DataFlat_DataValue,$H91+M$18))</f>
        <v>77.099999999999994</v>
      </c>
      <c r="N91" s="153" cm="1">
        <f t="array" aca="1" ref="N91" ca="1">IF($G91=0,"",INDEX(auto_DataFlat_DataValue,$H91+N$18))</f>
        <v>78.5</v>
      </c>
      <c r="O91" s="153" cm="1">
        <f t="array" aca="1" ref="O91" ca="1">IF($G91=0,"",INDEX(auto_DataFlat_DataValue,$H91+O$18))</f>
        <v>82</v>
      </c>
      <c r="P91" s="153" cm="1">
        <f t="array" aca="1" ref="P91" ca="1">IF($G91=0,"",INDEX(auto_DataFlat_DataValue,$H91+P$18))</f>
        <v>77.7</v>
      </c>
      <c r="Q91" s="153" cm="1">
        <f t="array" aca="1" ref="Q91" ca="1">IF($G91=0,"",INDEX(auto_DataFlat_DataValue,$H91+Q$18))</f>
        <v>77.400000000000006</v>
      </c>
      <c r="R91" s="153" cm="1">
        <f t="array" aca="1" ref="R91" ca="1">IF($G91=0,"",INDEX(auto_DataFlat_DataValue,$H91+R$18))</f>
        <v>81.7</v>
      </c>
      <c r="S91" s="153" cm="1">
        <f t="array" aca="1" ref="S91" ca="1">IF($G91=0,"",INDEX(auto_DataFlat_DataValue,$H91+S$18))</f>
        <v>79.3</v>
      </c>
      <c r="T91" s="153" cm="1">
        <f t="array" aca="1" ref="T91" ca="1">IF($G91=0,"",INDEX(auto_DataFlat_DataValue,$H91+T$18))</f>
        <v>76.400000000000006</v>
      </c>
      <c r="U91" s="153" cm="1">
        <f t="array" aca="1" ref="U91" ca="1">IF($G91=0,"",INDEX(auto_DataFlat_DataValue,$H91+U$18))</f>
        <v>71.8</v>
      </c>
      <c r="V91" s="153" cm="1">
        <f t="array" aca="1" ref="V91" ca="1">IF($G91=0,"",INDEX(auto_DataFlat_DataValue,$H91+V$18))</f>
        <v>76.900000000000006</v>
      </c>
      <c r="W91" s="153" cm="1">
        <f t="array" aca="1" ref="W91" ca="1">IF($G91=0,"",INDEX(auto_DataFlat_DataValue,$H91+W$18))</f>
        <v>70.8</v>
      </c>
      <c r="X91" s="153" cm="1">
        <f t="array" aca="1" ref="X91" ca="1">IF($G91=0,"",INDEX(auto_DataFlat_DataValue,$H91+X$18))</f>
        <v>74.3</v>
      </c>
      <c r="Y91" s="153" cm="1">
        <f t="array" aca="1" ref="Y91" ca="1">IF($G91=0,"",INDEX(auto_DataFlat_DataValue,$H91+Y$18))</f>
        <v>76.099999999999994</v>
      </c>
      <c r="Z91" s="153" cm="1">
        <f t="array" aca="1" ref="Z91" ca="1">IF($G91=0,"",INDEX(auto_DataFlat_DataValue,$H91+Z$18))</f>
        <v>81.599999999999994</v>
      </c>
      <c r="AA91" s="153" cm="1">
        <f t="array" aca="1" ref="AA91" ca="1">IF($G91=0,"",INDEX(auto_DataFlat_DataValue,$H91+AA$18))</f>
        <v>73.7</v>
      </c>
      <c r="AB91" s="153" t="str" cm="1">
        <f t="array" aca="1" ref="AB91" ca="1">IF($G91=0,"",INDEX(auto_DataFlat_DataValue,$H91+AB$18))</f>
        <v>n/a</v>
      </c>
      <c r="AC91" s="153" cm="1">
        <f t="array" aca="1" ref="AC91" ca="1">IF($G91=0,"",INDEX(auto_DataFlat_DataValue,$H91+AC$18))</f>
        <v>78.599999999999994</v>
      </c>
      <c r="AD91" s="153" cm="1">
        <f t="array" aca="1" ref="AD91" ca="1">IF($G91=0,"",INDEX(auto_DataFlat_DataValue,$H91+AD$18))</f>
        <v>71.3</v>
      </c>
      <c r="AE91" s="153" cm="1">
        <f t="array" aca="1" ref="AE91" ca="1">IF($G91=0,"",INDEX(auto_DataFlat_DataValue,$H91+AE$18))</f>
        <v>65.3</v>
      </c>
      <c r="AF91" s="153" cm="1">
        <f t="array" aca="1" ref="AF91" ca="1">IF($G91=0,"",INDEX(auto_DataFlat_DataValue,$H91+AF$18))</f>
        <v>65.599999999999994</v>
      </c>
      <c r="AG91" s="153" cm="1">
        <f t="array" aca="1" ref="AG91" ca="1">IF($G91=0,"",INDEX(auto_DataFlat_DataValue,$H91+AG$18))</f>
        <v>70.900000000000006</v>
      </c>
      <c r="AH91" s="153" cm="1">
        <f t="array" aca="1" ref="AH91" ca="1">IF($G91=0,"",INDEX(auto_DataFlat_DataValue,$H91+AH$18))</f>
        <v>70.8</v>
      </c>
      <c r="AI91" s="153" cm="1">
        <f t="array" aca="1" ref="AI91" ca="1">IF($G91=0,"",INDEX(auto_DataFlat_DataValue,$H91+AI$18))</f>
        <v>81</v>
      </c>
      <c r="AJ91" s="153" cm="1">
        <f t="array" aca="1" ref="AJ91" ca="1">IF($G91=0,"",INDEX(auto_DataFlat_DataValue,$H91+AJ$18))</f>
        <v>62.6</v>
      </c>
      <c r="AK91" s="153" cm="1">
        <f t="array" aca="1" ref="AK91" ca="1">IF($G91=0,"",INDEX(auto_DataFlat_DataValue,$H91+AK$18))</f>
        <v>81.400000000000006</v>
      </c>
      <c r="AL91" s="153" cm="1">
        <f t="array" aca="1" ref="AL91" ca="1">IF($G91=0,"",INDEX(auto_DataFlat_DataValue,$H91+AL$18))</f>
        <v>83.2</v>
      </c>
      <c r="AM91" s="153" cm="1">
        <f t="array" aca="1" ref="AM91" ca="1">IF($G91=0,"",INDEX(auto_DataFlat_DataValue,$H91+AM$18))</f>
        <v>70.400000000000006</v>
      </c>
      <c r="AN91" s="153" cm="1">
        <f t="array" aca="1" ref="AN91" ca="1">IF($G91=0,"",INDEX(auto_DataFlat_DataValue,$H91+AN$18))</f>
        <v>83</v>
      </c>
      <c r="AO91" s="153" cm="1">
        <f t="array" aca="1" ref="AO91" ca="1">IF($G91=0,"",INDEX(auto_DataFlat_DataValue,$H91+AO$18))</f>
        <v>76</v>
      </c>
      <c r="AP91" s="153" cm="1">
        <f t="array" aca="1" ref="AP91" ca="1">IF($G91=0,"",INDEX(auto_DataFlat_DataValue,$H91+AP$18))</f>
        <v>73.2</v>
      </c>
      <c r="AQ91" s="153" cm="1">
        <f t="array" aca="1" ref="AQ91" ca="1">IF($G91=0,"",INDEX(auto_DataFlat_DataValue,$H91+AQ$18))</f>
        <v>70.8</v>
      </c>
      <c r="AR91" s="153" cm="1">
        <f t="array" aca="1" ref="AR91" ca="1">IF($G91=0,"",INDEX(auto_DataFlat_DataValue,$H91+AR$18))</f>
        <v>66.099999999999994</v>
      </c>
      <c r="AS91" s="153" cm="1">
        <f t="array" aca="1" ref="AS91" ca="1">IF($G91=0,"",INDEX(auto_DataFlat_DataValue,$H91+AS$18))</f>
        <v>78.5</v>
      </c>
      <c r="AT91" s="153" cm="1">
        <f t="array" aca="1" ref="AT91" ca="1">IF($G91=0,"",INDEX(auto_DataFlat_DataValue,$H91+AT$18))</f>
        <v>84.3</v>
      </c>
      <c r="AU91" s="153" cm="1">
        <f t="array" aca="1" ref="AU91" ca="1">IF($G91=0,"",INDEX(auto_DataFlat_DataValue,$H91+AU$18))</f>
        <v>82.5</v>
      </c>
      <c r="AV91" s="153" cm="1">
        <f t="array" aca="1" ref="AV91" ca="1">IF($G91=0,"",INDEX(auto_DataFlat_DataValue,$H91+AV$18))</f>
        <v>70.099999999999994</v>
      </c>
      <c r="AW91" s="153" cm="1">
        <f t="array" aca="1" ref="AW91" ca="1">IF($G91=0,"",INDEX(auto_DataFlat_DataValue,$H91+AW$18))</f>
        <v>74.3</v>
      </c>
      <c r="AX91" s="153" cm="1">
        <f t="array" aca="1" ref="AX91" ca="1">IF($G91=0,"",INDEX(auto_DataFlat_DataValue,$H91+AX$18))</f>
        <v>83</v>
      </c>
      <c r="AY91" s="153" cm="1">
        <f t="array" aca="1" ref="AY91" ca="1">IF($G91=0,"",INDEX(auto_DataFlat_DataValue,$H91+AY$18))</f>
        <v>78.5</v>
      </c>
      <c r="AZ91" s="153" cm="1">
        <f t="array" aca="1" ref="AZ91" ca="1">IF($G91=0,"",INDEX(auto_DataFlat_DataValue,$H91+AZ$18))</f>
        <v>75.900000000000006</v>
      </c>
      <c r="BA91" s="153" cm="1">
        <f t="array" aca="1" ref="BA91" ca="1">IF($G91=0,"",INDEX(auto_DataFlat_DataValue,$H91+BA$18))</f>
        <v>83.3</v>
      </c>
      <c r="BB91" s="153" cm="1">
        <f t="array" aca="1" ref="BB91" ca="1">IF($G91=0,"",INDEX(auto_DataFlat_DataValue,$H91+BB$18))</f>
        <v>77.400000000000006</v>
      </c>
      <c r="BC91" s="153" cm="1">
        <f t="array" aca="1" ref="BC91" ca="1">IF($G91=0,"",INDEX(auto_DataFlat_DataValue,$H91+BC$18))</f>
        <v>83.2</v>
      </c>
      <c r="BD91" s="153" cm="1">
        <f t="array" aca="1" ref="BD91" ca="1">IF($G91=0,"",INDEX(auto_DataFlat_DataValue,$H91+BD$18))</f>
        <v>83</v>
      </c>
      <c r="BE91" s="153" cm="1">
        <f t="array" aca="1" ref="BE91" ca="1">IF($G91=0,"",INDEX(auto_DataFlat_DataValue,$H91+BE$18))</f>
        <v>84.3</v>
      </c>
      <c r="BF91" s="153" cm="1">
        <f t="array" aca="1" ref="BF91" ca="1">IF($G91=0,"",INDEX(auto_DataFlat_DataValue,$H91+BF$18))</f>
        <v>82.2</v>
      </c>
      <c r="BG91" s="153" cm="1">
        <f t="array" aca="1" ref="BG91" ca="1">IF($G91=0,"",INDEX(auto_DataFlat_DataValue,$H91+BG$18))</f>
        <v>81.7</v>
      </c>
      <c r="BH91" s="153" cm="1">
        <f t="array" aca="1" ref="BH91" ca="1">IF($G91=0,"",INDEX(auto_DataFlat_DataValue,$H91+BH$18))</f>
        <v>77.400000000000006</v>
      </c>
      <c r="BI91" s="153" cm="1">
        <f t="array" aca="1" ref="BI91" ca="1">IF($G91=0,"",INDEX(auto_DataFlat_DataValue,$H91+BI$18))</f>
        <v>69.099999999999994</v>
      </c>
    </row>
    <row r="92" spans="1:61" ht="17.05" customHeight="1" x14ac:dyDescent="0.4">
      <c r="A92" t="str">
        <f t="shared" si="4"/>
        <v/>
      </c>
      <c r="B92" s="42" t="str">
        <f t="shared" ca="1" si="1"/>
        <v/>
      </c>
      <c r="C92" s="100">
        <v>73</v>
      </c>
      <c r="D92" s="49" cm="1">
        <f t="array" aca="1" ref="D92" ca="1">INDEX(OFFSET(auto_ss_data_table,0,1,500,1),C92)</f>
        <v>73</v>
      </c>
      <c r="E92" s="101" cm="1">
        <f t="array" aca="1" ref="E92" ca="1">INDEX(auto_tblSeries,$D92,E$18)</f>
        <v>1</v>
      </c>
      <c r="F92" s="101" t="str" cm="1">
        <f t="array" aca="1" ref="F92" ca="1">INDEX(auto_tblSeries,$D92,F$18)</f>
        <v>#,0.0</v>
      </c>
      <c r="G92" s="101" cm="1">
        <f t="array" aca="1" ref="G92" ca="1">INDEX(auto_tblSeries,$D92,G$18)</f>
        <v>1</v>
      </c>
      <c r="H92" s="101" cm="1">
        <f t="array" aca="1" ref="H92" ca="1">INDEX(sys_DataFlat_LU_Grid,$D92,1)-1</f>
        <v>4320</v>
      </c>
      <c r="I92" s="26"/>
      <c r="J92" s="151" t="str" cm="1">
        <f t="array" aca="1" ref="J92" ca="1">INDEX(auto_Series_NameNumbered,$D92)</f>
        <v>BG09) HEALTHY LIFE EXPECTANCY AT BIRTH</v>
      </c>
      <c r="K92" s="152" t="str" cm="1">
        <f t="array" aca="1" ref="K92" ca="1">IF($G92=0,"",INDEX(auto_tblSeries,$D92,K$18))</f>
        <v>Years</v>
      </c>
      <c r="L92" s="153" cm="1">
        <f t="array" aca="1" ref="L92" ca="1">IF($G92=0,"",INDEX(auto_DataFlat_DataValue,$H92+L$18))</f>
        <v>59.9</v>
      </c>
      <c r="M92" s="153" cm="1">
        <f t="array" aca="1" ref="M92" ca="1">IF($G92=0,"",INDEX(auto_DataFlat_DataValue,$H92+M$18))</f>
        <v>66.400000000000006</v>
      </c>
      <c r="N92" s="153" cm="1">
        <f t="array" aca="1" ref="N92" ca="1">IF($G92=0,"",INDEX(auto_DataFlat_DataValue,$H92+N$18))</f>
        <v>66.099999999999994</v>
      </c>
      <c r="O92" s="153" cm="1">
        <f t="array" aca="1" ref="O92" ca="1">IF($G92=0,"",INDEX(auto_DataFlat_DataValue,$H92+O$18))</f>
        <v>70.2</v>
      </c>
      <c r="P92" s="153" cm="1">
        <f t="array" aca="1" ref="P92" ca="1">IF($G92=0,"",INDEX(auto_DataFlat_DataValue,$H92+P$18))</f>
        <v>68.3</v>
      </c>
      <c r="Q92" s="153" cm="1">
        <f t="array" aca="1" ref="Q92" ca="1">IF($G92=0,"",INDEX(auto_DataFlat_DataValue,$H92+Q$18))</f>
        <v>68.5</v>
      </c>
      <c r="R92" s="153" cm="1">
        <f t="array" aca="1" ref="R92" ca="1">IF($G92=0,"",INDEX(auto_DataFlat_DataValue,$H92+R$18))</f>
        <v>70.900000000000006</v>
      </c>
      <c r="S92" s="153" cm="1">
        <f t="array" aca="1" ref="S92" ca="1">IF($G92=0,"",INDEX(auto_DataFlat_DataValue,$H92+S$18))</f>
        <v>69</v>
      </c>
      <c r="T92" s="153" cm="1">
        <f t="array" aca="1" ref="T92" ca="1">IF($G92=0,"",INDEX(auto_DataFlat_DataValue,$H92+T$18))</f>
        <v>67.2</v>
      </c>
      <c r="U92" s="153" cm="1">
        <f t="array" aca="1" ref="U92" ca="1">IF($G92=0,"",INDEX(auto_DataFlat_DataValue,$H92+U$18))</f>
        <v>63</v>
      </c>
      <c r="V92" s="153" cm="1">
        <f t="array" aca="1" ref="V92" ca="1">IF($G92=0,"",INDEX(auto_DataFlat_DataValue,$H92+V$18))</f>
        <v>67.099999999999994</v>
      </c>
      <c r="W92" s="153" cm="1">
        <f t="array" aca="1" ref="W92" ca="1">IF($G92=0,"",INDEX(auto_DataFlat_DataValue,$H92+W$18))</f>
        <v>60.3</v>
      </c>
      <c r="X92" s="153" cm="1">
        <f t="array" aca="1" ref="X92" ca="1">IF($G92=0,"",INDEX(auto_DataFlat_DataValue,$H92+X$18))</f>
        <v>64.3</v>
      </c>
      <c r="Y92" s="153" cm="1">
        <f t="array" aca="1" ref="Y92" ca="1">IF($G92=0,"",INDEX(auto_DataFlat_DataValue,$H92+Y$18))</f>
        <v>66</v>
      </c>
      <c r="Z92" s="153" cm="1">
        <f t="array" aca="1" ref="Z92" ca="1">IF($G92=0,"",INDEX(auto_DataFlat_DataValue,$H92+Z$18))</f>
        <v>71</v>
      </c>
      <c r="AA92" s="153" cm="1">
        <f t="array" aca="1" ref="AA92" ca="1">IF($G92=0,"",INDEX(auto_DataFlat_DataValue,$H92+AA$18))</f>
        <v>65.3</v>
      </c>
      <c r="AB92" s="153" t="str" cm="1">
        <f t="array" aca="1" ref="AB92" ca="1">IF($G92=0,"",INDEX(auto_DataFlat_DataValue,$H92+AB$18))</f>
        <v>n/a</v>
      </c>
      <c r="AC92" s="153" cm="1">
        <f t="array" aca="1" ref="AC92" ca="1">IF($G92=0,"",INDEX(auto_DataFlat_DataValue,$H92+AC$18))</f>
        <v>68.400000000000006</v>
      </c>
      <c r="AD92" s="153" cm="1">
        <f t="array" aca="1" ref="AD92" ca="1">IF($G92=0,"",INDEX(auto_DataFlat_DataValue,$H92+AD$18))</f>
        <v>62.8</v>
      </c>
      <c r="AE92" s="153" cm="1">
        <f t="array" aca="1" ref="AE92" ca="1">IF($G92=0,"",INDEX(auto_DataFlat_DataValue,$H92+AE$18))</f>
        <v>56.2</v>
      </c>
      <c r="AF92" s="153" cm="1">
        <f t="array" aca="1" ref="AF92" ca="1">IF($G92=0,"",INDEX(auto_DataFlat_DataValue,$H92+AF$18))</f>
        <v>56.9</v>
      </c>
      <c r="AG92" s="153" cm="1">
        <f t="array" aca="1" ref="AG92" ca="1">IF($G92=0,"",INDEX(auto_DataFlat_DataValue,$H92+AG$18))</f>
        <v>61.3</v>
      </c>
      <c r="AH92" s="153" cm="1">
        <f t="array" aca="1" ref="AH92" ca="1">IF($G92=0,"",INDEX(auto_DataFlat_DataValue,$H92+AH$18))</f>
        <v>60.3</v>
      </c>
      <c r="AI92" s="153" cm="1">
        <f t="array" aca="1" ref="AI92" ca="1">IF($G92=0,"",INDEX(auto_DataFlat_DataValue,$H92+AI$18))</f>
        <v>70.099999999999994</v>
      </c>
      <c r="AJ92" s="153" cm="1">
        <f t="array" aca="1" ref="AJ92" ca="1">IF($G92=0,"",INDEX(auto_DataFlat_DataValue,$H92+AJ$18))</f>
        <v>54.4</v>
      </c>
      <c r="AK92" s="153" cm="1">
        <f t="array" aca="1" ref="AK92" ca="1">IF($G92=0,"",INDEX(auto_DataFlat_DataValue,$H92+AK$18))</f>
        <v>70.099999999999994</v>
      </c>
      <c r="AL92" s="153" cm="1">
        <f t="array" aca="1" ref="AL92" ca="1">IF($G92=0,"",INDEX(auto_DataFlat_DataValue,$H92+AL$18))</f>
        <v>72.099999999999994</v>
      </c>
      <c r="AM92" s="153" cm="1">
        <f t="array" aca="1" ref="AM92" ca="1">IF($G92=0,"",INDEX(auto_DataFlat_DataValue,$H92+AM$18))</f>
        <v>62</v>
      </c>
      <c r="AN92" s="153" cm="1">
        <f t="array" aca="1" ref="AN92" ca="1">IF($G92=0,"",INDEX(auto_DataFlat_DataValue,$H92+AN$18))</f>
        <v>70.900000000000006</v>
      </c>
      <c r="AO92" s="153" cm="1">
        <f t="array" aca="1" ref="AO92" ca="1">IF($G92=0,"",INDEX(auto_DataFlat_DataValue,$H92+AO$18))</f>
        <v>65.8</v>
      </c>
      <c r="AP92" s="153" cm="1">
        <f t="array" aca="1" ref="AP92" ca="1">IF($G92=0,"",INDEX(auto_DataFlat_DataValue,$H92+AP$18))</f>
        <v>64.2</v>
      </c>
      <c r="AQ92" s="153" cm="1">
        <f t="array" aca="1" ref="AQ92" ca="1">IF($G92=0,"",INDEX(auto_DataFlat_DataValue,$H92+AQ$18))</f>
        <v>60.3</v>
      </c>
      <c r="AR92" s="153" cm="1">
        <f t="array" aca="1" ref="AR92" ca="1">IF($G92=0,"",INDEX(auto_DataFlat_DataValue,$H92+AR$18))</f>
        <v>57.7</v>
      </c>
      <c r="AS92" s="153" cm="1">
        <f t="array" aca="1" ref="AS92" ca="1">IF($G92=0,"",INDEX(auto_DataFlat_DataValue,$H92+AS$18))</f>
        <v>66.099999999999994</v>
      </c>
      <c r="AT92" s="153" cm="1">
        <f t="array" aca="1" ref="AT92" ca="1">IF($G92=0,"",INDEX(auto_DataFlat_DataValue,$H92+AT$18))</f>
        <v>74.099999999999994</v>
      </c>
      <c r="AU92" s="153" cm="1">
        <f t="array" aca="1" ref="AU92" ca="1">IF($G92=0,"",INDEX(auto_DataFlat_DataValue,$H92+AU$18))</f>
        <v>72.099999999999994</v>
      </c>
      <c r="AV92" s="153" cm="1">
        <f t="array" aca="1" ref="AV92" ca="1">IF($G92=0,"",INDEX(auto_DataFlat_DataValue,$H92+AV$18))</f>
        <v>61.5</v>
      </c>
      <c r="AW92" s="153" cm="1">
        <f t="array" aca="1" ref="AW92" ca="1">IF($G92=0,"",INDEX(auto_DataFlat_DataValue,$H92+AW$18))</f>
        <v>64</v>
      </c>
      <c r="AX92" s="153" cm="1">
        <f t="array" aca="1" ref="AX92" ca="1">IF($G92=0,"",INDEX(auto_DataFlat_DataValue,$H92+AX$18))</f>
        <v>71.900000000000006</v>
      </c>
      <c r="AY92" s="153" cm="1">
        <f t="array" aca="1" ref="AY92" ca="1">IF($G92=0,"",INDEX(auto_DataFlat_DataValue,$H92+AY$18))</f>
        <v>66.099999999999994</v>
      </c>
      <c r="AZ92" s="153" cm="1">
        <f t="array" aca="1" ref="AZ92" ca="1">IF($G92=0,"",INDEX(auto_DataFlat_DataValue,$H92+AZ$18))</f>
        <v>65.400000000000006</v>
      </c>
      <c r="BA92" s="153" cm="1">
        <f t="array" aca="1" ref="BA92" ca="1">IF($G92=0,"",INDEX(auto_DataFlat_DataValue,$H92+BA$18))</f>
        <v>73.099999999999994</v>
      </c>
      <c r="BB92" s="153" cm="1">
        <f t="array" aca="1" ref="BB92" ca="1">IF($G92=0,"",INDEX(auto_DataFlat_DataValue,$H92+BB$18))</f>
        <v>68.5</v>
      </c>
      <c r="BC92" s="153" cm="1">
        <f t="array" aca="1" ref="BC92" ca="1">IF($G92=0,"",INDEX(auto_DataFlat_DataValue,$H92+BC$18))</f>
        <v>73.599999999999994</v>
      </c>
      <c r="BD92" s="153" cm="1">
        <f t="array" aca="1" ref="BD92" ca="1">IF($G92=0,"",INDEX(auto_DataFlat_DataValue,$H92+BD$18))</f>
        <v>70.900000000000006</v>
      </c>
      <c r="BE92" s="153" cm="1">
        <f t="array" aca="1" ref="BE92" ca="1">IF($G92=0,"",INDEX(auto_DataFlat_DataValue,$H92+BE$18))</f>
        <v>74.099999999999994</v>
      </c>
      <c r="BF92" s="153" cm="1">
        <f t="array" aca="1" ref="BF92" ca="1">IF($G92=0,"",INDEX(auto_DataFlat_DataValue,$H92+BF$18))</f>
        <v>71.3</v>
      </c>
      <c r="BG92" s="153" cm="1">
        <f t="array" aca="1" ref="BG92" ca="1">IF($G92=0,"",INDEX(auto_DataFlat_DataValue,$H92+BG$18))</f>
        <v>70.900000000000006</v>
      </c>
      <c r="BH92" s="153" cm="1">
        <f t="array" aca="1" ref="BH92" ca="1">IF($G92=0,"",INDEX(auto_DataFlat_DataValue,$H92+BH$18))</f>
        <v>68.5</v>
      </c>
      <c r="BI92" s="153" cm="1">
        <f t="array" aca="1" ref="BI92" ca="1">IF($G92=0,"",INDEX(auto_DataFlat_DataValue,$H92+BI$18))</f>
        <v>60.9</v>
      </c>
    </row>
    <row r="93" spans="1:61" ht="17.05" customHeight="1" x14ac:dyDescent="0.4">
      <c r="A93" t="str">
        <f t="shared" si="4"/>
        <v/>
      </c>
      <c r="B93" s="42" t="str">
        <f t="shared" ca="1" si="1"/>
        <v/>
      </c>
      <c r="C93" s="100">
        <v>74</v>
      </c>
      <c r="D93" s="49" cm="1">
        <f t="array" aca="1" ref="D93" ca="1">INDEX(OFFSET(auto_ss_data_table,0,1,500,1),C93)</f>
        <v>74</v>
      </c>
      <c r="E93" s="101" cm="1">
        <f t="array" aca="1" ref="E93" ca="1">INDEX(auto_tblSeries,$D93,E$18)</f>
        <v>1</v>
      </c>
      <c r="F93" s="101" t="str" cm="1">
        <f t="array" aca="1" ref="F93" ca="1">INDEX(auto_tblSeries,$D93,F$18)</f>
        <v>#,0.0</v>
      </c>
      <c r="G93" s="101" cm="1">
        <f t="array" aca="1" ref="G93" ca="1">INDEX(auto_tblSeries,$D93,G$18)</f>
        <v>1</v>
      </c>
      <c r="H93" s="101" cm="1">
        <f t="array" aca="1" ref="H93" ca="1">INDEX(sys_DataFlat_LU_Grid,$D93,1)-1</f>
        <v>4380</v>
      </c>
      <c r="I93" s="26"/>
      <c r="J93" s="151" t="str" cm="1">
        <f t="array" aca="1" ref="J93" ca="1">INDEX(auto_Series_NameNumbered,$D93)</f>
        <v>BG10) LIFE EXPECTANCY AT AGE 60</v>
      </c>
      <c r="K93" s="152" t="str" cm="1">
        <f t="array" aca="1" ref="K93" ca="1">IF($G93=0,"",INDEX(auto_tblSeries,$D93,K$18))</f>
        <v>Years</v>
      </c>
      <c r="L93" s="153" cm="1">
        <f t="array" aca="1" ref="L93" ca="1">IF($G93=0,"",INDEX(auto_DataFlat_DataValue,$H93+L$18))</f>
        <v>18.5</v>
      </c>
      <c r="M93" s="153" cm="1">
        <f t="array" aca="1" ref="M93" ca="1">IF($G93=0,"",INDEX(auto_DataFlat_DataValue,$H93+M$18))</f>
        <v>22</v>
      </c>
      <c r="N93" s="153" cm="1">
        <f t="array" aca="1" ref="N93" ca="1">IF($G93=0,"",INDEX(auto_DataFlat_DataValue,$H93+N$18))</f>
        <v>23.1</v>
      </c>
      <c r="O93" s="153" cm="1">
        <f t="array" aca="1" ref="O93" ca="1">IF($G93=0,"",INDEX(auto_DataFlat_DataValue,$H93+O$18))</f>
        <v>24.8</v>
      </c>
      <c r="P93" s="153" cm="1">
        <f t="array" aca="1" ref="P93" ca="1">IF($G93=0,"",INDEX(auto_DataFlat_DataValue,$H93+P$18))</f>
        <v>23.6</v>
      </c>
      <c r="Q93" s="153" cm="1">
        <f t="array" aca="1" ref="Q93" ca="1">IF($G93=0,"",INDEX(auto_DataFlat_DataValue,$H93+Q$18))</f>
        <v>21.1</v>
      </c>
      <c r="R93" s="153" cm="1">
        <f t="array" aca="1" ref="R93" ca="1">IF($G93=0,"",INDEX(auto_DataFlat_DataValue,$H93+R$18))</f>
        <v>24.4</v>
      </c>
      <c r="S93" s="153" cm="1">
        <f t="array" aca="1" ref="S93" ca="1">IF($G93=0,"",INDEX(auto_DataFlat_DataValue,$H93+S$18))</f>
        <v>24</v>
      </c>
      <c r="T93" s="153" cm="1">
        <f t="array" aca="1" ref="T93" ca="1">IF($G93=0,"",INDEX(auto_DataFlat_DataValue,$H93+T$18))</f>
        <v>20.2</v>
      </c>
      <c r="U93" s="153" cm="1">
        <f t="array" aca="1" ref="U93" ca="1">IF($G93=0,"",INDEX(auto_DataFlat_DataValue,$H93+U$18))</f>
        <v>17.8</v>
      </c>
      <c r="V93" s="153" cm="1">
        <f t="array" aca="1" ref="V93" ca="1">IF($G93=0,"",INDEX(auto_DataFlat_DataValue,$H93+V$18))</f>
        <v>20.8</v>
      </c>
      <c r="W93" s="153" cm="1">
        <f t="array" aca="1" ref="W93" ca="1">IF($G93=0,"",INDEX(auto_DataFlat_DataValue,$H93+W$18))</f>
        <v>18.8</v>
      </c>
      <c r="X93" s="153" cm="1">
        <f t="array" aca="1" ref="X93" ca="1">IF($G93=0,"",INDEX(auto_DataFlat_DataValue,$H93+X$18))</f>
        <v>20.9</v>
      </c>
      <c r="Y93" s="153" cm="1">
        <f t="array" aca="1" ref="Y93" ca="1">IF($G93=0,"",INDEX(auto_DataFlat_DataValue,$H93+Y$18))</f>
        <v>19.899999999999999</v>
      </c>
      <c r="Z93" s="153" cm="1">
        <f t="array" aca="1" ref="Z93" ca="1">IF($G93=0,"",INDEX(auto_DataFlat_DataValue,$H93+Z$18))</f>
        <v>24.2</v>
      </c>
      <c r="AA93" s="153" cm="1">
        <f t="array" aca="1" ref="AA93" ca="1">IF($G93=0,"",INDEX(auto_DataFlat_DataValue,$H93+AA$18))</f>
        <v>19.600000000000001</v>
      </c>
      <c r="AB93" s="153" t="str" cm="1">
        <f t="array" aca="1" ref="AB93" ca="1">IF($G93=0,"",INDEX(auto_DataFlat_DataValue,$H93+AB$18))</f>
        <v>n/a</v>
      </c>
      <c r="AC93" s="153" cm="1">
        <f t="array" aca="1" ref="AC93" ca="1">IF($G93=0,"",INDEX(auto_DataFlat_DataValue,$H93+AC$18))</f>
        <v>22</v>
      </c>
      <c r="AD93" s="153" cm="1">
        <f t="array" aca="1" ref="AD93" ca="1">IF($G93=0,"",INDEX(auto_DataFlat_DataValue,$H93+AD$18))</f>
        <v>17.899999999999999</v>
      </c>
      <c r="AE93" s="153" cm="1">
        <f t="array" aca="1" ref="AE93" ca="1">IF($G93=0,"",INDEX(auto_DataFlat_DataValue,$H93+AE$18))</f>
        <v>19.100000000000001</v>
      </c>
      <c r="AF93" s="153" cm="1">
        <f t="array" aca="1" ref="AF93" ca="1">IF($G93=0,"",INDEX(auto_DataFlat_DataValue,$H93+AF$18))</f>
        <v>17.3</v>
      </c>
      <c r="AG93" s="153" cm="1">
        <f t="array" aca="1" ref="AG93" ca="1">IF($G93=0,"",INDEX(auto_DataFlat_DataValue,$H93+AG$18))</f>
        <v>18</v>
      </c>
      <c r="AH93" s="153" cm="1">
        <f t="array" aca="1" ref="AH93" ca="1">IF($G93=0,"",INDEX(auto_DataFlat_DataValue,$H93+AH$18))</f>
        <v>18.8</v>
      </c>
      <c r="AI93" s="153" cm="1">
        <f t="array" aca="1" ref="AI93" ca="1">IF($G93=0,"",INDEX(auto_DataFlat_DataValue,$H93+AI$18))</f>
        <v>24</v>
      </c>
      <c r="AJ93" s="153" cm="1">
        <f t="array" aca="1" ref="AJ93" ca="1">IF($G93=0,"",INDEX(auto_DataFlat_DataValue,$H93+AJ$18))</f>
        <v>18.2</v>
      </c>
      <c r="AK93" s="153" cm="1">
        <f t="array" aca="1" ref="AK93" ca="1">IF($G93=0,"",INDEX(auto_DataFlat_DataValue,$H93+AK$18))</f>
        <v>24.1</v>
      </c>
      <c r="AL93" s="153" cm="1">
        <f t="array" aca="1" ref="AL93" ca="1">IF($G93=0,"",INDEX(auto_DataFlat_DataValue,$H93+AL$18))</f>
        <v>25.4</v>
      </c>
      <c r="AM93" s="153" cm="1">
        <f t="array" aca="1" ref="AM93" ca="1">IF($G93=0,"",INDEX(auto_DataFlat_DataValue,$H93+AM$18))</f>
        <v>17.8</v>
      </c>
      <c r="AN93" s="153" cm="1">
        <f t="array" aca="1" ref="AN93" ca="1">IF($G93=0,"",INDEX(auto_DataFlat_DataValue,$H93+AN$18))</f>
        <v>25.6</v>
      </c>
      <c r="AO93" s="153" cm="1">
        <f t="array" aca="1" ref="AO93" ca="1">IF($G93=0,"",INDEX(auto_DataFlat_DataValue,$H93+AO$18))</f>
        <v>21.8</v>
      </c>
      <c r="AP93" s="153" cm="1">
        <f t="array" aca="1" ref="AP93" ca="1">IF($G93=0,"",INDEX(auto_DataFlat_DataValue,$H93+AP$18))</f>
        <v>19.899999999999999</v>
      </c>
      <c r="AQ93" s="153" cm="1">
        <f t="array" aca="1" ref="AQ93" ca="1">IF($G93=0,"",INDEX(auto_DataFlat_DataValue,$H93+AQ$18))</f>
        <v>18.8</v>
      </c>
      <c r="AR93" s="153" cm="1">
        <f t="array" aca="1" ref="AR93" ca="1">IF($G93=0,"",INDEX(auto_DataFlat_DataValue,$H93+AR$18))</f>
        <v>17.600000000000001</v>
      </c>
      <c r="AS93" s="153" cm="1">
        <f t="array" aca="1" ref="AS93" ca="1">IF($G93=0,"",INDEX(auto_DataFlat_DataValue,$H93+AS$18))</f>
        <v>23.1</v>
      </c>
      <c r="AT93" s="153" cm="1">
        <f t="array" aca="1" ref="AT93" ca="1">IF($G93=0,"",INDEX(auto_DataFlat_DataValue,$H93+AT$18))</f>
        <v>26.4</v>
      </c>
      <c r="AU93" s="153" cm="1">
        <f t="array" aca="1" ref="AU93" ca="1">IF($G93=0,"",INDEX(auto_DataFlat_DataValue,$H93+AU$18))</f>
        <v>25.3</v>
      </c>
      <c r="AV93" s="153" cm="1">
        <f t="array" aca="1" ref="AV93" ca="1">IF($G93=0,"",INDEX(auto_DataFlat_DataValue,$H93+AV$18))</f>
        <v>17.7</v>
      </c>
      <c r="AW93" s="153" cm="1">
        <f t="array" aca="1" ref="AW93" ca="1">IF($G93=0,"",INDEX(auto_DataFlat_DataValue,$H93+AW$18))</f>
        <v>19.899999999999999</v>
      </c>
      <c r="AX93" s="153" cm="1">
        <f t="array" aca="1" ref="AX93" ca="1">IF($G93=0,"",INDEX(auto_DataFlat_DataValue,$H93+AX$18))</f>
        <v>25</v>
      </c>
      <c r="AY93" s="153" cm="1">
        <f t="array" aca="1" ref="AY93" ca="1">IF($G93=0,"",INDEX(auto_DataFlat_DataValue,$H93+AY$18))</f>
        <v>23.1</v>
      </c>
      <c r="AZ93" s="153" cm="1">
        <f t="array" aca="1" ref="AZ93" ca="1">IF($G93=0,"",INDEX(auto_DataFlat_DataValue,$H93+AZ$18))</f>
        <v>21.9</v>
      </c>
      <c r="BA93" s="153" cm="1">
        <f t="array" aca="1" ref="BA93" ca="1">IF($G93=0,"",INDEX(auto_DataFlat_DataValue,$H93+BA$18))</f>
        <v>25.8</v>
      </c>
      <c r="BB93" s="153" cm="1">
        <f t="array" aca="1" ref="BB93" ca="1">IF($G93=0,"",INDEX(auto_DataFlat_DataValue,$H93+BB$18))</f>
        <v>21.1</v>
      </c>
      <c r="BC93" s="153" cm="1">
        <f t="array" aca="1" ref="BC93" ca="1">IF($G93=0,"",INDEX(auto_DataFlat_DataValue,$H93+BC$18))</f>
        <v>25.5</v>
      </c>
      <c r="BD93" s="153" cm="1">
        <f t="array" aca="1" ref="BD93" ca="1">IF($G93=0,"",INDEX(auto_DataFlat_DataValue,$H93+BD$18))</f>
        <v>25.6</v>
      </c>
      <c r="BE93" s="153" cm="1">
        <f t="array" aca="1" ref="BE93" ca="1">IF($G93=0,"",INDEX(auto_DataFlat_DataValue,$H93+BE$18))</f>
        <v>26.4</v>
      </c>
      <c r="BF93" s="153" cm="1">
        <f t="array" aca="1" ref="BF93" ca="1">IF($G93=0,"",INDEX(auto_DataFlat_DataValue,$H93+BF$18))</f>
        <v>25.2</v>
      </c>
      <c r="BG93" s="153" cm="1">
        <f t="array" aca="1" ref="BG93" ca="1">IF($G93=0,"",INDEX(auto_DataFlat_DataValue,$H93+BG$18))</f>
        <v>24.1</v>
      </c>
      <c r="BH93" s="153" cm="1">
        <f t="array" aca="1" ref="BH93" ca="1">IF($G93=0,"",INDEX(auto_DataFlat_DataValue,$H93+BH$18))</f>
        <v>21.1</v>
      </c>
      <c r="BI93" s="153" cm="1">
        <f t="array" aca="1" ref="BI93" ca="1">IF($G93=0,"",INDEX(auto_DataFlat_DataValue,$H93+BI$18))</f>
        <v>18.100000000000001</v>
      </c>
    </row>
    <row r="94" spans="1:61" ht="17.05" customHeight="1" x14ac:dyDescent="0.4">
      <c r="A94" t="str">
        <f t="shared" si="4"/>
        <v/>
      </c>
      <c r="B94" s="42" t="str">
        <f t="shared" ca="1" si="1"/>
        <v/>
      </c>
      <c r="C94" s="100">
        <v>75</v>
      </c>
      <c r="D94" s="49" cm="1">
        <f t="array" aca="1" ref="D94" ca="1">INDEX(OFFSET(auto_ss_data_table,0,1,500,1),C94)</f>
        <v>75</v>
      </c>
      <c r="E94" s="101" cm="1">
        <f t="array" aca="1" ref="E94" ca="1">INDEX(auto_tblSeries,$D94,E$18)</f>
        <v>1</v>
      </c>
      <c r="F94" s="101" t="str" cm="1">
        <f t="array" aca="1" ref="F94" ca="1">INDEX(auto_tblSeries,$D94,F$18)</f>
        <v>#,0.0</v>
      </c>
      <c r="G94" s="101" cm="1">
        <f t="array" aca="1" ref="G94" ca="1">INDEX(auto_tblSeries,$D94,G$18)</f>
        <v>1</v>
      </c>
      <c r="H94" s="101" cm="1">
        <f t="array" aca="1" ref="H94" ca="1">INDEX(sys_DataFlat_LU_Grid,$D94,1)-1</f>
        <v>4440</v>
      </c>
      <c r="I94" s="26"/>
      <c r="J94" s="151" t="str" cm="1">
        <f t="array" aca="1" ref="J94" ca="1">INDEX(auto_Series_NameNumbered,$D94)</f>
        <v>BG11) HEALTHY LIFE EXPECTANCY AT AGE 60</v>
      </c>
      <c r="K94" s="152" t="str" cm="1">
        <f t="array" aca="1" ref="K94" ca="1">IF($G94=0,"",INDEX(auto_tblSeries,$D94,K$18))</f>
        <v>Years</v>
      </c>
      <c r="L94" s="153" cm="1">
        <f t="array" aca="1" ref="L94" ca="1">IF($G94=0,"",INDEX(auto_DataFlat_DataValue,$H94+L$18))</f>
        <v>13.9</v>
      </c>
      <c r="M94" s="153" cm="1">
        <f t="array" aca="1" ref="M94" ca="1">IF($G94=0,"",INDEX(auto_DataFlat_DataValue,$H94+M$18))</f>
        <v>16</v>
      </c>
      <c r="N94" s="153" cm="1">
        <f t="array" aca="1" ref="N94" ca="1">IF($G94=0,"",INDEX(auto_DataFlat_DataValue,$H94+N$18))</f>
        <v>16.399999999999999</v>
      </c>
      <c r="O94" s="153" cm="1">
        <f t="array" aca="1" ref="O94" ca="1">IF($G94=0,"",INDEX(auto_DataFlat_DataValue,$H94+O$18))</f>
        <v>18.600000000000001</v>
      </c>
      <c r="P94" s="153" cm="1">
        <f t="array" aca="1" ref="P94" ca="1">IF($G94=0,"",INDEX(auto_DataFlat_DataValue,$H94+P$18))</f>
        <v>18</v>
      </c>
      <c r="Q94" s="153" cm="1">
        <f t="array" aca="1" ref="Q94" ca="1">IF($G94=0,"",INDEX(auto_DataFlat_DataValue,$H94+Q$18))</f>
        <v>15.9</v>
      </c>
      <c r="R94" s="153" cm="1">
        <f t="array" aca="1" ref="R94" ca="1">IF($G94=0,"",INDEX(auto_DataFlat_DataValue,$H94+R$18))</f>
        <v>18.5</v>
      </c>
      <c r="S94" s="153" cm="1">
        <f t="array" aca="1" ref="S94" ca="1">IF($G94=0,"",INDEX(auto_DataFlat_DataValue,$H94+S$18))</f>
        <v>18.100000000000001</v>
      </c>
      <c r="T94" s="153" cm="1">
        <f t="array" aca="1" ref="T94" ca="1">IF($G94=0,"",INDEX(auto_DataFlat_DataValue,$H94+T$18))</f>
        <v>15.3</v>
      </c>
      <c r="U94" s="153" cm="1">
        <f t="array" aca="1" ref="U94" ca="1">IF($G94=0,"",INDEX(auto_DataFlat_DataValue,$H94+U$18))</f>
        <v>13.4</v>
      </c>
      <c r="V94" s="153" cm="1">
        <f t="array" aca="1" ref="V94" ca="1">IF($G94=0,"",INDEX(auto_DataFlat_DataValue,$H94+V$18))</f>
        <v>15.3</v>
      </c>
      <c r="W94" s="153" cm="1">
        <f t="array" aca="1" ref="W94" ca="1">IF($G94=0,"",INDEX(auto_DataFlat_DataValue,$H94+W$18))</f>
        <v>13.2</v>
      </c>
      <c r="X94" s="153" cm="1">
        <f t="array" aca="1" ref="X94" ca="1">IF($G94=0,"",INDEX(auto_DataFlat_DataValue,$H94+X$18))</f>
        <v>15.5</v>
      </c>
      <c r="Y94" s="153" cm="1">
        <f t="array" aca="1" ref="Y94" ca="1">IF($G94=0,"",INDEX(auto_DataFlat_DataValue,$H94+Y$18))</f>
        <v>14.5</v>
      </c>
      <c r="Z94" s="153" cm="1">
        <f t="array" aca="1" ref="Z94" ca="1">IF($G94=0,"",INDEX(auto_DataFlat_DataValue,$H94+Z$18))</f>
        <v>18.5</v>
      </c>
      <c r="AA94" s="153" cm="1">
        <f t="array" aca="1" ref="AA94" ca="1">IF($G94=0,"",INDEX(auto_DataFlat_DataValue,$H94+AA$18))</f>
        <v>14.8</v>
      </c>
      <c r="AB94" s="153" t="str" cm="1">
        <f t="array" aca="1" ref="AB94" ca="1">IF($G94=0,"",INDEX(auto_DataFlat_DataValue,$H94+AB$18))</f>
        <v>n/a</v>
      </c>
      <c r="AC94" s="153" cm="1">
        <f t="array" aca="1" ref="AC94" ca="1">IF($G94=0,"",INDEX(auto_DataFlat_DataValue,$H94+AC$18))</f>
        <v>16.600000000000001</v>
      </c>
      <c r="AD94" s="153" cm="1">
        <f t="array" aca="1" ref="AD94" ca="1">IF($G94=0,"",INDEX(auto_DataFlat_DataValue,$H94+AD$18))</f>
        <v>13.4</v>
      </c>
      <c r="AE94" s="153" cm="1">
        <f t="array" aca="1" ref="AE94" ca="1">IF($G94=0,"",INDEX(auto_DataFlat_DataValue,$H94+AE$18))</f>
        <v>13.9</v>
      </c>
      <c r="AF94" s="153" cm="1">
        <f t="array" aca="1" ref="AF94" ca="1">IF($G94=0,"",INDEX(auto_DataFlat_DataValue,$H94+AF$18))</f>
        <v>12.6</v>
      </c>
      <c r="AG94" s="153" cm="1">
        <f t="array" aca="1" ref="AG94" ca="1">IF($G94=0,"",INDEX(auto_DataFlat_DataValue,$H94+AG$18))</f>
        <v>13.3</v>
      </c>
      <c r="AH94" s="153" cm="1">
        <f t="array" aca="1" ref="AH94" ca="1">IF($G94=0,"",INDEX(auto_DataFlat_DataValue,$H94+AH$18))</f>
        <v>13.2</v>
      </c>
      <c r="AI94" s="153" cm="1">
        <f t="array" aca="1" ref="AI94" ca="1">IF($G94=0,"",INDEX(auto_DataFlat_DataValue,$H94+AI$18))</f>
        <v>17.8</v>
      </c>
      <c r="AJ94" s="153" cm="1">
        <f t="array" aca="1" ref="AJ94" ca="1">IF($G94=0,"",INDEX(auto_DataFlat_DataValue,$H94+AJ$18))</f>
        <v>13.5</v>
      </c>
      <c r="AK94" s="153" cm="1">
        <f t="array" aca="1" ref="AK94" ca="1">IF($G94=0,"",INDEX(auto_DataFlat_DataValue,$H94+AK$18))</f>
        <v>18.3</v>
      </c>
      <c r="AL94" s="153" cm="1">
        <f t="array" aca="1" ref="AL94" ca="1">IF($G94=0,"",INDEX(auto_DataFlat_DataValue,$H94+AL$18))</f>
        <v>19.2</v>
      </c>
      <c r="AM94" s="153" cm="1">
        <f t="array" aca="1" ref="AM94" ca="1">IF($G94=0,"",INDEX(auto_DataFlat_DataValue,$H94+AM$18))</f>
        <v>13.4</v>
      </c>
      <c r="AN94" s="153" cm="1">
        <f t="array" aca="1" ref="AN94" ca="1">IF($G94=0,"",INDEX(auto_DataFlat_DataValue,$H94+AN$18))</f>
        <v>19</v>
      </c>
      <c r="AO94" s="153" cm="1">
        <f t="array" aca="1" ref="AO94" ca="1">IF($G94=0,"",INDEX(auto_DataFlat_DataValue,$H94+AO$18))</f>
        <v>16.100000000000001</v>
      </c>
      <c r="AP94" s="153" cm="1">
        <f t="array" aca="1" ref="AP94" ca="1">IF($G94=0,"",INDEX(auto_DataFlat_DataValue,$H94+AP$18))</f>
        <v>15</v>
      </c>
      <c r="AQ94" s="153" cm="1">
        <f t="array" aca="1" ref="AQ94" ca="1">IF($G94=0,"",INDEX(auto_DataFlat_DataValue,$H94+AQ$18))</f>
        <v>13.2</v>
      </c>
      <c r="AR94" s="153" cm="1">
        <f t="array" aca="1" ref="AR94" ca="1">IF($G94=0,"",INDEX(auto_DataFlat_DataValue,$H94+AR$18))</f>
        <v>13.1</v>
      </c>
      <c r="AS94" s="153" cm="1">
        <f t="array" aca="1" ref="AS94" ca="1">IF($G94=0,"",INDEX(auto_DataFlat_DataValue,$H94+AS$18))</f>
        <v>16.399999999999999</v>
      </c>
      <c r="AT94" s="153" cm="1">
        <f t="array" aca="1" ref="AT94" ca="1">IF($G94=0,"",INDEX(auto_DataFlat_DataValue,$H94+AT$18))</f>
        <v>20.399999999999999</v>
      </c>
      <c r="AU94" s="153" cm="1">
        <f t="array" aca="1" ref="AU94" ca="1">IF($G94=0,"",INDEX(auto_DataFlat_DataValue,$H94+AU$18))</f>
        <v>19.7</v>
      </c>
      <c r="AV94" s="153" cm="1">
        <f t="array" aca="1" ref="AV94" ca="1">IF($G94=0,"",INDEX(auto_DataFlat_DataValue,$H94+AV$18))</f>
        <v>13.2</v>
      </c>
      <c r="AW94" s="153" cm="1">
        <f t="array" aca="1" ref="AW94" ca="1">IF($G94=0,"",INDEX(auto_DataFlat_DataValue,$H94+AW$18))</f>
        <v>14</v>
      </c>
      <c r="AX94" s="153" cm="1">
        <f t="array" aca="1" ref="AX94" ca="1">IF($G94=0,"",INDEX(auto_DataFlat_DataValue,$H94+AX$18))</f>
        <v>18.899999999999999</v>
      </c>
      <c r="AY94" s="153" cm="1">
        <f t="array" aca="1" ref="AY94" ca="1">IF($G94=0,"",INDEX(auto_DataFlat_DataValue,$H94+AY$18))</f>
        <v>16.399999999999999</v>
      </c>
      <c r="AZ94" s="153" cm="1">
        <f t="array" aca="1" ref="AZ94" ca="1">IF($G94=0,"",INDEX(auto_DataFlat_DataValue,$H94+AZ$18))</f>
        <v>16.399999999999999</v>
      </c>
      <c r="BA94" s="153" cm="1">
        <f t="array" aca="1" ref="BA94" ca="1">IF($G94=0,"",INDEX(auto_DataFlat_DataValue,$H94+BA$18))</f>
        <v>19.8</v>
      </c>
      <c r="BB94" s="153" cm="1">
        <f t="array" aca="1" ref="BB94" ca="1">IF($G94=0,"",INDEX(auto_DataFlat_DataValue,$H94+BB$18))</f>
        <v>15.9</v>
      </c>
      <c r="BC94" s="153" cm="1">
        <f t="array" aca="1" ref="BC94" ca="1">IF($G94=0,"",INDEX(auto_DataFlat_DataValue,$H94+BC$18))</f>
        <v>20</v>
      </c>
      <c r="BD94" s="153" cm="1">
        <f t="array" aca="1" ref="BD94" ca="1">IF($G94=0,"",INDEX(auto_DataFlat_DataValue,$H94+BD$18))</f>
        <v>19</v>
      </c>
      <c r="BE94" s="153" cm="1">
        <f t="array" aca="1" ref="BE94" ca="1">IF($G94=0,"",INDEX(auto_DataFlat_DataValue,$H94+BE$18))</f>
        <v>20.399999999999999</v>
      </c>
      <c r="BF94" s="153" cm="1">
        <f t="array" aca="1" ref="BF94" ca="1">IF($G94=0,"",INDEX(auto_DataFlat_DataValue,$H94+BF$18))</f>
        <v>19</v>
      </c>
      <c r="BG94" s="153" cm="1">
        <f t="array" aca="1" ref="BG94" ca="1">IF($G94=0,"",INDEX(auto_DataFlat_DataValue,$H94+BG$18))</f>
        <v>18.3</v>
      </c>
      <c r="BH94" s="153" cm="1">
        <f t="array" aca="1" ref="BH94" ca="1">IF($G94=0,"",INDEX(auto_DataFlat_DataValue,$H94+BH$18))</f>
        <v>15.9</v>
      </c>
      <c r="BI94" s="153" cm="1">
        <f t="array" aca="1" ref="BI94" ca="1">IF($G94=0,"",INDEX(auto_DataFlat_DataValue,$H94+BI$18))</f>
        <v>13.6</v>
      </c>
    </row>
    <row r="95" spans="1:61" ht="17.05" customHeight="1" x14ac:dyDescent="0.4">
      <c r="A95" t="str">
        <f t="shared" si="4"/>
        <v/>
      </c>
      <c r="B95" s="42" t="str">
        <f t="shared" ca="1" si="1"/>
        <v/>
      </c>
      <c r="C95" s="100">
        <v>76</v>
      </c>
      <c r="D95" s="49" cm="1">
        <f t="array" aca="1" ref="D95" ca="1">INDEX(OFFSET(auto_ss_data_table,0,1,500,1),C95)</f>
        <v>76</v>
      </c>
      <c r="E95" s="101" cm="1">
        <f t="array" aca="1" ref="E95" ca="1">INDEX(auto_tblSeries,$D95,E$18)</f>
        <v>1</v>
      </c>
      <c r="F95" s="101" t="str" cm="1">
        <f t="array" aca="1" ref="F95" ca="1">INDEX(auto_tblSeries,$D95,F$18)</f>
        <v>#,0.0</v>
      </c>
      <c r="G95" s="101" cm="1">
        <f t="array" aca="1" ref="G95" ca="1">INDEX(auto_tblSeries,$D95,G$18)</f>
        <v>1</v>
      </c>
      <c r="H95" s="101" cm="1">
        <f t="array" aca="1" ref="H95" ca="1">INDEX(sys_DataFlat_LU_Grid,$D95,1)-1</f>
        <v>4500</v>
      </c>
      <c r="I95" s="26"/>
      <c r="J95" s="151" t="str" cm="1">
        <f t="array" aca="1" ref="J95" ca="1">INDEX(auto_Series_NameNumbered,$D95)</f>
        <v>BG12) CURRENT HEALTH EXPENDITURE (CHE)</v>
      </c>
      <c r="K95" s="152" t="str" cm="1">
        <f t="array" aca="1" ref="K95" ca="1">IF($G95=0,"",INDEX(auto_tblSeries,$D95,K$18))</f>
        <v>% GDP</v>
      </c>
      <c r="L95" s="153" cm="1">
        <f t="array" aca="1" ref="L95" ca="1">IF($G95=0,"",INDEX(auto_DataFlat_DataValue,$H95+L$18))</f>
        <v>3.5</v>
      </c>
      <c r="M95" s="153" cm="1">
        <f t="array" aca="1" ref="M95" ca="1">IF($G95=0,"",INDEX(auto_DataFlat_DataValue,$H95+M$18))</f>
        <v>6.3</v>
      </c>
      <c r="N95" s="153" cm="1">
        <f t="array" aca="1" ref="N95" ca="1">IF($G95=0,"",INDEX(auto_DataFlat_DataValue,$H95+N$18))</f>
        <v>18.8</v>
      </c>
      <c r="O95" s="153" cm="1">
        <f t="array" aca="1" ref="O95" ca="1">IF($G95=0,"",INDEX(auto_DataFlat_DataValue,$H95+O$18))</f>
        <v>10</v>
      </c>
      <c r="P95" s="153" cm="1">
        <f t="array" aca="1" ref="P95" ca="1">IF($G95=0,"",INDEX(auto_DataFlat_DataValue,$H95+P$18))</f>
        <v>4.4000000000000004</v>
      </c>
      <c r="Q95" s="153" cm="1">
        <f t="array" aca="1" ref="Q95" ca="1">IF($G95=0,"",INDEX(auto_DataFlat_DataValue,$H95+Q$18))</f>
        <v>5.6</v>
      </c>
      <c r="R95" s="153" cm="1">
        <f t="array" aca="1" ref="R95" ca="1">IF($G95=0,"",INDEX(auto_DataFlat_DataValue,$H95+R$18))</f>
        <v>12.8</v>
      </c>
      <c r="S95" s="153" cm="1">
        <f t="array" aca="1" ref="S95" ca="1">IF($G95=0,"",INDEX(auto_DataFlat_DataValue,$H95+S$18))</f>
        <v>9</v>
      </c>
      <c r="T95" s="153" cm="1">
        <f t="array" aca="1" ref="T95" ca="1">IF($G95=0,"",INDEX(auto_DataFlat_DataValue,$H95+T$18))</f>
        <v>7.3</v>
      </c>
      <c r="U95" s="153" cm="1">
        <f t="array" aca="1" ref="U95" ca="1">IF($G95=0,"",INDEX(auto_DataFlat_DataValue,$H95+U$18))</f>
        <v>4.4000000000000004</v>
      </c>
      <c r="V95" s="153" cm="1">
        <f t="array" aca="1" ref="V95" ca="1">IF($G95=0,"",INDEX(auto_DataFlat_DataValue,$H95+V$18))</f>
        <v>4.0999999999999996</v>
      </c>
      <c r="W95" s="153" cm="1">
        <f t="array" aca="1" ref="W95" ca="1">IF($G95=0,"",INDEX(auto_DataFlat_DataValue,$H95+W$18))</f>
        <v>3</v>
      </c>
      <c r="X95" s="153" cm="1">
        <f t="array" aca="1" ref="X95" ca="1">IF($G95=0,"",INDEX(auto_DataFlat_DataValue,$H95+X$18))</f>
        <v>2.6</v>
      </c>
      <c r="Y95" s="153" cm="1">
        <f t="array" aca="1" ref="Y95" ca="1">IF($G95=0,"",INDEX(auto_DataFlat_DataValue,$H95+Y$18))</f>
        <v>5.7</v>
      </c>
      <c r="Z95" s="153" cm="1">
        <f t="array" aca="1" ref="Z95" ca="1">IF($G95=0,"",INDEX(auto_DataFlat_DataValue,$H95+Z$18))</f>
        <v>9.6</v>
      </c>
      <c r="AA95" s="153" cm="1">
        <f t="array" aca="1" ref="AA95" ca="1">IF($G95=0,"",INDEX(auto_DataFlat_DataValue,$H95+AA$18))</f>
        <v>4.7</v>
      </c>
      <c r="AB95" s="153" t="str" cm="1">
        <f t="array" aca="1" ref="AB95" ca="1">IF($G95=0,"",INDEX(auto_DataFlat_DataValue,$H95+AB$18))</f>
        <v>n/a</v>
      </c>
      <c r="AC95" s="153" cm="1">
        <f t="array" aca="1" ref="AC95" ca="1">IF($G95=0,"",INDEX(auto_DataFlat_DataValue,$H95+AC$18))</f>
        <v>4.5999999999999996</v>
      </c>
      <c r="AD95" s="153" cm="1">
        <f t="array" aca="1" ref="AD95" ca="1">IF($G95=0,"",INDEX(auto_DataFlat_DataValue,$H95+AD$18))</f>
        <v>3.4</v>
      </c>
      <c r="AE95" s="153" cm="1">
        <f t="array" aca="1" ref="AE95" ca="1">IF($G95=0,"",INDEX(auto_DataFlat_DataValue,$H95+AE$18))</f>
        <v>8.6</v>
      </c>
      <c r="AF95" s="153" cm="1">
        <f t="array" aca="1" ref="AF95" ca="1">IF($G95=0,"",INDEX(auto_DataFlat_DataValue,$H95+AF$18))</f>
        <v>3</v>
      </c>
      <c r="AG95" s="153" cm="1">
        <f t="array" aca="1" ref="AG95" ca="1">IF($G95=0,"",INDEX(auto_DataFlat_DataValue,$H95+AG$18))</f>
        <v>5.2</v>
      </c>
      <c r="AH95" s="153" cm="1">
        <f t="array" aca="1" ref="AH95" ca="1">IF($G95=0,"",INDEX(auto_DataFlat_DataValue,$H95+AH$18))</f>
        <v>3</v>
      </c>
      <c r="AI95" s="153" cm="1">
        <f t="array" aca="1" ref="AI95" ca="1">IF($G95=0,"",INDEX(auto_DataFlat_DataValue,$H95+AI$18))</f>
        <v>6.3</v>
      </c>
      <c r="AJ95" s="153" cm="1">
        <f t="array" aca="1" ref="AJ95" ca="1">IF($G95=0,"",INDEX(auto_DataFlat_DataValue,$H95+AJ$18))</f>
        <v>3.4</v>
      </c>
      <c r="AK95" s="153" cm="1">
        <f t="array" aca="1" ref="AK95" ca="1">IF($G95=0,"",INDEX(auto_DataFlat_DataValue,$H95+AK$18))</f>
        <v>11.9</v>
      </c>
      <c r="AL95" s="153" cm="1">
        <f t="array" aca="1" ref="AL95" ca="1">IF($G95=0,"",INDEX(auto_DataFlat_DataValue,$H95+AL$18))</f>
        <v>10.7</v>
      </c>
      <c r="AM95" s="153" cm="1">
        <f t="array" aca="1" ref="AM95" ca="1">IF($G95=0,"",INDEX(auto_DataFlat_DataValue,$H95+AM$18))</f>
        <v>5.6</v>
      </c>
      <c r="AN95" s="153" cm="1">
        <f t="array" aca="1" ref="AN95" ca="1">IF($G95=0,"",INDEX(auto_DataFlat_DataValue,$H95+AN$18))</f>
        <v>10.6</v>
      </c>
      <c r="AO95" s="153" cm="1">
        <f t="array" aca="1" ref="AO95" ca="1">IF($G95=0,"",INDEX(auto_DataFlat_DataValue,$H95+AO$18))</f>
        <v>6.2</v>
      </c>
      <c r="AP95" s="153" cm="1">
        <f t="array" aca="1" ref="AP95" ca="1">IF($G95=0,"",INDEX(auto_DataFlat_DataValue,$H95+AP$18))</f>
        <v>7.6</v>
      </c>
      <c r="AQ95" s="153" cm="1">
        <f t="array" aca="1" ref="AQ95" ca="1">IF($G95=0,"",INDEX(auto_DataFlat_DataValue,$H95+AQ$18))</f>
        <v>3</v>
      </c>
      <c r="AR95" s="153" cm="1">
        <f t="array" aca="1" ref="AR95" ca="1">IF($G95=0,"",INDEX(auto_DataFlat_DataValue,$H95+AR$18))</f>
        <v>4.3</v>
      </c>
      <c r="AS95" s="153" cm="1">
        <f t="array" aca="1" ref="AS95" ca="1">IF($G95=0,"",INDEX(auto_DataFlat_DataValue,$H95+AS$18))</f>
        <v>18.8</v>
      </c>
      <c r="AT95" s="153" cm="1">
        <f t="array" aca="1" ref="AT95" ca="1">IF($G95=0,"",INDEX(auto_DataFlat_DataValue,$H95+AT$18))</f>
        <v>10.9</v>
      </c>
      <c r="AU95" s="153" cm="1">
        <f t="array" aca="1" ref="AU95" ca="1">IF($G95=0,"",INDEX(auto_DataFlat_DataValue,$H95+AU$18))</f>
        <v>12.2</v>
      </c>
      <c r="AV95" s="153" cm="1">
        <f t="array" aca="1" ref="AV95" ca="1">IF($G95=0,"",INDEX(auto_DataFlat_DataValue,$H95+AV$18))</f>
        <v>7.5</v>
      </c>
      <c r="AW95" s="153" cm="1">
        <f t="array" aca="1" ref="AW95" ca="1">IF($G95=0,"",INDEX(auto_DataFlat_DataValue,$H95+AW$18))</f>
        <v>5.5</v>
      </c>
      <c r="AX95" s="153" cm="1">
        <f t="array" aca="1" ref="AX95" ca="1">IF($G95=0,"",INDEX(auto_DataFlat_DataValue,$H95+AX$18))</f>
        <v>9.5</v>
      </c>
      <c r="AY95" s="153" cm="1">
        <f t="array" aca="1" ref="AY95" ca="1">IF($G95=0,"",INDEX(auto_DataFlat_DataValue,$H95+AY$18))</f>
        <v>18.8</v>
      </c>
      <c r="AZ95" s="153" cm="1">
        <f t="array" aca="1" ref="AZ95" ca="1">IF($G95=0,"",INDEX(auto_DataFlat_DataValue,$H95+AZ$18))</f>
        <v>10.3</v>
      </c>
      <c r="BA95" s="153" cm="1">
        <f t="array" aca="1" ref="BA95" ca="1">IF($G95=0,"",INDEX(auto_DataFlat_DataValue,$H95+BA$18))</f>
        <v>8.4</v>
      </c>
      <c r="BB95" s="153" cm="1">
        <f t="array" aca="1" ref="BB95" ca="1">IF($G95=0,"",INDEX(auto_DataFlat_DataValue,$H95+BB$18))</f>
        <v>5.6</v>
      </c>
      <c r="BC95" s="153" cm="1">
        <f t="array" aca="1" ref="BC95" ca="1">IF($G95=0,"",INDEX(auto_DataFlat_DataValue,$H95+BC$18))</f>
        <v>6.1</v>
      </c>
      <c r="BD95" s="153" cm="1">
        <f t="array" aca="1" ref="BD95" ca="1">IF($G95=0,"",INDEX(auto_DataFlat_DataValue,$H95+BD$18))</f>
        <v>10.6</v>
      </c>
      <c r="BE95" s="153" cm="1">
        <f t="array" aca="1" ref="BE95" ca="1">IF($G95=0,"",INDEX(auto_DataFlat_DataValue,$H95+BE$18))</f>
        <v>10.9</v>
      </c>
      <c r="BF95" s="153" cm="1">
        <f t="array" aca="1" ref="BF95" ca="1">IF($G95=0,"",INDEX(auto_DataFlat_DataValue,$H95+BF$18))</f>
        <v>11.7</v>
      </c>
      <c r="BG95" s="153" cm="1">
        <f t="array" aca="1" ref="BG95" ca="1">IF($G95=0,"",INDEX(auto_DataFlat_DataValue,$H95+BG$18))</f>
        <v>11.5</v>
      </c>
      <c r="BH95" s="153" cm="1">
        <f t="array" aca="1" ref="BH95" ca="1">IF($G95=0,"",INDEX(auto_DataFlat_DataValue,$H95+BH$18))</f>
        <v>5.6</v>
      </c>
      <c r="BI95" s="153" cm="1">
        <f t="array" aca="1" ref="BI95" ca="1">IF($G95=0,"",INDEX(auto_DataFlat_DataValue,$H95+BI$18))</f>
        <v>4.5999999999999996</v>
      </c>
    </row>
    <row r="96" spans="1:61" ht="17.05" customHeight="1" x14ac:dyDescent="0.4">
      <c r="A96" t="str">
        <f t="shared" si="4"/>
        <v/>
      </c>
      <c r="B96" s="42" t="str">
        <f t="shared" ca="1" si="1"/>
        <v/>
      </c>
      <c r="C96" s="100">
        <v>77</v>
      </c>
      <c r="D96" s="49" cm="1">
        <f t="array" aca="1" ref="D96" ca="1">INDEX(OFFSET(auto_ss_data_table,0,1,500,1),C96)</f>
        <v>77</v>
      </c>
      <c r="E96" s="101" cm="1">
        <f t="array" aca="1" ref="E96" ca="1">INDEX(auto_tblSeries,$D96,E$18)</f>
        <v>1</v>
      </c>
      <c r="F96" s="101" t="str" cm="1">
        <f t="array" aca="1" ref="F96" ca="1">INDEX(auto_tblSeries,$D96,F$18)</f>
        <v>#,##0</v>
      </c>
      <c r="G96" s="101" cm="1">
        <f t="array" aca="1" ref="G96" ca="1">INDEX(auto_tblSeries,$D96,G$18)</f>
        <v>1</v>
      </c>
      <c r="H96" s="101" cm="1">
        <f t="array" aca="1" ref="H96" ca="1">INDEX(sys_DataFlat_LU_Grid,$D96,1)-1</f>
        <v>4560</v>
      </c>
      <c r="I96" s="26"/>
      <c r="J96" s="151" t="str" cm="1">
        <f t="array" aca="1" ref="J96" ca="1">INDEX(auto_Series_NameNumbered,$D96)</f>
        <v>BG13) TOTAL POPULATION</v>
      </c>
      <c r="K96" s="152" t="str" cm="1">
        <f t="array" aca="1" ref="K96" ca="1">IF($G96=0,"",INDEX(auto_tblSeries,$D96,K$18))</f>
        <v>Number of people</v>
      </c>
      <c r="L96" s="154" cm="1">
        <f t="array" aca="1" ref="L96" ca="1">IF($G96=0,"",INDEX(auto_DataFlat_DataValue,$H96+L$18))</f>
        <v>5703628</v>
      </c>
      <c r="M96" s="154" cm="1">
        <f t="array" aca="1" ref="M96" ca="1">IF($G96=0,"",INDEX(auto_DataFlat_DataValue,$H96+M$18))</f>
        <v>2952115</v>
      </c>
      <c r="N96" s="154" cm="1">
        <f t="array" aca="1" ref="N96" ca="1">IF($G96=0,"",INDEX(auto_DataFlat_DataValue,$H96+N$18))</f>
        <v>498715</v>
      </c>
      <c r="O96" s="154" cm="1">
        <f t="array" aca="1" ref="O96" ca="1">IF($G96=0,"",INDEX(auto_DataFlat_DataValue,$H96+O$18))</f>
        <v>1692770</v>
      </c>
      <c r="P96" s="154" cm="1">
        <f t="array" aca="1" ref="P96" ca="1">IF($G96=0,"",INDEX(auto_DataFlat_DataValue,$H96+P$18))</f>
        <v>11233869</v>
      </c>
      <c r="Q96" s="154" cm="1">
        <f t="array" aca="1" ref="Q96" ca="1">IF($G96=0,"",INDEX(auto_DataFlat_DataValue,$H96+Q$18))</f>
        <v>22189082</v>
      </c>
      <c r="R96" s="154" cm="1">
        <f t="array" aca="1" ref="R96" ca="1">IF($G96=0,"",INDEX(auto_DataFlat_DataValue,$H96+R$18))</f>
        <v>3576873</v>
      </c>
      <c r="S96" s="154" cm="1">
        <f t="array" aca="1" ref="S96" ca="1">IF($G96=0,"",INDEX(auto_DataFlat_DataValue,$H96+S$18))</f>
        <v>11658211</v>
      </c>
      <c r="T96" s="154" cm="1">
        <f t="array" aca="1" ref="T96" ca="1">IF($G96=0,"",INDEX(auto_DataFlat_DataValue,$H96+T$18))</f>
        <v>1780391</v>
      </c>
      <c r="U96" s="154" cm="1">
        <f t="array" aca="1" ref="U96" ca="1">IF($G96=0,"",INDEX(auto_DataFlat_DataValue,$H96+U$18))</f>
        <v>22623874</v>
      </c>
      <c r="V96" s="154" cm="1">
        <f t="array" aca="1" ref="V96" ca="1">IF($G96=0,"",INDEX(auto_DataFlat_DataValue,$H96+V$18))</f>
        <v>612535</v>
      </c>
      <c r="W96" s="154" cm="1">
        <f t="array" aca="1" ref="W96" ca="1">IF($G96=0,"",INDEX(auto_DataFlat_DataValue,$H96+W$18))</f>
        <v>33807403</v>
      </c>
      <c r="X96" s="154" cm="1">
        <f t="array" aca="1" ref="X96" ca="1">IF($G96=0,"",INDEX(auto_DataFlat_DataValue,$H96+X$18))</f>
        <v>23935652</v>
      </c>
      <c r="Y96" s="154" cm="1">
        <f t="array" aca="1" ref="Y96" ca="1">IF($G96=0,"",INDEX(auto_DataFlat_DataValue,$H96+Y$18))</f>
        <v>3051016</v>
      </c>
      <c r="Z96" s="154" cm="1">
        <f t="array" aca="1" ref="Z96" ca="1">IF($G96=0,"",INDEX(auto_DataFlat_DataValue,$H96+Z$18))</f>
        <v>1346810</v>
      </c>
      <c r="AA96" s="154" cm="1">
        <f t="array" aca="1" ref="AA96" ca="1">IF($G96=0,"",INDEX(auto_DataFlat_DataValue,$H96+AA$18))</f>
        <v>9567656</v>
      </c>
      <c r="AB96" s="154" cm="1">
        <f t="array" aca="1" ref="AB96" ca="1">IF($G96=0,"",INDEX(auto_DataFlat_DataValue,$H96+AB$18))</f>
        <v>7725859</v>
      </c>
      <c r="AC96" s="154" cm="1">
        <f t="array" aca="1" ref="AC96" ca="1">IF($G96=0,"",INDEX(auto_DataFlat_DataValue,$H96+AC$18))</f>
        <v>16047350</v>
      </c>
      <c r="AD96" s="154" cm="1">
        <f t="array" aca="1" ref="AD96" ca="1">IF($G96=0,"",INDEX(auto_DataFlat_DataValue,$H96+AD$18))</f>
        <v>11436004</v>
      </c>
      <c r="AE96" s="154" cm="1">
        <f t="array" aca="1" ref="AE96" ca="1">IF($G96=0,"",INDEX(auto_DataFlat_DataValue,$H96+AE$18))</f>
        <v>6324351</v>
      </c>
      <c r="AF96" s="154" cm="1">
        <f t="array" aca="1" ref="AF96" ca="1">IF($G96=0,"",INDEX(auto_DataFlat_DataValue,$H96+AF$18))</f>
        <v>17648555</v>
      </c>
      <c r="AG96" s="154" cm="1">
        <f t="array" aca="1" ref="AG96" ca="1">IF($G96=0,"",INDEX(auto_DataFlat_DataValue,$H96+AG$18))</f>
        <v>1621642</v>
      </c>
      <c r="AH96" s="154" cm="1">
        <f t="array" aca="1" ref="AH96" ca="1">IF($G96=0,"",INDEX(auto_DataFlat_DataValue,$H96+AH$18))</f>
        <v>15570786</v>
      </c>
      <c r="AI96" s="154" cm="1">
        <f t="array" aca="1" ref="AI96" ca="1">IF($G96=0,"",INDEX(auto_DataFlat_DataValue,$H96+AI$18))</f>
        <v>3353602</v>
      </c>
      <c r="AJ96" s="154" cm="1">
        <f t="array" aca="1" ref="AJ96" ca="1">IF($G96=0,"",INDEX(auto_DataFlat_DataValue,$H96+AJ$18))</f>
        <v>16536018</v>
      </c>
      <c r="AK96" s="154" cm="1">
        <f t="array" aca="1" ref="AK96" ca="1">IF($G96=0,"",INDEX(auto_DataFlat_DataValue,$H96+AK$18))</f>
        <v>9748033</v>
      </c>
      <c r="AL96" s="154" cm="1">
        <f t="array" aca="1" ref="AL96" ca="1">IF($G96=0,"",INDEX(auto_DataFlat_DataValue,$H96+AL$18))</f>
        <v>6783241</v>
      </c>
      <c r="AM96" s="154" cm="1">
        <f t="array" aca="1" ref="AM96" ca="1">IF($G96=0,"",INDEX(auto_DataFlat_DataValue,$H96+AM$18))</f>
        <v>14941953</v>
      </c>
      <c r="AN96" s="154" cm="1">
        <f t="array" aca="1" ref="AN96" ca="1">IF($G96=0,"",INDEX(auto_DataFlat_DataValue,$H96+AN$18))</f>
        <v>5315600</v>
      </c>
      <c r="AO96" s="154" cm="1">
        <f t="array" aca="1" ref="AO96" ca="1">IF($G96=0,"",INDEX(auto_DataFlat_DataValue,$H96+AO$18))</f>
        <v>22505315</v>
      </c>
      <c r="AP96" s="154" cm="1">
        <f t="array" aca="1" ref="AP96" ca="1">IF($G96=0,"",INDEX(auto_DataFlat_DataValue,$H96+AP$18))</f>
        <v>12712305</v>
      </c>
      <c r="AQ96" s="154" cm="1">
        <f t="array" aca="1" ref="AQ96" ca="1">IF($G96=0,"",INDEX(auto_DataFlat_DataValue,$H96+AQ$18))</f>
        <v>21673149</v>
      </c>
      <c r="AR96" s="154" cm="1">
        <f t="array" aca="1" ref="AR96" ca="1">IF($G96=0,"",INDEX(auto_DataFlat_DataValue,$H96+AR$18))</f>
        <v>5541172</v>
      </c>
      <c r="AS96" s="154" cm="1">
        <f t="array" aca="1" ref="AS96" ca="1">IF($G96=0,"",INDEX(auto_DataFlat_DataValue,$H96+AS$18))</f>
        <v>7931147</v>
      </c>
      <c r="AT96" s="154" cm="1">
        <f t="array" aca="1" ref="AT96" ca="1">IF($G96=0,"",INDEX(auto_DataFlat_DataValue,$H96+AT$18))</f>
        <v>18967459</v>
      </c>
      <c r="AU96" s="154" cm="1">
        <f t="array" aca="1" ref="AU96" ca="1">IF($G96=0,"",INDEX(auto_DataFlat_DataValue,$H96+AU$18))</f>
        <v>11276701</v>
      </c>
      <c r="AV96" s="154" cm="1">
        <f t="array" aca="1" ref="AV96" ca="1">IF($G96=0,"",INDEX(auto_DataFlat_DataValue,$H96+AV$18))</f>
        <v>2352680</v>
      </c>
      <c r="AW96" s="154" cm="1">
        <f t="array" aca="1" ref="AW96" ca="1">IF($G96=0,"",INDEX(auto_DataFlat_DataValue,$H96+AW$18))</f>
        <v>7820551</v>
      </c>
      <c r="AX96" s="154" cm="1">
        <f t="array" aca="1" ref="AX96" ca="1">IF($G96=0,"",INDEX(auto_DataFlat_DataValue,$H96+AX$18))</f>
        <v>4331974</v>
      </c>
      <c r="AY96" s="154" cm="1">
        <f t="array" aca="1" ref="AY96" ca="1">IF($G96=0,"",INDEX(auto_DataFlat_DataValue,$H96+AY$18))</f>
        <v>808437</v>
      </c>
      <c r="AZ96" s="154" cm="1">
        <f t="array" aca="1" ref="AZ96" ca="1">IF($G96=0,"",INDEX(auto_DataFlat_DataValue,$H96+AZ$18))</f>
        <v>22806704</v>
      </c>
      <c r="BA96" s="154" cm="1">
        <f t="array" aca="1" ref="BA96" ca="1">IF($G96=0,"",INDEX(auto_DataFlat_DataValue,$H96+BA$18))</f>
        <v>10004840</v>
      </c>
      <c r="BB96" s="154" cm="1">
        <f t="array" aca="1" ref="BB96" ca="1">IF($G96=0,"",INDEX(auto_DataFlat_DataValue,$H96+BB$18))</f>
        <v>29867918</v>
      </c>
      <c r="BC96" s="154" cm="1">
        <f t="array" aca="1" ref="BC96" ca="1">IF($G96=0,"",INDEX(auto_DataFlat_DataValue,$H96+BC$18))</f>
        <v>6119203</v>
      </c>
      <c r="BD96" s="154" cm="1">
        <f t="array" aca="1" ref="BD96" ca="1">IF($G96=0,"",INDEX(auto_DataFlat_DataValue,$H96+BD$18))</f>
        <v>5184896</v>
      </c>
      <c r="BE96" s="154" cm="1">
        <f t="array" aca="1" ref="BE96" ca="1">IF($G96=0,"",INDEX(auto_DataFlat_DataValue,$H96+BE$18))</f>
        <v>37115035</v>
      </c>
      <c r="BF96" s="154" cm="1">
        <f t="array" aca="1" ref="BF96" ca="1">IF($G96=0,"",INDEX(auto_DataFlat_DataValue,$H96+BF$18))</f>
        <v>6431430</v>
      </c>
      <c r="BG96" s="154" cm="1">
        <f t="array" aca="1" ref="BG96" ca="1">IF($G96=0,"",INDEX(auto_DataFlat_DataValue,$H96+BG$18))</f>
        <v>1990487</v>
      </c>
      <c r="BH96" s="154" cm="1">
        <f t="array" aca="1" ref="BH96" ca="1">IF($G96=0,"",INDEX(auto_DataFlat_DataValue,$H96+BH$18))</f>
        <v>8850850</v>
      </c>
      <c r="BI96" s="154" cm="1">
        <f t="array" aca="1" ref="BI96" ca="1">IF($G96=0,"",INDEX(auto_DataFlat_DataValue,$H96+BI$18))</f>
        <v>5709678</v>
      </c>
    </row>
    <row r="97" spans="1:61" ht="17.05" customHeight="1" x14ac:dyDescent="0.4">
      <c r="A97" t="str">
        <f t="shared" si="4"/>
        <v/>
      </c>
      <c r="B97" s="42" t="str">
        <f t="shared" ca="1" si="1"/>
        <v/>
      </c>
      <c r="C97" s="100">
        <v>78</v>
      </c>
      <c r="D97" s="49" cm="1">
        <f t="array" aca="1" ref="D97" ca="1">INDEX(OFFSET(auto_ss_data_table,0,1,500,1),C97)</f>
        <v>78</v>
      </c>
      <c r="E97" s="101" cm="1">
        <f t="array" aca="1" ref="E97" ca="1">INDEX(auto_tblSeries,$D97,E$18)</f>
        <v>1</v>
      </c>
      <c r="F97" s="101" t="str" cm="1">
        <f t="array" aca="1" ref="F97" ca="1">INDEX(auto_tblSeries,$D97,F$18)</f>
        <v>#,0.0</v>
      </c>
      <c r="G97" s="101" cm="1">
        <f t="array" aca="1" ref="G97" ca="1">INDEX(auto_tblSeries,$D97,G$18)</f>
        <v>1</v>
      </c>
      <c r="H97" s="101" cm="1">
        <f t="array" aca="1" ref="H97" ca="1">INDEX(sys_DataFlat_LU_Grid,$D97,1)-1</f>
        <v>4620</v>
      </c>
      <c r="I97" s="26"/>
      <c r="J97" s="151" t="str" cm="1">
        <f t="array" aca="1" ref="J97" ca="1">INDEX(auto_Series_NameNumbered,$D97)</f>
        <v>BG14) GDP PER CAPITA IN $US</v>
      </c>
      <c r="K97" s="152" t="str" cm="1">
        <f t="array" aca="1" ref="K97" ca="1">IF($G97=0,"",INDEX(auto_tblSeries,$D97,K$18))</f>
        <v>Current $US</v>
      </c>
      <c r="L97" s="153" cm="1">
        <f t="array" aca="1" ref="L97" ca="1">IF($G97=0,"",INDEX(auto_DataFlat_DataValue,$H97+L$18))</f>
        <v>1027.5999999999999</v>
      </c>
      <c r="M97" s="153" cm="1">
        <f t="array" aca="1" ref="M97" ca="1">IF($G97=0,"",INDEX(auto_DataFlat_DataValue,$H97+M$18))</f>
        <v>4342.6000000000004</v>
      </c>
      <c r="N97" s="153" cm="1">
        <f t="array" aca="1" ref="N97" ca="1">IF($G97=0,"",INDEX(auto_DataFlat_DataValue,$H97+N$18))</f>
        <v>76329.600000000006</v>
      </c>
      <c r="O97" s="153" cm="1">
        <f t="array" aca="1" ref="O97" ca="1">IF($G97=0,"",INDEX(auto_DataFlat_DataValue,$H97+O$18))</f>
        <v>48418.6</v>
      </c>
      <c r="P97" s="153" cm="1">
        <f t="array" aca="1" ref="P97" ca="1">IF($G97=0,"",INDEX(auto_DataFlat_DataValue,$H97+P$18))</f>
        <v>6910</v>
      </c>
      <c r="Q97" s="153" cm="1">
        <f t="array" aca="1" ref="Q97" ca="1">IF($G97=0,"",INDEX(auto_DataFlat_DataValue,$H97+Q$18))</f>
        <v>12720.2</v>
      </c>
      <c r="R97" s="153" cm="1">
        <f t="array" aca="1" ref="R97" ca="1">IF($G97=0,"",INDEX(auto_DataFlat_DataValue,$H97+R$18))</f>
        <v>48718</v>
      </c>
      <c r="S97" s="153" cm="1">
        <f t="array" aca="1" ref="S97" ca="1">IF($G97=0,"",INDEX(auto_DataFlat_DataValue,$H97+S$18))</f>
        <v>6624.2</v>
      </c>
      <c r="T97" s="153" cm="1">
        <f t="array" aca="1" ref="T97" ca="1">IF($G97=0,"",INDEX(auto_DataFlat_DataValue,$H97+T$18))</f>
        <v>18390.2</v>
      </c>
      <c r="U97" s="153" cm="1">
        <f t="array" aca="1" ref="U97" ca="1">IF($G97=0,"",INDEX(auto_DataFlat_DataValue,$H97+U$18))</f>
        <v>4295.3999999999996</v>
      </c>
      <c r="V97" s="153" cm="1">
        <f t="array" aca="1" ref="V97" ca="1">IF($G97=0,"",INDEX(auto_DataFlat_DataValue,$H97+V$18))</f>
        <v>3354.4</v>
      </c>
      <c r="W97" s="153" cm="1">
        <f t="array" aca="1" ref="W97" ca="1">IF($G97=0,"",INDEX(auto_DataFlat_DataValue,$H97+W$18))</f>
        <v>2410.9</v>
      </c>
      <c r="X97" s="153" cm="1">
        <f t="array" aca="1" ref="X97" ca="1">IF($G97=0,"",INDEX(auto_DataFlat_DataValue,$H97+X$18))</f>
        <v>2688.3</v>
      </c>
      <c r="Y97" s="153" cm="1">
        <f t="array" aca="1" ref="Y97" ca="1">IF($G97=0,"",INDEX(auto_DataFlat_DataValue,$H97+Y$18))</f>
        <v>53708</v>
      </c>
      <c r="Z97" s="153" cm="1">
        <f t="array" aca="1" ref="Z97" ca="1">IF($G97=0,"",INDEX(auto_DataFlat_DataValue,$H97+Z$18))</f>
        <v>50871.9</v>
      </c>
      <c r="AA97" s="153" cm="1">
        <f t="array" aca="1" ref="AA97" ca="1">IF($G97=0,"",INDEX(auto_DataFlat_DataValue,$H97+AA$18))</f>
        <v>4163.5</v>
      </c>
      <c r="AB97" s="153" cm="1">
        <f t="array" aca="1" ref="AB97" ca="1">IF($G97=0,"",INDEX(auto_DataFlat_DataValue,$H97+AB$18))</f>
        <v>48983.6</v>
      </c>
      <c r="AC97" s="153" cm="1">
        <f t="array" aca="1" ref="AC97" ca="1">IF($G97=0,"",INDEX(auto_DataFlat_DataValue,$H97+AC$18))</f>
        <v>10674.5</v>
      </c>
      <c r="AD97" s="153" cm="1">
        <f t="array" aca="1" ref="AD97" ca="1">IF($G97=0,"",INDEX(auto_DataFlat_DataValue,$H97+AD$18))</f>
        <v>4788</v>
      </c>
      <c r="AE97" s="153" cm="1">
        <f t="array" aca="1" ref="AE97" ca="1">IF($G97=0,"",INDEX(auto_DataFlat_DataValue,$H97+AE$18))</f>
        <v>6766.5</v>
      </c>
      <c r="AF97" s="153" cm="1">
        <f t="array" aca="1" ref="AF97" ca="1">IF($G97=0,"",INDEX(auto_DataFlat_DataValue,$H97+AF$18))</f>
        <v>1588.9</v>
      </c>
      <c r="AG97" s="153" cm="1">
        <f t="array" aca="1" ref="AG97" ca="1">IF($G97=0,"",INDEX(auto_DataFlat_DataValue,$H97+AG$18))</f>
        <v>1336.5</v>
      </c>
      <c r="AH97" s="153" cm="1">
        <f t="array" aca="1" ref="AH97" ca="1">IF($G97=0,"",INDEX(auto_DataFlat_DataValue,$H97+AH$18))</f>
        <v>2410.9</v>
      </c>
      <c r="AI97" s="153" cm="1">
        <f t="array" aca="1" ref="AI97" ca="1">IF($G97=0,"",INDEX(auto_DataFlat_DataValue,$H97+AI$18))</f>
        <v>41079.5</v>
      </c>
      <c r="AJ97" s="153" cm="1">
        <f t="array" aca="1" ref="AJ97" ca="1">IF($G97=0,"",INDEX(auto_DataFlat_DataValue,$H97+AJ$18))</f>
        <v>2162.6</v>
      </c>
      <c r="AK97" s="153" cm="1">
        <f t="array" aca="1" ref="AK97" ca="1">IF($G97=0,"",INDEX(auto_DataFlat_DataValue,$H97+AK$18))</f>
        <v>46125.3</v>
      </c>
      <c r="AL97" s="153" cm="1">
        <f t="array" aca="1" ref="AL97" ca="1">IF($G97=0,"",INDEX(auto_DataFlat_DataValue,$H97+AL$18))</f>
        <v>29674.5</v>
      </c>
      <c r="AM97" s="153" cm="1">
        <f t="array" aca="1" ref="AM97" ca="1">IF($G97=0,"",INDEX(auto_DataFlat_DataValue,$H97+AM$18))</f>
        <v>3498.5</v>
      </c>
      <c r="AN97" s="153" cm="1">
        <f t="array" aca="1" ref="AN97" ca="1">IF($G97=0,"",INDEX(auto_DataFlat_DataValue,$H97+AN$18))</f>
        <v>65099.8</v>
      </c>
      <c r="AO97" s="153" cm="1">
        <f t="array" aca="1" ref="AO97" ca="1">IF($G97=0,"",INDEX(auto_DataFlat_DataValue,$H97+AO$18))</f>
        <v>11496.5</v>
      </c>
      <c r="AP97" s="153" cm="1">
        <f t="array" aca="1" ref="AP97" ca="1">IF($G97=0,"",INDEX(auto_DataFlat_DataValue,$H97+AP$18))</f>
        <v>15270.7</v>
      </c>
      <c r="AQ97" s="153" cm="1">
        <f t="array" aca="1" ref="AQ97" ca="1">IF($G97=0,"",INDEX(auto_DataFlat_DataValue,$H97+AQ$18))</f>
        <v>2410.9</v>
      </c>
      <c r="AR97" s="153" cm="1">
        <f t="array" aca="1" ref="AR97" ca="1">IF($G97=0,"",INDEX(auto_DataFlat_DataValue,$H97+AR$18))</f>
        <v>2099.3000000000002</v>
      </c>
      <c r="AS97" s="153" cm="1">
        <f t="array" aca="1" ref="AS97" ca="1">IF($G97=0,"",INDEX(auto_DataFlat_DataValue,$H97+AS$18))</f>
        <v>76329.600000000006</v>
      </c>
      <c r="AT97" s="153" cm="1">
        <f t="array" aca="1" ref="AT97" ca="1">IF($G97=0,"",INDEX(auto_DataFlat_DataValue,$H97+AT$18))</f>
        <v>34017.300000000003</v>
      </c>
      <c r="AU97" s="153" cm="1">
        <f t="array" aca="1" ref="AU97" ca="1">IF($G97=0,"",INDEX(auto_DataFlat_DataValue,$H97+AU$18))</f>
        <v>40886.300000000003</v>
      </c>
      <c r="AV97" s="153" cm="1">
        <f t="array" aca="1" ref="AV97" ca="1">IF($G97=0,"",INDEX(auto_DataFlat_DataValue,$H97+AV$18))</f>
        <v>1759.6</v>
      </c>
      <c r="AW97" s="153" cm="1">
        <f t="array" aca="1" ref="AW97" ca="1">IF($G97=0,"",INDEX(auto_DataFlat_DataValue,$H97+AW$18))</f>
        <v>30447.9</v>
      </c>
      <c r="AX97" s="153" cm="1">
        <f t="array" aca="1" ref="AX97" ca="1">IF($G97=0,"",INDEX(auto_DataFlat_DataValue,$H97+AX$18))</f>
        <v>34776.400000000001</v>
      </c>
      <c r="AY97" s="153" cm="1">
        <f t="array" aca="1" ref="AY97" ca="1">IF($G97=0,"",INDEX(auto_DataFlat_DataValue,$H97+AY$18))</f>
        <v>76329.600000000006</v>
      </c>
      <c r="AZ97" s="153" cm="1">
        <f t="array" aca="1" ref="AZ97" ca="1">IF($G97=0,"",INDEX(auto_DataFlat_DataValue,$H97+AZ$18))</f>
        <v>8917.7000000000007</v>
      </c>
      <c r="BA97" s="153" cm="1">
        <f t="array" aca="1" ref="BA97" ca="1">IF($G97=0,"",INDEX(auto_DataFlat_DataValue,$H97+BA$18))</f>
        <v>32422.6</v>
      </c>
      <c r="BB97" s="153" cm="1">
        <f t="array" aca="1" ref="BB97" ca="1">IF($G97=0,"",INDEX(auto_DataFlat_DataValue,$H97+BB$18))</f>
        <v>12720.2</v>
      </c>
      <c r="BC97" s="153" cm="1">
        <f t="array" aca="1" ref="BC97" ca="1">IF($G97=0,"",INDEX(auto_DataFlat_DataValue,$H97+BC$18))</f>
        <v>82807.600000000006</v>
      </c>
      <c r="BD97" s="153" cm="1">
        <f t="array" aca="1" ref="BD97" ca="1">IF($G97=0,"",INDEX(auto_DataFlat_DataValue,$H97+BD$18))</f>
        <v>65099.8</v>
      </c>
      <c r="BE97" s="153" cm="1">
        <f t="array" aca="1" ref="BE97" ca="1">IF($G97=0,"",INDEX(auto_DataFlat_DataValue,$H97+BE$18))</f>
        <v>34017.300000000003</v>
      </c>
      <c r="BF97" s="153" cm="1">
        <f t="array" aca="1" ref="BF97" ca="1">IF($G97=0,"",INDEX(auto_DataFlat_DataValue,$H97+BF$18))</f>
        <v>55522.400000000001</v>
      </c>
      <c r="BG97" s="153" cm="1">
        <f t="array" aca="1" ref="BG97" ca="1">IF($G97=0,"",INDEX(auto_DataFlat_DataValue,$H97+BG$18))</f>
        <v>52084.7</v>
      </c>
      <c r="BH97" s="153" cm="1">
        <f t="array" aca="1" ref="BH97" ca="1">IF($G97=0,"",INDEX(auto_DataFlat_DataValue,$H97+BH$18))</f>
        <v>12720.2</v>
      </c>
      <c r="BI97" s="153" cm="1">
        <f t="array" aca="1" ref="BI97" ca="1">IF($G97=0,"",INDEX(auto_DataFlat_DataValue,$H97+BI$18))</f>
        <v>1149.2</v>
      </c>
    </row>
    <row r="98" spans="1:61" x14ac:dyDescent="0.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1:61" x14ac:dyDescent="0.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row>
    <row r="100" spans="1:61" x14ac:dyDescent="0.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row>
    <row r="101" spans="1:61" x14ac:dyDescent="0.4">
      <c r="A101" t="s">
        <v>3</v>
      </c>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row>
    <row r="102" spans="1:61" x14ac:dyDescent="0.4"/>
    <row r="103" spans="1:61" x14ac:dyDescent="0.4"/>
    <row r="104" spans="1:61" x14ac:dyDescent="0.4"/>
    <row r="105" spans="1:61" x14ac:dyDescent="0.4"/>
    <row r="106" spans="1:61" x14ac:dyDescent="0.4"/>
    <row r="107" spans="1:61" x14ac:dyDescent="0.4"/>
    <row r="108" spans="1:61" x14ac:dyDescent="0.4"/>
    <row r="109" spans="1:61" x14ac:dyDescent="0.4"/>
    <row r="110" spans="1:61" x14ac:dyDescent="0.4"/>
    <row r="111" spans="1:61" x14ac:dyDescent="0.4"/>
    <row r="112" spans="1:61" x14ac:dyDescent="0.4"/>
    <row r="113" x14ac:dyDescent="0.4"/>
    <row r="114" x14ac:dyDescent="0.4"/>
    <row r="115" x14ac:dyDescent="0.4"/>
    <row r="116" x14ac:dyDescent="0.4"/>
    <row r="117" x14ac:dyDescent="0.4"/>
    <row r="118" x14ac:dyDescent="0.4"/>
    <row r="119" x14ac:dyDescent="0.4"/>
    <row r="120" x14ac:dyDescent="0.4"/>
    <row r="121" x14ac:dyDescent="0.4"/>
    <row r="122" x14ac:dyDescent="0.4"/>
    <row r="123" x14ac:dyDescent="0.4"/>
    <row r="124" x14ac:dyDescent="0.4"/>
    <row r="125" x14ac:dyDescent="0.4"/>
    <row r="126" x14ac:dyDescent="0.4"/>
    <row r="127" x14ac:dyDescent="0.4"/>
    <row r="128" x14ac:dyDescent="0.4"/>
    <row r="129" x14ac:dyDescent="0.4"/>
    <row r="130" x14ac:dyDescent="0.4"/>
    <row r="131" x14ac:dyDescent="0.4"/>
    <row r="132" x14ac:dyDescent="0.4"/>
    <row r="133" x14ac:dyDescent="0.4"/>
    <row r="134" x14ac:dyDescent="0.4"/>
    <row r="135" x14ac:dyDescent="0.4"/>
    <row r="136" x14ac:dyDescent="0.4"/>
    <row r="137" x14ac:dyDescent="0.4"/>
    <row r="138" x14ac:dyDescent="0.4"/>
    <row r="139" x14ac:dyDescent="0.4"/>
    <row r="140" x14ac:dyDescent="0.4"/>
    <row r="141" x14ac:dyDescent="0.4"/>
    <row r="142" x14ac:dyDescent="0.4"/>
    <row r="143" x14ac:dyDescent="0.4"/>
    <row r="144" x14ac:dyDescent="0.4"/>
    <row r="145" x14ac:dyDescent="0.4"/>
    <row r="146" x14ac:dyDescent="0.4"/>
    <row r="147" x14ac:dyDescent="0.4"/>
    <row r="148" x14ac:dyDescent="0.4"/>
    <row r="149" x14ac:dyDescent="0.4"/>
    <row r="150" x14ac:dyDescent="0.4"/>
    <row r="151" x14ac:dyDescent="0.4"/>
    <row r="152" x14ac:dyDescent="0.4"/>
    <row r="153" x14ac:dyDescent="0.4"/>
    <row r="154" x14ac:dyDescent="0.4"/>
    <row r="155" x14ac:dyDescent="0.4"/>
    <row r="156" x14ac:dyDescent="0.4"/>
    <row r="157" x14ac:dyDescent="0.4"/>
    <row r="158" x14ac:dyDescent="0.4"/>
    <row r="159" x14ac:dyDescent="0.4"/>
    <row r="160" x14ac:dyDescent="0.4"/>
    <row r="161" x14ac:dyDescent="0.4"/>
    <row r="162" x14ac:dyDescent="0.4"/>
    <row r="163" x14ac:dyDescent="0.4"/>
    <row r="164" x14ac:dyDescent="0.4"/>
    <row r="165" x14ac:dyDescent="0.4"/>
    <row r="166" x14ac:dyDescent="0.4"/>
    <row r="167" x14ac:dyDescent="0.4"/>
    <row r="168" x14ac:dyDescent="0.4"/>
    <row r="169" x14ac:dyDescent="0.4"/>
    <row r="170" x14ac:dyDescent="0.4"/>
    <row r="171" x14ac:dyDescent="0.4"/>
    <row r="172" x14ac:dyDescent="0.4"/>
    <row r="173" x14ac:dyDescent="0.4"/>
    <row r="174" x14ac:dyDescent="0.4"/>
    <row r="175" x14ac:dyDescent="0.4"/>
    <row r="176" x14ac:dyDescent="0.4"/>
    <row r="177" x14ac:dyDescent="0.4"/>
    <row r="178" x14ac:dyDescent="0.4"/>
    <row r="179" x14ac:dyDescent="0.4"/>
    <row r="180" x14ac:dyDescent="0.4"/>
    <row r="181" x14ac:dyDescent="0.4"/>
    <row r="182" x14ac:dyDescent="0.4"/>
    <row r="183" x14ac:dyDescent="0.4"/>
    <row r="184" x14ac:dyDescent="0.4"/>
    <row r="185" x14ac:dyDescent="0.4"/>
    <row r="186" x14ac:dyDescent="0.4"/>
    <row r="187" x14ac:dyDescent="0.4"/>
    <row r="188" x14ac:dyDescent="0.4"/>
    <row r="189" x14ac:dyDescent="0.4"/>
    <row r="190" x14ac:dyDescent="0.4"/>
    <row r="191" x14ac:dyDescent="0.4"/>
    <row r="192" x14ac:dyDescent="0.4"/>
    <row r="193" x14ac:dyDescent="0.4"/>
    <row r="194" x14ac:dyDescent="0.4"/>
    <row r="195" x14ac:dyDescent="0.4"/>
    <row r="196" x14ac:dyDescent="0.4"/>
    <row r="197" x14ac:dyDescent="0.4"/>
    <row r="198" x14ac:dyDescent="0.4"/>
    <row r="199" x14ac:dyDescent="0.4"/>
    <row r="200" x14ac:dyDescent="0.4"/>
    <row r="201" x14ac:dyDescent="0.4"/>
    <row r="202" x14ac:dyDescent="0.4"/>
    <row r="203" x14ac:dyDescent="0.4"/>
    <row r="204" x14ac:dyDescent="0.4"/>
    <row r="205" x14ac:dyDescent="0.4"/>
    <row r="206" x14ac:dyDescent="0.4"/>
    <row r="207" x14ac:dyDescent="0.4"/>
    <row r="208" x14ac:dyDescent="0.4"/>
    <row r="209" x14ac:dyDescent="0.4"/>
    <row r="210" x14ac:dyDescent="0.4"/>
    <row r="211" x14ac:dyDescent="0.4"/>
    <row r="212" x14ac:dyDescent="0.4"/>
    <row r="213" x14ac:dyDescent="0.4"/>
    <row r="214" x14ac:dyDescent="0.4"/>
    <row r="215" x14ac:dyDescent="0.4"/>
    <row r="216" x14ac:dyDescent="0.4"/>
    <row r="217" x14ac:dyDescent="0.4"/>
    <row r="218" x14ac:dyDescent="0.4"/>
    <row r="219" x14ac:dyDescent="0.4"/>
    <row r="220" x14ac:dyDescent="0.4"/>
    <row r="221" x14ac:dyDescent="0.4"/>
    <row r="222" x14ac:dyDescent="0.4"/>
    <row r="223" x14ac:dyDescent="0.4"/>
    <row r="224" x14ac:dyDescent="0.4"/>
    <row r="225" x14ac:dyDescent="0.4"/>
    <row r="226" x14ac:dyDescent="0.4"/>
    <row r="227" x14ac:dyDescent="0.4"/>
    <row r="228" x14ac:dyDescent="0.4"/>
    <row r="229" x14ac:dyDescent="0.4"/>
    <row r="230" x14ac:dyDescent="0.4"/>
    <row r="231" x14ac:dyDescent="0.4"/>
    <row r="232" x14ac:dyDescent="0.4"/>
    <row r="233" x14ac:dyDescent="0.4"/>
    <row r="234" x14ac:dyDescent="0.4"/>
    <row r="235" x14ac:dyDescent="0.4"/>
    <row r="236" x14ac:dyDescent="0.4"/>
    <row r="237" x14ac:dyDescent="0.4"/>
    <row r="238" x14ac:dyDescent="0.4"/>
    <row r="239" x14ac:dyDescent="0.4"/>
    <row r="240" x14ac:dyDescent="0.4"/>
    <row r="241" x14ac:dyDescent="0.4"/>
    <row r="242" x14ac:dyDescent="0.4"/>
    <row r="243" x14ac:dyDescent="0.4"/>
    <row r="244" x14ac:dyDescent="0.4"/>
    <row r="245" x14ac:dyDescent="0.4"/>
    <row r="246" x14ac:dyDescent="0.4"/>
    <row r="247" x14ac:dyDescent="0.4"/>
    <row r="248" x14ac:dyDescent="0.4"/>
    <row r="249" x14ac:dyDescent="0.4"/>
    <row r="250" x14ac:dyDescent="0.4"/>
    <row r="251" x14ac:dyDescent="0.4"/>
    <row r="252" x14ac:dyDescent="0.4"/>
    <row r="253" x14ac:dyDescent="0.4"/>
    <row r="254" x14ac:dyDescent="0.4"/>
    <row r="255" x14ac:dyDescent="0.4"/>
    <row r="256" x14ac:dyDescent="0.4"/>
    <row r="257" x14ac:dyDescent="0.4"/>
    <row r="258" x14ac:dyDescent="0.4"/>
    <row r="259" x14ac:dyDescent="0.4"/>
    <row r="260" x14ac:dyDescent="0.4"/>
    <row r="261" x14ac:dyDescent="0.4"/>
    <row r="262" x14ac:dyDescent="0.4"/>
    <row r="263" x14ac:dyDescent="0.4"/>
    <row r="264" x14ac:dyDescent="0.4"/>
    <row r="265" x14ac:dyDescent="0.4"/>
    <row r="266" x14ac:dyDescent="0.4"/>
    <row r="267" x14ac:dyDescent="0.4"/>
    <row r="268" x14ac:dyDescent="0.4"/>
    <row r="269" x14ac:dyDescent="0.4"/>
    <row r="270" x14ac:dyDescent="0.4"/>
    <row r="271" x14ac:dyDescent="0.4"/>
    <row r="272" x14ac:dyDescent="0.4"/>
    <row r="273" x14ac:dyDescent="0.4"/>
    <row r="274" x14ac:dyDescent="0.4"/>
    <row r="275" x14ac:dyDescent="0.4"/>
    <row r="276" x14ac:dyDescent="0.4"/>
    <row r="277" x14ac:dyDescent="0.4"/>
    <row r="278" x14ac:dyDescent="0.4"/>
    <row r="279" x14ac:dyDescent="0.4"/>
    <row r="280" x14ac:dyDescent="0.4"/>
    <row r="281" x14ac:dyDescent="0.4"/>
    <row r="282" x14ac:dyDescent="0.4"/>
    <row r="283" x14ac:dyDescent="0.4"/>
    <row r="284" x14ac:dyDescent="0.4"/>
    <row r="285" x14ac:dyDescent="0.4"/>
    <row r="286" x14ac:dyDescent="0.4"/>
    <row r="287" x14ac:dyDescent="0.4"/>
    <row r="288" x14ac:dyDescent="0.4"/>
    <row r="289" x14ac:dyDescent="0.4"/>
    <row r="290" x14ac:dyDescent="0.4"/>
    <row r="291" x14ac:dyDescent="0.4"/>
    <row r="292" x14ac:dyDescent="0.4"/>
    <row r="293" x14ac:dyDescent="0.4"/>
    <row r="294" x14ac:dyDescent="0.4"/>
    <row r="295" x14ac:dyDescent="0.4"/>
    <row r="296" x14ac:dyDescent="0.4"/>
    <row r="297" x14ac:dyDescent="0.4"/>
    <row r="298" x14ac:dyDescent="0.4"/>
    <row r="299" x14ac:dyDescent="0.4"/>
    <row r="300" x14ac:dyDescent="0.4"/>
  </sheetData>
  <conditionalFormatting sqref="L20:BI97">
    <cfRule type="expression" dxfId="285" priority="3">
      <formula>L20="n/a"</formula>
    </cfRule>
  </conditionalFormatting>
  <pageMargins left="0.28958880139982501" right="0.28958880139982501" top="0.62992125984251945" bottom="0.39370078740157499" header="0.11811023622047251" footer="0.3"/>
  <pageSetup paperSize="9" scale="19" fitToHeight="0" orientation="landscape" r:id="rId1"/>
  <headerFooter scaleWithDoc="0">
    <oddHeader>&amp;R&amp;"Calibri"&amp;10&amp;K808080City Heartbeat 2024, 50 city index (v1.0)</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6580666" r:id="rId4" name="ui_cnt_DataTableFilter">
              <controlPr defaultSize="0" print="0" autoFill="0" autoPict="0" macro="[0]!k">
                <anchor>
                  <from>
                    <xdr:col>0</xdr:col>
                    <xdr:colOff>125186</xdr:colOff>
                    <xdr:row>3</xdr:row>
                    <xdr:rowOff>239486</xdr:rowOff>
                  </from>
                  <to>
                    <xdr:col>5</xdr:col>
                    <xdr:colOff>70757</xdr:colOff>
                    <xdr:row>3</xdr:row>
                    <xdr:rowOff>451757</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3BC20-0B9A-4195-9F77-951774C716D2}">
  <sheetPr codeName="Sheet44">
    <pageSetUpPr fitToPage="1"/>
  </sheetPr>
  <dimension ref="A1:BH300"/>
  <sheetViews>
    <sheetView showGridLines="0" showRowColHeaders="0" zoomScaleNormal="100" workbookViewId="0">
      <pane ySplit="19" topLeftCell="A20" activePane="bottomLeft" state="frozen"/>
      <selection pane="bottomLeft"/>
    </sheetView>
  </sheetViews>
  <sheetFormatPr defaultRowHeight="14.6" zeroHeight="1" x14ac:dyDescent="0.4"/>
  <cols>
    <col min="1" max="1" width="2.69140625" customWidth="1"/>
    <col min="2" max="2" width="3.3828125" customWidth="1"/>
    <col min="3" max="3" width="4.23046875" customWidth="1"/>
    <col min="4" max="5" width="4.3046875" customWidth="1"/>
    <col min="6" max="6" width="5.53515625" customWidth="1"/>
    <col min="7" max="7" width="4.3046875" customWidth="1"/>
    <col min="8" max="8" width="43.4609375" bestFit="1" customWidth="1"/>
    <col min="9" max="9" width="9.53515625" bestFit="1" customWidth="1"/>
    <col min="10" max="10" width="11.84375" customWidth="1"/>
    <col min="11" max="60" width="12.84375" customWidth="1"/>
  </cols>
  <sheetData>
    <row r="1" spans="1:60" ht="24" hidden="1" customHeight="1" x14ac:dyDescent="0.4">
      <c r="A1" t="s">
        <v>2</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row>
    <row r="2" spans="1:60" ht="24" customHeight="1" x14ac:dyDescent="0.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row>
    <row r="3" spans="1:60" ht="26.05" customHeight="1" x14ac:dyDescent="0.4">
      <c r="B3" s="4" t="s">
        <v>7205</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row>
    <row r="4" spans="1:60" ht="42" customHeight="1" x14ac:dyDescent="0.4">
      <c r="B4" s="35" t="s">
        <v>1110</v>
      </c>
      <c r="C4" s="35"/>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row>
    <row r="5" spans="1:60" ht="24" customHeight="1" x14ac:dyDescent="0.4">
      <c r="A5" t="s">
        <v>2</v>
      </c>
      <c r="B5" s="40" t="str">
        <f>uxbGlobals!$B$353</f>
        <v/>
      </c>
      <c r="C5" s="40"/>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row>
    <row r="6" spans="1:60" ht="24" customHeight="1" x14ac:dyDescent="0.4">
      <c r="A6" t="s">
        <v>2</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row>
    <row r="7" spans="1:60" ht="24" customHeight="1" x14ac:dyDescent="0.4">
      <c r="A7" t="s">
        <v>2</v>
      </c>
      <c r="B7" s="40">
        <f>uxbGlobals!$B$317</f>
        <v>0</v>
      </c>
      <c r="C7" s="40"/>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row>
    <row r="8" spans="1:60" ht="8.0500000000000007" customHeight="1" x14ac:dyDescent="0.4">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row>
    <row r="9" spans="1:60" ht="15" customHeight="1" x14ac:dyDescent="0.4">
      <c r="A9" t="s">
        <v>2</v>
      </c>
      <c r="B9" t="s">
        <v>2</v>
      </c>
      <c r="C9" t="s">
        <v>2</v>
      </c>
      <c r="D9" t="s">
        <v>2</v>
      </c>
      <c r="E9" t="s">
        <v>2</v>
      </c>
      <c r="F9" t="s">
        <v>2</v>
      </c>
      <c r="J9" t="s">
        <v>2</v>
      </c>
      <c r="K9" t="str">
        <f>IF(K$17=0,"H","")</f>
        <v/>
      </c>
      <c r="L9" t="str">
        <f t="shared" ref="L9:BH9" si="0">IF(L$17=0,"H","")</f>
        <v/>
      </c>
      <c r="M9" t="str">
        <f t="shared" si="0"/>
        <v/>
      </c>
      <c r="N9" t="str">
        <f t="shared" si="0"/>
        <v/>
      </c>
      <c r="O9" t="str">
        <f t="shared" si="0"/>
        <v/>
      </c>
      <c r="P9" t="str">
        <f t="shared" si="0"/>
        <v/>
      </c>
      <c r="Q9" t="str">
        <f t="shared" si="0"/>
        <v/>
      </c>
      <c r="R9" t="str">
        <f t="shared" si="0"/>
        <v/>
      </c>
      <c r="S9" t="str">
        <f t="shared" si="0"/>
        <v/>
      </c>
      <c r="T9" t="str">
        <f t="shared" si="0"/>
        <v/>
      </c>
      <c r="U9" t="str">
        <f t="shared" si="0"/>
        <v/>
      </c>
      <c r="V9" t="str">
        <f t="shared" si="0"/>
        <v/>
      </c>
      <c r="W9" t="str">
        <f t="shared" si="0"/>
        <v/>
      </c>
      <c r="X9" t="str">
        <f t="shared" si="0"/>
        <v/>
      </c>
      <c r="Y9" t="str">
        <f t="shared" si="0"/>
        <v/>
      </c>
      <c r="Z9" t="str">
        <f t="shared" si="0"/>
        <v/>
      </c>
      <c r="AA9" t="str">
        <f t="shared" si="0"/>
        <v/>
      </c>
      <c r="AB9" t="str">
        <f t="shared" si="0"/>
        <v/>
      </c>
      <c r="AC9" t="str">
        <f t="shared" si="0"/>
        <v/>
      </c>
      <c r="AD9" t="str">
        <f t="shared" si="0"/>
        <v/>
      </c>
      <c r="AE9" t="str">
        <f t="shared" si="0"/>
        <v/>
      </c>
      <c r="AF9" t="str">
        <f t="shared" si="0"/>
        <v/>
      </c>
      <c r="AG9" t="str">
        <f t="shared" si="0"/>
        <v/>
      </c>
      <c r="AH9" t="str">
        <f t="shared" si="0"/>
        <v/>
      </c>
      <c r="AI9" t="str">
        <f t="shared" si="0"/>
        <v/>
      </c>
      <c r="AJ9" t="str">
        <f t="shared" si="0"/>
        <v/>
      </c>
      <c r="AK9" t="str">
        <f t="shared" si="0"/>
        <v/>
      </c>
      <c r="AL9" t="str">
        <f t="shared" si="0"/>
        <v/>
      </c>
      <c r="AM9" t="str">
        <f t="shared" si="0"/>
        <v/>
      </c>
      <c r="AN9" t="str">
        <f t="shared" si="0"/>
        <v/>
      </c>
      <c r="AO9" t="str">
        <f t="shared" si="0"/>
        <v/>
      </c>
      <c r="AP9" t="str">
        <f t="shared" si="0"/>
        <v/>
      </c>
      <c r="AQ9" t="str">
        <f t="shared" si="0"/>
        <v/>
      </c>
      <c r="AR9" t="str">
        <f t="shared" si="0"/>
        <v/>
      </c>
      <c r="AS9" t="str">
        <f t="shared" si="0"/>
        <v/>
      </c>
      <c r="AT9" t="str">
        <f t="shared" si="0"/>
        <v/>
      </c>
      <c r="AU9" t="str">
        <f t="shared" si="0"/>
        <v/>
      </c>
      <c r="AV9" t="str">
        <f t="shared" si="0"/>
        <v/>
      </c>
      <c r="AW9" t="str">
        <f t="shared" si="0"/>
        <v/>
      </c>
      <c r="AX9" t="str">
        <f t="shared" si="0"/>
        <v/>
      </c>
      <c r="AY9" t="str">
        <f t="shared" si="0"/>
        <v/>
      </c>
      <c r="AZ9" t="str">
        <f t="shared" si="0"/>
        <v/>
      </c>
      <c r="BA9" t="str">
        <f t="shared" si="0"/>
        <v/>
      </c>
      <c r="BB9" t="str">
        <f t="shared" si="0"/>
        <v/>
      </c>
      <c r="BC9" t="str">
        <f t="shared" si="0"/>
        <v/>
      </c>
      <c r="BD9" t="str">
        <f t="shared" si="0"/>
        <v/>
      </c>
      <c r="BE9" t="str">
        <f t="shared" si="0"/>
        <v/>
      </c>
      <c r="BF9" t="str">
        <f t="shared" si="0"/>
        <v/>
      </c>
      <c r="BG9" t="str">
        <f t="shared" si="0"/>
        <v/>
      </c>
      <c r="BH9" t="str">
        <f t="shared" si="0"/>
        <v/>
      </c>
    </row>
    <row r="10" spans="1:60" ht="15" customHeight="1" x14ac:dyDescent="0.4">
      <c r="A10" t="s">
        <v>2</v>
      </c>
      <c r="B10" t="s">
        <v>2</v>
      </c>
      <c r="C10" t="s">
        <v>136</v>
      </c>
      <c r="D10" t="s">
        <v>136</v>
      </c>
      <c r="E10" t="s">
        <v>136</v>
      </c>
      <c r="F10" t="s">
        <v>136</v>
      </c>
      <c r="G10" t="s">
        <v>136</v>
      </c>
      <c r="H10" t="s">
        <v>136</v>
      </c>
    </row>
    <row r="11" spans="1:60" ht="10.5" customHeight="1" x14ac:dyDescent="0.4">
      <c r="A11" t="s">
        <v>2</v>
      </c>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row>
    <row r="12" spans="1:60" ht="18.75" customHeight="1" x14ac:dyDescent="0.5">
      <c r="A12" t="s">
        <v>487</v>
      </c>
      <c r="B12" s="49">
        <f>uxbGlobals!$B$329</f>
        <v>1</v>
      </c>
      <c r="C12" s="49"/>
      <c r="D12" s="4"/>
      <c r="E12" s="4"/>
      <c r="F12" s="4"/>
      <c r="G12" s="4"/>
      <c r="H12" s="117" t="str">
        <f>CONCATENATE("Scores table")</f>
        <v>Scores table</v>
      </c>
      <c r="I12" s="38"/>
      <c r="J12" s="38"/>
      <c r="K12" s="12"/>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0" ht="16.5" customHeight="1" x14ac:dyDescent="0.4">
      <c r="A13" t="s">
        <v>1020</v>
      </c>
      <c r="B13" s="49">
        <f>uxbGlobals!$B$270</f>
        <v>3</v>
      </c>
      <c r="C13" s="49"/>
      <c r="D13" s="4"/>
      <c r="E13" s="4"/>
      <c r="F13" s="4"/>
      <c r="G13" s="4"/>
      <c r="H13" s="37" t="str">
        <f>uxbGlobals!$B$202</f>
        <v>Score 0-100 where 100=most healthy environment</v>
      </c>
      <c r="I13" s="37"/>
      <c r="J13" s="37"/>
      <c r="K13" s="12"/>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row>
    <row r="14" spans="1:60" ht="19.5" customHeight="1" x14ac:dyDescent="0.4">
      <c r="B14" s="49"/>
      <c r="C14" s="49"/>
      <c r="D14" s="4"/>
      <c r="E14" s="4"/>
      <c r="F14" s="4"/>
      <c r="G14" s="4"/>
      <c r="H14" s="81" t="s">
        <v>1664</v>
      </c>
      <c r="I14" s="37"/>
      <c r="J14" s="37"/>
      <c r="K14" s="12"/>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row>
    <row r="15" spans="1:60" ht="16.5" customHeight="1" x14ac:dyDescent="0.4">
      <c r="B15" s="49"/>
      <c r="C15" s="49"/>
      <c r="D15" s="4"/>
      <c r="E15" s="4"/>
      <c r="F15" s="4"/>
      <c r="G15" s="4"/>
      <c r="H15" s="31"/>
      <c r="I15" s="37"/>
      <c r="J15" s="37"/>
      <c r="K15" s="12"/>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row>
    <row r="16" spans="1:60" ht="16.5" customHeight="1" x14ac:dyDescent="0.4">
      <c r="A16" t="s">
        <v>2</v>
      </c>
      <c r="B16" s="26"/>
      <c r="C16" s="26"/>
      <c r="D16" s="49"/>
      <c r="E16" s="26"/>
      <c r="F16" s="26"/>
      <c r="G16" s="26"/>
      <c r="H16" s="83" t="s">
        <v>1363</v>
      </c>
      <c r="I16" s="156"/>
      <c r="J16" s="4"/>
      <c r="K16" s="83" t="s">
        <v>1282</v>
      </c>
      <c r="L16" s="136"/>
      <c r="M16" s="136"/>
      <c r="N16" s="136"/>
      <c r="O16" s="136"/>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row>
    <row r="17" spans="1:60" ht="16.5" customHeight="1" x14ac:dyDescent="0.4">
      <c r="A17" t="s">
        <v>2</v>
      </c>
      <c r="B17" s="4"/>
      <c r="C17" s="4"/>
      <c r="D17" s="4"/>
      <c r="E17" s="71" t="s">
        <v>29</v>
      </c>
      <c r="F17" s="71"/>
      <c r="G17" s="71"/>
      <c r="H17" s="4"/>
      <c r="I17" s="4"/>
      <c r="J17" s="4"/>
      <c r="K17" s="49" cm="1">
        <f t="array" ref="K17">INDEX(auto_Country_Status,K18)</f>
        <v>1</v>
      </c>
      <c r="L17" s="49" cm="1">
        <f t="array" ref="L17">INDEX(auto_Country_Status,L18)</f>
        <v>1</v>
      </c>
      <c r="M17" s="49" cm="1">
        <f t="array" ref="M17">INDEX(auto_Country_Status,M18)</f>
        <v>1</v>
      </c>
      <c r="N17" s="49" cm="1">
        <f t="array" ref="N17">INDEX(auto_Country_Status,N18)</f>
        <v>1</v>
      </c>
      <c r="O17" s="49" cm="1">
        <f t="array" ref="O17">INDEX(auto_Country_Status,O18)</f>
        <v>1</v>
      </c>
      <c r="P17" s="49" cm="1">
        <f t="array" ref="P17">INDEX(auto_Country_Status,P18)</f>
        <v>1</v>
      </c>
      <c r="Q17" s="49" cm="1">
        <f t="array" ref="Q17">INDEX(auto_Country_Status,Q18)</f>
        <v>1</v>
      </c>
      <c r="R17" s="49" cm="1">
        <f t="array" ref="R17">INDEX(auto_Country_Status,R18)</f>
        <v>1</v>
      </c>
      <c r="S17" s="49" cm="1">
        <f t="array" ref="S17">INDEX(auto_Country_Status,S18)</f>
        <v>1</v>
      </c>
      <c r="T17" s="49" cm="1">
        <f t="array" ref="T17">INDEX(auto_Country_Status,T18)</f>
        <v>1</v>
      </c>
      <c r="U17" s="49" cm="1">
        <f t="array" ref="U17">INDEX(auto_Country_Status,U18)</f>
        <v>1</v>
      </c>
      <c r="V17" s="49" cm="1">
        <f t="array" ref="V17">INDEX(auto_Country_Status,V18)</f>
        <v>1</v>
      </c>
      <c r="W17" s="49" cm="1">
        <f t="array" ref="W17">INDEX(auto_Country_Status,W18)</f>
        <v>1</v>
      </c>
      <c r="X17" s="49" cm="1">
        <f t="array" ref="X17">INDEX(auto_Country_Status,X18)</f>
        <v>1</v>
      </c>
      <c r="Y17" s="49" cm="1">
        <f t="array" ref="Y17">INDEX(auto_Country_Status,Y18)</f>
        <v>1</v>
      </c>
      <c r="Z17" s="49" cm="1">
        <f t="array" ref="Z17">INDEX(auto_Country_Status,Z18)</f>
        <v>1</v>
      </c>
      <c r="AA17" s="49" cm="1">
        <f t="array" ref="AA17">INDEX(auto_Country_Status,AA18)</f>
        <v>1</v>
      </c>
      <c r="AB17" s="49" cm="1">
        <f t="array" ref="AB17">INDEX(auto_Country_Status,AB18)</f>
        <v>1</v>
      </c>
      <c r="AC17" s="49" cm="1">
        <f t="array" ref="AC17">INDEX(auto_Country_Status,AC18)</f>
        <v>1</v>
      </c>
      <c r="AD17" s="49" cm="1">
        <f t="array" ref="AD17">INDEX(auto_Country_Status,AD18)</f>
        <v>1</v>
      </c>
      <c r="AE17" s="49" cm="1">
        <f t="array" ref="AE17">INDEX(auto_Country_Status,AE18)</f>
        <v>1</v>
      </c>
      <c r="AF17" s="49" cm="1">
        <f t="array" ref="AF17">INDEX(auto_Country_Status,AF18)</f>
        <v>1</v>
      </c>
      <c r="AG17" s="49" cm="1">
        <f t="array" ref="AG17">INDEX(auto_Country_Status,AG18)</f>
        <v>1</v>
      </c>
      <c r="AH17" s="49" cm="1">
        <f t="array" ref="AH17">INDEX(auto_Country_Status,AH18)</f>
        <v>1</v>
      </c>
      <c r="AI17" s="49" cm="1">
        <f t="array" ref="AI17">INDEX(auto_Country_Status,AI18)</f>
        <v>1</v>
      </c>
      <c r="AJ17" s="49" cm="1">
        <f t="array" ref="AJ17">INDEX(auto_Country_Status,AJ18)</f>
        <v>1</v>
      </c>
      <c r="AK17" s="49" cm="1">
        <f t="array" ref="AK17">INDEX(auto_Country_Status,AK18)</f>
        <v>1</v>
      </c>
      <c r="AL17" s="49" cm="1">
        <f t="array" ref="AL17">INDEX(auto_Country_Status,AL18)</f>
        <v>1</v>
      </c>
      <c r="AM17" s="49" cm="1">
        <f t="array" ref="AM17">INDEX(auto_Country_Status,AM18)</f>
        <v>1</v>
      </c>
      <c r="AN17" s="49" cm="1">
        <f t="array" ref="AN17">INDEX(auto_Country_Status,AN18)</f>
        <v>1</v>
      </c>
      <c r="AO17" s="49" cm="1">
        <f t="array" ref="AO17">INDEX(auto_Country_Status,AO18)</f>
        <v>1</v>
      </c>
      <c r="AP17" s="49" cm="1">
        <f t="array" ref="AP17">INDEX(auto_Country_Status,AP18)</f>
        <v>1</v>
      </c>
      <c r="AQ17" s="49" cm="1">
        <f t="array" ref="AQ17">INDEX(auto_Country_Status,AQ18)</f>
        <v>1</v>
      </c>
      <c r="AR17" s="49" cm="1">
        <f t="array" ref="AR17">INDEX(auto_Country_Status,AR18)</f>
        <v>1</v>
      </c>
      <c r="AS17" s="49" cm="1">
        <f t="array" ref="AS17">INDEX(auto_Country_Status,AS18)</f>
        <v>1</v>
      </c>
      <c r="AT17" s="49" cm="1">
        <f t="array" ref="AT17">INDEX(auto_Country_Status,AT18)</f>
        <v>1</v>
      </c>
      <c r="AU17" s="49" cm="1">
        <f t="array" ref="AU17">INDEX(auto_Country_Status,AU18)</f>
        <v>1</v>
      </c>
      <c r="AV17" s="49" cm="1">
        <f t="array" ref="AV17">INDEX(auto_Country_Status,AV18)</f>
        <v>1</v>
      </c>
      <c r="AW17" s="49" cm="1">
        <f t="array" ref="AW17">INDEX(auto_Country_Status,AW18)</f>
        <v>1</v>
      </c>
      <c r="AX17" s="49" cm="1">
        <f t="array" ref="AX17">INDEX(auto_Country_Status,AX18)</f>
        <v>1</v>
      </c>
      <c r="AY17" s="49" cm="1">
        <f t="array" ref="AY17">INDEX(auto_Country_Status,AY18)</f>
        <v>1</v>
      </c>
      <c r="AZ17" s="49" cm="1">
        <f t="array" ref="AZ17">INDEX(auto_Country_Status,AZ18)</f>
        <v>1</v>
      </c>
      <c r="BA17" s="49" cm="1">
        <f t="array" ref="BA17">INDEX(auto_Country_Status,BA18)</f>
        <v>1</v>
      </c>
      <c r="BB17" s="49" cm="1">
        <f t="array" ref="BB17">INDEX(auto_Country_Status,BB18)</f>
        <v>1</v>
      </c>
      <c r="BC17" s="49" cm="1">
        <f t="array" ref="BC17">INDEX(auto_Country_Status,BC18)</f>
        <v>1</v>
      </c>
      <c r="BD17" s="49" cm="1">
        <f t="array" ref="BD17">INDEX(auto_Country_Status,BD18)</f>
        <v>1</v>
      </c>
      <c r="BE17" s="49" cm="1">
        <f t="array" ref="BE17">INDEX(auto_Country_Status,BE18)</f>
        <v>1</v>
      </c>
      <c r="BF17" s="49" cm="1">
        <f t="array" ref="BF17">INDEX(auto_Country_Status,BF18)</f>
        <v>1</v>
      </c>
      <c r="BG17" s="49" cm="1">
        <f t="array" ref="BG17">INDEX(auto_Country_Status,BG18)</f>
        <v>1</v>
      </c>
      <c r="BH17" s="49" cm="1">
        <f t="array" ref="BH17">INDEX(auto_Country_Status,BH18)</f>
        <v>1</v>
      </c>
    </row>
    <row r="18" spans="1:60" ht="16.5" customHeight="1" x14ac:dyDescent="0.4">
      <c r="A18" t="s">
        <v>2</v>
      </c>
      <c r="B18" s="4"/>
      <c r="C18" s="4"/>
      <c r="D18" s="4"/>
      <c r="E18" s="49">
        <f>MATCH(E17,auto_tblSeries_Header,0)</f>
        <v>4</v>
      </c>
      <c r="F18" s="49"/>
      <c r="G18" s="49"/>
      <c r="H18" s="39" t="s">
        <v>1351</v>
      </c>
      <c r="I18" s="157"/>
      <c r="J18" s="4"/>
      <c r="K18" s="26">
        <v>1</v>
      </c>
      <c r="L18" s="26">
        <v>2</v>
      </c>
      <c r="M18" s="26">
        <v>3</v>
      </c>
      <c r="N18" s="26">
        <v>4</v>
      </c>
      <c r="O18" s="26">
        <v>5</v>
      </c>
      <c r="P18" s="26">
        <v>6</v>
      </c>
      <c r="Q18" s="26">
        <v>7</v>
      </c>
      <c r="R18" s="26">
        <v>8</v>
      </c>
      <c r="S18" s="26">
        <v>9</v>
      </c>
      <c r="T18" s="26">
        <v>10</v>
      </c>
      <c r="U18" s="26">
        <v>11</v>
      </c>
      <c r="V18" s="26">
        <v>12</v>
      </c>
      <c r="W18" s="26">
        <v>13</v>
      </c>
      <c r="X18" s="26">
        <v>14</v>
      </c>
      <c r="Y18" s="26">
        <v>15</v>
      </c>
      <c r="Z18" s="26">
        <v>16</v>
      </c>
      <c r="AA18" s="26">
        <v>17</v>
      </c>
      <c r="AB18" s="26">
        <v>18</v>
      </c>
      <c r="AC18" s="26">
        <v>19</v>
      </c>
      <c r="AD18" s="26">
        <v>20</v>
      </c>
      <c r="AE18" s="26">
        <v>21</v>
      </c>
      <c r="AF18" s="26">
        <v>22</v>
      </c>
      <c r="AG18" s="26">
        <v>23</v>
      </c>
      <c r="AH18" s="26">
        <v>24</v>
      </c>
      <c r="AI18" s="26">
        <v>25</v>
      </c>
      <c r="AJ18" s="26">
        <v>26</v>
      </c>
      <c r="AK18" s="26">
        <v>27</v>
      </c>
      <c r="AL18" s="26">
        <v>28</v>
      </c>
      <c r="AM18" s="26">
        <v>29</v>
      </c>
      <c r="AN18" s="26">
        <v>30</v>
      </c>
      <c r="AO18" s="26">
        <v>31</v>
      </c>
      <c r="AP18" s="26">
        <v>32</v>
      </c>
      <c r="AQ18" s="26">
        <v>33</v>
      </c>
      <c r="AR18" s="26">
        <v>34</v>
      </c>
      <c r="AS18" s="26">
        <v>35</v>
      </c>
      <c r="AT18" s="26">
        <v>36</v>
      </c>
      <c r="AU18" s="26">
        <v>37</v>
      </c>
      <c r="AV18" s="26">
        <v>38</v>
      </c>
      <c r="AW18" s="26">
        <v>39</v>
      </c>
      <c r="AX18" s="26">
        <v>40</v>
      </c>
      <c r="AY18" s="26">
        <v>41</v>
      </c>
      <c r="AZ18" s="26">
        <v>42</v>
      </c>
      <c r="BA18" s="26">
        <v>43</v>
      </c>
      <c r="BB18" s="26">
        <v>44</v>
      </c>
      <c r="BC18" s="26">
        <v>45</v>
      </c>
      <c r="BD18" s="26">
        <v>46</v>
      </c>
      <c r="BE18" s="26">
        <v>47</v>
      </c>
      <c r="BF18" s="26">
        <v>48</v>
      </c>
      <c r="BG18" s="26">
        <v>49</v>
      </c>
      <c r="BH18" s="26">
        <v>50</v>
      </c>
    </row>
    <row r="19" spans="1:60" ht="36" customHeight="1" x14ac:dyDescent="0.4">
      <c r="A19" t="s">
        <v>211</v>
      </c>
      <c r="B19" s="42" t="s">
        <v>136</v>
      </c>
      <c r="C19" s="83" t="s">
        <v>1241</v>
      </c>
      <c r="D19" s="4"/>
      <c r="E19" s="87" t="s">
        <v>1238</v>
      </c>
      <c r="F19" s="87" t="s">
        <v>1242</v>
      </c>
      <c r="G19" s="49"/>
      <c r="H19" s="92" t="s">
        <v>199</v>
      </c>
      <c r="I19" s="158" t="s">
        <v>2516</v>
      </c>
      <c r="J19" s="158" t="s">
        <v>1062</v>
      </c>
      <c r="K19" s="158" t="str" cm="1">
        <f t="array" ref="K19">INDEX(auto_ddCountry,K18)</f>
        <v>Addis Ababa</v>
      </c>
      <c r="L19" s="158" t="str" cm="1">
        <f t="array" ref="L19">INDEX(auto_ddCountry,L18)</f>
        <v>Algiers</v>
      </c>
      <c r="M19" s="158" t="str" cm="1">
        <f t="array" ref="M19">INDEX(auto_ddCountry,M18)</f>
        <v>Atlanta</v>
      </c>
      <c r="N19" s="158" t="str" cm="1">
        <f t="array" ref="N19">INDEX(auto_ddCountry,N18)</f>
        <v>Auckland</v>
      </c>
      <c r="O19" s="158" t="str" cm="1">
        <f t="array" ref="O19">INDEX(auto_ddCountry,O18)</f>
        <v>Bangkok</v>
      </c>
      <c r="P19" s="158" t="str" cm="1">
        <f t="array" ref="P19">INDEX(auto_ddCountry,P18)</f>
        <v>Beijing</v>
      </c>
      <c r="Q19" s="158" t="str" cm="1">
        <f t="array" ref="Q19">INDEX(auto_ddCountry,Q18)</f>
        <v>Berlin</v>
      </c>
      <c r="R19" s="158" t="str" cm="1">
        <f t="array" ref="R19">INDEX(auto_ddCountry,R18)</f>
        <v>Bogotá</v>
      </c>
      <c r="S19" s="158" t="str" cm="1">
        <f t="array" ref="S19">INDEX(auto_ddCountry,S18)</f>
        <v>Budapest</v>
      </c>
      <c r="T19" s="158" t="str" cm="1">
        <f t="array" ref="T19">INDEX(auto_ddCountry,T18)</f>
        <v>Cairo</v>
      </c>
      <c r="U19" s="158" t="str" cm="1">
        <f t="array" ref="U19">INDEX(auto_ddCountry,U18)</f>
        <v>Colombo</v>
      </c>
      <c r="V19" s="158" t="str" cm="1">
        <f t="array" ref="V19">INDEX(auto_ddCountry,V18)</f>
        <v>Delhi</v>
      </c>
      <c r="W19" s="158" t="str" cm="1">
        <f t="array" ref="W19">INDEX(auto_ddCountry,W18)</f>
        <v>Dhaka</v>
      </c>
      <c r="X19" s="158" t="str" cm="1">
        <f t="array" ref="X19">INDEX(auto_ddCountry,X18)</f>
        <v>Dubai</v>
      </c>
      <c r="Y19" s="158" t="str" cm="1">
        <f t="array" ref="Y19">INDEX(auto_ddCountry,Y18)</f>
        <v>Helsinki</v>
      </c>
      <c r="Z19" s="158" t="str" cm="1">
        <f t="array" ref="Z19">INDEX(auto_ddCountry,Z18)</f>
        <v>Ho Chi Minh City</v>
      </c>
      <c r="AA19" s="158" t="str" cm="1">
        <f t="array" ref="AA19">INDEX(auto_ddCountry,AA18)</f>
        <v>Hong Kong</v>
      </c>
      <c r="AB19" s="158" t="str" cm="1">
        <f t="array" ref="AB19">INDEX(auto_ddCountry,AB18)</f>
        <v>Istanbul</v>
      </c>
      <c r="AC19" s="158" t="str" cm="1">
        <f t="array" ref="AC19">INDEX(auto_ddCountry,AC18)</f>
        <v>Jakarta</v>
      </c>
      <c r="AD19" s="158" t="str" cm="1">
        <f t="array" ref="AD19">INDEX(auto_ddCountry,AD18)</f>
        <v>Johannesburg</v>
      </c>
      <c r="AE19" s="158" t="str" cm="1">
        <f t="array" ref="AE19">INDEX(auto_ddCountry,AE18)</f>
        <v>Karachi</v>
      </c>
      <c r="AF19" s="158" t="str" cm="1">
        <f t="array" ref="AF19">INDEX(auto_ddCountry,AF18)</f>
        <v>Kathmandu</v>
      </c>
      <c r="AG19" s="158" t="str" cm="1">
        <f t="array" ref="AG19">INDEX(auto_ddCountry,AG18)</f>
        <v>Kolkata</v>
      </c>
      <c r="AH19" s="158" t="str" cm="1">
        <f t="array" ref="AH19">INDEX(auto_ddCountry,AH18)</f>
        <v>Kuwait City</v>
      </c>
      <c r="AI19" s="158" t="str" cm="1">
        <f t="array" ref="AI19">INDEX(auto_ddCountry,AI18)</f>
        <v>Lagos</v>
      </c>
      <c r="AJ19" s="158" t="str" cm="1">
        <f t="array" ref="AJ19">INDEX(auto_ddCountry,AJ18)</f>
        <v>London</v>
      </c>
      <c r="AK19" s="158" t="str" cm="1">
        <f t="array" ref="AK19">INDEX(auto_ddCountry,AK18)</f>
        <v>Madrid</v>
      </c>
      <c r="AL19" s="158" t="str" cm="1">
        <f t="array" ref="AL19">INDEX(auto_ddCountry,AL18)</f>
        <v>Manila</v>
      </c>
      <c r="AM19" s="158" t="str" cm="1">
        <f t="array" ref="AM19">INDEX(auto_ddCountry,AM18)</f>
        <v>Melbourne</v>
      </c>
      <c r="AN19" s="158" t="str" cm="1">
        <f t="array" ref="AN19">INDEX(auto_ddCountry,AN18)</f>
        <v>Mexico City</v>
      </c>
      <c r="AO19" s="158" t="str" cm="1">
        <f t="array" ref="AO19">INDEX(auto_ddCountry,AO18)</f>
        <v>Moscow</v>
      </c>
      <c r="AP19" s="158" t="str" cm="1">
        <f t="array" ref="AP19">INDEX(auto_ddCountry,AP18)</f>
        <v>Mumbai</v>
      </c>
      <c r="AQ19" s="158" t="str" cm="1">
        <f t="array" ref="AQ19">INDEX(auto_ddCountry,AQ18)</f>
        <v>Nairobi</v>
      </c>
      <c r="AR19" s="158" t="str" cm="1">
        <f t="array" ref="AR19">INDEX(auto_ddCountry,AR18)</f>
        <v>New York City</v>
      </c>
      <c r="AS19" s="158" t="str" cm="1">
        <f t="array" ref="AS19">INDEX(auto_ddCountry,AS18)</f>
        <v>Osaka</v>
      </c>
      <c r="AT19" s="158" t="str" cm="1">
        <f t="array" ref="AT19">INDEX(auto_ddCountry,AT18)</f>
        <v>Paris</v>
      </c>
      <c r="AU19" s="158" t="str" cm="1">
        <f t="array" ref="AU19">INDEX(auto_ddCountry,AU18)</f>
        <v>Phnom Penh</v>
      </c>
      <c r="AV19" s="158" t="str" cm="1">
        <f t="array" ref="AV19">INDEX(auto_ddCountry,AV18)</f>
        <v>Riyadh</v>
      </c>
      <c r="AW19" s="158" t="str" cm="1">
        <f t="array" ref="AW19">INDEX(auto_ddCountry,AW18)</f>
        <v>Rome</v>
      </c>
      <c r="AX19" s="158" t="str" cm="1">
        <f t="array" ref="AX19">INDEX(auto_ddCountry,AX18)</f>
        <v>San Francisco</v>
      </c>
      <c r="AY19" s="158" t="str" cm="1">
        <f t="array" ref="AY19">INDEX(auto_ddCountry,AY18)</f>
        <v>São Paulo</v>
      </c>
      <c r="AZ19" s="158" t="str" cm="1">
        <f t="array" ref="AZ19">INDEX(auto_ddCountry,AZ18)</f>
        <v>Seoul</v>
      </c>
      <c r="BA19" s="158" t="str" cm="1">
        <f t="array" ref="BA19">INDEX(auto_ddCountry,BA18)</f>
        <v>Shanghai</v>
      </c>
      <c r="BB19" s="158" t="str" cm="1">
        <f t="array" ref="BB19">INDEX(auto_ddCountry,BB18)</f>
        <v>Singapore</v>
      </c>
      <c r="BC19" s="158" t="str" cm="1">
        <f t="array" ref="BC19">INDEX(auto_ddCountry,BC18)</f>
        <v>Sydney</v>
      </c>
      <c r="BD19" s="158" t="str" cm="1">
        <f t="array" ref="BD19">INDEX(auto_ddCountry,BD18)</f>
        <v>Tokyo</v>
      </c>
      <c r="BE19" s="158" t="str" cm="1">
        <f t="array" ref="BE19">INDEX(auto_ddCountry,BE18)</f>
        <v>Toronto</v>
      </c>
      <c r="BF19" s="158" t="str" cm="1">
        <f t="array" ref="BF19">INDEX(auto_ddCountry,BF18)</f>
        <v>Vienna</v>
      </c>
      <c r="BG19" s="158" t="str" cm="1">
        <f t="array" ref="BG19">INDEX(auto_ddCountry,BG18)</f>
        <v>Wuhan</v>
      </c>
      <c r="BH19" s="158" t="str" cm="1">
        <f t="array" ref="BH19">INDEX(auto_ddCountry,BH18)</f>
        <v>Yangon</v>
      </c>
    </row>
    <row r="20" spans="1:60" ht="17.05" customHeight="1" x14ac:dyDescent="0.4">
      <c r="A20" t="str">
        <f ca="1">IF(E20&gt;$B$13,"H","")</f>
        <v/>
      </c>
      <c r="B20" s="49"/>
      <c r="C20" s="4">
        <v>1</v>
      </c>
      <c r="D20" s="49" cm="1">
        <f t="array" aca="1" ref="D20" ca="1">INDEX(OFFSET(auto_ss_score_table,0,1,500,1),C20)</f>
        <v>1</v>
      </c>
      <c r="E20" s="26" cm="1">
        <f t="array" aca="1" ref="E20" ca="1">INDEX(auto_tblSeries,$D20,$E$18)</f>
        <v>0</v>
      </c>
      <c r="F20" s="101" cm="1">
        <f t="array" aca="1" ref="F20" ca="1">INDEX(sys_DataFlat_LU_Grid,$D20,1)-1</f>
        <v>0</v>
      </c>
      <c r="G20" s="26"/>
      <c r="H20" s="148" t="str" cm="1">
        <f t="array" aca="1" ref="H20" ca="1">INDEX(auto_Series_NameNumbered,$D20)</f>
        <v>OVERALL</v>
      </c>
      <c r="I20" s="159" t="str">
        <f ca="1">IF(D20=1,"-",OFFSET(iWeights!$G$18,$D20-1,0,1,1))</f>
        <v>-</v>
      </c>
      <c r="J20" s="160" t="str">
        <f ca="1">IF(E20=0,"-",OFFSET(iWeights!$U$18,$D20-1,0,1,1))</f>
        <v>-</v>
      </c>
      <c r="K20" s="161" cm="1">
        <f t="array" aca="1" ref="K20" ca="1">INDEX(auto_DataFlat_Score,$F20+K$18,$B$12)</f>
        <v>49.6</v>
      </c>
      <c r="L20" s="161" cm="1">
        <f t="array" aca="1" ref="L20" ca="1">INDEX(auto_DataFlat_Score,$F20+L$18,$B$12)</f>
        <v>41</v>
      </c>
      <c r="M20" s="161" cm="1">
        <f t="array" aca="1" ref="M20" ca="1">INDEX(auto_DataFlat_Score,$F20+M$18,$B$12)</f>
        <v>63.1</v>
      </c>
      <c r="N20" s="161" cm="1">
        <f t="array" aca="1" ref="N20" ca="1">INDEX(auto_DataFlat_Score,$F20+N$18,$B$12)</f>
        <v>71</v>
      </c>
      <c r="O20" s="161" cm="1">
        <f t="array" aca="1" ref="O20" ca="1">INDEX(auto_DataFlat_Score,$F20+O$18,$B$12)</f>
        <v>68.8</v>
      </c>
      <c r="P20" s="161" cm="1">
        <f t="array" aca="1" ref="P20" ca="1">INDEX(auto_DataFlat_Score,$F20+P$18,$B$12)</f>
        <v>63.4</v>
      </c>
      <c r="Q20" s="161" cm="1">
        <f t="array" aca="1" ref="Q20" ca="1">INDEX(auto_DataFlat_Score,$F20+Q$18,$B$12)</f>
        <v>77.400000000000006</v>
      </c>
      <c r="R20" s="161" cm="1">
        <f t="array" aca="1" ref="R20" ca="1">INDEX(auto_DataFlat_Score,$F20+R$18,$B$12)</f>
        <v>69.7</v>
      </c>
      <c r="S20" s="161" cm="1">
        <f t="array" aca="1" ref="S20" ca="1">INDEX(auto_DataFlat_Score,$F20+S$18,$B$12)</f>
        <v>69.5</v>
      </c>
      <c r="T20" s="161" cm="1">
        <f t="array" aca="1" ref="T20" ca="1">INDEX(auto_DataFlat_Score,$F20+T$18,$B$12)</f>
        <v>40.6</v>
      </c>
      <c r="U20" s="161" cm="1">
        <f t="array" aca="1" ref="U20" ca="1">INDEX(auto_DataFlat_Score,$F20+U$18,$B$12)</f>
        <v>50.1</v>
      </c>
      <c r="V20" s="161" cm="1">
        <f t="array" aca="1" ref="V20" ca="1">INDEX(auto_DataFlat_Score,$F20+V$18,$B$12)</f>
        <v>56.8</v>
      </c>
      <c r="W20" s="161" cm="1">
        <f t="array" aca="1" ref="W20" ca="1">INDEX(auto_DataFlat_Score,$F20+W$18,$B$12)</f>
        <v>41.8</v>
      </c>
      <c r="X20" s="161" cm="1">
        <f t="array" aca="1" ref="X20" ca="1">INDEX(auto_DataFlat_Score,$F20+X$18,$B$12)</f>
        <v>65</v>
      </c>
      <c r="Y20" s="161" cm="1">
        <f t="array" aca="1" ref="Y20" ca="1">INDEX(auto_DataFlat_Score,$F20+Y$18,$B$12)</f>
        <v>75.5</v>
      </c>
      <c r="Z20" s="161" cm="1">
        <f t="array" aca="1" ref="Z20" ca="1">INDEX(auto_DataFlat_Score,$F20+Z$18,$B$12)</f>
        <v>66</v>
      </c>
      <c r="AA20" s="161" cm="1">
        <f t="array" aca="1" ref="AA20" ca="1">INDEX(auto_DataFlat_Score,$F20+AA$18,$B$12)</f>
        <v>83.2</v>
      </c>
      <c r="AB20" s="161" cm="1">
        <f t="array" aca="1" ref="AB20" ca="1">INDEX(auto_DataFlat_Score,$F20+AB$18,$B$12)</f>
        <v>60.4</v>
      </c>
      <c r="AC20" s="161" cm="1">
        <f t="array" aca="1" ref="AC20" ca="1">INDEX(auto_DataFlat_Score,$F20+AC$18,$B$12)</f>
        <v>71.7</v>
      </c>
      <c r="AD20" s="161" cm="1">
        <f t="array" aca="1" ref="AD20" ca="1">INDEX(auto_DataFlat_Score,$F20+AD$18,$B$12)</f>
        <v>52.5</v>
      </c>
      <c r="AE20" s="161" cm="1">
        <f t="array" aca="1" ref="AE20" ca="1">INDEX(auto_DataFlat_Score,$F20+AE$18,$B$12)</f>
        <v>44.3</v>
      </c>
      <c r="AF20" s="161" cm="1">
        <f t="array" aca="1" ref="AF20" ca="1">INDEX(auto_DataFlat_Score,$F20+AF$18,$B$12)</f>
        <v>40.9</v>
      </c>
      <c r="AG20" s="161" cm="1">
        <f t="array" aca="1" ref="AG20" ca="1">INDEX(auto_DataFlat_Score,$F20+AG$18,$B$12)</f>
        <v>51.8</v>
      </c>
      <c r="AH20" s="161" cm="1">
        <f t="array" aca="1" ref="AH20" ca="1">INDEX(auto_DataFlat_Score,$F20+AH$18,$B$12)</f>
        <v>42.1</v>
      </c>
      <c r="AI20" s="161" cm="1">
        <f t="array" aca="1" ref="AI20" ca="1">INDEX(auto_DataFlat_Score,$F20+AI$18,$B$12)</f>
        <v>51.6</v>
      </c>
      <c r="AJ20" s="161" cm="1">
        <f t="array" aca="1" ref="AJ20" ca="1">INDEX(auto_DataFlat_Score,$F20+AJ$18,$B$12)</f>
        <v>82.6</v>
      </c>
      <c r="AK20" s="161" cm="1">
        <f t="array" aca="1" ref="AK20" ca="1">INDEX(auto_DataFlat_Score,$F20+AK$18,$B$12)</f>
        <v>79.599999999999994</v>
      </c>
      <c r="AL20" s="161" cm="1">
        <f t="array" aca="1" ref="AL20" ca="1">INDEX(auto_DataFlat_Score,$F20+AL$18,$B$12)</f>
        <v>48.8</v>
      </c>
      <c r="AM20" s="161" cm="1">
        <f t="array" aca="1" ref="AM20" ca="1">INDEX(auto_DataFlat_Score,$F20+AM$18,$B$12)</f>
        <v>75.8</v>
      </c>
      <c r="AN20" s="161" cm="1">
        <f t="array" aca="1" ref="AN20" ca="1">INDEX(auto_DataFlat_Score,$F20+AN$18,$B$12)</f>
        <v>60.9</v>
      </c>
      <c r="AO20" s="161" cm="1">
        <f t="array" aca="1" ref="AO20" ca="1">INDEX(auto_DataFlat_Score,$F20+AO$18,$B$12)</f>
        <v>65.900000000000006</v>
      </c>
      <c r="AP20" s="161" cm="1">
        <f t="array" aca="1" ref="AP20" ca="1">INDEX(auto_DataFlat_Score,$F20+AP$18,$B$12)</f>
        <v>53.2</v>
      </c>
      <c r="AQ20" s="161" cm="1">
        <f t="array" aca="1" ref="AQ20" ca="1">INDEX(auto_DataFlat_Score,$F20+AQ$18,$B$12)</f>
        <v>52.2</v>
      </c>
      <c r="AR20" s="161" cm="1">
        <f t="array" aca="1" ref="AR20" ca="1">INDEX(auto_DataFlat_Score,$F20+AR$18,$B$12)</f>
        <v>79.099999999999994</v>
      </c>
      <c r="AS20" s="161" cm="1">
        <f t="array" aca="1" ref="AS20" ca="1">INDEX(auto_DataFlat_Score,$F20+AS$18,$B$12)</f>
        <v>74.2</v>
      </c>
      <c r="AT20" s="161" cm="1">
        <f t="array" aca="1" ref="AT20" ca="1">INDEX(auto_DataFlat_Score,$F20+AT$18,$B$12)</f>
        <v>64.5</v>
      </c>
      <c r="AU20" s="161" cm="1">
        <f t="array" aca="1" ref="AU20" ca="1">INDEX(auto_DataFlat_Score,$F20+AU$18,$B$12)</f>
        <v>51.4</v>
      </c>
      <c r="AV20" s="161" cm="1">
        <f t="array" aca="1" ref="AV20" ca="1">INDEX(auto_DataFlat_Score,$F20+AV$18,$B$12)</f>
        <v>44.2</v>
      </c>
      <c r="AW20" s="161" cm="1">
        <f t="array" aca="1" ref="AW20" ca="1">INDEX(auto_DataFlat_Score,$F20+AW$18,$B$12)</f>
        <v>63.5</v>
      </c>
      <c r="AX20" s="161" cm="1">
        <f t="array" aca="1" ref="AX20" ca="1">INDEX(auto_DataFlat_Score,$F20+AX$18,$B$12)</f>
        <v>72</v>
      </c>
      <c r="AY20" s="161" cm="1">
        <f t="array" aca="1" ref="AY20" ca="1">INDEX(auto_DataFlat_Score,$F20+AY$18,$B$12)</f>
        <v>67.099999999999994</v>
      </c>
      <c r="AZ20" s="161" cm="1">
        <f t="array" aca="1" ref="AZ20" ca="1">INDEX(auto_DataFlat_Score,$F20+AZ$18,$B$12)</f>
        <v>75.599999999999994</v>
      </c>
      <c r="BA20" s="161" cm="1">
        <f t="array" aca="1" ref="BA20" ca="1">INDEX(auto_DataFlat_Score,$F20+BA$18,$B$12)</f>
        <v>65.3</v>
      </c>
      <c r="BB20" s="161" cm="1">
        <f t="array" aca="1" ref="BB20" ca="1">INDEX(auto_DataFlat_Score,$F20+BB$18,$B$12)</f>
        <v>76.099999999999994</v>
      </c>
      <c r="BC20" s="161" cm="1">
        <f t="array" aca="1" ref="BC20" ca="1">INDEX(auto_DataFlat_Score,$F20+BC$18,$B$12)</f>
        <v>70.5</v>
      </c>
      <c r="BD20" s="161" cm="1">
        <f t="array" aca="1" ref="BD20" ca="1">INDEX(auto_DataFlat_Score,$F20+BD$18,$B$12)</f>
        <v>76.099999999999994</v>
      </c>
      <c r="BE20" s="161" cm="1">
        <f t="array" aca="1" ref="BE20" ca="1">INDEX(auto_DataFlat_Score,$F20+BE$18,$B$12)</f>
        <v>77</v>
      </c>
      <c r="BF20" s="161" cm="1">
        <f t="array" aca="1" ref="BF20" ca="1">INDEX(auto_DataFlat_Score,$F20+BF$18,$B$12)</f>
        <v>75.099999999999994</v>
      </c>
      <c r="BG20" s="161" cm="1">
        <f t="array" aca="1" ref="BG20" ca="1">INDEX(auto_DataFlat_Score,$F20+BG$18,$B$12)</f>
        <v>57.3</v>
      </c>
      <c r="BH20" s="161" cm="1">
        <f t="array" aca="1" ref="BH20" ca="1">INDEX(auto_DataFlat_Score,$F20+BH$18,$B$12)</f>
        <v>43.5</v>
      </c>
    </row>
    <row r="21" spans="1:60" ht="17.05" customHeight="1" x14ac:dyDescent="0.4">
      <c r="A21" t="str">
        <f t="shared" ref="A21:A22" ca="1" si="1">IF(E21&gt;$B$13,"H","")</f>
        <v/>
      </c>
      <c r="B21" s="49"/>
      <c r="C21" s="4">
        <v>2</v>
      </c>
      <c r="D21" s="49" cm="1">
        <f t="array" aca="1" ref="D21" ca="1">INDEX(OFFSET(auto_ss_score_table,0,1,500,1),C21)</f>
        <v>2</v>
      </c>
      <c r="E21" s="26" cm="1">
        <f t="array" aca="1" ref="E21" ca="1">INDEX(auto_tblSeries,$D21,$E$18)</f>
        <v>1</v>
      </c>
      <c r="F21" s="101" cm="1">
        <f t="array" aca="1" ref="F21" ca="1">INDEX(sys_DataFlat_LU_Grid,$D21,1)-1</f>
        <v>60</v>
      </c>
      <c r="G21" s="26"/>
      <c r="H21" s="148" t="str" cm="1">
        <f t="array" aca="1" ref="H21" ca="1">INDEX(auto_Series_NameNumbered,$D21)</f>
        <v>1) SOCIAL DETERMINANTS</v>
      </c>
      <c r="I21" s="159">
        <f ca="1">OFFSET(iWeights!$G$18,$D21-1,0,1,1)</f>
        <v>0.16129032258064516</v>
      </c>
      <c r="J21" s="160">
        <f ca="1">IF(E21=0,"-",OFFSET(iWeights!$U$18,$D21-1,0,1,1))</f>
        <v>0.16129032258064516</v>
      </c>
      <c r="K21" s="161" cm="1">
        <f t="array" aca="1" ref="K21" ca="1">INDEX(auto_DataFlat_Score,$F21+K$18,$B$12)</f>
        <v>65.900000000000006</v>
      </c>
      <c r="L21" s="161" cm="1">
        <f t="array" aca="1" ref="L21" ca="1">INDEX(auto_DataFlat_Score,$F21+L$18,$B$12)</f>
        <v>54.3</v>
      </c>
      <c r="M21" s="161" cm="1">
        <f t="array" aca="1" ref="M21" ca="1">INDEX(auto_DataFlat_Score,$F21+M$18,$B$12)</f>
        <v>86.8</v>
      </c>
      <c r="N21" s="161" cm="1">
        <f t="array" aca="1" ref="N21" ca="1">INDEX(auto_DataFlat_Score,$F21+N$18,$B$12)</f>
        <v>75.7</v>
      </c>
      <c r="O21" s="161" cm="1">
        <f t="array" aca="1" ref="O21" ca="1">INDEX(auto_DataFlat_Score,$F21+O$18,$B$12)</f>
        <v>72.8</v>
      </c>
      <c r="P21" s="161" cm="1">
        <f t="array" aca="1" ref="P21" ca="1">INDEX(auto_DataFlat_Score,$F21+P$18,$B$12)</f>
        <v>54.3</v>
      </c>
      <c r="Q21" s="161" cm="1">
        <f t="array" aca="1" ref="Q21" ca="1">INDEX(auto_DataFlat_Score,$F21+Q$18,$B$12)</f>
        <v>89.6</v>
      </c>
      <c r="R21" s="161" cm="1">
        <f t="array" aca="1" ref="R21" ca="1">INDEX(auto_DataFlat_Score,$F21+R$18,$B$12)</f>
        <v>68.900000000000006</v>
      </c>
      <c r="S21" s="161" cm="1">
        <f t="array" aca="1" ref="S21" ca="1">INDEX(auto_DataFlat_Score,$F21+S$18,$B$12)</f>
        <v>85.6</v>
      </c>
      <c r="T21" s="161" cm="1">
        <f t="array" aca="1" ref="T21" ca="1">INDEX(auto_DataFlat_Score,$F21+T$18,$B$12)</f>
        <v>40.9</v>
      </c>
      <c r="U21" s="161" cm="1">
        <f t="array" aca="1" ref="U21" ca="1">INDEX(auto_DataFlat_Score,$F21+U$18,$B$12)</f>
        <v>51.9</v>
      </c>
      <c r="V21" s="161" cm="1">
        <f t="array" aca="1" ref="V21" ca="1">INDEX(auto_DataFlat_Score,$F21+V$18,$B$12)</f>
        <v>44.2</v>
      </c>
      <c r="W21" s="161" cm="1">
        <f t="array" aca="1" ref="W21" ca="1">INDEX(auto_DataFlat_Score,$F21+W$18,$B$12)</f>
        <v>39.5</v>
      </c>
      <c r="X21" s="161" cm="1">
        <f t="array" aca="1" ref="X21" ca="1">INDEX(auto_DataFlat_Score,$F21+X$18,$B$12)</f>
        <v>74.3</v>
      </c>
      <c r="Y21" s="161" cm="1">
        <f t="array" aca="1" ref="Y21" ca="1">INDEX(auto_DataFlat_Score,$F21+Y$18,$B$12)</f>
        <v>86.4</v>
      </c>
      <c r="Z21" s="161" cm="1">
        <f t="array" aca="1" ref="Z21" ca="1">INDEX(auto_DataFlat_Score,$F21+Z$18,$B$12)</f>
        <v>77</v>
      </c>
      <c r="AA21" s="161" cm="1">
        <f t="array" aca="1" ref="AA21" ca="1">INDEX(auto_DataFlat_Score,$F21+AA$18,$B$12)</f>
        <v>84.3</v>
      </c>
      <c r="AB21" s="161" cm="1">
        <f t="array" aca="1" ref="AB21" ca="1">INDEX(auto_DataFlat_Score,$F21+AB$18,$B$12)</f>
        <v>80.599999999999994</v>
      </c>
      <c r="AC21" s="161" cm="1">
        <f t="array" aca="1" ref="AC21" ca="1">INDEX(auto_DataFlat_Score,$F21+AC$18,$B$12)</f>
        <v>77.8</v>
      </c>
      <c r="AD21" s="161" cm="1">
        <f t="array" aca="1" ref="AD21" ca="1">INDEX(auto_DataFlat_Score,$F21+AD$18,$B$12)</f>
        <v>80.099999999999994</v>
      </c>
      <c r="AE21" s="161" cm="1">
        <f t="array" aca="1" ref="AE21" ca="1">INDEX(auto_DataFlat_Score,$F21+AE$18,$B$12)</f>
        <v>56.4</v>
      </c>
      <c r="AF21" s="161" cm="1">
        <f t="array" aca="1" ref="AF21" ca="1">INDEX(auto_DataFlat_Score,$F21+AF$18,$B$12)</f>
        <v>41.3</v>
      </c>
      <c r="AG21" s="161" cm="1">
        <f t="array" aca="1" ref="AG21" ca="1">INDEX(auto_DataFlat_Score,$F21+AG$18,$B$12)</f>
        <v>34.200000000000003</v>
      </c>
      <c r="AH21" s="161" cm="1">
        <f t="array" aca="1" ref="AH21" ca="1">INDEX(auto_DataFlat_Score,$F21+AH$18,$B$12)</f>
        <v>49.5</v>
      </c>
      <c r="AI21" s="161" cm="1">
        <f t="array" aca="1" ref="AI21" ca="1">INDEX(auto_DataFlat_Score,$F21+AI$18,$B$12)</f>
        <v>73.3</v>
      </c>
      <c r="AJ21" s="161" cm="1">
        <f t="array" aca="1" ref="AJ21" ca="1">INDEX(auto_DataFlat_Score,$F21+AJ$18,$B$12)</f>
        <v>86.9</v>
      </c>
      <c r="AK21" s="161" cm="1">
        <f t="array" aca="1" ref="AK21" ca="1">INDEX(auto_DataFlat_Score,$F21+AK$18,$B$12)</f>
        <v>81.900000000000006</v>
      </c>
      <c r="AL21" s="161" cm="1">
        <f t="array" aca="1" ref="AL21" ca="1">INDEX(auto_DataFlat_Score,$F21+AL$18,$B$12)</f>
        <v>58</v>
      </c>
      <c r="AM21" s="161" cm="1">
        <f t="array" aca="1" ref="AM21" ca="1">INDEX(auto_DataFlat_Score,$F21+AM$18,$B$12)</f>
        <v>87.9</v>
      </c>
      <c r="AN21" s="161" cm="1">
        <f t="array" aca="1" ref="AN21" ca="1">INDEX(auto_DataFlat_Score,$F21+AN$18,$B$12)</f>
        <v>79.8</v>
      </c>
      <c r="AO21" s="161" cm="1">
        <f t="array" aca="1" ref="AO21" ca="1">INDEX(auto_DataFlat_Score,$F21+AO$18,$B$12)</f>
        <v>75.7</v>
      </c>
      <c r="AP21" s="161" cm="1">
        <f t="array" aca="1" ref="AP21" ca="1">INDEX(auto_DataFlat_Score,$F21+AP$18,$B$12)</f>
        <v>34.200000000000003</v>
      </c>
      <c r="AQ21" s="161" cm="1">
        <f t="array" aca="1" ref="AQ21" ca="1">INDEX(auto_DataFlat_Score,$F21+AQ$18,$B$12)</f>
        <v>55.6</v>
      </c>
      <c r="AR21" s="161" cm="1">
        <f t="array" aca="1" ref="AR21" ca="1">INDEX(auto_DataFlat_Score,$F21+AR$18,$B$12)</f>
        <v>86.8</v>
      </c>
      <c r="AS21" s="161" cm="1">
        <f t="array" aca="1" ref="AS21" ca="1">INDEX(auto_DataFlat_Score,$F21+AS$18,$B$12)</f>
        <v>84.2</v>
      </c>
      <c r="AT21" s="161" cm="1">
        <f t="array" aca="1" ref="AT21" ca="1">INDEX(auto_DataFlat_Score,$F21+AT$18,$B$12)</f>
        <v>84</v>
      </c>
      <c r="AU21" s="161" cm="1">
        <f t="array" aca="1" ref="AU21" ca="1">INDEX(auto_DataFlat_Score,$F21+AU$18,$B$12)</f>
        <v>58.5</v>
      </c>
      <c r="AV21" s="161" cm="1">
        <f t="array" aca="1" ref="AV21" ca="1">INDEX(auto_DataFlat_Score,$F21+AV$18,$B$12)</f>
        <v>61</v>
      </c>
      <c r="AW21" s="161" cm="1">
        <f t="array" aca="1" ref="AW21" ca="1">INDEX(auto_DataFlat_Score,$F21+AW$18,$B$12)</f>
        <v>82.8</v>
      </c>
      <c r="AX21" s="161" cm="1">
        <f t="array" aca="1" ref="AX21" ca="1">INDEX(auto_DataFlat_Score,$F21+AX$18,$B$12)</f>
        <v>86.8</v>
      </c>
      <c r="AY21" s="161" cm="1">
        <f t="array" aca="1" ref="AY21" ca="1">INDEX(auto_DataFlat_Score,$F21+AY$18,$B$12)</f>
        <v>70.099999999999994</v>
      </c>
      <c r="AZ21" s="161" cm="1">
        <f t="array" aca="1" ref="AZ21" ca="1">INDEX(auto_DataFlat_Score,$F21+AZ$18,$B$12)</f>
        <v>82.8</v>
      </c>
      <c r="BA21" s="161" cm="1">
        <f t="array" aca="1" ref="BA21" ca="1">INDEX(auto_DataFlat_Score,$F21+BA$18,$B$12)</f>
        <v>54.3</v>
      </c>
      <c r="BB21" s="161" cm="1">
        <f t="array" aca="1" ref="BB21" ca="1">INDEX(auto_DataFlat_Score,$F21+BB$18,$B$12)</f>
        <v>86.2</v>
      </c>
      <c r="BC21" s="161" cm="1">
        <f t="array" aca="1" ref="BC21" ca="1">INDEX(auto_DataFlat_Score,$F21+BC$18,$B$12)</f>
        <v>87.9</v>
      </c>
      <c r="BD21" s="161" cm="1">
        <f t="array" aca="1" ref="BD21" ca="1">INDEX(auto_DataFlat_Score,$F21+BD$18,$B$12)</f>
        <v>84.2</v>
      </c>
      <c r="BE21" s="161" cm="1">
        <f t="array" aca="1" ref="BE21" ca="1">INDEX(auto_DataFlat_Score,$F21+BE$18,$B$12)</f>
        <v>89.9</v>
      </c>
      <c r="BF21" s="161" cm="1">
        <f t="array" aca="1" ref="BF21" ca="1">INDEX(auto_DataFlat_Score,$F21+BF$18,$B$12)</f>
        <v>87.3</v>
      </c>
      <c r="BG21" s="161" cm="1">
        <f t="array" aca="1" ref="BG21" ca="1">INDEX(auto_DataFlat_Score,$F21+BG$18,$B$12)</f>
        <v>54.3</v>
      </c>
      <c r="BH21" s="161" cm="1">
        <f t="array" aca="1" ref="BH21" ca="1">INDEX(auto_DataFlat_Score,$F21+BH$18,$B$12)</f>
        <v>51.1</v>
      </c>
    </row>
    <row r="22" spans="1:60" ht="17.05" customHeight="1" x14ac:dyDescent="0.4">
      <c r="A22" t="str">
        <f t="shared" ca="1" si="1"/>
        <v/>
      </c>
      <c r="B22" s="49"/>
      <c r="C22" s="4">
        <v>3</v>
      </c>
      <c r="D22" s="49" cm="1">
        <f t="array" aca="1" ref="D22" ca="1">INDEX(OFFSET(auto_ss_score_table,0,1,500,1),C22)</f>
        <v>3</v>
      </c>
      <c r="E22" s="26" cm="1">
        <f t="array" aca="1" ref="E22" ca="1">INDEX(auto_tblSeries,$D22,$E$18)</f>
        <v>2</v>
      </c>
      <c r="F22" s="101" cm="1">
        <f t="array" aca="1" ref="F22" ca="1">INDEX(sys_DataFlat_LU_Grid,$D22,1)-1</f>
        <v>120</v>
      </c>
      <c r="G22" s="26"/>
      <c r="H22" s="148" t="str" cm="1">
        <f t="array" aca="1" ref="H22" ca="1">INDEX(auto_Series_NameNumbered,$D22)</f>
        <v>1.1) Poverty and inequality</v>
      </c>
      <c r="I22" s="159">
        <f ca="1">IF(D22=1,"-",OFFSET(iWeights!$G$18,$D22-1,0,1,1))</f>
        <v>0.2</v>
      </c>
      <c r="J22" s="160">
        <f ca="1">IF(E22=0,"-",OFFSET(iWeights!$U$18,$D22-1,0,1,1))</f>
        <v>3.2258064516129031E-2</v>
      </c>
      <c r="K22" s="161" cm="1">
        <f t="array" aca="1" ref="K22" ca="1">INDEX(auto_DataFlat_Score,$F22+K$18,$B$12)</f>
        <v>82.5</v>
      </c>
      <c r="L22" s="161" cm="1">
        <f t="array" aca="1" ref="L22" ca="1">INDEX(auto_DataFlat_Score,$F22+L$18,$B$12)</f>
        <v>36.200000000000003</v>
      </c>
      <c r="M22" s="161" cm="1">
        <f t="array" aca="1" ref="M22" ca="1">INDEX(auto_DataFlat_Score,$F22+M$18,$B$12)</f>
        <v>80.099999999999994</v>
      </c>
      <c r="N22" s="161" cm="1">
        <f t="array" aca="1" ref="N22" ca="1">INDEX(auto_DataFlat_Score,$F22+N$18,$B$12)</f>
        <v>34</v>
      </c>
      <c r="O22" s="161" cm="1">
        <f t="array" aca="1" ref="O22" ca="1">INDEX(auto_DataFlat_Score,$F22+O$18,$B$12)</f>
        <v>82.6</v>
      </c>
      <c r="P22" s="161" cm="1">
        <f t="array" aca="1" ref="P22" ca="1">INDEX(auto_DataFlat_Score,$F22+P$18,$B$12)</f>
        <v>31.5</v>
      </c>
      <c r="Q22" s="161" cm="1">
        <f t="array" aca="1" ref="Q22" ca="1">INDEX(auto_DataFlat_Score,$F22+Q$18,$B$12)</f>
        <v>84.2</v>
      </c>
      <c r="R22" s="161" cm="1">
        <f t="array" aca="1" ref="R22" ca="1">INDEX(auto_DataFlat_Score,$F22+R$18,$B$12)</f>
        <v>72.599999999999994</v>
      </c>
      <c r="S22" s="161" cm="1">
        <f t="array" aca="1" ref="S22" ca="1">INDEX(auto_DataFlat_Score,$F22+S$18,$B$12)</f>
        <v>85.4</v>
      </c>
      <c r="T22" s="161" cm="1">
        <f t="array" aca="1" ref="T22" ca="1">INDEX(auto_DataFlat_Score,$F22+T$18,$B$12)</f>
        <v>34.1</v>
      </c>
      <c r="U22" s="161" cm="1">
        <f t="array" aca="1" ref="U22" ca="1">INDEX(auto_DataFlat_Score,$F22+U$18,$B$12)</f>
        <v>31.2</v>
      </c>
      <c r="V22" s="161" cm="1">
        <f t="array" aca="1" ref="V22" ca="1">INDEX(auto_DataFlat_Score,$F22+V$18,$B$12)</f>
        <v>33.6</v>
      </c>
      <c r="W22" s="161" cm="1">
        <f t="array" aca="1" ref="W22" ca="1">INDEX(auto_DataFlat_Score,$F22+W$18,$B$12)</f>
        <v>83.3</v>
      </c>
      <c r="X22" s="161" cm="1">
        <f t="array" aca="1" ref="X22" ca="1">INDEX(auto_DataFlat_Score,$F22+X$18,$B$12)</f>
        <v>87</v>
      </c>
      <c r="Y22" s="161" cm="1">
        <f t="array" aca="1" ref="Y22" ca="1">INDEX(auto_DataFlat_Score,$F22+Y$18,$B$12)</f>
        <v>86.2</v>
      </c>
      <c r="Z22" s="161" cm="1">
        <f t="array" aca="1" ref="Z22" ca="1">INDEX(auto_DataFlat_Score,$F22+Z$18,$B$12)</f>
        <v>82</v>
      </c>
      <c r="AA22" s="161" cm="1">
        <f t="array" aca="1" ref="AA22" ca="1">INDEX(auto_DataFlat_Score,$F22+AA$18,$B$12)</f>
        <v>84</v>
      </c>
      <c r="AB22" s="161" cm="1">
        <f t="array" aca="1" ref="AB22" ca="1">INDEX(auto_DataFlat_Score,$F22+AB$18,$B$12)</f>
        <v>77.8</v>
      </c>
      <c r="AC22" s="161" cm="1">
        <f t="array" aca="1" ref="AC22" ca="1">INDEX(auto_DataFlat_Score,$F22+AC$18,$B$12)</f>
        <v>80.900000000000006</v>
      </c>
      <c r="AD22" s="161" cm="1">
        <f t="array" aca="1" ref="AD22" ca="1">INDEX(auto_DataFlat_Score,$F22+AD$18,$B$12)</f>
        <v>68.5</v>
      </c>
      <c r="AE22" s="161" cm="1">
        <f t="array" aca="1" ref="AE22" ca="1">INDEX(auto_DataFlat_Score,$F22+AE$18,$B$12)</f>
        <v>35.200000000000003</v>
      </c>
      <c r="AF22" s="161" cm="1">
        <f t="array" aca="1" ref="AF22" ca="1">INDEX(auto_DataFlat_Score,$F22+AF$18,$B$12)</f>
        <v>33.6</v>
      </c>
      <c r="AG22" s="161" cm="1">
        <f t="array" aca="1" ref="AG22" ca="1">INDEX(auto_DataFlat_Score,$F22+AG$18,$B$12)</f>
        <v>33.6</v>
      </c>
      <c r="AH22" s="161" cm="1">
        <f t="array" aca="1" ref="AH22" ca="1">INDEX(auto_DataFlat_Score,$F22+AH$18,$B$12)</f>
        <v>34</v>
      </c>
      <c r="AI22" s="161" cm="1">
        <f t="array" aca="1" ref="AI22" ca="1">INDEX(auto_DataFlat_Score,$F22+AI$18,$B$12)</f>
        <v>82.5</v>
      </c>
      <c r="AJ22" s="161" cm="1">
        <f t="array" aca="1" ref="AJ22" ca="1">INDEX(auto_DataFlat_Score,$F22+AJ$18,$B$12)</f>
        <v>83.8</v>
      </c>
      <c r="AK22" s="161" cm="1">
        <f t="array" aca="1" ref="AK22" ca="1">INDEX(auto_DataFlat_Score,$F22+AK$18,$B$12)</f>
        <v>83.1</v>
      </c>
      <c r="AL22" s="161" cm="1">
        <f t="array" aca="1" ref="AL22" ca="1">INDEX(auto_DataFlat_Score,$F22+AL$18,$B$12)</f>
        <v>79.7</v>
      </c>
      <c r="AM22" s="161" cm="1">
        <f t="array" aca="1" ref="AM22" ca="1">INDEX(auto_DataFlat_Score,$F22+AM$18,$B$12)</f>
        <v>82.9</v>
      </c>
      <c r="AN22" s="161" cm="1">
        <f t="array" aca="1" ref="AN22" ca="1">INDEX(auto_DataFlat_Score,$F22+AN$18,$B$12)</f>
        <v>78.3</v>
      </c>
      <c r="AO22" s="161" cm="1">
        <f t="array" aca="1" ref="AO22" ca="1">INDEX(auto_DataFlat_Score,$F22+AO$18,$B$12)</f>
        <v>82</v>
      </c>
      <c r="AP22" s="161" cm="1">
        <f t="array" aca="1" ref="AP22" ca="1">INDEX(auto_DataFlat_Score,$F22+AP$18,$B$12)</f>
        <v>33.6</v>
      </c>
      <c r="AQ22" s="161" cm="1">
        <f t="array" aca="1" ref="AQ22" ca="1">INDEX(auto_DataFlat_Score,$F22+AQ$18,$B$12)</f>
        <v>80.7</v>
      </c>
      <c r="AR22" s="161" cm="1">
        <f t="array" aca="1" ref="AR22" ca="1">INDEX(auto_DataFlat_Score,$F22+AR$18,$B$12)</f>
        <v>80.099999999999994</v>
      </c>
      <c r="AS22" s="161" cm="1">
        <f t="array" aca="1" ref="AS22" ca="1">INDEX(auto_DataFlat_Score,$F22+AS$18,$B$12)</f>
        <v>83.6</v>
      </c>
      <c r="AT22" s="161" cm="1">
        <f t="array" aca="1" ref="AT22" ca="1">INDEX(auto_DataFlat_Score,$F22+AT$18,$B$12)</f>
        <v>84.3</v>
      </c>
      <c r="AU22" s="161" cm="1">
        <f t="array" aca="1" ref="AU22" ca="1">INDEX(auto_DataFlat_Score,$F22+AU$18,$B$12)</f>
        <v>31.3</v>
      </c>
      <c r="AV22" s="161" cm="1">
        <f t="array" aca="1" ref="AV22" ca="1">INDEX(auto_DataFlat_Score,$F22+AV$18,$B$12)</f>
        <v>34</v>
      </c>
      <c r="AW22" s="161" cm="1">
        <f t="array" aca="1" ref="AW22" ca="1">INDEX(auto_DataFlat_Score,$F22+AW$18,$B$12)</f>
        <v>82.6</v>
      </c>
      <c r="AX22" s="161" cm="1">
        <f t="array" aca="1" ref="AX22" ca="1">INDEX(auto_DataFlat_Score,$F22+AX$18,$B$12)</f>
        <v>80.099999999999994</v>
      </c>
      <c r="AY22" s="161" cm="1">
        <f t="array" aca="1" ref="AY22" ca="1">INDEX(auto_DataFlat_Score,$F22+AY$18,$B$12)</f>
        <v>74</v>
      </c>
      <c r="AZ22" s="161" cm="1">
        <f t="array" aca="1" ref="AZ22" ca="1">INDEX(auto_DataFlat_Score,$F22+AZ$18,$B$12)</f>
        <v>84.3</v>
      </c>
      <c r="BA22" s="161" cm="1">
        <f t="array" aca="1" ref="BA22" ca="1">INDEX(auto_DataFlat_Score,$F22+BA$18,$B$12)</f>
        <v>31.5</v>
      </c>
      <c r="BB22" s="161" cm="1">
        <f t="array" aca="1" ref="BB22" ca="1">INDEX(auto_DataFlat_Score,$F22+BB$18,$B$12)</f>
        <v>84</v>
      </c>
      <c r="BC22" s="161" cm="1">
        <f t="array" aca="1" ref="BC22" ca="1">INDEX(auto_DataFlat_Score,$F22+BC$18,$B$12)</f>
        <v>82.9</v>
      </c>
      <c r="BD22" s="161" cm="1">
        <f t="array" aca="1" ref="BD22" ca="1">INDEX(auto_DataFlat_Score,$F22+BD$18,$B$12)</f>
        <v>83.6</v>
      </c>
      <c r="BE22" s="161" cm="1">
        <f t="array" aca="1" ref="BE22" ca="1">INDEX(auto_DataFlat_Score,$F22+BE$18,$B$12)</f>
        <v>84.2</v>
      </c>
      <c r="BF22" s="161" cm="1">
        <f t="array" aca="1" ref="BF22" ca="1">INDEX(auto_DataFlat_Score,$F22+BF$18,$B$12)</f>
        <v>84.7</v>
      </c>
      <c r="BG22" s="161" cm="1">
        <f t="array" aca="1" ref="BG22" ca="1">INDEX(auto_DataFlat_Score,$F22+BG$18,$B$12)</f>
        <v>31.5</v>
      </c>
      <c r="BH22" s="161" cm="1">
        <f t="array" aca="1" ref="BH22" ca="1">INDEX(auto_DataFlat_Score,$F22+BH$18,$B$12)</f>
        <v>84.7</v>
      </c>
    </row>
    <row r="23" spans="1:60" ht="17.05" customHeight="1" x14ac:dyDescent="0.4">
      <c r="A23" t="str">
        <f t="shared" ref="A23:A82" ca="1" si="2">IF(E23&gt;$B$13,"H","")</f>
        <v/>
      </c>
      <c r="B23" s="49"/>
      <c r="C23" s="4">
        <v>4</v>
      </c>
      <c r="D23" s="49" cm="1">
        <f t="array" aca="1" ref="D23" ca="1">INDEX(OFFSET(auto_ss_score_table,0,1,500,1),C23)</f>
        <v>4</v>
      </c>
      <c r="E23" s="26" cm="1">
        <f t="array" aca="1" ref="E23" ca="1">INDEX(auto_tblSeries,$D23,$E$18)</f>
        <v>3</v>
      </c>
      <c r="F23" s="101" cm="1">
        <f t="array" aca="1" ref="F23" ca="1">INDEX(sys_DataFlat_LU_Grid,$D23,1)-1</f>
        <v>180</v>
      </c>
      <c r="G23" s="26"/>
      <c r="H23" s="151" t="str" cm="1">
        <f t="array" aca="1" ref="H23" ca="1">INDEX(auto_Series_NameNumbered,$D23)</f>
        <v>1.1a) Gini Index: national data</v>
      </c>
      <c r="I23" s="162">
        <f ca="1">OFFSET(iWeights!$G$18,$D23-1,0,1,1)</f>
        <v>0.5</v>
      </c>
      <c r="J23" s="163">
        <f ca="1">IF(E23=0,"-",OFFSET(iWeights!$U$18,$D23-1,0,1,1))</f>
        <v>1.6129032258064516E-2</v>
      </c>
      <c r="K23" s="164" cm="1">
        <f t="array" aca="1" ref="K23" ca="1">INDEX(auto_DataFlat_Score,$F23+K$18,$B$12)</f>
        <v>65</v>
      </c>
      <c r="L23" s="164" cm="1">
        <f t="array" aca="1" ref="L23" ca="1">INDEX(auto_DataFlat_Score,$F23+L$18,$B$12)</f>
        <v>72.400000000000006</v>
      </c>
      <c r="M23" s="164" cm="1">
        <f t="array" aca="1" ref="M23" ca="1">INDEX(auto_DataFlat_Score,$F23+M$18,$B$12)</f>
        <v>60.2</v>
      </c>
      <c r="N23" s="164" cm="1">
        <f t="array" aca="1" ref="N23" ca="1">INDEX(auto_DataFlat_Score,$F23+N$18,$B$12)</f>
        <v>68</v>
      </c>
      <c r="O23" s="164" cm="1">
        <f t="array" aca="1" ref="O23" ca="1">INDEX(auto_DataFlat_Score,$F23+O$18,$B$12)</f>
        <v>65.099999999999994</v>
      </c>
      <c r="P23" s="164" cm="1">
        <f t="array" aca="1" ref="P23" ca="1">INDEX(auto_DataFlat_Score,$F23+P$18,$B$12)</f>
        <v>62.9</v>
      </c>
      <c r="Q23" s="164" cm="1">
        <f t="array" aca="1" ref="Q23" ca="1">INDEX(auto_DataFlat_Score,$F23+Q$18,$B$12)</f>
        <v>68.3</v>
      </c>
      <c r="R23" s="164" cm="1">
        <f t="array" aca="1" ref="R23" ca="1">INDEX(auto_DataFlat_Score,$F23+R$18,$B$12)</f>
        <v>45.2</v>
      </c>
      <c r="S23" s="164" cm="1">
        <f t="array" aca="1" ref="S23" ca="1">INDEX(auto_DataFlat_Score,$F23+S$18,$B$12)</f>
        <v>70.8</v>
      </c>
      <c r="T23" s="164" cm="1">
        <f t="array" aca="1" ref="T23" ca="1">INDEX(auto_DataFlat_Score,$F23+T$18,$B$12)</f>
        <v>68.099999999999994</v>
      </c>
      <c r="U23" s="164" cm="1">
        <f t="array" aca="1" ref="U23" ca="1">INDEX(auto_DataFlat_Score,$F23+U$18,$B$12)</f>
        <v>62.3</v>
      </c>
      <c r="V23" s="164" cm="1">
        <f t="array" aca="1" ref="V23" ca="1">INDEX(auto_DataFlat_Score,$F23+V$18,$B$12)</f>
        <v>67.2</v>
      </c>
      <c r="W23" s="164" cm="1">
        <f t="array" aca="1" ref="W23" ca="1">INDEX(auto_DataFlat_Score,$F23+W$18,$B$12)</f>
        <v>66.599999999999994</v>
      </c>
      <c r="X23" s="164" cm="1">
        <f t="array" aca="1" ref="X23" ca="1">INDEX(auto_DataFlat_Score,$F23+X$18,$B$12)</f>
        <v>74</v>
      </c>
      <c r="Y23" s="164" cm="1">
        <f t="array" aca="1" ref="Y23" ca="1">INDEX(auto_DataFlat_Score,$F23+Y$18,$B$12)</f>
        <v>72.3</v>
      </c>
      <c r="Z23" s="164" cm="1">
        <f t="array" aca="1" ref="Z23" ca="1">INDEX(auto_DataFlat_Score,$F23+Z$18,$B$12)</f>
        <v>63.9</v>
      </c>
      <c r="AA23" s="164" cm="1">
        <f t="array" aca="1" ref="AA23" ca="1">INDEX(auto_DataFlat_Score,$F23+AA$18,$B$12)</f>
        <v>68</v>
      </c>
      <c r="AB23" s="164" cm="1">
        <f t="array" aca="1" ref="AB23" ca="1">INDEX(auto_DataFlat_Score,$F23+AB$18,$B$12)</f>
        <v>55.6</v>
      </c>
      <c r="AC23" s="164" cm="1">
        <f t="array" aca="1" ref="AC23" ca="1">INDEX(auto_DataFlat_Score,$F23+AC$18,$B$12)</f>
        <v>61.7</v>
      </c>
      <c r="AD23" s="164" cm="1">
        <f t="array" aca="1" ref="AD23" ca="1">INDEX(auto_DataFlat_Score,$F23+AD$18,$B$12)</f>
        <v>37</v>
      </c>
      <c r="AE23" s="164" cm="1">
        <f t="array" aca="1" ref="AE23" ca="1">INDEX(auto_DataFlat_Score,$F23+AE$18,$B$12)</f>
        <v>70.400000000000006</v>
      </c>
      <c r="AF23" s="164" cm="1">
        <f t="array" aca="1" ref="AF23" ca="1">INDEX(auto_DataFlat_Score,$F23+AF$18,$B$12)</f>
        <v>67.2</v>
      </c>
      <c r="AG23" s="164" cm="1">
        <f t="array" aca="1" ref="AG23" ca="1">INDEX(auto_DataFlat_Score,$F23+AG$18,$B$12)</f>
        <v>67.2</v>
      </c>
      <c r="AH23" s="164" cm="1">
        <f t="array" aca="1" ref="AH23" ca="1">INDEX(auto_DataFlat_Score,$F23+AH$18,$B$12)</f>
        <v>68</v>
      </c>
      <c r="AI23" s="164" cm="1">
        <f t="array" aca="1" ref="AI23" ca="1">INDEX(auto_DataFlat_Score,$F23+AI$18,$B$12)</f>
        <v>64.900000000000006</v>
      </c>
      <c r="AJ23" s="164" cm="1">
        <f t="array" aca="1" ref="AJ23" ca="1">INDEX(auto_DataFlat_Score,$F23+AJ$18,$B$12)</f>
        <v>67.599999999999994</v>
      </c>
      <c r="AK23" s="164" cm="1">
        <f t="array" aca="1" ref="AK23" ca="1">INDEX(auto_DataFlat_Score,$F23+AK$18,$B$12)</f>
        <v>66.099999999999994</v>
      </c>
      <c r="AL23" s="164" cm="1">
        <f t="array" aca="1" ref="AL23" ca="1">INDEX(auto_DataFlat_Score,$F23+AL$18,$B$12)</f>
        <v>59.3</v>
      </c>
      <c r="AM23" s="164" cm="1">
        <f t="array" aca="1" ref="AM23" ca="1">INDEX(auto_DataFlat_Score,$F23+AM$18,$B$12)</f>
        <v>65.7</v>
      </c>
      <c r="AN23" s="164" cm="1">
        <f t="array" aca="1" ref="AN23" ca="1">INDEX(auto_DataFlat_Score,$F23+AN$18,$B$12)</f>
        <v>56.5</v>
      </c>
      <c r="AO23" s="164" cm="1">
        <f t="array" aca="1" ref="AO23" ca="1">INDEX(auto_DataFlat_Score,$F23+AO$18,$B$12)</f>
        <v>64</v>
      </c>
      <c r="AP23" s="164" cm="1">
        <f t="array" aca="1" ref="AP23" ca="1">INDEX(auto_DataFlat_Score,$F23+AP$18,$B$12)</f>
        <v>67.2</v>
      </c>
      <c r="AQ23" s="164" cm="1">
        <f t="array" aca="1" ref="AQ23" ca="1">INDEX(auto_DataFlat_Score,$F23+AQ$18,$B$12)</f>
        <v>61.3</v>
      </c>
      <c r="AR23" s="164" cm="1">
        <f t="array" aca="1" ref="AR23" ca="1">INDEX(auto_DataFlat_Score,$F23+AR$18,$B$12)</f>
        <v>60.2</v>
      </c>
      <c r="AS23" s="164" cm="1">
        <f t="array" aca="1" ref="AS23" ca="1">INDEX(auto_DataFlat_Score,$F23+AS$18,$B$12)</f>
        <v>67.099999999999994</v>
      </c>
      <c r="AT23" s="164" cm="1">
        <f t="array" aca="1" ref="AT23" ca="1">INDEX(auto_DataFlat_Score,$F23+AT$18,$B$12)</f>
        <v>68.5</v>
      </c>
      <c r="AU23" s="164" cm="1">
        <f t="array" aca="1" ref="AU23" ca="1">INDEX(auto_DataFlat_Score,$F23+AU$18,$B$12)</f>
        <v>62.5</v>
      </c>
      <c r="AV23" s="164" cm="1">
        <f t="array" aca="1" ref="AV23" ca="1">INDEX(auto_DataFlat_Score,$F23+AV$18,$B$12)</f>
        <v>68</v>
      </c>
      <c r="AW23" s="164" cm="1">
        <f t="array" aca="1" ref="AW23" ca="1">INDEX(auto_DataFlat_Score,$F23+AW$18,$B$12)</f>
        <v>65.2</v>
      </c>
      <c r="AX23" s="164" cm="1">
        <f t="array" aca="1" ref="AX23" ca="1">INDEX(auto_DataFlat_Score,$F23+AX$18,$B$12)</f>
        <v>60.2</v>
      </c>
      <c r="AY23" s="164" cm="1">
        <f t="array" aca="1" ref="AY23" ca="1">INDEX(auto_DataFlat_Score,$F23+AY$18,$B$12)</f>
        <v>48</v>
      </c>
      <c r="AZ23" s="164" cm="1">
        <f t="array" aca="1" ref="AZ23" ca="1">INDEX(auto_DataFlat_Score,$F23+AZ$18,$B$12)</f>
        <v>68.599999999999994</v>
      </c>
      <c r="BA23" s="164" cm="1">
        <f t="array" aca="1" ref="BA23" ca="1">INDEX(auto_DataFlat_Score,$F23+BA$18,$B$12)</f>
        <v>62.9</v>
      </c>
      <c r="BB23" s="164" cm="1">
        <f t="array" aca="1" ref="BB23" ca="1">INDEX(auto_DataFlat_Score,$F23+BB$18,$B$12)</f>
        <v>68</v>
      </c>
      <c r="BC23" s="164" cm="1">
        <f t="array" aca="1" ref="BC23" ca="1">INDEX(auto_DataFlat_Score,$F23+BC$18,$B$12)</f>
        <v>65.7</v>
      </c>
      <c r="BD23" s="164" cm="1">
        <f t="array" aca="1" ref="BD23" ca="1">INDEX(auto_DataFlat_Score,$F23+BD$18,$B$12)</f>
        <v>67.099999999999994</v>
      </c>
      <c r="BE23" s="164" cm="1">
        <f t="array" aca="1" ref="BE23" ca="1">INDEX(auto_DataFlat_Score,$F23+BE$18,$B$12)</f>
        <v>68.3</v>
      </c>
      <c r="BF23" s="164" cm="1">
        <f t="array" aca="1" ref="BF23" ca="1">INDEX(auto_DataFlat_Score,$F23+BF$18,$B$12)</f>
        <v>69.3</v>
      </c>
      <c r="BG23" s="164" cm="1">
        <f t="array" aca="1" ref="BG23" ca="1">INDEX(auto_DataFlat_Score,$F23+BG$18,$B$12)</f>
        <v>62.9</v>
      </c>
      <c r="BH23" s="164" cm="1">
        <f t="array" aca="1" ref="BH23" ca="1">INDEX(auto_DataFlat_Score,$F23+BH$18,$B$12)</f>
        <v>69.3</v>
      </c>
    </row>
    <row r="24" spans="1:60" ht="17.05" customHeight="1" x14ac:dyDescent="0.4">
      <c r="A24" t="str">
        <f t="shared" ca="1" si="2"/>
        <v/>
      </c>
      <c r="B24" s="49"/>
      <c r="C24" s="4">
        <v>5</v>
      </c>
      <c r="D24" s="49" cm="1">
        <f t="array" aca="1" ref="D24" ca="1">INDEX(OFFSET(auto_ss_score_table,0,1,500,1),C24)</f>
        <v>5</v>
      </c>
      <c r="E24" s="26" cm="1">
        <f t="array" aca="1" ref="E24" ca="1">INDEX(auto_tblSeries,$D24,$E$18)</f>
        <v>3</v>
      </c>
      <c r="F24" s="101" cm="1">
        <f t="array" aca="1" ref="F24" ca="1">INDEX(sys_DataFlat_LU_Grid,$D24,1)-1</f>
        <v>240</v>
      </c>
      <c r="G24" s="26"/>
      <c r="H24" s="151" t="str" cm="1">
        <f t="array" aca="1" ref="H24" ca="1">INDEX(auto_Series_NameNumbered,$D24)</f>
        <v>1.1b) Poverty: city-level data availability</v>
      </c>
      <c r="I24" s="162">
        <f ca="1">IF(D24=1,"-",OFFSET(iWeights!$G$18,$D24-1,0,1,1))</f>
        <v>0.5</v>
      </c>
      <c r="J24" s="163">
        <f ca="1">IF(E24=0,"-",OFFSET(iWeights!$U$18,$D24-1,0,1,1))</f>
        <v>1.6129032258064516E-2</v>
      </c>
      <c r="K24" s="164" cm="1">
        <f t="array" aca="1" ref="K24" ca="1">INDEX(auto_DataFlat_Score,$F24+K$18,$B$12)</f>
        <v>100</v>
      </c>
      <c r="L24" s="164" cm="1">
        <f t="array" aca="1" ref="L24" ca="1">INDEX(auto_DataFlat_Score,$F24+L$18,$B$12)</f>
        <v>0</v>
      </c>
      <c r="M24" s="164" cm="1">
        <f t="array" aca="1" ref="M24" ca="1">INDEX(auto_DataFlat_Score,$F24+M$18,$B$12)</f>
        <v>100</v>
      </c>
      <c r="N24" s="164" cm="1">
        <f t="array" aca="1" ref="N24" ca="1">INDEX(auto_DataFlat_Score,$F24+N$18,$B$12)</f>
        <v>0</v>
      </c>
      <c r="O24" s="164" cm="1">
        <f t="array" aca="1" ref="O24" ca="1">INDEX(auto_DataFlat_Score,$F24+O$18,$B$12)</f>
        <v>100</v>
      </c>
      <c r="P24" s="164" cm="1">
        <f t="array" aca="1" ref="P24" ca="1">INDEX(auto_DataFlat_Score,$F24+P$18,$B$12)</f>
        <v>0</v>
      </c>
      <c r="Q24" s="164" cm="1">
        <f t="array" aca="1" ref="Q24" ca="1">INDEX(auto_DataFlat_Score,$F24+Q$18,$B$12)</f>
        <v>100</v>
      </c>
      <c r="R24" s="164" cm="1">
        <f t="array" aca="1" ref="R24" ca="1">INDEX(auto_DataFlat_Score,$F24+R$18,$B$12)</f>
        <v>100</v>
      </c>
      <c r="S24" s="164" cm="1">
        <f t="array" aca="1" ref="S24" ca="1">INDEX(auto_DataFlat_Score,$F24+S$18,$B$12)</f>
        <v>100</v>
      </c>
      <c r="T24" s="164" cm="1">
        <f t="array" aca="1" ref="T24" ca="1">INDEX(auto_DataFlat_Score,$F24+T$18,$B$12)</f>
        <v>0</v>
      </c>
      <c r="U24" s="164" cm="1">
        <f t="array" aca="1" ref="U24" ca="1">INDEX(auto_DataFlat_Score,$F24+U$18,$B$12)</f>
        <v>0</v>
      </c>
      <c r="V24" s="164" cm="1">
        <f t="array" aca="1" ref="V24" ca="1">INDEX(auto_DataFlat_Score,$F24+V$18,$B$12)</f>
        <v>0</v>
      </c>
      <c r="W24" s="164" cm="1">
        <f t="array" aca="1" ref="W24" ca="1">INDEX(auto_DataFlat_Score,$F24+W$18,$B$12)</f>
        <v>100</v>
      </c>
      <c r="X24" s="164" cm="1">
        <f t="array" aca="1" ref="X24" ca="1">INDEX(auto_DataFlat_Score,$F24+X$18,$B$12)</f>
        <v>100</v>
      </c>
      <c r="Y24" s="164" cm="1">
        <f t="array" aca="1" ref="Y24" ca="1">INDEX(auto_DataFlat_Score,$F24+Y$18,$B$12)</f>
        <v>100</v>
      </c>
      <c r="Z24" s="164" cm="1">
        <f t="array" aca="1" ref="Z24" ca="1">INDEX(auto_DataFlat_Score,$F24+Z$18,$B$12)</f>
        <v>100</v>
      </c>
      <c r="AA24" s="164" cm="1">
        <f t="array" aca="1" ref="AA24" ca="1">INDEX(auto_DataFlat_Score,$F24+AA$18,$B$12)</f>
        <v>100</v>
      </c>
      <c r="AB24" s="164" cm="1">
        <f t="array" aca="1" ref="AB24" ca="1">INDEX(auto_DataFlat_Score,$F24+AB$18,$B$12)</f>
        <v>100</v>
      </c>
      <c r="AC24" s="164" cm="1">
        <f t="array" aca="1" ref="AC24" ca="1">INDEX(auto_DataFlat_Score,$F24+AC$18,$B$12)</f>
        <v>100</v>
      </c>
      <c r="AD24" s="164" cm="1">
        <f t="array" aca="1" ref="AD24" ca="1">INDEX(auto_DataFlat_Score,$F24+AD$18,$B$12)</f>
        <v>100</v>
      </c>
      <c r="AE24" s="164" cm="1">
        <f t="array" aca="1" ref="AE24" ca="1">INDEX(auto_DataFlat_Score,$F24+AE$18,$B$12)</f>
        <v>0</v>
      </c>
      <c r="AF24" s="164" cm="1">
        <f t="array" aca="1" ref="AF24" ca="1">INDEX(auto_DataFlat_Score,$F24+AF$18,$B$12)</f>
        <v>0</v>
      </c>
      <c r="AG24" s="164" cm="1">
        <f t="array" aca="1" ref="AG24" ca="1">INDEX(auto_DataFlat_Score,$F24+AG$18,$B$12)</f>
        <v>0</v>
      </c>
      <c r="AH24" s="164" cm="1">
        <f t="array" aca="1" ref="AH24" ca="1">INDEX(auto_DataFlat_Score,$F24+AH$18,$B$12)</f>
        <v>0</v>
      </c>
      <c r="AI24" s="164" cm="1">
        <f t="array" aca="1" ref="AI24" ca="1">INDEX(auto_DataFlat_Score,$F24+AI$18,$B$12)</f>
        <v>100</v>
      </c>
      <c r="AJ24" s="164" cm="1">
        <f t="array" aca="1" ref="AJ24" ca="1">INDEX(auto_DataFlat_Score,$F24+AJ$18,$B$12)</f>
        <v>100</v>
      </c>
      <c r="AK24" s="164" cm="1">
        <f t="array" aca="1" ref="AK24" ca="1">INDEX(auto_DataFlat_Score,$F24+AK$18,$B$12)</f>
        <v>100</v>
      </c>
      <c r="AL24" s="164" cm="1">
        <f t="array" aca="1" ref="AL24" ca="1">INDEX(auto_DataFlat_Score,$F24+AL$18,$B$12)</f>
        <v>100</v>
      </c>
      <c r="AM24" s="164" cm="1">
        <f t="array" aca="1" ref="AM24" ca="1">INDEX(auto_DataFlat_Score,$F24+AM$18,$B$12)</f>
        <v>100</v>
      </c>
      <c r="AN24" s="164" cm="1">
        <f t="array" aca="1" ref="AN24" ca="1">INDEX(auto_DataFlat_Score,$F24+AN$18,$B$12)</f>
        <v>100</v>
      </c>
      <c r="AO24" s="164" cm="1">
        <f t="array" aca="1" ref="AO24" ca="1">INDEX(auto_DataFlat_Score,$F24+AO$18,$B$12)</f>
        <v>100</v>
      </c>
      <c r="AP24" s="164" cm="1">
        <f t="array" aca="1" ref="AP24" ca="1">INDEX(auto_DataFlat_Score,$F24+AP$18,$B$12)</f>
        <v>0</v>
      </c>
      <c r="AQ24" s="164" cm="1">
        <f t="array" aca="1" ref="AQ24" ca="1">INDEX(auto_DataFlat_Score,$F24+AQ$18,$B$12)</f>
        <v>100</v>
      </c>
      <c r="AR24" s="164" cm="1">
        <f t="array" aca="1" ref="AR24" ca="1">INDEX(auto_DataFlat_Score,$F24+AR$18,$B$12)</f>
        <v>100</v>
      </c>
      <c r="AS24" s="164" cm="1">
        <f t="array" aca="1" ref="AS24" ca="1">INDEX(auto_DataFlat_Score,$F24+AS$18,$B$12)</f>
        <v>100</v>
      </c>
      <c r="AT24" s="164" cm="1">
        <f t="array" aca="1" ref="AT24" ca="1">INDEX(auto_DataFlat_Score,$F24+AT$18,$B$12)</f>
        <v>100</v>
      </c>
      <c r="AU24" s="164" cm="1">
        <f t="array" aca="1" ref="AU24" ca="1">INDEX(auto_DataFlat_Score,$F24+AU$18,$B$12)</f>
        <v>0</v>
      </c>
      <c r="AV24" s="164" cm="1">
        <f t="array" aca="1" ref="AV24" ca="1">INDEX(auto_DataFlat_Score,$F24+AV$18,$B$12)</f>
        <v>0</v>
      </c>
      <c r="AW24" s="164" cm="1">
        <f t="array" aca="1" ref="AW24" ca="1">INDEX(auto_DataFlat_Score,$F24+AW$18,$B$12)</f>
        <v>100</v>
      </c>
      <c r="AX24" s="164" cm="1">
        <f t="array" aca="1" ref="AX24" ca="1">INDEX(auto_DataFlat_Score,$F24+AX$18,$B$12)</f>
        <v>100</v>
      </c>
      <c r="AY24" s="164" cm="1">
        <f t="array" aca="1" ref="AY24" ca="1">INDEX(auto_DataFlat_Score,$F24+AY$18,$B$12)</f>
        <v>100</v>
      </c>
      <c r="AZ24" s="164" cm="1">
        <f t="array" aca="1" ref="AZ24" ca="1">INDEX(auto_DataFlat_Score,$F24+AZ$18,$B$12)</f>
        <v>100</v>
      </c>
      <c r="BA24" s="164" cm="1">
        <f t="array" aca="1" ref="BA24" ca="1">INDEX(auto_DataFlat_Score,$F24+BA$18,$B$12)</f>
        <v>0</v>
      </c>
      <c r="BB24" s="164" cm="1">
        <f t="array" aca="1" ref="BB24" ca="1">INDEX(auto_DataFlat_Score,$F24+BB$18,$B$12)</f>
        <v>100</v>
      </c>
      <c r="BC24" s="164" cm="1">
        <f t="array" aca="1" ref="BC24" ca="1">INDEX(auto_DataFlat_Score,$F24+BC$18,$B$12)</f>
        <v>100</v>
      </c>
      <c r="BD24" s="164" cm="1">
        <f t="array" aca="1" ref="BD24" ca="1">INDEX(auto_DataFlat_Score,$F24+BD$18,$B$12)</f>
        <v>100</v>
      </c>
      <c r="BE24" s="164" cm="1">
        <f t="array" aca="1" ref="BE24" ca="1">INDEX(auto_DataFlat_Score,$F24+BE$18,$B$12)</f>
        <v>100</v>
      </c>
      <c r="BF24" s="164" cm="1">
        <f t="array" aca="1" ref="BF24" ca="1">INDEX(auto_DataFlat_Score,$F24+BF$18,$B$12)</f>
        <v>100</v>
      </c>
      <c r="BG24" s="164" cm="1">
        <f t="array" aca="1" ref="BG24" ca="1">INDEX(auto_DataFlat_Score,$F24+BG$18,$B$12)</f>
        <v>0</v>
      </c>
      <c r="BH24" s="164" cm="1">
        <f t="array" aca="1" ref="BH24" ca="1">INDEX(auto_DataFlat_Score,$F24+BH$18,$B$12)</f>
        <v>100</v>
      </c>
    </row>
    <row r="25" spans="1:60" ht="17.05" customHeight="1" x14ac:dyDescent="0.4">
      <c r="A25" t="str">
        <f t="shared" ca="1" si="2"/>
        <v/>
      </c>
      <c r="B25" s="49"/>
      <c r="C25" s="4">
        <v>6</v>
      </c>
      <c r="D25" s="49" cm="1">
        <f t="array" aca="1" ref="D25" ca="1">INDEX(OFFSET(auto_ss_score_table,0,1,500,1),C25)</f>
        <v>6</v>
      </c>
      <c r="E25" s="26" cm="1">
        <f t="array" aca="1" ref="E25" ca="1">INDEX(auto_tblSeries,$D25,$E$18)</f>
        <v>2</v>
      </c>
      <c r="F25" s="101" cm="1">
        <f t="array" aca="1" ref="F25" ca="1">INDEX(sys_DataFlat_LU_Grid,$D25,1)-1</f>
        <v>300</v>
      </c>
      <c r="G25" s="26"/>
      <c r="H25" s="148" t="str" cm="1">
        <f t="array" aca="1" ref="H25" ca="1">INDEX(auto_Series_NameNumbered,$D25)</f>
        <v>1.2) Education</v>
      </c>
      <c r="I25" s="159">
        <f ca="1">OFFSET(iWeights!$G$18,$D25-1,0,1,1)</f>
        <v>0.2</v>
      </c>
      <c r="J25" s="160">
        <f ca="1">IF(E25=0,"-",OFFSET(iWeights!$U$18,$D25-1,0,1,1))</f>
        <v>3.2258064516129031E-2</v>
      </c>
      <c r="K25" s="161" cm="1">
        <f t="array" aca="1" ref="K25" ca="1">INDEX(auto_DataFlat_Score,$F25+K$18,$B$12)</f>
        <v>2.2999999999999998</v>
      </c>
      <c r="L25" s="161" cm="1">
        <f t="array" aca="1" ref="L25" ca="1">INDEX(auto_DataFlat_Score,$F25+L$18,$B$12)</f>
        <v>12.1</v>
      </c>
      <c r="M25" s="161" cm="1">
        <f t="array" aca="1" ref="M25" ca="1">INDEX(auto_DataFlat_Score,$F25+M$18,$B$12)</f>
        <v>95.7</v>
      </c>
      <c r="N25" s="161" cm="1">
        <f t="array" aca="1" ref="N25" ca="1">INDEX(auto_DataFlat_Score,$F25+N$18,$B$12)</f>
        <v>87.6</v>
      </c>
      <c r="O25" s="161" cm="1">
        <f t="array" aca="1" ref="O25" ca="1">INDEX(auto_DataFlat_Score,$F25+O$18,$B$12)</f>
        <v>67.7</v>
      </c>
      <c r="P25" s="161" cm="1">
        <f t="array" aca="1" ref="P25" ca="1">INDEX(auto_DataFlat_Score,$F25+P$18,$B$12)</f>
        <v>68</v>
      </c>
      <c r="Q25" s="161" cm="1">
        <f t="array" aca="1" ref="Q25" ca="1">INDEX(auto_DataFlat_Score,$F25+Q$18,$B$12)</f>
        <v>91.9</v>
      </c>
      <c r="R25" s="161" cm="1">
        <f t="array" aca="1" ref="R25" ca="1">INDEX(auto_DataFlat_Score,$F25+R$18,$B$12)</f>
        <v>27</v>
      </c>
      <c r="S25" s="161" cm="1">
        <f t="array" aca="1" ref="S25" ca="1">INDEX(auto_DataFlat_Score,$F25+S$18,$B$12)</f>
        <v>90</v>
      </c>
      <c r="T25" s="161" cm="1">
        <f t="array" aca="1" ref="T25" ca="1">INDEX(auto_DataFlat_Score,$F25+T$18,$B$12)</f>
        <v>33.6</v>
      </c>
      <c r="U25" s="161" cm="1">
        <f t="array" aca="1" ref="U25" ca="1">INDEX(auto_DataFlat_Score,$F25+U$18,$B$12)</f>
        <v>31.9</v>
      </c>
      <c r="V25" s="161" cm="1">
        <f t="array" aca="1" ref="V25" ca="1">INDEX(auto_DataFlat_Score,$F25+V$18,$B$12)</f>
        <v>65.8</v>
      </c>
      <c r="W25" s="161" cm="1">
        <f t="array" aca="1" ref="W25" ca="1">INDEX(auto_DataFlat_Score,$F25+W$18,$B$12)</f>
        <v>15.7</v>
      </c>
      <c r="X25" s="161" cm="1">
        <f t="array" aca="1" ref="X25" ca="1">INDEX(auto_DataFlat_Score,$F25+X$18,$B$12)</f>
        <v>36.799999999999997</v>
      </c>
      <c r="Y25" s="161" cm="1">
        <f t="array" aca="1" ref="Y25" ca="1">INDEX(auto_DataFlat_Score,$F25+Y$18,$B$12)</f>
        <v>88.8</v>
      </c>
      <c r="Z25" s="161" cm="1">
        <f t="array" aca="1" ref="Z25" ca="1">INDEX(auto_DataFlat_Score,$F25+Z$18,$B$12)</f>
        <v>66</v>
      </c>
      <c r="AA25" s="161" cm="1">
        <f t="array" aca="1" ref="AA25" ca="1">INDEX(auto_DataFlat_Score,$F25+AA$18,$B$12)</f>
        <v>82.6</v>
      </c>
      <c r="AB25" s="161" cm="1">
        <f t="array" aca="1" ref="AB25" ca="1">INDEX(auto_DataFlat_Score,$F25+AB$18,$B$12)</f>
        <v>71.099999999999994</v>
      </c>
      <c r="AC25" s="161" cm="1">
        <f t="array" aca="1" ref="AC25" ca="1">INDEX(auto_DataFlat_Score,$F25+AC$18,$B$12)</f>
        <v>69.099999999999994</v>
      </c>
      <c r="AD25" s="161" cm="1">
        <f t="array" aca="1" ref="AD25" ca="1">INDEX(auto_DataFlat_Score,$F25+AD$18,$B$12)</f>
        <v>86.7</v>
      </c>
      <c r="AE25" s="161" cm="1">
        <f t="array" aca="1" ref="AE25" ca="1">INDEX(auto_DataFlat_Score,$F25+AE$18,$B$12)</f>
        <v>5.8</v>
      </c>
      <c r="AF25" s="161" cm="1">
        <f t="array" aca="1" ref="AF25" ca="1">INDEX(auto_DataFlat_Score,$F25+AF$18,$B$12)</f>
        <v>6.1</v>
      </c>
      <c r="AG25" s="161" cm="1">
        <f t="array" aca="1" ref="AG25" ca="1">INDEX(auto_DataFlat_Score,$F25+AG$18,$B$12)</f>
        <v>15.8</v>
      </c>
      <c r="AH25" s="161" cm="1">
        <f t="array" aca="1" ref="AH25" ca="1">INDEX(auto_DataFlat_Score,$F25+AH$18,$B$12)</f>
        <v>15.6</v>
      </c>
      <c r="AI25" s="161" cm="1">
        <f t="array" aca="1" ref="AI25" ca="1">INDEX(auto_DataFlat_Score,$F25+AI$18,$B$12)</f>
        <v>72</v>
      </c>
      <c r="AJ25" s="161" cm="1">
        <f t="array" aca="1" ref="AJ25" ca="1">INDEX(auto_DataFlat_Score,$F25+AJ$18,$B$12)</f>
        <v>90</v>
      </c>
      <c r="AK25" s="161" cm="1">
        <f t="array" aca="1" ref="AK25" ca="1">INDEX(auto_DataFlat_Score,$F25+AK$18,$B$12)</f>
        <v>76.7</v>
      </c>
      <c r="AL25" s="161" cm="1">
        <f t="array" aca="1" ref="AL25" ca="1">INDEX(auto_DataFlat_Score,$F25+AL$18,$B$12)</f>
        <v>15.3</v>
      </c>
      <c r="AM25" s="161" cm="1">
        <f t="array" aca="1" ref="AM25" ca="1">INDEX(auto_DataFlat_Score,$F25+AM$18,$B$12)</f>
        <v>90.1</v>
      </c>
      <c r="AN25" s="161" cm="1">
        <f t="array" aca="1" ref="AN25" ca="1">INDEX(auto_DataFlat_Score,$F25+AN$18,$B$12)</f>
        <v>68.2</v>
      </c>
      <c r="AO25" s="161" cm="1">
        <f t="array" aca="1" ref="AO25" ca="1">INDEX(auto_DataFlat_Score,$F25+AO$18,$B$12)</f>
        <v>46.1</v>
      </c>
      <c r="AP25" s="161" cm="1">
        <f t="array" aca="1" ref="AP25" ca="1">INDEX(auto_DataFlat_Score,$F25+AP$18,$B$12)</f>
        <v>15.8</v>
      </c>
      <c r="AQ25" s="161" cm="1">
        <f t="array" aca="1" ref="AQ25" ca="1">INDEX(auto_DataFlat_Score,$F25+AQ$18,$B$12)</f>
        <v>14.7</v>
      </c>
      <c r="AR25" s="161" cm="1">
        <f t="array" aca="1" ref="AR25" ca="1">INDEX(auto_DataFlat_Score,$F25+AR$18,$B$12)</f>
        <v>95.7</v>
      </c>
      <c r="AS25" s="161" cm="1">
        <f t="array" aca="1" ref="AS25" ca="1">INDEX(auto_DataFlat_Score,$F25+AS$18,$B$12)</f>
        <v>92.6</v>
      </c>
      <c r="AT25" s="161" cm="1">
        <f t="array" aca="1" ref="AT25" ca="1">INDEX(auto_DataFlat_Score,$F25+AT$18,$B$12)</f>
        <v>86.1</v>
      </c>
      <c r="AU25" s="161" cm="1">
        <f t="array" aca="1" ref="AU25" ca="1">INDEX(auto_DataFlat_Score,$F25+AU$18,$B$12)</f>
        <v>55.8</v>
      </c>
      <c r="AV25" s="161" cm="1">
        <f t="array" aca="1" ref="AV25" ca="1">INDEX(auto_DataFlat_Score,$F25+AV$18,$B$12)</f>
        <v>31.2</v>
      </c>
      <c r="AW25" s="161" cm="1">
        <f t="array" aca="1" ref="AW25" ca="1">INDEX(auto_DataFlat_Score,$F25+AW$18,$B$12)</f>
        <v>76.3</v>
      </c>
      <c r="AX25" s="161" cm="1">
        <f t="array" aca="1" ref="AX25" ca="1">INDEX(auto_DataFlat_Score,$F25+AX$18,$B$12)</f>
        <v>95.7</v>
      </c>
      <c r="AY25" s="161" cm="1">
        <f t="array" aca="1" ref="AY25" ca="1">INDEX(auto_DataFlat_Score,$F25+AY$18,$B$12)</f>
        <v>26.8</v>
      </c>
      <c r="AZ25" s="161" cm="1">
        <f t="array" aca="1" ref="AZ25" ca="1">INDEX(auto_DataFlat_Score,$F25+AZ$18,$B$12)</f>
        <v>88.2</v>
      </c>
      <c r="BA25" s="161" cm="1">
        <f t="array" aca="1" ref="BA25" ca="1">INDEX(auto_DataFlat_Score,$F25+BA$18,$B$12)</f>
        <v>68</v>
      </c>
      <c r="BB25" s="161" cm="1">
        <f t="array" aca="1" ref="BB25" ca="1">INDEX(auto_DataFlat_Score,$F25+BB$18,$B$12)</f>
        <v>87.3</v>
      </c>
      <c r="BC25" s="161" cm="1">
        <f t="array" aca="1" ref="BC25" ca="1">INDEX(auto_DataFlat_Score,$F25+BC$18,$B$12)</f>
        <v>90.1</v>
      </c>
      <c r="BD25" s="161" cm="1">
        <f t="array" aca="1" ref="BD25" ca="1">INDEX(auto_DataFlat_Score,$F25+BD$18,$B$12)</f>
        <v>92.6</v>
      </c>
      <c r="BE25" s="161" cm="1">
        <f t="array" aca="1" ref="BE25" ca="1">INDEX(auto_DataFlat_Score,$F25+BE$18,$B$12)</f>
        <v>92.3</v>
      </c>
      <c r="BF25" s="161" cm="1">
        <f t="array" aca="1" ref="BF25" ca="1">INDEX(auto_DataFlat_Score,$F25+BF$18,$B$12)</f>
        <v>90.4</v>
      </c>
      <c r="BG25" s="161" cm="1">
        <f t="array" aca="1" ref="BG25" ca="1">INDEX(auto_DataFlat_Score,$F25+BG$18,$B$12)</f>
        <v>68</v>
      </c>
      <c r="BH25" s="161" cm="1">
        <f t="array" aca="1" ref="BH25" ca="1">INDEX(auto_DataFlat_Score,$F25+BH$18,$B$12)</f>
        <v>11.4</v>
      </c>
    </row>
    <row r="26" spans="1:60" ht="17.05" customHeight="1" x14ac:dyDescent="0.4">
      <c r="A26" t="str">
        <f t="shared" ca="1" si="2"/>
        <v/>
      </c>
      <c r="B26" s="49"/>
      <c r="C26" s="4">
        <v>7</v>
      </c>
      <c r="D26" s="49" cm="1">
        <f t="array" aca="1" ref="D26" ca="1">INDEX(OFFSET(auto_ss_score_table,0,1,500,1),C26)</f>
        <v>7</v>
      </c>
      <c r="E26" s="26" cm="1">
        <f t="array" aca="1" ref="E26" ca="1">INDEX(auto_tblSeries,$D26,$E$18)</f>
        <v>3</v>
      </c>
      <c r="F26" s="101" cm="1">
        <f t="array" aca="1" ref="F26" ca="1">INDEX(sys_DataFlat_LU_Grid,$D26,1)-1</f>
        <v>360</v>
      </c>
      <c r="G26" s="26"/>
      <c r="H26" s="151" t="str" cm="1">
        <f t="array" aca="1" ref="H26" ca="1">INDEX(auto_Series_NameNumbered,$D26)</f>
        <v>1.2a) Level of education: national data</v>
      </c>
      <c r="I26" s="162">
        <f ca="1">IF(D26=1,"-",OFFSET(iWeights!$G$18,$D26-1,0,1,1))</f>
        <v>0.5</v>
      </c>
      <c r="J26" s="163">
        <f ca="1">IF(E26=0,"-",OFFSET(iWeights!$U$18,$D26-1,0,1,1))</f>
        <v>1.6129032258064516E-2</v>
      </c>
      <c r="K26" s="164" cm="1">
        <f t="array" aca="1" ref="K26" ca="1">INDEX(auto_DataFlat_Score,$F26+K$18,$B$12)</f>
        <v>4.5</v>
      </c>
      <c r="L26" s="164" cm="1">
        <f t="array" aca="1" ref="L26" ca="1">INDEX(auto_DataFlat_Score,$F26+L$18,$B$12)</f>
        <v>24.1</v>
      </c>
      <c r="M26" s="164" cm="1">
        <f t="array" aca="1" ref="M26" ca="1">INDEX(auto_DataFlat_Score,$F26+M$18,$B$12)</f>
        <v>91.3</v>
      </c>
      <c r="N26" s="164" cm="1">
        <f t="array" aca="1" ref="N26" ca="1">INDEX(auto_DataFlat_Score,$F26+N$18,$B$12)</f>
        <v>75.099999999999994</v>
      </c>
      <c r="O26" s="164" cm="1">
        <f t="array" aca="1" ref="O26" ca="1">INDEX(auto_DataFlat_Score,$F26+O$18,$B$12)</f>
        <v>35.299999999999997</v>
      </c>
      <c r="P26" s="164" cm="1">
        <f t="array" aca="1" ref="P26" ca="1">INDEX(auto_DataFlat_Score,$F26+P$18,$B$12)</f>
        <v>36</v>
      </c>
      <c r="Q26" s="164" cm="1">
        <f t="array" aca="1" ref="Q26" ca="1">INDEX(auto_DataFlat_Score,$F26+Q$18,$B$12)</f>
        <v>83.7</v>
      </c>
      <c r="R26" s="164" cm="1">
        <f t="array" aca="1" ref="R26" ca="1">INDEX(auto_DataFlat_Score,$F26+R$18,$B$12)</f>
        <v>54</v>
      </c>
      <c r="S26" s="164" cm="1">
        <f t="array" aca="1" ref="S26" ca="1">INDEX(auto_DataFlat_Score,$F26+S$18,$B$12)</f>
        <v>80</v>
      </c>
      <c r="T26" s="164" cm="1">
        <f t="array" aca="1" ref="T26" ca="1">INDEX(auto_DataFlat_Score,$F26+T$18,$B$12)</f>
        <v>67.2</v>
      </c>
      <c r="U26" s="164" cm="1">
        <f t="array" aca="1" ref="U26" ca="1">INDEX(auto_DataFlat_Score,$F26+U$18,$B$12)</f>
        <v>63.7</v>
      </c>
      <c r="V26" s="164" cm="1">
        <f t="array" aca="1" ref="V26" ca="1">INDEX(auto_DataFlat_Score,$F26+V$18,$B$12)</f>
        <v>31.6</v>
      </c>
      <c r="W26" s="164" cm="1">
        <f t="array" aca="1" ref="W26" ca="1">INDEX(auto_DataFlat_Score,$F26+W$18,$B$12)</f>
        <v>31.3</v>
      </c>
      <c r="X26" s="164" cm="1">
        <f t="array" aca="1" ref="X26" ca="1">INDEX(auto_DataFlat_Score,$F26+X$18,$B$12)</f>
        <v>73.5</v>
      </c>
      <c r="Y26" s="164" cm="1">
        <f t="array" aca="1" ref="Y26" ca="1">INDEX(auto_DataFlat_Score,$F26+Y$18,$B$12)</f>
        <v>77.5</v>
      </c>
      <c r="Z26" s="164" cm="1">
        <f t="array" aca="1" ref="Z26" ca="1">INDEX(auto_DataFlat_Score,$F26+Z$18,$B$12)</f>
        <v>31.9</v>
      </c>
      <c r="AA26" s="164" cm="1">
        <f t="array" aca="1" ref="AA26" ca="1">INDEX(auto_DataFlat_Score,$F26+AA$18,$B$12)</f>
        <v>65.099999999999994</v>
      </c>
      <c r="AB26" s="164" cm="1">
        <f t="array" aca="1" ref="AB26" ca="1">INDEX(auto_DataFlat_Score,$F26+AB$18,$B$12)</f>
        <v>42.2</v>
      </c>
      <c r="AC26" s="164" cm="1">
        <f t="array" aca="1" ref="AC26" ca="1">INDEX(auto_DataFlat_Score,$F26+AC$18,$B$12)</f>
        <v>38.1</v>
      </c>
      <c r="AD26" s="164" cm="1">
        <f t="array" aca="1" ref="AD26" ca="1">INDEX(auto_DataFlat_Score,$F26+AD$18,$B$12)</f>
        <v>73.3</v>
      </c>
      <c r="AE26" s="164" cm="1">
        <f t="array" aca="1" ref="AE26" ca="1">INDEX(auto_DataFlat_Score,$F26+AE$18,$B$12)</f>
        <v>11.6</v>
      </c>
      <c r="AF26" s="164" cm="1">
        <f t="array" aca="1" ref="AF26" ca="1">INDEX(auto_DataFlat_Score,$F26+AF$18,$B$12)</f>
        <v>12.2</v>
      </c>
      <c r="AG26" s="164" cm="1">
        <f t="array" aca="1" ref="AG26" ca="1">INDEX(auto_DataFlat_Score,$F26+AG$18,$B$12)</f>
        <v>31.6</v>
      </c>
      <c r="AH26" s="164" cm="1">
        <f t="array" aca="1" ref="AH26" ca="1">INDEX(auto_DataFlat_Score,$F26+AH$18,$B$12)</f>
        <v>31.2</v>
      </c>
      <c r="AI26" s="164" cm="1">
        <f t="array" aca="1" ref="AI26" ca="1">INDEX(auto_DataFlat_Score,$F26+AI$18,$B$12)</f>
        <v>43.9</v>
      </c>
      <c r="AJ26" s="164" cm="1">
        <f t="array" aca="1" ref="AJ26" ca="1">INDEX(auto_DataFlat_Score,$F26+AJ$18,$B$12)</f>
        <v>79.900000000000006</v>
      </c>
      <c r="AK26" s="164" cm="1">
        <f t="array" aca="1" ref="AK26" ca="1">INDEX(auto_DataFlat_Score,$F26+AK$18,$B$12)</f>
        <v>53.3</v>
      </c>
      <c r="AL26" s="164" cm="1">
        <f t="array" aca="1" ref="AL26" ca="1">INDEX(auto_DataFlat_Score,$F26+AL$18,$B$12)</f>
        <v>30.5</v>
      </c>
      <c r="AM26" s="164" cm="1">
        <f t="array" aca="1" ref="AM26" ca="1">INDEX(auto_DataFlat_Score,$F26+AM$18,$B$12)</f>
        <v>80.099999999999994</v>
      </c>
      <c r="AN26" s="164" cm="1">
        <f t="array" aca="1" ref="AN26" ca="1">INDEX(auto_DataFlat_Score,$F26+AN$18,$B$12)</f>
        <v>36.299999999999997</v>
      </c>
      <c r="AO26" s="164" cm="1">
        <f t="array" aca="1" ref="AO26" ca="1">INDEX(auto_DataFlat_Score,$F26+AO$18,$B$12)</f>
        <v>92.2</v>
      </c>
      <c r="AP26" s="164" cm="1">
        <f t="array" aca="1" ref="AP26" ca="1">INDEX(auto_DataFlat_Score,$F26+AP$18,$B$12)</f>
        <v>31.6</v>
      </c>
      <c r="AQ26" s="164" cm="1">
        <f t="array" aca="1" ref="AQ26" ca="1">INDEX(auto_DataFlat_Score,$F26+AQ$18,$B$12)</f>
        <v>29.4</v>
      </c>
      <c r="AR26" s="164" cm="1">
        <f t="array" aca="1" ref="AR26" ca="1">INDEX(auto_DataFlat_Score,$F26+AR$18,$B$12)</f>
        <v>91.3</v>
      </c>
      <c r="AS26" s="164" cm="1">
        <f t="array" aca="1" ref="AS26" ca="1">INDEX(auto_DataFlat_Score,$F26+AS$18,$B$12)</f>
        <v>85.2</v>
      </c>
      <c r="AT26" s="164" cm="1">
        <f t="array" aca="1" ref="AT26" ca="1">INDEX(auto_DataFlat_Score,$F26+AT$18,$B$12)</f>
        <v>72.2</v>
      </c>
      <c r="AU26" s="164" cm="1">
        <f t="array" aca="1" ref="AU26" ca="1">INDEX(auto_DataFlat_Score,$F26+AU$18,$B$12)</f>
        <v>11.5</v>
      </c>
      <c r="AV26" s="164" cm="1">
        <f t="array" aca="1" ref="AV26" ca="1">INDEX(auto_DataFlat_Score,$F26+AV$18,$B$12)</f>
        <v>62.3</v>
      </c>
      <c r="AW26" s="164" cm="1">
        <f t="array" aca="1" ref="AW26" ca="1">INDEX(auto_DataFlat_Score,$F26+AW$18,$B$12)</f>
        <v>52.5</v>
      </c>
      <c r="AX26" s="164" cm="1">
        <f t="array" aca="1" ref="AX26" ca="1">INDEX(auto_DataFlat_Score,$F26+AX$18,$B$12)</f>
        <v>91.3</v>
      </c>
      <c r="AY26" s="164" cm="1">
        <f t="array" aca="1" ref="AY26" ca="1">INDEX(auto_DataFlat_Score,$F26+AY$18,$B$12)</f>
        <v>53.5</v>
      </c>
      <c r="AZ26" s="164" cm="1">
        <f t="array" aca="1" ref="AZ26" ca="1">INDEX(auto_DataFlat_Score,$F26+AZ$18,$B$12)</f>
        <v>76.400000000000006</v>
      </c>
      <c r="BA26" s="164" cm="1">
        <f t="array" aca="1" ref="BA26" ca="1">INDEX(auto_DataFlat_Score,$F26+BA$18,$B$12)</f>
        <v>36</v>
      </c>
      <c r="BB26" s="164" cm="1">
        <f t="array" aca="1" ref="BB26" ca="1">INDEX(auto_DataFlat_Score,$F26+BB$18,$B$12)</f>
        <v>74.5</v>
      </c>
      <c r="BC26" s="164" cm="1">
        <f t="array" aca="1" ref="BC26" ca="1">INDEX(auto_DataFlat_Score,$F26+BC$18,$B$12)</f>
        <v>80.099999999999994</v>
      </c>
      <c r="BD26" s="164" cm="1">
        <f t="array" aca="1" ref="BD26" ca="1">INDEX(auto_DataFlat_Score,$F26+BD$18,$B$12)</f>
        <v>85.2</v>
      </c>
      <c r="BE26" s="164" cm="1">
        <f t="array" aca="1" ref="BE26" ca="1">INDEX(auto_DataFlat_Score,$F26+BE$18,$B$12)</f>
        <v>84.5</v>
      </c>
      <c r="BF26" s="164" cm="1">
        <f t="array" aca="1" ref="BF26" ca="1">INDEX(auto_DataFlat_Score,$F26+BF$18,$B$12)</f>
        <v>80.7</v>
      </c>
      <c r="BG26" s="164" cm="1">
        <f t="array" aca="1" ref="BG26" ca="1">INDEX(auto_DataFlat_Score,$F26+BG$18,$B$12)</f>
        <v>36</v>
      </c>
      <c r="BH26" s="164" cm="1">
        <f t="array" aca="1" ref="BH26" ca="1">INDEX(auto_DataFlat_Score,$F26+BH$18,$B$12)</f>
        <v>22.8</v>
      </c>
    </row>
    <row r="27" spans="1:60" ht="17.05" customHeight="1" x14ac:dyDescent="0.4">
      <c r="A27" t="str">
        <f t="shared" ca="1" si="2"/>
        <v/>
      </c>
      <c r="B27" s="49"/>
      <c r="C27" s="4">
        <v>8</v>
      </c>
      <c r="D27" s="49" cm="1">
        <f t="array" aca="1" ref="D27" ca="1">INDEX(OFFSET(auto_ss_score_table,0,1,500,1),C27)</f>
        <v>8</v>
      </c>
      <c r="E27" s="26" cm="1">
        <f t="array" aca="1" ref="E27" ca="1">INDEX(auto_tblSeries,$D27,$E$18)</f>
        <v>3</v>
      </c>
      <c r="F27" s="101" cm="1">
        <f t="array" aca="1" ref="F27" ca="1">INDEX(sys_DataFlat_LU_Grid,$D27,1)-1</f>
        <v>420</v>
      </c>
      <c r="G27" s="26"/>
      <c r="H27" s="151" t="str" cm="1">
        <f t="array" aca="1" ref="H27" ca="1">INDEX(auto_Series_NameNumbered,$D27)</f>
        <v>1.2b) Level of education: city-level data availability</v>
      </c>
      <c r="I27" s="162">
        <f ca="1">OFFSET(iWeights!$G$18,$D27-1,0,1,1)</f>
        <v>0.5</v>
      </c>
      <c r="J27" s="163">
        <f ca="1">IF(E27=0,"-",OFFSET(iWeights!$U$18,$D27-1,0,1,1))</f>
        <v>1.6129032258064516E-2</v>
      </c>
      <c r="K27" s="164" cm="1">
        <f t="array" aca="1" ref="K27" ca="1">INDEX(auto_DataFlat_Score,$F27+K$18,$B$12)</f>
        <v>0</v>
      </c>
      <c r="L27" s="164" cm="1">
        <f t="array" aca="1" ref="L27" ca="1">INDEX(auto_DataFlat_Score,$F27+L$18,$B$12)</f>
        <v>0</v>
      </c>
      <c r="M27" s="164" cm="1">
        <f t="array" aca="1" ref="M27" ca="1">INDEX(auto_DataFlat_Score,$F27+M$18,$B$12)</f>
        <v>100</v>
      </c>
      <c r="N27" s="164" cm="1">
        <f t="array" aca="1" ref="N27" ca="1">INDEX(auto_DataFlat_Score,$F27+N$18,$B$12)</f>
        <v>100</v>
      </c>
      <c r="O27" s="164" cm="1">
        <f t="array" aca="1" ref="O27" ca="1">INDEX(auto_DataFlat_Score,$F27+O$18,$B$12)</f>
        <v>100</v>
      </c>
      <c r="P27" s="164" cm="1">
        <f t="array" aca="1" ref="P27" ca="1">INDEX(auto_DataFlat_Score,$F27+P$18,$B$12)</f>
        <v>100</v>
      </c>
      <c r="Q27" s="164" cm="1">
        <f t="array" aca="1" ref="Q27" ca="1">INDEX(auto_DataFlat_Score,$F27+Q$18,$B$12)</f>
        <v>100</v>
      </c>
      <c r="R27" s="164" cm="1">
        <f t="array" aca="1" ref="R27" ca="1">INDEX(auto_DataFlat_Score,$F27+R$18,$B$12)</f>
        <v>0</v>
      </c>
      <c r="S27" s="164" cm="1">
        <f t="array" aca="1" ref="S27" ca="1">INDEX(auto_DataFlat_Score,$F27+S$18,$B$12)</f>
        <v>100</v>
      </c>
      <c r="T27" s="164" cm="1">
        <f t="array" aca="1" ref="T27" ca="1">INDEX(auto_DataFlat_Score,$F27+T$18,$B$12)</f>
        <v>0</v>
      </c>
      <c r="U27" s="164" cm="1">
        <f t="array" aca="1" ref="U27" ca="1">INDEX(auto_DataFlat_Score,$F27+U$18,$B$12)</f>
        <v>0</v>
      </c>
      <c r="V27" s="164" cm="1">
        <f t="array" aca="1" ref="V27" ca="1">INDEX(auto_DataFlat_Score,$F27+V$18,$B$12)</f>
        <v>100</v>
      </c>
      <c r="W27" s="164" cm="1">
        <f t="array" aca="1" ref="W27" ca="1">INDEX(auto_DataFlat_Score,$F27+W$18,$B$12)</f>
        <v>0</v>
      </c>
      <c r="X27" s="164" cm="1">
        <f t="array" aca="1" ref="X27" ca="1">INDEX(auto_DataFlat_Score,$F27+X$18,$B$12)</f>
        <v>0</v>
      </c>
      <c r="Y27" s="164" cm="1">
        <f t="array" aca="1" ref="Y27" ca="1">INDEX(auto_DataFlat_Score,$F27+Y$18,$B$12)</f>
        <v>100</v>
      </c>
      <c r="Z27" s="164" cm="1">
        <f t="array" aca="1" ref="Z27" ca="1">INDEX(auto_DataFlat_Score,$F27+Z$18,$B$12)</f>
        <v>100</v>
      </c>
      <c r="AA27" s="164" cm="1">
        <f t="array" aca="1" ref="AA27" ca="1">INDEX(auto_DataFlat_Score,$F27+AA$18,$B$12)</f>
        <v>100</v>
      </c>
      <c r="AB27" s="164" cm="1">
        <f t="array" aca="1" ref="AB27" ca="1">INDEX(auto_DataFlat_Score,$F27+AB$18,$B$12)</f>
        <v>100</v>
      </c>
      <c r="AC27" s="164" cm="1">
        <f t="array" aca="1" ref="AC27" ca="1">INDEX(auto_DataFlat_Score,$F27+AC$18,$B$12)</f>
        <v>100</v>
      </c>
      <c r="AD27" s="164" cm="1">
        <f t="array" aca="1" ref="AD27" ca="1">INDEX(auto_DataFlat_Score,$F27+AD$18,$B$12)</f>
        <v>100</v>
      </c>
      <c r="AE27" s="164" cm="1">
        <f t="array" aca="1" ref="AE27" ca="1">INDEX(auto_DataFlat_Score,$F27+AE$18,$B$12)</f>
        <v>0</v>
      </c>
      <c r="AF27" s="164" cm="1">
        <f t="array" aca="1" ref="AF27" ca="1">INDEX(auto_DataFlat_Score,$F27+AF$18,$B$12)</f>
        <v>0</v>
      </c>
      <c r="AG27" s="164" cm="1">
        <f t="array" aca="1" ref="AG27" ca="1">INDEX(auto_DataFlat_Score,$F27+AG$18,$B$12)</f>
        <v>0</v>
      </c>
      <c r="AH27" s="164" cm="1">
        <f t="array" aca="1" ref="AH27" ca="1">INDEX(auto_DataFlat_Score,$F27+AH$18,$B$12)</f>
        <v>0</v>
      </c>
      <c r="AI27" s="164" cm="1">
        <f t="array" aca="1" ref="AI27" ca="1">INDEX(auto_DataFlat_Score,$F27+AI$18,$B$12)</f>
        <v>100</v>
      </c>
      <c r="AJ27" s="164" cm="1">
        <f t="array" aca="1" ref="AJ27" ca="1">INDEX(auto_DataFlat_Score,$F27+AJ$18,$B$12)</f>
        <v>100</v>
      </c>
      <c r="AK27" s="164" cm="1">
        <f t="array" aca="1" ref="AK27" ca="1">INDEX(auto_DataFlat_Score,$F27+AK$18,$B$12)</f>
        <v>100</v>
      </c>
      <c r="AL27" s="164" cm="1">
        <f t="array" aca="1" ref="AL27" ca="1">INDEX(auto_DataFlat_Score,$F27+AL$18,$B$12)</f>
        <v>0</v>
      </c>
      <c r="AM27" s="164" cm="1">
        <f t="array" aca="1" ref="AM27" ca="1">INDEX(auto_DataFlat_Score,$F27+AM$18,$B$12)</f>
        <v>100</v>
      </c>
      <c r="AN27" s="164" cm="1">
        <f t="array" aca="1" ref="AN27" ca="1">INDEX(auto_DataFlat_Score,$F27+AN$18,$B$12)</f>
        <v>100</v>
      </c>
      <c r="AO27" s="164" cm="1">
        <f t="array" aca="1" ref="AO27" ca="1">INDEX(auto_DataFlat_Score,$F27+AO$18,$B$12)</f>
        <v>0</v>
      </c>
      <c r="AP27" s="164" cm="1">
        <f t="array" aca="1" ref="AP27" ca="1">INDEX(auto_DataFlat_Score,$F27+AP$18,$B$12)</f>
        <v>0</v>
      </c>
      <c r="AQ27" s="164" cm="1">
        <f t="array" aca="1" ref="AQ27" ca="1">INDEX(auto_DataFlat_Score,$F27+AQ$18,$B$12)</f>
        <v>0</v>
      </c>
      <c r="AR27" s="164" cm="1">
        <f t="array" aca="1" ref="AR27" ca="1">INDEX(auto_DataFlat_Score,$F27+AR$18,$B$12)</f>
        <v>100</v>
      </c>
      <c r="AS27" s="164" cm="1">
        <f t="array" aca="1" ref="AS27" ca="1">INDEX(auto_DataFlat_Score,$F27+AS$18,$B$12)</f>
        <v>100</v>
      </c>
      <c r="AT27" s="164" cm="1">
        <f t="array" aca="1" ref="AT27" ca="1">INDEX(auto_DataFlat_Score,$F27+AT$18,$B$12)</f>
        <v>100</v>
      </c>
      <c r="AU27" s="164" cm="1">
        <f t="array" aca="1" ref="AU27" ca="1">INDEX(auto_DataFlat_Score,$F27+AU$18,$B$12)</f>
        <v>100</v>
      </c>
      <c r="AV27" s="164" cm="1">
        <f t="array" aca="1" ref="AV27" ca="1">INDEX(auto_DataFlat_Score,$F27+AV$18,$B$12)</f>
        <v>0</v>
      </c>
      <c r="AW27" s="164" cm="1">
        <f t="array" aca="1" ref="AW27" ca="1">INDEX(auto_DataFlat_Score,$F27+AW$18,$B$12)</f>
        <v>100</v>
      </c>
      <c r="AX27" s="164" cm="1">
        <f t="array" aca="1" ref="AX27" ca="1">INDEX(auto_DataFlat_Score,$F27+AX$18,$B$12)</f>
        <v>100</v>
      </c>
      <c r="AY27" s="164" cm="1">
        <f t="array" aca="1" ref="AY27" ca="1">INDEX(auto_DataFlat_Score,$F27+AY$18,$B$12)</f>
        <v>0</v>
      </c>
      <c r="AZ27" s="164" cm="1">
        <f t="array" aca="1" ref="AZ27" ca="1">INDEX(auto_DataFlat_Score,$F27+AZ$18,$B$12)</f>
        <v>100</v>
      </c>
      <c r="BA27" s="164" cm="1">
        <f t="array" aca="1" ref="BA27" ca="1">INDEX(auto_DataFlat_Score,$F27+BA$18,$B$12)</f>
        <v>100</v>
      </c>
      <c r="BB27" s="164" cm="1">
        <f t="array" aca="1" ref="BB27" ca="1">INDEX(auto_DataFlat_Score,$F27+BB$18,$B$12)</f>
        <v>100</v>
      </c>
      <c r="BC27" s="164" cm="1">
        <f t="array" aca="1" ref="BC27" ca="1">INDEX(auto_DataFlat_Score,$F27+BC$18,$B$12)</f>
        <v>100</v>
      </c>
      <c r="BD27" s="164" cm="1">
        <f t="array" aca="1" ref="BD27" ca="1">INDEX(auto_DataFlat_Score,$F27+BD$18,$B$12)</f>
        <v>100</v>
      </c>
      <c r="BE27" s="164" cm="1">
        <f t="array" aca="1" ref="BE27" ca="1">INDEX(auto_DataFlat_Score,$F27+BE$18,$B$12)</f>
        <v>100</v>
      </c>
      <c r="BF27" s="164" cm="1">
        <f t="array" aca="1" ref="BF27" ca="1">INDEX(auto_DataFlat_Score,$F27+BF$18,$B$12)</f>
        <v>100</v>
      </c>
      <c r="BG27" s="164" cm="1">
        <f t="array" aca="1" ref="BG27" ca="1">INDEX(auto_DataFlat_Score,$F27+BG$18,$B$12)</f>
        <v>100</v>
      </c>
      <c r="BH27" s="164" cm="1">
        <f t="array" aca="1" ref="BH27" ca="1">INDEX(auto_DataFlat_Score,$F27+BH$18,$B$12)</f>
        <v>0</v>
      </c>
    </row>
    <row r="28" spans="1:60" ht="17.05" customHeight="1" x14ac:dyDescent="0.4">
      <c r="A28" t="str">
        <f t="shared" ca="1" si="2"/>
        <v/>
      </c>
      <c r="B28" s="49"/>
      <c r="C28" s="4">
        <v>9</v>
      </c>
      <c r="D28" s="49" cm="1">
        <f t="array" aca="1" ref="D28" ca="1">INDEX(OFFSET(auto_ss_score_table,0,1,500,1),C28)</f>
        <v>9</v>
      </c>
      <c r="E28" s="26" cm="1">
        <f t="array" aca="1" ref="E28" ca="1">INDEX(auto_tblSeries,$D28,$E$18)</f>
        <v>2</v>
      </c>
      <c r="F28" s="101" cm="1">
        <f t="array" aca="1" ref="F28" ca="1">INDEX(sys_DataFlat_LU_Grid,$D28,1)-1</f>
        <v>480</v>
      </c>
      <c r="G28" s="26"/>
      <c r="H28" s="148" t="str" cm="1">
        <f t="array" aca="1" ref="H28" ca="1">INDEX(auto_Series_NameNumbered,$D28)</f>
        <v>1.3) Employment</v>
      </c>
      <c r="I28" s="159">
        <f ca="1">IF(D28=1,"-",OFFSET(iWeights!$G$18,$D28-1,0,1,1))</f>
        <v>0.2</v>
      </c>
      <c r="J28" s="160">
        <f ca="1">IF(E28=0,"-",OFFSET(iWeights!$U$18,$D28-1,0,1,1))</f>
        <v>3.2258064516129031E-2</v>
      </c>
      <c r="K28" s="161" cm="1">
        <f t="array" aca="1" ref="K28" ca="1">INDEX(auto_DataFlat_Score,$F28+K$18,$B$12)</f>
        <v>98</v>
      </c>
      <c r="L28" s="161" cm="1">
        <f t="array" aca="1" ref="L28" ca="1">INDEX(auto_DataFlat_Score,$F28+L$18,$B$12)</f>
        <v>94.2</v>
      </c>
      <c r="M28" s="161" cm="1">
        <f t="array" aca="1" ref="M28" ca="1">INDEX(auto_DataFlat_Score,$F28+M$18,$B$12)</f>
        <v>98.2</v>
      </c>
      <c r="N28" s="161" cm="1">
        <f t="array" aca="1" ref="N28" ca="1">INDEX(auto_DataFlat_Score,$F28+N$18,$B$12)</f>
        <v>98.4</v>
      </c>
      <c r="O28" s="161" cm="1">
        <f t="array" aca="1" ref="O28" ca="1">INDEX(auto_DataFlat_Score,$F28+O$18,$B$12)</f>
        <v>49.6</v>
      </c>
      <c r="P28" s="161" cm="1">
        <f t="array" aca="1" ref="P28" ca="1">INDEX(auto_DataFlat_Score,$F28+P$18,$B$12)</f>
        <v>97.6</v>
      </c>
      <c r="Q28" s="161" cm="1">
        <f t="array" aca="1" ref="Q28" ca="1">INDEX(auto_DataFlat_Score,$F28+Q$18,$B$12)</f>
        <v>98.5</v>
      </c>
      <c r="R28" s="161" cm="1">
        <f t="array" aca="1" ref="R28" ca="1">INDEX(auto_DataFlat_Score,$F28+R$18,$B$12)</f>
        <v>94.6</v>
      </c>
      <c r="S28" s="161" cm="1">
        <f t="array" aca="1" ref="S28" ca="1">INDEX(auto_DataFlat_Score,$F28+S$18,$B$12)</f>
        <v>98.3</v>
      </c>
      <c r="T28" s="161" cm="1">
        <f t="array" aca="1" ref="T28" ca="1">INDEX(auto_DataFlat_Score,$F28+T$18,$B$12)</f>
        <v>46.5</v>
      </c>
      <c r="U28" s="161" cm="1">
        <f t="array" aca="1" ref="U28" ca="1">INDEX(auto_DataFlat_Score,$F28+U$18,$B$12)</f>
        <v>46.6</v>
      </c>
      <c r="V28" s="161" cm="1">
        <f t="array" aca="1" ref="V28" ca="1">INDEX(auto_DataFlat_Score,$F28+V$18,$B$12)</f>
        <v>46.3</v>
      </c>
      <c r="W28" s="161" cm="1">
        <f t="array" aca="1" ref="W28" ca="1">INDEX(auto_DataFlat_Score,$F28+W$18,$B$12)</f>
        <v>47.7</v>
      </c>
      <c r="X28" s="161" cm="1">
        <f t="array" aca="1" ref="X28" ca="1">INDEX(auto_DataFlat_Score,$F28+X$18,$B$12)</f>
        <v>98.6</v>
      </c>
      <c r="Y28" s="161" cm="1">
        <f t="array" aca="1" ref="Y28" ca="1">INDEX(auto_DataFlat_Score,$F28+Y$18,$B$12)</f>
        <v>96.6</v>
      </c>
      <c r="Z28" s="161" cm="1">
        <f t="array" aca="1" ref="Z28" ca="1">INDEX(auto_DataFlat_Score,$F28+Z$18,$B$12)</f>
        <v>99</v>
      </c>
      <c r="AA28" s="161" cm="1">
        <f t="array" aca="1" ref="AA28" ca="1">INDEX(auto_DataFlat_Score,$F28+AA$18,$B$12)</f>
        <v>97.5</v>
      </c>
      <c r="AB28" s="161" cm="1">
        <f t="array" aca="1" ref="AB28" ca="1">INDEX(auto_DataFlat_Score,$F28+AB$18,$B$12)</f>
        <v>95</v>
      </c>
      <c r="AC28" s="161" cm="1">
        <f t="array" aca="1" ref="AC28" ca="1">INDEX(auto_DataFlat_Score,$F28+AC$18,$B$12)</f>
        <v>98.2</v>
      </c>
      <c r="AD28" s="161" cm="1">
        <f t="array" aca="1" ref="AD28" ca="1">INDEX(auto_DataFlat_Score,$F28+AD$18,$B$12)</f>
        <v>85.1</v>
      </c>
      <c r="AE28" s="161" cm="1">
        <f t="array" aca="1" ref="AE28" ca="1">INDEX(auto_DataFlat_Score,$F28+AE$18,$B$12)</f>
        <v>96.8</v>
      </c>
      <c r="AF28" s="161" cm="1">
        <f t="array" aca="1" ref="AF28" ca="1">INDEX(auto_DataFlat_Score,$F28+AF$18,$B$12)</f>
        <v>44.4</v>
      </c>
      <c r="AG28" s="161" cm="1">
        <f t="array" aca="1" ref="AG28" ca="1">INDEX(auto_DataFlat_Score,$F28+AG$18,$B$12)</f>
        <v>46.3</v>
      </c>
      <c r="AH28" s="161" cm="1">
        <f t="array" aca="1" ref="AH28" ca="1">INDEX(auto_DataFlat_Score,$F28+AH$18,$B$12)</f>
        <v>48.8</v>
      </c>
      <c r="AI28" s="161" cm="1">
        <f t="array" aca="1" ref="AI28" ca="1">INDEX(auto_DataFlat_Score,$F28+AI$18,$B$12)</f>
        <v>97.1</v>
      </c>
      <c r="AJ28" s="161" cm="1">
        <f t="array" aca="1" ref="AJ28" ca="1">INDEX(auto_DataFlat_Score,$F28+AJ$18,$B$12)</f>
        <v>98.2</v>
      </c>
      <c r="AK28" s="161" cm="1">
        <f t="array" aca="1" ref="AK28" ca="1">INDEX(auto_DataFlat_Score,$F28+AK$18,$B$12)</f>
        <v>93.5</v>
      </c>
      <c r="AL28" s="161" cm="1">
        <f t="array" aca="1" ref="AL28" ca="1">INDEX(auto_DataFlat_Score,$F28+AL$18,$B$12)</f>
        <v>48.9</v>
      </c>
      <c r="AM28" s="161" cm="1">
        <f t="array" aca="1" ref="AM28" ca="1">INDEX(auto_DataFlat_Score,$F28+AM$18,$B$12)</f>
        <v>98.2</v>
      </c>
      <c r="AN28" s="161" cm="1">
        <f t="array" aca="1" ref="AN28" ca="1">INDEX(auto_DataFlat_Score,$F28+AN$18,$B$12)</f>
        <v>98.3</v>
      </c>
      <c r="AO28" s="161" cm="1">
        <f t="array" aca="1" ref="AO28" ca="1">INDEX(auto_DataFlat_Score,$F28+AO$18,$B$12)</f>
        <v>97.6</v>
      </c>
      <c r="AP28" s="161" cm="1">
        <f t="array" aca="1" ref="AP28" ca="1">INDEX(auto_DataFlat_Score,$F28+AP$18,$B$12)</f>
        <v>46.3</v>
      </c>
      <c r="AQ28" s="161" cm="1">
        <f t="array" aca="1" ref="AQ28" ca="1">INDEX(auto_DataFlat_Score,$F28+AQ$18,$B$12)</f>
        <v>47.3</v>
      </c>
      <c r="AR28" s="161" cm="1">
        <f t="array" aca="1" ref="AR28" ca="1">INDEX(auto_DataFlat_Score,$F28+AR$18,$B$12)</f>
        <v>98.2</v>
      </c>
      <c r="AS28" s="161" cm="1">
        <f t="array" aca="1" ref="AS28" ca="1">INDEX(auto_DataFlat_Score,$F28+AS$18,$B$12)</f>
        <v>98.7</v>
      </c>
      <c r="AT28" s="161" cm="1">
        <f t="array" aca="1" ref="AT28" ca="1">INDEX(auto_DataFlat_Score,$F28+AT$18,$B$12)</f>
        <v>96.3</v>
      </c>
      <c r="AU28" s="161" cm="1">
        <f t="array" aca="1" ref="AU28" ca="1">INDEX(auto_DataFlat_Score,$F28+AU$18,$B$12)</f>
        <v>99.8</v>
      </c>
      <c r="AV28" s="161" cm="1">
        <f t="array" aca="1" ref="AV28" ca="1">INDEX(auto_DataFlat_Score,$F28+AV$18,$B$12)</f>
        <v>97.2</v>
      </c>
      <c r="AW28" s="161" cm="1">
        <f t="array" aca="1" ref="AW28" ca="1">INDEX(auto_DataFlat_Score,$F28+AW$18,$B$12)</f>
        <v>96</v>
      </c>
      <c r="AX28" s="161" cm="1">
        <f t="array" aca="1" ref="AX28" ca="1">INDEX(auto_DataFlat_Score,$F28+AX$18,$B$12)</f>
        <v>98.2</v>
      </c>
      <c r="AY28" s="161" cm="1">
        <f t="array" aca="1" ref="AY28" ca="1">INDEX(auto_DataFlat_Score,$F28+AY$18,$B$12)</f>
        <v>95.3</v>
      </c>
      <c r="AZ28" s="161" cm="1">
        <f t="array" aca="1" ref="AZ28" ca="1">INDEX(auto_DataFlat_Score,$F28+AZ$18,$B$12)</f>
        <v>98.6</v>
      </c>
      <c r="BA28" s="161" cm="1">
        <f t="array" aca="1" ref="BA28" ca="1">INDEX(auto_DataFlat_Score,$F28+BA$18,$B$12)</f>
        <v>97.6</v>
      </c>
      <c r="BB28" s="161" cm="1">
        <f t="array" aca="1" ref="BB28" ca="1">INDEX(auto_DataFlat_Score,$F28+BB$18,$B$12)</f>
        <v>98.6</v>
      </c>
      <c r="BC28" s="161" cm="1">
        <f t="array" aca="1" ref="BC28" ca="1">INDEX(auto_DataFlat_Score,$F28+BC$18,$B$12)</f>
        <v>98.2</v>
      </c>
      <c r="BD28" s="161" cm="1">
        <f t="array" aca="1" ref="BD28" ca="1">INDEX(auto_DataFlat_Score,$F28+BD$18,$B$12)</f>
        <v>98.7</v>
      </c>
      <c r="BE28" s="161" cm="1">
        <f t="array" aca="1" ref="BE28" ca="1">INDEX(auto_DataFlat_Score,$F28+BE$18,$B$12)</f>
        <v>97.4</v>
      </c>
      <c r="BF28" s="161" cm="1">
        <f t="array" aca="1" ref="BF28" ca="1">INDEX(auto_DataFlat_Score,$F28+BF$18,$B$12)</f>
        <v>97.6</v>
      </c>
      <c r="BG28" s="161" cm="1">
        <f t="array" aca="1" ref="BG28" ca="1">INDEX(auto_DataFlat_Score,$F28+BG$18,$B$12)</f>
        <v>97.6</v>
      </c>
      <c r="BH28" s="161" cm="1">
        <f t="array" aca="1" ref="BH28" ca="1">INDEX(auto_DataFlat_Score,$F28+BH$18,$B$12)</f>
        <v>49.3</v>
      </c>
    </row>
    <row r="29" spans="1:60" ht="17.05" customHeight="1" x14ac:dyDescent="0.4">
      <c r="A29" t="str">
        <f t="shared" ca="1" si="2"/>
        <v/>
      </c>
      <c r="B29" s="49"/>
      <c r="C29" s="4">
        <v>10</v>
      </c>
      <c r="D29" s="49" cm="1">
        <f t="array" aca="1" ref="D29" ca="1">INDEX(OFFSET(auto_ss_score_table,0,1,500,1),C29)</f>
        <v>10</v>
      </c>
      <c r="E29" s="26" cm="1">
        <f t="array" aca="1" ref="E29" ca="1">INDEX(auto_tblSeries,$D29,$E$18)</f>
        <v>3</v>
      </c>
      <c r="F29" s="101" cm="1">
        <f t="array" aca="1" ref="F29" ca="1">INDEX(sys_DataFlat_LU_Grid,$D29,1)-1</f>
        <v>540</v>
      </c>
      <c r="G29" s="26"/>
      <c r="H29" s="151" t="str" cm="1">
        <f t="array" aca="1" ref="H29" ca="1">INDEX(auto_Series_NameNumbered,$D29)</f>
        <v>1.3a) Total unemployment: national data</v>
      </c>
      <c r="I29" s="162">
        <f ca="1">OFFSET(iWeights!$G$18,$D29-1,0,1,1)</f>
        <v>0.5</v>
      </c>
      <c r="J29" s="163">
        <f ca="1">IF(E29=0,"-",OFFSET(iWeights!$U$18,$D29-1,0,1,1))</f>
        <v>1.6129032258064516E-2</v>
      </c>
      <c r="K29" s="164" cm="1">
        <f t="array" aca="1" ref="K29" ca="1">INDEX(auto_DataFlat_Score,$F29+K$18,$B$12)</f>
        <v>96</v>
      </c>
      <c r="L29" s="164" cm="1">
        <f t="array" aca="1" ref="L29" ca="1">INDEX(auto_DataFlat_Score,$F29+L$18,$B$12)</f>
        <v>88.5</v>
      </c>
      <c r="M29" s="164" cm="1">
        <f t="array" aca="1" ref="M29" ca="1">INDEX(auto_DataFlat_Score,$F29+M$18,$B$12)</f>
        <v>96.4</v>
      </c>
      <c r="N29" s="164" cm="1">
        <f t="array" aca="1" ref="N29" ca="1">INDEX(auto_DataFlat_Score,$F29+N$18,$B$12)</f>
        <v>96.8</v>
      </c>
      <c r="O29" s="164" cm="1">
        <f t="array" aca="1" ref="O29" ca="1">INDEX(auto_DataFlat_Score,$F29+O$18,$B$12)</f>
        <v>99.1</v>
      </c>
      <c r="P29" s="164" cm="1">
        <f t="array" aca="1" ref="P29" ca="1">INDEX(auto_DataFlat_Score,$F29+P$18,$B$12)</f>
        <v>95.1</v>
      </c>
      <c r="Q29" s="164" cm="1">
        <f t="array" aca="1" ref="Q29" ca="1">INDEX(auto_DataFlat_Score,$F29+Q$18,$B$12)</f>
        <v>97</v>
      </c>
      <c r="R29" s="164" cm="1">
        <f t="array" aca="1" ref="R29" ca="1">INDEX(auto_DataFlat_Score,$F29+R$18,$B$12)</f>
        <v>89.3</v>
      </c>
      <c r="S29" s="164" cm="1">
        <f t="array" aca="1" ref="S29" ca="1">INDEX(auto_DataFlat_Score,$F29+S$18,$B$12)</f>
        <v>96.6</v>
      </c>
      <c r="T29" s="164" cm="1">
        <f t="array" aca="1" ref="T29" ca="1">INDEX(auto_DataFlat_Score,$F29+T$18,$B$12)</f>
        <v>93</v>
      </c>
      <c r="U29" s="164" cm="1">
        <f t="array" aca="1" ref="U29" ca="1">INDEX(auto_DataFlat_Score,$F29+U$18,$B$12)</f>
        <v>93.3</v>
      </c>
      <c r="V29" s="164" cm="1">
        <f t="array" aca="1" ref="V29" ca="1">INDEX(auto_DataFlat_Score,$F29+V$18,$B$12)</f>
        <v>92.7</v>
      </c>
      <c r="W29" s="164" cm="1">
        <f t="array" aca="1" ref="W29" ca="1">INDEX(auto_DataFlat_Score,$F29+W$18,$B$12)</f>
        <v>95.3</v>
      </c>
      <c r="X29" s="164" cm="1">
        <f t="array" aca="1" ref="X29" ca="1">INDEX(auto_DataFlat_Score,$F29+X$18,$B$12)</f>
        <v>97.3</v>
      </c>
      <c r="Y29" s="164" cm="1">
        <f t="array" aca="1" ref="Y29" ca="1">INDEX(auto_DataFlat_Score,$F29+Y$18,$B$12)</f>
        <v>93.2</v>
      </c>
      <c r="Z29" s="164" cm="1">
        <f t="array" aca="1" ref="Z29" ca="1">INDEX(auto_DataFlat_Score,$F29+Z$18,$B$12)</f>
        <v>98.1</v>
      </c>
      <c r="AA29" s="164" cm="1">
        <f t="array" aca="1" ref="AA29" ca="1">INDEX(auto_DataFlat_Score,$F29+AA$18,$B$12)</f>
        <v>94.9</v>
      </c>
      <c r="AB29" s="164" cm="1">
        <f t="array" aca="1" ref="AB29" ca="1">INDEX(auto_DataFlat_Score,$F29+AB$18,$B$12)</f>
        <v>90</v>
      </c>
      <c r="AC29" s="164" cm="1">
        <f t="array" aca="1" ref="AC29" ca="1">INDEX(auto_DataFlat_Score,$F29+AC$18,$B$12)</f>
        <v>96.5</v>
      </c>
      <c r="AD29" s="164" cm="1">
        <f t="array" aca="1" ref="AD29" ca="1">INDEX(auto_DataFlat_Score,$F29+AD$18,$B$12)</f>
        <v>70.2</v>
      </c>
      <c r="AE29" s="164" cm="1">
        <f t="array" aca="1" ref="AE29" ca="1">INDEX(auto_DataFlat_Score,$F29+AE$18,$B$12)</f>
        <v>93.6</v>
      </c>
      <c r="AF29" s="164" cm="1">
        <f t="array" aca="1" ref="AF29" ca="1">INDEX(auto_DataFlat_Score,$F29+AF$18,$B$12)</f>
        <v>88.9</v>
      </c>
      <c r="AG29" s="164" cm="1">
        <f t="array" aca="1" ref="AG29" ca="1">INDEX(auto_DataFlat_Score,$F29+AG$18,$B$12)</f>
        <v>92.7</v>
      </c>
      <c r="AH29" s="164" cm="1">
        <f t="array" aca="1" ref="AH29" ca="1">INDEX(auto_DataFlat_Score,$F29+AH$18,$B$12)</f>
        <v>97.5</v>
      </c>
      <c r="AI29" s="164" cm="1">
        <f t="array" aca="1" ref="AI29" ca="1">INDEX(auto_DataFlat_Score,$F29+AI$18,$B$12)</f>
        <v>94.2</v>
      </c>
      <c r="AJ29" s="164" cm="1">
        <f t="array" aca="1" ref="AJ29" ca="1">INDEX(auto_DataFlat_Score,$F29+AJ$18,$B$12)</f>
        <v>96.4</v>
      </c>
      <c r="AK29" s="164" cm="1">
        <f t="array" aca="1" ref="AK29" ca="1">INDEX(auto_DataFlat_Score,$F29+AK$18,$B$12)</f>
        <v>87</v>
      </c>
      <c r="AL29" s="164" cm="1">
        <f t="array" aca="1" ref="AL29" ca="1">INDEX(auto_DataFlat_Score,$F29+AL$18,$B$12)</f>
        <v>97.8</v>
      </c>
      <c r="AM29" s="164" cm="1">
        <f t="array" aca="1" ref="AM29" ca="1">INDEX(auto_DataFlat_Score,$F29+AM$18,$B$12)</f>
        <v>96.3</v>
      </c>
      <c r="AN29" s="164" cm="1">
        <f t="array" aca="1" ref="AN29" ca="1">INDEX(auto_DataFlat_Score,$F29+AN$18,$B$12)</f>
        <v>96.7</v>
      </c>
      <c r="AO29" s="164" cm="1">
        <f t="array" aca="1" ref="AO29" ca="1">INDEX(auto_DataFlat_Score,$F29+AO$18,$B$12)</f>
        <v>95.3</v>
      </c>
      <c r="AP29" s="164" cm="1">
        <f t="array" aca="1" ref="AP29" ca="1">INDEX(auto_DataFlat_Score,$F29+AP$18,$B$12)</f>
        <v>92.7</v>
      </c>
      <c r="AQ29" s="164" cm="1">
        <f t="array" aca="1" ref="AQ29" ca="1">INDEX(auto_DataFlat_Score,$F29+AQ$18,$B$12)</f>
        <v>94.5</v>
      </c>
      <c r="AR29" s="164" cm="1">
        <f t="array" aca="1" ref="AR29" ca="1">INDEX(auto_DataFlat_Score,$F29+AR$18,$B$12)</f>
        <v>96.4</v>
      </c>
      <c r="AS29" s="164" cm="1">
        <f t="array" aca="1" ref="AS29" ca="1">INDEX(auto_DataFlat_Score,$F29+AS$18,$B$12)</f>
        <v>97.4</v>
      </c>
      <c r="AT29" s="164" cm="1">
        <f t="array" aca="1" ref="AT29" ca="1">INDEX(auto_DataFlat_Score,$F29+AT$18,$B$12)</f>
        <v>92.6</v>
      </c>
      <c r="AU29" s="164" cm="1">
        <f t="array" aca="1" ref="AU29" ca="1">INDEX(auto_DataFlat_Score,$F29+AU$18,$B$12)</f>
        <v>99.6</v>
      </c>
      <c r="AV29" s="164" cm="1">
        <f t="array" aca="1" ref="AV29" ca="1">INDEX(auto_DataFlat_Score,$F29+AV$18,$B$12)</f>
        <v>94.4</v>
      </c>
      <c r="AW29" s="164" cm="1">
        <f t="array" aca="1" ref="AW29" ca="1">INDEX(auto_DataFlat_Score,$F29+AW$18,$B$12)</f>
        <v>91.9</v>
      </c>
      <c r="AX29" s="164" cm="1">
        <f t="array" aca="1" ref="AX29" ca="1">INDEX(auto_DataFlat_Score,$F29+AX$18,$B$12)</f>
        <v>96.4</v>
      </c>
      <c r="AY29" s="164" cm="1">
        <f t="array" aca="1" ref="AY29" ca="1">INDEX(auto_DataFlat_Score,$F29+AY$18,$B$12)</f>
        <v>90.5</v>
      </c>
      <c r="AZ29" s="164" cm="1">
        <f t="array" aca="1" ref="AZ29" ca="1">INDEX(auto_DataFlat_Score,$F29+AZ$18,$B$12)</f>
        <v>97.2</v>
      </c>
      <c r="BA29" s="164" cm="1">
        <f t="array" aca="1" ref="BA29" ca="1">INDEX(auto_DataFlat_Score,$F29+BA$18,$B$12)</f>
        <v>95.1</v>
      </c>
      <c r="BB29" s="164" cm="1">
        <f t="array" aca="1" ref="BB29" ca="1">INDEX(auto_DataFlat_Score,$F29+BB$18,$B$12)</f>
        <v>97.2</v>
      </c>
      <c r="BC29" s="164" cm="1">
        <f t="array" aca="1" ref="BC29" ca="1">INDEX(auto_DataFlat_Score,$F29+BC$18,$B$12)</f>
        <v>96.3</v>
      </c>
      <c r="BD29" s="164" cm="1">
        <f t="array" aca="1" ref="BD29" ca="1">INDEX(auto_DataFlat_Score,$F29+BD$18,$B$12)</f>
        <v>97.4</v>
      </c>
      <c r="BE29" s="164" cm="1">
        <f t="array" aca="1" ref="BE29" ca="1">INDEX(auto_DataFlat_Score,$F29+BE$18,$B$12)</f>
        <v>94.8</v>
      </c>
      <c r="BF29" s="164" cm="1">
        <f t="array" aca="1" ref="BF29" ca="1">INDEX(auto_DataFlat_Score,$F29+BF$18,$B$12)</f>
        <v>95.3</v>
      </c>
      <c r="BG29" s="164" cm="1">
        <f t="array" aca="1" ref="BG29" ca="1">INDEX(auto_DataFlat_Score,$F29+BG$18,$B$12)</f>
        <v>95.1</v>
      </c>
      <c r="BH29" s="164" cm="1">
        <f t="array" aca="1" ref="BH29" ca="1">INDEX(auto_DataFlat_Score,$F29+BH$18,$B$12)</f>
        <v>98.5</v>
      </c>
    </row>
    <row r="30" spans="1:60" ht="17.05" customHeight="1" x14ac:dyDescent="0.4">
      <c r="A30" t="str">
        <f t="shared" ca="1" si="2"/>
        <v/>
      </c>
      <c r="B30" s="49"/>
      <c r="C30" s="4">
        <v>11</v>
      </c>
      <c r="D30" s="49" cm="1">
        <f t="array" aca="1" ref="D30" ca="1">INDEX(OFFSET(auto_ss_score_table,0,1,500,1),C30)</f>
        <v>11</v>
      </c>
      <c r="E30" s="26" cm="1">
        <f t="array" aca="1" ref="E30" ca="1">INDEX(auto_tblSeries,$D30,$E$18)</f>
        <v>3</v>
      </c>
      <c r="F30" s="101" cm="1">
        <f t="array" aca="1" ref="F30" ca="1">INDEX(sys_DataFlat_LU_Grid,$D30,1)-1</f>
        <v>600</v>
      </c>
      <c r="G30" s="26"/>
      <c r="H30" s="151" t="str" cm="1">
        <f t="array" aca="1" ref="H30" ca="1">INDEX(auto_Series_NameNumbered,$D30)</f>
        <v>1.3b) Total unemployment: city-level data availability</v>
      </c>
      <c r="I30" s="162">
        <f ca="1">IF(D30=1,"-",OFFSET(iWeights!$G$18,$D30-1,0,1,1))</f>
        <v>0.5</v>
      </c>
      <c r="J30" s="163">
        <f ca="1">IF(E30=0,"-",OFFSET(iWeights!$U$18,$D30-1,0,1,1))</f>
        <v>1.6129032258064516E-2</v>
      </c>
      <c r="K30" s="164" cm="1">
        <f t="array" aca="1" ref="K30" ca="1">INDEX(auto_DataFlat_Score,$F30+K$18,$B$12)</f>
        <v>100</v>
      </c>
      <c r="L30" s="164" cm="1">
        <f t="array" aca="1" ref="L30" ca="1">INDEX(auto_DataFlat_Score,$F30+L$18,$B$12)</f>
        <v>100</v>
      </c>
      <c r="M30" s="164" cm="1">
        <f t="array" aca="1" ref="M30" ca="1">INDEX(auto_DataFlat_Score,$F30+M$18,$B$12)</f>
        <v>100</v>
      </c>
      <c r="N30" s="164" cm="1">
        <f t="array" aca="1" ref="N30" ca="1">INDEX(auto_DataFlat_Score,$F30+N$18,$B$12)</f>
        <v>100</v>
      </c>
      <c r="O30" s="164" cm="1">
        <f t="array" aca="1" ref="O30" ca="1">INDEX(auto_DataFlat_Score,$F30+O$18,$B$12)</f>
        <v>0</v>
      </c>
      <c r="P30" s="164" cm="1">
        <f t="array" aca="1" ref="P30" ca="1">INDEX(auto_DataFlat_Score,$F30+P$18,$B$12)</f>
        <v>100</v>
      </c>
      <c r="Q30" s="164" cm="1">
        <f t="array" aca="1" ref="Q30" ca="1">INDEX(auto_DataFlat_Score,$F30+Q$18,$B$12)</f>
        <v>100</v>
      </c>
      <c r="R30" s="164" cm="1">
        <f t="array" aca="1" ref="R30" ca="1">INDEX(auto_DataFlat_Score,$F30+R$18,$B$12)</f>
        <v>100</v>
      </c>
      <c r="S30" s="164" cm="1">
        <f t="array" aca="1" ref="S30" ca="1">INDEX(auto_DataFlat_Score,$F30+S$18,$B$12)</f>
        <v>100</v>
      </c>
      <c r="T30" s="164" cm="1">
        <f t="array" aca="1" ref="T30" ca="1">INDEX(auto_DataFlat_Score,$F30+T$18,$B$12)</f>
        <v>0</v>
      </c>
      <c r="U30" s="164" cm="1">
        <f t="array" aca="1" ref="U30" ca="1">INDEX(auto_DataFlat_Score,$F30+U$18,$B$12)</f>
        <v>0</v>
      </c>
      <c r="V30" s="164" cm="1">
        <f t="array" aca="1" ref="V30" ca="1">INDEX(auto_DataFlat_Score,$F30+V$18,$B$12)</f>
        <v>0</v>
      </c>
      <c r="W30" s="164" cm="1">
        <f t="array" aca="1" ref="W30" ca="1">INDEX(auto_DataFlat_Score,$F30+W$18,$B$12)</f>
        <v>0</v>
      </c>
      <c r="X30" s="164" cm="1">
        <f t="array" aca="1" ref="X30" ca="1">INDEX(auto_DataFlat_Score,$F30+X$18,$B$12)</f>
        <v>100</v>
      </c>
      <c r="Y30" s="164" cm="1">
        <f t="array" aca="1" ref="Y30" ca="1">INDEX(auto_DataFlat_Score,$F30+Y$18,$B$12)</f>
        <v>100</v>
      </c>
      <c r="Z30" s="164" cm="1">
        <f t="array" aca="1" ref="Z30" ca="1">INDEX(auto_DataFlat_Score,$F30+Z$18,$B$12)</f>
        <v>100</v>
      </c>
      <c r="AA30" s="164" cm="1">
        <f t="array" aca="1" ref="AA30" ca="1">INDEX(auto_DataFlat_Score,$F30+AA$18,$B$12)</f>
        <v>100</v>
      </c>
      <c r="AB30" s="164" cm="1">
        <f t="array" aca="1" ref="AB30" ca="1">INDEX(auto_DataFlat_Score,$F30+AB$18,$B$12)</f>
        <v>100</v>
      </c>
      <c r="AC30" s="164" cm="1">
        <f t="array" aca="1" ref="AC30" ca="1">INDEX(auto_DataFlat_Score,$F30+AC$18,$B$12)</f>
        <v>100</v>
      </c>
      <c r="AD30" s="164" cm="1">
        <f t="array" aca="1" ref="AD30" ca="1">INDEX(auto_DataFlat_Score,$F30+AD$18,$B$12)</f>
        <v>100</v>
      </c>
      <c r="AE30" s="164" cm="1">
        <f t="array" aca="1" ref="AE30" ca="1">INDEX(auto_DataFlat_Score,$F30+AE$18,$B$12)</f>
        <v>100</v>
      </c>
      <c r="AF30" s="164" cm="1">
        <f t="array" aca="1" ref="AF30" ca="1">INDEX(auto_DataFlat_Score,$F30+AF$18,$B$12)</f>
        <v>0</v>
      </c>
      <c r="AG30" s="164" cm="1">
        <f t="array" aca="1" ref="AG30" ca="1">INDEX(auto_DataFlat_Score,$F30+AG$18,$B$12)</f>
        <v>0</v>
      </c>
      <c r="AH30" s="164" cm="1">
        <f t="array" aca="1" ref="AH30" ca="1">INDEX(auto_DataFlat_Score,$F30+AH$18,$B$12)</f>
        <v>0</v>
      </c>
      <c r="AI30" s="164" cm="1">
        <f t="array" aca="1" ref="AI30" ca="1">INDEX(auto_DataFlat_Score,$F30+AI$18,$B$12)</f>
        <v>100</v>
      </c>
      <c r="AJ30" s="164" cm="1">
        <f t="array" aca="1" ref="AJ30" ca="1">INDEX(auto_DataFlat_Score,$F30+AJ$18,$B$12)</f>
        <v>100</v>
      </c>
      <c r="AK30" s="164" cm="1">
        <f t="array" aca="1" ref="AK30" ca="1">INDEX(auto_DataFlat_Score,$F30+AK$18,$B$12)</f>
        <v>100</v>
      </c>
      <c r="AL30" s="164" cm="1">
        <f t="array" aca="1" ref="AL30" ca="1">INDEX(auto_DataFlat_Score,$F30+AL$18,$B$12)</f>
        <v>0</v>
      </c>
      <c r="AM30" s="164" cm="1">
        <f t="array" aca="1" ref="AM30" ca="1">INDEX(auto_DataFlat_Score,$F30+AM$18,$B$12)</f>
        <v>100</v>
      </c>
      <c r="AN30" s="164" cm="1">
        <f t="array" aca="1" ref="AN30" ca="1">INDEX(auto_DataFlat_Score,$F30+AN$18,$B$12)</f>
        <v>100</v>
      </c>
      <c r="AO30" s="164" cm="1">
        <f t="array" aca="1" ref="AO30" ca="1">INDEX(auto_DataFlat_Score,$F30+AO$18,$B$12)</f>
        <v>100</v>
      </c>
      <c r="AP30" s="164" cm="1">
        <f t="array" aca="1" ref="AP30" ca="1">INDEX(auto_DataFlat_Score,$F30+AP$18,$B$12)</f>
        <v>0</v>
      </c>
      <c r="AQ30" s="164" cm="1">
        <f t="array" aca="1" ref="AQ30" ca="1">INDEX(auto_DataFlat_Score,$F30+AQ$18,$B$12)</f>
        <v>0</v>
      </c>
      <c r="AR30" s="164" cm="1">
        <f t="array" aca="1" ref="AR30" ca="1">INDEX(auto_DataFlat_Score,$F30+AR$18,$B$12)</f>
        <v>100</v>
      </c>
      <c r="AS30" s="164" cm="1">
        <f t="array" aca="1" ref="AS30" ca="1">INDEX(auto_DataFlat_Score,$F30+AS$18,$B$12)</f>
        <v>100</v>
      </c>
      <c r="AT30" s="164" cm="1">
        <f t="array" aca="1" ref="AT30" ca="1">INDEX(auto_DataFlat_Score,$F30+AT$18,$B$12)</f>
        <v>100</v>
      </c>
      <c r="AU30" s="164" cm="1">
        <f t="array" aca="1" ref="AU30" ca="1">INDEX(auto_DataFlat_Score,$F30+AU$18,$B$12)</f>
        <v>100</v>
      </c>
      <c r="AV30" s="164" cm="1">
        <f t="array" aca="1" ref="AV30" ca="1">INDEX(auto_DataFlat_Score,$F30+AV$18,$B$12)</f>
        <v>100</v>
      </c>
      <c r="AW30" s="164" cm="1">
        <f t="array" aca="1" ref="AW30" ca="1">INDEX(auto_DataFlat_Score,$F30+AW$18,$B$12)</f>
        <v>100</v>
      </c>
      <c r="AX30" s="164" cm="1">
        <f t="array" aca="1" ref="AX30" ca="1">INDEX(auto_DataFlat_Score,$F30+AX$18,$B$12)</f>
        <v>100</v>
      </c>
      <c r="AY30" s="164" cm="1">
        <f t="array" aca="1" ref="AY30" ca="1">INDEX(auto_DataFlat_Score,$F30+AY$18,$B$12)</f>
        <v>100</v>
      </c>
      <c r="AZ30" s="164" cm="1">
        <f t="array" aca="1" ref="AZ30" ca="1">INDEX(auto_DataFlat_Score,$F30+AZ$18,$B$12)</f>
        <v>100</v>
      </c>
      <c r="BA30" s="164" cm="1">
        <f t="array" aca="1" ref="BA30" ca="1">INDEX(auto_DataFlat_Score,$F30+BA$18,$B$12)</f>
        <v>100</v>
      </c>
      <c r="BB30" s="164" cm="1">
        <f t="array" aca="1" ref="BB30" ca="1">INDEX(auto_DataFlat_Score,$F30+BB$18,$B$12)</f>
        <v>100</v>
      </c>
      <c r="BC30" s="164" cm="1">
        <f t="array" aca="1" ref="BC30" ca="1">INDEX(auto_DataFlat_Score,$F30+BC$18,$B$12)</f>
        <v>100</v>
      </c>
      <c r="BD30" s="164" cm="1">
        <f t="array" aca="1" ref="BD30" ca="1">INDEX(auto_DataFlat_Score,$F30+BD$18,$B$12)</f>
        <v>100</v>
      </c>
      <c r="BE30" s="164" cm="1">
        <f t="array" aca="1" ref="BE30" ca="1">INDEX(auto_DataFlat_Score,$F30+BE$18,$B$12)</f>
        <v>100</v>
      </c>
      <c r="BF30" s="164" cm="1">
        <f t="array" aca="1" ref="BF30" ca="1">INDEX(auto_DataFlat_Score,$F30+BF$18,$B$12)</f>
        <v>100</v>
      </c>
      <c r="BG30" s="164" cm="1">
        <f t="array" aca="1" ref="BG30" ca="1">INDEX(auto_DataFlat_Score,$F30+BG$18,$B$12)</f>
        <v>100</v>
      </c>
      <c r="BH30" s="164" cm="1">
        <f t="array" aca="1" ref="BH30" ca="1">INDEX(auto_DataFlat_Score,$F30+BH$18,$B$12)</f>
        <v>0</v>
      </c>
    </row>
    <row r="31" spans="1:60" ht="17.05" customHeight="1" x14ac:dyDescent="0.4">
      <c r="A31" t="str">
        <f t="shared" ca="1" si="2"/>
        <v/>
      </c>
      <c r="B31" s="49"/>
      <c r="C31" s="4">
        <v>12</v>
      </c>
      <c r="D31" s="49" cm="1">
        <f t="array" aca="1" ref="D31" ca="1">INDEX(OFFSET(auto_ss_score_table,0,1,500,1),C31)</f>
        <v>12</v>
      </c>
      <c r="E31" s="26" cm="1">
        <f t="array" aca="1" ref="E31" ca="1">INDEX(auto_tblSeries,$D31,$E$18)</f>
        <v>2</v>
      </c>
      <c r="F31" s="101" cm="1">
        <f t="array" aca="1" ref="F31" ca="1">INDEX(sys_DataFlat_LU_Grid,$D31,1)-1</f>
        <v>660</v>
      </c>
      <c r="G31" s="26"/>
      <c r="H31" s="148" t="str" cm="1">
        <f t="array" aca="1" ref="H31" ca="1">INDEX(auto_Series_NameNumbered,$D31)</f>
        <v>1.4) Access to healthcare</v>
      </c>
      <c r="I31" s="159">
        <f ca="1">OFFSET(iWeights!$G$18,$D31-1,0,1,1)</f>
        <v>0.2</v>
      </c>
      <c r="J31" s="160">
        <f ca="1">IF(E31=0,"-",OFFSET(iWeights!$U$18,$D31-1,0,1,1))</f>
        <v>3.2258064516129031E-2</v>
      </c>
      <c r="K31" s="161" cm="1">
        <f t="array" aca="1" ref="K31" ca="1">INDEX(auto_DataFlat_Score,$F31+K$18,$B$12)</f>
        <v>52.5</v>
      </c>
      <c r="L31" s="161" cm="1">
        <f t="array" aca="1" ref="L31" ca="1">INDEX(auto_DataFlat_Score,$F31+L$18,$B$12)</f>
        <v>60.7</v>
      </c>
      <c r="M31" s="161" cm="1">
        <f t="array" aca="1" ref="M31" ca="1">INDEX(auto_DataFlat_Score,$F31+M$18,$B$12)</f>
        <v>69.7</v>
      </c>
      <c r="N31" s="161" cm="1">
        <f t="array" aca="1" ref="N31" ca="1">INDEX(auto_DataFlat_Score,$F31+N$18,$B$12)</f>
        <v>70.3</v>
      </c>
      <c r="O31" s="161" cm="1">
        <f t="array" aca="1" ref="O31" ca="1">INDEX(auto_DataFlat_Score,$F31+O$18,$B$12)</f>
        <v>67.2</v>
      </c>
      <c r="P31" s="161" cm="1">
        <f t="array" aca="1" ref="P31" ca="1">INDEX(auto_DataFlat_Score,$F31+P$18,$B$12)</f>
        <v>56.3</v>
      </c>
      <c r="Q31" s="161" cm="1">
        <f t="array" aca="1" ref="Q31" ca="1">INDEX(auto_DataFlat_Score,$F31+Q$18,$B$12)</f>
        <v>73.5</v>
      </c>
      <c r="R31" s="161" cm="1">
        <f t="array" aca="1" ref="R31" ca="1">INDEX(auto_DataFlat_Score,$F31+R$18,$B$12)</f>
        <v>75.8</v>
      </c>
      <c r="S31" s="161" cm="1">
        <f t="array" aca="1" ref="S31" ca="1">INDEX(auto_DataFlat_Score,$F31+S$18,$B$12)</f>
        <v>63.9</v>
      </c>
      <c r="T31" s="161" cm="1">
        <f t="array" aca="1" ref="T31" ca="1">INDEX(auto_DataFlat_Score,$F31+T$18,$B$12)</f>
        <v>62.4</v>
      </c>
      <c r="U31" s="161" cm="1">
        <f t="array" aca="1" ref="U31" ca="1">INDEX(auto_DataFlat_Score,$F31+U$18,$B$12)</f>
        <v>59.7</v>
      </c>
      <c r="V31" s="161" cm="1">
        <f t="array" aca="1" ref="V31" ca="1">INDEX(auto_DataFlat_Score,$F31+V$18,$B$12)</f>
        <v>53.8</v>
      </c>
      <c r="W31" s="161" cm="1">
        <f t="array" aca="1" ref="W31" ca="1">INDEX(auto_DataFlat_Score,$F31+W$18,$B$12)</f>
        <v>51.1</v>
      </c>
      <c r="X31" s="161" cm="1">
        <f t="array" aca="1" ref="X31" ca="1">INDEX(auto_DataFlat_Score,$F31+X$18,$B$12)</f>
        <v>60.6</v>
      </c>
      <c r="Y31" s="161" cm="1">
        <f t="array" aca="1" ref="Y31" ca="1">INDEX(auto_DataFlat_Score,$F31+Y$18,$B$12)</f>
        <v>67</v>
      </c>
      <c r="Z31" s="161" cm="1">
        <f t="array" aca="1" ref="Z31" ca="1">INDEX(auto_DataFlat_Score,$F31+Z$18,$B$12)</f>
        <v>57.6</v>
      </c>
      <c r="AA31" s="161" cm="1">
        <f t="array" aca="1" ref="AA31" ca="1">INDEX(auto_DataFlat_Score,$F31+AA$18,$B$12)</f>
        <v>69</v>
      </c>
      <c r="AB31" s="161" cm="1">
        <f t="array" aca="1" ref="AB31" ca="1">INDEX(auto_DataFlat_Score,$F31+AB$18,$B$12)</f>
        <v>66</v>
      </c>
      <c r="AC31" s="161" cm="1">
        <f t="array" aca="1" ref="AC31" ca="1">INDEX(auto_DataFlat_Score,$F31+AC$18,$B$12)</f>
        <v>44.1</v>
      </c>
      <c r="AD31" s="161" cm="1">
        <f t="array" aca="1" ref="AD31" ca="1">INDEX(auto_DataFlat_Score,$F31+AD$18,$B$12)</f>
        <v>60.7</v>
      </c>
      <c r="AE31" s="161" cm="1">
        <f t="array" aca="1" ref="AE31" ca="1">INDEX(auto_DataFlat_Score,$F31+AE$18,$B$12)</f>
        <v>55.1</v>
      </c>
      <c r="AF31" s="161" cm="1">
        <f t="array" aca="1" ref="AF31" ca="1">INDEX(auto_DataFlat_Score,$F31+AF$18,$B$12)</f>
        <v>46.4</v>
      </c>
      <c r="AG31" s="161" cm="1">
        <f t="array" aca="1" ref="AG31" ca="1">INDEX(auto_DataFlat_Score,$F31+AG$18,$B$12)</f>
        <v>53.8</v>
      </c>
      <c r="AH31" s="161" cm="1">
        <f t="array" aca="1" ref="AH31" ca="1">INDEX(auto_DataFlat_Score,$F31+AH$18,$B$12)</f>
        <v>60.4</v>
      </c>
      <c r="AI31" s="161" cm="1">
        <f t="array" aca="1" ref="AI31" ca="1">INDEX(auto_DataFlat_Score,$F31+AI$18,$B$12)</f>
        <v>62.7</v>
      </c>
      <c r="AJ31" s="161" cm="1">
        <f t="array" aca="1" ref="AJ31" ca="1">INDEX(auto_DataFlat_Score,$F31+AJ$18,$B$12)</f>
        <v>68.2</v>
      </c>
      <c r="AK31" s="161" cm="1">
        <f t="array" aca="1" ref="AK31" ca="1">INDEX(auto_DataFlat_Score,$F31+AK$18,$B$12)</f>
        <v>68.400000000000006</v>
      </c>
      <c r="AL31" s="161" cm="1">
        <f t="array" aca="1" ref="AL31" ca="1">INDEX(auto_DataFlat_Score,$F31+AL$18,$B$12)</f>
        <v>62.1</v>
      </c>
      <c r="AM31" s="161" cm="1">
        <f t="array" aca="1" ref="AM31" ca="1">INDEX(auto_DataFlat_Score,$F31+AM$18,$B$12)</f>
        <v>71.900000000000006</v>
      </c>
      <c r="AN31" s="161" cm="1">
        <f t="array" aca="1" ref="AN31" ca="1">INDEX(auto_DataFlat_Score,$F31+AN$18,$B$12)</f>
        <v>67.400000000000006</v>
      </c>
      <c r="AO31" s="161" cm="1">
        <f t="array" aca="1" ref="AO31" ca="1">INDEX(auto_DataFlat_Score,$F31+AO$18,$B$12)</f>
        <v>62.5</v>
      </c>
      <c r="AP31" s="161" cm="1">
        <f t="array" aca="1" ref="AP31" ca="1">INDEX(auto_DataFlat_Score,$F31+AP$18,$B$12)</f>
        <v>53.8</v>
      </c>
      <c r="AQ31" s="161" cm="1">
        <f t="array" aca="1" ref="AQ31" ca="1">INDEX(auto_DataFlat_Score,$F31+AQ$18,$B$12)</f>
        <v>50.9</v>
      </c>
      <c r="AR31" s="161" cm="1">
        <f t="array" aca="1" ref="AR31" ca="1">INDEX(auto_DataFlat_Score,$F31+AR$18,$B$12)</f>
        <v>69.7</v>
      </c>
      <c r="AS31" s="161" cm="1">
        <f t="array" aca="1" ref="AS31" ca="1">INDEX(auto_DataFlat_Score,$F31+AS$18,$B$12)</f>
        <v>68.7</v>
      </c>
      <c r="AT31" s="161" cm="1">
        <f t="array" aca="1" ref="AT31" ca="1">INDEX(auto_DataFlat_Score,$F31+AT$18,$B$12)</f>
        <v>64.900000000000006</v>
      </c>
      <c r="AU31" s="161" cm="1">
        <f t="array" aca="1" ref="AU31" ca="1">INDEX(auto_DataFlat_Score,$F31+AU$18,$B$12)</f>
        <v>63.6</v>
      </c>
      <c r="AV31" s="161" cm="1">
        <f t="array" aca="1" ref="AV31" ca="1">INDEX(auto_DataFlat_Score,$F31+AV$18,$B$12)</f>
        <v>48.6</v>
      </c>
      <c r="AW31" s="161" cm="1">
        <f t="array" aca="1" ref="AW31" ca="1">INDEX(auto_DataFlat_Score,$F31+AW$18,$B$12)</f>
        <v>70.900000000000006</v>
      </c>
      <c r="AX31" s="161" cm="1">
        <f t="array" aca="1" ref="AX31" ca="1">INDEX(auto_DataFlat_Score,$F31+AX$18,$B$12)</f>
        <v>69.7</v>
      </c>
      <c r="AY31" s="161" cm="1">
        <f t="array" aca="1" ref="AY31" ca="1">INDEX(auto_DataFlat_Score,$F31+AY$18,$B$12)</f>
        <v>75.900000000000006</v>
      </c>
      <c r="AZ31" s="161" cm="1">
        <f t="array" aca="1" ref="AZ31" ca="1">INDEX(auto_DataFlat_Score,$F31+AZ$18,$B$12)</f>
        <v>76</v>
      </c>
      <c r="BA31" s="161" cm="1">
        <f t="array" aca="1" ref="BA31" ca="1">INDEX(auto_DataFlat_Score,$F31+BA$18,$B$12)</f>
        <v>56.3</v>
      </c>
      <c r="BB31" s="161" cm="1">
        <f t="array" aca="1" ref="BB31" ca="1">INDEX(auto_DataFlat_Score,$F31+BB$18,$B$12)</f>
        <v>77.400000000000006</v>
      </c>
      <c r="BC31" s="161" cm="1">
        <f t="array" aca="1" ref="BC31" ca="1">INDEX(auto_DataFlat_Score,$F31+BC$18,$B$12)</f>
        <v>71.900000000000006</v>
      </c>
      <c r="BD31" s="161" cm="1">
        <f t="array" aca="1" ref="BD31" ca="1">INDEX(auto_DataFlat_Score,$F31+BD$18,$B$12)</f>
        <v>68.7</v>
      </c>
      <c r="BE31" s="161" cm="1">
        <f t="array" aca="1" ref="BE31" ca="1">INDEX(auto_DataFlat_Score,$F31+BE$18,$B$12)</f>
        <v>84.1</v>
      </c>
      <c r="BF31" s="161" cm="1">
        <f t="array" aca="1" ref="BF31" ca="1">INDEX(auto_DataFlat_Score,$F31+BF$18,$B$12)</f>
        <v>68.8</v>
      </c>
      <c r="BG31" s="161" cm="1">
        <f t="array" aca="1" ref="BG31" ca="1">INDEX(auto_DataFlat_Score,$F31+BG$18,$B$12)</f>
        <v>56.3</v>
      </c>
      <c r="BH31" s="161" cm="1">
        <f t="array" aca="1" ref="BH31" ca="1">INDEX(auto_DataFlat_Score,$F31+BH$18,$B$12)</f>
        <v>50.3</v>
      </c>
    </row>
    <row r="32" spans="1:60" ht="17.05" customHeight="1" x14ac:dyDescent="0.4">
      <c r="A32" t="str">
        <f t="shared" ca="1" si="2"/>
        <v/>
      </c>
      <c r="B32" s="49"/>
      <c r="C32" s="4">
        <v>13</v>
      </c>
      <c r="D32" s="49" cm="1">
        <f t="array" aca="1" ref="D32" ca="1">INDEX(OFFSET(auto_ss_score_table,0,1,500,1),C32)</f>
        <v>13</v>
      </c>
      <c r="E32" s="26" cm="1">
        <f t="array" aca="1" ref="E32" ca="1">INDEX(auto_tblSeries,$D32,$E$18)</f>
        <v>2</v>
      </c>
      <c r="F32" s="101" cm="1">
        <f t="array" aca="1" ref="F32" ca="1">INDEX(sys_DataFlat_LU_Grid,$D32,1)-1</f>
        <v>720</v>
      </c>
      <c r="G32" s="26"/>
      <c r="H32" s="148" t="str" cm="1">
        <f t="array" aca="1" ref="H32" ca="1">INDEX(auto_Series_NameNumbered,$D32)</f>
        <v>1.5) Household health expenditure</v>
      </c>
      <c r="I32" s="159">
        <f ca="1">IF(D32=1,"-",OFFSET(iWeights!$G$18,$D32-1,0,1,1))</f>
        <v>0.2</v>
      </c>
      <c r="J32" s="160">
        <f ca="1">IF(E32=0,"-",OFFSET(iWeights!$U$18,$D32-1,0,1,1))</f>
        <v>3.2258064516129031E-2</v>
      </c>
      <c r="K32" s="161" cm="1">
        <f t="array" aca="1" ref="K32" ca="1">INDEX(auto_DataFlat_Score,$F32+K$18,$B$12)</f>
        <v>94.4</v>
      </c>
      <c r="L32" s="161" cm="1">
        <f t="array" aca="1" ref="L32" ca="1">INDEX(auto_DataFlat_Score,$F32+L$18,$B$12)</f>
        <v>68.400000000000006</v>
      </c>
      <c r="M32" s="161" cm="1">
        <f t="array" aca="1" ref="M32" ca="1">INDEX(auto_DataFlat_Score,$F32+M$18,$B$12)</f>
        <v>90.5</v>
      </c>
      <c r="N32" s="161" cm="1">
        <f t="array" aca="1" ref="N32" ca="1">INDEX(auto_DataFlat_Score,$F32+N$18,$B$12)</f>
        <v>88.5</v>
      </c>
      <c r="O32" s="161" cm="1">
        <f t="array" aca="1" ref="O32" ca="1">INDEX(auto_DataFlat_Score,$F32+O$18,$B$12)</f>
        <v>97.2</v>
      </c>
      <c r="P32" s="161" cm="1">
        <f t="array" aca="1" ref="P32" ca="1">INDEX(auto_DataFlat_Score,$F32+P$18,$B$12)</f>
        <v>18.100000000000001</v>
      </c>
      <c r="Q32" s="161" cm="1">
        <f t="array" aca="1" ref="Q32" ca="1">INDEX(auto_DataFlat_Score,$F32+Q$18,$B$12)</f>
        <v>100</v>
      </c>
      <c r="R32" s="161" cm="1">
        <f t="array" aca="1" ref="R32" ca="1">INDEX(auto_DataFlat_Score,$F32+R$18,$B$12)</f>
        <v>74.5</v>
      </c>
      <c r="S32" s="161" cm="1">
        <f t="array" aca="1" ref="S32" ca="1">INDEX(auto_DataFlat_Score,$F32+S$18,$B$12)</f>
        <v>90.3</v>
      </c>
      <c r="T32" s="161" cm="1">
        <f t="array" aca="1" ref="T32" ca="1">INDEX(auto_DataFlat_Score,$F32+T$18,$B$12)</f>
        <v>28.1</v>
      </c>
      <c r="U32" s="161" cm="1">
        <f t="array" aca="1" ref="U32" ca="1">INDEX(auto_DataFlat_Score,$F32+U$18,$B$12)</f>
        <v>90.4</v>
      </c>
      <c r="V32" s="161" cm="1">
        <f t="array" aca="1" ref="V32" ca="1">INDEX(auto_DataFlat_Score,$F32+V$18,$B$12)</f>
        <v>21.3</v>
      </c>
      <c r="W32" s="161" cm="1">
        <f t="array" aca="1" ref="W32" ca="1">INDEX(auto_DataFlat_Score,$F32+W$18,$B$12)</f>
        <v>0</v>
      </c>
      <c r="X32" s="161" cm="1">
        <f t="array" aca="1" ref="X32" ca="1">INDEX(auto_DataFlat_Score,$F32+X$18,$B$12)</f>
        <v>88.5</v>
      </c>
      <c r="Y32" s="161" cm="1">
        <f t="array" aca="1" ref="Y32" ca="1">INDEX(auto_DataFlat_Score,$F32+Y$18,$B$12)</f>
        <v>93.3</v>
      </c>
      <c r="Z32" s="161" cm="1">
        <f t="array" aca="1" ref="Z32" ca="1">INDEX(auto_DataFlat_Score,$F32+Z$18,$B$12)</f>
        <v>80.5</v>
      </c>
      <c r="AA32" s="161" cm="1">
        <f t="array" aca="1" ref="AA32" ca="1">INDEX(auto_DataFlat_Score,$F32+AA$18,$B$12)</f>
        <v>88.5</v>
      </c>
      <c r="AB32" s="161" cm="1">
        <f t="array" aca="1" ref="AB32" ca="1">INDEX(auto_DataFlat_Score,$F32+AB$18,$B$12)</f>
        <v>93.2</v>
      </c>
      <c r="AC32" s="161" cm="1">
        <f t="array" aca="1" ref="AC32" ca="1">INDEX(auto_DataFlat_Score,$F32+AC$18,$B$12)</f>
        <v>97</v>
      </c>
      <c r="AD32" s="161" cm="1">
        <f t="array" aca="1" ref="AD32" ca="1">INDEX(auto_DataFlat_Score,$F32+AD$18,$B$12)</f>
        <v>99.8</v>
      </c>
      <c r="AE32" s="161" cm="1">
        <f t="array" aca="1" ref="AE32" ca="1">INDEX(auto_DataFlat_Score,$F32+AE$18,$B$12)</f>
        <v>89</v>
      </c>
      <c r="AF32" s="161" cm="1">
        <f t="array" aca="1" ref="AF32" ca="1">INDEX(auto_DataFlat_Score,$F32+AF$18,$B$12)</f>
        <v>76</v>
      </c>
      <c r="AG32" s="161" cm="1">
        <f t="array" aca="1" ref="AG32" ca="1">INDEX(auto_DataFlat_Score,$F32+AG$18,$B$12)</f>
        <v>21.3</v>
      </c>
      <c r="AH32" s="161" cm="1">
        <f t="array" aca="1" ref="AH32" ca="1">INDEX(auto_DataFlat_Score,$F32+AH$18,$B$12)</f>
        <v>88.5</v>
      </c>
      <c r="AI32" s="161" cm="1">
        <f t="array" aca="1" ref="AI32" ca="1">INDEX(auto_DataFlat_Score,$F32+AI$18,$B$12)</f>
        <v>52.2</v>
      </c>
      <c r="AJ32" s="161" cm="1">
        <f t="array" aca="1" ref="AJ32" ca="1">INDEX(auto_DataFlat_Score,$F32+AJ$18,$B$12)</f>
        <v>94.5</v>
      </c>
      <c r="AK32" s="161" cm="1">
        <f t="array" aca="1" ref="AK32" ca="1">INDEX(auto_DataFlat_Score,$F32+AK$18,$B$12)</f>
        <v>87.8</v>
      </c>
      <c r="AL32" s="161" cm="1">
        <f t="array" aca="1" ref="AL32" ca="1">INDEX(auto_DataFlat_Score,$F32+AL$18,$B$12)</f>
        <v>84.3</v>
      </c>
      <c r="AM32" s="161" cm="1">
        <f t="array" aca="1" ref="AM32" ca="1">INDEX(auto_DataFlat_Score,$F32+AM$18,$B$12)</f>
        <v>96.4</v>
      </c>
      <c r="AN32" s="161" cm="1">
        <f t="array" aca="1" ref="AN32" ca="1">INDEX(auto_DataFlat_Score,$F32+AN$18,$B$12)</f>
        <v>86.6</v>
      </c>
      <c r="AO32" s="161" cm="1">
        <f t="array" aca="1" ref="AO32" ca="1">INDEX(auto_DataFlat_Score,$F32+AO$18,$B$12)</f>
        <v>90.4</v>
      </c>
      <c r="AP32" s="161" cm="1">
        <f t="array" aca="1" ref="AP32" ca="1">INDEX(auto_DataFlat_Score,$F32+AP$18,$B$12)</f>
        <v>21.3</v>
      </c>
      <c r="AQ32" s="161" cm="1">
        <f t="array" aca="1" ref="AQ32" ca="1">INDEX(auto_DataFlat_Score,$F32+AQ$18,$B$12)</f>
        <v>84.4</v>
      </c>
      <c r="AR32" s="161" cm="1">
        <f t="array" aca="1" ref="AR32" ca="1">INDEX(auto_DataFlat_Score,$F32+AR$18,$B$12)</f>
        <v>90.5</v>
      </c>
      <c r="AS32" s="161" cm="1">
        <f t="array" aca="1" ref="AS32" ca="1">INDEX(auto_DataFlat_Score,$F32+AS$18,$B$12)</f>
        <v>77.2</v>
      </c>
      <c r="AT32" s="161" cm="1">
        <f t="array" aca="1" ref="AT32" ca="1">INDEX(auto_DataFlat_Score,$F32+AT$18,$B$12)</f>
        <v>88.5</v>
      </c>
      <c r="AU32" s="161" cm="1">
        <f t="array" aca="1" ref="AU32" ca="1">INDEX(auto_DataFlat_Score,$F32+AU$18,$B$12)</f>
        <v>42.3</v>
      </c>
      <c r="AV32" s="161" cm="1">
        <f t="array" aca="1" ref="AV32" ca="1">INDEX(auto_DataFlat_Score,$F32+AV$18,$B$12)</f>
        <v>94.3</v>
      </c>
      <c r="AW32" s="161" cm="1">
        <f t="array" aca="1" ref="AW32" ca="1">INDEX(auto_DataFlat_Score,$F32+AW$18,$B$12)</f>
        <v>88.3</v>
      </c>
      <c r="AX32" s="161" cm="1">
        <f t="array" aca="1" ref="AX32" ca="1">INDEX(auto_DataFlat_Score,$F32+AX$18,$B$12)</f>
        <v>90.5</v>
      </c>
      <c r="AY32" s="161" cm="1">
        <f t="array" aca="1" ref="AY32" ca="1">INDEX(auto_DataFlat_Score,$F32+AY$18,$B$12)</f>
        <v>78.7</v>
      </c>
      <c r="AZ32" s="161" cm="1">
        <f t="array" aca="1" ref="AZ32" ca="1">INDEX(auto_DataFlat_Score,$F32+AZ$18,$B$12)</f>
        <v>66.8</v>
      </c>
      <c r="BA32" s="161" cm="1">
        <f t="array" aca="1" ref="BA32" ca="1">INDEX(auto_DataFlat_Score,$F32+BA$18,$B$12)</f>
        <v>18.100000000000001</v>
      </c>
      <c r="BB32" s="161" cm="1">
        <f t="array" aca="1" ref="BB32" ca="1">INDEX(auto_DataFlat_Score,$F32+BB$18,$B$12)</f>
        <v>83.6</v>
      </c>
      <c r="BC32" s="161" cm="1">
        <f t="array" aca="1" ref="BC32" ca="1">INDEX(auto_DataFlat_Score,$F32+BC$18,$B$12)</f>
        <v>96.4</v>
      </c>
      <c r="BD32" s="161" cm="1">
        <f t="array" aca="1" ref="BD32" ca="1">INDEX(auto_DataFlat_Score,$F32+BD$18,$B$12)</f>
        <v>77.2</v>
      </c>
      <c r="BE32" s="161" cm="1">
        <f t="array" aca="1" ref="BE32" ca="1">INDEX(auto_DataFlat_Score,$F32+BE$18,$B$12)</f>
        <v>91.6</v>
      </c>
      <c r="BF32" s="161" cm="1">
        <f t="array" aca="1" ref="BF32" ca="1">INDEX(auto_DataFlat_Score,$F32+BF$18,$B$12)</f>
        <v>95.2</v>
      </c>
      <c r="BG32" s="161" cm="1">
        <f t="array" aca="1" ref="BG32" ca="1">INDEX(auto_DataFlat_Score,$F32+BG$18,$B$12)</f>
        <v>18.100000000000001</v>
      </c>
      <c r="BH32" s="161" cm="1">
        <f t="array" aca="1" ref="BH32" ca="1">INDEX(auto_DataFlat_Score,$F32+BH$18,$B$12)</f>
        <v>59.6</v>
      </c>
    </row>
    <row r="33" spans="1:60" ht="17.05" customHeight="1" x14ac:dyDescent="0.4">
      <c r="A33" t="str">
        <f t="shared" ca="1" si="2"/>
        <v/>
      </c>
      <c r="B33" s="49"/>
      <c r="C33" s="4">
        <v>14</v>
      </c>
      <c r="D33" s="49" cm="1">
        <f t="array" aca="1" ref="D33" ca="1">INDEX(OFFSET(auto_ss_score_table,0,1,500,1),C33)</f>
        <v>14</v>
      </c>
      <c r="E33" s="26" cm="1">
        <f t="array" aca="1" ref="E33" ca="1">INDEX(auto_tblSeries,$D33,$E$18)</f>
        <v>1</v>
      </c>
      <c r="F33" s="101" cm="1">
        <f t="array" aca="1" ref="F33" ca="1">INDEX(sys_DataFlat_LU_Grid,$D33,1)-1</f>
        <v>780</v>
      </c>
      <c r="G33" s="26"/>
      <c r="H33" s="148" t="str" cm="1">
        <f t="array" aca="1" ref="H33" ca="1">INDEX(auto_Series_NameNumbered,$D33)</f>
        <v>2) PHYSICAL ENVIRONMENT</v>
      </c>
      <c r="I33" s="159">
        <f ca="1">OFFSET(iWeights!$G$18,$D33-1,0,1,1)</f>
        <v>0.16129032258064516</v>
      </c>
      <c r="J33" s="160">
        <f ca="1">IF(E33=0,"-",OFFSET(iWeights!$U$18,$D33-1,0,1,1))</f>
        <v>0.16129032258064516</v>
      </c>
      <c r="K33" s="161" cm="1">
        <f t="array" aca="1" ref="K33" ca="1">INDEX(auto_DataFlat_Score,$F33+K$18,$B$12)</f>
        <v>29</v>
      </c>
      <c r="L33" s="161" cm="1">
        <f t="array" aca="1" ref="L33" ca="1">INDEX(auto_DataFlat_Score,$F33+L$18,$B$12)</f>
        <v>26</v>
      </c>
      <c r="M33" s="161" cm="1">
        <f t="array" aca="1" ref="M33" ca="1">INDEX(auto_DataFlat_Score,$F33+M$18,$B$12)</f>
        <v>37.700000000000003</v>
      </c>
      <c r="N33" s="161" cm="1">
        <f t="array" aca="1" ref="N33" ca="1">INDEX(auto_DataFlat_Score,$F33+N$18,$B$12)</f>
        <v>67.2</v>
      </c>
      <c r="O33" s="161" cm="1">
        <f t="array" aca="1" ref="O33" ca="1">INDEX(auto_DataFlat_Score,$F33+O$18,$B$12)</f>
        <v>35.700000000000003</v>
      </c>
      <c r="P33" s="161" cm="1">
        <f t="array" aca="1" ref="P33" ca="1">INDEX(auto_DataFlat_Score,$F33+P$18,$B$12)</f>
        <v>46.5</v>
      </c>
      <c r="Q33" s="161" cm="1">
        <f t="array" aca="1" ref="Q33" ca="1">INDEX(auto_DataFlat_Score,$F33+Q$18,$B$12)</f>
        <v>63.1</v>
      </c>
      <c r="R33" s="161" cm="1">
        <f t="array" aca="1" ref="R33" ca="1">INDEX(auto_DataFlat_Score,$F33+R$18,$B$12)</f>
        <v>74.3</v>
      </c>
      <c r="S33" s="161" cm="1">
        <f t="array" aca="1" ref="S33" ca="1">INDEX(auto_DataFlat_Score,$F33+S$18,$B$12)</f>
        <v>60.7</v>
      </c>
      <c r="T33" s="161" cm="1">
        <f t="array" aca="1" ref="T33" ca="1">INDEX(auto_DataFlat_Score,$F33+T$18,$B$12)</f>
        <v>12.4</v>
      </c>
      <c r="U33" s="161" cm="1">
        <f t="array" aca="1" ref="U33" ca="1">INDEX(auto_DataFlat_Score,$F33+U$18,$B$12)</f>
        <v>23.4</v>
      </c>
      <c r="V33" s="161" cm="1">
        <f t="array" aca="1" ref="V33" ca="1">INDEX(auto_DataFlat_Score,$F33+V$18,$B$12)</f>
        <v>20.9</v>
      </c>
      <c r="W33" s="161" cm="1">
        <f t="array" aca="1" ref="W33" ca="1">INDEX(auto_DataFlat_Score,$F33+W$18,$B$12)</f>
        <v>41.8</v>
      </c>
      <c r="X33" s="161" cm="1">
        <f t="array" aca="1" ref="X33" ca="1">INDEX(auto_DataFlat_Score,$F33+X$18,$B$12)</f>
        <v>45.5</v>
      </c>
      <c r="Y33" s="161" cm="1">
        <f t="array" aca="1" ref="Y33" ca="1">INDEX(auto_DataFlat_Score,$F33+Y$18,$B$12)</f>
        <v>54.5</v>
      </c>
      <c r="Z33" s="161" cm="1">
        <f t="array" aca="1" ref="Z33" ca="1">INDEX(auto_DataFlat_Score,$F33+Z$18,$B$12)</f>
        <v>38.5</v>
      </c>
      <c r="AA33" s="161" cm="1">
        <f t="array" aca="1" ref="AA33" ca="1">INDEX(auto_DataFlat_Score,$F33+AA$18,$B$12)</f>
        <v>69.2</v>
      </c>
      <c r="AB33" s="161" cm="1">
        <f t="array" aca="1" ref="AB33" ca="1">INDEX(auto_DataFlat_Score,$F33+AB$18,$B$12)</f>
        <v>60.3</v>
      </c>
      <c r="AC33" s="161" cm="1">
        <f t="array" aca="1" ref="AC33" ca="1">INDEX(auto_DataFlat_Score,$F33+AC$18,$B$12)</f>
        <v>51.1</v>
      </c>
      <c r="AD33" s="161" cm="1">
        <f t="array" aca="1" ref="AD33" ca="1">INDEX(auto_DataFlat_Score,$F33+AD$18,$B$12)</f>
        <v>34.200000000000003</v>
      </c>
      <c r="AE33" s="161" cm="1">
        <f t="array" aca="1" ref="AE33" ca="1">INDEX(auto_DataFlat_Score,$F33+AE$18,$B$12)</f>
        <v>38.700000000000003</v>
      </c>
      <c r="AF33" s="161" cm="1">
        <f t="array" aca="1" ref="AF33" ca="1">INDEX(auto_DataFlat_Score,$F33+AF$18,$B$12)</f>
        <v>46.8</v>
      </c>
      <c r="AG33" s="161" cm="1">
        <f t="array" aca="1" ref="AG33" ca="1">INDEX(auto_DataFlat_Score,$F33+AG$18,$B$12)</f>
        <v>23.2</v>
      </c>
      <c r="AH33" s="161" cm="1">
        <f t="array" aca="1" ref="AH33" ca="1">INDEX(auto_DataFlat_Score,$F33+AH$18,$B$12)</f>
        <v>27.1</v>
      </c>
      <c r="AI33" s="161" cm="1">
        <f t="array" aca="1" ref="AI33" ca="1">INDEX(auto_DataFlat_Score,$F33+AI$18,$B$12)</f>
        <v>20.7</v>
      </c>
      <c r="AJ33" s="161" cm="1">
        <f t="array" aca="1" ref="AJ33" ca="1">INDEX(auto_DataFlat_Score,$F33+AJ$18,$B$12)</f>
        <v>76.7</v>
      </c>
      <c r="AK33" s="161" cm="1">
        <f t="array" aca="1" ref="AK33" ca="1">INDEX(auto_DataFlat_Score,$F33+AK$18,$B$12)</f>
        <v>72.599999999999994</v>
      </c>
      <c r="AL33" s="161" cm="1">
        <f t="array" aca="1" ref="AL33" ca="1">INDEX(auto_DataFlat_Score,$F33+AL$18,$B$12)</f>
        <v>47.3</v>
      </c>
      <c r="AM33" s="161" cm="1">
        <f t="array" aca="1" ref="AM33" ca="1">INDEX(auto_DataFlat_Score,$F33+AM$18,$B$12)</f>
        <v>75.5</v>
      </c>
      <c r="AN33" s="161" cm="1">
        <f t="array" aca="1" ref="AN33" ca="1">INDEX(auto_DataFlat_Score,$F33+AN$18,$B$12)</f>
        <v>54.9</v>
      </c>
      <c r="AO33" s="161" cm="1">
        <f t="array" aca="1" ref="AO33" ca="1">INDEX(auto_DataFlat_Score,$F33+AO$18,$B$12)</f>
        <v>65.3</v>
      </c>
      <c r="AP33" s="161" cm="1">
        <f t="array" aca="1" ref="AP33" ca="1">INDEX(auto_DataFlat_Score,$F33+AP$18,$B$12)</f>
        <v>30.3</v>
      </c>
      <c r="AQ33" s="161" cm="1">
        <f t="array" aca="1" ref="AQ33" ca="1">INDEX(auto_DataFlat_Score,$F33+AQ$18,$B$12)</f>
        <v>37</v>
      </c>
      <c r="AR33" s="161" cm="1">
        <f t="array" aca="1" ref="AR33" ca="1">INDEX(auto_DataFlat_Score,$F33+AR$18,$B$12)</f>
        <v>68.8</v>
      </c>
      <c r="AS33" s="161" cm="1">
        <f t="array" aca="1" ref="AS33" ca="1">INDEX(auto_DataFlat_Score,$F33+AS$18,$B$12)</f>
        <v>59.3</v>
      </c>
      <c r="AT33" s="161" cm="1">
        <f t="array" aca="1" ref="AT33" ca="1">INDEX(auto_DataFlat_Score,$F33+AT$18,$B$12)</f>
        <v>69.8</v>
      </c>
      <c r="AU33" s="161" cm="1">
        <f t="array" aca="1" ref="AU33" ca="1">INDEX(auto_DataFlat_Score,$F33+AU$18,$B$12)</f>
        <v>27</v>
      </c>
      <c r="AV33" s="161" cm="1">
        <f t="array" aca="1" ref="AV33" ca="1">INDEX(auto_DataFlat_Score,$F33+AV$18,$B$12)</f>
        <v>9.8000000000000007</v>
      </c>
      <c r="AW33" s="161" cm="1">
        <f t="array" aca="1" ref="AW33" ca="1">INDEX(auto_DataFlat_Score,$F33+AW$18,$B$12)</f>
        <v>71.400000000000006</v>
      </c>
      <c r="AX33" s="161" cm="1">
        <f t="array" aca="1" ref="AX33" ca="1">INDEX(auto_DataFlat_Score,$F33+AX$18,$B$12)</f>
        <v>57.7</v>
      </c>
      <c r="AY33" s="161" cm="1">
        <f t="array" aca="1" ref="AY33" ca="1">INDEX(auto_DataFlat_Score,$F33+AY$18,$B$12)</f>
        <v>65.8</v>
      </c>
      <c r="AZ33" s="161" cm="1">
        <f t="array" aca="1" ref="AZ33" ca="1">INDEX(auto_DataFlat_Score,$F33+AZ$18,$B$12)</f>
        <v>53.8</v>
      </c>
      <c r="BA33" s="161" cm="1">
        <f t="array" aca="1" ref="BA33" ca="1">INDEX(auto_DataFlat_Score,$F33+BA$18,$B$12)</f>
        <v>46.5</v>
      </c>
      <c r="BB33" s="161" cm="1">
        <f t="array" aca="1" ref="BB33" ca="1">INDEX(auto_DataFlat_Score,$F33+BB$18,$B$12)</f>
        <v>74.599999999999994</v>
      </c>
      <c r="BC33" s="161" cm="1">
        <f t="array" aca="1" ref="BC33" ca="1">INDEX(auto_DataFlat_Score,$F33+BC$18,$B$12)</f>
        <v>49.2</v>
      </c>
      <c r="BD33" s="161" cm="1">
        <f t="array" aca="1" ref="BD33" ca="1">INDEX(auto_DataFlat_Score,$F33+BD$18,$B$12)</f>
        <v>60.9</v>
      </c>
      <c r="BE33" s="161" cm="1">
        <f t="array" aca="1" ref="BE33" ca="1">INDEX(auto_DataFlat_Score,$F33+BE$18,$B$12)</f>
        <v>77.5</v>
      </c>
      <c r="BF33" s="161" cm="1">
        <f t="array" aca="1" ref="BF33" ca="1">INDEX(auto_DataFlat_Score,$F33+BF$18,$B$12)</f>
        <v>65</v>
      </c>
      <c r="BG33" s="161" cm="1">
        <f t="array" aca="1" ref="BG33" ca="1">INDEX(auto_DataFlat_Score,$F33+BG$18,$B$12)</f>
        <v>43.6</v>
      </c>
      <c r="BH33" s="161" cm="1">
        <f t="array" aca="1" ref="BH33" ca="1">INDEX(auto_DataFlat_Score,$F33+BH$18,$B$12)</f>
        <v>33.4</v>
      </c>
    </row>
    <row r="34" spans="1:60" ht="17.05" customHeight="1" x14ac:dyDescent="0.4">
      <c r="A34" t="str">
        <f t="shared" ca="1" si="2"/>
        <v/>
      </c>
      <c r="B34" s="49"/>
      <c r="C34" s="4">
        <v>15</v>
      </c>
      <c r="D34" s="49" cm="1">
        <f t="array" aca="1" ref="D34" ca="1">INDEX(OFFSET(auto_ss_score_table,0,1,500,1),C34)</f>
        <v>15</v>
      </c>
      <c r="E34" s="26" cm="1">
        <f t="array" aca="1" ref="E34" ca="1">INDEX(auto_tblSeries,$D34,$E$18)</f>
        <v>2</v>
      </c>
      <c r="F34" s="101" cm="1">
        <f t="array" aca="1" ref="F34" ca="1">INDEX(sys_DataFlat_LU_Grid,$D34,1)-1</f>
        <v>840</v>
      </c>
      <c r="G34" s="26"/>
      <c r="H34" s="148" t="str" cm="1">
        <f t="array" aca="1" ref="H34" ca="1">INDEX(auto_Series_NameNumbered,$D34)</f>
        <v>2.1) Air quality</v>
      </c>
      <c r="I34" s="159">
        <f ca="1">IF(D34=1,"-",OFFSET(iWeights!$G$18,$D34-1,0,1,1))</f>
        <v>0.2</v>
      </c>
      <c r="J34" s="160">
        <f ca="1">IF(E34=0,"-",OFFSET(iWeights!$U$18,$D34-1,0,1,1))</f>
        <v>3.2258064516129031E-2</v>
      </c>
      <c r="K34" s="161" cm="1">
        <f t="array" aca="1" ref="K34" ca="1">INDEX(auto_DataFlat_Score,$F34+K$18,$B$12)</f>
        <v>0</v>
      </c>
      <c r="L34" s="161" cm="1">
        <f t="array" aca="1" ref="L34" ca="1">INDEX(auto_DataFlat_Score,$F34+L$18,$B$12)</f>
        <v>0</v>
      </c>
      <c r="M34" s="161" cm="1">
        <f t="array" aca="1" ref="M34" ca="1">INDEX(auto_DataFlat_Score,$F34+M$18,$B$12)</f>
        <v>0</v>
      </c>
      <c r="N34" s="161" cm="1">
        <f t="array" aca="1" ref="N34" ca="1">INDEX(auto_DataFlat_Score,$F34+N$18,$B$12)</f>
        <v>0</v>
      </c>
      <c r="O34" s="161" cm="1">
        <f t="array" aca="1" ref="O34" ca="1">INDEX(auto_DataFlat_Score,$F34+O$18,$B$12)</f>
        <v>0</v>
      </c>
      <c r="P34" s="161" cm="1">
        <f t="array" aca="1" ref="P34" ca="1">INDEX(auto_DataFlat_Score,$F34+P$18,$B$12)</f>
        <v>0</v>
      </c>
      <c r="Q34" s="161" cm="1">
        <f t="array" aca="1" ref="Q34" ca="1">INDEX(auto_DataFlat_Score,$F34+Q$18,$B$12)</f>
        <v>0</v>
      </c>
      <c r="R34" s="161" cm="1">
        <f t="array" aca="1" ref="R34" ca="1">INDEX(auto_DataFlat_Score,$F34+R$18,$B$12)</f>
        <v>0</v>
      </c>
      <c r="S34" s="161" cm="1">
        <f t="array" aca="1" ref="S34" ca="1">INDEX(auto_DataFlat_Score,$F34+S$18,$B$12)</f>
        <v>0</v>
      </c>
      <c r="T34" s="161" cm="1">
        <f t="array" aca="1" ref="T34" ca="1">INDEX(auto_DataFlat_Score,$F34+T$18,$B$12)</f>
        <v>0</v>
      </c>
      <c r="U34" s="161" cm="1">
        <f t="array" aca="1" ref="U34" ca="1">INDEX(auto_DataFlat_Score,$F34+U$18,$B$12)</f>
        <v>0</v>
      </c>
      <c r="V34" s="161" cm="1">
        <f t="array" aca="1" ref="V34" ca="1">INDEX(auto_DataFlat_Score,$F34+V$18,$B$12)</f>
        <v>0</v>
      </c>
      <c r="W34" s="161" cm="1">
        <f t="array" aca="1" ref="W34" ca="1">INDEX(auto_DataFlat_Score,$F34+W$18,$B$12)</f>
        <v>0</v>
      </c>
      <c r="X34" s="161" cm="1">
        <f t="array" aca="1" ref="X34" ca="1">INDEX(auto_DataFlat_Score,$F34+X$18,$B$12)</f>
        <v>0</v>
      </c>
      <c r="Y34" s="161" cm="1">
        <f t="array" aca="1" ref="Y34" ca="1">INDEX(auto_DataFlat_Score,$F34+Y$18,$B$12)</f>
        <v>0</v>
      </c>
      <c r="Z34" s="161" cm="1">
        <f t="array" aca="1" ref="Z34" ca="1">INDEX(auto_DataFlat_Score,$F34+Z$18,$B$12)</f>
        <v>0</v>
      </c>
      <c r="AA34" s="161" cm="1">
        <f t="array" aca="1" ref="AA34" ca="1">INDEX(auto_DataFlat_Score,$F34+AA$18,$B$12)</f>
        <v>0</v>
      </c>
      <c r="AB34" s="161" cm="1">
        <f t="array" aca="1" ref="AB34" ca="1">INDEX(auto_DataFlat_Score,$F34+AB$18,$B$12)</f>
        <v>0</v>
      </c>
      <c r="AC34" s="161" cm="1">
        <f t="array" aca="1" ref="AC34" ca="1">INDEX(auto_DataFlat_Score,$F34+AC$18,$B$12)</f>
        <v>0</v>
      </c>
      <c r="AD34" s="161" cm="1">
        <f t="array" aca="1" ref="AD34" ca="1">INDEX(auto_DataFlat_Score,$F34+AD$18,$B$12)</f>
        <v>0</v>
      </c>
      <c r="AE34" s="161" cm="1">
        <f t="array" aca="1" ref="AE34" ca="1">INDEX(auto_DataFlat_Score,$F34+AE$18,$B$12)</f>
        <v>0</v>
      </c>
      <c r="AF34" s="161" cm="1">
        <f t="array" aca="1" ref="AF34" ca="1">INDEX(auto_DataFlat_Score,$F34+AF$18,$B$12)</f>
        <v>0</v>
      </c>
      <c r="AG34" s="161" cm="1">
        <f t="array" aca="1" ref="AG34" ca="1">INDEX(auto_DataFlat_Score,$F34+AG$18,$B$12)</f>
        <v>0</v>
      </c>
      <c r="AH34" s="161" cm="1">
        <f t="array" aca="1" ref="AH34" ca="1">INDEX(auto_DataFlat_Score,$F34+AH$18,$B$12)</f>
        <v>0</v>
      </c>
      <c r="AI34" s="161" cm="1">
        <f t="array" aca="1" ref="AI34" ca="1">INDEX(auto_DataFlat_Score,$F34+AI$18,$B$12)</f>
        <v>0</v>
      </c>
      <c r="AJ34" s="161" cm="1">
        <f t="array" aca="1" ref="AJ34" ca="1">INDEX(auto_DataFlat_Score,$F34+AJ$18,$B$12)</f>
        <v>0</v>
      </c>
      <c r="AK34" s="161" cm="1">
        <f t="array" aca="1" ref="AK34" ca="1">INDEX(auto_DataFlat_Score,$F34+AK$18,$B$12)</f>
        <v>0</v>
      </c>
      <c r="AL34" s="161" cm="1">
        <f t="array" aca="1" ref="AL34" ca="1">INDEX(auto_DataFlat_Score,$F34+AL$18,$B$12)</f>
        <v>0</v>
      </c>
      <c r="AM34" s="161" cm="1">
        <f t="array" aca="1" ref="AM34" ca="1">INDEX(auto_DataFlat_Score,$F34+AM$18,$B$12)</f>
        <v>0</v>
      </c>
      <c r="AN34" s="161" cm="1">
        <f t="array" aca="1" ref="AN34" ca="1">INDEX(auto_DataFlat_Score,$F34+AN$18,$B$12)</f>
        <v>0</v>
      </c>
      <c r="AO34" s="161" cm="1">
        <f t="array" aca="1" ref="AO34" ca="1">INDEX(auto_DataFlat_Score,$F34+AO$18,$B$12)</f>
        <v>0</v>
      </c>
      <c r="AP34" s="161" cm="1">
        <f t="array" aca="1" ref="AP34" ca="1">INDEX(auto_DataFlat_Score,$F34+AP$18,$B$12)</f>
        <v>0</v>
      </c>
      <c r="AQ34" s="161" cm="1">
        <f t="array" aca="1" ref="AQ34" ca="1">INDEX(auto_DataFlat_Score,$F34+AQ$18,$B$12)</f>
        <v>0</v>
      </c>
      <c r="AR34" s="161" cm="1">
        <f t="array" aca="1" ref="AR34" ca="1">INDEX(auto_DataFlat_Score,$F34+AR$18,$B$12)</f>
        <v>0</v>
      </c>
      <c r="AS34" s="161" cm="1">
        <f t="array" aca="1" ref="AS34" ca="1">INDEX(auto_DataFlat_Score,$F34+AS$18,$B$12)</f>
        <v>0</v>
      </c>
      <c r="AT34" s="161" cm="1">
        <f t="array" aca="1" ref="AT34" ca="1">INDEX(auto_DataFlat_Score,$F34+AT$18,$B$12)</f>
        <v>0</v>
      </c>
      <c r="AU34" s="161" cm="1">
        <f t="array" aca="1" ref="AU34" ca="1">INDEX(auto_DataFlat_Score,$F34+AU$18,$B$12)</f>
        <v>0</v>
      </c>
      <c r="AV34" s="161" cm="1">
        <f t="array" aca="1" ref="AV34" ca="1">INDEX(auto_DataFlat_Score,$F34+AV$18,$B$12)</f>
        <v>0</v>
      </c>
      <c r="AW34" s="161" cm="1">
        <f t="array" aca="1" ref="AW34" ca="1">INDEX(auto_DataFlat_Score,$F34+AW$18,$B$12)</f>
        <v>0</v>
      </c>
      <c r="AX34" s="161" cm="1">
        <f t="array" aca="1" ref="AX34" ca="1">INDEX(auto_DataFlat_Score,$F34+AX$18,$B$12)</f>
        <v>0</v>
      </c>
      <c r="AY34" s="161" cm="1">
        <f t="array" aca="1" ref="AY34" ca="1">INDEX(auto_DataFlat_Score,$F34+AY$18,$B$12)</f>
        <v>0</v>
      </c>
      <c r="AZ34" s="161" cm="1">
        <f t="array" aca="1" ref="AZ34" ca="1">INDEX(auto_DataFlat_Score,$F34+AZ$18,$B$12)</f>
        <v>0</v>
      </c>
      <c r="BA34" s="161" cm="1">
        <f t="array" aca="1" ref="BA34" ca="1">INDEX(auto_DataFlat_Score,$F34+BA$18,$B$12)</f>
        <v>0</v>
      </c>
      <c r="BB34" s="161" cm="1">
        <f t="array" aca="1" ref="BB34" ca="1">INDEX(auto_DataFlat_Score,$F34+BB$18,$B$12)</f>
        <v>0</v>
      </c>
      <c r="BC34" s="161" cm="1">
        <f t="array" aca="1" ref="BC34" ca="1">INDEX(auto_DataFlat_Score,$F34+BC$18,$B$12)</f>
        <v>0</v>
      </c>
      <c r="BD34" s="161" cm="1">
        <f t="array" aca="1" ref="BD34" ca="1">INDEX(auto_DataFlat_Score,$F34+BD$18,$B$12)</f>
        <v>0</v>
      </c>
      <c r="BE34" s="161" cm="1">
        <f t="array" aca="1" ref="BE34" ca="1">INDEX(auto_DataFlat_Score,$F34+BE$18,$B$12)</f>
        <v>0</v>
      </c>
      <c r="BF34" s="161" cm="1">
        <f t="array" aca="1" ref="BF34" ca="1">INDEX(auto_DataFlat_Score,$F34+BF$18,$B$12)</f>
        <v>0</v>
      </c>
      <c r="BG34" s="161" cm="1">
        <f t="array" aca="1" ref="BG34" ca="1">INDEX(auto_DataFlat_Score,$F34+BG$18,$B$12)</f>
        <v>0</v>
      </c>
      <c r="BH34" s="161" cm="1">
        <f t="array" aca="1" ref="BH34" ca="1">INDEX(auto_DataFlat_Score,$F34+BH$18,$B$12)</f>
        <v>0</v>
      </c>
    </row>
    <row r="35" spans="1:60" ht="17.05" customHeight="1" x14ac:dyDescent="0.4">
      <c r="A35" t="str">
        <f t="shared" ca="1" si="2"/>
        <v/>
      </c>
      <c r="B35" s="49"/>
      <c r="C35" s="4">
        <v>16</v>
      </c>
      <c r="D35" s="49" cm="1">
        <f t="array" aca="1" ref="D35" ca="1">INDEX(OFFSET(auto_ss_score_table,0,1,500,1),C35)</f>
        <v>16</v>
      </c>
      <c r="E35" s="26" cm="1">
        <f t="array" aca="1" ref="E35" ca="1">INDEX(auto_tblSeries,$D35,$E$18)</f>
        <v>2</v>
      </c>
      <c r="F35" s="101" cm="1">
        <f t="array" aca="1" ref="F35" ca="1">INDEX(sys_DataFlat_LU_Grid,$D35,1)-1</f>
        <v>900</v>
      </c>
      <c r="G35" s="26"/>
      <c r="H35" s="148" t="str" cm="1">
        <f t="array" aca="1" ref="H35" ca="1">INDEX(auto_Series_NameNumbered,$D35)</f>
        <v>2.2) Open spaces and green areas</v>
      </c>
      <c r="I35" s="159">
        <f ca="1">OFFSET(iWeights!$G$18,$D35-1,0,1,1)</f>
        <v>0.2</v>
      </c>
      <c r="J35" s="160">
        <f ca="1">IF(E35=0,"-",OFFSET(iWeights!$U$18,$D35-1,0,1,1))</f>
        <v>3.2258064516129031E-2</v>
      </c>
      <c r="K35" s="161" cm="1">
        <f t="array" aca="1" ref="K35" ca="1">INDEX(auto_DataFlat_Score,$F35+K$18,$B$12)</f>
        <v>42.5</v>
      </c>
      <c r="L35" s="161" cm="1">
        <f t="array" aca="1" ref="L35" ca="1">INDEX(auto_DataFlat_Score,$F35+L$18,$B$12)</f>
        <v>41.7</v>
      </c>
      <c r="M35" s="161" cm="1">
        <f t="array" aca="1" ref="M35" ca="1">INDEX(auto_DataFlat_Score,$F35+M$18,$B$12)</f>
        <v>41.5</v>
      </c>
      <c r="N35" s="161" cm="1">
        <f t="array" aca="1" ref="N35" ca="1">INDEX(auto_DataFlat_Score,$F35+N$18,$B$12)</f>
        <v>99.1</v>
      </c>
      <c r="O35" s="161" cm="1">
        <f t="array" aca="1" ref="O35" ca="1">INDEX(auto_DataFlat_Score,$F35+O$18,$B$12)</f>
        <v>6</v>
      </c>
      <c r="P35" s="161" cm="1">
        <f t="array" aca="1" ref="P35" ca="1">INDEX(auto_DataFlat_Score,$F35+P$18,$B$12)</f>
        <v>30.3</v>
      </c>
      <c r="Q35" s="161" cm="1">
        <f t="array" aca="1" ref="Q35" ca="1">INDEX(auto_DataFlat_Score,$F35+Q$18,$B$12)</f>
        <v>74.599999999999994</v>
      </c>
      <c r="R35" s="161" cm="1">
        <f t="array" aca="1" ref="R35" ca="1">INDEX(auto_DataFlat_Score,$F35+R$18,$B$12)</f>
        <v>98.1</v>
      </c>
      <c r="S35" s="161" cm="1">
        <f t="array" aca="1" ref="S35" ca="1">INDEX(auto_DataFlat_Score,$F35+S$18,$B$12)</f>
        <v>63.1</v>
      </c>
      <c r="T35" s="161" cm="1">
        <f t="array" aca="1" ref="T35" ca="1">INDEX(auto_DataFlat_Score,$F35+T$18,$B$12)</f>
        <v>5.2</v>
      </c>
      <c r="U35" s="161" cm="1">
        <f t="array" aca="1" ref="U35" ca="1">INDEX(auto_DataFlat_Score,$F35+U$18,$B$12)</f>
        <v>10.1</v>
      </c>
      <c r="V35" s="161" cm="1">
        <f t="array" aca="1" ref="V35" ca="1">INDEX(auto_DataFlat_Score,$F35+V$18,$B$12)</f>
        <v>29.3</v>
      </c>
      <c r="W35" s="161" cm="1">
        <f t="array" aca="1" ref="W35" ca="1">INDEX(auto_DataFlat_Score,$F35+W$18,$B$12)</f>
        <v>29.8</v>
      </c>
      <c r="X35" s="161" cm="1">
        <f t="array" aca="1" ref="X35" ca="1">INDEX(auto_DataFlat_Score,$F35+X$18,$B$12)</f>
        <v>41</v>
      </c>
      <c r="Y35" s="161" cm="1">
        <f t="array" aca="1" ref="Y35" ca="1">INDEX(auto_DataFlat_Score,$F35+Y$18,$B$12)</f>
        <v>31.8</v>
      </c>
      <c r="Z35" s="161" cm="1">
        <f t="array" aca="1" ref="Z35" ca="1">INDEX(auto_DataFlat_Score,$F35+Z$18,$B$12)</f>
        <v>28.1</v>
      </c>
      <c r="AA35" s="161" cm="1">
        <f t="array" aca="1" ref="AA35" ca="1">INDEX(auto_DataFlat_Score,$F35+AA$18,$B$12)</f>
        <v>100</v>
      </c>
      <c r="AB35" s="161" cm="1">
        <f t="array" aca="1" ref="AB35" ca="1">INDEX(auto_DataFlat_Score,$F35+AB$18,$B$12)</f>
        <v>64.400000000000006</v>
      </c>
      <c r="AC35" s="161" cm="1">
        <f t="array" aca="1" ref="AC35" ca="1">INDEX(auto_DataFlat_Score,$F35+AC$18,$B$12)</f>
        <v>25.2</v>
      </c>
      <c r="AD35" s="161" cm="1">
        <f t="array" aca="1" ref="AD35" ca="1">INDEX(auto_DataFlat_Score,$F35+AD$18,$B$12)</f>
        <v>10.3</v>
      </c>
      <c r="AE35" s="161" cm="1">
        <f t="array" aca="1" ref="AE35" ca="1">INDEX(auto_DataFlat_Score,$F35+AE$18,$B$12)</f>
        <v>46.8</v>
      </c>
      <c r="AF35" s="161" cm="1">
        <f t="array" aca="1" ref="AF35" ca="1">INDEX(auto_DataFlat_Score,$F35+AF$18,$B$12)</f>
        <v>46.5</v>
      </c>
      <c r="AG35" s="161" cm="1">
        <f t="array" aca="1" ref="AG35" ca="1">INDEX(auto_DataFlat_Score,$F35+AG$18,$B$12)</f>
        <v>25.3</v>
      </c>
      <c r="AH35" s="161" cm="1">
        <f t="array" aca="1" ref="AH35" ca="1">INDEX(auto_DataFlat_Score,$F35+AH$18,$B$12)</f>
        <v>51.7</v>
      </c>
      <c r="AI35" s="161" cm="1">
        <f t="array" aca="1" ref="AI35" ca="1">INDEX(auto_DataFlat_Score,$F35+AI$18,$B$12)</f>
        <v>0</v>
      </c>
      <c r="AJ35" s="161" cm="1">
        <f t="array" aca="1" ref="AJ35" ca="1">INDEX(auto_DataFlat_Score,$F35+AJ$18,$B$12)</f>
        <v>90.5</v>
      </c>
      <c r="AK35" s="161" cm="1">
        <f t="array" aca="1" ref="AK35" ca="1">INDEX(auto_DataFlat_Score,$F35+AK$18,$B$12)</f>
        <v>68.400000000000006</v>
      </c>
      <c r="AL35" s="161" cm="1">
        <f t="array" aca="1" ref="AL35" ca="1">INDEX(auto_DataFlat_Score,$F35+AL$18,$B$12)</f>
        <v>26.5</v>
      </c>
      <c r="AM35" s="161" cm="1">
        <f t="array" aca="1" ref="AM35" ca="1">INDEX(auto_DataFlat_Score,$F35+AM$18,$B$12)</f>
        <v>94.3</v>
      </c>
      <c r="AN35" s="161" cm="1">
        <f t="array" aca="1" ref="AN35" ca="1">INDEX(auto_DataFlat_Score,$F35+AN$18,$B$12)</f>
        <v>47.9</v>
      </c>
      <c r="AO35" s="161" cm="1">
        <f t="array" aca="1" ref="AO35" ca="1">INDEX(auto_DataFlat_Score,$F35+AO$18,$B$12)</f>
        <v>92.9</v>
      </c>
      <c r="AP35" s="161" cm="1">
        <f t="array" aca="1" ref="AP35" ca="1">INDEX(auto_DataFlat_Score,$F35+AP$18,$B$12)</f>
        <v>34.5</v>
      </c>
      <c r="AQ35" s="161" cm="1">
        <f t="array" aca="1" ref="AQ35" ca="1">INDEX(auto_DataFlat_Score,$F35+AQ$18,$B$12)</f>
        <v>13.4</v>
      </c>
      <c r="AR35" s="161" cm="1">
        <f t="array" aca="1" ref="AR35" ca="1">INDEX(auto_DataFlat_Score,$F35+AR$18,$B$12)</f>
        <v>78</v>
      </c>
      <c r="AS35" s="161" cm="1">
        <f t="array" aca="1" ref="AS35" ca="1">INDEX(auto_DataFlat_Score,$F35+AS$18,$B$12)</f>
        <v>79.400000000000006</v>
      </c>
      <c r="AT35" s="161" cm="1">
        <f t="array" aca="1" ref="AT35" ca="1">INDEX(auto_DataFlat_Score,$F35+AT$18,$B$12)</f>
        <v>54.4</v>
      </c>
      <c r="AU35" s="161" cm="1">
        <f t="array" aca="1" ref="AU35" ca="1">INDEX(auto_DataFlat_Score,$F35+AU$18,$B$12)</f>
        <v>25.7</v>
      </c>
      <c r="AV35" s="161" cm="1">
        <f t="array" aca="1" ref="AV35" ca="1">INDEX(auto_DataFlat_Score,$F35+AV$18,$B$12)</f>
        <v>4.0999999999999996</v>
      </c>
      <c r="AW35" s="161" cm="1">
        <f t="array" aca="1" ref="AW35" ca="1">INDEX(auto_DataFlat_Score,$F35+AW$18,$B$12)</f>
        <v>63.6</v>
      </c>
      <c r="AX35" s="161" cm="1">
        <f t="array" aca="1" ref="AX35" ca="1">INDEX(auto_DataFlat_Score,$F35+AX$18,$B$12)</f>
        <v>41.5</v>
      </c>
      <c r="AY35" s="161" cm="1">
        <f t="array" aca="1" ref="AY35" ca="1">INDEX(auto_DataFlat_Score,$F35+AY$18,$B$12)</f>
        <v>57.1</v>
      </c>
      <c r="AZ35" s="161" cm="1">
        <f t="array" aca="1" ref="AZ35" ca="1">INDEX(auto_DataFlat_Score,$F35+AZ$18,$B$12)</f>
        <v>51</v>
      </c>
      <c r="BA35" s="161" cm="1">
        <f t="array" aca="1" ref="BA35" ca="1">INDEX(auto_DataFlat_Score,$F35+BA$18,$B$12)</f>
        <v>30.3</v>
      </c>
      <c r="BB35" s="161" cm="1">
        <f t="array" aca="1" ref="BB35" ca="1">INDEX(auto_DataFlat_Score,$F35+BB$18,$B$12)</f>
        <v>77.099999999999994</v>
      </c>
      <c r="BC35" s="161" cm="1">
        <f t="array" aca="1" ref="BC35" ca="1">INDEX(auto_DataFlat_Score,$F35+BC$18,$B$12)</f>
        <v>32.200000000000003</v>
      </c>
      <c r="BD35" s="161" cm="1">
        <f t="array" aca="1" ref="BD35" ca="1">INDEX(auto_DataFlat_Score,$F35+BD$18,$B$12)</f>
        <v>82.6</v>
      </c>
      <c r="BE35" s="161" cm="1">
        <f t="array" aca="1" ref="BE35" ca="1">INDEX(auto_DataFlat_Score,$F35+BE$18,$B$12)</f>
        <v>98.2</v>
      </c>
      <c r="BF35" s="161" cm="1">
        <f t="array" aca="1" ref="BF35" ca="1">INDEX(auto_DataFlat_Score,$F35+BF$18,$B$12)</f>
        <v>79.7</v>
      </c>
      <c r="BG35" s="161" cm="1">
        <f t="array" aca="1" ref="BG35" ca="1">INDEX(auto_DataFlat_Score,$F35+BG$18,$B$12)</f>
        <v>11.1</v>
      </c>
      <c r="BH35" s="161" cm="1">
        <f t="array" aca="1" ref="BH35" ca="1">INDEX(auto_DataFlat_Score,$F35+BH$18,$B$12)</f>
        <v>11.3</v>
      </c>
    </row>
    <row r="36" spans="1:60" ht="17.05" customHeight="1" x14ac:dyDescent="0.4">
      <c r="A36" t="str">
        <f t="shared" ca="1" si="2"/>
        <v/>
      </c>
      <c r="B36" s="49"/>
      <c r="C36" s="4">
        <v>17</v>
      </c>
      <c r="D36" s="49" cm="1">
        <f t="array" aca="1" ref="D36" ca="1">INDEX(OFFSET(auto_ss_score_table,0,1,500,1),C36)</f>
        <v>17</v>
      </c>
      <c r="E36" s="26" cm="1">
        <f t="array" aca="1" ref="E36" ca="1">INDEX(auto_tblSeries,$D36,$E$18)</f>
        <v>2</v>
      </c>
      <c r="F36" s="101" cm="1">
        <f t="array" aca="1" ref="F36" ca="1">INDEX(sys_DataFlat_LU_Grid,$D36,1)-1</f>
        <v>960</v>
      </c>
      <c r="G36" s="26"/>
      <c r="H36" s="148" t="str" cm="1">
        <f t="array" aca="1" ref="H36" ca="1">INDEX(auto_Series_NameNumbered,$D36)</f>
        <v>2.3) Active transport</v>
      </c>
      <c r="I36" s="159">
        <f ca="1">IF(D36=1,"-",OFFSET(iWeights!$G$18,$D36-1,0,1,1))</f>
        <v>0.2</v>
      </c>
      <c r="J36" s="160">
        <f ca="1">IF(E36=0,"-",OFFSET(iWeights!$U$18,$D36-1,0,1,1))</f>
        <v>3.2258064516129031E-2</v>
      </c>
      <c r="K36" s="161" cm="1">
        <f t="array" aca="1" ref="K36" ca="1">INDEX(auto_DataFlat_Score,$F36+K$18,$B$12)</f>
        <v>0</v>
      </c>
      <c r="L36" s="161" cm="1">
        <f t="array" aca="1" ref="L36" ca="1">INDEX(auto_DataFlat_Score,$F36+L$18,$B$12)</f>
        <v>0</v>
      </c>
      <c r="M36" s="161" cm="1">
        <f t="array" aca="1" ref="M36" ca="1">INDEX(auto_DataFlat_Score,$F36+M$18,$B$12)</f>
        <v>50</v>
      </c>
      <c r="N36" s="161" cm="1">
        <f t="array" aca="1" ref="N36" ca="1">INDEX(auto_DataFlat_Score,$F36+N$18,$B$12)</f>
        <v>100</v>
      </c>
      <c r="O36" s="161" cm="1">
        <f t="array" aca="1" ref="O36" ca="1">INDEX(auto_DataFlat_Score,$F36+O$18,$B$12)</f>
        <v>100</v>
      </c>
      <c r="P36" s="161" cm="1">
        <f t="array" aca="1" ref="P36" ca="1">INDEX(auto_DataFlat_Score,$F36+P$18,$B$12)</f>
        <v>100</v>
      </c>
      <c r="Q36" s="161" cm="1">
        <f t="array" aca="1" ref="Q36" ca="1">INDEX(auto_DataFlat_Score,$F36+Q$18,$B$12)</f>
        <v>100</v>
      </c>
      <c r="R36" s="161" cm="1">
        <f t="array" aca="1" ref="R36" ca="1">INDEX(auto_DataFlat_Score,$F36+R$18,$B$12)</f>
        <v>100</v>
      </c>
      <c r="S36" s="161" cm="1">
        <f t="array" aca="1" ref="S36" ca="1">INDEX(auto_DataFlat_Score,$F36+S$18,$B$12)</f>
        <v>100</v>
      </c>
      <c r="T36" s="161" cm="1">
        <f t="array" aca="1" ref="T36" ca="1">INDEX(auto_DataFlat_Score,$F36+T$18,$B$12)</f>
        <v>0</v>
      </c>
      <c r="U36" s="161" cm="1">
        <f t="array" aca="1" ref="U36" ca="1">INDEX(auto_DataFlat_Score,$F36+U$18,$B$12)</f>
        <v>0</v>
      </c>
      <c r="V36" s="161" cm="1">
        <f t="array" aca="1" ref="V36" ca="1">INDEX(auto_DataFlat_Score,$F36+V$18,$B$12)</f>
        <v>0</v>
      </c>
      <c r="W36" s="161" cm="1">
        <f t="array" aca="1" ref="W36" ca="1">INDEX(auto_DataFlat_Score,$F36+W$18,$B$12)</f>
        <v>50</v>
      </c>
      <c r="X36" s="161" cm="1">
        <f t="array" aca="1" ref="X36" ca="1">INDEX(auto_DataFlat_Score,$F36+X$18,$B$12)</f>
        <v>100</v>
      </c>
      <c r="Y36" s="161" cm="1">
        <f t="array" aca="1" ref="Y36" ca="1">INDEX(auto_DataFlat_Score,$F36+Y$18,$B$12)</f>
        <v>100</v>
      </c>
      <c r="Z36" s="161" cm="1">
        <f t="array" aca="1" ref="Z36" ca="1">INDEX(auto_DataFlat_Score,$F36+Z$18,$B$12)</f>
        <v>50</v>
      </c>
      <c r="AA36" s="161" cm="1">
        <f t="array" aca="1" ref="AA36" ca="1">INDEX(auto_DataFlat_Score,$F36+AA$18,$B$12)</f>
        <v>100</v>
      </c>
      <c r="AB36" s="161" cm="1">
        <f t="array" aca="1" ref="AB36" ca="1">INDEX(auto_DataFlat_Score,$F36+AB$18,$B$12)</f>
        <v>100</v>
      </c>
      <c r="AC36" s="161" cm="1">
        <f t="array" aca="1" ref="AC36" ca="1">INDEX(auto_DataFlat_Score,$F36+AC$18,$B$12)</f>
        <v>100</v>
      </c>
      <c r="AD36" s="161" cm="1">
        <f t="array" aca="1" ref="AD36" ca="1">INDEX(auto_DataFlat_Score,$F36+AD$18,$B$12)</f>
        <v>50</v>
      </c>
      <c r="AE36" s="161" cm="1">
        <f t="array" aca="1" ref="AE36" ca="1">INDEX(auto_DataFlat_Score,$F36+AE$18,$B$12)</f>
        <v>0</v>
      </c>
      <c r="AF36" s="161" cm="1">
        <f t="array" aca="1" ref="AF36" ca="1">INDEX(auto_DataFlat_Score,$F36+AF$18,$B$12)</f>
        <v>100</v>
      </c>
      <c r="AG36" s="161" cm="1">
        <f t="array" aca="1" ref="AG36" ca="1">INDEX(auto_DataFlat_Score,$F36+AG$18,$B$12)</f>
        <v>0</v>
      </c>
      <c r="AH36" s="161" cm="1">
        <f t="array" aca="1" ref="AH36" ca="1">INDEX(auto_DataFlat_Score,$F36+AH$18,$B$12)</f>
        <v>0</v>
      </c>
      <c r="AI36" s="161" cm="1">
        <f t="array" aca="1" ref="AI36" ca="1">INDEX(auto_DataFlat_Score,$F36+AI$18,$B$12)</f>
        <v>0</v>
      </c>
      <c r="AJ36" s="161" cm="1">
        <f t="array" aca="1" ref="AJ36" ca="1">INDEX(auto_DataFlat_Score,$F36+AJ$18,$B$12)</f>
        <v>100</v>
      </c>
      <c r="AK36" s="161" cm="1">
        <f t="array" aca="1" ref="AK36" ca="1">INDEX(auto_DataFlat_Score,$F36+AK$18,$B$12)</f>
        <v>100</v>
      </c>
      <c r="AL36" s="161" cm="1">
        <f t="array" aca="1" ref="AL36" ca="1">INDEX(auto_DataFlat_Score,$F36+AL$18,$B$12)</f>
        <v>100</v>
      </c>
      <c r="AM36" s="161" cm="1">
        <f t="array" aca="1" ref="AM36" ca="1">INDEX(auto_DataFlat_Score,$F36+AM$18,$B$12)</f>
        <v>100</v>
      </c>
      <c r="AN36" s="161" cm="1">
        <f t="array" aca="1" ref="AN36" ca="1">INDEX(auto_DataFlat_Score,$F36+AN$18,$B$12)</f>
        <v>100</v>
      </c>
      <c r="AO36" s="161" cm="1">
        <f t="array" aca="1" ref="AO36" ca="1">INDEX(auto_DataFlat_Score,$F36+AO$18,$B$12)</f>
        <v>100</v>
      </c>
      <c r="AP36" s="161" cm="1">
        <f t="array" aca="1" ref="AP36" ca="1">INDEX(auto_DataFlat_Score,$F36+AP$18,$B$12)</f>
        <v>0</v>
      </c>
      <c r="AQ36" s="161" cm="1">
        <f t="array" aca="1" ref="AQ36" ca="1">INDEX(auto_DataFlat_Score,$F36+AQ$18,$B$12)</f>
        <v>100</v>
      </c>
      <c r="AR36" s="161" cm="1">
        <f t="array" aca="1" ref="AR36" ca="1">INDEX(auto_DataFlat_Score,$F36+AR$18,$B$12)</f>
        <v>100</v>
      </c>
      <c r="AS36" s="161" cm="1">
        <f t="array" aca="1" ref="AS36" ca="1">INDEX(auto_DataFlat_Score,$F36+AS$18,$B$12)</f>
        <v>100</v>
      </c>
      <c r="AT36" s="161" cm="1">
        <f t="array" aca="1" ref="AT36" ca="1">INDEX(auto_DataFlat_Score,$F36+AT$18,$B$12)</f>
        <v>100</v>
      </c>
      <c r="AU36" s="161" cm="1">
        <f t="array" aca="1" ref="AU36" ca="1">INDEX(auto_DataFlat_Score,$F36+AU$18,$B$12)</f>
        <v>0</v>
      </c>
      <c r="AV36" s="161" cm="1">
        <f t="array" aca="1" ref="AV36" ca="1">INDEX(auto_DataFlat_Score,$F36+AV$18,$B$12)</f>
        <v>0</v>
      </c>
      <c r="AW36" s="161" cm="1">
        <f t="array" aca="1" ref="AW36" ca="1">INDEX(auto_DataFlat_Score,$F36+AW$18,$B$12)</f>
        <v>100</v>
      </c>
      <c r="AX36" s="161" cm="1">
        <f t="array" aca="1" ref="AX36" ca="1">INDEX(auto_DataFlat_Score,$F36+AX$18,$B$12)</f>
        <v>100</v>
      </c>
      <c r="AY36" s="161" cm="1">
        <f t="array" aca="1" ref="AY36" ca="1">INDEX(auto_DataFlat_Score,$F36+AY$18,$B$12)</f>
        <v>100</v>
      </c>
      <c r="AZ36" s="161" cm="1">
        <f t="array" aca="1" ref="AZ36" ca="1">INDEX(auto_DataFlat_Score,$F36+AZ$18,$B$12)</f>
        <v>100</v>
      </c>
      <c r="BA36" s="161" cm="1">
        <f t="array" aca="1" ref="BA36" ca="1">INDEX(auto_DataFlat_Score,$F36+BA$18,$B$12)</f>
        <v>100</v>
      </c>
      <c r="BB36" s="161" cm="1">
        <f t="array" aca="1" ref="BB36" ca="1">INDEX(auto_DataFlat_Score,$F36+BB$18,$B$12)</f>
        <v>100</v>
      </c>
      <c r="BC36" s="161" cm="1">
        <f t="array" aca="1" ref="BC36" ca="1">INDEX(auto_DataFlat_Score,$F36+BC$18,$B$12)</f>
        <v>100</v>
      </c>
      <c r="BD36" s="161" cm="1">
        <f t="array" aca="1" ref="BD36" ca="1">INDEX(auto_DataFlat_Score,$F36+BD$18,$B$12)</f>
        <v>100</v>
      </c>
      <c r="BE36" s="161" cm="1">
        <f t="array" aca="1" ref="BE36" ca="1">INDEX(auto_DataFlat_Score,$F36+BE$18,$B$12)</f>
        <v>100</v>
      </c>
      <c r="BF36" s="161" cm="1">
        <f t="array" aca="1" ref="BF36" ca="1">INDEX(auto_DataFlat_Score,$F36+BF$18,$B$12)</f>
        <v>100</v>
      </c>
      <c r="BG36" s="161" cm="1">
        <f t="array" aca="1" ref="BG36" ca="1">INDEX(auto_DataFlat_Score,$F36+BG$18,$B$12)</f>
        <v>100</v>
      </c>
      <c r="BH36" s="161" cm="1">
        <f t="array" aca="1" ref="BH36" ca="1">INDEX(auto_DataFlat_Score,$F36+BH$18,$B$12)</f>
        <v>0</v>
      </c>
    </row>
    <row r="37" spans="1:60" ht="17.05" customHeight="1" x14ac:dyDescent="0.4">
      <c r="A37" t="str">
        <f t="shared" ca="1" si="2"/>
        <v/>
      </c>
      <c r="B37" s="49"/>
      <c r="C37" s="4">
        <v>18</v>
      </c>
      <c r="D37" s="49" cm="1">
        <f t="array" aca="1" ref="D37" ca="1">INDEX(OFFSET(auto_ss_score_table,0,1,500,1),C37)</f>
        <v>18</v>
      </c>
      <c r="E37" s="26" cm="1">
        <f t="array" aca="1" ref="E37" ca="1">INDEX(auto_tblSeries,$D37,$E$18)</f>
        <v>2</v>
      </c>
      <c r="F37" s="101" cm="1">
        <f t="array" aca="1" ref="F37" ca="1">INDEX(sys_DataFlat_LU_Grid,$D37,1)-1</f>
        <v>1020</v>
      </c>
      <c r="G37" s="26"/>
      <c r="H37" s="148" t="str" cm="1">
        <f t="array" aca="1" ref="H37" ca="1">INDEX(auto_Series_NameNumbered,$D37)</f>
        <v>2.4) Food security</v>
      </c>
      <c r="I37" s="159">
        <f ca="1">OFFSET(iWeights!$G$18,$D37-1,0,1,1)</f>
        <v>0.2</v>
      </c>
      <c r="J37" s="160">
        <f ca="1">IF(E37=0,"-",OFFSET(iWeights!$U$18,$D37-1,0,1,1))</f>
        <v>3.2258064516129031E-2</v>
      </c>
      <c r="K37" s="161" cm="1">
        <f t="array" aca="1" ref="K37" ca="1">INDEX(auto_DataFlat_Score,$F37+K$18,$B$12)</f>
        <v>71</v>
      </c>
      <c r="L37" s="161" cm="1">
        <f t="array" aca="1" ref="L37" ca="1">INDEX(auto_DataFlat_Score,$F37+L$18,$B$12)</f>
        <v>40.299999999999997</v>
      </c>
      <c r="M37" s="161" cm="1">
        <f t="array" aca="1" ref="M37" ca="1">INDEX(auto_DataFlat_Score,$F37+M$18,$B$12)</f>
        <v>46.1</v>
      </c>
      <c r="N37" s="161" cm="1">
        <f t="array" aca="1" ref="N37" ca="1">INDEX(auto_DataFlat_Score,$F37+N$18,$B$12)</f>
        <v>42.5</v>
      </c>
      <c r="O37" s="161" cm="1">
        <f t="array" aca="1" ref="O37" ca="1">INDEX(auto_DataFlat_Score,$F37+O$18,$B$12)</f>
        <v>46.5</v>
      </c>
      <c r="P37" s="161" cm="1">
        <f t="array" aca="1" ref="P37" ca="1">INDEX(auto_DataFlat_Score,$F37+P$18,$B$12)</f>
        <v>47.1</v>
      </c>
      <c r="Q37" s="161" cm="1">
        <f t="array" aca="1" ref="Q37" ca="1">INDEX(auto_DataFlat_Score,$F37+Q$18,$B$12)</f>
        <v>48.1</v>
      </c>
      <c r="R37" s="161" cm="1">
        <f t="array" aca="1" ref="R37" ca="1">INDEX(auto_DataFlat_Score,$F37+R$18,$B$12)</f>
        <v>81.8</v>
      </c>
      <c r="S37" s="161" cm="1">
        <f t="array" aca="1" ref="S37" ca="1">INDEX(auto_DataFlat_Score,$F37+S$18,$B$12)</f>
        <v>43.7</v>
      </c>
      <c r="T37" s="161" cm="1">
        <f t="array" aca="1" ref="T37" ca="1">INDEX(auto_DataFlat_Score,$F37+T$18,$B$12)</f>
        <v>35.799999999999997</v>
      </c>
      <c r="U37" s="161" cm="1">
        <f t="array" aca="1" ref="U37" ca="1">INDEX(auto_DataFlat_Score,$F37+U$18,$B$12)</f>
        <v>44.6</v>
      </c>
      <c r="V37" s="161" cm="1">
        <f t="array" aca="1" ref="V37" ca="1">INDEX(auto_DataFlat_Score,$F37+V$18,$B$12)</f>
        <v>36.200000000000003</v>
      </c>
      <c r="W37" s="161" cm="1">
        <f t="array" aca="1" ref="W37" ca="1">INDEX(auto_DataFlat_Score,$F37+W$18,$B$12)</f>
        <v>84.5</v>
      </c>
      <c r="X37" s="161" cm="1">
        <f t="array" aca="1" ref="X37" ca="1">INDEX(auto_DataFlat_Score,$F37+X$18,$B$12)</f>
        <v>45.1</v>
      </c>
      <c r="Y37" s="161" cm="1">
        <f t="array" aca="1" ref="Y37" ca="1">INDEX(auto_DataFlat_Score,$F37+Y$18,$B$12)</f>
        <v>44.8</v>
      </c>
      <c r="Z37" s="161" cm="1">
        <f t="array" aca="1" ref="Z37" ca="1">INDEX(auto_DataFlat_Score,$F37+Z$18,$B$12)</f>
        <v>45.5</v>
      </c>
      <c r="AA37" s="161" cm="1">
        <f t="array" aca="1" ref="AA37" ca="1">INDEX(auto_DataFlat_Score,$F37+AA$18,$B$12)</f>
        <v>47.1</v>
      </c>
      <c r="AB37" s="161" cm="1">
        <f t="array" aca="1" ref="AB37" ca="1">INDEX(auto_DataFlat_Score,$F37+AB$18,$B$12)</f>
        <v>46</v>
      </c>
      <c r="AC37" s="161" cm="1">
        <f t="array" aca="1" ref="AC37" ca="1">INDEX(auto_DataFlat_Score,$F37+AC$18,$B$12)</f>
        <v>97.6</v>
      </c>
      <c r="AD37" s="161" cm="1">
        <f t="array" aca="1" ref="AD37" ca="1">INDEX(auto_DataFlat_Score,$F37+AD$18,$B$12)</f>
        <v>89.9</v>
      </c>
      <c r="AE37" s="161" cm="1">
        <f t="array" aca="1" ref="AE37" ca="1">INDEX(auto_DataFlat_Score,$F37+AE$18,$B$12)</f>
        <v>78.900000000000006</v>
      </c>
      <c r="AF37" s="161" cm="1">
        <f t="array" aca="1" ref="AF37" ca="1">INDEX(auto_DataFlat_Score,$F37+AF$18,$B$12)</f>
        <v>31.3</v>
      </c>
      <c r="AG37" s="161" cm="1">
        <f t="array" aca="1" ref="AG37" ca="1">INDEX(auto_DataFlat_Score,$F37+AG$18,$B$12)</f>
        <v>36.200000000000003</v>
      </c>
      <c r="AH37" s="161" cm="1">
        <f t="array" aca="1" ref="AH37" ca="1">INDEX(auto_DataFlat_Score,$F37+AH$18,$B$12)</f>
        <v>44.6</v>
      </c>
      <c r="AI37" s="161" cm="1">
        <f t="array" aca="1" ref="AI37" ca="1">INDEX(auto_DataFlat_Score,$F37+AI$18,$B$12)</f>
        <v>65.2</v>
      </c>
      <c r="AJ37" s="161" cm="1">
        <f t="array" aca="1" ref="AJ37" ca="1">INDEX(auto_DataFlat_Score,$F37+AJ$18,$B$12)</f>
        <v>98</v>
      </c>
      <c r="AK37" s="161" cm="1">
        <f t="array" aca="1" ref="AK37" ca="1">INDEX(auto_DataFlat_Score,$F37+AK$18,$B$12)</f>
        <v>96</v>
      </c>
      <c r="AL37" s="161" cm="1">
        <f t="array" aca="1" ref="AL37" ca="1">INDEX(auto_DataFlat_Score,$F37+AL$18,$B$12)</f>
        <v>77.7</v>
      </c>
      <c r="AM37" s="161" cm="1">
        <f t="array" aca="1" ref="AM37" ca="1">INDEX(auto_DataFlat_Score,$F37+AM$18,$B$12)</f>
        <v>94.3</v>
      </c>
      <c r="AN37" s="161" cm="1">
        <f t="array" aca="1" ref="AN37" ca="1">INDEX(auto_DataFlat_Score,$F37+AN$18,$B$12)</f>
        <v>86.2</v>
      </c>
      <c r="AO37" s="161" cm="1">
        <f t="array" aca="1" ref="AO37" ca="1">INDEX(auto_DataFlat_Score,$F37+AO$18,$B$12)</f>
        <v>47.5</v>
      </c>
      <c r="AP37" s="161" cm="1">
        <f t="array" aca="1" ref="AP37" ca="1">INDEX(auto_DataFlat_Score,$F37+AP$18,$B$12)</f>
        <v>36.200000000000003</v>
      </c>
      <c r="AQ37" s="161" cm="1">
        <f t="array" aca="1" ref="AQ37" ca="1">INDEX(auto_DataFlat_Score,$F37+AQ$18,$B$12)</f>
        <v>13.9</v>
      </c>
      <c r="AR37" s="161" cm="1">
        <f t="array" aca="1" ref="AR37" ca="1">INDEX(auto_DataFlat_Score,$F37+AR$18,$B$12)</f>
        <v>96.1</v>
      </c>
      <c r="AS37" s="161" cm="1">
        <f t="array" aca="1" ref="AS37" ca="1">INDEX(auto_DataFlat_Score,$F37+AS$18,$B$12)</f>
        <v>47.8</v>
      </c>
      <c r="AT37" s="161" cm="1">
        <f t="array" aca="1" ref="AT37" ca="1">INDEX(auto_DataFlat_Score,$F37+AT$18,$B$12)</f>
        <v>96.7</v>
      </c>
      <c r="AU37" s="161" cm="1">
        <f t="array" aca="1" ref="AU37" ca="1">INDEX(auto_DataFlat_Score,$F37+AU$18,$B$12)</f>
        <v>74.5</v>
      </c>
      <c r="AV37" s="161" cm="1">
        <f t="array" aca="1" ref="AV37" ca="1">INDEX(auto_DataFlat_Score,$F37+AV$18,$B$12)</f>
        <v>36.299999999999997</v>
      </c>
      <c r="AW37" s="161" cm="1">
        <f t="array" aca="1" ref="AW37" ca="1">INDEX(auto_DataFlat_Score,$F37+AW$18,$B$12)</f>
        <v>97.2</v>
      </c>
      <c r="AX37" s="161" cm="1">
        <f t="array" aca="1" ref="AX37" ca="1">INDEX(auto_DataFlat_Score,$F37+AX$18,$B$12)</f>
        <v>96.1</v>
      </c>
      <c r="AY37" s="161" cm="1">
        <f t="array" aca="1" ref="AY37" ca="1">INDEX(auto_DataFlat_Score,$F37+AY$18,$B$12)</f>
        <v>83.6</v>
      </c>
      <c r="AZ37" s="161" cm="1">
        <f t="array" aca="1" ref="AZ37" ca="1">INDEX(auto_DataFlat_Score,$F37+AZ$18,$B$12)</f>
        <v>47.2</v>
      </c>
      <c r="BA37" s="161" cm="1">
        <f t="array" aca="1" ref="BA37" ca="1">INDEX(auto_DataFlat_Score,$F37+BA$18,$B$12)</f>
        <v>47.1</v>
      </c>
      <c r="BB37" s="161" cm="1">
        <f t="array" aca="1" ref="BB37" ca="1">INDEX(auto_DataFlat_Score,$F37+BB$18,$B$12)</f>
        <v>96.7</v>
      </c>
      <c r="BC37" s="161" cm="1">
        <f t="array" aca="1" ref="BC37" ca="1">INDEX(auto_DataFlat_Score,$F37+BC$18,$B$12)</f>
        <v>44.3</v>
      </c>
      <c r="BD37" s="161" cm="1">
        <f t="array" aca="1" ref="BD37" ca="1">INDEX(auto_DataFlat_Score,$F37+BD$18,$B$12)</f>
        <v>47.8</v>
      </c>
      <c r="BE37" s="161" cm="1">
        <f t="array" aca="1" ref="BE37" ca="1">INDEX(auto_DataFlat_Score,$F37+BE$18,$B$12)</f>
        <v>96.2</v>
      </c>
      <c r="BF37" s="161" cm="1">
        <f t="array" aca="1" ref="BF37" ca="1">INDEX(auto_DataFlat_Score,$F37+BF$18,$B$12)</f>
        <v>47.9</v>
      </c>
      <c r="BG37" s="161" cm="1">
        <f t="array" aca="1" ref="BG37" ca="1">INDEX(auto_DataFlat_Score,$F37+BG$18,$B$12)</f>
        <v>47.1</v>
      </c>
      <c r="BH37" s="161" cm="1">
        <f t="array" aca="1" ref="BH37" ca="1">INDEX(auto_DataFlat_Score,$F37+BH$18,$B$12)</f>
        <v>85.4</v>
      </c>
    </row>
    <row r="38" spans="1:60" ht="17.05" customHeight="1" x14ac:dyDescent="0.4">
      <c r="A38" t="str">
        <f t="shared" ca="1" si="2"/>
        <v/>
      </c>
      <c r="B38" s="49"/>
      <c r="C38" s="4">
        <v>19</v>
      </c>
      <c r="D38" s="49" cm="1">
        <f t="array" aca="1" ref="D38" ca="1">INDEX(OFFSET(auto_ss_score_table,0,1,500,1),C38)</f>
        <v>19</v>
      </c>
      <c r="E38" s="26" cm="1">
        <f t="array" aca="1" ref="E38" ca="1">INDEX(auto_tblSeries,$D38,$E$18)</f>
        <v>3</v>
      </c>
      <c r="F38" s="101" cm="1">
        <f t="array" aca="1" ref="F38" ca="1">INDEX(sys_DataFlat_LU_Grid,$D38,1)-1</f>
        <v>1080</v>
      </c>
      <c r="G38" s="26"/>
      <c r="H38" s="151" t="str" cm="1">
        <f t="array" aca="1" ref="H38" ca="1">INDEX(auto_Series_NameNumbered,$D38)</f>
        <v>2.4a) Food security: national data</v>
      </c>
      <c r="I38" s="162">
        <f ca="1">IF(D38=1,"-",OFFSET(iWeights!$G$18,$D38-1,0,1,1))</f>
        <v>0.5</v>
      </c>
      <c r="J38" s="163">
        <f ca="1">IF(E38=0,"-",OFFSET(iWeights!$U$18,$D38-1,0,1,1))</f>
        <v>1.6129032258064516E-2</v>
      </c>
      <c r="K38" s="164" cm="1">
        <f t="array" aca="1" ref="K38" ca="1">INDEX(auto_DataFlat_Score,$F38+K$18,$B$12)</f>
        <v>41.9</v>
      </c>
      <c r="L38" s="164" cm="1">
        <f t="array" aca="1" ref="L38" ca="1">INDEX(auto_DataFlat_Score,$F38+L$18,$B$12)</f>
        <v>80.599999999999994</v>
      </c>
      <c r="M38" s="164" cm="1">
        <f t="array" aca="1" ref="M38" ca="1">INDEX(auto_DataFlat_Score,$F38+M$18,$B$12)</f>
        <v>92.2</v>
      </c>
      <c r="N38" s="164" cm="1">
        <f t="array" aca="1" ref="N38" ca="1">INDEX(auto_DataFlat_Score,$F38+N$18,$B$12)</f>
        <v>84.9</v>
      </c>
      <c r="O38" s="164" cm="1">
        <f t="array" aca="1" ref="O38" ca="1">INDEX(auto_DataFlat_Score,$F38+O$18,$B$12)</f>
        <v>92.9</v>
      </c>
      <c r="P38" s="164" cm="1">
        <f t="array" aca="1" ref="P38" ca="1">INDEX(auto_DataFlat_Score,$F38+P$18,$B$12)</f>
        <v>94.1</v>
      </c>
      <c r="Q38" s="164" cm="1">
        <f t="array" aca="1" ref="Q38" ca="1">INDEX(auto_DataFlat_Score,$F38+Q$18,$B$12)</f>
        <v>96.2</v>
      </c>
      <c r="R38" s="164" cm="1">
        <f t="array" aca="1" ref="R38" ca="1">INDEX(auto_DataFlat_Score,$F38+R$18,$B$12)</f>
        <v>63.6</v>
      </c>
      <c r="S38" s="164" cm="1">
        <f t="array" aca="1" ref="S38" ca="1">INDEX(auto_DataFlat_Score,$F38+S$18,$B$12)</f>
        <v>87.4</v>
      </c>
      <c r="T38" s="164" cm="1">
        <f t="array" aca="1" ref="T38" ca="1">INDEX(auto_DataFlat_Score,$F38+T$18,$B$12)</f>
        <v>71.5</v>
      </c>
      <c r="U38" s="164" cm="1">
        <f t="array" aca="1" ref="U38" ca="1">INDEX(auto_DataFlat_Score,$F38+U$18,$B$12)</f>
        <v>89.1</v>
      </c>
      <c r="V38" s="164" cm="1">
        <f t="array" aca="1" ref="V38" ca="1">INDEX(auto_DataFlat_Score,$F38+V$18,$B$12)</f>
        <v>72.3</v>
      </c>
      <c r="W38" s="164" cm="1">
        <f t="array" aca="1" ref="W38" ca="1">INDEX(auto_DataFlat_Score,$F38+W$18,$B$12)</f>
        <v>68.900000000000006</v>
      </c>
      <c r="X38" s="164" cm="1">
        <f t="array" aca="1" ref="X38" ca="1">INDEX(auto_DataFlat_Score,$F38+X$18,$B$12)</f>
        <v>90.2</v>
      </c>
      <c r="Y38" s="164" cm="1">
        <f t="array" aca="1" ref="Y38" ca="1">INDEX(auto_DataFlat_Score,$F38+Y$18,$B$12)</f>
        <v>89.5</v>
      </c>
      <c r="Z38" s="164" cm="1">
        <f t="array" aca="1" ref="Z38" ca="1">INDEX(auto_DataFlat_Score,$F38+Z$18,$B$12)</f>
        <v>91</v>
      </c>
      <c r="AA38" s="164" cm="1">
        <f t="array" aca="1" ref="AA38" ca="1">INDEX(auto_DataFlat_Score,$F38+AA$18,$B$12)</f>
        <v>94.1</v>
      </c>
      <c r="AB38" s="164" cm="1">
        <f t="array" aca="1" ref="AB38" ca="1">INDEX(auto_DataFlat_Score,$F38+AB$18,$B$12)</f>
        <v>91.9</v>
      </c>
      <c r="AC38" s="164" cm="1">
        <f t="array" aca="1" ref="AC38" ca="1">INDEX(auto_DataFlat_Score,$F38+AC$18,$B$12)</f>
        <v>95.1</v>
      </c>
      <c r="AD38" s="164" cm="1">
        <f t="array" aca="1" ref="AD38" ca="1">INDEX(auto_DataFlat_Score,$F38+AD$18,$B$12)</f>
        <v>79.7</v>
      </c>
      <c r="AE38" s="164" cm="1">
        <f t="array" aca="1" ref="AE38" ca="1">INDEX(auto_DataFlat_Score,$F38+AE$18,$B$12)</f>
        <v>57.7</v>
      </c>
      <c r="AF38" s="164" cm="1">
        <f t="array" aca="1" ref="AF38" ca="1">INDEX(auto_DataFlat_Score,$F38+AF$18,$B$12)</f>
        <v>62.6</v>
      </c>
      <c r="AG38" s="164" cm="1">
        <f t="array" aca="1" ref="AG38" ca="1">INDEX(auto_DataFlat_Score,$F38+AG$18,$B$12)</f>
        <v>72.3</v>
      </c>
      <c r="AH38" s="164" cm="1">
        <f t="array" aca="1" ref="AH38" ca="1">INDEX(auto_DataFlat_Score,$F38+AH$18,$B$12)</f>
        <v>89.1</v>
      </c>
      <c r="AI38" s="164" cm="1">
        <f t="array" aca="1" ref="AI38" ca="1">INDEX(auto_DataFlat_Score,$F38+AI$18,$B$12)</f>
        <v>30.3</v>
      </c>
      <c r="AJ38" s="164" cm="1">
        <f t="array" aca="1" ref="AJ38" ca="1">INDEX(auto_DataFlat_Score,$F38+AJ$18,$B$12)</f>
        <v>95.9</v>
      </c>
      <c r="AK38" s="164" cm="1">
        <f t="array" aca="1" ref="AK38" ca="1">INDEX(auto_DataFlat_Score,$F38+AK$18,$B$12)</f>
        <v>92</v>
      </c>
      <c r="AL38" s="164" cm="1">
        <f t="array" aca="1" ref="AL38" ca="1">INDEX(auto_DataFlat_Score,$F38+AL$18,$B$12)</f>
        <v>55.3</v>
      </c>
      <c r="AM38" s="164" cm="1">
        <f t="array" aca="1" ref="AM38" ca="1">INDEX(auto_DataFlat_Score,$F38+AM$18,$B$12)</f>
        <v>88.6</v>
      </c>
      <c r="AN38" s="164" cm="1">
        <f t="array" aca="1" ref="AN38" ca="1">INDEX(auto_DataFlat_Score,$F38+AN$18,$B$12)</f>
        <v>72.400000000000006</v>
      </c>
      <c r="AO38" s="164" cm="1">
        <f t="array" aca="1" ref="AO38" ca="1">INDEX(auto_DataFlat_Score,$F38+AO$18,$B$12)</f>
        <v>95</v>
      </c>
      <c r="AP38" s="164" cm="1">
        <f t="array" aca="1" ref="AP38" ca="1">INDEX(auto_DataFlat_Score,$F38+AP$18,$B$12)</f>
        <v>72.3</v>
      </c>
      <c r="AQ38" s="164" cm="1">
        <f t="array" aca="1" ref="AQ38" ca="1">INDEX(auto_DataFlat_Score,$F38+AQ$18,$B$12)</f>
        <v>27.7</v>
      </c>
      <c r="AR38" s="164" cm="1">
        <f t="array" aca="1" ref="AR38" ca="1">INDEX(auto_DataFlat_Score,$F38+AR$18,$B$12)</f>
        <v>92.2</v>
      </c>
      <c r="AS38" s="164" cm="1">
        <f t="array" aca="1" ref="AS38" ca="1">INDEX(auto_DataFlat_Score,$F38+AS$18,$B$12)</f>
        <v>95.6</v>
      </c>
      <c r="AT38" s="164" cm="1">
        <f t="array" aca="1" ref="AT38" ca="1">INDEX(auto_DataFlat_Score,$F38+AT$18,$B$12)</f>
        <v>93.4</v>
      </c>
      <c r="AU38" s="164" cm="1">
        <f t="array" aca="1" ref="AU38" ca="1">INDEX(auto_DataFlat_Score,$F38+AU$18,$B$12)</f>
        <v>48.9</v>
      </c>
      <c r="AV38" s="164" cm="1">
        <f t="array" aca="1" ref="AV38" ca="1">INDEX(auto_DataFlat_Score,$F38+AV$18,$B$12)</f>
        <v>72.599999999999994</v>
      </c>
      <c r="AW38" s="164" cm="1">
        <f t="array" aca="1" ref="AW38" ca="1">INDEX(auto_DataFlat_Score,$F38+AW$18,$B$12)</f>
        <v>94.3</v>
      </c>
      <c r="AX38" s="164" cm="1">
        <f t="array" aca="1" ref="AX38" ca="1">INDEX(auto_DataFlat_Score,$F38+AX$18,$B$12)</f>
        <v>92.2</v>
      </c>
      <c r="AY38" s="164" cm="1">
        <f t="array" aca="1" ref="AY38" ca="1">INDEX(auto_DataFlat_Score,$F38+AY$18,$B$12)</f>
        <v>67.2</v>
      </c>
      <c r="AZ38" s="164" cm="1">
        <f t="array" aca="1" ref="AZ38" ca="1">INDEX(auto_DataFlat_Score,$F38+AZ$18,$B$12)</f>
        <v>94.4</v>
      </c>
      <c r="BA38" s="164" cm="1">
        <f t="array" aca="1" ref="BA38" ca="1">INDEX(auto_DataFlat_Score,$F38+BA$18,$B$12)</f>
        <v>94.1</v>
      </c>
      <c r="BB38" s="164" cm="1">
        <f t="array" aca="1" ref="BB38" ca="1">INDEX(auto_DataFlat_Score,$F38+BB$18,$B$12)</f>
        <v>93.4</v>
      </c>
      <c r="BC38" s="164" cm="1">
        <f t="array" aca="1" ref="BC38" ca="1">INDEX(auto_DataFlat_Score,$F38+BC$18,$B$12)</f>
        <v>88.6</v>
      </c>
      <c r="BD38" s="164" cm="1">
        <f t="array" aca="1" ref="BD38" ca="1">INDEX(auto_DataFlat_Score,$F38+BD$18,$B$12)</f>
        <v>95.6</v>
      </c>
      <c r="BE38" s="164" cm="1">
        <f t="array" aca="1" ref="BE38" ca="1">INDEX(auto_DataFlat_Score,$F38+BE$18,$B$12)</f>
        <v>92.3</v>
      </c>
      <c r="BF38" s="164" cm="1">
        <f t="array" aca="1" ref="BF38" ca="1">INDEX(auto_DataFlat_Score,$F38+BF$18,$B$12)</f>
        <v>95.7</v>
      </c>
      <c r="BG38" s="164" cm="1">
        <f t="array" aca="1" ref="BG38" ca="1">INDEX(auto_DataFlat_Score,$F38+BG$18,$B$12)</f>
        <v>94.1</v>
      </c>
      <c r="BH38" s="164" cm="1">
        <f t="array" aca="1" ref="BH38" ca="1">INDEX(auto_DataFlat_Score,$F38+BH$18,$B$12)</f>
        <v>70.7</v>
      </c>
    </row>
    <row r="39" spans="1:60" ht="17.05" customHeight="1" x14ac:dyDescent="0.4">
      <c r="A39" t="str">
        <f t="shared" ca="1" si="2"/>
        <v/>
      </c>
      <c r="B39" s="49"/>
      <c r="C39" s="4">
        <v>20</v>
      </c>
      <c r="D39" s="49" cm="1">
        <f t="array" aca="1" ref="D39" ca="1">INDEX(OFFSET(auto_ss_score_table,0,1,500,1),C39)</f>
        <v>20</v>
      </c>
      <c r="E39" s="26" cm="1">
        <f t="array" aca="1" ref="E39" ca="1">INDEX(auto_tblSeries,$D39,$E$18)</f>
        <v>3</v>
      </c>
      <c r="F39" s="101" cm="1">
        <f t="array" aca="1" ref="F39" ca="1">INDEX(sys_DataFlat_LU_Grid,$D39,1)-1</f>
        <v>1140</v>
      </c>
      <c r="G39" s="26"/>
      <c r="H39" s="151" t="str" cm="1">
        <f t="array" aca="1" ref="H39" ca="1">INDEX(auto_Series_NameNumbered,$D39)</f>
        <v>2.4b) Food security: city-level data availability</v>
      </c>
      <c r="I39" s="162">
        <f ca="1">OFFSET(iWeights!$G$18,$D39-1,0,1,1)</f>
        <v>0.5</v>
      </c>
      <c r="J39" s="163">
        <f ca="1">IF(E39=0,"-",OFFSET(iWeights!$U$18,$D39-1,0,1,1))</f>
        <v>1.6129032258064516E-2</v>
      </c>
      <c r="K39" s="164" cm="1">
        <f t="array" aca="1" ref="K39" ca="1">INDEX(auto_DataFlat_Score,$F39+K$18,$B$12)</f>
        <v>100</v>
      </c>
      <c r="L39" s="164" cm="1">
        <f t="array" aca="1" ref="L39" ca="1">INDEX(auto_DataFlat_Score,$F39+L$18,$B$12)</f>
        <v>0</v>
      </c>
      <c r="M39" s="164" cm="1">
        <f t="array" aca="1" ref="M39" ca="1">INDEX(auto_DataFlat_Score,$F39+M$18,$B$12)</f>
        <v>0</v>
      </c>
      <c r="N39" s="164" cm="1">
        <f t="array" aca="1" ref="N39" ca="1">INDEX(auto_DataFlat_Score,$F39+N$18,$B$12)</f>
        <v>0</v>
      </c>
      <c r="O39" s="164" cm="1">
        <f t="array" aca="1" ref="O39" ca="1">INDEX(auto_DataFlat_Score,$F39+O$18,$B$12)</f>
        <v>0</v>
      </c>
      <c r="P39" s="164" cm="1">
        <f t="array" aca="1" ref="P39" ca="1">INDEX(auto_DataFlat_Score,$F39+P$18,$B$12)</f>
        <v>0</v>
      </c>
      <c r="Q39" s="164" cm="1">
        <f t="array" aca="1" ref="Q39" ca="1">INDEX(auto_DataFlat_Score,$F39+Q$18,$B$12)</f>
        <v>0</v>
      </c>
      <c r="R39" s="164" cm="1">
        <f t="array" aca="1" ref="R39" ca="1">INDEX(auto_DataFlat_Score,$F39+R$18,$B$12)</f>
        <v>100</v>
      </c>
      <c r="S39" s="164" cm="1">
        <f t="array" aca="1" ref="S39" ca="1">INDEX(auto_DataFlat_Score,$F39+S$18,$B$12)</f>
        <v>0</v>
      </c>
      <c r="T39" s="164" cm="1">
        <f t="array" aca="1" ref="T39" ca="1">INDEX(auto_DataFlat_Score,$F39+T$18,$B$12)</f>
        <v>0</v>
      </c>
      <c r="U39" s="164" cm="1">
        <f t="array" aca="1" ref="U39" ca="1">INDEX(auto_DataFlat_Score,$F39+U$18,$B$12)</f>
        <v>0</v>
      </c>
      <c r="V39" s="164" cm="1">
        <f t="array" aca="1" ref="V39" ca="1">INDEX(auto_DataFlat_Score,$F39+V$18,$B$12)</f>
        <v>0</v>
      </c>
      <c r="W39" s="164" cm="1">
        <f t="array" aca="1" ref="W39" ca="1">INDEX(auto_DataFlat_Score,$F39+W$18,$B$12)</f>
        <v>100</v>
      </c>
      <c r="X39" s="164" cm="1">
        <f t="array" aca="1" ref="X39" ca="1">INDEX(auto_DataFlat_Score,$F39+X$18,$B$12)</f>
        <v>0</v>
      </c>
      <c r="Y39" s="164" cm="1">
        <f t="array" aca="1" ref="Y39" ca="1">INDEX(auto_DataFlat_Score,$F39+Y$18,$B$12)</f>
        <v>0</v>
      </c>
      <c r="Z39" s="164" cm="1">
        <f t="array" aca="1" ref="Z39" ca="1">INDEX(auto_DataFlat_Score,$F39+Z$18,$B$12)</f>
        <v>0</v>
      </c>
      <c r="AA39" s="164" cm="1">
        <f t="array" aca="1" ref="AA39" ca="1">INDEX(auto_DataFlat_Score,$F39+AA$18,$B$12)</f>
        <v>0</v>
      </c>
      <c r="AB39" s="164" cm="1">
        <f t="array" aca="1" ref="AB39" ca="1">INDEX(auto_DataFlat_Score,$F39+AB$18,$B$12)</f>
        <v>0</v>
      </c>
      <c r="AC39" s="164" cm="1">
        <f t="array" aca="1" ref="AC39" ca="1">INDEX(auto_DataFlat_Score,$F39+AC$18,$B$12)</f>
        <v>100</v>
      </c>
      <c r="AD39" s="164" cm="1">
        <f t="array" aca="1" ref="AD39" ca="1">INDEX(auto_DataFlat_Score,$F39+AD$18,$B$12)</f>
        <v>100</v>
      </c>
      <c r="AE39" s="164" cm="1">
        <f t="array" aca="1" ref="AE39" ca="1">INDEX(auto_DataFlat_Score,$F39+AE$18,$B$12)</f>
        <v>100</v>
      </c>
      <c r="AF39" s="164" cm="1">
        <f t="array" aca="1" ref="AF39" ca="1">INDEX(auto_DataFlat_Score,$F39+AF$18,$B$12)</f>
        <v>0</v>
      </c>
      <c r="AG39" s="164" cm="1">
        <f t="array" aca="1" ref="AG39" ca="1">INDEX(auto_DataFlat_Score,$F39+AG$18,$B$12)</f>
        <v>0</v>
      </c>
      <c r="AH39" s="164" cm="1">
        <f t="array" aca="1" ref="AH39" ca="1">INDEX(auto_DataFlat_Score,$F39+AH$18,$B$12)</f>
        <v>0</v>
      </c>
      <c r="AI39" s="164" cm="1">
        <f t="array" aca="1" ref="AI39" ca="1">INDEX(auto_DataFlat_Score,$F39+AI$18,$B$12)</f>
        <v>100</v>
      </c>
      <c r="AJ39" s="164" cm="1">
        <f t="array" aca="1" ref="AJ39" ca="1">INDEX(auto_DataFlat_Score,$F39+AJ$18,$B$12)</f>
        <v>100</v>
      </c>
      <c r="AK39" s="164" cm="1">
        <f t="array" aca="1" ref="AK39" ca="1">INDEX(auto_DataFlat_Score,$F39+AK$18,$B$12)</f>
        <v>100</v>
      </c>
      <c r="AL39" s="164" cm="1">
        <f t="array" aca="1" ref="AL39" ca="1">INDEX(auto_DataFlat_Score,$F39+AL$18,$B$12)</f>
        <v>100</v>
      </c>
      <c r="AM39" s="164" cm="1">
        <f t="array" aca="1" ref="AM39" ca="1">INDEX(auto_DataFlat_Score,$F39+AM$18,$B$12)</f>
        <v>100</v>
      </c>
      <c r="AN39" s="164" cm="1">
        <f t="array" aca="1" ref="AN39" ca="1">INDEX(auto_DataFlat_Score,$F39+AN$18,$B$12)</f>
        <v>100</v>
      </c>
      <c r="AO39" s="164" cm="1">
        <f t="array" aca="1" ref="AO39" ca="1">INDEX(auto_DataFlat_Score,$F39+AO$18,$B$12)</f>
        <v>0</v>
      </c>
      <c r="AP39" s="164" cm="1">
        <f t="array" aca="1" ref="AP39" ca="1">INDEX(auto_DataFlat_Score,$F39+AP$18,$B$12)</f>
        <v>0</v>
      </c>
      <c r="AQ39" s="164" cm="1">
        <f t="array" aca="1" ref="AQ39" ca="1">INDEX(auto_DataFlat_Score,$F39+AQ$18,$B$12)</f>
        <v>0</v>
      </c>
      <c r="AR39" s="164" cm="1">
        <f t="array" aca="1" ref="AR39" ca="1">INDEX(auto_DataFlat_Score,$F39+AR$18,$B$12)</f>
        <v>100</v>
      </c>
      <c r="AS39" s="164" cm="1">
        <f t="array" aca="1" ref="AS39" ca="1">INDEX(auto_DataFlat_Score,$F39+AS$18,$B$12)</f>
        <v>0</v>
      </c>
      <c r="AT39" s="164" cm="1">
        <f t="array" aca="1" ref="AT39" ca="1">INDEX(auto_DataFlat_Score,$F39+AT$18,$B$12)</f>
        <v>100</v>
      </c>
      <c r="AU39" s="164" cm="1">
        <f t="array" aca="1" ref="AU39" ca="1">INDEX(auto_DataFlat_Score,$F39+AU$18,$B$12)</f>
        <v>100</v>
      </c>
      <c r="AV39" s="164" cm="1">
        <f t="array" aca="1" ref="AV39" ca="1">INDEX(auto_DataFlat_Score,$F39+AV$18,$B$12)</f>
        <v>0</v>
      </c>
      <c r="AW39" s="164" cm="1">
        <f t="array" aca="1" ref="AW39" ca="1">INDEX(auto_DataFlat_Score,$F39+AW$18,$B$12)</f>
        <v>100</v>
      </c>
      <c r="AX39" s="164" cm="1">
        <f t="array" aca="1" ref="AX39" ca="1">INDEX(auto_DataFlat_Score,$F39+AX$18,$B$12)</f>
        <v>100</v>
      </c>
      <c r="AY39" s="164" cm="1">
        <f t="array" aca="1" ref="AY39" ca="1">INDEX(auto_DataFlat_Score,$F39+AY$18,$B$12)</f>
        <v>100</v>
      </c>
      <c r="AZ39" s="164" cm="1">
        <f t="array" aca="1" ref="AZ39" ca="1">INDEX(auto_DataFlat_Score,$F39+AZ$18,$B$12)</f>
        <v>0</v>
      </c>
      <c r="BA39" s="164" cm="1">
        <f t="array" aca="1" ref="BA39" ca="1">INDEX(auto_DataFlat_Score,$F39+BA$18,$B$12)</f>
        <v>0</v>
      </c>
      <c r="BB39" s="164" cm="1">
        <f t="array" aca="1" ref="BB39" ca="1">INDEX(auto_DataFlat_Score,$F39+BB$18,$B$12)</f>
        <v>100</v>
      </c>
      <c r="BC39" s="164" cm="1">
        <f t="array" aca="1" ref="BC39" ca="1">INDEX(auto_DataFlat_Score,$F39+BC$18,$B$12)</f>
        <v>0</v>
      </c>
      <c r="BD39" s="164" cm="1">
        <f t="array" aca="1" ref="BD39" ca="1">INDEX(auto_DataFlat_Score,$F39+BD$18,$B$12)</f>
        <v>0</v>
      </c>
      <c r="BE39" s="164" cm="1">
        <f t="array" aca="1" ref="BE39" ca="1">INDEX(auto_DataFlat_Score,$F39+BE$18,$B$12)</f>
        <v>100</v>
      </c>
      <c r="BF39" s="164" cm="1">
        <f t="array" aca="1" ref="BF39" ca="1">INDEX(auto_DataFlat_Score,$F39+BF$18,$B$12)</f>
        <v>0</v>
      </c>
      <c r="BG39" s="164" cm="1">
        <f t="array" aca="1" ref="BG39" ca="1">INDEX(auto_DataFlat_Score,$F39+BG$18,$B$12)</f>
        <v>0</v>
      </c>
      <c r="BH39" s="164" cm="1">
        <f t="array" aca="1" ref="BH39" ca="1">INDEX(auto_DataFlat_Score,$F39+BH$18,$B$12)</f>
        <v>100</v>
      </c>
    </row>
    <row r="40" spans="1:60" ht="17.05" customHeight="1" x14ac:dyDescent="0.4">
      <c r="A40" t="str">
        <f t="shared" ca="1" si="2"/>
        <v/>
      </c>
      <c r="B40" s="49"/>
      <c r="C40" s="4">
        <v>21</v>
      </c>
      <c r="D40" s="49" cm="1">
        <f t="array" aca="1" ref="D40" ca="1">INDEX(OFFSET(auto_ss_score_table,0,1,500,1),C40)</f>
        <v>21</v>
      </c>
      <c r="E40" s="26" cm="1">
        <f t="array" aca="1" ref="E40" ca="1">INDEX(auto_tblSeries,$D40,$E$18)</f>
        <v>2</v>
      </c>
      <c r="F40" s="101" cm="1">
        <f t="array" aca="1" ref="F40" ca="1">INDEX(sys_DataFlat_LU_Grid,$D40,1)-1</f>
        <v>1200</v>
      </c>
      <c r="G40" s="26"/>
      <c r="H40" s="148" t="str" cm="1">
        <f t="array" aca="1" ref="H40" ca="1">INDEX(auto_Series_NameNumbered,$D40)</f>
        <v>2.5) Access to public transport</v>
      </c>
      <c r="I40" s="159">
        <f ca="1">IF(D40=1,"-",OFFSET(iWeights!$G$18,$D40-1,0,1,1))</f>
        <v>0.2</v>
      </c>
      <c r="J40" s="160">
        <f ca="1">IF(E40=0,"-",OFFSET(iWeights!$U$18,$D40-1,0,1,1))</f>
        <v>3.2258064516129031E-2</v>
      </c>
      <c r="K40" s="161" cm="1">
        <f t="array" aca="1" ref="K40" ca="1">INDEX(auto_DataFlat_Score,$F40+K$18,$B$12)</f>
        <v>31.5</v>
      </c>
      <c r="L40" s="161" cm="1">
        <f t="array" aca="1" ref="L40" ca="1">INDEX(auto_DataFlat_Score,$F40+L$18,$B$12)</f>
        <v>48</v>
      </c>
      <c r="M40" s="161" cm="1">
        <f t="array" aca="1" ref="M40" ca="1">INDEX(auto_DataFlat_Score,$F40+M$18,$B$12)</f>
        <v>50.9</v>
      </c>
      <c r="N40" s="161" cm="1">
        <f t="array" aca="1" ref="N40" ca="1">INDEX(auto_DataFlat_Score,$F40+N$18,$B$12)</f>
        <v>94.4</v>
      </c>
      <c r="O40" s="161" cm="1">
        <f t="array" aca="1" ref="O40" ca="1">INDEX(auto_DataFlat_Score,$F40+O$18,$B$12)</f>
        <v>26</v>
      </c>
      <c r="P40" s="161" cm="1">
        <f t="array" aca="1" ref="P40" ca="1">INDEX(auto_DataFlat_Score,$F40+P$18,$B$12)</f>
        <v>55.2</v>
      </c>
      <c r="Q40" s="161" cm="1">
        <f t="array" aca="1" ref="Q40" ca="1">INDEX(auto_DataFlat_Score,$F40+Q$18,$B$12)</f>
        <v>92.9</v>
      </c>
      <c r="R40" s="161" cm="1">
        <f t="array" aca="1" ref="R40" ca="1">INDEX(auto_DataFlat_Score,$F40+R$18,$B$12)</f>
        <v>91.4</v>
      </c>
      <c r="S40" s="161" cm="1">
        <f t="array" aca="1" ref="S40" ca="1">INDEX(auto_DataFlat_Score,$F40+S$18,$B$12)</f>
        <v>96.5</v>
      </c>
      <c r="T40" s="161" cm="1">
        <f t="array" aca="1" ref="T40" ca="1">INDEX(auto_DataFlat_Score,$F40+T$18,$B$12)</f>
        <v>21.2</v>
      </c>
      <c r="U40" s="161" cm="1">
        <f t="array" aca="1" ref="U40" ca="1">INDEX(auto_DataFlat_Score,$F40+U$18,$B$12)</f>
        <v>62.6</v>
      </c>
      <c r="V40" s="161" cm="1">
        <f t="array" aca="1" ref="V40" ca="1">INDEX(auto_DataFlat_Score,$F40+V$18,$B$12)</f>
        <v>38.799999999999997</v>
      </c>
      <c r="W40" s="161" cm="1">
        <f t="array" aca="1" ref="W40" ca="1">INDEX(auto_DataFlat_Score,$F40+W$18,$B$12)</f>
        <v>44.8</v>
      </c>
      <c r="X40" s="161" cm="1">
        <f t="array" aca="1" ref="X40" ca="1">INDEX(auto_DataFlat_Score,$F40+X$18,$B$12)</f>
        <v>41.2</v>
      </c>
      <c r="Y40" s="161" cm="1">
        <f t="array" aca="1" ref="Y40" ca="1">INDEX(auto_DataFlat_Score,$F40+Y$18,$B$12)</f>
        <v>95.8</v>
      </c>
      <c r="Z40" s="161" cm="1">
        <f t="array" aca="1" ref="Z40" ca="1">INDEX(auto_DataFlat_Score,$F40+Z$18,$B$12)</f>
        <v>68.7</v>
      </c>
      <c r="AA40" s="161" cm="1">
        <f t="array" aca="1" ref="AA40" ca="1">INDEX(auto_DataFlat_Score,$F40+AA$18,$B$12)</f>
        <v>98.8</v>
      </c>
      <c r="AB40" s="161" cm="1">
        <f t="array" aca="1" ref="AB40" ca="1">INDEX(auto_DataFlat_Score,$F40+AB$18,$B$12)</f>
        <v>91.1</v>
      </c>
      <c r="AC40" s="161" cm="1">
        <f t="array" aca="1" ref="AC40" ca="1">INDEX(auto_DataFlat_Score,$F40+AC$18,$B$12)</f>
        <v>32.9</v>
      </c>
      <c r="AD40" s="161" cm="1">
        <f t="array" aca="1" ref="AD40" ca="1">INDEX(auto_DataFlat_Score,$F40+AD$18,$B$12)</f>
        <v>20.8</v>
      </c>
      <c r="AE40" s="161" cm="1">
        <f t="array" aca="1" ref="AE40" ca="1">INDEX(auto_DataFlat_Score,$F40+AE$18,$B$12)</f>
        <v>67.599999999999994</v>
      </c>
      <c r="AF40" s="161" cm="1">
        <f t="array" aca="1" ref="AF40" ca="1">INDEX(auto_DataFlat_Score,$F40+AF$18,$B$12)</f>
        <v>56.4</v>
      </c>
      <c r="AG40" s="161" cm="1">
        <f t="array" aca="1" ref="AG40" ca="1">INDEX(auto_DataFlat_Score,$F40+AG$18,$B$12)</f>
        <v>54.3</v>
      </c>
      <c r="AH40" s="161" cm="1">
        <f t="array" aca="1" ref="AH40" ca="1">INDEX(auto_DataFlat_Score,$F40+AH$18,$B$12)</f>
        <v>39</v>
      </c>
      <c r="AI40" s="161" cm="1">
        <f t="array" aca="1" ref="AI40" ca="1">INDEX(auto_DataFlat_Score,$F40+AI$18,$B$12)</f>
        <v>38.1</v>
      </c>
      <c r="AJ40" s="161" cm="1">
        <f t="array" aca="1" ref="AJ40" ca="1">INDEX(auto_DataFlat_Score,$F40+AJ$18,$B$12)</f>
        <v>94.8</v>
      </c>
      <c r="AK40" s="161" cm="1">
        <f t="array" aca="1" ref="AK40" ca="1">INDEX(auto_DataFlat_Score,$F40+AK$18,$B$12)</f>
        <v>98.4</v>
      </c>
      <c r="AL40" s="161" cm="1">
        <f t="array" aca="1" ref="AL40" ca="1">INDEX(auto_DataFlat_Score,$F40+AL$18,$B$12)</f>
        <v>32.5</v>
      </c>
      <c r="AM40" s="161" cm="1">
        <f t="array" aca="1" ref="AM40" ca="1">INDEX(auto_DataFlat_Score,$F40+AM$18,$B$12)</f>
        <v>88.9</v>
      </c>
      <c r="AN40" s="161" cm="1">
        <f t="array" aca="1" ref="AN40" ca="1">INDEX(auto_DataFlat_Score,$F40+AN$18,$B$12)</f>
        <v>40.4</v>
      </c>
      <c r="AO40" s="161" cm="1">
        <f t="array" aca="1" ref="AO40" ca="1">INDEX(auto_DataFlat_Score,$F40+AO$18,$B$12)</f>
        <v>85.9</v>
      </c>
      <c r="AP40" s="161" cm="1">
        <f t="array" aca="1" ref="AP40" ca="1">INDEX(auto_DataFlat_Score,$F40+AP$18,$B$12)</f>
        <v>80.900000000000006</v>
      </c>
      <c r="AQ40" s="161" cm="1">
        <f t="array" aca="1" ref="AQ40" ca="1">INDEX(auto_DataFlat_Score,$F40+AQ$18,$B$12)</f>
        <v>58</v>
      </c>
      <c r="AR40" s="161" cm="1">
        <f t="array" aca="1" ref="AR40" ca="1">INDEX(auto_DataFlat_Score,$F40+AR$18,$B$12)</f>
        <v>69.8</v>
      </c>
      <c r="AS40" s="161" cm="1">
        <f t="array" aca="1" ref="AS40" ca="1">INDEX(auto_DataFlat_Score,$F40+AS$18,$B$12)</f>
        <v>69.400000000000006</v>
      </c>
      <c r="AT40" s="161" cm="1">
        <f t="array" aca="1" ref="AT40" ca="1">INDEX(auto_DataFlat_Score,$F40+AT$18,$B$12)</f>
        <v>97.7</v>
      </c>
      <c r="AU40" s="161" cm="1">
        <f t="array" aca="1" ref="AU40" ca="1">INDEX(auto_DataFlat_Score,$F40+AU$18,$B$12)</f>
        <v>35</v>
      </c>
      <c r="AV40" s="161" cm="1">
        <f t="array" aca="1" ref="AV40" ca="1">INDEX(auto_DataFlat_Score,$F40+AV$18,$B$12)</f>
        <v>8.6</v>
      </c>
      <c r="AW40" s="161" cm="1">
        <f t="array" aca="1" ref="AW40" ca="1">INDEX(auto_DataFlat_Score,$F40+AW$18,$B$12)</f>
        <v>96.1</v>
      </c>
      <c r="AX40" s="161" cm="1">
        <f t="array" aca="1" ref="AX40" ca="1">INDEX(auto_DataFlat_Score,$F40+AX$18,$B$12)</f>
        <v>50.9</v>
      </c>
      <c r="AY40" s="161" cm="1">
        <f t="array" aca="1" ref="AY40" ca="1">INDEX(auto_DataFlat_Score,$F40+AY$18,$B$12)</f>
        <v>88.3</v>
      </c>
      <c r="AZ40" s="161" cm="1">
        <f t="array" aca="1" ref="AZ40" ca="1">INDEX(auto_DataFlat_Score,$F40+AZ$18,$B$12)</f>
        <v>70.599999999999994</v>
      </c>
      <c r="BA40" s="161" cm="1">
        <f t="array" aca="1" ref="BA40" ca="1">INDEX(auto_DataFlat_Score,$F40+BA$18,$B$12)</f>
        <v>55.2</v>
      </c>
      <c r="BB40" s="161" cm="1">
        <f t="array" aca="1" ref="BB40" ca="1">INDEX(auto_DataFlat_Score,$F40+BB$18,$B$12)</f>
        <v>99</v>
      </c>
      <c r="BC40" s="161" cm="1">
        <f t="array" aca="1" ref="BC40" ca="1">INDEX(auto_DataFlat_Score,$F40+BC$18,$B$12)</f>
        <v>69.599999999999994</v>
      </c>
      <c r="BD40" s="161" cm="1">
        <f t="array" aca="1" ref="BD40" ca="1">INDEX(auto_DataFlat_Score,$F40+BD$18,$B$12)</f>
        <v>74</v>
      </c>
      <c r="BE40" s="161" cm="1">
        <f t="array" aca="1" ref="BE40" ca="1">INDEX(auto_DataFlat_Score,$F40+BE$18,$B$12)</f>
        <v>93</v>
      </c>
      <c r="BF40" s="161" cm="1">
        <f t="array" aca="1" ref="BF40" ca="1">INDEX(auto_DataFlat_Score,$F40+BF$18,$B$12)</f>
        <v>97.5</v>
      </c>
      <c r="BG40" s="161" cm="1">
        <f t="array" aca="1" ref="BG40" ca="1">INDEX(auto_DataFlat_Score,$F40+BG$18,$B$12)</f>
        <v>60</v>
      </c>
      <c r="BH40" s="161" cm="1">
        <f t="array" aca="1" ref="BH40" ca="1">INDEX(auto_DataFlat_Score,$F40+BH$18,$B$12)</f>
        <v>70.5</v>
      </c>
    </row>
    <row r="41" spans="1:60" ht="17.05" customHeight="1" x14ac:dyDescent="0.4">
      <c r="A41" t="str">
        <f t="shared" ca="1" si="2"/>
        <v/>
      </c>
      <c r="B41" s="49"/>
      <c r="C41" s="4">
        <v>22</v>
      </c>
      <c r="D41" s="49" cm="1">
        <f t="array" aca="1" ref="D41" ca="1">INDEX(OFFSET(auto_ss_score_table,0,1,500,1),C41)</f>
        <v>22</v>
      </c>
      <c r="E41" s="26" cm="1">
        <f t="array" aca="1" ref="E41" ca="1">INDEX(auto_tblSeries,$D41,$E$18)</f>
        <v>1</v>
      </c>
      <c r="F41" s="101" cm="1">
        <f t="array" aca="1" ref="F41" ca="1">INDEX(sys_DataFlat_LU_Grid,$D41,1)-1</f>
        <v>1260</v>
      </c>
      <c r="G41" s="26"/>
      <c r="H41" s="148" t="str" cm="1">
        <f t="array" aca="1" ref="H41" ca="1">INDEX(auto_Series_NameNumbered,$D41)</f>
        <v>3) HEALTH RISKS</v>
      </c>
      <c r="I41" s="159">
        <f ca="1">OFFSET(iWeights!$G$18,$D41-1,0,1,1)</f>
        <v>0.25806451612903225</v>
      </c>
      <c r="J41" s="160">
        <f ca="1">IF(E41=0,"-",OFFSET(iWeights!$U$18,$D41-1,0,1,1))</f>
        <v>0.25806451612903225</v>
      </c>
      <c r="K41" s="161" cm="1">
        <f t="array" aca="1" ref="K41" ca="1">INDEX(auto_DataFlat_Score,$F41+K$18,$B$12)</f>
        <v>47.2</v>
      </c>
      <c r="L41" s="161" cm="1">
        <f t="array" aca="1" ref="L41" ca="1">INDEX(auto_DataFlat_Score,$F41+L$18,$B$12)</f>
        <v>39.6</v>
      </c>
      <c r="M41" s="161" cm="1">
        <f t="array" aca="1" ref="M41" ca="1">INDEX(auto_DataFlat_Score,$F41+M$18,$B$12)</f>
        <v>56.1</v>
      </c>
      <c r="N41" s="161" cm="1">
        <f t="array" aca="1" ref="N41" ca="1">INDEX(auto_DataFlat_Score,$F41+N$18,$B$12)</f>
        <v>60.5</v>
      </c>
      <c r="O41" s="161" cm="1">
        <f t="array" aca="1" ref="O41" ca="1">INDEX(auto_DataFlat_Score,$F41+O$18,$B$12)</f>
        <v>74.099999999999994</v>
      </c>
      <c r="P41" s="161" cm="1">
        <f t="array" aca="1" ref="P41" ca="1">INDEX(auto_DataFlat_Score,$F41+P$18,$B$12)</f>
        <v>80.599999999999994</v>
      </c>
      <c r="Q41" s="161" cm="1">
        <f t="array" aca="1" ref="Q41" ca="1">INDEX(auto_DataFlat_Score,$F41+Q$18,$B$12)</f>
        <v>70</v>
      </c>
      <c r="R41" s="161" cm="1">
        <f t="array" aca="1" ref="R41" ca="1">INDEX(auto_DataFlat_Score,$F41+R$18,$B$12)</f>
        <v>56.9</v>
      </c>
      <c r="S41" s="161" cm="1">
        <f t="array" aca="1" ref="S41" ca="1">INDEX(auto_DataFlat_Score,$F41+S$18,$B$12)</f>
        <v>72.599999999999994</v>
      </c>
      <c r="T41" s="161" cm="1">
        <f t="array" aca="1" ref="T41" ca="1">INDEX(auto_DataFlat_Score,$F41+T$18,$B$12)</f>
        <v>39.700000000000003</v>
      </c>
      <c r="U41" s="161" cm="1">
        <f t="array" aca="1" ref="U41" ca="1">INDEX(auto_DataFlat_Score,$F41+U$18,$B$12)</f>
        <v>45.6</v>
      </c>
      <c r="V41" s="161" cm="1">
        <f t="array" aca="1" ref="V41" ca="1">INDEX(auto_DataFlat_Score,$F41+V$18,$B$12)</f>
        <v>56.4</v>
      </c>
      <c r="W41" s="161" cm="1">
        <f t="array" aca="1" ref="W41" ca="1">INDEX(auto_DataFlat_Score,$F41+W$18,$B$12)</f>
        <v>39.700000000000003</v>
      </c>
      <c r="X41" s="161" cm="1">
        <f t="array" aca="1" ref="X41" ca="1">INDEX(auto_DataFlat_Score,$F41+X$18,$B$12)</f>
        <v>63</v>
      </c>
      <c r="Y41" s="161" cm="1">
        <f t="array" aca="1" ref="Y41" ca="1">INDEX(auto_DataFlat_Score,$F41+Y$18,$B$12)</f>
        <v>77.400000000000006</v>
      </c>
      <c r="Z41" s="161" cm="1">
        <f t="array" aca="1" ref="Z41" ca="1">INDEX(auto_DataFlat_Score,$F41+Z$18,$B$12)</f>
        <v>68.5</v>
      </c>
      <c r="AA41" s="161" cm="1">
        <f t="array" aca="1" ref="AA41" ca="1">INDEX(auto_DataFlat_Score,$F41+AA$18,$B$12)</f>
        <v>86</v>
      </c>
      <c r="AB41" s="161" cm="1">
        <f t="array" aca="1" ref="AB41" ca="1">INDEX(auto_DataFlat_Score,$F41+AB$18,$B$12)</f>
        <v>45.7</v>
      </c>
      <c r="AC41" s="161" cm="1">
        <f t="array" aca="1" ref="AC41" ca="1">INDEX(auto_DataFlat_Score,$F41+AC$18,$B$12)</f>
        <v>83.3</v>
      </c>
      <c r="AD41" s="161" cm="1">
        <f t="array" aca="1" ref="AD41" ca="1">INDEX(auto_DataFlat_Score,$F41+AD$18,$B$12)</f>
        <v>45.6</v>
      </c>
      <c r="AE41" s="161" cm="1">
        <f t="array" aca="1" ref="AE41" ca="1">INDEX(auto_DataFlat_Score,$F41+AE$18,$B$12)</f>
        <v>35</v>
      </c>
      <c r="AF41" s="161" cm="1">
        <f t="array" aca="1" ref="AF41" ca="1">INDEX(auto_DataFlat_Score,$F41+AF$18,$B$12)</f>
        <v>38.1</v>
      </c>
      <c r="AG41" s="161" cm="1">
        <f t="array" aca="1" ref="AG41" ca="1">INDEX(auto_DataFlat_Score,$F41+AG$18,$B$12)</f>
        <v>43.9</v>
      </c>
      <c r="AH41" s="161" cm="1">
        <f t="array" aca="1" ref="AH41" ca="1">INDEX(auto_DataFlat_Score,$F41+AH$18,$B$12)</f>
        <v>37.1</v>
      </c>
      <c r="AI41" s="161" cm="1">
        <f t="array" aca="1" ref="AI41" ca="1">INDEX(auto_DataFlat_Score,$F41+AI$18,$B$12)</f>
        <v>48.4</v>
      </c>
      <c r="AJ41" s="161" cm="1">
        <f t="array" aca="1" ref="AJ41" ca="1">INDEX(auto_DataFlat_Score,$F41+AJ$18,$B$12)</f>
        <v>67.7</v>
      </c>
      <c r="AK41" s="161" cm="1">
        <f t="array" aca="1" ref="AK41" ca="1">INDEX(auto_DataFlat_Score,$F41+AK$18,$B$12)</f>
        <v>78.599999999999994</v>
      </c>
      <c r="AL41" s="161" cm="1">
        <f t="array" aca="1" ref="AL41" ca="1">INDEX(auto_DataFlat_Score,$F41+AL$18,$B$12)</f>
        <v>42.8</v>
      </c>
      <c r="AM41" s="161" cm="1">
        <f t="array" aca="1" ref="AM41" ca="1">INDEX(auto_DataFlat_Score,$F41+AM$18,$B$12)</f>
        <v>67.7</v>
      </c>
      <c r="AN41" s="161" cm="1">
        <f t="array" aca="1" ref="AN41" ca="1">INDEX(auto_DataFlat_Score,$F41+AN$18,$B$12)</f>
        <v>41.2</v>
      </c>
      <c r="AO41" s="161" cm="1">
        <f t="array" aca="1" ref="AO41" ca="1">INDEX(auto_DataFlat_Score,$F41+AO$18,$B$12)</f>
        <v>54.7</v>
      </c>
      <c r="AP41" s="161" cm="1">
        <f t="array" aca="1" ref="AP41" ca="1">INDEX(auto_DataFlat_Score,$F41+AP$18,$B$12)</f>
        <v>40.799999999999997</v>
      </c>
      <c r="AQ41" s="161" cm="1">
        <f t="array" aca="1" ref="AQ41" ca="1">INDEX(auto_DataFlat_Score,$F41+AQ$18,$B$12)</f>
        <v>36.4</v>
      </c>
      <c r="AR41" s="161" cm="1">
        <f t="array" aca="1" ref="AR41" ca="1">INDEX(auto_DataFlat_Score,$F41+AR$18,$B$12)</f>
        <v>65.5</v>
      </c>
      <c r="AS41" s="161" cm="1">
        <f t="array" aca="1" ref="AS41" ca="1">INDEX(auto_DataFlat_Score,$F41+AS$18,$B$12)</f>
        <v>80.7</v>
      </c>
      <c r="AT41" s="161" cm="1">
        <f t="array" aca="1" ref="AT41" ca="1">INDEX(auto_DataFlat_Score,$F41+AT$18,$B$12)</f>
        <v>33.4</v>
      </c>
      <c r="AU41" s="161" cm="1">
        <f t="array" aca="1" ref="AU41" ca="1">INDEX(auto_DataFlat_Score,$F41+AU$18,$B$12)</f>
        <v>64.099999999999994</v>
      </c>
      <c r="AV41" s="161" cm="1">
        <f t="array" aca="1" ref="AV41" ca="1">INDEX(auto_DataFlat_Score,$F41+AV$18,$B$12)</f>
        <v>37.6</v>
      </c>
      <c r="AW41" s="161" cm="1">
        <f t="array" aca="1" ref="AW41" ca="1">INDEX(auto_DataFlat_Score,$F41+AW$18,$B$12)</f>
        <v>33.700000000000003</v>
      </c>
      <c r="AX41" s="161" cm="1">
        <f t="array" aca="1" ref="AX41" ca="1">INDEX(auto_DataFlat_Score,$F41+AX$18,$B$12)</f>
        <v>53</v>
      </c>
      <c r="AY41" s="161" cm="1">
        <f t="array" aca="1" ref="AY41" ca="1">INDEX(auto_DataFlat_Score,$F41+AY$18,$B$12)</f>
        <v>52.1</v>
      </c>
      <c r="AZ41" s="161" cm="1">
        <f t="array" aca="1" ref="AZ41" ca="1">INDEX(auto_DataFlat_Score,$F41+AZ$18,$B$12)</f>
        <v>80.5</v>
      </c>
      <c r="BA41" s="161" cm="1">
        <f t="array" aca="1" ref="BA41" ca="1">INDEX(auto_DataFlat_Score,$F41+BA$18,$B$12)</f>
        <v>77.5</v>
      </c>
      <c r="BB41" s="161" cm="1">
        <f t="array" aca="1" ref="BB41" ca="1">INDEX(auto_DataFlat_Score,$F41+BB$18,$B$12)</f>
        <v>82.1</v>
      </c>
      <c r="BC41" s="161" cm="1">
        <f t="array" aca="1" ref="BC41" ca="1">INDEX(auto_DataFlat_Score,$F41+BC$18,$B$12)</f>
        <v>67.7</v>
      </c>
      <c r="BD41" s="161" cm="1">
        <f t="array" aca="1" ref="BD41" ca="1">INDEX(auto_DataFlat_Score,$F41+BD$18,$B$12)</f>
        <v>80.7</v>
      </c>
      <c r="BE41" s="161" cm="1">
        <f t="array" aca="1" ref="BE41" ca="1">INDEX(auto_DataFlat_Score,$F41+BE$18,$B$12)</f>
        <v>67.7</v>
      </c>
      <c r="BF41" s="161" cm="1">
        <f t="array" aca="1" ref="BF41" ca="1">INDEX(auto_DataFlat_Score,$F41+BF$18,$B$12)</f>
        <v>74.2</v>
      </c>
      <c r="BG41" s="161" cm="1">
        <f t="array" aca="1" ref="BG41" ca="1">INDEX(auto_DataFlat_Score,$F41+BG$18,$B$12)</f>
        <v>58.7</v>
      </c>
      <c r="BH41" s="161" cm="1">
        <f t="array" aca="1" ref="BH41" ca="1">INDEX(auto_DataFlat_Score,$F41+BH$18,$B$12)</f>
        <v>44</v>
      </c>
    </row>
    <row r="42" spans="1:60" ht="17.05" customHeight="1" x14ac:dyDescent="0.4">
      <c r="A42" t="str">
        <f t="shared" ca="1" si="2"/>
        <v/>
      </c>
      <c r="B42" s="49"/>
      <c r="C42" s="4">
        <v>23</v>
      </c>
      <c r="D42" s="49" cm="1">
        <f t="array" aca="1" ref="D42" ca="1">INDEX(OFFSET(auto_ss_score_table,0,1,500,1),C42)</f>
        <v>23</v>
      </c>
      <c r="E42" s="26" cm="1">
        <f t="array" aca="1" ref="E42" ca="1">INDEX(auto_tblSeries,$D42,$E$18)</f>
        <v>2</v>
      </c>
      <c r="F42" s="101" cm="1">
        <f t="array" aca="1" ref="F42" ca="1">INDEX(sys_DataFlat_LU_Grid,$D42,1)-1</f>
        <v>1320</v>
      </c>
      <c r="G42" s="26"/>
      <c r="H42" s="148" t="str" cm="1">
        <f t="array" aca="1" ref="H42" ca="1">INDEX(auto_Series_NameNumbered,$D42)</f>
        <v>3.1) Tobacco use</v>
      </c>
      <c r="I42" s="159">
        <f ca="1">IF(D42=1,"-",OFFSET(iWeights!$G$18,$D42-1,0,1,1))</f>
        <v>0.125</v>
      </c>
      <c r="J42" s="160">
        <f ca="1">IF(E42=0,"-",OFFSET(iWeights!$U$18,$D42-1,0,1,1))</f>
        <v>3.2258064516129031E-2</v>
      </c>
      <c r="K42" s="161" cm="1">
        <f t="array" aca="1" ref="K42" ca="1">INDEX(auto_DataFlat_Score,$F42+K$18,$B$12)</f>
        <v>47.4</v>
      </c>
      <c r="L42" s="161" cm="1">
        <f t="array" aca="1" ref="L42" ca="1">INDEX(auto_DataFlat_Score,$F42+L$18,$B$12)</f>
        <v>39.4</v>
      </c>
      <c r="M42" s="161" cm="1">
        <f t="array" aca="1" ref="M42" ca="1">INDEX(auto_DataFlat_Score,$F42+M$18,$B$12)</f>
        <v>37.9</v>
      </c>
      <c r="N42" s="161" cm="1">
        <f t="array" aca="1" ref="N42" ca="1">INDEX(auto_DataFlat_Score,$F42+N$18,$B$12)</f>
        <v>93.9</v>
      </c>
      <c r="O42" s="161" cm="1">
        <f t="array" aca="1" ref="O42" ca="1">INDEX(auto_DataFlat_Score,$F42+O$18,$B$12)</f>
        <v>90.4</v>
      </c>
      <c r="P42" s="161" cm="1">
        <f t="array" aca="1" ref="P42" ca="1">INDEX(auto_DataFlat_Score,$F42+P$18,$B$12)</f>
        <v>88.3</v>
      </c>
      <c r="Q42" s="161" cm="1">
        <f t="array" aca="1" ref="Q42" ca="1">INDEX(auto_DataFlat_Score,$F42+Q$18,$B$12)</f>
        <v>89.4</v>
      </c>
      <c r="R42" s="161" cm="1">
        <f t="array" aca="1" ref="R42" ca="1">INDEX(auto_DataFlat_Score,$F42+R$18,$B$12)</f>
        <v>95.9</v>
      </c>
      <c r="S42" s="161" cm="1">
        <f t="array" aca="1" ref="S42" ca="1">INDEX(auto_DataFlat_Score,$F42+S$18,$B$12)</f>
        <v>83.9</v>
      </c>
      <c r="T42" s="161" cm="1">
        <f t="array" aca="1" ref="T42" ca="1">INDEX(auto_DataFlat_Score,$F42+T$18,$B$12)</f>
        <v>37.700000000000003</v>
      </c>
      <c r="U42" s="161" cm="1">
        <f t="array" aca="1" ref="U42" ca="1">INDEX(auto_DataFlat_Score,$F42+U$18,$B$12)</f>
        <v>90.3</v>
      </c>
      <c r="V42" s="161" cm="1">
        <f t="array" aca="1" ref="V42" ca="1">INDEX(auto_DataFlat_Score,$F42+V$18,$B$12)</f>
        <v>87.9</v>
      </c>
      <c r="W42" s="161" cm="1">
        <f t="array" aca="1" ref="W42" ca="1">INDEX(auto_DataFlat_Score,$F42+W$18,$B$12)</f>
        <v>33.6</v>
      </c>
      <c r="X42" s="161" cm="1">
        <f t="array" aca="1" ref="X42" ca="1">INDEX(auto_DataFlat_Score,$F42+X$18,$B$12)</f>
        <v>95.5</v>
      </c>
      <c r="Y42" s="161" cm="1">
        <f t="array" aca="1" ref="Y42" ca="1">INDEX(auto_DataFlat_Score,$F42+Y$18,$B$12)</f>
        <v>88.9</v>
      </c>
      <c r="Z42" s="161" cm="1">
        <f t="array" aca="1" ref="Z42" ca="1">INDEX(auto_DataFlat_Score,$F42+Z$18,$B$12)</f>
        <v>38.799999999999997</v>
      </c>
      <c r="AA42" s="161" cm="1">
        <f t="array" aca="1" ref="AA42" ca="1">INDEX(auto_DataFlat_Score,$F42+AA$18,$B$12)</f>
        <v>88.8</v>
      </c>
      <c r="AB42" s="161" cm="1">
        <f t="array" aca="1" ref="AB42" ca="1">INDEX(auto_DataFlat_Score,$F42+AB$18,$B$12)</f>
        <v>34.799999999999997</v>
      </c>
      <c r="AC42" s="161" cm="1">
        <f t="array" aca="1" ref="AC42" ca="1">INDEX(auto_DataFlat_Score,$F42+AC$18,$B$12)</f>
        <v>80.900000000000006</v>
      </c>
      <c r="AD42" s="161" cm="1">
        <f t="array" aca="1" ref="AD42" ca="1">INDEX(auto_DataFlat_Score,$F42+AD$18,$B$12)</f>
        <v>89.7</v>
      </c>
      <c r="AE42" s="161" cm="1">
        <f t="array" aca="1" ref="AE42" ca="1">INDEX(auto_DataFlat_Score,$F42+AE$18,$B$12)</f>
        <v>40.6</v>
      </c>
      <c r="AF42" s="161" cm="1">
        <f t="array" aca="1" ref="AF42" ca="1">INDEX(auto_DataFlat_Score,$F42+AF$18,$B$12)</f>
        <v>35.9</v>
      </c>
      <c r="AG42" s="161" cm="1">
        <f t="array" aca="1" ref="AG42" ca="1">INDEX(auto_DataFlat_Score,$F42+AG$18,$B$12)</f>
        <v>37.9</v>
      </c>
      <c r="AH42" s="161" cm="1">
        <f t="array" aca="1" ref="AH42" ca="1">INDEX(auto_DataFlat_Score,$F42+AH$18,$B$12)</f>
        <v>40.1</v>
      </c>
      <c r="AI42" s="161" cm="1">
        <f t="array" aca="1" ref="AI42" ca="1">INDEX(auto_DataFlat_Score,$F42+AI$18,$B$12)</f>
        <v>98.4</v>
      </c>
      <c r="AJ42" s="161" cm="1">
        <f t="array" aca="1" ref="AJ42" ca="1">INDEX(auto_DataFlat_Score,$F42+AJ$18,$B$12)</f>
        <v>92.9</v>
      </c>
      <c r="AK42" s="161" cm="1">
        <f t="array" aca="1" ref="AK42" ca="1">INDEX(auto_DataFlat_Score,$F42+AK$18,$B$12)</f>
        <v>85.8</v>
      </c>
      <c r="AL42" s="161" cm="1">
        <f t="array" aca="1" ref="AL42" ca="1">INDEX(auto_DataFlat_Score,$F42+AL$18,$B$12)</f>
        <v>39.799999999999997</v>
      </c>
      <c r="AM42" s="161" cm="1">
        <f t="array" aca="1" ref="AM42" ca="1">INDEX(auto_DataFlat_Score,$F42+AM$18,$B$12)</f>
        <v>93.5</v>
      </c>
      <c r="AN42" s="161" cm="1">
        <f t="array" aca="1" ref="AN42" ca="1">INDEX(auto_DataFlat_Score,$F42+AN$18,$B$12)</f>
        <v>42.6</v>
      </c>
      <c r="AO42" s="161" cm="1">
        <f t="array" aca="1" ref="AO42" ca="1">INDEX(auto_DataFlat_Score,$F42+AO$18,$B$12)</f>
        <v>35.4</v>
      </c>
      <c r="AP42" s="161" cm="1">
        <f t="array" aca="1" ref="AP42" ca="1">INDEX(auto_DataFlat_Score,$F42+AP$18,$B$12)</f>
        <v>37.9</v>
      </c>
      <c r="AQ42" s="161" cm="1">
        <f t="array" aca="1" ref="AQ42" ca="1">INDEX(auto_DataFlat_Score,$F42+AQ$18,$B$12)</f>
        <v>44.7</v>
      </c>
      <c r="AR42" s="161" cm="1">
        <f t="array" aca="1" ref="AR42" ca="1">INDEX(auto_DataFlat_Score,$F42+AR$18,$B$12)</f>
        <v>87.9</v>
      </c>
      <c r="AS42" s="161" cm="1">
        <f t="array" aca="1" ref="AS42" ca="1">INDEX(auto_DataFlat_Score,$F42+AS$18,$B$12)</f>
        <v>90.4</v>
      </c>
      <c r="AT42" s="161" cm="1">
        <f t="array" aca="1" ref="AT42" ca="1">INDEX(auto_DataFlat_Score,$F42+AT$18,$B$12)</f>
        <v>32.700000000000003</v>
      </c>
      <c r="AU42" s="161" cm="1">
        <f t="array" aca="1" ref="AU42" ca="1">INDEX(auto_DataFlat_Score,$F42+AU$18,$B$12)</f>
        <v>91.4</v>
      </c>
      <c r="AV42" s="161" cm="1">
        <f t="array" aca="1" ref="AV42" ca="1">INDEX(auto_DataFlat_Score,$F42+AV$18,$B$12)</f>
        <v>42.6</v>
      </c>
      <c r="AW42" s="161" cm="1">
        <f t="array" aca="1" ref="AW42" ca="1">INDEX(auto_DataFlat_Score,$F42+AW$18,$B$12)</f>
        <v>38.799999999999997</v>
      </c>
      <c r="AX42" s="161" cm="1">
        <f t="array" aca="1" ref="AX42" ca="1">INDEX(auto_DataFlat_Score,$F42+AX$18,$B$12)</f>
        <v>37.9</v>
      </c>
      <c r="AY42" s="161" cm="1">
        <f t="array" aca="1" ref="AY42" ca="1">INDEX(auto_DataFlat_Score,$F42+AY$18,$B$12)</f>
        <v>43.9</v>
      </c>
      <c r="AZ42" s="161" cm="1">
        <f t="array" aca="1" ref="AZ42" ca="1">INDEX(auto_DataFlat_Score,$F42+AZ$18,$B$12)</f>
        <v>90</v>
      </c>
      <c r="BA42" s="161" cm="1">
        <f t="array" aca="1" ref="BA42" ca="1">INDEX(auto_DataFlat_Score,$F42+BA$18,$B$12)</f>
        <v>88.3</v>
      </c>
      <c r="BB42" s="161" cm="1">
        <f t="array" aca="1" ref="BB42" ca="1">INDEX(auto_DataFlat_Score,$F42+BB$18,$B$12)</f>
        <v>91.8</v>
      </c>
      <c r="BC42" s="161" cm="1">
        <f t="array" aca="1" ref="BC42" ca="1">INDEX(auto_DataFlat_Score,$F42+BC$18,$B$12)</f>
        <v>93.5</v>
      </c>
      <c r="BD42" s="161" cm="1">
        <f t="array" aca="1" ref="BD42" ca="1">INDEX(auto_DataFlat_Score,$F42+BD$18,$B$12)</f>
        <v>90.4</v>
      </c>
      <c r="BE42" s="161" cm="1">
        <f t="array" aca="1" ref="BE42" ca="1">INDEX(auto_DataFlat_Score,$F42+BE$18,$B$12)</f>
        <v>94</v>
      </c>
      <c r="BF42" s="161" cm="1">
        <f t="array" aca="1" ref="BF42" ca="1">INDEX(auto_DataFlat_Score,$F42+BF$18,$B$12)</f>
        <v>87.6</v>
      </c>
      <c r="BG42" s="161" cm="1">
        <f t="array" aca="1" ref="BG42" ca="1">INDEX(auto_DataFlat_Score,$F42+BG$18,$B$12)</f>
        <v>38.299999999999997</v>
      </c>
      <c r="BH42" s="161" cm="1">
        <f t="array" aca="1" ref="BH42" ca="1">INDEX(auto_DataFlat_Score,$F42+BH$18,$B$12)</f>
        <v>27.8</v>
      </c>
    </row>
    <row r="43" spans="1:60" ht="17.05" customHeight="1" x14ac:dyDescent="0.4">
      <c r="A43" t="str">
        <f t="shared" ca="1" si="2"/>
        <v/>
      </c>
      <c r="B43" s="49"/>
      <c r="C43" s="4">
        <v>24</v>
      </c>
      <c r="D43" s="49" cm="1">
        <f t="array" aca="1" ref="D43" ca="1">INDEX(OFFSET(auto_ss_score_table,0,1,500,1),C43)</f>
        <v>24</v>
      </c>
      <c r="E43" s="26" cm="1">
        <f t="array" aca="1" ref="E43" ca="1">INDEX(auto_tblSeries,$D43,$E$18)</f>
        <v>3</v>
      </c>
      <c r="F43" s="101" cm="1">
        <f t="array" aca="1" ref="F43" ca="1">INDEX(sys_DataFlat_LU_Grid,$D43,1)-1</f>
        <v>1380</v>
      </c>
      <c r="G43" s="26"/>
      <c r="H43" s="151" t="str" cm="1">
        <f t="array" aca="1" ref="H43" ca="1">INDEX(auto_Series_NameNumbered,$D43)</f>
        <v>3.1a) Tobacco use: national data</v>
      </c>
      <c r="I43" s="162">
        <f ca="1">OFFSET(iWeights!$G$18,$D43-1,0,1,1)</f>
        <v>0.5</v>
      </c>
      <c r="J43" s="163">
        <f ca="1">IF(E43=0,"-",OFFSET(iWeights!$U$18,$D43-1,0,1,1))</f>
        <v>1.6129032258064516E-2</v>
      </c>
      <c r="K43" s="164" cm="1">
        <f t="array" aca="1" ref="K43" ca="1">INDEX(auto_DataFlat_Score,$F43+K$18,$B$12)</f>
        <v>94.8</v>
      </c>
      <c r="L43" s="164" cm="1">
        <f t="array" aca="1" ref="L43" ca="1">INDEX(auto_DataFlat_Score,$F43+L$18,$B$12)</f>
        <v>78.8</v>
      </c>
      <c r="M43" s="164" cm="1">
        <f t="array" aca="1" ref="M43" ca="1">INDEX(auto_DataFlat_Score,$F43+M$18,$B$12)</f>
        <v>75.7</v>
      </c>
      <c r="N43" s="164" cm="1">
        <f t="array" aca="1" ref="N43" ca="1">INDEX(auto_DataFlat_Score,$F43+N$18,$B$12)</f>
        <v>87.8</v>
      </c>
      <c r="O43" s="164" cm="1">
        <f t="array" aca="1" ref="O43" ca="1">INDEX(auto_DataFlat_Score,$F43+O$18,$B$12)</f>
        <v>80.8</v>
      </c>
      <c r="P43" s="164" cm="1">
        <f t="array" aca="1" ref="P43" ca="1">INDEX(auto_DataFlat_Score,$F43+P$18,$B$12)</f>
        <v>76.599999999999994</v>
      </c>
      <c r="Q43" s="164" cm="1">
        <f t="array" aca="1" ref="Q43" ca="1">INDEX(auto_DataFlat_Score,$F43+Q$18,$B$12)</f>
        <v>78.7</v>
      </c>
      <c r="R43" s="164" cm="1">
        <f t="array" aca="1" ref="R43" ca="1">INDEX(auto_DataFlat_Score,$F43+R$18,$B$12)</f>
        <v>91.8</v>
      </c>
      <c r="S43" s="164" cm="1">
        <f t="array" aca="1" ref="S43" ca="1">INDEX(auto_DataFlat_Score,$F43+S$18,$B$12)</f>
        <v>67.8</v>
      </c>
      <c r="T43" s="164" cm="1">
        <f t="array" aca="1" ref="T43" ca="1">INDEX(auto_DataFlat_Score,$F43+T$18,$B$12)</f>
        <v>75.3</v>
      </c>
      <c r="U43" s="164" cm="1">
        <f t="array" aca="1" ref="U43" ca="1">INDEX(auto_DataFlat_Score,$F43+U$18,$B$12)</f>
        <v>80.5</v>
      </c>
      <c r="V43" s="164" cm="1">
        <f t="array" aca="1" ref="V43" ca="1">INDEX(auto_DataFlat_Score,$F43+V$18,$B$12)</f>
        <v>75.7</v>
      </c>
      <c r="W43" s="164" cm="1">
        <f t="array" aca="1" ref="W43" ca="1">INDEX(auto_DataFlat_Score,$F43+W$18,$B$12)</f>
        <v>67.099999999999994</v>
      </c>
      <c r="X43" s="164" cm="1">
        <f t="array" aca="1" ref="X43" ca="1">INDEX(auto_DataFlat_Score,$F43+X$18,$B$12)</f>
        <v>91</v>
      </c>
      <c r="Y43" s="164" cm="1">
        <f t="array" aca="1" ref="Y43" ca="1">INDEX(auto_DataFlat_Score,$F43+Y$18,$B$12)</f>
        <v>77.7</v>
      </c>
      <c r="Z43" s="164" cm="1">
        <f t="array" aca="1" ref="Z43" ca="1">INDEX(auto_DataFlat_Score,$F43+Z$18,$B$12)</f>
        <v>77.5</v>
      </c>
      <c r="AA43" s="164" cm="1">
        <f t="array" aca="1" ref="AA43" ca="1">INDEX(auto_DataFlat_Score,$F43+AA$18,$B$12)</f>
        <v>77.5</v>
      </c>
      <c r="AB43" s="164" cm="1">
        <f t="array" aca="1" ref="AB43" ca="1">INDEX(auto_DataFlat_Score,$F43+AB$18,$B$12)</f>
        <v>69.5</v>
      </c>
      <c r="AC43" s="164" cm="1">
        <f t="array" aca="1" ref="AC43" ca="1">INDEX(auto_DataFlat_Score,$F43+AC$18,$B$12)</f>
        <v>61.8</v>
      </c>
      <c r="AD43" s="164" cm="1">
        <f t="array" aca="1" ref="AD43" ca="1">INDEX(auto_DataFlat_Score,$F43+AD$18,$B$12)</f>
        <v>79.3</v>
      </c>
      <c r="AE43" s="164" cm="1">
        <f t="array" aca="1" ref="AE43" ca="1">INDEX(auto_DataFlat_Score,$F43+AE$18,$B$12)</f>
        <v>81.099999999999994</v>
      </c>
      <c r="AF43" s="164" cm="1">
        <f t="array" aca="1" ref="AF43" ca="1">INDEX(auto_DataFlat_Score,$F43+AF$18,$B$12)</f>
        <v>71.7</v>
      </c>
      <c r="AG43" s="164" cm="1">
        <f t="array" aca="1" ref="AG43" ca="1">INDEX(auto_DataFlat_Score,$F43+AG$18,$B$12)</f>
        <v>75.7</v>
      </c>
      <c r="AH43" s="164" cm="1">
        <f t="array" aca="1" ref="AH43" ca="1">INDEX(auto_DataFlat_Score,$F43+AH$18,$B$12)</f>
        <v>80.099999999999994</v>
      </c>
      <c r="AI43" s="164" cm="1">
        <f t="array" aca="1" ref="AI43" ca="1">INDEX(auto_DataFlat_Score,$F43+AI$18,$B$12)</f>
        <v>96.7</v>
      </c>
      <c r="AJ43" s="164" cm="1">
        <f t="array" aca="1" ref="AJ43" ca="1">INDEX(auto_DataFlat_Score,$F43+AJ$18,$B$12)</f>
        <v>85.8</v>
      </c>
      <c r="AK43" s="164" cm="1">
        <f t="array" aca="1" ref="AK43" ca="1">INDEX(auto_DataFlat_Score,$F43+AK$18,$B$12)</f>
        <v>71.599999999999994</v>
      </c>
      <c r="AL43" s="164" cm="1">
        <f t="array" aca="1" ref="AL43" ca="1">INDEX(auto_DataFlat_Score,$F43+AL$18,$B$12)</f>
        <v>79.599999999999994</v>
      </c>
      <c r="AM43" s="164" cm="1">
        <f t="array" aca="1" ref="AM43" ca="1">INDEX(auto_DataFlat_Score,$F43+AM$18,$B$12)</f>
        <v>86.9</v>
      </c>
      <c r="AN43" s="164" cm="1">
        <f t="array" aca="1" ref="AN43" ca="1">INDEX(auto_DataFlat_Score,$F43+AN$18,$B$12)</f>
        <v>85.1</v>
      </c>
      <c r="AO43" s="164" cm="1">
        <f t="array" aca="1" ref="AO43" ca="1">INDEX(auto_DataFlat_Score,$F43+AO$18,$B$12)</f>
        <v>70.8</v>
      </c>
      <c r="AP43" s="164" cm="1">
        <f t="array" aca="1" ref="AP43" ca="1">INDEX(auto_DataFlat_Score,$F43+AP$18,$B$12)</f>
        <v>75.7</v>
      </c>
      <c r="AQ43" s="164" cm="1">
        <f t="array" aca="1" ref="AQ43" ca="1">INDEX(auto_DataFlat_Score,$F43+AQ$18,$B$12)</f>
        <v>89.3</v>
      </c>
      <c r="AR43" s="164" cm="1">
        <f t="array" aca="1" ref="AR43" ca="1">INDEX(auto_DataFlat_Score,$F43+AR$18,$B$12)</f>
        <v>75.7</v>
      </c>
      <c r="AS43" s="164" cm="1">
        <f t="array" aca="1" ref="AS43" ca="1">INDEX(auto_DataFlat_Score,$F43+AS$18,$B$12)</f>
        <v>80.8</v>
      </c>
      <c r="AT43" s="164" cm="1">
        <f t="array" aca="1" ref="AT43" ca="1">INDEX(auto_DataFlat_Score,$F43+AT$18,$B$12)</f>
        <v>65.400000000000006</v>
      </c>
      <c r="AU43" s="164" cm="1">
        <f t="array" aca="1" ref="AU43" ca="1">INDEX(auto_DataFlat_Score,$F43+AU$18,$B$12)</f>
        <v>82.8</v>
      </c>
      <c r="AV43" s="164" cm="1">
        <f t="array" aca="1" ref="AV43" ca="1">INDEX(auto_DataFlat_Score,$F43+AV$18,$B$12)</f>
        <v>85.1</v>
      </c>
      <c r="AW43" s="164" cm="1">
        <f t="array" aca="1" ref="AW43" ca="1">INDEX(auto_DataFlat_Score,$F43+AW$18,$B$12)</f>
        <v>77.599999999999994</v>
      </c>
      <c r="AX43" s="164" cm="1">
        <f t="array" aca="1" ref="AX43" ca="1">INDEX(auto_DataFlat_Score,$F43+AX$18,$B$12)</f>
        <v>75.7</v>
      </c>
      <c r="AY43" s="164" cm="1">
        <f t="array" aca="1" ref="AY43" ca="1">INDEX(auto_DataFlat_Score,$F43+AY$18,$B$12)</f>
        <v>87.8</v>
      </c>
      <c r="AZ43" s="164" cm="1">
        <f t="array" aca="1" ref="AZ43" ca="1">INDEX(auto_DataFlat_Score,$F43+AZ$18,$B$12)</f>
        <v>80</v>
      </c>
      <c r="BA43" s="164" cm="1">
        <f t="array" aca="1" ref="BA43" ca="1">INDEX(auto_DataFlat_Score,$F43+BA$18,$B$12)</f>
        <v>76.599999999999994</v>
      </c>
      <c r="BB43" s="164" cm="1">
        <f t="array" aca="1" ref="BB43" ca="1">INDEX(auto_DataFlat_Score,$F43+BB$18,$B$12)</f>
        <v>83.6</v>
      </c>
      <c r="BC43" s="164" cm="1">
        <f t="array" aca="1" ref="BC43" ca="1">INDEX(auto_DataFlat_Score,$F43+BC$18,$B$12)</f>
        <v>86.9</v>
      </c>
      <c r="BD43" s="164" cm="1">
        <f t="array" aca="1" ref="BD43" ca="1">INDEX(auto_DataFlat_Score,$F43+BD$18,$B$12)</f>
        <v>80.8</v>
      </c>
      <c r="BE43" s="164" cm="1">
        <f t="array" aca="1" ref="BE43" ca="1">INDEX(auto_DataFlat_Score,$F43+BE$18,$B$12)</f>
        <v>88</v>
      </c>
      <c r="BF43" s="164" cm="1">
        <f t="array" aca="1" ref="BF43" ca="1">INDEX(auto_DataFlat_Score,$F43+BF$18,$B$12)</f>
        <v>75.099999999999994</v>
      </c>
      <c r="BG43" s="164" cm="1">
        <f t="array" aca="1" ref="BG43" ca="1">INDEX(auto_DataFlat_Score,$F43+BG$18,$B$12)</f>
        <v>76.599999999999994</v>
      </c>
      <c r="BH43" s="164" cm="1">
        <f t="array" aca="1" ref="BH43" ca="1">INDEX(auto_DataFlat_Score,$F43+BH$18,$B$12)</f>
        <v>55.6</v>
      </c>
    </row>
    <row r="44" spans="1:60" ht="17.05" customHeight="1" x14ac:dyDescent="0.4">
      <c r="A44" t="str">
        <f t="shared" ca="1" si="2"/>
        <v/>
      </c>
      <c r="B44" s="49"/>
      <c r="C44" s="4">
        <v>25</v>
      </c>
      <c r="D44" s="49" cm="1">
        <f t="array" aca="1" ref="D44" ca="1">INDEX(OFFSET(auto_ss_score_table,0,1,500,1),C44)</f>
        <v>25</v>
      </c>
      <c r="E44" s="26" cm="1">
        <f t="array" aca="1" ref="E44" ca="1">INDEX(auto_tblSeries,$D44,$E$18)</f>
        <v>3</v>
      </c>
      <c r="F44" s="101" cm="1">
        <f t="array" aca="1" ref="F44" ca="1">INDEX(sys_DataFlat_LU_Grid,$D44,1)-1</f>
        <v>1440</v>
      </c>
      <c r="G44" s="26"/>
      <c r="H44" s="151" t="str" cm="1">
        <f t="array" aca="1" ref="H44" ca="1">INDEX(auto_Series_NameNumbered,$D44)</f>
        <v>3.1b) Tobacco use: city-level data availability</v>
      </c>
      <c r="I44" s="162">
        <f ca="1">IF(D44=1,"-",OFFSET(iWeights!$G$18,$D44-1,0,1,1))</f>
        <v>0.5</v>
      </c>
      <c r="J44" s="163">
        <f ca="1">IF(E44=0,"-",OFFSET(iWeights!$U$18,$D44-1,0,1,1))</f>
        <v>1.6129032258064516E-2</v>
      </c>
      <c r="K44" s="164" cm="1">
        <f t="array" aca="1" ref="K44" ca="1">INDEX(auto_DataFlat_Score,$F44+K$18,$B$12)</f>
        <v>0</v>
      </c>
      <c r="L44" s="164" cm="1">
        <f t="array" aca="1" ref="L44" ca="1">INDEX(auto_DataFlat_Score,$F44+L$18,$B$12)</f>
        <v>0</v>
      </c>
      <c r="M44" s="164" cm="1">
        <f t="array" aca="1" ref="M44" ca="1">INDEX(auto_DataFlat_Score,$F44+M$18,$B$12)</f>
        <v>0</v>
      </c>
      <c r="N44" s="164" cm="1">
        <f t="array" aca="1" ref="N44" ca="1">INDEX(auto_DataFlat_Score,$F44+N$18,$B$12)</f>
        <v>100</v>
      </c>
      <c r="O44" s="164" cm="1">
        <f t="array" aca="1" ref="O44" ca="1">INDEX(auto_DataFlat_Score,$F44+O$18,$B$12)</f>
        <v>100</v>
      </c>
      <c r="P44" s="164" cm="1">
        <f t="array" aca="1" ref="P44" ca="1">INDEX(auto_DataFlat_Score,$F44+P$18,$B$12)</f>
        <v>100</v>
      </c>
      <c r="Q44" s="164" cm="1">
        <f t="array" aca="1" ref="Q44" ca="1">INDEX(auto_DataFlat_Score,$F44+Q$18,$B$12)</f>
        <v>100</v>
      </c>
      <c r="R44" s="164" cm="1">
        <f t="array" aca="1" ref="R44" ca="1">INDEX(auto_DataFlat_Score,$F44+R$18,$B$12)</f>
        <v>100</v>
      </c>
      <c r="S44" s="164" cm="1">
        <f t="array" aca="1" ref="S44" ca="1">INDEX(auto_DataFlat_Score,$F44+S$18,$B$12)</f>
        <v>100</v>
      </c>
      <c r="T44" s="164" cm="1">
        <f t="array" aca="1" ref="T44" ca="1">INDEX(auto_DataFlat_Score,$F44+T$18,$B$12)</f>
        <v>0</v>
      </c>
      <c r="U44" s="164" cm="1">
        <f t="array" aca="1" ref="U44" ca="1">INDEX(auto_DataFlat_Score,$F44+U$18,$B$12)</f>
        <v>100</v>
      </c>
      <c r="V44" s="164" cm="1">
        <f t="array" aca="1" ref="V44" ca="1">INDEX(auto_DataFlat_Score,$F44+V$18,$B$12)</f>
        <v>100</v>
      </c>
      <c r="W44" s="164" cm="1">
        <f t="array" aca="1" ref="W44" ca="1">INDEX(auto_DataFlat_Score,$F44+W$18,$B$12)</f>
        <v>0</v>
      </c>
      <c r="X44" s="164" cm="1">
        <f t="array" aca="1" ref="X44" ca="1">INDEX(auto_DataFlat_Score,$F44+X$18,$B$12)</f>
        <v>100</v>
      </c>
      <c r="Y44" s="164" cm="1">
        <f t="array" aca="1" ref="Y44" ca="1">INDEX(auto_DataFlat_Score,$F44+Y$18,$B$12)</f>
        <v>100</v>
      </c>
      <c r="Z44" s="164" cm="1">
        <f t="array" aca="1" ref="Z44" ca="1">INDEX(auto_DataFlat_Score,$F44+Z$18,$B$12)</f>
        <v>0</v>
      </c>
      <c r="AA44" s="164" cm="1">
        <f t="array" aca="1" ref="AA44" ca="1">INDEX(auto_DataFlat_Score,$F44+AA$18,$B$12)</f>
        <v>100</v>
      </c>
      <c r="AB44" s="164" cm="1">
        <f t="array" aca="1" ref="AB44" ca="1">INDEX(auto_DataFlat_Score,$F44+AB$18,$B$12)</f>
        <v>0</v>
      </c>
      <c r="AC44" s="164" cm="1">
        <f t="array" aca="1" ref="AC44" ca="1">INDEX(auto_DataFlat_Score,$F44+AC$18,$B$12)</f>
        <v>100</v>
      </c>
      <c r="AD44" s="164" cm="1">
        <f t="array" aca="1" ref="AD44" ca="1">INDEX(auto_DataFlat_Score,$F44+AD$18,$B$12)</f>
        <v>100</v>
      </c>
      <c r="AE44" s="164" cm="1">
        <f t="array" aca="1" ref="AE44" ca="1">INDEX(auto_DataFlat_Score,$F44+AE$18,$B$12)</f>
        <v>0</v>
      </c>
      <c r="AF44" s="164" cm="1">
        <f t="array" aca="1" ref="AF44" ca="1">INDEX(auto_DataFlat_Score,$F44+AF$18,$B$12)</f>
        <v>0</v>
      </c>
      <c r="AG44" s="164" cm="1">
        <f t="array" aca="1" ref="AG44" ca="1">INDEX(auto_DataFlat_Score,$F44+AG$18,$B$12)</f>
        <v>0</v>
      </c>
      <c r="AH44" s="164" cm="1">
        <f t="array" aca="1" ref="AH44" ca="1">INDEX(auto_DataFlat_Score,$F44+AH$18,$B$12)</f>
        <v>0</v>
      </c>
      <c r="AI44" s="164" cm="1">
        <f t="array" aca="1" ref="AI44" ca="1">INDEX(auto_DataFlat_Score,$F44+AI$18,$B$12)</f>
        <v>100</v>
      </c>
      <c r="AJ44" s="164" cm="1">
        <f t="array" aca="1" ref="AJ44" ca="1">INDEX(auto_DataFlat_Score,$F44+AJ$18,$B$12)</f>
        <v>100</v>
      </c>
      <c r="AK44" s="164" cm="1">
        <f t="array" aca="1" ref="AK44" ca="1">INDEX(auto_DataFlat_Score,$F44+AK$18,$B$12)</f>
        <v>100</v>
      </c>
      <c r="AL44" s="164" cm="1">
        <f t="array" aca="1" ref="AL44" ca="1">INDEX(auto_DataFlat_Score,$F44+AL$18,$B$12)</f>
        <v>0</v>
      </c>
      <c r="AM44" s="164" cm="1">
        <f t="array" aca="1" ref="AM44" ca="1">INDEX(auto_DataFlat_Score,$F44+AM$18,$B$12)</f>
        <v>100</v>
      </c>
      <c r="AN44" s="164" cm="1">
        <f t="array" aca="1" ref="AN44" ca="1">INDEX(auto_DataFlat_Score,$F44+AN$18,$B$12)</f>
        <v>0</v>
      </c>
      <c r="AO44" s="164" cm="1">
        <f t="array" aca="1" ref="AO44" ca="1">INDEX(auto_DataFlat_Score,$F44+AO$18,$B$12)</f>
        <v>0</v>
      </c>
      <c r="AP44" s="164" cm="1">
        <f t="array" aca="1" ref="AP44" ca="1">INDEX(auto_DataFlat_Score,$F44+AP$18,$B$12)</f>
        <v>0</v>
      </c>
      <c r="AQ44" s="164" cm="1">
        <f t="array" aca="1" ref="AQ44" ca="1">INDEX(auto_DataFlat_Score,$F44+AQ$18,$B$12)</f>
        <v>0</v>
      </c>
      <c r="AR44" s="164" cm="1">
        <f t="array" aca="1" ref="AR44" ca="1">INDEX(auto_DataFlat_Score,$F44+AR$18,$B$12)</f>
        <v>100</v>
      </c>
      <c r="AS44" s="164" cm="1">
        <f t="array" aca="1" ref="AS44" ca="1">INDEX(auto_DataFlat_Score,$F44+AS$18,$B$12)</f>
        <v>100</v>
      </c>
      <c r="AT44" s="164" cm="1">
        <f t="array" aca="1" ref="AT44" ca="1">INDEX(auto_DataFlat_Score,$F44+AT$18,$B$12)</f>
        <v>0</v>
      </c>
      <c r="AU44" s="164" cm="1">
        <f t="array" aca="1" ref="AU44" ca="1">INDEX(auto_DataFlat_Score,$F44+AU$18,$B$12)</f>
        <v>100</v>
      </c>
      <c r="AV44" s="164" cm="1">
        <f t="array" aca="1" ref="AV44" ca="1">INDEX(auto_DataFlat_Score,$F44+AV$18,$B$12)</f>
        <v>0</v>
      </c>
      <c r="AW44" s="164" cm="1">
        <f t="array" aca="1" ref="AW44" ca="1">INDEX(auto_DataFlat_Score,$F44+AW$18,$B$12)</f>
        <v>0</v>
      </c>
      <c r="AX44" s="164" cm="1">
        <f t="array" aca="1" ref="AX44" ca="1">INDEX(auto_DataFlat_Score,$F44+AX$18,$B$12)</f>
        <v>0</v>
      </c>
      <c r="AY44" s="164" cm="1">
        <f t="array" aca="1" ref="AY44" ca="1">INDEX(auto_DataFlat_Score,$F44+AY$18,$B$12)</f>
        <v>0</v>
      </c>
      <c r="AZ44" s="164" cm="1">
        <f t="array" aca="1" ref="AZ44" ca="1">INDEX(auto_DataFlat_Score,$F44+AZ$18,$B$12)</f>
        <v>100</v>
      </c>
      <c r="BA44" s="164" cm="1">
        <f t="array" aca="1" ref="BA44" ca="1">INDEX(auto_DataFlat_Score,$F44+BA$18,$B$12)</f>
        <v>100</v>
      </c>
      <c r="BB44" s="164" cm="1">
        <f t="array" aca="1" ref="BB44" ca="1">INDEX(auto_DataFlat_Score,$F44+BB$18,$B$12)</f>
        <v>100</v>
      </c>
      <c r="BC44" s="164" cm="1">
        <f t="array" aca="1" ref="BC44" ca="1">INDEX(auto_DataFlat_Score,$F44+BC$18,$B$12)</f>
        <v>100</v>
      </c>
      <c r="BD44" s="164" cm="1">
        <f t="array" aca="1" ref="BD44" ca="1">INDEX(auto_DataFlat_Score,$F44+BD$18,$B$12)</f>
        <v>100</v>
      </c>
      <c r="BE44" s="164" cm="1">
        <f t="array" aca="1" ref="BE44" ca="1">INDEX(auto_DataFlat_Score,$F44+BE$18,$B$12)</f>
        <v>100</v>
      </c>
      <c r="BF44" s="164" cm="1">
        <f t="array" aca="1" ref="BF44" ca="1">INDEX(auto_DataFlat_Score,$F44+BF$18,$B$12)</f>
        <v>100</v>
      </c>
      <c r="BG44" s="164" cm="1">
        <f t="array" aca="1" ref="BG44" ca="1">INDEX(auto_DataFlat_Score,$F44+BG$18,$B$12)</f>
        <v>0</v>
      </c>
      <c r="BH44" s="164" cm="1">
        <f t="array" aca="1" ref="BH44" ca="1">INDEX(auto_DataFlat_Score,$F44+BH$18,$B$12)</f>
        <v>0</v>
      </c>
    </row>
    <row r="45" spans="1:60" ht="17.05" customHeight="1" x14ac:dyDescent="0.4">
      <c r="A45" t="str">
        <f t="shared" ca="1" si="2"/>
        <v/>
      </c>
      <c r="B45" s="49"/>
      <c r="C45" s="4">
        <v>26</v>
      </c>
      <c r="D45" s="49" cm="1">
        <f t="array" aca="1" ref="D45" ca="1">INDEX(OFFSET(auto_ss_score_table,0,1,500,1),C45)</f>
        <v>26</v>
      </c>
      <c r="E45" s="26" cm="1">
        <f t="array" aca="1" ref="E45" ca="1">INDEX(auto_tblSeries,$D45,$E$18)</f>
        <v>2</v>
      </c>
      <c r="F45" s="101" cm="1">
        <f t="array" aca="1" ref="F45" ca="1">INDEX(sys_DataFlat_LU_Grid,$D45,1)-1</f>
        <v>1500</v>
      </c>
      <c r="G45" s="26"/>
      <c r="H45" s="148" t="str" cm="1">
        <f t="array" aca="1" ref="H45" ca="1">INDEX(auto_Series_NameNumbered,$D45)</f>
        <v>3.2) Vegetable consumption</v>
      </c>
      <c r="I45" s="159">
        <f ca="1">OFFSET(iWeights!$G$18,$D45-1,0,1,1)</f>
        <v>0.125</v>
      </c>
      <c r="J45" s="160">
        <f ca="1">IF(E45=0,"-",OFFSET(iWeights!$U$18,$D45-1,0,1,1))</f>
        <v>3.2258064516129031E-2</v>
      </c>
      <c r="K45" s="161" cm="1">
        <f t="array" aca="1" ref="K45" ca="1">INDEX(auto_DataFlat_Score,$F45+K$18,$B$12)</f>
        <v>4.7</v>
      </c>
      <c r="L45" s="161" cm="1">
        <f t="array" aca="1" ref="L45" ca="1">INDEX(auto_DataFlat_Score,$F45+L$18,$B$12)</f>
        <v>23.4</v>
      </c>
      <c r="M45" s="161" cm="1">
        <f t="array" aca="1" ref="M45" ca="1">INDEX(auto_DataFlat_Score,$F45+M$18,$B$12)</f>
        <v>24.7</v>
      </c>
      <c r="N45" s="161" cm="1">
        <f t="array" aca="1" ref="N45" ca="1">INDEX(auto_DataFlat_Score,$F45+N$18,$B$12)</f>
        <v>21.9</v>
      </c>
      <c r="O45" s="161" cm="1">
        <f t="array" aca="1" ref="O45" ca="1">INDEX(auto_DataFlat_Score,$F45+O$18,$B$12)</f>
        <v>60.8</v>
      </c>
      <c r="P45" s="161" cm="1">
        <f t="array" aca="1" ref="P45" ca="1">INDEX(auto_DataFlat_Score,$F45+P$18,$B$12)</f>
        <v>100</v>
      </c>
      <c r="Q45" s="161" cm="1">
        <f t="array" aca="1" ref="Q45" ca="1">INDEX(auto_DataFlat_Score,$F45+Q$18,$B$12)</f>
        <v>69.5</v>
      </c>
      <c r="R45" s="161" cm="1">
        <f t="array" aca="1" ref="R45" ca="1">INDEX(auto_DataFlat_Score,$F45+R$18,$B$12)</f>
        <v>12.3</v>
      </c>
      <c r="S45" s="161" cm="1">
        <f t="array" aca="1" ref="S45" ca="1">INDEX(auto_DataFlat_Score,$F45+S$18,$B$12)</f>
        <v>80.400000000000006</v>
      </c>
      <c r="T45" s="161" cm="1">
        <f t="array" aca="1" ref="T45" ca="1">INDEX(auto_DataFlat_Score,$F45+T$18,$B$12)</f>
        <v>50</v>
      </c>
      <c r="U45" s="161" cm="1">
        <f t="array" aca="1" ref="U45" ca="1">INDEX(auto_DataFlat_Score,$F45+U$18,$B$12)</f>
        <v>11.1</v>
      </c>
      <c r="V45" s="161" cm="1">
        <f t="array" aca="1" ref="V45" ca="1">INDEX(auto_DataFlat_Score,$F45+V$18,$B$12)</f>
        <v>13.9</v>
      </c>
      <c r="W45" s="161" cm="1">
        <f t="array" aca="1" ref="W45" ca="1">INDEX(auto_DataFlat_Score,$F45+W$18,$B$12)</f>
        <v>5.7</v>
      </c>
      <c r="X45" s="161" cm="1">
        <f t="array" aca="1" ref="X45" ca="1">INDEX(auto_DataFlat_Score,$F45+X$18,$B$12)</f>
        <v>24.1</v>
      </c>
      <c r="Y45" s="161" cm="1">
        <f t="array" aca="1" ref="Y45" ca="1">INDEX(auto_DataFlat_Score,$F45+Y$18,$B$12)</f>
        <v>68.3</v>
      </c>
      <c r="Z45" s="161" cm="1">
        <f t="array" aca="1" ref="Z45" ca="1">INDEX(auto_DataFlat_Score,$F45+Z$18,$B$12)</f>
        <v>73.900000000000006</v>
      </c>
      <c r="AA45" s="161" cm="1">
        <f t="array" aca="1" ref="AA45" ca="1">INDEX(auto_DataFlat_Score,$F45+AA$18,$B$12)</f>
        <v>96.7</v>
      </c>
      <c r="AB45" s="161" cm="1">
        <f t="array" aca="1" ref="AB45" ca="1">INDEX(auto_DataFlat_Score,$F45+AB$18,$B$12)</f>
        <v>50</v>
      </c>
      <c r="AC45" s="161" cm="1">
        <f t="array" aca="1" ref="AC45" ca="1">INDEX(auto_DataFlat_Score,$F45+AC$18,$B$12)</f>
        <v>61.1</v>
      </c>
      <c r="AD45" s="161" cm="1">
        <f t="array" aca="1" ref="AD45" ca="1">INDEX(auto_DataFlat_Score,$F45+AD$18,$B$12)</f>
        <v>10.8</v>
      </c>
      <c r="AE45" s="161" cm="1">
        <f t="array" aca="1" ref="AE45" ca="1">INDEX(auto_DataFlat_Score,$F45+AE$18,$B$12)</f>
        <v>7.2</v>
      </c>
      <c r="AF45" s="161" cm="1">
        <f t="array" aca="1" ref="AF45" ca="1">INDEX(auto_DataFlat_Score,$F45+AF$18,$B$12)</f>
        <v>12.1</v>
      </c>
      <c r="AG45" s="161" cm="1">
        <f t="array" aca="1" ref="AG45" ca="1">INDEX(auto_DataFlat_Score,$F45+AG$18,$B$12)</f>
        <v>13.9</v>
      </c>
      <c r="AH45" s="161" cm="1">
        <f t="array" aca="1" ref="AH45" ca="1">INDEX(auto_DataFlat_Score,$F45+AH$18,$B$12)</f>
        <v>38.799999999999997</v>
      </c>
      <c r="AI45" s="161" cm="1">
        <f t="array" aca="1" ref="AI45" ca="1">INDEX(auto_DataFlat_Score,$F45+AI$18,$B$12)</f>
        <v>15.5</v>
      </c>
      <c r="AJ45" s="161" cm="1">
        <f t="array" aca="1" ref="AJ45" ca="1">INDEX(auto_DataFlat_Score,$F45+AJ$18,$B$12)</f>
        <v>70.099999999999994</v>
      </c>
      <c r="AK45" s="161" cm="1">
        <f t="array" aca="1" ref="AK45" ca="1">INDEX(auto_DataFlat_Score,$F45+AK$18,$B$12)</f>
        <v>77.599999999999994</v>
      </c>
      <c r="AL45" s="161" cm="1">
        <f t="array" aca="1" ref="AL45" ca="1">INDEX(auto_DataFlat_Score,$F45+AL$18,$B$12)</f>
        <v>13.1</v>
      </c>
      <c r="AM45" s="161" cm="1">
        <f t="array" aca="1" ref="AM45" ca="1">INDEX(auto_DataFlat_Score,$F45+AM$18,$B$12)</f>
        <v>70.8</v>
      </c>
      <c r="AN45" s="161" cm="1">
        <f t="array" aca="1" ref="AN45" ca="1">INDEX(auto_DataFlat_Score,$F45+AN$18,$B$12)</f>
        <v>15.2</v>
      </c>
      <c r="AO45" s="161" cm="1">
        <f t="array" aca="1" ref="AO45" ca="1">INDEX(auto_DataFlat_Score,$F45+AO$18,$B$12)</f>
        <v>72.400000000000006</v>
      </c>
      <c r="AP45" s="161" cm="1">
        <f t="array" aca="1" ref="AP45" ca="1">INDEX(auto_DataFlat_Score,$F45+AP$18,$B$12)</f>
        <v>13.9</v>
      </c>
      <c r="AQ45" s="161" cm="1">
        <f t="array" aca="1" ref="AQ45" ca="1">INDEX(auto_DataFlat_Score,$F45+AQ$18,$B$12)</f>
        <v>11.6</v>
      </c>
      <c r="AR45" s="161" cm="1">
        <f t="array" aca="1" ref="AR45" ca="1">INDEX(auto_DataFlat_Score,$F45+AR$18,$B$12)</f>
        <v>74.7</v>
      </c>
      <c r="AS45" s="161" cm="1">
        <f t="array" aca="1" ref="AS45" ca="1">INDEX(auto_DataFlat_Score,$F45+AS$18,$B$12)</f>
        <v>84</v>
      </c>
      <c r="AT45" s="161" cm="1">
        <f t="array" aca="1" ref="AT45" ca="1">INDEX(auto_DataFlat_Score,$F45+AT$18,$B$12)</f>
        <v>17.5</v>
      </c>
      <c r="AU45" s="161" cm="1">
        <f t="array" aca="1" ref="AU45" ca="1">INDEX(auto_DataFlat_Score,$F45+AU$18,$B$12)</f>
        <v>55</v>
      </c>
      <c r="AV45" s="161" cm="1">
        <f t="array" aca="1" ref="AV45" ca="1">INDEX(auto_DataFlat_Score,$F45+AV$18,$B$12)</f>
        <v>21</v>
      </c>
      <c r="AW45" s="161" cm="1">
        <f t="array" aca="1" ref="AW45" ca="1">INDEX(auto_DataFlat_Score,$F45+AW$18,$B$12)</f>
        <v>27</v>
      </c>
      <c r="AX45" s="161" cm="1">
        <f t="array" aca="1" ref="AX45" ca="1">INDEX(auto_DataFlat_Score,$F45+AX$18,$B$12)</f>
        <v>24.7</v>
      </c>
      <c r="AY45" s="161" cm="1">
        <f t="array" aca="1" ref="AY45" ca="1">INDEX(auto_DataFlat_Score,$F45+AY$18,$B$12)</f>
        <v>62.7</v>
      </c>
      <c r="AZ45" s="161" cm="1">
        <f t="array" aca="1" ref="AZ45" ca="1">INDEX(auto_DataFlat_Score,$F45+AZ$18,$B$12)</f>
        <v>84.4</v>
      </c>
      <c r="BA45" s="161" cm="1">
        <f t="array" aca="1" ref="BA45" ca="1">INDEX(auto_DataFlat_Score,$F45+BA$18,$B$12)</f>
        <v>100</v>
      </c>
      <c r="BB45" s="161" cm="1">
        <f t="array" aca="1" ref="BB45" ca="1">INDEX(auto_DataFlat_Score,$F45+BB$18,$B$12)</f>
        <v>79.900000000000006</v>
      </c>
      <c r="BC45" s="161" cm="1">
        <f t="array" aca="1" ref="BC45" ca="1">INDEX(auto_DataFlat_Score,$F45+BC$18,$B$12)</f>
        <v>70.8</v>
      </c>
      <c r="BD45" s="161" cm="1">
        <f t="array" aca="1" ref="BD45" ca="1">INDEX(auto_DataFlat_Score,$F45+BD$18,$B$12)</f>
        <v>84</v>
      </c>
      <c r="BE45" s="161" cm="1">
        <f t="array" aca="1" ref="BE45" ca="1">INDEX(auto_DataFlat_Score,$F45+BE$18,$B$12)</f>
        <v>72.2</v>
      </c>
      <c r="BF45" s="161" cm="1">
        <f t="array" aca="1" ref="BF45" ca="1">INDEX(auto_DataFlat_Score,$F45+BF$18,$B$12)</f>
        <v>72.3</v>
      </c>
      <c r="BG45" s="161" cm="1">
        <f t="array" aca="1" ref="BG45" ca="1">INDEX(auto_DataFlat_Score,$F45+BG$18,$B$12)</f>
        <v>50</v>
      </c>
      <c r="BH45" s="161" cm="1">
        <f t="array" aca="1" ref="BH45" ca="1">INDEX(auto_DataFlat_Score,$F45+BH$18,$B$12)</f>
        <v>14.9</v>
      </c>
    </row>
    <row r="46" spans="1:60" ht="17.05" customHeight="1" x14ac:dyDescent="0.4">
      <c r="A46" t="str">
        <f t="shared" ca="1" si="2"/>
        <v/>
      </c>
      <c r="B46" s="49"/>
      <c r="C46" s="4">
        <v>27</v>
      </c>
      <c r="D46" s="49" cm="1">
        <f t="array" aca="1" ref="D46" ca="1">INDEX(OFFSET(auto_ss_score_table,0,1,500,1),C46)</f>
        <v>27</v>
      </c>
      <c r="E46" s="26" cm="1">
        <f t="array" aca="1" ref="E46" ca="1">INDEX(auto_tblSeries,$D46,$E$18)</f>
        <v>3</v>
      </c>
      <c r="F46" s="101" cm="1">
        <f t="array" aca="1" ref="F46" ca="1">INDEX(sys_DataFlat_LU_Grid,$D46,1)-1</f>
        <v>1560</v>
      </c>
      <c r="G46" s="26"/>
      <c r="H46" s="151" t="str" cm="1">
        <f t="array" aca="1" ref="H46" ca="1">INDEX(auto_Series_NameNumbered,$D46)</f>
        <v>3.2a) Vegetable consumption: national data</v>
      </c>
      <c r="I46" s="162">
        <f ca="1">IF(D46=1,"-",OFFSET(iWeights!$G$18,$D46-1,0,1,1))</f>
        <v>0.5</v>
      </c>
      <c r="J46" s="163">
        <f ca="1">IF(E46=0,"-",OFFSET(iWeights!$U$18,$D46-1,0,1,1))</f>
        <v>1.6129032258064516E-2</v>
      </c>
      <c r="K46" s="164" cm="1">
        <f t="array" aca="1" ref="K46" ca="1">INDEX(auto_DataFlat_Score,$F46+K$18,$B$12)</f>
        <v>9.5</v>
      </c>
      <c r="L46" s="164" cm="1">
        <f t="array" aca="1" ref="L46" ca="1">INDEX(auto_DataFlat_Score,$F46+L$18,$B$12)</f>
        <v>46.8</v>
      </c>
      <c r="M46" s="164" cm="1">
        <f t="array" aca="1" ref="M46" ca="1">INDEX(auto_DataFlat_Score,$F46+M$18,$B$12)</f>
        <v>49.3</v>
      </c>
      <c r="N46" s="164" cm="1">
        <f t="array" aca="1" ref="N46" ca="1">INDEX(auto_DataFlat_Score,$F46+N$18,$B$12)</f>
        <v>43.8</v>
      </c>
      <c r="O46" s="164" cm="1">
        <f t="array" aca="1" ref="O46" ca="1">INDEX(auto_DataFlat_Score,$F46+O$18,$B$12)</f>
        <v>21.6</v>
      </c>
      <c r="P46" s="164" cm="1">
        <f t="array" aca="1" ref="P46" ca="1">INDEX(auto_DataFlat_Score,$F46+P$18,$B$12)</f>
        <v>100</v>
      </c>
      <c r="Q46" s="164" cm="1">
        <f t="array" aca="1" ref="Q46" ca="1">INDEX(auto_DataFlat_Score,$F46+Q$18,$B$12)</f>
        <v>39</v>
      </c>
      <c r="R46" s="164" cm="1">
        <f t="array" aca="1" ref="R46" ca="1">INDEX(auto_DataFlat_Score,$F46+R$18,$B$12)</f>
        <v>24.7</v>
      </c>
      <c r="S46" s="164" cm="1">
        <f t="array" aca="1" ref="S46" ca="1">INDEX(auto_DataFlat_Score,$F46+S$18,$B$12)</f>
        <v>60.9</v>
      </c>
      <c r="T46" s="164" cm="1">
        <f t="array" aca="1" ref="T46" ca="1">INDEX(auto_DataFlat_Score,$F46+T$18,$B$12)</f>
        <v>100</v>
      </c>
      <c r="U46" s="164" cm="1">
        <f t="array" aca="1" ref="U46" ca="1">INDEX(auto_DataFlat_Score,$F46+U$18,$B$12)</f>
        <v>22.1</v>
      </c>
      <c r="V46" s="164" cm="1">
        <f t="array" aca="1" ref="V46" ca="1">INDEX(auto_DataFlat_Score,$F46+V$18,$B$12)</f>
        <v>27.8</v>
      </c>
      <c r="W46" s="164" cm="1">
        <f t="array" aca="1" ref="W46" ca="1">INDEX(auto_DataFlat_Score,$F46+W$18,$B$12)</f>
        <v>11.5</v>
      </c>
      <c r="X46" s="164" cm="1">
        <f t="array" aca="1" ref="X46" ca="1">INDEX(auto_DataFlat_Score,$F46+X$18,$B$12)</f>
        <v>48.1</v>
      </c>
      <c r="Y46" s="164" cm="1">
        <f t="array" aca="1" ref="Y46" ca="1">INDEX(auto_DataFlat_Score,$F46+Y$18,$B$12)</f>
        <v>36.5</v>
      </c>
      <c r="Z46" s="164" cm="1">
        <f t="array" aca="1" ref="Z46" ca="1">INDEX(auto_DataFlat_Score,$F46+Z$18,$B$12)</f>
        <v>47.9</v>
      </c>
      <c r="AA46" s="164" cm="1">
        <f t="array" aca="1" ref="AA46" ca="1">INDEX(auto_DataFlat_Score,$F46+AA$18,$B$12)</f>
        <v>93.5</v>
      </c>
      <c r="AB46" s="164" cm="1">
        <f t="array" aca="1" ref="AB46" ca="1">INDEX(auto_DataFlat_Score,$F46+AB$18,$B$12)</f>
        <v>100</v>
      </c>
      <c r="AC46" s="164" cm="1">
        <f t="array" aca="1" ref="AC46" ca="1">INDEX(auto_DataFlat_Score,$F46+AC$18,$B$12)</f>
        <v>22.2</v>
      </c>
      <c r="AD46" s="164" cm="1">
        <f t="array" aca="1" ref="AD46" ca="1">INDEX(auto_DataFlat_Score,$F46+AD$18,$B$12)</f>
        <v>21.7</v>
      </c>
      <c r="AE46" s="164" cm="1">
        <f t="array" aca="1" ref="AE46" ca="1">INDEX(auto_DataFlat_Score,$F46+AE$18,$B$12)</f>
        <v>14.3</v>
      </c>
      <c r="AF46" s="164" cm="1">
        <f t="array" aca="1" ref="AF46" ca="1">INDEX(auto_DataFlat_Score,$F46+AF$18,$B$12)</f>
        <v>24.3</v>
      </c>
      <c r="AG46" s="164" cm="1">
        <f t="array" aca="1" ref="AG46" ca="1">INDEX(auto_DataFlat_Score,$F46+AG$18,$B$12)</f>
        <v>27.8</v>
      </c>
      <c r="AH46" s="164" cm="1">
        <f t="array" aca="1" ref="AH46" ca="1">INDEX(auto_DataFlat_Score,$F46+AH$18,$B$12)</f>
        <v>77.599999999999994</v>
      </c>
      <c r="AI46" s="164" cm="1">
        <f t="array" aca="1" ref="AI46" ca="1">INDEX(auto_DataFlat_Score,$F46+AI$18,$B$12)</f>
        <v>31</v>
      </c>
      <c r="AJ46" s="164" cm="1">
        <f t="array" aca="1" ref="AJ46" ca="1">INDEX(auto_DataFlat_Score,$F46+AJ$18,$B$12)</f>
        <v>40.200000000000003</v>
      </c>
      <c r="AK46" s="164" cm="1">
        <f t="array" aca="1" ref="AK46" ca="1">INDEX(auto_DataFlat_Score,$F46+AK$18,$B$12)</f>
        <v>55.2</v>
      </c>
      <c r="AL46" s="164" cm="1">
        <f t="array" aca="1" ref="AL46" ca="1">INDEX(auto_DataFlat_Score,$F46+AL$18,$B$12)</f>
        <v>26.2</v>
      </c>
      <c r="AM46" s="164" cm="1">
        <f t="array" aca="1" ref="AM46" ca="1">INDEX(auto_DataFlat_Score,$F46+AM$18,$B$12)</f>
        <v>41.5</v>
      </c>
      <c r="AN46" s="164" cm="1">
        <f t="array" aca="1" ref="AN46" ca="1">INDEX(auto_DataFlat_Score,$F46+AN$18,$B$12)</f>
        <v>30.4</v>
      </c>
      <c r="AO46" s="164" cm="1">
        <f t="array" aca="1" ref="AO46" ca="1">INDEX(auto_DataFlat_Score,$F46+AO$18,$B$12)</f>
        <v>44.9</v>
      </c>
      <c r="AP46" s="164" cm="1">
        <f t="array" aca="1" ref="AP46" ca="1">INDEX(auto_DataFlat_Score,$F46+AP$18,$B$12)</f>
        <v>27.8</v>
      </c>
      <c r="AQ46" s="164" cm="1">
        <f t="array" aca="1" ref="AQ46" ca="1">INDEX(auto_DataFlat_Score,$F46+AQ$18,$B$12)</f>
        <v>23.1</v>
      </c>
      <c r="AR46" s="164" cm="1">
        <f t="array" aca="1" ref="AR46" ca="1">INDEX(auto_DataFlat_Score,$F46+AR$18,$B$12)</f>
        <v>49.3</v>
      </c>
      <c r="AS46" s="164" cm="1">
        <f t="array" aca="1" ref="AS46" ca="1">INDEX(auto_DataFlat_Score,$F46+AS$18,$B$12)</f>
        <v>67.900000000000006</v>
      </c>
      <c r="AT46" s="164" cm="1">
        <f t="array" aca="1" ref="AT46" ca="1">INDEX(auto_DataFlat_Score,$F46+AT$18,$B$12)</f>
        <v>35</v>
      </c>
      <c r="AU46" s="164" cm="1">
        <f t="array" aca="1" ref="AU46" ca="1">INDEX(auto_DataFlat_Score,$F46+AU$18,$B$12)</f>
        <v>9.9</v>
      </c>
      <c r="AV46" s="164" cm="1">
        <f t="array" aca="1" ref="AV46" ca="1">INDEX(auto_DataFlat_Score,$F46+AV$18,$B$12)</f>
        <v>42</v>
      </c>
      <c r="AW46" s="164" cm="1">
        <f t="array" aca="1" ref="AW46" ca="1">INDEX(auto_DataFlat_Score,$F46+AW$18,$B$12)</f>
        <v>54</v>
      </c>
      <c r="AX46" s="164" cm="1">
        <f t="array" aca="1" ref="AX46" ca="1">INDEX(auto_DataFlat_Score,$F46+AX$18,$B$12)</f>
        <v>49.3</v>
      </c>
      <c r="AY46" s="164" cm="1">
        <f t="array" aca="1" ref="AY46" ca="1">INDEX(auto_DataFlat_Score,$F46+AY$18,$B$12)</f>
        <v>25.4</v>
      </c>
      <c r="AZ46" s="164" cm="1">
        <f t="array" aca="1" ref="AZ46" ca="1">INDEX(auto_DataFlat_Score,$F46+AZ$18,$B$12)</f>
        <v>68.8</v>
      </c>
      <c r="BA46" s="164" cm="1">
        <f t="array" aca="1" ref="BA46" ca="1">INDEX(auto_DataFlat_Score,$F46+BA$18,$B$12)</f>
        <v>100</v>
      </c>
      <c r="BB46" s="164" cm="1">
        <f t="array" aca="1" ref="BB46" ca="1">INDEX(auto_DataFlat_Score,$F46+BB$18,$B$12)</f>
        <v>59.8</v>
      </c>
      <c r="BC46" s="164" cm="1">
        <f t="array" aca="1" ref="BC46" ca="1">INDEX(auto_DataFlat_Score,$F46+BC$18,$B$12)</f>
        <v>41.5</v>
      </c>
      <c r="BD46" s="164" cm="1">
        <f t="array" aca="1" ref="BD46" ca="1">INDEX(auto_DataFlat_Score,$F46+BD$18,$B$12)</f>
        <v>67.900000000000006</v>
      </c>
      <c r="BE46" s="164" cm="1">
        <f t="array" aca="1" ref="BE46" ca="1">INDEX(auto_DataFlat_Score,$F46+BE$18,$B$12)</f>
        <v>44.3</v>
      </c>
      <c r="BF46" s="164" cm="1">
        <f t="array" aca="1" ref="BF46" ca="1">INDEX(auto_DataFlat_Score,$F46+BF$18,$B$12)</f>
        <v>44.7</v>
      </c>
      <c r="BG46" s="164" cm="1">
        <f t="array" aca="1" ref="BG46" ca="1">INDEX(auto_DataFlat_Score,$F46+BG$18,$B$12)</f>
        <v>100</v>
      </c>
      <c r="BH46" s="164" cm="1">
        <f t="array" aca="1" ref="BH46" ca="1">INDEX(auto_DataFlat_Score,$F46+BH$18,$B$12)</f>
        <v>29.9</v>
      </c>
    </row>
    <row r="47" spans="1:60" ht="17.05" customHeight="1" x14ac:dyDescent="0.4">
      <c r="A47" t="str">
        <f t="shared" ca="1" si="2"/>
        <v/>
      </c>
      <c r="B47" s="49"/>
      <c r="C47" s="4">
        <v>28</v>
      </c>
      <c r="D47" s="49" cm="1">
        <f t="array" aca="1" ref="D47" ca="1">INDEX(OFFSET(auto_ss_score_table,0,1,500,1),C47)</f>
        <v>28</v>
      </c>
      <c r="E47" s="26" cm="1">
        <f t="array" aca="1" ref="E47" ca="1">INDEX(auto_tblSeries,$D47,$E$18)</f>
        <v>3</v>
      </c>
      <c r="F47" s="101" cm="1">
        <f t="array" aca="1" ref="F47" ca="1">INDEX(sys_DataFlat_LU_Grid,$D47,1)-1</f>
        <v>1620</v>
      </c>
      <c r="G47" s="26"/>
      <c r="H47" s="151" t="str" cm="1">
        <f t="array" aca="1" ref="H47" ca="1">INDEX(auto_Series_NameNumbered,$D47)</f>
        <v>3.2b) Vegetable consumption: city-level data availability</v>
      </c>
      <c r="I47" s="162">
        <f ca="1">OFFSET(iWeights!$G$18,$D47-1,0,1,1)</f>
        <v>0.5</v>
      </c>
      <c r="J47" s="163">
        <f ca="1">IF(E47=0,"-",OFFSET(iWeights!$U$18,$D47-1,0,1,1))</f>
        <v>1.6129032258064516E-2</v>
      </c>
      <c r="K47" s="164" cm="1">
        <f t="array" aca="1" ref="K47" ca="1">INDEX(auto_DataFlat_Score,$F47+K$18,$B$12)</f>
        <v>0</v>
      </c>
      <c r="L47" s="164" cm="1">
        <f t="array" aca="1" ref="L47" ca="1">INDEX(auto_DataFlat_Score,$F47+L$18,$B$12)</f>
        <v>0</v>
      </c>
      <c r="M47" s="164" cm="1">
        <f t="array" aca="1" ref="M47" ca="1">INDEX(auto_DataFlat_Score,$F47+M$18,$B$12)</f>
        <v>0</v>
      </c>
      <c r="N47" s="164" cm="1">
        <f t="array" aca="1" ref="N47" ca="1">INDEX(auto_DataFlat_Score,$F47+N$18,$B$12)</f>
        <v>0</v>
      </c>
      <c r="O47" s="164" cm="1">
        <f t="array" aca="1" ref="O47" ca="1">INDEX(auto_DataFlat_Score,$F47+O$18,$B$12)</f>
        <v>100</v>
      </c>
      <c r="P47" s="164" cm="1">
        <f t="array" aca="1" ref="P47" ca="1">INDEX(auto_DataFlat_Score,$F47+P$18,$B$12)</f>
        <v>100</v>
      </c>
      <c r="Q47" s="164" cm="1">
        <f t="array" aca="1" ref="Q47" ca="1">INDEX(auto_DataFlat_Score,$F47+Q$18,$B$12)</f>
        <v>100</v>
      </c>
      <c r="R47" s="164" cm="1">
        <f t="array" aca="1" ref="R47" ca="1">INDEX(auto_DataFlat_Score,$F47+R$18,$B$12)</f>
        <v>0</v>
      </c>
      <c r="S47" s="164" cm="1">
        <f t="array" aca="1" ref="S47" ca="1">INDEX(auto_DataFlat_Score,$F47+S$18,$B$12)</f>
        <v>100</v>
      </c>
      <c r="T47" s="164" cm="1">
        <f t="array" aca="1" ref="T47" ca="1">INDEX(auto_DataFlat_Score,$F47+T$18,$B$12)</f>
        <v>0</v>
      </c>
      <c r="U47" s="164" cm="1">
        <f t="array" aca="1" ref="U47" ca="1">INDEX(auto_DataFlat_Score,$F47+U$18,$B$12)</f>
        <v>0</v>
      </c>
      <c r="V47" s="164" cm="1">
        <f t="array" aca="1" ref="V47" ca="1">INDEX(auto_DataFlat_Score,$F47+V$18,$B$12)</f>
        <v>0</v>
      </c>
      <c r="W47" s="164" cm="1">
        <f t="array" aca="1" ref="W47" ca="1">INDEX(auto_DataFlat_Score,$F47+W$18,$B$12)</f>
        <v>0</v>
      </c>
      <c r="X47" s="164" cm="1">
        <f t="array" aca="1" ref="X47" ca="1">INDEX(auto_DataFlat_Score,$F47+X$18,$B$12)</f>
        <v>0</v>
      </c>
      <c r="Y47" s="164" cm="1">
        <f t="array" aca="1" ref="Y47" ca="1">INDEX(auto_DataFlat_Score,$F47+Y$18,$B$12)</f>
        <v>100</v>
      </c>
      <c r="Z47" s="164" cm="1">
        <f t="array" aca="1" ref="Z47" ca="1">INDEX(auto_DataFlat_Score,$F47+Z$18,$B$12)</f>
        <v>100</v>
      </c>
      <c r="AA47" s="164" cm="1">
        <f t="array" aca="1" ref="AA47" ca="1">INDEX(auto_DataFlat_Score,$F47+AA$18,$B$12)</f>
        <v>100</v>
      </c>
      <c r="AB47" s="164" cm="1">
        <f t="array" aca="1" ref="AB47" ca="1">INDEX(auto_DataFlat_Score,$F47+AB$18,$B$12)</f>
        <v>0</v>
      </c>
      <c r="AC47" s="164" cm="1">
        <f t="array" aca="1" ref="AC47" ca="1">INDEX(auto_DataFlat_Score,$F47+AC$18,$B$12)</f>
        <v>100</v>
      </c>
      <c r="AD47" s="164" cm="1">
        <f t="array" aca="1" ref="AD47" ca="1">INDEX(auto_DataFlat_Score,$F47+AD$18,$B$12)</f>
        <v>0</v>
      </c>
      <c r="AE47" s="164" cm="1">
        <f t="array" aca="1" ref="AE47" ca="1">INDEX(auto_DataFlat_Score,$F47+AE$18,$B$12)</f>
        <v>0</v>
      </c>
      <c r="AF47" s="164" cm="1">
        <f t="array" aca="1" ref="AF47" ca="1">INDEX(auto_DataFlat_Score,$F47+AF$18,$B$12)</f>
        <v>0</v>
      </c>
      <c r="AG47" s="164" cm="1">
        <f t="array" aca="1" ref="AG47" ca="1">INDEX(auto_DataFlat_Score,$F47+AG$18,$B$12)</f>
        <v>0</v>
      </c>
      <c r="AH47" s="164" cm="1">
        <f t="array" aca="1" ref="AH47" ca="1">INDEX(auto_DataFlat_Score,$F47+AH$18,$B$12)</f>
        <v>0</v>
      </c>
      <c r="AI47" s="164" cm="1">
        <f t="array" aca="1" ref="AI47" ca="1">INDEX(auto_DataFlat_Score,$F47+AI$18,$B$12)</f>
        <v>0</v>
      </c>
      <c r="AJ47" s="164" cm="1">
        <f t="array" aca="1" ref="AJ47" ca="1">INDEX(auto_DataFlat_Score,$F47+AJ$18,$B$12)</f>
        <v>100</v>
      </c>
      <c r="AK47" s="164" cm="1">
        <f t="array" aca="1" ref="AK47" ca="1">INDEX(auto_DataFlat_Score,$F47+AK$18,$B$12)</f>
        <v>100</v>
      </c>
      <c r="AL47" s="164" cm="1">
        <f t="array" aca="1" ref="AL47" ca="1">INDEX(auto_DataFlat_Score,$F47+AL$18,$B$12)</f>
        <v>0</v>
      </c>
      <c r="AM47" s="164" cm="1">
        <f t="array" aca="1" ref="AM47" ca="1">INDEX(auto_DataFlat_Score,$F47+AM$18,$B$12)</f>
        <v>100</v>
      </c>
      <c r="AN47" s="164" cm="1">
        <f t="array" aca="1" ref="AN47" ca="1">INDEX(auto_DataFlat_Score,$F47+AN$18,$B$12)</f>
        <v>0</v>
      </c>
      <c r="AO47" s="164" cm="1">
        <f t="array" aca="1" ref="AO47" ca="1">INDEX(auto_DataFlat_Score,$F47+AO$18,$B$12)</f>
        <v>100</v>
      </c>
      <c r="AP47" s="164" cm="1">
        <f t="array" aca="1" ref="AP47" ca="1">INDEX(auto_DataFlat_Score,$F47+AP$18,$B$12)</f>
        <v>0</v>
      </c>
      <c r="AQ47" s="164" cm="1">
        <f t="array" aca="1" ref="AQ47" ca="1">INDEX(auto_DataFlat_Score,$F47+AQ$18,$B$12)</f>
        <v>0</v>
      </c>
      <c r="AR47" s="164" cm="1">
        <f t="array" aca="1" ref="AR47" ca="1">INDEX(auto_DataFlat_Score,$F47+AR$18,$B$12)</f>
        <v>100</v>
      </c>
      <c r="AS47" s="164" cm="1">
        <f t="array" aca="1" ref="AS47" ca="1">INDEX(auto_DataFlat_Score,$F47+AS$18,$B$12)</f>
        <v>100</v>
      </c>
      <c r="AT47" s="164" cm="1">
        <f t="array" aca="1" ref="AT47" ca="1">INDEX(auto_DataFlat_Score,$F47+AT$18,$B$12)</f>
        <v>0</v>
      </c>
      <c r="AU47" s="164" cm="1">
        <f t="array" aca="1" ref="AU47" ca="1">INDEX(auto_DataFlat_Score,$F47+AU$18,$B$12)</f>
        <v>100</v>
      </c>
      <c r="AV47" s="164" cm="1">
        <f t="array" aca="1" ref="AV47" ca="1">INDEX(auto_DataFlat_Score,$F47+AV$18,$B$12)</f>
        <v>0</v>
      </c>
      <c r="AW47" s="164" cm="1">
        <f t="array" aca="1" ref="AW47" ca="1">INDEX(auto_DataFlat_Score,$F47+AW$18,$B$12)</f>
        <v>0</v>
      </c>
      <c r="AX47" s="164" cm="1">
        <f t="array" aca="1" ref="AX47" ca="1">INDEX(auto_DataFlat_Score,$F47+AX$18,$B$12)</f>
        <v>0</v>
      </c>
      <c r="AY47" s="164" cm="1">
        <f t="array" aca="1" ref="AY47" ca="1">INDEX(auto_DataFlat_Score,$F47+AY$18,$B$12)</f>
        <v>100</v>
      </c>
      <c r="AZ47" s="164" cm="1">
        <f t="array" aca="1" ref="AZ47" ca="1">INDEX(auto_DataFlat_Score,$F47+AZ$18,$B$12)</f>
        <v>100</v>
      </c>
      <c r="BA47" s="164" cm="1">
        <f t="array" aca="1" ref="BA47" ca="1">INDEX(auto_DataFlat_Score,$F47+BA$18,$B$12)</f>
        <v>100</v>
      </c>
      <c r="BB47" s="164" cm="1">
        <f t="array" aca="1" ref="BB47" ca="1">INDEX(auto_DataFlat_Score,$F47+BB$18,$B$12)</f>
        <v>100</v>
      </c>
      <c r="BC47" s="164" cm="1">
        <f t="array" aca="1" ref="BC47" ca="1">INDEX(auto_DataFlat_Score,$F47+BC$18,$B$12)</f>
        <v>100</v>
      </c>
      <c r="BD47" s="164" cm="1">
        <f t="array" aca="1" ref="BD47" ca="1">INDEX(auto_DataFlat_Score,$F47+BD$18,$B$12)</f>
        <v>100</v>
      </c>
      <c r="BE47" s="164" cm="1">
        <f t="array" aca="1" ref="BE47" ca="1">INDEX(auto_DataFlat_Score,$F47+BE$18,$B$12)</f>
        <v>100</v>
      </c>
      <c r="BF47" s="164" cm="1">
        <f t="array" aca="1" ref="BF47" ca="1">INDEX(auto_DataFlat_Score,$F47+BF$18,$B$12)</f>
        <v>100</v>
      </c>
      <c r="BG47" s="164" cm="1">
        <f t="array" aca="1" ref="BG47" ca="1">INDEX(auto_DataFlat_Score,$F47+BG$18,$B$12)</f>
        <v>0</v>
      </c>
      <c r="BH47" s="164" cm="1">
        <f t="array" aca="1" ref="BH47" ca="1">INDEX(auto_DataFlat_Score,$F47+BH$18,$B$12)</f>
        <v>0</v>
      </c>
    </row>
    <row r="48" spans="1:60" ht="17.05" customHeight="1" x14ac:dyDescent="0.4">
      <c r="A48" t="str">
        <f t="shared" ca="1" si="2"/>
        <v/>
      </c>
      <c r="B48" s="49"/>
      <c r="C48" s="4">
        <v>29</v>
      </c>
      <c r="D48" s="49" cm="1">
        <f t="array" aca="1" ref="D48" ca="1">INDEX(OFFSET(auto_ss_score_table,0,1,500,1),C48)</f>
        <v>29</v>
      </c>
      <c r="E48" s="26" cm="1">
        <f t="array" aca="1" ref="E48" ca="1">INDEX(auto_tblSeries,$D48,$E$18)</f>
        <v>2</v>
      </c>
      <c r="F48" s="101" cm="1">
        <f t="array" aca="1" ref="F48" ca="1">INDEX(sys_DataFlat_LU_Grid,$D48,1)-1</f>
        <v>1680</v>
      </c>
      <c r="G48" s="26"/>
      <c r="H48" s="148" t="str" cm="1">
        <f t="array" aca="1" ref="H48" ca="1">INDEX(auto_Series_NameNumbered,$D48)</f>
        <v>3.3) Trans fats consumption</v>
      </c>
      <c r="I48" s="159">
        <f ca="1">IF(D48=1,"-",OFFSET(iWeights!$G$18,$D48-1,0,1,1))</f>
        <v>0.125</v>
      </c>
      <c r="J48" s="160">
        <f ca="1">IF(E48=0,"-",OFFSET(iWeights!$U$18,$D48-1,0,1,1))</f>
        <v>3.2258064516129031E-2</v>
      </c>
      <c r="K48" s="161" cm="1">
        <f t="array" aca="1" ref="K48" ca="1">INDEX(auto_DataFlat_Score,$F48+K$18,$B$12)</f>
        <v>50</v>
      </c>
      <c r="L48" s="161" cm="1">
        <f t="array" aca="1" ref="L48" ca="1">INDEX(auto_DataFlat_Score,$F48+L$18,$B$12)</f>
        <v>50</v>
      </c>
      <c r="M48" s="161" cm="1">
        <f t="array" aca="1" ref="M48" ca="1">INDEX(auto_DataFlat_Score,$F48+M$18,$B$12)</f>
        <v>15</v>
      </c>
      <c r="N48" s="161" cm="1">
        <f t="array" aca="1" ref="N48" ca="1">INDEX(auto_DataFlat_Score,$F48+N$18,$B$12)</f>
        <v>50</v>
      </c>
      <c r="O48" s="161" cm="1">
        <f t="array" aca="1" ref="O48" ca="1">INDEX(auto_DataFlat_Score,$F48+O$18,$B$12)</f>
        <v>50</v>
      </c>
      <c r="P48" s="161" cm="1">
        <f t="array" aca="1" ref="P48" ca="1">INDEX(auto_DataFlat_Score,$F48+P$18,$B$12)</f>
        <v>100</v>
      </c>
      <c r="Q48" s="161" cm="1">
        <f t="array" aca="1" ref="Q48" ca="1">INDEX(auto_DataFlat_Score,$F48+Q$18,$B$12)</f>
        <v>100</v>
      </c>
      <c r="R48" s="161" cm="1">
        <f t="array" aca="1" ref="R48" ca="1">INDEX(auto_DataFlat_Score,$F48+R$18,$B$12)</f>
        <v>50</v>
      </c>
      <c r="S48" s="161" cm="1">
        <f t="array" aca="1" ref="S48" ca="1">INDEX(auto_DataFlat_Score,$F48+S$18,$B$12)</f>
        <v>100</v>
      </c>
      <c r="T48" s="161" cm="1">
        <f t="array" aca="1" ref="T48" ca="1">INDEX(auto_DataFlat_Score,$F48+T$18,$B$12)</f>
        <v>10</v>
      </c>
      <c r="U48" s="161" cm="1">
        <f t="array" aca="1" ref="U48" ca="1">INDEX(auto_DataFlat_Score,$F48+U$18,$B$12)</f>
        <v>50</v>
      </c>
      <c r="V48" s="161" cm="1">
        <f t="array" aca="1" ref="V48" ca="1">INDEX(auto_DataFlat_Score,$F48+V$18,$B$12)</f>
        <v>50</v>
      </c>
      <c r="W48" s="161" cm="1">
        <f t="array" aca="1" ref="W48" ca="1">INDEX(auto_DataFlat_Score,$F48+W$18,$B$12)</f>
        <v>50</v>
      </c>
      <c r="X48" s="161" cm="1">
        <f t="array" aca="1" ref="X48" ca="1">INDEX(auto_DataFlat_Score,$F48+X$18,$B$12)</f>
        <v>50</v>
      </c>
      <c r="Y48" s="161" cm="1">
        <f t="array" aca="1" ref="Y48" ca="1">INDEX(auto_DataFlat_Score,$F48+Y$18,$B$12)</f>
        <v>50</v>
      </c>
      <c r="Z48" s="161" cm="1">
        <f t="array" aca="1" ref="Z48" ca="1">INDEX(auto_DataFlat_Score,$F48+Z$18,$B$12)</f>
        <v>50</v>
      </c>
      <c r="AA48" s="161" cm="1">
        <f t="array" aca="1" ref="AA48" ca="1">INDEX(auto_DataFlat_Score,$F48+AA$18,$B$12)</f>
        <v>100</v>
      </c>
      <c r="AB48" s="161" cm="1">
        <f t="array" aca="1" ref="AB48" ca="1">INDEX(auto_DataFlat_Score,$F48+AB$18,$B$12)</f>
        <v>50</v>
      </c>
      <c r="AC48" s="161" cm="1">
        <f t="array" aca="1" ref="AC48" ca="1">INDEX(auto_DataFlat_Score,$F48+AC$18,$B$12)</f>
        <v>100</v>
      </c>
      <c r="AD48" s="161" cm="1">
        <f t="array" aca="1" ref="AD48" ca="1">INDEX(auto_DataFlat_Score,$F48+AD$18,$B$12)</f>
        <v>50</v>
      </c>
      <c r="AE48" s="161" cm="1">
        <f t="array" aca="1" ref="AE48" ca="1">INDEX(auto_DataFlat_Score,$F48+AE$18,$B$12)</f>
        <v>50</v>
      </c>
      <c r="AF48" s="161" cm="1">
        <f t="array" aca="1" ref="AF48" ca="1">INDEX(auto_DataFlat_Score,$F48+AF$18,$B$12)</f>
        <v>50</v>
      </c>
      <c r="AG48" s="161" cm="1">
        <f t="array" aca="1" ref="AG48" ca="1">INDEX(auto_DataFlat_Score,$F48+AG$18,$B$12)</f>
        <v>50</v>
      </c>
      <c r="AH48" s="161" cm="1">
        <f t="array" aca="1" ref="AH48" ca="1">INDEX(auto_DataFlat_Score,$F48+AH$18,$B$12)</f>
        <v>50</v>
      </c>
      <c r="AI48" s="161" cm="1">
        <f t="array" aca="1" ref="AI48" ca="1">INDEX(auto_DataFlat_Score,$F48+AI$18,$B$12)</f>
        <v>50</v>
      </c>
      <c r="AJ48" s="161" cm="1">
        <f t="array" aca="1" ref="AJ48" ca="1">INDEX(auto_DataFlat_Score,$F48+AJ$18,$B$12)</f>
        <v>50</v>
      </c>
      <c r="AK48" s="161" cm="1">
        <f t="array" aca="1" ref="AK48" ca="1">INDEX(auto_DataFlat_Score,$F48+AK$18,$B$12)</f>
        <v>50</v>
      </c>
      <c r="AL48" s="161" cm="1">
        <f t="array" aca="1" ref="AL48" ca="1">INDEX(auto_DataFlat_Score,$F48+AL$18,$B$12)</f>
        <v>50</v>
      </c>
      <c r="AM48" s="161" cm="1">
        <f t="array" aca="1" ref="AM48" ca="1">INDEX(auto_DataFlat_Score,$F48+AM$18,$B$12)</f>
        <v>50</v>
      </c>
      <c r="AN48" s="161" cm="1">
        <f t="array" aca="1" ref="AN48" ca="1">INDEX(auto_DataFlat_Score,$F48+AN$18,$B$12)</f>
        <v>50</v>
      </c>
      <c r="AO48" s="161" cm="1">
        <f t="array" aca="1" ref="AO48" ca="1">INDEX(auto_DataFlat_Score,$F48+AO$18,$B$12)</f>
        <v>50</v>
      </c>
      <c r="AP48" s="161" cm="1">
        <f t="array" aca="1" ref="AP48" ca="1">INDEX(auto_DataFlat_Score,$F48+AP$18,$B$12)</f>
        <v>50</v>
      </c>
      <c r="AQ48" s="161" cm="1">
        <f t="array" aca="1" ref="AQ48" ca="1">INDEX(auto_DataFlat_Score,$F48+AQ$18,$B$12)</f>
        <v>50</v>
      </c>
      <c r="AR48" s="161" cm="1">
        <f t="array" aca="1" ref="AR48" ca="1">INDEX(auto_DataFlat_Score,$F48+AR$18,$B$12)</f>
        <v>15</v>
      </c>
      <c r="AS48" s="161" cm="1">
        <f t="array" aca="1" ref="AS48" ca="1">INDEX(auto_DataFlat_Score,$F48+AS$18,$B$12)</f>
        <v>50</v>
      </c>
      <c r="AT48" s="161" cm="1">
        <f t="array" aca="1" ref="AT48" ca="1">INDEX(auto_DataFlat_Score,$F48+AT$18,$B$12)</f>
        <v>50</v>
      </c>
      <c r="AU48" s="161" cm="1">
        <f t="array" aca="1" ref="AU48" ca="1">INDEX(auto_DataFlat_Score,$F48+AU$18,$B$12)</f>
        <v>50</v>
      </c>
      <c r="AV48" s="161" cm="1">
        <f t="array" aca="1" ref="AV48" ca="1">INDEX(auto_DataFlat_Score,$F48+AV$18,$B$12)</f>
        <v>50</v>
      </c>
      <c r="AW48" s="161" cm="1">
        <f t="array" aca="1" ref="AW48" ca="1">INDEX(auto_DataFlat_Score,$F48+AW$18,$B$12)</f>
        <v>50</v>
      </c>
      <c r="AX48" s="161" cm="1">
        <f t="array" aca="1" ref="AX48" ca="1">INDEX(auto_DataFlat_Score,$F48+AX$18,$B$12)</f>
        <v>15</v>
      </c>
      <c r="AY48" s="161" cm="1">
        <f t="array" aca="1" ref="AY48" ca="1">INDEX(auto_DataFlat_Score,$F48+AY$18,$B$12)</f>
        <v>50</v>
      </c>
      <c r="AZ48" s="161" cm="1">
        <f t="array" aca="1" ref="AZ48" ca="1">INDEX(auto_DataFlat_Score,$F48+AZ$18,$B$12)</f>
        <v>50</v>
      </c>
      <c r="BA48" s="161" cm="1">
        <f t="array" aca="1" ref="BA48" ca="1">INDEX(auto_DataFlat_Score,$F48+BA$18,$B$12)</f>
        <v>100</v>
      </c>
      <c r="BB48" s="161" cm="1">
        <f t="array" aca="1" ref="BB48" ca="1">INDEX(auto_DataFlat_Score,$F48+BB$18,$B$12)</f>
        <v>100</v>
      </c>
      <c r="BC48" s="161" cm="1">
        <f t="array" aca="1" ref="BC48" ca="1">INDEX(auto_DataFlat_Score,$F48+BC$18,$B$12)</f>
        <v>50</v>
      </c>
      <c r="BD48" s="161" cm="1">
        <f t="array" aca="1" ref="BD48" ca="1">INDEX(auto_DataFlat_Score,$F48+BD$18,$B$12)</f>
        <v>50</v>
      </c>
      <c r="BE48" s="161" cm="1">
        <f t="array" aca="1" ref="BE48" ca="1">INDEX(auto_DataFlat_Score,$F48+BE$18,$B$12)</f>
        <v>40</v>
      </c>
      <c r="BF48" s="161" cm="1">
        <f t="array" aca="1" ref="BF48" ca="1">INDEX(auto_DataFlat_Score,$F48+BF$18,$B$12)</f>
        <v>50</v>
      </c>
      <c r="BG48" s="161" cm="1">
        <f t="array" aca="1" ref="BG48" ca="1">INDEX(auto_DataFlat_Score,$F48+BG$18,$B$12)</f>
        <v>50</v>
      </c>
      <c r="BH48" s="161" cm="1">
        <f t="array" aca="1" ref="BH48" ca="1">INDEX(auto_DataFlat_Score,$F48+BH$18,$B$12)</f>
        <v>50</v>
      </c>
    </row>
    <row r="49" spans="1:60" ht="17.05" customHeight="1" x14ac:dyDescent="0.4">
      <c r="A49" t="str">
        <f t="shared" ca="1" si="2"/>
        <v/>
      </c>
      <c r="B49" s="49"/>
      <c r="C49" s="4">
        <v>30</v>
      </c>
      <c r="D49" s="49" cm="1">
        <f t="array" aca="1" ref="D49" ca="1">INDEX(OFFSET(auto_ss_score_table,0,1,500,1),C49)</f>
        <v>30</v>
      </c>
      <c r="E49" s="26" cm="1">
        <f t="array" aca="1" ref="E49" ca="1">INDEX(auto_tblSeries,$D49,$E$18)</f>
        <v>3</v>
      </c>
      <c r="F49" s="101" cm="1">
        <f t="array" aca="1" ref="F49" ca="1">INDEX(sys_DataFlat_LU_Grid,$D49,1)-1</f>
        <v>1740</v>
      </c>
      <c r="G49" s="26"/>
      <c r="H49" s="151" t="str" cm="1">
        <f t="array" aca="1" ref="H49" ca="1">INDEX(auto_Series_NameNumbered,$D49)</f>
        <v>3.3a) Trans fats consumption: national data</v>
      </c>
      <c r="I49" s="162">
        <f ca="1">OFFSET(iWeights!$G$18,$D49-1,0,1,1)</f>
        <v>0.5</v>
      </c>
      <c r="J49" s="163">
        <f ca="1">IF(E49=0,"-",OFFSET(iWeights!$U$18,$D49-1,0,1,1))</f>
        <v>1.6129032258064516E-2</v>
      </c>
      <c r="K49" s="164" cm="1">
        <f t="array" aca="1" ref="K49" ca="1">INDEX(auto_DataFlat_Score,$F49+K$18,$B$12)</f>
        <v>100</v>
      </c>
      <c r="L49" s="164" cm="1">
        <f t="array" aca="1" ref="L49" ca="1">INDEX(auto_DataFlat_Score,$F49+L$18,$B$12)</f>
        <v>100</v>
      </c>
      <c r="M49" s="164" cm="1">
        <f t="array" aca="1" ref="M49" ca="1">INDEX(auto_DataFlat_Score,$F49+M$18,$B$12)</f>
        <v>30</v>
      </c>
      <c r="N49" s="164" cm="1">
        <f t="array" aca="1" ref="N49" ca="1">INDEX(auto_DataFlat_Score,$F49+N$18,$B$12)</f>
        <v>100</v>
      </c>
      <c r="O49" s="164" cm="1">
        <f t="array" aca="1" ref="O49" ca="1">INDEX(auto_DataFlat_Score,$F49+O$18,$B$12)</f>
        <v>100</v>
      </c>
      <c r="P49" s="164" cm="1">
        <f t="array" aca="1" ref="P49" ca="1">INDEX(auto_DataFlat_Score,$F49+P$18,$B$12)</f>
        <v>100</v>
      </c>
      <c r="Q49" s="164" cm="1">
        <f t="array" aca="1" ref="Q49" ca="1">INDEX(auto_DataFlat_Score,$F49+Q$18,$B$12)</f>
        <v>100</v>
      </c>
      <c r="R49" s="164" cm="1">
        <f t="array" aca="1" ref="R49" ca="1">INDEX(auto_DataFlat_Score,$F49+R$18,$B$12)</f>
        <v>100</v>
      </c>
      <c r="S49" s="164" cm="1">
        <f t="array" aca="1" ref="S49" ca="1">INDEX(auto_DataFlat_Score,$F49+S$18,$B$12)</f>
        <v>100</v>
      </c>
      <c r="T49" s="164" cm="1">
        <f t="array" aca="1" ref="T49" ca="1">INDEX(auto_DataFlat_Score,$F49+T$18,$B$12)</f>
        <v>20</v>
      </c>
      <c r="U49" s="164" cm="1">
        <f t="array" aca="1" ref="U49" ca="1">INDEX(auto_DataFlat_Score,$F49+U$18,$B$12)</f>
        <v>100</v>
      </c>
      <c r="V49" s="164" cm="1">
        <f t="array" aca="1" ref="V49" ca="1">INDEX(auto_DataFlat_Score,$F49+V$18,$B$12)</f>
        <v>100</v>
      </c>
      <c r="W49" s="164" cm="1">
        <f t="array" aca="1" ref="W49" ca="1">INDEX(auto_DataFlat_Score,$F49+W$18,$B$12)</f>
        <v>100</v>
      </c>
      <c r="X49" s="164" cm="1">
        <f t="array" aca="1" ref="X49" ca="1">INDEX(auto_DataFlat_Score,$F49+X$18,$B$12)</f>
        <v>100</v>
      </c>
      <c r="Y49" s="164" cm="1">
        <f t="array" aca="1" ref="Y49" ca="1">INDEX(auto_DataFlat_Score,$F49+Y$18,$B$12)</f>
        <v>100</v>
      </c>
      <c r="Z49" s="164" cm="1">
        <f t="array" aca="1" ref="Z49" ca="1">INDEX(auto_DataFlat_Score,$F49+Z$18,$B$12)</f>
        <v>100</v>
      </c>
      <c r="AA49" s="164" cm="1">
        <f t="array" aca="1" ref="AA49" ca="1">INDEX(auto_DataFlat_Score,$F49+AA$18,$B$12)</f>
        <v>100</v>
      </c>
      <c r="AB49" s="164" cm="1">
        <f t="array" aca="1" ref="AB49" ca="1">INDEX(auto_DataFlat_Score,$F49+AB$18,$B$12)</f>
        <v>100</v>
      </c>
      <c r="AC49" s="164" cm="1">
        <f t="array" aca="1" ref="AC49" ca="1">INDEX(auto_DataFlat_Score,$F49+AC$18,$B$12)</f>
        <v>100</v>
      </c>
      <c r="AD49" s="164" cm="1">
        <f t="array" aca="1" ref="AD49" ca="1">INDEX(auto_DataFlat_Score,$F49+AD$18,$B$12)</f>
        <v>100</v>
      </c>
      <c r="AE49" s="164" cm="1">
        <f t="array" aca="1" ref="AE49" ca="1">INDEX(auto_DataFlat_Score,$F49+AE$18,$B$12)</f>
        <v>100</v>
      </c>
      <c r="AF49" s="164" cm="1">
        <f t="array" aca="1" ref="AF49" ca="1">INDEX(auto_DataFlat_Score,$F49+AF$18,$B$12)</f>
        <v>100</v>
      </c>
      <c r="AG49" s="164" cm="1">
        <f t="array" aca="1" ref="AG49" ca="1">INDEX(auto_DataFlat_Score,$F49+AG$18,$B$12)</f>
        <v>100</v>
      </c>
      <c r="AH49" s="164" cm="1">
        <f t="array" aca="1" ref="AH49" ca="1">INDEX(auto_DataFlat_Score,$F49+AH$18,$B$12)</f>
        <v>100</v>
      </c>
      <c r="AI49" s="164" cm="1">
        <f t="array" aca="1" ref="AI49" ca="1">INDEX(auto_DataFlat_Score,$F49+AI$18,$B$12)</f>
        <v>100</v>
      </c>
      <c r="AJ49" s="164" cm="1">
        <f t="array" aca="1" ref="AJ49" ca="1">INDEX(auto_DataFlat_Score,$F49+AJ$18,$B$12)</f>
        <v>100</v>
      </c>
      <c r="AK49" s="164" cm="1">
        <f t="array" aca="1" ref="AK49" ca="1">INDEX(auto_DataFlat_Score,$F49+AK$18,$B$12)</f>
        <v>100</v>
      </c>
      <c r="AL49" s="164" cm="1">
        <f t="array" aca="1" ref="AL49" ca="1">INDEX(auto_DataFlat_Score,$F49+AL$18,$B$12)</f>
        <v>100</v>
      </c>
      <c r="AM49" s="164" cm="1">
        <f t="array" aca="1" ref="AM49" ca="1">INDEX(auto_DataFlat_Score,$F49+AM$18,$B$12)</f>
        <v>100</v>
      </c>
      <c r="AN49" s="164" cm="1">
        <f t="array" aca="1" ref="AN49" ca="1">INDEX(auto_DataFlat_Score,$F49+AN$18,$B$12)</f>
        <v>100</v>
      </c>
      <c r="AO49" s="164" cm="1">
        <f t="array" aca="1" ref="AO49" ca="1">INDEX(auto_DataFlat_Score,$F49+AO$18,$B$12)</f>
        <v>100</v>
      </c>
      <c r="AP49" s="164" cm="1">
        <f t="array" aca="1" ref="AP49" ca="1">INDEX(auto_DataFlat_Score,$F49+AP$18,$B$12)</f>
        <v>100</v>
      </c>
      <c r="AQ49" s="164" cm="1">
        <f t="array" aca="1" ref="AQ49" ca="1">INDEX(auto_DataFlat_Score,$F49+AQ$18,$B$12)</f>
        <v>100</v>
      </c>
      <c r="AR49" s="164" cm="1">
        <f t="array" aca="1" ref="AR49" ca="1">INDEX(auto_DataFlat_Score,$F49+AR$18,$B$12)</f>
        <v>30</v>
      </c>
      <c r="AS49" s="164" cm="1">
        <f t="array" aca="1" ref="AS49" ca="1">INDEX(auto_DataFlat_Score,$F49+AS$18,$B$12)</f>
        <v>100</v>
      </c>
      <c r="AT49" s="164" cm="1">
        <f t="array" aca="1" ref="AT49" ca="1">INDEX(auto_DataFlat_Score,$F49+AT$18,$B$12)</f>
        <v>100</v>
      </c>
      <c r="AU49" s="164" cm="1">
        <f t="array" aca="1" ref="AU49" ca="1">INDEX(auto_DataFlat_Score,$F49+AU$18,$B$12)</f>
        <v>100</v>
      </c>
      <c r="AV49" s="164" cm="1">
        <f t="array" aca="1" ref="AV49" ca="1">INDEX(auto_DataFlat_Score,$F49+AV$18,$B$12)</f>
        <v>100</v>
      </c>
      <c r="AW49" s="164" cm="1">
        <f t="array" aca="1" ref="AW49" ca="1">INDEX(auto_DataFlat_Score,$F49+AW$18,$B$12)</f>
        <v>100</v>
      </c>
      <c r="AX49" s="164" cm="1">
        <f t="array" aca="1" ref="AX49" ca="1">INDEX(auto_DataFlat_Score,$F49+AX$18,$B$12)</f>
        <v>30</v>
      </c>
      <c r="AY49" s="164" cm="1">
        <f t="array" aca="1" ref="AY49" ca="1">INDEX(auto_DataFlat_Score,$F49+AY$18,$B$12)</f>
        <v>100</v>
      </c>
      <c r="AZ49" s="164" cm="1">
        <f t="array" aca="1" ref="AZ49" ca="1">INDEX(auto_DataFlat_Score,$F49+AZ$18,$B$12)</f>
        <v>100</v>
      </c>
      <c r="BA49" s="164" cm="1">
        <f t="array" aca="1" ref="BA49" ca="1">INDEX(auto_DataFlat_Score,$F49+BA$18,$B$12)</f>
        <v>100</v>
      </c>
      <c r="BB49" s="164" cm="1">
        <f t="array" aca="1" ref="BB49" ca="1">INDEX(auto_DataFlat_Score,$F49+BB$18,$B$12)</f>
        <v>100</v>
      </c>
      <c r="BC49" s="164" cm="1">
        <f t="array" aca="1" ref="BC49" ca="1">INDEX(auto_DataFlat_Score,$F49+BC$18,$B$12)</f>
        <v>100</v>
      </c>
      <c r="BD49" s="164" cm="1">
        <f t="array" aca="1" ref="BD49" ca="1">INDEX(auto_DataFlat_Score,$F49+BD$18,$B$12)</f>
        <v>100</v>
      </c>
      <c r="BE49" s="164" cm="1">
        <f t="array" aca="1" ref="BE49" ca="1">INDEX(auto_DataFlat_Score,$F49+BE$18,$B$12)</f>
        <v>80</v>
      </c>
      <c r="BF49" s="164" cm="1">
        <f t="array" aca="1" ref="BF49" ca="1">INDEX(auto_DataFlat_Score,$F49+BF$18,$B$12)</f>
        <v>100</v>
      </c>
      <c r="BG49" s="164" cm="1">
        <f t="array" aca="1" ref="BG49" ca="1">INDEX(auto_DataFlat_Score,$F49+BG$18,$B$12)</f>
        <v>100</v>
      </c>
      <c r="BH49" s="164" cm="1">
        <f t="array" aca="1" ref="BH49" ca="1">INDEX(auto_DataFlat_Score,$F49+BH$18,$B$12)</f>
        <v>100</v>
      </c>
    </row>
    <row r="50" spans="1:60" ht="17.05" customHeight="1" x14ac:dyDescent="0.4">
      <c r="A50" t="str">
        <f t="shared" ca="1" si="2"/>
        <v/>
      </c>
      <c r="B50" s="49"/>
      <c r="C50" s="4">
        <v>31</v>
      </c>
      <c r="D50" s="49" cm="1">
        <f t="array" aca="1" ref="D50" ca="1">INDEX(OFFSET(auto_ss_score_table,0,1,500,1),C50)</f>
        <v>31</v>
      </c>
      <c r="E50" s="26" cm="1">
        <f t="array" aca="1" ref="E50" ca="1">INDEX(auto_tblSeries,$D50,$E$18)</f>
        <v>3</v>
      </c>
      <c r="F50" s="101" cm="1">
        <f t="array" aca="1" ref="F50" ca="1">INDEX(sys_DataFlat_LU_Grid,$D50,1)-1</f>
        <v>1800</v>
      </c>
      <c r="G50" s="26"/>
      <c r="H50" s="151" t="str" cm="1">
        <f t="array" aca="1" ref="H50" ca="1">INDEX(auto_Series_NameNumbered,$D50)</f>
        <v>3.3b) Trans fats consumption: city-level data availability</v>
      </c>
      <c r="I50" s="162">
        <f ca="1">IF(D50=1,"-",OFFSET(iWeights!$G$18,$D50-1,0,1,1))</f>
        <v>0.5</v>
      </c>
      <c r="J50" s="163">
        <f ca="1">IF(E50=0,"-",OFFSET(iWeights!$U$18,$D50-1,0,1,1))</f>
        <v>1.6129032258064516E-2</v>
      </c>
      <c r="K50" s="164" cm="1">
        <f t="array" aca="1" ref="K50" ca="1">INDEX(auto_DataFlat_Score,$F50+K$18,$B$12)</f>
        <v>0</v>
      </c>
      <c r="L50" s="164" cm="1">
        <f t="array" aca="1" ref="L50" ca="1">INDEX(auto_DataFlat_Score,$F50+L$18,$B$12)</f>
        <v>0</v>
      </c>
      <c r="M50" s="164" cm="1">
        <f t="array" aca="1" ref="M50" ca="1">INDEX(auto_DataFlat_Score,$F50+M$18,$B$12)</f>
        <v>0</v>
      </c>
      <c r="N50" s="164" cm="1">
        <f t="array" aca="1" ref="N50" ca="1">INDEX(auto_DataFlat_Score,$F50+N$18,$B$12)</f>
        <v>0</v>
      </c>
      <c r="O50" s="164" cm="1">
        <f t="array" aca="1" ref="O50" ca="1">INDEX(auto_DataFlat_Score,$F50+O$18,$B$12)</f>
        <v>0</v>
      </c>
      <c r="P50" s="164" cm="1">
        <f t="array" aca="1" ref="P50" ca="1">INDEX(auto_DataFlat_Score,$F50+P$18,$B$12)</f>
        <v>100</v>
      </c>
      <c r="Q50" s="164" cm="1">
        <f t="array" aca="1" ref="Q50" ca="1">INDEX(auto_DataFlat_Score,$F50+Q$18,$B$12)</f>
        <v>100</v>
      </c>
      <c r="R50" s="164" cm="1">
        <f t="array" aca="1" ref="R50" ca="1">INDEX(auto_DataFlat_Score,$F50+R$18,$B$12)</f>
        <v>0</v>
      </c>
      <c r="S50" s="164" cm="1">
        <f t="array" aca="1" ref="S50" ca="1">INDEX(auto_DataFlat_Score,$F50+S$18,$B$12)</f>
        <v>100</v>
      </c>
      <c r="T50" s="164" cm="1">
        <f t="array" aca="1" ref="T50" ca="1">INDEX(auto_DataFlat_Score,$F50+T$18,$B$12)</f>
        <v>0</v>
      </c>
      <c r="U50" s="164" cm="1">
        <f t="array" aca="1" ref="U50" ca="1">INDEX(auto_DataFlat_Score,$F50+U$18,$B$12)</f>
        <v>0</v>
      </c>
      <c r="V50" s="164" cm="1">
        <f t="array" aca="1" ref="V50" ca="1">INDEX(auto_DataFlat_Score,$F50+V$18,$B$12)</f>
        <v>0</v>
      </c>
      <c r="W50" s="164" cm="1">
        <f t="array" aca="1" ref="W50" ca="1">INDEX(auto_DataFlat_Score,$F50+W$18,$B$12)</f>
        <v>0</v>
      </c>
      <c r="X50" s="164" cm="1">
        <f t="array" aca="1" ref="X50" ca="1">INDEX(auto_DataFlat_Score,$F50+X$18,$B$12)</f>
        <v>0</v>
      </c>
      <c r="Y50" s="164" cm="1">
        <f t="array" aca="1" ref="Y50" ca="1">INDEX(auto_DataFlat_Score,$F50+Y$18,$B$12)</f>
        <v>0</v>
      </c>
      <c r="Z50" s="164" cm="1">
        <f t="array" aca="1" ref="Z50" ca="1">INDEX(auto_DataFlat_Score,$F50+Z$18,$B$12)</f>
        <v>0</v>
      </c>
      <c r="AA50" s="164" cm="1">
        <f t="array" aca="1" ref="AA50" ca="1">INDEX(auto_DataFlat_Score,$F50+AA$18,$B$12)</f>
        <v>100</v>
      </c>
      <c r="AB50" s="164" cm="1">
        <f t="array" aca="1" ref="AB50" ca="1">INDEX(auto_DataFlat_Score,$F50+AB$18,$B$12)</f>
        <v>0</v>
      </c>
      <c r="AC50" s="164" cm="1">
        <f t="array" aca="1" ref="AC50" ca="1">INDEX(auto_DataFlat_Score,$F50+AC$18,$B$12)</f>
        <v>100</v>
      </c>
      <c r="AD50" s="164" cm="1">
        <f t="array" aca="1" ref="AD50" ca="1">INDEX(auto_DataFlat_Score,$F50+AD$18,$B$12)</f>
        <v>0</v>
      </c>
      <c r="AE50" s="164" cm="1">
        <f t="array" aca="1" ref="AE50" ca="1">INDEX(auto_DataFlat_Score,$F50+AE$18,$B$12)</f>
        <v>0</v>
      </c>
      <c r="AF50" s="164" cm="1">
        <f t="array" aca="1" ref="AF50" ca="1">INDEX(auto_DataFlat_Score,$F50+AF$18,$B$12)</f>
        <v>0</v>
      </c>
      <c r="AG50" s="164" cm="1">
        <f t="array" aca="1" ref="AG50" ca="1">INDEX(auto_DataFlat_Score,$F50+AG$18,$B$12)</f>
        <v>0</v>
      </c>
      <c r="AH50" s="164" cm="1">
        <f t="array" aca="1" ref="AH50" ca="1">INDEX(auto_DataFlat_Score,$F50+AH$18,$B$12)</f>
        <v>0</v>
      </c>
      <c r="AI50" s="164" cm="1">
        <f t="array" aca="1" ref="AI50" ca="1">INDEX(auto_DataFlat_Score,$F50+AI$18,$B$12)</f>
        <v>0</v>
      </c>
      <c r="AJ50" s="164" cm="1">
        <f t="array" aca="1" ref="AJ50" ca="1">INDEX(auto_DataFlat_Score,$F50+AJ$18,$B$12)</f>
        <v>0</v>
      </c>
      <c r="AK50" s="164" cm="1">
        <f t="array" aca="1" ref="AK50" ca="1">INDEX(auto_DataFlat_Score,$F50+AK$18,$B$12)</f>
        <v>0</v>
      </c>
      <c r="AL50" s="164" cm="1">
        <f t="array" aca="1" ref="AL50" ca="1">INDEX(auto_DataFlat_Score,$F50+AL$18,$B$12)</f>
        <v>0</v>
      </c>
      <c r="AM50" s="164" cm="1">
        <f t="array" aca="1" ref="AM50" ca="1">INDEX(auto_DataFlat_Score,$F50+AM$18,$B$12)</f>
        <v>0</v>
      </c>
      <c r="AN50" s="164" cm="1">
        <f t="array" aca="1" ref="AN50" ca="1">INDEX(auto_DataFlat_Score,$F50+AN$18,$B$12)</f>
        <v>0</v>
      </c>
      <c r="AO50" s="164" cm="1">
        <f t="array" aca="1" ref="AO50" ca="1">INDEX(auto_DataFlat_Score,$F50+AO$18,$B$12)</f>
        <v>0</v>
      </c>
      <c r="AP50" s="164" cm="1">
        <f t="array" aca="1" ref="AP50" ca="1">INDEX(auto_DataFlat_Score,$F50+AP$18,$B$12)</f>
        <v>0</v>
      </c>
      <c r="AQ50" s="164" cm="1">
        <f t="array" aca="1" ref="AQ50" ca="1">INDEX(auto_DataFlat_Score,$F50+AQ$18,$B$12)</f>
        <v>0</v>
      </c>
      <c r="AR50" s="164" cm="1">
        <f t="array" aca="1" ref="AR50" ca="1">INDEX(auto_DataFlat_Score,$F50+AR$18,$B$12)</f>
        <v>0</v>
      </c>
      <c r="AS50" s="164" cm="1">
        <f t="array" aca="1" ref="AS50" ca="1">INDEX(auto_DataFlat_Score,$F50+AS$18,$B$12)</f>
        <v>0</v>
      </c>
      <c r="AT50" s="164" cm="1">
        <f t="array" aca="1" ref="AT50" ca="1">INDEX(auto_DataFlat_Score,$F50+AT$18,$B$12)</f>
        <v>0</v>
      </c>
      <c r="AU50" s="164" cm="1">
        <f t="array" aca="1" ref="AU50" ca="1">INDEX(auto_DataFlat_Score,$F50+AU$18,$B$12)</f>
        <v>0</v>
      </c>
      <c r="AV50" s="164" cm="1">
        <f t="array" aca="1" ref="AV50" ca="1">INDEX(auto_DataFlat_Score,$F50+AV$18,$B$12)</f>
        <v>0</v>
      </c>
      <c r="AW50" s="164" cm="1">
        <f t="array" aca="1" ref="AW50" ca="1">INDEX(auto_DataFlat_Score,$F50+AW$18,$B$12)</f>
        <v>0</v>
      </c>
      <c r="AX50" s="164" cm="1">
        <f t="array" aca="1" ref="AX50" ca="1">INDEX(auto_DataFlat_Score,$F50+AX$18,$B$12)</f>
        <v>0</v>
      </c>
      <c r="AY50" s="164" cm="1">
        <f t="array" aca="1" ref="AY50" ca="1">INDEX(auto_DataFlat_Score,$F50+AY$18,$B$12)</f>
        <v>0</v>
      </c>
      <c r="AZ50" s="164" cm="1">
        <f t="array" aca="1" ref="AZ50" ca="1">INDEX(auto_DataFlat_Score,$F50+AZ$18,$B$12)</f>
        <v>0</v>
      </c>
      <c r="BA50" s="164" cm="1">
        <f t="array" aca="1" ref="BA50" ca="1">INDEX(auto_DataFlat_Score,$F50+BA$18,$B$12)</f>
        <v>100</v>
      </c>
      <c r="BB50" s="164" cm="1">
        <f t="array" aca="1" ref="BB50" ca="1">INDEX(auto_DataFlat_Score,$F50+BB$18,$B$12)</f>
        <v>100</v>
      </c>
      <c r="BC50" s="164" cm="1">
        <f t="array" aca="1" ref="BC50" ca="1">INDEX(auto_DataFlat_Score,$F50+BC$18,$B$12)</f>
        <v>0</v>
      </c>
      <c r="BD50" s="164" cm="1">
        <f t="array" aca="1" ref="BD50" ca="1">INDEX(auto_DataFlat_Score,$F50+BD$18,$B$12)</f>
        <v>0</v>
      </c>
      <c r="BE50" s="164" cm="1">
        <f t="array" aca="1" ref="BE50" ca="1">INDEX(auto_DataFlat_Score,$F50+BE$18,$B$12)</f>
        <v>0</v>
      </c>
      <c r="BF50" s="164" cm="1">
        <f t="array" aca="1" ref="BF50" ca="1">INDEX(auto_DataFlat_Score,$F50+BF$18,$B$12)</f>
        <v>0</v>
      </c>
      <c r="BG50" s="164" cm="1">
        <f t="array" aca="1" ref="BG50" ca="1">INDEX(auto_DataFlat_Score,$F50+BG$18,$B$12)</f>
        <v>0</v>
      </c>
      <c r="BH50" s="164" cm="1">
        <f t="array" aca="1" ref="BH50" ca="1">INDEX(auto_DataFlat_Score,$F50+BH$18,$B$12)</f>
        <v>0</v>
      </c>
    </row>
    <row r="51" spans="1:60" ht="17.05" customHeight="1" x14ac:dyDescent="0.4">
      <c r="A51" t="str">
        <f t="shared" ca="1" si="2"/>
        <v/>
      </c>
      <c r="B51" s="49"/>
      <c r="C51" s="4">
        <v>32</v>
      </c>
      <c r="D51" s="49" cm="1">
        <f t="array" aca="1" ref="D51" ca="1">INDEX(OFFSET(auto_ss_score_table,0,1,500,1),C51)</f>
        <v>32</v>
      </c>
      <c r="E51" s="26" cm="1">
        <f t="array" aca="1" ref="E51" ca="1">INDEX(auto_tblSeries,$D51,$E$18)</f>
        <v>2</v>
      </c>
      <c r="F51" s="101" cm="1">
        <f t="array" aca="1" ref="F51" ca="1">INDEX(sys_DataFlat_LU_Grid,$D51,1)-1</f>
        <v>1860</v>
      </c>
      <c r="G51" s="26"/>
      <c r="H51" s="148" t="str" cm="1">
        <f t="array" aca="1" ref="H51" ca="1">INDEX(auto_Series_NameNumbered,$D51)</f>
        <v>3.4) Physical activity</v>
      </c>
      <c r="I51" s="159">
        <f ca="1">OFFSET(iWeights!$G$18,$D51-1,0,1,1)</f>
        <v>0.125</v>
      </c>
      <c r="J51" s="160">
        <f ca="1">IF(E51=0,"-",OFFSET(iWeights!$U$18,$D51-1,0,1,1))</f>
        <v>3.2258064516129031E-2</v>
      </c>
      <c r="K51" s="161" cm="1">
        <f t="array" aca="1" ref="K51" ca="1">INDEX(auto_DataFlat_Score,$F51+K$18,$B$12)</f>
        <v>42.6</v>
      </c>
      <c r="L51" s="161" cm="1">
        <f t="array" aca="1" ref="L51" ca="1">INDEX(auto_DataFlat_Score,$F51+L$18,$B$12)</f>
        <v>33.200000000000003</v>
      </c>
      <c r="M51" s="161" cm="1">
        <f t="array" aca="1" ref="M51" ca="1">INDEX(auto_DataFlat_Score,$F51+M$18,$B$12)</f>
        <v>80</v>
      </c>
      <c r="N51" s="161" cm="1">
        <f t="array" aca="1" ref="N51" ca="1">INDEX(auto_DataFlat_Score,$F51+N$18,$B$12)</f>
        <v>78.8</v>
      </c>
      <c r="O51" s="161" cm="1">
        <f t="array" aca="1" ref="O51" ca="1">INDEX(auto_DataFlat_Score,$F51+O$18,$B$12)</f>
        <v>87.7</v>
      </c>
      <c r="P51" s="161" cm="1">
        <f t="array" aca="1" ref="P51" ca="1">INDEX(auto_DataFlat_Score,$F51+P$18,$B$12)</f>
        <v>92.9</v>
      </c>
      <c r="Q51" s="161" cm="1">
        <f t="array" aca="1" ref="Q51" ca="1">INDEX(auto_DataFlat_Score,$F51+Q$18,$B$12)</f>
        <v>78.900000000000006</v>
      </c>
      <c r="R51" s="161" cm="1">
        <f t="array" aca="1" ref="R51" ca="1">INDEX(auto_DataFlat_Score,$F51+R$18,$B$12)</f>
        <v>78</v>
      </c>
      <c r="S51" s="161" cm="1">
        <f t="array" aca="1" ref="S51" ca="1">INDEX(auto_DataFlat_Score,$F51+S$18,$B$12)</f>
        <v>80.7</v>
      </c>
      <c r="T51" s="161" cm="1">
        <f t="array" aca="1" ref="T51" ca="1">INDEX(auto_DataFlat_Score,$F51+T$18,$B$12)</f>
        <v>34.5</v>
      </c>
      <c r="U51" s="161" cm="1">
        <f t="array" aca="1" ref="U51" ca="1">INDEX(auto_DataFlat_Score,$F51+U$18,$B$12)</f>
        <v>35.5</v>
      </c>
      <c r="V51" s="161" cm="1">
        <f t="array" aca="1" ref="V51" ca="1">INDEX(auto_DataFlat_Score,$F51+V$18,$B$12)</f>
        <v>33</v>
      </c>
      <c r="W51" s="161" cm="1">
        <f t="array" aca="1" ref="W51" ca="1">INDEX(auto_DataFlat_Score,$F51+W$18,$B$12)</f>
        <v>36.1</v>
      </c>
      <c r="X51" s="161" cm="1">
        <f t="array" aca="1" ref="X51" ca="1">INDEX(auto_DataFlat_Score,$F51+X$18,$B$12)</f>
        <v>79.3</v>
      </c>
      <c r="Y51" s="161" cm="1">
        <f t="array" aca="1" ref="Y51" ca="1">INDEX(auto_DataFlat_Score,$F51+Y$18,$B$12)</f>
        <v>91.7</v>
      </c>
      <c r="Z51" s="161" cm="1">
        <f t="array" aca="1" ref="Z51" ca="1">INDEX(auto_DataFlat_Score,$F51+Z$18,$B$12)</f>
        <v>87.3</v>
      </c>
      <c r="AA51" s="161" cm="1">
        <f t="array" aca="1" ref="AA51" ca="1">INDEX(auto_DataFlat_Score,$F51+AA$18,$B$12)</f>
        <v>81.599999999999994</v>
      </c>
      <c r="AB51" s="161" cm="1">
        <f t="array" aca="1" ref="AB51" ca="1">INDEX(auto_DataFlat_Score,$F51+AB$18,$B$12)</f>
        <v>34.700000000000003</v>
      </c>
      <c r="AC51" s="161" cm="1">
        <f t="array" aca="1" ref="AC51" ca="1">INDEX(auto_DataFlat_Score,$F51+AC$18,$B$12)</f>
        <v>88.7</v>
      </c>
      <c r="AD51" s="161" cm="1">
        <f t="array" aca="1" ref="AD51" ca="1">INDEX(auto_DataFlat_Score,$F51+AD$18,$B$12)</f>
        <v>30.9</v>
      </c>
      <c r="AE51" s="161" cm="1">
        <f t="array" aca="1" ref="AE51" ca="1">INDEX(auto_DataFlat_Score,$F51+AE$18,$B$12)</f>
        <v>33.200000000000003</v>
      </c>
      <c r="AF51" s="161" cm="1">
        <f t="array" aca="1" ref="AF51" ca="1">INDEX(auto_DataFlat_Score,$F51+AF$18,$B$12)</f>
        <v>43.3</v>
      </c>
      <c r="AG51" s="161" cm="1">
        <f t="array" aca="1" ref="AG51" ca="1">INDEX(auto_DataFlat_Score,$F51+AG$18,$B$12)</f>
        <v>33</v>
      </c>
      <c r="AH51" s="161" cm="1">
        <f t="array" aca="1" ref="AH51" ca="1">INDEX(auto_DataFlat_Score,$F51+AH$18,$B$12)</f>
        <v>16.5</v>
      </c>
      <c r="AI51" s="161" cm="1">
        <f t="array" aca="1" ref="AI51" ca="1">INDEX(auto_DataFlat_Score,$F51+AI$18,$B$12)</f>
        <v>36.5</v>
      </c>
      <c r="AJ51" s="161" cm="1">
        <f t="array" aca="1" ref="AJ51" ca="1">INDEX(auto_DataFlat_Score,$F51+AJ$18,$B$12)</f>
        <v>82.1</v>
      </c>
      <c r="AK51" s="161" cm="1">
        <f t="array" aca="1" ref="AK51" ca="1">INDEX(auto_DataFlat_Score,$F51+AK$18,$B$12)</f>
        <v>86.6</v>
      </c>
      <c r="AL51" s="161" cm="1">
        <f t="array" aca="1" ref="AL51" ca="1">INDEX(auto_DataFlat_Score,$F51+AL$18,$B$12)</f>
        <v>30.2</v>
      </c>
      <c r="AM51" s="161" cm="1">
        <f t="array" aca="1" ref="AM51" ca="1">INDEX(auto_DataFlat_Score,$F51+AM$18,$B$12)</f>
        <v>84.8</v>
      </c>
      <c r="AN51" s="161" cm="1">
        <f t="array" aca="1" ref="AN51" ca="1">INDEX(auto_DataFlat_Score,$F51+AN$18,$B$12)</f>
        <v>35.6</v>
      </c>
      <c r="AO51" s="161" cm="1">
        <f t="array" aca="1" ref="AO51" ca="1">INDEX(auto_DataFlat_Score,$F51+AO$18,$B$12)</f>
        <v>41.4</v>
      </c>
      <c r="AP51" s="161" cm="1">
        <f t="array" aca="1" ref="AP51" ca="1">INDEX(auto_DataFlat_Score,$F51+AP$18,$B$12)</f>
        <v>33</v>
      </c>
      <c r="AQ51" s="161" cm="1">
        <f t="array" aca="1" ref="AQ51" ca="1">INDEX(auto_DataFlat_Score,$F51+AQ$18,$B$12)</f>
        <v>42.3</v>
      </c>
      <c r="AR51" s="161" cm="1">
        <f t="array" aca="1" ref="AR51" ca="1">INDEX(auto_DataFlat_Score,$F51+AR$18,$B$12)</f>
        <v>80</v>
      </c>
      <c r="AS51" s="161" cm="1">
        <f t="array" aca="1" ref="AS51" ca="1">INDEX(auto_DataFlat_Score,$F51+AS$18,$B$12)</f>
        <v>82.3</v>
      </c>
      <c r="AT51" s="161" cm="1">
        <f t="array" aca="1" ref="AT51" ca="1">INDEX(auto_DataFlat_Score,$F51+AT$18,$B$12)</f>
        <v>35.299999999999997</v>
      </c>
      <c r="AU51" s="161" cm="1">
        <f t="array" aca="1" ref="AU51" ca="1">INDEX(auto_DataFlat_Score,$F51+AU$18,$B$12)</f>
        <v>44.7</v>
      </c>
      <c r="AV51" s="161" cm="1">
        <f t="array" aca="1" ref="AV51" ca="1">INDEX(auto_DataFlat_Score,$F51+AV$18,$B$12)</f>
        <v>23.4</v>
      </c>
      <c r="AW51" s="161" cm="1">
        <f t="array" aca="1" ref="AW51" ca="1">INDEX(auto_DataFlat_Score,$F51+AW$18,$B$12)</f>
        <v>29.3</v>
      </c>
      <c r="AX51" s="161" cm="1">
        <f t="array" aca="1" ref="AX51" ca="1">INDEX(auto_DataFlat_Score,$F51+AX$18,$B$12)</f>
        <v>80</v>
      </c>
      <c r="AY51" s="161" cm="1">
        <f t="array" aca="1" ref="AY51" ca="1">INDEX(auto_DataFlat_Score,$F51+AY$18,$B$12)</f>
        <v>76.5</v>
      </c>
      <c r="AZ51" s="161" cm="1">
        <f t="array" aca="1" ref="AZ51" ca="1">INDEX(auto_DataFlat_Score,$F51+AZ$18,$B$12)</f>
        <v>82.3</v>
      </c>
      <c r="BA51" s="161" cm="1">
        <f t="array" aca="1" ref="BA51" ca="1">INDEX(auto_DataFlat_Score,$F51+BA$18,$B$12)</f>
        <v>92.9</v>
      </c>
      <c r="BB51" s="161" cm="1">
        <f t="array" aca="1" ref="BB51" ca="1">INDEX(auto_DataFlat_Score,$F51+BB$18,$B$12)</f>
        <v>81.8</v>
      </c>
      <c r="BC51" s="161" cm="1">
        <f t="array" aca="1" ref="BC51" ca="1">INDEX(auto_DataFlat_Score,$F51+BC$18,$B$12)</f>
        <v>84.8</v>
      </c>
      <c r="BD51" s="161" cm="1">
        <f t="array" aca="1" ref="BD51" ca="1">INDEX(auto_DataFlat_Score,$F51+BD$18,$B$12)</f>
        <v>82.3</v>
      </c>
      <c r="BE51" s="161" cm="1">
        <f t="array" aca="1" ref="BE51" ca="1">INDEX(auto_DataFlat_Score,$F51+BE$18,$B$12)</f>
        <v>85.7</v>
      </c>
      <c r="BF51" s="161" cm="1">
        <f t="array" aca="1" ref="BF51" ca="1">INDEX(auto_DataFlat_Score,$F51+BF$18,$B$12)</f>
        <v>85</v>
      </c>
      <c r="BG51" s="161" cm="1">
        <f t="array" aca="1" ref="BG51" ca="1">INDEX(auto_DataFlat_Score,$F51+BG$18,$B$12)</f>
        <v>42.9</v>
      </c>
      <c r="BH51" s="161" cm="1">
        <f t="array" aca="1" ref="BH51" ca="1">INDEX(auto_DataFlat_Score,$F51+BH$18,$B$12)</f>
        <v>44.6</v>
      </c>
    </row>
    <row r="52" spans="1:60" ht="17.05" customHeight="1" x14ac:dyDescent="0.4">
      <c r="A52" t="str">
        <f t="shared" ca="1" si="2"/>
        <v/>
      </c>
      <c r="B52" s="49"/>
      <c r="C52" s="4">
        <v>33</v>
      </c>
      <c r="D52" s="49" cm="1">
        <f t="array" aca="1" ref="D52" ca="1">INDEX(OFFSET(auto_ss_score_table,0,1,500,1),C52)</f>
        <v>33</v>
      </c>
      <c r="E52" s="26" cm="1">
        <f t="array" aca="1" ref="E52" ca="1">INDEX(auto_tblSeries,$D52,$E$18)</f>
        <v>3</v>
      </c>
      <c r="F52" s="101" cm="1">
        <f t="array" aca="1" ref="F52" ca="1">INDEX(sys_DataFlat_LU_Grid,$D52,1)-1</f>
        <v>1920</v>
      </c>
      <c r="G52" s="26"/>
      <c r="H52" s="151" t="str" cm="1">
        <f t="array" aca="1" ref="H52" ca="1">INDEX(auto_Series_NameNumbered,$D52)</f>
        <v>3.4a) Physical inactivity: national data</v>
      </c>
      <c r="I52" s="162">
        <f ca="1">IF(D52=1,"-",OFFSET(iWeights!$G$18,$D52-1,0,1,1))</f>
        <v>0.5</v>
      </c>
      <c r="J52" s="163">
        <f ca="1">IF(E52=0,"-",OFFSET(iWeights!$U$18,$D52-1,0,1,1))</f>
        <v>1.6129032258064516E-2</v>
      </c>
      <c r="K52" s="164" cm="1">
        <f t="array" aca="1" ref="K52" ca="1">INDEX(auto_DataFlat_Score,$F52+K$18,$B$12)</f>
        <v>85.1</v>
      </c>
      <c r="L52" s="164" cm="1">
        <f t="array" aca="1" ref="L52" ca="1">INDEX(auto_DataFlat_Score,$F52+L$18,$B$12)</f>
        <v>66.400000000000006</v>
      </c>
      <c r="M52" s="164" cm="1">
        <f t="array" aca="1" ref="M52" ca="1">INDEX(auto_DataFlat_Score,$F52+M$18,$B$12)</f>
        <v>60</v>
      </c>
      <c r="N52" s="164" cm="1">
        <f t="array" aca="1" ref="N52" ca="1">INDEX(auto_DataFlat_Score,$F52+N$18,$B$12)</f>
        <v>57.6</v>
      </c>
      <c r="O52" s="164" cm="1">
        <f t="array" aca="1" ref="O52" ca="1">INDEX(auto_DataFlat_Score,$F52+O$18,$B$12)</f>
        <v>75.400000000000006</v>
      </c>
      <c r="P52" s="164" cm="1">
        <f t="array" aca="1" ref="P52" ca="1">INDEX(auto_DataFlat_Score,$F52+P$18,$B$12)</f>
        <v>85.9</v>
      </c>
      <c r="Q52" s="164" cm="1">
        <f t="array" aca="1" ref="Q52" ca="1">INDEX(auto_DataFlat_Score,$F52+Q$18,$B$12)</f>
        <v>57.8</v>
      </c>
      <c r="R52" s="164" cm="1">
        <f t="array" aca="1" ref="R52" ca="1">INDEX(auto_DataFlat_Score,$F52+R$18,$B$12)</f>
        <v>56</v>
      </c>
      <c r="S52" s="164" cm="1">
        <f t="array" aca="1" ref="S52" ca="1">INDEX(auto_DataFlat_Score,$F52+S$18,$B$12)</f>
        <v>61.5</v>
      </c>
      <c r="T52" s="164" cm="1">
        <f t="array" aca="1" ref="T52" ca="1">INDEX(auto_DataFlat_Score,$F52+T$18,$B$12)</f>
        <v>69</v>
      </c>
      <c r="U52" s="164" cm="1">
        <f t="array" aca="1" ref="U52" ca="1">INDEX(auto_DataFlat_Score,$F52+U$18,$B$12)</f>
        <v>71.099999999999994</v>
      </c>
      <c r="V52" s="164" cm="1">
        <f t="array" aca="1" ref="V52" ca="1">INDEX(auto_DataFlat_Score,$F52+V$18,$B$12)</f>
        <v>66</v>
      </c>
      <c r="W52" s="164" cm="1">
        <f t="array" aca="1" ref="W52" ca="1">INDEX(auto_DataFlat_Score,$F52+W$18,$B$12)</f>
        <v>72.2</v>
      </c>
      <c r="X52" s="164" cm="1">
        <f t="array" aca="1" ref="X52" ca="1">INDEX(auto_DataFlat_Score,$F52+X$18,$B$12)</f>
        <v>58.7</v>
      </c>
      <c r="Y52" s="164" cm="1">
        <f t="array" aca="1" ref="Y52" ca="1">INDEX(auto_DataFlat_Score,$F52+Y$18,$B$12)</f>
        <v>83.4</v>
      </c>
      <c r="Z52" s="164" cm="1">
        <f t="array" aca="1" ref="Z52" ca="1">INDEX(auto_DataFlat_Score,$F52+Z$18,$B$12)</f>
        <v>74.599999999999994</v>
      </c>
      <c r="AA52" s="164" cm="1">
        <f t="array" aca="1" ref="AA52" ca="1">INDEX(auto_DataFlat_Score,$F52+AA$18,$B$12)</f>
        <v>63.2</v>
      </c>
      <c r="AB52" s="164" cm="1">
        <f t="array" aca="1" ref="AB52" ca="1">INDEX(auto_DataFlat_Score,$F52+AB$18,$B$12)</f>
        <v>69.400000000000006</v>
      </c>
      <c r="AC52" s="164" cm="1">
        <f t="array" aca="1" ref="AC52" ca="1">INDEX(auto_DataFlat_Score,$F52+AC$18,$B$12)</f>
        <v>77.400000000000006</v>
      </c>
      <c r="AD52" s="164" cm="1">
        <f t="array" aca="1" ref="AD52" ca="1">INDEX(auto_DataFlat_Score,$F52+AD$18,$B$12)</f>
        <v>61.8</v>
      </c>
      <c r="AE52" s="164" cm="1">
        <f t="array" aca="1" ref="AE52" ca="1">INDEX(auto_DataFlat_Score,$F52+AE$18,$B$12)</f>
        <v>66.400000000000006</v>
      </c>
      <c r="AF52" s="164" cm="1">
        <f t="array" aca="1" ref="AF52" ca="1">INDEX(auto_DataFlat_Score,$F52+AF$18,$B$12)</f>
        <v>86.6</v>
      </c>
      <c r="AG52" s="164" cm="1">
        <f t="array" aca="1" ref="AG52" ca="1">INDEX(auto_DataFlat_Score,$F52+AG$18,$B$12)</f>
        <v>66</v>
      </c>
      <c r="AH52" s="164" cm="1">
        <f t="array" aca="1" ref="AH52" ca="1">INDEX(auto_DataFlat_Score,$F52+AH$18,$B$12)</f>
        <v>33</v>
      </c>
      <c r="AI52" s="164" cm="1">
        <f t="array" aca="1" ref="AI52" ca="1">INDEX(auto_DataFlat_Score,$F52+AI$18,$B$12)</f>
        <v>72.900000000000006</v>
      </c>
      <c r="AJ52" s="164" cm="1">
        <f t="array" aca="1" ref="AJ52" ca="1">INDEX(auto_DataFlat_Score,$F52+AJ$18,$B$12)</f>
        <v>64.099999999999994</v>
      </c>
      <c r="AK52" s="164" cm="1">
        <f t="array" aca="1" ref="AK52" ca="1">INDEX(auto_DataFlat_Score,$F52+AK$18,$B$12)</f>
        <v>73.2</v>
      </c>
      <c r="AL52" s="164" cm="1">
        <f t="array" aca="1" ref="AL52" ca="1">INDEX(auto_DataFlat_Score,$F52+AL$18,$B$12)</f>
        <v>60.3</v>
      </c>
      <c r="AM52" s="164" cm="1">
        <f t="array" aca="1" ref="AM52" ca="1">INDEX(auto_DataFlat_Score,$F52+AM$18,$B$12)</f>
        <v>69.599999999999994</v>
      </c>
      <c r="AN52" s="164" cm="1">
        <f t="array" aca="1" ref="AN52" ca="1">INDEX(auto_DataFlat_Score,$F52+AN$18,$B$12)</f>
        <v>71.099999999999994</v>
      </c>
      <c r="AO52" s="164" cm="1">
        <f t="array" aca="1" ref="AO52" ca="1">INDEX(auto_DataFlat_Score,$F52+AO$18,$B$12)</f>
        <v>82.9</v>
      </c>
      <c r="AP52" s="164" cm="1">
        <f t="array" aca="1" ref="AP52" ca="1">INDEX(auto_DataFlat_Score,$F52+AP$18,$B$12)</f>
        <v>66</v>
      </c>
      <c r="AQ52" s="164" cm="1">
        <f t="array" aca="1" ref="AQ52" ca="1">INDEX(auto_DataFlat_Score,$F52+AQ$18,$B$12)</f>
        <v>84.6</v>
      </c>
      <c r="AR52" s="164" cm="1">
        <f t="array" aca="1" ref="AR52" ca="1">INDEX(auto_DataFlat_Score,$F52+AR$18,$B$12)</f>
        <v>60</v>
      </c>
      <c r="AS52" s="164" cm="1">
        <f t="array" aca="1" ref="AS52" ca="1">INDEX(auto_DataFlat_Score,$F52+AS$18,$B$12)</f>
        <v>64.5</v>
      </c>
      <c r="AT52" s="164" cm="1">
        <f t="array" aca="1" ref="AT52" ca="1">INDEX(auto_DataFlat_Score,$F52+AT$18,$B$12)</f>
        <v>70.7</v>
      </c>
      <c r="AU52" s="164" cm="1">
        <f t="array" aca="1" ref="AU52" ca="1">INDEX(auto_DataFlat_Score,$F52+AU$18,$B$12)</f>
        <v>89.5</v>
      </c>
      <c r="AV52" s="164" cm="1">
        <f t="array" aca="1" ref="AV52" ca="1">INDEX(auto_DataFlat_Score,$F52+AV$18,$B$12)</f>
        <v>46.9</v>
      </c>
      <c r="AW52" s="164" cm="1">
        <f t="array" aca="1" ref="AW52" ca="1">INDEX(auto_DataFlat_Score,$F52+AW$18,$B$12)</f>
        <v>58.6</v>
      </c>
      <c r="AX52" s="164" cm="1">
        <f t="array" aca="1" ref="AX52" ca="1">INDEX(auto_DataFlat_Score,$F52+AX$18,$B$12)</f>
        <v>60</v>
      </c>
      <c r="AY52" s="164" cm="1">
        <f t="array" aca="1" ref="AY52" ca="1">INDEX(auto_DataFlat_Score,$F52+AY$18,$B$12)</f>
        <v>53</v>
      </c>
      <c r="AZ52" s="164" cm="1">
        <f t="array" aca="1" ref="AZ52" ca="1">INDEX(auto_DataFlat_Score,$F52+AZ$18,$B$12)</f>
        <v>64.7</v>
      </c>
      <c r="BA52" s="164" cm="1">
        <f t="array" aca="1" ref="BA52" ca="1">INDEX(auto_DataFlat_Score,$F52+BA$18,$B$12)</f>
        <v>85.9</v>
      </c>
      <c r="BB52" s="164" cm="1">
        <f t="array" aca="1" ref="BB52" ca="1">INDEX(auto_DataFlat_Score,$F52+BB$18,$B$12)</f>
        <v>63.5</v>
      </c>
      <c r="BC52" s="164" cm="1">
        <f t="array" aca="1" ref="BC52" ca="1">INDEX(auto_DataFlat_Score,$F52+BC$18,$B$12)</f>
        <v>69.599999999999994</v>
      </c>
      <c r="BD52" s="164" cm="1">
        <f t="array" aca="1" ref="BD52" ca="1">INDEX(auto_DataFlat_Score,$F52+BD$18,$B$12)</f>
        <v>64.5</v>
      </c>
      <c r="BE52" s="164" cm="1">
        <f t="array" aca="1" ref="BE52" ca="1">INDEX(auto_DataFlat_Score,$F52+BE$18,$B$12)</f>
        <v>71.400000000000006</v>
      </c>
      <c r="BF52" s="164" cm="1">
        <f t="array" aca="1" ref="BF52" ca="1">INDEX(auto_DataFlat_Score,$F52+BF$18,$B$12)</f>
        <v>69.900000000000006</v>
      </c>
      <c r="BG52" s="164" cm="1">
        <f t="array" aca="1" ref="BG52" ca="1">INDEX(auto_DataFlat_Score,$F52+BG$18,$B$12)</f>
        <v>85.9</v>
      </c>
      <c r="BH52" s="164" cm="1">
        <f t="array" aca="1" ref="BH52" ca="1">INDEX(auto_DataFlat_Score,$F52+BH$18,$B$12)</f>
        <v>89.3</v>
      </c>
    </row>
    <row r="53" spans="1:60" ht="17.05" customHeight="1" x14ac:dyDescent="0.4">
      <c r="A53" t="str">
        <f t="shared" ca="1" si="2"/>
        <v/>
      </c>
      <c r="B53" s="49"/>
      <c r="C53" s="4">
        <v>34</v>
      </c>
      <c r="D53" s="49" cm="1">
        <f t="array" aca="1" ref="D53" ca="1">INDEX(OFFSET(auto_ss_score_table,0,1,500,1),C53)</f>
        <v>34</v>
      </c>
      <c r="E53" s="26" cm="1">
        <f t="array" aca="1" ref="E53" ca="1">INDEX(auto_tblSeries,$D53,$E$18)</f>
        <v>3</v>
      </c>
      <c r="F53" s="101" cm="1">
        <f t="array" aca="1" ref="F53" ca="1">INDEX(sys_DataFlat_LU_Grid,$D53,1)-1</f>
        <v>1980</v>
      </c>
      <c r="G53" s="26"/>
      <c r="H53" s="151" t="str" cm="1">
        <f t="array" aca="1" ref="H53" ca="1">INDEX(auto_Series_NameNumbered,$D53)</f>
        <v>3.4b) Physical activity: city-level data availability</v>
      </c>
      <c r="I53" s="162">
        <f ca="1">OFFSET(iWeights!$G$18,$D53-1,0,1,1)</f>
        <v>0.5</v>
      </c>
      <c r="J53" s="163">
        <f ca="1">IF(E53=0,"-",OFFSET(iWeights!$U$18,$D53-1,0,1,1))</f>
        <v>1.6129032258064516E-2</v>
      </c>
      <c r="K53" s="164" cm="1">
        <f t="array" aca="1" ref="K53" ca="1">INDEX(auto_DataFlat_Score,$F53+K$18,$B$12)</f>
        <v>0</v>
      </c>
      <c r="L53" s="164" cm="1">
        <f t="array" aca="1" ref="L53" ca="1">INDEX(auto_DataFlat_Score,$F53+L$18,$B$12)</f>
        <v>0</v>
      </c>
      <c r="M53" s="164" cm="1">
        <f t="array" aca="1" ref="M53" ca="1">INDEX(auto_DataFlat_Score,$F53+M$18,$B$12)</f>
        <v>100</v>
      </c>
      <c r="N53" s="164" cm="1">
        <f t="array" aca="1" ref="N53" ca="1">INDEX(auto_DataFlat_Score,$F53+N$18,$B$12)</f>
        <v>100</v>
      </c>
      <c r="O53" s="164" cm="1">
        <f t="array" aca="1" ref="O53" ca="1">INDEX(auto_DataFlat_Score,$F53+O$18,$B$12)</f>
        <v>100</v>
      </c>
      <c r="P53" s="164" cm="1">
        <f t="array" aca="1" ref="P53" ca="1">INDEX(auto_DataFlat_Score,$F53+P$18,$B$12)</f>
        <v>100</v>
      </c>
      <c r="Q53" s="164" cm="1">
        <f t="array" aca="1" ref="Q53" ca="1">INDEX(auto_DataFlat_Score,$F53+Q$18,$B$12)</f>
        <v>100</v>
      </c>
      <c r="R53" s="164" cm="1">
        <f t="array" aca="1" ref="R53" ca="1">INDEX(auto_DataFlat_Score,$F53+R$18,$B$12)</f>
        <v>100</v>
      </c>
      <c r="S53" s="164" cm="1">
        <f t="array" aca="1" ref="S53" ca="1">INDEX(auto_DataFlat_Score,$F53+S$18,$B$12)</f>
        <v>100</v>
      </c>
      <c r="T53" s="164" cm="1">
        <f t="array" aca="1" ref="T53" ca="1">INDEX(auto_DataFlat_Score,$F53+T$18,$B$12)</f>
        <v>0</v>
      </c>
      <c r="U53" s="164" cm="1">
        <f t="array" aca="1" ref="U53" ca="1">INDEX(auto_DataFlat_Score,$F53+U$18,$B$12)</f>
        <v>0</v>
      </c>
      <c r="V53" s="164" cm="1">
        <f t="array" aca="1" ref="V53" ca="1">INDEX(auto_DataFlat_Score,$F53+V$18,$B$12)</f>
        <v>0</v>
      </c>
      <c r="W53" s="164" cm="1">
        <f t="array" aca="1" ref="W53" ca="1">INDEX(auto_DataFlat_Score,$F53+W$18,$B$12)</f>
        <v>0</v>
      </c>
      <c r="X53" s="164" cm="1">
        <f t="array" aca="1" ref="X53" ca="1">INDEX(auto_DataFlat_Score,$F53+X$18,$B$12)</f>
        <v>100</v>
      </c>
      <c r="Y53" s="164" cm="1">
        <f t="array" aca="1" ref="Y53" ca="1">INDEX(auto_DataFlat_Score,$F53+Y$18,$B$12)</f>
        <v>100</v>
      </c>
      <c r="Z53" s="164" cm="1">
        <f t="array" aca="1" ref="Z53" ca="1">INDEX(auto_DataFlat_Score,$F53+Z$18,$B$12)</f>
        <v>100</v>
      </c>
      <c r="AA53" s="164" cm="1">
        <f t="array" aca="1" ref="AA53" ca="1">INDEX(auto_DataFlat_Score,$F53+AA$18,$B$12)</f>
        <v>100</v>
      </c>
      <c r="AB53" s="164" cm="1">
        <f t="array" aca="1" ref="AB53" ca="1">INDEX(auto_DataFlat_Score,$F53+AB$18,$B$12)</f>
        <v>0</v>
      </c>
      <c r="AC53" s="164" cm="1">
        <f t="array" aca="1" ref="AC53" ca="1">INDEX(auto_DataFlat_Score,$F53+AC$18,$B$12)</f>
        <v>100</v>
      </c>
      <c r="AD53" s="164" cm="1">
        <f t="array" aca="1" ref="AD53" ca="1">INDEX(auto_DataFlat_Score,$F53+AD$18,$B$12)</f>
        <v>0</v>
      </c>
      <c r="AE53" s="164" cm="1">
        <f t="array" aca="1" ref="AE53" ca="1">INDEX(auto_DataFlat_Score,$F53+AE$18,$B$12)</f>
        <v>0</v>
      </c>
      <c r="AF53" s="164" cm="1">
        <f t="array" aca="1" ref="AF53" ca="1">INDEX(auto_DataFlat_Score,$F53+AF$18,$B$12)</f>
        <v>0</v>
      </c>
      <c r="AG53" s="164" cm="1">
        <f t="array" aca="1" ref="AG53" ca="1">INDEX(auto_DataFlat_Score,$F53+AG$18,$B$12)</f>
        <v>0</v>
      </c>
      <c r="AH53" s="164" cm="1">
        <f t="array" aca="1" ref="AH53" ca="1">INDEX(auto_DataFlat_Score,$F53+AH$18,$B$12)</f>
        <v>0</v>
      </c>
      <c r="AI53" s="164" cm="1">
        <f t="array" aca="1" ref="AI53" ca="1">INDEX(auto_DataFlat_Score,$F53+AI$18,$B$12)</f>
        <v>0</v>
      </c>
      <c r="AJ53" s="164" cm="1">
        <f t="array" aca="1" ref="AJ53" ca="1">INDEX(auto_DataFlat_Score,$F53+AJ$18,$B$12)</f>
        <v>100</v>
      </c>
      <c r="AK53" s="164" cm="1">
        <f t="array" aca="1" ref="AK53" ca="1">INDEX(auto_DataFlat_Score,$F53+AK$18,$B$12)</f>
        <v>100</v>
      </c>
      <c r="AL53" s="164" cm="1">
        <f t="array" aca="1" ref="AL53" ca="1">INDEX(auto_DataFlat_Score,$F53+AL$18,$B$12)</f>
        <v>0</v>
      </c>
      <c r="AM53" s="164" cm="1">
        <f t="array" aca="1" ref="AM53" ca="1">INDEX(auto_DataFlat_Score,$F53+AM$18,$B$12)</f>
        <v>100</v>
      </c>
      <c r="AN53" s="164" cm="1">
        <f t="array" aca="1" ref="AN53" ca="1">INDEX(auto_DataFlat_Score,$F53+AN$18,$B$12)</f>
        <v>0</v>
      </c>
      <c r="AO53" s="164" cm="1">
        <f t="array" aca="1" ref="AO53" ca="1">INDEX(auto_DataFlat_Score,$F53+AO$18,$B$12)</f>
        <v>0</v>
      </c>
      <c r="AP53" s="164" cm="1">
        <f t="array" aca="1" ref="AP53" ca="1">INDEX(auto_DataFlat_Score,$F53+AP$18,$B$12)</f>
        <v>0</v>
      </c>
      <c r="AQ53" s="164" cm="1">
        <f t="array" aca="1" ref="AQ53" ca="1">INDEX(auto_DataFlat_Score,$F53+AQ$18,$B$12)</f>
        <v>0</v>
      </c>
      <c r="AR53" s="164" cm="1">
        <f t="array" aca="1" ref="AR53" ca="1">INDEX(auto_DataFlat_Score,$F53+AR$18,$B$12)</f>
        <v>100</v>
      </c>
      <c r="AS53" s="164" cm="1">
        <f t="array" aca="1" ref="AS53" ca="1">INDEX(auto_DataFlat_Score,$F53+AS$18,$B$12)</f>
        <v>100</v>
      </c>
      <c r="AT53" s="164" cm="1">
        <f t="array" aca="1" ref="AT53" ca="1">INDEX(auto_DataFlat_Score,$F53+AT$18,$B$12)</f>
        <v>0</v>
      </c>
      <c r="AU53" s="164" cm="1">
        <f t="array" aca="1" ref="AU53" ca="1">INDEX(auto_DataFlat_Score,$F53+AU$18,$B$12)</f>
        <v>0</v>
      </c>
      <c r="AV53" s="164" cm="1">
        <f t="array" aca="1" ref="AV53" ca="1">INDEX(auto_DataFlat_Score,$F53+AV$18,$B$12)</f>
        <v>0</v>
      </c>
      <c r="AW53" s="164" cm="1">
        <f t="array" aca="1" ref="AW53" ca="1">INDEX(auto_DataFlat_Score,$F53+AW$18,$B$12)</f>
        <v>0</v>
      </c>
      <c r="AX53" s="164" cm="1">
        <f t="array" aca="1" ref="AX53" ca="1">INDEX(auto_DataFlat_Score,$F53+AX$18,$B$12)</f>
        <v>100</v>
      </c>
      <c r="AY53" s="164" cm="1">
        <f t="array" aca="1" ref="AY53" ca="1">INDEX(auto_DataFlat_Score,$F53+AY$18,$B$12)</f>
        <v>100</v>
      </c>
      <c r="AZ53" s="164" cm="1">
        <f t="array" aca="1" ref="AZ53" ca="1">INDEX(auto_DataFlat_Score,$F53+AZ$18,$B$12)</f>
        <v>100</v>
      </c>
      <c r="BA53" s="164" cm="1">
        <f t="array" aca="1" ref="BA53" ca="1">INDEX(auto_DataFlat_Score,$F53+BA$18,$B$12)</f>
        <v>100</v>
      </c>
      <c r="BB53" s="164" cm="1">
        <f t="array" aca="1" ref="BB53" ca="1">INDEX(auto_DataFlat_Score,$F53+BB$18,$B$12)</f>
        <v>100</v>
      </c>
      <c r="BC53" s="164" cm="1">
        <f t="array" aca="1" ref="BC53" ca="1">INDEX(auto_DataFlat_Score,$F53+BC$18,$B$12)</f>
        <v>100</v>
      </c>
      <c r="BD53" s="164" cm="1">
        <f t="array" aca="1" ref="BD53" ca="1">INDEX(auto_DataFlat_Score,$F53+BD$18,$B$12)</f>
        <v>100</v>
      </c>
      <c r="BE53" s="164" cm="1">
        <f t="array" aca="1" ref="BE53" ca="1">INDEX(auto_DataFlat_Score,$F53+BE$18,$B$12)</f>
        <v>100</v>
      </c>
      <c r="BF53" s="164" cm="1">
        <f t="array" aca="1" ref="BF53" ca="1">INDEX(auto_DataFlat_Score,$F53+BF$18,$B$12)</f>
        <v>100</v>
      </c>
      <c r="BG53" s="164" cm="1">
        <f t="array" aca="1" ref="BG53" ca="1">INDEX(auto_DataFlat_Score,$F53+BG$18,$B$12)</f>
        <v>0</v>
      </c>
      <c r="BH53" s="164" cm="1">
        <f t="array" aca="1" ref="BH53" ca="1">INDEX(auto_DataFlat_Score,$F53+BH$18,$B$12)</f>
        <v>0</v>
      </c>
    </row>
    <row r="54" spans="1:60" ht="17.05" customHeight="1" x14ac:dyDescent="0.4">
      <c r="A54" t="str">
        <f t="shared" ca="1" si="2"/>
        <v/>
      </c>
      <c r="B54" s="49"/>
      <c r="C54" s="4">
        <v>35</v>
      </c>
      <c r="D54" s="49" cm="1">
        <f t="array" aca="1" ref="D54" ca="1">INDEX(OFFSET(auto_ss_score_table,0,1,500,1),C54)</f>
        <v>35</v>
      </c>
      <c r="E54" s="26" cm="1">
        <f t="array" aca="1" ref="E54" ca="1">INDEX(auto_tblSeries,$D54,$E$18)</f>
        <v>2</v>
      </c>
      <c r="F54" s="101" cm="1">
        <f t="array" aca="1" ref="F54" ca="1">INDEX(sys_DataFlat_LU_Grid,$D54,1)-1</f>
        <v>2040</v>
      </c>
      <c r="G54" s="26"/>
      <c r="H54" s="148" t="str" cm="1">
        <f t="array" aca="1" ref="H54" ca="1">INDEX(auto_Series_NameNumbered,$D54)</f>
        <v>3.5) Hypertension</v>
      </c>
      <c r="I54" s="159">
        <f ca="1">IF(D54=1,"-",OFFSET(iWeights!$G$18,$D54-1,0,1,1))</f>
        <v>0.125</v>
      </c>
      <c r="J54" s="160">
        <f ca="1">IF(E54=0,"-",OFFSET(iWeights!$U$18,$D54-1,0,1,1))</f>
        <v>3.2258064516129031E-2</v>
      </c>
      <c r="K54" s="161" cm="1">
        <f t="array" aca="1" ref="K54" ca="1">INDEX(auto_DataFlat_Score,$F54+K$18,$B$12)</f>
        <v>61.3</v>
      </c>
      <c r="L54" s="161" cm="1">
        <f t="array" aca="1" ref="L54" ca="1">INDEX(auto_DataFlat_Score,$F54+L$18,$B$12)</f>
        <v>81.900000000000006</v>
      </c>
      <c r="M54" s="161" cm="1">
        <f t="array" aca="1" ref="M54" ca="1">INDEX(auto_DataFlat_Score,$F54+M$18,$B$12)</f>
        <v>59.2</v>
      </c>
      <c r="N54" s="161" cm="1">
        <f t="array" aca="1" ref="N54" ca="1">INDEX(auto_DataFlat_Score,$F54+N$18,$B$12)</f>
        <v>59.6</v>
      </c>
      <c r="O54" s="161" cm="1">
        <f t="array" aca="1" ref="O54" ca="1">INDEX(auto_DataFlat_Score,$F54+O$18,$B$12)</f>
        <v>60.4</v>
      </c>
      <c r="P54" s="161" cm="1">
        <f t="array" aca="1" ref="P54" ca="1">INDEX(auto_DataFlat_Score,$F54+P$18,$B$12)</f>
        <v>61.4</v>
      </c>
      <c r="Q54" s="161" cm="1">
        <f t="array" aca="1" ref="Q54" ca="1">INDEX(auto_DataFlat_Score,$F54+Q$18,$B$12)</f>
        <v>35.200000000000003</v>
      </c>
      <c r="R54" s="161" cm="1">
        <f t="array" aca="1" ref="R54" ca="1">INDEX(auto_DataFlat_Score,$F54+R$18,$B$12)</f>
        <v>34.5</v>
      </c>
      <c r="S54" s="161" cm="1">
        <f t="array" aca="1" ref="S54" ca="1">INDEX(auto_DataFlat_Score,$F54+S$18,$B$12)</f>
        <v>50.9</v>
      </c>
      <c r="T54" s="161" cm="1">
        <f t="array" aca="1" ref="T54" ca="1">INDEX(auto_DataFlat_Score,$F54+T$18,$B$12)</f>
        <v>55.9</v>
      </c>
      <c r="U54" s="161" cm="1">
        <f t="array" aca="1" ref="U54" ca="1">INDEX(auto_DataFlat_Score,$F54+U$18,$B$12)</f>
        <v>32.200000000000003</v>
      </c>
      <c r="V54" s="161" cm="1">
        <f t="array" aca="1" ref="V54" ca="1">INDEX(auto_DataFlat_Score,$F54+V$18,$B$12)</f>
        <v>59.5</v>
      </c>
      <c r="W54" s="161" cm="1">
        <f t="array" aca="1" ref="W54" ca="1">INDEX(auto_DataFlat_Score,$F54+W$18,$B$12)</f>
        <v>85.6</v>
      </c>
      <c r="X54" s="161" cm="1">
        <f t="array" aca="1" ref="X54" ca="1">INDEX(auto_DataFlat_Score,$F54+X$18,$B$12)</f>
        <v>79.3</v>
      </c>
      <c r="Y54" s="161" cm="1">
        <f t="array" aca="1" ref="Y54" ca="1">INDEX(auto_DataFlat_Score,$F54+Y$18,$B$12)</f>
        <v>82.1</v>
      </c>
      <c r="Z54" s="161" cm="1">
        <f t="array" aca="1" ref="Z54" ca="1">INDEX(auto_DataFlat_Score,$F54+Z$18,$B$12)</f>
        <v>85.2</v>
      </c>
      <c r="AA54" s="161" cm="1">
        <f t="array" aca="1" ref="AA54" ca="1">INDEX(auto_DataFlat_Score,$F54+AA$18,$B$12)</f>
        <v>84</v>
      </c>
      <c r="AB54" s="161" cm="1">
        <f t="array" aca="1" ref="AB54" ca="1">INDEX(auto_DataFlat_Score,$F54+AB$18,$B$12)</f>
        <v>58.6</v>
      </c>
      <c r="AC54" s="161" cm="1">
        <f t="array" aca="1" ref="AC54" ca="1">INDEX(auto_DataFlat_Score,$F54+AC$18,$B$12)</f>
        <v>79.900000000000006</v>
      </c>
      <c r="AD54" s="161" cm="1">
        <f t="array" aca="1" ref="AD54" ca="1">INDEX(auto_DataFlat_Score,$F54+AD$18,$B$12)</f>
        <v>53</v>
      </c>
      <c r="AE54" s="161" cm="1">
        <f t="array" aca="1" ref="AE54" ca="1">INDEX(auto_DataFlat_Score,$F54+AE$18,$B$12)</f>
        <v>53.4</v>
      </c>
      <c r="AF54" s="161" cm="1">
        <f t="array" aca="1" ref="AF54" ca="1">INDEX(auto_DataFlat_Score,$F54+AF$18,$B$12)</f>
        <v>57</v>
      </c>
      <c r="AG54" s="161" cm="1">
        <f t="array" aca="1" ref="AG54" ca="1">INDEX(auto_DataFlat_Score,$F54+AG$18,$B$12)</f>
        <v>59.5</v>
      </c>
      <c r="AH54" s="161" cm="1">
        <f t="array" aca="1" ref="AH54" ca="1">INDEX(auto_DataFlat_Score,$F54+AH$18,$B$12)</f>
        <v>29.8</v>
      </c>
      <c r="AI54" s="161" cm="1">
        <f t="array" aca="1" ref="AI54" ca="1">INDEX(auto_DataFlat_Score,$F54+AI$18,$B$12)</f>
        <v>32</v>
      </c>
      <c r="AJ54" s="161" cm="1">
        <f t="array" aca="1" ref="AJ54" ca="1">INDEX(auto_DataFlat_Score,$F54+AJ$18,$B$12)</f>
        <v>61.8</v>
      </c>
      <c r="AK54" s="161" cm="1">
        <f t="array" aca="1" ref="AK54" ca="1">INDEX(auto_DataFlat_Score,$F54+AK$18,$B$12)</f>
        <v>86.4</v>
      </c>
      <c r="AL54" s="161" cm="1">
        <f t="array" aca="1" ref="AL54" ca="1">INDEX(auto_DataFlat_Score,$F54+AL$18,$B$12)</f>
        <v>58.1</v>
      </c>
      <c r="AM54" s="161" cm="1">
        <f t="array" aca="1" ref="AM54" ca="1">INDEX(auto_DataFlat_Score,$F54+AM$18,$B$12)</f>
        <v>60.4</v>
      </c>
      <c r="AN54" s="161" cm="1">
        <f t="array" aca="1" ref="AN54" ca="1">INDEX(auto_DataFlat_Score,$F54+AN$18,$B$12)</f>
        <v>59</v>
      </c>
      <c r="AO54" s="161" cm="1">
        <f t="array" aca="1" ref="AO54" ca="1">INDEX(auto_DataFlat_Score,$F54+AO$18,$B$12)</f>
        <v>52.9</v>
      </c>
      <c r="AP54" s="161" cm="1">
        <f t="array" aca="1" ref="AP54" ca="1">INDEX(auto_DataFlat_Score,$F54+AP$18,$B$12)</f>
        <v>84.5</v>
      </c>
      <c r="AQ54" s="161" cm="1">
        <f t="array" aca="1" ref="AQ54" ca="1">INDEX(auto_DataFlat_Score,$F54+AQ$18,$B$12)</f>
        <v>33.4</v>
      </c>
      <c r="AR54" s="161" cm="1">
        <f t="array" aca="1" ref="AR54" ca="1">INDEX(auto_DataFlat_Score,$F54+AR$18,$B$12)</f>
        <v>84.2</v>
      </c>
      <c r="AS54" s="161" cm="1">
        <f t="array" aca="1" ref="AS54" ca="1">INDEX(auto_DataFlat_Score,$F54+AS$18,$B$12)</f>
        <v>84.3</v>
      </c>
      <c r="AT54" s="161" cm="1">
        <f t="array" aca="1" ref="AT54" ca="1">INDEX(auto_DataFlat_Score,$F54+AT$18,$B$12)</f>
        <v>35.5</v>
      </c>
      <c r="AU54" s="161" cm="1">
        <f t="array" aca="1" ref="AU54" ca="1">INDEX(auto_DataFlat_Score,$F54+AU$18,$B$12)</f>
        <v>62.2</v>
      </c>
      <c r="AV54" s="161" cm="1">
        <f t="array" aca="1" ref="AV54" ca="1">INDEX(auto_DataFlat_Score,$F54+AV$18,$B$12)</f>
        <v>83</v>
      </c>
      <c r="AW54" s="161" cm="1">
        <f t="array" aca="1" ref="AW54" ca="1">INDEX(auto_DataFlat_Score,$F54+AW$18,$B$12)</f>
        <v>33.1</v>
      </c>
      <c r="AX54" s="161" cm="1">
        <f t="array" aca="1" ref="AX54" ca="1">INDEX(auto_DataFlat_Score,$F54+AX$18,$B$12)</f>
        <v>84.2</v>
      </c>
      <c r="AY54" s="161" cm="1">
        <f t="array" aca="1" ref="AY54" ca="1">INDEX(auto_DataFlat_Score,$F54+AY$18,$B$12)</f>
        <v>52.5</v>
      </c>
      <c r="AZ54" s="161" cm="1">
        <f t="array" aca="1" ref="AZ54" ca="1">INDEX(auto_DataFlat_Score,$F54+AZ$18,$B$12)</f>
        <v>86.7</v>
      </c>
      <c r="BA54" s="161" cm="1">
        <f t="array" aca="1" ref="BA54" ca="1">INDEX(auto_DataFlat_Score,$F54+BA$18,$B$12)</f>
        <v>86.4</v>
      </c>
      <c r="BB54" s="161" cm="1">
        <f t="array" aca="1" ref="BB54" ca="1">INDEX(auto_DataFlat_Score,$F54+BB$18,$B$12)</f>
        <v>59.3</v>
      </c>
      <c r="BC54" s="161" cm="1">
        <f t="array" aca="1" ref="BC54" ca="1">INDEX(auto_DataFlat_Score,$F54+BC$18,$B$12)</f>
        <v>60.4</v>
      </c>
      <c r="BD54" s="161" cm="1">
        <f t="array" aca="1" ref="BD54" ca="1">INDEX(auto_DataFlat_Score,$F54+BD$18,$B$12)</f>
        <v>84.3</v>
      </c>
      <c r="BE54" s="161" cm="1">
        <f t="array" aca="1" ref="BE54" ca="1">INDEX(auto_DataFlat_Score,$F54+BE$18,$B$12)</f>
        <v>64</v>
      </c>
      <c r="BF54" s="161" cm="1">
        <f t="array" aca="1" ref="BF54" ca="1">INDEX(auto_DataFlat_Score,$F54+BF$18,$B$12)</f>
        <v>58.1</v>
      </c>
      <c r="BG54" s="161" cm="1">
        <f t="array" aca="1" ref="BG54" ca="1">INDEX(auto_DataFlat_Score,$F54+BG$18,$B$12)</f>
        <v>86.4</v>
      </c>
      <c r="BH54" s="161" cm="1">
        <f t="array" aca="1" ref="BH54" ca="1">INDEX(auto_DataFlat_Score,$F54+BH$18,$B$12)</f>
        <v>56.1</v>
      </c>
    </row>
    <row r="55" spans="1:60" ht="17.05" customHeight="1" x14ac:dyDescent="0.4">
      <c r="A55" t="str">
        <f t="shared" ca="1" si="2"/>
        <v/>
      </c>
      <c r="B55" s="49"/>
      <c r="C55" s="4">
        <v>36</v>
      </c>
      <c r="D55" s="49" cm="1">
        <f t="array" aca="1" ref="D55" ca="1">INDEX(OFFSET(auto_ss_score_table,0,1,500,1),C55)</f>
        <v>36</v>
      </c>
      <c r="E55" s="26" cm="1">
        <f t="array" aca="1" ref="E55" ca="1">INDEX(auto_tblSeries,$D55,$E$18)</f>
        <v>3</v>
      </c>
      <c r="F55" s="101" cm="1">
        <f t="array" aca="1" ref="F55" ca="1">INDEX(sys_DataFlat_LU_Grid,$D55,1)-1</f>
        <v>2100</v>
      </c>
      <c r="G55" s="26"/>
      <c r="H55" s="151" t="str" cm="1">
        <f t="array" aca="1" ref="H55" ca="1">INDEX(auto_Series_NameNumbered,$D55)</f>
        <v>3.5a) Hypertension: national data</v>
      </c>
      <c r="I55" s="162">
        <f ca="1">OFFSET(iWeights!$G$18,$D55-1,0,1,1)</f>
        <v>0.5</v>
      </c>
      <c r="J55" s="163">
        <f ca="1">IF(E55=0,"-",OFFSET(iWeights!$U$18,$D55-1,0,1,1))</f>
        <v>1.6129032258064516E-2</v>
      </c>
      <c r="K55" s="164" cm="1">
        <f t="array" aca="1" ref="K55" ca="1">INDEX(auto_DataFlat_Score,$F55+K$18,$B$12)</f>
        <v>72.599999999999994</v>
      </c>
      <c r="L55" s="164" cm="1">
        <f t="array" aca="1" ref="L55" ca="1">INDEX(auto_DataFlat_Score,$F55+L$18,$B$12)</f>
        <v>63.8</v>
      </c>
      <c r="M55" s="164" cm="1">
        <f t="array" aca="1" ref="M55" ca="1">INDEX(auto_DataFlat_Score,$F55+M$18,$B$12)</f>
        <v>68.400000000000006</v>
      </c>
      <c r="N55" s="164" cm="1">
        <f t="array" aca="1" ref="N55" ca="1">INDEX(auto_DataFlat_Score,$F55+N$18,$B$12)</f>
        <v>69.099999999999994</v>
      </c>
      <c r="O55" s="164" cm="1">
        <f t="array" aca="1" ref="O55" ca="1">INDEX(auto_DataFlat_Score,$F55+O$18,$B$12)</f>
        <v>70.8</v>
      </c>
      <c r="P55" s="164" cm="1">
        <f t="array" aca="1" ref="P55" ca="1">INDEX(auto_DataFlat_Score,$F55+P$18,$B$12)</f>
        <v>72.7</v>
      </c>
      <c r="Q55" s="164" cm="1">
        <f t="array" aca="1" ref="Q55" ca="1">INDEX(auto_DataFlat_Score,$F55+Q$18,$B$12)</f>
        <v>70.3</v>
      </c>
      <c r="R55" s="164" cm="1">
        <f t="array" aca="1" ref="R55" ca="1">INDEX(auto_DataFlat_Score,$F55+R$18,$B$12)</f>
        <v>69</v>
      </c>
      <c r="S55" s="164" cm="1">
        <f t="array" aca="1" ref="S55" ca="1">INDEX(auto_DataFlat_Score,$F55+S$18,$B$12)</f>
        <v>51.7</v>
      </c>
      <c r="T55" s="164" cm="1">
        <f t="array" aca="1" ref="T55" ca="1">INDEX(auto_DataFlat_Score,$F55+T$18,$B$12)</f>
        <v>61.8</v>
      </c>
      <c r="U55" s="164" cm="1">
        <f t="array" aca="1" ref="U55" ca="1">INDEX(auto_DataFlat_Score,$F55+U$18,$B$12)</f>
        <v>64.400000000000006</v>
      </c>
      <c r="V55" s="164" cm="1">
        <f t="array" aca="1" ref="V55" ca="1">INDEX(auto_DataFlat_Score,$F55+V$18,$B$12)</f>
        <v>68.900000000000006</v>
      </c>
      <c r="W55" s="164" cm="1">
        <f t="array" aca="1" ref="W55" ca="1">INDEX(auto_DataFlat_Score,$F55+W$18,$B$12)</f>
        <v>71.2</v>
      </c>
      <c r="X55" s="164" cm="1">
        <f t="array" aca="1" ref="X55" ca="1">INDEX(auto_DataFlat_Score,$F55+X$18,$B$12)</f>
        <v>58.6</v>
      </c>
      <c r="Y55" s="164" cm="1">
        <f t="array" aca="1" ref="Y55" ca="1">INDEX(auto_DataFlat_Score,$F55+Y$18,$B$12)</f>
        <v>64.099999999999994</v>
      </c>
      <c r="Z55" s="164" cm="1">
        <f t="array" aca="1" ref="Z55" ca="1">INDEX(auto_DataFlat_Score,$F55+Z$18,$B$12)</f>
        <v>70.3</v>
      </c>
      <c r="AA55" s="164" cm="1">
        <f t="array" aca="1" ref="AA55" ca="1">INDEX(auto_DataFlat_Score,$F55+AA$18,$B$12)</f>
        <v>68</v>
      </c>
      <c r="AB55" s="164" cm="1">
        <f t="array" aca="1" ref="AB55" ca="1">INDEX(auto_DataFlat_Score,$F55+AB$18,$B$12)</f>
        <v>67.2</v>
      </c>
      <c r="AC55" s="164" cm="1">
        <f t="array" aca="1" ref="AC55" ca="1">INDEX(auto_DataFlat_Score,$F55+AC$18,$B$12)</f>
        <v>59.7</v>
      </c>
      <c r="AD55" s="164" cm="1">
        <f t="array" aca="1" ref="AD55" ca="1">INDEX(auto_DataFlat_Score,$F55+AD$18,$B$12)</f>
        <v>55.9</v>
      </c>
      <c r="AE55" s="164" cm="1">
        <f t="array" aca="1" ref="AE55" ca="1">INDEX(auto_DataFlat_Score,$F55+AE$18,$B$12)</f>
        <v>56.8</v>
      </c>
      <c r="AF55" s="164" cm="1">
        <f t="array" aca="1" ref="AF55" ca="1">INDEX(auto_DataFlat_Score,$F55+AF$18,$B$12)</f>
        <v>63.9</v>
      </c>
      <c r="AG55" s="164" cm="1">
        <f t="array" aca="1" ref="AG55" ca="1">INDEX(auto_DataFlat_Score,$F55+AG$18,$B$12)</f>
        <v>68.900000000000006</v>
      </c>
      <c r="AH55" s="164" cm="1">
        <f t="array" aca="1" ref="AH55" ca="1">INDEX(auto_DataFlat_Score,$F55+AH$18,$B$12)</f>
        <v>59.5</v>
      </c>
      <c r="AI55" s="164" cm="1">
        <f t="array" aca="1" ref="AI55" ca="1">INDEX(auto_DataFlat_Score,$F55+AI$18,$B$12)</f>
        <v>63.9</v>
      </c>
      <c r="AJ55" s="164" cm="1">
        <f t="array" aca="1" ref="AJ55" ca="1">INDEX(auto_DataFlat_Score,$F55+AJ$18,$B$12)</f>
        <v>73.599999999999994</v>
      </c>
      <c r="AK55" s="164" cm="1">
        <f t="array" aca="1" ref="AK55" ca="1">INDEX(auto_DataFlat_Score,$F55+AK$18,$B$12)</f>
        <v>72.8</v>
      </c>
      <c r="AL55" s="164" cm="1">
        <f t="array" aca="1" ref="AL55" ca="1">INDEX(auto_DataFlat_Score,$F55+AL$18,$B$12)</f>
        <v>66.2</v>
      </c>
      <c r="AM55" s="164" cm="1">
        <f t="array" aca="1" ref="AM55" ca="1">INDEX(auto_DataFlat_Score,$F55+AM$18,$B$12)</f>
        <v>70.7</v>
      </c>
      <c r="AN55" s="164" cm="1">
        <f t="array" aca="1" ref="AN55" ca="1">INDEX(auto_DataFlat_Score,$F55+AN$18,$B$12)</f>
        <v>67.900000000000006</v>
      </c>
      <c r="AO55" s="164" cm="1">
        <f t="array" aca="1" ref="AO55" ca="1">INDEX(auto_DataFlat_Score,$F55+AO$18,$B$12)</f>
        <v>55.7</v>
      </c>
      <c r="AP55" s="164" cm="1">
        <f t="array" aca="1" ref="AP55" ca="1">INDEX(auto_DataFlat_Score,$F55+AP$18,$B$12)</f>
        <v>68.900000000000006</v>
      </c>
      <c r="AQ55" s="164" cm="1">
        <f t="array" aca="1" ref="AQ55" ca="1">INDEX(auto_DataFlat_Score,$F55+AQ$18,$B$12)</f>
        <v>66.8</v>
      </c>
      <c r="AR55" s="164" cm="1">
        <f t="array" aca="1" ref="AR55" ca="1">INDEX(auto_DataFlat_Score,$F55+AR$18,$B$12)</f>
        <v>68.400000000000006</v>
      </c>
      <c r="AS55" s="164" cm="1">
        <f t="array" aca="1" ref="AS55" ca="1">INDEX(auto_DataFlat_Score,$F55+AS$18,$B$12)</f>
        <v>68.599999999999994</v>
      </c>
      <c r="AT55" s="164" cm="1">
        <f t="array" aca="1" ref="AT55" ca="1">INDEX(auto_DataFlat_Score,$F55+AT$18,$B$12)</f>
        <v>70.900000000000006</v>
      </c>
      <c r="AU55" s="164" cm="1">
        <f t="array" aca="1" ref="AU55" ca="1">INDEX(auto_DataFlat_Score,$F55+AU$18,$B$12)</f>
        <v>74.3</v>
      </c>
      <c r="AV55" s="164" cm="1">
        <f t="array" aca="1" ref="AV55" ca="1">INDEX(auto_DataFlat_Score,$F55+AV$18,$B$12)</f>
        <v>66</v>
      </c>
      <c r="AW55" s="164" cm="1">
        <f t="array" aca="1" ref="AW55" ca="1">INDEX(auto_DataFlat_Score,$F55+AW$18,$B$12)</f>
        <v>66.2</v>
      </c>
      <c r="AX55" s="164" cm="1">
        <f t="array" aca="1" ref="AX55" ca="1">INDEX(auto_DataFlat_Score,$F55+AX$18,$B$12)</f>
        <v>68.400000000000006</v>
      </c>
      <c r="AY55" s="164" cm="1">
        <f t="array" aca="1" ref="AY55" ca="1">INDEX(auto_DataFlat_Score,$F55+AY$18,$B$12)</f>
        <v>55</v>
      </c>
      <c r="AZ55" s="164" cm="1">
        <f t="array" aca="1" ref="AZ55" ca="1">INDEX(auto_DataFlat_Score,$F55+AZ$18,$B$12)</f>
        <v>73.3</v>
      </c>
      <c r="BA55" s="164" cm="1">
        <f t="array" aca="1" ref="BA55" ca="1">INDEX(auto_DataFlat_Score,$F55+BA$18,$B$12)</f>
        <v>72.7</v>
      </c>
      <c r="BB55" s="164" cm="1">
        <f t="array" aca="1" ref="BB55" ca="1">INDEX(auto_DataFlat_Score,$F55+BB$18,$B$12)</f>
        <v>68.5</v>
      </c>
      <c r="BC55" s="164" cm="1">
        <f t="array" aca="1" ref="BC55" ca="1">INDEX(auto_DataFlat_Score,$F55+BC$18,$B$12)</f>
        <v>70.7</v>
      </c>
      <c r="BD55" s="164" cm="1">
        <f t="array" aca="1" ref="BD55" ca="1">INDEX(auto_DataFlat_Score,$F55+BD$18,$B$12)</f>
        <v>68.599999999999994</v>
      </c>
      <c r="BE55" s="164" cm="1">
        <f t="array" aca="1" ref="BE55" ca="1">INDEX(auto_DataFlat_Score,$F55+BE$18,$B$12)</f>
        <v>77.900000000000006</v>
      </c>
      <c r="BF55" s="164" cm="1">
        <f t="array" aca="1" ref="BF55" ca="1">INDEX(auto_DataFlat_Score,$F55+BF$18,$B$12)</f>
        <v>66.2</v>
      </c>
      <c r="BG55" s="164" cm="1">
        <f t="array" aca="1" ref="BG55" ca="1">INDEX(auto_DataFlat_Score,$F55+BG$18,$B$12)</f>
        <v>72.7</v>
      </c>
      <c r="BH55" s="164" cm="1">
        <f t="array" aca="1" ref="BH55" ca="1">INDEX(auto_DataFlat_Score,$F55+BH$18,$B$12)</f>
        <v>62.2</v>
      </c>
    </row>
    <row r="56" spans="1:60" ht="17.05" customHeight="1" x14ac:dyDescent="0.4">
      <c r="A56" t="str">
        <f t="shared" ca="1" si="2"/>
        <v/>
      </c>
      <c r="B56" s="49"/>
      <c r="C56" s="4">
        <v>37</v>
      </c>
      <c r="D56" s="49" cm="1">
        <f t="array" aca="1" ref="D56" ca="1">INDEX(OFFSET(auto_ss_score_table,0,1,500,1),C56)</f>
        <v>37</v>
      </c>
      <c r="E56" s="26" cm="1">
        <f t="array" aca="1" ref="E56" ca="1">INDEX(auto_tblSeries,$D56,$E$18)</f>
        <v>3</v>
      </c>
      <c r="F56" s="101" cm="1">
        <f t="array" aca="1" ref="F56" ca="1">INDEX(sys_DataFlat_LU_Grid,$D56,1)-1</f>
        <v>2160</v>
      </c>
      <c r="G56" s="26"/>
      <c r="H56" s="151" t="str" cm="1">
        <f t="array" aca="1" ref="H56" ca="1">INDEX(auto_Series_NameNumbered,$D56)</f>
        <v>3.5b) Hypertension surveillance: city-level data availability</v>
      </c>
      <c r="I56" s="162">
        <f ca="1">IF(D56=1,"-",OFFSET(iWeights!$G$18,$D56-1,0,1,1))</f>
        <v>0.5</v>
      </c>
      <c r="J56" s="163">
        <f ca="1">IF(E56=0,"-",OFFSET(iWeights!$U$18,$D56-1,0,1,1))</f>
        <v>1.6129032258064516E-2</v>
      </c>
      <c r="K56" s="164" cm="1">
        <f t="array" aca="1" ref="K56" ca="1">INDEX(auto_DataFlat_Score,$F56+K$18,$B$12)</f>
        <v>50</v>
      </c>
      <c r="L56" s="164" cm="1">
        <f t="array" aca="1" ref="L56" ca="1">INDEX(auto_DataFlat_Score,$F56+L$18,$B$12)</f>
        <v>100</v>
      </c>
      <c r="M56" s="164" cm="1">
        <f t="array" aca="1" ref="M56" ca="1">INDEX(auto_DataFlat_Score,$F56+M$18,$B$12)</f>
        <v>50</v>
      </c>
      <c r="N56" s="164" cm="1">
        <f t="array" aca="1" ref="N56" ca="1">INDEX(auto_DataFlat_Score,$F56+N$18,$B$12)</f>
        <v>50</v>
      </c>
      <c r="O56" s="164" cm="1">
        <f t="array" aca="1" ref="O56" ca="1">INDEX(auto_DataFlat_Score,$F56+O$18,$B$12)</f>
        <v>50</v>
      </c>
      <c r="P56" s="164" cm="1">
        <f t="array" aca="1" ref="P56" ca="1">INDEX(auto_DataFlat_Score,$F56+P$18,$B$12)</f>
        <v>50</v>
      </c>
      <c r="Q56" s="164" cm="1">
        <f t="array" aca="1" ref="Q56" ca="1">INDEX(auto_DataFlat_Score,$F56+Q$18,$B$12)</f>
        <v>0</v>
      </c>
      <c r="R56" s="164" cm="1">
        <f t="array" aca="1" ref="R56" ca="1">INDEX(auto_DataFlat_Score,$F56+R$18,$B$12)</f>
        <v>0</v>
      </c>
      <c r="S56" s="164" cm="1">
        <f t="array" aca="1" ref="S56" ca="1">INDEX(auto_DataFlat_Score,$F56+S$18,$B$12)</f>
        <v>50</v>
      </c>
      <c r="T56" s="164" cm="1">
        <f t="array" aca="1" ref="T56" ca="1">INDEX(auto_DataFlat_Score,$F56+T$18,$B$12)</f>
        <v>50</v>
      </c>
      <c r="U56" s="164" cm="1">
        <f t="array" aca="1" ref="U56" ca="1">INDEX(auto_DataFlat_Score,$F56+U$18,$B$12)</f>
        <v>0</v>
      </c>
      <c r="V56" s="164" cm="1">
        <f t="array" aca="1" ref="V56" ca="1">INDEX(auto_DataFlat_Score,$F56+V$18,$B$12)</f>
        <v>50</v>
      </c>
      <c r="W56" s="164" cm="1">
        <f t="array" aca="1" ref="W56" ca="1">INDEX(auto_DataFlat_Score,$F56+W$18,$B$12)</f>
        <v>100</v>
      </c>
      <c r="X56" s="164" cm="1">
        <f t="array" aca="1" ref="X56" ca="1">INDEX(auto_DataFlat_Score,$F56+X$18,$B$12)</f>
        <v>100</v>
      </c>
      <c r="Y56" s="164" cm="1">
        <f t="array" aca="1" ref="Y56" ca="1">INDEX(auto_DataFlat_Score,$F56+Y$18,$B$12)</f>
        <v>100</v>
      </c>
      <c r="Z56" s="164" cm="1">
        <f t="array" aca="1" ref="Z56" ca="1">INDEX(auto_DataFlat_Score,$F56+Z$18,$B$12)</f>
        <v>100</v>
      </c>
      <c r="AA56" s="164" cm="1">
        <f t="array" aca="1" ref="AA56" ca="1">INDEX(auto_DataFlat_Score,$F56+AA$18,$B$12)</f>
        <v>100</v>
      </c>
      <c r="AB56" s="164" cm="1">
        <f t="array" aca="1" ref="AB56" ca="1">INDEX(auto_DataFlat_Score,$F56+AB$18,$B$12)</f>
        <v>50</v>
      </c>
      <c r="AC56" s="164" cm="1">
        <f t="array" aca="1" ref="AC56" ca="1">INDEX(auto_DataFlat_Score,$F56+AC$18,$B$12)</f>
        <v>100</v>
      </c>
      <c r="AD56" s="164" cm="1">
        <f t="array" aca="1" ref="AD56" ca="1">INDEX(auto_DataFlat_Score,$F56+AD$18,$B$12)</f>
        <v>50</v>
      </c>
      <c r="AE56" s="164" cm="1">
        <f t="array" aca="1" ref="AE56" ca="1">INDEX(auto_DataFlat_Score,$F56+AE$18,$B$12)</f>
        <v>50</v>
      </c>
      <c r="AF56" s="164" cm="1">
        <f t="array" aca="1" ref="AF56" ca="1">INDEX(auto_DataFlat_Score,$F56+AF$18,$B$12)</f>
        <v>50</v>
      </c>
      <c r="AG56" s="164" cm="1">
        <f t="array" aca="1" ref="AG56" ca="1">INDEX(auto_DataFlat_Score,$F56+AG$18,$B$12)</f>
        <v>50</v>
      </c>
      <c r="AH56" s="164" cm="1">
        <f t="array" aca="1" ref="AH56" ca="1">INDEX(auto_DataFlat_Score,$F56+AH$18,$B$12)</f>
        <v>0</v>
      </c>
      <c r="AI56" s="164" cm="1">
        <f t="array" aca="1" ref="AI56" ca="1">INDEX(auto_DataFlat_Score,$F56+AI$18,$B$12)</f>
        <v>0</v>
      </c>
      <c r="AJ56" s="164" cm="1">
        <f t="array" aca="1" ref="AJ56" ca="1">INDEX(auto_DataFlat_Score,$F56+AJ$18,$B$12)</f>
        <v>50</v>
      </c>
      <c r="AK56" s="164" cm="1">
        <f t="array" aca="1" ref="AK56" ca="1">INDEX(auto_DataFlat_Score,$F56+AK$18,$B$12)</f>
        <v>100</v>
      </c>
      <c r="AL56" s="164" cm="1">
        <f t="array" aca="1" ref="AL56" ca="1">INDEX(auto_DataFlat_Score,$F56+AL$18,$B$12)</f>
        <v>50</v>
      </c>
      <c r="AM56" s="164" cm="1">
        <f t="array" aca="1" ref="AM56" ca="1">INDEX(auto_DataFlat_Score,$F56+AM$18,$B$12)</f>
        <v>50</v>
      </c>
      <c r="AN56" s="164" cm="1">
        <f t="array" aca="1" ref="AN56" ca="1">INDEX(auto_DataFlat_Score,$F56+AN$18,$B$12)</f>
        <v>50</v>
      </c>
      <c r="AO56" s="164" cm="1">
        <f t="array" aca="1" ref="AO56" ca="1">INDEX(auto_DataFlat_Score,$F56+AO$18,$B$12)</f>
        <v>50</v>
      </c>
      <c r="AP56" s="164" cm="1">
        <f t="array" aca="1" ref="AP56" ca="1">INDEX(auto_DataFlat_Score,$F56+AP$18,$B$12)</f>
        <v>100</v>
      </c>
      <c r="AQ56" s="164" cm="1">
        <f t="array" aca="1" ref="AQ56" ca="1">INDEX(auto_DataFlat_Score,$F56+AQ$18,$B$12)</f>
        <v>0</v>
      </c>
      <c r="AR56" s="164" cm="1">
        <f t="array" aca="1" ref="AR56" ca="1">INDEX(auto_DataFlat_Score,$F56+AR$18,$B$12)</f>
        <v>100</v>
      </c>
      <c r="AS56" s="164" cm="1">
        <f t="array" aca="1" ref="AS56" ca="1">INDEX(auto_DataFlat_Score,$F56+AS$18,$B$12)</f>
        <v>100</v>
      </c>
      <c r="AT56" s="164" cm="1">
        <f t="array" aca="1" ref="AT56" ca="1">INDEX(auto_DataFlat_Score,$F56+AT$18,$B$12)</f>
        <v>0</v>
      </c>
      <c r="AU56" s="164" cm="1">
        <f t="array" aca="1" ref="AU56" ca="1">INDEX(auto_DataFlat_Score,$F56+AU$18,$B$12)</f>
        <v>50</v>
      </c>
      <c r="AV56" s="164" cm="1">
        <f t="array" aca="1" ref="AV56" ca="1">INDEX(auto_DataFlat_Score,$F56+AV$18,$B$12)</f>
        <v>100</v>
      </c>
      <c r="AW56" s="164" cm="1">
        <f t="array" aca="1" ref="AW56" ca="1">INDEX(auto_DataFlat_Score,$F56+AW$18,$B$12)</f>
        <v>0</v>
      </c>
      <c r="AX56" s="164" cm="1">
        <f t="array" aca="1" ref="AX56" ca="1">INDEX(auto_DataFlat_Score,$F56+AX$18,$B$12)</f>
        <v>100</v>
      </c>
      <c r="AY56" s="164" cm="1">
        <f t="array" aca="1" ref="AY56" ca="1">INDEX(auto_DataFlat_Score,$F56+AY$18,$B$12)</f>
        <v>50</v>
      </c>
      <c r="AZ56" s="164" cm="1">
        <f t="array" aca="1" ref="AZ56" ca="1">INDEX(auto_DataFlat_Score,$F56+AZ$18,$B$12)</f>
        <v>100</v>
      </c>
      <c r="BA56" s="164" cm="1">
        <f t="array" aca="1" ref="BA56" ca="1">INDEX(auto_DataFlat_Score,$F56+BA$18,$B$12)</f>
        <v>100</v>
      </c>
      <c r="BB56" s="164" cm="1">
        <f t="array" aca="1" ref="BB56" ca="1">INDEX(auto_DataFlat_Score,$F56+BB$18,$B$12)</f>
        <v>50</v>
      </c>
      <c r="BC56" s="164" cm="1">
        <f t="array" aca="1" ref="BC56" ca="1">INDEX(auto_DataFlat_Score,$F56+BC$18,$B$12)</f>
        <v>50</v>
      </c>
      <c r="BD56" s="164" cm="1">
        <f t="array" aca="1" ref="BD56" ca="1">INDEX(auto_DataFlat_Score,$F56+BD$18,$B$12)</f>
        <v>100</v>
      </c>
      <c r="BE56" s="164" cm="1">
        <f t="array" aca="1" ref="BE56" ca="1">INDEX(auto_DataFlat_Score,$F56+BE$18,$B$12)</f>
        <v>50</v>
      </c>
      <c r="BF56" s="164" cm="1">
        <f t="array" aca="1" ref="BF56" ca="1">INDEX(auto_DataFlat_Score,$F56+BF$18,$B$12)</f>
        <v>50</v>
      </c>
      <c r="BG56" s="164" cm="1">
        <f t="array" aca="1" ref="BG56" ca="1">INDEX(auto_DataFlat_Score,$F56+BG$18,$B$12)</f>
        <v>100</v>
      </c>
      <c r="BH56" s="164" cm="1">
        <f t="array" aca="1" ref="BH56" ca="1">INDEX(auto_DataFlat_Score,$F56+BH$18,$B$12)</f>
        <v>50</v>
      </c>
    </row>
    <row r="57" spans="1:60" ht="17.05" customHeight="1" x14ac:dyDescent="0.4">
      <c r="A57" t="str">
        <f t="shared" ca="1" si="2"/>
        <v/>
      </c>
      <c r="B57" s="49"/>
      <c r="C57" s="4">
        <v>38</v>
      </c>
      <c r="D57" s="49" cm="1">
        <f t="array" aca="1" ref="D57" ca="1">INDEX(OFFSET(auto_ss_score_table,0,1,500,1),C57)</f>
        <v>38</v>
      </c>
      <c r="E57" s="26" cm="1">
        <f t="array" aca="1" ref="E57" ca="1">INDEX(auto_tblSeries,$D57,$E$18)</f>
        <v>2</v>
      </c>
      <c r="F57" s="101" cm="1">
        <f t="array" aca="1" ref="F57" ca="1">INDEX(sys_DataFlat_LU_Grid,$D57,1)-1</f>
        <v>2220</v>
      </c>
      <c r="G57" s="26"/>
      <c r="H57" s="148" t="str" cm="1">
        <f t="array" aca="1" ref="H57" ca="1">INDEX(auto_Series_NameNumbered,$D57)</f>
        <v>3.6) Diabetes</v>
      </c>
      <c r="I57" s="159">
        <f ca="1">OFFSET(iWeights!$G$18,$D57-1,0,1,1)</f>
        <v>0.125</v>
      </c>
      <c r="J57" s="160">
        <f ca="1">IF(E57=0,"-",OFFSET(iWeights!$U$18,$D57-1,0,1,1))</f>
        <v>3.2258064516129031E-2</v>
      </c>
      <c r="K57" s="161" cm="1">
        <f t="array" aca="1" ref="K57" ca="1">INDEX(auto_DataFlat_Score,$F57+K$18,$B$12)</f>
        <v>46.7</v>
      </c>
      <c r="L57" s="161" cm="1">
        <f t="array" aca="1" ref="L57" ca="1">INDEX(auto_DataFlat_Score,$F57+L$18,$B$12)</f>
        <v>45.1</v>
      </c>
      <c r="M57" s="161" cm="1">
        <f t="array" aca="1" ref="M57" ca="1">INDEX(auto_DataFlat_Score,$F57+M$18,$B$12)</f>
        <v>96</v>
      </c>
      <c r="N57" s="161" cm="1">
        <f t="array" aca="1" ref="N57" ca="1">INDEX(auto_DataFlat_Score,$F57+N$18,$B$12)</f>
        <v>97.8</v>
      </c>
      <c r="O57" s="161" cm="1">
        <f t="array" aca="1" ref="O57" ca="1">INDEX(auto_DataFlat_Score,$F57+O$18,$B$12)</f>
        <v>98.9</v>
      </c>
      <c r="P57" s="161" cm="1">
        <f t="array" aca="1" ref="P57" ca="1">INDEX(auto_DataFlat_Score,$F57+P$18,$B$12)</f>
        <v>98.9</v>
      </c>
      <c r="Q57" s="161" cm="1">
        <f t="array" aca="1" ref="Q57" ca="1">INDEX(auto_DataFlat_Score,$F57+Q$18,$B$12)</f>
        <v>97.6</v>
      </c>
      <c r="R57" s="161" cm="1">
        <f t="array" aca="1" ref="R57" ca="1">INDEX(auto_DataFlat_Score,$F57+R$18,$B$12)</f>
        <v>95.1</v>
      </c>
      <c r="S57" s="161" cm="1">
        <f t="array" aca="1" ref="S57" ca="1">INDEX(auto_DataFlat_Score,$F57+S$18,$B$12)</f>
        <v>98.1</v>
      </c>
      <c r="T57" s="161" cm="1">
        <f t="array" aca="1" ref="T57" ca="1">INDEX(auto_DataFlat_Score,$F57+T$18,$B$12)</f>
        <v>45.1</v>
      </c>
      <c r="U57" s="161" cm="1">
        <f t="array" aca="1" ref="U57" ca="1">INDEX(auto_DataFlat_Score,$F57+U$18,$B$12)</f>
        <v>47.6</v>
      </c>
      <c r="V57" s="161" cm="1">
        <f t="array" aca="1" ref="V57" ca="1">INDEX(auto_DataFlat_Score,$F57+V$18,$B$12)</f>
        <v>96.1</v>
      </c>
      <c r="W57" s="161" cm="1">
        <f t="array" aca="1" ref="W57" ca="1">INDEX(auto_DataFlat_Score,$F57+W$18,$B$12)</f>
        <v>41</v>
      </c>
      <c r="X57" s="161" cm="1">
        <f t="array" aca="1" ref="X57" ca="1">INDEX(auto_DataFlat_Score,$F57+X$18,$B$12)</f>
        <v>95.6</v>
      </c>
      <c r="Y57" s="161" cm="1">
        <f t="array" aca="1" ref="Y57" ca="1">INDEX(auto_DataFlat_Score,$F57+Y$18,$B$12)</f>
        <v>97.8</v>
      </c>
      <c r="Z57" s="161" cm="1">
        <f t="array" aca="1" ref="Z57" ca="1">INDEX(auto_DataFlat_Score,$F57+Z$18,$B$12)</f>
        <v>98.9</v>
      </c>
      <c r="AA57" s="161" cm="1">
        <f t="array" aca="1" ref="AA57" ca="1">INDEX(auto_DataFlat_Score,$F57+AA$18,$B$12)</f>
        <v>96.8</v>
      </c>
      <c r="AB57" s="161" cm="1">
        <f t="array" aca="1" ref="AB57" ca="1">INDEX(auto_DataFlat_Score,$F57+AB$18,$B$12)</f>
        <v>49.2</v>
      </c>
      <c r="AC57" s="161" cm="1">
        <f t="array" aca="1" ref="AC57" ca="1">INDEX(auto_DataFlat_Score,$F57+AC$18,$B$12)</f>
        <v>98.9</v>
      </c>
      <c r="AD57" s="161" cm="1">
        <f t="array" aca="1" ref="AD57" ca="1">INDEX(auto_DataFlat_Score,$F57+AD$18,$B$12)</f>
        <v>83.9</v>
      </c>
      <c r="AE57" s="161" cm="1">
        <f t="array" aca="1" ref="AE57" ca="1">INDEX(auto_DataFlat_Score,$F57+AE$18,$B$12)</f>
        <v>49</v>
      </c>
      <c r="AF57" s="161" cm="1">
        <f t="array" aca="1" ref="AF57" ca="1">INDEX(auto_DataFlat_Score,$F57+AF$18,$B$12)</f>
        <v>46.1</v>
      </c>
      <c r="AG57" s="161" cm="1">
        <f t="array" aca="1" ref="AG57" ca="1">INDEX(auto_DataFlat_Score,$F57+AG$18,$B$12)</f>
        <v>46.1</v>
      </c>
      <c r="AH57" s="161" cm="1">
        <f t="array" aca="1" ref="AH57" ca="1">INDEX(auto_DataFlat_Score,$F57+AH$18,$B$12)</f>
        <v>43.5</v>
      </c>
      <c r="AI57" s="161" cm="1">
        <f t="array" aca="1" ref="AI57" ca="1">INDEX(auto_DataFlat_Score,$F57+AI$18,$B$12)</f>
        <v>47.6</v>
      </c>
      <c r="AJ57" s="161" cm="1">
        <f t="array" aca="1" ref="AJ57" ca="1">INDEX(auto_DataFlat_Score,$F57+AJ$18,$B$12)</f>
        <v>97.6</v>
      </c>
      <c r="AK57" s="161" cm="1">
        <f t="array" aca="1" ref="AK57" ca="1">INDEX(auto_DataFlat_Score,$F57+AK$18,$B$12)</f>
        <v>98.6</v>
      </c>
      <c r="AL57" s="161" cm="1">
        <f t="array" aca="1" ref="AL57" ca="1">INDEX(auto_DataFlat_Score,$F57+AL$18,$B$12)</f>
        <v>48.9</v>
      </c>
      <c r="AM57" s="161" cm="1">
        <f t="array" aca="1" ref="AM57" ca="1">INDEX(auto_DataFlat_Score,$F57+AM$18,$B$12)</f>
        <v>97.8</v>
      </c>
      <c r="AN57" s="161" cm="1">
        <f t="array" aca="1" ref="AN57" ca="1">INDEX(auto_DataFlat_Score,$F57+AN$18,$B$12)</f>
        <v>95.7</v>
      </c>
      <c r="AO57" s="161" cm="1">
        <f t="array" aca="1" ref="AO57" ca="1">INDEX(auto_DataFlat_Score,$F57+AO$18,$B$12)</f>
        <v>98.9</v>
      </c>
      <c r="AP57" s="161" cm="1">
        <f t="array" aca="1" ref="AP57" ca="1">INDEX(auto_DataFlat_Score,$F57+AP$18,$B$12)</f>
        <v>46.1</v>
      </c>
      <c r="AQ57" s="161" cm="1">
        <f t="array" aca="1" ref="AQ57" ca="1">INDEX(auto_DataFlat_Score,$F57+AQ$18,$B$12)</f>
        <v>47.5</v>
      </c>
      <c r="AR57" s="161" cm="1">
        <f t="array" aca="1" ref="AR57" ca="1">INDEX(auto_DataFlat_Score,$F57+AR$18,$B$12)</f>
        <v>96</v>
      </c>
      <c r="AS57" s="161" cm="1">
        <f t="array" aca="1" ref="AS57" ca="1">INDEX(auto_DataFlat_Score,$F57+AS$18,$B$12)</f>
        <v>97.8</v>
      </c>
      <c r="AT57" s="161" cm="1">
        <f t="array" aca="1" ref="AT57" ca="1">INDEX(auto_DataFlat_Score,$F57+AT$18,$B$12)</f>
        <v>47.6</v>
      </c>
      <c r="AU57" s="161" cm="1">
        <f t="array" aca="1" ref="AU57" ca="1">INDEX(auto_DataFlat_Score,$F57+AU$18,$B$12)</f>
        <v>98.9</v>
      </c>
      <c r="AV57" s="161" cm="1">
        <f t="array" aca="1" ref="AV57" ca="1">INDEX(auto_DataFlat_Score,$F57+AV$18,$B$12)</f>
        <v>45.6</v>
      </c>
      <c r="AW57" s="161" cm="1">
        <f t="array" aca="1" ref="AW57" ca="1">INDEX(auto_DataFlat_Score,$F57+AW$18,$B$12)</f>
        <v>48.6</v>
      </c>
      <c r="AX57" s="161" cm="1">
        <f t="array" aca="1" ref="AX57" ca="1">INDEX(auto_DataFlat_Score,$F57+AX$18,$B$12)</f>
        <v>96</v>
      </c>
      <c r="AY57" s="161" cm="1">
        <f t="array" aca="1" ref="AY57" ca="1">INDEX(auto_DataFlat_Score,$F57+AY$18,$B$12)</f>
        <v>45.1</v>
      </c>
      <c r="AZ57" s="161" cm="1">
        <f t="array" aca="1" ref="AZ57" ca="1">INDEX(auto_DataFlat_Score,$F57+AZ$18,$B$12)</f>
        <v>97.8</v>
      </c>
      <c r="BA57" s="161" cm="1">
        <f t="array" aca="1" ref="BA57" ca="1">INDEX(auto_DataFlat_Score,$F57+BA$18,$B$12)</f>
        <v>98.9</v>
      </c>
      <c r="BB57" s="161" cm="1">
        <f t="array" aca="1" ref="BB57" ca="1">INDEX(auto_DataFlat_Score,$F57+BB$18,$B$12)</f>
        <v>96.8</v>
      </c>
      <c r="BC57" s="161" cm="1">
        <f t="array" aca="1" ref="BC57" ca="1">INDEX(auto_DataFlat_Score,$F57+BC$18,$B$12)</f>
        <v>97.8</v>
      </c>
      <c r="BD57" s="161" cm="1">
        <f t="array" aca="1" ref="BD57" ca="1">INDEX(auto_DataFlat_Score,$F57+BD$18,$B$12)</f>
        <v>97.8</v>
      </c>
      <c r="BE57" s="161" cm="1">
        <f t="array" aca="1" ref="BE57" ca="1">INDEX(auto_DataFlat_Score,$F57+BE$18,$B$12)</f>
        <v>96</v>
      </c>
      <c r="BF57" s="161" cm="1">
        <f t="array" aca="1" ref="BF57" ca="1">INDEX(auto_DataFlat_Score,$F57+BF$18,$B$12)</f>
        <v>98.9</v>
      </c>
      <c r="BG57" s="161" cm="1">
        <f t="array" aca="1" ref="BG57" ca="1">INDEX(auto_DataFlat_Score,$F57+BG$18,$B$12)</f>
        <v>98.9</v>
      </c>
      <c r="BH57" s="161" cm="1">
        <f t="array" aca="1" ref="BH57" ca="1">INDEX(auto_DataFlat_Score,$F57+BH$18,$B$12)</f>
        <v>98.9</v>
      </c>
    </row>
    <row r="58" spans="1:60" ht="17.05" customHeight="1" x14ac:dyDescent="0.4">
      <c r="A58" t="str">
        <f t="shared" ca="1" si="2"/>
        <v/>
      </c>
      <c r="B58" s="49"/>
      <c r="C58" s="4">
        <v>39</v>
      </c>
      <c r="D58" s="49" cm="1">
        <f t="array" aca="1" ref="D58" ca="1">INDEX(OFFSET(auto_ss_score_table,0,1,500,1),C58)</f>
        <v>39</v>
      </c>
      <c r="E58" s="26" cm="1">
        <f t="array" aca="1" ref="E58" ca="1">INDEX(auto_tblSeries,$D58,$E$18)</f>
        <v>3</v>
      </c>
      <c r="F58" s="101" cm="1">
        <f t="array" aca="1" ref="F58" ca="1">INDEX(sys_DataFlat_LU_Grid,$D58,1)-1</f>
        <v>2280</v>
      </c>
      <c r="G58" s="26"/>
      <c r="H58" s="151" t="str" cm="1">
        <f t="array" aca="1" ref="H58" ca="1">INDEX(auto_Series_NameNumbered,$D58)</f>
        <v>3.6a) Diabetes: national data</v>
      </c>
      <c r="I58" s="162">
        <f ca="1">IF(D58=1,"-",OFFSET(iWeights!$G$18,$D58-1,0,1,1))</f>
        <v>0.5</v>
      </c>
      <c r="J58" s="163">
        <f ca="1">IF(E58=0,"-",OFFSET(iWeights!$U$18,$D58-1,0,1,1))</f>
        <v>1.6129032258064516E-2</v>
      </c>
      <c r="K58" s="164" cm="1">
        <f t="array" aca="1" ref="K58" ca="1">INDEX(auto_DataFlat_Score,$F58+K$18,$B$12)</f>
        <v>93.3</v>
      </c>
      <c r="L58" s="164" cm="1">
        <f t="array" aca="1" ref="L58" ca="1">INDEX(auto_DataFlat_Score,$F58+L$18,$B$12)</f>
        <v>90.2</v>
      </c>
      <c r="M58" s="164" cm="1">
        <f t="array" aca="1" ref="M58" ca="1">INDEX(auto_DataFlat_Score,$F58+M$18,$B$12)</f>
        <v>91.9</v>
      </c>
      <c r="N58" s="164" cm="1">
        <f t="array" aca="1" ref="N58" ca="1">INDEX(auto_DataFlat_Score,$F58+N$18,$B$12)</f>
        <v>95.5</v>
      </c>
      <c r="O58" s="164" cm="1">
        <f t="array" aca="1" ref="O58" ca="1">INDEX(auto_DataFlat_Score,$F58+O$18,$B$12)</f>
        <v>97.8</v>
      </c>
      <c r="P58" s="164" cm="1">
        <f t="array" aca="1" ref="P58" ca="1">INDEX(auto_DataFlat_Score,$F58+P$18,$B$12)</f>
        <v>97.8</v>
      </c>
      <c r="Q58" s="164" cm="1">
        <f t="array" aca="1" ref="Q58" ca="1">INDEX(auto_DataFlat_Score,$F58+Q$18,$B$12)</f>
        <v>95.1</v>
      </c>
      <c r="R58" s="164" cm="1">
        <f t="array" aca="1" ref="R58" ca="1">INDEX(auto_DataFlat_Score,$F58+R$18,$B$12)</f>
        <v>90.1</v>
      </c>
      <c r="S58" s="164" cm="1">
        <f t="array" aca="1" ref="S58" ca="1">INDEX(auto_DataFlat_Score,$F58+S$18,$B$12)</f>
        <v>96.2</v>
      </c>
      <c r="T58" s="164" cm="1">
        <f t="array" aca="1" ref="T58" ca="1">INDEX(auto_DataFlat_Score,$F58+T$18,$B$12)</f>
        <v>90.2</v>
      </c>
      <c r="U58" s="164" cm="1">
        <f t="array" aca="1" ref="U58" ca="1">INDEX(auto_DataFlat_Score,$F58+U$18,$B$12)</f>
        <v>95.2</v>
      </c>
      <c r="V58" s="164" cm="1">
        <f t="array" aca="1" ref="V58" ca="1">INDEX(auto_DataFlat_Score,$F58+V$18,$B$12)</f>
        <v>92.2</v>
      </c>
      <c r="W58" s="164" cm="1">
        <f t="array" aca="1" ref="W58" ca="1">INDEX(auto_DataFlat_Score,$F58+W$18,$B$12)</f>
        <v>81.900000000000006</v>
      </c>
      <c r="X58" s="164" cm="1">
        <f t="array" aca="1" ref="X58" ca="1">INDEX(auto_DataFlat_Score,$F58+X$18,$B$12)</f>
        <v>91.2</v>
      </c>
      <c r="Y58" s="164" cm="1">
        <f t="array" aca="1" ref="Y58" ca="1">INDEX(auto_DataFlat_Score,$F58+Y$18,$B$12)</f>
        <v>95.5</v>
      </c>
      <c r="Z58" s="164" cm="1">
        <f t="array" aca="1" ref="Z58" ca="1">INDEX(auto_DataFlat_Score,$F58+Z$18,$B$12)</f>
        <v>97.8</v>
      </c>
      <c r="AA58" s="164" cm="1">
        <f t="array" aca="1" ref="AA58" ca="1">INDEX(auto_DataFlat_Score,$F58+AA$18,$B$12)</f>
        <v>93.5</v>
      </c>
      <c r="AB58" s="164" cm="1">
        <f t="array" aca="1" ref="AB58" ca="1">INDEX(auto_DataFlat_Score,$F58+AB$18,$B$12)</f>
        <v>98.3</v>
      </c>
      <c r="AC58" s="164" cm="1">
        <f t="array" aca="1" ref="AC58" ca="1">INDEX(auto_DataFlat_Score,$F58+AC$18,$B$12)</f>
        <v>97.8</v>
      </c>
      <c r="AD58" s="164" cm="1">
        <f t="array" aca="1" ref="AD58" ca="1">INDEX(auto_DataFlat_Score,$F58+AD$18,$B$12)</f>
        <v>67.8</v>
      </c>
      <c r="AE58" s="164" cm="1">
        <f t="array" aca="1" ref="AE58" ca="1">INDEX(auto_DataFlat_Score,$F58+AE$18,$B$12)</f>
        <v>97.9</v>
      </c>
      <c r="AF58" s="164" cm="1">
        <f t="array" aca="1" ref="AF58" ca="1">INDEX(auto_DataFlat_Score,$F58+AF$18,$B$12)</f>
        <v>92.2</v>
      </c>
      <c r="AG58" s="164" cm="1">
        <f t="array" aca="1" ref="AG58" ca="1">INDEX(auto_DataFlat_Score,$F58+AG$18,$B$12)</f>
        <v>92.2</v>
      </c>
      <c r="AH58" s="164" cm="1">
        <f t="array" aca="1" ref="AH58" ca="1">INDEX(auto_DataFlat_Score,$F58+AH$18,$B$12)</f>
        <v>87</v>
      </c>
      <c r="AI58" s="164" cm="1">
        <f t="array" aca="1" ref="AI58" ca="1">INDEX(auto_DataFlat_Score,$F58+AI$18,$B$12)</f>
        <v>95.1</v>
      </c>
      <c r="AJ58" s="164" cm="1">
        <f t="array" aca="1" ref="AJ58" ca="1">INDEX(auto_DataFlat_Score,$F58+AJ$18,$B$12)</f>
        <v>95.1</v>
      </c>
      <c r="AK58" s="164" cm="1">
        <f t="array" aca="1" ref="AK58" ca="1">INDEX(auto_DataFlat_Score,$F58+AK$18,$B$12)</f>
        <v>97.2</v>
      </c>
      <c r="AL58" s="164" cm="1">
        <f t="array" aca="1" ref="AL58" ca="1">INDEX(auto_DataFlat_Score,$F58+AL$18,$B$12)</f>
        <v>97.7</v>
      </c>
      <c r="AM58" s="164" cm="1">
        <f t="array" aca="1" ref="AM58" ca="1">INDEX(auto_DataFlat_Score,$F58+AM$18,$B$12)</f>
        <v>95.5</v>
      </c>
      <c r="AN58" s="164" cm="1">
        <f t="array" aca="1" ref="AN58" ca="1">INDEX(auto_DataFlat_Score,$F58+AN$18,$B$12)</f>
        <v>91.3</v>
      </c>
      <c r="AO58" s="164" cm="1">
        <f t="array" aca="1" ref="AO58" ca="1">INDEX(auto_DataFlat_Score,$F58+AO$18,$B$12)</f>
        <v>97.7</v>
      </c>
      <c r="AP58" s="164" cm="1">
        <f t="array" aca="1" ref="AP58" ca="1">INDEX(auto_DataFlat_Score,$F58+AP$18,$B$12)</f>
        <v>92.2</v>
      </c>
      <c r="AQ58" s="164" cm="1">
        <f t="array" aca="1" ref="AQ58" ca="1">INDEX(auto_DataFlat_Score,$F58+AQ$18,$B$12)</f>
        <v>95</v>
      </c>
      <c r="AR58" s="164" cm="1">
        <f t="array" aca="1" ref="AR58" ca="1">INDEX(auto_DataFlat_Score,$F58+AR$18,$B$12)</f>
        <v>91.9</v>
      </c>
      <c r="AS58" s="164" cm="1">
        <f t="array" aca="1" ref="AS58" ca="1">INDEX(auto_DataFlat_Score,$F58+AS$18,$B$12)</f>
        <v>95.5</v>
      </c>
      <c r="AT58" s="164" cm="1">
        <f t="array" aca="1" ref="AT58" ca="1">INDEX(auto_DataFlat_Score,$F58+AT$18,$B$12)</f>
        <v>95.1</v>
      </c>
      <c r="AU58" s="164" cm="1">
        <f t="array" aca="1" ref="AU58" ca="1">INDEX(auto_DataFlat_Score,$F58+AU$18,$B$12)</f>
        <v>97.8</v>
      </c>
      <c r="AV58" s="164" cm="1">
        <f t="array" aca="1" ref="AV58" ca="1">INDEX(auto_DataFlat_Score,$F58+AV$18,$B$12)</f>
        <v>91.2</v>
      </c>
      <c r="AW58" s="164" cm="1">
        <f t="array" aca="1" ref="AW58" ca="1">INDEX(auto_DataFlat_Score,$F58+AW$18,$B$12)</f>
        <v>97.2</v>
      </c>
      <c r="AX58" s="164" cm="1">
        <f t="array" aca="1" ref="AX58" ca="1">INDEX(auto_DataFlat_Score,$F58+AX$18,$B$12)</f>
        <v>91.9</v>
      </c>
      <c r="AY58" s="164" cm="1">
        <f t="array" aca="1" ref="AY58" ca="1">INDEX(auto_DataFlat_Score,$F58+AY$18,$B$12)</f>
        <v>90.1</v>
      </c>
      <c r="AZ58" s="164" cm="1">
        <f t="array" aca="1" ref="AZ58" ca="1">INDEX(auto_DataFlat_Score,$F58+AZ$18,$B$12)</f>
        <v>95.5</v>
      </c>
      <c r="BA58" s="164" cm="1">
        <f t="array" aca="1" ref="BA58" ca="1">INDEX(auto_DataFlat_Score,$F58+BA$18,$B$12)</f>
        <v>97.8</v>
      </c>
      <c r="BB58" s="164" cm="1">
        <f t="array" aca="1" ref="BB58" ca="1">INDEX(auto_DataFlat_Score,$F58+BB$18,$B$12)</f>
        <v>93.5</v>
      </c>
      <c r="BC58" s="164" cm="1">
        <f t="array" aca="1" ref="BC58" ca="1">INDEX(auto_DataFlat_Score,$F58+BC$18,$B$12)</f>
        <v>95.5</v>
      </c>
      <c r="BD58" s="164" cm="1">
        <f t="array" aca="1" ref="BD58" ca="1">INDEX(auto_DataFlat_Score,$F58+BD$18,$B$12)</f>
        <v>95.5</v>
      </c>
      <c r="BE58" s="164" cm="1">
        <f t="array" aca="1" ref="BE58" ca="1">INDEX(auto_DataFlat_Score,$F58+BE$18,$B$12)</f>
        <v>91.9</v>
      </c>
      <c r="BF58" s="164" cm="1">
        <f t="array" aca="1" ref="BF58" ca="1">INDEX(auto_DataFlat_Score,$F58+BF$18,$B$12)</f>
        <v>97.8</v>
      </c>
      <c r="BG58" s="164" cm="1">
        <f t="array" aca="1" ref="BG58" ca="1">INDEX(auto_DataFlat_Score,$F58+BG$18,$B$12)</f>
        <v>97.8</v>
      </c>
      <c r="BH58" s="164" cm="1">
        <f t="array" aca="1" ref="BH58" ca="1">INDEX(auto_DataFlat_Score,$F58+BH$18,$B$12)</f>
        <v>97.8</v>
      </c>
    </row>
    <row r="59" spans="1:60" ht="17.05" customHeight="1" x14ac:dyDescent="0.4">
      <c r="A59" t="str">
        <f t="shared" ca="1" si="2"/>
        <v/>
      </c>
      <c r="B59" s="49"/>
      <c r="C59" s="4">
        <v>40</v>
      </c>
      <c r="D59" s="49" cm="1">
        <f t="array" aca="1" ref="D59" ca="1">INDEX(OFFSET(auto_ss_score_table,0,1,500,1),C59)</f>
        <v>40</v>
      </c>
      <c r="E59" s="26" cm="1">
        <f t="array" aca="1" ref="E59" ca="1">INDEX(auto_tblSeries,$D59,$E$18)</f>
        <v>3</v>
      </c>
      <c r="F59" s="101" cm="1">
        <f t="array" aca="1" ref="F59" ca="1">INDEX(sys_DataFlat_LU_Grid,$D59,1)-1</f>
        <v>2340</v>
      </c>
      <c r="G59" s="26"/>
      <c r="H59" s="151" t="str" cm="1">
        <f t="array" aca="1" ref="H59" ca="1">INDEX(auto_Series_NameNumbered,$D59)</f>
        <v>3.6b) Diabetes: city-level data availability</v>
      </c>
      <c r="I59" s="162">
        <f ca="1">OFFSET(iWeights!$G$18,$D59-1,0,1,1)</f>
        <v>0.5</v>
      </c>
      <c r="J59" s="163">
        <f ca="1">IF(E59=0,"-",OFFSET(iWeights!$U$18,$D59-1,0,1,1))</f>
        <v>1.6129032258064516E-2</v>
      </c>
      <c r="K59" s="164" cm="1">
        <f t="array" aca="1" ref="K59" ca="1">INDEX(auto_DataFlat_Score,$F59+K$18,$B$12)</f>
        <v>0</v>
      </c>
      <c r="L59" s="164" cm="1">
        <f t="array" aca="1" ref="L59" ca="1">INDEX(auto_DataFlat_Score,$F59+L$18,$B$12)</f>
        <v>0</v>
      </c>
      <c r="M59" s="164" cm="1">
        <f t="array" aca="1" ref="M59" ca="1">INDEX(auto_DataFlat_Score,$F59+M$18,$B$12)</f>
        <v>100</v>
      </c>
      <c r="N59" s="164" cm="1">
        <f t="array" aca="1" ref="N59" ca="1">INDEX(auto_DataFlat_Score,$F59+N$18,$B$12)</f>
        <v>100</v>
      </c>
      <c r="O59" s="164" cm="1">
        <f t="array" aca="1" ref="O59" ca="1">INDEX(auto_DataFlat_Score,$F59+O$18,$B$12)</f>
        <v>100</v>
      </c>
      <c r="P59" s="164" cm="1">
        <f t="array" aca="1" ref="P59" ca="1">INDEX(auto_DataFlat_Score,$F59+P$18,$B$12)</f>
        <v>100</v>
      </c>
      <c r="Q59" s="164" cm="1">
        <f t="array" aca="1" ref="Q59" ca="1">INDEX(auto_DataFlat_Score,$F59+Q$18,$B$12)</f>
        <v>100</v>
      </c>
      <c r="R59" s="164" cm="1">
        <f t="array" aca="1" ref="R59" ca="1">INDEX(auto_DataFlat_Score,$F59+R$18,$B$12)</f>
        <v>100</v>
      </c>
      <c r="S59" s="164" cm="1">
        <f t="array" aca="1" ref="S59" ca="1">INDEX(auto_DataFlat_Score,$F59+S$18,$B$12)</f>
        <v>100</v>
      </c>
      <c r="T59" s="164" cm="1">
        <f t="array" aca="1" ref="T59" ca="1">INDEX(auto_DataFlat_Score,$F59+T$18,$B$12)</f>
        <v>0</v>
      </c>
      <c r="U59" s="164" cm="1">
        <f t="array" aca="1" ref="U59" ca="1">INDEX(auto_DataFlat_Score,$F59+U$18,$B$12)</f>
        <v>0</v>
      </c>
      <c r="V59" s="164" cm="1">
        <f t="array" aca="1" ref="V59" ca="1">INDEX(auto_DataFlat_Score,$F59+V$18,$B$12)</f>
        <v>100</v>
      </c>
      <c r="W59" s="164" cm="1">
        <f t="array" aca="1" ref="W59" ca="1">INDEX(auto_DataFlat_Score,$F59+W$18,$B$12)</f>
        <v>0</v>
      </c>
      <c r="X59" s="164" cm="1">
        <f t="array" aca="1" ref="X59" ca="1">INDEX(auto_DataFlat_Score,$F59+X$18,$B$12)</f>
        <v>100</v>
      </c>
      <c r="Y59" s="164" cm="1">
        <f t="array" aca="1" ref="Y59" ca="1">INDEX(auto_DataFlat_Score,$F59+Y$18,$B$12)</f>
        <v>100</v>
      </c>
      <c r="Z59" s="164" cm="1">
        <f t="array" aca="1" ref="Z59" ca="1">INDEX(auto_DataFlat_Score,$F59+Z$18,$B$12)</f>
        <v>100</v>
      </c>
      <c r="AA59" s="164" cm="1">
        <f t="array" aca="1" ref="AA59" ca="1">INDEX(auto_DataFlat_Score,$F59+AA$18,$B$12)</f>
        <v>100</v>
      </c>
      <c r="AB59" s="164" cm="1">
        <f t="array" aca="1" ref="AB59" ca="1">INDEX(auto_DataFlat_Score,$F59+AB$18,$B$12)</f>
        <v>0</v>
      </c>
      <c r="AC59" s="164" cm="1">
        <f t="array" aca="1" ref="AC59" ca="1">INDEX(auto_DataFlat_Score,$F59+AC$18,$B$12)</f>
        <v>100</v>
      </c>
      <c r="AD59" s="164" cm="1">
        <f t="array" aca="1" ref="AD59" ca="1">INDEX(auto_DataFlat_Score,$F59+AD$18,$B$12)</f>
        <v>100</v>
      </c>
      <c r="AE59" s="164" cm="1">
        <f t="array" aca="1" ref="AE59" ca="1">INDEX(auto_DataFlat_Score,$F59+AE$18,$B$12)</f>
        <v>0</v>
      </c>
      <c r="AF59" s="164" cm="1">
        <f t="array" aca="1" ref="AF59" ca="1">INDEX(auto_DataFlat_Score,$F59+AF$18,$B$12)</f>
        <v>0</v>
      </c>
      <c r="AG59" s="164" cm="1">
        <f t="array" aca="1" ref="AG59" ca="1">INDEX(auto_DataFlat_Score,$F59+AG$18,$B$12)</f>
        <v>0</v>
      </c>
      <c r="AH59" s="164" cm="1">
        <f t="array" aca="1" ref="AH59" ca="1">INDEX(auto_DataFlat_Score,$F59+AH$18,$B$12)</f>
        <v>0</v>
      </c>
      <c r="AI59" s="164" cm="1">
        <f t="array" aca="1" ref="AI59" ca="1">INDEX(auto_DataFlat_Score,$F59+AI$18,$B$12)</f>
        <v>0</v>
      </c>
      <c r="AJ59" s="164" cm="1">
        <f t="array" aca="1" ref="AJ59" ca="1">INDEX(auto_DataFlat_Score,$F59+AJ$18,$B$12)</f>
        <v>100</v>
      </c>
      <c r="AK59" s="164" cm="1">
        <f t="array" aca="1" ref="AK59" ca="1">INDEX(auto_DataFlat_Score,$F59+AK$18,$B$12)</f>
        <v>100</v>
      </c>
      <c r="AL59" s="164" cm="1">
        <f t="array" aca="1" ref="AL59" ca="1">INDEX(auto_DataFlat_Score,$F59+AL$18,$B$12)</f>
        <v>0</v>
      </c>
      <c r="AM59" s="164" cm="1">
        <f t="array" aca="1" ref="AM59" ca="1">INDEX(auto_DataFlat_Score,$F59+AM$18,$B$12)</f>
        <v>100</v>
      </c>
      <c r="AN59" s="164" cm="1">
        <f t="array" aca="1" ref="AN59" ca="1">INDEX(auto_DataFlat_Score,$F59+AN$18,$B$12)</f>
        <v>100</v>
      </c>
      <c r="AO59" s="164" cm="1">
        <f t="array" aca="1" ref="AO59" ca="1">INDEX(auto_DataFlat_Score,$F59+AO$18,$B$12)</f>
        <v>100</v>
      </c>
      <c r="AP59" s="164" cm="1">
        <f t="array" aca="1" ref="AP59" ca="1">INDEX(auto_DataFlat_Score,$F59+AP$18,$B$12)</f>
        <v>0</v>
      </c>
      <c r="AQ59" s="164" cm="1">
        <f t="array" aca="1" ref="AQ59" ca="1">INDEX(auto_DataFlat_Score,$F59+AQ$18,$B$12)</f>
        <v>0</v>
      </c>
      <c r="AR59" s="164" cm="1">
        <f t="array" aca="1" ref="AR59" ca="1">INDEX(auto_DataFlat_Score,$F59+AR$18,$B$12)</f>
        <v>100</v>
      </c>
      <c r="AS59" s="164" cm="1">
        <f t="array" aca="1" ref="AS59" ca="1">INDEX(auto_DataFlat_Score,$F59+AS$18,$B$12)</f>
        <v>100</v>
      </c>
      <c r="AT59" s="164" cm="1">
        <f t="array" aca="1" ref="AT59" ca="1">INDEX(auto_DataFlat_Score,$F59+AT$18,$B$12)</f>
        <v>0</v>
      </c>
      <c r="AU59" s="164" cm="1">
        <f t="array" aca="1" ref="AU59" ca="1">INDEX(auto_DataFlat_Score,$F59+AU$18,$B$12)</f>
        <v>100</v>
      </c>
      <c r="AV59" s="164" cm="1">
        <f t="array" aca="1" ref="AV59" ca="1">INDEX(auto_DataFlat_Score,$F59+AV$18,$B$12)</f>
        <v>0</v>
      </c>
      <c r="AW59" s="164" cm="1">
        <f t="array" aca="1" ref="AW59" ca="1">INDEX(auto_DataFlat_Score,$F59+AW$18,$B$12)</f>
        <v>0</v>
      </c>
      <c r="AX59" s="164" cm="1">
        <f t="array" aca="1" ref="AX59" ca="1">INDEX(auto_DataFlat_Score,$F59+AX$18,$B$12)</f>
        <v>100</v>
      </c>
      <c r="AY59" s="164" cm="1">
        <f t="array" aca="1" ref="AY59" ca="1">INDEX(auto_DataFlat_Score,$F59+AY$18,$B$12)</f>
        <v>0</v>
      </c>
      <c r="AZ59" s="164" cm="1">
        <f t="array" aca="1" ref="AZ59" ca="1">INDEX(auto_DataFlat_Score,$F59+AZ$18,$B$12)</f>
        <v>100</v>
      </c>
      <c r="BA59" s="164" cm="1">
        <f t="array" aca="1" ref="BA59" ca="1">INDEX(auto_DataFlat_Score,$F59+BA$18,$B$12)</f>
        <v>100</v>
      </c>
      <c r="BB59" s="164" cm="1">
        <f t="array" aca="1" ref="BB59" ca="1">INDEX(auto_DataFlat_Score,$F59+BB$18,$B$12)</f>
        <v>100</v>
      </c>
      <c r="BC59" s="164" cm="1">
        <f t="array" aca="1" ref="BC59" ca="1">INDEX(auto_DataFlat_Score,$F59+BC$18,$B$12)</f>
        <v>100</v>
      </c>
      <c r="BD59" s="164" cm="1">
        <f t="array" aca="1" ref="BD59" ca="1">INDEX(auto_DataFlat_Score,$F59+BD$18,$B$12)</f>
        <v>100</v>
      </c>
      <c r="BE59" s="164" cm="1">
        <f t="array" aca="1" ref="BE59" ca="1">INDEX(auto_DataFlat_Score,$F59+BE$18,$B$12)</f>
        <v>100</v>
      </c>
      <c r="BF59" s="164" cm="1">
        <f t="array" aca="1" ref="BF59" ca="1">INDEX(auto_DataFlat_Score,$F59+BF$18,$B$12)</f>
        <v>100</v>
      </c>
      <c r="BG59" s="164" cm="1">
        <f t="array" aca="1" ref="BG59" ca="1">INDEX(auto_DataFlat_Score,$F59+BG$18,$B$12)</f>
        <v>100</v>
      </c>
      <c r="BH59" s="164" cm="1">
        <f t="array" aca="1" ref="BH59" ca="1">INDEX(auto_DataFlat_Score,$F59+BH$18,$B$12)</f>
        <v>100</v>
      </c>
    </row>
    <row r="60" spans="1:60" ht="17.05" customHeight="1" x14ac:dyDescent="0.4">
      <c r="A60" t="str">
        <f t="shared" ca="1" si="2"/>
        <v/>
      </c>
      <c r="B60" s="49"/>
      <c r="C60" s="4">
        <v>41</v>
      </c>
      <c r="D60" s="49" cm="1">
        <f t="array" aca="1" ref="D60" ca="1">INDEX(OFFSET(auto_ss_score_table,0,1,500,1),C60)</f>
        <v>41</v>
      </c>
      <c r="E60" s="26" cm="1">
        <f t="array" aca="1" ref="E60" ca="1">INDEX(auto_tblSeries,$D60,$E$18)</f>
        <v>2</v>
      </c>
      <c r="F60" s="101" cm="1">
        <f t="array" aca="1" ref="F60" ca="1">INDEX(sys_DataFlat_LU_Grid,$D60,1)-1</f>
        <v>2400</v>
      </c>
      <c r="G60" s="26"/>
      <c r="H60" s="148" t="str" cm="1">
        <f t="array" aca="1" ref="H60" ca="1">INDEX(auto_Series_NameNumbered,$D60)</f>
        <v>3.7) Obesity</v>
      </c>
      <c r="I60" s="159">
        <f ca="1">IF(D60=1,"-",OFFSET(iWeights!$G$18,$D60-1,0,1,1))</f>
        <v>0.125</v>
      </c>
      <c r="J60" s="160">
        <f ca="1">IF(E60=0,"-",OFFSET(iWeights!$U$18,$D60-1,0,1,1))</f>
        <v>3.2258064516129031E-2</v>
      </c>
      <c r="K60" s="161" cm="1">
        <f t="array" aca="1" ref="K60" ca="1">INDEX(auto_DataFlat_Score,$F60+K$18,$B$12)</f>
        <v>94.6</v>
      </c>
      <c r="L60" s="161" cm="1">
        <f t="array" aca="1" ref="L60" ca="1">INDEX(auto_DataFlat_Score,$F60+L$18,$B$12)</f>
        <v>21.2</v>
      </c>
      <c r="M60" s="161" cm="1">
        <f t="array" aca="1" ref="M60" ca="1">INDEX(auto_DataFlat_Score,$F60+M$18,$B$12)</f>
        <v>63.8</v>
      </c>
      <c r="N60" s="161" cm="1">
        <f t="array" aca="1" ref="N60" ca="1">INDEX(auto_DataFlat_Score,$F60+N$18,$B$12)</f>
        <v>66.3</v>
      </c>
      <c r="O60" s="161" cm="1">
        <f t="array" aca="1" ref="O60" ca="1">INDEX(auto_DataFlat_Score,$F60+O$18,$B$12)</f>
        <v>77.2</v>
      </c>
      <c r="P60" s="161" cm="1">
        <f t="array" aca="1" ref="P60" ca="1">INDEX(auto_DataFlat_Score,$F60+P$18,$B$12)</f>
        <v>81.3</v>
      </c>
      <c r="Q60" s="161" cm="1">
        <f t="array" aca="1" ref="Q60" ca="1">INDEX(auto_DataFlat_Score,$F60+Q$18,$B$12)</f>
        <v>73.099999999999994</v>
      </c>
      <c r="R60" s="161" cm="1">
        <f t="array" aca="1" ref="R60" ca="1">INDEX(auto_DataFlat_Score,$F60+R$18,$B$12)</f>
        <v>70.099999999999994</v>
      </c>
      <c r="S60" s="161" cm="1">
        <f t="array" aca="1" ref="S60" ca="1">INDEX(auto_DataFlat_Score,$F60+S$18,$B$12)</f>
        <v>68.900000000000006</v>
      </c>
      <c r="T60" s="161" cm="1">
        <f t="array" aca="1" ref="T60" ca="1">INDEX(auto_DataFlat_Score,$F60+T$18,$B$12)</f>
        <v>63.3</v>
      </c>
      <c r="U60" s="161" cm="1">
        <f t="array" aca="1" ref="U60" ca="1">INDEX(auto_DataFlat_Score,$F60+U$18,$B$12)</f>
        <v>80.599999999999994</v>
      </c>
      <c r="V60" s="161" cm="1">
        <f t="array" aca="1" ref="V60" ca="1">INDEX(auto_DataFlat_Score,$F60+V$18,$B$12)</f>
        <v>85.3</v>
      </c>
      <c r="W60" s="161" cm="1">
        <f t="array" aca="1" ref="W60" ca="1">INDEX(auto_DataFlat_Score,$F60+W$18,$B$12)</f>
        <v>36.5</v>
      </c>
      <c r="X60" s="161" cm="1">
        <f t="array" aca="1" ref="X60" ca="1">INDEX(auto_DataFlat_Score,$F60+X$18,$B$12)</f>
        <v>64.3</v>
      </c>
      <c r="Y60" s="161" cm="1">
        <f t="array" aca="1" ref="Y60" ca="1">INDEX(auto_DataFlat_Score,$F60+Y$18,$B$12)</f>
        <v>72.400000000000006</v>
      </c>
      <c r="Z60" s="161" cm="1">
        <f t="array" aca="1" ref="Z60" ca="1">INDEX(auto_DataFlat_Score,$F60+Z$18,$B$12)</f>
        <v>90.9</v>
      </c>
      <c r="AA60" s="161" cm="1">
        <f t="array" aca="1" ref="AA60" ca="1">INDEX(auto_DataFlat_Score,$F60+AA$18,$B$12)</f>
        <v>71.8</v>
      </c>
      <c r="AB60" s="161" cm="1">
        <f t="array" aca="1" ref="AB60" ca="1">INDEX(auto_DataFlat_Score,$F60+AB$18,$B$12)</f>
        <v>66.2</v>
      </c>
      <c r="AC60" s="161" cm="1">
        <f t="array" aca="1" ref="AC60" ca="1">INDEX(auto_DataFlat_Score,$F60+AC$18,$B$12)</f>
        <v>81</v>
      </c>
      <c r="AD60" s="161" cm="1">
        <f t="array" aca="1" ref="AD60" ca="1">INDEX(auto_DataFlat_Score,$F60+AD$18,$B$12)</f>
        <v>22.5</v>
      </c>
      <c r="AE60" s="161" cm="1">
        <f t="array" aca="1" ref="AE60" ca="1">INDEX(auto_DataFlat_Score,$F60+AE$18,$B$12)</f>
        <v>22.6</v>
      </c>
      <c r="AF60" s="161" cm="1">
        <f t="array" aca="1" ref="AF60" ca="1">INDEX(auto_DataFlat_Score,$F60+AF$18,$B$12)</f>
        <v>34.6</v>
      </c>
      <c r="AG60" s="161" cm="1">
        <f t="array" aca="1" ref="AG60" ca="1">INDEX(auto_DataFlat_Score,$F60+AG$18,$B$12)</f>
        <v>85.3</v>
      </c>
      <c r="AH60" s="161" cm="1">
        <f t="array" aca="1" ref="AH60" ca="1">INDEX(auto_DataFlat_Score,$F60+AH$18,$B$12)</f>
        <v>61.1</v>
      </c>
      <c r="AI60" s="161" cm="1">
        <f t="array" aca="1" ref="AI60" ca="1">INDEX(auto_DataFlat_Score,$F60+AI$18,$B$12)</f>
        <v>82.9</v>
      </c>
      <c r="AJ60" s="161" cm="1">
        <f t="array" aca="1" ref="AJ60" ca="1">INDEX(auto_DataFlat_Score,$F60+AJ$18,$B$12)</f>
        <v>69.3</v>
      </c>
      <c r="AK60" s="161" cm="1">
        <f t="array" aca="1" ref="AK60" ca="1">INDEX(auto_DataFlat_Score,$F60+AK$18,$B$12)</f>
        <v>75.099999999999994</v>
      </c>
      <c r="AL60" s="161" cm="1">
        <f t="array" aca="1" ref="AL60" ca="1">INDEX(auto_DataFlat_Score,$F60+AL$18,$B$12)</f>
        <v>82.5</v>
      </c>
      <c r="AM60" s="161" cm="1">
        <f t="array" aca="1" ref="AM60" ca="1">INDEX(auto_DataFlat_Score,$F60+AM$18,$B$12)</f>
        <v>68</v>
      </c>
      <c r="AN60" s="161" cm="1">
        <f t="array" aca="1" ref="AN60" ca="1">INDEX(auto_DataFlat_Score,$F60+AN$18,$B$12)</f>
        <v>13.3</v>
      </c>
      <c r="AO60" s="161" cm="1">
        <f t="array" aca="1" ref="AO60" ca="1">INDEX(auto_DataFlat_Score,$F60+AO$18,$B$12)</f>
        <v>70.599999999999994</v>
      </c>
      <c r="AP60" s="161" cm="1">
        <f t="array" aca="1" ref="AP60" ca="1">INDEX(auto_DataFlat_Score,$F60+AP$18,$B$12)</f>
        <v>35.299999999999997</v>
      </c>
      <c r="AQ60" s="161" cm="1">
        <f t="array" aca="1" ref="AQ60" ca="1">INDEX(auto_DataFlat_Score,$F60+AQ$18,$B$12)</f>
        <v>33.1</v>
      </c>
      <c r="AR60" s="161" cm="1">
        <f t="array" aca="1" ref="AR60" ca="1">INDEX(auto_DataFlat_Score,$F60+AR$18,$B$12)</f>
        <v>63.8</v>
      </c>
      <c r="AS60" s="161" cm="1">
        <f t="array" aca="1" ref="AS60" ca="1">INDEX(auto_DataFlat_Score,$F60+AS$18,$B$12)</f>
        <v>88</v>
      </c>
      <c r="AT60" s="161" cm="1">
        <f t="array" aca="1" ref="AT60" ca="1">INDEX(auto_DataFlat_Score,$F60+AT$18,$B$12)</f>
        <v>32.9</v>
      </c>
      <c r="AU60" s="161" cm="1">
        <f t="array" aca="1" ref="AU60" ca="1">INDEX(auto_DataFlat_Score,$F60+AU$18,$B$12)</f>
        <v>87.4</v>
      </c>
      <c r="AV60" s="161" cm="1">
        <f t="array" aca="1" ref="AV60" ca="1">INDEX(auto_DataFlat_Score,$F60+AV$18,$B$12)</f>
        <v>14.1</v>
      </c>
      <c r="AW60" s="161" cm="1">
        <f t="array" aca="1" ref="AW60" ca="1">INDEX(auto_DataFlat_Score,$F60+AW$18,$B$12)</f>
        <v>25.4</v>
      </c>
      <c r="AX60" s="161" cm="1">
        <f t="array" aca="1" ref="AX60" ca="1">INDEX(auto_DataFlat_Score,$F60+AX$18,$B$12)</f>
        <v>63.8</v>
      </c>
      <c r="AY60" s="161" cm="1">
        <f t="array" aca="1" ref="AY60" ca="1">INDEX(auto_DataFlat_Score,$F60+AY$18,$B$12)</f>
        <v>68.5</v>
      </c>
      <c r="AZ60" s="161" cm="1">
        <f t="array" aca="1" ref="AZ60" ca="1">INDEX(auto_DataFlat_Score,$F60+AZ$18,$B$12)</f>
        <v>82.1</v>
      </c>
      <c r="BA60" s="161" cm="1">
        <f t="array" aca="1" ref="BA60" ca="1">INDEX(auto_DataFlat_Score,$F60+BA$18,$B$12)</f>
        <v>31.3</v>
      </c>
      <c r="BB60" s="161" cm="1">
        <f t="array" aca="1" ref="BB60" ca="1">INDEX(auto_DataFlat_Score,$F60+BB$18,$B$12)</f>
        <v>79.599999999999994</v>
      </c>
      <c r="BC60" s="161" cm="1">
        <f t="array" aca="1" ref="BC60" ca="1">INDEX(auto_DataFlat_Score,$F60+BC$18,$B$12)</f>
        <v>68</v>
      </c>
      <c r="BD60" s="161" cm="1">
        <f t="array" aca="1" ref="BD60" ca="1">INDEX(auto_DataFlat_Score,$F60+BD$18,$B$12)</f>
        <v>88</v>
      </c>
      <c r="BE60" s="161" cm="1">
        <f t="array" aca="1" ref="BE60" ca="1">INDEX(auto_DataFlat_Score,$F60+BE$18,$B$12)</f>
        <v>70.400000000000006</v>
      </c>
      <c r="BF60" s="161" cm="1">
        <f t="array" aca="1" ref="BF60" ca="1">INDEX(auto_DataFlat_Score,$F60+BF$18,$B$12)</f>
        <v>77.5</v>
      </c>
      <c r="BG60" s="161" cm="1">
        <f t="array" aca="1" ref="BG60" ca="1">INDEX(auto_DataFlat_Score,$F60+BG$18,$B$12)</f>
        <v>81.3</v>
      </c>
      <c r="BH60" s="161" cm="1">
        <f t="array" aca="1" ref="BH60" ca="1">INDEX(auto_DataFlat_Score,$F60+BH$18,$B$12)</f>
        <v>36.5</v>
      </c>
    </row>
    <row r="61" spans="1:60" ht="17.05" customHeight="1" x14ac:dyDescent="0.4">
      <c r="A61" t="str">
        <f t="shared" ca="1" si="2"/>
        <v/>
      </c>
      <c r="B61" s="49"/>
      <c r="C61" s="4">
        <v>42</v>
      </c>
      <c r="D61" s="49" cm="1">
        <f t="array" aca="1" ref="D61" ca="1">INDEX(OFFSET(auto_ss_score_table,0,1,500,1),C61)</f>
        <v>42</v>
      </c>
      <c r="E61" s="26" cm="1">
        <f t="array" aca="1" ref="E61" ca="1">INDEX(auto_tblSeries,$D61,$E$18)</f>
        <v>3</v>
      </c>
      <c r="F61" s="101" cm="1">
        <f t="array" aca="1" ref="F61" ca="1">INDEX(sys_DataFlat_LU_Grid,$D61,1)-1</f>
        <v>2460</v>
      </c>
      <c r="G61" s="26"/>
      <c r="H61" s="151" t="str" cm="1">
        <f t="array" aca="1" ref="H61" ca="1">INDEX(auto_Series_NameNumbered,$D61)</f>
        <v>3.7a) Obesity: national data</v>
      </c>
      <c r="I61" s="162">
        <f ca="1">OFFSET(iWeights!$G$18,$D61-1,0,1,1)</f>
        <v>0.5</v>
      </c>
      <c r="J61" s="163">
        <f ca="1">IF(E61=0,"-",OFFSET(iWeights!$U$18,$D61-1,0,1,1))</f>
        <v>1.6129032258064516E-2</v>
      </c>
      <c r="K61" s="164" cm="1">
        <f t="array" aca="1" ref="K61" ca="1">INDEX(auto_DataFlat_Score,$F61+K$18,$B$12)</f>
        <v>89.1</v>
      </c>
      <c r="L61" s="164" cm="1">
        <f t="array" aca="1" ref="L61" ca="1">INDEX(auto_DataFlat_Score,$F61+L$18,$B$12)</f>
        <v>42.4</v>
      </c>
      <c r="M61" s="164" cm="1">
        <f t="array" aca="1" ref="M61" ca="1">INDEX(auto_DataFlat_Score,$F61+M$18,$B$12)</f>
        <v>27.6</v>
      </c>
      <c r="N61" s="164" cm="1">
        <f t="array" aca="1" ref="N61" ca="1">INDEX(auto_DataFlat_Score,$F61+N$18,$B$12)</f>
        <v>32.6</v>
      </c>
      <c r="O61" s="164" cm="1">
        <f t="array" aca="1" ref="O61" ca="1">INDEX(auto_DataFlat_Score,$F61+O$18,$B$12)</f>
        <v>54.3</v>
      </c>
      <c r="P61" s="164" cm="1">
        <f t="array" aca="1" ref="P61" ca="1">INDEX(auto_DataFlat_Score,$F61+P$18,$B$12)</f>
        <v>62.5</v>
      </c>
      <c r="Q61" s="164" cm="1">
        <f t="array" aca="1" ref="Q61" ca="1">INDEX(auto_DataFlat_Score,$F61+Q$18,$B$12)</f>
        <v>46.2</v>
      </c>
      <c r="R61" s="164" cm="1">
        <f t="array" aca="1" ref="R61" ca="1">INDEX(auto_DataFlat_Score,$F61+R$18,$B$12)</f>
        <v>40.299999999999997</v>
      </c>
      <c r="S61" s="164" cm="1">
        <f t="array" aca="1" ref="S61" ca="1">INDEX(auto_DataFlat_Score,$F61+S$18,$B$12)</f>
        <v>37.799999999999997</v>
      </c>
      <c r="T61" s="164" cm="1">
        <f t="array" aca="1" ref="T61" ca="1">INDEX(auto_DataFlat_Score,$F61+T$18,$B$12)</f>
        <v>26.7</v>
      </c>
      <c r="U61" s="164" cm="1">
        <f t="array" aca="1" ref="U61" ca="1">INDEX(auto_DataFlat_Score,$F61+U$18,$B$12)</f>
        <v>61.2</v>
      </c>
      <c r="V61" s="164" cm="1">
        <f t="array" aca="1" ref="V61" ca="1">INDEX(auto_DataFlat_Score,$F61+V$18,$B$12)</f>
        <v>70.5</v>
      </c>
      <c r="W61" s="164" cm="1">
        <f t="array" aca="1" ref="W61" ca="1">INDEX(auto_DataFlat_Score,$F61+W$18,$B$12)</f>
        <v>73</v>
      </c>
      <c r="X61" s="164" cm="1">
        <f t="array" aca="1" ref="X61" ca="1">INDEX(auto_DataFlat_Score,$F61+X$18,$B$12)</f>
        <v>28.7</v>
      </c>
      <c r="Y61" s="164" cm="1">
        <f t="array" aca="1" ref="Y61" ca="1">INDEX(auto_DataFlat_Score,$F61+Y$18,$B$12)</f>
        <v>44.7</v>
      </c>
      <c r="Z61" s="164" cm="1">
        <f t="array" aca="1" ref="Z61" ca="1">INDEX(auto_DataFlat_Score,$F61+Z$18,$B$12)</f>
        <v>81.8</v>
      </c>
      <c r="AA61" s="164" cm="1">
        <f t="array" aca="1" ref="AA61" ca="1">INDEX(auto_DataFlat_Score,$F61+AA$18,$B$12)</f>
        <v>43.5</v>
      </c>
      <c r="AB61" s="164" cm="1">
        <f t="array" aca="1" ref="AB61" ca="1">INDEX(auto_DataFlat_Score,$F61+AB$18,$B$12)</f>
        <v>32.4</v>
      </c>
      <c r="AC61" s="164" cm="1">
        <f t="array" aca="1" ref="AC61" ca="1">INDEX(auto_DataFlat_Score,$F61+AC$18,$B$12)</f>
        <v>61.9</v>
      </c>
      <c r="AD61" s="164" cm="1">
        <f t="array" aca="1" ref="AD61" ca="1">INDEX(auto_DataFlat_Score,$F61+AD$18,$B$12)</f>
        <v>45</v>
      </c>
      <c r="AE61" s="164" cm="1">
        <f t="array" aca="1" ref="AE61" ca="1">INDEX(auto_DataFlat_Score,$F61+AE$18,$B$12)</f>
        <v>45.2</v>
      </c>
      <c r="AF61" s="164" cm="1">
        <f t="array" aca="1" ref="AF61" ca="1">INDEX(auto_DataFlat_Score,$F61+AF$18,$B$12)</f>
        <v>69.099999999999994</v>
      </c>
      <c r="AG61" s="164" cm="1">
        <f t="array" aca="1" ref="AG61" ca="1">INDEX(auto_DataFlat_Score,$F61+AG$18,$B$12)</f>
        <v>70.5</v>
      </c>
      <c r="AH61" s="164" cm="1">
        <f t="array" aca="1" ref="AH61" ca="1">INDEX(auto_DataFlat_Score,$F61+AH$18,$B$12)</f>
        <v>22.3</v>
      </c>
      <c r="AI61" s="164" cm="1">
        <f t="array" aca="1" ref="AI61" ca="1">INDEX(auto_DataFlat_Score,$F61+AI$18,$B$12)</f>
        <v>65.7</v>
      </c>
      <c r="AJ61" s="164" cm="1">
        <f t="array" aca="1" ref="AJ61" ca="1">INDEX(auto_DataFlat_Score,$F61+AJ$18,$B$12)</f>
        <v>38.6</v>
      </c>
      <c r="AK61" s="164" cm="1">
        <f t="array" aca="1" ref="AK61" ca="1">INDEX(auto_DataFlat_Score,$F61+AK$18,$B$12)</f>
        <v>50.1</v>
      </c>
      <c r="AL61" s="164" cm="1">
        <f t="array" aca="1" ref="AL61" ca="1">INDEX(auto_DataFlat_Score,$F61+AL$18,$B$12)</f>
        <v>65</v>
      </c>
      <c r="AM61" s="164" cm="1">
        <f t="array" aca="1" ref="AM61" ca="1">INDEX(auto_DataFlat_Score,$F61+AM$18,$B$12)</f>
        <v>36</v>
      </c>
      <c r="AN61" s="164" cm="1">
        <f t="array" aca="1" ref="AN61" ca="1">INDEX(auto_DataFlat_Score,$F61+AN$18,$B$12)</f>
        <v>26.6</v>
      </c>
      <c r="AO61" s="164" cm="1">
        <f t="array" aca="1" ref="AO61" ca="1">INDEX(auto_DataFlat_Score,$F61+AO$18,$B$12)</f>
        <v>41.2</v>
      </c>
      <c r="AP61" s="164" cm="1">
        <f t="array" aca="1" ref="AP61" ca="1">INDEX(auto_DataFlat_Score,$F61+AP$18,$B$12)</f>
        <v>70.5</v>
      </c>
      <c r="AQ61" s="164" cm="1">
        <f t="array" aca="1" ref="AQ61" ca="1">INDEX(auto_DataFlat_Score,$F61+AQ$18,$B$12)</f>
        <v>66.3</v>
      </c>
      <c r="AR61" s="164" cm="1">
        <f t="array" aca="1" ref="AR61" ca="1">INDEX(auto_DataFlat_Score,$F61+AR$18,$B$12)</f>
        <v>27.6</v>
      </c>
      <c r="AS61" s="164" cm="1">
        <f t="array" aca="1" ref="AS61" ca="1">INDEX(auto_DataFlat_Score,$F61+AS$18,$B$12)</f>
        <v>76</v>
      </c>
      <c r="AT61" s="164" cm="1">
        <f t="array" aca="1" ref="AT61" ca="1">INDEX(auto_DataFlat_Score,$F61+AT$18,$B$12)</f>
        <v>65.7</v>
      </c>
      <c r="AU61" s="164" cm="1">
        <f t="array" aca="1" ref="AU61" ca="1">INDEX(auto_DataFlat_Score,$F61+AU$18,$B$12)</f>
        <v>74.900000000000006</v>
      </c>
      <c r="AV61" s="164" cm="1">
        <f t="array" aca="1" ref="AV61" ca="1">INDEX(auto_DataFlat_Score,$F61+AV$18,$B$12)</f>
        <v>28.2</v>
      </c>
      <c r="AW61" s="164" cm="1">
        <f t="array" aca="1" ref="AW61" ca="1">INDEX(auto_DataFlat_Score,$F61+AW$18,$B$12)</f>
        <v>50.9</v>
      </c>
      <c r="AX61" s="164" cm="1">
        <f t="array" aca="1" ref="AX61" ca="1">INDEX(auto_DataFlat_Score,$F61+AX$18,$B$12)</f>
        <v>27.6</v>
      </c>
      <c r="AY61" s="164" cm="1">
        <f t="array" aca="1" ref="AY61" ca="1">INDEX(auto_DataFlat_Score,$F61+AY$18,$B$12)</f>
        <v>37</v>
      </c>
      <c r="AZ61" s="164" cm="1">
        <f t="array" aca="1" ref="AZ61" ca="1">INDEX(auto_DataFlat_Score,$F61+AZ$18,$B$12)</f>
        <v>64.099999999999994</v>
      </c>
      <c r="BA61" s="164" cm="1">
        <f t="array" aca="1" ref="BA61" ca="1">INDEX(auto_DataFlat_Score,$F61+BA$18,$B$12)</f>
        <v>62.5</v>
      </c>
      <c r="BB61" s="164" cm="1">
        <f t="array" aca="1" ref="BB61" ca="1">INDEX(auto_DataFlat_Score,$F61+BB$18,$B$12)</f>
        <v>59.3</v>
      </c>
      <c r="BC61" s="164" cm="1">
        <f t="array" aca="1" ref="BC61" ca="1">INDEX(auto_DataFlat_Score,$F61+BC$18,$B$12)</f>
        <v>36</v>
      </c>
      <c r="BD61" s="164" cm="1">
        <f t="array" aca="1" ref="BD61" ca="1">INDEX(auto_DataFlat_Score,$F61+BD$18,$B$12)</f>
        <v>76</v>
      </c>
      <c r="BE61" s="164" cm="1">
        <f t="array" aca="1" ref="BE61" ca="1">INDEX(auto_DataFlat_Score,$F61+BE$18,$B$12)</f>
        <v>40.9</v>
      </c>
      <c r="BF61" s="164" cm="1">
        <f t="array" aca="1" ref="BF61" ca="1">INDEX(auto_DataFlat_Score,$F61+BF$18,$B$12)</f>
        <v>55</v>
      </c>
      <c r="BG61" s="164" cm="1">
        <f t="array" aca="1" ref="BG61" ca="1">INDEX(auto_DataFlat_Score,$F61+BG$18,$B$12)</f>
        <v>62.5</v>
      </c>
      <c r="BH61" s="164" cm="1">
        <f t="array" aca="1" ref="BH61" ca="1">INDEX(auto_DataFlat_Score,$F61+BH$18,$B$12)</f>
        <v>73</v>
      </c>
    </row>
    <row r="62" spans="1:60" ht="17.05" customHeight="1" x14ac:dyDescent="0.4">
      <c r="A62" t="str">
        <f t="shared" ca="1" si="2"/>
        <v/>
      </c>
      <c r="B62" s="49"/>
      <c r="C62" s="4">
        <v>43</v>
      </c>
      <c r="D62" s="49" cm="1">
        <f t="array" aca="1" ref="D62" ca="1">INDEX(OFFSET(auto_ss_score_table,0,1,500,1),C62)</f>
        <v>43</v>
      </c>
      <c r="E62" s="26" cm="1">
        <f t="array" aca="1" ref="E62" ca="1">INDEX(auto_tblSeries,$D62,$E$18)</f>
        <v>3</v>
      </c>
      <c r="F62" s="101" cm="1">
        <f t="array" aca="1" ref="F62" ca="1">INDEX(sys_DataFlat_LU_Grid,$D62,1)-1</f>
        <v>2520</v>
      </c>
      <c r="G62" s="26"/>
      <c r="H62" s="151" t="str" cm="1">
        <f t="array" aca="1" ref="H62" ca="1">INDEX(auto_Series_NameNumbered,$D62)</f>
        <v>3.7b) Obesity: city-level data availability</v>
      </c>
      <c r="I62" s="162">
        <f ca="1">IF(D62=1,"-",OFFSET(iWeights!$G$18,$D62-1,0,1,1))</f>
        <v>0.5</v>
      </c>
      <c r="J62" s="163">
        <f ca="1">IF(E62=0,"-",OFFSET(iWeights!$U$18,$D62-1,0,1,1))</f>
        <v>1.6129032258064516E-2</v>
      </c>
      <c r="K62" s="164" cm="1">
        <f t="array" aca="1" ref="K62" ca="1">INDEX(auto_DataFlat_Score,$F62+K$18,$B$12)</f>
        <v>100</v>
      </c>
      <c r="L62" s="164" cm="1">
        <f t="array" aca="1" ref="L62" ca="1">INDEX(auto_DataFlat_Score,$F62+L$18,$B$12)</f>
        <v>0</v>
      </c>
      <c r="M62" s="164" cm="1">
        <f t="array" aca="1" ref="M62" ca="1">INDEX(auto_DataFlat_Score,$F62+M$18,$B$12)</f>
        <v>100</v>
      </c>
      <c r="N62" s="164" cm="1">
        <f t="array" aca="1" ref="N62" ca="1">INDEX(auto_DataFlat_Score,$F62+N$18,$B$12)</f>
        <v>100</v>
      </c>
      <c r="O62" s="164" cm="1">
        <f t="array" aca="1" ref="O62" ca="1">INDEX(auto_DataFlat_Score,$F62+O$18,$B$12)</f>
        <v>100</v>
      </c>
      <c r="P62" s="164" cm="1">
        <f t="array" aca="1" ref="P62" ca="1">INDEX(auto_DataFlat_Score,$F62+P$18,$B$12)</f>
        <v>100</v>
      </c>
      <c r="Q62" s="164" cm="1">
        <f t="array" aca="1" ref="Q62" ca="1">INDEX(auto_DataFlat_Score,$F62+Q$18,$B$12)</f>
        <v>100</v>
      </c>
      <c r="R62" s="164" cm="1">
        <f t="array" aca="1" ref="R62" ca="1">INDEX(auto_DataFlat_Score,$F62+R$18,$B$12)</f>
        <v>100</v>
      </c>
      <c r="S62" s="164" cm="1">
        <f t="array" aca="1" ref="S62" ca="1">INDEX(auto_DataFlat_Score,$F62+S$18,$B$12)</f>
        <v>100</v>
      </c>
      <c r="T62" s="164" cm="1">
        <f t="array" aca="1" ref="T62" ca="1">INDEX(auto_DataFlat_Score,$F62+T$18,$B$12)</f>
        <v>100</v>
      </c>
      <c r="U62" s="164" cm="1">
        <f t="array" aca="1" ref="U62" ca="1">INDEX(auto_DataFlat_Score,$F62+U$18,$B$12)</f>
        <v>100</v>
      </c>
      <c r="V62" s="164" cm="1">
        <f t="array" aca="1" ref="V62" ca="1">INDEX(auto_DataFlat_Score,$F62+V$18,$B$12)</f>
        <v>100</v>
      </c>
      <c r="W62" s="164" cm="1">
        <f t="array" aca="1" ref="W62" ca="1">INDEX(auto_DataFlat_Score,$F62+W$18,$B$12)</f>
        <v>0</v>
      </c>
      <c r="X62" s="164" cm="1">
        <f t="array" aca="1" ref="X62" ca="1">INDEX(auto_DataFlat_Score,$F62+X$18,$B$12)</f>
        <v>100</v>
      </c>
      <c r="Y62" s="164" cm="1">
        <f t="array" aca="1" ref="Y62" ca="1">INDEX(auto_DataFlat_Score,$F62+Y$18,$B$12)</f>
        <v>100</v>
      </c>
      <c r="Z62" s="164" cm="1">
        <f t="array" aca="1" ref="Z62" ca="1">INDEX(auto_DataFlat_Score,$F62+Z$18,$B$12)</f>
        <v>100</v>
      </c>
      <c r="AA62" s="164" cm="1">
        <f t="array" aca="1" ref="AA62" ca="1">INDEX(auto_DataFlat_Score,$F62+AA$18,$B$12)</f>
        <v>100</v>
      </c>
      <c r="AB62" s="164" cm="1">
        <f t="array" aca="1" ref="AB62" ca="1">INDEX(auto_DataFlat_Score,$F62+AB$18,$B$12)</f>
        <v>100</v>
      </c>
      <c r="AC62" s="164" cm="1">
        <f t="array" aca="1" ref="AC62" ca="1">INDEX(auto_DataFlat_Score,$F62+AC$18,$B$12)</f>
        <v>100</v>
      </c>
      <c r="AD62" s="164" cm="1">
        <f t="array" aca="1" ref="AD62" ca="1">INDEX(auto_DataFlat_Score,$F62+AD$18,$B$12)</f>
        <v>0</v>
      </c>
      <c r="AE62" s="164" cm="1">
        <f t="array" aca="1" ref="AE62" ca="1">INDEX(auto_DataFlat_Score,$F62+AE$18,$B$12)</f>
        <v>0</v>
      </c>
      <c r="AF62" s="164" cm="1">
        <f t="array" aca="1" ref="AF62" ca="1">INDEX(auto_DataFlat_Score,$F62+AF$18,$B$12)</f>
        <v>0</v>
      </c>
      <c r="AG62" s="164" cm="1">
        <f t="array" aca="1" ref="AG62" ca="1">INDEX(auto_DataFlat_Score,$F62+AG$18,$B$12)</f>
        <v>100</v>
      </c>
      <c r="AH62" s="164" cm="1">
        <f t="array" aca="1" ref="AH62" ca="1">INDEX(auto_DataFlat_Score,$F62+AH$18,$B$12)</f>
        <v>100</v>
      </c>
      <c r="AI62" s="164" cm="1">
        <f t="array" aca="1" ref="AI62" ca="1">INDEX(auto_DataFlat_Score,$F62+AI$18,$B$12)</f>
        <v>100</v>
      </c>
      <c r="AJ62" s="164" cm="1">
        <f t="array" aca="1" ref="AJ62" ca="1">INDEX(auto_DataFlat_Score,$F62+AJ$18,$B$12)</f>
        <v>100</v>
      </c>
      <c r="AK62" s="164" cm="1">
        <f t="array" aca="1" ref="AK62" ca="1">INDEX(auto_DataFlat_Score,$F62+AK$18,$B$12)</f>
        <v>100</v>
      </c>
      <c r="AL62" s="164" cm="1">
        <f t="array" aca="1" ref="AL62" ca="1">INDEX(auto_DataFlat_Score,$F62+AL$18,$B$12)</f>
        <v>100</v>
      </c>
      <c r="AM62" s="164" cm="1">
        <f t="array" aca="1" ref="AM62" ca="1">INDEX(auto_DataFlat_Score,$F62+AM$18,$B$12)</f>
        <v>100</v>
      </c>
      <c r="AN62" s="164" cm="1">
        <f t="array" aca="1" ref="AN62" ca="1">INDEX(auto_DataFlat_Score,$F62+AN$18,$B$12)</f>
        <v>0</v>
      </c>
      <c r="AO62" s="164" cm="1">
        <f t="array" aca="1" ref="AO62" ca="1">INDEX(auto_DataFlat_Score,$F62+AO$18,$B$12)</f>
        <v>100</v>
      </c>
      <c r="AP62" s="164" cm="1">
        <f t="array" aca="1" ref="AP62" ca="1">INDEX(auto_DataFlat_Score,$F62+AP$18,$B$12)</f>
        <v>0</v>
      </c>
      <c r="AQ62" s="164" cm="1">
        <f t="array" aca="1" ref="AQ62" ca="1">INDEX(auto_DataFlat_Score,$F62+AQ$18,$B$12)</f>
        <v>0</v>
      </c>
      <c r="AR62" s="164" cm="1">
        <f t="array" aca="1" ref="AR62" ca="1">INDEX(auto_DataFlat_Score,$F62+AR$18,$B$12)</f>
        <v>100</v>
      </c>
      <c r="AS62" s="164" cm="1">
        <f t="array" aca="1" ref="AS62" ca="1">INDEX(auto_DataFlat_Score,$F62+AS$18,$B$12)</f>
        <v>100</v>
      </c>
      <c r="AT62" s="164" cm="1">
        <f t="array" aca="1" ref="AT62" ca="1">INDEX(auto_DataFlat_Score,$F62+AT$18,$B$12)</f>
        <v>0</v>
      </c>
      <c r="AU62" s="164" cm="1">
        <f t="array" aca="1" ref="AU62" ca="1">INDEX(auto_DataFlat_Score,$F62+AU$18,$B$12)</f>
        <v>100</v>
      </c>
      <c r="AV62" s="164" cm="1">
        <f t="array" aca="1" ref="AV62" ca="1">INDEX(auto_DataFlat_Score,$F62+AV$18,$B$12)</f>
        <v>0</v>
      </c>
      <c r="AW62" s="164" cm="1">
        <f t="array" aca="1" ref="AW62" ca="1">INDEX(auto_DataFlat_Score,$F62+AW$18,$B$12)</f>
        <v>0</v>
      </c>
      <c r="AX62" s="164" cm="1">
        <f t="array" aca="1" ref="AX62" ca="1">INDEX(auto_DataFlat_Score,$F62+AX$18,$B$12)</f>
        <v>100</v>
      </c>
      <c r="AY62" s="164" cm="1">
        <f t="array" aca="1" ref="AY62" ca="1">INDEX(auto_DataFlat_Score,$F62+AY$18,$B$12)</f>
        <v>100</v>
      </c>
      <c r="AZ62" s="164" cm="1">
        <f t="array" aca="1" ref="AZ62" ca="1">INDEX(auto_DataFlat_Score,$F62+AZ$18,$B$12)</f>
        <v>100</v>
      </c>
      <c r="BA62" s="164" cm="1">
        <f t="array" aca="1" ref="BA62" ca="1">INDEX(auto_DataFlat_Score,$F62+BA$18,$B$12)</f>
        <v>0</v>
      </c>
      <c r="BB62" s="164" cm="1">
        <f t="array" aca="1" ref="BB62" ca="1">INDEX(auto_DataFlat_Score,$F62+BB$18,$B$12)</f>
        <v>100</v>
      </c>
      <c r="BC62" s="164" cm="1">
        <f t="array" aca="1" ref="BC62" ca="1">INDEX(auto_DataFlat_Score,$F62+BC$18,$B$12)</f>
        <v>100</v>
      </c>
      <c r="BD62" s="164" cm="1">
        <f t="array" aca="1" ref="BD62" ca="1">INDEX(auto_DataFlat_Score,$F62+BD$18,$B$12)</f>
        <v>100</v>
      </c>
      <c r="BE62" s="164" cm="1">
        <f t="array" aca="1" ref="BE62" ca="1">INDEX(auto_DataFlat_Score,$F62+BE$18,$B$12)</f>
        <v>100</v>
      </c>
      <c r="BF62" s="164" cm="1">
        <f t="array" aca="1" ref="BF62" ca="1">INDEX(auto_DataFlat_Score,$F62+BF$18,$B$12)</f>
        <v>100</v>
      </c>
      <c r="BG62" s="164" cm="1">
        <f t="array" aca="1" ref="BG62" ca="1">INDEX(auto_DataFlat_Score,$F62+BG$18,$B$12)</f>
        <v>100</v>
      </c>
      <c r="BH62" s="164" cm="1">
        <f t="array" aca="1" ref="BH62" ca="1">INDEX(auto_DataFlat_Score,$F62+BH$18,$B$12)</f>
        <v>0</v>
      </c>
    </row>
    <row r="63" spans="1:60" ht="17.05" customHeight="1" x14ac:dyDescent="0.4">
      <c r="A63" t="str">
        <f t="shared" ca="1" si="2"/>
        <v/>
      </c>
      <c r="B63" s="49"/>
      <c r="C63" s="4">
        <v>44</v>
      </c>
      <c r="D63" s="49" cm="1">
        <f t="array" aca="1" ref="D63" ca="1">INDEX(OFFSET(auto_ss_score_table,0,1,500,1),C63)</f>
        <v>44</v>
      </c>
      <c r="E63" s="26" cm="1">
        <f t="array" aca="1" ref="E63" ca="1">INDEX(auto_tblSeries,$D63,$E$18)</f>
        <v>2</v>
      </c>
      <c r="F63" s="101" cm="1">
        <f t="array" aca="1" ref="F63" ca="1">INDEX(sys_DataFlat_LU_Grid,$D63,1)-1</f>
        <v>2580</v>
      </c>
      <c r="G63" s="26"/>
      <c r="H63" s="148" t="str" cm="1">
        <f t="array" aca="1" ref="H63" ca="1">INDEX(auto_Series_NameNumbered,$D63)</f>
        <v>3.8) Cholesterol</v>
      </c>
      <c r="I63" s="159">
        <f ca="1">OFFSET(iWeights!$G$18,$D63-1,0,1,1)</f>
        <v>0.125</v>
      </c>
      <c r="J63" s="160">
        <f ca="1">IF(E63=0,"-",OFFSET(iWeights!$U$18,$D63-1,0,1,1))</f>
        <v>3.2258064516129031E-2</v>
      </c>
      <c r="K63" s="161" cm="1">
        <f t="array" aca="1" ref="K63" ca="1">INDEX(auto_DataFlat_Score,$F63+K$18,$B$12)</f>
        <v>30.5</v>
      </c>
      <c r="L63" s="161" cm="1">
        <f t="array" aca="1" ref="L63" ca="1">INDEX(auto_DataFlat_Score,$F63+L$18,$B$12)</f>
        <v>22.4</v>
      </c>
      <c r="M63" s="161" cm="1">
        <f t="array" aca="1" ref="M63" ca="1">INDEX(auto_DataFlat_Score,$F63+M$18,$B$12)</f>
        <v>72.3</v>
      </c>
      <c r="N63" s="161" cm="1">
        <f t="array" aca="1" ref="N63" ca="1">INDEX(auto_DataFlat_Score,$F63+N$18,$B$12)</f>
        <v>16.2</v>
      </c>
      <c r="O63" s="161" cm="1">
        <f t="array" aca="1" ref="O63" ca="1">INDEX(auto_DataFlat_Score,$F63+O$18,$B$12)</f>
        <v>67</v>
      </c>
      <c r="P63" s="161" cm="1">
        <f t="array" aca="1" ref="P63" ca="1">INDEX(auto_DataFlat_Score,$F63+P$18,$B$12)</f>
        <v>22</v>
      </c>
      <c r="Q63" s="161" cm="1">
        <f t="array" aca="1" ref="Q63" ca="1">INDEX(auto_DataFlat_Score,$F63+Q$18,$B$12)</f>
        <v>16.3</v>
      </c>
      <c r="R63" s="161" cm="1">
        <f t="array" aca="1" ref="R63" ca="1">INDEX(auto_DataFlat_Score,$F63+R$18,$B$12)</f>
        <v>19.2</v>
      </c>
      <c r="S63" s="161" cm="1">
        <f t="array" aca="1" ref="S63" ca="1">INDEX(auto_DataFlat_Score,$F63+S$18,$B$12)</f>
        <v>18</v>
      </c>
      <c r="T63" s="161" cm="1">
        <f t="array" aca="1" ref="T63" ca="1">INDEX(auto_DataFlat_Score,$F63+T$18,$B$12)</f>
        <v>21.4</v>
      </c>
      <c r="U63" s="161" cm="1">
        <f t="array" aca="1" ref="U63" ca="1">INDEX(auto_DataFlat_Score,$F63+U$18,$B$12)</f>
        <v>17.600000000000001</v>
      </c>
      <c r="V63" s="161" cm="1">
        <f t="array" aca="1" ref="V63" ca="1">INDEX(auto_DataFlat_Score,$F63+V$18,$B$12)</f>
        <v>25.8</v>
      </c>
      <c r="W63" s="161" cm="1">
        <f t="array" aca="1" ref="W63" ca="1">INDEX(auto_DataFlat_Score,$F63+W$18,$B$12)</f>
        <v>28.8</v>
      </c>
      <c r="X63" s="161" cm="1">
        <f t="array" aca="1" ref="X63" ca="1">INDEX(auto_DataFlat_Score,$F63+X$18,$B$12)</f>
        <v>15.9</v>
      </c>
      <c r="Y63" s="161" cm="1">
        <f t="array" aca="1" ref="Y63" ca="1">INDEX(auto_DataFlat_Score,$F63+Y$18,$B$12)</f>
        <v>68.400000000000006</v>
      </c>
      <c r="Z63" s="161" cm="1">
        <f t="array" aca="1" ref="Z63" ca="1">INDEX(auto_DataFlat_Score,$F63+Z$18,$B$12)</f>
        <v>23.3</v>
      </c>
      <c r="AA63" s="161" cm="1">
        <f t="array" aca="1" ref="AA63" ca="1">INDEX(auto_DataFlat_Score,$F63+AA$18,$B$12)</f>
        <v>68.5</v>
      </c>
      <c r="AB63" s="161" cm="1">
        <f t="array" aca="1" ref="AB63" ca="1">INDEX(auto_DataFlat_Score,$F63+AB$18,$B$12)</f>
        <v>22.5</v>
      </c>
      <c r="AC63" s="161" cm="1">
        <f t="array" aca="1" ref="AC63" ca="1">INDEX(auto_DataFlat_Score,$F63+AC$18,$B$12)</f>
        <v>75.7</v>
      </c>
      <c r="AD63" s="161" cm="1">
        <f t="array" aca="1" ref="AD63" ca="1">INDEX(auto_DataFlat_Score,$F63+AD$18,$B$12)</f>
        <v>24.1</v>
      </c>
      <c r="AE63" s="161" cm="1">
        <f t="array" aca="1" ref="AE63" ca="1">INDEX(auto_DataFlat_Score,$F63+AE$18,$B$12)</f>
        <v>23.8</v>
      </c>
      <c r="AF63" s="161" cm="1">
        <f t="array" aca="1" ref="AF63" ca="1">INDEX(auto_DataFlat_Score,$F63+AF$18,$B$12)</f>
        <v>25.8</v>
      </c>
      <c r="AG63" s="161" cm="1">
        <f t="array" aca="1" ref="AG63" ca="1">INDEX(auto_DataFlat_Score,$F63+AG$18,$B$12)</f>
        <v>25.8</v>
      </c>
      <c r="AH63" s="161" cm="1">
        <f t="array" aca="1" ref="AH63" ca="1">INDEX(auto_DataFlat_Score,$F63+AH$18,$B$12)</f>
        <v>17.399999999999999</v>
      </c>
      <c r="AI63" s="161" cm="1">
        <f t="array" aca="1" ref="AI63" ca="1">INDEX(auto_DataFlat_Score,$F63+AI$18,$B$12)</f>
        <v>24.8</v>
      </c>
      <c r="AJ63" s="161" cm="1">
        <f t="array" aca="1" ref="AJ63" ca="1">INDEX(auto_DataFlat_Score,$F63+AJ$18,$B$12)</f>
        <v>17.7</v>
      </c>
      <c r="AK63" s="161" cm="1">
        <f t="array" aca="1" ref="AK63" ca="1">INDEX(auto_DataFlat_Score,$F63+AK$18,$B$12)</f>
        <v>68.8</v>
      </c>
      <c r="AL63" s="161" cm="1">
        <f t="array" aca="1" ref="AL63" ca="1">INDEX(auto_DataFlat_Score,$F63+AL$18,$B$12)</f>
        <v>20.2</v>
      </c>
      <c r="AM63" s="161" cm="1">
        <f t="array" aca="1" ref="AM63" ca="1">INDEX(auto_DataFlat_Score,$F63+AM$18,$B$12)</f>
        <v>16.2</v>
      </c>
      <c r="AN63" s="161" cm="1">
        <f t="array" aca="1" ref="AN63" ca="1">INDEX(auto_DataFlat_Score,$F63+AN$18,$B$12)</f>
        <v>18.7</v>
      </c>
      <c r="AO63" s="161" cm="1">
        <f t="array" aca="1" ref="AO63" ca="1">INDEX(auto_DataFlat_Score,$F63+AO$18,$B$12)</f>
        <v>15.9</v>
      </c>
      <c r="AP63" s="161" cm="1">
        <f t="array" aca="1" ref="AP63" ca="1">INDEX(auto_DataFlat_Score,$F63+AP$18,$B$12)</f>
        <v>25.8</v>
      </c>
      <c r="AQ63" s="161" cm="1">
        <f t="array" aca="1" ref="AQ63" ca="1">INDEX(auto_DataFlat_Score,$F63+AQ$18,$B$12)</f>
        <v>29</v>
      </c>
      <c r="AR63" s="161" cm="1">
        <f t="array" aca="1" ref="AR63" ca="1">INDEX(auto_DataFlat_Score,$F63+AR$18,$B$12)</f>
        <v>22.3</v>
      </c>
      <c r="AS63" s="161" cm="1">
        <f t="array" aca="1" ref="AS63" ca="1">INDEX(auto_DataFlat_Score,$F63+AS$18,$B$12)</f>
        <v>68.599999999999994</v>
      </c>
      <c r="AT63" s="161" cm="1">
        <f t="array" aca="1" ref="AT63" ca="1">INDEX(auto_DataFlat_Score,$F63+AT$18,$B$12)</f>
        <v>16</v>
      </c>
      <c r="AU63" s="161" cm="1">
        <f t="array" aca="1" ref="AU63" ca="1">INDEX(auto_DataFlat_Score,$F63+AU$18,$B$12)</f>
        <v>23.4</v>
      </c>
      <c r="AV63" s="161" cm="1">
        <f t="array" aca="1" ref="AV63" ca="1">INDEX(auto_DataFlat_Score,$F63+AV$18,$B$12)</f>
        <v>20.8</v>
      </c>
      <c r="AW63" s="161" cm="1">
        <f t="array" aca="1" ref="AW63" ca="1">INDEX(auto_DataFlat_Score,$F63+AW$18,$B$12)</f>
        <v>17.5</v>
      </c>
      <c r="AX63" s="161" cm="1">
        <f t="array" aca="1" ref="AX63" ca="1">INDEX(auto_DataFlat_Score,$F63+AX$18,$B$12)</f>
        <v>22.3</v>
      </c>
      <c r="AY63" s="161" cm="1">
        <f t="array" aca="1" ref="AY63" ca="1">INDEX(auto_DataFlat_Score,$F63+AY$18,$B$12)</f>
        <v>17.399999999999999</v>
      </c>
      <c r="AZ63" s="161" cm="1">
        <f t="array" aca="1" ref="AZ63" ca="1">INDEX(auto_DataFlat_Score,$F63+AZ$18,$B$12)</f>
        <v>70.599999999999994</v>
      </c>
      <c r="BA63" s="161" cm="1">
        <f t="array" aca="1" ref="BA63" ca="1">INDEX(auto_DataFlat_Score,$F63+BA$18,$B$12)</f>
        <v>22</v>
      </c>
      <c r="BB63" s="161" cm="1">
        <f t="array" aca="1" ref="BB63" ca="1">INDEX(auto_DataFlat_Score,$F63+BB$18,$B$12)</f>
        <v>68</v>
      </c>
      <c r="BC63" s="161" cm="1">
        <f t="array" aca="1" ref="BC63" ca="1">INDEX(auto_DataFlat_Score,$F63+BC$18,$B$12)</f>
        <v>16.2</v>
      </c>
      <c r="BD63" s="161" cm="1">
        <f t="array" aca="1" ref="BD63" ca="1">INDEX(auto_DataFlat_Score,$F63+BD$18,$B$12)</f>
        <v>68.599999999999994</v>
      </c>
      <c r="BE63" s="161" cm="1">
        <f t="array" aca="1" ref="BE63" ca="1">INDEX(auto_DataFlat_Score,$F63+BE$18,$B$12)</f>
        <v>19.600000000000001</v>
      </c>
      <c r="BF63" s="161" cm="1">
        <f t="array" aca="1" ref="BF63" ca="1">INDEX(auto_DataFlat_Score,$F63+BF$18,$B$12)</f>
        <v>64.400000000000006</v>
      </c>
      <c r="BG63" s="161" cm="1">
        <f t="array" aca="1" ref="BG63" ca="1">INDEX(auto_DataFlat_Score,$F63+BG$18,$B$12)</f>
        <v>22</v>
      </c>
      <c r="BH63" s="161" cm="1">
        <f t="array" aca="1" ref="BH63" ca="1">INDEX(auto_DataFlat_Score,$F63+BH$18,$B$12)</f>
        <v>23.2</v>
      </c>
    </row>
    <row r="64" spans="1:60" ht="17.05" customHeight="1" x14ac:dyDescent="0.4">
      <c r="A64" t="str">
        <f t="shared" ca="1" si="2"/>
        <v/>
      </c>
      <c r="B64" s="49"/>
      <c r="C64" s="4">
        <v>45</v>
      </c>
      <c r="D64" s="49" cm="1">
        <f t="array" aca="1" ref="D64" ca="1">INDEX(OFFSET(auto_ss_score_table,0,1,500,1),C64)</f>
        <v>45</v>
      </c>
      <c r="E64" s="26" cm="1">
        <f t="array" aca="1" ref="E64" ca="1">INDEX(auto_tblSeries,$D64,$E$18)</f>
        <v>3</v>
      </c>
      <c r="F64" s="101" cm="1">
        <f t="array" aca="1" ref="F64" ca="1">INDEX(sys_DataFlat_LU_Grid,$D64,1)-1</f>
        <v>2640</v>
      </c>
      <c r="G64" s="26"/>
      <c r="H64" s="151" t="str" cm="1">
        <f t="array" aca="1" ref="H64" ca="1">INDEX(auto_Series_NameNumbered,$D64)</f>
        <v>3.8a) Mean blood cholesterol: national data</v>
      </c>
      <c r="I64" s="162">
        <f ca="1">IF(D64=1,"-",OFFSET(iWeights!$G$18,$D64-1,0,1,1))</f>
        <v>0.5</v>
      </c>
      <c r="J64" s="163">
        <f ca="1">IF(E64=0,"-",OFFSET(iWeights!$U$18,$D64-1,0,1,1))</f>
        <v>1.6129032258064516E-2</v>
      </c>
      <c r="K64" s="164" cm="1">
        <f t="array" aca="1" ref="K64" ca="1">INDEX(auto_DataFlat_Score,$F64+K$18,$B$12)</f>
        <v>61</v>
      </c>
      <c r="L64" s="164" cm="1">
        <f t="array" aca="1" ref="L64" ca="1">INDEX(auto_DataFlat_Score,$F64+L$18,$B$12)</f>
        <v>44.8</v>
      </c>
      <c r="M64" s="164" cm="1">
        <f t="array" aca="1" ref="M64" ca="1">INDEX(auto_DataFlat_Score,$F64+M$18,$B$12)</f>
        <v>44.6</v>
      </c>
      <c r="N64" s="164" cm="1">
        <f t="array" aca="1" ref="N64" ca="1">INDEX(auto_DataFlat_Score,$F64+N$18,$B$12)</f>
        <v>32.299999999999997</v>
      </c>
      <c r="O64" s="164" cm="1">
        <f t="array" aca="1" ref="O64" ca="1">INDEX(auto_DataFlat_Score,$F64+O$18,$B$12)</f>
        <v>34</v>
      </c>
      <c r="P64" s="164" cm="1">
        <f t="array" aca="1" ref="P64" ca="1">INDEX(auto_DataFlat_Score,$F64+P$18,$B$12)</f>
        <v>44</v>
      </c>
      <c r="Q64" s="164" cm="1">
        <f t="array" aca="1" ref="Q64" ca="1">INDEX(auto_DataFlat_Score,$F64+Q$18,$B$12)</f>
        <v>32.5</v>
      </c>
      <c r="R64" s="164" cm="1">
        <f t="array" aca="1" ref="R64" ca="1">INDEX(auto_DataFlat_Score,$F64+R$18,$B$12)</f>
        <v>38.5</v>
      </c>
      <c r="S64" s="164" cm="1">
        <f t="array" aca="1" ref="S64" ca="1">INDEX(auto_DataFlat_Score,$F64+S$18,$B$12)</f>
        <v>36</v>
      </c>
      <c r="T64" s="164" cm="1">
        <f t="array" aca="1" ref="T64" ca="1">INDEX(auto_DataFlat_Score,$F64+T$18,$B$12)</f>
        <v>42.9</v>
      </c>
      <c r="U64" s="164" cm="1">
        <f t="array" aca="1" ref="U64" ca="1">INDEX(auto_DataFlat_Score,$F64+U$18,$B$12)</f>
        <v>35.200000000000003</v>
      </c>
      <c r="V64" s="164" cm="1">
        <f t="array" aca="1" ref="V64" ca="1">INDEX(auto_DataFlat_Score,$F64+V$18,$B$12)</f>
        <v>51.5</v>
      </c>
      <c r="W64" s="164" cm="1">
        <f t="array" aca="1" ref="W64" ca="1">INDEX(auto_DataFlat_Score,$F64+W$18,$B$12)</f>
        <v>57.5</v>
      </c>
      <c r="X64" s="164" cm="1">
        <f t="array" aca="1" ref="X64" ca="1">INDEX(auto_DataFlat_Score,$F64+X$18,$B$12)</f>
        <v>31.7</v>
      </c>
      <c r="Y64" s="164" cm="1">
        <f t="array" aca="1" ref="Y64" ca="1">INDEX(auto_DataFlat_Score,$F64+Y$18,$B$12)</f>
        <v>36.700000000000003</v>
      </c>
      <c r="Z64" s="164" cm="1">
        <f t="array" aca="1" ref="Z64" ca="1">INDEX(auto_DataFlat_Score,$F64+Z$18,$B$12)</f>
        <v>46.5</v>
      </c>
      <c r="AA64" s="164" cm="1">
        <f t="array" aca="1" ref="AA64" ca="1">INDEX(auto_DataFlat_Score,$F64+AA$18,$B$12)</f>
        <v>36.9</v>
      </c>
      <c r="AB64" s="164" cm="1">
        <f t="array" aca="1" ref="AB64" ca="1">INDEX(auto_DataFlat_Score,$F64+AB$18,$B$12)</f>
        <v>45</v>
      </c>
      <c r="AC64" s="164" cm="1">
        <f t="array" aca="1" ref="AC64" ca="1">INDEX(auto_DataFlat_Score,$F64+AC$18,$B$12)</f>
        <v>51.3</v>
      </c>
      <c r="AD64" s="164" cm="1">
        <f t="array" aca="1" ref="AD64" ca="1">INDEX(auto_DataFlat_Score,$F64+AD$18,$B$12)</f>
        <v>48.3</v>
      </c>
      <c r="AE64" s="164" cm="1">
        <f t="array" aca="1" ref="AE64" ca="1">INDEX(auto_DataFlat_Score,$F64+AE$18,$B$12)</f>
        <v>47.7</v>
      </c>
      <c r="AF64" s="164" cm="1">
        <f t="array" aca="1" ref="AF64" ca="1">INDEX(auto_DataFlat_Score,$F64+AF$18,$B$12)</f>
        <v>51.5</v>
      </c>
      <c r="AG64" s="164" cm="1">
        <f t="array" aca="1" ref="AG64" ca="1">INDEX(auto_DataFlat_Score,$F64+AG$18,$B$12)</f>
        <v>51.5</v>
      </c>
      <c r="AH64" s="164" cm="1">
        <f t="array" aca="1" ref="AH64" ca="1">INDEX(auto_DataFlat_Score,$F64+AH$18,$B$12)</f>
        <v>34.799999999999997</v>
      </c>
      <c r="AI64" s="164" cm="1">
        <f t="array" aca="1" ref="AI64" ca="1">INDEX(auto_DataFlat_Score,$F64+AI$18,$B$12)</f>
        <v>49.6</v>
      </c>
      <c r="AJ64" s="164" cm="1">
        <f t="array" aca="1" ref="AJ64" ca="1">INDEX(auto_DataFlat_Score,$F64+AJ$18,$B$12)</f>
        <v>35.4</v>
      </c>
      <c r="AK64" s="164" cm="1">
        <f t="array" aca="1" ref="AK64" ca="1">INDEX(auto_DataFlat_Score,$F64+AK$18,$B$12)</f>
        <v>37.5</v>
      </c>
      <c r="AL64" s="164" cm="1">
        <f t="array" aca="1" ref="AL64" ca="1">INDEX(auto_DataFlat_Score,$F64+AL$18,$B$12)</f>
        <v>40.4</v>
      </c>
      <c r="AM64" s="164" cm="1">
        <f t="array" aca="1" ref="AM64" ca="1">INDEX(auto_DataFlat_Score,$F64+AM$18,$B$12)</f>
        <v>32.299999999999997</v>
      </c>
      <c r="AN64" s="164" cm="1">
        <f t="array" aca="1" ref="AN64" ca="1">INDEX(auto_DataFlat_Score,$F64+AN$18,$B$12)</f>
        <v>37.299999999999997</v>
      </c>
      <c r="AO64" s="164" cm="1">
        <f t="array" aca="1" ref="AO64" ca="1">INDEX(auto_DataFlat_Score,$F64+AO$18,$B$12)</f>
        <v>31.7</v>
      </c>
      <c r="AP64" s="164" cm="1">
        <f t="array" aca="1" ref="AP64" ca="1">INDEX(auto_DataFlat_Score,$F64+AP$18,$B$12)</f>
        <v>51.5</v>
      </c>
      <c r="AQ64" s="164" cm="1">
        <f t="array" aca="1" ref="AQ64" ca="1">INDEX(auto_DataFlat_Score,$F64+AQ$18,$B$12)</f>
        <v>58.1</v>
      </c>
      <c r="AR64" s="164" cm="1">
        <f t="array" aca="1" ref="AR64" ca="1">INDEX(auto_DataFlat_Score,$F64+AR$18,$B$12)</f>
        <v>44.6</v>
      </c>
      <c r="AS64" s="164" cm="1">
        <f t="array" aca="1" ref="AS64" ca="1">INDEX(auto_DataFlat_Score,$F64+AS$18,$B$12)</f>
        <v>37.1</v>
      </c>
      <c r="AT64" s="164" cm="1">
        <f t="array" aca="1" ref="AT64" ca="1">INDEX(auto_DataFlat_Score,$F64+AT$18,$B$12)</f>
        <v>31.9</v>
      </c>
      <c r="AU64" s="164" cm="1">
        <f t="array" aca="1" ref="AU64" ca="1">INDEX(auto_DataFlat_Score,$F64+AU$18,$B$12)</f>
        <v>46.7</v>
      </c>
      <c r="AV64" s="164" cm="1">
        <f t="array" aca="1" ref="AV64" ca="1">INDEX(auto_DataFlat_Score,$F64+AV$18,$B$12)</f>
        <v>41.5</v>
      </c>
      <c r="AW64" s="164" cm="1">
        <f t="array" aca="1" ref="AW64" ca="1">INDEX(auto_DataFlat_Score,$F64+AW$18,$B$12)</f>
        <v>35</v>
      </c>
      <c r="AX64" s="164" cm="1">
        <f t="array" aca="1" ref="AX64" ca="1">INDEX(auto_DataFlat_Score,$F64+AX$18,$B$12)</f>
        <v>44.6</v>
      </c>
      <c r="AY64" s="164" cm="1">
        <f t="array" aca="1" ref="AY64" ca="1">INDEX(auto_DataFlat_Score,$F64+AY$18,$B$12)</f>
        <v>34.799999999999997</v>
      </c>
      <c r="AZ64" s="164" cm="1">
        <f t="array" aca="1" ref="AZ64" ca="1">INDEX(auto_DataFlat_Score,$F64+AZ$18,$B$12)</f>
        <v>41.2</v>
      </c>
      <c r="BA64" s="164" cm="1">
        <f t="array" aca="1" ref="BA64" ca="1">INDEX(auto_DataFlat_Score,$F64+BA$18,$B$12)</f>
        <v>44</v>
      </c>
      <c r="BB64" s="164" cm="1">
        <f t="array" aca="1" ref="BB64" ca="1">INDEX(auto_DataFlat_Score,$F64+BB$18,$B$12)</f>
        <v>36</v>
      </c>
      <c r="BC64" s="164" cm="1">
        <f t="array" aca="1" ref="BC64" ca="1">INDEX(auto_DataFlat_Score,$F64+BC$18,$B$12)</f>
        <v>32.299999999999997</v>
      </c>
      <c r="BD64" s="164" cm="1">
        <f t="array" aca="1" ref="BD64" ca="1">INDEX(auto_DataFlat_Score,$F64+BD$18,$B$12)</f>
        <v>37.1</v>
      </c>
      <c r="BE64" s="164" cm="1">
        <f t="array" aca="1" ref="BE64" ca="1">INDEX(auto_DataFlat_Score,$F64+BE$18,$B$12)</f>
        <v>39.200000000000003</v>
      </c>
      <c r="BF64" s="164" cm="1">
        <f t="array" aca="1" ref="BF64" ca="1">INDEX(auto_DataFlat_Score,$F64+BF$18,$B$12)</f>
        <v>28.8</v>
      </c>
      <c r="BG64" s="164" cm="1">
        <f t="array" aca="1" ref="BG64" ca="1">INDEX(auto_DataFlat_Score,$F64+BG$18,$B$12)</f>
        <v>44</v>
      </c>
      <c r="BH64" s="164" cm="1">
        <f t="array" aca="1" ref="BH64" ca="1">INDEX(auto_DataFlat_Score,$F64+BH$18,$B$12)</f>
        <v>46.3</v>
      </c>
    </row>
    <row r="65" spans="1:60" ht="17.05" customHeight="1" x14ac:dyDescent="0.4">
      <c r="A65" t="str">
        <f t="shared" ca="1" si="2"/>
        <v/>
      </c>
      <c r="B65" s="49"/>
      <c r="C65" s="4">
        <v>46</v>
      </c>
      <c r="D65" s="49" cm="1">
        <f t="array" aca="1" ref="D65" ca="1">INDEX(OFFSET(auto_ss_score_table,0,1,500,1),C65)</f>
        <v>46</v>
      </c>
      <c r="E65" s="26" cm="1">
        <f t="array" aca="1" ref="E65" ca="1">INDEX(auto_tblSeries,$D65,$E$18)</f>
        <v>3</v>
      </c>
      <c r="F65" s="101" cm="1">
        <f t="array" aca="1" ref="F65" ca="1">INDEX(sys_DataFlat_LU_Grid,$D65,1)-1</f>
        <v>2700</v>
      </c>
      <c r="G65" s="26"/>
      <c r="H65" s="151" t="str" cm="1">
        <f t="array" aca="1" ref="H65" ca="1">INDEX(auto_Series_NameNumbered,$D65)</f>
        <v>3.8b) Cholesterol: city-level data availability</v>
      </c>
      <c r="I65" s="162">
        <f ca="1">OFFSET(iWeights!$G$18,$D65-1,0,1,1)</f>
        <v>0.5</v>
      </c>
      <c r="J65" s="163">
        <f ca="1">IF(E65=0,"-",OFFSET(iWeights!$U$18,$D65-1,0,1,1))</f>
        <v>1.6129032258064516E-2</v>
      </c>
      <c r="K65" s="164" cm="1">
        <f t="array" aca="1" ref="K65" ca="1">INDEX(auto_DataFlat_Score,$F65+K$18,$B$12)</f>
        <v>0</v>
      </c>
      <c r="L65" s="164" cm="1">
        <f t="array" aca="1" ref="L65" ca="1">INDEX(auto_DataFlat_Score,$F65+L$18,$B$12)</f>
        <v>0</v>
      </c>
      <c r="M65" s="164" cm="1">
        <f t="array" aca="1" ref="M65" ca="1">INDEX(auto_DataFlat_Score,$F65+M$18,$B$12)</f>
        <v>100</v>
      </c>
      <c r="N65" s="164" cm="1">
        <f t="array" aca="1" ref="N65" ca="1">INDEX(auto_DataFlat_Score,$F65+N$18,$B$12)</f>
        <v>0</v>
      </c>
      <c r="O65" s="164" cm="1">
        <f t="array" aca="1" ref="O65" ca="1">INDEX(auto_DataFlat_Score,$F65+O$18,$B$12)</f>
        <v>100</v>
      </c>
      <c r="P65" s="164" cm="1">
        <f t="array" aca="1" ref="P65" ca="1">INDEX(auto_DataFlat_Score,$F65+P$18,$B$12)</f>
        <v>0</v>
      </c>
      <c r="Q65" s="164" cm="1">
        <f t="array" aca="1" ref="Q65" ca="1">INDEX(auto_DataFlat_Score,$F65+Q$18,$B$12)</f>
        <v>0</v>
      </c>
      <c r="R65" s="164" cm="1">
        <f t="array" aca="1" ref="R65" ca="1">INDEX(auto_DataFlat_Score,$F65+R$18,$B$12)</f>
        <v>0</v>
      </c>
      <c r="S65" s="164" cm="1">
        <f t="array" aca="1" ref="S65" ca="1">INDEX(auto_DataFlat_Score,$F65+S$18,$B$12)</f>
        <v>0</v>
      </c>
      <c r="T65" s="164" cm="1">
        <f t="array" aca="1" ref="T65" ca="1">INDEX(auto_DataFlat_Score,$F65+T$18,$B$12)</f>
        <v>0</v>
      </c>
      <c r="U65" s="164" cm="1">
        <f t="array" aca="1" ref="U65" ca="1">INDEX(auto_DataFlat_Score,$F65+U$18,$B$12)</f>
        <v>0</v>
      </c>
      <c r="V65" s="164" cm="1">
        <f t="array" aca="1" ref="V65" ca="1">INDEX(auto_DataFlat_Score,$F65+V$18,$B$12)</f>
        <v>0</v>
      </c>
      <c r="W65" s="164" cm="1">
        <f t="array" aca="1" ref="W65" ca="1">INDEX(auto_DataFlat_Score,$F65+W$18,$B$12)</f>
        <v>0</v>
      </c>
      <c r="X65" s="164" cm="1">
        <f t="array" aca="1" ref="X65" ca="1">INDEX(auto_DataFlat_Score,$F65+X$18,$B$12)</f>
        <v>0</v>
      </c>
      <c r="Y65" s="164" cm="1">
        <f t="array" aca="1" ref="Y65" ca="1">INDEX(auto_DataFlat_Score,$F65+Y$18,$B$12)</f>
        <v>100</v>
      </c>
      <c r="Z65" s="164" cm="1">
        <f t="array" aca="1" ref="Z65" ca="1">INDEX(auto_DataFlat_Score,$F65+Z$18,$B$12)</f>
        <v>0</v>
      </c>
      <c r="AA65" s="164" cm="1">
        <f t="array" aca="1" ref="AA65" ca="1">INDEX(auto_DataFlat_Score,$F65+AA$18,$B$12)</f>
        <v>100</v>
      </c>
      <c r="AB65" s="164" cm="1">
        <f t="array" aca="1" ref="AB65" ca="1">INDEX(auto_DataFlat_Score,$F65+AB$18,$B$12)</f>
        <v>0</v>
      </c>
      <c r="AC65" s="164" cm="1">
        <f t="array" aca="1" ref="AC65" ca="1">INDEX(auto_DataFlat_Score,$F65+AC$18,$B$12)</f>
        <v>100</v>
      </c>
      <c r="AD65" s="164" cm="1">
        <f t="array" aca="1" ref="AD65" ca="1">INDEX(auto_DataFlat_Score,$F65+AD$18,$B$12)</f>
        <v>0</v>
      </c>
      <c r="AE65" s="164" cm="1">
        <f t="array" aca="1" ref="AE65" ca="1">INDEX(auto_DataFlat_Score,$F65+AE$18,$B$12)</f>
        <v>0</v>
      </c>
      <c r="AF65" s="164" cm="1">
        <f t="array" aca="1" ref="AF65" ca="1">INDEX(auto_DataFlat_Score,$F65+AF$18,$B$12)</f>
        <v>0</v>
      </c>
      <c r="AG65" s="164" cm="1">
        <f t="array" aca="1" ref="AG65" ca="1">INDEX(auto_DataFlat_Score,$F65+AG$18,$B$12)</f>
        <v>0</v>
      </c>
      <c r="AH65" s="164" cm="1">
        <f t="array" aca="1" ref="AH65" ca="1">INDEX(auto_DataFlat_Score,$F65+AH$18,$B$12)</f>
        <v>0</v>
      </c>
      <c r="AI65" s="164" cm="1">
        <f t="array" aca="1" ref="AI65" ca="1">INDEX(auto_DataFlat_Score,$F65+AI$18,$B$12)</f>
        <v>0</v>
      </c>
      <c r="AJ65" s="164" cm="1">
        <f t="array" aca="1" ref="AJ65" ca="1">INDEX(auto_DataFlat_Score,$F65+AJ$18,$B$12)</f>
        <v>0</v>
      </c>
      <c r="AK65" s="164" cm="1">
        <f t="array" aca="1" ref="AK65" ca="1">INDEX(auto_DataFlat_Score,$F65+AK$18,$B$12)</f>
        <v>100</v>
      </c>
      <c r="AL65" s="164" cm="1">
        <f t="array" aca="1" ref="AL65" ca="1">INDEX(auto_DataFlat_Score,$F65+AL$18,$B$12)</f>
        <v>0</v>
      </c>
      <c r="AM65" s="164" cm="1">
        <f t="array" aca="1" ref="AM65" ca="1">INDEX(auto_DataFlat_Score,$F65+AM$18,$B$12)</f>
        <v>0</v>
      </c>
      <c r="AN65" s="164" cm="1">
        <f t="array" aca="1" ref="AN65" ca="1">INDEX(auto_DataFlat_Score,$F65+AN$18,$B$12)</f>
        <v>0</v>
      </c>
      <c r="AO65" s="164" cm="1">
        <f t="array" aca="1" ref="AO65" ca="1">INDEX(auto_DataFlat_Score,$F65+AO$18,$B$12)</f>
        <v>0</v>
      </c>
      <c r="AP65" s="164" cm="1">
        <f t="array" aca="1" ref="AP65" ca="1">INDEX(auto_DataFlat_Score,$F65+AP$18,$B$12)</f>
        <v>0</v>
      </c>
      <c r="AQ65" s="164" cm="1">
        <f t="array" aca="1" ref="AQ65" ca="1">INDEX(auto_DataFlat_Score,$F65+AQ$18,$B$12)</f>
        <v>0</v>
      </c>
      <c r="AR65" s="164" cm="1">
        <f t="array" aca="1" ref="AR65" ca="1">INDEX(auto_DataFlat_Score,$F65+AR$18,$B$12)</f>
        <v>0</v>
      </c>
      <c r="AS65" s="164" cm="1">
        <f t="array" aca="1" ref="AS65" ca="1">INDEX(auto_DataFlat_Score,$F65+AS$18,$B$12)</f>
        <v>100</v>
      </c>
      <c r="AT65" s="164" cm="1">
        <f t="array" aca="1" ref="AT65" ca="1">INDEX(auto_DataFlat_Score,$F65+AT$18,$B$12)</f>
        <v>0</v>
      </c>
      <c r="AU65" s="164" cm="1">
        <f t="array" aca="1" ref="AU65" ca="1">INDEX(auto_DataFlat_Score,$F65+AU$18,$B$12)</f>
        <v>0</v>
      </c>
      <c r="AV65" s="164" cm="1">
        <f t="array" aca="1" ref="AV65" ca="1">INDEX(auto_DataFlat_Score,$F65+AV$18,$B$12)</f>
        <v>0</v>
      </c>
      <c r="AW65" s="164" cm="1">
        <f t="array" aca="1" ref="AW65" ca="1">INDEX(auto_DataFlat_Score,$F65+AW$18,$B$12)</f>
        <v>0</v>
      </c>
      <c r="AX65" s="164" cm="1">
        <f t="array" aca="1" ref="AX65" ca="1">INDEX(auto_DataFlat_Score,$F65+AX$18,$B$12)</f>
        <v>0</v>
      </c>
      <c r="AY65" s="164" cm="1">
        <f t="array" aca="1" ref="AY65" ca="1">INDEX(auto_DataFlat_Score,$F65+AY$18,$B$12)</f>
        <v>0</v>
      </c>
      <c r="AZ65" s="164" cm="1">
        <f t="array" aca="1" ref="AZ65" ca="1">INDEX(auto_DataFlat_Score,$F65+AZ$18,$B$12)</f>
        <v>100</v>
      </c>
      <c r="BA65" s="164" cm="1">
        <f t="array" aca="1" ref="BA65" ca="1">INDEX(auto_DataFlat_Score,$F65+BA$18,$B$12)</f>
        <v>0</v>
      </c>
      <c r="BB65" s="164" cm="1">
        <f t="array" aca="1" ref="BB65" ca="1">INDEX(auto_DataFlat_Score,$F65+BB$18,$B$12)</f>
        <v>100</v>
      </c>
      <c r="BC65" s="164" cm="1">
        <f t="array" aca="1" ref="BC65" ca="1">INDEX(auto_DataFlat_Score,$F65+BC$18,$B$12)</f>
        <v>0</v>
      </c>
      <c r="BD65" s="164" cm="1">
        <f t="array" aca="1" ref="BD65" ca="1">INDEX(auto_DataFlat_Score,$F65+BD$18,$B$12)</f>
        <v>100</v>
      </c>
      <c r="BE65" s="164" cm="1">
        <f t="array" aca="1" ref="BE65" ca="1">INDEX(auto_DataFlat_Score,$F65+BE$18,$B$12)</f>
        <v>0</v>
      </c>
      <c r="BF65" s="164" cm="1">
        <f t="array" aca="1" ref="BF65" ca="1">INDEX(auto_DataFlat_Score,$F65+BF$18,$B$12)</f>
        <v>100</v>
      </c>
      <c r="BG65" s="164" cm="1">
        <f t="array" aca="1" ref="BG65" ca="1">INDEX(auto_DataFlat_Score,$F65+BG$18,$B$12)</f>
        <v>0</v>
      </c>
      <c r="BH65" s="164" cm="1">
        <f t="array" aca="1" ref="BH65" ca="1">INDEX(auto_DataFlat_Score,$F65+BH$18,$B$12)</f>
        <v>0</v>
      </c>
    </row>
    <row r="66" spans="1:60" ht="17.05" customHeight="1" x14ac:dyDescent="0.4">
      <c r="A66" t="str">
        <f t="shared" ca="1" si="2"/>
        <v/>
      </c>
      <c r="B66" s="49"/>
      <c r="C66" s="4">
        <v>47</v>
      </c>
      <c r="D66" s="49" cm="1">
        <f t="array" aca="1" ref="D66" ca="1">INDEX(OFFSET(auto_ss_score_table,0,1,500,1),C66)</f>
        <v>47</v>
      </c>
      <c r="E66" s="26" cm="1">
        <f t="array" aca="1" ref="E66" ca="1">INDEX(auto_tblSeries,$D66,$E$18)</f>
        <v>1</v>
      </c>
      <c r="F66" s="101" cm="1">
        <f t="array" aca="1" ref="F66" ca="1">INDEX(sys_DataFlat_LU_Grid,$D66,1)-1</f>
        <v>2760</v>
      </c>
      <c r="G66" s="26"/>
      <c r="H66" s="148" t="str" cm="1">
        <f t="array" aca="1" ref="H66" ca="1">INDEX(auto_Series_NameNumbered,$D66)</f>
        <v>4) HEALTH SERVICES</v>
      </c>
      <c r="I66" s="159">
        <f ca="1">IF(D66=1,"-",OFFSET(iWeights!$G$18,$D66-1,0,1,1))</f>
        <v>0.12903225806451613</v>
      </c>
      <c r="J66" s="160">
        <f ca="1">IF(E66=0,"-",OFFSET(iWeights!$U$18,$D66-1,0,1,1))</f>
        <v>0.12903225806451613</v>
      </c>
      <c r="K66" s="161" cm="1">
        <f t="array" aca="1" ref="K66" ca="1">INDEX(auto_DataFlat_Score,$F66+K$18,$B$12)</f>
        <v>19.100000000000001</v>
      </c>
      <c r="L66" s="161" cm="1">
        <f t="array" aca="1" ref="L66" ca="1">INDEX(auto_DataFlat_Score,$F66+L$18,$B$12)</f>
        <v>52.5</v>
      </c>
      <c r="M66" s="161" cm="1">
        <f t="array" aca="1" ref="M66" ca="1">INDEX(auto_DataFlat_Score,$F66+M$18,$B$12)</f>
        <v>66.900000000000006</v>
      </c>
      <c r="N66" s="161" cm="1">
        <f t="array" aca="1" ref="N66" ca="1">INDEX(auto_DataFlat_Score,$F66+N$18,$B$12)</f>
        <v>79.400000000000006</v>
      </c>
      <c r="O66" s="161" cm="1">
        <f t="array" aca="1" ref="O66" ca="1">INDEX(auto_DataFlat_Score,$F66+O$18,$B$12)</f>
        <v>78.3</v>
      </c>
      <c r="P66" s="161" cm="1">
        <f t="array" aca="1" ref="P66" ca="1">INDEX(auto_DataFlat_Score,$F66+P$18,$B$12)</f>
        <v>37.6</v>
      </c>
      <c r="Q66" s="161" cm="1">
        <f t="array" aca="1" ref="Q66" ca="1">INDEX(auto_DataFlat_Score,$F66+Q$18,$B$12)</f>
        <v>87.6</v>
      </c>
      <c r="R66" s="161" cm="1">
        <f t="array" aca="1" ref="R66" ca="1">INDEX(auto_DataFlat_Score,$F66+R$18,$B$12)</f>
        <v>70.8</v>
      </c>
      <c r="S66" s="161" cm="1">
        <f t="array" aca="1" ref="S66" ca="1">INDEX(auto_DataFlat_Score,$F66+S$18,$B$12)</f>
        <v>60.8</v>
      </c>
      <c r="T66" s="161" cm="1">
        <f t="array" aca="1" ref="T66" ca="1">INDEX(auto_DataFlat_Score,$F66+T$18,$B$12)</f>
        <v>47.8</v>
      </c>
      <c r="U66" s="161" cm="1">
        <f t="array" aca="1" ref="U66" ca="1">INDEX(auto_DataFlat_Score,$F66+U$18,$B$12)</f>
        <v>77.8</v>
      </c>
      <c r="V66" s="161" cm="1">
        <f t="array" aca="1" ref="V66" ca="1">INDEX(auto_DataFlat_Score,$F66+V$18,$B$12)</f>
        <v>71</v>
      </c>
      <c r="W66" s="161" cm="1">
        <f t="array" aca="1" ref="W66" ca="1">INDEX(auto_DataFlat_Score,$F66+W$18,$B$12)</f>
        <v>39.1</v>
      </c>
      <c r="X66" s="161" cm="1">
        <f t="array" aca="1" ref="X66" ca="1">INDEX(auto_DataFlat_Score,$F66+X$18,$B$12)</f>
        <v>44.8</v>
      </c>
      <c r="Y66" s="161" cm="1">
        <f t="array" aca="1" ref="Y66" ca="1">INDEX(auto_DataFlat_Score,$F66+Y$18,$B$12)</f>
        <v>87.3</v>
      </c>
      <c r="Z66" s="161" cm="1">
        <f t="array" aca="1" ref="Z66" ca="1">INDEX(auto_DataFlat_Score,$F66+Z$18,$B$12)</f>
        <v>48.9</v>
      </c>
      <c r="AA66" s="161" cm="1">
        <f t="array" aca="1" ref="AA66" ca="1">INDEX(auto_DataFlat_Score,$F66+AA$18,$B$12)</f>
        <v>76.5</v>
      </c>
      <c r="AB66" s="161" cm="1">
        <f t="array" aca="1" ref="AB66" ca="1">INDEX(auto_DataFlat_Score,$F66+AB$18,$B$12)</f>
        <v>80.099999999999994</v>
      </c>
      <c r="AC66" s="161" cm="1">
        <f t="array" aca="1" ref="AC66" ca="1">INDEX(auto_DataFlat_Score,$F66+AC$18,$B$12)</f>
        <v>40.6</v>
      </c>
      <c r="AD66" s="161" cm="1">
        <f t="array" aca="1" ref="AD66" ca="1">INDEX(auto_DataFlat_Score,$F66+AD$18,$B$12)</f>
        <v>51.9</v>
      </c>
      <c r="AE66" s="161" cm="1">
        <f t="array" aca="1" ref="AE66" ca="1">INDEX(auto_DataFlat_Score,$F66+AE$18,$B$12)</f>
        <v>29.3</v>
      </c>
      <c r="AF66" s="161" cm="1">
        <f t="array" aca="1" ref="AF66" ca="1">INDEX(auto_DataFlat_Score,$F66+AF$18,$B$12)</f>
        <v>47.4</v>
      </c>
      <c r="AG66" s="161" cm="1">
        <f t="array" aca="1" ref="AG66" ca="1">INDEX(auto_DataFlat_Score,$F66+AG$18,$B$12)</f>
        <v>71</v>
      </c>
      <c r="AH66" s="161" cm="1">
        <f t="array" aca="1" ref="AH66" ca="1">INDEX(auto_DataFlat_Score,$F66+AH$18,$B$12)</f>
        <v>43.9</v>
      </c>
      <c r="AI66" s="161" cm="1">
        <f t="array" aca="1" ref="AI66" ca="1">INDEX(auto_DataFlat_Score,$F66+AI$18,$B$12)</f>
        <v>48.4</v>
      </c>
      <c r="AJ66" s="161" cm="1">
        <f t="array" aca="1" ref="AJ66" ca="1">INDEX(auto_DataFlat_Score,$F66+AJ$18,$B$12)</f>
        <v>84</v>
      </c>
      <c r="AK66" s="161" cm="1">
        <f t="array" aca="1" ref="AK66" ca="1">INDEX(auto_DataFlat_Score,$F66+AK$18,$B$12)</f>
        <v>83.7</v>
      </c>
      <c r="AL66" s="161" cm="1">
        <f t="array" aca="1" ref="AL66" ca="1">INDEX(auto_DataFlat_Score,$F66+AL$18,$B$12)</f>
        <v>46.3</v>
      </c>
      <c r="AM66" s="161" cm="1">
        <f t="array" aca="1" ref="AM66" ca="1">INDEX(auto_DataFlat_Score,$F66+AM$18,$B$12)</f>
        <v>83.5</v>
      </c>
      <c r="AN66" s="161" cm="1">
        <f t="array" aca="1" ref="AN66" ca="1">INDEX(auto_DataFlat_Score,$F66+AN$18,$B$12)</f>
        <v>77.599999999999994</v>
      </c>
      <c r="AO66" s="161" cm="1">
        <f t="array" aca="1" ref="AO66" ca="1">INDEX(auto_DataFlat_Score,$F66+AO$18,$B$12)</f>
        <v>58.3</v>
      </c>
      <c r="AP66" s="161" cm="1">
        <f t="array" aca="1" ref="AP66" ca="1">INDEX(auto_DataFlat_Score,$F66+AP$18,$B$12)</f>
        <v>71</v>
      </c>
      <c r="AQ66" s="161" cm="1">
        <f t="array" aca="1" ref="AQ66" ca="1">INDEX(auto_DataFlat_Score,$F66+AQ$18,$B$12)</f>
        <v>36.6</v>
      </c>
      <c r="AR66" s="161" cm="1">
        <f t="array" aca="1" ref="AR66" ca="1">INDEX(auto_DataFlat_Score,$F66+AR$18,$B$12)</f>
        <v>91.9</v>
      </c>
      <c r="AS66" s="161" cm="1">
        <f t="array" aca="1" ref="AS66" ca="1">INDEX(auto_DataFlat_Score,$F66+AS$18,$B$12)</f>
        <v>80.400000000000006</v>
      </c>
      <c r="AT66" s="161" cm="1">
        <f t="array" aca="1" ref="AT66" ca="1">INDEX(auto_DataFlat_Score,$F66+AT$18,$B$12)</f>
        <v>84.3</v>
      </c>
      <c r="AU66" s="161" cm="1">
        <f t="array" aca="1" ref="AU66" ca="1">INDEX(auto_DataFlat_Score,$F66+AU$18,$B$12)</f>
        <v>48.7</v>
      </c>
      <c r="AV66" s="161" cm="1">
        <f t="array" aca="1" ref="AV66" ca="1">INDEX(auto_DataFlat_Score,$F66+AV$18,$B$12)</f>
        <v>51.9</v>
      </c>
      <c r="AW66" s="161" cm="1">
        <f t="array" aca="1" ref="AW66" ca="1">INDEX(auto_DataFlat_Score,$F66+AW$18,$B$12)</f>
        <v>82.1</v>
      </c>
      <c r="AX66" s="161" cm="1">
        <f t="array" aca="1" ref="AX66" ca="1">INDEX(auto_DataFlat_Score,$F66+AX$18,$B$12)</f>
        <v>91.9</v>
      </c>
      <c r="AY66" s="161" cm="1">
        <f t="array" aca="1" ref="AY66" ca="1">INDEX(auto_DataFlat_Score,$F66+AY$18,$B$12)</f>
        <v>83.8</v>
      </c>
      <c r="AZ66" s="161" cm="1">
        <f t="array" aca="1" ref="AZ66" ca="1">INDEX(auto_DataFlat_Score,$F66+AZ$18,$B$12)</f>
        <v>83.8</v>
      </c>
      <c r="BA66" s="161" cm="1">
        <f t="array" aca="1" ref="BA66" ca="1">INDEX(auto_DataFlat_Score,$F66+BA$18,$B$12)</f>
        <v>50.1</v>
      </c>
      <c r="BB66" s="161" cm="1">
        <f t="array" aca="1" ref="BB66" ca="1">INDEX(auto_DataFlat_Score,$F66+BB$18,$B$12)</f>
        <v>53.9</v>
      </c>
      <c r="BC66" s="161" cm="1">
        <f t="array" aca="1" ref="BC66" ca="1">INDEX(auto_DataFlat_Score,$F66+BC$18,$B$12)</f>
        <v>83.5</v>
      </c>
      <c r="BD66" s="161" cm="1">
        <f t="array" aca="1" ref="BD66" ca="1">INDEX(auto_DataFlat_Score,$F66+BD$18,$B$12)</f>
        <v>80.400000000000006</v>
      </c>
      <c r="BE66" s="161" cm="1">
        <f t="array" aca="1" ref="BE66" ca="1">INDEX(auto_DataFlat_Score,$F66+BE$18,$B$12)</f>
        <v>60.1</v>
      </c>
      <c r="BF66" s="161" cm="1">
        <f t="array" aca="1" ref="BF66" ca="1">INDEX(auto_DataFlat_Score,$F66+BF$18,$B$12)</f>
        <v>84.5</v>
      </c>
      <c r="BG66" s="161" cm="1">
        <f t="array" aca="1" ref="BG66" ca="1">INDEX(auto_DataFlat_Score,$F66+BG$18,$B$12)</f>
        <v>50.1</v>
      </c>
      <c r="BH66" s="161" cm="1">
        <f t="array" aca="1" ref="BH66" ca="1">INDEX(auto_DataFlat_Score,$F66+BH$18,$B$12)</f>
        <v>51.6</v>
      </c>
    </row>
    <row r="67" spans="1:60" ht="17.05" customHeight="1" x14ac:dyDescent="0.4">
      <c r="A67" t="str">
        <f t="shared" ca="1" si="2"/>
        <v/>
      </c>
      <c r="B67" s="49"/>
      <c r="C67" s="4">
        <v>48</v>
      </c>
      <c r="D67" s="49" cm="1">
        <f t="array" aca="1" ref="D67" ca="1">INDEX(OFFSET(auto_ss_score_table,0,1,500,1),C67)</f>
        <v>48</v>
      </c>
      <c r="E67" s="26" cm="1">
        <f t="array" aca="1" ref="E67" ca="1">INDEX(auto_tblSeries,$D67,$E$18)</f>
        <v>2</v>
      </c>
      <c r="F67" s="101" cm="1">
        <f t="array" aca="1" ref="F67" ca="1">INDEX(sys_DataFlat_LU_Grid,$D67,1)-1</f>
        <v>2820</v>
      </c>
      <c r="G67" s="26"/>
      <c r="H67" s="148" t="str" cm="1">
        <f t="array" aca="1" ref="H67" ca="1">INDEX(auto_Series_NameNumbered,$D67)</f>
        <v>4.1) Access to medicines</v>
      </c>
      <c r="I67" s="159">
        <f ca="1">OFFSET(iWeights!$G$18,$D67-1,0,1,1)</f>
        <v>0.25</v>
      </c>
      <c r="J67" s="160">
        <f ca="1">IF(E67=0,"-",OFFSET(iWeights!$U$18,$D67-1,0,1,1))</f>
        <v>3.2258064516129031E-2</v>
      </c>
      <c r="K67" s="161" cm="1">
        <f t="array" aca="1" ref="K67" ca="1">INDEX(auto_DataFlat_Score,$F67+K$18,$B$12)</f>
        <v>0</v>
      </c>
      <c r="L67" s="161" cm="1">
        <f t="array" aca="1" ref="L67" ca="1">INDEX(auto_DataFlat_Score,$F67+L$18,$B$12)</f>
        <v>100</v>
      </c>
      <c r="M67" s="161" cm="1">
        <f t="array" aca="1" ref="M67" ca="1">INDEX(auto_DataFlat_Score,$F67+M$18,$B$12)</f>
        <v>100</v>
      </c>
      <c r="N67" s="161" cm="1">
        <f t="array" aca="1" ref="N67" ca="1">INDEX(auto_DataFlat_Score,$F67+N$18,$B$12)</f>
        <v>100</v>
      </c>
      <c r="O67" s="161" cm="1">
        <f t="array" aca="1" ref="O67" ca="1">INDEX(auto_DataFlat_Score,$F67+O$18,$B$12)</f>
        <v>100</v>
      </c>
      <c r="P67" s="161" cm="1">
        <f t="array" aca="1" ref="P67" ca="1">INDEX(auto_DataFlat_Score,$F67+P$18,$B$12)</f>
        <v>50</v>
      </c>
      <c r="Q67" s="161" cm="1">
        <f t="array" aca="1" ref="Q67" ca="1">INDEX(auto_DataFlat_Score,$F67+Q$18,$B$12)</f>
        <v>100</v>
      </c>
      <c r="R67" s="161" cm="1">
        <f t="array" aca="1" ref="R67" ca="1">INDEX(auto_DataFlat_Score,$F67+R$18,$B$12)</f>
        <v>50</v>
      </c>
      <c r="S67" s="161" cm="1">
        <f t="array" aca="1" ref="S67" ca="1">INDEX(auto_DataFlat_Score,$F67+S$18,$B$12)</f>
        <v>100</v>
      </c>
      <c r="T67" s="161" cm="1">
        <f t="array" aca="1" ref="T67" ca="1">INDEX(auto_DataFlat_Score,$F67+T$18,$B$12)</f>
        <v>100</v>
      </c>
      <c r="U67" s="161" cm="1">
        <f t="array" aca="1" ref="U67" ca="1">INDEX(auto_DataFlat_Score,$F67+U$18,$B$12)</f>
        <v>100</v>
      </c>
      <c r="V67" s="161" cm="1">
        <f t="array" aca="1" ref="V67" ca="1">INDEX(auto_DataFlat_Score,$F67+V$18,$B$12)</f>
        <v>100</v>
      </c>
      <c r="W67" s="161" cm="1">
        <f t="array" aca="1" ref="W67" ca="1">INDEX(auto_DataFlat_Score,$F67+W$18,$B$12)</f>
        <v>50</v>
      </c>
      <c r="X67" s="161" cm="1">
        <f t="array" aca="1" ref="X67" ca="1">INDEX(auto_DataFlat_Score,$F67+X$18,$B$12)</f>
        <v>100</v>
      </c>
      <c r="Y67" s="161" cm="1">
        <f t="array" aca="1" ref="Y67" ca="1">INDEX(auto_DataFlat_Score,$F67+Y$18,$B$12)</f>
        <v>100</v>
      </c>
      <c r="Z67" s="161" cm="1">
        <f t="array" aca="1" ref="Z67" ca="1">INDEX(auto_DataFlat_Score,$F67+Z$18,$B$12)</f>
        <v>100</v>
      </c>
      <c r="AA67" s="161" cm="1">
        <f t="array" aca="1" ref="AA67" ca="1">INDEX(auto_DataFlat_Score,$F67+AA$18,$B$12)</f>
        <v>100</v>
      </c>
      <c r="AB67" s="161" cm="1">
        <f t="array" aca="1" ref="AB67" ca="1">INDEX(auto_DataFlat_Score,$F67+AB$18,$B$12)</f>
        <v>100</v>
      </c>
      <c r="AC67" s="161" cm="1">
        <f t="array" aca="1" ref="AC67" ca="1">INDEX(auto_DataFlat_Score,$F67+AC$18,$B$12)</f>
        <v>100</v>
      </c>
      <c r="AD67" s="161" cm="1">
        <f t="array" aca="1" ref="AD67" ca="1">INDEX(auto_DataFlat_Score,$F67+AD$18,$B$12)</f>
        <v>100</v>
      </c>
      <c r="AE67" s="161" cm="1">
        <f t="array" aca="1" ref="AE67" ca="1">INDEX(auto_DataFlat_Score,$F67+AE$18,$B$12)</f>
        <v>0</v>
      </c>
      <c r="AF67" s="161" cm="1">
        <f t="array" aca="1" ref="AF67" ca="1">INDEX(auto_DataFlat_Score,$F67+AF$18,$B$12)</f>
        <v>100</v>
      </c>
      <c r="AG67" s="161" cm="1">
        <f t="array" aca="1" ref="AG67" ca="1">INDEX(auto_DataFlat_Score,$F67+AG$18,$B$12)</f>
        <v>100</v>
      </c>
      <c r="AH67" s="161" cm="1">
        <f t="array" aca="1" ref="AH67" ca="1">INDEX(auto_DataFlat_Score,$F67+AH$18,$B$12)</f>
        <v>50</v>
      </c>
      <c r="AI67" s="161" cm="1">
        <f t="array" aca="1" ref="AI67" ca="1">INDEX(auto_DataFlat_Score,$F67+AI$18,$B$12)</f>
        <v>100</v>
      </c>
      <c r="AJ67" s="161" cm="1">
        <f t="array" aca="1" ref="AJ67" ca="1">INDEX(auto_DataFlat_Score,$F67+AJ$18,$B$12)</f>
        <v>100</v>
      </c>
      <c r="AK67" s="161" cm="1">
        <f t="array" aca="1" ref="AK67" ca="1">INDEX(auto_DataFlat_Score,$F67+AK$18,$B$12)</f>
        <v>100</v>
      </c>
      <c r="AL67" s="161" cm="1">
        <f t="array" aca="1" ref="AL67" ca="1">INDEX(auto_DataFlat_Score,$F67+AL$18,$B$12)</f>
        <v>100</v>
      </c>
      <c r="AM67" s="161" cm="1">
        <f t="array" aca="1" ref="AM67" ca="1">INDEX(auto_DataFlat_Score,$F67+AM$18,$B$12)</f>
        <v>100</v>
      </c>
      <c r="AN67" s="161" cm="1">
        <f t="array" aca="1" ref="AN67" ca="1">INDEX(auto_DataFlat_Score,$F67+AN$18,$B$12)</f>
        <v>100</v>
      </c>
      <c r="AO67" s="161" cm="1">
        <f t="array" aca="1" ref="AO67" ca="1">INDEX(auto_DataFlat_Score,$F67+AO$18,$B$12)</f>
        <v>100</v>
      </c>
      <c r="AP67" s="161" cm="1">
        <f t="array" aca="1" ref="AP67" ca="1">INDEX(auto_DataFlat_Score,$F67+AP$18,$B$12)</f>
        <v>100</v>
      </c>
      <c r="AQ67" s="161" cm="1">
        <f t="array" aca="1" ref="AQ67" ca="1">INDEX(auto_DataFlat_Score,$F67+AQ$18,$B$12)</f>
        <v>50</v>
      </c>
      <c r="AR67" s="161" cm="1">
        <f t="array" aca="1" ref="AR67" ca="1">INDEX(auto_DataFlat_Score,$F67+AR$18,$B$12)</f>
        <v>100</v>
      </c>
      <c r="AS67" s="161" cm="1">
        <f t="array" aca="1" ref="AS67" ca="1">INDEX(auto_DataFlat_Score,$F67+AS$18,$B$12)</f>
        <v>100</v>
      </c>
      <c r="AT67" s="161" cm="1">
        <f t="array" aca="1" ref="AT67" ca="1">INDEX(auto_DataFlat_Score,$F67+AT$18,$B$12)</f>
        <v>100</v>
      </c>
      <c r="AU67" s="161" cm="1">
        <f t="array" aca="1" ref="AU67" ca="1">INDEX(auto_DataFlat_Score,$F67+AU$18,$B$12)</f>
        <v>100</v>
      </c>
      <c r="AV67" s="161" cm="1">
        <f t="array" aca="1" ref="AV67" ca="1">INDEX(auto_DataFlat_Score,$F67+AV$18,$B$12)</f>
        <v>100</v>
      </c>
      <c r="AW67" s="161" cm="1">
        <f t="array" aca="1" ref="AW67" ca="1">INDEX(auto_DataFlat_Score,$F67+AW$18,$B$12)</f>
        <v>100</v>
      </c>
      <c r="AX67" s="161" cm="1">
        <f t="array" aca="1" ref="AX67" ca="1">INDEX(auto_DataFlat_Score,$F67+AX$18,$B$12)</f>
        <v>100</v>
      </c>
      <c r="AY67" s="161" cm="1">
        <f t="array" aca="1" ref="AY67" ca="1">INDEX(auto_DataFlat_Score,$F67+AY$18,$B$12)</f>
        <v>100</v>
      </c>
      <c r="AZ67" s="161" cm="1">
        <f t="array" aca="1" ref="AZ67" ca="1">INDEX(auto_DataFlat_Score,$F67+AZ$18,$B$12)</f>
        <v>100</v>
      </c>
      <c r="BA67" s="161" cm="1">
        <f t="array" aca="1" ref="BA67" ca="1">INDEX(auto_DataFlat_Score,$F67+BA$18,$B$12)</f>
        <v>100</v>
      </c>
      <c r="BB67" s="161" cm="1">
        <f t="array" aca="1" ref="BB67" ca="1">INDEX(auto_DataFlat_Score,$F67+BB$18,$B$12)</f>
        <v>100</v>
      </c>
      <c r="BC67" s="161" cm="1">
        <f t="array" aca="1" ref="BC67" ca="1">INDEX(auto_DataFlat_Score,$F67+BC$18,$B$12)</f>
        <v>100</v>
      </c>
      <c r="BD67" s="161" cm="1">
        <f t="array" aca="1" ref="BD67" ca="1">INDEX(auto_DataFlat_Score,$F67+BD$18,$B$12)</f>
        <v>100</v>
      </c>
      <c r="BE67" s="161" cm="1">
        <f t="array" aca="1" ref="BE67" ca="1">INDEX(auto_DataFlat_Score,$F67+BE$18,$B$12)</f>
        <v>100</v>
      </c>
      <c r="BF67" s="161" cm="1">
        <f t="array" aca="1" ref="BF67" ca="1">INDEX(auto_DataFlat_Score,$F67+BF$18,$B$12)</f>
        <v>100</v>
      </c>
      <c r="BG67" s="161" cm="1">
        <f t="array" aca="1" ref="BG67" ca="1">INDEX(auto_DataFlat_Score,$F67+BG$18,$B$12)</f>
        <v>0</v>
      </c>
      <c r="BH67" s="161" cm="1">
        <f t="array" aca="1" ref="BH67" ca="1">INDEX(auto_DataFlat_Score,$F67+BH$18,$B$12)</f>
        <v>100</v>
      </c>
    </row>
    <row r="68" spans="1:60" ht="17.05" customHeight="1" x14ac:dyDescent="0.4">
      <c r="A68" t="str">
        <f t="shared" ca="1" si="2"/>
        <v/>
      </c>
      <c r="B68" s="49"/>
      <c r="C68" s="4">
        <v>49</v>
      </c>
      <c r="D68" s="49" cm="1">
        <f t="array" aca="1" ref="D68" ca="1">INDEX(OFFSET(auto_ss_score_table,0,1,500,1),C68)</f>
        <v>49</v>
      </c>
      <c r="E68" s="26" cm="1">
        <f t="array" aca="1" ref="E68" ca="1">INDEX(auto_tblSeries,$D68,$E$18)</f>
        <v>2</v>
      </c>
      <c r="F68" s="101" cm="1">
        <f t="array" aca="1" ref="F68" ca="1">INDEX(sys_DataFlat_LU_Grid,$D68,1)-1</f>
        <v>2880</v>
      </c>
      <c r="G68" s="26"/>
      <c r="H68" s="148" t="str" cm="1">
        <f t="array" aca="1" ref="H68" ca="1">INDEX(auto_Series_NameNumbered,$D68)</f>
        <v>4.2) Hypertension diagnosis coverage</v>
      </c>
      <c r="I68" s="159">
        <f ca="1">IF(D68=1,"-",OFFSET(iWeights!$G$18,$D68-1,0,1,1))</f>
        <v>0.25</v>
      </c>
      <c r="J68" s="160">
        <f ca="1">IF(E68=0,"-",OFFSET(iWeights!$U$18,$D68-1,0,1,1))</f>
        <v>3.2258064516129031E-2</v>
      </c>
      <c r="K68" s="161" cm="1">
        <f t="array" aca="1" ref="K68" ca="1">INDEX(auto_DataFlat_Score,$F68+K$18,$B$12)</f>
        <v>34</v>
      </c>
      <c r="L68" s="161" cm="1">
        <f t="array" aca="1" ref="L68" ca="1">INDEX(auto_DataFlat_Score,$F68+L$18,$B$12)</f>
        <v>50</v>
      </c>
      <c r="M68" s="161" cm="1">
        <f t="array" aca="1" ref="M68" ca="1">INDEX(auto_DataFlat_Score,$F68+M$18,$B$12)</f>
        <v>80</v>
      </c>
      <c r="N68" s="161" cm="1">
        <f t="array" aca="1" ref="N68" ca="1">INDEX(auto_DataFlat_Score,$F68+N$18,$B$12)</f>
        <v>63</v>
      </c>
      <c r="O68" s="161" cm="1">
        <f t="array" aca="1" ref="O68" ca="1">INDEX(auto_DataFlat_Score,$F68+O$18,$B$12)</f>
        <v>53</v>
      </c>
      <c r="P68" s="161" cm="1">
        <f t="array" aca="1" ref="P68" ca="1">INDEX(auto_DataFlat_Score,$F68+P$18,$B$12)</f>
        <v>52</v>
      </c>
      <c r="Q68" s="161" cm="1">
        <f t="array" aca="1" ref="Q68" ca="1">INDEX(auto_DataFlat_Score,$F68+Q$18,$B$12)</f>
        <v>72</v>
      </c>
      <c r="R68" s="161" cm="1">
        <f t="array" aca="1" ref="R68" ca="1">INDEX(auto_DataFlat_Score,$F68+R$18,$B$12)</f>
        <v>69</v>
      </c>
      <c r="S68" s="161" cm="1">
        <f t="array" aca="1" ref="S68" ca="1">INDEX(auto_DataFlat_Score,$F68+S$18,$B$12)</f>
        <v>60</v>
      </c>
      <c r="T68" s="161" cm="1">
        <f t="array" aca="1" ref="T68" ca="1">INDEX(auto_DataFlat_Score,$F68+T$18,$B$12)</f>
        <v>53</v>
      </c>
      <c r="U68" s="161" cm="1">
        <f t="array" aca="1" ref="U68" ca="1">INDEX(auto_DataFlat_Score,$F68+U$18,$B$12)</f>
        <v>47</v>
      </c>
      <c r="V68" s="161" cm="1">
        <f t="array" aca="1" ref="V68" ca="1">INDEX(auto_DataFlat_Score,$F68+V$18,$B$12)</f>
        <v>37</v>
      </c>
      <c r="W68" s="161" cm="1">
        <f t="array" aca="1" ref="W68" ca="1">INDEX(auto_DataFlat_Score,$F68+W$18,$B$12)</f>
        <v>50</v>
      </c>
      <c r="X68" s="161" cm="1">
        <f t="array" aca="1" ref="X68" ca="1">INDEX(auto_DataFlat_Score,$F68+X$18,$B$12)</f>
        <v>43</v>
      </c>
      <c r="Y68" s="161" cm="1">
        <f t="array" aca="1" ref="Y68" ca="1">INDEX(auto_DataFlat_Score,$F68+Y$18,$B$12)</f>
        <v>68</v>
      </c>
      <c r="Z68" s="161" cm="1">
        <f t="array" aca="1" ref="Z68" ca="1">INDEX(auto_DataFlat_Score,$F68+Z$18,$B$12)</f>
        <v>47</v>
      </c>
      <c r="AA68" s="161" cm="1">
        <f t="array" aca="1" ref="AA68" ca="1">INDEX(auto_DataFlat_Score,$F68+AA$18,$B$12)</f>
        <v>60</v>
      </c>
      <c r="AB68" s="161" cm="1">
        <f t="array" aca="1" ref="AB68" ca="1">INDEX(auto_DataFlat_Score,$F68+AB$18,$B$12)</f>
        <v>62</v>
      </c>
      <c r="AC68" s="161" cm="1">
        <f t="array" aca="1" ref="AC68" ca="1">INDEX(auto_DataFlat_Score,$F68+AC$18,$B$12)</f>
        <v>36</v>
      </c>
      <c r="AD68" s="161" cm="1">
        <f t="array" aca="1" ref="AD68" ca="1">INDEX(auto_DataFlat_Score,$F68+AD$18,$B$12)</f>
        <v>53</v>
      </c>
      <c r="AE68" s="161" cm="1">
        <f t="array" aca="1" ref="AE68" ca="1">INDEX(auto_DataFlat_Score,$F68+AE$18,$B$12)</f>
        <v>44</v>
      </c>
      <c r="AF68" s="161" cm="1">
        <f t="array" aca="1" ref="AF68" ca="1">INDEX(auto_DataFlat_Score,$F68+AF$18,$B$12)</f>
        <v>33</v>
      </c>
      <c r="AG68" s="161" cm="1">
        <f t="array" aca="1" ref="AG68" ca="1">INDEX(auto_DataFlat_Score,$F68+AG$18,$B$12)</f>
        <v>37</v>
      </c>
      <c r="AH68" s="161" cm="1">
        <f t="array" aca="1" ref="AH68" ca="1">INDEX(auto_DataFlat_Score,$F68+AH$18,$B$12)</f>
        <v>63</v>
      </c>
      <c r="AI68" s="161" cm="1">
        <f t="array" aca="1" ref="AI68" ca="1">INDEX(auto_DataFlat_Score,$F68+AI$18,$B$12)</f>
        <v>47</v>
      </c>
      <c r="AJ68" s="161" cm="1">
        <f t="array" aca="1" ref="AJ68" ca="1">INDEX(auto_DataFlat_Score,$F68+AJ$18,$B$12)</f>
        <v>59</v>
      </c>
      <c r="AK68" s="161" cm="1">
        <f t="array" aca="1" ref="AK68" ca="1">INDEX(auto_DataFlat_Score,$F68+AK$18,$B$12)</f>
        <v>65</v>
      </c>
      <c r="AL68" s="161" cm="1">
        <f t="array" aca="1" ref="AL68" ca="1">INDEX(auto_DataFlat_Score,$F68+AL$18,$B$12)</f>
        <v>52</v>
      </c>
      <c r="AM68" s="161" cm="1">
        <f t="array" aca="1" ref="AM68" ca="1">INDEX(auto_DataFlat_Score,$F68+AM$18,$B$12)</f>
        <v>59</v>
      </c>
      <c r="AN68" s="161" cm="1">
        <f t="array" aca="1" ref="AN68" ca="1">INDEX(auto_DataFlat_Score,$F68+AN$18,$B$12)</f>
        <v>58</v>
      </c>
      <c r="AO68" s="161" cm="1">
        <f t="array" aca="1" ref="AO68" ca="1">INDEX(auto_DataFlat_Score,$F68+AO$18,$B$12)</f>
        <v>74</v>
      </c>
      <c r="AP68" s="161" cm="1">
        <f t="array" aca="1" ref="AP68" ca="1">INDEX(auto_DataFlat_Score,$F68+AP$18,$B$12)</f>
        <v>37</v>
      </c>
      <c r="AQ68" s="161" cm="1">
        <f t="array" aca="1" ref="AQ68" ca="1">INDEX(auto_DataFlat_Score,$F68+AQ$18,$B$12)</f>
        <v>40</v>
      </c>
      <c r="AR68" s="161" cm="1">
        <f t="array" aca="1" ref="AR68" ca="1">INDEX(auto_DataFlat_Score,$F68+AR$18,$B$12)</f>
        <v>80</v>
      </c>
      <c r="AS68" s="161" cm="1">
        <f t="array" aca="1" ref="AS68" ca="1">INDEX(auto_DataFlat_Score,$F68+AS$18,$B$12)</f>
        <v>67</v>
      </c>
      <c r="AT68" s="161" cm="1">
        <f t="array" aca="1" ref="AT68" ca="1">INDEX(auto_DataFlat_Score,$F68+AT$18,$B$12)</f>
        <v>65</v>
      </c>
      <c r="AU68" s="161" cm="1">
        <f t="array" aca="1" ref="AU68" ca="1">INDEX(auto_DataFlat_Score,$F68+AU$18,$B$12)</f>
        <v>51</v>
      </c>
      <c r="AV68" s="161" cm="1">
        <f t="array" aca="1" ref="AV68" ca="1">INDEX(auto_DataFlat_Score,$F68+AV$18,$B$12)</f>
        <v>51</v>
      </c>
      <c r="AW68" s="161" cm="1">
        <f t="array" aca="1" ref="AW68" ca="1">INDEX(auto_DataFlat_Score,$F68+AW$18,$B$12)</f>
        <v>62</v>
      </c>
      <c r="AX68" s="161" cm="1">
        <f t="array" aca="1" ref="AX68" ca="1">INDEX(auto_DataFlat_Score,$F68+AX$18,$B$12)</f>
        <v>80</v>
      </c>
      <c r="AY68" s="161" cm="1">
        <f t="array" aca="1" ref="AY68" ca="1">INDEX(auto_DataFlat_Score,$F68+AY$18,$B$12)</f>
        <v>67</v>
      </c>
      <c r="AZ68" s="161" cm="1">
        <f t="array" aca="1" ref="AZ68" ca="1">INDEX(auto_DataFlat_Score,$F68+AZ$18,$B$12)</f>
        <v>71</v>
      </c>
      <c r="BA68" s="161" cm="1">
        <f t="array" aca="1" ref="BA68" ca="1">INDEX(auto_DataFlat_Score,$F68+BA$18,$B$12)</f>
        <v>52</v>
      </c>
      <c r="BB68" s="161" cm="1">
        <f t="array" aca="1" ref="BB68" ca="1">INDEX(auto_DataFlat_Score,$F68+BB$18,$B$12)</f>
        <v>66</v>
      </c>
      <c r="BC68" s="161" cm="1">
        <f t="array" aca="1" ref="BC68" ca="1">INDEX(auto_DataFlat_Score,$F68+BC$18,$B$12)</f>
        <v>59</v>
      </c>
      <c r="BD68" s="161" cm="1">
        <f t="array" aca="1" ref="BD68" ca="1">INDEX(auto_DataFlat_Score,$F68+BD$18,$B$12)</f>
        <v>67</v>
      </c>
      <c r="BE68" s="161" cm="1">
        <f t="array" aca="1" ref="BE68" ca="1">INDEX(auto_DataFlat_Score,$F68+BE$18,$B$12)</f>
        <v>78</v>
      </c>
      <c r="BF68" s="161" cm="1">
        <f t="array" aca="1" ref="BF68" ca="1">INDEX(auto_DataFlat_Score,$F68+BF$18,$B$12)</f>
        <v>63</v>
      </c>
      <c r="BG68" s="161" cm="1">
        <f t="array" aca="1" ref="BG68" ca="1">INDEX(auto_DataFlat_Score,$F68+BG$18,$B$12)</f>
        <v>52</v>
      </c>
      <c r="BH68" s="161" cm="1">
        <f t="array" aca="1" ref="BH68" ca="1">INDEX(auto_DataFlat_Score,$F68+BH$18,$B$12)</f>
        <v>58</v>
      </c>
    </row>
    <row r="69" spans="1:60" ht="17.05" customHeight="1" x14ac:dyDescent="0.4">
      <c r="A69" t="str">
        <f t="shared" ca="1" si="2"/>
        <v/>
      </c>
      <c r="B69" s="49"/>
      <c r="C69" s="4">
        <v>50</v>
      </c>
      <c r="D69" s="49" cm="1">
        <f t="array" aca="1" ref="D69" ca="1">INDEX(OFFSET(auto_ss_score_table,0,1,500,1),C69)</f>
        <v>50</v>
      </c>
      <c r="E69" s="26" cm="1">
        <f t="array" aca="1" ref="E69" ca="1">INDEX(auto_tblSeries,$D69,$E$18)</f>
        <v>2</v>
      </c>
      <c r="F69" s="101" cm="1">
        <f t="array" aca="1" ref="F69" ca="1">INDEX(sys_DataFlat_LU_Grid,$D69,1)-1</f>
        <v>2940</v>
      </c>
      <c r="G69" s="26"/>
      <c r="H69" s="148" t="str" cm="1">
        <f t="array" aca="1" ref="H69" ca="1">INDEX(auto_Series_NameNumbered,$D69)</f>
        <v>4.3) Undiagnosed diabetes</v>
      </c>
      <c r="I69" s="159">
        <f ca="1">OFFSET(iWeights!$G$18,$D69-1,0,1,1)</f>
        <v>0.25</v>
      </c>
      <c r="J69" s="160">
        <f ca="1">IF(E69=0,"-",OFFSET(iWeights!$U$18,$D69-1,0,1,1))</f>
        <v>3.2258064516129031E-2</v>
      </c>
      <c r="K69" s="161" cm="1">
        <f t="array" aca="1" ref="K69" ca="1">INDEX(auto_DataFlat_Score,$F69+K$18,$B$12)</f>
        <v>42.4</v>
      </c>
      <c r="L69" s="161" cm="1">
        <f t="array" aca="1" ref="L69" ca="1">INDEX(auto_DataFlat_Score,$F69+L$18,$B$12)</f>
        <v>59.8</v>
      </c>
      <c r="M69" s="161" cm="1">
        <f t="array" aca="1" ref="M69" ca="1">INDEX(auto_DataFlat_Score,$F69+M$18,$B$12)</f>
        <v>87.5</v>
      </c>
      <c r="N69" s="161" cm="1">
        <f t="array" aca="1" ref="N69" ca="1">INDEX(auto_DataFlat_Score,$F69+N$18,$B$12)</f>
        <v>54.6</v>
      </c>
      <c r="O69" s="161" cm="1">
        <f t="array" aca="1" ref="O69" ca="1">INDEX(auto_DataFlat_Score,$F69+O$18,$B$12)</f>
        <v>60.3</v>
      </c>
      <c r="P69" s="161" cm="1">
        <f t="array" aca="1" ref="P69" ca="1">INDEX(auto_DataFlat_Score,$F69+P$18,$B$12)</f>
        <v>48.3</v>
      </c>
      <c r="Q69" s="161" cm="1">
        <f t="array" aca="1" ref="Q69" ca="1">INDEX(auto_DataFlat_Score,$F69+Q$18,$B$12)</f>
        <v>78.3</v>
      </c>
      <c r="R69" s="161" cm="1">
        <f t="array" aca="1" ref="R69" ca="1">INDEX(auto_DataFlat_Score,$F69+R$18,$B$12)</f>
        <v>64</v>
      </c>
      <c r="S69" s="161" cm="1">
        <f t="array" aca="1" ref="S69" ca="1">INDEX(auto_DataFlat_Score,$F69+S$18,$B$12)</f>
        <v>83.3</v>
      </c>
      <c r="T69" s="161" cm="1">
        <f t="array" aca="1" ref="T69" ca="1">INDEX(auto_DataFlat_Score,$F69+T$18,$B$12)</f>
        <v>38</v>
      </c>
      <c r="U69" s="161" cm="1">
        <f t="array" aca="1" ref="U69" ca="1">INDEX(auto_DataFlat_Score,$F69+U$18,$B$12)</f>
        <v>64.2</v>
      </c>
      <c r="V69" s="161" cm="1">
        <f t="array" aca="1" ref="V69" ca="1">INDEX(auto_DataFlat_Score,$F69+V$18,$B$12)</f>
        <v>46.9</v>
      </c>
      <c r="W69" s="161" cm="1">
        <f t="array" aca="1" ref="W69" ca="1">INDEX(auto_DataFlat_Score,$F69+W$18,$B$12)</f>
        <v>56.5</v>
      </c>
      <c r="X69" s="161" cm="1">
        <f t="array" aca="1" ref="X69" ca="1">INDEX(auto_DataFlat_Score,$F69+X$18,$B$12)</f>
        <v>36</v>
      </c>
      <c r="Y69" s="161" cm="1">
        <f t="array" aca="1" ref="Y69" ca="1">INDEX(auto_DataFlat_Score,$F69+Y$18,$B$12)</f>
        <v>81.2</v>
      </c>
      <c r="Z69" s="161" cm="1">
        <f t="array" aca="1" ref="Z69" ca="1">INDEX(auto_DataFlat_Score,$F69+Z$18,$B$12)</f>
        <v>48.5</v>
      </c>
      <c r="AA69" s="161" cm="1">
        <f t="array" aca="1" ref="AA69" ca="1">INDEX(auto_DataFlat_Score,$F69+AA$18,$B$12)</f>
        <v>45.8</v>
      </c>
      <c r="AB69" s="161" cm="1">
        <f t="array" aca="1" ref="AB69" ca="1">INDEX(auto_DataFlat_Score,$F69+AB$18,$B$12)</f>
        <v>58.2</v>
      </c>
      <c r="AC69" s="161" cm="1">
        <f t="array" aca="1" ref="AC69" ca="1">INDEX(auto_DataFlat_Score,$F69+AC$18,$B$12)</f>
        <v>26.3</v>
      </c>
      <c r="AD69" s="161" cm="1">
        <f t="array" aca="1" ref="AD69" ca="1">INDEX(auto_DataFlat_Score,$F69+AD$18,$B$12)</f>
        <v>54.6</v>
      </c>
      <c r="AE69" s="161" cm="1">
        <f t="array" aca="1" ref="AE69" ca="1">INDEX(auto_DataFlat_Score,$F69+AE$18,$B$12)</f>
        <v>73.099999999999994</v>
      </c>
      <c r="AF69" s="161" cm="1">
        <f t="array" aca="1" ref="AF69" ca="1">INDEX(auto_DataFlat_Score,$F69+AF$18,$B$12)</f>
        <v>56.5</v>
      </c>
      <c r="AG69" s="161" cm="1">
        <f t="array" aca="1" ref="AG69" ca="1">INDEX(auto_DataFlat_Score,$F69+AG$18,$B$12)</f>
        <v>46.9</v>
      </c>
      <c r="AH69" s="161" cm="1">
        <f t="array" aca="1" ref="AH69" ca="1">INDEX(auto_DataFlat_Score,$F69+AH$18,$B$12)</f>
        <v>62.7</v>
      </c>
      <c r="AI69" s="161" cm="1">
        <f t="array" aca="1" ref="AI69" ca="1">INDEX(auto_DataFlat_Score,$F69+AI$18,$B$12)</f>
        <v>46.7</v>
      </c>
      <c r="AJ69" s="161" cm="1">
        <f t="array" aca="1" ref="AJ69" ca="1">INDEX(auto_DataFlat_Score,$F69+AJ$18,$B$12)</f>
        <v>77</v>
      </c>
      <c r="AK69" s="161" cm="1">
        <f t="array" aca="1" ref="AK69" ca="1">INDEX(auto_DataFlat_Score,$F69+AK$18,$B$12)</f>
        <v>69.7</v>
      </c>
      <c r="AL69" s="161" cm="1">
        <f t="array" aca="1" ref="AL69" ca="1">INDEX(auto_DataFlat_Score,$F69+AL$18,$B$12)</f>
        <v>33.299999999999997</v>
      </c>
      <c r="AM69" s="161" cm="1">
        <f t="array" aca="1" ref="AM69" ca="1">INDEX(auto_DataFlat_Score,$F69+AM$18,$B$12)</f>
        <v>75</v>
      </c>
      <c r="AN69" s="161" cm="1">
        <f t="array" aca="1" ref="AN69" ca="1">INDEX(auto_DataFlat_Score,$F69+AN$18,$B$12)</f>
        <v>52.5</v>
      </c>
      <c r="AO69" s="161" cm="1">
        <f t="array" aca="1" ref="AO69" ca="1">INDEX(auto_DataFlat_Score,$F69+AO$18,$B$12)</f>
        <v>59</v>
      </c>
      <c r="AP69" s="161" cm="1">
        <f t="array" aca="1" ref="AP69" ca="1">INDEX(auto_DataFlat_Score,$F69+AP$18,$B$12)</f>
        <v>46.9</v>
      </c>
      <c r="AQ69" s="161" cm="1">
        <f t="array" aca="1" ref="AQ69" ca="1">INDEX(auto_DataFlat_Score,$F69+AQ$18,$B$12)</f>
        <v>56.3</v>
      </c>
      <c r="AR69" s="161" cm="1">
        <f t="array" aca="1" ref="AR69" ca="1">INDEX(auto_DataFlat_Score,$F69+AR$18,$B$12)</f>
        <v>87.5</v>
      </c>
      <c r="AS69" s="161" cm="1">
        <f t="array" aca="1" ref="AS69" ca="1">INDEX(auto_DataFlat_Score,$F69+AS$18,$B$12)</f>
        <v>54.5</v>
      </c>
      <c r="AT69" s="161" cm="1">
        <f t="array" aca="1" ref="AT69" ca="1">INDEX(auto_DataFlat_Score,$F69+AT$18,$B$12)</f>
        <v>72.099999999999994</v>
      </c>
      <c r="AU69" s="161" cm="1">
        <f t="array" aca="1" ref="AU69" ca="1">INDEX(auto_DataFlat_Score,$F69+AU$18,$B$12)</f>
        <v>43.9</v>
      </c>
      <c r="AV69" s="161" cm="1">
        <f t="array" aca="1" ref="AV69" ca="1">INDEX(auto_DataFlat_Score,$F69+AV$18,$B$12)</f>
        <v>56.4</v>
      </c>
      <c r="AW69" s="161" cm="1">
        <f t="array" aca="1" ref="AW69" ca="1">INDEX(auto_DataFlat_Score,$F69+AW$18,$B$12)</f>
        <v>66.5</v>
      </c>
      <c r="AX69" s="161" cm="1">
        <f t="array" aca="1" ref="AX69" ca="1">INDEX(auto_DataFlat_Score,$F69+AX$18,$B$12)</f>
        <v>87.5</v>
      </c>
      <c r="AY69" s="161" cm="1">
        <f t="array" aca="1" ref="AY69" ca="1">INDEX(auto_DataFlat_Score,$F69+AY$18,$B$12)</f>
        <v>68.099999999999994</v>
      </c>
      <c r="AZ69" s="161" cm="1">
        <f t="array" aca="1" ref="AZ69" ca="1">INDEX(auto_DataFlat_Score,$F69+AZ$18,$B$12)</f>
        <v>64</v>
      </c>
      <c r="BA69" s="161" cm="1">
        <f t="array" aca="1" ref="BA69" ca="1">INDEX(auto_DataFlat_Score,$F69+BA$18,$B$12)</f>
        <v>48.3</v>
      </c>
      <c r="BB69" s="161" cm="1">
        <f t="array" aca="1" ref="BB69" ca="1">INDEX(auto_DataFlat_Score,$F69+BB$18,$B$12)</f>
        <v>49.6</v>
      </c>
      <c r="BC69" s="161" cm="1">
        <f t="array" aca="1" ref="BC69" ca="1">INDEX(auto_DataFlat_Score,$F69+BC$18,$B$12)</f>
        <v>75</v>
      </c>
      <c r="BD69" s="161" cm="1">
        <f t="array" aca="1" ref="BD69" ca="1">INDEX(auto_DataFlat_Score,$F69+BD$18,$B$12)</f>
        <v>54.5</v>
      </c>
      <c r="BE69" s="161" cm="1">
        <f t="array" aca="1" ref="BE69" ca="1">INDEX(auto_DataFlat_Score,$F69+BE$18,$B$12)</f>
        <v>62.2</v>
      </c>
      <c r="BF69" s="161" cm="1">
        <f t="array" aca="1" ref="BF69" ca="1">INDEX(auto_DataFlat_Score,$F69+BF$18,$B$12)</f>
        <v>75</v>
      </c>
      <c r="BG69" s="161" cm="1">
        <f t="array" aca="1" ref="BG69" ca="1">INDEX(auto_DataFlat_Score,$F69+BG$18,$B$12)</f>
        <v>48.3</v>
      </c>
      <c r="BH69" s="161" cm="1">
        <f t="array" aca="1" ref="BH69" ca="1">INDEX(auto_DataFlat_Score,$F69+BH$18,$B$12)</f>
        <v>48.3</v>
      </c>
    </row>
    <row r="70" spans="1:60" ht="17.05" customHeight="1" x14ac:dyDescent="0.4">
      <c r="A70" t="str">
        <f t="shared" ca="1" si="2"/>
        <v/>
      </c>
      <c r="B70" s="49"/>
      <c r="C70" s="4">
        <v>51</v>
      </c>
      <c r="D70" s="49" cm="1">
        <f t="array" aca="1" ref="D70" ca="1">INDEX(OFFSET(auto_ss_score_table,0,1,500,1),C70)</f>
        <v>51</v>
      </c>
      <c r="E70" s="26" cm="1">
        <f t="array" aca="1" ref="E70" ca="1">INDEX(auto_tblSeries,$D70,$E$18)</f>
        <v>2</v>
      </c>
      <c r="F70" s="101" cm="1">
        <f t="array" aca="1" ref="F70" ca="1">INDEX(sys_DataFlat_LU_Grid,$D70,1)-1</f>
        <v>3000</v>
      </c>
      <c r="G70" s="26"/>
      <c r="H70" s="148" t="str" cm="1">
        <f t="array" aca="1" ref="H70" ca="1">INDEX(auto_Series_NameNumbered,$D70)</f>
        <v>4.4) Patient-centred care</v>
      </c>
      <c r="I70" s="159">
        <f ca="1">IF(D70=1,"-",OFFSET(iWeights!$G$18,$D70-1,0,1,1))</f>
        <v>0.25</v>
      </c>
      <c r="J70" s="160">
        <f ca="1">IF(E70=0,"-",OFFSET(iWeights!$U$18,$D70-1,0,1,1))</f>
        <v>3.2258064516129031E-2</v>
      </c>
      <c r="K70" s="161" cm="1">
        <f t="array" aca="1" ref="K70" ca="1">INDEX(auto_DataFlat_Score,$F70+K$18,$B$12)</f>
        <v>0</v>
      </c>
      <c r="L70" s="161" cm="1">
        <f t="array" aca="1" ref="L70" ca="1">INDEX(auto_DataFlat_Score,$F70+L$18,$B$12)</f>
        <v>0</v>
      </c>
      <c r="M70" s="161" cm="1">
        <f t="array" aca="1" ref="M70" ca="1">INDEX(auto_DataFlat_Score,$F70+M$18,$B$12)</f>
        <v>0</v>
      </c>
      <c r="N70" s="161" cm="1">
        <f t="array" aca="1" ref="N70" ca="1">INDEX(auto_DataFlat_Score,$F70+N$18,$B$12)</f>
        <v>100</v>
      </c>
      <c r="O70" s="161" cm="1">
        <f t="array" aca="1" ref="O70" ca="1">INDEX(auto_DataFlat_Score,$F70+O$18,$B$12)</f>
        <v>100</v>
      </c>
      <c r="P70" s="161" cm="1">
        <f t="array" aca="1" ref="P70" ca="1">INDEX(auto_DataFlat_Score,$F70+P$18,$B$12)</f>
        <v>0</v>
      </c>
      <c r="Q70" s="161" cm="1">
        <f t="array" aca="1" ref="Q70" ca="1">INDEX(auto_DataFlat_Score,$F70+Q$18,$B$12)</f>
        <v>100</v>
      </c>
      <c r="R70" s="161" cm="1">
        <f t="array" aca="1" ref="R70" ca="1">INDEX(auto_DataFlat_Score,$F70+R$18,$B$12)</f>
        <v>100</v>
      </c>
      <c r="S70" s="161" cm="1">
        <f t="array" aca="1" ref="S70" ca="1">INDEX(auto_DataFlat_Score,$F70+S$18,$B$12)</f>
        <v>0</v>
      </c>
      <c r="T70" s="161" cm="1">
        <f t="array" aca="1" ref="T70" ca="1">INDEX(auto_DataFlat_Score,$F70+T$18,$B$12)</f>
        <v>0</v>
      </c>
      <c r="U70" s="161" cm="1">
        <f t="array" aca="1" ref="U70" ca="1">INDEX(auto_DataFlat_Score,$F70+U$18,$B$12)</f>
        <v>100</v>
      </c>
      <c r="V70" s="161" cm="1">
        <f t="array" aca="1" ref="V70" ca="1">INDEX(auto_DataFlat_Score,$F70+V$18,$B$12)</f>
        <v>100</v>
      </c>
      <c r="W70" s="161" cm="1">
        <f t="array" aca="1" ref="W70" ca="1">INDEX(auto_DataFlat_Score,$F70+W$18,$B$12)</f>
        <v>0</v>
      </c>
      <c r="X70" s="161" cm="1">
        <f t="array" aca="1" ref="X70" ca="1">INDEX(auto_DataFlat_Score,$F70+X$18,$B$12)</f>
        <v>0</v>
      </c>
      <c r="Y70" s="161" cm="1">
        <f t="array" aca="1" ref="Y70" ca="1">INDEX(auto_DataFlat_Score,$F70+Y$18,$B$12)</f>
        <v>100</v>
      </c>
      <c r="Z70" s="161" cm="1">
        <f t="array" aca="1" ref="Z70" ca="1">INDEX(auto_DataFlat_Score,$F70+Z$18,$B$12)</f>
        <v>0</v>
      </c>
      <c r="AA70" s="161" cm="1">
        <f t="array" aca="1" ref="AA70" ca="1">INDEX(auto_DataFlat_Score,$F70+AA$18,$B$12)</f>
        <v>100</v>
      </c>
      <c r="AB70" s="161" cm="1">
        <f t="array" aca="1" ref="AB70" ca="1">INDEX(auto_DataFlat_Score,$F70+AB$18,$B$12)</f>
        <v>100</v>
      </c>
      <c r="AC70" s="161" cm="1">
        <f t="array" aca="1" ref="AC70" ca="1">INDEX(auto_DataFlat_Score,$F70+AC$18,$B$12)</f>
        <v>0</v>
      </c>
      <c r="AD70" s="161" cm="1">
        <f t="array" aca="1" ref="AD70" ca="1">INDEX(auto_DataFlat_Score,$F70+AD$18,$B$12)</f>
        <v>0</v>
      </c>
      <c r="AE70" s="161" cm="1">
        <f t="array" aca="1" ref="AE70" ca="1">INDEX(auto_DataFlat_Score,$F70+AE$18,$B$12)</f>
        <v>0</v>
      </c>
      <c r="AF70" s="161" cm="1">
        <f t="array" aca="1" ref="AF70" ca="1">INDEX(auto_DataFlat_Score,$F70+AF$18,$B$12)</f>
        <v>0</v>
      </c>
      <c r="AG70" s="161" cm="1">
        <f t="array" aca="1" ref="AG70" ca="1">INDEX(auto_DataFlat_Score,$F70+AG$18,$B$12)</f>
        <v>100</v>
      </c>
      <c r="AH70" s="161" cm="1">
        <f t="array" aca="1" ref="AH70" ca="1">INDEX(auto_DataFlat_Score,$F70+AH$18,$B$12)</f>
        <v>0</v>
      </c>
      <c r="AI70" s="161" cm="1">
        <f t="array" aca="1" ref="AI70" ca="1">INDEX(auto_DataFlat_Score,$F70+AI$18,$B$12)</f>
        <v>0</v>
      </c>
      <c r="AJ70" s="161" cm="1">
        <f t="array" aca="1" ref="AJ70" ca="1">INDEX(auto_DataFlat_Score,$F70+AJ$18,$B$12)</f>
        <v>100</v>
      </c>
      <c r="AK70" s="161" cm="1">
        <f t="array" aca="1" ref="AK70" ca="1">INDEX(auto_DataFlat_Score,$F70+AK$18,$B$12)</f>
        <v>100</v>
      </c>
      <c r="AL70" s="161" cm="1">
        <f t="array" aca="1" ref="AL70" ca="1">INDEX(auto_DataFlat_Score,$F70+AL$18,$B$12)</f>
        <v>0</v>
      </c>
      <c r="AM70" s="161" cm="1">
        <f t="array" aca="1" ref="AM70" ca="1">INDEX(auto_DataFlat_Score,$F70+AM$18,$B$12)</f>
        <v>100</v>
      </c>
      <c r="AN70" s="161" cm="1">
        <f t="array" aca="1" ref="AN70" ca="1">INDEX(auto_DataFlat_Score,$F70+AN$18,$B$12)</f>
        <v>100</v>
      </c>
      <c r="AO70" s="161" cm="1">
        <f t="array" aca="1" ref="AO70" ca="1">INDEX(auto_DataFlat_Score,$F70+AO$18,$B$12)</f>
        <v>0</v>
      </c>
      <c r="AP70" s="161" cm="1">
        <f t="array" aca="1" ref="AP70" ca="1">INDEX(auto_DataFlat_Score,$F70+AP$18,$B$12)</f>
        <v>100</v>
      </c>
      <c r="AQ70" s="161" cm="1">
        <f t="array" aca="1" ref="AQ70" ca="1">INDEX(auto_DataFlat_Score,$F70+AQ$18,$B$12)</f>
        <v>0</v>
      </c>
      <c r="AR70" s="161" cm="1">
        <f t="array" aca="1" ref="AR70" ca="1">INDEX(auto_DataFlat_Score,$F70+AR$18,$B$12)</f>
        <v>100</v>
      </c>
      <c r="AS70" s="161" cm="1">
        <f t="array" aca="1" ref="AS70" ca="1">INDEX(auto_DataFlat_Score,$F70+AS$18,$B$12)</f>
        <v>100</v>
      </c>
      <c r="AT70" s="161" cm="1">
        <f t="array" aca="1" ref="AT70" ca="1">INDEX(auto_DataFlat_Score,$F70+AT$18,$B$12)</f>
        <v>100</v>
      </c>
      <c r="AU70" s="161" cm="1">
        <f t="array" aca="1" ref="AU70" ca="1">INDEX(auto_DataFlat_Score,$F70+AU$18,$B$12)</f>
        <v>0</v>
      </c>
      <c r="AV70" s="161" cm="1">
        <f t="array" aca="1" ref="AV70" ca="1">INDEX(auto_DataFlat_Score,$F70+AV$18,$B$12)</f>
        <v>0</v>
      </c>
      <c r="AW70" s="161" cm="1">
        <f t="array" aca="1" ref="AW70" ca="1">INDEX(auto_DataFlat_Score,$F70+AW$18,$B$12)</f>
        <v>100</v>
      </c>
      <c r="AX70" s="161" cm="1">
        <f t="array" aca="1" ref="AX70" ca="1">INDEX(auto_DataFlat_Score,$F70+AX$18,$B$12)</f>
        <v>100</v>
      </c>
      <c r="AY70" s="161" cm="1">
        <f t="array" aca="1" ref="AY70" ca="1">INDEX(auto_DataFlat_Score,$F70+AY$18,$B$12)</f>
        <v>100</v>
      </c>
      <c r="AZ70" s="161" cm="1">
        <f t="array" aca="1" ref="AZ70" ca="1">INDEX(auto_DataFlat_Score,$F70+AZ$18,$B$12)</f>
        <v>100</v>
      </c>
      <c r="BA70" s="161" cm="1">
        <f t="array" aca="1" ref="BA70" ca="1">INDEX(auto_DataFlat_Score,$F70+BA$18,$B$12)</f>
        <v>0</v>
      </c>
      <c r="BB70" s="161" cm="1">
        <f t="array" aca="1" ref="BB70" ca="1">INDEX(auto_DataFlat_Score,$F70+BB$18,$B$12)</f>
        <v>0</v>
      </c>
      <c r="BC70" s="161" cm="1">
        <f t="array" aca="1" ref="BC70" ca="1">INDEX(auto_DataFlat_Score,$F70+BC$18,$B$12)</f>
        <v>100</v>
      </c>
      <c r="BD70" s="161" cm="1">
        <f t="array" aca="1" ref="BD70" ca="1">INDEX(auto_DataFlat_Score,$F70+BD$18,$B$12)</f>
        <v>100</v>
      </c>
      <c r="BE70" s="161" cm="1">
        <f t="array" aca="1" ref="BE70" ca="1">INDEX(auto_DataFlat_Score,$F70+BE$18,$B$12)</f>
        <v>0</v>
      </c>
      <c r="BF70" s="161" cm="1">
        <f t="array" aca="1" ref="BF70" ca="1">INDEX(auto_DataFlat_Score,$F70+BF$18,$B$12)</f>
        <v>100</v>
      </c>
      <c r="BG70" s="161" cm="1">
        <f t="array" aca="1" ref="BG70" ca="1">INDEX(auto_DataFlat_Score,$F70+BG$18,$B$12)</f>
        <v>100</v>
      </c>
      <c r="BH70" s="161" cm="1">
        <f t="array" aca="1" ref="BH70" ca="1">INDEX(auto_DataFlat_Score,$F70+BH$18,$B$12)</f>
        <v>0</v>
      </c>
    </row>
    <row r="71" spans="1:60" ht="17.05" customHeight="1" x14ac:dyDescent="0.4">
      <c r="A71" t="str">
        <f t="shared" ca="1" si="2"/>
        <v/>
      </c>
      <c r="B71" s="49"/>
      <c r="C71" s="4">
        <v>52</v>
      </c>
      <c r="D71" s="49" cm="1">
        <f t="array" aca="1" ref="D71" ca="1">INDEX(OFFSET(auto_ss_score_table,0,1,500,1),C71)</f>
        <v>52</v>
      </c>
      <c r="E71" s="26" cm="1">
        <f t="array" aca="1" ref="E71" ca="1">INDEX(auto_tblSeries,$D71,$E$18)</f>
        <v>1</v>
      </c>
      <c r="F71" s="101" cm="1">
        <f t="array" aca="1" ref="F71" ca="1">INDEX(sys_DataFlat_LU_Grid,$D71,1)-1</f>
        <v>3060</v>
      </c>
      <c r="G71" s="26"/>
      <c r="H71" s="148" t="str" cm="1">
        <f t="array" aca="1" ref="H71" ca="1">INDEX(auto_Series_NameNumbered,$D71)</f>
        <v>5) GOVERNANCE</v>
      </c>
      <c r="I71" s="159">
        <f ca="1">OFFSET(iWeights!$G$18,$D71-1,0,1,1)</f>
        <v>0.29032258064516131</v>
      </c>
      <c r="J71" s="160">
        <f ca="1">IF(E71=0,"-",OFFSET(iWeights!$U$18,$D71-1,0,1,1))</f>
        <v>0.29032258064516131</v>
      </c>
      <c r="K71" s="161" cm="1">
        <f t="array" aca="1" ref="K71" ca="1">INDEX(auto_DataFlat_Score,$F71+K$18,$B$12)</f>
        <v>67.599999999999994</v>
      </c>
      <c r="L71" s="161" cm="1">
        <f t="array" aca="1" ref="L71" ca="1">INDEX(auto_DataFlat_Score,$F71+L$18,$B$12)</f>
        <v>38</v>
      </c>
      <c r="M71" s="161" cm="1">
        <f t="array" aca="1" ref="M71" ca="1">INDEX(auto_DataFlat_Score,$F71+M$18,$B$12)</f>
        <v>68.5</v>
      </c>
      <c r="N71" s="161" cm="1">
        <f t="array" aca="1" ref="N71" ca="1">INDEX(auto_DataFlat_Score,$F71+N$18,$B$12)</f>
        <v>75.900000000000006</v>
      </c>
      <c r="O71" s="161" cm="1">
        <f t="array" aca="1" ref="O71" ca="1">INDEX(auto_DataFlat_Score,$F71+O$18,$B$12)</f>
        <v>75.900000000000006</v>
      </c>
      <c r="P71" s="161" cm="1">
        <f t="array" aca="1" ref="P71" ca="1">INDEX(auto_DataFlat_Score,$F71+P$18,$B$12)</f>
        <v>74.099999999999994</v>
      </c>
      <c r="Q71" s="161" cm="1">
        <f t="array" aca="1" ref="Q71" ca="1">INDEX(auto_DataFlat_Score,$F71+Q$18,$B$12)</f>
        <v>80.599999999999994</v>
      </c>
      <c r="R71" s="161" cm="1">
        <f t="array" aca="1" ref="R71" ca="1">INDEX(auto_DataFlat_Score,$F71+R$18,$B$12)</f>
        <v>78.7</v>
      </c>
      <c r="S71" s="161" cm="1">
        <f t="array" aca="1" ref="S71" ca="1">INDEX(auto_DataFlat_Score,$F71+S$18,$B$12)</f>
        <v>66.7</v>
      </c>
      <c r="T71" s="161" cm="1">
        <f t="array" aca="1" ref="T71" ca="1">INDEX(auto_DataFlat_Score,$F71+T$18,$B$12)</f>
        <v>53.7</v>
      </c>
      <c r="U71" s="161" cm="1">
        <f t="array" aca="1" ref="U71" ca="1">INDEX(auto_DataFlat_Score,$F71+U$18,$B$12)</f>
        <v>55.6</v>
      </c>
      <c r="V71" s="161" cm="1">
        <f t="array" aca="1" ref="V71" ca="1">INDEX(auto_DataFlat_Score,$F71+V$18,$B$12)</f>
        <v>77.8</v>
      </c>
      <c r="W71" s="161" cm="1">
        <f t="array" aca="1" ref="W71" ca="1">INDEX(auto_DataFlat_Score,$F71+W$18,$B$12)</f>
        <v>46.3</v>
      </c>
      <c r="X71" s="161" cm="1">
        <f t="array" aca="1" ref="X71" ca="1">INDEX(auto_DataFlat_Score,$F71+X$18,$B$12)</f>
        <v>81.5</v>
      </c>
      <c r="Y71" s="161" cm="1">
        <f t="array" aca="1" ref="Y71" ca="1">INDEX(auto_DataFlat_Score,$F71+Y$18,$B$12)</f>
        <v>74.099999999999994</v>
      </c>
      <c r="Z71" s="161" cm="1">
        <f t="array" aca="1" ref="Z71" ca="1">INDEX(auto_DataFlat_Score,$F71+Z$18,$B$12)</f>
        <v>80.599999999999994</v>
      </c>
      <c r="AA71" s="161" cm="1">
        <f t="array" aca="1" ref="AA71" ca="1">INDEX(auto_DataFlat_Score,$F71+AA$18,$B$12)</f>
        <v>90.7</v>
      </c>
      <c r="AB71" s="161" cm="1">
        <f t="array" aca="1" ref="AB71" ca="1">INDEX(auto_DataFlat_Score,$F71+AB$18,$B$12)</f>
        <v>53.7</v>
      </c>
      <c r="AC71" s="161" cm="1">
        <f t="array" aca="1" ref="AC71" ca="1">INDEX(auto_DataFlat_Score,$F71+AC$18,$B$12)</f>
        <v>83.3</v>
      </c>
      <c r="AD71" s="161" cm="1">
        <f t="array" aca="1" ref="AD71" ca="1">INDEX(auto_DataFlat_Score,$F71+AD$18,$B$12)</f>
        <v>53.7</v>
      </c>
      <c r="AE71" s="161" cm="1">
        <f t="array" aca="1" ref="AE71" ca="1">INDEX(auto_DataFlat_Score,$F71+AE$18,$B$12)</f>
        <v>55.6</v>
      </c>
      <c r="AF71" s="161" cm="1">
        <f t="array" aca="1" ref="AF71" ca="1">INDEX(auto_DataFlat_Score,$F71+AF$18,$B$12)</f>
        <v>37</v>
      </c>
      <c r="AG71" s="161" cm="1">
        <f t="array" aca="1" ref="AG71" ca="1">INDEX(auto_DataFlat_Score,$F71+AG$18,$B$12)</f>
        <v>75.900000000000006</v>
      </c>
      <c r="AH71" s="161" cm="1">
        <f t="array" aca="1" ref="AH71" ca="1">INDEX(auto_DataFlat_Score,$F71+AH$18,$B$12)</f>
        <v>50</v>
      </c>
      <c r="AI71" s="161" cm="1">
        <f t="array" aca="1" ref="AI71" ca="1">INDEX(auto_DataFlat_Score,$F71+AI$18,$B$12)</f>
        <v>61.1</v>
      </c>
      <c r="AJ71" s="161" cm="1">
        <f t="array" aca="1" ref="AJ71" ca="1">INDEX(auto_DataFlat_Score,$F71+AJ$18,$B$12)</f>
        <v>96.3</v>
      </c>
      <c r="AK71" s="161" cm="1">
        <f t="array" aca="1" ref="AK71" ca="1">INDEX(auto_DataFlat_Score,$F71+AK$18,$B$12)</f>
        <v>81.5</v>
      </c>
      <c r="AL71" s="161" cm="1">
        <f t="array" aca="1" ref="AL71" ca="1">INDEX(auto_DataFlat_Score,$F71+AL$18,$B$12)</f>
        <v>50.9</v>
      </c>
      <c r="AM71" s="161" cm="1">
        <f t="array" aca="1" ref="AM71" ca="1">INDEX(auto_DataFlat_Score,$F71+AM$18,$B$12)</f>
        <v>73.099999999999994</v>
      </c>
      <c r="AN71" s="161" cm="1">
        <f t="array" aca="1" ref="AN71" ca="1">INDEX(auto_DataFlat_Score,$F71+AN$18,$B$12)</f>
        <v>63.9</v>
      </c>
      <c r="AO71" s="161" cm="1">
        <f t="array" aca="1" ref="AO71" ca="1">INDEX(auto_DataFlat_Score,$F71+AO$18,$B$12)</f>
        <v>74.099999999999994</v>
      </c>
      <c r="AP71" s="161" cm="1">
        <f t="array" aca="1" ref="AP71" ca="1">INDEX(auto_DataFlat_Score,$F71+AP$18,$B$12)</f>
        <v>79.599999999999994</v>
      </c>
      <c r="AQ71" s="161" cm="1">
        <f t="array" aca="1" ref="AQ71" ca="1">INDEX(auto_DataFlat_Score,$F71+AQ$18,$B$12)</f>
        <v>79.599999999999994</v>
      </c>
      <c r="AR71" s="161" cm="1">
        <f t="array" aca="1" ref="AR71" ca="1">INDEX(auto_DataFlat_Score,$F71+AR$18,$B$12)</f>
        <v>87</v>
      </c>
      <c r="AS71" s="161" cm="1">
        <f t="array" aca="1" ref="AS71" ca="1">INDEX(auto_DataFlat_Score,$F71+AS$18,$B$12)</f>
        <v>68.5</v>
      </c>
      <c r="AT71" s="161" cm="1">
        <f t="array" aca="1" ref="AT71" ca="1">INDEX(auto_DataFlat_Score,$F71+AT$18,$B$12)</f>
        <v>69.400000000000006</v>
      </c>
      <c r="AU71" s="161" cm="1">
        <f t="array" aca="1" ref="AU71" ca="1">INDEX(auto_DataFlat_Score,$F71+AU$18,$B$12)</f>
        <v>50.9</v>
      </c>
      <c r="AV71" s="161" cm="1">
        <f t="array" aca="1" ref="AV71" ca="1">INDEX(auto_DataFlat_Score,$F71+AV$18,$B$12)</f>
        <v>56.5</v>
      </c>
      <c r="AW71" s="161" cm="1">
        <f t="array" aca="1" ref="AW71" ca="1">INDEX(auto_DataFlat_Score,$F71+AW$18,$B$12)</f>
        <v>66.7</v>
      </c>
      <c r="AX71" s="161" cm="1">
        <f t="array" aca="1" ref="AX71" ca="1">INDEX(auto_DataFlat_Score,$F71+AX$18,$B$12)</f>
        <v>79.599999999999994</v>
      </c>
      <c r="AY71" s="161" cm="1">
        <f t="array" aca="1" ref="AY71" ca="1">INDEX(auto_DataFlat_Score,$F71+AY$18,$B$12)</f>
        <v>72.2</v>
      </c>
      <c r="AZ71" s="161" cm="1">
        <f t="array" aca="1" ref="AZ71" ca="1">INDEX(auto_DataFlat_Score,$F71+AZ$18,$B$12)</f>
        <v>75.900000000000006</v>
      </c>
      <c r="BA71" s="161" cm="1">
        <f t="array" aca="1" ref="BA71" ca="1">INDEX(auto_DataFlat_Score,$F71+BA$18,$B$12)</f>
        <v>77.8</v>
      </c>
      <c r="BB71" s="161" cm="1">
        <f t="array" aca="1" ref="BB71" ca="1">INDEX(auto_DataFlat_Score,$F71+BB$18,$B$12)</f>
        <v>75.900000000000006</v>
      </c>
      <c r="BC71" s="161" cm="1">
        <f t="array" aca="1" ref="BC71" ca="1">INDEX(auto_DataFlat_Score,$F71+BC$18,$B$12)</f>
        <v>69.400000000000006</v>
      </c>
      <c r="BD71" s="161" cm="1">
        <f t="array" aca="1" ref="BD71" ca="1">INDEX(auto_DataFlat_Score,$F71+BD$18,$B$12)</f>
        <v>74.099999999999994</v>
      </c>
      <c r="BE71" s="161" cm="1">
        <f t="array" aca="1" ref="BE71" ca="1">INDEX(auto_DataFlat_Score,$F71+BE$18,$B$12)</f>
        <v>85.2</v>
      </c>
      <c r="BF71" s="161" cm="1">
        <f t="array" aca="1" ref="BF71" ca="1">INDEX(auto_DataFlat_Score,$F71+BF$18,$B$12)</f>
        <v>70.400000000000006</v>
      </c>
      <c r="BG71" s="161" cm="1">
        <f t="array" aca="1" ref="BG71" ca="1">INDEX(auto_DataFlat_Score,$F71+BG$18,$B$12)</f>
        <v>68.5</v>
      </c>
      <c r="BH71" s="161" cm="1">
        <f t="array" aca="1" ref="BH71" ca="1">INDEX(auto_DataFlat_Score,$F71+BH$18,$B$12)</f>
        <v>40.700000000000003</v>
      </c>
    </row>
    <row r="72" spans="1:60" ht="17.05" customHeight="1" x14ac:dyDescent="0.4">
      <c r="A72" t="str">
        <f t="shared" ca="1" si="2"/>
        <v/>
      </c>
      <c r="B72" s="49"/>
      <c r="C72" s="4">
        <v>53</v>
      </c>
      <c r="D72" s="49" cm="1">
        <f t="array" aca="1" ref="D72" ca="1">INDEX(OFFSET(auto_ss_score_table,0,1,500,1),C72)</f>
        <v>53</v>
      </c>
      <c r="E72" s="26" cm="1">
        <f t="array" aca="1" ref="E72" ca="1">INDEX(auto_tblSeries,$D72,$E$18)</f>
        <v>2</v>
      </c>
      <c r="F72" s="101" cm="1">
        <f t="array" aca="1" ref="F72" ca="1">INDEX(sys_DataFlat_LU_Grid,$D72,1)-1</f>
        <v>3120</v>
      </c>
      <c r="G72" s="26"/>
      <c r="H72" s="148" t="str" cm="1">
        <f t="array" aca="1" ref="H72" ca="1">INDEX(auto_Series_NameNumbered,$D72)</f>
        <v>5.1) Regulatory power</v>
      </c>
      <c r="I72" s="159">
        <f ca="1">IF(D72=1,"-",OFFSET(iWeights!$G$18,$D72-1,0,1,1))</f>
        <v>0.1111111111111111</v>
      </c>
      <c r="J72" s="160">
        <f ca="1">IF(E72=0,"-",OFFSET(iWeights!$U$18,$D72-1,0,1,1))</f>
        <v>3.2258064516129031E-2</v>
      </c>
      <c r="K72" s="161" cm="1">
        <f t="array" aca="1" ref="K72" ca="1">INDEX(auto_DataFlat_Score,$F72+K$18,$B$12)</f>
        <v>100</v>
      </c>
      <c r="L72" s="161" cm="1">
        <f t="array" aca="1" ref="L72" ca="1">INDEX(auto_DataFlat_Score,$F72+L$18,$B$12)</f>
        <v>0</v>
      </c>
      <c r="M72" s="161" cm="1">
        <f t="array" aca="1" ref="M72" ca="1">INDEX(auto_DataFlat_Score,$F72+M$18,$B$12)</f>
        <v>100</v>
      </c>
      <c r="N72" s="161" cm="1">
        <f t="array" aca="1" ref="N72" ca="1">INDEX(auto_DataFlat_Score,$F72+N$18,$B$12)</f>
        <v>0</v>
      </c>
      <c r="O72" s="161" cm="1">
        <f t="array" aca="1" ref="O72" ca="1">INDEX(auto_DataFlat_Score,$F72+O$18,$B$12)</f>
        <v>0</v>
      </c>
      <c r="P72" s="161" cm="1">
        <f t="array" aca="1" ref="P72" ca="1">INDEX(auto_DataFlat_Score,$F72+P$18,$B$12)</f>
        <v>100</v>
      </c>
      <c r="Q72" s="161" cm="1">
        <f t="array" aca="1" ref="Q72" ca="1">INDEX(auto_DataFlat_Score,$F72+Q$18,$B$12)</f>
        <v>100</v>
      </c>
      <c r="R72" s="161" cm="1">
        <f t="array" aca="1" ref="R72" ca="1">INDEX(auto_DataFlat_Score,$F72+R$18,$B$12)</f>
        <v>100</v>
      </c>
      <c r="S72" s="161" cm="1">
        <f t="array" aca="1" ref="S72" ca="1">INDEX(auto_DataFlat_Score,$F72+S$18,$B$12)</f>
        <v>0</v>
      </c>
      <c r="T72" s="161" cm="1">
        <f t="array" aca="1" ref="T72" ca="1">INDEX(auto_DataFlat_Score,$F72+T$18,$B$12)</f>
        <v>0</v>
      </c>
      <c r="U72" s="161" cm="1">
        <f t="array" aca="1" ref="U72" ca="1">INDEX(auto_DataFlat_Score,$F72+U$18,$B$12)</f>
        <v>0</v>
      </c>
      <c r="V72" s="161" cm="1">
        <f t="array" aca="1" ref="V72" ca="1">INDEX(auto_DataFlat_Score,$F72+V$18,$B$12)</f>
        <v>0</v>
      </c>
      <c r="W72" s="161" cm="1">
        <f t="array" aca="1" ref="W72" ca="1">INDEX(auto_DataFlat_Score,$F72+W$18,$B$12)</f>
        <v>0</v>
      </c>
      <c r="X72" s="161" cm="1">
        <f t="array" aca="1" ref="X72" ca="1">INDEX(auto_DataFlat_Score,$F72+X$18,$B$12)</f>
        <v>100</v>
      </c>
      <c r="Y72" s="161" cm="1">
        <f t="array" aca="1" ref="Y72" ca="1">INDEX(auto_DataFlat_Score,$F72+Y$18,$B$12)</f>
        <v>0</v>
      </c>
      <c r="Z72" s="161" cm="1">
        <f t="array" aca="1" ref="Z72" ca="1">INDEX(auto_DataFlat_Score,$F72+Z$18,$B$12)</f>
        <v>100</v>
      </c>
      <c r="AA72" s="161" cm="1">
        <f t="array" aca="1" ref="AA72" ca="1">INDEX(auto_DataFlat_Score,$F72+AA$18,$B$12)</f>
        <v>100</v>
      </c>
      <c r="AB72" s="161" cm="1">
        <f t="array" aca="1" ref="AB72" ca="1">INDEX(auto_DataFlat_Score,$F72+AB$18,$B$12)</f>
        <v>0</v>
      </c>
      <c r="AC72" s="161" cm="1">
        <f t="array" aca="1" ref="AC72" ca="1">INDEX(auto_DataFlat_Score,$F72+AC$18,$B$12)</f>
        <v>100</v>
      </c>
      <c r="AD72" s="161" cm="1">
        <f t="array" aca="1" ref="AD72" ca="1">INDEX(auto_DataFlat_Score,$F72+AD$18,$B$12)</f>
        <v>0</v>
      </c>
      <c r="AE72" s="161" cm="1">
        <f t="array" aca="1" ref="AE72" ca="1">INDEX(auto_DataFlat_Score,$F72+AE$18,$B$12)</f>
        <v>0</v>
      </c>
      <c r="AF72" s="161" cm="1">
        <f t="array" aca="1" ref="AF72" ca="1">INDEX(auto_DataFlat_Score,$F72+AF$18,$B$12)</f>
        <v>100</v>
      </c>
      <c r="AG72" s="161" cm="1">
        <f t="array" aca="1" ref="AG72" ca="1">INDEX(auto_DataFlat_Score,$F72+AG$18,$B$12)</f>
        <v>0</v>
      </c>
      <c r="AH72" s="161" cm="1">
        <f t="array" aca="1" ref="AH72" ca="1">INDEX(auto_DataFlat_Score,$F72+AH$18,$B$12)</f>
        <v>0</v>
      </c>
      <c r="AI72" s="161" cm="1">
        <f t="array" aca="1" ref="AI72" ca="1">INDEX(auto_DataFlat_Score,$F72+AI$18,$B$12)</f>
        <v>100</v>
      </c>
      <c r="AJ72" s="161" cm="1">
        <f t="array" aca="1" ref="AJ72" ca="1">INDEX(auto_DataFlat_Score,$F72+AJ$18,$B$12)</f>
        <v>100</v>
      </c>
      <c r="AK72" s="161" cm="1">
        <f t="array" aca="1" ref="AK72" ca="1">INDEX(auto_DataFlat_Score,$F72+AK$18,$B$12)</f>
        <v>100</v>
      </c>
      <c r="AL72" s="161" cm="1">
        <f t="array" aca="1" ref="AL72" ca="1">INDEX(auto_DataFlat_Score,$F72+AL$18,$B$12)</f>
        <v>100</v>
      </c>
      <c r="AM72" s="161" cm="1">
        <f t="array" aca="1" ref="AM72" ca="1">INDEX(auto_DataFlat_Score,$F72+AM$18,$B$12)</f>
        <v>0</v>
      </c>
      <c r="AN72" s="161" cm="1">
        <f t="array" aca="1" ref="AN72" ca="1">INDEX(auto_DataFlat_Score,$F72+AN$18,$B$12)</f>
        <v>0</v>
      </c>
      <c r="AO72" s="161" cm="1">
        <f t="array" aca="1" ref="AO72" ca="1">INDEX(auto_DataFlat_Score,$F72+AO$18,$B$12)</f>
        <v>100</v>
      </c>
      <c r="AP72" s="161" cm="1">
        <f t="array" aca="1" ref="AP72" ca="1">INDEX(auto_DataFlat_Score,$F72+AP$18,$B$12)</f>
        <v>0</v>
      </c>
      <c r="AQ72" s="161" cm="1">
        <f t="array" aca="1" ref="AQ72" ca="1">INDEX(auto_DataFlat_Score,$F72+AQ$18,$B$12)</f>
        <v>100</v>
      </c>
      <c r="AR72" s="161" cm="1">
        <f t="array" aca="1" ref="AR72" ca="1">INDEX(auto_DataFlat_Score,$F72+AR$18,$B$12)</f>
        <v>100</v>
      </c>
      <c r="AS72" s="161" cm="1">
        <f t="array" aca="1" ref="AS72" ca="1">INDEX(auto_DataFlat_Score,$F72+AS$18,$B$12)</f>
        <v>100</v>
      </c>
      <c r="AT72" s="161" cm="1">
        <f t="array" aca="1" ref="AT72" ca="1">INDEX(auto_DataFlat_Score,$F72+AT$18,$B$12)</f>
        <v>100</v>
      </c>
      <c r="AU72" s="161" cm="1">
        <f t="array" aca="1" ref="AU72" ca="1">INDEX(auto_DataFlat_Score,$F72+AU$18,$B$12)</f>
        <v>0</v>
      </c>
      <c r="AV72" s="161" cm="1">
        <f t="array" aca="1" ref="AV72" ca="1">INDEX(auto_DataFlat_Score,$F72+AV$18,$B$12)</f>
        <v>0</v>
      </c>
      <c r="AW72" s="161" cm="1">
        <f t="array" aca="1" ref="AW72" ca="1">INDEX(auto_DataFlat_Score,$F72+AW$18,$B$12)</f>
        <v>100</v>
      </c>
      <c r="AX72" s="161" cm="1">
        <f t="array" aca="1" ref="AX72" ca="1">INDEX(auto_DataFlat_Score,$F72+AX$18,$B$12)</f>
        <v>100</v>
      </c>
      <c r="AY72" s="161" cm="1">
        <f t="array" aca="1" ref="AY72" ca="1">INDEX(auto_DataFlat_Score,$F72+AY$18,$B$12)</f>
        <v>0</v>
      </c>
      <c r="AZ72" s="161" cm="1">
        <f t="array" aca="1" ref="AZ72" ca="1">INDEX(auto_DataFlat_Score,$F72+AZ$18,$B$12)</f>
        <v>100</v>
      </c>
      <c r="BA72" s="161" cm="1">
        <f t="array" aca="1" ref="BA72" ca="1">INDEX(auto_DataFlat_Score,$F72+BA$18,$B$12)</f>
        <v>100</v>
      </c>
      <c r="BB72" s="161" cm="1">
        <f t="array" aca="1" ref="BB72" ca="1">INDEX(auto_DataFlat_Score,$F72+BB$18,$B$12)</f>
        <v>0</v>
      </c>
      <c r="BC72" s="161" cm="1">
        <f t="array" aca="1" ref="BC72" ca="1">INDEX(auto_DataFlat_Score,$F72+BC$18,$B$12)</f>
        <v>0</v>
      </c>
      <c r="BD72" s="161" cm="1">
        <f t="array" aca="1" ref="BD72" ca="1">INDEX(auto_DataFlat_Score,$F72+BD$18,$B$12)</f>
        <v>100</v>
      </c>
      <c r="BE72" s="161" cm="1">
        <f t="array" aca="1" ref="BE72" ca="1">INDEX(auto_DataFlat_Score,$F72+BE$18,$B$12)</f>
        <v>100</v>
      </c>
      <c r="BF72" s="161" cm="1">
        <f t="array" aca="1" ref="BF72" ca="1">INDEX(auto_DataFlat_Score,$F72+BF$18,$B$12)</f>
        <v>100</v>
      </c>
      <c r="BG72" s="161" cm="1">
        <f t="array" aca="1" ref="BG72" ca="1">INDEX(auto_DataFlat_Score,$F72+BG$18,$B$12)</f>
        <v>0</v>
      </c>
      <c r="BH72" s="161" cm="1">
        <f t="array" aca="1" ref="BH72" ca="1">INDEX(auto_DataFlat_Score,$F72+BH$18,$B$12)</f>
        <v>0</v>
      </c>
    </row>
    <row r="73" spans="1:60" ht="17.05" customHeight="1" x14ac:dyDescent="0.4">
      <c r="A73" t="str">
        <f t="shared" ca="1" si="2"/>
        <v/>
      </c>
      <c r="B73" s="49"/>
      <c r="C73" s="4">
        <v>54</v>
      </c>
      <c r="D73" s="49" cm="1">
        <f t="array" aca="1" ref="D73" ca="1">INDEX(OFFSET(auto_ss_score_table,0,1,500,1),C73)</f>
        <v>54</v>
      </c>
      <c r="E73" s="26" cm="1">
        <f t="array" aca="1" ref="E73" ca="1">INDEX(auto_tblSeries,$D73,$E$18)</f>
        <v>2</v>
      </c>
      <c r="F73" s="101" cm="1">
        <f t="array" aca="1" ref="F73" ca="1">INDEX(sys_DataFlat_LU_Grid,$D73,1)-1</f>
        <v>3180</v>
      </c>
      <c r="G73" s="26"/>
      <c r="H73" s="148" t="str" cm="1">
        <f t="array" aca="1" ref="H73" ca="1">INDEX(auto_Series_NameNumbered,$D73)</f>
        <v>5.2) Political will</v>
      </c>
      <c r="I73" s="159">
        <f ca="1">OFFSET(iWeights!$G$18,$D73-1,0,1,1)</f>
        <v>0.1111111111111111</v>
      </c>
      <c r="J73" s="160">
        <f ca="1">IF(E73=0,"-",OFFSET(iWeights!$U$18,$D73-1,0,1,1))</f>
        <v>3.2258064516129031E-2</v>
      </c>
      <c r="K73" s="161" cm="1">
        <f t="array" aca="1" ref="K73" ca="1">INDEX(auto_DataFlat_Score,$F73+K$18,$B$12)</f>
        <v>100</v>
      </c>
      <c r="L73" s="161" cm="1">
        <f t="array" aca="1" ref="L73" ca="1">INDEX(auto_DataFlat_Score,$F73+L$18,$B$12)</f>
        <v>33.299999999999997</v>
      </c>
      <c r="M73" s="161" cm="1">
        <f t="array" aca="1" ref="M73" ca="1">INDEX(auto_DataFlat_Score,$F73+M$18,$B$12)</f>
        <v>100</v>
      </c>
      <c r="N73" s="161" cm="1">
        <f t="array" aca="1" ref="N73" ca="1">INDEX(auto_DataFlat_Score,$F73+N$18,$B$12)</f>
        <v>100</v>
      </c>
      <c r="O73" s="161" cm="1">
        <f t="array" aca="1" ref="O73" ca="1">INDEX(auto_DataFlat_Score,$F73+O$18,$B$12)</f>
        <v>100</v>
      </c>
      <c r="P73" s="161" cm="1">
        <f t="array" aca="1" ref="P73" ca="1">INDEX(auto_DataFlat_Score,$F73+P$18,$B$12)</f>
        <v>66.7</v>
      </c>
      <c r="Q73" s="161" cm="1">
        <f t="array" aca="1" ref="Q73" ca="1">INDEX(auto_DataFlat_Score,$F73+Q$18,$B$12)</f>
        <v>100</v>
      </c>
      <c r="R73" s="161" cm="1">
        <f t="array" aca="1" ref="R73" ca="1">INDEX(auto_DataFlat_Score,$F73+R$18,$B$12)</f>
        <v>100</v>
      </c>
      <c r="S73" s="161" cm="1">
        <f t="array" aca="1" ref="S73" ca="1">INDEX(auto_DataFlat_Score,$F73+S$18,$B$12)</f>
        <v>100</v>
      </c>
      <c r="T73" s="161" cm="1">
        <f t="array" aca="1" ref="T73" ca="1">INDEX(auto_DataFlat_Score,$F73+T$18,$B$12)</f>
        <v>100</v>
      </c>
      <c r="U73" s="161" cm="1">
        <f t="array" aca="1" ref="U73" ca="1">INDEX(auto_DataFlat_Score,$F73+U$18,$B$12)</f>
        <v>66.7</v>
      </c>
      <c r="V73" s="161" cm="1">
        <f t="array" aca="1" ref="V73" ca="1">INDEX(auto_DataFlat_Score,$F73+V$18,$B$12)</f>
        <v>66.7</v>
      </c>
      <c r="W73" s="161" cm="1">
        <f t="array" aca="1" ref="W73" ca="1">INDEX(auto_DataFlat_Score,$F73+W$18,$B$12)</f>
        <v>66.7</v>
      </c>
      <c r="X73" s="161" cm="1">
        <f t="array" aca="1" ref="X73" ca="1">INDEX(auto_DataFlat_Score,$F73+X$18,$B$12)</f>
        <v>100</v>
      </c>
      <c r="Y73" s="161" cm="1">
        <f t="array" aca="1" ref="Y73" ca="1">INDEX(auto_DataFlat_Score,$F73+Y$18,$B$12)</f>
        <v>100</v>
      </c>
      <c r="Z73" s="161" cm="1">
        <f t="array" aca="1" ref="Z73" ca="1">INDEX(auto_DataFlat_Score,$F73+Z$18,$B$12)</f>
        <v>100</v>
      </c>
      <c r="AA73" s="161" cm="1">
        <f t="array" aca="1" ref="AA73" ca="1">INDEX(auto_DataFlat_Score,$F73+AA$18,$B$12)</f>
        <v>100</v>
      </c>
      <c r="AB73" s="161" cm="1">
        <f t="array" aca="1" ref="AB73" ca="1">INDEX(auto_DataFlat_Score,$F73+AB$18,$B$12)</f>
        <v>66.7</v>
      </c>
      <c r="AC73" s="161" cm="1">
        <f t="array" aca="1" ref="AC73" ca="1">INDEX(auto_DataFlat_Score,$F73+AC$18,$B$12)</f>
        <v>100</v>
      </c>
      <c r="AD73" s="161" cm="1">
        <f t="array" aca="1" ref="AD73" ca="1">INDEX(auto_DataFlat_Score,$F73+AD$18,$B$12)</f>
        <v>100</v>
      </c>
      <c r="AE73" s="161" cm="1">
        <f t="array" aca="1" ref="AE73" ca="1">INDEX(auto_DataFlat_Score,$F73+AE$18,$B$12)</f>
        <v>66.7</v>
      </c>
      <c r="AF73" s="161" cm="1">
        <f t="array" aca="1" ref="AF73" ca="1">INDEX(auto_DataFlat_Score,$F73+AF$18,$B$12)</f>
        <v>100</v>
      </c>
      <c r="AG73" s="161" cm="1">
        <f t="array" aca="1" ref="AG73" ca="1">INDEX(auto_DataFlat_Score,$F73+AG$18,$B$12)</f>
        <v>100</v>
      </c>
      <c r="AH73" s="161" cm="1">
        <f t="array" aca="1" ref="AH73" ca="1">INDEX(auto_DataFlat_Score,$F73+AH$18,$B$12)</f>
        <v>66.7</v>
      </c>
      <c r="AI73" s="161" cm="1">
        <f t="array" aca="1" ref="AI73" ca="1">INDEX(auto_DataFlat_Score,$F73+AI$18,$B$12)</f>
        <v>100</v>
      </c>
      <c r="AJ73" s="161" cm="1">
        <f t="array" aca="1" ref="AJ73" ca="1">INDEX(auto_DataFlat_Score,$F73+AJ$18,$B$12)</f>
        <v>100</v>
      </c>
      <c r="AK73" s="161" cm="1">
        <f t="array" aca="1" ref="AK73" ca="1">INDEX(auto_DataFlat_Score,$F73+AK$18,$B$12)</f>
        <v>100</v>
      </c>
      <c r="AL73" s="161" cm="1">
        <f t="array" aca="1" ref="AL73" ca="1">INDEX(auto_DataFlat_Score,$F73+AL$18,$B$12)</f>
        <v>66.7</v>
      </c>
      <c r="AM73" s="161" cm="1">
        <f t="array" aca="1" ref="AM73" ca="1">INDEX(auto_DataFlat_Score,$F73+AM$18,$B$12)</f>
        <v>100</v>
      </c>
      <c r="AN73" s="161" cm="1">
        <f t="array" aca="1" ref="AN73" ca="1">INDEX(auto_DataFlat_Score,$F73+AN$18,$B$12)</f>
        <v>100</v>
      </c>
      <c r="AO73" s="161" cm="1">
        <f t="array" aca="1" ref="AO73" ca="1">INDEX(auto_DataFlat_Score,$F73+AO$18,$B$12)</f>
        <v>66.7</v>
      </c>
      <c r="AP73" s="161" cm="1">
        <f t="array" aca="1" ref="AP73" ca="1">INDEX(auto_DataFlat_Score,$F73+AP$18,$B$12)</f>
        <v>66.7</v>
      </c>
      <c r="AQ73" s="161" cm="1">
        <f t="array" aca="1" ref="AQ73" ca="1">INDEX(auto_DataFlat_Score,$F73+AQ$18,$B$12)</f>
        <v>100</v>
      </c>
      <c r="AR73" s="161" cm="1">
        <f t="array" aca="1" ref="AR73" ca="1">INDEX(auto_DataFlat_Score,$F73+AR$18,$B$12)</f>
        <v>100</v>
      </c>
      <c r="AS73" s="161" cm="1">
        <f t="array" aca="1" ref="AS73" ca="1">INDEX(auto_DataFlat_Score,$F73+AS$18,$B$12)</f>
        <v>100</v>
      </c>
      <c r="AT73" s="161" cm="1">
        <f t="array" aca="1" ref="AT73" ca="1">INDEX(auto_DataFlat_Score,$F73+AT$18,$B$12)</f>
        <v>100</v>
      </c>
      <c r="AU73" s="161" cm="1">
        <f t="array" aca="1" ref="AU73" ca="1">INDEX(auto_DataFlat_Score,$F73+AU$18,$B$12)</f>
        <v>100</v>
      </c>
      <c r="AV73" s="161" cm="1">
        <f t="array" aca="1" ref="AV73" ca="1">INDEX(auto_DataFlat_Score,$F73+AV$18,$B$12)</f>
        <v>33.299999999999997</v>
      </c>
      <c r="AW73" s="161" cm="1">
        <f t="array" aca="1" ref="AW73" ca="1">INDEX(auto_DataFlat_Score,$F73+AW$18,$B$12)</f>
        <v>66.7</v>
      </c>
      <c r="AX73" s="161" cm="1">
        <f t="array" aca="1" ref="AX73" ca="1">INDEX(auto_DataFlat_Score,$F73+AX$18,$B$12)</f>
        <v>100</v>
      </c>
      <c r="AY73" s="161" cm="1">
        <f t="array" aca="1" ref="AY73" ca="1">INDEX(auto_DataFlat_Score,$F73+AY$18,$B$12)</f>
        <v>100</v>
      </c>
      <c r="AZ73" s="161" cm="1">
        <f t="array" aca="1" ref="AZ73" ca="1">INDEX(auto_DataFlat_Score,$F73+AZ$18,$B$12)</f>
        <v>100</v>
      </c>
      <c r="BA73" s="161" cm="1">
        <f t="array" aca="1" ref="BA73" ca="1">INDEX(auto_DataFlat_Score,$F73+BA$18,$B$12)</f>
        <v>100</v>
      </c>
      <c r="BB73" s="161" cm="1">
        <f t="array" aca="1" ref="BB73" ca="1">INDEX(auto_DataFlat_Score,$F73+BB$18,$B$12)</f>
        <v>100</v>
      </c>
      <c r="BC73" s="161" cm="1">
        <f t="array" aca="1" ref="BC73" ca="1">INDEX(auto_DataFlat_Score,$F73+BC$18,$B$12)</f>
        <v>66.7</v>
      </c>
      <c r="BD73" s="161" cm="1">
        <f t="array" aca="1" ref="BD73" ca="1">INDEX(auto_DataFlat_Score,$F73+BD$18,$B$12)</f>
        <v>100</v>
      </c>
      <c r="BE73" s="161" cm="1">
        <f t="array" aca="1" ref="BE73" ca="1">INDEX(auto_DataFlat_Score,$F73+BE$18,$B$12)</f>
        <v>100</v>
      </c>
      <c r="BF73" s="161" cm="1">
        <f t="array" aca="1" ref="BF73" ca="1">INDEX(auto_DataFlat_Score,$F73+BF$18,$B$12)</f>
        <v>100</v>
      </c>
      <c r="BG73" s="161" cm="1">
        <f t="array" aca="1" ref="BG73" ca="1">INDEX(auto_DataFlat_Score,$F73+BG$18,$B$12)</f>
        <v>100</v>
      </c>
      <c r="BH73" s="161" cm="1">
        <f t="array" aca="1" ref="BH73" ca="1">INDEX(auto_DataFlat_Score,$F73+BH$18,$B$12)</f>
        <v>66.7</v>
      </c>
    </row>
    <row r="74" spans="1:60" ht="17.05" customHeight="1" x14ac:dyDescent="0.4">
      <c r="A74" t="str">
        <f t="shared" ca="1" si="2"/>
        <v/>
      </c>
      <c r="B74" s="49"/>
      <c r="C74" s="4">
        <v>55</v>
      </c>
      <c r="D74" s="49" cm="1">
        <f t="array" aca="1" ref="D74" ca="1">INDEX(OFFSET(auto_ss_score_table,0,1,500,1),C74)</f>
        <v>55</v>
      </c>
      <c r="E74" s="26" cm="1">
        <f t="array" aca="1" ref="E74" ca="1">INDEX(auto_tblSeries,$D74,$E$18)</f>
        <v>2</v>
      </c>
      <c r="F74" s="101" cm="1">
        <f t="array" aca="1" ref="F74" ca="1">INDEX(sys_DataFlat_LU_Grid,$D74,1)-1</f>
        <v>3240</v>
      </c>
      <c r="G74" s="26"/>
      <c r="H74" s="148" t="str" cm="1">
        <f t="array" aca="1" ref="H74" ca="1">INDEX(auto_Series_NameNumbered,$D74)</f>
        <v>5.3) Urban health plan</v>
      </c>
      <c r="I74" s="159">
        <f ca="1">IF(D74=1,"-",OFFSET(iWeights!$G$18,$D74-1,0,1,1))</f>
        <v>0.1111111111111111</v>
      </c>
      <c r="J74" s="160">
        <f ca="1">IF(E74=0,"-",OFFSET(iWeights!$U$18,$D74-1,0,1,1))</f>
        <v>3.2258064516129031E-2</v>
      </c>
      <c r="K74" s="161" cm="1">
        <f t="array" aca="1" ref="K74" ca="1">INDEX(auto_DataFlat_Score,$F74+K$18,$B$12)</f>
        <v>66.7</v>
      </c>
      <c r="L74" s="161" cm="1">
        <f t="array" aca="1" ref="L74" ca="1">INDEX(auto_DataFlat_Score,$F74+L$18,$B$12)</f>
        <v>16.7</v>
      </c>
      <c r="M74" s="161" cm="1">
        <f t="array" aca="1" ref="M74" ca="1">INDEX(auto_DataFlat_Score,$F74+M$18,$B$12)</f>
        <v>0</v>
      </c>
      <c r="N74" s="161" cm="1">
        <f t="array" aca="1" ref="N74" ca="1">INDEX(auto_DataFlat_Score,$F74+N$18,$B$12)</f>
        <v>66.7</v>
      </c>
      <c r="O74" s="161" cm="1">
        <f t="array" aca="1" ref="O74" ca="1">INDEX(auto_DataFlat_Score,$F74+O$18,$B$12)</f>
        <v>83.3</v>
      </c>
      <c r="P74" s="161" cm="1">
        <f t="array" aca="1" ref="P74" ca="1">INDEX(auto_DataFlat_Score,$F74+P$18,$B$12)</f>
        <v>83.3</v>
      </c>
      <c r="Q74" s="161" cm="1">
        <f t="array" aca="1" ref="Q74" ca="1">INDEX(auto_DataFlat_Score,$F74+Q$18,$B$12)</f>
        <v>100</v>
      </c>
      <c r="R74" s="161" cm="1">
        <f t="array" aca="1" ref="R74" ca="1">INDEX(auto_DataFlat_Score,$F74+R$18,$B$12)</f>
        <v>83.3</v>
      </c>
      <c r="S74" s="161" cm="1">
        <f t="array" aca="1" ref="S74" ca="1">INDEX(auto_DataFlat_Score,$F74+S$18,$B$12)</f>
        <v>0</v>
      </c>
      <c r="T74" s="161" cm="1">
        <f t="array" aca="1" ref="T74" ca="1">INDEX(auto_DataFlat_Score,$F74+T$18,$B$12)</f>
        <v>16.7</v>
      </c>
      <c r="U74" s="161" cm="1">
        <f t="array" aca="1" ref="U74" ca="1">INDEX(auto_DataFlat_Score,$F74+U$18,$B$12)</f>
        <v>16.7</v>
      </c>
      <c r="V74" s="161" cm="1">
        <f t="array" aca="1" ref="V74" ca="1">INDEX(auto_DataFlat_Score,$F74+V$18,$B$12)</f>
        <v>83.3</v>
      </c>
      <c r="W74" s="161" cm="1">
        <f t="array" aca="1" ref="W74" ca="1">INDEX(auto_DataFlat_Score,$F74+W$18,$B$12)</f>
        <v>33.299999999999997</v>
      </c>
      <c r="X74" s="161" cm="1">
        <f t="array" aca="1" ref="X74" ca="1">INDEX(auto_DataFlat_Score,$F74+X$18,$B$12)</f>
        <v>83.3</v>
      </c>
      <c r="Y74" s="161" cm="1">
        <f t="array" aca="1" ref="Y74" ca="1">INDEX(auto_DataFlat_Score,$F74+Y$18,$B$12)</f>
        <v>66.7</v>
      </c>
      <c r="Z74" s="161" cm="1">
        <f t="array" aca="1" ref="Z74" ca="1">INDEX(auto_DataFlat_Score,$F74+Z$18,$B$12)</f>
        <v>100</v>
      </c>
      <c r="AA74" s="161" cm="1">
        <f t="array" aca="1" ref="AA74" ca="1">INDEX(auto_DataFlat_Score,$F74+AA$18,$B$12)</f>
        <v>100</v>
      </c>
      <c r="AB74" s="161" cm="1">
        <f t="array" aca="1" ref="AB74" ca="1">INDEX(auto_DataFlat_Score,$F74+AB$18,$B$12)</f>
        <v>16.7</v>
      </c>
      <c r="AC74" s="161" cm="1">
        <f t="array" aca="1" ref="AC74" ca="1">INDEX(auto_DataFlat_Score,$F74+AC$18,$B$12)</f>
        <v>100</v>
      </c>
      <c r="AD74" s="161" cm="1">
        <f t="array" aca="1" ref="AD74" ca="1">INDEX(auto_DataFlat_Score,$F74+AD$18,$B$12)</f>
        <v>16.7</v>
      </c>
      <c r="AE74" s="161" cm="1">
        <f t="array" aca="1" ref="AE74" ca="1">INDEX(auto_DataFlat_Score,$F74+AE$18,$B$12)</f>
        <v>83.3</v>
      </c>
      <c r="AF74" s="161" cm="1">
        <f t="array" aca="1" ref="AF74" ca="1">INDEX(auto_DataFlat_Score,$F74+AF$18,$B$12)</f>
        <v>0</v>
      </c>
      <c r="AG74" s="161" cm="1">
        <f t="array" aca="1" ref="AG74" ca="1">INDEX(auto_DataFlat_Score,$F74+AG$18,$B$12)</f>
        <v>83.3</v>
      </c>
      <c r="AH74" s="161" cm="1">
        <f t="array" aca="1" ref="AH74" ca="1">INDEX(auto_DataFlat_Score,$F74+AH$18,$B$12)</f>
        <v>83.3</v>
      </c>
      <c r="AI74" s="161" cm="1">
        <f t="array" aca="1" ref="AI74" ca="1">INDEX(auto_DataFlat_Score,$F74+AI$18,$B$12)</f>
        <v>16.7</v>
      </c>
      <c r="AJ74" s="161" cm="1">
        <f t="array" aca="1" ref="AJ74" ca="1">INDEX(auto_DataFlat_Score,$F74+AJ$18,$B$12)</f>
        <v>66.7</v>
      </c>
      <c r="AK74" s="161" cm="1">
        <f t="array" aca="1" ref="AK74" ca="1">INDEX(auto_DataFlat_Score,$F74+AK$18,$B$12)</f>
        <v>33.299999999999997</v>
      </c>
      <c r="AL74" s="161" cm="1">
        <f t="array" aca="1" ref="AL74" ca="1">INDEX(auto_DataFlat_Score,$F74+AL$18,$B$12)</f>
        <v>0</v>
      </c>
      <c r="AM74" s="161" cm="1">
        <f t="array" aca="1" ref="AM74" ca="1">INDEX(auto_DataFlat_Score,$F74+AM$18,$B$12)</f>
        <v>83.3</v>
      </c>
      <c r="AN74" s="161" cm="1">
        <f t="array" aca="1" ref="AN74" ca="1">INDEX(auto_DataFlat_Score,$F74+AN$18,$B$12)</f>
        <v>0</v>
      </c>
      <c r="AO74" s="161" cm="1">
        <f t="array" aca="1" ref="AO74" ca="1">INDEX(auto_DataFlat_Score,$F74+AO$18,$B$12)</f>
        <v>33.299999999999997</v>
      </c>
      <c r="AP74" s="161" cm="1">
        <f t="array" aca="1" ref="AP74" ca="1">INDEX(auto_DataFlat_Score,$F74+AP$18,$B$12)</f>
        <v>100</v>
      </c>
      <c r="AQ74" s="161" cm="1">
        <f t="array" aca="1" ref="AQ74" ca="1">INDEX(auto_DataFlat_Score,$F74+AQ$18,$B$12)</f>
        <v>100</v>
      </c>
      <c r="AR74" s="161" cm="1">
        <f t="array" aca="1" ref="AR74" ca="1">INDEX(auto_DataFlat_Score,$F74+AR$18,$B$12)</f>
        <v>83.3</v>
      </c>
      <c r="AS74" s="161" cm="1">
        <f t="array" aca="1" ref="AS74" ca="1">INDEX(auto_DataFlat_Score,$F74+AS$18,$B$12)</f>
        <v>100</v>
      </c>
      <c r="AT74" s="161" cm="1">
        <f t="array" aca="1" ref="AT74" ca="1">INDEX(auto_DataFlat_Score,$F74+AT$18,$B$12)</f>
        <v>83.3</v>
      </c>
      <c r="AU74" s="161" cm="1">
        <f t="array" aca="1" ref="AU74" ca="1">INDEX(auto_DataFlat_Score,$F74+AU$18,$B$12)</f>
        <v>16.7</v>
      </c>
      <c r="AV74" s="161" cm="1">
        <f t="array" aca="1" ref="AV74" ca="1">INDEX(auto_DataFlat_Score,$F74+AV$18,$B$12)</f>
        <v>0</v>
      </c>
      <c r="AW74" s="161" cm="1">
        <f t="array" aca="1" ref="AW74" ca="1">INDEX(auto_DataFlat_Score,$F74+AW$18,$B$12)</f>
        <v>83.3</v>
      </c>
      <c r="AX74" s="161" cm="1">
        <f t="array" aca="1" ref="AX74" ca="1">INDEX(auto_DataFlat_Score,$F74+AX$18,$B$12)</f>
        <v>66.7</v>
      </c>
      <c r="AY74" s="161" cm="1">
        <f t="array" aca="1" ref="AY74" ca="1">INDEX(auto_DataFlat_Score,$F74+AY$18,$B$12)</f>
        <v>83.3</v>
      </c>
      <c r="AZ74" s="161" cm="1">
        <f t="array" aca="1" ref="AZ74" ca="1">INDEX(auto_DataFlat_Score,$F74+AZ$18,$B$12)</f>
        <v>83.3</v>
      </c>
      <c r="BA74" s="161" cm="1">
        <f t="array" aca="1" ref="BA74" ca="1">INDEX(auto_DataFlat_Score,$F74+BA$18,$B$12)</f>
        <v>83.3</v>
      </c>
      <c r="BB74" s="161" cm="1">
        <f t="array" aca="1" ref="BB74" ca="1">INDEX(auto_DataFlat_Score,$F74+BB$18,$B$12)</f>
        <v>83.3</v>
      </c>
      <c r="BC74" s="161" cm="1">
        <f t="array" aca="1" ref="BC74" ca="1">INDEX(auto_DataFlat_Score,$F74+BC$18,$B$12)</f>
        <v>83.3</v>
      </c>
      <c r="BD74" s="161" cm="1">
        <f t="array" aca="1" ref="BD74" ca="1">INDEX(auto_DataFlat_Score,$F74+BD$18,$B$12)</f>
        <v>100</v>
      </c>
      <c r="BE74" s="161" cm="1">
        <f t="array" aca="1" ref="BE74" ca="1">INDEX(auto_DataFlat_Score,$F74+BE$18,$B$12)</f>
        <v>66.7</v>
      </c>
      <c r="BF74" s="161" cm="1">
        <f t="array" aca="1" ref="BF74" ca="1">INDEX(auto_DataFlat_Score,$F74+BF$18,$B$12)</f>
        <v>83.3</v>
      </c>
      <c r="BG74" s="161" cm="1">
        <f t="array" aca="1" ref="BG74" ca="1">INDEX(auto_DataFlat_Score,$F74+BG$18,$B$12)</f>
        <v>100</v>
      </c>
      <c r="BH74" s="161" cm="1">
        <f t="array" aca="1" ref="BH74" ca="1">INDEX(auto_DataFlat_Score,$F74+BH$18,$B$12)</f>
        <v>16.7</v>
      </c>
    </row>
    <row r="75" spans="1:60" ht="17.05" customHeight="1" x14ac:dyDescent="0.4">
      <c r="A75" t="str">
        <f t="shared" ca="1" si="2"/>
        <v/>
      </c>
      <c r="B75" s="49"/>
      <c r="C75" s="4">
        <v>56</v>
      </c>
      <c r="D75" s="49" cm="1">
        <f t="array" aca="1" ref="D75" ca="1">INDEX(OFFSET(auto_ss_score_table,0,1,500,1),C75)</f>
        <v>56</v>
      </c>
      <c r="E75" s="26" cm="1">
        <f t="array" aca="1" ref="E75" ca="1">INDEX(auto_tblSeries,$D75,$E$18)</f>
        <v>3</v>
      </c>
      <c r="F75" s="101" cm="1">
        <f t="array" aca="1" ref="F75" ca="1">INDEX(sys_DataFlat_LU_Grid,$D75,1)-1</f>
        <v>3300</v>
      </c>
      <c r="G75" s="26"/>
      <c r="H75" s="151" t="str" cm="1">
        <f t="array" aca="1" ref="H75" ca="1">INDEX(auto_Series_NameNumbered,$D75)</f>
        <v>5.3a) Urban health plan: components</v>
      </c>
      <c r="I75" s="162">
        <f ca="1">OFFSET(iWeights!$G$18,$D75-1,0,1,1)</f>
        <v>0.5</v>
      </c>
      <c r="J75" s="163">
        <f ca="1">IF(E75=0,"-",OFFSET(iWeights!$U$18,$D75-1,0,1,1))</f>
        <v>1.6129032258064516E-2</v>
      </c>
      <c r="K75" s="164" cm="1">
        <f t="array" aca="1" ref="K75" ca="1">INDEX(auto_DataFlat_Score,$F75+K$18,$B$12)</f>
        <v>33.299999999999997</v>
      </c>
      <c r="L75" s="164" cm="1">
        <f t="array" aca="1" ref="L75" ca="1">INDEX(auto_DataFlat_Score,$F75+L$18,$B$12)</f>
        <v>33.299999999999997</v>
      </c>
      <c r="M75" s="164" cm="1">
        <f t="array" aca="1" ref="M75" ca="1">INDEX(auto_DataFlat_Score,$F75+M$18,$B$12)</f>
        <v>0</v>
      </c>
      <c r="N75" s="164" cm="1">
        <f t="array" aca="1" ref="N75" ca="1">INDEX(auto_DataFlat_Score,$F75+N$18,$B$12)</f>
        <v>33.299999999999997</v>
      </c>
      <c r="O75" s="164" cm="1">
        <f t="array" aca="1" ref="O75" ca="1">INDEX(auto_DataFlat_Score,$F75+O$18,$B$12)</f>
        <v>66.7</v>
      </c>
      <c r="P75" s="164" cm="1">
        <f t="array" aca="1" ref="P75" ca="1">INDEX(auto_DataFlat_Score,$F75+P$18,$B$12)</f>
        <v>66.7</v>
      </c>
      <c r="Q75" s="164" cm="1">
        <f t="array" aca="1" ref="Q75" ca="1">INDEX(auto_DataFlat_Score,$F75+Q$18,$B$12)</f>
        <v>100</v>
      </c>
      <c r="R75" s="164" cm="1">
        <f t="array" aca="1" ref="R75" ca="1">INDEX(auto_DataFlat_Score,$F75+R$18,$B$12)</f>
        <v>66.7</v>
      </c>
      <c r="S75" s="164" cm="1">
        <f t="array" aca="1" ref="S75" ca="1">INDEX(auto_DataFlat_Score,$F75+S$18,$B$12)</f>
        <v>0</v>
      </c>
      <c r="T75" s="164" cm="1">
        <f t="array" aca="1" ref="T75" ca="1">INDEX(auto_DataFlat_Score,$F75+T$18,$B$12)</f>
        <v>33.299999999999997</v>
      </c>
      <c r="U75" s="164" cm="1">
        <f t="array" aca="1" ref="U75" ca="1">INDEX(auto_DataFlat_Score,$F75+U$18,$B$12)</f>
        <v>33.299999999999997</v>
      </c>
      <c r="V75" s="164" cm="1">
        <f t="array" aca="1" ref="V75" ca="1">INDEX(auto_DataFlat_Score,$F75+V$18,$B$12)</f>
        <v>66.7</v>
      </c>
      <c r="W75" s="164" cm="1">
        <f t="array" aca="1" ref="W75" ca="1">INDEX(auto_DataFlat_Score,$F75+W$18,$B$12)</f>
        <v>66.7</v>
      </c>
      <c r="X75" s="164" cm="1">
        <f t="array" aca="1" ref="X75" ca="1">INDEX(auto_DataFlat_Score,$F75+X$18,$B$12)</f>
        <v>66.7</v>
      </c>
      <c r="Y75" s="164" cm="1">
        <f t="array" aca="1" ref="Y75" ca="1">INDEX(auto_DataFlat_Score,$F75+Y$18,$B$12)</f>
        <v>33.299999999999997</v>
      </c>
      <c r="Z75" s="164" cm="1">
        <f t="array" aca="1" ref="Z75" ca="1">INDEX(auto_DataFlat_Score,$F75+Z$18,$B$12)</f>
        <v>100</v>
      </c>
      <c r="AA75" s="164" cm="1">
        <f t="array" aca="1" ref="AA75" ca="1">INDEX(auto_DataFlat_Score,$F75+AA$18,$B$12)</f>
        <v>100</v>
      </c>
      <c r="AB75" s="164" cm="1">
        <f t="array" aca="1" ref="AB75" ca="1">INDEX(auto_DataFlat_Score,$F75+AB$18,$B$12)</f>
        <v>33.299999999999997</v>
      </c>
      <c r="AC75" s="164" cm="1">
        <f t="array" aca="1" ref="AC75" ca="1">INDEX(auto_DataFlat_Score,$F75+AC$18,$B$12)</f>
        <v>100</v>
      </c>
      <c r="AD75" s="164" cm="1">
        <f t="array" aca="1" ref="AD75" ca="1">INDEX(auto_DataFlat_Score,$F75+AD$18,$B$12)</f>
        <v>33.299999999999997</v>
      </c>
      <c r="AE75" s="164" cm="1">
        <f t="array" aca="1" ref="AE75" ca="1">INDEX(auto_DataFlat_Score,$F75+AE$18,$B$12)</f>
        <v>66.7</v>
      </c>
      <c r="AF75" s="164" cm="1">
        <f t="array" aca="1" ref="AF75" ca="1">INDEX(auto_DataFlat_Score,$F75+AF$18,$B$12)</f>
        <v>0</v>
      </c>
      <c r="AG75" s="164" cm="1">
        <f t="array" aca="1" ref="AG75" ca="1">INDEX(auto_DataFlat_Score,$F75+AG$18,$B$12)</f>
        <v>66.7</v>
      </c>
      <c r="AH75" s="164" cm="1">
        <f t="array" aca="1" ref="AH75" ca="1">INDEX(auto_DataFlat_Score,$F75+AH$18,$B$12)</f>
        <v>66.7</v>
      </c>
      <c r="AI75" s="164" cm="1">
        <f t="array" aca="1" ref="AI75" ca="1">INDEX(auto_DataFlat_Score,$F75+AI$18,$B$12)</f>
        <v>33.299999999999997</v>
      </c>
      <c r="AJ75" s="164" cm="1">
        <f t="array" aca="1" ref="AJ75" ca="1">INDEX(auto_DataFlat_Score,$F75+AJ$18,$B$12)</f>
        <v>33.299999999999997</v>
      </c>
      <c r="AK75" s="164" cm="1">
        <f t="array" aca="1" ref="AK75" ca="1">INDEX(auto_DataFlat_Score,$F75+AK$18,$B$12)</f>
        <v>66.7</v>
      </c>
      <c r="AL75" s="164" cm="1">
        <f t="array" aca="1" ref="AL75" ca="1">INDEX(auto_DataFlat_Score,$F75+AL$18,$B$12)</f>
        <v>0</v>
      </c>
      <c r="AM75" s="164" cm="1">
        <f t="array" aca="1" ref="AM75" ca="1">INDEX(auto_DataFlat_Score,$F75+AM$18,$B$12)</f>
        <v>66.7</v>
      </c>
      <c r="AN75" s="164" cm="1">
        <f t="array" aca="1" ref="AN75" ca="1">INDEX(auto_DataFlat_Score,$F75+AN$18,$B$12)</f>
        <v>0</v>
      </c>
      <c r="AO75" s="164" cm="1">
        <f t="array" aca="1" ref="AO75" ca="1">INDEX(auto_DataFlat_Score,$F75+AO$18,$B$12)</f>
        <v>66.7</v>
      </c>
      <c r="AP75" s="164" cm="1">
        <f t="array" aca="1" ref="AP75" ca="1">INDEX(auto_DataFlat_Score,$F75+AP$18,$B$12)</f>
        <v>100</v>
      </c>
      <c r="AQ75" s="164" cm="1">
        <f t="array" aca="1" ref="AQ75" ca="1">INDEX(auto_DataFlat_Score,$F75+AQ$18,$B$12)</f>
        <v>100</v>
      </c>
      <c r="AR75" s="164" cm="1">
        <f t="array" aca="1" ref="AR75" ca="1">INDEX(auto_DataFlat_Score,$F75+AR$18,$B$12)</f>
        <v>66.7</v>
      </c>
      <c r="AS75" s="164" cm="1">
        <f t="array" aca="1" ref="AS75" ca="1">INDEX(auto_DataFlat_Score,$F75+AS$18,$B$12)</f>
        <v>100</v>
      </c>
      <c r="AT75" s="164" cm="1">
        <f t="array" aca="1" ref="AT75" ca="1">INDEX(auto_DataFlat_Score,$F75+AT$18,$B$12)</f>
        <v>66.7</v>
      </c>
      <c r="AU75" s="164" cm="1">
        <f t="array" aca="1" ref="AU75" ca="1">INDEX(auto_DataFlat_Score,$F75+AU$18,$B$12)</f>
        <v>33.299999999999997</v>
      </c>
      <c r="AV75" s="164" cm="1">
        <f t="array" aca="1" ref="AV75" ca="1">INDEX(auto_DataFlat_Score,$F75+AV$18,$B$12)</f>
        <v>0</v>
      </c>
      <c r="AW75" s="164" cm="1">
        <f t="array" aca="1" ref="AW75" ca="1">INDEX(auto_DataFlat_Score,$F75+AW$18,$B$12)</f>
        <v>66.7</v>
      </c>
      <c r="AX75" s="164" cm="1">
        <f t="array" aca="1" ref="AX75" ca="1">INDEX(auto_DataFlat_Score,$F75+AX$18,$B$12)</f>
        <v>33.299999999999997</v>
      </c>
      <c r="AY75" s="164" cm="1">
        <f t="array" aca="1" ref="AY75" ca="1">INDEX(auto_DataFlat_Score,$F75+AY$18,$B$12)</f>
        <v>66.7</v>
      </c>
      <c r="AZ75" s="164" cm="1">
        <f t="array" aca="1" ref="AZ75" ca="1">INDEX(auto_DataFlat_Score,$F75+AZ$18,$B$12)</f>
        <v>66.7</v>
      </c>
      <c r="BA75" s="164" cm="1">
        <f t="array" aca="1" ref="BA75" ca="1">INDEX(auto_DataFlat_Score,$F75+BA$18,$B$12)</f>
        <v>66.7</v>
      </c>
      <c r="BB75" s="164" cm="1">
        <f t="array" aca="1" ref="BB75" ca="1">INDEX(auto_DataFlat_Score,$F75+BB$18,$B$12)</f>
        <v>66.7</v>
      </c>
      <c r="BC75" s="164" cm="1">
        <f t="array" aca="1" ref="BC75" ca="1">INDEX(auto_DataFlat_Score,$F75+BC$18,$B$12)</f>
        <v>66.7</v>
      </c>
      <c r="BD75" s="164" cm="1">
        <f t="array" aca="1" ref="BD75" ca="1">INDEX(auto_DataFlat_Score,$F75+BD$18,$B$12)</f>
        <v>100</v>
      </c>
      <c r="BE75" s="164" cm="1">
        <f t="array" aca="1" ref="BE75" ca="1">INDEX(auto_DataFlat_Score,$F75+BE$18,$B$12)</f>
        <v>33.299999999999997</v>
      </c>
      <c r="BF75" s="164" cm="1">
        <f t="array" aca="1" ref="BF75" ca="1">INDEX(auto_DataFlat_Score,$F75+BF$18,$B$12)</f>
        <v>66.7</v>
      </c>
      <c r="BG75" s="164" cm="1">
        <f t="array" aca="1" ref="BG75" ca="1">INDEX(auto_DataFlat_Score,$F75+BG$18,$B$12)</f>
        <v>100</v>
      </c>
      <c r="BH75" s="164" cm="1">
        <f t="array" aca="1" ref="BH75" ca="1">INDEX(auto_DataFlat_Score,$F75+BH$18,$B$12)</f>
        <v>33.299999999999997</v>
      </c>
    </row>
    <row r="76" spans="1:60" ht="17.05" customHeight="1" x14ac:dyDescent="0.4">
      <c r="A76" t="str">
        <f t="shared" ca="1" si="2"/>
        <v/>
      </c>
      <c r="B76" s="49"/>
      <c r="C76" s="4">
        <v>57</v>
      </c>
      <c r="D76" s="49" cm="1">
        <f t="array" aca="1" ref="D76" ca="1">INDEX(OFFSET(auto_ss_score_table,0,1,500,1),C76)</f>
        <v>57</v>
      </c>
      <c r="E76" s="26" cm="1">
        <f t="array" aca="1" ref="E76" ca="1">INDEX(auto_tblSeries,$D76,$E$18)</f>
        <v>3</v>
      </c>
      <c r="F76" s="101" cm="1">
        <f t="array" aca="1" ref="F76" ca="1">INDEX(sys_DataFlat_LU_Grid,$D76,1)-1</f>
        <v>3360</v>
      </c>
      <c r="G76" s="26"/>
      <c r="H76" s="151" t="str" cm="1">
        <f t="array" aca="1" ref="H76" ca="1">INDEX(auto_Series_NameNumbered,$D76)</f>
        <v>5.3b) Urban health plan: stakeholder engagement</v>
      </c>
      <c r="I76" s="162">
        <f ca="1">IF(D76=1,"-",OFFSET(iWeights!$G$18,$D76-1,0,1,1))</f>
        <v>0.5</v>
      </c>
      <c r="J76" s="163">
        <f ca="1">IF(E76=0,"-",OFFSET(iWeights!$U$18,$D76-1,0,1,1))</f>
        <v>1.6129032258064516E-2</v>
      </c>
      <c r="K76" s="164" cm="1">
        <f t="array" aca="1" ref="K76" ca="1">INDEX(auto_DataFlat_Score,$F76+K$18,$B$12)</f>
        <v>100</v>
      </c>
      <c r="L76" s="164" cm="1">
        <f t="array" aca="1" ref="L76" ca="1">INDEX(auto_DataFlat_Score,$F76+L$18,$B$12)</f>
        <v>0</v>
      </c>
      <c r="M76" s="164" cm="1">
        <f t="array" aca="1" ref="M76" ca="1">INDEX(auto_DataFlat_Score,$F76+M$18,$B$12)</f>
        <v>0</v>
      </c>
      <c r="N76" s="164" cm="1">
        <f t="array" aca="1" ref="N76" ca="1">INDEX(auto_DataFlat_Score,$F76+N$18,$B$12)</f>
        <v>100</v>
      </c>
      <c r="O76" s="164" cm="1">
        <f t="array" aca="1" ref="O76" ca="1">INDEX(auto_DataFlat_Score,$F76+O$18,$B$12)</f>
        <v>100</v>
      </c>
      <c r="P76" s="164" cm="1">
        <f t="array" aca="1" ref="P76" ca="1">INDEX(auto_DataFlat_Score,$F76+P$18,$B$12)</f>
        <v>100</v>
      </c>
      <c r="Q76" s="164" cm="1">
        <f t="array" aca="1" ref="Q76" ca="1">INDEX(auto_DataFlat_Score,$F76+Q$18,$B$12)</f>
        <v>100</v>
      </c>
      <c r="R76" s="164" cm="1">
        <f t="array" aca="1" ref="R76" ca="1">INDEX(auto_DataFlat_Score,$F76+R$18,$B$12)</f>
        <v>100</v>
      </c>
      <c r="S76" s="164" cm="1">
        <f t="array" aca="1" ref="S76" ca="1">INDEX(auto_DataFlat_Score,$F76+S$18,$B$12)</f>
        <v>0</v>
      </c>
      <c r="T76" s="164" cm="1">
        <f t="array" aca="1" ref="T76" ca="1">INDEX(auto_DataFlat_Score,$F76+T$18,$B$12)</f>
        <v>0</v>
      </c>
      <c r="U76" s="164" cm="1">
        <f t="array" aca="1" ref="U76" ca="1">INDEX(auto_DataFlat_Score,$F76+U$18,$B$12)</f>
        <v>0</v>
      </c>
      <c r="V76" s="164" cm="1">
        <f t="array" aca="1" ref="V76" ca="1">INDEX(auto_DataFlat_Score,$F76+V$18,$B$12)</f>
        <v>100</v>
      </c>
      <c r="W76" s="164" cm="1">
        <f t="array" aca="1" ref="W76" ca="1">INDEX(auto_DataFlat_Score,$F76+W$18,$B$12)</f>
        <v>0</v>
      </c>
      <c r="X76" s="164" cm="1">
        <f t="array" aca="1" ref="X76" ca="1">INDEX(auto_DataFlat_Score,$F76+X$18,$B$12)</f>
        <v>100</v>
      </c>
      <c r="Y76" s="164" cm="1">
        <f t="array" aca="1" ref="Y76" ca="1">INDEX(auto_DataFlat_Score,$F76+Y$18,$B$12)</f>
        <v>100</v>
      </c>
      <c r="Z76" s="164" cm="1">
        <f t="array" aca="1" ref="Z76" ca="1">INDEX(auto_DataFlat_Score,$F76+Z$18,$B$12)</f>
        <v>100</v>
      </c>
      <c r="AA76" s="164" cm="1">
        <f t="array" aca="1" ref="AA76" ca="1">INDEX(auto_DataFlat_Score,$F76+AA$18,$B$12)</f>
        <v>100</v>
      </c>
      <c r="AB76" s="164" cm="1">
        <f t="array" aca="1" ref="AB76" ca="1">INDEX(auto_DataFlat_Score,$F76+AB$18,$B$12)</f>
        <v>0</v>
      </c>
      <c r="AC76" s="164" cm="1">
        <f t="array" aca="1" ref="AC76" ca="1">INDEX(auto_DataFlat_Score,$F76+AC$18,$B$12)</f>
        <v>100</v>
      </c>
      <c r="AD76" s="164" cm="1">
        <f t="array" aca="1" ref="AD76" ca="1">INDEX(auto_DataFlat_Score,$F76+AD$18,$B$12)</f>
        <v>0</v>
      </c>
      <c r="AE76" s="164" cm="1">
        <f t="array" aca="1" ref="AE76" ca="1">INDEX(auto_DataFlat_Score,$F76+AE$18,$B$12)</f>
        <v>100</v>
      </c>
      <c r="AF76" s="164" cm="1">
        <f t="array" aca="1" ref="AF76" ca="1">INDEX(auto_DataFlat_Score,$F76+AF$18,$B$12)</f>
        <v>0</v>
      </c>
      <c r="AG76" s="164" cm="1">
        <f t="array" aca="1" ref="AG76" ca="1">INDEX(auto_DataFlat_Score,$F76+AG$18,$B$12)</f>
        <v>100</v>
      </c>
      <c r="AH76" s="164" cm="1">
        <f t="array" aca="1" ref="AH76" ca="1">INDEX(auto_DataFlat_Score,$F76+AH$18,$B$12)</f>
        <v>100</v>
      </c>
      <c r="AI76" s="164" cm="1">
        <f t="array" aca="1" ref="AI76" ca="1">INDEX(auto_DataFlat_Score,$F76+AI$18,$B$12)</f>
        <v>0</v>
      </c>
      <c r="AJ76" s="164" cm="1">
        <f t="array" aca="1" ref="AJ76" ca="1">INDEX(auto_DataFlat_Score,$F76+AJ$18,$B$12)</f>
        <v>100</v>
      </c>
      <c r="AK76" s="164" cm="1">
        <f t="array" aca="1" ref="AK76" ca="1">INDEX(auto_DataFlat_Score,$F76+AK$18,$B$12)</f>
        <v>0</v>
      </c>
      <c r="AL76" s="164" cm="1">
        <f t="array" aca="1" ref="AL76" ca="1">INDEX(auto_DataFlat_Score,$F76+AL$18,$B$12)</f>
        <v>0</v>
      </c>
      <c r="AM76" s="164" cm="1">
        <f t="array" aca="1" ref="AM76" ca="1">INDEX(auto_DataFlat_Score,$F76+AM$18,$B$12)</f>
        <v>100</v>
      </c>
      <c r="AN76" s="164" cm="1">
        <f t="array" aca="1" ref="AN76" ca="1">INDEX(auto_DataFlat_Score,$F76+AN$18,$B$12)</f>
        <v>0</v>
      </c>
      <c r="AO76" s="164" cm="1">
        <f t="array" aca="1" ref="AO76" ca="1">INDEX(auto_DataFlat_Score,$F76+AO$18,$B$12)</f>
        <v>0</v>
      </c>
      <c r="AP76" s="164" cm="1">
        <f t="array" aca="1" ref="AP76" ca="1">INDEX(auto_DataFlat_Score,$F76+AP$18,$B$12)</f>
        <v>100</v>
      </c>
      <c r="AQ76" s="164" cm="1">
        <f t="array" aca="1" ref="AQ76" ca="1">INDEX(auto_DataFlat_Score,$F76+AQ$18,$B$12)</f>
        <v>100</v>
      </c>
      <c r="AR76" s="164" cm="1">
        <f t="array" aca="1" ref="AR76" ca="1">INDEX(auto_DataFlat_Score,$F76+AR$18,$B$12)</f>
        <v>100</v>
      </c>
      <c r="AS76" s="164" cm="1">
        <f t="array" aca="1" ref="AS76" ca="1">INDEX(auto_DataFlat_Score,$F76+AS$18,$B$12)</f>
        <v>100</v>
      </c>
      <c r="AT76" s="164" cm="1">
        <f t="array" aca="1" ref="AT76" ca="1">INDEX(auto_DataFlat_Score,$F76+AT$18,$B$12)</f>
        <v>100</v>
      </c>
      <c r="AU76" s="164" cm="1">
        <f t="array" aca="1" ref="AU76" ca="1">INDEX(auto_DataFlat_Score,$F76+AU$18,$B$12)</f>
        <v>0</v>
      </c>
      <c r="AV76" s="164" cm="1">
        <f t="array" aca="1" ref="AV76" ca="1">INDEX(auto_DataFlat_Score,$F76+AV$18,$B$12)</f>
        <v>0</v>
      </c>
      <c r="AW76" s="164" cm="1">
        <f t="array" aca="1" ref="AW76" ca="1">INDEX(auto_DataFlat_Score,$F76+AW$18,$B$12)</f>
        <v>100</v>
      </c>
      <c r="AX76" s="164" cm="1">
        <f t="array" aca="1" ref="AX76" ca="1">INDEX(auto_DataFlat_Score,$F76+AX$18,$B$12)</f>
        <v>100</v>
      </c>
      <c r="AY76" s="164" cm="1">
        <f t="array" aca="1" ref="AY76" ca="1">INDEX(auto_DataFlat_Score,$F76+AY$18,$B$12)</f>
        <v>100</v>
      </c>
      <c r="AZ76" s="164" cm="1">
        <f t="array" aca="1" ref="AZ76" ca="1">INDEX(auto_DataFlat_Score,$F76+AZ$18,$B$12)</f>
        <v>100</v>
      </c>
      <c r="BA76" s="164" cm="1">
        <f t="array" aca="1" ref="BA76" ca="1">INDEX(auto_DataFlat_Score,$F76+BA$18,$B$12)</f>
        <v>100</v>
      </c>
      <c r="BB76" s="164" cm="1">
        <f t="array" aca="1" ref="BB76" ca="1">INDEX(auto_DataFlat_Score,$F76+BB$18,$B$12)</f>
        <v>100</v>
      </c>
      <c r="BC76" s="164" cm="1">
        <f t="array" aca="1" ref="BC76" ca="1">INDEX(auto_DataFlat_Score,$F76+BC$18,$B$12)</f>
        <v>100</v>
      </c>
      <c r="BD76" s="164" cm="1">
        <f t="array" aca="1" ref="BD76" ca="1">INDEX(auto_DataFlat_Score,$F76+BD$18,$B$12)</f>
        <v>100</v>
      </c>
      <c r="BE76" s="164" cm="1">
        <f t="array" aca="1" ref="BE76" ca="1">INDEX(auto_DataFlat_Score,$F76+BE$18,$B$12)</f>
        <v>100</v>
      </c>
      <c r="BF76" s="164" cm="1">
        <f t="array" aca="1" ref="BF76" ca="1">INDEX(auto_DataFlat_Score,$F76+BF$18,$B$12)</f>
        <v>100</v>
      </c>
      <c r="BG76" s="164" cm="1">
        <f t="array" aca="1" ref="BG76" ca="1">INDEX(auto_DataFlat_Score,$F76+BG$18,$B$12)</f>
        <v>100</v>
      </c>
      <c r="BH76" s="164" cm="1">
        <f t="array" aca="1" ref="BH76" ca="1">INDEX(auto_DataFlat_Score,$F76+BH$18,$B$12)</f>
        <v>0</v>
      </c>
    </row>
    <row r="77" spans="1:60" ht="17.05" customHeight="1" x14ac:dyDescent="0.4">
      <c r="A77" t="str">
        <f t="shared" ca="1" si="2"/>
        <v/>
      </c>
      <c r="B77" s="49"/>
      <c r="C77" s="4">
        <v>58</v>
      </c>
      <c r="D77" s="49" cm="1">
        <f t="array" aca="1" ref="D77" ca="1">INDEX(OFFSET(auto_ss_score_table,0,1,500,1),C77)</f>
        <v>58</v>
      </c>
      <c r="E77" s="26" cm="1">
        <f t="array" aca="1" ref="E77" ca="1">INDEX(auto_tblSeries,$D77,$E$18)</f>
        <v>2</v>
      </c>
      <c r="F77" s="101" cm="1">
        <f t="array" aca="1" ref="F77" ca="1">INDEX(sys_DataFlat_LU_Grid,$D77,1)-1</f>
        <v>3420</v>
      </c>
      <c r="G77" s="26"/>
      <c r="H77" s="148" t="str" cm="1">
        <f t="array" aca="1" ref="H77" ca="1">INDEX(auto_Series_NameNumbered,$D77)</f>
        <v>5.4) Healthy diet policies</v>
      </c>
      <c r="I77" s="159">
        <f ca="1">OFFSET(iWeights!$G$18,$D77-1,0,1,1)</f>
        <v>0.1111111111111111</v>
      </c>
      <c r="J77" s="160">
        <f ca="1">IF(E77=0,"-",OFFSET(iWeights!$U$18,$D77-1,0,1,1))</f>
        <v>3.2258064516129031E-2</v>
      </c>
      <c r="K77" s="161" cm="1">
        <f t="array" aca="1" ref="K77" ca="1">INDEX(auto_DataFlat_Score,$F77+K$18,$B$12)</f>
        <v>0</v>
      </c>
      <c r="L77" s="161" cm="1">
        <f t="array" aca="1" ref="L77" ca="1">INDEX(auto_DataFlat_Score,$F77+L$18,$B$12)</f>
        <v>50</v>
      </c>
      <c r="M77" s="161" cm="1">
        <f t="array" aca="1" ref="M77" ca="1">INDEX(auto_DataFlat_Score,$F77+M$18,$B$12)</f>
        <v>50</v>
      </c>
      <c r="N77" s="161" cm="1">
        <f t="array" aca="1" ref="N77" ca="1">INDEX(auto_DataFlat_Score,$F77+N$18,$B$12)</f>
        <v>50</v>
      </c>
      <c r="O77" s="161" cm="1">
        <f t="array" aca="1" ref="O77" ca="1">INDEX(auto_DataFlat_Score,$F77+O$18,$B$12)</f>
        <v>50</v>
      </c>
      <c r="P77" s="161" cm="1">
        <f t="array" aca="1" ref="P77" ca="1">INDEX(auto_DataFlat_Score,$F77+P$18,$B$12)</f>
        <v>50</v>
      </c>
      <c r="Q77" s="161" cm="1">
        <f t="array" aca="1" ref="Q77" ca="1">INDEX(auto_DataFlat_Score,$F77+Q$18,$B$12)</f>
        <v>0</v>
      </c>
      <c r="R77" s="161" cm="1">
        <f t="array" aca="1" ref="R77" ca="1">INDEX(auto_DataFlat_Score,$F77+R$18,$B$12)</f>
        <v>0</v>
      </c>
      <c r="S77" s="161" cm="1">
        <f t="array" aca="1" ref="S77" ca="1">INDEX(auto_DataFlat_Score,$F77+S$18,$B$12)</f>
        <v>50</v>
      </c>
      <c r="T77" s="161" cm="1">
        <f t="array" aca="1" ref="T77" ca="1">INDEX(auto_DataFlat_Score,$F77+T$18,$B$12)</f>
        <v>50</v>
      </c>
      <c r="U77" s="161" cm="1">
        <f t="array" aca="1" ref="U77" ca="1">INDEX(auto_DataFlat_Score,$F77+U$18,$B$12)</f>
        <v>0</v>
      </c>
      <c r="V77" s="161" cm="1">
        <f t="array" aca="1" ref="V77" ca="1">INDEX(auto_DataFlat_Score,$F77+V$18,$B$12)</f>
        <v>100</v>
      </c>
      <c r="W77" s="161" cm="1">
        <f t="array" aca="1" ref="W77" ca="1">INDEX(auto_DataFlat_Score,$F77+W$18,$B$12)</f>
        <v>100</v>
      </c>
      <c r="X77" s="161" cm="1">
        <f t="array" aca="1" ref="X77" ca="1">INDEX(auto_DataFlat_Score,$F77+X$18,$B$12)</f>
        <v>50</v>
      </c>
      <c r="Y77" s="161" cm="1">
        <f t="array" aca="1" ref="Y77" ca="1">INDEX(auto_DataFlat_Score,$F77+Y$18,$B$12)</f>
        <v>50</v>
      </c>
      <c r="Z77" s="161" cm="1">
        <f t="array" aca="1" ref="Z77" ca="1">INDEX(auto_DataFlat_Score,$F77+Z$18,$B$12)</f>
        <v>50</v>
      </c>
      <c r="AA77" s="161" cm="1">
        <f t="array" aca="1" ref="AA77" ca="1">INDEX(auto_DataFlat_Score,$F77+AA$18,$B$12)</f>
        <v>100</v>
      </c>
      <c r="AB77" s="161" cm="1">
        <f t="array" aca="1" ref="AB77" ca="1">INDEX(auto_DataFlat_Score,$F77+AB$18,$B$12)</f>
        <v>0</v>
      </c>
      <c r="AC77" s="161" cm="1">
        <f t="array" aca="1" ref="AC77" ca="1">INDEX(auto_DataFlat_Score,$F77+AC$18,$B$12)</f>
        <v>100</v>
      </c>
      <c r="AD77" s="161" cm="1">
        <f t="array" aca="1" ref="AD77" ca="1">INDEX(auto_DataFlat_Score,$F77+AD$18,$B$12)</f>
        <v>0</v>
      </c>
      <c r="AE77" s="161" cm="1">
        <f t="array" aca="1" ref="AE77" ca="1">INDEX(auto_DataFlat_Score,$F77+AE$18,$B$12)</f>
        <v>50</v>
      </c>
      <c r="AF77" s="161" cm="1">
        <f t="array" aca="1" ref="AF77" ca="1">INDEX(auto_DataFlat_Score,$F77+AF$18,$B$12)</f>
        <v>50</v>
      </c>
      <c r="AG77" s="161" cm="1">
        <f t="array" aca="1" ref="AG77" ca="1">INDEX(auto_DataFlat_Score,$F77+AG$18,$B$12)</f>
        <v>100</v>
      </c>
      <c r="AH77" s="161" cm="1">
        <f t="array" aca="1" ref="AH77" ca="1">INDEX(auto_DataFlat_Score,$F77+AH$18,$B$12)</f>
        <v>50</v>
      </c>
      <c r="AI77" s="161" cm="1">
        <f t="array" aca="1" ref="AI77" ca="1">INDEX(auto_DataFlat_Score,$F77+AI$18,$B$12)</f>
        <v>100</v>
      </c>
      <c r="AJ77" s="161" cm="1">
        <f t="array" aca="1" ref="AJ77" ca="1">INDEX(auto_DataFlat_Score,$F77+AJ$18,$B$12)</f>
        <v>100</v>
      </c>
      <c r="AK77" s="161" cm="1">
        <f t="array" aca="1" ref="AK77" ca="1">INDEX(auto_DataFlat_Score,$F77+AK$18,$B$12)</f>
        <v>50</v>
      </c>
      <c r="AL77" s="161" cm="1">
        <f t="array" aca="1" ref="AL77" ca="1">INDEX(auto_DataFlat_Score,$F77+AL$18,$B$12)</f>
        <v>50</v>
      </c>
      <c r="AM77" s="161" cm="1">
        <f t="array" aca="1" ref="AM77" ca="1">INDEX(auto_DataFlat_Score,$F77+AM$18,$B$12)</f>
        <v>50</v>
      </c>
      <c r="AN77" s="161" cm="1">
        <f t="array" aca="1" ref="AN77" ca="1">INDEX(auto_DataFlat_Score,$F77+AN$18,$B$12)</f>
        <v>50</v>
      </c>
      <c r="AO77" s="161" cm="1">
        <f t="array" aca="1" ref="AO77" ca="1">INDEX(auto_DataFlat_Score,$F77+AO$18,$B$12)</f>
        <v>50</v>
      </c>
      <c r="AP77" s="161" cm="1">
        <f t="array" aca="1" ref="AP77" ca="1">INDEX(auto_DataFlat_Score,$F77+AP$18,$B$12)</f>
        <v>100</v>
      </c>
      <c r="AQ77" s="161" cm="1">
        <f t="array" aca="1" ref="AQ77" ca="1">INDEX(auto_DataFlat_Score,$F77+AQ$18,$B$12)</f>
        <v>50</v>
      </c>
      <c r="AR77" s="161" cm="1">
        <f t="array" aca="1" ref="AR77" ca="1">INDEX(auto_DataFlat_Score,$F77+AR$18,$B$12)</f>
        <v>50</v>
      </c>
      <c r="AS77" s="161" cm="1">
        <f t="array" aca="1" ref="AS77" ca="1">INDEX(auto_DataFlat_Score,$F77+AS$18,$B$12)</f>
        <v>50</v>
      </c>
      <c r="AT77" s="161" cm="1">
        <f t="array" aca="1" ref="AT77" ca="1">INDEX(auto_DataFlat_Score,$F77+AT$18,$B$12)</f>
        <v>0</v>
      </c>
      <c r="AU77" s="161" cm="1">
        <f t="array" aca="1" ref="AU77" ca="1">INDEX(auto_DataFlat_Score,$F77+AU$18,$B$12)</f>
        <v>100</v>
      </c>
      <c r="AV77" s="161" cm="1">
        <f t="array" aca="1" ref="AV77" ca="1">INDEX(auto_DataFlat_Score,$F77+AV$18,$B$12)</f>
        <v>50</v>
      </c>
      <c r="AW77" s="161" cm="1">
        <f t="array" aca="1" ref="AW77" ca="1">INDEX(auto_DataFlat_Score,$F77+AW$18,$B$12)</f>
        <v>100</v>
      </c>
      <c r="AX77" s="161" cm="1">
        <f t="array" aca="1" ref="AX77" ca="1">INDEX(auto_DataFlat_Score,$F77+AX$18,$B$12)</f>
        <v>50</v>
      </c>
      <c r="AY77" s="161" cm="1">
        <f t="array" aca="1" ref="AY77" ca="1">INDEX(auto_DataFlat_Score,$F77+AY$18,$B$12)</f>
        <v>100</v>
      </c>
      <c r="AZ77" s="161" cm="1">
        <f t="array" aca="1" ref="AZ77" ca="1">INDEX(auto_DataFlat_Score,$F77+AZ$18,$B$12)</f>
        <v>100</v>
      </c>
      <c r="BA77" s="161" cm="1">
        <f t="array" aca="1" ref="BA77" ca="1">INDEX(auto_DataFlat_Score,$F77+BA$18,$B$12)</f>
        <v>50</v>
      </c>
      <c r="BB77" s="161" cm="1">
        <f t="array" aca="1" ref="BB77" ca="1">INDEX(auto_DataFlat_Score,$F77+BB$18,$B$12)</f>
        <v>100</v>
      </c>
      <c r="BC77" s="161" cm="1">
        <f t="array" aca="1" ref="BC77" ca="1">INDEX(auto_DataFlat_Score,$F77+BC$18,$B$12)</f>
        <v>50</v>
      </c>
      <c r="BD77" s="161" cm="1">
        <f t="array" aca="1" ref="BD77" ca="1">INDEX(auto_DataFlat_Score,$F77+BD$18,$B$12)</f>
        <v>50</v>
      </c>
      <c r="BE77" s="161" cm="1">
        <f t="array" aca="1" ref="BE77" ca="1">INDEX(auto_DataFlat_Score,$F77+BE$18,$B$12)</f>
        <v>50</v>
      </c>
      <c r="BF77" s="161" cm="1">
        <f t="array" aca="1" ref="BF77" ca="1">INDEX(auto_DataFlat_Score,$F77+BF$18,$B$12)</f>
        <v>50</v>
      </c>
      <c r="BG77" s="161" cm="1">
        <f t="array" aca="1" ref="BG77" ca="1">INDEX(auto_DataFlat_Score,$F77+BG$18,$B$12)</f>
        <v>50</v>
      </c>
      <c r="BH77" s="161" cm="1">
        <f t="array" aca="1" ref="BH77" ca="1">INDEX(auto_DataFlat_Score,$F77+BH$18,$B$12)</f>
        <v>0</v>
      </c>
    </row>
    <row r="78" spans="1:60" ht="17.05" customHeight="1" x14ac:dyDescent="0.4">
      <c r="A78" t="str">
        <f t="shared" ca="1" si="2"/>
        <v/>
      </c>
      <c r="B78" s="49"/>
      <c r="C78" s="4">
        <v>59</v>
      </c>
      <c r="D78" s="49" cm="1">
        <f t="array" aca="1" ref="D78" ca="1">INDEX(OFFSET(auto_ss_score_table,0,1,500,1),C78)</f>
        <v>59</v>
      </c>
      <c r="E78" s="26" cm="1">
        <f t="array" aca="1" ref="E78" ca="1">INDEX(auto_tblSeries,$D78,$E$18)</f>
        <v>2</v>
      </c>
      <c r="F78" s="101" cm="1">
        <f t="array" aca="1" ref="F78" ca="1">INDEX(sys_DataFlat_LU_Grid,$D78,1)-1</f>
        <v>3480</v>
      </c>
      <c r="G78" s="26"/>
      <c r="H78" s="148" t="str" cm="1">
        <f t="array" aca="1" ref="H78" ca="1">INDEX(auto_Series_NameNumbered,$D78)</f>
        <v>5.5) CVD management guidelines</v>
      </c>
      <c r="I78" s="159">
        <f ca="1">IF(D78=1,"-",OFFSET(iWeights!$G$18,$D78-1,0,1,1))</f>
        <v>0.1111111111111111</v>
      </c>
      <c r="J78" s="160">
        <f ca="1">IF(E78=0,"-",OFFSET(iWeights!$U$18,$D78-1,0,1,1))</f>
        <v>3.2258064516129031E-2</v>
      </c>
      <c r="K78" s="161" cm="1">
        <f t="array" aca="1" ref="K78" ca="1">INDEX(auto_DataFlat_Score,$F78+K$18,$B$12)</f>
        <v>100</v>
      </c>
      <c r="L78" s="161" cm="1">
        <f t="array" aca="1" ref="L78" ca="1">INDEX(auto_DataFlat_Score,$F78+L$18,$B$12)</f>
        <v>100</v>
      </c>
      <c r="M78" s="161" cm="1">
        <f t="array" aca="1" ref="M78" ca="1">INDEX(auto_DataFlat_Score,$F78+M$18,$B$12)</f>
        <v>100</v>
      </c>
      <c r="N78" s="161" cm="1">
        <f t="array" aca="1" ref="N78" ca="1">INDEX(auto_DataFlat_Score,$F78+N$18,$B$12)</f>
        <v>100</v>
      </c>
      <c r="O78" s="161" cm="1">
        <f t="array" aca="1" ref="O78" ca="1">INDEX(auto_DataFlat_Score,$F78+O$18,$B$12)</f>
        <v>100</v>
      </c>
      <c r="P78" s="161" cm="1">
        <f t="array" aca="1" ref="P78" ca="1">INDEX(auto_DataFlat_Score,$F78+P$18,$B$12)</f>
        <v>100</v>
      </c>
      <c r="Q78" s="161" cm="1">
        <f t="array" aca="1" ref="Q78" ca="1">INDEX(auto_DataFlat_Score,$F78+Q$18,$B$12)</f>
        <v>100</v>
      </c>
      <c r="R78" s="161" cm="1">
        <f t="array" aca="1" ref="R78" ca="1">INDEX(auto_DataFlat_Score,$F78+R$18,$B$12)</f>
        <v>100</v>
      </c>
      <c r="S78" s="161" cm="1">
        <f t="array" aca="1" ref="S78" ca="1">INDEX(auto_DataFlat_Score,$F78+S$18,$B$12)</f>
        <v>100</v>
      </c>
      <c r="T78" s="161" cm="1">
        <f t="array" aca="1" ref="T78" ca="1">INDEX(auto_DataFlat_Score,$F78+T$18,$B$12)</f>
        <v>100</v>
      </c>
      <c r="U78" s="161" cm="1">
        <f t="array" aca="1" ref="U78" ca="1">INDEX(auto_DataFlat_Score,$F78+U$18,$B$12)</f>
        <v>100</v>
      </c>
      <c r="V78" s="161" cm="1">
        <f t="array" aca="1" ref="V78" ca="1">INDEX(auto_DataFlat_Score,$F78+V$18,$B$12)</f>
        <v>100</v>
      </c>
      <c r="W78" s="161" cm="1">
        <f t="array" aca="1" ref="W78" ca="1">INDEX(auto_DataFlat_Score,$F78+W$18,$B$12)</f>
        <v>0</v>
      </c>
      <c r="X78" s="161" cm="1">
        <f t="array" aca="1" ref="X78" ca="1">INDEX(auto_DataFlat_Score,$F78+X$18,$B$12)</f>
        <v>100</v>
      </c>
      <c r="Y78" s="161" cm="1">
        <f t="array" aca="1" ref="Y78" ca="1">INDEX(auto_DataFlat_Score,$F78+Y$18,$B$12)</f>
        <v>100</v>
      </c>
      <c r="Z78" s="161" cm="1">
        <f t="array" aca="1" ref="Z78" ca="1">INDEX(auto_DataFlat_Score,$F78+Z$18,$B$12)</f>
        <v>100</v>
      </c>
      <c r="AA78" s="161" cm="1">
        <f t="array" aca="1" ref="AA78" ca="1">INDEX(auto_DataFlat_Score,$F78+AA$18,$B$12)</f>
        <v>100</v>
      </c>
      <c r="AB78" s="161" cm="1">
        <f t="array" aca="1" ref="AB78" ca="1">INDEX(auto_DataFlat_Score,$F78+AB$18,$B$12)</f>
        <v>100</v>
      </c>
      <c r="AC78" s="161" cm="1">
        <f t="array" aca="1" ref="AC78" ca="1">INDEX(auto_DataFlat_Score,$F78+AC$18,$B$12)</f>
        <v>100</v>
      </c>
      <c r="AD78" s="161" cm="1">
        <f t="array" aca="1" ref="AD78" ca="1">INDEX(auto_DataFlat_Score,$F78+AD$18,$B$12)</f>
        <v>100</v>
      </c>
      <c r="AE78" s="161" cm="1">
        <f t="array" aca="1" ref="AE78" ca="1">INDEX(auto_DataFlat_Score,$F78+AE$18,$B$12)</f>
        <v>0</v>
      </c>
      <c r="AF78" s="161" cm="1">
        <f t="array" aca="1" ref="AF78" ca="1">INDEX(auto_DataFlat_Score,$F78+AF$18,$B$12)</f>
        <v>0</v>
      </c>
      <c r="AG78" s="161" cm="1">
        <f t="array" aca="1" ref="AG78" ca="1">INDEX(auto_DataFlat_Score,$F78+AG$18,$B$12)</f>
        <v>100</v>
      </c>
      <c r="AH78" s="161" cm="1">
        <f t="array" aca="1" ref="AH78" ca="1">INDEX(auto_DataFlat_Score,$F78+AH$18,$B$12)</f>
        <v>100</v>
      </c>
      <c r="AI78" s="161" cm="1">
        <f t="array" aca="1" ref="AI78" ca="1">INDEX(auto_DataFlat_Score,$F78+AI$18,$B$12)</f>
        <v>0</v>
      </c>
      <c r="AJ78" s="161" cm="1">
        <f t="array" aca="1" ref="AJ78" ca="1">INDEX(auto_DataFlat_Score,$F78+AJ$18,$B$12)</f>
        <v>100</v>
      </c>
      <c r="AK78" s="161" cm="1">
        <f t="array" aca="1" ref="AK78" ca="1">INDEX(auto_DataFlat_Score,$F78+AK$18,$B$12)</f>
        <v>100</v>
      </c>
      <c r="AL78" s="161" cm="1">
        <f t="array" aca="1" ref="AL78" ca="1">INDEX(auto_DataFlat_Score,$F78+AL$18,$B$12)</f>
        <v>0</v>
      </c>
      <c r="AM78" s="161" cm="1">
        <f t="array" aca="1" ref="AM78" ca="1">INDEX(auto_DataFlat_Score,$F78+AM$18,$B$12)</f>
        <v>100</v>
      </c>
      <c r="AN78" s="161" cm="1">
        <f t="array" aca="1" ref="AN78" ca="1">INDEX(auto_DataFlat_Score,$F78+AN$18,$B$12)</f>
        <v>100</v>
      </c>
      <c r="AO78" s="161" cm="1">
        <f t="array" aca="1" ref="AO78" ca="1">INDEX(auto_DataFlat_Score,$F78+AO$18,$B$12)</f>
        <v>100</v>
      </c>
      <c r="AP78" s="161" cm="1">
        <f t="array" aca="1" ref="AP78" ca="1">INDEX(auto_DataFlat_Score,$F78+AP$18,$B$12)</f>
        <v>100</v>
      </c>
      <c r="AQ78" s="161" cm="1">
        <f t="array" aca="1" ref="AQ78" ca="1">INDEX(auto_DataFlat_Score,$F78+AQ$18,$B$12)</f>
        <v>100</v>
      </c>
      <c r="AR78" s="161" cm="1">
        <f t="array" aca="1" ref="AR78" ca="1">INDEX(auto_DataFlat_Score,$F78+AR$18,$B$12)</f>
        <v>100</v>
      </c>
      <c r="AS78" s="161" cm="1">
        <f t="array" aca="1" ref="AS78" ca="1">INDEX(auto_DataFlat_Score,$F78+AS$18,$B$12)</f>
        <v>0</v>
      </c>
      <c r="AT78" s="161" cm="1">
        <f t="array" aca="1" ref="AT78" ca="1">INDEX(auto_DataFlat_Score,$F78+AT$18,$B$12)</f>
        <v>100</v>
      </c>
      <c r="AU78" s="161" cm="1">
        <f t="array" aca="1" ref="AU78" ca="1">INDEX(auto_DataFlat_Score,$F78+AU$18,$B$12)</f>
        <v>0</v>
      </c>
      <c r="AV78" s="161" cm="1">
        <f t="array" aca="1" ref="AV78" ca="1">INDEX(auto_DataFlat_Score,$F78+AV$18,$B$12)</f>
        <v>100</v>
      </c>
      <c r="AW78" s="161" cm="1">
        <f t="array" aca="1" ref="AW78" ca="1">INDEX(auto_DataFlat_Score,$F78+AW$18,$B$12)</f>
        <v>0</v>
      </c>
      <c r="AX78" s="161" cm="1">
        <f t="array" aca="1" ref="AX78" ca="1">INDEX(auto_DataFlat_Score,$F78+AX$18,$B$12)</f>
        <v>100</v>
      </c>
      <c r="AY78" s="161" cm="1">
        <f t="array" aca="1" ref="AY78" ca="1">INDEX(auto_DataFlat_Score,$F78+AY$18,$B$12)</f>
        <v>100</v>
      </c>
      <c r="AZ78" s="161" cm="1">
        <f t="array" aca="1" ref="AZ78" ca="1">INDEX(auto_DataFlat_Score,$F78+AZ$18,$B$12)</f>
        <v>0</v>
      </c>
      <c r="BA78" s="161" cm="1">
        <f t="array" aca="1" ref="BA78" ca="1">INDEX(auto_DataFlat_Score,$F78+BA$18,$B$12)</f>
        <v>100</v>
      </c>
      <c r="BB78" s="161" cm="1">
        <f t="array" aca="1" ref="BB78" ca="1">INDEX(auto_DataFlat_Score,$F78+BB$18,$B$12)</f>
        <v>100</v>
      </c>
      <c r="BC78" s="161" cm="1">
        <f t="array" aca="1" ref="BC78" ca="1">INDEX(auto_DataFlat_Score,$F78+BC$18,$B$12)</f>
        <v>100</v>
      </c>
      <c r="BD78" s="161" cm="1">
        <f t="array" aca="1" ref="BD78" ca="1">INDEX(auto_DataFlat_Score,$F78+BD$18,$B$12)</f>
        <v>0</v>
      </c>
      <c r="BE78" s="161" cm="1">
        <f t="array" aca="1" ref="BE78" ca="1">INDEX(auto_DataFlat_Score,$F78+BE$18,$B$12)</f>
        <v>100</v>
      </c>
      <c r="BF78" s="161" cm="1">
        <f t="array" aca="1" ref="BF78" ca="1">INDEX(auto_DataFlat_Score,$F78+BF$18,$B$12)</f>
        <v>0</v>
      </c>
      <c r="BG78" s="161" cm="1">
        <f t="array" aca="1" ref="BG78" ca="1">INDEX(auto_DataFlat_Score,$F78+BG$18,$B$12)</f>
        <v>100</v>
      </c>
      <c r="BH78" s="161" cm="1">
        <f t="array" aca="1" ref="BH78" ca="1">INDEX(auto_DataFlat_Score,$F78+BH$18,$B$12)</f>
        <v>100</v>
      </c>
    </row>
    <row r="79" spans="1:60" ht="17.05" customHeight="1" x14ac:dyDescent="0.4">
      <c r="A79" t="str">
        <f t="shared" ca="1" si="2"/>
        <v/>
      </c>
      <c r="B79" s="49"/>
      <c r="C79" s="4">
        <v>60</v>
      </c>
      <c r="D79" s="49" cm="1">
        <f t="array" aca="1" ref="D79" ca="1">INDEX(OFFSET(auto_ss_score_table,0,1,500,1),C79)</f>
        <v>60</v>
      </c>
      <c r="E79" s="26" cm="1">
        <f t="array" aca="1" ref="E79" ca="1">INDEX(auto_tblSeries,$D79,$E$18)</f>
        <v>2</v>
      </c>
      <c r="F79" s="101" cm="1">
        <f t="array" aca="1" ref="F79" ca="1">INDEX(sys_DataFlat_LU_Grid,$D79,1)-1</f>
        <v>3540</v>
      </c>
      <c r="G79" s="26"/>
      <c r="H79" s="148" t="str" cm="1">
        <f t="array" aca="1" ref="H79" ca="1">INDEX(auto_Series_NameNumbered,$D79)</f>
        <v>5.6) Treatment guidelines</v>
      </c>
      <c r="I79" s="159">
        <f ca="1">OFFSET(iWeights!$G$18,$D79-1,0,1,1)</f>
        <v>0.1111111111111111</v>
      </c>
      <c r="J79" s="160">
        <f ca="1">IF(E79=0,"-",OFFSET(iWeights!$U$18,$D79-1,0,1,1))</f>
        <v>3.2258064516129031E-2</v>
      </c>
      <c r="K79" s="161" cm="1">
        <f t="array" aca="1" ref="K79" ca="1">INDEX(auto_DataFlat_Score,$F79+K$18,$B$12)</f>
        <v>100</v>
      </c>
      <c r="L79" s="161" cm="1">
        <f t="array" aca="1" ref="L79" ca="1">INDEX(auto_DataFlat_Score,$F79+L$18,$B$12)</f>
        <v>50</v>
      </c>
      <c r="M79" s="161" cm="1">
        <f t="array" aca="1" ref="M79" ca="1">INDEX(auto_DataFlat_Score,$F79+M$18,$B$12)</f>
        <v>100</v>
      </c>
      <c r="N79" s="161" cm="1">
        <f t="array" aca="1" ref="N79" ca="1">INDEX(auto_DataFlat_Score,$F79+N$18,$B$12)</f>
        <v>100</v>
      </c>
      <c r="O79" s="161" cm="1">
        <f t="array" aca="1" ref="O79" ca="1">INDEX(auto_DataFlat_Score,$F79+O$18,$B$12)</f>
        <v>100</v>
      </c>
      <c r="P79" s="161" cm="1">
        <f t="array" aca="1" ref="P79" ca="1">INDEX(auto_DataFlat_Score,$F79+P$18,$B$12)</f>
        <v>100</v>
      </c>
      <c r="Q79" s="161" cm="1">
        <f t="array" aca="1" ref="Q79" ca="1">INDEX(auto_DataFlat_Score,$F79+Q$18,$B$12)</f>
        <v>100</v>
      </c>
      <c r="R79" s="161" cm="1">
        <f t="array" aca="1" ref="R79" ca="1">INDEX(auto_DataFlat_Score,$F79+R$18,$B$12)</f>
        <v>100</v>
      </c>
      <c r="S79" s="161" cm="1">
        <f t="array" aca="1" ref="S79" ca="1">INDEX(auto_DataFlat_Score,$F79+S$18,$B$12)</f>
        <v>100</v>
      </c>
      <c r="T79" s="161" cm="1">
        <f t="array" aca="1" ref="T79" ca="1">INDEX(auto_DataFlat_Score,$F79+T$18,$B$12)</f>
        <v>100</v>
      </c>
      <c r="U79" s="161" cm="1">
        <f t="array" aca="1" ref="U79" ca="1">INDEX(auto_DataFlat_Score,$F79+U$18,$B$12)</f>
        <v>100</v>
      </c>
      <c r="V79" s="161" cm="1">
        <f t="array" aca="1" ref="V79" ca="1">INDEX(auto_DataFlat_Score,$F79+V$18,$B$12)</f>
        <v>100</v>
      </c>
      <c r="W79" s="161" cm="1">
        <f t="array" aca="1" ref="W79" ca="1">INDEX(auto_DataFlat_Score,$F79+W$18,$B$12)</f>
        <v>100</v>
      </c>
      <c r="X79" s="161" cm="1">
        <f t="array" aca="1" ref="X79" ca="1">INDEX(auto_DataFlat_Score,$F79+X$18,$B$12)</f>
        <v>100</v>
      </c>
      <c r="Y79" s="161" cm="1">
        <f t="array" aca="1" ref="Y79" ca="1">INDEX(auto_DataFlat_Score,$F79+Y$18,$B$12)</f>
        <v>100</v>
      </c>
      <c r="Z79" s="161" cm="1">
        <f t="array" aca="1" ref="Z79" ca="1">INDEX(auto_DataFlat_Score,$F79+Z$18,$B$12)</f>
        <v>100</v>
      </c>
      <c r="AA79" s="161" cm="1">
        <f t="array" aca="1" ref="AA79" ca="1">INDEX(auto_DataFlat_Score,$F79+AA$18,$B$12)</f>
        <v>100</v>
      </c>
      <c r="AB79" s="161" cm="1">
        <f t="array" aca="1" ref="AB79" ca="1">INDEX(auto_DataFlat_Score,$F79+AB$18,$B$12)</f>
        <v>100</v>
      </c>
      <c r="AC79" s="161" cm="1">
        <f t="array" aca="1" ref="AC79" ca="1">INDEX(auto_DataFlat_Score,$F79+AC$18,$B$12)</f>
        <v>100</v>
      </c>
      <c r="AD79" s="161" cm="1">
        <f t="array" aca="1" ref="AD79" ca="1">INDEX(auto_DataFlat_Score,$F79+AD$18,$B$12)</f>
        <v>100</v>
      </c>
      <c r="AE79" s="161" cm="1">
        <f t="array" aca="1" ref="AE79" ca="1">INDEX(auto_DataFlat_Score,$F79+AE$18,$B$12)</f>
        <v>100</v>
      </c>
      <c r="AF79" s="161" cm="1">
        <f t="array" aca="1" ref="AF79" ca="1">INDEX(auto_DataFlat_Score,$F79+AF$18,$B$12)</f>
        <v>0</v>
      </c>
      <c r="AG79" s="161" cm="1">
        <f t="array" aca="1" ref="AG79" ca="1">INDEX(auto_DataFlat_Score,$F79+AG$18,$B$12)</f>
        <v>100</v>
      </c>
      <c r="AH79" s="161" cm="1">
        <f t="array" aca="1" ref="AH79" ca="1">INDEX(auto_DataFlat_Score,$F79+AH$18,$B$12)</f>
        <v>0</v>
      </c>
      <c r="AI79" s="161" cm="1">
        <f t="array" aca="1" ref="AI79" ca="1">INDEX(auto_DataFlat_Score,$F79+AI$18,$B$12)</f>
        <v>100</v>
      </c>
      <c r="AJ79" s="161" cm="1">
        <f t="array" aca="1" ref="AJ79" ca="1">INDEX(auto_DataFlat_Score,$F79+AJ$18,$B$12)</f>
        <v>100</v>
      </c>
      <c r="AK79" s="161" cm="1">
        <f t="array" aca="1" ref="AK79" ca="1">INDEX(auto_DataFlat_Score,$F79+AK$18,$B$12)</f>
        <v>100</v>
      </c>
      <c r="AL79" s="161" cm="1">
        <f t="array" aca="1" ref="AL79" ca="1">INDEX(auto_DataFlat_Score,$F79+AL$18,$B$12)</f>
        <v>100</v>
      </c>
      <c r="AM79" s="161" cm="1">
        <f t="array" aca="1" ref="AM79" ca="1">INDEX(auto_DataFlat_Score,$F79+AM$18,$B$12)</f>
        <v>100</v>
      </c>
      <c r="AN79" s="161" cm="1">
        <f t="array" aca="1" ref="AN79" ca="1">INDEX(auto_DataFlat_Score,$F79+AN$18,$B$12)</f>
        <v>100</v>
      </c>
      <c r="AO79" s="161" cm="1">
        <f t="array" aca="1" ref="AO79" ca="1">INDEX(auto_DataFlat_Score,$F79+AO$18,$B$12)</f>
        <v>100</v>
      </c>
      <c r="AP79" s="161" cm="1">
        <f t="array" aca="1" ref="AP79" ca="1">INDEX(auto_DataFlat_Score,$F79+AP$18,$B$12)</f>
        <v>100</v>
      </c>
      <c r="AQ79" s="161" cm="1">
        <f t="array" aca="1" ref="AQ79" ca="1">INDEX(auto_DataFlat_Score,$F79+AQ$18,$B$12)</f>
        <v>100</v>
      </c>
      <c r="AR79" s="161" cm="1">
        <f t="array" aca="1" ref="AR79" ca="1">INDEX(auto_DataFlat_Score,$F79+AR$18,$B$12)</f>
        <v>100</v>
      </c>
      <c r="AS79" s="161" cm="1">
        <f t="array" aca="1" ref="AS79" ca="1">INDEX(auto_DataFlat_Score,$F79+AS$18,$B$12)</f>
        <v>100</v>
      </c>
      <c r="AT79" s="161" cm="1">
        <f t="array" aca="1" ref="AT79" ca="1">INDEX(auto_DataFlat_Score,$F79+AT$18,$B$12)</f>
        <v>100</v>
      </c>
      <c r="AU79" s="161" cm="1">
        <f t="array" aca="1" ref="AU79" ca="1">INDEX(auto_DataFlat_Score,$F79+AU$18,$B$12)</f>
        <v>100</v>
      </c>
      <c r="AV79" s="161" cm="1">
        <f t="array" aca="1" ref="AV79" ca="1">INDEX(auto_DataFlat_Score,$F79+AV$18,$B$12)</f>
        <v>100</v>
      </c>
      <c r="AW79" s="161" cm="1">
        <f t="array" aca="1" ref="AW79" ca="1">INDEX(auto_DataFlat_Score,$F79+AW$18,$B$12)</f>
        <v>100</v>
      </c>
      <c r="AX79" s="161" cm="1">
        <f t="array" aca="1" ref="AX79" ca="1">INDEX(auto_DataFlat_Score,$F79+AX$18,$B$12)</f>
        <v>100</v>
      </c>
      <c r="AY79" s="161" cm="1">
        <f t="array" aca="1" ref="AY79" ca="1">INDEX(auto_DataFlat_Score,$F79+AY$18,$B$12)</f>
        <v>100</v>
      </c>
      <c r="AZ79" s="161" cm="1">
        <f t="array" aca="1" ref="AZ79" ca="1">INDEX(auto_DataFlat_Score,$F79+AZ$18,$B$12)</f>
        <v>100</v>
      </c>
      <c r="BA79" s="161" cm="1">
        <f t="array" aca="1" ref="BA79" ca="1">INDEX(auto_DataFlat_Score,$F79+BA$18,$B$12)</f>
        <v>100</v>
      </c>
      <c r="BB79" s="161" cm="1">
        <f t="array" aca="1" ref="BB79" ca="1">INDEX(auto_DataFlat_Score,$F79+BB$18,$B$12)</f>
        <v>100</v>
      </c>
      <c r="BC79" s="161" cm="1">
        <f t="array" aca="1" ref="BC79" ca="1">INDEX(auto_DataFlat_Score,$F79+BC$18,$B$12)</f>
        <v>100</v>
      </c>
      <c r="BD79" s="161" cm="1">
        <f t="array" aca="1" ref="BD79" ca="1">INDEX(auto_DataFlat_Score,$F79+BD$18,$B$12)</f>
        <v>100</v>
      </c>
      <c r="BE79" s="161" cm="1">
        <f t="array" aca="1" ref="BE79" ca="1">INDEX(auto_DataFlat_Score,$F79+BE$18,$B$12)</f>
        <v>100</v>
      </c>
      <c r="BF79" s="161" cm="1">
        <f t="array" aca="1" ref="BF79" ca="1">INDEX(auto_DataFlat_Score,$F79+BF$18,$B$12)</f>
        <v>100</v>
      </c>
      <c r="BG79" s="161" cm="1">
        <f t="array" aca="1" ref="BG79" ca="1">INDEX(auto_DataFlat_Score,$F79+BG$18,$B$12)</f>
        <v>100</v>
      </c>
      <c r="BH79" s="161" cm="1">
        <f t="array" aca="1" ref="BH79" ca="1">INDEX(auto_DataFlat_Score,$F79+BH$18,$B$12)</f>
        <v>100</v>
      </c>
    </row>
    <row r="80" spans="1:60" ht="17.05" customHeight="1" x14ac:dyDescent="0.4">
      <c r="A80" t="str">
        <f t="shared" ca="1" si="2"/>
        <v/>
      </c>
      <c r="B80" s="49"/>
      <c r="C80" s="4">
        <v>61</v>
      </c>
      <c r="D80" s="49" cm="1">
        <f t="array" aca="1" ref="D80" ca="1">INDEX(OFFSET(auto_ss_score_table,0,1,500,1),C80)</f>
        <v>61</v>
      </c>
      <c r="E80" s="26" cm="1">
        <f t="array" aca="1" ref="E80" ca="1">INDEX(auto_tblSeries,$D80,$E$18)</f>
        <v>2</v>
      </c>
      <c r="F80" s="101" cm="1">
        <f t="array" aca="1" ref="F80" ca="1">INDEX(sys_DataFlat_LU_Grid,$D80,1)-1</f>
        <v>3600</v>
      </c>
      <c r="G80" s="26"/>
      <c r="H80" s="148" t="str" cm="1">
        <f t="array" aca="1" ref="H80" ca="1">INDEX(auto_Series_NameNumbered,$D80)</f>
        <v>5.7) Tobacco control</v>
      </c>
      <c r="I80" s="159">
        <f ca="1">IF(D80=1,"-",OFFSET(iWeights!$G$18,$D80-1,0,1,1))</f>
        <v>0.1111111111111111</v>
      </c>
      <c r="J80" s="160">
        <f ca="1">IF(E80=0,"-",OFFSET(iWeights!$U$18,$D80-1,0,1,1))</f>
        <v>3.2258064516129031E-2</v>
      </c>
      <c r="K80" s="161" cm="1">
        <f t="array" aca="1" ref="K80" ca="1">INDEX(auto_DataFlat_Score,$F80+K$18,$B$12)</f>
        <v>75</v>
      </c>
      <c r="L80" s="161" cm="1">
        <f t="array" aca="1" ref="L80" ca="1">INDEX(auto_DataFlat_Score,$F80+L$18,$B$12)</f>
        <v>25</v>
      </c>
      <c r="M80" s="161" cm="1">
        <f t="array" aca="1" ref="M80" ca="1">INDEX(auto_DataFlat_Score,$F80+M$18,$B$12)</f>
        <v>50</v>
      </c>
      <c r="N80" s="161" cm="1">
        <f t="array" aca="1" ref="N80" ca="1">INDEX(auto_DataFlat_Score,$F80+N$18,$B$12)</f>
        <v>100</v>
      </c>
      <c r="O80" s="161" cm="1">
        <f t="array" aca="1" ref="O80" ca="1">INDEX(auto_DataFlat_Score,$F80+O$18,$B$12)</f>
        <v>100</v>
      </c>
      <c r="P80" s="161" cm="1">
        <f t="array" aca="1" ref="P80" ca="1">INDEX(auto_DataFlat_Score,$F80+P$18,$B$12)</f>
        <v>50</v>
      </c>
      <c r="Q80" s="161" cm="1">
        <f t="array" aca="1" ref="Q80" ca="1">INDEX(auto_DataFlat_Score,$F80+Q$18,$B$12)</f>
        <v>75</v>
      </c>
      <c r="R80" s="161" cm="1">
        <f t="array" aca="1" ref="R80" ca="1">INDEX(auto_DataFlat_Score,$F80+R$18,$B$12)</f>
        <v>75</v>
      </c>
      <c r="S80" s="161" cm="1">
        <f t="array" aca="1" ref="S80" ca="1">INDEX(auto_DataFlat_Score,$F80+S$18,$B$12)</f>
        <v>100</v>
      </c>
      <c r="T80" s="161" cm="1">
        <f t="array" aca="1" ref="T80" ca="1">INDEX(auto_DataFlat_Score,$F80+T$18,$B$12)</f>
        <v>50</v>
      </c>
      <c r="U80" s="161" cm="1">
        <f t="array" aca="1" ref="U80" ca="1">INDEX(auto_DataFlat_Score,$F80+U$18,$B$12)</f>
        <v>100</v>
      </c>
      <c r="V80" s="161" cm="1">
        <f t="array" aca="1" ref="V80" ca="1">INDEX(auto_DataFlat_Score,$F80+V$18,$B$12)</f>
        <v>100</v>
      </c>
      <c r="W80" s="161" cm="1">
        <f t="array" aca="1" ref="W80" ca="1">INDEX(auto_DataFlat_Score,$F80+W$18,$B$12)</f>
        <v>50</v>
      </c>
      <c r="X80" s="161" cm="1">
        <f t="array" aca="1" ref="X80" ca="1">INDEX(auto_DataFlat_Score,$F80+X$18,$B$12)</f>
        <v>50</v>
      </c>
      <c r="Y80" s="161" cm="1">
        <f t="array" aca="1" ref="Y80" ca="1">INDEX(auto_DataFlat_Score,$F80+Y$18,$B$12)</f>
        <v>50</v>
      </c>
      <c r="Z80" s="161" cm="1">
        <f t="array" aca="1" ref="Z80" ca="1">INDEX(auto_DataFlat_Score,$F80+Z$18,$B$12)</f>
        <v>75</v>
      </c>
      <c r="AA80" s="161" cm="1">
        <f t="array" aca="1" ref="AA80" ca="1">INDEX(auto_DataFlat_Score,$F80+AA$18,$B$12)</f>
        <v>50</v>
      </c>
      <c r="AB80" s="161" cm="1">
        <f t="array" aca="1" ref="AB80" ca="1">INDEX(auto_DataFlat_Score,$F80+AB$18,$B$12)</f>
        <v>100</v>
      </c>
      <c r="AC80" s="161" cm="1">
        <f t="array" aca="1" ref="AC80" ca="1">INDEX(auto_DataFlat_Score,$F80+AC$18,$B$12)</f>
        <v>50</v>
      </c>
      <c r="AD80" s="161" cm="1">
        <f t="array" aca="1" ref="AD80" ca="1">INDEX(auto_DataFlat_Score,$F80+AD$18,$B$12)</f>
        <v>50</v>
      </c>
      <c r="AE80" s="161" cm="1">
        <f t="array" aca="1" ref="AE80" ca="1">INDEX(auto_DataFlat_Score,$F80+AE$18,$B$12)</f>
        <v>50</v>
      </c>
      <c r="AF80" s="161" cm="1">
        <f t="array" aca="1" ref="AF80" ca="1">INDEX(auto_DataFlat_Score,$F80+AF$18,$B$12)</f>
        <v>50</v>
      </c>
      <c r="AG80" s="161" cm="1">
        <f t="array" aca="1" ref="AG80" ca="1">INDEX(auto_DataFlat_Score,$F80+AG$18,$B$12)</f>
        <v>100</v>
      </c>
      <c r="AH80" s="161" cm="1">
        <f t="array" aca="1" ref="AH80" ca="1">INDEX(auto_DataFlat_Score,$F80+AH$18,$B$12)</f>
        <v>50</v>
      </c>
      <c r="AI80" s="161" cm="1">
        <f t="array" aca="1" ref="AI80" ca="1">INDEX(auto_DataFlat_Score,$F80+AI$18,$B$12)</f>
        <v>50</v>
      </c>
      <c r="AJ80" s="161" cm="1">
        <f t="array" aca="1" ref="AJ80" ca="1">INDEX(auto_DataFlat_Score,$F80+AJ$18,$B$12)</f>
        <v>100</v>
      </c>
      <c r="AK80" s="161" cm="1">
        <f t="array" aca="1" ref="AK80" ca="1">INDEX(auto_DataFlat_Score,$F80+AK$18,$B$12)</f>
        <v>100</v>
      </c>
      <c r="AL80" s="161" cm="1">
        <f t="array" aca="1" ref="AL80" ca="1">INDEX(auto_DataFlat_Score,$F80+AL$18,$B$12)</f>
        <v>75</v>
      </c>
      <c r="AM80" s="161" cm="1">
        <f t="array" aca="1" ref="AM80" ca="1">INDEX(auto_DataFlat_Score,$F80+AM$18,$B$12)</f>
        <v>75</v>
      </c>
      <c r="AN80" s="161" cm="1">
        <f t="array" aca="1" ref="AN80" ca="1">INDEX(auto_DataFlat_Score,$F80+AN$18,$B$12)</f>
        <v>75</v>
      </c>
      <c r="AO80" s="161" cm="1">
        <f t="array" aca="1" ref="AO80" ca="1">INDEX(auto_DataFlat_Score,$F80+AO$18,$B$12)</f>
        <v>100</v>
      </c>
      <c r="AP80" s="161" cm="1">
        <f t="array" aca="1" ref="AP80" ca="1">INDEX(auto_DataFlat_Score,$F80+AP$18,$B$12)</f>
        <v>100</v>
      </c>
      <c r="AQ80" s="161" cm="1">
        <f t="array" aca="1" ref="AQ80" ca="1">INDEX(auto_DataFlat_Score,$F80+AQ$18,$B$12)</f>
        <v>50</v>
      </c>
      <c r="AR80" s="161" cm="1">
        <f t="array" aca="1" ref="AR80" ca="1">INDEX(auto_DataFlat_Score,$F80+AR$18,$B$12)</f>
        <v>50</v>
      </c>
      <c r="AS80" s="161" cm="1">
        <f t="array" aca="1" ref="AS80" ca="1">INDEX(auto_DataFlat_Score,$F80+AS$18,$B$12)</f>
        <v>50</v>
      </c>
      <c r="AT80" s="161" cm="1">
        <f t="array" aca="1" ref="AT80" ca="1">INDEX(auto_DataFlat_Score,$F80+AT$18,$B$12)</f>
        <v>75</v>
      </c>
      <c r="AU80" s="161" cm="1">
        <f t="array" aca="1" ref="AU80" ca="1">INDEX(auto_DataFlat_Score,$F80+AU$18,$B$12)</f>
        <v>75</v>
      </c>
      <c r="AV80" s="161" cm="1">
        <f t="array" aca="1" ref="AV80" ca="1">INDEX(auto_DataFlat_Score,$F80+AV$18,$B$12)</f>
        <v>75</v>
      </c>
      <c r="AW80" s="161" cm="1">
        <f t="array" aca="1" ref="AW80" ca="1">INDEX(auto_DataFlat_Score,$F80+AW$18,$B$12)</f>
        <v>50</v>
      </c>
      <c r="AX80" s="161" cm="1">
        <f t="array" aca="1" ref="AX80" ca="1">INDEX(auto_DataFlat_Score,$F80+AX$18,$B$12)</f>
        <v>50</v>
      </c>
      <c r="AY80" s="161" cm="1">
        <f t="array" aca="1" ref="AY80" ca="1">INDEX(auto_DataFlat_Score,$F80+AY$18,$B$12)</f>
        <v>50</v>
      </c>
      <c r="AZ80" s="161" cm="1">
        <f t="array" aca="1" ref="AZ80" ca="1">INDEX(auto_DataFlat_Score,$F80+AZ$18,$B$12)</f>
        <v>50</v>
      </c>
      <c r="BA80" s="161" cm="1">
        <f t="array" aca="1" ref="BA80" ca="1">INDEX(auto_DataFlat_Score,$F80+BA$18,$B$12)</f>
        <v>50</v>
      </c>
      <c r="BB80" s="161" cm="1">
        <f t="array" aca="1" ref="BB80" ca="1">INDEX(auto_DataFlat_Score,$F80+BB$18,$B$12)</f>
        <v>50</v>
      </c>
      <c r="BC80" s="161" cm="1">
        <f t="array" aca="1" ref="BC80" ca="1">INDEX(auto_DataFlat_Score,$F80+BC$18,$B$12)</f>
        <v>75</v>
      </c>
      <c r="BD80" s="161" cm="1">
        <f t="array" aca="1" ref="BD80" ca="1">INDEX(auto_DataFlat_Score,$F80+BD$18,$B$12)</f>
        <v>50</v>
      </c>
      <c r="BE80" s="161" cm="1">
        <f t="array" aca="1" ref="BE80" ca="1">INDEX(auto_DataFlat_Score,$F80+BE$18,$B$12)</f>
        <v>100</v>
      </c>
      <c r="BF80" s="161" cm="1">
        <f t="array" aca="1" ref="BF80" ca="1">INDEX(auto_DataFlat_Score,$F80+BF$18,$B$12)</f>
        <v>50</v>
      </c>
      <c r="BG80" s="161" cm="1">
        <f t="array" aca="1" ref="BG80" ca="1">INDEX(auto_DataFlat_Score,$F80+BG$18,$B$12)</f>
        <v>50</v>
      </c>
      <c r="BH80" s="161" cm="1">
        <f t="array" aca="1" ref="BH80" ca="1">INDEX(auto_DataFlat_Score,$F80+BH$18,$B$12)</f>
        <v>50</v>
      </c>
    </row>
    <row r="81" spans="1:60" ht="17.05" customHeight="1" x14ac:dyDescent="0.4">
      <c r="A81" t="str">
        <f t="shared" ca="1" si="2"/>
        <v/>
      </c>
      <c r="B81" s="49"/>
      <c r="C81" s="4">
        <v>62</v>
      </c>
      <c r="D81" s="49" cm="1">
        <f t="array" aca="1" ref="D81" ca="1">INDEX(OFFSET(auto_ss_score_table,0,1,500,1),C81)</f>
        <v>62</v>
      </c>
      <c r="E81" s="26" cm="1">
        <f t="array" aca="1" ref="E81" ca="1">INDEX(auto_tblSeries,$D81,$E$18)</f>
        <v>2</v>
      </c>
      <c r="F81" s="101" cm="1">
        <f t="array" aca="1" ref="F81" ca="1">INDEX(sys_DataFlat_LU_Grid,$D81,1)-1</f>
        <v>3660</v>
      </c>
      <c r="G81" s="26"/>
      <c r="H81" s="148" t="str" cm="1">
        <f t="array" aca="1" ref="H81" ca="1">INDEX(auto_Series_NameNumbered,$D81)</f>
        <v>5.8) Air pollution control</v>
      </c>
      <c r="I81" s="159">
        <f ca="1">OFFSET(iWeights!$G$18,$D81-1,0,1,1)</f>
        <v>0.1111111111111111</v>
      </c>
      <c r="J81" s="160">
        <f ca="1">IF(E81=0,"-",OFFSET(iWeights!$U$18,$D81-1,0,1,1))</f>
        <v>3.2258064516129031E-2</v>
      </c>
      <c r="K81" s="161" cm="1">
        <f t="array" aca="1" ref="K81" ca="1">INDEX(auto_DataFlat_Score,$F81+K$18,$B$12)</f>
        <v>66.7</v>
      </c>
      <c r="L81" s="161" cm="1">
        <f t="array" aca="1" ref="L81" ca="1">INDEX(auto_DataFlat_Score,$F81+L$18,$B$12)</f>
        <v>66.7</v>
      </c>
      <c r="M81" s="161" cm="1">
        <f t="array" aca="1" ref="M81" ca="1">INDEX(auto_DataFlat_Score,$F81+M$18,$B$12)</f>
        <v>66.7</v>
      </c>
      <c r="N81" s="161" cm="1">
        <f t="array" aca="1" ref="N81" ca="1">INDEX(auto_DataFlat_Score,$F81+N$18,$B$12)</f>
        <v>66.7</v>
      </c>
      <c r="O81" s="161" cm="1">
        <f t="array" aca="1" ref="O81" ca="1">INDEX(auto_DataFlat_Score,$F81+O$18,$B$12)</f>
        <v>100</v>
      </c>
      <c r="P81" s="161" cm="1">
        <f t="array" aca="1" ref="P81" ca="1">INDEX(auto_DataFlat_Score,$F81+P$18,$B$12)</f>
        <v>66.7</v>
      </c>
      <c r="Q81" s="161" cm="1">
        <f t="array" aca="1" ref="Q81" ca="1">INDEX(auto_DataFlat_Score,$F81+Q$18,$B$12)</f>
        <v>100</v>
      </c>
      <c r="R81" s="161" cm="1">
        <f t="array" aca="1" ref="R81" ca="1">INDEX(auto_DataFlat_Score,$F81+R$18,$B$12)</f>
        <v>100</v>
      </c>
      <c r="S81" s="161" cm="1">
        <f t="array" aca="1" ref="S81" ca="1">INDEX(auto_DataFlat_Score,$F81+S$18,$B$12)</f>
        <v>100</v>
      </c>
      <c r="T81" s="161" cm="1">
        <f t="array" aca="1" ref="T81" ca="1">INDEX(auto_DataFlat_Score,$F81+T$18,$B$12)</f>
        <v>66.7</v>
      </c>
      <c r="U81" s="161" cm="1">
        <f t="array" aca="1" ref="U81" ca="1">INDEX(auto_DataFlat_Score,$F81+U$18,$B$12)</f>
        <v>66.7</v>
      </c>
      <c r="V81" s="161" cm="1">
        <f t="array" aca="1" ref="V81" ca="1">INDEX(auto_DataFlat_Score,$F81+V$18,$B$12)</f>
        <v>100</v>
      </c>
      <c r="W81" s="161" cm="1">
        <f t="array" aca="1" ref="W81" ca="1">INDEX(auto_DataFlat_Score,$F81+W$18,$B$12)</f>
        <v>66.7</v>
      </c>
      <c r="X81" s="161" cm="1">
        <f t="array" aca="1" ref="X81" ca="1">INDEX(auto_DataFlat_Score,$F81+X$18,$B$12)</f>
        <v>100</v>
      </c>
      <c r="Y81" s="161" cm="1">
        <f t="array" aca="1" ref="Y81" ca="1">INDEX(auto_DataFlat_Score,$F81+Y$18,$B$12)</f>
        <v>100</v>
      </c>
      <c r="Z81" s="161" cm="1">
        <f t="array" aca="1" ref="Z81" ca="1">INDEX(auto_DataFlat_Score,$F81+Z$18,$B$12)</f>
        <v>100</v>
      </c>
      <c r="AA81" s="161" cm="1">
        <f t="array" aca="1" ref="AA81" ca="1">INDEX(auto_DataFlat_Score,$F81+AA$18,$B$12)</f>
        <v>66.7</v>
      </c>
      <c r="AB81" s="161" cm="1">
        <f t="array" aca="1" ref="AB81" ca="1">INDEX(auto_DataFlat_Score,$F81+AB$18,$B$12)</f>
        <v>100</v>
      </c>
      <c r="AC81" s="161" cm="1">
        <f t="array" aca="1" ref="AC81" ca="1">INDEX(auto_DataFlat_Score,$F81+AC$18,$B$12)</f>
        <v>100</v>
      </c>
      <c r="AD81" s="161" cm="1">
        <f t="array" aca="1" ref="AD81" ca="1">INDEX(auto_DataFlat_Score,$F81+AD$18,$B$12)</f>
        <v>66.7</v>
      </c>
      <c r="AE81" s="161" cm="1">
        <f t="array" aca="1" ref="AE81" ca="1">INDEX(auto_DataFlat_Score,$F81+AE$18,$B$12)</f>
        <v>100</v>
      </c>
      <c r="AF81" s="161" cm="1">
        <f t="array" aca="1" ref="AF81" ca="1">INDEX(auto_DataFlat_Score,$F81+AF$18,$B$12)</f>
        <v>33.299999999999997</v>
      </c>
      <c r="AG81" s="161" cm="1">
        <f t="array" aca="1" ref="AG81" ca="1">INDEX(auto_DataFlat_Score,$F81+AG$18,$B$12)</f>
        <v>100</v>
      </c>
      <c r="AH81" s="161" cm="1">
        <f t="array" aca="1" ref="AH81" ca="1">INDEX(auto_DataFlat_Score,$F81+AH$18,$B$12)</f>
        <v>100</v>
      </c>
      <c r="AI81" s="161" cm="1">
        <f t="array" aca="1" ref="AI81" ca="1">INDEX(auto_DataFlat_Score,$F81+AI$18,$B$12)</f>
        <v>33.299999999999997</v>
      </c>
      <c r="AJ81" s="161" cm="1">
        <f t="array" aca="1" ref="AJ81" ca="1">INDEX(auto_DataFlat_Score,$F81+AJ$18,$B$12)</f>
        <v>100</v>
      </c>
      <c r="AK81" s="161" cm="1">
        <f t="array" aca="1" ref="AK81" ca="1">INDEX(auto_DataFlat_Score,$F81+AK$18,$B$12)</f>
        <v>100</v>
      </c>
      <c r="AL81" s="161" cm="1">
        <f t="array" aca="1" ref="AL81" ca="1">INDEX(auto_DataFlat_Score,$F81+AL$18,$B$12)</f>
        <v>66.7</v>
      </c>
      <c r="AM81" s="161" cm="1">
        <f t="array" aca="1" ref="AM81" ca="1">INDEX(auto_DataFlat_Score,$F81+AM$18,$B$12)</f>
        <v>100</v>
      </c>
      <c r="AN81" s="161" cm="1">
        <f t="array" aca="1" ref="AN81" ca="1">INDEX(auto_DataFlat_Score,$F81+AN$18,$B$12)</f>
        <v>100</v>
      </c>
      <c r="AO81" s="161" cm="1">
        <f t="array" aca="1" ref="AO81" ca="1">INDEX(auto_DataFlat_Score,$F81+AO$18,$B$12)</f>
        <v>66.7</v>
      </c>
      <c r="AP81" s="161" cm="1">
        <f t="array" aca="1" ref="AP81" ca="1">INDEX(auto_DataFlat_Score,$F81+AP$18,$B$12)</f>
        <v>100</v>
      </c>
      <c r="AQ81" s="161" cm="1">
        <f t="array" aca="1" ref="AQ81" ca="1">INDEX(auto_DataFlat_Score,$F81+AQ$18,$B$12)</f>
        <v>66.7</v>
      </c>
      <c r="AR81" s="161" cm="1">
        <f t="array" aca="1" ref="AR81" ca="1">INDEX(auto_DataFlat_Score,$F81+AR$18,$B$12)</f>
        <v>100</v>
      </c>
      <c r="AS81" s="161" cm="1">
        <f t="array" aca="1" ref="AS81" ca="1">INDEX(auto_DataFlat_Score,$F81+AS$18,$B$12)</f>
        <v>66.7</v>
      </c>
      <c r="AT81" s="161" cm="1">
        <f t="array" aca="1" ref="AT81" ca="1">INDEX(auto_DataFlat_Score,$F81+AT$18,$B$12)</f>
        <v>66.7</v>
      </c>
      <c r="AU81" s="161" cm="1">
        <f t="array" aca="1" ref="AU81" ca="1">INDEX(auto_DataFlat_Score,$F81+AU$18,$B$12)</f>
        <v>66.7</v>
      </c>
      <c r="AV81" s="161" cm="1">
        <f t="array" aca="1" ref="AV81" ca="1">INDEX(auto_DataFlat_Score,$F81+AV$18,$B$12)</f>
        <v>100</v>
      </c>
      <c r="AW81" s="161" cm="1">
        <f t="array" aca="1" ref="AW81" ca="1">INDEX(auto_DataFlat_Score,$F81+AW$18,$B$12)</f>
        <v>100</v>
      </c>
      <c r="AX81" s="161" cm="1">
        <f t="array" aca="1" ref="AX81" ca="1">INDEX(auto_DataFlat_Score,$F81+AX$18,$B$12)</f>
        <v>100</v>
      </c>
      <c r="AY81" s="161" cm="1">
        <f t="array" aca="1" ref="AY81" ca="1">INDEX(auto_DataFlat_Score,$F81+AY$18,$B$12)</f>
        <v>66.7</v>
      </c>
      <c r="AZ81" s="161" cm="1">
        <f t="array" aca="1" ref="AZ81" ca="1">INDEX(auto_DataFlat_Score,$F81+AZ$18,$B$12)</f>
        <v>100</v>
      </c>
      <c r="BA81" s="161" cm="1">
        <f t="array" aca="1" ref="BA81" ca="1">INDEX(auto_DataFlat_Score,$F81+BA$18,$B$12)</f>
        <v>66.7</v>
      </c>
      <c r="BB81" s="161" cm="1">
        <f t="array" aca="1" ref="BB81" ca="1">INDEX(auto_DataFlat_Score,$F81+BB$18,$B$12)</f>
        <v>100</v>
      </c>
      <c r="BC81" s="161" cm="1">
        <f t="array" aca="1" ref="BC81" ca="1">INDEX(auto_DataFlat_Score,$F81+BC$18,$B$12)</f>
        <v>100</v>
      </c>
      <c r="BD81" s="161" cm="1">
        <f t="array" aca="1" ref="BD81" ca="1">INDEX(auto_DataFlat_Score,$F81+BD$18,$B$12)</f>
        <v>66.7</v>
      </c>
      <c r="BE81" s="161" cm="1">
        <f t="array" aca="1" ref="BE81" ca="1">INDEX(auto_DataFlat_Score,$F81+BE$18,$B$12)</f>
        <v>100</v>
      </c>
      <c r="BF81" s="161" cm="1">
        <f t="array" aca="1" ref="BF81" ca="1">INDEX(auto_DataFlat_Score,$F81+BF$18,$B$12)</f>
        <v>100</v>
      </c>
      <c r="BG81" s="161" cm="1">
        <f t="array" aca="1" ref="BG81" ca="1">INDEX(auto_DataFlat_Score,$F81+BG$18,$B$12)</f>
        <v>66.7</v>
      </c>
      <c r="BH81" s="161" cm="1">
        <f t="array" aca="1" ref="BH81" ca="1">INDEX(auto_DataFlat_Score,$F81+BH$18,$B$12)</f>
        <v>33.299999999999997</v>
      </c>
    </row>
    <row r="82" spans="1:60" ht="17.05" customHeight="1" x14ac:dyDescent="0.4">
      <c r="A82" t="str">
        <f t="shared" ca="1" si="2"/>
        <v/>
      </c>
      <c r="B82" s="49"/>
      <c r="C82" s="4">
        <v>63</v>
      </c>
      <c r="D82" s="49" cm="1">
        <f t="array" aca="1" ref="D82" ca="1">INDEX(OFFSET(auto_ss_score_table,0,1,500,1),C82)</f>
        <v>63</v>
      </c>
      <c r="E82" s="26" cm="1">
        <f t="array" aca="1" ref="E82" ca="1">INDEX(auto_tblSeries,$D82,$E$18)</f>
        <v>2</v>
      </c>
      <c r="F82" s="101" cm="1">
        <f t="array" aca="1" ref="F82" ca="1">INDEX(sys_DataFlat_LU_Grid,$D82,1)-1</f>
        <v>3720</v>
      </c>
      <c r="G82" s="26"/>
      <c r="H82" s="148" t="str" cm="1">
        <f t="array" aca="1" ref="H82" ca="1">INDEX(auto_Series_NameNumbered,$D82)</f>
        <v>5.9) Health promotion</v>
      </c>
      <c r="I82" s="159">
        <f ca="1">IF(D82=1,"-",OFFSET(iWeights!$G$18,$D82-1,0,1,1))</f>
        <v>0.1111111111111111</v>
      </c>
      <c r="J82" s="160">
        <f ca="1">IF(E82=0,"-",OFFSET(iWeights!$U$18,$D82-1,0,1,1))</f>
        <v>3.2258064516129031E-2</v>
      </c>
      <c r="K82" s="161" cm="1">
        <f t="array" aca="1" ref="K82" ca="1">INDEX(auto_DataFlat_Score,$F82+K$18,$B$12)</f>
        <v>0</v>
      </c>
      <c r="L82" s="161" cm="1">
        <f t="array" aca="1" ref="L82" ca="1">INDEX(auto_DataFlat_Score,$F82+L$18,$B$12)</f>
        <v>0</v>
      </c>
      <c r="M82" s="161" cm="1">
        <f t="array" aca="1" ref="M82" ca="1">INDEX(auto_DataFlat_Score,$F82+M$18,$B$12)</f>
        <v>50</v>
      </c>
      <c r="N82" s="161" cm="1">
        <f t="array" aca="1" ref="N82" ca="1">INDEX(auto_DataFlat_Score,$F82+N$18,$B$12)</f>
        <v>100</v>
      </c>
      <c r="O82" s="161" cm="1">
        <f t="array" aca="1" ref="O82" ca="1">INDEX(auto_DataFlat_Score,$F82+O$18,$B$12)</f>
        <v>50</v>
      </c>
      <c r="P82" s="161" cm="1">
        <f t="array" aca="1" ref="P82" ca="1">INDEX(auto_DataFlat_Score,$F82+P$18,$B$12)</f>
        <v>50</v>
      </c>
      <c r="Q82" s="161" cm="1">
        <f t="array" aca="1" ref="Q82" ca="1">INDEX(auto_DataFlat_Score,$F82+Q$18,$B$12)</f>
        <v>50</v>
      </c>
      <c r="R82" s="161" cm="1">
        <f t="array" aca="1" ref="R82" ca="1">INDEX(auto_DataFlat_Score,$F82+R$18,$B$12)</f>
        <v>50</v>
      </c>
      <c r="S82" s="161" cm="1">
        <f t="array" aca="1" ref="S82" ca="1">INDEX(auto_DataFlat_Score,$F82+S$18,$B$12)</f>
        <v>50</v>
      </c>
      <c r="T82" s="161" cm="1">
        <f t="array" aca="1" ref="T82" ca="1">INDEX(auto_DataFlat_Score,$F82+T$18,$B$12)</f>
        <v>0</v>
      </c>
      <c r="U82" s="161" cm="1">
        <f t="array" aca="1" ref="U82" ca="1">INDEX(auto_DataFlat_Score,$F82+U$18,$B$12)</f>
        <v>50</v>
      </c>
      <c r="V82" s="161" cm="1">
        <f t="array" aca="1" ref="V82" ca="1">INDEX(auto_DataFlat_Score,$F82+V$18,$B$12)</f>
        <v>50</v>
      </c>
      <c r="W82" s="161" cm="1">
        <f t="array" aca="1" ref="W82" ca="1">INDEX(auto_DataFlat_Score,$F82+W$18,$B$12)</f>
        <v>0</v>
      </c>
      <c r="X82" s="161" cm="1">
        <f t="array" aca="1" ref="X82" ca="1">INDEX(auto_DataFlat_Score,$F82+X$18,$B$12)</f>
        <v>50</v>
      </c>
      <c r="Y82" s="161" cm="1">
        <f t="array" aca="1" ref="Y82" ca="1">INDEX(auto_DataFlat_Score,$F82+Y$18,$B$12)</f>
        <v>100</v>
      </c>
      <c r="Z82" s="161" cm="1">
        <f t="array" aca="1" ref="Z82" ca="1">INDEX(auto_DataFlat_Score,$F82+Z$18,$B$12)</f>
        <v>0</v>
      </c>
      <c r="AA82" s="161" cm="1">
        <f t="array" aca="1" ref="AA82" ca="1">INDEX(auto_DataFlat_Score,$F82+AA$18,$B$12)</f>
        <v>100</v>
      </c>
      <c r="AB82" s="161" cm="1">
        <f t="array" aca="1" ref="AB82" ca="1">INDEX(auto_DataFlat_Score,$F82+AB$18,$B$12)</f>
        <v>0</v>
      </c>
      <c r="AC82" s="161" cm="1">
        <f t="array" aca="1" ref="AC82" ca="1">INDEX(auto_DataFlat_Score,$F82+AC$18,$B$12)</f>
        <v>0</v>
      </c>
      <c r="AD82" s="161" cm="1">
        <f t="array" aca="1" ref="AD82" ca="1">INDEX(auto_DataFlat_Score,$F82+AD$18,$B$12)</f>
        <v>50</v>
      </c>
      <c r="AE82" s="161" cm="1">
        <f t="array" aca="1" ref="AE82" ca="1">INDEX(auto_DataFlat_Score,$F82+AE$18,$B$12)</f>
        <v>50</v>
      </c>
      <c r="AF82" s="161" cm="1">
        <f t="array" aca="1" ref="AF82" ca="1">INDEX(auto_DataFlat_Score,$F82+AF$18,$B$12)</f>
        <v>0</v>
      </c>
      <c r="AG82" s="161" cm="1">
        <f t="array" aca="1" ref="AG82" ca="1">INDEX(auto_DataFlat_Score,$F82+AG$18,$B$12)</f>
        <v>0</v>
      </c>
      <c r="AH82" s="161" cm="1">
        <f t="array" aca="1" ref="AH82" ca="1">INDEX(auto_DataFlat_Score,$F82+AH$18,$B$12)</f>
        <v>0</v>
      </c>
      <c r="AI82" s="161" cm="1">
        <f t="array" aca="1" ref="AI82" ca="1">INDEX(auto_DataFlat_Score,$F82+AI$18,$B$12)</f>
        <v>50</v>
      </c>
      <c r="AJ82" s="161" cm="1">
        <f t="array" aca="1" ref="AJ82" ca="1">INDEX(auto_DataFlat_Score,$F82+AJ$18,$B$12)</f>
        <v>100</v>
      </c>
      <c r="AK82" s="161" cm="1">
        <f t="array" aca="1" ref="AK82" ca="1">INDEX(auto_DataFlat_Score,$F82+AK$18,$B$12)</f>
        <v>50</v>
      </c>
      <c r="AL82" s="161" cm="1">
        <f t="array" aca="1" ref="AL82" ca="1">INDEX(auto_DataFlat_Score,$F82+AL$18,$B$12)</f>
        <v>0</v>
      </c>
      <c r="AM82" s="161" cm="1">
        <f t="array" aca="1" ref="AM82" ca="1">INDEX(auto_DataFlat_Score,$F82+AM$18,$B$12)</f>
        <v>50</v>
      </c>
      <c r="AN82" s="161" cm="1">
        <f t="array" aca="1" ref="AN82" ca="1">INDEX(auto_DataFlat_Score,$F82+AN$18,$B$12)</f>
        <v>50</v>
      </c>
      <c r="AO82" s="161" cm="1">
        <f t="array" aca="1" ref="AO82" ca="1">INDEX(auto_DataFlat_Score,$F82+AO$18,$B$12)</f>
        <v>50</v>
      </c>
      <c r="AP82" s="161" cm="1">
        <f t="array" aca="1" ref="AP82" ca="1">INDEX(auto_DataFlat_Score,$F82+AP$18,$B$12)</f>
        <v>50</v>
      </c>
      <c r="AQ82" s="161" cm="1">
        <f t="array" aca="1" ref="AQ82" ca="1">INDEX(auto_DataFlat_Score,$F82+AQ$18,$B$12)</f>
        <v>50</v>
      </c>
      <c r="AR82" s="161" cm="1">
        <f t="array" aca="1" ref="AR82" ca="1">INDEX(auto_DataFlat_Score,$F82+AR$18,$B$12)</f>
        <v>100</v>
      </c>
      <c r="AS82" s="161" cm="1">
        <f t="array" aca="1" ref="AS82" ca="1">INDEX(auto_DataFlat_Score,$F82+AS$18,$B$12)</f>
        <v>50</v>
      </c>
      <c r="AT82" s="161" cm="1">
        <f t="array" aca="1" ref="AT82" ca="1">INDEX(auto_DataFlat_Score,$F82+AT$18,$B$12)</f>
        <v>0</v>
      </c>
      <c r="AU82" s="161" cm="1">
        <f t="array" aca="1" ref="AU82" ca="1">INDEX(auto_DataFlat_Score,$F82+AU$18,$B$12)</f>
        <v>0</v>
      </c>
      <c r="AV82" s="161" cm="1">
        <f t="array" aca="1" ref="AV82" ca="1">INDEX(auto_DataFlat_Score,$F82+AV$18,$B$12)</f>
        <v>50</v>
      </c>
      <c r="AW82" s="161" cm="1">
        <f t="array" aca="1" ref="AW82" ca="1">INDEX(auto_DataFlat_Score,$F82+AW$18,$B$12)</f>
        <v>0</v>
      </c>
      <c r="AX82" s="161" cm="1">
        <f t="array" aca="1" ref="AX82" ca="1">INDEX(auto_DataFlat_Score,$F82+AX$18,$B$12)</f>
        <v>50</v>
      </c>
      <c r="AY82" s="161" cm="1">
        <f t="array" aca="1" ref="AY82" ca="1">INDEX(auto_DataFlat_Score,$F82+AY$18,$B$12)</f>
        <v>50</v>
      </c>
      <c r="AZ82" s="161" cm="1">
        <f t="array" aca="1" ref="AZ82" ca="1">INDEX(auto_DataFlat_Score,$F82+AZ$18,$B$12)</f>
        <v>50</v>
      </c>
      <c r="BA82" s="161" cm="1">
        <f t="array" aca="1" ref="BA82" ca="1">INDEX(auto_DataFlat_Score,$F82+BA$18,$B$12)</f>
        <v>50</v>
      </c>
      <c r="BB82" s="161" cm="1">
        <f t="array" aca="1" ref="BB82" ca="1">INDEX(auto_DataFlat_Score,$F82+BB$18,$B$12)</f>
        <v>50</v>
      </c>
      <c r="BC82" s="161" cm="1">
        <f t="array" aca="1" ref="BC82" ca="1">INDEX(auto_DataFlat_Score,$F82+BC$18,$B$12)</f>
        <v>50</v>
      </c>
      <c r="BD82" s="161" cm="1">
        <f t="array" aca="1" ref="BD82" ca="1">INDEX(auto_DataFlat_Score,$F82+BD$18,$B$12)</f>
        <v>100</v>
      </c>
      <c r="BE82" s="161" cm="1">
        <f t="array" aca="1" ref="BE82" ca="1">INDEX(auto_DataFlat_Score,$F82+BE$18,$B$12)</f>
        <v>50</v>
      </c>
      <c r="BF82" s="161" cm="1">
        <f t="array" aca="1" ref="BF82" ca="1">INDEX(auto_DataFlat_Score,$F82+BF$18,$B$12)</f>
        <v>50</v>
      </c>
      <c r="BG82" s="161" cm="1">
        <f t="array" aca="1" ref="BG82" ca="1">INDEX(auto_DataFlat_Score,$F82+BG$18,$B$12)</f>
        <v>50</v>
      </c>
      <c r="BH82" s="161" cm="1">
        <f t="array" aca="1" ref="BH82" ca="1">INDEX(auto_DataFlat_Score,$F82+BH$18,$B$12)</f>
        <v>0</v>
      </c>
    </row>
    <row r="83" spans="1:60" x14ac:dyDescent="0.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row>
    <row r="84" spans="1:60" x14ac:dyDescent="0.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row>
    <row r="85" spans="1:60" x14ac:dyDescent="0.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row>
    <row r="86" spans="1:60" x14ac:dyDescent="0.4">
      <c r="A86" t="s">
        <v>3</v>
      </c>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row>
    <row r="87" spans="1:60" x14ac:dyDescent="0.4"/>
    <row r="88" spans="1:60" x14ac:dyDescent="0.4"/>
    <row r="89" spans="1:60" x14ac:dyDescent="0.4"/>
    <row r="90" spans="1:60" x14ac:dyDescent="0.4"/>
    <row r="91" spans="1:60" x14ac:dyDescent="0.4"/>
    <row r="92" spans="1:60" x14ac:dyDescent="0.4"/>
    <row r="93" spans="1:60" x14ac:dyDescent="0.4"/>
    <row r="94" spans="1:60" x14ac:dyDescent="0.4"/>
    <row r="95" spans="1:60" x14ac:dyDescent="0.4"/>
    <row r="96" spans="1:60" x14ac:dyDescent="0.4"/>
    <row r="97" x14ac:dyDescent="0.4"/>
    <row r="98" x14ac:dyDescent="0.4"/>
    <row r="99" x14ac:dyDescent="0.4"/>
    <row r="100" x14ac:dyDescent="0.4"/>
    <row r="101" x14ac:dyDescent="0.4"/>
    <row r="102" x14ac:dyDescent="0.4"/>
    <row r="103" x14ac:dyDescent="0.4"/>
    <row r="104" x14ac:dyDescent="0.4"/>
    <row r="105" x14ac:dyDescent="0.4"/>
    <row r="106" x14ac:dyDescent="0.4"/>
    <row r="107" x14ac:dyDescent="0.4"/>
    <row r="108" x14ac:dyDescent="0.4"/>
    <row r="109" x14ac:dyDescent="0.4"/>
    <row r="110" x14ac:dyDescent="0.4"/>
    <row r="111" x14ac:dyDescent="0.4"/>
    <row r="112" x14ac:dyDescent="0.4"/>
    <row r="113" x14ac:dyDescent="0.4"/>
    <row r="114" x14ac:dyDescent="0.4"/>
    <row r="115" x14ac:dyDescent="0.4"/>
    <row r="116" x14ac:dyDescent="0.4"/>
    <row r="117" x14ac:dyDescent="0.4"/>
    <row r="118" x14ac:dyDescent="0.4"/>
    <row r="119" x14ac:dyDescent="0.4"/>
    <row r="120" x14ac:dyDescent="0.4"/>
    <row r="121" x14ac:dyDescent="0.4"/>
    <row r="122" x14ac:dyDescent="0.4"/>
    <row r="123" x14ac:dyDescent="0.4"/>
    <row r="124" x14ac:dyDescent="0.4"/>
    <row r="125" x14ac:dyDescent="0.4"/>
    <row r="126" x14ac:dyDescent="0.4"/>
    <row r="127" x14ac:dyDescent="0.4"/>
    <row r="128" x14ac:dyDescent="0.4"/>
    <row r="129" x14ac:dyDescent="0.4"/>
    <row r="130" x14ac:dyDescent="0.4"/>
    <row r="131" x14ac:dyDescent="0.4"/>
    <row r="132" x14ac:dyDescent="0.4"/>
    <row r="133" x14ac:dyDescent="0.4"/>
    <row r="134" x14ac:dyDescent="0.4"/>
    <row r="135" x14ac:dyDescent="0.4"/>
    <row r="136" x14ac:dyDescent="0.4"/>
    <row r="137" x14ac:dyDescent="0.4"/>
    <row r="138" x14ac:dyDescent="0.4"/>
    <row r="139" x14ac:dyDescent="0.4"/>
    <row r="140" x14ac:dyDescent="0.4"/>
    <row r="141" x14ac:dyDescent="0.4"/>
    <row r="142" x14ac:dyDescent="0.4"/>
    <row r="143" x14ac:dyDescent="0.4"/>
    <row r="144" x14ac:dyDescent="0.4"/>
    <row r="145" x14ac:dyDescent="0.4"/>
    <row r="146" x14ac:dyDescent="0.4"/>
    <row r="147" x14ac:dyDescent="0.4"/>
    <row r="148" x14ac:dyDescent="0.4"/>
    <row r="149" x14ac:dyDescent="0.4"/>
    <row r="150" x14ac:dyDescent="0.4"/>
    <row r="151" x14ac:dyDescent="0.4"/>
    <row r="152" x14ac:dyDescent="0.4"/>
    <row r="153" x14ac:dyDescent="0.4"/>
    <row r="154" x14ac:dyDescent="0.4"/>
    <row r="155" x14ac:dyDescent="0.4"/>
    <row r="156" x14ac:dyDescent="0.4"/>
    <row r="157" x14ac:dyDescent="0.4"/>
    <row r="158" x14ac:dyDescent="0.4"/>
    <row r="159" x14ac:dyDescent="0.4"/>
    <row r="160" x14ac:dyDescent="0.4"/>
    <row r="161" x14ac:dyDescent="0.4"/>
    <row r="162" x14ac:dyDescent="0.4"/>
    <row r="163" x14ac:dyDescent="0.4"/>
    <row r="164" x14ac:dyDescent="0.4"/>
    <row r="165" x14ac:dyDescent="0.4"/>
    <row r="166" x14ac:dyDescent="0.4"/>
    <row r="167" x14ac:dyDescent="0.4"/>
    <row r="168" x14ac:dyDescent="0.4"/>
    <row r="169" x14ac:dyDescent="0.4"/>
    <row r="170" x14ac:dyDescent="0.4"/>
    <row r="171" x14ac:dyDescent="0.4"/>
    <row r="172" x14ac:dyDescent="0.4"/>
    <row r="173" x14ac:dyDescent="0.4"/>
    <row r="174" x14ac:dyDescent="0.4"/>
    <row r="175" x14ac:dyDescent="0.4"/>
    <row r="176" x14ac:dyDescent="0.4"/>
    <row r="177" x14ac:dyDescent="0.4"/>
    <row r="178" x14ac:dyDescent="0.4"/>
    <row r="179" x14ac:dyDescent="0.4"/>
    <row r="180" x14ac:dyDescent="0.4"/>
    <row r="181" x14ac:dyDescent="0.4"/>
    <row r="182" x14ac:dyDescent="0.4"/>
    <row r="183" x14ac:dyDescent="0.4"/>
    <row r="184" x14ac:dyDescent="0.4"/>
    <row r="185" x14ac:dyDescent="0.4"/>
    <row r="186" x14ac:dyDescent="0.4"/>
    <row r="187" x14ac:dyDescent="0.4"/>
    <row r="188" x14ac:dyDescent="0.4"/>
    <row r="189" x14ac:dyDescent="0.4"/>
    <row r="190" x14ac:dyDescent="0.4"/>
    <row r="191" x14ac:dyDescent="0.4"/>
    <row r="192" x14ac:dyDescent="0.4"/>
    <row r="193" x14ac:dyDescent="0.4"/>
    <row r="194" x14ac:dyDescent="0.4"/>
    <row r="195" x14ac:dyDescent="0.4"/>
    <row r="196" x14ac:dyDescent="0.4"/>
    <row r="197" x14ac:dyDescent="0.4"/>
    <row r="198" x14ac:dyDescent="0.4"/>
    <row r="199" x14ac:dyDescent="0.4"/>
    <row r="200" x14ac:dyDescent="0.4"/>
    <row r="201" x14ac:dyDescent="0.4"/>
    <row r="202" x14ac:dyDescent="0.4"/>
    <row r="203" x14ac:dyDescent="0.4"/>
    <row r="204" x14ac:dyDescent="0.4"/>
    <row r="205" x14ac:dyDescent="0.4"/>
    <row r="206" x14ac:dyDescent="0.4"/>
    <row r="207" x14ac:dyDescent="0.4"/>
    <row r="208" x14ac:dyDescent="0.4"/>
    <row r="209" x14ac:dyDescent="0.4"/>
    <row r="210" x14ac:dyDescent="0.4"/>
    <row r="211" x14ac:dyDescent="0.4"/>
    <row r="212" x14ac:dyDescent="0.4"/>
    <row r="213" x14ac:dyDescent="0.4"/>
    <row r="214" x14ac:dyDescent="0.4"/>
    <row r="215" x14ac:dyDescent="0.4"/>
    <row r="216" x14ac:dyDescent="0.4"/>
    <row r="217" x14ac:dyDescent="0.4"/>
    <row r="218" x14ac:dyDescent="0.4"/>
    <row r="219" x14ac:dyDescent="0.4"/>
    <row r="220" x14ac:dyDescent="0.4"/>
    <row r="221" x14ac:dyDescent="0.4"/>
    <row r="222" x14ac:dyDescent="0.4"/>
    <row r="223" x14ac:dyDescent="0.4"/>
    <row r="224" x14ac:dyDescent="0.4"/>
    <row r="225" x14ac:dyDescent="0.4"/>
    <row r="226" x14ac:dyDescent="0.4"/>
    <row r="227" x14ac:dyDescent="0.4"/>
    <row r="228" x14ac:dyDescent="0.4"/>
    <row r="229" x14ac:dyDescent="0.4"/>
    <row r="230" x14ac:dyDescent="0.4"/>
    <row r="231" x14ac:dyDescent="0.4"/>
    <row r="232" x14ac:dyDescent="0.4"/>
    <row r="233" x14ac:dyDescent="0.4"/>
    <row r="234" x14ac:dyDescent="0.4"/>
    <row r="235" x14ac:dyDescent="0.4"/>
    <row r="236" x14ac:dyDescent="0.4"/>
    <row r="237" x14ac:dyDescent="0.4"/>
    <row r="238" x14ac:dyDescent="0.4"/>
    <row r="239" x14ac:dyDescent="0.4"/>
    <row r="240" x14ac:dyDescent="0.4"/>
    <row r="241" x14ac:dyDescent="0.4"/>
    <row r="242" x14ac:dyDescent="0.4"/>
    <row r="243" x14ac:dyDescent="0.4"/>
    <row r="244" x14ac:dyDescent="0.4"/>
    <row r="245" x14ac:dyDescent="0.4"/>
    <row r="246" x14ac:dyDescent="0.4"/>
    <row r="247" x14ac:dyDescent="0.4"/>
    <row r="248" x14ac:dyDescent="0.4"/>
    <row r="249" x14ac:dyDescent="0.4"/>
    <row r="250" x14ac:dyDescent="0.4"/>
    <row r="251" x14ac:dyDescent="0.4"/>
    <row r="252" x14ac:dyDescent="0.4"/>
    <row r="253" x14ac:dyDescent="0.4"/>
    <row r="254" x14ac:dyDescent="0.4"/>
    <row r="255" x14ac:dyDescent="0.4"/>
    <row r="256" x14ac:dyDescent="0.4"/>
    <row r="257" x14ac:dyDescent="0.4"/>
    <row r="258" x14ac:dyDescent="0.4"/>
    <row r="259" x14ac:dyDescent="0.4"/>
    <row r="260" x14ac:dyDescent="0.4"/>
    <row r="261" x14ac:dyDescent="0.4"/>
    <row r="262" x14ac:dyDescent="0.4"/>
    <row r="263" x14ac:dyDescent="0.4"/>
    <row r="264" x14ac:dyDescent="0.4"/>
    <row r="265" x14ac:dyDescent="0.4"/>
    <row r="266" x14ac:dyDescent="0.4"/>
    <row r="267" x14ac:dyDescent="0.4"/>
    <row r="268" x14ac:dyDescent="0.4"/>
    <row r="269" x14ac:dyDescent="0.4"/>
    <row r="270" x14ac:dyDescent="0.4"/>
    <row r="271" x14ac:dyDescent="0.4"/>
    <row r="272" x14ac:dyDescent="0.4"/>
    <row r="273" x14ac:dyDescent="0.4"/>
    <row r="274" x14ac:dyDescent="0.4"/>
    <row r="275" x14ac:dyDescent="0.4"/>
    <row r="276" x14ac:dyDescent="0.4"/>
    <row r="277" x14ac:dyDescent="0.4"/>
    <row r="278" x14ac:dyDescent="0.4"/>
    <row r="279" x14ac:dyDescent="0.4"/>
    <row r="280" x14ac:dyDescent="0.4"/>
    <row r="281" x14ac:dyDescent="0.4"/>
    <row r="282" x14ac:dyDescent="0.4"/>
    <row r="283" x14ac:dyDescent="0.4"/>
    <row r="284" x14ac:dyDescent="0.4"/>
    <row r="285" x14ac:dyDescent="0.4"/>
    <row r="286" x14ac:dyDescent="0.4"/>
    <row r="287" x14ac:dyDescent="0.4"/>
    <row r="288" x14ac:dyDescent="0.4"/>
    <row r="289" x14ac:dyDescent="0.4"/>
    <row r="290" x14ac:dyDescent="0.4"/>
    <row r="291" x14ac:dyDescent="0.4"/>
    <row r="292" x14ac:dyDescent="0.4"/>
    <row r="293" x14ac:dyDescent="0.4"/>
    <row r="294" x14ac:dyDescent="0.4"/>
    <row r="295" x14ac:dyDescent="0.4"/>
    <row r="296" x14ac:dyDescent="0.4"/>
    <row r="297" x14ac:dyDescent="0.4"/>
    <row r="298" x14ac:dyDescent="0.4"/>
    <row r="299" x14ac:dyDescent="0.4"/>
    <row r="300" x14ac:dyDescent="0.4"/>
  </sheetData>
  <phoneticPr fontId="8" type="noConversion"/>
  <conditionalFormatting sqref="H20:BH82">
    <cfRule type="expression" dxfId="284" priority="1315">
      <formula>$I20=0</formula>
    </cfRule>
  </conditionalFormatting>
  <pageMargins left="0.28958880139982501" right="0.28958880139982501" top="0.62992125984251945" bottom="0.39370078740157499" header="0.11811023622047251" footer="0.3"/>
  <pageSetup paperSize="9" scale="20" fitToHeight="0" orientation="landscape" r:id="rId1"/>
  <headerFooter scaleWithDoc="0">
    <oddHeader>&amp;R&amp;"Calibri"&amp;10&amp;K808080City Heartbeat 2024, 50 city index (v1.0)</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6502926" r:id="rId4" name="ui_cnt_ModelDepthDescription">
              <controlPr defaultSize="0" print="0" autoFill="0" autoPict="0" macro="[0]!k">
                <anchor>
                  <from>
                    <xdr:col>0</xdr:col>
                    <xdr:colOff>125186</xdr:colOff>
                    <xdr:row>3</xdr:row>
                    <xdr:rowOff>239486</xdr:rowOff>
                  </from>
                  <to>
                    <xdr:col>4</xdr:col>
                    <xdr:colOff>261257</xdr:colOff>
                    <xdr:row>3</xdr:row>
                    <xdr:rowOff>451757</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1254F-8385-4D3D-ACB2-3954DA8E6567}">
  <sheetPr codeName="Sheet50">
    <pageSetUpPr fitToPage="1"/>
  </sheetPr>
  <dimension ref="A1:Y300"/>
  <sheetViews>
    <sheetView showGridLines="0" showRowColHeaders="0" zoomScaleNormal="100" workbookViewId="0">
      <pane ySplit="7" topLeftCell="A8" activePane="bottomLeft" state="frozen"/>
      <selection pane="bottomLeft" activeCell="N36" sqref="N36"/>
    </sheetView>
  </sheetViews>
  <sheetFormatPr defaultColWidth="9.15234375" defaultRowHeight="12.9" zeroHeight="1" x14ac:dyDescent="0.35"/>
  <cols>
    <col min="1" max="1" width="2.69140625" style="2" customWidth="1"/>
    <col min="2" max="2" width="4.3046875" style="2" customWidth="1"/>
    <col min="3" max="3" width="4.23046875" style="2" customWidth="1"/>
    <col min="4" max="4" width="9.84375" style="2" customWidth="1"/>
    <col min="5" max="5" width="4.3046875" style="2" customWidth="1"/>
    <col min="6" max="6" width="8.53515625" style="2" customWidth="1"/>
    <col min="7" max="7" width="7.69140625" style="2" customWidth="1"/>
    <col min="8" max="8" width="4.3046875" style="2" customWidth="1"/>
    <col min="9" max="9" width="4" style="2" customWidth="1"/>
    <col min="10" max="10" width="5.3046875" style="2" customWidth="1"/>
    <col min="11" max="11" width="3.15234375" style="2" customWidth="1"/>
    <col min="12" max="13" width="5.84375" style="2" customWidth="1"/>
    <col min="14" max="14" width="47.3046875" style="2" customWidth="1"/>
    <col min="15" max="15" width="10" style="2" customWidth="1"/>
    <col min="16" max="16" width="9.3828125" style="2" customWidth="1"/>
    <col min="17" max="17" width="17.69140625" style="2" customWidth="1"/>
    <col min="18" max="18" width="10.69140625" style="2" customWidth="1"/>
    <col min="19" max="19" width="9.53515625" style="2" customWidth="1"/>
    <col min="20" max="20" width="22.84375" style="2" customWidth="1"/>
    <col min="21" max="24" width="9.15234375" style="2"/>
    <col min="25" max="25" width="20" style="2" bestFit="1" customWidth="1"/>
    <col min="26" max="16384" width="9.15234375" style="2"/>
  </cols>
  <sheetData>
    <row r="1" spans="1:25" ht="24" hidden="1" customHeight="1" x14ac:dyDescent="0.35">
      <c r="A1" s="37" t="s">
        <v>2</v>
      </c>
      <c r="B1" s="37"/>
      <c r="C1" s="37"/>
      <c r="D1" s="37"/>
      <c r="E1" s="37"/>
      <c r="F1" s="37"/>
      <c r="G1" s="37"/>
      <c r="H1" s="37"/>
      <c r="I1" s="37"/>
      <c r="J1" s="37"/>
      <c r="K1" s="37"/>
      <c r="L1" s="37"/>
      <c r="M1" s="37"/>
      <c r="N1" s="37"/>
      <c r="O1" s="37"/>
      <c r="P1" s="37"/>
      <c r="Q1" s="37"/>
      <c r="R1" s="37"/>
      <c r="S1" s="37"/>
      <c r="T1" s="37"/>
      <c r="U1" s="37"/>
      <c r="V1" s="37"/>
      <c r="W1" s="37"/>
      <c r="X1" s="37"/>
      <c r="Y1" s="37"/>
    </row>
    <row r="2" spans="1:25" ht="24" customHeight="1" x14ac:dyDescent="0.35">
      <c r="A2" s="165"/>
      <c r="B2" s="165"/>
      <c r="C2" s="165"/>
      <c r="D2" s="37"/>
      <c r="E2" s="37"/>
      <c r="F2" s="37"/>
      <c r="G2" s="37"/>
      <c r="H2" s="37"/>
      <c r="I2" s="37"/>
      <c r="J2" s="37"/>
      <c r="K2" s="37"/>
      <c r="L2" s="37"/>
      <c r="M2" s="37"/>
      <c r="N2" s="37"/>
      <c r="O2" s="37"/>
      <c r="P2" s="37"/>
      <c r="Q2" s="37"/>
      <c r="R2" s="37"/>
      <c r="S2" s="37"/>
      <c r="T2" s="37"/>
      <c r="U2" s="37"/>
      <c r="V2" s="37"/>
      <c r="W2" s="37"/>
      <c r="X2" s="37"/>
      <c r="Y2" s="37"/>
    </row>
    <row r="3" spans="1:25" ht="26.05" customHeight="1" x14ac:dyDescent="0.35">
      <c r="A3" s="165"/>
      <c r="B3" s="165" t="s">
        <v>1518</v>
      </c>
      <c r="C3" s="165"/>
      <c r="D3" s="37"/>
      <c r="E3" s="37"/>
      <c r="F3" s="37"/>
      <c r="G3" s="37"/>
      <c r="H3" s="37"/>
      <c r="I3" s="37"/>
      <c r="J3" s="37"/>
      <c r="K3" s="37"/>
      <c r="L3" s="37"/>
      <c r="M3" s="37"/>
      <c r="N3" s="37"/>
      <c r="O3" s="37"/>
      <c r="P3" s="37"/>
      <c r="Q3" s="37"/>
      <c r="R3" s="37"/>
      <c r="S3" s="37"/>
      <c r="T3" s="37"/>
      <c r="U3" s="37"/>
      <c r="V3" s="37"/>
      <c r="W3" s="37"/>
      <c r="X3" s="37"/>
      <c r="Y3" s="37"/>
    </row>
    <row r="4" spans="1:25" ht="42" customHeight="1" x14ac:dyDescent="0.35">
      <c r="A4" s="165"/>
      <c r="B4" s="165" t="s">
        <v>1662</v>
      </c>
      <c r="C4" s="165"/>
      <c r="D4" s="165"/>
      <c r="E4" s="165"/>
      <c r="F4" s="37"/>
      <c r="G4" s="37"/>
      <c r="H4" s="37"/>
      <c r="I4" s="37"/>
      <c r="J4" s="37"/>
      <c r="K4" s="37"/>
      <c r="L4" s="37"/>
      <c r="M4" s="37"/>
      <c r="N4" s="37"/>
      <c r="O4" s="37"/>
      <c r="P4" s="37"/>
      <c r="Q4" s="37"/>
      <c r="R4" s="37"/>
      <c r="S4" s="37"/>
      <c r="T4" s="37"/>
      <c r="U4" s="37"/>
      <c r="V4" s="37"/>
      <c r="W4" s="37"/>
      <c r="X4" s="37"/>
      <c r="Y4" s="37"/>
    </row>
    <row r="5" spans="1:25" ht="24" customHeight="1" x14ac:dyDescent="0.35">
      <c r="A5" s="37" t="s">
        <v>2</v>
      </c>
      <c r="B5" s="165"/>
      <c r="C5" s="165"/>
      <c r="D5" s="165"/>
      <c r="E5" s="165"/>
      <c r="F5" s="37"/>
      <c r="G5" s="37"/>
      <c r="H5" s="37"/>
      <c r="I5" s="37"/>
      <c r="J5" s="37"/>
      <c r="K5" s="37"/>
      <c r="L5" s="37"/>
      <c r="M5" s="37"/>
      <c r="N5" s="37"/>
      <c r="O5" s="37"/>
      <c r="P5" s="37"/>
      <c r="Q5" s="37"/>
      <c r="R5" s="37"/>
      <c r="S5" s="37"/>
      <c r="T5" s="37"/>
      <c r="U5" s="37"/>
      <c r="V5" s="37"/>
      <c r="W5" s="37"/>
      <c r="X5" s="37"/>
      <c r="Y5" s="37"/>
    </row>
    <row r="6" spans="1:25" ht="24" customHeight="1" x14ac:dyDescent="0.35">
      <c r="A6" s="37" t="s">
        <v>2</v>
      </c>
      <c r="B6" s="165"/>
      <c r="C6" s="165"/>
      <c r="D6" s="165"/>
      <c r="E6" s="165"/>
      <c r="F6" s="37"/>
      <c r="G6" s="37"/>
      <c r="H6" s="37"/>
      <c r="I6" s="37"/>
      <c r="J6" s="37"/>
      <c r="K6" s="37"/>
      <c r="L6" s="37"/>
      <c r="M6" s="37"/>
      <c r="N6" s="37"/>
      <c r="O6" s="37"/>
      <c r="P6" s="37"/>
      <c r="Q6" s="37"/>
      <c r="R6" s="37"/>
      <c r="S6" s="37"/>
      <c r="T6" s="37"/>
      <c r="U6" s="37"/>
      <c r="V6" s="37"/>
      <c r="W6" s="37"/>
      <c r="X6" s="37"/>
      <c r="Y6" s="37"/>
    </row>
    <row r="7" spans="1:25" ht="24" customHeight="1" x14ac:dyDescent="0.35">
      <c r="A7" s="37" t="s">
        <v>2</v>
      </c>
      <c r="B7" s="165"/>
      <c r="C7" s="165"/>
      <c r="D7" s="37"/>
      <c r="E7" s="37"/>
      <c r="F7" s="37"/>
      <c r="G7" s="37"/>
      <c r="H7" s="37"/>
      <c r="I7" s="37"/>
      <c r="J7" s="37"/>
      <c r="K7" s="37"/>
      <c r="L7" s="37"/>
      <c r="M7" s="37"/>
      <c r="N7" s="37"/>
      <c r="O7" s="37"/>
      <c r="P7" s="37"/>
      <c r="Q7" s="37"/>
      <c r="R7" s="37"/>
      <c r="S7" s="37"/>
      <c r="T7" s="37"/>
      <c r="U7" s="37"/>
      <c r="V7" s="37"/>
      <c r="W7" s="37"/>
      <c r="X7" s="37"/>
      <c r="Y7" s="37"/>
    </row>
    <row r="8" spans="1:25" ht="8.0500000000000007" customHeight="1" x14ac:dyDescent="0.35">
      <c r="A8" s="37"/>
      <c r="B8" s="165"/>
      <c r="C8" s="165"/>
      <c r="D8" s="37"/>
      <c r="E8" s="37"/>
      <c r="F8" s="37"/>
      <c r="G8" s="37"/>
      <c r="H8" s="37"/>
      <c r="I8" s="37"/>
      <c r="J8" s="37"/>
      <c r="K8" s="37"/>
      <c r="L8" s="37"/>
      <c r="M8" s="37"/>
      <c r="N8" s="37"/>
      <c r="O8" s="37"/>
      <c r="P8" s="37"/>
      <c r="Q8" s="37"/>
      <c r="R8" s="37"/>
      <c r="S8" s="37"/>
      <c r="T8" s="37"/>
      <c r="U8" s="37"/>
      <c r="V8" s="37"/>
      <c r="W8" s="37"/>
      <c r="X8" s="37"/>
      <c r="Y8" s="37"/>
    </row>
    <row r="9" spans="1:25" customFormat="1" ht="15" customHeight="1" x14ac:dyDescent="0.4">
      <c r="A9" s="4" t="s">
        <v>2</v>
      </c>
      <c r="B9" s="4" t="s">
        <v>2</v>
      </c>
      <c r="C9" s="4"/>
      <c r="D9" s="4" t="s">
        <v>2</v>
      </c>
      <c r="E9" s="4" t="s">
        <v>2</v>
      </c>
      <c r="F9" s="4" t="s">
        <v>2</v>
      </c>
      <c r="G9" s="4" t="s">
        <v>2</v>
      </c>
      <c r="H9" s="4" t="s">
        <v>2</v>
      </c>
      <c r="I9" s="4" t="s">
        <v>2</v>
      </c>
      <c r="J9" s="4" t="s">
        <v>2</v>
      </c>
      <c r="K9" s="4" t="s">
        <v>2</v>
      </c>
      <c r="L9" s="4" t="s">
        <v>2</v>
      </c>
      <c r="M9" s="4" t="s">
        <v>2</v>
      </c>
      <c r="N9" s="4"/>
      <c r="O9" s="4" t="s">
        <v>2</v>
      </c>
      <c r="P9" s="4" t="str">
        <f>IF($E$10=1,"","H")</f>
        <v/>
      </c>
      <c r="Q9" s="4" t="str">
        <f>IF($E$10=1,"","H")</f>
        <v/>
      </c>
      <c r="R9" s="4" t="str">
        <f>IF($E$10=1,"H","")</f>
        <v>H</v>
      </c>
      <c r="S9" s="4" t="str">
        <f>IF($E$10=1,"H","")</f>
        <v>H</v>
      </c>
      <c r="T9" s="4" t="str">
        <f>IF($E$10=1,"H","")</f>
        <v>H</v>
      </c>
      <c r="U9" s="4"/>
      <c r="V9" s="4"/>
      <c r="W9" s="4"/>
      <c r="X9" s="4"/>
      <c r="Y9" s="4"/>
    </row>
    <row r="10" spans="1:25" ht="15" customHeight="1" x14ac:dyDescent="0.35">
      <c r="A10" s="166" t="s">
        <v>2</v>
      </c>
      <c r="B10" s="37" t="s">
        <v>2</v>
      </c>
      <c r="C10" s="37"/>
      <c r="D10" s="167" t="s">
        <v>71</v>
      </c>
      <c r="E10" s="39">
        <f>uxbGlobals!$B$316</f>
        <v>1</v>
      </c>
      <c r="F10" s="37"/>
      <c r="G10" s="37"/>
      <c r="H10" s="37"/>
      <c r="I10" s="37"/>
      <c r="J10" s="37"/>
      <c r="K10" s="37"/>
      <c r="L10" s="37"/>
      <c r="M10" s="37"/>
      <c r="N10" s="37"/>
      <c r="O10" s="37"/>
      <c r="P10" s="37"/>
      <c r="Q10" s="37"/>
      <c r="R10" s="37"/>
      <c r="S10" s="37"/>
      <c r="T10" s="37"/>
      <c r="U10" s="37"/>
      <c r="V10" s="37"/>
      <c r="W10" s="37"/>
      <c r="X10" s="37"/>
      <c r="Y10" s="37"/>
    </row>
    <row r="11" spans="1:25" x14ac:dyDescent="0.35">
      <c r="A11" s="166" t="s">
        <v>2</v>
      </c>
      <c r="B11" s="37"/>
      <c r="C11" s="37"/>
      <c r="D11" s="167" t="s">
        <v>70</v>
      </c>
      <c r="E11" s="39" t="str">
        <f ca="1">uxbGlobals!$B$315</f>
        <v>No</v>
      </c>
      <c r="F11" s="37"/>
      <c r="G11" s="37"/>
      <c r="H11" s="37"/>
      <c r="I11" s="37"/>
      <c r="J11" s="37"/>
      <c r="K11" s="37"/>
      <c r="L11" s="37"/>
      <c r="M11" s="37"/>
      <c r="N11" s="37"/>
      <c r="O11" s="37"/>
      <c r="P11" s="37"/>
      <c r="Q11" s="37"/>
      <c r="R11" s="37"/>
      <c r="S11" s="37"/>
      <c r="T11" s="37"/>
      <c r="U11" s="37"/>
      <c r="V11" s="37"/>
      <c r="W11" s="37"/>
      <c r="X11" s="37"/>
      <c r="Y11" s="37"/>
    </row>
    <row r="12" spans="1:25" x14ac:dyDescent="0.35">
      <c r="A12" s="167"/>
      <c r="B12" s="37"/>
      <c r="C12" s="37"/>
      <c r="D12" s="167" t="s">
        <v>1111</v>
      </c>
      <c r="E12" s="39">
        <f>uxbGlobals!$B$269</f>
        <v>2</v>
      </c>
      <c r="F12" s="168">
        <f>CHOOSE(E12,10,2,3)</f>
        <v>2</v>
      </c>
      <c r="G12" s="37"/>
      <c r="H12" s="37"/>
      <c r="I12" s="37"/>
      <c r="J12" s="37"/>
      <c r="K12" s="37"/>
      <c r="L12" s="37"/>
      <c r="M12" s="37"/>
      <c r="N12" s="81" t="s">
        <v>1556</v>
      </c>
      <c r="O12" s="37"/>
      <c r="P12" s="37"/>
      <c r="Q12" s="37"/>
      <c r="R12" s="37"/>
      <c r="S12" s="37"/>
      <c r="T12" s="37"/>
      <c r="U12" s="37"/>
      <c r="V12" s="37"/>
      <c r="W12" s="37"/>
      <c r="X12" s="37"/>
      <c r="Y12" s="37"/>
    </row>
    <row r="13" spans="1:25" x14ac:dyDescent="0.35">
      <c r="A13" s="167"/>
      <c r="B13" s="37"/>
      <c r="C13" s="37"/>
      <c r="D13" s="113" t="s">
        <v>669</v>
      </c>
      <c r="E13" s="88">
        <f>uxbGlobals!$B$227</f>
        <v>63</v>
      </c>
      <c r="F13" s="37"/>
      <c r="G13" s="37"/>
      <c r="H13" s="37"/>
      <c r="I13" s="37"/>
      <c r="J13" s="37"/>
      <c r="K13" s="37"/>
      <c r="L13" s="37"/>
      <c r="M13" s="37"/>
      <c r="N13" s="169"/>
      <c r="O13" s="37"/>
      <c r="P13" s="37"/>
      <c r="Q13" s="37"/>
      <c r="R13" s="37"/>
      <c r="S13" s="37"/>
      <c r="T13" s="37"/>
      <c r="U13" s="37"/>
      <c r="V13" s="37"/>
      <c r="W13" s="37"/>
      <c r="X13" s="37"/>
      <c r="Y13" s="37"/>
    </row>
    <row r="14" spans="1:25" ht="18.45" x14ac:dyDescent="0.35">
      <c r="A14" s="167"/>
      <c r="B14" s="37"/>
      <c r="C14" s="37"/>
      <c r="D14" s="167"/>
      <c r="E14" s="39"/>
      <c r="F14" s="37"/>
      <c r="G14" s="37"/>
      <c r="H14" s="37"/>
      <c r="I14" s="37"/>
      <c r="J14" s="37"/>
      <c r="K14" s="37"/>
      <c r="L14" s="37"/>
      <c r="M14" s="37"/>
      <c r="N14" s="170" t="str">
        <f>uxbGlobals!$B$313</f>
        <v>Economist Impact (default)</v>
      </c>
      <c r="O14" s="37"/>
      <c r="P14" s="37"/>
      <c r="Q14" s="37"/>
      <c r="R14" s="37"/>
      <c r="S14" s="37"/>
      <c r="T14" s="37"/>
      <c r="U14" s="37"/>
      <c r="V14" s="37"/>
      <c r="W14" s="37"/>
      <c r="X14" s="37"/>
      <c r="Y14" s="37"/>
    </row>
    <row r="15" spans="1:25" x14ac:dyDescent="0.35">
      <c r="A15" s="167"/>
      <c r="B15" s="37"/>
      <c r="C15" s="37"/>
      <c r="D15" s="167"/>
      <c r="E15" s="39"/>
      <c r="F15" s="37"/>
      <c r="G15" s="37"/>
      <c r="H15" s="37"/>
      <c r="I15" s="37"/>
      <c r="J15" s="37"/>
      <c r="K15" s="37"/>
      <c r="L15" s="37"/>
      <c r="M15" s="37"/>
      <c r="N15" s="171" t="str">
        <f ca="1">uxbGlobals!$B$314</f>
        <v>All sub-indicators contribute equally to their parent indicator.  All indicators contribute equally to their parent domain.  All domains contribute to the overall score in proportion to the number of indicators they contain.</v>
      </c>
      <c r="O15" s="37"/>
      <c r="P15" s="37"/>
      <c r="Q15" s="37"/>
      <c r="R15" s="37"/>
      <c r="S15" s="37"/>
      <c r="T15" s="37"/>
      <c r="U15" s="37"/>
      <c r="V15" s="37"/>
      <c r="W15" s="37"/>
      <c r="X15" s="37"/>
      <c r="Y15" s="37"/>
    </row>
    <row r="16" spans="1:25" x14ac:dyDescent="0.35">
      <c r="A16" s="167"/>
      <c r="B16" s="37"/>
      <c r="C16" s="37"/>
      <c r="D16" s="167"/>
      <c r="E16" s="39"/>
      <c r="F16" s="37"/>
      <c r="G16" s="37"/>
      <c r="H16" s="37"/>
      <c r="I16" s="37"/>
      <c r="J16" s="37"/>
      <c r="K16" s="37"/>
      <c r="L16" s="37"/>
      <c r="M16" s="37"/>
      <c r="N16" s="37"/>
      <c r="O16" s="37"/>
      <c r="P16" s="37"/>
      <c r="Q16" s="37"/>
      <c r="R16" s="37"/>
      <c r="S16" s="37"/>
      <c r="T16" s="37"/>
      <c r="U16" s="37"/>
      <c r="V16" s="37"/>
      <c r="W16" s="37"/>
      <c r="X16" s="37"/>
      <c r="Y16" s="37"/>
    </row>
    <row r="17" spans="1:25" ht="42.75" customHeight="1" x14ac:dyDescent="0.35">
      <c r="A17" s="37" t="str">
        <f>IF($E$10=1,"H","")</f>
        <v>H</v>
      </c>
      <c r="B17" s="37"/>
      <c r="C17" s="37"/>
      <c r="D17" s="37" t="s">
        <v>154</v>
      </c>
      <c r="E17" s="39"/>
      <c r="F17" s="37"/>
      <c r="G17" s="37"/>
      <c r="H17" s="37"/>
      <c r="I17" s="37"/>
      <c r="J17" s="37"/>
      <c r="K17" s="37"/>
      <c r="L17" s="37"/>
      <c r="M17" s="37"/>
      <c r="N17" s="172" t="s">
        <v>155</v>
      </c>
      <c r="O17" s="173"/>
      <c r="P17" s="173"/>
      <c r="Q17" s="173"/>
      <c r="R17" s="173"/>
      <c r="S17" s="173"/>
      <c r="T17" s="37"/>
      <c r="U17" s="37"/>
      <c r="V17" s="37"/>
      <c r="W17" s="37"/>
      <c r="X17" s="37"/>
      <c r="Y17" s="37"/>
    </row>
    <row r="18" spans="1:25" ht="18" customHeight="1" x14ac:dyDescent="0.35">
      <c r="A18" s="37" t="str">
        <f ca="1">IF(AND($E$10=1,$E$11="Yes"),"","H")</f>
        <v>H</v>
      </c>
      <c r="B18" s="37"/>
      <c r="C18" s="37"/>
      <c r="D18" s="37" t="s">
        <v>156</v>
      </c>
      <c r="E18" s="39"/>
      <c r="F18" s="37"/>
      <c r="G18" s="37"/>
      <c r="H18" s="37"/>
      <c r="I18" s="37"/>
      <c r="J18" s="37"/>
      <c r="K18" s="37"/>
      <c r="L18" s="37"/>
      <c r="M18" s="37"/>
      <c r="N18" s="174" t="s">
        <v>1554</v>
      </c>
      <c r="O18" s="173"/>
      <c r="P18" s="173"/>
      <c r="Q18" s="173"/>
      <c r="R18" s="173"/>
      <c r="S18" s="173"/>
      <c r="T18" s="37"/>
      <c r="U18" s="37"/>
      <c r="V18" s="37"/>
      <c r="W18" s="37"/>
      <c r="X18" s="37"/>
      <c r="Y18" s="37"/>
    </row>
    <row r="19" spans="1:25" ht="18" customHeight="1" x14ac:dyDescent="0.35">
      <c r="A19" s="37" t="str">
        <f ca="1">IF(AND($E$10=1,$E$11&lt;&gt;"Yes"),"","H")</f>
        <v/>
      </c>
      <c r="B19" s="37"/>
      <c r="C19" s="37"/>
      <c r="D19" s="37" t="s">
        <v>157</v>
      </c>
      <c r="E19" s="39"/>
      <c r="F19" s="37"/>
      <c r="G19" s="37"/>
      <c r="H19" s="37"/>
      <c r="I19" s="37"/>
      <c r="J19" s="37"/>
      <c r="K19" s="37"/>
      <c r="L19" s="37"/>
      <c r="M19" s="37"/>
      <c r="N19" s="174" t="s">
        <v>158</v>
      </c>
      <c r="O19" s="173"/>
      <c r="P19" s="173"/>
      <c r="Q19" s="173"/>
      <c r="R19" s="173"/>
      <c r="S19" s="173"/>
      <c r="T19" s="37"/>
      <c r="U19" s="37"/>
      <c r="V19" s="37"/>
      <c r="W19" s="37"/>
      <c r="X19" s="37"/>
      <c r="Y19" s="37"/>
    </row>
    <row r="20" spans="1:25" x14ac:dyDescent="0.35">
      <c r="A20" s="37"/>
      <c r="B20" s="37"/>
      <c r="C20" s="37"/>
      <c r="D20" s="167"/>
      <c r="E20" s="39"/>
      <c r="F20" s="37"/>
      <c r="G20" s="37"/>
      <c r="H20" s="37"/>
      <c r="I20" s="37"/>
      <c r="J20" s="37"/>
      <c r="K20" s="37"/>
      <c r="L20" s="37"/>
      <c r="M20" s="37"/>
      <c r="N20" s="37"/>
      <c r="O20" s="37"/>
      <c r="P20" s="37"/>
      <c r="Q20" s="37"/>
      <c r="R20" s="37"/>
      <c r="S20" s="37"/>
      <c r="T20" s="37"/>
      <c r="U20" s="37"/>
      <c r="V20" s="37"/>
      <c r="W20" s="37"/>
      <c r="X20" s="37"/>
      <c r="Y20" s="37"/>
    </row>
    <row r="21" spans="1:25" x14ac:dyDescent="0.35">
      <c r="A21" s="37"/>
      <c r="B21" s="37"/>
      <c r="C21" s="37"/>
      <c r="D21" s="37"/>
      <c r="E21" s="37"/>
      <c r="F21" s="37"/>
      <c r="G21" s="37"/>
      <c r="H21" s="37"/>
      <c r="I21" s="37"/>
      <c r="J21" s="37"/>
      <c r="K21" s="37"/>
      <c r="L21" s="37"/>
      <c r="M21" s="37"/>
      <c r="N21" s="175" t="s">
        <v>7604</v>
      </c>
      <c r="O21" s="37"/>
      <c r="P21" s="37"/>
      <c r="Q21" s="37"/>
      <c r="R21" s="37"/>
      <c r="S21" s="37"/>
      <c r="T21" s="37"/>
      <c r="U21" s="37"/>
      <c r="V21" s="37"/>
      <c r="W21" s="37"/>
      <c r="X21" s="37"/>
      <c r="Y21" s="37"/>
    </row>
    <row r="22" spans="1:25" x14ac:dyDescent="0.35">
      <c r="A22" s="37"/>
      <c r="B22" s="37"/>
      <c r="C22" s="37"/>
      <c r="D22" s="37"/>
      <c r="E22" s="37"/>
      <c r="F22" s="37"/>
      <c r="G22" s="37"/>
      <c r="H22" s="37"/>
      <c r="I22" s="37"/>
      <c r="J22" s="37"/>
      <c r="K22" s="37"/>
      <c r="L22" s="37"/>
      <c r="M22" s="37"/>
      <c r="N22" s="176" t="s">
        <v>8978</v>
      </c>
      <c r="O22" s="37"/>
      <c r="P22" s="37"/>
      <c r="Q22" s="37"/>
      <c r="R22" s="37"/>
      <c r="S22" s="37"/>
      <c r="T22" s="37"/>
      <c r="U22" s="37"/>
      <c r="V22" s="37"/>
      <c r="W22" s="37"/>
      <c r="X22" s="37"/>
      <c r="Y22" s="37"/>
    </row>
    <row r="23" spans="1:25" x14ac:dyDescent="0.35">
      <c r="A23" s="37"/>
      <c r="B23" s="37"/>
      <c r="C23" s="37"/>
      <c r="D23" s="37"/>
      <c r="E23" s="37"/>
      <c r="F23" s="37"/>
      <c r="G23" s="37"/>
      <c r="H23" s="37"/>
      <c r="I23" s="37"/>
      <c r="J23" s="37"/>
      <c r="K23" s="37"/>
      <c r="L23" s="37"/>
      <c r="M23" s="37"/>
      <c r="N23" s="176"/>
      <c r="O23" s="37"/>
      <c r="P23" s="37"/>
      <c r="Q23" s="37"/>
      <c r="R23" s="37"/>
      <c r="S23" s="37"/>
      <c r="T23" s="37"/>
      <c r="U23" s="37"/>
      <c r="V23" s="37"/>
      <c r="W23" s="37"/>
      <c r="X23" s="37"/>
      <c r="Y23" s="37"/>
    </row>
    <row r="24" spans="1:25" x14ac:dyDescent="0.35">
      <c r="A24" s="37"/>
      <c r="B24" s="37"/>
      <c r="C24" s="37"/>
      <c r="D24" s="37"/>
      <c r="E24" s="37"/>
      <c r="F24" s="37"/>
      <c r="G24" s="37"/>
      <c r="H24" s="37"/>
      <c r="I24" s="37"/>
      <c r="J24" s="37"/>
      <c r="K24" s="37"/>
      <c r="L24" s="177" t="s">
        <v>159</v>
      </c>
      <c r="M24" s="177" t="s">
        <v>160</v>
      </c>
      <c r="N24" s="37"/>
      <c r="O24" s="177" t="s">
        <v>161</v>
      </c>
      <c r="P24" s="177" t="s">
        <v>162</v>
      </c>
      <c r="Q24" s="177"/>
      <c r="R24" s="177" t="s">
        <v>161</v>
      </c>
      <c r="S24" s="177" t="s">
        <v>162</v>
      </c>
      <c r="T24" s="37"/>
      <c r="U24" s="37"/>
      <c r="V24" s="37"/>
      <c r="W24" s="37"/>
      <c r="X24" s="37"/>
      <c r="Y24" s="37"/>
    </row>
    <row r="25" spans="1:25" ht="23.25" customHeight="1" x14ac:dyDescent="0.35">
      <c r="A25" s="178" t="str">
        <f ca="1">IF(G25=0,"H","")</f>
        <v/>
      </c>
      <c r="B25" s="37"/>
      <c r="C25" s="37"/>
      <c r="D25" s="37"/>
      <c r="E25" s="37"/>
      <c r="F25" s="37">
        <v>1</v>
      </c>
      <c r="G25" s="39" cm="1">
        <f t="array" aca="1" ref="G25" ca="1">IFERROR(INDEX(OFFSET(auto_ss_Category,0,1,500,1),F25),0)</f>
        <v>2</v>
      </c>
      <c r="H25" s="39">
        <f ca="1">IF(G25=0,0,MATCH(G25,OFFSET(iWeights!$B$18,0,0,$E$13,1),0))</f>
        <v>2</v>
      </c>
      <c r="I25" s="39" cm="1">
        <f t="array" aca="1" ref="I25" ca="1">IF(G25=0,0,INDEX(OFFSET(iWeights!$F$18,0,0,$E$13,1),H25))</f>
        <v>5</v>
      </c>
      <c r="J25" s="39" cm="1">
        <f t="array" aca="1" ref="J25" ca="1">IF(G25=0,0,INDEX(OFFSET(iWeights!$G$18,0,0,$E$13,1),H25))</f>
        <v>0.16129032258064516</v>
      </c>
      <c r="K25" s="39" cm="1">
        <f t="array" aca="1" ref="K25" ca="1">IF(G25=0,"",INDEX(auto_Series_Depth,G25))</f>
        <v>1</v>
      </c>
      <c r="L25" s="179">
        <f t="shared" ref="L25" si="0">IFERROR(IF(NOT(ISNUMBER(R25)),1,0),1)</f>
        <v>0</v>
      </c>
      <c r="M25" s="180">
        <f t="shared" ref="M25" si="1">IF(L25=1,0,R25)</f>
        <v>5</v>
      </c>
      <c r="N25" s="181" t="str" cm="1">
        <f t="array" aca="1" ref="N25" ca="1">IF(G25=0,"",INDEX(auto_Series_NameNumbered,G25))</f>
        <v>1) SOCIAL DETERMINANTS</v>
      </c>
      <c r="O25" s="181">
        <f ca="1">IF(G25=0,"",IF(K25&lt;&gt;1,"",I25))</f>
        <v>5</v>
      </c>
      <c r="P25" s="182">
        <f t="shared" ref="P25" ca="1" si="2">IF(G25=0,"",J25)</f>
        <v>0.16129032258064516</v>
      </c>
      <c r="Q25" s="183" t="str">
        <f ca="1">IF(OR(P25=0,P25=""),"",REPT("|",P25*50))</f>
        <v>||||||||</v>
      </c>
      <c r="R25" s="184">
        <v>5</v>
      </c>
      <c r="S25" s="182" cm="1">
        <f t="array" aca="1" ref="S25" ca="1">IF(G25=0,0,INDEX(OFFSET(iWeights!$I$18,0,0,$E$13,1),$H25))</f>
        <v>0.16129032258064516</v>
      </c>
      <c r="T25" s="183" t="str">
        <f ca="1">REPT("|",S25*40)</f>
        <v>||||||</v>
      </c>
      <c r="U25" s="37"/>
      <c r="V25" s="37"/>
      <c r="W25" s="37"/>
      <c r="X25" s="37"/>
      <c r="Y25" s="37"/>
    </row>
    <row r="26" spans="1:25" ht="24" customHeight="1" x14ac:dyDescent="0.35">
      <c r="A26" s="178" t="str">
        <f t="shared" ref="A26:A32" ca="1" si="3">IF(G26=0,"H","")</f>
        <v/>
      </c>
      <c r="B26" s="37"/>
      <c r="C26" s="37"/>
      <c r="D26" s="37"/>
      <c r="E26" s="37"/>
      <c r="F26" s="37">
        <v>2</v>
      </c>
      <c r="G26" s="39" cm="1">
        <f t="array" aca="1" ref="G26" ca="1">IFERROR(INDEX(OFFSET(auto_ss_Category,0,1,500,1),F26),0)</f>
        <v>14</v>
      </c>
      <c r="H26" s="39">
        <f ca="1">IF(G26=0,0,MATCH(G26,OFFSET(iWeights!$B$18,0,0,$E$13,1),0))</f>
        <v>14</v>
      </c>
      <c r="I26" s="39" cm="1">
        <f t="array" aca="1" ref="I26" ca="1">IF(G26=0,0,INDEX(OFFSET(iWeights!$F$18,0,0,$E$13,1),H26))</f>
        <v>5</v>
      </c>
      <c r="J26" s="39" cm="1">
        <f t="array" aca="1" ref="J26" ca="1">IF(G26=0,0,INDEX(OFFSET(iWeights!$G$18,0,0,$E$13,1),H26))</f>
        <v>0.16129032258064516</v>
      </c>
      <c r="K26" s="39" cm="1">
        <f t="array" aca="1" ref="K26" ca="1">IF(G26=0,"",INDEX(auto_Series_Depth,G26))</f>
        <v>1</v>
      </c>
      <c r="L26" s="179">
        <f t="shared" ref="L26:L32" si="4">IFERROR(IF(NOT(ISNUMBER(R26)),1,0),1)</f>
        <v>0</v>
      </c>
      <c r="M26" s="180">
        <f t="shared" ref="M26:M32" si="5">IF(L26=1,0,R26)</f>
        <v>5</v>
      </c>
      <c r="N26" s="181" t="str" cm="1">
        <f t="array" aca="1" ref="N26" ca="1">IF(G26=0,"",INDEX(auto_Series_NameNumbered,G26))</f>
        <v>2) PHYSICAL ENVIRONMENT</v>
      </c>
      <c r="O26" s="181">
        <f t="shared" ref="O26:O32" ca="1" si="6">IF(G26=0,"",IF(K26&lt;&gt;1,"",I26))</f>
        <v>5</v>
      </c>
      <c r="P26" s="182">
        <f t="shared" ref="P26:P32" ca="1" si="7">IF(G26=0,"",J26)</f>
        <v>0.16129032258064516</v>
      </c>
      <c r="Q26" s="183" t="str">
        <f t="shared" ref="Q26:Q32" ca="1" si="8">IF(OR(P26=0,P26=""),"",REPT("|",P26*50))</f>
        <v>||||||||</v>
      </c>
      <c r="R26" s="184">
        <v>5</v>
      </c>
      <c r="S26" s="182" cm="1">
        <f t="array" aca="1" ref="S26" ca="1">IF(G26=0,0,INDEX(OFFSET(iWeights!$I$18,0,0,$E$13,1),$H26))</f>
        <v>0.16129032258064516</v>
      </c>
      <c r="T26" s="183" t="str">
        <f t="shared" ref="T26:T32" ca="1" si="9">REPT("|",S26*40)</f>
        <v>||||||</v>
      </c>
      <c r="U26" s="37"/>
      <c r="V26" s="37"/>
      <c r="W26" s="37"/>
      <c r="X26" s="37"/>
      <c r="Y26" s="37"/>
    </row>
    <row r="27" spans="1:25" ht="24" customHeight="1" x14ac:dyDescent="0.35">
      <c r="A27" s="178" t="str">
        <f t="shared" ca="1" si="3"/>
        <v/>
      </c>
      <c r="B27" s="37"/>
      <c r="C27" s="37"/>
      <c r="D27" s="37"/>
      <c r="E27" s="37"/>
      <c r="F27" s="37">
        <v>3</v>
      </c>
      <c r="G27" s="39" cm="1">
        <f t="array" aca="1" ref="G27" ca="1">IFERROR(INDEX(OFFSET(auto_ss_Category,0,1,500,1),F27),0)</f>
        <v>22</v>
      </c>
      <c r="H27" s="39">
        <f ca="1">IF(G27=0,0,MATCH(G27,OFFSET(iWeights!$B$18,0,0,$E$13,1),0))</f>
        <v>22</v>
      </c>
      <c r="I27" s="39" cm="1">
        <f t="array" aca="1" ref="I27" ca="1">IF(G27=0,0,INDEX(OFFSET(iWeights!$F$18,0,0,$E$13,1),H27))</f>
        <v>8</v>
      </c>
      <c r="J27" s="39" cm="1">
        <f t="array" aca="1" ref="J27" ca="1">IF(G27=0,0,INDEX(OFFSET(iWeights!$G$18,0,0,$E$13,1),H27))</f>
        <v>0.25806451612903225</v>
      </c>
      <c r="K27" s="39" cm="1">
        <f t="array" aca="1" ref="K27" ca="1">IF(G27=0,"",INDEX(auto_Series_Depth,G27))</f>
        <v>1</v>
      </c>
      <c r="L27" s="179">
        <f t="shared" si="4"/>
        <v>0</v>
      </c>
      <c r="M27" s="180">
        <f t="shared" si="5"/>
        <v>8</v>
      </c>
      <c r="N27" s="181" t="str" cm="1">
        <f t="array" aca="1" ref="N27" ca="1">IF(G27=0,"",INDEX(auto_Series_NameNumbered,G27))</f>
        <v>3) HEALTH RISKS</v>
      </c>
      <c r="O27" s="181">
        <f t="shared" ca="1" si="6"/>
        <v>8</v>
      </c>
      <c r="P27" s="182">
        <f t="shared" ca="1" si="7"/>
        <v>0.25806451612903225</v>
      </c>
      <c r="Q27" s="183" t="str">
        <f t="shared" ca="1" si="8"/>
        <v>||||||||||||</v>
      </c>
      <c r="R27" s="184">
        <v>8</v>
      </c>
      <c r="S27" s="182" cm="1">
        <f t="array" aca="1" ref="S27" ca="1">IF(G27=0,0,INDEX(OFFSET(iWeights!$I$18,0,0,$E$13,1),$H27))</f>
        <v>0.25806451612903225</v>
      </c>
      <c r="T27" s="183" t="str">
        <f t="shared" ca="1" si="9"/>
        <v>||||||||||</v>
      </c>
      <c r="U27" s="37"/>
      <c r="V27" s="37"/>
      <c r="W27" s="37"/>
      <c r="X27" s="37"/>
      <c r="Y27" s="37"/>
    </row>
    <row r="28" spans="1:25" ht="24" customHeight="1" x14ac:dyDescent="0.35">
      <c r="A28" s="178" t="str">
        <f t="shared" ca="1" si="3"/>
        <v/>
      </c>
      <c r="B28" s="37"/>
      <c r="C28" s="37"/>
      <c r="D28" s="37"/>
      <c r="E28" s="37"/>
      <c r="F28" s="37">
        <v>4</v>
      </c>
      <c r="G28" s="39" cm="1">
        <f t="array" aca="1" ref="G28" ca="1">IFERROR(INDEX(OFFSET(auto_ss_Category,0,1,500,1),F28),0)</f>
        <v>47</v>
      </c>
      <c r="H28" s="39">
        <f ca="1">IF(G28=0,0,MATCH(G28,OFFSET(iWeights!$B$18,0,0,$E$13,1),0))</f>
        <v>47</v>
      </c>
      <c r="I28" s="39" cm="1">
        <f t="array" aca="1" ref="I28" ca="1">IF(G28=0,0,INDEX(OFFSET(iWeights!$F$18,0,0,$E$13,1),H28))</f>
        <v>4</v>
      </c>
      <c r="J28" s="39" cm="1">
        <f t="array" aca="1" ref="J28" ca="1">IF(G28=0,0,INDEX(OFFSET(iWeights!$G$18,0,0,$E$13,1),H28))</f>
        <v>0.12903225806451613</v>
      </c>
      <c r="K28" s="39" cm="1">
        <f t="array" aca="1" ref="K28" ca="1">IF(G28=0,"",INDEX(auto_Series_Depth,G28))</f>
        <v>1</v>
      </c>
      <c r="L28" s="179">
        <f t="shared" si="4"/>
        <v>0</v>
      </c>
      <c r="M28" s="180">
        <f t="shared" si="5"/>
        <v>4</v>
      </c>
      <c r="N28" s="181" t="str" cm="1">
        <f t="array" aca="1" ref="N28" ca="1">IF(G28=0,"",INDEX(auto_Series_NameNumbered,G28))</f>
        <v>4) HEALTH SERVICES</v>
      </c>
      <c r="O28" s="181">
        <f t="shared" ca="1" si="6"/>
        <v>4</v>
      </c>
      <c r="P28" s="182">
        <f t="shared" ca="1" si="7"/>
        <v>0.12903225806451613</v>
      </c>
      <c r="Q28" s="183" t="str">
        <f t="shared" ca="1" si="8"/>
        <v>||||||</v>
      </c>
      <c r="R28" s="184">
        <v>4</v>
      </c>
      <c r="S28" s="182" cm="1">
        <f t="array" aca="1" ref="S28" ca="1">IF(G28=0,0,INDEX(OFFSET(iWeights!$I$18,0,0,$E$13,1),$H28))</f>
        <v>0.12903225806451613</v>
      </c>
      <c r="T28" s="183" t="str">
        <f t="shared" ca="1" si="9"/>
        <v>|||||</v>
      </c>
      <c r="U28" s="37"/>
      <c r="V28" s="37"/>
      <c r="W28" s="37"/>
      <c r="X28" s="37"/>
      <c r="Y28" s="37"/>
    </row>
    <row r="29" spans="1:25" ht="24" customHeight="1" x14ac:dyDescent="0.35">
      <c r="A29" s="178" t="str">
        <f t="shared" ca="1" si="3"/>
        <v/>
      </c>
      <c r="B29" s="37"/>
      <c r="C29" s="37"/>
      <c r="D29" s="37"/>
      <c r="E29" s="37"/>
      <c r="F29" s="37">
        <v>5</v>
      </c>
      <c r="G29" s="39" cm="1">
        <f t="array" aca="1" ref="G29" ca="1">IFERROR(INDEX(OFFSET(auto_ss_Category,0,1,500,1),F29),0)</f>
        <v>52</v>
      </c>
      <c r="H29" s="39">
        <f ca="1">IF(G29=0,0,MATCH(G29,OFFSET(iWeights!$B$18,0,0,$E$13,1),0))</f>
        <v>52</v>
      </c>
      <c r="I29" s="39" cm="1">
        <f t="array" aca="1" ref="I29" ca="1">IF(G29=0,0,INDEX(OFFSET(iWeights!$F$18,0,0,$E$13,1),H29))</f>
        <v>9</v>
      </c>
      <c r="J29" s="39" cm="1">
        <f t="array" aca="1" ref="J29" ca="1">IF(G29=0,0,INDEX(OFFSET(iWeights!$G$18,0,0,$E$13,1),H29))</f>
        <v>0.29032258064516131</v>
      </c>
      <c r="K29" s="39" cm="1">
        <f t="array" aca="1" ref="K29" ca="1">IF(G29=0,"",INDEX(auto_Series_Depth,G29))</f>
        <v>1</v>
      </c>
      <c r="L29" s="179">
        <f t="shared" si="4"/>
        <v>0</v>
      </c>
      <c r="M29" s="180">
        <f t="shared" si="5"/>
        <v>9</v>
      </c>
      <c r="N29" s="181" t="str" cm="1">
        <f t="array" aca="1" ref="N29" ca="1">IF(G29=0,"",INDEX(auto_Series_NameNumbered,G29))</f>
        <v>5) GOVERNANCE</v>
      </c>
      <c r="O29" s="181">
        <f t="shared" ca="1" si="6"/>
        <v>9</v>
      </c>
      <c r="P29" s="182">
        <f t="shared" ca="1" si="7"/>
        <v>0.29032258064516131</v>
      </c>
      <c r="Q29" s="183" t="str">
        <f t="shared" ca="1" si="8"/>
        <v>||||||||||||||</v>
      </c>
      <c r="R29" s="184">
        <v>9</v>
      </c>
      <c r="S29" s="182" cm="1">
        <f t="array" aca="1" ref="S29" ca="1">IF(G29=0,0,INDEX(OFFSET(iWeights!$I$18,0,0,$E$13,1),$H29))</f>
        <v>0.29032258064516131</v>
      </c>
      <c r="T29" s="183" t="str">
        <f t="shared" ca="1" si="9"/>
        <v>|||||||||||</v>
      </c>
      <c r="U29" s="37"/>
      <c r="V29" s="37"/>
      <c r="W29" s="37"/>
      <c r="X29" s="37"/>
      <c r="Y29" s="37"/>
    </row>
    <row r="30" spans="1:25" ht="24" customHeight="1" x14ac:dyDescent="0.35">
      <c r="A30" s="178" t="str">
        <f t="shared" ca="1" si="3"/>
        <v>H</v>
      </c>
      <c r="B30" s="37"/>
      <c r="C30" s="37"/>
      <c r="D30" s="37"/>
      <c r="E30" s="37"/>
      <c r="F30" s="37">
        <v>6</v>
      </c>
      <c r="G30" s="39" cm="1">
        <f t="array" aca="1" ref="G30" ca="1">IFERROR(INDEX(OFFSET(auto_ss_Category,0,1,500,1),F30),0)</f>
        <v>0</v>
      </c>
      <c r="H30" s="39">
        <f ca="1">IF(G30=0,0,MATCH(G30,OFFSET(iWeights!$B$18,0,0,$E$13,1),0))</f>
        <v>0</v>
      </c>
      <c r="I30" s="39" cm="1">
        <f t="array" aca="1" ref="I30" ca="1">IF(G30=0,0,INDEX(OFFSET(iWeights!$F$18,0,0,$E$13,1),H30))</f>
        <v>0</v>
      </c>
      <c r="J30" s="39" cm="1">
        <f t="array" aca="1" ref="J30" ca="1">IF(G30=0,0,INDEX(OFFSET(iWeights!$G$18,0,0,$E$13,1),H30))</f>
        <v>0</v>
      </c>
      <c r="K30" s="39" t="str" cm="1">
        <f t="array" aca="1" ref="K30" ca="1">IF(G30=0,"",INDEX(auto_Series_Depth,G30))</f>
        <v/>
      </c>
      <c r="L30" s="179">
        <f t="shared" si="4"/>
        <v>1</v>
      </c>
      <c r="M30" s="180">
        <f t="shared" si="5"/>
        <v>0</v>
      </c>
      <c r="N30" s="185" t="str" cm="1">
        <f t="array" aca="1" ref="N30" ca="1">IF(G30=0,"",INDEX(auto_Series_NameNumbered,G30))</f>
        <v/>
      </c>
      <c r="O30" s="181" t="str">
        <f t="shared" ca="1" si="6"/>
        <v/>
      </c>
      <c r="P30" s="186" t="str">
        <f t="shared" ca="1" si="7"/>
        <v/>
      </c>
      <c r="Q30" s="183" t="str">
        <f t="shared" ca="1" si="8"/>
        <v/>
      </c>
      <c r="R30" s="184"/>
      <c r="S30" s="186" cm="1">
        <f t="array" aca="1" ref="S30" ca="1">IF(G30=0,0,INDEX(OFFSET(iWeights!$I$18,0,0,$E$13,1),$H30))</f>
        <v>0</v>
      </c>
      <c r="T30" s="183" t="str">
        <f t="shared" ca="1" si="9"/>
        <v/>
      </c>
      <c r="U30" s="37"/>
      <c r="V30" s="37"/>
      <c r="W30" s="37"/>
      <c r="X30" s="37"/>
      <c r="Y30" s="37"/>
    </row>
    <row r="31" spans="1:25" ht="24" customHeight="1" x14ac:dyDescent="0.35">
      <c r="A31" s="178" t="str">
        <f t="shared" ca="1" si="3"/>
        <v>H</v>
      </c>
      <c r="B31" s="37"/>
      <c r="C31" s="37"/>
      <c r="D31" s="37"/>
      <c r="E31" s="37"/>
      <c r="F31" s="37">
        <v>7</v>
      </c>
      <c r="G31" s="39" cm="1">
        <f t="array" aca="1" ref="G31" ca="1">IFERROR(INDEX(OFFSET(auto_ss_Category,0,1,500,1),F31),0)</f>
        <v>0</v>
      </c>
      <c r="H31" s="39">
        <f ca="1">IF(G31=0,0,MATCH(G31,OFFSET(iWeights!$B$18,0,0,$E$13,1),0))</f>
        <v>0</v>
      </c>
      <c r="I31" s="39" cm="1">
        <f t="array" aca="1" ref="I31" ca="1">IF(G31=0,0,INDEX(OFFSET(iWeights!$F$18,0,0,$E$13,1),H31))</f>
        <v>0</v>
      </c>
      <c r="J31" s="39" cm="1">
        <f t="array" aca="1" ref="J31" ca="1">IF(G31=0,0,INDEX(OFFSET(iWeights!$G$18,0,0,$E$13,1),H31))</f>
        <v>0</v>
      </c>
      <c r="K31" s="39" t="str" cm="1">
        <f t="array" aca="1" ref="K31" ca="1">IF(G31=0,"",INDEX(auto_Series_Depth,G31))</f>
        <v/>
      </c>
      <c r="L31" s="179">
        <f t="shared" si="4"/>
        <v>1</v>
      </c>
      <c r="M31" s="180">
        <f t="shared" si="5"/>
        <v>0</v>
      </c>
      <c r="N31" s="185" t="str" cm="1">
        <f t="array" aca="1" ref="N31" ca="1">IF(G31=0,"",INDEX(auto_Series_NameNumbered,G31))</f>
        <v/>
      </c>
      <c r="O31" s="181" t="str">
        <f t="shared" ca="1" si="6"/>
        <v/>
      </c>
      <c r="P31" s="186" t="str">
        <f t="shared" ca="1" si="7"/>
        <v/>
      </c>
      <c r="Q31" s="183" t="str">
        <f t="shared" ca="1" si="8"/>
        <v/>
      </c>
      <c r="R31" s="184"/>
      <c r="S31" s="186" cm="1">
        <f t="array" aca="1" ref="S31" ca="1">IF(G31=0,0,INDEX(OFFSET(iWeights!$I$18,0,0,$E$13,1),$H31))</f>
        <v>0</v>
      </c>
      <c r="T31" s="183" t="str">
        <f t="shared" ca="1" si="9"/>
        <v/>
      </c>
      <c r="U31" s="37"/>
      <c r="V31" s="37"/>
      <c r="W31" s="37"/>
      <c r="X31" s="37"/>
      <c r="Y31" s="37"/>
    </row>
    <row r="32" spans="1:25" ht="24" customHeight="1" x14ac:dyDescent="0.35">
      <c r="A32" s="178" t="str">
        <f t="shared" ca="1" si="3"/>
        <v>H</v>
      </c>
      <c r="B32" s="37"/>
      <c r="C32" s="37"/>
      <c r="D32" s="37"/>
      <c r="E32" s="37"/>
      <c r="F32" s="37">
        <v>8</v>
      </c>
      <c r="G32" s="39" cm="1">
        <f t="array" aca="1" ref="G32" ca="1">IFERROR(INDEX(OFFSET(auto_ss_Category,0,1,500,1),F32),0)</f>
        <v>0</v>
      </c>
      <c r="H32" s="39">
        <f ca="1">IF(G32=0,0,MATCH(G32,OFFSET(iWeights!$B$18,0,0,$E$13,1),0))</f>
        <v>0</v>
      </c>
      <c r="I32" s="39" cm="1">
        <f t="array" aca="1" ref="I32" ca="1">IF(G32=0,0,INDEX(OFFSET(iWeights!$F$18,0,0,$E$13,1),H32))</f>
        <v>0</v>
      </c>
      <c r="J32" s="39" cm="1">
        <f t="array" aca="1" ref="J32" ca="1">IF(G32=0,0,INDEX(OFFSET(iWeights!$G$18,0,0,$E$13,1),H32))</f>
        <v>0</v>
      </c>
      <c r="K32" s="39" t="str" cm="1">
        <f t="array" aca="1" ref="K32" ca="1">IF(G32=0,"",INDEX(auto_Series_Depth,G32))</f>
        <v/>
      </c>
      <c r="L32" s="179">
        <f t="shared" si="4"/>
        <v>1</v>
      </c>
      <c r="M32" s="180">
        <f t="shared" si="5"/>
        <v>0</v>
      </c>
      <c r="N32" s="185" t="str" cm="1">
        <f t="array" aca="1" ref="N32" ca="1">IF(G32=0,"",INDEX(auto_Series_NameNumbered,G32))</f>
        <v/>
      </c>
      <c r="O32" s="181" t="str">
        <f t="shared" ca="1" si="6"/>
        <v/>
      </c>
      <c r="P32" s="186" t="str">
        <f t="shared" ca="1" si="7"/>
        <v/>
      </c>
      <c r="Q32" s="183" t="str">
        <f t="shared" ca="1" si="8"/>
        <v/>
      </c>
      <c r="R32" s="184"/>
      <c r="S32" s="186" cm="1">
        <f t="array" aca="1" ref="S32" ca="1">IF(G32=0,0,INDEX(OFFSET(iWeights!$I$18,0,0,$E$13,1),$H32))</f>
        <v>0</v>
      </c>
      <c r="T32" s="183" t="str">
        <f t="shared" ca="1" si="9"/>
        <v/>
      </c>
      <c r="U32" s="37"/>
      <c r="V32" s="37"/>
      <c r="W32" s="37"/>
      <c r="X32" s="37"/>
      <c r="Y32" s="37"/>
    </row>
    <row r="33" spans="1:25" x14ac:dyDescent="0.35">
      <c r="A33" s="37"/>
      <c r="B33" s="37"/>
      <c r="C33" s="37"/>
      <c r="D33" s="37"/>
      <c r="E33" s="37"/>
      <c r="F33" s="37"/>
      <c r="G33" s="37"/>
      <c r="H33" s="37"/>
      <c r="I33" s="39"/>
      <c r="J33" s="39"/>
      <c r="K33" s="37"/>
      <c r="L33" s="37"/>
      <c r="M33" s="37"/>
      <c r="N33" s="122"/>
      <c r="O33" s="122"/>
      <c r="P33" s="122"/>
      <c r="Q33" s="187"/>
      <c r="R33" s="188"/>
      <c r="S33" s="37"/>
      <c r="T33" s="187"/>
      <c r="U33" s="37"/>
      <c r="V33" s="37"/>
      <c r="W33" s="37"/>
      <c r="X33" s="37"/>
      <c r="Y33" s="37"/>
    </row>
    <row r="34" spans="1:25" x14ac:dyDescent="0.35">
      <c r="A34" s="37"/>
      <c r="B34" s="37"/>
      <c r="C34" s="37"/>
      <c r="D34" s="37"/>
      <c r="E34" s="37"/>
      <c r="F34" s="37"/>
      <c r="G34" s="37"/>
      <c r="H34" s="37"/>
      <c r="I34" s="39"/>
      <c r="J34" s="39"/>
      <c r="K34" s="37"/>
      <c r="L34" s="37"/>
      <c r="M34" s="37"/>
      <c r="N34" s="189" t="str">
        <f>CHOOSE($E$12,"Indicator and sub-indicator weights","Indicator weights")</f>
        <v>Indicator weights</v>
      </c>
      <c r="O34" s="122"/>
      <c r="P34" s="122"/>
      <c r="Q34" s="187"/>
      <c r="R34" s="188"/>
      <c r="S34" s="37"/>
      <c r="T34" s="187"/>
      <c r="U34" s="37"/>
      <c r="V34" s="37"/>
      <c r="W34" s="37"/>
      <c r="X34" s="37"/>
      <c r="Y34" s="37"/>
    </row>
    <row r="35" spans="1:25" x14ac:dyDescent="0.35">
      <c r="A35" s="37"/>
      <c r="B35" s="37"/>
      <c r="C35" s="37"/>
      <c r="D35" s="37"/>
      <c r="E35" s="37"/>
      <c r="F35" s="37"/>
      <c r="G35" s="37"/>
      <c r="H35" s="37"/>
      <c r="I35" s="39"/>
      <c r="J35" s="39"/>
      <c r="K35" s="37"/>
      <c r="L35" s="37"/>
      <c r="M35" s="37"/>
      <c r="N35" s="176" t="str">
        <f>CHOOSE($E$12,"Determine the relative contribution of each sub-indicator to its parent indicator, and each indicator to its parent domain.","Determine the relative contribution of each indicator to its parent domain.")</f>
        <v>Determine the relative contribution of each indicator to its parent domain.</v>
      </c>
      <c r="O35" s="122"/>
      <c r="P35" s="122"/>
      <c r="Q35" s="187"/>
      <c r="R35" s="188"/>
      <c r="S35" s="37"/>
      <c r="T35" s="187"/>
      <c r="U35" s="37"/>
      <c r="V35" s="37"/>
      <c r="W35" s="37"/>
      <c r="X35" s="37"/>
      <c r="Y35" s="37"/>
    </row>
    <row r="36" spans="1:25" x14ac:dyDescent="0.35">
      <c r="A36" s="37"/>
      <c r="B36" s="37"/>
      <c r="C36" s="37"/>
      <c r="D36" s="37"/>
      <c r="E36" s="37"/>
      <c r="F36" s="37"/>
      <c r="G36" s="37"/>
      <c r="H36" s="37"/>
      <c r="I36" s="39"/>
      <c r="J36" s="39"/>
      <c r="K36" s="37"/>
      <c r="L36" s="37"/>
      <c r="M36" s="37"/>
      <c r="N36" s="176"/>
      <c r="O36" s="122"/>
      <c r="P36" s="122"/>
      <c r="Q36" s="187"/>
      <c r="R36" s="188"/>
      <c r="S36" s="37"/>
      <c r="T36" s="187"/>
      <c r="U36" s="37"/>
      <c r="V36" s="37"/>
      <c r="W36" s="37"/>
      <c r="X36" s="37"/>
      <c r="Y36" s="37"/>
    </row>
    <row r="37" spans="1:25" x14ac:dyDescent="0.35">
      <c r="A37" s="37"/>
      <c r="B37" s="37"/>
      <c r="C37" s="37"/>
      <c r="D37" s="37"/>
      <c r="E37" s="37"/>
      <c r="F37" s="37"/>
      <c r="G37" s="37"/>
      <c r="H37" s="37"/>
      <c r="I37" s="39"/>
      <c r="J37" s="39"/>
      <c r="K37" s="37"/>
      <c r="L37" s="37"/>
      <c r="M37" s="37"/>
      <c r="N37" s="122"/>
      <c r="O37" s="177" t="s">
        <v>161</v>
      </c>
      <c r="P37" s="177" t="s">
        <v>162</v>
      </c>
      <c r="Q37" s="190"/>
      <c r="R37" s="191" t="s">
        <v>161</v>
      </c>
      <c r="S37" s="177" t="s">
        <v>162</v>
      </c>
      <c r="T37" s="190"/>
      <c r="U37" s="37"/>
      <c r="V37" s="37"/>
      <c r="W37" s="37"/>
      <c r="X37" s="37"/>
      <c r="Y37" s="37"/>
    </row>
    <row r="38" spans="1:25" ht="21" customHeight="1" x14ac:dyDescent="0.35">
      <c r="A38" s="178" t="str">
        <f ca="1">IF(G38=0,"H",IF(K38&gt;$F$12,"H",""))</f>
        <v/>
      </c>
      <c r="B38" s="37"/>
      <c r="C38" s="37"/>
      <c r="D38" s="37"/>
      <c r="E38" s="37"/>
      <c r="F38" s="37">
        <v>2</v>
      </c>
      <c r="G38" s="39" cm="1">
        <f t="array" aca="1" ref="G38" ca="1">IFERROR(INDEX(OFFSET(auto_ss_All_Scoring,0,1,500,1),F38),0)</f>
        <v>2</v>
      </c>
      <c r="H38" s="39">
        <f ca="1">IF(G38=0,0,MATCH(G38,OFFSET(iWeights!$B$18,0,0,$E$13,1),0))</f>
        <v>2</v>
      </c>
      <c r="I38" s="39" cm="1">
        <f t="array" aca="1" ref="I38" ca="1">IF(G38=0,0,INDEX(OFFSET(iWeights!$F$18,0,0,$E$13,1),H38))</f>
        <v>5</v>
      </c>
      <c r="J38" s="39" cm="1">
        <f t="array" aca="1" ref="J38" ca="1">IF(G38=0,0,INDEX(OFFSET(iWeights!$G$18,0,0,$E$13,1),H38))</f>
        <v>0.16129032258064516</v>
      </c>
      <c r="K38" s="39" cm="1">
        <f t="array" aca="1" ref="K38" ca="1">IF(G38=0,"",INDEX(auto_Series_Depth,G38))</f>
        <v>1</v>
      </c>
      <c r="L38" s="179">
        <f t="shared" ref="L38:L42" ca="1" si="10">IFERROR(IF(K38=1,0,IF(NOT(ISNUMBER(R38)),1,0)),1)</f>
        <v>0</v>
      </c>
      <c r="M38" s="180">
        <f t="shared" ref="M38:M42" ca="1" si="11">IF(L38=1,0,R38)</f>
        <v>0</v>
      </c>
      <c r="N38" s="185" t="str" cm="1">
        <f t="array" aca="1" ref="N38" ca="1">IF(G38=0,"",CONCATENATE(IF($K38&gt;=4,"    ",""),INDEX(auto_Series_NameNumbered,G38)))</f>
        <v>1) SOCIAL DETERMINANTS</v>
      </c>
      <c r="O38" s="181" t="str">
        <f t="shared" ref="O38:O42" ca="1" si="12">IF(G38=0,"",IF(K38=1,"",I38))</f>
        <v/>
      </c>
      <c r="P38" s="192" t="str">
        <f t="shared" ref="P38:P42" ca="1" si="13">IF(G38=0,"",IF(K38=1,"",J38))</f>
        <v/>
      </c>
      <c r="Q38" s="193" t="str">
        <f t="shared" ref="Q38:Q42" ca="1" si="14">IF($G38=0,"",IF($K38=1,"",REPT("|",P38*40)))</f>
        <v/>
      </c>
      <c r="R38" s="194"/>
      <c r="S38" s="192" t="str" cm="1">
        <f t="array" aca="1" ref="S38" ca="1">IF(G38=0,"",IF(K38=1,"",INDEX(OFFSET(iWeights!$I$18,0,0,$E$13,1),$H38)))</f>
        <v/>
      </c>
      <c r="T38" s="193" t="str">
        <f t="shared" ref="T38" ca="1" si="15">IF($G38=0,"",IF($K38=1,"",REPT("|",S38*40)))</f>
        <v/>
      </c>
      <c r="U38" s="37"/>
      <c r="V38" s="37"/>
      <c r="W38" s="37"/>
      <c r="X38" s="37"/>
      <c r="Y38" s="37"/>
    </row>
    <row r="39" spans="1:25" ht="17.5" customHeight="1" x14ac:dyDescent="0.35">
      <c r="A39" s="178" t="str">
        <f t="shared" ref="A39:A102" ca="1" si="16">IF(G39=0,"H",IF(K39&gt;$F$12,"H",""))</f>
        <v/>
      </c>
      <c r="B39" s="37"/>
      <c r="C39" s="37"/>
      <c r="D39" s="37"/>
      <c r="E39" s="37"/>
      <c r="F39" s="37">
        <v>3</v>
      </c>
      <c r="G39" s="39" cm="1">
        <f t="array" aca="1" ref="G39" ca="1">IFERROR(INDEX(OFFSET(auto_ss_All_Scoring,0,1,500,1),F39),0)</f>
        <v>3</v>
      </c>
      <c r="H39" s="39">
        <f ca="1">IF(G39=0,0,MATCH(G39,OFFSET(iWeights!$B$18,0,0,$E$13,1),0))</f>
        <v>3</v>
      </c>
      <c r="I39" s="39" cm="1">
        <f t="array" aca="1" ref="I39" ca="1">IF(G39=0,0,INDEX(OFFSET(iWeights!$F$18,0,0,$E$13,1),H39))</f>
        <v>1</v>
      </c>
      <c r="J39" s="39" cm="1">
        <f t="array" aca="1" ref="J39" ca="1">IF(G39=0,0,INDEX(OFFSET(iWeights!$G$18,0,0,$E$13,1),H39))</f>
        <v>0.2</v>
      </c>
      <c r="K39" s="39" cm="1">
        <f t="array" aca="1" ref="K39" ca="1">IF(G39=0,"",INDEX(auto_Series_Depth,G39))</f>
        <v>2</v>
      </c>
      <c r="L39" s="179">
        <f t="shared" ca="1" si="10"/>
        <v>0</v>
      </c>
      <c r="M39" s="180">
        <f t="shared" ca="1" si="11"/>
        <v>1</v>
      </c>
      <c r="N39" s="181" t="str" cm="1">
        <f t="array" aca="1" ref="N39" ca="1">IF(G39=0,"",CONCATENATE(IF($K39&gt;=4,"    ",""),INDEX(auto_Series_NameNumbered,G39)))</f>
        <v>1.1) Poverty and inequality</v>
      </c>
      <c r="O39" s="181">
        <f t="shared" ca="1" si="12"/>
        <v>1</v>
      </c>
      <c r="P39" s="182">
        <f t="shared" ca="1" si="13"/>
        <v>0.2</v>
      </c>
      <c r="Q39" s="183" t="str">
        <f t="shared" ca="1" si="14"/>
        <v>||||||||</v>
      </c>
      <c r="R39" s="194">
        <v>1</v>
      </c>
      <c r="S39" s="182" cm="1">
        <f t="array" aca="1" ref="S39" ca="1">IF(G39=0,"",IF(K39=1,"",INDEX(OFFSET(iWeights!$I$18,0,0,$E$13,1),$H39)))</f>
        <v>0.2</v>
      </c>
      <c r="T39" s="183" t="str">
        <f t="shared" ref="T39:T42" ca="1" si="17">IF($G39=0,"",IF($K39=1,"",REPT("|",S39*40)))</f>
        <v>||||||||</v>
      </c>
      <c r="U39" s="37"/>
      <c r="V39" s="37"/>
      <c r="W39" s="37"/>
      <c r="X39" s="37"/>
      <c r="Y39" s="195"/>
    </row>
    <row r="40" spans="1:25" ht="17.5" customHeight="1" x14ac:dyDescent="0.35">
      <c r="A40" s="178" t="str">
        <f t="shared" ca="1" si="16"/>
        <v>H</v>
      </c>
      <c r="B40" s="37"/>
      <c r="C40" s="37"/>
      <c r="D40" s="37"/>
      <c r="E40" s="37"/>
      <c r="F40" s="37">
        <v>4</v>
      </c>
      <c r="G40" s="39" cm="1">
        <f t="array" aca="1" ref="G40" ca="1">IFERROR(INDEX(OFFSET(auto_ss_All_Scoring,0,1,500,1),F40),0)</f>
        <v>4</v>
      </c>
      <c r="H40" s="39">
        <f ca="1">IF(G40=0,0,MATCH(G40,OFFSET(iWeights!$B$18,0,0,$E$13,1),0))</f>
        <v>4</v>
      </c>
      <c r="I40" s="39" cm="1">
        <f t="array" aca="1" ref="I40" ca="1">IF(G40=0,0,INDEX(OFFSET(iWeights!$F$18,0,0,$E$13,1),H40))</f>
        <v>1</v>
      </c>
      <c r="J40" s="39" cm="1">
        <f t="array" aca="1" ref="J40" ca="1">IF(G40=0,0,INDEX(OFFSET(iWeights!$G$18,0,0,$E$13,1),H40))</f>
        <v>0.5</v>
      </c>
      <c r="K40" s="39" cm="1">
        <f t="array" aca="1" ref="K40" ca="1">IF(G40=0,"",INDEX(auto_Series_Depth,G40))</f>
        <v>3</v>
      </c>
      <c r="L40" s="179">
        <f t="shared" ca="1" si="10"/>
        <v>0</v>
      </c>
      <c r="M40" s="180">
        <f t="shared" ca="1" si="11"/>
        <v>1</v>
      </c>
      <c r="N40" s="181" t="str" cm="1">
        <f t="array" aca="1" ref="N40" ca="1">IF(G40=0,"",CONCATENATE(IF($K40&gt;=4,"    ",""),INDEX(auto_Series_NameNumbered,G40)))</f>
        <v>1.1a) Gini Index: national data</v>
      </c>
      <c r="O40" s="181">
        <f t="shared" ca="1" si="12"/>
        <v>1</v>
      </c>
      <c r="P40" s="182">
        <f t="shared" ca="1" si="13"/>
        <v>0.5</v>
      </c>
      <c r="Q40" s="183" t="str">
        <f t="shared" ca="1" si="14"/>
        <v>||||||||||||||||||||</v>
      </c>
      <c r="R40" s="194">
        <v>1</v>
      </c>
      <c r="S40" s="182" cm="1">
        <f t="array" aca="1" ref="S40" ca="1">IF(G40=0,"",IF(K40=1,"",INDEX(OFFSET(iWeights!$I$18,0,0,$E$13,1),$H40)))</f>
        <v>0.5</v>
      </c>
      <c r="T40" s="183" t="str">
        <f t="shared" ca="1" si="17"/>
        <v>||||||||||||||||||||</v>
      </c>
      <c r="U40" s="37"/>
      <c r="V40" s="37"/>
      <c r="W40" s="37"/>
      <c r="X40" s="37"/>
      <c r="Y40" s="195"/>
    </row>
    <row r="41" spans="1:25" ht="17.5" customHeight="1" x14ac:dyDescent="0.35">
      <c r="A41" s="178" t="str">
        <f t="shared" ca="1" si="16"/>
        <v>H</v>
      </c>
      <c r="B41" s="37"/>
      <c r="C41" s="37"/>
      <c r="D41" s="37"/>
      <c r="E41" s="37"/>
      <c r="F41" s="37">
        <v>5</v>
      </c>
      <c r="G41" s="39" cm="1">
        <f t="array" aca="1" ref="G41" ca="1">IFERROR(INDEX(OFFSET(auto_ss_All_Scoring,0,1,500,1),F41),0)</f>
        <v>5</v>
      </c>
      <c r="H41" s="39">
        <f ca="1">IF(G41=0,0,MATCH(G41,OFFSET(iWeights!$B$18,0,0,$E$13,1),0))</f>
        <v>5</v>
      </c>
      <c r="I41" s="39" cm="1">
        <f t="array" aca="1" ref="I41" ca="1">IF(G41=0,0,INDEX(OFFSET(iWeights!$F$18,0,0,$E$13,1),H41))</f>
        <v>1</v>
      </c>
      <c r="J41" s="39" cm="1">
        <f t="array" aca="1" ref="J41" ca="1">IF(G41=0,0,INDEX(OFFSET(iWeights!$G$18,0,0,$E$13,1),H41))</f>
        <v>0.5</v>
      </c>
      <c r="K41" s="39" cm="1">
        <f t="array" aca="1" ref="K41" ca="1">IF(G41=0,"",INDEX(auto_Series_Depth,G41))</f>
        <v>3</v>
      </c>
      <c r="L41" s="179">
        <f t="shared" ca="1" si="10"/>
        <v>0</v>
      </c>
      <c r="M41" s="180">
        <f t="shared" ca="1" si="11"/>
        <v>1</v>
      </c>
      <c r="N41" s="181" t="str" cm="1">
        <f t="array" aca="1" ref="N41" ca="1">IF(G41=0,"",CONCATENATE(IF($K41&gt;=4,"    ",""),INDEX(auto_Series_NameNumbered,G41)))</f>
        <v>1.1b) Poverty: city-level data availability</v>
      </c>
      <c r="O41" s="181">
        <f t="shared" ca="1" si="12"/>
        <v>1</v>
      </c>
      <c r="P41" s="182">
        <f t="shared" ca="1" si="13"/>
        <v>0.5</v>
      </c>
      <c r="Q41" s="183" t="str">
        <f t="shared" ca="1" si="14"/>
        <v>||||||||||||||||||||</v>
      </c>
      <c r="R41" s="194">
        <v>1</v>
      </c>
      <c r="S41" s="182" cm="1">
        <f t="array" aca="1" ref="S41" ca="1">IF(G41=0,"",IF(K41=1,"",INDEX(OFFSET(iWeights!$I$18,0,0,$E$13,1),$H41)))</f>
        <v>0.5</v>
      </c>
      <c r="T41" s="183" t="str">
        <f t="shared" ca="1" si="17"/>
        <v>||||||||||||||||||||</v>
      </c>
      <c r="U41" s="37"/>
      <c r="V41" s="37"/>
      <c r="W41" s="37"/>
      <c r="X41" s="37"/>
      <c r="Y41" s="37"/>
    </row>
    <row r="42" spans="1:25" ht="17.5" customHeight="1" x14ac:dyDescent="0.35">
      <c r="A42" s="178" t="str">
        <f t="shared" ca="1" si="16"/>
        <v/>
      </c>
      <c r="B42" s="37"/>
      <c r="C42" s="37"/>
      <c r="D42" s="37"/>
      <c r="E42" s="37"/>
      <c r="F42" s="37">
        <v>6</v>
      </c>
      <c r="G42" s="39" cm="1">
        <f t="array" aca="1" ref="G42" ca="1">IFERROR(INDEX(OFFSET(auto_ss_All_Scoring,0,1,500,1),F42),0)</f>
        <v>6</v>
      </c>
      <c r="H42" s="39">
        <f ca="1">IF(G42=0,0,MATCH(G42,OFFSET(iWeights!$B$18,0,0,$E$13,1),0))</f>
        <v>6</v>
      </c>
      <c r="I42" s="39" cm="1">
        <f t="array" aca="1" ref="I42" ca="1">IF(G42=0,0,INDEX(OFFSET(iWeights!$F$18,0,0,$E$13,1),H42))</f>
        <v>1</v>
      </c>
      <c r="J42" s="39" cm="1">
        <f t="array" aca="1" ref="J42" ca="1">IF(G42=0,0,INDEX(OFFSET(iWeights!$G$18,0,0,$E$13,1),H42))</f>
        <v>0.2</v>
      </c>
      <c r="K42" s="39" cm="1">
        <f t="array" aca="1" ref="K42" ca="1">IF(G42=0,"",INDEX(auto_Series_Depth,G42))</f>
        <v>2</v>
      </c>
      <c r="L42" s="179">
        <f t="shared" ca="1" si="10"/>
        <v>0</v>
      </c>
      <c r="M42" s="180">
        <f t="shared" ca="1" si="11"/>
        <v>1</v>
      </c>
      <c r="N42" s="181" t="str" cm="1">
        <f t="array" aca="1" ref="N42" ca="1">IF(G42=0,"",CONCATENATE(IF($K42&gt;=4,"    ",""),INDEX(auto_Series_NameNumbered,G42)))</f>
        <v>1.2) Education</v>
      </c>
      <c r="O42" s="181">
        <f t="shared" ca="1" si="12"/>
        <v>1</v>
      </c>
      <c r="P42" s="182">
        <f t="shared" ca="1" si="13"/>
        <v>0.2</v>
      </c>
      <c r="Q42" s="183" t="str">
        <f t="shared" ca="1" si="14"/>
        <v>||||||||</v>
      </c>
      <c r="R42" s="194">
        <v>1</v>
      </c>
      <c r="S42" s="182" cm="1">
        <f t="array" aca="1" ref="S42" ca="1">IF(G42=0,"",IF(K42=1,"",INDEX(OFFSET(iWeights!$I$18,0,0,$E$13,1),$H42)))</f>
        <v>0.2</v>
      </c>
      <c r="T42" s="183" t="str">
        <f t="shared" ca="1" si="17"/>
        <v>||||||||</v>
      </c>
      <c r="U42" s="37"/>
      <c r="V42" s="37"/>
      <c r="W42" s="37"/>
      <c r="X42" s="37"/>
      <c r="Y42" s="195"/>
    </row>
    <row r="43" spans="1:25" ht="17.5" customHeight="1" x14ac:dyDescent="0.35">
      <c r="A43" s="178" t="str">
        <f t="shared" ca="1" si="16"/>
        <v>H</v>
      </c>
      <c r="B43" s="37"/>
      <c r="C43" s="37"/>
      <c r="D43" s="37"/>
      <c r="E43" s="37"/>
      <c r="F43" s="37">
        <v>7</v>
      </c>
      <c r="G43" s="39" cm="1">
        <f t="array" aca="1" ref="G43" ca="1">IFERROR(INDEX(OFFSET(auto_ss_All_Scoring,0,1,500,1),F43),0)</f>
        <v>7</v>
      </c>
      <c r="H43" s="39">
        <f ca="1">IF(G43=0,0,MATCH(G43,OFFSET(iWeights!$B$18,0,0,$E$13,1),0))</f>
        <v>7</v>
      </c>
      <c r="I43" s="39" cm="1">
        <f t="array" aca="1" ref="I43" ca="1">IF(G43=0,0,INDEX(OFFSET(iWeights!$F$18,0,0,$E$13,1),H43))</f>
        <v>1</v>
      </c>
      <c r="J43" s="39" cm="1">
        <f t="array" aca="1" ref="J43" ca="1">IF(G43=0,0,INDEX(OFFSET(iWeights!$G$18,0,0,$E$13,1),H43))</f>
        <v>0.5</v>
      </c>
      <c r="K43" s="39" cm="1">
        <f t="array" aca="1" ref="K43" ca="1">IF(G43=0,"",INDEX(auto_Series_Depth,G43))</f>
        <v>3</v>
      </c>
      <c r="L43" s="179">
        <f t="shared" ref="L43:L106" ca="1" si="18">IFERROR(IF(K43=1,0,IF(NOT(ISNUMBER(R43)),1,0)),1)</f>
        <v>0</v>
      </c>
      <c r="M43" s="180">
        <f t="shared" ref="M43:M106" ca="1" si="19">IF(L43=1,0,R43)</f>
        <v>1</v>
      </c>
      <c r="N43" s="181" t="str" cm="1">
        <f t="array" aca="1" ref="N43" ca="1">IF(G43=0,"",CONCATENATE(IF($K43&gt;=4,"    ",""),INDEX(auto_Series_NameNumbered,G43)))</f>
        <v>1.2a) Level of education: national data</v>
      </c>
      <c r="O43" s="181">
        <f t="shared" ref="O43:O106" ca="1" si="20">IF(G43=0,"",IF(K43=1,"",I43))</f>
        <v>1</v>
      </c>
      <c r="P43" s="182">
        <f t="shared" ref="P43:P106" ca="1" si="21">IF(G43=0,"",IF(K43=1,"",J43))</f>
        <v>0.5</v>
      </c>
      <c r="Q43" s="183" t="str">
        <f t="shared" ref="Q43:Q106" ca="1" si="22">IF($G43=0,"",IF($K43=1,"",REPT("|",P43*40)))</f>
        <v>||||||||||||||||||||</v>
      </c>
      <c r="R43" s="194">
        <v>1</v>
      </c>
      <c r="S43" s="182" cm="1">
        <f t="array" aca="1" ref="S43" ca="1">IF(G43=0,"",IF(K43=1,"",INDEX(OFFSET(iWeights!$I$18,0,0,$E$13,1),$H43)))</f>
        <v>0.5</v>
      </c>
      <c r="T43" s="183" t="str">
        <f t="shared" ref="T43:T106" ca="1" si="23">IF($G43=0,"",IF($K43=1,"",REPT("|",S43*40)))</f>
        <v>||||||||||||||||||||</v>
      </c>
      <c r="U43" s="37"/>
      <c r="V43" s="37"/>
      <c r="W43" s="37"/>
      <c r="X43" s="37"/>
      <c r="Y43" s="37"/>
    </row>
    <row r="44" spans="1:25" ht="17.5" customHeight="1" x14ac:dyDescent="0.35">
      <c r="A44" s="178" t="str">
        <f t="shared" ca="1" si="16"/>
        <v>H</v>
      </c>
      <c r="B44" s="37"/>
      <c r="C44" s="37"/>
      <c r="D44" s="37"/>
      <c r="E44" s="37"/>
      <c r="F44" s="37">
        <v>8</v>
      </c>
      <c r="G44" s="39" cm="1">
        <f t="array" aca="1" ref="G44" ca="1">IFERROR(INDEX(OFFSET(auto_ss_All_Scoring,0,1,500,1),F44),0)</f>
        <v>8</v>
      </c>
      <c r="H44" s="39">
        <f ca="1">IF(G44=0,0,MATCH(G44,OFFSET(iWeights!$B$18,0,0,$E$13,1),0))</f>
        <v>8</v>
      </c>
      <c r="I44" s="39" cm="1">
        <f t="array" aca="1" ref="I44" ca="1">IF(G44=0,0,INDEX(OFFSET(iWeights!$F$18,0,0,$E$13,1),H44))</f>
        <v>1</v>
      </c>
      <c r="J44" s="39" cm="1">
        <f t="array" aca="1" ref="J44" ca="1">IF(G44=0,0,INDEX(OFFSET(iWeights!$G$18,0,0,$E$13,1),H44))</f>
        <v>0.5</v>
      </c>
      <c r="K44" s="39" cm="1">
        <f t="array" aca="1" ref="K44" ca="1">IF(G44=0,"",INDEX(auto_Series_Depth,G44))</f>
        <v>3</v>
      </c>
      <c r="L44" s="179">
        <f t="shared" ca="1" si="18"/>
        <v>0</v>
      </c>
      <c r="M44" s="180">
        <f t="shared" ca="1" si="19"/>
        <v>1</v>
      </c>
      <c r="N44" s="181" t="str" cm="1">
        <f t="array" aca="1" ref="N44" ca="1">IF(G44=0,"",CONCATENATE(IF($K44&gt;=4,"    ",""),INDEX(auto_Series_NameNumbered,G44)))</f>
        <v>1.2b) Level of education: city-level data availability</v>
      </c>
      <c r="O44" s="181">
        <f t="shared" ca="1" si="20"/>
        <v>1</v>
      </c>
      <c r="P44" s="182">
        <f t="shared" ca="1" si="21"/>
        <v>0.5</v>
      </c>
      <c r="Q44" s="183" t="str">
        <f t="shared" ca="1" si="22"/>
        <v>||||||||||||||||||||</v>
      </c>
      <c r="R44" s="194">
        <v>1</v>
      </c>
      <c r="S44" s="182" cm="1">
        <f t="array" aca="1" ref="S44" ca="1">IF(G44=0,"",IF(K44=1,"",INDEX(OFFSET(iWeights!$I$18,0,0,$E$13,1),$H44)))</f>
        <v>0.5</v>
      </c>
      <c r="T44" s="183" t="str">
        <f t="shared" ca="1" si="23"/>
        <v>||||||||||||||||||||</v>
      </c>
      <c r="U44" s="37"/>
      <c r="V44" s="37"/>
      <c r="W44" s="37"/>
      <c r="X44" s="37"/>
      <c r="Y44" s="37"/>
    </row>
    <row r="45" spans="1:25" ht="17.5" customHeight="1" x14ac:dyDescent="0.35">
      <c r="A45" s="178" t="str">
        <f t="shared" ca="1" si="16"/>
        <v/>
      </c>
      <c r="B45" s="37"/>
      <c r="C45" s="37"/>
      <c r="D45" s="37"/>
      <c r="E45" s="37"/>
      <c r="F45" s="37">
        <v>9</v>
      </c>
      <c r="G45" s="39" cm="1">
        <f t="array" aca="1" ref="G45" ca="1">IFERROR(INDEX(OFFSET(auto_ss_All_Scoring,0,1,500,1),F45),0)</f>
        <v>9</v>
      </c>
      <c r="H45" s="39">
        <f ca="1">IF(G45=0,0,MATCH(G45,OFFSET(iWeights!$B$18,0,0,$E$13,1),0))</f>
        <v>9</v>
      </c>
      <c r="I45" s="39" cm="1">
        <f t="array" aca="1" ref="I45" ca="1">IF(G45=0,0,INDEX(OFFSET(iWeights!$F$18,0,0,$E$13,1),H45))</f>
        <v>1</v>
      </c>
      <c r="J45" s="39" cm="1">
        <f t="array" aca="1" ref="J45" ca="1">IF(G45=0,0,INDEX(OFFSET(iWeights!$G$18,0,0,$E$13,1),H45))</f>
        <v>0.2</v>
      </c>
      <c r="K45" s="39" cm="1">
        <f t="array" aca="1" ref="K45" ca="1">IF(G45=0,"",INDEX(auto_Series_Depth,G45))</f>
        <v>2</v>
      </c>
      <c r="L45" s="179">
        <f t="shared" ca="1" si="18"/>
        <v>0</v>
      </c>
      <c r="M45" s="180">
        <f t="shared" ca="1" si="19"/>
        <v>1</v>
      </c>
      <c r="N45" s="181" t="str" cm="1">
        <f t="array" aca="1" ref="N45" ca="1">IF(G45=0,"",CONCATENATE(IF($K45&gt;=4,"    ",""),INDEX(auto_Series_NameNumbered,G45)))</f>
        <v>1.3) Employment</v>
      </c>
      <c r="O45" s="181">
        <f t="shared" ca="1" si="20"/>
        <v>1</v>
      </c>
      <c r="P45" s="182">
        <f t="shared" ca="1" si="21"/>
        <v>0.2</v>
      </c>
      <c r="Q45" s="183" t="str">
        <f t="shared" ca="1" si="22"/>
        <v>||||||||</v>
      </c>
      <c r="R45" s="194">
        <v>1</v>
      </c>
      <c r="S45" s="182" cm="1">
        <f t="array" aca="1" ref="S45" ca="1">IF(G45=0,"",IF(K45=1,"",INDEX(OFFSET(iWeights!$I$18,0,0,$E$13,1),$H45)))</f>
        <v>0.2</v>
      </c>
      <c r="T45" s="183" t="str">
        <f t="shared" ca="1" si="23"/>
        <v>||||||||</v>
      </c>
      <c r="U45" s="37"/>
      <c r="V45" s="37"/>
      <c r="W45" s="37"/>
      <c r="X45" s="37"/>
      <c r="Y45" s="37"/>
    </row>
    <row r="46" spans="1:25" ht="17.5" customHeight="1" x14ac:dyDescent="0.35">
      <c r="A46" s="178" t="str">
        <f t="shared" ca="1" si="16"/>
        <v>H</v>
      </c>
      <c r="B46" s="37"/>
      <c r="C46" s="37"/>
      <c r="D46" s="37"/>
      <c r="E46" s="37"/>
      <c r="F46" s="37">
        <v>10</v>
      </c>
      <c r="G46" s="39" cm="1">
        <f t="array" aca="1" ref="G46" ca="1">IFERROR(INDEX(OFFSET(auto_ss_All_Scoring,0,1,500,1),F46),0)</f>
        <v>10</v>
      </c>
      <c r="H46" s="39">
        <f ca="1">IF(G46=0,0,MATCH(G46,OFFSET(iWeights!$B$18,0,0,$E$13,1),0))</f>
        <v>10</v>
      </c>
      <c r="I46" s="39" cm="1">
        <f t="array" aca="1" ref="I46" ca="1">IF(G46=0,0,INDEX(OFFSET(iWeights!$F$18,0,0,$E$13,1),H46))</f>
        <v>1</v>
      </c>
      <c r="J46" s="39" cm="1">
        <f t="array" aca="1" ref="J46" ca="1">IF(G46=0,0,INDEX(OFFSET(iWeights!$G$18,0,0,$E$13,1),H46))</f>
        <v>0.5</v>
      </c>
      <c r="K46" s="39" cm="1">
        <f t="array" aca="1" ref="K46" ca="1">IF(G46=0,"",INDEX(auto_Series_Depth,G46))</f>
        <v>3</v>
      </c>
      <c r="L46" s="179">
        <f t="shared" ca="1" si="18"/>
        <v>0</v>
      </c>
      <c r="M46" s="180">
        <f t="shared" ca="1" si="19"/>
        <v>1</v>
      </c>
      <c r="N46" s="181" t="str" cm="1">
        <f t="array" aca="1" ref="N46" ca="1">IF(G46=0,"",CONCATENATE(IF($K46&gt;=4,"    ",""),INDEX(auto_Series_NameNumbered,G46)))</f>
        <v>1.3a) Total unemployment: national data</v>
      </c>
      <c r="O46" s="181">
        <f t="shared" ca="1" si="20"/>
        <v>1</v>
      </c>
      <c r="P46" s="182">
        <f t="shared" ca="1" si="21"/>
        <v>0.5</v>
      </c>
      <c r="Q46" s="183" t="str">
        <f t="shared" ca="1" si="22"/>
        <v>||||||||||||||||||||</v>
      </c>
      <c r="R46" s="194">
        <v>1</v>
      </c>
      <c r="S46" s="182" cm="1">
        <f t="array" aca="1" ref="S46" ca="1">IF(G46=0,"",IF(K46=1,"",INDEX(OFFSET(iWeights!$I$18,0,0,$E$13,1),$H46)))</f>
        <v>0.5</v>
      </c>
      <c r="T46" s="183" t="str">
        <f t="shared" ca="1" si="23"/>
        <v>||||||||||||||||||||</v>
      </c>
      <c r="U46" s="37"/>
      <c r="V46" s="37"/>
      <c r="W46" s="37"/>
      <c r="X46" s="37"/>
      <c r="Y46" s="195"/>
    </row>
    <row r="47" spans="1:25" ht="17.5" customHeight="1" x14ac:dyDescent="0.35">
      <c r="A47" s="178" t="str">
        <f t="shared" ca="1" si="16"/>
        <v>H</v>
      </c>
      <c r="B47" s="37"/>
      <c r="C47" s="37"/>
      <c r="D47" s="37"/>
      <c r="E47" s="37"/>
      <c r="F47" s="37">
        <v>11</v>
      </c>
      <c r="G47" s="39" cm="1">
        <f t="array" aca="1" ref="G47" ca="1">IFERROR(INDEX(OFFSET(auto_ss_All_Scoring,0,1,500,1),F47),0)</f>
        <v>11</v>
      </c>
      <c r="H47" s="39">
        <f ca="1">IF(G47=0,0,MATCH(G47,OFFSET(iWeights!$B$18,0,0,$E$13,1),0))</f>
        <v>11</v>
      </c>
      <c r="I47" s="39" cm="1">
        <f t="array" aca="1" ref="I47" ca="1">IF(G47=0,0,INDEX(OFFSET(iWeights!$F$18,0,0,$E$13,1),H47))</f>
        <v>1</v>
      </c>
      <c r="J47" s="39" cm="1">
        <f t="array" aca="1" ref="J47" ca="1">IF(G47=0,0,INDEX(OFFSET(iWeights!$G$18,0,0,$E$13,1),H47))</f>
        <v>0.5</v>
      </c>
      <c r="K47" s="39" cm="1">
        <f t="array" aca="1" ref="K47" ca="1">IF(G47=0,"",INDEX(auto_Series_Depth,G47))</f>
        <v>3</v>
      </c>
      <c r="L47" s="179">
        <f t="shared" ca="1" si="18"/>
        <v>0</v>
      </c>
      <c r="M47" s="180">
        <f t="shared" ca="1" si="19"/>
        <v>1</v>
      </c>
      <c r="N47" s="181" t="str" cm="1">
        <f t="array" aca="1" ref="N47" ca="1">IF(G47=0,"",CONCATENATE(IF($K47&gt;=4,"    ",""),INDEX(auto_Series_NameNumbered,G47)))</f>
        <v>1.3b) Total unemployment: city-level data availability</v>
      </c>
      <c r="O47" s="181">
        <f t="shared" ca="1" si="20"/>
        <v>1</v>
      </c>
      <c r="P47" s="182">
        <f t="shared" ca="1" si="21"/>
        <v>0.5</v>
      </c>
      <c r="Q47" s="183" t="str">
        <f t="shared" ca="1" si="22"/>
        <v>||||||||||||||||||||</v>
      </c>
      <c r="R47" s="194">
        <v>1</v>
      </c>
      <c r="S47" s="182" cm="1">
        <f t="array" aca="1" ref="S47" ca="1">IF(G47=0,"",IF(K47=1,"",INDEX(OFFSET(iWeights!$I$18,0,0,$E$13,1),$H47)))</f>
        <v>0.5</v>
      </c>
      <c r="T47" s="183" t="str">
        <f t="shared" ca="1" si="23"/>
        <v>||||||||||||||||||||</v>
      </c>
      <c r="U47" s="37"/>
      <c r="V47" s="37"/>
      <c r="W47" s="37"/>
      <c r="X47" s="37"/>
      <c r="Y47" s="37"/>
    </row>
    <row r="48" spans="1:25" ht="17.5" customHeight="1" x14ac:dyDescent="0.35">
      <c r="A48" s="178" t="str">
        <f t="shared" ca="1" si="16"/>
        <v/>
      </c>
      <c r="B48" s="37"/>
      <c r="C48" s="37"/>
      <c r="D48" s="37"/>
      <c r="E48" s="37"/>
      <c r="F48" s="37">
        <v>12</v>
      </c>
      <c r="G48" s="39" cm="1">
        <f t="array" aca="1" ref="G48" ca="1">IFERROR(INDEX(OFFSET(auto_ss_All_Scoring,0,1,500,1),F48),0)</f>
        <v>12</v>
      </c>
      <c r="H48" s="39">
        <f ca="1">IF(G48=0,0,MATCH(G48,OFFSET(iWeights!$B$18,0,0,$E$13,1),0))</f>
        <v>12</v>
      </c>
      <c r="I48" s="39" cm="1">
        <f t="array" aca="1" ref="I48" ca="1">IF(G48=0,0,INDEX(OFFSET(iWeights!$F$18,0,0,$E$13,1),H48))</f>
        <v>1</v>
      </c>
      <c r="J48" s="39" cm="1">
        <f t="array" aca="1" ref="J48" ca="1">IF(G48=0,0,INDEX(OFFSET(iWeights!$G$18,0,0,$E$13,1),H48))</f>
        <v>0.2</v>
      </c>
      <c r="K48" s="39" cm="1">
        <f t="array" aca="1" ref="K48" ca="1">IF(G48=0,"",INDEX(auto_Series_Depth,G48))</f>
        <v>2</v>
      </c>
      <c r="L48" s="179">
        <f t="shared" ca="1" si="18"/>
        <v>0</v>
      </c>
      <c r="M48" s="180">
        <f t="shared" ca="1" si="19"/>
        <v>1</v>
      </c>
      <c r="N48" s="181" t="str" cm="1">
        <f t="array" aca="1" ref="N48" ca="1">IF(G48=0,"",CONCATENATE(IF($K48&gt;=4,"    ",""),INDEX(auto_Series_NameNumbered,G48)))</f>
        <v>1.4) Access to healthcare</v>
      </c>
      <c r="O48" s="181">
        <f t="shared" ca="1" si="20"/>
        <v>1</v>
      </c>
      <c r="P48" s="182">
        <f t="shared" ca="1" si="21"/>
        <v>0.2</v>
      </c>
      <c r="Q48" s="183" t="str">
        <f t="shared" ca="1" si="22"/>
        <v>||||||||</v>
      </c>
      <c r="R48" s="194">
        <v>1</v>
      </c>
      <c r="S48" s="182" cm="1">
        <f t="array" aca="1" ref="S48" ca="1">IF(G48=0,"",IF(K48=1,"",INDEX(OFFSET(iWeights!$I$18,0,0,$E$13,1),$H48)))</f>
        <v>0.2</v>
      </c>
      <c r="T48" s="183" t="str">
        <f t="shared" ca="1" si="23"/>
        <v>||||||||</v>
      </c>
      <c r="U48" s="37"/>
      <c r="V48" s="37"/>
      <c r="W48" s="37"/>
      <c r="X48" s="37"/>
      <c r="Y48" s="37"/>
    </row>
    <row r="49" spans="1:25" ht="17.5" customHeight="1" x14ac:dyDescent="0.35">
      <c r="A49" s="178" t="str">
        <f t="shared" ca="1" si="16"/>
        <v/>
      </c>
      <c r="B49" s="37"/>
      <c r="C49" s="37"/>
      <c r="D49" s="37"/>
      <c r="E49" s="37"/>
      <c r="F49" s="37">
        <v>13</v>
      </c>
      <c r="G49" s="39" cm="1">
        <f t="array" aca="1" ref="G49" ca="1">IFERROR(INDEX(OFFSET(auto_ss_All_Scoring,0,1,500,1),F49),0)</f>
        <v>13</v>
      </c>
      <c r="H49" s="39">
        <f ca="1">IF(G49=0,0,MATCH(G49,OFFSET(iWeights!$B$18,0,0,$E$13,1),0))</f>
        <v>13</v>
      </c>
      <c r="I49" s="39" cm="1">
        <f t="array" aca="1" ref="I49" ca="1">IF(G49=0,0,INDEX(OFFSET(iWeights!$F$18,0,0,$E$13,1),H49))</f>
        <v>1</v>
      </c>
      <c r="J49" s="39" cm="1">
        <f t="array" aca="1" ref="J49" ca="1">IF(G49=0,0,INDEX(OFFSET(iWeights!$G$18,0,0,$E$13,1),H49))</f>
        <v>0.2</v>
      </c>
      <c r="K49" s="39" cm="1">
        <f t="array" aca="1" ref="K49" ca="1">IF(G49=0,"",INDEX(auto_Series_Depth,G49))</f>
        <v>2</v>
      </c>
      <c r="L49" s="179">
        <f t="shared" ca="1" si="18"/>
        <v>0</v>
      </c>
      <c r="M49" s="180">
        <f t="shared" ca="1" si="19"/>
        <v>1</v>
      </c>
      <c r="N49" s="181" t="str" cm="1">
        <f t="array" aca="1" ref="N49" ca="1">IF(G49=0,"",CONCATENATE(IF($K49&gt;=4,"    ",""),INDEX(auto_Series_NameNumbered,G49)))</f>
        <v>1.5) Household health expenditure</v>
      </c>
      <c r="O49" s="181">
        <f t="shared" ca="1" si="20"/>
        <v>1</v>
      </c>
      <c r="P49" s="182">
        <f t="shared" ca="1" si="21"/>
        <v>0.2</v>
      </c>
      <c r="Q49" s="183" t="str">
        <f t="shared" ca="1" si="22"/>
        <v>||||||||</v>
      </c>
      <c r="R49" s="194">
        <v>1</v>
      </c>
      <c r="S49" s="182" cm="1">
        <f t="array" aca="1" ref="S49" ca="1">IF(G49=0,"",IF(K49=1,"",INDEX(OFFSET(iWeights!$I$18,0,0,$E$13,1),$H49)))</f>
        <v>0.2</v>
      </c>
      <c r="T49" s="183" t="str">
        <f t="shared" ca="1" si="23"/>
        <v>||||||||</v>
      </c>
      <c r="U49" s="37"/>
      <c r="V49" s="37"/>
      <c r="W49" s="37"/>
      <c r="X49" s="37"/>
      <c r="Y49" s="37"/>
    </row>
    <row r="50" spans="1:25" ht="17.5" customHeight="1" x14ac:dyDescent="0.35">
      <c r="A50" s="178" t="str">
        <f t="shared" ca="1" si="16"/>
        <v/>
      </c>
      <c r="B50" s="37"/>
      <c r="C50" s="37"/>
      <c r="D50" s="37"/>
      <c r="E50" s="37"/>
      <c r="F50" s="37">
        <v>14</v>
      </c>
      <c r="G50" s="39" cm="1">
        <f t="array" aca="1" ref="G50" ca="1">IFERROR(INDEX(OFFSET(auto_ss_All_Scoring,0,1,500,1),F50),0)</f>
        <v>14</v>
      </c>
      <c r="H50" s="39">
        <f ca="1">IF(G50=0,0,MATCH(G50,OFFSET(iWeights!$B$18,0,0,$E$13,1),0))</f>
        <v>14</v>
      </c>
      <c r="I50" s="39" cm="1">
        <f t="array" aca="1" ref="I50" ca="1">IF(G50=0,0,INDEX(OFFSET(iWeights!$F$18,0,0,$E$13,1),H50))</f>
        <v>5</v>
      </c>
      <c r="J50" s="39" cm="1">
        <f t="array" aca="1" ref="J50" ca="1">IF(G50=0,0,INDEX(OFFSET(iWeights!$G$18,0,0,$E$13,1),H50))</f>
        <v>0.16129032258064516</v>
      </c>
      <c r="K50" s="39" cm="1">
        <f t="array" aca="1" ref="K50" ca="1">IF(G50=0,"",INDEX(auto_Series_Depth,G50))</f>
        <v>1</v>
      </c>
      <c r="L50" s="179">
        <f t="shared" ca="1" si="18"/>
        <v>0</v>
      </c>
      <c r="M50" s="180">
        <f t="shared" ca="1" si="19"/>
        <v>0</v>
      </c>
      <c r="N50" s="181" t="str" cm="1">
        <f t="array" aca="1" ref="N50" ca="1">IF(G50=0,"",CONCATENATE(IF($K50&gt;=4,"    ",""),INDEX(auto_Series_NameNumbered,G50)))</f>
        <v>2) PHYSICAL ENVIRONMENT</v>
      </c>
      <c r="O50" s="181" t="str">
        <f t="shared" ca="1" si="20"/>
        <v/>
      </c>
      <c r="P50" s="182" t="str">
        <f t="shared" ca="1" si="21"/>
        <v/>
      </c>
      <c r="Q50" s="183" t="str">
        <f t="shared" ca="1" si="22"/>
        <v/>
      </c>
      <c r="R50" s="194"/>
      <c r="S50" s="182" t="str" cm="1">
        <f t="array" aca="1" ref="S50" ca="1">IF(G50=0,"",IF(K50=1,"",INDEX(OFFSET(iWeights!$I$18,0,0,$E$13,1),$H50)))</f>
        <v/>
      </c>
      <c r="T50" s="183" t="str">
        <f t="shared" ca="1" si="23"/>
        <v/>
      </c>
      <c r="U50" s="37"/>
      <c r="V50" s="37"/>
      <c r="W50" s="37"/>
      <c r="X50" s="37"/>
      <c r="Y50" s="195"/>
    </row>
    <row r="51" spans="1:25" ht="17.5" customHeight="1" x14ac:dyDescent="0.35">
      <c r="A51" s="178" t="str">
        <f t="shared" ca="1" si="16"/>
        <v/>
      </c>
      <c r="B51" s="37"/>
      <c r="C51" s="37"/>
      <c r="D51" s="37"/>
      <c r="E51" s="37"/>
      <c r="F51" s="37">
        <v>15</v>
      </c>
      <c r="G51" s="39" cm="1">
        <f t="array" aca="1" ref="G51" ca="1">IFERROR(INDEX(OFFSET(auto_ss_All_Scoring,0,1,500,1),F51),0)</f>
        <v>15</v>
      </c>
      <c r="H51" s="39">
        <f ca="1">IF(G51=0,0,MATCH(G51,OFFSET(iWeights!$B$18,0,0,$E$13,1),0))</f>
        <v>15</v>
      </c>
      <c r="I51" s="39" cm="1">
        <f t="array" aca="1" ref="I51" ca="1">IF(G51=0,0,INDEX(OFFSET(iWeights!$F$18,0,0,$E$13,1),H51))</f>
        <v>1</v>
      </c>
      <c r="J51" s="39" cm="1">
        <f t="array" aca="1" ref="J51" ca="1">IF(G51=0,0,INDEX(OFFSET(iWeights!$G$18,0,0,$E$13,1),H51))</f>
        <v>0.2</v>
      </c>
      <c r="K51" s="39" cm="1">
        <f t="array" aca="1" ref="K51" ca="1">IF(G51=0,"",INDEX(auto_Series_Depth,G51))</f>
        <v>2</v>
      </c>
      <c r="L51" s="179">
        <f t="shared" ca="1" si="18"/>
        <v>0</v>
      </c>
      <c r="M51" s="180">
        <f t="shared" ca="1" si="19"/>
        <v>1</v>
      </c>
      <c r="N51" s="181" t="str" cm="1">
        <f t="array" aca="1" ref="N51" ca="1">IF(G51=0,"",CONCATENATE(IF($K51&gt;=4,"    ",""),INDEX(auto_Series_NameNumbered,G51)))</f>
        <v>2.1) Air quality</v>
      </c>
      <c r="O51" s="181">
        <f t="shared" ca="1" si="20"/>
        <v>1</v>
      </c>
      <c r="P51" s="182">
        <f t="shared" ca="1" si="21"/>
        <v>0.2</v>
      </c>
      <c r="Q51" s="183" t="str">
        <f t="shared" ca="1" si="22"/>
        <v>||||||||</v>
      </c>
      <c r="R51" s="194">
        <v>1</v>
      </c>
      <c r="S51" s="182" cm="1">
        <f t="array" aca="1" ref="S51" ca="1">IF(G51=0,"",IF(K51=1,"",INDEX(OFFSET(iWeights!$I$18,0,0,$E$13,1),$H51)))</f>
        <v>0.2</v>
      </c>
      <c r="T51" s="183" t="str">
        <f t="shared" ca="1" si="23"/>
        <v>||||||||</v>
      </c>
      <c r="U51" s="37"/>
      <c r="V51" s="37"/>
      <c r="W51" s="37"/>
      <c r="X51" s="37"/>
      <c r="Y51" s="37"/>
    </row>
    <row r="52" spans="1:25" ht="17.5" customHeight="1" x14ac:dyDescent="0.35">
      <c r="A52" s="178" t="str">
        <f t="shared" ca="1" si="16"/>
        <v/>
      </c>
      <c r="B52" s="37"/>
      <c r="C52" s="37"/>
      <c r="D52" s="37"/>
      <c r="E52" s="37"/>
      <c r="F52" s="37">
        <v>16</v>
      </c>
      <c r="G52" s="39" cm="1">
        <f t="array" aca="1" ref="G52" ca="1">IFERROR(INDEX(OFFSET(auto_ss_All_Scoring,0,1,500,1),F52),0)</f>
        <v>16</v>
      </c>
      <c r="H52" s="39">
        <f ca="1">IF(G52=0,0,MATCH(G52,OFFSET(iWeights!$B$18,0,0,$E$13,1),0))</f>
        <v>16</v>
      </c>
      <c r="I52" s="39" cm="1">
        <f t="array" aca="1" ref="I52" ca="1">IF(G52=0,0,INDEX(OFFSET(iWeights!$F$18,0,0,$E$13,1),H52))</f>
        <v>1</v>
      </c>
      <c r="J52" s="39" cm="1">
        <f t="array" aca="1" ref="J52" ca="1">IF(G52=0,0,INDEX(OFFSET(iWeights!$G$18,0,0,$E$13,1),H52))</f>
        <v>0.2</v>
      </c>
      <c r="K52" s="39" cm="1">
        <f t="array" aca="1" ref="K52" ca="1">IF(G52=0,"",INDEX(auto_Series_Depth,G52))</f>
        <v>2</v>
      </c>
      <c r="L52" s="179">
        <f t="shared" ca="1" si="18"/>
        <v>0</v>
      </c>
      <c r="M52" s="180">
        <f t="shared" ca="1" si="19"/>
        <v>1</v>
      </c>
      <c r="N52" s="181" t="str" cm="1">
        <f t="array" aca="1" ref="N52" ca="1">IF(G52=0,"",CONCATENATE(IF($K52&gt;=4,"    ",""),INDEX(auto_Series_NameNumbered,G52)))</f>
        <v>2.2) Open spaces and green areas</v>
      </c>
      <c r="O52" s="181">
        <f t="shared" ca="1" si="20"/>
        <v>1</v>
      </c>
      <c r="P52" s="182">
        <f t="shared" ca="1" si="21"/>
        <v>0.2</v>
      </c>
      <c r="Q52" s="183" t="str">
        <f t="shared" ca="1" si="22"/>
        <v>||||||||</v>
      </c>
      <c r="R52" s="194">
        <v>1</v>
      </c>
      <c r="S52" s="182" cm="1">
        <f t="array" aca="1" ref="S52" ca="1">IF(G52=0,"",IF(K52=1,"",INDEX(OFFSET(iWeights!$I$18,0,0,$E$13,1),$H52)))</f>
        <v>0.2</v>
      </c>
      <c r="T52" s="183" t="str">
        <f t="shared" ca="1" si="23"/>
        <v>||||||||</v>
      </c>
      <c r="U52" s="37"/>
      <c r="V52" s="37"/>
      <c r="W52" s="37"/>
      <c r="X52" s="37"/>
      <c r="Y52" s="195"/>
    </row>
    <row r="53" spans="1:25" ht="17.5" customHeight="1" x14ac:dyDescent="0.35">
      <c r="A53" s="178" t="str">
        <f t="shared" ca="1" si="16"/>
        <v/>
      </c>
      <c r="B53" s="37"/>
      <c r="C53" s="37"/>
      <c r="D53" s="37"/>
      <c r="E53" s="37"/>
      <c r="F53" s="37">
        <v>17</v>
      </c>
      <c r="G53" s="39" cm="1">
        <f t="array" aca="1" ref="G53" ca="1">IFERROR(INDEX(OFFSET(auto_ss_All_Scoring,0,1,500,1),F53),0)</f>
        <v>17</v>
      </c>
      <c r="H53" s="39">
        <f ca="1">IF(G53=0,0,MATCH(G53,OFFSET(iWeights!$B$18,0,0,$E$13,1),0))</f>
        <v>17</v>
      </c>
      <c r="I53" s="39" cm="1">
        <f t="array" aca="1" ref="I53" ca="1">IF(G53=0,0,INDEX(OFFSET(iWeights!$F$18,0,0,$E$13,1),H53))</f>
        <v>1</v>
      </c>
      <c r="J53" s="39" cm="1">
        <f t="array" aca="1" ref="J53" ca="1">IF(G53=0,0,INDEX(OFFSET(iWeights!$G$18,0,0,$E$13,1),H53))</f>
        <v>0.2</v>
      </c>
      <c r="K53" s="39" cm="1">
        <f t="array" aca="1" ref="K53" ca="1">IF(G53=0,"",INDEX(auto_Series_Depth,G53))</f>
        <v>2</v>
      </c>
      <c r="L53" s="179">
        <f t="shared" ca="1" si="18"/>
        <v>0</v>
      </c>
      <c r="M53" s="180">
        <f t="shared" ca="1" si="19"/>
        <v>1</v>
      </c>
      <c r="N53" s="181" t="str" cm="1">
        <f t="array" aca="1" ref="N53" ca="1">IF(G53=0,"",CONCATENATE(IF($K53&gt;=4,"    ",""),INDEX(auto_Series_NameNumbered,G53)))</f>
        <v>2.3) Active transport</v>
      </c>
      <c r="O53" s="181">
        <f t="shared" ca="1" si="20"/>
        <v>1</v>
      </c>
      <c r="P53" s="182">
        <f t="shared" ca="1" si="21"/>
        <v>0.2</v>
      </c>
      <c r="Q53" s="183" t="str">
        <f t="shared" ca="1" si="22"/>
        <v>||||||||</v>
      </c>
      <c r="R53" s="194">
        <v>1</v>
      </c>
      <c r="S53" s="182" cm="1">
        <f t="array" aca="1" ref="S53" ca="1">IF(G53=0,"",IF(K53=1,"",INDEX(OFFSET(iWeights!$I$18,0,0,$E$13,1),$H53)))</f>
        <v>0.2</v>
      </c>
      <c r="T53" s="183" t="str">
        <f t="shared" ca="1" si="23"/>
        <v>||||||||</v>
      </c>
      <c r="U53" s="37"/>
      <c r="V53" s="37"/>
      <c r="W53" s="37"/>
      <c r="X53" s="37"/>
      <c r="Y53" s="37"/>
    </row>
    <row r="54" spans="1:25" ht="17.5" customHeight="1" x14ac:dyDescent="0.35">
      <c r="A54" s="178" t="str">
        <f t="shared" ca="1" si="16"/>
        <v/>
      </c>
      <c r="B54" s="37"/>
      <c r="C54" s="37"/>
      <c r="D54" s="37"/>
      <c r="E54" s="37"/>
      <c r="F54" s="37">
        <v>18</v>
      </c>
      <c r="G54" s="39" cm="1">
        <f t="array" aca="1" ref="G54" ca="1">IFERROR(INDEX(OFFSET(auto_ss_All_Scoring,0,1,500,1),F54),0)</f>
        <v>18</v>
      </c>
      <c r="H54" s="39">
        <f ca="1">IF(G54=0,0,MATCH(G54,OFFSET(iWeights!$B$18,0,0,$E$13,1),0))</f>
        <v>18</v>
      </c>
      <c r="I54" s="39" cm="1">
        <f t="array" aca="1" ref="I54" ca="1">IF(G54=0,0,INDEX(OFFSET(iWeights!$F$18,0,0,$E$13,1),H54))</f>
        <v>1</v>
      </c>
      <c r="J54" s="39" cm="1">
        <f t="array" aca="1" ref="J54" ca="1">IF(G54=0,0,INDEX(OFFSET(iWeights!$G$18,0,0,$E$13,1),H54))</f>
        <v>0.2</v>
      </c>
      <c r="K54" s="39" cm="1">
        <f t="array" aca="1" ref="K54" ca="1">IF(G54=0,"",INDEX(auto_Series_Depth,G54))</f>
        <v>2</v>
      </c>
      <c r="L54" s="179">
        <f t="shared" ca="1" si="18"/>
        <v>0</v>
      </c>
      <c r="M54" s="180">
        <f t="shared" ca="1" si="19"/>
        <v>1</v>
      </c>
      <c r="N54" s="181" t="str" cm="1">
        <f t="array" aca="1" ref="N54" ca="1">IF(G54=0,"",CONCATENATE(IF($K54&gt;=4,"    ",""),INDEX(auto_Series_NameNumbered,G54)))</f>
        <v>2.4) Food security</v>
      </c>
      <c r="O54" s="181">
        <f t="shared" ca="1" si="20"/>
        <v>1</v>
      </c>
      <c r="P54" s="182">
        <f t="shared" ca="1" si="21"/>
        <v>0.2</v>
      </c>
      <c r="Q54" s="183" t="str">
        <f t="shared" ca="1" si="22"/>
        <v>||||||||</v>
      </c>
      <c r="R54" s="194">
        <v>1</v>
      </c>
      <c r="S54" s="182" cm="1">
        <f t="array" aca="1" ref="S54" ca="1">IF(G54=0,"",IF(K54=1,"",INDEX(OFFSET(iWeights!$I$18,0,0,$E$13,1),$H54)))</f>
        <v>0.2</v>
      </c>
      <c r="T54" s="183" t="str">
        <f t="shared" ca="1" si="23"/>
        <v>||||||||</v>
      </c>
      <c r="U54" s="37"/>
      <c r="V54" s="37"/>
      <c r="W54" s="37"/>
      <c r="X54" s="37"/>
      <c r="Y54" s="37"/>
    </row>
    <row r="55" spans="1:25" ht="17.5" customHeight="1" x14ac:dyDescent="0.35">
      <c r="A55" s="178" t="str">
        <f t="shared" ca="1" si="16"/>
        <v>H</v>
      </c>
      <c r="B55" s="37"/>
      <c r="C55" s="37"/>
      <c r="D55" s="37"/>
      <c r="E55" s="37"/>
      <c r="F55" s="37">
        <v>19</v>
      </c>
      <c r="G55" s="39" cm="1">
        <f t="array" aca="1" ref="G55" ca="1">IFERROR(INDEX(OFFSET(auto_ss_All_Scoring,0,1,500,1),F55),0)</f>
        <v>19</v>
      </c>
      <c r="H55" s="39">
        <f ca="1">IF(G55=0,0,MATCH(G55,OFFSET(iWeights!$B$18,0,0,$E$13,1),0))</f>
        <v>19</v>
      </c>
      <c r="I55" s="39" cm="1">
        <f t="array" aca="1" ref="I55" ca="1">IF(G55=0,0,INDEX(OFFSET(iWeights!$F$18,0,0,$E$13,1),H55))</f>
        <v>1</v>
      </c>
      <c r="J55" s="39" cm="1">
        <f t="array" aca="1" ref="J55" ca="1">IF(G55=0,0,INDEX(OFFSET(iWeights!$G$18,0,0,$E$13,1),H55))</f>
        <v>0.5</v>
      </c>
      <c r="K55" s="39" cm="1">
        <f t="array" aca="1" ref="K55" ca="1">IF(G55=0,"",INDEX(auto_Series_Depth,G55))</f>
        <v>3</v>
      </c>
      <c r="L55" s="179">
        <f t="shared" ca="1" si="18"/>
        <v>0</v>
      </c>
      <c r="M55" s="180">
        <f t="shared" ca="1" si="19"/>
        <v>1</v>
      </c>
      <c r="N55" s="181" t="str" cm="1">
        <f t="array" aca="1" ref="N55" ca="1">IF(G55=0,"",CONCATENATE(IF($K55&gt;=4,"    ",""),INDEX(auto_Series_NameNumbered,G55)))</f>
        <v>2.4a) Food security: national data</v>
      </c>
      <c r="O55" s="181">
        <f t="shared" ca="1" si="20"/>
        <v>1</v>
      </c>
      <c r="P55" s="182">
        <f t="shared" ca="1" si="21"/>
        <v>0.5</v>
      </c>
      <c r="Q55" s="183" t="str">
        <f t="shared" ca="1" si="22"/>
        <v>||||||||||||||||||||</v>
      </c>
      <c r="R55" s="194">
        <v>1</v>
      </c>
      <c r="S55" s="182" cm="1">
        <f t="array" aca="1" ref="S55" ca="1">IF(G55=0,"",IF(K55=1,"",INDEX(OFFSET(iWeights!$I$18,0,0,$E$13,1),$H55)))</f>
        <v>0.5</v>
      </c>
      <c r="T55" s="183" t="str">
        <f t="shared" ca="1" si="23"/>
        <v>||||||||||||||||||||</v>
      </c>
      <c r="U55" s="37"/>
      <c r="V55" s="37"/>
      <c r="W55" s="37"/>
      <c r="X55" s="37"/>
      <c r="Y55" s="37"/>
    </row>
    <row r="56" spans="1:25" ht="17.5" customHeight="1" x14ac:dyDescent="0.35">
      <c r="A56" s="178" t="str">
        <f t="shared" ca="1" si="16"/>
        <v>H</v>
      </c>
      <c r="B56" s="37"/>
      <c r="C56" s="37"/>
      <c r="D56" s="37"/>
      <c r="E56" s="37"/>
      <c r="F56" s="37">
        <v>20</v>
      </c>
      <c r="G56" s="39" cm="1">
        <f t="array" aca="1" ref="G56" ca="1">IFERROR(INDEX(OFFSET(auto_ss_All_Scoring,0,1,500,1),F56),0)</f>
        <v>20</v>
      </c>
      <c r="H56" s="39">
        <f ca="1">IF(G56=0,0,MATCH(G56,OFFSET(iWeights!$B$18,0,0,$E$13,1),0))</f>
        <v>20</v>
      </c>
      <c r="I56" s="39" cm="1">
        <f t="array" aca="1" ref="I56" ca="1">IF(G56=0,0,INDEX(OFFSET(iWeights!$F$18,0,0,$E$13,1),H56))</f>
        <v>1</v>
      </c>
      <c r="J56" s="39" cm="1">
        <f t="array" aca="1" ref="J56" ca="1">IF(G56=0,0,INDEX(OFFSET(iWeights!$G$18,0,0,$E$13,1),H56))</f>
        <v>0.5</v>
      </c>
      <c r="K56" s="39" cm="1">
        <f t="array" aca="1" ref="K56" ca="1">IF(G56=0,"",INDEX(auto_Series_Depth,G56))</f>
        <v>3</v>
      </c>
      <c r="L56" s="179">
        <f t="shared" ca="1" si="18"/>
        <v>0</v>
      </c>
      <c r="M56" s="180">
        <f t="shared" ca="1" si="19"/>
        <v>1</v>
      </c>
      <c r="N56" s="181" t="str" cm="1">
        <f t="array" aca="1" ref="N56" ca="1">IF(G56=0,"",CONCATENATE(IF($K56&gt;=4,"    ",""),INDEX(auto_Series_NameNumbered,G56)))</f>
        <v>2.4b) Food security: city-level data availability</v>
      </c>
      <c r="O56" s="181">
        <f t="shared" ca="1" si="20"/>
        <v>1</v>
      </c>
      <c r="P56" s="182">
        <f t="shared" ca="1" si="21"/>
        <v>0.5</v>
      </c>
      <c r="Q56" s="183" t="str">
        <f t="shared" ca="1" si="22"/>
        <v>||||||||||||||||||||</v>
      </c>
      <c r="R56" s="194">
        <v>1</v>
      </c>
      <c r="S56" s="182" cm="1">
        <f t="array" aca="1" ref="S56" ca="1">IF(G56=0,"",IF(K56=1,"",INDEX(OFFSET(iWeights!$I$18,0,0,$E$13,1),$H56)))</f>
        <v>0.5</v>
      </c>
      <c r="T56" s="183" t="str">
        <f t="shared" ca="1" si="23"/>
        <v>||||||||||||||||||||</v>
      </c>
      <c r="U56" s="37"/>
      <c r="V56" s="37"/>
      <c r="W56" s="37"/>
      <c r="X56" s="37"/>
      <c r="Y56" s="195"/>
    </row>
    <row r="57" spans="1:25" ht="17.5" customHeight="1" x14ac:dyDescent="0.35">
      <c r="A57" s="178" t="str">
        <f t="shared" ca="1" si="16"/>
        <v/>
      </c>
      <c r="B57" s="37"/>
      <c r="C57" s="37"/>
      <c r="D57" s="37"/>
      <c r="E57" s="37"/>
      <c r="F57" s="37">
        <v>21</v>
      </c>
      <c r="G57" s="39" cm="1">
        <f t="array" aca="1" ref="G57" ca="1">IFERROR(INDEX(OFFSET(auto_ss_All_Scoring,0,1,500,1),F57),0)</f>
        <v>21</v>
      </c>
      <c r="H57" s="39">
        <f ca="1">IF(G57=0,0,MATCH(G57,OFFSET(iWeights!$B$18,0,0,$E$13,1),0))</f>
        <v>21</v>
      </c>
      <c r="I57" s="39" cm="1">
        <f t="array" aca="1" ref="I57" ca="1">IF(G57=0,0,INDEX(OFFSET(iWeights!$F$18,0,0,$E$13,1),H57))</f>
        <v>1</v>
      </c>
      <c r="J57" s="39" cm="1">
        <f t="array" aca="1" ref="J57" ca="1">IF(G57=0,0,INDEX(OFFSET(iWeights!$G$18,0,0,$E$13,1),H57))</f>
        <v>0.2</v>
      </c>
      <c r="K57" s="39" cm="1">
        <f t="array" aca="1" ref="K57" ca="1">IF(G57=0,"",INDEX(auto_Series_Depth,G57))</f>
        <v>2</v>
      </c>
      <c r="L57" s="179">
        <f t="shared" ca="1" si="18"/>
        <v>0</v>
      </c>
      <c r="M57" s="180">
        <f t="shared" ca="1" si="19"/>
        <v>1</v>
      </c>
      <c r="N57" s="181" t="str" cm="1">
        <f t="array" aca="1" ref="N57" ca="1">IF(G57=0,"",CONCATENATE(IF($K57&gt;=4,"    ",""),INDEX(auto_Series_NameNumbered,G57)))</f>
        <v>2.5) Access to public transport</v>
      </c>
      <c r="O57" s="181">
        <f t="shared" ca="1" si="20"/>
        <v>1</v>
      </c>
      <c r="P57" s="182">
        <f t="shared" ca="1" si="21"/>
        <v>0.2</v>
      </c>
      <c r="Q57" s="183" t="str">
        <f t="shared" ca="1" si="22"/>
        <v>||||||||</v>
      </c>
      <c r="R57" s="194">
        <v>1</v>
      </c>
      <c r="S57" s="182" cm="1">
        <f t="array" aca="1" ref="S57" ca="1">IF(G57=0,"",IF(K57=1,"",INDEX(OFFSET(iWeights!$I$18,0,0,$E$13,1),$H57)))</f>
        <v>0.2</v>
      </c>
      <c r="T57" s="183" t="str">
        <f t="shared" ca="1" si="23"/>
        <v>||||||||</v>
      </c>
      <c r="U57" s="37"/>
      <c r="V57" s="37"/>
      <c r="W57" s="37"/>
      <c r="X57" s="37"/>
      <c r="Y57" s="195"/>
    </row>
    <row r="58" spans="1:25" ht="17.5" customHeight="1" x14ac:dyDescent="0.35">
      <c r="A58" s="178" t="str">
        <f t="shared" ca="1" si="16"/>
        <v/>
      </c>
      <c r="B58" s="37"/>
      <c r="C58" s="37"/>
      <c r="D58" s="37"/>
      <c r="E58" s="37"/>
      <c r="F58" s="37">
        <v>22</v>
      </c>
      <c r="G58" s="39" cm="1">
        <f t="array" aca="1" ref="G58" ca="1">IFERROR(INDEX(OFFSET(auto_ss_All_Scoring,0,1,500,1),F58),0)</f>
        <v>22</v>
      </c>
      <c r="H58" s="39">
        <f ca="1">IF(G58=0,0,MATCH(G58,OFFSET(iWeights!$B$18,0,0,$E$13,1),0))</f>
        <v>22</v>
      </c>
      <c r="I58" s="39" cm="1">
        <f t="array" aca="1" ref="I58" ca="1">IF(G58=0,0,INDEX(OFFSET(iWeights!$F$18,0,0,$E$13,1),H58))</f>
        <v>8</v>
      </c>
      <c r="J58" s="39" cm="1">
        <f t="array" aca="1" ref="J58" ca="1">IF(G58=0,0,INDEX(OFFSET(iWeights!$G$18,0,0,$E$13,1),H58))</f>
        <v>0.25806451612903225</v>
      </c>
      <c r="K58" s="39" cm="1">
        <f t="array" aca="1" ref="K58" ca="1">IF(G58=0,"",INDEX(auto_Series_Depth,G58))</f>
        <v>1</v>
      </c>
      <c r="L58" s="179">
        <f t="shared" ca="1" si="18"/>
        <v>0</v>
      </c>
      <c r="M58" s="180">
        <f t="shared" ca="1" si="19"/>
        <v>0</v>
      </c>
      <c r="N58" s="181" t="str" cm="1">
        <f t="array" aca="1" ref="N58" ca="1">IF(G58=0,"",CONCATENATE(IF($K58&gt;=4,"    ",""),INDEX(auto_Series_NameNumbered,G58)))</f>
        <v>3) HEALTH RISKS</v>
      </c>
      <c r="O58" s="181" t="str">
        <f t="shared" ca="1" si="20"/>
        <v/>
      </c>
      <c r="P58" s="182" t="str">
        <f t="shared" ca="1" si="21"/>
        <v/>
      </c>
      <c r="Q58" s="183" t="str">
        <f t="shared" ca="1" si="22"/>
        <v/>
      </c>
      <c r="R58" s="194"/>
      <c r="S58" s="182" t="str" cm="1">
        <f t="array" aca="1" ref="S58" ca="1">IF(G58=0,"",IF(K58=1,"",INDEX(OFFSET(iWeights!$I$18,0,0,$E$13,1),$H58)))</f>
        <v/>
      </c>
      <c r="T58" s="183" t="str">
        <f t="shared" ca="1" si="23"/>
        <v/>
      </c>
      <c r="U58" s="37"/>
      <c r="V58" s="37"/>
      <c r="W58" s="37"/>
      <c r="X58" s="37"/>
      <c r="Y58" s="37"/>
    </row>
    <row r="59" spans="1:25" ht="17.5" customHeight="1" x14ac:dyDescent="0.35">
      <c r="A59" s="178" t="str">
        <f t="shared" ca="1" si="16"/>
        <v/>
      </c>
      <c r="B59" s="37"/>
      <c r="C59" s="37"/>
      <c r="D59" s="37"/>
      <c r="E59" s="37"/>
      <c r="F59" s="37">
        <v>23</v>
      </c>
      <c r="G59" s="39" cm="1">
        <f t="array" aca="1" ref="G59" ca="1">IFERROR(INDEX(OFFSET(auto_ss_All_Scoring,0,1,500,1),F59),0)</f>
        <v>23</v>
      </c>
      <c r="H59" s="39">
        <f ca="1">IF(G59=0,0,MATCH(G59,OFFSET(iWeights!$B$18,0,0,$E$13,1),0))</f>
        <v>23</v>
      </c>
      <c r="I59" s="39" cm="1">
        <f t="array" aca="1" ref="I59" ca="1">IF(G59=0,0,INDEX(OFFSET(iWeights!$F$18,0,0,$E$13,1),H59))</f>
        <v>1</v>
      </c>
      <c r="J59" s="39" cm="1">
        <f t="array" aca="1" ref="J59" ca="1">IF(G59=0,0,INDEX(OFFSET(iWeights!$G$18,0,0,$E$13,1),H59))</f>
        <v>0.125</v>
      </c>
      <c r="K59" s="39" cm="1">
        <f t="array" aca="1" ref="K59" ca="1">IF(G59=0,"",INDEX(auto_Series_Depth,G59))</f>
        <v>2</v>
      </c>
      <c r="L59" s="179">
        <f t="shared" ca="1" si="18"/>
        <v>0</v>
      </c>
      <c r="M59" s="180">
        <f t="shared" ca="1" si="19"/>
        <v>1</v>
      </c>
      <c r="N59" s="181" t="str" cm="1">
        <f t="array" aca="1" ref="N59" ca="1">IF(G59=0,"",CONCATENATE(IF($K59&gt;=4,"    ",""),INDEX(auto_Series_NameNumbered,G59)))</f>
        <v>3.1) Tobacco use</v>
      </c>
      <c r="O59" s="181">
        <f t="shared" ca="1" si="20"/>
        <v>1</v>
      </c>
      <c r="P59" s="182">
        <f t="shared" ca="1" si="21"/>
        <v>0.125</v>
      </c>
      <c r="Q59" s="183" t="str">
        <f t="shared" ca="1" si="22"/>
        <v>|||||</v>
      </c>
      <c r="R59" s="194">
        <v>1</v>
      </c>
      <c r="S59" s="182" cm="1">
        <f t="array" aca="1" ref="S59" ca="1">IF(G59=0,"",IF(K59=1,"",INDEX(OFFSET(iWeights!$I$18,0,0,$E$13,1),$H59)))</f>
        <v>0.125</v>
      </c>
      <c r="T59" s="183" t="str">
        <f t="shared" ca="1" si="23"/>
        <v>|||||</v>
      </c>
      <c r="U59" s="37"/>
      <c r="V59" s="37"/>
      <c r="W59" s="37"/>
      <c r="X59" s="37"/>
      <c r="Y59" s="37"/>
    </row>
    <row r="60" spans="1:25" ht="17.5" customHeight="1" x14ac:dyDescent="0.35">
      <c r="A60" s="178" t="str">
        <f t="shared" ca="1" si="16"/>
        <v>H</v>
      </c>
      <c r="B60" s="37"/>
      <c r="C60" s="37"/>
      <c r="D60" s="37"/>
      <c r="E60" s="37"/>
      <c r="F60" s="37">
        <v>24</v>
      </c>
      <c r="G60" s="39" cm="1">
        <f t="array" aca="1" ref="G60" ca="1">IFERROR(INDEX(OFFSET(auto_ss_All_Scoring,0,1,500,1),F60),0)</f>
        <v>24</v>
      </c>
      <c r="H60" s="39">
        <f ca="1">IF(G60=0,0,MATCH(G60,OFFSET(iWeights!$B$18,0,0,$E$13,1),0))</f>
        <v>24</v>
      </c>
      <c r="I60" s="39" cm="1">
        <f t="array" aca="1" ref="I60" ca="1">IF(G60=0,0,INDEX(OFFSET(iWeights!$F$18,0,0,$E$13,1),H60))</f>
        <v>1</v>
      </c>
      <c r="J60" s="39" cm="1">
        <f t="array" aca="1" ref="J60" ca="1">IF(G60=0,0,INDEX(OFFSET(iWeights!$G$18,0,0,$E$13,1),H60))</f>
        <v>0.5</v>
      </c>
      <c r="K60" s="39" cm="1">
        <f t="array" aca="1" ref="K60" ca="1">IF(G60=0,"",INDEX(auto_Series_Depth,G60))</f>
        <v>3</v>
      </c>
      <c r="L60" s="179">
        <f t="shared" ca="1" si="18"/>
        <v>0</v>
      </c>
      <c r="M60" s="180">
        <f t="shared" ca="1" si="19"/>
        <v>1</v>
      </c>
      <c r="N60" s="181" t="str" cm="1">
        <f t="array" aca="1" ref="N60" ca="1">IF(G60=0,"",CONCATENATE(IF($K60&gt;=4,"    ",""),INDEX(auto_Series_NameNumbered,G60)))</f>
        <v>3.1a) Tobacco use: national data</v>
      </c>
      <c r="O60" s="181">
        <f t="shared" ca="1" si="20"/>
        <v>1</v>
      </c>
      <c r="P60" s="182">
        <f t="shared" ca="1" si="21"/>
        <v>0.5</v>
      </c>
      <c r="Q60" s="183" t="str">
        <f t="shared" ca="1" si="22"/>
        <v>||||||||||||||||||||</v>
      </c>
      <c r="R60" s="194">
        <v>1</v>
      </c>
      <c r="S60" s="182" cm="1">
        <f t="array" aca="1" ref="S60" ca="1">IF(G60=0,"",IF(K60=1,"",INDEX(OFFSET(iWeights!$I$18,0,0,$E$13,1),$H60)))</f>
        <v>0.5</v>
      </c>
      <c r="T60" s="183" t="str">
        <f t="shared" ca="1" si="23"/>
        <v>||||||||||||||||||||</v>
      </c>
      <c r="U60" s="37"/>
      <c r="V60" s="37"/>
      <c r="W60" s="37"/>
      <c r="X60" s="37"/>
      <c r="Y60" s="37"/>
    </row>
    <row r="61" spans="1:25" ht="17.5" customHeight="1" x14ac:dyDescent="0.35">
      <c r="A61" s="178" t="str">
        <f t="shared" ca="1" si="16"/>
        <v>H</v>
      </c>
      <c r="B61" s="37"/>
      <c r="C61" s="37"/>
      <c r="D61" s="37"/>
      <c r="E61" s="37"/>
      <c r="F61" s="37">
        <v>25</v>
      </c>
      <c r="G61" s="39" cm="1">
        <f t="array" aca="1" ref="G61" ca="1">IFERROR(INDEX(OFFSET(auto_ss_All_Scoring,0,1,500,1),F61),0)</f>
        <v>25</v>
      </c>
      <c r="H61" s="39">
        <f ca="1">IF(G61=0,0,MATCH(G61,OFFSET(iWeights!$B$18,0,0,$E$13,1),0))</f>
        <v>25</v>
      </c>
      <c r="I61" s="39" cm="1">
        <f t="array" aca="1" ref="I61" ca="1">IF(G61=0,0,INDEX(OFFSET(iWeights!$F$18,0,0,$E$13,1),H61))</f>
        <v>1</v>
      </c>
      <c r="J61" s="39" cm="1">
        <f t="array" aca="1" ref="J61" ca="1">IF(G61=0,0,INDEX(OFFSET(iWeights!$G$18,0,0,$E$13,1),H61))</f>
        <v>0.5</v>
      </c>
      <c r="K61" s="39" cm="1">
        <f t="array" aca="1" ref="K61" ca="1">IF(G61=0,"",INDEX(auto_Series_Depth,G61))</f>
        <v>3</v>
      </c>
      <c r="L61" s="179">
        <f t="shared" ca="1" si="18"/>
        <v>0</v>
      </c>
      <c r="M61" s="180">
        <f t="shared" ca="1" si="19"/>
        <v>1</v>
      </c>
      <c r="N61" s="181" t="str" cm="1">
        <f t="array" aca="1" ref="N61" ca="1">IF(G61=0,"",CONCATENATE(IF($K61&gt;=4,"    ",""),INDEX(auto_Series_NameNumbered,G61)))</f>
        <v>3.1b) Tobacco use: city-level data availability</v>
      </c>
      <c r="O61" s="181">
        <f t="shared" ca="1" si="20"/>
        <v>1</v>
      </c>
      <c r="P61" s="182">
        <f t="shared" ca="1" si="21"/>
        <v>0.5</v>
      </c>
      <c r="Q61" s="183" t="str">
        <f t="shared" ca="1" si="22"/>
        <v>||||||||||||||||||||</v>
      </c>
      <c r="R61" s="194">
        <v>1</v>
      </c>
      <c r="S61" s="182" cm="1">
        <f t="array" aca="1" ref="S61" ca="1">IF(G61=0,"",IF(K61=1,"",INDEX(OFFSET(iWeights!$I$18,0,0,$E$13,1),$H61)))</f>
        <v>0.5</v>
      </c>
      <c r="T61" s="183" t="str">
        <f t="shared" ca="1" si="23"/>
        <v>||||||||||||||||||||</v>
      </c>
      <c r="U61" s="37"/>
      <c r="V61" s="37"/>
      <c r="W61" s="37"/>
      <c r="X61" s="37"/>
      <c r="Y61" s="37"/>
    </row>
    <row r="62" spans="1:25" ht="17.5" customHeight="1" x14ac:dyDescent="0.35">
      <c r="A62" s="178" t="str">
        <f t="shared" ca="1" si="16"/>
        <v/>
      </c>
      <c r="B62" s="37"/>
      <c r="C62" s="37"/>
      <c r="D62" s="37"/>
      <c r="E62" s="37"/>
      <c r="F62" s="37">
        <v>26</v>
      </c>
      <c r="G62" s="39" cm="1">
        <f t="array" aca="1" ref="G62" ca="1">IFERROR(INDEX(OFFSET(auto_ss_All_Scoring,0,1,500,1),F62),0)</f>
        <v>26</v>
      </c>
      <c r="H62" s="39">
        <f ca="1">IF(G62=0,0,MATCH(G62,OFFSET(iWeights!$B$18,0,0,$E$13,1),0))</f>
        <v>26</v>
      </c>
      <c r="I62" s="39" cm="1">
        <f t="array" aca="1" ref="I62" ca="1">IF(G62=0,0,INDEX(OFFSET(iWeights!$F$18,0,0,$E$13,1),H62))</f>
        <v>1</v>
      </c>
      <c r="J62" s="39" cm="1">
        <f t="array" aca="1" ref="J62" ca="1">IF(G62=0,0,INDEX(OFFSET(iWeights!$G$18,0,0,$E$13,1),H62))</f>
        <v>0.125</v>
      </c>
      <c r="K62" s="39" cm="1">
        <f t="array" aca="1" ref="K62" ca="1">IF(G62=0,"",INDEX(auto_Series_Depth,G62))</f>
        <v>2</v>
      </c>
      <c r="L62" s="179">
        <f t="shared" ca="1" si="18"/>
        <v>0</v>
      </c>
      <c r="M62" s="180">
        <f t="shared" ca="1" si="19"/>
        <v>1</v>
      </c>
      <c r="N62" s="181" t="str" cm="1">
        <f t="array" aca="1" ref="N62" ca="1">IF(G62=0,"",CONCATENATE(IF($K62&gt;=4,"    ",""),INDEX(auto_Series_NameNumbered,G62)))</f>
        <v>3.2) Vegetable consumption</v>
      </c>
      <c r="O62" s="181">
        <f t="shared" ca="1" si="20"/>
        <v>1</v>
      </c>
      <c r="P62" s="182">
        <f t="shared" ca="1" si="21"/>
        <v>0.125</v>
      </c>
      <c r="Q62" s="183" t="str">
        <f t="shared" ca="1" si="22"/>
        <v>|||||</v>
      </c>
      <c r="R62" s="194">
        <v>1</v>
      </c>
      <c r="S62" s="182" cm="1">
        <f t="array" aca="1" ref="S62" ca="1">IF(G62=0,"",IF(K62=1,"",INDEX(OFFSET(iWeights!$I$18,0,0,$E$13,1),$H62)))</f>
        <v>0.125</v>
      </c>
      <c r="T62" s="183" t="str">
        <f t="shared" ca="1" si="23"/>
        <v>|||||</v>
      </c>
      <c r="U62" s="37"/>
      <c r="V62" s="37"/>
      <c r="W62" s="37"/>
      <c r="X62" s="37"/>
      <c r="Y62" s="37"/>
    </row>
    <row r="63" spans="1:25" ht="17.5" customHeight="1" x14ac:dyDescent="0.35">
      <c r="A63" s="178" t="str">
        <f t="shared" ca="1" si="16"/>
        <v>H</v>
      </c>
      <c r="B63" s="37"/>
      <c r="C63" s="37"/>
      <c r="D63" s="37"/>
      <c r="E63" s="37"/>
      <c r="F63" s="37">
        <v>27</v>
      </c>
      <c r="G63" s="39" cm="1">
        <f t="array" aca="1" ref="G63" ca="1">IFERROR(INDEX(OFFSET(auto_ss_All_Scoring,0,1,500,1),F63),0)</f>
        <v>27</v>
      </c>
      <c r="H63" s="39">
        <f ca="1">IF(G63=0,0,MATCH(G63,OFFSET(iWeights!$B$18,0,0,$E$13,1),0))</f>
        <v>27</v>
      </c>
      <c r="I63" s="39" cm="1">
        <f t="array" aca="1" ref="I63" ca="1">IF(G63=0,0,INDEX(OFFSET(iWeights!$F$18,0,0,$E$13,1),H63))</f>
        <v>1</v>
      </c>
      <c r="J63" s="39" cm="1">
        <f t="array" aca="1" ref="J63" ca="1">IF(G63=0,0,INDEX(OFFSET(iWeights!$G$18,0,0,$E$13,1),H63))</f>
        <v>0.5</v>
      </c>
      <c r="K63" s="39" cm="1">
        <f t="array" aca="1" ref="K63" ca="1">IF(G63=0,"",INDEX(auto_Series_Depth,G63))</f>
        <v>3</v>
      </c>
      <c r="L63" s="179">
        <f t="shared" ca="1" si="18"/>
        <v>0</v>
      </c>
      <c r="M63" s="180">
        <f t="shared" ca="1" si="19"/>
        <v>1</v>
      </c>
      <c r="N63" s="181" t="str" cm="1">
        <f t="array" aca="1" ref="N63" ca="1">IF(G63=0,"",CONCATENATE(IF($K63&gt;=4,"    ",""),INDEX(auto_Series_NameNumbered,G63)))</f>
        <v>3.2a) Vegetable consumption: national data</v>
      </c>
      <c r="O63" s="181">
        <f t="shared" ca="1" si="20"/>
        <v>1</v>
      </c>
      <c r="P63" s="182">
        <f t="shared" ca="1" si="21"/>
        <v>0.5</v>
      </c>
      <c r="Q63" s="183" t="str">
        <f t="shared" ca="1" si="22"/>
        <v>||||||||||||||||||||</v>
      </c>
      <c r="R63" s="194">
        <v>1</v>
      </c>
      <c r="S63" s="182" cm="1">
        <f t="array" aca="1" ref="S63" ca="1">IF(G63=0,"",IF(K63=1,"",INDEX(OFFSET(iWeights!$I$18,0,0,$E$13,1),$H63)))</f>
        <v>0.5</v>
      </c>
      <c r="T63" s="183" t="str">
        <f t="shared" ca="1" si="23"/>
        <v>||||||||||||||||||||</v>
      </c>
      <c r="U63" s="37"/>
      <c r="V63" s="37"/>
      <c r="W63" s="37"/>
      <c r="X63" s="37"/>
      <c r="Y63" s="37"/>
    </row>
    <row r="64" spans="1:25" ht="17.5" customHeight="1" x14ac:dyDescent="0.35">
      <c r="A64" s="178" t="str">
        <f t="shared" ca="1" si="16"/>
        <v>H</v>
      </c>
      <c r="B64" s="37"/>
      <c r="C64" s="37"/>
      <c r="D64" s="37"/>
      <c r="E64" s="37"/>
      <c r="F64" s="37">
        <v>28</v>
      </c>
      <c r="G64" s="39" cm="1">
        <f t="array" aca="1" ref="G64" ca="1">IFERROR(INDEX(OFFSET(auto_ss_All_Scoring,0,1,500,1),F64),0)</f>
        <v>28</v>
      </c>
      <c r="H64" s="39">
        <f ca="1">IF(G64=0,0,MATCH(G64,OFFSET(iWeights!$B$18,0,0,$E$13,1),0))</f>
        <v>28</v>
      </c>
      <c r="I64" s="39" cm="1">
        <f t="array" aca="1" ref="I64" ca="1">IF(G64=0,0,INDEX(OFFSET(iWeights!$F$18,0,0,$E$13,1),H64))</f>
        <v>1</v>
      </c>
      <c r="J64" s="39" cm="1">
        <f t="array" aca="1" ref="J64" ca="1">IF(G64=0,0,INDEX(OFFSET(iWeights!$G$18,0,0,$E$13,1),H64))</f>
        <v>0.5</v>
      </c>
      <c r="K64" s="39" cm="1">
        <f t="array" aca="1" ref="K64" ca="1">IF(G64=0,"",INDEX(auto_Series_Depth,G64))</f>
        <v>3</v>
      </c>
      <c r="L64" s="179">
        <f t="shared" ca="1" si="18"/>
        <v>0</v>
      </c>
      <c r="M64" s="180">
        <f t="shared" ca="1" si="19"/>
        <v>1</v>
      </c>
      <c r="N64" s="181" t="str" cm="1">
        <f t="array" aca="1" ref="N64" ca="1">IF(G64=0,"",CONCATENATE(IF($K64&gt;=4,"    ",""),INDEX(auto_Series_NameNumbered,G64)))</f>
        <v>3.2b) Vegetable consumption: city-level data availability</v>
      </c>
      <c r="O64" s="181">
        <f t="shared" ca="1" si="20"/>
        <v>1</v>
      </c>
      <c r="P64" s="182">
        <f t="shared" ca="1" si="21"/>
        <v>0.5</v>
      </c>
      <c r="Q64" s="183" t="str">
        <f t="shared" ca="1" si="22"/>
        <v>||||||||||||||||||||</v>
      </c>
      <c r="R64" s="194">
        <v>1</v>
      </c>
      <c r="S64" s="182" cm="1">
        <f t="array" aca="1" ref="S64" ca="1">IF(G64=0,"",IF(K64=1,"",INDEX(OFFSET(iWeights!$I$18,0,0,$E$13,1),$H64)))</f>
        <v>0.5</v>
      </c>
      <c r="T64" s="183" t="str">
        <f t="shared" ca="1" si="23"/>
        <v>||||||||||||||||||||</v>
      </c>
      <c r="U64" s="37"/>
      <c r="V64" s="37"/>
      <c r="W64" s="37"/>
      <c r="X64" s="37"/>
      <c r="Y64" s="37"/>
    </row>
    <row r="65" spans="1:25" ht="17.5" customHeight="1" x14ac:dyDescent="0.35">
      <c r="A65" s="178" t="str">
        <f t="shared" ca="1" si="16"/>
        <v/>
      </c>
      <c r="B65" s="37"/>
      <c r="C65" s="37"/>
      <c r="D65" s="37"/>
      <c r="E65" s="37"/>
      <c r="F65" s="37">
        <v>29</v>
      </c>
      <c r="G65" s="39" cm="1">
        <f t="array" aca="1" ref="G65" ca="1">IFERROR(INDEX(OFFSET(auto_ss_All_Scoring,0,1,500,1),F65),0)</f>
        <v>29</v>
      </c>
      <c r="H65" s="39">
        <f ca="1">IF(G65=0,0,MATCH(G65,OFFSET(iWeights!$B$18,0,0,$E$13,1),0))</f>
        <v>29</v>
      </c>
      <c r="I65" s="39" cm="1">
        <f t="array" aca="1" ref="I65" ca="1">IF(G65=0,0,INDEX(OFFSET(iWeights!$F$18,0,0,$E$13,1),H65))</f>
        <v>1</v>
      </c>
      <c r="J65" s="39" cm="1">
        <f t="array" aca="1" ref="J65" ca="1">IF(G65=0,0,INDEX(OFFSET(iWeights!$G$18,0,0,$E$13,1),H65))</f>
        <v>0.125</v>
      </c>
      <c r="K65" s="39" cm="1">
        <f t="array" aca="1" ref="K65" ca="1">IF(G65=0,"",INDEX(auto_Series_Depth,G65))</f>
        <v>2</v>
      </c>
      <c r="L65" s="179">
        <f t="shared" ca="1" si="18"/>
        <v>0</v>
      </c>
      <c r="M65" s="180">
        <f t="shared" ca="1" si="19"/>
        <v>1</v>
      </c>
      <c r="N65" s="181" t="str" cm="1">
        <f t="array" aca="1" ref="N65" ca="1">IF(G65=0,"",CONCATENATE(IF($K65&gt;=4,"    ",""),INDEX(auto_Series_NameNumbered,G65)))</f>
        <v>3.3) Trans fats consumption</v>
      </c>
      <c r="O65" s="181">
        <f t="shared" ca="1" si="20"/>
        <v>1</v>
      </c>
      <c r="P65" s="182">
        <f t="shared" ca="1" si="21"/>
        <v>0.125</v>
      </c>
      <c r="Q65" s="183" t="str">
        <f t="shared" ca="1" si="22"/>
        <v>|||||</v>
      </c>
      <c r="R65" s="194">
        <v>1</v>
      </c>
      <c r="S65" s="182" cm="1">
        <f t="array" aca="1" ref="S65" ca="1">IF(G65=0,"",IF(K65=1,"",INDEX(OFFSET(iWeights!$I$18,0,0,$E$13,1),$H65)))</f>
        <v>0.125</v>
      </c>
      <c r="T65" s="183" t="str">
        <f t="shared" ca="1" si="23"/>
        <v>|||||</v>
      </c>
      <c r="U65" s="37"/>
      <c r="V65" s="37"/>
      <c r="W65" s="37"/>
      <c r="X65" s="37"/>
      <c r="Y65" s="37"/>
    </row>
    <row r="66" spans="1:25" ht="17.5" customHeight="1" x14ac:dyDescent="0.35">
      <c r="A66" s="178" t="str">
        <f t="shared" ca="1" si="16"/>
        <v>H</v>
      </c>
      <c r="B66" s="37"/>
      <c r="C66" s="37"/>
      <c r="D66" s="37"/>
      <c r="E66" s="37"/>
      <c r="F66" s="37">
        <v>30</v>
      </c>
      <c r="G66" s="39" cm="1">
        <f t="array" aca="1" ref="G66" ca="1">IFERROR(INDEX(OFFSET(auto_ss_All_Scoring,0,1,500,1),F66),0)</f>
        <v>30</v>
      </c>
      <c r="H66" s="39">
        <f ca="1">IF(G66=0,0,MATCH(G66,OFFSET(iWeights!$B$18,0,0,$E$13,1),0))</f>
        <v>30</v>
      </c>
      <c r="I66" s="39" cm="1">
        <f t="array" aca="1" ref="I66" ca="1">IF(G66=0,0,INDEX(OFFSET(iWeights!$F$18,0,0,$E$13,1),H66))</f>
        <v>1</v>
      </c>
      <c r="J66" s="39" cm="1">
        <f t="array" aca="1" ref="J66" ca="1">IF(G66=0,0,INDEX(OFFSET(iWeights!$G$18,0,0,$E$13,1),H66))</f>
        <v>0.5</v>
      </c>
      <c r="K66" s="39" cm="1">
        <f t="array" aca="1" ref="K66" ca="1">IF(G66=0,"",INDEX(auto_Series_Depth,G66))</f>
        <v>3</v>
      </c>
      <c r="L66" s="179">
        <f t="shared" ca="1" si="18"/>
        <v>0</v>
      </c>
      <c r="M66" s="180">
        <f t="shared" ca="1" si="19"/>
        <v>1</v>
      </c>
      <c r="N66" s="181" t="str" cm="1">
        <f t="array" aca="1" ref="N66" ca="1">IF(G66=0,"",CONCATENATE(IF($K66&gt;=4,"    ",""),INDEX(auto_Series_NameNumbered,G66)))</f>
        <v>3.3a) Trans fats consumption: national data</v>
      </c>
      <c r="O66" s="181">
        <f t="shared" ca="1" si="20"/>
        <v>1</v>
      </c>
      <c r="P66" s="182">
        <f t="shared" ca="1" si="21"/>
        <v>0.5</v>
      </c>
      <c r="Q66" s="183" t="str">
        <f t="shared" ca="1" si="22"/>
        <v>||||||||||||||||||||</v>
      </c>
      <c r="R66" s="194">
        <v>1</v>
      </c>
      <c r="S66" s="182" cm="1">
        <f t="array" aca="1" ref="S66" ca="1">IF(G66=0,"",IF(K66=1,"",INDEX(OFFSET(iWeights!$I$18,0,0,$E$13,1),$H66)))</f>
        <v>0.5</v>
      </c>
      <c r="T66" s="183" t="str">
        <f t="shared" ca="1" si="23"/>
        <v>||||||||||||||||||||</v>
      </c>
      <c r="U66" s="37"/>
      <c r="V66" s="37"/>
      <c r="W66" s="37"/>
      <c r="X66" s="37"/>
      <c r="Y66" s="37"/>
    </row>
    <row r="67" spans="1:25" ht="17.5" customHeight="1" x14ac:dyDescent="0.35">
      <c r="A67" s="178" t="str">
        <f t="shared" ca="1" si="16"/>
        <v>H</v>
      </c>
      <c r="B67" s="37"/>
      <c r="C67" s="37"/>
      <c r="D67" s="37"/>
      <c r="E67" s="37"/>
      <c r="F67" s="37">
        <v>31</v>
      </c>
      <c r="G67" s="39" cm="1">
        <f t="array" aca="1" ref="G67" ca="1">IFERROR(INDEX(OFFSET(auto_ss_All_Scoring,0,1,500,1),F67),0)</f>
        <v>31</v>
      </c>
      <c r="H67" s="39">
        <f ca="1">IF(G67=0,0,MATCH(G67,OFFSET(iWeights!$B$18,0,0,$E$13,1),0))</f>
        <v>31</v>
      </c>
      <c r="I67" s="39" cm="1">
        <f t="array" aca="1" ref="I67" ca="1">IF(G67=0,0,INDEX(OFFSET(iWeights!$F$18,0,0,$E$13,1),H67))</f>
        <v>1</v>
      </c>
      <c r="J67" s="39" cm="1">
        <f t="array" aca="1" ref="J67" ca="1">IF(G67=0,0,INDEX(OFFSET(iWeights!$G$18,0,0,$E$13,1),H67))</f>
        <v>0.5</v>
      </c>
      <c r="K67" s="39" cm="1">
        <f t="array" aca="1" ref="K67" ca="1">IF(G67=0,"",INDEX(auto_Series_Depth,G67))</f>
        <v>3</v>
      </c>
      <c r="L67" s="179">
        <f t="shared" ca="1" si="18"/>
        <v>0</v>
      </c>
      <c r="M67" s="180">
        <f t="shared" ca="1" si="19"/>
        <v>1</v>
      </c>
      <c r="N67" s="181" t="str" cm="1">
        <f t="array" aca="1" ref="N67" ca="1">IF(G67=0,"",CONCATENATE(IF($K67&gt;=4,"    ",""),INDEX(auto_Series_NameNumbered,G67)))</f>
        <v>3.3b) Trans fats consumption: city-level data availability</v>
      </c>
      <c r="O67" s="181">
        <f t="shared" ca="1" si="20"/>
        <v>1</v>
      </c>
      <c r="P67" s="182">
        <f t="shared" ca="1" si="21"/>
        <v>0.5</v>
      </c>
      <c r="Q67" s="183" t="str">
        <f t="shared" ca="1" si="22"/>
        <v>||||||||||||||||||||</v>
      </c>
      <c r="R67" s="194">
        <v>1</v>
      </c>
      <c r="S67" s="182" cm="1">
        <f t="array" aca="1" ref="S67" ca="1">IF(G67=0,"",IF(K67=1,"",INDEX(OFFSET(iWeights!$I$18,0,0,$E$13,1),$H67)))</f>
        <v>0.5</v>
      </c>
      <c r="T67" s="183" t="str">
        <f t="shared" ca="1" si="23"/>
        <v>||||||||||||||||||||</v>
      </c>
      <c r="U67" s="37"/>
      <c r="V67" s="37"/>
      <c r="W67" s="37"/>
      <c r="X67" s="37"/>
      <c r="Y67" s="37"/>
    </row>
    <row r="68" spans="1:25" ht="17.5" customHeight="1" x14ac:dyDescent="0.35">
      <c r="A68" s="178" t="str">
        <f t="shared" ca="1" si="16"/>
        <v/>
      </c>
      <c r="B68" s="37"/>
      <c r="C68" s="37"/>
      <c r="D68" s="37"/>
      <c r="E68" s="37"/>
      <c r="F68" s="37">
        <v>32</v>
      </c>
      <c r="G68" s="39" cm="1">
        <f t="array" aca="1" ref="G68" ca="1">IFERROR(INDEX(OFFSET(auto_ss_All_Scoring,0,1,500,1),F68),0)</f>
        <v>32</v>
      </c>
      <c r="H68" s="39">
        <f ca="1">IF(G68=0,0,MATCH(G68,OFFSET(iWeights!$B$18,0,0,$E$13,1),0))</f>
        <v>32</v>
      </c>
      <c r="I68" s="39" cm="1">
        <f t="array" aca="1" ref="I68" ca="1">IF(G68=0,0,INDEX(OFFSET(iWeights!$F$18,0,0,$E$13,1),H68))</f>
        <v>1</v>
      </c>
      <c r="J68" s="39" cm="1">
        <f t="array" aca="1" ref="J68" ca="1">IF(G68=0,0,INDEX(OFFSET(iWeights!$G$18,0,0,$E$13,1),H68))</f>
        <v>0.125</v>
      </c>
      <c r="K68" s="39" cm="1">
        <f t="array" aca="1" ref="K68" ca="1">IF(G68=0,"",INDEX(auto_Series_Depth,G68))</f>
        <v>2</v>
      </c>
      <c r="L68" s="179">
        <f t="shared" ca="1" si="18"/>
        <v>0</v>
      </c>
      <c r="M68" s="180">
        <f t="shared" ca="1" si="19"/>
        <v>1</v>
      </c>
      <c r="N68" s="181" t="str" cm="1">
        <f t="array" aca="1" ref="N68" ca="1">IF(G68=0,"",CONCATENATE(IF($K68&gt;=4,"    ",""),INDEX(auto_Series_NameNumbered,G68)))</f>
        <v>3.4) Physical activity</v>
      </c>
      <c r="O68" s="181">
        <f t="shared" ca="1" si="20"/>
        <v>1</v>
      </c>
      <c r="P68" s="182">
        <f t="shared" ca="1" si="21"/>
        <v>0.125</v>
      </c>
      <c r="Q68" s="183" t="str">
        <f t="shared" ca="1" si="22"/>
        <v>|||||</v>
      </c>
      <c r="R68" s="194">
        <v>1</v>
      </c>
      <c r="S68" s="182" cm="1">
        <f t="array" aca="1" ref="S68" ca="1">IF(G68=0,"",IF(K68=1,"",INDEX(OFFSET(iWeights!$I$18,0,0,$E$13,1),$H68)))</f>
        <v>0.125</v>
      </c>
      <c r="T68" s="183" t="str">
        <f t="shared" ca="1" si="23"/>
        <v>|||||</v>
      </c>
      <c r="U68" s="37"/>
      <c r="V68" s="37"/>
      <c r="W68" s="37"/>
      <c r="X68" s="37"/>
      <c r="Y68" s="37"/>
    </row>
    <row r="69" spans="1:25" ht="17.5" customHeight="1" x14ac:dyDescent="0.35">
      <c r="A69" s="178" t="str">
        <f t="shared" ca="1" si="16"/>
        <v>H</v>
      </c>
      <c r="B69" s="37"/>
      <c r="C69" s="37"/>
      <c r="D69" s="37"/>
      <c r="E69" s="37"/>
      <c r="F69" s="37">
        <v>33</v>
      </c>
      <c r="G69" s="39" cm="1">
        <f t="array" aca="1" ref="G69" ca="1">IFERROR(INDEX(OFFSET(auto_ss_All_Scoring,0,1,500,1),F69),0)</f>
        <v>33</v>
      </c>
      <c r="H69" s="39">
        <f ca="1">IF(G69=0,0,MATCH(G69,OFFSET(iWeights!$B$18,0,0,$E$13,1),0))</f>
        <v>33</v>
      </c>
      <c r="I69" s="39" cm="1">
        <f t="array" aca="1" ref="I69" ca="1">IF(G69=0,0,INDEX(OFFSET(iWeights!$F$18,0,0,$E$13,1),H69))</f>
        <v>1</v>
      </c>
      <c r="J69" s="39" cm="1">
        <f t="array" aca="1" ref="J69" ca="1">IF(G69=0,0,INDEX(OFFSET(iWeights!$G$18,0,0,$E$13,1),H69))</f>
        <v>0.5</v>
      </c>
      <c r="K69" s="39" cm="1">
        <f t="array" aca="1" ref="K69" ca="1">IF(G69=0,"",INDEX(auto_Series_Depth,G69))</f>
        <v>3</v>
      </c>
      <c r="L69" s="179">
        <f t="shared" ca="1" si="18"/>
        <v>0</v>
      </c>
      <c r="M69" s="180">
        <f t="shared" ca="1" si="19"/>
        <v>1</v>
      </c>
      <c r="N69" s="181" t="str" cm="1">
        <f t="array" aca="1" ref="N69" ca="1">IF(G69=0,"",CONCATENATE(IF($K69&gt;=4,"    ",""),INDEX(auto_Series_NameNumbered,G69)))</f>
        <v>3.4a) Physical inactivity: national data</v>
      </c>
      <c r="O69" s="181">
        <f t="shared" ca="1" si="20"/>
        <v>1</v>
      </c>
      <c r="P69" s="182">
        <f t="shared" ca="1" si="21"/>
        <v>0.5</v>
      </c>
      <c r="Q69" s="183" t="str">
        <f t="shared" ca="1" si="22"/>
        <v>||||||||||||||||||||</v>
      </c>
      <c r="R69" s="194">
        <v>1</v>
      </c>
      <c r="S69" s="182" cm="1">
        <f t="array" aca="1" ref="S69" ca="1">IF(G69=0,"",IF(K69=1,"",INDEX(OFFSET(iWeights!$I$18,0,0,$E$13,1),$H69)))</f>
        <v>0.5</v>
      </c>
      <c r="T69" s="183" t="str">
        <f t="shared" ca="1" si="23"/>
        <v>||||||||||||||||||||</v>
      </c>
      <c r="U69" s="37"/>
      <c r="V69" s="37"/>
      <c r="W69" s="37"/>
      <c r="X69" s="37"/>
      <c r="Y69" s="37"/>
    </row>
    <row r="70" spans="1:25" ht="17.5" customHeight="1" x14ac:dyDescent="0.35">
      <c r="A70" s="178" t="str">
        <f t="shared" ca="1" si="16"/>
        <v>H</v>
      </c>
      <c r="B70" s="37"/>
      <c r="C70" s="37"/>
      <c r="D70" s="37"/>
      <c r="E70" s="37"/>
      <c r="F70" s="37">
        <v>34</v>
      </c>
      <c r="G70" s="39" cm="1">
        <f t="array" aca="1" ref="G70" ca="1">IFERROR(INDEX(OFFSET(auto_ss_All_Scoring,0,1,500,1),F70),0)</f>
        <v>34</v>
      </c>
      <c r="H70" s="39">
        <f ca="1">IF(G70=0,0,MATCH(G70,OFFSET(iWeights!$B$18,0,0,$E$13,1),0))</f>
        <v>34</v>
      </c>
      <c r="I70" s="39" cm="1">
        <f t="array" aca="1" ref="I70" ca="1">IF(G70=0,0,INDEX(OFFSET(iWeights!$F$18,0,0,$E$13,1),H70))</f>
        <v>1</v>
      </c>
      <c r="J70" s="39" cm="1">
        <f t="array" aca="1" ref="J70" ca="1">IF(G70=0,0,INDEX(OFFSET(iWeights!$G$18,0,0,$E$13,1),H70))</f>
        <v>0.5</v>
      </c>
      <c r="K70" s="39" cm="1">
        <f t="array" aca="1" ref="K70" ca="1">IF(G70=0,"",INDEX(auto_Series_Depth,G70))</f>
        <v>3</v>
      </c>
      <c r="L70" s="179">
        <f t="shared" ca="1" si="18"/>
        <v>0</v>
      </c>
      <c r="M70" s="180">
        <f t="shared" ca="1" si="19"/>
        <v>1</v>
      </c>
      <c r="N70" s="181" t="str" cm="1">
        <f t="array" aca="1" ref="N70" ca="1">IF(G70=0,"",CONCATENATE(IF($K70&gt;=4,"    ",""),INDEX(auto_Series_NameNumbered,G70)))</f>
        <v>3.4b) Physical activity: city-level data availability</v>
      </c>
      <c r="O70" s="181">
        <f t="shared" ca="1" si="20"/>
        <v>1</v>
      </c>
      <c r="P70" s="182">
        <f t="shared" ca="1" si="21"/>
        <v>0.5</v>
      </c>
      <c r="Q70" s="183" t="str">
        <f t="shared" ca="1" si="22"/>
        <v>||||||||||||||||||||</v>
      </c>
      <c r="R70" s="194">
        <v>1</v>
      </c>
      <c r="S70" s="182" cm="1">
        <f t="array" aca="1" ref="S70" ca="1">IF(G70=0,"",IF(K70=1,"",INDEX(OFFSET(iWeights!$I$18,0,0,$E$13,1),$H70)))</f>
        <v>0.5</v>
      </c>
      <c r="T70" s="183" t="str">
        <f t="shared" ca="1" si="23"/>
        <v>||||||||||||||||||||</v>
      </c>
      <c r="U70" s="37"/>
      <c r="V70" s="37"/>
      <c r="W70" s="37"/>
      <c r="X70" s="37"/>
      <c r="Y70" s="37"/>
    </row>
    <row r="71" spans="1:25" ht="17.5" customHeight="1" x14ac:dyDescent="0.35">
      <c r="A71" s="178" t="str">
        <f t="shared" ca="1" si="16"/>
        <v/>
      </c>
      <c r="B71" s="37"/>
      <c r="C71" s="37"/>
      <c r="D71" s="37"/>
      <c r="E71" s="37"/>
      <c r="F71" s="37">
        <v>35</v>
      </c>
      <c r="G71" s="39" cm="1">
        <f t="array" aca="1" ref="G71" ca="1">IFERROR(INDEX(OFFSET(auto_ss_All_Scoring,0,1,500,1),F71),0)</f>
        <v>35</v>
      </c>
      <c r="H71" s="39">
        <f ca="1">IF(G71=0,0,MATCH(G71,OFFSET(iWeights!$B$18,0,0,$E$13,1),0))</f>
        <v>35</v>
      </c>
      <c r="I71" s="39" cm="1">
        <f t="array" aca="1" ref="I71" ca="1">IF(G71=0,0,INDEX(OFFSET(iWeights!$F$18,0,0,$E$13,1),H71))</f>
        <v>1</v>
      </c>
      <c r="J71" s="39" cm="1">
        <f t="array" aca="1" ref="J71" ca="1">IF(G71=0,0,INDEX(OFFSET(iWeights!$G$18,0,0,$E$13,1),H71))</f>
        <v>0.125</v>
      </c>
      <c r="K71" s="39" cm="1">
        <f t="array" aca="1" ref="K71" ca="1">IF(G71=0,"",INDEX(auto_Series_Depth,G71))</f>
        <v>2</v>
      </c>
      <c r="L71" s="179">
        <f t="shared" ca="1" si="18"/>
        <v>0</v>
      </c>
      <c r="M71" s="180">
        <f t="shared" ca="1" si="19"/>
        <v>1</v>
      </c>
      <c r="N71" s="181" t="str" cm="1">
        <f t="array" aca="1" ref="N71" ca="1">IF(G71=0,"",CONCATENATE(IF($K71&gt;=4,"    ",""),INDEX(auto_Series_NameNumbered,G71)))</f>
        <v>3.5) Hypertension</v>
      </c>
      <c r="O71" s="181">
        <f t="shared" ca="1" si="20"/>
        <v>1</v>
      </c>
      <c r="P71" s="182">
        <f t="shared" ca="1" si="21"/>
        <v>0.125</v>
      </c>
      <c r="Q71" s="183" t="str">
        <f t="shared" ca="1" si="22"/>
        <v>|||||</v>
      </c>
      <c r="R71" s="194">
        <v>1</v>
      </c>
      <c r="S71" s="182" cm="1">
        <f t="array" aca="1" ref="S71" ca="1">IF(G71=0,"",IF(K71=1,"",INDEX(OFFSET(iWeights!$I$18,0,0,$E$13,1),$H71)))</f>
        <v>0.125</v>
      </c>
      <c r="T71" s="183" t="str">
        <f t="shared" ca="1" si="23"/>
        <v>|||||</v>
      </c>
      <c r="U71" s="37"/>
      <c r="V71" s="37"/>
      <c r="W71" s="37"/>
      <c r="X71" s="37"/>
      <c r="Y71" s="37"/>
    </row>
    <row r="72" spans="1:25" ht="17.5" customHeight="1" x14ac:dyDescent="0.35">
      <c r="A72" s="178" t="str">
        <f t="shared" ca="1" si="16"/>
        <v>H</v>
      </c>
      <c r="B72" s="37"/>
      <c r="C72" s="37"/>
      <c r="D72" s="37"/>
      <c r="E72" s="37"/>
      <c r="F72" s="37">
        <v>36</v>
      </c>
      <c r="G72" s="39" cm="1">
        <f t="array" aca="1" ref="G72" ca="1">IFERROR(INDEX(OFFSET(auto_ss_All_Scoring,0,1,500,1),F72),0)</f>
        <v>36</v>
      </c>
      <c r="H72" s="39">
        <f ca="1">IF(G72=0,0,MATCH(G72,OFFSET(iWeights!$B$18,0,0,$E$13,1),0))</f>
        <v>36</v>
      </c>
      <c r="I72" s="39" cm="1">
        <f t="array" aca="1" ref="I72" ca="1">IF(G72=0,0,INDEX(OFFSET(iWeights!$F$18,0,0,$E$13,1),H72))</f>
        <v>1</v>
      </c>
      <c r="J72" s="39" cm="1">
        <f t="array" aca="1" ref="J72" ca="1">IF(G72=0,0,INDEX(OFFSET(iWeights!$G$18,0,0,$E$13,1),H72))</f>
        <v>0.5</v>
      </c>
      <c r="K72" s="39" cm="1">
        <f t="array" aca="1" ref="K72" ca="1">IF(G72=0,"",INDEX(auto_Series_Depth,G72))</f>
        <v>3</v>
      </c>
      <c r="L72" s="179">
        <f t="shared" ca="1" si="18"/>
        <v>0</v>
      </c>
      <c r="M72" s="180">
        <f t="shared" ca="1" si="19"/>
        <v>1</v>
      </c>
      <c r="N72" s="181" t="str" cm="1">
        <f t="array" aca="1" ref="N72" ca="1">IF(G72=0,"",CONCATENATE(IF($K72&gt;=4,"    ",""),INDEX(auto_Series_NameNumbered,G72)))</f>
        <v>3.5a) Hypertension: national data</v>
      </c>
      <c r="O72" s="181">
        <f t="shared" ca="1" si="20"/>
        <v>1</v>
      </c>
      <c r="P72" s="182">
        <f t="shared" ca="1" si="21"/>
        <v>0.5</v>
      </c>
      <c r="Q72" s="183" t="str">
        <f t="shared" ca="1" si="22"/>
        <v>||||||||||||||||||||</v>
      </c>
      <c r="R72" s="194">
        <v>1</v>
      </c>
      <c r="S72" s="182" cm="1">
        <f t="array" aca="1" ref="S72" ca="1">IF(G72=0,"",IF(K72=1,"",INDEX(OFFSET(iWeights!$I$18,0,0,$E$13,1),$H72)))</f>
        <v>0.5</v>
      </c>
      <c r="T72" s="183" t="str">
        <f t="shared" ca="1" si="23"/>
        <v>||||||||||||||||||||</v>
      </c>
      <c r="U72" s="37"/>
      <c r="V72" s="37"/>
      <c r="W72" s="37"/>
      <c r="X72" s="37"/>
      <c r="Y72" s="37"/>
    </row>
    <row r="73" spans="1:25" ht="17.5" customHeight="1" x14ac:dyDescent="0.35">
      <c r="A73" s="178" t="str">
        <f t="shared" ca="1" si="16"/>
        <v>H</v>
      </c>
      <c r="B73" s="37"/>
      <c r="C73" s="37"/>
      <c r="D73" s="37"/>
      <c r="E73" s="37"/>
      <c r="F73" s="37">
        <v>37</v>
      </c>
      <c r="G73" s="39" cm="1">
        <f t="array" aca="1" ref="G73" ca="1">IFERROR(INDEX(OFFSET(auto_ss_All_Scoring,0,1,500,1),F73),0)</f>
        <v>37</v>
      </c>
      <c r="H73" s="39">
        <f ca="1">IF(G73=0,0,MATCH(G73,OFFSET(iWeights!$B$18,0,0,$E$13,1),0))</f>
        <v>37</v>
      </c>
      <c r="I73" s="39" cm="1">
        <f t="array" aca="1" ref="I73" ca="1">IF(G73=0,0,INDEX(OFFSET(iWeights!$F$18,0,0,$E$13,1),H73))</f>
        <v>1</v>
      </c>
      <c r="J73" s="39" cm="1">
        <f t="array" aca="1" ref="J73" ca="1">IF(G73=0,0,INDEX(OFFSET(iWeights!$G$18,0,0,$E$13,1),H73))</f>
        <v>0.5</v>
      </c>
      <c r="K73" s="39" cm="1">
        <f t="array" aca="1" ref="K73" ca="1">IF(G73=0,"",INDEX(auto_Series_Depth,G73))</f>
        <v>3</v>
      </c>
      <c r="L73" s="179">
        <f t="shared" ca="1" si="18"/>
        <v>0</v>
      </c>
      <c r="M73" s="180">
        <f t="shared" ca="1" si="19"/>
        <v>1</v>
      </c>
      <c r="N73" s="181" t="str" cm="1">
        <f t="array" aca="1" ref="N73" ca="1">IF(G73=0,"",CONCATENATE(IF($K73&gt;=4,"    ",""),INDEX(auto_Series_NameNumbered,G73)))</f>
        <v>3.5b) Hypertension surveillance: city-level data availability</v>
      </c>
      <c r="O73" s="181">
        <f t="shared" ca="1" si="20"/>
        <v>1</v>
      </c>
      <c r="P73" s="182">
        <f t="shared" ca="1" si="21"/>
        <v>0.5</v>
      </c>
      <c r="Q73" s="183" t="str">
        <f t="shared" ca="1" si="22"/>
        <v>||||||||||||||||||||</v>
      </c>
      <c r="R73" s="194">
        <v>1</v>
      </c>
      <c r="S73" s="182" cm="1">
        <f t="array" aca="1" ref="S73" ca="1">IF(G73=0,"",IF(K73=1,"",INDEX(OFFSET(iWeights!$I$18,0,0,$E$13,1),$H73)))</f>
        <v>0.5</v>
      </c>
      <c r="T73" s="183" t="str">
        <f t="shared" ca="1" si="23"/>
        <v>||||||||||||||||||||</v>
      </c>
      <c r="U73" s="37"/>
      <c r="V73" s="37"/>
      <c r="W73" s="37"/>
      <c r="X73" s="37"/>
      <c r="Y73" s="37"/>
    </row>
    <row r="74" spans="1:25" ht="17.5" customHeight="1" x14ac:dyDescent="0.35">
      <c r="A74" s="178" t="str">
        <f t="shared" ca="1" si="16"/>
        <v/>
      </c>
      <c r="B74" s="37"/>
      <c r="C74" s="37"/>
      <c r="D74" s="37"/>
      <c r="E74" s="37"/>
      <c r="F74" s="37">
        <v>38</v>
      </c>
      <c r="G74" s="39" cm="1">
        <f t="array" aca="1" ref="G74" ca="1">IFERROR(INDEX(OFFSET(auto_ss_All_Scoring,0,1,500,1),F74),0)</f>
        <v>38</v>
      </c>
      <c r="H74" s="39">
        <f ca="1">IF(G74=0,0,MATCH(G74,OFFSET(iWeights!$B$18,0,0,$E$13,1),0))</f>
        <v>38</v>
      </c>
      <c r="I74" s="39" cm="1">
        <f t="array" aca="1" ref="I74" ca="1">IF(G74=0,0,INDEX(OFFSET(iWeights!$F$18,0,0,$E$13,1),H74))</f>
        <v>1</v>
      </c>
      <c r="J74" s="39" cm="1">
        <f t="array" aca="1" ref="J74" ca="1">IF(G74=0,0,INDEX(OFFSET(iWeights!$G$18,0,0,$E$13,1),H74))</f>
        <v>0.125</v>
      </c>
      <c r="K74" s="39" cm="1">
        <f t="array" aca="1" ref="K74" ca="1">IF(G74=0,"",INDEX(auto_Series_Depth,G74))</f>
        <v>2</v>
      </c>
      <c r="L74" s="179">
        <f t="shared" ca="1" si="18"/>
        <v>0</v>
      </c>
      <c r="M74" s="180">
        <f t="shared" ca="1" si="19"/>
        <v>1</v>
      </c>
      <c r="N74" s="181" t="str" cm="1">
        <f t="array" aca="1" ref="N74" ca="1">IF(G74=0,"",CONCATENATE(IF($K74&gt;=4,"    ",""),INDEX(auto_Series_NameNumbered,G74)))</f>
        <v>3.6) Diabetes</v>
      </c>
      <c r="O74" s="181">
        <f t="shared" ca="1" si="20"/>
        <v>1</v>
      </c>
      <c r="P74" s="182">
        <f t="shared" ca="1" si="21"/>
        <v>0.125</v>
      </c>
      <c r="Q74" s="183" t="str">
        <f t="shared" ca="1" si="22"/>
        <v>|||||</v>
      </c>
      <c r="R74" s="194">
        <v>1</v>
      </c>
      <c r="S74" s="182" cm="1">
        <f t="array" aca="1" ref="S74" ca="1">IF(G74=0,"",IF(K74=1,"",INDEX(OFFSET(iWeights!$I$18,0,0,$E$13,1),$H74)))</f>
        <v>0.125</v>
      </c>
      <c r="T74" s="183" t="str">
        <f t="shared" ca="1" si="23"/>
        <v>|||||</v>
      </c>
      <c r="U74" s="37"/>
      <c r="V74" s="37"/>
      <c r="W74" s="37"/>
      <c r="X74" s="37"/>
      <c r="Y74" s="37"/>
    </row>
    <row r="75" spans="1:25" ht="17.5" customHeight="1" x14ac:dyDescent="0.35">
      <c r="A75" s="178" t="str">
        <f t="shared" ca="1" si="16"/>
        <v>H</v>
      </c>
      <c r="B75" s="37"/>
      <c r="C75" s="37"/>
      <c r="D75" s="37"/>
      <c r="E75" s="37"/>
      <c r="F75" s="37">
        <v>39</v>
      </c>
      <c r="G75" s="39" cm="1">
        <f t="array" aca="1" ref="G75" ca="1">IFERROR(INDEX(OFFSET(auto_ss_All_Scoring,0,1,500,1),F75),0)</f>
        <v>39</v>
      </c>
      <c r="H75" s="39">
        <f ca="1">IF(G75=0,0,MATCH(G75,OFFSET(iWeights!$B$18,0,0,$E$13,1),0))</f>
        <v>39</v>
      </c>
      <c r="I75" s="39" cm="1">
        <f t="array" aca="1" ref="I75" ca="1">IF(G75=0,0,INDEX(OFFSET(iWeights!$F$18,0,0,$E$13,1),H75))</f>
        <v>1</v>
      </c>
      <c r="J75" s="39" cm="1">
        <f t="array" aca="1" ref="J75" ca="1">IF(G75=0,0,INDEX(OFFSET(iWeights!$G$18,0,0,$E$13,1),H75))</f>
        <v>0.5</v>
      </c>
      <c r="K75" s="39" cm="1">
        <f t="array" aca="1" ref="K75" ca="1">IF(G75=0,"",INDEX(auto_Series_Depth,G75))</f>
        <v>3</v>
      </c>
      <c r="L75" s="179">
        <f t="shared" ca="1" si="18"/>
        <v>0</v>
      </c>
      <c r="M75" s="180">
        <f t="shared" ca="1" si="19"/>
        <v>1</v>
      </c>
      <c r="N75" s="181" t="str" cm="1">
        <f t="array" aca="1" ref="N75" ca="1">IF(G75=0,"",CONCATENATE(IF($K75&gt;=4,"    ",""),INDEX(auto_Series_NameNumbered,G75)))</f>
        <v>3.6a) Diabetes: national data</v>
      </c>
      <c r="O75" s="181">
        <f t="shared" ca="1" si="20"/>
        <v>1</v>
      </c>
      <c r="P75" s="182">
        <f t="shared" ca="1" si="21"/>
        <v>0.5</v>
      </c>
      <c r="Q75" s="183" t="str">
        <f t="shared" ca="1" si="22"/>
        <v>||||||||||||||||||||</v>
      </c>
      <c r="R75" s="194">
        <v>1</v>
      </c>
      <c r="S75" s="182" cm="1">
        <f t="array" aca="1" ref="S75" ca="1">IF(G75=0,"",IF(K75=1,"",INDEX(OFFSET(iWeights!$I$18,0,0,$E$13,1),$H75)))</f>
        <v>0.5</v>
      </c>
      <c r="T75" s="183" t="str">
        <f t="shared" ca="1" si="23"/>
        <v>||||||||||||||||||||</v>
      </c>
      <c r="U75" s="37"/>
      <c r="V75" s="37"/>
      <c r="W75" s="37"/>
      <c r="X75" s="37"/>
      <c r="Y75" s="37"/>
    </row>
    <row r="76" spans="1:25" ht="17.5" customHeight="1" x14ac:dyDescent="0.35">
      <c r="A76" s="178" t="str">
        <f t="shared" ca="1" si="16"/>
        <v>H</v>
      </c>
      <c r="B76" s="37"/>
      <c r="C76" s="37"/>
      <c r="D76" s="37"/>
      <c r="E76" s="37"/>
      <c r="F76" s="37">
        <v>40</v>
      </c>
      <c r="G76" s="39" cm="1">
        <f t="array" aca="1" ref="G76" ca="1">IFERROR(INDEX(OFFSET(auto_ss_All_Scoring,0,1,500,1),F76),0)</f>
        <v>40</v>
      </c>
      <c r="H76" s="39">
        <f ca="1">IF(G76=0,0,MATCH(G76,OFFSET(iWeights!$B$18,0,0,$E$13,1),0))</f>
        <v>40</v>
      </c>
      <c r="I76" s="39" cm="1">
        <f t="array" aca="1" ref="I76" ca="1">IF(G76=0,0,INDEX(OFFSET(iWeights!$F$18,0,0,$E$13,1),H76))</f>
        <v>1</v>
      </c>
      <c r="J76" s="39" cm="1">
        <f t="array" aca="1" ref="J76" ca="1">IF(G76=0,0,INDEX(OFFSET(iWeights!$G$18,0,0,$E$13,1),H76))</f>
        <v>0.5</v>
      </c>
      <c r="K76" s="39" cm="1">
        <f t="array" aca="1" ref="K76" ca="1">IF(G76=0,"",INDEX(auto_Series_Depth,G76))</f>
        <v>3</v>
      </c>
      <c r="L76" s="179">
        <f t="shared" ca="1" si="18"/>
        <v>0</v>
      </c>
      <c r="M76" s="180">
        <f t="shared" ca="1" si="19"/>
        <v>1</v>
      </c>
      <c r="N76" s="181" t="str" cm="1">
        <f t="array" aca="1" ref="N76" ca="1">IF(G76=0,"",CONCATENATE(IF($K76&gt;=4,"    ",""),INDEX(auto_Series_NameNumbered,G76)))</f>
        <v>3.6b) Diabetes: city-level data availability</v>
      </c>
      <c r="O76" s="181">
        <f t="shared" ca="1" si="20"/>
        <v>1</v>
      </c>
      <c r="P76" s="182">
        <f t="shared" ca="1" si="21"/>
        <v>0.5</v>
      </c>
      <c r="Q76" s="183" t="str">
        <f t="shared" ca="1" si="22"/>
        <v>||||||||||||||||||||</v>
      </c>
      <c r="R76" s="194">
        <v>1</v>
      </c>
      <c r="S76" s="182" cm="1">
        <f t="array" aca="1" ref="S76" ca="1">IF(G76=0,"",IF(K76=1,"",INDEX(OFFSET(iWeights!$I$18,0,0,$E$13,1),$H76)))</f>
        <v>0.5</v>
      </c>
      <c r="T76" s="183" t="str">
        <f t="shared" ca="1" si="23"/>
        <v>||||||||||||||||||||</v>
      </c>
      <c r="U76" s="37"/>
      <c r="V76" s="37"/>
      <c r="W76" s="37"/>
      <c r="X76" s="37"/>
      <c r="Y76" s="37"/>
    </row>
    <row r="77" spans="1:25" ht="17.5" customHeight="1" x14ac:dyDescent="0.35">
      <c r="A77" s="178" t="str">
        <f t="shared" ca="1" si="16"/>
        <v/>
      </c>
      <c r="B77" s="37"/>
      <c r="C77" s="37"/>
      <c r="D77" s="37"/>
      <c r="E77" s="37"/>
      <c r="F77" s="37">
        <v>41</v>
      </c>
      <c r="G77" s="39" cm="1">
        <f t="array" aca="1" ref="G77" ca="1">IFERROR(INDEX(OFFSET(auto_ss_All_Scoring,0,1,500,1),F77),0)</f>
        <v>41</v>
      </c>
      <c r="H77" s="39">
        <f ca="1">IF(G77=0,0,MATCH(G77,OFFSET(iWeights!$B$18,0,0,$E$13,1),0))</f>
        <v>41</v>
      </c>
      <c r="I77" s="39" cm="1">
        <f t="array" aca="1" ref="I77" ca="1">IF(G77=0,0,INDEX(OFFSET(iWeights!$F$18,0,0,$E$13,1),H77))</f>
        <v>1</v>
      </c>
      <c r="J77" s="39" cm="1">
        <f t="array" aca="1" ref="J77" ca="1">IF(G77=0,0,INDEX(OFFSET(iWeights!$G$18,0,0,$E$13,1),H77))</f>
        <v>0.125</v>
      </c>
      <c r="K77" s="39" cm="1">
        <f t="array" aca="1" ref="K77" ca="1">IF(G77=0,"",INDEX(auto_Series_Depth,G77))</f>
        <v>2</v>
      </c>
      <c r="L77" s="179">
        <f t="shared" ca="1" si="18"/>
        <v>0</v>
      </c>
      <c r="M77" s="180">
        <f t="shared" ca="1" si="19"/>
        <v>1</v>
      </c>
      <c r="N77" s="181" t="str" cm="1">
        <f t="array" aca="1" ref="N77" ca="1">IF(G77=0,"",CONCATENATE(IF($K77&gt;=4,"    ",""),INDEX(auto_Series_NameNumbered,G77)))</f>
        <v>3.7) Obesity</v>
      </c>
      <c r="O77" s="181">
        <f t="shared" ca="1" si="20"/>
        <v>1</v>
      </c>
      <c r="P77" s="182">
        <f t="shared" ca="1" si="21"/>
        <v>0.125</v>
      </c>
      <c r="Q77" s="183" t="str">
        <f t="shared" ca="1" si="22"/>
        <v>|||||</v>
      </c>
      <c r="R77" s="194">
        <v>1</v>
      </c>
      <c r="S77" s="182" cm="1">
        <f t="array" aca="1" ref="S77" ca="1">IF(G77=0,"",IF(K77=1,"",INDEX(OFFSET(iWeights!$I$18,0,0,$E$13,1),$H77)))</f>
        <v>0.125</v>
      </c>
      <c r="T77" s="183" t="str">
        <f t="shared" ca="1" si="23"/>
        <v>|||||</v>
      </c>
      <c r="U77" s="37"/>
      <c r="V77" s="37"/>
      <c r="W77" s="37"/>
      <c r="X77" s="37"/>
      <c r="Y77" s="37"/>
    </row>
    <row r="78" spans="1:25" ht="17.5" customHeight="1" x14ac:dyDescent="0.35">
      <c r="A78" s="178" t="str">
        <f t="shared" ca="1" si="16"/>
        <v>H</v>
      </c>
      <c r="B78" s="37"/>
      <c r="C78" s="37"/>
      <c r="D78" s="37"/>
      <c r="E78" s="37"/>
      <c r="F78" s="37">
        <v>42</v>
      </c>
      <c r="G78" s="39" cm="1">
        <f t="array" aca="1" ref="G78" ca="1">IFERROR(INDEX(OFFSET(auto_ss_All_Scoring,0,1,500,1),F78),0)</f>
        <v>42</v>
      </c>
      <c r="H78" s="39">
        <f ca="1">IF(G78=0,0,MATCH(G78,OFFSET(iWeights!$B$18,0,0,$E$13,1),0))</f>
        <v>42</v>
      </c>
      <c r="I78" s="39" cm="1">
        <f t="array" aca="1" ref="I78" ca="1">IF(G78=0,0,INDEX(OFFSET(iWeights!$F$18,0,0,$E$13,1),H78))</f>
        <v>1</v>
      </c>
      <c r="J78" s="39" cm="1">
        <f t="array" aca="1" ref="J78" ca="1">IF(G78=0,0,INDEX(OFFSET(iWeights!$G$18,0,0,$E$13,1),H78))</f>
        <v>0.5</v>
      </c>
      <c r="K78" s="39" cm="1">
        <f t="array" aca="1" ref="K78" ca="1">IF(G78=0,"",INDEX(auto_Series_Depth,G78))</f>
        <v>3</v>
      </c>
      <c r="L78" s="179">
        <f t="shared" ca="1" si="18"/>
        <v>0</v>
      </c>
      <c r="M78" s="180">
        <f t="shared" ca="1" si="19"/>
        <v>1</v>
      </c>
      <c r="N78" s="181" t="str" cm="1">
        <f t="array" aca="1" ref="N78" ca="1">IF(G78=0,"",CONCATENATE(IF($K78&gt;=4,"    ",""),INDEX(auto_Series_NameNumbered,G78)))</f>
        <v>3.7a) Obesity: national data</v>
      </c>
      <c r="O78" s="181">
        <f t="shared" ca="1" si="20"/>
        <v>1</v>
      </c>
      <c r="P78" s="182">
        <f t="shared" ca="1" si="21"/>
        <v>0.5</v>
      </c>
      <c r="Q78" s="183" t="str">
        <f t="shared" ca="1" si="22"/>
        <v>||||||||||||||||||||</v>
      </c>
      <c r="R78" s="194">
        <v>1</v>
      </c>
      <c r="S78" s="182" cm="1">
        <f t="array" aca="1" ref="S78" ca="1">IF(G78=0,"",IF(K78=1,"",INDEX(OFFSET(iWeights!$I$18,0,0,$E$13,1),$H78)))</f>
        <v>0.5</v>
      </c>
      <c r="T78" s="183" t="str">
        <f t="shared" ca="1" si="23"/>
        <v>||||||||||||||||||||</v>
      </c>
      <c r="U78" s="37"/>
      <c r="V78" s="37"/>
      <c r="W78" s="37"/>
      <c r="X78" s="37"/>
      <c r="Y78" s="37"/>
    </row>
    <row r="79" spans="1:25" ht="17.5" customHeight="1" x14ac:dyDescent="0.35">
      <c r="A79" s="178" t="str">
        <f t="shared" ca="1" si="16"/>
        <v>H</v>
      </c>
      <c r="B79" s="37"/>
      <c r="C79" s="37"/>
      <c r="D79" s="37"/>
      <c r="E79" s="37"/>
      <c r="F79" s="37">
        <v>43</v>
      </c>
      <c r="G79" s="39" cm="1">
        <f t="array" aca="1" ref="G79" ca="1">IFERROR(INDEX(OFFSET(auto_ss_All_Scoring,0,1,500,1),F79),0)</f>
        <v>43</v>
      </c>
      <c r="H79" s="39">
        <f ca="1">IF(G79=0,0,MATCH(G79,OFFSET(iWeights!$B$18,0,0,$E$13,1),0))</f>
        <v>43</v>
      </c>
      <c r="I79" s="39" cm="1">
        <f t="array" aca="1" ref="I79" ca="1">IF(G79=0,0,INDEX(OFFSET(iWeights!$F$18,0,0,$E$13,1),H79))</f>
        <v>1</v>
      </c>
      <c r="J79" s="39" cm="1">
        <f t="array" aca="1" ref="J79" ca="1">IF(G79=0,0,INDEX(OFFSET(iWeights!$G$18,0,0,$E$13,1),H79))</f>
        <v>0.5</v>
      </c>
      <c r="K79" s="39" cm="1">
        <f t="array" aca="1" ref="K79" ca="1">IF(G79=0,"",INDEX(auto_Series_Depth,G79))</f>
        <v>3</v>
      </c>
      <c r="L79" s="179">
        <f t="shared" ca="1" si="18"/>
        <v>0</v>
      </c>
      <c r="M79" s="180">
        <f t="shared" ca="1" si="19"/>
        <v>1</v>
      </c>
      <c r="N79" s="181" t="str" cm="1">
        <f t="array" aca="1" ref="N79" ca="1">IF(G79=0,"",CONCATENATE(IF($K79&gt;=4,"    ",""),INDEX(auto_Series_NameNumbered,G79)))</f>
        <v>3.7b) Obesity: city-level data availability</v>
      </c>
      <c r="O79" s="181">
        <f t="shared" ca="1" si="20"/>
        <v>1</v>
      </c>
      <c r="P79" s="182">
        <f t="shared" ca="1" si="21"/>
        <v>0.5</v>
      </c>
      <c r="Q79" s="183" t="str">
        <f t="shared" ca="1" si="22"/>
        <v>||||||||||||||||||||</v>
      </c>
      <c r="R79" s="194">
        <v>1</v>
      </c>
      <c r="S79" s="182" cm="1">
        <f t="array" aca="1" ref="S79" ca="1">IF(G79=0,"",IF(K79=1,"",INDEX(OFFSET(iWeights!$I$18,0,0,$E$13,1),$H79)))</f>
        <v>0.5</v>
      </c>
      <c r="T79" s="183" t="str">
        <f t="shared" ca="1" si="23"/>
        <v>||||||||||||||||||||</v>
      </c>
      <c r="U79" s="37"/>
      <c r="V79" s="37"/>
      <c r="W79" s="37"/>
      <c r="X79" s="37"/>
      <c r="Y79" s="37"/>
    </row>
    <row r="80" spans="1:25" ht="17.5" customHeight="1" x14ac:dyDescent="0.35">
      <c r="A80" s="178" t="str">
        <f t="shared" ca="1" si="16"/>
        <v/>
      </c>
      <c r="B80" s="37"/>
      <c r="C80" s="37"/>
      <c r="D80" s="37"/>
      <c r="E80" s="37"/>
      <c r="F80" s="37">
        <v>44</v>
      </c>
      <c r="G80" s="39" cm="1">
        <f t="array" aca="1" ref="G80" ca="1">IFERROR(INDEX(OFFSET(auto_ss_All_Scoring,0,1,500,1),F80),0)</f>
        <v>44</v>
      </c>
      <c r="H80" s="39">
        <f ca="1">IF(G80=0,0,MATCH(G80,OFFSET(iWeights!$B$18,0,0,$E$13,1),0))</f>
        <v>44</v>
      </c>
      <c r="I80" s="39" cm="1">
        <f t="array" aca="1" ref="I80" ca="1">IF(G80=0,0,INDEX(OFFSET(iWeights!$F$18,0,0,$E$13,1),H80))</f>
        <v>1</v>
      </c>
      <c r="J80" s="39" cm="1">
        <f t="array" aca="1" ref="J80" ca="1">IF(G80=0,0,INDEX(OFFSET(iWeights!$G$18,0,0,$E$13,1),H80))</f>
        <v>0.125</v>
      </c>
      <c r="K80" s="39" cm="1">
        <f t="array" aca="1" ref="K80" ca="1">IF(G80=0,"",INDEX(auto_Series_Depth,G80))</f>
        <v>2</v>
      </c>
      <c r="L80" s="179">
        <f t="shared" ca="1" si="18"/>
        <v>0</v>
      </c>
      <c r="M80" s="180">
        <f t="shared" ca="1" si="19"/>
        <v>1</v>
      </c>
      <c r="N80" s="181" t="str" cm="1">
        <f t="array" aca="1" ref="N80" ca="1">IF(G80=0,"",CONCATENATE(IF($K80&gt;=4,"    ",""),INDEX(auto_Series_NameNumbered,G80)))</f>
        <v>3.8) Cholesterol</v>
      </c>
      <c r="O80" s="181">
        <f t="shared" ca="1" si="20"/>
        <v>1</v>
      </c>
      <c r="P80" s="182">
        <f t="shared" ca="1" si="21"/>
        <v>0.125</v>
      </c>
      <c r="Q80" s="183" t="str">
        <f t="shared" ca="1" si="22"/>
        <v>|||||</v>
      </c>
      <c r="R80" s="194">
        <v>1</v>
      </c>
      <c r="S80" s="182" cm="1">
        <f t="array" aca="1" ref="S80" ca="1">IF(G80=0,"",IF(K80=1,"",INDEX(OFFSET(iWeights!$I$18,0,0,$E$13,1),$H80)))</f>
        <v>0.125</v>
      </c>
      <c r="T80" s="183" t="str">
        <f t="shared" ca="1" si="23"/>
        <v>|||||</v>
      </c>
      <c r="U80" s="37"/>
      <c r="V80" s="37"/>
      <c r="W80" s="37"/>
      <c r="X80" s="37"/>
      <c r="Y80" s="37"/>
    </row>
    <row r="81" spans="1:25" ht="17.5" customHeight="1" x14ac:dyDescent="0.35">
      <c r="A81" s="178" t="str">
        <f t="shared" ca="1" si="16"/>
        <v>H</v>
      </c>
      <c r="B81" s="37"/>
      <c r="C81" s="37"/>
      <c r="D81" s="37"/>
      <c r="E81" s="37"/>
      <c r="F81" s="37">
        <v>45</v>
      </c>
      <c r="G81" s="39" cm="1">
        <f t="array" aca="1" ref="G81" ca="1">IFERROR(INDEX(OFFSET(auto_ss_All_Scoring,0,1,500,1),F81),0)</f>
        <v>45</v>
      </c>
      <c r="H81" s="39">
        <f ca="1">IF(G81=0,0,MATCH(G81,OFFSET(iWeights!$B$18,0,0,$E$13,1),0))</f>
        <v>45</v>
      </c>
      <c r="I81" s="39" cm="1">
        <f t="array" aca="1" ref="I81" ca="1">IF(G81=0,0,INDEX(OFFSET(iWeights!$F$18,0,0,$E$13,1),H81))</f>
        <v>1</v>
      </c>
      <c r="J81" s="39" cm="1">
        <f t="array" aca="1" ref="J81" ca="1">IF(G81=0,0,INDEX(OFFSET(iWeights!$G$18,0,0,$E$13,1),H81))</f>
        <v>0.5</v>
      </c>
      <c r="K81" s="39" cm="1">
        <f t="array" aca="1" ref="K81" ca="1">IF(G81=0,"",INDEX(auto_Series_Depth,G81))</f>
        <v>3</v>
      </c>
      <c r="L81" s="179">
        <f t="shared" ca="1" si="18"/>
        <v>0</v>
      </c>
      <c r="M81" s="180">
        <f t="shared" ca="1" si="19"/>
        <v>1</v>
      </c>
      <c r="N81" s="181" t="str" cm="1">
        <f t="array" aca="1" ref="N81" ca="1">IF(G81=0,"",CONCATENATE(IF($K81&gt;=4,"    ",""),INDEX(auto_Series_NameNumbered,G81)))</f>
        <v>3.8a) Mean blood cholesterol: national data</v>
      </c>
      <c r="O81" s="181">
        <f t="shared" ca="1" si="20"/>
        <v>1</v>
      </c>
      <c r="P81" s="182">
        <f t="shared" ca="1" si="21"/>
        <v>0.5</v>
      </c>
      <c r="Q81" s="183" t="str">
        <f t="shared" ca="1" si="22"/>
        <v>||||||||||||||||||||</v>
      </c>
      <c r="R81" s="194">
        <v>1</v>
      </c>
      <c r="S81" s="182" cm="1">
        <f t="array" aca="1" ref="S81" ca="1">IF(G81=0,"",IF(K81=1,"",INDEX(OFFSET(iWeights!$I$18,0,0,$E$13,1),$H81)))</f>
        <v>0.5</v>
      </c>
      <c r="T81" s="183" t="str">
        <f t="shared" ca="1" si="23"/>
        <v>||||||||||||||||||||</v>
      </c>
      <c r="U81" s="37"/>
      <c r="V81" s="37"/>
      <c r="W81" s="37"/>
      <c r="X81" s="37"/>
      <c r="Y81" s="37"/>
    </row>
    <row r="82" spans="1:25" ht="17.5" customHeight="1" x14ac:dyDescent="0.35">
      <c r="A82" s="178" t="str">
        <f t="shared" ca="1" si="16"/>
        <v>H</v>
      </c>
      <c r="B82" s="37"/>
      <c r="C82" s="37"/>
      <c r="D82" s="37"/>
      <c r="E82" s="37"/>
      <c r="F82" s="37">
        <v>46</v>
      </c>
      <c r="G82" s="39" cm="1">
        <f t="array" aca="1" ref="G82" ca="1">IFERROR(INDEX(OFFSET(auto_ss_All_Scoring,0,1,500,1),F82),0)</f>
        <v>46</v>
      </c>
      <c r="H82" s="39">
        <f ca="1">IF(G82=0,0,MATCH(G82,OFFSET(iWeights!$B$18,0,0,$E$13,1),0))</f>
        <v>46</v>
      </c>
      <c r="I82" s="39" cm="1">
        <f t="array" aca="1" ref="I82" ca="1">IF(G82=0,0,INDEX(OFFSET(iWeights!$F$18,0,0,$E$13,1),H82))</f>
        <v>1</v>
      </c>
      <c r="J82" s="39" cm="1">
        <f t="array" aca="1" ref="J82" ca="1">IF(G82=0,0,INDEX(OFFSET(iWeights!$G$18,0,0,$E$13,1),H82))</f>
        <v>0.5</v>
      </c>
      <c r="K82" s="39" cm="1">
        <f t="array" aca="1" ref="K82" ca="1">IF(G82=0,"",INDEX(auto_Series_Depth,G82))</f>
        <v>3</v>
      </c>
      <c r="L82" s="179">
        <f t="shared" ca="1" si="18"/>
        <v>0</v>
      </c>
      <c r="M82" s="180">
        <f t="shared" ca="1" si="19"/>
        <v>1</v>
      </c>
      <c r="N82" s="181" t="str" cm="1">
        <f t="array" aca="1" ref="N82" ca="1">IF(G82=0,"",CONCATENATE(IF($K82&gt;=4,"    ",""),INDEX(auto_Series_NameNumbered,G82)))</f>
        <v>3.8b) Cholesterol: city-level data availability</v>
      </c>
      <c r="O82" s="181">
        <f t="shared" ca="1" si="20"/>
        <v>1</v>
      </c>
      <c r="P82" s="182">
        <f t="shared" ca="1" si="21"/>
        <v>0.5</v>
      </c>
      <c r="Q82" s="183" t="str">
        <f t="shared" ca="1" si="22"/>
        <v>||||||||||||||||||||</v>
      </c>
      <c r="R82" s="194">
        <v>1</v>
      </c>
      <c r="S82" s="182" cm="1">
        <f t="array" aca="1" ref="S82" ca="1">IF(G82=0,"",IF(K82=1,"",INDEX(OFFSET(iWeights!$I$18,0,0,$E$13,1),$H82)))</f>
        <v>0.5</v>
      </c>
      <c r="T82" s="183" t="str">
        <f t="shared" ca="1" si="23"/>
        <v>||||||||||||||||||||</v>
      </c>
      <c r="U82" s="37"/>
      <c r="V82" s="37"/>
      <c r="W82" s="37"/>
      <c r="X82" s="37"/>
      <c r="Y82" s="37"/>
    </row>
    <row r="83" spans="1:25" ht="17.5" customHeight="1" x14ac:dyDescent="0.35">
      <c r="A83" s="178" t="str">
        <f t="shared" ca="1" si="16"/>
        <v/>
      </c>
      <c r="B83" s="37"/>
      <c r="C83" s="37"/>
      <c r="D83" s="37"/>
      <c r="E83" s="37"/>
      <c r="F83" s="37">
        <v>47</v>
      </c>
      <c r="G83" s="39" cm="1">
        <f t="array" aca="1" ref="G83" ca="1">IFERROR(INDEX(OFFSET(auto_ss_All_Scoring,0,1,500,1),F83),0)</f>
        <v>47</v>
      </c>
      <c r="H83" s="39">
        <f ca="1">IF(G83=0,0,MATCH(G83,OFFSET(iWeights!$B$18,0,0,$E$13,1),0))</f>
        <v>47</v>
      </c>
      <c r="I83" s="39" cm="1">
        <f t="array" aca="1" ref="I83" ca="1">IF(G83=0,0,INDEX(OFFSET(iWeights!$F$18,0,0,$E$13,1),H83))</f>
        <v>4</v>
      </c>
      <c r="J83" s="39" cm="1">
        <f t="array" aca="1" ref="J83" ca="1">IF(G83=0,0,INDEX(OFFSET(iWeights!$G$18,0,0,$E$13,1),H83))</f>
        <v>0.12903225806451613</v>
      </c>
      <c r="K83" s="39" cm="1">
        <f t="array" aca="1" ref="K83" ca="1">IF(G83=0,"",INDEX(auto_Series_Depth,G83))</f>
        <v>1</v>
      </c>
      <c r="L83" s="179">
        <f t="shared" ca="1" si="18"/>
        <v>0</v>
      </c>
      <c r="M83" s="180">
        <f t="shared" ca="1" si="19"/>
        <v>0</v>
      </c>
      <c r="N83" s="181" t="str" cm="1">
        <f t="array" aca="1" ref="N83" ca="1">IF(G83=0,"",CONCATENATE(IF($K83&gt;=4,"    ",""),INDEX(auto_Series_NameNumbered,G83)))</f>
        <v>4) HEALTH SERVICES</v>
      </c>
      <c r="O83" s="181" t="str">
        <f t="shared" ca="1" si="20"/>
        <v/>
      </c>
      <c r="P83" s="182" t="str">
        <f t="shared" ca="1" si="21"/>
        <v/>
      </c>
      <c r="Q83" s="183" t="str">
        <f t="shared" ca="1" si="22"/>
        <v/>
      </c>
      <c r="R83" s="194"/>
      <c r="S83" s="182" t="str" cm="1">
        <f t="array" aca="1" ref="S83" ca="1">IF(G83=0,"",IF(K83=1,"",INDEX(OFFSET(iWeights!$I$18,0,0,$E$13,1),$H83)))</f>
        <v/>
      </c>
      <c r="T83" s="183" t="str">
        <f t="shared" ca="1" si="23"/>
        <v/>
      </c>
      <c r="U83" s="37"/>
      <c r="V83" s="37"/>
      <c r="W83" s="37"/>
      <c r="X83" s="37"/>
      <c r="Y83" s="37"/>
    </row>
    <row r="84" spans="1:25" ht="17.5" customHeight="1" x14ac:dyDescent="0.35">
      <c r="A84" s="178" t="str">
        <f t="shared" ca="1" si="16"/>
        <v/>
      </c>
      <c r="B84" s="37"/>
      <c r="C84" s="37"/>
      <c r="D84" s="37"/>
      <c r="E84" s="37"/>
      <c r="F84" s="37">
        <v>48</v>
      </c>
      <c r="G84" s="39" cm="1">
        <f t="array" aca="1" ref="G84" ca="1">IFERROR(INDEX(OFFSET(auto_ss_All_Scoring,0,1,500,1),F84),0)</f>
        <v>48</v>
      </c>
      <c r="H84" s="39">
        <f ca="1">IF(G84=0,0,MATCH(G84,OFFSET(iWeights!$B$18,0,0,$E$13,1),0))</f>
        <v>48</v>
      </c>
      <c r="I84" s="39" cm="1">
        <f t="array" aca="1" ref="I84" ca="1">IF(G84=0,0,INDEX(OFFSET(iWeights!$F$18,0,0,$E$13,1),H84))</f>
        <v>1</v>
      </c>
      <c r="J84" s="39" cm="1">
        <f t="array" aca="1" ref="J84" ca="1">IF(G84=0,0,INDEX(OFFSET(iWeights!$G$18,0,0,$E$13,1),H84))</f>
        <v>0.25</v>
      </c>
      <c r="K84" s="39" cm="1">
        <f t="array" aca="1" ref="K84" ca="1">IF(G84=0,"",INDEX(auto_Series_Depth,G84))</f>
        <v>2</v>
      </c>
      <c r="L84" s="179">
        <f t="shared" ca="1" si="18"/>
        <v>0</v>
      </c>
      <c r="M84" s="180">
        <f t="shared" ca="1" si="19"/>
        <v>1</v>
      </c>
      <c r="N84" s="181" t="str" cm="1">
        <f t="array" aca="1" ref="N84" ca="1">IF(G84=0,"",CONCATENATE(IF($K84&gt;=4,"    ",""),INDEX(auto_Series_NameNumbered,G84)))</f>
        <v>4.1) Access to medicines</v>
      </c>
      <c r="O84" s="181">
        <f t="shared" ca="1" si="20"/>
        <v>1</v>
      </c>
      <c r="P84" s="182">
        <f t="shared" ca="1" si="21"/>
        <v>0.25</v>
      </c>
      <c r="Q84" s="183" t="str">
        <f t="shared" ca="1" si="22"/>
        <v>||||||||||</v>
      </c>
      <c r="R84" s="194">
        <v>1</v>
      </c>
      <c r="S84" s="182" cm="1">
        <f t="array" aca="1" ref="S84" ca="1">IF(G84=0,"",IF(K84=1,"",INDEX(OFFSET(iWeights!$I$18,0,0,$E$13,1),$H84)))</f>
        <v>0.25</v>
      </c>
      <c r="T84" s="183" t="str">
        <f t="shared" ca="1" si="23"/>
        <v>||||||||||</v>
      </c>
      <c r="U84" s="37"/>
      <c r="V84" s="37"/>
      <c r="W84" s="37"/>
      <c r="X84" s="37"/>
      <c r="Y84" s="37"/>
    </row>
    <row r="85" spans="1:25" ht="17.5" customHeight="1" x14ac:dyDescent="0.35">
      <c r="A85" s="178" t="str">
        <f t="shared" ca="1" si="16"/>
        <v/>
      </c>
      <c r="B85" s="37"/>
      <c r="C85" s="37"/>
      <c r="D85" s="37"/>
      <c r="E85" s="37"/>
      <c r="F85" s="37">
        <v>49</v>
      </c>
      <c r="G85" s="39" cm="1">
        <f t="array" aca="1" ref="G85" ca="1">IFERROR(INDEX(OFFSET(auto_ss_All_Scoring,0,1,500,1),F85),0)</f>
        <v>49</v>
      </c>
      <c r="H85" s="39">
        <f ca="1">IF(G85=0,0,MATCH(G85,OFFSET(iWeights!$B$18,0,0,$E$13,1),0))</f>
        <v>49</v>
      </c>
      <c r="I85" s="39" cm="1">
        <f t="array" aca="1" ref="I85" ca="1">IF(G85=0,0,INDEX(OFFSET(iWeights!$F$18,0,0,$E$13,1),H85))</f>
        <v>1</v>
      </c>
      <c r="J85" s="39" cm="1">
        <f t="array" aca="1" ref="J85" ca="1">IF(G85=0,0,INDEX(OFFSET(iWeights!$G$18,0,0,$E$13,1),H85))</f>
        <v>0.25</v>
      </c>
      <c r="K85" s="39" cm="1">
        <f t="array" aca="1" ref="K85" ca="1">IF(G85=0,"",INDEX(auto_Series_Depth,G85))</f>
        <v>2</v>
      </c>
      <c r="L85" s="179">
        <f t="shared" ca="1" si="18"/>
        <v>0</v>
      </c>
      <c r="M85" s="180">
        <f t="shared" ca="1" si="19"/>
        <v>1</v>
      </c>
      <c r="N85" s="181" t="str" cm="1">
        <f t="array" aca="1" ref="N85" ca="1">IF(G85=0,"",CONCATENATE(IF($K85&gt;=4,"    ",""),INDEX(auto_Series_NameNumbered,G85)))</f>
        <v>4.2) Hypertension diagnosis coverage</v>
      </c>
      <c r="O85" s="181">
        <f t="shared" ca="1" si="20"/>
        <v>1</v>
      </c>
      <c r="P85" s="182">
        <f t="shared" ca="1" si="21"/>
        <v>0.25</v>
      </c>
      <c r="Q85" s="183" t="str">
        <f t="shared" ca="1" si="22"/>
        <v>||||||||||</v>
      </c>
      <c r="R85" s="194">
        <v>1</v>
      </c>
      <c r="S85" s="182" cm="1">
        <f t="array" aca="1" ref="S85" ca="1">IF(G85=0,"",IF(K85=1,"",INDEX(OFFSET(iWeights!$I$18,0,0,$E$13,1),$H85)))</f>
        <v>0.25</v>
      </c>
      <c r="T85" s="183" t="str">
        <f t="shared" ca="1" si="23"/>
        <v>||||||||||</v>
      </c>
      <c r="U85" s="37"/>
      <c r="V85" s="37"/>
      <c r="W85" s="37"/>
      <c r="X85" s="37"/>
      <c r="Y85" s="37"/>
    </row>
    <row r="86" spans="1:25" ht="17.5" customHeight="1" x14ac:dyDescent="0.35">
      <c r="A86" s="178" t="str">
        <f t="shared" ca="1" si="16"/>
        <v/>
      </c>
      <c r="B86" s="37"/>
      <c r="C86" s="37"/>
      <c r="D86" s="37"/>
      <c r="E86" s="37"/>
      <c r="F86" s="37">
        <v>50</v>
      </c>
      <c r="G86" s="39" cm="1">
        <f t="array" aca="1" ref="G86" ca="1">IFERROR(INDEX(OFFSET(auto_ss_All_Scoring,0,1,500,1),F86),0)</f>
        <v>50</v>
      </c>
      <c r="H86" s="39">
        <f ca="1">IF(G86=0,0,MATCH(G86,OFFSET(iWeights!$B$18,0,0,$E$13,1),0))</f>
        <v>50</v>
      </c>
      <c r="I86" s="39" cm="1">
        <f t="array" aca="1" ref="I86" ca="1">IF(G86=0,0,INDEX(OFFSET(iWeights!$F$18,0,0,$E$13,1),H86))</f>
        <v>1</v>
      </c>
      <c r="J86" s="39" cm="1">
        <f t="array" aca="1" ref="J86" ca="1">IF(G86=0,0,INDEX(OFFSET(iWeights!$G$18,0,0,$E$13,1),H86))</f>
        <v>0.25</v>
      </c>
      <c r="K86" s="39" cm="1">
        <f t="array" aca="1" ref="K86" ca="1">IF(G86=0,"",INDEX(auto_Series_Depth,G86))</f>
        <v>2</v>
      </c>
      <c r="L86" s="179">
        <f t="shared" ca="1" si="18"/>
        <v>0</v>
      </c>
      <c r="M86" s="180">
        <f t="shared" ca="1" si="19"/>
        <v>1</v>
      </c>
      <c r="N86" s="181" t="str" cm="1">
        <f t="array" aca="1" ref="N86" ca="1">IF(G86=0,"",CONCATENATE(IF($K86&gt;=4,"    ",""),INDEX(auto_Series_NameNumbered,G86)))</f>
        <v>4.3) Undiagnosed diabetes</v>
      </c>
      <c r="O86" s="181">
        <f t="shared" ca="1" si="20"/>
        <v>1</v>
      </c>
      <c r="P86" s="182">
        <f t="shared" ca="1" si="21"/>
        <v>0.25</v>
      </c>
      <c r="Q86" s="183" t="str">
        <f t="shared" ca="1" si="22"/>
        <v>||||||||||</v>
      </c>
      <c r="R86" s="194">
        <v>1</v>
      </c>
      <c r="S86" s="182" cm="1">
        <f t="array" aca="1" ref="S86" ca="1">IF(G86=0,"",IF(K86=1,"",INDEX(OFFSET(iWeights!$I$18,0,0,$E$13,1),$H86)))</f>
        <v>0.25</v>
      </c>
      <c r="T86" s="183" t="str">
        <f t="shared" ca="1" si="23"/>
        <v>||||||||||</v>
      </c>
      <c r="U86" s="37"/>
      <c r="V86" s="37"/>
      <c r="W86" s="37"/>
      <c r="X86" s="37"/>
      <c r="Y86" s="37"/>
    </row>
    <row r="87" spans="1:25" ht="17.5" customHeight="1" x14ac:dyDescent="0.35">
      <c r="A87" s="178" t="str">
        <f t="shared" ca="1" si="16"/>
        <v/>
      </c>
      <c r="B87" s="37"/>
      <c r="C87" s="37"/>
      <c r="D87" s="37"/>
      <c r="E87" s="37"/>
      <c r="F87" s="37">
        <v>51</v>
      </c>
      <c r="G87" s="39" cm="1">
        <f t="array" aca="1" ref="G87" ca="1">IFERROR(INDEX(OFFSET(auto_ss_All_Scoring,0,1,500,1),F87),0)</f>
        <v>51</v>
      </c>
      <c r="H87" s="39">
        <f ca="1">IF(G87=0,0,MATCH(G87,OFFSET(iWeights!$B$18,0,0,$E$13,1),0))</f>
        <v>51</v>
      </c>
      <c r="I87" s="39" cm="1">
        <f t="array" aca="1" ref="I87" ca="1">IF(G87=0,0,INDEX(OFFSET(iWeights!$F$18,0,0,$E$13,1),H87))</f>
        <v>1</v>
      </c>
      <c r="J87" s="39" cm="1">
        <f t="array" aca="1" ref="J87" ca="1">IF(G87=0,0,INDEX(OFFSET(iWeights!$G$18,0,0,$E$13,1),H87))</f>
        <v>0.25</v>
      </c>
      <c r="K87" s="39" cm="1">
        <f t="array" aca="1" ref="K87" ca="1">IF(G87=0,"",INDEX(auto_Series_Depth,G87))</f>
        <v>2</v>
      </c>
      <c r="L87" s="179">
        <f t="shared" ca="1" si="18"/>
        <v>0</v>
      </c>
      <c r="M87" s="180">
        <f t="shared" ca="1" si="19"/>
        <v>1</v>
      </c>
      <c r="N87" s="181" t="str" cm="1">
        <f t="array" aca="1" ref="N87" ca="1">IF(G87=0,"",CONCATENATE(IF($K87&gt;=4,"    ",""),INDEX(auto_Series_NameNumbered,G87)))</f>
        <v>4.4) Patient-centred care</v>
      </c>
      <c r="O87" s="181">
        <f t="shared" ca="1" si="20"/>
        <v>1</v>
      </c>
      <c r="P87" s="182">
        <f t="shared" ca="1" si="21"/>
        <v>0.25</v>
      </c>
      <c r="Q87" s="183" t="str">
        <f t="shared" ca="1" si="22"/>
        <v>||||||||||</v>
      </c>
      <c r="R87" s="194">
        <v>1</v>
      </c>
      <c r="S87" s="182" cm="1">
        <f t="array" aca="1" ref="S87" ca="1">IF(G87=0,"",IF(K87=1,"",INDEX(OFFSET(iWeights!$I$18,0,0,$E$13,1),$H87)))</f>
        <v>0.25</v>
      </c>
      <c r="T87" s="183" t="str">
        <f t="shared" ca="1" si="23"/>
        <v>||||||||||</v>
      </c>
      <c r="U87" s="37"/>
      <c r="V87" s="37"/>
      <c r="W87" s="37"/>
      <c r="X87" s="37"/>
      <c r="Y87" s="37"/>
    </row>
    <row r="88" spans="1:25" ht="17.5" customHeight="1" x14ac:dyDescent="0.35">
      <c r="A88" s="178" t="str">
        <f t="shared" ca="1" si="16"/>
        <v/>
      </c>
      <c r="B88" s="37"/>
      <c r="C88" s="37"/>
      <c r="D88" s="37"/>
      <c r="E88" s="37"/>
      <c r="F88" s="37">
        <v>52</v>
      </c>
      <c r="G88" s="39" cm="1">
        <f t="array" aca="1" ref="G88" ca="1">IFERROR(INDEX(OFFSET(auto_ss_All_Scoring,0,1,500,1),F88),0)</f>
        <v>52</v>
      </c>
      <c r="H88" s="39">
        <f ca="1">IF(G88=0,0,MATCH(G88,OFFSET(iWeights!$B$18,0,0,$E$13,1),0))</f>
        <v>52</v>
      </c>
      <c r="I88" s="39" cm="1">
        <f t="array" aca="1" ref="I88" ca="1">IF(G88=0,0,INDEX(OFFSET(iWeights!$F$18,0,0,$E$13,1),H88))</f>
        <v>9</v>
      </c>
      <c r="J88" s="39" cm="1">
        <f t="array" aca="1" ref="J88" ca="1">IF(G88=0,0,INDEX(OFFSET(iWeights!$G$18,0,0,$E$13,1),H88))</f>
        <v>0.29032258064516131</v>
      </c>
      <c r="K88" s="39" cm="1">
        <f t="array" aca="1" ref="K88" ca="1">IF(G88=0,"",INDEX(auto_Series_Depth,G88))</f>
        <v>1</v>
      </c>
      <c r="L88" s="179">
        <f t="shared" ca="1" si="18"/>
        <v>0</v>
      </c>
      <c r="M88" s="180">
        <f t="shared" ca="1" si="19"/>
        <v>0</v>
      </c>
      <c r="N88" s="181" t="str" cm="1">
        <f t="array" aca="1" ref="N88" ca="1">IF(G88=0,"",CONCATENATE(IF($K88&gt;=4,"    ",""),INDEX(auto_Series_NameNumbered,G88)))</f>
        <v>5) GOVERNANCE</v>
      </c>
      <c r="O88" s="181" t="str">
        <f t="shared" ca="1" si="20"/>
        <v/>
      </c>
      <c r="P88" s="182" t="str">
        <f t="shared" ca="1" si="21"/>
        <v/>
      </c>
      <c r="Q88" s="183" t="str">
        <f t="shared" ca="1" si="22"/>
        <v/>
      </c>
      <c r="R88" s="194"/>
      <c r="S88" s="182" t="str" cm="1">
        <f t="array" aca="1" ref="S88" ca="1">IF(G88=0,"",IF(K88=1,"",INDEX(OFFSET(iWeights!$I$18,0,0,$E$13,1),$H88)))</f>
        <v/>
      </c>
      <c r="T88" s="183" t="str">
        <f t="shared" ca="1" si="23"/>
        <v/>
      </c>
      <c r="U88" s="37"/>
      <c r="V88" s="37"/>
      <c r="W88" s="37"/>
      <c r="X88" s="37"/>
      <c r="Y88" s="37"/>
    </row>
    <row r="89" spans="1:25" ht="17.5" customHeight="1" x14ac:dyDescent="0.35">
      <c r="A89" s="178" t="str">
        <f t="shared" ca="1" si="16"/>
        <v/>
      </c>
      <c r="B89" s="37"/>
      <c r="C89" s="37"/>
      <c r="D89" s="37"/>
      <c r="E89" s="37"/>
      <c r="F89" s="37">
        <v>53</v>
      </c>
      <c r="G89" s="39" cm="1">
        <f t="array" aca="1" ref="G89" ca="1">IFERROR(INDEX(OFFSET(auto_ss_All_Scoring,0,1,500,1),F89),0)</f>
        <v>53</v>
      </c>
      <c r="H89" s="39">
        <f ca="1">IF(G89=0,0,MATCH(G89,OFFSET(iWeights!$B$18,0,0,$E$13,1),0))</f>
        <v>53</v>
      </c>
      <c r="I89" s="39" cm="1">
        <f t="array" aca="1" ref="I89" ca="1">IF(G89=0,0,INDEX(OFFSET(iWeights!$F$18,0,0,$E$13,1),H89))</f>
        <v>1</v>
      </c>
      <c r="J89" s="39" cm="1">
        <f t="array" aca="1" ref="J89" ca="1">IF(G89=0,0,INDEX(OFFSET(iWeights!$G$18,0,0,$E$13,1),H89))</f>
        <v>0.1111111111111111</v>
      </c>
      <c r="K89" s="39" cm="1">
        <f t="array" aca="1" ref="K89" ca="1">IF(G89=0,"",INDEX(auto_Series_Depth,G89))</f>
        <v>2</v>
      </c>
      <c r="L89" s="179">
        <f t="shared" ca="1" si="18"/>
        <v>0</v>
      </c>
      <c r="M89" s="180">
        <f t="shared" ca="1" si="19"/>
        <v>1</v>
      </c>
      <c r="N89" s="181" t="str" cm="1">
        <f t="array" aca="1" ref="N89" ca="1">IF(G89=0,"",CONCATENATE(IF($K89&gt;=4,"    ",""),INDEX(auto_Series_NameNumbered,G89)))</f>
        <v>5.1) Regulatory power</v>
      </c>
      <c r="O89" s="181">
        <f t="shared" ca="1" si="20"/>
        <v>1</v>
      </c>
      <c r="P89" s="182">
        <f t="shared" ca="1" si="21"/>
        <v>0.1111111111111111</v>
      </c>
      <c r="Q89" s="183" t="str">
        <f t="shared" ca="1" si="22"/>
        <v>||||</v>
      </c>
      <c r="R89" s="194">
        <v>1</v>
      </c>
      <c r="S89" s="182" cm="1">
        <f t="array" aca="1" ref="S89" ca="1">IF(G89=0,"",IF(K89=1,"",INDEX(OFFSET(iWeights!$I$18,0,0,$E$13,1),$H89)))</f>
        <v>0.1111111111111111</v>
      </c>
      <c r="T89" s="183" t="str">
        <f t="shared" ca="1" si="23"/>
        <v>||||</v>
      </c>
      <c r="U89" s="37"/>
      <c r="V89" s="37"/>
      <c r="W89" s="37"/>
      <c r="X89" s="37"/>
      <c r="Y89" s="37"/>
    </row>
    <row r="90" spans="1:25" ht="17.5" customHeight="1" x14ac:dyDescent="0.35">
      <c r="A90" s="178" t="str">
        <f t="shared" ca="1" si="16"/>
        <v/>
      </c>
      <c r="B90" s="37"/>
      <c r="C90" s="37"/>
      <c r="D90" s="37"/>
      <c r="E90" s="37"/>
      <c r="F90" s="37">
        <v>54</v>
      </c>
      <c r="G90" s="39" cm="1">
        <f t="array" aca="1" ref="G90" ca="1">IFERROR(INDEX(OFFSET(auto_ss_All_Scoring,0,1,500,1),F90),0)</f>
        <v>54</v>
      </c>
      <c r="H90" s="39">
        <f ca="1">IF(G90=0,0,MATCH(G90,OFFSET(iWeights!$B$18,0,0,$E$13,1),0))</f>
        <v>54</v>
      </c>
      <c r="I90" s="39" cm="1">
        <f t="array" aca="1" ref="I90" ca="1">IF(G90=0,0,INDEX(OFFSET(iWeights!$F$18,0,0,$E$13,1),H90))</f>
        <v>1</v>
      </c>
      <c r="J90" s="39" cm="1">
        <f t="array" aca="1" ref="J90" ca="1">IF(G90=0,0,INDEX(OFFSET(iWeights!$G$18,0,0,$E$13,1),H90))</f>
        <v>0.1111111111111111</v>
      </c>
      <c r="K90" s="39" cm="1">
        <f t="array" aca="1" ref="K90" ca="1">IF(G90=0,"",INDEX(auto_Series_Depth,G90))</f>
        <v>2</v>
      </c>
      <c r="L90" s="179">
        <f t="shared" ca="1" si="18"/>
        <v>0</v>
      </c>
      <c r="M90" s="180">
        <f t="shared" ca="1" si="19"/>
        <v>1</v>
      </c>
      <c r="N90" s="181" t="str" cm="1">
        <f t="array" aca="1" ref="N90" ca="1">IF(G90=0,"",CONCATENATE(IF($K90&gt;=4,"    ",""),INDEX(auto_Series_NameNumbered,G90)))</f>
        <v>5.2) Political will</v>
      </c>
      <c r="O90" s="181">
        <f t="shared" ca="1" si="20"/>
        <v>1</v>
      </c>
      <c r="P90" s="182">
        <f t="shared" ca="1" si="21"/>
        <v>0.1111111111111111</v>
      </c>
      <c r="Q90" s="183" t="str">
        <f t="shared" ca="1" si="22"/>
        <v>||||</v>
      </c>
      <c r="R90" s="194">
        <v>1</v>
      </c>
      <c r="S90" s="182" cm="1">
        <f t="array" aca="1" ref="S90" ca="1">IF(G90=0,"",IF(K90=1,"",INDEX(OFFSET(iWeights!$I$18,0,0,$E$13,1),$H90)))</f>
        <v>0.1111111111111111</v>
      </c>
      <c r="T90" s="183" t="str">
        <f t="shared" ca="1" si="23"/>
        <v>||||</v>
      </c>
      <c r="U90" s="37"/>
      <c r="V90" s="37"/>
      <c r="W90" s="37"/>
      <c r="X90" s="37"/>
      <c r="Y90" s="37"/>
    </row>
    <row r="91" spans="1:25" ht="17.5" customHeight="1" x14ac:dyDescent="0.35">
      <c r="A91" s="178" t="str">
        <f t="shared" ca="1" si="16"/>
        <v/>
      </c>
      <c r="B91" s="37"/>
      <c r="C91" s="37"/>
      <c r="D91" s="37"/>
      <c r="E91" s="37"/>
      <c r="F91" s="37">
        <v>55</v>
      </c>
      <c r="G91" s="39" cm="1">
        <f t="array" aca="1" ref="G91" ca="1">IFERROR(INDEX(OFFSET(auto_ss_All_Scoring,0,1,500,1),F91),0)</f>
        <v>55</v>
      </c>
      <c r="H91" s="39">
        <f ca="1">IF(G91=0,0,MATCH(G91,OFFSET(iWeights!$B$18,0,0,$E$13,1),0))</f>
        <v>55</v>
      </c>
      <c r="I91" s="39" cm="1">
        <f t="array" aca="1" ref="I91" ca="1">IF(G91=0,0,INDEX(OFFSET(iWeights!$F$18,0,0,$E$13,1),H91))</f>
        <v>1</v>
      </c>
      <c r="J91" s="39" cm="1">
        <f t="array" aca="1" ref="J91" ca="1">IF(G91=0,0,INDEX(OFFSET(iWeights!$G$18,0,0,$E$13,1),H91))</f>
        <v>0.1111111111111111</v>
      </c>
      <c r="K91" s="39" cm="1">
        <f t="array" aca="1" ref="K91" ca="1">IF(G91=0,"",INDEX(auto_Series_Depth,G91))</f>
        <v>2</v>
      </c>
      <c r="L91" s="179">
        <f t="shared" ca="1" si="18"/>
        <v>0</v>
      </c>
      <c r="M91" s="180">
        <f t="shared" ca="1" si="19"/>
        <v>1</v>
      </c>
      <c r="N91" s="181" t="str" cm="1">
        <f t="array" aca="1" ref="N91" ca="1">IF(G91=0,"",CONCATENATE(IF($K91&gt;=4,"    ",""),INDEX(auto_Series_NameNumbered,G91)))</f>
        <v>5.3) Urban health plan</v>
      </c>
      <c r="O91" s="181">
        <f t="shared" ca="1" si="20"/>
        <v>1</v>
      </c>
      <c r="P91" s="182">
        <f t="shared" ca="1" si="21"/>
        <v>0.1111111111111111</v>
      </c>
      <c r="Q91" s="183" t="str">
        <f t="shared" ca="1" si="22"/>
        <v>||||</v>
      </c>
      <c r="R91" s="194">
        <v>1</v>
      </c>
      <c r="S91" s="182" cm="1">
        <f t="array" aca="1" ref="S91" ca="1">IF(G91=0,"",IF(K91=1,"",INDEX(OFFSET(iWeights!$I$18,0,0,$E$13,1),$H91)))</f>
        <v>0.1111111111111111</v>
      </c>
      <c r="T91" s="183" t="str">
        <f t="shared" ca="1" si="23"/>
        <v>||||</v>
      </c>
      <c r="U91" s="37"/>
      <c r="V91" s="37"/>
      <c r="W91" s="37"/>
      <c r="X91" s="37"/>
      <c r="Y91" s="37"/>
    </row>
    <row r="92" spans="1:25" ht="17.5" customHeight="1" x14ac:dyDescent="0.35">
      <c r="A92" s="178" t="str">
        <f t="shared" ca="1" si="16"/>
        <v>H</v>
      </c>
      <c r="B92" s="37"/>
      <c r="C92" s="37"/>
      <c r="D92" s="37"/>
      <c r="E92" s="37"/>
      <c r="F92" s="37">
        <v>56</v>
      </c>
      <c r="G92" s="39" cm="1">
        <f t="array" aca="1" ref="G92" ca="1">IFERROR(INDEX(OFFSET(auto_ss_All_Scoring,0,1,500,1),F92),0)</f>
        <v>56</v>
      </c>
      <c r="H92" s="39">
        <f ca="1">IF(G92=0,0,MATCH(G92,OFFSET(iWeights!$B$18,0,0,$E$13,1),0))</f>
        <v>56</v>
      </c>
      <c r="I92" s="39" cm="1">
        <f t="array" aca="1" ref="I92" ca="1">IF(G92=0,0,INDEX(OFFSET(iWeights!$F$18,0,0,$E$13,1),H92))</f>
        <v>1</v>
      </c>
      <c r="J92" s="39" cm="1">
        <f t="array" aca="1" ref="J92" ca="1">IF(G92=0,0,INDEX(OFFSET(iWeights!$G$18,0,0,$E$13,1),H92))</f>
        <v>0.5</v>
      </c>
      <c r="K92" s="39" cm="1">
        <f t="array" aca="1" ref="K92" ca="1">IF(G92=0,"",INDEX(auto_Series_Depth,G92))</f>
        <v>3</v>
      </c>
      <c r="L92" s="179">
        <f t="shared" ca="1" si="18"/>
        <v>0</v>
      </c>
      <c r="M92" s="180">
        <f t="shared" ca="1" si="19"/>
        <v>1</v>
      </c>
      <c r="N92" s="181" t="str" cm="1">
        <f t="array" aca="1" ref="N92" ca="1">IF(G92=0,"",CONCATENATE(IF($K92&gt;=4,"    ",""),INDEX(auto_Series_NameNumbered,G92)))</f>
        <v>5.3a) Urban health plan: components</v>
      </c>
      <c r="O92" s="181">
        <f t="shared" ca="1" si="20"/>
        <v>1</v>
      </c>
      <c r="P92" s="182">
        <f t="shared" ca="1" si="21"/>
        <v>0.5</v>
      </c>
      <c r="Q92" s="183" t="str">
        <f t="shared" ca="1" si="22"/>
        <v>||||||||||||||||||||</v>
      </c>
      <c r="R92" s="194">
        <v>1</v>
      </c>
      <c r="S92" s="182" cm="1">
        <f t="array" aca="1" ref="S92" ca="1">IF(G92=0,"",IF(K92=1,"",INDEX(OFFSET(iWeights!$I$18,0,0,$E$13,1),$H92)))</f>
        <v>0.5</v>
      </c>
      <c r="T92" s="183" t="str">
        <f t="shared" ca="1" si="23"/>
        <v>||||||||||||||||||||</v>
      </c>
      <c r="U92" s="37"/>
      <c r="V92" s="37"/>
      <c r="W92" s="37"/>
      <c r="X92" s="37"/>
      <c r="Y92" s="37"/>
    </row>
    <row r="93" spans="1:25" ht="17.5" customHeight="1" x14ac:dyDescent="0.35">
      <c r="A93" s="178" t="str">
        <f t="shared" ca="1" si="16"/>
        <v>H</v>
      </c>
      <c r="B93" s="37"/>
      <c r="C93" s="37"/>
      <c r="D93" s="37"/>
      <c r="E93" s="37"/>
      <c r="F93" s="37">
        <v>57</v>
      </c>
      <c r="G93" s="39" cm="1">
        <f t="array" aca="1" ref="G93" ca="1">IFERROR(INDEX(OFFSET(auto_ss_All_Scoring,0,1,500,1),F93),0)</f>
        <v>57</v>
      </c>
      <c r="H93" s="39">
        <f ca="1">IF(G93=0,0,MATCH(G93,OFFSET(iWeights!$B$18,0,0,$E$13,1),0))</f>
        <v>57</v>
      </c>
      <c r="I93" s="39" cm="1">
        <f t="array" aca="1" ref="I93" ca="1">IF(G93=0,0,INDEX(OFFSET(iWeights!$F$18,0,0,$E$13,1),H93))</f>
        <v>1</v>
      </c>
      <c r="J93" s="39" cm="1">
        <f t="array" aca="1" ref="J93" ca="1">IF(G93=0,0,INDEX(OFFSET(iWeights!$G$18,0,0,$E$13,1),H93))</f>
        <v>0.5</v>
      </c>
      <c r="K93" s="39" cm="1">
        <f t="array" aca="1" ref="K93" ca="1">IF(G93=0,"",INDEX(auto_Series_Depth,G93))</f>
        <v>3</v>
      </c>
      <c r="L93" s="179">
        <f t="shared" ca="1" si="18"/>
        <v>0</v>
      </c>
      <c r="M93" s="180">
        <f t="shared" ca="1" si="19"/>
        <v>1</v>
      </c>
      <c r="N93" s="181" t="str" cm="1">
        <f t="array" aca="1" ref="N93" ca="1">IF(G93=0,"",CONCATENATE(IF($K93&gt;=4,"    ",""),INDEX(auto_Series_NameNumbered,G93)))</f>
        <v>5.3b) Urban health plan: stakeholder engagement</v>
      </c>
      <c r="O93" s="181">
        <f t="shared" ca="1" si="20"/>
        <v>1</v>
      </c>
      <c r="P93" s="182">
        <f t="shared" ca="1" si="21"/>
        <v>0.5</v>
      </c>
      <c r="Q93" s="183" t="str">
        <f t="shared" ca="1" si="22"/>
        <v>||||||||||||||||||||</v>
      </c>
      <c r="R93" s="194">
        <v>1</v>
      </c>
      <c r="S93" s="182" cm="1">
        <f t="array" aca="1" ref="S93" ca="1">IF(G93=0,"",IF(K93=1,"",INDEX(OFFSET(iWeights!$I$18,0,0,$E$13,1),$H93)))</f>
        <v>0.5</v>
      </c>
      <c r="T93" s="183" t="str">
        <f t="shared" ca="1" si="23"/>
        <v>||||||||||||||||||||</v>
      </c>
      <c r="U93" s="37"/>
      <c r="V93" s="37"/>
      <c r="W93" s="37"/>
      <c r="X93" s="37"/>
      <c r="Y93" s="37"/>
    </row>
    <row r="94" spans="1:25" ht="17.5" customHeight="1" x14ac:dyDescent="0.35">
      <c r="A94" s="178" t="str">
        <f t="shared" ca="1" si="16"/>
        <v/>
      </c>
      <c r="B94" s="37"/>
      <c r="C94" s="37"/>
      <c r="D94" s="37"/>
      <c r="E94" s="37"/>
      <c r="F94" s="37">
        <v>58</v>
      </c>
      <c r="G94" s="39" cm="1">
        <f t="array" aca="1" ref="G94" ca="1">IFERROR(INDEX(OFFSET(auto_ss_All_Scoring,0,1,500,1),F94),0)</f>
        <v>58</v>
      </c>
      <c r="H94" s="39">
        <f ca="1">IF(G94=0,0,MATCH(G94,OFFSET(iWeights!$B$18,0,0,$E$13,1),0))</f>
        <v>58</v>
      </c>
      <c r="I94" s="39" cm="1">
        <f t="array" aca="1" ref="I94" ca="1">IF(G94=0,0,INDEX(OFFSET(iWeights!$F$18,0,0,$E$13,1),H94))</f>
        <v>1</v>
      </c>
      <c r="J94" s="39" cm="1">
        <f t="array" aca="1" ref="J94" ca="1">IF(G94=0,0,INDEX(OFFSET(iWeights!$G$18,0,0,$E$13,1),H94))</f>
        <v>0.1111111111111111</v>
      </c>
      <c r="K94" s="39" cm="1">
        <f t="array" aca="1" ref="K94" ca="1">IF(G94=0,"",INDEX(auto_Series_Depth,G94))</f>
        <v>2</v>
      </c>
      <c r="L94" s="179">
        <f t="shared" ca="1" si="18"/>
        <v>0</v>
      </c>
      <c r="M94" s="180">
        <f t="shared" ca="1" si="19"/>
        <v>1</v>
      </c>
      <c r="N94" s="181" t="str" cm="1">
        <f t="array" aca="1" ref="N94" ca="1">IF(G94=0,"",CONCATENATE(IF($K94&gt;=4,"    ",""),INDEX(auto_Series_NameNumbered,G94)))</f>
        <v>5.4) Healthy diet policies</v>
      </c>
      <c r="O94" s="181">
        <f t="shared" ca="1" si="20"/>
        <v>1</v>
      </c>
      <c r="P94" s="182">
        <f t="shared" ca="1" si="21"/>
        <v>0.1111111111111111</v>
      </c>
      <c r="Q94" s="183" t="str">
        <f t="shared" ca="1" si="22"/>
        <v>||||</v>
      </c>
      <c r="R94" s="194">
        <v>1</v>
      </c>
      <c r="S94" s="182" cm="1">
        <f t="array" aca="1" ref="S94" ca="1">IF(G94=0,"",IF(K94=1,"",INDEX(OFFSET(iWeights!$I$18,0,0,$E$13,1),$H94)))</f>
        <v>0.1111111111111111</v>
      </c>
      <c r="T94" s="183" t="str">
        <f t="shared" ca="1" si="23"/>
        <v>||||</v>
      </c>
      <c r="U94" s="37"/>
      <c r="V94" s="37"/>
      <c r="W94" s="37"/>
      <c r="X94" s="37"/>
      <c r="Y94" s="37"/>
    </row>
    <row r="95" spans="1:25" ht="17.5" customHeight="1" x14ac:dyDescent="0.35">
      <c r="A95" s="178" t="str">
        <f t="shared" ca="1" si="16"/>
        <v/>
      </c>
      <c r="B95" s="37"/>
      <c r="C95" s="37"/>
      <c r="D95" s="37"/>
      <c r="E95" s="37"/>
      <c r="F95" s="37">
        <v>59</v>
      </c>
      <c r="G95" s="39" cm="1">
        <f t="array" aca="1" ref="G95" ca="1">IFERROR(INDEX(OFFSET(auto_ss_All_Scoring,0,1,500,1),F95),0)</f>
        <v>59</v>
      </c>
      <c r="H95" s="39">
        <f ca="1">IF(G95=0,0,MATCH(G95,OFFSET(iWeights!$B$18,0,0,$E$13,1),0))</f>
        <v>59</v>
      </c>
      <c r="I95" s="39" cm="1">
        <f t="array" aca="1" ref="I95" ca="1">IF(G95=0,0,INDEX(OFFSET(iWeights!$F$18,0,0,$E$13,1),H95))</f>
        <v>1</v>
      </c>
      <c r="J95" s="39" cm="1">
        <f t="array" aca="1" ref="J95" ca="1">IF(G95=0,0,INDEX(OFFSET(iWeights!$G$18,0,0,$E$13,1),H95))</f>
        <v>0.1111111111111111</v>
      </c>
      <c r="K95" s="39" cm="1">
        <f t="array" aca="1" ref="K95" ca="1">IF(G95=0,"",INDEX(auto_Series_Depth,G95))</f>
        <v>2</v>
      </c>
      <c r="L95" s="179">
        <f t="shared" ca="1" si="18"/>
        <v>0</v>
      </c>
      <c r="M95" s="180">
        <f t="shared" ca="1" si="19"/>
        <v>1</v>
      </c>
      <c r="N95" s="181" t="str" cm="1">
        <f t="array" aca="1" ref="N95" ca="1">IF(G95=0,"",CONCATENATE(IF($K95&gt;=4,"    ",""),INDEX(auto_Series_NameNumbered,G95)))</f>
        <v>5.5) CVD management guidelines</v>
      </c>
      <c r="O95" s="181">
        <f t="shared" ca="1" si="20"/>
        <v>1</v>
      </c>
      <c r="P95" s="182">
        <f t="shared" ca="1" si="21"/>
        <v>0.1111111111111111</v>
      </c>
      <c r="Q95" s="183" t="str">
        <f t="shared" ca="1" si="22"/>
        <v>||||</v>
      </c>
      <c r="R95" s="194">
        <v>1</v>
      </c>
      <c r="S95" s="182" cm="1">
        <f t="array" aca="1" ref="S95" ca="1">IF(G95=0,"",IF(K95=1,"",INDEX(OFFSET(iWeights!$I$18,0,0,$E$13,1),$H95)))</f>
        <v>0.1111111111111111</v>
      </c>
      <c r="T95" s="183" t="str">
        <f t="shared" ca="1" si="23"/>
        <v>||||</v>
      </c>
      <c r="U95" s="37"/>
      <c r="V95" s="37"/>
      <c r="W95" s="37"/>
      <c r="X95" s="37"/>
      <c r="Y95" s="37"/>
    </row>
    <row r="96" spans="1:25" ht="17.5" customHeight="1" x14ac:dyDescent="0.35">
      <c r="A96" s="178" t="str">
        <f t="shared" ca="1" si="16"/>
        <v/>
      </c>
      <c r="B96" s="37"/>
      <c r="C96" s="37"/>
      <c r="D96" s="37"/>
      <c r="E96" s="37"/>
      <c r="F96" s="37">
        <v>60</v>
      </c>
      <c r="G96" s="39" cm="1">
        <f t="array" aca="1" ref="G96" ca="1">IFERROR(INDEX(OFFSET(auto_ss_All_Scoring,0,1,500,1),F96),0)</f>
        <v>60</v>
      </c>
      <c r="H96" s="39">
        <f ca="1">IF(G96=0,0,MATCH(G96,OFFSET(iWeights!$B$18,0,0,$E$13,1),0))</f>
        <v>60</v>
      </c>
      <c r="I96" s="39" cm="1">
        <f t="array" aca="1" ref="I96" ca="1">IF(G96=0,0,INDEX(OFFSET(iWeights!$F$18,0,0,$E$13,1),H96))</f>
        <v>1</v>
      </c>
      <c r="J96" s="39" cm="1">
        <f t="array" aca="1" ref="J96" ca="1">IF(G96=0,0,INDEX(OFFSET(iWeights!$G$18,0,0,$E$13,1),H96))</f>
        <v>0.1111111111111111</v>
      </c>
      <c r="K96" s="39" cm="1">
        <f t="array" aca="1" ref="K96" ca="1">IF(G96=0,"",INDEX(auto_Series_Depth,G96))</f>
        <v>2</v>
      </c>
      <c r="L96" s="179">
        <f t="shared" ca="1" si="18"/>
        <v>0</v>
      </c>
      <c r="M96" s="180">
        <f t="shared" ca="1" si="19"/>
        <v>1</v>
      </c>
      <c r="N96" s="181" t="str" cm="1">
        <f t="array" aca="1" ref="N96" ca="1">IF(G96=0,"",CONCATENATE(IF($K96&gt;=4,"    ",""),INDEX(auto_Series_NameNumbered,G96)))</f>
        <v>5.6) Treatment guidelines</v>
      </c>
      <c r="O96" s="181">
        <f t="shared" ca="1" si="20"/>
        <v>1</v>
      </c>
      <c r="P96" s="182">
        <f t="shared" ca="1" si="21"/>
        <v>0.1111111111111111</v>
      </c>
      <c r="Q96" s="183" t="str">
        <f t="shared" ca="1" si="22"/>
        <v>||||</v>
      </c>
      <c r="R96" s="194">
        <v>1</v>
      </c>
      <c r="S96" s="182" cm="1">
        <f t="array" aca="1" ref="S96" ca="1">IF(G96=0,"",IF(K96=1,"",INDEX(OFFSET(iWeights!$I$18,0,0,$E$13,1),$H96)))</f>
        <v>0.1111111111111111</v>
      </c>
      <c r="T96" s="183" t="str">
        <f t="shared" ca="1" si="23"/>
        <v>||||</v>
      </c>
      <c r="U96" s="37"/>
      <c r="V96" s="37"/>
      <c r="W96" s="37"/>
      <c r="X96" s="37"/>
      <c r="Y96" s="37"/>
    </row>
    <row r="97" spans="1:25" ht="17.5" customHeight="1" x14ac:dyDescent="0.35">
      <c r="A97" s="178" t="str">
        <f t="shared" ca="1" si="16"/>
        <v/>
      </c>
      <c r="B97" s="37"/>
      <c r="C97" s="37"/>
      <c r="D97" s="37"/>
      <c r="E97" s="37"/>
      <c r="F97" s="37">
        <v>61</v>
      </c>
      <c r="G97" s="39" cm="1">
        <f t="array" aca="1" ref="G97" ca="1">IFERROR(INDEX(OFFSET(auto_ss_All_Scoring,0,1,500,1),F97),0)</f>
        <v>61</v>
      </c>
      <c r="H97" s="39">
        <f ca="1">IF(G97=0,0,MATCH(G97,OFFSET(iWeights!$B$18,0,0,$E$13,1),0))</f>
        <v>61</v>
      </c>
      <c r="I97" s="39" cm="1">
        <f t="array" aca="1" ref="I97" ca="1">IF(G97=0,0,INDEX(OFFSET(iWeights!$F$18,0,0,$E$13,1),H97))</f>
        <v>1</v>
      </c>
      <c r="J97" s="39" cm="1">
        <f t="array" aca="1" ref="J97" ca="1">IF(G97=0,0,INDEX(OFFSET(iWeights!$G$18,0,0,$E$13,1),H97))</f>
        <v>0.1111111111111111</v>
      </c>
      <c r="K97" s="39" cm="1">
        <f t="array" aca="1" ref="K97" ca="1">IF(G97=0,"",INDEX(auto_Series_Depth,G97))</f>
        <v>2</v>
      </c>
      <c r="L97" s="179">
        <f t="shared" ca="1" si="18"/>
        <v>0</v>
      </c>
      <c r="M97" s="180">
        <f t="shared" ca="1" si="19"/>
        <v>1</v>
      </c>
      <c r="N97" s="181" t="str" cm="1">
        <f t="array" aca="1" ref="N97" ca="1">IF(G97=0,"",CONCATENATE(IF($K97&gt;=4,"    ",""),INDEX(auto_Series_NameNumbered,G97)))</f>
        <v>5.7) Tobacco control</v>
      </c>
      <c r="O97" s="181">
        <f t="shared" ca="1" si="20"/>
        <v>1</v>
      </c>
      <c r="P97" s="182">
        <f t="shared" ca="1" si="21"/>
        <v>0.1111111111111111</v>
      </c>
      <c r="Q97" s="183" t="str">
        <f t="shared" ca="1" si="22"/>
        <v>||||</v>
      </c>
      <c r="R97" s="194">
        <v>1</v>
      </c>
      <c r="S97" s="182" cm="1">
        <f t="array" aca="1" ref="S97" ca="1">IF(G97=0,"",IF(K97=1,"",INDEX(OFFSET(iWeights!$I$18,0,0,$E$13,1),$H97)))</f>
        <v>0.1111111111111111</v>
      </c>
      <c r="T97" s="183" t="str">
        <f t="shared" ca="1" si="23"/>
        <v>||||</v>
      </c>
      <c r="U97" s="37"/>
      <c r="V97" s="37"/>
      <c r="W97" s="37"/>
      <c r="X97" s="37"/>
      <c r="Y97" s="37"/>
    </row>
    <row r="98" spans="1:25" ht="17.5" customHeight="1" x14ac:dyDescent="0.35">
      <c r="A98" s="178" t="str">
        <f t="shared" ca="1" si="16"/>
        <v/>
      </c>
      <c r="B98" s="37"/>
      <c r="C98" s="37"/>
      <c r="D98" s="37"/>
      <c r="E98" s="37"/>
      <c r="F98" s="37">
        <v>62</v>
      </c>
      <c r="G98" s="39" cm="1">
        <f t="array" aca="1" ref="G98" ca="1">IFERROR(INDEX(OFFSET(auto_ss_All_Scoring,0,1,500,1),F98),0)</f>
        <v>62</v>
      </c>
      <c r="H98" s="39">
        <f ca="1">IF(G98=0,0,MATCH(G98,OFFSET(iWeights!$B$18,0,0,$E$13,1),0))</f>
        <v>62</v>
      </c>
      <c r="I98" s="39" cm="1">
        <f t="array" aca="1" ref="I98" ca="1">IF(G98=0,0,INDEX(OFFSET(iWeights!$F$18,0,0,$E$13,1),H98))</f>
        <v>1</v>
      </c>
      <c r="J98" s="39" cm="1">
        <f t="array" aca="1" ref="J98" ca="1">IF(G98=0,0,INDEX(OFFSET(iWeights!$G$18,0,0,$E$13,1),H98))</f>
        <v>0.1111111111111111</v>
      </c>
      <c r="K98" s="39" cm="1">
        <f t="array" aca="1" ref="K98" ca="1">IF(G98=0,"",INDEX(auto_Series_Depth,G98))</f>
        <v>2</v>
      </c>
      <c r="L98" s="179">
        <f t="shared" ca="1" si="18"/>
        <v>0</v>
      </c>
      <c r="M98" s="180">
        <f t="shared" ca="1" si="19"/>
        <v>1</v>
      </c>
      <c r="N98" s="181" t="str" cm="1">
        <f t="array" aca="1" ref="N98" ca="1">IF(G98=0,"",CONCATENATE(IF($K98&gt;=4,"    ",""),INDEX(auto_Series_NameNumbered,G98)))</f>
        <v>5.8) Air pollution control</v>
      </c>
      <c r="O98" s="181">
        <f t="shared" ca="1" si="20"/>
        <v>1</v>
      </c>
      <c r="P98" s="182">
        <f t="shared" ca="1" si="21"/>
        <v>0.1111111111111111</v>
      </c>
      <c r="Q98" s="183" t="str">
        <f t="shared" ca="1" si="22"/>
        <v>||||</v>
      </c>
      <c r="R98" s="194">
        <v>1</v>
      </c>
      <c r="S98" s="182" cm="1">
        <f t="array" aca="1" ref="S98" ca="1">IF(G98=0,"",IF(K98=1,"",INDEX(OFFSET(iWeights!$I$18,0,0,$E$13,1),$H98)))</f>
        <v>0.1111111111111111</v>
      </c>
      <c r="T98" s="183" t="str">
        <f t="shared" ca="1" si="23"/>
        <v>||||</v>
      </c>
      <c r="U98" s="37"/>
      <c r="V98" s="37"/>
      <c r="W98" s="37"/>
      <c r="X98" s="37"/>
      <c r="Y98" s="37"/>
    </row>
    <row r="99" spans="1:25" ht="17.5" customHeight="1" x14ac:dyDescent="0.35">
      <c r="A99" s="178" t="str">
        <f t="shared" ca="1" si="16"/>
        <v/>
      </c>
      <c r="B99" s="37"/>
      <c r="C99" s="37"/>
      <c r="D99" s="37"/>
      <c r="E99" s="37"/>
      <c r="F99" s="37">
        <v>63</v>
      </c>
      <c r="G99" s="39" cm="1">
        <f t="array" aca="1" ref="G99" ca="1">IFERROR(INDEX(OFFSET(auto_ss_All_Scoring,0,1,500,1),F99),0)</f>
        <v>63</v>
      </c>
      <c r="H99" s="39">
        <f ca="1">IF(G99=0,0,MATCH(G99,OFFSET(iWeights!$B$18,0,0,$E$13,1),0))</f>
        <v>63</v>
      </c>
      <c r="I99" s="39" cm="1">
        <f t="array" aca="1" ref="I99" ca="1">IF(G99=0,0,INDEX(OFFSET(iWeights!$F$18,0,0,$E$13,1),H99))</f>
        <v>1</v>
      </c>
      <c r="J99" s="39" cm="1">
        <f t="array" aca="1" ref="J99" ca="1">IF(G99=0,0,INDEX(OFFSET(iWeights!$G$18,0,0,$E$13,1),H99))</f>
        <v>0.1111111111111111</v>
      </c>
      <c r="K99" s="39" cm="1">
        <f t="array" aca="1" ref="K99" ca="1">IF(G99=0,"",INDEX(auto_Series_Depth,G99))</f>
        <v>2</v>
      </c>
      <c r="L99" s="179">
        <f t="shared" ca="1" si="18"/>
        <v>0</v>
      </c>
      <c r="M99" s="180">
        <f t="shared" ca="1" si="19"/>
        <v>1</v>
      </c>
      <c r="N99" s="181" t="str" cm="1">
        <f t="array" aca="1" ref="N99" ca="1">IF(G99=0,"",CONCATENATE(IF($K99&gt;=4,"    ",""),INDEX(auto_Series_NameNumbered,G99)))</f>
        <v>5.9) Health promotion</v>
      </c>
      <c r="O99" s="181">
        <f t="shared" ca="1" si="20"/>
        <v>1</v>
      </c>
      <c r="P99" s="182">
        <f t="shared" ca="1" si="21"/>
        <v>0.1111111111111111</v>
      </c>
      <c r="Q99" s="183" t="str">
        <f t="shared" ca="1" si="22"/>
        <v>||||</v>
      </c>
      <c r="R99" s="194">
        <v>1</v>
      </c>
      <c r="S99" s="182" cm="1">
        <f t="array" aca="1" ref="S99" ca="1">IF(G99=0,"",IF(K99=1,"",INDEX(OFFSET(iWeights!$I$18,0,0,$E$13,1),$H99)))</f>
        <v>0.1111111111111111</v>
      </c>
      <c r="T99" s="183" t="str">
        <f t="shared" ca="1" si="23"/>
        <v>||||</v>
      </c>
      <c r="U99" s="37"/>
      <c r="V99" s="37"/>
      <c r="W99" s="37"/>
      <c r="X99" s="37"/>
      <c r="Y99" s="37"/>
    </row>
    <row r="100" spans="1:25" ht="17.5" customHeight="1" x14ac:dyDescent="0.35">
      <c r="A100" s="178" t="str">
        <f t="shared" ca="1" si="16"/>
        <v>H</v>
      </c>
      <c r="B100" s="37"/>
      <c r="C100" s="37"/>
      <c r="D100" s="37"/>
      <c r="E100" s="37"/>
      <c r="F100" s="37">
        <v>64</v>
      </c>
      <c r="G100" s="39" cm="1">
        <f t="array" aca="1" ref="G100" ca="1">IFERROR(INDEX(OFFSET(auto_ss_All_Scoring,0,1,500,1),F100),0)</f>
        <v>0</v>
      </c>
      <c r="H100" s="39">
        <f ca="1">IF(G100=0,0,MATCH(G100,OFFSET(iWeights!$B$18,0,0,$E$13,1),0))</f>
        <v>0</v>
      </c>
      <c r="I100" s="39" cm="1">
        <f t="array" aca="1" ref="I100" ca="1">IF(G100=0,0,INDEX(OFFSET(iWeights!$F$18,0,0,$E$13,1),H100))</f>
        <v>0</v>
      </c>
      <c r="J100" s="39" cm="1">
        <f t="array" aca="1" ref="J100" ca="1">IF(G100=0,0,INDEX(OFFSET(iWeights!$G$18,0,0,$E$13,1),H100))</f>
        <v>0</v>
      </c>
      <c r="K100" s="39" t="str" cm="1">
        <f t="array" aca="1" ref="K100" ca="1">IF(G100=0,"",INDEX(auto_Series_Depth,G100))</f>
        <v/>
      </c>
      <c r="L100" s="179">
        <f t="shared" ca="1" si="18"/>
        <v>1</v>
      </c>
      <c r="M100" s="180">
        <f t="shared" ca="1" si="19"/>
        <v>0</v>
      </c>
      <c r="N100" s="181" t="str" cm="1">
        <f t="array" aca="1" ref="N100" ca="1">IF(G100=0,"",CONCATENATE(IF($K100&gt;=4,"    ",""),INDEX(auto_Series_NameNumbered,G100)))</f>
        <v/>
      </c>
      <c r="O100" s="181" t="str">
        <f t="shared" ca="1" si="20"/>
        <v/>
      </c>
      <c r="P100" s="182" t="str">
        <f t="shared" ca="1" si="21"/>
        <v/>
      </c>
      <c r="Q100" s="183" t="str">
        <f t="shared" ca="1" si="22"/>
        <v/>
      </c>
      <c r="R100" s="194"/>
      <c r="S100" s="182" t="str" cm="1">
        <f t="array" aca="1" ref="S100" ca="1">IF(G100=0,"",IF(K100=1,"",INDEX(OFFSET(iWeights!$I$18,0,0,$E$13,1),$H100)))</f>
        <v/>
      </c>
      <c r="T100" s="183" t="str">
        <f t="shared" ca="1" si="23"/>
        <v/>
      </c>
      <c r="U100" s="37"/>
      <c r="V100" s="37"/>
      <c r="W100" s="37"/>
      <c r="X100" s="37"/>
      <c r="Y100" s="37"/>
    </row>
    <row r="101" spans="1:25" ht="17.5" customHeight="1" x14ac:dyDescent="0.35">
      <c r="A101" s="178" t="str">
        <f t="shared" ca="1" si="16"/>
        <v>H</v>
      </c>
      <c r="B101" s="37"/>
      <c r="C101" s="37"/>
      <c r="D101" s="37"/>
      <c r="E101" s="37"/>
      <c r="F101" s="37">
        <v>65</v>
      </c>
      <c r="G101" s="39" cm="1">
        <f t="array" aca="1" ref="G101" ca="1">IFERROR(INDEX(OFFSET(auto_ss_All_Scoring,0,1,500,1),F101),0)</f>
        <v>0</v>
      </c>
      <c r="H101" s="39">
        <f ca="1">IF(G101=0,0,MATCH(G101,OFFSET(iWeights!$B$18,0,0,$E$13,1),0))</f>
        <v>0</v>
      </c>
      <c r="I101" s="39" cm="1">
        <f t="array" aca="1" ref="I101" ca="1">IF(G101=0,0,INDEX(OFFSET(iWeights!$F$18,0,0,$E$13,1),H101))</f>
        <v>0</v>
      </c>
      <c r="J101" s="39" cm="1">
        <f t="array" aca="1" ref="J101" ca="1">IF(G101=0,0,INDEX(OFFSET(iWeights!$G$18,0,0,$E$13,1),H101))</f>
        <v>0</v>
      </c>
      <c r="K101" s="39" t="str" cm="1">
        <f t="array" aca="1" ref="K101" ca="1">IF(G101=0,"",INDEX(auto_Series_Depth,G101))</f>
        <v/>
      </c>
      <c r="L101" s="179">
        <f t="shared" ca="1" si="18"/>
        <v>1</v>
      </c>
      <c r="M101" s="180">
        <f t="shared" ca="1" si="19"/>
        <v>0</v>
      </c>
      <c r="N101" s="181" t="str" cm="1">
        <f t="array" aca="1" ref="N101" ca="1">IF(G101=0,"",CONCATENATE(IF($K101&gt;=4,"    ",""),INDEX(auto_Series_NameNumbered,G101)))</f>
        <v/>
      </c>
      <c r="O101" s="181" t="str">
        <f t="shared" ca="1" si="20"/>
        <v/>
      </c>
      <c r="P101" s="182" t="str">
        <f t="shared" ca="1" si="21"/>
        <v/>
      </c>
      <c r="Q101" s="183" t="str">
        <f t="shared" ca="1" si="22"/>
        <v/>
      </c>
      <c r="R101" s="194"/>
      <c r="S101" s="182" t="str" cm="1">
        <f t="array" aca="1" ref="S101" ca="1">IF(G101=0,"",IF(K101=1,"",INDEX(OFFSET(iWeights!$I$18,0,0,$E$13,1),$H101)))</f>
        <v/>
      </c>
      <c r="T101" s="183" t="str">
        <f t="shared" ca="1" si="23"/>
        <v/>
      </c>
      <c r="U101" s="37"/>
      <c r="V101" s="37"/>
      <c r="W101" s="37"/>
      <c r="X101" s="37"/>
      <c r="Y101" s="37"/>
    </row>
    <row r="102" spans="1:25" ht="17.5" customHeight="1" x14ac:dyDescent="0.35">
      <c r="A102" s="178" t="str">
        <f t="shared" ca="1" si="16"/>
        <v>H</v>
      </c>
      <c r="B102" s="37"/>
      <c r="C102" s="37"/>
      <c r="D102" s="37"/>
      <c r="E102" s="37"/>
      <c r="F102" s="37">
        <v>66</v>
      </c>
      <c r="G102" s="39" cm="1">
        <f t="array" aca="1" ref="G102" ca="1">IFERROR(INDEX(OFFSET(auto_ss_All_Scoring,0,1,500,1),F102),0)</f>
        <v>0</v>
      </c>
      <c r="H102" s="39">
        <f ca="1">IF(G102=0,0,MATCH(G102,OFFSET(iWeights!$B$18,0,0,$E$13,1),0))</f>
        <v>0</v>
      </c>
      <c r="I102" s="39" cm="1">
        <f t="array" aca="1" ref="I102" ca="1">IF(G102=0,0,INDEX(OFFSET(iWeights!$F$18,0,0,$E$13,1),H102))</f>
        <v>0</v>
      </c>
      <c r="J102" s="39" cm="1">
        <f t="array" aca="1" ref="J102" ca="1">IF(G102=0,0,INDEX(OFFSET(iWeights!$G$18,0,0,$E$13,1),H102))</f>
        <v>0</v>
      </c>
      <c r="K102" s="39" t="str" cm="1">
        <f t="array" aca="1" ref="K102" ca="1">IF(G102=0,"",INDEX(auto_Series_Depth,G102))</f>
        <v/>
      </c>
      <c r="L102" s="179">
        <f t="shared" ca="1" si="18"/>
        <v>1</v>
      </c>
      <c r="M102" s="180">
        <f t="shared" ca="1" si="19"/>
        <v>0</v>
      </c>
      <c r="N102" s="181" t="str" cm="1">
        <f t="array" aca="1" ref="N102" ca="1">IF(G102=0,"",CONCATENATE(IF($K102&gt;=4,"    ",""),INDEX(auto_Series_NameNumbered,G102)))</f>
        <v/>
      </c>
      <c r="O102" s="181" t="str">
        <f t="shared" ca="1" si="20"/>
        <v/>
      </c>
      <c r="P102" s="182" t="str">
        <f t="shared" ca="1" si="21"/>
        <v/>
      </c>
      <c r="Q102" s="183" t="str">
        <f t="shared" ca="1" si="22"/>
        <v/>
      </c>
      <c r="R102" s="194"/>
      <c r="S102" s="182" t="str" cm="1">
        <f t="array" aca="1" ref="S102" ca="1">IF(G102=0,"",IF(K102=1,"",INDEX(OFFSET(iWeights!$I$18,0,0,$E$13,1),$H102)))</f>
        <v/>
      </c>
      <c r="T102" s="183" t="str">
        <f t="shared" ca="1" si="23"/>
        <v/>
      </c>
      <c r="U102" s="37"/>
      <c r="V102" s="37"/>
      <c r="W102" s="37"/>
      <c r="X102" s="37"/>
      <c r="Y102" s="37"/>
    </row>
    <row r="103" spans="1:25" ht="17.5" customHeight="1" x14ac:dyDescent="0.35">
      <c r="A103" s="178" t="str">
        <f t="shared" ref="A103:A166" ca="1" si="24">IF(G103=0,"H",IF(K103&gt;$F$12,"H",""))</f>
        <v>H</v>
      </c>
      <c r="B103" s="37"/>
      <c r="C103" s="37"/>
      <c r="D103" s="37"/>
      <c r="E103" s="37"/>
      <c r="F103" s="37">
        <v>67</v>
      </c>
      <c r="G103" s="39" cm="1">
        <f t="array" aca="1" ref="G103" ca="1">IFERROR(INDEX(OFFSET(auto_ss_All_Scoring,0,1,500,1),F103),0)</f>
        <v>0</v>
      </c>
      <c r="H103" s="39">
        <f ca="1">IF(G103=0,0,MATCH(G103,OFFSET(iWeights!$B$18,0,0,$E$13,1),0))</f>
        <v>0</v>
      </c>
      <c r="I103" s="39" cm="1">
        <f t="array" aca="1" ref="I103" ca="1">IF(G103=0,0,INDEX(OFFSET(iWeights!$F$18,0,0,$E$13,1),H103))</f>
        <v>0</v>
      </c>
      <c r="J103" s="39" cm="1">
        <f t="array" aca="1" ref="J103" ca="1">IF(G103=0,0,INDEX(OFFSET(iWeights!$G$18,0,0,$E$13,1),H103))</f>
        <v>0</v>
      </c>
      <c r="K103" s="39" t="str" cm="1">
        <f t="array" aca="1" ref="K103" ca="1">IF(G103=0,"",INDEX(auto_Series_Depth,G103))</f>
        <v/>
      </c>
      <c r="L103" s="179">
        <f t="shared" ca="1" si="18"/>
        <v>1</v>
      </c>
      <c r="M103" s="180">
        <f t="shared" ca="1" si="19"/>
        <v>0</v>
      </c>
      <c r="N103" s="181" t="str" cm="1">
        <f t="array" aca="1" ref="N103" ca="1">IF(G103=0,"",CONCATENATE(IF($K103&gt;=4,"    ",""),INDEX(auto_Series_NameNumbered,G103)))</f>
        <v/>
      </c>
      <c r="O103" s="181" t="str">
        <f t="shared" ca="1" si="20"/>
        <v/>
      </c>
      <c r="P103" s="182" t="str">
        <f t="shared" ca="1" si="21"/>
        <v/>
      </c>
      <c r="Q103" s="183" t="str">
        <f t="shared" ca="1" si="22"/>
        <v/>
      </c>
      <c r="R103" s="194"/>
      <c r="S103" s="182" t="str" cm="1">
        <f t="array" aca="1" ref="S103" ca="1">IF(G103=0,"",IF(K103=1,"",INDEX(OFFSET(iWeights!$I$18,0,0,$E$13,1),$H103)))</f>
        <v/>
      </c>
      <c r="T103" s="183" t="str">
        <f t="shared" ca="1" si="23"/>
        <v/>
      </c>
      <c r="U103" s="37"/>
      <c r="V103" s="37"/>
      <c r="W103" s="37"/>
      <c r="X103" s="37"/>
      <c r="Y103" s="37"/>
    </row>
    <row r="104" spans="1:25" ht="17.5" customHeight="1" x14ac:dyDescent="0.35">
      <c r="A104" s="178" t="str">
        <f t="shared" ca="1" si="24"/>
        <v>H</v>
      </c>
      <c r="B104" s="37"/>
      <c r="C104" s="37"/>
      <c r="D104" s="37"/>
      <c r="E104" s="37"/>
      <c r="F104" s="37">
        <v>68</v>
      </c>
      <c r="G104" s="39" cm="1">
        <f t="array" aca="1" ref="G104" ca="1">IFERROR(INDEX(OFFSET(auto_ss_All_Scoring,0,1,500,1),F104),0)</f>
        <v>0</v>
      </c>
      <c r="H104" s="39">
        <f ca="1">IF(G104=0,0,MATCH(G104,OFFSET(iWeights!$B$18,0,0,$E$13,1),0))</f>
        <v>0</v>
      </c>
      <c r="I104" s="39" cm="1">
        <f t="array" aca="1" ref="I104" ca="1">IF(G104=0,0,INDEX(OFFSET(iWeights!$F$18,0,0,$E$13,1),H104))</f>
        <v>0</v>
      </c>
      <c r="J104" s="39" cm="1">
        <f t="array" aca="1" ref="J104" ca="1">IF(G104=0,0,INDEX(OFFSET(iWeights!$G$18,0,0,$E$13,1),H104))</f>
        <v>0</v>
      </c>
      <c r="K104" s="39" t="str" cm="1">
        <f t="array" aca="1" ref="K104" ca="1">IF(G104=0,"",INDEX(auto_Series_Depth,G104))</f>
        <v/>
      </c>
      <c r="L104" s="179">
        <f t="shared" ca="1" si="18"/>
        <v>1</v>
      </c>
      <c r="M104" s="180">
        <f t="shared" ca="1" si="19"/>
        <v>0</v>
      </c>
      <c r="N104" s="181" t="str" cm="1">
        <f t="array" aca="1" ref="N104" ca="1">IF(G104=0,"",CONCATENATE(IF($K104&gt;=4,"    ",""),INDEX(auto_Series_NameNumbered,G104)))</f>
        <v/>
      </c>
      <c r="O104" s="181" t="str">
        <f t="shared" ca="1" si="20"/>
        <v/>
      </c>
      <c r="P104" s="182" t="str">
        <f t="shared" ca="1" si="21"/>
        <v/>
      </c>
      <c r="Q104" s="183" t="str">
        <f t="shared" ca="1" si="22"/>
        <v/>
      </c>
      <c r="R104" s="194"/>
      <c r="S104" s="182" t="str" cm="1">
        <f t="array" aca="1" ref="S104" ca="1">IF(G104=0,"",IF(K104=1,"",INDEX(OFFSET(iWeights!$I$18,0,0,$E$13,1),$H104)))</f>
        <v/>
      </c>
      <c r="T104" s="183" t="str">
        <f t="shared" ca="1" si="23"/>
        <v/>
      </c>
      <c r="U104" s="37"/>
      <c r="V104" s="37"/>
      <c r="W104" s="37"/>
      <c r="X104" s="37"/>
      <c r="Y104" s="37"/>
    </row>
    <row r="105" spans="1:25" ht="17.5" customHeight="1" x14ac:dyDescent="0.35">
      <c r="A105" s="178" t="str">
        <f t="shared" ca="1" si="24"/>
        <v>H</v>
      </c>
      <c r="B105" s="37"/>
      <c r="C105" s="37"/>
      <c r="D105" s="37"/>
      <c r="E105" s="37"/>
      <c r="F105" s="37">
        <v>69</v>
      </c>
      <c r="G105" s="39" cm="1">
        <f t="array" aca="1" ref="G105" ca="1">IFERROR(INDEX(OFFSET(auto_ss_All_Scoring,0,1,500,1),F105),0)</f>
        <v>0</v>
      </c>
      <c r="H105" s="39">
        <f ca="1">IF(G105=0,0,MATCH(G105,OFFSET(iWeights!$B$18,0,0,$E$13,1),0))</f>
        <v>0</v>
      </c>
      <c r="I105" s="39" cm="1">
        <f t="array" aca="1" ref="I105" ca="1">IF(G105=0,0,INDEX(OFFSET(iWeights!$F$18,0,0,$E$13,1),H105))</f>
        <v>0</v>
      </c>
      <c r="J105" s="39" cm="1">
        <f t="array" aca="1" ref="J105" ca="1">IF(G105=0,0,INDEX(OFFSET(iWeights!$G$18,0,0,$E$13,1),H105))</f>
        <v>0</v>
      </c>
      <c r="K105" s="39" t="str" cm="1">
        <f t="array" aca="1" ref="K105" ca="1">IF(G105=0,"",INDEX(auto_Series_Depth,G105))</f>
        <v/>
      </c>
      <c r="L105" s="179">
        <f t="shared" ca="1" si="18"/>
        <v>1</v>
      </c>
      <c r="M105" s="180">
        <f t="shared" ca="1" si="19"/>
        <v>0</v>
      </c>
      <c r="N105" s="181" t="str" cm="1">
        <f t="array" aca="1" ref="N105" ca="1">IF(G105=0,"",CONCATENATE(IF($K105&gt;=4,"    ",""),INDEX(auto_Series_NameNumbered,G105)))</f>
        <v/>
      </c>
      <c r="O105" s="181" t="str">
        <f t="shared" ca="1" si="20"/>
        <v/>
      </c>
      <c r="P105" s="182" t="str">
        <f t="shared" ca="1" si="21"/>
        <v/>
      </c>
      <c r="Q105" s="183" t="str">
        <f t="shared" ca="1" si="22"/>
        <v/>
      </c>
      <c r="R105" s="194"/>
      <c r="S105" s="182" t="str" cm="1">
        <f t="array" aca="1" ref="S105" ca="1">IF(G105=0,"",IF(K105=1,"",INDEX(OFFSET(iWeights!$I$18,0,0,$E$13,1),$H105)))</f>
        <v/>
      </c>
      <c r="T105" s="183" t="str">
        <f t="shared" ca="1" si="23"/>
        <v/>
      </c>
      <c r="U105" s="37"/>
      <c r="V105" s="37"/>
      <c r="W105" s="37"/>
      <c r="X105" s="37"/>
      <c r="Y105" s="37"/>
    </row>
    <row r="106" spans="1:25" ht="17.5" customHeight="1" x14ac:dyDescent="0.35">
      <c r="A106" s="178" t="str">
        <f t="shared" ca="1" si="24"/>
        <v>H</v>
      </c>
      <c r="B106" s="37"/>
      <c r="C106" s="37"/>
      <c r="D106" s="37"/>
      <c r="E106" s="37"/>
      <c r="F106" s="37">
        <v>70</v>
      </c>
      <c r="G106" s="39" cm="1">
        <f t="array" aca="1" ref="G106" ca="1">IFERROR(INDEX(OFFSET(auto_ss_All_Scoring,0,1,500,1),F106),0)</f>
        <v>0</v>
      </c>
      <c r="H106" s="39">
        <f ca="1">IF(G106=0,0,MATCH(G106,OFFSET(iWeights!$B$18,0,0,$E$13,1),0))</f>
        <v>0</v>
      </c>
      <c r="I106" s="39" cm="1">
        <f t="array" aca="1" ref="I106" ca="1">IF(G106=0,0,INDEX(OFFSET(iWeights!$F$18,0,0,$E$13,1),H106))</f>
        <v>0</v>
      </c>
      <c r="J106" s="39" cm="1">
        <f t="array" aca="1" ref="J106" ca="1">IF(G106=0,0,INDEX(OFFSET(iWeights!$G$18,0,0,$E$13,1),H106))</f>
        <v>0</v>
      </c>
      <c r="K106" s="39" t="str" cm="1">
        <f t="array" aca="1" ref="K106" ca="1">IF(G106=0,"",INDEX(auto_Series_Depth,G106))</f>
        <v/>
      </c>
      <c r="L106" s="179">
        <f t="shared" ca="1" si="18"/>
        <v>1</v>
      </c>
      <c r="M106" s="180">
        <f t="shared" ca="1" si="19"/>
        <v>0</v>
      </c>
      <c r="N106" s="181" t="str" cm="1">
        <f t="array" aca="1" ref="N106" ca="1">IF(G106=0,"",CONCATENATE(IF($K106&gt;=4,"    ",""),INDEX(auto_Series_NameNumbered,G106)))</f>
        <v/>
      </c>
      <c r="O106" s="181" t="str">
        <f t="shared" ca="1" si="20"/>
        <v/>
      </c>
      <c r="P106" s="182" t="str">
        <f t="shared" ca="1" si="21"/>
        <v/>
      </c>
      <c r="Q106" s="183" t="str">
        <f t="shared" ca="1" si="22"/>
        <v/>
      </c>
      <c r="R106" s="194"/>
      <c r="S106" s="182" t="str" cm="1">
        <f t="array" aca="1" ref="S106" ca="1">IF(G106=0,"",IF(K106=1,"",INDEX(OFFSET(iWeights!$I$18,0,0,$E$13,1),$H106)))</f>
        <v/>
      </c>
      <c r="T106" s="183" t="str">
        <f t="shared" ca="1" si="23"/>
        <v/>
      </c>
      <c r="U106" s="37"/>
      <c r="V106" s="37"/>
      <c r="W106" s="37"/>
      <c r="X106" s="37"/>
      <c r="Y106" s="37"/>
    </row>
    <row r="107" spans="1:25" ht="17.5" customHeight="1" x14ac:dyDescent="0.35">
      <c r="A107" s="178" t="str">
        <f t="shared" ca="1" si="24"/>
        <v>H</v>
      </c>
      <c r="B107" s="37"/>
      <c r="C107" s="37"/>
      <c r="D107" s="37"/>
      <c r="E107" s="37"/>
      <c r="F107" s="37">
        <v>71</v>
      </c>
      <c r="G107" s="39" cm="1">
        <f t="array" aca="1" ref="G107" ca="1">IFERROR(INDEX(OFFSET(auto_ss_All_Scoring,0,1,500,1),F107),0)</f>
        <v>0</v>
      </c>
      <c r="H107" s="39">
        <f ca="1">IF(G107=0,0,MATCH(G107,OFFSET(iWeights!$B$18,0,0,$E$13,1),0))</f>
        <v>0</v>
      </c>
      <c r="I107" s="39" cm="1">
        <f t="array" aca="1" ref="I107" ca="1">IF(G107=0,0,INDEX(OFFSET(iWeights!$F$18,0,0,$E$13,1),H107))</f>
        <v>0</v>
      </c>
      <c r="J107" s="39" cm="1">
        <f t="array" aca="1" ref="J107" ca="1">IF(G107=0,0,INDEX(OFFSET(iWeights!$G$18,0,0,$E$13,1),H107))</f>
        <v>0</v>
      </c>
      <c r="K107" s="39" t="str" cm="1">
        <f t="array" aca="1" ref="K107" ca="1">IF(G107=0,"",INDEX(auto_Series_Depth,G107))</f>
        <v/>
      </c>
      <c r="L107" s="179">
        <f t="shared" ref="L107:L148" ca="1" si="25">IFERROR(IF(K107=1,0,IF(NOT(ISNUMBER(R107)),1,0)),1)</f>
        <v>1</v>
      </c>
      <c r="M107" s="180">
        <f t="shared" ref="M107:M148" ca="1" si="26">IF(L107=1,0,R107)</f>
        <v>0</v>
      </c>
      <c r="N107" s="181" t="str" cm="1">
        <f t="array" aca="1" ref="N107" ca="1">IF(G107=0,"",CONCATENATE(IF($K107&gt;=4,"    ",""),INDEX(auto_Series_NameNumbered,G107)))</f>
        <v/>
      </c>
      <c r="O107" s="181" t="str">
        <f t="shared" ref="O107:O148" ca="1" si="27">IF(G107=0,"",IF(K107=1,"",I107))</f>
        <v/>
      </c>
      <c r="P107" s="182" t="str">
        <f t="shared" ref="P107:P148" ca="1" si="28">IF(G107=0,"",IF(K107=1,"",J107))</f>
        <v/>
      </c>
      <c r="Q107" s="183" t="str">
        <f t="shared" ref="Q107:Q148" ca="1" si="29">IF($G107=0,"",IF($K107=1,"",REPT("|",P107*40)))</f>
        <v/>
      </c>
      <c r="R107" s="194"/>
      <c r="S107" s="182" t="str" cm="1">
        <f t="array" aca="1" ref="S107" ca="1">IF(G107=0,"",IF(K107=1,"",INDEX(OFFSET(iWeights!$I$18,0,0,$E$13,1),$H107)))</f>
        <v/>
      </c>
      <c r="T107" s="183" t="str">
        <f t="shared" ref="T107:T148" ca="1" si="30">IF($G107=0,"",IF($K107=1,"",REPT("|",S107*40)))</f>
        <v/>
      </c>
      <c r="U107" s="37"/>
      <c r="V107" s="37"/>
      <c r="W107" s="37"/>
      <c r="X107" s="37"/>
      <c r="Y107" s="37"/>
    </row>
    <row r="108" spans="1:25" ht="17.5" customHeight="1" x14ac:dyDescent="0.35">
      <c r="A108" s="178" t="str">
        <f t="shared" ca="1" si="24"/>
        <v>H</v>
      </c>
      <c r="B108" s="37"/>
      <c r="C108" s="37"/>
      <c r="D108" s="37"/>
      <c r="E108" s="37"/>
      <c r="F108" s="37">
        <v>72</v>
      </c>
      <c r="G108" s="39" cm="1">
        <f t="array" aca="1" ref="G108" ca="1">IFERROR(INDEX(OFFSET(auto_ss_All_Scoring,0,1,500,1),F108),0)</f>
        <v>0</v>
      </c>
      <c r="H108" s="39">
        <f ca="1">IF(G108=0,0,MATCH(G108,OFFSET(iWeights!$B$18,0,0,$E$13,1),0))</f>
        <v>0</v>
      </c>
      <c r="I108" s="39" cm="1">
        <f t="array" aca="1" ref="I108" ca="1">IF(G108=0,0,INDEX(OFFSET(iWeights!$F$18,0,0,$E$13,1),H108))</f>
        <v>0</v>
      </c>
      <c r="J108" s="39" cm="1">
        <f t="array" aca="1" ref="J108" ca="1">IF(G108=0,0,INDEX(OFFSET(iWeights!$G$18,0,0,$E$13,1),H108))</f>
        <v>0</v>
      </c>
      <c r="K108" s="39" t="str" cm="1">
        <f t="array" aca="1" ref="K108" ca="1">IF(G108=0,"",INDEX(auto_Series_Depth,G108))</f>
        <v/>
      </c>
      <c r="L108" s="179">
        <f t="shared" ca="1" si="25"/>
        <v>1</v>
      </c>
      <c r="M108" s="180">
        <f t="shared" ca="1" si="26"/>
        <v>0</v>
      </c>
      <c r="N108" s="181" t="str" cm="1">
        <f t="array" aca="1" ref="N108" ca="1">IF(G108=0,"",CONCATENATE(IF($K108&gt;=4,"    ",""),INDEX(auto_Series_NameNumbered,G108)))</f>
        <v/>
      </c>
      <c r="O108" s="181" t="str">
        <f t="shared" ca="1" si="27"/>
        <v/>
      </c>
      <c r="P108" s="182" t="str">
        <f t="shared" ca="1" si="28"/>
        <v/>
      </c>
      <c r="Q108" s="183" t="str">
        <f t="shared" ca="1" si="29"/>
        <v/>
      </c>
      <c r="R108" s="194"/>
      <c r="S108" s="182" t="str" cm="1">
        <f t="array" aca="1" ref="S108" ca="1">IF(G108=0,"",IF(K108=1,"",INDEX(OFFSET(iWeights!$I$18,0,0,$E$13,1),$H108)))</f>
        <v/>
      </c>
      <c r="T108" s="183" t="str">
        <f t="shared" ca="1" si="30"/>
        <v/>
      </c>
      <c r="U108" s="37"/>
      <c r="V108" s="37"/>
      <c r="W108" s="37"/>
      <c r="X108" s="37"/>
      <c r="Y108" s="37"/>
    </row>
    <row r="109" spans="1:25" ht="17.5" customHeight="1" x14ac:dyDescent="0.35">
      <c r="A109" s="178" t="str">
        <f t="shared" ca="1" si="24"/>
        <v>H</v>
      </c>
      <c r="B109" s="37"/>
      <c r="C109" s="37"/>
      <c r="D109" s="37"/>
      <c r="E109" s="37"/>
      <c r="F109" s="37">
        <v>73</v>
      </c>
      <c r="G109" s="39" cm="1">
        <f t="array" aca="1" ref="G109" ca="1">IFERROR(INDEX(OFFSET(auto_ss_All_Scoring,0,1,500,1),F109),0)</f>
        <v>0</v>
      </c>
      <c r="H109" s="39">
        <f ca="1">IF(G109=0,0,MATCH(G109,OFFSET(iWeights!$B$18,0,0,$E$13,1),0))</f>
        <v>0</v>
      </c>
      <c r="I109" s="39" cm="1">
        <f t="array" aca="1" ref="I109" ca="1">IF(G109=0,0,INDEX(OFFSET(iWeights!$F$18,0,0,$E$13,1),H109))</f>
        <v>0</v>
      </c>
      <c r="J109" s="39" cm="1">
        <f t="array" aca="1" ref="J109" ca="1">IF(G109=0,0,INDEX(OFFSET(iWeights!$G$18,0,0,$E$13,1),H109))</f>
        <v>0</v>
      </c>
      <c r="K109" s="39" t="str" cm="1">
        <f t="array" aca="1" ref="K109" ca="1">IF(G109=0,"",INDEX(auto_Series_Depth,G109))</f>
        <v/>
      </c>
      <c r="L109" s="179">
        <f t="shared" ca="1" si="25"/>
        <v>1</v>
      </c>
      <c r="M109" s="180">
        <f t="shared" ca="1" si="26"/>
        <v>0</v>
      </c>
      <c r="N109" s="181" t="str" cm="1">
        <f t="array" aca="1" ref="N109" ca="1">IF(G109=0,"",CONCATENATE(IF($K109&gt;=4,"    ",""),INDEX(auto_Series_NameNumbered,G109)))</f>
        <v/>
      </c>
      <c r="O109" s="181" t="str">
        <f t="shared" ca="1" si="27"/>
        <v/>
      </c>
      <c r="P109" s="182" t="str">
        <f t="shared" ca="1" si="28"/>
        <v/>
      </c>
      <c r="Q109" s="183" t="str">
        <f t="shared" ca="1" si="29"/>
        <v/>
      </c>
      <c r="R109" s="194"/>
      <c r="S109" s="182" t="str" cm="1">
        <f t="array" aca="1" ref="S109" ca="1">IF(G109=0,"",IF(K109=1,"",INDEX(OFFSET(iWeights!$I$18,0,0,$E$13,1),$H109)))</f>
        <v/>
      </c>
      <c r="T109" s="183" t="str">
        <f t="shared" ca="1" si="30"/>
        <v/>
      </c>
      <c r="U109" s="37"/>
      <c r="V109" s="37"/>
      <c r="W109" s="37"/>
      <c r="X109" s="37"/>
      <c r="Y109" s="37"/>
    </row>
    <row r="110" spans="1:25" ht="17.5" customHeight="1" x14ac:dyDescent="0.35">
      <c r="A110" s="178" t="str">
        <f t="shared" ca="1" si="24"/>
        <v>H</v>
      </c>
      <c r="B110" s="37"/>
      <c r="C110" s="37"/>
      <c r="D110" s="37"/>
      <c r="E110" s="37"/>
      <c r="F110" s="37">
        <v>74</v>
      </c>
      <c r="G110" s="39" cm="1">
        <f t="array" aca="1" ref="G110" ca="1">IFERROR(INDEX(OFFSET(auto_ss_All_Scoring,0,1,500,1),F110),0)</f>
        <v>0</v>
      </c>
      <c r="H110" s="39">
        <f ca="1">IF(G110=0,0,MATCH(G110,OFFSET(iWeights!$B$18,0,0,$E$13,1),0))</f>
        <v>0</v>
      </c>
      <c r="I110" s="39" cm="1">
        <f t="array" aca="1" ref="I110" ca="1">IF(G110=0,0,INDEX(OFFSET(iWeights!$F$18,0,0,$E$13,1),H110))</f>
        <v>0</v>
      </c>
      <c r="J110" s="39" cm="1">
        <f t="array" aca="1" ref="J110" ca="1">IF(G110=0,0,INDEX(OFFSET(iWeights!$G$18,0,0,$E$13,1),H110))</f>
        <v>0</v>
      </c>
      <c r="K110" s="39" t="str" cm="1">
        <f t="array" aca="1" ref="K110" ca="1">IF(G110=0,"",INDEX(auto_Series_Depth,G110))</f>
        <v/>
      </c>
      <c r="L110" s="179">
        <f t="shared" ca="1" si="25"/>
        <v>1</v>
      </c>
      <c r="M110" s="180">
        <f t="shared" ca="1" si="26"/>
        <v>0</v>
      </c>
      <c r="N110" s="181" t="str" cm="1">
        <f t="array" aca="1" ref="N110" ca="1">IF(G110=0,"",CONCATENATE(IF($K110&gt;=4,"    ",""),INDEX(auto_Series_NameNumbered,G110)))</f>
        <v/>
      </c>
      <c r="O110" s="181" t="str">
        <f t="shared" ca="1" si="27"/>
        <v/>
      </c>
      <c r="P110" s="182" t="str">
        <f t="shared" ca="1" si="28"/>
        <v/>
      </c>
      <c r="Q110" s="183" t="str">
        <f t="shared" ca="1" si="29"/>
        <v/>
      </c>
      <c r="R110" s="194"/>
      <c r="S110" s="182" t="str" cm="1">
        <f t="array" aca="1" ref="S110" ca="1">IF(G110=0,"",IF(K110=1,"",INDEX(OFFSET(iWeights!$I$18,0,0,$E$13,1),$H110)))</f>
        <v/>
      </c>
      <c r="T110" s="183" t="str">
        <f t="shared" ca="1" si="30"/>
        <v/>
      </c>
      <c r="U110" s="37"/>
      <c r="V110" s="37"/>
      <c r="W110" s="37"/>
      <c r="X110" s="37"/>
      <c r="Y110" s="37"/>
    </row>
    <row r="111" spans="1:25" ht="17.5" customHeight="1" x14ac:dyDescent="0.35">
      <c r="A111" s="178" t="str">
        <f t="shared" ca="1" si="24"/>
        <v>H</v>
      </c>
      <c r="B111" s="37"/>
      <c r="C111" s="37"/>
      <c r="D111" s="37"/>
      <c r="E111" s="37"/>
      <c r="F111" s="37">
        <v>75</v>
      </c>
      <c r="G111" s="39" cm="1">
        <f t="array" aca="1" ref="G111" ca="1">IFERROR(INDEX(OFFSET(auto_ss_All_Scoring,0,1,500,1),F111),0)</f>
        <v>0</v>
      </c>
      <c r="H111" s="39">
        <f ca="1">IF(G111=0,0,MATCH(G111,OFFSET(iWeights!$B$18,0,0,$E$13,1),0))</f>
        <v>0</v>
      </c>
      <c r="I111" s="39" cm="1">
        <f t="array" aca="1" ref="I111" ca="1">IF(G111=0,0,INDEX(OFFSET(iWeights!$F$18,0,0,$E$13,1),H111))</f>
        <v>0</v>
      </c>
      <c r="J111" s="39" cm="1">
        <f t="array" aca="1" ref="J111" ca="1">IF(G111=0,0,INDEX(OFFSET(iWeights!$G$18,0,0,$E$13,1),H111))</f>
        <v>0</v>
      </c>
      <c r="K111" s="39" t="str" cm="1">
        <f t="array" aca="1" ref="K111" ca="1">IF(G111=0,"",INDEX(auto_Series_Depth,G111))</f>
        <v/>
      </c>
      <c r="L111" s="179">
        <f t="shared" ca="1" si="25"/>
        <v>1</v>
      </c>
      <c r="M111" s="180">
        <f t="shared" ca="1" si="26"/>
        <v>0</v>
      </c>
      <c r="N111" s="181" t="str" cm="1">
        <f t="array" aca="1" ref="N111" ca="1">IF(G111=0,"",CONCATENATE(IF($K111&gt;=4,"    ",""),INDEX(auto_Series_NameNumbered,G111)))</f>
        <v/>
      </c>
      <c r="O111" s="181" t="str">
        <f t="shared" ca="1" si="27"/>
        <v/>
      </c>
      <c r="P111" s="182" t="str">
        <f t="shared" ca="1" si="28"/>
        <v/>
      </c>
      <c r="Q111" s="183" t="str">
        <f t="shared" ca="1" si="29"/>
        <v/>
      </c>
      <c r="R111" s="194"/>
      <c r="S111" s="182" t="str" cm="1">
        <f t="array" aca="1" ref="S111" ca="1">IF(G111=0,"",IF(K111=1,"",INDEX(OFFSET(iWeights!$I$18,0,0,$E$13,1),$H111)))</f>
        <v/>
      </c>
      <c r="T111" s="183" t="str">
        <f t="shared" ca="1" si="30"/>
        <v/>
      </c>
      <c r="U111" s="37"/>
      <c r="V111" s="37"/>
      <c r="W111" s="37"/>
      <c r="X111" s="37"/>
      <c r="Y111" s="37"/>
    </row>
    <row r="112" spans="1:25" ht="17.5" customHeight="1" x14ac:dyDescent="0.35">
      <c r="A112" s="178" t="str">
        <f t="shared" ca="1" si="24"/>
        <v>H</v>
      </c>
      <c r="B112" s="37"/>
      <c r="C112" s="37"/>
      <c r="D112" s="37"/>
      <c r="E112" s="37"/>
      <c r="F112" s="37">
        <v>76</v>
      </c>
      <c r="G112" s="39" cm="1">
        <f t="array" aca="1" ref="G112" ca="1">IFERROR(INDEX(OFFSET(auto_ss_All_Scoring,0,1,500,1),F112),0)</f>
        <v>0</v>
      </c>
      <c r="H112" s="39">
        <f ca="1">IF(G112=0,0,MATCH(G112,OFFSET(iWeights!$B$18,0,0,$E$13,1),0))</f>
        <v>0</v>
      </c>
      <c r="I112" s="39" cm="1">
        <f t="array" aca="1" ref="I112" ca="1">IF(G112=0,0,INDEX(OFFSET(iWeights!$F$18,0,0,$E$13,1),H112))</f>
        <v>0</v>
      </c>
      <c r="J112" s="39" cm="1">
        <f t="array" aca="1" ref="J112" ca="1">IF(G112=0,0,INDEX(OFFSET(iWeights!$G$18,0,0,$E$13,1),H112))</f>
        <v>0</v>
      </c>
      <c r="K112" s="39" t="str" cm="1">
        <f t="array" aca="1" ref="K112" ca="1">IF(G112=0,"",INDEX(auto_Series_Depth,G112))</f>
        <v/>
      </c>
      <c r="L112" s="179">
        <f t="shared" ca="1" si="25"/>
        <v>1</v>
      </c>
      <c r="M112" s="180">
        <f t="shared" ca="1" si="26"/>
        <v>0</v>
      </c>
      <c r="N112" s="181" t="str" cm="1">
        <f t="array" aca="1" ref="N112" ca="1">IF(G112=0,"",CONCATENATE(IF($K112&gt;=4,"    ",""),INDEX(auto_Series_NameNumbered,G112)))</f>
        <v/>
      </c>
      <c r="O112" s="181" t="str">
        <f t="shared" ca="1" si="27"/>
        <v/>
      </c>
      <c r="P112" s="182" t="str">
        <f t="shared" ca="1" si="28"/>
        <v/>
      </c>
      <c r="Q112" s="183" t="str">
        <f t="shared" ca="1" si="29"/>
        <v/>
      </c>
      <c r="R112" s="194"/>
      <c r="S112" s="182" t="str" cm="1">
        <f t="array" aca="1" ref="S112" ca="1">IF(G112=0,"",IF(K112=1,"",INDEX(OFFSET(iWeights!$I$18,0,0,$E$13,1),$H112)))</f>
        <v/>
      </c>
      <c r="T112" s="183" t="str">
        <f t="shared" ca="1" si="30"/>
        <v/>
      </c>
      <c r="U112" s="37"/>
      <c r="V112" s="37"/>
      <c r="W112" s="37"/>
      <c r="X112" s="37"/>
      <c r="Y112" s="37"/>
    </row>
    <row r="113" spans="1:25" ht="17.5" customHeight="1" x14ac:dyDescent="0.35">
      <c r="A113" s="178" t="str">
        <f t="shared" ca="1" si="24"/>
        <v>H</v>
      </c>
      <c r="B113" s="37"/>
      <c r="C113" s="37"/>
      <c r="D113" s="37"/>
      <c r="E113" s="37"/>
      <c r="F113" s="37">
        <v>77</v>
      </c>
      <c r="G113" s="39" cm="1">
        <f t="array" aca="1" ref="G113" ca="1">IFERROR(INDEX(OFFSET(auto_ss_All_Scoring,0,1,500,1),F113),0)</f>
        <v>0</v>
      </c>
      <c r="H113" s="39">
        <f ca="1">IF(G113=0,0,MATCH(G113,OFFSET(iWeights!$B$18,0,0,$E$13,1),0))</f>
        <v>0</v>
      </c>
      <c r="I113" s="39" cm="1">
        <f t="array" aca="1" ref="I113" ca="1">IF(G113=0,0,INDEX(OFFSET(iWeights!$F$18,0,0,$E$13,1),H113))</f>
        <v>0</v>
      </c>
      <c r="J113" s="39" cm="1">
        <f t="array" aca="1" ref="J113" ca="1">IF(G113=0,0,INDEX(OFFSET(iWeights!$G$18,0,0,$E$13,1),H113))</f>
        <v>0</v>
      </c>
      <c r="K113" s="39" t="str" cm="1">
        <f t="array" aca="1" ref="K113" ca="1">IF(G113=0,"",INDEX(auto_Series_Depth,G113))</f>
        <v/>
      </c>
      <c r="L113" s="179">
        <f t="shared" ca="1" si="25"/>
        <v>1</v>
      </c>
      <c r="M113" s="180">
        <f t="shared" ca="1" si="26"/>
        <v>0</v>
      </c>
      <c r="N113" s="181" t="str" cm="1">
        <f t="array" aca="1" ref="N113" ca="1">IF(G113=0,"",CONCATENATE(IF($K113&gt;=4,"    ",""),INDEX(auto_Series_NameNumbered,G113)))</f>
        <v/>
      </c>
      <c r="O113" s="181" t="str">
        <f t="shared" ca="1" si="27"/>
        <v/>
      </c>
      <c r="P113" s="182" t="str">
        <f t="shared" ca="1" si="28"/>
        <v/>
      </c>
      <c r="Q113" s="183" t="str">
        <f t="shared" ca="1" si="29"/>
        <v/>
      </c>
      <c r="R113" s="194"/>
      <c r="S113" s="182" t="str" cm="1">
        <f t="array" aca="1" ref="S113" ca="1">IF(G113=0,"",IF(K113=1,"",INDEX(OFFSET(iWeights!$I$18,0,0,$E$13,1),$H113)))</f>
        <v/>
      </c>
      <c r="T113" s="183" t="str">
        <f t="shared" ca="1" si="30"/>
        <v/>
      </c>
      <c r="U113" s="37"/>
      <c r="V113" s="37"/>
      <c r="W113" s="37"/>
      <c r="X113" s="37"/>
      <c r="Y113" s="37"/>
    </row>
    <row r="114" spans="1:25" ht="17.5" customHeight="1" x14ac:dyDescent="0.35">
      <c r="A114" s="178" t="str">
        <f t="shared" ca="1" si="24"/>
        <v>H</v>
      </c>
      <c r="B114" s="37"/>
      <c r="C114" s="37"/>
      <c r="D114" s="37"/>
      <c r="E114" s="37"/>
      <c r="F114" s="37">
        <v>78</v>
      </c>
      <c r="G114" s="39" cm="1">
        <f t="array" aca="1" ref="G114" ca="1">IFERROR(INDEX(OFFSET(auto_ss_All_Scoring,0,1,500,1),F114),0)</f>
        <v>0</v>
      </c>
      <c r="H114" s="39">
        <f ca="1">IF(G114=0,0,MATCH(G114,OFFSET(iWeights!$B$18,0,0,$E$13,1),0))</f>
        <v>0</v>
      </c>
      <c r="I114" s="39" cm="1">
        <f t="array" aca="1" ref="I114" ca="1">IF(G114=0,0,INDEX(OFFSET(iWeights!$F$18,0,0,$E$13,1),H114))</f>
        <v>0</v>
      </c>
      <c r="J114" s="39" cm="1">
        <f t="array" aca="1" ref="J114" ca="1">IF(G114=0,0,INDEX(OFFSET(iWeights!$G$18,0,0,$E$13,1),H114))</f>
        <v>0</v>
      </c>
      <c r="K114" s="39" t="str" cm="1">
        <f t="array" aca="1" ref="K114" ca="1">IF(G114=0,"",INDEX(auto_Series_Depth,G114))</f>
        <v/>
      </c>
      <c r="L114" s="179">
        <f t="shared" ca="1" si="25"/>
        <v>1</v>
      </c>
      <c r="M114" s="180">
        <f t="shared" ca="1" si="26"/>
        <v>0</v>
      </c>
      <c r="N114" s="181" t="str" cm="1">
        <f t="array" aca="1" ref="N114" ca="1">IF(G114=0,"",CONCATENATE(IF($K114&gt;=4,"    ",""),INDEX(auto_Series_NameNumbered,G114)))</f>
        <v/>
      </c>
      <c r="O114" s="181" t="str">
        <f t="shared" ca="1" si="27"/>
        <v/>
      </c>
      <c r="P114" s="182" t="str">
        <f t="shared" ca="1" si="28"/>
        <v/>
      </c>
      <c r="Q114" s="183" t="str">
        <f t="shared" ca="1" si="29"/>
        <v/>
      </c>
      <c r="R114" s="194"/>
      <c r="S114" s="182" t="str" cm="1">
        <f t="array" aca="1" ref="S114" ca="1">IF(G114=0,"",IF(K114=1,"",INDEX(OFFSET(iWeights!$I$18,0,0,$E$13,1),$H114)))</f>
        <v/>
      </c>
      <c r="T114" s="183" t="str">
        <f t="shared" ca="1" si="30"/>
        <v/>
      </c>
      <c r="U114" s="37"/>
      <c r="V114" s="37"/>
      <c r="W114" s="37"/>
      <c r="X114" s="37"/>
      <c r="Y114" s="37"/>
    </row>
    <row r="115" spans="1:25" ht="17.5" customHeight="1" x14ac:dyDescent="0.35">
      <c r="A115" s="178" t="str">
        <f t="shared" ca="1" si="24"/>
        <v>H</v>
      </c>
      <c r="B115" s="37"/>
      <c r="C115" s="37"/>
      <c r="D115" s="37"/>
      <c r="E115" s="37"/>
      <c r="F115" s="37">
        <v>79</v>
      </c>
      <c r="G115" s="39" cm="1">
        <f t="array" aca="1" ref="G115" ca="1">IFERROR(INDEX(OFFSET(auto_ss_All_Scoring,0,1,500,1),F115),0)</f>
        <v>0</v>
      </c>
      <c r="H115" s="39">
        <f ca="1">IF(G115=0,0,MATCH(G115,OFFSET(iWeights!$B$18,0,0,$E$13,1),0))</f>
        <v>0</v>
      </c>
      <c r="I115" s="39" cm="1">
        <f t="array" aca="1" ref="I115" ca="1">IF(G115=0,0,INDEX(OFFSET(iWeights!$F$18,0,0,$E$13,1),H115))</f>
        <v>0</v>
      </c>
      <c r="J115" s="39" cm="1">
        <f t="array" aca="1" ref="J115" ca="1">IF(G115=0,0,INDEX(OFFSET(iWeights!$G$18,0,0,$E$13,1),H115))</f>
        <v>0</v>
      </c>
      <c r="K115" s="39" t="str" cm="1">
        <f t="array" aca="1" ref="K115" ca="1">IF(G115=0,"",INDEX(auto_Series_Depth,G115))</f>
        <v/>
      </c>
      <c r="L115" s="179">
        <f t="shared" ca="1" si="25"/>
        <v>1</v>
      </c>
      <c r="M115" s="180">
        <f t="shared" ca="1" si="26"/>
        <v>0</v>
      </c>
      <c r="N115" s="181" t="str" cm="1">
        <f t="array" aca="1" ref="N115" ca="1">IF(G115=0,"",CONCATENATE(IF($K115&gt;=4,"    ",""),INDEX(auto_Series_NameNumbered,G115)))</f>
        <v/>
      </c>
      <c r="O115" s="181" t="str">
        <f t="shared" ca="1" si="27"/>
        <v/>
      </c>
      <c r="P115" s="182" t="str">
        <f t="shared" ca="1" si="28"/>
        <v/>
      </c>
      <c r="Q115" s="183" t="str">
        <f t="shared" ca="1" si="29"/>
        <v/>
      </c>
      <c r="R115" s="194"/>
      <c r="S115" s="182" t="str" cm="1">
        <f t="array" aca="1" ref="S115" ca="1">IF(G115=0,"",IF(K115=1,"",INDEX(OFFSET(iWeights!$I$18,0,0,$E$13,1),$H115)))</f>
        <v/>
      </c>
      <c r="T115" s="183" t="str">
        <f t="shared" ca="1" si="30"/>
        <v/>
      </c>
      <c r="U115" s="37"/>
      <c r="V115" s="37"/>
      <c r="W115" s="37"/>
      <c r="X115" s="37"/>
      <c r="Y115" s="37"/>
    </row>
    <row r="116" spans="1:25" ht="17.5" customHeight="1" x14ac:dyDescent="0.35">
      <c r="A116" s="178" t="str">
        <f t="shared" ca="1" si="24"/>
        <v>H</v>
      </c>
      <c r="B116" s="37"/>
      <c r="C116" s="37"/>
      <c r="D116" s="37"/>
      <c r="E116" s="37"/>
      <c r="F116" s="37">
        <v>80</v>
      </c>
      <c r="G116" s="39" cm="1">
        <f t="array" aca="1" ref="G116" ca="1">IFERROR(INDEX(OFFSET(auto_ss_All_Scoring,0,1,500,1),F116),0)</f>
        <v>0</v>
      </c>
      <c r="H116" s="39">
        <f ca="1">IF(G116=0,0,MATCH(G116,OFFSET(iWeights!$B$18,0,0,$E$13,1),0))</f>
        <v>0</v>
      </c>
      <c r="I116" s="39" cm="1">
        <f t="array" aca="1" ref="I116" ca="1">IF(G116=0,0,INDEX(OFFSET(iWeights!$F$18,0,0,$E$13,1),H116))</f>
        <v>0</v>
      </c>
      <c r="J116" s="39" cm="1">
        <f t="array" aca="1" ref="J116" ca="1">IF(G116=0,0,INDEX(OFFSET(iWeights!$G$18,0,0,$E$13,1),H116))</f>
        <v>0</v>
      </c>
      <c r="K116" s="39" t="str" cm="1">
        <f t="array" aca="1" ref="K116" ca="1">IF(G116=0,"",INDEX(auto_Series_Depth,G116))</f>
        <v/>
      </c>
      <c r="L116" s="179">
        <f t="shared" ca="1" si="25"/>
        <v>1</v>
      </c>
      <c r="M116" s="180">
        <f t="shared" ca="1" si="26"/>
        <v>0</v>
      </c>
      <c r="N116" s="181" t="str" cm="1">
        <f t="array" aca="1" ref="N116" ca="1">IF(G116=0,"",CONCATENATE(IF($K116&gt;=4,"    ",""),INDEX(auto_Series_NameNumbered,G116)))</f>
        <v/>
      </c>
      <c r="O116" s="181" t="str">
        <f t="shared" ca="1" si="27"/>
        <v/>
      </c>
      <c r="P116" s="182" t="str">
        <f t="shared" ca="1" si="28"/>
        <v/>
      </c>
      <c r="Q116" s="183" t="str">
        <f t="shared" ca="1" si="29"/>
        <v/>
      </c>
      <c r="R116" s="194"/>
      <c r="S116" s="182" t="str" cm="1">
        <f t="array" aca="1" ref="S116" ca="1">IF(G116=0,"",IF(K116=1,"",INDEX(OFFSET(iWeights!$I$18,0,0,$E$13,1),$H116)))</f>
        <v/>
      </c>
      <c r="T116" s="183" t="str">
        <f t="shared" ca="1" si="30"/>
        <v/>
      </c>
      <c r="U116" s="37"/>
      <c r="V116" s="37"/>
      <c r="W116" s="37"/>
      <c r="X116" s="37"/>
      <c r="Y116" s="37"/>
    </row>
    <row r="117" spans="1:25" ht="17.5" customHeight="1" x14ac:dyDescent="0.35">
      <c r="A117" s="178" t="str">
        <f t="shared" ca="1" si="24"/>
        <v>H</v>
      </c>
      <c r="B117" s="37"/>
      <c r="C117" s="37"/>
      <c r="D117" s="37"/>
      <c r="E117" s="37"/>
      <c r="F117" s="37">
        <v>81</v>
      </c>
      <c r="G117" s="39" cm="1">
        <f t="array" aca="1" ref="G117" ca="1">IFERROR(INDEX(OFFSET(auto_ss_All_Scoring,0,1,500,1),F117),0)</f>
        <v>0</v>
      </c>
      <c r="H117" s="39">
        <f ca="1">IF(G117=0,0,MATCH(G117,OFFSET(iWeights!$B$18,0,0,$E$13,1),0))</f>
        <v>0</v>
      </c>
      <c r="I117" s="39" cm="1">
        <f t="array" aca="1" ref="I117" ca="1">IF(G117=0,0,INDEX(OFFSET(iWeights!$F$18,0,0,$E$13,1),H117))</f>
        <v>0</v>
      </c>
      <c r="J117" s="39" cm="1">
        <f t="array" aca="1" ref="J117" ca="1">IF(G117=0,0,INDEX(OFFSET(iWeights!$G$18,0,0,$E$13,1),H117))</f>
        <v>0</v>
      </c>
      <c r="K117" s="39" t="str" cm="1">
        <f t="array" aca="1" ref="K117" ca="1">IF(G117=0,"",INDEX(auto_Series_Depth,G117))</f>
        <v/>
      </c>
      <c r="L117" s="179">
        <f t="shared" ca="1" si="25"/>
        <v>1</v>
      </c>
      <c r="M117" s="180">
        <f t="shared" ca="1" si="26"/>
        <v>0</v>
      </c>
      <c r="N117" s="181" t="str" cm="1">
        <f t="array" aca="1" ref="N117" ca="1">IF(G117=0,"",CONCATENATE(IF($K117&gt;=4,"    ",""),INDEX(auto_Series_NameNumbered,G117)))</f>
        <v/>
      </c>
      <c r="O117" s="181" t="str">
        <f t="shared" ca="1" si="27"/>
        <v/>
      </c>
      <c r="P117" s="182" t="str">
        <f t="shared" ca="1" si="28"/>
        <v/>
      </c>
      <c r="Q117" s="183" t="str">
        <f t="shared" ca="1" si="29"/>
        <v/>
      </c>
      <c r="R117" s="194"/>
      <c r="S117" s="182" t="str" cm="1">
        <f t="array" aca="1" ref="S117" ca="1">IF(G117=0,"",IF(K117=1,"",INDEX(OFFSET(iWeights!$I$18,0,0,$E$13,1),$H117)))</f>
        <v/>
      </c>
      <c r="T117" s="183" t="str">
        <f t="shared" ca="1" si="30"/>
        <v/>
      </c>
      <c r="U117" s="37"/>
      <c r="V117" s="37"/>
      <c r="W117" s="37"/>
      <c r="X117" s="37"/>
      <c r="Y117" s="37"/>
    </row>
    <row r="118" spans="1:25" ht="17.5" customHeight="1" x14ac:dyDescent="0.35">
      <c r="A118" s="178" t="str">
        <f t="shared" ca="1" si="24"/>
        <v>H</v>
      </c>
      <c r="B118" s="37"/>
      <c r="C118" s="37"/>
      <c r="D118" s="37"/>
      <c r="E118" s="37"/>
      <c r="F118" s="37">
        <v>82</v>
      </c>
      <c r="G118" s="39" cm="1">
        <f t="array" aca="1" ref="G118" ca="1">IFERROR(INDEX(OFFSET(auto_ss_All_Scoring,0,1,500,1),F118),0)</f>
        <v>0</v>
      </c>
      <c r="H118" s="39">
        <f ca="1">IF(G118=0,0,MATCH(G118,OFFSET(iWeights!$B$18,0,0,$E$13,1),0))</f>
        <v>0</v>
      </c>
      <c r="I118" s="39" cm="1">
        <f t="array" aca="1" ref="I118" ca="1">IF(G118=0,0,INDEX(OFFSET(iWeights!$F$18,0,0,$E$13,1),H118))</f>
        <v>0</v>
      </c>
      <c r="J118" s="39" cm="1">
        <f t="array" aca="1" ref="J118" ca="1">IF(G118=0,0,INDEX(OFFSET(iWeights!$G$18,0,0,$E$13,1),H118))</f>
        <v>0</v>
      </c>
      <c r="K118" s="39" t="str" cm="1">
        <f t="array" aca="1" ref="K118" ca="1">IF(G118=0,"",INDEX(auto_Series_Depth,G118))</f>
        <v/>
      </c>
      <c r="L118" s="179">
        <f t="shared" ca="1" si="25"/>
        <v>1</v>
      </c>
      <c r="M118" s="180">
        <f t="shared" ca="1" si="26"/>
        <v>0</v>
      </c>
      <c r="N118" s="181" t="str" cm="1">
        <f t="array" aca="1" ref="N118" ca="1">IF(G118=0,"",CONCATENATE(IF($K118&gt;=4,"    ",""),INDEX(auto_Series_NameNumbered,G118)))</f>
        <v/>
      </c>
      <c r="O118" s="181" t="str">
        <f t="shared" ca="1" si="27"/>
        <v/>
      </c>
      <c r="P118" s="182" t="str">
        <f t="shared" ca="1" si="28"/>
        <v/>
      </c>
      <c r="Q118" s="183" t="str">
        <f t="shared" ca="1" si="29"/>
        <v/>
      </c>
      <c r="R118" s="194"/>
      <c r="S118" s="182" t="str" cm="1">
        <f t="array" aca="1" ref="S118" ca="1">IF(G118=0,"",IF(K118=1,"",INDEX(OFFSET(iWeights!$I$18,0,0,$E$13,1),$H118)))</f>
        <v/>
      </c>
      <c r="T118" s="183" t="str">
        <f t="shared" ca="1" si="30"/>
        <v/>
      </c>
      <c r="U118" s="37"/>
      <c r="V118" s="37"/>
      <c r="W118" s="37"/>
      <c r="X118" s="37"/>
      <c r="Y118" s="37"/>
    </row>
    <row r="119" spans="1:25" ht="17.5" customHeight="1" x14ac:dyDescent="0.35">
      <c r="A119" s="178" t="str">
        <f t="shared" ca="1" si="24"/>
        <v>H</v>
      </c>
      <c r="B119" s="37"/>
      <c r="C119" s="37"/>
      <c r="D119" s="37"/>
      <c r="E119" s="37"/>
      <c r="F119" s="37">
        <v>83</v>
      </c>
      <c r="G119" s="39" cm="1">
        <f t="array" aca="1" ref="G119" ca="1">IFERROR(INDEX(OFFSET(auto_ss_All_Scoring,0,1,500,1),F119),0)</f>
        <v>0</v>
      </c>
      <c r="H119" s="39">
        <f ca="1">IF(G119=0,0,MATCH(G119,OFFSET(iWeights!$B$18,0,0,$E$13,1),0))</f>
        <v>0</v>
      </c>
      <c r="I119" s="39" cm="1">
        <f t="array" aca="1" ref="I119" ca="1">IF(G119=0,0,INDEX(OFFSET(iWeights!$F$18,0,0,$E$13,1),H119))</f>
        <v>0</v>
      </c>
      <c r="J119" s="39" cm="1">
        <f t="array" aca="1" ref="J119" ca="1">IF(G119=0,0,INDEX(OFFSET(iWeights!$G$18,0,0,$E$13,1),H119))</f>
        <v>0</v>
      </c>
      <c r="K119" s="39" t="str" cm="1">
        <f t="array" aca="1" ref="K119" ca="1">IF(G119=0,"",INDEX(auto_Series_Depth,G119))</f>
        <v/>
      </c>
      <c r="L119" s="179">
        <f t="shared" ca="1" si="25"/>
        <v>1</v>
      </c>
      <c r="M119" s="180">
        <f t="shared" ca="1" si="26"/>
        <v>0</v>
      </c>
      <c r="N119" s="181" t="str" cm="1">
        <f t="array" aca="1" ref="N119" ca="1">IF(G119=0,"",CONCATENATE(IF($K119&gt;=4,"    ",""),INDEX(auto_Series_NameNumbered,G119)))</f>
        <v/>
      </c>
      <c r="O119" s="181" t="str">
        <f t="shared" ca="1" si="27"/>
        <v/>
      </c>
      <c r="P119" s="182" t="str">
        <f t="shared" ca="1" si="28"/>
        <v/>
      </c>
      <c r="Q119" s="183" t="str">
        <f t="shared" ca="1" si="29"/>
        <v/>
      </c>
      <c r="R119" s="194"/>
      <c r="S119" s="182" t="str" cm="1">
        <f t="array" aca="1" ref="S119" ca="1">IF(G119=0,"",IF(K119=1,"",INDEX(OFFSET(iWeights!$I$18,0,0,$E$13,1),$H119)))</f>
        <v/>
      </c>
      <c r="T119" s="183" t="str">
        <f t="shared" ca="1" si="30"/>
        <v/>
      </c>
      <c r="U119" s="37"/>
      <c r="V119" s="37"/>
      <c r="W119" s="37"/>
      <c r="X119" s="37"/>
      <c r="Y119" s="37"/>
    </row>
    <row r="120" spans="1:25" ht="17.5" customHeight="1" x14ac:dyDescent="0.35">
      <c r="A120" s="178" t="str">
        <f t="shared" ca="1" si="24"/>
        <v>H</v>
      </c>
      <c r="B120" s="37"/>
      <c r="C120" s="37"/>
      <c r="D120" s="37"/>
      <c r="E120" s="37"/>
      <c r="F120" s="37">
        <v>84</v>
      </c>
      <c r="G120" s="39" cm="1">
        <f t="array" aca="1" ref="G120" ca="1">IFERROR(INDEX(OFFSET(auto_ss_All_Scoring,0,1,500,1),F120),0)</f>
        <v>0</v>
      </c>
      <c r="H120" s="39">
        <f ca="1">IF(G120=0,0,MATCH(G120,OFFSET(iWeights!$B$18,0,0,$E$13,1),0))</f>
        <v>0</v>
      </c>
      <c r="I120" s="39" cm="1">
        <f t="array" aca="1" ref="I120" ca="1">IF(G120=0,0,INDEX(OFFSET(iWeights!$F$18,0,0,$E$13,1),H120))</f>
        <v>0</v>
      </c>
      <c r="J120" s="39" cm="1">
        <f t="array" aca="1" ref="J120" ca="1">IF(G120=0,0,INDEX(OFFSET(iWeights!$G$18,0,0,$E$13,1),H120))</f>
        <v>0</v>
      </c>
      <c r="K120" s="39" t="str" cm="1">
        <f t="array" aca="1" ref="K120" ca="1">IF(G120=0,"",INDEX(auto_Series_Depth,G120))</f>
        <v/>
      </c>
      <c r="L120" s="179">
        <f t="shared" ca="1" si="25"/>
        <v>1</v>
      </c>
      <c r="M120" s="180">
        <f t="shared" ca="1" si="26"/>
        <v>0</v>
      </c>
      <c r="N120" s="181" t="str" cm="1">
        <f t="array" aca="1" ref="N120" ca="1">IF(G120=0,"",CONCATENATE(IF($K120&gt;=4,"    ",""),INDEX(auto_Series_NameNumbered,G120)))</f>
        <v/>
      </c>
      <c r="O120" s="181" t="str">
        <f t="shared" ca="1" si="27"/>
        <v/>
      </c>
      <c r="P120" s="182" t="str">
        <f t="shared" ca="1" si="28"/>
        <v/>
      </c>
      <c r="Q120" s="183" t="str">
        <f t="shared" ca="1" si="29"/>
        <v/>
      </c>
      <c r="R120" s="194"/>
      <c r="S120" s="182" t="str" cm="1">
        <f t="array" aca="1" ref="S120" ca="1">IF(G120=0,"",IF(K120=1,"",INDEX(OFFSET(iWeights!$I$18,0,0,$E$13,1),$H120)))</f>
        <v/>
      </c>
      <c r="T120" s="183" t="str">
        <f t="shared" ca="1" si="30"/>
        <v/>
      </c>
      <c r="U120" s="37"/>
      <c r="V120" s="37"/>
      <c r="W120" s="37"/>
      <c r="X120" s="37"/>
      <c r="Y120" s="37"/>
    </row>
    <row r="121" spans="1:25" ht="17.5" customHeight="1" x14ac:dyDescent="0.35">
      <c r="A121" s="178" t="str">
        <f t="shared" ca="1" si="24"/>
        <v>H</v>
      </c>
      <c r="B121" s="37"/>
      <c r="C121" s="37"/>
      <c r="D121" s="37"/>
      <c r="E121" s="37"/>
      <c r="F121" s="37">
        <v>85</v>
      </c>
      <c r="G121" s="39" cm="1">
        <f t="array" aca="1" ref="G121" ca="1">IFERROR(INDEX(OFFSET(auto_ss_All_Scoring,0,1,500,1),F121),0)</f>
        <v>0</v>
      </c>
      <c r="H121" s="39">
        <f ca="1">IF(G121=0,0,MATCH(G121,OFFSET(iWeights!$B$18,0,0,$E$13,1),0))</f>
        <v>0</v>
      </c>
      <c r="I121" s="39" cm="1">
        <f t="array" aca="1" ref="I121" ca="1">IF(G121=0,0,INDEX(OFFSET(iWeights!$F$18,0,0,$E$13,1),H121))</f>
        <v>0</v>
      </c>
      <c r="J121" s="39" cm="1">
        <f t="array" aca="1" ref="J121" ca="1">IF(G121=0,0,INDEX(OFFSET(iWeights!$G$18,0,0,$E$13,1),H121))</f>
        <v>0</v>
      </c>
      <c r="K121" s="39" t="str" cm="1">
        <f t="array" aca="1" ref="K121" ca="1">IF(G121=0,"",INDEX(auto_Series_Depth,G121))</f>
        <v/>
      </c>
      <c r="L121" s="179">
        <f t="shared" ca="1" si="25"/>
        <v>1</v>
      </c>
      <c r="M121" s="180">
        <f t="shared" ca="1" si="26"/>
        <v>0</v>
      </c>
      <c r="N121" s="181" t="str" cm="1">
        <f t="array" aca="1" ref="N121" ca="1">IF(G121=0,"",CONCATENATE(IF($K121&gt;=4,"    ",""),INDEX(auto_Series_NameNumbered,G121)))</f>
        <v/>
      </c>
      <c r="O121" s="181" t="str">
        <f t="shared" ca="1" si="27"/>
        <v/>
      </c>
      <c r="P121" s="182" t="str">
        <f t="shared" ca="1" si="28"/>
        <v/>
      </c>
      <c r="Q121" s="183" t="str">
        <f t="shared" ca="1" si="29"/>
        <v/>
      </c>
      <c r="R121" s="194"/>
      <c r="S121" s="182" t="str" cm="1">
        <f t="array" aca="1" ref="S121" ca="1">IF(G121=0,"",IF(K121=1,"",INDEX(OFFSET(iWeights!$I$18,0,0,$E$13,1),$H121)))</f>
        <v/>
      </c>
      <c r="T121" s="183" t="str">
        <f t="shared" ca="1" si="30"/>
        <v/>
      </c>
      <c r="U121" s="37"/>
      <c r="V121" s="37"/>
      <c r="W121" s="37"/>
      <c r="X121" s="37"/>
      <c r="Y121" s="37"/>
    </row>
    <row r="122" spans="1:25" ht="17.5" customHeight="1" x14ac:dyDescent="0.35">
      <c r="A122" s="178" t="str">
        <f t="shared" ca="1" si="24"/>
        <v>H</v>
      </c>
      <c r="B122" s="37"/>
      <c r="C122" s="37"/>
      <c r="D122" s="37"/>
      <c r="E122" s="37"/>
      <c r="F122" s="37">
        <v>86</v>
      </c>
      <c r="G122" s="39" cm="1">
        <f t="array" aca="1" ref="G122" ca="1">IFERROR(INDEX(OFFSET(auto_ss_All_Scoring,0,1,500,1),F122),0)</f>
        <v>0</v>
      </c>
      <c r="H122" s="39">
        <f ca="1">IF(G122=0,0,MATCH(G122,OFFSET(iWeights!$B$18,0,0,$E$13,1),0))</f>
        <v>0</v>
      </c>
      <c r="I122" s="39" cm="1">
        <f t="array" aca="1" ref="I122" ca="1">IF(G122=0,0,INDEX(OFFSET(iWeights!$F$18,0,0,$E$13,1),H122))</f>
        <v>0</v>
      </c>
      <c r="J122" s="39" cm="1">
        <f t="array" aca="1" ref="J122" ca="1">IF(G122=0,0,INDEX(OFFSET(iWeights!$G$18,0,0,$E$13,1),H122))</f>
        <v>0</v>
      </c>
      <c r="K122" s="39" t="str" cm="1">
        <f t="array" aca="1" ref="K122" ca="1">IF(G122=0,"",INDEX(auto_Series_Depth,G122))</f>
        <v/>
      </c>
      <c r="L122" s="179">
        <f t="shared" ca="1" si="25"/>
        <v>1</v>
      </c>
      <c r="M122" s="180">
        <f t="shared" ca="1" si="26"/>
        <v>0</v>
      </c>
      <c r="N122" s="181" t="str" cm="1">
        <f t="array" aca="1" ref="N122" ca="1">IF(G122=0,"",CONCATENATE(IF($K122&gt;=4,"    ",""),INDEX(auto_Series_NameNumbered,G122)))</f>
        <v/>
      </c>
      <c r="O122" s="181" t="str">
        <f t="shared" ca="1" si="27"/>
        <v/>
      </c>
      <c r="P122" s="182" t="str">
        <f t="shared" ca="1" si="28"/>
        <v/>
      </c>
      <c r="Q122" s="183" t="str">
        <f t="shared" ca="1" si="29"/>
        <v/>
      </c>
      <c r="R122" s="194"/>
      <c r="S122" s="182" t="str" cm="1">
        <f t="array" aca="1" ref="S122" ca="1">IF(G122=0,"",IF(K122=1,"",INDEX(OFFSET(iWeights!$I$18,0,0,$E$13,1),$H122)))</f>
        <v/>
      </c>
      <c r="T122" s="183" t="str">
        <f t="shared" ca="1" si="30"/>
        <v/>
      </c>
      <c r="U122" s="37"/>
      <c r="V122" s="37"/>
      <c r="W122" s="37"/>
      <c r="X122" s="37"/>
      <c r="Y122" s="37"/>
    </row>
    <row r="123" spans="1:25" ht="17.5" customHeight="1" x14ac:dyDescent="0.35">
      <c r="A123" s="178" t="str">
        <f t="shared" ca="1" si="24"/>
        <v>H</v>
      </c>
      <c r="B123" s="37"/>
      <c r="C123" s="37"/>
      <c r="D123" s="37"/>
      <c r="E123" s="37"/>
      <c r="F123" s="37">
        <v>87</v>
      </c>
      <c r="G123" s="39" cm="1">
        <f t="array" aca="1" ref="G123" ca="1">IFERROR(INDEX(OFFSET(auto_ss_All_Scoring,0,1,500,1),F123),0)</f>
        <v>0</v>
      </c>
      <c r="H123" s="39">
        <f ca="1">IF(G123=0,0,MATCH(G123,OFFSET(iWeights!$B$18,0,0,$E$13,1),0))</f>
        <v>0</v>
      </c>
      <c r="I123" s="39" cm="1">
        <f t="array" aca="1" ref="I123" ca="1">IF(G123=0,0,INDEX(OFFSET(iWeights!$F$18,0,0,$E$13,1),H123))</f>
        <v>0</v>
      </c>
      <c r="J123" s="39" cm="1">
        <f t="array" aca="1" ref="J123" ca="1">IF(G123=0,0,INDEX(OFFSET(iWeights!$G$18,0,0,$E$13,1),H123))</f>
        <v>0</v>
      </c>
      <c r="K123" s="39" t="str" cm="1">
        <f t="array" aca="1" ref="K123" ca="1">IF(G123=0,"",INDEX(auto_Series_Depth,G123))</f>
        <v/>
      </c>
      <c r="L123" s="179">
        <f t="shared" ca="1" si="25"/>
        <v>1</v>
      </c>
      <c r="M123" s="180">
        <f t="shared" ca="1" si="26"/>
        <v>0</v>
      </c>
      <c r="N123" s="181" t="str" cm="1">
        <f t="array" aca="1" ref="N123" ca="1">IF(G123=0,"",CONCATENATE(IF($K123&gt;=4,"    ",""),INDEX(auto_Series_NameNumbered,G123)))</f>
        <v/>
      </c>
      <c r="O123" s="181" t="str">
        <f t="shared" ca="1" si="27"/>
        <v/>
      </c>
      <c r="P123" s="182" t="str">
        <f t="shared" ca="1" si="28"/>
        <v/>
      </c>
      <c r="Q123" s="183" t="str">
        <f t="shared" ca="1" si="29"/>
        <v/>
      </c>
      <c r="R123" s="194"/>
      <c r="S123" s="182" t="str" cm="1">
        <f t="array" aca="1" ref="S123" ca="1">IF(G123=0,"",IF(K123=1,"",INDEX(OFFSET(iWeights!$I$18,0,0,$E$13,1),$H123)))</f>
        <v/>
      </c>
      <c r="T123" s="183" t="str">
        <f t="shared" ca="1" si="30"/>
        <v/>
      </c>
      <c r="U123" s="37"/>
      <c r="V123" s="37"/>
      <c r="W123" s="37"/>
      <c r="X123" s="37"/>
      <c r="Y123" s="37"/>
    </row>
    <row r="124" spans="1:25" ht="17.5" customHeight="1" x14ac:dyDescent="0.35">
      <c r="A124" s="178" t="str">
        <f t="shared" ca="1" si="24"/>
        <v>H</v>
      </c>
      <c r="B124" s="37"/>
      <c r="C124" s="37"/>
      <c r="D124" s="37"/>
      <c r="E124" s="37"/>
      <c r="F124" s="37">
        <v>88</v>
      </c>
      <c r="G124" s="39" cm="1">
        <f t="array" aca="1" ref="G124" ca="1">IFERROR(INDEX(OFFSET(auto_ss_All_Scoring,0,1,500,1),F124),0)</f>
        <v>0</v>
      </c>
      <c r="H124" s="39">
        <f ca="1">IF(G124=0,0,MATCH(G124,OFFSET(iWeights!$B$18,0,0,$E$13,1),0))</f>
        <v>0</v>
      </c>
      <c r="I124" s="39" cm="1">
        <f t="array" aca="1" ref="I124" ca="1">IF(G124=0,0,INDEX(OFFSET(iWeights!$F$18,0,0,$E$13,1),H124))</f>
        <v>0</v>
      </c>
      <c r="J124" s="39" cm="1">
        <f t="array" aca="1" ref="J124" ca="1">IF(G124=0,0,INDEX(OFFSET(iWeights!$G$18,0,0,$E$13,1),H124))</f>
        <v>0</v>
      </c>
      <c r="K124" s="39" t="str" cm="1">
        <f t="array" aca="1" ref="K124" ca="1">IF(G124=0,"",INDEX(auto_Series_Depth,G124))</f>
        <v/>
      </c>
      <c r="L124" s="179">
        <f t="shared" ca="1" si="25"/>
        <v>1</v>
      </c>
      <c r="M124" s="180">
        <f t="shared" ca="1" si="26"/>
        <v>0</v>
      </c>
      <c r="N124" s="181" t="str" cm="1">
        <f t="array" aca="1" ref="N124" ca="1">IF(G124=0,"",CONCATENATE(IF($K124&gt;=4,"    ",""),INDEX(auto_Series_NameNumbered,G124)))</f>
        <v/>
      </c>
      <c r="O124" s="181" t="str">
        <f t="shared" ca="1" si="27"/>
        <v/>
      </c>
      <c r="P124" s="182" t="str">
        <f t="shared" ca="1" si="28"/>
        <v/>
      </c>
      <c r="Q124" s="183" t="str">
        <f t="shared" ca="1" si="29"/>
        <v/>
      </c>
      <c r="R124" s="194"/>
      <c r="S124" s="182" t="str" cm="1">
        <f t="array" aca="1" ref="S124" ca="1">IF(G124=0,"",IF(K124=1,"",INDEX(OFFSET(iWeights!$I$18,0,0,$E$13,1),$H124)))</f>
        <v/>
      </c>
      <c r="T124" s="183" t="str">
        <f t="shared" ca="1" si="30"/>
        <v/>
      </c>
      <c r="U124" s="37"/>
      <c r="V124" s="37"/>
      <c r="W124" s="37"/>
      <c r="X124" s="37"/>
      <c r="Y124" s="37"/>
    </row>
    <row r="125" spans="1:25" ht="17.5" customHeight="1" x14ac:dyDescent="0.35">
      <c r="A125" s="178" t="str">
        <f t="shared" ca="1" si="24"/>
        <v>H</v>
      </c>
      <c r="B125" s="37"/>
      <c r="C125" s="37"/>
      <c r="D125" s="37"/>
      <c r="E125" s="37"/>
      <c r="F125" s="37">
        <v>89</v>
      </c>
      <c r="G125" s="39" cm="1">
        <f t="array" aca="1" ref="G125" ca="1">IFERROR(INDEX(OFFSET(auto_ss_All_Scoring,0,1,500,1),F125),0)</f>
        <v>0</v>
      </c>
      <c r="H125" s="39">
        <f ca="1">IF(G125=0,0,MATCH(G125,OFFSET(iWeights!$B$18,0,0,$E$13,1),0))</f>
        <v>0</v>
      </c>
      <c r="I125" s="39" cm="1">
        <f t="array" aca="1" ref="I125" ca="1">IF(G125=0,0,INDEX(OFFSET(iWeights!$F$18,0,0,$E$13,1),H125))</f>
        <v>0</v>
      </c>
      <c r="J125" s="39" cm="1">
        <f t="array" aca="1" ref="J125" ca="1">IF(G125=0,0,INDEX(OFFSET(iWeights!$G$18,0,0,$E$13,1),H125))</f>
        <v>0</v>
      </c>
      <c r="K125" s="39" t="str" cm="1">
        <f t="array" aca="1" ref="K125" ca="1">IF(G125=0,"",INDEX(auto_Series_Depth,G125))</f>
        <v/>
      </c>
      <c r="L125" s="179">
        <f t="shared" ca="1" si="25"/>
        <v>1</v>
      </c>
      <c r="M125" s="180">
        <f t="shared" ca="1" si="26"/>
        <v>0</v>
      </c>
      <c r="N125" s="181" t="str" cm="1">
        <f t="array" aca="1" ref="N125" ca="1">IF(G125=0,"",CONCATENATE(IF($K125&gt;=4,"    ",""),INDEX(auto_Series_NameNumbered,G125)))</f>
        <v/>
      </c>
      <c r="O125" s="181" t="str">
        <f t="shared" ca="1" si="27"/>
        <v/>
      </c>
      <c r="P125" s="182" t="str">
        <f t="shared" ca="1" si="28"/>
        <v/>
      </c>
      <c r="Q125" s="183" t="str">
        <f t="shared" ca="1" si="29"/>
        <v/>
      </c>
      <c r="R125" s="194"/>
      <c r="S125" s="182" t="str" cm="1">
        <f t="array" aca="1" ref="S125" ca="1">IF(G125=0,"",IF(K125=1,"",INDEX(OFFSET(iWeights!$I$18,0,0,$E$13,1),$H125)))</f>
        <v/>
      </c>
      <c r="T125" s="183" t="str">
        <f t="shared" ca="1" si="30"/>
        <v/>
      </c>
      <c r="U125" s="37"/>
      <c r="V125" s="37"/>
      <c r="W125" s="37"/>
      <c r="X125" s="37"/>
      <c r="Y125" s="37"/>
    </row>
    <row r="126" spans="1:25" ht="17.5" customHeight="1" x14ac:dyDescent="0.35">
      <c r="A126" s="178" t="str">
        <f t="shared" ca="1" si="24"/>
        <v>H</v>
      </c>
      <c r="B126" s="37"/>
      <c r="C126" s="37"/>
      <c r="D126" s="37"/>
      <c r="E126" s="37"/>
      <c r="F126" s="37">
        <v>90</v>
      </c>
      <c r="G126" s="39" cm="1">
        <f t="array" aca="1" ref="G126" ca="1">IFERROR(INDEX(OFFSET(auto_ss_All_Scoring,0,1,500,1),F126),0)</f>
        <v>0</v>
      </c>
      <c r="H126" s="39">
        <f ca="1">IF(G126=0,0,MATCH(G126,OFFSET(iWeights!$B$18,0,0,$E$13,1),0))</f>
        <v>0</v>
      </c>
      <c r="I126" s="39" cm="1">
        <f t="array" aca="1" ref="I126" ca="1">IF(G126=0,0,INDEX(OFFSET(iWeights!$F$18,0,0,$E$13,1),H126))</f>
        <v>0</v>
      </c>
      <c r="J126" s="39" cm="1">
        <f t="array" aca="1" ref="J126" ca="1">IF(G126=0,0,INDEX(OFFSET(iWeights!$G$18,0,0,$E$13,1),H126))</f>
        <v>0</v>
      </c>
      <c r="K126" s="39" t="str" cm="1">
        <f t="array" aca="1" ref="K126" ca="1">IF(G126=0,"",INDEX(auto_Series_Depth,G126))</f>
        <v/>
      </c>
      <c r="L126" s="179">
        <f t="shared" ca="1" si="25"/>
        <v>1</v>
      </c>
      <c r="M126" s="180">
        <f t="shared" ca="1" si="26"/>
        <v>0</v>
      </c>
      <c r="N126" s="181" t="str" cm="1">
        <f t="array" aca="1" ref="N126" ca="1">IF(G126=0,"",CONCATENATE(IF($K126&gt;=4,"    ",""),INDEX(auto_Series_NameNumbered,G126)))</f>
        <v/>
      </c>
      <c r="O126" s="181" t="str">
        <f t="shared" ca="1" si="27"/>
        <v/>
      </c>
      <c r="P126" s="182" t="str">
        <f t="shared" ca="1" si="28"/>
        <v/>
      </c>
      <c r="Q126" s="183" t="str">
        <f t="shared" ca="1" si="29"/>
        <v/>
      </c>
      <c r="R126" s="194"/>
      <c r="S126" s="182" t="str" cm="1">
        <f t="array" aca="1" ref="S126" ca="1">IF(G126=0,"",IF(K126=1,"",INDEX(OFFSET(iWeights!$I$18,0,0,$E$13,1),$H126)))</f>
        <v/>
      </c>
      <c r="T126" s="183" t="str">
        <f t="shared" ca="1" si="30"/>
        <v/>
      </c>
      <c r="U126" s="37"/>
      <c r="V126" s="37"/>
      <c r="W126" s="37"/>
      <c r="X126" s="37"/>
      <c r="Y126" s="37"/>
    </row>
    <row r="127" spans="1:25" ht="17.5" customHeight="1" x14ac:dyDescent="0.35">
      <c r="A127" s="178" t="str">
        <f t="shared" ca="1" si="24"/>
        <v>H</v>
      </c>
      <c r="B127" s="37"/>
      <c r="C127" s="37"/>
      <c r="D127" s="37"/>
      <c r="E127" s="37"/>
      <c r="F127" s="37">
        <v>91</v>
      </c>
      <c r="G127" s="39" cm="1">
        <f t="array" aca="1" ref="G127" ca="1">IFERROR(INDEX(OFFSET(auto_ss_All_Scoring,0,1,500,1),F127),0)</f>
        <v>0</v>
      </c>
      <c r="H127" s="39">
        <f ca="1">IF(G127=0,0,MATCH(G127,OFFSET(iWeights!$B$18,0,0,$E$13,1),0))</f>
        <v>0</v>
      </c>
      <c r="I127" s="39" cm="1">
        <f t="array" aca="1" ref="I127" ca="1">IF(G127=0,0,INDEX(OFFSET(iWeights!$F$18,0,0,$E$13,1),H127))</f>
        <v>0</v>
      </c>
      <c r="J127" s="39" cm="1">
        <f t="array" aca="1" ref="J127" ca="1">IF(G127=0,0,INDEX(OFFSET(iWeights!$G$18,0,0,$E$13,1),H127))</f>
        <v>0</v>
      </c>
      <c r="K127" s="39" t="str" cm="1">
        <f t="array" aca="1" ref="K127" ca="1">IF(G127=0,"",INDEX(auto_Series_Depth,G127))</f>
        <v/>
      </c>
      <c r="L127" s="179">
        <f t="shared" ca="1" si="25"/>
        <v>1</v>
      </c>
      <c r="M127" s="180">
        <f t="shared" ca="1" si="26"/>
        <v>0</v>
      </c>
      <c r="N127" s="181" t="str" cm="1">
        <f t="array" aca="1" ref="N127" ca="1">IF(G127=0,"",CONCATENATE(IF($K127&gt;=4,"    ",""),INDEX(auto_Series_NameNumbered,G127)))</f>
        <v/>
      </c>
      <c r="O127" s="181" t="str">
        <f t="shared" ca="1" si="27"/>
        <v/>
      </c>
      <c r="P127" s="182" t="str">
        <f t="shared" ca="1" si="28"/>
        <v/>
      </c>
      <c r="Q127" s="183" t="str">
        <f t="shared" ca="1" si="29"/>
        <v/>
      </c>
      <c r="R127" s="194"/>
      <c r="S127" s="182" t="str" cm="1">
        <f t="array" aca="1" ref="S127" ca="1">IF(G127=0,"",IF(K127=1,"",INDEX(OFFSET(iWeights!$I$18,0,0,$E$13,1),$H127)))</f>
        <v/>
      </c>
      <c r="T127" s="183" t="str">
        <f t="shared" ca="1" si="30"/>
        <v/>
      </c>
      <c r="U127" s="37"/>
      <c r="V127" s="37"/>
      <c r="W127" s="37"/>
      <c r="X127" s="37"/>
      <c r="Y127" s="37"/>
    </row>
    <row r="128" spans="1:25" ht="17.5" customHeight="1" x14ac:dyDescent="0.35">
      <c r="A128" s="178" t="str">
        <f t="shared" ca="1" si="24"/>
        <v>H</v>
      </c>
      <c r="B128" s="37"/>
      <c r="C128" s="37"/>
      <c r="D128" s="37"/>
      <c r="E128" s="37"/>
      <c r="F128" s="37">
        <v>92</v>
      </c>
      <c r="G128" s="39" cm="1">
        <f t="array" aca="1" ref="G128" ca="1">IFERROR(INDEX(OFFSET(auto_ss_All_Scoring,0,1,500,1),F128),0)</f>
        <v>0</v>
      </c>
      <c r="H128" s="39">
        <f ca="1">IF(G128=0,0,MATCH(G128,OFFSET(iWeights!$B$18,0,0,$E$13,1),0))</f>
        <v>0</v>
      </c>
      <c r="I128" s="39" cm="1">
        <f t="array" aca="1" ref="I128" ca="1">IF(G128=0,0,INDEX(OFFSET(iWeights!$F$18,0,0,$E$13,1),H128))</f>
        <v>0</v>
      </c>
      <c r="J128" s="39" cm="1">
        <f t="array" aca="1" ref="J128" ca="1">IF(G128=0,0,INDEX(OFFSET(iWeights!$G$18,0,0,$E$13,1),H128))</f>
        <v>0</v>
      </c>
      <c r="K128" s="39" t="str" cm="1">
        <f t="array" aca="1" ref="K128" ca="1">IF(G128=0,"",INDEX(auto_Series_Depth,G128))</f>
        <v/>
      </c>
      <c r="L128" s="179">
        <f t="shared" ca="1" si="25"/>
        <v>1</v>
      </c>
      <c r="M128" s="180">
        <f t="shared" ca="1" si="26"/>
        <v>0</v>
      </c>
      <c r="N128" s="181" t="str" cm="1">
        <f t="array" aca="1" ref="N128" ca="1">IF(G128=0,"",CONCATENATE(IF($K128&gt;=4,"    ",""),INDEX(auto_Series_NameNumbered,G128)))</f>
        <v/>
      </c>
      <c r="O128" s="181" t="str">
        <f t="shared" ca="1" si="27"/>
        <v/>
      </c>
      <c r="P128" s="182" t="str">
        <f t="shared" ca="1" si="28"/>
        <v/>
      </c>
      <c r="Q128" s="183" t="str">
        <f t="shared" ca="1" si="29"/>
        <v/>
      </c>
      <c r="R128" s="194"/>
      <c r="S128" s="182" t="str" cm="1">
        <f t="array" aca="1" ref="S128" ca="1">IF(G128=0,"",IF(K128=1,"",INDEX(OFFSET(iWeights!$I$18,0,0,$E$13,1),$H128)))</f>
        <v/>
      </c>
      <c r="T128" s="183" t="str">
        <f t="shared" ca="1" si="30"/>
        <v/>
      </c>
      <c r="U128" s="37"/>
      <c r="V128" s="37"/>
      <c r="W128" s="37"/>
      <c r="X128" s="37"/>
      <c r="Y128" s="37"/>
    </row>
    <row r="129" spans="1:25" ht="17.5" customHeight="1" x14ac:dyDescent="0.35">
      <c r="A129" s="178" t="str">
        <f t="shared" ca="1" si="24"/>
        <v>H</v>
      </c>
      <c r="B129" s="37"/>
      <c r="C129" s="37"/>
      <c r="D129" s="37"/>
      <c r="E129" s="37"/>
      <c r="F129" s="37">
        <v>93</v>
      </c>
      <c r="G129" s="39" cm="1">
        <f t="array" aca="1" ref="G129" ca="1">IFERROR(INDEX(OFFSET(auto_ss_All_Scoring,0,1,500,1),F129),0)</f>
        <v>0</v>
      </c>
      <c r="H129" s="39">
        <f ca="1">IF(G129=0,0,MATCH(G129,OFFSET(iWeights!$B$18,0,0,$E$13,1),0))</f>
        <v>0</v>
      </c>
      <c r="I129" s="39" cm="1">
        <f t="array" aca="1" ref="I129" ca="1">IF(G129=0,0,INDEX(OFFSET(iWeights!$F$18,0,0,$E$13,1),H129))</f>
        <v>0</v>
      </c>
      <c r="J129" s="39" cm="1">
        <f t="array" aca="1" ref="J129" ca="1">IF(G129=0,0,INDEX(OFFSET(iWeights!$G$18,0,0,$E$13,1),H129))</f>
        <v>0</v>
      </c>
      <c r="K129" s="39" t="str" cm="1">
        <f t="array" aca="1" ref="K129" ca="1">IF(G129=0,"",INDEX(auto_Series_Depth,G129))</f>
        <v/>
      </c>
      <c r="L129" s="179">
        <f t="shared" ca="1" si="25"/>
        <v>1</v>
      </c>
      <c r="M129" s="180">
        <f t="shared" ca="1" si="26"/>
        <v>0</v>
      </c>
      <c r="N129" s="181" t="str" cm="1">
        <f t="array" aca="1" ref="N129" ca="1">IF(G129=0,"",CONCATENATE(IF($K129&gt;=4,"    ",""),INDEX(auto_Series_NameNumbered,G129)))</f>
        <v/>
      </c>
      <c r="O129" s="181" t="str">
        <f t="shared" ca="1" si="27"/>
        <v/>
      </c>
      <c r="P129" s="182" t="str">
        <f t="shared" ca="1" si="28"/>
        <v/>
      </c>
      <c r="Q129" s="183" t="str">
        <f t="shared" ca="1" si="29"/>
        <v/>
      </c>
      <c r="R129" s="194"/>
      <c r="S129" s="182" t="str" cm="1">
        <f t="array" aca="1" ref="S129" ca="1">IF(G129=0,"",IF(K129=1,"",INDEX(OFFSET(iWeights!$I$18,0,0,$E$13,1),$H129)))</f>
        <v/>
      </c>
      <c r="T129" s="183" t="str">
        <f t="shared" ca="1" si="30"/>
        <v/>
      </c>
      <c r="U129" s="37"/>
      <c r="V129" s="37"/>
      <c r="W129" s="37"/>
      <c r="X129" s="37"/>
      <c r="Y129" s="37"/>
    </row>
    <row r="130" spans="1:25" ht="17.5" customHeight="1" x14ac:dyDescent="0.35">
      <c r="A130" s="178" t="str">
        <f t="shared" ca="1" si="24"/>
        <v>H</v>
      </c>
      <c r="B130" s="37"/>
      <c r="C130" s="37"/>
      <c r="D130" s="37"/>
      <c r="E130" s="37"/>
      <c r="F130" s="37">
        <v>94</v>
      </c>
      <c r="G130" s="39" cm="1">
        <f t="array" aca="1" ref="G130" ca="1">IFERROR(INDEX(OFFSET(auto_ss_All_Scoring,0,1,500,1),F130),0)</f>
        <v>0</v>
      </c>
      <c r="H130" s="39">
        <f ca="1">IF(G130=0,0,MATCH(G130,OFFSET(iWeights!$B$18,0,0,$E$13,1),0))</f>
        <v>0</v>
      </c>
      <c r="I130" s="39" cm="1">
        <f t="array" aca="1" ref="I130" ca="1">IF(G130=0,0,INDEX(OFFSET(iWeights!$F$18,0,0,$E$13,1),H130))</f>
        <v>0</v>
      </c>
      <c r="J130" s="39" cm="1">
        <f t="array" aca="1" ref="J130" ca="1">IF(G130=0,0,INDEX(OFFSET(iWeights!$G$18,0,0,$E$13,1),H130))</f>
        <v>0</v>
      </c>
      <c r="K130" s="39" t="str" cm="1">
        <f t="array" aca="1" ref="K130" ca="1">IF(G130=0,"",INDEX(auto_Series_Depth,G130))</f>
        <v/>
      </c>
      <c r="L130" s="179">
        <f t="shared" ca="1" si="25"/>
        <v>1</v>
      </c>
      <c r="M130" s="180">
        <f t="shared" ca="1" si="26"/>
        <v>0</v>
      </c>
      <c r="N130" s="181" t="str" cm="1">
        <f t="array" aca="1" ref="N130" ca="1">IF(G130=0,"",CONCATENATE(IF($K130&gt;=4,"    ",""),INDEX(auto_Series_NameNumbered,G130)))</f>
        <v/>
      </c>
      <c r="O130" s="181" t="str">
        <f t="shared" ca="1" si="27"/>
        <v/>
      </c>
      <c r="P130" s="182" t="str">
        <f t="shared" ca="1" si="28"/>
        <v/>
      </c>
      <c r="Q130" s="183" t="str">
        <f t="shared" ca="1" si="29"/>
        <v/>
      </c>
      <c r="R130" s="194"/>
      <c r="S130" s="182" t="str" cm="1">
        <f t="array" aca="1" ref="S130" ca="1">IF(G130=0,"",IF(K130=1,"",INDEX(OFFSET(iWeights!$I$18,0,0,$E$13,1),$H130)))</f>
        <v/>
      </c>
      <c r="T130" s="183" t="str">
        <f t="shared" ca="1" si="30"/>
        <v/>
      </c>
      <c r="U130" s="37"/>
      <c r="V130" s="37"/>
      <c r="W130" s="37"/>
      <c r="X130" s="37"/>
      <c r="Y130" s="37"/>
    </row>
    <row r="131" spans="1:25" ht="17.5" customHeight="1" x14ac:dyDescent="0.35">
      <c r="A131" s="178" t="str">
        <f t="shared" ca="1" si="24"/>
        <v>H</v>
      </c>
      <c r="B131" s="37"/>
      <c r="C131" s="37"/>
      <c r="D131" s="37"/>
      <c r="E131" s="37"/>
      <c r="F131" s="37">
        <v>95</v>
      </c>
      <c r="G131" s="39" cm="1">
        <f t="array" aca="1" ref="G131" ca="1">IFERROR(INDEX(OFFSET(auto_ss_All_Scoring,0,1,500,1),F131),0)</f>
        <v>0</v>
      </c>
      <c r="H131" s="39">
        <f ca="1">IF(G131=0,0,MATCH(G131,OFFSET(iWeights!$B$18,0,0,$E$13,1),0))</f>
        <v>0</v>
      </c>
      <c r="I131" s="39" cm="1">
        <f t="array" aca="1" ref="I131" ca="1">IF(G131=0,0,INDEX(OFFSET(iWeights!$F$18,0,0,$E$13,1),H131))</f>
        <v>0</v>
      </c>
      <c r="J131" s="39" cm="1">
        <f t="array" aca="1" ref="J131" ca="1">IF(G131=0,0,INDEX(OFFSET(iWeights!$G$18,0,0,$E$13,1),H131))</f>
        <v>0</v>
      </c>
      <c r="K131" s="39" t="str" cm="1">
        <f t="array" aca="1" ref="K131" ca="1">IF(G131=0,"",INDEX(auto_Series_Depth,G131))</f>
        <v/>
      </c>
      <c r="L131" s="179">
        <f t="shared" ca="1" si="25"/>
        <v>1</v>
      </c>
      <c r="M131" s="180">
        <f t="shared" ca="1" si="26"/>
        <v>0</v>
      </c>
      <c r="N131" s="181" t="str" cm="1">
        <f t="array" aca="1" ref="N131" ca="1">IF(G131=0,"",CONCATENATE(IF($K131&gt;=4,"    ",""),INDEX(auto_Series_NameNumbered,G131)))</f>
        <v/>
      </c>
      <c r="O131" s="181" t="str">
        <f t="shared" ca="1" si="27"/>
        <v/>
      </c>
      <c r="P131" s="182" t="str">
        <f t="shared" ca="1" si="28"/>
        <v/>
      </c>
      <c r="Q131" s="183" t="str">
        <f t="shared" ca="1" si="29"/>
        <v/>
      </c>
      <c r="R131" s="194"/>
      <c r="S131" s="182" t="str" cm="1">
        <f t="array" aca="1" ref="S131" ca="1">IF(G131=0,"",IF(K131=1,"",INDEX(OFFSET(iWeights!$I$18,0,0,$E$13,1),$H131)))</f>
        <v/>
      </c>
      <c r="T131" s="183" t="str">
        <f t="shared" ca="1" si="30"/>
        <v/>
      </c>
      <c r="U131" s="37"/>
      <c r="V131" s="37"/>
      <c r="W131" s="37"/>
      <c r="X131" s="37"/>
      <c r="Y131" s="37"/>
    </row>
    <row r="132" spans="1:25" ht="17.5" customHeight="1" x14ac:dyDescent="0.35">
      <c r="A132" s="178" t="str">
        <f t="shared" ca="1" si="24"/>
        <v>H</v>
      </c>
      <c r="B132" s="37"/>
      <c r="C132" s="37"/>
      <c r="D132" s="37"/>
      <c r="E132" s="37"/>
      <c r="F132" s="37">
        <v>96</v>
      </c>
      <c r="G132" s="39" cm="1">
        <f t="array" aca="1" ref="G132" ca="1">IFERROR(INDEX(OFFSET(auto_ss_All_Scoring,0,1,500,1),F132),0)</f>
        <v>0</v>
      </c>
      <c r="H132" s="39">
        <f ca="1">IF(G132=0,0,MATCH(G132,OFFSET(iWeights!$B$18,0,0,$E$13,1),0))</f>
        <v>0</v>
      </c>
      <c r="I132" s="39" cm="1">
        <f t="array" aca="1" ref="I132" ca="1">IF(G132=0,0,INDEX(OFFSET(iWeights!$F$18,0,0,$E$13,1),H132))</f>
        <v>0</v>
      </c>
      <c r="J132" s="39" cm="1">
        <f t="array" aca="1" ref="J132" ca="1">IF(G132=0,0,INDEX(OFFSET(iWeights!$G$18,0,0,$E$13,1),H132))</f>
        <v>0</v>
      </c>
      <c r="K132" s="39" t="str" cm="1">
        <f t="array" aca="1" ref="K132" ca="1">IF(G132=0,"",INDEX(auto_Series_Depth,G132))</f>
        <v/>
      </c>
      <c r="L132" s="179">
        <f t="shared" ca="1" si="25"/>
        <v>1</v>
      </c>
      <c r="M132" s="180">
        <f t="shared" ca="1" si="26"/>
        <v>0</v>
      </c>
      <c r="N132" s="181" t="str" cm="1">
        <f t="array" aca="1" ref="N132" ca="1">IF(G132=0,"",CONCATENATE(IF($K132&gt;=4,"    ",""),INDEX(auto_Series_NameNumbered,G132)))</f>
        <v/>
      </c>
      <c r="O132" s="181" t="str">
        <f t="shared" ca="1" si="27"/>
        <v/>
      </c>
      <c r="P132" s="182" t="str">
        <f t="shared" ca="1" si="28"/>
        <v/>
      </c>
      <c r="Q132" s="183" t="str">
        <f t="shared" ca="1" si="29"/>
        <v/>
      </c>
      <c r="R132" s="194"/>
      <c r="S132" s="182" t="str" cm="1">
        <f t="array" aca="1" ref="S132" ca="1">IF(G132=0,"",IF(K132=1,"",INDEX(OFFSET(iWeights!$I$18,0,0,$E$13,1),$H132)))</f>
        <v/>
      </c>
      <c r="T132" s="183" t="str">
        <f t="shared" ca="1" si="30"/>
        <v/>
      </c>
      <c r="U132" s="37"/>
      <c r="V132" s="37"/>
      <c r="W132" s="37"/>
      <c r="X132" s="37"/>
      <c r="Y132" s="37"/>
    </row>
    <row r="133" spans="1:25" ht="17.5" customHeight="1" x14ac:dyDescent="0.35">
      <c r="A133" s="178" t="str">
        <f t="shared" ca="1" si="24"/>
        <v>H</v>
      </c>
      <c r="B133" s="37"/>
      <c r="C133" s="37"/>
      <c r="D133" s="37"/>
      <c r="E133" s="37"/>
      <c r="F133" s="37">
        <v>97</v>
      </c>
      <c r="G133" s="39" cm="1">
        <f t="array" aca="1" ref="G133" ca="1">IFERROR(INDEX(OFFSET(auto_ss_All_Scoring,0,1,500,1),F133),0)</f>
        <v>0</v>
      </c>
      <c r="H133" s="39">
        <f ca="1">IF(G133=0,0,MATCH(G133,OFFSET(iWeights!$B$18,0,0,$E$13,1),0))</f>
        <v>0</v>
      </c>
      <c r="I133" s="39" cm="1">
        <f t="array" aca="1" ref="I133" ca="1">IF(G133=0,0,INDEX(OFFSET(iWeights!$F$18,0,0,$E$13,1),H133))</f>
        <v>0</v>
      </c>
      <c r="J133" s="39" cm="1">
        <f t="array" aca="1" ref="J133" ca="1">IF(G133=0,0,INDEX(OFFSET(iWeights!$G$18,0,0,$E$13,1),H133))</f>
        <v>0</v>
      </c>
      <c r="K133" s="39" t="str" cm="1">
        <f t="array" aca="1" ref="K133" ca="1">IF(G133=0,"",INDEX(auto_Series_Depth,G133))</f>
        <v/>
      </c>
      <c r="L133" s="179">
        <f t="shared" ca="1" si="25"/>
        <v>1</v>
      </c>
      <c r="M133" s="180">
        <f t="shared" ca="1" si="26"/>
        <v>0</v>
      </c>
      <c r="N133" s="181" t="str" cm="1">
        <f t="array" aca="1" ref="N133" ca="1">IF(G133=0,"",CONCATENATE(IF($K133&gt;=4,"    ",""),INDEX(auto_Series_NameNumbered,G133)))</f>
        <v/>
      </c>
      <c r="O133" s="181" t="str">
        <f t="shared" ca="1" si="27"/>
        <v/>
      </c>
      <c r="P133" s="182" t="str">
        <f t="shared" ca="1" si="28"/>
        <v/>
      </c>
      <c r="Q133" s="183" t="str">
        <f t="shared" ca="1" si="29"/>
        <v/>
      </c>
      <c r="R133" s="194"/>
      <c r="S133" s="182" t="str" cm="1">
        <f t="array" aca="1" ref="S133" ca="1">IF(G133=0,"",IF(K133=1,"",INDEX(OFFSET(iWeights!$I$18,0,0,$E$13,1),$H133)))</f>
        <v/>
      </c>
      <c r="T133" s="183" t="str">
        <f t="shared" ca="1" si="30"/>
        <v/>
      </c>
      <c r="U133" s="37"/>
      <c r="V133" s="37"/>
      <c r="W133" s="37"/>
      <c r="X133" s="37"/>
      <c r="Y133" s="37"/>
    </row>
    <row r="134" spans="1:25" ht="17.5" customHeight="1" x14ac:dyDescent="0.35">
      <c r="A134" s="178" t="str">
        <f t="shared" ca="1" si="24"/>
        <v>H</v>
      </c>
      <c r="B134" s="37"/>
      <c r="C134" s="37"/>
      <c r="D134" s="37"/>
      <c r="E134" s="37"/>
      <c r="F134" s="37">
        <v>98</v>
      </c>
      <c r="G134" s="39" cm="1">
        <f t="array" aca="1" ref="G134" ca="1">IFERROR(INDEX(OFFSET(auto_ss_All_Scoring,0,1,500,1),F134),0)</f>
        <v>0</v>
      </c>
      <c r="H134" s="39">
        <f ca="1">IF(G134=0,0,MATCH(G134,OFFSET(iWeights!$B$18,0,0,$E$13,1),0))</f>
        <v>0</v>
      </c>
      <c r="I134" s="39" cm="1">
        <f t="array" aca="1" ref="I134" ca="1">IF(G134=0,0,INDEX(OFFSET(iWeights!$F$18,0,0,$E$13,1),H134))</f>
        <v>0</v>
      </c>
      <c r="J134" s="39" cm="1">
        <f t="array" aca="1" ref="J134" ca="1">IF(G134=0,0,INDEX(OFFSET(iWeights!$G$18,0,0,$E$13,1),H134))</f>
        <v>0</v>
      </c>
      <c r="K134" s="39" t="str" cm="1">
        <f t="array" aca="1" ref="K134" ca="1">IF(G134=0,"",INDEX(auto_Series_Depth,G134))</f>
        <v/>
      </c>
      <c r="L134" s="179">
        <f t="shared" ca="1" si="25"/>
        <v>1</v>
      </c>
      <c r="M134" s="180">
        <f t="shared" ca="1" si="26"/>
        <v>0</v>
      </c>
      <c r="N134" s="181" t="str" cm="1">
        <f t="array" aca="1" ref="N134" ca="1">IF(G134=0,"",CONCATENATE(IF($K134&gt;=4,"    ",""),INDEX(auto_Series_NameNumbered,G134)))</f>
        <v/>
      </c>
      <c r="O134" s="181" t="str">
        <f t="shared" ca="1" si="27"/>
        <v/>
      </c>
      <c r="P134" s="182" t="str">
        <f t="shared" ca="1" si="28"/>
        <v/>
      </c>
      <c r="Q134" s="183" t="str">
        <f t="shared" ca="1" si="29"/>
        <v/>
      </c>
      <c r="R134" s="194"/>
      <c r="S134" s="182" t="str" cm="1">
        <f t="array" aca="1" ref="S134" ca="1">IF(G134=0,"",IF(K134=1,"",INDEX(OFFSET(iWeights!$I$18,0,0,$E$13,1),$H134)))</f>
        <v/>
      </c>
      <c r="T134" s="183" t="str">
        <f t="shared" ca="1" si="30"/>
        <v/>
      </c>
      <c r="U134" s="37"/>
      <c r="V134" s="37"/>
      <c r="W134" s="37"/>
      <c r="X134" s="37"/>
      <c r="Y134" s="37"/>
    </row>
    <row r="135" spans="1:25" ht="17.5" customHeight="1" x14ac:dyDescent="0.35">
      <c r="A135" s="178" t="str">
        <f t="shared" ca="1" si="24"/>
        <v>H</v>
      </c>
      <c r="B135" s="37"/>
      <c r="C135" s="37"/>
      <c r="D135" s="37"/>
      <c r="E135" s="37"/>
      <c r="F135" s="37">
        <v>99</v>
      </c>
      <c r="G135" s="39" cm="1">
        <f t="array" aca="1" ref="G135" ca="1">IFERROR(INDEX(OFFSET(auto_ss_All_Scoring,0,1,500,1),F135),0)</f>
        <v>0</v>
      </c>
      <c r="H135" s="39">
        <f ca="1">IF(G135=0,0,MATCH(G135,OFFSET(iWeights!$B$18,0,0,$E$13,1),0))</f>
        <v>0</v>
      </c>
      <c r="I135" s="39" cm="1">
        <f t="array" aca="1" ref="I135" ca="1">IF(G135=0,0,INDEX(OFFSET(iWeights!$F$18,0,0,$E$13,1),H135))</f>
        <v>0</v>
      </c>
      <c r="J135" s="39" cm="1">
        <f t="array" aca="1" ref="J135" ca="1">IF(G135=0,0,INDEX(OFFSET(iWeights!$G$18,0,0,$E$13,1),H135))</f>
        <v>0</v>
      </c>
      <c r="K135" s="39" t="str" cm="1">
        <f t="array" aca="1" ref="K135" ca="1">IF(G135=0,"",INDEX(auto_Series_Depth,G135))</f>
        <v/>
      </c>
      <c r="L135" s="179">
        <f t="shared" ca="1" si="25"/>
        <v>1</v>
      </c>
      <c r="M135" s="180">
        <f t="shared" ca="1" si="26"/>
        <v>0</v>
      </c>
      <c r="N135" s="181" t="str" cm="1">
        <f t="array" aca="1" ref="N135" ca="1">IF(G135=0,"",CONCATENATE(IF($K135&gt;=4,"    ",""),INDEX(auto_Series_NameNumbered,G135)))</f>
        <v/>
      </c>
      <c r="O135" s="181" t="str">
        <f t="shared" ca="1" si="27"/>
        <v/>
      </c>
      <c r="P135" s="182" t="str">
        <f t="shared" ca="1" si="28"/>
        <v/>
      </c>
      <c r="Q135" s="183" t="str">
        <f t="shared" ca="1" si="29"/>
        <v/>
      </c>
      <c r="R135" s="194"/>
      <c r="S135" s="182" t="str" cm="1">
        <f t="array" aca="1" ref="S135" ca="1">IF(G135=0,"",IF(K135=1,"",INDEX(OFFSET(iWeights!$I$18,0,0,$E$13,1),$H135)))</f>
        <v/>
      </c>
      <c r="T135" s="183" t="str">
        <f t="shared" ca="1" si="30"/>
        <v/>
      </c>
      <c r="U135" s="37"/>
      <c r="V135" s="37"/>
      <c r="W135" s="37"/>
      <c r="X135" s="37"/>
      <c r="Y135" s="37"/>
    </row>
    <row r="136" spans="1:25" ht="17.5" customHeight="1" x14ac:dyDescent="0.35">
      <c r="A136" s="178" t="str">
        <f t="shared" ca="1" si="24"/>
        <v>H</v>
      </c>
      <c r="B136" s="37"/>
      <c r="C136" s="37"/>
      <c r="D136" s="37"/>
      <c r="E136" s="37"/>
      <c r="F136" s="37">
        <v>100</v>
      </c>
      <c r="G136" s="39" cm="1">
        <f t="array" aca="1" ref="G136" ca="1">IFERROR(INDEX(OFFSET(auto_ss_All_Scoring,0,1,500,1),F136),0)</f>
        <v>0</v>
      </c>
      <c r="H136" s="39">
        <f ca="1">IF(G136=0,0,MATCH(G136,OFFSET(iWeights!$B$18,0,0,$E$13,1),0))</f>
        <v>0</v>
      </c>
      <c r="I136" s="39" cm="1">
        <f t="array" aca="1" ref="I136" ca="1">IF(G136=0,0,INDEX(OFFSET(iWeights!$F$18,0,0,$E$13,1),H136))</f>
        <v>0</v>
      </c>
      <c r="J136" s="39" cm="1">
        <f t="array" aca="1" ref="J136" ca="1">IF(G136=0,0,INDEX(OFFSET(iWeights!$G$18,0,0,$E$13,1),H136))</f>
        <v>0</v>
      </c>
      <c r="K136" s="39" t="str" cm="1">
        <f t="array" aca="1" ref="K136" ca="1">IF(G136=0,"",INDEX(auto_Series_Depth,G136))</f>
        <v/>
      </c>
      <c r="L136" s="179">
        <f t="shared" ca="1" si="25"/>
        <v>1</v>
      </c>
      <c r="M136" s="180">
        <f t="shared" ca="1" si="26"/>
        <v>0</v>
      </c>
      <c r="N136" s="181" t="str" cm="1">
        <f t="array" aca="1" ref="N136" ca="1">IF(G136=0,"",CONCATENATE(IF($K136&gt;=4,"    ",""),INDEX(auto_Series_NameNumbered,G136)))</f>
        <v/>
      </c>
      <c r="O136" s="181" t="str">
        <f t="shared" ca="1" si="27"/>
        <v/>
      </c>
      <c r="P136" s="182" t="str">
        <f t="shared" ca="1" si="28"/>
        <v/>
      </c>
      <c r="Q136" s="183" t="str">
        <f t="shared" ca="1" si="29"/>
        <v/>
      </c>
      <c r="R136" s="194"/>
      <c r="S136" s="182" t="str" cm="1">
        <f t="array" aca="1" ref="S136" ca="1">IF(G136=0,"",IF(K136=1,"",INDEX(OFFSET(iWeights!$I$18,0,0,$E$13,1),$H136)))</f>
        <v/>
      </c>
      <c r="T136" s="183" t="str">
        <f t="shared" ca="1" si="30"/>
        <v/>
      </c>
      <c r="U136" s="37"/>
      <c r="V136" s="37"/>
      <c r="W136" s="37"/>
      <c r="X136" s="37"/>
      <c r="Y136" s="37"/>
    </row>
    <row r="137" spans="1:25" ht="17.5" customHeight="1" x14ac:dyDescent="0.35">
      <c r="A137" s="178" t="str">
        <f t="shared" ca="1" si="24"/>
        <v>H</v>
      </c>
      <c r="B137" s="37"/>
      <c r="C137" s="37"/>
      <c r="D137" s="37"/>
      <c r="E137" s="37"/>
      <c r="F137" s="37">
        <v>101</v>
      </c>
      <c r="G137" s="39" cm="1">
        <f t="array" aca="1" ref="G137" ca="1">IFERROR(INDEX(OFFSET(auto_ss_All_Scoring,0,1,500,1),F137),0)</f>
        <v>0</v>
      </c>
      <c r="H137" s="39">
        <f ca="1">IF(G137=0,0,MATCH(G137,OFFSET(iWeights!$B$18,0,0,$E$13,1),0))</f>
        <v>0</v>
      </c>
      <c r="I137" s="39" cm="1">
        <f t="array" aca="1" ref="I137" ca="1">IF(G137=0,0,INDEX(OFFSET(iWeights!$F$18,0,0,$E$13,1),H137))</f>
        <v>0</v>
      </c>
      <c r="J137" s="39" cm="1">
        <f t="array" aca="1" ref="J137" ca="1">IF(G137=0,0,INDEX(OFFSET(iWeights!$G$18,0,0,$E$13,1),H137))</f>
        <v>0</v>
      </c>
      <c r="K137" s="39" t="str" cm="1">
        <f t="array" aca="1" ref="K137" ca="1">IF(G137=0,"",INDEX(auto_Series_Depth,G137))</f>
        <v/>
      </c>
      <c r="L137" s="179">
        <f t="shared" ca="1" si="25"/>
        <v>1</v>
      </c>
      <c r="M137" s="180">
        <f t="shared" ca="1" si="26"/>
        <v>0</v>
      </c>
      <c r="N137" s="181" t="str" cm="1">
        <f t="array" aca="1" ref="N137" ca="1">IF(G137=0,"",CONCATENATE(IF($K137&gt;=4,"    ",""),INDEX(auto_Series_NameNumbered,G137)))</f>
        <v/>
      </c>
      <c r="O137" s="181" t="str">
        <f t="shared" ca="1" si="27"/>
        <v/>
      </c>
      <c r="P137" s="182" t="str">
        <f t="shared" ca="1" si="28"/>
        <v/>
      </c>
      <c r="Q137" s="183" t="str">
        <f t="shared" ca="1" si="29"/>
        <v/>
      </c>
      <c r="R137" s="194"/>
      <c r="S137" s="182" t="str" cm="1">
        <f t="array" aca="1" ref="S137" ca="1">IF(G137=0,"",IF(K137=1,"",INDEX(OFFSET(iWeights!$I$18,0,0,$E$13,1),$H137)))</f>
        <v/>
      </c>
      <c r="T137" s="183" t="str">
        <f t="shared" ca="1" si="30"/>
        <v/>
      </c>
      <c r="U137" s="37"/>
      <c r="V137" s="37"/>
      <c r="W137" s="37"/>
      <c r="X137" s="37"/>
      <c r="Y137" s="37"/>
    </row>
    <row r="138" spans="1:25" ht="17.5" customHeight="1" x14ac:dyDescent="0.35">
      <c r="A138" s="178" t="str">
        <f t="shared" ca="1" si="24"/>
        <v>H</v>
      </c>
      <c r="B138" s="37"/>
      <c r="C138" s="37"/>
      <c r="D138" s="37"/>
      <c r="E138" s="37"/>
      <c r="F138" s="37">
        <v>102</v>
      </c>
      <c r="G138" s="39" cm="1">
        <f t="array" aca="1" ref="G138" ca="1">IFERROR(INDEX(OFFSET(auto_ss_All_Scoring,0,1,500,1),F138),0)</f>
        <v>0</v>
      </c>
      <c r="H138" s="39">
        <f ca="1">IF(G138=0,0,MATCH(G138,OFFSET(iWeights!$B$18,0,0,$E$13,1),0))</f>
        <v>0</v>
      </c>
      <c r="I138" s="39" cm="1">
        <f t="array" aca="1" ref="I138" ca="1">IF(G138=0,0,INDEX(OFFSET(iWeights!$F$18,0,0,$E$13,1),H138))</f>
        <v>0</v>
      </c>
      <c r="J138" s="39" cm="1">
        <f t="array" aca="1" ref="J138" ca="1">IF(G138=0,0,INDEX(OFFSET(iWeights!$G$18,0,0,$E$13,1),H138))</f>
        <v>0</v>
      </c>
      <c r="K138" s="39" t="str" cm="1">
        <f t="array" aca="1" ref="K138" ca="1">IF(G138=0,"",INDEX(auto_Series_Depth,G138))</f>
        <v/>
      </c>
      <c r="L138" s="179">
        <f t="shared" ca="1" si="25"/>
        <v>1</v>
      </c>
      <c r="M138" s="180">
        <f t="shared" ca="1" si="26"/>
        <v>0</v>
      </c>
      <c r="N138" s="181" t="str" cm="1">
        <f t="array" aca="1" ref="N138" ca="1">IF(G138=0,"",CONCATENATE(IF($K138&gt;=4,"    ",""),INDEX(auto_Series_NameNumbered,G138)))</f>
        <v/>
      </c>
      <c r="O138" s="181" t="str">
        <f t="shared" ca="1" si="27"/>
        <v/>
      </c>
      <c r="P138" s="182" t="str">
        <f t="shared" ca="1" si="28"/>
        <v/>
      </c>
      <c r="Q138" s="183" t="str">
        <f t="shared" ca="1" si="29"/>
        <v/>
      </c>
      <c r="R138" s="194"/>
      <c r="S138" s="182" t="str" cm="1">
        <f t="array" aca="1" ref="S138" ca="1">IF(G138=0,"",IF(K138=1,"",INDEX(OFFSET(iWeights!$I$18,0,0,$E$13,1),$H138)))</f>
        <v/>
      </c>
      <c r="T138" s="183" t="str">
        <f t="shared" ca="1" si="30"/>
        <v/>
      </c>
      <c r="U138" s="37"/>
      <c r="V138" s="37"/>
      <c r="W138" s="37"/>
      <c r="X138" s="37"/>
      <c r="Y138" s="37"/>
    </row>
    <row r="139" spans="1:25" ht="17.5" customHeight="1" x14ac:dyDescent="0.35">
      <c r="A139" s="178" t="str">
        <f t="shared" ca="1" si="24"/>
        <v>H</v>
      </c>
      <c r="B139" s="37"/>
      <c r="C139" s="37"/>
      <c r="D139" s="37"/>
      <c r="E139" s="37"/>
      <c r="F139" s="37">
        <v>103</v>
      </c>
      <c r="G139" s="39" cm="1">
        <f t="array" aca="1" ref="G139" ca="1">IFERROR(INDEX(OFFSET(auto_ss_All_Scoring,0,1,500,1),F139),0)</f>
        <v>0</v>
      </c>
      <c r="H139" s="39">
        <f ca="1">IF(G139=0,0,MATCH(G139,OFFSET(iWeights!$B$18,0,0,$E$13,1),0))</f>
        <v>0</v>
      </c>
      <c r="I139" s="39" cm="1">
        <f t="array" aca="1" ref="I139" ca="1">IF(G139=0,0,INDEX(OFFSET(iWeights!$F$18,0,0,$E$13,1),H139))</f>
        <v>0</v>
      </c>
      <c r="J139" s="39" cm="1">
        <f t="array" aca="1" ref="J139" ca="1">IF(G139=0,0,INDEX(OFFSET(iWeights!$G$18,0,0,$E$13,1),H139))</f>
        <v>0</v>
      </c>
      <c r="K139" s="39" t="str" cm="1">
        <f t="array" aca="1" ref="K139" ca="1">IF(G139=0,"",INDEX(auto_Series_Depth,G139))</f>
        <v/>
      </c>
      <c r="L139" s="179">
        <f t="shared" ca="1" si="25"/>
        <v>1</v>
      </c>
      <c r="M139" s="180">
        <f t="shared" ca="1" si="26"/>
        <v>0</v>
      </c>
      <c r="N139" s="181" t="str" cm="1">
        <f t="array" aca="1" ref="N139" ca="1">IF(G139=0,"",CONCATENATE(IF($K139&gt;=4,"    ",""),INDEX(auto_Series_NameNumbered,G139)))</f>
        <v/>
      </c>
      <c r="O139" s="181" t="str">
        <f t="shared" ca="1" si="27"/>
        <v/>
      </c>
      <c r="P139" s="182" t="str">
        <f t="shared" ca="1" si="28"/>
        <v/>
      </c>
      <c r="Q139" s="183" t="str">
        <f t="shared" ca="1" si="29"/>
        <v/>
      </c>
      <c r="R139" s="194"/>
      <c r="S139" s="182" t="str" cm="1">
        <f t="array" aca="1" ref="S139" ca="1">IF(G139=0,"",IF(K139=1,"",INDEX(OFFSET(iWeights!$I$18,0,0,$E$13,1),$H139)))</f>
        <v/>
      </c>
      <c r="T139" s="183" t="str">
        <f t="shared" ca="1" si="30"/>
        <v/>
      </c>
      <c r="U139" s="37"/>
      <c r="V139" s="37"/>
      <c r="W139" s="37"/>
      <c r="X139" s="37"/>
      <c r="Y139" s="37"/>
    </row>
    <row r="140" spans="1:25" ht="17.5" customHeight="1" x14ac:dyDescent="0.35">
      <c r="A140" s="178" t="str">
        <f t="shared" ca="1" si="24"/>
        <v>H</v>
      </c>
      <c r="B140" s="37"/>
      <c r="C140" s="37"/>
      <c r="D140" s="37"/>
      <c r="E140" s="37"/>
      <c r="F140" s="37">
        <v>104</v>
      </c>
      <c r="G140" s="39" cm="1">
        <f t="array" aca="1" ref="G140" ca="1">IFERROR(INDEX(OFFSET(auto_ss_All_Scoring,0,1,500,1),F140),0)</f>
        <v>0</v>
      </c>
      <c r="H140" s="39">
        <f ca="1">IF(G140=0,0,MATCH(G140,OFFSET(iWeights!$B$18,0,0,$E$13,1),0))</f>
        <v>0</v>
      </c>
      <c r="I140" s="39" cm="1">
        <f t="array" aca="1" ref="I140" ca="1">IF(G140=0,0,INDEX(OFFSET(iWeights!$F$18,0,0,$E$13,1),H140))</f>
        <v>0</v>
      </c>
      <c r="J140" s="39" cm="1">
        <f t="array" aca="1" ref="J140" ca="1">IF(G140=0,0,INDEX(OFFSET(iWeights!$G$18,0,0,$E$13,1),H140))</f>
        <v>0</v>
      </c>
      <c r="K140" s="39" t="str" cm="1">
        <f t="array" aca="1" ref="K140" ca="1">IF(G140=0,"",INDEX(auto_Series_Depth,G140))</f>
        <v/>
      </c>
      <c r="L140" s="179">
        <f t="shared" ca="1" si="25"/>
        <v>1</v>
      </c>
      <c r="M140" s="180">
        <f t="shared" ca="1" si="26"/>
        <v>0</v>
      </c>
      <c r="N140" s="181" t="str" cm="1">
        <f t="array" aca="1" ref="N140" ca="1">IF(G140=0,"",CONCATENATE(IF($K140&gt;=4,"    ",""),INDEX(auto_Series_NameNumbered,G140)))</f>
        <v/>
      </c>
      <c r="O140" s="181" t="str">
        <f t="shared" ca="1" si="27"/>
        <v/>
      </c>
      <c r="P140" s="182" t="str">
        <f t="shared" ca="1" si="28"/>
        <v/>
      </c>
      <c r="Q140" s="183" t="str">
        <f t="shared" ca="1" si="29"/>
        <v/>
      </c>
      <c r="R140" s="194"/>
      <c r="S140" s="182" t="str" cm="1">
        <f t="array" aca="1" ref="S140" ca="1">IF(G140=0,"",IF(K140=1,"",INDEX(OFFSET(iWeights!$I$18,0,0,$E$13,1),$H140)))</f>
        <v/>
      </c>
      <c r="T140" s="183" t="str">
        <f t="shared" ca="1" si="30"/>
        <v/>
      </c>
      <c r="U140" s="37"/>
      <c r="V140" s="37"/>
      <c r="W140" s="37"/>
      <c r="X140" s="37"/>
      <c r="Y140" s="37"/>
    </row>
    <row r="141" spans="1:25" ht="17.5" customHeight="1" x14ac:dyDescent="0.35">
      <c r="A141" s="178" t="str">
        <f t="shared" ca="1" si="24"/>
        <v>H</v>
      </c>
      <c r="B141" s="37"/>
      <c r="C141" s="37"/>
      <c r="D141" s="37"/>
      <c r="E141" s="37"/>
      <c r="F141" s="37">
        <v>105</v>
      </c>
      <c r="G141" s="39" cm="1">
        <f t="array" aca="1" ref="G141" ca="1">IFERROR(INDEX(OFFSET(auto_ss_All_Scoring,0,1,500,1),F141),0)</f>
        <v>0</v>
      </c>
      <c r="H141" s="39">
        <f ca="1">IF(G141=0,0,MATCH(G141,OFFSET(iWeights!$B$18,0,0,$E$13,1),0))</f>
        <v>0</v>
      </c>
      <c r="I141" s="39" cm="1">
        <f t="array" aca="1" ref="I141" ca="1">IF(G141=0,0,INDEX(OFFSET(iWeights!$F$18,0,0,$E$13,1),H141))</f>
        <v>0</v>
      </c>
      <c r="J141" s="39" cm="1">
        <f t="array" aca="1" ref="J141" ca="1">IF(G141=0,0,INDEX(OFFSET(iWeights!$G$18,0,0,$E$13,1),H141))</f>
        <v>0</v>
      </c>
      <c r="K141" s="39" t="str" cm="1">
        <f t="array" aca="1" ref="K141" ca="1">IF(G141=0,"",INDEX(auto_Series_Depth,G141))</f>
        <v/>
      </c>
      <c r="L141" s="179">
        <f t="shared" ca="1" si="25"/>
        <v>1</v>
      </c>
      <c r="M141" s="180">
        <f t="shared" ca="1" si="26"/>
        <v>0</v>
      </c>
      <c r="N141" s="181" t="str" cm="1">
        <f t="array" aca="1" ref="N141" ca="1">IF(G141=0,"",CONCATENATE(IF($K141&gt;=4,"    ",""),INDEX(auto_Series_NameNumbered,G141)))</f>
        <v/>
      </c>
      <c r="O141" s="181" t="str">
        <f t="shared" ca="1" si="27"/>
        <v/>
      </c>
      <c r="P141" s="182" t="str">
        <f t="shared" ca="1" si="28"/>
        <v/>
      </c>
      <c r="Q141" s="183" t="str">
        <f t="shared" ca="1" si="29"/>
        <v/>
      </c>
      <c r="R141" s="194"/>
      <c r="S141" s="182" t="str" cm="1">
        <f t="array" aca="1" ref="S141" ca="1">IF(G141=0,"",IF(K141=1,"",INDEX(OFFSET(iWeights!$I$18,0,0,$E$13,1),$H141)))</f>
        <v/>
      </c>
      <c r="T141" s="183" t="str">
        <f t="shared" ca="1" si="30"/>
        <v/>
      </c>
      <c r="U141" s="37"/>
      <c r="V141" s="37"/>
      <c r="W141" s="37"/>
      <c r="X141" s="37"/>
      <c r="Y141" s="37"/>
    </row>
    <row r="142" spans="1:25" ht="17.5" customHeight="1" x14ac:dyDescent="0.35">
      <c r="A142" s="178" t="str">
        <f t="shared" ca="1" si="24"/>
        <v>H</v>
      </c>
      <c r="B142" s="37"/>
      <c r="C142" s="37"/>
      <c r="D142" s="37"/>
      <c r="E142" s="37"/>
      <c r="F142" s="37">
        <v>106</v>
      </c>
      <c r="G142" s="39" cm="1">
        <f t="array" aca="1" ref="G142" ca="1">IFERROR(INDEX(OFFSET(auto_ss_All_Scoring,0,1,500,1),F142),0)</f>
        <v>0</v>
      </c>
      <c r="H142" s="39">
        <f ca="1">IF(G142=0,0,MATCH(G142,OFFSET(iWeights!$B$18,0,0,$E$13,1),0))</f>
        <v>0</v>
      </c>
      <c r="I142" s="39" cm="1">
        <f t="array" aca="1" ref="I142" ca="1">IF(G142=0,0,INDEX(OFFSET(iWeights!$F$18,0,0,$E$13,1),H142))</f>
        <v>0</v>
      </c>
      <c r="J142" s="39" cm="1">
        <f t="array" aca="1" ref="J142" ca="1">IF(G142=0,0,INDEX(OFFSET(iWeights!$G$18,0,0,$E$13,1),H142))</f>
        <v>0</v>
      </c>
      <c r="K142" s="39" t="str" cm="1">
        <f t="array" aca="1" ref="K142" ca="1">IF(G142=0,"",INDEX(auto_Series_Depth,G142))</f>
        <v/>
      </c>
      <c r="L142" s="179">
        <f t="shared" ca="1" si="25"/>
        <v>1</v>
      </c>
      <c r="M142" s="180">
        <f t="shared" ca="1" si="26"/>
        <v>0</v>
      </c>
      <c r="N142" s="181" t="str" cm="1">
        <f t="array" aca="1" ref="N142" ca="1">IF(G142=0,"",CONCATENATE(IF($K142&gt;=4,"    ",""),INDEX(auto_Series_NameNumbered,G142)))</f>
        <v/>
      </c>
      <c r="O142" s="181" t="str">
        <f t="shared" ca="1" si="27"/>
        <v/>
      </c>
      <c r="P142" s="182" t="str">
        <f t="shared" ca="1" si="28"/>
        <v/>
      </c>
      <c r="Q142" s="183" t="str">
        <f t="shared" ca="1" si="29"/>
        <v/>
      </c>
      <c r="R142" s="194"/>
      <c r="S142" s="182" t="str" cm="1">
        <f t="array" aca="1" ref="S142" ca="1">IF(G142=0,"",IF(K142=1,"",INDEX(OFFSET(iWeights!$I$18,0,0,$E$13,1),$H142)))</f>
        <v/>
      </c>
      <c r="T142" s="183" t="str">
        <f t="shared" ca="1" si="30"/>
        <v/>
      </c>
      <c r="U142" s="37"/>
      <c r="V142" s="37"/>
      <c r="W142" s="37"/>
      <c r="X142" s="37"/>
      <c r="Y142" s="37"/>
    </row>
    <row r="143" spans="1:25" ht="17.5" customHeight="1" x14ac:dyDescent="0.35">
      <c r="A143" s="178" t="str">
        <f t="shared" ca="1" si="24"/>
        <v>H</v>
      </c>
      <c r="B143" s="37"/>
      <c r="C143" s="37"/>
      <c r="D143" s="37"/>
      <c r="E143" s="37"/>
      <c r="F143" s="37">
        <v>107</v>
      </c>
      <c r="G143" s="39" cm="1">
        <f t="array" aca="1" ref="G143" ca="1">IFERROR(INDEX(OFFSET(auto_ss_All_Scoring,0,1,500,1),F143),0)</f>
        <v>0</v>
      </c>
      <c r="H143" s="39">
        <f ca="1">IF(G143=0,0,MATCH(G143,OFFSET(iWeights!$B$18,0,0,$E$13,1),0))</f>
        <v>0</v>
      </c>
      <c r="I143" s="39" cm="1">
        <f t="array" aca="1" ref="I143" ca="1">IF(G143=0,0,INDEX(OFFSET(iWeights!$F$18,0,0,$E$13,1),H143))</f>
        <v>0</v>
      </c>
      <c r="J143" s="39" cm="1">
        <f t="array" aca="1" ref="J143" ca="1">IF(G143=0,0,INDEX(OFFSET(iWeights!$G$18,0,0,$E$13,1),H143))</f>
        <v>0</v>
      </c>
      <c r="K143" s="39" t="str" cm="1">
        <f t="array" aca="1" ref="K143" ca="1">IF(G143=0,"",INDEX(auto_Series_Depth,G143))</f>
        <v/>
      </c>
      <c r="L143" s="179">
        <f t="shared" ca="1" si="25"/>
        <v>1</v>
      </c>
      <c r="M143" s="180">
        <f t="shared" ca="1" si="26"/>
        <v>0</v>
      </c>
      <c r="N143" s="181" t="str" cm="1">
        <f t="array" aca="1" ref="N143" ca="1">IF(G143=0,"",CONCATENATE(IF($K143&gt;=4,"    ",""),INDEX(auto_Series_NameNumbered,G143)))</f>
        <v/>
      </c>
      <c r="O143" s="181" t="str">
        <f t="shared" ca="1" si="27"/>
        <v/>
      </c>
      <c r="P143" s="182" t="str">
        <f t="shared" ca="1" si="28"/>
        <v/>
      </c>
      <c r="Q143" s="183" t="str">
        <f t="shared" ca="1" si="29"/>
        <v/>
      </c>
      <c r="R143" s="194"/>
      <c r="S143" s="182" t="str" cm="1">
        <f t="array" aca="1" ref="S143" ca="1">IF(G143=0,"",IF(K143=1,"",INDEX(OFFSET(iWeights!$I$18,0,0,$E$13,1),$H143)))</f>
        <v/>
      </c>
      <c r="T143" s="183" t="str">
        <f t="shared" ca="1" si="30"/>
        <v/>
      </c>
      <c r="U143" s="37"/>
      <c r="V143" s="37"/>
      <c r="W143" s="37"/>
      <c r="X143" s="37"/>
      <c r="Y143" s="37"/>
    </row>
    <row r="144" spans="1:25" ht="17.5" customHeight="1" x14ac:dyDescent="0.35">
      <c r="A144" s="178" t="str">
        <f t="shared" ca="1" si="24"/>
        <v>H</v>
      </c>
      <c r="B144" s="37"/>
      <c r="C144" s="37"/>
      <c r="D144" s="37"/>
      <c r="E144" s="37"/>
      <c r="F144" s="37">
        <v>108</v>
      </c>
      <c r="G144" s="39" cm="1">
        <f t="array" aca="1" ref="G144" ca="1">IFERROR(INDEX(OFFSET(auto_ss_All_Scoring,0,1,500,1),F144),0)</f>
        <v>0</v>
      </c>
      <c r="H144" s="39">
        <f ca="1">IF(G144=0,0,MATCH(G144,OFFSET(iWeights!$B$18,0,0,$E$13,1),0))</f>
        <v>0</v>
      </c>
      <c r="I144" s="39" cm="1">
        <f t="array" aca="1" ref="I144" ca="1">IF(G144=0,0,INDEX(OFFSET(iWeights!$F$18,0,0,$E$13,1),H144))</f>
        <v>0</v>
      </c>
      <c r="J144" s="39" cm="1">
        <f t="array" aca="1" ref="J144" ca="1">IF(G144=0,0,INDEX(OFFSET(iWeights!$G$18,0,0,$E$13,1),H144))</f>
        <v>0</v>
      </c>
      <c r="K144" s="39" t="str" cm="1">
        <f t="array" aca="1" ref="K144" ca="1">IF(G144=0,"",INDEX(auto_Series_Depth,G144))</f>
        <v/>
      </c>
      <c r="L144" s="179">
        <f t="shared" ca="1" si="25"/>
        <v>1</v>
      </c>
      <c r="M144" s="180">
        <f t="shared" ca="1" si="26"/>
        <v>0</v>
      </c>
      <c r="N144" s="181" t="str" cm="1">
        <f t="array" aca="1" ref="N144" ca="1">IF(G144=0,"",CONCATENATE(IF($K144&gt;=4,"    ",""),INDEX(auto_Series_NameNumbered,G144)))</f>
        <v/>
      </c>
      <c r="O144" s="181" t="str">
        <f t="shared" ca="1" si="27"/>
        <v/>
      </c>
      <c r="P144" s="182" t="str">
        <f t="shared" ca="1" si="28"/>
        <v/>
      </c>
      <c r="Q144" s="183" t="str">
        <f t="shared" ca="1" si="29"/>
        <v/>
      </c>
      <c r="R144" s="194"/>
      <c r="S144" s="182" t="str" cm="1">
        <f t="array" aca="1" ref="S144" ca="1">IF(G144=0,"",IF(K144=1,"",INDEX(OFFSET(iWeights!$I$18,0,0,$E$13,1),$H144)))</f>
        <v/>
      </c>
      <c r="T144" s="183" t="str">
        <f t="shared" ca="1" si="30"/>
        <v/>
      </c>
      <c r="U144" s="37"/>
      <c r="V144" s="37"/>
      <c r="W144" s="37"/>
      <c r="X144" s="37"/>
      <c r="Y144" s="37"/>
    </row>
    <row r="145" spans="1:25" ht="17.5" customHeight="1" x14ac:dyDescent="0.35">
      <c r="A145" s="178" t="str">
        <f t="shared" ca="1" si="24"/>
        <v>H</v>
      </c>
      <c r="B145" s="37"/>
      <c r="C145" s="37"/>
      <c r="D145" s="37"/>
      <c r="E145" s="37"/>
      <c r="F145" s="37">
        <v>109</v>
      </c>
      <c r="G145" s="39" cm="1">
        <f t="array" aca="1" ref="G145" ca="1">IFERROR(INDEX(OFFSET(auto_ss_All_Scoring,0,1,500,1),F145),0)</f>
        <v>0</v>
      </c>
      <c r="H145" s="39">
        <f ca="1">IF(G145=0,0,MATCH(G145,OFFSET(iWeights!$B$18,0,0,$E$13,1),0))</f>
        <v>0</v>
      </c>
      <c r="I145" s="39" cm="1">
        <f t="array" aca="1" ref="I145" ca="1">IF(G145=0,0,INDEX(OFFSET(iWeights!$F$18,0,0,$E$13,1),H145))</f>
        <v>0</v>
      </c>
      <c r="J145" s="39" cm="1">
        <f t="array" aca="1" ref="J145" ca="1">IF(G145=0,0,INDEX(OFFSET(iWeights!$G$18,0,0,$E$13,1),H145))</f>
        <v>0</v>
      </c>
      <c r="K145" s="39" t="str" cm="1">
        <f t="array" aca="1" ref="K145" ca="1">IF(G145=0,"",INDEX(auto_Series_Depth,G145))</f>
        <v/>
      </c>
      <c r="L145" s="179">
        <f t="shared" ca="1" si="25"/>
        <v>1</v>
      </c>
      <c r="M145" s="180">
        <f t="shared" ca="1" si="26"/>
        <v>0</v>
      </c>
      <c r="N145" s="181" t="str" cm="1">
        <f t="array" aca="1" ref="N145" ca="1">IF(G145=0,"",CONCATENATE(IF($K145&gt;=4,"    ",""),INDEX(auto_Series_NameNumbered,G145)))</f>
        <v/>
      </c>
      <c r="O145" s="181" t="str">
        <f t="shared" ca="1" si="27"/>
        <v/>
      </c>
      <c r="P145" s="182" t="str">
        <f t="shared" ca="1" si="28"/>
        <v/>
      </c>
      <c r="Q145" s="183" t="str">
        <f t="shared" ca="1" si="29"/>
        <v/>
      </c>
      <c r="R145" s="194"/>
      <c r="S145" s="182" t="str" cm="1">
        <f t="array" aca="1" ref="S145" ca="1">IF(G145=0,"",IF(K145=1,"",INDEX(OFFSET(iWeights!$I$18,0,0,$E$13,1),$H145)))</f>
        <v/>
      </c>
      <c r="T145" s="183" t="str">
        <f t="shared" ca="1" si="30"/>
        <v/>
      </c>
      <c r="U145" s="37"/>
      <c r="V145" s="37"/>
      <c r="W145" s="37"/>
      <c r="X145" s="37"/>
      <c r="Y145" s="37"/>
    </row>
    <row r="146" spans="1:25" ht="17.5" customHeight="1" x14ac:dyDescent="0.35">
      <c r="A146" s="178" t="str">
        <f t="shared" ca="1" si="24"/>
        <v>H</v>
      </c>
      <c r="B146" s="37"/>
      <c r="C146" s="37"/>
      <c r="D146" s="37"/>
      <c r="E146" s="37"/>
      <c r="F146" s="37">
        <v>110</v>
      </c>
      <c r="G146" s="39" cm="1">
        <f t="array" aca="1" ref="G146" ca="1">IFERROR(INDEX(OFFSET(auto_ss_All_Scoring,0,1,500,1),F146),0)</f>
        <v>0</v>
      </c>
      <c r="H146" s="39">
        <f ca="1">IF(G146=0,0,MATCH(G146,OFFSET(iWeights!$B$18,0,0,$E$13,1),0))</f>
        <v>0</v>
      </c>
      <c r="I146" s="39" cm="1">
        <f t="array" aca="1" ref="I146" ca="1">IF(G146=0,0,INDEX(OFFSET(iWeights!$F$18,0,0,$E$13,1),H146))</f>
        <v>0</v>
      </c>
      <c r="J146" s="39" cm="1">
        <f t="array" aca="1" ref="J146" ca="1">IF(G146=0,0,INDEX(OFFSET(iWeights!$G$18,0,0,$E$13,1),H146))</f>
        <v>0</v>
      </c>
      <c r="K146" s="39" t="str" cm="1">
        <f t="array" aca="1" ref="K146" ca="1">IF(G146=0,"",INDEX(auto_Series_Depth,G146))</f>
        <v/>
      </c>
      <c r="L146" s="179">
        <f t="shared" ca="1" si="25"/>
        <v>1</v>
      </c>
      <c r="M146" s="180">
        <f t="shared" ca="1" si="26"/>
        <v>0</v>
      </c>
      <c r="N146" s="181" t="str" cm="1">
        <f t="array" aca="1" ref="N146" ca="1">IF(G146=0,"",CONCATENATE(IF($K146&gt;=4,"    ",""),INDEX(auto_Series_NameNumbered,G146)))</f>
        <v/>
      </c>
      <c r="O146" s="181" t="str">
        <f t="shared" ca="1" si="27"/>
        <v/>
      </c>
      <c r="P146" s="182" t="str">
        <f t="shared" ca="1" si="28"/>
        <v/>
      </c>
      <c r="Q146" s="183" t="str">
        <f t="shared" ca="1" si="29"/>
        <v/>
      </c>
      <c r="R146" s="194"/>
      <c r="S146" s="182" t="str" cm="1">
        <f t="array" aca="1" ref="S146" ca="1">IF(G146=0,"",IF(K146=1,"",INDEX(OFFSET(iWeights!$I$18,0,0,$E$13,1),$H146)))</f>
        <v/>
      </c>
      <c r="T146" s="183" t="str">
        <f t="shared" ca="1" si="30"/>
        <v/>
      </c>
      <c r="U146" s="37"/>
      <c r="V146" s="37"/>
      <c r="W146" s="37"/>
      <c r="X146" s="37"/>
      <c r="Y146" s="37"/>
    </row>
    <row r="147" spans="1:25" ht="17.5" customHeight="1" x14ac:dyDescent="0.35">
      <c r="A147" s="178" t="str">
        <f t="shared" ca="1" si="24"/>
        <v>H</v>
      </c>
      <c r="B147" s="37"/>
      <c r="C147" s="37"/>
      <c r="D147" s="37"/>
      <c r="E147" s="37"/>
      <c r="F147" s="37">
        <v>111</v>
      </c>
      <c r="G147" s="39" cm="1">
        <f t="array" aca="1" ref="G147" ca="1">IFERROR(INDEX(OFFSET(auto_ss_All_Scoring,0,1,500,1),F147),0)</f>
        <v>0</v>
      </c>
      <c r="H147" s="39">
        <f ca="1">IF(G147=0,0,MATCH(G147,OFFSET(iWeights!$B$18,0,0,$E$13,1),0))</f>
        <v>0</v>
      </c>
      <c r="I147" s="39" cm="1">
        <f t="array" aca="1" ref="I147" ca="1">IF(G147=0,0,INDEX(OFFSET(iWeights!$F$18,0,0,$E$13,1),H147))</f>
        <v>0</v>
      </c>
      <c r="J147" s="39" cm="1">
        <f t="array" aca="1" ref="J147" ca="1">IF(G147=0,0,INDEX(OFFSET(iWeights!$G$18,0,0,$E$13,1),H147))</f>
        <v>0</v>
      </c>
      <c r="K147" s="39" t="str" cm="1">
        <f t="array" aca="1" ref="K147" ca="1">IF(G147=0,"",INDEX(auto_Series_Depth,G147))</f>
        <v/>
      </c>
      <c r="L147" s="179">
        <f t="shared" ca="1" si="25"/>
        <v>1</v>
      </c>
      <c r="M147" s="180">
        <f t="shared" ca="1" si="26"/>
        <v>0</v>
      </c>
      <c r="N147" s="181" t="str" cm="1">
        <f t="array" aca="1" ref="N147" ca="1">IF(G147=0,"",CONCATENATE(IF($K147&gt;=4,"    ",""),INDEX(auto_Series_NameNumbered,G147)))</f>
        <v/>
      </c>
      <c r="O147" s="181" t="str">
        <f t="shared" ca="1" si="27"/>
        <v/>
      </c>
      <c r="P147" s="182" t="str">
        <f t="shared" ca="1" si="28"/>
        <v/>
      </c>
      <c r="Q147" s="183" t="str">
        <f t="shared" ca="1" si="29"/>
        <v/>
      </c>
      <c r="R147" s="194"/>
      <c r="S147" s="182" t="str" cm="1">
        <f t="array" aca="1" ref="S147" ca="1">IF(G147=0,"",IF(K147=1,"",INDEX(OFFSET(iWeights!$I$18,0,0,$E$13,1),$H147)))</f>
        <v/>
      </c>
      <c r="T147" s="183" t="str">
        <f t="shared" ca="1" si="30"/>
        <v/>
      </c>
      <c r="U147" s="37"/>
      <c r="V147" s="37"/>
      <c r="W147" s="37"/>
      <c r="X147" s="37"/>
      <c r="Y147" s="37"/>
    </row>
    <row r="148" spans="1:25" ht="17.5" customHeight="1" x14ac:dyDescent="0.35">
      <c r="A148" s="178" t="str">
        <f t="shared" ca="1" si="24"/>
        <v>H</v>
      </c>
      <c r="B148" s="37"/>
      <c r="C148" s="37"/>
      <c r="D148" s="37"/>
      <c r="E148" s="37"/>
      <c r="F148" s="37">
        <v>112</v>
      </c>
      <c r="G148" s="39" cm="1">
        <f t="array" aca="1" ref="G148" ca="1">IFERROR(INDEX(OFFSET(auto_ss_All_Scoring,0,1,500,1),F148),0)</f>
        <v>0</v>
      </c>
      <c r="H148" s="39">
        <f ca="1">IF(G148=0,0,MATCH(G148,OFFSET(iWeights!$B$18,0,0,$E$13,1),0))</f>
        <v>0</v>
      </c>
      <c r="I148" s="39" cm="1">
        <f t="array" aca="1" ref="I148" ca="1">IF(G148=0,0,INDEX(OFFSET(iWeights!$F$18,0,0,$E$13,1),H148))</f>
        <v>0</v>
      </c>
      <c r="J148" s="39" cm="1">
        <f t="array" aca="1" ref="J148" ca="1">IF(G148=0,0,INDEX(OFFSET(iWeights!$G$18,0,0,$E$13,1),H148))</f>
        <v>0</v>
      </c>
      <c r="K148" s="39" t="str" cm="1">
        <f t="array" aca="1" ref="K148" ca="1">IF(G148=0,"",INDEX(auto_Series_Depth,G148))</f>
        <v/>
      </c>
      <c r="L148" s="179">
        <f t="shared" ca="1" si="25"/>
        <v>1</v>
      </c>
      <c r="M148" s="180">
        <f t="shared" ca="1" si="26"/>
        <v>0</v>
      </c>
      <c r="N148" s="181" t="str" cm="1">
        <f t="array" aca="1" ref="N148" ca="1">IF(G148=0,"",CONCATENATE(IF($K148&gt;=4,"    ",""),INDEX(auto_Series_NameNumbered,G148)))</f>
        <v/>
      </c>
      <c r="O148" s="181" t="str">
        <f t="shared" ca="1" si="27"/>
        <v/>
      </c>
      <c r="P148" s="182" t="str">
        <f t="shared" ca="1" si="28"/>
        <v/>
      </c>
      <c r="Q148" s="183" t="str">
        <f t="shared" ca="1" si="29"/>
        <v/>
      </c>
      <c r="R148" s="194"/>
      <c r="S148" s="182" t="str" cm="1">
        <f t="array" aca="1" ref="S148" ca="1">IF(G148=0,"",IF(K148=1,"",INDEX(OFFSET(iWeights!$I$18,0,0,$E$13,1),$H148)))</f>
        <v/>
      </c>
      <c r="T148" s="183" t="str">
        <f t="shared" ca="1" si="30"/>
        <v/>
      </c>
      <c r="U148" s="37"/>
      <c r="V148" s="37"/>
      <c r="W148" s="37"/>
      <c r="X148" s="37"/>
      <c r="Y148" s="37"/>
    </row>
    <row r="149" spans="1:25" ht="17.5" customHeight="1" x14ac:dyDescent="0.35">
      <c r="A149" s="178" t="str">
        <f t="shared" ca="1" si="24"/>
        <v>H</v>
      </c>
      <c r="B149" s="37"/>
      <c r="C149" s="37"/>
      <c r="D149" s="37"/>
      <c r="E149" s="37"/>
      <c r="F149" s="37">
        <v>113</v>
      </c>
      <c r="G149" s="39" cm="1">
        <f t="array" aca="1" ref="G149" ca="1">IFERROR(INDEX(OFFSET(auto_ss_All_Scoring,0,1,500,1),F149),0)</f>
        <v>0</v>
      </c>
      <c r="H149" s="39">
        <f ca="1">IF(G149=0,0,MATCH(G149,OFFSET(iWeights!$B$18,0,0,$E$13,1),0))</f>
        <v>0</v>
      </c>
      <c r="I149" s="39" cm="1">
        <f t="array" aca="1" ref="I149" ca="1">IF(G149=0,0,INDEX(OFFSET(iWeights!$F$18,0,0,$E$13,1),H149))</f>
        <v>0</v>
      </c>
      <c r="J149" s="39" cm="1">
        <f t="array" aca="1" ref="J149" ca="1">IF(G149=0,0,INDEX(OFFSET(iWeights!$G$18,0,0,$E$13,1),H149))</f>
        <v>0</v>
      </c>
      <c r="K149" s="39" t="str" cm="1">
        <f t="array" aca="1" ref="K149" ca="1">IF(G149=0,"",INDEX(auto_Series_Depth,G149))</f>
        <v/>
      </c>
      <c r="L149" s="179">
        <f t="shared" ref="L149:L212" ca="1" si="31">IFERROR(IF(K149=1,0,IF(NOT(ISNUMBER(R149)),1,0)),1)</f>
        <v>1</v>
      </c>
      <c r="M149" s="180">
        <f t="shared" ref="M149:M212" ca="1" si="32">IF(L149=1,0,R149)</f>
        <v>0</v>
      </c>
      <c r="N149" s="181" t="str" cm="1">
        <f t="array" aca="1" ref="N149" ca="1">IF(G149=0,"",CONCATENATE(IF($K149&gt;=4,"    ",""),INDEX(auto_Series_NameNumbered,G149)))</f>
        <v/>
      </c>
      <c r="O149" s="181" t="str">
        <f t="shared" ref="O149:O212" ca="1" si="33">IF(G149=0,"",IF(K149=1,"",I149))</f>
        <v/>
      </c>
      <c r="P149" s="182" t="str">
        <f t="shared" ref="P149:P212" ca="1" si="34">IF(G149=0,"",IF(K149=1,"",J149))</f>
        <v/>
      </c>
      <c r="Q149" s="183" t="str">
        <f t="shared" ref="Q149:Q212" ca="1" si="35">IF($G149=0,"",IF($K149=1,"",REPT("|",P149*40)))</f>
        <v/>
      </c>
      <c r="R149" s="194"/>
      <c r="S149" s="182" t="str" cm="1">
        <f t="array" aca="1" ref="S149" ca="1">IF(G149=0,"",IF(K149=1,"",INDEX(OFFSET(iWeights!$I$18,0,0,$E$13,1),$H149)))</f>
        <v/>
      </c>
      <c r="T149" s="183" t="str">
        <f t="shared" ref="T149:T212" ca="1" si="36">IF($G149=0,"",IF($K149=1,"",REPT("|",S149*40)))</f>
        <v/>
      </c>
      <c r="U149" s="37"/>
      <c r="V149" s="37"/>
      <c r="W149" s="37"/>
      <c r="X149" s="37"/>
      <c r="Y149" s="37"/>
    </row>
    <row r="150" spans="1:25" ht="17.5" customHeight="1" x14ac:dyDescent="0.35">
      <c r="A150" s="178" t="str">
        <f t="shared" ca="1" si="24"/>
        <v>H</v>
      </c>
      <c r="B150" s="37"/>
      <c r="C150" s="37"/>
      <c r="D150" s="37"/>
      <c r="E150" s="37"/>
      <c r="F150" s="37">
        <v>114</v>
      </c>
      <c r="G150" s="39" cm="1">
        <f t="array" aca="1" ref="G150" ca="1">IFERROR(INDEX(OFFSET(auto_ss_All_Scoring,0,1,500,1),F150),0)</f>
        <v>0</v>
      </c>
      <c r="H150" s="39">
        <f ca="1">IF(G150=0,0,MATCH(G150,OFFSET(iWeights!$B$18,0,0,$E$13,1),0))</f>
        <v>0</v>
      </c>
      <c r="I150" s="39" cm="1">
        <f t="array" aca="1" ref="I150" ca="1">IF(G150=0,0,INDEX(OFFSET(iWeights!$F$18,0,0,$E$13,1),H150))</f>
        <v>0</v>
      </c>
      <c r="J150" s="39" cm="1">
        <f t="array" aca="1" ref="J150" ca="1">IF(G150=0,0,INDEX(OFFSET(iWeights!$G$18,0,0,$E$13,1),H150))</f>
        <v>0</v>
      </c>
      <c r="K150" s="39" t="str" cm="1">
        <f t="array" aca="1" ref="K150" ca="1">IF(G150=0,"",INDEX(auto_Series_Depth,G150))</f>
        <v/>
      </c>
      <c r="L150" s="179">
        <f t="shared" ca="1" si="31"/>
        <v>1</v>
      </c>
      <c r="M150" s="180">
        <f t="shared" ca="1" si="32"/>
        <v>0</v>
      </c>
      <c r="N150" s="181" t="str" cm="1">
        <f t="array" aca="1" ref="N150" ca="1">IF(G150=0,"",CONCATENATE(IF($K150&gt;=4,"    ",""),INDEX(auto_Series_NameNumbered,G150)))</f>
        <v/>
      </c>
      <c r="O150" s="181" t="str">
        <f t="shared" ca="1" si="33"/>
        <v/>
      </c>
      <c r="P150" s="182" t="str">
        <f t="shared" ca="1" si="34"/>
        <v/>
      </c>
      <c r="Q150" s="183" t="str">
        <f t="shared" ca="1" si="35"/>
        <v/>
      </c>
      <c r="R150" s="194"/>
      <c r="S150" s="182" t="str" cm="1">
        <f t="array" aca="1" ref="S150" ca="1">IF(G150=0,"",IF(K150=1,"",INDEX(OFFSET(iWeights!$I$18,0,0,$E$13,1),$H150)))</f>
        <v/>
      </c>
      <c r="T150" s="183" t="str">
        <f t="shared" ca="1" si="36"/>
        <v/>
      </c>
      <c r="U150" s="37"/>
      <c r="V150" s="37"/>
      <c r="W150" s="37"/>
      <c r="X150" s="37"/>
      <c r="Y150" s="37"/>
    </row>
    <row r="151" spans="1:25" ht="17.5" customHeight="1" x14ac:dyDescent="0.35">
      <c r="A151" s="178" t="str">
        <f t="shared" ca="1" si="24"/>
        <v>H</v>
      </c>
      <c r="B151" s="37"/>
      <c r="C151" s="37"/>
      <c r="D151" s="37"/>
      <c r="E151" s="37"/>
      <c r="F151" s="37">
        <v>115</v>
      </c>
      <c r="G151" s="39" cm="1">
        <f t="array" aca="1" ref="G151" ca="1">IFERROR(INDEX(OFFSET(auto_ss_All_Scoring,0,1,500,1),F151),0)</f>
        <v>0</v>
      </c>
      <c r="H151" s="39">
        <f ca="1">IF(G151=0,0,MATCH(G151,OFFSET(iWeights!$B$18,0,0,$E$13,1),0))</f>
        <v>0</v>
      </c>
      <c r="I151" s="39" cm="1">
        <f t="array" aca="1" ref="I151" ca="1">IF(G151=0,0,INDEX(OFFSET(iWeights!$F$18,0,0,$E$13,1),H151))</f>
        <v>0</v>
      </c>
      <c r="J151" s="39" cm="1">
        <f t="array" aca="1" ref="J151" ca="1">IF(G151=0,0,INDEX(OFFSET(iWeights!$G$18,0,0,$E$13,1),H151))</f>
        <v>0</v>
      </c>
      <c r="K151" s="39" t="str" cm="1">
        <f t="array" aca="1" ref="K151" ca="1">IF(G151=0,"",INDEX(auto_Series_Depth,G151))</f>
        <v/>
      </c>
      <c r="L151" s="179">
        <f t="shared" ca="1" si="31"/>
        <v>1</v>
      </c>
      <c r="M151" s="180">
        <f t="shared" ca="1" si="32"/>
        <v>0</v>
      </c>
      <c r="N151" s="181" t="str" cm="1">
        <f t="array" aca="1" ref="N151" ca="1">IF(G151=0,"",CONCATENATE(IF($K151&gt;=4,"    ",""),INDEX(auto_Series_NameNumbered,G151)))</f>
        <v/>
      </c>
      <c r="O151" s="181" t="str">
        <f t="shared" ca="1" si="33"/>
        <v/>
      </c>
      <c r="P151" s="182" t="str">
        <f t="shared" ca="1" si="34"/>
        <v/>
      </c>
      <c r="Q151" s="183" t="str">
        <f t="shared" ca="1" si="35"/>
        <v/>
      </c>
      <c r="R151" s="194"/>
      <c r="S151" s="182" t="str" cm="1">
        <f t="array" aca="1" ref="S151" ca="1">IF(G151=0,"",IF(K151=1,"",INDEX(OFFSET(iWeights!$I$18,0,0,$E$13,1),$H151)))</f>
        <v/>
      </c>
      <c r="T151" s="183" t="str">
        <f t="shared" ca="1" si="36"/>
        <v/>
      </c>
      <c r="U151" s="37"/>
      <c r="V151" s="37"/>
      <c r="W151" s="37"/>
      <c r="X151" s="37"/>
      <c r="Y151" s="37"/>
    </row>
    <row r="152" spans="1:25" ht="17.5" customHeight="1" x14ac:dyDescent="0.35">
      <c r="A152" s="178" t="str">
        <f t="shared" ca="1" si="24"/>
        <v>H</v>
      </c>
      <c r="B152" s="37"/>
      <c r="C152" s="37"/>
      <c r="D152" s="37"/>
      <c r="E152" s="37"/>
      <c r="F152" s="37">
        <v>116</v>
      </c>
      <c r="G152" s="39" cm="1">
        <f t="array" aca="1" ref="G152" ca="1">IFERROR(INDEX(OFFSET(auto_ss_All_Scoring,0,1,500,1),F152),0)</f>
        <v>0</v>
      </c>
      <c r="H152" s="39">
        <f ca="1">IF(G152=0,0,MATCH(G152,OFFSET(iWeights!$B$18,0,0,$E$13,1),0))</f>
        <v>0</v>
      </c>
      <c r="I152" s="39" cm="1">
        <f t="array" aca="1" ref="I152" ca="1">IF(G152=0,0,INDEX(OFFSET(iWeights!$F$18,0,0,$E$13,1),H152))</f>
        <v>0</v>
      </c>
      <c r="J152" s="39" cm="1">
        <f t="array" aca="1" ref="J152" ca="1">IF(G152=0,0,INDEX(OFFSET(iWeights!$G$18,0,0,$E$13,1),H152))</f>
        <v>0</v>
      </c>
      <c r="K152" s="39" t="str" cm="1">
        <f t="array" aca="1" ref="K152" ca="1">IF(G152=0,"",INDEX(auto_Series_Depth,G152))</f>
        <v/>
      </c>
      <c r="L152" s="179">
        <f t="shared" ca="1" si="31"/>
        <v>1</v>
      </c>
      <c r="M152" s="180">
        <f t="shared" ca="1" si="32"/>
        <v>0</v>
      </c>
      <c r="N152" s="181" t="str" cm="1">
        <f t="array" aca="1" ref="N152" ca="1">IF(G152=0,"",CONCATENATE(IF($K152&gt;=4,"    ",""),INDEX(auto_Series_NameNumbered,G152)))</f>
        <v/>
      </c>
      <c r="O152" s="181" t="str">
        <f t="shared" ca="1" si="33"/>
        <v/>
      </c>
      <c r="P152" s="182" t="str">
        <f t="shared" ca="1" si="34"/>
        <v/>
      </c>
      <c r="Q152" s="183" t="str">
        <f t="shared" ca="1" si="35"/>
        <v/>
      </c>
      <c r="R152" s="194"/>
      <c r="S152" s="182" t="str" cm="1">
        <f t="array" aca="1" ref="S152" ca="1">IF(G152=0,"",IF(K152=1,"",INDEX(OFFSET(iWeights!$I$18,0,0,$E$13,1),$H152)))</f>
        <v/>
      </c>
      <c r="T152" s="183" t="str">
        <f t="shared" ca="1" si="36"/>
        <v/>
      </c>
      <c r="U152" s="37"/>
      <c r="V152" s="37"/>
      <c r="W152" s="37"/>
      <c r="X152" s="37"/>
      <c r="Y152" s="37"/>
    </row>
    <row r="153" spans="1:25" ht="17.5" customHeight="1" x14ac:dyDescent="0.35">
      <c r="A153" s="178" t="str">
        <f t="shared" ca="1" si="24"/>
        <v>H</v>
      </c>
      <c r="B153" s="37"/>
      <c r="C153" s="37"/>
      <c r="D153" s="37"/>
      <c r="E153" s="37"/>
      <c r="F153" s="37">
        <v>117</v>
      </c>
      <c r="G153" s="39" cm="1">
        <f t="array" aca="1" ref="G153" ca="1">IFERROR(INDEX(OFFSET(auto_ss_All_Scoring,0,1,500,1),F153),0)</f>
        <v>0</v>
      </c>
      <c r="H153" s="39">
        <f ca="1">IF(G153=0,0,MATCH(G153,OFFSET(iWeights!$B$18,0,0,$E$13,1),0))</f>
        <v>0</v>
      </c>
      <c r="I153" s="39" cm="1">
        <f t="array" aca="1" ref="I153" ca="1">IF(G153=0,0,INDEX(OFFSET(iWeights!$F$18,0,0,$E$13,1),H153))</f>
        <v>0</v>
      </c>
      <c r="J153" s="39" cm="1">
        <f t="array" aca="1" ref="J153" ca="1">IF(G153=0,0,INDEX(OFFSET(iWeights!$G$18,0,0,$E$13,1),H153))</f>
        <v>0</v>
      </c>
      <c r="K153" s="39" t="str" cm="1">
        <f t="array" aca="1" ref="K153" ca="1">IF(G153=0,"",INDEX(auto_Series_Depth,G153))</f>
        <v/>
      </c>
      <c r="L153" s="179">
        <f t="shared" ca="1" si="31"/>
        <v>1</v>
      </c>
      <c r="M153" s="180">
        <f t="shared" ca="1" si="32"/>
        <v>0</v>
      </c>
      <c r="N153" s="181" t="str" cm="1">
        <f t="array" aca="1" ref="N153" ca="1">IF(G153=0,"",CONCATENATE(IF($K153&gt;=4,"    ",""),INDEX(auto_Series_NameNumbered,G153)))</f>
        <v/>
      </c>
      <c r="O153" s="181" t="str">
        <f t="shared" ca="1" si="33"/>
        <v/>
      </c>
      <c r="P153" s="182" t="str">
        <f t="shared" ca="1" si="34"/>
        <v/>
      </c>
      <c r="Q153" s="183" t="str">
        <f t="shared" ca="1" si="35"/>
        <v/>
      </c>
      <c r="R153" s="194"/>
      <c r="S153" s="182" t="str" cm="1">
        <f t="array" aca="1" ref="S153" ca="1">IF(G153=0,"",IF(K153=1,"",INDEX(OFFSET(iWeights!$I$18,0,0,$E$13,1),$H153)))</f>
        <v/>
      </c>
      <c r="T153" s="183" t="str">
        <f t="shared" ca="1" si="36"/>
        <v/>
      </c>
      <c r="U153" s="37"/>
      <c r="V153" s="37"/>
      <c r="W153" s="37"/>
      <c r="X153" s="37"/>
      <c r="Y153" s="37"/>
    </row>
    <row r="154" spans="1:25" ht="17.5" customHeight="1" x14ac:dyDescent="0.35">
      <c r="A154" s="178" t="str">
        <f t="shared" ca="1" si="24"/>
        <v>H</v>
      </c>
      <c r="B154" s="37"/>
      <c r="C154" s="37"/>
      <c r="D154" s="37"/>
      <c r="E154" s="37"/>
      <c r="F154" s="37">
        <v>118</v>
      </c>
      <c r="G154" s="39" cm="1">
        <f t="array" aca="1" ref="G154" ca="1">IFERROR(INDEX(OFFSET(auto_ss_All_Scoring,0,1,500,1),F154),0)</f>
        <v>0</v>
      </c>
      <c r="H154" s="39">
        <f ca="1">IF(G154=0,0,MATCH(G154,OFFSET(iWeights!$B$18,0,0,$E$13,1),0))</f>
        <v>0</v>
      </c>
      <c r="I154" s="39" cm="1">
        <f t="array" aca="1" ref="I154" ca="1">IF(G154=0,0,INDEX(OFFSET(iWeights!$F$18,0,0,$E$13,1),H154))</f>
        <v>0</v>
      </c>
      <c r="J154" s="39" cm="1">
        <f t="array" aca="1" ref="J154" ca="1">IF(G154=0,0,INDEX(OFFSET(iWeights!$G$18,0,0,$E$13,1),H154))</f>
        <v>0</v>
      </c>
      <c r="K154" s="39" t="str" cm="1">
        <f t="array" aca="1" ref="K154" ca="1">IF(G154=0,"",INDEX(auto_Series_Depth,G154))</f>
        <v/>
      </c>
      <c r="L154" s="179">
        <f t="shared" ca="1" si="31"/>
        <v>1</v>
      </c>
      <c r="M154" s="180">
        <f t="shared" ca="1" si="32"/>
        <v>0</v>
      </c>
      <c r="N154" s="181" t="str" cm="1">
        <f t="array" aca="1" ref="N154" ca="1">IF(G154=0,"",CONCATENATE(IF($K154&gt;=4,"    ",""),INDEX(auto_Series_NameNumbered,G154)))</f>
        <v/>
      </c>
      <c r="O154" s="181" t="str">
        <f t="shared" ca="1" si="33"/>
        <v/>
      </c>
      <c r="P154" s="182" t="str">
        <f t="shared" ca="1" si="34"/>
        <v/>
      </c>
      <c r="Q154" s="183" t="str">
        <f t="shared" ca="1" si="35"/>
        <v/>
      </c>
      <c r="R154" s="194"/>
      <c r="S154" s="182" t="str" cm="1">
        <f t="array" aca="1" ref="S154" ca="1">IF(G154=0,"",IF(K154=1,"",INDEX(OFFSET(iWeights!$I$18,0,0,$E$13,1),$H154)))</f>
        <v/>
      </c>
      <c r="T154" s="183" t="str">
        <f t="shared" ca="1" si="36"/>
        <v/>
      </c>
      <c r="U154" s="37"/>
      <c r="V154" s="37"/>
      <c r="W154" s="37"/>
      <c r="X154" s="37"/>
      <c r="Y154" s="37"/>
    </row>
    <row r="155" spans="1:25" ht="17.5" customHeight="1" x14ac:dyDescent="0.35">
      <c r="A155" s="178" t="str">
        <f t="shared" ca="1" si="24"/>
        <v>H</v>
      </c>
      <c r="B155" s="37"/>
      <c r="C155" s="37"/>
      <c r="D155" s="37"/>
      <c r="E155" s="37"/>
      <c r="F155" s="37">
        <v>119</v>
      </c>
      <c r="G155" s="39" cm="1">
        <f t="array" aca="1" ref="G155" ca="1">IFERROR(INDEX(OFFSET(auto_ss_All_Scoring,0,1,500,1),F155),0)</f>
        <v>0</v>
      </c>
      <c r="H155" s="39">
        <f ca="1">IF(G155=0,0,MATCH(G155,OFFSET(iWeights!$B$18,0,0,$E$13,1),0))</f>
        <v>0</v>
      </c>
      <c r="I155" s="39" cm="1">
        <f t="array" aca="1" ref="I155" ca="1">IF(G155=0,0,INDEX(OFFSET(iWeights!$F$18,0,0,$E$13,1),H155))</f>
        <v>0</v>
      </c>
      <c r="J155" s="39" cm="1">
        <f t="array" aca="1" ref="J155" ca="1">IF(G155=0,0,INDEX(OFFSET(iWeights!$G$18,0,0,$E$13,1),H155))</f>
        <v>0</v>
      </c>
      <c r="K155" s="39" t="str" cm="1">
        <f t="array" aca="1" ref="K155" ca="1">IF(G155=0,"",INDEX(auto_Series_Depth,G155))</f>
        <v/>
      </c>
      <c r="L155" s="179">
        <f t="shared" ca="1" si="31"/>
        <v>1</v>
      </c>
      <c r="M155" s="180">
        <f t="shared" ca="1" si="32"/>
        <v>0</v>
      </c>
      <c r="N155" s="181" t="str" cm="1">
        <f t="array" aca="1" ref="N155" ca="1">IF(G155=0,"",CONCATENATE(IF($K155&gt;=4,"    ",""),INDEX(auto_Series_NameNumbered,G155)))</f>
        <v/>
      </c>
      <c r="O155" s="181" t="str">
        <f t="shared" ca="1" si="33"/>
        <v/>
      </c>
      <c r="P155" s="182" t="str">
        <f t="shared" ca="1" si="34"/>
        <v/>
      </c>
      <c r="Q155" s="183" t="str">
        <f t="shared" ca="1" si="35"/>
        <v/>
      </c>
      <c r="R155" s="194"/>
      <c r="S155" s="182" t="str" cm="1">
        <f t="array" aca="1" ref="S155" ca="1">IF(G155=0,"",IF(K155=1,"",INDEX(OFFSET(iWeights!$I$18,0,0,$E$13,1),$H155)))</f>
        <v/>
      </c>
      <c r="T155" s="183" t="str">
        <f t="shared" ca="1" si="36"/>
        <v/>
      </c>
      <c r="U155" s="37"/>
      <c r="V155" s="37"/>
      <c r="W155" s="37"/>
      <c r="X155" s="37"/>
      <c r="Y155" s="37"/>
    </row>
    <row r="156" spans="1:25" ht="17.5" customHeight="1" x14ac:dyDescent="0.35">
      <c r="A156" s="178" t="str">
        <f t="shared" ca="1" si="24"/>
        <v>H</v>
      </c>
      <c r="B156" s="37"/>
      <c r="C156" s="37"/>
      <c r="D156" s="37"/>
      <c r="E156" s="37"/>
      <c r="F156" s="37">
        <v>120</v>
      </c>
      <c r="G156" s="39" cm="1">
        <f t="array" aca="1" ref="G156" ca="1">IFERROR(INDEX(OFFSET(auto_ss_All_Scoring,0,1,500,1),F156),0)</f>
        <v>0</v>
      </c>
      <c r="H156" s="39">
        <f ca="1">IF(G156=0,0,MATCH(G156,OFFSET(iWeights!$B$18,0,0,$E$13,1),0))</f>
        <v>0</v>
      </c>
      <c r="I156" s="39" cm="1">
        <f t="array" aca="1" ref="I156" ca="1">IF(G156=0,0,INDEX(OFFSET(iWeights!$F$18,0,0,$E$13,1),H156))</f>
        <v>0</v>
      </c>
      <c r="J156" s="39" cm="1">
        <f t="array" aca="1" ref="J156" ca="1">IF(G156=0,0,INDEX(OFFSET(iWeights!$G$18,0,0,$E$13,1),H156))</f>
        <v>0</v>
      </c>
      <c r="K156" s="39" t="str" cm="1">
        <f t="array" aca="1" ref="K156" ca="1">IF(G156=0,"",INDEX(auto_Series_Depth,G156))</f>
        <v/>
      </c>
      <c r="L156" s="179">
        <f t="shared" ca="1" si="31"/>
        <v>1</v>
      </c>
      <c r="M156" s="180">
        <f t="shared" ca="1" si="32"/>
        <v>0</v>
      </c>
      <c r="N156" s="181" t="str" cm="1">
        <f t="array" aca="1" ref="N156" ca="1">IF(G156=0,"",CONCATENATE(IF($K156&gt;=4,"    ",""),INDEX(auto_Series_NameNumbered,G156)))</f>
        <v/>
      </c>
      <c r="O156" s="181" t="str">
        <f t="shared" ca="1" si="33"/>
        <v/>
      </c>
      <c r="P156" s="182" t="str">
        <f t="shared" ca="1" si="34"/>
        <v/>
      </c>
      <c r="Q156" s="183" t="str">
        <f t="shared" ca="1" si="35"/>
        <v/>
      </c>
      <c r="R156" s="194"/>
      <c r="S156" s="182" t="str" cm="1">
        <f t="array" aca="1" ref="S156" ca="1">IF(G156=0,"",IF(K156=1,"",INDEX(OFFSET(iWeights!$I$18,0,0,$E$13,1),$H156)))</f>
        <v/>
      </c>
      <c r="T156" s="183" t="str">
        <f t="shared" ca="1" si="36"/>
        <v/>
      </c>
      <c r="U156" s="37"/>
      <c r="V156" s="37"/>
      <c r="W156" s="37"/>
      <c r="X156" s="37"/>
      <c r="Y156" s="37"/>
    </row>
    <row r="157" spans="1:25" ht="17.5" customHeight="1" x14ac:dyDescent="0.35">
      <c r="A157" s="178" t="str">
        <f t="shared" ca="1" si="24"/>
        <v>H</v>
      </c>
      <c r="B157" s="37"/>
      <c r="C157" s="37"/>
      <c r="D157" s="37"/>
      <c r="E157" s="37"/>
      <c r="F157" s="37">
        <v>121</v>
      </c>
      <c r="G157" s="39" cm="1">
        <f t="array" aca="1" ref="G157" ca="1">IFERROR(INDEX(OFFSET(auto_ss_All_Scoring,0,1,500,1),F157),0)</f>
        <v>0</v>
      </c>
      <c r="H157" s="39">
        <f ca="1">IF(G157=0,0,MATCH(G157,OFFSET(iWeights!$B$18,0,0,$E$13,1),0))</f>
        <v>0</v>
      </c>
      <c r="I157" s="39" cm="1">
        <f t="array" aca="1" ref="I157" ca="1">IF(G157=0,0,INDEX(OFFSET(iWeights!$F$18,0,0,$E$13,1),H157))</f>
        <v>0</v>
      </c>
      <c r="J157" s="39" cm="1">
        <f t="array" aca="1" ref="J157" ca="1">IF(G157=0,0,INDEX(OFFSET(iWeights!$G$18,0,0,$E$13,1),H157))</f>
        <v>0</v>
      </c>
      <c r="K157" s="39" t="str" cm="1">
        <f t="array" aca="1" ref="K157" ca="1">IF(G157=0,"",INDEX(auto_Series_Depth,G157))</f>
        <v/>
      </c>
      <c r="L157" s="179">
        <f t="shared" ca="1" si="31"/>
        <v>1</v>
      </c>
      <c r="M157" s="180">
        <f t="shared" ca="1" si="32"/>
        <v>0</v>
      </c>
      <c r="N157" s="181" t="str" cm="1">
        <f t="array" aca="1" ref="N157" ca="1">IF(G157=0,"",CONCATENATE(IF($K157&gt;=4,"    ",""),INDEX(auto_Series_NameNumbered,G157)))</f>
        <v/>
      </c>
      <c r="O157" s="181" t="str">
        <f t="shared" ca="1" si="33"/>
        <v/>
      </c>
      <c r="P157" s="182" t="str">
        <f t="shared" ca="1" si="34"/>
        <v/>
      </c>
      <c r="Q157" s="183" t="str">
        <f t="shared" ca="1" si="35"/>
        <v/>
      </c>
      <c r="R157" s="194"/>
      <c r="S157" s="182" t="str" cm="1">
        <f t="array" aca="1" ref="S157" ca="1">IF(G157=0,"",IF(K157=1,"",INDEX(OFFSET(iWeights!$I$18,0,0,$E$13,1),$H157)))</f>
        <v/>
      </c>
      <c r="T157" s="183" t="str">
        <f t="shared" ca="1" si="36"/>
        <v/>
      </c>
      <c r="U157" s="37"/>
      <c r="V157" s="37"/>
      <c r="W157" s="37"/>
      <c r="X157" s="37"/>
      <c r="Y157" s="37"/>
    </row>
    <row r="158" spans="1:25" ht="17.5" customHeight="1" x14ac:dyDescent="0.35">
      <c r="A158" s="178" t="str">
        <f t="shared" ca="1" si="24"/>
        <v>H</v>
      </c>
      <c r="B158" s="37"/>
      <c r="C158" s="37"/>
      <c r="D158" s="37"/>
      <c r="E158" s="37"/>
      <c r="F158" s="37">
        <v>122</v>
      </c>
      <c r="G158" s="39" cm="1">
        <f t="array" aca="1" ref="G158" ca="1">IFERROR(INDEX(OFFSET(auto_ss_All_Scoring,0,1,500,1),F158),0)</f>
        <v>0</v>
      </c>
      <c r="H158" s="39">
        <f ca="1">IF(G158=0,0,MATCH(G158,OFFSET(iWeights!$B$18,0,0,$E$13,1),0))</f>
        <v>0</v>
      </c>
      <c r="I158" s="39" cm="1">
        <f t="array" aca="1" ref="I158" ca="1">IF(G158=0,0,INDEX(OFFSET(iWeights!$F$18,0,0,$E$13,1),H158))</f>
        <v>0</v>
      </c>
      <c r="J158" s="39" cm="1">
        <f t="array" aca="1" ref="J158" ca="1">IF(G158=0,0,INDEX(OFFSET(iWeights!$G$18,0,0,$E$13,1),H158))</f>
        <v>0</v>
      </c>
      <c r="K158" s="39" t="str" cm="1">
        <f t="array" aca="1" ref="K158" ca="1">IF(G158=0,"",INDEX(auto_Series_Depth,G158))</f>
        <v/>
      </c>
      <c r="L158" s="179">
        <f t="shared" ca="1" si="31"/>
        <v>1</v>
      </c>
      <c r="M158" s="180">
        <f t="shared" ca="1" si="32"/>
        <v>0</v>
      </c>
      <c r="N158" s="181" t="str" cm="1">
        <f t="array" aca="1" ref="N158" ca="1">IF(G158=0,"",CONCATENATE(IF($K158&gt;=4,"    ",""),INDEX(auto_Series_NameNumbered,G158)))</f>
        <v/>
      </c>
      <c r="O158" s="181" t="str">
        <f t="shared" ca="1" si="33"/>
        <v/>
      </c>
      <c r="P158" s="182" t="str">
        <f t="shared" ca="1" si="34"/>
        <v/>
      </c>
      <c r="Q158" s="183" t="str">
        <f t="shared" ca="1" si="35"/>
        <v/>
      </c>
      <c r="R158" s="194"/>
      <c r="S158" s="182" t="str" cm="1">
        <f t="array" aca="1" ref="S158" ca="1">IF(G158=0,"",IF(K158=1,"",INDEX(OFFSET(iWeights!$I$18,0,0,$E$13,1),$H158)))</f>
        <v/>
      </c>
      <c r="T158" s="183" t="str">
        <f t="shared" ca="1" si="36"/>
        <v/>
      </c>
      <c r="U158" s="37"/>
      <c r="V158" s="37"/>
      <c r="W158" s="37"/>
      <c r="X158" s="37"/>
      <c r="Y158" s="37"/>
    </row>
    <row r="159" spans="1:25" ht="17.5" customHeight="1" x14ac:dyDescent="0.35">
      <c r="A159" s="178" t="str">
        <f t="shared" ca="1" si="24"/>
        <v>H</v>
      </c>
      <c r="B159" s="37"/>
      <c r="C159" s="37"/>
      <c r="D159" s="37"/>
      <c r="E159" s="37"/>
      <c r="F159" s="37">
        <v>123</v>
      </c>
      <c r="G159" s="39" cm="1">
        <f t="array" aca="1" ref="G159" ca="1">IFERROR(INDEX(OFFSET(auto_ss_All_Scoring,0,1,500,1),F159),0)</f>
        <v>0</v>
      </c>
      <c r="H159" s="39">
        <f ca="1">IF(G159=0,0,MATCH(G159,OFFSET(iWeights!$B$18,0,0,$E$13,1),0))</f>
        <v>0</v>
      </c>
      <c r="I159" s="39" cm="1">
        <f t="array" aca="1" ref="I159" ca="1">IF(G159=0,0,INDEX(OFFSET(iWeights!$F$18,0,0,$E$13,1),H159))</f>
        <v>0</v>
      </c>
      <c r="J159" s="39" cm="1">
        <f t="array" aca="1" ref="J159" ca="1">IF(G159=0,0,INDEX(OFFSET(iWeights!$G$18,0,0,$E$13,1),H159))</f>
        <v>0</v>
      </c>
      <c r="K159" s="39" t="str" cm="1">
        <f t="array" aca="1" ref="K159" ca="1">IF(G159=0,"",INDEX(auto_Series_Depth,G159))</f>
        <v/>
      </c>
      <c r="L159" s="179">
        <f t="shared" ca="1" si="31"/>
        <v>1</v>
      </c>
      <c r="M159" s="180">
        <f t="shared" ca="1" si="32"/>
        <v>0</v>
      </c>
      <c r="N159" s="181" t="str" cm="1">
        <f t="array" aca="1" ref="N159" ca="1">IF(G159=0,"",CONCATENATE(IF($K159&gt;=4,"    ",""),INDEX(auto_Series_NameNumbered,G159)))</f>
        <v/>
      </c>
      <c r="O159" s="181" t="str">
        <f t="shared" ca="1" si="33"/>
        <v/>
      </c>
      <c r="P159" s="182" t="str">
        <f t="shared" ca="1" si="34"/>
        <v/>
      </c>
      <c r="Q159" s="183" t="str">
        <f t="shared" ca="1" si="35"/>
        <v/>
      </c>
      <c r="R159" s="194"/>
      <c r="S159" s="182" t="str" cm="1">
        <f t="array" aca="1" ref="S159" ca="1">IF(G159=0,"",IF(K159=1,"",INDEX(OFFSET(iWeights!$I$18,0,0,$E$13,1),$H159)))</f>
        <v/>
      </c>
      <c r="T159" s="183" t="str">
        <f t="shared" ca="1" si="36"/>
        <v/>
      </c>
      <c r="U159" s="37"/>
      <c r="V159" s="37"/>
      <c r="W159" s="37"/>
      <c r="X159" s="37"/>
      <c r="Y159" s="37"/>
    </row>
    <row r="160" spans="1:25" ht="17.5" customHeight="1" x14ac:dyDescent="0.35">
      <c r="A160" s="178" t="str">
        <f t="shared" ca="1" si="24"/>
        <v>H</v>
      </c>
      <c r="B160" s="37"/>
      <c r="C160" s="37"/>
      <c r="D160" s="37"/>
      <c r="E160" s="37"/>
      <c r="F160" s="37">
        <v>124</v>
      </c>
      <c r="G160" s="39" cm="1">
        <f t="array" aca="1" ref="G160" ca="1">IFERROR(INDEX(OFFSET(auto_ss_All_Scoring,0,1,500,1),F160),0)</f>
        <v>0</v>
      </c>
      <c r="H160" s="39">
        <f ca="1">IF(G160=0,0,MATCH(G160,OFFSET(iWeights!$B$18,0,0,$E$13,1),0))</f>
        <v>0</v>
      </c>
      <c r="I160" s="39" cm="1">
        <f t="array" aca="1" ref="I160" ca="1">IF(G160=0,0,INDEX(OFFSET(iWeights!$F$18,0,0,$E$13,1),H160))</f>
        <v>0</v>
      </c>
      <c r="J160" s="39" cm="1">
        <f t="array" aca="1" ref="J160" ca="1">IF(G160=0,0,INDEX(OFFSET(iWeights!$G$18,0,0,$E$13,1),H160))</f>
        <v>0</v>
      </c>
      <c r="K160" s="39" t="str" cm="1">
        <f t="array" aca="1" ref="K160" ca="1">IF(G160=0,"",INDEX(auto_Series_Depth,G160))</f>
        <v/>
      </c>
      <c r="L160" s="179">
        <f t="shared" ca="1" si="31"/>
        <v>1</v>
      </c>
      <c r="M160" s="180">
        <f t="shared" ca="1" si="32"/>
        <v>0</v>
      </c>
      <c r="N160" s="181" t="str" cm="1">
        <f t="array" aca="1" ref="N160" ca="1">IF(G160=0,"",CONCATENATE(IF($K160&gt;=4,"    ",""),INDEX(auto_Series_NameNumbered,G160)))</f>
        <v/>
      </c>
      <c r="O160" s="181" t="str">
        <f t="shared" ca="1" si="33"/>
        <v/>
      </c>
      <c r="P160" s="182" t="str">
        <f t="shared" ca="1" si="34"/>
        <v/>
      </c>
      <c r="Q160" s="183" t="str">
        <f t="shared" ca="1" si="35"/>
        <v/>
      </c>
      <c r="R160" s="194"/>
      <c r="S160" s="182" t="str" cm="1">
        <f t="array" aca="1" ref="S160" ca="1">IF(G160=0,"",IF(K160=1,"",INDEX(OFFSET(iWeights!$I$18,0,0,$E$13,1),$H160)))</f>
        <v/>
      </c>
      <c r="T160" s="183" t="str">
        <f t="shared" ca="1" si="36"/>
        <v/>
      </c>
      <c r="U160" s="37"/>
      <c r="V160" s="37"/>
      <c r="W160" s="37"/>
      <c r="X160" s="37"/>
      <c r="Y160" s="37"/>
    </row>
    <row r="161" spans="1:25" ht="17.5" customHeight="1" x14ac:dyDescent="0.35">
      <c r="A161" s="178" t="str">
        <f t="shared" ca="1" si="24"/>
        <v>H</v>
      </c>
      <c r="B161" s="37"/>
      <c r="C161" s="37"/>
      <c r="D161" s="37"/>
      <c r="E161" s="37"/>
      <c r="F161" s="37">
        <v>125</v>
      </c>
      <c r="G161" s="39" cm="1">
        <f t="array" aca="1" ref="G161" ca="1">IFERROR(INDEX(OFFSET(auto_ss_All_Scoring,0,1,500,1),F161),0)</f>
        <v>0</v>
      </c>
      <c r="H161" s="39">
        <f ca="1">IF(G161=0,0,MATCH(G161,OFFSET(iWeights!$B$18,0,0,$E$13,1),0))</f>
        <v>0</v>
      </c>
      <c r="I161" s="39" cm="1">
        <f t="array" aca="1" ref="I161" ca="1">IF(G161=0,0,INDEX(OFFSET(iWeights!$F$18,0,0,$E$13,1),H161))</f>
        <v>0</v>
      </c>
      <c r="J161" s="39" cm="1">
        <f t="array" aca="1" ref="J161" ca="1">IF(G161=0,0,INDEX(OFFSET(iWeights!$G$18,0,0,$E$13,1),H161))</f>
        <v>0</v>
      </c>
      <c r="K161" s="39" t="str" cm="1">
        <f t="array" aca="1" ref="K161" ca="1">IF(G161=0,"",INDEX(auto_Series_Depth,G161))</f>
        <v/>
      </c>
      <c r="L161" s="179">
        <f t="shared" ca="1" si="31"/>
        <v>1</v>
      </c>
      <c r="M161" s="180">
        <f t="shared" ca="1" si="32"/>
        <v>0</v>
      </c>
      <c r="N161" s="181" t="str" cm="1">
        <f t="array" aca="1" ref="N161" ca="1">IF(G161=0,"",CONCATENATE(IF($K161&gt;=4,"    ",""),INDEX(auto_Series_NameNumbered,G161)))</f>
        <v/>
      </c>
      <c r="O161" s="181" t="str">
        <f t="shared" ca="1" si="33"/>
        <v/>
      </c>
      <c r="P161" s="182" t="str">
        <f t="shared" ca="1" si="34"/>
        <v/>
      </c>
      <c r="Q161" s="183" t="str">
        <f t="shared" ca="1" si="35"/>
        <v/>
      </c>
      <c r="R161" s="194"/>
      <c r="S161" s="182" t="str" cm="1">
        <f t="array" aca="1" ref="S161" ca="1">IF(G161=0,"",IF(K161=1,"",INDEX(OFFSET(iWeights!$I$18,0,0,$E$13,1),$H161)))</f>
        <v/>
      </c>
      <c r="T161" s="183" t="str">
        <f t="shared" ca="1" si="36"/>
        <v/>
      </c>
      <c r="U161" s="37"/>
      <c r="V161" s="37"/>
      <c r="W161" s="37"/>
      <c r="X161" s="37"/>
      <c r="Y161" s="37"/>
    </row>
    <row r="162" spans="1:25" ht="17.5" customHeight="1" x14ac:dyDescent="0.35">
      <c r="A162" s="178" t="str">
        <f t="shared" ca="1" si="24"/>
        <v>H</v>
      </c>
      <c r="B162" s="37"/>
      <c r="C162" s="37"/>
      <c r="D162" s="37"/>
      <c r="E162" s="37"/>
      <c r="F162" s="37">
        <v>126</v>
      </c>
      <c r="G162" s="39" cm="1">
        <f t="array" aca="1" ref="G162" ca="1">IFERROR(INDEX(OFFSET(auto_ss_All_Scoring,0,1,500,1),F162),0)</f>
        <v>0</v>
      </c>
      <c r="H162" s="39">
        <f ca="1">IF(G162=0,0,MATCH(G162,OFFSET(iWeights!$B$18,0,0,$E$13,1),0))</f>
        <v>0</v>
      </c>
      <c r="I162" s="39" cm="1">
        <f t="array" aca="1" ref="I162" ca="1">IF(G162=0,0,INDEX(OFFSET(iWeights!$F$18,0,0,$E$13,1),H162))</f>
        <v>0</v>
      </c>
      <c r="J162" s="39" cm="1">
        <f t="array" aca="1" ref="J162" ca="1">IF(G162=0,0,INDEX(OFFSET(iWeights!$G$18,0,0,$E$13,1),H162))</f>
        <v>0</v>
      </c>
      <c r="K162" s="39" t="str" cm="1">
        <f t="array" aca="1" ref="K162" ca="1">IF(G162=0,"",INDEX(auto_Series_Depth,G162))</f>
        <v/>
      </c>
      <c r="L162" s="179">
        <f t="shared" ca="1" si="31"/>
        <v>1</v>
      </c>
      <c r="M162" s="180">
        <f t="shared" ca="1" si="32"/>
        <v>0</v>
      </c>
      <c r="N162" s="181" t="str" cm="1">
        <f t="array" aca="1" ref="N162" ca="1">IF(G162=0,"",CONCATENATE(IF($K162&gt;=4,"    ",""),INDEX(auto_Series_NameNumbered,G162)))</f>
        <v/>
      </c>
      <c r="O162" s="181" t="str">
        <f t="shared" ca="1" si="33"/>
        <v/>
      </c>
      <c r="P162" s="182" t="str">
        <f t="shared" ca="1" si="34"/>
        <v/>
      </c>
      <c r="Q162" s="183" t="str">
        <f t="shared" ca="1" si="35"/>
        <v/>
      </c>
      <c r="R162" s="194"/>
      <c r="S162" s="182" t="str" cm="1">
        <f t="array" aca="1" ref="S162" ca="1">IF(G162=0,"",IF(K162=1,"",INDEX(OFFSET(iWeights!$I$18,0,0,$E$13,1),$H162)))</f>
        <v/>
      </c>
      <c r="T162" s="183" t="str">
        <f t="shared" ca="1" si="36"/>
        <v/>
      </c>
      <c r="U162" s="37"/>
      <c r="V162" s="37"/>
      <c r="W162" s="37"/>
      <c r="X162" s="37"/>
      <c r="Y162" s="37"/>
    </row>
    <row r="163" spans="1:25" ht="17.5" customHeight="1" x14ac:dyDescent="0.35">
      <c r="A163" s="178" t="str">
        <f t="shared" ca="1" si="24"/>
        <v>H</v>
      </c>
      <c r="B163" s="37"/>
      <c r="C163" s="37"/>
      <c r="D163" s="37"/>
      <c r="E163" s="37"/>
      <c r="F163" s="37">
        <v>127</v>
      </c>
      <c r="G163" s="39" cm="1">
        <f t="array" aca="1" ref="G163" ca="1">IFERROR(INDEX(OFFSET(auto_ss_All_Scoring,0,1,500,1),F163),0)</f>
        <v>0</v>
      </c>
      <c r="H163" s="39">
        <f ca="1">IF(G163=0,0,MATCH(G163,OFFSET(iWeights!$B$18,0,0,$E$13,1),0))</f>
        <v>0</v>
      </c>
      <c r="I163" s="39" cm="1">
        <f t="array" aca="1" ref="I163" ca="1">IF(G163=0,0,INDEX(OFFSET(iWeights!$F$18,0,0,$E$13,1),H163))</f>
        <v>0</v>
      </c>
      <c r="J163" s="39" cm="1">
        <f t="array" aca="1" ref="J163" ca="1">IF(G163=0,0,INDEX(OFFSET(iWeights!$G$18,0,0,$E$13,1),H163))</f>
        <v>0</v>
      </c>
      <c r="K163" s="39" t="str" cm="1">
        <f t="array" aca="1" ref="K163" ca="1">IF(G163=0,"",INDEX(auto_Series_Depth,G163))</f>
        <v/>
      </c>
      <c r="L163" s="179">
        <f t="shared" ca="1" si="31"/>
        <v>1</v>
      </c>
      <c r="M163" s="180">
        <f t="shared" ca="1" si="32"/>
        <v>0</v>
      </c>
      <c r="N163" s="181" t="str" cm="1">
        <f t="array" aca="1" ref="N163" ca="1">IF(G163=0,"",CONCATENATE(IF($K163&gt;=4,"    ",""),INDEX(auto_Series_NameNumbered,G163)))</f>
        <v/>
      </c>
      <c r="O163" s="181" t="str">
        <f t="shared" ca="1" si="33"/>
        <v/>
      </c>
      <c r="P163" s="182" t="str">
        <f t="shared" ca="1" si="34"/>
        <v/>
      </c>
      <c r="Q163" s="183" t="str">
        <f t="shared" ca="1" si="35"/>
        <v/>
      </c>
      <c r="R163" s="194"/>
      <c r="S163" s="182" t="str" cm="1">
        <f t="array" aca="1" ref="S163" ca="1">IF(G163=0,"",IF(K163=1,"",INDEX(OFFSET(iWeights!$I$18,0,0,$E$13,1),$H163)))</f>
        <v/>
      </c>
      <c r="T163" s="183" t="str">
        <f t="shared" ca="1" si="36"/>
        <v/>
      </c>
      <c r="U163" s="37"/>
      <c r="V163" s="37"/>
      <c r="W163" s="37"/>
      <c r="X163" s="37"/>
      <c r="Y163" s="37"/>
    </row>
    <row r="164" spans="1:25" ht="17.5" customHeight="1" x14ac:dyDescent="0.35">
      <c r="A164" s="178" t="str">
        <f t="shared" ca="1" si="24"/>
        <v>H</v>
      </c>
      <c r="B164" s="37"/>
      <c r="C164" s="37"/>
      <c r="D164" s="37"/>
      <c r="E164" s="37"/>
      <c r="F164" s="37">
        <v>128</v>
      </c>
      <c r="G164" s="39" cm="1">
        <f t="array" aca="1" ref="G164" ca="1">IFERROR(INDEX(OFFSET(auto_ss_All_Scoring,0,1,500,1),F164),0)</f>
        <v>0</v>
      </c>
      <c r="H164" s="39">
        <f ca="1">IF(G164=0,0,MATCH(G164,OFFSET(iWeights!$B$18,0,0,$E$13,1),0))</f>
        <v>0</v>
      </c>
      <c r="I164" s="39" cm="1">
        <f t="array" aca="1" ref="I164" ca="1">IF(G164=0,0,INDEX(OFFSET(iWeights!$F$18,0,0,$E$13,1),H164))</f>
        <v>0</v>
      </c>
      <c r="J164" s="39" cm="1">
        <f t="array" aca="1" ref="J164" ca="1">IF(G164=0,0,INDEX(OFFSET(iWeights!$G$18,0,0,$E$13,1),H164))</f>
        <v>0</v>
      </c>
      <c r="K164" s="39" t="str" cm="1">
        <f t="array" aca="1" ref="K164" ca="1">IF(G164=0,"",INDEX(auto_Series_Depth,G164))</f>
        <v/>
      </c>
      <c r="L164" s="179">
        <f t="shared" ca="1" si="31"/>
        <v>1</v>
      </c>
      <c r="M164" s="180">
        <f t="shared" ca="1" si="32"/>
        <v>0</v>
      </c>
      <c r="N164" s="181" t="str" cm="1">
        <f t="array" aca="1" ref="N164" ca="1">IF(G164=0,"",CONCATENATE(IF($K164&gt;=4,"    ",""),INDEX(auto_Series_NameNumbered,G164)))</f>
        <v/>
      </c>
      <c r="O164" s="181" t="str">
        <f t="shared" ca="1" si="33"/>
        <v/>
      </c>
      <c r="P164" s="182" t="str">
        <f t="shared" ca="1" si="34"/>
        <v/>
      </c>
      <c r="Q164" s="183" t="str">
        <f t="shared" ca="1" si="35"/>
        <v/>
      </c>
      <c r="R164" s="194"/>
      <c r="S164" s="182" t="str" cm="1">
        <f t="array" aca="1" ref="S164" ca="1">IF(G164=0,"",IF(K164=1,"",INDEX(OFFSET(iWeights!$I$18,0,0,$E$13,1),$H164)))</f>
        <v/>
      </c>
      <c r="T164" s="183" t="str">
        <f t="shared" ca="1" si="36"/>
        <v/>
      </c>
      <c r="U164" s="37"/>
      <c r="V164" s="37"/>
      <c r="W164" s="37"/>
      <c r="X164" s="37"/>
      <c r="Y164" s="37"/>
    </row>
    <row r="165" spans="1:25" ht="17.5" customHeight="1" x14ac:dyDescent="0.35">
      <c r="A165" s="178" t="str">
        <f t="shared" ca="1" si="24"/>
        <v>H</v>
      </c>
      <c r="B165" s="37"/>
      <c r="C165" s="37"/>
      <c r="D165" s="37"/>
      <c r="E165" s="37"/>
      <c r="F165" s="37">
        <v>129</v>
      </c>
      <c r="G165" s="39" cm="1">
        <f t="array" aca="1" ref="G165" ca="1">IFERROR(INDEX(OFFSET(auto_ss_All_Scoring,0,1,500,1),F165),0)</f>
        <v>0</v>
      </c>
      <c r="H165" s="39">
        <f ca="1">IF(G165=0,0,MATCH(G165,OFFSET(iWeights!$B$18,0,0,$E$13,1),0))</f>
        <v>0</v>
      </c>
      <c r="I165" s="39" cm="1">
        <f t="array" aca="1" ref="I165" ca="1">IF(G165=0,0,INDEX(OFFSET(iWeights!$F$18,0,0,$E$13,1),H165))</f>
        <v>0</v>
      </c>
      <c r="J165" s="39" cm="1">
        <f t="array" aca="1" ref="J165" ca="1">IF(G165=0,0,INDEX(OFFSET(iWeights!$G$18,0,0,$E$13,1),H165))</f>
        <v>0</v>
      </c>
      <c r="K165" s="39" t="str" cm="1">
        <f t="array" aca="1" ref="K165" ca="1">IF(G165=0,"",INDEX(auto_Series_Depth,G165))</f>
        <v/>
      </c>
      <c r="L165" s="179">
        <f t="shared" ca="1" si="31"/>
        <v>1</v>
      </c>
      <c r="M165" s="180">
        <f t="shared" ca="1" si="32"/>
        <v>0</v>
      </c>
      <c r="N165" s="181" t="str" cm="1">
        <f t="array" aca="1" ref="N165" ca="1">IF(G165=0,"",CONCATENATE(IF($K165&gt;=4,"    ",""),INDEX(auto_Series_NameNumbered,G165)))</f>
        <v/>
      </c>
      <c r="O165" s="181" t="str">
        <f t="shared" ca="1" si="33"/>
        <v/>
      </c>
      <c r="P165" s="182" t="str">
        <f t="shared" ca="1" si="34"/>
        <v/>
      </c>
      <c r="Q165" s="183" t="str">
        <f t="shared" ca="1" si="35"/>
        <v/>
      </c>
      <c r="R165" s="194"/>
      <c r="S165" s="182" t="str" cm="1">
        <f t="array" aca="1" ref="S165" ca="1">IF(G165=0,"",IF(K165=1,"",INDEX(OFFSET(iWeights!$I$18,0,0,$E$13,1),$H165)))</f>
        <v/>
      </c>
      <c r="T165" s="183" t="str">
        <f t="shared" ca="1" si="36"/>
        <v/>
      </c>
      <c r="U165" s="37"/>
      <c r="V165" s="37"/>
      <c r="W165" s="37"/>
      <c r="X165" s="37"/>
      <c r="Y165" s="37"/>
    </row>
    <row r="166" spans="1:25" ht="17.5" customHeight="1" x14ac:dyDescent="0.35">
      <c r="A166" s="178" t="str">
        <f t="shared" ca="1" si="24"/>
        <v>H</v>
      </c>
      <c r="B166" s="37"/>
      <c r="C166" s="37"/>
      <c r="D166" s="37"/>
      <c r="E166" s="37"/>
      <c r="F166" s="37">
        <v>130</v>
      </c>
      <c r="G166" s="39" cm="1">
        <f t="array" aca="1" ref="G166" ca="1">IFERROR(INDEX(OFFSET(auto_ss_All_Scoring,0,1,500,1),F166),0)</f>
        <v>0</v>
      </c>
      <c r="H166" s="39">
        <f ca="1">IF(G166=0,0,MATCH(G166,OFFSET(iWeights!$B$18,0,0,$E$13,1),0))</f>
        <v>0</v>
      </c>
      <c r="I166" s="39" cm="1">
        <f t="array" aca="1" ref="I166" ca="1">IF(G166=0,0,INDEX(OFFSET(iWeights!$F$18,0,0,$E$13,1),H166))</f>
        <v>0</v>
      </c>
      <c r="J166" s="39" cm="1">
        <f t="array" aca="1" ref="J166" ca="1">IF(G166=0,0,INDEX(OFFSET(iWeights!$G$18,0,0,$E$13,1),H166))</f>
        <v>0</v>
      </c>
      <c r="K166" s="39" t="str" cm="1">
        <f t="array" aca="1" ref="K166" ca="1">IF(G166=0,"",INDEX(auto_Series_Depth,G166))</f>
        <v/>
      </c>
      <c r="L166" s="179">
        <f t="shared" ca="1" si="31"/>
        <v>1</v>
      </c>
      <c r="M166" s="180">
        <f t="shared" ca="1" si="32"/>
        <v>0</v>
      </c>
      <c r="N166" s="181" t="str" cm="1">
        <f t="array" aca="1" ref="N166" ca="1">IF(G166=0,"",CONCATENATE(IF($K166&gt;=4,"    ",""),INDEX(auto_Series_NameNumbered,G166)))</f>
        <v/>
      </c>
      <c r="O166" s="181" t="str">
        <f t="shared" ca="1" si="33"/>
        <v/>
      </c>
      <c r="P166" s="182" t="str">
        <f t="shared" ca="1" si="34"/>
        <v/>
      </c>
      <c r="Q166" s="183" t="str">
        <f t="shared" ca="1" si="35"/>
        <v/>
      </c>
      <c r="R166" s="194"/>
      <c r="S166" s="182" t="str" cm="1">
        <f t="array" aca="1" ref="S166" ca="1">IF(G166=0,"",IF(K166=1,"",INDEX(OFFSET(iWeights!$I$18,0,0,$E$13,1),$H166)))</f>
        <v/>
      </c>
      <c r="T166" s="183" t="str">
        <f t="shared" ca="1" si="36"/>
        <v/>
      </c>
      <c r="U166" s="37"/>
      <c r="V166" s="37"/>
      <c r="W166" s="37"/>
      <c r="X166" s="37"/>
      <c r="Y166" s="37"/>
    </row>
    <row r="167" spans="1:25" ht="17.5" customHeight="1" x14ac:dyDescent="0.35">
      <c r="A167" s="178" t="str">
        <f t="shared" ref="A167:A222" ca="1" si="37">IF(G167=0,"H",IF(K167&gt;$F$12,"H",""))</f>
        <v>H</v>
      </c>
      <c r="B167" s="37"/>
      <c r="C167" s="37"/>
      <c r="D167" s="37"/>
      <c r="E167" s="37"/>
      <c r="F167" s="37">
        <v>131</v>
      </c>
      <c r="G167" s="39" cm="1">
        <f t="array" aca="1" ref="G167" ca="1">IFERROR(INDEX(OFFSET(auto_ss_All_Scoring,0,1,500,1),F167),0)</f>
        <v>0</v>
      </c>
      <c r="H167" s="39">
        <f ca="1">IF(G167=0,0,MATCH(G167,OFFSET(iWeights!$B$18,0,0,$E$13,1),0))</f>
        <v>0</v>
      </c>
      <c r="I167" s="39" cm="1">
        <f t="array" aca="1" ref="I167" ca="1">IF(G167=0,0,INDEX(OFFSET(iWeights!$F$18,0,0,$E$13,1),H167))</f>
        <v>0</v>
      </c>
      <c r="J167" s="39" cm="1">
        <f t="array" aca="1" ref="J167" ca="1">IF(G167=0,0,INDEX(OFFSET(iWeights!$G$18,0,0,$E$13,1),H167))</f>
        <v>0</v>
      </c>
      <c r="K167" s="39" t="str" cm="1">
        <f t="array" aca="1" ref="K167" ca="1">IF(G167=0,"",INDEX(auto_Series_Depth,G167))</f>
        <v/>
      </c>
      <c r="L167" s="179">
        <f t="shared" ca="1" si="31"/>
        <v>1</v>
      </c>
      <c r="M167" s="180">
        <f t="shared" ca="1" si="32"/>
        <v>0</v>
      </c>
      <c r="N167" s="181" t="str" cm="1">
        <f t="array" aca="1" ref="N167" ca="1">IF(G167=0,"",CONCATENATE(IF($K167&gt;=4,"    ",""),INDEX(auto_Series_NameNumbered,G167)))</f>
        <v/>
      </c>
      <c r="O167" s="181" t="str">
        <f t="shared" ca="1" si="33"/>
        <v/>
      </c>
      <c r="P167" s="182" t="str">
        <f t="shared" ca="1" si="34"/>
        <v/>
      </c>
      <c r="Q167" s="183" t="str">
        <f t="shared" ca="1" si="35"/>
        <v/>
      </c>
      <c r="R167" s="194"/>
      <c r="S167" s="182" t="str" cm="1">
        <f t="array" aca="1" ref="S167" ca="1">IF(G167=0,"",IF(K167=1,"",INDEX(OFFSET(iWeights!$I$18,0,0,$E$13,1),$H167)))</f>
        <v/>
      </c>
      <c r="T167" s="183" t="str">
        <f t="shared" ca="1" si="36"/>
        <v/>
      </c>
      <c r="U167" s="37"/>
      <c r="V167" s="37"/>
      <c r="W167" s="37"/>
      <c r="X167" s="37"/>
      <c r="Y167" s="37"/>
    </row>
    <row r="168" spans="1:25" ht="17.5" customHeight="1" x14ac:dyDescent="0.35">
      <c r="A168" s="178" t="str">
        <f t="shared" ca="1" si="37"/>
        <v>H</v>
      </c>
      <c r="B168" s="37"/>
      <c r="C168" s="37"/>
      <c r="D168" s="37"/>
      <c r="E168" s="37"/>
      <c r="F168" s="37">
        <v>132</v>
      </c>
      <c r="G168" s="39" cm="1">
        <f t="array" aca="1" ref="G168" ca="1">IFERROR(INDEX(OFFSET(auto_ss_All_Scoring,0,1,500,1),F168),0)</f>
        <v>0</v>
      </c>
      <c r="H168" s="39">
        <f ca="1">IF(G168=0,0,MATCH(G168,OFFSET(iWeights!$B$18,0,0,$E$13,1),0))</f>
        <v>0</v>
      </c>
      <c r="I168" s="39" cm="1">
        <f t="array" aca="1" ref="I168" ca="1">IF(G168=0,0,INDEX(OFFSET(iWeights!$F$18,0,0,$E$13,1),H168))</f>
        <v>0</v>
      </c>
      <c r="J168" s="39" cm="1">
        <f t="array" aca="1" ref="J168" ca="1">IF(G168=0,0,INDEX(OFFSET(iWeights!$G$18,0,0,$E$13,1),H168))</f>
        <v>0</v>
      </c>
      <c r="K168" s="39" t="str" cm="1">
        <f t="array" aca="1" ref="K168" ca="1">IF(G168=0,"",INDEX(auto_Series_Depth,G168))</f>
        <v/>
      </c>
      <c r="L168" s="179">
        <f t="shared" ca="1" si="31"/>
        <v>1</v>
      </c>
      <c r="M168" s="180">
        <f t="shared" ca="1" si="32"/>
        <v>0</v>
      </c>
      <c r="N168" s="181" t="str" cm="1">
        <f t="array" aca="1" ref="N168" ca="1">IF(G168=0,"",CONCATENATE(IF($K168&gt;=4,"    ",""),INDEX(auto_Series_NameNumbered,G168)))</f>
        <v/>
      </c>
      <c r="O168" s="181" t="str">
        <f t="shared" ca="1" si="33"/>
        <v/>
      </c>
      <c r="P168" s="182" t="str">
        <f t="shared" ca="1" si="34"/>
        <v/>
      </c>
      <c r="Q168" s="183" t="str">
        <f t="shared" ca="1" si="35"/>
        <v/>
      </c>
      <c r="R168" s="194"/>
      <c r="S168" s="182" t="str" cm="1">
        <f t="array" aca="1" ref="S168" ca="1">IF(G168=0,"",IF(K168=1,"",INDEX(OFFSET(iWeights!$I$18,0,0,$E$13,1),$H168)))</f>
        <v/>
      </c>
      <c r="T168" s="183" t="str">
        <f t="shared" ca="1" si="36"/>
        <v/>
      </c>
      <c r="U168" s="37"/>
      <c r="V168" s="37"/>
      <c r="W168" s="37"/>
      <c r="X168" s="37"/>
      <c r="Y168" s="37"/>
    </row>
    <row r="169" spans="1:25" ht="17.5" customHeight="1" x14ac:dyDescent="0.35">
      <c r="A169" s="178" t="str">
        <f t="shared" ca="1" si="37"/>
        <v>H</v>
      </c>
      <c r="B169" s="37"/>
      <c r="C169" s="37"/>
      <c r="D169" s="37"/>
      <c r="E169" s="37"/>
      <c r="F169" s="37">
        <v>133</v>
      </c>
      <c r="G169" s="39" cm="1">
        <f t="array" aca="1" ref="G169" ca="1">IFERROR(INDEX(OFFSET(auto_ss_All_Scoring,0,1,500,1),F169),0)</f>
        <v>0</v>
      </c>
      <c r="H169" s="39">
        <f ca="1">IF(G169=0,0,MATCH(G169,OFFSET(iWeights!$B$18,0,0,$E$13,1),0))</f>
        <v>0</v>
      </c>
      <c r="I169" s="39" cm="1">
        <f t="array" aca="1" ref="I169" ca="1">IF(G169=0,0,INDEX(OFFSET(iWeights!$F$18,0,0,$E$13,1),H169))</f>
        <v>0</v>
      </c>
      <c r="J169" s="39" cm="1">
        <f t="array" aca="1" ref="J169" ca="1">IF(G169=0,0,INDEX(OFFSET(iWeights!$G$18,0,0,$E$13,1),H169))</f>
        <v>0</v>
      </c>
      <c r="K169" s="39" t="str" cm="1">
        <f t="array" aca="1" ref="K169" ca="1">IF(G169=0,"",INDEX(auto_Series_Depth,G169))</f>
        <v/>
      </c>
      <c r="L169" s="179">
        <f t="shared" ca="1" si="31"/>
        <v>1</v>
      </c>
      <c r="M169" s="180">
        <f t="shared" ca="1" si="32"/>
        <v>0</v>
      </c>
      <c r="N169" s="181" t="str" cm="1">
        <f t="array" aca="1" ref="N169" ca="1">IF(G169=0,"",CONCATENATE(IF($K169&gt;=4,"    ",""),INDEX(auto_Series_NameNumbered,G169)))</f>
        <v/>
      </c>
      <c r="O169" s="181" t="str">
        <f t="shared" ca="1" si="33"/>
        <v/>
      </c>
      <c r="P169" s="182" t="str">
        <f t="shared" ca="1" si="34"/>
        <v/>
      </c>
      <c r="Q169" s="183" t="str">
        <f t="shared" ca="1" si="35"/>
        <v/>
      </c>
      <c r="R169" s="194"/>
      <c r="S169" s="182" t="str" cm="1">
        <f t="array" aca="1" ref="S169" ca="1">IF(G169=0,"",IF(K169=1,"",INDEX(OFFSET(iWeights!$I$18,0,0,$E$13,1),$H169)))</f>
        <v/>
      </c>
      <c r="T169" s="183" t="str">
        <f t="shared" ca="1" si="36"/>
        <v/>
      </c>
      <c r="U169" s="37"/>
      <c r="V169" s="37"/>
      <c r="W169" s="37"/>
      <c r="X169" s="37"/>
      <c r="Y169" s="37"/>
    </row>
    <row r="170" spans="1:25" ht="17.5" customHeight="1" x14ac:dyDescent="0.35">
      <c r="A170" s="178" t="str">
        <f t="shared" ca="1" si="37"/>
        <v>H</v>
      </c>
      <c r="B170" s="37"/>
      <c r="C170" s="37"/>
      <c r="D170" s="37"/>
      <c r="E170" s="37"/>
      <c r="F170" s="37">
        <v>134</v>
      </c>
      <c r="G170" s="39" cm="1">
        <f t="array" aca="1" ref="G170" ca="1">IFERROR(INDEX(OFFSET(auto_ss_All_Scoring,0,1,500,1),F170),0)</f>
        <v>0</v>
      </c>
      <c r="H170" s="39">
        <f ca="1">IF(G170=0,0,MATCH(G170,OFFSET(iWeights!$B$18,0,0,$E$13,1),0))</f>
        <v>0</v>
      </c>
      <c r="I170" s="39" cm="1">
        <f t="array" aca="1" ref="I170" ca="1">IF(G170=0,0,INDEX(OFFSET(iWeights!$F$18,0,0,$E$13,1),H170))</f>
        <v>0</v>
      </c>
      <c r="J170" s="39" cm="1">
        <f t="array" aca="1" ref="J170" ca="1">IF(G170=0,0,INDEX(OFFSET(iWeights!$G$18,0,0,$E$13,1),H170))</f>
        <v>0</v>
      </c>
      <c r="K170" s="39" t="str" cm="1">
        <f t="array" aca="1" ref="K170" ca="1">IF(G170=0,"",INDEX(auto_Series_Depth,G170))</f>
        <v/>
      </c>
      <c r="L170" s="179">
        <f t="shared" ca="1" si="31"/>
        <v>1</v>
      </c>
      <c r="M170" s="180">
        <f t="shared" ca="1" si="32"/>
        <v>0</v>
      </c>
      <c r="N170" s="181" t="str" cm="1">
        <f t="array" aca="1" ref="N170" ca="1">IF(G170=0,"",CONCATENATE(IF($K170&gt;=4,"    ",""),INDEX(auto_Series_NameNumbered,G170)))</f>
        <v/>
      </c>
      <c r="O170" s="181" t="str">
        <f t="shared" ca="1" si="33"/>
        <v/>
      </c>
      <c r="P170" s="182" t="str">
        <f t="shared" ca="1" si="34"/>
        <v/>
      </c>
      <c r="Q170" s="183" t="str">
        <f t="shared" ca="1" si="35"/>
        <v/>
      </c>
      <c r="R170" s="194"/>
      <c r="S170" s="182" t="str" cm="1">
        <f t="array" aca="1" ref="S170" ca="1">IF(G170=0,"",IF(K170=1,"",INDEX(OFFSET(iWeights!$I$18,0,0,$E$13,1),$H170)))</f>
        <v/>
      </c>
      <c r="T170" s="183" t="str">
        <f t="shared" ca="1" si="36"/>
        <v/>
      </c>
      <c r="U170" s="37"/>
      <c r="V170" s="37"/>
      <c r="W170" s="37"/>
      <c r="X170" s="37"/>
      <c r="Y170" s="37"/>
    </row>
    <row r="171" spans="1:25" ht="17.5" customHeight="1" x14ac:dyDescent="0.35">
      <c r="A171" s="178" t="str">
        <f t="shared" ca="1" si="37"/>
        <v>H</v>
      </c>
      <c r="B171" s="37"/>
      <c r="C171" s="37"/>
      <c r="D171" s="37"/>
      <c r="E171" s="37"/>
      <c r="F171" s="37">
        <v>135</v>
      </c>
      <c r="G171" s="39" cm="1">
        <f t="array" aca="1" ref="G171" ca="1">IFERROR(INDEX(OFFSET(auto_ss_All_Scoring,0,1,500,1),F171),0)</f>
        <v>0</v>
      </c>
      <c r="H171" s="39">
        <f ca="1">IF(G171=0,0,MATCH(G171,OFFSET(iWeights!$B$18,0,0,$E$13,1),0))</f>
        <v>0</v>
      </c>
      <c r="I171" s="39" cm="1">
        <f t="array" aca="1" ref="I171" ca="1">IF(G171=0,0,INDEX(OFFSET(iWeights!$F$18,0,0,$E$13,1),H171))</f>
        <v>0</v>
      </c>
      <c r="J171" s="39" cm="1">
        <f t="array" aca="1" ref="J171" ca="1">IF(G171=0,0,INDEX(OFFSET(iWeights!$G$18,0,0,$E$13,1),H171))</f>
        <v>0</v>
      </c>
      <c r="K171" s="39" t="str" cm="1">
        <f t="array" aca="1" ref="K171" ca="1">IF(G171=0,"",INDEX(auto_Series_Depth,G171))</f>
        <v/>
      </c>
      <c r="L171" s="179">
        <f t="shared" ca="1" si="31"/>
        <v>1</v>
      </c>
      <c r="M171" s="180">
        <f t="shared" ca="1" si="32"/>
        <v>0</v>
      </c>
      <c r="N171" s="181" t="str" cm="1">
        <f t="array" aca="1" ref="N171" ca="1">IF(G171=0,"",CONCATENATE(IF($K171&gt;=4,"    ",""),INDEX(auto_Series_NameNumbered,G171)))</f>
        <v/>
      </c>
      <c r="O171" s="181" t="str">
        <f t="shared" ca="1" si="33"/>
        <v/>
      </c>
      <c r="P171" s="182" t="str">
        <f t="shared" ca="1" si="34"/>
        <v/>
      </c>
      <c r="Q171" s="183" t="str">
        <f t="shared" ca="1" si="35"/>
        <v/>
      </c>
      <c r="R171" s="194"/>
      <c r="S171" s="182" t="str" cm="1">
        <f t="array" aca="1" ref="S171" ca="1">IF(G171=0,"",IF(K171=1,"",INDEX(OFFSET(iWeights!$I$18,0,0,$E$13,1),$H171)))</f>
        <v/>
      </c>
      <c r="T171" s="183" t="str">
        <f t="shared" ca="1" si="36"/>
        <v/>
      </c>
      <c r="U171" s="37"/>
      <c r="V171" s="37"/>
      <c r="W171" s="37"/>
      <c r="X171" s="37"/>
      <c r="Y171" s="37"/>
    </row>
    <row r="172" spans="1:25" ht="17.5" customHeight="1" x14ac:dyDescent="0.35">
      <c r="A172" s="178" t="str">
        <f t="shared" ca="1" si="37"/>
        <v>H</v>
      </c>
      <c r="B172" s="37"/>
      <c r="C172" s="37"/>
      <c r="D172" s="37"/>
      <c r="E172" s="37"/>
      <c r="F172" s="37">
        <v>136</v>
      </c>
      <c r="G172" s="39" cm="1">
        <f t="array" aca="1" ref="G172" ca="1">IFERROR(INDEX(OFFSET(auto_ss_All_Scoring,0,1,500,1),F172),0)</f>
        <v>0</v>
      </c>
      <c r="H172" s="39">
        <f ca="1">IF(G172=0,0,MATCH(G172,OFFSET(iWeights!$B$18,0,0,$E$13,1),0))</f>
        <v>0</v>
      </c>
      <c r="I172" s="39" cm="1">
        <f t="array" aca="1" ref="I172" ca="1">IF(G172=0,0,INDEX(OFFSET(iWeights!$F$18,0,0,$E$13,1),H172))</f>
        <v>0</v>
      </c>
      <c r="J172" s="39" cm="1">
        <f t="array" aca="1" ref="J172" ca="1">IF(G172=0,0,INDEX(OFFSET(iWeights!$G$18,0,0,$E$13,1),H172))</f>
        <v>0</v>
      </c>
      <c r="K172" s="39" t="str" cm="1">
        <f t="array" aca="1" ref="K172" ca="1">IF(G172=0,"",INDEX(auto_Series_Depth,G172))</f>
        <v/>
      </c>
      <c r="L172" s="179">
        <f t="shared" ca="1" si="31"/>
        <v>1</v>
      </c>
      <c r="M172" s="180">
        <f t="shared" ca="1" si="32"/>
        <v>0</v>
      </c>
      <c r="N172" s="181" t="str" cm="1">
        <f t="array" aca="1" ref="N172" ca="1">IF(G172=0,"",CONCATENATE(IF($K172&gt;=4,"    ",""),INDEX(auto_Series_NameNumbered,G172)))</f>
        <v/>
      </c>
      <c r="O172" s="181" t="str">
        <f t="shared" ca="1" si="33"/>
        <v/>
      </c>
      <c r="P172" s="182" t="str">
        <f t="shared" ca="1" si="34"/>
        <v/>
      </c>
      <c r="Q172" s="183" t="str">
        <f t="shared" ca="1" si="35"/>
        <v/>
      </c>
      <c r="R172" s="194"/>
      <c r="S172" s="182" t="str" cm="1">
        <f t="array" aca="1" ref="S172" ca="1">IF(G172=0,"",IF(K172=1,"",INDEX(OFFSET(iWeights!$I$18,0,0,$E$13,1),$H172)))</f>
        <v/>
      </c>
      <c r="T172" s="183" t="str">
        <f t="shared" ca="1" si="36"/>
        <v/>
      </c>
      <c r="U172" s="37"/>
      <c r="V172" s="37"/>
      <c r="W172" s="37"/>
      <c r="X172" s="37"/>
      <c r="Y172" s="37"/>
    </row>
    <row r="173" spans="1:25" ht="17.5" customHeight="1" x14ac:dyDescent="0.35">
      <c r="A173" s="178" t="str">
        <f t="shared" ca="1" si="37"/>
        <v>H</v>
      </c>
      <c r="B173" s="37"/>
      <c r="C173" s="37"/>
      <c r="D173" s="37"/>
      <c r="E173" s="37"/>
      <c r="F173" s="37">
        <v>137</v>
      </c>
      <c r="G173" s="39" cm="1">
        <f t="array" aca="1" ref="G173" ca="1">IFERROR(INDEX(OFFSET(auto_ss_All_Scoring,0,1,500,1),F173),0)</f>
        <v>0</v>
      </c>
      <c r="H173" s="39">
        <f ca="1">IF(G173=0,0,MATCH(G173,OFFSET(iWeights!$B$18,0,0,$E$13,1),0))</f>
        <v>0</v>
      </c>
      <c r="I173" s="39" cm="1">
        <f t="array" aca="1" ref="I173" ca="1">IF(G173=0,0,INDEX(OFFSET(iWeights!$F$18,0,0,$E$13,1),H173))</f>
        <v>0</v>
      </c>
      <c r="J173" s="39" cm="1">
        <f t="array" aca="1" ref="J173" ca="1">IF(G173=0,0,INDEX(OFFSET(iWeights!$G$18,0,0,$E$13,1),H173))</f>
        <v>0</v>
      </c>
      <c r="K173" s="39" t="str" cm="1">
        <f t="array" aca="1" ref="K173" ca="1">IF(G173=0,"",INDEX(auto_Series_Depth,G173))</f>
        <v/>
      </c>
      <c r="L173" s="179">
        <f t="shared" ca="1" si="31"/>
        <v>1</v>
      </c>
      <c r="M173" s="180">
        <f t="shared" ca="1" si="32"/>
        <v>0</v>
      </c>
      <c r="N173" s="181" t="str" cm="1">
        <f t="array" aca="1" ref="N173" ca="1">IF(G173=0,"",CONCATENATE(IF($K173&gt;=4,"    ",""),INDEX(auto_Series_NameNumbered,G173)))</f>
        <v/>
      </c>
      <c r="O173" s="181" t="str">
        <f t="shared" ca="1" si="33"/>
        <v/>
      </c>
      <c r="P173" s="182" t="str">
        <f t="shared" ca="1" si="34"/>
        <v/>
      </c>
      <c r="Q173" s="183" t="str">
        <f t="shared" ca="1" si="35"/>
        <v/>
      </c>
      <c r="R173" s="194"/>
      <c r="S173" s="182" t="str" cm="1">
        <f t="array" aca="1" ref="S173" ca="1">IF(G173=0,"",IF(K173=1,"",INDEX(OFFSET(iWeights!$I$18,0,0,$E$13,1),$H173)))</f>
        <v/>
      </c>
      <c r="T173" s="183" t="str">
        <f t="shared" ca="1" si="36"/>
        <v/>
      </c>
      <c r="U173" s="37"/>
      <c r="V173" s="37"/>
      <c r="W173" s="37"/>
      <c r="X173" s="37"/>
      <c r="Y173" s="37"/>
    </row>
    <row r="174" spans="1:25" ht="17.5" customHeight="1" x14ac:dyDescent="0.35">
      <c r="A174" s="178" t="str">
        <f t="shared" ca="1" si="37"/>
        <v>H</v>
      </c>
      <c r="B174" s="37"/>
      <c r="C174" s="37"/>
      <c r="D174" s="37"/>
      <c r="E174" s="37"/>
      <c r="F174" s="37">
        <v>138</v>
      </c>
      <c r="G174" s="39" cm="1">
        <f t="array" aca="1" ref="G174" ca="1">IFERROR(INDEX(OFFSET(auto_ss_All_Scoring,0,1,500,1),F174),0)</f>
        <v>0</v>
      </c>
      <c r="H174" s="39">
        <f ca="1">IF(G174=0,0,MATCH(G174,OFFSET(iWeights!$B$18,0,0,$E$13,1),0))</f>
        <v>0</v>
      </c>
      <c r="I174" s="39" cm="1">
        <f t="array" aca="1" ref="I174" ca="1">IF(G174=0,0,INDEX(OFFSET(iWeights!$F$18,0,0,$E$13,1),H174))</f>
        <v>0</v>
      </c>
      <c r="J174" s="39" cm="1">
        <f t="array" aca="1" ref="J174" ca="1">IF(G174=0,0,INDEX(OFFSET(iWeights!$G$18,0,0,$E$13,1),H174))</f>
        <v>0</v>
      </c>
      <c r="K174" s="39" t="str" cm="1">
        <f t="array" aca="1" ref="K174" ca="1">IF(G174=0,"",INDEX(auto_Series_Depth,G174))</f>
        <v/>
      </c>
      <c r="L174" s="179">
        <f t="shared" ca="1" si="31"/>
        <v>1</v>
      </c>
      <c r="M174" s="180">
        <f t="shared" ca="1" si="32"/>
        <v>0</v>
      </c>
      <c r="N174" s="181" t="str" cm="1">
        <f t="array" aca="1" ref="N174" ca="1">IF(G174=0,"",CONCATENATE(IF($K174&gt;=4,"    ",""),INDEX(auto_Series_NameNumbered,G174)))</f>
        <v/>
      </c>
      <c r="O174" s="181" t="str">
        <f t="shared" ca="1" si="33"/>
        <v/>
      </c>
      <c r="P174" s="182" t="str">
        <f t="shared" ca="1" si="34"/>
        <v/>
      </c>
      <c r="Q174" s="183" t="str">
        <f t="shared" ca="1" si="35"/>
        <v/>
      </c>
      <c r="R174" s="194"/>
      <c r="S174" s="182" t="str" cm="1">
        <f t="array" aca="1" ref="S174" ca="1">IF(G174=0,"",IF(K174=1,"",INDEX(OFFSET(iWeights!$I$18,0,0,$E$13,1),$H174)))</f>
        <v/>
      </c>
      <c r="T174" s="183" t="str">
        <f t="shared" ca="1" si="36"/>
        <v/>
      </c>
      <c r="U174" s="37"/>
      <c r="V174" s="37"/>
      <c r="W174" s="37"/>
      <c r="X174" s="37"/>
      <c r="Y174" s="37"/>
    </row>
    <row r="175" spans="1:25" ht="17.5" customHeight="1" x14ac:dyDescent="0.35">
      <c r="A175" s="178" t="str">
        <f t="shared" ca="1" si="37"/>
        <v>H</v>
      </c>
      <c r="B175" s="37"/>
      <c r="C175" s="37"/>
      <c r="D175" s="37"/>
      <c r="E175" s="37"/>
      <c r="F175" s="37">
        <v>139</v>
      </c>
      <c r="G175" s="39" cm="1">
        <f t="array" aca="1" ref="G175" ca="1">IFERROR(INDEX(OFFSET(auto_ss_All_Scoring,0,1,500,1),F175),0)</f>
        <v>0</v>
      </c>
      <c r="H175" s="39">
        <f ca="1">IF(G175=0,0,MATCH(G175,OFFSET(iWeights!$B$18,0,0,$E$13,1),0))</f>
        <v>0</v>
      </c>
      <c r="I175" s="39" cm="1">
        <f t="array" aca="1" ref="I175" ca="1">IF(G175=0,0,INDEX(OFFSET(iWeights!$F$18,0,0,$E$13,1),H175))</f>
        <v>0</v>
      </c>
      <c r="J175" s="39" cm="1">
        <f t="array" aca="1" ref="J175" ca="1">IF(G175=0,0,INDEX(OFFSET(iWeights!$G$18,0,0,$E$13,1),H175))</f>
        <v>0</v>
      </c>
      <c r="K175" s="39" t="str" cm="1">
        <f t="array" aca="1" ref="K175" ca="1">IF(G175=0,"",INDEX(auto_Series_Depth,G175))</f>
        <v/>
      </c>
      <c r="L175" s="179">
        <f t="shared" ca="1" si="31"/>
        <v>1</v>
      </c>
      <c r="M175" s="180">
        <f t="shared" ca="1" si="32"/>
        <v>0</v>
      </c>
      <c r="N175" s="181" t="str" cm="1">
        <f t="array" aca="1" ref="N175" ca="1">IF(G175=0,"",CONCATENATE(IF($K175&gt;=4,"    ",""),INDEX(auto_Series_NameNumbered,G175)))</f>
        <v/>
      </c>
      <c r="O175" s="181" t="str">
        <f t="shared" ca="1" si="33"/>
        <v/>
      </c>
      <c r="P175" s="182" t="str">
        <f t="shared" ca="1" si="34"/>
        <v/>
      </c>
      <c r="Q175" s="183" t="str">
        <f t="shared" ca="1" si="35"/>
        <v/>
      </c>
      <c r="R175" s="194"/>
      <c r="S175" s="182" t="str" cm="1">
        <f t="array" aca="1" ref="S175" ca="1">IF(G175=0,"",IF(K175=1,"",INDEX(OFFSET(iWeights!$I$18,0,0,$E$13,1),$H175)))</f>
        <v/>
      </c>
      <c r="T175" s="183" t="str">
        <f t="shared" ca="1" si="36"/>
        <v/>
      </c>
      <c r="U175" s="37"/>
      <c r="V175" s="37"/>
      <c r="W175" s="37"/>
      <c r="X175" s="37"/>
      <c r="Y175" s="37"/>
    </row>
    <row r="176" spans="1:25" ht="17.5" customHeight="1" x14ac:dyDescent="0.35">
      <c r="A176" s="178" t="str">
        <f t="shared" ca="1" si="37"/>
        <v>H</v>
      </c>
      <c r="B176" s="37"/>
      <c r="C176" s="37"/>
      <c r="D176" s="37"/>
      <c r="E176" s="37"/>
      <c r="F176" s="37">
        <v>140</v>
      </c>
      <c r="G176" s="39" cm="1">
        <f t="array" aca="1" ref="G176" ca="1">IFERROR(INDEX(OFFSET(auto_ss_All_Scoring,0,1,500,1),F176),0)</f>
        <v>0</v>
      </c>
      <c r="H176" s="39">
        <f ca="1">IF(G176=0,0,MATCH(G176,OFFSET(iWeights!$B$18,0,0,$E$13,1),0))</f>
        <v>0</v>
      </c>
      <c r="I176" s="39" cm="1">
        <f t="array" aca="1" ref="I176" ca="1">IF(G176=0,0,INDEX(OFFSET(iWeights!$F$18,0,0,$E$13,1),H176))</f>
        <v>0</v>
      </c>
      <c r="J176" s="39" cm="1">
        <f t="array" aca="1" ref="J176" ca="1">IF(G176=0,0,INDEX(OFFSET(iWeights!$G$18,0,0,$E$13,1),H176))</f>
        <v>0</v>
      </c>
      <c r="K176" s="39" t="str" cm="1">
        <f t="array" aca="1" ref="K176" ca="1">IF(G176=0,"",INDEX(auto_Series_Depth,G176))</f>
        <v/>
      </c>
      <c r="L176" s="179">
        <f t="shared" ca="1" si="31"/>
        <v>1</v>
      </c>
      <c r="M176" s="180">
        <f t="shared" ca="1" si="32"/>
        <v>0</v>
      </c>
      <c r="N176" s="181" t="str" cm="1">
        <f t="array" aca="1" ref="N176" ca="1">IF(G176=0,"",CONCATENATE(IF($K176&gt;=4,"    ",""),INDEX(auto_Series_NameNumbered,G176)))</f>
        <v/>
      </c>
      <c r="O176" s="181" t="str">
        <f t="shared" ca="1" si="33"/>
        <v/>
      </c>
      <c r="P176" s="182" t="str">
        <f t="shared" ca="1" si="34"/>
        <v/>
      </c>
      <c r="Q176" s="183" t="str">
        <f t="shared" ca="1" si="35"/>
        <v/>
      </c>
      <c r="R176" s="194"/>
      <c r="S176" s="182" t="str" cm="1">
        <f t="array" aca="1" ref="S176" ca="1">IF(G176=0,"",IF(K176=1,"",INDEX(OFFSET(iWeights!$I$18,0,0,$E$13,1),$H176)))</f>
        <v/>
      </c>
      <c r="T176" s="183" t="str">
        <f t="shared" ca="1" si="36"/>
        <v/>
      </c>
      <c r="U176" s="37"/>
      <c r="V176" s="37"/>
      <c r="W176" s="37"/>
      <c r="X176" s="37"/>
      <c r="Y176" s="37"/>
    </row>
    <row r="177" spans="1:25" ht="17.5" customHeight="1" x14ac:dyDescent="0.35">
      <c r="A177" s="178" t="str">
        <f t="shared" ca="1" si="37"/>
        <v>H</v>
      </c>
      <c r="B177" s="37"/>
      <c r="C177" s="37"/>
      <c r="D177" s="37"/>
      <c r="E177" s="37"/>
      <c r="F177" s="37">
        <v>141</v>
      </c>
      <c r="G177" s="39" cm="1">
        <f t="array" aca="1" ref="G177" ca="1">IFERROR(INDEX(OFFSET(auto_ss_All_Scoring,0,1,500,1),F177),0)</f>
        <v>0</v>
      </c>
      <c r="H177" s="39">
        <f ca="1">IF(G177=0,0,MATCH(G177,OFFSET(iWeights!$B$18,0,0,$E$13,1),0))</f>
        <v>0</v>
      </c>
      <c r="I177" s="39" cm="1">
        <f t="array" aca="1" ref="I177" ca="1">IF(G177=0,0,INDEX(OFFSET(iWeights!$F$18,0,0,$E$13,1),H177))</f>
        <v>0</v>
      </c>
      <c r="J177" s="39" cm="1">
        <f t="array" aca="1" ref="J177" ca="1">IF(G177=0,0,INDEX(OFFSET(iWeights!$G$18,0,0,$E$13,1),H177))</f>
        <v>0</v>
      </c>
      <c r="K177" s="39" t="str" cm="1">
        <f t="array" aca="1" ref="K177" ca="1">IF(G177=0,"",INDEX(auto_Series_Depth,G177))</f>
        <v/>
      </c>
      <c r="L177" s="179">
        <f t="shared" ca="1" si="31"/>
        <v>1</v>
      </c>
      <c r="M177" s="180">
        <f t="shared" ca="1" si="32"/>
        <v>0</v>
      </c>
      <c r="N177" s="181" t="str" cm="1">
        <f t="array" aca="1" ref="N177" ca="1">IF(G177=0,"",CONCATENATE(IF($K177&gt;=4,"    ",""),INDEX(auto_Series_NameNumbered,G177)))</f>
        <v/>
      </c>
      <c r="O177" s="181" t="str">
        <f t="shared" ca="1" si="33"/>
        <v/>
      </c>
      <c r="P177" s="182" t="str">
        <f t="shared" ca="1" si="34"/>
        <v/>
      </c>
      <c r="Q177" s="183" t="str">
        <f t="shared" ca="1" si="35"/>
        <v/>
      </c>
      <c r="R177" s="194"/>
      <c r="S177" s="182" t="str" cm="1">
        <f t="array" aca="1" ref="S177" ca="1">IF(G177=0,"",IF(K177=1,"",INDEX(OFFSET(iWeights!$I$18,0,0,$E$13,1),$H177)))</f>
        <v/>
      </c>
      <c r="T177" s="183" t="str">
        <f t="shared" ca="1" si="36"/>
        <v/>
      </c>
      <c r="U177" s="37"/>
      <c r="V177" s="37"/>
      <c r="W177" s="37"/>
      <c r="X177" s="37"/>
      <c r="Y177" s="37"/>
    </row>
    <row r="178" spans="1:25" ht="17.5" customHeight="1" x14ac:dyDescent="0.35">
      <c r="A178" s="178" t="str">
        <f t="shared" ca="1" si="37"/>
        <v>H</v>
      </c>
      <c r="B178" s="37"/>
      <c r="C178" s="37"/>
      <c r="D178" s="37"/>
      <c r="E178" s="37"/>
      <c r="F178" s="37">
        <v>142</v>
      </c>
      <c r="G178" s="39" cm="1">
        <f t="array" aca="1" ref="G178" ca="1">IFERROR(INDEX(OFFSET(auto_ss_All_Scoring,0,1,500,1),F178),0)</f>
        <v>0</v>
      </c>
      <c r="H178" s="39">
        <f ca="1">IF(G178=0,0,MATCH(G178,OFFSET(iWeights!$B$18,0,0,$E$13,1),0))</f>
        <v>0</v>
      </c>
      <c r="I178" s="39" cm="1">
        <f t="array" aca="1" ref="I178" ca="1">IF(G178=0,0,INDEX(OFFSET(iWeights!$F$18,0,0,$E$13,1),H178))</f>
        <v>0</v>
      </c>
      <c r="J178" s="39" cm="1">
        <f t="array" aca="1" ref="J178" ca="1">IF(G178=0,0,INDEX(OFFSET(iWeights!$G$18,0,0,$E$13,1),H178))</f>
        <v>0</v>
      </c>
      <c r="K178" s="39" t="str" cm="1">
        <f t="array" aca="1" ref="K178" ca="1">IF(G178=0,"",INDEX(auto_Series_Depth,G178))</f>
        <v/>
      </c>
      <c r="L178" s="179">
        <f t="shared" ca="1" si="31"/>
        <v>1</v>
      </c>
      <c r="M178" s="180">
        <f t="shared" ca="1" si="32"/>
        <v>0</v>
      </c>
      <c r="N178" s="181" t="str" cm="1">
        <f t="array" aca="1" ref="N178" ca="1">IF(G178=0,"",CONCATENATE(IF($K178&gt;=4,"    ",""),INDEX(auto_Series_NameNumbered,G178)))</f>
        <v/>
      </c>
      <c r="O178" s="181" t="str">
        <f t="shared" ca="1" si="33"/>
        <v/>
      </c>
      <c r="P178" s="182" t="str">
        <f t="shared" ca="1" si="34"/>
        <v/>
      </c>
      <c r="Q178" s="183" t="str">
        <f t="shared" ca="1" si="35"/>
        <v/>
      </c>
      <c r="R178" s="194"/>
      <c r="S178" s="182" t="str" cm="1">
        <f t="array" aca="1" ref="S178" ca="1">IF(G178=0,"",IF(K178=1,"",INDEX(OFFSET(iWeights!$I$18,0,0,$E$13,1),$H178)))</f>
        <v/>
      </c>
      <c r="T178" s="183" t="str">
        <f t="shared" ca="1" si="36"/>
        <v/>
      </c>
      <c r="U178" s="37"/>
      <c r="V178" s="37"/>
      <c r="W178" s="37"/>
      <c r="X178" s="37"/>
      <c r="Y178" s="37"/>
    </row>
    <row r="179" spans="1:25" ht="17.5" customHeight="1" x14ac:dyDescent="0.35">
      <c r="A179" s="178" t="str">
        <f t="shared" ca="1" si="37"/>
        <v>H</v>
      </c>
      <c r="B179" s="37"/>
      <c r="C179" s="37"/>
      <c r="D179" s="37"/>
      <c r="E179" s="37"/>
      <c r="F179" s="37">
        <v>143</v>
      </c>
      <c r="G179" s="39" cm="1">
        <f t="array" aca="1" ref="G179" ca="1">IFERROR(INDEX(OFFSET(auto_ss_All_Scoring,0,1,500,1),F179),0)</f>
        <v>0</v>
      </c>
      <c r="H179" s="39">
        <f ca="1">IF(G179=0,0,MATCH(G179,OFFSET(iWeights!$B$18,0,0,$E$13,1),0))</f>
        <v>0</v>
      </c>
      <c r="I179" s="39" cm="1">
        <f t="array" aca="1" ref="I179" ca="1">IF(G179=0,0,INDEX(OFFSET(iWeights!$F$18,0,0,$E$13,1),H179))</f>
        <v>0</v>
      </c>
      <c r="J179" s="39" cm="1">
        <f t="array" aca="1" ref="J179" ca="1">IF(G179=0,0,INDEX(OFFSET(iWeights!$G$18,0,0,$E$13,1),H179))</f>
        <v>0</v>
      </c>
      <c r="K179" s="39" t="str" cm="1">
        <f t="array" aca="1" ref="K179" ca="1">IF(G179=0,"",INDEX(auto_Series_Depth,G179))</f>
        <v/>
      </c>
      <c r="L179" s="179">
        <f t="shared" ca="1" si="31"/>
        <v>1</v>
      </c>
      <c r="M179" s="180">
        <f t="shared" ca="1" si="32"/>
        <v>0</v>
      </c>
      <c r="N179" s="181" t="str" cm="1">
        <f t="array" aca="1" ref="N179" ca="1">IF(G179=0,"",CONCATENATE(IF($K179&gt;=4,"    ",""),INDEX(auto_Series_NameNumbered,G179)))</f>
        <v/>
      </c>
      <c r="O179" s="181" t="str">
        <f t="shared" ca="1" si="33"/>
        <v/>
      </c>
      <c r="P179" s="182" t="str">
        <f t="shared" ca="1" si="34"/>
        <v/>
      </c>
      <c r="Q179" s="183" t="str">
        <f t="shared" ca="1" si="35"/>
        <v/>
      </c>
      <c r="R179" s="194"/>
      <c r="S179" s="182" t="str" cm="1">
        <f t="array" aca="1" ref="S179" ca="1">IF(G179=0,"",IF(K179=1,"",INDEX(OFFSET(iWeights!$I$18,0,0,$E$13,1),$H179)))</f>
        <v/>
      </c>
      <c r="T179" s="183" t="str">
        <f t="shared" ca="1" si="36"/>
        <v/>
      </c>
      <c r="U179" s="37"/>
      <c r="V179" s="37"/>
      <c r="W179" s="37"/>
      <c r="X179" s="37"/>
      <c r="Y179" s="37"/>
    </row>
    <row r="180" spans="1:25" ht="17.5" customHeight="1" x14ac:dyDescent="0.35">
      <c r="A180" s="178" t="str">
        <f t="shared" ca="1" si="37"/>
        <v>H</v>
      </c>
      <c r="B180" s="37"/>
      <c r="C180" s="37"/>
      <c r="D180" s="37"/>
      <c r="E180" s="37"/>
      <c r="F180" s="37">
        <v>144</v>
      </c>
      <c r="G180" s="39" cm="1">
        <f t="array" aca="1" ref="G180" ca="1">IFERROR(INDEX(OFFSET(auto_ss_All_Scoring,0,1,500,1),F180),0)</f>
        <v>0</v>
      </c>
      <c r="H180" s="39">
        <f ca="1">IF(G180=0,0,MATCH(G180,OFFSET(iWeights!$B$18,0,0,$E$13,1),0))</f>
        <v>0</v>
      </c>
      <c r="I180" s="39" cm="1">
        <f t="array" aca="1" ref="I180" ca="1">IF(G180=0,0,INDEX(OFFSET(iWeights!$F$18,0,0,$E$13,1),H180))</f>
        <v>0</v>
      </c>
      <c r="J180" s="39" cm="1">
        <f t="array" aca="1" ref="J180" ca="1">IF(G180=0,0,INDEX(OFFSET(iWeights!$G$18,0,0,$E$13,1),H180))</f>
        <v>0</v>
      </c>
      <c r="K180" s="39" t="str" cm="1">
        <f t="array" aca="1" ref="K180" ca="1">IF(G180=0,"",INDEX(auto_Series_Depth,G180))</f>
        <v/>
      </c>
      <c r="L180" s="179">
        <f t="shared" ca="1" si="31"/>
        <v>1</v>
      </c>
      <c r="M180" s="180">
        <f t="shared" ca="1" si="32"/>
        <v>0</v>
      </c>
      <c r="N180" s="181" t="str" cm="1">
        <f t="array" aca="1" ref="N180" ca="1">IF(G180=0,"",CONCATENATE(IF($K180&gt;=4,"    ",""),INDEX(auto_Series_NameNumbered,G180)))</f>
        <v/>
      </c>
      <c r="O180" s="181" t="str">
        <f t="shared" ca="1" si="33"/>
        <v/>
      </c>
      <c r="P180" s="182" t="str">
        <f t="shared" ca="1" si="34"/>
        <v/>
      </c>
      <c r="Q180" s="183" t="str">
        <f t="shared" ca="1" si="35"/>
        <v/>
      </c>
      <c r="R180" s="194"/>
      <c r="S180" s="182" t="str" cm="1">
        <f t="array" aca="1" ref="S180" ca="1">IF(G180=0,"",IF(K180=1,"",INDEX(OFFSET(iWeights!$I$18,0,0,$E$13,1),$H180)))</f>
        <v/>
      </c>
      <c r="T180" s="183" t="str">
        <f t="shared" ca="1" si="36"/>
        <v/>
      </c>
      <c r="U180" s="37"/>
      <c r="V180" s="37"/>
      <c r="W180" s="37"/>
      <c r="X180" s="37"/>
      <c r="Y180" s="37"/>
    </row>
    <row r="181" spans="1:25" ht="17.5" customHeight="1" x14ac:dyDescent="0.35">
      <c r="A181" s="178" t="str">
        <f t="shared" ca="1" si="37"/>
        <v>H</v>
      </c>
      <c r="B181" s="37"/>
      <c r="C181" s="37"/>
      <c r="D181" s="37"/>
      <c r="E181" s="37"/>
      <c r="F181" s="37">
        <v>145</v>
      </c>
      <c r="G181" s="39" cm="1">
        <f t="array" aca="1" ref="G181" ca="1">IFERROR(INDEX(OFFSET(auto_ss_All_Scoring,0,1,500,1),F181),0)</f>
        <v>0</v>
      </c>
      <c r="H181" s="39">
        <f ca="1">IF(G181=0,0,MATCH(G181,OFFSET(iWeights!$B$18,0,0,$E$13,1),0))</f>
        <v>0</v>
      </c>
      <c r="I181" s="39" cm="1">
        <f t="array" aca="1" ref="I181" ca="1">IF(G181=0,0,INDEX(OFFSET(iWeights!$F$18,0,0,$E$13,1),H181))</f>
        <v>0</v>
      </c>
      <c r="J181" s="39" cm="1">
        <f t="array" aca="1" ref="J181" ca="1">IF(G181=0,0,INDEX(OFFSET(iWeights!$G$18,0,0,$E$13,1),H181))</f>
        <v>0</v>
      </c>
      <c r="K181" s="39" t="str" cm="1">
        <f t="array" aca="1" ref="K181" ca="1">IF(G181=0,"",INDEX(auto_Series_Depth,G181))</f>
        <v/>
      </c>
      <c r="L181" s="179">
        <f t="shared" ca="1" si="31"/>
        <v>1</v>
      </c>
      <c r="M181" s="180">
        <f t="shared" ca="1" si="32"/>
        <v>0</v>
      </c>
      <c r="N181" s="181" t="str" cm="1">
        <f t="array" aca="1" ref="N181" ca="1">IF(G181=0,"",CONCATENATE(IF($K181&gt;=4,"    ",""),INDEX(auto_Series_NameNumbered,G181)))</f>
        <v/>
      </c>
      <c r="O181" s="181" t="str">
        <f t="shared" ca="1" si="33"/>
        <v/>
      </c>
      <c r="P181" s="182" t="str">
        <f t="shared" ca="1" si="34"/>
        <v/>
      </c>
      <c r="Q181" s="183" t="str">
        <f t="shared" ca="1" si="35"/>
        <v/>
      </c>
      <c r="R181" s="194"/>
      <c r="S181" s="182" t="str" cm="1">
        <f t="array" aca="1" ref="S181" ca="1">IF(G181=0,"",IF(K181=1,"",INDEX(OFFSET(iWeights!$I$18,0,0,$E$13,1),$H181)))</f>
        <v/>
      </c>
      <c r="T181" s="183" t="str">
        <f t="shared" ca="1" si="36"/>
        <v/>
      </c>
      <c r="U181" s="37"/>
      <c r="V181" s="37"/>
      <c r="W181" s="37"/>
      <c r="X181" s="37"/>
      <c r="Y181" s="37"/>
    </row>
    <row r="182" spans="1:25" ht="17.5" customHeight="1" x14ac:dyDescent="0.35">
      <c r="A182" s="178" t="str">
        <f t="shared" ca="1" si="37"/>
        <v>H</v>
      </c>
      <c r="B182" s="37"/>
      <c r="C182" s="37"/>
      <c r="D182" s="37"/>
      <c r="E182" s="37"/>
      <c r="F182" s="37">
        <v>146</v>
      </c>
      <c r="G182" s="39" cm="1">
        <f t="array" aca="1" ref="G182" ca="1">IFERROR(INDEX(OFFSET(auto_ss_All_Scoring,0,1,500,1),F182),0)</f>
        <v>0</v>
      </c>
      <c r="H182" s="39">
        <f ca="1">IF(G182=0,0,MATCH(G182,OFFSET(iWeights!$B$18,0,0,$E$13,1),0))</f>
        <v>0</v>
      </c>
      <c r="I182" s="39" cm="1">
        <f t="array" aca="1" ref="I182" ca="1">IF(G182=0,0,INDEX(OFFSET(iWeights!$F$18,0,0,$E$13,1),H182))</f>
        <v>0</v>
      </c>
      <c r="J182" s="39" cm="1">
        <f t="array" aca="1" ref="J182" ca="1">IF(G182=0,0,INDEX(OFFSET(iWeights!$G$18,0,0,$E$13,1),H182))</f>
        <v>0</v>
      </c>
      <c r="K182" s="39" t="str" cm="1">
        <f t="array" aca="1" ref="K182" ca="1">IF(G182=0,"",INDEX(auto_Series_Depth,G182))</f>
        <v/>
      </c>
      <c r="L182" s="179">
        <f t="shared" ca="1" si="31"/>
        <v>1</v>
      </c>
      <c r="M182" s="180">
        <f t="shared" ca="1" si="32"/>
        <v>0</v>
      </c>
      <c r="N182" s="181" t="str" cm="1">
        <f t="array" aca="1" ref="N182" ca="1">IF(G182=0,"",CONCATENATE(IF($K182&gt;=4,"    ",""),INDEX(auto_Series_NameNumbered,G182)))</f>
        <v/>
      </c>
      <c r="O182" s="181" t="str">
        <f t="shared" ca="1" si="33"/>
        <v/>
      </c>
      <c r="P182" s="182" t="str">
        <f t="shared" ca="1" si="34"/>
        <v/>
      </c>
      <c r="Q182" s="183" t="str">
        <f t="shared" ca="1" si="35"/>
        <v/>
      </c>
      <c r="R182" s="194"/>
      <c r="S182" s="182" t="str" cm="1">
        <f t="array" aca="1" ref="S182" ca="1">IF(G182=0,"",IF(K182=1,"",INDEX(OFFSET(iWeights!$I$18,0,0,$E$13,1),$H182)))</f>
        <v/>
      </c>
      <c r="T182" s="183" t="str">
        <f t="shared" ca="1" si="36"/>
        <v/>
      </c>
      <c r="U182" s="37"/>
      <c r="V182" s="37"/>
      <c r="W182" s="37"/>
      <c r="X182" s="37"/>
      <c r="Y182" s="37"/>
    </row>
    <row r="183" spans="1:25" ht="17.5" customHeight="1" x14ac:dyDescent="0.35">
      <c r="A183" s="178" t="str">
        <f t="shared" ca="1" si="37"/>
        <v>H</v>
      </c>
      <c r="B183" s="37"/>
      <c r="C183" s="37"/>
      <c r="D183" s="37"/>
      <c r="E183" s="37"/>
      <c r="F183" s="37">
        <v>147</v>
      </c>
      <c r="G183" s="39" cm="1">
        <f t="array" aca="1" ref="G183" ca="1">IFERROR(INDEX(OFFSET(auto_ss_All_Scoring,0,1,500,1),F183),0)</f>
        <v>0</v>
      </c>
      <c r="H183" s="39">
        <f ca="1">IF(G183=0,0,MATCH(G183,OFFSET(iWeights!$B$18,0,0,$E$13,1),0))</f>
        <v>0</v>
      </c>
      <c r="I183" s="39" cm="1">
        <f t="array" aca="1" ref="I183" ca="1">IF(G183=0,0,INDEX(OFFSET(iWeights!$F$18,0,0,$E$13,1),H183))</f>
        <v>0</v>
      </c>
      <c r="J183" s="39" cm="1">
        <f t="array" aca="1" ref="J183" ca="1">IF(G183=0,0,INDEX(OFFSET(iWeights!$G$18,0,0,$E$13,1),H183))</f>
        <v>0</v>
      </c>
      <c r="K183" s="39" t="str" cm="1">
        <f t="array" aca="1" ref="K183" ca="1">IF(G183=0,"",INDEX(auto_Series_Depth,G183))</f>
        <v/>
      </c>
      <c r="L183" s="179">
        <f t="shared" ca="1" si="31"/>
        <v>1</v>
      </c>
      <c r="M183" s="180">
        <f t="shared" ca="1" si="32"/>
        <v>0</v>
      </c>
      <c r="N183" s="181" t="str" cm="1">
        <f t="array" aca="1" ref="N183" ca="1">IF(G183=0,"",CONCATENATE(IF($K183&gt;=4,"    ",""),INDEX(auto_Series_NameNumbered,G183)))</f>
        <v/>
      </c>
      <c r="O183" s="181" t="str">
        <f t="shared" ca="1" si="33"/>
        <v/>
      </c>
      <c r="P183" s="182" t="str">
        <f t="shared" ca="1" si="34"/>
        <v/>
      </c>
      <c r="Q183" s="183" t="str">
        <f t="shared" ca="1" si="35"/>
        <v/>
      </c>
      <c r="R183" s="194"/>
      <c r="S183" s="182" t="str" cm="1">
        <f t="array" aca="1" ref="S183" ca="1">IF(G183=0,"",IF(K183=1,"",INDEX(OFFSET(iWeights!$I$18,0,0,$E$13,1),$H183)))</f>
        <v/>
      </c>
      <c r="T183" s="183" t="str">
        <f t="shared" ca="1" si="36"/>
        <v/>
      </c>
      <c r="U183" s="37"/>
      <c r="V183" s="37"/>
      <c r="W183" s="37"/>
      <c r="X183" s="37"/>
      <c r="Y183" s="37"/>
    </row>
    <row r="184" spans="1:25" ht="17.5" customHeight="1" x14ac:dyDescent="0.35">
      <c r="A184" s="178" t="str">
        <f t="shared" ca="1" si="37"/>
        <v>H</v>
      </c>
      <c r="B184" s="37"/>
      <c r="C184" s="37"/>
      <c r="D184" s="37"/>
      <c r="E184" s="37"/>
      <c r="F184" s="37">
        <v>148</v>
      </c>
      <c r="G184" s="39" cm="1">
        <f t="array" aca="1" ref="G184" ca="1">IFERROR(INDEX(OFFSET(auto_ss_All_Scoring,0,1,500,1),F184),0)</f>
        <v>0</v>
      </c>
      <c r="H184" s="39">
        <f ca="1">IF(G184=0,0,MATCH(G184,OFFSET(iWeights!$B$18,0,0,$E$13,1),0))</f>
        <v>0</v>
      </c>
      <c r="I184" s="39" cm="1">
        <f t="array" aca="1" ref="I184" ca="1">IF(G184=0,0,INDEX(OFFSET(iWeights!$F$18,0,0,$E$13,1),H184))</f>
        <v>0</v>
      </c>
      <c r="J184" s="39" cm="1">
        <f t="array" aca="1" ref="J184" ca="1">IF(G184=0,0,INDEX(OFFSET(iWeights!$G$18,0,0,$E$13,1),H184))</f>
        <v>0</v>
      </c>
      <c r="K184" s="39" t="str" cm="1">
        <f t="array" aca="1" ref="K184" ca="1">IF(G184=0,"",INDEX(auto_Series_Depth,G184))</f>
        <v/>
      </c>
      <c r="L184" s="179">
        <f t="shared" ca="1" si="31"/>
        <v>1</v>
      </c>
      <c r="M184" s="180">
        <f t="shared" ca="1" si="32"/>
        <v>0</v>
      </c>
      <c r="N184" s="181" t="str" cm="1">
        <f t="array" aca="1" ref="N184" ca="1">IF(G184=0,"",CONCATENATE(IF($K184&gt;=4,"    ",""),INDEX(auto_Series_NameNumbered,G184)))</f>
        <v/>
      </c>
      <c r="O184" s="181" t="str">
        <f t="shared" ca="1" si="33"/>
        <v/>
      </c>
      <c r="P184" s="182" t="str">
        <f t="shared" ca="1" si="34"/>
        <v/>
      </c>
      <c r="Q184" s="183" t="str">
        <f t="shared" ca="1" si="35"/>
        <v/>
      </c>
      <c r="R184" s="194"/>
      <c r="S184" s="182" t="str" cm="1">
        <f t="array" aca="1" ref="S184" ca="1">IF(G184=0,"",IF(K184=1,"",INDEX(OFFSET(iWeights!$I$18,0,0,$E$13,1),$H184)))</f>
        <v/>
      </c>
      <c r="T184" s="183" t="str">
        <f t="shared" ca="1" si="36"/>
        <v/>
      </c>
      <c r="U184" s="37"/>
      <c r="V184" s="37"/>
      <c r="W184" s="37"/>
      <c r="X184" s="37"/>
      <c r="Y184" s="37"/>
    </row>
    <row r="185" spans="1:25" ht="17.5" customHeight="1" x14ac:dyDescent="0.35">
      <c r="A185" s="178" t="str">
        <f t="shared" ca="1" si="37"/>
        <v>H</v>
      </c>
      <c r="B185" s="37"/>
      <c r="C185" s="37"/>
      <c r="D185" s="37"/>
      <c r="E185" s="37"/>
      <c r="F185" s="37">
        <v>149</v>
      </c>
      <c r="G185" s="39" cm="1">
        <f t="array" aca="1" ref="G185" ca="1">IFERROR(INDEX(OFFSET(auto_ss_All_Scoring,0,1,500,1),F185),0)</f>
        <v>0</v>
      </c>
      <c r="H185" s="39">
        <f ca="1">IF(G185=0,0,MATCH(G185,OFFSET(iWeights!$B$18,0,0,$E$13,1),0))</f>
        <v>0</v>
      </c>
      <c r="I185" s="39" cm="1">
        <f t="array" aca="1" ref="I185" ca="1">IF(G185=0,0,INDEX(OFFSET(iWeights!$F$18,0,0,$E$13,1),H185))</f>
        <v>0</v>
      </c>
      <c r="J185" s="39" cm="1">
        <f t="array" aca="1" ref="J185" ca="1">IF(G185=0,0,INDEX(OFFSET(iWeights!$G$18,0,0,$E$13,1),H185))</f>
        <v>0</v>
      </c>
      <c r="K185" s="39" t="str" cm="1">
        <f t="array" aca="1" ref="K185" ca="1">IF(G185=0,"",INDEX(auto_Series_Depth,G185))</f>
        <v/>
      </c>
      <c r="L185" s="179">
        <f t="shared" ca="1" si="31"/>
        <v>1</v>
      </c>
      <c r="M185" s="180">
        <f t="shared" ca="1" si="32"/>
        <v>0</v>
      </c>
      <c r="N185" s="181" t="str" cm="1">
        <f t="array" aca="1" ref="N185" ca="1">IF(G185=0,"",CONCATENATE(IF($K185&gt;=4,"    ",""),INDEX(auto_Series_NameNumbered,G185)))</f>
        <v/>
      </c>
      <c r="O185" s="181" t="str">
        <f t="shared" ca="1" si="33"/>
        <v/>
      </c>
      <c r="P185" s="182" t="str">
        <f t="shared" ca="1" si="34"/>
        <v/>
      </c>
      <c r="Q185" s="183" t="str">
        <f t="shared" ca="1" si="35"/>
        <v/>
      </c>
      <c r="R185" s="194"/>
      <c r="S185" s="182" t="str" cm="1">
        <f t="array" aca="1" ref="S185" ca="1">IF(G185=0,"",IF(K185=1,"",INDEX(OFFSET(iWeights!$I$18,0,0,$E$13,1),$H185)))</f>
        <v/>
      </c>
      <c r="T185" s="183" t="str">
        <f t="shared" ca="1" si="36"/>
        <v/>
      </c>
      <c r="U185" s="37"/>
      <c r="V185" s="37"/>
      <c r="W185" s="37"/>
      <c r="X185" s="37"/>
      <c r="Y185" s="37"/>
    </row>
    <row r="186" spans="1:25" ht="17.5" customHeight="1" x14ac:dyDescent="0.35">
      <c r="A186" s="178" t="str">
        <f t="shared" ca="1" si="37"/>
        <v>H</v>
      </c>
      <c r="B186" s="37"/>
      <c r="C186" s="37"/>
      <c r="D186" s="37"/>
      <c r="E186" s="37"/>
      <c r="F186" s="37">
        <v>150</v>
      </c>
      <c r="G186" s="39" cm="1">
        <f t="array" aca="1" ref="G186" ca="1">IFERROR(INDEX(OFFSET(auto_ss_All_Scoring,0,1,500,1),F186),0)</f>
        <v>0</v>
      </c>
      <c r="H186" s="39">
        <f ca="1">IF(G186=0,0,MATCH(G186,OFFSET(iWeights!$B$18,0,0,$E$13,1),0))</f>
        <v>0</v>
      </c>
      <c r="I186" s="39" cm="1">
        <f t="array" aca="1" ref="I186" ca="1">IF(G186=0,0,INDEX(OFFSET(iWeights!$F$18,0,0,$E$13,1),H186))</f>
        <v>0</v>
      </c>
      <c r="J186" s="39" cm="1">
        <f t="array" aca="1" ref="J186" ca="1">IF(G186=0,0,INDEX(OFFSET(iWeights!$G$18,0,0,$E$13,1),H186))</f>
        <v>0</v>
      </c>
      <c r="K186" s="39" t="str" cm="1">
        <f t="array" aca="1" ref="K186" ca="1">IF(G186=0,"",INDEX(auto_Series_Depth,G186))</f>
        <v/>
      </c>
      <c r="L186" s="179">
        <f t="shared" ca="1" si="31"/>
        <v>1</v>
      </c>
      <c r="M186" s="180">
        <f t="shared" ca="1" si="32"/>
        <v>0</v>
      </c>
      <c r="N186" s="181" t="str" cm="1">
        <f t="array" aca="1" ref="N186" ca="1">IF(G186=0,"",CONCATENATE(IF($K186&gt;=4,"    ",""),INDEX(auto_Series_NameNumbered,G186)))</f>
        <v/>
      </c>
      <c r="O186" s="181" t="str">
        <f t="shared" ca="1" si="33"/>
        <v/>
      </c>
      <c r="P186" s="182" t="str">
        <f t="shared" ca="1" si="34"/>
        <v/>
      </c>
      <c r="Q186" s="183" t="str">
        <f t="shared" ca="1" si="35"/>
        <v/>
      </c>
      <c r="R186" s="194"/>
      <c r="S186" s="182" t="str" cm="1">
        <f t="array" aca="1" ref="S186" ca="1">IF(G186=0,"",IF(K186=1,"",INDEX(OFFSET(iWeights!$I$18,0,0,$E$13,1),$H186)))</f>
        <v/>
      </c>
      <c r="T186" s="183" t="str">
        <f t="shared" ca="1" si="36"/>
        <v/>
      </c>
      <c r="U186" s="37"/>
      <c r="V186" s="37"/>
      <c r="W186" s="37"/>
      <c r="X186" s="37"/>
      <c r="Y186" s="37"/>
    </row>
    <row r="187" spans="1:25" ht="17.5" customHeight="1" x14ac:dyDescent="0.35">
      <c r="A187" s="178" t="str">
        <f t="shared" ca="1" si="37"/>
        <v>H</v>
      </c>
      <c r="B187" s="37"/>
      <c r="C187" s="37"/>
      <c r="D187" s="37"/>
      <c r="E187" s="37"/>
      <c r="F187" s="37">
        <v>151</v>
      </c>
      <c r="G187" s="39" cm="1">
        <f t="array" aca="1" ref="G187" ca="1">IFERROR(INDEX(OFFSET(auto_ss_All_Scoring,0,1,500,1),F187),0)</f>
        <v>0</v>
      </c>
      <c r="H187" s="39">
        <f ca="1">IF(G187=0,0,MATCH(G187,OFFSET(iWeights!$B$18,0,0,$E$13,1),0))</f>
        <v>0</v>
      </c>
      <c r="I187" s="39" cm="1">
        <f t="array" aca="1" ref="I187" ca="1">IF(G187=0,0,INDEX(OFFSET(iWeights!$F$18,0,0,$E$13,1),H187))</f>
        <v>0</v>
      </c>
      <c r="J187" s="39" cm="1">
        <f t="array" aca="1" ref="J187" ca="1">IF(G187=0,0,INDEX(OFFSET(iWeights!$G$18,0,0,$E$13,1),H187))</f>
        <v>0</v>
      </c>
      <c r="K187" s="39" t="str" cm="1">
        <f t="array" aca="1" ref="K187" ca="1">IF(G187=0,"",INDEX(auto_Series_Depth,G187))</f>
        <v/>
      </c>
      <c r="L187" s="179">
        <f t="shared" ca="1" si="31"/>
        <v>1</v>
      </c>
      <c r="M187" s="180">
        <f t="shared" ca="1" si="32"/>
        <v>0</v>
      </c>
      <c r="N187" s="181" t="str" cm="1">
        <f t="array" aca="1" ref="N187" ca="1">IF(G187=0,"",CONCATENATE(IF($K187&gt;=4,"    ",""),INDEX(auto_Series_NameNumbered,G187)))</f>
        <v/>
      </c>
      <c r="O187" s="181" t="str">
        <f t="shared" ca="1" si="33"/>
        <v/>
      </c>
      <c r="P187" s="182" t="str">
        <f t="shared" ca="1" si="34"/>
        <v/>
      </c>
      <c r="Q187" s="183" t="str">
        <f t="shared" ca="1" si="35"/>
        <v/>
      </c>
      <c r="R187" s="194"/>
      <c r="S187" s="182" t="str" cm="1">
        <f t="array" aca="1" ref="S187" ca="1">IF(G187=0,"",IF(K187=1,"",INDEX(OFFSET(iWeights!$I$18,0,0,$E$13,1),$H187)))</f>
        <v/>
      </c>
      <c r="T187" s="183" t="str">
        <f t="shared" ca="1" si="36"/>
        <v/>
      </c>
      <c r="U187" s="37"/>
      <c r="V187" s="37"/>
      <c r="W187" s="37"/>
      <c r="X187" s="37"/>
      <c r="Y187" s="37"/>
    </row>
    <row r="188" spans="1:25" ht="17.5" customHeight="1" x14ac:dyDescent="0.35">
      <c r="A188" s="178" t="str">
        <f t="shared" ca="1" si="37"/>
        <v>H</v>
      </c>
      <c r="B188" s="37"/>
      <c r="C188" s="37"/>
      <c r="D188" s="37"/>
      <c r="E188" s="37"/>
      <c r="F188" s="37">
        <v>152</v>
      </c>
      <c r="G188" s="39" cm="1">
        <f t="array" aca="1" ref="G188" ca="1">IFERROR(INDEX(OFFSET(auto_ss_All_Scoring,0,1,500,1),F188),0)</f>
        <v>0</v>
      </c>
      <c r="H188" s="39">
        <f ca="1">IF(G188=0,0,MATCH(G188,OFFSET(iWeights!$B$18,0,0,$E$13,1),0))</f>
        <v>0</v>
      </c>
      <c r="I188" s="39" cm="1">
        <f t="array" aca="1" ref="I188" ca="1">IF(G188=0,0,INDEX(OFFSET(iWeights!$F$18,0,0,$E$13,1),H188))</f>
        <v>0</v>
      </c>
      <c r="J188" s="39" cm="1">
        <f t="array" aca="1" ref="J188" ca="1">IF(G188=0,0,INDEX(OFFSET(iWeights!$G$18,0,0,$E$13,1),H188))</f>
        <v>0</v>
      </c>
      <c r="K188" s="39" t="str" cm="1">
        <f t="array" aca="1" ref="K188" ca="1">IF(G188=0,"",INDEX(auto_Series_Depth,G188))</f>
        <v/>
      </c>
      <c r="L188" s="179">
        <f t="shared" ca="1" si="31"/>
        <v>1</v>
      </c>
      <c r="M188" s="180">
        <f t="shared" ca="1" si="32"/>
        <v>0</v>
      </c>
      <c r="N188" s="181" t="str" cm="1">
        <f t="array" aca="1" ref="N188" ca="1">IF(G188=0,"",CONCATENATE(IF($K188&gt;=4,"    ",""),INDEX(auto_Series_NameNumbered,G188)))</f>
        <v/>
      </c>
      <c r="O188" s="181" t="str">
        <f t="shared" ca="1" si="33"/>
        <v/>
      </c>
      <c r="P188" s="182" t="str">
        <f t="shared" ca="1" si="34"/>
        <v/>
      </c>
      <c r="Q188" s="183" t="str">
        <f t="shared" ca="1" si="35"/>
        <v/>
      </c>
      <c r="R188" s="194"/>
      <c r="S188" s="182" t="str" cm="1">
        <f t="array" aca="1" ref="S188" ca="1">IF(G188=0,"",IF(K188=1,"",INDEX(OFFSET(iWeights!$I$18,0,0,$E$13,1),$H188)))</f>
        <v/>
      </c>
      <c r="T188" s="183" t="str">
        <f t="shared" ca="1" si="36"/>
        <v/>
      </c>
      <c r="U188" s="37"/>
      <c r="V188" s="37"/>
      <c r="W188" s="37"/>
      <c r="X188" s="37"/>
      <c r="Y188" s="37"/>
    </row>
    <row r="189" spans="1:25" ht="17.5" customHeight="1" x14ac:dyDescent="0.35">
      <c r="A189" s="178" t="str">
        <f t="shared" ca="1" si="37"/>
        <v>H</v>
      </c>
      <c r="B189" s="37"/>
      <c r="C189" s="37"/>
      <c r="D189" s="37"/>
      <c r="E189" s="37"/>
      <c r="F189" s="37">
        <v>153</v>
      </c>
      <c r="G189" s="39" cm="1">
        <f t="array" aca="1" ref="G189" ca="1">IFERROR(INDEX(OFFSET(auto_ss_All_Scoring,0,1,500,1),F189),0)</f>
        <v>0</v>
      </c>
      <c r="H189" s="39">
        <f ca="1">IF(G189=0,0,MATCH(G189,OFFSET(iWeights!$B$18,0,0,$E$13,1),0))</f>
        <v>0</v>
      </c>
      <c r="I189" s="39" cm="1">
        <f t="array" aca="1" ref="I189" ca="1">IF(G189=0,0,INDEX(OFFSET(iWeights!$F$18,0,0,$E$13,1),H189))</f>
        <v>0</v>
      </c>
      <c r="J189" s="39" cm="1">
        <f t="array" aca="1" ref="J189" ca="1">IF(G189=0,0,INDEX(OFFSET(iWeights!$G$18,0,0,$E$13,1),H189))</f>
        <v>0</v>
      </c>
      <c r="K189" s="39" t="str" cm="1">
        <f t="array" aca="1" ref="K189" ca="1">IF(G189=0,"",INDEX(auto_Series_Depth,G189))</f>
        <v/>
      </c>
      <c r="L189" s="179">
        <f t="shared" ca="1" si="31"/>
        <v>0</v>
      </c>
      <c r="M189" s="180">
        <f t="shared" ca="1" si="32"/>
        <v>1</v>
      </c>
      <c r="N189" s="181" t="str" cm="1">
        <f t="array" aca="1" ref="N189" ca="1">IF(G189=0,"",CONCATENATE(IF($K189&gt;=4,"    ",""),INDEX(auto_Series_NameNumbered,G189)))</f>
        <v/>
      </c>
      <c r="O189" s="181" t="str">
        <f t="shared" ca="1" si="33"/>
        <v/>
      </c>
      <c r="P189" s="182" t="str">
        <f t="shared" ca="1" si="34"/>
        <v/>
      </c>
      <c r="Q189" s="183" t="str">
        <f t="shared" ca="1" si="35"/>
        <v/>
      </c>
      <c r="R189" s="194">
        <v>1</v>
      </c>
      <c r="S189" s="182" t="str" cm="1">
        <f t="array" aca="1" ref="S189" ca="1">IF(G189=0,"",IF(K189=1,"",INDEX(OFFSET(iWeights!$I$18,0,0,$E$13,1),$H189)))</f>
        <v/>
      </c>
      <c r="T189" s="183" t="str">
        <f t="shared" ca="1" si="36"/>
        <v/>
      </c>
      <c r="U189" s="37"/>
      <c r="V189" s="37"/>
      <c r="W189" s="37"/>
      <c r="X189" s="37"/>
      <c r="Y189" s="37"/>
    </row>
    <row r="190" spans="1:25" ht="17.5" customHeight="1" x14ac:dyDescent="0.35">
      <c r="A190" s="178" t="str">
        <f t="shared" ca="1" si="37"/>
        <v>H</v>
      </c>
      <c r="B190" s="37"/>
      <c r="C190" s="37"/>
      <c r="D190" s="37"/>
      <c r="E190" s="37"/>
      <c r="F190" s="37">
        <v>154</v>
      </c>
      <c r="G190" s="39" cm="1">
        <f t="array" aca="1" ref="G190" ca="1">IFERROR(INDEX(OFFSET(auto_ss_All_Scoring,0,1,500,1),F190),0)</f>
        <v>0</v>
      </c>
      <c r="H190" s="39">
        <f ca="1">IF(G190=0,0,MATCH(G190,OFFSET(iWeights!$B$18,0,0,$E$13,1),0))</f>
        <v>0</v>
      </c>
      <c r="I190" s="39" cm="1">
        <f t="array" aca="1" ref="I190" ca="1">IF(G190=0,0,INDEX(OFFSET(iWeights!$F$18,0,0,$E$13,1),H190))</f>
        <v>0</v>
      </c>
      <c r="J190" s="39" cm="1">
        <f t="array" aca="1" ref="J190" ca="1">IF(G190=0,0,INDEX(OFFSET(iWeights!$G$18,0,0,$E$13,1),H190))</f>
        <v>0</v>
      </c>
      <c r="K190" s="39" t="str" cm="1">
        <f t="array" aca="1" ref="K190" ca="1">IF(G190=0,"",INDEX(auto_Series_Depth,G190))</f>
        <v/>
      </c>
      <c r="L190" s="179">
        <f t="shared" ca="1" si="31"/>
        <v>0</v>
      </c>
      <c r="M190" s="180">
        <f t="shared" ca="1" si="32"/>
        <v>1</v>
      </c>
      <c r="N190" s="181" t="str" cm="1">
        <f t="array" aca="1" ref="N190" ca="1">IF(G190=0,"",CONCATENATE(IF($K190&gt;=4,"    ",""),INDEX(auto_Series_NameNumbered,G190)))</f>
        <v/>
      </c>
      <c r="O190" s="181" t="str">
        <f t="shared" ca="1" si="33"/>
        <v/>
      </c>
      <c r="P190" s="182" t="str">
        <f t="shared" ca="1" si="34"/>
        <v/>
      </c>
      <c r="Q190" s="183" t="str">
        <f t="shared" ca="1" si="35"/>
        <v/>
      </c>
      <c r="R190" s="194">
        <v>1</v>
      </c>
      <c r="S190" s="182" t="str" cm="1">
        <f t="array" aca="1" ref="S190" ca="1">IF(G190=0,"",IF(K190=1,"",INDEX(OFFSET(iWeights!$I$18,0,0,$E$13,1),$H190)))</f>
        <v/>
      </c>
      <c r="T190" s="183" t="str">
        <f t="shared" ca="1" si="36"/>
        <v/>
      </c>
      <c r="U190" s="37"/>
      <c r="V190" s="37"/>
      <c r="W190" s="37"/>
      <c r="X190" s="37"/>
      <c r="Y190" s="37"/>
    </row>
    <row r="191" spans="1:25" ht="17.5" customHeight="1" x14ac:dyDescent="0.35">
      <c r="A191" s="178" t="str">
        <f t="shared" ca="1" si="37"/>
        <v>H</v>
      </c>
      <c r="B191" s="37"/>
      <c r="C191" s="37"/>
      <c r="D191" s="37"/>
      <c r="E191" s="37"/>
      <c r="F191" s="37">
        <v>155</v>
      </c>
      <c r="G191" s="39" cm="1">
        <f t="array" aca="1" ref="G191" ca="1">IFERROR(INDEX(OFFSET(auto_ss_All_Scoring,0,1,500,1),F191),0)</f>
        <v>0</v>
      </c>
      <c r="H191" s="39">
        <f ca="1">IF(G191=0,0,MATCH(G191,OFFSET(iWeights!$B$18,0,0,$E$13,1),0))</f>
        <v>0</v>
      </c>
      <c r="I191" s="39" cm="1">
        <f t="array" aca="1" ref="I191" ca="1">IF(G191=0,0,INDEX(OFFSET(iWeights!$F$18,0,0,$E$13,1),H191))</f>
        <v>0</v>
      </c>
      <c r="J191" s="39" cm="1">
        <f t="array" aca="1" ref="J191" ca="1">IF(G191=0,0,INDEX(OFFSET(iWeights!$G$18,0,0,$E$13,1),H191))</f>
        <v>0</v>
      </c>
      <c r="K191" s="39" t="str" cm="1">
        <f t="array" aca="1" ref="K191" ca="1">IF(G191=0,"",INDEX(auto_Series_Depth,G191))</f>
        <v/>
      </c>
      <c r="L191" s="179">
        <f t="shared" ca="1" si="31"/>
        <v>0</v>
      </c>
      <c r="M191" s="180">
        <f t="shared" ca="1" si="32"/>
        <v>1</v>
      </c>
      <c r="N191" s="181" t="str" cm="1">
        <f t="array" aca="1" ref="N191" ca="1">IF(G191=0,"",CONCATENATE(IF($K191&gt;=4,"    ",""),INDEX(auto_Series_NameNumbered,G191)))</f>
        <v/>
      </c>
      <c r="O191" s="181" t="str">
        <f t="shared" ca="1" si="33"/>
        <v/>
      </c>
      <c r="P191" s="182" t="str">
        <f t="shared" ca="1" si="34"/>
        <v/>
      </c>
      <c r="Q191" s="183" t="str">
        <f t="shared" ca="1" si="35"/>
        <v/>
      </c>
      <c r="R191" s="194">
        <v>1</v>
      </c>
      <c r="S191" s="182" t="str" cm="1">
        <f t="array" aca="1" ref="S191" ca="1">IF(G191=0,"",IF(K191=1,"",INDEX(OFFSET(iWeights!$I$18,0,0,$E$13,1),$H191)))</f>
        <v/>
      </c>
      <c r="T191" s="183" t="str">
        <f t="shared" ca="1" si="36"/>
        <v/>
      </c>
      <c r="U191" s="37"/>
      <c r="V191" s="37"/>
      <c r="W191" s="37"/>
      <c r="X191" s="37"/>
      <c r="Y191" s="37"/>
    </row>
    <row r="192" spans="1:25" ht="17.5" customHeight="1" x14ac:dyDescent="0.35">
      <c r="A192" s="178" t="str">
        <f t="shared" ca="1" si="37"/>
        <v>H</v>
      </c>
      <c r="B192" s="37"/>
      <c r="C192" s="37"/>
      <c r="D192" s="37"/>
      <c r="E192" s="37"/>
      <c r="F192" s="37">
        <v>156</v>
      </c>
      <c r="G192" s="39" cm="1">
        <f t="array" aca="1" ref="G192" ca="1">IFERROR(INDEX(OFFSET(auto_ss_All_Scoring,0,1,500,1),F192),0)</f>
        <v>0</v>
      </c>
      <c r="H192" s="39">
        <f ca="1">IF(G192=0,0,MATCH(G192,OFFSET(iWeights!$B$18,0,0,$E$13,1),0))</f>
        <v>0</v>
      </c>
      <c r="I192" s="39" cm="1">
        <f t="array" aca="1" ref="I192" ca="1">IF(G192=0,0,INDEX(OFFSET(iWeights!$F$18,0,0,$E$13,1),H192))</f>
        <v>0</v>
      </c>
      <c r="J192" s="39" cm="1">
        <f t="array" aca="1" ref="J192" ca="1">IF(G192=0,0,INDEX(OFFSET(iWeights!$G$18,0,0,$E$13,1),H192))</f>
        <v>0</v>
      </c>
      <c r="K192" s="39" t="str" cm="1">
        <f t="array" aca="1" ref="K192" ca="1">IF(G192=0,"",INDEX(auto_Series_Depth,G192))</f>
        <v/>
      </c>
      <c r="L192" s="179">
        <f t="shared" ca="1" si="31"/>
        <v>0</v>
      </c>
      <c r="M192" s="180">
        <f t="shared" ca="1" si="32"/>
        <v>1</v>
      </c>
      <c r="N192" s="181" t="str" cm="1">
        <f t="array" aca="1" ref="N192" ca="1">IF(G192=0,"",CONCATENATE(IF($K192&gt;=4,"    ",""),INDEX(auto_Series_NameNumbered,G192)))</f>
        <v/>
      </c>
      <c r="O192" s="181" t="str">
        <f t="shared" ca="1" si="33"/>
        <v/>
      </c>
      <c r="P192" s="182" t="str">
        <f t="shared" ca="1" si="34"/>
        <v/>
      </c>
      <c r="Q192" s="183" t="str">
        <f t="shared" ca="1" si="35"/>
        <v/>
      </c>
      <c r="R192" s="194">
        <v>1</v>
      </c>
      <c r="S192" s="182" t="str" cm="1">
        <f t="array" aca="1" ref="S192" ca="1">IF(G192=0,"",IF(K192=1,"",INDEX(OFFSET(iWeights!$I$18,0,0,$E$13,1),$H192)))</f>
        <v/>
      </c>
      <c r="T192" s="183" t="str">
        <f t="shared" ca="1" si="36"/>
        <v/>
      </c>
      <c r="U192" s="37"/>
      <c r="V192" s="37"/>
      <c r="W192" s="37"/>
      <c r="X192" s="37"/>
      <c r="Y192" s="37"/>
    </row>
    <row r="193" spans="1:25" ht="17.5" customHeight="1" x14ac:dyDescent="0.35">
      <c r="A193" s="178" t="str">
        <f t="shared" ca="1" si="37"/>
        <v>H</v>
      </c>
      <c r="B193" s="37"/>
      <c r="C193" s="37"/>
      <c r="D193" s="37"/>
      <c r="E193" s="37"/>
      <c r="F193" s="37">
        <v>157</v>
      </c>
      <c r="G193" s="39" cm="1">
        <f t="array" aca="1" ref="G193" ca="1">IFERROR(INDEX(OFFSET(auto_ss_All_Scoring,0,1,500,1),F193),0)</f>
        <v>0</v>
      </c>
      <c r="H193" s="39">
        <f ca="1">IF(G193=0,0,MATCH(G193,OFFSET(iWeights!$B$18,0,0,$E$13,1),0))</f>
        <v>0</v>
      </c>
      <c r="I193" s="39" cm="1">
        <f t="array" aca="1" ref="I193" ca="1">IF(G193=0,0,INDEX(OFFSET(iWeights!$F$18,0,0,$E$13,1),H193))</f>
        <v>0</v>
      </c>
      <c r="J193" s="39" cm="1">
        <f t="array" aca="1" ref="J193" ca="1">IF(G193=0,0,INDEX(OFFSET(iWeights!$G$18,0,0,$E$13,1),H193))</f>
        <v>0</v>
      </c>
      <c r="K193" s="39" t="str" cm="1">
        <f t="array" aca="1" ref="K193" ca="1">IF(G193=0,"",INDEX(auto_Series_Depth,G193))</f>
        <v/>
      </c>
      <c r="L193" s="179">
        <f t="shared" ca="1" si="31"/>
        <v>0</v>
      </c>
      <c r="M193" s="180">
        <f t="shared" ca="1" si="32"/>
        <v>1</v>
      </c>
      <c r="N193" s="181" t="str" cm="1">
        <f t="array" aca="1" ref="N193" ca="1">IF(G193=0,"",CONCATENATE(IF($K193&gt;=4,"    ",""),INDEX(auto_Series_NameNumbered,G193)))</f>
        <v/>
      </c>
      <c r="O193" s="181" t="str">
        <f t="shared" ca="1" si="33"/>
        <v/>
      </c>
      <c r="P193" s="182" t="str">
        <f t="shared" ca="1" si="34"/>
        <v/>
      </c>
      <c r="Q193" s="183" t="str">
        <f t="shared" ca="1" si="35"/>
        <v/>
      </c>
      <c r="R193" s="194">
        <v>1</v>
      </c>
      <c r="S193" s="182" t="str" cm="1">
        <f t="array" aca="1" ref="S193" ca="1">IF(G193=0,"",IF(K193=1,"",INDEX(OFFSET(iWeights!$I$18,0,0,$E$13,1),$H193)))</f>
        <v/>
      </c>
      <c r="T193" s="183" t="str">
        <f t="shared" ca="1" si="36"/>
        <v/>
      </c>
      <c r="U193" s="37"/>
      <c r="V193" s="37"/>
      <c r="W193" s="37"/>
      <c r="X193" s="37"/>
      <c r="Y193" s="37"/>
    </row>
    <row r="194" spans="1:25" ht="17.5" customHeight="1" x14ac:dyDescent="0.35">
      <c r="A194" s="178" t="str">
        <f t="shared" ca="1" si="37"/>
        <v>H</v>
      </c>
      <c r="B194" s="37"/>
      <c r="C194" s="37"/>
      <c r="D194" s="37"/>
      <c r="E194" s="37"/>
      <c r="F194" s="37">
        <v>158</v>
      </c>
      <c r="G194" s="39" cm="1">
        <f t="array" aca="1" ref="G194" ca="1">IFERROR(INDEX(OFFSET(auto_ss_All_Scoring,0,1,500,1),F194),0)</f>
        <v>0</v>
      </c>
      <c r="H194" s="39">
        <f ca="1">IF(G194=0,0,MATCH(G194,OFFSET(iWeights!$B$18,0,0,$E$13,1),0))</f>
        <v>0</v>
      </c>
      <c r="I194" s="39" cm="1">
        <f t="array" aca="1" ref="I194" ca="1">IF(G194=0,0,INDEX(OFFSET(iWeights!$F$18,0,0,$E$13,1),H194))</f>
        <v>0</v>
      </c>
      <c r="J194" s="39" cm="1">
        <f t="array" aca="1" ref="J194" ca="1">IF(G194=0,0,INDEX(OFFSET(iWeights!$G$18,0,0,$E$13,1),H194))</f>
        <v>0</v>
      </c>
      <c r="K194" s="39" t="str" cm="1">
        <f t="array" aca="1" ref="K194" ca="1">IF(G194=0,"",INDEX(auto_Series_Depth,G194))</f>
        <v/>
      </c>
      <c r="L194" s="179">
        <f t="shared" ca="1" si="31"/>
        <v>0</v>
      </c>
      <c r="M194" s="180">
        <f t="shared" ca="1" si="32"/>
        <v>1</v>
      </c>
      <c r="N194" s="181" t="str" cm="1">
        <f t="array" aca="1" ref="N194" ca="1">IF(G194=0,"",CONCATENATE(IF($K194&gt;=4,"    ",""),INDEX(auto_Series_NameNumbered,G194)))</f>
        <v/>
      </c>
      <c r="O194" s="181" t="str">
        <f t="shared" ca="1" si="33"/>
        <v/>
      </c>
      <c r="P194" s="182" t="str">
        <f t="shared" ca="1" si="34"/>
        <v/>
      </c>
      <c r="Q194" s="183" t="str">
        <f t="shared" ca="1" si="35"/>
        <v/>
      </c>
      <c r="R194" s="194">
        <v>1</v>
      </c>
      <c r="S194" s="182" t="str" cm="1">
        <f t="array" aca="1" ref="S194" ca="1">IF(G194=0,"",IF(K194=1,"",INDEX(OFFSET(iWeights!$I$18,0,0,$E$13,1),$H194)))</f>
        <v/>
      </c>
      <c r="T194" s="183" t="str">
        <f t="shared" ca="1" si="36"/>
        <v/>
      </c>
      <c r="U194" s="37"/>
      <c r="V194" s="37"/>
      <c r="W194" s="37"/>
      <c r="X194" s="37"/>
      <c r="Y194" s="37"/>
    </row>
    <row r="195" spans="1:25" ht="17.5" customHeight="1" x14ac:dyDescent="0.35">
      <c r="A195" s="178" t="str">
        <f t="shared" ca="1" si="37"/>
        <v>H</v>
      </c>
      <c r="B195" s="37"/>
      <c r="C195" s="37"/>
      <c r="D195" s="37"/>
      <c r="E195" s="37"/>
      <c r="F195" s="37">
        <v>159</v>
      </c>
      <c r="G195" s="39" cm="1">
        <f t="array" aca="1" ref="G195" ca="1">IFERROR(INDEX(OFFSET(auto_ss_All_Scoring,0,1,500,1),F195),0)</f>
        <v>0</v>
      </c>
      <c r="H195" s="39">
        <f ca="1">IF(G195=0,0,MATCH(G195,OFFSET(iWeights!$B$18,0,0,$E$13,1),0))</f>
        <v>0</v>
      </c>
      <c r="I195" s="39" cm="1">
        <f t="array" aca="1" ref="I195" ca="1">IF(G195=0,0,INDEX(OFFSET(iWeights!$F$18,0,0,$E$13,1),H195))</f>
        <v>0</v>
      </c>
      <c r="J195" s="39" cm="1">
        <f t="array" aca="1" ref="J195" ca="1">IF(G195=0,0,INDEX(OFFSET(iWeights!$G$18,0,0,$E$13,1),H195))</f>
        <v>0</v>
      </c>
      <c r="K195" s="39" t="str" cm="1">
        <f t="array" aca="1" ref="K195" ca="1">IF(G195=0,"",INDEX(auto_Series_Depth,G195))</f>
        <v/>
      </c>
      <c r="L195" s="179">
        <f t="shared" ca="1" si="31"/>
        <v>0</v>
      </c>
      <c r="M195" s="180">
        <f t="shared" ca="1" si="32"/>
        <v>1</v>
      </c>
      <c r="N195" s="181" t="str" cm="1">
        <f t="array" aca="1" ref="N195" ca="1">IF(G195=0,"",CONCATENATE(IF($K195&gt;=4,"    ",""),INDEX(auto_Series_NameNumbered,G195)))</f>
        <v/>
      </c>
      <c r="O195" s="181" t="str">
        <f t="shared" ca="1" si="33"/>
        <v/>
      </c>
      <c r="P195" s="182" t="str">
        <f t="shared" ca="1" si="34"/>
        <v/>
      </c>
      <c r="Q195" s="183" t="str">
        <f t="shared" ca="1" si="35"/>
        <v/>
      </c>
      <c r="R195" s="194">
        <v>1</v>
      </c>
      <c r="S195" s="182" t="str" cm="1">
        <f t="array" aca="1" ref="S195" ca="1">IF(G195=0,"",IF(K195=1,"",INDEX(OFFSET(iWeights!$I$18,0,0,$E$13,1),$H195)))</f>
        <v/>
      </c>
      <c r="T195" s="183" t="str">
        <f t="shared" ca="1" si="36"/>
        <v/>
      </c>
      <c r="U195" s="37"/>
      <c r="V195" s="37"/>
      <c r="W195" s="37"/>
      <c r="X195" s="37"/>
      <c r="Y195" s="37"/>
    </row>
    <row r="196" spans="1:25" ht="17.5" customHeight="1" x14ac:dyDescent="0.35">
      <c r="A196" s="178" t="str">
        <f t="shared" ca="1" si="37"/>
        <v>H</v>
      </c>
      <c r="B196" s="37"/>
      <c r="C196" s="37"/>
      <c r="D196" s="37"/>
      <c r="E196" s="37"/>
      <c r="F196" s="37">
        <v>160</v>
      </c>
      <c r="G196" s="39" cm="1">
        <f t="array" aca="1" ref="G196" ca="1">IFERROR(INDEX(OFFSET(auto_ss_All_Scoring,0,1,500,1),F196),0)</f>
        <v>0</v>
      </c>
      <c r="H196" s="39">
        <f ca="1">IF(G196=0,0,MATCH(G196,OFFSET(iWeights!$B$18,0,0,$E$13,1),0))</f>
        <v>0</v>
      </c>
      <c r="I196" s="39" cm="1">
        <f t="array" aca="1" ref="I196" ca="1">IF(G196=0,0,INDEX(OFFSET(iWeights!$F$18,0,0,$E$13,1),H196))</f>
        <v>0</v>
      </c>
      <c r="J196" s="39" cm="1">
        <f t="array" aca="1" ref="J196" ca="1">IF(G196=0,0,INDEX(OFFSET(iWeights!$G$18,0,0,$E$13,1),H196))</f>
        <v>0</v>
      </c>
      <c r="K196" s="39" t="str" cm="1">
        <f t="array" aca="1" ref="K196" ca="1">IF(G196=0,"",INDEX(auto_Series_Depth,G196))</f>
        <v/>
      </c>
      <c r="L196" s="179">
        <f t="shared" ca="1" si="31"/>
        <v>0</v>
      </c>
      <c r="M196" s="180">
        <f t="shared" ca="1" si="32"/>
        <v>1</v>
      </c>
      <c r="N196" s="181" t="str" cm="1">
        <f t="array" aca="1" ref="N196" ca="1">IF(G196=0,"",CONCATENATE(IF($K196&gt;=4,"    ",""),INDEX(auto_Series_NameNumbered,G196)))</f>
        <v/>
      </c>
      <c r="O196" s="181" t="str">
        <f t="shared" ca="1" si="33"/>
        <v/>
      </c>
      <c r="P196" s="182" t="str">
        <f t="shared" ca="1" si="34"/>
        <v/>
      </c>
      <c r="Q196" s="183" t="str">
        <f t="shared" ca="1" si="35"/>
        <v/>
      </c>
      <c r="R196" s="194">
        <v>1</v>
      </c>
      <c r="S196" s="182" t="str" cm="1">
        <f t="array" aca="1" ref="S196" ca="1">IF(G196=0,"",IF(K196=1,"",INDEX(OFFSET(iWeights!$I$18,0,0,$E$13,1),$H196)))</f>
        <v/>
      </c>
      <c r="T196" s="183" t="str">
        <f t="shared" ca="1" si="36"/>
        <v/>
      </c>
      <c r="U196" s="37"/>
      <c r="V196" s="37"/>
      <c r="W196" s="37"/>
      <c r="X196" s="37"/>
      <c r="Y196" s="37"/>
    </row>
    <row r="197" spans="1:25" ht="17.5" customHeight="1" x14ac:dyDescent="0.35">
      <c r="A197" s="178" t="str">
        <f t="shared" ca="1" si="37"/>
        <v>H</v>
      </c>
      <c r="B197" s="37"/>
      <c r="C197" s="37"/>
      <c r="D197" s="37"/>
      <c r="E197" s="37"/>
      <c r="F197" s="37">
        <v>161</v>
      </c>
      <c r="G197" s="39" cm="1">
        <f t="array" aca="1" ref="G197" ca="1">IFERROR(INDEX(OFFSET(auto_ss_All_Scoring,0,1,500,1),F197),0)</f>
        <v>0</v>
      </c>
      <c r="H197" s="39">
        <f ca="1">IF(G197=0,0,MATCH(G197,OFFSET(iWeights!$B$18,0,0,$E$13,1),0))</f>
        <v>0</v>
      </c>
      <c r="I197" s="39" cm="1">
        <f t="array" aca="1" ref="I197" ca="1">IF(G197=0,0,INDEX(OFFSET(iWeights!$F$18,0,0,$E$13,1),H197))</f>
        <v>0</v>
      </c>
      <c r="J197" s="39" cm="1">
        <f t="array" aca="1" ref="J197" ca="1">IF(G197=0,0,INDEX(OFFSET(iWeights!$G$18,0,0,$E$13,1),H197))</f>
        <v>0</v>
      </c>
      <c r="K197" s="39" t="str" cm="1">
        <f t="array" aca="1" ref="K197" ca="1">IF(G197=0,"",INDEX(auto_Series_Depth,G197))</f>
        <v/>
      </c>
      <c r="L197" s="179">
        <f t="shared" ca="1" si="31"/>
        <v>0</v>
      </c>
      <c r="M197" s="180">
        <f t="shared" ca="1" si="32"/>
        <v>1</v>
      </c>
      <c r="N197" s="181" t="str" cm="1">
        <f t="array" aca="1" ref="N197" ca="1">IF(G197=0,"",CONCATENATE(IF($K197&gt;=4,"    ",""),INDEX(auto_Series_NameNumbered,G197)))</f>
        <v/>
      </c>
      <c r="O197" s="181" t="str">
        <f t="shared" ca="1" si="33"/>
        <v/>
      </c>
      <c r="P197" s="182" t="str">
        <f t="shared" ca="1" si="34"/>
        <v/>
      </c>
      <c r="Q197" s="183" t="str">
        <f t="shared" ca="1" si="35"/>
        <v/>
      </c>
      <c r="R197" s="194">
        <v>1</v>
      </c>
      <c r="S197" s="182" t="str" cm="1">
        <f t="array" aca="1" ref="S197" ca="1">IF(G197=0,"",IF(K197=1,"",INDEX(OFFSET(iWeights!$I$18,0,0,$E$13,1),$H197)))</f>
        <v/>
      </c>
      <c r="T197" s="183" t="str">
        <f t="shared" ca="1" si="36"/>
        <v/>
      </c>
      <c r="U197" s="37"/>
      <c r="V197" s="37"/>
      <c r="W197" s="37"/>
      <c r="X197" s="37"/>
      <c r="Y197" s="37"/>
    </row>
    <row r="198" spans="1:25" ht="17.5" customHeight="1" x14ac:dyDescent="0.35">
      <c r="A198" s="178" t="str">
        <f t="shared" ca="1" si="37"/>
        <v>H</v>
      </c>
      <c r="B198" s="37"/>
      <c r="C198" s="37"/>
      <c r="D198" s="37"/>
      <c r="E198" s="37"/>
      <c r="F198" s="37">
        <v>162</v>
      </c>
      <c r="G198" s="39" cm="1">
        <f t="array" aca="1" ref="G198" ca="1">IFERROR(INDEX(OFFSET(auto_ss_All_Scoring,0,1,500,1),F198),0)</f>
        <v>0</v>
      </c>
      <c r="H198" s="39">
        <f ca="1">IF(G198=0,0,MATCH(G198,OFFSET(iWeights!$B$18,0,0,$E$13,1),0))</f>
        <v>0</v>
      </c>
      <c r="I198" s="39" cm="1">
        <f t="array" aca="1" ref="I198" ca="1">IF(G198=0,0,INDEX(OFFSET(iWeights!$F$18,0,0,$E$13,1),H198))</f>
        <v>0</v>
      </c>
      <c r="J198" s="39" cm="1">
        <f t="array" aca="1" ref="J198" ca="1">IF(G198=0,0,INDEX(OFFSET(iWeights!$G$18,0,0,$E$13,1),H198))</f>
        <v>0</v>
      </c>
      <c r="K198" s="39" t="str" cm="1">
        <f t="array" aca="1" ref="K198" ca="1">IF(G198=0,"",INDEX(auto_Series_Depth,G198))</f>
        <v/>
      </c>
      <c r="L198" s="179">
        <f t="shared" ca="1" si="31"/>
        <v>0</v>
      </c>
      <c r="M198" s="180">
        <f t="shared" ca="1" si="32"/>
        <v>1</v>
      </c>
      <c r="N198" s="181" t="str" cm="1">
        <f t="array" aca="1" ref="N198" ca="1">IF(G198=0,"",CONCATENATE(IF($K198&gt;=4,"    ",""),INDEX(auto_Series_NameNumbered,G198)))</f>
        <v/>
      </c>
      <c r="O198" s="181" t="str">
        <f t="shared" ca="1" si="33"/>
        <v/>
      </c>
      <c r="P198" s="182" t="str">
        <f t="shared" ca="1" si="34"/>
        <v/>
      </c>
      <c r="Q198" s="183" t="str">
        <f t="shared" ca="1" si="35"/>
        <v/>
      </c>
      <c r="R198" s="194">
        <v>1</v>
      </c>
      <c r="S198" s="182" t="str" cm="1">
        <f t="array" aca="1" ref="S198" ca="1">IF(G198=0,"",IF(K198=1,"",INDEX(OFFSET(iWeights!$I$18,0,0,$E$13,1),$H198)))</f>
        <v/>
      </c>
      <c r="T198" s="183" t="str">
        <f t="shared" ca="1" si="36"/>
        <v/>
      </c>
      <c r="U198" s="37"/>
      <c r="V198" s="37"/>
      <c r="W198" s="37"/>
      <c r="X198" s="37"/>
      <c r="Y198" s="37"/>
    </row>
    <row r="199" spans="1:25" ht="17.5" customHeight="1" x14ac:dyDescent="0.35">
      <c r="A199" s="178" t="str">
        <f t="shared" ca="1" si="37"/>
        <v>H</v>
      </c>
      <c r="B199" s="37"/>
      <c r="C199" s="37"/>
      <c r="D199" s="37"/>
      <c r="E199" s="37"/>
      <c r="F199" s="37">
        <v>163</v>
      </c>
      <c r="G199" s="39" cm="1">
        <f t="array" aca="1" ref="G199" ca="1">IFERROR(INDEX(OFFSET(auto_ss_All_Scoring,0,1,500,1),F199),0)</f>
        <v>0</v>
      </c>
      <c r="H199" s="39">
        <f ca="1">IF(G199=0,0,MATCH(G199,OFFSET(iWeights!$B$18,0,0,$E$13,1),0))</f>
        <v>0</v>
      </c>
      <c r="I199" s="39" cm="1">
        <f t="array" aca="1" ref="I199" ca="1">IF(G199=0,0,INDEX(OFFSET(iWeights!$F$18,0,0,$E$13,1),H199))</f>
        <v>0</v>
      </c>
      <c r="J199" s="39" cm="1">
        <f t="array" aca="1" ref="J199" ca="1">IF(G199=0,0,INDEX(OFFSET(iWeights!$G$18,0,0,$E$13,1),H199))</f>
        <v>0</v>
      </c>
      <c r="K199" s="39" t="str" cm="1">
        <f t="array" aca="1" ref="K199" ca="1">IF(G199=0,"",INDEX(auto_Series_Depth,G199))</f>
        <v/>
      </c>
      <c r="L199" s="179">
        <f t="shared" ca="1" si="31"/>
        <v>0</v>
      </c>
      <c r="M199" s="180">
        <f t="shared" ca="1" si="32"/>
        <v>1</v>
      </c>
      <c r="N199" s="181" t="str" cm="1">
        <f t="array" aca="1" ref="N199" ca="1">IF(G199=0,"",CONCATENATE(IF($K199&gt;=4,"    ",""),INDEX(auto_Series_NameNumbered,G199)))</f>
        <v/>
      </c>
      <c r="O199" s="181" t="str">
        <f t="shared" ca="1" si="33"/>
        <v/>
      </c>
      <c r="P199" s="182" t="str">
        <f t="shared" ca="1" si="34"/>
        <v/>
      </c>
      <c r="Q199" s="183" t="str">
        <f t="shared" ca="1" si="35"/>
        <v/>
      </c>
      <c r="R199" s="194">
        <v>1</v>
      </c>
      <c r="S199" s="182" t="str" cm="1">
        <f t="array" aca="1" ref="S199" ca="1">IF(G199=0,"",IF(K199=1,"",INDEX(OFFSET(iWeights!$I$18,0,0,$E$13,1),$H199)))</f>
        <v/>
      </c>
      <c r="T199" s="183" t="str">
        <f t="shared" ca="1" si="36"/>
        <v/>
      </c>
      <c r="U199" s="37"/>
      <c r="V199" s="37"/>
      <c r="W199" s="37"/>
      <c r="X199" s="37"/>
      <c r="Y199" s="37"/>
    </row>
    <row r="200" spans="1:25" ht="17.5" customHeight="1" x14ac:dyDescent="0.35">
      <c r="A200" s="178" t="str">
        <f t="shared" ca="1" si="37"/>
        <v>H</v>
      </c>
      <c r="B200" s="37"/>
      <c r="C200" s="37"/>
      <c r="D200" s="37"/>
      <c r="E200" s="37"/>
      <c r="F200" s="37">
        <v>164</v>
      </c>
      <c r="G200" s="39" cm="1">
        <f t="array" aca="1" ref="G200" ca="1">IFERROR(INDEX(OFFSET(auto_ss_All_Scoring,0,1,500,1),F200),0)</f>
        <v>0</v>
      </c>
      <c r="H200" s="39">
        <f ca="1">IF(G200=0,0,MATCH(G200,OFFSET(iWeights!$B$18,0,0,$E$13,1),0))</f>
        <v>0</v>
      </c>
      <c r="I200" s="39" cm="1">
        <f t="array" aca="1" ref="I200" ca="1">IF(G200=0,0,INDEX(OFFSET(iWeights!$F$18,0,0,$E$13,1),H200))</f>
        <v>0</v>
      </c>
      <c r="J200" s="39" cm="1">
        <f t="array" aca="1" ref="J200" ca="1">IF(G200=0,0,INDEX(OFFSET(iWeights!$G$18,0,0,$E$13,1),H200))</f>
        <v>0</v>
      </c>
      <c r="K200" s="39" t="str" cm="1">
        <f t="array" aca="1" ref="K200" ca="1">IF(G200=0,"",INDEX(auto_Series_Depth,G200))</f>
        <v/>
      </c>
      <c r="L200" s="179">
        <f t="shared" ca="1" si="31"/>
        <v>0</v>
      </c>
      <c r="M200" s="180">
        <f t="shared" ca="1" si="32"/>
        <v>1</v>
      </c>
      <c r="N200" s="181" t="str" cm="1">
        <f t="array" aca="1" ref="N200" ca="1">IF(G200=0,"",CONCATENATE(IF($K200&gt;=4,"    ",""),INDEX(auto_Series_NameNumbered,G200)))</f>
        <v/>
      </c>
      <c r="O200" s="181" t="str">
        <f t="shared" ca="1" si="33"/>
        <v/>
      </c>
      <c r="P200" s="182" t="str">
        <f t="shared" ca="1" si="34"/>
        <v/>
      </c>
      <c r="Q200" s="183" t="str">
        <f t="shared" ca="1" si="35"/>
        <v/>
      </c>
      <c r="R200" s="194">
        <v>1</v>
      </c>
      <c r="S200" s="182" t="str" cm="1">
        <f t="array" aca="1" ref="S200" ca="1">IF(G200=0,"",IF(K200=1,"",INDEX(OFFSET(iWeights!$I$18,0,0,$E$13,1),$H200)))</f>
        <v/>
      </c>
      <c r="T200" s="183" t="str">
        <f t="shared" ca="1" si="36"/>
        <v/>
      </c>
      <c r="U200" s="37"/>
      <c r="V200" s="37"/>
      <c r="W200" s="37"/>
      <c r="X200" s="37"/>
      <c r="Y200" s="37"/>
    </row>
    <row r="201" spans="1:25" ht="17.5" customHeight="1" x14ac:dyDescent="0.35">
      <c r="A201" s="178" t="str">
        <f t="shared" ca="1" si="37"/>
        <v>H</v>
      </c>
      <c r="B201" s="37"/>
      <c r="C201" s="37"/>
      <c r="D201" s="37"/>
      <c r="E201" s="37"/>
      <c r="F201" s="37">
        <v>165</v>
      </c>
      <c r="G201" s="39" cm="1">
        <f t="array" aca="1" ref="G201" ca="1">IFERROR(INDEX(OFFSET(auto_ss_All_Scoring,0,1,500,1),F201),0)</f>
        <v>0</v>
      </c>
      <c r="H201" s="39">
        <f ca="1">IF(G201=0,0,MATCH(G201,OFFSET(iWeights!$B$18,0,0,$E$13,1),0))</f>
        <v>0</v>
      </c>
      <c r="I201" s="39" cm="1">
        <f t="array" aca="1" ref="I201" ca="1">IF(G201=0,0,INDEX(OFFSET(iWeights!$F$18,0,0,$E$13,1),H201))</f>
        <v>0</v>
      </c>
      <c r="J201" s="39" cm="1">
        <f t="array" aca="1" ref="J201" ca="1">IF(G201=0,0,INDEX(OFFSET(iWeights!$G$18,0,0,$E$13,1),H201))</f>
        <v>0</v>
      </c>
      <c r="K201" s="39" t="str" cm="1">
        <f t="array" aca="1" ref="K201" ca="1">IF(G201=0,"",INDEX(auto_Series_Depth,G201))</f>
        <v/>
      </c>
      <c r="L201" s="179">
        <f t="shared" ca="1" si="31"/>
        <v>0</v>
      </c>
      <c r="M201" s="180">
        <f t="shared" ca="1" si="32"/>
        <v>1</v>
      </c>
      <c r="N201" s="181" t="str" cm="1">
        <f t="array" aca="1" ref="N201" ca="1">IF(G201=0,"",CONCATENATE(IF($K201&gt;=4,"    ",""),INDEX(auto_Series_NameNumbered,G201)))</f>
        <v/>
      </c>
      <c r="O201" s="181" t="str">
        <f t="shared" ca="1" si="33"/>
        <v/>
      </c>
      <c r="P201" s="182" t="str">
        <f t="shared" ca="1" si="34"/>
        <v/>
      </c>
      <c r="Q201" s="183" t="str">
        <f t="shared" ca="1" si="35"/>
        <v/>
      </c>
      <c r="R201" s="194">
        <v>1</v>
      </c>
      <c r="S201" s="182" t="str" cm="1">
        <f t="array" aca="1" ref="S201" ca="1">IF(G201=0,"",IF(K201=1,"",INDEX(OFFSET(iWeights!$I$18,0,0,$E$13,1),$H201)))</f>
        <v/>
      </c>
      <c r="T201" s="183" t="str">
        <f t="shared" ca="1" si="36"/>
        <v/>
      </c>
      <c r="U201" s="37"/>
      <c r="V201" s="37"/>
      <c r="W201" s="37"/>
      <c r="X201" s="37"/>
      <c r="Y201" s="37"/>
    </row>
    <row r="202" spans="1:25" ht="17.5" customHeight="1" x14ac:dyDescent="0.35">
      <c r="A202" s="178" t="str">
        <f t="shared" ca="1" si="37"/>
        <v>H</v>
      </c>
      <c r="B202" s="37"/>
      <c r="C202" s="37"/>
      <c r="D202" s="37"/>
      <c r="E202" s="37"/>
      <c r="F202" s="37">
        <v>166</v>
      </c>
      <c r="G202" s="39" cm="1">
        <f t="array" aca="1" ref="G202" ca="1">IFERROR(INDEX(OFFSET(auto_ss_All_Scoring,0,1,500,1),F202),0)</f>
        <v>0</v>
      </c>
      <c r="H202" s="39">
        <f ca="1">IF(G202=0,0,MATCH(G202,OFFSET(iWeights!$B$18,0,0,$E$13,1),0))</f>
        <v>0</v>
      </c>
      <c r="I202" s="39" cm="1">
        <f t="array" aca="1" ref="I202" ca="1">IF(G202=0,0,INDEX(OFFSET(iWeights!$F$18,0,0,$E$13,1),H202))</f>
        <v>0</v>
      </c>
      <c r="J202" s="39" cm="1">
        <f t="array" aca="1" ref="J202" ca="1">IF(G202=0,0,INDEX(OFFSET(iWeights!$G$18,0,0,$E$13,1),H202))</f>
        <v>0</v>
      </c>
      <c r="K202" s="39" t="str" cm="1">
        <f t="array" aca="1" ref="K202" ca="1">IF(G202=0,"",INDEX(auto_Series_Depth,G202))</f>
        <v/>
      </c>
      <c r="L202" s="179">
        <f t="shared" ca="1" si="31"/>
        <v>0</v>
      </c>
      <c r="M202" s="180">
        <f t="shared" ca="1" si="32"/>
        <v>1</v>
      </c>
      <c r="N202" s="181" t="str" cm="1">
        <f t="array" aca="1" ref="N202" ca="1">IF(G202=0,"",CONCATENATE(IF($K202&gt;=4,"    ",""),INDEX(auto_Series_NameNumbered,G202)))</f>
        <v/>
      </c>
      <c r="O202" s="181" t="str">
        <f t="shared" ca="1" si="33"/>
        <v/>
      </c>
      <c r="P202" s="182" t="str">
        <f t="shared" ca="1" si="34"/>
        <v/>
      </c>
      <c r="Q202" s="183" t="str">
        <f t="shared" ca="1" si="35"/>
        <v/>
      </c>
      <c r="R202" s="194">
        <v>1</v>
      </c>
      <c r="S202" s="182" t="str" cm="1">
        <f t="array" aca="1" ref="S202" ca="1">IF(G202=0,"",IF(K202=1,"",INDEX(OFFSET(iWeights!$I$18,0,0,$E$13,1),$H202)))</f>
        <v/>
      </c>
      <c r="T202" s="183" t="str">
        <f t="shared" ca="1" si="36"/>
        <v/>
      </c>
      <c r="U202" s="37"/>
      <c r="V202" s="37"/>
      <c r="W202" s="37"/>
      <c r="X202" s="37"/>
      <c r="Y202" s="37"/>
    </row>
    <row r="203" spans="1:25" ht="17.5" customHeight="1" x14ac:dyDescent="0.35">
      <c r="A203" s="178" t="str">
        <f t="shared" ca="1" si="37"/>
        <v>H</v>
      </c>
      <c r="B203" s="37"/>
      <c r="C203" s="37"/>
      <c r="D203" s="37"/>
      <c r="E203" s="37"/>
      <c r="F203" s="37">
        <v>167</v>
      </c>
      <c r="G203" s="39" cm="1">
        <f t="array" aca="1" ref="G203" ca="1">IFERROR(INDEX(OFFSET(auto_ss_All_Scoring,0,1,500,1),F203),0)</f>
        <v>0</v>
      </c>
      <c r="H203" s="39">
        <f ca="1">IF(G203=0,0,MATCH(G203,OFFSET(iWeights!$B$18,0,0,$E$13,1),0))</f>
        <v>0</v>
      </c>
      <c r="I203" s="39" cm="1">
        <f t="array" aca="1" ref="I203" ca="1">IF(G203=0,0,INDEX(OFFSET(iWeights!$F$18,0,0,$E$13,1),H203))</f>
        <v>0</v>
      </c>
      <c r="J203" s="39" cm="1">
        <f t="array" aca="1" ref="J203" ca="1">IF(G203=0,0,INDEX(OFFSET(iWeights!$G$18,0,0,$E$13,1),H203))</f>
        <v>0</v>
      </c>
      <c r="K203" s="39" t="str" cm="1">
        <f t="array" aca="1" ref="K203" ca="1">IF(G203=0,"",INDEX(auto_Series_Depth,G203))</f>
        <v/>
      </c>
      <c r="L203" s="179">
        <f t="shared" ca="1" si="31"/>
        <v>0</v>
      </c>
      <c r="M203" s="180">
        <f t="shared" ca="1" si="32"/>
        <v>1</v>
      </c>
      <c r="N203" s="181" t="str" cm="1">
        <f t="array" aca="1" ref="N203" ca="1">IF(G203=0,"",CONCATENATE(IF($K203&gt;=4,"    ",""),INDEX(auto_Series_NameNumbered,G203)))</f>
        <v/>
      </c>
      <c r="O203" s="181" t="str">
        <f t="shared" ca="1" si="33"/>
        <v/>
      </c>
      <c r="P203" s="182" t="str">
        <f t="shared" ca="1" si="34"/>
        <v/>
      </c>
      <c r="Q203" s="183" t="str">
        <f t="shared" ca="1" si="35"/>
        <v/>
      </c>
      <c r="R203" s="194">
        <v>1</v>
      </c>
      <c r="S203" s="182" t="str" cm="1">
        <f t="array" aca="1" ref="S203" ca="1">IF(G203=0,"",IF(K203=1,"",INDEX(OFFSET(iWeights!$I$18,0,0,$E$13,1),$H203)))</f>
        <v/>
      </c>
      <c r="T203" s="183" t="str">
        <f t="shared" ca="1" si="36"/>
        <v/>
      </c>
      <c r="U203" s="37"/>
      <c r="V203" s="37"/>
      <c r="W203" s="37"/>
      <c r="X203" s="37"/>
      <c r="Y203" s="37"/>
    </row>
    <row r="204" spans="1:25" ht="17.5" customHeight="1" x14ac:dyDescent="0.35">
      <c r="A204" s="178" t="str">
        <f t="shared" ca="1" si="37"/>
        <v>H</v>
      </c>
      <c r="B204" s="37"/>
      <c r="C204" s="37"/>
      <c r="D204" s="37"/>
      <c r="E204" s="37"/>
      <c r="F204" s="37">
        <v>168</v>
      </c>
      <c r="G204" s="39" cm="1">
        <f t="array" aca="1" ref="G204" ca="1">IFERROR(INDEX(OFFSET(auto_ss_All_Scoring,0,1,500,1),F204),0)</f>
        <v>0</v>
      </c>
      <c r="H204" s="39">
        <f ca="1">IF(G204=0,0,MATCH(G204,OFFSET(iWeights!$B$18,0,0,$E$13,1),0))</f>
        <v>0</v>
      </c>
      <c r="I204" s="39" cm="1">
        <f t="array" aca="1" ref="I204" ca="1">IF(G204=0,0,INDEX(OFFSET(iWeights!$F$18,0,0,$E$13,1),H204))</f>
        <v>0</v>
      </c>
      <c r="J204" s="39" cm="1">
        <f t="array" aca="1" ref="J204" ca="1">IF(G204=0,0,INDEX(OFFSET(iWeights!$G$18,0,0,$E$13,1),H204))</f>
        <v>0</v>
      </c>
      <c r="K204" s="39" t="str" cm="1">
        <f t="array" aca="1" ref="K204" ca="1">IF(G204=0,"",INDEX(auto_Series_Depth,G204))</f>
        <v/>
      </c>
      <c r="L204" s="179">
        <f t="shared" ca="1" si="31"/>
        <v>0</v>
      </c>
      <c r="M204" s="180">
        <f t="shared" ca="1" si="32"/>
        <v>1</v>
      </c>
      <c r="N204" s="181" t="str" cm="1">
        <f t="array" aca="1" ref="N204" ca="1">IF(G204=0,"",CONCATENATE(IF($K204&gt;=4,"    ",""),INDEX(auto_Series_NameNumbered,G204)))</f>
        <v/>
      </c>
      <c r="O204" s="181" t="str">
        <f t="shared" ca="1" si="33"/>
        <v/>
      </c>
      <c r="P204" s="182" t="str">
        <f t="shared" ca="1" si="34"/>
        <v/>
      </c>
      <c r="Q204" s="183" t="str">
        <f t="shared" ca="1" si="35"/>
        <v/>
      </c>
      <c r="R204" s="194">
        <v>1</v>
      </c>
      <c r="S204" s="182" t="str" cm="1">
        <f t="array" aca="1" ref="S204" ca="1">IF(G204=0,"",IF(K204=1,"",INDEX(OFFSET(iWeights!$I$18,0,0,$E$13,1),$H204)))</f>
        <v/>
      </c>
      <c r="T204" s="183" t="str">
        <f t="shared" ca="1" si="36"/>
        <v/>
      </c>
      <c r="U204" s="37"/>
      <c r="V204" s="37"/>
      <c r="W204" s="37"/>
      <c r="X204" s="37"/>
      <c r="Y204" s="37"/>
    </row>
    <row r="205" spans="1:25" ht="17.5" customHeight="1" x14ac:dyDescent="0.35">
      <c r="A205" s="178" t="str">
        <f t="shared" ca="1" si="37"/>
        <v>H</v>
      </c>
      <c r="B205" s="37"/>
      <c r="C205" s="37"/>
      <c r="D205" s="37"/>
      <c r="E205" s="37"/>
      <c r="F205" s="37">
        <v>169</v>
      </c>
      <c r="G205" s="39" cm="1">
        <f t="array" aca="1" ref="G205" ca="1">IFERROR(INDEX(OFFSET(auto_ss_All_Scoring,0,1,500,1),F205),0)</f>
        <v>0</v>
      </c>
      <c r="H205" s="39">
        <f ca="1">IF(G205=0,0,MATCH(G205,OFFSET(iWeights!$B$18,0,0,$E$13,1),0))</f>
        <v>0</v>
      </c>
      <c r="I205" s="39" cm="1">
        <f t="array" aca="1" ref="I205" ca="1">IF(G205=0,0,INDEX(OFFSET(iWeights!$F$18,0,0,$E$13,1),H205))</f>
        <v>0</v>
      </c>
      <c r="J205" s="39" cm="1">
        <f t="array" aca="1" ref="J205" ca="1">IF(G205=0,0,INDEX(OFFSET(iWeights!$G$18,0,0,$E$13,1),H205))</f>
        <v>0</v>
      </c>
      <c r="K205" s="39" t="str" cm="1">
        <f t="array" aca="1" ref="K205" ca="1">IF(G205=0,"",INDEX(auto_Series_Depth,G205))</f>
        <v/>
      </c>
      <c r="L205" s="179">
        <f t="shared" ca="1" si="31"/>
        <v>0</v>
      </c>
      <c r="M205" s="180">
        <f t="shared" ca="1" si="32"/>
        <v>1</v>
      </c>
      <c r="N205" s="181" t="str" cm="1">
        <f t="array" aca="1" ref="N205" ca="1">IF(G205=0,"",CONCATENATE(IF($K205&gt;=4,"    ",""),INDEX(auto_Series_NameNumbered,G205)))</f>
        <v/>
      </c>
      <c r="O205" s="181" t="str">
        <f t="shared" ca="1" si="33"/>
        <v/>
      </c>
      <c r="P205" s="182" t="str">
        <f t="shared" ca="1" si="34"/>
        <v/>
      </c>
      <c r="Q205" s="183" t="str">
        <f t="shared" ca="1" si="35"/>
        <v/>
      </c>
      <c r="R205" s="194">
        <v>1</v>
      </c>
      <c r="S205" s="182" t="str" cm="1">
        <f t="array" aca="1" ref="S205" ca="1">IF(G205=0,"",IF(K205=1,"",INDEX(OFFSET(iWeights!$I$18,0,0,$E$13,1),$H205)))</f>
        <v/>
      </c>
      <c r="T205" s="183" t="str">
        <f t="shared" ca="1" si="36"/>
        <v/>
      </c>
      <c r="U205" s="37"/>
      <c r="V205" s="37"/>
      <c r="W205" s="37"/>
      <c r="X205" s="37"/>
      <c r="Y205" s="37"/>
    </row>
    <row r="206" spans="1:25" ht="17.5" customHeight="1" x14ac:dyDescent="0.35">
      <c r="A206" s="178" t="str">
        <f t="shared" ca="1" si="37"/>
        <v>H</v>
      </c>
      <c r="B206" s="37"/>
      <c r="C206" s="37"/>
      <c r="D206" s="37"/>
      <c r="E206" s="37"/>
      <c r="F206" s="37">
        <v>170</v>
      </c>
      <c r="G206" s="39" cm="1">
        <f t="array" aca="1" ref="G206" ca="1">IFERROR(INDEX(OFFSET(auto_ss_All_Scoring,0,1,500,1),F206),0)</f>
        <v>0</v>
      </c>
      <c r="H206" s="39">
        <f ca="1">IF(G206=0,0,MATCH(G206,OFFSET(iWeights!$B$18,0,0,$E$13,1),0))</f>
        <v>0</v>
      </c>
      <c r="I206" s="39" cm="1">
        <f t="array" aca="1" ref="I206" ca="1">IF(G206=0,0,INDEX(OFFSET(iWeights!$F$18,0,0,$E$13,1),H206))</f>
        <v>0</v>
      </c>
      <c r="J206" s="39" cm="1">
        <f t="array" aca="1" ref="J206" ca="1">IF(G206=0,0,INDEX(OFFSET(iWeights!$G$18,0,0,$E$13,1),H206))</f>
        <v>0</v>
      </c>
      <c r="K206" s="39" t="str" cm="1">
        <f t="array" aca="1" ref="K206" ca="1">IF(G206=0,"",INDEX(auto_Series_Depth,G206))</f>
        <v/>
      </c>
      <c r="L206" s="179">
        <f t="shared" ca="1" si="31"/>
        <v>0</v>
      </c>
      <c r="M206" s="180">
        <f t="shared" ca="1" si="32"/>
        <v>1</v>
      </c>
      <c r="N206" s="181" t="str" cm="1">
        <f t="array" aca="1" ref="N206" ca="1">IF(G206=0,"",CONCATENATE(IF($K206&gt;=4,"    ",""),INDEX(auto_Series_NameNumbered,G206)))</f>
        <v/>
      </c>
      <c r="O206" s="181" t="str">
        <f t="shared" ca="1" si="33"/>
        <v/>
      </c>
      <c r="P206" s="182" t="str">
        <f t="shared" ca="1" si="34"/>
        <v/>
      </c>
      <c r="Q206" s="183" t="str">
        <f t="shared" ca="1" si="35"/>
        <v/>
      </c>
      <c r="R206" s="194">
        <v>1</v>
      </c>
      <c r="S206" s="182" t="str" cm="1">
        <f t="array" aca="1" ref="S206" ca="1">IF(G206=0,"",IF(K206=1,"",INDEX(OFFSET(iWeights!$I$18,0,0,$E$13,1),$H206)))</f>
        <v/>
      </c>
      <c r="T206" s="183" t="str">
        <f t="shared" ca="1" si="36"/>
        <v/>
      </c>
      <c r="U206" s="37"/>
      <c r="V206" s="37"/>
      <c r="W206" s="37"/>
      <c r="X206" s="37"/>
      <c r="Y206" s="37"/>
    </row>
    <row r="207" spans="1:25" ht="17.5" customHeight="1" x14ac:dyDescent="0.35">
      <c r="A207" s="178" t="str">
        <f t="shared" ca="1" si="37"/>
        <v>H</v>
      </c>
      <c r="B207" s="37"/>
      <c r="C207" s="37"/>
      <c r="D207" s="37"/>
      <c r="E207" s="37"/>
      <c r="F207" s="37">
        <v>171</v>
      </c>
      <c r="G207" s="39" cm="1">
        <f t="array" aca="1" ref="G207" ca="1">IFERROR(INDEX(OFFSET(auto_ss_All_Scoring,0,1,500,1),F207),0)</f>
        <v>0</v>
      </c>
      <c r="H207" s="39">
        <f ca="1">IF(G207=0,0,MATCH(G207,OFFSET(iWeights!$B$18,0,0,$E$13,1),0))</f>
        <v>0</v>
      </c>
      <c r="I207" s="39" cm="1">
        <f t="array" aca="1" ref="I207" ca="1">IF(G207=0,0,INDEX(OFFSET(iWeights!$F$18,0,0,$E$13,1),H207))</f>
        <v>0</v>
      </c>
      <c r="J207" s="39" cm="1">
        <f t="array" aca="1" ref="J207" ca="1">IF(G207=0,0,INDEX(OFFSET(iWeights!$G$18,0,0,$E$13,1),H207))</f>
        <v>0</v>
      </c>
      <c r="K207" s="39" t="str" cm="1">
        <f t="array" aca="1" ref="K207" ca="1">IF(G207=0,"",INDEX(auto_Series_Depth,G207))</f>
        <v/>
      </c>
      <c r="L207" s="179">
        <f t="shared" ca="1" si="31"/>
        <v>0</v>
      </c>
      <c r="M207" s="180">
        <f t="shared" ca="1" si="32"/>
        <v>1</v>
      </c>
      <c r="N207" s="181" t="str" cm="1">
        <f t="array" aca="1" ref="N207" ca="1">IF(G207=0,"",CONCATENATE(IF($K207&gt;=4,"    ",""),INDEX(auto_Series_NameNumbered,G207)))</f>
        <v/>
      </c>
      <c r="O207" s="181" t="str">
        <f t="shared" ca="1" si="33"/>
        <v/>
      </c>
      <c r="P207" s="182" t="str">
        <f t="shared" ca="1" si="34"/>
        <v/>
      </c>
      <c r="Q207" s="183" t="str">
        <f t="shared" ca="1" si="35"/>
        <v/>
      </c>
      <c r="R207" s="194">
        <v>1</v>
      </c>
      <c r="S207" s="182" t="str" cm="1">
        <f t="array" aca="1" ref="S207" ca="1">IF(G207=0,"",IF(K207=1,"",INDEX(OFFSET(iWeights!$I$18,0,0,$E$13,1),$H207)))</f>
        <v/>
      </c>
      <c r="T207" s="183" t="str">
        <f t="shared" ca="1" si="36"/>
        <v/>
      </c>
      <c r="U207" s="37"/>
      <c r="V207" s="37"/>
      <c r="W207" s="37"/>
      <c r="X207" s="37"/>
      <c r="Y207" s="37"/>
    </row>
    <row r="208" spans="1:25" ht="17.5" customHeight="1" x14ac:dyDescent="0.35">
      <c r="A208" s="178" t="str">
        <f t="shared" ca="1" si="37"/>
        <v>H</v>
      </c>
      <c r="B208" s="37"/>
      <c r="C208" s="37"/>
      <c r="D208" s="37"/>
      <c r="E208" s="37"/>
      <c r="F208" s="37">
        <v>172</v>
      </c>
      <c r="G208" s="39" cm="1">
        <f t="array" aca="1" ref="G208" ca="1">IFERROR(INDEX(OFFSET(auto_ss_All_Scoring,0,1,500,1),F208),0)</f>
        <v>0</v>
      </c>
      <c r="H208" s="39">
        <f ca="1">IF(G208=0,0,MATCH(G208,OFFSET(iWeights!$B$18,0,0,$E$13,1),0))</f>
        <v>0</v>
      </c>
      <c r="I208" s="39" cm="1">
        <f t="array" aca="1" ref="I208" ca="1">IF(G208=0,0,INDEX(OFFSET(iWeights!$F$18,0,0,$E$13,1),H208))</f>
        <v>0</v>
      </c>
      <c r="J208" s="39" cm="1">
        <f t="array" aca="1" ref="J208" ca="1">IF(G208=0,0,INDEX(OFFSET(iWeights!$G$18,0,0,$E$13,1),H208))</f>
        <v>0</v>
      </c>
      <c r="K208" s="39" t="str" cm="1">
        <f t="array" aca="1" ref="K208" ca="1">IF(G208=0,"",INDEX(auto_Series_Depth,G208))</f>
        <v/>
      </c>
      <c r="L208" s="179">
        <f t="shared" ca="1" si="31"/>
        <v>0</v>
      </c>
      <c r="M208" s="180">
        <f t="shared" ca="1" si="32"/>
        <v>1</v>
      </c>
      <c r="N208" s="181" t="str" cm="1">
        <f t="array" aca="1" ref="N208" ca="1">IF(G208=0,"",CONCATENATE(IF($K208&gt;=4,"    ",""),INDEX(auto_Series_NameNumbered,G208)))</f>
        <v/>
      </c>
      <c r="O208" s="181" t="str">
        <f t="shared" ca="1" si="33"/>
        <v/>
      </c>
      <c r="P208" s="182" t="str">
        <f t="shared" ca="1" si="34"/>
        <v/>
      </c>
      <c r="Q208" s="183" t="str">
        <f t="shared" ca="1" si="35"/>
        <v/>
      </c>
      <c r="R208" s="194">
        <v>1</v>
      </c>
      <c r="S208" s="182" t="str" cm="1">
        <f t="array" aca="1" ref="S208" ca="1">IF(G208=0,"",IF(K208=1,"",INDEX(OFFSET(iWeights!$I$18,0,0,$E$13,1),$H208)))</f>
        <v/>
      </c>
      <c r="T208" s="183" t="str">
        <f t="shared" ca="1" si="36"/>
        <v/>
      </c>
      <c r="U208" s="37"/>
      <c r="V208" s="37"/>
      <c r="W208" s="37"/>
      <c r="X208" s="37"/>
      <c r="Y208" s="37"/>
    </row>
    <row r="209" spans="1:25" ht="17.5" customHeight="1" x14ac:dyDescent="0.35">
      <c r="A209" s="178" t="str">
        <f t="shared" ca="1" si="37"/>
        <v>H</v>
      </c>
      <c r="B209" s="37"/>
      <c r="C209" s="37"/>
      <c r="D209" s="37"/>
      <c r="E209" s="37"/>
      <c r="F209" s="37">
        <v>173</v>
      </c>
      <c r="G209" s="39" cm="1">
        <f t="array" aca="1" ref="G209" ca="1">IFERROR(INDEX(OFFSET(auto_ss_All_Scoring,0,1,500,1),F209),0)</f>
        <v>0</v>
      </c>
      <c r="H209" s="39">
        <f ca="1">IF(G209=0,0,MATCH(G209,OFFSET(iWeights!$B$18,0,0,$E$13,1),0))</f>
        <v>0</v>
      </c>
      <c r="I209" s="39" cm="1">
        <f t="array" aca="1" ref="I209" ca="1">IF(G209=0,0,INDEX(OFFSET(iWeights!$F$18,0,0,$E$13,1),H209))</f>
        <v>0</v>
      </c>
      <c r="J209" s="39" cm="1">
        <f t="array" aca="1" ref="J209" ca="1">IF(G209=0,0,INDEX(OFFSET(iWeights!$G$18,0,0,$E$13,1),H209))</f>
        <v>0</v>
      </c>
      <c r="K209" s="39" t="str" cm="1">
        <f t="array" aca="1" ref="K209" ca="1">IF(G209=0,"",INDEX(auto_Series_Depth,G209))</f>
        <v/>
      </c>
      <c r="L209" s="179">
        <f t="shared" ca="1" si="31"/>
        <v>0</v>
      </c>
      <c r="M209" s="180">
        <f t="shared" ca="1" si="32"/>
        <v>1</v>
      </c>
      <c r="N209" s="181" t="str" cm="1">
        <f t="array" aca="1" ref="N209" ca="1">IF(G209=0,"",CONCATENATE(IF($K209&gt;=4,"    ",""),INDEX(auto_Series_NameNumbered,G209)))</f>
        <v/>
      </c>
      <c r="O209" s="181" t="str">
        <f t="shared" ca="1" si="33"/>
        <v/>
      </c>
      <c r="P209" s="182" t="str">
        <f t="shared" ca="1" si="34"/>
        <v/>
      </c>
      <c r="Q209" s="183" t="str">
        <f t="shared" ca="1" si="35"/>
        <v/>
      </c>
      <c r="R209" s="194">
        <v>1</v>
      </c>
      <c r="S209" s="182" t="str" cm="1">
        <f t="array" aca="1" ref="S209" ca="1">IF(G209=0,"",IF(K209=1,"",INDEX(OFFSET(iWeights!$I$18,0,0,$E$13,1),$H209)))</f>
        <v/>
      </c>
      <c r="T209" s="183" t="str">
        <f t="shared" ca="1" si="36"/>
        <v/>
      </c>
      <c r="U209" s="37"/>
      <c r="V209" s="37"/>
      <c r="W209" s="37"/>
      <c r="X209" s="37"/>
      <c r="Y209" s="37"/>
    </row>
    <row r="210" spans="1:25" ht="17.5" customHeight="1" x14ac:dyDescent="0.35">
      <c r="A210" s="178" t="str">
        <f t="shared" ca="1" si="37"/>
        <v>H</v>
      </c>
      <c r="B210" s="37"/>
      <c r="C210" s="37"/>
      <c r="D210" s="37"/>
      <c r="E210" s="37"/>
      <c r="F210" s="37">
        <v>174</v>
      </c>
      <c r="G210" s="39" cm="1">
        <f t="array" aca="1" ref="G210" ca="1">IFERROR(INDEX(OFFSET(auto_ss_All_Scoring,0,1,500,1),F210),0)</f>
        <v>0</v>
      </c>
      <c r="H210" s="39">
        <f ca="1">IF(G210=0,0,MATCH(G210,OFFSET(iWeights!$B$18,0,0,$E$13,1),0))</f>
        <v>0</v>
      </c>
      <c r="I210" s="39" cm="1">
        <f t="array" aca="1" ref="I210" ca="1">IF(G210=0,0,INDEX(OFFSET(iWeights!$F$18,0,0,$E$13,1),H210))</f>
        <v>0</v>
      </c>
      <c r="J210" s="39" cm="1">
        <f t="array" aca="1" ref="J210" ca="1">IF(G210=0,0,INDEX(OFFSET(iWeights!$G$18,0,0,$E$13,1),H210))</f>
        <v>0</v>
      </c>
      <c r="K210" s="39" t="str" cm="1">
        <f t="array" aca="1" ref="K210" ca="1">IF(G210=0,"",INDEX(auto_Series_Depth,G210))</f>
        <v/>
      </c>
      <c r="L210" s="179">
        <f t="shared" ca="1" si="31"/>
        <v>0</v>
      </c>
      <c r="M210" s="180">
        <f t="shared" ca="1" si="32"/>
        <v>1</v>
      </c>
      <c r="N210" s="181" t="str" cm="1">
        <f t="array" aca="1" ref="N210" ca="1">IF(G210=0,"",CONCATENATE(IF($K210&gt;=4,"    ",""),INDEX(auto_Series_NameNumbered,G210)))</f>
        <v/>
      </c>
      <c r="O210" s="181" t="str">
        <f t="shared" ca="1" si="33"/>
        <v/>
      </c>
      <c r="P210" s="182" t="str">
        <f t="shared" ca="1" si="34"/>
        <v/>
      </c>
      <c r="Q210" s="183" t="str">
        <f t="shared" ca="1" si="35"/>
        <v/>
      </c>
      <c r="R210" s="194">
        <v>1</v>
      </c>
      <c r="S210" s="182" t="str" cm="1">
        <f t="array" aca="1" ref="S210" ca="1">IF(G210=0,"",IF(K210=1,"",INDEX(OFFSET(iWeights!$I$18,0,0,$E$13,1),$H210)))</f>
        <v/>
      </c>
      <c r="T210" s="183" t="str">
        <f t="shared" ca="1" si="36"/>
        <v/>
      </c>
      <c r="U210" s="37"/>
      <c r="V210" s="37"/>
      <c r="W210" s="37"/>
      <c r="X210" s="37"/>
      <c r="Y210" s="37"/>
    </row>
    <row r="211" spans="1:25" ht="17.5" customHeight="1" x14ac:dyDescent="0.35">
      <c r="A211" s="178" t="str">
        <f t="shared" ca="1" si="37"/>
        <v>H</v>
      </c>
      <c r="B211" s="37"/>
      <c r="C211" s="37"/>
      <c r="D211" s="37"/>
      <c r="E211" s="37"/>
      <c r="F211" s="37">
        <v>175</v>
      </c>
      <c r="G211" s="39" cm="1">
        <f t="array" aca="1" ref="G211" ca="1">IFERROR(INDEX(OFFSET(auto_ss_All_Scoring,0,1,500,1),F211),0)</f>
        <v>0</v>
      </c>
      <c r="H211" s="39">
        <f ca="1">IF(G211=0,0,MATCH(G211,OFFSET(iWeights!$B$18,0,0,$E$13,1),0))</f>
        <v>0</v>
      </c>
      <c r="I211" s="39" cm="1">
        <f t="array" aca="1" ref="I211" ca="1">IF(G211=0,0,INDEX(OFFSET(iWeights!$F$18,0,0,$E$13,1),H211))</f>
        <v>0</v>
      </c>
      <c r="J211" s="39" cm="1">
        <f t="array" aca="1" ref="J211" ca="1">IF(G211=0,0,INDEX(OFFSET(iWeights!$G$18,0,0,$E$13,1),H211))</f>
        <v>0</v>
      </c>
      <c r="K211" s="39" t="str" cm="1">
        <f t="array" aca="1" ref="K211" ca="1">IF(G211=0,"",INDEX(auto_Series_Depth,G211))</f>
        <v/>
      </c>
      <c r="L211" s="179">
        <f t="shared" ca="1" si="31"/>
        <v>0</v>
      </c>
      <c r="M211" s="180">
        <f t="shared" ca="1" si="32"/>
        <v>1</v>
      </c>
      <c r="N211" s="181" t="str" cm="1">
        <f t="array" aca="1" ref="N211" ca="1">IF(G211=0,"",CONCATENATE(IF($K211&gt;=4,"    ",""),INDEX(auto_Series_NameNumbered,G211)))</f>
        <v/>
      </c>
      <c r="O211" s="181" t="str">
        <f t="shared" ca="1" si="33"/>
        <v/>
      </c>
      <c r="P211" s="182" t="str">
        <f t="shared" ca="1" si="34"/>
        <v/>
      </c>
      <c r="Q211" s="183" t="str">
        <f t="shared" ca="1" si="35"/>
        <v/>
      </c>
      <c r="R211" s="194">
        <v>1</v>
      </c>
      <c r="S211" s="182" t="str" cm="1">
        <f t="array" aca="1" ref="S211" ca="1">IF(G211=0,"",IF(K211=1,"",INDEX(OFFSET(iWeights!$I$18,0,0,$E$13,1),$H211)))</f>
        <v/>
      </c>
      <c r="T211" s="183" t="str">
        <f t="shared" ca="1" si="36"/>
        <v/>
      </c>
      <c r="U211" s="37"/>
      <c r="V211" s="37"/>
      <c r="W211" s="37"/>
      <c r="X211" s="37"/>
      <c r="Y211" s="37"/>
    </row>
    <row r="212" spans="1:25" ht="17.5" customHeight="1" x14ac:dyDescent="0.35">
      <c r="A212" s="178" t="str">
        <f t="shared" ca="1" si="37"/>
        <v>H</v>
      </c>
      <c r="B212" s="37"/>
      <c r="C212" s="37"/>
      <c r="D212" s="37"/>
      <c r="E212" s="37"/>
      <c r="F212" s="37">
        <v>176</v>
      </c>
      <c r="G212" s="39" cm="1">
        <f t="array" aca="1" ref="G212" ca="1">IFERROR(INDEX(OFFSET(auto_ss_All_Scoring,0,1,500,1),F212),0)</f>
        <v>0</v>
      </c>
      <c r="H212" s="39">
        <f ca="1">IF(G212=0,0,MATCH(G212,OFFSET(iWeights!$B$18,0,0,$E$13,1),0))</f>
        <v>0</v>
      </c>
      <c r="I212" s="39" cm="1">
        <f t="array" aca="1" ref="I212" ca="1">IF(G212=0,0,INDEX(OFFSET(iWeights!$F$18,0,0,$E$13,1),H212))</f>
        <v>0</v>
      </c>
      <c r="J212" s="39" cm="1">
        <f t="array" aca="1" ref="J212" ca="1">IF(G212=0,0,INDEX(OFFSET(iWeights!$G$18,0,0,$E$13,1),H212))</f>
        <v>0</v>
      </c>
      <c r="K212" s="39" t="str" cm="1">
        <f t="array" aca="1" ref="K212" ca="1">IF(G212=0,"",INDEX(auto_Series_Depth,G212))</f>
        <v/>
      </c>
      <c r="L212" s="179">
        <f t="shared" ca="1" si="31"/>
        <v>0</v>
      </c>
      <c r="M212" s="180">
        <f t="shared" ca="1" si="32"/>
        <v>1</v>
      </c>
      <c r="N212" s="181" t="str" cm="1">
        <f t="array" aca="1" ref="N212" ca="1">IF(G212=0,"",CONCATENATE(IF($K212&gt;=4,"    ",""),INDEX(auto_Series_NameNumbered,G212)))</f>
        <v/>
      </c>
      <c r="O212" s="181" t="str">
        <f t="shared" ca="1" si="33"/>
        <v/>
      </c>
      <c r="P212" s="182" t="str">
        <f t="shared" ca="1" si="34"/>
        <v/>
      </c>
      <c r="Q212" s="183" t="str">
        <f t="shared" ca="1" si="35"/>
        <v/>
      </c>
      <c r="R212" s="194">
        <v>1</v>
      </c>
      <c r="S212" s="182" t="str" cm="1">
        <f t="array" aca="1" ref="S212" ca="1">IF(G212=0,"",IF(K212=1,"",INDEX(OFFSET(iWeights!$I$18,0,0,$E$13,1),$H212)))</f>
        <v/>
      </c>
      <c r="T212" s="183" t="str">
        <f t="shared" ca="1" si="36"/>
        <v/>
      </c>
      <c r="U212" s="37"/>
      <c r="V212" s="37"/>
      <c r="W212" s="37"/>
      <c r="X212" s="37"/>
      <c r="Y212" s="37"/>
    </row>
    <row r="213" spans="1:25" ht="17.5" customHeight="1" x14ac:dyDescent="0.35">
      <c r="A213" s="178" t="str">
        <f t="shared" ca="1" si="37"/>
        <v>H</v>
      </c>
      <c r="B213" s="37"/>
      <c r="C213" s="37"/>
      <c r="D213" s="37"/>
      <c r="E213" s="37"/>
      <c r="F213" s="37">
        <v>177</v>
      </c>
      <c r="G213" s="39" cm="1">
        <f t="array" aca="1" ref="G213" ca="1">IFERROR(INDEX(OFFSET(auto_ss_All_Scoring,0,1,500,1),F213),0)</f>
        <v>0</v>
      </c>
      <c r="H213" s="39">
        <f ca="1">IF(G213=0,0,MATCH(G213,OFFSET(iWeights!$B$18,0,0,$E$13,1),0))</f>
        <v>0</v>
      </c>
      <c r="I213" s="39" cm="1">
        <f t="array" aca="1" ref="I213" ca="1">IF(G213=0,0,INDEX(OFFSET(iWeights!$F$18,0,0,$E$13,1),H213))</f>
        <v>0</v>
      </c>
      <c r="J213" s="39" cm="1">
        <f t="array" aca="1" ref="J213" ca="1">IF(G213=0,0,INDEX(OFFSET(iWeights!$G$18,0,0,$E$13,1),H213))</f>
        <v>0</v>
      </c>
      <c r="K213" s="39" t="str" cm="1">
        <f t="array" aca="1" ref="K213" ca="1">IF(G213=0,"",INDEX(auto_Series_Depth,G213))</f>
        <v/>
      </c>
      <c r="L213" s="179">
        <f t="shared" ref="L213:L222" ca="1" si="38">IFERROR(IF(K213=1,0,IF(NOT(ISNUMBER(R213)),1,0)),1)</f>
        <v>0</v>
      </c>
      <c r="M213" s="180">
        <f t="shared" ref="M213:M222" ca="1" si="39">IF(L213=1,0,R213)</f>
        <v>1</v>
      </c>
      <c r="N213" s="181" t="str" cm="1">
        <f t="array" aca="1" ref="N213" ca="1">IF(G213=0,"",CONCATENATE(IF($K213&gt;=4,"    ",""),INDEX(auto_Series_NameNumbered,G213)))</f>
        <v/>
      </c>
      <c r="O213" s="181" t="str">
        <f t="shared" ref="O213:O222" ca="1" si="40">IF(G213=0,"",IF(K213=1,"",I213))</f>
        <v/>
      </c>
      <c r="P213" s="182" t="str">
        <f t="shared" ref="P213:P222" ca="1" si="41">IF(G213=0,"",IF(K213=1,"",J213))</f>
        <v/>
      </c>
      <c r="Q213" s="183" t="str">
        <f t="shared" ref="Q213:Q222" ca="1" si="42">IF($G213=0,"",IF($K213=1,"",REPT("|",P213*40)))</f>
        <v/>
      </c>
      <c r="R213" s="194">
        <v>1</v>
      </c>
      <c r="S213" s="182" t="str" cm="1">
        <f t="array" aca="1" ref="S213" ca="1">IF(G213=0,"",IF(K213=1,"",INDEX(OFFSET(iWeights!$I$18,0,0,$E$13,1),$H213)))</f>
        <v/>
      </c>
      <c r="T213" s="183" t="str">
        <f t="shared" ref="T213:T222" ca="1" si="43">IF($G213=0,"",IF($K213=1,"",REPT("|",S213*40)))</f>
        <v/>
      </c>
      <c r="U213" s="37"/>
      <c r="V213" s="37"/>
      <c r="W213" s="37"/>
      <c r="X213" s="37"/>
      <c r="Y213" s="37"/>
    </row>
    <row r="214" spans="1:25" ht="17.5" customHeight="1" x14ac:dyDescent="0.35">
      <c r="A214" s="178" t="str">
        <f t="shared" ca="1" si="37"/>
        <v>H</v>
      </c>
      <c r="B214" s="37"/>
      <c r="C214" s="37"/>
      <c r="D214" s="37"/>
      <c r="E214" s="37"/>
      <c r="F214" s="37">
        <v>178</v>
      </c>
      <c r="G214" s="39" cm="1">
        <f t="array" aca="1" ref="G214" ca="1">IFERROR(INDEX(OFFSET(auto_ss_All_Scoring,0,1,500,1),F214),0)</f>
        <v>0</v>
      </c>
      <c r="H214" s="39">
        <f ca="1">IF(G214=0,0,MATCH(G214,OFFSET(iWeights!$B$18,0,0,$E$13,1),0))</f>
        <v>0</v>
      </c>
      <c r="I214" s="39" cm="1">
        <f t="array" aca="1" ref="I214" ca="1">IF(G214=0,0,INDEX(OFFSET(iWeights!$F$18,0,0,$E$13,1),H214))</f>
        <v>0</v>
      </c>
      <c r="J214" s="39" cm="1">
        <f t="array" aca="1" ref="J214" ca="1">IF(G214=0,0,INDEX(OFFSET(iWeights!$G$18,0,0,$E$13,1),H214))</f>
        <v>0</v>
      </c>
      <c r="K214" s="39" t="str" cm="1">
        <f t="array" aca="1" ref="K214" ca="1">IF(G214=0,"",INDEX(auto_Series_Depth,G214))</f>
        <v/>
      </c>
      <c r="L214" s="179">
        <f t="shared" ca="1" si="38"/>
        <v>0</v>
      </c>
      <c r="M214" s="180">
        <f t="shared" ca="1" si="39"/>
        <v>1</v>
      </c>
      <c r="N214" s="181" t="str" cm="1">
        <f t="array" aca="1" ref="N214" ca="1">IF(G214=0,"",CONCATENATE(IF($K214&gt;=4,"    ",""),INDEX(auto_Series_NameNumbered,G214)))</f>
        <v/>
      </c>
      <c r="O214" s="181" t="str">
        <f t="shared" ca="1" si="40"/>
        <v/>
      </c>
      <c r="P214" s="182" t="str">
        <f t="shared" ca="1" si="41"/>
        <v/>
      </c>
      <c r="Q214" s="183" t="str">
        <f t="shared" ca="1" si="42"/>
        <v/>
      </c>
      <c r="R214" s="194">
        <v>1</v>
      </c>
      <c r="S214" s="182" t="str" cm="1">
        <f t="array" aca="1" ref="S214" ca="1">IF(G214=0,"",IF(K214=1,"",INDEX(OFFSET(iWeights!$I$18,0,0,$E$13,1),$H214)))</f>
        <v/>
      </c>
      <c r="T214" s="183" t="str">
        <f t="shared" ca="1" si="43"/>
        <v/>
      </c>
      <c r="U214" s="37"/>
      <c r="V214" s="37"/>
      <c r="W214" s="37"/>
      <c r="X214" s="37"/>
      <c r="Y214" s="37"/>
    </row>
    <row r="215" spans="1:25" ht="17.5" customHeight="1" x14ac:dyDescent="0.35">
      <c r="A215" s="178" t="str">
        <f t="shared" ca="1" si="37"/>
        <v>H</v>
      </c>
      <c r="B215" s="37"/>
      <c r="C215" s="37"/>
      <c r="D215" s="37"/>
      <c r="E215" s="37"/>
      <c r="F215" s="37">
        <v>179</v>
      </c>
      <c r="G215" s="39" cm="1">
        <f t="array" aca="1" ref="G215" ca="1">IFERROR(INDEX(OFFSET(auto_ss_All_Scoring,0,1,500,1),F215),0)</f>
        <v>0</v>
      </c>
      <c r="H215" s="39">
        <f ca="1">IF(G215=0,0,MATCH(G215,OFFSET(iWeights!$B$18,0,0,$E$13,1),0))</f>
        <v>0</v>
      </c>
      <c r="I215" s="39" cm="1">
        <f t="array" aca="1" ref="I215" ca="1">IF(G215=0,0,INDEX(OFFSET(iWeights!$F$18,0,0,$E$13,1),H215))</f>
        <v>0</v>
      </c>
      <c r="J215" s="39" cm="1">
        <f t="array" aca="1" ref="J215" ca="1">IF(G215=0,0,INDEX(OFFSET(iWeights!$G$18,0,0,$E$13,1),H215))</f>
        <v>0</v>
      </c>
      <c r="K215" s="39" t="str" cm="1">
        <f t="array" aca="1" ref="K215" ca="1">IF(G215=0,"",INDEX(auto_Series_Depth,G215))</f>
        <v/>
      </c>
      <c r="L215" s="179">
        <f t="shared" ca="1" si="38"/>
        <v>0</v>
      </c>
      <c r="M215" s="180">
        <f t="shared" ca="1" si="39"/>
        <v>1</v>
      </c>
      <c r="N215" s="181" t="str" cm="1">
        <f t="array" aca="1" ref="N215" ca="1">IF(G215=0,"",CONCATENATE(IF($K215&gt;=4,"    ",""),INDEX(auto_Series_NameNumbered,G215)))</f>
        <v/>
      </c>
      <c r="O215" s="181" t="str">
        <f t="shared" ca="1" si="40"/>
        <v/>
      </c>
      <c r="P215" s="182" t="str">
        <f t="shared" ca="1" si="41"/>
        <v/>
      </c>
      <c r="Q215" s="183" t="str">
        <f t="shared" ca="1" si="42"/>
        <v/>
      </c>
      <c r="R215" s="194">
        <v>1</v>
      </c>
      <c r="S215" s="182" t="str" cm="1">
        <f t="array" aca="1" ref="S215" ca="1">IF(G215=0,"",IF(K215=1,"",INDEX(OFFSET(iWeights!$I$18,0,0,$E$13,1),$H215)))</f>
        <v/>
      </c>
      <c r="T215" s="183" t="str">
        <f t="shared" ca="1" si="43"/>
        <v/>
      </c>
      <c r="U215" s="37"/>
      <c r="V215" s="37"/>
      <c r="W215" s="37"/>
      <c r="X215" s="37"/>
      <c r="Y215" s="37"/>
    </row>
    <row r="216" spans="1:25" ht="17.5" customHeight="1" x14ac:dyDescent="0.35">
      <c r="A216" s="178" t="str">
        <f t="shared" ca="1" si="37"/>
        <v>H</v>
      </c>
      <c r="B216" s="37"/>
      <c r="C216" s="37"/>
      <c r="D216" s="37"/>
      <c r="E216" s="37"/>
      <c r="F216" s="37">
        <v>180</v>
      </c>
      <c r="G216" s="39" cm="1">
        <f t="array" aca="1" ref="G216" ca="1">IFERROR(INDEX(OFFSET(auto_ss_All_Scoring,0,1,500,1),F216),0)</f>
        <v>0</v>
      </c>
      <c r="H216" s="39">
        <f ca="1">IF(G216=0,0,MATCH(G216,OFFSET(iWeights!$B$18,0,0,$E$13,1),0))</f>
        <v>0</v>
      </c>
      <c r="I216" s="39" cm="1">
        <f t="array" aca="1" ref="I216" ca="1">IF(G216=0,0,INDEX(OFFSET(iWeights!$F$18,0,0,$E$13,1),H216))</f>
        <v>0</v>
      </c>
      <c r="J216" s="39" cm="1">
        <f t="array" aca="1" ref="J216" ca="1">IF(G216=0,0,INDEX(OFFSET(iWeights!$G$18,0,0,$E$13,1),H216))</f>
        <v>0</v>
      </c>
      <c r="K216" s="39" t="str" cm="1">
        <f t="array" aca="1" ref="K216" ca="1">IF(G216=0,"",INDEX(auto_Series_Depth,G216))</f>
        <v/>
      </c>
      <c r="L216" s="179">
        <f t="shared" ca="1" si="38"/>
        <v>0</v>
      </c>
      <c r="M216" s="180">
        <f t="shared" ca="1" si="39"/>
        <v>1</v>
      </c>
      <c r="N216" s="181" t="str" cm="1">
        <f t="array" aca="1" ref="N216" ca="1">IF(G216=0,"",CONCATENATE(IF($K216&gt;=4,"    ",""),INDEX(auto_Series_NameNumbered,G216)))</f>
        <v/>
      </c>
      <c r="O216" s="181" t="str">
        <f t="shared" ca="1" si="40"/>
        <v/>
      </c>
      <c r="P216" s="182" t="str">
        <f t="shared" ca="1" si="41"/>
        <v/>
      </c>
      <c r="Q216" s="183" t="str">
        <f t="shared" ca="1" si="42"/>
        <v/>
      </c>
      <c r="R216" s="194">
        <v>1</v>
      </c>
      <c r="S216" s="182" t="str" cm="1">
        <f t="array" aca="1" ref="S216" ca="1">IF(G216=0,"",IF(K216=1,"",INDEX(OFFSET(iWeights!$I$18,0,0,$E$13,1),$H216)))</f>
        <v/>
      </c>
      <c r="T216" s="183" t="str">
        <f t="shared" ca="1" si="43"/>
        <v/>
      </c>
      <c r="U216" s="37"/>
      <c r="V216" s="37"/>
      <c r="W216" s="37"/>
      <c r="X216" s="37"/>
      <c r="Y216" s="37"/>
    </row>
    <row r="217" spans="1:25" ht="17.5" customHeight="1" x14ac:dyDescent="0.35">
      <c r="A217" s="178" t="str">
        <f t="shared" ca="1" si="37"/>
        <v>H</v>
      </c>
      <c r="B217" s="37"/>
      <c r="C217" s="37"/>
      <c r="D217" s="37"/>
      <c r="E217" s="37"/>
      <c r="F217" s="37">
        <v>181</v>
      </c>
      <c r="G217" s="39" cm="1">
        <f t="array" aca="1" ref="G217" ca="1">IFERROR(INDEX(OFFSET(auto_ss_All_Scoring,0,1,500,1),F217),0)</f>
        <v>0</v>
      </c>
      <c r="H217" s="39">
        <f ca="1">IF(G217=0,0,MATCH(G217,OFFSET(iWeights!$B$18,0,0,$E$13,1),0))</f>
        <v>0</v>
      </c>
      <c r="I217" s="39" cm="1">
        <f t="array" aca="1" ref="I217" ca="1">IF(G217=0,0,INDEX(OFFSET(iWeights!$F$18,0,0,$E$13,1),H217))</f>
        <v>0</v>
      </c>
      <c r="J217" s="39" cm="1">
        <f t="array" aca="1" ref="J217" ca="1">IF(G217=0,0,INDEX(OFFSET(iWeights!$G$18,0,0,$E$13,1),H217))</f>
        <v>0</v>
      </c>
      <c r="K217" s="39" t="str" cm="1">
        <f t="array" aca="1" ref="K217" ca="1">IF(G217=0,"",INDEX(auto_Series_Depth,G217))</f>
        <v/>
      </c>
      <c r="L217" s="179">
        <f t="shared" ca="1" si="38"/>
        <v>0</v>
      </c>
      <c r="M217" s="180">
        <f t="shared" ca="1" si="39"/>
        <v>1</v>
      </c>
      <c r="N217" s="181" t="str" cm="1">
        <f t="array" aca="1" ref="N217" ca="1">IF(G217=0,"",CONCATENATE(IF($K217&gt;=4,"    ",""),INDEX(auto_Series_NameNumbered,G217)))</f>
        <v/>
      </c>
      <c r="O217" s="181" t="str">
        <f t="shared" ca="1" si="40"/>
        <v/>
      </c>
      <c r="P217" s="182" t="str">
        <f t="shared" ca="1" si="41"/>
        <v/>
      </c>
      <c r="Q217" s="183" t="str">
        <f t="shared" ca="1" si="42"/>
        <v/>
      </c>
      <c r="R217" s="194">
        <v>1</v>
      </c>
      <c r="S217" s="182" t="str" cm="1">
        <f t="array" aca="1" ref="S217" ca="1">IF(G217=0,"",IF(K217=1,"",INDEX(OFFSET(iWeights!$I$18,0,0,$E$13,1),$H217)))</f>
        <v/>
      </c>
      <c r="T217" s="183" t="str">
        <f t="shared" ca="1" si="43"/>
        <v/>
      </c>
      <c r="U217" s="37"/>
      <c r="V217" s="37"/>
      <c r="W217" s="37"/>
      <c r="X217" s="37"/>
      <c r="Y217" s="37"/>
    </row>
    <row r="218" spans="1:25" ht="17.5" customHeight="1" x14ac:dyDescent="0.35">
      <c r="A218" s="178" t="str">
        <f t="shared" ca="1" si="37"/>
        <v>H</v>
      </c>
      <c r="B218" s="37"/>
      <c r="C218" s="37"/>
      <c r="D218" s="37"/>
      <c r="E218" s="37"/>
      <c r="F218" s="37">
        <v>182</v>
      </c>
      <c r="G218" s="39" cm="1">
        <f t="array" aca="1" ref="G218" ca="1">IFERROR(INDEX(OFFSET(auto_ss_All_Scoring,0,1,500,1),F218),0)</f>
        <v>0</v>
      </c>
      <c r="H218" s="39">
        <f ca="1">IF(G218=0,0,MATCH(G218,OFFSET(iWeights!$B$18,0,0,$E$13,1),0))</f>
        <v>0</v>
      </c>
      <c r="I218" s="39" cm="1">
        <f t="array" aca="1" ref="I218" ca="1">IF(G218=0,0,INDEX(OFFSET(iWeights!$F$18,0,0,$E$13,1),H218))</f>
        <v>0</v>
      </c>
      <c r="J218" s="39" cm="1">
        <f t="array" aca="1" ref="J218" ca="1">IF(G218=0,0,INDEX(OFFSET(iWeights!$G$18,0,0,$E$13,1),H218))</f>
        <v>0</v>
      </c>
      <c r="K218" s="39" t="str" cm="1">
        <f t="array" aca="1" ref="K218" ca="1">IF(G218=0,"",INDEX(auto_Series_Depth,G218))</f>
        <v/>
      </c>
      <c r="L218" s="179">
        <f t="shared" ca="1" si="38"/>
        <v>0</v>
      </c>
      <c r="M218" s="180">
        <f t="shared" ca="1" si="39"/>
        <v>1</v>
      </c>
      <c r="N218" s="181" t="str" cm="1">
        <f t="array" aca="1" ref="N218" ca="1">IF(G218=0,"",CONCATENATE(IF($K218&gt;=4,"    ",""),INDEX(auto_Series_NameNumbered,G218)))</f>
        <v/>
      </c>
      <c r="O218" s="181" t="str">
        <f t="shared" ca="1" si="40"/>
        <v/>
      </c>
      <c r="P218" s="182" t="str">
        <f t="shared" ca="1" si="41"/>
        <v/>
      </c>
      <c r="Q218" s="183" t="str">
        <f t="shared" ca="1" si="42"/>
        <v/>
      </c>
      <c r="R218" s="194">
        <v>1</v>
      </c>
      <c r="S218" s="182" t="str" cm="1">
        <f t="array" aca="1" ref="S218" ca="1">IF(G218=0,"",IF(K218=1,"",INDEX(OFFSET(iWeights!$I$18,0,0,$E$13,1),$H218)))</f>
        <v/>
      </c>
      <c r="T218" s="183" t="str">
        <f t="shared" ca="1" si="43"/>
        <v/>
      </c>
      <c r="U218" s="37"/>
      <c r="V218" s="37"/>
      <c r="W218" s="37"/>
      <c r="X218" s="37"/>
      <c r="Y218" s="37"/>
    </row>
    <row r="219" spans="1:25" ht="17.5" customHeight="1" x14ac:dyDescent="0.35">
      <c r="A219" s="178" t="str">
        <f t="shared" ca="1" si="37"/>
        <v>H</v>
      </c>
      <c r="B219" s="37"/>
      <c r="C219" s="37"/>
      <c r="D219" s="37"/>
      <c r="E219" s="37"/>
      <c r="F219" s="37">
        <v>183</v>
      </c>
      <c r="G219" s="39" cm="1">
        <f t="array" aca="1" ref="G219" ca="1">IFERROR(INDEX(OFFSET(auto_ss_All_Scoring,0,1,500,1),F219),0)</f>
        <v>0</v>
      </c>
      <c r="H219" s="39">
        <f ca="1">IF(G219=0,0,MATCH(G219,OFFSET(iWeights!$B$18,0,0,$E$13,1),0))</f>
        <v>0</v>
      </c>
      <c r="I219" s="39" cm="1">
        <f t="array" aca="1" ref="I219" ca="1">IF(G219=0,0,INDEX(OFFSET(iWeights!$F$18,0,0,$E$13,1),H219))</f>
        <v>0</v>
      </c>
      <c r="J219" s="39" cm="1">
        <f t="array" aca="1" ref="J219" ca="1">IF(G219=0,0,INDEX(OFFSET(iWeights!$G$18,0,0,$E$13,1),H219))</f>
        <v>0</v>
      </c>
      <c r="K219" s="39" t="str" cm="1">
        <f t="array" aca="1" ref="K219" ca="1">IF(G219=0,"",INDEX(auto_Series_Depth,G219))</f>
        <v/>
      </c>
      <c r="L219" s="179">
        <f t="shared" ca="1" si="38"/>
        <v>0</v>
      </c>
      <c r="M219" s="180">
        <f t="shared" ca="1" si="39"/>
        <v>1</v>
      </c>
      <c r="N219" s="181" t="str" cm="1">
        <f t="array" aca="1" ref="N219" ca="1">IF(G219=0,"",CONCATENATE(IF($K219&gt;=4,"    ",""),INDEX(auto_Series_NameNumbered,G219)))</f>
        <v/>
      </c>
      <c r="O219" s="181" t="str">
        <f t="shared" ca="1" si="40"/>
        <v/>
      </c>
      <c r="P219" s="182" t="str">
        <f t="shared" ca="1" si="41"/>
        <v/>
      </c>
      <c r="Q219" s="183" t="str">
        <f t="shared" ca="1" si="42"/>
        <v/>
      </c>
      <c r="R219" s="194">
        <v>1</v>
      </c>
      <c r="S219" s="182" t="str" cm="1">
        <f t="array" aca="1" ref="S219" ca="1">IF(G219=0,"",IF(K219=1,"",INDEX(OFFSET(iWeights!$I$18,0,0,$E$13,1),$H219)))</f>
        <v/>
      </c>
      <c r="T219" s="183" t="str">
        <f t="shared" ca="1" si="43"/>
        <v/>
      </c>
      <c r="U219" s="37"/>
      <c r="V219" s="37"/>
      <c r="W219" s="37"/>
      <c r="X219" s="37"/>
      <c r="Y219" s="37"/>
    </row>
    <row r="220" spans="1:25" ht="17.5" customHeight="1" x14ac:dyDescent="0.35">
      <c r="A220" s="178" t="str">
        <f t="shared" ca="1" si="37"/>
        <v>H</v>
      </c>
      <c r="B220" s="37"/>
      <c r="C220" s="37"/>
      <c r="D220" s="37"/>
      <c r="E220" s="37"/>
      <c r="F220" s="37">
        <v>184</v>
      </c>
      <c r="G220" s="39" cm="1">
        <f t="array" aca="1" ref="G220" ca="1">IFERROR(INDEX(OFFSET(auto_ss_All_Scoring,0,1,500,1),F220),0)</f>
        <v>0</v>
      </c>
      <c r="H220" s="39">
        <f ca="1">IF(G220=0,0,MATCH(G220,OFFSET(iWeights!$B$18,0,0,$E$13,1),0))</f>
        <v>0</v>
      </c>
      <c r="I220" s="39" cm="1">
        <f t="array" aca="1" ref="I220" ca="1">IF(G220=0,0,INDEX(OFFSET(iWeights!$F$18,0,0,$E$13,1),H220))</f>
        <v>0</v>
      </c>
      <c r="J220" s="39" cm="1">
        <f t="array" aca="1" ref="J220" ca="1">IF(G220=0,0,INDEX(OFFSET(iWeights!$G$18,0,0,$E$13,1),H220))</f>
        <v>0</v>
      </c>
      <c r="K220" s="39" t="str" cm="1">
        <f t="array" aca="1" ref="K220" ca="1">IF(G220=0,"",INDEX(auto_Series_Depth,G220))</f>
        <v/>
      </c>
      <c r="L220" s="179">
        <f t="shared" ca="1" si="38"/>
        <v>0</v>
      </c>
      <c r="M220" s="180">
        <f t="shared" ca="1" si="39"/>
        <v>1</v>
      </c>
      <c r="N220" s="181" t="str" cm="1">
        <f t="array" aca="1" ref="N220" ca="1">IF(G220=0,"",CONCATENATE(IF($K220&gt;=4,"    ",""),INDEX(auto_Series_NameNumbered,G220)))</f>
        <v/>
      </c>
      <c r="O220" s="181" t="str">
        <f t="shared" ca="1" si="40"/>
        <v/>
      </c>
      <c r="P220" s="182" t="str">
        <f t="shared" ca="1" si="41"/>
        <v/>
      </c>
      <c r="Q220" s="183" t="str">
        <f t="shared" ca="1" si="42"/>
        <v/>
      </c>
      <c r="R220" s="194">
        <v>1</v>
      </c>
      <c r="S220" s="182" t="str" cm="1">
        <f t="array" aca="1" ref="S220" ca="1">IF(G220=0,"",IF(K220=1,"",INDEX(OFFSET(iWeights!$I$18,0,0,$E$13,1),$H220)))</f>
        <v/>
      </c>
      <c r="T220" s="183" t="str">
        <f t="shared" ca="1" si="43"/>
        <v/>
      </c>
      <c r="U220" s="37"/>
      <c r="V220" s="37"/>
      <c r="W220" s="37"/>
      <c r="X220" s="37"/>
      <c r="Y220" s="37"/>
    </row>
    <row r="221" spans="1:25" ht="17.5" customHeight="1" x14ac:dyDescent="0.35">
      <c r="A221" s="178" t="str">
        <f t="shared" ca="1" si="37"/>
        <v>H</v>
      </c>
      <c r="B221" s="37"/>
      <c r="C221" s="37"/>
      <c r="D221" s="37"/>
      <c r="E221" s="37"/>
      <c r="F221" s="37">
        <v>185</v>
      </c>
      <c r="G221" s="39" cm="1">
        <f t="array" aca="1" ref="G221" ca="1">IFERROR(INDEX(OFFSET(auto_ss_All_Scoring,0,1,500,1),F221),0)</f>
        <v>0</v>
      </c>
      <c r="H221" s="39">
        <f ca="1">IF(G221=0,0,MATCH(G221,OFFSET(iWeights!$B$18,0,0,$E$13,1),0))</f>
        <v>0</v>
      </c>
      <c r="I221" s="39" cm="1">
        <f t="array" aca="1" ref="I221" ca="1">IF(G221=0,0,INDEX(OFFSET(iWeights!$F$18,0,0,$E$13,1),H221))</f>
        <v>0</v>
      </c>
      <c r="J221" s="39" cm="1">
        <f t="array" aca="1" ref="J221" ca="1">IF(G221=0,0,INDEX(OFFSET(iWeights!$G$18,0,0,$E$13,1),H221))</f>
        <v>0</v>
      </c>
      <c r="K221" s="39" t="str" cm="1">
        <f t="array" aca="1" ref="K221" ca="1">IF(G221=0,"",INDEX(auto_Series_Depth,G221))</f>
        <v/>
      </c>
      <c r="L221" s="179">
        <f t="shared" ca="1" si="38"/>
        <v>0</v>
      </c>
      <c r="M221" s="180">
        <f t="shared" ca="1" si="39"/>
        <v>1</v>
      </c>
      <c r="N221" s="181" t="str" cm="1">
        <f t="array" aca="1" ref="N221" ca="1">IF(G221=0,"",CONCATENATE(IF($K221&gt;=4,"    ",""),INDEX(auto_Series_NameNumbered,G221)))</f>
        <v/>
      </c>
      <c r="O221" s="181" t="str">
        <f t="shared" ca="1" si="40"/>
        <v/>
      </c>
      <c r="P221" s="182" t="str">
        <f t="shared" ca="1" si="41"/>
        <v/>
      </c>
      <c r="Q221" s="183" t="str">
        <f t="shared" ca="1" si="42"/>
        <v/>
      </c>
      <c r="R221" s="194">
        <v>1</v>
      </c>
      <c r="S221" s="182" t="str" cm="1">
        <f t="array" aca="1" ref="S221" ca="1">IF(G221=0,"",IF(K221=1,"",INDEX(OFFSET(iWeights!$I$18,0,0,$E$13,1),$H221)))</f>
        <v/>
      </c>
      <c r="T221" s="183" t="str">
        <f t="shared" ca="1" si="43"/>
        <v/>
      </c>
      <c r="U221" s="37"/>
      <c r="V221" s="37"/>
      <c r="W221" s="37"/>
      <c r="X221" s="37"/>
      <c r="Y221" s="37"/>
    </row>
    <row r="222" spans="1:25" ht="17.5" customHeight="1" x14ac:dyDescent="0.35">
      <c r="A222" s="178" t="str">
        <f t="shared" ca="1" si="37"/>
        <v>H</v>
      </c>
      <c r="B222" s="37"/>
      <c r="C222" s="37"/>
      <c r="D222" s="37"/>
      <c r="E222" s="37"/>
      <c r="F222" s="37">
        <v>186</v>
      </c>
      <c r="G222" s="39" cm="1">
        <f t="array" aca="1" ref="G222" ca="1">IFERROR(INDEX(OFFSET(auto_ss_All_Scoring,0,1,500,1),F222),0)</f>
        <v>0</v>
      </c>
      <c r="H222" s="39">
        <f ca="1">IF(G222=0,0,MATCH(G222,OFFSET(iWeights!$B$18,0,0,$E$13,1),0))</f>
        <v>0</v>
      </c>
      <c r="I222" s="39" cm="1">
        <f t="array" aca="1" ref="I222" ca="1">IF(G222=0,0,INDEX(OFFSET(iWeights!$F$18,0,0,$E$13,1),H222))</f>
        <v>0</v>
      </c>
      <c r="J222" s="39" cm="1">
        <f t="array" aca="1" ref="J222" ca="1">IF(G222=0,0,INDEX(OFFSET(iWeights!$G$18,0,0,$E$13,1),H222))</f>
        <v>0</v>
      </c>
      <c r="K222" s="39" t="str" cm="1">
        <f t="array" aca="1" ref="K222" ca="1">IF(G222=0,"",INDEX(auto_Series_Depth,G222))</f>
        <v/>
      </c>
      <c r="L222" s="179">
        <f t="shared" ca="1" si="38"/>
        <v>0</v>
      </c>
      <c r="M222" s="180">
        <f t="shared" ca="1" si="39"/>
        <v>1</v>
      </c>
      <c r="N222" s="181" t="str" cm="1">
        <f t="array" aca="1" ref="N222" ca="1">IF(G222=0,"",CONCATENATE(IF($K222&gt;=4,"    ",""),INDEX(auto_Series_NameNumbered,G222)))</f>
        <v/>
      </c>
      <c r="O222" s="181" t="str">
        <f t="shared" ca="1" si="40"/>
        <v/>
      </c>
      <c r="P222" s="182" t="str">
        <f t="shared" ca="1" si="41"/>
        <v/>
      </c>
      <c r="Q222" s="183" t="str">
        <f t="shared" ca="1" si="42"/>
        <v/>
      </c>
      <c r="R222" s="194">
        <v>1</v>
      </c>
      <c r="S222" s="182" t="str" cm="1">
        <f t="array" aca="1" ref="S222" ca="1">IF(G222=0,"",IF(K222=1,"",INDEX(OFFSET(iWeights!$I$18,0,0,$E$13,1),$H222)))</f>
        <v/>
      </c>
      <c r="T222" s="183" t="str">
        <f t="shared" ca="1" si="43"/>
        <v/>
      </c>
      <c r="U222" s="37"/>
      <c r="V222" s="37"/>
      <c r="W222" s="37"/>
      <c r="X222" s="37"/>
      <c r="Y222" s="37"/>
    </row>
    <row r="223" spans="1:25" ht="17.5" customHeight="1" x14ac:dyDescent="0.35">
      <c r="A223" s="178" t="str">
        <f t="shared" ref="A223:A229" ca="1" si="44">IF(G223=0,"H",IF(K223&gt;$F$12,"H",""))</f>
        <v>H</v>
      </c>
      <c r="B223" s="37"/>
      <c r="C223" s="37"/>
      <c r="D223" s="37"/>
      <c r="E223" s="37"/>
      <c r="F223" s="37">
        <v>187</v>
      </c>
      <c r="G223" s="39" cm="1">
        <f t="array" aca="1" ref="G223" ca="1">IFERROR(INDEX(OFFSET(auto_ss_All_Scoring,0,1,500,1),F223),0)</f>
        <v>0</v>
      </c>
      <c r="H223" s="39">
        <f ca="1">IF(G223=0,0,MATCH(G223,OFFSET(iWeights!$B$18,0,0,$E$13,1),0))</f>
        <v>0</v>
      </c>
      <c r="I223" s="39" cm="1">
        <f t="array" aca="1" ref="I223" ca="1">IF(G223=0,0,INDEX(OFFSET(iWeights!$F$18,0,0,$E$13,1),H223))</f>
        <v>0</v>
      </c>
      <c r="J223" s="39" cm="1">
        <f t="array" aca="1" ref="J223" ca="1">IF(G223=0,0,INDEX(OFFSET(iWeights!$G$18,0,0,$E$13,1),H223))</f>
        <v>0</v>
      </c>
      <c r="K223" s="39" t="str" cm="1">
        <f t="array" aca="1" ref="K223" ca="1">IF(G223=0,"",INDEX(auto_Series_Depth,G223))</f>
        <v/>
      </c>
      <c r="L223" s="179">
        <f t="shared" ref="L223:L229" ca="1" si="45">IFERROR(IF(K223=1,0,IF(NOT(ISNUMBER(R223)),1,0)),1)</f>
        <v>0</v>
      </c>
      <c r="M223" s="180">
        <f t="shared" ref="M223:M229" ca="1" si="46">IF(L223=1,0,R223)</f>
        <v>1</v>
      </c>
      <c r="N223" s="181" t="str" cm="1">
        <f t="array" aca="1" ref="N223" ca="1">IF(G223=0,"",CONCATENATE(IF($K223&gt;=4,"    ",""),INDEX(auto_Series_NameNumbered,G223)))</f>
        <v/>
      </c>
      <c r="O223" s="181" t="str">
        <f t="shared" ref="O223:O229" ca="1" si="47">IF(G223=0,"",IF(K223=1,"",I223))</f>
        <v/>
      </c>
      <c r="P223" s="182" t="str">
        <f t="shared" ref="P223:P229" ca="1" si="48">IF(G223=0,"",IF(K223=1,"",J223))</f>
        <v/>
      </c>
      <c r="Q223" s="183" t="str">
        <f t="shared" ref="Q223:Q229" ca="1" si="49">IF($G223=0,"",IF($K223=1,"",REPT("|",P223*40)))</f>
        <v/>
      </c>
      <c r="R223" s="194">
        <v>1</v>
      </c>
      <c r="S223" s="182" t="str" cm="1">
        <f t="array" aca="1" ref="S223" ca="1">IF(G223=0,"",IF(K223=1,"",INDEX(OFFSET(iWeights!$I$18,0,0,$E$13,1),$H223)))</f>
        <v/>
      </c>
      <c r="T223" s="183" t="str">
        <f t="shared" ref="T223:T229" ca="1" si="50">IF($G223=0,"",IF($K223=1,"",REPT("|",S223*40)))</f>
        <v/>
      </c>
      <c r="U223" s="37"/>
      <c r="V223" s="37"/>
      <c r="W223" s="37"/>
      <c r="X223" s="37"/>
      <c r="Y223" s="37"/>
    </row>
    <row r="224" spans="1:25" ht="17.5" customHeight="1" x14ac:dyDescent="0.35">
      <c r="A224" s="178" t="str">
        <f t="shared" ca="1" si="44"/>
        <v>H</v>
      </c>
      <c r="B224" s="37"/>
      <c r="C224" s="37"/>
      <c r="D224" s="37"/>
      <c r="E224" s="37"/>
      <c r="F224" s="37">
        <v>188</v>
      </c>
      <c r="G224" s="39" cm="1">
        <f t="array" aca="1" ref="G224" ca="1">IFERROR(INDEX(OFFSET(auto_ss_All_Scoring,0,1,500,1),F224),0)</f>
        <v>0</v>
      </c>
      <c r="H224" s="39">
        <f ca="1">IF(G224=0,0,MATCH(G224,OFFSET(iWeights!$B$18,0,0,$E$13,1),0))</f>
        <v>0</v>
      </c>
      <c r="I224" s="39" cm="1">
        <f t="array" aca="1" ref="I224" ca="1">IF(G224=0,0,INDEX(OFFSET(iWeights!$F$18,0,0,$E$13,1),H224))</f>
        <v>0</v>
      </c>
      <c r="J224" s="39" cm="1">
        <f t="array" aca="1" ref="J224" ca="1">IF(G224=0,0,INDEX(OFFSET(iWeights!$G$18,0,0,$E$13,1),H224))</f>
        <v>0</v>
      </c>
      <c r="K224" s="39" t="str" cm="1">
        <f t="array" aca="1" ref="K224" ca="1">IF(G224=0,"",INDEX(auto_Series_Depth,G224))</f>
        <v/>
      </c>
      <c r="L224" s="179">
        <f t="shared" ca="1" si="45"/>
        <v>0</v>
      </c>
      <c r="M224" s="180">
        <f t="shared" ca="1" si="46"/>
        <v>1</v>
      </c>
      <c r="N224" s="181" t="str" cm="1">
        <f t="array" aca="1" ref="N224" ca="1">IF(G224=0,"",CONCATENATE(IF($K224&gt;=4,"    ",""),INDEX(auto_Series_NameNumbered,G224)))</f>
        <v/>
      </c>
      <c r="O224" s="181" t="str">
        <f t="shared" ca="1" si="47"/>
        <v/>
      </c>
      <c r="P224" s="182" t="str">
        <f t="shared" ca="1" si="48"/>
        <v/>
      </c>
      <c r="Q224" s="183" t="str">
        <f t="shared" ca="1" si="49"/>
        <v/>
      </c>
      <c r="R224" s="194">
        <v>1</v>
      </c>
      <c r="S224" s="182" t="str" cm="1">
        <f t="array" aca="1" ref="S224" ca="1">IF(G224=0,"",IF(K224=1,"",INDEX(OFFSET(iWeights!$I$18,0,0,$E$13,1),$H224)))</f>
        <v/>
      </c>
      <c r="T224" s="183" t="str">
        <f t="shared" ca="1" si="50"/>
        <v/>
      </c>
      <c r="U224" s="37"/>
      <c r="V224" s="37"/>
      <c r="W224" s="37"/>
      <c r="X224" s="37"/>
      <c r="Y224" s="37"/>
    </row>
    <row r="225" spans="1:25" ht="17.5" customHeight="1" x14ac:dyDescent="0.35">
      <c r="A225" s="178" t="str">
        <f t="shared" ca="1" si="44"/>
        <v>H</v>
      </c>
      <c r="B225" s="37"/>
      <c r="C225" s="37"/>
      <c r="D225" s="37"/>
      <c r="E225" s="37"/>
      <c r="F225" s="37">
        <v>189</v>
      </c>
      <c r="G225" s="39" cm="1">
        <f t="array" aca="1" ref="G225" ca="1">IFERROR(INDEX(OFFSET(auto_ss_All_Scoring,0,1,500,1),F225),0)</f>
        <v>0</v>
      </c>
      <c r="H225" s="39">
        <f ca="1">IF(G225=0,0,MATCH(G225,OFFSET(iWeights!$B$18,0,0,$E$13,1),0))</f>
        <v>0</v>
      </c>
      <c r="I225" s="39" cm="1">
        <f t="array" aca="1" ref="I225" ca="1">IF(G225=0,0,INDEX(OFFSET(iWeights!$F$18,0,0,$E$13,1),H225))</f>
        <v>0</v>
      </c>
      <c r="J225" s="39" cm="1">
        <f t="array" aca="1" ref="J225" ca="1">IF(G225=0,0,INDEX(OFFSET(iWeights!$G$18,0,0,$E$13,1),H225))</f>
        <v>0</v>
      </c>
      <c r="K225" s="39" t="str" cm="1">
        <f t="array" aca="1" ref="K225" ca="1">IF(G225=0,"",INDEX(auto_Series_Depth,G225))</f>
        <v/>
      </c>
      <c r="L225" s="179">
        <f t="shared" ca="1" si="45"/>
        <v>0</v>
      </c>
      <c r="M225" s="180">
        <f t="shared" ca="1" si="46"/>
        <v>1</v>
      </c>
      <c r="N225" s="181" t="str" cm="1">
        <f t="array" aca="1" ref="N225" ca="1">IF(G225=0,"",CONCATENATE(IF($K225&gt;=4,"    ",""),INDEX(auto_Series_NameNumbered,G225)))</f>
        <v/>
      </c>
      <c r="O225" s="181" t="str">
        <f t="shared" ca="1" si="47"/>
        <v/>
      </c>
      <c r="P225" s="182" t="str">
        <f t="shared" ca="1" si="48"/>
        <v/>
      </c>
      <c r="Q225" s="183" t="str">
        <f t="shared" ca="1" si="49"/>
        <v/>
      </c>
      <c r="R225" s="194">
        <v>1</v>
      </c>
      <c r="S225" s="182" t="str" cm="1">
        <f t="array" aca="1" ref="S225" ca="1">IF(G225=0,"",IF(K225=1,"",INDEX(OFFSET(iWeights!$I$18,0,0,$E$13,1),$H225)))</f>
        <v/>
      </c>
      <c r="T225" s="183" t="str">
        <f t="shared" ca="1" si="50"/>
        <v/>
      </c>
      <c r="U225" s="37"/>
      <c r="V225" s="37"/>
      <c r="W225" s="37"/>
      <c r="X225" s="37"/>
      <c r="Y225" s="37"/>
    </row>
    <row r="226" spans="1:25" ht="17.5" customHeight="1" x14ac:dyDescent="0.35">
      <c r="A226" s="178" t="str">
        <f t="shared" ca="1" si="44"/>
        <v>H</v>
      </c>
      <c r="B226" s="37"/>
      <c r="C226" s="37"/>
      <c r="D226" s="37"/>
      <c r="E226" s="37"/>
      <c r="F226" s="37">
        <v>190</v>
      </c>
      <c r="G226" s="39" cm="1">
        <f t="array" aca="1" ref="G226" ca="1">IFERROR(INDEX(OFFSET(auto_ss_All_Scoring,0,1,500,1),F226),0)</f>
        <v>0</v>
      </c>
      <c r="H226" s="39">
        <f ca="1">IF(G226=0,0,MATCH(G226,OFFSET(iWeights!$B$18,0,0,$E$13,1),0))</f>
        <v>0</v>
      </c>
      <c r="I226" s="39" cm="1">
        <f t="array" aca="1" ref="I226" ca="1">IF(G226=0,0,INDEX(OFFSET(iWeights!$F$18,0,0,$E$13,1),H226))</f>
        <v>0</v>
      </c>
      <c r="J226" s="39" cm="1">
        <f t="array" aca="1" ref="J226" ca="1">IF(G226=0,0,INDEX(OFFSET(iWeights!$G$18,0,0,$E$13,1),H226))</f>
        <v>0</v>
      </c>
      <c r="K226" s="39" t="str" cm="1">
        <f t="array" aca="1" ref="K226" ca="1">IF(G226=0,"",INDEX(auto_Series_Depth,G226))</f>
        <v/>
      </c>
      <c r="L226" s="179">
        <f t="shared" ca="1" si="45"/>
        <v>0</v>
      </c>
      <c r="M226" s="180">
        <f t="shared" ca="1" si="46"/>
        <v>1</v>
      </c>
      <c r="N226" s="181" t="str" cm="1">
        <f t="array" aca="1" ref="N226" ca="1">IF(G226=0,"",CONCATENATE(IF($K226&gt;=4,"    ",""),INDEX(auto_Series_NameNumbered,G226)))</f>
        <v/>
      </c>
      <c r="O226" s="181" t="str">
        <f t="shared" ca="1" si="47"/>
        <v/>
      </c>
      <c r="P226" s="182" t="str">
        <f t="shared" ca="1" si="48"/>
        <v/>
      </c>
      <c r="Q226" s="183" t="str">
        <f t="shared" ca="1" si="49"/>
        <v/>
      </c>
      <c r="R226" s="194">
        <v>1</v>
      </c>
      <c r="S226" s="182" t="str" cm="1">
        <f t="array" aca="1" ref="S226" ca="1">IF(G226=0,"",IF(K226=1,"",INDEX(OFFSET(iWeights!$I$18,0,0,$E$13,1),$H226)))</f>
        <v/>
      </c>
      <c r="T226" s="183" t="str">
        <f t="shared" ca="1" si="50"/>
        <v/>
      </c>
      <c r="U226" s="37"/>
      <c r="V226" s="37"/>
      <c r="W226" s="37"/>
      <c r="X226" s="37"/>
      <c r="Y226" s="37"/>
    </row>
    <row r="227" spans="1:25" ht="17.5" customHeight="1" x14ac:dyDescent="0.35">
      <c r="A227" s="178" t="str">
        <f t="shared" ca="1" si="44"/>
        <v>H</v>
      </c>
      <c r="B227" s="37"/>
      <c r="C227" s="37"/>
      <c r="D227" s="37"/>
      <c r="E227" s="37"/>
      <c r="F227" s="37">
        <v>191</v>
      </c>
      <c r="G227" s="39" cm="1">
        <f t="array" aca="1" ref="G227" ca="1">IFERROR(INDEX(OFFSET(auto_ss_All_Scoring,0,1,500,1),F227),0)</f>
        <v>0</v>
      </c>
      <c r="H227" s="39">
        <f ca="1">IF(G227=0,0,MATCH(G227,OFFSET(iWeights!$B$18,0,0,$E$13,1),0))</f>
        <v>0</v>
      </c>
      <c r="I227" s="39" cm="1">
        <f t="array" aca="1" ref="I227" ca="1">IF(G227=0,0,INDEX(OFFSET(iWeights!$F$18,0,0,$E$13,1),H227))</f>
        <v>0</v>
      </c>
      <c r="J227" s="39" cm="1">
        <f t="array" aca="1" ref="J227" ca="1">IF(G227=0,0,INDEX(OFFSET(iWeights!$G$18,0,0,$E$13,1),H227))</f>
        <v>0</v>
      </c>
      <c r="K227" s="39" t="str" cm="1">
        <f t="array" aca="1" ref="K227" ca="1">IF(G227=0,"",INDEX(auto_Series_Depth,G227))</f>
        <v/>
      </c>
      <c r="L227" s="179">
        <f t="shared" ca="1" si="45"/>
        <v>0</v>
      </c>
      <c r="M227" s="180">
        <f t="shared" ca="1" si="46"/>
        <v>1</v>
      </c>
      <c r="N227" s="181" t="str" cm="1">
        <f t="array" aca="1" ref="N227" ca="1">IF(G227=0,"",CONCATENATE(IF($K227&gt;=4,"    ",""),INDEX(auto_Series_NameNumbered,G227)))</f>
        <v/>
      </c>
      <c r="O227" s="181" t="str">
        <f t="shared" ca="1" si="47"/>
        <v/>
      </c>
      <c r="P227" s="182" t="str">
        <f t="shared" ca="1" si="48"/>
        <v/>
      </c>
      <c r="Q227" s="183" t="str">
        <f t="shared" ca="1" si="49"/>
        <v/>
      </c>
      <c r="R227" s="194">
        <v>1</v>
      </c>
      <c r="S227" s="182" t="str" cm="1">
        <f t="array" aca="1" ref="S227" ca="1">IF(G227=0,"",IF(K227=1,"",INDEX(OFFSET(iWeights!$I$18,0,0,$E$13,1),$H227)))</f>
        <v/>
      </c>
      <c r="T227" s="183" t="str">
        <f t="shared" ca="1" si="50"/>
        <v/>
      </c>
      <c r="U227" s="37"/>
      <c r="V227" s="37"/>
      <c r="W227" s="37"/>
      <c r="X227" s="37"/>
      <c r="Y227" s="37"/>
    </row>
    <row r="228" spans="1:25" ht="17.5" customHeight="1" x14ac:dyDescent="0.35">
      <c r="A228" s="178" t="str">
        <f t="shared" ca="1" si="44"/>
        <v>H</v>
      </c>
      <c r="B228" s="37"/>
      <c r="C228" s="37"/>
      <c r="D228" s="37"/>
      <c r="E228" s="37"/>
      <c r="F228" s="37">
        <v>192</v>
      </c>
      <c r="G228" s="39" cm="1">
        <f t="array" aca="1" ref="G228" ca="1">IFERROR(INDEX(OFFSET(auto_ss_All_Scoring,0,1,500,1),F228),0)</f>
        <v>0</v>
      </c>
      <c r="H228" s="39">
        <f ca="1">IF(G228=0,0,MATCH(G228,OFFSET(iWeights!$B$18,0,0,$E$13,1),0))</f>
        <v>0</v>
      </c>
      <c r="I228" s="39" cm="1">
        <f t="array" aca="1" ref="I228" ca="1">IF(G228=0,0,INDEX(OFFSET(iWeights!$F$18,0,0,$E$13,1),H228))</f>
        <v>0</v>
      </c>
      <c r="J228" s="39" cm="1">
        <f t="array" aca="1" ref="J228" ca="1">IF(G228=0,0,INDEX(OFFSET(iWeights!$G$18,0,0,$E$13,1),H228))</f>
        <v>0</v>
      </c>
      <c r="K228" s="39" t="str" cm="1">
        <f t="array" aca="1" ref="K228" ca="1">IF(G228=0,"",INDEX(auto_Series_Depth,G228))</f>
        <v/>
      </c>
      <c r="L228" s="179">
        <f t="shared" ca="1" si="45"/>
        <v>0</v>
      </c>
      <c r="M228" s="180">
        <f t="shared" ca="1" si="46"/>
        <v>1</v>
      </c>
      <c r="N228" s="181" t="str" cm="1">
        <f t="array" aca="1" ref="N228" ca="1">IF(G228=0,"",CONCATENATE(IF($K228&gt;=4,"    ",""),INDEX(auto_Series_NameNumbered,G228)))</f>
        <v/>
      </c>
      <c r="O228" s="181" t="str">
        <f t="shared" ca="1" si="47"/>
        <v/>
      </c>
      <c r="P228" s="182" t="str">
        <f t="shared" ca="1" si="48"/>
        <v/>
      </c>
      <c r="Q228" s="183" t="str">
        <f t="shared" ca="1" si="49"/>
        <v/>
      </c>
      <c r="R228" s="194">
        <v>1</v>
      </c>
      <c r="S228" s="182" t="str" cm="1">
        <f t="array" aca="1" ref="S228" ca="1">IF(G228=0,"",IF(K228=1,"",INDEX(OFFSET(iWeights!$I$18,0,0,$E$13,1),$H228)))</f>
        <v/>
      </c>
      <c r="T228" s="183" t="str">
        <f t="shared" ca="1" si="50"/>
        <v/>
      </c>
      <c r="U228" s="37"/>
      <c r="V228" s="37"/>
      <c r="W228" s="37"/>
      <c r="X228" s="37"/>
      <c r="Y228" s="37"/>
    </row>
    <row r="229" spans="1:25" ht="17.5" customHeight="1" x14ac:dyDescent="0.35">
      <c r="A229" s="178" t="str">
        <f t="shared" ca="1" si="44"/>
        <v>H</v>
      </c>
      <c r="B229" s="37"/>
      <c r="C229" s="37"/>
      <c r="D229" s="37"/>
      <c r="E229" s="37"/>
      <c r="F229" s="37">
        <v>193</v>
      </c>
      <c r="G229" s="39" cm="1">
        <f t="array" aca="1" ref="G229" ca="1">IFERROR(INDEX(OFFSET(auto_ss_All_Scoring,0,1,500,1),F229),0)</f>
        <v>0</v>
      </c>
      <c r="H229" s="39">
        <f ca="1">IF(G229=0,0,MATCH(G229,OFFSET(iWeights!$B$18,0,0,$E$13,1),0))</f>
        <v>0</v>
      </c>
      <c r="I229" s="39" cm="1">
        <f t="array" aca="1" ref="I229" ca="1">IF(G229=0,0,INDEX(OFFSET(iWeights!$F$18,0,0,$E$13,1),H229))</f>
        <v>0</v>
      </c>
      <c r="J229" s="39" cm="1">
        <f t="array" aca="1" ref="J229" ca="1">IF(G229=0,0,INDEX(OFFSET(iWeights!$G$18,0,0,$E$13,1),H229))</f>
        <v>0</v>
      </c>
      <c r="K229" s="39" t="str" cm="1">
        <f t="array" aca="1" ref="K229" ca="1">IF(G229=0,"",INDEX(auto_Series_Depth,G229))</f>
        <v/>
      </c>
      <c r="L229" s="179">
        <f t="shared" ca="1" si="45"/>
        <v>0</v>
      </c>
      <c r="M229" s="180">
        <f t="shared" ca="1" si="46"/>
        <v>1</v>
      </c>
      <c r="N229" s="181" t="str" cm="1">
        <f t="array" aca="1" ref="N229" ca="1">IF(G229=0,"",CONCATENATE(IF($K229&gt;=4,"    ",""),INDEX(auto_Series_NameNumbered,G229)))</f>
        <v/>
      </c>
      <c r="O229" s="181" t="str">
        <f t="shared" ca="1" si="47"/>
        <v/>
      </c>
      <c r="P229" s="182" t="str">
        <f t="shared" ca="1" si="48"/>
        <v/>
      </c>
      <c r="Q229" s="183" t="str">
        <f t="shared" ca="1" si="49"/>
        <v/>
      </c>
      <c r="R229" s="194">
        <v>1</v>
      </c>
      <c r="S229" s="182" t="str" cm="1">
        <f t="array" aca="1" ref="S229" ca="1">IF(G229=0,"",IF(K229=1,"",INDEX(OFFSET(iWeights!$I$18,0,0,$E$13,1),$H229)))</f>
        <v/>
      </c>
      <c r="T229" s="183" t="str">
        <f t="shared" ca="1" si="50"/>
        <v/>
      </c>
      <c r="U229" s="37"/>
      <c r="V229" s="37"/>
      <c r="W229" s="37"/>
      <c r="X229" s="37"/>
      <c r="Y229" s="37"/>
    </row>
    <row r="230" spans="1:25" ht="17.5" customHeight="1" x14ac:dyDescent="0.35">
      <c r="A230" s="178" t="str">
        <f t="shared" ref="A230:A233" ca="1" si="51">IF(G230=0,"H",IF(K230&gt;$F$12,"H",""))</f>
        <v>H</v>
      </c>
      <c r="B230" s="37"/>
      <c r="C230" s="37"/>
      <c r="D230" s="37"/>
      <c r="E230" s="37"/>
      <c r="F230" s="37">
        <v>194</v>
      </c>
      <c r="G230" s="39" cm="1">
        <f t="array" aca="1" ref="G230" ca="1">IFERROR(INDEX(OFFSET(auto_ss_All_Scoring,0,1,500,1),F230),0)</f>
        <v>0</v>
      </c>
      <c r="H230" s="39">
        <f ca="1">IF(G230=0,0,MATCH(G230,OFFSET(iWeights!$B$18,0,0,$E$13,1),0))</f>
        <v>0</v>
      </c>
      <c r="I230" s="39" cm="1">
        <f t="array" aca="1" ref="I230" ca="1">IF(G230=0,0,INDEX(OFFSET(iWeights!$F$18,0,0,$E$13,1),H230))</f>
        <v>0</v>
      </c>
      <c r="J230" s="39" cm="1">
        <f t="array" aca="1" ref="J230" ca="1">IF(G230=0,0,INDEX(OFFSET(iWeights!$G$18,0,0,$E$13,1),H230))</f>
        <v>0</v>
      </c>
      <c r="K230" s="39" t="str" cm="1">
        <f t="array" aca="1" ref="K230" ca="1">IF(G230=0,"",INDEX(auto_Series_Depth,G230))</f>
        <v/>
      </c>
      <c r="L230" s="179">
        <f t="shared" ref="L230:L233" ca="1" si="52">IFERROR(IF(K230=1,0,IF(NOT(ISNUMBER(R230)),1,0)),1)</f>
        <v>0</v>
      </c>
      <c r="M230" s="180">
        <f t="shared" ref="M230:M233" ca="1" si="53">IF(L230=1,0,R230)</f>
        <v>1</v>
      </c>
      <c r="N230" s="181" t="str" cm="1">
        <f t="array" aca="1" ref="N230" ca="1">IF(G230=0,"",CONCATENATE(IF($K230&gt;=4,"    ",""),INDEX(auto_Series_NameNumbered,G230)))</f>
        <v/>
      </c>
      <c r="O230" s="181" t="str">
        <f t="shared" ref="O230:O233" ca="1" si="54">IF(G230=0,"",IF(K230=1,"",I230))</f>
        <v/>
      </c>
      <c r="P230" s="182" t="str">
        <f t="shared" ref="P230:P233" ca="1" si="55">IF(G230=0,"",IF(K230=1,"",J230))</f>
        <v/>
      </c>
      <c r="Q230" s="183" t="str">
        <f t="shared" ref="Q230:Q233" ca="1" si="56">IF($G230=0,"",IF($K230=1,"",REPT("|",P230*40)))</f>
        <v/>
      </c>
      <c r="R230" s="194">
        <v>1</v>
      </c>
      <c r="S230" s="182" t="str" cm="1">
        <f t="array" aca="1" ref="S230" ca="1">IF(G230=0,"",IF(K230=1,"",INDEX(OFFSET(iWeights!$I$18,0,0,$E$13,1),$H230)))</f>
        <v/>
      </c>
      <c r="T230" s="183" t="str">
        <f t="shared" ref="T230:T233" ca="1" si="57">IF($G230=0,"",IF($K230=1,"",REPT("|",S230*40)))</f>
        <v/>
      </c>
      <c r="U230" s="37"/>
      <c r="V230" s="37"/>
      <c r="W230" s="37"/>
      <c r="X230" s="37"/>
      <c r="Y230" s="37"/>
    </row>
    <row r="231" spans="1:25" ht="17.5" customHeight="1" x14ac:dyDescent="0.35">
      <c r="A231" s="178" t="str">
        <f t="shared" ca="1" si="51"/>
        <v>H</v>
      </c>
      <c r="B231" s="37"/>
      <c r="C231" s="37"/>
      <c r="D231" s="37"/>
      <c r="E231" s="37"/>
      <c r="F231" s="37">
        <v>195</v>
      </c>
      <c r="G231" s="39" cm="1">
        <f t="array" aca="1" ref="G231" ca="1">IFERROR(INDEX(OFFSET(auto_ss_All_Scoring,0,1,500,1),F231),0)</f>
        <v>0</v>
      </c>
      <c r="H231" s="39">
        <f ca="1">IF(G231=0,0,MATCH(G231,OFFSET(iWeights!$B$18,0,0,$E$13,1),0))</f>
        <v>0</v>
      </c>
      <c r="I231" s="39" cm="1">
        <f t="array" aca="1" ref="I231" ca="1">IF(G231=0,0,INDEX(OFFSET(iWeights!$F$18,0,0,$E$13,1),H231))</f>
        <v>0</v>
      </c>
      <c r="J231" s="39" cm="1">
        <f t="array" aca="1" ref="J231" ca="1">IF(G231=0,0,INDEX(OFFSET(iWeights!$G$18,0,0,$E$13,1),H231))</f>
        <v>0</v>
      </c>
      <c r="K231" s="39" t="str" cm="1">
        <f t="array" aca="1" ref="K231" ca="1">IF(G231=0,"",INDEX(auto_Series_Depth,G231))</f>
        <v/>
      </c>
      <c r="L231" s="179">
        <f t="shared" ca="1" si="52"/>
        <v>0</v>
      </c>
      <c r="M231" s="180">
        <f t="shared" ca="1" si="53"/>
        <v>1</v>
      </c>
      <c r="N231" s="181" t="str" cm="1">
        <f t="array" aca="1" ref="N231" ca="1">IF(G231=0,"",CONCATENATE(IF($K231&gt;=4,"    ",""),INDEX(auto_Series_NameNumbered,G231)))</f>
        <v/>
      </c>
      <c r="O231" s="181" t="str">
        <f t="shared" ca="1" si="54"/>
        <v/>
      </c>
      <c r="P231" s="182" t="str">
        <f t="shared" ca="1" si="55"/>
        <v/>
      </c>
      <c r="Q231" s="183" t="str">
        <f t="shared" ca="1" si="56"/>
        <v/>
      </c>
      <c r="R231" s="194">
        <v>1</v>
      </c>
      <c r="S231" s="182" t="str" cm="1">
        <f t="array" aca="1" ref="S231" ca="1">IF(G231=0,"",IF(K231=1,"",INDEX(OFFSET(iWeights!$I$18,0,0,$E$13,1),$H231)))</f>
        <v/>
      </c>
      <c r="T231" s="183" t="str">
        <f t="shared" ca="1" si="57"/>
        <v/>
      </c>
      <c r="U231" s="37"/>
      <c r="V231" s="37"/>
      <c r="W231" s="37"/>
      <c r="X231" s="37"/>
      <c r="Y231" s="37"/>
    </row>
    <row r="232" spans="1:25" ht="17.5" customHeight="1" x14ac:dyDescent="0.35">
      <c r="A232" s="178" t="str">
        <f t="shared" ca="1" si="51"/>
        <v>H</v>
      </c>
      <c r="B232" s="37"/>
      <c r="C232" s="37"/>
      <c r="D232" s="37"/>
      <c r="E232" s="37"/>
      <c r="F232" s="37">
        <v>196</v>
      </c>
      <c r="G232" s="39" cm="1">
        <f t="array" aca="1" ref="G232" ca="1">IFERROR(INDEX(OFFSET(auto_ss_All_Scoring,0,1,500,1),F232),0)</f>
        <v>0</v>
      </c>
      <c r="H232" s="39">
        <f ca="1">IF(G232=0,0,MATCH(G232,OFFSET(iWeights!$B$18,0,0,$E$13,1),0))</f>
        <v>0</v>
      </c>
      <c r="I232" s="39" cm="1">
        <f t="array" aca="1" ref="I232" ca="1">IF(G232=0,0,INDEX(OFFSET(iWeights!$F$18,0,0,$E$13,1),H232))</f>
        <v>0</v>
      </c>
      <c r="J232" s="39" cm="1">
        <f t="array" aca="1" ref="J232" ca="1">IF(G232=0,0,INDEX(OFFSET(iWeights!$G$18,0,0,$E$13,1),H232))</f>
        <v>0</v>
      </c>
      <c r="K232" s="39" t="str" cm="1">
        <f t="array" aca="1" ref="K232" ca="1">IF(G232=0,"",INDEX(auto_Series_Depth,G232))</f>
        <v/>
      </c>
      <c r="L232" s="179">
        <f t="shared" ca="1" si="52"/>
        <v>0</v>
      </c>
      <c r="M232" s="180">
        <f t="shared" ca="1" si="53"/>
        <v>1</v>
      </c>
      <c r="N232" s="181" t="str" cm="1">
        <f t="array" aca="1" ref="N232" ca="1">IF(G232=0,"",CONCATENATE(IF($K232&gt;=4,"    ",""),INDEX(auto_Series_NameNumbered,G232)))</f>
        <v/>
      </c>
      <c r="O232" s="181" t="str">
        <f t="shared" ca="1" si="54"/>
        <v/>
      </c>
      <c r="P232" s="182" t="str">
        <f t="shared" ca="1" si="55"/>
        <v/>
      </c>
      <c r="Q232" s="183" t="str">
        <f t="shared" ca="1" si="56"/>
        <v/>
      </c>
      <c r="R232" s="194">
        <v>1</v>
      </c>
      <c r="S232" s="182" t="str" cm="1">
        <f t="array" aca="1" ref="S232" ca="1">IF(G232=0,"",IF(K232=1,"",INDEX(OFFSET(iWeights!$I$18,0,0,$E$13,1),$H232)))</f>
        <v/>
      </c>
      <c r="T232" s="183" t="str">
        <f t="shared" ca="1" si="57"/>
        <v/>
      </c>
      <c r="U232" s="37"/>
      <c r="V232" s="37"/>
      <c r="W232" s="37"/>
      <c r="X232" s="37"/>
      <c r="Y232" s="37"/>
    </row>
    <row r="233" spans="1:25" ht="17.5" customHeight="1" x14ac:dyDescent="0.35">
      <c r="A233" s="178" t="str">
        <f t="shared" ca="1" si="51"/>
        <v>H</v>
      </c>
      <c r="B233" s="37"/>
      <c r="C233" s="37"/>
      <c r="D233" s="37"/>
      <c r="E233" s="37"/>
      <c r="F233" s="37">
        <v>197</v>
      </c>
      <c r="G233" s="39" cm="1">
        <f t="array" aca="1" ref="G233" ca="1">IFERROR(INDEX(OFFSET(auto_ss_All_Scoring,0,1,500,1),F233),0)</f>
        <v>0</v>
      </c>
      <c r="H233" s="39">
        <f ca="1">IF(G233=0,0,MATCH(G233,OFFSET(iWeights!$B$18,0,0,$E$13,1),0))</f>
        <v>0</v>
      </c>
      <c r="I233" s="39" cm="1">
        <f t="array" aca="1" ref="I233" ca="1">IF(G233=0,0,INDEX(OFFSET(iWeights!$F$18,0,0,$E$13,1),H233))</f>
        <v>0</v>
      </c>
      <c r="J233" s="39" cm="1">
        <f t="array" aca="1" ref="J233" ca="1">IF(G233=0,0,INDEX(OFFSET(iWeights!$G$18,0,0,$E$13,1),H233))</f>
        <v>0</v>
      </c>
      <c r="K233" s="39" t="str" cm="1">
        <f t="array" aca="1" ref="K233" ca="1">IF(G233=0,"",INDEX(auto_Series_Depth,G233))</f>
        <v/>
      </c>
      <c r="L233" s="179">
        <f t="shared" ca="1" si="52"/>
        <v>0</v>
      </c>
      <c r="M233" s="180">
        <f t="shared" ca="1" si="53"/>
        <v>1</v>
      </c>
      <c r="N233" s="181" t="str" cm="1">
        <f t="array" aca="1" ref="N233" ca="1">IF(G233=0,"",CONCATENATE(IF($K233&gt;=4,"    ",""),INDEX(auto_Series_NameNumbered,G233)))</f>
        <v/>
      </c>
      <c r="O233" s="181" t="str">
        <f t="shared" ca="1" si="54"/>
        <v/>
      </c>
      <c r="P233" s="182" t="str">
        <f t="shared" ca="1" si="55"/>
        <v/>
      </c>
      <c r="Q233" s="183" t="str">
        <f t="shared" ca="1" si="56"/>
        <v/>
      </c>
      <c r="R233" s="194">
        <v>1</v>
      </c>
      <c r="S233" s="182" t="str" cm="1">
        <f t="array" aca="1" ref="S233" ca="1">IF(G233=0,"",IF(K233=1,"",INDEX(OFFSET(iWeights!$I$18,0,0,$E$13,1),$H233)))</f>
        <v/>
      </c>
      <c r="T233" s="183" t="str">
        <f t="shared" ca="1" si="57"/>
        <v/>
      </c>
      <c r="U233" s="37"/>
      <c r="V233" s="37"/>
      <c r="W233" s="37"/>
      <c r="X233" s="37"/>
      <c r="Y233" s="37"/>
    </row>
    <row r="234" spans="1:25" ht="17.5" customHeight="1" x14ac:dyDescent="0.35">
      <c r="A234" s="178" t="str">
        <f t="shared" ref="A234:A235" ca="1" si="58">IF(G234=0,"H",IF(K234&gt;$F$12,"H",""))</f>
        <v>H</v>
      </c>
      <c r="B234" s="37"/>
      <c r="C234" s="37"/>
      <c r="D234" s="37"/>
      <c r="E234" s="37"/>
      <c r="F234" s="37">
        <v>198</v>
      </c>
      <c r="G234" s="39" cm="1">
        <f t="array" aca="1" ref="G234" ca="1">IFERROR(INDEX(OFFSET(auto_ss_All_Scoring,0,1,500,1),F234),0)</f>
        <v>0</v>
      </c>
      <c r="H234" s="39">
        <f ca="1">IF(G234=0,0,MATCH(G234,OFFSET(iWeights!$B$18,0,0,$E$13,1),0))</f>
        <v>0</v>
      </c>
      <c r="I234" s="39" cm="1">
        <f t="array" aca="1" ref="I234" ca="1">IF(G234=0,0,INDEX(OFFSET(iWeights!$F$18,0,0,$E$13,1),H234))</f>
        <v>0</v>
      </c>
      <c r="J234" s="39" cm="1">
        <f t="array" aca="1" ref="J234" ca="1">IF(G234=0,0,INDEX(OFFSET(iWeights!$G$18,0,0,$E$13,1),H234))</f>
        <v>0</v>
      </c>
      <c r="K234" s="39" t="str" cm="1">
        <f t="array" aca="1" ref="K234" ca="1">IF(G234=0,"",INDEX(auto_Series_Depth,G234))</f>
        <v/>
      </c>
      <c r="L234" s="179">
        <f t="shared" ref="L234:L235" ca="1" si="59">IFERROR(IF(K234=1,0,IF(NOT(ISNUMBER(R234)),1,0)),1)</f>
        <v>0</v>
      </c>
      <c r="M234" s="180">
        <f t="shared" ref="M234:M235" ca="1" si="60">IF(L234=1,0,R234)</f>
        <v>1</v>
      </c>
      <c r="N234" s="181" t="str" cm="1">
        <f t="array" aca="1" ref="N234" ca="1">IF(G234=0,"",CONCATENATE(IF($K234&gt;=4,"    ",""),INDEX(auto_Series_NameNumbered,G234)))</f>
        <v/>
      </c>
      <c r="O234" s="181" t="str">
        <f t="shared" ref="O234:O235" ca="1" si="61">IF(G234=0,"",IF(K234=1,"",I234))</f>
        <v/>
      </c>
      <c r="P234" s="182" t="str">
        <f t="shared" ref="P234:P235" ca="1" si="62">IF(G234=0,"",IF(K234=1,"",J234))</f>
        <v/>
      </c>
      <c r="Q234" s="183" t="str">
        <f t="shared" ref="Q234:Q235" ca="1" si="63">IF($G234=0,"",IF($K234=1,"",REPT("|",P234*40)))</f>
        <v/>
      </c>
      <c r="R234" s="194">
        <v>1</v>
      </c>
      <c r="S234" s="182" t="str" cm="1">
        <f t="array" aca="1" ref="S234" ca="1">IF(G234=0,"",IF(K234=1,"",INDEX(OFFSET(iWeights!$I$18,0,0,$E$13,1),$H234)))</f>
        <v/>
      </c>
      <c r="T234" s="183" t="str">
        <f t="shared" ref="T234:T235" ca="1" si="64">IF($G234=0,"",IF($K234=1,"",REPT("|",S234*40)))</f>
        <v/>
      </c>
      <c r="U234" s="37"/>
      <c r="V234" s="37"/>
      <c r="W234" s="37"/>
      <c r="X234" s="37"/>
      <c r="Y234" s="37"/>
    </row>
    <row r="235" spans="1:25" ht="17.5" customHeight="1" x14ac:dyDescent="0.35">
      <c r="A235" s="178" t="str">
        <f t="shared" ca="1" si="58"/>
        <v>H</v>
      </c>
      <c r="B235" s="37"/>
      <c r="C235" s="37"/>
      <c r="D235" s="37"/>
      <c r="E235" s="37"/>
      <c r="F235" s="37">
        <v>199</v>
      </c>
      <c r="G235" s="39" cm="1">
        <f t="array" aca="1" ref="G235" ca="1">IFERROR(INDEX(OFFSET(auto_ss_All_Scoring,0,1,500,1),F235),0)</f>
        <v>0</v>
      </c>
      <c r="H235" s="39">
        <f ca="1">IF(G235=0,0,MATCH(G235,OFFSET(iWeights!$B$18,0,0,$E$13,1),0))</f>
        <v>0</v>
      </c>
      <c r="I235" s="39" cm="1">
        <f t="array" aca="1" ref="I235" ca="1">IF(G235=0,0,INDEX(OFFSET(iWeights!$F$18,0,0,$E$13,1),H235))</f>
        <v>0</v>
      </c>
      <c r="J235" s="39" cm="1">
        <f t="array" aca="1" ref="J235" ca="1">IF(G235=0,0,INDEX(OFFSET(iWeights!$G$18,0,0,$E$13,1),H235))</f>
        <v>0</v>
      </c>
      <c r="K235" s="39" t="str" cm="1">
        <f t="array" aca="1" ref="K235" ca="1">IF(G235=0,"",INDEX(auto_Series_Depth,G235))</f>
        <v/>
      </c>
      <c r="L235" s="179">
        <f t="shared" ca="1" si="59"/>
        <v>0</v>
      </c>
      <c r="M235" s="180">
        <f t="shared" ca="1" si="60"/>
        <v>1</v>
      </c>
      <c r="N235" s="181" t="str" cm="1">
        <f t="array" aca="1" ref="N235" ca="1">IF(G235=0,"",CONCATENATE(IF($K235&gt;=4,"    ",""),INDEX(auto_Series_NameNumbered,G235)))</f>
        <v/>
      </c>
      <c r="O235" s="181" t="str">
        <f t="shared" ca="1" si="61"/>
        <v/>
      </c>
      <c r="P235" s="182" t="str">
        <f t="shared" ca="1" si="62"/>
        <v/>
      </c>
      <c r="Q235" s="183" t="str">
        <f t="shared" ca="1" si="63"/>
        <v/>
      </c>
      <c r="R235" s="194">
        <v>1</v>
      </c>
      <c r="S235" s="182" t="str" cm="1">
        <f t="array" aca="1" ref="S235" ca="1">IF(G235=0,"",IF(K235=1,"",INDEX(OFFSET(iWeights!$I$18,0,0,$E$13,1),$H235)))</f>
        <v/>
      </c>
      <c r="T235" s="183" t="str">
        <f t="shared" ca="1" si="64"/>
        <v/>
      </c>
      <c r="U235" s="37"/>
      <c r="V235" s="37"/>
      <c r="W235" s="37"/>
      <c r="X235" s="37"/>
      <c r="Y235" s="37"/>
    </row>
    <row r="236" spans="1:25" ht="17.5" customHeight="1" x14ac:dyDescent="0.35">
      <c r="A236" s="178" t="str">
        <f t="shared" ref="A236:A252" ca="1" si="65">IF(G236=0,"H",IF(K236&gt;$F$12,"H",""))</f>
        <v>H</v>
      </c>
      <c r="B236" s="37"/>
      <c r="C236" s="37"/>
      <c r="D236" s="37"/>
      <c r="E236" s="37"/>
      <c r="F236" s="37">
        <v>200</v>
      </c>
      <c r="G236" s="39" cm="1">
        <f t="array" aca="1" ref="G236" ca="1">IFERROR(INDEX(OFFSET(auto_ss_All_Scoring,0,1,500,1),F236),0)</f>
        <v>0</v>
      </c>
      <c r="H236" s="39">
        <f ca="1">IF(G236=0,0,MATCH(G236,OFFSET(iWeights!$B$18,0,0,$E$13,1),0))</f>
        <v>0</v>
      </c>
      <c r="I236" s="39" cm="1">
        <f t="array" aca="1" ref="I236" ca="1">IF(G236=0,0,INDEX(OFFSET(iWeights!$F$18,0,0,$E$13,1),H236))</f>
        <v>0</v>
      </c>
      <c r="J236" s="39" cm="1">
        <f t="array" aca="1" ref="J236" ca="1">IF(G236=0,0,INDEX(OFFSET(iWeights!$G$18,0,0,$E$13,1),H236))</f>
        <v>0</v>
      </c>
      <c r="K236" s="39" t="str" cm="1">
        <f t="array" aca="1" ref="K236" ca="1">IF(G236=0,"",INDEX(auto_Series_Depth,G236))</f>
        <v/>
      </c>
      <c r="L236" s="179">
        <f t="shared" ref="L236:L252" ca="1" si="66">IFERROR(IF(K236=1,0,IF(NOT(ISNUMBER(R236)),1,0)),1)</f>
        <v>0</v>
      </c>
      <c r="M236" s="180">
        <f t="shared" ref="M236:M252" ca="1" si="67">IF(L236=1,0,R236)</f>
        <v>1</v>
      </c>
      <c r="N236" s="181" t="str" cm="1">
        <f t="array" aca="1" ref="N236" ca="1">IF(G236=0,"",CONCATENATE(IF($K236&gt;=4,"    ",""),INDEX(auto_Series_NameNumbered,G236)))</f>
        <v/>
      </c>
      <c r="O236" s="181" t="str">
        <f t="shared" ref="O236:O252" ca="1" si="68">IF(G236=0,"",IF(K236=1,"",I236))</f>
        <v/>
      </c>
      <c r="P236" s="182" t="str">
        <f t="shared" ref="P236:P252" ca="1" si="69">IF(G236=0,"",IF(K236=1,"",J236))</f>
        <v/>
      </c>
      <c r="Q236" s="183" t="str">
        <f t="shared" ref="Q236:Q252" ca="1" si="70">IF($G236=0,"",IF($K236=1,"",REPT("|",P236*40)))</f>
        <v/>
      </c>
      <c r="R236" s="194">
        <v>1</v>
      </c>
      <c r="S236" s="182" t="str" cm="1">
        <f t="array" aca="1" ref="S236" ca="1">IF(G236=0,"",IF(K236=1,"",INDEX(OFFSET(iWeights!$I$18,0,0,$E$13,1),$H236)))</f>
        <v/>
      </c>
      <c r="T236" s="183" t="str">
        <f t="shared" ref="T236:T252" ca="1" si="71">IF($G236=0,"",IF($K236=1,"",REPT("|",S236*40)))</f>
        <v/>
      </c>
      <c r="U236" s="37"/>
      <c r="V236" s="37"/>
      <c r="W236" s="37"/>
      <c r="X236" s="37"/>
      <c r="Y236" s="37"/>
    </row>
    <row r="237" spans="1:25" ht="17.5" customHeight="1" x14ac:dyDescent="0.35">
      <c r="A237" s="178" t="str">
        <f t="shared" ca="1" si="65"/>
        <v>H</v>
      </c>
      <c r="B237" s="37"/>
      <c r="C237" s="37"/>
      <c r="D237" s="37"/>
      <c r="E237" s="37"/>
      <c r="F237" s="37">
        <v>201</v>
      </c>
      <c r="G237" s="39" cm="1">
        <f t="array" aca="1" ref="G237" ca="1">IFERROR(INDEX(OFFSET(auto_ss_All_Scoring,0,1,500,1),F237),0)</f>
        <v>0</v>
      </c>
      <c r="H237" s="39">
        <f ca="1">IF(G237=0,0,MATCH(G237,OFFSET(iWeights!$B$18,0,0,$E$13,1),0))</f>
        <v>0</v>
      </c>
      <c r="I237" s="39" cm="1">
        <f t="array" aca="1" ref="I237" ca="1">IF(G237=0,0,INDEX(OFFSET(iWeights!$F$18,0,0,$E$13,1),H237))</f>
        <v>0</v>
      </c>
      <c r="J237" s="39" cm="1">
        <f t="array" aca="1" ref="J237" ca="1">IF(G237=0,0,INDEX(OFFSET(iWeights!$G$18,0,0,$E$13,1),H237))</f>
        <v>0</v>
      </c>
      <c r="K237" s="39" t="str" cm="1">
        <f t="array" aca="1" ref="K237" ca="1">IF(G237=0,"",INDEX(auto_Series_Depth,G237))</f>
        <v/>
      </c>
      <c r="L237" s="179">
        <f t="shared" ca="1" si="66"/>
        <v>0</v>
      </c>
      <c r="M237" s="180">
        <f t="shared" ca="1" si="67"/>
        <v>1</v>
      </c>
      <c r="N237" s="181" t="str" cm="1">
        <f t="array" aca="1" ref="N237" ca="1">IF(G237=0,"",CONCATENATE(IF($K237&gt;=4,"    ",""),INDEX(auto_Series_NameNumbered,G237)))</f>
        <v/>
      </c>
      <c r="O237" s="181" t="str">
        <f t="shared" ca="1" si="68"/>
        <v/>
      </c>
      <c r="P237" s="182" t="str">
        <f t="shared" ca="1" si="69"/>
        <v/>
      </c>
      <c r="Q237" s="183" t="str">
        <f t="shared" ca="1" si="70"/>
        <v/>
      </c>
      <c r="R237" s="194">
        <v>1</v>
      </c>
      <c r="S237" s="182" t="str" cm="1">
        <f t="array" aca="1" ref="S237" ca="1">IF(G237=0,"",IF(K237=1,"",INDEX(OFFSET(iWeights!$I$18,0,0,$E$13,1),$H237)))</f>
        <v/>
      </c>
      <c r="T237" s="183" t="str">
        <f t="shared" ca="1" si="71"/>
        <v/>
      </c>
      <c r="U237" s="37"/>
      <c r="V237" s="37"/>
      <c r="W237" s="37"/>
      <c r="X237" s="37"/>
      <c r="Y237" s="37"/>
    </row>
    <row r="238" spans="1:25" ht="17.5" customHeight="1" x14ac:dyDescent="0.35">
      <c r="A238" s="178" t="str">
        <f t="shared" ca="1" si="65"/>
        <v>H</v>
      </c>
      <c r="B238" s="37"/>
      <c r="C238" s="37"/>
      <c r="D238" s="37"/>
      <c r="E238" s="37"/>
      <c r="F238" s="37">
        <v>202</v>
      </c>
      <c r="G238" s="39" cm="1">
        <f t="array" aca="1" ref="G238" ca="1">IFERROR(INDEX(OFFSET(auto_ss_All_Scoring,0,1,500,1),F238),0)</f>
        <v>0</v>
      </c>
      <c r="H238" s="39">
        <f ca="1">IF(G238=0,0,MATCH(G238,OFFSET(iWeights!$B$18,0,0,$E$13,1),0))</f>
        <v>0</v>
      </c>
      <c r="I238" s="39" cm="1">
        <f t="array" aca="1" ref="I238" ca="1">IF(G238=0,0,INDEX(OFFSET(iWeights!$F$18,0,0,$E$13,1),H238))</f>
        <v>0</v>
      </c>
      <c r="J238" s="39" cm="1">
        <f t="array" aca="1" ref="J238" ca="1">IF(G238=0,0,INDEX(OFFSET(iWeights!$G$18,0,0,$E$13,1),H238))</f>
        <v>0</v>
      </c>
      <c r="K238" s="39" t="str" cm="1">
        <f t="array" aca="1" ref="K238" ca="1">IF(G238=0,"",INDEX(auto_Series_Depth,G238))</f>
        <v/>
      </c>
      <c r="L238" s="179">
        <f t="shared" ca="1" si="66"/>
        <v>0</v>
      </c>
      <c r="M238" s="180">
        <f t="shared" ca="1" si="67"/>
        <v>1</v>
      </c>
      <c r="N238" s="181" t="str" cm="1">
        <f t="array" aca="1" ref="N238" ca="1">IF(G238=0,"",CONCATENATE(IF($K238&gt;=4,"    ",""),INDEX(auto_Series_NameNumbered,G238)))</f>
        <v/>
      </c>
      <c r="O238" s="181" t="str">
        <f t="shared" ca="1" si="68"/>
        <v/>
      </c>
      <c r="P238" s="182" t="str">
        <f t="shared" ca="1" si="69"/>
        <v/>
      </c>
      <c r="Q238" s="183" t="str">
        <f t="shared" ca="1" si="70"/>
        <v/>
      </c>
      <c r="R238" s="194">
        <v>1</v>
      </c>
      <c r="S238" s="182" t="str" cm="1">
        <f t="array" aca="1" ref="S238" ca="1">IF(G238=0,"",IF(K238=1,"",INDEX(OFFSET(iWeights!$I$18,0,0,$E$13,1),$H238)))</f>
        <v/>
      </c>
      <c r="T238" s="183" t="str">
        <f t="shared" ca="1" si="71"/>
        <v/>
      </c>
      <c r="U238" s="37"/>
      <c r="V238" s="37"/>
      <c r="W238" s="37"/>
      <c r="X238" s="37"/>
      <c r="Y238" s="37"/>
    </row>
    <row r="239" spans="1:25" ht="17.5" customHeight="1" x14ac:dyDescent="0.35">
      <c r="A239" s="178" t="str">
        <f t="shared" ca="1" si="65"/>
        <v>H</v>
      </c>
      <c r="B239" s="37"/>
      <c r="C239" s="37"/>
      <c r="D239" s="37"/>
      <c r="E239" s="37"/>
      <c r="F239" s="37">
        <v>203</v>
      </c>
      <c r="G239" s="39" cm="1">
        <f t="array" aca="1" ref="G239" ca="1">IFERROR(INDEX(OFFSET(auto_ss_All_Scoring,0,1,500,1),F239),0)</f>
        <v>0</v>
      </c>
      <c r="H239" s="39">
        <f ca="1">IF(G239=0,0,MATCH(G239,OFFSET(iWeights!$B$18,0,0,$E$13,1),0))</f>
        <v>0</v>
      </c>
      <c r="I239" s="39" cm="1">
        <f t="array" aca="1" ref="I239" ca="1">IF(G239=0,0,INDEX(OFFSET(iWeights!$F$18,0,0,$E$13,1),H239))</f>
        <v>0</v>
      </c>
      <c r="J239" s="39" cm="1">
        <f t="array" aca="1" ref="J239" ca="1">IF(G239=0,0,INDEX(OFFSET(iWeights!$G$18,0,0,$E$13,1),H239))</f>
        <v>0</v>
      </c>
      <c r="K239" s="39" t="str" cm="1">
        <f t="array" aca="1" ref="K239" ca="1">IF(G239=0,"",INDEX(auto_Series_Depth,G239))</f>
        <v/>
      </c>
      <c r="L239" s="179">
        <f t="shared" ca="1" si="66"/>
        <v>0</v>
      </c>
      <c r="M239" s="180">
        <f t="shared" ca="1" si="67"/>
        <v>1</v>
      </c>
      <c r="N239" s="181" t="str" cm="1">
        <f t="array" aca="1" ref="N239" ca="1">IF(G239=0,"",CONCATENATE(IF($K239&gt;=4,"    ",""),INDEX(auto_Series_NameNumbered,G239)))</f>
        <v/>
      </c>
      <c r="O239" s="181" t="str">
        <f t="shared" ca="1" si="68"/>
        <v/>
      </c>
      <c r="P239" s="182" t="str">
        <f t="shared" ca="1" si="69"/>
        <v/>
      </c>
      <c r="Q239" s="183" t="str">
        <f t="shared" ca="1" si="70"/>
        <v/>
      </c>
      <c r="R239" s="194">
        <v>1</v>
      </c>
      <c r="S239" s="182" t="str" cm="1">
        <f t="array" aca="1" ref="S239" ca="1">IF(G239=0,"",IF(K239=1,"",INDEX(OFFSET(iWeights!$I$18,0,0,$E$13,1),$H239)))</f>
        <v/>
      </c>
      <c r="T239" s="183" t="str">
        <f t="shared" ca="1" si="71"/>
        <v/>
      </c>
      <c r="U239" s="37"/>
      <c r="V239" s="37"/>
      <c r="W239" s="37"/>
      <c r="X239" s="37"/>
      <c r="Y239" s="37"/>
    </row>
    <row r="240" spans="1:25" ht="17.5" customHeight="1" x14ac:dyDescent="0.35">
      <c r="A240" s="178" t="str">
        <f t="shared" ca="1" si="65"/>
        <v>H</v>
      </c>
      <c r="B240" s="37"/>
      <c r="C240" s="37"/>
      <c r="D240" s="37"/>
      <c r="E240" s="37"/>
      <c r="F240" s="37">
        <v>204</v>
      </c>
      <c r="G240" s="39" cm="1">
        <f t="array" aca="1" ref="G240" ca="1">IFERROR(INDEX(OFFSET(auto_ss_All_Scoring,0,1,500,1),F240),0)</f>
        <v>0</v>
      </c>
      <c r="H240" s="39">
        <f ca="1">IF(G240=0,0,MATCH(G240,OFFSET(iWeights!$B$18,0,0,$E$13,1),0))</f>
        <v>0</v>
      </c>
      <c r="I240" s="39" cm="1">
        <f t="array" aca="1" ref="I240" ca="1">IF(G240=0,0,INDEX(OFFSET(iWeights!$F$18,0,0,$E$13,1),H240))</f>
        <v>0</v>
      </c>
      <c r="J240" s="39" cm="1">
        <f t="array" aca="1" ref="J240" ca="1">IF(G240=0,0,INDEX(OFFSET(iWeights!$G$18,0,0,$E$13,1),H240))</f>
        <v>0</v>
      </c>
      <c r="K240" s="39" t="str" cm="1">
        <f t="array" aca="1" ref="K240" ca="1">IF(G240=0,"",INDEX(auto_Series_Depth,G240))</f>
        <v/>
      </c>
      <c r="L240" s="179">
        <f t="shared" ca="1" si="66"/>
        <v>0</v>
      </c>
      <c r="M240" s="180">
        <f t="shared" ca="1" si="67"/>
        <v>1</v>
      </c>
      <c r="N240" s="181" t="str" cm="1">
        <f t="array" aca="1" ref="N240" ca="1">IF(G240=0,"",CONCATENATE(IF($K240&gt;=4,"    ",""),INDEX(auto_Series_NameNumbered,G240)))</f>
        <v/>
      </c>
      <c r="O240" s="181" t="str">
        <f t="shared" ca="1" si="68"/>
        <v/>
      </c>
      <c r="P240" s="182" t="str">
        <f t="shared" ca="1" si="69"/>
        <v/>
      </c>
      <c r="Q240" s="183" t="str">
        <f t="shared" ca="1" si="70"/>
        <v/>
      </c>
      <c r="R240" s="194">
        <v>1</v>
      </c>
      <c r="S240" s="182" t="str" cm="1">
        <f t="array" aca="1" ref="S240" ca="1">IF(G240=0,"",IF(K240=1,"",INDEX(OFFSET(iWeights!$I$18,0,0,$E$13,1),$H240)))</f>
        <v/>
      </c>
      <c r="T240" s="183" t="str">
        <f t="shared" ca="1" si="71"/>
        <v/>
      </c>
      <c r="U240" s="37"/>
      <c r="V240" s="37"/>
      <c r="W240" s="37"/>
      <c r="X240" s="37"/>
      <c r="Y240" s="37"/>
    </row>
    <row r="241" spans="1:25" ht="17.5" customHeight="1" x14ac:dyDescent="0.35">
      <c r="A241" s="178" t="str">
        <f t="shared" ca="1" si="65"/>
        <v>H</v>
      </c>
      <c r="B241" s="37"/>
      <c r="C241" s="37"/>
      <c r="D241" s="37"/>
      <c r="E241" s="37"/>
      <c r="F241" s="37">
        <v>205</v>
      </c>
      <c r="G241" s="39" cm="1">
        <f t="array" aca="1" ref="G241" ca="1">IFERROR(INDEX(OFFSET(auto_ss_All_Scoring,0,1,500,1),F241),0)</f>
        <v>0</v>
      </c>
      <c r="H241" s="39">
        <f ca="1">IF(G241=0,0,MATCH(G241,OFFSET(iWeights!$B$18,0,0,$E$13,1),0))</f>
        <v>0</v>
      </c>
      <c r="I241" s="39" cm="1">
        <f t="array" aca="1" ref="I241" ca="1">IF(G241=0,0,INDEX(OFFSET(iWeights!$F$18,0,0,$E$13,1),H241))</f>
        <v>0</v>
      </c>
      <c r="J241" s="39" cm="1">
        <f t="array" aca="1" ref="J241" ca="1">IF(G241=0,0,INDEX(OFFSET(iWeights!$G$18,0,0,$E$13,1),H241))</f>
        <v>0</v>
      </c>
      <c r="K241" s="39" t="str" cm="1">
        <f t="array" aca="1" ref="K241" ca="1">IF(G241=0,"",INDEX(auto_Series_Depth,G241))</f>
        <v/>
      </c>
      <c r="L241" s="179">
        <f t="shared" ca="1" si="66"/>
        <v>0</v>
      </c>
      <c r="M241" s="180">
        <f t="shared" ca="1" si="67"/>
        <v>1</v>
      </c>
      <c r="N241" s="181" t="str" cm="1">
        <f t="array" aca="1" ref="N241" ca="1">IF(G241=0,"",CONCATENATE(IF($K241&gt;=4,"    ",""),INDEX(auto_Series_NameNumbered,G241)))</f>
        <v/>
      </c>
      <c r="O241" s="181" t="str">
        <f t="shared" ca="1" si="68"/>
        <v/>
      </c>
      <c r="P241" s="182" t="str">
        <f t="shared" ca="1" si="69"/>
        <v/>
      </c>
      <c r="Q241" s="183" t="str">
        <f t="shared" ca="1" si="70"/>
        <v/>
      </c>
      <c r="R241" s="194">
        <v>1</v>
      </c>
      <c r="S241" s="182" t="str" cm="1">
        <f t="array" aca="1" ref="S241" ca="1">IF(G241=0,"",IF(K241=1,"",INDEX(OFFSET(iWeights!$I$18,0,0,$E$13,1),$H241)))</f>
        <v/>
      </c>
      <c r="T241" s="183" t="str">
        <f t="shared" ca="1" si="71"/>
        <v/>
      </c>
      <c r="U241" s="37"/>
      <c r="V241" s="37"/>
      <c r="W241" s="37"/>
      <c r="X241" s="37"/>
      <c r="Y241" s="37"/>
    </row>
    <row r="242" spans="1:25" ht="17.5" customHeight="1" x14ac:dyDescent="0.35">
      <c r="A242" s="178" t="str">
        <f t="shared" ca="1" si="65"/>
        <v>H</v>
      </c>
      <c r="B242" s="37"/>
      <c r="C242" s="37"/>
      <c r="D242" s="37"/>
      <c r="E242" s="37"/>
      <c r="F242" s="37">
        <v>206</v>
      </c>
      <c r="G242" s="39" cm="1">
        <f t="array" aca="1" ref="G242" ca="1">IFERROR(INDEX(OFFSET(auto_ss_All_Scoring,0,1,500,1),F242),0)</f>
        <v>0</v>
      </c>
      <c r="H242" s="39">
        <f ca="1">IF(G242=0,0,MATCH(G242,OFFSET(iWeights!$B$18,0,0,$E$13,1),0))</f>
        <v>0</v>
      </c>
      <c r="I242" s="39" cm="1">
        <f t="array" aca="1" ref="I242" ca="1">IF(G242=0,0,INDEX(OFFSET(iWeights!$F$18,0,0,$E$13,1),H242))</f>
        <v>0</v>
      </c>
      <c r="J242" s="39" cm="1">
        <f t="array" aca="1" ref="J242" ca="1">IF(G242=0,0,INDEX(OFFSET(iWeights!$G$18,0,0,$E$13,1),H242))</f>
        <v>0</v>
      </c>
      <c r="K242" s="39" t="str" cm="1">
        <f t="array" aca="1" ref="K242" ca="1">IF(G242=0,"",INDEX(auto_Series_Depth,G242))</f>
        <v/>
      </c>
      <c r="L242" s="179">
        <f t="shared" ca="1" si="66"/>
        <v>0</v>
      </c>
      <c r="M242" s="180">
        <f t="shared" ca="1" si="67"/>
        <v>1</v>
      </c>
      <c r="N242" s="181" t="str" cm="1">
        <f t="array" aca="1" ref="N242" ca="1">IF(G242=0,"",CONCATENATE(IF($K242&gt;=4,"    ",""),INDEX(auto_Series_NameNumbered,G242)))</f>
        <v/>
      </c>
      <c r="O242" s="181" t="str">
        <f t="shared" ca="1" si="68"/>
        <v/>
      </c>
      <c r="P242" s="182" t="str">
        <f t="shared" ca="1" si="69"/>
        <v/>
      </c>
      <c r="Q242" s="183" t="str">
        <f t="shared" ca="1" si="70"/>
        <v/>
      </c>
      <c r="R242" s="194">
        <v>1</v>
      </c>
      <c r="S242" s="182" t="str" cm="1">
        <f t="array" aca="1" ref="S242" ca="1">IF(G242=0,"",IF(K242=1,"",INDEX(OFFSET(iWeights!$I$18,0,0,$E$13,1),$H242)))</f>
        <v/>
      </c>
      <c r="T242" s="183" t="str">
        <f t="shared" ca="1" si="71"/>
        <v/>
      </c>
      <c r="U242" s="37"/>
      <c r="V242" s="37"/>
      <c r="W242" s="37"/>
      <c r="X242" s="37"/>
      <c r="Y242" s="37"/>
    </row>
    <row r="243" spans="1:25" ht="17.5" customHeight="1" x14ac:dyDescent="0.35">
      <c r="A243" s="178" t="str">
        <f t="shared" ca="1" si="65"/>
        <v>H</v>
      </c>
      <c r="B243" s="37"/>
      <c r="C243" s="37"/>
      <c r="D243" s="37"/>
      <c r="E243" s="37"/>
      <c r="F243" s="37">
        <v>207</v>
      </c>
      <c r="G243" s="39" cm="1">
        <f t="array" aca="1" ref="G243" ca="1">IFERROR(INDEX(OFFSET(auto_ss_All_Scoring,0,1,500,1),F243),0)</f>
        <v>0</v>
      </c>
      <c r="H243" s="39">
        <f ca="1">IF(G243=0,0,MATCH(G243,OFFSET(iWeights!$B$18,0,0,$E$13,1),0))</f>
        <v>0</v>
      </c>
      <c r="I243" s="39" cm="1">
        <f t="array" aca="1" ref="I243" ca="1">IF(G243=0,0,INDEX(OFFSET(iWeights!$F$18,0,0,$E$13,1),H243))</f>
        <v>0</v>
      </c>
      <c r="J243" s="39" cm="1">
        <f t="array" aca="1" ref="J243" ca="1">IF(G243=0,0,INDEX(OFFSET(iWeights!$G$18,0,0,$E$13,1),H243))</f>
        <v>0</v>
      </c>
      <c r="K243" s="39" t="str" cm="1">
        <f t="array" aca="1" ref="K243" ca="1">IF(G243=0,"",INDEX(auto_Series_Depth,G243))</f>
        <v/>
      </c>
      <c r="L243" s="179">
        <f t="shared" ca="1" si="66"/>
        <v>0</v>
      </c>
      <c r="M243" s="180">
        <f t="shared" ca="1" si="67"/>
        <v>1</v>
      </c>
      <c r="N243" s="181" t="str" cm="1">
        <f t="array" aca="1" ref="N243" ca="1">IF(G243=0,"",CONCATENATE(IF($K243&gt;=4,"    ",""),INDEX(auto_Series_NameNumbered,G243)))</f>
        <v/>
      </c>
      <c r="O243" s="181" t="str">
        <f t="shared" ca="1" si="68"/>
        <v/>
      </c>
      <c r="P243" s="182" t="str">
        <f t="shared" ca="1" si="69"/>
        <v/>
      </c>
      <c r="Q243" s="183" t="str">
        <f t="shared" ca="1" si="70"/>
        <v/>
      </c>
      <c r="R243" s="194">
        <v>1</v>
      </c>
      <c r="S243" s="182" t="str" cm="1">
        <f t="array" aca="1" ref="S243" ca="1">IF(G243=0,"",IF(K243=1,"",INDEX(OFFSET(iWeights!$I$18,0,0,$E$13,1),$H243)))</f>
        <v/>
      </c>
      <c r="T243" s="183" t="str">
        <f t="shared" ca="1" si="71"/>
        <v/>
      </c>
      <c r="U243" s="37"/>
      <c r="V243" s="37"/>
      <c r="W243" s="37"/>
      <c r="X243" s="37"/>
      <c r="Y243" s="37"/>
    </row>
    <row r="244" spans="1:25" ht="17.5" customHeight="1" x14ac:dyDescent="0.35">
      <c r="A244" s="178" t="str">
        <f t="shared" ca="1" si="65"/>
        <v>H</v>
      </c>
      <c r="B244" s="37"/>
      <c r="C244" s="37"/>
      <c r="D244" s="37"/>
      <c r="E244" s="37"/>
      <c r="F244" s="37">
        <v>208</v>
      </c>
      <c r="G244" s="39" cm="1">
        <f t="array" aca="1" ref="G244" ca="1">IFERROR(INDEX(OFFSET(auto_ss_All_Scoring,0,1,500,1),F244),0)</f>
        <v>0</v>
      </c>
      <c r="H244" s="39">
        <f ca="1">IF(G244=0,0,MATCH(G244,OFFSET(iWeights!$B$18,0,0,$E$13,1),0))</f>
        <v>0</v>
      </c>
      <c r="I244" s="39" cm="1">
        <f t="array" aca="1" ref="I244" ca="1">IF(G244=0,0,INDEX(OFFSET(iWeights!$F$18,0,0,$E$13,1),H244))</f>
        <v>0</v>
      </c>
      <c r="J244" s="39" cm="1">
        <f t="array" aca="1" ref="J244" ca="1">IF(G244=0,0,INDEX(OFFSET(iWeights!$G$18,0,0,$E$13,1),H244))</f>
        <v>0</v>
      </c>
      <c r="K244" s="39" t="str" cm="1">
        <f t="array" aca="1" ref="K244" ca="1">IF(G244=0,"",INDEX(auto_Series_Depth,G244))</f>
        <v/>
      </c>
      <c r="L244" s="179">
        <f t="shared" ca="1" si="66"/>
        <v>0</v>
      </c>
      <c r="M244" s="180">
        <f t="shared" ca="1" si="67"/>
        <v>1</v>
      </c>
      <c r="N244" s="181" t="str" cm="1">
        <f t="array" aca="1" ref="N244" ca="1">IF(G244=0,"",CONCATENATE(IF($K244&gt;=4,"    ",""),INDEX(auto_Series_NameNumbered,G244)))</f>
        <v/>
      </c>
      <c r="O244" s="181" t="str">
        <f t="shared" ca="1" si="68"/>
        <v/>
      </c>
      <c r="P244" s="182" t="str">
        <f t="shared" ca="1" si="69"/>
        <v/>
      </c>
      <c r="Q244" s="183" t="str">
        <f t="shared" ca="1" si="70"/>
        <v/>
      </c>
      <c r="R244" s="194">
        <v>1</v>
      </c>
      <c r="S244" s="182" t="str" cm="1">
        <f t="array" aca="1" ref="S244" ca="1">IF(G244=0,"",IF(K244=1,"",INDEX(OFFSET(iWeights!$I$18,0,0,$E$13,1),$H244)))</f>
        <v/>
      </c>
      <c r="T244" s="183" t="str">
        <f t="shared" ca="1" si="71"/>
        <v/>
      </c>
      <c r="U244" s="37"/>
      <c r="V244" s="37"/>
      <c r="W244" s="37"/>
      <c r="X244" s="37"/>
      <c r="Y244" s="37"/>
    </row>
    <row r="245" spans="1:25" ht="17.5" customHeight="1" x14ac:dyDescent="0.35">
      <c r="A245" s="178" t="str">
        <f t="shared" ca="1" si="65"/>
        <v>H</v>
      </c>
      <c r="B245" s="37"/>
      <c r="C245" s="37"/>
      <c r="D245" s="37"/>
      <c r="E245" s="37"/>
      <c r="F245" s="37">
        <v>209</v>
      </c>
      <c r="G245" s="39" cm="1">
        <f t="array" aca="1" ref="G245" ca="1">IFERROR(INDEX(OFFSET(auto_ss_All_Scoring,0,1,500,1),F245),0)</f>
        <v>0</v>
      </c>
      <c r="H245" s="39">
        <f ca="1">IF(G245=0,0,MATCH(G245,OFFSET(iWeights!$B$18,0,0,$E$13,1),0))</f>
        <v>0</v>
      </c>
      <c r="I245" s="39" cm="1">
        <f t="array" aca="1" ref="I245" ca="1">IF(G245=0,0,INDEX(OFFSET(iWeights!$F$18,0,0,$E$13,1),H245))</f>
        <v>0</v>
      </c>
      <c r="J245" s="39" cm="1">
        <f t="array" aca="1" ref="J245" ca="1">IF(G245=0,0,INDEX(OFFSET(iWeights!$G$18,0,0,$E$13,1),H245))</f>
        <v>0</v>
      </c>
      <c r="K245" s="39" t="str" cm="1">
        <f t="array" aca="1" ref="K245" ca="1">IF(G245=0,"",INDEX(auto_Series_Depth,G245))</f>
        <v/>
      </c>
      <c r="L245" s="179">
        <f t="shared" ca="1" si="66"/>
        <v>0</v>
      </c>
      <c r="M245" s="180">
        <f t="shared" ca="1" si="67"/>
        <v>1</v>
      </c>
      <c r="N245" s="181" t="str" cm="1">
        <f t="array" aca="1" ref="N245" ca="1">IF(G245=0,"",CONCATENATE(IF($K245&gt;=4,"    ",""),INDEX(auto_Series_NameNumbered,G245)))</f>
        <v/>
      </c>
      <c r="O245" s="181" t="str">
        <f t="shared" ca="1" si="68"/>
        <v/>
      </c>
      <c r="P245" s="182" t="str">
        <f t="shared" ca="1" si="69"/>
        <v/>
      </c>
      <c r="Q245" s="183" t="str">
        <f t="shared" ca="1" si="70"/>
        <v/>
      </c>
      <c r="R245" s="194">
        <v>1</v>
      </c>
      <c r="S245" s="182" t="str" cm="1">
        <f t="array" aca="1" ref="S245" ca="1">IF(G245=0,"",IF(K245=1,"",INDEX(OFFSET(iWeights!$I$18,0,0,$E$13,1),$H245)))</f>
        <v/>
      </c>
      <c r="T245" s="183" t="str">
        <f t="shared" ca="1" si="71"/>
        <v/>
      </c>
      <c r="U245" s="37"/>
      <c r="V245" s="37"/>
      <c r="W245" s="37"/>
      <c r="X245" s="37"/>
      <c r="Y245" s="37"/>
    </row>
    <row r="246" spans="1:25" ht="17.5" customHeight="1" x14ac:dyDescent="0.35">
      <c r="A246" s="178" t="str">
        <f t="shared" ca="1" si="65"/>
        <v>H</v>
      </c>
      <c r="B246" s="37"/>
      <c r="C246" s="37"/>
      <c r="D246" s="37"/>
      <c r="E246" s="37"/>
      <c r="F246" s="37">
        <v>210</v>
      </c>
      <c r="G246" s="39" cm="1">
        <f t="array" aca="1" ref="G246" ca="1">IFERROR(INDEX(OFFSET(auto_ss_All_Scoring,0,1,500,1),F246),0)</f>
        <v>0</v>
      </c>
      <c r="H246" s="39">
        <f ca="1">IF(G246=0,0,MATCH(G246,OFFSET(iWeights!$B$18,0,0,$E$13,1),0))</f>
        <v>0</v>
      </c>
      <c r="I246" s="39" cm="1">
        <f t="array" aca="1" ref="I246" ca="1">IF(G246=0,0,INDEX(OFFSET(iWeights!$F$18,0,0,$E$13,1),H246))</f>
        <v>0</v>
      </c>
      <c r="J246" s="39" cm="1">
        <f t="array" aca="1" ref="J246" ca="1">IF(G246=0,0,INDEX(OFFSET(iWeights!$G$18,0,0,$E$13,1),H246))</f>
        <v>0</v>
      </c>
      <c r="K246" s="39" t="str" cm="1">
        <f t="array" aca="1" ref="K246" ca="1">IF(G246=0,"",INDEX(auto_Series_Depth,G246))</f>
        <v/>
      </c>
      <c r="L246" s="179">
        <f t="shared" ca="1" si="66"/>
        <v>0</v>
      </c>
      <c r="M246" s="180">
        <f t="shared" ca="1" si="67"/>
        <v>1</v>
      </c>
      <c r="N246" s="181" t="str" cm="1">
        <f t="array" aca="1" ref="N246" ca="1">IF(G246=0,"",CONCATENATE(IF($K246&gt;=4,"    ",""),INDEX(auto_Series_NameNumbered,G246)))</f>
        <v/>
      </c>
      <c r="O246" s="181" t="str">
        <f t="shared" ca="1" si="68"/>
        <v/>
      </c>
      <c r="P246" s="182" t="str">
        <f t="shared" ca="1" si="69"/>
        <v/>
      </c>
      <c r="Q246" s="183" t="str">
        <f t="shared" ca="1" si="70"/>
        <v/>
      </c>
      <c r="R246" s="194">
        <v>1</v>
      </c>
      <c r="S246" s="182" t="str" cm="1">
        <f t="array" aca="1" ref="S246" ca="1">IF(G246=0,"",IF(K246=1,"",INDEX(OFFSET(iWeights!$I$18,0,0,$E$13,1),$H246)))</f>
        <v/>
      </c>
      <c r="T246" s="183" t="str">
        <f t="shared" ca="1" si="71"/>
        <v/>
      </c>
      <c r="U246" s="37"/>
      <c r="V246" s="37"/>
      <c r="W246" s="37"/>
      <c r="X246" s="37"/>
      <c r="Y246" s="37"/>
    </row>
    <row r="247" spans="1:25" ht="17.5" customHeight="1" x14ac:dyDescent="0.35">
      <c r="A247" s="178" t="str">
        <f t="shared" ca="1" si="65"/>
        <v>H</v>
      </c>
      <c r="B247" s="37"/>
      <c r="C247" s="37"/>
      <c r="D247" s="37"/>
      <c r="E247" s="37"/>
      <c r="F247" s="37">
        <v>211</v>
      </c>
      <c r="G247" s="39" cm="1">
        <f t="array" aca="1" ref="G247" ca="1">IFERROR(INDEX(OFFSET(auto_ss_All_Scoring,0,1,500,1),F247),0)</f>
        <v>0</v>
      </c>
      <c r="H247" s="39">
        <f ca="1">IF(G247=0,0,MATCH(G247,OFFSET(iWeights!$B$18,0,0,$E$13,1),0))</f>
        <v>0</v>
      </c>
      <c r="I247" s="39" cm="1">
        <f t="array" aca="1" ref="I247" ca="1">IF(G247=0,0,INDEX(OFFSET(iWeights!$F$18,0,0,$E$13,1),H247))</f>
        <v>0</v>
      </c>
      <c r="J247" s="39" cm="1">
        <f t="array" aca="1" ref="J247" ca="1">IF(G247=0,0,INDEX(OFFSET(iWeights!$G$18,0,0,$E$13,1),H247))</f>
        <v>0</v>
      </c>
      <c r="K247" s="39" t="str" cm="1">
        <f t="array" aca="1" ref="K247" ca="1">IF(G247=0,"",INDEX(auto_Series_Depth,G247))</f>
        <v/>
      </c>
      <c r="L247" s="179">
        <f t="shared" ca="1" si="66"/>
        <v>0</v>
      </c>
      <c r="M247" s="180">
        <f t="shared" ca="1" si="67"/>
        <v>1</v>
      </c>
      <c r="N247" s="181" t="str" cm="1">
        <f t="array" aca="1" ref="N247" ca="1">IF(G247=0,"",CONCATENATE(IF($K247&gt;=4,"    ",""),INDEX(auto_Series_NameNumbered,G247)))</f>
        <v/>
      </c>
      <c r="O247" s="181" t="str">
        <f t="shared" ca="1" si="68"/>
        <v/>
      </c>
      <c r="P247" s="182" t="str">
        <f t="shared" ca="1" si="69"/>
        <v/>
      </c>
      <c r="Q247" s="183" t="str">
        <f t="shared" ca="1" si="70"/>
        <v/>
      </c>
      <c r="R247" s="194">
        <v>1</v>
      </c>
      <c r="S247" s="182" t="str" cm="1">
        <f t="array" aca="1" ref="S247" ca="1">IF(G247=0,"",IF(K247=1,"",INDEX(OFFSET(iWeights!$I$18,0,0,$E$13,1),$H247)))</f>
        <v/>
      </c>
      <c r="T247" s="183" t="str">
        <f t="shared" ca="1" si="71"/>
        <v/>
      </c>
      <c r="U247" s="37"/>
      <c r="V247" s="37"/>
      <c r="W247" s="37"/>
      <c r="X247" s="37"/>
      <c r="Y247" s="37"/>
    </row>
    <row r="248" spans="1:25" ht="17.5" customHeight="1" x14ac:dyDescent="0.35">
      <c r="A248" s="178" t="str">
        <f t="shared" ca="1" si="65"/>
        <v>H</v>
      </c>
      <c r="B248" s="37"/>
      <c r="C248" s="37"/>
      <c r="D248" s="37"/>
      <c r="E248" s="37"/>
      <c r="F248" s="37">
        <v>212</v>
      </c>
      <c r="G248" s="39" cm="1">
        <f t="array" aca="1" ref="G248" ca="1">IFERROR(INDEX(OFFSET(auto_ss_All_Scoring,0,1,500,1),F248),0)</f>
        <v>0</v>
      </c>
      <c r="H248" s="39">
        <f ca="1">IF(G248=0,0,MATCH(G248,OFFSET(iWeights!$B$18,0,0,$E$13,1),0))</f>
        <v>0</v>
      </c>
      <c r="I248" s="39" cm="1">
        <f t="array" aca="1" ref="I248" ca="1">IF(G248=0,0,INDEX(OFFSET(iWeights!$F$18,0,0,$E$13,1),H248))</f>
        <v>0</v>
      </c>
      <c r="J248" s="39" cm="1">
        <f t="array" aca="1" ref="J248" ca="1">IF(G248=0,0,INDEX(OFFSET(iWeights!$G$18,0,0,$E$13,1),H248))</f>
        <v>0</v>
      </c>
      <c r="K248" s="39" t="str" cm="1">
        <f t="array" aca="1" ref="K248" ca="1">IF(G248=0,"",INDEX(auto_Series_Depth,G248))</f>
        <v/>
      </c>
      <c r="L248" s="179">
        <f t="shared" ca="1" si="66"/>
        <v>0</v>
      </c>
      <c r="M248" s="180">
        <f t="shared" ca="1" si="67"/>
        <v>1</v>
      </c>
      <c r="N248" s="181" t="str" cm="1">
        <f t="array" aca="1" ref="N248" ca="1">IF(G248=0,"",CONCATENATE(IF($K248&gt;=4,"    ",""),INDEX(auto_Series_NameNumbered,G248)))</f>
        <v/>
      </c>
      <c r="O248" s="181" t="str">
        <f t="shared" ca="1" si="68"/>
        <v/>
      </c>
      <c r="P248" s="182" t="str">
        <f t="shared" ca="1" si="69"/>
        <v/>
      </c>
      <c r="Q248" s="183" t="str">
        <f t="shared" ca="1" si="70"/>
        <v/>
      </c>
      <c r="R248" s="194">
        <v>1</v>
      </c>
      <c r="S248" s="182" t="str" cm="1">
        <f t="array" aca="1" ref="S248" ca="1">IF(G248=0,"",IF(K248=1,"",INDEX(OFFSET(iWeights!$I$18,0,0,$E$13,1),$H248)))</f>
        <v/>
      </c>
      <c r="T248" s="183" t="str">
        <f t="shared" ca="1" si="71"/>
        <v/>
      </c>
      <c r="U248" s="37"/>
      <c r="V248" s="37"/>
      <c r="W248" s="37"/>
      <c r="X248" s="37"/>
      <c r="Y248" s="37"/>
    </row>
    <row r="249" spans="1:25" ht="17.5" customHeight="1" x14ac:dyDescent="0.35">
      <c r="A249" s="178" t="str">
        <f t="shared" ca="1" si="65"/>
        <v>H</v>
      </c>
      <c r="B249" s="37"/>
      <c r="C249" s="37"/>
      <c r="D249" s="37"/>
      <c r="E249" s="37"/>
      <c r="F249" s="37">
        <v>213</v>
      </c>
      <c r="G249" s="39" cm="1">
        <f t="array" aca="1" ref="G249" ca="1">IFERROR(INDEX(OFFSET(auto_ss_All_Scoring,0,1,500,1),F249),0)</f>
        <v>0</v>
      </c>
      <c r="H249" s="39">
        <f ca="1">IF(G249=0,0,MATCH(G249,OFFSET(iWeights!$B$18,0,0,$E$13,1),0))</f>
        <v>0</v>
      </c>
      <c r="I249" s="39" cm="1">
        <f t="array" aca="1" ref="I249" ca="1">IF(G249=0,0,INDEX(OFFSET(iWeights!$F$18,0,0,$E$13,1),H249))</f>
        <v>0</v>
      </c>
      <c r="J249" s="39" cm="1">
        <f t="array" aca="1" ref="J249" ca="1">IF(G249=0,0,INDEX(OFFSET(iWeights!$G$18,0,0,$E$13,1),H249))</f>
        <v>0</v>
      </c>
      <c r="K249" s="39" t="str" cm="1">
        <f t="array" aca="1" ref="K249" ca="1">IF(G249=0,"",INDEX(auto_Series_Depth,G249))</f>
        <v/>
      </c>
      <c r="L249" s="179">
        <f t="shared" ca="1" si="66"/>
        <v>0</v>
      </c>
      <c r="M249" s="180">
        <f t="shared" ca="1" si="67"/>
        <v>1</v>
      </c>
      <c r="N249" s="181" t="str" cm="1">
        <f t="array" aca="1" ref="N249" ca="1">IF(G249=0,"",CONCATENATE(IF($K249&gt;=4,"    ",""),INDEX(auto_Series_NameNumbered,G249)))</f>
        <v/>
      </c>
      <c r="O249" s="181" t="str">
        <f t="shared" ca="1" si="68"/>
        <v/>
      </c>
      <c r="P249" s="182" t="str">
        <f t="shared" ca="1" si="69"/>
        <v/>
      </c>
      <c r="Q249" s="183" t="str">
        <f t="shared" ca="1" si="70"/>
        <v/>
      </c>
      <c r="R249" s="194">
        <v>1</v>
      </c>
      <c r="S249" s="182" t="str" cm="1">
        <f t="array" aca="1" ref="S249" ca="1">IF(G249=0,"",IF(K249=1,"",INDEX(OFFSET(iWeights!$I$18,0,0,$E$13,1),$H249)))</f>
        <v/>
      </c>
      <c r="T249" s="183" t="str">
        <f t="shared" ca="1" si="71"/>
        <v/>
      </c>
      <c r="U249" s="37"/>
      <c r="V249" s="37"/>
      <c r="W249" s="37"/>
      <c r="X249" s="37"/>
      <c r="Y249" s="37"/>
    </row>
    <row r="250" spans="1:25" ht="17.5" customHeight="1" x14ac:dyDescent="0.35">
      <c r="A250" s="178" t="str">
        <f t="shared" ca="1" si="65"/>
        <v>H</v>
      </c>
      <c r="B250" s="37"/>
      <c r="C250" s="37"/>
      <c r="D250" s="37"/>
      <c r="E250" s="37"/>
      <c r="F250" s="37">
        <v>214</v>
      </c>
      <c r="G250" s="39" cm="1">
        <f t="array" aca="1" ref="G250" ca="1">IFERROR(INDEX(OFFSET(auto_ss_All_Scoring,0,1,500,1),F250),0)</f>
        <v>0</v>
      </c>
      <c r="H250" s="39">
        <f ca="1">IF(G250=0,0,MATCH(G250,OFFSET(iWeights!$B$18,0,0,$E$13,1),0))</f>
        <v>0</v>
      </c>
      <c r="I250" s="39" cm="1">
        <f t="array" aca="1" ref="I250" ca="1">IF(G250=0,0,INDEX(OFFSET(iWeights!$F$18,0,0,$E$13,1),H250))</f>
        <v>0</v>
      </c>
      <c r="J250" s="39" cm="1">
        <f t="array" aca="1" ref="J250" ca="1">IF(G250=0,0,INDEX(OFFSET(iWeights!$G$18,0,0,$E$13,1),H250))</f>
        <v>0</v>
      </c>
      <c r="K250" s="39" t="str" cm="1">
        <f t="array" aca="1" ref="K250" ca="1">IF(G250=0,"",INDEX(auto_Series_Depth,G250))</f>
        <v/>
      </c>
      <c r="L250" s="179">
        <f t="shared" ca="1" si="66"/>
        <v>0</v>
      </c>
      <c r="M250" s="180">
        <f t="shared" ca="1" si="67"/>
        <v>1</v>
      </c>
      <c r="N250" s="181" t="str" cm="1">
        <f t="array" aca="1" ref="N250" ca="1">IF(G250=0,"",CONCATENATE(IF($K250&gt;=4,"    ",""),INDEX(auto_Series_NameNumbered,G250)))</f>
        <v/>
      </c>
      <c r="O250" s="181" t="str">
        <f t="shared" ca="1" si="68"/>
        <v/>
      </c>
      <c r="P250" s="182" t="str">
        <f t="shared" ca="1" si="69"/>
        <v/>
      </c>
      <c r="Q250" s="183" t="str">
        <f t="shared" ca="1" si="70"/>
        <v/>
      </c>
      <c r="R250" s="194">
        <v>1</v>
      </c>
      <c r="S250" s="182" t="str" cm="1">
        <f t="array" aca="1" ref="S250" ca="1">IF(G250=0,"",IF(K250=1,"",INDEX(OFFSET(iWeights!$I$18,0,0,$E$13,1),$H250)))</f>
        <v/>
      </c>
      <c r="T250" s="183" t="str">
        <f t="shared" ca="1" si="71"/>
        <v/>
      </c>
      <c r="U250" s="37"/>
      <c r="V250" s="37"/>
      <c r="W250" s="37"/>
      <c r="X250" s="37"/>
      <c r="Y250" s="37"/>
    </row>
    <row r="251" spans="1:25" ht="17.5" customHeight="1" x14ac:dyDescent="0.35">
      <c r="A251" s="178" t="str">
        <f t="shared" ca="1" si="65"/>
        <v>H</v>
      </c>
      <c r="B251" s="37"/>
      <c r="C251" s="37"/>
      <c r="D251" s="37"/>
      <c r="E251" s="37"/>
      <c r="F251" s="37">
        <v>215</v>
      </c>
      <c r="G251" s="39" cm="1">
        <f t="array" aca="1" ref="G251" ca="1">IFERROR(INDEX(OFFSET(auto_ss_All_Scoring,0,1,500,1),F251),0)</f>
        <v>0</v>
      </c>
      <c r="H251" s="39">
        <f ca="1">IF(G251=0,0,MATCH(G251,OFFSET(iWeights!$B$18,0,0,$E$13,1),0))</f>
        <v>0</v>
      </c>
      <c r="I251" s="39" cm="1">
        <f t="array" aca="1" ref="I251" ca="1">IF(G251=0,0,INDEX(OFFSET(iWeights!$F$18,0,0,$E$13,1),H251))</f>
        <v>0</v>
      </c>
      <c r="J251" s="39" cm="1">
        <f t="array" aca="1" ref="J251" ca="1">IF(G251=0,0,INDEX(OFFSET(iWeights!$G$18,0,0,$E$13,1),H251))</f>
        <v>0</v>
      </c>
      <c r="K251" s="39" t="str" cm="1">
        <f t="array" aca="1" ref="K251" ca="1">IF(G251=0,"",INDEX(auto_Series_Depth,G251))</f>
        <v/>
      </c>
      <c r="L251" s="179">
        <f t="shared" ca="1" si="66"/>
        <v>0</v>
      </c>
      <c r="M251" s="180">
        <f t="shared" ca="1" si="67"/>
        <v>1</v>
      </c>
      <c r="N251" s="181" t="str" cm="1">
        <f t="array" aca="1" ref="N251" ca="1">IF(G251=0,"",CONCATENATE(IF($K251&gt;=4,"    ",""),INDEX(auto_Series_NameNumbered,G251)))</f>
        <v/>
      </c>
      <c r="O251" s="181" t="str">
        <f t="shared" ca="1" si="68"/>
        <v/>
      </c>
      <c r="P251" s="192" t="str">
        <f t="shared" ca="1" si="69"/>
        <v/>
      </c>
      <c r="Q251" s="183" t="str">
        <f t="shared" ca="1" si="70"/>
        <v/>
      </c>
      <c r="R251" s="194">
        <v>1</v>
      </c>
      <c r="S251" s="192" t="str" cm="1">
        <f t="array" aca="1" ref="S251" ca="1">IF(G251=0,"",IF(K251=1,"",INDEX(OFFSET(iWeights!$I$18,0,0,$E$13,1),$H251)))</f>
        <v/>
      </c>
      <c r="T251" s="183" t="str">
        <f t="shared" ca="1" si="71"/>
        <v/>
      </c>
      <c r="U251" s="37"/>
      <c r="V251" s="37"/>
      <c r="W251" s="37"/>
      <c r="X251" s="37"/>
      <c r="Y251" s="37"/>
    </row>
    <row r="252" spans="1:25" ht="17.5" customHeight="1" x14ac:dyDescent="0.35">
      <c r="A252" s="178" t="str">
        <f t="shared" ca="1" si="65"/>
        <v>H</v>
      </c>
      <c r="B252" s="37"/>
      <c r="C252" s="37"/>
      <c r="D252" s="37"/>
      <c r="E252" s="37"/>
      <c r="F252" s="37">
        <v>216</v>
      </c>
      <c r="G252" s="39" cm="1">
        <f t="array" aca="1" ref="G252" ca="1">IFERROR(INDEX(OFFSET(auto_ss_All_Scoring,0,1,500,1),F252),0)</f>
        <v>0</v>
      </c>
      <c r="H252" s="39">
        <f ca="1">IF(G252=0,0,MATCH(G252,OFFSET(iWeights!$B$18,0,0,$E$13,1),0))</f>
        <v>0</v>
      </c>
      <c r="I252" s="39" cm="1">
        <f t="array" aca="1" ref="I252" ca="1">IF(G252=0,0,INDEX(OFFSET(iWeights!$F$18,0,0,$E$13,1),H252))</f>
        <v>0</v>
      </c>
      <c r="J252" s="39" cm="1">
        <f t="array" aca="1" ref="J252" ca="1">IF(G252=0,0,INDEX(OFFSET(iWeights!$G$18,0,0,$E$13,1),H252))</f>
        <v>0</v>
      </c>
      <c r="K252" s="39" t="str" cm="1">
        <f t="array" aca="1" ref="K252" ca="1">IF(G252=0,"",INDEX(auto_Series_Depth,G252))</f>
        <v/>
      </c>
      <c r="L252" s="179">
        <f t="shared" ca="1" si="66"/>
        <v>0</v>
      </c>
      <c r="M252" s="180">
        <f t="shared" ca="1" si="67"/>
        <v>1</v>
      </c>
      <c r="N252" s="181" t="str" cm="1">
        <f t="array" aca="1" ref="N252" ca="1">IF(G252=0,"",CONCATENATE(IF($K252&gt;=4,"    ",""),INDEX(auto_Series_NameNumbered,G252)))</f>
        <v/>
      </c>
      <c r="O252" s="181" t="str">
        <f t="shared" ca="1" si="68"/>
        <v/>
      </c>
      <c r="P252" s="192" t="str">
        <f t="shared" ca="1" si="69"/>
        <v/>
      </c>
      <c r="Q252" s="183" t="str">
        <f t="shared" ca="1" si="70"/>
        <v/>
      </c>
      <c r="R252" s="194">
        <v>1</v>
      </c>
      <c r="S252" s="192" t="str" cm="1">
        <f t="array" aca="1" ref="S252" ca="1">IF(G252=0,"",IF(K252=1,"",INDEX(OFFSET(iWeights!$I$18,0,0,$E$13,1),$H252)))</f>
        <v/>
      </c>
      <c r="T252" s="183" t="str">
        <f t="shared" ca="1" si="71"/>
        <v/>
      </c>
      <c r="U252" s="37"/>
      <c r="V252" s="37"/>
      <c r="W252" s="37"/>
      <c r="X252" s="37"/>
      <c r="Y252" s="37"/>
    </row>
    <row r="253" spans="1:25" ht="17.5" customHeight="1" x14ac:dyDescent="0.35">
      <c r="A253" s="178" t="str">
        <f t="shared" ref="A253:A268" ca="1" si="72">IF(G253=0,"H",IF(K253&gt;$F$12,"H",""))</f>
        <v>H</v>
      </c>
      <c r="B253" s="37"/>
      <c r="C253" s="37"/>
      <c r="D253" s="37"/>
      <c r="E253" s="37"/>
      <c r="F253" s="37">
        <v>217</v>
      </c>
      <c r="G253" s="39" cm="1">
        <f t="array" aca="1" ref="G253" ca="1">IFERROR(INDEX(OFFSET(auto_ss_All_Scoring,0,1,500,1),F253),0)</f>
        <v>0</v>
      </c>
      <c r="H253" s="39">
        <f ca="1">IF(G253=0,0,MATCH(G253,OFFSET(iWeights!$B$18,0,0,$E$13,1),0))</f>
        <v>0</v>
      </c>
      <c r="I253" s="39" cm="1">
        <f t="array" aca="1" ref="I253" ca="1">IF(G253=0,0,INDEX(OFFSET(iWeights!$F$18,0,0,$E$13,1),H253))</f>
        <v>0</v>
      </c>
      <c r="J253" s="39" cm="1">
        <f t="array" aca="1" ref="J253" ca="1">IF(G253=0,0,INDEX(OFFSET(iWeights!$G$18,0,0,$E$13,1),H253))</f>
        <v>0</v>
      </c>
      <c r="K253" s="39" t="str" cm="1">
        <f t="array" aca="1" ref="K253" ca="1">IF(G253=0,"",INDEX(auto_Series_Depth,G253))</f>
        <v/>
      </c>
      <c r="L253" s="179">
        <f t="shared" ref="L253:L268" ca="1" si="73">IFERROR(IF(K253=1,0,IF(NOT(ISNUMBER(R253)),1,0)),1)</f>
        <v>0</v>
      </c>
      <c r="M253" s="180">
        <f t="shared" ref="M253:M268" ca="1" si="74">IF(L253=1,0,R253)</f>
        <v>1</v>
      </c>
      <c r="N253" s="181" t="str" cm="1">
        <f t="array" aca="1" ref="N253" ca="1">IF(G253=0,"",CONCATENATE(IF($K253&gt;=4,"    ",""),INDEX(auto_Series_NameNumbered,G253)))</f>
        <v/>
      </c>
      <c r="O253" s="181" t="str">
        <f t="shared" ref="O253:O268" ca="1" si="75">IF(G253=0,"",IF(K253=1,"",I253))</f>
        <v/>
      </c>
      <c r="P253" s="192" t="str">
        <f t="shared" ref="P253:P268" ca="1" si="76">IF(G253=0,"",IF(K253=1,"",J253))</f>
        <v/>
      </c>
      <c r="Q253" s="183" t="str">
        <f t="shared" ref="Q253:Q268" ca="1" si="77">IF($G253=0,"",IF($K253=1,"",REPT("|",P253*40)))</f>
        <v/>
      </c>
      <c r="R253" s="194">
        <v>1</v>
      </c>
      <c r="S253" s="192" t="str" cm="1">
        <f t="array" aca="1" ref="S253" ca="1">IF(G253=0,"",IF(K253=1,"",INDEX(OFFSET(iWeights!$I$18,0,0,$E$13,1),$H253)))</f>
        <v/>
      </c>
      <c r="T253" s="183" t="str">
        <f t="shared" ref="T253:T268" ca="1" si="78">IF($G253=0,"",IF($K253=1,"",REPT("|",S253*40)))</f>
        <v/>
      </c>
      <c r="U253" s="37"/>
      <c r="V253" s="37"/>
      <c r="W253" s="37"/>
      <c r="X253" s="37"/>
      <c r="Y253" s="37"/>
    </row>
    <row r="254" spans="1:25" ht="17.5" customHeight="1" x14ac:dyDescent="0.35">
      <c r="A254" s="178" t="str">
        <f t="shared" ca="1" si="72"/>
        <v>H</v>
      </c>
      <c r="B254" s="37"/>
      <c r="C254" s="37"/>
      <c r="D254" s="37"/>
      <c r="E254" s="37"/>
      <c r="F254" s="37">
        <v>218</v>
      </c>
      <c r="G254" s="39" cm="1">
        <f t="array" aca="1" ref="G254" ca="1">IFERROR(INDEX(OFFSET(auto_ss_All_Scoring,0,1,500,1),F254),0)</f>
        <v>0</v>
      </c>
      <c r="H254" s="39">
        <f ca="1">IF(G254=0,0,MATCH(G254,OFFSET(iWeights!$B$18,0,0,$E$13,1),0))</f>
        <v>0</v>
      </c>
      <c r="I254" s="39" cm="1">
        <f t="array" aca="1" ref="I254" ca="1">IF(G254=0,0,INDEX(OFFSET(iWeights!$F$18,0,0,$E$13,1),H254))</f>
        <v>0</v>
      </c>
      <c r="J254" s="39" cm="1">
        <f t="array" aca="1" ref="J254" ca="1">IF(G254=0,0,INDEX(OFFSET(iWeights!$G$18,0,0,$E$13,1),H254))</f>
        <v>0</v>
      </c>
      <c r="K254" s="39" t="str" cm="1">
        <f t="array" aca="1" ref="K254" ca="1">IF(G254=0,"",INDEX(auto_Series_Depth,G254))</f>
        <v/>
      </c>
      <c r="L254" s="179">
        <f t="shared" ca="1" si="73"/>
        <v>0</v>
      </c>
      <c r="M254" s="180">
        <f t="shared" ca="1" si="74"/>
        <v>1</v>
      </c>
      <c r="N254" s="181" t="str" cm="1">
        <f t="array" aca="1" ref="N254" ca="1">IF(G254=0,"",CONCATENATE(IF($K254&gt;=4,"    ",""),INDEX(auto_Series_NameNumbered,G254)))</f>
        <v/>
      </c>
      <c r="O254" s="181" t="str">
        <f t="shared" ca="1" si="75"/>
        <v/>
      </c>
      <c r="P254" s="192" t="str">
        <f t="shared" ca="1" si="76"/>
        <v/>
      </c>
      <c r="Q254" s="183" t="str">
        <f t="shared" ca="1" si="77"/>
        <v/>
      </c>
      <c r="R254" s="194">
        <v>1</v>
      </c>
      <c r="S254" s="192" t="str" cm="1">
        <f t="array" aca="1" ref="S254" ca="1">IF(G254=0,"",IF(K254=1,"",INDEX(OFFSET(iWeights!$I$18,0,0,$E$13,1),$H254)))</f>
        <v/>
      </c>
      <c r="T254" s="183" t="str">
        <f t="shared" ca="1" si="78"/>
        <v/>
      </c>
      <c r="U254" s="37"/>
      <c r="V254" s="37"/>
      <c r="W254" s="37"/>
      <c r="X254" s="37"/>
      <c r="Y254" s="37"/>
    </row>
    <row r="255" spans="1:25" ht="17.5" customHeight="1" x14ac:dyDescent="0.35">
      <c r="A255" s="178" t="str">
        <f t="shared" ca="1" si="72"/>
        <v>H</v>
      </c>
      <c r="B255" s="37"/>
      <c r="C255" s="37"/>
      <c r="D255" s="37"/>
      <c r="E255" s="37"/>
      <c r="F255" s="37">
        <v>219</v>
      </c>
      <c r="G255" s="39" cm="1">
        <f t="array" aca="1" ref="G255" ca="1">IFERROR(INDEX(OFFSET(auto_ss_All_Scoring,0,1,500,1),F255),0)</f>
        <v>0</v>
      </c>
      <c r="H255" s="39">
        <f ca="1">IF(G255=0,0,MATCH(G255,OFFSET(iWeights!$B$18,0,0,$E$13,1),0))</f>
        <v>0</v>
      </c>
      <c r="I255" s="39" cm="1">
        <f t="array" aca="1" ref="I255" ca="1">IF(G255=0,0,INDEX(OFFSET(iWeights!$F$18,0,0,$E$13,1),H255))</f>
        <v>0</v>
      </c>
      <c r="J255" s="39" cm="1">
        <f t="array" aca="1" ref="J255" ca="1">IF(G255=0,0,INDEX(OFFSET(iWeights!$G$18,0,0,$E$13,1),H255))</f>
        <v>0</v>
      </c>
      <c r="K255" s="39" t="str" cm="1">
        <f t="array" aca="1" ref="K255" ca="1">IF(G255=0,"",INDEX(auto_Series_Depth,G255))</f>
        <v/>
      </c>
      <c r="L255" s="179">
        <f t="shared" ca="1" si="73"/>
        <v>0</v>
      </c>
      <c r="M255" s="180">
        <f t="shared" ca="1" si="74"/>
        <v>1</v>
      </c>
      <c r="N255" s="181" t="str" cm="1">
        <f t="array" aca="1" ref="N255" ca="1">IF(G255=0,"",CONCATENATE(IF($K255&gt;=4,"    ",""),INDEX(auto_Series_NameNumbered,G255)))</f>
        <v/>
      </c>
      <c r="O255" s="181" t="str">
        <f t="shared" ca="1" si="75"/>
        <v/>
      </c>
      <c r="P255" s="192" t="str">
        <f t="shared" ca="1" si="76"/>
        <v/>
      </c>
      <c r="Q255" s="183" t="str">
        <f t="shared" ca="1" si="77"/>
        <v/>
      </c>
      <c r="R255" s="194">
        <v>1</v>
      </c>
      <c r="S255" s="192" t="str" cm="1">
        <f t="array" aca="1" ref="S255" ca="1">IF(G255=0,"",IF(K255=1,"",INDEX(OFFSET(iWeights!$I$18,0,0,$E$13,1),$H255)))</f>
        <v/>
      </c>
      <c r="T255" s="183" t="str">
        <f t="shared" ca="1" si="78"/>
        <v/>
      </c>
      <c r="U255" s="37"/>
      <c r="V255" s="37"/>
      <c r="W255" s="37"/>
      <c r="X255" s="37"/>
      <c r="Y255" s="37"/>
    </row>
    <row r="256" spans="1:25" ht="17.5" customHeight="1" x14ac:dyDescent="0.35">
      <c r="A256" s="178" t="str">
        <f t="shared" ca="1" si="72"/>
        <v>H</v>
      </c>
      <c r="B256" s="37"/>
      <c r="C256" s="37"/>
      <c r="D256" s="37"/>
      <c r="E256" s="37"/>
      <c r="F256" s="37">
        <v>220</v>
      </c>
      <c r="G256" s="39" cm="1">
        <f t="array" aca="1" ref="G256" ca="1">IFERROR(INDEX(OFFSET(auto_ss_All_Scoring,0,1,500,1),F256),0)</f>
        <v>0</v>
      </c>
      <c r="H256" s="39">
        <f ca="1">IF(G256=0,0,MATCH(G256,OFFSET(iWeights!$B$18,0,0,$E$13,1),0))</f>
        <v>0</v>
      </c>
      <c r="I256" s="39" cm="1">
        <f t="array" aca="1" ref="I256" ca="1">IF(G256=0,0,INDEX(OFFSET(iWeights!$F$18,0,0,$E$13,1),H256))</f>
        <v>0</v>
      </c>
      <c r="J256" s="39" cm="1">
        <f t="array" aca="1" ref="J256" ca="1">IF(G256=0,0,INDEX(OFFSET(iWeights!$G$18,0,0,$E$13,1),H256))</f>
        <v>0</v>
      </c>
      <c r="K256" s="39" t="str" cm="1">
        <f t="array" aca="1" ref="K256" ca="1">IF(G256=0,"",INDEX(auto_Series_Depth,G256))</f>
        <v/>
      </c>
      <c r="L256" s="179">
        <f t="shared" ca="1" si="73"/>
        <v>0</v>
      </c>
      <c r="M256" s="180">
        <f t="shared" ca="1" si="74"/>
        <v>1</v>
      </c>
      <c r="N256" s="181" t="str" cm="1">
        <f t="array" aca="1" ref="N256" ca="1">IF(G256=0,"",CONCATENATE(IF($K256&gt;=4,"    ",""),INDEX(auto_Series_NameNumbered,G256)))</f>
        <v/>
      </c>
      <c r="O256" s="181" t="str">
        <f t="shared" ca="1" si="75"/>
        <v/>
      </c>
      <c r="P256" s="192" t="str">
        <f t="shared" ca="1" si="76"/>
        <v/>
      </c>
      <c r="Q256" s="183" t="str">
        <f t="shared" ca="1" si="77"/>
        <v/>
      </c>
      <c r="R256" s="194">
        <v>1</v>
      </c>
      <c r="S256" s="192" t="str" cm="1">
        <f t="array" aca="1" ref="S256" ca="1">IF(G256=0,"",IF(K256=1,"",INDEX(OFFSET(iWeights!$I$18,0,0,$E$13,1),$H256)))</f>
        <v/>
      </c>
      <c r="T256" s="183" t="str">
        <f t="shared" ca="1" si="78"/>
        <v/>
      </c>
      <c r="U256" s="37"/>
      <c r="V256" s="37"/>
      <c r="W256" s="37"/>
      <c r="X256" s="37"/>
      <c r="Y256" s="37"/>
    </row>
    <row r="257" spans="1:25" ht="17.5" customHeight="1" x14ac:dyDescent="0.35">
      <c r="A257" s="178" t="str">
        <f t="shared" ca="1" si="72"/>
        <v>H</v>
      </c>
      <c r="B257" s="37"/>
      <c r="C257" s="37"/>
      <c r="D257" s="37"/>
      <c r="E257" s="37"/>
      <c r="F257" s="37">
        <v>221</v>
      </c>
      <c r="G257" s="39" cm="1">
        <f t="array" aca="1" ref="G257" ca="1">IFERROR(INDEX(OFFSET(auto_ss_All_Scoring,0,1,500,1),F257),0)</f>
        <v>0</v>
      </c>
      <c r="H257" s="39">
        <f ca="1">IF(G257=0,0,MATCH(G257,OFFSET(iWeights!$B$18,0,0,$E$13,1),0))</f>
        <v>0</v>
      </c>
      <c r="I257" s="39" cm="1">
        <f t="array" aca="1" ref="I257" ca="1">IF(G257=0,0,INDEX(OFFSET(iWeights!$F$18,0,0,$E$13,1),H257))</f>
        <v>0</v>
      </c>
      <c r="J257" s="39" cm="1">
        <f t="array" aca="1" ref="J257" ca="1">IF(G257=0,0,INDEX(OFFSET(iWeights!$G$18,0,0,$E$13,1),H257))</f>
        <v>0</v>
      </c>
      <c r="K257" s="39" t="str" cm="1">
        <f t="array" aca="1" ref="K257" ca="1">IF(G257=0,"",INDEX(auto_Series_Depth,G257))</f>
        <v/>
      </c>
      <c r="L257" s="179">
        <f t="shared" ca="1" si="73"/>
        <v>0</v>
      </c>
      <c r="M257" s="180">
        <f t="shared" ca="1" si="74"/>
        <v>1</v>
      </c>
      <c r="N257" s="181" t="str" cm="1">
        <f t="array" aca="1" ref="N257" ca="1">IF(G257=0,"",CONCATENATE(IF($K257&gt;=4,"    ",""),INDEX(auto_Series_NameNumbered,G257)))</f>
        <v/>
      </c>
      <c r="O257" s="181" t="str">
        <f t="shared" ca="1" si="75"/>
        <v/>
      </c>
      <c r="P257" s="192" t="str">
        <f t="shared" ca="1" si="76"/>
        <v/>
      </c>
      <c r="Q257" s="183" t="str">
        <f t="shared" ca="1" si="77"/>
        <v/>
      </c>
      <c r="R257" s="194">
        <v>1</v>
      </c>
      <c r="S257" s="192" t="str" cm="1">
        <f t="array" aca="1" ref="S257" ca="1">IF(G257=0,"",IF(K257=1,"",INDEX(OFFSET(iWeights!$I$18,0,0,$E$13,1),$H257)))</f>
        <v/>
      </c>
      <c r="T257" s="183" t="str">
        <f t="shared" ca="1" si="78"/>
        <v/>
      </c>
      <c r="U257" s="37"/>
      <c r="V257" s="37"/>
      <c r="W257" s="37"/>
      <c r="X257" s="37"/>
      <c r="Y257" s="37"/>
    </row>
    <row r="258" spans="1:25" ht="17.5" customHeight="1" x14ac:dyDescent="0.35">
      <c r="A258" s="178" t="str">
        <f t="shared" ca="1" si="72"/>
        <v>H</v>
      </c>
      <c r="B258" s="37"/>
      <c r="C258" s="37"/>
      <c r="D258" s="37"/>
      <c r="E258" s="37"/>
      <c r="F258" s="37">
        <v>222</v>
      </c>
      <c r="G258" s="39" cm="1">
        <f t="array" aca="1" ref="G258" ca="1">IFERROR(INDEX(OFFSET(auto_ss_All_Scoring,0,1,500,1),F258),0)</f>
        <v>0</v>
      </c>
      <c r="H258" s="39">
        <f ca="1">IF(G258=0,0,MATCH(G258,OFFSET(iWeights!$B$18,0,0,$E$13,1),0))</f>
        <v>0</v>
      </c>
      <c r="I258" s="39" cm="1">
        <f t="array" aca="1" ref="I258" ca="1">IF(G258=0,0,INDEX(OFFSET(iWeights!$F$18,0,0,$E$13,1),H258))</f>
        <v>0</v>
      </c>
      <c r="J258" s="39" cm="1">
        <f t="array" aca="1" ref="J258" ca="1">IF(G258=0,0,INDEX(OFFSET(iWeights!$G$18,0,0,$E$13,1),H258))</f>
        <v>0</v>
      </c>
      <c r="K258" s="39" t="str" cm="1">
        <f t="array" aca="1" ref="K258" ca="1">IF(G258=0,"",INDEX(auto_Series_Depth,G258))</f>
        <v/>
      </c>
      <c r="L258" s="179">
        <f t="shared" ca="1" si="73"/>
        <v>0</v>
      </c>
      <c r="M258" s="180">
        <f t="shared" ca="1" si="74"/>
        <v>1</v>
      </c>
      <c r="N258" s="181" t="str" cm="1">
        <f t="array" aca="1" ref="N258" ca="1">IF(G258=0,"",CONCATENATE(IF($K258&gt;=4,"    ",""),INDEX(auto_Series_NameNumbered,G258)))</f>
        <v/>
      </c>
      <c r="O258" s="181" t="str">
        <f t="shared" ca="1" si="75"/>
        <v/>
      </c>
      <c r="P258" s="192" t="str">
        <f t="shared" ca="1" si="76"/>
        <v/>
      </c>
      <c r="Q258" s="183" t="str">
        <f t="shared" ca="1" si="77"/>
        <v/>
      </c>
      <c r="R258" s="194">
        <v>1</v>
      </c>
      <c r="S258" s="192" t="str" cm="1">
        <f t="array" aca="1" ref="S258" ca="1">IF(G258=0,"",IF(K258=1,"",INDEX(OFFSET(iWeights!$I$18,0,0,$E$13,1),$H258)))</f>
        <v/>
      </c>
      <c r="T258" s="183" t="str">
        <f t="shared" ca="1" si="78"/>
        <v/>
      </c>
      <c r="U258" s="37"/>
      <c r="V258" s="37"/>
      <c r="W258" s="37"/>
      <c r="X258" s="37"/>
      <c r="Y258" s="37"/>
    </row>
    <row r="259" spans="1:25" ht="17.5" customHeight="1" x14ac:dyDescent="0.35">
      <c r="A259" s="178" t="str">
        <f t="shared" ca="1" si="72"/>
        <v>H</v>
      </c>
      <c r="B259" s="37"/>
      <c r="C259" s="37"/>
      <c r="D259" s="37"/>
      <c r="E259" s="37"/>
      <c r="F259" s="37">
        <v>223</v>
      </c>
      <c r="G259" s="39" cm="1">
        <f t="array" aca="1" ref="G259" ca="1">IFERROR(INDEX(OFFSET(auto_ss_All_Scoring,0,1,500,1),F259),0)</f>
        <v>0</v>
      </c>
      <c r="H259" s="39">
        <f ca="1">IF(G259=0,0,MATCH(G259,OFFSET(iWeights!$B$18,0,0,$E$13,1),0))</f>
        <v>0</v>
      </c>
      <c r="I259" s="39" cm="1">
        <f t="array" aca="1" ref="I259" ca="1">IF(G259=0,0,INDEX(OFFSET(iWeights!$F$18,0,0,$E$13,1),H259))</f>
        <v>0</v>
      </c>
      <c r="J259" s="39" cm="1">
        <f t="array" aca="1" ref="J259" ca="1">IF(G259=0,0,INDEX(OFFSET(iWeights!$G$18,0,0,$E$13,1),H259))</f>
        <v>0</v>
      </c>
      <c r="K259" s="39" t="str" cm="1">
        <f t="array" aca="1" ref="K259" ca="1">IF(G259=0,"",INDEX(auto_Series_Depth,G259))</f>
        <v/>
      </c>
      <c r="L259" s="179">
        <f t="shared" ca="1" si="73"/>
        <v>0</v>
      </c>
      <c r="M259" s="180">
        <f t="shared" ca="1" si="74"/>
        <v>1</v>
      </c>
      <c r="N259" s="181" t="str" cm="1">
        <f t="array" aca="1" ref="N259" ca="1">IF(G259=0,"",CONCATENATE(IF($K259&gt;=4,"    ",""),INDEX(auto_Series_NameNumbered,G259)))</f>
        <v/>
      </c>
      <c r="O259" s="181" t="str">
        <f t="shared" ca="1" si="75"/>
        <v/>
      </c>
      <c r="P259" s="192" t="str">
        <f t="shared" ca="1" si="76"/>
        <v/>
      </c>
      <c r="Q259" s="183" t="str">
        <f t="shared" ca="1" si="77"/>
        <v/>
      </c>
      <c r="R259" s="194">
        <v>1</v>
      </c>
      <c r="S259" s="192" t="str" cm="1">
        <f t="array" aca="1" ref="S259" ca="1">IF(G259=0,"",IF(K259=1,"",INDEX(OFFSET(iWeights!$I$18,0,0,$E$13,1),$H259)))</f>
        <v/>
      </c>
      <c r="T259" s="183" t="str">
        <f t="shared" ca="1" si="78"/>
        <v/>
      </c>
      <c r="U259" s="37"/>
      <c r="V259" s="37"/>
      <c r="W259" s="37"/>
      <c r="X259" s="37"/>
      <c r="Y259" s="37"/>
    </row>
    <row r="260" spans="1:25" ht="17.5" customHeight="1" x14ac:dyDescent="0.35">
      <c r="A260" s="178" t="str">
        <f t="shared" ca="1" si="72"/>
        <v>H</v>
      </c>
      <c r="B260" s="37"/>
      <c r="C260" s="37"/>
      <c r="D260" s="37"/>
      <c r="E260" s="37"/>
      <c r="F260" s="37">
        <v>224</v>
      </c>
      <c r="G260" s="39" cm="1">
        <f t="array" aca="1" ref="G260" ca="1">IFERROR(INDEX(OFFSET(auto_ss_All_Scoring,0,1,500,1),F260),0)</f>
        <v>0</v>
      </c>
      <c r="H260" s="39">
        <f ca="1">IF(G260=0,0,MATCH(G260,OFFSET(iWeights!$B$18,0,0,$E$13,1),0))</f>
        <v>0</v>
      </c>
      <c r="I260" s="39" cm="1">
        <f t="array" aca="1" ref="I260" ca="1">IF(G260=0,0,INDEX(OFFSET(iWeights!$F$18,0,0,$E$13,1),H260))</f>
        <v>0</v>
      </c>
      <c r="J260" s="39" cm="1">
        <f t="array" aca="1" ref="J260" ca="1">IF(G260=0,0,INDEX(OFFSET(iWeights!$G$18,0,0,$E$13,1),H260))</f>
        <v>0</v>
      </c>
      <c r="K260" s="39" t="str" cm="1">
        <f t="array" aca="1" ref="K260" ca="1">IF(G260=0,"",INDEX(auto_Series_Depth,G260))</f>
        <v/>
      </c>
      <c r="L260" s="179">
        <f t="shared" ca="1" si="73"/>
        <v>0</v>
      </c>
      <c r="M260" s="180">
        <f t="shared" ca="1" si="74"/>
        <v>1</v>
      </c>
      <c r="N260" s="181" t="str" cm="1">
        <f t="array" aca="1" ref="N260" ca="1">IF(G260=0,"",CONCATENATE(IF($K260&gt;=4,"    ",""),INDEX(auto_Series_NameNumbered,G260)))</f>
        <v/>
      </c>
      <c r="O260" s="181" t="str">
        <f t="shared" ca="1" si="75"/>
        <v/>
      </c>
      <c r="P260" s="192" t="str">
        <f t="shared" ca="1" si="76"/>
        <v/>
      </c>
      <c r="Q260" s="183" t="str">
        <f t="shared" ca="1" si="77"/>
        <v/>
      </c>
      <c r="R260" s="194">
        <v>1</v>
      </c>
      <c r="S260" s="192" t="str" cm="1">
        <f t="array" aca="1" ref="S260" ca="1">IF(G260=0,"",IF(K260=1,"",INDEX(OFFSET(iWeights!$I$18,0,0,$E$13,1),$H260)))</f>
        <v/>
      </c>
      <c r="T260" s="183" t="str">
        <f t="shared" ca="1" si="78"/>
        <v/>
      </c>
      <c r="U260" s="37"/>
      <c r="V260" s="37"/>
      <c r="W260" s="37"/>
      <c r="X260" s="37"/>
      <c r="Y260" s="37"/>
    </row>
    <row r="261" spans="1:25" ht="17.5" customHeight="1" x14ac:dyDescent="0.35">
      <c r="A261" s="178" t="str">
        <f t="shared" ca="1" si="72"/>
        <v>H</v>
      </c>
      <c r="B261" s="37"/>
      <c r="C261" s="37"/>
      <c r="D261" s="37"/>
      <c r="E261" s="37"/>
      <c r="F261" s="37">
        <v>225</v>
      </c>
      <c r="G261" s="39" cm="1">
        <f t="array" aca="1" ref="G261" ca="1">IFERROR(INDEX(OFFSET(auto_ss_All_Scoring,0,1,500,1),F261),0)</f>
        <v>0</v>
      </c>
      <c r="H261" s="39">
        <f ca="1">IF(G261=0,0,MATCH(G261,OFFSET(iWeights!$B$18,0,0,$E$13,1),0))</f>
        <v>0</v>
      </c>
      <c r="I261" s="39" cm="1">
        <f t="array" aca="1" ref="I261" ca="1">IF(G261=0,0,INDEX(OFFSET(iWeights!$F$18,0,0,$E$13,1),H261))</f>
        <v>0</v>
      </c>
      <c r="J261" s="39" cm="1">
        <f t="array" aca="1" ref="J261" ca="1">IF(G261=0,0,INDEX(OFFSET(iWeights!$G$18,0,0,$E$13,1),H261))</f>
        <v>0</v>
      </c>
      <c r="K261" s="39" t="str" cm="1">
        <f t="array" aca="1" ref="K261" ca="1">IF(G261=0,"",INDEX(auto_Series_Depth,G261))</f>
        <v/>
      </c>
      <c r="L261" s="179">
        <f t="shared" ca="1" si="73"/>
        <v>0</v>
      </c>
      <c r="M261" s="180">
        <f t="shared" ca="1" si="74"/>
        <v>1</v>
      </c>
      <c r="N261" s="181" t="str" cm="1">
        <f t="array" aca="1" ref="N261" ca="1">IF(G261=0,"",CONCATENATE(IF($K261&gt;=4,"    ",""),INDEX(auto_Series_NameNumbered,G261)))</f>
        <v/>
      </c>
      <c r="O261" s="181" t="str">
        <f t="shared" ca="1" si="75"/>
        <v/>
      </c>
      <c r="P261" s="192" t="str">
        <f t="shared" ca="1" si="76"/>
        <v/>
      </c>
      <c r="Q261" s="183" t="str">
        <f t="shared" ca="1" si="77"/>
        <v/>
      </c>
      <c r="R261" s="194">
        <v>1</v>
      </c>
      <c r="S261" s="192" t="str" cm="1">
        <f t="array" aca="1" ref="S261" ca="1">IF(G261=0,"",IF(K261=1,"",INDEX(OFFSET(iWeights!$I$18,0,0,$E$13,1),$H261)))</f>
        <v/>
      </c>
      <c r="T261" s="183" t="str">
        <f t="shared" ca="1" si="78"/>
        <v/>
      </c>
      <c r="U261" s="37"/>
      <c r="V261" s="37"/>
      <c r="W261" s="37"/>
      <c r="X261" s="37"/>
      <c r="Y261" s="37"/>
    </row>
    <row r="262" spans="1:25" ht="17.5" customHeight="1" x14ac:dyDescent="0.35">
      <c r="A262" s="178" t="str">
        <f t="shared" ca="1" si="72"/>
        <v>H</v>
      </c>
      <c r="B262" s="37"/>
      <c r="C262" s="37"/>
      <c r="D262" s="37"/>
      <c r="E262" s="37"/>
      <c r="F262" s="37">
        <v>226</v>
      </c>
      <c r="G262" s="39" cm="1">
        <f t="array" aca="1" ref="G262" ca="1">IFERROR(INDEX(OFFSET(auto_ss_All_Scoring,0,1,500,1),F262),0)</f>
        <v>0</v>
      </c>
      <c r="H262" s="39">
        <f ca="1">IF(G262=0,0,MATCH(G262,OFFSET(iWeights!$B$18,0,0,$E$13,1),0))</f>
        <v>0</v>
      </c>
      <c r="I262" s="39" cm="1">
        <f t="array" aca="1" ref="I262" ca="1">IF(G262=0,0,INDEX(OFFSET(iWeights!$F$18,0,0,$E$13,1),H262))</f>
        <v>0</v>
      </c>
      <c r="J262" s="39" cm="1">
        <f t="array" aca="1" ref="J262" ca="1">IF(G262=0,0,INDEX(OFFSET(iWeights!$G$18,0,0,$E$13,1),H262))</f>
        <v>0</v>
      </c>
      <c r="K262" s="39" t="str" cm="1">
        <f t="array" aca="1" ref="K262" ca="1">IF(G262=0,"",INDEX(auto_Series_Depth,G262))</f>
        <v/>
      </c>
      <c r="L262" s="179">
        <f t="shared" ca="1" si="73"/>
        <v>0</v>
      </c>
      <c r="M262" s="180">
        <f t="shared" ca="1" si="74"/>
        <v>1</v>
      </c>
      <c r="N262" s="181" t="str" cm="1">
        <f t="array" aca="1" ref="N262" ca="1">IF(G262=0,"",CONCATENATE(IF($K262&gt;=4,"    ",""),INDEX(auto_Series_NameNumbered,G262)))</f>
        <v/>
      </c>
      <c r="O262" s="181" t="str">
        <f t="shared" ca="1" si="75"/>
        <v/>
      </c>
      <c r="P262" s="192" t="str">
        <f t="shared" ca="1" si="76"/>
        <v/>
      </c>
      <c r="Q262" s="183" t="str">
        <f t="shared" ca="1" si="77"/>
        <v/>
      </c>
      <c r="R262" s="194">
        <v>1</v>
      </c>
      <c r="S262" s="192" t="str" cm="1">
        <f t="array" aca="1" ref="S262" ca="1">IF(G262=0,"",IF(K262=1,"",INDEX(OFFSET(iWeights!$I$18,0,0,$E$13,1),$H262)))</f>
        <v/>
      </c>
      <c r="T262" s="183" t="str">
        <f t="shared" ca="1" si="78"/>
        <v/>
      </c>
      <c r="U262" s="37"/>
      <c r="V262" s="37"/>
      <c r="W262" s="37"/>
      <c r="X262" s="37"/>
      <c r="Y262" s="37"/>
    </row>
    <row r="263" spans="1:25" ht="17.5" customHeight="1" x14ac:dyDescent="0.35">
      <c r="A263" s="178" t="str">
        <f t="shared" ca="1" si="72"/>
        <v>H</v>
      </c>
      <c r="B263" s="37"/>
      <c r="C263" s="37"/>
      <c r="D263" s="37"/>
      <c r="E263" s="37"/>
      <c r="F263" s="37">
        <v>227</v>
      </c>
      <c r="G263" s="39" cm="1">
        <f t="array" aca="1" ref="G263" ca="1">IFERROR(INDEX(OFFSET(auto_ss_All_Scoring,0,1,500,1),F263),0)</f>
        <v>0</v>
      </c>
      <c r="H263" s="39">
        <f ca="1">IF(G263=0,0,MATCH(G263,OFFSET(iWeights!$B$18,0,0,$E$13,1),0))</f>
        <v>0</v>
      </c>
      <c r="I263" s="39" cm="1">
        <f t="array" aca="1" ref="I263" ca="1">IF(G263=0,0,INDEX(OFFSET(iWeights!$F$18,0,0,$E$13,1),H263))</f>
        <v>0</v>
      </c>
      <c r="J263" s="39" cm="1">
        <f t="array" aca="1" ref="J263" ca="1">IF(G263=0,0,INDEX(OFFSET(iWeights!$G$18,0,0,$E$13,1),H263))</f>
        <v>0</v>
      </c>
      <c r="K263" s="39" t="str" cm="1">
        <f t="array" aca="1" ref="K263" ca="1">IF(G263=0,"",INDEX(auto_Series_Depth,G263))</f>
        <v/>
      </c>
      <c r="L263" s="179">
        <f t="shared" ca="1" si="73"/>
        <v>0</v>
      </c>
      <c r="M263" s="180">
        <f t="shared" ca="1" si="74"/>
        <v>1</v>
      </c>
      <c r="N263" s="181" t="str" cm="1">
        <f t="array" aca="1" ref="N263" ca="1">IF(G263=0,"",CONCATENATE(IF($K263&gt;=4,"    ",""),INDEX(auto_Series_NameNumbered,G263)))</f>
        <v/>
      </c>
      <c r="O263" s="181" t="str">
        <f t="shared" ca="1" si="75"/>
        <v/>
      </c>
      <c r="P263" s="192" t="str">
        <f t="shared" ca="1" si="76"/>
        <v/>
      </c>
      <c r="Q263" s="183" t="str">
        <f t="shared" ca="1" si="77"/>
        <v/>
      </c>
      <c r="R263" s="194">
        <v>1</v>
      </c>
      <c r="S263" s="192" t="str" cm="1">
        <f t="array" aca="1" ref="S263" ca="1">IF(G263=0,"",IF(K263=1,"",INDEX(OFFSET(iWeights!$I$18,0,0,$E$13,1),$H263)))</f>
        <v/>
      </c>
      <c r="T263" s="183" t="str">
        <f t="shared" ca="1" si="78"/>
        <v/>
      </c>
      <c r="U263" s="37"/>
      <c r="V263" s="37"/>
      <c r="W263" s="37"/>
      <c r="X263" s="37"/>
      <c r="Y263" s="37"/>
    </row>
    <row r="264" spans="1:25" ht="17.5" customHeight="1" x14ac:dyDescent="0.35">
      <c r="A264" s="178" t="str">
        <f t="shared" ca="1" si="72"/>
        <v>H</v>
      </c>
      <c r="B264" s="37"/>
      <c r="C264" s="37"/>
      <c r="D264" s="37"/>
      <c r="E264" s="37"/>
      <c r="F264" s="37">
        <v>228</v>
      </c>
      <c r="G264" s="39" cm="1">
        <f t="array" aca="1" ref="G264" ca="1">IFERROR(INDEX(OFFSET(auto_ss_All_Scoring,0,1,500,1),F264),0)</f>
        <v>0</v>
      </c>
      <c r="H264" s="39">
        <f ca="1">IF(G264=0,0,MATCH(G264,OFFSET(iWeights!$B$18,0,0,$E$13,1),0))</f>
        <v>0</v>
      </c>
      <c r="I264" s="39" cm="1">
        <f t="array" aca="1" ref="I264" ca="1">IF(G264=0,0,INDEX(OFFSET(iWeights!$F$18,0,0,$E$13,1),H264))</f>
        <v>0</v>
      </c>
      <c r="J264" s="39" cm="1">
        <f t="array" aca="1" ref="J264" ca="1">IF(G264=0,0,INDEX(OFFSET(iWeights!$G$18,0,0,$E$13,1),H264))</f>
        <v>0</v>
      </c>
      <c r="K264" s="39" t="str" cm="1">
        <f t="array" aca="1" ref="K264" ca="1">IF(G264=0,"",INDEX(auto_Series_Depth,G264))</f>
        <v/>
      </c>
      <c r="L264" s="179">
        <f t="shared" ca="1" si="73"/>
        <v>0</v>
      </c>
      <c r="M264" s="180">
        <f t="shared" ca="1" si="74"/>
        <v>1</v>
      </c>
      <c r="N264" s="181" t="str" cm="1">
        <f t="array" aca="1" ref="N264" ca="1">IF(G264=0,"",CONCATENATE(IF($K264&gt;=4,"    ",""),INDEX(auto_Series_NameNumbered,G264)))</f>
        <v/>
      </c>
      <c r="O264" s="181" t="str">
        <f t="shared" ca="1" si="75"/>
        <v/>
      </c>
      <c r="P264" s="192" t="str">
        <f t="shared" ca="1" si="76"/>
        <v/>
      </c>
      <c r="Q264" s="183" t="str">
        <f t="shared" ca="1" si="77"/>
        <v/>
      </c>
      <c r="R264" s="194">
        <v>1</v>
      </c>
      <c r="S264" s="192" t="str" cm="1">
        <f t="array" aca="1" ref="S264" ca="1">IF(G264=0,"",IF(K264=1,"",INDEX(OFFSET(iWeights!$I$18,0,0,$E$13,1),$H264)))</f>
        <v/>
      </c>
      <c r="T264" s="183" t="str">
        <f t="shared" ca="1" si="78"/>
        <v/>
      </c>
      <c r="U264" s="37"/>
      <c r="V264" s="37"/>
      <c r="W264" s="37"/>
      <c r="X264" s="37"/>
      <c r="Y264" s="37"/>
    </row>
    <row r="265" spans="1:25" ht="17.5" customHeight="1" x14ac:dyDescent="0.35">
      <c r="A265" s="178" t="str">
        <f t="shared" ca="1" si="72"/>
        <v>H</v>
      </c>
      <c r="B265" s="37"/>
      <c r="C265" s="37"/>
      <c r="D265" s="37"/>
      <c r="E265" s="37"/>
      <c r="F265" s="37">
        <v>229</v>
      </c>
      <c r="G265" s="39" cm="1">
        <f t="array" aca="1" ref="G265" ca="1">IFERROR(INDEX(OFFSET(auto_ss_All_Scoring,0,1,500,1),F265),0)</f>
        <v>0</v>
      </c>
      <c r="H265" s="39">
        <f ca="1">IF(G265=0,0,MATCH(G265,OFFSET(iWeights!$B$18,0,0,$E$13,1),0))</f>
        <v>0</v>
      </c>
      <c r="I265" s="39" cm="1">
        <f t="array" aca="1" ref="I265" ca="1">IF(G265=0,0,INDEX(OFFSET(iWeights!$F$18,0,0,$E$13,1),H265))</f>
        <v>0</v>
      </c>
      <c r="J265" s="39" cm="1">
        <f t="array" aca="1" ref="J265" ca="1">IF(G265=0,0,INDEX(OFFSET(iWeights!$G$18,0,0,$E$13,1),H265))</f>
        <v>0</v>
      </c>
      <c r="K265" s="39" t="str" cm="1">
        <f t="array" aca="1" ref="K265" ca="1">IF(G265=0,"",INDEX(auto_Series_Depth,G265))</f>
        <v/>
      </c>
      <c r="L265" s="179">
        <f t="shared" ca="1" si="73"/>
        <v>0</v>
      </c>
      <c r="M265" s="180">
        <f t="shared" ca="1" si="74"/>
        <v>1</v>
      </c>
      <c r="N265" s="181" t="str" cm="1">
        <f t="array" aca="1" ref="N265" ca="1">IF(G265=0,"",CONCATENATE(IF($K265&gt;=4,"    ",""),INDEX(auto_Series_NameNumbered,G265)))</f>
        <v/>
      </c>
      <c r="O265" s="181" t="str">
        <f t="shared" ca="1" si="75"/>
        <v/>
      </c>
      <c r="P265" s="192" t="str">
        <f t="shared" ca="1" si="76"/>
        <v/>
      </c>
      <c r="Q265" s="183" t="str">
        <f t="shared" ca="1" si="77"/>
        <v/>
      </c>
      <c r="R265" s="194">
        <v>1</v>
      </c>
      <c r="S265" s="192" t="str" cm="1">
        <f t="array" aca="1" ref="S265" ca="1">IF(G265=0,"",IF(K265=1,"",INDEX(OFFSET(iWeights!$I$18,0,0,$E$13,1),$H265)))</f>
        <v/>
      </c>
      <c r="T265" s="183" t="str">
        <f t="shared" ca="1" si="78"/>
        <v/>
      </c>
      <c r="U265" s="37"/>
      <c r="V265" s="37"/>
      <c r="W265" s="37"/>
      <c r="X265" s="37"/>
      <c r="Y265" s="37"/>
    </row>
    <row r="266" spans="1:25" ht="17.5" customHeight="1" x14ac:dyDescent="0.35">
      <c r="A266" s="178" t="str">
        <f t="shared" ca="1" si="72"/>
        <v>H</v>
      </c>
      <c r="B266" s="37"/>
      <c r="C266" s="37"/>
      <c r="D266" s="37"/>
      <c r="E266" s="37"/>
      <c r="F266" s="37">
        <v>230</v>
      </c>
      <c r="G266" s="39" cm="1">
        <f t="array" aca="1" ref="G266" ca="1">IFERROR(INDEX(OFFSET(auto_ss_All_Scoring,0,1,500,1),F266),0)</f>
        <v>0</v>
      </c>
      <c r="H266" s="39">
        <f ca="1">IF(G266=0,0,MATCH(G266,OFFSET(iWeights!$B$18,0,0,$E$13,1),0))</f>
        <v>0</v>
      </c>
      <c r="I266" s="39" cm="1">
        <f t="array" aca="1" ref="I266" ca="1">IF(G266=0,0,INDEX(OFFSET(iWeights!$F$18,0,0,$E$13,1),H266))</f>
        <v>0</v>
      </c>
      <c r="J266" s="39" cm="1">
        <f t="array" aca="1" ref="J266" ca="1">IF(G266=0,0,INDEX(OFFSET(iWeights!$G$18,0,0,$E$13,1),H266))</f>
        <v>0</v>
      </c>
      <c r="K266" s="39" t="str" cm="1">
        <f t="array" aca="1" ref="K266" ca="1">IF(G266=0,"",INDEX(auto_Series_Depth,G266))</f>
        <v/>
      </c>
      <c r="L266" s="179">
        <f t="shared" ca="1" si="73"/>
        <v>0</v>
      </c>
      <c r="M266" s="180">
        <f t="shared" ca="1" si="74"/>
        <v>1</v>
      </c>
      <c r="N266" s="181" t="str" cm="1">
        <f t="array" aca="1" ref="N266" ca="1">IF(G266=0,"",CONCATENATE(IF($K266&gt;=4,"    ",""),INDEX(auto_Series_NameNumbered,G266)))</f>
        <v/>
      </c>
      <c r="O266" s="181" t="str">
        <f t="shared" ca="1" si="75"/>
        <v/>
      </c>
      <c r="P266" s="192" t="str">
        <f t="shared" ca="1" si="76"/>
        <v/>
      </c>
      <c r="Q266" s="183" t="str">
        <f t="shared" ca="1" si="77"/>
        <v/>
      </c>
      <c r="R266" s="194">
        <v>1</v>
      </c>
      <c r="S266" s="192" t="str" cm="1">
        <f t="array" aca="1" ref="S266" ca="1">IF(G266=0,"",IF(K266=1,"",INDEX(OFFSET(iWeights!$I$18,0,0,$E$13,1),$H266)))</f>
        <v/>
      </c>
      <c r="T266" s="183" t="str">
        <f t="shared" ca="1" si="78"/>
        <v/>
      </c>
      <c r="U266" s="37"/>
      <c r="V266" s="37"/>
      <c r="W266" s="37"/>
      <c r="X266" s="37"/>
      <c r="Y266" s="37"/>
    </row>
    <row r="267" spans="1:25" ht="17.5" customHeight="1" x14ac:dyDescent="0.35">
      <c r="A267" s="178" t="str">
        <f t="shared" ca="1" si="72"/>
        <v>H</v>
      </c>
      <c r="B267" s="37"/>
      <c r="C267" s="37"/>
      <c r="D267" s="37"/>
      <c r="E267" s="37"/>
      <c r="F267" s="37">
        <v>231</v>
      </c>
      <c r="G267" s="39" cm="1">
        <f t="array" aca="1" ref="G267" ca="1">IFERROR(INDEX(OFFSET(auto_ss_All_Scoring,0,1,500,1),F267),0)</f>
        <v>0</v>
      </c>
      <c r="H267" s="39">
        <f ca="1">IF(G267=0,0,MATCH(G267,OFFSET(iWeights!$B$18,0,0,$E$13,1),0))</f>
        <v>0</v>
      </c>
      <c r="I267" s="39" cm="1">
        <f t="array" aca="1" ref="I267" ca="1">IF(G267=0,0,INDEX(OFFSET(iWeights!$F$18,0,0,$E$13,1),H267))</f>
        <v>0</v>
      </c>
      <c r="J267" s="39" cm="1">
        <f t="array" aca="1" ref="J267" ca="1">IF(G267=0,0,INDEX(OFFSET(iWeights!$G$18,0,0,$E$13,1),H267))</f>
        <v>0</v>
      </c>
      <c r="K267" s="39" t="str" cm="1">
        <f t="array" aca="1" ref="K267" ca="1">IF(G267=0,"",INDEX(auto_Series_Depth,G267))</f>
        <v/>
      </c>
      <c r="L267" s="179">
        <f t="shared" ca="1" si="73"/>
        <v>0</v>
      </c>
      <c r="M267" s="180">
        <f t="shared" ca="1" si="74"/>
        <v>1</v>
      </c>
      <c r="N267" s="181" t="str" cm="1">
        <f t="array" aca="1" ref="N267" ca="1">IF(G267=0,"",CONCATENATE(IF($K267&gt;=4,"    ",""),INDEX(auto_Series_NameNumbered,G267)))</f>
        <v/>
      </c>
      <c r="O267" s="181" t="str">
        <f t="shared" ca="1" si="75"/>
        <v/>
      </c>
      <c r="P267" s="192" t="str">
        <f t="shared" ca="1" si="76"/>
        <v/>
      </c>
      <c r="Q267" s="183" t="str">
        <f t="shared" ca="1" si="77"/>
        <v/>
      </c>
      <c r="R267" s="194">
        <v>1</v>
      </c>
      <c r="S267" s="192" t="str" cm="1">
        <f t="array" aca="1" ref="S267" ca="1">IF(G267=0,"",IF(K267=1,"",INDEX(OFFSET(iWeights!$I$18,0,0,$E$13,1),$H267)))</f>
        <v/>
      </c>
      <c r="T267" s="183" t="str">
        <f t="shared" ca="1" si="78"/>
        <v/>
      </c>
      <c r="U267" s="37"/>
      <c r="V267" s="37"/>
      <c r="W267" s="37"/>
      <c r="X267" s="37"/>
      <c r="Y267" s="37"/>
    </row>
    <row r="268" spans="1:25" ht="17.5" customHeight="1" x14ac:dyDescent="0.35">
      <c r="A268" s="178" t="str">
        <f t="shared" ca="1" si="72"/>
        <v>H</v>
      </c>
      <c r="B268" s="37"/>
      <c r="C268" s="37"/>
      <c r="D268" s="37"/>
      <c r="E268" s="37"/>
      <c r="F268" s="37">
        <v>232</v>
      </c>
      <c r="G268" s="39" cm="1">
        <f t="array" aca="1" ref="G268" ca="1">IFERROR(INDEX(OFFSET(auto_ss_All_Scoring,0,1,500,1),F268),0)</f>
        <v>0</v>
      </c>
      <c r="H268" s="39">
        <f ca="1">IF(G268=0,0,MATCH(G268,OFFSET(iWeights!$B$18,0,0,$E$13,1),0))</f>
        <v>0</v>
      </c>
      <c r="I268" s="39" cm="1">
        <f t="array" aca="1" ref="I268" ca="1">IF(G268=0,0,INDEX(OFFSET(iWeights!$F$18,0,0,$E$13,1),H268))</f>
        <v>0</v>
      </c>
      <c r="J268" s="39" cm="1">
        <f t="array" aca="1" ref="J268" ca="1">IF(G268=0,0,INDEX(OFFSET(iWeights!$G$18,0,0,$E$13,1),H268))</f>
        <v>0</v>
      </c>
      <c r="K268" s="39" t="str" cm="1">
        <f t="array" aca="1" ref="K268" ca="1">IF(G268=0,"",INDEX(auto_Series_Depth,G268))</f>
        <v/>
      </c>
      <c r="L268" s="179">
        <f t="shared" ca="1" si="73"/>
        <v>0</v>
      </c>
      <c r="M268" s="180">
        <f t="shared" ca="1" si="74"/>
        <v>1</v>
      </c>
      <c r="N268" s="181" t="str" cm="1">
        <f t="array" aca="1" ref="N268" ca="1">IF(G268=0,"",CONCATENATE(IF($K268&gt;=4,"    ",""),INDEX(auto_Series_NameNumbered,G268)))</f>
        <v/>
      </c>
      <c r="O268" s="181" t="str">
        <f t="shared" ca="1" si="75"/>
        <v/>
      </c>
      <c r="P268" s="192" t="str">
        <f t="shared" ca="1" si="76"/>
        <v/>
      </c>
      <c r="Q268" s="183" t="str">
        <f t="shared" ca="1" si="77"/>
        <v/>
      </c>
      <c r="R268" s="194">
        <v>1</v>
      </c>
      <c r="S268" s="192" t="str" cm="1">
        <f t="array" aca="1" ref="S268" ca="1">IF(G268=0,"",IF(K268=1,"",INDEX(OFFSET(iWeights!$I$18,0,0,$E$13,1),$H268)))</f>
        <v/>
      </c>
      <c r="T268" s="183" t="str">
        <f t="shared" ca="1" si="78"/>
        <v/>
      </c>
      <c r="U268" s="37"/>
      <c r="V268" s="37"/>
      <c r="W268" s="37"/>
      <c r="X268" s="37"/>
      <c r="Y268" s="37"/>
    </row>
    <row r="269" spans="1:25" x14ac:dyDescent="0.35">
      <c r="A269" s="37"/>
      <c r="B269" s="37"/>
      <c r="C269" s="37"/>
      <c r="D269" s="37"/>
      <c r="E269" s="37"/>
      <c r="F269" s="37"/>
      <c r="G269" s="37"/>
      <c r="H269" s="37"/>
      <c r="I269" s="37"/>
      <c r="J269" s="37"/>
      <c r="K269" s="37"/>
      <c r="L269" s="37"/>
      <c r="M269" s="37"/>
      <c r="N269" s="37"/>
      <c r="O269" s="37"/>
      <c r="P269" s="37"/>
      <c r="Q269" s="37"/>
      <c r="R269" s="188"/>
      <c r="S269" s="37"/>
      <c r="T269" s="37"/>
      <c r="U269" s="37"/>
      <c r="V269" s="37"/>
      <c r="W269" s="37"/>
      <c r="X269" s="37"/>
      <c r="Y269" s="37"/>
    </row>
    <row r="270" spans="1:25" x14ac:dyDescent="0.35">
      <c r="A270" s="37"/>
      <c r="B270" s="37"/>
      <c r="C270" s="37"/>
      <c r="D270" s="37"/>
      <c r="E270" s="37"/>
      <c r="F270" s="37"/>
      <c r="G270" s="37"/>
      <c r="H270" s="37"/>
      <c r="I270" s="37"/>
      <c r="J270" s="37"/>
      <c r="K270" s="37"/>
      <c r="L270" s="37"/>
      <c r="M270" s="37"/>
      <c r="N270" s="37"/>
      <c r="O270" s="37"/>
      <c r="P270" s="37"/>
      <c r="Q270" s="37"/>
      <c r="R270" s="188"/>
      <c r="S270" s="37"/>
      <c r="T270" s="37"/>
      <c r="U270" s="37"/>
      <c r="V270" s="37"/>
      <c r="W270" s="37"/>
      <c r="X270" s="37"/>
      <c r="Y270" s="37"/>
    </row>
    <row r="271" spans="1:25" x14ac:dyDescent="0.35">
      <c r="A271" s="37"/>
      <c r="B271" s="37"/>
      <c r="C271" s="37"/>
      <c r="D271" s="37"/>
      <c r="E271" s="37"/>
      <c r="F271" s="37"/>
      <c r="G271" s="37"/>
      <c r="H271" s="37"/>
      <c r="I271" s="37"/>
      <c r="J271" s="37"/>
      <c r="K271" s="37"/>
      <c r="L271" s="37"/>
      <c r="M271" s="37"/>
      <c r="N271" s="37"/>
      <c r="O271" s="37"/>
      <c r="P271" s="37"/>
      <c r="Q271" s="37"/>
      <c r="R271" s="188"/>
      <c r="S271" s="37"/>
      <c r="T271" s="37"/>
      <c r="U271" s="37"/>
      <c r="V271" s="37"/>
      <c r="W271" s="37"/>
      <c r="X271" s="37"/>
      <c r="Y271" s="37"/>
    </row>
    <row r="272" spans="1:25" x14ac:dyDescent="0.35">
      <c r="A272" s="37"/>
      <c r="B272" s="37"/>
      <c r="C272" s="37"/>
      <c r="D272" s="37"/>
      <c r="E272" s="37"/>
      <c r="F272" s="37"/>
      <c r="G272" s="37"/>
      <c r="H272" s="37"/>
      <c r="I272" s="37"/>
      <c r="J272" s="37"/>
      <c r="K272" s="37"/>
      <c r="L272" s="37"/>
      <c r="M272" s="37"/>
      <c r="N272" s="37"/>
      <c r="O272" s="37"/>
      <c r="P272" s="37"/>
      <c r="Q272" s="37"/>
      <c r="R272" s="188"/>
      <c r="S272" s="37"/>
      <c r="T272" s="37"/>
      <c r="U272" s="37"/>
      <c r="V272" s="37"/>
      <c r="W272" s="37"/>
      <c r="X272" s="37"/>
      <c r="Y272" s="37"/>
    </row>
    <row r="273" spans="1:25" customFormat="1" ht="14.6" x14ac:dyDescent="0.4">
      <c r="A273" s="4"/>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customFormat="1" ht="14.6" x14ac:dyDescent="0.4">
      <c r="A274" s="4"/>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35">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row>
    <row r="276" spans="1:25" x14ac:dyDescent="0.35">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row>
    <row r="277" spans="1:25" x14ac:dyDescent="0.35">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row>
    <row r="278" spans="1:25" x14ac:dyDescent="0.35">
      <c r="A278" s="37" t="s">
        <v>3</v>
      </c>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row>
    <row r="279" spans="1:25" x14ac:dyDescent="0.35"/>
    <row r="280" spans="1:25" x14ac:dyDescent="0.35"/>
    <row r="281" spans="1:25" x14ac:dyDescent="0.35"/>
    <row r="282" spans="1:25" x14ac:dyDescent="0.35"/>
    <row r="283" spans="1:25" x14ac:dyDescent="0.35"/>
    <row r="284" spans="1:25" x14ac:dyDescent="0.35"/>
    <row r="285" spans="1:25" x14ac:dyDescent="0.35"/>
    <row r="286" spans="1:25" x14ac:dyDescent="0.35"/>
    <row r="287" spans="1:25" x14ac:dyDescent="0.35"/>
    <row r="288" spans="1:25"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sheetData>
  <conditionalFormatting sqref="R38:R268">
    <cfRule type="expression" dxfId="283" priority="2">
      <formula>L38=1</formula>
    </cfRule>
    <cfRule type="expression" dxfId="282" priority="3">
      <formula>$K38&gt;1</formula>
    </cfRule>
  </conditionalFormatting>
  <conditionalFormatting sqref="N38:T268">
    <cfRule type="expression" dxfId="281" priority="1">
      <formula>$K38=5</formula>
    </cfRule>
    <cfRule type="expression" dxfId="280" priority="5">
      <formula>$K38=2</formula>
    </cfRule>
    <cfRule type="expression" dxfId="279" priority="6">
      <formula>$K38=1</formula>
    </cfRule>
  </conditionalFormatting>
  <pageMargins left="0.28958880139982501" right="0.28958880139982501" top="0.62992125984251945" bottom="0.39370078740157499" header="0.11811023622047251" footer="0.3"/>
  <pageSetup scale="74" fitToHeight="0" orientation="portrait" r:id="rId1"/>
  <headerFooter scaleWithDoc="0">
    <oddHeader>&amp;R&amp;"Calibri"&amp;10&amp;K808080City Heartbeat 2024, 50 city index (v1.0)</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547585" r:id="rId4" name="prm_cmd_SaveWeights">
              <controlPr defaultSize="0" print="0" autoFill="0" autoPict="0" macro="[0]!k">
                <anchor moveWithCells="1" sizeWithCells="1">
                  <from>
                    <xdr:col>18</xdr:col>
                    <xdr:colOff>0</xdr:colOff>
                    <xdr:row>16</xdr:row>
                    <xdr:rowOff>0</xdr:rowOff>
                  </from>
                  <to>
                    <xdr:col>18</xdr:col>
                    <xdr:colOff>636814</xdr:colOff>
                    <xdr:row>16</xdr:row>
                    <xdr:rowOff>255814</xdr:rowOff>
                  </to>
                </anchor>
              </controlPr>
            </control>
          </mc:Choice>
        </mc:AlternateContent>
        <mc:AlternateContent xmlns:mc="http://schemas.openxmlformats.org/markup-compatibility/2006">
          <mc:Choice Requires="x14">
            <control shapeId="4547586" r:id="rId5" name="prm_cmd_CancelWeightsEdit">
              <controlPr defaultSize="0" print="0" autoFill="0" autoPict="0" macro="[0]!k">
                <anchor moveWithCells="1" sizeWithCells="1">
                  <from>
                    <xdr:col>18</xdr:col>
                    <xdr:colOff>0</xdr:colOff>
                    <xdr:row>16</xdr:row>
                    <xdr:rowOff>277586</xdr:rowOff>
                  </from>
                  <to>
                    <xdr:col>18</xdr:col>
                    <xdr:colOff>636814</xdr:colOff>
                    <xdr:row>17</xdr:row>
                    <xdr:rowOff>32657</xdr:rowOff>
                  </to>
                </anchor>
              </controlPr>
            </control>
          </mc:Choice>
        </mc:AlternateContent>
        <mc:AlternateContent xmlns:mc="http://schemas.openxmlformats.org/markup-compatibility/2006">
          <mc:Choice Requires="x14">
            <control shapeId="4547587" r:id="rId6" name="prm_cmd_EditWeights">
              <controlPr defaultSize="0" print="0" autoFill="0" autoPict="0" macro="[0]!k">
                <anchor moveWithCells="1" sizeWithCells="1">
                  <from>
                    <xdr:col>16</xdr:col>
                    <xdr:colOff>402771</xdr:colOff>
                    <xdr:row>17</xdr:row>
                    <xdr:rowOff>0</xdr:rowOff>
                  </from>
                  <to>
                    <xdr:col>16</xdr:col>
                    <xdr:colOff>1017814</xdr:colOff>
                    <xdr:row>18</xdr:row>
                    <xdr:rowOff>0</xdr:rowOff>
                  </to>
                </anchor>
              </controlPr>
            </control>
          </mc:Choice>
        </mc:AlternateContent>
        <mc:AlternateContent xmlns:mc="http://schemas.openxmlformats.org/markup-compatibility/2006">
          <mc:Choice Requires="x14">
            <control shapeId="6123038" r:id="rId7" name="ui_cnt_WeightProfile">
              <controlPr defaultSize="0" print="0" autoFill="0" autoPict="0" macro="[0]!k">
                <anchor>
                  <from>
                    <xdr:col>0</xdr:col>
                    <xdr:colOff>125186</xdr:colOff>
                    <xdr:row>3</xdr:row>
                    <xdr:rowOff>239486</xdr:rowOff>
                  </from>
                  <to>
                    <xdr:col>6</xdr:col>
                    <xdr:colOff>266700</xdr:colOff>
                    <xdr:row>3</xdr:row>
                    <xdr:rowOff>451757</xdr:rowOff>
                  </to>
                </anchor>
              </controlPr>
            </control>
          </mc:Choice>
        </mc:AlternateContent>
        <mc:AlternateContent xmlns:mc="http://schemas.openxmlformats.org/markup-compatibility/2006">
          <mc:Choice Requires="x14">
            <control shapeId="6123040" r:id="rId8" name="ui_cnt_WeightsDepth">
              <controlPr defaultSize="0" print="0" autoFill="0" autoPict="0" macro="[0]!k">
                <anchor>
                  <from>
                    <xdr:col>7</xdr:col>
                    <xdr:colOff>130629</xdr:colOff>
                    <xdr:row>3</xdr:row>
                    <xdr:rowOff>239486</xdr:rowOff>
                  </from>
                  <to>
                    <xdr:col>13</xdr:col>
                    <xdr:colOff>185057</xdr:colOff>
                    <xdr:row>3</xdr:row>
                    <xdr:rowOff>451757</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5963A-1D95-4B78-8714-A53D1C497830}">
  <sheetPr codeName="Sheet45">
    <pageSetUpPr fitToPage="1"/>
  </sheetPr>
  <dimension ref="A1:AF300"/>
  <sheetViews>
    <sheetView showGridLines="0" showRowColHeaders="0" zoomScaleNormal="100" workbookViewId="0">
      <pane ySplit="7" topLeftCell="A8" activePane="bottomLeft" state="frozen"/>
      <selection pane="bottomLeft"/>
    </sheetView>
  </sheetViews>
  <sheetFormatPr defaultRowHeight="14.6" zeroHeight="1" x14ac:dyDescent="0.4"/>
  <cols>
    <col min="1" max="1" width="2.69140625" customWidth="1"/>
    <col min="2" max="2" width="5" customWidth="1"/>
    <col min="3" max="3" width="4.23046875" customWidth="1"/>
    <col min="4" max="4" width="2.53515625" customWidth="1"/>
    <col min="5" max="6" width="6.3828125" customWidth="1"/>
    <col min="7" max="7" width="7.69140625" customWidth="1"/>
    <col min="8" max="26" width="6.3828125" customWidth="1"/>
    <col min="27" max="27" width="8.69140625" customWidth="1"/>
    <col min="28" max="28" width="6.3828125" customWidth="1"/>
    <col min="29" max="29" width="8.69140625" customWidth="1"/>
    <col min="30" max="30" width="4.84375" customWidth="1"/>
    <col min="31" max="31" width="9.15234375" customWidth="1"/>
  </cols>
  <sheetData>
    <row r="1" spans="1:32" ht="24" hidden="1" customHeight="1" x14ac:dyDescent="0.4">
      <c r="A1" s="4" t="s">
        <v>2</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row>
    <row r="2" spans="1:32" ht="24" customHeight="1" x14ac:dyDescent="0.4">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1:32" ht="26.05" customHeight="1" x14ac:dyDescent="0.4">
      <c r="A3" s="4"/>
      <c r="B3" s="4" t="s">
        <v>1500</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2" ht="42" customHeight="1" x14ac:dyDescent="0.4">
      <c r="A4" s="4"/>
      <c r="B4" s="35" t="s">
        <v>1661</v>
      </c>
      <c r="C4" s="4"/>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32" ht="24" customHeight="1" x14ac:dyDescent="0.4">
      <c r="A5" s="4" t="s">
        <v>2</v>
      </c>
      <c r="B5" s="111" t="str">
        <f>uxbGlobals!$B$353</f>
        <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row>
    <row r="6" spans="1:32" ht="24" customHeight="1" x14ac:dyDescent="0.4">
      <c r="A6" s="4" t="s">
        <v>2</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row>
    <row r="7" spans="1:32" ht="24" customHeight="1" x14ac:dyDescent="0.4">
      <c r="A7" s="4" t="s">
        <v>2</v>
      </c>
      <c r="B7" s="40">
        <f>uxbGlobals!$B$317</f>
        <v>0</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row>
    <row r="8" spans="1:32" ht="8.0500000000000007" customHeight="1" x14ac:dyDescent="0.4">
      <c r="A8" s="4"/>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row>
    <row r="9" spans="1:32" ht="15" customHeight="1" x14ac:dyDescent="0.4">
      <c r="A9" s="4" t="s">
        <v>2</v>
      </c>
      <c r="B9" s="4" t="s">
        <v>2</v>
      </c>
      <c r="C9" s="4" t="s">
        <v>2</v>
      </c>
      <c r="D9" s="4"/>
      <c r="E9" s="4"/>
      <c r="F9" s="4"/>
      <c r="G9" s="4"/>
      <c r="H9" s="4"/>
      <c r="I9" s="4"/>
      <c r="J9" s="4"/>
      <c r="K9" s="4"/>
      <c r="L9" s="4"/>
      <c r="M9" s="4"/>
      <c r="N9" s="4"/>
      <c r="O9" s="4"/>
      <c r="P9" s="4"/>
      <c r="Q9" s="4"/>
      <c r="R9" s="4"/>
      <c r="S9" s="4"/>
      <c r="T9" s="4"/>
      <c r="U9" s="4"/>
      <c r="V9" s="4"/>
      <c r="W9" s="4"/>
      <c r="X9" s="4"/>
      <c r="Y9" s="4"/>
      <c r="Z9" s="4"/>
      <c r="AA9" s="4"/>
      <c r="AB9" s="4"/>
      <c r="AC9" s="4"/>
      <c r="AD9" s="4"/>
      <c r="AE9" s="4" t="s">
        <v>2</v>
      </c>
      <c r="AF9" s="4"/>
    </row>
    <row r="10" spans="1:32" ht="15" customHeight="1" x14ac:dyDescent="0.4">
      <c r="A10" s="13" t="s">
        <v>2</v>
      </c>
      <c r="B10" s="13" t="s">
        <v>2</v>
      </c>
      <c r="C10" s="4"/>
      <c r="D10" s="4"/>
      <c r="E10" s="4"/>
      <c r="F10" s="4"/>
      <c r="G10" s="4"/>
      <c r="H10" s="4"/>
      <c r="I10" s="4"/>
      <c r="J10" s="4"/>
      <c r="K10" s="4"/>
      <c r="L10" s="4"/>
      <c r="M10" s="4"/>
      <c r="N10" s="4"/>
      <c r="O10" s="4"/>
      <c r="P10" s="4"/>
      <c r="Q10" s="4"/>
      <c r="R10" s="4"/>
      <c r="S10" s="4"/>
      <c r="T10" s="4"/>
      <c r="U10" s="4"/>
      <c r="V10" s="4"/>
      <c r="W10" s="196" t="s">
        <v>136</v>
      </c>
      <c r="X10" s="196" t="s">
        <v>136</v>
      </c>
      <c r="Y10" s="4"/>
      <c r="Z10" s="4"/>
      <c r="AA10" s="4"/>
      <c r="AB10" s="4"/>
      <c r="AC10" s="4"/>
      <c r="AD10" s="4"/>
      <c r="AE10" s="4"/>
      <c r="AF10" s="4"/>
    </row>
    <row r="11" spans="1:32" x14ac:dyDescent="0.4">
      <c r="A11" s="4"/>
      <c r="B11" s="4"/>
      <c r="C11" s="4"/>
      <c r="D11" s="4"/>
      <c r="E11" s="197" t="s">
        <v>979</v>
      </c>
      <c r="F11" s="4"/>
      <c r="G11" s="198" t="str">
        <f ca="1">iScatter!$C$2</f>
        <v>OVERALL</v>
      </c>
      <c r="H11" s="4"/>
      <c r="I11" s="4"/>
      <c r="J11" s="4"/>
      <c r="K11" s="4"/>
      <c r="L11" s="4"/>
      <c r="M11" s="4"/>
      <c r="N11" s="4"/>
      <c r="O11" s="4"/>
      <c r="P11" s="4"/>
      <c r="Q11" s="4"/>
      <c r="R11" s="4"/>
      <c r="S11" s="4"/>
      <c r="T11" s="4"/>
      <c r="U11" s="4"/>
      <c r="V11" s="4"/>
      <c r="W11" s="4"/>
      <c r="X11" s="4"/>
      <c r="Y11" s="4"/>
      <c r="Z11" s="4"/>
      <c r="AA11" s="4"/>
      <c r="AB11" s="4"/>
      <c r="AC11" s="4"/>
      <c r="AD11" s="4"/>
      <c r="AE11" s="199"/>
      <c r="AF11" s="4"/>
    </row>
    <row r="12" spans="1:32" ht="15.75" customHeight="1" x14ac:dyDescent="0.4">
      <c r="A12" s="4"/>
      <c r="B12" s="4"/>
      <c r="C12" s="4"/>
      <c r="D12" s="4"/>
      <c r="E12" s="4"/>
      <c r="F12" s="4"/>
      <c r="G12" s="144" t="str">
        <f ca="1">iScatter!$B$57</f>
        <v>Score 0-100 where 100=most healthy environment</v>
      </c>
      <c r="H12" s="4"/>
      <c r="I12" s="4"/>
      <c r="J12" s="4"/>
      <c r="K12" s="4"/>
      <c r="L12" s="4"/>
      <c r="M12" s="4"/>
      <c r="N12" s="4"/>
      <c r="O12" s="4"/>
      <c r="P12" s="4"/>
      <c r="Q12" s="4"/>
      <c r="R12" s="4"/>
      <c r="S12" s="4"/>
      <c r="T12" s="4"/>
      <c r="U12" s="4"/>
      <c r="V12" s="4"/>
      <c r="W12" s="4"/>
      <c r="X12" s="4"/>
      <c r="Y12" s="4"/>
      <c r="Z12" s="4"/>
      <c r="AA12" s="4"/>
      <c r="AB12" s="4"/>
      <c r="AC12" s="4"/>
      <c r="AD12" s="4"/>
      <c r="AE12" s="12"/>
      <c r="AF12" s="4"/>
    </row>
    <row r="13" spans="1:32" x14ac:dyDescent="0.4">
      <c r="A13" s="4"/>
      <c r="B13" s="4"/>
      <c r="C13" s="4"/>
      <c r="D13" s="4"/>
      <c r="E13" s="12"/>
      <c r="F13" s="4"/>
      <c r="G13" s="143" t="str">
        <f ca="1">iScatter!$B$58</f>
        <v/>
      </c>
      <c r="H13" s="4"/>
      <c r="I13" s="4"/>
      <c r="J13" s="4"/>
      <c r="K13" s="4"/>
      <c r="L13" s="4"/>
      <c r="M13" s="4"/>
      <c r="N13" s="4"/>
      <c r="O13" s="4"/>
      <c r="P13" s="4"/>
      <c r="Q13" s="4"/>
      <c r="R13" s="4"/>
      <c r="S13" s="4"/>
      <c r="T13" s="4"/>
      <c r="U13" s="4"/>
      <c r="V13" s="4"/>
      <c r="W13" s="4"/>
      <c r="X13" s="4"/>
      <c r="Y13" s="4"/>
      <c r="Z13" s="4"/>
      <c r="AA13" s="4"/>
      <c r="AB13" s="4"/>
      <c r="AC13" s="4"/>
      <c r="AD13" s="4"/>
      <c r="AE13" s="12"/>
      <c r="AF13" s="4"/>
    </row>
    <row r="14" spans="1:32" ht="10.5" customHeight="1" x14ac:dyDescent="0.4">
      <c r="A14" s="4"/>
      <c r="B14" s="4"/>
      <c r="C14" s="4"/>
      <c r="D14" s="200"/>
      <c r="E14" s="200"/>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12"/>
      <c r="AF14" s="4"/>
    </row>
    <row r="15" spans="1:32" ht="8.25" customHeight="1" x14ac:dyDescent="0.4">
      <c r="A15" s="4"/>
      <c r="B15" s="4"/>
      <c r="C15" s="4"/>
      <c r="D15" s="4"/>
      <c r="E15" s="12"/>
      <c r="F15" s="4"/>
      <c r="G15" s="4"/>
      <c r="H15" s="4"/>
      <c r="I15" s="4"/>
      <c r="J15" s="4"/>
      <c r="K15" s="4"/>
      <c r="L15" s="4"/>
      <c r="M15" s="4"/>
      <c r="N15" s="4"/>
      <c r="O15" s="4"/>
      <c r="P15" s="4"/>
      <c r="Q15" s="4"/>
      <c r="R15" s="4"/>
      <c r="S15" s="4"/>
      <c r="T15" s="4"/>
      <c r="U15" s="4"/>
      <c r="V15" s="4"/>
      <c r="W15" s="4"/>
      <c r="X15" s="4"/>
      <c r="Y15" s="4"/>
      <c r="Z15" s="4"/>
      <c r="AA15" s="4"/>
      <c r="AB15" s="4"/>
      <c r="AC15" s="4"/>
      <c r="AD15" s="4"/>
      <c r="AE15" s="12"/>
      <c r="AF15" s="4"/>
    </row>
    <row r="16" spans="1:32" x14ac:dyDescent="0.4">
      <c r="A16" s="4"/>
      <c r="B16" s="4"/>
      <c r="C16" s="4"/>
      <c r="D16" s="4"/>
      <c r="E16" s="197" t="s">
        <v>978</v>
      </c>
      <c r="F16" s="4"/>
      <c r="G16" s="202" t="str">
        <f ca="1">iScatter!$C$3</f>
        <v>SOCIAL DETERMINANTS</v>
      </c>
      <c r="H16" s="4"/>
      <c r="I16" s="4"/>
      <c r="J16" s="4"/>
      <c r="K16" s="4"/>
      <c r="L16" s="4"/>
      <c r="M16" s="4"/>
      <c r="N16" s="4"/>
      <c r="O16" s="4"/>
      <c r="P16" s="4"/>
      <c r="Q16" s="4"/>
      <c r="R16" s="4"/>
      <c r="S16" s="4"/>
      <c r="T16" s="4"/>
      <c r="U16" s="4"/>
      <c r="V16" s="4"/>
      <c r="W16" s="4"/>
      <c r="X16" s="4"/>
      <c r="Y16" s="4"/>
      <c r="Z16" s="4"/>
      <c r="AA16" s="4"/>
      <c r="AB16" s="4"/>
      <c r="AC16" s="4"/>
      <c r="AD16" s="4"/>
      <c r="AE16" s="4"/>
      <c r="AF16" s="4"/>
    </row>
    <row r="17" spans="1:32" ht="15.75" customHeight="1" x14ac:dyDescent="0.4">
      <c r="A17" s="4"/>
      <c r="B17" s="4"/>
      <c r="C17" s="4"/>
      <c r="D17" s="4"/>
      <c r="E17" s="4"/>
      <c r="F17" s="4"/>
      <c r="G17" s="144" t="str">
        <f ca="1">iScatter!$B$64</f>
        <v>Score 0-100 where 100=most healthy environment</v>
      </c>
      <c r="H17" s="4"/>
      <c r="I17" s="4"/>
      <c r="J17" s="4"/>
      <c r="K17" s="4"/>
      <c r="L17" s="4"/>
      <c r="M17" s="4"/>
      <c r="N17" s="4"/>
      <c r="O17" s="4"/>
      <c r="P17" s="4"/>
      <c r="Q17" s="4"/>
      <c r="R17" s="4"/>
      <c r="S17" s="4"/>
      <c r="T17" s="4"/>
      <c r="U17" s="4"/>
      <c r="V17" s="4"/>
      <c r="W17" s="4"/>
      <c r="X17" s="4"/>
      <c r="Y17" s="4"/>
      <c r="Z17" s="4"/>
      <c r="AA17" s="4"/>
      <c r="AB17" s="4"/>
      <c r="AC17" s="4"/>
      <c r="AD17" s="4"/>
      <c r="AE17" s="4"/>
      <c r="AF17" s="4"/>
    </row>
    <row r="18" spans="1:32" x14ac:dyDescent="0.4">
      <c r="A18" s="4"/>
      <c r="B18" s="4"/>
      <c r="C18" s="4"/>
      <c r="D18" s="4"/>
      <c r="E18" s="12"/>
      <c r="F18" s="4"/>
      <c r="G18" s="143" t="str">
        <f ca="1">iScatter!$B$65</f>
        <v/>
      </c>
      <c r="H18" s="4"/>
      <c r="I18" s="4"/>
      <c r="J18" s="4"/>
      <c r="K18" s="4"/>
      <c r="L18" s="4"/>
      <c r="M18" s="4"/>
      <c r="N18" s="4"/>
      <c r="O18" s="4"/>
      <c r="P18" s="4"/>
      <c r="Q18" s="4"/>
      <c r="R18" s="4"/>
      <c r="S18" s="4"/>
      <c r="T18" s="4"/>
      <c r="U18" s="4"/>
      <c r="V18" s="4"/>
      <c r="W18" s="4"/>
      <c r="X18" s="4"/>
      <c r="Y18" s="4"/>
      <c r="Z18" s="4"/>
      <c r="AA18" s="4"/>
      <c r="AB18" s="4"/>
      <c r="AC18" s="4"/>
      <c r="AD18" s="4"/>
      <c r="AE18" s="4"/>
      <c r="AF18" s="4"/>
    </row>
    <row r="19" spans="1:32" ht="10.5" customHeight="1" x14ac:dyDescent="0.4">
      <c r="A19" s="4"/>
      <c r="B19" s="4"/>
      <c r="C19" s="4"/>
      <c r="D19" s="200"/>
      <c r="E19" s="200"/>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12"/>
      <c r="AF19" s="4"/>
    </row>
    <row r="20" spans="1:32" ht="8.25" customHeight="1" x14ac:dyDescent="0.4">
      <c r="A20" s="4"/>
      <c r="B20" s="4"/>
      <c r="C20" s="4"/>
      <c r="D20" s="4"/>
      <c r="E20" s="12"/>
      <c r="F20" s="4"/>
      <c r="G20" s="4"/>
      <c r="H20" s="4"/>
      <c r="I20" s="4"/>
      <c r="J20" s="4"/>
      <c r="K20" s="4"/>
      <c r="L20" s="4"/>
      <c r="M20" s="4"/>
      <c r="N20" s="4"/>
      <c r="O20" s="4"/>
      <c r="P20" s="4"/>
      <c r="Q20" s="4"/>
      <c r="R20" s="4"/>
      <c r="S20" s="4"/>
      <c r="T20" s="4"/>
      <c r="U20" s="4"/>
      <c r="V20" s="4"/>
      <c r="W20" s="4"/>
      <c r="X20" s="4"/>
      <c r="Y20" s="4"/>
      <c r="Z20" s="4"/>
      <c r="AA20" s="4"/>
      <c r="AB20" s="4"/>
      <c r="AC20" s="4"/>
      <c r="AD20" s="4"/>
      <c r="AE20" s="12"/>
      <c r="AF20" s="4"/>
    </row>
    <row r="21" spans="1:32" ht="21.75" customHeight="1" x14ac:dyDescent="0.4">
      <c r="A21" s="4"/>
      <c r="B21" s="4"/>
      <c r="C21" s="4"/>
      <c r="D21" s="4"/>
      <c r="E21" s="4"/>
      <c r="F21" s="4"/>
      <c r="G21" s="203" t="s">
        <v>1174</v>
      </c>
      <c r="H21" s="121"/>
      <c r="I21" s="121"/>
      <c r="J21" s="121"/>
      <c r="K21" s="204">
        <f ca="1">IFERROR(iScatter!$B$87,"n/a")</f>
        <v>0.8083558973065319</v>
      </c>
      <c r="L21" s="348"/>
      <c r="M21" s="348"/>
      <c r="N21" s="4"/>
      <c r="O21" s="4"/>
      <c r="P21" s="4"/>
      <c r="Q21" s="4"/>
      <c r="R21" s="4"/>
      <c r="S21" s="4"/>
      <c r="T21" s="4"/>
      <c r="U21" s="4"/>
      <c r="V21" s="4"/>
      <c r="W21" s="4"/>
      <c r="X21" s="4"/>
      <c r="Y21" s="4"/>
      <c r="Z21" s="4"/>
      <c r="AA21" s="4"/>
      <c r="AB21" s="4"/>
      <c r="AC21" s="4"/>
      <c r="AD21" s="4"/>
      <c r="AE21" s="4"/>
      <c r="AF21" s="4"/>
    </row>
    <row r="22" spans="1:32" ht="21.75" customHeight="1" x14ac:dyDescent="0.4">
      <c r="A22" s="111" t="str">
        <f>IF(OR(1=1,uxbGlobals!$B$387=0),"H","")</f>
        <v>H</v>
      </c>
      <c r="B22" s="4" t="s">
        <v>1345</v>
      </c>
      <c r="C22" s="4"/>
      <c r="D22" s="4"/>
      <c r="E22" s="4"/>
      <c r="F22" s="121"/>
      <c r="G22" s="205" t="str">
        <f>IF(uxbGlobals!$B$387=0,"","●")</f>
        <v/>
      </c>
      <c r="H22" s="206" t="str">
        <f>IF(uxbGlobals!$B$387=0,"",uxbGlobals!$B$388)</f>
        <v/>
      </c>
      <c r="I22" s="121"/>
      <c r="J22" s="121"/>
      <c r="K22" s="121"/>
      <c r="L22" s="207"/>
      <c r="M22" s="207"/>
      <c r="N22" s="4"/>
      <c r="O22" s="4"/>
      <c r="P22" s="4"/>
      <c r="Q22" s="4"/>
      <c r="R22" s="4"/>
      <c r="S22" s="4"/>
      <c r="T22" s="4"/>
      <c r="U22" s="4"/>
      <c r="V22" s="4"/>
      <c r="W22" s="4"/>
      <c r="X22" s="4"/>
      <c r="Y22" s="4"/>
      <c r="Z22" s="4"/>
      <c r="AA22" s="4"/>
      <c r="AB22" s="4"/>
      <c r="AC22" s="4"/>
      <c r="AD22" s="4"/>
      <c r="AE22" s="4"/>
      <c r="AF22" s="4"/>
    </row>
    <row r="23" spans="1:32" ht="15.75" customHeight="1" x14ac:dyDescent="0.4">
      <c r="A23" s="4"/>
      <c r="B23" s="4"/>
      <c r="C23" s="4"/>
      <c r="D23" s="4"/>
      <c r="E23" s="4"/>
      <c r="F23" s="4"/>
      <c r="G23" s="4"/>
      <c r="H23" s="4"/>
      <c r="I23" s="4"/>
      <c r="J23" s="4"/>
      <c r="K23" s="4"/>
      <c r="L23" s="4"/>
      <c r="M23" s="4"/>
      <c r="N23" s="4"/>
      <c r="O23" s="4"/>
      <c r="P23" s="4"/>
      <c r="Q23" s="4"/>
      <c r="R23" s="4"/>
      <c r="S23" s="4"/>
      <c r="T23" s="4"/>
      <c r="U23" s="4"/>
      <c r="V23" s="4"/>
      <c r="W23" s="12"/>
      <c r="X23" s="4"/>
      <c r="Y23" s="4"/>
      <c r="Z23" s="4"/>
      <c r="AA23" s="4"/>
      <c r="AB23" s="4"/>
      <c r="AC23" s="4"/>
      <c r="AD23" s="4"/>
      <c r="AE23" s="4"/>
      <c r="AF23" s="4"/>
    </row>
    <row r="24" spans="1:32" ht="15.75" customHeight="1" x14ac:dyDescent="0.4">
      <c r="A24" s="4"/>
      <c r="B24" s="4"/>
      <c r="C24" s="4"/>
      <c r="D24" s="4"/>
      <c r="E24" s="4"/>
      <c r="F24" s="4"/>
      <c r="G24" s="4"/>
      <c r="H24" s="4"/>
      <c r="I24" s="4"/>
      <c r="J24" s="4"/>
      <c r="K24" s="4"/>
      <c r="L24" s="4"/>
      <c r="M24" s="4"/>
      <c r="N24" s="4"/>
      <c r="O24" s="4"/>
      <c r="P24" s="4"/>
      <c r="Q24" s="4"/>
      <c r="R24" s="4"/>
      <c r="S24" s="4"/>
      <c r="T24" s="4"/>
      <c r="U24" s="4"/>
      <c r="V24" s="4"/>
      <c r="W24" s="38" t="s">
        <v>7489</v>
      </c>
      <c r="X24" s="4"/>
      <c r="Y24" s="4"/>
      <c r="Z24" s="4"/>
      <c r="AA24" s="4"/>
      <c r="AB24" s="4"/>
      <c r="AC24" s="4"/>
      <c r="AD24" s="4"/>
      <c r="AE24" s="4"/>
      <c r="AF24" s="4"/>
    </row>
    <row r="25" spans="1:32" x14ac:dyDescent="0.4">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row>
    <row r="26" spans="1:32" ht="12.75" customHeight="1" x14ac:dyDescent="0.4">
      <c r="A26" s="4"/>
      <c r="B26" s="4"/>
      <c r="C26" s="4"/>
      <c r="D26" s="4"/>
      <c r="E26" s="4"/>
      <c r="F26" s="4"/>
      <c r="G26" s="4"/>
      <c r="H26" s="4"/>
      <c r="I26" s="4"/>
      <c r="J26" s="4"/>
      <c r="K26" s="4"/>
      <c r="L26" s="4"/>
      <c r="M26" s="4"/>
      <c r="N26" s="4"/>
      <c r="O26" s="4"/>
      <c r="P26" s="4"/>
      <c r="Q26" s="4"/>
      <c r="R26" s="4"/>
      <c r="S26" s="4"/>
      <c r="T26" s="4"/>
      <c r="U26" s="4"/>
      <c r="V26" s="4"/>
      <c r="W26" s="208" t="str" cm="1">
        <f t="array" aca="1" ref="W26" ca="1">INDEX(iScatterGrpCorrel!$E$5:$Y$5,AE26)</f>
        <v>All cities (50)</v>
      </c>
      <c r="X26" s="208"/>
      <c r="Y26" s="208"/>
      <c r="Z26" s="208"/>
      <c r="AA26" s="209" cm="1">
        <f t="array" aca="1" ref="AA26" ca="1">INDEX(iScatterGrpCorrel!$E$6:$Y$6,AE26)</f>
        <v>0.8083558973065319</v>
      </c>
      <c r="AB26" s="4"/>
      <c r="AC26" s="4"/>
      <c r="AD26" s="4"/>
      <c r="AE26" s="4">
        <v>1</v>
      </c>
      <c r="AF26" s="4"/>
    </row>
    <row r="27" spans="1:32" ht="12.75" customHeight="1" x14ac:dyDescent="0.4">
      <c r="A27" s="4"/>
      <c r="B27" s="4"/>
      <c r="C27" s="4"/>
      <c r="D27" s="4"/>
      <c r="E27" s="4"/>
      <c r="F27" s="4"/>
      <c r="G27" s="4"/>
      <c r="H27" s="4"/>
      <c r="I27" s="4"/>
      <c r="J27" s="4"/>
      <c r="K27" s="4"/>
      <c r="L27" s="4"/>
      <c r="M27" s="4"/>
      <c r="N27" s="4"/>
      <c r="O27" s="4"/>
      <c r="P27" s="4"/>
      <c r="Q27" s="4"/>
      <c r="R27" s="4"/>
      <c r="S27" s="4"/>
      <c r="T27" s="4"/>
      <c r="U27" s="4"/>
      <c r="V27" s="4"/>
      <c r="W27" s="208"/>
      <c r="X27" s="208"/>
      <c r="Y27" s="208"/>
      <c r="Z27" s="208"/>
      <c r="AA27" s="208"/>
      <c r="AB27" s="4"/>
      <c r="AC27" s="4"/>
      <c r="AD27" s="4"/>
      <c r="AE27" s="4"/>
      <c r="AF27" s="4"/>
    </row>
    <row r="28" spans="1:32" ht="12.75" customHeight="1" x14ac:dyDescent="0.4">
      <c r="A28" s="4"/>
      <c r="B28" s="4"/>
      <c r="C28" s="4"/>
      <c r="D28" s="4"/>
      <c r="E28" s="4"/>
      <c r="F28" s="4"/>
      <c r="G28" s="4"/>
      <c r="H28" s="4"/>
      <c r="I28" s="4"/>
      <c r="J28" s="4"/>
      <c r="K28" s="4"/>
      <c r="L28" s="4"/>
      <c r="M28" s="4"/>
      <c r="N28" s="4"/>
      <c r="O28" s="4"/>
      <c r="P28" s="4"/>
      <c r="Q28" s="4"/>
      <c r="R28" s="4"/>
      <c r="S28" s="4"/>
      <c r="T28" s="4"/>
      <c r="U28" s="4"/>
      <c r="V28" s="4"/>
      <c r="W28" s="208" t="str" cm="1">
        <f t="array" aca="1" ref="W28" ca="1">INDEX(iScatterGrpCorrel!$E$5:$Y$5,AE28)</f>
        <v>Africa (5)</v>
      </c>
      <c r="X28" s="208"/>
      <c r="Y28" s="208"/>
      <c r="Z28" s="208"/>
      <c r="AA28" s="209" cm="1">
        <f t="array" aca="1" ref="AA28" ca="1">INDEX(iScatterGrpCorrel!$E$6:$Y$6,AE28)</f>
        <v>0.59987494098479277</v>
      </c>
      <c r="AB28" s="4"/>
      <c r="AC28" s="4"/>
      <c r="AD28" s="4"/>
      <c r="AE28" s="4">
        <v>2</v>
      </c>
      <c r="AF28" s="4"/>
    </row>
    <row r="29" spans="1:32" ht="12.75" customHeight="1" x14ac:dyDescent="0.4">
      <c r="A29" s="4"/>
      <c r="B29" s="4"/>
      <c r="C29" s="4"/>
      <c r="D29" s="4"/>
      <c r="E29" s="4"/>
      <c r="F29" s="4"/>
      <c r="G29" s="4"/>
      <c r="H29" s="4"/>
      <c r="I29" s="4"/>
      <c r="J29" s="4"/>
      <c r="K29" s="4"/>
      <c r="L29" s="4"/>
      <c r="M29" s="4"/>
      <c r="N29" s="4"/>
      <c r="O29" s="4"/>
      <c r="P29" s="4"/>
      <c r="Q29" s="4"/>
      <c r="R29" s="4"/>
      <c r="S29" s="4"/>
      <c r="T29" s="4"/>
      <c r="U29" s="4"/>
      <c r="V29" s="4"/>
      <c r="W29" s="208" t="str" cm="1">
        <f t="array" aca="1" ref="W29" ca="1">INDEX(iScatterGrpCorrel!$E$5:$Y$5,AE29)</f>
        <v>Americas (7)</v>
      </c>
      <c r="X29" s="208"/>
      <c r="Y29" s="208"/>
      <c r="Z29" s="208"/>
      <c r="AA29" s="209" cm="1">
        <f t="array" aca="1" ref="AA29" ca="1">INDEX(iScatterGrpCorrel!$E$6:$Y$6,AE29)</f>
        <v>0.38043413845189183</v>
      </c>
      <c r="AB29" s="4"/>
      <c r="AC29" s="4"/>
      <c r="AD29" s="4"/>
      <c r="AE29" s="4">
        <v>3</v>
      </c>
      <c r="AF29" s="4"/>
    </row>
    <row r="30" spans="1:32" ht="12.75" customHeight="1" x14ac:dyDescent="0.4">
      <c r="A30" s="4"/>
      <c r="B30" s="4"/>
      <c r="C30" s="4"/>
      <c r="D30" s="4"/>
      <c r="E30" s="4"/>
      <c r="F30" s="4"/>
      <c r="G30" s="4"/>
      <c r="H30" s="4"/>
      <c r="I30" s="4"/>
      <c r="J30" s="4"/>
      <c r="K30" s="4"/>
      <c r="L30" s="4"/>
      <c r="M30" s="4"/>
      <c r="N30" s="4"/>
      <c r="O30" s="4"/>
      <c r="P30" s="4"/>
      <c r="Q30" s="4"/>
      <c r="R30" s="4"/>
      <c r="S30" s="4"/>
      <c r="T30" s="4"/>
      <c r="U30" s="4"/>
      <c r="V30" s="4"/>
      <c r="W30" s="208" t="str" cm="1">
        <f t="array" aca="1" ref="W30" ca="1">INDEX(iScatterGrpCorrel!$E$5:$Y$5,AE30)</f>
        <v>Eastern Mediterranean (4)</v>
      </c>
      <c r="X30" s="208"/>
      <c r="Y30" s="208"/>
      <c r="Z30" s="208"/>
      <c r="AA30" s="209" cm="1">
        <f t="array" aca="1" ref="AA30" ca="1">INDEX(iScatterGrpCorrel!$E$6:$Y$6,AE30)</f>
        <v>0.88915480569244532</v>
      </c>
      <c r="AB30" s="4"/>
      <c r="AC30" s="4"/>
      <c r="AD30" s="4"/>
      <c r="AE30" s="4">
        <v>4</v>
      </c>
      <c r="AF30" s="4"/>
    </row>
    <row r="31" spans="1:32" ht="12.75" customHeight="1" x14ac:dyDescent="0.4">
      <c r="A31" s="4"/>
      <c r="B31" s="4"/>
      <c r="C31" s="4"/>
      <c r="D31" s="4"/>
      <c r="E31" s="4"/>
      <c r="F31" s="4"/>
      <c r="G31" s="4"/>
      <c r="H31" s="4"/>
      <c r="I31" s="4"/>
      <c r="J31" s="4"/>
      <c r="K31" s="4"/>
      <c r="L31" s="4"/>
      <c r="M31" s="4"/>
      <c r="N31" s="4"/>
      <c r="O31" s="4"/>
      <c r="P31" s="4"/>
      <c r="Q31" s="4"/>
      <c r="R31" s="4"/>
      <c r="S31" s="4"/>
      <c r="T31" s="4"/>
      <c r="U31" s="4"/>
      <c r="V31" s="4"/>
      <c r="W31" s="208" t="str" cm="1">
        <f t="array" aca="1" ref="W31" ca="1">INDEX(iScatterGrpCorrel!$E$5:$Y$5,AE31)</f>
        <v>Europe (10)</v>
      </c>
      <c r="X31" s="208"/>
      <c r="Y31" s="208"/>
      <c r="Z31" s="208"/>
      <c r="AA31" s="209" cm="1">
        <f t="array" aca="1" ref="AA31" ca="1">INDEX(iScatterGrpCorrel!$E$6:$Y$6,AE31)</f>
        <v>0.58144229892333865</v>
      </c>
      <c r="AB31" s="4"/>
      <c r="AC31" s="4"/>
      <c r="AD31" s="4"/>
      <c r="AE31" s="4">
        <v>5</v>
      </c>
      <c r="AF31" s="4"/>
    </row>
    <row r="32" spans="1:32" ht="12.75" customHeight="1" x14ac:dyDescent="0.4">
      <c r="A32" s="4"/>
      <c r="B32" s="4"/>
      <c r="C32" s="4"/>
      <c r="D32" s="4"/>
      <c r="E32" s="4"/>
      <c r="F32" s="4"/>
      <c r="G32" s="4"/>
      <c r="H32" s="4"/>
      <c r="I32" s="4"/>
      <c r="J32" s="4"/>
      <c r="K32" s="4"/>
      <c r="L32" s="4"/>
      <c r="M32" s="4"/>
      <c r="N32" s="4"/>
      <c r="O32" s="4"/>
      <c r="P32" s="4"/>
      <c r="Q32" s="4"/>
      <c r="R32" s="4"/>
      <c r="S32" s="4"/>
      <c r="T32" s="4"/>
      <c r="U32" s="4"/>
      <c r="V32" s="4"/>
      <c r="W32" s="208" t="str" cm="1">
        <f t="array" aca="1" ref="W32" ca="1">INDEX(iScatterGrpCorrel!$E$5:$Y$5,AE32)</f>
        <v>SE Asia (10)</v>
      </c>
      <c r="X32" s="208"/>
      <c r="Y32" s="208"/>
      <c r="Z32" s="208"/>
      <c r="AA32" s="209" cm="1">
        <f t="array" aca="1" ref="AA32" ca="1">INDEX(iScatterGrpCorrel!$E$6:$Y$6,AE32)</f>
        <v>0.69716985353850447</v>
      </c>
      <c r="AB32" s="4"/>
      <c r="AC32" s="4"/>
      <c r="AD32" s="4"/>
      <c r="AE32" s="4">
        <v>6</v>
      </c>
      <c r="AF32" s="4"/>
    </row>
    <row r="33" spans="1:32" ht="12.75" customHeight="1" x14ac:dyDescent="0.4">
      <c r="A33" s="4"/>
      <c r="B33" s="4"/>
      <c r="C33" s="4"/>
      <c r="D33" s="4"/>
      <c r="E33" s="4"/>
      <c r="F33" s="4"/>
      <c r="G33" s="4"/>
      <c r="H33" s="4"/>
      <c r="I33" s="4"/>
      <c r="J33" s="4"/>
      <c r="K33" s="4"/>
      <c r="L33" s="4"/>
      <c r="M33" s="4"/>
      <c r="N33" s="4"/>
      <c r="O33" s="4"/>
      <c r="P33" s="4"/>
      <c r="Q33" s="4"/>
      <c r="R33" s="4"/>
      <c r="S33" s="4"/>
      <c r="T33" s="4"/>
      <c r="U33" s="4"/>
      <c r="V33" s="4"/>
      <c r="W33" s="208" t="str" cm="1">
        <f t="array" aca="1" ref="W33" ca="1">INDEX(iScatterGrpCorrel!$E$5:$Y$5,AE33)</f>
        <v>Western Pacific (14)</v>
      </c>
      <c r="X33" s="208"/>
      <c r="Y33" s="208"/>
      <c r="Z33" s="208"/>
      <c r="AA33" s="209" cm="1">
        <f t="array" aca="1" ref="AA33" ca="1">INDEX(iScatterGrpCorrel!$E$6:$Y$6,AE33)</f>
        <v>0.82523818443759289</v>
      </c>
      <c r="AB33" s="4"/>
      <c r="AC33" s="4"/>
      <c r="AD33" s="4"/>
      <c r="AE33" s="4">
        <v>7</v>
      </c>
      <c r="AF33" s="4"/>
    </row>
    <row r="34" spans="1:32" ht="12.75" customHeight="1" x14ac:dyDescent="0.4">
      <c r="A34" s="4"/>
      <c r="B34" s="4"/>
      <c r="C34" s="4"/>
      <c r="D34" s="4"/>
      <c r="E34" s="4"/>
      <c r="F34" s="4"/>
      <c r="G34" s="4"/>
      <c r="H34" s="4"/>
      <c r="I34" s="4"/>
      <c r="J34" s="4"/>
      <c r="K34" s="4"/>
      <c r="L34" s="4"/>
      <c r="M34" s="4"/>
      <c r="N34" s="4"/>
      <c r="O34" s="4"/>
      <c r="P34" s="4"/>
      <c r="Q34" s="4"/>
      <c r="R34" s="4"/>
      <c r="S34" s="4"/>
      <c r="T34" s="4"/>
      <c r="U34" s="4"/>
      <c r="V34" s="4"/>
      <c r="W34" s="208"/>
      <c r="X34" s="208"/>
      <c r="Y34" s="208"/>
      <c r="Z34" s="208"/>
      <c r="AA34" s="208"/>
      <c r="AB34" s="4"/>
      <c r="AC34" s="4"/>
      <c r="AD34" s="4"/>
      <c r="AE34" s="4"/>
      <c r="AF34" s="4"/>
    </row>
    <row r="35" spans="1:32" ht="12.75" customHeight="1" x14ac:dyDescent="0.4">
      <c r="A35" s="4"/>
      <c r="B35" s="4"/>
      <c r="C35" s="4"/>
      <c r="D35" s="4"/>
      <c r="E35" s="4"/>
      <c r="F35" s="4"/>
      <c r="G35" s="4"/>
      <c r="H35" s="4"/>
      <c r="I35" s="4"/>
      <c r="J35" s="4"/>
      <c r="K35" s="4"/>
      <c r="L35" s="4"/>
      <c r="M35" s="4"/>
      <c r="N35" s="4"/>
      <c r="O35" s="4"/>
      <c r="P35" s="4"/>
      <c r="Q35" s="4"/>
      <c r="R35" s="4"/>
      <c r="S35" s="4"/>
      <c r="T35" s="4"/>
      <c r="U35" s="4"/>
      <c r="V35" s="4"/>
      <c r="W35" s="208" t="str" cm="1">
        <f t="array" aca="1" ref="W35" ca="1">INDEX(iScatterGrpCorrel!$E$5:$Y$5,AE35)</f>
        <v>Low and lower middle income (16)</v>
      </c>
      <c r="X35" s="208"/>
      <c r="Y35" s="208"/>
      <c r="Z35" s="208"/>
      <c r="AA35" s="209" cm="1">
        <f t="array" aca="1" ref="AA35" ca="1">INDEX(iScatterGrpCorrel!$E$6:$Y$6,AE35)</f>
        <v>0.42792682665323545</v>
      </c>
      <c r="AB35" s="4"/>
      <c r="AC35" s="4"/>
      <c r="AD35" s="4"/>
      <c r="AE35" s="4">
        <v>8</v>
      </c>
      <c r="AF35" s="4"/>
    </row>
    <row r="36" spans="1:32" ht="12.75" customHeight="1" x14ac:dyDescent="0.4">
      <c r="A36" s="4"/>
      <c r="B36" s="4"/>
      <c r="C36" s="4"/>
      <c r="D36" s="4"/>
      <c r="E36" s="4"/>
      <c r="F36" s="4"/>
      <c r="G36" s="4"/>
      <c r="H36" s="4"/>
      <c r="I36" s="4"/>
      <c r="J36" s="4"/>
      <c r="K36" s="4"/>
      <c r="L36" s="4"/>
      <c r="M36" s="4"/>
      <c r="N36" s="4"/>
      <c r="O36" s="4"/>
      <c r="P36" s="4"/>
      <c r="Q36" s="4"/>
      <c r="R36" s="4"/>
      <c r="S36" s="4"/>
      <c r="T36" s="4"/>
      <c r="U36" s="4"/>
      <c r="V36" s="4"/>
      <c r="W36" s="208" t="str" cm="1">
        <f t="array" aca="1" ref="W36" ca="1">INDEX(iScatterGrpCorrel!$E$5:$Y$5,AE36)</f>
        <v>Upper middle income (11)</v>
      </c>
      <c r="X36" s="208"/>
      <c r="Y36" s="208"/>
      <c r="Z36" s="208"/>
      <c r="AA36" s="209" cm="1">
        <f t="array" aca="1" ref="AA36" ca="1">INDEX(iScatterGrpCorrel!$E$6:$Y$6,AE36)</f>
        <v>-1.9856525946527526E-2</v>
      </c>
      <c r="AB36" s="4"/>
      <c r="AC36" s="4"/>
      <c r="AD36" s="4"/>
      <c r="AE36" s="4">
        <v>9</v>
      </c>
      <c r="AF36" s="210"/>
    </row>
    <row r="37" spans="1:32" ht="12.75" customHeight="1" x14ac:dyDescent="0.4">
      <c r="A37" s="4"/>
      <c r="B37" s="4"/>
      <c r="C37" s="4"/>
      <c r="D37" s="4"/>
      <c r="E37" s="4"/>
      <c r="F37" s="4"/>
      <c r="G37" s="4"/>
      <c r="H37" s="4"/>
      <c r="I37" s="4"/>
      <c r="J37" s="4"/>
      <c r="K37" s="4"/>
      <c r="L37" s="4"/>
      <c r="M37" s="4"/>
      <c r="N37" s="4"/>
      <c r="O37" s="4"/>
      <c r="P37" s="4"/>
      <c r="Q37" s="4"/>
      <c r="R37" s="4"/>
      <c r="S37" s="4"/>
      <c r="T37" s="4"/>
      <c r="U37" s="4"/>
      <c r="V37" s="4"/>
      <c r="W37" s="208" t="str" cm="1">
        <f t="array" aca="1" ref="W37" ca="1">INDEX(iScatterGrpCorrel!$E$5:$Y$5,AE37)</f>
        <v>High income (23)</v>
      </c>
      <c r="X37" s="208"/>
      <c r="Y37" s="208"/>
      <c r="Z37" s="208"/>
      <c r="AA37" s="209" cm="1">
        <f t="array" aca="1" ref="AA37" ca="1">INDEX(iScatterGrpCorrel!$E$6:$Y$6,AE37)</f>
        <v>0.83634584640718612</v>
      </c>
      <c r="AB37" s="4"/>
      <c r="AC37" s="4"/>
      <c r="AD37" s="4"/>
      <c r="AE37" s="4">
        <v>10</v>
      </c>
      <c r="AF37" s="210"/>
    </row>
    <row r="38" spans="1:32" ht="12.75" customHeight="1" x14ac:dyDescent="0.4">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210"/>
    </row>
    <row r="39" spans="1:32" ht="12.75" customHeight="1" x14ac:dyDescent="0.4">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row>
    <row r="40" spans="1:32" ht="12.75" customHeight="1" x14ac:dyDescent="0.4">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row>
    <row r="41" spans="1:32" ht="12.75" customHeight="1" x14ac:dyDescent="0.4">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row>
    <row r="42" spans="1:32" ht="12.75" customHeight="1" x14ac:dyDescent="0.4">
      <c r="A42" s="4"/>
      <c r="B42" s="4"/>
      <c r="C42" s="4"/>
      <c r="D42" s="4"/>
      <c r="E42" s="4"/>
      <c r="F42" s="4"/>
      <c r="G42" s="4"/>
      <c r="H42" s="4"/>
      <c r="I42" s="4"/>
      <c r="J42" s="4"/>
      <c r="K42" s="4"/>
      <c r="L42" s="4"/>
      <c r="M42" s="4"/>
      <c r="N42" s="4"/>
      <c r="O42" s="4"/>
      <c r="P42" s="4"/>
      <c r="Q42" s="4"/>
      <c r="R42" s="4"/>
      <c r="S42" s="4"/>
      <c r="T42" s="4"/>
      <c r="U42" s="4"/>
      <c r="V42" s="4"/>
      <c r="W42" s="211" t="s">
        <v>7621</v>
      </c>
      <c r="X42" s="4"/>
      <c r="Y42" s="4"/>
      <c r="Z42" s="4"/>
      <c r="AA42" s="95" t="s">
        <v>1269</v>
      </c>
      <c r="AB42" s="95"/>
      <c r="AC42" s="95" t="s">
        <v>1270</v>
      </c>
      <c r="AD42" s="4"/>
      <c r="AE42" s="4"/>
      <c r="AF42" s="4"/>
    </row>
    <row r="43" spans="1:32" ht="12.75" customHeight="1" x14ac:dyDescent="0.4">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row>
    <row r="44" spans="1:32" ht="12.75" customHeight="1" x14ac:dyDescent="0.4">
      <c r="A44" s="4"/>
      <c r="B44" s="4"/>
      <c r="C44" s="4"/>
      <c r="D44" s="4"/>
      <c r="E44" s="4"/>
      <c r="F44" s="4"/>
      <c r="G44" s="4"/>
      <c r="H44" s="4"/>
      <c r="I44" s="4"/>
      <c r="J44" s="4"/>
      <c r="K44" s="4"/>
      <c r="L44" s="4"/>
      <c r="M44" s="4"/>
      <c r="N44" s="4"/>
      <c r="O44" s="4"/>
      <c r="P44" s="4"/>
      <c r="Q44" s="4"/>
      <c r="R44" s="4"/>
      <c r="S44" s="4"/>
      <c r="T44" s="4"/>
      <c r="U44" s="4"/>
      <c r="V44" s="4"/>
      <c r="W44" s="212" t="s">
        <v>1203</v>
      </c>
      <c r="X44" s="212" t="s">
        <v>2673</v>
      </c>
      <c r="Y44" s="212"/>
      <c r="Z44" s="212"/>
      <c r="AA44" s="213" t="s">
        <v>164</v>
      </c>
      <c r="AB44" s="214"/>
      <c r="AC44" s="215" t="s">
        <v>459</v>
      </c>
      <c r="AD44" s="4"/>
      <c r="AE44" s="4"/>
      <c r="AF44" s="4"/>
    </row>
    <row r="45" spans="1:32" ht="12.75" customHeight="1" x14ac:dyDescent="0.4">
      <c r="A45" s="4"/>
      <c r="B45" s="4"/>
      <c r="C45" s="4">
        <v>1</v>
      </c>
      <c r="D45" s="4"/>
      <c r="E45" s="4"/>
      <c r="F45" s="4"/>
      <c r="G45" s="4"/>
      <c r="H45" s="4"/>
      <c r="I45" s="4"/>
      <c r="J45" s="4"/>
      <c r="K45" s="4"/>
      <c r="L45" s="4"/>
      <c r="M45" s="4"/>
      <c r="N45" s="4"/>
      <c r="O45" s="4"/>
      <c r="P45" s="4"/>
      <c r="Q45" s="4"/>
      <c r="R45" s="4"/>
      <c r="S45" s="4"/>
      <c r="T45" s="4"/>
      <c r="U45" s="4"/>
      <c r="V45" s="4"/>
      <c r="W45" s="216" t="str">
        <f ca="1">IF(AE45=0,"",OFFSET(iScatter!$AK$94,$C45,0))</f>
        <v>ADD</v>
      </c>
      <c r="X45" s="71" t="str">
        <f ca="1">IF(AE45=0,"",OFFSET(iScatter!$AL$94,$C45,0))</f>
        <v>Addis Ababa</v>
      </c>
      <c r="Y45" s="71"/>
      <c r="Z45" s="71"/>
      <c r="AA45" s="337">
        <f ca="1">IF(AE45=0,"",OFFSET(iScatter!$AO$94,$C45,0))</f>
        <v>49.6</v>
      </c>
      <c r="AB45" s="217"/>
      <c r="AC45" s="338">
        <f ca="1">IF(AE45=0,"",OFFSET(iScatter!$AP$94,$C45,0))</f>
        <v>65.900000000000006</v>
      </c>
      <c r="AD45" s="4"/>
      <c r="AE45" s="12">
        <f ca="1">IF(ISERROR(OFFSET(iScatter!$AJ$94,$C45,0)),0,OFFSET(iScatter!$AJ$94,$C45,0))</f>
        <v>1</v>
      </c>
      <c r="AF45" s="4"/>
    </row>
    <row r="46" spans="1:32" ht="12.75" customHeight="1" x14ac:dyDescent="0.4">
      <c r="A46" s="4"/>
      <c r="B46" s="4"/>
      <c r="C46" s="4">
        <v>2</v>
      </c>
      <c r="D46" s="4"/>
      <c r="E46" s="4"/>
      <c r="F46" s="4"/>
      <c r="G46" s="4"/>
      <c r="H46" s="4"/>
      <c r="I46" s="4"/>
      <c r="J46" s="4"/>
      <c r="K46" s="4"/>
      <c r="L46" s="4"/>
      <c r="M46" s="4"/>
      <c r="N46" s="4"/>
      <c r="O46" s="4"/>
      <c r="P46" s="4"/>
      <c r="Q46" s="4"/>
      <c r="R46" s="4"/>
      <c r="S46" s="4"/>
      <c r="T46" s="4"/>
      <c r="U46" s="4"/>
      <c r="V46" s="4"/>
      <c r="W46" s="216" t="str">
        <f ca="1">IF(AE46=0,"",OFFSET(iScatter!$AK$94,$C46,0))</f>
        <v>UAY</v>
      </c>
      <c r="X46" s="71" t="str">
        <f ca="1">IF(AE46=0,"",OFFSET(iScatter!$AL$94,$C46,0))</f>
        <v>Algiers</v>
      </c>
      <c r="Y46" s="71"/>
      <c r="Z46" s="71"/>
      <c r="AA46" s="337">
        <f ca="1">IF(AE46=0,"",OFFSET(iScatter!$AO$94,$C46,0))</f>
        <v>41</v>
      </c>
      <c r="AB46" s="217"/>
      <c r="AC46" s="338">
        <f ca="1">IF(AE46=0,"",OFFSET(iScatter!$AP$94,$C46,0))</f>
        <v>54.3</v>
      </c>
      <c r="AD46" s="4"/>
      <c r="AE46" s="12">
        <f ca="1">IF(ISERROR(OFFSET(iScatter!$AJ$94,$C46,0)),0,OFFSET(iScatter!$AJ$94,$C46,0))</f>
        <v>1</v>
      </c>
      <c r="AF46" s="4"/>
    </row>
    <row r="47" spans="1:32" ht="12.75" customHeight="1" x14ac:dyDescent="0.4">
      <c r="A47" s="4"/>
      <c r="B47" s="4"/>
      <c r="C47" s="4">
        <v>3</v>
      </c>
      <c r="D47" s="4"/>
      <c r="E47" s="4"/>
      <c r="F47" s="4"/>
      <c r="G47" s="4"/>
      <c r="H47" s="4"/>
      <c r="I47" s="4"/>
      <c r="J47" s="4"/>
      <c r="K47" s="4"/>
      <c r="L47" s="4"/>
      <c r="M47" s="4"/>
      <c r="N47" s="4"/>
      <c r="O47" s="4"/>
      <c r="P47" s="4"/>
      <c r="Q47" s="4"/>
      <c r="R47" s="4"/>
      <c r="S47" s="4"/>
      <c r="T47" s="4"/>
      <c r="U47" s="4"/>
      <c r="V47" s="4"/>
      <c r="W47" s="216" t="str">
        <f ca="1">IF(AE47=0,"",OFFSET(iScatter!$AK$94,$C47,0))</f>
        <v>A2N</v>
      </c>
      <c r="X47" s="71" t="str">
        <f ca="1">IF(AE47=0,"",OFFSET(iScatter!$AL$94,$C47,0))</f>
        <v>Atlanta</v>
      </c>
      <c r="Y47" s="71"/>
      <c r="Z47" s="71"/>
      <c r="AA47" s="337">
        <f ca="1">IF(AE47=0,"",OFFSET(iScatter!$AO$94,$C47,0))</f>
        <v>63.1</v>
      </c>
      <c r="AB47" s="217"/>
      <c r="AC47" s="338">
        <f ca="1">IF(AE47=0,"",OFFSET(iScatter!$AP$94,$C47,0))</f>
        <v>86.8</v>
      </c>
      <c r="AD47" s="4"/>
      <c r="AE47" s="12">
        <f ca="1">IF(ISERROR(OFFSET(iScatter!$AJ$94,$C47,0)),0,OFFSET(iScatter!$AJ$94,$C47,0))</f>
        <v>1</v>
      </c>
      <c r="AF47" s="4"/>
    </row>
    <row r="48" spans="1:32" ht="12.75" customHeight="1" x14ac:dyDescent="0.4">
      <c r="A48" s="4"/>
      <c r="B48" s="4"/>
      <c r="C48" s="4">
        <v>4</v>
      </c>
      <c r="D48" s="4"/>
      <c r="E48" s="4"/>
      <c r="F48" s="4"/>
      <c r="G48" s="4"/>
      <c r="H48" s="4"/>
      <c r="I48" s="4"/>
      <c r="J48" s="4"/>
      <c r="K48" s="4"/>
      <c r="L48" s="4"/>
      <c r="M48" s="4"/>
      <c r="N48" s="4"/>
      <c r="O48" s="4"/>
      <c r="P48" s="4"/>
      <c r="Q48" s="4"/>
      <c r="R48" s="4"/>
      <c r="S48" s="4"/>
      <c r="T48" s="4"/>
      <c r="U48" s="4"/>
      <c r="V48" s="4"/>
      <c r="W48" s="216" t="str">
        <f ca="1">IF(AE48=0,"",OFFSET(iScatter!$AK$94,$C48,0))</f>
        <v>AKL</v>
      </c>
      <c r="X48" s="71" t="str">
        <f ca="1">IF(AE48=0,"",OFFSET(iScatter!$AL$94,$C48,0))</f>
        <v>Auckland</v>
      </c>
      <c r="Y48" s="71"/>
      <c r="Z48" s="71"/>
      <c r="AA48" s="337">
        <f ca="1">IF(AE48=0,"",OFFSET(iScatter!$AO$94,$C48,0))</f>
        <v>71</v>
      </c>
      <c r="AB48" s="217"/>
      <c r="AC48" s="338">
        <f ca="1">IF(AE48=0,"",OFFSET(iScatter!$AP$94,$C48,0))</f>
        <v>75.7</v>
      </c>
      <c r="AD48" s="4"/>
      <c r="AE48" s="12">
        <f ca="1">IF(ISERROR(OFFSET(iScatter!$AJ$94,$C48,0)),0,OFFSET(iScatter!$AJ$94,$C48,0))</f>
        <v>1</v>
      </c>
      <c r="AF48" s="4"/>
    </row>
    <row r="49" spans="1:32" ht="12.75" customHeight="1" x14ac:dyDescent="0.4">
      <c r="A49" s="4"/>
      <c r="B49" s="4"/>
      <c r="C49" s="4">
        <v>5</v>
      </c>
      <c r="D49" s="4"/>
      <c r="E49" s="4"/>
      <c r="F49" s="4"/>
      <c r="G49" s="4"/>
      <c r="H49" s="4"/>
      <c r="I49" s="4"/>
      <c r="J49" s="4"/>
      <c r="K49" s="4"/>
      <c r="L49" s="4"/>
      <c r="M49" s="4"/>
      <c r="N49" s="4"/>
      <c r="O49" s="4"/>
      <c r="P49" s="4"/>
      <c r="Q49" s="4"/>
      <c r="R49" s="4"/>
      <c r="S49" s="4"/>
      <c r="T49" s="4"/>
      <c r="U49" s="4"/>
      <c r="V49" s="4"/>
      <c r="W49" s="216" t="str">
        <f ca="1">IF(AE49=0,"",OFFSET(iScatter!$AK$94,$C49,0))</f>
        <v>BKK</v>
      </c>
      <c r="X49" s="71" t="str">
        <f ca="1">IF(AE49=0,"",OFFSET(iScatter!$AL$94,$C49,0))</f>
        <v>Bangkok</v>
      </c>
      <c r="Y49" s="71"/>
      <c r="Z49" s="71"/>
      <c r="AA49" s="337">
        <f ca="1">IF(AE49=0,"",OFFSET(iScatter!$AO$94,$C49,0))</f>
        <v>68.8</v>
      </c>
      <c r="AB49" s="217"/>
      <c r="AC49" s="338">
        <f ca="1">IF(AE49=0,"",OFFSET(iScatter!$AP$94,$C49,0))</f>
        <v>72.8</v>
      </c>
      <c r="AD49" s="4"/>
      <c r="AE49" s="12">
        <f ca="1">IF(ISERROR(OFFSET(iScatter!$AJ$94,$C49,0)),0,OFFSET(iScatter!$AJ$94,$C49,0))</f>
        <v>1</v>
      </c>
      <c r="AF49" s="4"/>
    </row>
    <row r="50" spans="1:32" ht="12.75" customHeight="1" x14ac:dyDescent="0.4">
      <c r="A50" s="4"/>
      <c r="B50" s="4"/>
      <c r="C50" s="4">
        <v>6</v>
      </c>
      <c r="D50" s="4"/>
      <c r="E50" s="4"/>
      <c r="F50" s="4"/>
      <c r="G50" s="4"/>
      <c r="H50" s="4"/>
      <c r="I50" s="4"/>
      <c r="J50" s="4"/>
      <c r="K50" s="4"/>
      <c r="L50" s="4"/>
      <c r="M50" s="4"/>
      <c r="N50" s="4"/>
      <c r="O50" s="4"/>
      <c r="P50" s="4"/>
      <c r="Q50" s="4"/>
      <c r="R50" s="4"/>
      <c r="S50" s="4"/>
      <c r="T50" s="4"/>
      <c r="U50" s="4"/>
      <c r="V50" s="4"/>
      <c r="W50" s="216" t="str">
        <f ca="1">IF(AE50=0,"",OFFSET(iScatter!$AK$94,$C50,0))</f>
        <v>BJS</v>
      </c>
      <c r="X50" s="71" t="str">
        <f ca="1">IF(AE50=0,"",OFFSET(iScatter!$AL$94,$C50,0))</f>
        <v>Beijing</v>
      </c>
      <c r="Y50" s="71"/>
      <c r="Z50" s="71"/>
      <c r="AA50" s="337">
        <f ca="1">IF(AE50=0,"",OFFSET(iScatter!$AO$94,$C50,0))</f>
        <v>63.4</v>
      </c>
      <c r="AB50" s="217"/>
      <c r="AC50" s="338">
        <f ca="1">IF(AE50=0,"",OFFSET(iScatter!$AP$94,$C50,0))</f>
        <v>54.3</v>
      </c>
      <c r="AD50" s="4"/>
      <c r="AE50" s="12">
        <f ca="1">IF(ISERROR(OFFSET(iScatter!$AJ$94,$C50,0)),0,OFFSET(iScatter!$AJ$94,$C50,0))</f>
        <v>1</v>
      </c>
      <c r="AF50" s="4"/>
    </row>
    <row r="51" spans="1:32" ht="12.75" customHeight="1" x14ac:dyDescent="0.4">
      <c r="A51" s="4"/>
      <c r="B51" s="4"/>
      <c r="C51" s="4">
        <v>7</v>
      </c>
      <c r="D51" s="4"/>
      <c r="E51" s="4"/>
      <c r="F51" s="4"/>
      <c r="G51" s="4"/>
      <c r="H51" s="4"/>
      <c r="I51" s="4"/>
      <c r="J51" s="4"/>
      <c r="K51" s="4"/>
      <c r="L51" s="4"/>
      <c r="M51" s="4"/>
      <c r="N51" s="4"/>
      <c r="O51" s="4"/>
      <c r="P51" s="4"/>
      <c r="Q51" s="4"/>
      <c r="R51" s="4"/>
      <c r="S51" s="4"/>
      <c r="T51" s="4"/>
      <c r="U51" s="4"/>
      <c r="V51" s="4"/>
      <c r="W51" s="216" t="str">
        <f ca="1">IF(AE51=0,"",OFFSET(iScatter!$AK$94,$C51,0))</f>
        <v>BER</v>
      </c>
      <c r="X51" s="71" t="str">
        <f ca="1">IF(AE51=0,"",OFFSET(iScatter!$AL$94,$C51,0))</f>
        <v>Berlin</v>
      </c>
      <c r="Y51" s="71"/>
      <c r="Z51" s="71"/>
      <c r="AA51" s="337">
        <f ca="1">IF(AE51=0,"",OFFSET(iScatter!$AO$94,$C51,0))</f>
        <v>77.400000000000006</v>
      </c>
      <c r="AB51" s="217"/>
      <c r="AC51" s="338">
        <f ca="1">IF(AE51=0,"",OFFSET(iScatter!$AP$94,$C51,0))</f>
        <v>89.6</v>
      </c>
      <c r="AD51" s="4"/>
      <c r="AE51" s="12">
        <f ca="1">IF(ISERROR(OFFSET(iScatter!$AJ$94,$C51,0)),0,OFFSET(iScatter!$AJ$94,$C51,0))</f>
        <v>1</v>
      </c>
      <c r="AF51" s="4"/>
    </row>
    <row r="52" spans="1:32" ht="12.75" customHeight="1" x14ac:dyDescent="0.4">
      <c r="A52" s="4"/>
      <c r="B52" s="4"/>
      <c r="C52" s="4">
        <v>8</v>
      </c>
      <c r="D52" s="4"/>
      <c r="E52" s="4"/>
      <c r="F52" s="4"/>
      <c r="G52" s="4"/>
      <c r="H52" s="4"/>
      <c r="I52" s="4"/>
      <c r="J52" s="4"/>
      <c r="K52" s="4"/>
      <c r="L52" s="4"/>
      <c r="M52" s="4"/>
      <c r="N52" s="4"/>
      <c r="O52" s="4"/>
      <c r="P52" s="4"/>
      <c r="Q52" s="4"/>
      <c r="R52" s="4"/>
      <c r="S52" s="4"/>
      <c r="T52" s="4"/>
      <c r="U52" s="4"/>
      <c r="V52" s="4"/>
      <c r="W52" s="216" t="str">
        <f ca="1">IF(AE52=0,"",OFFSET(iScatter!$AK$94,$C52,0))</f>
        <v>B6Y</v>
      </c>
      <c r="X52" s="71" t="str">
        <f ca="1">IF(AE52=0,"",OFFSET(iScatter!$AL$94,$C52,0))</f>
        <v>Bogotá</v>
      </c>
      <c r="Y52" s="71"/>
      <c r="Z52" s="71"/>
      <c r="AA52" s="337">
        <f ca="1">IF(AE52=0,"",OFFSET(iScatter!$AO$94,$C52,0))</f>
        <v>69.7</v>
      </c>
      <c r="AB52" s="217"/>
      <c r="AC52" s="338">
        <f ca="1">IF(AE52=0,"",OFFSET(iScatter!$AP$94,$C52,0))</f>
        <v>68.900000000000006</v>
      </c>
      <c r="AD52" s="4"/>
      <c r="AE52" s="12">
        <f ca="1">IF(ISERROR(OFFSET(iScatter!$AJ$94,$C52,0)),0,OFFSET(iScatter!$AJ$94,$C52,0))</f>
        <v>1</v>
      </c>
      <c r="AF52" s="4"/>
    </row>
    <row r="53" spans="1:32" ht="12.75" customHeight="1" x14ac:dyDescent="0.4">
      <c r="A53" s="4"/>
      <c r="B53" s="4"/>
      <c r="C53" s="4">
        <v>9</v>
      </c>
      <c r="D53" s="4"/>
      <c r="E53" s="4"/>
      <c r="F53" s="4"/>
      <c r="G53" s="4"/>
      <c r="H53" s="4"/>
      <c r="I53" s="4"/>
      <c r="J53" s="4"/>
      <c r="K53" s="4"/>
      <c r="L53" s="4"/>
      <c r="M53" s="4"/>
      <c r="N53" s="4"/>
      <c r="O53" s="4"/>
      <c r="P53" s="4"/>
      <c r="Q53" s="4"/>
      <c r="R53" s="4"/>
      <c r="S53" s="4"/>
      <c r="T53" s="4"/>
      <c r="U53" s="4"/>
      <c r="V53" s="4"/>
      <c r="W53" s="216" t="str">
        <f ca="1">IF(AE53=0,"",OFFSET(iScatter!$AK$94,$C53,0))</f>
        <v>BUD</v>
      </c>
      <c r="X53" s="71" t="str">
        <f ca="1">IF(AE53=0,"",OFFSET(iScatter!$AL$94,$C53,0))</f>
        <v>Budapest</v>
      </c>
      <c r="Y53" s="71"/>
      <c r="Z53" s="71"/>
      <c r="AA53" s="337">
        <f ca="1">IF(AE53=0,"",OFFSET(iScatter!$AO$94,$C53,0))</f>
        <v>69.5</v>
      </c>
      <c r="AB53" s="217"/>
      <c r="AC53" s="338">
        <f ca="1">IF(AE53=0,"",OFFSET(iScatter!$AP$94,$C53,0))</f>
        <v>85.6</v>
      </c>
      <c r="AD53" s="4"/>
      <c r="AE53" s="12">
        <f ca="1">IF(ISERROR(OFFSET(iScatter!$AJ$94,$C53,0)),0,OFFSET(iScatter!$AJ$94,$C53,0))</f>
        <v>1</v>
      </c>
      <c r="AF53" s="4"/>
    </row>
    <row r="54" spans="1:32" ht="12.75" customHeight="1" x14ac:dyDescent="0.4">
      <c r="A54" s="4"/>
      <c r="B54" s="4"/>
      <c r="C54" s="4">
        <v>10</v>
      </c>
      <c r="D54" s="4"/>
      <c r="E54" s="4"/>
      <c r="F54" s="4"/>
      <c r="G54" s="4"/>
      <c r="H54" s="4"/>
      <c r="I54" s="4"/>
      <c r="J54" s="4"/>
      <c r="K54" s="4"/>
      <c r="L54" s="4"/>
      <c r="M54" s="4"/>
      <c r="N54" s="4"/>
      <c r="O54" s="4"/>
      <c r="P54" s="4"/>
      <c r="Q54" s="4"/>
      <c r="R54" s="4"/>
      <c r="S54" s="4"/>
      <c r="T54" s="4"/>
      <c r="U54" s="4"/>
      <c r="V54" s="4"/>
      <c r="W54" s="216" t="str">
        <f ca="1">IF(AE54=0,"",OFFSET(iScatter!$AK$94,$C54,0))</f>
        <v>CJR</v>
      </c>
      <c r="X54" s="71" t="str">
        <f ca="1">IF(AE54=0,"",OFFSET(iScatter!$AL$94,$C54,0))</f>
        <v>Cairo</v>
      </c>
      <c r="Y54" s="71"/>
      <c r="Z54" s="71"/>
      <c r="AA54" s="337">
        <f ca="1">IF(AE54=0,"",OFFSET(iScatter!$AO$94,$C54,0))</f>
        <v>40.6</v>
      </c>
      <c r="AB54" s="217"/>
      <c r="AC54" s="338">
        <f ca="1">IF(AE54=0,"",OFFSET(iScatter!$AP$94,$C54,0))</f>
        <v>40.9</v>
      </c>
      <c r="AD54" s="4"/>
      <c r="AE54" s="12">
        <f ca="1">IF(ISERROR(OFFSET(iScatter!$AJ$94,$C54,0)),0,OFFSET(iScatter!$AJ$94,$C54,0))</f>
        <v>1</v>
      </c>
      <c r="AF54" s="4"/>
    </row>
    <row r="55" spans="1:32" ht="12.75" customHeight="1" x14ac:dyDescent="0.4">
      <c r="A55" s="4"/>
      <c r="B55" s="4"/>
      <c r="C55" s="4">
        <v>11</v>
      </c>
      <c r="D55" s="4"/>
      <c r="E55" s="4"/>
      <c r="F55" s="4"/>
      <c r="G55" s="4"/>
      <c r="H55" s="4"/>
      <c r="I55" s="4"/>
      <c r="J55" s="4"/>
      <c r="K55" s="4"/>
      <c r="L55" s="4"/>
      <c r="M55" s="4"/>
      <c r="N55" s="4"/>
      <c r="O55" s="4"/>
      <c r="P55" s="4"/>
      <c r="Q55" s="4"/>
      <c r="R55" s="4"/>
      <c r="S55" s="4"/>
      <c r="T55" s="4"/>
      <c r="U55" s="4"/>
      <c r="V55" s="4"/>
      <c r="W55" s="216" t="str">
        <f ca="1">IF(AE55=0,"",OFFSET(iScatter!$AK$94,$C55,0))</f>
        <v>COX</v>
      </c>
      <c r="X55" s="71" t="str">
        <f ca="1">IF(AE55=0,"",OFFSET(iScatter!$AL$94,$C55,0))</f>
        <v>Colombo</v>
      </c>
      <c r="Y55" s="71"/>
      <c r="Z55" s="71"/>
      <c r="AA55" s="337">
        <f ca="1">IF(AE55=0,"",OFFSET(iScatter!$AO$94,$C55,0))</f>
        <v>50.1</v>
      </c>
      <c r="AB55" s="217"/>
      <c r="AC55" s="338">
        <f ca="1">IF(AE55=0,"",OFFSET(iScatter!$AP$94,$C55,0))</f>
        <v>51.9</v>
      </c>
      <c r="AD55" s="4"/>
      <c r="AE55" s="12">
        <f ca="1">IF(ISERROR(OFFSET(iScatter!$AJ$94,$C55,0)),0,OFFSET(iScatter!$AJ$94,$C55,0))</f>
        <v>1</v>
      </c>
      <c r="AF55" s="4"/>
    </row>
    <row r="56" spans="1:32" ht="12.75" customHeight="1" x14ac:dyDescent="0.4">
      <c r="A56" s="4"/>
      <c r="B56" s="4"/>
      <c r="C56" s="4">
        <v>12</v>
      </c>
      <c r="D56" s="4"/>
      <c r="E56" s="4"/>
      <c r="F56" s="4"/>
      <c r="G56" s="4"/>
      <c r="H56" s="4"/>
      <c r="I56" s="4"/>
      <c r="J56" s="4"/>
      <c r="K56" s="4"/>
      <c r="L56" s="4"/>
      <c r="M56" s="4"/>
      <c r="N56" s="4"/>
      <c r="O56" s="4"/>
      <c r="P56" s="4"/>
      <c r="Q56" s="4"/>
      <c r="R56" s="4"/>
      <c r="S56" s="4"/>
      <c r="T56" s="4"/>
      <c r="U56" s="4"/>
      <c r="V56" s="4"/>
      <c r="W56" s="216" t="str">
        <f ca="1">IF(AE56=0,"",OFFSET(iScatter!$AK$94,$C56,0))</f>
        <v>DLI</v>
      </c>
      <c r="X56" s="71" t="str">
        <f ca="1">IF(AE56=0,"",OFFSET(iScatter!$AL$94,$C56,0))</f>
        <v>Delhi</v>
      </c>
      <c r="Y56" s="71"/>
      <c r="Z56" s="71"/>
      <c r="AA56" s="337">
        <f ca="1">IF(AE56=0,"",OFFSET(iScatter!$AO$94,$C56,0))</f>
        <v>56.8</v>
      </c>
      <c r="AB56" s="217"/>
      <c r="AC56" s="338">
        <f ca="1">IF(AE56=0,"",OFFSET(iScatter!$AP$94,$C56,0))</f>
        <v>44.2</v>
      </c>
      <c r="AD56" s="4"/>
      <c r="AE56" s="12">
        <f ca="1">IF(ISERROR(OFFSET(iScatter!$AJ$94,$C56,0)),0,OFFSET(iScatter!$AJ$94,$C56,0))</f>
        <v>1</v>
      </c>
      <c r="AF56" s="4"/>
    </row>
    <row r="57" spans="1:32" ht="12.75" customHeight="1" x14ac:dyDescent="0.4">
      <c r="A57" s="4"/>
      <c r="B57" s="4"/>
      <c r="C57" s="4">
        <v>13</v>
      </c>
      <c r="D57" s="4"/>
      <c r="E57" s="4"/>
      <c r="F57" s="4"/>
      <c r="G57" s="4"/>
      <c r="H57" s="4"/>
      <c r="I57" s="4"/>
      <c r="J57" s="4"/>
      <c r="K57" s="4"/>
      <c r="L57" s="4"/>
      <c r="M57" s="4"/>
      <c r="N57" s="4"/>
      <c r="O57" s="4"/>
      <c r="P57" s="4"/>
      <c r="Q57" s="4"/>
      <c r="R57" s="4"/>
      <c r="S57" s="4"/>
      <c r="T57" s="4"/>
      <c r="U57" s="4"/>
      <c r="V57" s="4"/>
      <c r="W57" s="216" t="str">
        <f ca="1">IF(AE57=0,"",OFFSET(iScatter!$AK$94,$C57,0))</f>
        <v>DAC</v>
      </c>
      <c r="X57" s="71" t="str">
        <f ca="1">IF(AE57=0,"",OFFSET(iScatter!$AL$94,$C57,0))</f>
        <v>Dhaka</v>
      </c>
      <c r="Y57" s="71"/>
      <c r="Z57" s="71"/>
      <c r="AA57" s="337">
        <f ca="1">IF(AE57=0,"",OFFSET(iScatter!$AO$94,$C57,0))</f>
        <v>41.8</v>
      </c>
      <c r="AB57" s="217"/>
      <c r="AC57" s="338">
        <f ca="1">IF(AE57=0,"",OFFSET(iScatter!$AP$94,$C57,0))</f>
        <v>39.5</v>
      </c>
      <c r="AD57" s="4"/>
      <c r="AE57" s="12">
        <f ca="1">IF(ISERROR(OFFSET(iScatter!$AJ$94,$C57,0)),0,OFFSET(iScatter!$AJ$94,$C57,0))</f>
        <v>1</v>
      </c>
      <c r="AF57" s="4"/>
    </row>
    <row r="58" spans="1:32" ht="12.75" customHeight="1" x14ac:dyDescent="0.4">
      <c r="A58" s="4"/>
      <c r="B58" s="4"/>
      <c r="C58" s="4">
        <v>14</v>
      </c>
      <c r="D58" s="4"/>
      <c r="E58" s="4"/>
      <c r="F58" s="4"/>
      <c r="G58" s="4"/>
      <c r="H58" s="4"/>
      <c r="I58" s="4"/>
      <c r="J58" s="4"/>
      <c r="K58" s="4"/>
      <c r="L58" s="4"/>
      <c r="M58" s="4"/>
      <c r="N58" s="4"/>
      <c r="O58" s="4"/>
      <c r="P58" s="4"/>
      <c r="Q58" s="4"/>
      <c r="R58" s="4"/>
      <c r="S58" s="4"/>
      <c r="T58" s="4"/>
      <c r="U58" s="4"/>
      <c r="V58" s="4"/>
      <c r="W58" s="216" t="str">
        <f ca="1">IF(AE58=0,"",OFFSET(iScatter!$AK$94,$C58,0))</f>
        <v>DXB</v>
      </c>
      <c r="X58" s="71" t="str">
        <f ca="1">IF(AE58=0,"",OFFSET(iScatter!$AL$94,$C58,0))</f>
        <v>Dubai</v>
      </c>
      <c r="Y58" s="71"/>
      <c r="Z58" s="71"/>
      <c r="AA58" s="337">
        <f ca="1">IF(AE58=0,"",OFFSET(iScatter!$AO$94,$C58,0))</f>
        <v>65</v>
      </c>
      <c r="AB58" s="217"/>
      <c r="AC58" s="338">
        <f ca="1">IF(AE58=0,"",OFFSET(iScatter!$AP$94,$C58,0))</f>
        <v>74.3</v>
      </c>
      <c r="AD58" s="4"/>
      <c r="AE58" s="12">
        <f ca="1">IF(ISERROR(OFFSET(iScatter!$AJ$94,$C58,0)),0,OFFSET(iScatter!$AJ$94,$C58,0))</f>
        <v>1</v>
      </c>
      <c r="AF58" s="4"/>
    </row>
    <row r="59" spans="1:32" ht="12.75" customHeight="1" x14ac:dyDescent="0.4">
      <c r="A59" s="4"/>
      <c r="B59" s="4"/>
      <c r="C59" s="4">
        <v>15</v>
      </c>
      <c r="D59" s="4"/>
      <c r="E59" s="4"/>
      <c r="F59" s="4"/>
      <c r="G59" s="4"/>
      <c r="H59" s="4"/>
      <c r="I59" s="4"/>
      <c r="J59" s="4"/>
      <c r="K59" s="4"/>
      <c r="L59" s="4"/>
      <c r="M59" s="4"/>
      <c r="N59" s="4"/>
      <c r="O59" s="4"/>
      <c r="P59" s="4"/>
      <c r="Q59" s="4"/>
      <c r="R59" s="4"/>
      <c r="S59" s="4"/>
      <c r="T59" s="4"/>
      <c r="U59" s="4"/>
      <c r="V59" s="4"/>
      <c r="W59" s="216" t="str">
        <f ca="1">IF(AE59=0,"",OFFSET(iScatter!$AK$94,$C59,0))</f>
        <v>HEL</v>
      </c>
      <c r="X59" s="71" t="str">
        <f ca="1">IF(AE59=0,"",OFFSET(iScatter!$AL$94,$C59,0))</f>
        <v>Helsinki</v>
      </c>
      <c r="Y59" s="71"/>
      <c r="Z59" s="71"/>
      <c r="AA59" s="337">
        <f ca="1">IF(AE59=0,"",OFFSET(iScatter!$AO$94,$C59,0))</f>
        <v>75.5</v>
      </c>
      <c r="AB59" s="217"/>
      <c r="AC59" s="338">
        <f ca="1">IF(AE59=0,"",OFFSET(iScatter!$AP$94,$C59,0))</f>
        <v>86.4</v>
      </c>
      <c r="AD59" s="4"/>
      <c r="AE59" s="12">
        <f ca="1">IF(ISERROR(OFFSET(iScatter!$AJ$94,$C59,0)),0,OFFSET(iScatter!$AJ$94,$C59,0))</f>
        <v>1</v>
      </c>
      <c r="AF59" s="4"/>
    </row>
    <row r="60" spans="1:32" ht="12.75" customHeight="1" x14ac:dyDescent="0.4">
      <c r="A60" s="4"/>
      <c r="B60" s="4"/>
      <c r="C60" s="4">
        <v>16</v>
      </c>
      <c r="D60" s="4"/>
      <c r="E60" s="4"/>
      <c r="F60" s="4"/>
      <c r="G60" s="4"/>
      <c r="H60" s="4"/>
      <c r="I60" s="4"/>
      <c r="J60" s="4"/>
      <c r="K60" s="4"/>
      <c r="L60" s="4"/>
      <c r="M60" s="4"/>
      <c r="N60" s="4"/>
      <c r="O60" s="4"/>
      <c r="P60" s="4"/>
      <c r="Q60" s="4"/>
      <c r="R60" s="4"/>
      <c r="S60" s="4"/>
      <c r="T60" s="4"/>
      <c r="U60" s="4"/>
      <c r="V60" s="4"/>
      <c r="W60" s="216" t="str">
        <f ca="1">IF(AE60=0,"",OFFSET(iScatter!$AK$94,$C60,0))</f>
        <v>SGN</v>
      </c>
      <c r="X60" s="71" t="str">
        <f ca="1">IF(AE60=0,"",OFFSET(iScatter!$AL$94,$C60,0))</f>
        <v>Ho Chi Minh City</v>
      </c>
      <c r="Y60" s="71"/>
      <c r="Z60" s="71"/>
      <c r="AA60" s="337">
        <f ca="1">IF(AE60=0,"",OFFSET(iScatter!$AO$94,$C60,0))</f>
        <v>66</v>
      </c>
      <c r="AB60" s="217"/>
      <c r="AC60" s="338">
        <f ca="1">IF(AE60=0,"",OFFSET(iScatter!$AP$94,$C60,0))</f>
        <v>77</v>
      </c>
      <c r="AD60" s="4"/>
      <c r="AE60" s="12">
        <f ca="1">IF(ISERROR(OFFSET(iScatter!$AJ$94,$C60,0)),0,OFFSET(iScatter!$AJ$94,$C60,0))</f>
        <v>1</v>
      </c>
      <c r="AF60" s="4"/>
    </row>
    <row r="61" spans="1:32" ht="12.75" customHeight="1" x14ac:dyDescent="0.4">
      <c r="A61" s="4"/>
      <c r="B61" s="4"/>
      <c r="C61" s="4">
        <v>17</v>
      </c>
      <c r="D61" s="4"/>
      <c r="E61" s="218" t="str">
        <f ca="1">uxbGlobals!$B$585</f>
        <v>OVERALL</v>
      </c>
      <c r="F61" s="10"/>
      <c r="G61" s="10"/>
      <c r="H61" s="10"/>
      <c r="I61" s="10"/>
      <c r="J61" s="10"/>
      <c r="K61" s="10"/>
      <c r="L61" s="10"/>
      <c r="M61" s="4"/>
      <c r="N61" s="219" t="str">
        <f ca="1">uxbGlobals!$B$611</f>
        <v>1) SOCIAL DETERMINANTS</v>
      </c>
      <c r="O61" s="10"/>
      <c r="P61" s="10"/>
      <c r="Q61" s="10"/>
      <c r="R61" s="10"/>
      <c r="S61" s="10"/>
      <c r="T61" s="10"/>
      <c r="U61" s="10"/>
      <c r="V61" s="4"/>
      <c r="W61" s="216" t="str">
        <f ca="1">IF(AE61=0,"",OFFSET(iScatter!$AK$94,$C61,0))</f>
        <v>HKG</v>
      </c>
      <c r="X61" s="71" t="str">
        <f ca="1">IF(AE61=0,"",OFFSET(iScatter!$AL$94,$C61,0))</f>
        <v>Hong Kong</v>
      </c>
      <c r="Y61" s="71"/>
      <c r="Z61" s="71"/>
      <c r="AA61" s="337">
        <f ca="1">IF(AE61=0,"",OFFSET(iScatter!$AO$94,$C61,0))</f>
        <v>83.2</v>
      </c>
      <c r="AB61" s="217"/>
      <c r="AC61" s="338">
        <f ca="1">IF(AE61=0,"",OFFSET(iScatter!$AP$94,$C61,0))</f>
        <v>84.3</v>
      </c>
      <c r="AD61" s="4"/>
      <c r="AE61" s="12">
        <f ca="1">IF(ISERROR(OFFSET(iScatter!$AJ$94,$C61,0)),0,OFFSET(iScatter!$AJ$94,$C61,0))</f>
        <v>1</v>
      </c>
      <c r="AF61" s="4"/>
    </row>
    <row r="62" spans="1:32" ht="12.75" customHeight="1" x14ac:dyDescent="0.4">
      <c r="A62" s="4"/>
      <c r="B62" s="4"/>
      <c r="C62" s="4">
        <v>18</v>
      </c>
      <c r="D62" s="4"/>
      <c r="E62" s="173" t="str">
        <f ca="1">uxbGlobals!$B$588</f>
        <v>Score 0-100 where 100=most healthy environment</v>
      </c>
      <c r="F62" s="173"/>
      <c r="G62" s="173"/>
      <c r="H62" s="173"/>
      <c r="I62" s="173"/>
      <c r="J62" s="173"/>
      <c r="K62" s="173"/>
      <c r="L62" s="10"/>
      <c r="M62" s="4"/>
      <c r="N62" s="173" t="str">
        <f ca="1">uxbGlobals!$B$613</f>
        <v>Score 0-100 where 100=most healthy environment</v>
      </c>
      <c r="O62" s="173"/>
      <c r="P62" s="173"/>
      <c r="Q62" s="173"/>
      <c r="R62" s="173"/>
      <c r="S62" s="173"/>
      <c r="T62" s="173"/>
      <c r="U62" s="173"/>
      <c r="V62" s="4"/>
      <c r="W62" s="216" t="str">
        <f ca="1">IF(AE62=0,"",OFFSET(iScatter!$AK$94,$C62,0))</f>
        <v>IST</v>
      </c>
      <c r="X62" s="71" t="str">
        <f ca="1">IF(AE62=0,"",OFFSET(iScatter!$AL$94,$C62,0))</f>
        <v>Istanbul</v>
      </c>
      <c r="Y62" s="71"/>
      <c r="Z62" s="71"/>
      <c r="AA62" s="337">
        <f ca="1">IF(AE62=0,"",OFFSET(iScatter!$AO$94,$C62,0))</f>
        <v>60.4</v>
      </c>
      <c r="AB62" s="217"/>
      <c r="AC62" s="338">
        <f ca="1">IF(AE62=0,"",OFFSET(iScatter!$AP$94,$C62,0))</f>
        <v>80.599999999999994</v>
      </c>
      <c r="AD62" s="4"/>
      <c r="AE62" s="12">
        <f ca="1">IF(ISERROR(OFFSET(iScatter!$AJ$94,$C62,0)),0,OFFSET(iScatter!$AJ$94,$C62,0))</f>
        <v>1</v>
      </c>
      <c r="AF62" s="4"/>
    </row>
    <row r="63" spans="1:32" ht="12.75" customHeight="1" x14ac:dyDescent="0.4">
      <c r="A63" s="4"/>
      <c r="B63" s="4"/>
      <c r="C63" s="4">
        <v>19</v>
      </c>
      <c r="D63" s="4"/>
      <c r="E63" s="173"/>
      <c r="F63" s="173"/>
      <c r="G63" s="173"/>
      <c r="H63" s="173"/>
      <c r="I63" s="173"/>
      <c r="J63" s="173"/>
      <c r="K63" s="173"/>
      <c r="L63" s="10"/>
      <c r="M63" s="4"/>
      <c r="N63" s="173"/>
      <c r="O63" s="173"/>
      <c r="P63" s="173"/>
      <c r="Q63" s="173"/>
      <c r="R63" s="173"/>
      <c r="S63" s="173"/>
      <c r="T63" s="173"/>
      <c r="U63" s="173"/>
      <c r="V63" s="4"/>
      <c r="W63" s="216" t="str">
        <f ca="1">IF(AE63=0,"",OFFSET(iScatter!$AK$94,$C63,0))</f>
        <v>JKT</v>
      </c>
      <c r="X63" s="71" t="str">
        <f ca="1">IF(AE63=0,"",OFFSET(iScatter!$AL$94,$C63,0))</f>
        <v>Jakarta</v>
      </c>
      <c r="Y63" s="71"/>
      <c r="Z63" s="71"/>
      <c r="AA63" s="337">
        <f ca="1">IF(AE63=0,"",OFFSET(iScatter!$AO$94,$C63,0))</f>
        <v>71.7</v>
      </c>
      <c r="AB63" s="217"/>
      <c r="AC63" s="338">
        <f ca="1">IF(AE63=0,"",OFFSET(iScatter!$AP$94,$C63,0))</f>
        <v>77.8</v>
      </c>
      <c r="AD63" s="4"/>
      <c r="AE63" s="12">
        <f ca="1">IF(ISERROR(OFFSET(iScatter!$AJ$94,$C63,0)),0,OFFSET(iScatter!$AJ$94,$C63,0))</f>
        <v>1</v>
      </c>
      <c r="AF63" s="4"/>
    </row>
    <row r="64" spans="1:32" ht="12.75" customHeight="1" x14ac:dyDescent="0.4">
      <c r="A64" s="4"/>
      <c r="B64" s="4"/>
      <c r="C64" s="4">
        <v>20</v>
      </c>
      <c r="D64" s="4"/>
      <c r="E64" s="349" t="str">
        <f ca="1">SUBSTITUTE(uxbGlobals!$B$587,"{NL}",CHAR(10))</f>
        <v xml:space="preserve">SCORE CALCULATION
Weighted average of the following domain scores:
1) SOCIAL DETERMINANTS
2) PHYSICAL ENVIRONMENT
3) HEALTH RISKS
4) HEALTH SERVICES
5) GOVERNANCE
</v>
      </c>
      <c r="F64" s="350"/>
      <c r="G64" s="350"/>
      <c r="H64" s="350"/>
      <c r="I64" s="350"/>
      <c r="J64" s="350"/>
      <c r="K64" s="350"/>
      <c r="L64" s="345"/>
      <c r="M64" s="4"/>
      <c r="N64" s="349" t="str">
        <f ca="1">SUBSTITUTE(uxbGlobals!$B$612,"{NL}",CHAR(10))</f>
        <v xml:space="preserve">SCORE CALCULATION
Weighted average of the following indicator scores:
1.1) Poverty and inequality
1.2) Education
1.3) Employment
1.4) Access to healthcare
1.5) Household health expenditure
</v>
      </c>
      <c r="O64" s="350"/>
      <c r="P64" s="350"/>
      <c r="Q64" s="350"/>
      <c r="R64" s="350"/>
      <c r="S64" s="350"/>
      <c r="T64" s="350"/>
      <c r="U64" s="345"/>
      <c r="V64" s="4"/>
      <c r="W64" s="216" t="str">
        <f ca="1">IF(AE64=0,"",OFFSET(iScatter!$AK$94,$C64,0))</f>
        <v>JNB</v>
      </c>
      <c r="X64" s="71" t="str">
        <f ca="1">IF(AE64=0,"",OFFSET(iScatter!$AL$94,$C64,0))</f>
        <v>Johannesburg</v>
      </c>
      <c r="Y64" s="71"/>
      <c r="Z64" s="71"/>
      <c r="AA64" s="337">
        <f ca="1">IF(AE64=0,"",OFFSET(iScatter!$AO$94,$C64,0))</f>
        <v>52.5</v>
      </c>
      <c r="AB64" s="217"/>
      <c r="AC64" s="338">
        <f ca="1">IF(AE64=0,"",OFFSET(iScatter!$AP$94,$C64,0))</f>
        <v>80.099999999999994</v>
      </c>
      <c r="AD64" s="4"/>
      <c r="AE64" s="12">
        <f ca="1">IF(ISERROR(OFFSET(iScatter!$AJ$94,$C64,0)),0,OFFSET(iScatter!$AJ$94,$C64,0))</f>
        <v>1</v>
      </c>
      <c r="AF64" s="4"/>
    </row>
    <row r="65" spans="1:32" ht="12.75" customHeight="1" x14ac:dyDescent="0.4">
      <c r="A65" s="4"/>
      <c r="B65" s="4"/>
      <c r="C65" s="4">
        <v>21</v>
      </c>
      <c r="D65" s="4"/>
      <c r="E65" s="350"/>
      <c r="F65" s="350"/>
      <c r="G65" s="350"/>
      <c r="H65" s="350"/>
      <c r="I65" s="350"/>
      <c r="J65" s="350"/>
      <c r="K65" s="350"/>
      <c r="L65" s="345"/>
      <c r="M65" s="4"/>
      <c r="N65" s="350"/>
      <c r="O65" s="350"/>
      <c r="P65" s="350"/>
      <c r="Q65" s="350"/>
      <c r="R65" s="350"/>
      <c r="S65" s="350"/>
      <c r="T65" s="350"/>
      <c r="U65" s="345"/>
      <c r="V65" s="4"/>
      <c r="W65" s="216" t="str">
        <f ca="1">IF(AE65=0,"",OFFSET(iScatter!$AK$94,$C65,0))</f>
        <v>KHI</v>
      </c>
      <c r="X65" s="71" t="str">
        <f ca="1">IF(AE65=0,"",OFFSET(iScatter!$AL$94,$C65,0))</f>
        <v>Karachi</v>
      </c>
      <c r="Y65" s="71"/>
      <c r="Z65" s="71"/>
      <c r="AA65" s="337">
        <f ca="1">IF(AE65=0,"",OFFSET(iScatter!$AO$94,$C65,0))</f>
        <v>44.3</v>
      </c>
      <c r="AB65" s="217"/>
      <c r="AC65" s="338">
        <f ca="1">IF(AE65=0,"",OFFSET(iScatter!$AP$94,$C65,0))</f>
        <v>56.4</v>
      </c>
      <c r="AD65" s="4"/>
      <c r="AE65" s="12">
        <f ca="1">IF(ISERROR(OFFSET(iScatter!$AJ$94,$C65,0)),0,OFFSET(iScatter!$AJ$94,$C65,0))</f>
        <v>1</v>
      </c>
      <c r="AF65" s="4"/>
    </row>
    <row r="66" spans="1:32" ht="12.75" customHeight="1" x14ac:dyDescent="0.4">
      <c r="A66" s="4"/>
      <c r="B66" s="4"/>
      <c r="C66" s="4">
        <v>22</v>
      </c>
      <c r="D66" s="4"/>
      <c r="E66" s="350"/>
      <c r="F66" s="350"/>
      <c r="G66" s="350"/>
      <c r="H66" s="350"/>
      <c r="I66" s="350"/>
      <c r="J66" s="350"/>
      <c r="K66" s="350"/>
      <c r="L66" s="345"/>
      <c r="M66" s="4"/>
      <c r="N66" s="350"/>
      <c r="O66" s="350"/>
      <c r="P66" s="350"/>
      <c r="Q66" s="350"/>
      <c r="R66" s="350"/>
      <c r="S66" s="350"/>
      <c r="T66" s="350"/>
      <c r="U66" s="345"/>
      <c r="V66" s="4"/>
      <c r="W66" s="216" t="str">
        <f ca="1">IF(AE66=0,"",OFFSET(iScatter!$AK$94,$C66,0))</f>
        <v>KTM</v>
      </c>
      <c r="X66" s="71" t="str">
        <f ca="1">IF(AE66=0,"",OFFSET(iScatter!$AL$94,$C66,0))</f>
        <v>Kathmandu</v>
      </c>
      <c r="Y66" s="71"/>
      <c r="Z66" s="71"/>
      <c r="AA66" s="337">
        <f ca="1">IF(AE66=0,"",OFFSET(iScatter!$AO$94,$C66,0))</f>
        <v>40.9</v>
      </c>
      <c r="AB66" s="217"/>
      <c r="AC66" s="338">
        <f ca="1">IF(AE66=0,"",OFFSET(iScatter!$AP$94,$C66,0))</f>
        <v>41.3</v>
      </c>
      <c r="AD66" s="4"/>
      <c r="AE66" s="12">
        <f ca="1">IF(ISERROR(OFFSET(iScatter!$AJ$94,$C66,0)),0,OFFSET(iScatter!$AJ$94,$C66,0))</f>
        <v>1</v>
      </c>
      <c r="AF66" s="4"/>
    </row>
    <row r="67" spans="1:32" ht="12.75" customHeight="1" x14ac:dyDescent="0.4">
      <c r="A67" s="4"/>
      <c r="B67" s="4"/>
      <c r="C67" s="4">
        <v>23</v>
      </c>
      <c r="D67" s="4"/>
      <c r="E67" s="350"/>
      <c r="F67" s="350"/>
      <c r="G67" s="350"/>
      <c r="H67" s="350"/>
      <c r="I67" s="350"/>
      <c r="J67" s="350"/>
      <c r="K67" s="350"/>
      <c r="L67" s="345"/>
      <c r="M67" s="4"/>
      <c r="N67" s="350"/>
      <c r="O67" s="350"/>
      <c r="P67" s="350"/>
      <c r="Q67" s="350"/>
      <c r="R67" s="350"/>
      <c r="S67" s="350"/>
      <c r="T67" s="350"/>
      <c r="U67" s="345"/>
      <c r="V67" s="4"/>
      <c r="W67" s="216" t="str">
        <f ca="1">IF(AE67=0,"",OFFSET(iScatter!$AK$94,$C67,0))</f>
        <v>CCU</v>
      </c>
      <c r="X67" s="71" t="str">
        <f ca="1">IF(AE67=0,"",OFFSET(iScatter!$AL$94,$C67,0))</f>
        <v>Kolkata</v>
      </c>
      <c r="Y67" s="71"/>
      <c r="Z67" s="71"/>
      <c r="AA67" s="337">
        <f ca="1">IF(AE67=0,"",OFFSET(iScatter!$AO$94,$C67,0))</f>
        <v>51.8</v>
      </c>
      <c r="AB67" s="217"/>
      <c r="AC67" s="338">
        <f ca="1">IF(AE67=0,"",OFFSET(iScatter!$AP$94,$C67,0))</f>
        <v>34.200000000000003</v>
      </c>
      <c r="AD67" s="4"/>
      <c r="AE67" s="12">
        <f ca="1">IF(ISERROR(OFFSET(iScatter!$AJ$94,$C67,0)),0,OFFSET(iScatter!$AJ$94,$C67,0))</f>
        <v>1</v>
      </c>
      <c r="AF67" s="4"/>
    </row>
    <row r="68" spans="1:32" ht="12.75" customHeight="1" x14ac:dyDescent="0.4">
      <c r="A68" s="4"/>
      <c r="B68" s="4"/>
      <c r="C68" s="4">
        <v>24</v>
      </c>
      <c r="D68" s="4"/>
      <c r="E68" s="350"/>
      <c r="F68" s="350"/>
      <c r="G68" s="350"/>
      <c r="H68" s="350"/>
      <c r="I68" s="350"/>
      <c r="J68" s="350"/>
      <c r="K68" s="350"/>
      <c r="L68" s="345"/>
      <c r="M68" s="4"/>
      <c r="N68" s="350"/>
      <c r="O68" s="350"/>
      <c r="P68" s="350"/>
      <c r="Q68" s="350"/>
      <c r="R68" s="350"/>
      <c r="S68" s="350"/>
      <c r="T68" s="350"/>
      <c r="U68" s="345"/>
      <c r="V68" s="4"/>
      <c r="W68" s="216" t="str">
        <f ca="1">IF(AE68=0,"",OFFSET(iScatter!$AK$94,$C68,0))</f>
        <v>KWI</v>
      </c>
      <c r="X68" s="71" t="str">
        <f ca="1">IF(AE68=0,"",OFFSET(iScatter!$AL$94,$C68,0))</f>
        <v>Kuwait City</v>
      </c>
      <c r="Y68" s="71"/>
      <c r="Z68" s="71"/>
      <c r="AA68" s="337">
        <f ca="1">IF(AE68=0,"",OFFSET(iScatter!$AO$94,$C68,0))</f>
        <v>42.1</v>
      </c>
      <c r="AB68" s="217"/>
      <c r="AC68" s="338">
        <f ca="1">IF(AE68=0,"",OFFSET(iScatter!$AP$94,$C68,0))</f>
        <v>49.5</v>
      </c>
      <c r="AD68" s="4"/>
      <c r="AE68" s="12">
        <f ca="1">IF(ISERROR(OFFSET(iScatter!$AJ$94,$C68,0)),0,OFFSET(iScatter!$AJ$94,$C68,0))</f>
        <v>1</v>
      </c>
      <c r="AF68" s="4"/>
    </row>
    <row r="69" spans="1:32" ht="12.75" customHeight="1" x14ac:dyDescent="0.4">
      <c r="A69" s="4"/>
      <c r="B69" s="4"/>
      <c r="C69" s="4">
        <v>25</v>
      </c>
      <c r="D69" s="4"/>
      <c r="E69" s="350"/>
      <c r="F69" s="350"/>
      <c r="G69" s="350"/>
      <c r="H69" s="350"/>
      <c r="I69" s="350"/>
      <c r="J69" s="350"/>
      <c r="K69" s="350"/>
      <c r="L69" s="345"/>
      <c r="M69" s="4"/>
      <c r="N69" s="350"/>
      <c r="O69" s="350"/>
      <c r="P69" s="350"/>
      <c r="Q69" s="350"/>
      <c r="R69" s="350"/>
      <c r="S69" s="350"/>
      <c r="T69" s="350"/>
      <c r="U69" s="345"/>
      <c r="V69" s="4"/>
      <c r="W69" s="216" t="str">
        <f ca="1">IF(AE69=0,"",OFFSET(iScatter!$AK$94,$C69,0))</f>
        <v>ZGM</v>
      </c>
      <c r="X69" s="71" t="str">
        <f ca="1">IF(AE69=0,"",OFFSET(iScatter!$AL$94,$C69,0))</f>
        <v>Lagos</v>
      </c>
      <c r="Y69" s="71"/>
      <c r="Z69" s="71"/>
      <c r="AA69" s="337">
        <f ca="1">IF(AE69=0,"",OFFSET(iScatter!$AO$94,$C69,0))</f>
        <v>51.6</v>
      </c>
      <c r="AB69" s="217"/>
      <c r="AC69" s="338">
        <f ca="1">IF(AE69=0,"",OFFSET(iScatter!$AP$94,$C69,0))</f>
        <v>73.3</v>
      </c>
      <c r="AD69" s="4"/>
      <c r="AE69" s="12">
        <f ca="1">IF(ISERROR(OFFSET(iScatter!$AJ$94,$C69,0)),0,OFFSET(iScatter!$AJ$94,$C69,0))</f>
        <v>1</v>
      </c>
      <c r="AF69" s="4"/>
    </row>
    <row r="70" spans="1:32" ht="12.75" customHeight="1" x14ac:dyDescent="0.4">
      <c r="A70" s="4"/>
      <c r="B70" s="4"/>
      <c r="C70" s="4">
        <v>26</v>
      </c>
      <c r="D70" s="4"/>
      <c r="E70" s="350"/>
      <c r="F70" s="350"/>
      <c r="G70" s="350"/>
      <c r="H70" s="350"/>
      <c r="I70" s="350"/>
      <c r="J70" s="350"/>
      <c r="K70" s="350"/>
      <c r="L70" s="345"/>
      <c r="M70" s="4"/>
      <c r="N70" s="350"/>
      <c r="O70" s="350"/>
      <c r="P70" s="350"/>
      <c r="Q70" s="350"/>
      <c r="R70" s="350"/>
      <c r="S70" s="350"/>
      <c r="T70" s="350"/>
      <c r="U70" s="345"/>
      <c r="V70" s="4"/>
      <c r="W70" s="216" t="str">
        <f ca="1">IF(AE70=0,"",OFFSET(iScatter!$AK$94,$C70,0))</f>
        <v>LOD</v>
      </c>
      <c r="X70" s="71" t="str">
        <f ca="1">IF(AE70=0,"",OFFSET(iScatter!$AL$94,$C70,0))</f>
        <v>London</v>
      </c>
      <c r="Y70" s="71"/>
      <c r="Z70" s="71"/>
      <c r="AA70" s="337">
        <f ca="1">IF(AE70=0,"",OFFSET(iScatter!$AO$94,$C70,0))</f>
        <v>82.6</v>
      </c>
      <c r="AB70" s="217"/>
      <c r="AC70" s="338">
        <f ca="1">IF(AE70=0,"",OFFSET(iScatter!$AP$94,$C70,0))</f>
        <v>86.9</v>
      </c>
      <c r="AD70" s="4"/>
      <c r="AE70" s="12">
        <f ca="1">IF(ISERROR(OFFSET(iScatter!$AJ$94,$C70,0)),0,OFFSET(iScatter!$AJ$94,$C70,0))</f>
        <v>1</v>
      </c>
      <c r="AF70" s="4"/>
    </row>
    <row r="71" spans="1:32" ht="12.75" customHeight="1" x14ac:dyDescent="0.4">
      <c r="A71" s="4"/>
      <c r="B71" s="4"/>
      <c r="C71" s="4">
        <v>27</v>
      </c>
      <c r="D71" s="4"/>
      <c r="E71" s="350"/>
      <c r="F71" s="350"/>
      <c r="G71" s="350"/>
      <c r="H71" s="350"/>
      <c r="I71" s="350"/>
      <c r="J71" s="350"/>
      <c r="K71" s="350"/>
      <c r="L71" s="345"/>
      <c r="M71" s="4"/>
      <c r="N71" s="350"/>
      <c r="O71" s="350"/>
      <c r="P71" s="350"/>
      <c r="Q71" s="350"/>
      <c r="R71" s="350"/>
      <c r="S71" s="350"/>
      <c r="T71" s="350"/>
      <c r="U71" s="345"/>
      <c r="V71" s="4"/>
      <c r="W71" s="216" t="str">
        <f ca="1">IF(AE71=0,"",OFFSET(iScatter!$AK$94,$C71,0))</f>
        <v>MDD</v>
      </c>
      <c r="X71" s="71" t="str">
        <f ca="1">IF(AE71=0,"",OFFSET(iScatter!$AL$94,$C71,0))</f>
        <v>Madrid</v>
      </c>
      <c r="Y71" s="71"/>
      <c r="Z71" s="71"/>
      <c r="AA71" s="337">
        <f ca="1">IF(AE71=0,"",OFFSET(iScatter!$AO$94,$C71,0))</f>
        <v>79.599999999999994</v>
      </c>
      <c r="AB71" s="217"/>
      <c r="AC71" s="338">
        <f ca="1">IF(AE71=0,"",OFFSET(iScatter!$AP$94,$C71,0))</f>
        <v>81.900000000000006</v>
      </c>
      <c r="AD71" s="4"/>
      <c r="AE71" s="12">
        <f ca="1">IF(ISERROR(OFFSET(iScatter!$AJ$94,$C71,0)),0,OFFSET(iScatter!$AJ$94,$C71,0))</f>
        <v>1</v>
      </c>
      <c r="AF71" s="4"/>
    </row>
    <row r="72" spans="1:32" ht="12.75" customHeight="1" x14ac:dyDescent="0.4">
      <c r="A72" s="4"/>
      <c r="B72" s="4"/>
      <c r="C72" s="4">
        <v>28</v>
      </c>
      <c r="D72" s="4"/>
      <c r="E72" s="350"/>
      <c r="F72" s="350"/>
      <c r="G72" s="350"/>
      <c r="H72" s="350"/>
      <c r="I72" s="350"/>
      <c r="J72" s="350"/>
      <c r="K72" s="350"/>
      <c r="L72" s="345"/>
      <c r="M72" s="4"/>
      <c r="N72" s="350"/>
      <c r="O72" s="350"/>
      <c r="P72" s="350"/>
      <c r="Q72" s="350"/>
      <c r="R72" s="350"/>
      <c r="S72" s="350"/>
      <c r="T72" s="350"/>
      <c r="U72" s="345"/>
      <c r="V72" s="4"/>
      <c r="W72" s="216" t="str">
        <f ca="1">IF(AE72=0,"",OFFSET(iScatter!$AK$94,$C72,0))</f>
        <v>MNL</v>
      </c>
      <c r="X72" s="71" t="str">
        <f ca="1">IF(AE72=0,"",OFFSET(iScatter!$AL$94,$C72,0))</f>
        <v>Manila</v>
      </c>
      <c r="Y72" s="71"/>
      <c r="Z72" s="71"/>
      <c r="AA72" s="337">
        <f ca="1">IF(AE72=0,"",OFFSET(iScatter!$AO$94,$C72,0))</f>
        <v>48.8</v>
      </c>
      <c r="AB72" s="217"/>
      <c r="AC72" s="338">
        <f ca="1">IF(AE72=0,"",OFFSET(iScatter!$AP$94,$C72,0))</f>
        <v>58</v>
      </c>
      <c r="AD72" s="4"/>
      <c r="AE72" s="12">
        <f ca="1">IF(ISERROR(OFFSET(iScatter!$AJ$94,$C72,0)),0,OFFSET(iScatter!$AJ$94,$C72,0))</f>
        <v>1</v>
      </c>
      <c r="AF72" s="4"/>
    </row>
    <row r="73" spans="1:32" ht="12.75" customHeight="1" x14ac:dyDescent="0.4">
      <c r="A73" s="4"/>
      <c r="B73" s="4"/>
      <c r="C73" s="4">
        <v>29</v>
      </c>
      <c r="D73" s="4"/>
      <c r="E73" s="350"/>
      <c r="F73" s="350"/>
      <c r="G73" s="350"/>
      <c r="H73" s="350"/>
      <c r="I73" s="350"/>
      <c r="J73" s="350"/>
      <c r="K73" s="350"/>
      <c r="L73" s="345"/>
      <c r="M73" s="4"/>
      <c r="N73" s="350"/>
      <c r="O73" s="350"/>
      <c r="P73" s="350"/>
      <c r="Q73" s="350"/>
      <c r="R73" s="350"/>
      <c r="S73" s="350"/>
      <c r="T73" s="350"/>
      <c r="U73" s="345"/>
      <c r="V73" s="4"/>
      <c r="W73" s="216" t="str">
        <f ca="1">IF(AE73=0,"",OFFSET(iScatter!$AK$94,$C73,0))</f>
        <v>MEL</v>
      </c>
      <c r="X73" s="71" t="str">
        <f ca="1">IF(AE73=0,"",OFFSET(iScatter!$AL$94,$C73,0))</f>
        <v>Melbourne</v>
      </c>
      <c r="Y73" s="71"/>
      <c r="Z73" s="71"/>
      <c r="AA73" s="337">
        <f ca="1">IF(AE73=0,"",OFFSET(iScatter!$AO$94,$C73,0))</f>
        <v>75.8</v>
      </c>
      <c r="AB73" s="217"/>
      <c r="AC73" s="338">
        <f ca="1">IF(AE73=0,"",OFFSET(iScatter!$AP$94,$C73,0))</f>
        <v>87.9</v>
      </c>
      <c r="AD73" s="4"/>
      <c r="AE73" s="12">
        <f ca="1">IF(ISERROR(OFFSET(iScatter!$AJ$94,$C73,0)),0,OFFSET(iScatter!$AJ$94,$C73,0))</f>
        <v>1</v>
      </c>
      <c r="AF73" s="4"/>
    </row>
    <row r="74" spans="1:32" ht="12.75" customHeight="1" x14ac:dyDescent="0.4">
      <c r="A74" s="4"/>
      <c r="B74" s="4"/>
      <c r="C74" s="4">
        <v>30</v>
      </c>
      <c r="D74" s="4"/>
      <c r="E74" s="350"/>
      <c r="F74" s="350"/>
      <c r="G74" s="350"/>
      <c r="H74" s="350"/>
      <c r="I74" s="350"/>
      <c r="J74" s="350"/>
      <c r="K74" s="350"/>
      <c r="L74" s="345"/>
      <c r="M74" s="4"/>
      <c r="N74" s="350"/>
      <c r="O74" s="350"/>
      <c r="P74" s="350"/>
      <c r="Q74" s="350"/>
      <c r="R74" s="350"/>
      <c r="S74" s="350"/>
      <c r="T74" s="350"/>
      <c r="U74" s="345"/>
      <c r="V74" s="4"/>
      <c r="W74" s="216" t="str">
        <f ca="1">IF(AE74=0,"",OFFSET(iScatter!$AK$94,$C74,0))</f>
        <v>MEX</v>
      </c>
      <c r="X74" s="71" t="str">
        <f ca="1">IF(AE74=0,"",OFFSET(iScatter!$AL$94,$C74,0))</f>
        <v>Mexico City</v>
      </c>
      <c r="Y74" s="71"/>
      <c r="Z74" s="71"/>
      <c r="AA74" s="337">
        <f ca="1">IF(AE74=0,"",OFFSET(iScatter!$AO$94,$C74,0))</f>
        <v>60.9</v>
      </c>
      <c r="AB74" s="217"/>
      <c r="AC74" s="338">
        <f ca="1">IF(AE74=0,"",OFFSET(iScatter!$AP$94,$C74,0))</f>
        <v>79.8</v>
      </c>
      <c r="AD74" s="4"/>
      <c r="AE74" s="12">
        <f ca="1">IF(ISERROR(OFFSET(iScatter!$AJ$94,$C74,0)),0,OFFSET(iScatter!$AJ$94,$C74,0))</f>
        <v>1</v>
      </c>
      <c r="AF74" s="4"/>
    </row>
    <row r="75" spans="1:32" ht="12.75" customHeight="1" x14ac:dyDescent="0.4">
      <c r="A75" s="4"/>
      <c r="B75" s="4"/>
      <c r="C75" s="4">
        <v>31</v>
      </c>
      <c r="D75" s="4"/>
      <c r="E75" s="350"/>
      <c r="F75" s="350"/>
      <c r="G75" s="350"/>
      <c r="H75" s="350"/>
      <c r="I75" s="350"/>
      <c r="J75" s="350"/>
      <c r="K75" s="350"/>
      <c r="L75" s="345"/>
      <c r="M75" s="4"/>
      <c r="N75" s="350"/>
      <c r="O75" s="350"/>
      <c r="P75" s="350"/>
      <c r="Q75" s="350"/>
      <c r="R75" s="350"/>
      <c r="S75" s="350"/>
      <c r="T75" s="350"/>
      <c r="U75" s="345"/>
      <c r="V75" s="4"/>
      <c r="W75" s="216" t="str">
        <f ca="1">IF(AE75=0,"",OFFSET(iScatter!$AK$94,$C75,0))</f>
        <v>MW3</v>
      </c>
      <c r="X75" s="71" t="str">
        <f ca="1">IF(AE75=0,"",OFFSET(iScatter!$AL$94,$C75,0))</f>
        <v>Moscow</v>
      </c>
      <c r="Y75" s="71"/>
      <c r="Z75" s="71"/>
      <c r="AA75" s="337">
        <f ca="1">IF(AE75=0,"",OFFSET(iScatter!$AO$94,$C75,0))</f>
        <v>65.900000000000006</v>
      </c>
      <c r="AB75" s="217"/>
      <c r="AC75" s="338">
        <f ca="1">IF(AE75=0,"",OFFSET(iScatter!$AP$94,$C75,0))</f>
        <v>75.7</v>
      </c>
      <c r="AD75" s="4"/>
      <c r="AE75" s="12">
        <f ca="1">IF(ISERROR(OFFSET(iScatter!$AJ$94,$C75,0)),0,OFFSET(iScatter!$AJ$94,$C75,0))</f>
        <v>1</v>
      </c>
      <c r="AF75" s="4"/>
    </row>
    <row r="76" spans="1:32" ht="12.75" customHeight="1" x14ac:dyDescent="0.4">
      <c r="A76" s="4"/>
      <c r="B76" s="4"/>
      <c r="C76" s="4">
        <v>32</v>
      </c>
      <c r="D76" s="4"/>
      <c r="E76" s="350"/>
      <c r="F76" s="350"/>
      <c r="G76" s="350"/>
      <c r="H76" s="350"/>
      <c r="I76" s="350"/>
      <c r="J76" s="350"/>
      <c r="K76" s="350"/>
      <c r="L76" s="345"/>
      <c r="M76" s="4"/>
      <c r="N76" s="350"/>
      <c r="O76" s="350"/>
      <c r="P76" s="350"/>
      <c r="Q76" s="350"/>
      <c r="R76" s="350"/>
      <c r="S76" s="350"/>
      <c r="T76" s="350"/>
      <c r="U76" s="345"/>
      <c r="V76" s="4"/>
      <c r="W76" s="216" t="str">
        <f ca="1">IF(AE76=0,"",OFFSET(iScatter!$AK$94,$C76,0))</f>
        <v>BOM</v>
      </c>
      <c r="X76" s="71" t="str">
        <f ca="1">IF(AE76=0,"",OFFSET(iScatter!$AL$94,$C76,0))</f>
        <v>Mumbai</v>
      </c>
      <c r="Y76" s="71"/>
      <c r="Z76" s="71"/>
      <c r="AA76" s="337">
        <f ca="1">IF(AE76=0,"",OFFSET(iScatter!$AO$94,$C76,0))</f>
        <v>53.2</v>
      </c>
      <c r="AB76" s="217"/>
      <c r="AC76" s="338">
        <f ca="1">IF(AE76=0,"",OFFSET(iScatter!$AP$94,$C76,0))</f>
        <v>34.200000000000003</v>
      </c>
      <c r="AD76" s="4"/>
      <c r="AE76" s="12">
        <f ca="1">IF(ISERROR(OFFSET(iScatter!$AJ$94,$C76,0)),0,OFFSET(iScatter!$AJ$94,$C76,0))</f>
        <v>1</v>
      </c>
      <c r="AF76" s="4"/>
    </row>
    <row r="77" spans="1:32" ht="12.75" customHeight="1" x14ac:dyDescent="0.4">
      <c r="A77" s="4"/>
      <c r="B77" s="4"/>
      <c r="C77" s="4">
        <v>33</v>
      </c>
      <c r="D77" s="4"/>
      <c r="E77" s="350"/>
      <c r="F77" s="350"/>
      <c r="G77" s="350"/>
      <c r="H77" s="350"/>
      <c r="I77" s="350"/>
      <c r="J77" s="350"/>
      <c r="K77" s="350"/>
      <c r="L77" s="345"/>
      <c r="M77" s="4"/>
      <c r="N77" s="350"/>
      <c r="O77" s="350"/>
      <c r="P77" s="350"/>
      <c r="Q77" s="350"/>
      <c r="R77" s="350"/>
      <c r="S77" s="350"/>
      <c r="T77" s="350"/>
      <c r="U77" s="345"/>
      <c r="V77" s="4"/>
      <c r="W77" s="216" t="str">
        <f ca="1">IF(AE77=0,"",OFFSET(iScatter!$AK$94,$C77,0))</f>
        <v>NBO</v>
      </c>
      <c r="X77" s="71" t="str">
        <f ca="1">IF(AE77=0,"",OFFSET(iScatter!$AL$94,$C77,0))</f>
        <v>Nairobi</v>
      </c>
      <c r="Y77" s="71"/>
      <c r="Z77" s="71"/>
      <c r="AA77" s="337">
        <f ca="1">IF(AE77=0,"",OFFSET(iScatter!$AO$94,$C77,0))</f>
        <v>52.2</v>
      </c>
      <c r="AB77" s="217"/>
      <c r="AC77" s="338">
        <f ca="1">IF(AE77=0,"",OFFSET(iScatter!$AP$94,$C77,0))</f>
        <v>55.6</v>
      </c>
      <c r="AD77" s="4"/>
      <c r="AE77" s="12">
        <f ca="1">IF(ISERROR(OFFSET(iScatter!$AJ$94,$C77,0)),0,OFFSET(iScatter!$AJ$94,$C77,0))</f>
        <v>1</v>
      </c>
      <c r="AF77" s="4"/>
    </row>
    <row r="78" spans="1:32" ht="12.75" customHeight="1" x14ac:dyDescent="0.4">
      <c r="A78" s="4"/>
      <c r="B78" s="4"/>
      <c r="C78" s="4">
        <v>34</v>
      </c>
      <c r="D78" s="4"/>
      <c r="E78" s="350"/>
      <c r="F78" s="350"/>
      <c r="G78" s="350"/>
      <c r="H78" s="350"/>
      <c r="I78" s="350"/>
      <c r="J78" s="350"/>
      <c r="K78" s="350"/>
      <c r="L78" s="345"/>
      <c r="M78" s="4"/>
      <c r="N78" s="350"/>
      <c r="O78" s="350"/>
      <c r="P78" s="350"/>
      <c r="Q78" s="350"/>
      <c r="R78" s="350"/>
      <c r="S78" s="350"/>
      <c r="T78" s="350"/>
      <c r="U78" s="345"/>
      <c r="V78" s="4"/>
      <c r="W78" s="216" t="str">
        <f ca="1">IF(AE78=0,"",OFFSET(iScatter!$AK$94,$C78,0))</f>
        <v>NYC</v>
      </c>
      <c r="X78" s="71" t="str">
        <f ca="1">IF(AE78=0,"",OFFSET(iScatter!$AL$94,$C78,0))</f>
        <v>New York City</v>
      </c>
      <c r="Y78" s="71"/>
      <c r="Z78" s="71"/>
      <c r="AA78" s="337">
        <f ca="1">IF(AE78=0,"",OFFSET(iScatter!$AO$94,$C78,0))</f>
        <v>79.099999999999994</v>
      </c>
      <c r="AB78" s="217"/>
      <c r="AC78" s="338">
        <f ca="1">IF(AE78=0,"",OFFSET(iScatter!$AP$94,$C78,0))</f>
        <v>86.8</v>
      </c>
      <c r="AD78" s="4"/>
      <c r="AE78" s="12">
        <f ca="1">IF(ISERROR(OFFSET(iScatter!$AJ$94,$C78,0)),0,OFFSET(iScatter!$AJ$94,$C78,0))</f>
        <v>1</v>
      </c>
      <c r="AF78" s="4"/>
    </row>
    <row r="79" spans="1:32" ht="12.75" customHeight="1" x14ac:dyDescent="0.4">
      <c r="A79" s="4"/>
      <c r="B79" s="4"/>
      <c r="C79" s="4">
        <v>35</v>
      </c>
      <c r="D79" s="4"/>
      <c r="E79" s="350"/>
      <c r="F79" s="350"/>
      <c r="G79" s="350"/>
      <c r="H79" s="350"/>
      <c r="I79" s="350"/>
      <c r="J79" s="350"/>
      <c r="K79" s="350"/>
      <c r="L79" s="345"/>
      <c r="M79" s="4"/>
      <c r="N79" s="350"/>
      <c r="O79" s="350"/>
      <c r="P79" s="350"/>
      <c r="Q79" s="350"/>
      <c r="R79" s="350"/>
      <c r="S79" s="350"/>
      <c r="T79" s="350"/>
      <c r="U79" s="345"/>
      <c r="V79" s="4"/>
      <c r="W79" s="216" t="str">
        <f ca="1">IF(AE79=0,"",OFFSET(iScatter!$AK$94,$C79,0))</f>
        <v>OSA</v>
      </c>
      <c r="X79" s="71" t="str">
        <f ca="1">IF(AE79=0,"",OFFSET(iScatter!$AL$94,$C79,0))</f>
        <v>Osaka</v>
      </c>
      <c r="Y79" s="71"/>
      <c r="Z79" s="71"/>
      <c r="AA79" s="337">
        <f ca="1">IF(AE79=0,"",OFFSET(iScatter!$AO$94,$C79,0))</f>
        <v>74.2</v>
      </c>
      <c r="AB79" s="217"/>
      <c r="AC79" s="338">
        <f ca="1">IF(AE79=0,"",OFFSET(iScatter!$AP$94,$C79,0))</f>
        <v>84.2</v>
      </c>
      <c r="AD79" s="4"/>
      <c r="AE79" s="12">
        <f ca="1">IF(ISERROR(OFFSET(iScatter!$AJ$94,$C79,0)),0,OFFSET(iScatter!$AJ$94,$C79,0))</f>
        <v>1</v>
      </c>
      <c r="AF79" s="4"/>
    </row>
    <row r="80" spans="1:32" ht="12.75" customHeight="1" x14ac:dyDescent="0.4">
      <c r="A80" s="4"/>
      <c r="B80" s="4"/>
      <c r="C80" s="4">
        <v>36</v>
      </c>
      <c r="D80" s="4"/>
      <c r="E80" s="350"/>
      <c r="F80" s="350"/>
      <c r="G80" s="350"/>
      <c r="H80" s="350"/>
      <c r="I80" s="350"/>
      <c r="J80" s="350"/>
      <c r="K80" s="350"/>
      <c r="L80" s="345"/>
      <c r="M80" s="4"/>
      <c r="N80" s="350"/>
      <c r="O80" s="350"/>
      <c r="P80" s="350"/>
      <c r="Q80" s="350"/>
      <c r="R80" s="350"/>
      <c r="S80" s="350"/>
      <c r="T80" s="350"/>
      <c r="U80" s="345"/>
      <c r="V80" s="4"/>
      <c r="W80" s="216" t="str">
        <f ca="1">IF(AE80=0,"",OFFSET(iScatter!$AK$94,$C80,0))</f>
        <v>PAR</v>
      </c>
      <c r="X80" s="71" t="str">
        <f ca="1">IF(AE80=0,"",OFFSET(iScatter!$AL$94,$C80,0))</f>
        <v>Paris</v>
      </c>
      <c r="Y80" s="71"/>
      <c r="Z80" s="71"/>
      <c r="AA80" s="337">
        <f ca="1">IF(AE80=0,"",OFFSET(iScatter!$AO$94,$C80,0))</f>
        <v>64.5</v>
      </c>
      <c r="AB80" s="217"/>
      <c r="AC80" s="338">
        <f ca="1">IF(AE80=0,"",OFFSET(iScatter!$AP$94,$C80,0))</f>
        <v>84</v>
      </c>
      <c r="AD80" s="4"/>
      <c r="AE80" s="12">
        <f ca="1">IF(ISERROR(OFFSET(iScatter!$AJ$94,$C80,0)),0,OFFSET(iScatter!$AJ$94,$C80,0))</f>
        <v>1</v>
      </c>
      <c r="AF80" s="4"/>
    </row>
    <row r="81" spans="1:32" ht="12.75" customHeight="1" x14ac:dyDescent="0.4">
      <c r="A81" s="4"/>
      <c r="B81" s="4"/>
      <c r="C81" s="4">
        <v>37</v>
      </c>
      <c r="D81" s="4"/>
      <c r="E81" s="350"/>
      <c r="F81" s="350"/>
      <c r="G81" s="350"/>
      <c r="H81" s="350"/>
      <c r="I81" s="350"/>
      <c r="J81" s="350"/>
      <c r="K81" s="350"/>
      <c r="L81" s="345"/>
      <c r="M81" s="4"/>
      <c r="N81" s="350"/>
      <c r="O81" s="350"/>
      <c r="P81" s="350"/>
      <c r="Q81" s="350"/>
      <c r="R81" s="350"/>
      <c r="S81" s="350"/>
      <c r="T81" s="350"/>
      <c r="U81" s="345"/>
      <c r="V81" s="4"/>
      <c r="W81" s="216" t="str">
        <f ca="1">IF(AE81=0,"",OFFSET(iScatter!$AK$94,$C81,0))</f>
        <v>PNH</v>
      </c>
      <c r="X81" s="71" t="str">
        <f ca="1">IF(AE81=0,"",OFFSET(iScatter!$AL$94,$C81,0))</f>
        <v>Phnom Penh</v>
      </c>
      <c r="Y81" s="71"/>
      <c r="Z81" s="71"/>
      <c r="AA81" s="337">
        <f ca="1">IF(AE81=0,"",OFFSET(iScatter!$AO$94,$C81,0))</f>
        <v>51.4</v>
      </c>
      <c r="AB81" s="217"/>
      <c r="AC81" s="338">
        <f ca="1">IF(AE81=0,"",OFFSET(iScatter!$AP$94,$C81,0))</f>
        <v>58.5</v>
      </c>
      <c r="AD81" s="4"/>
      <c r="AE81" s="12">
        <f ca="1">IF(ISERROR(OFFSET(iScatter!$AJ$94,$C81,0)),0,OFFSET(iScatter!$AJ$94,$C81,0))</f>
        <v>1</v>
      </c>
      <c r="AF81" s="4"/>
    </row>
    <row r="82" spans="1:32" ht="12.75" customHeight="1" x14ac:dyDescent="0.4">
      <c r="A82" s="4"/>
      <c r="B82" s="4"/>
      <c r="C82" s="4">
        <v>38</v>
      </c>
      <c r="D82" s="4"/>
      <c r="E82" s="350"/>
      <c r="F82" s="350"/>
      <c r="G82" s="350"/>
      <c r="H82" s="350"/>
      <c r="I82" s="350"/>
      <c r="J82" s="350"/>
      <c r="K82" s="350"/>
      <c r="L82" s="345"/>
      <c r="M82" s="4"/>
      <c r="N82" s="350"/>
      <c r="O82" s="350"/>
      <c r="P82" s="350"/>
      <c r="Q82" s="350"/>
      <c r="R82" s="350"/>
      <c r="S82" s="350"/>
      <c r="T82" s="350"/>
      <c r="U82" s="345"/>
      <c r="V82" s="4"/>
      <c r="W82" s="216" t="str">
        <f ca="1">IF(AE82=0,"",OFFSET(iScatter!$AK$94,$C82,0))</f>
        <v>RUH</v>
      </c>
      <c r="X82" s="71" t="str">
        <f ca="1">IF(AE82=0,"",OFFSET(iScatter!$AL$94,$C82,0))</f>
        <v>Riyadh</v>
      </c>
      <c r="Y82" s="71"/>
      <c r="Z82" s="71"/>
      <c r="AA82" s="337">
        <f ca="1">IF(AE82=0,"",OFFSET(iScatter!$AO$94,$C82,0))</f>
        <v>44.2</v>
      </c>
      <c r="AB82" s="217"/>
      <c r="AC82" s="338">
        <f ca="1">IF(AE82=0,"",OFFSET(iScatter!$AP$94,$C82,0))</f>
        <v>61</v>
      </c>
      <c r="AD82" s="4"/>
      <c r="AE82" s="12">
        <f ca="1">IF(ISERROR(OFFSET(iScatter!$AJ$94,$C82,0)),0,OFFSET(iScatter!$AJ$94,$C82,0))</f>
        <v>1</v>
      </c>
      <c r="AF82" s="4"/>
    </row>
    <row r="83" spans="1:32" ht="12.75" customHeight="1" x14ac:dyDescent="0.4">
      <c r="A83" s="4"/>
      <c r="B83" s="4"/>
      <c r="C83" s="4">
        <v>39</v>
      </c>
      <c r="D83" s="4"/>
      <c r="E83" s="350"/>
      <c r="F83" s="350"/>
      <c r="G83" s="350"/>
      <c r="H83" s="350"/>
      <c r="I83" s="350"/>
      <c r="J83" s="350"/>
      <c r="K83" s="350"/>
      <c r="L83" s="345"/>
      <c r="M83" s="4"/>
      <c r="N83" s="350"/>
      <c r="O83" s="350"/>
      <c r="P83" s="350"/>
      <c r="Q83" s="350"/>
      <c r="R83" s="350"/>
      <c r="S83" s="350"/>
      <c r="T83" s="350"/>
      <c r="U83" s="345"/>
      <c r="V83" s="4"/>
      <c r="W83" s="216" t="str">
        <f ca="1">IF(AE83=0,"",OFFSET(iScatter!$AK$94,$C83,0))</f>
        <v>RMG</v>
      </c>
      <c r="X83" s="71" t="str">
        <f ca="1">IF(AE83=0,"",OFFSET(iScatter!$AL$94,$C83,0))</f>
        <v>Rome</v>
      </c>
      <c r="Y83" s="71"/>
      <c r="Z83" s="71"/>
      <c r="AA83" s="337">
        <f ca="1">IF(AE83=0,"",OFFSET(iScatter!$AO$94,$C83,0))</f>
        <v>63.5</v>
      </c>
      <c r="AB83" s="217"/>
      <c r="AC83" s="338">
        <f ca="1">IF(AE83=0,"",OFFSET(iScatter!$AP$94,$C83,0))</f>
        <v>82.8</v>
      </c>
      <c r="AD83" s="4"/>
      <c r="AE83" s="12">
        <f ca="1">IF(ISERROR(OFFSET(iScatter!$AJ$94,$C83,0)),0,OFFSET(iScatter!$AJ$94,$C83,0))</f>
        <v>1</v>
      </c>
      <c r="AF83" s="4"/>
    </row>
    <row r="84" spans="1:32" ht="12.75" customHeight="1" x14ac:dyDescent="0.4">
      <c r="A84" s="4"/>
      <c r="B84" s="4"/>
      <c r="C84" s="4">
        <v>40</v>
      </c>
      <c r="D84" s="4"/>
      <c r="E84" s="350"/>
      <c r="F84" s="350"/>
      <c r="G84" s="350"/>
      <c r="H84" s="350"/>
      <c r="I84" s="350"/>
      <c r="J84" s="350"/>
      <c r="K84" s="350"/>
      <c r="L84" s="345"/>
      <c r="M84" s="4"/>
      <c r="N84" s="350"/>
      <c r="O84" s="350"/>
      <c r="P84" s="350"/>
      <c r="Q84" s="350"/>
      <c r="R84" s="350"/>
      <c r="S84" s="350"/>
      <c r="T84" s="350"/>
      <c r="U84" s="345"/>
      <c r="V84" s="4"/>
      <c r="W84" s="216" t="str">
        <f ca="1">IF(AE84=0,"",OFFSET(iScatter!$AK$94,$C84,0))</f>
        <v>SFO</v>
      </c>
      <c r="X84" s="71" t="str">
        <f ca="1">IF(AE84=0,"",OFFSET(iScatter!$AL$94,$C84,0))</f>
        <v>San Francisco</v>
      </c>
      <c r="Y84" s="71"/>
      <c r="Z84" s="71"/>
      <c r="AA84" s="337">
        <f ca="1">IF(AE84=0,"",OFFSET(iScatter!$AO$94,$C84,0))</f>
        <v>72</v>
      </c>
      <c r="AB84" s="217"/>
      <c r="AC84" s="338">
        <f ca="1">IF(AE84=0,"",OFFSET(iScatter!$AP$94,$C84,0))</f>
        <v>86.8</v>
      </c>
      <c r="AD84" s="4"/>
      <c r="AE84" s="12">
        <f ca="1">IF(ISERROR(OFFSET(iScatter!$AJ$94,$C84,0)),0,OFFSET(iScatter!$AJ$94,$C84,0))</f>
        <v>1</v>
      </c>
      <c r="AF84" s="4"/>
    </row>
    <row r="85" spans="1:32" ht="12.75" customHeight="1" x14ac:dyDescent="0.4">
      <c r="A85" s="4"/>
      <c r="B85" s="4"/>
      <c r="C85" s="4">
        <v>41</v>
      </c>
      <c r="D85" s="4"/>
      <c r="E85" s="350"/>
      <c r="F85" s="350"/>
      <c r="G85" s="350"/>
      <c r="H85" s="350"/>
      <c r="I85" s="350"/>
      <c r="J85" s="350"/>
      <c r="K85" s="350"/>
      <c r="L85" s="345"/>
      <c r="M85" s="4"/>
      <c r="N85" s="350"/>
      <c r="O85" s="350"/>
      <c r="P85" s="350"/>
      <c r="Q85" s="350"/>
      <c r="R85" s="350"/>
      <c r="S85" s="350"/>
      <c r="T85" s="350"/>
      <c r="U85" s="345"/>
      <c r="V85" s="4"/>
      <c r="W85" s="216" t="str">
        <f ca="1">IF(AE85=0,"",OFFSET(iScatter!$AK$94,$C85,0))</f>
        <v>SPF</v>
      </c>
      <c r="X85" s="71" t="str">
        <f ca="1">IF(AE85=0,"",OFFSET(iScatter!$AL$94,$C85,0))</f>
        <v>São Paulo</v>
      </c>
      <c r="Y85" s="71"/>
      <c r="Z85" s="71"/>
      <c r="AA85" s="337">
        <f ca="1">IF(AE85=0,"",OFFSET(iScatter!$AO$94,$C85,0))</f>
        <v>67.099999999999994</v>
      </c>
      <c r="AB85" s="217"/>
      <c r="AC85" s="338">
        <f ca="1">IF(AE85=0,"",OFFSET(iScatter!$AP$94,$C85,0))</f>
        <v>70.099999999999994</v>
      </c>
      <c r="AD85" s="4"/>
      <c r="AE85" s="12">
        <f ca="1">IF(ISERROR(OFFSET(iScatter!$AJ$94,$C85,0)),0,OFFSET(iScatter!$AJ$94,$C85,0))</f>
        <v>1</v>
      </c>
      <c r="AF85" s="4"/>
    </row>
    <row r="86" spans="1:32" ht="12.75" customHeight="1" x14ac:dyDescent="0.4">
      <c r="A86" s="4"/>
      <c r="B86" s="4"/>
      <c r="C86" s="4">
        <v>42</v>
      </c>
      <c r="D86" s="4"/>
      <c r="E86" s="350"/>
      <c r="F86" s="350"/>
      <c r="G86" s="350"/>
      <c r="H86" s="350"/>
      <c r="I86" s="350"/>
      <c r="J86" s="350"/>
      <c r="K86" s="350"/>
      <c r="L86" s="345"/>
      <c r="M86" s="4"/>
      <c r="N86" s="350"/>
      <c r="O86" s="350"/>
      <c r="P86" s="350"/>
      <c r="Q86" s="350"/>
      <c r="R86" s="350"/>
      <c r="S86" s="350"/>
      <c r="T86" s="350"/>
      <c r="U86" s="345"/>
      <c r="V86" s="4"/>
      <c r="W86" s="216" t="str">
        <f ca="1">IF(AE86=0,"",OFFSET(iScatter!$AK$94,$C86,0))</f>
        <v>SEL</v>
      </c>
      <c r="X86" s="71" t="str">
        <f ca="1">IF(AE86=0,"",OFFSET(iScatter!$AL$94,$C86,0))</f>
        <v>Seoul</v>
      </c>
      <c r="Y86" s="71"/>
      <c r="Z86" s="71"/>
      <c r="AA86" s="337">
        <f ca="1">IF(AE86=0,"",OFFSET(iScatter!$AO$94,$C86,0))</f>
        <v>75.599999999999994</v>
      </c>
      <c r="AB86" s="217"/>
      <c r="AC86" s="338">
        <f ca="1">IF(AE86=0,"",OFFSET(iScatter!$AP$94,$C86,0))</f>
        <v>82.8</v>
      </c>
      <c r="AD86" s="4"/>
      <c r="AE86" s="12">
        <f ca="1">IF(ISERROR(OFFSET(iScatter!$AJ$94,$C86,0)),0,OFFSET(iScatter!$AJ$94,$C86,0))</f>
        <v>1</v>
      </c>
      <c r="AF86" s="4"/>
    </row>
    <row r="87" spans="1:32" x14ac:dyDescent="0.4">
      <c r="A87" s="4"/>
      <c r="B87" s="4"/>
      <c r="C87" s="4">
        <v>43</v>
      </c>
      <c r="D87" s="4"/>
      <c r="E87" s="4"/>
      <c r="F87" s="4"/>
      <c r="G87" s="4"/>
      <c r="H87" s="4"/>
      <c r="I87" s="4"/>
      <c r="J87" s="4"/>
      <c r="K87" s="4"/>
      <c r="L87" s="4"/>
      <c r="M87" s="4"/>
      <c r="N87" s="4"/>
      <c r="O87" s="4"/>
      <c r="P87" s="4"/>
      <c r="Q87" s="4"/>
      <c r="R87" s="4"/>
      <c r="S87" s="4"/>
      <c r="T87" s="4"/>
      <c r="U87" s="4"/>
      <c r="V87" s="4"/>
      <c r="W87" s="216" t="str">
        <f ca="1">IF(AE87=0,"",OFFSET(iScatter!$AK$94,$C87,0))</f>
        <v>SGH</v>
      </c>
      <c r="X87" s="71" t="str">
        <f ca="1">IF(AE87=0,"",OFFSET(iScatter!$AL$94,$C87,0))</f>
        <v>Shanghai</v>
      </c>
      <c r="Y87" s="71"/>
      <c r="Z87" s="71"/>
      <c r="AA87" s="337">
        <f ca="1">IF(AE87=0,"",OFFSET(iScatter!$AO$94,$C87,0))</f>
        <v>65.3</v>
      </c>
      <c r="AB87" s="217"/>
      <c r="AC87" s="338">
        <f ca="1">IF(AE87=0,"",OFFSET(iScatter!$AP$94,$C87,0))</f>
        <v>54.3</v>
      </c>
      <c r="AD87" s="4"/>
      <c r="AE87" s="12">
        <f ca="1">IF(ISERROR(OFFSET(iScatter!$AJ$94,$C87,0)),0,OFFSET(iScatter!$AJ$94,$C87,0))</f>
        <v>1</v>
      </c>
      <c r="AF87" s="4"/>
    </row>
    <row r="88" spans="1:32" x14ac:dyDescent="0.4">
      <c r="A88" s="4"/>
      <c r="B88" s="4"/>
      <c r="C88" s="4">
        <v>44</v>
      </c>
      <c r="D88" s="4"/>
      <c r="E88" s="4"/>
      <c r="F88" s="4"/>
      <c r="G88" s="4"/>
      <c r="H88" s="4"/>
      <c r="I88" s="4"/>
      <c r="J88" s="4"/>
      <c r="K88" s="4"/>
      <c r="L88" s="4"/>
      <c r="M88" s="4"/>
      <c r="N88" s="4"/>
      <c r="O88" s="4"/>
      <c r="P88" s="4"/>
      <c r="Q88" s="4"/>
      <c r="R88" s="4"/>
      <c r="S88" s="4"/>
      <c r="T88" s="4"/>
      <c r="U88" s="4"/>
      <c r="V88" s="4"/>
      <c r="W88" s="216" t="str">
        <f ca="1">IF(AE88=0,"",OFFSET(iScatter!$AK$94,$C88,0))</f>
        <v>SIN</v>
      </c>
      <c r="X88" s="71" t="str">
        <f ca="1">IF(AE88=0,"",OFFSET(iScatter!$AL$94,$C88,0))</f>
        <v>Singapore</v>
      </c>
      <c r="Y88" s="71"/>
      <c r="Z88" s="71"/>
      <c r="AA88" s="337">
        <f ca="1">IF(AE88=0,"",OFFSET(iScatter!$AO$94,$C88,0))</f>
        <v>76.099999999999994</v>
      </c>
      <c r="AB88" s="217"/>
      <c r="AC88" s="338">
        <f ca="1">IF(AE88=0,"",OFFSET(iScatter!$AP$94,$C88,0))</f>
        <v>86.2</v>
      </c>
      <c r="AD88" s="4"/>
      <c r="AE88" s="12">
        <f ca="1">IF(ISERROR(OFFSET(iScatter!$AJ$94,$C88,0)),0,OFFSET(iScatter!$AJ$94,$C88,0))</f>
        <v>1</v>
      </c>
      <c r="AF88" s="4"/>
    </row>
    <row r="89" spans="1:32" x14ac:dyDescent="0.4">
      <c r="A89" s="4"/>
      <c r="B89" s="4"/>
      <c r="C89" s="4">
        <v>45</v>
      </c>
      <c r="D89" s="4"/>
      <c r="E89" s="4"/>
      <c r="F89" s="4"/>
      <c r="G89" s="4"/>
      <c r="H89" s="4"/>
      <c r="I89" s="4"/>
      <c r="J89" s="4"/>
      <c r="K89" s="4"/>
      <c r="L89" s="4"/>
      <c r="M89" s="4"/>
      <c r="N89" s="4"/>
      <c r="O89" s="4"/>
      <c r="P89" s="4"/>
      <c r="Q89" s="4"/>
      <c r="R89" s="4"/>
      <c r="S89" s="4"/>
      <c r="T89" s="4"/>
      <c r="U89" s="4"/>
      <c r="V89" s="4"/>
      <c r="W89" s="216" t="str">
        <f ca="1">IF(AE89=0,"",OFFSET(iScatter!$AK$94,$C89,0))</f>
        <v>SYD</v>
      </c>
      <c r="X89" s="71" t="str">
        <f ca="1">IF(AE89=0,"",OFFSET(iScatter!$AL$94,$C89,0))</f>
        <v>Sydney</v>
      </c>
      <c r="Y89" s="71"/>
      <c r="Z89" s="71"/>
      <c r="AA89" s="337">
        <f ca="1">IF(AE89=0,"",OFFSET(iScatter!$AO$94,$C89,0))</f>
        <v>70.5</v>
      </c>
      <c r="AB89" s="217"/>
      <c r="AC89" s="338">
        <f ca="1">IF(AE89=0,"",OFFSET(iScatter!$AP$94,$C89,0))</f>
        <v>87.9</v>
      </c>
      <c r="AD89" s="4"/>
      <c r="AE89" s="12">
        <f ca="1">IF(ISERROR(OFFSET(iScatter!$AJ$94,$C89,0)),0,OFFSET(iScatter!$AJ$94,$C89,0))</f>
        <v>1</v>
      </c>
      <c r="AF89" s="4"/>
    </row>
    <row r="90" spans="1:32" x14ac:dyDescent="0.4">
      <c r="A90" s="4"/>
      <c r="B90" s="4"/>
      <c r="C90" s="4">
        <v>46</v>
      </c>
      <c r="D90" s="4"/>
      <c r="E90" s="4"/>
      <c r="F90" s="4"/>
      <c r="G90" s="4"/>
      <c r="H90" s="4"/>
      <c r="I90" s="4"/>
      <c r="J90" s="4"/>
      <c r="K90" s="4"/>
      <c r="L90" s="4"/>
      <c r="M90" s="4"/>
      <c r="N90" s="4"/>
      <c r="O90" s="4"/>
      <c r="P90" s="4"/>
      <c r="Q90" s="4"/>
      <c r="R90" s="4"/>
      <c r="S90" s="4"/>
      <c r="T90" s="4"/>
      <c r="U90" s="4"/>
      <c r="V90" s="4"/>
      <c r="W90" s="216" t="str">
        <f ca="1">IF(AE90=0,"",OFFSET(iScatter!$AK$94,$C90,0))</f>
        <v>TYO</v>
      </c>
      <c r="X90" s="71" t="str">
        <f ca="1">IF(AE90=0,"",OFFSET(iScatter!$AL$94,$C90,0))</f>
        <v>Tokyo</v>
      </c>
      <c r="Y90" s="71"/>
      <c r="Z90" s="71"/>
      <c r="AA90" s="337">
        <f ca="1">IF(AE90=0,"",OFFSET(iScatter!$AO$94,$C90,0))</f>
        <v>76.099999999999994</v>
      </c>
      <c r="AB90" s="217"/>
      <c r="AC90" s="338">
        <f ca="1">IF(AE90=0,"",OFFSET(iScatter!$AP$94,$C90,0))</f>
        <v>84.2</v>
      </c>
      <c r="AD90" s="4"/>
      <c r="AE90" s="12">
        <f ca="1">IF(ISERROR(OFFSET(iScatter!$AJ$94,$C90,0)),0,OFFSET(iScatter!$AJ$94,$C90,0))</f>
        <v>1</v>
      </c>
      <c r="AF90" s="4"/>
    </row>
    <row r="91" spans="1:32" x14ac:dyDescent="0.4">
      <c r="A91" s="4"/>
      <c r="B91" s="4"/>
      <c r="C91" s="4">
        <v>47</v>
      </c>
      <c r="D91" s="4"/>
      <c r="E91" s="4"/>
      <c r="F91" s="4"/>
      <c r="G91" s="4"/>
      <c r="H91" s="4"/>
      <c r="I91" s="4"/>
      <c r="J91" s="4"/>
      <c r="K91" s="4"/>
      <c r="L91" s="4"/>
      <c r="M91" s="4"/>
      <c r="N91" s="4"/>
      <c r="O91" s="4"/>
      <c r="P91" s="4"/>
      <c r="Q91" s="4"/>
      <c r="R91" s="4"/>
      <c r="S91" s="4"/>
      <c r="T91" s="4"/>
      <c r="U91" s="4"/>
      <c r="V91" s="4"/>
      <c r="W91" s="216" t="str">
        <f ca="1">IF(AE91=0,"",OFFSET(iScatter!$AK$94,$C91,0))</f>
        <v>TOR</v>
      </c>
      <c r="X91" s="71" t="str">
        <f ca="1">IF(AE91=0,"",OFFSET(iScatter!$AL$94,$C91,0))</f>
        <v>Toronto</v>
      </c>
      <c r="Y91" s="71"/>
      <c r="Z91" s="71"/>
      <c r="AA91" s="337">
        <f ca="1">IF(AE91=0,"",OFFSET(iScatter!$AO$94,$C91,0))</f>
        <v>77</v>
      </c>
      <c r="AB91" s="217"/>
      <c r="AC91" s="338">
        <f ca="1">IF(AE91=0,"",OFFSET(iScatter!$AP$94,$C91,0))</f>
        <v>89.9</v>
      </c>
      <c r="AD91" s="4"/>
      <c r="AE91" s="12">
        <f ca="1">IF(ISERROR(OFFSET(iScatter!$AJ$94,$C91,0)),0,OFFSET(iScatter!$AJ$94,$C91,0))</f>
        <v>1</v>
      </c>
      <c r="AF91" s="4"/>
    </row>
    <row r="92" spans="1:32" x14ac:dyDescent="0.4">
      <c r="A92" s="4"/>
      <c r="B92" s="4"/>
      <c r="C92" s="4">
        <v>48</v>
      </c>
      <c r="D92" s="4"/>
      <c r="E92" s="4"/>
      <c r="F92" s="4"/>
      <c r="G92" s="4"/>
      <c r="H92" s="4"/>
      <c r="I92" s="4"/>
      <c r="J92" s="4"/>
      <c r="K92" s="4"/>
      <c r="L92" s="4"/>
      <c r="M92" s="4"/>
      <c r="N92" s="4"/>
      <c r="O92" s="4"/>
      <c r="P92" s="4"/>
      <c r="Q92" s="4"/>
      <c r="R92" s="4"/>
      <c r="S92" s="4"/>
      <c r="T92" s="4"/>
      <c r="U92" s="4"/>
      <c r="V92" s="4"/>
      <c r="W92" s="216" t="str">
        <f ca="1">IF(AE92=0,"",OFFSET(iScatter!$AK$94,$C92,0))</f>
        <v>VIE</v>
      </c>
      <c r="X92" s="71" t="str">
        <f ca="1">IF(AE92=0,"",OFFSET(iScatter!$AL$94,$C92,0))</f>
        <v>Vienna</v>
      </c>
      <c r="Y92" s="71"/>
      <c r="Z92" s="71"/>
      <c r="AA92" s="337">
        <f ca="1">IF(AE92=0,"",OFFSET(iScatter!$AO$94,$C92,0))</f>
        <v>75.099999999999994</v>
      </c>
      <c r="AB92" s="217"/>
      <c r="AC92" s="338">
        <f ca="1">IF(AE92=0,"",OFFSET(iScatter!$AP$94,$C92,0))</f>
        <v>87.3</v>
      </c>
      <c r="AD92" s="4"/>
      <c r="AE92" s="12">
        <f ca="1">IF(ISERROR(OFFSET(iScatter!$AJ$94,$C92,0)),0,OFFSET(iScatter!$AJ$94,$C92,0))</f>
        <v>1</v>
      </c>
      <c r="AF92" s="4"/>
    </row>
    <row r="93" spans="1:32" x14ac:dyDescent="0.4">
      <c r="A93" s="4"/>
      <c r="B93" s="4"/>
      <c r="C93" s="4">
        <v>49</v>
      </c>
      <c r="D93" s="4"/>
      <c r="E93" s="4"/>
      <c r="F93" s="4"/>
      <c r="G93" s="4"/>
      <c r="H93" s="4"/>
      <c r="I93" s="4"/>
      <c r="J93" s="4"/>
      <c r="K93" s="4"/>
      <c r="L93" s="4"/>
      <c r="M93" s="4"/>
      <c r="N93" s="4"/>
      <c r="O93" s="4"/>
      <c r="P93" s="4"/>
      <c r="Q93" s="4"/>
      <c r="R93" s="4"/>
      <c r="S93" s="4"/>
      <c r="T93" s="4"/>
      <c r="U93" s="4"/>
      <c r="V93" s="4"/>
      <c r="W93" s="216" t="str">
        <f ca="1">IF(AE93=0,"",OFFSET(iScatter!$AK$94,$C93,0))</f>
        <v>NHN</v>
      </c>
      <c r="X93" s="71" t="str">
        <f ca="1">IF(AE93=0,"",OFFSET(iScatter!$AL$94,$C93,0))</f>
        <v>Wuhan</v>
      </c>
      <c r="Y93" s="71"/>
      <c r="Z93" s="71"/>
      <c r="AA93" s="337">
        <f ca="1">IF(AE93=0,"",OFFSET(iScatter!$AO$94,$C93,0))</f>
        <v>57.3</v>
      </c>
      <c r="AB93" s="217"/>
      <c r="AC93" s="338">
        <f ca="1">IF(AE93=0,"",OFFSET(iScatter!$AP$94,$C93,0))</f>
        <v>54.3</v>
      </c>
      <c r="AD93" s="4"/>
      <c r="AE93" s="12">
        <f ca="1">IF(ISERROR(OFFSET(iScatter!$AJ$94,$C93,0)),0,OFFSET(iScatter!$AJ$94,$C93,0))</f>
        <v>1</v>
      </c>
      <c r="AF93" s="4"/>
    </row>
    <row r="94" spans="1:32" x14ac:dyDescent="0.4">
      <c r="A94" s="4"/>
      <c r="B94" s="4"/>
      <c r="C94" s="4">
        <v>50</v>
      </c>
      <c r="D94" s="4"/>
      <c r="E94" s="4"/>
      <c r="F94" s="4"/>
      <c r="G94" s="4"/>
      <c r="H94" s="4"/>
      <c r="I94" s="4"/>
      <c r="J94" s="4"/>
      <c r="K94" s="4"/>
      <c r="L94" s="4"/>
      <c r="M94" s="4"/>
      <c r="N94" s="4"/>
      <c r="O94" s="4"/>
      <c r="P94" s="4"/>
      <c r="Q94" s="4"/>
      <c r="R94" s="4"/>
      <c r="S94" s="4"/>
      <c r="T94" s="4"/>
      <c r="U94" s="4"/>
      <c r="V94" s="4"/>
      <c r="W94" s="216" t="str">
        <f ca="1">IF(AE94=0,"",OFFSET(iScatter!$AK$94,$C94,0))</f>
        <v>RGN</v>
      </c>
      <c r="X94" s="71" t="str">
        <f ca="1">IF(AE94=0,"",OFFSET(iScatter!$AL$94,$C94,0))</f>
        <v>Yangon</v>
      </c>
      <c r="Y94" s="71"/>
      <c r="Z94" s="71"/>
      <c r="AA94" s="337">
        <f ca="1">IF(AE94=0,"",OFFSET(iScatter!$AO$94,$C94,0))</f>
        <v>43.5</v>
      </c>
      <c r="AB94" s="217"/>
      <c r="AC94" s="338">
        <f ca="1">IF(AE94=0,"",OFFSET(iScatter!$AP$94,$C94,0))</f>
        <v>51.1</v>
      </c>
      <c r="AD94" s="4"/>
      <c r="AE94" s="12">
        <f ca="1">IF(ISERROR(OFFSET(iScatter!$AJ$94,$C94,0)),0,OFFSET(iScatter!$AJ$94,$C94,0))</f>
        <v>1</v>
      </c>
      <c r="AF94" s="4"/>
    </row>
    <row r="95" spans="1:3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x14ac:dyDescent="0.4">
      <c r="A98" s="4" t="s">
        <v>3</v>
      </c>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x14ac:dyDescent="0.4"/>
    <row r="100" spans="1:32" x14ac:dyDescent="0.4"/>
    <row r="101" spans="1:32" x14ac:dyDescent="0.4"/>
    <row r="102" spans="1:32" x14ac:dyDescent="0.4"/>
    <row r="103" spans="1:32" x14ac:dyDescent="0.4"/>
    <row r="104" spans="1:32" x14ac:dyDescent="0.4"/>
    <row r="105" spans="1:32" x14ac:dyDescent="0.4"/>
    <row r="106" spans="1:32" x14ac:dyDescent="0.4"/>
    <row r="107" spans="1:32" x14ac:dyDescent="0.4"/>
    <row r="108" spans="1:32" x14ac:dyDescent="0.4"/>
    <row r="109" spans="1:32" x14ac:dyDescent="0.4"/>
    <row r="110" spans="1:32" x14ac:dyDescent="0.4"/>
    <row r="111" spans="1:32" x14ac:dyDescent="0.4"/>
    <row r="112" spans="1:32" x14ac:dyDescent="0.4"/>
    <row r="113" x14ac:dyDescent="0.4"/>
    <row r="114" x14ac:dyDescent="0.4"/>
    <row r="115" x14ac:dyDescent="0.4"/>
    <row r="116" x14ac:dyDescent="0.4"/>
    <row r="117" x14ac:dyDescent="0.4"/>
    <row r="118" x14ac:dyDescent="0.4"/>
    <row r="119" x14ac:dyDescent="0.4"/>
    <row r="120" x14ac:dyDescent="0.4"/>
    <row r="121" x14ac:dyDescent="0.4"/>
    <row r="122" x14ac:dyDescent="0.4"/>
    <row r="123" x14ac:dyDescent="0.4"/>
    <row r="124" x14ac:dyDescent="0.4"/>
    <row r="125" x14ac:dyDescent="0.4"/>
    <row r="126" x14ac:dyDescent="0.4"/>
    <row r="127" x14ac:dyDescent="0.4"/>
    <row r="128" x14ac:dyDescent="0.4"/>
    <row r="129" x14ac:dyDescent="0.4"/>
    <row r="130" x14ac:dyDescent="0.4"/>
    <row r="131" x14ac:dyDescent="0.4"/>
    <row r="132" x14ac:dyDescent="0.4"/>
    <row r="133" x14ac:dyDescent="0.4"/>
    <row r="134" x14ac:dyDescent="0.4"/>
    <row r="135" x14ac:dyDescent="0.4"/>
    <row r="136" x14ac:dyDescent="0.4"/>
    <row r="137" x14ac:dyDescent="0.4"/>
    <row r="138" x14ac:dyDescent="0.4"/>
    <row r="139" x14ac:dyDescent="0.4"/>
    <row r="140" x14ac:dyDescent="0.4"/>
    <row r="141" x14ac:dyDescent="0.4"/>
    <row r="142" x14ac:dyDescent="0.4"/>
    <row r="143" x14ac:dyDescent="0.4"/>
    <row r="144" x14ac:dyDescent="0.4"/>
    <row r="145" x14ac:dyDescent="0.4"/>
    <row r="146" x14ac:dyDescent="0.4"/>
    <row r="147" x14ac:dyDescent="0.4"/>
    <row r="148" x14ac:dyDescent="0.4"/>
    <row r="149" x14ac:dyDescent="0.4"/>
    <row r="150" x14ac:dyDescent="0.4"/>
    <row r="151" x14ac:dyDescent="0.4"/>
    <row r="152" x14ac:dyDescent="0.4"/>
    <row r="153" x14ac:dyDescent="0.4"/>
    <row r="154" x14ac:dyDescent="0.4"/>
    <row r="155" x14ac:dyDescent="0.4"/>
    <row r="156" x14ac:dyDescent="0.4"/>
    <row r="157" x14ac:dyDescent="0.4"/>
    <row r="158" x14ac:dyDescent="0.4"/>
    <row r="159" x14ac:dyDescent="0.4"/>
    <row r="160" x14ac:dyDescent="0.4"/>
    <row r="161" x14ac:dyDescent="0.4"/>
    <row r="162" x14ac:dyDescent="0.4"/>
    <row r="163" x14ac:dyDescent="0.4"/>
    <row r="164" x14ac:dyDescent="0.4"/>
    <row r="165" x14ac:dyDescent="0.4"/>
    <row r="166" x14ac:dyDescent="0.4"/>
    <row r="167" x14ac:dyDescent="0.4"/>
    <row r="168" x14ac:dyDescent="0.4"/>
    <row r="169" x14ac:dyDescent="0.4"/>
    <row r="170" x14ac:dyDescent="0.4"/>
    <row r="171" x14ac:dyDescent="0.4"/>
    <row r="172" x14ac:dyDescent="0.4"/>
    <row r="173" x14ac:dyDescent="0.4"/>
    <row r="174" x14ac:dyDescent="0.4"/>
    <row r="175" x14ac:dyDescent="0.4"/>
    <row r="176" x14ac:dyDescent="0.4"/>
    <row r="177" x14ac:dyDescent="0.4"/>
    <row r="178" x14ac:dyDescent="0.4"/>
    <row r="179" x14ac:dyDescent="0.4"/>
    <row r="180" x14ac:dyDescent="0.4"/>
    <row r="181" x14ac:dyDescent="0.4"/>
    <row r="182" x14ac:dyDescent="0.4"/>
    <row r="183" x14ac:dyDescent="0.4"/>
    <row r="184" x14ac:dyDescent="0.4"/>
    <row r="185" x14ac:dyDescent="0.4"/>
    <row r="186" x14ac:dyDescent="0.4"/>
    <row r="187" x14ac:dyDescent="0.4"/>
    <row r="188" x14ac:dyDescent="0.4"/>
    <row r="189" x14ac:dyDescent="0.4"/>
    <row r="190" x14ac:dyDescent="0.4"/>
    <row r="191" x14ac:dyDescent="0.4"/>
    <row r="192" x14ac:dyDescent="0.4"/>
    <row r="193" x14ac:dyDescent="0.4"/>
    <row r="194" x14ac:dyDescent="0.4"/>
    <row r="195" x14ac:dyDescent="0.4"/>
    <row r="196" x14ac:dyDescent="0.4"/>
    <row r="197" x14ac:dyDescent="0.4"/>
    <row r="198" x14ac:dyDescent="0.4"/>
    <row r="199" x14ac:dyDescent="0.4"/>
    <row r="200" x14ac:dyDescent="0.4"/>
    <row r="201" x14ac:dyDescent="0.4"/>
    <row r="202" x14ac:dyDescent="0.4"/>
    <row r="203" x14ac:dyDescent="0.4"/>
    <row r="204" x14ac:dyDescent="0.4"/>
    <row r="205" x14ac:dyDescent="0.4"/>
    <row r="206" x14ac:dyDescent="0.4"/>
    <row r="207" x14ac:dyDescent="0.4"/>
    <row r="208" x14ac:dyDescent="0.4"/>
    <row r="209" x14ac:dyDescent="0.4"/>
    <row r="210" x14ac:dyDescent="0.4"/>
    <row r="211" x14ac:dyDescent="0.4"/>
    <row r="212" x14ac:dyDescent="0.4"/>
    <row r="213" x14ac:dyDescent="0.4"/>
    <row r="214" x14ac:dyDescent="0.4"/>
    <row r="215" x14ac:dyDescent="0.4"/>
    <row r="216" x14ac:dyDescent="0.4"/>
    <row r="217" x14ac:dyDescent="0.4"/>
    <row r="218" x14ac:dyDescent="0.4"/>
    <row r="219" x14ac:dyDescent="0.4"/>
    <row r="220" x14ac:dyDescent="0.4"/>
    <row r="221" x14ac:dyDescent="0.4"/>
    <row r="222" x14ac:dyDescent="0.4"/>
    <row r="223" x14ac:dyDescent="0.4"/>
    <row r="224" x14ac:dyDescent="0.4"/>
    <row r="225" x14ac:dyDescent="0.4"/>
    <row r="226" x14ac:dyDescent="0.4"/>
    <row r="227" x14ac:dyDescent="0.4"/>
    <row r="228" x14ac:dyDescent="0.4"/>
    <row r="229" x14ac:dyDescent="0.4"/>
    <row r="230" x14ac:dyDescent="0.4"/>
    <row r="231" x14ac:dyDescent="0.4"/>
    <row r="232" x14ac:dyDescent="0.4"/>
    <row r="233" x14ac:dyDescent="0.4"/>
    <row r="234" x14ac:dyDescent="0.4"/>
    <row r="235" x14ac:dyDescent="0.4"/>
    <row r="236" x14ac:dyDescent="0.4"/>
    <row r="237" x14ac:dyDescent="0.4"/>
    <row r="238" x14ac:dyDescent="0.4"/>
    <row r="239" x14ac:dyDescent="0.4"/>
    <row r="240" x14ac:dyDescent="0.4"/>
    <row r="241" x14ac:dyDescent="0.4"/>
    <row r="242" x14ac:dyDescent="0.4"/>
    <row r="243" x14ac:dyDescent="0.4"/>
    <row r="244" x14ac:dyDescent="0.4"/>
    <row r="245" x14ac:dyDescent="0.4"/>
    <row r="246" x14ac:dyDescent="0.4"/>
    <row r="247" x14ac:dyDescent="0.4"/>
    <row r="248" x14ac:dyDescent="0.4"/>
    <row r="249" x14ac:dyDescent="0.4"/>
    <row r="250" x14ac:dyDescent="0.4"/>
    <row r="251" x14ac:dyDescent="0.4"/>
    <row r="252" x14ac:dyDescent="0.4"/>
    <row r="253" x14ac:dyDescent="0.4"/>
    <row r="254" x14ac:dyDescent="0.4"/>
    <row r="255" x14ac:dyDescent="0.4"/>
    <row r="256" x14ac:dyDescent="0.4"/>
    <row r="257" x14ac:dyDescent="0.4"/>
    <row r="258" x14ac:dyDescent="0.4"/>
    <row r="259" x14ac:dyDescent="0.4"/>
    <row r="260" x14ac:dyDescent="0.4"/>
    <row r="261" x14ac:dyDescent="0.4"/>
    <row r="262" x14ac:dyDescent="0.4"/>
    <row r="263" x14ac:dyDescent="0.4"/>
    <row r="264" x14ac:dyDescent="0.4"/>
    <row r="265" x14ac:dyDescent="0.4"/>
    <row r="266" x14ac:dyDescent="0.4"/>
    <row r="267" x14ac:dyDescent="0.4"/>
    <row r="268" x14ac:dyDescent="0.4"/>
    <row r="269" x14ac:dyDescent="0.4"/>
    <row r="270" x14ac:dyDescent="0.4"/>
    <row r="271" x14ac:dyDescent="0.4"/>
    <row r="272" x14ac:dyDescent="0.4"/>
    <row r="273" x14ac:dyDescent="0.4"/>
    <row r="274" x14ac:dyDescent="0.4"/>
    <row r="275" x14ac:dyDescent="0.4"/>
    <row r="276" x14ac:dyDescent="0.4"/>
    <row r="277" x14ac:dyDescent="0.4"/>
    <row r="278" x14ac:dyDescent="0.4"/>
    <row r="279" x14ac:dyDescent="0.4"/>
    <row r="280" x14ac:dyDescent="0.4"/>
    <row r="281" x14ac:dyDescent="0.4"/>
    <row r="282" x14ac:dyDescent="0.4"/>
    <row r="283" x14ac:dyDescent="0.4"/>
    <row r="284" x14ac:dyDescent="0.4"/>
    <row r="285" x14ac:dyDescent="0.4"/>
    <row r="286" x14ac:dyDescent="0.4"/>
    <row r="287" x14ac:dyDescent="0.4"/>
    <row r="288" x14ac:dyDescent="0.4"/>
    <row r="289" x14ac:dyDescent="0.4"/>
    <row r="290" x14ac:dyDescent="0.4"/>
    <row r="291" x14ac:dyDescent="0.4"/>
    <row r="292" x14ac:dyDescent="0.4"/>
    <row r="293" x14ac:dyDescent="0.4"/>
    <row r="294" x14ac:dyDescent="0.4"/>
    <row r="295" x14ac:dyDescent="0.4"/>
    <row r="296" x14ac:dyDescent="0.4"/>
    <row r="297" x14ac:dyDescent="0.4"/>
    <row r="298" x14ac:dyDescent="0.4"/>
    <row r="299" x14ac:dyDescent="0.4"/>
    <row r="300" x14ac:dyDescent="0.4"/>
  </sheetData>
  <mergeCells count="3">
    <mergeCell ref="L21:M21"/>
    <mergeCell ref="E64:L86"/>
    <mergeCell ref="N64:U86"/>
  </mergeCells>
  <conditionalFormatting sqref="W45:W94">
    <cfRule type="expression" dxfId="278" priority="25">
      <formula>AE45=1</formula>
    </cfRule>
    <cfRule type="expression" dxfId="277" priority="26">
      <formula>AE45=2</formula>
    </cfRule>
    <cfRule type="expression" dxfId="276" priority="27">
      <formula>AE45=3</formula>
    </cfRule>
  </conditionalFormatting>
  <conditionalFormatting sqref="X45:X94">
    <cfRule type="expression" dxfId="275" priority="28">
      <formula>AE45=1</formula>
    </cfRule>
    <cfRule type="expression" dxfId="274" priority="29">
      <formula>AE45=2</formula>
    </cfRule>
    <cfRule type="expression" dxfId="273" priority="30">
      <formula>AE45=3</formula>
    </cfRule>
  </conditionalFormatting>
  <conditionalFormatting sqref="Y45:Y94">
    <cfRule type="expression" dxfId="272" priority="31">
      <formula>AE45=1</formula>
    </cfRule>
    <cfRule type="expression" dxfId="271" priority="32">
      <formula>AE45=2</formula>
    </cfRule>
    <cfRule type="expression" dxfId="270" priority="33">
      <formula>AE45=3</formula>
    </cfRule>
  </conditionalFormatting>
  <conditionalFormatting sqref="Z45:Z94">
    <cfRule type="expression" dxfId="269" priority="34">
      <formula>AE45=1</formula>
    </cfRule>
    <cfRule type="expression" dxfId="268" priority="35">
      <formula>AE45=2</formula>
    </cfRule>
    <cfRule type="expression" dxfId="267" priority="36">
      <formula>AE45=3</formula>
    </cfRule>
  </conditionalFormatting>
  <conditionalFormatting sqref="AA45:AA94">
    <cfRule type="expression" dxfId="266" priority="37">
      <formula>AE45=1</formula>
    </cfRule>
    <cfRule type="expression" dxfId="265" priority="38">
      <formula>AE45=2</formula>
    </cfRule>
    <cfRule type="expression" dxfId="264" priority="39">
      <formula>AE45=3</formula>
    </cfRule>
  </conditionalFormatting>
  <conditionalFormatting sqref="AB45:AB94">
    <cfRule type="expression" dxfId="263" priority="40">
      <formula>AE45=1</formula>
    </cfRule>
    <cfRule type="expression" dxfId="262" priority="41">
      <formula>AE45=2</formula>
    </cfRule>
    <cfRule type="expression" dxfId="261" priority="42">
      <formula>AE45=3</formula>
    </cfRule>
  </conditionalFormatting>
  <conditionalFormatting sqref="AC45:AC94">
    <cfRule type="expression" dxfId="260" priority="43">
      <formula>AE45=1</formula>
    </cfRule>
    <cfRule type="expression" dxfId="259" priority="44">
      <formula>AE45=2</formula>
    </cfRule>
    <cfRule type="expression" dxfId="258" priority="45">
      <formula>AE45=3</formula>
    </cfRule>
  </conditionalFormatting>
  <conditionalFormatting sqref="AE45:AE94">
    <cfRule type="expression" dxfId="257" priority="1276">
      <formula>#REF!=1</formula>
    </cfRule>
    <cfRule type="expression" dxfId="256" priority="1277">
      <formula>#REF!=2</formula>
    </cfRule>
    <cfRule type="expression" dxfId="255" priority="1278">
      <formula>#REF!=3</formula>
    </cfRule>
  </conditionalFormatting>
  <pageMargins left="0.28958880139982501" right="0.28958880139982501" top="0.62992125984251945" bottom="0.39370078740157499" header="0.11811023622047251" footer="0.3"/>
  <pageSetup paperSize="9" scale="53" orientation="portrait" r:id="rId1"/>
  <headerFooter scaleWithDoc="0">
    <oddHeader>&amp;R&amp;"Calibri"&amp;10&amp;K808080City Heartbeat 2024, 50 city index (v1.0)</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6823264" r:id="rId4" name="ui_cnt_SeriesScatterX">
              <controlPr defaultSize="0" print="0" autoFill="0" autoPict="0" macro="[0]!k">
                <anchor>
                  <from>
                    <xdr:col>0</xdr:col>
                    <xdr:colOff>125186</xdr:colOff>
                    <xdr:row>3</xdr:row>
                    <xdr:rowOff>239486</xdr:rowOff>
                  </from>
                  <to>
                    <xdr:col>7</xdr:col>
                    <xdr:colOff>446314</xdr:colOff>
                    <xdr:row>3</xdr:row>
                    <xdr:rowOff>451757</xdr:rowOff>
                  </to>
                </anchor>
              </controlPr>
            </control>
          </mc:Choice>
        </mc:AlternateContent>
        <mc:AlternateContent xmlns:mc="http://schemas.openxmlformats.org/markup-compatibility/2006">
          <mc:Choice Requires="x14">
            <control shapeId="6823266" r:id="rId5" name="ui_cnt_SeriesScatterY">
              <controlPr defaultSize="0" print="0" autoFill="0" autoPict="0" macro="[0]!k">
                <anchor>
                  <from>
                    <xdr:col>8</xdr:col>
                    <xdr:colOff>402771</xdr:colOff>
                    <xdr:row>3</xdr:row>
                    <xdr:rowOff>239486</xdr:rowOff>
                  </from>
                  <to>
                    <xdr:col>15</xdr:col>
                    <xdr:colOff>32657</xdr:colOff>
                    <xdr:row>3</xdr:row>
                    <xdr:rowOff>451757</xdr:rowOff>
                  </to>
                </anchor>
              </controlPr>
            </control>
          </mc:Choice>
        </mc:AlternateContent>
        <mc:AlternateContent xmlns:mc="http://schemas.openxmlformats.org/markup-compatibility/2006">
          <mc:Choice Requires="x14">
            <control shapeId="6823268" r:id="rId6" name="ui_cnt_Scatter_Data_Option">
              <controlPr defaultSize="0" print="0" autoFill="0" autoPict="0" macro="[0]!k">
                <anchor>
                  <from>
                    <xdr:col>15</xdr:col>
                    <xdr:colOff>440871</xdr:colOff>
                    <xdr:row>3</xdr:row>
                    <xdr:rowOff>239486</xdr:rowOff>
                  </from>
                  <to>
                    <xdr:col>19</xdr:col>
                    <xdr:colOff>195943</xdr:colOff>
                    <xdr:row>3</xdr:row>
                    <xdr:rowOff>451757</xdr:rowOff>
                  </to>
                </anchor>
              </controlPr>
            </control>
          </mc:Choice>
        </mc:AlternateContent>
        <mc:AlternateContent xmlns:mc="http://schemas.openxmlformats.org/markup-compatibility/2006">
          <mc:Choice Requires="x14">
            <control shapeId="6823270" r:id="rId7" name="ui_cnt_GroupHighlight">
              <controlPr defaultSize="0" print="0" autoFill="0" autoPict="0" macro="[0]!k">
                <anchor>
                  <from>
                    <xdr:col>20</xdr:col>
                    <xdr:colOff>146957</xdr:colOff>
                    <xdr:row>3</xdr:row>
                    <xdr:rowOff>239486</xdr:rowOff>
                  </from>
                  <to>
                    <xdr:col>23</xdr:col>
                    <xdr:colOff>136071</xdr:colOff>
                    <xdr:row>3</xdr:row>
                    <xdr:rowOff>451757</xdr:rowOff>
                  </to>
                </anchor>
              </controlPr>
            </control>
          </mc:Choice>
        </mc:AlternateContent>
        <mc:AlternateContent xmlns:mc="http://schemas.openxmlformats.org/markup-compatibility/2006">
          <mc:Choice Requires="x14">
            <control shapeId="6823272" r:id="rId8" name="ui_cnt_CountryFltHighlight">
              <controlPr defaultSize="0" print="0" autoFill="0" autoPict="0" macro="[0]!k">
                <anchor>
                  <from>
                    <xdr:col>23</xdr:col>
                    <xdr:colOff>266700</xdr:colOff>
                    <xdr:row>3</xdr:row>
                    <xdr:rowOff>239486</xdr:rowOff>
                  </from>
                  <to>
                    <xdr:col>26</xdr:col>
                    <xdr:colOff>168729</xdr:colOff>
                    <xdr:row>3</xdr:row>
                    <xdr:rowOff>451757</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6F453-C23B-4057-B1E3-22F55856985B}">
  <sheetPr codeName="Sheet22">
    <pageSetUpPr fitToPage="1"/>
  </sheetPr>
  <dimension ref="A1:Q300"/>
  <sheetViews>
    <sheetView showGridLines="0" showRowColHeaders="0" zoomScaleNormal="100" workbookViewId="0">
      <pane ySplit="7" topLeftCell="A8" activePane="bottomLeft" state="frozen"/>
      <selection pane="bottomLeft"/>
    </sheetView>
  </sheetViews>
  <sheetFormatPr defaultRowHeight="14.6" zeroHeight="1" x14ac:dyDescent="0.4"/>
  <cols>
    <col min="1" max="1" width="2.69140625" customWidth="1"/>
    <col min="2" max="2" width="9.15234375" customWidth="1"/>
    <col min="3" max="3" width="4.23046875" customWidth="1"/>
    <col min="4" max="4" width="9.3828125" customWidth="1"/>
    <col min="5" max="10" width="9.15234375" customWidth="1"/>
    <col min="11" max="12" width="10.3828125" customWidth="1"/>
    <col min="13" max="13" width="44.15234375" customWidth="1"/>
    <col min="14" max="14" width="31.15234375" customWidth="1"/>
    <col min="15" max="15" width="9.84375" customWidth="1"/>
    <col min="16" max="16" width="7.84375" customWidth="1"/>
    <col min="17" max="17" width="1.15234375" customWidth="1"/>
  </cols>
  <sheetData>
    <row r="1" spans="1:17" ht="24" hidden="1" customHeight="1" x14ac:dyDescent="0.4">
      <c r="A1" s="4" t="s">
        <v>2</v>
      </c>
      <c r="B1" s="4"/>
      <c r="C1" s="4"/>
      <c r="D1" s="4"/>
      <c r="E1" s="4"/>
      <c r="F1" s="4"/>
      <c r="G1" s="4"/>
      <c r="H1" s="4"/>
      <c r="I1" s="4"/>
      <c r="J1" s="4"/>
      <c r="K1" s="4"/>
      <c r="L1" s="4"/>
      <c r="M1" s="4"/>
      <c r="N1" s="4"/>
      <c r="O1" s="4"/>
      <c r="P1" s="4"/>
      <c r="Q1" s="4"/>
    </row>
    <row r="2" spans="1:17" ht="24" customHeight="1" x14ac:dyDescent="0.4">
      <c r="A2" s="4"/>
      <c r="B2" s="4"/>
      <c r="C2" s="4"/>
      <c r="D2" s="4"/>
      <c r="E2" s="4"/>
      <c r="F2" s="4"/>
      <c r="G2" s="4"/>
      <c r="H2" s="4"/>
      <c r="I2" s="4"/>
      <c r="J2" s="4"/>
      <c r="K2" s="4"/>
      <c r="L2" s="4"/>
      <c r="M2" s="4"/>
      <c r="N2" s="4"/>
      <c r="O2" s="4"/>
      <c r="P2" s="4"/>
      <c r="Q2" s="4"/>
    </row>
    <row r="3" spans="1:17" ht="26.05" customHeight="1" x14ac:dyDescent="0.4">
      <c r="A3" s="4"/>
      <c r="B3" s="4" t="s">
        <v>1067</v>
      </c>
      <c r="C3" s="4"/>
      <c r="D3" s="4"/>
      <c r="E3" s="4"/>
      <c r="F3" s="4"/>
      <c r="G3" s="4"/>
      <c r="H3" s="4"/>
      <c r="I3" s="4"/>
      <c r="J3" s="4"/>
      <c r="K3" s="4"/>
      <c r="L3" s="4"/>
      <c r="M3" s="4"/>
      <c r="N3" s="4"/>
      <c r="O3" s="4"/>
      <c r="P3" s="4"/>
      <c r="Q3" s="4"/>
    </row>
    <row r="4" spans="1:17" ht="42" customHeight="1" x14ac:dyDescent="0.4">
      <c r="A4" s="4"/>
      <c r="B4" s="35" t="s">
        <v>2504</v>
      </c>
      <c r="C4" s="4"/>
      <c r="D4" s="4"/>
      <c r="E4" s="4"/>
      <c r="F4" s="4"/>
      <c r="G4" s="4"/>
      <c r="H4" s="4"/>
      <c r="I4" s="4"/>
      <c r="J4" s="4"/>
      <c r="K4" s="4"/>
      <c r="L4" s="4"/>
      <c r="M4" s="4"/>
      <c r="N4" s="4"/>
      <c r="O4" s="4"/>
      <c r="P4" s="4"/>
      <c r="Q4" s="4"/>
    </row>
    <row r="5" spans="1:17" ht="24" customHeight="1" x14ac:dyDescent="0.4">
      <c r="A5" s="4" t="s">
        <v>2</v>
      </c>
      <c r="B5" s="4"/>
      <c r="C5" s="4"/>
      <c r="D5" s="4"/>
      <c r="E5" s="4"/>
      <c r="F5" s="4"/>
      <c r="G5" s="4"/>
      <c r="H5" s="4"/>
      <c r="I5" s="4"/>
      <c r="J5" s="4"/>
      <c r="K5" s="4"/>
      <c r="L5" s="4"/>
      <c r="M5" s="4"/>
      <c r="N5" s="4"/>
      <c r="O5" s="4"/>
      <c r="P5" s="4"/>
      <c r="Q5" s="4"/>
    </row>
    <row r="6" spans="1:17" ht="24" customHeight="1" x14ac:dyDescent="0.4">
      <c r="A6" s="4" t="s">
        <v>2</v>
      </c>
      <c r="B6" s="4"/>
      <c r="C6" s="4"/>
      <c r="D6" s="4"/>
      <c r="E6" s="4"/>
      <c r="F6" s="4"/>
      <c r="G6" s="4"/>
      <c r="H6" s="4"/>
      <c r="I6" s="4"/>
      <c r="J6" s="4"/>
      <c r="K6" s="4"/>
      <c r="L6" s="4"/>
      <c r="M6" s="4"/>
      <c r="N6" s="4"/>
      <c r="O6" s="4"/>
      <c r="P6" s="4"/>
      <c r="Q6" s="4"/>
    </row>
    <row r="7" spans="1:17" ht="24" customHeight="1" x14ac:dyDescent="0.4">
      <c r="A7" s="4" t="s">
        <v>2</v>
      </c>
      <c r="B7" s="40">
        <f>uxbGlobals!$B$317</f>
        <v>0</v>
      </c>
      <c r="C7" s="4"/>
      <c r="D7" s="4"/>
      <c r="E7" s="4"/>
      <c r="F7" s="4"/>
      <c r="G7" s="4"/>
      <c r="H7" s="4"/>
      <c r="I7" s="4"/>
      <c r="J7" s="4"/>
      <c r="K7" s="4"/>
      <c r="L7" s="4"/>
      <c r="M7" s="4"/>
      <c r="N7" s="4"/>
      <c r="O7" s="4"/>
      <c r="P7" s="4"/>
      <c r="Q7" s="4"/>
    </row>
    <row r="8" spans="1:17" ht="8.0500000000000007" customHeight="1" x14ac:dyDescent="0.4">
      <c r="A8" s="4"/>
      <c r="B8" s="4"/>
      <c r="C8" s="4"/>
      <c r="D8" s="4"/>
      <c r="E8" s="4"/>
      <c r="F8" s="4"/>
      <c r="G8" s="4"/>
      <c r="H8" s="4"/>
      <c r="I8" s="4"/>
      <c r="J8" s="4"/>
      <c r="K8" s="4"/>
      <c r="L8" s="4"/>
      <c r="M8" s="4"/>
      <c r="N8" s="4"/>
      <c r="O8" s="4"/>
      <c r="P8" s="4"/>
      <c r="Q8" s="4"/>
    </row>
    <row r="9" spans="1:17" ht="15" customHeight="1" x14ac:dyDescent="0.4">
      <c r="A9" s="4" t="s">
        <v>2</v>
      </c>
      <c r="B9" s="4" t="s">
        <v>2</v>
      </c>
      <c r="C9" s="4"/>
      <c r="D9" s="4" t="s">
        <v>2</v>
      </c>
      <c r="E9" s="4" t="s">
        <v>2</v>
      </c>
      <c r="F9" s="4" t="s">
        <v>2</v>
      </c>
      <c r="G9" s="4" t="s">
        <v>2</v>
      </c>
      <c r="H9" s="4" t="s">
        <v>2</v>
      </c>
      <c r="I9" s="4" t="s">
        <v>2</v>
      </c>
      <c r="J9" s="4" t="s">
        <v>2</v>
      </c>
      <c r="K9" s="4" t="s">
        <v>2</v>
      </c>
      <c r="L9" s="4" t="s">
        <v>2</v>
      </c>
      <c r="M9" s="4"/>
      <c r="N9" s="4"/>
      <c r="O9" s="4"/>
      <c r="P9" s="4"/>
      <c r="Q9" s="4"/>
    </row>
    <row r="10" spans="1:17" ht="15" customHeight="1" x14ac:dyDescent="0.4">
      <c r="A10" s="13" t="s">
        <v>2</v>
      </c>
      <c r="B10" s="4" t="s">
        <v>2</v>
      </c>
      <c r="C10" s="4"/>
      <c r="D10" s="4"/>
      <c r="E10" s="4"/>
      <c r="F10" s="4"/>
      <c r="G10" s="4"/>
      <c r="H10" s="4"/>
      <c r="I10" s="4"/>
      <c r="J10" s="4"/>
      <c r="K10" s="4"/>
      <c r="L10" s="4"/>
      <c r="M10" s="4"/>
      <c r="N10" s="4"/>
      <c r="O10" s="4"/>
      <c r="P10" s="4"/>
      <c r="Q10" s="4"/>
    </row>
    <row r="11" spans="1:17" ht="15" customHeight="1" x14ac:dyDescent="0.4">
      <c r="A11" s="13" t="s">
        <v>2</v>
      </c>
      <c r="B11" s="4" t="s">
        <v>1501</v>
      </c>
      <c r="C11" s="49">
        <f>uxbGlobals!$B$410</f>
        <v>1</v>
      </c>
      <c r="D11" s="49"/>
      <c r="E11" s="49" t="str">
        <f>uxbGlobals!$B$411</f>
        <v>ADD</v>
      </c>
      <c r="F11" s="49"/>
      <c r="G11" s="49"/>
      <c r="H11" s="49" t="str">
        <f>uxbGlobals!$B$413</f>
        <v>Addis Ababa</v>
      </c>
      <c r="I11" s="49"/>
      <c r="J11" s="49"/>
      <c r="K11" s="4"/>
      <c r="L11" s="4"/>
      <c r="M11" s="4"/>
      <c r="N11" s="4"/>
      <c r="O11" s="4"/>
      <c r="P11" s="4"/>
      <c r="Q11" s="4"/>
    </row>
    <row r="12" spans="1:17" ht="15" customHeight="1" x14ac:dyDescent="0.4">
      <c r="A12" s="13" t="s">
        <v>2</v>
      </c>
      <c r="B12" s="4" t="s">
        <v>1502</v>
      </c>
      <c r="C12" s="49">
        <f>uxbGlobals!$B$398</f>
        <v>51</v>
      </c>
      <c r="D12" s="49"/>
      <c r="E12" s="49" t="str">
        <f>uxbGlobals!$B$399</f>
        <v>AVG</v>
      </c>
      <c r="F12" s="49"/>
      <c r="G12" s="49"/>
      <c r="H12" s="49" t="str">
        <f>uxbGlobals!$B$400</f>
        <v>50 city average</v>
      </c>
      <c r="I12" s="49"/>
      <c r="J12" s="49"/>
      <c r="K12" s="4"/>
      <c r="L12" s="4"/>
      <c r="M12" s="4"/>
      <c r="N12" s="4"/>
      <c r="O12" s="4"/>
      <c r="P12" s="4"/>
      <c r="Q12" s="4"/>
    </row>
    <row r="13" spans="1:17" ht="15" customHeight="1" x14ac:dyDescent="0.4">
      <c r="A13" s="13" t="s">
        <v>2</v>
      </c>
      <c r="B13" s="4" t="s">
        <v>1523</v>
      </c>
      <c r="C13" s="12">
        <f>uxbGlobals!$B$302</f>
        <v>1</v>
      </c>
      <c r="D13" s="4"/>
      <c r="E13" s="4"/>
      <c r="F13" s="4"/>
      <c r="G13" s="4"/>
      <c r="H13" s="4"/>
      <c r="I13" s="4"/>
      <c r="J13" s="4"/>
      <c r="K13" s="4"/>
      <c r="L13" s="4"/>
      <c r="M13" s="4"/>
      <c r="N13" s="4"/>
      <c r="O13" s="4"/>
      <c r="P13" s="4"/>
      <c r="Q13" s="4"/>
    </row>
    <row r="14" spans="1:17" ht="15" customHeight="1" x14ac:dyDescent="0.4">
      <c r="A14" s="13" t="s">
        <v>2</v>
      </c>
      <c r="B14" s="4" t="s">
        <v>1113</v>
      </c>
      <c r="C14" s="4">
        <f>uxbGlobals!$B$224</f>
        <v>50</v>
      </c>
      <c r="D14" s="4"/>
      <c r="E14" s="4"/>
      <c r="F14" s="4"/>
      <c r="G14" s="4"/>
      <c r="H14" s="4"/>
      <c r="I14" s="4"/>
      <c r="J14" s="4"/>
      <c r="K14" s="4">
        <v>28.6</v>
      </c>
      <c r="L14" s="4">
        <v>71.7</v>
      </c>
      <c r="M14" s="4"/>
      <c r="N14" s="4"/>
      <c r="O14" s="4">
        <v>41.4</v>
      </c>
      <c r="P14" s="4">
        <v>51.5</v>
      </c>
      <c r="Q14" s="4"/>
    </row>
    <row r="15" spans="1:17" ht="20.25" customHeight="1" x14ac:dyDescent="0.5">
      <c r="A15" s="4"/>
      <c r="B15" s="4"/>
      <c r="C15" s="4"/>
      <c r="D15" s="4"/>
      <c r="E15" s="4"/>
      <c r="F15" s="4"/>
      <c r="G15" s="4"/>
      <c r="H15" s="4"/>
      <c r="I15" s="4"/>
      <c r="J15" s="4"/>
      <c r="K15" s="4"/>
      <c r="L15" s="4"/>
      <c r="M15" s="47" t="s">
        <v>2495</v>
      </c>
      <c r="N15" s="4"/>
      <c r="O15" s="4"/>
      <c r="P15" s="4"/>
      <c r="Q15" s="4"/>
    </row>
    <row r="16" spans="1:17" ht="15" customHeight="1" x14ac:dyDescent="0.4">
      <c r="A16" s="4"/>
      <c r="B16" s="4"/>
      <c r="C16" s="4"/>
      <c r="D16" s="4"/>
      <c r="E16" s="4"/>
      <c r="F16" s="4"/>
      <c r="G16" s="4"/>
      <c r="H16" s="4"/>
      <c r="I16" s="4"/>
      <c r="J16" s="4"/>
      <c r="K16" s="4"/>
      <c r="L16" s="4"/>
      <c r="M16" s="220" t="s">
        <v>2672</v>
      </c>
      <c r="N16" s="4"/>
      <c r="O16" s="4"/>
      <c r="P16" s="4"/>
      <c r="Q16" s="4"/>
    </row>
    <row r="17" spans="1:17" ht="15" customHeight="1" x14ac:dyDescent="0.4">
      <c r="A17" s="4"/>
      <c r="B17" s="4"/>
      <c r="C17" s="4"/>
      <c r="D17" s="4"/>
      <c r="E17" s="4"/>
      <c r="F17" s="4"/>
      <c r="G17" s="4"/>
      <c r="H17" s="4"/>
      <c r="I17" s="4"/>
      <c r="J17" s="4"/>
      <c r="K17" s="4"/>
      <c r="L17" s="4"/>
      <c r="M17" s="221" t="s">
        <v>920</v>
      </c>
      <c r="N17" s="222" t="str">
        <f>CONCATENATE($H$11," (",$E$11,")")</f>
        <v>Addis Ababa (ADD)</v>
      </c>
      <c r="O17" s="4"/>
      <c r="P17" s="4"/>
      <c r="Q17" s="4"/>
    </row>
    <row r="18" spans="1:17" ht="15" customHeight="1" x14ac:dyDescent="0.4">
      <c r="A18" s="4"/>
      <c r="B18" s="4"/>
      <c r="C18" s="4"/>
      <c r="D18" s="4"/>
      <c r="E18" s="4"/>
      <c r="F18" s="4"/>
      <c r="G18" s="4"/>
      <c r="H18" s="4"/>
      <c r="I18" s="4"/>
      <c r="J18" s="4"/>
      <c r="K18" s="4"/>
      <c r="L18" s="4"/>
      <c r="M18" s="223" t="s">
        <v>920</v>
      </c>
      <c r="N18" s="222" t="str">
        <f>CONCATENATE($H$12," (",$E$12,")")</f>
        <v>50 city average (AVG)</v>
      </c>
      <c r="O18" s="4"/>
      <c r="P18" s="4"/>
      <c r="Q18" s="4"/>
    </row>
    <row r="19" spans="1:17" ht="13.5" customHeight="1" x14ac:dyDescent="0.4">
      <c r="A19" s="4"/>
      <c r="B19" s="4"/>
      <c r="C19" s="4"/>
      <c r="D19" s="4"/>
      <c r="E19" s="4"/>
      <c r="F19" s="4"/>
      <c r="G19" s="4"/>
      <c r="H19" s="4"/>
      <c r="I19" s="4"/>
      <c r="J19" s="4"/>
      <c r="K19" s="4"/>
      <c r="L19" s="4"/>
      <c r="M19" s="4"/>
      <c r="N19" s="4"/>
      <c r="O19" s="4"/>
      <c r="P19" s="4"/>
      <c r="Q19" s="4"/>
    </row>
    <row r="20" spans="1:17" ht="15" customHeight="1" x14ac:dyDescent="0.4">
      <c r="A20" s="4"/>
      <c r="B20" s="4"/>
      <c r="C20" s="4"/>
      <c r="D20" s="4" t="s">
        <v>1516</v>
      </c>
      <c r="E20" s="4"/>
      <c r="F20" s="123" t="s">
        <v>5</v>
      </c>
      <c r="G20" s="123" t="s">
        <v>108</v>
      </c>
      <c r="H20" s="123" t="s">
        <v>1513</v>
      </c>
      <c r="I20" s="123" t="s">
        <v>1511</v>
      </c>
      <c r="J20" s="123" t="s">
        <v>1512</v>
      </c>
      <c r="K20" s="224" t="s">
        <v>1514</v>
      </c>
      <c r="L20" s="224" t="s">
        <v>1515</v>
      </c>
      <c r="M20" s="4"/>
      <c r="N20" s="201"/>
      <c r="O20" s="225" t="str">
        <f>$E$11</f>
        <v>ADD</v>
      </c>
      <c r="P20" s="226" t="str">
        <f>$E$12</f>
        <v>AVG</v>
      </c>
      <c r="Q20" s="4"/>
    </row>
    <row r="21" spans="1:17" ht="18" customHeight="1" x14ac:dyDescent="0.4">
      <c r="A21" s="4"/>
      <c r="B21" s="4"/>
      <c r="C21" s="4"/>
      <c r="D21" s="4" t="s">
        <v>930</v>
      </c>
      <c r="E21" s="143">
        <v>1</v>
      </c>
      <c r="F21" s="227" cm="1">
        <f t="array" aca="1" ref="F21" ca="1">INDEX(OFFSET(auto_ss_OverallAndCategory,0,1,200,1),E21)</f>
        <v>1</v>
      </c>
      <c r="G21" s="227" cm="1">
        <f t="array" aca="1" ref="G21" ca="1">INDEX(auto_Series_Depth,F21)</f>
        <v>0</v>
      </c>
      <c r="H21" s="143" cm="1">
        <f t="array" aca="1" ref="H21" ca="1">INDEX(sys_DataFlat_LU_Grid,F21,1)-1</f>
        <v>0</v>
      </c>
      <c r="I21" s="143">
        <f ca="1">H21+$C$11</f>
        <v>1</v>
      </c>
      <c r="J21" s="143">
        <f ca="1">H21+$C$12</f>
        <v>51</v>
      </c>
      <c r="K21" s="222">
        <f t="shared" ref="K21:K26" ca="1" si="0">MIN(OFFSET(auto_DataFlat_Score,$H21,0,$C$14,1))</f>
        <v>40.6</v>
      </c>
      <c r="L21" s="222">
        <f t="shared" ref="L21:L26" ca="1" si="1">MAX(OFFSET(auto_DataFlat_Score,$H21,0,$C$14,1))</f>
        <v>83.2</v>
      </c>
      <c r="M21" s="148" t="str" cm="1">
        <f t="array" aca="1" ref="M21" ca="1">INDEX(auto_ss_All_Series,F21)</f>
        <v>OVERALL</v>
      </c>
      <c r="N21" s="228"/>
      <c r="O21" s="229" cm="1">
        <f t="array" aca="1" ref="O21" ca="1">INDEX(auto_DataFlat_Score,$I21,1)</f>
        <v>49.6</v>
      </c>
      <c r="P21" s="230" cm="1">
        <f t="array" aca="1" ref="P21" ca="1">INDEX(auto_DataFlat_Score,$J21,1)</f>
        <v>62.4</v>
      </c>
      <c r="Q21" s="54"/>
    </row>
    <row r="22" spans="1:17" ht="18" customHeight="1" x14ac:dyDescent="0.4">
      <c r="A22" s="4"/>
      <c r="B22" s="4"/>
      <c r="C22" s="4"/>
      <c r="D22" s="4" t="s">
        <v>930</v>
      </c>
      <c r="E22" s="4">
        <v>2</v>
      </c>
      <c r="F22" s="227" cm="1">
        <f t="array" aca="1" ref="F22" ca="1">INDEX(OFFSET(auto_ss_OverallAndCategory,0,1,200,1),E22)</f>
        <v>2</v>
      </c>
      <c r="G22" s="227" cm="1">
        <f t="array" aca="1" ref="G22" ca="1">INDEX(auto_Series_Depth,F22)</f>
        <v>1</v>
      </c>
      <c r="H22" s="143" cm="1">
        <f t="array" aca="1" ref="H22" ca="1">INDEX(sys_DataFlat_LU_Grid,F22,1)-1</f>
        <v>60</v>
      </c>
      <c r="I22" s="143">
        <f t="shared" ref="I22:I23" ca="1" si="2">H22+$C$11</f>
        <v>61</v>
      </c>
      <c r="J22" s="143">
        <f t="shared" ref="J22:J23" ca="1" si="3">H22+$C$12</f>
        <v>111</v>
      </c>
      <c r="K22" s="222">
        <f t="shared" ca="1" si="0"/>
        <v>34.200000000000003</v>
      </c>
      <c r="L22" s="222">
        <f t="shared" ca="1" si="1"/>
        <v>89.9</v>
      </c>
      <c r="M22" s="151" t="str" cm="1">
        <f t="array" aca="1" ref="M22" ca="1">INDEX(auto_ss_All_Series,F22)</f>
        <v>1) SOCIAL DETERMINANTS</v>
      </c>
      <c r="N22" s="228"/>
      <c r="O22" s="231" cm="1">
        <f t="array" aca="1" ref="O22" ca="1">INDEX(auto_DataFlat_Score,$I22,1)</f>
        <v>65.900000000000006</v>
      </c>
      <c r="P22" s="232" cm="1">
        <f t="array" aca="1" ref="P22" ca="1">INDEX(auto_DataFlat_Score,$J22,1)</f>
        <v>70</v>
      </c>
      <c r="Q22" s="54"/>
    </row>
    <row r="23" spans="1:17" ht="18" customHeight="1" x14ac:dyDescent="0.4">
      <c r="A23" s="4"/>
      <c r="B23" s="4"/>
      <c r="C23" s="4"/>
      <c r="D23" s="4" t="s">
        <v>930</v>
      </c>
      <c r="E23" s="4">
        <v>3</v>
      </c>
      <c r="F23" s="227" cm="1">
        <f t="array" aca="1" ref="F23" ca="1">INDEX(OFFSET(auto_ss_OverallAndCategory,0,1,200,1),E23)</f>
        <v>14</v>
      </c>
      <c r="G23" s="227" cm="1">
        <f t="array" aca="1" ref="G23" ca="1">INDEX(auto_Series_Depth,F23)</f>
        <v>1</v>
      </c>
      <c r="H23" s="143" cm="1">
        <f t="array" aca="1" ref="H23" ca="1">INDEX(sys_DataFlat_LU_Grid,F23,1)-1</f>
        <v>780</v>
      </c>
      <c r="I23" s="143">
        <f t="shared" ca="1" si="2"/>
        <v>781</v>
      </c>
      <c r="J23" s="143">
        <f t="shared" ca="1" si="3"/>
        <v>831</v>
      </c>
      <c r="K23" s="222">
        <f t="shared" ca="1" si="0"/>
        <v>9.8000000000000007</v>
      </c>
      <c r="L23" s="222">
        <f t="shared" ca="1" si="1"/>
        <v>77.5</v>
      </c>
      <c r="M23" s="151" t="str" cm="1">
        <f t="array" aca="1" ref="M23" ca="1">INDEX(auto_ss_All_Series,F23)</f>
        <v>2) PHYSICAL ENVIRONMENT</v>
      </c>
      <c r="N23" s="228"/>
      <c r="O23" s="231" cm="1">
        <f t="array" aca="1" ref="O23" ca="1">INDEX(auto_DataFlat_Score,$I23,1)</f>
        <v>29</v>
      </c>
      <c r="P23" s="232" cm="1">
        <f t="array" aca="1" ref="P23" ca="1">INDEX(auto_DataFlat_Score,$J23,1)</f>
        <v>48.8</v>
      </c>
      <c r="Q23" s="54"/>
    </row>
    <row r="24" spans="1:17" ht="18" customHeight="1" x14ac:dyDescent="0.4">
      <c r="A24" s="4"/>
      <c r="B24" s="4"/>
      <c r="C24" s="4"/>
      <c r="D24" s="4" t="s">
        <v>930</v>
      </c>
      <c r="E24" s="4">
        <v>4</v>
      </c>
      <c r="F24" s="227" cm="1">
        <f t="array" aca="1" ref="F24" ca="1">INDEX(OFFSET(auto_ss_OverallAndCategory,0,1,200,1),E24)</f>
        <v>22</v>
      </c>
      <c r="G24" s="227" cm="1">
        <f t="array" aca="1" ref="G24" ca="1">INDEX(auto_Series_Depth,F24)</f>
        <v>1</v>
      </c>
      <c r="H24" s="143" cm="1">
        <f t="array" aca="1" ref="H24" ca="1">INDEX(sys_DataFlat_LU_Grid,F24,1)-1</f>
        <v>1260</v>
      </c>
      <c r="I24" s="143">
        <f t="shared" ref="I24:I26" ca="1" si="4">H24+$C$11</f>
        <v>1261</v>
      </c>
      <c r="J24" s="143">
        <f t="shared" ref="J24:J26" ca="1" si="5">H24+$C$12</f>
        <v>1311</v>
      </c>
      <c r="K24" s="222">
        <f t="shared" ca="1" si="0"/>
        <v>33.4</v>
      </c>
      <c r="L24" s="222">
        <f t="shared" ca="1" si="1"/>
        <v>86</v>
      </c>
      <c r="M24" s="151" t="str" cm="1">
        <f t="array" aca="1" ref="M24" ca="1">INDEX(auto_ss_All_Series,F24)</f>
        <v>3) HEALTH RISKS</v>
      </c>
      <c r="N24" s="228"/>
      <c r="O24" s="231" cm="1">
        <f t="array" aca="1" ref="O24" ca="1">INDEX(auto_DataFlat_Score,$I24,1)</f>
        <v>47.2</v>
      </c>
      <c r="P24" s="232" cm="1">
        <f t="array" aca="1" ref="P24" ca="1">INDEX(auto_DataFlat_Score,$J24,1)</f>
        <v>57.9</v>
      </c>
      <c r="Q24" s="54"/>
    </row>
    <row r="25" spans="1:17" ht="18" customHeight="1" x14ac:dyDescent="0.4">
      <c r="A25" s="4"/>
      <c r="B25" s="4"/>
      <c r="C25" s="4"/>
      <c r="D25" s="4" t="s">
        <v>930</v>
      </c>
      <c r="E25" s="4">
        <v>5</v>
      </c>
      <c r="F25" s="227" cm="1">
        <f t="array" aca="1" ref="F25" ca="1">INDEX(OFFSET(auto_ss_OverallAndCategory,0,1,200,1),E25)</f>
        <v>47</v>
      </c>
      <c r="G25" s="227" cm="1">
        <f t="array" aca="1" ref="G25" ca="1">INDEX(auto_Series_Depth,F25)</f>
        <v>1</v>
      </c>
      <c r="H25" s="143" cm="1">
        <f t="array" aca="1" ref="H25" ca="1">INDEX(sys_DataFlat_LU_Grid,F25,1)-1</f>
        <v>2760</v>
      </c>
      <c r="I25" s="143">
        <f t="shared" ca="1" si="4"/>
        <v>2761</v>
      </c>
      <c r="J25" s="143">
        <f t="shared" ca="1" si="5"/>
        <v>2811</v>
      </c>
      <c r="K25" s="222">
        <f t="shared" ca="1" si="0"/>
        <v>19.100000000000001</v>
      </c>
      <c r="L25" s="222">
        <f t="shared" ca="1" si="1"/>
        <v>91.9</v>
      </c>
      <c r="M25" s="151" t="str" cm="1">
        <f t="array" aca="1" ref="M25" ca="1">INDEX(auto_ss_All_Series,F25)</f>
        <v>4) HEALTH SERVICES</v>
      </c>
      <c r="N25" s="228"/>
      <c r="O25" s="231" cm="1">
        <f t="array" aca="1" ref="O25" ca="1">INDEX(auto_DataFlat_Score,$I25,1)</f>
        <v>19.100000000000001</v>
      </c>
      <c r="P25" s="232" cm="1">
        <f t="array" aca="1" ref="P25" ca="1">INDEX(auto_DataFlat_Score,$J25,1)</f>
        <v>64.3</v>
      </c>
      <c r="Q25" s="54"/>
    </row>
    <row r="26" spans="1:17" ht="18" customHeight="1" x14ac:dyDescent="0.4">
      <c r="A26" s="4"/>
      <c r="B26" s="4"/>
      <c r="C26" s="4"/>
      <c r="D26" s="4" t="s">
        <v>930</v>
      </c>
      <c r="E26" s="4">
        <v>6</v>
      </c>
      <c r="F26" s="227" cm="1">
        <f t="array" aca="1" ref="F26" ca="1">INDEX(OFFSET(auto_ss_OverallAndCategory,0,1,200,1),E26)</f>
        <v>52</v>
      </c>
      <c r="G26" s="227" cm="1">
        <f t="array" aca="1" ref="G26" ca="1">INDEX(auto_Series_Depth,F26)</f>
        <v>1</v>
      </c>
      <c r="H26" s="143" cm="1">
        <f t="array" aca="1" ref="H26" ca="1">INDEX(sys_DataFlat_LU_Grid,F26,1)-1</f>
        <v>3060</v>
      </c>
      <c r="I26" s="143">
        <f t="shared" ca="1" si="4"/>
        <v>3061</v>
      </c>
      <c r="J26" s="143">
        <f t="shared" ca="1" si="5"/>
        <v>3111</v>
      </c>
      <c r="K26" s="222">
        <f t="shared" ca="1" si="0"/>
        <v>37</v>
      </c>
      <c r="L26" s="222">
        <f t="shared" ca="1" si="1"/>
        <v>96.3</v>
      </c>
      <c r="M26" s="151" t="str" cm="1">
        <f t="array" aca="1" ref="M26" ca="1">INDEX(auto_ss_All_Series,F26)</f>
        <v>5) GOVERNANCE</v>
      </c>
      <c r="N26" s="228"/>
      <c r="O26" s="231" cm="1">
        <f t="array" aca="1" ref="O26" ca="1">INDEX(auto_DataFlat_Score,$I26,1)</f>
        <v>67.599999999999994</v>
      </c>
      <c r="P26" s="232" cm="1">
        <f t="array" aca="1" ref="P26" ca="1">INDEX(auto_DataFlat_Score,$J26,1)</f>
        <v>68.900000000000006</v>
      </c>
      <c r="Q26" s="54"/>
    </row>
    <row r="27" spans="1:17" ht="15" customHeight="1" x14ac:dyDescent="0.4">
      <c r="A27" s="4"/>
      <c r="B27" s="4"/>
      <c r="C27" s="4"/>
      <c r="D27" s="4"/>
      <c r="E27" s="4"/>
      <c r="F27" s="4"/>
      <c r="G27" s="4"/>
      <c r="H27" s="4"/>
      <c r="I27" s="4"/>
      <c r="J27" s="4"/>
      <c r="K27" s="121"/>
      <c r="L27" s="121"/>
      <c r="M27" s="121"/>
      <c r="N27" s="4"/>
      <c r="O27" s="121"/>
      <c r="P27" s="121"/>
      <c r="Q27" s="4"/>
    </row>
    <row r="28" spans="1:17" ht="35.25" customHeight="1" x14ac:dyDescent="0.4">
      <c r="A28" s="233" t="str">
        <f ca="1">IF(AND($C$13=1,G28=3),"H","")</f>
        <v/>
      </c>
      <c r="B28" s="4"/>
      <c r="C28" s="4"/>
      <c r="D28" s="40" t="str">
        <f ca="1">IF(G28=1,"","COPY")</f>
        <v/>
      </c>
      <c r="E28" s="143">
        <v>2</v>
      </c>
      <c r="F28" s="234" cm="1">
        <f t="array" aca="1" ref="F28" ca="1">INDEX(OFFSET(auto_ss_depth_3_or_below,0,1,200,1),E28)</f>
        <v>2</v>
      </c>
      <c r="G28" s="234" cm="1">
        <f t="array" aca="1" ref="G28" ca="1">INDEX(auto_Series_Depth,F28)</f>
        <v>1</v>
      </c>
      <c r="H28" s="143" cm="1">
        <f t="array" aca="1" ref="H28" ca="1">INDEX(sys_DataFlat_LU_Grid,F28,1)-1</f>
        <v>60</v>
      </c>
      <c r="I28" s="143">
        <f t="shared" ref="I28" ca="1" si="6">H28+$C$11</f>
        <v>61</v>
      </c>
      <c r="J28" s="143">
        <f t="shared" ref="J28" ca="1" si="7">H28+$C$12</f>
        <v>111</v>
      </c>
      <c r="K28" s="222">
        <f t="shared" ref="K28:K89" ca="1" si="8">MIN(OFFSET(auto_DataFlat_Score,$H28,0,$C$14,1))</f>
        <v>34.200000000000003</v>
      </c>
      <c r="L28" s="222">
        <f t="shared" ref="L28:L59" ca="1" si="9">MAX(OFFSET(auto_DataFlat_Score,$H28,0,$C$14,1))</f>
        <v>89.9</v>
      </c>
      <c r="M28" s="36" t="str" cm="1">
        <f t="array" aca="1" ref="M28" ca="1">INDEX(auto_ss_All_Series,F28)</f>
        <v>1) SOCIAL DETERMINANTS</v>
      </c>
      <c r="N28" s="143"/>
      <c r="O28" s="235" t="str">
        <f>$E$11</f>
        <v>ADD</v>
      </c>
      <c r="P28" s="226" t="str">
        <f>$E$12</f>
        <v>AVG</v>
      </c>
      <c r="Q28" s="143"/>
    </row>
    <row r="29" spans="1:17" ht="18" customHeight="1" x14ac:dyDescent="0.4">
      <c r="A29" s="233" t="str">
        <f t="shared" ref="A29:A89" ca="1" si="10">IF(AND($C$13=1,G29=3),"H","")</f>
        <v/>
      </c>
      <c r="B29" s="4"/>
      <c r="C29" s="4"/>
      <c r="D29" s="40" t="str">
        <f t="shared" ref="D29:D89" ca="1" si="11">IF(G29=1,"","COPY")</f>
        <v>COPY</v>
      </c>
      <c r="E29" s="143">
        <v>3</v>
      </c>
      <c r="F29" s="234" cm="1">
        <f t="array" aca="1" ref="F29" ca="1">INDEX(OFFSET(auto_ss_depth_3_or_below,0,1,200,1),E29)</f>
        <v>3</v>
      </c>
      <c r="G29" s="234" cm="1">
        <f t="array" aca="1" ref="G29" ca="1">INDEX(auto_Series_Depth,F29)</f>
        <v>2</v>
      </c>
      <c r="H29" s="143" cm="1">
        <f t="array" aca="1" ref="H29" ca="1">INDEX(sys_DataFlat_LU_Grid,F29,1)-1</f>
        <v>120</v>
      </c>
      <c r="I29" s="143">
        <f t="shared" ref="I29:I89" ca="1" si="12">H29+$C$11</f>
        <v>121</v>
      </c>
      <c r="J29" s="143">
        <f t="shared" ref="J29:J89" ca="1" si="13">H29+$C$12</f>
        <v>171</v>
      </c>
      <c r="K29" s="222">
        <f t="shared" ca="1" si="8"/>
        <v>31.2</v>
      </c>
      <c r="L29" s="222">
        <f t="shared" ca="1" si="9"/>
        <v>87</v>
      </c>
      <c r="M29" s="151" t="str" cm="1">
        <f t="array" aca="1" ref="M29" ca="1">INDEX(auto_ss_All_Series,F29)</f>
        <v>1.1) Poverty and inequality</v>
      </c>
      <c r="N29" s="228"/>
      <c r="O29" s="231" cm="1">
        <f t="array" aca="1" ref="O29" ca="1">IF($G29=1,"",INDEX(auto_DataFlat_Score,$I29,1))</f>
        <v>82.5</v>
      </c>
      <c r="P29" s="232" cm="1">
        <f t="array" aca="1" ref="P29" ca="1">IF($G29=1,"",INDEX(auto_DataFlat_Score,$J29,1))</f>
        <v>67.2</v>
      </c>
      <c r="Q29" s="54"/>
    </row>
    <row r="30" spans="1:17" ht="18" customHeight="1" x14ac:dyDescent="0.4">
      <c r="A30" s="233" t="str">
        <f t="shared" ca="1" si="10"/>
        <v>H</v>
      </c>
      <c r="B30" s="4"/>
      <c r="C30" s="4"/>
      <c r="D30" s="40" t="str">
        <f t="shared" ca="1" si="11"/>
        <v>COPY</v>
      </c>
      <c r="E30" s="143">
        <v>4</v>
      </c>
      <c r="F30" s="234" cm="1">
        <f t="array" aca="1" ref="F30" ca="1">INDEX(OFFSET(auto_ss_depth_3_or_below,0,1,200,1),E30)</f>
        <v>4</v>
      </c>
      <c r="G30" s="234" cm="1">
        <f t="array" aca="1" ref="G30" ca="1">INDEX(auto_Series_Depth,F30)</f>
        <v>3</v>
      </c>
      <c r="H30" s="143" cm="1">
        <f t="array" aca="1" ref="H30" ca="1">INDEX(sys_DataFlat_LU_Grid,F30,1)-1</f>
        <v>180</v>
      </c>
      <c r="I30" s="143">
        <f t="shared" ca="1" si="12"/>
        <v>181</v>
      </c>
      <c r="J30" s="143">
        <f t="shared" ca="1" si="13"/>
        <v>231</v>
      </c>
      <c r="K30" s="222">
        <f t="shared" ca="1" si="8"/>
        <v>37</v>
      </c>
      <c r="L30" s="222">
        <f t="shared" ca="1" si="9"/>
        <v>74</v>
      </c>
      <c r="M30" s="151" t="str" cm="1">
        <f t="array" aca="1" ref="M30" ca="1">INDEX(auto_ss_All_Series,F30)</f>
        <v>1.1a) Gini Index: national data</v>
      </c>
      <c r="N30" s="228"/>
      <c r="O30" s="231" cm="1">
        <f t="array" aca="1" ref="O30" ca="1">IF($G30=1,"",INDEX(auto_DataFlat_Score,$I30,1))</f>
        <v>65</v>
      </c>
      <c r="P30" s="232" cm="1">
        <f t="array" aca="1" ref="P30" ca="1">IF($G30=1,"",INDEX(auto_DataFlat_Score,$J30,1))</f>
        <v>64.400000000000006</v>
      </c>
      <c r="Q30" s="54"/>
    </row>
    <row r="31" spans="1:17" ht="18" customHeight="1" x14ac:dyDescent="0.4">
      <c r="A31" s="233" t="str">
        <f t="shared" ca="1" si="10"/>
        <v>H</v>
      </c>
      <c r="B31" s="4"/>
      <c r="C31" s="4"/>
      <c r="D31" s="40" t="str">
        <f t="shared" ca="1" si="11"/>
        <v>COPY</v>
      </c>
      <c r="E31" s="143">
        <v>5</v>
      </c>
      <c r="F31" s="234" cm="1">
        <f t="array" aca="1" ref="F31" ca="1">INDEX(OFFSET(auto_ss_depth_3_or_below,0,1,200,1),E31)</f>
        <v>5</v>
      </c>
      <c r="G31" s="234" cm="1">
        <f t="array" aca="1" ref="G31" ca="1">INDEX(auto_Series_Depth,F31)</f>
        <v>3</v>
      </c>
      <c r="H31" s="143" cm="1">
        <f t="array" aca="1" ref="H31" ca="1">INDEX(sys_DataFlat_LU_Grid,F31,1)-1</f>
        <v>240</v>
      </c>
      <c r="I31" s="143">
        <f t="shared" ca="1" si="12"/>
        <v>241</v>
      </c>
      <c r="J31" s="143">
        <f t="shared" ca="1" si="13"/>
        <v>291</v>
      </c>
      <c r="K31" s="222">
        <f t="shared" ca="1" si="8"/>
        <v>0</v>
      </c>
      <c r="L31" s="222">
        <f t="shared" ca="1" si="9"/>
        <v>100</v>
      </c>
      <c r="M31" s="151" t="str" cm="1">
        <f t="array" aca="1" ref="M31" ca="1">INDEX(auto_ss_All_Series,F31)</f>
        <v>1.1b) Poverty: city-level data availability</v>
      </c>
      <c r="N31" s="228"/>
      <c r="O31" s="231" cm="1">
        <f t="array" aca="1" ref="O31" ca="1">IF($G31=1,"",INDEX(auto_DataFlat_Score,$I31,1))</f>
        <v>100</v>
      </c>
      <c r="P31" s="232" cm="1">
        <f t="array" aca="1" ref="P31" ca="1">IF($G31=1,"",INDEX(auto_DataFlat_Score,$J31,1))</f>
        <v>70</v>
      </c>
      <c r="Q31" s="54"/>
    </row>
    <row r="32" spans="1:17" ht="18" customHeight="1" x14ac:dyDescent="0.4">
      <c r="A32" s="233" t="str">
        <f t="shared" ca="1" si="10"/>
        <v/>
      </c>
      <c r="B32" s="4"/>
      <c r="C32" s="4"/>
      <c r="D32" s="40" t="str">
        <f t="shared" ca="1" si="11"/>
        <v>COPY</v>
      </c>
      <c r="E32" s="143">
        <v>6</v>
      </c>
      <c r="F32" s="234" cm="1">
        <f t="array" aca="1" ref="F32" ca="1">INDEX(OFFSET(auto_ss_depth_3_or_below,0,1,200,1),E32)</f>
        <v>6</v>
      </c>
      <c r="G32" s="234" cm="1">
        <f t="array" aca="1" ref="G32" ca="1">INDEX(auto_Series_Depth,F32)</f>
        <v>2</v>
      </c>
      <c r="H32" s="143" cm="1">
        <f t="array" aca="1" ref="H32" ca="1">INDEX(sys_DataFlat_LU_Grid,F32,1)-1</f>
        <v>300</v>
      </c>
      <c r="I32" s="143">
        <f t="shared" ca="1" si="12"/>
        <v>301</v>
      </c>
      <c r="J32" s="143">
        <f t="shared" ca="1" si="13"/>
        <v>351</v>
      </c>
      <c r="K32" s="222">
        <f t="shared" ca="1" si="8"/>
        <v>2.2999999999999998</v>
      </c>
      <c r="L32" s="222">
        <f t="shared" ca="1" si="9"/>
        <v>95.7</v>
      </c>
      <c r="M32" s="151" t="str" cm="1">
        <f t="array" aca="1" ref="M32" ca="1">INDEX(auto_ss_All_Series,F32)</f>
        <v>1.2) Education</v>
      </c>
      <c r="N32" s="228"/>
      <c r="O32" s="231" cm="1">
        <f t="array" aca="1" ref="O32" ca="1">IF($G32=1,"",INDEX(auto_DataFlat_Score,$I32,1))</f>
        <v>2.2999999999999998</v>
      </c>
      <c r="P32" s="232" cm="1">
        <f t="array" aca="1" ref="P32" ca="1">IF($G32=1,"",INDEX(auto_DataFlat_Score,$J32,1))</f>
        <v>59.4</v>
      </c>
      <c r="Q32" s="54"/>
    </row>
    <row r="33" spans="1:17" ht="18" customHeight="1" x14ac:dyDescent="0.4">
      <c r="A33" s="233" t="str">
        <f t="shared" ca="1" si="10"/>
        <v>H</v>
      </c>
      <c r="B33" s="4"/>
      <c r="C33" s="4"/>
      <c r="D33" s="40" t="str">
        <f t="shared" ca="1" si="11"/>
        <v>COPY</v>
      </c>
      <c r="E33" s="143">
        <v>7</v>
      </c>
      <c r="F33" s="234" cm="1">
        <f t="array" aca="1" ref="F33" ca="1">INDEX(OFFSET(auto_ss_depth_3_or_below,0,1,200,1),E33)</f>
        <v>7</v>
      </c>
      <c r="G33" s="234" cm="1">
        <f t="array" aca="1" ref="G33" ca="1">INDEX(auto_Series_Depth,F33)</f>
        <v>3</v>
      </c>
      <c r="H33" s="143" cm="1">
        <f t="array" aca="1" ref="H33" ca="1">INDEX(sys_DataFlat_LU_Grid,F33,1)-1</f>
        <v>360</v>
      </c>
      <c r="I33" s="143">
        <f t="shared" ca="1" si="12"/>
        <v>361</v>
      </c>
      <c r="J33" s="143">
        <f t="shared" ca="1" si="13"/>
        <v>411</v>
      </c>
      <c r="K33" s="222">
        <f t="shared" ca="1" si="8"/>
        <v>4.5</v>
      </c>
      <c r="L33" s="222">
        <f t="shared" ca="1" si="9"/>
        <v>92.2</v>
      </c>
      <c r="M33" s="151" t="str" cm="1">
        <f t="array" aca="1" ref="M33" ca="1">INDEX(auto_ss_All_Series,F33)</f>
        <v>1.2a) Level of education: national data</v>
      </c>
      <c r="N33" s="228"/>
      <c r="O33" s="231" cm="1">
        <f t="array" aca="1" ref="O33" ca="1">IF($G33=1,"",INDEX(auto_DataFlat_Score,$I33,1))</f>
        <v>4.5</v>
      </c>
      <c r="P33" s="232" cm="1">
        <f t="array" aca="1" ref="P33" ca="1">IF($G33=1,"",INDEX(auto_DataFlat_Score,$J33,1))</f>
        <v>54.8</v>
      </c>
      <c r="Q33" s="54"/>
    </row>
    <row r="34" spans="1:17" ht="18" customHeight="1" x14ac:dyDescent="0.4">
      <c r="A34" s="233" t="str">
        <f t="shared" ca="1" si="10"/>
        <v>H</v>
      </c>
      <c r="B34" s="4"/>
      <c r="C34" s="4"/>
      <c r="D34" s="40" t="str">
        <f t="shared" ca="1" si="11"/>
        <v>COPY</v>
      </c>
      <c r="E34" s="143">
        <v>8</v>
      </c>
      <c r="F34" s="234" cm="1">
        <f t="array" aca="1" ref="F34" ca="1">INDEX(OFFSET(auto_ss_depth_3_or_below,0,1,200,1),E34)</f>
        <v>8</v>
      </c>
      <c r="G34" s="234" cm="1">
        <f t="array" aca="1" ref="G34" ca="1">INDEX(auto_Series_Depth,F34)</f>
        <v>3</v>
      </c>
      <c r="H34" s="143" cm="1">
        <f t="array" aca="1" ref="H34" ca="1">INDEX(sys_DataFlat_LU_Grid,F34,1)-1</f>
        <v>420</v>
      </c>
      <c r="I34" s="143">
        <f t="shared" ca="1" si="12"/>
        <v>421</v>
      </c>
      <c r="J34" s="143">
        <f t="shared" ca="1" si="13"/>
        <v>471</v>
      </c>
      <c r="K34" s="222">
        <f t="shared" ca="1" si="8"/>
        <v>0</v>
      </c>
      <c r="L34" s="222">
        <f t="shared" ca="1" si="9"/>
        <v>100</v>
      </c>
      <c r="M34" s="151" t="str" cm="1">
        <f t="array" aca="1" ref="M34" ca="1">INDEX(auto_ss_All_Series,F34)</f>
        <v>1.2b) Level of education: city-level data availability</v>
      </c>
      <c r="N34" s="228"/>
      <c r="O34" s="231" cm="1">
        <f t="array" aca="1" ref="O34" ca="1">IF($G34=1,"",INDEX(auto_DataFlat_Score,$I34,1))</f>
        <v>0</v>
      </c>
      <c r="P34" s="232" cm="1">
        <f t="array" aca="1" ref="P34" ca="1">IF($G34=1,"",INDEX(auto_DataFlat_Score,$J34,1))</f>
        <v>64</v>
      </c>
      <c r="Q34" s="54"/>
    </row>
    <row r="35" spans="1:17" ht="18" customHeight="1" x14ac:dyDescent="0.4">
      <c r="A35" s="233" t="str">
        <f t="shared" ca="1" si="10"/>
        <v/>
      </c>
      <c r="B35" s="4"/>
      <c r="C35" s="4"/>
      <c r="D35" s="40" t="str">
        <f t="shared" ca="1" si="11"/>
        <v>COPY</v>
      </c>
      <c r="E35" s="143">
        <v>9</v>
      </c>
      <c r="F35" s="234" cm="1">
        <f t="array" aca="1" ref="F35" ca="1">INDEX(OFFSET(auto_ss_depth_3_or_below,0,1,200,1),E35)</f>
        <v>9</v>
      </c>
      <c r="G35" s="234" cm="1">
        <f t="array" aca="1" ref="G35" ca="1">INDEX(auto_Series_Depth,F35)</f>
        <v>2</v>
      </c>
      <c r="H35" s="143" cm="1">
        <f t="array" aca="1" ref="H35" ca="1">INDEX(sys_DataFlat_LU_Grid,F35,1)-1</f>
        <v>480</v>
      </c>
      <c r="I35" s="143">
        <f t="shared" ca="1" si="12"/>
        <v>481</v>
      </c>
      <c r="J35" s="143">
        <f t="shared" ca="1" si="13"/>
        <v>531</v>
      </c>
      <c r="K35" s="222">
        <f t="shared" ca="1" si="8"/>
        <v>44.4</v>
      </c>
      <c r="L35" s="222">
        <f t="shared" ca="1" si="9"/>
        <v>99.8</v>
      </c>
      <c r="M35" s="151" t="str" cm="1">
        <f t="array" aca="1" ref="M35" ca="1">INDEX(auto_ss_All_Series,F35)</f>
        <v>1.3) Employment</v>
      </c>
      <c r="N35" s="228"/>
      <c r="O35" s="231" cm="1">
        <f t="array" aca="1" ref="O35" ca="1">IF($G35=1,"",INDEX(auto_DataFlat_Score,$I35,1))</f>
        <v>98</v>
      </c>
      <c r="P35" s="232" cm="1">
        <f t="array" aca="1" ref="P35" ca="1">IF($G35=1,"",INDEX(auto_DataFlat_Score,$J35,1))</f>
        <v>85.2</v>
      </c>
      <c r="Q35" s="54"/>
    </row>
    <row r="36" spans="1:17" ht="18" customHeight="1" x14ac:dyDescent="0.4">
      <c r="A36" s="233" t="str">
        <f t="shared" ca="1" si="10"/>
        <v>H</v>
      </c>
      <c r="B36" s="4"/>
      <c r="C36" s="4"/>
      <c r="D36" s="40" t="str">
        <f t="shared" ca="1" si="11"/>
        <v>COPY</v>
      </c>
      <c r="E36" s="143">
        <v>10</v>
      </c>
      <c r="F36" s="234" cm="1">
        <f t="array" aca="1" ref="F36" ca="1">INDEX(OFFSET(auto_ss_depth_3_or_below,0,1,200,1),E36)</f>
        <v>10</v>
      </c>
      <c r="G36" s="234" cm="1">
        <f t="array" aca="1" ref="G36" ca="1">INDEX(auto_Series_Depth,F36)</f>
        <v>3</v>
      </c>
      <c r="H36" s="143" cm="1">
        <f t="array" aca="1" ref="H36" ca="1">INDEX(sys_DataFlat_LU_Grid,F36,1)-1</f>
        <v>540</v>
      </c>
      <c r="I36" s="143">
        <f t="shared" ca="1" si="12"/>
        <v>541</v>
      </c>
      <c r="J36" s="143">
        <f t="shared" ca="1" si="13"/>
        <v>591</v>
      </c>
      <c r="K36" s="222">
        <f t="shared" ca="1" si="8"/>
        <v>70.2</v>
      </c>
      <c r="L36" s="222">
        <f t="shared" ca="1" si="9"/>
        <v>99.6</v>
      </c>
      <c r="M36" s="151" t="str" cm="1">
        <f t="array" aca="1" ref="M36" ca="1">INDEX(auto_ss_All_Series,F36)</f>
        <v>1.3a) Total unemployment: national data</v>
      </c>
      <c r="N36" s="228"/>
      <c r="O36" s="231" cm="1">
        <f t="array" aca="1" ref="O36" ca="1">IF($G36=1,"",INDEX(auto_DataFlat_Score,$I36,1))</f>
        <v>96</v>
      </c>
      <c r="P36" s="232" cm="1">
        <f t="array" aca="1" ref="P36" ca="1">IF($G36=1,"",INDEX(auto_DataFlat_Score,$J36,1))</f>
        <v>94.4</v>
      </c>
      <c r="Q36" s="54"/>
    </row>
    <row r="37" spans="1:17" ht="18" customHeight="1" x14ac:dyDescent="0.4">
      <c r="A37" s="233" t="str">
        <f t="shared" ca="1" si="10"/>
        <v>H</v>
      </c>
      <c r="B37" s="4"/>
      <c r="C37" s="4"/>
      <c r="D37" s="40" t="str">
        <f t="shared" ca="1" si="11"/>
        <v>COPY</v>
      </c>
      <c r="E37" s="143">
        <v>11</v>
      </c>
      <c r="F37" s="234" cm="1">
        <f t="array" aca="1" ref="F37" ca="1">INDEX(OFFSET(auto_ss_depth_3_or_below,0,1,200,1),E37)</f>
        <v>11</v>
      </c>
      <c r="G37" s="234" cm="1">
        <f t="array" aca="1" ref="G37" ca="1">INDEX(auto_Series_Depth,F37)</f>
        <v>3</v>
      </c>
      <c r="H37" s="143" cm="1">
        <f t="array" aca="1" ref="H37" ca="1">INDEX(sys_DataFlat_LU_Grid,F37,1)-1</f>
        <v>600</v>
      </c>
      <c r="I37" s="143">
        <f t="shared" ca="1" si="12"/>
        <v>601</v>
      </c>
      <c r="J37" s="143">
        <f t="shared" ca="1" si="13"/>
        <v>651</v>
      </c>
      <c r="K37" s="222">
        <f t="shared" ca="1" si="8"/>
        <v>0</v>
      </c>
      <c r="L37" s="222">
        <f t="shared" ca="1" si="9"/>
        <v>100</v>
      </c>
      <c r="M37" s="151" t="str" cm="1">
        <f t="array" aca="1" ref="M37" ca="1">INDEX(auto_ss_All_Series,F37)</f>
        <v>1.3b) Total unemployment: city-level data availability</v>
      </c>
      <c r="N37" s="228"/>
      <c r="O37" s="231" cm="1">
        <f t="array" aca="1" ref="O37" ca="1">IF($G37=1,"",INDEX(auto_DataFlat_Score,$I37,1))</f>
        <v>100</v>
      </c>
      <c r="P37" s="232" cm="1">
        <f t="array" aca="1" ref="P37" ca="1">IF($G37=1,"",INDEX(auto_DataFlat_Score,$J37,1))</f>
        <v>76</v>
      </c>
      <c r="Q37" s="54"/>
    </row>
    <row r="38" spans="1:17" ht="18" customHeight="1" x14ac:dyDescent="0.4">
      <c r="A38" s="233" t="str">
        <f t="shared" ca="1" si="10"/>
        <v/>
      </c>
      <c r="B38" s="4"/>
      <c r="C38" s="4"/>
      <c r="D38" s="40" t="str">
        <f t="shared" ca="1" si="11"/>
        <v>COPY</v>
      </c>
      <c r="E38" s="143">
        <v>12</v>
      </c>
      <c r="F38" s="234" cm="1">
        <f t="array" aca="1" ref="F38" ca="1">INDEX(OFFSET(auto_ss_depth_3_or_below,0,1,200,1),E38)</f>
        <v>12</v>
      </c>
      <c r="G38" s="234" cm="1">
        <f t="array" aca="1" ref="G38" ca="1">INDEX(auto_Series_Depth,F38)</f>
        <v>2</v>
      </c>
      <c r="H38" s="143" cm="1">
        <f t="array" aca="1" ref="H38" ca="1">INDEX(sys_DataFlat_LU_Grid,F38,1)-1</f>
        <v>660</v>
      </c>
      <c r="I38" s="143">
        <f t="shared" ca="1" si="12"/>
        <v>661</v>
      </c>
      <c r="J38" s="143">
        <f t="shared" ca="1" si="13"/>
        <v>711</v>
      </c>
      <c r="K38" s="222">
        <f t="shared" ca="1" si="8"/>
        <v>44.1</v>
      </c>
      <c r="L38" s="222">
        <f t="shared" ca="1" si="9"/>
        <v>84.1</v>
      </c>
      <c r="M38" s="151" t="str" cm="1">
        <f t="array" aca="1" ref="M38" ca="1">INDEX(auto_ss_All_Series,F38)</f>
        <v>1.4) Access to healthcare</v>
      </c>
      <c r="N38" s="228"/>
      <c r="O38" s="231" cm="1">
        <f t="array" aca="1" ref="O38" ca="1">IF($G38=1,"",INDEX(auto_DataFlat_Score,$I38,1))</f>
        <v>52.5</v>
      </c>
      <c r="P38" s="232" cm="1">
        <f t="array" aca="1" ref="P38" ca="1">IF($G38=1,"",INDEX(auto_DataFlat_Score,$J38,1))</f>
        <v>63.3</v>
      </c>
      <c r="Q38" s="54"/>
    </row>
    <row r="39" spans="1:17" ht="18" customHeight="1" x14ac:dyDescent="0.4">
      <c r="A39" s="233" t="str">
        <f t="shared" ca="1" si="10"/>
        <v/>
      </c>
      <c r="B39" s="4"/>
      <c r="C39" s="4"/>
      <c r="D39" s="40" t="str">
        <f t="shared" ca="1" si="11"/>
        <v>COPY</v>
      </c>
      <c r="E39" s="143">
        <v>13</v>
      </c>
      <c r="F39" s="234" cm="1">
        <f t="array" aca="1" ref="F39" ca="1">INDEX(OFFSET(auto_ss_depth_3_or_below,0,1,200,1),E39)</f>
        <v>13</v>
      </c>
      <c r="G39" s="234" cm="1">
        <f t="array" aca="1" ref="G39" ca="1">INDEX(auto_Series_Depth,F39)</f>
        <v>2</v>
      </c>
      <c r="H39" s="143" cm="1">
        <f t="array" aca="1" ref="H39" ca="1">INDEX(sys_DataFlat_LU_Grid,F39,1)-1</f>
        <v>720</v>
      </c>
      <c r="I39" s="143">
        <f t="shared" ca="1" si="12"/>
        <v>721</v>
      </c>
      <c r="J39" s="143">
        <f t="shared" ca="1" si="13"/>
        <v>771</v>
      </c>
      <c r="K39" s="222">
        <f t="shared" ca="1" si="8"/>
        <v>0</v>
      </c>
      <c r="L39" s="222">
        <f t="shared" ca="1" si="9"/>
        <v>100</v>
      </c>
      <c r="M39" s="151" t="str" cm="1">
        <f t="array" aca="1" ref="M39" ca="1">INDEX(auto_ss_All_Series,F39)</f>
        <v>1.5) Household health expenditure</v>
      </c>
      <c r="N39" s="228"/>
      <c r="O39" s="231" cm="1">
        <f t="array" aca="1" ref="O39" ca="1">IF($G39=1,"",INDEX(auto_DataFlat_Score,$I39,1))</f>
        <v>94.4</v>
      </c>
      <c r="P39" s="232" cm="1">
        <f t="array" aca="1" ref="P39" ca="1">IF($G39=1,"",INDEX(auto_DataFlat_Score,$J39,1))</f>
        <v>74.599999999999994</v>
      </c>
      <c r="Q39" s="54"/>
    </row>
    <row r="40" spans="1:17" ht="35.25" customHeight="1" x14ac:dyDescent="0.4">
      <c r="A40" s="233" t="str">
        <f t="shared" ca="1" si="10"/>
        <v/>
      </c>
      <c r="B40" s="4"/>
      <c r="C40" s="4"/>
      <c r="D40" s="40" t="str">
        <f t="shared" ca="1" si="11"/>
        <v/>
      </c>
      <c r="E40" s="143">
        <v>14</v>
      </c>
      <c r="F40" s="234" cm="1">
        <f t="array" aca="1" ref="F40" ca="1">INDEX(OFFSET(auto_ss_depth_3_or_below,0,1,200,1),E40)</f>
        <v>14</v>
      </c>
      <c r="G40" s="234" cm="1">
        <f t="array" aca="1" ref="G40" ca="1">INDEX(auto_Series_Depth,F40)</f>
        <v>1</v>
      </c>
      <c r="H40" s="143" cm="1">
        <f t="array" aca="1" ref="H40" ca="1">INDEX(sys_DataFlat_LU_Grid,F40,1)-1</f>
        <v>780</v>
      </c>
      <c r="I40" s="143">
        <f t="shared" ca="1" si="12"/>
        <v>781</v>
      </c>
      <c r="J40" s="143">
        <f t="shared" ca="1" si="13"/>
        <v>831</v>
      </c>
      <c r="K40" s="222">
        <f t="shared" ca="1" si="8"/>
        <v>9.8000000000000007</v>
      </c>
      <c r="L40" s="222">
        <f t="shared" ca="1" si="9"/>
        <v>77.5</v>
      </c>
      <c r="M40" s="36" t="str" cm="1">
        <f t="array" aca="1" ref="M40" ca="1">INDEX(auto_ss_All_Series,F40)</f>
        <v>2) PHYSICAL ENVIRONMENT</v>
      </c>
      <c r="N40" s="143"/>
      <c r="O40" s="235" t="str">
        <f>$E$11</f>
        <v>ADD</v>
      </c>
      <c r="P40" s="226" t="str">
        <f>$E$12</f>
        <v>AVG</v>
      </c>
      <c r="Q40" s="143"/>
    </row>
    <row r="41" spans="1:17" ht="18" customHeight="1" x14ac:dyDescent="0.4">
      <c r="A41" s="233" t="str">
        <f t="shared" ca="1" si="10"/>
        <v/>
      </c>
      <c r="B41" s="4"/>
      <c r="C41" s="4"/>
      <c r="D41" s="40" t="str">
        <f t="shared" ca="1" si="11"/>
        <v>COPY</v>
      </c>
      <c r="E41" s="143">
        <v>15</v>
      </c>
      <c r="F41" s="234" cm="1">
        <f t="array" aca="1" ref="F41" ca="1">INDEX(OFFSET(auto_ss_depth_3_or_below,0,1,200,1),E41)</f>
        <v>15</v>
      </c>
      <c r="G41" s="234" cm="1">
        <f t="array" aca="1" ref="G41" ca="1">INDEX(auto_Series_Depth,F41)</f>
        <v>2</v>
      </c>
      <c r="H41" s="143" cm="1">
        <f t="array" aca="1" ref="H41" ca="1">INDEX(sys_DataFlat_LU_Grid,F41,1)-1</f>
        <v>840</v>
      </c>
      <c r="I41" s="143">
        <f t="shared" ca="1" si="12"/>
        <v>841</v>
      </c>
      <c r="J41" s="143">
        <f t="shared" ca="1" si="13"/>
        <v>891</v>
      </c>
      <c r="K41" s="222">
        <f t="shared" ca="1" si="8"/>
        <v>0</v>
      </c>
      <c r="L41" s="222">
        <f t="shared" ca="1" si="9"/>
        <v>0</v>
      </c>
      <c r="M41" s="151" t="str" cm="1">
        <f t="array" aca="1" ref="M41" ca="1">INDEX(auto_ss_All_Series,F41)</f>
        <v>2.1) Air quality</v>
      </c>
      <c r="N41" s="228"/>
      <c r="O41" s="231" cm="1">
        <f t="array" aca="1" ref="O41" ca="1">IF($G41=1,"",INDEX(auto_DataFlat_Score,$I41,1))</f>
        <v>0</v>
      </c>
      <c r="P41" s="232" cm="1">
        <f t="array" aca="1" ref="P41" ca="1">IF($G41=1,"",INDEX(auto_DataFlat_Score,$J41,1))</f>
        <v>0</v>
      </c>
      <c r="Q41" s="54"/>
    </row>
    <row r="42" spans="1:17" ht="18" customHeight="1" x14ac:dyDescent="0.4">
      <c r="A42" s="233" t="str">
        <f t="shared" ca="1" si="10"/>
        <v/>
      </c>
      <c r="B42" s="4"/>
      <c r="C42" s="4"/>
      <c r="D42" s="40" t="str">
        <f t="shared" ca="1" si="11"/>
        <v>COPY</v>
      </c>
      <c r="E42" s="143">
        <v>16</v>
      </c>
      <c r="F42" s="234" cm="1">
        <f t="array" aca="1" ref="F42" ca="1">INDEX(OFFSET(auto_ss_depth_3_or_below,0,1,200,1),E42)</f>
        <v>16</v>
      </c>
      <c r="G42" s="234" cm="1">
        <f t="array" aca="1" ref="G42" ca="1">INDEX(auto_Series_Depth,F42)</f>
        <v>2</v>
      </c>
      <c r="H42" s="143" cm="1">
        <f t="array" aca="1" ref="H42" ca="1">INDEX(sys_DataFlat_LU_Grid,F42,1)-1</f>
        <v>900</v>
      </c>
      <c r="I42" s="143">
        <f t="shared" ca="1" si="12"/>
        <v>901</v>
      </c>
      <c r="J42" s="143">
        <f t="shared" ca="1" si="13"/>
        <v>951</v>
      </c>
      <c r="K42" s="222">
        <f t="shared" ca="1" si="8"/>
        <v>0</v>
      </c>
      <c r="L42" s="222">
        <f t="shared" ca="1" si="9"/>
        <v>100</v>
      </c>
      <c r="M42" s="151" t="str" cm="1">
        <f t="array" aca="1" ref="M42" ca="1">INDEX(auto_ss_All_Series,F42)</f>
        <v>2.2) Open spaces and green areas</v>
      </c>
      <c r="N42" s="228"/>
      <c r="O42" s="231" cm="1">
        <f t="array" aca="1" ref="O42" ca="1">IF($G42=1,"",INDEX(auto_DataFlat_Score,$I42,1))</f>
        <v>42.5</v>
      </c>
      <c r="P42" s="232" cm="1">
        <f t="array" aca="1" ref="P42" ca="1">IF($G42=1,"",INDEX(auto_DataFlat_Score,$J42,1))</f>
        <v>47.8</v>
      </c>
      <c r="Q42" s="54"/>
    </row>
    <row r="43" spans="1:17" ht="18" customHeight="1" x14ac:dyDescent="0.4">
      <c r="A43" s="233" t="str">
        <f t="shared" ca="1" si="10"/>
        <v/>
      </c>
      <c r="B43" s="4"/>
      <c r="C43" s="4"/>
      <c r="D43" s="40" t="str">
        <f t="shared" ca="1" si="11"/>
        <v>COPY</v>
      </c>
      <c r="E43" s="143">
        <v>17</v>
      </c>
      <c r="F43" s="234" cm="1">
        <f t="array" aca="1" ref="F43" ca="1">INDEX(OFFSET(auto_ss_depth_3_or_below,0,1,200,1),E43)</f>
        <v>17</v>
      </c>
      <c r="G43" s="234" cm="1">
        <f t="array" aca="1" ref="G43" ca="1">INDEX(auto_Series_Depth,F43)</f>
        <v>2</v>
      </c>
      <c r="H43" s="143" cm="1">
        <f t="array" aca="1" ref="H43" ca="1">INDEX(sys_DataFlat_LU_Grid,F43,1)-1</f>
        <v>960</v>
      </c>
      <c r="I43" s="143">
        <f t="shared" ca="1" si="12"/>
        <v>961</v>
      </c>
      <c r="J43" s="143">
        <f t="shared" ca="1" si="13"/>
        <v>1011</v>
      </c>
      <c r="K43" s="222">
        <f t="shared" ca="1" si="8"/>
        <v>0</v>
      </c>
      <c r="L43" s="222">
        <f t="shared" ca="1" si="9"/>
        <v>100</v>
      </c>
      <c r="M43" s="151" t="str" cm="1">
        <f t="array" aca="1" ref="M43" ca="1">INDEX(auto_ss_All_Series,F43)</f>
        <v>2.3) Active transport</v>
      </c>
      <c r="N43" s="228"/>
      <c r="O43" s="231" cm="1">
        <f t="array" aca="1" ref="O43" ca="1">IF($G43=1,"",INDEX(auto_DataFlat_Score,$I43,1))</f>
        <v>0</v>
      </c>
      <c r="P43" s="232" cm="1">
        <f t="array" aca="1" ref="P43" ca="1">IF($G43=1,"",INDEX(auto_DataFlat_Score,$J43,1))</f>
        <v>70</v>
      </c>
      <c r="Q43" s="54"/>
    </row>
    <row r="44" spans="1:17" ht="18" customHeight="1" x14ac:dyDescent="0.4">
      <c r="A44" s="233" t="str">
        <f t="shared" ca="1" si="10"/>
        <v/>
      </c>
      <c r="B44" s="4"/>
      <c r="C44" s="4"/>
      <c r="D44" s="40" t="str">
        <f t="shared" ca="1" si="11"/>
        <v>COPY</v>
      </c>
      <c r="E44" s="143">
        <v>18</v>
      </c>
      <c r="F44" s="234" cm="1">
        <f t="array" aca="1" ref="F44" ca="1">INDEX(OFFSET(auto_ss_depth_3_or_below,0,1,200,1),E44)</f>
        <v>18</v>
      </c>
      <c r="G44" s="234" cm="1">
        <f t="array" aca="1" ref="G44" ca="1">INDEX(auto_Series_Depth,F44)</f>
        <v>2</v>
      </c>
      <c r="H44" s="143" cm="1">
        <f t="array" aca="1" ref="H44" ca="1">INDEX(sys_DataFlat_LU_Grid,F44,1)-1</f>
        <v>1020</v>
      </c>
      <c r="I44" s="143">
        <f t="shared" ca="1" si="12"/>
        <v>1021</v>
      </c>
      <c r="J44" s="143">
        <f t="shared" ca="1" si="13"/>
        <v>1071</v>
      </c>
      <c r="K44" s="222">
        <f t="shared" ca="1" si="8"/>
        <v>13.9</v>
      </c>
      <c r="L44" s="222">
        <f t="shared" ca="1" si="9"/>
        <v>98</v>
      </c>
      <c r="M44" s="151" t="str" cm="1">
        <f t="array" aca="1" ref="M44" ca="1">INDEX(auto_ss_All_Series,F44)</f>
        <v>2.4) Food security</v>
      </c>
      <c r="N44" s="228"/>
      <c r="O44" s="231" cm="1">
        <f t="array" aca="1" ref="O44" ca="1">IF($G44=1,"",INDEX(auto_DataFlat_Score,$I44,1))</f>
        <v>71</v>
      </c>
      <c r="P44" s="232" cm="1">
        <f t="array" aca="1" ref="P44" ca="1">IF($G44=1,"",INDEX(auto_DataFlat_Score,$J44,1))</f>
        <v>61.6</v>
      </c>
      <c r="Q44" s="54"/>
    </row>
    <row r="45" spans="1:17" ht="18" customHeight="1" x14ac:dyDescent="0.4">
      <c r="A45" s="233" t="str">
        <f t="shared" ca="1" si="10"/>
        <v>H</v>
      </c>
      <c r="B45" s="4"/>
      <c r="C45" s="4"/>
      <c r="D45" s="40" t="str">
        <f t="shared" ca="1" si="11"/>
        <v>COPY</v>
      </c>
      <c r="E45" s="143">
        <v>19</v>
      </c>
      <c r="F45" s="234" cm="1">
        <f t="array" aca="1" ref="F45" ca="1">INDEX(OFFSET(auto_ss_depth_3_or_below,0,1,200,1),E45)</f>
        <v>19</v>
      </c>
      <c r="G45" s="234" cm="1">
        <f t="array" aca="1" ref="G45" ca="1">INDEX(auto_Series_Depth,F45)</f>
        <v>3</v>
      </c>
      <c r="H45" s="143" cm="1">
        <f t="array" aca="1" ref="H45" ca="1">INDEX(sys_DataFlat_LU_Grid,F45,1)-1</f>
        <v>1080</v>
      </c>
      <c r="I45" s="143">
        <f t="shared" ca="1" si="12"/>
        <v>1081</v>
      </c>
      <c r="J45" s="143">
        <f t="shared" ca="1" si="13"/>
        <v>1131</v>
      </c>
      <c r="K45" s="222">
        <f t="shared" ca="1" si="8"/>
        <v>27.7</v>
      </c>
      <c r="L45" s="222">
        <f t="shared" ca="1" si="9"/>
        <v>96.2</v>
      </c>
      <c r="M45" s="151" t="str" cm="1">
        <f t="array" aca="1" ref="M45" ca="1">INDEX(auto_ss_All_Series,F45)</f>
        <v>2.4a) Food security: national data</v>
      </c>
      <c r="N45" s="228"/>
      <c r="O45" s="231" cm="1">
        <f t="array" aca="1" ref="O45" ca="1">IF($G45=1,"",INDEX(auto_DataFlat_Score,$I45,1))</f>
        <v>41.9</v>
      </c>
      <c r="P45" s="232" cm="1">
        <f t="array" aca="1" ref="P45" ca="1">IF($G45=1,"",INDEX(auto_DataFlat_Score,$J45,1))</f>
        <v>81.099999999999994</v>
      </c>
      <c r="Q45" s="54"/>
    </row>
    <row r="46" spans="1:17" ht="18" customHeight="1" x14ac:dyDescent="0.4">
      <c r="A46" s="233" t="str">
        <f t="shared" ca="1" si="10"/>
        <v>H</v>
      </c>
      <c r="B46" s="4"/>
      <c r="C46" s="4"/>
      <c r="D46" s="40" t="str">
        <f t="shared" ca="1" si="11"/>
        <v>COPY</v>
      </c>
      <c r="E46" s="143">
        <v>20</v>
      </c>
      <c r="F46" s="234" cm="1">
        <f t="array" aca="1" ref="F46" ca="1">INDEX(OFFSET(auto_ss_depth_3_or_below,0,1,200,1),E46)</f>
        <v>20</v>
      </c>
      <c r="G46" s="234" cm="1">
        <f t="array" aca="1" ref="G46" ca="1">INDEX(auto_Series_Depth,F46)</f>
        <v>3</v>
      </c>
      <c r="H46" s="143" cm="1">
        <f t="array" aca="1" ref="H46" ca="1">INDEX(sys_DataFlat_LU_Grid,F46,1)-1</f>
        <v>1140</v>
      </c>
      <c r="I46" s="143">
        <f t="shared" ca="1" si="12"/>
        <v>1141</v>
      </c>
      <c r="J46" s="143">
        <f t="shared" ca="1" si="13"/>
        <v>1191</v>
      </c>
      <c r="K46" s="222">
        <f t="shared" ca="1" si="8"/>
        <v>0</v>
      </c>
      <c r="L46" s="222">
        <f t="shared" ca="1" si="9"/>
        <v>100</v>
      </c>
      <c r="M46" s="151" t="str" cm="1">
        <f t="array" aca="1" ref="M46" ca="1">INDEX(auto_ss_All_Series,F46)</f>
        <v>2.4b) Food security: city-level data availability</v>
      </c>
      <c r="N46" s="228"/>
      <c r="O46" s="231" cm="1">
        <f t="array" aca="1" ref="O46" ca="1">IF($G46=1,"",INDEX(auto_DataFlat_Score,$I46,1))</f>
        <v>100</v>
      </c>
      <c r="P46" s="232" cm="1">
        <f t="array" aca="1" ref="P46" ca="1">IF($G46=1,"",INDEX(auto_DataFlat_Score,$J46,1))</f>
        <v>42</v>
      </c>
      <c r="Q46" s="54"/>
    </row>
    <row r="47" spans="1:17" ht="18" customHeight="1" x14ac:dyDescent="0.4">
      <c r="A47" s="233" t="str">
        <f t="shared" ca="1" si="10"/>
        <v/>
      </c>
      <c r="B47" s="4"/>
      <c r="C47" s="4"/>
      <c r="D47" s="40" t="str">
        <f t="shared" ca="1" si="11"/>
        <v>COPY</v>
      </c>
      <c r="E47" s="143">
        <v>21</v>
      </c>
      <c r="F47" s="234" cm="1">
        <f t="array" aca="1" ref="F47" ca="1">INDEX(OFFSET(auto_ss_depth_3_or_below,0,1,200,1),E47)</f>
        <v>21</v>
      </c>
      <c r="G47" s="234" cm="1">
        <f t="array" aca="1" ref="G47" ca="1">INDEX(auto_Series_Depth,F47)</f>
        <v>2</v>
      </c>
      <c r="H47" s="143" cm="1">
        <f t="array" aca="1" ref="H47" ca="1">INDEX(sys_DataFlat_LU_Grid,F47,1)-1</f>
        <v>1200</v>
      </c>
      <c r="I47" s="143">
        <f t="shared" ca="1" si="12"/>
        <v>1201</v>
      </c>
      <c r="J47" s="143">
        <f t="shared" ca="1" si="13"/>
        <v>1251</v>
      </c>
      <c r="K47" s="222">
        <f t="shared" ca="1" si="8"/>
        <v>8.6</v>
      </c>
      <c r="L47" s="222">
        <f t="shared" ca="1" si="9"/>
        <v>99</v>
      </c>
      <c r="M47" s="151" t="str" cm="1">
        <f t="array" aca="1" ref="M47" ca="1">INDEX(auto_ss_All_Series,F47)</f>
        <v>2.5) Access to public transport</v>
      </c>
      <c r="N47" s="228"/>
      <c r="O47" s="231" cm="1">
        <f t="array" aca="1" ref="O47" ca="1">IF($G47=1,"",INDEX(auto_DataFlat_Score,$I47,1))</f>
        <v>31.5</v>
      </c>
      <c r="P47" s="232" cm="1">
        <f t="array" aca="1" ref="P47" ca="1">IF($G47=1,"",INDEX(auto_DataFlat_Score,$J47,1))</f>
        <v>64.900000000000006</v>
      </c>
      <c r="Q47" s="54"/>
    </row>
    <row r="48" spans="1:17" ht="35.25" customHeight="1" x14ac:dyDescent="0.4">
      <c r="A48" s="233" t="str">
        <f t="shared" ca="1" si="10"/>
        <v/>
      </c>
      <c r="B48" s="4"/>
      <c r="C48" s="4"/>
      <c r="D48" s="40" t="str">
        <f t="shared" ca="1" si="11"/>
        <v/>
      </c>
      <c r="E48" s="143">
        <v>22</v>
      </c>
      <c r="F48" s="234" cm="1">
        <f t="array" aca="1" ref="F48" ca="1">INDEX(OFFSET(auto_ss_depth_3_or_below,0,1,200,1),E48)</f>
        <v>22</v>
      </c>
      <c r="G48" s="234" cm="1">
        <f t="array" aca="1" ref="G48" ca="1">INDEX(auto_Series_Depth,F48)</f>
        <v>1</v>
      </c>
      <c r="H48" s="143" cm="1">
        <f t="array" aca="1" ref="H48" ca="1">INDEX(sys_DataFlat_LU_Grid,F48,1)-1</f>
        <v>1260</v>
      </c>
      <c r="I48" s="143">
        <f t="shared" ca="1" si="12"/>
        <v>1261</v>
      </c>
      <c r="J48" s="143">
        <f t="shared" ca="1" si="13"/>
        <v>1311</v>
      </c>
      <c r="K48" s="222">
        <f t="shared" ca="1" si="8"/>
        <v>33.4</v>
      </c>
      <c r="L48" s="222">
        <f t="shared" ca="1" si="9"/>
        <v>86</v>
      </c>
      <c r="M48" s="36" t="str" cm="1">
        <f t="array" aca="1" ref="M48" ca="1">INDEX(auto_ss_All_Series,F48)</f>
        <v>3) HEALTH RISKS</v>
      </c>
      <c r="N48" s="143"/>
      <c r="O48" s="235" t="str">
        <f>$E$11</f>
        <v>ADD</v>
      </c>
      <c r="P48" s="226" t="str">
        <f>$E$12</f>
        <v>AVG</v>
      </c>
      <c r="Q48" s="143"/>
    </row>
    <row r="49" spans="1:17" ht="18" customHeight="1" x14ac:dyDescent="0.4">
      <c r="A49" s="233" t="str">
        <f t="shared" ca="1" si="10"/>
        <v/>
      </c>
      <c r="B49" s="4"/>
      <c r="C49" s="4"/>
      <c r="D49" s="40" t="str">
        <f t="shared" ca="1" si="11"/>
        <v>COPY</v>
      </c>
      <c r="E49" s="143">
        <v>23</v>
      </c>
      <c r="F49" s="234" cm="1">
        <f t="array" aca="1" ref="F49" ca="1">INDEX(OFFSET(auto_ss_depth_3_or_below,0,1,200,1),E49)</f>
        <v>23</v>
      </c>
      <c r="G49" s="234" cm="1">
        <f t="array" aca="1" ref="G49" ca="1">INDEX(auto_Series_Depth,F49)</f>
        <v>2</v>
      </c>
      <c r="H49" s="143" cm="1">
        <f t="array" aca="1" ref="H49" ca="1">INDEX(sys_DataFlat_LU_Grid,F49,1)-1</f>
        <v>1320</v>
      </c>
      <c r="I49" s="143">
        <f t="shared" ca="1" si="12"/>
        <v>1321</v>
      </c>
      <c r="J49" s="143">
        <f t="shared" ca="1" si="13"/>
        <v>1371</v>
      </c>
      <c r="K49" s="222">
        <f t="shared" ca="1" si="8"/>
        <v>27.8</v>
      </c>
      <c r="L49" s="222">
        <f t="shared" ca="1" si="9"/>
        <v>98.4</v>
      </c>
      <c r="M49" s="151" t="str" cm="1">
        <f t="array" aca="1" ref="M49" ca="1">INDEX(auto_ss_All_Series,F49)</f>
        <v>3.1) Tobacco use</v>
      </c>
      <c r="N49" s="228"/>
      <c r="O49" s="231" cm="1">
        <f t="array" aca="1" ref="O49" ca="1">IF($G49=1,"",INDEX(auto_DataFlat_Score,$I49,1))</f>
        <v>47.4</v>
      </c>
      <c r="P49" s="232" cm="1">
        <f t="array" aca="1" ref="P49" ca="1">IF($G49=1,"",INDEX(auto_DataFlat_Score,$J49,1))</f>
        <v>66.5</v>
      </c>
      <c r="Q49" s="54"/>
    </row>
    <row r="50" spans="1:17" ht="18" customHeight="1" x14ac:dyDescent="0.4">
      <c r="A50" s="233" t="str">
        <f t="shared" ca="1" si="10"/>
        <v>H</v>
      </c>
      <c r="B50" s="4"/>
      <c r="C50" s="4"/>
      <c r="D50" s="40" t="str">
        <f t="shared" ca="1" si="11"/>
        <v>COPY</v>
      </c>
      <c r="E50" s="143">
        <v>24</v>
      </c>
      <c r="F50" s="234" cm="1">
        <f t="array" aca="1" ref="F50" ca="1">INDEX(OFFSET(auto_ss_depth_3_or_below,0,1,200,1),E50)</f>
        <v>24</v>
      </c>
      <c r="G50" s="234" cm="1">
        <f t="array" aca="1" ref="G50" ca="1">INDEX(auto_Series_Depth,F50)</f>
        <v>3</v>
      </c>
      <c r="H50" s="143" cm="1">
        <f t="array" aca="1" ref="H50" ca="1">INDEX(sys_DataFlat_LU_Grid,F50,1)-1</f>
        <v>1380</v>
      </c>
      <c r="I50" s="143">
        <f t="shared" ca="1" si="12"/>
        <v>1381</v>
      </c>
      <c r="J50" s="143">
        <f t="shared" ca="1" si="13"/>
        <v>1431</v>
      </c>
      <c r="K50" s="222">
        <f t="shared" ca="1" si="8"/>
        <v>55.6</v>
      </c>
      <c r="L50" s="222">
        <f t="shared" ca="1" si="9"/>
        <v>96.7</v>
      </c>
      <c r="M50" s="151" t="str" cm="1">
        <f t="array" aca="1" ref="M50" ca="1">INDEX(auto_ss_All_Series,F50)</f>
        <v>3.1a) Tobacco use: national data</v>
      </c>
      <c r="N50" s="228"/>
      <c r="O50" s="231" cm="1">
        <f t="array" aca="1" ref="O50" ca="1">IF($G50=1,"",INDEX(auto_DataFlat_Score,$I50,1))</f>
        <v>94.8</v>
      </c>
      <c r="P50" s="232" cm="1">
        <f t="array" aca="1" ref="P50" ca="1">IF($G50=1,"",INDEX(auto_DataFlat_Score,$J50,1))</f>
        <v>79</v>
      </c>
      <c r="Q50" s="54"/>
    </row>
    <row r="51" spans="1:17" ht="18" customHeight="1" x14ac:dyDescent="0.4">
      <c r="A51" s="233" t="str">
        <f t="shared" ca="1" si="10"/>
        <v>H</v>
      </c>
      <c r="B51" s="4"/>
      <c r="C51" s="4"/>
      <c r="D51" s="40" t="str">
        <f t="shared" ca="1" si="11"/>
        <v>COPY</v>
      </c>
      <c r="E51" s="143">
        <v>25</v>
      </c>
      <c r="F51" s="234" cm="1">
        <f t="array" aca="1" ref="F51" ca="1">INDEX(OFFSET(auto_ss_depth_3_or_below,0,1,200,1),E51)</f>
        <v>25</v>
      </c>
      <c r="G51" s="234" cm="1">
        <f t="array" aca="1" ref="G51" ca="1">INDEX(auto_Series_Depth,F51)</f>
        <v>3</v>
      </c>
      <c r="H51" s="143" cm="1">
        <f t="array" aca="1" ref="H51" ca="1">INDEX(sys_DataFlat_LU_Grid,F51,1)-1</f>
        <v>1440</v>
      </c>
      <c r="I51" s="143">
        <f t="shared" ca="1" si="12"/>
        <v>1441</v>
      </c>
      <c r="J51" s="143">
        <f t="shared" ca="1" si="13"/>
        <v>1491</v>
      </c>
      <c r="K51" s="222">
        <f t="shared" ca="1" si="8"/>
        <v>0</v>
      </c>
      <c r="L51" s="222">
        <f t="shared" ca="1" si="9"/>
        <v>100</v>
      </c>
      <c r="M51" s="151" t="str" cm="1">
        <f t="array" aca="1" ref="M51" ca="1">INDEX(auto_ss_All_Series,F51)</f>
        <v>3.1b) Tobacco use: city-level data availability</v>
      </c>
      <c r="N51" s="228"/>
      <c r="O51" s="231" cm="1">
        <f t="array" aca="1" ref="O51" ca="1">IF($G51=1,"",INDEX(auto_DataFlat_Score,$I51,1))</f>
        <v>0</v>
      </c>
      <c r="P51" s="232" cm="1">
        <f t="array" aca="1" ref="P51" ca="1">IF($G51=1,"",INDEX(auto_DataFlat_Score,$J51,1))</f>
        <v>54</v>
      </c>
      <c r="Q51" s="54"/>
    </row>
    <row r="52" spans="1:17" ht="18" customHeight="1" x14ac:dyDescent="0.4">
      <c r="A52" s="233" t="str">
        <f t="shared" ca="1" si="10"/>
        <v/>
      </c>
      <c r="B52" s="4"/>
      <c r="C52" s="4"/>
      <c r="D52" s="40" t="str">
        <f t="shared" ca="1" si="11"/>
        <v>COPY</v>
      </c>
      <c r="E52" s="143">
        <v>26</v>
      </c>
      <c r="F52" s="234" cm="1">
        <f t="array" aca="1" ref="F52" ca="1">INDEX(OFFSET(auto_ss_depth_3_or_below,0,1,200,1),E52)</f>
        <v>26</v>
      </c>
      <c r="G52" s="234" cm="1">
        <f t="array" aca="1" ref="G52" ca="1">INDEX(auto_Series_Depth,F52)</f>
        <v>2</v>
      </c>
      <c r="H52" s="143" cm="1">
        <f t="array" aca="1" ref="H52" ca="1">INDEX(sys_DataFlat_LU_Grid,F52,1)-1</f>
        <v>1500</v>
      </c>
      <c r="I52" s="143">
        <f t="shared" ca="1" si="12"/>
        <v>1501</v>
      </c>
      <c r="J52" s="143">
        <f t="shared" ca="1" si="13"/>
        <v>1551</v>
      </c>
      <c r="K52" s="222">
        <f t="shared" ca="1" si="8"/>
        <v>4.7</v>
      </c>
      <c r="L52" s="222">
        <f t="shared" ca="1" si="9"/>
        <v>100</v>
      </c>
      <c r="M52" s="151" t="str" cm="1">
        <f t="array" aca="1" ref="M52" ca="1">INDEX(auto_ss_All_Series,F52)</f>
        <v>3.2) Vegetable consumption</v>
      </c>
      <c r="N52" s="228"/>
      <c r="O52" s="231" cm="1">
        <f t="array" aca="1" ref="O52" ca="1">IF($G52=1,"",INDEX(auto_DataFlat_Score,$I52,1))</f>
        <v>4.7</v>
      </c>
      <c r="P52" s="232" cm="1">
        <f t="array" aca="1" ref="P52" ca="1">IF($G52=1,"",INDEX(auto_DataFlat_Score,$J52,1))</f>
        <v>45.8</v>
      </c>
      <c r="Q52" s="54"/>
    </row>
    <row r="53" spans="1:17" ht="18" customHeight="1" x14ac:dyDescent="0.4">
      <c r="A53" s="233" t="str">
        <f t="shared" ca="1" si="10"/>
        <v>H</v>
      </c>
      <c r="B53" s="4"/>
      <c r="C53" s="4"/>
      <c r="D53" s="40" t="str">
        <f t="shared" ca="1" si="11"/>
        <v>COPY</v>
      </c>
      <c r="E53" s="143">
        <v>27</v>
      </c>
      <c r="F53" s="234" cm="1">
        <f t="array" aca="1" ref="F53" ca="1">INDEX(OFFSET(auto_ss_depth_3_or_below,0,1,200,1),E53)</f>
        <v>27</v>
      </c>
      <c r="G53" s="234" cm="1">
        <f t="array" aca="1" ref="G53" ca="1">INDEX(auto_Series_Depth,F53)</f>
        <v>3</v>
      </c>
      <c r="H53" s="143" cm="1">
        <f t="array" aca="1" ref="H53" ca="1">INDEX(sys_DataFlat_LU_Grid,F53,1)-1</f>
        <v>1560</v>
      </c>
      <c r="I53" s="143">
        <f t="shared" ca="1" si="12"/>
        <v>1561</v>
      </c>
      <c r="J53" s="143">
        <f t="shared" ca="1" si="13"/>
        <v>1611</v>
      </c>
      <c r="K53" s="222">
        <f t="shared" ca="1" si="8"/>
        <v>9.5</v>
      </c>
      <c r="L53" s="222">
        <f t="shared" ca="1" si="9"/>
        <v>100</v>
      </c>
      <c r="M53" s="151" t="str" cm="1">
        <f t="array" aca="1" ref="M53" ca="1">INDEX(auto_ss_All_Series,F53)</f>
        <v>3.2a) Vegetable consumption: national data</v>
      </c>
      <c r="N53" s="228"/>
      <c r="O53" s="231" cm="1">
        <f t="array" aca="1" ref="O53" ca="1">IF($G53=1,"",INDEX(auto_DataFlat_Score,$I53,1))</f>
        <v>9.5</v>
      </c>
      <c r="P53" s="232" cm="1">
        <f t="array" aca="1" ref="P53" ca="1">IF($G53=1,"",INDEX(auto_DataFlat_Score,$J53,1))</f>
        <v>45.6</v>
      </c>
      <c r="Q53" s="54"/>
    </row>
    <row r="54" spans="1:17" ht="18" customHeight="1" x14ac:dyDescent="0.4">
      <c r="A54" s="233" t="str">
        <f t="shared" ca="1" si="10"/>
        <v>H</v>
      </c>
      <c r="B54" s="4"/>
      <c r="C54" s="4"/>
      <c r="D54" s="40" t="str">
        <f t="shared" ca="1" si="11"/>
        <v>COPY</v>
      </c>
      <c r="E54" s="143">
        <v>28</v>
      </c>
      <c r="F54" s="234" cm="1">
        <f t="array" aca="1" ref="F54" ca="1">INDEX(OFFSET(auto_ss_depth_3_or_below,0,1,200,1),E54)</f>
        <v>28</v>
      </c>
      <c r="G54" s="234" cm="1">
        <f t="array" aca="1" ref="G54" ca="1">INDEX(auto_Series_Depth,F54)</f>
        <v>3</v>
      </c>
      <c r="H54" s="143" cm="1">
        <f t="array" aca="1" ref="H54" ca="1">INDEX(sys_DataFlat_LU_Grid,F54,1)-1</f>
        <v>1620</v>
      </c>
      <c r="I54" s="143">
        <f t="shared" ca="1" si="12"/>
        <v>1621</v>
      </c>
      <c r="J54" s="143">
        <f t="shared" ca="1" si="13"/>
        <v>1671</v>
      </c>
      <c r="K54" s="222">
        <f t="shared" ca="1" si="8"/>
        <v>0</v>
      </c>
      <c r="L54" s="222">
        <f t="shared" ca="1" si="9"/>
        <v>100</v>
      </c>
      <c r="M54" s="151" t="str" cm="1">
        <f t="array" aca="1" ref="M54" ca="1">INDEX(auto_ss_All_Series,F54)</f>
        <v>3.2b) Vegetable consumption: city-level data availability</v>
      </c>
      <c r="N54" s="228"/>
      <c r="O54" s="231" cm="1">
        <f t="array" aca="1" ref="O54" ca="1">IF($G54=1,"",INDEX(auto_DataFlat_Score,$I54,1))</f>
        <v>0</v>
      </c>
      <c r="P54" s="232" cm="1">
        <f t="array" aca="1" ref="P54" ca="1">IF($G54=1,"",INDEX(auto_DataFlat_Score,$J54,1))</f>
        <v>46</v>
      </c>
      <c r="Q54" s="54"/>
    </row>
    <row r="55" spans="1:17" ht="18" customHeight="1" x14ac:dyDescent="0.4">
      <c r="A55" s="233" t="str">
        <f t="shared" ca="1" si="10"/>
        <v/>
      </c>
      <c r="B55" s="4"/>
      <c r="C55" s="4"/>
      <c r="D55" s="40" t="str">
        <f t="shared" ca="1" si="11"/>
        <v>COPY</v>
      </c>
      <c r="E55" s="143">
        <v>29</v>
      </c>
      <c r="F55" s="234" cm="1">
        <f t="array" aca="1" ref="F55" ca="1">INDEX(OFFSET(auto_ss_depth_3_or_below,0,1,200,1),E55)</f>
        <v>29</v>
      </c>
      <c r="G55" s="234" cm="1">
        <f t="array" aca="1" ref="G55" ca="1">INDEX(auto_Series_Depth,F55)</f>
        <v>2</v>
      </c>
      <c r="H55" s="143" cm="1">
        <f t="array" aca="1" ref="H55" ca="1">INDEX(sys_DataFlat_LU_Grid,F55,1)-1</f>
        <v>1680</v>
      </c>
      <c r="I55" s="143">
        <f t="shared" ca="1" si="12"/>
        <v>1681</v>
      </c>
      <c r="J55" s="143">
        <f t="shared" ca="1" si="13"/>
        <v>1731</v>
      </c>
      <c r="K55" s="222">
        <f t="shared" ca="1" si="8"/>
        <v>10</v>
      </c>
      <c r="L55" s="222">
        <f t="shared" ca="1" si="9"/>
        <v>100</v>
      </c>
      <c r="M55" s="151" t="str" cm="1">
        <f t="array" aca="1" ref="M55" ca="1">INDEX(auto_ss_All_Series,F55)</f>
        <v>3.3) Trans fats consumption</v>
      </c>
      <c r="N55" s="228"/>
      <c r="O55" s="231" cm="1">
        <f t="array" aca="1" ref="O55" ca="1">IF($G55=1,"",INDEX(auto_DataFlat_Score,$I55,1))</f>
        <v>50</v>
      </c>
      <c r="P55" s="232" cm="1">
        <f t="array" aca="1" ref="P55" ca="1">IF($G55=1,"",INDEX(auto_DataFlat_Score,$J55,1))</f>
        <v>53.9</v>
      </c>
      <c r="Q55" s="54"/>
    </row>
    <row r="56" spans="1:17" ht="18" customHeight="1" x14ac:dyDescent="0.4">
      <c r="A56" s="233" t="str">
        <f t="shared" ca="1" si="10"/>
        <v>H</v>
      </c>
      <c r="B56" s="4"/>
      <c r="C56" s="4"/>
      <c r="D56" s="40" t="str">
        <f t="shared" ca="1" si="11"/>
        <v>COPY</v>
      </c>
      <c r="E56" s="143">
        <v>30</v>
      </c>
      <c r="F56" s="234" cm="1">
        <f t="array" aca="1" ref="F56" ca="1">INDEX(OFFSET(auto_ss_depth_3_or_below,0,1,200,1),E56)</f>
        <v>30</v>
      </c>
      <c r="G56" s="234" cm="1">
        <f t="array" aca="1" ref="G56" ca="1">INDEX(auto_Series_Depth,F56)</f>
        <v>3</v>
      </c>
      <c r="H56" s="143" cm="1">
        <f t="array" aca="1" ref="H56" ca="1">INDEX(sys_DataFlat_LU_Grid,F56,1)-1</f>
        <v>1740</v>
      </c>
      <c r="I56" s="143">
        <f t="shared" ca="1" si="12"/>
        <v>1741</v>
      </c>
      <c r="J56" s="143">
        <f t="shared" ca="1" si="13"/>
        <v>1791</v>
      </c>
      <c r="K56" s="222">
        <f t="shared" ca="1" si="8"/>
        <v>20</v>
      </c>
      <c r="L56" s="222">
        <f t="shared" ca="1" si="9"/>
        <v>100</v>
      </c>
      <c r="M56" s="151" t="str" cm="1">
        <f t="array" aca="1" ref="M56" ca="1">INDEX(auto_ss_All_Series,F56)</f>
        <v>3.3a) Trans fats consumption: national data</v>
      </c>
      <c r="N56" s="228"/>
      <c r="O56" s="231" cm="1">
        <f t="array" aca="1" ref="O56" ca="1">IF($G56=1,"",INDEX(auto_DataFlat_Score,$I56,1))</f>
        <v>100</v>
      </c>
      <c r="P56" s="232" cm="1">
        <f t="array" aca="1" ref="P56" ca="1">IF($G56=1,"",INDEX(auto_DataFlat_Score,$J56,1))</f>
        <v>93.8</v>
      </c>
      <c r="Q56" s="54"/>
    </row>
    <row r="57" spans="1:17" ht="18" customHeight="1" x14ac:dyDescent="0.4">
      <c r="A57" s="233" t="str">
        <f t="shared" ca="1" si="10"/>
        <v>H</v>
      </c>
      <c r="B57" s="4"/>
      <c r="C57" s="4"/>
      <c r="D57" s="40" t="str">
        <f t="shared" ca="1" si="11"/>
        <v>COPY</v>
      </c>
      <c r="E57" s="143">
        <v>31</v>
      </c>
      <c r="F57" s="234" cm="1">
        <f t="array" aca="1" ref="F57" ca="1">INDEX(OFFSET(auto_ss_depth_3_or_below,0,1,200,1),E57)</f>
        <v>31</v>
      </c>
      <c r="G57" s="234" cm="1">
        <f t="array" aca="1" ref="G57" ca="1">INDEX(auto_Series_Depth,F57)</f>
        <v>3</v>
      </c>
      <c r="H57" s="143" cm="1">
        <f t="array" aca="1" ref="H57" ca="1">INDEX(sys_DataFlat_LU_Grid,F57,1)-1</f>
        <v>1800</v>
      </c>
      <c r="I57" s="143">
        <f t="shared" ca="1" si="12"/>
        <v>1801</v>
      </c>
      <c r="J57" s="143">
        <f t="shared" ca="1" si="13"/>
        <v>1851</v>
      </c>
      <c r="K57" s="222">
        <f t="shared" ca="1" si="8"/>
        <v>0</v>
      </c>
      <c r="L57" s="222">
        <f t="shared" ca="1" si="9"/>
        <v>100</v>
      </c>
      <c r="M57" s="151" t="str" cm="1">
        <f t="array" aca="1" ref="M57" ca="1">INDEX(auto_ss_All_Series,F57)</f>
        <v>3.3b) Trans fats consumption: city-level data availability</v>
      </c>
      <c r="N57" s="228"/>
      <c r="O57" s="231" cm="1">
        <f t="array" aca="1" ref="O57" ca="1">IF($G57=1,"",INDEX(auto_DataFlat_Score,$I57,1))</f>
        <v>0</v>
      </c>
      <c r="P57" s="232" cm="1">
        <f t="array" aca="1" ref="P57" ca="1">IF($G57=1,"",INDEX(auto_DataFlat_Score,$J57,1))</f>
        <v>14</v>
      </c>
      <c r="Q57" s="54"/>
    </row>
    <row r="58" spans="1:17" ht="18" customHeight="1" x14ac:dyDescent="0.4">
      <c r="A58" s="233" t="str">
        <f t="shared" ca="1" si="10"/>
        <v/>
      </c>
      <c r="B58" s="4"/>
      <c r="C58" s="4"/>
      <c r="D58" s="40" t="str">
        <f t="shared" ca="1" si="11"/>
        <v>COPY</v>
      </c>
      <c r="E58" s="143">
        <v>32</v>
      </c>
      <c r="F58" s="234" cm="1">
        <f t="array" aca="1" ref="F58" ca="1">INDEX(OFFSET(auto_ss_depth_3_or_below,0,1,200,1),E58)</f>
        <v>32</v>
      </c>
      <c r="G58" s="234" cm="1">
        <f t="array" aca="1" ref="G58" ca="1">INDEX(auto_Series_Depth,F58)</f>
        <v>2</v>
      </c>
      <c r="H58" s="143" cm="1">
        <f t="array" aca="1" ref="H58" ca="1">INDEX(sys_DataFlat_LU_Grid,F58,1)-1</f>
        <v>1860</v>
      </c>
      <c r="I58" s="143">
        <f t="shared" ca="1" si="12"/>
        <v>1861</v>
      </c>
      <c r="J58" s="143">
        <f t="shared" ca="1" si="13"/>
        <v>1911</v>
      </c>
      <c r="K58" s="222">
        <f t="shared" ca="1" si="8"/>
        <v>16.5</v>
      </c>
      <c r="L58" s="222">
        <f t="shared" ca="1" si="9"/>
        <v>92.9</v>
      </c>
      <c r="M58" s="151" t="str" cm="1">
        <f t="array" aca="1" ref="M58" ca="1">INDEX(auto_ss_All_Series,F58)</f>
        <v>3.4) Physical activity</v>
      </c>
      <c r="N58" s="228"/>
      <c r="O58" s="231" cm="1">
        <f t="array" aca="1" ref="O58" ca="1">IF($G58=1,"",INDEX(auto_DataFlat_Score,$I58,1))</f>
        <v>42.6</v>
      </c>
      <c r="P58" s="232" cm="1">
        <f t="array" aca="1" ref="P58" ca="1">IF($G58=1,"",INDEX(auto_DataFlat_Score,$J58,1))</f>
        <v>60.4</v>
      </c>
      <c r="Q58" s="54"/>
    </row>
    <row r="59" spans="1:17" ht="18" customHeight="1" x14ac:dyDescent="0.4">
      <c r="A59" s="233" t="str">
        <f t="shared" ca="1" si="10"/>
        <v>H</v>
      </c>
      <c r="B59" s="4"/>
      <c r="C59" s="4"/>
      <c r="D59" s="40" t="str">
        <f t="shared" ca="1" si="11"/>
        <v>COPY</v>
      </c>
      <c r="E59" s="143">
        <v>33</v>
      </c>
      <c r="F59" s="234" cm="1">
        <f t="array" aca="1" ref="F59" ca="1">INDEX(OFFSET(auto_ss_depth_3_or_below,0,1,200,1),E59)</f>
        <v>33</v>
      </c>
      <c r="G59" s="234" cm="1">
        <f t="array" aca="1" ref="G59" ca="1">INDEX(auto_Series_Depth,F59)</f>
        <v>3</v>
      </c>
      <c r="H59" s="143" cm="1">
        <f t="array" aca="1" ref="H59" ca="1">INDEX(sys_DataFlat_LU_Grid,F59,1)-1</f>
        <v>1920</v>
      </c>
      <c r="I59" s="143">
        <f t="shared" ca="1" si="12"/>
        <v>1921</v>
      </c>
      <c r="J59" s="143">
        <f t="shared" ca="1" si="13"/>
        <v>1971</v>
      </c>
      <c r="K59" s="222">
        <f t="shared" ca="1" si="8"/>
        <v>33</v>
      </c>
      <c r="L59" s="222">
        <f t="shared" ca="1" si="9"/>
        <v>89.5</v>
      </c>
      <c r="M59" s="151" t="str" cm="1">
        <f t="array" aca="1" ref="M59" ca="1">INDEX(auto_ss_All_Series,F59)</f>
        <v>3.4a) Physical inactivity: national data</v>
      </c>
      <c r="N59" s="228"/>
      <c r="O59" s="231" cm="1">
        <f t="array" aca="1" ref="O59" ca="1">IF($G59=1,"",INDEX(auto_DataFlat_Score,$I59,1))</f>
        <v>85.1</v>
      </c>
      <c r="P59" s="232" cm="1">
        <f t="array" aca="1" ref="P59" ca="1">IF($G59=1,"",INDEX(auto_DataFlat_Score,$J59,1))</f>
        <v>68.7</v>
      </c>
      <c r="Q59" s="54"/>
    </row>
    <row r="60" spans="1:17" ht="18" customHeight="1" x14ac:dyDescent="0.4">
      <c r="A60" s="233" t="str">
        <f t="shared" ca="1" si="10"/>
        <v>H</v>
      </c>
      <c r="B60" s="4"/>
      <c r="C60" s="4"/>
      <c r="D60" s="40" t="str">
        <f t="shared" ca="1" si="11"/>
        <v>COPY</v>
      </c>
      <c r="E60" s="143">
        <v>34</v>
      </c>
      <c r="F60" s="234" cm="1">
        <f t="array" aca="1" ref="F60" ca="1">INDEX(OFFSET(auto_ss_depth_3_or_below,0,1,200,1),E60)</f>
        <v>34</v>
      </c>
      <c r="G60" s="234" cm="1">
        <f t="array" aca="1" ref="G60" ca="1">INDEX(auto_Series_Depth,F60)</f>
        <v>3</v>
      </c>
      <c r="H60" s="143" cm="1">
        <f t="array" aca="1" ref="H60" ca="1">INDEX(sys_DataFlat_LU_Grid,F60,1)-1</f>
        <v>1980</v>
      </c>
      <c r="I60" s="143">
        <f t="shared" ca="1" si="12"/>
        <v>1981</v>
      </c>
      <c r="J60" s="143">
        <f t="shared" ca="1" si="13"/>
        <v>2031</v>
      </c>
      <c r="K60" s="222">
        <f t="shared" ca="1" si="8"/>
        <v>0</v>
      </c>
      <c r="L60" s="222">
        <f t="shared" ref="L60:L89" ca="1" si="14">MAX(OFFSET(auto_DataFlat_Score,$H60,0,$C$14,1))</f>
        <v>100</v>
      </c>
      <c r="M60" s="151" t="str" cm="1">
        <f t="array" aca="1" ref="M60" ca="1">INDEX(auto_ss_All_Series,F60)</f>
        <v>3.4b) Physical activity: city-level data availability</v>
      </c>
      <c r="N60" s="228"/>
      <c r="O60" s="231" cm="1">
        <f t="array" aca="1" ref="O60" ca="1">IF($G60=1,"",INDEX(auto_DataFlat_Score,$I60,1))</f>
        <v>0</v>
      </c>
      <c r="P60" s="232" cm="1">
        <f t="array" aca="1" ref="P60" ca="1">IF($G60=1,"",INDEX(auto_DataFlat_Score,$J60,1))</f>
        <v>52</v>
      </c>
      <c r="Q60" s="54"/>
    </row>
    <row r="61" spans="1:17" ht="18" customHeight="1" x14ac:dyDescent="0.4">
      <c r="A61" s="233" t="str">
        <f t="shared" ca="1" si="10"/>
        <v/>
      </c>
      <c r="B61" s="4"/>
      <c r="C61" s="4"/>
      <c r="D61" s="40" t="str">
        <f t="shared" ca="1" si="11"/>
        <v>COPY</v>
      </c>
      <c r="E61" s="143">
        <v>35</v>
      </c>
      <c r="F61" s="234" cm="1">
        <f t="array" aca="1" ref="F61" ca="1">INDEX(OFFSET(auto_ss_depth_3_or_below,0,1,200,1),E61)</f>
        <v>35</v>
      </c>
      <c r="G61" s="234" cm="1">
        <f t="array" aca="1" ref="G61" ca="1">INDEX(auto_Series_Depth,F61)</f>
        <v>2</v>
      </c>
      <c r="H61" s="143" cm="1">
        <f t="array" aca="1" ref="H61" ca="1">INDEX(sys_DataFlat_LU_Grid,F61,1)-1</f>
        <v>2040</v>
      </c>
      <c r="I61" s="143">
        <f t="shared" ca="1" si="12"/>
        <v>2041</v>
      </c>
      <c r="J61" s="143">
        <f t="shared" ca="1" si="13"/>
        <v>2091</v>
      </c>
      <c r="K61" s="222">
        <f t="shared" ca="1" si="8"/>
        <v>29.8</v>
      </c>
      <c r="L61" s="222">
        <f t="shared" ca="1" si="14"/>
        <v>86.7</v>
      </c>
      <c r="M61" s="151" t="str" cm="1">
        <f t="array" aca="1" ref="M61" ca="1">INDEX(auto_ss_All_Series,F61)</f>
        <v>3.5) Hypertension</v>
      </c>
      <c r="N61" s="228"/>
      <c r="O61" s="231" cm="1">
        <f t="array" aca="1" ref="O61" ca="1">IF($G61=1,"",INDEX(auto_DataFlat_Score,$I61,1))</f>
        <v>61.3</v>
      </c>
      <c r="P61" s="232" cm="1">
        <f t="array" aca="1" ref="P61" ca="1">IF($G61=1,"",INDEX(auto_DataFlat_Score,$J61,1))</f>
        <v>63</v>
      </c>
      <c r="Q61" s="54"/>
    </row>
    <row r="62" spans="1:17" ht="18" customHeight="1" x14ac:dyDescent="0.4">
      <c r="A62" s="233" t="str">
        <f t="shared" ca="1" si="10"/>
        <v>H</v>
      </c>
      <c r="B62" s="4"/>
      <c r="C62" s="4"/>
      <c r="D62" s="40" t="str">
        <f t="shared" ca="1" si="11"/>
        <v>COPY</v>
      </c>
      <c r="E62" s="143">
        <v>36</v>
      </c>
      <c r="F62" s="234" cm="1">
        <f t="array" aca="1" ref="F62" ca="1">INDEX(OFFSET(auto_ss_depth_3_or_below,0,1,200,1),E62)</f>
        <v>36</v>
      </c>
      <c r="G62" s="234" cm="1">
        <f t="array" aca="1" ref="G62" ca="1">INDEX(auto_Series_Depth,F62)</f>
        <v>3</v>
      </c>
      <c r="H62" s="143" cm="1">
        <f t="array" aca="1" ref="H62" ca="1">INDEX(sys_DataFlat_LU_Grid,F62,1)-1</f>
        <v>2100</v>
      </c>
      <c r="I62" s="143">
        <f t="shared" ca="1" si="12"/>
        <v>2101</v>
      </c>
      <c r="J62" s="143">
        <f t="shared" ca="1" si="13"/>
        <v>2151</v>
      </c>
      <c r="K62" s="222">
        <f t="shared" ca="1" si="8"/>
        <v>51.7</v>
      </c>
      <c r="L62" s="222">
        <f t="shared" ca="1" si="14"/>
        <v>77.900000000000006</v>
      </c>
      <c r="M62" s="151" t="str" cm="1">
        <f t="array" aca="1" ref="M62" ca="1">INDEX(auto_ss_All_Series,F62)</f>
        <v>3.5a) Hypertension: national data</v>
      </c>
      <c r="N62" s="228"/>
      <c r="O62" s="231" cm="1">
        <f t="array" aca="1" ref="O62" ca="1">IF($G62=1,"",INDEX(auto_DataFlat_Score,$I62,1))</f>
        <v>72.599999999999994</v>
      </c>
      <c r="P62" s="232" cm="1">
        <f t="array" aca="1" ref="P62" ca="1">IF($G62=1,"",INDEX(auto_DataFlat_Score,$J62,1))</f>
        <v>66.900000000000006</v>
      </c>
      <c r="Q62" s="54"/>
    </row>
    <row r="63" spans="1:17" ht="18" customHeight="1" x14ac:dyDescent="0.4">
      <c r="A63" s="233" t="str">
        <f t="shared" ca="1" si="10"/>
        <v>H</v>
      </c>
      <c r="B63" s="4"/>
      <c r="C63" s="4"/>
      <c r="D63" s="40" t="str">
        <f t="shared" ca="1" si="11"/>
        <v>COPY</v>
      </c>
      <c r="E63" s="143">
        <v>37</v>
      </c>
      <c r="F63" s="234" cm="1">
        <f t="array" aca="1" ref="F63" ca="1">INDEX(OFFSET(auto_ss_depth_3_or_below,0,1,200,1),E63)</f>
        <v>37</v>
      </c>
      <c r="G63" s="234" cm="1">
        <f t="array" aca="1" ref="G63" ca="1">INDEX(auto_Series_Depth,F63)</f>
        <v>3</v>
      </c>
      <c r="H63" s="143" cm="1">
        <f t="array" aca="1" ref="H63" ca="1">INDEX(sys_DataFlat_LU_Grid,F63,1)-1</f>
        <v>2160</v>
      </c>
      <c r="I63" s="143">
        <f t="shared" ca="1" si="12"/>
        <v>2161</v>
      </c>
      <c r="J63" s="143">
        <f t="shared" ca="1" si="13"/>
        <v>2211</v>
      </c>
      <c r="K63" s="222">
        <f t="shared" ca="1" si="8"/>
        <v>0</v>
      </c>
      <c r="L63" s="222">
        <f t="shared" ca="1" si="14"/>
        <v>100</v>
      </c>
      <c r="M63" s="151" t="str" cm="1">
        <f t="array" aca="1" ref="M63" ca="1">INDEX(auto_ss_All_Series,F63)</f>
        <v>3.5b) Hypertension surveillance: city-level data availability</v>
      </c>
      <c r="N63" s="228"/>
      <c r="O63" s="231" cm="1">
        <f t="array" aca="1" ref="O63" ca="1">IF($G63=1,"",INDEX(auto_DataFlat_Score,$I63,1))</f>
        <v>50</v>
      </c>
      <c r="P63" s="232" cm="1">
        <f t="array" aca="1" ref="P63" ca="1">IF($G63=1,"",INDEX(auto_DataFlat_Score,$J63,1))</f>
        <v>59</v>
      </c>
      <c r="Q63" s="54"/>
    </row>
    <row r="64" spans="1:17" ht="18" customHeight="1" x14ac:dyDescent="0.4">
      <c r="A64" s="233" t="str">
        <f t="shared" ca="1" si="10"/>
        <v/>
      </c>
      <c r="B64" s="4"/>
      <c r="C64" s="4"/>
      <c r="D64" s="40" t="str">
        <f t="shared" ca="1" si="11"/>
        <v>COPY</v>
      </c>
      <c r="E64" s="143">
        <v>38</v>
      </c>
      <c r="F64" s="234" cm="1">
        <f t="array" aca="1" ref="F64" ca="1">INDEX(OFFSET(auto_ss_depth_3_or_below,0,1,200,1),E64)</f>
        <v>38</v>
      </c>
      <c r="G64" s="234" cm="1">
        <f t="array" aca="1" ref="G64" ca="1">INDEX(auto_Series_Depth,F64)</f>
        <v>2</v>
      </c>
      <c r="H64" s="143" cm="1">
        <f t="array" aca="1" ref="H64" ca="1">INDEX(sys_DataFlat_LU_Grid,F64,1)-1</f>
        <v>2220</v>
      </c>
      <c r="I64" s="143">
        <f t="shared" ca="1" si="12"/>
        <v>2221</v>
      </c>
      <c r="J64" s="143">
        <f t="shared" ca="1" si="13"/>
        <v>2271</v>
      </c>
      <c r="K64" s="222">
        <f t="shared" ca="1" si="8"/>
        <v>41</v>
      </c>
      <c r="L64" s="222">
        <f t="shared" ca="1" si="14"/>
        <v>98.9</v>
      </c>
      <c r="M64" s="151" t="str" cm="1">
        <f t="array" aca="1" ref="M64" ca="1">INDEX(auto_ss_All_Series,F64)</f>
        <v>3.6) Diabetes</v>
      </c>
      <c r="N64" s="228"/>
      <c r="O64" s="231" cm="1">
        <f t="array" aca="1" ref="O64" ca="1">IF($G64=1,"",INDEX(auto_DataFlat_Score,$I64,1))</f>
        <v>46.7</v>
      </c>
      <c r="P64" s="232" cm="1">
        <f t="array" aca="1" ref="P64" ca="1">IF($G64=1,"",INDEX(auto_DataFlat_Score,$J64,1))</f>
        <v>78.900000000000006</v>
      </c>
      <c r="Q64" s="54"/>
    </row>
    <row r="65" spans="1:17" ht="18" customHeight="1" x14ac:dyDescent="0.4">
      <c r="A65" s="233" t="str">
        <f t="shared" ca="1" si="10"/>
        <v>H</v>
      </c>
      <c r="B65" s="4"/>
      <c r="C65" s="4"/>
      <c r="D65" s="40" t="str">
        <f t="shared" ca="1" si="11"/>
        <v>COPY</v>
      </c>
      <c r="E65" s="143">
        <v>39</v>
      </c>
      <c r="F65" s="234" cm="1">
        <f t="array" aca="1" ref="F65" ca="1">INDEX(OFFSET(auto_ss_depth_3_or_below,0,1,200,1),E65)</f>
        <v>39</v>
      </c>
      <c r="G65" s="234" cm="1">
        <f t="array" aca="1" ref="G65" ca="1">INDEX(auto_Series_Depth,F65)</f>
        <v>3</v>
      </c>
      <c r="H65" s="143" cm="1">
        <f t="array" aca="1" ref="H65" ca="1">INDEX(sys_DataFlat_LU_Grid,F65,1)-1</f>
        <v>2280</v>
      </c>
      <c r="I65" s="143">
        <f t="shared" ca="1" si="12"/>
        <v>2281</v>
      </c>
      <c r="J65" s="143">
        <f t="shared" ca="1" si="13"/>
        <v>2331</v>
      </c>
      <c r="K65" s="222">
        <f t="shared" ca="1" si="8"/>
        <v>67.8</v>
      </c>
      <c r="L65" s="222">
        <f t="shared" ca="1" si="14"/>
        <v>98.3</v>
      </c>
      <c r="M65" s="151" t="str" cm="1">
        <f t="array" aca="1" ref="M65" ca="1">INDEX(auto_ss_All_Series,F65)</f>
        <v>3.6a) Diabetes: national data</v>
      </c>
      <c r="N65" s="228"/>
      <c r="O65" s="231" cm="1">
        <f t="array" aca="1" ref="O65" ca="1">IF($G65=1,"",INDEX(auto_DataFlat_Score,$I65,1))</f>
        <v>93.3</v>
      </c>
      <c r="P65" s="232" cm="1">
        <f t="array" aca="1" ref="P65" ca="1">IF($G65=1,"",INDEX(auto_DataFlat_Score,$J65,1))</f>
        <v>93.8</v>
      </c>
      <c r="Q65" s="54"/>
    </row>
    <row r="66" spans="1:17" ht="18" customHeight="1" x14ac:dyDescent="0.4">
      <c r="A66" s="233" t="str">
        <f t="shared" ca="1" si="10"/>
        <v>H</v>
      </c>
      <c r="B66" s="4"/>
      <c r="C66" s="4"/>
      <c r="D66" s="40" t="str">
        <f t="shared" ca="1" si="11"/>
        <v>COPY</v>
      </c>
      <c r="E66" s="143">
        <v>40</v>
      </c>
      <c r="F66" s="234" cm="1">
        <f t="array" aca="1" ref="F66" ca="1">INDEX(OFFSET(auto_ss_depth_3_or_below,0,1,200,1),E66)</f>
        <v>40</v>
      </c>
      <c r="G66" s="234" cm="1">
        <f t="array" aca="1" ref="G66" ca="1">INDEX(auto_Series_Depth,F66)</f>
        <v>3</v>
      </c>
      <c r="H66" s="143" cm="1">
        <f t="array" aca="1" ref="H66" ca="1">INDEX(sys_DataFlat_LU_Grid,F66,1)-1</f>
        <v>2340</v>
      </c>
      <c r="I66" s="143">
        <f t="shared" ca="1" si="12"/>
        <v>2341</v>
      </c>
      <c r="J66" s="143">
        <f t="shared" ca="1" si="13"/>
        <v>2391</v>
      </c>
      <c r="K66" s="222">
        <f t="shared" ca="1" si="8"/>
        <v>0</v>
      </c>
      <c r="L66" s="222">
        <f t="shared" ca="1" si="14"/>
        <v>100</v>
      </c>
      <c r="M66" s="151" t="str" cm="1">
        <f t="array" aca="1" ref="M66" ca="1">INDEX(auto_ss_All_Series,F66)</f>
        <v>3.6b) Diabetes: city-level data availability</v>
      </c>
      <c r="N66" s="228"/>
      <c r="O66" s="231" cm="1">
        <f t="array" aca="1" ref="O66" ca="1">IF($G66=1,"",INDEX(auto_DataFlat_Score,$I66,1))</f>
        <v>0</v>
      </c>
      <c r="P66" s="232" cm="1">
        <f t="array" aca="1" ref="P66" ca="1">IF($G66=1,"",INDEX(auto_DataFlat_Score,$J66,1))</f>
        <v>64</v>
      </c>
      <c r="Q66" s="54"/>
    </row>
    <row r="67" spans="1:17" ht="18" customHeight="1" x14ac:dyDescent="0.4">
      <c r="A67" s="233" t="str">
        <f t="shared" ca="1" si="10"/>
        <v/>
      </c>
      <c r="B67" s="4"/>
      <c r="C67" s="4"/>
      <c r="D67" s="40" t="str">
        <f t="shared" ca="1" si="11"/>
        <v>COPY</v>
      </c>
      <c r="E67" s="143">
        <v>41</v>
      </c>
      <c r="F67" s="234" cm="1">
        <f t="array" aca="1" ref="F67" ca="1">INDEX(OFFSET(auto_ss_depth_3_or_below,0,1,200,1),E67)</f>
        <v>41</v>
      </c>
      <c r="G67" s="234" cm="1">
        <f t="array" aca="1" ref="G67" ca="1">INDEX(auto_Series_Depth,F67)</f>
        <v>2</v>
      </c>
      <c r="H67" s="143" cm="1">
        <f t="array" aca="1" ref="H67" ca="1">INDEX(sys_DataFlat_LU_Grid,F67,1)-1</f>
        <v>2400</v>
      </c>
      <c r="I67" s="143">
        <f t="shared" ca="1" si="12"/>
        <v>2401</v>
      </c>
      <c r="J67" s="143">
        <f t="shared" ca="1" si="13"/>
        <v>2451</v>
      </c>
      <c r="K67" s="222">
        <f t="shared" ca="1" si="8"/>
        <v>13.3</v>
      </c>
      <c r="L67" s="222">
        <f t="shared" ca="1" si="14"/>
        <v>94.6</v>
      </c>
      <c r="M67" s="151" t="str" cm="1">
        <f t="array" aca="1" ref="M67" ca="1">INDEX(auto_ss_All_Series,F67)</f>
        <v>3.7) Obesity</v>
      </c>
      <c r="N67" s="228"/>
      <c r="O67" s="231" cm="1">
        <f t="array" aca="1" ref="O67" ca="1">IF($G67=1,"",INDEX(auto_DataFlat_Score,$I67,1))</f>
        <v>94.6</v>
      </c>
      <c r="P67" s="232" cm="1">
        <f t="array" aca="1" ref="P67" ca="1">IF($G67=1,"",INDEX(auto_DataFlat_Score,$J67,1))</f>
        <v>62.9</v>
      </c>
      <c r="Q67" s="54"/>
    </row>
    <row r="68" spans="1:17" ht="18" customHeight="1" x14ac:dyDescent="0.4">
      <c r="A68" s="233" t="str">
        <f t="shared" ca="1" si="10"/>
        <v>H</v>
      </c>
      <c r="B68" s="4"/>
      <c r="C68" s="4"/>
      <c r="D68" s="40" t="str">
        <f t="shared" ca="1" si="11"/>
        <v>COPY</v>
      </c>
      <c r="E68" s="143">
        <v>42</v>
      </c>
      <c r="F68" s="234" cm="1">
        <f t="array" aca="1" ref="F68" ca="1">INDEX(OFFSET(auto_ss_depth_3_or_below,0,1,200,1),E68)</f>
        <v>42</v>
      </c>
      <c r="G68" s="234" cm="1">
        <f t="array" aca="1" ref="G68" ca="1">INDEX(auto_Series_Depth,F68)</f>
        <v>3</v>
      </c>
      <c r="H68" s="143" cm="1">
        <f t="array" aca="1" ref="H68" ca="1">INDEX(sys_DataFlat_LU_Grid,F68,1)-1</f>
        <v>2460</v>
      </c>
      <c r="I68" s="143">
        <f t="shared" ca="1" si="12"/>
        <v>2461</v>
      </c>
      <c r="J68" s="143">
        <f t="shared" ca="1" si="13"/>
        <v>2511</v>
      </c>
      <c r="K68" s="222">
        <f t="shared" ca="1" si="8"/>
        <v>22.3</v>
      </c>
      <c r="L68" s="222">
        <f t="shared" ca="1" si="14"/>
        <v>89.1</v>
      </c>
      <c r="M68" s="151" t="str" cm="1">
        <f t="array" aca="1" ref="M68" ca="1">INDEX(auto_ss_All_Series,F68)</f>
        <v>3.7a) Obesity: national data</v>
      </c>
      <c r="N68" s="228"/>
      <c r="O68" s="231" cm="1">
        <f t="array" aca="1" ref="O68" ca="1">IF($G68=1,"",INDEX(auto_DataFlat_Score,$I68,1))</f>
        <v>89.1</v>
      </c>
      <c r="P68" s="232" cm="1">
        <f t="array" aca="1" ref="P68" ca="1">IF($G68=1,"",INDEX(auto_DataFlat_Score,$J68,1))</f>
        <v>51.7</v>
      </c>
      <c r="Q68" s="54"/>
    </row>
    <row r="69" spans="1:17" ht="18" customHeight="1" x14ac:dyDescent="0.4">
      <c r="A69" s="233" t="str">
        <f t="shared" ca="1" si="10"/>
        <v>H</v>
      </c>
      <c r="B69" s="4"/>
      <c r="C69" s="4"/>
      <c r="D69" s="40" t="str">
        <f t="shared" ca="1" si="11"/>
        <v>COPY</v>
      </c>
      <c r="E69" s="143">
        <v>43</v>
      </c>
      <c r="F69" s="234" cm="1">
        <f t="array" aca="1" ref="F69" ca="1">INDEX(OFFSET(auto_ss_depth_3_or_below,0,1,200,1),E69)</f>
        <v>43</v>
      </c>
      <c r="G69" s="234" cm="1">
        <f t="array" aca="1" ref="G69" ca="1">INDEX(auto_Series_Depth,F69)</f>
        <v>3</v>
      </c>
      <c r="H69" s="143" cm="1">
        <f t="array" aca="1" ref="H69" ca="1">INDEX(sys_DataFlat_LU_Grid,F69,1)-1</f>
        <v>2520</v>
      </c>
      <c r="I69" s="143">
        <f t="shared" ca="1" si="12"/>
        <v>2521</v>
      </c>
      <c r="J69" s="143">
        <f t="shared" ca="1" si="13"/>
        <v>2571</v>
      </c>
      <c r="K69" s="222">
        <f t="shared" ca="1" si="8"/>
        <v>0</v>
      </c>
      <c r="L69" s="222">
        <f t="shared" ca="1" si="14"/>
        <v>100</v>
      </c>
      <c r="M69" s="151" t="str" cm="1">
        <f t="array" aca="1" ref="M69" ca="1">INDEX(auto_ss_All_Series,F69)</f>
        <v>3.7b) Obesity: city-level data availability</v>
      </c>
      <c r="N69" s="228"/>
      <c r="O69" s="231" cm="1">
        <f t="array" aca="1" ref="O69" ca="1">IF($G69=1,"",INDEX(auto_DataFlat_Score,$I69,1))</f>
        <v>100</v>
      </c>
      <c r="P69" s="232" cm="1">
        <f t="array" aca="1" ref="P69" ca="1">IF($G69=1,"",INDEX(auto_DataFlat_Score,$J69,1))</f>
        <v>74</v>
      </c>
      <c r="Q69" s="54"/>
    </row>
    <row r="70" spans="1:17" ht="18" customHeight="1" x14ac:dyDescent="0.4">
      <c r="A70" s="233" t="str">
        <f t="shared" ca="1" si="10"/>
        <v/>
      </c>
      <c r="B70" s="4"/>
      <c r="C70" s="4"/>
      <c r="D70" s="40" t="str">
        <f t="shared" ca="1" si="11"/>
        <v>COPY</v>
      </c>
      <c r="E70" s="143">
        <v>44</v>
      </c>
      <c r="F70" s="234" cm="1">
        <f t="array" aca="1" ref="F70" ca="1">INDEX(OFFSET(auto_ss_depth_3_or_below,0,1,200,1),E70)</f>
        <v>44</v>
      </c>
      <c r="G70" s="234" cm="1">
        <f t="array" aca="1" ref="G70" ca="1">INDEX(auto_Series_Depth,F70)</f>
        <v>2</v>
      </c>
      <c r="H70" s="143" cm="1">
        <f t="array" aca="1" ref="H70" ca="1">INDEX(sys_DataFlat_LU_Grid,F70,1)-1</f>
        <v>2580</v>
      </c>
      <c r="I70" s="143">
        <f t="shared" ca="1" si="12"/>
        <v>2581</v>
      </c>
      <c r="J70" s="143">
        <f t="shared" ca="1" si="13"/>
        <v>2631</v>
      </c>
      <c r="K70" s="222">
        <f t="shared" ca="1" si="8"/>
        <v>15.9</v>
      </c>
      <c r="L70" s="222">
        <f t="shared" ca="1" si="14"/>
        <v>75.7</v>
      </c>
      <c r="M70" s="151" t="str" cm="1">
        <f t="array" aca="1" ref="M70" ca="1">INDEX(auto_ss_All_Series,F70)</f>
        <v>3.8) Cholesterol</v>
      </c>
      <c r="N70" s="228"/>
      <c r="O70" s="231" cm="1">
        <f t="array" aca="1" ref="O70" ca="1">IF($G70=1,"",INDEX(auto_DataFlat_Score,$I70,1))</f>
        <v>30.5</v>
      </c>
      <c r="P70" s="232" cm="1">
        <f t="array" aca="1" ref="P70" ca="1">IF($G70=1,"",INDEX(auto_DataFlat_Score,$J70,1))</f>
        <v>31.8</v>
      </c>
      <c r="Q70" s="54"/>
    </row>
    <row r="71" spans="1:17" ht="18" customHeight="1" x14ac:dyDescent="0.4">
      <c r="A71" s="233" t="str">
        <f t="shared" ca="1" si="10"/>
        <v>H</v>
      </c>
      <c r="B71" s="4"/>
      <c r="C71" s="4"/>
      <c r="D71" s="40" t="str">
        <f t="shared" ca="1" si="11"/>
        <v>COPY</v>
      </c>
      <c r="E71" s="143">
        <v>45</v>
      </c>
      <c r="F71" s="234" cm="1">
        <f t="array" aca="1" ref="F71" ca="1">INDEX(OFFSET(auto_ss_depth_3_or_below,0,1,200,1),E71)</f>
        <v>45</v>
      </c>
      <c r="G71" s="234" cm="1">
        <f t="array" aca="1" ref="G71" ca="1">INDEX(auto_Series_Depth,F71)</f>
        <v>3</v>
      </c>
      <c r="H71" s="143" cm="1">
        <f t="array" aca="1" ref="H71" ca="1">INDEX(sys_DataFlat_LU_Grid,F71,1)-1</f>
        <v>2640</v>
      </c>
      <c r="I71" s="143">
        <f t="shared" ca="1" si="12"/>
        <v>2641</v>
      </c>
      <c r="J71" s="143">
        <f t="shared" ca="1" si="13"/>
        <v>2691</v>
      </c>
      <c r="K71" s="222">
        <f t="shared" ca="1" si="8"/>
        <v>28.8</v>
      </c>
      <c r="L71" s="222">
        <f t="shared" ca="1" si="14"/>
        <v>61</v>
      </c>
      <c r="M71" s="151" t="str" cm="1">
        <f t="array" aca="1" ref="M71" ca="1">INDEX(auto_ss_All_Series,F71)</f>
        <v>3.8a) Mean blood cholesterol: national data</v>
      </c>
      <c r="N71" s="228"/>
      <c r="O71" s="231" cm="1">
        <f t="array" aca="1" ref="O71" ca="1">IF($G71=1,"",INDEX(auto_DataFlat_Score,$I71,1))</f>
        <v>61</v>
      </c>
      <c r="P71" s="232" cm="1">
        <f t="array" aca="1" ref="P71" ca="1">IF($G71=1,"",INDEX(auto_DataFlat_Score,$J71,1))</f>
        <v>41.5</v>
      </c>
      <c r="Q71" s="54"/>
    </row>
    <row r="72" spans="1:17" ht="18" customHeight="1" x14ac:dyDescent="0.4">
      <c r="A72" s="233" t="str">
        <f t="shared" ca="1" si="10"/>
        <v>H</v>
      </c>
      <c r="B72" s="4"/>
      <c r="C72" s="4"/>
      <c r="D72" s="40" t="str">
        <f t="shared" ca="1" si="11"/>
        <v>COPY</v>
      </c>
      <c r="E72" s="143">
        <v>46</v>
      </c>
      <c r="F72" s="234" cm="1">
        <f t="array" aca="1" ref="F72" ca="1">INDEX(OFFSET(auto_ss_depth_3_or_below,0,1,200,1),E72)</f>
        <v>46</v>
      </c>
      <c r="G72" s="234" cm="1">
        <f t="array" aca="1" ref="G72" ca="1">INDEX(auto_Series_Depth,F72)</f>
        <v>3</v>
      </c>
      <c r="H72" s="143" cm="1">
        <f t="array" aca="1" ref="H72" ca="1">INDEX(sys_DataFlat_LU_Grid,F72,1)-1</f>
        <v>2700</v>
      </c>
      <c r="I72" s="143">
        <f t="shared" ca="1" si="12"/>
        <v>2701</v>
      </c>
      <c r="J72" s="143">
        <f t="shared" ca="1" si="13"/>
        <v>2751</v>
      </c>
      <c r="K72" s="222">
        <f t="shared" ca="1" si="8"/>
        <v>0</v>
      </c>
      <c r="L72" s="222">
        <f t="shared" ca="1" si="14"/>
        <v>100</v>
      </c>
      <c r="M72" s="151" t="str" cm="1">
        <f t="array" aca="1" ref="M72" ca="1">INDEX(auto_ss_All_Series,F72)</f>
        <v>3.8b) Cholesterol: city-level data availability</v>
      </c>
      <c r="N72" s="228"/>
      <c r="O72" s="231" cm="1">
        <f t="array" aca="1" ref="O72" ca="1">IF($G72=1,"",INDEX(auto_DataFlat_Score,$I72,1))</f>
        <v>0</v>
      </c>
      <c r="P72" s="232" cm="1">
        <f t="array" aca="1" ref="P72" ca="1">IF($G72=1,"",INDEX(auto_DataFlat_Score,$J72,1))</f>
        <v>22</v>
      </c>
      <c r="Q72" s="54"/>
    </row>
    <row r="73" spans="1:17" ht="35.25" customHeight="1" x14ac:dyDescent="0.4">
      <c r="A73" s="233" t="str">
        <f t="shared" ca="1" si="10"/>
        <v/>
      </c>
      <c r="B73" s="4"/>
      <c r="C73" s="4"/>
      <c r="D73" s="40" t="str">
        <f t="shared" ca="1" si="11"/>
        <v/>
      </c>
      <c r="E73" s="143">
        <v>47</v>
      </c>
      <c r="F73" s="234" cm="1">
        <f t="array" aca="1" ref="F73" ca="1">INDEX(OFFSET(auto_ss_depth_3_or_below,0,1,200,1),E73)</f>
        <v>47</v>
      </c>
      <c r="G73" s="234" cm="1">
        <f t="array" aca="1" ref="G73" ca="1">INDEX(auto_Series_Depth,F73)</f>
        <v>1</v>
      </c>
      <c r="H73" s="143" cm="1">
        <f t="array" aca="1" ref="H73" ca="1">INDEX(sys_DataFlat_LU_Grid,F73,1)-1</f>
        <v>2760</v>
      </c>
      <c r="I73" s="143">
        <f t="shared" ca="1" si="12"/>
        <v>2761</v>
      </c>
      <c r="J73" s="143">
        <f t="shared" ca="1" si="13"/>
        <v>2811</v>
      </c>
      <c r="K73" s="222">
        <f t="shared" ca="1" si="8"/>
        <v>19.100000000000001</v>
      </c>
      <c r="L73" s="222">
        <f t="shared" ca="1" si="14"/>
        <v>91.9</v>
      </c>
      <c r="M73" s="36" t="str" cm="1">
        <f t="array" aca="1" ref="M73" ca="1">INDEX(auto_ss_All_Series,F73)</f>
        <v>4) HEALTH SERVICES</v>
      </c>
      <c r="N73" s="143"/>
      <c r="O73" s="235" t="str">
        <f>$E$11</f>
        <v>ADD</v>
      </c>
      <c r="P73" s="226" t="str">
        <f>$E$12</f>
        <v>AVG</v>
      </c>
      <c r="Q73" s="143"/>
    </row>
    <row r="74" spans="1:17" ht="18" customHeight="1" x14ac:dyDescent="0.4">
      <c r="A74" s="233" t="str">
        <f t="shared" ca="1" si="10"/>
        <v/>
      </c>
      <c r="B74" s="4"/>
      <c r="C74" s="4"/>
      <c r="D74" s="40" t="str">
        <f t="shared" ca="1" si="11"/>
        <v>COPY</v>
      </c>
      <c r="E74" s="143">
        <v>48</v>
      </c>
      <c r="F74" s="234" cm="1">
        <f t="array" aca="1" ref="F74" ca="1">INDEX(OFFSET(auto_ss_depth_3_or_below,0,1,200,1),E74)</f>
        <v>48</v>
      </c>
      <c r="G74" s="234" cm="1">
        <f t="array" aca="1" ref="G74" ca="1">INDEX(auto_Series_Depth,F74)</f>
        <v>2</v>
      </c>
      <c r="H74" s="143" cm="1">
        <f t="array" aca="1" ref="H74" ca="1">INDEX(sys_DataFlat_LU_Grid,F74,1)-1</f>
        <v>2820</v>
      </c>
      <c r="I74" s="143">
        <f t="shared" ca="1" si="12"/>
        <v>2821</v>
      </c>
      <c r="J74" s="143">
        <f t="shared" ca="1" si="13"/>
        <v>2871</v>
      </c>
      <c r="K74" s="222">
        <f t="shared" ca="1" si="8"/>
        <v>0</v>
      </c>
      <c r="L74" s="222">
        <f t="shared" ca="1" si="14"/>
        <v>100</v>
      </c>
      <c r="M74" s="151" t="str" cm="1">
        <f t="array" aca="1" ref="M74" ca="1">INDEX(auto_ss_All_Series,F74)</f>
        <v>4.1) Access to medicines</v>
      </c>
      <c r="N74" s="228"/>
      <c r="O74" s="231" cm="1">
        <f t="array" aca="1" ref="O74" ca="1">IF($G74=1,"",INDEX(auto_DataFlat_Score,$I74,1))</f>
        <v>0</v>
      </c>
      <c r="P74" s="232" cm="1">
        <f t="array" aca="1" ref="P74" ca="1">IF($G74=1,"",INDEX(auto_DataFlat_Score,$J74,1))</f>
        <v>89</v>
      </c>
      <c r="Q74" s="54"/>
    </row>
    <row r="75" spans="1:17" ht="18" customHeight="1" x14ac:dyDescent="0.4">
      <c r="A75" s="233" t="str">
        <f t="shared" ca="1" si="10"/>
        <v/>
      </c>
      <c r="B75" s="4"/>
      <c r="C75" s="4"/>
      <c r="D75" s="40" t="str">
        <f t="shared" ca="1" si="11"/>
        <v>COPY</v>
      </c>
      <c r="E75" s="143">
        <v>49</v>
      </c>
      <c r="F75" s="234" cm="1">
        <f t="array" aca="1" ref="F75" ca="1">INDEX(OFFSET(auto_ss_depth_3_or_below,0,1,200,1),E75)</f>
        <v>49</v>
      </c>
      <c r="G75" s="234" cm="1">
        <f t="array" aca="1" ref="G75" ca="1">INDEX(auto_Series_Depth,F75)</f>
        <v>2</v>
      </c>
      <c r="H75" s="143" cm="1">
        <f t="array" aca="1" ref="H75" ca="1">INDEX(sys_DataFlat_LU_Grid,F75,1)-1</f>
        <v>2880</v>
      </c>
      <c r="I75" s="143">
        <f t="shared" ca="1" si="12"/>
        <v>2881</v>
      </c>
      <c r="J75" s="143">
        <f t="shared" ca="1" si="13"/>
        <v>2931</v>
      </c>
      <c r="K75" s="222">
        <f t="shared" ca="1" si="8"/>
        <v>33</v>
      </c>
      <c r="L75" s="222">
        <f t="shared" ca="1" si="14"/>
        <v>80</v>
      </c>
      <c r="M75" s="151" t="str" cm="1">
        <f t="array" aca="1" ref="M75" ca="1">INDEX(auto_ss_All_Series,F75)</f>
        <v>4.2) Hypertension diagnosis coverage</v>
      </c>
      <c r="N75" s="228"/>
      <c r="O75" s="231" cm="1">
        <f t="array" aca="1" ref="O75" ca="1">IF($G75=1,"",INDEX(auto_DataFlat_Score,$I75,1))</f>
        <v>34</v>
      </c>
      <c r="P75" s="232" cm="1">
        <f t="array" aca="1" ref="P75" ca="1">IF($G75=1,"",INDEX(auto_DataFlat_Score,$J75,1))</f>
        <v>56.9</v>
      </c>
      <c r="Q75" s="54"/>
    </row>
    <row r="76" spans="1:17" ht="18" customHeight="1" x14ac:dyDescent="0.4">
      <c r="A76" s="233" t="str">
        <f t="shared" ca="1" si="10"/>
        <v/>
      </c>
      <c r="B76" s="4"/>
      <c r="C76" s="4"/>
      <c r="D76" s="40" t="str">
        <f t="shared" ca="1" si="11"/>
        <v>COPY</v>
      </c>
      <c r="E76" s="143">
        <v>50</v>
      </c>
      <c r="F76" s="234" cm="1">
        <f t="array" aca="1" ref="F76" ca="1">INDEX(OFFSET(auto_ss_depth_3_or_below,0,1,200,1),E76)</f>
        <v>50</v>
      </c>
      <c r="G76" s="234" cm="1">
        <f t="array" aca="1" ref="G76" ca="1">INDEX(auto_Series_Depth,F76)</f>
        <v>2</v>
      </c>
      <c r="H76" s="143" cm="1">
        <f t="array" aca="1" ref="H76" ca="1">INDEX(sys_DataFlat_LU_Grid,F76,1)-1</f>
        <v>2940</v>
      </c>
      <c r="I76" s="143">
        <f t="shared" ca="1" si="12"/>
        <v>2941</v>
      </c>
      <c r="J76" s="143">
        <f t="shared" ca="1" si="13"/>
        <v>2991</v>
      </c>
      <c r="K76" s="222">
        <f t="shared" ca="1" si="8"/>
        <v>26.3</v>
      </c>
      <c r="L76" s="222">
        <f t="shared" ca="1" si="14"/>
        <v>87.5</v>
      </c>
      <c r="M76" s="151" t="str" cm="1">
        <f t="array" aca="1" ref="M76" ca="1">INDEX(auto_ss_All_Series,F76)</f>
        <v>4.3) Undiagnosed diabetes</v>
      </c>
      <c r="N76" s="228"/>
      <c r="O76" s="231" cm="1">
        <f t="array" aca="1" ref="O76" ca="1">IF($G76=1,"",INDEX(auto_DataFlat_Score,$I76,1))</f>
        <v>42.4</v>
      </c>
      <c r="P76" s="232" cm="1">
        <f t="array" aca="1" ref="P76" ca="1">IF($G76=1,"",INDEX(auto_DataFlat_Score,$J76,1))</f>
        <v>59</v>
      </c>
      <c r="Q76" s="54"/>
    </row>
    <row r="77" spans="1:17" ht="18" customHeight="1" x14ac:dyDescent="0.4">
      <c r="A77" s="233" t="str">
        <f t="shared" ca="1" si="10"/>
        <v/>
      </c>
      <c r="B77" s="4"/>
      <c r="C77" s="4"/>
      <c r="D77" s="40" t="str">
        <f t="shared" ca="1" si="11"/>
        <v>COPY</v>
      </c>
      <c r="E77" s="143">
        <v>51</v>
      </c>
      <c r="F77" s="234" cm="1">
        <f t="array" aca="1" ref="F77" ca="1">INDEX(OFFSET(auto_ss_depth_3_or_below,0,1,200,1),E77)</f>
        <v>51</v>
      </c>
      <c r="G77" s="234" cm="1">
        <f t="array" aca="1" ref="G77" ca="1">INDEX(auto_Series_Depth,F77)</f>
        <v>2</v>
      </c>
      <c r="H77" s="143" cm="1">
        <f t="array" aca="1" ref="H77" ca="1">INDEX(sys_DataFlat_LU_Grid,F77,1)-1</f>
        <v>3000</v>
      </c>
      <c r="I77" s="143">
        <f t="shared" ca="1" si="12"/>
        <v>3001</v>
      </c>
      <c r="J77" s="143">
        <f t="shared" ca="1" si="13"/>
        <v>3051</v>
      </c>
      <c r="K77" s="222">
        <f t="shared" ca="1" si="8"/>
        <v>0</v>
      </c>
      <c r="L77" s="222">
        <f t="shared" ca="1" si="14"/>
        <v>100</v>
      </c>
      <c r="M77" s="151" t="str" cm="1">
        <f t="array" aca="1" ref="M77" ca="1">INDEX(auto_ss_All_Series,F77)</f>
        <v>4.4) Patient-centred care</v>
      </c>
      <c r="N77" s="228"/>
      <c r="O77" s="231" cm="1">
        <f t="array" aca="1" ref="O77" ca="1">IF($G77=1,"",INDEX(auto_DataFlat_Score,$I77,1))</f>
        <v>0</v>
      </c>
      <c r="P77" s="232" cm="1">
        <f t="array" aca="1" ref="P77" ca="1">IF($G77=1,"",INDEX(auto_DataFlat_Score,$J77,1))</f>
        <v>52</v>
      </c>
      <c r="Q77" s="54"/>
    </row>
    <row r="78" spans="1:17" ht="35.25" customHeight="1" x14ac:dyDescent="0.4">
      <c r="A78" s="233" t="str">
        <f t="shared" ca="1" si="10"/>
        <v/>
      </c>
      <c r="B78" s="4"/>
      <c r="C78" s="4"/>
      <c r="D78" s="40" t="str">
        <f t="shared" ca="1" si="11"/>
        <v/>
      </c>
      <c r="E78" s="143">
        <v>52</v>
      </c>
      <c r="F78" s="234" cm="1">
        <f t="array" aca="1" ref="F78" ca="1">INDEX(OFFSET(auto_ss_depth_3_or_below,0,1,200,1),E78)</f>
        <v>52</v>
      </c>
      <c r="G78" s="234" cm="1">
        <f t="array" aca="1" ref="G78" ca="1">INDEX(auto_Series_Depth,F78)</f>
        <v>1</v>
      </c>
      <c r="H78" s="143" cm="1">
        <f t="array" aca="1" ref="H78" ca="1">INDEX(sys_DataFlat_LU_Grid,F78,1)-1</f>
        <v>3060</v>
      </c>
      <c r="I78" s="143">
        <f t="shared" ca="1" si="12"/>
        <v>3061</v>
      </c>
      <c r="J78" s="143">
        <f t="shared" ca="1" si="13"/>
        <v>3111</v>
      </c>
      <c r="K78" s="222">
        <f t="shared" ca="1" si="8"/>
        <v>37</v>
      </c>
      <c r="L78" s="222">
        <f t="shared" ca="1" si="14"/>
        <v>96.3</v>
      </c>
      <c r="M78" s="36" t="str" cm="1">
        <f t="array" aca="1" ref="M78" ca="1">INDEX(auto_ss_All_Series,F78)</f>
        <v>5) GOVERNANCE</v>
      </c>
      <c r="N78" s="143"/>
      <c r="O78" s="235" t="str">
        <f>$E$11</f>
        <v>ADD</v>
      </c>
      <c r="P78" s="226" t="str">
        <f>$E$12</f>
        <v>AVG</v>
      </c>
      <c r="Q78" s="143"/>
    </row>
    <row r="79" spans="1:17" ht="18" customHeight="1" x14ac:dyDescent="0.4">
      <c r="A79" s="233" t="str">
        <f t="shared" ca="1" si="10"/>
        <v/>
      </c>
      <c r="B79" s="4"/>
      <c r="C79" s="4"/>
      <c r="D79" s="40" t="str">
        <f t="shared" ca="1" si="11"/>
        <v>COPY</v>
      </c>
      <c r="E79" s="143">
        <v>53</v>
      </c>
      <c r="F79" s="234" cm="1">
        <f t="array" aca="1" ref="F79" ca="1">INDEX(OFFSET(auto_ss_depth_3_or_below,0,1,200,1),E79)</f>
        <v>53</v>
      </c>
      <c r="G79" s="234" cm="1">
        <f t="array" aca="1" ref="G79" ca="1">INDEX(auto_Series_Depth,F79)</f>
        <v>2</v>
      </c>
      <c r="H79" s="143" cm="1">
        <f t="array" aca="1" ref="H79" ca="1">INDEX(sys_DataFlat_LU_Grid,F79,1)-1</f>
        <v>3120</v>
      </c>
      <c r="I79" s="143">
        <f t="shared" ca="1" si="12"/>
        <v>3121</v>
      </c>
      <c r="J79" s="143">
        <f t="shared" ca="1" si="13"/>
        <v>3171</v>
      </c>
      <c r="K79" s="222">
        <f t="shared" ca="1" si="8"/>
        <v>0</v>
      </c>
      <c r="L79" s="222">
        <f t="shared" ca="1" si="14"/>
        <v>100</v>
      </c>
      <c r="M79" s="151" t="str" cm="1">
        <f t="array" aca="1" ref="M79" ca="1">INDEX(auto_ss_All_Series,F79)</f>
        <v>5.1) Regulatory power</v>
      </c>
      <c r="N79" s="228"/>
      <c r="O79" s="231" cm="1">
        <f t="array" aca="1" ref="O79" ca="1">IF($G79=1,"",INDEX(auto_DataFlat_Score,$I79,1))</f>
        <v>100</v>
      </c>
      <c r="P79" s="232" cm="1">
        <f t="array" aca="1" ref="P79" ca="1">IF($G79=1,"",INDEX(auto_DataFlat_Score,$J79,1))</f>
        <v>52</v>
      </c>
      <c r="Q79" s="54"/>
    </row>
    <row r="80" spans="1:17" ht="18" customHeight="1" x14ac:dyDescent="0.4">
      <c r="A80" s="233" t="str">
        <f t="shared" ca="1" si="10"/>
        <v/>
      </c>
      <c r="B80" s="4"/>
      <c r="C80" s="4"/>
      <c r="D80" s="40" t="str">
        <f t="shared" ca="1" si="11"/>
        <v>COPY</v>
      </c>
      <c r="E80" s="143">
        <v>54</v>
      </c>
      <c r="F80" s="234" cm="1">
        <f t="array" aca="1" ref="F80" ca="1">INDEX(OFFSET(auto_ss_depth_3_or_below,0,1,200,1),E80)</f>
        <v>54</v>
      </c>
      <c r="G80" s="234" cm="1">
        <f t="array" aca="1" ref="G80" ca="1">INDEX(auto_Series_Depth,F80)</f>
        <v>2</v>
      </c>
      <c r="H80" s="143" cm="1">
        <f t="array" aca="1" ref="H80" ca="1">INDEX(sys_DataFlat_LU_Grid,F80,1)-1</f>
        <v>3180</v>
      </c>
      <c r="I80" s="143">
        <f t="shared" ca="1" si="12"/>
        <v>3181</v>
      </c>
      <c r="J80" s="143">
        <f t="shared" ca="1" si="13"/>
        <v>3231</v>
      </c>
      <c r="K80" s="222">
        <f t="shared" ca="1" si="8"/>
        <v>33.299999999999997</v>
      </c>
      <c r="L80" s="222">
        <f t="shared" ca="1" si="14"/>
        <v>100</v>
      </c>
      <c r="M80" s="151" t="str" cm="1">
        <f t="array" aca="1" ref="M80" ca="1">INDEX(auto_ss_All_Series,F80)</f>
        <v>5.2) Political will</v>
      </c>
      <c r="N80" s="228"/>
      <c r="O80" s="231" cm="1">
        <f t="array" aca="1" ref="O80" ca="1">IF($G80=1,"",INDEX(auto_DataFlat_Score,$I80,1))</f>
        <v>100</v>
      </c>
      <c r="P80" s="232" cm="1">
        <f t="array" aca="1" ref="P80" ca="1">IF($G80=1,"",INDEX(auto_DataFlat_Score,$J80,1))</f>
        <v>88.7</v>
      </c>
      <c r="Q80" s="54"/>
    </row>
    <row r="81" spans="1:17" ht="18" customHeight="1" x14ac:dyDescent="0.4">
      <c r="A81" s="233" t="str">
        <f t="shared" ca="1" si="10"/>
        <v/>
      </c>
      <c r="B81" s="4"/>
      <c r="C81" s="4"/>
      <c r="D81" s="40" t="str">
        <f t="shared" ca="1" si="11"/>
        <v>COPY</v>
      </c>
      <c r="E81" s="143">
        <v>55</v>
      </c>
      <c r="F81" s="234" cm="1">
        <f t="array" aca="1" ref="F81" ca="1">INDEX(OFFSET(auto_ss_depth_3_or_below,0,1,200,1),E81)</f>
        <v>55</v>
      </c>
      <c r="G81" s="234" cm="1">
        <f t="array" aca="1" ref="G81" ca="1">INDEX(auto_Series_Depth,F81)</f>
        <v>2</v>
      </c>
      <c r="H81" s="143" cm="1">
        <f t="array" aca="1" ref="H81" ca="1">INDEX(sys_DataFlat_LU_Grid,F81,1)-1</f>
        <v>3240</v>
      </c>
      <c r="I81" s="143">
        <f t="shared" ca="1" si="12"/>
        <v>3241</v>
      </c>
      <c r="J81" s="143">
        <f t="shared" ca="1" si="13"/>
        <v>3291</v>
      </c>
      <c r="K81" s="222">
        <f t="shared" ca="1" si="8"/>
        <v>0</v>
      </c>
      <c r="L81" s="222">
        <f t="shared" ca="1" si="14"/>
        <v>100</v>
      </c>
      <c r="M81" s="151" t="str" cm="1">
        <f t="array" aca="1" ref="M81" ca="1">INDEX(auto_ss_All_Series,F81)</f>
        <v>5.3) Urban health plan</v>
      </c>
      <c r="N81" s="4"/>
      <c r="O81" s="231" cm="1">
        <f t="array" aca="1" ref="O81" ca="1">IF($G81=1,"",INDEX(auto_DataFlat_Score,$I81,1))</f>
        <v>66.7</v>
      </c>
      <c r="P81" s="232" cm="1">
        <f t="array" aca="1" ref="P81" ca="1">IF($G81=1,"",INDEX(auto_DataFlat_Score,$J81,1))</f>
        <v>60.7</v>
      </c>
      <c r="Q81" s="54"/>
    </row>
    <row r="82" spans="1:17" ht="18" customHeight="1" x14ac:dyDescent="0.4">
      <c r="A82" s="233" t="str">
        <f t="shared" ca="1" si="10"/>
        <v>H</v>
      </c>
      <c r="B82" s="4"/>
      <c r="C82" s="4"/>
      <c r="D82" s="40" t="str">
        <f t="shared" ca="1" si="11"/>
        <v>COPY</v>
      </c>
      <c r="E82" s="143">
        <v>56</v>
      </c>
      <c r="F82" s="234" cm="1">
        <f t="array" aca="1" ref="F82" ca="1">INDEX(OFFSET(auto_ss_depth_3_or_below,0,1,200,1),E82)</f>
        <v>56</v>
      </c>
      <c r="G82" s="234" cm="1">
        <f t="array" aca="1" ref="G82" ca="1">INDEX(auto_Series_Depth,F82)</f>
        <v>3</v>
      </c>
      <c r="H82" s="143" cm="1">
        <f t="array" aca="1" ref="H82" ca="1">INDEX(sys_DataFlat_LU_Grid,F82,1)-1</f>
        <v>3300</v>
      </c>
      <c r="I82" s="143">
        <f t="shared" ca="1" si="12"/>
        <v>3301</v>
      </c>
      <c r="J82" s="143">
        <f t="shared" ca="1" si="13"/>
        <v>3351</v>
      </c>
      <c r="K82" s="222">
        <f t="shared" ca="1" si="8"/>
        <v>0</v>
      </c>
      <c r="L82" s="222">
        <f t="shared" ca="1" si="14"/>
        <v>100</v>
      </c>
      <c r="M82" s="151" t="str" cm="1">
        <f t="array" aca="1" ref="M82" ca="1">INDEX(auto_ss_All_Series,F82)</f>
        <v>5.3a) Urban health plan: components</v>
      </c>
      <c r="N82" s="228"/>
      <c r="O82" s="231" cm="1">
        <f t="array" aca="1" ref="O82" ca="1">IF($G82=1,"",INDEX(auto_DataFlat_Score,$I82,1))</f>
        <v>33.299999999999997</v>
      </c>
      <c r="P82" s="232" cm="1">
        <f t="array" aca="1" ref="P82" ca="1">IF($G82=1,"",INDEX(auto_DataFlat_Score,$J82,1))</f>
        <v>55.3</v>
      </c>
      <c r="Q82" s="54"/>
    </row>
    <row r="83" spans="1:17" ht="18" customHeight="1" x14ac:dyDescent="0.4">
      <c r="A83" s="233" t="str">
        <f t="shared" ca="1" si="10"/>
        <v>H</v>
      </c>
      <c r="B83" s="4"/>
      <c r="C83" s="4"/>
      <c r="D83" s="40" t="str">
        <f t="shared" ca="1" si="11"/>
        <v>COPY</v>
      </c>
      <c r="E83" s="143">
        <v>57</v>
      </c>
      <c r="F83" s="234" cm="1">
        <f t="array" aca="1" ref="F83" ca="1">INDEX(OFFSET(auto_ss_depth_3_or_below,0,1,200,1),E83)</f>
        <v>57</v>
      </c>
      <c r="G83" s="234" cm="1">
        <f t="array" aca="1" ref="G83" ca="1">INDEX(auto_Series_Depth,F83)</f>
        <v>3</v>
      </c>
      <c r="H83" s="143" cm="1">
        <f t="array" aca="1" ref="H83" ca="1">INDEX(sys_DataFlat_LU_Grid,F83,1)-1</f>
        <v>3360</v>
      </c>
      <c r="I83" s="143">
        <f t="shared" ca="1" si="12"/>
        <v>3361</v>
      </c>
      <c r="J83" s="143">
        <f t="shared" ca="1" si="13"/>
        <v>3411</v>
      </c>
      <c r="K83" s="222">
        <f t="shared" ca="1" si="8"/>
        <v>0</v>
      </c>
      <c r="L83" s="222">
        <f t="shared" ca="1" si="14"/>
        <v>100</v>
      </c>
      <c r="M83" s="151" t="str" cm="1">
        <f t="array" aca="1" ref="M83" ca="1">INDEX(auto_ss_All_Series,F83)</f>
        <v>5.3b) Urban health plan: stakeholder engagement</v>
      </c>
      <c r="N83" s="228"/>
      <c r="O83" s="231" cm="1">
        <f t="array" aca="1" ref="O83" ca="1">IF($G83=1,"",INDEX(auto_DataFlat_Score,$I83,1))</f>
        <v>100</v>
      </c>
      <c r="P83" s="232" cm="1">
        <f t="array" aca="1" ref="P83" ca="1">IF($G83=1,"",INDEX(auto_DataFlat_Score,$J83,1))</f>
        <v>66</v>
      </c>
      <c r="Q83" s="54"/>
    </row>
    <row r="84" spans="1:17" ht="18" customHeight="1" x14ac:dyDescent="0.4">
      <c r="A84" s="233" t="str">
        <f t="shared" ca="1" si="10"/>
        <v/>
      </c>
      <c r="B84" s="4"/>
      <c r="C84" s="4"/>
      <c r="D84" s="40" t="str">
        <f t="shared" ca="1" si="11"/>
        <v>COPY</v>
      </c>
      <c r="E84" s="143">
        <v>58</v>
      </c>
      <c r="F84" s="234" cm="1">
        <f t="array" aca="1" ref="F84" ca="1">INDEX(OFFSET(auto_ss_depth_3_or_below,0,1,200,1),E84)</f>
        <v>58</v>
      </c>
      <c r="G84" s="234" cm="1">
        <f t="array" aca="1" ref="G84" ca="1">INDEX(auto_Series_Depth,F84)</f>
        <v>2</v>
      </c>
      <c r="H84" s="143" cm="1">
        <f t="array" aca="1" ref="H84" ca="1">INDEX(sys_DataFlat_LU_Grid,F84,1)-1</f>
        <v>3420</v>
      </c>
      <c r="I84" s="143">
        <f t="shared" ca="1" si="12"/>
        <v>3421</v>
      </c>
      <c r="J84" s="143">
        <f t="shared" ca="1" si="13"/>
        <v>3471</v>
      </c>
      <c r="K84" s="222">
        <f t="shared" ca="1" si="8"/>
        <v>0</v>
      </c>
      <c r="L84" s="222">
        <f t="shared" ca="1" si="14"/>
        <v>100</v>
      </c>
      <c r="M84" s="151" t="str" cm="1">
        <f t="array" aca="1" ref="M84" ca="1">INDEX(auto_ss_All_Series,F84)</f>
        <v>5.4) Healthy diet policies</v>
      </c>
      <c r="N84" s="228"/>
      <c r="O84" s="231" cm="1">
        <f t="array" aca="1" ref="O84" ca="1">IF($G84=1,"",INDEX(auto_DataFlat_Score,$I84,1))</f>
        <v>0</v>
      </c>
      <c r="P84" s="232" cm="1">
        <f t="array" aca="1" ref="P84" ca="1">IF($G84=1,"",INDEX(auto_DataFlat_Score,$J84,1))</f>
        <v>55</v>
      </c>
      <c r="Q84" s="54"/>
    </row>
    <row r="85" spans="1:17" ht="18" customHeight="1" x14ac:dyDescent="0.4">
      <c r="A85" s="233" t="str">
        <f t="shared" ca="1" si="10"/>
        <v/>
      </c>
      <c r="B85" s="4"/>
      <c r="C85" s="4"/>
      <c r="D85" s="40" t="str">
        <f t="shared" ca="1" si="11"/>
        <v>COPY</v>
      </c>
      <c r="E85" s="143">
        <v>59</v>
      </c>
      <c r="F85" s="234" cm="1">
        <f t="array" aca="1" ref="F85" ca="1">INDEX(OFFSET(auto_ss_depth_3_or_below,0,1,200,1),E85)</f>
        <v>59</v>
      </c>
      <c r="G85" s="234" cm="1">
        <f t="array" aca="1" ref="G85" ca="1">INDEX(auto_Series_Depth,F85)</f>
        <v>2</v>
      </c>
      <c r="H85" s="143" cm="1">
        <f t="array" aca="1" ref="H85" ca="1">INDEX(sys_DataFlat_LU_Grid,F85,1)-1</f>
        <v>3480</v>
      </c>
      <c r="I85" s="143">
        <f t="shared" ca="1" si="12"/>
        <v>3481</v>
      </c>
      <c r="J85" s="143">
        <f t="shared" ca="1" si="13"/>
        <v>3531</v>
      </c>
      <c r="K85" s="222">
        <f t="shared" ca="1" si="8"/>
        <v>0</v>
      </c>
      <c r="L85" s="222">
        <f t="shared" ca="1" si="14"/>
        <v>100</v>
      </c>
      <c r="M85" s="151" t="str" cm="1">
        <f t="array" aca="1" ref="M85" ca="1">INDEX(auto_ss_All_Series,F85)</f>
        <v>5.5) CVD management guidelines</v>
      </c>
      <c r="N85" s="228"/>
      <c r="O85" s="231" cm="1">
        <f t="array" aca="1" ref="O85" ca="1">IF($G85=1,"",INDEX(auto_DataFlat_Score,$I85,1))</f>
        <v>100</v>
      </c>
      <c r="P85" s="232" cm="1">
        <f t="array" aca="1" ref="P85" ca="1">IF($G85=1,"",INDEX(auto_DataFlat_Score,$J85,1))</f>
        <v>78</v>
      </c>
      <c r="Q85" s="54"/>
    </row>
    <row r="86" spans="1:17" ht="18" customHeight="1" x14ac:dyDescent="0.4">
      <c r="A86" s="233" t="str">
        <f t="shared" ca="1" si="10"/>
        <v/>
      </c>
      <c r="B86" s="4"/>
      <c r="C86" s="4"/>
      <c r="D86" s="40" t="str">
        <f t="shared" ca="1" si="11"/>
        <v>COPY</v>
      </c>
      <c r="E86" s="143">
        <v>60</v>
      </c>
      <c r="F86" s="234" cm="1">
        <f t="array" aca="1" ref="F86" ca="1">INDEX(OFFSET(auto_ss_depth_3_or_below,0,1,200,1),E86)</f>
        <v>60</v>
      </c>
      <c r="G86" s="234" cm="1">
        <f t="array" aca="1" ref="G86" ca="1">INDEX(auto_Series_Depth,F86)</f>
        <v>2</v>
      </c>
      <c r="H86" s="143" cm="1">
        <f t="array" aca="1" ref="H86" ca="1">INDEX(sys_DataFlat_LU_Grid,F86,1)-1</f>
        <v>3540</v>
      </c>
      <c r="I86" s="143">
        <f t="shared" ca="1" si="12"/>
        <v>3541</v>
      </c>
      <c r="J86" s="143">
        <f t="shared" ca="1" si="13"/>
        <v>3591</v>
      </c>
      <c r="K86" s="222">
        <f t="shared" ca="1" si="8"/>
        <v>0</v>
      </c>
      <c r="L86" s="222">
        <f t="shared" ca="1" si="14"/>
        <v>100</v>
      </c>
      <c r="M86" s="151" t="str" cm="1">
        <f t="array" aca="1" ref="M86" ca="1">INDEX(auto_ss_All_Series,F86)</f>
        <v>5.6) Treatment guidelines</v>
      </c>
      <c r="N86" s="228"/>
      <c r="O86" s="231" cm="1">
        <f t="array" aca="1" ref="O86" ca="1">IF($G86=1,"",INDEX(auto_DataFlat_Score,$I86,1))</f>
        <v>100</v>
      </c>
      <c r="P86" s="232" cm="1">
        <f t="array" aca="1" ref="P86" ca="1">IF($G86=1,"",INDEX(auto_DataFlat_Score,$J86,1))</f>
        <v>95</v>
      </c>
      <c r="Q86" s="54"/>
    </row>
    <row r="87" spans="1:17" ht="18" customHeight="1" x14ac:dyDescent="0.4">
      <c r="A87" s="233" t="str">
        <f t="shared" ca="1" si="10"/>
        <v/>
      </c>
      <c r="B87" s="4"/>
      <c r="C87" s="4"/>
      <c r="D87" s="40" t="str">
        <f t="shared" ca="1" si="11"/>
        <v>COPY</v>
      </c>
      <c r="E87" s="143">
        <v>61</v>
      </c>
      <c r="F87" s="234" cm="1">
        <f t="array" aca="1" ref="F87" ca="1">INDEX(OFFSET(auto_ss_depth_3_or_below,0,1,200,1),E87)</f>
        <v>61</v>
      </c>
      <c r="G87" s="234" cm="1">
        <f t="array" aca="1" ref="G87" ca="1">INDEX(auto_Series_Depth,F87)</f>
        <v>2</v>
      </c>
      <c r="H87" s="143" cm="1">
        <f t="array" aca="1" ref="H87" ca="1">INDEX(sys_DataFlat_LU_Grid,F87,1)-1</f>
        <v>3600</v>
      </c>
      <c r="I87" s="143">
        <f t="shared" ca="1" si="12"/>
        <v>3601</v>
      </c>
      <c r="J87" s="143">
        <f t="shared" ca="1" si="13"/>
        <v>3651</v>
      </c>
      <c r="K87" s="222">
        <f t="shared" ca="1" si="8"/>
        <v>25</v>
      </c>
      <c r="L87" s="222">
        <f t="shared" ca="1" si="14"/>
        <v>100</v>
      </c>
      <c r="M87" s="151" t="str" cm="1">
        <f t="array" aca="1" ref="M87" ca="1">INDEX(auto_ss_All_Series,F87)</f>
        <v>5.7) Tobacco control</v>
      </c>
      <c r="N87" s="228"/>
      <c r="O87" s="231" cm="1">
        <f t="array" aca="1" ref="O87" ca="1">IF($G87=1,"",INDEX(auto_DataFlat_Score,$I87,1))</f>
        <v>75</v>
      </c>
      <c r="P87" s="232" cm="1">
        <f t="array" aca="1" ref="P87" ca="1">IF($G87=1,"",INDEX(auto_DataFlat_Score,$J87,1))</f>
        <v>67</v>
      </c>
      <c r="Q87" s="54"/>
    </row>
    <row r="88" spans="1:17" ht="18" customHeight="1" x14ac:dyDescent="0.4">
      <c r="A88" s="233" t="str">
        <f t="shared" ca="1" si="10"/>
        <v/>
      </c>
      <c r="B88" s="4"/>
      <c r="C88" s="4"/>
      <c r="D88" s="40" t="str">
        <f t="shared" ca="1" si="11"/>
        <v>COPY</v>
      </c>
      <c r="E88" s="143">
        <v>62</v>
      </c>
      <c r="F88" s="234" cm="1">
        <f t="array" aca="1" ref="F88" ca="1">INDEX(OFFSET(auto_ss_depth_3_or_below,0,1,200,1),E88)</f>
        <v>62</v>
      </c>
      <c r="G88" s="234" cm="1">
        <f t="array" aca="1" ref="G88" ca="1">INDEX(auto_Series_Depth,F88)</f>
        <v>2</v>
      </c>
      <c r="H88" s="143" cm="1">
        <f t="array" aca="1" ref="H88" ca="1">INDEX(sys_DataFlat_LU_Grid,F88,1)-1</f>
        <v>3660</v>
      </c>
      <c r="I88" s="143">
        <f t="shared" ca="1" si="12"/>
        <v>3661</v>
      </c>
      <c r="J88" s="143">
        <f t="shared" ca="1" si="13"/>
        <v>3711</v>
      </c>
      <c r="K88" s="222">
        <f t="shared" ca="1" si="8"/>
        <v>33.299999999999997</v>
      </c>
      <c r="L88" s="222">
        <f t="shared" ca="1" si="14"/>
        <v>100</v>
      </c>
      <c r="M88" s="151" t="str" cm="1">
        <f t="array" aca="1" ref="M88" ca="1">INDEX(auto_ss_All_Series,F88)</f>
        <v>5.8) Air pollution control</v>
      </c>
      <c r="N88" s="228"/>
      <c r="O88" s="231" cm="1">
        <f t="array" aca="1" ref="O88" ca="1">IF($G88=1,"",INDEX(auto_DataFlat_Score,$I88,1))</f>
        <v>66.7</v>
      </c>
      <c r="P88" s="232" cm="1">
        <f t="array" aca="1" ref="P88" ca="1">IF($G88=1,"",INDEX(auto_DataFlat_Score,$J88,1))</f>
        <v>82.7</v>
      </c>
      <c r="Q88" s="54"/>
    </row>
    <row r="89" spans="1:17" ht="18" customHeight="1" x14ac:dyDescent="0.4">
      <c r="A89" s="233" t="str">
        <f t="shared" ca="1" si="10"/>
        <v/>
      </c>
      <c r="B89" s="4"/>
      <c r="C89" s="4"/>
      <c r="D89" s="40" t="str">
        <f t="shared" ca="1" si="11"/>
        <v>COPY</v>
      </c>
      <c r="E89" s="143">
        <v>63</v>
      </c>
      <c r="F89" s="234" cm="1">
        <f t="array" aca="1" ref="F89" ca="1">INDEX(OFFSET(auto_ss_depth_3_or_below,0,1,200,1),E89)</f>
        <v>63</v>
      </c>
      <c r="G89" s="234" cm="1">
        <f t="array" aca="1" ref="G89" ca="1">INDEX(auto_Series_Depth,F89)</f>
        <v>2</v>
      </c>
      <c r="H89" s="143" cm="1">
        <f t="array" aca="1" ref="H89" ca="1">INDEX(sys_DataFlat_LU_Grid,F89,1)-1</f>
        <v>3720</v>
      </c>
      <c r="I89" s="143">
        <f t="shared" ca="1" si="12"/>
        <v>3721</v>
      </c>
      <c r="J89" s="143">
        <f t="shared" ca="1" si="13"/>
        <v>3771</v>
      </c>
      <c r="K89" s="222">
        <f t="shared" ca="1" si="8"/>
        <v>0</v>
      </c>
      <c r="L89" s="222">
        <f t="shared" ca="1" si="14"/>
        <v>100</v>
      </c>
      <c r="M89" s="151" t="str" cm="1">
        <f t="array" aca="1" ref="M89" ca="1">INDEX(auto_ss_All_Series,F89)</f>
        <v>5.9) Health promotion</v>
      </c>
      <c r="N89" s="228"/>
      <c r="O89" s="231" cm="1">
        <f t="array" aca="1" ref="O89" ca="1">IF($G89=1,"",INDEX(auto_DataFlat_Score,$I89,1))</f>
        <v>0</v>
      </c>
      <c r="P89" s="232" cm="1">
        <f t="array" aca="1" ref="P89" ca="1">IF($G89=1,"",INDEX(auto_DataFlat_Score,$J89,1))</f>
        <v>41</v>
      </c>
      <c r="Q89" s="54"/>
    </row>
    <row r="90" spans="1:17" x14ac:dyDescent="0.4">
      <c r="A90" s="4"/>
      <c r="B90" s="4"/>
      <c r="C90" s="4"/>
      <c r="D90" s="4"/>
      <c r="E90" s="4"/>
      <c r="F90" s="4"/>
      <c r="G90" s="4"/>
      <c r="H90" s="4"/>
      <c r="I90" s="4"/>
      <c r="J90" s="4"/>
      <c r="K90" s="4"/>
      <c r="L90" s="4"/>
      <c r="M90" s="4"/>
      <c r="N90" s="4"/>
      <c r="O90" s="4"/>
      <c r="P90" s="4"/>
      <c r="Q90" s="4"/>
    </row>
    <row r="91" spans="1:17" x14ac:dyDescent="0.4">
      <c r="A91" s="4"/>
      <c r="B91" s="4"/>
      <c r="C91" s="4"/>
      <c r="D91" s="4"/>
      <c r="E91" s="4"/>
      <c r="F91" s="4"/>
      <c r="G91" s="4"/>
      <c r="H91" s="4"/>
      <c r="I91" s="4"/>
      <c r="J91" s="4"/>
      <c r="K91" s="4"/>
      <c r="L91" s="4"/>
      <c r="M91" s="4"/>
      <c r="N91" s="4"/>
      <c r="O91" s="4"/>
      <c r="P91" s="4"/>
      <c r="Q91" s="4"/>
    </row>
    <row r="92" spans="1:17" x14ac:dyDescent="0.4">
      <c r="A92" s="4"/>
      <c r="B92" s="4"/>
      <c r="C92" s="4"/>
      <c r="D92" s="4"/>
      <c r="E92" s="4"/>
      <c r="F92" s="4"/>
      <c r="G92" s="4"/>
      <c r="H92" s="4"/>
      <c r="I92" s="4"/>
      <c r="J92" s="4"/>
      <c r="K92" s="4"/>
      <c r="L92" s="4"/>
      <c r="M92" s="4"/>
      <c r="N92" s="4"/>
      <c r="O92" s="4"/>
      <c r="P92" s="4"/>
      <c r="Q92" s="4"/>
    </row>
    <row r="93" spans="1:17" x14ac:dyDescent="0.4">
      <c r="A93" s="4" t="s">
        <v>3</v>
      </c>
      <c r="B93" s="4"/>
      <c r="C93" s="4"/>
      <c r="D93" s="4"/>
      <c r="E93" s="4"/>
      <c r="F93" s="4"/>
      <c r="G93" s="4"/>
      <c r="H93" s="4"/>
      <c r="I93" s="4"/>
      <c r="J93" s="4"/>
      <c r="K93" s="4"/>
      <c r="L93" s="4"/>
      <c r="M93" s="4"/>
      <c r="N93" s="4"/>
      <c r="O93" s="4"/>
      <c r="P93" s="4"/>
      <c r="Q93" s="4"/>
    </row>
    <row r="94" spans="1:17" x14ac:dyDescent="0.4"/>
    <row r="95" spans="1:17" x14ac:dyDescent="0.4"/>
    <row r="96" spans="1:17" x14ac:dyDescent="0.4"/>
    <row r="97" x14ac:dyDescent="0.4"/>
    <row r="98" x14ac:dyDescent="0.4"/>
    <row r="99" x14ac:dyDescent="0.4"/>
    <row r="100" x14ac:dyDescent="0.4"/>
    <row r="101" x14ac:dyDescent="0.4"/>
    <row r="102" x14ac:dyDescent="0.4"/>
    <row r="103" x14ac:dyDescent="0.4"/>
    <row r="104" x14ac:dyDescent="0.4"/>
    <row r="105" x14ac:dyDescent="0.4"/>
    <row r="106" x14ac:dyDescent="0.4"/>
    <row r="107" x14ac:dyDescent="0.4"/>
    <row r="108" x14ac:dyDescent="0.4"/>
    <row r="109" x14ac:dyDescent="0.4"/>
    <row r="110" x14ac:dyDescent="0.4"/>
    <row r="111" x14ac:dyDescent="0.4"/>
    <row r="112" x14ac:dyDescent="0.4"/>
    <row r="113" x14ac:dyDescent="0.4"/>
    <row r="114" x14ac:dyDescent="0.4"/>
    <row r="115" x14ac:dyDescent="0.4"/>
    <row r="116" x14ac:dyDescent="0.4"/>
    <row r="117" x14ac:dyDescent="0.4"/>
    <row r="118" x14ac:dyDescent="0.4"/>
    <row r="119" x14ac:dyDescent="0.4"/>
    <row r="120" x14ac:dyDescent="0.4"/>
    <row r="121" x14ac:dyDescent="0.4"/>
    <row r="122" x14ac:dyDescent="0.4"/>
    <row r="123" x14ac:dyDescent="0.4"/>
    <row r="124" x14ac:dyDescent="0.4"/>
    <row r="125" x14ac:dyDescent="0.4"/>
    <row r="126" x14ac:dyDescent="0.4"/>
    <row r="127" x14ac:dyDescent="0.4"/>
    <row r="128" x14ac:dyDescent="0.4"/>
    <row r="129" x14ac:dyDescent="0.4"/>
    <row r="130" x14ac:dyDescent="0.4"/>
    <row r="131" x14ac:dyDescent="0.4"/>
    <row r="132" x14ac:dyDescent="0.4"/>
    <row r="133" x14ac:dyDescent="0.4"/>
    <row r="134" x14ac:dyDescent="0.4"/>
    <row r="135" x14ac:dyDescent="0.4"/>
    <row r="136" x14ac:dyDescent="0.4"/>
    <row r="137" x14ac:dyDescent="0.4"/>
    <row r="138" x14ac:dyDescent="0.4"/>
    <row r="139" x14ac:dyDescent="0.4"/>
    <row r="140" x14ac:dyDescent="0.4"/>
    <row r="141" x14ac:dyDescent="0.4"/>
    <row r="142" x14ac:dyDescent="0.4"/>
    <row r="143" x14ac:dyDescent="0.4"/>
    <row r="144" x14ac:dyDescent="0.4"/>
    <row r="145" x14ac:dyDescent="0.4"/>
    <row r="146" x14ac:dyDescent="0.4"/>
    <row r="147" x14ac:dyDescent="0.4"/>
    <row r="148" x14ac:dyDescent="0.4"/>
    <row r="149" x14ac:dyDescent="0.4"/>
    <row r="150" x14ac:dyDescent="0.4"/>
    <row r="151" x14ac:dyDescent="0.4"/>
    <row r="152" x14ac:dyDescent="0.4"/>
    <row r="153" x14ac:dyDescent="0.4"/>
    <row r="154" x14ac:dyDescent="0.4"/>
    <row r="155" x14ac:dyDescent="0.4"/>
    <row r="156" x14ac:dyDescent="0.4"/>
    <row r="157" x14ac:dyDescent="0.4"/>
    <row r="158" x14ac:dyDescent="0.4"/>
    <row r="159" x14ac:dyDescent="0.4"/>
    <row r="160" x14ac:dyDescent="0.4"/>
    <row r="161" x14ac:dyDescent="0.4"/>
    <row r="162" x14ac:dyDescent="0.4"/>
    <row r="163" x14ac:dyDescent="0.4"/>
    <row r="164" x14ac:dyDescent="0.4"/>
    <row r="165" x14ac:dyDescent="0.4"/>
    <row r="166" x14ac:dyDescent="0.4"/>
    <row r="167" x14ac:dyDescent="0.4"/>
    <row r="168" x14ac:dyDescent="0.4"/>
    <row r="169" x14ac:dyDescent="0.4"/>
    <row r="170" x14ac:dyDescent="0.4"/>
    <row r="171" x14ac:dyDescent="0.4"/>
    <row r="172" x14ac:dyDescent="0.4"/>
    <row r="173" x14ac:dyDescent="0.4"/>
    <row r="174" x14ac:dyDescent="0.4"/>
    <row r="175" x14ac:dyDescent="0.4"/>
    <row r="176" x14ac:dyDescent="0.4"/>
    <row r="177" x14ac:dyDescent="0.4"/>
    <row r="178" x14ac:dyDescent="0.4"/>
    <row r="179" x14ac:dyDescent="0.4"/>
    <row r="180" x14ac:dyDescent="0.4"/>
    <row r="181" x14ac:dyDescent="0.4"/>
    <row r="182" x14ac:dyDescent="0.4"/>
    <row r="183" x14ac:dyDescent="0.4"/>
    <row r="184" x14ac:dyDescent="0.4"/>
    <row r="185" x14ac:dyDescent="0.4"/>
    <row r="186" x14ac:dyDescent="0.4"/>
    <row r="187" x14ac:dyDescent="0.4"/>
    <row r="188" x14ac:dyDescent="0.4"/>
    <row r="189" x14ac:dyDescent="0.4"/>
    <row r="190" x14ac:dyDescent="0.4"/>
    <row r="191" x14ac:dyDescent="0.4"/>
    <row r="192" x14ac:dyDescent="0.4"/>
    <row r="193" x14ac:dyDescent="0.4"/>
    <row r="194" x14ac:dyDescent="0.4"/>
    <row r="195" x14ac:dyDescent="0.4"/>
    <row r="196" x14ac:dyDescent="0.4"/>
    <row r="197" x14ac:dyDescent="0.4"/>
    <row r="198" x14ac:dyDescent="0.4"/>
    <row r="199" x14ac:dyDescent="0.4"/>
    <row r="200" x14ac:dyDescent="0.4"/>
    <row r="201" x14ac:dyDescent="0.4"/>
    <row r="202" x14ac:dyDescent="0.4"/>
    <row r="203" x14ac:dyDescent="0.4"/>
    <row r="204" x14ac:dyDescent="0.4"/>
    <row r="205" x14ac:dyDescent="0.4"/>
    <row r="206" x14ac:dyDescent="0.4"/>
    <row r="207" x14ac:dyDescent="0.4"/>
    <row r="208" x14ac:dyDescent="0.4"/>
    <row r="209" x14ac:dyDescent="0.4"/>
    <row r="210" x14ac:dyDescent="0.4"/>
    <row r="211" x14ac:dyDescent="0.4"/>
    <row r="212" x14ac:dyDescent="0.4"/>
    <row r="213" x14ac:dyDescent="0.4"/>
    <row r="214" x14ac:dyDescent="0.4"/>
    <row r="215" x14ac:dyDescent="0.4"/>
    <row r="216" x14ac:dyDescent="0.4"/>
    <row r="217" x14ac:dyDescent="0.4"/>
    <row r="218" x14ac:dyDescent="0.4"/>
    <row r="219" x14ac:dyDescent="0.4"/>
    <row r="220" x14ac:dyDescent="0.4"/>
    <row r="221" x14ac:dyDescent="0.4"/>
    <row r="222" x14ac:dyDescent="0.4"/>
    <row r="223" x14ac:dyDescent="0.4"/>
    <row r="224" x14ac:dyDescent="0.4"/>
    <row r="225" x14ac:dyDescent="0.4"/>
    <row r="226" x14ac:dyDescent="0.4"/>
    <row r="227" x14ac:dyDescent="0.4"/>
    <row r="228" x14ac:dyDescent="0.4"/>
    <row r="229" x14ac:dyDescent="0.4"/>
    <row r="230" x14ac:dyDescent="0.4"/>
    <row r="231" x14ac:dyDescent="0.4"/>
    <row r="232" x14ac:dyDescent="0.4"/>
    <row r="233" x14ac:dyDescent="0.4"/>
    <row r="234" x14ac:dyDescent="0.4"/>
    <row r="235" x14ac:dyDescent="0.4"/>
    <row r="236" x14ac:dyDescent="0.4"/>
    <row r="237" x14ac:dyDescent="0.4"/>
    <row r="238" x14ac:dyDescent="0.4"/>
    <row r="239" x14ac:dyDescent="0.4"/>
    <row r="240" x14ac:dyDescent="0.4"/>
    <row r="241" x14ac:dyDescent="0.4"/>
    <row r="242" x14ac:dyDescent="0.4"/>
    <row r="243" x14ac:dyDescent="0.4"/>
    <row r="244" x14ac:dyDescent="0.4"/>
    <row r="245" x14ac:dyDescent="0.4"/>
    <row r="246" x14ac:dyDescent="0.4"/>
    <row r="247" x14ac:dyDescent="0.4"/>
    <row r="248" x14ac:dyDescent="0.4"/>
    <row r="249" x14ac:dyDescent="0.4"/>
    <row r="250" x14ac:dyDescent="0.4"/>
    <row r="251" x14ac:dyDescent="0.4"/>
    <row r="252" x14ac:dyDescent="0.4"/>
    <row r="253" x14ac:dyDescent="0.4"/>
    <row r="254" x14ac:dyDescent="0.4"/>
    <row r="255" x14ac:dyDescent="0.4"/>
    <row r="256" x14ac:dyDescent="0.4"/>
    <row r="257" x14ac:dyDescent="0.4"/>
    <row r="258" x14ac:dyDescent="0.4"/>
    <row r="259" x14ac:dyDescent="0.4"/>
    <row r="260" x14ac:dyDescent="0.4"/>
    <row r="261" x14ac:dyDescent="0.4"/>
    <row r="262" x14ac:dyDescent="0.4"/>
    <row r="263" x14ac:dyDescent="0.4"/>
    <row r="264" x14ac:dyDescent="0.4"/>
    <row r="265" x14ac:dyDescent="0.4"/>
    <row r="266" x14ac:dyDescent="0.4"/>
    <row r="267" x14ac:dyDescent="0.4"/>
    <row r="268" x14ac:dyDescent="0.4"/>
    <row r="269" x14ac:dyDescent="0.4"/>
    <row r="270" x14ac:dyDescent="0.4"/>
    <row r="271" x14ac:dyDescent="0.4"/>
    <row r="272" x14ac:dyDescent="0.4"/>
    <row r="273" x14ac:dyDescent="0.4"/>
    <row r="274" x14ac:dyDescent="0.4"/>
    <row r="275" x14ac:dyDescent="0.4"/>
    <row r="276" x14ac:dyDescent="0.4"/>
    <row r="277" x14ac:dyDescent="0.4"/>
    <row r="278" x14ac:dyDescent="0.4"/>
    <row r="279" x14ac:dyDescent="0.4"/>
    <row r="280" x14ac:dyDescent="0.4"/>
    <row r="281" x14ac:dyDescent="0.4"/>
    <row r="282" x14ac:dyDescent="0.4"/>
    <row r="283" x14ac:dyDescent="0.4"/>
    <row r="284" x14ac:dyDescent="0.4"/>
    <row r="285" x14ac:dyDescent="0.4"/>
    <row r="286" x14ac:dyDescent="0.4"/>
    <row r="287" x14ac:dyDescent="0.4"/>
    <row r="288" x14ac:dyDescent="0.4"/>
    <row r="289" x14ac:dyDescent="0.4"/>
    <row r="290" x14ac:dyDescent="0.4"/>
    <row r="291" x14ac:dyDescent="0.4"/>
    <row r="292" x14ac:dyDescent="0.4"/>
    <row r="293" x14ac:dyDescent="0.4"/>
    <row r="294" x14ac:dyDescent="0.4"/>
    <row r="295" x14ac:dyDescent="0.4"/>
    <row r="296" x14ac:dyDescent="0.4"/>
    <row r="297" x14ac:dyDescent="0.4"/>
    <row r="298" x14ac:dyDescent="0.4"/>
    <row r="299" x14ac:dyDescent="0.4"/>
    <row r="300" x14ac:dyDescent="0.4"/>
  </sheetData>
  <conditionalFormatting sqref="M29:Q39 M41:Q47 M49:Q72 M74:Q77 O79:P79 M80:Q80 M83:Q89 O81:Q82 M81:M82">
    <cfRule type="expression" dxfId="254" priority="8">
      <formula>AND($G29=2,$C$13=2)</formula>
    </cfRule>
  </conditionalFormatting>
  <conditionalFormatting sqref="M45:N45 Q45">
    <cfRule type="expression" dxfId="253" priority="2">
      <formula>AND($G45=2,$C$13=2)</formula>
    </cfRule>
  </conditionalFormatting>
  <conditionalFormatting sqref="M79:N79 Q79">
    <cfRule type="expression" dxfId="252" priority="1">
      <formula>AND($G79=2,$C$13=2)</formula>
    </cfRule>
  </conditionalFormatting>
  <conditionalFormatting sqref="N82">
    <cfRule type="expression" dxfId="251" priority="1975">
      <formula>AND($G81=2,$C$13=2)</formula>
    </cfRule>
  </conditionalFormatting>
  <pageMargins left="0.28958880139982501" right="0.28958880139982501" top="0.62992125984251945" bottom="0.39370078740157499" header="0.11811023622047251" footer="0.3"/>
  <pageSetup paperSize="9" scale="74" orientation="portrait" r:id="rId1"/>
  <headerFooter scaleWithDoc="0">
    <oddHeader>&amp;R&amp;"Calibri"&amp;10&amp;K808080City Heartbeat 2024, 50 city index (v1.0)</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6279948" r:id="rId4" name="ui_cnt_Country_1">
              <controlPr defaultSize="0" print="0" autoFill="0" autoPict="0" macro="[0]!k">
                <anchor>
                  <from>
                    <xdr:col>0</xdr:col>
                    <xdr:colOff>125186</xdr:colOff>
                    <xdr:row>3</xdr:row>
                    <xdr:rowOff>239486</xdr:rowOff>
                  </from>
                  <to>
                    <xdr:col>3</xdr:col>
                    <xdr:colOff>92529</xdr:colOff>
                    <xdr:row>3</xdr:row>
                    <xdr:rowOff>451757</xdr:rowOff>
                  </to>
                </anchor>
              </controlPr>
            </control>
          </mc:Choice>
        </mc:AlternateContent>
        <mc:AlternateContent xmlns:mc="http://schemas.openxmlformats.org/markup-compatibility/2006">
          <mc:Choice Requires="x14">
            <control shapeId="6279950" r:id="rId5" name="ui_cnt_Country_Or_Average">
              <controlPr defaultSize="0" print="0" autoFill="0" autoPict="0" macro="[0]!k">
                <anchor>
                  <from>
                    <xdr:col>3</xdr:col>
                    <xdr:colOff>500743</xdr:colOff>
                    <xdr:row>3</xdr:row>
                    <xdr:rowOff>239486</xdr:rowOff>
                  </from>
                  <to>
                    <xdr:col>5</xdr:col>
                    <xdr:colOff>293914</xdr:colOff>
                    <xdr:row>3</xdr:row>
                    <xdr:rowOff>451757</xdr:rowOff>
                  </to>
                </anchor>
              </controlPr>
            </control>
          </mc:Choice>
        </mc:AlternateContent>
        <mc:AlternateContent xmlns:mc="http://schemas.openxmlformats.org/markup-compatibility/2006">
          <mc:Choice Requires="x14">
            <control shapeId="6279952" r:id="rId6" name="ui_cnt_Compare_Detail">
              <controlPr defaultSize="0" print="0" autoFill="0" autoPict="0" macro="[0]!k">
                <anchor>
                  <from>
                    <xdr:col>6</xdr:col>
                    <xdr:colOff>321129</xdr:colOff>
                    <xdr:row>3</xdr:row>
                    <xdr:rowOff>239486</xdr:rowOff>
                  </from>
                  <to>
                    <xdr:col>8</xdr:col>
                    <xdr:colOff>587829</xdr:colOff>
                    <xdr:row>3</xdr:row>
                    <xdr:rowOff>451757</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6371B-1089-4440-BCD6-38BCE60F5F14}">
  <sheetPr codeName="Sheet88">
    <pageSetUpPr fitToPage="1"/>
  </sheetPr>
  <dimension ref="A1:AL300"/>
  <sheetViews>
    <sheetView showGridLines="0" showRowColHeaders="0" zoomScaleNormal="100" workbookViewId="0">
      <pane ySplit="7" topLeftCell="A8" activePane="bottomLeft" state="frozen"/>
      <selection pane="bottomLeft" activeCell="L17" sqref="L17"/>
    </sheetView>
  </sheetViews>
  <sheetFormatPr defaultRowHeight="14.6" zeroHeight="1" x14ac:dyDescent="0.4"/>
  <cols>
    <col min="1" max="1" width="2.69140625" customWidth="1"/>
    <col min="2" max="2" width="6.84375" customWidth="1"/>
    <col min="3" max="3" width="4.23046875" customWidth="1"/>
    <col min="4" max="4" width="4.3046875" customWidth="1"/>
    <col min="5" max="5" width="5.3046875" customWidth="1"/>
    <col min="6" max="6" width="6.69140625" customWidth="1"/>
    <col min="7" max="7" width="4.3046875" customWidth="1"/>
    <col min="8" max="10" width="6.84375" customWidth="1"/>
    <col min="11" max="11" width="4.15234375" customWidth="1"/>
    <col min="12" max="36" width="6.53515625" customWidth="1"/>
    <col min="38" max="38" width="9.15234375" customWidth="1"/>
  </cols>
  <sheetData>
    <row r="1" spans="1:38" ht="24" hidden="1" customHeight="1" x14ac:dyDescent="0.4">
      <c r="A1" s="4" t="s">
        <v>2</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ht="24" customHeight="1" x14ac:dyDescent="0.4">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ht="26.05" customHeight="1" x14ac:dyDescent="0.4">
      <c r="A3" s="4"/>
      <c r="B3" s="4" t="s">
        <v>1065</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row>
    <row r="4" spans="1:38" ht="42" customHeight="1" x14ac:dyDescent="0.4">
      <c r="A4" s="4"/>
      <c r="B4" s="35" t="s">
        <v>297</v>
      </c>
      <c r="C4" s="35"/>
      <c r="D4" s="35"/>
      <c r="E4" s="35"/>
      <c r="F4" s="35"/>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row>
    <row r="5" spans="1:38" ht="24" customHeight="1" x14ac:dyDescent="0.4">
      <c r="A5" s="4" t="s">
        <v>2</v>
      </c>
      <c r="B5" s="233"/>
      <c r="C5" s="233"/>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1:38" ht="24" customHeight="1" x14ac:dyDescent="0.4">
      <c r="A6" s="4" t="s">
        <v>2</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1:38" ht="24" customHeight="1" x14ac:dyDescent="0.4">
      <c r="A7" s="4" t="s">
        <v>2</v>
      </c>
      <c r="B7" s="40">
        <f>uxbGlobals!$B$317</f>
        <v>0</v>
      </c>
      <c r="C7" s="40"/>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1:38" ht="8.0500000000000007" customHeight="1" x14ac:dyDescent="0.4">
      <c r="A8" s="4"/>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1:38" ht="15" customHeight="1" x14ac:dyDescent="0.4">
      <c r="A9" s="4" t="s">
        <v>2</v>
      </c>
      <c r="B9" s="4" t="s">
        <v>2</v>
      </c>
      <c r="C9" s="4" t="s">
        <v>2</v>
      </c>
      <c r="D9" s="4" t="s">
        <v>2</v>
      </c>
      <c r="E9" s="4" t="s">
        <v>2</v>
      </c>
      <c r="F9" s="4" t="s">
        <v>2</v>
      </c>
      <c r="G9" s="4" t="s">
        <v>2</v>
      </c>
      <c r="H9" s="4" t="s">
        <v>2</v>
      </c>
      <c r="I9" s="4" t="s">
        <v>2</v>
      </c>
      <c r="J9" s="4" t="s">
        <v>2</v>
      </c>
      <c r="K9" s="4"/>
      <c r="L9" s="4"/>
      <c r="M9" s="4"/>
      <c r="N9" s="4"/>
      <c r="O9" s="4"/>
      <c r="P9" s="4"/>
      <c r="Q9" s="4"/>
      <c r="R9" s="4"/>
      <c r="S9" s="4"/>
      <c r="T9" s="4"/>
      <c r="U9" s="4"/>
      <c r="V9" s="4"/>
      <c r="W9" s="4"/>
      <c r="X9" s="4"/>
      <c r="Y9" s="4"/>
      <c r="Z9" s="4"/>
      <c r="AA9" s="4"/>
      <c r="AB9" s="4"/>
      <c r="AC9" s="4"/>
      <c r="AD9" s="4"/>
      <c r="AE9" s="4"/>
      <c r="AF9" s="4"/>
      <c r="AG9" s="4"/>
      <c r="AH9" s="4"/>
      <c r="AI9" s="4"/>
      <c r="AJ9" s="4"/>
      <c r="AK9" s="4"/>
      <c r="AL9" s="4" t="s">
        <v>2</v>
      </c>
    </row>
    <row r="10" spans="1:38" ht="15" customHeight="1" x14ac:dyDescent="0.4">
      <c r="A10" s="13" t="s">
        <v>2</v>
      </c>
      <c r="B10" s="4" t="s">
        <v>2</v>
      </c>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1:38" ht="23.25" customHeight="1" x14ac:dyDescent="0.5">
      <c r="A11" s="4"/>
      <c r="B11" s="4"/>
      <c r="C11" s="4"/>
      <c r="D11" s="4"/>
      <c r="E11" s="4"/>
      <c r="F11" s="4"/>
      <c r="G11" s="4"/>
      <c r="H11" s="4"/>
      <c r="I11" s="4"/>
      <c r="J11" s="4"/>
      <c r="K11" s="4"/>
      <c r="L11" s="47" t="str">
        <f>iCountry!$C$4</f>
        <v>Addis Ababa</v>
      </c>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1:38" x14ac:dyDescent="0.4">
      <c r="A12" s="13" t="s">
        <v>2</v>
      </c>
      <c r="B12" s="26" t="s">
        <v>919</v>
      </c>
      <c r="C12" s="26"/>
      <c r="D12" s="49">
        <f>uxbGlobals!$B$325</f>
        <v>1</v>
      </c>
      <c r="E12" s="4"/>
      <c r="F12" s="4"/>
      <c r="G12" s="4"/>
      <c r="H12" s="4"/>
      <c r="I12" s="4"/>
      <c r="J12" s="4"/>
      <c r="K12" s="4"/>
      <c r="L12" s="4"/>
      <c r="M12" s="38"/>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1:38" x14ac:dyDescent="0.4">
      <c r="A13" s="13" t="s">
        <v>2</v>
      </c>
      <c r="B13" s="143" t="s">
        <v>767</v>
      </c>
      <c r="C13" s="143"/>
      <c r="D13" s="49" t="str">
        <f>uxbGlobals!$B$367</f>
        <v>ADD</v>
      </c>
      <c r="E13" s="4"/>
      <c r="F13" s="4"/>
      <c r="G13" s="4"/>
      <c r="H13" s="4"/>
      <c r="I13" s="4"/>
      <c r="J13" s="4"/>
      <c r="K13" s="4"/>
      <c r="L13" s="4"/>
      <c r="M13" s="38"/>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1:38" x14ac:dyDescent="0.4">
      <c r="A14" s="13" t="s">
        <v>2</v>
      </c>
      <c r="B14" s="4"/>
      <c r="C14" s="4"/>
      <c r="D14" s="49" t="str">
        <f>uxbGlobals!$B$364</f>
        <v>Addis Ababa</v>
      </c>
      <c r="E14" s="4"/>
      <c r="F14" s="4"/>
      <c r="G14" s="4"/>
      <c r="H14" s="4"/>
      <c r="I14" s="4"/>
      <c r="J14" s="4"/>
      <c r="K14" s="4"/>
      <c r="L14" s="4"/>
      <c r="M14" s="143"/>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1:38" x14ac:dyDescent="0.4">
      <c r="A15" s="13" t="s">
        <v>2</v>
      </c>
      <c r="B15" s="4"/>
      <c r="C15" s="4"/>
      <c r="D15" s="4" t="str">
        <f>uxbGlobals!$B$351</f>
        <v>All cities (average)</v>
      </c>
      <c r="E15" s="4"/>
      <c r="F15" s="4"/>
      <c r="G15" s="4"/>
      <c r="H15" s="4"/>
      <c r="I15" s="4"/>
      <c r="J15" s="4"/>
      <c r="K15" s="4"/>
      <c r="L15" s="4"/>
      <c r="M15" s="143"/>
      <c r="N15" s="4"/>
      <c r="O15" s="4"/>
      <c r="P15" s="4"/>
      <c r="Q15" s="4"/>
      <c r="R15" s="4"/>
      <c r="S15" s="4"/>
      <c r="T15" s="4"/>
      <c r="U15" s="4"/>
      <c r="V15" s="4"/>
      <c r="W15" s="4"/>
      <c r="X15" s="4"/>
      <c r="Y15" s="4"/>
      <c r="Z15" s="91"/>
      <c r="AA15" s="4"/>
      <c r="AB15" s="4"/>
      <c r="AC15" s="4"/>
      <c r="AD15" s="4"/>
      <c r="AE15" s="4"/>
      <c r="AF15" s="4"/>
      <c r="AG15" s="4"/>
      <c r="AH15" s="4"/>
      <c r="AI15" s="4"/>
      <c r="AJ15" s="4"/>
      <c r="AK15" s="4"/>
      <c r="AL15" s="4"/>
    </row>
    <row r="16" spans="1:38" ht="19.5" customHeight="1" x14ac:dyDescent="0.4">
      <c r="A16" s="4"/>
      <c r="B16" s="4"/>
      <c r="C16" s="4"/>
      <c r="D16" s="4"/>
      <c r="E16" s="4"/>
      <c r="F16" s="4"/>
      <c r="G16" s="4"/>
      <c r="H16" s="4"/>
      <c r="I16" s="4"/>
      <c r="J16" s="4"/>
      <c r="K16" s="4"/>
      <c r="L16" s="48" t="s">
        <v>8974</v>
      </c>
      <c r="M16" s="4"/>
      <c r="N16" s="122"/>
      <c r="O16" s="122"/>
      <c r="P16" s="122"/>
      <c r="Q16" s="122"/>
      <c r="R16" s="122"/>
      <c r="S16" s="236"/>
      <c r="T16" s="237"/>
      <c r="U16" s="238"/>
      <c r="V16" s="122"/>
      <c r="W16" s="239"/>
      <c r="X16" s="239"/>
      <c r="Y16" s="239"/>
      <c r="Z16" s="239"/>
      <c r="AA16" s="4"/>
      <c r="AB16" s="4"/>
      <c r="AC16" s="4"/>
      <c r="AD16" s="4"/>
      <c r="AE16" s="4"/>
      <c r="AF16" s="4"/>
      <c r="AG16" s="4"/>
      <c r="AH16" s="4"/>
      <c r="AI16" s="4"/>
      <c r="AJ16" s="4"/>
      <c r="AK16" s="4"/>
      <c r="AL16" s="4"/>
    </row>
    <row r="17" spans="1:38" ht="15" customHeight="1" x14ac:dyDescent="0.4">
      <c r="A17" s="4"/>
      <c r="B17" s="4"/>
      <c r="C17" s="4"/>
      <c r="D17" s="4"/>
      <c r="E17" s="4"/>
      <c r="F17" s="4"/>
      <c r="G17" s="4"/>
      <c r="H17" s="4"/>
      <c r="I17" s="4"/>
      <c r="J17" s="4"/>
      <c r="K17" s="4"/>
      <c r="L17" s="37" t="str">
        <f>uxbGlobals!$B$202</f>
        <v>Score 0-100 where 100=most healthy environment</v>
      </c>
      <c r="M17" s="4"/>
      <c r="N17" s="122"/>
      <c r="O17" s="122"/>
      <c r="P17" s="122"/>
      <c r="Q17" s="122"/>
      <c r="R17" s="122"/>
      <c r="S17" s="236"/>
      <c r="T17" s="237"/>
      <c r="U17" s="238"/>
      <c r="V17" s="122"/>
      <c r="W17" s="239"/>
      <c r="X17" s="239"/>
      <c r="Y17" s="239"/>
      <c r="Z17" s="239"/>
      <c r="AA17" s="4"/>
      <c r="AB17" s="4"/>
      <c r="AC17" s="4"/>
      <c r="AD17" s="4"/>
      <c r="AE17" s="4"/>
      <c r="AF17" s="4"/>
      <c r="AG17" s="4"/>
      <c r="AH17" s="4"/>
      <c r="AI17" s="4"/>
      <c r="AJ17" s="4"/>
      <c r="AK17" s="4"/>
      <c r="AL17" s="4"/>
    </row>
    <row r="18" spans="1:38" ht="7.5" customHeight="1" x14ac:dyDescent="0.4">
      <c r="A18" s="4"/>
      <c r="B18" s="4"/>
      <c r="C18" s="4"/>
      <c r="D18" s="4"/>
      <c r="E18" s="4"/>
      <c r="F18" s="4"/>
      <c r="G18" s="4"/>
      <c r="H18" s="4"/>
      <c r="I18" s="4"/>
      <c r="J18" s="4"/>
      <c r="K18" s="4"/>
      <c r="L18" s="37"/>
      <c r="M18" s="4"/>
      <c r="N18" s="122"/>
      <c r="O18" s="122"/>
      <c r="P18" s="122"/>
      <c r="Q18" s="122"/>
      <c r="R18" s="122"/>
      <c r="S18" s="236"/>
      <c r="T18" s="237"/>
      <c r="U18" s="238"/>
      <c r="V18" s="122"/>
      <c r="W18" s="239"/>
      <c r="X18" s="239"/>
      <c r="Y18" s="239"/>
      <c r="Z18" s="239"/>
      <c r="AA18" s="4"/>
      <c r="AB18" s="4"/>
      <c r="AC18" s="4"/>
      <c r="AD18" s="4"/>
      <c r="AE18" s="4"/>
      <c r="AF18" s="4"/>
      <c r="AG18" s="4"/>
      <c r="AH18" s="4"/>
      <c r="AI18" s="4"/>
      <c r="AJ18" s="4"/>
      <c r="AK18" s="4"/>
      <c r="AL18" s="4"/>
    </row>
    <row r="19" spans="1:38" ht="7.5" customHeight="1" x14ac:dyDescent="0.4">
      <c r="A19" s="4"/>
      <c r="B19" s="4"/>
      <c r="C19" s="4"/>
      <c r="D19" s="4"/>
      <c r="E19" s="4"/>
      <c r="F19" s="4"/>
      <c r="G19" s="4"/>
      <c r="H19" s="4"/>
      <c r="I19" s="4"/>
      <c r="J19" s="4"/>
      <c r="K19" s="4"/>
      <c r="L19" s="4"/>
      <c r="M19" s="4"/>
      <c r="N19" s="122"/>
      <c r="O19" s="122"/>
      <c r="P19" s="122"/>
      <c r="Q19" s="122"/>
      <c r="R19" s="122"/>
      <c r="S19" s="236"/>
      <c r="T19" s="237"/>
      <c r="U19" s="238"/>
      <c r="V19" s="122"/>
      <c r="W19" s="239"/>
      <c r="X19" s="239"/>
      <c r="Y19" s="239"/>
      <c r="Z19" s="239"/>
      <c r="AA19" s="4"/>
      <c r="AB19" s="4"/>
      <c r="AC19" s="4"/>
      <c r="AD19" s="4"/>
      <c r="AE19" s="4"/>
      <c r="AF19" s="4"/>
      <c r="AG19" s="4"/>
      <c r="AH19" s="4"/>
      <c r="AI19" s="4"/>
      <c r="AJ19" s="4"/>
      <c r="AK19" s="4"/>
      <c r="AL19" s="4"/>
    </row>
    <row r="20" spans="1:38" ht="24" customHeight="1" x14ac:dyDescent="0.4">
      <c r="A20" s="13" t="s">
        <v>2</v>
      </c>
      <c r="B20" s="4"/>
      <c r="C20" s="4"/>
      <c r="D20" s="4"/>
      <c r="E20" s="4"/>
      <c r="F20" s="4"/>
      <c r="G20" s="4"/>
      <c r="H20" s="4"/>
      <c r="I20" s="4"/>
      <c r="J20" s="4"/>
      <c r="K20" s="4"/>
      <c r="L20" s="4"/>
      <c r="M20" s="4"/>
      <c r="N20" s="122"/>
      <c r="O20" s="122"/>
      <c r="P20" s="122"/>
      <c r="Q20" s="122"/>
      <c r="R20" s="122"/>
      <c r="S20" s="236"/>
      <c r="T20" s="237"/>
      <c r="U20" s="238"/>
      <c r="V20" s="122"/>
      <c r="W20" s="239"/>
      <c r="X20" s="239"/>
      <c r="Y20" s="239"/>
      <c r="Z20" s="239"/>
      <c r="AA20" s="4"/>
      <c r="AB20" s="4"/>
      <c r="AC20" s="12"/>
      <c r="AD20" s="4"/>
      <c r="AE20" s="4"/>
      <c r="AF20" s="4"/>
      <c r="AG20" s="4"/>
      <c r="AH20" s="4"/>
      <c r="AI20" s="4"/>
      <c r="AJ20" s="4"/>
      <c r="AK20" s="4"/>
      <c r="AL20" s="4"/>
    </row>
    <row r="21" spans="1:38" ht="19.5" customHeight="1" x14ac:dyDescent="0.4">
      <c r="A21" s="4"/>
      <c r="B21" s="4"/>
      <c r="C21" s="4"/>
      <c r="D21" s="4" t="s">
        <v>32</v>
      </c>
      <c r="E21" s="4"/>
      <c r="F21" s="4"/>
      <c r="G21" s="4"/>
      <c r="H21" s="4" t="s">
        <v>29</v>
      </c>
      <c r="I21" s="4" t="s">
        <v>1466</v>
      </c>
      <c r="J21" s="4"/>
      <c r="K21" s="4"/>
      <c r="L21" s="4"/>
      <c r="M21" s="4"/>
      <c r="N21" s="240"/>
      <c r="O21" s="240"/>
      <c r="P21" s="240"/>
      <c r="Q21" s="240"/>
      <c r="R21" s="240"/>
      <c r="S21" s="241"/>
      <c r="T21" s="97">
        <v>0</v>
      </c>
      <c r="U21" s="242"/>
      <c r="V21" s="4"/>
      <c r="W21" s="4"/>
      <c r="X21" s="243"/>
      <c r="Y21" s="4"/>
      <c r="Z21" s="4"/>
      <c r="AA21" s="4"/>
      <c r="AB21" s="243">
        <v>100</v>
      </c>
      <c r="AC21" s="4"/>
      <c r="AD21" s="38"/>
      <c r="AE21" s="4"/>
      <c r="AF21" s="4"/>
      <c r="AG21" s="4"/>
      <c r="AH21" s="4"/>
      <c r="AI21" s="4"/>
      <c r="AJ21" s="4"/>
      <c r="AK21" s="4"/>
      <c r="AL21" s="4"/>
    </row>
    <row r="22" spans="1:38" ht="30" customHeight="1" x14ac:dyDescent="0.4">
      <c r="A22" s="4"/>
      <c r="B22" s="4"/>
      <c r="C22" s="4" t="s">
        <v>921</v>
      </c>
      <c r="D22" s="49">
        <f ca="1">iCountry!C13</f>
        <v>1</v>
      </c>
      <c r="E22" s="91">
        <f ca="1">iCountry!I13</f>
        <v>1</v>
      </c>
      <c r="F22" s="49" cm="1">
        <f t="array" aca="1" ref="F22" ca="1">INDEX(auto_DataFlat_Classification,E22)</f>
        <v>3</v>
      </c>
      <c r="G22" s="49">
        <f ca="1">iCountry!$E13</f>
        <v>62.4</v>
      </c>
      <c r="H22" s="49" cm="1">
        <f t="array" aca="1" ref="H22" ca="1">INDEX(auto_Series_Depth,$D22)</f>
        <v>0</v>
      </c>
      <c r="I22" s="244" cm="1">
        <f t="array" aca="1" ref="I22" ca="1">IF($D22=0,"-",INDEX(auto_DataFlat_Score,$G22))</f>
        <v>54.3</v>
      </c>
      <c r="J22" s="245" t="s">
        <v>920</v>
      </c>
      <c r="K22" s="4"/>
      <c r="L22" s="246" t="str" cm="1">
        <f t="array" aca="1" ref="L22" ca="1">INDEX(uxbGlobals!$B$133:$B$139,F22)</f>
        <v xml:space="preserve"> </v>
      </c>
      <c r="M22" s="247" t="str">
        <f ca="1">iCountry!J13</f>
        <v>OVERALL</v>
      </c>
      <c r="N22" s="248"/>
      <c r="O22" s="248"/>
      <c r="P22" s="248"/>
      <c r="Q22" s="248"/>
      <c r="R22" s="248"/>
      <c r="S22" s="249">
        <f ca="1">iCountry!K13</f>
        <v>49.6</v>
      </c>
      <c r="T22" s="250"/>
      <c r="U22" s="251"/>
      <c r="V22" s="252"/>
      <c r="W22" s="252"/>
      <c r="X22" s="248"/>
      <c r="Y22" s="253"/>
      <c r="Z22" s="4"/>
      <c r="AA22" s="4"/>
      <c r="AB22" s="4"/>
      <c r="AC22" s="4"/>
      <c r="AD22" s="4"/>
      <c r="AE22" s="4"/>
      <c r="AF22" s="4"/>
      <c r="AG22" s="4"/>
      <c r="AH22" s="4"/>
      <c r="AI22" s="4"/>
      <c r="AJ22" s="4"/>
      <c r="AK22" s="4"/>
      <c r="AL22" s="4"/>
    </row>
    <row r="23" spans="1:38" ht="17.25" customHeight="1" x14ac:dyDescent="0.4">
      <c r="A23" s="4"/>
      <c r="B23" s="4"/>
      <c r="C23" s="4"/>
      <c r="D23" s="49"/>
      <c r="E23" s="91"/>
      <c r="F23" s="26"/>
      <c r="G23" s="4"/>
      <c r="H23" s="4"/>
      <c r="I23" s="254"/>
      <c r="J23" s="255"/>
      <c r="K23" s="4"/>
      <c r="L23" s="256"/>
      <c r="M23" s="247"/>
      <c r="N23" s="248"/>
      <c r="O23" s="248"/>
      <c r="P23" s="248"/>
      <c r="Q23" s="248"/>
      <c r="R23" s="248"/>
      <c r="S23" s="257"/>
      <c r="T23" s="251"/>
      <c r="U23" s="251"/>
      <c r="V23" s="252"/>
      <c r="W23" s="252"/>
      <c r="X23" s="248"/>
      <c r="Y23" s="122"/>
      <c r="Z23" s="4"/>
      <c r="AA23" s="4"/>
      <c r="AB23" s="4"/>
      <c r="AC23" s="4"/>
      <c r="AD23" s="4"/>
      <c r="AE23" s="4"/>
      <c r="AF23" s="4"/>
      <c r="AG23" s="4"/>
      <c r="AH23" s="4"/>
      <c r="AI23" s="4"/>
      <c r="AJ23" s="4"/>
      <c r="AK23" s="4"/>
      <c r="AL23" s="4"/>
    </row>
    <row r="24" spans="1:38" ht="30" customHeight="1" x14ac:dyDescent="0.4">
      <c r="A24" s="4"/>
      <c r="B24" s="4"/>
      <c r="C24" s="4" t="s">
        <v>922</v>
      </c>
      <c r="D24" s="49">
        <f ca="1">iCountry!C14</f>
        <v>2</v>
      </c>
      <c r="E24" s="91">
        <f ca="1">iCountry!I14</f>
        <v>61</v>
      </c>
      <c r="F24" s="49" cm="1">
        <f t="array" aca="1" ref="F24" ca="1">IF($D24=0,1,INDEX(auto_DataFlat_Classification,E24))</f>
        <v>4</v>
      </c>
      <c r="G24" s="49">
        <f ca="1">iCountry!$E14</f>
        <v>70</v>
      </c>
      <c r="H24" s="49" cm="1">
        <f t="array" aca="1" ref="H24" ca="1">IF($D24=0,0,INDEX(auto_Series_Depth,$D24))</f>
        <v>1</v>
      </c>
      <c r="I24" s="254" cm="1">
        <f t="array" aca="1" ref="I24" ca="1">IF($D24=0,"-",INDEX(auto_DataFlat_Score,$G24))</f>
        <v>40.9</v>
      </c>
      <c r="J24" s="245" t="s">
        <v>920</v>
      </c>
      <c r="K24" s="4"/>
      <c r="L24" s="246" t="str" cm="1">
        <f t="array" aca="1" ref="L24" ca="1">INDEX(uxbGlobals!$B$133:$B$139,F24)</f>
        <v xml:space="preserve"> </v>
      </c>
      <c r="M24" s="247" t="str">
        <f ca="1">iCountry!J14</f>
        <v>SOCIAL DETERMINANTS</v>
      </c>
      <c r="N24" s="248"/>
      <c r="O24" s="248"/>
      <c r="P24" s="248"/>
      <c r="Q24" s="248"/>
      <c r="R24" s="248"/>
      <c r="S24" s="249">
        <f ca="1">iCountry!K14</f>
        <v>65.900000000000006</v>
      </c>
      <c r="T24" s="250"/>
      <c r="U24" s="251"/>
      <c r="V24" s="252"/>
      <c r="W24" s="252"/>
      <c r="X24" s="248"/>
      <c r="Y24" s="122"/>
      <c r="Z24" s="4"/>
      <c r="AA24" s="4"/>
      <c r="AB24" s="4"/>
      <c r="AC24" s="4"/>
      <c r="AD24" s="4"/>
      <c r="AE24" s="4"/>
      <c r="AF24" s="4"/>
      <c r="AG24" s="4"/>
      <c r="AH24" s="4"/>
      <c r="AI24" s="4"/>
      <c r="AJ24" s="4"/>
      <c r="AK24" s="4"/>
      <c r="AL24" s="4"/>
    </row>
    <row r="25" spans="1:38" ht="30" customHeight="1" x14ac:dyDescent="0.4">
      <c r="A25" s="4"/>
      <c r="B25" s="4"/>
      <c r="C25" s="4" t="s">
        <v>923</v>
      </c>
      <c r="D25" s="49">
        <f ca="1">iCountry!C15</f>
        <v>14</v>
      </c>
      <c r="E25" s="91">
        <f ca="1">iCountry!I15</f>
        <v>781</v>
      </c>
      <c r="F25" s="49" cm="1">
        <f t="array" aca="1" ref="F25" ca="1">IF($D25=0,1,INDEX(auto_DataFlat_Classification,E25))</f>
        <v>2</v>
      </c>
      <c r="G25" s="49">
        <f ca="1">iCountry!$E15</f>
        <v>48.8</v>
      </c>
      <c r="H25" s="49" cm="1">
        <f t="array" aca="1" ref="H25" ca="1">IF($D25=0,0,INDEX(auto_Series_Depth,$D25))</f>
        <v>1</v>
      </c>
      <c r="I25" s="254" cm="1">
        <f t="array" aca="1" ref="I25" ca="1">IF($D25=0,"-",INDEX(auto_DataFlat_Score,$G25))</f>
        <v>75.099999999999994</v>
      </c>
      <c r="J25" s="245" t="s">
        <v>920</v>
      </c>
      <c r="K25" s="4"/>
      <c r="L25" s="246" t="str" cm="1">
        <f t="array" aca="1" ref="L25" ca="1">INDEX(uxbGlobals!$B$133:$B$139,F25)</f>
        <v xml:space="preserve"> </v>
      </c>
      <c r="M25" s="247" t="str">
        <f ca="1">iCountry!J15</f>
        <v>PHYSICAL ENVIRONMENT</v>
      </c>
      <c r="N25" s="248"/>
      <c r="O25" s="248"/>
      <c r="P25" s="248"/>
      <c r="Q25" s="248"/>
      <c r="R25" s="248"/>
      <c r="S25" s="249">
        <f ca="1">iCountry!K15</f>
        <v>29</v>
      </c>
      <c r="T25" s="250"/>
      <c r="U25" s="251"/>
      <c r="V25" s="252"/>
      <c r="W25" s="252"/>
      <c r="X25" s="248"/>
      <c r="Y25" s="122"/>
      <c r="Z25" s="4"/>
      <c r="AA25" s="4"/>
      <c r="AB25" s="4"/>
      <c r="AC25" s="4"/>
      <c r="AD25" s="4"/>
      <c r="AE25" s="4"/>
      <c r="AF25" s="4"/>
      <c r="AG25" s="4"/>
      <c r="AH25" s="4"/>
      <c r="AI25" s="4"/>
      <c r="AJ25" s="4"/>
      <c r="AK25" s="4"/>
      <c r="AL25" s="4"/>
    </row>
    <row r="26" spans="1:38" ht="30" customHeight="1" x14ac:dyDescent="0.4">
      <c r="A26" s="4"/>
      <c r="B26" s="4"/>
      <c r="C26" s="4" t="s">
        <v>924</v>
      </c>
      <c r="D26" s="49">
        <f ca="1">iCountry!C16</f>
        <v>22</v>
      </c>
      <c r="E26" s="91">
        <f ca="1">iCountry!I16</f>
        <v>1261</v>
      </c>
      <c r="F26" s="49" cm="1">
        <f t="array" aca="1" ref="F26" ca="1">IF($D26=0,1,INDEX(auto_DataFlat_Classification,E26))</f>
        <v>3</v>
      </c>
      <c r="G26" s="49">
        <f ca="1">iCountry!$E16</f>
        <v>57.9</v>
      </c>
      <c r="H26" s="49" cm="1">
        <f t="array" aca="1" ref="H26" ca="1">IF($D26=0,0,INDEX(auto_Series_Depth,$D26))</f>
        <v>1</v>
      </c>
      <c r="I26" s="254" cm="1">
        <f t="array" aca="1" ref="I26" ca="1">IF($D26=0,"-",INDEX(auto_DataFlat_Score,$G26))</f>
        <v>68.2</v>
      </c>
      <c r="J26" s="245" t="s">
        <v>920</v>
      </c>
      <c r="K26" s="4"/>
      <c r="L26" s="246" t="str" cm="1">
        <f t="array" aca="1" ref="L26" ca="1">INDEX(uxbGlobals!$B$133:$B$139,F26)</f>
        <v xml:space="preserve"> </v>
      </c>
      <c r="M26" s="247" t="str">
        <f ca="1">iCountry!J16</f>
        <v>HEALTH RISKS</v>
      </c>
      <c r="N26" s="248"/>
      <c r="O26" s="248"/>
      <c r="P26" s="248"/>
      <c r="Q26" s="248"/>
      <c r="R26" s="248"/>
      <c r="S26" s="249">
        <f ca="1">iCountry!K16</f>
        <v>47.2</v>
      </c>
      <c r="T26" s="250"/>
      <c r="U26" s="251"/>
      <c r="V26" s="252"/>
      <c r="W26" s="252"/>
      <c r="X26" s="248"/>
      <c r="Y26" s="122"/>
      <c r="Z26" s="4"/>
      <c r="AA26" s="4"/>
      <c r="AB26" s="4"/>
      <c r="AC26" s="12"/>
      <c r="AD26" s="4"/>
      <c r="AE26" s="4"/>
      <c r="AF26" s="4"/>
      <c r="AG26" s="4"/>
      <c r="AH26" s="4"/>
      <c r="AI26" s="4"/>
      <c r="AJ26" s="4"/>
      <c r="AK26" s="4"/>
      <c r="AL26" s="4"/>
    </row>
    <row r="27" spans="1:38" ht="30" customHeight="1" x14ac:dyDescent="0.4">
      <c r="A27" s="4"/>
      <c r="B27" s="4"/>
      <c r="C27" s="4" t="s">
        <v>925</v>
      </c>
      <c r="D27" s="49">
        <f ca="1">iCountry!C17</f>
        <v>47</v>
      </c>
      <c r="E27" s="91">
        <f ca="1">iCountry!I17</f>
        <v>2761</v>
      </c>
      <c r="F27" s="49" cm="1">
        <f t="array" aca="1" ref="F27" ca="1">IF($D27=0,1,INDEX(auto_DataFlat_Classification,E27))</f>
        <v>1</v>
      </c>
      <c r="G27" s="49">
        <f ca="1">iCountry!$E17</f>
        <v>64.3</v>
      </c>
      <c r="H27" s="49" cm="1">
        <f t="array" aca="1" ref="H27" ca="1">IF($D27=0,0,INDEX(auto_Series_Depth,$D27))</f>
        <v>1</v>
      </c>
      <c r="I27" s="254" cm="1">
        <f t="array" aca="1" ref="I27" ca="1">IF($D27=0,"-",INDEX(auto_DataFlat_Score,$G27))</f>
        <v>75.7</v>
      </c>
      <c r="J27" s="245" t="s">
        <v>920</v>
      </c>
      <c r="K27" s="4"/>
      <c r="L27" s="246" t="str" cm="1">
        <f t="array" aca="1" ref="L27" ca="1">INDEX(uxbGlobals!$B$133:$B$139,F27)</f>
        <v xml:space="preserve"> </v>
      </c>
      <c r="M27" s="247" t="str">
        <f ca="1">iCountry!J17</f>
        <v>HEALTH SERVICES</v>
      </c>
      <c r="N27" s="248"/>
      <c r="O27" s="248"/>
      <c r="P27" s="248"/>
      <c r="Q27" s="248"/>
      <c r="R27" s="248"/>
      <c r="S27" s="249">
        <f ca="1">iCountry!K17</f>
        <v>19.100000000000001</v>
      </c>
      <c r="T27" s="250"/>
      <c r="U27" s="251"/>
      <c r="V27" s="252"/>
      <c r="W27" s="252"/>
      <c r="X27" s="248"/>
      <c r="Y27" s="122"/>
      <c r="Z27" s="4"/>
      <c r="AA27" s="4"/>
      <c r="AB27" s="4"/>
      <c r="AC27" s="4"/>
      <c r="AD27" s="4"/>
      <c r="AE27" s="4"/>
      <c r="AF27" s="4"/>
      <c r="AG27" s="4"/>
      <c r="AH27" s="4"/>
      <c r="AI27" s="4"/>
      <c r="AJ27" s="4"/>
      <c r="AK27" s="4"/>
      <c r="AL27" s="4"/>
    </row>
    <row r="28" spans="1:38" ht="30" customHeight="1" x14ac:dyDescent="0.4">
      <c r="A28" s="4"/>
      <c r="B28" s="4"/>
      <c r="C28" s="4" t="s">
        <v>926</v>
      </c>
      <c r="D28" s="49">
        <f ca="1">iCountry!C18</f>
        <v>52</v>
      </c>
      <c r="E28" s="91">
        <f ca="1">iCountry!I18</f>
        <v>3061</v>
      </c>
      <c r="F28" s="49" cm="1">
        <f t="array" aca="1" ref="F28" ca="1">IF($D28=0,1,INDEX(auto_DataFlat_Classification,E28))</f>
        <v>4</v>
      </c>
      <c r="G28" s="49">
        <f ca="1">iCountry!$E18</f>
        <v>68.900000000000006</v>
      </c>
      <c r="H28" s="49" cm="1">
        <f t="array" aca="1" ref="H28" ca="1">IF($D28=0,0,INDEX(auto_Series_Depth,$D28))</f>
        <v>1</v>
      </c>
      <c r="I28" s="254" cm="1">
        <f t="array" aca="1" ref="I28" ca="1">IF($D28=0,"-",INDEX(auto_DataFlat_Score,$G28))</f>
        <v>68.900000000000006</v>
      </c>
      <c r="J28" s="245" t="s">
        <v>920</v>
      </c>
      <c r="K28" s="4"/>
      <c r="L28" s="246" t="str" cm="1">
        <f t="array" aca="1" ref="L28" ca="1">INDEX(uxbGlobals!$B$133:$B$139,F28)</f>
        <v xml:space="preserve"> </v>
      </c>
      <c r="M28" s="247" t="str">
        <f ca="1">iCountry!J18</f>
        <v>GOVERNANCE</v>
      </c>
      <c r="N28" s="248"/>
      <c r="O28" s="248"/>
      <c r="P28" s="248"/>
      <c r="Q28" s="248"/>
      <c r="R28" s="248"/>
      <c r="S28" s="249">
        <f ca="1">iCountry!K18</f>
        <v>67.599999999999994</v>
      </c>
      <c r="T28" s="250"/>
      <c r="U28" s="251"/>
      <c r="V28" s="252"/>
      <c r="W28" s="252"/>
      <c r="X28" s="248"/>
      <c r="Y28" s="122"/>
      <c r="Z28" s="4"/>
      <c r="AA28" s="4"/>
      <c r="AB28" s="4"/>
      <c r="AC28" s="4"/>
      <c r="AD28" s="4"/>
      <c r="AE28" s="4"/>
      <c r="AF28" s="4"/>
      <c r="AG28" s="4"/>
      <c r="AH28" s="4"/>
      <c r="AI28" s="4"/>
      <c r="AJ28" s="4"/>
      <c r="AK28" s="4"/>
      <c r="AL28" s="4"/>
    </row>
    <row r="29" spans="1:38" ht="8.25" customHeight="1" x14ac:dyDescent="0.4">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1:38" ht="13.5" customHeight="1" x14ac:dyDescent="0.4">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1:38" ht="21" customHeight="1" x14ac:dyDescent="0.4">
      <c r="A31" s="4"/>
      <c r="B31" s="4"/>
      <c r="C31" s="4"/>
      <c r="D31" s="4"/>
      <c r="E31" s="4"/>
      <c r="F31" s="4"/>
      <c r="G31" s="4"/>
      <c r="H31" s="4"/>
      <c r="I31" s="4"/>
      <c r="J31" s="4"/>
      <c r="K31" s="4"/>
      <c r="L31" s="48" t="s">
        <v>7618</v>
      </c>
      <c r="M31" s="4"/>
      <c r="N31" s="4"/>
      <c r="O31" s="4"/>
      <c r="P31" s="4"/>
      <c r="Q31" s="4"/>
      <c r="R31" s="4"/>
      <c r="S31" s="4"/>
      <c r="T31" s="4"/>
      <c r="U31" s="4"/>
      <c r="V31" s="4"/>
      <c r="W31" s="4"/>
      <c r="X31" s="4"/>
      <c r="Y31" s="4"/>
      <c r="Z31" s="4"/>
      <c r="AA31" s="122"/>
      <c r="AB31" s="4"/>
      <c r="AC31" s="4"/>
      <c r="AD31" s="4"/>
      <c r="AE31" s="4"/>
      <c r="AF31" s="4"/>
      <c r="AG31" s="4"/>
      <c r="AH31" s="4"/>
      <c r="AI31" s="4"/>
      <c r="AJ31" s="4"/>
      <c r="AK31" s="4"/>
      <c r="AL31" s="4"/>
    </row>
    <row r="32" spans="1:38" ht="15" customHeight="1" x14ac:dyDescent="0.4">
      <c r="A32" s="4"/>
      <c r="B32" s="4"/>
      <c r="C32" s="4"/>
      <c r="D32" s="4"/>
      <c r="E32" s="4"/>
      <c r="F32" s="4"/>
      <c r="G32" s="4"/>
      <c r="H32" s="4"/>
      <c r="I32" s="4"/>
      <c r="J32" s="4"/>
      <c r="K32" s="4"/>
      <c r="L32" s="37" t="str">
        <f>uxbGlobals!$B$202</f>
        <v>Score 0-100 where 100=most healthy environment</v>
      </c>
      <c r="M32" s="4"/>
      <c r="N32" s="122"/>
      <c r="O32" s="122"/>
      <c r="P32" s="122"/>
      <c r="Q32" s="122"/>
      <c r="R32" s="122"/>
      <c r="S32" s="236"/>
      <c r="T32" s="237"/>
      <c r="U32" s="238"/>
      <c r="V32" s="122"/>
      <c r="W32" s="239"/>
      <c r="X32" s="239"/>
      <c r="Y32" s="239"/>
      <c r="Z32" s="239"/>
      <c r="AA32" s="122"/>
      <c r="AB32" s="4"/>
      <c r="AC32" s="4"/>
      <c r="AD32" s="4"/>
      <c r="AE32" s="4"/>
      <c r="AF32" s="4"/>
      <c r="AG32" s="4"/>
      <c r="AH32" s="4"/>
      <c r="AI32" s="4"/>
      <c r="AJ32" s="4"/>
      <c r="AK32" s="4"/>
      <c r="AL32" s="4"/>
    </row>
    <row r="33" spans="1:38" ht="15" customHeight="1" x14ac:dyDescent="0.4">
      <c r="A33" s="4"/>
      <c r="B33" s="4"/>
      <c r="C33" s="4"/>
      <c r="D33" s="4"/>
      <c r="E33" s="4"/>
      <c r="F33" s="4"/>
      <c r="G33" s="4"/>
      <c r="H33" s="4"/>
      <c r="I33" s="4"/>
      <c r="J33" s="4"/>
      <c r="K33" s="4"/>
      <c r="L33" s="37"/>
      <c r="M33" s="4"/>
      <c r="N33" s="122"/>
      <c r="O33" s="122"/>
      <c r="P33" s="122"/>
      <c r="Q33" s="122"/>
      <c r="R33" s="122"/>
      <c r="S33" s="236"/>
      <c r="T33" s="237"/>
      <c r="U33" s="238"/>
      <c r="V33" s="122"/>
      <c r="W33" s="239"/>
      <c r="X33" s="239"/>
      <c r="Y33" s="239"/>
      <c r="Z33" s="239"/>
      <c r="AA33" s="122"/>
      <c r="AB33" s="4"/>
      <c r="AC33" s="4"/>
      <c r="AD33" s="4"/>
      <c r="AE33" s="4"/>
      <c r="AF33" s="4"/>
      <c r="AG33" s="4"/>
      <c r="AH33" s="4"/>
      <c r="AI33" s="4"/>
      <c r="AJ33" s="4"/>
      <c r="AK33" s="4"/>
      <c r="AL33" s="4"/>
    </row>
    <row r="34" spans="1:38" ht="15" customHeight="1" x14ac:dyDescent="0.4">
      <c r="A34" s="4"/>
      <c r="B34" s="4"/>
      <c r="C34" s="4"/>
      <c r="D34" s="4"/>
      <c r="E34" s="4"/>
      <c r="F34" s="4"/>
      <c r="G34" s="4"/>
      <c r="H34" s="4"/>
      <c r="I34" s="4"/>
      <c r="J34" s="4"/>
      <c r="K34" s="4"/>
      <c r="L34" s="258" t="str">
        <f ca="1">$M$24</f>
        <v>SOCIAL DETERMINANTS</v>
      </c>
      <c r="M34" s="258"/>
      <c r="N34" s="258"/>
      <c r="O34" s="258"/>
      <c r="P34" s="258"/>
      <c r="Q34" s="258"/>
      <c r="R34" s="258"/>
      <c r="S34" s="258"/>
      <c r="T34" s="92">
        <v>0</v>
      </c>
      <c r="U34" s="259"/>
      <c r="V34" s="10"/>
      <c r="W34" s="10"/>
      <c r="X34" s="260"/>
      <c r="Y34" s="260"/>
      <c r="Z34" s="260"/>
      <c r="AA34" s="260"/>
      <c r="AB34" s="260">
        <v>100</v>
      </c>
      <c r="AC34" s="4"/>
      <c r="AD34" s="4"/>
      <c r="AE34" s="4"/>
      <c r="AF34" s="4"/>
      <c r="AG34" s="4"/>
      <c r="AH34" s="4"/>
      <c r="AI34" s="4"/>
      <c r="AJ34" s="4"/>
      <c r="AK34" s="4"/>
      <c r="AL34" s="4"/>
    </row>
    <row r="35" spans="1:38" ht="30" customHeight="1" x14ac:dyDescent="0.4">
      <c r="A35" s="4"/>
      <c r="B35" s="4"/>
      <c r="C35" s="4" t="s">
        <v>2680</v>
      </c>
      <c r="D35" s="49">
        <f ca="1">iCountry!C54</f>
        <v>3</v>
      </c>
      <c r="E35" s="91">
        <f ca="1">iCountry!I54</f>
        <v>121</v>
      </c>
      <c r="F35" s="49" cm="1">
        <f t="array" aca="1" ref="F35" ca="1">INDEX(auto_DataFlat_Classification,E35)</f>
        <v>5</v>
      </c>
      <c r="G35" s="49">
        <f ca="1">iCountry!$E54</f>
        <v>171</v>
      </c>
      <c r="H35" s="49" cm="1">
        <f t="array" aca="1" ref="H35" ca="1">INDEX(auto_Series_Depth,$D35)</f>
        <v>2</v>
      </c>
      <c r="I35" s="244" cm="1">
        <f t="array" aca="1" ref="I35" ca="1">IF($D35=0,"-",INDEX(auto_DataFlat_Score,$G35))</f>
        <v>67.2</v>
      </c>
      <c r="J35" s="245" t="s">
        <v>920</v>
      </c>
      <c r="K35" s="4"/>
      <c r="L35" s="246"/>
      <c r="M35" s="247" t="str">
        <f ca="1">iCountry!J54</f>
        <v>Poverty and inequality</v>
      </c>
      <c r="N35" s="248"/>
      <c r="O35" s="248"/>
      <c r="P35" s="248"/>
      <c r="Q35" s="248"/>
      <c r="R35" s="248"/>
      <c r="S35" s="249">
        <f ca="1">iCountry!K54</f>
        <v>82.5</v>
      </c>
      <c r="T35" s="250"/>
      <c r="U35" s="251"/>
      <c r="V35" s="252"/>
      <c r="W35" s="252"/>
      <c r="X35" s="248"/>
      <c r="Y35" s="122"/>
      <c r="Z35" s="4"/>
      <c r="AA35" s="4"/>
      <c r="AB35" s="4"/>
      <c r="AC35" s="12"/>
      <c r="AD35" s="4"/>
      <c r="AE35" s="4"/>
      <c r="AF35" s="4"/>
      <c r="AG35" s="4"/>
      <c r="AH35" s="4"/>
      <c r="AI35" s="4"/>
      <c r="AJ35" s="4"/>
      <c r="AK35" s="4"/>
      <c r="AL35" s="4"/>
    </row>
    <row r="36" spans="1:38" ht="30" customHeight="1" x14ac:dyDescent="0.4">
      <c r="A36" s="4"/>
      <c r="B36" s="4"/>
      <c r="C36" s="4" t="s">
        <v>2681</v>
      </c>
      <c r="D36" s="49">
        <f ca="1">iCountry!C55</f>
        <v>6</v>
      </c>
      <c r="E36" s="91">
        <f ca="1">iCountry!I55</f>
        <v>301</v>
      </c>
      <c r="F36" s="49" cm="1">
        <f t="array" aca="1" ref="F36" ca="1">INDEX(auto_DataFlat_Classification,E36)</f>
        <v>1</v>
      </c>
      <c r="G36" s="49">
        <f ca="1">iCountry!$E55</f>
        <v>351</v>
      </c>
      <c r="H36" s="49" cm="1">
        <f t="array" aca="1" ref="H36" ca="1">INDEX(auto_Series_Depth,$D36)</f>
        <v>2</v>
      </c>
      <c r="I36" s="244" cm="1">
        <f t="array" aca="1" ref="I36" ca="1">IF($D36=0,"-",INDEX(auto_DataFlat_Score,$G36))</f>
        <v>59.4</v>
      </c>
      <c r="J36" s="245" t="s">
        <v>920</v>
      </c>
      <c r="K36" s="4"/>
      <c r="L36" s="246"/>
      <c r="M36" s="247" t="str">
        <f ca="1">iCountry!J55</f>
        <v xml:space="preserve">Education
</v>
      </c>
      <c r="N36" s="248"/>
      <c r="O36" s="248"/>
      <c r="P36" s="248"/>
      <c r="Q36" s="248"/>
      <c r="R36" s="248"/>
      <c r="S36" s="249">
        <f ca="1">iCountry!K55</f>
        <v>2.2999999999999998</v>
      </c>
      <c r="T36" s="250"/>
      <c r="U36" s="251"/>
      <c r="V36" s="252"/>
      <c r="W36" s="252"/>
      <c r="X36" s="248"/>
      <c r="Y36" s="122"/>
      <c r="Z36" s="4"/>
      <c r="AA36" s="4"/>
      <c r="AB36" s="4"/>
      <c r="AC36" s="12"/>
      <c r="AD36" s="4"/>
      <c r="AE36" s="4"/>
      <c r="AF36" s="4"/>
      <c r="AG36" s="4"/>
      <c r="AH36" s="4"/>
      <c r="AI36" s="4"/>
      <c r="AJ36" s="4"/>
      <c r="AK36" s="4"/>
      <c r="AL36" s="4"/>
    </row>
    <row r="37" spans="1:38" ht="30" customHeight="1" x14ac:dyDescent="0.4">
      <c r="A37" s="4"/>
      <c r="B37" s="4"/>
      <c r="C37" s="4" t="s">
        <v>2682</v>
      </c>
      <c r="D37" s="49">
        <f ca="1">iCountry!C56</f>
        <v>9</v>
      </c>
      <c r="E37" s="91">
        <f ca="1">iCountry!I56</f>
        <v>481</v>
      </c>
      <c r="F37" s="49" cm="1">
        <f t="array" aca="1" ref="F37" ca="1">INDEX(auto_DataFlat_Classification,E37)</f>
        <v>5</v>
      </c>
      <c r="G37" s="49">
        <f ca="1">iCountry!$E56</f>
        <v>531</v>
      </c>
      <c r="H37" s="49" cm="1">
        <f t="array" aca="1" ref="H37" ca="1">INDEX(auto_Series_Depth,$D37)</f>
        <v>2</v>
      </c>
      <c r="I37" s="244" cm="1">
        <f t="array" aca="1" ref="I37" ca="1">IF($D37=0,"-",INDEX(auto_DataFlat_Score,$G37))</f>
        <v>85.2</v>
      </c>
      <c r="J37" s="245" t="s">
        <v>920</v>
      </c>
      <c r="K37" s="4"/>
      <c r="L37" s="246"/>
      <c r="M37" s="247" t="str">
        <f ca="1">iCountry!J56</f>
        <v xml:space="preserve">Employment
</v>
      </c>
      <c r="N37" s="248"/>
      <c r="O37" s="248"/>
      <c r="P37" s="248"/>
      <c r="Q37" s="248"/>
      <c r="R37" s="248"/>
      <c r="S37" s="249">
        <f ca="1">iCountry!K56</f>
        <v>98</v>
      </c>
      <c r="T37" s="250"/>
      <c r="U37" s="251"/>
      <c r="V37" s="252"/>
      <c r="W37" s="252"/>
      <c r="X37" s="248"/>
      <c r="Y37" s="122"/>
      <c r="Z37" s="4"/>
      <c r="AA37" s="4"/>
      <c r="AB37" s="4"/>
      <c r="AC37" s="12"/>
      <c r="AD37" s="4"/>
      <c r="AE37" s="4"/>
      <c r="AF37" s="4"/>
      <c r="AG37" s="4"/>
      <c r="AH37" s="4"/>
      <c r="AI37" s="4"/>
      <c r="AJ37" s="4"/>
      <c r="AK37" s="4"/>
      <c r="AL37" s="4"/>
    </row>
    <row r="38" spans="1:38" ht="30" customHeight="1" x14ac:dyDescent="0.4">
      <c r="A38" s="4"/>
      <c r="B38" s="4"/>
      <c r="C38" s="4" t="s">
        <v>2683</v>
      </c>
      <c r="D38" s="49">
        <f ca="1">iCountry!C57</f>
        <v>12</v>
      </c>
      <c r="E38" s="91">
        <f ca="1">iCountry!I57</f>
        <v>661</v>
      </c>
      <c r="F38" s="49" cm="1">
        <f t="array" aca="1" ref="F38" ca="1">INDEX(auto_DataFlat_Classification,E38)</f>
        <v>3</v>
      </c>
      <c r="G38" s="49">
        <f ca="1">iCountry!$E57</f>
        <v>711</v>
      </c>
      <c r="H38" s="49" cm="1">
        <f t="array" aca="1" ref="H38" ca="1">INDEX(auto_Series_Depth,$D38)</f>
        <v>2</v>
      </c>
      <c r="I38" s="244" cm="1">
        <f t="array" aca="1" ref="I38" ca="1">IF($D38=0,"-",INDEX(auto_DataFlat_Score,$G38))</f>
        <v>63.3</v>
      </c>
      <c r="J38" s="245" t="s">
        <v>920</v>
      </c>
      <c r="K38" s="4"/>
      <c r="L38" s="246"/>
      <c r="M38" s="247" t="str">
        <f ca="1">iCountry!J57</f>
        <v xml:space="preserve">Access to healthcare
</v>
      </c>
      <c r="N38" s="248"/>
      <c r="O38" s="248"/>
      <c r="P38" s="248"/>
      <c r="Q38" s="248"/>
      <c r="R38" s="248"/>
      <c r="S38" s="249">
        <f ca="1">iCountry!K57</f>
        <v>52.5</v>
      </c>
      <c r="T38" s="250"/>
      <c r="U38" s="251"/>
      <c r="V38" s="252"/>
      <c r="W38" s="252"/>
      <c r="X38" s="248"/>
      <c r="Y38" s="122"/>
      <c r="Z38" s="4"/>
      <c r="AA38" s="4"/>
      <c r="AB38" s="4"/>
      <c r="AC38" s="12"/>
      <c r="AD38" s="4"/>
      <c r="AE38" s="4"/>
      <c r="AF38" s="4"/>
      <c r="AG38" s="4"/>
      <c r="AH38" s="4"/>
      <c r="AI38" s="4"/>
      <c r="AJ38" s="4"/>
      <c r="AK38" s="4"/>
      <c r="AL38" s="4"/>
    </row>
    <row r="39" spans="1:38" ht="30" customHeight="1" x14ac:dyDescent="0.4">
      <c r="A39" s="4"/>
      <c r="B39" s="4"/>
      <c r="C39" s="4" t="s">
        <v>2684</v>
      </c>
      <c r="D39" s="49">
        <f ca="1">iCountry!C58</f>
        <v>13</v>
      </c>
      <c r="E39" s="91">
        <f ca="1">iCountry!I58</f>
        <v>721</v>
      </c>
      <c r="F39" s="49" cm="1">
        <f t="array" aca="1" ref="F39" ca="1">INDEX(auto_DataFlat_Classification,E39)</f>
        <v>5</v>
      </c>
      <c r="G39" s="49">
        <f ca="1">iCountry!$E58</f>
        <v>771</v>
      </c>
      <c r="H39" s="49" cm="1">
        <f t="array" aca="1" ref="H39" ca="1">INDEX(auto_Series_Depth,$D39)</f>
        <v>2</v>
      </c>
      <c r="I39" s="244" cm="1">
        <f t="array" aca="1" ref="I39" ca="1">IF($D39=0,"-",INDEX(auto_DataFlat_Score,$G39))</f>
        <v>74.599999999999994</v>
      </c>
      <c r="J39" s="245" t="s">
        <v>920</v>
      </c>
      <c r="K39" s="4"/>
      <c r="L39" s="246"/>
      <c r="M39" s="247" t="str">
        <f ca="1">iCountry!J58</f>
        <v xml:space="preserve">Household health expenditure
</v>
      </c>
      <c r="N39" s="248"/>
      <c r="O39" s="248"/>
      <c r="P39" s="248"/>
      <c r="Q39" s="248"/>
      <c r="R39" s="248"/>
      <c r="S39" s="249">
        <f ca="1">iCountry!K58</f>
        <v>94.4</v>
      </c>
      <c r="T39" s="250"/>
      <c r="U39" s="251"/>
      <c r="V39" s="252"/>
      <c r="W39" s="252"/>
      <c r="X39" s="248"/>
      <c r="Y39" s="122"/>
      <c r="Z39" s="4"/>
      <c r="AA39" s="4"/>
      <c r="AB39" s="4"/>
      <c r="AC39" s="12"/>
      <c r="AD39" s="4"/>
      <c r="AE39" s="4"/>
      <c r="AF39" s="4"/>
      <c r="AG39" s="4"/>
      <c r="AH39" s="4"/>
      <c r="AI39" s="4"/>
      <c r="AJ39" s="4"/>
      <c r="AK39" s="4"/>
      <c r="AL39" s="4"/>
    </row>
    <row r="40" spans="1:38" ht="21" customHeight="1" x14ac:dyDescent="0.4">
      <c r="A40" s="4"/>
      <c r="B40" s="4"/>
      <c r="C40" s="4"/>
      <c r="D40" s="49"/>
      <c r="E40" s="91"/>
      <c r="F40" s="49"/>
      <c r="G40" s="49"/>
      <c r="H40" s="49"/>
      <c r="I40" s="261"/>
      <c r="J40" s="262"/>
      <c r="K40" s="4"/>
      <c r="L40" s="263"/>
      <c r="M40" s="264"/>
      <c r="N40" s="122"/>
      <c r="O40" s="122"/>
      <c r="P40" s="122"/>
      <c r="Q40" s="122"/>
      <c r="R40" s="122"/>
      <c r="S40" s="265"/>
      <c r="T40" s="266"/>
      <c r="U40" s="267"/>
      <c r="V40" s="268"/>
      <c r="W40" s="268"/>
      <c r="X40" s="240"/>
      <c r="Y40" s="122"/>
      <c r="Z40" s="4"/>
      <c r="AA40" s="4"/>
      <c r="AB40" s="4"/>
      <c r="AC40" s="12"/>
      <c r="AD40" s="4"/>
      <c r="AE40" s="4"/>
      <c r="AF40" s="4"/>
      <c r="AG40" s="4"/>
      <c r="AH40" s="4"/>
      <c r="AI40" s="4"/>
      <c r="AJ40" s="4"/>
      <c r="AK40" s="4"/>
      <c r="AL40" s="4"/>
    </row>
    <row r="41" spans="1:38" ht="15" customHeight="1" x14ac:dyDescent="0.4">
      <c r="A41" s="4"/>
      <c r="B41" s="4"/>
      <c r="C41" s="4"/>
      <c r="D41" s="4"/>
      <c r="E41" s="4"/>
      <c r="F41" s="4"/>
      <c r="G41" s="4"/>
      <c r="H41" s="4"/>
      <c r="I41" s="4"/>
      <c r="J41" s="4"/>
      <c r="K41" s="4"/>
      <c r="L41" s="269" t="str">
        <f ca="1">$M$25</f>
        <v>PHYSICAL ENVIRONMENT</v>
      </c>
      <c r="M41" s="258"/>
      <c r="N41" s="258"/>
      <c r="O41" s="258"/>
      <c r="P41" s="258"/>
      <c r="Q41" s="258"/>
      <c r="R41" s="258"/>
      <c r="S41" s="258"/>
      <c r="T41" s="92">
        <v>0</v>
      </c>
      <c r="U41" s="259"/>
      <c r="V41" s="10"/>
      <c r="W41" s="10"/>
      <c r="X41" s="260"/>
      <c r="Y41" s="260"/>
      <c r="Z41" s="260"/>
      <c r="AA41" s="260"/>
      <c r="AB41" s="260">
        <v>100</v>
      </c>
      <c r="AC41" s="4"/>
      <c r="AD41" s="4"/>
      <c r="AE41" s="4"/>
      <c r="AF41" s="4"/>
      <c r="AG41" s="4"/>
      <c r="AH41" s="4"/>
      <c r="AI41" s="4"/>
      <c r="AJ41" s="4"/>
      <c r="AK41" s="4"/>
      <c r="AL41" s="4"/>
    </row>
    <row r="42" spans="1:38" ht="30" customHeight="1" x14ac:dyDescent="0.4">
      <c r="A42" s="4"/>
      <c r="B42" s="4"/>
      <c r="C42" s="4" t="s">
        <v>2685</v>
      </c>
      <c r="D42" s="49">
        <f ca="1">iCountry!C59</f>
        <v>15</v>
      </c>
      <c r="E42" s="91">
        <f ca="1">iCountry!I59</f>
        <v>841</v>
      </c>
      <c r="F42" s="49" cm="1">
        <f t="array" aca="1" ref="F42" ca="1">INDEX(auto_DataFlat_Classification,E42)</f>
        <v>1</v>
      </c>
      <c r="G42" s="49">
        <f ca="1">iCountry!$E59</f>
        <v>891</v>
      </c>
      <c r="H42" s="49" cm="1">
        <f t="array" aca="1" ref="H42" ca="1">INDEX(auto_Series_Depth,$D42)</f>
        <v>2</v>
      </c>
      <c r="I42" s="244" cm="1">
        <f t="array" aca="1" ref="I42" ca="1">IF($D42=0,"-",INDEX(auto_DataFlat_Score,$G42))</f>
        <v>0</v>
      </c>
      <c r="J42" s="245" t="s">
        <v>920</v>
      </c>
      <c r="K42" s="4"/>
      <c r="L42" s="246"/>
      <c r="M42" s="247" t="str">
        <f ca="1">iCountry!J59</f>
        <v>Air quality</v>
      </c>
      <c r="N42" s="248"/>
      <c r="O42" s="248"/>
      <c r="P42" s="248"/>
      <c r="Q42" s="248"/>
      <c r="R42" s="248"/>
      <c r="S42" s="249">
        <f ca="1">iCountry!K59</f>
        <v>0</v>
      </c>
      <c r="T42" s="250"/>
      <c r="U42" s="251"/>
      <c r="V42" s="252"/>
      <c r="W42" s="252"/>
      <c r="X42" s="248"/>
      <c r="Y42" s="122"/>
      <c r="Z42" s="4"/>
      <c r="AA42" s="4"/>
      <c r="AB42" s="4"/>
      <c r="AC42" s="12"/>
      <c r="AD42" s="4"/>
      <c r="AE42" s="4"/>
      <c r="AF42" s="4"/>
      <c r="AG42" s="4"/>
      <c r="AH42" s="4"/>
      <c r="AI42" s="4"/>
      <c r="AJ42" s="4"/>
      <c r="AK42" s="4"/>
      <c r="AL42" s="4"/>
    </row>
    <row r="43" spans="1:38" ht="30" customHeight="1" x14ac:dyDescent="0.4">
      <c r="A43" s="4"/>
      <c r="B43" s="4"/>
      <c r="C43" s="4" t="s">
        <v>2686</v>
      </c>
      <c r="D43" s="49">
        <f ca="1">iCountry!C60</f>
        <v>16</v>
      </c>
      <c r="E43" s="91">
        <f ca="1">iCountry!I60</f>
        <v>901</v>
      </c>
      <c r="F43" s="49" cm="1">
        <f t="array" aca="1" ref="F43" ca="1">INDEX(auto_DataFlat_Classification,E43)</f>
        <v>3</v>
      </c>
      <c r="G43" s="49">
        <f ca="1">iCountry!$E60</f>
        <v>951</v>
      </c>
      <c r="H43" s="49" cm="1">
        <f t="array" aca="1" ref="H43" ca="1">INDEX(auto_Series_Depth,$D43)</f>
        <v>2</v>
      </c>
      <c r="I43" s="244" cm="1">
        <f t="array" aca="1" ref="I43" ca="1">IF($D43=0,"-",INDEX(auto_DataFlat_Score,$G43))</f>
        <v>47.8</v>
      </c>
      <c r="J43" s="245" t="s">
        <v>920</v>
      </c>
      <c r="K43" s="4"/>
      <c r="L43" s="246"/>
      <c r="M43" s="247" t="str">
        <f ca="1">iCountry!J60</f>
        <v>Open spaces and green areas</v>
      </c>
      <c r="N43" s="248"/>
      <c r="O43" s="248"/>
      <c r="P43" s="248"/>
      <c r="Q43" s="248"/>
      <c r="R43" s="248"/>
      <c r="S43" s="249">
        <f ca="1">iCountry!K60</f>
        <v>42.5</v>
      </c>
      <c r="T43" s="250"/>
      <c r="U43" s="251"/>
      <c r="V43" s="252"/>
      <c r="W43" s="252"/>
      <c r="X43" s="248"/>
      <c r="Y43" s="122"/>
      <c r="Z43" s="4"/>
      <c r="AA43" s="4"/>
      <c r="AB43" s="4"/>
      <c r="AC43" s="12"/>
      <c r="AD43" s="4"/>
      <c r="AE43" s="4"/>
      <c r="AF43" s="4"/>
      <c r="AG43" s="4"/>
      <c r="AH43" s="4"/>
      <c r="AI43" s="4"/>
      <c r="AJ43" s="4"/>
      <c r="AK43" s="4"/>
      <c r="AL43" s="4"/>
    </row>
    <row r="44" spans="1:38" ht="30" customHeight="1" x14ac:dyDescent="0.4">
      <c r="A44" s="4"/>
      <c r="B44" s="4"/>
      <c r="C44" s="4" t="s">
        <v>2687</v>
      </c>
      <c r="D44" s="49">
        <f ca="1">iCountry!C61</f>
        <v>17</v>
      </c>
      <c r="E44" s="91">
        <f ca="1">iCountry!I61</f>
        <v>961</v>
      </c>
      <c r="F44" s="49" cm="1">
        <f t="array" aca="1" ref="F44" ca="1">INDEX(auto_DataFlat_Classification,E44)</f>
        <v>1</v>
      </c>
      <c r="G44" s="49">
        <f ca="1">iCountry!$E61</f>
        <v>1011</v>
      </c>
      <c r="H44" s="49" cm="1">
        <f t="array" aca="1" ref="H44" ca="1">INDEX(auto_Series_Depth,$D44)</f>
        <v>2</v>
      </c>
      <c r="I44" s="244" cm="1">
        <f t="array" aca="1" ref="I44" ca="1">IF($D44=0,"-",INDEX(auto_DataFlat_Score,$G44))</f>
        <v>70</v>
      </c>
      <c r="J44" s="245" t="s">
        <v>920</v>
      </c>
      <c r="K44" s="4"/>
      <c r="L44" s="246"/>
      <c r="M44" s="247" t="str">
        <f ca="1">iCountry!J61</f>
        <v>Active transport</v>
      </c>
      <c r="N44" s="248"/>
      <c r="O44" s="248"/>
      <c r="P44" s="248"/>
      <c r="Q44" s="248"/>
      <c r="R44" s="248"/>
      <c r="S44" s="249">
        <f ca="1">iCountry!K61</f>
        <v>0</v>
      </c>
      <c r="T44" s="250"/>
      <c r="U44" s="251"/>
      <c r="V44" s="252"/>
      <c r="W44" s="252"/>
      <c r="X44" s="248"/>
      <c r="Y44" s="122"/>
      <c r="Z44" s="4"/>
      <c r="AA44" s="4"/>
      <c r="AB44" s="4"/>
      <c r="AC44" s="12"/>
      <c r="AD44" s="4"/>
      <c r="AE44" s="4"/>
      <c r="AF44" s="4"/>
      <c r="AG44" s="4"/>
      <c r="AH44" s="4"/>
      <c r="AI44" s="4"/>
      <c r="AJ44" s="4"/>
      <c r="AK44" s="4"/>
      <c r="AL44" s="4"/>
    </row>
    <row r="45" spans="1:38" ht="30" customHeight="1" x14ac:dyDescent="0.4">
      <c r="A45" s="4"/>
      <c r="B45" s="4"/>
      <c r="C45" s="4" t="s">
        <v>2694</v>
      </c>
      <c r="D45" s="49">
        <f ca="1">iCountry!C62</f>
        <v>18</v>
      </c>
      <c r="E45" s="91">
        <f ca="1">iCountry!I62</f>
        <v>1021</v>
      </c>
      <c r="F45" s="49" cm="1">
        <f t="array" aca="1" ref="F45" ca="1">INDEX(auto_DataFlat_Classification,E45)</f>
        <v>4</v>
      </c>
      <c r="G45" s="49">
        <f ca="1">iCountry!$E62</f>
        <v>1071</v>
      </c>
      <c r="H45" s="49" cm="1">
        <f t="array" aca="1" ref="H45" ca="1">INDEX(auto_Series_Depth,$D45)</f>
        <v>2</v>
      </c>
      <c r="I45" s="244" cm="1">
        <f t="array" aca="1" ref="I45" ca="1">IF($D45=0,"-",INDEX(auto_DataFlat_Score,$G45))</f>
        <v>61.6</v>
      </c>
      <c r="J45" s="245" t="s">
        <v>920</v>
      </c>
      <c r="K45" s="4"/>
      <c r="L45" s="246"/>
      <c r="M45" s="247" t="str">
        <f ca="1">iCountry!J62</f>
        <v>Food security</v>
      </c>
      <c r="N45" s="248"/>
      <c r="O45" s="248"/>
      <c r="P45" s="248"/>
      <c r="Q45" s="248"/>
      <c r="R45" s="248"/>
      <c r="S45" s="249">
        <f ca="1">iCountry!K62</f>
        <v>71</v>
      </c>
      <c r="T45" s="250"/>
      <c r="U45" s="251"/>
      <c r="V45" s="252"/>
      <c r="W45" s="252"/>
      <c r="X45" s="248"/>
      <c r="Y45" s="122"/>
      <c r="Z45" s="4"/>
      <c r="AA45" s="4"/>
      <c r="AB45" s="4"/>
      <c r="AC45" s="12"/>
      <c r="AD45" s="4"/>
      <c r="AE45" s="4"/>
      <c r="AF45" s="4"/>
      <c r="AG45" s="4"/>
      <c r="AH45" s="4"/>
      <c r="AI45" s="4"/>
      <c r="AJ45" s="4"/>
      <c r="AK45" s="4"/>
      <c r="AL45" s="4"/>
    </row>
    <row r="46" spans="1:38" ht="30" customHeight="1" x14ac:dyDescent="0.4">
      <c r="A46" s="4"/>
      <c r="B46" s="4"/>
      <c r="C46" s="4" t="s">
        <v>2695</v>
      </c>
      <c r="D46" s="49">
        <f ca="1">iCountry!C63</f>
        <v>21</v>
      </c>
      <c r="E46" s="91">
        <f ca="1">iCountry!I63</f>
        <v>1201</v>
      </c>
      <c r="F46" s="49" cm="1">
        <f t="array" aca="1" ref="F46" ca="1">INDEX(auto_DataFlat_Classification,E46)</f>
        <v>2</v>
      </c>
      <c r="G46" s="49">
        <f ca="1">iCountry!$E63</f>
        <v>1251</v>
      </c>
      <c r="H46" s="49" cm="1">
        <f t="array" aca="1" ref="H46" ca="1">INDEX(auto_Series_Depth,$D46)</f>
        <v>2</v>
      </c>
      <c r="I46" s="244" cm="1">
        <f t="array" aca="1" ref="I46" ca="1">IF($D46=0,"-",INDEX(auto_DataFlat_Score,$G46))</f>
        <v>64.900000000000006</v>
      </c>
      <c r="J46" s="245" t="s">
        <v>920</v>
      </c>
      <c r="K46" s="4"/>
      <c r="L46" s="246"/>
      <c r="M46" s="247" t="str">
        <f ca="1">iCountry!J63</f>
        <v>Access to public transport</v>
      </c>
      <c r="N46" s="248"/>
      <c r="O46" s="248"/>
      <c r="P46" s="248"/>
      <c r="Q46" s="248"/>
      <c r="R46" s="248"/>
      <c r="S46" s="249">
        <f ca="1">iCountry!K63</f>
        <v>31.5</v>
      </c>
      <c r="T46" s="250"/>
      <c r="U46" s="251"/>
      <c r="V46" s="252"/>
      <c r="W46" s="252"/>
      <c r="X46" s="248"/>
      <c r="Y46" s="122"/>
      <c r="Z46" s="4"/>
      <c r="AA46" s="4"/>
      <c r="AB46" s="4"/>
      <c r="AC46" s="12"/>
      <c r="AD46" s="4"/>
      <c r="AE46" s="4"/>
      <c r="AF46" s="4"/>
      <c r="AG46" s="4"/>
      <c r="AH46" s="4"/>
      <c r="AI46" s="4"/>
      <c r="AJ46" s="4"/>
      <c r="AK46" s="4"/>
      <c r="AL46" s="4"/>
    </row>
    <row r="47" spans="1:38" ht="21" customHeight="1" x14ac:dyDescent="0.4">
      <c r="A47" s="4"/>
      <c r="B47" s="4"/>
      <c r="C47" s="4"/>
      <c r="D47" s="49"/>
      <c r="E47" s="91"/>
      <c r="F47" s="49"/>
      <c r="G47" s="49"/>
      <c r="H47" s="49"/>
      <c r="I47" s="261"/>
      <c r="J47" s="262"/>
      <c r="K47" s="4"/>
      <c r="L47" s="263"/>
      <c r="M47" s="264"/>
      <c r="N47" s="122"/>
      <c r="O47" s="122"/>
      <c r="P47" s="122"/>
      <c r="Q47" s="122"/>
      <c r="R47" s="122"/>
      <c r="S47" s="265"/>
      <c r="T47" s="266"/>
      <c r="U47" s="267"/>
      <c r="V47" s="268"/>
      <c r="W47" s="268"/>
      <c r="X47" s="240"/>
      <c r="Y47" s="122"/>
      <c r="Z47" s="4"/>
      <c r="AA47" s="4"/>
      <c r="AB47" s="4"/>
      <c r="AC47" s="12"/>
      <c r="AD47" s="4"/>
      <c r="AE47" s="4"/>
      <c r="AF47" s="4"/>
      <c r="AG47" s="4"/>
      <c r="AH47" s="4"/>
      <c r="AI47" s="4"/>
      <c r="AJ47" s="4"/>
      <c r="AK47" s="4"/>
      <c r="AL47" s="4"/>
    </row>
    <row r="48" spans="1:38" ht="15" customHeight="1" x14ac:dyDescent="0.4">
      <c r="A48" s="4"/>
      <c r="B48" s="4"/>
      <c r="C48" s="4"/>
      <c r="D48" s="4"/>
      <c r="E48" s="4"/>
      <c r="F48" s="4"/>
      <c r="G48" s="4"/>
      <c r="H48" s="4"/>
      <c r="I48" s="4"/>
      <c r="J48" s="4"/>
      <c r="K48" s="4"/>
      <c r="L48" s="258" t="str">
        <f ca="1">$M$26</f>
        <v>HEALTH RISKS</v>
      </c>
      <c r="M48" s="258"/>
      <c r="N48" s="258"/>
      <c r="O48" s="258"/>
      <c r="P48" s="258"/>
      <c r="Q48" s="258"/>
      <c r="R48" s="258"/>
      <c r="S48" s="258"/>
      <c r="T48" s="92">
        <v>0</v>
      </c>
      <c r="U48" s="259"/>
      <c r="V48" s="10"/>
      <c r="W48" s="10"/>
      <c r="X48" s="260"/>
      <c r="Y48" s="260"/>
      <c r="Z48" s="260"/>
      <c r="AA48" s="260"/>
      <c r="AB48" s="260">
        <v>100</v>
      </c>
      <c r="AC48" s="4"/>
      <c r="AD48" s="4"/>
      <c r="AE48" s="4"/>
      <c r="AF48" s="4"/>
      <c r="AG48" s="4"/>
      <c r="AH48" s="4"/>
      <c r="AI48" s="4"/>
      <c r="AJ48" s="4"/>
      <c r="AK48" s="4"/>
      <c r="AL48" s="4"/>
    </row>
    <row r="49" spans="1:38" ht="30" customHeight="1" x14ac:dyDescent="0.4">
      <c r="A49" s="4"/>
      <c r="B49" s="4"/>
      <c r="C49" s="4" t="s">
        <v>2696</v>
      </c>
      <c r="D49" s="49">
        <f ca="1">iCountry!C64</f>
        <v>23</v>
      </c>
      <c r="E49" s="91">
        <f ca="1">iCountry!I64</f>
        <v>1321</v>
      </c>
      <c r="F49" s="49" cm="1">
        <f t="array" aca="1" ref="F49" ca="1">INDEX(auto_DataFlat_Classification,E49)</f>
        <v>3</v>
      </c>
      <c r="G49" s="49">
        <f ca="1">iCountry!$E64</f>
        <v>1371</v>
      </c>
      <c r="H49" s="49" cm="1">
        <f t="array" aca="1" ref="H49" ca="1">INDEX(auto_Series_Depth,$D49)</f>
        <v>2</v>
      </c>
      <c r="I49" s="244" cm="1">
        <f t="array" aca="1" ref="I49" ca="1">IF($D49=0,"-",INDEX(auto_DataFlat_Score,$G49))</f>
        <v>66.5</v>
      </c>
      <c r="J49" s="245" t="s">
        <v>920</v>
      </c>
      <c r="K49" s="4"/>
      <c r="L49" s="246"/>
      <c r="M49" s="247" t="str">
        <f ca="1">iCountry!J64</f>
        <v>Tobacco use</v>
      </c>
      <c r="N49" s="248"/>
      <c r="O49" s="248"/>
      <c r="P49" s="248"/>
      <c r="Q49" s="248"/>
      <c r="R49" s="248"/>
      <c r="S49" s="249">
        <f ca="1">iCountry!K64</f>
        <v>47.4</v>
      </c>
      <c r="T49" s="250"/>
      <c r="U49" s="251"/>
      <c r="V49" s="252"/>
      <c r="W49" s="252"/>
      <c r="X49" s="248"/>
      <c r="Y49" s="122"/>
      <c r="Z49" s="4"/>
      <c r="AA49" s="4"/>
      <c r="AB49" s="4"/>
      <c r="AC49" s="12"/>
      <c r="AD49" s="4"/>
      <c r="AE49" s="4"/>
      <c r="AF49" s="4"/>
      <c r="AG49" s="4"/>
      <c r="AH49" s="4"/>
      <c r="AI49" s="4"/>
      <c r="AJ49" s="4"/>
      <c r="AK49" s="4"/>
      <c r="AL49" s="4"/>
    </row>
    <row r="50" spans="1:38" ht="30" customHeight="1" x14ac:dyDescent="0.4">
      <c r="A50" s="4"/>
      <c r="B50" s="4"/>
      <c r="C50" s="4" t="s">
        <v>2697</v>
      </c>
      <c r="D50" s="49">
        <f ca="1">iCountry!C65</f>
        <v>26</v>
      </c>
      <c r="E50" s="91">
        <f ca="1">iCountry!I65</f>
        <v>1501</v>
      </c>
      <c r="F50" s="49" cm="1">
        <f t="array" aca="1" ref="F50" ca="1">INDEX(auto_DataFlat_Classification,E50)</f>
        <v>1</v>
      </c>
      <c r="G50" s="49">
        <f ca="1">iCountry!$E65</f>
        <v>1551</v>
      </c>
      <c r="H50" s="49" cm="1">
        <f t="array" aca="1" ref="H50" ca="1">INDEX(auto_Series_Depth,$D50)</f>
        <v>2</v>
      </c>
      <c r="I50" s="244" cm="1">
        <f t="array" aca="1" ref="I50" ca="1">IF($D50=0,"-",INDEX(auto_DataFlat_Score,$G50))</f>
        <v>45.8</v>
      </c>
      <c r="J50" s="245" t="s">
        <v>920</v>
      </c>
      <c r="K50" s="4"/>
      <c r="L50" s="246"/>
      <c r="M50" s="247" t="str">
        <f ca="1">iCountry!J65</f>
        <v>Vegetable consumption</v>
      </c>
      <c r="N50" s="248"/>
      <c r="O50" s="248"/>
      <c r="P50" s="248"/>
      <c r="Q50" s="248"/>
      <c r="R50" s="248"/>
      <c r="S50" s="249">
        <f ca="1">iCountry!K65</f>
        <v>4.7</v>
      </c>
      <c r="T50" s="250"/>
      <c r="U50" s="251"/>
      <c r="V50" s="252"/>
      <c r="W50" s="252"/>
      <c r="X50" s="248"/>
      <c r="Y50" s="122"/>
      <c r="Z50" s="4"/>
      <c r="AA50" s="4"/>
      <c r="AB50" s="4"/>
      <c r="AC50" s="12"/>
      <c r="AD50" s="4"/>
      <c r="AE50" s="4"/>
      <c r="AF50" s="4"/>
      <c r="AG50" s="4"/>
      <c r="AH50" s="4"/>
      <c r="AI50" s="4"/>
      <c r="AJ50" s="4"/>
      <c r="AK50" s="4"/>
      <c r="AL50" s="4"/>
    </row>
    <row r="51" spans="1:38" ht="30" customHeight="1" x14ac:dyDescent="0.4">
      <c r="A51" s="4"/>
      <c r="B51" s="4"/>
      <c r="C51" s="4" t="s">
        <v>2698</v>
      </c>
      <c r="D51" s="49">
        <f ca="1">iCountry!C66</f>
        <v>29</v>
      </c>
      <c r="E51" s="91">
        <f ca="1">iCountry!I66</f>
        <v>1681</v>
      </c>
      <c r="F51" s="49" cm="1">
        <f t="array" aca="1" ref="F51" ca="1">INDEX(auto_DataFlat_Classification,E51)</f>
        <v>3</v>
      </c>
      <c r="G51" s="49">
        <f ca="1">iCountry!$E66</f>
        <v>1731</v>
      </c>
      <c r="H51" s="49" cm="1">
        <f t="array" aca="1" ref="H51" ca="1">INDEX(auto_Series_Depth,$D51)</f>
        <v>2</v>
      </c>
      <c r="I51" s="244" cm="1">
        <f t="array" aca="1" ref="I51" ca="1">IF($D51=0,"-",INDEX(auto_DataFlat_Score,$G51))</f>
        <v>53.9</v>
      </c>
      <c r="J51" s="245" t="s">
        <v>920</v>
      </c>
      <c r="K51" s="4"/>
      <c r="L51" s="246"/>
      <c r="M51" s="247" t="str">
        <f ca="1">iCountry!J66</f>
        <v>Trans fats consumption</v>
      </c>
      <c r="N51" s="248"/>
      <c r="O51" s="248"/>
      <c r="P51" s="248"/>
      <c r="Q51" s="248"/>
      <c r="R51" s="248"/>
      <c r="S51" s="249">
        <f ca="1">iCountry!K66</f>
        <v>50</v>
      </c>
      <c r="T51" s="250"/>
      <c r="U51" s="251"/>
      <c r="V51" s="252"/>
      <c r="W51" s="252"/>
      <c r="X51" s="248"/>
      <c r="Y51" s="122"/>
      <c r="Z51" s="4"/>
      <c r="AA51" s="4"/>
      <c r="AB51" s="4"/>
      <c r="AC51" s="12"/>
      <c r="AD51" s="4"/>
      <c r="AE51" s="4"/>
      <c r="AF51" s="4"/>
      <c r="AG51" s="4"/>
      <c r="AH51" s="4"/>
      <c r="AI51" s="4"/>
      <c r="AJ51" s="4"/>
      <c r="AK51" s="4"/>
      <c r="AL51" s="4"/>
    </row>
    <row r="52" spans="1:38" ht="30" customHeight="1" x14ac:dyDescent="0.4">
      <c r="A52" s="4"/>
      <c r="B52" s="4"/>
      <c r="C52" s="4" t="s">
        <v>2699</v>
      </c>
      <c r="D52" s="49">
        <f ca="1">iCountry!C67</f>
        <v>32</v>
      </c>
      <c r="E52" s="91">
        <f ca="1">iCountry!I67</f>
        <v>1861</v>
      </c>
      <c r="F52" s="49" cm="1">
        <f t="array" aca="1" ref="F52" ca="1">INDEX(auto_DataFlat_Classification,E52)</f>
        <v>3</v>
      </c>
      <c r="G52" s="49">
        <f ca="1">iCountry!$E67</f>
        <v>1911</v>
      </c>
      <c r="H52" s="49" cm="1">
        <f t="array" aca="1" ref="H52" ca="1">INDEX(auto_Series_Depth,$D52)</f>
        <v>2</v>
      </c>
      <c r="I52" s="244" cm="1">
        <f t="array" aca="1" ref="I52" ca="1">IF($D52=0,"-",INDEX(auto_DataFlat_Score,$G52))</f>
        <v>60.4</v>
      </c>
      <c r="J52" s="245" t="s">
        <v>920</v>
      </c>
      <c r="K52" s="4"/>
      <c r="L52" s="246"/>
      <c r="M52" s="247" t="str">
        <f ca="1">iCountry!J67</f>
        <v>Physical activity</v>
      </c>
      <c r="N52" s="248"/>
      <c r="O52" s="248"/>
      <c r="P52" s="248"/>
      <c r="Q52" s="248"/>
      <c r="R52" s="248"/>
      <c r="S52" s="249">
        <f ca="1">iCountry!K67</f>
        <v>42.6</v>
      </c>
      <c r="T52" s="250"/>
      <c r="U52" s="251"/>
      <c r="V52" s="252"/>
      <c r="W52" s="252"/>
      <c r="X52" s="248"/>
      <c r="Y52" s="122"/>
      <c r="Z52" s="4"/>
      <c r="AA52" s="4"/>
      <c r="AB52" s="4"/>
      <c r="AC52" s="12"/>
      <c r="AD52" s="4"/>
      <c r="AE52" s="4"/>
      <c r="AF52" s="4"/>
      <c r="AG52" s="4"/>
      <c r="AH52" s="4"/>
      <c r="AI52" s="4"/>
      <c r="AJ52" s="4"/>
      <c r="AK52" s="4"/>
      <c r="AL52" s="4"/>
    </row>
    <row r="53" spans="1:38" ht="30" customHeight="1" x14ac:dyDescent="0.4">
      <c r="A53" s="4"/>
      <c r="B53" s="4"/>
      <c r="C53" s="4" t="s">
        <v>2700</v>
      </c>
      <c r="D53" s="49">
        <f ca="1">iCountry!C68</f>
        <v>35</v>
      </c>
      <c r="E53" s="91">
        <f ca="1">iCountry!I68</f>
        <v>2041</v>
      </c>
      <c r="F53" s="49" cm="1">
        <f t="array" aca="1" ref="F53" ca="1">INDEX(auto_DataFlat_Classification,E53)</f>
        <v>4</v>
      </c>
      <c r="G53" s="49">
        <f ca="1">iCountry!$E68</f>
        <v>2091</v>
      </c>
      <c r="H53" s="49" cm="1">
        <f t="array" aca="1" ref="H53" ca="1">INDEX(auto_Series_Depth,$D53)</f>
        <v>2</v>
      </c>
      <c r="I53" s="244" cm="1">
        <f t="array" aca="1" ref="I53" ca="1">IF($D53=0,"-",INDEX(auto_DataFlat_Score,$G53))</f>
        <v>63</v>
      </c>
      <c r="J53" s="245" t="s">
        <v>920</v>
      </c>
      <c r="K53" s="4"/>
      <c r="L53" s="246"/>
      <c r="M53" s="247" t="str">
        <f ca="1">iCountry!J68</f>
        <v>Hypertension</v>
      </c>
      <c r="N53" s="248"/>
      <c r="O53" s="248"/>
      <c r="P53" s="248"/>
      <c r="Q53" s="248"/>
      <c r="R53" s="248"/>
      <c r="S53" s="249">
        <f ca="1">iCountry!K68</f>
        <v>61.3</v>
      </c>
      <c r="T53" s="250"/>
      <c r="U53" s="251"/>
      <c r="V53" s="252"/>
      <c r="W53" s="252"/>
      <c r="X53" s="248"/>
      <c r="Y53" s="122"/>
      <c r="Z53" s="4"/>
      <c r="AA53" s="4"/>
      <c r="AB53" s="4"/>
      <c r="AC53" s="12"/>
      <c r="AD53" s="4"/>
      <c r="AE53" s="4"/>
      <c r="AF53" s="4"/>
      <c r="AG53" s="4"/>
      <c r="AH53" s="4"/>
      <c r="AI53" s="4"/>
      <c r="AJ53" s="4"/>
      <c r="AK53" s="4"/>
      <c r="AL53" s="4"/>
    </row>
    <row r="54" spans="1:38" ht="30" customHeight="1" x14ac:dyDescent="0.4">
      <c r="A54" s="4"/>
      <c r="B54" s="4"/>
      <c r="C54" s="4" t="s">
        <v>2701</v>
      </c>
      <c r="D54" s="49">
        <f ca="1">iCountry!C69</f>
        <v>38</v>
      </c>
      <c r="E54" s="91">
        <f ca="1">iCountry!I69</f>
        <v>2221</v>
      </c>
      <c r="F54" s="49" cm="1">
        <f t="array" aca="1" ref="F54" ca="1">INDEX(auto_DataFlat_Classification,E54)</f>
        <v>3</v>
      </c>
      <c r="G54" s="49">
        <f ca="1">iCountry!$E69</f>
        <v>2271</v>
      </c>
      <c r="H54" s="49" cm="1">
        <f t="array" aca="1" ref="H54" ca="1">INDEX(auto_Series_Depth,$D54)</f>
        <v>2</v>
      </c>
      <c r="I54" s="244" cm="1">
        <f t="array" aca="1" ref="I54" ca="1">IF($D54=0,"-",INDEX(auto_DataFlat_Score,$G54))</f>
        <v>78.900000000000006</v>
      </c>
      <c r="J54" s="245" t="s">
        <v>920</v>
      </c>
      <c r="K54" s="4"/>
      <c r="L54" s="246"/>
      <c r="M54" s="247" t="str">
        <f ca="1">iCountry!J69</f>
        <v>Diabetes</v>
      </c>
      <c r="N54" s="248"/>
      <c r="O54" s="248"/>
      <c r="P54" s="248"/>
      <c r="Q54" s="248"/>
      <c r="R54" s="248"/>
      <c r="S54" s="249">
        <f ca="1">iCountry!K69</f>
        <v>46.7</v>
      </c>
      <c r="T54" s="250"/>
      <c r="U54" s="251"/>
      <c r="V54" s="252"/>
      <c r="W54" s="252"/>
      <c r="X54" s="248"/>
      <c r="Y54" s="122"/>
      <c r="Z54" s="4"/>
      <c r="AA54" s="4"/>
      <c r="AB54" s="4"/>
      <c r="AC54" s="12"/>
      <c r="AD54" s="4"/>
      <c r="AE54" s="4"/>
      <c r="AF54" s="4"/>
      <c r="AG54" s="4"/>
      <c r="AH54" s="4"/>
      <c r="AI54" s="4"/>
      <c r="AJ54" s="4"/>
      <c r="AK54" s="4"/>
      <c r="AL54" s="4"/>
    </row>
    <row r="55" spans="1:38" ht="30" customHeight="1" x14ac:dyDescent="0.4">
      <c r="A55" s="4"/>
      <c r="B55" s="4"/>
      <c r="C55" s="4" t="s">
        <v>2702</v>
      </c>
      <c r="D55" s="49">
        <f ca="1">iCountry!C70</f>
        <v>41</v>
      </c>
      <c r="E55" s="91">
        <f ca="1">iCountry!I70</f>
        <v>2401</v>
      </c>
      <c r="F55" s="49" cm="1">
        <f t="array" aca="1" ref="F55" ca="1">INDEX(auto_DataFlat_Classification,E55)</f>
        <v>5</v>
      </c>
      <c r="G55" s="49">
        <f ca="1">iCountry!$E70</f>
        <v>2451</v>
      </c>
      <c r="H55" s="49" cm="1">
        <f t="array" aca="1" ref="H55" ca="1">INDEX(auto_Series_Depth,$D55)</f>
        <v>2</v>
      </c>
      <c r="I55" s="244" cm="1">
        <f t="array" aca="1" ref="I55" ca="1">IF($D55=0,"-",INDEX(auto_DataFlat_Score,$G55))</f>
        <v>62.9</v>
      </c>
      <c r="J55" s="245" t="s">
        <v>920</v>
      </c>
      <c r="K55" s="4"/>
      <c r="L55" s="246"/>
      <c r="M55" s="247" t="str">
        <f ca="1">iCountry!J70</f>
        <v>Obesity</v>
      </c>
      <c r="N55" s="248"/>
      <c r="O55" s="248"/>
      <c r="P55" s="248"/>
      <c r="Q55" s="248"/>
      <c r="R55" s="248"/>
      <c r="S55" s="249">
        <f ca="1">iCountry!K70</f>
        <v>94.6</v>
      </c>
      <c r="T55" s="250"/>
      <c r="U55" s="251"/>
      <c r="V55" s="252"/>
      <c r="W55" s="252"/>
      <c r="X55" s="248"/>
      <c r="Y55" s="122"/>
      <c r="Z55" s="4"/>
      <c r="AA55" s="4"/>
      <c r="AB55" s="4"/>
      <c r="AC55" s="12"/>
      <c r="AD55" s="4"/>
      <c r="AE55" s="4"/>
      <c r="AF55" s="4"/>
      <c r="AG55" s="4"/>
      <c r="AH55" s="4"/>
      <c r="AI55" s="4"/>
      <c r="AJ55" s="4"/>
      <c r="AK55" s="4"/>
      <c r="AL55" s="4"/>
    </row>
    <row r="56" spans="1:38" ht="30" customHeight="1" x14ac:dyDescent="0.4">
      <c r="A56" s="4"/>
      <c r="B56" s="4"/>
      <c r="C56" s="4" t="s">
        <v>2703</v>
      </c>
      <c r="D56" s="49">
        <f ca="1">iCountry!C71</f>
        <v>44</v>
      </c>
      <c r="E56" s="91">
        <f ca="1">iCountry!I71</f>
        <v>2581</v>
      </c>
      <c r="F56" s="49" cm="1">
        <f t="array" aca="1" ref="F56" ca="1">INDEX(auto_DataFlat_Classification,E56)</f>
        <v>2</v>
      </c>
      <c r="G56" s="49">
        <f ca="1">iCountry!$E71</f>
        <v>2631</v>
      </c>
      <c r="H56" s="49" cm="1">
        <f t="array" aca="1" ref="H56" ca="1">INDEX(auto_Series_Depth,$D56)</f>
        <v>2</v>
      </c>
      <c r="I56" s="244" cm="1">
        <f t="array" aca="1" ref="I56" ca="1">IF($D56=0,"-",INDEX(auto_DataFlat_Score,$G56))</f>
        <v>31.8</v>
      </c>
      <c r="J56" s="245" t="s">
        <v>920</v>
      </c>
      <c r="K56" s="4"/>
      <c r="L56" s="246"/>
      <c r="M56" s="247" t="str">
        <f ca="1">iCountry!J71</f>
        <v>Cholesterol</v>
      </c>
      <c r="N56" s="248"/>
      <c r="O56" s="248"/>
      <c r="P56" s="248"/>
      <c r="Q56" s="248"/>
      <c r="R56" s="248"/>
      <c r="S56" s="249">
        <f ca="1">iCountry!K71</f>
        <v>30.5</v>
      </c>
      <c r="T56" s="250"/>
      <c r="U56" s="251"/>
      <c r="V56" s="252"/>
      <c r="W56" s="252"/>
      <c r="X56" s="248"/>
      <c r="Y56" s="122"/>
      <c r="Z56" s="4"/>
      <c r="AA56" s="4"/>
      <c r="AB56" s="4"/>
      <c r="AC56" s="12"/>
      <c r="AD56" s="4"/>
      <c r="AE56" s="4"/>
      <c r="AF56" s="4"/>
      <c r="AG56" s="4"/>
      <c r="AH56" s="4"/>
      <c r="AI56" s="4"/>
      <c r="AJ56" s="4"/>
      <c r="AK56" s="4"/>
      <c r="AL56" s="4"/>
    </row>
    <row r="57" spans="1:38" ht="21" customHeight="1" x14ac:dyDescent="0.4">
      <c r="A57" s="4"/>
      <c r="B57" s="4"/>
      <c r="C57" s="4"/>
      <c r="D57" s="49"/>
      <c r="E57" s="91"/>
      <c r="F57" s="49"/>
      <c r="G57" s="49"/>
      <c r="H57" s="49"/>
      <c r="I57" s="261"/>
      <c r="J57" s="262"/>
      <c r="K57" s="4"/>
      <c r="L57" s="263"/>
      <c r="M57" s="264"/>
      <c r="N57" s="122"/>
      <c r="O57" s="122"/>
      <c r="P57" s="122"/>
      <c r="Q57" s="122"/>
      <c r="R57" s="122"/>
      <c r="S57" s="265"/>
      <c r="T57" s="266"/>
      <c r="U57" s="267"/>
      <c r="V57" s="268"/>
      <c r="W57" s="268"/>
      <c r="X57" s="240"/>
      <c r="Y57" s="122"/>
      <c r="Z57" s="4"/>
      <c r="AA57" s="4"/>
      <c r="AB57" s="4"/>
      <c r="AC57" s="12"/>
      <c r="AD57" s="4"/>
      <c r="AE57" s="4"/>
      <c r="AF57" s="4"/>
      <c r="AG57" s="4"/>
      <c r="AH57" s="4"/>
      <c r="AI57" s="4"/>
      <c r="AJ57" s="4"/>
      <c r="AK57" s="4"/>
      <c r="AL57" s="4"/>
    </row>
    <row r="58" spans="1:38" ht="15" customHeight="1" x14ac:dyDescent="0.4">
      <c r="A58" s="4"/>
      <c r="B58" s="4"/>
      <c r="C58" s="4"/>
      <c r="D58" s="4"/>
      <c r="E58" s="4"/>
      <c r="F58" s="4"/>
      <c r="G58" s="4"/>
      <c r="H58" s="4"/>
      <c r="I58" s="4"/>
      <c r="J58" s="4"/>
      <c r="K58" s="4"/>
      <c r="L58" s="269" t="str">
        <f ca="1">$M$27</f>
        <v>HEALTH SERVICES</v>
      </c>
      <c r="M58" s="258"/>
      <c r="N58" s="258"/>
      <c r="O58" s="258"/>
      <c r="P58" s="258"/>
      <c r="Q58" s="258"/>
      <c r="R58" s="258"/>
      <c r="S58" s="258"/>
      <c r="T58" s="92">
        <v>0</v>
      </c>
      <c r="U58" s="259"/>
      <c r="V58" s="10"/>
      <c r="W58" s="10"/>
      <c r="X58" s="260"/>
      <c r="Y58" s="260"/>
      <c r="Z58" s="260"/>
      <c r="AA58" s="260"/>
      <c r="AB58" s="260">
        <v>100</v>
      </c>
      <c r="AC58" s="4"/>
      <c r="AD58" s="4"/>
      <c r="AE58" s="4"/>
      <c r="AF58" s="4"/>
      <c r="AG58" s="4"/>
      <c r="AH58" s="4"/>
      <c r="AI58" s="4"/>
      <c r="AJ58" s="4"/>
      <c r="AK58" s="4"/>
      <c r="AL58" s="4"/>
    </row>
    <row r="59" spans="1:38" ht="30" customHeight="1" x14ac:dyDescent="0.4">
      <c r="A59" s="4"/>
      <c r="B59" s="4"/>
      <c r="C59" s="4" t="s">
        <v>2704</v>
      </c>
      <c r="D59" s="49">
        <f ca="1">iCountry!C72</f>
        <v>48</v>
      </c>
      <c r="E59" s="91">
        <f ca="1">iCountry!I72</f>
        <v>2821</v>
      </c>
      <c r="F59" s="49" cm="1">
        <f t="array" aca="1" ref="F59" ca="1">INDEX(auto_DataFlat_Classification,E59)</f>
        <v>1</v>
      </c>
      <c r="G59" s="49">
        <f ca="1">iCountry!$E72</f>
        <v>2871</v>
      </c>
      <c r="H59" s="49" cm="1">
        <f t="array" aca="1" ref="H59" ca="1">INDEX(auto_Series_Depth,$D59)</f>
        <v>2</v>
      </c>
      <c r="I59" s="244" cm="1">
        <f t="array" aca="1" ref="I59" ca="1">IF($D59=0,"-",INDEX(auto_DataFlat_Score,$G59))</f>
        <v>89</v>
      </c>
      <c r="J59" s="245" t="s">
        <v>920</v>
      </c>
      <c r="K59" s="4"/>
      <c r="L59" s="246"/>
      <c r="M59" s="247" t="str">
        <f ca="1">iCountry!J72</f>
        <v>Access to medicines</v>
      </c>
      <c r="N59" s="248"/>
      <c r="O59" s="248"/>
      <c r="P59" s="248"/>
      <c r="Q59" s="248"/>
      <c r="R59" s="248"/>
      <c r="S59" s="249">
        <f ca="1">iCountry!K72</f>
        <v>0</v>
      </c>
      <c r="T59" s="250"/>
      <c r="U59" s="251"/>
      <c r="V59" s="252"/>
      <c r="W59" s="252"/>
      <c r="X59" s="248"/>
      <c r="Y59" s="122"/>
      <c r="Z59" s="4"/>
      <c r="AA59" s="4"/>
      <c r="AB59" s="4"/>
      <c r="AC59" s="12"/>
      <c r="AD59" s="4"/>
      <c r="AE59" s="4"/>
      <c r="AF59" s="4"/>
      <c r="AG59" s="4"/>
      <c r="AH59" s="4"/>
      <c r="AI59" s="4"/>
      <c r="AJ59" s="4"/>
      <c r="AK59" s="4"/>
      <c r="AL59" s="4"/>
    </row>
    <row r="60" spans="1:38" ht="30" customHeight="1" x14ac:dyDescent="0.4">
      <c r="A60" s="4"/>
      <c r="B60" s="4"/>
      <c r="C60" s="4" t="s">
        <v>6669</v>
      </c>
      <c r="D60" s="49">
        <f ca="1">iCountry!C73</f>
        <v>49</v>
      </c>
      <c r="E60" s="91">
        <f ca="1">iCountry!I73</f>
        <v>2881</v>
      </c>
      <c r="F60" s="49" cm="1">
        <f t="array" aca="1" ref="F60" ca="1">INDEX(auto_DataFlat_Classification,E60)</f>
        <v>2</v>
      </c>
      <c r="G60" s="49">
        <f ca="1">iCountry!$E73</f>
        <v>2931</v>
      </c>
      <c r="H60" s="49" cm="1">
        <f t="array" aca="1" ref="H60" ca="1">INDEX(auto_Series_Depth,$D60)</f>
        <v>2</v>
      </c>
      <c r="I60" s="244" cm="1">
        <f t="array" aca="1" ref="I60" ca="1">IF($D60=0,"-",INDEX(auto_DataFlat_Score,$G60))</f>
        <v>56.9</v>
      </c>
      <c r="J60" s="245" t="s">
        <v>920</v>
      </c>
      <c r="K60" s="4"/>
      <c r="L60" s="246"/>
      <c r="M60" s="247" t="str">
        <f ca="1">iCountry!J73</f>
        <v>Hypertension diagnosis coverage</v>
      </c>
      <c r="N60" s="248"/>
      <c r="O60" s="248"/>
      <c r="P60" s="248"/>
      <c r="Q60" s="248"/>
      <c r="R60" s="248"/>
      <c r="S60" s="249">
        <f ca="1">iCountry!K73</f>
        <v>34</v>
      </c>
      <c r="T60" s="250"/>
      <c r="U60" s="251"/>
      <c r="V60" s="252"/>
      <c r="W60" s="252"/>
      <c r="X60" s="248"/>
      <c r="Y60" s="122"/>
      <c r="Z60" s="4"/>
      <c r="AA60" s="4"/>
      <c r="AB60" s="4"/>
      <c r="AC60" s="12"/>
      <c r="AD60" s="4"/>
      <c r="AE60" s="4"/>
      <c r="AF60" s="4"/>
      <c r="AG60" s="4"/>
      <c r="AH60" s="4"/>
      <c r="AI60" s="4"/>
      <c r="AJ60" s="4"/>
      <c r="AK60" s="4"/>
      <c r="AL60" s="4"/>
    </row>
    <row r="61" spans="1:38" ht="30" customHeight="1" x14ac:dyDescent="0.4">
      <c r="A61" s="4"/>
      <c r="B61" s="4"/>
      <c r="C61" s="4" t="s">
        <v>6670</v>
      </c>
      <c r="D61" s="49">
        <f ca="1">iCountry!C74</f>
        <v>50</v>
      </c>
      <c r="E61" s="91">
        <f ca="1">iCountry!I74</f>
        <v>2941</v>
      </c>
      <c r="F61" s="49" cm="1">
        <f t="array" aca="1" ref="F61" ca="1">INDEX(auto_DataFlat_Classification,E61)</f>
        <v>3</v>
      </c>
      <c r="G61" s="49">
        <f ca="1">iCountry!$E74</f>
        <v>2991</v>
      </c>
      <c r="H61" s="49" cm="1">
        <f t="array" aca="1" ref="H61" ca="1">INDEX(auto_Series_Depth,$D61)</f>
        <v>2</v>
      </c>
      <c r="I61" s="244" cm="1">
        <f t="array" aca="1" ref="I61" ca="1">IF($D61=0,"-",INDEX(auto_DataFlat_Score,$G61))</f>
        <v>59</v>
      </c>
      <c r="J61" s="245" t="s">
        <v>920</v>
      </c>
      <c r="K61" s="4"/>
      <c r="L61" s="246"/>
      <c r="M61" s="247" t="str">
        <f ca="1">iCountry!J74</f>
        <v>Undiagnosed diabetes</v>
      </c>
      <c r="N61" s="248"/>
      <c r="O61" s="248"/>
      <c r="P61" s="248"/>
      <c r="Q61" s="248"/>
      <c r="R61" s="248"/>
      <c r="S61" s="249">
        <f ca="1">iCountry!K74</f>
        <v>42.4</v>
      </c>
      <c r="T61" s="250"/>
      <c r="U61" s="251"/>
      <c r="V61" s="252"/>
      <c r="W61" s="252"/>
      <c r="X61" s="248"/>
      <c r="Y61" s="122"/>
      <c r="Z61" s="4"/>
      <c r="AA61" s="4"/>
      <c r="AB61" s="4"/>
      <c r="AC61" s="12"/>
      <c r="AD61" s="4"/>
      <c r="AE61" s="4"/>
      <c r="AF61" s="4"/>
      <c r="AG61" s="4"/>
      <c r="AH61" s="4"/>
      <c r="AI61" s="4"/>
      <c r="AJ61" s="4"/>
      <c r="AK61" s="4"/>
      <c r="AL61" s="4"/>
    </row>
    <row r="62" spans="1:38" ht="30" customHeight="1" x14ac:dyDescent="0.4">
      <c r="A62" s="4"/>
      <c r="B62" s="4"/>
      <c r="C62" s="4" t="s">
        <v>6671</v>
      </c>
      <c r="D62" s="49">
        <f ca="1">iCountry!C75</f>
        <v>51</v>
      </c>
      <c r="E62" s="91">
        <f ca="1">iCountry!I75</f>
        <v>3001</v>
      </c>
      <c r="F62" s="49" cm="1">
        <f t="array" aca="1" ref="F62" ca="1">INDEX(auto_DataFlat_Classification,E62)</f>
        <v>1</v>
      </c>
      <c r="G62" s="49">
        <f ca="1">iCountry!$E75</f>
        <v>3051</v>
      </c>
      <c r="H62" s="49" cm="1">
        <f t="array" aca="1" ref="H62" ca="1">INDEX(auto_Series_Depth,$D62)</f>
        <v>2</v>
      </c>
      <c r="I62" s="244" cm="1">
        <f t="array" aca="1" ref="I62" ca="1">IF($D62=0,"-",INDEX(auto_DataFlat_Score,$G62))</f>
        <v>52</v>
      </c>
      <c r="J62" s="245" t="s">
        <v>920</v>
      </c>
      <c r="K62" s="4"/>
      <c r="L62" s="246"/>
      <c r="M62" s="247" t="str">
        <f ca="1">iCountry!J75</f>
        <v>Patient-centred care</v>
      </c>
      <c r="N62" s="248"/>
      <c r="O62" s="248"/>
      <c r="P62" s="248"/>
      <c r="Q62" s="248"/>
      <c r="R62" s="248"/>
      <c r="S62" s="249">
        <f ca="1">iCountry!K75</f>
        <v>0</v>
      </c>
      <c r="T62" s="250"/>
      <c r="U62" s="251"/>
      <c r="V62" s="252"/>
      <c r="W62" s="252"/>
      <c r="X62" s="248"/>
      <c r="Y62" s="122"/>
      <c r="Z62" s="4"/>
      <c r="AA62" s="4"/>
      <c r="AB62" s="4"/>
      <c r="AC62" s="12"/>
      <c r="AD62" s="4"/>
      <c r="AE62" s="4"/>
      <c r="AF62" s="4"/>
      <c r="AG62" s="4"/>
      <c r="AH62" s="4"/>
      <c r="AI62" s="4"/>
      <c r="AJ62" s="4"/>
      <c r="AK62" s="4"/>
      <c r="AL62" s="4"/>
    </row>
    <row r="63" spans="1:38" ht="21" customHeight="1" x14ac:dyDescent="0.4">
      <c r="A63" s="4"/>
      <c r="B63" s="4"/>
      <c r="C63" s="4"/>
      <c r="D63" s="49"/>
      <c r="E63" s="91"/>
      <c r="F63" s="49"/>
      <c r="G63" s="49"/>
      <c r="H63" s="49"/>
      <c r="I63" s="261"/>
      <c r="J63" s="262"/>
      <c r="K63" s="4"/>
      <c r="L63" s="263"/>
      <c r="M63" s="264"/>
      <c r="N63" s="122"/>
      <c r="O63" s="122"/>
      <c r="P63" s="122"/>
      <c r="Q63" s="122"/>
      <c r="R63" s="122"/>
      <c r="S63" s="265"/>
      <c r="T63" s="266"/>
      <c r="U63" s="267"/>
      <c r="V63" s="268"/>
      <c r="W63" s="268"/>
      <c r="X63" s="240"/>
      <c r="Y63" s="122"/>
      <c r="Z63" s="4"/>
      <c r="AA63" s="4"/>
      <c r="AB63" s="4"/>
      <c r="AC63" s="12"/>
      <c r="AD63" s="4"/>
      <c r="AE63" s="4"/>
      <c r="AF63" s="4"/>
      <c r="AG63" s="4"/>
      <c r="AH63" s="4"/>
      <c r="AI63" s="4"/>
      <c r="AJ63" s="4"/>
      <c r="AK63" s="4"/>
      <c r="AL63" s="4"/>
    </row>
    <row r="64" spans="1:38" ht="15" customHeight="1" x14ac:dyDescent="0.4">
      <c r="A64" s="4"/>
      <c r="B64" s="4"/>
      <c r="C64" s="4"/>
      <c r="D64" s="4"/>
      <c r="E64" s="4"/>
      <c r="F64" s="4"/>
      <c r="G64" s="4"/>
      <c r="H64" s="4"/>
      <c r="I64" s="4"/>
      <c r="J64" s="4"/>
      <c r="K64" s="4"/>
      <c r="L64" s="269" t="str">
        <f ca="1">$M$28</f>
        <v>GOVERNANCE</v>
      </c>
      <c r="M64" s="258"/>
      <c r="N64" s="258"/>
      <c r="O64" s="258"/>
      <c r="P64" s="258"/>
      <c r="Q64" s="258"/>
      <c r="R64" s="258"/>
      <c r="S64" s="258"/>
      <c r="T64" s="92">
        <v>0</v>
      </c>
      <c r="U64" s="259"/>
      <c r="V64" s="10"/>
      <c r="W64" s="10"/>
      <c r="X64" s="260"/>
      <c r="Y64" s="260"/>
      <c r="Z64" s="260"/>
      <c r="AA64" s="260"/>
      <c r="AB64" s="260">
        <v>100</v>
      </c>
      <c r="AC64" s="4"/>
      <c r="AD64" s="4"/>
      <c r="AE64" s="4"/>
      <c r="AF64" s="4"/>
      <c r="AG64" s="4"/>
      <c r="AH64" s="4"/>
      <c r="AI64" s="4"/>
      <c r="AJ64" s="4"/>
      <c r="AK64" s="4"/>
      <c r="AL64" s="4"/>
    </row>
    <row r="65" spans="1:38" ht="30" customHeight="1" x14ac:dyDescent="0.4">
      <c r="A65" s="4"/>
      <c r="B65" s="4"/>
      <c r="C65" s="4" t="s">
        <v>6672</v>
      </c>
      <c r="D65" s="49">
        <f ca="1">iCountry!C76</f>
        <v>53</v>
      </c>
      <c r="E65" s="91">
        <f ca="1">iCountry!I76</f>
        <v>3121</v>
      </c>
      <c r="F65" s="49" cm="1">
        <f t="array" aca="1" ref="F65" ca="1">INDEX(auto_DataFlat_Classification,E65)</f>
        <v>5</v>
      </c>
      <c r="G65" s="49">
        <f ca="1">iCountry!$E76</f>
        <v>3171</v>
      </c>
      <c r="H65" s="49" cm="1">
        <f t="array" aca="1" ref="H65" ca="1">INDEX(auto_Series_Depth,$D65)</f>
        <v>2</v>
      </c>
      <c r="I65" s="244" cm="1">
        <f t="array" aca="1" ref="I65" ca="1">IF($D65=0,"-",INDEX(auto_DataFlat_Score,$G65))</f>
        <v>52</v>
      </c>
      <c r="J65" s="245" t="s">
        <v>920</v>
      </c>
      <c r="K65" s="4"/>
      <c r="L65" s="246"/>
      <c r="M65" s="247" t="str">
        <f ca="1">iCountry!J76</f>
        <v>Regulatory power</v>
      </c>
      <c r="N65" s="248"/>
      <c r="O65" s="248"/>
      <c r="P65" s="248"/>
      <c r="Q65" s="248"/>
      <c r="R65" s="248"/>
      <c r="S65" s="249">
        <f ca="1">iCountry!K76</f>
        <v>100</v>
      </c>
      <c r="T65" s="250"/>
      <c r="U65" s="251"/>
      <c r="V65" s="252"/>
      <c r="W65" s="252"/>
      <c r="X65" s="248"/>
      <c r="Y65" s="122"/>
      <c r="Z65" s="4"/>
      <c r="AA65" s="4"/>
      <c r="AB65" s="4"/>
      <c r="AC65" s="12"/>
      <c r="AD65" s="4"/>
      <c r="AE65" s="4"/>
      <c r="AF65" s="4"/>
      <c r="AG65" s="4"/>
      <c r="AH65" s="4"/>
      <c r="AI65" s="4"/>
      <c r="AJ65" s="4"/>
      <c r="AK65" s="4"/>
      <c r="AL65" s="4"/>
    </row>
    <row r="66" spans="1:38" ht="30" customHeight="1" x14ac:dyDescent="0.4">
      <c r="A66" s="4"/>
      <c r="B66" s="4"/>
      <c r="C66" s="4" t="s">
        <v>6673</v>
      </c>
      <c r="D66" s="49">
        <f ca="1">iCountry!C77</f>
        <v>54</v>
      </c>
      <c r="E66" s="91">
        <f ca="1">iCountry!I77</f>
        <v>3181</v>
      </c>
      <c r="F66" s="49" cm="1">
        <f t="array" aca="1" ref="F66" ca="1">INDEX(auto_DataFlat_Classification,E66)</f>
        <v>5</v>
      </c>
      <c r="G66" s="49">
        <f ca="1">iCountry!$E77</f>
        <v>3231</v>
      </c>
      <c r="H66" s="49" cm="1">
        <f t="array" aca="1" ref="H66" ca="1">INDEX(auto_Series_Depth,$D66)</f>
        <v>2</v>
      </c>
      <c r="I66" s="244" cm="1">
        <f t="array" aca="1" ref="I66" ca="1">IF($D66=0,"-",INDEX(auto_DataFlat_Score,$G66))</f>
        <v>88.7</v>
      </c>
      <c r="J66" s="245" t="s">
        <v>920</v>
      </c>
      <c r="K66" s="4"/>
      <c r="L66" s="246"/>
      <c r="M66" s="247" t="str">
        <f ca="1">iCountry!J77</f>
        <v>Political will</v>
      </c>
      <c r="N66" s="248"/>
      <c r="O66" s="248"/>
      <c r="P66" s="248"/>
      <c r="Q66" s="248"/>
      <c r="R66" s="248"/>
      <c r="S66" s="249">
        <f ca="1">iCountry!K77</f>
        <v>100</v>
      </c>
      <c r="T66" s="250"/>
      <c r="U66" s="251"/>
      <c r="V66" s="252"/>
      <c r="W66" s="252"/>
      <c r="X66" s="248"/>
      <c r="Y66" s="122"/>
      <c r="Z66" s="4"/>
      <c r="AA66" s="4"/>
      <c r="AB66" s="4"/>
      <c r="AC66" s="12"/>
      <c r="AD66" s="4"/>
      <c r="AE66" s="4"/>
      <c r="AF66" s="4"/>
      <c r="AG66" s="4"/>
      <c r="AH66" s="4"/>
      <c r="AI66" s="4"/>
      <c r="AJ66" s="4"/>
      <c r="AK66" s="4"/>
      <c r="AL66" s="4"/>
    </row>
    <row r="67" spans="1:38" ht="30" customHeight="1" x14ac:dyDescent="0.4">
      <c r="A67" s="4"/>
      <c r="B67" s="4"/>
      <c r="C67" s="4" t="s">
        <v>6674</v>
      </c>
      <c r="D67" s="49">
        <f ca="1">iCountry!C78</f>
        <v>55</v>
      </c>
      <c r="E67" s="91">
        <f ca="1">iCountry!I78</f>
        <v>3241</v>
      </c>
      <c r="F67" s="49" cm="1">
        <f t="array" aca="1" ref="F67" ca="1">INDEX(auto_DataFlat_Classification,E67)</f>
        <v>4</v>
      </c>
      <c r="G67" s="49">
        <f ca="1">iCountry!$E78</f>
        <v>3291</v>
      </c>
      <c r="H67" s="49" cm="1">
        <f t="array" aca="1" ref="H67" ca="1">INDEX(auto_Series_Depth,$D67)</f>
        <v>2</v>
      </c>
      <c r="I67" s="244" cm="1">
        <f t="array" aca="1" ref="I67" ca="1">IF($D67=0,"-",INDEX(auto_DataFlat_Score,$G67))</f>
        <v>60.7</v>
      </c>
      <c r="J67" s="245" t="s">
        <v>920</v>
      </c>
      <c r="K67" s="4"/>
      <c r="L67" s="246"/>
      <c r="M67" s="247" t="str">
        <f ca="1">iCountry!J78</f>
        <v>Urban health plan</v>
      </c>
      <c r="N67" s="248"/>
      <c r="O67" s="248"/>
      <c r="P67" s="248"/>
      <c r="Q67" s="248"/>
      <c r="R67" s="248"/>
      <c r="S67" s="249">
        <f ca="1">iCountry!K78</f>
        <v>66.7</v>
      </c>
      <c r="T67" s="250"/>
      <c r="U67" s="251"/>
      <c r="V67" s="252"/>
      <c r="W67" s="252"/>
      <c r="X67" s="248"/>
      <c r="Y67" s="122"/>
      <c r="Z67" s="4"/>
      <c r="AA67" s="4"/>
      <c r="AB67" s="4"/>
      <c r="AC67" s="12"/>
      <c r="AD67" s="4"/>
      <c r="AE67" s="4"/>
      <c r="AF67" s="4"/>
      <c r="AG67" s="4"/>
      <c r="AH67" s="4"/>
      <c r="AI67" s="4"/>
      <c r="AJ67" s="4"/>
      <c r="AK67" s="4"/>
      <c r="AL67" s="4"/>
    </row>
    <row r="68" spans="1:38" ht="30" customHeight="1" x14ac:dyDescent="0.4">
      <c r="A68" s="4"/>
      <c r="B68" s="4"/>
      <c r="C68" s="4" t="s">
        <v>6675</v>
      </c>
      <c r="D68" s="49">
        <f ca="1">iCountry!C79</f>
        <v>58</v>
      </c>
      <c r="E68" s="91">
        <f ca="1">iCountry!I79</f>
        <v>3421</v>
      </c>
      <c r="F68" s="49" cm="1">
        <f t="array" aca="1" ref="F68" ca="1">INDEX(auto_DataFlat_Classification,E68)</f>
        <v>1</v>
      </c>
      <c r="G68" s="49">
        <f ca="1">iCountry!$E79</f>
        <v>3471</v>
      </c>
      <c r="H68" s="49" cm="1">
        <f t="array" aca="1" ref="H68" ca="1">INDEX(auto_Series_Depth,$D68)</f>
        <v>2</v>
      </c>
      <c r="I68" s="244" cm="1">
        <f t="array" aca="1" ref="I68" ca="1">IF($D68=0,"-",INDEX(auto_DataFlat_Score,$G68))</f>
        <v>55</v>
      </c>
      <c r="J68" s="245" t="s">
        <v>920</v>
      </c>
      <c r="K68" s="4"/>
      <c r="L68" s="246"/>
      <c r="M68" s="247" t="str">
        <f ca="1">iCountry!J79</f>
        <v>Healthy diet policies</v>
      </c>
      <c r="N68" s="248"/>
      <c r="O68" s="248"/>
      <c r="P68" s="248"/>
      <c r="Q68" s="248"/>
      <c r="R68" s="248"/>
      <c r="S68" s="249">
        <f ca="1">iCountry!K79</f>
        <v>0</v>
      </c>
      <c r="T68" s="250"/>
      <c r="U68" s="251"/>
      <c r="V68" s="252"/>
      <c r="W68" s="252"/>
      <c r="X68" s="248"/>
      <c r="Y68" s="122"/>
      <c r="Z68" s="4"/>
      <c r="AA68" s="4"/>
      <c r="AB68" s="4"/>
      <c r="AC68" s="12"/>
      <c r="AD68" s="4"/>
      <c r="AE68" s="4"/>
      <c r="AF68" s="4"/>
      <c r="AG68" s="4"/>
      <c r="AH68" s="4"/>
      <c r="AI68" s="4"/>
      <c r="AJ68" s="4"/>
      <c r="AK68" s="4"/>
      <c r="AL68" s="4"/>
    </row>
    <row r="69" spans="1:38" ht="30" customHeight="1" x14ac:dyDescent="0.4">
      <c r="A69" s="4"/>
      <c r="B69" s="4"/>
      <c r="C69" s="4" t="s">
        <v>6676</v>
      </c>
      <c r="D69" s="49">
        <f ca="1">iCountry!C80</f>
        <v>59</v>
      </c>
      <c r="E69" s="91">
        <f ca="1">iCountry!I80</f>
        <v>3481</v>
      </c>
      <c r="F69" s="49" cm="1">
        <f t="array" aca="1" ref="F69" ca="1">INDEX(auto_DataFlat_Classification,E69)</f>
        <v>5</v>
      </c>
      <c r="G69" s="49">
        <f ca="1">iCountry!$E80</f>
        <v>3531</v>
      </c>
      <c r="H69" s="49" cm="1">
        <f t="array" aca="1" ref="H69" ca="1">INDEX(auto_Series_Depth,$D69)</f>
        <v>2</v>
      </c>
      <c r="I69" s="244" cm="1">
        <f t="array" aca="1" ref="I69" ca="1">IF($D69=0,"-",INDEX(auto_DataFlat_Score,$G69))</f>
        <v>78</v>
      </c>
      <c r="J69" s="245" t="s">
        <v>920</v>
      </c>
      <c r="K69" s="4"/>
      <c r="L69" s="246"/>
      <c r="M69" s="247" t="str">
        <f ca="1">iCountry!J80</f>
        <v>CVD management guidelines</v>
      </c>
      <c r="N69" s="248"/>
      <c r="O69" s="248"/>
      <c r="P69" s="248"/>
      <c r="Q69" s="248"/>
      <c r="R69" s="248"/>
      <c r="S69" s="249">
        <f ca="1">iCountry!K80</f>
        <v>100</v>
      </c>
      <c r="T69" s="250"/>
      <c r="U69" s="251"/>
      <c r="V69" s="252"/>
      <c r="W69" s="252"/>
      <c r="X69" s="248"/>
      <c r="Y69" s="122"/>
      <c r="Z69" s="4"/>
      <c r="AA69" s="4"/>
      <c r="AB69" s="4"/>
      <c r="AC69" s="12"/>
      <c r="AD69" s="4"/>
      <c r="AE69" s="4"/>
      <c r="AF69" s="4"/>
      <c r="AG69" s="4"/>
      <c r="AH69" s="4"/>
      <c r="AI69" s="4"/>
      <c r="AJ69" s="4"/>
      <c r="AK69" s="4"/>
      <c r="AL69" s="4"/>
    </row>
    <row r="70" spans="1:38" ht="30" customHeight="1" x14ac:dyDescent="0.4">
      <c r="A70" s="4"/>
      <c r="B70" s="4"/>
      <c r="C70" s="4" t="s">
        <v>6677</v>
      </c>
      <c r="D70" s="49">
        <f ca="1">iCountry!C81</f>
        <v>60</v>
      </c>
      <c r="E70" s="91">
        <f ca="1">iCountry!I81</f>
        <v>3541</v>
      </c>
      <c r="F70" s="49" cm="1">
        <f t="array" aca="1" ref="F70" ca="1">INDEX(auto_DataFlat_Classification,E70)</f>
        <v>5</v>
      </c>
      <c r="G70" s="49">
        <f ca="1">iCountry!$E81</f>
        <v>3591</v>
      </c>
      <c r="H70" s="49" cm="1">
        <f t="array" aca="1" ref="H70" ca="1">INDEX(auto_Series_Depth,$D70)</f>
        <v>2</v>
      </c>
      <c r="I70" s="244" cm="1">
        <f t="array" aca="1" ref="I70" ca="1">IF($D70=0,"-",INDEX(auto_DataFlat_Score,$G70))</f>
        <v>95</v>
      </c>
      <c r="J70" s="245" t="s">
        <v>920</v>
      </c>
      <c r="K70" s="4"/>
      <c r="L70" s="246"/>
      <c r="M70" s="247" t="str">
        <f ca="1">iCountry!J81</f>
        <v>Treatment guidelines</v>
      </c>
      <c r="N70" s="248"/>
      <c r="O70" s="248"/>
      <c r="P70" s="248"/>
      <c r="Q70" s="248"/>
      <c r="R70" s="248"/>
      <c r="S70" s="249">
        <f ca="1">iCountry!K81</f>
        <v>100</v>
      </c>
      <c r="T70" s="250"/>
      <c r="U70" s="251"/>
      <c r="V70" s="252"/>
      <c r="W70" s="252"/>
      <c r="X70" s="248"/>
      <c r="Y70" s="122"/>
      <c r="Z70" s="4"/>
      <c r="AA70" s="4"/>
      <c r="AB70" s="4"/>
      <c r="AC70" s="12"/>
      <c r="AD70" s="4"/>
      <c r="AE70" s="4"/>
      <c r="AF70" s="4"/>
      <c r="AG70" s="4"/>
      <c r="AH70" s="4"/>
      <c r="AI70" s="4"/>
      <c r="AJ70" s="4"/>
      <c r="AK70" s="4"/>
      <c r="AL70" s="4"/>
    </row>
    <row r="71" spans="1:38" ht="30" customHeight="1" x14ac:dyDescent="0.4">
      <c r="A71" s="4"/>
      <c r="B71" s="4"/>
      <c r="C71" s="4" t="s">
        <v>6678</v>
      </c>
      <c r="D71" s="49">
        <f ca="1">iCountry!C82</f>
        <v>61</v>
      </c>
      <c r="E71" s="91">
        <f ca="1">iCountry!I82</f>
        <v>3601</v>
      </c>
      <c r="F71" s="49" cm="1">
        <f t="array" aca="1" ref="F71" ca="1">INDEX(auto_DataFlat_Classification,E71)</f>
        <v>4</v>
      </c>
      <c r="G71" s="49">
        <f ca="1">iCountry!$E82</f>
        <v>3651</v>
      </c>
      <c r="H71" s="49" cm="1">
        <f t="array" aca="1" ref="H71" ca="1">INDEX(auto_Series_Depth,$D71)</f>
        <v>2</v>
      </c>
      <c r="I71" s="244" cm="1">
        <f t="array" aca="1" ref="I71" ca="1">IF($D71=0,"-",INDEX(auto_DataFlat_Score,$G71))</f>
        <v>67</v>
      </c>
      <c r="J71" s="245" t="s">
        <v>920</v>
      </c>
      <c r="K71" s="4"/>
      <c r="L71" s="246"/>
      <c r="M71" s="247" t="str">
        <f ca="1">iCountry!J82</f>
        <v>Tobacco control</v>
      </c>
      <c r="N71" s="248"/>
      <c r="O71" s="248"/>
      <c r="P71" s="248"/>
      <c r="Q71" s="248"/>
      <c r="R71" s="248"/>
      <c r="S71" s="249">
        <f ca="1">iCountry!K82</f>
        <v>75</v>
      </c>
      <c r="T71" s="250"/>
      <c r="U71" s="251"/>
      <c r="V71" s="252"/>
      <c r="W71" s="252"/>
      <c r="X71" s="248"/>
      <c r="Y71" s="122"/>
      <c r="Z71" s="4"/>
      <c r="AA71" s="4"/>
      <c r="AB71" s="4"/>
      <c r="AC71" s="12"/>
      <c r="AD71" s="4"/>
      <c r="AE71" s="4"/>
      <c r="AF71" s="4"/>
      <c r="AG71" s="4"/>
      <c r="AH71" s="4"/>
      <c r="AI71" s="4"/>
      <c r="AJ71" s="4"/>
      <c r="AK71" s="4"/>
      <c r="AL71" s="4"/>
    </row>
    <row r="72" spans="1:38" ht="30" customHeight="1" x14ac:dyDescent="0.4">
      <c r="A72" s="4"/>
      <c r="B72" s="4"/>
      <c r="C72" s="4" t="s">
        <v>6679</v>
      </c>
      <c r="D72" s="49">
        <f ca="1">iCountry!C83</f>
        <v>62</v>
      </c>
      <c r="E72" s="91">
        <f ca="1">iCountry!I83</f>
        <v>3661</v>
      </c>
      <c r="F72" s="49" cm="1">
        <f t="array" aca="1" ref="F72" ca="1">INDEX(auto_DataFlat_Classification,E72)</f>
        <v>4</v>
      </c>
      <c r="G72" s="49">
        <f ca="1">iCountry!$E83</f>
        <v>3711</v>
      </c>
      <c r="H72" s="49" cm="1">
        <f t="array" aca="1" ref="H72" ca="1">INDEX(auto_Series_Depth,$D72)</f>
        <v>2</v>
      </c>
      <c r="I72" s="244" cm="1">
        <f t="array" aca="1" ref="I72" ca="1">IF($D72=0,"-",INDEX(auto_DataFlat_Score,$G72))</f>
        <v>82.7</v>
      </c>
      <c r="J72" s="245" t="s">
        <v>920</v>
      </c>
      <c r="K72" s="4"/>
      <c r="L72" s="246"/>
      <c r="M72" s="247" t="str">
        <f ca="1">iCountry!J83</f>
        <v>Air pollution control</v>
      </c>
      <c r="N72" s="248"/>
      <c r="O72" s="248"/>
      <c r="P72" s="248"/>
      <c r="Q72" s="248"/>
      <c r="R72" s="248"/>
      <c r="S72" s="249">
        <f ca="1">iCountry!K83</f>
        <v>66.7</v>
      </c>
      <c r="T72" s="250"/>
      <c r="U72" s="251"/>
      <c r="V72" s="252"/>
      <c r="W72" s="252"/>
      <c r="X72" s="248"/>
      <c r="Y72" s="122"/>
      <c r="Z72" s="4"/>
      <c r="AA72" s="4"/>
      <c r="AB72" s="4"/>
      <c r="AC72" s="12"/>
      <c r="AD72" s="4"/>
      <c r="AE72" s="4"/>
      <c r="AF72" s="4"/>
      <c r="AG72" s="4"/>
      <c r="AH72" s="4"/>
      <c r="AI72" s="4"/>
      <c r="AJ72" s="4"/>
      <c r="AK72" s="4"/>
      <c r="AL72" s="4"/>
    </row>
    <row r="73" spans="1:38" ht="30" customHeight="1" x14ac:dyDescent="0.4">
      <c r="A73" s="4"/>
      <c r="B73" s="4"/>
      <c r="C73" s="4" t="s">
        <v>6680</v>
      </c>
      <c r="D73" s="49">
        <f ca="1">iCountry!C84</f>
        <v>63</v>
      </c>
      <c r="E73" s="91">
        <f ca="1">iCountry!I84</f>
        <v>3721</v>
      </c>
      <c r="F73" s="49" cm="1">
        <f t="array" aca="1" ref="F73" ca="1">INDEX(auto_DataFlat_Classification,E73)</f>
        <v>1</v>
      </c>
      <c r="G73" s="49">
        <f ca="1">iCountry!$E84</f>
        <v>3771</v>
      </c>
      <c r="H73" s="49" cm="1">
        <f t="array" aca="1" ref="H73" ca="1">INDEX(auto_Series_Depth,$D73)</f>
        <v>2</v>
      </c>
      <c r="I73" s="244" cm="1">
        <f t="array" aca="1" ref="I73" ca="1">IF($D73=0,"-",INDEX(auto_DataFlat_Score,$G73))</f>
        <v>41</v>
      </c>
      <c r="J73" s="245" t="s">
        <v>920</v>
      </c>
      <c r="K73" s="4"/>
      <c r="L73" s="246"/>
      <c r="M73" s="247" t="str">
        <f ca="1">iCountry!J84</f>
        <v>Health promotion</v>
      </c>
      <c r="N73" s="248"/>
      <c r="O73" s="248"/>
      <c r="P73" s="248"/>
      <c r="Q73" s="248"/>
      <c r="R73" s="248"/>
      <c r="S73" s="249">
        <f ca="1">iCountry!K84</f>
        <v>0</v>
      </c>
      <c r="T73" s="250"/>
      <c r="U73" s="251"/>
      <c r="V73" s="252"/>
      <c r="W73" s="252"/>
      <c r="X73" s="248"/>
      <c r="Y73" s="122"/>
      <c r="Z73" s="4"/>
      <c r="AA73" s="4"/>
      <c r="AB73" s="4"/>
      <c r="AC73" s="12"/>
      <c r="AD73" s="4"/>
      <c r="AE73" s="4"/>
      <c r="AF73" s="4"/>
      <c r="AG73" s="4"/>
      <c r="AH73" s="4"/>
      <c r="AI73" s="4"/>
      <c r="AJ73" s="4"/>
      <c r="AK73" s="4"/>
      <c r="AL73" s="4"/>
    </row>
    <row r="74" spans="1:38" ht="21" customHeight="1" x14ac:dyDescent="0.4">
      <c r="A74" s="4"/>
      <c r="B74" s="4"/>
      <c r="C74" s="4"/>
      <c r="D74" s="49"/>
      <c r="E74" s="91"/>
      <c r="F74" s="49"/>
      <c r="G74" s="49"/>
      <c r="H74" s="49"/>
      <c r="I74" s="261"/>
      <c r="J74" s="262"/>
      <c r="K74" s="4"/>
      <c r="L74" s="263"/>
      <c r="M74" s="264"/>
      <c r="N74" s="122"/>
      <c r="O74" s="122"/>
      <c r="P74" s="122"/>
      <c r="Q74" s="122"/>
      <c r="R74" s="122"/>
      <c r="S74" s="265"/>
      <c r="T74" s="266"/>
      <c r="U74" s="266"/>
      <c r="V74" s="268"/>
      <c r="W74" s="268"/>
      <c r="X74" s="122"/>
      <c r="Y74" s="122"/>
      <c r="Z74" s="4"/>
      <c r="AA74" s="4"/>
      <c r="AB74" s="4"/>
      <c r="AC74" s="12"/>
      <c r="AD74" s="4"/>
      <c r="AE74" s="4"/>
      <c r="AF74" s="4"/>
      <c r="AG74" s="4"/>
      <c r="AH74" s="4"/>
      <c r="AI74" s="4"/>
      <c r="AJ74" s="4"/>
      <c r="AK74" s="4"/>
      <c r="AL74" s="4"/>
    </row>
    <row r="75" spans="1:38" ht="15" customHeight="1" x14ac:dyDescent="0.4">
      <c r="A75" s="4"/>
      <c r="B75" s="4"/>
      <c r="C75" s="4"/>
      <c r="D75" s="4"/>
      <c r="E75" s="4"/>
      <c r="F75" s="4"/>
      <c r="G75" s="4"/>
      <c r="H75" s="4"/>
      <c r="I75" s="4"/>
      <c r="J75" s="4"/>
      <c r="K75" s="4"/>
      <c r="L75" s="37"/>
      <c r="M75" s="4"/>
      <c r="N75" s="122"/>
      <c r="O75" s="122"/>
      <c r="P75" s="122"/>
      <c r="Q75" s="122"/>
      <c r="R75" s="122"/>
      <c r="S75" s="236"/>
      <c r="T75" s="237"/>
      <c r="U75" s="238"/>
      <c r="V75" s="122"/>
      <c r="W75" s="239"/>
      <c r="X75" s="239"/>
      <c r="Y75" s="239"/>
      <c r="Z75" s="239"/>
      <c r="AA75" s="122"/>
      <c r="AB75" s="4"/>
      <c r="AC75" s="4"/>
      <c r="AD75" s="4"/>
      <c r="AE75" s="4"/>
      <c r="AF75" s="4"/>
      <c r="AG75" s="4"/>
      <c r="AH75" s="4"/>
      <c r="AI75" s="4"/>
      <c r="AJ75" s="4"/>
      <c r="AK75" s="4"/>
      <c r="AL75" s="4"/>
    </row>
    <row r="76" spans="1:38" ht="15" customHeight="1" x14ac:dyDescent="0.4">
      <c r="A76" s="4"/>
      <c r="B76" s="4"/>
      <c r="C76" s="4"/>
      <c r="D76" s="4"/>
      <c r="E76" s="4"/>
      <c r="F76" s="4"/>
      <c r="G76" s="4"/>
      <c r="H76" s="4"/>
      <c r="I76" s="4"/>
      <c r="J76" s="4"/>
      <c r="K76" s="4"/>
      <c r="L76" s="37"/>
      <c r="M76" s="4"/>
      <c r="N76" s="122"/>
      <c r="O76" s="122"/>
      <c r="P76" s="122"/>
      <c r="Q76" s="122"/>
      <c r="R76" s="122"/>
      <c r="S76" s="236"/>
      <c r="T76" s="237"/>
      <c r="U76" s="238"/>
      <c r="V76" s="122"/>
      <c r="W76" s="239"/>
      <c r="X76" s="239"/>
      <c r="Y76" s="239"/>
      <c r="Z76" s="239"/>
      <c r="AA76" s="122"/>
      <c r="AB76" s="4"/>
      <c r="AC76" s="4"/>
      <c r="AD76" s="4"/>
      <c r="AE76" s="4"/>
      <c r="AF76" s="4"/>
      <c r="AG76" s="4"/>
      <c r="AH76" s="4"/>
      <c r="AI76" s="4"/>
      <c r="AJ76" s="4"/>
      <c r="AK76" s="4"/>
      <c r="AL76" s="4"/>
    </row>
    <row r="77" spans="1:38" ht="11.25" customHeight="1" x14ac:dyDescent="0.4">
      <c r="A77" s="4"/>
      <c r="B77" s="4"/>
      <c r="C77" s="4"/>
      <c r="D77" s="4"/>
      <c r="E77" s="4"/>
      <c r="F77" s="4"/>
      <c r="G77" s="4"/>
      <c r="H77" s="4"/>
      <c r="I77" s="4"/>
      <c r="J77" s="4"/>
      <c r="K77" s="4"/>
      <c r="L77" s="270"/>
      <c r="M77" s="122" t="str">
        <f>CONCATENATE("  ", $L$11)</f>
        <v xml:space="preserve">  Addis Ababa</v>
      </c>
      <c r="N77" s="122"/>
      <c r="O77" s="122"/>
      <c r="P77" s="122"/>
      <c r="Q77" s="271"/>
      <c r="R77" s="122" t="s">
        <v>5688</v>
      </c>
      <c r="S77" s="236"/>
      <c r="T77" s="237"/>
      <c r="U77" s="238"/>
      <c r="V77" s="122"/>
      <c r="W77" s="239"/>
      <c r="X77" s="239"/>
      <c r="Y77" s="239"/>
      <c r="Z77" s="239"/>
      <c r="AA77" s="122"/>
      <c r="AB77" s="4"/>
      <c r="AC77" s="4"/>
      <c r="AD77" s="4"/>
      <c r="AE77" s="4"/>
      <c r="AF77" s="4"/>
      <c r="AG77" s="4"/>
      <c r="AH77" s="4"/>
      <c r="AI77" s="4"/>
      <c r="AJ77" s="4"/>
      <c r="AK77" s="4"/>
      <c r="AL77" s="4"/>
    </row>
    <row r="78" spans="1:38" ht="21.75" customHeight="1" x14ac:dyDescent="0.4">
      <c r="A78" s="4"/>
      <c r="B78" s="4"/>
      <c r="C78" s="4"/>
      <c r="D78" s="4"/>
      <c r="E78" s="4"/>
      <c r="F78" s="4"/>
      <c r="G78" s="4"/>
      <c r="H78" s="4"/>
      <c r="I78" s="4"/>
      <c r="J78" s="4"/>
      <c r="K78" s="4"/>
      <c r="L78" s="37"/>
      <c r="M78" s="4"/>
      <c r="N78" s="122"/>
      <c r="O78" s="122"/>
      <c r="P78" s="122"/>
      <c r="Q78" s="122"/>
      <c r="R78" s="122"/>
      <c r="S78" s="236"/>
      <c r="T78" s="237"/>
      <c r="U78" s="238"/>
      <c r="V78" s="122"/>
      <c r="W78" s="239"/>
      <c r="X78" s="239"/>
      <c r="Y78" s="239"/>
      <c r="Z78" s="239"/>
      <c r="AA78" s="122"/>
      <c r="AB78" s="4"/>
      <c r="AC78" s="4"/>
      <c r="AD78" s="4"/>
      <c r="AE78" s="4"/>
      <c r="AF78" s="4"/>
      <c r="AG78" s="4"/>
      <c r="AH78" s="4"/>
      <c r="AI78" s="4"/>
      <c r="AJ78" s="4"/>
      <c r="AK78" s="4"/>
      <c r="AL78" s="4"/>
    </row>
    <row r="79" spans="1:38" s="2" customFormat="1" ht="15" customHeight="1" x14ac:dyDescent="0.35">
      <c r="A79" s="37"/>
      <c r="B79" s="37"/>
      <c r="C79" s="37"/>
      <c r="D79" s="37"/>
      <c r="E79" s="37"/>
      <c r="F79" s="37"/>
      <c r="G79" s="37"/>
      <c r="H79" s="37"/>
      <c r="I79" s="37"/>
      <c r="J79" s="37"/>
      <c r="K79" s="37"/>
      <c r="L79" s="258" t="str">
        <f ca="1">$M$24</f>
        <v>SOCIAL DETERMINANTS</v>
      </c>
      <c r="M79" s="269"/>
      <c r="N79" s="269"/>
      <c r="O79" s="269"/>
      <c r="P79" s="269"/>
      <c r="Q79" s="269"/>
      <c r="R79" s="269"/>
      <c r="S79" s="269"/>
      <c r="T79" s="269"/>
      <c r="U79" s="269"/>
      <c r="V79" s="269"/>
      <c r="W79" s="269"/>
      <c r="X79" s="269"/>
      <c r="Y79" s="269"/>
      <c r="Z79" s="269" t="str">
        <f ca="1">$M$25</f>
        <v>PHYSICAL ENVIRONMENT</v>
      </c>
      <c r="AA79" s="269"/>
      <c r="AB79" s="269"/>
      <c r="AC79" s="269"/>
      <c r="AD79" s="269"/>
      <c r="AE79" s="269"/>
      <c r="AF79" s="269"/>
      <c r="AG79" s="269"/>
      <c r="AH79" s="269"/>
      <c r="AI79" s="269"/>
      <c r="AJ79" s="269"/>
      <c r="AK79" s="37"/>
      <c r="AL79" s="37"/>
    </row>
    <row r="80" spans="1:38" s="2" customFormat="1" ht="9.75" customHeight="1" x14ac:dyDescent="0.35">
      <c r="A80" s="37"/>
      <c r="B80" s="37"/>
      <c r="C80" s="37"/>
      <c r="D80" s="37"/>
      <c r="E80" s="37"/>
      <c r="F80" s="37"/>
      <c r="G80" s="37"/>
      <c r="H80" s="37"/>
      <c r="I80" s="37"/>
      <c r="J80" s="37"/>
      <c r="K80" s="37"/>
      <c r="L80" s="37"/>
      <c r="M80" s="37"/>
      <c r="N80" s="37"/>
      <c r="O80" s="37"/>
      <c r="P80" s="37"/>
      <c r="Q80" s="37"/>
      <c r="R80" s="37"/>
      <c r="S80" s="37"/>
      <c r="T80" s="37"/>
      <c r="U80" s="37"/>
      <c r="V80" s="37"/>
      <c r="W80" s="37"/>
      <c r="X80" s="37"/>
      <c r="Y80" s="272"/>
      <c r="Z80" s="37"/>
      <c r="AA80" s="37"/>
      <c r="AB80" s="37"/>
      <c r="AC80" s="37"/>
      <c r="AD80" s="37"/>
      <c r="AE80" s="37"/>
      <c r="AF80" s="37"/>
      <c r="AG80" s="37"/>
      <c r="AH80" s="37"/>
      <c r="AI80" s="37"/>
      <c r="AJ80" s="37"/>
      <c r="AK80" s="37"/>
      <c r="AL80" s="37"/>
    </row>
    <row r="81" spans="1:38" ht="21" customHeight="1" x14ac:dyDescent="0.4">
      <c r="A81" s="4"/>
      <c r="B81" s="4"/>
      <c r="C81" s="4"/>
      <c r="D81" s="4"/>
      <c r="E81" s="4"/>
      <c r="F81" s="4"/>
      <c r="G81" s="4"/>
      <c r="H81" s="4"/>
      <c r="I81" s="4"/>
      <c r="J81" s="4"/>
      <c r="K81" s="4"/>
      <c r="L81" s="4"/>
      <c r="M81" s="4"/>
      <c r="N81" s="4"/>
      <c r="O81" s="4"/>
      <c r="P81" s="4"/>
      <c r="Q81" s="4"/>
      <c r="R81" s="4"/>
      <c r="S81" s="4"/>
      <c r="T81" s="4"/>
      <c r="U81" s="4"/>
      <c r="V81" s="4"/>
      <c r="W81" s="4"/>
      <c r="X81" s="4"/>
      <c r="Y81" s="273"/>
      <c r="Z81" s="4"/>
      <c r="AA81" s="4"/>
      <c r="AB81" s="4"/>
      <c r="AC81" s="4"/>
      <c r="AD81" s="4"/>
      <c r="AE81" s="4"/>
      <c r="AF81" s="4"/>
      <c r="AG81" s="4"/>
      <c r="AH81" s="4"/>
      <c r="AI81" s="4"/>
      <c r="AJ81" s="4"/>
      <c r="AK81" s="4"/>
      <c r="AL81" s="4"/>
    </row>
    <row r="82" spans="1:38" ht="21" customHeight="1" x14ac:dyDescent="0.4">
      <c r="A82" s="4"/>
      <c r="B82" s="4"/>
      <c r="C82" s="4"/>
      <c r="D82" s="4"/>
      <c r="E82" s="4"/>
      <c r="F82" s="4"/>
      <c r="G82" s="4"/>
      <c r="H82" s="4"/>
      <c r="I82" s="4"/>
      <c r="J82" s="4"/>
      <c r="K82" s="4"/>
      <c r="L82" s="4"/>
      <c r="M82" s="4"/>
      <c r="N82" s="4"/>
      <c r="O82" s="4"/>
      <c r="P82" s="4"/>
      <c r="Q82" s="4"/>
      <c r="R82" s="4"/>
      <c r="S82" s="4"/>
      <c r="T82" s="4"/>
      <c r="U82" s="4"/>
      <c r="V82" s="4"/>
      <c r="W82" s="4"/>
      <c r="X82" s="4"/>
      <c r="Y82" s="273"/>
      <c r="Z82" s="4"/>
      <c r="AA82" s="4"/>
      <c r="AB82" s="4"/>
      <c r="AC82" s="4"/>
      <c r="AD82" s="4"/>
      <c r="AE82" s="4"/>
      <c r="AF82" s="4"/>
      <c r="AG82" s="4"/>
      <c r="AH82" s="4"/>
      <c r="AI82" s="4"/>
      <c r="AJ82" s="4"/>
      <c r="AK82" s="4"/>
      <c r="AL82" s="4"/>
    </row>
    <row r="83" spans="1:38" ht="21" customHeight="1" x14ac:dyDescent="0.4">
      <c r="A83" s="4"/>
      <c r="B83" s="4"/>
      <c r="C83" s="4"/>
      <c r="D83" s="4"/>
      <c r="E83" s="4"/>
      <c r="F83" s="4"/>
      <c r="G83" s="4"/>
      <c r="H83" s="4"/>
      <c r="I83" s="4"/>
      <c r="J83" s="4"/>
      <c r="K83" s="4"/>
      <c r="L83" s="4"/>
      <c r="M83" s="4"/>
      <c r="N83" s="4"/>
      <c r="O83" s="4"/>
      <c r="P83" s="4"/>
      <c r="Q83" s="4"/>
      <c r="R83" s="4"/>
      <c r="S83" s="4"/>
      <c r="T83" s="4"/>
      <c r="U83" s="4"/>
      <c r="V83" s="4"/>
      <c r="W83" s="4"/>
      <c r="X83" s="4"/>
      <c r="Y83" s="273"/>
      <c r="Z83" s="4"/>
      <c r="AA83" s="4"/>
      <c r="AB83" s="4"/>
      <c r="AC83" s="4"/>
      <c r="AD83" s="4"/>
      <c r="AE83" s="4"/>
      <c r="AF83" s="4"/>
      <c r="AG83" s="4"/>
      <c r="AH83" s="4"/>
      <c r="AI83" s="4"/>
      <c r="AJ83" s="4"/>
      <c r="AK83" s="4"/>
      <c r="AL83" s="4"/>
    </row>
    <row r="84" spans="1:38" ht="21" customHeight="1" x14ac:dyDescent="0.4">
      <c r="A84" s="4"/>
      <c r="B84" s="4"/>
      <c r="C84" s="4"/>
      <c r="D84" s="4"/>
      <c r="E84" s="4"/>
      <c r="F84" s="4"/>
      <c r="G84" s="4"/>
      <c r="H84" s="4"/>
      <c r="I84" s="4"/>
      <c r="J84" s="4"/>
      <c r="K84" s="4"/>
      <c r="L84" s="4"/>
      <c r="M84" s="4"/>
      <c r="N84" s="4"/>
      <c r="O84" s="4"/>
      <c r="P84" s="4"/>
      <c r="Q84" s="4"/>
      <c r="R84" s="4"/>
      <c r="S84" s="4"/>
      <c r="T84" s="4"/>
      <c r="U84" s="4"/>
      <c r="V84" s="4"/>
      <c r="W84" s="4"/>
      <c r="X84" s="4"/>
      <c r="Y84" s="273"/>
      <c r="Z84" s="4"/>
      <c r="AA84" s="4"/>
      <c r="AB84" s="4"/>
      <c r="AC84" s="4"/>
      <c r="AD84" s="4"/>
      <c r="AE84" s="4"/>
      <c r="AF84" s="4"/>
      <c r="AG84" s="4"/>
      <c r="AH84" s="4"/>
      <c r="AI84" s="4"/>
      <c r="AJ84" s="4"/>
      <c r="AK84" s="4"/>
      <c r="AL84" s="4"/>
    </row>
    <row r="85" spans="1:38" ht="21" customHeight="1" x14ac:dyDescent="0.4">
      <c r="A85" s="4"/>
      <c r="B85" s="4"/>
      <c r="C85" s="4"/>
      <c r="D85" s="4"/>
      <c r="E85" s="4"/>
      <c r="F85" s="4"/>
      <c r="G85" s="4"/>
      <c r="H85" s="4"/>
      <c r="I85" s="4"/>
      <c r="J85" s="4"/>
      <c r="K85" s="4"/>
      <c r="L85" s="4"/>
      <c r="M85" s="4"/>
      <c r="N85" s="4"/>
      <c r="O85" s="4"/>
      <c r="P85" s="4"/>
      <c r="Q85" s="4"/>
      <c r="R85" s="4"/>
      <c r="S85" s="4"/>
      <c r="T85" s="4"/>
      <c r="U85" s="4"/>
      <c r="V85" s="4"/>
      <c r="W85" s="4"/>
      <c r="X85" s="4"/>
      <c r="Y85" s="273"/>
      <c r="Z85" s="4"/>
      <c r="AA85" s="4"/>
      <c r="AB85" s="4"/>
      <c r="AC85" s="4"/>
      <c r="AD85" s="4"/>
      <c r="AE85" s="4"/>
      <c r="AF85" s="4"/>
      <c r="AG85" s="4"/>
      <c r="AH85" s="4"/>
      <c r="AI85" s="4"/>
      <c r="AJ85" s="4"/>
      <c r="AK85" s="4"/>
      <c r="AL85" s="4"/>
    </row>
    <row r="86" spans="1:38" ht="21" customHeight="1" x14ac:dyDescent="0.4">
      <c r="A86" s="4"/>
      <c r="B86" s="4"/>
      <c r="C86" s="4"/>
      <c r="D86" s="4"/>
      <c r="E86" s="4"/>
      <c r="F86" s="4"/>
      <c r="G86" s="4"/>
      <c r="H86" s="4"/>
      <c r="I86" s="4"/>
      <c r="J86" s="4"/>
      <c r="K86" s="4"/>
      <c r="L86" s="4"/>
      <c r="M86" s="4"/>
      <c r="N86" s="4"/>
      <c r="O86" s="4"/>
      <c r="P86" s="4"/>
      <c r="Q86" s="4"/>
      <c r="R86" s="4"/>
      <c r="S86" s="4"/>
      <c r="T86" s="4"/>
      <c r="U86" s="4"/>
      <c r="V86" s="4"/>
      <c r="W86" s="4"/>
      <c r="X86" s="4"/>
      <c r="Y86" s="273"/>
      <c r="Z86" s="4"/>
      <c r="AA86" s="4"/>
      <c r="AB86" s="4"/>
      <c r="AC86" s="4"/>
      <c r="AD86" s="4"/>
      <c r="AE86" s="4"/>
      <c r="AF86" s="4"/>
      <c r="AG86" s="4"/>
      <c r="AH86" s="4"/>
      <c r="AI86" s="4"/>
      <c r="AJ86" s="4"/>
      <c r="AK86" s="4"/>
      <c r="AL86" s="4"/>
    </row>
    <row r="87" spans="1:38" ht="21" customHeight="1" x14ac:dyDescent="0.4">
      <c r="A87" s="4"/>
      <c r="B87" s="4"/>
      <c r="C87" s="4"/>
      <c r="D87" s="4"/>
      <c r="E87" s="4"/>
      <c r="F87" s="4"/>
      <c r="G87" s="4"/>
      <c r="H87" s="4"/>
      <c r="I87" s="4"/>
      <c r="J87" s="4"/>
      <c r="K87" s="4"/>
      <c r="L87" s="4"/>
      <c r="M87" s="4"/>
      <c r="N87" s="4"/>
      <c r="O87" s="4"/>
      <c r="P87" s="4"/>
      <c r="Q87" s="4"/>
      <c r="R87" s="4"/>
      <c r="S87" s="4"/>
      <c r="T87" s="4"/>
      <c r="U87" s="4"/>
      <c r="V87" s="4"/>
      <c r="W87" s="4"/>
      <c r="X87" s="4"/>
      <c r="Y87" s="273"/>
      <c r="Z87" s="4"/>
      <c r="AA87" s="4"/>
      <c r="AB87" s="4"/>
      <c r="AC87" s="4"/>
      <c r="AD87" s="4"/>
      <c r="AE87" s="4"/>
      <c r="AF87" s="4"/>
      <c r="AG87" s="4"/>
      <c r="AH87" s="4"/>
      <c r="AI87" s="4"/>
      <c r="AJ87" s="4"/>
      <c r="AK87" s="4"/>
      <c r="AL87" s="4"/>
    </row>
    <row r="88" spans="1:38" ht="21" customHeight="1" x14ac:dyDescent="0.4">
      <c r="A88" s="4"/>
      <c r="B88" s="4"/>
      <c r="C88" s="4"/>
      <c r="D88" s="4"/>
      <c r="E88" s="4"/>
      <c r="F88" s="4"/>
      <c r="G88" s="4"/>
      <c r="H88" s="4"/>
      <c r="I88" s="4"/>
      <c r="J88" s="4"/>
      <c r="K88" s="4"/>
      <c r="L88" s="4"/>
      <c r="M88" s="4"/>
      <c r="N88" s="4"/>
      <c r="O88" s="4"/>
      <c r="P88" s="4"/>
      <c r="Q88" s="4"/>
      <c r="R88" s="4"/>
      <c r="S88" s="4"/>
      <c r="T88" s="4"/>
      <c r="U88" s="4"/>
      <c r="V88" s="4"/>
      <c r="W88" s="4"/>
      <c r="X88" s="4"/>
      <c r="Y88" s="273"/>
      <c r="Z88" s="4"/>
      <c r="AA88" s="4"/>
      <c r="AB88" s="4"/>
      <c r="AC88" s="4"/>
      <c r="AD88" s="4"/>
      <c r="AE88" s="4"/>
      <c r="AF88" s="4"/>
      <c r="AG88" s="4"/>
      <c r="AH88" s="4"/>
      <c r="AI88" s="4"/>
      <c r="AJ88" s="4"/>
      <c r="AK88" s="4"/>
      <c r="AL88" s="4"/>
    </row>
    <row r="89" spans="1:38" ht="21" customHeight="1" x14ac:dyDescent="0.4">
      <c r="A89" s="4"/>
      <c r="B89" s="4"/>
      <c r="C89" s="4"/>
      <c r="D89" s="4"/>
      <c r="E89" s="4"/>
      <c r="F89" s="4"/>
      <c r="G89" s="4"/>
      <c r="H89" s="4"/>
      <c r="I89" s="4"/>
      <c r="J89" s="4"/>
      <c r="K89" s="4"/>
      <c r="L89" s="4"/>
      <c r="M89" s="4"/>
      <c r="N89" s="4"/>
      <c r="O89" s="4"/>
      <c r="P89" s="4"/>
      <c r="Q89" s="4"/>
      <c r="R89" s="4"/>
      <c r="S89" s="4"/>
      <c r="T89" s="4"/>
      <c r="U89" s="4"/>
      <c r="V89" s="4"/>
      <c r="W89" s="4"/>
      <c r="X89" s="4"/>
      <c r="Y89" s="273"/>
      <c r="Z89" s="4"/>
      <c r="AA89" s="4"/>
      <c r="AB89" s="4"/>
      <c r="AC89" s="4"/>
      <c r="AD89" s="4"/>
      <c r="AE89" s="4"/>
      <c r="AF89" s="4"/>
      <c r="AG89" s="4"/>
      <c r="AH89" s="4"/>
      <c r="AI89" s="4"/>
      <c r="AJ89" s="4"/>
      <c r="AK89" s="4"/>
      <c r="AL89" s="4"/>
    </row>
    <row r="90" spans="1:38" ht="21" customHeight="1" x14ac:dyDescent="0.4">
      <c r="A90" s="4"/>
      <c r="B90" s="4"/>
      <c r="C90" s="4"/>
      <c r="D90" s="4"/>
      <c r="E90" s="4"/>
      <c r="F90" s="4"/>
      <c r="G90" s="4"/>
      <c r="H90" s="4"/>
      <c r="I90" s="4"/>
      <c r="J90" s="4"/>
      <c r="K90" s="4"/>
      <c r="L90" s="4"/>
      <c r="M90" s="4"/>
      <c r="N90" s="4"/>
      <c r="O90" s="4"/>
      <c r="P90" s="4"/>
      <c r="Q90" s="4"/>
      <c r="R90" s="4"/>
      <c r="S90" s="4"/>
      <c r="T90" s="4"/>
      <c r="U90" s="4"/>
      <c r="V90" s="4"/>
      <c r="W90" s="4"/>
      <c r="X90" s="4"/>
      <c r="Y90" s="273"/>
      <c r="Z90" s="4"/>
      <c r="AA90" s="4"/>
      <c r="AB90" s="4"/>
      <c r="AC90" s="4"/>
      <c r="AD90" s="4"/>
      <c r="AE90" s="4"/>
      <c r="AF90" s="4"/>
      <c r="AG90" s="4"/>
      <c r="AH90" s="4"/>
      <c r="AI90" s="4"/>
      <c r="AJ90" s="4"/>
      <c r="AK90" s="4"/>
      <c r="AL90" s="4"/>
    </row>
    <row r="91" spans="1:38" s="2" customFormat="1" ht="9.75" customHeight="1" x14ac:dyDescent="0.35">
      <c r="A91" s="37"/>
      <c r="B91" s="37"/>
      <c r="C91" s="37"/>
      <c r="D91" s="37"/>
      <c r="E91" s="37"/>
      <c r="F91" s="37"/>
      <c r="G91" s="37"/>
      <c r="H91" s="37"/>
      <c r="I91" s="37"/>
      <c r="J91" s="37"/>
      <c r="K91" s="37"/>
      <c r="L91" s="37"/>
      <c r="M91" s="37"/>
      <c r="N91" s="37"/>
      <c r="O91" s="37"/>
      <c r="P91" s="37"/>
      <c r="Q91" s="37"/>
      <c r="R91" s="37"/>
      <c r="S91" s="37"/>
      <c r="T91" s="37"/>
      <c r="U91" s="37"/>
      <c r="V91" s="37"/>
      <c r="W91" s="37"/>
      <c r="X91" s="37"/>
      <c r="Y91" s="272"/>
      <c r="Z91" s="37"/>
      <c r="AA91" s="37"/>
      <c r="AB91" s="37"/>
      <c r="AC91" s="37"/>
      <c r="AD91" s="37"/>
      <c r="AE91" s="37"/>
      <c r="AF91" s="37"/>
      <c r="AG91" s="37"/>
      <c r="AH91" s="37"/>
      <c r="AI91" s="37"/>
      <c r="AJ91" s="37"/>
      <c r="AK91" s="37"/>
      <c r="AL91" s="37"/>
    </row>
    <row r="92" spans="1:38" s="2" customFormat="1" ht="15" customHeight="1" x14ac:dyDescent="0.35">
      <c r="A92" s="37"/>
      <c r="B92" s="37"/>
      <c r="C92" s="37"/>
      <c r="D92" s="37"/>
      <c r="E92" s="37"/>
      <c r="F92" s="37"/>
      <c r="G92" s="37"/>
      <c r="H92" s="37"/>
      <c r="I92" s="37"/>
      <c r="J92" s="37"/>
      <c r="K92" s="37"/>
      <c r="L92" s="258" t="str">
        <f ca="1">$M$26</f>
        <v>HEALTH RISKS</v>
      </c>
      <c r="M92" s="269"/>
      <c r="N92" s="269"/>
      <c r="O92" s="269"/>
      <c r="P92" s="269"/>
      <c r="Q92" s="269"/>
      <c r="R92" s="269"/>
      <c r="S92" s="269"/>
      <c r="T92" s="269"/>
      <c r="U92" s="269"/>
      <c r="V92" s="269"/>
      <c r="W92" s="269"/>
      <c r="X92" s="269"/>
      <c r="Y92" s="269"/>
      <c r="Z92" s="269" t="str">
        <f ca="1">$M$28</f>
        <v>GOVERNANCE</v>
      </c>
      <c r="AA92" s="269"/>
      <c r="AB92" s="269"/>
      <c r="AC92" s="269"/>
      <c r="AD92" s="269"/>
      <c r="AE92" s="269"/>
      <c r="AF92" s="269"/>
      <c r="AG92" s="269"/>
      <c r="AH92" s="269"/>
      <c r="AI92" s="269"/>
      <c r="AJ92" s="269"/>
      <c r="AK92" s="37"/>
      <c r="AL92" s="37"/>
    </row>
    <row r="93" spans="1:38" s="2" customFormat="1" ht="9.75" customHeight="1" x14ac:dyDescent="0.35">
      <c r="A93" s="37"/>
      <c r="B93" s="37"/>
      <c r="C93" s="37"/>
      <c r="D93" s="37"/>
      <c r="E93" s="37"/>
      <c r="F93" s="37"/>
      <c r="G93" s="37"/>
      <c r="H93" s="37"/>
      <c r="I93" s="37"/>
      <c r="J93" s="37"/>
      <c r="K93" s="37"/>
      <c r="L93" s="37"/>
      <c r="M93" s="37"/>
      <c r="N93" s="37"/>
      <c r="O93" s="37"/>
      <c r="P93" s="37"/>
      <c r="Q93" s="37"/>
      <c r="R93" s="37"/>
      <c r="S93" s="37"/>
      <c r="T93" s="37"/>
      <c r="U93" s="37"/>
      <c r="V93" s="37"/>
      <c r="W93" s="37"/>
      <c r="X93" s="37"/>
      <c r="Y93" s="272"/>
      <c r="Z93" s="37"/>
      <c r="AA93" s="37"/>
      <c r="AB93" s="37"/>
      <c r="AC93" s="37"/>
      <c r="AD93" s="37"/>
      <c r="AE93" s="37"/>
      <c r="AF93" s="37"/>
      <c r="AG93" s="37"/>
      <c r="AH93" s="37"/>
      <c r="AI93" s="37"/>
      <c r="AJ93" s="37"/>
      <c r="AK93" s="37"/>
      <c r="AL93" s="37"/>
    </row>
    <row r="94" spans="1:38" ht="21" customHeight="1" x14ac:dyDescent="0.4">
      <c r="A94" s="4"/>
      <c r="B94" s="4"/>
      <c r="C94" s="4"/>
      <c r="D94" s="4"/>
      <c r="E94" s="4"/>
      <c r="F94" s="4"/>
      <c r="G94" s="4"/>
      <c r="H94" s="4"/>
      <c r="I94" s="4"/>
      <c r="J94" s="4"/>
      <c r="K94" s="4"/>
      <c r="L94" s="4"/>
      <c r="M94" s="4"/>
      <c r="N94" s="4"/>
      <c r="O94" s="4"/>
      <c r="P94" s="4"/>
      <c r="Q94" s="4"/>
      <c r="R94" s="4"/>
      <c r="S94" s="4"/>
      <c r="T94" s="4"/>
      <c r="U94" s="4"/>
      <c r="V94" s="4"/>
      <c r="W94" s="4"/>
      <c r="X94" s="4"/>
      <c r="Y94" s="273"/>
      <c r="Z94" s="4"/>
      <c r="AA94" s="4"/>
      <c r="AB94" s="4"/>
      <c r="AC94" s="4"/>
      <c r="AD94" s="4"/>
      <c r="AE94" s="4"/>
      <c r="AF94" s="4"/>
      <c r="AG94" s="4"/>
      <c r="AH94" s="4"/>
      <c r="AI94" s="4"/>
      <c r="AJ94" s="4"/>
      <c r="AK94" s="4"/>
      <c r="AL94" s="4"/>
    </row>
    <row r="95" spans="1:38" ht="21" customHeight="1" x14ac:dyDescent="0.4">
      <c r="A95" s="4"/>
      <c r="B95" s="4"/>
      <c r="C95" s="4"/>
      <c r="D95" s="4"/>
      <c r="E95" s="4"/>
      <c r="F95" s="4"/>
      <c r="G95" s="4"/>
      <c r="H95" s="4"/>
      <c r="I95" s="4"/>
      <c r="J95" s="4"/>
      <c r="K95" s="4"/>
      <c r="L95" s="4"/>
      <c r="M95" s="4"/>
      <c r="N95" s="4"/>
      <c r="O95" s="4"/>
      <c r="P95" s="4"/>
      <c r="Q95" s="4"/>
      <c r="R95" s="4"/>
      <c r="S95" s="4"/>
      <c r="T95" s="4"/>
      <c r="U95" s="4"/>
      <c r="V95" s="4"/>
      <c r="W95" s="4"/>
      <c r="X95" s="4"/>
      <c r="Y95" s="273"/>
      <c r="Z95" s="4"/>
      <c r="AA95" s="4"/>
      <c r="AB95" s="4"/>
      <c r="AC95" s="4"/>
      <c r="AD95" s="4"/>
      <c r="AE95" s="4"/>
      <c r="AF95" s="4"/>
      <c r="AG95" s="4"/>
      <c r="AH95" s="4"/>
      <c r="AI95" s="4"/>
      <c r="AJ95" s="4"/>
      <c r="AK95" s="4"/>
      <c r="AL95" s="4"/>
    </row>
    <row r="96" spans="1:38" ht="21" customHeight="1" x14ac:dyDescent="0.4">
      <c r="A96" s="4"/>
      <c r="B96" s="4"/>
      <c r="C96" s="4"/>
      <c r="D96" s="4"/>
      <c r="E96" s="4"/>
      <c r="F96" s="4"/>
      <c r="G96" s="4"/>
      <c r="H96" s="4"/>
      <c r="I96" s="4"/>
      <c r="J96" s="4"/>
      <c r="K96" s="4"/>
      <c r="L96" s="4"/>
      <c r="M96" s="4"/>
      <c r="N96" s="4"/>
      <c r="O96" s="4"/>
      <c r="P96" s="4"/>
      <c r="Q96" s="4"/>
      <c r="R96" s="4"/>
      <c r="S96" s="4"/>
      <c r="T96" s="4"/>
      <c r="U96" s="4"/>
      <c r="V96" s="4"/>
      <c r="W96" s="4"/>
      <c r="X96" s="4"/>
      <c r="Y96" s="273"/>
      <c r="Z96" s="4"/>
      <c r="AA96" s="4"/>
      <c r="AB96" s="4"/>
      <c r="AC96" s="4"/>
      <c r="AD96" s="4"/>
      <c r="AE96" s="4"/>
      <c r="AF96" s="4"/>
      <c r="AG96" s="4"/>
      <c r="AH96" s="4"/>
      <c r="AI96" s="4"/>
      <c r="AJ96" s="4"/>
      <c r="AK96" s="4"/>
      <c r="AL96" s="4"/>
    </row>
    <row r="97" spans="1:38" ht="21" customHeight="1" x14ac:dyDescent="0.4">
      <c r="A97" s="4"/>
      <c r="B97" s="4"/>
      <c r="C97" s="4"/>
      <c r="D97" s="4"/>
      <c r="E97" s="4"/>
      <c r="F97" s="4"/>
      <c r="G97" s="4"/>
      <c r="H97" s="4"/>
      <c r="I97" s="4"/>
      <c r="J97" s="4"/>
      <c r="K97" s="4"/>
      <c r="L97" s="4"/>
      <c r="M97" s="4"/>
      <c r="N97" s="4"/>
      <c r="O97" s="4"/>
      <c r="P97" s="4"/>
      <c r="Q97" s="4"/>
      <c r="R97" s="4"/>
      <c r="S97" s="4"/>
      <c r="T97" s="4"/>
      <c r="U97" s="4"/>
      <c r="V97" s="4"/>
      <c r="W97" s="4"/>
      <c r="X97" s="4"/>
      <c r="Y97" s="273"/>
      <c r="Z97" s="4"/>
      <c r="AA97" s="4"/>
      <c r="AB97" s="4"/>
      <c r="AC97" s="4"/>
      <c r="AD97" s="4"/>
      <c r="AE97" s="4"/>
      <c r="AF97" s="4"/>
      <c r="AG97" s="4"/>
      <c r="AH97" s="4"/>
      <c r="AI97" s="4"/>
      <c r="AJ97" s="4"/>
      <c r="AK97" s="4"/>
      <c r="AL97" s="4"/>
    </row>
    <row r="98" spans="1:38" ht="21" customHeight="1" x14ac:dyDescent="0.4">
      <c r="A98" s="4"/>
      <c r="B98" s="4"/>
      <c r="C98" s="4"/>
      <c r="D98" s="4"/>
      <c r="E98" s="4"/>
      <c r="F98" s="4"/>
      <c r="G98" s="4"/>
      <c r="H98" s="4"/>
      <c r="I98" s="4"/>
      <c r="J98" s="4"/>
      <c r="K98" s="4"/>
      <c r="L98" s="4"/>
      <c r="M98" s="4"/>
      <c r="N98" s="4"/>
      <c r="O98" s="4"/>
      <c r="P98" s="4"/>
      <c r="Q98" s="4"/>
      <c r="R98" s="4"/>
      <c r="S98" s="4"/>
      <c r="T98" s="4"/>
      <c r="U98" s="4"/>
      <c r="V98" s="4"/>
      <c r="W98" s="4"/>
      <c r="X98" s="4"/>
      <c r="Y98" s="273"/>
      <c r="Z98" s="4"/>
      <c r="AA98" s="4"/>
      <c r="AB98" s="4"/>
      <c r="AC98" s="4"/>
      <c r="AD98" s="4"/>
      <c r="AE98" s="4"/>
      <c r="AF98" s="4"/>
      <c r="AG98" s="4"/>
      <c r="AH98" s="4"/>
      <c r="AI98" s="4"/>
      <c r="AJ98" s="4"/>
      <c r="AK98" s="4"/>
      <c r="AL98" s="4"/>
    </row>
    <row r="99" spans="1:38" ht="21" customHeight="1" x14ac:dyDescent="0.4">
      <c r="A99" s="4"/>
      <c r="B99" s="4"/>
      <c r="C99" s="4"/>
      <c r="D99" s="4"/>
      <c r="E99" s="4"/>
      <c r="F99" s="4"/>
      <c r="G99" s="4"/>
      <c r="H99" s="4"/>
      <c r="I99" s="4"/>
      <c r="J99" s="4"/>
      <c r="K99" s="4"/>
      <c r="L99" s="4"/>
      <c r="M99" s="4"/>
      <c r="N99" s="4"/>
      <c r="O99" s="4"/>
      <c r="P99" s="4"/>
      <c r="Q99" s="4"/>
      <c r="R99" s="4"/>
      <c r="S99" s="4"/>
      <c r="T99" s="4"/>
      <c r="U99" s="4"/>
      <c r="V99" s="4"/>
      <c r="W99" s="4"/>
      <c r="X99" s="4"/>
      <c r="Y99" s="273"/>
      <c r="Z99" s="4"/>
      <c r="AA99" s="4"/>
      <c r="AB99" s="4"/>
      <c r="AC99" s="4"/>
      <c r="AD99" s="4"/>
      <c r="AE99" s="4"/>
      <c r="AF99" s="4"/>
      <c r="AG99" s="4"/>
      <c r="AH99" s="4"/>
      <c r="AI99" s="4"/>
      <c r="AJ99" s="4"/>
      <c r="AK99" s="4"/>
      <c r="AL99" s="4"/>
    </row>
    <row r="100" spans="1:38" ht="21" customHeight="1"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273"/>
      <c r="Z100" s="4"/>
      <c r="AA100" s="4"/>
      <c r="AB100" s="4"/>
      <c r="AC100" s="4"/>
      <c r="AD100" s="4"/>
      <c r="AE100" s="4"/>
      <c r="AF100" s="4"/>
      <c r="AG100" s="4"/>
      <c r="AH100" s="4"/>
      <c r="AI100" s="4"/>
      <c r="AJ100" s="4"/>
      <c r="AK100" s="4"/>
      <c r="AL100" s="4"/>
    </row>
    <row r="101" spans="1:38" ht="21" customHeight="1"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273"/>
      <c r="Z101" s="4"/>
      <c r="AA101" s="4"/>
      <c r="AB101" s="4"/>
      <c r="AC101" s="4"/>
      <c r="AD101" s="4"/>
      <c r="AE101" s="4"/>
      <c r="AF101" s="4"/>
      <c r="AG101" s="4"/>
      <c r="AH101" s="4"/>
      <c r="AI101" s="4"/>
      <c r="AJ101" s="4"/>
      <c r="AK101" s="4"/>
      <c r="AL101" s="4"/>
    </row>
    <row r="102" spans="1:38" ht="21" customHeight="1"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273"/>
      <c r="Z102" s="4"/>
      <c r="AA102" s="4"/>
      <c r="AB102" s="4"/>
      <c r="AC102" s="4"/>
      <c r="AD102" s="4"/>
      <c r="AE102" s="4"/>
      <c r="AF102" s="4"/>
      <c r="AG102" s="4"/>
      <c r="AH102" s="4"/>
      <c r="AI102" s="4"/>
      <c r="AJ102" s="4"/>
      <c r="AK102" s="4"/>
      <c r="AL102" s="4"/>
    </row>
    <row r="103" spans="1:38" ht="15.75" customHeight="1"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273"/>
      <c r="Z103" s="4"/>
      <c r="AA103" s="4"/>
      <c r="AB103" s="4"/>
      <c r="AC103" s="4"/>
      <c r="AD103" s="4"/>
      <c r="AE103" s="4"/>
      <c r="AF103" s="4"/>
      <c r="AG103" s="4"/>
      <c r="AH103" s="4"/>
      <c r="AI103" s="4"/>
      <c r="AJ103" s="4"/>
      <c r="AK103" s="4"/>
      <c r="AL103" s="4"/>
    </row>
    <row r="104" spans="1:38" ht="15.75" customHeight="1"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1:38" s="2" customFormat="1" ht="15" customHeight="1" x14ac:dyDescent="0.35">
      <c r="A105" s="37"/>
      <c r="B105" s="37"/>
      <c r="C105" s="37"/>
      <c r="D105" s="37"/>
      <c r="E105" s="37"/>
      <c r="F105" s="37"/>
      <c r="G105" s="37"/>
      <c r="H105" s="37"/>
      <c r="I105" s="37"/>
      <c r="J105" s="37"/>
      <c r="K105" s="37"/>
      <c r="L105" s="258" t="str">
        <f ca="1">$M$28</f>
        <v>GOVERNANCE</v>
      </c>
      <c r="M105" s="269"/>
      <c r="N105" s="269"/>
      <c r="O105" s="269"/>
      <c r="P105" s="269"/>
      <c r="Q105" s="269"/>
      <c r="R105" s="269"/>
      <c r="S105" s="269"/>
      <c r="T105" s="269"/>
      <c r="U105" s="269"/>
      <c r="V105" s="269"/>
      <c r="W105" s="269"/>
      <c r="X105" s="269"/>
      <c r="Y105" s="269"/>
      <c r="Z105" s="269"/>
      <c r="AA105" s="269"/>
      <c r="AB105" s="269"/>
      <c r="AC105" s="269"/>
      <c r="AD105" s="269"/>
      <c r="AE105" s="269"/>
      <c r="AF105" s="269"/>
      <c r="AG105" s="269"/>
      <c r="AH105" s="269"/>
      <c r="AI105" s="269"/>
      <c r="AJ105" s="269"/>
      <c r="AK105" s="37"/>
      <c r="AL105" s="37"/>
    </row>
    <row r="106" spans="1:38" s="2" customFormat="1" ht="9.75" customHeight="1" x14ac:dyDescent="0.35">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row>
    <row r="107" spans="1:38" ht="21" customHeight="1"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1:38" ht="21" customHeight="1"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1:38" ht="21" customHeight="1"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1:38" ht="21" customHeight="1"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1:38" ht="21" customHeight="1"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1:38" ht="21" customHeight="1"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1:38" ht="21" customHeight="1"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1:38" ht="21" customHeight="1"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1:38" ht="21" customHeight="1"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1:38" ht="15.75" customHeight="1"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1:38" ht="15.75" customHeight="1"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1:38" ht="15.75" customHeight="1"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1:38" s="2" customFormat="1" ht="15" customHeight="1" x14ac:dyDescent="0.35">
      <c r="A119" s="37"/>
      <c r="B119" s="37"/>
      <c r="C119" s="37"/>
      <c r="D119" s="37"/>
      <c r="E119" s="37"/>
      <c r="F119" s="37"/>
      <c r="G119" s="37"/>
      <c r="H119" s="37"/>
      <c r="I119" s="37"/>
      <c r="J119" s="37"/>
      <c r="K119" s="37"/>
      <c r="L119" s="258"/>
      <c r="M119" s="269"/>
      <c r="N119" s="269"/>
      <c r="O119" s="269"/>
      <c r="P119" s="269"/>
      <c r="Q119" s="269"/>
      <c r="R119" s="269"/>
      <c r="S119" s="269"/>
      <c r="T119" s="269"/>
      <c r="U119" s="269"/>
      <c r="V119" s="269"/>
      <c r="W119" s="269"/>
      <c r="X119" s="269"/>
      <c r="Y119" s="269"/>
      <c r="Z119" s="269"/>
      <c r="AA119" s="269"/>
      <c r="AB119" s="269"/>
      <c r="AC119" s="269"/>
      <c r="AD119" s="269"/>
      <c r="AE119" s="269"/>
      <c r="AF119" s="269"/>
      <c r="AG119" s="269"/>
      <c r="AH119" s="269"/>
      <c r="AI119" s="269"/>
      <c r="AJ119" s="269"/>
      <c r="AK119" s="37"/>
      <c r="AL119" s="37"/>
    </row>
    <row r="120" spans="1:38"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1:38" x14ac:dyDescent="0.4">
      <c r="A121" s="4"/>
      <c r="B121" s="4"/>
      <c r="C121" s="4"/>
      <c r="D121" s="4"/>
      <c r="E121" s="4"/>
      <c r="F121" s="4"/>
      <c r="G121" s="4"/>
      <c r="H121" s="4"/>
      <c r="I121" s="4"/>
      <c r="J121" s="4"/>
      <c r="K121" s="4"/>
      <c r="L121" s="48" t="s">
        <v>1643</v>
      </c>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1:38"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1:38" x14ac:dyDescent="0.4">
      <c r="A123" s="13" t="s">
        <v>2</v>
      </c>
      <c r="B123" s="4"/>
      <c r="C123" s="4"/>
      <c r="D123" s="4"/>
      <c r="E123" s="4"/>
      <c r="F123" s="4"/>
      <c r="G123" s="4"/>
      <c r="H123" s="4"/>
      <c r="I123" s="4"/>
      <c r="J123" s="4"/>
      <c r="K123" s="4"/>
      <c r="L123" s="4">
        <v>5</v>
      </c>
      <c r="M123" s="4"/>
      <c r="N123" s="4"/>
      <c r="O123" s="4"/>
      <c r="P123" s="4"/>
      <c r="Q123" s="4">
        <v>4</v>
      </c>
      <c r="R123" s="38"/>
      <c r="S123" s="4"/>
      <c r="T123" s="4"/>
      <c r="U123" s="4"/>
      <c r="V123" s="4">
        <v>3</v>
      </c>
      <c r="W123" s="4"/>
      <c r="X123" s="4"/>
      <c r="Y123" s="4"/>
      <c r="Z123" s="4"/>
      <c r="AA123" s="4">
        <v>2</v>
      </c>
      <c r="AB123" s="4"/>
      <c r="AC123" s="4"/>
      <c r="AD123" s="4"/>
      <c r="AE123" s="4"/>
      <c r="AF123" s="4">
        <v>1</v>
      </c>
      <c r="AG123" s="4"/>
      <c r="AH123" s="4"/>
      <c r="AI123" s="4"/>
      <c r="AJ123" s="4"/>
      <c r="AK123" s="4"/>
      <c r="AL123" s="4"/>
    </row>
    <row r="124" spans="1:38" ht="20.25" customHeight="1" x14ac:dyDescent="0.4">
      <c r="A124" s="13" t="s">
        <v>2</v>
      </c>
      <c r="B124" s="4"/>
      <c r="C124" s="4"/>
      <c r="D124" s="4"/>
      <c r="E124" s="4"/>
      <c r="F124" s="4"/>
      <c r="G124" s="4"/>
      <c r="H124" s="4"/>
      <c r="I124" s="4"/>
      <c r="J124" s="4"/>
      <c r="K124" s="4"/>
      <c r="L124" s="274" t="str" cm="1">
        <f t="array" ref="L124">INDEX(uxbGlobals!$B$133:$B$139,L123)</f>
        <v xml:space="preserve"> </v>
      </c>
      <c r="M124" s="274"/>
      <c r="N124" s="274"/>
      <c r="O124" s="274"/>
      <c r="P124" s="4"/>
      <c r="Q124" s="275" t="str" cm="1">
        <f t="array" ref="Q124">INDEX(uxbGlobals!$B$133:$B$139,Q123)</f>
        <v xml:space="preserve"> </v>
      </c>
      <c r="R124" s="275"/>
      <c r="S124" s="275"/>
      <c r="T124" s="275"/>
      <c r="U124" s="4"/>
      <c r="V124" s="276" t="str" cm="1">
        <f t="array" ref="V124">INDEX(uxbGlobals!$B$133:$B$139,V123)</f>
        <v xml:space="preserve"> </v>
      </c>
      <c r="W124" s="276"/>
      <c r="X124" s="276"/>
      <c r="Y124" s="276"/>
      <c r="Z124" s="4"/>
      <c r="AA124" s="277" t="str" cm="1">
        <f t="array" ref="AA124">INDEX(uxbGlobals!$B$133:$B$139,AA123)</f>
        <v xml:space="preserve"> </v>
      </c>
      <c r="AB124" s="277"/>
      <c r="AC124" s="277"/>
      <c r="AD124" s="277"/>
      <c r="AE124" s="4"/>
      <c r="AF124" s="278" t="str" cm="1">
        <f t="array" ref="AF124">INDEX(uxbGlobals!$B$133:$B$139,AF123)</f>
        <v xml:space="preserve"> </v>
      </c>
      <c r="AG124" s="278"/>
      <c r="AH124" s="278"/>
      <c r="AI124" s="278"/>
      <c r="AJ124" s="4"/>
      <c r="AK124" s="4"/>
      <c r="AL124" s="4"/>
    </row>
    <row r="125" spans="1:38" s="3" customFormat="1" ht="26.25" customHeight="1" x14ac:dyDescent="0.35">
      <c r="A125" s="143"/>
      <c r="B125" s="143"/>
      <c r="C125" s="143"/>
      <c r="D125" s="143"/>
      <c r="E125" s="143"/>
      <c r="F125" s="143"/>
      <c r="G125" s="143"/>
      <c r="H125" s="143"/>
      <c r="I125" s="143"/>
      <c r="J125" s="143"/>
      <c r="K125" s="143"/>
      <c r="L125" s="279" t="str" cm="1">
        <f t="array" ref="L125">INDEX(uxbGlobals!$B$169:$B$174,L123)</f>
        <v>Score 80.0-100.0</v>
      </c>
      <c r="M125" s="279"/>
      <c r="N125" s="279"/>
      <c r="O125" s="279"/>
      <c r="P125" s="143"/>
      <c r="Q125" s="280" t="str" cm="1">
        <f t="array" ref="Q125">INDEX(uxbGlobals!$B$169:$B$174,Q123)</f>
        <v>Score 60.0-79.9</v>
      </c>
      <c r="R125" s="280"/>
      <c r="S125" s="280"/>
      <c r="T125" s="280"/>
      <c r="U125" s="143"/>
      <c r="V125" s="281" t="str" cm="1">
        <f t="array" ref="V125">INDEX(uxbGlobals!$B$169:$B$174,V123)</f>
        <v>Score 40.0-59.9</v>
      </c>
      <c r="W125" s="281"/>
      <c r="X125" s="281"/>
      <c r="Y125" s="281"/>
      <c r="Z125" s="143"/>
      <c r="AA125" s="282" t="str" cm="1">
        <f t="array" ref="AA125">INDEX(uxbGlobals!$B$169:$B$174,AA123)</f>
        <v>Score 20.0-39.9</v>
      </c>
      <c r="AB125" s="282"/>
      <c r="AC125" s="282"/>
      <c r="AD125" s="282"/>
      <c r="AE125" s="143"/>
      <c r="AF125" s="283" t="str" cm="1">
        <f t="array" ref="AF125">INDEX(uxbGlobals!$B$169:$B$174,AF123)</f>
        <v>Score 0-19.9</v>
      </c>
      <c r="AG125" s="283"/>
      <c r="AH125" s="283"/>
      <c r="AI125" s="283"/>
      <c r="AJ125" s="143"/>
      <c r="AK125" s="143"/>
      <c r="AL125" s="143"/>
    </row>
    <row r="126" spans="1:38" ht="24" customHeight="1" x14ac:dyDescent="0.4">
      <c r="A126" s="284" t="str">
        <f ca="1">IF(SUM(B126:G126)=0,"H","")</f>
        <v/>
      </c>
      <c r="B126" s="4">
        <f ca="1">IF(ISERROR(iCountry!BP94),0,iCountry!BP94)</f>
        <v>5</v>
      </c>
      <c r="C126" s="4">
        <f ca="1">IF(ISERROR(iCountry!BQ94),0,iCountry!BQ94)</f>
        <v>4</v>
      </c>
      <c r="D126" s="4">
        <f ca="1">IF(ISERROR(iCountry!BR94),0,iCountry!BR94)</f>
        <v>19</v>
      </c>
      <c r="E126" s="4">
        <f ca="1">IF(ISERROR(iCountry!BS94),0,iCountry!BS94)</f>
        <v>56</v>
      </c>
      <c r="F126" s="4">
        <f ca="1">IF(ISERROR(iCountry!BT94),0,iCountry!BT94)</f>
        <v>7</v>
      </c>
      <c r="G126" s="4"/>
      <c r="H126" s="4"/>
      <c r="I126" s="4"/>
      <c r="J126" s="4"/>
      <c r="K126" s="4"/>
      <c r="L126" s="351" t="str" cm="1">
        <f t="array" aca="1" ref="L126" ca="1">IF($B126=0,"",INDEX(auto_Series_NameNoNumber,$B126))</f>
        <v>Poverty: city-level data availability</v>
      </c>
      <c r="M126" s="345"/>
      <c r="N126" s="345"/>
      <c r="O126" s="345"/>
      <c r="P126" s="4"/>
      <c r="Q126" s="351" t="str" cm="1">
        <f t="array" aca="1" ref="Q126" ca="1">IF($C126=0,"",INDEX(auto_Series_NameNoNumber,$C126))</f>
        <v>Gini Index: national data</v>
      </c>
      <c r="R126" s="345"/>
      <c r="S126" s="345"/>
      <c r="T126" s="345"/>
      <c r="U126" s="4"/>
      <c r="V126" s="351" t="str" cm="1">
        <f t="array" aca="1" ref="V126" ca="1">IF($D126=0,"",INDEX(auto_Series_NameNoNumber,$D126))</f>
        <v>Food security: national data</v>
      </c>
      <c r="W126" s="345"/>
      <c r="X126" s="345"/>
      <c r="Y126" s="345"/>
      <c r="Z126" s="4"/>
      <c r="AA126" s="351" t="str" cm="1">
        <f t="array" aca="1" ref="AA126" ca="1">IF($E126=0,"",INDEX(auto_Series_NameNoNumber,$E126))</f>
        <v>Urban health plan: components</v>
      </c>
      <c r="AB126" s="345"/>
      <c r="AC126" s="345"/>
      <c r="AD126" s="345"/>
      <c r="AE126" s="4"/>
      <c r="AF126" s="351" t="str" cm="1">
        <f t="array" aca="1" ref="AF126" ca="1">IF($F126=0,"",INDEX(auto_Series_NameNoNumber,$F126))</f>
        <v>Level of education: national data</v>
      </c>
      <c r="AG126" s="345"/>
      <c r="AH126" s="345"/>
      <c r="AI126" s="345"/>
      <c r="AJ126" s="4"/>
      <c r="AK126" s="4"/>
      <c r="AL126" s="4"/>
    </row>
    <row r="127" spans="1:38" ht="24" customHeight="1" x14ac:dyDescent="0.4">
      <c r="A127" s="284" t="str">
        <f t="shared" ref="A127:A146" ca="1" si="0">IF(SUM(B127:G127)=0,"H","")</f>
        <v/>
      </c>
      <c r="B127" s="4">
        <f ca="1">IF(ISERROR(iCountry!BP95),0,iCountry!BP95)</f>
        <v>10</v>
      </c>
      <c r="C127" s="4">
        <f ca="1">IF(ISERROR(iCountry!BQ95),0,iCountry!BQ95)</f>
        <v>36</v>
      </c>
      <c r="D127" s="4">
        <f ca="1">IF(ISERROR(iCountry!BR95),0,iCountry!BR95)</f>
        <v>37</v>
      </c>
      <c r="E127" s="4">
        <f ca="1">IF(ISERROR(iCountry!BS95),0,iCountry!BS95)</f>
        <v>0</v>
      </c>
      <c r="F127" s="4">
        <f ca="1">IF(ISERROR(iCountry!BT95),0,iCountry!BT95)</f>
        <v>8</v>
      </c>
      <c r="G127" s="4"/>
      <c r="H127" s="4"/>
      <c r="I127" s="4"/>
      <c r="J127" s="4"/>
      <c r="K127" s="4"/>
      <c r="L127" s="351" t="str" cm="1">
        <f t="array" aca="1" ref="L127" ca="1">IF($B127=0,"",INDEX(auto_Series_NameNoNumber,$B127))</f>
        <v>Total unemployment: national data</v>
      </c>
      <c r="M127" s="345"/>
      <c r="N127" s="345"/>
      <c r="O127" s="345"/>
      <c r="P127" s="4"/>
      <c r="Q127" s="351" t="str" cm="1">
        <f t="array" aca="1" ref="Q127" ca="1">IF($C127=0,"",INDEX(auto_Series_NameNoNumber,$C127))</f>
        <v>Hypertension: national data</v>
      </c>
      <c r="R127" s="345"/>
      <c r="S127" s="345"/>
      <c r="T127" s="345"/>
      <c r="U127" s="4"/>
      <c r="V127" s="351" t="str" cm="1">
        <f t="array" aca="1" ref="V127" ca="1">IF($D127=0,"",INDEX(auto_Series_NameNoNumber,$D127))</f>
        <v>Hypertension surveillance: city-level data availability</v>
      </c>
      <c r="W127" s="345"/>
      <c r="X127" s="345"/>
      <c r="Y127" s="345"/>
      <c r="Z127" s="4"/>
      <c r="AA127" s="351" t="str" cm="1">
        <f t="array" aca="1" ref="AA127" ca="1">IF($E127=0,"",INDEX(auto_Series_NameNoNumber,$E127))</f>
        <v/>
      </c>
      <c r="AB127" s="345"/>
      <c r="AC127" s="345"/>
      <c r="AD127" s="345"/>
      <c r="AE127" s="4"/>
      <c r="AF127" s="351" t="str" cm="1">
        <f t="array" aca="1" ref="AF127" ca="1">IF($F127=0,"",INDEX(auto_Series_NameNoNumber,$F127))</f>
        <v>Level of education: city-level data availability</v>
      </c>
      <c r="AG127" s="345"/>
      <c r="AH127" s="345"/>
      <c r="AI127" s="345"/>
      <c r="AJ127" s="4"/>
      <c r="AK127" s="4"/>
      <c r="AL127" s="4"/>
    </row>
    <row r="128" spans="1:38" ht="24" customHeight="1" x14ac:dyDescent="0.4">
      <c r="A128" s="284" t="str">
        <f t="shared" ca="1" si="0"/>
        <v/>
      </c>
      <c r="B128" s="4">
        <f ca="1">IF(ISERROR(iCountry!BP96),0,iCountry!BP96)</f>
        <v>11</v>
      </c>
      <c r="C128" s="4">
        <f ca="1">IF(ISERROR(iCountry!BQ96),0,iCountry!BQ96)</f>
        <v>45</v>
      </c>
      <c r="D128" s="4">
        <f ca="1">IF(ISERROR(iCountry!BR96),0,iCountry!BR96)</f>
        <v>0</v>
      </c>
      <c r="E128" s="4">
        <f ca="1">IF(ISERROR(iCountry!BS96),0,iCountry!BS96)</f>
        <v>0</v>
      </c>
      <c r="F128" s="4">
        <f ca="1">IF(ISERROR(iCountry!BT96),0,iCountry!BT96)</f>
        <v>25</v>
      </c>
      <c r="G128" s="4"/>
      <c r="H128" s="4"/>
      <c r="I128" s="4"/>
      <c r="J128" s="4"/>
      <c r="K128" s="4"/>
      <c r="L128" s="351" t="str" cm="1">
        <f t="array" aca="1" ref="L128" ca="1">IF($B128=0,"",INDEX(auto_Series_NameNoNumber,$B128))</f>
        <v>Total unemployment: city-level data availability</v>
      </c>
      <c r="M128" s="345"/>
      <c r="N128" s="345"/>
      <c r="O128" s="345"/>
      <c r="P128" s="4"/>
      <c r="Q128" s="351" t="str" cm="1">
        <f t="array" aca="1" ref="Q128" ca="1">IF($C128=0,"",INDEX(auto_Series_NameNoNumber,$C128))</f>
        <v>Mean blood cholesterol: national data</v>
      </c>
      <c r="R128" s="345"/>
      <c r="S128" s="345"/>
      <c r="T128" s="345"/>
      <c r="U128" s="4"/>
      <c r="V128" s="351" t="str" cm="1">
        <f t="array" aca="1" ref="V128" ca="1">IF($D128=0,"",INDEX(auto_Series_NameNoNumber,$D128))</f>
        <v/>
      </c>
      <c r="W128" s="345"/>
      <c r="X128" s="345"/>
      <c r="Y128" s="345"/>
      <c r="Z128" s="4"/>
      <c r="AA128" s="351" t="str" cm="1">
        <f t="array" aca="1" ref="AA128" ca="1">IF($E128=0,"",INDEX(auto_Series_NameNoNumber,$E128))</f>
        <v/>
      </c>
      <c r="AB128" s="345"/>
      <c r="AC128" s="345"/>
      <c r="AD128" s="345"/>
      <c r="AE128" s="4"/>
      <c r="AF128" s="351" t="str" cm="1">
        <f t="array" aca="1" ref="AF128" ca="1">IF($F128=0,"",INDEX(auto_Series_NameNoNumber,$F128))</f>
        <v>Tobacco use: city-level data availability</v>
      </c>
      <c r="AG128" s="345"/>
      <c r="AH128" s="345"/>
      <c r="AI128" s="345"/>
      <c r="AJ128" s="4"/>
      <c r="AK128" s="4"/>
      <c r="AL128" s="4"/>
    </row>
    <row r="129" spans="1:38" ht="24" customHeight="1" x14ac:dyDescent="0.4">
      <c r="A129" s="284" t="str">
        <f t="shared" ca="1" si="0"/>
        <v/>
      </c>
      <c r="B129" s="4">
        <f ca="1">IF(ISERROR(iCountry!BP97),0,iCountry!BP97)</f>
        <v>20</v>
      </c>
      <c r="C129" s="4">
        <f ca="1">IF(ISERROR(iCountry!BQ97),0,iCountry!BQ97)</f>
        <v>0</v>
      </c>
      <c r="D129" s="4">
        <f ca="1">IF(ISERROR(iCountry!BR97),0,iCountry!BR97)</f>
        <v>0</v>
      </c>
      <c r="E129" s="4">
        <f ca="1">IF(ISERROR(iCountry!BS97),0,iCountry!BS97)</f>
        <v>0</v>
      </c>
      <c r="F129" s="4">
        <f ca="1">IF(ISERROR(iCountry!BT97),0,iCountry!BT97)</f>
        <v>27</v>
      </c>
      <c r="G129" s="4"/>
      <c r="H129" s="4"/>
      <c r="I129" s="4"/>
      <c r="J129" s="4"/>
      <c r="K129" s="4"/>
      <c r="L129" s="351" t="str" cm="1">
        <f t="array" aca="1" ref="L129" ca="1">IF($B129=0,"",INDEX(auto_Series_NameNoNumber,$B129))</f>
        <v>Food security: city-level data availability</v>
      </c>
      <c r="M129" s="345"/>
      <c r="N129" s="345"/>
      <c r="O129" s="345"/>
      <c r="P129" s="4"/>
      <c r="Q129" s="351" t="str" cm="1">
        <f t="array" aca="1" ref="Q129" ca="1">IF($C129=0,"",INDEX(auto_Series_NameNoNumber,$C129))</f>
        <v/>
      </c>
      <c r="R129" s="345"/>
      <c r="S129" s="345"/>
      <c r="T129" s="345"/>
      <c r="U129" s="4"/>
      <c r="V129" s="351" t="str" cm="1">
        <f t="array" aca="1" ref="V129" ca="1">IF($D129=0,"",INDEX(auto_Series_NameNoNumber,$D129))</f>
        <v/>
      </c>
      <c r="W129" s="345"/>
      <c r="X129" s="345"/>
      <c r="Y129" s="345"/>
      <c r="Z129" s="4"/>
      <c r="AA129" s="351" t="str" cm="1">
        <f t="array" aca="1" ref="AA129" ca="1">IF($E129=0,"",INDEX(auto_Series_NameNoNumber,$E129))</f>
        <v/>
      </c>
      <c r="AB129" s="345"/>
      <c r="AC129" s="345"/>
      <c r="AD129" s="345"/>
      <c r="AE129" s="4"/>
      <c r="AF129" s="351" t="str" cm="1">
        <f t="array" aca="1" ref="AF129" ca="1">IF($F129=0,"",INDEX(auto_Series_NameNoNumber,$F129))</f>
        <v>Vegetable consumption: national data</v>
      </c>
      <c r="AG129" s="345"/>
      <c r="AH129" s="345"/>
      <c r="AI129" s="345"/>
      <c r="AJ129" s="4"/>
      <c r="AK129" s="4"/>
      <c r="AL129" s="4"/>
    </row>
    <row r="130" spans="1:38" ht="24" customHeight="1" x14ac:dyDescent="0.4">
      <c r="A130" s="284" t="str">
        <f t="shared" ca="1" si="0"/>
        <v/>
      </c>
      <c r="B130" s="4">
        <f ca="1">IF(ISERROR(iCountry!BP98),0,iCountry!BP98)</f>
        <v>24</v>
      </c>
      <c r="C130" s="4">
        <f ca="1">IF(ISERROR(iCountry!BQ98),0,iCountry!BQ98)</f>
        <v>0</v>
      </c>
      <c r="D130" s="4">
        <f ca="1">IF(ISERROR(iCountry!BR98),0,iCountry!BR98)</f>
        <v>0</v>
      </c>
      <c r="E130" s="4">
        <f ca="1">IF(ISERROR(iCountry!BS98),0,iCountry!BS98)</f>
        <v>0</v>
      </c>
      <c r="F130" s="4">
        <f ca="1">IF(ISERROR(iCountry!BT98),0,iCountry!BT98)</f>
        <v>28</v>
      </c>
      <c r="G130" s="4"/>
      <c r="H130" s="4"/>
      <c r="I130" s="4"/>
      <c r="J130" s="4"/>
      <c r="K130" s="4"/>
      <c r="L130" s="351" t="str" cm="1">
        <f t="array" aca="1" ref="L130" ca="1">IF($B130=0,"",INDEX(auto_Series_NameNoNumber,$B130))</f>
        <v>Tobacco use: national data</v>
      </c>
      <c r="M130" s="345"/>
      <c r="N130" s="345"/>
      <c r="O130" s="345"/>
      <c r="P130" s="4"/>
      <c r="Q130" s="351" t="str" cm="1">
        <f t="array" aca="1" ref="Q130" ca="1">IF($C130=0,"",INDEX(auto_Series_NameNoNumber,$C130))</f>
        <v/>
      </c>
      <c r="R130" s="345"/>
      <c r="S130" s="345"/>
      <c r="T130" s="345"/>
      <c r="U130" s="4"/>
      <c r="V130" s="351" t="str" cm="1">
        <f t="array" aca="1" ref="V130" ca="1">IF($D130=0,"",INDEX(auto_Series_NameNoNumber,$D130))</f>
        <v/>
      </c>
      <c r="W130" s="345"/>
      <c r="X130" s="345"/>
      <c r="Y130" s="345"/>
      <c r="Z130" s="4"/>
      <c r="AA130" s="351" t="str" cm="1">
        <f t="array" aca="1" ref="AA130" ca="1">IF($E130=0,"",INDEX(auto_Series_NameNoNumber,$E130))</f>
        <v/>
      </c>
      <c r="AB130" s="345"/>
      <c r="AC130" s="345"/>
      <c r="AD130" s="345"/>
      <c r="AE130" s="4"/>
      <c r="AF130" s="351" t="str" cm="1">
        <f t="array" aca="1" ref="AF130" ca="1">IF($F130=0,"",INDEX(auto_Series_NameNoNumber,$F130))</f>
        <v>Vegetable consumption: city-level data availability</v>
      </c>
      <c r="AG130" s="345"/>
      <c r="AH130" s="345"/>
      <c r="AI130" s="345"/>
      <c r="AJ130" s="4"/>
      <c r="AK130" s="4"/>
      <c r="AL130" s="4"/>
    </row>
    <row r="131" spans="1:38" ht="24" customHeight="1" x14ac:dyDescent="0.4">
      <c r="A131" s="284" t="str">
        <f t="shared" ca="1" si="0"/>
        <v/>
      </c>
      <c r="B131" s="4">
        <f ca="1">IF(ISERROR(iCountry!BP99),0,iCountry!BP99)</f>
        <v>30</v>
      </c>
      <c r="C131" s="4">
        <f ca="1">IF(ISERROR(iCountry!BQ99),0,iCountry!BQ99)</f>
        <v>0</v>
      </c>
      <c r="D131" s="4">
        <f ca="1">IF(ISERROR(iCountry!BR99),0,iCountry!BR99)</f>
        <v>0</v>
      </c>
      <c r="E131" s="4">
        <f ca="1">IF(ISERROR(iCountry!BS99),0,iCountry!BS99)</f>
        <v>0</v>
      </c>
      <c r="F131" s="4">
        <f ca="1">IF(ISERROR(iCountry!BT99),0,iCountry!BT99)</f>
        <v>31</v>
      </c>
      <c r="G131" s="4"/>
      <c r="H131" s="4"/>
      <c r="I131" s="4"/>
      <c r="J131" s="4"/>
      <c r="K131" s="4"/>
      <c r="L131" s="351" t="str" cm="1">
        <f t="array" aca="1" ref="L131" ca="1">IF($B131=0,"",INDEX(auto_Series_NameNoNumber,$B131))</f>
        <v>Trans fats consumption: national data</v>
      </c>
      <c r="M131" s="345"/>
      <c r="N131" s="345"/>
      <c r="O131" s="345"/>
      <c r="P131" s="4"/>
      <c r="Q131" s="351" t="str" cm="1">
        <f t="array" aca="1" ref="Q131" ca="1">IF($C131=0,"",INDEX(auto_Series_NameNoNumber,$C131))</f>
        <v/>
      </c>
      <c r="R131" s="345"/>
      <c r="S131" s="345"/>
      <c r="T131" s="345"/>
      <c r="U131" s="4"/>
      <c r="V131" s="351" t="str" cm="1">
        <f t="array" aca="1" ref="V131" ca="1">IF($D131=0,"",INDEX(auto_Series_NameNoNumber,$D131))</f>
        <v/>
      </c>
      <c r="W131" s="345"/>
      <c r="X131" s="345"/>
      <c r="Y131" s="345"/>
      <c r="Z131" s="4"/>
      <c r="AA131" s="351" t="str" cm="1">
        <f t="array" aca="1" ref="AA131" ca="1">IF($E131=0,"",INDEX(auto_Series_NameNoNumber,$E131))</f>
        <v/>
      </c>
      <c r="AB131" s="345"/>
      <c r="AC131" s="345"/>
      <c r="AD131" s="345"/>
      <c r="AE131" s="4"/>
      <c r="AF131" s="351" t="str" cm="1">
        <f t="array" aca="1" ref="AF131" ca="1">IF($F131=0,"",INDEX(auto_Series_NameNoNumber,$F131))</f>
        <v>Trans fats consumption: city-level data availability</v>
      </c>
      <c r="AG131" s="345"/>
      <c r="AH131" s="345"/>
      <c r="AI131" s="345"/>
      <c r="AJ131" s="4"/>
      <c r="AK131" s="4"/>
      <c r="AL131" s="4"/>
    </row>
    <row r="132" spans="1:38" ht="24" customHeight="1" x14ac:dyDescent="0.4">
      <c r="A132" s="284" t="str">
        <f t="shared" ca="1" si="0"/>
        <v/>
      </c>
      <c r="B132" s="4">
        <f ca="1">IF(ISERROR(iCountry!BP100),0,iCountry!BP100)</f>
        <v>33</v>
      </c>
      <c r="C132" s="4">
        <f ca="1">IF(ISERROR(iCountry!BQ100),0,iCountry!BQ100)</f>
        <v>0</v>
      </c>
      <c r="D132" s="4">
        <f ca="1">IF(ISERROR(iCountry!BR100),0,iCountry!BR100)</f>
        <v>0</v>
      </c>
      <c r="E132" s="4">
        <f ca="1">IF(ISERROR(iCountry!BS100),0,iCountry!BS100)</f>
        <v>0</v>
      </c>
      <c r="F132" s="4">
        <f ca="1">IF(ISERROR(iCountry!BT100),0,iCountry!BT100)</f>
        <v>34</v>
      </c>
      <c r="G132" s="4"/>
      <c r="H132" s="4"/>
      <c r="I132" s="4"/>
      <c r="J132" s="4"/>
      <c r="K132" s="4"/>
      <c r="L132" s="351" t="str" cm="1">
        <f t="array" aca="1" ref="L132" ca="1">IF($B132=0,"",INDEX(auto_Series_NameNoNumber,$B132))</f>
        <v>Physical inactivity: national data</v>
      </c>
      <c r="M132" s="345"/>
      <c r="N132" s="345"/>
      <c r="O132" s="345"/>
      <c r="P132" s="4"/>
      <c r="Q132" s="351" t="str" cm="1">
        <f t="array" aca="1" ref="Q132" ca="1">IF($C132=0,"",INDEX(auto_Series_NameNoNumber,$C132))</f>
        <v/>
      </c>
      <c r="R132" s="345"/>
      <c r="S132" s="345"/>
      <c r="T132" s="345"/>
      <c r="U132" s="4"/>
      <c r="V132" s="351" t="str" cm="1">
        <f t="array" aca="1" ref="V132" ca="1">IF($D132=0,"",INDEX(auto_Series_NameNoNumber,$D132))</f>
        <v/>
      </c>
      <c r="W132" s="345"/>
      <c r="X132" s="345"/>
      <c r="Y132" s="345"/>
      <c r="Z132" s="4"/>
      <c r="AA132" s="351" t="str" cm="1">
        <f t="array" aca="1" ref="AA132" ca="1">IF($E132=0,"",INDEX(auto_Series_NameNoNumber,$E132))</f>
        <v/>
      </c>
      <c r="AB132" s="345"/>
      <c r="AC132" s="345"/>
      <c r="AD132" s="345"/>
      <c r="AE132" s="4"/>
      <c r="AF132" s="351" t="str" cm="1">
        <f t="array" aca="1" ref="AF132" ca="1">IF($F132=0,"",INDEX(auto_Series_NameNoNumber,$F132))</f>
        <v>Physical activity: city-level data availability</v>
      </c>
      <c r="AG132" s="345"/>
      <c r="AH132" s="345"/>
      <c r="AI132" s="345"/>
      <c r="AJ132" s="4"/>
      <c r="AK132" s="4"/>
      <c r="AL132" s="4"/>
    </row>
    <row r="133" spans="1:38" ht="24" customHeight="1" x14ac:dyDescent="0.4">
      <c r="A133" s="284" t="str">
        <f t="shared" ca="1" si="0"/>
        <v/>
      </c>
      <c r="B133" s="4">
        <f ca="1">IF(ISERROR(iCountry!BP101),0,iCountry!BP101)</f>
        <v>39</v>
      </c>
      <c r="C133" s="4">
        <f ca="1">IF(ISERROR(iCountry!BQ101),0,iCountry!BQ101)</f>
        <v>0</v>
      </c>
      <c r="D133" s="4">
        <f ca="1">IF(ISERROR(iCountry!BR101),0,iCountry!BR101)</f>
        <v>0</v>
      </c>
      <c r="E133" s="4">
        <f ca="1">IF(ISERROR(iCountry!BS101),0,iCountry!BS101)</f>
        <v>0</v>
      </c>
      <c r="F133" s="4">
        <f ca="1">IF(ISERROR(iCountry!BT101),0,iCountry!BT101)</f>
        <v>40</v>
      </c>
      <c r="G133" s="4"/>
      <c r="H133" s="4"/>
      <c r="I133" s="4"/>
      <c r="J133" s="4"/>
      <c r="K133" s="4"/>
      <c r="L133" s="351" t="str" cm="1">
        <f t="array" aca="1" ref="L133" ca="1">IF($B133=0,"",INDEX(auto_Series_NameNoNumber,$B133))</f>
        <v>Diabetes: national data</v>
      </c>
      <c r="M133" s="345"/>
      <c r="N133" s="345"/>
      <c r="O133" s="345"/>
      <c r="P133" s="4"/>
      <c r="Q133" s="351" t="str" cm="1">
        <f t="array" aca="1" ref="Q133" ca="1">IF($C133=0,"",INDEX(auto_Series_NameNoNumber,$C133))</f>
        <v/>
      </c>
      <c r="R133" s="345"/>
      <c r="S133" s="345"/>
      <c r="T133" s="345"/>
      <c r="U133" s="4"/>
      <c r="V133" s="351" t="str" cm="1">
        <f t="array" aca="1" ref="V133" ca="1">IF($D133=0,"",INDEX(auto_Series_NameNoNumber,$D133))</f>
        <v/>
      </c>
      <c r="W133" s="345"/>
      <c r="X133" s="345"/>
      <c r="Y133" s="345"/>
      <c r="Z133" s="4"/>
      <c r="AA133" s="351" t="str" cm="1">
        <f t="array" aca="1" ref="AA133" ca="1">IF($E133=0,"",INDEX(auto_Series_NameNoNumber,$E133))</f>
        <v/>
      </c>
      <c r="AB133" s="345"/>
      <c r="AC133" s="345"/>
      <c r="AD133" s="345"/>
      <c r="AE133" s="4"/>
      <c r="AF133" s="351" t="str" cm="1">
        <f t="array" aca="1" ref="AF133" ca="1">IF($F133=0,"",INDEX(auto_Series_NameNoNumber,$F133))</f>
        <v>Diabetes: city-level data availability</v>
      </c>
      <c r="AG133" s="345"/>
      <c r="AH133" s="345"/>
      <c r="AI133" s="345"/>
      <c r="AJ133" s="4"/>
      <c r="AK133" s="4"/>
      <c r="AL133" s="4"/>
    </row>
    <row r="134" spans="1:38" ht="24" customHeight="1" x14ac:dyDescent="0.4">
      <c r="A134" s="284" t="str">
        <f t="shared" ca="1" si="0"/>
        <v/>
      </c>
      <c r="B134" s="4">
        <f ca="1">IF(ISERROR(iCountry!BP102),0,iCountry!BP102)</f>
        <v>42</v>
      </c>
      <c r="C134" s="4">
        <f ca="1">IF(ISERROR(iCountry!BQ102),0,iCountry!BQ102)</f>
        <v>0</v>
      </c>
      <c r="D134" s="4">
        <f ca="1">IF(ISERROR(iCountry!BR102),0,iCountry!BR102)</f>
        <v>0</v>
      </c>
      <c r="E134" s="4">
        <f ca="1">IF(ISERROR(iCountry!BS102),0,iCountry!BS102)</f>
        <v>0</v>
      </c>
      <c r="F134" s="4">
        <f ca="1">IF(ISERROR(iCountry!BT102),0,iCountry!BT102)</f>
        <v>46</v>
      </c>
      <c r="G134" s="4"/>
      <c r="H134" s="4"/>
      <c r="I134" s="4"/>
      <c r="J134" s="4"/>
      <c r="K134" s="4"/>
      <c r="L134" s="351" t="str" cm="1">
        <f t="array" aca="1" ref="L134" ca="1">IF($B134=0,"",INDEX(auto_Series_NameNoNumber,$B134))</f>
        <v>Obesity: national data</v>
      </c>
      <c r="M134" s="345"/>
      <c r="N134" s="345"/>
      <c r="O134" s="345"/>
      <c r="P134" s="4"/>
      <c r="Q134" s="351" t="str" cm="1">
        <f t="array" aca="1" ref="Q134" ca="1">IF($C134=0,"",INDEX(auto_Series_NameNoNumber,$C134))</f>
        <v/>
      </c>
      <c r="R134" s="345"/>
      <c r="S134" s="345"/>
      <c r="T134" s="345"/>
      <c r="U134" s="4"/>
      <c r="V134" s="351" t="str" cm="1">
        <f t="array" aca="1" ref="V134" ca="1">IF($D134=0,"",INDEX(auto_Series_NameNoNumber,$D134))</f>
        <v/>
      </c>
      <c r="W134" s="345"/>
      <c r="X134" s="345"/>
      <c r="Y134" s="345"/>
      <c r="Z134" s="4"/>
      <c r="AA134" s="351" t="str" cm="1">
        <f t="array" aca="1" ref="AA134" ca="1">IF($E134=0,"",INDEX(auto_Series_NameNoNumber,$E134))</f>
        <v/>
      </c>
      <c r="AB134" s="345"/>
      <c r="AC134" s="345"/>
      <c r="AD134" s="345"/>
      <c r="AE134" s="4"/>
      <c r="AF134" s="351" t="str" cm="1">
        <f t="array" aca="1" ref="AF134" ca="1">IF($F134=0,"",INDEX(auto_Series_NameNoNumber,$F134))</f>
        <v>Cholesterol: city-level data availability</v>
      </c>
      <c r="AG134" s="345"/>
      <c r="AH134" s="345"/>
      <c r="AI134" s="345"/>
      <c r="AJ134" s="4"/>
      <c r="AK134" s="4"/>
      <c r="AL134" s="4"/>
    </row>
    <row r="135" spans="1:38" ht="24" customHeight="1" x14ac:dyDescent="0.4">
      <c r="A135" s="284" t="str">
        <f t="shared" ca="1" si="0"/>
        <v/>
      </c>
      <c r="B135" s="4">
        <f ca="1">IF(ISERROR(iCountry!BP103),0,iCountry!BP103)</f>
        <v>43</v>
      </c>
      <c r="C135" s="4">
        <f ca="1">IF(ISERROR(iCountry!BQ103),0,iCountry!BQ103)</f>
        <v>0</v>
      </c>
      <c r="D135" s="4">
        <f ca="1">IF(ISERROR(iCountry!BR103),0,iCountry!BR103)</f>
        <v>0</v>
      </c>
      <c r="E135" s="4">
        <f ca="1">IF(ISERROR(iCountry!BS103),0,iCountry!BS103)</f>
        <v>0</v>
      </c>
      <c r="F135" s="4">
        <f ca="1">IF(ISERROR(iCountry!BT103),0,iCountry!BT103)</f>
        <v>0</v>
      </c>
      <c r="G135" s="4"/>
      <c r="H135" s="4"/>
      <c r="I135" s="4"/>
      <c r="J135" s="4"/>
      <c r="K135" s="4"/>
      <c r="L135" s="351" t="str" cm="1">
        <f t="array" aca="1" ref="L135" ca="1">IF($B135=0,"",INDEX(auto_Series_NameNoNumber,$B135))</f>
        <v>Obesity: city-level data availability</v>
      </c>
      <c r="M135" s="345"/>
      <c r="N135" s="345"/>
      <c r="O135" s="345"/>
      <c r="P135" s="4"/>
      <c r="Q135" s="351" t="str" cm="1">
        <f t="array" aca="1" ref="Q135" ca="1">IF($C135=0,"",INDEX(auto_Series_NameNoNumber,$C135))</f>
        <v/>
      </c>
      <c r="R135" s="345"/>
      <c r="S135" s="345"/>
      <c r="T135" s="345"/>
      <c r="U135" s="4"/>
      <c r="V135" s="351" t="str" cm="1">
        <f t="array" aca="1" ref="V135" ca="1">IF($D135=0,"",INDEX(auto_Series_NameNoNumber,$D135))</f>
        <v/>
      </c>
      <c r="W135" s="345"/>
      <c r="X135" s="345"/>
      <c r="Y135" s="345"/>
      <c r="Z135" s="4"/>
      <c r="AA135" s="351" t="str" cm="1">
        <f t="array" aca="1" ref="AA135" ca="1">IF($E135=0,"",INDEX(auto_Series_NameNoNumber,$E135))</f>
        <v/>
      </c>
      <c r="AB135" s="345"/>
      <c r="AC135" s="345"/>
      <c r="AD135" s="345"/>
      <c r="AE135" s="4"/>
      <c r="AF135" s="351" t="str" cm="1">
        <f t="array" aca="1" ref="AF135" ca="1">IF($F135=0,"",INDEX(auto_Series_NameNoNumber,$F135))</f>
        <v/>
      </c>
      <c r="AG135" s="345"/>
      <c r="AH135" s="345"/>
      <c r="AI135" s="345"/>
      <c r="AJ135" s="4"/>
      <c r="AK135" s="4"/>
      <c r="AL135" s="4"/>
    </row>
    <row r="136" spans="1:38" ht="24" customHeight="1" x14ac:dyDescent="0.4">
      <c r="A136" s="284" t="str">
        <f t="shared" ca="1" si="0"/>
        <v/>
      </c>
      <c r="B136" s="4">
        <f ca="1">IF(ISERROR(iCountry!BP104),0,iCountry!BP104)</f>
        <v>57</v>
      </c>
      <c r="C136" s="4">
        <f ca="1">IF(ISERROR(iCountry!BQ104),0,iCountry!BQ104)</f>
        <v>0</v>
      </c>
      <c r="D136" s="4">
        <f ca="1">IF(ISERROR(iCountry!BR104),0,iCountry!BR104)</f>
        <v>0</v>
      </c>
      <c r="E136" s="4">
        <f ca="1">IF(ISERROR(iCountry!BS104),0,iCountry!BS104)</f>
        <v>0</v>
      </c>
      <c r="F136" s="4">
        <f ca="1">IF(ISERROR(iCountry!BT104),0,iCountry!BT104)</f>
        <v>0</v>
      </c>
      <c r="G136" s="4"/>
      <c r="H136" s="4"/>
      <c r="I136" s="4"/>
      <c r="J136" s="4"/>
      <c r="K136" s="4"/>
      <c r="L136" s="351" t="str" cm="1">
        <f t="array" aca="1" ref="L136" ca="1">IF($B136=0,"",INDEX(auto_Series_NameNoNumber,$B136))</f>
        <v>Urban health plan: stakeholder engagement</v>
      </c>
      <c r="M136" s="345"/>
      <c r="N136" s="345"/>
      <c r="O136" s="345"/>
      <c r="P136" s="4"/>
      <c r="Q136" s="351" t="str" cm="1">
        <f t="array" aca="1" ref="Q136" ca="1">IF($C136=0,"",INDEX(auto_Series_NameNoNumber,$C136))</f>
        <v/>
      </c>
      <c r="R136" s="345"/>
      <c r="S136" s="345"/>
      <c r="T136" s="345"/>
      <c r="U136" s="4"/>
      <c r="V136" s="351" t="str" cm="1">
        <f t="array" aca="1" ref="V136" ca="1">IF($D136=0,"",INDEX(auto_Series_NameNoNumber,$D136))</f>
        <v/>
      </c>
      <c r="W136" s="345"/>
      <c r="X136" s="345"/>
      <c r="Y136" s="345"/>
      <c r="Z136" s="4"/>
      <c r="AA136" s="351" t="str" cm="1">
        <f t="array" aca="1" ref="AA136" ca="1">IF($E136=0,"",INDEX(auto_Series_NameNoNumber,$E136))</f>
        <v/>
      </c>
      <c r="AB136" s="345"/>
      <c r="AC136" s="345"/>
      <c r="AD136" s="345"/>
      <c r="AE136" s="4"/>
      <c r="AF136" s="351" t="str" cm="1">
        <f t="array" aca="1" ref="AF136" ca="1">IF($F136=0,"",INDEX(auto_Series_NameNoNumber,$F136))</f>
        <v/>
      </c>
      <c r="AG136" s="345"/>
      <c r="AH136" s="345"/>
      <c r="AI136" s="345"/>
      <c r="AJ136" s="4"/>
      <c r="AK136" s="4"/>
      <c r="AL136" s="4"/>
    </row>
    <row r="137" spans="1:38" ht="24" customHeight="1" x14ac:dyDescent="0.4">
      <c r="A137" s="284" t="str">
        <f t="shared" ca="1" si="0"/>
        <v>H</v>
      </c>
      <c r="B137" s="4">
        <f ca="1">IF(ISERROR(iCountry!BP105),0,iCountry!BP105)</f>
        <v>0</v>
      </c>
      <c r="C137" s="4">
        <f ca="1">IF(ISERROR(iCountry!BQ105),0,iCountry!BQ105)</f>
        <v>0</v>
      </c>
      <c r="D137" s="4">
        <f ca="1">IF(ISERROR(iCountry!BR105),0,iCountry!BR105)</f>
        <v>0</v>
      </c>
      <c r="E137" s="4">
        <f ca="1">IF(ISERROR(iCountry!BS105),0,iCountry!BS105)</f>
        <v>0</v>
      </c>
      <c r="F137" s="4">
        <f ca="1">IF(ISERROR(iCountry!BT105),0,iCountry!BT105)</f>
        <v>0</v>
      </c>
      <c r="G137" s="4"/>
      <c r="H137" s="4"/>
      <c r="I137" s="4"/>
      <c r="J137" s="4"/>
      <c r="K137" s="4"/>
      <c r="L137" s="351" t="str" cm="1">
        <f t="array" aca="1" ref="L137" ca="1">IF($B137=0,"",INDEX(auto_Series_NameNoNumber,$B137))</f>
        <v/>
      </c>
      <c r="M137" s="345"/>
      <c r="N137" s="345"/>
      <c r="O137" s="345"/>
      <c r="P137" s="4"/>
      <c r="Q137" s="351" t="str" cm="1">
        <f t="array" aca="1" ref="Q137" ca="1">IF($C137=0,"",INDEX(auto_Series_NameNoNumber,$C137))</f>
        <v/>
      </c>
      <c r="R137" s="345"/>
      <c r="S137" s="345"/>
      <c r="T137" s="345"/>
      <c r="U137" s="4"/>
      <c r="V137" s="351" t="str" cm="1">
        <f t="array" aca="1" ref="V137" ca="1">IF($D137=0,"",INDEX(auto_Series_NameNoNumber,$D137))</f>
        <v/>
      </c>
      <c r="W137" s="345"/>
      <c r="X137" s="345"/>
      <c r="Y137" s="345"/>
      <c r="Z137" s="4"/>
      <c r="AA137" s="351" t="str" cm="1">
        <f t="array" aca="1" ref="AA137" ca="1">IF($E137=0,"",INDEX(auto_Series_NameNoNumber,$E137))</f>
        <v/>
      </c>
      <c r="AB137" s="345"/>
      <c r="AC137" s="345"/>
      <c r="AD137" s="345"/>
      <c r="AE137" s="4"/>
      <c r="AF137" s="351" t="str" cm="1">
        <f t="array" aca="1" ref="AF137" ca="1">IF($F137=0,"",INDEX(auto_Series_NameNoNumber,$F137))</f>
        <v/>
      </c>
      <c r="AG137" s="345"/>
      <c r="AH137" s="345"/>
      <c r="AI137" s="345"/>
      <c r="AJ137" s="4"/>
      <c r="AK137" s="4"/>
      <c r="AL137" s="4"/>
    </row>
    <row r="138" spans="1:38" ht="24" customHeight="1" x14ac:dyDescent="0.4">
      <c r="A138" s="284" t="str">
        <f t="shared" ca="1" si="0"/>
        <v>H</v>
      </c>
      <c r="B138" s="4">
        <f ca="1">IF(ISERROR(iCountry!BP106),0,iCountry!BP106)</f>
        <v>0</v>
      </c>
      <c r="C138" s="4">
        <f ca="1">IF(ISERROR(iCountry!BQ106),0,iCountry!BQ106)</f>
        <v>0</v>
      </c>
      <c r="D138" s="4">
        <f ca="1">IF(ISERROR(iCountry!BR106),0,iCountry!BR106)</f>
        <v>0</v>
      </c>
      <c r="E138" s="4">
        <f ca="1">IF(ISERROR(iCountry!BS106),0,iCountry!BS106)</f>
        <v>0</v>
      </c>
      <c r="F138" s="4">
        <f ca="1">IF(ISERROR(iCountry!BT106),0,iCountry!BT106)</f>
        <v>0</v>
      </c>
      <c r="G138" s="4"/>
      <c r="H138" s="4"/>
      <c r="I138" s="4"/>
      <c r="J138" s="4"/>
      <c r="K138" s="4"/>
      <c r="L138" s="351" t="str" cm="1">
        <f t="array" aca="1" ref="L138" ca="1">IF($B138=0,"",INDEX(auto_Series_NameNoNumber,$B138))</f>
        <v/>
      </c>
      <c r="M138" s="345"/>
      <c r="N138" s="345"/>
      <c r="O138" s="345"/>
      <c r="P138" s="4"/>
      <c r="Q138" s="351" t="str" cm="1">
        <f t="array" aca="1" ref="Q138" ca="1">IF($C138=0,"",INDEX(auto_Series_NameNoNumber,$C138))</f>
        <v/>
      </c>
      <c r="R138" s="345"/>
      <c r="S138" s="345"/>
      <c r="T138" s="345"/>
      <c r="U138" s="4"/>
      <c r="V138" s="351" t="str" cm="1">
        <f t="array" aca="1" ref="V138" ca="1">IF($D138=0,"",INDEX(auto_Series_NameNoNumber,$D138))</f>
        <v/>
      </c>
      <c r="W138" s="345"/>
      <c r="X138" s="345"/>
      <c r="Y138" s="345"/>
      <c r="Z138" s="4"/>
      <c r="AA138" s="351" t="str" cm="1">
        <f t="array" aca="1" ref="AA138" ca="1">IF($E138=0,"",INDEX(auto_Series_NameNoNumber,$E138))</f>
        <v/>
      </c>
      <c r="AB138" s="345"/>
      <c r="AC138" s="345"/>
      <c r="AD138" s="345"/>
      <c r="AE138" s="4"/>
      <c r="AF138" s="351" t="str" cm="1">
        <f t="array" aca="1" ref="AF138" ca="1">IF($F138=0,"",INDEX(auto_Series_NameNoNumber,$F138))</f>
        <v/>
      </c>
      <c r="AG138" s="345"/>
      <c r="AH138" s="345"/>
      <c r="AI138" s="345"/>
      <c r="AJ138" s="4"/>
      <c r="AK138" s="4"/>
      <c r="AL138" s="4"/>
    </row>
    <row r="139" spans="1:38" ht="24" customHeight="1" x14ac:dyDescent="0.4">
      <c r="A139" s="284" t="str">
        <f t="shared" ca="1" si="0"/>
        <v>H</v>
      </c>
      <c r="B139" s="4">
        <f ca="1">IF(ISERROR(iCountry!BP107),0,iCountry!BP107)</f>
        <v>0</v>
      </c>
      <c r="C139" s="4">
        <f ca="1">IF(ISERROR(iCountry!BQ107),0,iCountry!BQ107)</f>
        <v>0</v>
      </c>
      <c r="D139" s="4">
        <f ca="1">IF(ISERROR(iCountry!BR107),0,iCountry!BR107)</f>
        <v>0</v>
      </c>
      <c r="E139" s="4">
        <f ca="1">IF(ISERROR(iCountry!BS107),0,iCountry!BS107)</f>
        <v>0</v>
      </c>
      <c r="F139" s="4">
        <f ca="1">IF(ISERROR(iCountry!BT107),0,iCountry!BT107)</f>
        <v>0</v>
      </c>
      <c r="G139" s="4"/>
      <c r="H139" s="4"/>
      <c r="I139" s="4"/>
      <c r="J139" s="4"/>
      <c r="K139" s="4"/>
      <c r="L139" s="351" t="str" cm="1">
        <f t="array" aca="1" ref="L139" ca="1">IF($B139=0,"",INDEX(auto_Series_NameNoNumber,$B139))</f>
        <v/>
      </c>
      <c r="M139" s="345"/>
      <c r="N139" s="345"/>
      <c r="O139" s="345"/>
      <c r="P139" s="4"/>
      <c r="Q139" s="351" t="str" cm="1">
        <f t="array" aca="1" ref="Q139" ca="1">IF($C139=0,"",INDEX(auto_Series_NameNoNumber,$C139))</f>
        <v/>
      </c>
      <c r="R139" s="345"/>
      <c r="S139" s="345"/>
      <c r="T139" s="345"/>
      <c r="U139" s="4"/>
      <c r="V139" s="351" t="str" cm="1">
        <f t="array" aca="1" ref="V139" ca="1">IF($D139=0,"",INDEX(auto_Series_NameNoNumber,$D139))</f>
        <v/>
      </c>
      <c r="W139" s="345"/>
      <c r="X139" s="345"/>
      <c r="Y139" s="345"/>
      <c r="Z139" s="4"/>
      <c r="AA139" s="351" t="str" cm="1">
        <f t="array" aca="1" ref="AA139" ca="1">IF($E139=0,"",INDEX(auto_Series_NameNoNumber,$E139))</f>
        <v/>
      </c>
      <c r="AB139" s="345"/>
      <c r="AC139" s="345"/>
      <c r="AD139" s="345"/>
      <c r="AE139" s="4"/>
      <c r="AF139" s="351" t="str" cm="1">
        <f t="array" aca="1" ref="AF139" ca="1">IF($F139=0,"",INDEX(auto_Series_NameNoNumber,$F139))</f>
        <v/>
      </c>
      <c r="AG139" s="345"/>
      <c r="AH139" s="345"/>
      <c r="AI139" s="345"/>
      <c r="AJ139" s="4"/>
      <c r="AK139" s="4"/>
      <c r="AL139" s="4"/>
    </row>
    <row r="140" spans="1:38" ht="24" customHeight="1" x14ac:dyDescent="0.4">
      <c r="A140" s="284" t="str">
        <f t="shared" ca="1" si="0"/>
        <v>H</v>
      </c>
      <c r="B140" s="4">
        <f ca="1">IF(ISERROR(iCountry!BP108),0,iCountry!BP108)</f>
        <v>0</v>
      </c>
      <c r="C140" s="4">
        <f ca="1">IF(ISERROR(iCountry!BQ108),0,iCountry!BQ108)</f>
        <v>0</v>
      </c>
      <c r="D140" s="4">
        <f ca="1">IF(ISERROR(iCountry!BR108),0,iCountry!BR108)</f>
        <v>0</v>
      </c>
      <c r="E140" s="4">
        <f ca="1">IF(ISERROR(iCountry!BS108),0,iCountry!BS108)</f>
        <v>0</v>
      </c>
      <c r="F140" s="4">
        <f ca="1">IF(ISERROR(iCountry!BT108),0,iCountry!BT108)</f>
        <v>0</v>
      </c>
      <c r="G140" s="4"/>
      <c r="H140" s="4"/>
      <c r="I140" s="4"/>
      <c r="J140" s="4"/>
      <c r="K140" s="4"/>
      <c r="L140" s="351" t="str" cm="1">
        <f t="array" aca="1" ref="L140" ca="1">IF($B140=0,"",INDEX(auto_Series_NameNoNumber,$B140))</f>
        <v/>
      </c>
      <c r="M140" s="345"/>
      <c r="N140" s="345"/>
      <c r="O140" s="345"/>
      <c r="P140" s="4"/>
      <c r="Q140" s="351" t="str" cm="1">
        <f t="array" aca="1" ref="Q140" ca="1">IF($C140=0,"",INDEX(auto_Series_NameNoNumber,$C140))</f>
        <v/>
      </c>
      <c r="R140" s="345"/>
      <c r="S140" s="345"/>
      <c r="T140" s="345"/>
      <c r="U140" s="4"/>
      <c r="V140" s="351" t="str" cm="1">
        <f t="array" aca="1" ref="V140" ca="1">IF($D140=0,"",INDEX(auto_Series_NameNoNumber,$D140))</f>
        <v/>
      </c>
      <c r="W140" s="345"/>
      <c r="X140" s="345"/>
      <c r="Y140" s="345"/>
      <c r="Z140" s="4"/>
      <c r="AA140" s="351" t="str" cm="1">
        <f t="array" aca="1" ref="AA140" ca="1">IF($E140=0,"",INDEX(auto_Series_NameNoNumber,$E140))</f>
        <v/>
      </c>
      <c r="AB140" s="345"/>
      <c r="AC140" s="345"/>
      <c r="AD140" s="345"/>
      <c r="AE140" s="4"/>
      <c r="AF140" s="351" t="str" cm="1">
        <f t="array" aca="1" ref="AF140" ca="1">IF($F140=0,"",INDEX(auto_Series_NameNoNumber,$F140))</f>
        <v/>
      </c>
      <c r="AG140" s="345"/>
      <c r="AH140" s="345"/>
      <c r="AI140" s="345"/>
      <c r="AJ140" s="4"/>
      <c r="AK140" s="4"/>
      <c r="AL140" s="4"/>
    </row>
    <row r="141" spans="1:38" ht="24" customHeight="1" x14ac:dyDescent="0.4">
      <c r="A141" s="284" t="str">
        <f t="shared" ca="1" si="0"/>
        <v>H</v>
      </c>
      <c r="B141" s="4">
        <f ca="1">IF(ISERROR(iCountry!BP109),0,iCountry!BP109)</f>
        <v>0</v>
      </c>
      <c r="C141" s="4">
        <f ca="1">IF(ISERROR(iCountry!BQ109),0,iCountry!BQ109)</f>
        <v>0</v>
      </c>
      <c r="D141" s="4">
        <f ca="1">IF(ISERROR(iCountry!BR109),0,iCountry!BR109)</f>
        <v>0</v>
      </c>
      <c r="E141" s="4">
        <f ca="1">IF(ISERROR(iCountry!BS109),0,iCountry!BS109)</f>
        <v>0</v>
      </c>
      <c r="F141" s="4">
        <f ca="1">IF(ISERROR(iCountry!BT109),0,iCountry!BT109)</f>
        <v>0</v>
      </c>
      <c r="G141" s="4"/>
      <c r="H141" s="4"/>
      <c r="I141" s="4"/>
      <c r="J141" s="4"/>
      <c r="K141" s="4"/>
      <c r="L141" s="351" t="str" cm="1">
        <f t="array" aca="1" ref="L141" ca="1">IF($B141=0,"",INDEX(auto_Series_NameNoNumber,$B141))</f>
        <v/>
      </c>
      <c r="M141" s="345"/>
      <c r="N141" s="345"/>
      <c r="O141" s="345"/>
      <c r="P141" s="4"/>
      <c r="Q141" s="351" t="str" cm="1">
        <f t="array" aca="1" ref="Q141" ca="1">IF($C141=0,"",INDEX(auto_Series_NameNoNumber,$C141))</f>
        <v/>
      </c>
      <c r="R141" s="345"/>
      <c r="S141" s="345"/>
      <c r="T141" s="345"/>
      <c r="U141" s="4"/>
      <c r="V141" s="351" t="str" cm="1">
        <f t="array" aca="1" ref="V141" ca="1">IF($D141=0,"",INDEX(auto_Series_NameNoNumber,$D141))</f>
        <v/>
      </c>
      <c r="W141" s="345"/>
      <c r="X141" s="345"/>
      <c r="Y141" s="345"/>
      <c r="Z141" s="4"/>
      <c r="AA141" s="351" t="str" cm="1">
        <f t="array" aca="1" ref="AA141" ca="1">IF($E141=0,"",INDEX(auto_Series_NameNoNumber,$E141))</f>
        <v/>
      </c>
      <c r="AB141" s="345"/>
      <c r="AC141" s="345"/>
      <c r="AD141" s="345"/>
      <c r="AE141" s="4"/>
      <c r="AF141" s="351" t="str" cm="1">
        <f t="array" aca="1" ref="AF141" ca="1">IF($F141=0,"",INDEX(auto_Series_NameNoNumber,$F141))</f>
        <v/>
      </c>
      <c r="AG141" s="345"/>
      <c r="AH141" s="345"/>
      <c r="AI141" s="345"/>
      <c r="AJ141" s="4"/>
      <c r="AK141" s="4"/>
      <c r="AL141" s="4"/>
    </row>
    <row r="142" spans="1:38" ht="24" customHeight="1" x14ac:dyDescent="0.4">
      <c r="A142" s="284" t="str">
        <f t="shared" ca="1" si="0"/>
        <v>H</v>
      </c>
      <c r="B142" s="4">
        <f ca="1">IF(ISERROR(iCountry!BP110),0,iCountry!BP110)</f>
        <v>0</v>
      </c>
      <c r="C142" s="4">
        <f ca="1">IF(ISERROR(iCountry!BQ110),0,iCountry!BQ110)</f>
        <v>0</v>
      </c>
      <c r="D142" s="4">
        <f ca="1">IF(ISERROR(iCountry!BR110),0,iCountry!BR110)</f>
        <v>0</v>
      </c>
      <c r="E142" s="4">
        <f ca="1">IF(ISERROR(iCountry!BS110),0,iCountry!BS110)</f>
        <v>0</v>
      </c>
      <c r="F142" s="4">
        <f ca="1">IF(ISERROR(iCountry!BT110),0,iCountry!BT110)</f>
        <v>0</v>
      </c>
      <c r="G142" s="4"/>
      <c r="H142" s="4"/>
      <c r="I142" s="4"/>
      <c r="J142" s="4"/>
      <c r="K142" s="4"/>
      <c r="L142" s="351" t="str" cm="1">
        <f t="array" aca="1" ref="L142" ca="1">IF($B142=0,"",INDEX(auto_Series_NameNoNumber,$B142))</f>
        <v/>
      </c>
      <c r="M142" s="345"/>
      <c r="N142" s="345"/>
      <c r="O142" s="345"/>
      <c r="P142" s="4"/>
      <c r="Q142" s="351" t="str" cm="1">
        <f t="array" aca="1" ref="Q142" ca="1">IF($C142=0,"",INDEX(auto_Series_NameNoNumber,$C142))</f>
        <v/>
      </c>
      <c r="R142" s="345"/>
      <c r="S142" s="345"/>
      <c r="T142" s="345"/>
      <c r="U142" s="4"/>
      <c r="V142" s="351" t="str" cm="1">
        <f t="array" aca="1" ref="V142" ca="1">IF($D142=0,"",INDEX(auto_Series_NameNoNumber,$D142))</f>
        <v/>
      </c>
      <c r="W142" s="345"/>
      <c r="X142" s="345"/>
      <c r="Y142" s="345"/>
      <c r="Z142" s="4"/>
      <c r="AA142" s="351" t="str" cm="1">
        <f t="array" aca="1" ref="AA142" ca="1">IF($E142=0,"",INDEX(auto_Series_NameNoNumber,$E142))</f>
        <v/>
      </c>
      <c r="AB142" s="345"/>
      <c r="AC142" s="345"/>
      <c r="AD142" s="345"/>
      <c r="AE142" s="4"/>
      <c r="AF142" s="351" t="str" cm="1">
        <f t="array" aca="1" ref="AF142" ca="1">IF($F142=0,"",INDEX(auto_Series_NameNoNumber,$F142))</f>
        <v/>
      </c>
      <c r="AG142" s="345"/>
      <c r="AH142" s="345"/>
      <c r="AI142" s="345"/>
      <c r="AJ142" s="4"/>
      <c r="AK142" s="4"/>
      <c r="AL142" s="4"/>
    </row>
    <row r="143" spans="1:38" ht="24" customHeight="1" x14ac:dyDescent="0.4">
      <c r="A143" s="284" t="str">
        <f t="shared" ca="1" si="0"/>
        <v>H</v>
      </c>
      <c r="B143" s="4">
        <f ca="1">IF(ISERROR(iCountry!BP111),0,iCountry!BP111)</f>
        <v>0</v>
      </c>
      <c r="C143" s="4">
        <f ca="1">IF(ISERROR(iCountry!BQ111),0,iCountry!BQ111)</f>
        <v>0</v>
      </c>
      <c r="D143" s="4">
        <f ca="1">IF(ISERROR(iCountry!BR111),0,iCountry!BR111)</f>
        <v>0</v>
      </c>
      <c r="E143" s="4">
        <f ca="1">IF(ISERROR(iCountry!BS111),0,iCountry!BS111)</f>
        <v>0</v>
      </c>
      <c r="F143" s="4">
        <f ca="1">IF(ISERROR(iCountry!BT111),0,iCountry!BT111)</f>
        <v>0</v>
      </c>
      <c r="G143" s="4"/>
      <c r="H143" s="4"/>
      <c r="I143" s="4"/>
      <c r="J143" s="4"/>
      <c r="K143" s="4"/>
      <c r="L143" s="351" t="str" cm="1">
        <f t="array" aca="1" ref="L143" ca="1">IF($B143=0,"",INDEX(auto_Series_NameNoNumber,$B143))</f>
        <v/>
      </c>
      <c r="M143" s="345"/>
      <c r="N143" s="345"/>
      <c r="O143" s="345"/>
      <c r="P143" s="4"/>
      <c r="Q143" s="351" t="str" cm="1">
        <f t="array" aca="1" ref="Q143" ca="1">IF($C143=0,"",INDEX(auto_Series_NameNoNumber,$C143))</f>
        <v/>
      </c>
      <c r="R143" s="345"/>
      <c r="S143" s="345"/>
      <c r="T143" s="345"/>
      <c r="U143" s="4"/>
      <c r="V143" s="351" t="str" cm="1">
        <f t="array" aca="1" ref="V143" ca="1">IF($D143=0,"",INDEX(auto_Series_NameNoNumber,$D143))</f>
        <v/>
      </c>
      <c r="W143" s="345"/>
      <c r="X143" s="345"/>
      <c r="Y143" s="345"/>
      <c r="Z143" s="4"/>
      <c r="AA143" s="351" t="str" cm="1">
        <f t="array" aca="1" ref="AA143" ca="1">IF($E143=0,"",INDEX(auto_Series_NameNoNumber,$E143))</f>
        <v/>
      </c>
      <c r="AB143" s="345"/>
      <c r="AC143" s="345"/>
      <c r="AD143" s="345"/>
      <c r="AE143" s="4"/>
      <c r="AF143" s="351" t="str" cm="1">
        <f t="array" aca="1" ref="AF143" ca="1">IF($F143=0,"",INDEX(auto_Series_NameNoNumber,$F143))</f>
        <v/>
      </c>
      <c r="AG143" s="345"/>
      <c r="AH143" s="345"/>
      <c r="AI143" s="345"/>
      <c r="AJ143" s="4"/>
      <c r="AK143" s="4"/>
      <c r="AL143" s="4"/>
    </row>
    <row r="144" spans="1:38" ht="24" customHeight="1" x14ac:dyDescent="0.4">
      <c r="A144" s="284" t="str">
        <f t="shared" ca="1" si="0"/>
        <v>H</v>
      </c>
      <c r="B144" s="4">
        <f ca="1">IF(ISERROR(iCountry!BP112),0,iCountry!BP112)</f>
        <v>0</v>
      </c>
      <c r="C144" s="4">
        <f ca="1">IF(ISERROR(iCountry!BQ112),0,iCountry!BQ112)</f>
        <v>0</v>
      </c>
      <c r="D144" s="4">
        <f ca="1">IF(ISERROR(iCountry!BR112),0,iCountry!BR112)</f>
        <v>0</v>
      </c>
      <c r="E144" s="4">
        <f ca="1">IF(ISERROR(iCountry!BS112),0,iCountry!BS112)</f>
        <v>0</v>
      </c>
      <c r="F144" s="4">
        <f ca="1">IF(ISERROR(iCountry!BT112),0,iCountry!BT112)</f>
        <v>0</v>
      </c>
      <c r="G144" s="4"/>
      <c r="H144" s="4"/>
      <c r="I144" s="4"/>
      <c r="J144" s="4"/>
      <c r="K144" s="4"/>
      <c r="L144" s="351" t="str" cm="1">
        <f t="array" aca="1" ref="L144" ca="1">IF($B144=0,"",INDEX(auto_Series_NameNoNumber,$B144))</f>
        <v/>
      </c>
      <c r="M144" s="345"/>
      <c r="N144" s="345"/>
      <c r="O144" s="345"/>
      <c r="P144" s="4"/>
      <c r="Q144" s="351" t="str" cm="1">
        <f t="array" aca="1" ref="Q144" ca="1">IF($C144=0,"",INDEX(auto_Series_NameNoNumber,$C144))</f>
        <v/>
      </c>
      <c r="R144" s="345"/>
      <c r="S144" s="345"/>
      <c r="T144" s="345"/>
      <c r="U144" s="4"/>
      <c r="V144" s="351" t="str" cm="1">
        <f t="array" aca="1" ref="V144" ca="1">IF($D144=0,"",INDEX(auto_Series_NameNoNumber,$D144))</f>
        <v/>
      </c>
      <c r="W144" s="345"/>
      <c r="X144" s="345"/>
      <c r="Y144" s="345"/>
      <c r="Z144" s="4"/>
      <c r="AA144" s="351" t="str" cm="1">
        <f t="array" aca="1" ref="AA144" ca="1">IF($E144=0,"",INDEX(auto_Series_NameNoNumber,$E144))</f>
        <v/>
      </c>
      <c r="AB144" s="345"/>
      <c r="AC144" s="345"/>
      <c r="AD144" s="345"/>
      <c r="AE144" s="4"/>
      <c r="AF144" s="351" t="str" cm="1">
        <f t="array" aca="1" ref="AF144" ca="1">IF($F144=0,"",INDEX(auto_Series_NameNoNumber,$F144))</f>
        <v/>
      </c>
      <c r="AG144" s="345"/>
      <c r="AH144" s="345"/>
      <c r="AI144" s="345"/>
      <c r="AJ144" s="4"/>
      <c r="AK144" s="4"/>
      <c r="AL144" s="4"/>
    </row>
    <row r="145" spans="1:38" ht="24" customHeight="1" x14ac:dyDescent="0.4">
      <c r="A145" s="284" t="str">
        <f t="shared" ca="1" si="0"/>
        <v>H</v>
      </c>
      <c r="B145" s="4">
        <f ca="1">IF(ISERROR(iCountry!BP113),0,iCountry!BP113)</f>
        <v>0</v>
      </c>
      <c r="C145" s="4">
        <f ca="1">IF(ISERROR(iCountry!BQ113),0,iCountry!BQ113)</f>
        <v>0</v>
      </c>
      <c r="D145" s="4">
        <f ca="1">IF(ISERROR(iCountry!BR113),0,iCountry!BR113)</f>
        <v>0</v>
      </c>
      <c r="E145" s="4">
        <f ca="1">IF(ISERROR(iCountry!BS113),0,iCountry!BS113)</f>
        <v>0</v>
      </c>
      <c r="F145" s="4">
        <f ca="1">IF(ISERROR(iCountry!BT113),0,iCountry!BT113)</f>
        <v>0</v>
      </c>
      <c r="G145" s="4"/>
      <c r="H145" s="4"/>
      <c r="I145" s="4"/>
      <c r="J145" s="4"/>
      <c r="K145" s="4"/>
      <c r="L145" s="351" t="str" cm="1">
        <f t="array" aca="1" ref="L145" ca="1">IF($B145=0,"",INDEX(auto_Series_NameNoNumber,$B145))</f>
        <v/>
      </c>
      <c r="M145" s="345"/>
      <c r="N145" s="345"/>
      <c r="O145" s="345"/>
      <c r="P145" s="4"/>
      <c r="Q145" s="351" t="str" cm="1">
        <f t="array" aca="1" ref="Q145" ca="1">IF($C145=0,"",INDEX(auto_Series_NameNoNumber,$C145))</f>
        <v/>
      </c>
      <c r="R145" s="345"/>
      <c r="S145" s="345"/>
      <c r="T145" s="345"/>
      <c r="U145" s="4"/>
      <c r="V145" s="351" t="str" cm="1">
        <f t="array" aca="1" ref="V145" ca="1">IF($D145=0,"",INDEX(auto_Series_NameNoNumber,$D145))</f>
        <v/>
      </c>
      <c r="W145" s="345"/>
      <c r="X145" s="345"/>
      <c r="Y145" s="345"/>
      <c r="Z145" s="4"/>
      <c r="AA145" s="351" t="str" cm="1">
        <f t="array" aca="1" ref="AA145" ca="1">IF($E145=0,"",INDEX(auto_Series_NameNoNumber,$E145))</f>
        <v/>
      </c>
      <c r="AB145" s="345"/>
      <c r="AC145" s="345"/>
      <c r="AD145" s="345"/>
      <c r="AE145" s="4"/>
      <c r="AF145" s="351" t="str" cm="1">
        <f t="array" aca="1" ref="AF145" ca="1">IF($F145=0,"",INDEX(auto_Series_NameNoNumber,$F145))</f>
        <v/>
      </c>
      <c r="AG145" s="345"/>
      <c r="AH145" s="345"/>
      <c r="AI145" s="345"/>
      <c r="AJ145" s="4"/>
      <c r="AK145" s="4"/>
      <c r="AL145" s="4"/>
    </row>
    <row r="146" spans="1:38" ht="24" customHeight="1" x14ac:dyDescent="0.4">
      <c r="A146" s="284" t="str">
        <f t="shared" ca="1" si="0"/>
        <v>H</v>
      </c>
      <c r="B146" s="4">
        <f ca="1">IF(ISERROR(iCountry!BP114),0,iCountry!BP114)</f>
        <v>0</v>
      </c>
      <c r="C146" s="4">
        <f ca="1">IF(ISERROR(iCountry!BQ114),0,iCountry!BQ114)</f>
        <v>0</v>
      </c>
      <c r="D146" s="4">
        <f ca="1">IF(ISERROR(iCountry!BR114),0,iCountry!BR114)</f>
        <v>0</v>
      </c>
      <c r="E146" s="4">
        <f ca="1">IF(ISERROR(iCountry!BS114),0,iCountry!BS114)</f>
        <v>0</v>
      </c>
      <c r="F146" s="4">
        <f ca="1">IF(ISERROR(iCountry!BT114),0,iCountry!BT114)</f>
        <v>0</v>
      </c>
      <c r="G146" s="4"/>
      <c r="H146" s="4"/>
      <c r="I146" s="4"/>
      <c r="J146" s="4"/>
      <c r="K146" s="4"/>
      <c r="L146" s="351" t="str" cm="1">
        <f t="array" aca="1" ref="L146" ca="1">IF($B146=0,"",INDEX(auto_Series_NameNoNumber,$B146))</f>
        <v/>
      </c>
      <c r="M146" s="345"/>
      <c r="N146" s="345"/>
      <c r="O146" s="345"/>
      <c r="P146" s="4"/>
      <c r="Q146" s="351" t="str" cm="1">
        <f t="array" aca="1" ref="Q146" ca="1">IF($C146=0,"",INDEX(auto_Series_NameNoNumber,$C146))</f>
        <v/>
      </c>
      <c r="R146" s="345"/>
      <c r="S146" s="345"/>
      <c r="T146" s="345"/>
      <c r="U146" s="4"/>
      <c r="V146" s="351" t="str" cm="1">
        <f t="array" aca="1" ref="V146" ca="1">IF($D146=0,"",INDEX(auto_Series_NameNoNumber,$D146))</f>
        <v/>
      </c>
      <c r="W146" s="345"/>
      <c r="X146" s="345"/>
      <c r="Y146" s="345"/>
      <c r="Z146" s="4"/>
      <c r="AA146" s="351" t="str" cm="1">
        <f t="array" aca="1" ref="AA146" ca="1">IF($E146=0,"",INDEX(auto_Series_NameNoNumber,$E146))</f>
        <v/>
      </c>
      <c r="AB146" s="345"/>
      <c r="AC146" s="345"/>
      <c r="AD146" s="345"/>
      <c r="AE146" s="4"/>
      <c r="AF146" s="351" t="str" cm="1">
        <f t="array" aca="1" ref="AF146" ca="1">IF($F146=0,"",INDEX(auto_Series_NameNoNumber,$F146))</f>
        <v/>
      </c>
      <c r="AG146" s="345"/>
      <c r="AH146" s="345"/>
      <c r="AI146" s="345"/>
      <c r="AJ146" s="4"/>
      <c r="AK146" s="4"/>
      <c r="AL146" s="4"/>
    </row>
    <row r="147" spans="1:38" ht="24" customHeight="1" x14ac:dyDescent="0.4">
      <c r="A147" s="284" t="str">
        <f t="shared" ref="A147:A162" ca="1" si="1">IF(SUM(B147:G147)=0,"H","")</f>
        <v>H</v>
      </c>
      <c r="B147" s="4">
        <f ca="1">IF(ISERROR(iCountry!BP115),0,iCountry!BP115)</f>
        <v>0</v>
      </c>
      <c r="C147" s="4">
        <f ca="1">IF(ISERROR(iCountry!BQ115),0,iCountry!BQ115)</f>
        <v>0</v>
      </c>
      <c r="D147" s="4">
        <f ca="1">IF(ISERROR(iCountry!BR115),0,iCountry!BR115)</f>
        <v>0</v>
      </c>
      <c r="E147" s="4">
        <f ca="1">IF(ISERROR(iCountry!BS115),0,iCountry!BS115)</f>
        <v>0</v>
      </c>
      <c r="F147" s="4">
        <f ca="1">IF(ISERROR(iCountry!BT115),0,iCountry!BT115)</f>
        <v>0</v>
      </c>
      <c r="G147" s="4"/>
      <c r="H147" s="4"/>
      <c r="I147" s="4"/>
      <c r="J147" s="4"/>
      <c r="K147" s="4"/>
      <c r="L147" s="351" t="str" cm="1">
        <f t="array" aca="1" ref="L147" ca="1">IF($B147=0,"",INDEX(auto_Series_NameNoNumber,$B147))</f>
        <v/>
      </c>
      <c r="M147" s="345"/>
      <c r="N147" s="345"/>
      <c r="O147" s="345"/>
      <c r="P147" s="4"/>
      <c r="Q147" s="351" t="str" cm="1">
        <f t="array" aca="1" ref="Q147" ca="1">IF($C147=0,"",INDEX(auto_Series_NameNoNumber,$C147))</f>
        <v/>
      </c>
      <c r="R147" s="345"/>
      <c r="S147" s="345"/>
      <c r="T147" s="345"/>
      <c r="U147" s="4"/>
      <c r="V147" s="351" t="str" cm="1">
        <f t="array" aca="1" ref="V147" ca="1">IF($D147=0,"",INDEX(auto_Series_NameNoNumber,$D147))</f>
        <v/>
      </c>
      <c r="W147" s="345"/>
      <c r="X147" s="345"/>
      <c r="Y147" s="345"/>
      <c r="Z147" s="4"/>
      <c r="AA147" s="351" t="str" cm="1">
        <f t="array" aca="1" ref="AA147" ca="1">IF($E147=0,"",INDEX(auto_Series_NameNoNumber,$E147))</f>
        <v/>
      </c>
      <c r="AB147" s="345"/>
      <c r="AC147" s="345"/>
      <c r="AD147" s="345"/>
      <c r="AE147" s="4"/>
      <c r="AF147" s="351" t="str" cm="1">
        <f t="array" aca="1" ref="AF147" ca="1">IF($F147=0,"",INDEX(auto_Series_NameNoNumber,$F147))</f>
        <v/>
      </c>
      <c r="AG147" s="345"/>
      <c r="AH147" s="345"/>
      <c r="AI147" s="345"/>
      <c r="AJ147" s="4"/>
      <c r="AK147" s="4"/>
      <c r="AL147" s="4"/>
    </row>
    <row r="148" spans="1:38" ht="24" customHeight="1" x14ac:dyDescent="0.4">
      <c r="A148" s="284" t="str">
        <f t="shared" ca="1" si="1"/>
        <v>H</v>
      </c>
      <c r="B148" s="4">
        <f ca="1">IF(ISERROR(iCountry!BP116),0,iCountry!BP116)</f>
        <v>0</v>
      </c>
      <c r="C148" s="4">
        <f ca="1">IF(ISERROR(iCountry!BQ116),0,iCountry!BQ116)</f>
        <v>0</v>
      </c>
      <c r="D148" s="4">
        <f ca="1">IF(ISERROR(iCountry!BR116),0,iCountry!BR116)</f>
        <v>0</v>
      </c>
      <c r="E148" s="4">
        <f ca="1">IF(ISERROR(iCountry!BS116),0,iCountry!BS116)</f>
        <v>0</v>
      </c>
      <c r="F148" s="4">
        <f ca="1">IF(ISERROR(iCountry!BT116),0,iCountry!BT116)</f>
        <v>0</v>
      </c>
      <c r="G148" s="4"/>
      <c r="H148" s="4"/>
      <c r="I148" s="4"/>
      <c r="J148" s="4"/>
      <c r="K148" s="4"/>
      <c r="L148" s="351" t="str" cm="1">
        <f t="array" aca="1" ref="L148" ca="1">IF($B148=0,"",INDEX(auto_Series_NameNoNumber,$B148))</f>
        <v/>
      </c>
      <c r="M148" s="345"/>
      <c r="N148" s="345"/>
      <c r="O148" s="345"/>
      <c r="P148" s="4"/>
      <c r="Q148" s="351" t="str" cm="1">
        <f t="array" aca="1" ref="Q148" ca="1">IF($C148=0,"",INDEX(auto_Series_NameNoNumber,$C148))</f>
        <v/>
      </c>
      <c r="R148" s="345"/>
      <c r="S148" s="345"/>
      <c r="T148" s="345"/>
      <c r="U148" s="4"/>
      <c r="V148" s="351" t="str" cm="1">
        <f t="array" aca="1" ref="V148" ca="1">IF($D148=0,"",INDEX(auto_Series_NameNoNumber,$D148))</f>
        <v/>
      </c>
      <c r="W148" s="345"/>
      <c r="X148" s="345"/>
      <c r="Y148" s="345"/>
      <c r="Z148" s="4"/>
      <c r="AA148" s="351" t="str" cm="1">
        <f t="array" aca="1" ref="AA148" ca="1">IF($E148=0,"",INDEX(auto_Series_NameNoNumber,$E148))</f>
        <v/>
      </c>
      <c r="AB148" s="345"/>
      <c r="AC148" s="345"/>
      <c r="AD148" s="345"/>
      <c r="AE148" s="4"/>
      <c r="AF148" s="351" t="str" cm="1">
        <f t="array" aca="1" ref="AF148" ca="1">IF($F148=0,"",INDEX(auto_Series_NameNoNumber,$F148))</f>
        <v/>
      </c>
      <c r="AG148" s="345"/>
      <c r="AH148" s="345"/>
      <c r="AI148" s="345"/>
      <c r="AJ148" s="4"/>
      <c r="AK148" s="4"/>
      <c r="AL148" s="4"/>
    </row>
    <row r="149" spans="1:38" ht="24" customHeight="1" x14ac:dyDescent="0.4">
      <c r="A149" s="284" t="str">
        <f t="shared" ca="1" si="1"/>
        <v>H</v>
      </c>
      <c r="B149" s="4">
        <f ca="1">IF(ISERROR(iCountry!BP117),0,iCountry!BP117)</f>
        <v>0</v>
      </c>
      <c r="C149" s="4">
        <f ca="1">IF(ISERROR(iCountry!BQ117),0,iCountry!BQ117)</f>
        <v>0</v>
      </c>
      <c r="D149" s="4">
        <f ca="1">IF(ISERROR(iCountry!BR117),0,iCountry!BR117)</f>
        <v>0</v>
      </c>
      <c r="E149" s="4">
        <f ca="1">IF(ISERROR(iCountry!BS117),0,iCountry!BS117)</f>
        <v>0</v>
      </c>
      <c r="F149" s="4">
        <f ca="1">IF(ISERROR(iCountry!BT117),0,iCountry!BT117)</f>
        <v>0</v>
      </c>
      <c r="G149" s="4"/>
      <c r="H149" s="4"/>
      <c r="I149" s="4"/>
      <c r="J149" s="4"/>
      <c r="K149" s="4"/>
      <c r="L149" s="351" t="str" cm="1">
        <f t="array" aca="1" ref="L149" ca="1">IF($B149=0,"",INDEX(auto_Series_NameNoNumber,$B149))</f>
        <v/>
      </c>
      <c r="M149" s="345"/>
      <c r="N149" s="345"/>
      <c r="O149" s="345"/>
      <c r="P149" s="4"/>
      <c r="Q149" s="351" t="str" cm="1">
        <f t="array" aca="1" ref="Q149" ca="1">IF($C149=0,"",INDEX(auto_Series_NameNoNumber,$C149))</f>
        <v/>
      </c>
      <c r="R149" s="345"/>
      <c r="S149" s="345"/>
      <c r="T149" s="345"/>
      <c r="U149" s="4"/>
      <c r="V149" s="351" t="str" cm="1">
        <f t="array" aca="1" ref="V149" ca="1">IF($D149=0,"",INDEX(auto_Series_NameNoNumber,$D149))</f>
        <v/>
      </c>
      <c r="W149" s="345"/>
      <c r="X149" s="345"/>
      <c r="Y149" s="345"/>
      <c r="Z149" s="4"/>
      <c r="AA149" s="351" t="str" cm="1">
        <f t="array" aca="1" ref="AA149" ca="1">IF($E149=0,"",INDEX(auto_Series_NameNoNumber,$E149))</f>
        <v/>
      </c>
      <c r="AB149" s="345"/>
      <c r="AC149" s="345"/>
      <c r="AD149" s="345"/>
      <c r="AE149" s="4"/>
      <c r="AF149" s="351" t="str" cm="1">
        <f t="array" aca="1" ref="AF149" ca="1">IF($F149=0,"",INDEX(auto_Series_NameNoNumber,$F149))</f>
        <v/>
      </c>
      <c r="AG149" s="345"/>
      <c r="AH149" s="345"/>
      <c r="AI149" s="345"/>
      <c r="AJ149" s="4"/>
      <c r="AK149" s="4"/>
      <c r="AL149" s="4"/>
    </row>
    <row r="150" spans="1:38" ht="24" customHeight="1" x14ac:dyDescent="0.4">
      <c r="A150" s="284" t="str">
        <f t="shared" ca="1" si="1"/>
        <v>H</v>
      </c>
      <c r="B150" s="4">
        <f ca="1">IF(ISERROR(iCountry!BP118),0,iCountry!BP118)</f>
        <v>0</v>
      </c>
      <c r="C150" s="4">
        <f ca="1">IF(ISERROR(iCountry!BQ118),0,iCountry!BQ118)</f>
        <v>0</v>
      </c>
      <c r="D150" s="4">
        <f ca="1">IF(ISERROR(iCountry!BR118),0,iCountry!BR118)</f>
        <v>0</v>
      </c>
      <c r="E150" s="4">
        <f ca="1">IF(ISERROR(iCountry!BS118),0,iCountry!BS118)</f>
        <v>0</v>
      </c>
      <c r="F150" s="4">
        <f ca="1">IF(ISERROR(iCountry!BT118),0,iCountry!BT118)</f>
        <v>0</v>
      </c>
      <c r="G150" s="4"/>
      <c r="H150" s="4"/>
      <c r="I150" s="4"/>
      <c r="J150" s="4"/>
      <c r="K150" s="4"/>
      <c r="L150" s="351" t="str" cm="1">
        <f t="array" aca="1" ref="L150" ca="1">IF($B150=0,"",INDEX(auto_Series_NameNoNumber,$B150))</f>
        <v/>
      </c>
      <c r="M150" s="345"/>
      <c r="N150" s="345"/>
      <c r="O150" s="345"/>
      <c r="P150" s="4"/>
      <c r="Q150" s="351" t="str" cm="1">
        <f t="array" aca="1" ref="Q150" ca="1">IF($C150=0,"",INDEX(auto_Series_NameNoNumber,$C150))</f>
        <v/>
      </c>
      <c r="R150" s="345"/>
      <c r="S150" s="345"/>
      <c r="T150" s="345"/>
      <c r="U150" s="4"/>
      <c r="V150" s="351" t="str" cm="1">
        <f t="array" aca="1" ref="V150" ca="1">IF($D150=0,"",INDEX(auto_Series_NameNoNumber,$D150))</f>
        <v/>
      </c>
      <c r="W150" s="345"/>
      <c r="X150" s="345"/>
      <c r="Y150" s="345"/>
      <c r="Z150" s="4"/>
      <c r="AA150" s="351" t="str" cm="1">
        <f t="array" aca="1" ref="AA150" ca="1">IF($E150=0,"",INDEX(auto_Series_NameNoNumber,$E150))</f>
        <v/>
      </c>
      <c r="AB150" s="345"/>
      <c r="AC150" s="345"/>
      <c r="AD150" s="345"/>
      <c r="AE150" s="4"/>
      <c r="AF150" s="351" t="str" cm="1">
        <f t="array" aca="1" ref="AF150" ca="1">IF($F150=0,"",INDEX(auto_Series_NameNoNumber,$F150))</f>
        <v/>
      </c>
      <c r="AG150" s="345"/>
      <c r="AH150" s="345"/>
      <c r="AI150" s="345"/>
      <c r="AJ150" s="4"/>
      <c r="AK150" s="4"/>
      <c r="AL150" s="4"/>
    </row>
    <row r="151" spans="1:38" ht="24" customHeight="1" x14ac:dyDescent="0.4">
      <c r="A151" s="284" t="str">
        <f t="shared" ca="1" si="1"/>
        <v>H</v>
      </c>
      <c r="B151" s="4">
        <f ca="1">IF(ISERROR(iCountry!BP119),0,iCountry!BP119)</f>
        <v>0</v>
      </c>
      <c r="C151" s="4">
        <f ca="1">IF(ISERROR(iCountry!BQ119),0,iCountry!BQ119)</f>
        <v>0</v>
      </c>
      <c r="D151" s="4">
        <f ca="1">IF(ISERROR(iCountry!BR119),0,iCountry!BR119)</f>
        <v>0</v>
      </c>
      <c r="E151" s="4">
        <f ca="1">IF(ISERROR(iCountry!BS119),0,iCountry!BS119)</f>
        <v>0</v>
      </c>
      <c r="F151" s="4">
        <f ca="1">IF(ISERROR(iCountry!BT119),0,iCountry!BT119)</f>
        <v>0</v>
      </c>
      <c r="G151" s="4"/>
      <c r="H151" s="4"/>
      <c r="I151" s="4"/>
      <c r="J151" s="4"/>
      <c r="K151" s="4"/>
      <c r="L151" s="351" t="str" cm="1">
        <f t="array" aca="1" ref="L151" ca="1">IF($B151=0,"",INDEX(auto_Series_NameNoNumber,$B151))</f>
        <v/>
      </c>
      <c r="M151" s="345"/>
      <c r="N151" s="345"/>
      <c r="O151" s="345"/>
      <c r="P151" s="4"/>
      <c r="Q151" s="351" t="str" cm="1">
        <f t="array" aca="1" ref="Q151" ca="1">IF($C151=0,"",INDEX(auto_Series_NameNoNumber,$C151))</f>
        <v/>
      </c>
      <c r="R151" s="345"/>
      <c r="S151" s="345"/>
      <c r="T151" s="345"/>
      <c r="U151" s="4"/>
      <c r="V151" s="351" t="str" cm="1">
        <f t="array" aca="1" ref="V151" ca="1">IF($D151=0,"",INDEX(auto_Series_NameNoNumber,$D151))</f>
        <v/>
      </c>
      <c r="W151" s="345"/>
      <c r="X151" s="345"/>
      <c r="Y151" s="345"/>
      <c r="Z151" s="4"/>
      <c r="AA151" s="351" t="str" cm="1">
        <f t="array" aca="1" ref="AA151" ca="1">IF($E151=0,"",INDEX(auto_Series_NameNoNumber,$E151))</f>
        <v/>
      </c>
      <c r="AB151" s="345"/>
      <c r="AC151" s="345"/>
      <c r="AD151" s="345"/>
      <c r="AE151" s="4"/>
      <c r="AF151" s="351" t="str" cm="1">
        <f t="array" aca="1" ref="AF151" ca="1">IF($F151=0,"",INDEX(auto_Series_NameNoNumber,$F151))</f>
        <v/>
      </c>
      <c r="AG151" s="345"/>
      <c r="AH151" s="345"/>
      <c r="AI151" s="345"/>
      <c r="AJ151" s="4"/>
      <c r="AK151" s="4"/>
      <c r="AL151" s="4"/>
    </row>
    <row r="152" spans="1:38" ht="24" customHeight="1" x14ac:dyDescent="0.4">
      <c r="A152" s="284" t="str">
        <f t="shared" ca="1" si="1"/>
        <v>H</v>
      </c>
      <c r="B152" s="4">
        <f ca="1">IF(ISERROR(iCountry!BP120),0,iCountry!BP120)</f>
        <v>0</v>
      </c>
      <c r="C152" s="4">
        <f ca="1">IF(ISERROR(iCountry!BQ120),0,iCountry!BQ120)</f>
        <v>0</v>
      </c>
      <c r="D152" s="4">
        <f ca="1">IF(ISERROR(iCountry!BR120),0,iCountry!BR120)</f>
        <v>0</v>
      </c>
      <c r="E152" s="4">
        <f ca="1">IF(ISERROR(iCountry!BS120),0,iCountry!BS120)</f>
        <v>0</v>
      </c>
      <c r="F152" s="4">
        <f ca="1">IF(ISERROR(iCountry!BT120),0,iCountry!BT120)</f>
        <v>0</v>
      </c>
      <c r="G152" s="4"/>
      <c r="H152" s="4"/>
      <c r="I152" s="4"/>
      <c r="J152" s="4"/>
      <c r="K152" s="4"/>
      <c r="L152" s="351" t="str" cm="1">
        <f t="array" aca="1" ref="L152" ca="1">IF($B152=0,"",INDEX(auto_Series_NameNoNumber,$B152))</f>
        <v/>
      </c>
      <c r="M152" s="345"/>
      <c r="N152" s="345"/>
      <c r="O152" s="345"/>
      <c r="P152" s="4"/>
      <c r="Q152" s="351" t="str" cm="1">
        <f t="array" aca="1" ref="Q152" ca="1">IF($C152=0,"",INDEX(auto_Series_NameNoNumber,$C152))</f>
        <v/>
      </c>
      <c r="R152" s="345"/>
      <c r="S152" s="345"/>
      <c r="T152" s="345"/>
      <c r="U152" s="4"/>
      <c r="V152" s="351" t="str" cm="1">
        <f t="array" aca="1" ref="V152" ca="1">IF($D152=0,"",INDEX(auto_Series_NameNoNumber,$D152))</f>
        <v/>
      </c>
      <c r="W152" s="345"/>
      <c r="X152" s="345"/>
      <c r="Y152" s="345"/>
      <c r="Z152" s="4"/>
      <c r="AA152" s="351" t="str" cm="1">
        <f t="array" aca="1" ref="AA152" ca="1">IF($E152=0,"",INDEX(auto_Series_NameNoNumber,$E152))</f>
        <v/>
      </c>
      <c r="AB152" s="345"/>
      <c r="AC152" s="345"/>
      <c r="AD152" s="345"/>
      <c r="AE152" s="4"/>
      <c r="AF152" s="351" t="str" cm="1">
        <f t="array" aca="1" ref="AF152" ca="1">IF($F152=0,"",INDEX(auto_Series_NameNoNumber,$F152))</f>
        <v/>
      </c>
      <c r="AG152" s="345"/>
      <c r="AH152" s="345"/>
      <c r="AI152" s="345"/>
      <c r="AJ152" s="4"/>
      <c r="AK152" s="4"/>
      <c r="AL152" s="4"/>
    </row>
    <row r="153" spans="1:38" ht="24" customHeight="1" x14ac:dyDescent="0.4">
      <c r="A153" s="284" t="str">
        <f t="shared" ca="1" si="1"/>
        <v>H</v>
      </c>
      <c r="B153" s="4">
        <f ca="1">IF(ISERROR(iCountry!BP121),0,iCountry!BP121)</f>
        <v>0</v>
      </c>
      <c r="C153" s="4">
        <f ca="1">IF(ISERROR(iCountry!BQ121),0,iCountry!BQ121)</f>
        <v>0</v>
      </c>
      <c r="D153" s="4">
        <f ca="1">IF(ISERROR(iCountry!BR121),0,iCountry!BR121)</f>
        <v>0</v>
      </c>
      <c r="E153" s="4">
        <f ca="1">IF(ISERROR(iCountry!BS121),0,iCountry!BS121)</f>
        <v>0</v>
      </c>
      <c r="F153" s="4">
        <f ca="1">IF(ISERROR(iCountry!BT121),0,iCountry!BT121)</f>
        <v>0</v>
      </c>
      <c r="G153" s="4"/>
      <c r="H153" s="4"/>
      <c r="I153" s="4"/>
      <c r="J153" s="4"/>
      <c r="K153" s="4"/>
      <c r="L153" s="351" t="str" cm="1">
        <f t="array" aca="1" ref="L153" ca="1">IF($B153=0,"",INDEX(auto_Series_NameNoNumber,$B153))</f>
        <v/>
      </c>
      <c r="M153" s="345"/>
      <c r="N153" s="345"/>
      <c r="O153" s="345"/>
      <c r="P153" s="4"/>
      <c r="Q153" s="351" t="str" cm="1">
        <f t="array" aca="1" ref="Q153" ca="1">IF($C153=0,"",INDEX(auto_Series_NameNoNumber,$C153))</f>
        <v/>
      </c>
      <c r="R153" s="345"/>
      <c r="S153" s="345"/>
      <c r="T153" s="345"/>
      <c r="U153" s="4"/>
      <c r="V153" s="351" t="str" cm="1">
        <f t="array" aca="1" ref="V153" ca="1">IF($D153=0,"",INDEX(auto_Series_NameNoNumber,$D153))</f>
        <v/>
      </c>
      <c r="W153" s="345"/>
      <c r="X153" s="345"/>
      <c r="Y153" s="345"/>
      <c r="Z153" s="4"/>
      <c r="AA153" s="351" t="str" cm="1">
        <f t="array" aca="1" ref="AA153" ca="1">IF($E153=0,"",INDEX(auto_Series_NameNoNumber,$E153))</f>
        <v/>
      </c>
      <c r="AB153" s="345"/>
      <c r="AC153" s="345"/>
      <c r="AD153" s="345"/>
      <c r="AE153" s="4"/>
      <c r="AF153" s="351" t="str" cm="1">
        <f t="array" aca="1" ref="AF153" ca="1">IF($F153=0,"",INDEX(auto_Series_NameNoNumber,$F153))</f>
        <v/>
      </c>
      <c r="AG153" s="345"/>
      <c r="AH153" s="345"/>
      <c r="AI153" s="345"/>
      <c r="AJ153" s="4"/>
      <c r="AK153" s="4"/>
      <c r="AL153" s="4"/>
    </row>
    <row r="154" spans="1:38" ht="24" customHeight="1" x14ac:dyDescent="0.4">
      <c r="A154" s="284" t="str">
        <f t="shared" ca="1" si="1"/>
        <v>H</v>
      </c>
      <c r="B154" s="4">
        <f ca="1">IF(ISERROR(iCountry!BP122),0,iCountry!BP122)</f>
        <v>0</v>
      </c>
      <c r="C154" s="4">
        <f ca="1">IF(ISERROR(iCountry!BQ122),0,iCountry!BQ122)</f>
        <v>0</v>
      </c>
      <c r="D154" s="4">
        <f ca="1">IF(ISERROR(iCountry!BR122),0,iCountry!BR122)</f>
        <v>0</v>
      </c>
      <c r="E154" s="4">
        <f ca="1">IF(ISERROR(iCountry!BS122),0,iCountry!BS122)</f>
        <v>0</v>
      </c>
      <c r="F154" s="4">
        <f ca="1">IF(ISERROR(iCountry!BT122),0,iCountry!BT122)</f>
        <v>0</v>
      </c>
      <c r="G154" s="4"/>
      <c r="H154" s="4"/>
      <c r="I154" s="4"/>
      <c r="J154" s="4"/>
      <c r="K154" s="4"/>
      <c r="L154" s="351" t="str" cm="1">
        <f t="array" aca="1" ref="L154" ca="1">IF($B154=0,"",INDEX(auto_Series_NameNoNumber,$B154))</f>
        <v/>
      </c>
      <c r="M154" s="345"/>
      <c r="N154" s="345"/>
      <c r="O154" s="345"/>
      <c r="P154" s="4"/>
      <c r="Q154" s="351" t="str" cm="1">
        <f t="array" aca="1" ref="Q154" ca="1">IF($C154=0,"",INDEX(auto_Series_NameNoNumber,$C154))</f>
        <v/>
      </c>
      <c r="R154" s="345"/>
      <c r="S154" s="345"/>
      <c r="T154" s="345"/>
      <c r="U154" s="4"/>
      <c r="V154" s="351" t="str" cm="1">
        <f t="array" aca="1" ref="V154" ca="1">IF($D154=0,"",INDEX(auto_Series_NameNoNumber,$D154))</f>
        <v/>
      </c>
      <c r="W154" s="345"/>
      <c r="X154" s="345"/>
      <c r="Y154" s="345"/>
      <c r="Z154" s="4"/>
      <c r="AA154" s="351" t="str" cm="1">
        <f t="array" aca="1" ref="AA154" ca="1">IF($E154=0,"",INDEX(auto_Series_NameNoNumber,$E154))</f>
        <v/>
      </c>
      <c r="AB154" s="345"/>
      <c r="AC154" s="345"/>
      <c r="AD154" s="345"/>
      <c r="AE154" s="4"/>
      <c r="AF154" s="351" t="str" cm="1">
        <f t="array" aca="1" ref="AF154" ca="1">IF($F154=0,"",INDEX(auto_Series_NameNoNumber,$F154))</f>
        <v/>
      </c>
      <c r="AG154" s="345"/>
      <c r="AH154" s="345"/>
      <c r="AI154" s="345"/>
      <c r="AJ154" s="4"/>
      <c r="AK154" s="4"/>
      <c r="AL154" s="4"/>
    </row>
    <row r="155" spans="1:38" ht="24" customHeight="1" x14ac:dyDescent="0.4">
      <c r="A155" s="284" t="str">
        <f t="shared" ca="1" si="1"/>
        <v>H</v>
      </c>
      <c r="B155" s="4">
        <f ca="1">IF(ISERROR(iCountry!BP123),0,iCountry!BP123)</f>
        <v>0</v>
      </c>
      <c r="C155" s="4">
        <f ca="1">IF(ISERROR(iCountry!BQ123),0,iCountry!BQ123)</f>
        <v>0</v>
      </c>
      <c r="D155" s="4">
        <f ca="1">IF(ISERROR(iCountry!BR123),0,iCountry!BR123)</f>
        <v>0</v>
      </c>
      <c r="E155" s="4">
        <f ca="1">IF(ISERROR(iCountry!BS123),0,iCountry!BS123)</f>
        <v>0</v>
      </c>
      <c r="F155" s="4">
        <f ca="1">IF(ISERROR(iCountry!BT123),0,iCountry!BT123)</f>
        <v>0</v>
      </c>
      <c r="G155" s="4"/>
      <c r="H155" s="4"/>
      <c r="I155" s="4"/>
      <c r="J155" s="4"/>
      <c r="K155" s="4"/>
      <c r="L155" s="351" t="str" cm="1">
        <f t="array" aca="1" ref="L155" ca="1">IF($B155=0,"",INDEX(auto_Series_NameNoNumber,$B155))</f>
        <v/>
      </c>
      <c r="M155" s="345"/>
      <c r="N155" s="345"/>
      <c r="O155" s="345"/>
      <c r="P155" s="4"/>
      <c r="Q155" s="351" t="str" cm="1">
        <f t="array" aca="1" ref="Q155" ca="1">IF($C155=0,"",INDEX(auto_Series_NameNoNumber,$C155))</f>
        <v/>
      </c>
      <c r="R155" s="345"/>
      <c r="S155" s="345"/>
      <c r="T155" s="345"/>
      <c r="U155" s="4"/>
      <c r="V155" s="351" t="str" cm="1">
        <f t="array" aca="1" ref="V155" ca="1">IF($D155=0,"",INDEX(auto_Series_NameNoNumber,$D155))</f>
        <v/>
      </c>
      <c r="W155" s="345"/>
      <c r="X155" s="345"/>
      <c r="Y155" s="345"/>
      <c r="Z155" s="4"/>
      <c r="AA155" s="351" t="str" cm="1">
        <f t="array" aca="1" ref="AA155" ca="1">IF($E155=0,"",INDEX(auto_Series_NameNoNumber,$E155))</f>
        <v/>
      </c>
      <c r="AB155" s="345"/>
      <c r="AC155" s="345"/>
      <c r="AD155" s="345"/>
      <c r="AE155" s="4"/>
      <c r="AF155" s="351" t="str" cm="1">
        <f t="array" aca="1" ref="AF155" ca="1">IF($F155=0,"",INDEX(auto_Series_NameNoNumber,$F155))</f>
        <v/>
      </c>
      <c r="AG155" s="345"/>
      <c r="AH155" s="345"/>
      <c r="AI155" s="345"/>
      <c r="AJ155" s="4"/>
      <c r="AK155" s="4"/>
      <c r="AL155" s="4"/>
    </row>
    <row r="156" spans="1:38" ht="24" customHeight="1" x14ac:dyDescent="0.4">
      <c r="A156" s="284" t="str">
        <f t="shared" ca="1" si="1"/>
        <v>H</v>
      </c>
      <c r="B156" s="4">
        <f ca="1">IF(ISERROR(iCountry!BP124),0,iCountry!BP124)</f>
        <v>0</v>
      </c>
      <c r="C156" s="4">
        <f ca="1">IF(ISERROR(iCountry!BQ124),0,iCountry!BQ124)</f>
        <v>0</v>
      </c>
      <c r="D156" s="4">
        <f ca="1">IF(ISERROR(iCountry!BR124),0,iCountry!BR124)</f>
        <v>0</v>
      </c>
      <c r="E156" s="4">
        <f ca="1">IF(ISERROR(iCountry!BS124),0,iCountry!BS124)</f>
        <v>0</v>
      </c>
      <c r="F156" s="4">
        <f ca="1">IF(ISERROR(iCountry!BT124),0,iCountry!BT124)</f>
        <v>0</v>
      </c>
      <c r="G156" s="4"/>
      <c r="H156" s="4"/>
      <c r="I156" s="4"/>
      <c r="J156" s="4"/>
      <c r="K156" s="4"/>
      <c r="L156" s="351" t="str" cm="1">
        <f t="array" aca="1" ref="L156" ca="1">IF($B156=0,"",INDEX(auto_Series_NameNoNumber,$B156))</f>
        <v/>
      </c>
      <c r="M156" s="345"/>
      <c r="N156" s="345"/>
      <c r="O156" s="345"/>
      <c r="P156" s="4"/>
      <c r="Q156" s="351" t="str" cm="1">
        <f t="array" aca="1" ref="Q156" ca="1">IF($C156=0,"",INDEX(auto_Series_NameNoNumber,$C156))</f>
        <v/>
      </c>
      <c r="R156" s="345"/>
      <c r="S156" s="345"/>
      <c r="T156" s="345"/>
      <c r="U156" s="4"/>
      <c r="V156" s="351" t="str" cm="1">
        <f t="array" aca="1" ref="V156" ca="1">IF($D156=0,"",INDEX(auto_Series_NameNoNumber,$D156))</f>
        <v/>
      </c>
      <c r="W156" s="345"/>
      <c r="X156" s="345"/>
      <c r="Y156" s="345"/>
      <c r="Z156" s="4"/>
      <c r="AA156" s="351" t="str" cm="1">
        <f t="array" aca="1" ref="AA156" ca="1">IF($E156=0,"",INDEX(auto_Series_NameNoNumber,$E156))</f>
        <v/>
      </c>
      <c r="AB156" s="345"/>
      <c r="AC156" s="345"/>
      <c r="AD156" s="345"/>
      <c r="AE156" s="4"/>
      <c r="AF156" s="351" t="str" cm="1">
        <f t="array" aca="1" ref="AF156" ca="1">IF($F156=0,"",INDEX(auto_Series_NameNoNumber,$F156))</f>
        <v/>
      </c>
      <c r="AG156" s="345"/>
      <c r="AH156" s="345"/>
      <c r="AI156" s="345"/>
      <c r="AJ156" s="4"/>
      <c r="AK156" s="4"/>
      <c r="AL156" s="4"/>
    </row>
    <row r="157" spans="1:38" ht="24" customHeight="1" x14ac:dyDescent="0.4">
      <c r="A157" s="284" t="str">
        <f t="shared" ca="1" si="1"/>
        <v>H</v>
      </c>
      <c r="B157" s="4">
        <f ca="1">IF(ISERROR(iCountry!BP125),0,iCountry!BP125)</f>
        <v>0</v>
      </c>
      <c r="C157" s="4">
        <f ca="1">IF(ISERROR(iCountry!BQ125),0,iCountry!BQ125)</f>
        <v>0</v>
      </c>
      <c r="D157" s="4">
        <f ca="1">IF(ISERROR(iCountry!BR125),0,iCountry!BR125)</f>
        <v>0</v>
      </c>
      <c r="E157" s="4">
        <f ca="1">IF(ISERROR(iCountry!BS125),0,iCountry!BS125)</f>
        <v>0</v>
      </c>
      <c r="F157" s="4">
        <f ca="1">IF(ISERROR(iCountry!BT125),0,iCountry!BT125)</f>
        <v>0</v>
      </c>
      <c r="G157" s="4"/>
      <c r="H157" s="4"/>
      <c r="I157" s="4"/>
      <c r="J157" s="4"/>
      <c r="K157" s="4"/>
      <c r="L157" s="351" t="str" cm="1">
        <f t="array" aca="1" ref="L157" ca="1">IF($B157=0,"",INDEX(auto_Series_NameNoNumber,$B157))</f>
        <v/>
      </c>
      <c r="M157" s="345"/>
      <c r="N157" s="345"/>
      <c r="O157" s="345"/>
      <c r="P157" s="4"/>
      <c r="Q157" s="351" t="str" cm="1">
        <f t="array" aca="1" ref="Q157" ca="1">IF($C157=0,"",INDEX(auto_Series_NameNoNumber,$C157))</f>
        <v/>
      </c>
      <c r="R157" s="345"/>
      <c r="S157" s="345"/>
      <c r="T157" s="345"/>
      <c r="U157" s="4"/>
      <c r="V157" s="351" t="str" cm="1">
        <f t="array" aca="1" ref="V157" ca="1">IF($D157=0,"",INDEX(auto_Series_NameNoNumber,$D157))</f>
        <v/>
      </c>
      <c r="W157" s="345"/>
      <c r="X157" s="345"/>
      <c r="Y157" s="345"/>
      <c r="Z157" s="4"/>
      <c r="AA157" s="351" t="str" cm="1">
        <f t="array" aca="1" ref="AA157" ca="1">IF($E157=0,"",INDEX(auto_Series_NameNoNumber,$E157))</f>
        <v/>
      </c>
      <c r="AB157" s="345"/>
      <c r="AC157" s="345"/>
      <c r="AD157" s="345"/>
      <c r="AE157" s="4"/>
      <c r="AF157" s="351" t="str" cm="1">
        <f t="array" aca="1" ref="AF157" ca="1">IF($F157=0,"",INDEX(auto_Series_NameNoNumber,$F157))</f>
        <v/>
      </c>
      <c r="AG157" s="345"/>
      <c r="AH157" s="345"/>
      <c r="AI157" s="345"/>
      <c r="AJ157" s="4"/>
      <c r="AK157" s="4"/>
      <c r="AL157" s="4"/>
    </row>
    <row r="158" spans="1:38" ht="24" customHeight="1" x14ac:dyDescent="0.4">
      <c r="A158" s="284" t="str">
        <f t="shared" ca="1" si="1"/>
        <v>H</v>
      </c>
      <c r="B158" s="4">
        <f ca="1">IF(ISERROR(iCountry!BP126),0,iCountry!BP126)</f>
        <v>0</v>
      </c>
      <c r="C158" s="4">
        <f ca="1">IF(ISERROR(iCountry!BQ126),0,iCountry!BQ126)</f>
        <v>0</v>
      </c>
      <c r="D158" s="4">
        <f ca="1">IF(ISERROR(iCountry!BR126),0,iCountry!BR126)</f>
        <v>0</v>
      </c>
      <c r="E158" s="4">
        <f ca="1">IF(ISERROR(iCountry!BS126),0,iCountry!BS126)</f>
        <v>0</v>
      </c>
      <c r="F158" s="4">
        <f ca="1">IF(ISERROR(iCountry!BT126),0,iCountry!BT126)</f>
        <v>0</v>
      </c>
      <c r="G158" s="4"/>
      <c r="H158" s="4"/>
      <c r="I158" s="4"/>
      <c r="J158" s="4"/>
      <c r="K158" s="4"/>
      <c r="L158" s="351" t="str" cm="1">
        <f t="array" aca="1" ref="L158" ca="1">IF($B158=0,"",INDEX(auto_Series_NameNoNumber,$B158))</f>
        <v/>
      </c>
      <c r="M158" s="345"/>
      <c r="N158" s="345"/>
      <c r="O158" s="345"/>
      <c r="P158" s="4"/>
      <c r="Q158" s="351" t="str" cm="1">
        <f t="array" aca="1" ref="Q158" ca="1">IF($C158=0,"",INDEX(auto_Series_NameNoNumber,$C158))</f>
        <v/>
      </c>
      <c r="R158" s="345"/>
      <c r="S158" s="345"/>
      <c r="T158" s="345"/>
      <c r="U158" s="4"/>
      <c r="V158" s="351" t="str" cm="1">
        <f t="array" aca="1" ref="V158" ca="1">IF($D158=0,"",INDEX(auto_Series_NameNoNumber,$D158))</f>
        <v/>
      </c>
      <c r="W158" s="345"/>
      <c r="X158" s="345"/>
      <c r="Y158" s="345"/>
      <c r="Z158" s="4"/>
      <c r="AA158" s="351" t="str" cm="1">
        <f t="array" aca="1" ref="AA158" ca="1">IF($E158=0,"",INDEX(auto_Series_NameNoNumber,$E158))</f>
        <v/>
      </c>
      <c r="AB158" s="345"/>
      <c r="AC158" s="345"/>
      <c r="AD158" s="345"/>
      <c r="AE158" s="4"/>
      <c r="AF158" s="351" t="str" cm="1">
        <f t="array" aca="1" ref="AF158" ca="1">IF($F158=0,"",INDEX(auto_Series_NameNoNumber,$F158))</f>
        <v/>
      </c>
      <c r="AG158" s="345"/>
      <c r="AH158" s="345"/>
      <c r="AI158" s="345"/>
      <c r="AJ158" s="4"/>
      <c r="AK158" s="4"/>
      <c r="AL158" s="4"/>
    </row>
    <row r="159" spans="1:38" ht="24" customHeight="1" x14ac:dyDescent="0.4">
      <c r="A159" s="284" t="str">
        <f t="shared" ca="1" si="1"/>
        <v>H</v>
      </c>
      <c r="B159" s="4">
        <f ca="1">IF(ISERROR(iCountry!BP127),0,iCountry!BP127)</f>
        <v>0</v>
      </c>
      <c r="C159" s="4">
        <f ca="1">IF(ISERROR(iCountry!BQ127),0,iCountry!BQ127)</f>
        <v>0</v>
      </c>
      <c r="D159" s="4">
        <f ca="1">IF(ISERROR(iCountry!BR127),0,iCountry!BR127)</f>
        <v>0</v>
      </c>
      <c r="E159" s="4">
        <f ca="1">IF(ISERROR(iCountry!BS127),0,iCountry!BS127)</f>
        <v>0</v>
      </c>
      <c r="F159" s="4">
        <f ca="1">IF(ISERROR(iCountry!BT127),0,iCountry!BT127)</f>
        <v>0</v>
      </c>
      <c r="G159" s="4"/>
      <c r="H159" s="4"/>
      <c r="I159" s="4"/>
      <c r="J159" s="4"/>
      <c r="K159" s="4"/>
      <c r="L159" s="351" t="str" cm="1">
        <f t="array" aca="1" ref="L159" ca="1">IF($B159=0,"",INDEX(auto_Series_NameNoNumber,$B159))</f>
        <v/>
      </c>
      <c r="M159" s="345"/>
      <c r="N159" s="345"/>
      <c r="O159" s="345"/>
      <c r="P159" s="4"/>
      <c r="Q159" s="351" t="str" cm="1">
        <f t="array" aca="1" ref="Q159" ca="1">IF($C159=0,"",INDEX(auto_Series_NameNoNumber,$C159))</f>
        <v/>
      </c>
      <c r="R159" s="345"/>
      <c r="S159" s="345"/>
      <c r="T159" s="345"/>
      <c r="U159" s="4"/>
      <c r="V159" s="351" t="str" cm="1">
        <f t="array" aca="1" ref="V159" ca="1">IF($D159=0,"",INDEX(auto_Series_NameNoNumber,$D159))</f>
        <v/>
      </c>
      <c r="W159" s="345"/>
      <c r="X159" s="345"/>
      <c r="Y159" s="345"/>
      <c r="Z159" s="4"/>
      <c r="AA159" s="351" t="str" cm="1">
        <f t="array" aca="1" ref="AA159" ca="1">IF($E159=0,"",INDEX(auto_Series_NameNoNumber,$E159))</f>
        <v/>
      </c>
      <c r="AB159" s="345"/>
      <c r="AC159" s="345"/>
      <c r="AD159" s="345"/>
      <c r="AE159" s="4"/>
      <c r="AF159" s="351" t="str" cm="1">
        <f t="array" aca="1" ref="AF159" ca="1">IF($F159=0,"",INDEX(auto_Series_NameNoNumber,$F159))</f>
        <v/>
      </c>
      <c r="AG159" s="345"/>
      <c r="AH159" s="345"/>
      <c r="AI159" s="345"/>
      <c r="AJ159" s="4"/>
      <c r="AK159" s="4"/>
      <c r="AL159" s="4"/>
    </row>
    <row r="160" spans="1:38" ht="24" customHeight="1" x14ac:dyDescent="0.4">
      <c r="A160" s="284" t="str">
        <f t="shared" ca="1" si="1"/>
        <v>H</v>
      </c>
      <c r="B160" s="4">
        <f ca="1">IF(ISERROR(iCountry!BP128),0,iCountry!BP128)</f>
        <v>0</v>
      </c>
      <c r="C160" s="4">
        <f ca="1">IF(ISERROR(iCountry!BQ128),0,iCountry!BQ128)</f>
        <v>0</v>
      </c>
      <c r="D160" s="4">
        <f ca="1">IF(ISERROR(iCountry!BR128),0,iCountry!BR128)</f>
        <v>0</v>
      </c>
      <c r="E160" s="4">
        <f ca="1">IF(ISERROR(iCountry!BS128),0,iCountry!BS128)</f>
        <v>0</v>
      </c>
      <c r="F160" s="4">
        <f ca="1">IF(ISERROR(iCountry!BT128),0,iCountry!BT128)</f>
        <v>0</v>
      </c>
      <c r="G160" s="4"/>
      <c r="H160" s="4"/>
      <c r="I160" s="4"/>
      <c r="J160" s="4"/>
      <c r="K160" s="4"/>
      <c r="L160" s="351" t="str" cm="1">
        <f t="array" aca="1" ref="L160" ca="1">IF($B160=0,"",INDEX(auto_Series_NameNoNumber,$B160))</f>
        <v/>
      </c>
      <c r="M160" s="345"/>
      <c r="N160" s="345"/>
      <c r="O160" s="345"/>
      <c r="P160" s="4"/>
      <c r="Q160" s="351" t="str" cm="1">
        <f t="array" aca="1" ref="Q160" ca="1">IF($C160=0,"",INDEX(auto_Series_NameNoNumber,$C160))</f>
        <v/>
      </c>
      <c r="R160" s="345"/>
      <c r="S160" s="345"/>
      <c r="T160" s="345"/>
      <c r="U160" s="4"/>
      <c r="V160" s="351" t="str" cm="1">
        <f t="array" aca="1" ref="V160" ca="1">IF($D160=0,"",INDEX(auto_Series_NameNoNumber,$D160))</f>
        <v/>
      </c>
      <c r="W160" s="345"/>
      <c r="X160" s="345"/>
      <c r="Y160" s="345"/>
      <c r="Z160" s="4"/>
      <c r="AA160" s="351" t="str" cm="1">
        <f t="array" aca="1" ref="AA160" ca="1">IF($E160=0,"",INDEX(auto_Series_NameNoNumber,$E160))</f>
        <v/>
      </c>
      <c r="AB160" s="345"/>
      <c r="AC160" s="345"/>
      <c r="AD160" s="345"/>
      <c r="AE160" s="4"/>
      <c r="AF160" s="351" t="str" cm="1">
        <f t="array" aca="1" ref="AF160" ca="1">IF($F160=0,"",INDEX(auto_Series_NameNoNumber,$F160))</f>
        <v/>
      </c>
      <c r="AG160" s="345"/>
      <c r="AH160" s="345"/>
      <c r="AI160" s="345"/>
      <c r="AJ160" s="4"/>
      <c r="AK160" s="4"/>
      <c r="AL160" s="4"/>
    </row>
    <row r="161" spans="1:38" ht="24" customHeight="1" x14ac:dyDescent="0.4">
      <c r="A161" s="284" t="str">
        <f t="shared" ca="1" si="1"/>
        <v>H</v>
      </c>
      <c r="B161" s="4">
        <f ca="1">IF(ISERROR(iCountry!BP129),0,iCountry!BP129)</f>
        <v>0</v>
      </c>
      <c r="C161" s="4">
        <f ca="1">IF(ISERROR(iCountry!BQ129),0,iCountry!BQ129)</f>
        <v>0</v>
      </c>
      <c r="D161" s="4">
        <f ca="1">IF(ISERROR(iCountry!BR129),0,iCountry!BR129)</f>
        <v>0</v>
      </c>
      <c r="E161" s="4">
        <f ca="1">IF(ISERROR(iCountry!BS129),0,iCountry!BS129)</f>
        <v>0</v>
      </c>
      <c r="F161" s="4">
        <f ca="1">IF(ISERROR(iCountry!BT129),0,iCountry!BT129)</f>
        <v>0</v>
      </c>
      <c r="G161" s="4"/>
      <c r="H161" s="4"/>
      <c r="I161" s="4"/>
      <c r="J161" s="4"/>
      <c r="K161" s="4"/>
      <c r="L161" s="351" t="str" cm="1">
        <f t="array" aca="1" ref="L161" ca="1">IF($B161=0,"",INDEX(auto_Series_NameNoNumber,$B161))</f>
        <v/>
      </c>
      <c r="M161" s="345"/>
      <c r="N161" s="345"/>
      <c r="O161" s="345"/>
      <c r="P161" s="4"/>
      <c r="Q161" s="351" t="str" cm="1">
        <f t="array" aca="1" ref="Q161" ca="1">IF($C161=0,"",INDEX(auto_Series_NameNoNumber,$C161))</f>
        <v/>
      </c>
      <c r="R161" s="345"/>
      <c r="S161" s="345"/>
      <c r="T161" s="345"/>
      <c r="U161" s="4"/>
      <c r="V161" s="351" t="str" cm="1">
        <f t="array" aca="1" ref="V161" ca="1">IF($D161=0,"",INDEX(auto_Series_NameNoNumber,$D161))</f>
        <v/>
      </c>
      <c r="W161" s="345"/>
      <c r="X161" s="345"/>
      <c r="Y161" s="345"/>
      <c r="Z161" s="4"/>
      <c r="AA161" s="351" t="str" cm="1">
        <f t="array" aca="1" ref="AA161" ca="1">IF($E161=0,"",INDEX(auto_Series_NameNoNumber,$E161))</f>
        <v/>
      </c>
      <c r="AB161" s="345"/>
      <c r="AC161" s="345"/>
      <c r="AD161" s="345"/>
      <c r="AE161" s="4"/>
      <c r="AF161" s="351" t="str" cm="1">
        <f t="array" aca="1" ref="AF161" ca="1">IF($F161=0,"",INDEX(auto_Series_NameNoNumber,$F161))</f>
        <v/>
      </c>
      <c r="AG161" s="345"/>
      <c r="AH161" s="345"/>
      <c r="AI161" s="345"/>
      <c r="AJ161" s="4"/>
      <c r="AK161" s="4"/>
      <c r="AL161" s="4"/>
    </row>
    <row r="162" spans="1:38" ht="24" customHeight="1" x14ac:dyDescent="0.4">
      <c r="A162" s="284" t="str">
        <f t="shared" ca="1" si="1"/>
        <v>H</v>
      </c>
      <c r="B162" s="4">
        <f ca="1">IF(ISERROR(iCountry!BP130),0,iCountry!BP130)</f>
        <v>0</v>
      </c>
      <c r="C162" s="4">
        <f ca="1">IF(ISERROR(iCountry!BQ130),0,iCountry!BQ130)</f>
        <v>0</v>
      </c>
      <c r="D162" s="4">
        <f ca="1">IF(ISERROR(iCountry!BR130),0,iCountry!BR130)</f>
        <v>0</v>
      </c>
      <c r="E162" s="4">
        <f ca="1">IF(ISERROR(iCountry!BS130),0,iCountry!BS130)</f>
        <v>0</v>
      </c>
      <c r="F162" s="4">
        <f ca="1">IF(ISERROR(iCountry!BT130),0,iCountry!BT130)</f>
        <v>0</v>
      </c>
      <c r="G162" s="4"/>
      <c r="H162" s="4"/>
      <c r="I162" s="4"/>
      <c r="J162" s="4"/>
      <c r="K162" s="4"/>
      <c r="L162" s="351" t="str" cm="1">
        <f t="array" aca="1" ref="L162" ca="1">IF($B162=0,"",INDEX(auto_Series_NameNoNumber,$B162))</f>
        <v/>
      </c>
      <c r="M162" s="345"/>
      <c r="N162" s="345"/>
      <c r="O162" s="345"/>
      <c r="P162" s="4"/>
      <c r="Q162" s="351" t="str" cm="1">
        <f t="array" aca="1" ref="Q162" ca="1">IF($C162=0,"",INDEX(auto_Series_NameNoNumber,$C162))</f>
        <v/>
      </c>
      <c r="R162" s="345"/>
      <c r="S162" s="345"/>
      <c r="T162" s="345"/>
      <c r="U162" s="4"/>
      <c r="V162" s="351" t="str" cm="1">
        <f t="array" aca="1" ref="V162" ca="1">IF($D162=0,"",INDEX(auto_Series_NameNoNumber,$D162))</f>
        <v/>
      </c>
      <c r="W162" s="345"/>
      <c r="X162" s="345"/>
      <c r="Y162" s="345"/>
      <c r="Z162" s="4"/>
      <c r="AA162" s="351" t="str" cm="1">
        <f t="array" aca="1" ref="AA162" ca="1">IF($E162=0,"",INDEX(auto_Series_NameNoNumber,$E162))</f>
        <v/>
      </c>
      <c r="AB162" s="345"/>
      <c r="AC162" s="345"/>
      <c r="AD162" s="345"/>
      <c r="AE162" s="4"/>
      <c r="AF162" s="351" t="str" cm="1">
        <f t="array" aca="1" ref="AF162" ca="1">IF($F162=0,"",INDEX(auto_Series_NameNoNumber,$F162))</f>
        <v/>
      </c>
      <c r="AG162" s="345"/>
      <c r="AH162" s="345"/>
      <c r="AI162" s="345"/>
      <c r="AJ162" s="4"/>
      <c r="AK162" s="4"/>
      <c r="AL162" s="4"/>
    </row>
    <row r="163" spans="1:38" ht="24" customHeight="1" x14ac:dyDescent="0.4">
      <c r="A163" s="284" t="str">
        <f t="shared" ref="A163:A179" ca="1" si="2">IF(SUM(B163:G163)=0,"H","")</f>
        <v>H</v>
      </c>
      <c r="B163" s="4">
        <f ca="1">IF(ISERROR(iCountry!BP131),0,iCountry!BP131)</f>
        <v>0</v>
      </c>
      <c r="C163" s="4">
        <f ca="1">IF(ISERROR(iCountry!BQ131),0,iCountry!BQ131)</f>
        <v>0</v>
      </c>
      <c r="D163" s="4">
        <f ca="1">IF(ISERROR(iCountry!BR131),0,iCountry!BR131)</f>
        <v>0</v>
      </c>
      <c r="E163" s="4">
        <f ca="1">IF(ISERROR(iCountry!BS131),0,iCountry!BS131)</f>
        <v>0</v>
      </c>
      <c r="F163" s="4">
        <f ca="1">IF(ISERROR(iCountry!BT131),0,iCountry!BT131)</f>
        <v>0</v>
      </c>
      <c r="G163" s="4"/>
      <c r="H163" s="4"/>
      <c r="I163" s="4"/>
      <c r="J163" s="4"/>
      <c r="K163" s="4"/>
      <c r="L163" s="351" t="str" cm="1">
        <f t="array" aca="1" ref="L163" ca="1">IF($B163=0,"",INDEX(auto_Series_NameNoNumber,$B163))</f>
        <v/>
      </c>
      <c r="M163" s="345"/>
      <c r="N163" s="345"/>
      <c r="O163" s="345"/>
      <c r="P163" s="4"/>
      <c r="Q163" s="351" t="str" cm="1">
        <f t="array" aca="1" ref="Q163" ca="1">IF($C163=0,"",INDEX(auto_Series_NameNoNumber,$C163))</f>
        <v/>
      </c>
      <c r="R163" s="345"/>
      <c r="S163" s="345"/>
      <c r="T163" s="345"/>
      <c r="U163" s="4"/>
      <c r="V163" s="351" t="str" cm="1">
        <f t="array" aca="1" ref="V163" ca="1">IF($D163=0,"",INDEX(auto_Series_NameNoNumber,$D163))</f>
        <v/>
      </c>
      <c r="W163" s="345"/>
      <c r="X163" s="345"/>
      <c r="Y163" s="345"/>
      <c r="Z163" s="4"/>
      <c r="AA163" s="351" t="str" cm="1">
        <f t="array" aca="1" ref="AA163" ca="1">IF($E163=0,"",INDEX(auto_Series_NameNoNumber,$E163))</f>
        <v/>
      </c>
      <c r="AB163" s="345"/>
      <c r="AC163" s="345"/>
      <c r="AD163" s="345"/>
      <c r="AE163" s="4"/>
      <c r="AF163" s="351" t="str" cm="1">
        <f t="array" aca="1" ref="AF163" ca="1">IF($F163=0,"",INDEX(auto_Series_NameNoNumber,$F163))</f>
        <v/>
      </c>
      <c r="AG163" s="345"/>
      <c r="AH163" s="345"/>
      <c r="AI163" s="345"/>
      <c r="AJ163" s="4"/>
      <c r="AK163" s="4"/>
      <c r="AL163" s="4"/>
    </row>
    <row r="164" spans="1:38" ht="24" customHeight="1" x14ac:dyDescent="0.4">
      <c r="A164" s="284" t="str">
        <f t="shared" ca="1" si="2"/>
        <v>H</v>
      </c>
      <c r="B164" s="4">
        <f ca="1">IF(ISERROR(iCountry!BP132),0,iCountry!BP132)</f>
        <v>0</v>
      </c>
      <c r="C164" s="4">
        <f ca="1">IF(ISERROR(iCountry!BQ132),0,iCountry!BQ132)</f>
        <v>0</v>
      </c>
      <c r="D164" s="4">
        <f ca="1">IF(ISERROR(iCountry!BR132),0,iCountry!BR132)</f>
        <v>0</v>
      </c>
      <c r="E164" s="4">
        <f ca="1">IF(ISERROR(iCountry!BS132),0,iCountry!BS132)</f>
        <v>0</v>
      </c>
      <c r="F164" s="4">
        <f ca="1">IF(ISERROR(iCountry!BT132),0,iCountry!BT132)</f>
        <v>0</v>
      </c>
      <c r="G164" s="4"/>
      <c r="H164" s="4"/>
      <c r="I164" s="4"/>
      <c r="J164" s="4"/>
      <c r="K164" s="4"/>
      <c r="L164" s="351" t="str" cm="1">
        <f t="array" aca="1" ref="L164" ca="1">IF($B164=0,"",INDEX(auto_Series_NameNoNumber,$B164))</f>
        <v/>
      </c>
      <c r="M164" s="345"/>
      <c r="N164" s="345"/>
      <c r="O164" s="345"/>
      <c r="P164" s="4"/>
      <c r="Q164" s="351" t="str" cm="1">
        <f t="array" aca="1" ref="Q164" ca="1">IF($C164=0,"",INDEX(auto_Series_NameNoNumber,$C164))</f>
        <v/>
      </c>
      <c r="R164" s="345"/>
      <c r="S164" s="345"/>
      <c r="T164" s="345"/>
      <c r="U164" s="4"/>
      <c r="V164" s="351" t="str" cm="1">
        <f t="array" aca="1" ref="V164" ca="1">IF($D164=0,"",INDEX(auto_Series_NameNoNumber,$D164))</f>
        <v/>
      </c>
      <c r="W164" s="345"/>
      <c r="X164" s="345"/>
      <c r="Y164" s="345"/>
      <c r="Z164" s="4"/>
      <c r="AA164" s="351" t="str" cm="1">
        <f t="array" aca="1" ref="AA164" ca="1">IF($E164=0,"",INDEX(auto_Series_NameNoNumber,$E164))</f>
        <v/>
      </c>
      <c r="AB164" s="345"/>
      <c r="AC164" s="345"/>
      <c r="AD164" s="345"/>
      <c r="AE164" s="4"/>
      <c r="AF164" s="351" t="str" cm="1">
        <f t="array" aca="1" ref="AF164" ca="1">IF($F164=0,"",INDEX(auto_Series_NameNoNumber,$F164))</f>
        <v/>
      </c>
      <c r="AG164" s="345"/>
      <c r="AH164" s="345"/>
      <c r="AI164" s="345"/>
      <c r="AJ164" s="4"/>
      <c r="AK164" s="4"/>
      <c r="AL164" s="4"/>
    </row>
    <row r="165" spans="1:38" ht="24" customHeight="1" x14ac:dyDescent="0.4">
      <c r="A165" s="284" t="str">
        <f t="shared" ca="1" si="2"/>
        <v>H</v>
      </c>
      <c r="B165" s="4">
        <f ca="1">IF(ISERROR(iCountry!BP133),0,iCountry!BP133)</f>
        <v>0</v>
      </c>
      <c r="C165" s="4">
        <f ca="1">IF(ISERROR(iCountry!BQ133),0,iCountry!BQ133)</f>
        <v>0</v>
      </c>
      <c r="D165" s="4">
        <f ca="1">IF(ISERROR(iCountry!BR133),0,iCountry!BR133)</f>
        <v>0</v>
      </c>
      <c r="E165" s="4">
        <f ca="1">IF(ISERROR(iCountry!BS133),0,iCountry!BS133)</f>
        <v>0</v>
      </c>
      <c r="F165" s="4">
        <f ca="1">IF(ISERROR(iCountry!BT133),0,iCountry!BT133)</f>
        <v>0</v>
      </c>
      <c r="G165" s="4"/>
      <c r="H165" s="4"/>
      <c r="I165" s="4"/>
      <c r="J165" s="4"/>
      <c r="K165" s="4"/>
      <c r="L165" s="351" t="str" cm="1">
        <f t="array" aca="1" ref="L165" ca="1">IF($B165=0,"",INDEX(auto_Series_NameNoNumber,$B165))</f>
        <v/>
      </c>
      <c r="M165" s="345"/>
      <c r="N165" s="345"/>
      <c r="O165" s="345"/>
      <c r="P165" s="4"/>
      <c r="Q165" s="351" t="str" cm="1">
        <f t="array" aca="1" ref="Q165" ca="1">IF($C165=0,"",INDEX(auto_Series_NameNoNumber,$C165))</f>
        <v/>
      </c>
      <c r="R165" s="345"/>
      <c r="S165" s="345"/>
      <c r="T165" s="345"/>
      <c r="U165" s="4"/>
      <c r="V165" s="351" t="str" cm="1">
        <f t="array" aca="1" ref="V165" ca="1">IF($D165=0,"",INDEX(auto_Series_NameNoNumber,$D165))</f>
        <v/>
      </c>
      <c r="W165" s="345"/>
      <c r="X165" s="345"/>
      <c r="Y165" s="345"/>
      <c r="Z165" s="4"/>
      <c r="AA165" s="351" t="str" cm="1">
        <f t="array" aca="1" ref="AA165" ca="1">IF($E165=0,"",INDEX(auto_Series_NameNoNumber,$E165))</f>
        <v/>
      </c>
      <c r="AB165" s="345"/>
      <c r="AC165" s="345"/>
      <c r="AD165" s="345"/>
      <c r="AE165" s="4"/>
      <c r="AF165" s="351" t="str" cm="1">
        <f t="array" aca="1" ref="AF165" ca="1">IF($F165=0,"",INDEX(auto_Series_NameNoNumber,$F165))</f>
        <v/>
      </c>
      <c r="AG165" s="345"/>
      <c r="AH165" s="345"/>
      <c r="AI165" s="345"/>
      <c r="AJ165" s="4"/>
      <c r="AK165" s="4"/>
      <c r="AL165" s="4"/>
    </row>
    <row r="166" spans="1:38" ht="24" customHeight="1" x14ac:dyDescent="0.4">
      <c r="A166" s="284" t="str">
        <f t="shared" ca="1" si="2"/>
        <v>H</v>
      </c>
      <c r="B166" s="4">
        <f ca="1">IF(ISERROR(iCountry!BP134),0,iCountry!BP134)</f>
        <v>0</v>
      </c>
      <c r="C166" s="4">
        <f ca="1">IF(ISERROR(iCountry!BQ134),0,iCountry!BQ134)</f>
        <v>0</v>
      </c>
      <c r="D166" s="4">
        <f ca="1">IF(ISERROR(iCountry!BR134),0,iCountry!BR134)</f>
        <v>0</v>
      </c>
      <c r="E166" s="4">
        <f ca="1">IF(ISERROR(iCountry!BS134),0,iCountry!BS134)</f>
        <v>0</v>
      </c>
      <c r="F166" s="4">
        <f ca="1">IF(ISERROR(iCountry!BT134),0,iCountry!BT134)</f>
        <v>0</v>
      </c>
      <c r="G166" s="4"/>
      <c r="H166" s="4"/>
      <c r="I166" s="4"/>
      <c r="J166" s="4"/>
      <c r="K166" s="4"/>
      <c r="L166" s="351" t="str" cm="1">
        <f t="array" aca="1" ref="L166" ca="1">IF($B166=0,"",INDEX(auto_Series_NameNoNumber,$B166))</f>
        <v/>
      </c>
      <c r="M166" s="345"/>
      <c r="N166" s="345"/>
      <c r="O166" s="345"/>
      <c r="P166" s="4"/>
      <c r="Q166" s="351" t="str" cm="1">
        <f t="array" aca="1" ref="Q166" ca="1">IF($C166=0,"",INDEX(auto_Series_NameNoNumber,$C166))</f>
        <v/>
      </c>
      <c r="R166" s="345"/>
      <c r="S166" s="345"/>
      <c r="T166" s="345"/>
      <c r="U166" s="4"/>
      <c r="V166" s="351" t="str" cm="1">
        <f t="array" aca="1" ref="V166" ca="1">IF($D166=0,"",INDEX(auto_Series_NameNoNumber,$D166))</f>
        <v/>
      </c>
      <c r="W166" s="345"/>
      <c r="X166" s="345"/>
      <c r="Y166" s="345"/>
      <c r="Z166" s="4"/>
      <c r="AA166" s="351" t="str" cm="1">
        <f t="array" aca="1" ref="AA166" ca="1">IF($E166=0,"",INDEX(auto_Series_NameNoNumber,$E166))</f>
        <v/>
      </c>
      <c r="AB166" s="345"/>
      <c r="AC166" s="345"/>
      <c r="AD166" s="345"/>
      <c r="AE166" s="4"/>
      <c r="AF166" s="351" t="str" cm="1">
        <f t="array" aca="1" ref="AF166" ca="1">IF($F166=0,"",INDEX(auto_Series_NameNoNumber,$F166))</f>
        <v/>
      </c>
      <c r="AG166" s="345"/>
      <c r="AH166" s="345"/>
      <c r="AI166" s="345"/>
      <c r="AJ166" s="4"/>
      <c r="AK166" s="4"/>
      <c r="AL166" s="4"/>
    </row>
    <row r="167" spans="1:38" ht="24" customHeight="1" x14ac:dyDescent="0.4">
      <c r="A167" s="284" t="str">
        <f t="shared" ca="1" si="2"/>
        <v>H</v>
      </c>
      <c r="B167" s="4">
        <f ca="1">IF(ISERROR(iCountry!BP135),0,iCountry!BP135)</f>
        <v>0</v>
      </c>
      <c r="C167" s="4">
        <f ca="1">IF(ISERROR(iCountry!BQ135),0,iCountry!BQ135)</f>
        <v>0</v>
      </c>
      <c r="D167" s="4">
        <f ca="1">IF(ISERROR(iCountry!BR135),0,iCountry!BR135)</f>
        <v>0</v>
      </c>
      <c r="E167" s="4">
        <f ca="1">IF(ISERROR(iCountry!BS135),0,iCountry!BS135)</f>
        <v>0</v>
      </c>
      <c r="F167" s="4">
        <f ca="1">IF(ISERROR(iCountry!BT135),0,iCountry!BT135)</f>
        <v>0</v>
      </c>
      <c r="G167" s="4"/>
      <c r="H167" s="4"/>
      <c r="I167" s="4"/>
      <c r="J167" s="4"/>
      <c r="K167" s="4"/>
      <c r="L167" s="351" t="str" cm="1">
        <f t="array" aca="1" ref="L167" ca="1">IF($B167=0,"",INDEX(auto_Series_NameNoNumber,$B167))</f>
        <v/>
      </c>
      <c r="M167" s="345"/>
      <c r="N167" s="345"/>
      <c r="O167" s="345"/>
      <c r="P167" s="4"/>
      <c r="Q167" s="351" t="str" cm="1">
        <f t="array" aca="1" ref="Q167" ca="1">IF($C167=0,"",INDEX(auto_Series_NameNoNumber,$C167))</f>
        <v/>
      </c>
      <c r="R167" s="345"/>
      <c r="S167" s="345"/>
      <c r="T167" s="345"/>
      <c r="U167" s="4"/>
      <c r="V167" s="351" t="str" cm="1">
        <f t="array" aca="1" ref="V167" ca="1">IF($D167=0,"",INDEX(auto_Series_NameNoNumber,$D167))</f>
        <v/>
      </c>
      <c r="W167" s="345"/>
      <c r="X167" s="345"/>
      <c r="Y167" s="345"/>
      <c r="Z167" s="4"/>
      <c r="AA167" s="351" t="str" cm="1">
        <f t="array" aca="1" ref="AA167" ca="1">IF($E167=0,"",INDEX(auto_Series_NameNoNumber,$E167))</f>
        <v/>
      </c>
      <c r="AB167" s="345"/>
      <c r="AC167" s="345"/>
      <c r="AD167" s="345"/>
      <c r="AE167" s="4"/>
      <c r="AF167" s="351" t="str" cm="1">
        <f t="array" aca="1" ref="AF167" ca="1">IF($F167=0,"",INDEX(auto_Series_NameNoNumber,$F167))</f>
        <v/>
      </c>
      <c r="AG167" s="345"/>
      <c r="AH167" s="345"/>
      <c r="AI167" s="345"/>
      <c r="AJ167" s="4"/>
      <c r="AK167" s="4"/>
      <c r="AL167" s="4"/>
    </row>
    <row r="168" spans="1:38" ht="24" customHeight="1" x14ac:dyDescent="0.4">
      <c r="A168" s="284" t="str">
        <f t="shared" ca="1" si="2"/>
        <v>H</v>
      </c>
      <c r="B168" s="4">
        <f ca="1">IF(ISERROR(iCountry!BP136),0,iCountry!BP136)</f>
        <v>0</v>
      </c>
      <c r="C168" s="4">
        <f ca="1">IF(ISERROR(iCountry!BQ136),0,iCountry!BQ136)</f>
        <v>0</v>
      </c>
      <c r="D168" s="4">
        <f ca="1">IF(ISERROR(iCountry!BR136),0,iCountry!BR136)</f>
        <v>0</v>
      </c>
      <c r="E168" s="4">
        <f ca="1">IF(ISERROR(iCountry!BS136),0,iCountry!BS136)</f>
        <v>0</v>
      </c>
      <c r="F168" s="4">
        <f ca="1">IF(ISERROR(iCountry!BT136),0,iCountry!BT136)</f>
        <v>0</v>
      </c>
      <c r="G168" s="4"/>
      <c r="H168" s="4"/>
      <c r="I168" s="4"/>
      <c r="J168" s="4"/>
      <c r="K168" s="4"/>
      <c r="L168" s="351" t="str" cm="1">
        <f t="array" aca="1" ref="L168" ca="1">IF($B168=0,"",INDEX(auto_Series_NameNoNumber,$B168))</f>
        <v/>
      </c>
      <c r="M168" s="345"/>
      <c r="N168" s="345"/>
      <c r="O168" s="345"/>
      <c r="P168" s="4"/>
      <c r="Q168" s="351" t="str" cm="1">
        <f t="array" aca="1" ref="Q168" ca="1">IF($C168=0,"",INDEX(auto_Series_NameNoNumber,$C168))</f>
        <v/>
      </c>
      <c r="R168" s="345"/>
      <c r="S168" s="345"/>
      <c r="T168" s="345"/>
      <c r="U168" s="4"/>
      <c r="V168" s="351" t="str" cm="1">
        <f t="array" aca="1" ref="V168" ca="1">IF($D168=0,"",INDEX(auto_Series_NameNoNumber,$D168))</f>
        <v/>
      </c>
      <c r="W168" s="345"/>
      <c r="X168" s="345"/>
      <c r="Y168" s="345"/>
      <c r="Z168" s="4"/>
      <c r="AA168" s="351" t="str" cm="1">
        <f t="array" aca="1" ref="AA168" ca="1">IF($E168=0,"",INDEX(auto_Series_NameNoNumber,$E168))</f>
        <v/>
      </c>
      <c r="AB168" s="345"/>
      <c r="AC168" s="345"/>
      <c r="AD168" s="345"/>
      <c r="AE168" s="4"/>
      <c r="AF168" s="351" t="str" cm="1">
        <f t="array" aca="1" ref="AF168" ca="1">IF($F168=0,"",INDEX(auto_Series_NameNoNumber,$F168))</f>
        <v/>
      </c>
      <c r="AG168" s="345"/>
      <c r="AH168" s="345"/>
      <c r="AI168" s="345"/>
      <c r="AJ168" s="4"/>
      <c r="AK168" s="4"/>
      <c r="AL168" s="4"/>
    </row>
    <row r="169" spans="1:38" ht="24" customHeight="1" x14ac:dyDescent="0.4">
      <c r="A169" s="284" t="str">
        <f t="shared" ca="1" si="2"/>
        <v>H</v>
      </c>
      <c r="B169" s="4">
        <f ca="1">IF(ISERROR(iCountry!BP137),0,iCountry!BP137)</f>
        <v>0</v>
      </c>
      <c r="C169" s="4">
        <f ca="1">IF(ISERROR(iCountry!BQ137),0,iCountry!BQ137)</f>
        <v>0</v>
      </c>
      <c r="D169" s="4">
        <f ca="1">IF(ISERROR(iCountry!BR137),0,iCountry!BR137)</f>
        <v>0</v>
      </c>
      <c r="E169" s="4">
        <f ca="1">IF(ISERROR(iCountry!BS137),0,iCountry!BS137)</f>
        <v>0</v>
      </c>
      <c r="F169" s="4">
        <f ca="1">IF(ISERROR(iCountry!BT137),0,iCountry!BT137)</f>
        <v>0</v>
      </c>
      <c r="G169" s="4"/>
      <c r="H169" s="4"/>
      <c r="I169" s="4"/>
      <c r="J169" s="4"/>
      <c r="K169" s="4"/>
      <c r="L169" s="351" t="str" cm="1">
        <f t="array" aca="1" ref="L169" ca="1">IF($B169=0,"",INDEX(auto_Series_NameNoNumber,$B169))</f>
        <v/>
      </c>
      <c r="M169" s="345"/>
      <c r="N169" s="345"/>
      <c r="O169" s="345"/>
      <c r="P169" s="4"/>
      <c r="Q169" s="351" t="str" cm="1">
        <f t="array" aca="1" ref="Q169" ca="1">IF($C169=0,"",INDEX(auto_Series_NameNoNumber,$C169))</f>
        <v/>
      </c>
      <c r="R169" s="345"/>
      <c r="S169" s="345"/>
      <c r="T169" s="345"/>
      <c r="U169" s="4"/>
      <c r="V169" s="351" t="str" cm="1">
        <f t="array" aca="1" ref="V169" ca="1">IF($D169=0,"",INDEX(auto_Series_NameNoNumber,$D169))</f>
        <v/>
      </c>
      <c r="W169" s="345"/>
      <c r="X169" s="345"/>
      <c r="Y169" s="345"/>
      <c r="Z169" s="4"/>
      <c r="AA169" s="351" t="str" cm="1">
        <f t="array" aca="1" ref="AA169" ca="1">IF($E169=0,"",INDEX(auto_Series_NameNoNumber,$E169))</f>
        <v/>
      </c>
      <c r="AB169" s="345"/>
      <c r="AC169" s="345"/>
      <c r="AD169" s="345"/>
      <c r="AE169" s="4"/>
      <c r="AF169" s="351" t="str" cm="1">
        <f t="array" aca="1" ref="AF169" ca="1">IF($F169=0,"",INDEX(auto_Series_NameNoNumber,$F169))</f>
        <v/>
      </c>
      <c r="AG169" s="345"/>
      <c r="AH169" s="345"/>
      <c r="AI169" s="345"/>
      <c r="AJ169" s="4"/>
      <c r="AK169" s="4"/>
      <c r="AL169" s="4"/>
    </row>
    <row r="170" spans="1:38" ht="24" customHeight="1" x14ac:dyDescent="0.4">
      <c r="A170" s="284" t="str">
        <f t="shared" ca="1" si="2"/>
        <v>H</v>
      </c>
      <c r="B170" s="4">
        <f ca="1">IF(ISERROR(iCountry!BP138),0,iCountry!BP138)</f>
        <v>0</v>
      </c>
      <c r="C170" s="4">
        <f ca="1">IF(ISERROR(iCountry!BQ138),0,iCountry!BQ138)</f>
        <v>0</v>
      </c>
      <c r="D170" s="4">
        <f ca="1">IF(ISERROR(iCountry!BR138),0,iCountry!BR138)</f>
        <v>0</v>
      </c>
      <c r="E170" s="4">
        <f ca="1">IF(ISERROR(iCountry!BS138),0,iCountry!BS138)</f>
        <v>0</v>
      </c>
      <c r="F170" s="4">
        <f ca="1">IF(ISERROR(iCountry!BT138),0,iCountry!BT138)</f>
        <v>0</v>
      </c>
      <c r="G170" s="4"/>
      <c r="H170" s="4"/>
      <c r="I170" s="4"/>
      <c r="J170" s="4"/>
      <c r="K170" s="4"/>
      <c r="L170" s="351" t="str" cm="1">
        <f t="array" aca="1" ref="L170" ca="1">IF($B170=0,"",INDEX(auto_Series_NameNoNumber,$B170))</f>
        <v/>
      </c>
      <c r="M170" s="345"/>
      <c r="N170" s="345"/>
      <c r="O170" s="345"/>
      <c r="P170" s="4"/>
      <c r="Q170" s="351" t="str" cm="1">
        <f t="array" aca="1" ref="Q170" ca="1">IF($C170=0,"",INDEX(auto_Series_NameNoNumber,$C170))</f>
        <v/>
      </c>
      <c r="R170" s="345"/>
      <c r="S170" s="345"/>
      <c r="T170" s="345"/>
      <c r="U170" s="4"/>
      <c r="V170" s="351" t="str" cm="1">
        <f t="array" aca="1" ref="V170" ca="1">IF($D170=0,"",INDEX(auto_Series_NameNoNumber,$D170))</f>
        <v/>
      </c>
      <c r="W170" s="345"/>
      <c r="X170" s="345"/>
      <c r="Y170" s="345"/>
      <c r="Z170" s="4"/>
      <c r="AA170" s="351" t="str" cm="1">
        <f t="array" aca="1" ref="AA170" ca="1">IF($E170=0,"",INDEX(auto_Series_NameNoNumber,$E170))</f>
        <v/>
      </c>
      <c r="AB170" s="345"/>
      <c r="AC170" s="345"/>
      <c r="AD170" s="345"/>
      <c r="AE170" s="4"/>
      <c r="AF170" s="351" t="str" cm="1">
        <f t="array" aca="1" ref="AF170" ca="1">IF($F170=0,"",INDEX(auto_Series_NameNoNumber,$F170))</f>
        <v/>
      </c>
      <c r="AG170" s="345"/>
      <c r="AH170" s="345"/>
      <c r="AI170" s="345"/>
      <c r="AJ170" s="4"/>
      <c r="AK170" s="4"/>
      <c r="AL170" s="4"/>
    </row>
    <row r="171" spans="1:38" ht="24" customHeight="1" x14ac:dyDescent="0.4">
      <c r="A171" s="284" t="str">
        <f t="shared" ca="1" si="2"/>
        <v>H</v>
      </c>
      <c r="B171" s="4">
        <f ca="1">IF(ISERROR(iCountry!BP139),0,iCountry!BP139)</f>
        <v>0</v>
      </c>
      <c r="C171" s="4">
        <f ca="1">IF(ISERROR(iCountry!BQ139),0,iCountry!BQ139)</f>
        <v>0</v>
      </c>
      <c r="D171" s="4">
        <f ca="1">IF(ISERROR(iCountry!BR139),0,iCountry!BR139)</f>
        <v>0</v>
      </c>
      <c r="E171" s="4">
        <f ca="1">IF(ISERROR(iCountry!BS139),0,iCountry!BS139)</f>
        <v>0</v>
      </c>
      <c r="F171" s="4">
        <f ca="1">IF(ISERROR(iCountry!BT139),0,iCountry!BT139)</f>
        <v>0</v>
      </c>
      <c r="G171" s="4"/>
      <c r="H171" s="4"/>
      <c r="I171" s="4"/>
      <c r="J171" s="4"/>
      <c r="K171" s="4"/>
      <c r="L171" s="351" t="str" cm="1">
        <f t="array" aca="1" ref="L171" ca="1">IF($B171=0,"",INDEX(auto_Series_NameNoNumber,$B171))</f>
        <v/>
      </c>
      <c r="M171" s="345"/>
      <c r="N171" s="345"/>
      <c r="O171" s="345"/>
      <c r="P171" s="4"/>
      <c r="Q171" s="351" t="str" cm="1">
        <f t="array" aca="1" ref="Q171" ca="1">IF($C171=0,"",INDEX(auto_Series_NameNoNumber,$C171))</f>
        <v/>
      </c>
      <c r="R171" s="345"/>
      <c r="S171" s="345"/>
      <c r="T171" s="345"/>
      <c r="U171" s="4"/>
      <c r="V171" s="351" t="str" cm="1">
        <f t="array" aca="1" ref="V171" ca="1">IF($D171=0,"",INDEX(auto_Series_NameNoNumber,$D171))</f>
        <v/>
      </c>
      <c r="W171" s="345"/>
      <c r="X171" s="345"/>
      <c r="Y171" s="345"/>
      <c r="Z171" s="4"/>
      <c r="AA171" s="351" t="str" cm="1">
        <f t="array" aca="1" ref="AA171" ca="1">IF($E171=0,"",INDEX(auto_Series_NameNoNumber,$E171))</f>
        <v/>
      </c>
      <c r="AB171" s="345"/>
      <c r="AC171" s="345"/>
      <c r="AD171" s="345"/>
      <c r="AE171" s="4"/>
      <c r="AF171" s="351" t="str" cm="1">
        <f t="array" aca="1" ref="AF171" ca="1">IF($F171=0,"",INDEX(auto_Series_NameNoNumber,$F171))</f>
        <v/>
      </c>
      <c r="AG171" s="345"/>
      <c r="AH171" s="345"/>
      <c r="AI171" s="345"/>
      <c r="AJ171" s="4"/>
      <c r="AK171" s="4"/>
      <c r="AL171" s="4"/>
    </row>
    <row r="172" spans="1:38" ht="24" customHeight="1" x14ac:dyDescent="0.4">
      <c r="A172" s="284" t="str">
        <f t="shared" ca="1" si="2"/>
        <v>H</v>
      </c>
      <c r="B172" s="4">
        <f ca="1">IF(ISERROR(iCountry!BP140),0,iCountry!BP140)</f>
        <v>0</v>
      </c>
      <c r="C172" s="4">
        <f ca="1">IF(ISERROR(iCountry!BQ140),0,iCountry!BQ140)</f>
        <v>0</v>
      </c>
      <c r="D172" s="4">
        <f ca="1">IF(ISERROR(iCountry!BR140),0,iCountry!BR140)</f>
        <v>0</v>
      </c>
      <c r="E172" s="4">
        <f ca="1">IF(ISERROR(iCountry!BS140),0,iCountry!BS140)</f>
        <v>0</v>
      </c>
      <c r="F172" s="4">
        <f ca="1">IF(ISERROR(iCountry!BT140),0,iCountry!BT140)</f>
        <v>0</v>
      </c>
      <c r="G172" s="4"/>
      <c r="H172" s="4"/>
      <c r="I172" s="4"/>
      <c r="J172" s="4"/>
      <c r="K172" s="4"/>
      <c r="L172" s="351" t="str" cm="1">
        <f t="array" aca="1" ref="L172" ca="1">IF($B172=0,"",INDEX(auto_Series_NameNoNumber,$B172))</f>
        <v/>
      </c>
      <c r="M172" s="345"/>
      <c r="N172" s="345"/>
      <c r="O172" s="345"/>
      <c r="P172" s="4"/>
      <c r="Q172" s="351" t="str" cm="1">
        <f t="array" aca="1" ref="Q172" ca="1">IF($C172=0,"",INDEX(auto_Series_NameNoNumber,$C172))</f>
        <v/>
      </c>
      <c r="R172" s="345"/>
      <c r="S172" s="345"/>
      <c r="T172" s="345"/>
      <c r="U172" s="4"/>
      <c r="V172" s="351" t="str" cm="1">
        <f t="array" aca="1" ref="V172" ca="1">IF($D172=0,"",INDEX(auto_Series_NameNoNumber,$D172))</f>
        <v/>
      </c>
      <c r="W172" s="345"/>
      <c r="X172" s="345"/>
      <c r="Y172" s="345"/>
      <c r="Z172" s="4"/>
      <c r="AA172" s="351" t="str" cm="1">
        <f t="array" aca="1" ref="AA172" ca="1">IF($E172=0,"",INDEX(auto_Series_NameNoNumber,$E172))</f>
        <v/>
      </c>
      <c r="AB172" s="345"/>
      <c r="AC172" s="345"/>
      <c r="AD172" s="345"/>
      <c r="AE172" s="4"/>
      <c r="AF172" s="351" t="str" cm="1">
        <f t="array" aca="1" ref="AF172" ca="1">IF($F172=0,"",INDEX(auto_Series_NameNoNumber,$F172))</f>
        <v/>
      </c>
      <c r="AG172" s="345"/>
      <c r="AH172" s="345"/>
      <c r="AI172" s="345"/>
      <c r="AJ172" s="4"/>
      <c r="AK172" s="4"/>
      <c r="AL172" s="4"/>
    </row>
    <row r="173" spans="1:38" ht="24" customHeight="1" x14ac:dyDescent="0.4">
      <c r="A173" s="284" t="str">
        <f t="shared" ca="1" si="2"/>
        <v>H</v>
      </c>
      <c r="B173" s="4">
        <f ca="1">IF(ISERROR(iCountry!BP141),0,iCountry!BP141)</f>
        <v>0</v>
      </c>
      <c r="C173" s="4">
        <f ca="1">IF(ISERROR(iCountry!BQ141),0,iCountry!BQ141)</f>
        <v>0</v>
      </c>
      <c r="D173" s="4">
        <f ca="1">IF(ISERROR(iCountry!BR141),0,iCountry!BR141)</f>
        <v>0</v>
      </c>
      <c r="E173" s="4">
        <f ca="1">IF(ISERROR(iCountry!BS141),0,iCountry!BS141)</f>
        <v>0</v>
      </c>
      <c r="F173" s="4">
        <f ca="1">IF(ISERROR(iCountry!BT141),0,iCountry!BT141)</f>
        <v>0</v>
      </c>
      <c r="G173" s="4"/>
      <c r="H173" s="4"/>
      <c r="I173" s="4"/>
      <c r="J173" s="4"/>
      <c r="K173" s="4"/>
      <c r="L173" s="351" t="str" cm="1">
        <f t="array" aca="1" ref="L173" ca="1">IF($B173=0,"",INDEX(auto_Series_NameNoNumber,$B173))</f>
        <v/>
      </c>
      <c r="M173" s="345"/>
      <c r="N173" s="345"/>
      <c r="O173" s="345"/>
      <c r="P173" s="4"/>
      <c r="Q173" s="351" t="str" cm="1">
        <f t="array" aca="1" ref="Q173" ca="1">IF($C173=0,"",INDEX(auto_Series_NameNoNumber,$C173))</f>
        <v/>
      </c>
      <c r="R173" s="345"/>
      <c r="S173" s="345"/>
      <c r="T173" s="345"/>
      <c r="U173" s="4"/>
      <c r="V173" s="351" t="str" cm="1">
        <f t="array" aca="1" ref="V173" ca="1">IF($D173=0,"",INDEX(auto_Series_NameNoNumber,$D173))</f>
        <v/>
      </c>
      <c r="W173" s="345"/>
      <c r="X173" s="345"/>
      <c r="Y173" s="345"/>
      <c r="Z173" s="4"/>
      <c r="AA173" s="351" t="str" cm="1">
        <f t="array" aca="1" ref="AA173" ca="1">IF($E173=0,"",INDEX(auto_Series_NameNoNumber,$E173))</f>
        <v/>
      </c>
      <c r="AB173" s="345"/>
      <c r="AC173" s="345"/>
      <c r="AD173" s="345"/>
      <c r="AE173" s="4"/>
      <c r="AF173" s="351" t="str" cm="1">
        <f t="array" aca="1" ref="AF173" ca="1">IF($F173=0,"",INDEX(auto_Series_NameNoNumber,$F173))</f>
        <v/>
      </c>
      <c r="AG173" s="345"/>
      <c r="AH173" s="345"/>
      <c r="AI173" s="345"/>
      <c r="AJ173" s="4"/>
      <c r="AK173" s="4"/>
      <c r="AL173" s="4"/>
    </row>
    <row r="174" spans="1:38" ht="24" customHeight="1" x14ac:dyDescent="0.4">
      <c r="A174" s="284" t="str">
        <f t="shared" ca="1" si="2"/>
        <v>H</v>
      </c>
      <c r="B174" s="4">
        <f ca="1">IF(ISERROR(iCountry!BP142),0,iCountry!BP142)</f>
        <v>0</v>
      </c>
      <c r="C174" s="4">
        <f ca="1">IF(ISERROR(iCountry!BQ142),0,iCountry!BQ142)</f>
        <v>0</v>
      </c>
      <c r="D174" s="4">
        <f ca="1">IF(ISERROR(iCountry!BR142),0,iCountry!BR142)</f>
        <v>0</v>
      </c>
      <c r="E174" s="4">
        <f ca="1">IF(ISERROR(iCountry!BS142),0,iCountry!BS142)</f>
        <v>0</v>
      </c>
      <c r="F174" s="4">
        <f ca="1">IF(ISERROR(iCountry!BT142),0,iCountry!BT142)</f>
        <v>0</v>
      </c>
      <c r="G174" s="4"/>
      <c r="H174" s="4"/>
      <c r="I174" s="4"/>
      <c r="J174" s="4"/>
      <c r="K174" s="4"/>
      <c r="L174" s="351" t="str" cm="1">
        <f t="array" aca="1" ref="L174" ca="1">IF($B174=0,"",INDEX(auto_Series_NameNoNumber,$B174))</f>
        <v/>
      </c>
      <c r="M174" s="345"/>
      <c r="N174" s="345"/>
      <c r="O174" s="345"/>
      <c r="P174" s="4"/>
      <c r="Q174" s="351" t="str" cm="1">
        <f t="array" aca="1" ref="Q174" ca="1">IF($C174=0,"",INDEX(auto_Series_NameNoNumber,$C174))</f>
        <v/>
      </c>
      <c r="R174" s="345"/>
      <c r="S174" s="345"/>
      <c r="T174" s="345"/>
      <c r="U174" s="4"/>
      <c r="V174" s="351" t="str" cm="1">
        <f t="array" aca="1" ref="V174" ca="1">IF($D174=0,"",INDEX(auto_Series_NameNoNumber,$D174))</f>
        <v/>
      </c>
      <c r="W174" s="345"/>
      <c r="X174" s="345"/>
      <c r="Y174" s="345"/>
      <c r="Z174" s="4"/>
      <c r="AA174" s="351" t="str" cm="1">
        <f t="array" aca="1" ref="AA174" ca="1">IF($E174=0,"",INDEX(auto_Series_NameNoNumber,$E174))</f>
        <v/>
      </c>
      <c r="AB174" s="345"/>
      <c r="AC174" s="345"/>
      <c r="AD174" s="345"/>
      <c r="AE174" s="4"/>
      <c r="AF174" s="351" t="str" cm="1">
        <f t="array" aca="1" ref="AF174" ca="1">IF($F174=0,"",INDEX(auto_Series_NameNoNumber,$F174))</f>
        <v/>
      </c>
      <c r="AG174" s="345"/>
      <c r="AH174" s="345"/>
      <c r="AI174" s="345"/>
      <c r="AJ174" s="4"/>
      <c r="AK174" s="4"/>
      <c r="AL174" s="4"/>
    </row>
    <row r="175" spans="1:38" ht="24" customHeight="1" x14ac:dyDescent="0.4">
      <c r="A175" s="284" t="str">
        <f t="shared" ca="1" si="2"/>
        <v>H</v>
      </c>
      <c r="B175" s="4">
        <f ca="1">IF(ISERROR(iCountry!BP143),0,iCountry!BP143)</f>
        <v>0</v>
      </c>
      <c r="C175" s="4">
        <f ca="1">IF(ISERROR(iCountry!BQ143),0,iCountry!BQ143)</f>
        <v>0</v>
      </c>
      <c r="D175" s="4">
        <f ca="1">IF(ISERROR(iCountry!BR143),0,iCountry!BR143)</f>
        <v>0</v>
      </c>
      <c r="E175" s="4">
        <f ca="1">IF(ISERROR(iCountry!BS143),0,iCountry!BS143)</f>
        <v>0</v>
      </c>
      <c r="F175" s="4">
        <f ca="1">IF(ISERROR(iCountry!BT143),0,iCountry!BT143)</f>
        <v>0</v>
      </c>
      <c r="G175" s="4"/>
      <c r="H175" s="4"/>
      <c r="I175" s="4"/>
      <c r="J175" s="4"/>
      <c r="K175" s="4"/>
      <c r="L175" s="351" t="str" cm="1">
        <f t="array" aca="1" ref="L175" ca="1">IF($B175=0,"",INDEX(auto_Series_NameNoNumber,$B175))</f>
        <v/>
      </c>
      <c r="M175" s="345"/>
      <c r="N175" s="345"/>
      <c r="O175" s="345"/>
      <c r="P175" s="4"/>
      <c r="Q175" s="351" t="str" cm="1">
        <f t="array" aca="1" ref="Q175" ca="1">IF($C175=0,"",INDEX(auto_Series_NameNoNumber,$C175))</f>
        <v/>
      </c>
      <c r="R175" s="345"/>
      <c r="S175" s="345"/>
      <c r="T175" s="345"/>
      <c r="U175" s="4"/>
      <c r="V175" s="351" t="str" cm="1">
        <f t="array" aca="1" ref="V175" ca="1">IF($D175=0,"",INDEX(auto_Series_NameNoNumber,$D175))</f>
        <v/>
      </c>
      <c r="W175" s="345"/>
      <c r="X175" s="345"/>
      <c r="Y175" s="345"/>
      <c r="Z175" s="4"/>
      <c r="AA175" s="351" t="str" cm="1">
        <f t="array" aca="1" ref="AA175" ca="1">IF($E175=0,"",INDEX(auto_Series_NameNoNumber,$E175))</f>
        <v/>
      </c>
      <c r="AB175" s="345"/>
      <c r="AC175" s="345"/>
      <c r="AD175" s="345"/>
      <c r="AE175" s="4"/>
      <c r="AF175" s="351" t="str" cm="1">
        <f t="array" aca="1" ref="AF175" ca="1">IF($F175=0,"",INDEX(auto_Series_NameNoNumber,$F175))</f>
        <v/>
      </c>
      <c r="AG175" s="345"/>
      <c r="AH175" s="345"/>
      <c r="AI175" s="345"/>
      <c r="AJ175" s="4"/>
      <c r="AK175" s="4"/>
      <c r="AL175" s="4"/>
    </row>
    <row r="176" spans="1:38" ht="24" customHeight="1" x14ac:dyDescent="0.4">
      <c r="A176" s="284" t="str">
        <f t="shared" ca="1" si="2"/>
        <v>H</v>
      </c>
      <c r="B176" s="4">
        <f ca="1">IF(ISERROR(iCountry!BP144),0,iCountry!BP144)</f>
        <v>0</v>
      </c>
      <c r="C176" s="4">
        <f ca="1">IF(ISERROR(iCountry!BQ144),0,iCountry!BQ144)</f>
        <v>0</v>
      </c>
      <c r="D176" s="4">
        <f ca="1">IF(ISERROR(iCountry!BR144),0,iCountry!BR144)</f>
        <v>0</v>
      </c>
      <c r="E176" s="4">
        <f ca="1">IF(ISERROR(iCountry!BS144),0,iCountry!BS144)</f>
        <v>0</v>
      </c>
      <c r="F176" s="4">
        <f ca="1">IF(ISERROR(iCountry!BT144),0,iCountry!BT144)</f>
        <v>0</v>
      </c>
      <c r="G176" s="4"/>
      <c r="H176" s="4"/>
      <c r="I176" s="4"/>
      <c r="J176" s="4"/>
      <c r="K176" s="4"/>
      <c r="L176" s="351" t="str" cm="1">
        <f t="array" aca="1" ref="L176" ca="1">IF($B176=0,"",INDEX(auto_Series_NameNoNumber,$B176))</f>
        <v/>
      </c>
      <c r="M176" s="345"/>
      <c r="N176" s="345"/>
      <c r="O176" s="345"/>
      <c r="P176" s="4"/>
      <c r="Q176" s="351" t="str" cm="1">
        <f t="array" aca="1" ref="Q176" ca="1">IF($C176=0,"",INDEX(auto_Series_NameNoNumber,$C176))</f>
        <v/>
      </c>
      <c r="R176" s="345"/>
      <c r="S176" s="345"/>
      <c r="T176" s="345"/>
      <c r="U176" s="4"/>
      <c r="V176" s="351" t="str" cm="1">
        <f t="array" aca="1" ref="V176" ca="1">IF($D176=0,"",INDEX(auto_Series_NameNoNumber,$D176))</f>
        <v/>
      </c>
      <c r="W176" s="345"/>
      <c r="X176" s="345"/>
      <c r="Y176" s="345"/>
      <c r="Z176" s="4"/>
      <c r="AA176" s="351" t="str" cm="1">
        <f t="array" aca="1" ref="AA176" ca="1">IF($E176=0,"",INDEX(auto_Series_NameNoNumber,$E176))</f>
        <v/>
      </c>
      <c r="AB176" s="345"/>
      <c r="AC176" s="345"/>
      <c r="AD176" s="345"/>
      <c r="AE176" s="4"/>
      <c r="AF176" s="351" t="str" cm="1">
        <f t="array" aca="1" ref="AF176" ca="1">IF($F176=0,"",INDEX(auto_Series_NameNoNumber,$F176))</f>
        <v/>
      </c>
      <c r="AG176" s="345"/>
      <c r="AH176" s="345"/>
      <c r="AI176" s="345"/>
      <c r="AJ176" s="4"/>
      <c r="AK176" s="4"/>
      <c r="AL176" s="4"/>
    </row>
    <row r="177" spans="1:38" ht="24" customHeight="1" x14ac:dyDescent="0.4">
      <c r="A177" s="284" t="str">
        <f t="shared" ca="1" si="2"/>
        <v>H</v>
      </c>
      <c r="B177" s="4">
        <f ca="1">IF(ISERROR(iCountry!BP145),0,iCountry!BP145)</f>
        <v>0</v>
      </c>
      <c r="C177" s="4">
        <f ca="1">IF(ISERROR(iCountry!BQ145),0,iCountry!BQ145)</f>
        <v>0</v>
      </c>
      <c r="D177" s="4">
        <f ca="1">IF(ISERROR(iCountry!BR145),0,iCountry!BR145)</f>
        <v>0</v>
      </c>
      <c r="E177" s="4">
        <f ca="1">IF(ISERROR(iCountry!BS145),0,iCountry!BS145)</f>
        <v>0</v>
      </c>
      <c r="F177" s="4">
        <f ca="1">IF(ISERROR(iCountry!BT145),0,iCountry!BT145)</f>
        <v>0</v>
      </c>
      <c r="G177" s="4"/>
      <c r="H177" s="4"/>
      <c r="I177" s="4"/>
      <c r="J177" s="4"/>
      <c r="K177" s="4"/>
      <c r="L177" s="351" t="str" cm="1">
        <f t="array" aca="1" ref="L177" ca="1">IF($B177=0,"",INDEX(auto_Series_NameNoNumber,$B177))</f>
        <v/>
      </c>
      <c r="M177" s="345"/>
      <c r="N177" s="345"/>
      <c r="O177" s="345"/>
      <c r="P177" s="4"/>
      <c r="Q177" s="351" t="str" cm="1">
        <f t="array" aca="1" ref="Q177" ca="1">IF($C177=0,"",INDEX(auto_Series_NameNoNumber,$C177))</f>
        <v/>
      </c>
      <c r="R177" s="345"/>
      <c r="S177" s="345"/>
      <c r="T177" s="345"/>
      <c r="U177" s="4"/>
      <c r="V177" s="351" t="str" cm="1">
        <f t="array" aca="1" ref="V177" ca="1">IF($D177=0,"",INDEX(auto_Series_NameNoNumber,$D177))</f>
        <v/>
      </c>
      <c r="W177" s="345"/>
      <c r="X177" s="345"/>
      <c r="Y177" s="345"/>
      <c r="Z177" s="4"/>
      <c r="AA177" s="351" t="str" cm="1">
        <f t="array" aca="1" ref="AA177" ca="1">IF($E177=0,"",INDEX(auto_Series_NameNoNumber,$E177))</f>
        <v/>
      </c>
      <c r="AB177" s="345"/>
      <c r="AC177" s="345"/>
      <c r="AD177" s="345"/>
      <c r="AE177" s="4"/>
      <c r="AF177" s="351" t="str" cm="1">
        <f t="array" aca="1" ref="AF177" ca="1">IF($F177=0,"",INDEX(auto_Series_NameNoNumber,$F177))</f>
        <v/>
      </c>
      <c r="AG177" s="345"/>
      <c r="AH177" s="345"/>
      <c r="AI177" s="345"/>
      <c r="AJ177" s="4"/>
      <c r="AK177" s="4"/>
      <c r="AL177" s="4"/>
    </row>
    <row r="178" spans="1:38" ht="24" customHeight="1" x14ac:dyDescent="0.4">
      <c r="A178" s="284" t="str">
        <f t="shared" ca="1" si="2"/>
        <v>H</v>
      </c>
      <c r="B178" s="4">
        <f ca="1">IF(ISERROR(iCountry!BP146),0,iCountry!BP146)</f>
        <v>0</v>
      </c>
      <c r="C178" s="4">
        <f ca="1">IF(ISERROR(iCountry!BQ146),0,iCountry!BQ146)</f>
        <v>0</v>
      </c>
      <c r="D178" s="4">
        <f ca="1">IF(ISERROR(iCountry!BR146),0,iCountry!BR146)</f>
        <v>0</v>
      </c>
      <c r="E178" s="4">
        <f ca="1">IF(ISERROR(iCountry!BS146),0,iCountry!BS146)</f>
        <v>0</v>
      </c>
      <c r="F178" s="4">
        <f ca="1">IF(ISERROR(iCountry!BT146),0,iCountry!BT146)</f>
        <v>0</v>
      </c>
      <c r="G178" s="4"/>
      <c r="H178" s="4"/>
      <c r="I178" s="4"/>
      <c r="J178" s="4"/>
      <c r="K178" s="4"/>
      <c r="L178" s="351" t="str" cm="1">
        <f t="array" aca="1" ref="L178" ca="1">IF($B178=0,"",INDEX(auto_Series_NameNoNumber,$B178))</f>
        <v/>
      </c>
      <c r="M178" s="345"/>
      <c r="N178" s="345"/>
      <c r="O178" s="345"/>
      <c r="P178" s="4"/>
      <c r="Q178" s="351" t="str" cm="1">
        <f t="array" aca="1" ref="Q178" ca="1">IF($C178=0,"",INDEX(auto_Series_NameNoNumber,$C178))</f>
        <v/>
      </c>
      <c r="R178" s="345"/>
      <c r="S178" s="345"/>
      <c r="T178" s="345"/>
      <c r="U178" s="4"/>
      <c r="V178" s="351" t="str" cm="1">
        <f t="array" aca="1" ref="V178" ca="1">IF($D178=0,"",INDEX(auto_Series_NameNoNumber,$D178))</f>
        <v/>
      </c>
      <c r="W178" s="345"/>
      <c r="X178" s="345"/>
      <c r="Y178" s="345"/>
      <c r="Z178" s="4"/>
      <c r="AA178" s="351" t="str" cm="1">
        <f t="array" aca="1" ref="AA178" ca="1">IF($E178=0,"",INDEX(auto_Series_NameNoNumber,$E178))</f>
        <v/>
      </c>
      <c r="AB178" s="345"/>
      <c r="AC178" s="345"/>
      <c r="AD178" s="345"/>
      <c r="AE178" s="4"/>
      <c r="AF178" s="351" t="str" cm="1">
        <f t="array" aca="1" ref="AF178" ca="1">IF($F178=0,"",INDEX(auto_Series_NameNoNumber,$F178))</f>
        <v/>
      </c>
      <c r="AG178" s="345"/>
      <c r="AH178" s="345"/>
      <c r="AI178" s="345"/>
      <c r="AJ178" s="4"/>
      <c r="AK178" s="4"/>
      <c r="AL178" s="4"/>
    </row>
    <row r="179" spans="1:38" ht="24" customHeight="1" x14ac:dyDescent="0.4">
      <c r="A179" s="284" t="str">
        <f t="shared" ca="1" si="2"/>
        <v>H</v>
      </c>
      <c r="B179" s="4">
        <f ca="1">IF(ISERROR(iCountry!BP147),0,iCountry!BP147)</f>
        <v>0</v>
      </c>
      <c r="C179" s="4">
        <f ca="1">IF(ISERROR(iCountry!BQ147),0,iCountry!BQ147)</f>
        <v>0</v>
      </c>
      <c r="D179" s="4">
        <f ca="1">IF(ISERROR(iCountry!BR147),0,iCountry!BR147)</f>
        <v>0</v>
      </c>
      <c r="E179" s="4">
        <f ca="1">IF(ISERROR(iCountry!BS147),0,iCountry!BS147)</f>
        <v>0</v>
      </c>
      <c r="F179" s="4">
        <f ca="1">IF(ISERROR(iCountry!BT147),0,iCountry!BT147)</f>
        <v>0</v>
      </c>
      <c r="G179" s="4"/>
      <c r="H179" s="4"/>
      <c r="I179" s="4"/>
      <c r="J179" s="4"/>
      <c r="K179" s="4"/>
      <c r="L179" s="351" t="str" cm="1">
        <f t="array" aca="1" ref="L179" ca="1">IF($B179=0,"",INDEX(auto_Series_NameNoNumber,$B179))</f>
        <v/>
      </c>
      <c r="M179" s="345"/>
      <c r="N179" s="345"/>
      <c r="O179" s="345"/>
      <c r="P179" s="4"/>
      <c r="Q179" s="351" t="str" cm="1">
        <f t="array" aca="1" ref="Q179" ca="1">IF($C179=0,"",INDEX(auto_Series_NameNoNumber,$C179))</f>
        <v/>
      </c>
      <c r="R179" s="345"/>
      <c r="S179" s="345"/>
      <c r="T179" s="345"/>
      <c r="U179" s="4"/>
      <c r="V179" s="351" t="str" cm="1">
        <f t="array" aca="1" ref="V179" ca="1">IF($D179=0,"",INDEX(auto_Series_NameNoNumber,$D179))</f>
        <v/>
      </c>
      <c r="W179" s="345"/>
      <c r="X179" s="345"/>
      <c r="Y179" s="345"/>
      <c r="Z179" s="4"/>
      <c r="AA179" s="351" t="str" cm="1">
        <f t="array" aca="1" ref="AA179" ca="1">IF($E179=0,"",INDEX(auto_Series_NameNoNumber,$E179))</f>
        <v/>
      </c>
      <c r="AB179" s="345"/>
      <c r="AC179" s="345"/>
      <c r="AD179" s="345"/>
      <c r="AE179" s="4"/>
      <c r="AF179" s="351" t="str" cm="1">
        <f t="array" aca="1" ref="AF179" ca="1">IF($F179=0,"",INDEX(auto_Series_NameNoNumber,$F179))</f>
        <v/>
      </c>
      <c r="AG179" s="345"/>
      <c r="AH179" s="345"/>
      <c r="AI179" s="345"/>
      <c r="AJ179" s="4"/>
      <c r="AK179" s="4"/>
      <c r="AL179" s="4"/>
    </row>
    <row r="180" spans="1:38"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1:38"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1:38"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1:38" x14ac:dyDescent="0.4">
      <c r="A183" s="4" t="s">
        <v>3</v>
      </c>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1:38" x14ac:dyDescent="0.4"/>
    <row r="185" spans="1:38" x14ac:dyDescent="0.4"/>
    <row r="186" spans="1:38" x14ac:dyDescent="0.4"/>
    <row r="187" spans="1:38" x14ac:dyDescent="0.4"/>
    <row r="188" spans="1:38" x14ac:dyDescent="0.4"/>
    <row r="189" spans="1:38" x14ac:dyDescent="0.4"/>
    <row r="190" spans="1:38" x14ac:dyDescent="0.4"/>
    <row r="191" spans="1:38" x14ac:dyDescent="0.4"/>
    <row r="192" spans="1:38" x14ac:dyDescent="0.4"/>
    <row r="193" x14ac:dyDescent="0.4"/>
    <row r="194" x14ac:dyDescent="0.4"/>
    <row r="195" x14ac:dyDescent="0.4"/>
    <row r="196" x14ac:dyDescent="0.4"/>
    <row r="197" x14ac:dyDescent="0.4"/>
    <row r="198" x14ac:dyDescent="0.4"/>
    <row r="199" x14ac:dyDescent="0.4"/>
    <row r="200" x14ac:dyDescent="0.4"/>
    <row r="201" x14ac:dyDescent="0.4"/>
    <row r="202" x14ac:dyDescent="0.4"/>
    <row r="203" x14ac:dyDescent="0.4"/>
    <row r="204" x14ac:dyDescent="0.4"/>
    <row r="205" x14ac:dyDescent="0.4"/>
    <row r="206" x14ac:dyDescent="0.4"/>
    <row r="207" x14ac:dyDescent="0.4"/>
    <row r="208" x14ac:dyDescent="0.4"/>
    <row r="209" x14ac:dyDescent="0.4"/>
    <row r="210" x14ac:dyDescent="0.4"/>
    <row r="211" x14ac:dyDescent="0.4"/>
    <row r="212" x14ac:dyDescent="0.4"/>
    <row r="213" x14ac:dyDescent="0.4"/>
    <row r="214" x14ac:dyDescent="0.4"/>
    <row r="215" x14ac:dyDescent="0.4"/>
    <row r="216" x14ac:dyDescent="0.4"/>
    <row r="217" x14ac:dyDescent="0.4"/>
    <row r="218" x14ac:dyDescent="0.4"/>
    <row r="219" x14ac:dyDescent="0.4"/>
    <row r="220" x14ac:dyDescent="0.4"/>
    <row r="221" x14ac:dyDescent="0.4"/>
    <row r="222" x14ac:dyDescent="0.4"/>
    <row r="223" x14ac:dyDescent="0.4"/>
    <row r="224" x14ac:dyDescent="0.4"/>
    <row r="225" x14ac:dyDescent="0.4"/>
    <row r="226" x14ac:dyDescent="0.4"/>
    <row r="227" x14ac:dyDescent="0.4"/>
    <row r="228" x14ac:dyDescent="0.4"/>
    <row r="229" x14ac:dyDescent="0.4"/>
    <row r="230" x14ac:dyDescent="0.4"/>
    <row r="231" x14ac:dyDescent="0.4"/>
    <row r="232" x14ac:dyDescent="0.4"/>
    <row r="233" x14ac:dyDescent="0.4"/>
    <row r="234" x14ac:dyDescent="0.4"/>
    <row r="235" x14ac:dyDescent="0.4"/>
    <row r="236" x14ac:dyDescent="0.4"/>
    <row r="237" x14ac:dyDescent="0.4"/>
    <row r="238" x14ac:dyDescent="0.4"/>
    <row r="239" x14ac:dyDescent="0.4"/>
    <row r="240" x14ac:dyDescent="0.4"/>
    <row r="241" x14ac:dyDescent="0.4"/>
    <row r="242" x14ac:dyDescent="0.4"/>
    <row r="243" x14ac:dyDescent="0.4"/>
    <row r="244" x14ac:dyDescent="0.4"/>
    <row r="245" x14ac:dyDescent="0.4"/>
    <row r="246" x14ac:dyDescent="0.4"/>
    <row r="247" x14ac:dyDescent="0.4"/>
    <row r="248" x14ac:dyDescent="0.4"/>
    <row r="249" x14ac:dyDescent="0.4"/>
    <row r="250" x14ac:dyDescent="0.4"/>
    <row r="251" x14ac:dyDescent="0.4"/>
    <row r="252" x14ac:dyDescent="0.4"/>
    <row r="253" x14ac:dyDescent="0.4"/>
    <row r="254" x14ac:dyDescent="0.4"/>
    <row r="255" x14ac:dyDescent="0.4"/>
    <row r="256" x14ac:dyDescent="0.4"/>
    <row r="257" x14ac:dyDescent="0.4"/>
    <row r="258" x14ac:dyDescent="0.4"/>
    <row r="259" x14ac:dyDescent="0.4"/>
    <row r="260" x14ac:dyDescent="0.4"/>
    <row r="261" x14ac:dyDescent="0.4"/>
    <row r="262" x14ac:dyDescent="0.4"/>
    <row r="263" x14ac:dyDescent="0.4"/>
    <row r="264" x14ac:dyDescent="0.4"/>
    <row r="265" x14ac:dyDescent="0.4"/>
    <row r="266" x14ac:dyDescent="0.4"/>
    <row r="267" x14ac:dyDescent="0.4"/>
    <row r="268" x14ac:dyDescent="0.4"/>
    <row r="269" x14ac:dyDescent="0.4"/>
    <row r="270" x14ac:dyDescent="0.4"/>
    <row r="271" x14ac:dyDescent="0.4"/>
    <row r="272" x14ac:dyDescent="0.4"/>
    <row r="273" x14ac:dyDescent="0.4"/>
    <row r="274" x14ac:dyDescent="0.4"/>
    <row r="275" x14ac:dyDescent="0.4"/>
    <row r="276" x14ac:dyDescent="0.4"/>
    <row r="277" x14ac:dyDescent="0.4"/>
    <row r="278" x14ac:dyDescent="0.4"/>
    <row r="279" x14ac:dyDescent="0.4"/>
    <row r="280" x14ac:dyDescent="0.4"/>
    <row r="281" x14ac:dyDescent="0.4"/>
    <row r="282" x14ac:dyDescent="0.4"/>
    <row r="283" x14ac:dyDescent="0.4"/>
    <row r="284" x14ac:dyDescent="0.4"/>
    <row r="285" x14ac:dyDescent="0.4"/>
    <row r="286" x14ac:dyDescent="0.4"/>
    <row r="287" x14ac:dyDescent="0.4"/>
    <row r="288" x14ac:dyDescent="0.4"/>
    <row r="289" x14ac:dyDescent="0.4"/>
    <row r="290" x14ac:dyDescent="0.4"/>
    <row r="291" x14ac:dyDescent="0.4"/>
    <row r="292" x14ac:dyDescent="0.4"/>
    <row r="293" x14ac:dyDescent="0.4"/>
    <row r="294" x14ac:dyDescent="0.4"/>
    <row r="295" x14ac:dyDescent="0.4"/>
    <row r="296" x14ac:dyDescent="0.4"/>
    <row r="297" x14ac:dyDescent="0.4"/>
    <row r="298" x14ac:dyDescent="0.4"/>
    <row r="299" x14ac:dyDescent="0.4"/>
    <row r="300" x14ac:dyDescent="0.4"/>
  </sheetData>
  <mergeCells count="270">
    <mergeCell ref="AA132:AD132"/>
    <mergeCell ref="AF132:AI132"/>
    <mergeCell ref="AA133:AD133"/>
    <mergeCell ref="AF133:AI133"/>
    <mergeCell ref="AA134:AD134"/>
    <mergeCell ref="AF134:AI134"/>
    <mergeCell ref="Q132:T132"/>
    <mergeCell ref="V132:Y132"/>
    <mergeCell ref="Q133:T133"/>
    <mergeCell ref="V133:Y133"/>
    <mergeCell ref="Q134:T134"/>
    <mergeCell ref="V134:Y134"/>
    <mergeCell ref="Q138:T138"/>
    <mergeCell ref="V138:Y138"/>
    <mergeCell ref="AA138:AD138"/>
    <mergeCell ref="AF138:AI138"/>
    <mergeCell ref="Q139:T139"/>
    <mergeCell ref="V139:Y139"/>
    <mergeCell ref="AA139:AD139"/>
    <mergeCell ref="AF139:AI139"/>
    <mergeCell ref="Q140:T140"/>
    <mergeCell ref="V140:Y140"/>
    <mergeCell ref="AA140:AD140"/>
    <mergeCell ref="AF140:AI140"/>
    <mergeCell ref="AA135:AD135"/>
    <mergeCell ref="AF135:AI135"/>
    <mergeCell ref="AA136:AD136"/>
    <mergeCell ref="AF136:AI136"/>
    <mergeCell ref="AA137:AD137"/>
    <mergeCell ref="AF137:AI137"/>
    <mergeCell ref="Q135:T135"/>
    <mergeCell ref="V135:Y135"/>
    <mergeCell ref="Q136:T136"/>
    <mergeCell ref="V136:Y136"/>
    <mergeCell ref="Q137:T137"/>
    <mergeCell ref="V137:Y137"/>
    <mergeCell ref="L151:O151"/>
    <mergeCell ref="L152:O152"/>
    <mergeCell ref="L153:O153"/>
    <mergeCell ref="L154:O154"/>
    <mergeCell ref="L155:O155"/>
    <mergeCell ref="L156:O156"/>
    <mergeCell ref="L157:O157"/>
    <mergeCell ref="Q144:T144"/>
    <mergeCell ref="V144:Y144"/>
    <mergeCell ref="Q147:T147"/>
    <mergeCell ref="V147:Y147"/>
    <mergeCell ref="Q150:T150"/>
    <mergeCell ref="V150:Y150"/>
    <mergeCell ref="Q145:T145"/>
    <mergeCell ref="V145:Y145"/>
    <mergeCell ref="Q148:T148"/>
    <mergeCell ref="V148:Y148"/>
    <mergeCell ref="Q152:T152"/>
    <mergeCell ref="Q156:T156"/>
    <mergeCell ref="L158:O158"/>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Q169:T169"/>
    <mergeCell ref="Q170:T170"/>
    <mergeCell ref="Q171:T171"/>
    <mergeCell ref="Q172:T172"/>
    <mergeCell ref="Q173:T173"/>
    <mergeCell ref="Q174:T174"/>
    <mergeCell ref="Q175:T175"/>
    <mergeCell ref="Q160:T160"/>
    <mergeCell ref="Q163:T163"/>
    <mergeCell ref="Q166:T166"/>
    <mergeCell ref="V171:Y171"/>
    <mergeCell ref="V172:Y172"/>
    <mergeCell ref="V173:Y173"/>
    <mergeCell ref="V174:Y174"/>
    <mergeCell ref="V175:Y175"/>
    <mergeCell ref="V160:Y160"/>
    <mergeCell ref="V163:Y163"/>
    <mergeCell ref="V166:Y166"/>
    <mergeCell ref="V151:Y151"/>
    <mergeCell ref="V154:Y154"/>
    <mergeCell ref="V157:Y157"/>
    <mergeCell ref="V152:Y152"/>
    <mergeCell ref="V156:Y156"/>
    <mergeCell ref="L140:O140"/>
    <mergeCell ref="L141:O141"/>
    <mergeCell ref="AF169:AI169"/>
    <mergeCell ref="AF170:AI170"/>
    <mergeCell ref="AF171:AI171"/>
    <mergeCell ref="AF172:AI172"/>
    <mergeCell ref="AF173:AI173"/>
    <mergeCell ref="AF174:AI174"/>
    <mergeCell ref="AF175:AI175"/>
    <mergeCell ref="AA169:AD169"/>
    <mergeCell ref="AA170:AD170"/>
    <mergeCell ref="AA171:AD171"/>
    <mergeCell ref="AA172:AD172"/>
    <mergeCell ref="AA173:AD173"/>
    <mergeCell ref="AA174:AD174"/>
    <mergeCell ref="AA175:AD175"/>
    <mergeCell ref="AA160:AD160"/>
    <mergeCell ref="AA163:AD163"/>
    <mergeCell ref="AA166:AD166"/>
    <mergeCell ref="AA151:AD151"/>
    <mergeCell ref="AA154:AD154"/>
    <mergeCell ref="AA157:AD157"/>
    <mergeCell ref="V169:Y169"/>
    <mergeCell ref="V170:Y170"/>
    <mergeCell ref="L131:O131"/>
    <mergeCell ref="L132:O132"/>
    <mergeCell ref="L133:O133"/>
    <mergeCell ref="L134:O134"/>
    <mergeCell ref="L135:O135"/>
    <mergeCell ref="L136:O136"/>
    <mergeCell ref="L137:O137"/>
    <mergeCell ref="L138:O138"/>
    <mergeCell ref="L139:O139"/>
    <mergeCell ref="L126:O126"/>
    <mergeCell ref="Q126:T126"/>
    <mergeCell ref="V126:Y126"/>
    <mergeCell ref="AA126:AD126"/>
    <mergeCell ref="AF126:AI126"/>
    <mergeCell ref="L127:O127"/>
    <mergeCell ref="L128:O128"/>
    <mergeCell ref="L129:O129"/>
    <mergeCell ref="L130:O130"/>
    <mergeCell ref="L142:O142"/>
    <mergeCell ref="L143:O143"/>
    <mergeCell ref="L144:O144"/>
    <mergeCell ref="L145:O145"/>
    <mergeCell ref="L146:O146"/>
    <mergeCell ref="L147:O147"/>
    <mergeCell ref="L148:O148"/>
    <mergeCell ref="L149:O149"/>
    <mergeCell ref="L150:O150"/>
    <mergeCell ref="L176:O176"/>
    <mergeCell ref="L177:O177"/>
    <mergeCell ref="L178:O178"/>
    <mergeCell ref="L179:O179"/>
    <mergeCell ref="Q127:T127"/>
    <mergeCell ref="V127:Y127"/>
    <mergeCell ref="AA127:AD127"/>
    <mergeCell ref="AF127:AI127"/>
    <mergeCell ref="Q128:T128"/>
    <mergeCell ref="V128:Y128"/>
    <mergeCell ref="AA128:AD128"/>
    <mergeCell ref="AF128:AI128"/>
    <mergeCell ref="Q129:T129"/>
    <mergeCell ref="V129:Y129"/>
    <mergeCell ref="AA129:AD129"/>
    <mergeCell ref="AF129:AI129"/>
    <mergeCell ref="Q130:T130"/>
    <mergeCell ref="V130:Y130"/>
    <mergeCell ref="AA130:AD130"/>
    <mergeCell ref="AF130:AI130"/>
    <mergeCell ref="Q131:T131"/>
    <mergeCell ref="V131:Y131"/>
    <mergeCell ref="AA131:AD131"/>
    <mergeCell ref="AF131:AI131"/>
    <mergeCell ref="Q141:T141"/>
    <mergeCell ref="V141:Y141"/>
    <mergeCell ref="AA141:AD141"/>
    <mergeCell ref="AF141:AI141"/>
    <mergeCell ref="Q142:T142"/>
    <mergeCell ref="V142:Y142"/>
    <mergeCell ref="AA142:AD142"/>
    <mergeCell ref="AF142:AI142"/>
    <mergeCell ref="Q143:T143"/>
    <mergeCell ref="V143:Y143"/>
    <mergeCell ref="AA143:AD143"/>
    <mergeCell ref="AF143:AI143"/>
    <mergeCell ref="AA145:AD145"/>
    <mergeCell ref="AF145:AI145"/>
    <mergeCell ref="Q146:T146"/>
    <mergeCell ref="V146:Y146"/>
    <mergeCell ref="AA146:AD146"/>
    <mergeCell ref="AF146:AI146"/>
    <mergeCell ref="AA144:AD144"/>
    <mergeCell ref="AF144:AI144"/>
    <mergeCell ref="AA147:AD147"/>
    <mergeCell ref="AF147:AI147"/>
    <mergeCell ref="AA148:AD148"/>
    <mergeCell ref="AF148:AI148"/>
    <mergeCell ref="Q149:T149"/>
    <mergeCell ref="V149:Y149"/>
    <mergeCell ref="AA149:AD149"/>
    <mergeCell ref="AF149:AI149"/>
    <mergeCell ref="AA150:AD150"/>
    <mergeCell ref="AF150:AI150"/>
    <mergeCell ref="AF151:AI151"/>
    <mergeCell ref="AA152:AD152"/>
    <mergeCell ref="AF152:AI152"/>
    <mergeCell ref="Q153:T153"/>
    <mergeCell ref="V153:Y153"/>
    <mergeCell ref="AA153:AD153"/>
    <mergeCell ref="AF153:AI153"/>
    <mergeCell ref="Q151:T151"/>
    <mergeCell ref="AF154:AI154"/>
    <mergeCell ref="Q155:T155"/>
    <mergeCell ref="V155:Y155"/>
    <mergeCell ref="AA155:AD155"/>
    <mergeCell ref="AF155:AI155"/>
    <mergeCell ref="AA156:AD156"/>
    <mergeCell ref="AF156:AI156"/>
    <mergeCell ref="Q154:T154"/>
    <mergeCell ref="AF157:AI157"/>
    <mergeCell ref="Q158:T158"/>
    <mergeCell ref="V158:Y158"/>
    <mergeCell ref="AA158:AD158"/>
    <mergeCell ref="AF158:AI158"/>
    <mergeCell ref="Q159:T159"/>
    <mergeCell ref="V159:Y159"/>
    <mergeCell ref="AA159:AD159"/>
    <mergeCell ref="AF159:AI159"/>
    <mergeCell ref="Q157:T157"/>
    <mergeCell ref="AF160:AI160"/>
    <mergeCell ref="Q161:T161"/>
    <mergeCell ref="V161:Y161"/>
    <mergeCell ref="AA161:AD161"/>
    <mergeCell ref="AF161:AI161"/>
    <mergeCell ref="Q162:T162"/>
    <mergeCell ref="V162:Y162"/>
    <mergeCell ref="AA162:AD162"/>
    <mergeCell ref="AF162:AI162"/>
    <mergeCell ref="AF163:AI163"/>
    <mergeCell ref="Q164:T164"/>
    <mergeCell ref="V164:Y164"/>
    <mergeCell ref="AA164:AD164"/>
    <mergeCell ref="AF164:AI164"/>
    <mergeCell ref="Q165:T165"/>
    <mergeCell ref="V165:Y165"/>
    <mergeCell ref="AA165:AD165"/>
    <mergeCell ref="AF165:AI165"/>
    <mergeCell ref="AF166:AI166"/>
    <mergeCell ref="Q167:T167"/>
    <mergeCell ref="V167:Y167"/>
    <mergeCell ref="AA167:AD167"/>
    <mergeCell ref="AF167:AI167"/>
    <mergeCell ref="Q168:T168"/>
    <mergeCell ref="V168:Y168"/>
    <mergeCell ref="AA168:AD168"/>
    <mergeCell ref="AF168:AI168"/>
    <mergeCell ref="Q179:T179"/>
    <mergeCell ref="V179:Y179"/>
    <mergeCell ref="AA179:AD179"/>
    <mergeCell ref="AF179:AI179"/>
    <mergeCell ref="Q176:T176"/>
    <mergeCell ref="V176:Y176"/>
    <mergeCell ref="AA176:AD176"/>
    <mergeCell ref="AF176:AI176"/>
    <mergeCell ref="Q177:T177"/>
    <mergeCell ref="V177:Y177"/>
    <mergeCell ref="AA177:AD177"/>
    <mergeCell ref="AF177:AI177"/>
    <mergeCell ref="Q178:T178"/>
    <mergeCell ref="V178:Y178"/>
    <mergeCell ref="AA178:AD178"/>
    <mergeCell ref="AF178:AI178"/>
  </mergeCells>
  <phoneticPr fontId="8" type="noConversion"/>
  <conditionalFormatting sqref="L23">
    <cfRule type="expression" dxfId="250" priority="241">
      <formula>L23="n/a"</formula>
    </cfRule>
  </conditionalFormatting>
  <conditionalFormatting sqref="L23">
    <cfRule type="expression" dxfId="249" priority="240">
      <formula>L23="n/a"</formula>
    </cfRule>
  </conditionalFormatting>
  <conditionalFormatting sqref="L23">
    <cfRule type="expression" dxfId="248" priority="229">
      <formula>F23=1</formula>
    </cfRule>
    <cfRule type="expression" dxfId="247" priority="230">
      <formula>F23=2</formula>
    </cfRule>
    <cfRule type="expression" dxfId="246" priority="231">
      <formula>F23=3</formula>
    </cfRule>
    <cfRule type="expression" dxfId="245" priority="232">
      <formula>F23=4</formula>
    </cfRule>
    <cfRule type="expression" dxfId="244" priority="233">
      <formula>F23=5</formula>
    </cfRule>
  </conditionalFormatting>
  <conditionalFormatting sqref="I22">
    <cfRule type="expression" dxfId="243" priority="192">
      <formula>I22="n/a"</formula>
    </cfRule>
  </conditionalFormatting>
  <conditionalFormatting sqref="I22">
    <cfRule type="expression" dxfId="242" priority="191">
      <formula>I22="n/a"</formula>
    </cfRule>
  </conditionalFormatting>
  <conditionalFormatting sqref="I23">
    <cfRule type="expression" dxfId="241" priority="188">
      <formula>I23="n/a"</formula>
    </cfRule>
  </conditionalFormatting>
  <conditionalFormatting sqref="I23">
    <cfRule type="expression" dxfId="240" priority="187">
      <formula>I23="n/a"</formula>
    </cfRule>
  </conditionalFormatting>
  <conditionalFormatting sqref="J23">
    <cfRule type="expression" dxfId="239" priority="153">
      <formula>J23="n/a"</formula>
    </cfRule>
  </conditionalFormatting>
  <conditionalFormatting sqref="J23">
    <cfRule type="expression" dxfId="238" priority="152">
      <formula>J23="n/a"</formula>
    </cfRule>
  </conditionalFormatting>
  <conditionalFormatting sqref="J23">
    <cfRule type="expression" dxfId="237" priority="147">
      <formula>D23=1</formula>
    </cfRule>
    <cfRule type="expression" dxfId="236" priority="148">
      <formula>D23=2</formula>
    </cfRule>
    <cfRule type="expression" dxfId="235" priority="149">
      <formula>D23=3</formula>
    </cfRule>
    <cfRule type="expression" dxfId="234" priority="150">
      <formula>D23=4</formula>
    </cfRule>
    <cfRule type="expression" dxfId="233" priority="151">
      <formula>D23=5</formula>
    </cfRule>
  </conditionalFormatting>
  <conditionalFormatting sqref="J22 J35:J39 J42:J46 J49:J56 J59:J62 J65:J73">
    <cfRule type="expression" dxfId="232" priority="249">
      <formula>F22=0</formula>
    </cfRule>
    <cfRule type="expression" dxfId="231" priority="250">
      <formula>F22=1</formula>
    </cfRule>
    <cfRule type="expression" dxfId="230" priority="251">
      <formula>F22=2</formula>
    </cfRule>
    <cfRule type="expression" dxfId="229" priority="252">
      <formula>F22=3</formula>
    </cfRule>
    <cfRule type="expression" dxfId="228" priority="253">
      <formula>F22=4</formula>
    </cfRule>
    <cfRule type="expression" dxfId="227" priority="254">
      <formula>F22=5</formula>
    </cfRule>
    <cfRule type="expression" dxfId="226" priority="255">
      <formula>F22=6</formula>
    </cfRule>
  </conditionalFormatting>
  <conditionalFormatting sqref="J24:J28">
    <cfRule type="expression" dxfId="225" priority="126">
      <formula>F24=0</formula>
    </cfRule>
    <cfRule type="expression" dxfId="224" priority="127">
      <formula>F24=1</formula>
    </cfRule>
    <cfRule type="expression" dxfId="223" priority="128">
      <formula>F24=2</formula>
    </cfRule>
    <cfRule type="expression" dxfId="222" priority="129">
      <formula>F24=3</formula>
    </cfRule>
    <cfRule type="expression" dxfId="221" priority="130">
      <formula>F24=4</formula>
    </cfRule>
    <cfRule type="expression" dxfId="220" priority="131">
      <formula>F24=5</formula>
    </cfRule>
    <cfRule type="expression" dxfId="219" priority="132">
      <formula>F24=6</formula>
    </cfRule>
  </conditionalFormatting>
  <conditionalFormatting sqref="L35:L39 L24:L28 L42:L46 L49:L56 L59:L62 L65:L73">
    <cfRule type="expression" dxfId="218" priority="84">
      <formula>F24=0</formula>
    </cfRule>
    <cfRule type="expression" dxfId="217" priority="85">
      <formula>F24=1</formula>
    </cfRule>
    <cfRule type="expression" dxfId="216" priority="86">
      <formula>F24=2</formula>
    </cfRule>
    <cfRule type="expression" dxfId="215" priority="87">
      <formula>F24=3</formula>
    </cfRule>
    <cfRule type="expression" dxfId="214" priority="88">
      <formula>F24=4</formula>
    </cfRule>
    <cfRule type="expression" dxfId="213" priority="89">
      <formula>F24=5</formula>
    </cfRule>
    <cfRule type="expression" dxfId="212" priority="90">
      <formula>F24=6</formula>
    </cfRule>
  </conditionalFormatting>
  <conditionalFormatting sqref="L22">
    <cfRule type="expression" dxfId="211" priority="43">
      <formula>F22=0</formula>
    </cfRule>
    <cfRule type="expression" dxfId="210" priority="44">
      <formula>F22=1</formula>
    </cfRule>
    <cfRule type="expression" dxfId="209" priority="45">
      <formula>F22=2</formula>
    </cfRule>
    <cfRule type="expression" dxfId="208" priority="46">
      <formula>F22=3</formula>
    </cfRule>
    <cfRule type="expression" dxfId="207" priority="47">
      <formula>F22=4</formula>
    </cfRule>
    <cfRule type="expression" dxfId="206" priority="48">
      <formula>F22=5</formula>
    </cfRule>
    <cfRule type="expression" dxfId="205" priority="49">
      <formula>F22=6</formula>
    </cfRule>
  </conditionalFormatting>
  <conditionalFormatting sqref="L126:O179">
    <cfRule type="expression" dxfId="204" priority="42">
      <formula>L126&lt;&gt;""</formula>
    </cfRule>
  </conditionalFormatting>
  <conditionalFormatting sqref="Q126:T179">
    <cfRule type="expression" dxfId="203" priority="41">
      <formula>Q126&lt;&gt;""</formula>
    </cfRule>
  </conditionalFormatting>
  <conditionalFormatting sqref="V126:Y179">
    <cfRule type="expression" dxfId="202" priority="40">
      <formula>V126&lt;&gt;""</formula>
    </cfRule>
  </conditionalFormatting>
  <conditionalFormatting sqref="AA126:AD179">
    <cfRule type="expression" dxfId="201" priority="39">
      <formula>AA126&lt;&gt;""</formula>
    </cfRule>
  </conditionalFormatting>
  <conditionalFormatting sqref="AF126:AI179">
    <cfRule type="expression" dxfId="200" priority="38">
      <formula>AF126&lt;&gt;""</formula>
    </cfRule>
  </conditionalFormatting>
  <conditionalFormatting sqref="I35:I39 I42:I46 I49:I56 I59:I62 I65:I73">
    <cfRule type="expression" dxfId="199" priority="2">
      <formula>I35="n/a"</formula>
    </cfRule>
  </conditionalFormatting>
  <conditionalFormatting sqref="I35:I39 I42:I46 I49:I56 I59:I62 I65:I73">
    <cfRule type="expression" dxfId="198" priority="1">
      <formula>I35="n/a"</formula>
    </cfRule>
  </conditionalFormatting>
  <pageMargins left="0.28958880139982501" right="0.28958880139982501" top="0.62992125984251945" bottom="0.39370078740157499" header="0.11811023622047251" footer="0.3"/>
  <pageSetup paperSize="9" scale="55" fitToHeight="0" orientation="portrait" r:id="rId1"/>
  <headerFooter scaleWithDoc="0">
    <oddHeader>&amp;R&amp;"Calibri"&amp;10&amp;K808080City Heartbeat 2024, 50 city index (v1.0)</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6412818" r:id="rId4" name="ui_cnt_CountryFlt">
              <controlPr defaultSize="0" print="0" autoFill="0" autoPict="0" macro="[0]!k">
                <anchor>
                  <from>
                    <xdr:col>0</xdr:col>
                    <xdr:colOff>125186</xdr:colOff>
                    <xdr:row>3</xdr:row>
                    <xdr:rowOff>239486</xdr:rowOff>
                  </from>
                  <to>
                    <xdr:col>3</xdr:col>
                    <xdr:colOff>255814</xdr:colOff>
                    <xdr:row>3</xdr:row>
                    <xdr:rowOff>451757</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053E5-A524-48BB-A347-AA179F30C7BD}">
  <sheetPr codeName="Sheet7">
    <pageSetUpPr fitToPage="1"/>
  </sheetPr>
  <dimension ref="A1:EZ300"/>
  <sheetViews>
    <sheetView showGridLines="0" showRowColHeaders="0" zoomScaleNormal="100" workbookViewId="0">
      <pane ySplit="7" topLeftCell="A8" activePane="bottomLeft" state="frozen"/>
      <selection pane="bottomLeft" activeCell="AX44" sqref="AX44"/>
    </sheetView>
  </sheetViews>
  <sheetFormatPr defaultRowHeight="14.6" zeroHeight="1" x14ac:dyDescent="0.4"/>
  <cols>
    <col min="1" max="1" width="2.69140625" customWidth="1"/>
    <col min="2" max="2" width="4" customWidth="1"/>
    <col min="3" max="3" width="4.23046875" customWidth="1"/>
    <col min="4" max="5" width="5" customWidth="1"/>
    <col min="6" max="6" width="5.3828125" customWidth="1"/>
    <col min="7" max="7" width="3.53515625" customWidth="1"/>
    <col min="8" max="8" width="3.84375" customWidth="1"/>
    <col min="9" max="9" width="7.69140625" customWidth="1"/>
    <col min="10" max="10" width="5.69140625" customWidth="1"/>
    <col min="11" max="16" width="7.3828125" customWidth="1"/>
    <col min="17" max="17" width="2.53515625" customWidth="1"/>
    <col min="18" max="18" width="0.69140625" customWidth="1"/>
    <col min="19" max="19" width="4" customWidth="1"/>
    <col min="20" max="20" width="13.15234375" customWidth="1"/>
    <col min="21" max="21" width="5.3828125" customWidth="1"/>
    <col min="22" max="22" width="5.84375" customWidth="1"/>
    <col min="23" max="31" width="1.53515625" customWidth="1"/>
    <col min="32" max="32" width="2.53515625" customWidth="1"/>
    <col min="33" max="33" width="0.69140625" customWidth="1"/>
    <col min="34" max="34" width="4" customWidth="1"/>
    <col min="35" max="35" width="13.15234375" customWidth="1"/>
    <col min="36" max="36" width="5.3828125" customWidth="1"/>
    <col min="37" max="37" width="5.84375" customWidth="1"/>
    <col min="38" max="46" width="2.15234375" customWidth="1"/>
    <col min="47" max="47" width="2.53515625" customWidth="1"/>
    <col min="48" max="48" width="0.69140625" customWidth="1"/>
    <col min="49" max="49" width="4" customWidth="1"/>
    <col min="50" max="50" width="13.15234375" customWidth="1"/>
    <col min="51" max="51" width="5.3828125" customWidth="1"/>
    <col min="52" max="52" width="5.84375" customWidth="1"/>
    <col min="53" max="53" width="7" customWidth="1"/>
    <col min="54" max="61" width="2.15234375" customWidth="1"/>
    <col min="62" max="62" width="2.53515625" customWidth="1"/>
    <col min="63" max="63" width="0.69140625" customWidth="1"/>
    <col min="64" max="64" width="4" customWidth="1"/>
    <col min="65" max="65" width="13.15234375" customWidth="1"/>
    <col min="66" max="66" width="5.3828125" customWidth="1"/>
    <col min="67" max="67" width="5.84375" customWidth="1"/>
    <col min="68" max="76" width="2.15234375" customWidth="1"/>
    <col min="77" max="77" width="2.53515625" customWidth="1"/>
    <col min="78" max="78" width="0.69140625" customWidth="1"/>
    <col min="79" max="79" width="4" customWidth="1"/>
    <col min="80" max="80" width="13.15234375" customWidth="1"/>
    <col min="81" max="81" width="5.3828125" customWidth="1"/>
    <col min="82" max="82" width="5.84375" customWidth="1"/>
    <col min="83" max="91" width="2.15234375" customWidth="1"/>
    <col min="92" max="92" width="2.53515625" customWidth="1"/>
    <col min="93" max="93" width="0.69140625" customWidth="1"/>
    <col min="94" max="94" width="4" customWidth="1"/>
    <col min="95" max="95" width="13.15234375" customWidth="1"/>
    <col min="96" max="96" width="5.3828125" customWidth="1"/>
    <col min="97" max="97" width="5.84375" customWidth="1"/>
    <col min="98" max="106" width="2.15234375" customWidth="1"/>
    <col min="107" max="107" width="2.53515625" customWidth="1"/>
    <col min="108" max="108" width="0.69140625" customWidth="1"/>
    <col min="109" max="109" width="4" customWidth="1"/>
    <col min="110" max="110" width="13.15234375" customWidth="1"/>
    <col min="111" max="111" width="5.3828125" customWidth="1"/>
    <col min="112" max="112" width="5.84375" customWidth="1"/>
    <col min="113" max="121" width="2.15234375" customWidth="1"/>
    <col min="122" max="122" width="2.53515625" customWidth="1"/>
    <col min="123" max="123" width="0.69140625" customWidth="1"/>
    <col min="124" max="124" width="4" customWidth="1"/>
    <col min="125" max="125" width="13.15234375" customWidth="1"/>
    <col min="126" max="126" width="5.3828125" customWidth="1"/>
    <col min="127" max="127" width="5.84375" customWidth="1"/>
    <col min="128" max="136" width="2.15234375" customWidth="1"/>
    <col min="137" max="137" width="2.53515625" customWidth="1"/>
    <col min="138" max="138" width="0.69140625" customWidth="1"/>
    <col min="139" max="139" width="4" customWidth="1"/>
    <col min="140" max="140" width="13.15234375" customWidth="1"/>
    <col min="141" max="141" width="5.3828125" customWidth="1"/>
    <col min="142" max="142" width="5.84375" customWidth="1"/>
    <col min="143" max="151" width="2.15234375" customWidth="1"/>
    <col min="152" max="152" width="2.53515625" customWidth="1"/>
    <col min="153" max="153" width="0.69140625" customWidth="1"/>
    <col min="154" max="154" width="4" customWidth="1"/>
    <col min="155" max="155" width="13.15234375" customWidth="1"/>
    <col min="156" max="156" width="5.3828125" customWidth="1"/>
  </cols>
  <sheetData>
    <row r="1" spans="1:156" ht="24" hidden="1" customHeight="1" x14ac:dyDescent="0.4">
      <c r="A1" s="4" t="s">
        <v>2</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row>
    <row r="2" spans="1:156" ht="24" customHeight="1" x14ac:dyDescent="0.4">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row>
    <row r="3" spans="1:156" ht="26.05" customHeight="1" x14ac:dyDescent="0.4">
      <c r="A3" s="4"/>
      <c r="B3" s="4" t="s">
        <v>1063</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row>
    <row r="4" spans="1:156" ht="42" customHeight="1" x14ac:dyDescent="0.4">
      <c r="A4" s="4"/>
      <c r="B4" s="35" t="s">
        <v>1659</v>
      </c>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row>
    <row r="5" spans="1:156" ht="24" customHeight="1" x14ac:dyDescent="0.4">
      <c r="A5" s="4" t="s">
        <v>2</v>
      </c>
      <c r="B5" s="111" t="str">
        <f>uxbGlobals!$B$353</f>
        <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row>
    <row r="6" spans="1:156" ht="24" customHeight="1" x14ac:dyDescent="0.4">
      <c r="A6" s="4" t="s">
        <v>2</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row>
    <row r="7" spans="1:156" ht="24" customHeight="1" x14ac:dyDescent="0.4">
      <c r="A7" s="4" t="s">
        <v>2</v>
      </c>
      <c r="B7" s="40">
        <f>uxbGlobals!$B$317</f>
        <v>0</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row>
    <row r="8" spans="1:156" ht="8.0500000000000007" customHeight="1" x14ac:dyDescent="0.4">
      <c r="A8" s="4"/>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row>
    <row r="9" spans="1:156" ht="15" customHeight="1" x14ac:dyDescent="0.4">
      <c r="A9" s="4" t="s">
        <v>2</v>
      </c>
      <c r="B9" s="4" t="s">
        <v>2</v>
      </c>
      <c r="C9" s="4" t="s">
        <v>2</v>
      </c>
      <c r="D9" s="4" t="s">
        <v>2</v>
      </c>
      <c r="E9" s="4" t="s">
        <v>2</v>
      </c>
      <c r="F9" s="4" t="s">
        <v>2</v>
      </c>
      <c r="G9" s="4"/>
      <c r="H9" s="4" t="s">
        <v>2</v>
      </c>
      <c r="I9" s="4" t="s">
        <v>2</v>
      </c>
      <c r="J9" s="4" t="s">
        <v>2</v>
      </c>
      <c r="K9" s="4" t="s">
        <v>2</v>
      </c>
      <c r="L9" s="4" t="s">
        <v>2</v>
      </c>
      <c r="M9" s="4" t="s">
        <v>2</v>
      </c>
      <c r="N9" s="4" t="s">
        <v>2</v>
      </c>
      <c r="O9" s="4" t="s">
        <v>2</v>
      </c>
      <c r="P9" s="4" t="s">
        <v>2</v>
      </c>
      <c r="Q9" s="4"/>
      <c r="R9" s="4"/>
      <c r="S9" s="4"/>
      <c r="T9" s="4"/>
      <c r="U9" s="4"/>
      <c r="V9" s="4"/>
      <c r="W9" s="4" t="s">
        <v>2</v>
      </c>
      <c r="X9" s="4" t="s">
        <v>2</v>
      </c>
      <c r="Y9" s="4" t="s">
        <v>2</v>
      </c>
      <c r="Z9" s="4" t="s">
        <v>2</v>
      </c>
      <c r="AA9" s="4" t="s">
        <v>2</v>
      </c>
      <c r="AB9" s="4" t="s">
        <v>2</v>
      </c>
      <c r="AC9" s="4" t="s">
        <v>2</v>
      </c>
      <c r="AD9" s="4" t="s">
        <v>2</v>
      </c>
      <c r="AE9" s="4" t="s">
        <v>2</v>
      </c>
      <c r="AF9" s="4" t="str">
        <f>IF(W20=-1,"H","")</f>
        <v/>
      </c>
      <c r="AG9" s="4" t="str">
        <f>AF9</f>
        <v/>
      </c>
      <c r="AH9" s="4" t="str">
        <f t="shared" ref="AH9:AK9" si="0">AG9</f>
        <v/>
      </c>
      <c r="AI9" s="4" t="str">
        <f t="shared" si="0"/>
        <v/>
      </c>
      <c r="AJ9" s="4" t="str">
        <f t="shared" si="0"/>
        <v/>
      </c>
      <c r="AK9" s="4" t="str">
        <f t="shared" si="0"/>
        <v/>
      </c>
      <c r="AL9" s="4" t="s">
        <v>2</v>
      </c>
      <c r="AM9" s="4" t="s">
        <v>2</v>
      </c>
      <c r="AN9" s="4" t="s">
        <v>2</v>
      </c>
      <c r="AO9" s="4" t="s">
        <v>2</v>
      </c>
      <c r="AP9" s="4" t="s">
        <v>2</v>
      </c>
      <c r="AQ9" s="4" t="s">
        <v>2</v>
      </c>
      <c r="AR9" s="4" t="s">
        <v>2</v>
      </c>
      <c r="AS9" s="4" t="s">
        <v>2</v>
      </c>
      <c r="AT9" s="4" t="s">
        <v>2</v>
      </c>
      <c r="AU9" s="4" t="str">
        <f>IF(AL20=-1,"H","")</f>
        <v/>
      </c>
      <c r="AV9" s="4" t="str">
        <f>AU9</f>
        <v/>
      </c>
      <c r="AW9" s="4" t="str">
        <f t="shared" ref="AW9:AZ9" si="1">AV9</f>
        <v/>
      </c>
      <c r="AX9" s="4" t="str">
        <f t="shared" si="1"/>
        <v/>
      </c>
      <c r="AY9" s="4" t="str">
        <f t="shared" si="1"/>
        <v/>
      </c>
      <c r="AZ9" s="4" t="str">
        <f t="shared" si="1"/>
        <v/>
      </c>
      <c r="BA9" s="4" t="s">
        <v>2</v>
      </c>
      <c r="BB9" s="4" t="s">
        <v>2</v>
      </c>
      <c r="BC9" s="4" t="s">
        <v>2</v>
      </c>
      <c r="BD9" s="4" t="s">
        <v>2</v>
      </c>
      <c r="BE9" s="4" t="s">
        <v>2</v>
      </c>
      <c r="BF9" s="4" t="s">
        <v>2</v>
      </c>
      <c r="BG9" s="4" t="s">
        <v>2</v>
      </c>
      <c r="BH9" s="4" t="s">
        <v>2</v>
      </c>
      <c r="BI9" s="4" t="s">
        <v>2</v>
      </c>
      <c r="BJ9" s="4" t="str">
        <f>IF(BA20=-1,"H","")</f>
        <v/>
      </c>
      <c r="BK9" s="4" t="str">
        <f>BJ9</f>
        <v/>
      </c>
      <c r="BL9" s="4" t="str">
        <f t="shared" ref="BL9:BO9" si="2">BK9</f>
        <v/>
      </c>
      <c r="BM9" s="4" t="str">
        <f t="shared" si="2"/>
        <v/>
      </c>
      <c r="BN9" s="4" t="str">
        <f t="shared" si="2"/>
        <v/>
      </c>
      <c r="BO9" s="4" t="str">
        <f t="shared" si="2"/>
        <v/>
      </c>
      <c r="BP9" s="4" t="s">
        <v>2</v>
      </c>
      <c r="BQ9" s="4" t="s">
        <v>2</v>
      </c>
      <c r="BR9" s="4" t="s">
        <v>2</v>
      </c>
      <c r="BS9" s="4" t="s">
        <v>2</v>
      </c>
      <c r="BT9" s="4" t="s">
        <v>2</v>
      </c>
      <c r="BU9" s="4" t="s">
        <v>2</v>
      </c>
      <c r="BV9" s="4" t="s">
        <v>2</v>
      </c>
      <c r="BW9" s="4" t="s">
        <v>2</v>
      </c>
      <c r="BX9" s="4" t="s">
        <v>2</v>
      </c>
      <c r="BY9" s="4" t="str">
        <f>IF(BP20=-1,"H","")</f>
        <v/>
      </c>
      <c r="BZ9" s="4" t="str">
        <f>BY9</f>
        <v/>
      </c>
      <c r="CA9" s="4" t="str">
        <f t="shared" ref="CA9:CD9" si="3">BZ9</f>
        <v/>
      </c>
      <c r="CB9" s="4" t="str">
        <f t="shared" si="3"/>
        <v/>
      </c>
      <c r="CC9" s="4" t="str">
        <f t="shared" si="3"/>
        <v/>
      </c>
      <c r="CD9" s="4" t="str">
        <f t="shared" si="3"/>
        <v/>
      </c>
      <c r="CE9" s="4" t="s">
        <v>2</v>
      </c>
      <c r="CF9" s="4" t="s">
        <v>2</v>
      </c>
      <c r="CG9" s="4" t="s">
        <v>2</v>
      </c>
      <c r="CH9" s="4" t="s">
        <v>2</v>
      </c>
      <c r="CI9" s="4" t="s">
        <v>2</v>
      </c>
      <c r="CJ9" s="4" t="s">
        <v>2</v>
      </c>
      <c r="CK9" s="4" t="s">
        <v>2</v>
      </c>
      <c r="CL9" s="4" t="s">
        <v>2</v>
      </c>
      <c r="CM9" s="4" t="s">
        <v>2</v>
      </c>
      <c r="CN9" s="4" t="str">
        <f>IF(CE20=-1,"H","")</f>
        <v/>
      </c>
      <c r="CO9" s="4" t="str">
        <f>CN9</f>
        <v/>
      </c>
      <c r="CP9" s="4" t="str">
        <f t="shared" ref="CP9:CR9" si="4">CO9</f>
        <v/>
      </c>
      <c r="CQ9" s="4" t="str">
        <f t="shared" si="4"/>
        <v/>
      </c>
      <c r="CR9" s="4" t="str">
        <f t="shared" si="4"/>
        <v/>
      </c>
      <c r="CS9" s="4" t="str">
        <f t="shared" ref="CS9" si="5">CR9</f>
        <v/>
      </c>
      <c r="CT9" s="4" t="s">
        <v>2</v>
      </c>
      <c r="CU9" s="4" t="s">
        <v>2</v>
      </c>
      <c r="CV9" s="4" t="s">
        <v>2</v>
      </c>
      <c r="CW9" s="4" t="s">
        <v>2</v>
      </c>
      <c r="CX9" s="4" t="s">
        <v>2</v>
      </c>
      <c r="CY9" s="4" t="s">
        <v>2</v>
      </c>
      <c r="CZ9" s="4" t="s">
        <v>2</v>
      </c>
      <c r="DA9" s="4" t="s">
        <v>2</v>
      </c>
      <c r="DB9" s="4" t="s">
        <v>2</v>
      </c>
      <c r="DC9" s="4" t="str">
        <f>IF(CT20=-1,"H","")</f>
        <v>H</v>
      </c>
      <c r="DD9" s="4" t="str">
        <f>DC9</f>
        <v>H</v>
      </c>
      <c r="DE9" s="4" t="str">
        <f t="shared" ref="DE9" si="6">DD9</f>
        <v>H</v>
      </c>
      <c r="DF9" s="4" t="str">
        <f t="shared" ref="DF9" si="7">DE9</f>
        <v>H</v>
      </c>
      <c r="DG9" s="4" t="str">
        <f t="shared" ref="DG9" si="8">DF9</f>
        <v>H</v>
      </c>
      <c r="DH9" s="4" t="str">
        <f t="shared" ref="DH9" si="9">DG9</f>
        <v>H</v>
      </c>
      <c r="DI9" s="4" t="s">
        <v>2</v>
      </c>
      <c r="DJ9" s="4" t="s">
        <v>2</v>
      </c>
      <c r="DK9" s="4" t="s">
        <v>2</v>
      </c>
      <c r="DL9" s="4" t="s">
        <v>2</v>
      </c>
      <c r="DM9" s="4" t="s">
        <v>2</v>
      </c>
      <c r="DN9" s="4" t="s">
        <v>2</v>
      </c>
      <c r="DO9" s="4" t="s">
        <v>2</v>
      </c>
      <c r="DP9" s="4" t="s">
        <v>2</v>
      </c>
      <c r="DQ9" s="4" t="s">
        <v>2</v>
      </c>
      <c r="DR9" s="4" t="str">
        <f>IF(DI20=-1,"H","")</f>
        <v>H</v>
      </c>
      <c r="DS9" s="4" t="str">
        <f>DR9</f>
        <v>H</v>
      </c>
      <c r="DT9" s="4" t="str">
        <f t="shared" ref="DT9" si="10">DS9</f>
        <v>H</v>
      </c>
      <c r="DU9" s="4" t="str">
        <f t="shared" ref="DU9" si="11">DT9</f>
        <v>H</v>
      </c>
      <c r="DV9" s="4" t="str">
        <f t="shared" ref="DV9" si="12">DU9</f>
        <v>H</v>
      </c>
      <c r="DW9" s="4" t="str">
        <f t="shared" ref="DW9" si="13">DV9</f>
        <v>H</v>
      </c>
      <c r="DX9" s="4" t="s">
        <v>2</v>
      </c>
      <c r="DY9" s="4" t="s">
        <v>2</v>
      </c>
      <c r="DZ9" s="4" t="s">
        <v>2</v>
      </c>
      <c r="EA9" s="4" t="s">
        <v>2</v>
      </c>
      <c r="EB9" s="4" t="s">
        <v>2</v>
      </c>
      <c r="EC9" s="4" t="s">
        <v>2</v>
      </c>
      <c r="ED9" s="4" t="s">
        <v>2</v>
      </c>
      <c r="EE9" s="4" t="s">
        <v>2</v>
      </c>
      <c r="EF9" s="4" t="s">
        <v>2</v>
      </c>
      <c r="EG9" s="4" t="str">
        <f>IF(DX20=-1,"H","")</f>
        <v>H</v>
      </c>
      <c r="EH9" s="4" t="str">
        <f>EG9</f>
        <v>H</v>
      </c>
      <c r="EI9" s="4" t="str">
        <f t="shared" ref="EI9" si="14">EH9</f>
        <v>H</v>
      </c>
      <c r="EJ9" s="4" t="str">
        <f t="shared" ref="EJ9" si="15">EI9</f>
        <v>H</v>
      </c>
      <c r="EK9" s="4" t="str">
        <f t="shared" ref="EK9" si="16">EJ9</f>
        <v>H</v>
      </c>
      <c r="EL9" s="4" t="str">
        <f t="shared" ref="EL9" si="17">EK9</f>
        <v>H</v>
      </c>
      <c r="EM9" s="4" t="s">
        <v>2</v>
      </c>
      <c r="EN9" s="4" t="s">
        <v>2</v>
      </c>
      <c r="EO9" s="4" t="s">
        <v>2</v>
      </c>
      <c r="EP9" s="4" t="s">
        <v>2</v>
      </c>
      <c r="EQ9" s="4" t="s">
        <v>2</v>
      </c>
      <c r="ER9" s="4" t="s">
        <v>2</v>
      </c>
      <c r="ES9" s="4" t="s">
        <v>2</v>
      </c>
      <c r="ET9" s="4" t="s">
        <v>2</v>
      </c>
      <c r="EU9" s="4" t="s">
        <v>2</v>
      </c>
      <c r="EV9" s="4" t="str">
        <f>IF(EM20=-1,"H","")</f>
        <v>H</v>
      </c>
      <c r="EW9" s="4" t="str">
        <f>EV9</f>
        <v>H</v>
      </c>
      <c r="EX9" s="4" t="str">
        <f t="shared" ref="EX9" si="18">EW9</f>
        <v>H</v>
      </c>
      <c r="EY9" s="4" t="str">
        <f t="shared" ref="EY9" si="19">EX9</f>
        <v>H</v>
      </c>
      <c r="EZ9" s="4" t="str">
        <f t="shared" ref="EZ9" si="20">EY9</f>
        <v>H</v>
      </c>
    </row>
    <row r="10" spans="1:156" ht="15" customHeight="1" x14ac:dyDescent="0.4">
      <c r="A10" s="13" t="s">
        <v>2</v>
      </c>
      <c r="B10" s="13" t="s">
        <v>2</v>
      </c>
      <c r="C10" s="4"/>
      <c r="D10" s="4"/>
      <c r="E10" s="4"/>
      <c r="F10" s="4"/>
      <c r="G10" s="4"/>
      <c r="H10" s="4"/>
      <c r="I10" s="4"/>
      <c r="J10" s="4"/>
      <c r="K10" s="4"/>
      <c r="L10" s="4"/>
      <c r="M10" s="4"/>
      <c r="N10" s="4"/>
      <c r="O10" s="4"/>
      <c r="P10" s="4"/>
      <c r="Q10" s="10"/>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row>
    <row r="11" spans="1:156" ht="18.45" x14ac:dyDescent="0.5">
      <c r="A11" s="13" t="s">
        <v>2</v>
      </c>
      <c r="B11" s="4"/>
      <c r="C11" s="4"/>
      <c r="D11" s="26" t="s">
        <v>482</v>
      </c>
      <c r="E11" s="49">
        <v>1</v>
      </c>
      <c r="F11" s="4"/>
      <c r="G11" s="4"/>
      <c r="H11" s="4"/>
      <c r="I11" s="4"/>
      <c r="J11" s="4"/>
      <c r="K11" s="4"/>
      <c r="L11" s="4"/>
      <c r="M11" s="4"/>
      <c r="N11" s="4"/>
      <c r="O11" s="4"/>
      <c r="P11" s="4"/>
      <c r="Q11" s="285"/>
      <c r="R11" s="286"/>
      <c r="S11" s="286"/>
      <c r="T11" s="4"/>
      <c r="U11" s="4"/>
      <c r="V11" s="4"/>
      <c r="W11" s="4"/>
      <c r="X11" s="4"/>
      <c r="Y11" s="4"/>
      <c r="Z11" s="4"/>
      <c r="AA11" s="4"/>
      <c r="AB11" s="4"/>
      <c r="AC11" s="4"/>
      <c r="AD11" s="4"/>
      <c r="AE11" s="4"/>
      <c r="AF11" s="286"/>
      <c r="AG11" s="286"/>
      <c r="AH11" s="286"/>
      <c r="AI11" s="4"/>
      <c r="AJ11" s="4"/>
      <c r="AK11" s="4"/>
      <c r="AL11" s="4"/>
      <c r="AM11" s="4"/>
      <c r="AN11" s="4"/>
      <c r="AO11" s="4"/>
      <c r="AP11" s="4"/>
      <c r="AQ11" s="4"/>
      <c r="AR11" s="4"/>
      <c r="AS11" s="4"/>
      <c r="AT11" s="4"/>
      <c r="AU11" s="286"/>
      <c r="AV11" s="286"/>
      <c r="AW11" s="286"/>
      <c r="AX11" s="4"/>
      <c r="AY11" s="4"/>
      <c r="AZ11" s="4"/>
      <c r="BA11" s="4"/>
      <c r="BB11" s="4"/>
      <c r="BC11" s="4"/>
      <c r="BD11" s="4"/>
      <c r="BE11" s="4"/>
      <c r="BF11" s="4"/>
      <c r="BG11" s="4"/>
      <c r="BH11" s="4"/>
      <c r="BI11" s="4"/>
      <c r="BJ11" s="286"/>
      <c r="BK11" s="286"/>
      <c r="BL11" s="286"/>
      <c r="BM11" s="4"/>
      <c r="BN11" s="4"/>
      <c r="BO11" s="4"/>
      <c r="BP11" s="4"/>
      <c r="BQ11" s="4"/>
      <c r="BR11" s="4"/>
      <c r="BS11" s="4"/>
      <c r="BT11" s="4"/>
      <c r="BU11" s="4"/>
      <c r="BV11" s="4"/>
      <c r="BW11" s="4"/>
      <c r="BX11" s="4"/>
      <c r="BY11" s="286"/>
      <c r="BZ11" s="286"/>
      <c r="CA11" s="286"/>
      <c r="CB11" s="4"/>
      <c r="CC11" s="4"/>
      <c r="CD11" s="4"/>
      <c r="CE11" s="4"/>
      <c r="CF11" s="4"/>
      <c r="CG11" s="4"/>
      <c r="CH11" s="4"/>
      <c r="CI11" s="4"/>
      <c r="CJ11" s="4"/>
      <c r="CK11" s="4"/>
      <c r="CL11" s="4"/>
      <c r="CM11" s="4"/>
      <c r="CN11" s="286"/>
      <c r="CO11" s="286"/>
      <c r="CP11" s="286"/>
      <c r="CQ11" s="4"/>
      <c r="CR11" s="4"/>
      <c r="CS11" s="4"/>
      <c r="CT11" s="4"/>
      <c r="CU11" s="4"/>
      <c r="CV11" s="4"/>
      <c r="CW11" s="4"/>
      <c r="CX11" s="4"/>
      <c r="CY11" s="4"/>
      <c r="CZ11" s="4"/>
      <c r="DA11" s="4"/>
      <c r="DB11" s="4"/>
      <c r="DC11" s="286"/>
      <c r="DD11" s="286"/>
      <c r="DE11" s="286"/>
      <c r="DF11" s="4"/>
      <c r="DG11" s="4"/>
      <c r="DH11" s="4"/>
      <c r="DI11" s="4"/>
      <c r="DJ11" s="4"/>
      <c r="DK11" s="4"/>
      <c r="DL11" s="4"/>
      <c r="DM11" s="4"/>
      <c r="DN11" s="4"/>
      <c r="DO11" s="4"/>
      <c r="DP11" s="4"/>
      <c r="DQ11" s="4"/>
      <c r="DR11" s="286"/>
      <c r="DS11" s="286"/>
      <c r="DT11" s="286"/>
      <c r="DU11" s="4"/>
      <c r="DV11" s="4"/>
      <c r="DW11" s="4"/>
      <c r="DX11" s="4"/>
      <c r="DY11" s="4"/>
      <c r="DZ11" s="4"/>
      <c r="EA11" s="4"/>
      <c r="EB11" s="4"/>
      <c r="EC11" s="4"/>
      <c r="ED11" s="4"/>
      <c r="EE11" s="4"/>
      <c r="EF11" s="4"/>
      <c r="EG11" s="286"/>
      <c r="EH11" s="286"/>
      <c r="EI11" s="286"/>
      <c r="EJ11" s="4"/>
      <c r="EK11" s="4"/>
      <c r="EL11" s="4"/>
      <c r="EM11" s="4"/>
      <c r="EN11" s="4"/>
      <c r="EO11" s="4"/>
      <c r="EP11" s="4"/>
      <c r="EQ11" s="4"/>
      <c r="ER11" s="4"/>
      <c r="ES11" s="4"/>
      <c r="ET11" s="4"/>
      <c r="EU11" s="4"/>
      <c r="EV11" s="286"/>
      <c r="EW11" s="286"/>
      <c r="EX11" s="286"/>
      <c r="EY11" s="4"/>
      <c r="EZ11" s="4"/>
    </row>
    <row r="12" spans="1:156" ht="19.5" customHeight="1" x14ac:dyDescent="0.5">
      <c r="A12" s="13"/>
      <c r="B12" s="4"/>
      <c r="C12" s="4"/>
      <c r="D12" s="26"/>
      <c r="E12" s="49"/>
      <c r="F12" s="4"/>
      <c r="G12" s="4"/>
      <c r="H12" s="4"/>
      <c r="I12" s="4"/>
      <c r="J12" s="4"/>
      <c r="K12" s="4"/>
      <c r="L12" s="4"/>
      <c r="M12" s="4"/>
      <c r="N12" s="4"/>
      <c r="O12" s="4"/>
      <c r="P12" s="4"/>
      <c r="Q12" s="287" t="str">
        <f>uxbGlobals!$C$287</f>
        <v>Overall score and domains</v>
      </c>
      <c r="R12" s="286"/>
      <c r="S12" s="286"/>
      <c r="T12" s="4"/>
      <c r="U12" s="4"/>
      <c r="V12" s="4"/>
      <c r="W12" s="4"/>
      <c r="X12" s="4"/>
      <c r="Y12" s="4"/>
      <c r="Z12" s="4"/>
      <c r="AA12" s="4"/>
      <c r="AB12" s="4"/>
      <c r="AC12" s="4"/>
      <c r="AD12" s="4"/>
      <c r="AE12" s="4"/>
      <c r="AF12" s="286"/>
      <c r="AG12" s="286"/>
      <c r="AH12" s="286"/>
      <c r="AI12" s="4"/>
      <c r="AJ12" s="4"/>
      <c r="AK12" s="4"/>
      <c r="AL12" s="4"/>
      <c r="AM12" s="4"/>
      <c r="AN12" s="4"/>
      <c r="AO12" s="4"/>
      <c r="AP12" s="4"/>
      <c r="AQ12" s="4"/>
      <c r="AR12" s="4"/>
      <c r="AS12" s="4"/>
      <c r="AT12" s="4"/>
      <c r="AU12" s="286"/>
      <c r="AV12" s="286"/>
      <c r="AW12" s="286"/>
      <c r="AX12" s="4"/>
      <c r="AY12" s="4"/>
      <c r="AZ12" s="4"/>
      <c r="BA12" s="4"/>
      <c r="BB12" s="4"/>
      <c r="BC12" s="4"/>
      <c r="BD12" s="4"/>
      <c r="BE12" s="4"/>
      <c r="BF12" s="4"/>
      <c r="BG12" s="4"/>
      <c r="BH12" s="4"/>
      <c r="BI12" s="4"/>
      <c r="BJ12" s="286"/>
      <c r="BK12" s="286"/>
      <c r="BL12" s="286"/>
      <c r="BM12" s="4"/>
      <c r="BN12" s="4"/>
      <c r="BO12" s="4"/>
      <c r="BP12" s="4"/>
      <c r="BQ12" s="4"/>
      <c r="BR12" s="4"/>
      <c r="BS12" s="4"/>
      <c r="BT12" s="4"/>
      <c r="BU12" s="4"/>
      <c r="BV12" s="4"/>
      <c r="BW12" s="4"/>
      <c r="BX12" s="4"/>
      <c r="BY12" s="286"/>
      <c r="BZ12" s="286"/>
      <c r="CA12" s="286"/>
      <c r="CB12" s="4"/>
      <c r="CC12" s="4"/>
      <c r="CD12" s="4"/>
      <c r="CE12" s="4"/>
      <c r="CF12" s="4"/>
      <c r="CG12" s="4"/>
      <c r="CH12" s="4"/>
      <c r="CI12" s="4"/>
      <c r="CJ12" s="4"/>
      <c r="CK12" s="4"/>
      <c r="CL12" s="4"/>
      <c r="CM12" s="4"/>
      <c r="CN12" s="286"/>
      <c r="CO12" s="286"/>
      <c r="CP12" s="286"/>
      <c r="CQ12" s="4"/>
      <c r="CR12" s="4"/>
      <c r="CS12" s="4"/>
      <c r="CT12" s="4"/>
      <c r="CU12" s="4"/>
      <c r="CV12" s="4"/>
      <c r="CW12" s="4"/>
      <c r="CX12" s="4"/>
      <c r="CY12" s="4"/>
      <c r="CZ12" s="4"/>
      <c r="DA12" s="4"/>
      <c r="DB12" s="4"/>
      <c r="DC12" s="286"/>
      <c r="DD12" s="286"/>
      <c r="DE12" s="286"/>
      <c r="DF12" s="4"/>
      <c r="DG12" s="4"/>
      <c r="DH12" s="4"/>
      <c r="DI12" s="4"/>
      <c r="DJ12" s="4"/>
      <c r="DK12" s="4"/>
      <c r="DL12" s="4"/>
      <c r="DM12" s="4"/>
      <c r="DN12" s="4"/>
      <c r="DO12" s="4"/>
      <c r="DP12" s="4"/>
      <c r="DQ12" s="4"/>
      <c r="DR12" s="286"/>
      <c r="DS12" s="286"/>
      <c r="DT12" s="286"/>
      <c r="DU12" s="4"/>
      <c r="DV12" s="4"/>
      <c r="DW12" s="4"/>
      <c r="DX12" s="4"/>
      <c r="DY12" s="4"/>
      <c r="DZ12" s="4"/>
      <c r="EA12" s="4"/>
      <c r="EB12" s="4"/>
      <c r="EC12" s="4"/>
      <c r="ED12" s="4"/>
      <c r="EE12" s="4"/>
      <c r="EF12" s="4"/>
      <c r="EG12" s="286"/>
      <c r="EH12" s="286"/>
      <c r="EI12" s="286"/>
      <c r="EJ12" s="4"/>
      <c r="EK12" s="4"/>
      <c r="EL12" s="4"/>
      <c r="EM12" s="4"/>
      <c r="EN12" s="4"/>
      <c r="EO12" s="4"/>
      <c r="EP12" s="4"/>
      <c r="EQ12" s="4"/>
      <c r="ER12" s="4"/>
      <c r="ES12" s="4"/>
      <c r="ET12" s="4"/>
      <c r="EU12" s="4"/>
      <c r="EV12" s="286"/>
      <c r="EW12" s="286"/>
      <c r="EX12" s="286"/>
      <c r="EY12" s="4"/>
      <c r="EZ12" s="4"/>
    </row>
    <row r="13" spans="1:156" x14ac:dyDescent="0.4">
      <c r="A13" s="4"/>
      <c r="B13" s="4"/>
      <c r="C13" s="4"/>
      <c r="D13" s="26" t="s">
        <v>250</v>
      </c>
      <c r="E13" s="49">
        <f>uxbGlobals!$B$287</f>
        <v>1</v>
      </c>
      <c r="F13" s="4"/>
      <c r="G13" s="4"/>
      <c r="H13" s="4"/>
      <c r="I13" s="4"/>
      <c r="J13" s="4"/>
      <c r="K13" s="4"/>
      <c r="L13" s="4"/>
      <c r="M13" s="4"/>
      <c r="N13" s="4"/>
      <c r="O13" s="4"/>
      <c r="P13" s="4"/>
      <c r="Q13" s="144" t="str">
        <f>uxbGlobals!$B$206</f>
        <v>Rank out of 50 cities where 1=best. '=' denotes tie in rank.</v>
      </c>
      <c r="R13" s="288"/>
      <c r="S13" s="4"/>
      <c r="T13" s="4"/>
      <c r="U13" s="4"/>
      <c r="V13" s="4"/>
      <c r="W13" s="4"/>
      <c r="X13" s="4"/>
      <c r="Y13" s="4"/>
      <c r="Z13" s="4"/>
      <c r="AA13" s="4"/>
      <c r="AB13" s="4"/>
      <c r="AC13" s="4"/>
      <c r="AD13" s="4"/>
      <c r="AE13" s="4"/>
      <c r="AF13" s="4"/>
      <c r="AG13" s="4"/>
      <c r="AH13" s="4"/>
      <c r="AI13" s="4"/>
      <c r="AJ13" s="4"/>
      <c r="AK13" s="12"/>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row>
    <row r="14" spans="1:156" x14ac:dyDescent="0.4">
      <c r="A14" s="89"/>
      <c r="B14" s="4"/>
      <c r="C14" s="4"/>
      <c r="D14" s="26" t="s">
        <v>1132</v>
      </c>
      <c r="E14" s="49">
        <f>uxbGlobals!$B$293</f>
        <v>1</v>
      </c>
      <c r="F14" s="49"/>
      <c r="G14" s="4"/>
      <c r="H14" s="91"/>
      <c r="I14" s="49"/>
      <c r="J14" s="49"/>
      <c r="K14" s="91"/>
      <c r="L14" s="91"/>
      <c r="M14" s="91"/>
      <c r="N14" s="49"/>
      <c r="O14" s="80"/>
      <c r="P14" s="80"/>
      <c r="Q14" s="144" t="str">
        <f>uxbGlobals!$B$202</f>
        <v>Score 0-100 where 100=most healthy environment</v>
      </c>
      <c r="R14" s="4"/>
      <c r="S14" s="289"/>
      <c r="T14" s="122"/>
      <c r="U14" s="290"/>
      <c r="V14" s="4"/>
      <c r="W14" s="91"/>
      <c r="X14" s="49"/>
      <c r="Y14" s="49"/>
      <c r="Z14" s="91"/>
      <c r="AA14" s="91"/>
      <c r="AB14" s="91"/>
      <c r="AC14" s="49"/>
      <c r="AD14" s="80"/>
      <c r="AE14" s="80"/>
      <c r="AF14" s="80"/>
      <c r="AG14" s="80"/>
      <c r="AH14" s="289"/>
      <c r="AI14" s="122"/>
      <c r="AJ14" s="290"/>
      <c r="AK14" s="4"/>
      <c r="AL14" s="91"/>
      <c r="AM14" s="49"/>
      <c r="AN14" s="49"/>
      <c r="AO14" s="91"/>
      <c r="AP14" s="91"/>
      <c r="AQ14" s="91"/>
      <c r="AR14" s="49"/>
      <c r="AS14" s="80"/>
      <c r="AT14" s="80"/>
      <c r="AU14" s="80"/>
      <c r="AV14" s="80"/>
      <c r="AW14" s="289"/>
      <c r="AX14" s="122"/>
      <c r="AY14" s="290"/>
      <c r="AZ14" s="4"/>
      <c r="BA14" s="91"/>
      <c r="BB14" s="49"/>
      <c r="BC14" s="49"/>
      <c r="BD14" s="91"/>
      <c r="BE14" s="91"/>
      <c r="BF14" s="91"/>
      <c r="BG14" s="49"/>
      <c r="BH14" s="80"/>
      <c r="BI14" s="80"/>
      <c r="BJ14" s="80"/>
      <c r="BK14" s="80"/>
      <c r="BL14" s="289"/>
      <c r="BM14" s="122"/>
      <c r="BN14" s="290"/>
      <c r="BO14" s="4"/>
      <c r="BP14" s="91"/>
      <c r="BQ14" s="49"/>
      <c r="BR14" s="49"/>
      <c r="BS14" s="91"/>
      <c r="BT14" s="91"/>
      <c r="BU14" s="91"/>
      <c r="BV14" s="49"/>
      <c r="BW14" s="80"/>
      <c r="BX14" s="80"/>
      <c r="BY14" s="80"/>
      <c r="BZ14" s="80"/>
      <c r="CA14" s="289"/>
      <c r="CB14" s="122"/>
      <c r="CC14" s="290"/>
      <c r="CD14" s="4"/>
      <c r="CE14" s="91"/>
      <c r="CF14" s="49"/>
      <c r="CG14" s="49"/>
      <c r="CH14" s="91"/>
      <c r="CI14" s="91"/>
      <c r="CJ14" s="91"/>
      <c r="CK14" s="49"/>
      <c r="CL14" s="80"/>
      <c r="CM14" s="80"/>
      <c r="CN14" s="80"/>
      <c r="CO14" s="80"/>
      <c r="CP14" s="289"/>
      <c r="CQ14" s="122"/>
      <c r="CR14" s="290"/>
      <c r="CS14" s="4"/>
      <c r="CT14" s="91"/>
      <c r="CU14" s="49"/>
      <c r="CV14" s="49"/>
      <c r="CW14" s="91"/>
      <c r="CX14" s="91"/>
      <c r="CY14" s="91"/>
      <c r="CZ14" s="49"/>
      <c r="DA14" s="80"/>
      <c r="DB14" s="80"/>
      <c r="DC14" s="80"/>
      <c r="DD14" s="80"/>
      <c r="DE14" s="289"/>
      <c r="DF14" s="122"/>
      <c r="DG14" s="290"/>
      <c r="DH14" s="4"/>
      <c r="DI14" s="91"/>
      <c r="DJ14" s="49"/>
      <c r="DK14" s="49"/>
      <c r="DL14" s="91"/>
      <c r="DM14" s="91"/>
      <c r="DN14" s="91"/>
      <c r="DO14" s="49"/>
      <c r="DP14" s="80"/>
      <c r="DQ14" s="80"/>
      <c r="DR14" s="80"/>
      <c r="DS14" s="80"/>
      <c r="DT14" s="289"/>
      <c r="DU14" s="122"/>
      <c r="DV14" s="290"/>
      <c r="DW14" s="4"/>
      <c r="DX14" s="91"/>
      <c r="DY14" s="49"/>
      <c r="DZ14" s="49"/>
      <c r="EA14" s="91"/>
      <c r="EB14" s="91"/>
      <c r="EC14" s="91"/>
      <c r="ED14" s="49"/>
      <c r="EE14" s="80"/>
      <c r="EF14" s="80"/>
      <c r="EG14" s="80"/>
      <c r="EH14" s="80"/>
      <c r="EI14" s="289"/>
      <c r="EJ14" s="122"/>
      <c r="EK14" s="290"/>
      <c r="EL14" s="4"/>
      <c r="EM14" s="91"/>
      <c r="EN14" s="49"/>
      <c r="EO14" s="49"/>
      <c r="EP14" s="91"/>
      <c r="EQ14" s="91"/>
      <c r="ER14" s="91"/>
      <c r="ES14" s="49"/>
      <c r="ET14" s="80"/>
      <c r="EU14" s="80"/>
      <c r="EV14" s="80"/>
      <c r="EW14" s="80"/>
      <c r="EX14" s="289"/>
      <c r="EY14" s="122"/>
      <c r="EZ14" s="290"/>
    </row>
    <row r="15" spans="1:156" x14ac:dyDescent="0.4">
      <c r="A15" s="89"/>
      <c r="B15" s="4"/>
      <c r="C15" s="4"/>
      <c r="D15" s="26"/>
      <c r="E15" s="49"/>
      <c r="F15" s="49"/>
      <c r="G15" s="4"/>
      <c r="H15" s="91"/>
      <c r="I15" s="49"/>
      <c r="J15" s="49"/>
      <c r="K15" s="91"/>
      <c r="L15" s="91"/>
      <c r="M15" s="91"/>
      <c r="N15" s="49"/>
      <c r="O15" s="80"/>
      <c r="P15" s="80"/>
      <c r="Q15" s="144" t="s">
        <v>2494</v>
      </c>
      <c r="R15" s="4"/>
      <c r="S15" s="289"/>
      <c r="T15" s="122"/>
      <c r="U15" s="290"/>
      <c r="V15" s="4"/>
      <c r="W15" s="91"/>
      <c r="X15" s="49"/>
      <c r="Y15" s="49"/>
      <c r="Z15" s="91"/>
      <c r="AA15" s="91"/>
      <c r="AB15" s="91"/>
      <c r="AC15" s="49"/>
      <c r="AD15" s="80"/>
      <c r="AE15" s="80"/>
      <c r="AF15" s="80"/>
      <c r="AG15" s="80"/>
      <c r="AH15" s="289"/>
      <c r="AI15" s="122"/>
      <c r="AJ15" s="290"/>
      <c r="AK15" s="4"/>
      <c r="AL15" s="91"/>
      <c r="AM15" s="49"/>
      <c r="AN15" s="49"/>
      <c r="AO15" s="91"/>
      <c r="AP15" s="91"/>
      <c r="AQ15" s="91"/>
      <c r="AR15" s="49"/>
      <c r="AS15" s="80"/>
      <c r="AT15" s="80"/>
      <c r="AU15" s="80"/>
      <c r="AV15" s="80"/>
      <c r="AW15" s="289"/>
      <c r="AX15" s="122"/>
      <c r="AY15" s="290"/>
      <c r="AZ15" s="4"/>
      <c r="BA15" s="91"/>
      <c r="BB15" s="49"/>
      <c r="BC15" s="49"/>
      <c r="BD15" s="91"/>
      <c r="BE15" s="91"/>
      <c r="BF15" s="91"/>
      <c r="BG15" s="49"/>
      <c r="BH15" s="80"/>
      <c r="BI15" s="80"/>
      <c r="BJ15" s="80"/>
      <c r="BK15" s="80"/>
      <c r="BL15" s="289"/>
      <c r="BM15" s="122"/>
      <c r="BN15" s="290"/>
      <c r="BO15" s="4"/>
      <c r="BP15" s="91"/>
      <c r="BQ15" s="49"/>
      <c r="BR15" s="49"/>
      <c r="BS15" s="91"/>
      <c r="BT15" s="91"/>
      <c r="BU15" s="91"/>
      <c r="BV15" s="49"/>
      <c r="BW15" s="80"/>
      <c r="BX15" s="80"/>
      <c r="BY15" s="80"/>
      <c r="BZ15" s="80"/>
      <c r="CA15" s="289"/>
      <c r="CB15" s="122"/>
      <c r="CC15" s="290"/>
      <c r="CD15" s="4"/>
      <c r="CE15" s="91"/>
      <c r="CF15" s="49"/>
      <c r="CG15" s="49"/>
      <c r="CH15" s="91"/>
      <c r="CI15" s="91"/>
      <c r="CJ15" s="91"/>
      <c r="CK15" s="49"/>
      <c r="CL15" s="80"/>
      <c r="CM15" s="80"/>
      <c r="CN15" s="80"/>
      <c r="CO15" s="80"/>
      <c r="CP15" s="289"/>
      <c r="CQ15" s="122"/>
      <c r="CR15" s="290"/>
      <c r="CS15" s="4"/>
      <c r="CT15" s="91"/>
      <c r="CU15" s="49"/>
      <c r="CV15" s="49"/>
      <c r="CW15" s="91"/>
      <c r="CX15" s="91"/>
      <c r="CY15" s="91"/>
      <c r="CZ15" s="49"/>
      <c r="DA15" s="80"/>
      <c r="DB15" s="80"/>
      <c r="DC15" s="80"/>
      <c r="DD15" s="80"/>
      <c r="DE15" s="289"/>
      <c r="DF15" s="122"/>
      <c r="DG15" s="290"/>
      <c r="DH15" s="4"/>
      <c r="DI15" s="91"/>
      <c r="DJ15" s="49"/>
      <c r="DK15" s="49"/>
      <c r="DL15" s="91"/>
      <c r="DM15" s="91"/>
      <c r="DN15" s="91"/>
      <c r="DO15" s="49"/>
      <c r="DP15" s="80"/>
      <c r="DQ15" s="80"/>
      <c r="DR15" s="80"/>
      <c r="DS15" s="80"/>
      <c r="DT15" s="289"/>
      <c r="DU15" s="122"/>
      <c r="DV15" s="290"/>
      <c r="DW15" s="4"/>
      <c r="DX15" s="91"/>
      <c r="DY15" s="49"/>
      <c r="DZ15" s="49"/>
      <c r="EA15" s="91"/>
      <c r="EB15" s="91"/>
      <c r="EC15" s="91"/>
      <c r="ED15" s="49"/>
      <c r="EE15" s="80"/>
      <c r="EF15" s="80"/>
      <c r="EG15" s="80"/>
      <c r="EH15" s="80"/>
      <c r="EI15" s="289"/>
      <c r="EJ15" s="122"/>
      <c r="EK15" s="290"/>
      <c r="EL15" s="4"/>
      <c r="EM15" s="91"/>
      <c r="EN15" s="49"/>
      <c r="EO15" s="49"/>
      <c r="EP15" s="91"/>
      <c r="EQ15" s="91"/>
      <c r="ER15" s="91"/>
      <c r="ES15" s="49"/>
      <c r="ET15" s="80"/>
      <c r="EU15" s="80"/>
      <c r="EV15" s="80"/>
      <c r="EW15" s="80"/>
      <c r="EX15" s="289"/>
      <c r="EY15" s="122"/>
      <c r="EZ15" s="290"/>
    </row>
    <row r="16" spans="1:156" ht="31.5" customHeight="1" x14ac:dyDescent="0.4">
      <c r="A16" s="4"/>
      <c r="B16" s="4"/>
      <c r="C16" s="4"/>
      <c r="D16" s="26" t="s">
        <v>1245</v>
      </c>
      <c r="E16" s="49">
        <f>uxbGlobals!$B$224</f>
        <v>50</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row>
    <row r="17" spans="1:156" ht="13.5" customHeight="1" x14ac:dyDescent="0.4">
      <c r="A17" s="13" t="s">
        <v>2</v>
      </c>
      <c r="B17" s="4"/>
      <c r="C17" s="4"/>
      <c r="D17" s="26" t="s">
        <v>1528</v>
      </c>
      <c r="E17" s="49">
        <f>uxbGlobals!$B$276</f>
        <v>1</v>
      </c>
      <c r="F17" s="4"/>
      <c r="G17" s="4"/>
      <c r="H17" s="4"/>
      <c r="I17" s="4"/>
      <c r="J17" s="4"/>
      <c r="K17" s="4"/>
      <c r="L17" s="4"/>
      <c r="M17" s="4"/>
      <c r="N17" s="4"/>
      <c r="O17" s="4"/>
      <c r="P17" s="4"/>
      <c r="Q17" s="291" t="s">
        <v>2493</v>
      </c>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row>
    <row r="18" spans="1:156" ht="18.75" customHeight="1" x14ac:dyDescent="0.4">
      <c r="A18" s="4"/>
      <c r="B18" s="4"/>
      <c r="C18" s="4"/>
      <c r="D18" s="26"/>
      <c r="E18" s="49"/>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row>
    <row r="19" spans="1:156" ht="47.25" customHeight="1" x14ac:dyDescent="0.4">
      <c r="A19" s="4"/>
      <c r="B19" s="4"/>
      <c r="C19" s="4"/>
      <c r="D19" s="4"/>
      <c r="E19" s="4"/>
      <c r="F19" s="4"/>
      <c r="G19" s="4"/>
      <c r="H19" s="292">
        <v>1</v>
      </c>
      <c r="I19" s="292"/>
      <c r="J19" s="292"/>
      <c r="K19" s="292"/>
      <c r="L19" s="292"/>
      <c r="M19" s="292"/>
      <c r="N19" s="292"/>
      <c r="O19" s="292"/>
      <c r="P19" s="292"/>
      <c r="Q19" s="352" t="str" cm="1">
        <f t="array" ref="Q19">INDEX(auto_ss_All_Scoring,H20)</f>
        <v>OVERALL</v>
      </c>
      <c r="R19" s="353"/>
      <c r="S19" s="353"/>
      <c r="T19" s="353"/>
      <c r="U19" s="353"/>
      <c r="V19" s="37"/>
      <c r="W19" s="180">
        <f>H19+1</f>
        <v>2</v>
      </c>
      <c r="X19" s="179"/>
      <c r="Y19" s="179"/>
      <c r="Z19" s="179"/>
      <c r="AA19" s="179"/>
      <c r="AB19" s="179"/>
      <c r="AC19" s="179"/>
      <c r="AD19" s="179"/>
      <c r="AE19" s="179"/>
      <c r="AF19" s="354" t="str" cm="1">
        <f t="array" ref="AF19">INDEX(auto_ss_All_Scoring,W20)</f>
        <v>1) SOCIAL DETERMINANTS</v>
      </c>
      <c r="AG19" s="355"/>
      <c r="AH19" s="355"/>
      <c r="AI19" s="355"/>
      <c r="AJ19" s="355"/>
      <c r="AK19" s="37"/>
      <c r="AL19" s="180">
        <f>W19+1</f>
        <v>3</v>
      </c>
      <c r="AM19" s="179"/>
      <c r="AN19" s="179"/>
      <c r="AO19" s="179"/>
      <c r="AP19" s="179"/>
      <c r="AQ19" s="179"/>
      <c r="AR19" s="179"/>
      <c r="AS19" s="179"/>
      <c r="AT19" s="179"/>
      <c r="AU19" s="354" t="str" cm="1">
        <f t="array" ref="AU19">INDEX(auto_ss_All_Scoring,AL20)</f>
        <v>2) PHYSICAL ENVIRONMENT</v>
      </c>
      <c r="AV19" s="355"/>
      <c r="AW19" s="355"/>
      <c r="AX19" s="355"/>
      <c r="AY19" s="355"/>
      <c r="AZ19" s="37"/>
      <c r="BA19" s="180">
        <f>AL19+1</f>
        <v>4</v>
      </c>
      <c r="BB19" s="179"/>
      <c r="BC19" s="179"/>
      <c r="BD19" s="179"/>
      <c r="BE19" s="179"/>
      <c r="BF19" s="179"/>
      <c r="BG19" s="179"/>
      <c r="BH19" s="179"/>
      <c r="BI19" s="179"/>
      <c r="BJ19" s="354" t="str" cm="1">
        <f t="array" ref="BJ19">INDEX(auto_ss_All_Scoring,BA20)</f>
        <v>3) HEALTH RISKS</v>
      </c>
      <c r="BK19" s="355"/>
      <c r="BL19" s="355"/>
      <c r="BM19" s="355"/>
      <c r="BN19" s="355"/>
      <c r="BO19" s="37"/>
      <c r="BP19" s="180">
        <f>BA19+1</f>
        <v>5</v>
      </c>
      <c r="BQ19" s="179"/>
      <c r="BR19" s="179"/>
      <c r="BS19" s="179"/>
      <c r="BT19" s="179"/>
      <c r="BU19" s="179"/>
      <c r="BV19" s="179"/>
      <c r="BW19" s="179"/>
      <c r="BX19" s="179"/>
      <c r="BY19" s="354" t="str" cm="1">
        <f t="array" ref="BY19">INDEX(auto_ss_All_Scoring,BP20)</f>
        <v>4) HEALTH SERVICES</v>
      </c>
      <c r="BZ19" s="355"/>
      <c r="CA19" s="355"/>
      <c r="CB19" s="355"/>
      <c r="CC19" s="355"/>
      <c r="CD19" s="37"/>
      <c r="CE19" s="180">
        <f>BP19+1</f>
        <v>6</v>
      </c>
      <c r="CF19" s="179"/>
      <c r="CG19" s="179"/>
      <c r="CH19" s="179"/>
      <c r="CI19" s="179"/>
      <c r="CJ19" s="179"/>
      <c r="CK19" s="179"/>
      <c r="CL19" s="179"/>
      <c r="CM19" s="179"/>
      <c r="CN19" s="354" t="str" cm="1">
        <f t="array" ref="CN19">INDEX(auto_ss_All_Scoring,CE20)</f>
        <v>5) GOVERNANCE</v>
      </c>
      <c r="CO19" s="355"/>
      <c r="CP19" s="355"/>
      <c r="CQ19" s="355"/>
      <c r="CR19" s="355"/>
      <c r="CS19" s="37"/>
      <c r="CT19" s="180">
        <f>CE19+1</f>
        <v>7</v>
      </c>
      <c r="CU19" s="179"/>
      <c r="CV19" s="179"/>
      <c r="CW19" s="179"/>
      <c r="CX19" s="179"/>
      <c r="CY19" s="179"/>
      <c r="CZ19" s="179"/>
      <c r="DA19" s="179"/>
      <c r="DB19" s="179"/>
      <c r="DC19" s="354" t="e" cm="1">
        <f t="array" ref="DC19">INDEX(auto_ss_All_Scoring,CT20)</f>
        <v>#VALUE!</v>
      </c>
      <c r="DD19" s="355"/>
      <c r="DE19" s="355"/>
      <c r="DF19" s="355"/>
      <c r="DG19" s="355"/>
      <c r="DH19" s="37"/>
      <c r="DI19" s="180">
        <f>CT19+1</f>
        <v>8</v>
      </c>
      <c r="DJ19" s="179"/>
      <c r="DK19" s="179"/>
      <c r="DL19" s="179"/>
      <c r="DM19" s="179"/>
      <c r="DN19" s="179"/>
      <c r="DO19" s="179"/>
      <c r="DP19" s="179"/>
      <c r="DQ19" s="179"/>
      <c r="DR19" s="354" t="e" cm="1">
        <f t="array" ref="DR19">INDEX(auto_ss_All_Scoring,DI20)</f>
        <v>#VALUE!</v>
      </c>
      <c r="DS19" s="355"/>
      <c r="DT19" s="355"/>
      <c r="DU19" s="355"/>
      <c r="DV19" s="355"/>
      <c r="DW19" s="37"/>
      <c r="DX19" s="180">
        <f>DI19+1</f>
        <v>9</v>
      </c>
      <c r="DY19" s="179"/>
      <c r="DZ19" s="179"/>
      <c r="EA19" s="179"/>
      <c r="EB19" s="179"/>
      <c r="EC19" s="179"/>
      <c r="ED19" s="179"/>
      <c r="EE19" s="179"/>
      <c r="EF19" s="179"/>
      <c r="EG19" s="354" t="e" cm="1">
        <f t="array" ref="EG19">INDEX(auto_ss_All_Scoring,DX20)</f>
        <v>#VALUE!</v>
      </c>
      <c r="EH19" s="355"/>
      <c r="EI19" s="355"/>
      <c r="EJ19" s="355"/>
      <c r="EK19" s="355"/>
      <c r="EL19" s="37"/>
      <c r="EM19" s="180">
        <f>DX19+1</f>
        <v>10</v>
      </c>
      <c r="EN19" s="179"/>
      <c r="EO19" s="179"/>
      <c r="EP19" s="179"/>
      <c r="EQ19" s="179"/>
      <c r="ER19" s="179"/>
      <c r="ES19" s="179"/>
      <c r="ET19" s="179"/>
      <c r="EU19" s="179"/>
      <c r="EV19" s="354" t="e" cm="1">
        <f t="array" ref="EV19">INDEX(auto_ss_All_Scoring,EM20)</f>
        <v>#VALUE!</v>
      </c>
      <c r="EW19" s="355"/>
      <c r="EX19" s="355"/>
      <c r="EY19" s="355"/>
      <c r="EZ19" s="355"/>
    </row>
    <row r="20" spans="1:156" s="1" customFormat="1" ht="10.75" x14ac:dyDescent="0.3">
      <c r="A20" s="26"/>
      <c r="B20" s="26"/>
      <c r="C20" s="83" t="s">
        <v>1575</v>
      </c>
      <c r="D20" s="26" t="s">
        <v>216</v>
      </c>
      <c r="E20" s="26" t="s">
        <v>929</v>
      </c>
      <c r="F20" s="26" t="s">
        <v>217</v>
      </c>
      <c r="G20" s="26"/>
      <c r="H20" s="293" cm="1">
        <f t="array" ref="H20">IFERROR(MATCH(INDEX(auto_cat_multiples,H19,$E$13),auto_Series_Code,0),-1)</f>
        <v>1</v>
      </c>
      <c r="I20" s="294"/>
      <c r="J20" s="294"/>
      <c r="K20" s="294"/>
      <c r="L20" s="294"/>
      <c r="M20" s="294" t="s">
        <v>1023</v>
      </c>
      <c r="N20" s="294" t="s">
        <v>929</v>
      </c>
      <c r="O20" s="294" t="s">
        <v>1024</v>
      </c>
      <c r="P20" s="294" t="s">
        <v>1025</v>
      </c>
      <c r="Q20" s="295" t="s">
        <v>17</v>
      </c>
      <c r="R20" s="295"/>
      <c r="S20" s="295"/>
      <c r="T20" s="296"/>
      <c r="U20" s="296" t="s">
        <v>252</v>
      </c>
      <c r="V20" s="26"/>
      <c r="W20" s="293" cm="1">
        <f t="array" ref="W20">IFERROR(MATCH(INDEX(auto_cat_multiples,W19,$E$13),auto_Series_Code,0),-1)</f>
        <v>2</v>
      </c>
      <c r="X20" s="294"/>
      <c r="Y20" s="294"/>
      <c r="Z20" s="294"/>
      <c r="AA20" s="294"/>
      <c r="AB20" s="294" t="s">
        <v>1023</v>
      </c>
      <c r="AC20" s="294" t="s">
        <v>929</v>
      </c>
      <c r="AD20" s="294" t="s">
        <v>1024</v>
      </c>
      <c r="AE20" s="294" t="s">
        <v>1025</v>
      </c>
      <c r="AF20" s="297" t="s">
        <v>17</v>
      </c>
      <c r="AG20" s="297"/>
      <c r="AH20" s="297"/>
      <c r="AI20" s="297"/>
      <c r="AJ20" s="298" t="s">
        <v>252</v>
      </c>
      <c r="AK20" s="26"/>
      <c r="AL20" s="293" cm="1">
        <f t="array" ref="AL20">IFERROR(MATCH(INDEX(auto_cat_multiples,AL19,$E$13),auto_Series_Code,0),-1)</f>
        <v>14</v>
      </c>
      <c r="AM20" s="294"/>
      <c r="AN20" s="294"/>
      <c r="AO20" s="294"/>
      <c r="AP20" s="294"/>
      <c r="AQ20" s="294" t="s">
        <v>1023</v>
      </c>
      <c r="AR20" s="294" t="s">
        <v>929</v>
      </c>
      <c r="AS20" s="294" t="s">
        <v>1024</v>
      </c>
      <c r="AT20" s="294" t="s">
        <v>1025</v>
      </c>
      <c r="AU20" s="297" t="s">
        <v>17</v>
      </c>
      <c r="AV20" s="297"/>
      <c r="AW20" s="297"/>
      <c r="AX20" s="297"/>
      <c r="AY20" s="298" t="s">
        <v>252</v>
      </c>
      <c r="AZ20" s="26"/>
      <c r="BA20" s="293" cm="1">
        <f t="array" ref="BA20">IFERROR(MATCH(INDEX(auto_cat_multiples,BA19,$E$13),auto_Series_Code,0),-1)</f>
        <v>22</v>
      </c>
      <c r="BB20" s="294"/>
      <c r="BC20" s="294"/>
      <c r="BD20" s="294"/>
      <c r="BE20" s="294"/>
      <c r="BF20" s="294" t="s">
        <v>1023</v>
      </c>
      <c r="BG20" s="294" t="s">
        <v>929</v>
      </c>
      <c r="BH20" s="294" t="s">
        <v>1024</v>
      </c>
      <c r="BI20" s="294" t="s">
        <v>1025</v>
      </c>
      <c r="BJ20" s="297" t="s">
        <v>17</v>
      </c>
      <c r="BK20" s="297"/>
      <c r="BL20" s="297"/>
      <c r="BM20" s="297"/>
      <c r="BN20" s="298" t="s">
        <v>252</v>
      </c>
      <c r="BO20" s="26"/>
      <c r="BP20" s="293" cm="1">
        <f t="array" ref="BP20">IFERROR(MATCH(INDEX(auto_cat_multiples,BP19,$E$13),auto_Series_Code,0),-1)</f>
        <v>47</v>
      </c>
      <c r="BQ20" s="294"/>
      <c r="BR20" s="294"/>
      <c r="BS20" s="294"/>
      <c r="BT20" s="294"/>
      <c r="BU20" s="294" t="s">
        <v>1023</v>
      </c>
      <c r="BV20" s="294" t="s">
        <v>929</v>
      </c>
      <c r="BW20" s="294" t="s">
        <v>1024</v>
      </c>
      <c r="BX20" s="294" t="s">
        <v>1025</v>
      </c>
      <c r="BY20" s="297" t="s">
        <v>17</v>
      </c>
      <c r="BZ20" s="297"/>
      <c r="CA20" s="297"/>
      <c r="CB20" s="297"/>
      <c r="CC20" s="298" t="s">
        <v>252</v>
      </c>
      <c r="CD20" s="26"/>
      <c r="CE20" s="293" cm="1">
        <f t="array" ref="CE20">IFERROR(MATCH(INDEX(auto_cat_multiples,CE19,$E$13),auto_Series_Code,0),-1)</f>
        <v>52</v>
      </c>
      <c r="CF20" s="294"/>
      <c r="CG20" s="294"/>
      <c r="CH20" s="294"/>
      <c r="CI20" s="294"/>
      <c r="CJ20" s="294" t="s">
        <v>1023</v>
      </c>
      <c r="CK20" s="294" t="s">
        <v>929</v>
      </c>
      <c r="CL20" s="294" t="s">
        <v>1024</v>
      </c>
      <c r="CM20" s="294" t="s">
        <v>1025</v>
      </c>
      <c r="CN20" s="297" t="s">
        <v>17</v>
      </c>
      <c r="CO20" s="297"/>
      <c r="CP20" s="297"/>
      <c r="CQ20" s="297"/>
      <c r="CR20" s="298" t="s">
        <v>252</v>
      </c>
      <c r="CS20" s="26"/>
      <c r="CT20" s="293" cm="1">
        <f t="array" ref="CT20">IFERROR(MATCH(INDEX(auto_cat_multiples,CT19,$E$13),auto_Series_Code,0),-1)</f>
        <v>-1</v>
      </c>
      <c r="CU20" s="294"/>
      <c r="CV20" s="294"/>
      <c r="CW20" s="294"/>
      <c r="CX20" s="294"/>
      <c r="CY20" s="294" t="s">
        <v>1023</v>
      </c>
      <c r="CZ20" s="294" t="s">
        <v>929</v>
      </c>
      <c r="DA20" s="294" t="s">
        <v>1024</v>
      </c>
      <c r="DB20" s="294" t="s">
        <v>1025</v>
      </c>
      <c r="DC20" s="297" t="s">
        <v>17</v>
      </c>
      <c r="DD20" s="297"/>
      <c r="DE20" s="297"/>
      <c r="DF20" s="297"/>
      <c r="DG20" s="298" t="s">
        <v>252</v>
      </c>
      <c r="DH20" s="26"/>
      <c r="DI20" s="293" cm="1">
        <f t="array" ref="DI20">IFERROR(MATCH(INDEX(auto_cat_multiples,DI19,$E$13),auto_Series_Code,0),-1)</f>
        <v>-1</v>
      </c>
      <c r="DJ20" s="294"/>
      <c r="DK20" s="294"/>
      <c r="DL20" s="294"/>
      <c r="DM20" s="294"/>
      <c r="DN20" s="294" t="s">
        <v>1023</v>
      </c>
      <c r="DO20" s="294" t="s">
        <v>929</v>
      </c>
      <c r="DP20" s="294" t="s">
        <v>1024</v>
      </c>
      <c r="DQ20" s="294" t="s">
        <v>1025</v>
      </c>
      <c r="DR20" s="297" t="s">
        <v>17</v>
      </c>
      <c r="DS20" s="297"/>
      <c r="DT20" s="297"/>
      <c r="DU20" s="297"/>
      <c r="DV20" s="298" t="s">
        <v>252</v>
      </c>
      <c r="DW20" s="26"/>
      <c r="DX20" s="293" cm="1">
        <f t="array" ref="DX20">IFERROR(MATCH(INDEX(auto_cat_multiples,DX19,$E$13),auto_Series_Code,0),-1)</f>
        <v>-1</v>
      </c>
      <c r="DY20" s="294"/>
      <c r="DZ20" s="294"/>
      <c r="EA20" s="294"/>
      <c r="EB20" s="294"/>
      <c r="EC20" s="294" t="s">
        <v>1023</v>
      </c>
      <c r="ED20" s="294" t="s">
        <v>929</v>
      </c>
      <c r="EE20" s="294" t="s">
        <v>1024</v>
      </c>
      <c r="EF20" s="294" t="s">
        <v>1025</v>
      </c>
      <c r="EG20" s="297" t="s">
        <v>17</v>
      </c>
      <c r="EH20" s="297"/>
      <c r="EI20" s="297"/>
      <c r="EJ20" s="297"/>
      <c r="EK20" s="298" t="s">
        <v>252</v>
      </c>
      <c r="EL20" s="26"/>
      <c r="EM20" s="293" cm="1">
        <f t="array" ref="EM20">IFERROR(MATCH(INDEX(auto_cat_multiples,EM19,$E$13),auto_Series_Code,0),-1)</f>
        <v>-1</v>
      </c>
      <c r="EN20" s="294"/>
      <c r="EO20" s="294"/>
      <c r="EP20" s="294"/>
      <c r="EQ20" s="294"/>
      <c r="ER20" s="294" t="s">
        <v>1023</v>
      </c>
      <c r="ES20" s="294" t="s">
        <v>929</v>
      </c>
      <c r="ET20" s="294" t="s">
        <v>1024</v>
      </c>
      <c r="EU20" s="294" t="s">
        <v>1025</v>
      </c>
      <c r="EV20" s="297" t="s">
        <v>17</v>
      </c>
      <c r="EW20" s="297"/>
      <c r="EX20" s="297"/>
      <c r="EY20" s="297"/>
      <c r="EZ20" s="298" t="s">
        <v>252</v>
      </c>
    </row>
    <row r="21" spans="1:156" s="1" customFormat="1" ht="17.149999999999999" customHeight="1" x14ac:dyDescent="0.3">
      <c r="A21" s="26"/>
      <c r="B21" s="26"/>
      <c r="C21" s="83"/>
      <c r="D21" s="26">
        <v>1</v>
      </c>
      <c r="E21" s="299" t="s">
        <v>1527</v>
      </c>
      <c r="F21" s="26"/>
      <c r="G21" s="26"/>
      <c r="H21" s="299">
        <f>H20</f>
        <v>1</v>
      </c>
      <c r="I21" s="300" cm="1">
        <f t="array" ref="I21">INDEX(sys_DataFlat_LU_Grid_Groups,H21,$E$17)</f>
        <v>51</v>
      </c>
      <c r="J21" s="300" cm="1">
        <f t="array" ref="J21">CHOOSE($E$14,INDEX(auto_DataFlat_Score,I21,$E$11),-INDEX(auto_DataFlat_Score,I21,$E$11),300)</f>
        <v>62.4</v>
      </c>
      <c r="K21" s="91">
        <f ca="1">RANK(J21,OFFSET(J$21,0,0,$E$16+1,1))+COUNTIF(J$21:J21,J21)-1</f>
        <v>30</v>
      </c>
      <c r="L21" s="91">
        <f ca="1">MATCH($D21,OFFSET(K$21,0,0,$E$16+1,1),0)</f>
        <v>18</v>
      </c>
      <c r="M21" s="91" cm="1">
        <f t="array" aca="1" ref="M21" ca="1">INDEX(OFFSET(I$21,0,0,$E$16+1,1),L21)</f>
        <v>17</v>
      </c>
      <c r="N21" s="49" cm="1">
        <f t="array" aca="1" ref="N21" ca="1">INDEX(OFFSET($E$21,0,0,$E$16+1,1),L21)</f>
        <v>17</v>
      </c>
      <c r="O21" s="80" cm="1">
        <f t="array" aca="1" ref="O21" ca="1">IF(N21="G",5,INDEX(OFFSET($F$21,0,0,$E$16+1,1),L21))</f>
        <v>1</v>
      </c>
      <c r="P21" s="80" cm="1">
        <f t="array" aca="1" ref="P21" ca="1">IF(M21=0,0,IF(N21="G",-1,INDEX(auto_DataFlat_Classification,M21,$E$11)))</f>
        <v>5</v>
      </c>
      <c r="Q21" s="301" t="str" cm="1">
        <f t="array" aca="1" ref="Q21" ca="1">IF(P21&lt;0,"",INDEX(uxbGlobals!$B$133:$B$139,P21))</f>
        <v xml:space="preserve"> </v>
      </c>
      <c r="R21" s="80"/>
      <c r="S21" s="302" t="str" cm="1">
        <f t="array" aca="1" ref="S21" ca="1">IF(O21=0,"",IF(N21="G","--",INDEX(auto_DataFlat_Rank,M21,$E$11)))</f>
        <v>1</v>
      </c>
      <c r="T21" s="122" t="str" cm="1">
        <f t="array" aca="1" ref="T21" ca="1">IF(O21=0,"",IF(N21="G"," AVERAGE",INDEX(auto_ddCountry,N21)))</f>
        <v>Hong Kong</v>
      </c>
      <c r="U21" s="290" cm="1">
        <f t="array" aca="1" ref="U21" ca="1">IF(O21=0,"",INDEX(auto_DataFlat_Score,M21,$E$11))</f>
        <v>83.2</v>
      </c>
      <c r="V21" s="26"/>
      <c r="W21" s="299">
        <f>W20</f>
        <v>2</v>
      </c>
      <c r="X21" s="300" cm="1">
        <f t="array" ref="X21">INDEX(sys_DataFlat_LU_Grid_Groups,W21,$E$17)</f>
        <v>111</v>
      </c>
      <c r="Y21" s="300" cm="1">
        <f t="array" ref="Y21">CHOOSE($E$14,INDEX(auto_DataFlat_Score,X21,$E$11),-INDEX(auto_DataFlat_Score,X21,$E$11),300)</f>
        <v>70</v>
      </c>
      <c r="Z21" s="91">
        <f ca="1">RANK(Y21,OFFSET(Y$21,0,0,$E$16+1,1))+COUNTIF(Y$21:Y21,Y21)-1</f>
        <v>31</v>
      </c>
      <c r="AA21" s="91">
        <f ca="1">MATCH($D21,OFFSET(Z$21,0,0,$E$16+1,1),0)</f>
        <v>48</v>
      </c>
      <c r="AB21" s="91" cm="1">
        <f t="array" aca="1" ref="AB21" ca="1">INDEX(OFFSET(X$21,0,0,$E$16+1,1),AA21)</f>
        <v>107</v>
      </c>
      <c r="AC21" s="49" cm="1">
        <f t="array" aca="1" ref="AC21" ca="1">INDEX(OFFSET($E$21,0,0,$E$16+1,1),AA21)</f>
        <v>47</v>
      </c>
      <c r="AD21" s="80" cm="1">
        <f t="array" aca="1" ref="AD21" ca="1">IF(AC21="G",5,INDEX(OFFSET($F$21,0,0,$E$16+1,1),AA21))</f>
        <v>1</v>
      </c>
      <c r="AE21" s="80" cm="1">
        <f t="array" aca="1" ref="AE21" ca="1">IF(AB21=0,0,IF(AC21="G",-1,INDEX(auto_DataFlat_Classification,AB21,$E$11)))</f>
        <v>5</v>
      </c>
      <c r="AF21" s="301" t="str" cm="1">
        <f t="array" aca="1" ref="AF21" ca="1">IF(AE21&lt;0,"",INDEX(uxbGlobals!$B$133:$B$139,AE21))</f>
        <v xml:space="preserve"> </v>
      </c>
      <c r="AG21" s="80"/>
      <c r="AH21" s="302" t="str" cm="1">
        <f t="array" aca="1" ref="AH21" ca="1">IF(AD21=0,"",IF(AC21="G","--",INDEX(auto_DataFlat_Rank,AB21,$E$11)))</f>
        <v>1</v>
      </c>
      <c r="AI21" s="122" t="str" cm="1">
        <f t="array" aca="1" ref="AI21" ca="1">IF(AD21=0,"",IF(AC21="G","AVERAGE",INDEX(auto_ddCountry,AC21)))</f>
        <v>Toronto</v>
      </c>
      <c r="AJ21" s="290" cm="1">
        <f t="array" aca="1" ref="AJ21" ca="1">IF(AD21=0,"",INDEX(auto_DataFlat_Score,AB21,$E$11))</f>
        <v>89.9</v>
      </c>
      <c r="AK21" s="26"/>
      <c r="AL21" s="299">
        <f>AL20</f>
        <v>14</v>
      </c>
      <c r="AM21" s="300" cm="1">
        <f t="array" ref="AM21">INDEX(sys_DataFlat_LU_Grid_Groups,AL21,$E$17)</f>
        <v>831</v>
      </c>
      <c r="AN21" s="300" cm="1">
        <f t="array" ref="AN21">CHOOSE($E$14,INDEX(auto_DataFlat_Score,AM21,$E$11),-INDEX(auto_DataFlat_Score,AM21,$E$11),300)</f>
        <v>48.8</v>
      </c>
      <c r="AO21" s="91">
        <f ca="1">RANK(AN21,OFFSET(AN$21,0,0,$E$16+1,1))+COUNTIF(AN$21:AN21,AN21)-1</f>
        <v>26</v>
      </c>
      <c r="AP21" s="91">
        <f ca="1">MATCH($D21,OFFSET(AO$21,0,0,$E$16+1,1),0)</f>
        <v>48</v>
      </c>
      <c r="AQ21" s="91" cm="1">
        <f t="array" aca="1" ref="AQ21" ca="1">INDEX(OFFSET(AM$21,0,0,$E$16+1,1),AP21)</f>
        <v>827</v>
      </c>
      <c r="AR21" s="49" cm="1">
        <f t="array" aca="1" ref="AR21" ca="1">INDEX(OFFSET($E$21,0,0,$E$16+1,1),AP21)</f>
        <v>47</v>
      </c>
      <c r="AS21" s="80" cm="1">
        <f t="array" aca="1" ref="AS21" ca="1">IF(AR21="G",5,INDEX(OFFSET($F$21,0,0,$E$16+1,1),AP21))</f>
        <v>1</v>
      </c>
      <c r="AT21" s="80" cm="1">
        <f t="array" aca="1" ref="AT21" ca="1">IF(AQ21=0,0,IF(AR21="G",-1,INDEX(auto_DataFlat_Classification,AQ21,$E$11)))</f>
        <v>4</v>
      </c>
      <c r="AU21" s="301" t="str" cm="1">
        <f t="array" aca="1" ref="AU21" ca="1">IF(AT21&lt;0,"",INDEX(uxbGlobals!$B$133:$B$139,AT21))</f>
        <v xml:space="preserve"> </v>
      </c>
      <c r="AV21" s="80"/>
      <c r="AW21" s="302" t="str" cm="1">
        <f t="array" aca="1" ref="AW21" ca="1">IF(AS21=0,"",IF(AR21="G","--",INDEX(auto_DataFlat_Rank,AQ21,$E$11)))</f>
        <v>1</v>
      </c>
      <c r="AX21" s="122" t="str" cm="1">
        <f t="array" aca="1" ref="AX21" ca="1">IF(AS21=0,"",IF(AR21="G","AVERAGE",INDEX(auto_ddCountry,AR21)))</f>
        <v>Toronto</v>
      </c>
      <c r="AY21" s="290" cm="1">
        <f t="array" aca="1" ref="AY21" ca="1">IF(AS21=0,"",INDEX(auto_DataFlat_Score,AQ21,$E$11))</f>
        <v>77.5</v>
      </c>
      <c r="AZ21" s="26"/>
      <c r="BA21" s="299">
        <f>BA20</f>
        <v>22</v>
      </c>
      <c r="BB21" s="300" cm="1">
        <f t="array" ref="BB21">INDEX(sys_DataFlat_LU_Grid_Groups,BA21,$E$17)</f>
        <v>1311</v>
      </c>
      <c r="BC21" s="300" cm="1">
        <f t="array" ref="BC21">CHOOSE($E$14,INDEX(auto_DataFlat_Score,BB21,$E$11),-INDEX(auto_DataFlat_Score,BB21,$E$11),300)</f>
        <v>57.9</v>
      </c>
      <c r="BD21" s="91">
        <f ca="1">RANK(BC21,OFFSET(BC$21,0,0,$E$16+1,1))+COUNTIF(BC$21:BC21,BC21)-1</f>
        <v>25</v>
      </c>
      <c r="BE21" s="91">
        <f ca="1">MATCH($D21,OFFSET(BD$21,0,0,$E$16+1,1),0)</f>
        <v>18</v>
      </c>
      <c r="BF21" s="91" cm="1">
        <f t="array" aca="1" ref="BF21" ca="1">INDEX(OFFSET(BB$21,0,0,$E$16+1,1),BE21)</f>
        <v>1277</v>
      </c>
      <c r="BG21" s="49" cm="1">
        <f t="array" aca="1" ref="BG21" ca="1">INDEX(OFFSET($E$21,0,0,$E$16+1,1),BE21)</f>
        <v>17</v>
      </c>
      <c r="BH21" s="80" cm="1">
        <f t="array" aca="1" ref="BH21" ca="1">IF(BG21="G",5,INDEX(OFFSET($F$21,0,0,$E$16+1,1),BE21))</f>
        <v>1</v>
      </c>
      <c r="BI21" s="80" cm="1">
        <f t="array" aca="1" ref="BI21" ca="1">IF(BF21=0,0,IF(BG21="G",-1,INDEX(auto_DataFlat_Classification,BF21,$E$11)))</f>
        <v>5</v>
      </c>
      <c r="BJ21" s="301" t="str" cm="1">
        <f t="array" aca="1" ref="BJ21" ca="1">IF(BI21&lt;0,"",INDEX(uxbGlobals!$B$133:$B$139,BI21))</f>
        <v xml:space="preserve"> </v>
      </c>
      <c r="BK21" s="80"/>
      <c r="BL21" s="302" t="str" cm="1">
        <f t="array" aca="1" ref="BL21" ca="1">IF(BH21=0,"",IF(BG21="G","--",INDEX(auto_DataFlat_Rank,BF21,$E$11)))</f>
        <v>1</v>
      </c>
      <c r="BM21" s="122" t="str" cm="1">
        <f t="array" aca="1" ref="BM21" ca="1">IF(BH21=0,"",IF(BG21="G","AVERAGE",INDEX(auto_ddCountry,BG21)))</f>
        <v>Hong Kong</v>
      </c>
      <c r="BN21" s="290" cm="1">
        <f t="array" aca="1" ref="BN21" ca="1">IF(BH21=0,"",INDEX(auto_DataFlat_Score,BF21,$E$11))</f>
        <v>86</v>
      </c>
      <c r="BO21" s="26"/>
      <c r="BP21" s="299">
        <f>BP20</f>
        <v>47</v>
      </c>
      <c r="BQ21" s="300" cm="1">
        <f t="array" ref="BQ21">INDEX(sys_DataFlat_LU_Grid_Groups,BP21,$E$17)</f>
        <v>2811</v>
      </c>
      <c r="BR21" s="300" cm="1">
        <f t="array" ref="BR21">CHOOSE($E$14,INDEX(auto_DataFlat_Score,BQ21,$E$11),-INDEX(auto_DataFlat_Score,BQ21,$E$11),300)</f>
        <v>64.3</v>
      </c>
      <c r="BS21" s="91">
        <f ca="1">RANK(BR21,OFFSET(BR$21,0,0,$E$16+1,1))+COUNTIF(BR$21:BR21,BR21)-1</f>
        <v>27</v>
      </c>
      <c r="BT21" s="91">
        <f ca="1">MATCH($D21,OFFSET(BS$21,0,0,$E$16+1,1),0)</f>
        <v>35</v>
      </c>
      <c r="BU21" s="91" cm="1">
        <f t="array" aca="1" ref="BU21" ca="1">INDEX(OFFSET(BQ$21,0,0,$E$16+1,1),BT21)</f>
        <v>2794</v>
      </c>
      <c r="BV21" s="49" cm="1">
        <f t="array" aca="1" ref="BV21" ca="1">INDEX(OFFSET($E$21,0,0,$E$16+1,1),BT21)</f>
        <v>34</v>
      </c>
      <c r="BW21" s="80" cm="1">
        <f t="array" aca="1" ref="BW21" ca="1">IF(BV21="G",5,INDEX(OFFSET($F$21,0,0,$E$16+1,1),BT21))</f>
        <v>1</v>
      </c>
      <c r="BX21" s="80" cm="1">
        <f t="array" aca="1" ref="BX21" ca="1">IF(BU21=0,0,IF(BV21="G",-1,INDEX(auto_DataFlat_Classification,BU21,$E$11)))</f>
        <v>5</v>
      </c>
      <c r="BY21" s="301" t="str" cm="1">
        <f t="array" aca="1" ref="BY21" ca="1">IF(BX21&lt;0,"",INDEX(uxbGlobals!$B$133:$B$139,BX21))</f>
        <v xml:space="preserve"> </v>
      </c>
      <c r="BZ21" s="80"/>
      <c r="CA21" s="302" t="str" cm="1">
        <f t="array" aca="1" ref="CA21" ca="1">IF(BW21=0,"",IF(BV21="G","--",INDEX(auto_DataFlat_Rank,BU21,$E$11)))</f>
        <v>=1</v>
      </c>
      <c r="CB21" s="122" t="str" cm="1">
        <f t="array" aca="1" ref="CB21" ca="1">IF(BW21=0,"",IF(BV21="G","AVERAGE",INDEX(auto_ddCountry,BV21)))</f>
        <v>New York City</v>
      </c>
      <c r="CC21" s="290" cm="1">
        <f t="array" aca="1" ref="CC21" ca="1">IF(BW21=0,"",INDEX(auto_DataFlat_Score,BU21,$E$11))</f>
        <v>91.9</v>
      </c>
      <c r="CD21" s="26"/>
      <c r="CE21" s="299">
        <f>CE20</f>
        <v>52</v>
      </c>
      <c r="CF21" s="300" cm="1">
        <f t="array" ref="CF21">INDEX(sys_DataFlat_LU_Grid_Groups,CE21,$E$17)</f>
        <v>3111</v>
      </c>
      <c r="CG21" s="300" cm="1">
        <f t="array" ref="CG21">CHOOSE($E$14,INDEX(auto_DataFlat_Score,CF21,$E$11),-INDEX(auto_DataFlat_Score,CF21,$E$11),300)</f>
        <v>68.900000000000006</v>
      </c>
      <c r="CH21" s="91">
        <f ca="1">RANK(CG21,OFFSET(CG$21,0,0,$E$16+1,1))+COUNTIF(CG$21:CG21,CG21)-1</f>
        <v>30</v>
      </c>
      <c r="CI21" s="91">
        <f ca="1">MATCH($D21,OFFSET(CH$21,0,0,$E$16+1,1),0)</f>
        <v>27</v>
      </c>
      <c r="CJ21" s="91" cm="1">
        <f t="array" aca="1" ref="CJ21" ca="1">INDEX(OFFSET(CF$21,0,0,$E$16+1,1),CI21)</f>
        <v>3086</v>
      </c>
      <c r="CK21" s="49" cm="1">
        <f t="array" aca="1" ref="CK21" ca="1">INDEX(OFFSET($E$21,0,0,$E$16+1,1),CI21)</f>
        <v>26</v>
      </c>
      <c r="CL21" s="80" cm="1">
        <f t="array" aca="1" ref="CL21" ca="1">IF(CK21="G",5,INDEX(OFFSET($F$21,0,0,$E$16+1,1),CI21))</f>
        <v>1</v>
      </c>
      <c r="CM21" s="80" cm="1">
        <f t="array" aca="1" ref="CM21" ca="1">IF(CJ21=0,0,IF(CK21="G",-1,INDEX(auto_DataFlat_Classification,CJ21,$E$11)))</f>
        <v>5</v>
      </c>
      <c r="CN21" s="301" t="str" cm="1">
        <f t="array" aca="1" ref="CN21" ca="1">IF(CM21&lt;0,"",INDEX(uxbGlobals!$B$133:$B$139,CM21))</f>
        <v xml:space="preserve"> </v>
      </c>
      <c r="CO21" s="80"/>
      <c r="CP21" s="302" t="str" cm="1">
        <f t="array" aca="1" ref="CP21" ca="1">IF(CL21=0,"",IF(CK21="G","--",INDEX(auto_DataFlat_Rank,CJ21,$E$11)))</f>
        <v>1</v>
      </c>
      <c r="CQ21" s="122" t="str" cm="1">
        <f t="array" aca="1" ref="CQ21" ca="1">IF(CL21=0,"",IF(CK21="G","AVERAGE",INDEX(auto_ddCountry,CK21)))</f>
        <v>London</v>
      </c>
      <c r="CR21" s="290" cm="1">
        <f t="array" aca="1" ref="CR21" ca="1">IF(CL21=0,"",INDEX(auto_DataFlat_Score,CJ21,$E$11))</f>
        <v>96.3</v>
      </c>
      <c r="CS21" s="26"/>
      <c r="CT21" s="299">
        <f>CT20</f>
        <v>-1</v>
      </c>
      <c r="CU21" s="300" t="e" cm="1">
        <f t="array" ref="CU21">INDEX(sys_DataFlat_LU_Grid_Groups,CT21,$E$17)</f>
        <v>#VALUE!</v>
      </c>
      <c r="CV21" s="300" t="e" cm="1">
        <f t="array" ref="CV21">CHOOSE($E$14,INDEX(auto_DataFlat_Score,CU21,$E$11),-INDEX(auto_DataFlat_Score,CU21,$E$11),300)</f>
        <v>#VALUE!</v>
      </c>
      <c r="CW21" s="91" t="e">
        <f ca="1">RANK(CV21,OFFSET(CV$21,0,0,$E$16+1,1))+COUNTIF(CV$21:CV21,CV21)-1</f>
        <v>#VALUE!</v>
      </c>
      <c r="CX21" s="91" t="e">
        <f ca="1">MATCH($D21,OFFSET(CW$21,0,0,$E$16+1,1),0)</f>
        <v>#N/A</v>
      </c>
      <c r="CY21" s="91" t="e" cm="1">
        <f t="array" aca="1" ref="CY21" ca="1">INDEX(OFFSET(CU$21,0,0,$E$16+1,1),CX21)</f>
        <v>#N/A</v>
      </c>
      <c r="CZ21" s="49" t="e" cm="1">
        <f t="array" aca="1" ref="CZ21" ca="1">INDEX(OFFSET($E$21,0,0,$E$16+1,1),CX21)</f>
        <v>#N/A</v>
      </c>
      <c r="DA21" s="80" t="e" cm="1">
        <f t="array" aca="1" ref="DA21" ca="1">IF(CZ21="G",5,INDEX(OFFSET($F$21,0,0,$E$16+1,1),CX21))</f>
        <v>#N/A</v>
      </c>
      <c r="DB21" s="80" t="e" cm="1">
        <f t="array" aca="1" ref="DB21" ca="1">IF(CY21=0,0,IF(CZ21="G",-1,INDEX(auto_DataFlat_Classification,CY21,$E$11)))</f>
        <v>#N/A</v>
      </c>
      <c r="DC21" s="301" t="e" cm="1">
        <f t="array" aca="1" ref="DC21" ca="1">IF(DB21&lt;0,"",INDEX(uxbGlobals!$B$133:$B$139,DB21))</f>
        <v>#N/A</v>
      </c>
      <c r="DD21" s="80"/>
      <c r="DE21" s="302" t="e" cm="1">
        <f t="array" aca="1" ref="DE21" ca="1">IF(DA21=0,"",IF(CZ21="G","--",INDEX(auto_DataFlat_Rank,CY21,$E$11)))</f>
        <v>#N/A</v>
      </c>
      <c r="DF21" s="122" t="e" cm="1">
        <f t="array" aca="1" ref="DF21" ca="1">IF(DA21=0,"",IF(CZ21="G","AVERAGE",INDEX(auto_ddCountry,CZ21)))</f>
        <v>#N/A</v>
      </c>
      <c r="DG21" s="290" t="e" cm="1">
        <f t="array" aca="1" ref="DG21" ca="1">IF(DA21=0,"",INDEX(auto_DataFlat_Score,CY21,$E$11))</f>
        <v>#N/A</v>
      </c>
      <c r="DH21" s="26"/>
      <c r="DI21" s="299">
        <f>DI20</f>
        <v>-1</v>
      </c>
      <c r="DJ21" s="300" t="e" cm="1">
        <f t="array" ref="DJ21">INDEX(sys_DataFlat_LU_Grid_Groups,DI21,$E$17)</f>
        <v>#VALUE!</v>
      </c>
      <c r="DK21" s="300" t="e" cm="1">
        <f t="array" ref="DK21">CHOOSE($E$14,INDEX(auto_DataFlat_Score,DJ21,$E$11),-INDEX(auto_DataFlat_Score,DJ21,$E$11),300)</f>
        <v>#VALUE!</v>
      </c>
      <c r="DL21" s="91" t="e">
        <f ca="1">RANK(DK21,OFFSET(DK$21,0,0,$E$16+1,1))+COUNTIF(DK$21:DK21,DK21)-1</f>
        <v>#VALUE!</v>
      </c>
      <c r="DM21" s="91" t="e">
        <f ca="1">MATCH($D21,OFFSET(DL$21,0,0,$E$16+1,1),0)</f>
        <v>#N/A</v>
      </c>
      <c r="DN21" s="91" t="e" cm="1">
        <f t="array" aca="1" ref="DN21" ca="1">INDEX(OFFSET(DJ$21,0,0,$E$16+1,1),DM21)</f>
        <v>#N/A</v>
      </c>
      <c r="DO21" s="49" t="e" cm="1">
        <f t="array" aca="1" ref="DO21" ca="1">INDEX(OFFSET($E$21,0,0,$E$16+1,1),DM21)</f>
        <v>#N/A</v>
      </c>
      <c r="DP21" s="80" t="e" cm="1">
        <f t="array" aca="1" ref="DP21" ca="1">IF(DO21="G",5,INDEX(OFFSET($F$21,0,0,$E$16+1,1),DM21))</f>
        <v>#N/A</v>
      </c>
      <c r="DQ21" s="80" t="e" cm="1">
        <f t="array" aca="1" ref="DQ21" ca="1">IF(DN21=0,0,IF(DO21="G",-1,INDEX(auto_DataFlat_Classification,DN21,$E$11)))</f>
        <v>#N/A</v>
      </c>
      <c r="DR21" s="301" t="e" cm="1">
        <f t="array" aca="1" ref="DR21" ca="1">IF(DQ21&lt;0,"",INDEX(uxbGlobals!$B$133:$B$139,DQ21))</f>
        <v>#N/A</v>
      </c>
      <c r="DS21" s="80"/>
      <c r="DT21" s="302" t="e" cm="1">
        <f t="array" aca="1" ref="DT21" ca="1">IF(DP21=0,"",IF(DO21="G","--",INDEX(auto_DataFlat_Rank,DN21,$E$11)))</f>
        <v>#N/A</v>
      </c>
      <c r="DU21" s="122" t="e" cm="1">
        <f t="array" aca="1" ref="DU21" ca="1">IF(DP21=0,"",IF(DO21="G","AVERAGE",INDEX(auto_ddCountry,DO21)))</f>
        <v>#N/A</v>
      </c>
      <c r="DV21" s="290" t="e" cm="1">
        <f t="array" aca="1" ref="DV21" ca="1">IF(DP21=0,"",INDEX(auto_DataFlat_Score,DN21,$E$11))</f>
        <v>#N/A</v>
      </c>
      <c r="DW21" s="26"/>
      <c r="DX21" s="299">
        <f>DX20</f>
        <v>-1</v>
      </c>
      <c r="DY21" s="300" t="e" cm="1">
        <f t="array" ref="DY21">INDEX(sys_DataFlat_LU_Grid_Groups,DX21,$E$17)</f>
        <v>#VALUE!</v>
      </c>
      <c r="DZ21" s="300" t="e" cm="1">
        <f t="array" ref="DZ21">CHOOSE($E$14,INDEX(auto_DataFlat_Score,DY21,$E$11),-INDEX(auto_DataFlat_Score,DY21,$E$11),300)</f>
        <v>#VALUE!</v>
      </c>
      <c r="EA21" s="91" t="e">
        <f ca="1">RANK(DZ21,OFFSET(DZ$21,0,0,$E$16+1,1))+COUNTIF(DZ$21:DZ21,DZ21)-1</f>
        <v>#VALUE!</v>
      </c>
      <c r="EB21" s="91" t="e">
        <f ca="1">MATCH($D21,OFFSET(EA$21,0,0,$E$16+1,1),0)</f>
        <v>#N/A</v>
      </c>
      <c r="EC21" s="91" t="e" cm="1">
        <f t="array" aca="1" ref="EC21" ca="1">INDEX(OFFSET(DY$21,0,0,$E$16+1,1),EB21)</f>
        <v>#N/A</v>
      </c>
      <c r="ED21" s="49" t="e" cm="1">
        <f t="array" aca="1" ref="ED21" ca="1">INDEX(OFFSET($E$21,0,0,$E$16+1,1),EB21)</f>
        <v>#N/A</v>
      </c>
      <c r="EE21" s="80" t="e" cm="1">
        <f t="array" aca="1" ref="EE21" ca="1">IF(ED21="G",5,INDEX(OFFSET($F$21,0,0,$E$16+1,1),EB21))</f>
        <v>#N/A</v>
      </c>
      <c r="EF21" s="80" t="e" cm="1">
        <f t="array" aca="1" ref="EF21" ca="1">IF(EC21=0,0,IF(ED21="G",-1,INDEX(auto_DataFlat_Classification,EC21,$E$11)))</f>
        <v>#N/A</v>
      </c>
      <c r="EG21" s="301" t="e" cm="1">
        <f t="array" aca="1" ref="EG21" ca="1">IF(EF21&lt;0,"",INDEX(uxbGlobals!$B$133:$B$139,EF21))</f>
        <v>#N/A</v>
      </c>
      <c r="EH21" s="80"/>
      <c r="EI21" s="302" t="e" cm="1">
        <f t="array" aca="1" ref="EI21" ca="1">IF(EE21=0,"",IF(ED21="G","--",INDEX(auto_DataFlat_Rank,EC21,$E$11)))</f>
        <v>#N/A</v>
      </c>
      <c r="EJ21" s="122" t="e" cm="1">
        <f t="array" aca="1" ref="EJ21" ca="1">IF(EE21=0,"",IF(ED21="G","AVERAGE",INDEX(auto_ddCountry,ED21)))</f>
        <v>#N/A</v>
      </c>
      <c r="EK21" s="290" t="e" cm="1">
        <f t="array" aca="1" ref="EK21" ca="1">IF(EE21=0,"",INDEX(auto_DataFlat_Score,EC21,$E$11))</f>
        <v>#N/A</v>
      </c>
      <c r="EL21" s="26"/>
      <c r="EM21" s="299">
        <f>EM20</f>
        <v>-1</v>
      </c>
      <c r="EN21" s="300" t="e" cm="1">
        <f t="array" ref="EN21">INDEX(sys_DataFlat_LU_Grid_Groups,EM21,$E$17)</f>
        <v>#VALUE!</v>
      </c>
      <c r="EO21" s="300" t="e" cm="1">
        <f t="array" ref="EO21">CHOOSE($E$14,INDEX(auto_DataFlat_Score,EN21,$E$11),-INDEX(auto_DataFlat_Score,EN21,$E$11),300)</f>
        <v>#VALUE!</v>
      </c>
      <c r="EP21" s="91" t="e">
        <f ca="1">RANK(EO21,OFFSET(EO$21,0,0,$E$16+1,1))+COUNTIF(EO$21:EO21,EO21)-1</f>
        <v>#VALUE!</v>
      </c>
      <c r="EQ21" s="91" t="e">
        <f ca="1">MATCH($D21,OFFSET(EP$21,0,0,$E$16+1,1),0)</f>
        <v>#N/A</v>
      </c>
      <c r="ER21" s="91" t="e" cm="1">
        <f t="array" aca="1" ref="ER21" ca="1">INDEX(OFFSET(EN$21,0,0,$E$16+1,1),EQ21)</f>
        <v>#N/A</v>
      </c>
      <c r="ES21" s="49" t="e" cm="1">
        <f t="array" aca="1" ref="ES21" ca="1">INDEX(OFFSET($E$21,0,0,$E$16+1,1),EQ21)</f>
        <v>#N/A</v>
      </c>
      <c r="ET21" s="80" t="e" cm="1">
        <f t="array" aca="1" ref="ET21" ca="1">IF(ES21="G",5,INDEX(OFFSET($F$21,0,0,$E$16+1,1),EQ21))</f>
        <v>#N/A</v>
      </c>
      <c r="EU21" s="80" t="e" cm="1">
        <f t="array" aca="1" ref="EU21" ca="1">IF(ER21=0,0,IF(ES21="G",-1,INDEX(auto_DataFlat_Classification,ER21,$E$11)))</f>
        <v>#N/A</v>
      </c>
      <c r="EV21" s="301" t="e" cm="1">
        <f t="array" aca="1" ref="EV21" ca="1">IF(EU21&lt;0,"",INDEX(uxbGlobals!$B$133:$B$139,EU21))</f>
        <v>#N/A</v>
      </c>
      <c r="EW21" s="80"/>
      <c r="EX21" s="302" t="e" cm="1">
        <f t="array" aca="1" ref="EX21" ca="1">IF(ET21=0,"",IF(ES21="G","--",INDEX(auto_DataFlat_Rank,ER21,$E$11)))</f>
        <v>#N/A</v>
      </c>
      <c r="EY21" s="122" t="e" cm="1">
        <f t="array" aca="1" ref="EY21" ca="1">IF(ET21=0,"",IF(ES21="G","AVERAGE",INDEX(auto_ddCountry,ES21)))</f>
        <v>#N/A</v>
      </c>
      <c r="EZ21" s="290" t="e" cm="1">
        <f t="array" aca="1" ref="EZ21" ca="1">IF(ET21=0,"",INDEX(auto_DataFlat_Score,ER21,$E$11))</f>
        <v>#N/A</v>
      </c>
    </row>
    <row r="22" spans="1:156" ht="17.149999999999999" customHeight="1" x14ac:dyDescent="0.4">
      <c r="A22" s="4"/>
      <c r="B22" s="4"/>
      <c r="C22" s="4"/>
      <c r="D22" s="26">
        <v>2</v>
      </c>
      <c r="E22" s="49">
        <f>tblCountries!M3</f>
        <v>1</v>
      </c>
      <c r="F22" s="114" cm="1">
        <f t="array" ref="F22">IF(E22=0,0,INDEX(auto_Country_Status,E22))</f>
        <v>1</v>
      </c>
      <c r="G22" s="4"/>
      <c r="H22" s="49">
        <f>H20</f>
        <v>1</v>
      </c>
      <c r="I22" s="49" cm="1">
        <f t="array" ref="I22">IF($F22=0,0,INDEX(sys_DataFlat_LU_Grid,H22,$E22))</f>
        <v>1</v>
      </c>
      <c r="J22" s="49" cm="1">
        <f t="array" ref="J22">IF($F22=0,-1000,CHOOSE($E$14,INDEX(auto_DataFlat_Score,I22,$E$11),-INDEX(auto_DataFlat_Score,I22,$E$11),-$D22))</f>
        <v>49.6</v>
      </c>
      <c r="K22" s="91">
        <f ca="1">RANK(J22,OFFSET(J$21,0,0,$E$16+1,1))+COUNTIF(J$21:J22,J22)-1</f>
        <v>42</v>
      </c>
      <c r="L22" s="91">
        <f t="shared" ref="L22" ca="1" si="21">MATCH($D22,OFFSET(K$21,0,0,$E$16+1,1),0)</f>
        <v>27</v>
      </c>
      <c r="M22" s="91" cm="1">
        <f t="array" aca="1" ref="M22" ca="1">INDEX(OFFSET(I$21,0,0,$E$16+1,1),L22)</f>
        <v>26</v>
      </c>
      <c r="N22" s="49" cm="1">
        <f t="array" aca="1" ref="N22" ca="1">INDEX(OFFSET($E$21,0,0,$E$16+1,1),L22)</f>
        <v>26</v>
      </c>
      <c r="O22" s="80" cm="1">
        <f t="array" aca="1" ref="O22" ca="1">IF(N22="G",5,INDEX(OFFSET($F$21,0,0,$E$16+1,1),L22))</f>
        <v>1</v>
      </c>
      <c r="P22" s="80" cm="1">
        <f t="array" aca="1" ref="P22" ca="1">IF(M22=0,0,IF(N22="G",-1,INDEX(auto_DataFlat_Classification,M22,$E$11)))</f>
        <v>5</v>
      </c>
      <c r="Q22" s="301" t="str" cm="1">
        <f t="array" aca="1" ref="Q22" ca="1">IF(P22&lt;0,"",INDEX(uxbGlobals!$B$133:$B$139,P22))</f>
        <v xml:space="preserve"> </v>
      </c>
      <c r="R22" s="80"/>
      <c r="S22" s="302" t="str" cm="1">
        <f t="array" aca="1" ref="S22" ca="1">IF(O22=0,"",IF(N22="G","--",INDEX(auto_DataFlat_Rank,M22,$E$11)))</f>
        <v>2</v>
      </c>
      <c r="T22" s="122" t="str" cm="1">
        <f t="array" aca="1" ref="T22" ca="1">IF(O22=0,"",IF(N22="G"," AVERAGE",INDEX(auto_ddCountry,N22)))</f>
        <v>London</v>
      </c>
      <c r="U22" s="290" cm="1">
        <f t="array" aca="1" ref="U22" ca="1">IF(O22=0,"",INDEX(auto_DataFlat_Score,M22,$E$11))</f>
        <v>82.6</v>
      </c>
      <c r="V22" s="4"/>
      <c r="W22" s="49">
        <f>W20</f>
        <v>2</v>
      </c>
      <c r="X22" s="49" cm="1">
        <f t="array" ref="X22">IF($F22=0,0,INDEX(sys_DataFlat_LU_Grid,W22,$E22))</f>
        <v>61</v>
      </c>
      <c r="Y22" s="49" cm="1">
        <f t="array" ref="Y22">IF($F22=0,-1000,CHOOSE($E$14,INDEX(auto_DataFlat_Score,X22,$E$11),-INDEX(auto_DataFlat_Score,X22,$E$11),-$D22))</f>
        <v>65.900000000000006</v>
      </c>
      <c r="Z22" s="91">
        <f ca="1">RANK(Y22,OFFSET(Y$21,0,0,$E$16+1,1))+COUNTIF(Y$21:Y22,Y22)-1</f>
        <v>33</v>
      </c>
      <c r="AA22" s="91">
        <f t="shared" ref="AA22" ca="1" si="22">MATCH($D22,OFFSET(Z$21,0,0,$E$16+1,1),0)</f>
        <v>8</v>
      </c>
      <c r="AB22" s="91" cm="1">
        <f t="array" aca="1" ref="AB22" ca="1">INDEX(OFFSET(X$21,0,0,$E$16+1,1),AA22)</f>
        <v>67</v>
      </c>
      <c r="AC22" s="49" cm="1">
        <f t="array" aca="1" ref="AC22" ca="1">INDEX(OFFSET($E$21,0,0,$E$16+1,1),AA22)</f>
        <v>7</v>
      </c>
      <c r="AD22" s="80" cm="1">
        <f t="array" aca="1" ref="AD22" ca="1">IF(AC22="G",5,INDEX(OFFSET($F$21,0,0,$E$16+1,1),AA22))</f>
        <v>1</v>
      </c>
      <c r="AE22" s="80" cm="1">
        <f t="array" aca="1" ref="AE22" ca="1">IF(AB22=0,0,IF(AC22="G",-1,INDEX(auto_DataFlat_Classification,AB22,$E$11)))</f>
        <v>5</v>
      </c>
      <c r="AF22" s="301" t="str" cm="1">
        <f t="array" aca="1" ref="AF22" ca="1">IF(AE22&lt;0,"",INDEX(uxbGlobals!$B$133:$B$139,AE22))</f>
        <v xml:space="preserve"> </v>
      </c>
      <c r="AG22" s="80"/>
      <c r="AH22" s="302" t="str" cm="1">
        <f t="array" aca="1" ref="AH22" ca="1">IF(AD22=0,"",IF(AC22="G","--",INDEX(auto_DataFlat_Rank,AB22,$E$11)))</f>
        <v>2</v>
      </c>
      <c r="AI22" s="122" t="str" cm="1">
        <f t="array" aca="1" ref="AI22" ca="1">IF(AD22=0,"",IF(AC22="G","AVERAGE",INDEX(auto_ddCountry,AC22)))</f>
        <v>Berlin</v>
      </c>
      <c r="AJ22" s="290" cm="1">
        <f t="array" aca="1" ref="AJ22" ca="1">IF(AD22=0,"",INDEX(auto_DataFlat_Score,AB22,$E$11))</f>
        <v>89.6</v>
      </c>
      <c r="AK22" s="4"/>
      <c r="AL22" s="49">
        <f>AL20</f>
        <v>14</v>
      </c>
      <c r="AM22" s="49" cm="1">
        <f t="array" ref="AM22">IF($F22=0,0,INDEX(sys_DataFlat_LU_Grid,AL22,$E22))</f>
        <v>781</v>
      </c>
      <c r="AN22" s="49" cm="1">
        <f t="array" ref="AN22">IF($F22=0,-1000,CHOOSE($E$14,INDEX(auto_DataFlat_Score,AM22,$E$11),-INDEX(auto_DataFlat_Score,AM22,$E$11),-$D22))</f>
        <v>29</v>
      </c>
      <c r="AO22" s="91">
        <f ca="1">RANK(AN22,OFFSET(AN$21,0,0,$E$16+1,1))+COUNTIF(AN$21:AN22,AN22)-1</f>
        <v>42</v>
      </c>
      <c r="AP22" s="91">
        <f t="shared" ref="AP22" ca="1" si="23">MATCH($D22,OFFSET(AO$21,0,0,$E$16+1,1),0)</f>
        <v>27</v>
      </c>
      <c r="AQ22" s="91" cm="1">
        <f t="array" aca="1" ref="AQ22" ca="1">INDEX(OFFSET(AM$21,0,0,$E$16+1,1),AP22)</f>
        <v>806</v>
      </c>
      <c r="AR22" s="49" cm="1">
        <f t="array" aca="1" ref="AR22" ca="1">INDEX(OFFSET($E$21,0,0,$E$16+1,1),AP22)</f>
        <v>26</v>
      </c>
      <c r="AS22" s="80" cm="1">
        <f t="array" aca="1" ref="AS22" ca="1">IF(AR22="G",5,INDEX(OFFSET($F$21,0,0,$E$16+1,1),AP22))</f>
        <v>1</v>
      </c>
      <c r="AT22" s="80" cm="1">
        <f t="array" aca="1" ref="AT22" ca="1">IF(AQ22=0,0,IF(AR22="G",-1,INDEX(auto_DataFlat_Classification,AQ22,$E$11)))</f>
        <v>4</v>
      </c>
      <c r="AU22" s="301" t="str" cm="1">
        <f t="array" aca="1" ref="AU22" ca="1">IF(AT22&lt;0,"",INDEX(uxbGlobals!$B$133:$B$139,AT22))</f>
        <v xml:space="preserve"> </v>
      </c>
      <c r="AV22" s="80"/>
      <c r="AW22" s="302" t="str" cm="1">
        <f t="array" aca="1" ref="AW22" ca="1">IF(AS22=0,"",IF(AR22="G","--",INDEX(auto_DataFlat_Rank,AQ22,$E$11)))</f>
        <v>2</v>
      </c>
      <c r="AX22" s="122" t="str" cm="1">
        <f t="array" aca="1" ref="AX22" ca="1">IF(AS22=0,"",IF(AR22="G","AVERAGE",INDEX(auto_ddCountry,AR22)))</f>
        <v>London</v>
      </c>
      <c r="AY22" s="290" cm="1">
        <f t="array" aca="1" ref="AY22" ca="1">IF(AS22=0,"",INDEX(auto_DataFlat_Score,AQ22,$E$11))</f>
        <v>76.7</v>
      </c>
      <c r="AZ22" s="4"/>
      <c r="BA22" s="49">
        <f>BA20</f>
        <v>22</v>
      </c>
      <c r="BB22" s="49" cm="1">
        <f t="array" ref="BB22">IF($F22=0,0,INDEX(sys_DataFlat_LU_Grid,BA22,$E22))</f>
        <v>1261</v>
      </c>
      <c r="BC22" s="49" cm="1">
        <f t="array" ref="BC22">IF($F22=0,-1000,CHOOSE($E$14,INDEX(auto_DataFlat_Score,BB22,$E$11),-INDEX(auto_DataFlat_Score,BB22,$E$11),-$D22))</f>
        <v>47.2</v>
      </c>
      <c r="BD22" s="91">
        <f ca="1">RANK(BC22,OFFSET(BC$21,0,0,$E$16+1,1))+COUNTIF(BC$21:BC22,BC22)-1</f>
        <v>33</v>
      </c>
      <c r="BE22" s="91">
        <f t="shared" ref="BE22" ca="1" si="24">MATCH($D22,OFFSET(BD$21,0,0,$E$16+1,1),0)</f>
        <v>20</v>
      </c>
      <c r="BF22" s="91" cm="1">
        <f t="array" aca="1" ref="BF22" ca="1">INDEX(OFFSET(BB$21,0,0,$E$16+1,1),BE22)</f>
        <v>1279</v>
      </c>
      <c r="BG22" s="49" cm="1">
        <f t="array" aca="1" ref="BG22" ca="1">INDEX(OFFSET($E$21,0,0,$E$16+1,1),BE22)</f>
        <v>19</v>
      </c>
      <c r="BH22" s="80" cm="1">
        <f t="array" aca="1" ref="BH22" ca="1">IF(BG22="G",5,INDEX(OFFSET($F$21,0,0,$E$16+1,1),BE22))</f>
        <v>1</v>
      </c>
      <c r="BI22" s="80" cm="1">
        <f t="array" aca="1" ref="BI22" ca="1">IF(BF22=0,0,IF(BG22="G",-1,INDEX(auto_DataFlat_Classification,BF22,$E$11)))</f>
        <v>5</v>
      </c>
      <c r="BJ22" s="301" t="str" cm="1">
        <f t="array" aca="1" ref="BJ22" ca="1">IF(BI22&lt;0,"",INDEX(uxbGlobals!$B$133:$B$139,BI22))</f>
        <v xml:space="preserve"> </v>
      </c>
      <c r="BK22" s="80"/>
      <c r="BL22" s="302" t="str" cm="1">
        <f t="array" aca="1" ref="BL22" ca="1">IF(BH22=0,"",IF(BG22="G","--",INDEX(auto_DataFlat_Rank,BF22,$E$11)))</f>
        <v>2</v>
      </c>
      <c r="BM22" s="122" t="str" cm="1">
        <f t="array" aca="1" ref="BM22" ca="1">IF(BH22=0,"",IF(BG22="G","AVERAGE",INDEX(auto_ddCountry,BG22)))</f>
        <v>Jakarta</v>
      </c>
      <c r="BN22" s="290" cm="1">
        <f t="array" aca="1" ref="BN22" ca="1">IF(BH22=0,"",INDEX(auto_DataFlat_Score,BF22,$E$11))</f>
        <v>83.3</v>
      </c>
      <c r="BO22" s="4"/>
      <c r="BP22" s="49">
        <f>BP20</f>
        <v>47</v>
      </c>
      <c r="BQ22" s="49" cm="1">
        <f t="array" ref="BQ22">IF($F22=0,0,INDEX(sys_DataFlat_LU_Grid,BP22,$E22))</f>
        <v>2761</v>
      </c>
      <c r="BR22" s="49" cm="1">
        <f t="array" ref="BR22">IF($F22=0,-1000,CHOOSE($E$14,INDEX(auto_DataFlat_Score,BQ22,$E$11),-INDEX(auto_DataFlat_Score,BQ22,$E$11),-$D22))</f>
        <v>19.100000000000001</v>
      </c>
      <c r="BS22" s="91">
        <f ca="1">RANK(BR22,OFFSET(BR$21,0,0,$E$16+1,1))+COUNTIF(BR$21:BR22,BR22)-1</f>
        <v>51</v>
      </c>
      <c r="BT22" s="91">
        <f t="shared" ref="BT22" ca="1" si="25">MATCH($D22,OFFSET(BS$21,0,0,$E$16+1,1),0)</f>
        <v>41</v>
      </c>
      <c r="BU22" s="91" cm="1">
        <f t="array" aca="1" ref="BU22" ca="1">INDEX(OFFSET(BQ$21,0,0,$E$16+1,1),BT22)</f>
        <v>2800</v>
      </c>
      <c r="BV22" s="49" cm="1">
        <f t="array" aca="1" ref="BV22" ca="1">INDEX(OFFSET($E$21,0,0,$E$16+1,1),BT22)</f>
        <v>40</v>
      </c>
      <c r="BW22" s="80" cm="1">
        <f t="array" aca="1" ref="BW22" ca="1">IF(BV22="G",5,INDEX(OFFSET($F$21,0,0,$E$16+1,1),BT22))</f>
        <v>1</v>
      </c>
      <c r="BX22" s="80" cm="1">
        <f t="array" aca="1" ref="BX22" ca="1">IF(BU22=0,0,IF(BV22="G",-1,INDEX(auto_DataFlat_Classification,BU22,$E$11)))</f>
        <v>5</v>
      </c>
      <c r="BY22" s="301" t="str" cm="1">
        <f t="array" aca="1" ref="BY22" ca="1">IF(BX22&lt;0,"",INDEX(uxbGlobals!$B$133:$B$139,BX22))</f>
        <v xml:space="preserve"> </v>
      </c>
      <c r="BZ22" s="80"/>
      <c r="CA22" s="302" t="str" cm="1">
        <f t="array" aca="1" ref="CA22" ca="1">IF(BW22=0,"",IF(BV22="G","--",INDEX(auto_DataFlat_Rank,BU22,$E$11)))</f>
        <v>=1</v>
      </c>
      <c r="CB22" s="122" t="str" cm="1">
        <f t="array" aca="1" ref="CB22" ca="1">IF(BW22=0,"",IF(BV22="G","AVERAGE",INDEX(auto_ddCountry,BV22)))</f>
        <v>San Francisco</v>
      </c>
      <c r="CC22" s="290" cm="1">
        <f t="array" aca="1" ref="CC22" ca="1">IF(BW22=0,"",INDEX(auto_DataFlat_Score,BU22,$E$11))</f>
        <v>91.9</v>
      </c>
      <c r="CD22" s="4"/>
      <c r="CE22" s="49">
        <f>CE20</f>
        <v>52</v>
      </c>
      <c r="CF22" s="49" cm="1">
        <f t="array" ref="CF22">IF($F22=0,0,INDEX(sys_DataFlat_LU_Grid,CE22,$E22))</f>
        <v>3061</v>
      </c>
      <c r="CG22" s="49" cm="1">
        <f t="array" ref="CG22">IF($F22=0,-1000,CHOOSE($E$14,INDEX(auto_DataFlat_Score,CF22,$E$11),-INDEX(auto_DataFlat_Score,CF22,$E$11),-$D22))</f>
        <v>67.599999999999994</v>
      </c>
      <c r="CH22" s="91">
        <f ca="1">RANK(CG22,OFFSET(CG$21,0,0,$E$16+1,1))+COUNTIF(CG$21:CG22,CG22)-1</f>
        <v>34</v>
      </c>
      <c r="CI22" s="91">
        <f t="shared" ref="CI22" ca="1" si="26">MATCH($D22,OFFSET(CH$21,0,0,$E$16+1,1),0)</f>
        <v>18</v>
      </c>
      <c r="CJ22" s="91" cm="1">
        <f t="array" aca="1" ref="CJ22" ca="1">INDEX(OFFSET(CF$21,0,0,$E$16+1,1),CI22)</f>
        <v>3077</v>
      </c>
      <c r="CK22" s="49" cm="1">
        <f t="array" aca="1" ref="CK22" ca="1">INDEX(OFFSET($E$21,0,0,$E$16+1,1),CI22)</f>
        <v>17</v>
      </c>
      <c r="CL22" s="80" cm="1">
        <f t="array" aca="1" ref="CL22" ca="1">IF(CK22="G",5,INDEX(OFFSET($F$21,0,0,$E$16+1,1),CI22))</f>
        <v>1</v>
      </c>
      <c r="CM22" s="80" cm="1">
        <f t="array" aca="1" ref="CM22" ca="1">IF(CJ22=0,0,IF(CK22="G",-1,INDEX(auto_DataFlat_Classification,CJ22,$E$11)))</f>
        <v>5</v>
      </c>
      <c r="CN22" s="301" t="str" cm="1">
        <f t="array" aca="1" ref="CN22" ca="1">IF(CM22&lt;0,"",INDEX(uxbGlobals!$B$133:$B$139,CM22))</f>
        <v xml:space="preserve"> </v>
      </c>
      <c r="CO22" s="80"/>
      <c r="CP22" s="302" t="str" cm="1">
        <f t="array" aca="1" ref="CP22" ca="1">IF(CL22=0,"",IF(CK22="G","--",INDEX(auto_DataFlat_Rank,CJ22,$E$11)))</f>
        <v>2</v>
      </c>
      <c r="CQ22" s="122" t="str" cm="1">
        <f t="array" aca="1" ref="CQ22" ca="1">IF(CL22=0,"",IF(CK22="G","AVERAGE",INDEX(auto_ddCountry,CK22)))</f>
        <v>Hong Kong</v>
      </c>
      <c r="CR22" s="290" cm="1">
        <f t="array" aca="1" ref="CR22" ca="1">IF(CL22=0,"",INDEX(auto_DataFlat_Score,CJ22,$E$11))</f>
        <v>90.7</v>
      </c>
      <c r="CS22" s="4"/>
      <c r="CT22" s="49">
        <f>CT20</f>
        <v>-1</v>
      </c>
      <c r="CU22" s="49" t="e" cm="1">
        <f t="array" ref="CU22">IF($F22=0,0,INDEX(sys_DataFlat_LU_Grid,CT22,$E22))</f>
        <v>#VALUE!</v>
      </c>
      <c r="CV22" s="49" t="e" cm="1">
        <f t="array" ref="CV22">IF($F22=0,-1000,CHOOSE($E$14,INDEX(auto_DataFlat_Score,CU22,$E$11),-INDEX(auto_DataFlat_Score,CU22,$E$11),-$D22))</f>
        <v>#VALUE!</v>
      </c>
      <c r="CW22" s="91" t="e">
        <f ca="1">RANK(CV22,OFFSET(CV$21,0,0,$E$16+1,1))+COUNTIF(CV$21:CV22,CV22)-1</f>
        <v>#VALUE!</v>
      </c>
      <c r="CX22" s="91" t="e">
        <f t="shared" ref="CX22:CX23" ca="1" si="27">MATCH($D22,OFFSET(CW$21,0,0,$E$16+1,1),0)</f>
        <v>#N/A</v>
      </c>
      <c r="CY22" s="91" t="e" cm="1">
        <f t="array" aca="1" ref="CY22" ca="1">INDEX(OFFSET(CU$21,0,0,$E$16+1,1),CX22)</f>
        <v>#N/A</v>
      </c>
      <c r="CZ22" s="49" t="e" cm="1">
        <f t="array" aca="1" ref="CZ22" ca="1">INDEX(OFFSET($E$21,0,0,$E$16+1,1),CX22)</f>
        <v>#N/A</v>
      </c>
      <c r="DA22" s="80" t="e" cm="1">
        <f t="array" aca="1" ref="DA22" ca="1">IF(CZ22="G",5,INDEX(OFFSET($F$21,0,0,$E$16+1,1),CX22))</f>
        <v>#N/A</v>
      </c>
      <c r="DB22" s="80" t="e" cm="1">
        <f t="array" aca="1" ref="DB22" ca="1">IF(CY22=0,0,IF(CZ22="G",-1,INDEX(auto_DataFlat_Classification,CY22,$E$11)))</f>
        <v>#N/A</v>
      </c>
      <c r="DC22" s="301" t="e" cm="1">
        <f t="array" aca="1" ref="DC22" ca="1">IF(DB22&lt;0,"",INDEX(uxbGlobals!$B$133:$B$139,DB22))</f>
        <v>#N/A</v>
      </c>
      <c r="DD22" s="80"/>
      <c r="DE22" s="302" t="e" cm="1">
        <f t="array" aca="1" ref="DE22" ca="1">IF(DA22=0,"",IF(CZ22="G","--",INDEX(auto_DataFlat_Rank,CY22,$E$11)))</f>
        <v>#N/A</v>
      </c>
      <c r="DF22" s="122" t="e" cm="1">
        <f t="array" aca="1" ref="DF22" ca="1">IF(DA22=0,"",IF(CZ22="G","AVERAGE",INDEX(auto_ddCountry,CZ22)))</f>
        <v>#N/A</v>
      </c>
      <c r="DG22" s="290" t="e" cm="1">
        <f t="array" aca="1" ref="DG22" ca="1">IF(DA22=0,"",INDEX(auto_DataFlat_Score,CY22,$E$11))</f>
        <v>#N/A</v>
      </c>
      <c r="DH22" s="4"/>
      <c r="DI22" s="49">
        <f>DI20</f>
        <v>-1</v>
      </c>
      <c r="DJ22" s="49" t="e" cm="1">
        <f t="array" ref="DJ22">IF($F22=0,0,INDEX(sys_DataFlat_LU_Grid,DI22,$E22))</f>
        <v>#VALUE!</v>
      </c>
      <c r="DK22" s="49" t="e" cm="1">
        <f t="array" ref="DK22">IF($F22=0,-1000,CHOOSE($E$14,INDEX(auto_DataFlat_Score,DJ22,$E$11),-INDEX(auto_DataFlat_Score,DJ22,$E$11),-$D22))</f>
        <v>#VALUE!</v>
      </c>
      <c r="DL22" s="91" t="e">
        <f ca="1">RANK(DK22,OFFSET(DK$21,0,0,$E$16+1,1))+COUNTIF(DK$21:DK22,DK22)-1</f>
        <v>#VALUE!</v>
      </c>
      <c r="DM22" s="91" t="e">
        <f t="shared" ref="DM22:DM71" ca="1" si="28">MATCH($D22,OFFSET(DL$21,0,0,$E$16+1,1),0)</f>
        <v>#N/A</v>
      </c>
      <c r="DN22" s="91" t="e" cm="1">
        <f t="array" aca="1" ref="DN22" ca="1">INDEX(OFFSET(DJ$21,0,0,$E$16+1,1),DM22)</f>
        <v>#N/A</v>
      </c>
      <c r="DO22" s="49" t="e" cm="1">
        <f t="array" aca="1" ref="DO22" ca="1">INDEX(OFFSET($E$21,0,0,$E$16+1,1),DM22)</f>
        <v>#N/A</v>
      </c>
      <c r="DP22" s="80" t="e" cm="1">
        <f t="array" aca="1" ref="DP22" ca="1">IF(DO22="G",5,INDEX(OFFSET($F$21,0,0,$E$16+1,1),DM22))</f>
        <v>#N/A</v>
      </c>
      <c r="DQ22" s="80" t="e" cm="1">
        <f t="array" aca="1" ref="DQ22" ca="1">IF(DN22=0,0,IF(DO22="G",-1,INDEX(auto_DataFlat_Classification,DN22,$E$11)))</f>
        <v>#N/A</v>
      </c>
      <c r="DR22" s="301" t="e" cm="1">
        <f t="array" aca="1" ref="DR22" ca="1">IF(DQ22&lt;0,"",INDEX(uxbGlobals!$B$133:$B$139,DQ22))</f>
        <v>#N/A</v>
      </c>
      <c r="DS22" s="80"/>
      <c r="DT22" s="302" t="e" cm="1">
        <f t="array" aca="1" ref="DT22" ca="1">IF(DP22=0,"",IF(DO22="G","--",INDEX(auto_DataFlat_Rank,DN22,$E$11)))</f>
        <v>#N/A</v>
      </c>
      <c r="DU22" s="122" t="e" cm="1">
        <f t="array" aca="1" ref="DU22" ca="1">IF(DP22=0,"",IF(DO22="G","AVERAGE",INDEX(auto_ddCountry,DO22)))</f>
        <v>#N/A</v>
      </c>
      <c r="DV22" s="290" t="e" cm="1">
        <f t="array" aca="1" ref="DV22" ca="1">IF(DP22=0,"",INDEX(auto_DataFlat_Score,DN22,$E$11))</f>
        <v>#N/A</v>
      </c>
      <c r="DW22" s="4"/>
      <c r="DX22" s="49">
        <f>DX20</f>
        <v>-1</v>
      </c>
      <c r="DY22" s="49" t="e" cm="1">
        <f t="array" ref="DY22">IF($F22=0,0,INDEX(sys_DataFlat_LU_Grid,DX22,$E22))</f>
        <v>#VALUE!</v>
      </c>
      <c r="DZ22" s="49" t="e" cm="1">
        <f t="array" ref="DZ22">IF($F22=0,-1000,CHOOSE($E$14,INDEX(auto_DataFlat_Score,DY22,$E$11),-INDEX(auto_DataFlat_Score,DY22,$E$11),-$D22))</f>
        <v>#VALUE!</v>
      </c>
      <c r="EA22" s="91" t="e">
        <f ca="1">RANK(DZ22,OFFSET(DZ$21,0,0,$E$16+1,1))+COUNTIF(DZ$21:DZ22,DZ22)-1</f>
        <v>#VALUE!</v>
      </c>
      <c r="EB22" s="91" t="e">
        <f t="shared" ref="EB22:EB71" ca="1" si="29">MATCH($D22,OFFSET(EA$21,0,0,$E$16+1,1),0)</f>
        <v>#N/A</v>
      </c>
      <c r="EC22" s="91" t="e" cm="1">
        <f t="array" aca="1" ref="EC22" ca="1">INDEX(OFFSET(DY$21,0,0,$E$16+1,1),EB22)</f>
        <v>#N/A</v>
      </c>
      <c r="ED22" s="49" t="e" cm="1">
        <f t="array" aca="1" ref="ED22" ca="1">INDEX(OFFSET($E$21,0,0,$E$16+1,1),EB22)</f>
        <v>#N/A</v>
      </c>
      <c r="EE22" s="80" t="e" cm="1">
        <f t="array" aca="1" ref="EE22" ca="1">IF(ED22="G",5,INDEX(OFFSET($F$21,0,0,$E$16+1,1),EB22))</f>
        <v>#N/A</v>
      </c>
      <c r="EF22" s="80" t="e" cm="1">
        <f t="array" aca="1" ref="EF22" ca="1">IF(EC22=0,0,IF(ED22="G",-1,INDEX(auto_DataFlat_Classification,EC22,$E$11)))</f>
        <v>#N/A</v>
      </c>
      <c r="EG22" s="301" t="e" cm="1">
        <f t="array" aca="1" ref="EG22" ca="1">IF(EF22&lt;0,"",INDEX(uxbGlobals!$B$133:$B$139,EF22))</f>
        <v>#N/A</v>
      </c>
      <c r="EH22" s="80"/>
      <c r="EI22" s="302" t="e" cm="1">
        <f t="array" aca="1" ref="EI22" ca="1">IF(EE22=0,"",IF(ED22="G","--",INDEX(auto_DataFlat_Rank,EC22,$E$11)))</f>
        <v>#N/A</v>
      </c>
      <c r="EJ22" s="122" t="e" cm="1">
        <f t="array" aca="1" ref="EJ22" ca="1">IF(EE22=0,"",IF(ED22="G","AVERAGE",INDEX(auto_ddCountry,ED22)))</f>
        <v>#N/A</v>
      </c>
      <c r="EK22" s="290" t="e" cm="1">
        <f t="array" aca="1" ref="EK22" ca="1">IF(EE22=0,"",INDEX(auto_DataFlat_Score,EC22,$E$11))</f>
        <v>#N/A</v>
      </c>
      <c r="EL22" s="4"/>
      <c r="EM22" s="49">
        <f>EM20</f>
        <v>-1</v>
      </c>
      <c r="EN22" s="49" t="e" cm="1">
        <f t="array" ref="EN22">IF($F22=0,0,INDEX(sys_DataFlat_LU_Grid,EM22,$E22))</f>
        <v>#VALUE!</v>
      </c>
      <c r="EO22" s="49" t="e" cm="1">
        <f t="array" ref="EO22">IF($F22=0,-1000,CHOOSE($E$14,INDEX(auto_DataFlat_Score,EN22,$E$11),-INDEX(auto_DataFlat_Score,EN22,$E$11),-$D22))</f>
        <v>#VALUE!</v>
      </c>
      <c r="EP22" s="91" t="e">
        <f ca="1">RANK(EO22,OFFSET(EO$21,0,0,$E$16+1,1))+COUNTIF(EO$21:EO22,EO22)-1</f>
        <v>#VALUE!</v>
      </c>
      <c r="EQ22" s="91" t="e">
        <f t="shared" ref="EQ22:EQ71" ca="1" si="30">MATCH($D22,OFFSET(EP$21,0,0,$E$16+1,1),0)</f>
        <v>#N/A</v>
      </c>
      <c r="ER22" s="91" t="e" cm="1">
        <f t="array" aca="1" ref="ER22" ca="1">INDEX(OFFSET(EN$21,0,0,$E$16+1,1),EQ22)</f>
        <v>#N/A</v>
      </c>
      <c r="ES22" s="49" t="e" cm="1">
        <f t="array" aca="1" ref="ES22" ca="1">INDEX(OFFSET($E$21,0,0,$E$16+1,1),EQ22)</f>
        <v>#N/A</v>
      </c>
      <c r="ET22" s="80" t="e" cm="1">
        <f t="array" aca="1" ref="ET22" ca="1">IF(ES22="G",5,INDEX(OFFSET($F$21,0,0,$E$16+1,1),EQ22))</f>
        <v>#N/A</v>
      </c>
      <c r="EU22" s="80" t="e" cm="1">
        <f t="array" aca="1" ref="EU22" ca="1">IF(ER22=0,0,IF(ES22="G",-1,INDEX(auto_DataFlat_Classification,ER22,$E$11)))</f>
        <v>#N/A</v>
      </c>
      <c r="EV22" s="301" t="e" cm="1">
        <f t="array" aca="1" ref="EV22" ca="1">IF(EU22&lt;0,"",INDEX(uxbGlobals!$B$133:$B$139,EU22))</f>
        <v>#N/A</v>
      </c>
      <c r="EW22" s="80"/>
      <c r="EX22" s="302" t="e" cm="1">
        <f t="array" aca="1" ref="EX22" ca="1">IF(ET22=0,"",IF(ES22="G","--",INDEX(auto_DataFlat_Rank,ER22,$E$11)))</f>
        <v>#N/A</v>
      </c>
      <c r="EY22" s="122" t="e" cm="1">
        <f t="array" aca="1" ref="EY22" ca="1">IF(ET22=0,"",IF(ES22="G","AVERAGE",INDEX(auto_ddCountry,ES22)))</f>
        <v>#N/A</v>
      </c>
      <c r="EZ22" s="290" t="e" cm="1">
        <f t="array" aca="1" ref="EZ22" ca="1">IF(ET22=0,"",INDEX(auto_DataFlat_Score,ER22,$E$11))</f>
        <v>#N/A</v>
      </c>
    </row>
    <row r="23" spans="1:156" ht="17.149999999999999" customHeight="1" x14ac:dyDescent="0.4">
      <c r="A23" s="4"/>
      <c r="B23" s="4"/>
      <c r="C23" s="4"/>
      <c r="D23" s="26">
        <v>3</v>
      </c>
      <c r="E23" s="49">
        <f>tblCountries!M4</f>
        <v>2</v>
      </c>
      <c r="F23" s="114" cm="1">
        <f t="array" ref="F23">IF(E23=0,0,INDEX(auto_Country_Status,E23))</f>
        <v>1</v>
      </c>
      <c r="G23" s="4"/>
      <c r="H23" s="49">
        <f t="shared" ref="H23:H71" si="31">H21</f>
        <v>1</v>
      </c>
      <c r="I23" s="49" cm="1">
        <f t="array" ref="I23">IF($F23=0,0,INDEX(sys_DataFlat_LU_Grid,H23,$E23))</f>
        <v>2</v>
      </c>
      <c r="J23" s="49" cm="1">
        <f t="array" ref="J23">IF($F23=0,-1000,CHOOSE($E$14,INDEX(auto_DataFlat_Score,I23,$E$11),-INDEX(auto_DataFlat_Score,I23,$E$11),-$D23))</f>
        <v>41</v>
      </c>
      <c r="K23" s="91">
        <f ca="1">RANK(J23,OFFSET(J$21,0,0,$E$16+1,1))+COUNTIF(J$21:J23,J23)-1</f>
        <v>49</v>
      </c>
      <c r="L23" s="91">
        <f t="shared" ref="L23:L24" ca="1" si="32">MATCH($D23,OFFSET(K$21,0,0,$E$16+1,1),0)</f>
        <v>28</v>
      </c>
      <c r="M23" s="91" cm="1">
        <f t="array" aca="1" ref="M23" ca="1">INDEX(OFFSET(I$21,0,0,$E$16+1,1),L23)</f>
        <v>27</v>
      </c>
      <c r="N23" s="49" cm="1">
        <f t="array" aca="1" ref="N23" ca="1">INDEX(OFFSET($E$21,0,0,$E$16+1,1),L23)</f>
        <v>27</v>
      </c>
      <c r="O23" s="80" cm="1">
        <f t="array" aca="1" ref="O23" ca="1">IF(N23="G",5,INDEX(OFFSET($F$21,0,0,$E$16+1,1),L23))</f>
        <v>1</v>
      </c>
      <c r="P23" s="80" cm="1">
        <f t="array" aca="1" ref="P23" ca="1">IF(M23=0,0,IF(N23="G",-1,INDEX(auto_DataFlat_Classification,M23,$E$11)))</f>
        <v>4</v>
      </c>
      <c r="Q23" s="301" t="str" cm="1">
        <f t="array" aca="1" ref="Q23" ca="1">IF(P23&lt;0,"",INDEX(uxbGlobals!$B$133:$B$139,P23))</f>
        <v xml:space="preserve"> </v>
      </c>
      <c r="R23" s="80"/>
      <c r="S23" s="302" t="str" cm="1">
        <f t="array" aca="1" ref="S23" ca="1">IF(O23=0,"",IF(N23="G","--",INDEX(auto_DataFlat_Rank,M23,$E$11)))</f>
        <v>3</v>
      </c>
      <c r="T23" s="122" t="str" cm="1">
        <f t="array" aca="1" ref="T23" ca="1">IF(O23=0,"",IF(N23="G"," AVERAGE",INDEX(auto_ddCountry,N23)))</f>
        <v>Madrid</v>
      </c>
      <c r="U23" s="290" cm="1">
        <f t="array" aca="1" ref="U23" ca="1">IF(O23=0,"",INDEX(auto_DataFlat_Score,M23,$E$11))</f>
        <v>79.599999999999994</v>
      </c>
      <c r="V23" s="4"/>
      <c r="W23" s="49">
        <f t="shared" ref="W23:W71" si="33">W21</f>
        <v>2</v>
      </c>
      <c r="X23" s="49" cm="1">
        <f t="array" ref="X23">IF($F23=0,0,INDEX(sys_DataFlat_LU_Grid,W23,$E23))</f>
        <v>62</v>
      </c>
      <c r="Y23" s="49" cm="1">
        <f t="array" ref="Y23">IF($F23=0,-1000,CHOOSE($E$14,INDEX(auto_DataFlat_Score,X23,$E$11),-INDEX(auto_DataFlat_Score,X23,$E$11),-$D23))</f>
        <v>54.3</v>
      </c>
      <c r="Z23" s="91">
        <f ca="1">RANK(Y23,OFFSET(Y$21,0,0,$E$16+1,1))+COUNTIF(Y$21:Y23,Y23)-1</f>
        <v>39</v>
      </c>
      <c r="AA23" s="91">
        <f t="shared" ref="AA23:AA24" ca="1" si="34">MATCH($D23,OFFSET(Z$21,0,0,$E$16+1,1),0)</f>
        <v>30</v>
      </c>
      <c r="AB23" s="91" cm="1">
        <f t="array" aca="1" ref="AB23" ca="1">INDEX(OFFSET(X$21,0,0,$E$16+1,1),AA23)</f>
        <v>89</v>
      </c>
      <c r="AC23" s="49" cm="1">
        <f t="array" aca="1" ref="AC23" ca="1">INDEX(OFFSET($E$21,0,0,$E$16+1,1),AA23)</f>
        <v>29</v>
      </c>
      <c r="AD23" s="80" cm="1">
        <f t="array" aca="1" ref="AD23" ca="1">IF(AC23="G",5,INDEX(OFFSET($F$21,0,0,$E$16+1,1),AA23))</f>
        <v>1</v>
      </c>
      <c r="AE23" s="80" cm="1">
        <f t="array" aca="1" ref="AE23" ca="1">IF(AB23=0,0,IF(AC23="G",-1,INDEX(auto_DataFlat_Classification,AB23,$E$11)))</f>
        <v>5</v>
      </c>
      <c r="AF23" s="301" t="str" cm="1">
        <f t="array" aca="1" ref="AF23" ca="1">IF(AE23&lt;0,"",INDEX(uxbGlobals!$B$133:$B$139,AE23))</f>
        <v xml:space="preserve"> </v>
      </c>
      <c r="AG23" s="80"/>
      <c r="AH23" s="302" t="str" cm="1">
        <f t="array" aca="1" ref="AH23" ca="1">IF(AD23=0,"",IF(AC23="G","--",INDEX(auto_DataFlat_Rank,AB23,$E$11)))</f>
        <v>=3</v>
      </c>
      <c r="AI23" s="122" t="str" cm="1">
        <f t="array" aca="1" ref="AI23" ca="1">IF(AD23=0,"",IF(AC23="G","AVERAGE",INDEX(auto_ddCountry,AC23)))</f>
        <v>Melbourne</v>
      </c>
      <c r="AJ23" s="290" cm="1">
        <f t="array" aca="1" ref="AJ23" ca="1">IF(AD23=0,"",INDEX(auto_DataFlat_Score,AB23,$E$11))</f>
        <v>87.9</v>
      </c>
      <c r="AK23" s="4"/>
      <c r="AL23" s="49">
        <f t="shared" ref="AL23:AL71" si="35">AL21</f>
        <v>14</v>
      </c>
      <c r="AM23" s="49" cm="1">
        <f t="array" ref="AM23">IF($F23=0,0,INDEX(sys_DataFlat_LU_Grid,AL23,$E23))</f>
        <v>782</v>
      </c>
      <c r="AN23" s="49" cm="1">
        <f t="array" ref="AN23">IF($F23=0,-1000,CHOOSE($E$14,INDEX(auto_DataFlat_Score,AM23,$E$11),-INDEX(auto_DataFlat_Score,AM23,$E$11),-$D23))</f>
        <v>26</v>
      </c>
      <c r="AO23" s="91">
        <f ca="1">RANK(AN23,OFFSET(AN$21,0,0,$E$16+1,1))+COUNTIF(AN$21:AN23,AN23)-1</f>
        <v>45</v>
      </c>
      <c r="AP23" s="91">
        <f t="shared" ref="AP23:AP24" ca="1" si="36">MATCH($D23,OFFSET(AO$21,0,0,$E$16+1,1),0)</f>
        <v>30</v>
      </c>
      <c r="AQ23" s="91" cm="1">
        <f t="array" aca="1" ref="AQ23" ca="1">INDEX(OFFSET(AM$21,0,0,$E$16+1,1),AP23)</f>
        <v>809</v>
      </c>
      <c r="AR23" s="49" cm="1">
        <f t="array" aca="1" ref="AR23" ca="1">INDEX(OFFSET($E$21,0,0,$E$16+1,1),AP23)</f>
        <v>29</v>
      </c>
      <c r="AS23" s="80" cm="1">
        <f t="array" aca="1" ref="AS23" ca="1">IF(AR23="G",5,INDEX(OFFSET($F$21,0,0,$E$16+1,1),AP23))</f>
        <v>1</v>
      </c>
      <c r="AT23" s="80" cm="1">
        <f t="array" aca="1" ref="AT23" ca="1">IF(AQ23=0,0,IF(AR23="G",-1,INDEX(auto_DataFlat_Classification,AQ23,$E$11)))</f>
        <v>4</v>
      </c>
      <c r="AU23" s="301" t="str" cm="1">
        <f t="array" aca="1" ref="AU23" ca="1">IF(AT23&lt;0,"",INDEX(uxbGlobals!$B$133:$B$139,AT23))</f>
        <v xml:space="preserve"> </v>
      </c>
      <c r="AV23" s="80"/>
      <c r="AW23" s="302" t="str" cm="1">
        <f t="array" aca="1" ref="AW23" ca="1">IF(AS23=0,"",IF(AR23="G","--",INDEX(auto_DataFlat_Rank,AQ23,$E$11)))</f>
        <v>3</v>
      </c>
      <c r="AX23" s="122" t="str" cm="1">
        <f t="array" aca="1" ref="AX23" ca="1">IF(AS23=0,"",IF(AR23="G","AVERAGE",INDEX(auto_ddCountry,AR23)))</f>
        <v>Melbourne</v>
      </c>
      <c r="AY23" s="290" cm="1">
        <f t="array" aca="1" ref="AY23" ca="1">IF(AS23=0,"",INDEX(auto_DataFlat_Score,AQ23,$E$11))</f>
        <v>75.5</v>
      </c>
      <c r="AZ23" s="4"/>
      <c r="BA23" s="49">
        <f t="shared" ref="BA23:BA71" si="37">BA21</f>
        <v>22</v>
      </c>
      <c r="BB23" s="49" cm="1">
        <f t="array" ref="BB23">IF($F23=0,0,INDEX(sys_DataFlat_LU_Grid,BA23,$E23))</f>
        <v>1262</v>
      </c>
      <c r="BC23" s="49" cm="1">
        <f t="array" ref="BC23">IF($F23=0,-1000,CHOOSE($E$14,INDEX(auto_DataFlat_Score,BB23,$E$11),-INDEX(auto_DataFlat_Score,BB23,$E$11),-$D23))</f>
        <v>39.6</v>
      </c>
      <c r="BD23" s="91">
        <f ca="1">RANK(BC23,OFFSET(BC$21,0,0,$E$16+1,1))+COUNTIF(BC$21:BC23,BC23)-1</f>
        <v>44</v>
      </c>
      <c r="BE23" s="91">
        <f t="shared" ref="BE23:BE24" ca="1" si="38">MATCH($D23,OFFSET(BD$21,0,0,$E$16+1,1),0)</f>
        <v>45</v>
      </c>
      <c r="BF23" s="91" cm="1">
        <f t="array" aca="1" ref="BF23" ca="1">INDEX(OFFSET(BB$21,0,0,$E$16+1,1),BE23)</f>
        <v>1304</v>
      </c>
      <c r="BG23" s="49" cm="1">
        <f t="array" aca="1" ref="BG23" ca="1">INDEX(OFFSET($E$21,0,0,$E$16+1,1),BE23)</f>
        <v>44</v>
      </c>
      <c r="BH23" s="80" cm="1">
        <f t="array" aca="1" ref="BH23" ca="1">IF(BG23="G",5,INDEX(OFFSET($F$21,0,0,$E$16+1,1),BE23))</f>
        <v>1</v>
      </c>
      <c r="BI23" s="80" cm="1">
        <f t="array" aca="1" ref="BI23" ca="1">IF(BF23=0,0,IF(BG23="G",-1,INDEX(auto_DataFlat_Classification,BF23,$E$11)))</f>
        <v>5</v>
      </c>
      <c r="BJ23" s="301" t="str" cm="1">
        <f t="array" aca="1" ref="BJ23" ca="1">IF(BI23&lt;0,"",INDEX(uxbGlobals!$B$133:$B$139,BI23))</f>
        <v xml:space="preserve"> </v>
      </c>
      <c r="BK23" s="80"/>
      <c r="BL23" s="302" t="str" cm="1">
        <f t="array" aca="1" ref="BL23" ca="1">IF(BH23=0,"",IF(BG23="G","--",INDEX(auto_DataFlat_Rank,BF23,$E$11)))</f>
        <v>3</v>
      </c>
      <c r="BM23" s="122" t="str" cm="1">
        <f t="array" aca="1" ref="BM23" ca="1">IF(BH23=0,"",IF(BG23="G","AVERAGE",INDEX(auto_ddCountry,BG23)))</f>
        <v>Singapore</v>
      </c>
      <c r="BN23" s="290" cm="1">
        <f t="array" aca="1" ref="BN23" ca="1">IF(BH23=0,"",INDEX(auto_DataFlat_Score,BF23,$E$11))</f>
        <v>82.1</v>
      </c>
      <c r="BO23" s="4"/>
      <c r="BP23" s="49">
        <f t="shared" ref="BP23:BP71" si="39">BP21</f>
        <v>47</v>
      </c>
      <c r="BQ23" s="49" cm="1">
        <f t="array" ref="BQ23">IF($F23=0,0,INDEX(sys_DataFlat_LU_Grid,BP23,$E23))</f>
        <v>2762</v>
      </c>
      <c r="BR23" s="49" cm="1">
        <f t="array" ref="BR23">IF($F23=0,-1000,CHOOSE($E$14,INDEX(auto_DataFlat_Score,BQ23,$E$11),-INDEX(auto_DataFlat_Score,BQ23,$E$11),-$D23))</f>
        <v>52.5</v>
      </c>
      <c r="BS23" s="91">
        <f ca="1">RANK(BR23,OFFSET(BR$21,0,0,$E$16+1,1))+COUNTIF(BR$21:BR23,BR23)-1</f>
        <v>32</v>
      </c>
      <c r="BT23" s="91">
        <f t="shared" ref="BT23:BT24" ca="1" si="40">MATCH($D23,OFFSET(BS$21,0,0,$E$16+1,1),0)</f>
        <v>8</v>
      </c>
      <c r="BU23" s="91" cm="1">
        <f t="array" aca="1" ref="BU23" ca="1">INDEX(OFFSET(BQ$21,0,0,$E$16+1,1),BT23)</f>
        <v>2767</v>
      </c>
      <c r="BV23" s="49" cm="1">
        <f t="array" aca="1" ref="BV23" ca="1">INDEX(OFFSET($E$21,0,0,$E$16+1,1),BT23)</f>
        <v>7</v>
      </c>
      <c r="BW23" s="80" cm="1">
        <f t="array" aca="1" ref="BW23" ca="1">IF(BV23="G",5,INDEX(OFFSET($F$21,0,0,$E$16+1,1),BT23))</f>
        <v>1</v>
      </c>
      <c r="BX23" s="80" cm="1">
        <f t="array" aca="1" ref="BX23" ca="1">IF(BU23=0,0,IF(BV23="G",-1,INDEX(auto_DataFlat_Classification,BU23,$E$11)))</f>
        <v>5</v>
      </c>
      <c r="BY23" s="301" t="str" cm="1">
        <f t="array" aca="1" ref="BY23" ca="1">IF(BX23&lt;0,"",INDEX(uxbGlobals!$B$133:$B$139,BX23))</f>
        <v xml:space="preserve"> </v>
      </c>
      <c r="BZ23" s="80"/>
      <c r="CA23" s="302" t="str" cm="1">
        <f t="array" aca="1" ref="CA23" ca="1">IF(BW23=0,"",IF(BV23="G","--",INDEX(auto_DataFlat_Rank,BU23,$E$11)))</f>
        <v>3</v>
      </c>
      <c r="CB23" s="122" t="str" cm="1">
        <f t="array" aca="1" ref="CB23" ca="1">IF(BW23=0,"",IF(BV23="G","AVERAGE",INDEX(auto_ddCountry,BV23)))</f>
        <v>Berlin</v>
      </c>
      <c r="CC23" s="290" cm="1">
        <f t="array" aca="1" ref="CC23" ca="1">IF(BW23=0,"",INDEX(auto_DataFlat_Score,BU23,$E$11))</f>
        <v>87.6</v>
      </c>
      <c r="CD23" s="4"/>
      <c r="CE23" s="49">
        <f t="shared" ref="CE23:CE71" si="41">CE21</f>
        <v>52</v>
      </c>
      <c r="CF23" s="49" cm="1">
        <f t="array" ref="CF23">IF($F23=0,0,INDEX(sys_DataFlat_LU_Grid,CE23,$E23))</f>
        <v>3062</v>
      </c>
      <c r="CG23" s="49" cm="1">
        <f t="array" ref="CG23">IF($F23=0,-1000,CHOOSE($E$14,INDEX(auto_DataFlat_Score,CF23,$E$11),-INDEX(auto_DataFlat_Score,CF23,$E$11),-$D23))</f>
        <v>38</v>
      </c>
      <c r="CH23" s="91">
        <f ca="1">RANK(CG23,OFFSET(CG$21,0,0,$E$16+1,1))+COUNTIF(CG$21:CG23,CG23)-1</f>
        <v>50</v>
      </c>
      <c r="CI23" s="91">
        <f t="shared" ref="CI23:CI24" ca="1" si="42">MATCH($D23,OFFSET(CH$21,0,0,$E$16+1,1),0)</f>
        <v>35</v>
      </c>
      <c r="CJ23" s="91" cm="1">
        <f t="array" aca="1" ref="CJ23" ca="1">INDEX(OFFSET(CF$21,0,0,$E$16+1,1),CI23)</f>
        <v>3094</v>
      </c>
      <c r="CK23" s="49" cm="1">
        <f t="array" aca="1" ref="CK23" ca="1">INDEX(OFFSET($E$21,0,0,$E$16+1,1),CI23)</f>
        <v>34</v>
      </c>
      <c r="CL23" s="80" cm="1">
        <f t="array" aca="1" ref="CL23" ca="1">IF(CK23="G",5,INDEX(OFFSET($F$21,0,0,$E$16+1,1),CI23))</f>
        <v>1</v>
      </c>
      <c r="CM23" s="80" cm="1">
        <f t="array" aca="1" ref="CM23" ca="1">IF(CJ23=0,0,IF(CK23="G",-1,INDEX(auto_DataFlat_Classification,CJ23,$E$11)))</f>
        <v>5</v>
      </c>
      <c r="CN23" s="301" t="str" cm="1">
        <f t="array" aca="1" ref="CN23" ca="1">IF(CM23&lt;0,"",INDEX(uxbGlobals!$B$133:$B$139,CM23))</f>
        <v xml:space="preserve"> </v>
      </c>
      <c r="CO23" s="80"/>
      <c r="CP23" s="302" t="str" cm="1">
        <f t="array" aca="1" ref="CP23" ca="1">IF(CL23=0,"",IF(CK23="G","--",INDEX(auto_DataFlat_Rank,CJ23,$E$11)))</f>
        <v>3</v>
      </c>
      <c r="CQ23" s="122" t="str" cm="1">
        <f t="array" aca="1" ref="CQ23" ca="1">IF(CL23=0,"",IF(CK23="G","AVERAGE",INDEX(auto_ddCountry,CK23)))</f>
        <v>New York City</v>
      </c>
      <c r="CR23" s="290" cm="1">
        <f t="array" aca="1" ref="CR23" ca="1">IF(CL23=0,"",INDEX(auto_DataFlat_Score,CJ23,$E$11))</f>
        <v>87</v>
      </c>
      <c r="CS23" s="4"/>
      <c r="CT23" s="49">
        <f t="shared" ref="CT23:CT71" si="43">CT21</f>
        <v>-1</v>
      </c>
      <c r="CU23" s="49" t="e" cm="1">
        <f t="array" ref="CU23">IF($F23=0,0,INDEX(sys_DataFlat_LU_Grid,CT23,$E23))</f>
        <v>#VALUE!</v>
      </c>
      <c r="CV23" s="49" t="e" cm="1">
        <f t="array" ref="CV23">IF($F23=0,-1000,CHOOSE($E$14,INDEX(auto_DataFlat_Score,CU23,$E$11),-INDEX(auto_DataFlat_Score,CU23,$E$11),-$D23))</f>
        <v>#VALUE!</v>
      </c>
      <c r="CW23" s="91" t="e">
        <f ca="1">RANK(CV23,OFFSET(CV$21,0,0,$E$16+1,1))+COUNTIF(CV$21:CV23,CV23)-1</f>
        <v>#VALUE!</v>
      </c>
      <c r="CX23" s="91" t="e">
        <f t="shared" ca="1" si="27"/>
        <v>#N/A</v>
      </c>
      <c r="CY23" s="91" t="e" cm="1">
        <f t="array" aca="1" ref="CY23" ca="1">INDEX(OFFSET(CU$21,0,0,$E$16+1,1),CX23)</f>
        <v>#N/A</v>
      </c>
      <c r="CZ23" s="49" t="e" cm="1">
        <f t="array" aca="1" ref="CZ23" ca="1">INDEX(OFFSET($E$21,0,0,$E$16+1,1),CX23)</f>
        <v>#N/A</v>
      </c>
      <c r="DA23" s="80" t="e" cm="1">
        <f t="array" aca="1" ref="DA23" ca="1">IF(CZ23="G",5,INDEX(OFFSET($F$21,0,0,$E$16+1,1),CX23))</f>
        <v>#N/A</v>
      </c>
      <c r="DB23" s="80" t="e" cm="1">
        <f t="array" aca="1" ref="DB23" ca="1">IF(CY23=0,0,IF(CZ23="G",-1,INDEX(auto_DataFlat_Classification,CY23,$E$11)))</f>
        <v>#N/A</v>
      </c>
      <c r="DC23" s="301" t="e" cm="1">
        <f t="array" aca="1" ref="DC23" ca="1">IF(DB23&lt;0,"",INDEX(uxbGlobals!$B$133:$B$139,DB23))</f>
        <v>#N/A</v>
      </c>
      <c r="DD23" s="80"/>
      <c r="DE23" s="302" t="e" cm="1">
        <f t="array" aca="1" ref="DE23" ca="1">IF(DA23=0,"",IF(CZ23="G","--",INDEX(auto_DataFlat_Rank,CY23,$E$11)))</f>
        <v>#N/A</v>
      </c>
      <c r="DF23" s="122" t="e" cm="1">
        <f t="array" aca="1" ref="DF23" ca="1">IF(DA23=0,"",IF(CZ23="G","AVERAGE",INDEX(auto_ddCountry,CZ23)))</f>
        <v>#N/A</v>
      </c>
      <c r="DG23" s="290" t="e" cm="1">
        <f t="array" aca="1" ref="DG23" ca="1">IF(DA23=0,"",INDEX(auto_DataFlat_Score,CY23,$E$11))</f>
        <v>#N/A</v>
      </c>
      <c r="DH23" s="4"/>
      <c r="DI23" s="49">
        <f t="shared" ref="DI23:DI71" si="44">DI21</f>
        <v>-1</v>
      </c>
      <c r="DJ23" s="49" t="e" cm="1">
        <f t="array" ref="DJ23">IF($F23=0,0,INDEX(sys_DataFlat_LU_Grid,DI23,$E23))</f>
        <v>#VALUE!</v>
      </c>
      <c r="DK23" s="49" t="e" cm="1">
        <f t="array" ref="DK23">IF($F23=0,-1000,CHOOSE($E$14,INDEX(auto_DataFlat_Score,DJ23,$E$11),-INDEX(auto_DataFlat_Score,DJ23,$E$11),-$D23))</f>
        <v>#VALUE!</v>
      </c>
      <c r="DL23" s="91" t="e">
        <f ca="1">RANK(DK23,OFFSET(DK$21,0,0,$E$16+1,1))+COUNTIF(DK$21:DK23,DK23)-1</f>
        <v>#VALUE!</v>
      </c>
      <c r="DM23" s="91" t="e">
        <f t="shared" ca="1" si="28"/>
        <v>#N/A</v>
      </c>
      <c r="DN23" s="91" t="e" cm="1">
        <f t="array" aca="1" ref="DN23" ca="1">INDEX(OFFSET(DJ$21,0,0,$E$16+1,1),DM23)</f>
        <v>#N/A</v>
      </c>
      <c r="DO23" s="49" t="e" cm="1">
        <f t="array" aca="1" ref="DO23" ca="1">INDEX(OFFSET($E$21,0,0,$E$16+1,1),DM23)</f>
        <v>#N/A</v>
      </c>
      <c r="DP23" s="80" t="e" cm="1">
        <f t="array" aca="1" ref="DP23" ca="1">IF(DO23="G",5,INDEX(OFFSET($F$21,0,0,$E$16+1,1),DM23))</f>
        <v>#N/A</v>
      </c>
      <c r="DQ23" s="80" t="e" cm="1">
        <f t="array" aca="1" ref="DQ23" ca="1">IF(DN23=0,0,IF(DO23="G",-1,INDEX(auto_DataFlat_Classification,DN23,$E$11)))</f>
        <v>#N/A</v>
      </c>
      <c r="DR23" s="301" t="e" cm="1">
        <f t="array" aca="1" ref="DR23" ca="1">IF(DQ23&lt;0,"",INDEX(uxbGlobals!$B$133:$B$139,DQ23))</f>
        <v>#N/A</v>
      </c>
      <c r="DS23" s="80"/>
      <c r="DT23" s="302" t="e" cm="1">
        <f t="array" aca="1" ref="DT23" ca="1">IF(DP23=0,"",IF(DO23="G","--",INDEX(auto_DataFlat_Rank,DN23,$E$11)))</f>
        <v>#N/A</v>
      </c>
      <c r="DU23" s="122" t="e" cm="1">
        <f t="array" aca="1" ref="DU23" ca="1">IF(DP23=0,"",IF(DO23="G","AVERAGE",INDEX(auto_ddCountry,DO23)))</f>
        <v>#N/A</v>
      </c>
      <c r="DV23" s="290" t="e" cm="1">
        <f t="array" aca="1" ref="DV23" ca="1">IF(DP23=0,"",INDEX(auto_DataFlat_Score,DN23,$E$11))</f>
        <v>#N/A</v>
      </c>
      <c r="DW23" s="4"/>
      <c r="DX23" s="49">
        <f t="shared" ref="DX23:DX71" si="45">DX21</f>
        <v>-1</v>
      </c>
      <c r="DY23" s="49" t="e" cm="1">
        <f t="array" ref="DY23">IF($F23=0,0,INDEX(sys_DataFlat_LU_Grid,DX23,$E23))</f>
        <v>#VALUE!</v>
      </c>
      <c r="DZ23" s="49" t="e" cm="1">
        <f t="array" ref="DZ23">IF($F23=0,-1000,CHOOSE($E$14,INDEX(auto_DataFlat_Score,DY23,$E$11),-INDEX(auto_DataFlat_Score,DY23,$E$11),-$D23))</f>
        <v>#VALUE!</v>
      </c>
      <c r="EA23" s="91" t="e">
        <f ca="1">RANK(DZ23,OFFSET(DZ$21,0,0,$E$16+1,1))+COUNTIF(DZ$21:DZ23,DZ23)-1</f>
        <v>#VALUE!</v>
      </c>
      <c r="EB23" s="91" t="e">
        <f t="shared" ca="1" si="29"/>
        <v>#N/A</v>
      </c>
      <c r="EC23" s="91" t="e" cm="1">
        <f t="array" aca="1" ref="EC23" ca="1">INDEX(OFFSET(DY$21,0,0,$E$16+1,1),EB23)</f>
        <v>#N/A</v>
      </c>
      <c r="ED23" s="49" t="e" cm="1">
        <f t="array" aca="1" ref="ED23" ca="1">INDEX(OFFSET($E$21,0,0,$E$16+1,1),EB23)</f>
        <v>#N/A</v>
      </c>
      <c r="EE23" s="80" t="e" cm="1">
        <f t="array" aca="1" ref="EE23" ca="1">IF(ED23="G",5,INDEX(OFFSET($F$21,0,0,$E$16+1,1),EB23))</f>
        <v>#N/A</v>
      </c>
      <c r="EF23" s="80" t="e" cm="1">
        <f t="array" aca="1" ref="EF23" ca="1">IF(EC23=0,0,IF(ED23="G",-1,INDEX(auto_DataFlat_Classification,EC23,$E$11)))</f>
        <v>#N/A</v>
      </c>
      <c r="EG23" s="301" t="e" cm="1">
        <f t="array" aca="1" ref="EG23" ca="1">IF(EF23&lt;0,"",INDEX(uxbGlobals!$B$133:$B$139,EF23))</f>
        <v>#N/A</v>
      </c>
      <c r="EH23" s="80"/>
      <c r="EI23" s="302" t="e" cm="1">
        <f t="array" aca="1" ref="EI23" ca="1">IF(EE23=0,"",IF(ED23="G","--",INDEX(auto_DataFlat_Rank,EC23,$E$11)))</f>
        <v>#N/A</v>
      </c>
      <c r="EJ23" s="122" t="e" cm="1">
        <f t="array" aca="1" ref="EJ23" ca="1">IF(EE23=0,"",IF(ED23="G","AVERAGE",INDEX(auto_ddCountry,ED23)))</f>
        <v>#N/A</v>
      </c>
      <c r="EK23" s="290" t="e" cm="1">
        <f t="array" aca="1" ref="EK23" ca="1">IF(EE23=0,"",INDEX(auto_DataFlat_Score,EC23,$E$11))</f>
        <v>#N/A</v>
      </c>
      <c r="EL23" s="4"/>
      <c r="EM23" s="49">
        <f t="shared" ref="EM23:EM71" si="46">EM21</f>
        <v>-1</v>
      </c>
      <c r="EN23" s="49" t="e" cm="1">
        <f t="array" ref="EN23">IF($F23=0,0,INDEX(sys_DataFlat_LU_Grid,EM23,$E23))</f>
        <v>#VALUE!</v>
      </c>
      <c r="EO23" s="49" t="e" cm="1">
        <f t="array" ref="EO23">IF($F23=0,-1000,CHOOSE($E$14,INDEX(auto_DataFlat_Score,EN23,$E$11),-INDEX(auto_DataFlat_Score,EN23,$E$11),-$D23))</f>
        <v>#VALUE!</v>
      </c>
      <c r="EP23" s="91" t="e">
        <f ca="1">RANK(EO23,OFFSET(EO$21,0,0,$E$16+1,1))+COUNTIF(EO$21:EO23,EO23)-1</f>
        <v>#VALUE!</v>
      </c>
      <c r="EQ23" s="91" t="e">
        <f t="shared" ca="1" si="30"/>
        <v>#N/A</v>
      </c>
      <c r="ER23" s="91" t="e" cm="1">
        <f t="array" aca="1" ref="ER23" ca="1">INDEX(OFFSET(EN$21,0,0,$E$16+1,1),EQ23)</f>
        <v>#N/A</v>
      </c>
      <c r="ES23" s="49" t="e" cm="1">
        <f t="array" aca="1" ref="ES23" ca="1">INDEX(OFFSET($E$21,0,0,$E$16+1,1),EQ23)</f>
        <v>#N/A</v>
      </c>
      <c r="ET23" s="80" t="e" cm="1">
        <f t="array" aca="1" ref="ET23" ca="1">IF(ES23="G",5,INDEX(OFFSET($F$21,0,0,$E$16+1,1),EQ23))</f>
        <v>#N/A</v>
      </c>
      <c r="EU23" s="80" t="e" cm="1">
        <f t="array" aca="1" ref="EU23" ca="1">IF(ER23=0,0,IF(ES23="G",-1,INDEX(auto_DataFlat_Classification,ER23,$E$11)))</f>
        <v>#N/A</v>
      </c>
      <c r="EV23" s="301" t="e" cm="1">
        <f t="array" aca="1" ref="EV23" ca="1">IF(EU23&lt;0,"",INDEX(uxbGlobals!$B$133:$B$139,EU23))</f>
        <v>#N/A</v>
      </c>
      <c r="EW23" s="80"/>
      <c r="EX23" s="302" t="e" cm="1">
        <f t="array" aca="1" ref="EX23" ca="1">IF(ET23=0,"",IF(ES23="G","--",INDEX(auto_DataFlat_Rank,ER23,$E$11)))</f>
        <v>#N/A</v>
      </c>
      <c r="EY23" s="122" t="e" cm="1">
        <f t="array" aca="1" ref="EY23" ca="1">IF(ET23=0,"",IF(ES23="G","AVERAGE",INDEX(auto_ddCountry,ES23)))</f>
        <v>#N/A</v>
      </c>
      <c r="EZ23" s="290" t="e" cm="1">
        <f t="array" aca="1" ref="EZ23" ca="1">IF(ET23=0,"",INDEX(auto_DataFlat_Score,ER23,$E$11))</f>
        <v>#N/A</v>
      </c>
    </row>
    <row r="24" spans="1:156" ht="17.149999999999999" customHeight="1" x14ac:dyDescent="0.4">
      <c r="A24" s="4"/>
      <c r="B24" s="4"/>
      <c r="C24" s="4"/>
      <c r="D24" s="26">
        <v>4</v>
      </c>
      <c r="E24" s="49">
        <f>tblCountries!M5</f>
        <v>3</v>
      </c>
      <c r="F24" s="114" cm="1">
        <f t="array" ref="F24">IF(E24=0,0,INDEX(auto_Country_Status,E24))</f>
        <v>1</v>
      </c>
      <c r="G24" s="4"/>
      <c r="H24" s="49">
        <f t="shared" si="31"/>
        <v>1</v>
      </c>
      <c r="I24" s="49" cm="1">
        <f t="array" ref="I24">IF($F24=0,0,INDEX(sys_DataFlat_LU_Grid,H24,$E24))</f>
        <v>3</v>
      </c>
      <c r="J24" s="49" cm="1">
        <f t="array" ref="J24">IF($F24=0,-1000,CHOOSE($E$14,INDEX(auto_DataFlat_Score,I24,$E$11),-INDEX(auto_DataFlat_Score,I24,$E$11),-$D24))</f>
        <v>63.1</v>
      </c>
      <c r="K24" s="91">
        <f ca="1">RANK(J24,OFFSET(J$21,0,0,$E$16+1,1))+COUNTIF(J$21:J24,J24)-1</f>
        <v>29</v>
      </c>
      <c r="L24" s="91">
        <f t="shared" ca="1" si="32"/>
        <v>35</v>
      </c>
      <c r="M24" s="91" cm="1">
        <f t="array" aca="1" ref="M24" ca="1">INDEX(OFFSET(I$21,0,0,$E$16+1,1),L24)</f>
        <v>34</v>
      </c>
      <c r="N24" s="49" cm="1">
        <f t="array" aca="1" ref="N24" ca="1">INDEX(OFFSET($E$21,0,0,$E$16+1,1),L24)</f>
        <v>34</v>
      </c>
      <c r="O24" s="80" cm="1">
        <f t="array" aca="1" ref="O24" ca="1">IF(N24="G",5,INDEX(OFFSET($F$21,0,0,$E$16+1,1),L24))</f>
        <v>1</v>
      </c>
      <c r="P24" s="80" cm="1">
        <f t="array" aca="1" ref="P24" ca="1">IF(M24=0,0,IF(N24="G",-1,INDEX(auto_DataFlat_Classification,M24,$E$11)))</f>
        <v>4</v>
      </c>
      <c r="Q24" s="301" t="str" cm="1">
        <f t="array" aca="1" ref="Q24" ca="1">IF(P24&lt;0,"",INDEX(uxbGlobals!$B$133:$B$139,P24))</f>
        <v xml:space="preserve"> </v>
      </c>
      <c r="R24" s="80"/>
      <c r="S24" s="302" t="str" cm="1">
        <f t="array" aca="1" ref="S24" ca="1">IF(O24=0,"",IF(N24="G","--",INDEX(auto_DataFlat_Rank,M24,$E$11)))</f>
        <v>4</v>
      </c>
      <c r="T24" s="122" t="str" cm="1">
        <f t="array" aca="1" ref="T24" ca="1">IF(O24=0,"",IF(N24="G"," AVERAGE",INDEX(auto_ddCountry,N24)))</f>
        <v>New York City</v>
      </c>
      <c r="U24" s="290" cm="1">
        <f t="array" aca="1" ref="U24" ca="1">IF(O24=0,"",INDEX(auto_DataFlat_Score,M24,$E$11))</f>
        <v>79.099999999999994</v>
      </c>
      <c r="V24" s="4"/>
      <c r="W24" s="49">
        <f t="shared" si="33"/>
        <v>2</v>
      </c>
      <c r="X24" s="49" cm="1">
        <f t="array" ref="X24">IF($F24=0,0,INDEX(sys_DataFlat_LU_Grid,W24,$E24))</f>
        <v>63</v>
      </c>
      <c r="Y24" s="49" cm="1">
        <f t="array" ref="Y24">IF($F24=0,-1000,CHOOSE($E$14,INDEX(auto_DataFlat_Score,X24,$E$11),-INDEX(auto_DataFlat_Score,X24,$E$11),-$D24))</f>
        <v>86.8</v>
      </c>
      <c r="Z24" s="91">
        <f ca="1">RANK(Y24,OFFSET(Y$21,0,0,$E$16+1,1))+COUNTIF(Y$21:Y24,Y24)-1</f>
        <v>7</v>
      </c>
      <c r="AA24" s="91">
        <f t="shared" ca="1" si="34"/>
        <v>46</v>
      </c>
      <c r="AB24" s="91" cm="1">
        <f t="array" aca="1" ref="AB24" ca="1">INDEX(OFFSET(X$21,0,0,$E$16+1,1),AA24)</f>
        <v>105</v>
      </c>
      <c r="AC24" s="49" cm="1">
        <f t="array" aca="1" ref="AC24" ca="1">INDEX(OFFSET($E$21,0,0,$E$16+1,1),AA24)</f>
        <v>45</v>
      </c>
      <c r="AD24" s="80" cm="1">
        <f t="array" aca="1" ref="AD24" ca="1">IF(AC24="G",5,INDEX(OFFSET($F$21,0,0,$E$16+1,1),AA24))</f>
        <v>1</v>
      </c>
      <c r="AE24" s="80" cm="1">
        <f t="array" aca="1" ref="AE24" ca="1">IF(AB24=0,0,IF(AC24="G",-1,INDEX(auto_DataFlat_Classification,AB24,$E$11)))</f>
        <v>5</v>
      </c>
      <c r="AF24" s="301" t="str" cm="1">
        <f t="array" aca="1" ref="AF24" ca="1">IF(AE24&lt;0,"",INDEX(uxbGlobals!$B$133:$B$139,AE24))</f>
        <v xml:space="preserve"> </v>
      </c>
      <c r="AG24" s="80"/>
      <c r="AH24" s="302" t="str" cm="1">
        <f t="array" aca="1" ref="AH24" ca="1">IF(AD24=0,"",IF(AC24="G","--",INDEX(auto_DataFlat_Rank,AB24,$E$11)))</f>
        <v>=3</v>
      </c>
      <c r="AI24" s="122" t="str" cm="1">
        <f t="array" aca="1" ref="AI24" ca="1">IF(AD24=0,"",IF(AC24="G","AVERAGE",INDEX(auto_ddCountry,AC24)))</f>
        <v>Sydney</v>
      </c>
      <c r="AJ24" s="290" cm="1">
        <f t="array" aca="1" ref="AJ24" ca="1">IF(AD24=0,"",INDEX(auto_DataFlat_Score,AB24,$E$11))</f>
        <v>87.9</v>
      </c>
      <c r="AK24" s="4"/>
      <c r="AL24" s="49">
        <f t="shared" si="35"/>
        <v>14</v>
      </c>
      <c r="AM24" s="49" cm="1">
        <f t="array" ref="AM24">IF($F24=0,0,INDEX(sys_DataFlat_LU_Grid,AL24,$E24))</f>
        <v>783</v>
      </c>
      <c r="AN24" s="49" cm="1">
        <f t="array" ref="AN24">IF($F24=0,-1000,CHOOSE($E$14,INDEX(auto_DataFlat_Score,AM24,$E$11),-INDEX(auto_DataFlat_Score,AM24,$E$11),-$D24))</f>
        <v>37.700000000000003</v>
      </c>
      <c r="AO24" s="91">
        <f ca="1">RANK(AN24,OFFSET(AN$21,0,0,$E$16+1,1))+COUNTIF(AN$21:AN24,AN24)-1</f>
        <v>36</v>
      </c>
      <c r="AP24" s="91">
        <f t="shared" ca="1" si="36"/>
        <v>45</v>
      </c>
      <c r="AQ24" s="91" cm="1">
        <f t="array" aca="1" ref="AQ24" ca="1">INDEX(OFFSET(AM$21,0,0,$E$16+1,1),AP24)</f>
        <v>824</v>
      </c>
      <c r="AR24" s="49" cm="1">
        <f t="array" aca="1" ref="AR24" ca="1">INDEX(OFFSET($E$21,0,0,$E$16+1,1),AP24)</f>
        <v>44</v>
      </c>
      <c r="AS24" s="80" cm="1">
        <f t="array" aca="1" ref="AS24" ca="1">IF(AR24="G",5,INDEX(OFFSET($F$21,0,0,$E$16+1,1),AP24))</f>
        <v>1</v>
      </c>
      <c r="AT24" s="80" cm="1">
        <f t="array" aca="1" ref="AT24" ca="1">IF(AQ24=0,0,IF(AR24="G",-1,INDEX(auto_DataFlat_Classification,AQ24,$E$11)))</f>
        <v>4</v>
      </c>
      <c r="AU24" s="301" t="str" cm="1">
        <f t="array" aca="1" ref="AU24" ca="1">IF(AT24&lt;0,"",INDEX(uxbGlobals!$B$133:$B$139,AT24))</f>
        <v xml:space="preserve"> </v>
      </c>
      <c r="AV24" s="80"/>
      <c r="AW24" s="302" t="str" cm="1">
        <f t="array" aca="1" ref="AW24" ca="1">IF(AS24=0,"",IF(AR24="G","--",INDEX(auto_DataFlat_Rank,AQ24,$E$11)))</f>
        <v>4</v>
      </c>
      <c r="AX24" s="122" t="str" cm="1">
        <f t="array" aca="1" ref="AX24" ca="1">IF(AS24=0,"",IF(AR24="G","AVERAGE",INDEX(auto_ddCountry,AR24)))</f>
        <v>Singapore</v>
      </c>
      <c r="AY24" s="290" cm="1">
        <f t="array" aca="1" ref="AY24" ca="1">IF(AS24=0,"",INDEX(auto_DataFlat_Score,AQ24,$E$11))</f>
        <v>74.599999999999994</v>
      </c>
      <c r="AZ24" s="4"/>
      <c r="BA24" s="49">
        <f t="shared" si="37"/>
        <v>22</v>
      </c>
      <c r="BB24" s="49" cm="1">
        <f t="array" ref="BB24">IF($F24=0,0,INDEX(sys_DataFlat_LU_Grid,BA24,$E24))</f>
        <v>1263</v>
      </c>
      <c r="BC24" s="49" cm="1">
        <f t="array" ref="BC24">IF($F24=0,-1000,CHOOSE($E$14,INDEX(auto_DataFlat_Score,BB24,$E$11),-INDEX(auto_DataFlat_Score,BB24,$E$11),-$D24))</f>
        <v>56.1</v>
      </c>
      <c r="BD24" s="91">
        <f ca="1">RANK(BC24,OFFSET(BC$21,0,0,$E$16+1,1))+COUNTIF(BC$21:BC24,BC24)-1</f>
        <v>28</v>
      </c>
      <c r="BE24" s="91">
        <f t="shared" ca="1" si="38"/>
        <v>36</v>
      </c>
      <c r="BF24" s="91" cm="1">
        <f t="array" aca="1" ref="BF24" ca="1">INDEX(OFFSET(BB$21,0,0,$E$16+1,1),BE24)</f>
        <v>1295</v>
      </c>
      <c r="BG24" s="49" cm="1">
        <f t="array" aca="1" ref="BG24" ca="1">INDEX(OFFSET($E$21,0,0,$E$16+1,1),BE24)</f>
        <v>35</v>
      </c>
      <c r="BH24" s="80" cm="1">
        <f t="array" aca="1" ref="BH24" ca="1">IF(BG24="G",5,INDEX(OFFSET($F$21,0,0,$E$16+1,1),BE24))</f>
        <v>1</v>
      </c>
      <c r="BI24" s="80" cm="1">
        <f t="array" aca="1" ref="BI24" ca="1">IF(BF24=0,0,IF(BG24="G",-1,INDEX(auto_DataFlat_Classification,BF24,$E$11)))</f>
        <v>5</v>
      </c>
      <c r="BJ24" s="301" t="str" cm="1">
        <f t="array" aca="1" ref="BJ24" ca="1">IF(BI24&lt;0,"",INDEX(uxbGlobals!$B$133:$B$139,BI24))</f>
        <v xml:space="preserve"> </v>
      </c>
      <c r="BK24" s="80"/>
      <c r="BL24" s="302" t="str" cm="1">
        <f t="array" aca="1" ref="BL24" ca="1">IF(BH24=0,"",IF(BG24="G","--",INDEX(auto_DataFlat_Rank,BF24,$E$11)))</f>
        <v>=4</v>
      </c>
      <c r="BM24" s="122" t="str" cm="1">
        <f t="array" aca="1" ref="BM24" ca="1">IF(BH24=0,"",IF(BG24="G","AVERAGE",INDEX(auto_ddCountry,BG24)))</f>
        <v>Osaka</v>
      </c>
      <c r="BN24" s="290" cm="1">
        <f t="array" aca="1" ref="BN24" ca="1">IF(BH24=0,"",INDEX(auto_DataFlat_Score,BF24,$E$11))</f>
        <v>80.7</v>
      </c>
      <c r="BO24" s="4"/>
      <c r="BP24" s="49">
        <f t="shared" si="39"/>
        <v>47</v>
      </c>
      <c r="BQ24" s="49" cm="1">
        <f t="array" ref="BQ24">IF($F24=0,0,INDEX(sys_DataFlat_LU_Grid,BP24,$E24))</f>
        <v>2763</v>
      </c>
      <c r="BR24" s="49" cm="1">
        <f t="array" ref="BR24">IF($F24=0,-1000,CHOOSE($E$14,INDEX(auto_DataFlat_Score,BQ24,$E$11),-INDEX(auto_DataFlat_Score,BQ24,$E$11),-$D24))</f>
        <v>66.900000000000006</v>
      </c>
      <c r="BS24" s="91">
        <f ca="1">RANK(BR24,OFFSET(BR$21,0,0,$E$16+1,1))+COUNTIF(BR$21:BR24,BR24)-1</f>
        <v>26</v>
      </c>
      <c r="BT24" s="91">
        <f t="shared" ca="1" si="40"/>
        <v>16</v>
      </c>
      <c r="BU24" s="91" cm="1">
        <f t="array" aca="1" ref="BU24" ca="1">INDEX(OFFSET(BQ$21,0,0,$E$16+1,1),BT24)</f>
        <v>2775</v>
      </c>
      <c r="BV24" s="49" cm="1">
        <f t="array" aca="1" ref="BV24" ca="1">INDEX(OFFSET($E$21,0,0,$E$16+1,1),BT24)</f>
        <v>15</v>
      </c>
      <c r="BW24" s="80" cm="1">
        <f t="array" aca="1" ref="BW24" ca="1">IF(BV24="G",5,INDEX(OFFSET($F$21,0,0,$E$16+1,1),BT24))</f>
        <v>1</v>
      </c>
      <c r="BX24" s="80" cm="1">
        <f t="array" aca="1" ref="BX24" ca="1">IF(BU24=0,0,IF(BV24="G",-1,INDEX(auto_DataFlat_Classification,BU24,$E$11)))</f>
        <v>5</v>
      </c>
      <c r="BY24" s="301" t="str" cm="1">
        <f t="array" aca="1" ref="BY24" ca="1">IF(BX24&lt;0,"",INDEX(uxbGlobals!$B$133:$B$139,BX24))</f>
        <v xml:space="preserve"> </v>
      </c>
      <c r="BZ24" s="80"/>
      <c r="CA24" s="302" t="str" cm="1">
        <f t="array" aca="1" ref="CA24" ca="1">IF(BW24=0,"",IF(BV24="G","--",INDEX(auto_DataFlat_Rank,BU24,$E$11)))</f>
        <v>4</v>
      </c>
      <c r="CB24" s="122" t="str" cm="1">
        <f t="array" aca="1" ref="CB24" ca="1">IF(BW24=0,"",IF(BV24="G","AVERAGE",INDEX(auto_ddCountry,BV24)))</f>
        <v>Helsinki</v>
      </c>
      <c r="CC24" s="290" cm="1">
        <f t="array" aca="1" ref="CC24" ca="1">IF(BW24=0,"",INDEX(auto_DataFlat_Score,BU24,$E$11))</f>
        <v>87.3</v>
      </c>
      <c r="CD24" s="4"/>
      <c r="CE24" s="49">
        <f t="shared" si="41"/>
        <v>52</v>
      </c>
      <c r="CF24" s="49" cm="1">
        <f t="array" ref="CF24">IF($F24=0,0,INDEX(sys_DataFlat_LU_Grid,CE24,$E24))</f>
        <v>3063</v>
      </c>
      <c r="CG24" s="49" cm="1">
        <f t="array" ref="CG24">IF($F24=0,-1000,CHOOSE($E$14,INDEX(auto_DataFlat_Score,CF24,$E$11),-INDEX(auto_DataFlat_Score,CF24,$E$11),-$D24))</f>
        <v>68.5</v>
      </c>
      <c r="CH24" s="91">
        <f ca="1">RANK(CG24,OFFSET(CG$21,0,0,$E$16+1,1))+COUNTIF(CG$21:CG24,CG24)-1</f>
        <v>31</v>
      </c>
      <c r="CI24" s="91">
        <f t="shared" ca="1" si="42"/>
        <v>48</v>
      </c>
      <c r="CJ24" s="91" cm="1">
        <f t="array" aca="1" ref="CJ24" ca="1">INDEX(OFFSET(CF$21,0,0,$E$16+1,1),CI24)</f>
        <v>3107</v>
      </c>
      <c r="CK24" s="49" cm="1">
        <f t="array" aca="1" ref="CK24" ca="1">INDEX(OFFSET($E$21,0,0,$E$16+1,1),CI24)</f>
        <v>47</v>
      </c>
      <c r="CL24" s="80" cm="1">
        <f t="array" aca="1" ref="CL24" ca="1">IF(CK24="G",5,INDEX(OFFSET($F$21,0,0,$E$16+1,1),CI24))</f>
        <v>1</v>
      </c>
      <c r="CM24" s="80" cm="1">
        <f t="array" aca="1" ref="CM24" ca="1">IF(CJ24=0,0,IF(CK24="G",-1,INDEX(auto_DataFlat_Classification,CJ24,$E$11)))</f>
        <v>5</v>
      </c>
      <c r="CN24" s="301" t="str" cm="1">
        <f t="array" aca="1" ref="CN24" ca="1">IF(CM24&lt;0,"",INDEX(uxbGlobals!$B$133:$B$139,CM24))</f>
        <v xml:space="preserve"> </v>
      </c>
      <c r="CO24" s="80"/>
      <c r="CP24" s="302" t="str" cm="1">
        <f t="array" aca="1" ref="CP24" ca="1">IF(CL24=0,"",IF(CK24="G","--",INDEX(auto_DataFlat_Rank,CJ24,$E$11)))</f>
        <v>4</v>
      </c>
      <c r="CQ24" s="122" t="str" cm="1">
        <f t="array" aca="1" ref="CQ24" ca="1">IF(CL24=0,"",IF(CK24="G","AVERAGE",INDEX(auto_ddCountry,CK24)))</f>
        <v>Toronto</v>
      </c>
      <c r="CR24" s="290" cm="1">
        <f t="array" aca="1" ref="CR24" ca="1">IF(CL24=0,"",INDEX(auto_DataFlat_Score,CJ24,$E$11))</f>
        <v>85.2</v>
      </c>
      <c r="CS24" s="4"/>
      <c r="CT24" s="49">
        <f t="shared" si="43"/>
        <v>-1</v>
      </c>
      <c r="CU24" s="49" t="e" cm="1">
        <f t="array" ref="CU24">IF($F24=0,0,INDEX(sys_DataFlat_LU_Grid,CT24,$E24))</f>
        <v>#VALUE!</v>
      </c>
      <c r="CV24" s="49" t="e" cm="1">
        <f t="array" ref="CV24">IF($F24=0,-1000,CHOOSE($E$14,INDEX(auto_DataFlat_Score,CU24,$E$11),-INDEX(auto_DataFlat_Score,CU24,$E$11),-$D24))</f>
        <v>#VALUE!</v>
      </c>
      <c r="CW24" s="91" t="e">
        <f ca="1">RANK(CV24,OFFSET(CV$21,0,0,$E$16+1,1))+COUNTIF(CV$21:CV24,CV24)-1</f>
        <v>#VALUE!</v>
      </c>
      <c r="CX24" s="91" t="e">
        <f t="shared" ref="CX24:CX71" ca="1" si="47">MATCH($D24,OFFSET(CW$21,0,0,$E$16+1,1),0)</f>
        <v>#N/A</v>
      </c>
      <c r="CY24" s="91" t="e" cm="1">
        <f t="array" aca="1" ref="CY24" ca="1">INDEX(OFFSET(CU$21,0,0,$E$16+1,1),CX24)</f>
        <v>#N/A</v>
      </c>
      <c r="CZ24" s="49" t="e" cm="1">
        <f t="array" aca="1" ref="CZ24" ca="1">INDEX(OFFSET($E$21,0,0,$E$16+1,1),CX24)</f>
        <v>#N/A</v>
      </c>
      <c r="DA24" s="80" t="e" cm="1">
        <f t="array" aca="1" ref="DA24" ca="1">IF(CZ24="G",5,INDEX(OFFSET($F$21,0,0,$E$16+1,1),CX24))</f>
        <v>#N/A</v>
      </c>
      <c r="DB24" s="80" t="e" cm="1">
        <f t="array" aca="1" ref="DB24" ca="1">IF(CY24=0,0,IF(CZ24="G",-1,INDEX(auto_DataFlat_Classification,CY24,$E$11)))</f>
        <v>#N/A</v>
      </c>
      <c r="DC24" s="301" t="e" cm="1">
        <f t="array" aca="1" ref="DC24" ca="1">IF(DB24&lt;0,"",INDEX(uxbGlobals!$B$133:$B$139,DB24))</f>
        <v>#N/A</v>
      </c>
      <c r="DD24" s="80"/>
      <c r="DE24" s="302" t="e" cm="1">
        <f t="array" aca="1" ref="DE24" ca="1">IF(DA24=0,"",IF(CZ24="G","--",INDEX(auto_DataFlat_Rank,CY24,$E$11)))</f>
        <v>#N/A</v>
      </c>
      <c r="DF24" s="122" t="e" cm="1">
        <f t="array" aca="1" ref="DF24" ca="1">IF(DA24=0,"",IF(CZ24="G","AVERAGE",INDEX(auto_ddCountry,CZ24)))</f>
        <v>#N/A</v>
      </c>
      <c r="DG24" s="290" t="e" cm="1">
        <f t="array" aca="1" ref="DG24" ca="1">IF(DA24=0,"",INDEX(auto_DataFlat_Score,CY24,$E$11))</f>
        <v>#N/A</v>
      </c>
      <c r="DH24" s="4"/>
      <c r="DI24" s="49">
        <f t="shared" si="44"/>
        <v>-1</v>
      </c>
      <c r="DJ24" s="49" t="e" cm="1">
        <f t="array" ref="DJ24">IF($F24=0,0,INDEX(sys_DataFlat_LU_Grid,DI24,$E24))</f>
        <v>#VALUE!</v>
      </c>
      <c r="DK24" s="49" t="e" cm="1">
        <f t="array" ref="DK24">IF($F24=0,-1000,CHOOSE($E$14,INDEX(auto_DataFlat_Score,DJ24,$E$11),-INDEX(auto_DataFlat_Score,DJ24,$E$11),-$D24))</f>
        <v>#VALUE!</v>
      </c>
      <c r="DL24" s="91" t="e">
        <f ca="1">RANK(DK24,OFFSET(DK$21,0,0,$E$16+1,1))+COUNTIF(DK$21:DK24,DK24)-1</f>
        <v>#VALUE!</v>
      </c>
      <c r="DM24" s="91" t="e">
        <f t="shared" ca="1" si="28"/>
        <v>#N/A</v>
      </c>
      <c r="DN24" s="91" t="e" cm="1">
        <f t="array" aca="1" ref="DN24" ca="1">INDEX(OFFSET(DJ$21,0,0,$E$16+1,1),DM24)</f>
        <v>#N/A</v>
      </c>
      <c r="DO24" s="49" t="e" cm="1">
        <f t="array" aca="1" ref="DO24" ca="1">INDEX(OFFSET($E$21,0,0,$E$16+1,1),DM24)</f>
        <v>#N/A</v>
      </c>
      <c r="DP24" s="80" t="e" cm="1">
        <f t="array" aca="1" ref="DP24" ca="1">IF(DO24="G",5,INDEX(OFFSET($F$21,0,0,$E$16+1,1),DM24))</f>
        <v>#N/A</v>
      </c>
      <c r="DQ24" s="80" t="e" cm="1">
        <f t="array" aca="1" ref="DQ24" ca="1">IF(DN24=0,0,IF(DO24="G",-1,INDEX(auto_DataFlat_Classification,DN24,$E$11)))</f>
        <v>#N/A</v>
      </c>
      <c r="DR24" s="301" t="e" cm="1">
        <f t="array" aca="1" ref="DR24" ca="1">IF(DQ24&lt;0,"",INDEX(uxbGlobals!$B$133:$B$139,DQ24))</f>
        <v>#N/A</v>
      </c>
      <c r="DS24" s="80"/>
      <c r="DT24" s="302" t="e" cm="1">
        <f t="array" aca="1" ref="DT24" ca="1">IF(DP24=0,"",IF(DO24="G","--",INDEX(auto_DataFlat_Rank,DN24,$E$11)))</f>
        <v>#N/A</v>
      </c>
      <c r="DU24" s="122" t="e" cm="1">
        <f t="array" aca="1" ref="DU24" ca="1">IF(DP24=0,"",IF(DO24="G","AVERAGE",INDEX(auto_ddCountry,DO24)))</f>
        <v>#N/A</v>
      </c>
      <c r="DV24" s="290" t="e" cm="1">
        <f t="array" aca="1" ref="DV24" ca="1">IF(DP24=0,"",INDEX(auto_DataFlat_Score,DN24,$E$11))</f>
        <v>#N/A</v>
      </c>
      <c r="DW24" s="4"/>
      <c r="DX24" s="49">
        <f t="shared" si="45"/>
        <v>-1</v>
      </c>
      <c r="DY24" s="49" t="e" cm="1">
        <f t="array" ref="DY24">IF($F24=0,0,INDEX(sys_DataFlat_LU_Grid,DX24,$E24))</f>
        <v>#VALUE!</v>
      </c>
      <c r="DZ24" s="49" t="e" cm="1">
        <f t="array" ref="DZ24">IF($F24=0,-1000,CHOOSE($E$14,INDEX(auto_DataFlat_Score,DY24,$E$11),-INDEX(auto_DataFlat_Score,DY24,$E$11),-$D24))</f>
        <v>#VALUE!</v>
      </c>
      <c r="EA24" s="91" t="e">
        <f ca="1">RANK(DZ24,OFFSET(DZ$21,0,0,$E$16+1,1))+COUNTIF(DZ$21:DZ24,DZ24)-1</f>
        <v>#VALUE!</v>
      </c>
      <c r="EB24" s="91" t="e">
        <f t="shared" ca="1" si="29"/>
        <v>#N/A</v>
      </c>
      <c r="EC24" s="91" t="e" cm="1">
        <f t="array" aca="1" ref="EC24" ca="1">INDEX(OFFSET(DY$21,0,0,$E$16+1,1),EB24)</f>
        <v>#N/A</v>
      </c>
      <c r="ED24" s="49" t="e" cm="1">
        <f t="array" aca="1" ref="ED24" ca="1">INDEX(OFFSET($E$21,0,0,$E$16+1,1),EB24)</f>
        <v>#N/A</v>
      </c>
      <c r="EE24" s="80" t="e" cm="1">
        <f t="array" aca="1" ref="EE24" ca="1">IF(ED24="G",5,INDEX(OFFSET($F$21,0,0,$E$16+1,1),EB24))</f>
        <v>#N/A</v>
      </c>
      <c r="EF24" s="80" t="e" cm="1">
        <f t="array" aca="1" ref="EF24" ca="1">IF(EC24=0,0,IF(ED24="G",-1,INDEX(auto_DataFlat_Classification,EC24,$E$11)))</f>
        <v>#N/A</v>
      </c>
      <c r="EG24" s="301" t="e" cm="1">
        <f t="array" aca="1" ref="EG24" ca="1">IF(EF24&lt;0,"",INDEX(uxbGlobals!$B$133:$B$139,EF24))</f>
        <v>#N/A</v>
      </c>
      <c r="EH24" s="80"/>
      <c r="EI24" s="302" t="e" cm="1">
        <f t="array" aca="1" ref="EI24" ca="1">IF(EE24=0,"",IF(ED24="G","--",INDEX(auto_DataFlat_Rank,EC24,$E$11)))</f>
        <v>#N/A</v>
      </c>
      <c r="EJ24" s="122" t="e" cm="1">
        <f t="array" aca="1" ref="EJ24" ca="1">IF(EE24=0,"",IF(ED24="G","AVERAGE",INDEX(auto_ddCountry,ED24)))</f>
        <v>#N/A</v>
      </c>
      <c r="EK24" s="290" t="e" cm="1">
        <f t="array" aca="1" ref="EK24" ca="1">IF(EE24=0,"",INDEX(auto_DataFlat_Score,EC24,$E$11))</f>
        <v>#N/A</v>
      </c>
      <c r="EL24" s="4"/>
      <c r="EM24" s="49">
        <f t="shared" si="46"/>
        <v>-1</v>
      </c>
      <c r="EN24" s="49" t="e" cm="1">
        <f t="array" ref="EN24">IF($F24=0,0,INDEX(sys_DataFlat_LU_Grid,EM24,$E24))</f>
        <v>#VALUE!</v>
      </c>
      <c r="EO24" s="49" t="e" cm="1">
        <f t="array" ref="EO24">IF($F24=0,-1000,CHOOSE($E$14,INDEX(auto_DataFlat_Score,EN24,$E$11),-INDEX(auto_DataFlat_Score,EN24,$E$11),-$D24))</f>
        <v>#VALUE!</v>
      </c>
      <c r="EP24" s="91" t="e">
        <f ca="1">RANK(EO24,OFFSET(EO$21,0,0,$E$16+1,1))+COUNTIF(EO$21:EO24,EO24)-1</f>
        <v>#VALUE!</v>
      </c>
      <c r="EQ24" s="91" t="e">
        <f t="shared" ca="1" si="30"/>
        <v>#N/A</v>
      </c>
      <c r="ER24" s="91" t="e" cm="1">
        <f t="array" aca="1" ref="ER24" ca="1">INDEX(OFFSET(EN$21,0,0,$E$16+1,1),EQ24)</f>
        <v>#N/A</v>
      </c>
      <c r="ES24" s="49" t="e" cm="1">
        <f t="array" aca="1" ref="ES24" ca="1">INDEX(OFFSET($E$21,0,0,$E$16+1,1),EQ24)</f>
        <v>#N/A</v>
      </c>
      <c r="ET24" s="80" t="e" cm="1">
        <f t="array" aca="1" ref="ET24" ca="1">IF(ES24="G",5,INDEX(OFFSET($F$21,0,0,$E$16+1,1),EQ24))</f>
        <v>#N/A</v>
      </c>
      <c r="EU24" s="80" t="e" cm="1">
        <f t="array" aca="1" ref="EU24" ca="1">IF(ER24=0,0,IF(ES24="G",-1,INDEX(auto_DataFlat_Classification,ER24,$E$11)))</f>
        <v>#N/A</v>
      </c>
      <c r="EV24" s="301" t="e" cm="1">
        <f t="array" aca="1" ref="EV24" ca="1">IF(EU24&lt;0,"",INDEX(uxbGlobals!$B$133:$B$139,EU24))</f>
        <v>#N/A</v>
      </c>
      <c r="EW24" s="80"/>
      <c r="EX24" s="302" t="e" cm="1">
        <f t="array" aca="1" ref="EX24" ca="1">IF(ET24=0,"",IF(ES24="G","--",INDEX(auto_DataFlat_Rank,ER24,$E$11)))</f>
        <v>#N/A</v>
      </c>
      <c r="EY24" s="122" t="e" cm="1">
        <f t="array" aca="1" ref="EY24" ca="1">IF(ET24=0,"",IF(ES24="G","AVERAGE",INDEX(auto_ddCountry,ES24)))</f>
        <v>#N/A</v>
      </c>
      <c r="EZ24" s="290" t="e" cm="1">
        <f t="array" aca="1" ref="EZ24" ca="1">IF(ET24=0,"",INDEX(auto_DataFlat_Score,ER24,$E$11))</f>
        <v>#N/A</v>
      </c>
    </row>
    <row r="25" spans="1:156" ht="17.149999999999999" customHeight="1" x14ac:dyDescent="0.4">
      <c r="A25" s="4"/>
      <c r="B25" s="4"/>
      <c r="C25" s="4"/>
      <c r="D25" s="26">
        <v>5</v>
      </c>
      <c r="E25" s="49">
        <f>tblCountries!M6</f>
        <v>4</v>
      </c>
      <c r="F25" s="114" cm="1">
        <f t="array" ref="F25">IF(E25=0,0,INDEX(auto_Country_Status,E25))</f>
        <v>1</v>
      </c>
      <c r="G25" s="4"/>
      <c r="H25" s="49">
        <f t="shared" si="31"/>
        <v>1</v>
      </c>
      <c r="I25" s="49" cm="1">
        <f t="array" ref="I25">IF($F25=0,0,INDEX(sys_DataFlat_LU_Grid,H25,$E25))</f>
        <v>4</v>
      </c>
      <c r="J25" s="49" cm="1">
        <f t="array" ref="J25">IF($F25=0,-1000,CHOOSE($E$14,INDEX(auto_DataFlat_Score,I25,$E$11),-INDEX(auto_DataFlat_Score,I25,$E$11),-$D25))</f>
        <v>71</v>
      </c>
      <c r="K25" s="91">
        <f ca="1">RANK(J25,OFFSET(J$21,0,0,$E$16+1,1))+COUNTIF(J$21:J25,J25)-1</f>
        <v>16</v>
      </c>
      <c r="L25" s="91">
        <f t="shared" ref="L25:L71" ca="1" si="48">MATCH($D25,OFFSET(K$21,0,0,$E$16+1,1),0)</f>
        <v>8</v>
      </c>
      <c r="M25" s="91" cm="1">
        <f t="array" aca="1" ref="M25" ca="1">INDEX(OFFSET(I$21,0,0,$E$16+1,1),L25)</f>
        <v>7</v>
      </c>
      <c r="N25" s="49" cm="1">
        <f t="array" aca="1" ref="N25" ca="1">INDEX(OFFSET($E$21,0,0,$E$16+1,1),L25)</f>
        <v>7</v>
      </c>
      <c r="O25" s="80" cm="1">
        <f t="array" aca="1" ref="O25" ca="1">IF(N25="G",5,INDEX(OFFSET($F$21,0,0,$E$16+1,1),L25))</f>
        <v>1</v>
      </c>
      <c r="P25" s="80" cm="1">
        <f t="array" aca="1" ref="P25" ca="1">IF(M25=0,0,IF(N25="G",-1,INDEX(auto_DataFlat_Classification,M25,$E$11)))</f>
        <v>4</v>
      </c>
      <c r="Q25" s="301" t="str" cm="1">
        <f t="array" aca="1" ref="Q25" ca="1">IF(P25&lt;0,"",INDEX(uxbGlobals!$B$133:$B$139,P25))</f>
        <v xml:space="preserve"> </v>
      </c>
      <c r="R25" s="80"/>
      <c r="S25" s="302" t="str" cm="1">
        <f t="array" aca="1" ref="S25" ca="1">IF(O25=0,"",IF(N25="G","--",INDEX(auto_DataFlat_Rank,M25,$E$11)))</f>
        <v>5</v>
      </c>
      <c r="T25" s="122" t="str" cm="1">
        <f t="array" aca="1" ref="T25" ca="1">IF(O25=0,"",IF(N25="G"," AVERAGE",INDEX(auto_ddCountry,N25)))</f>
        <v>Berlin</v>
      </c>
      <c r="U25" s="290" cm="1">
        <f t="array" aca="1" ref="U25" ca="1">IF(O25=0,"",INDEX(auto_DataFlat_Score,M25,$E$11))</f>
        <v>77.400000000000006</v>
      </c>
      <c r="V25" s="4"/>
      <c r="W25" s="49">
        <f t="shared" si="33"/>
        <v>2</v>
      </c>
      <c r="X25" s="49" cm="1">
        <f t="array" ref="X25">IF($F25=0,0,INDEX(sys_DataFlat_LU_Grid,W25,$E25))</f>
        <v>64</v>
      </c>
      <c r="Y25" s="49" cm="1">
        <f t="array" ref="Y25">IF($F25=0,-1000,CHOOSE($E$14,INDEX(auto_DataFlat_Score,X25,$E$11),-INDEX(auto_DataFlat_Score,X25,$E$11),-$D25))</f>
        <v>75.7</v>
      </c>
      <c r="Z25" s="91">
        <f ca="1">RANK(Y25,OFFSET(Y$21,0,0,$E$16+1,1))+COUNTIF(Y$21:Y25,Y25)-1</f>
        <v>25</v>
      </c>
      <c r="AA25" s="91">
        <f t="shared" ref="AA25:AA71" ca="1" si="49">MATCH($D25,OFFSET(Z$21,0,0,$E$16+1,1),0)</f>
        <v>49</v>
      </c>
      <c r="AB25" s="91" cm="1">
        <f t="array" aca="1" ref="AB25" ca="1">INDEX(OFFSET(X$21,0,0,$E$16+1,1),AA25)</f>
        <v>108</v>
      </c>
      <c r="AC25" s="49" cm="1">
        <f t="array" aca="1" ref="AC25" ca="1">INDEX(OFFSET($E$21,0,0,$E$16+1,1),AA25)</f>
        <v>48</v>
      </c>
      <c r="AD25" s="80" cm="1">
        <f t="array" aca="1" ref="AD25" ca="1">IF(AC25="G",5,INDEX(OFFSET($F$21,0,0,$E$16+1,1),AA25))</f>
        <v>1</v>
      </c>
      <c r="AE25" s="80" cm="1">
        <f t="array" aca="1" ref="AE25" ca="1">IF(AB25=0,0,IF(AC25="G",-1,INDEX(auto_DataFlat_Classification,AB25,$E$11)))</f>
        <v>5</v>
      </c>
      <c r="AF25" s="301" t="str" cm="1">
        <f t="array" aca="1" ref="AF25" ca="1">IF(AE25&lt;0,"",INDEX(uxbGlobals!$B$133:$B$139,AE25))</f>
        <v xml:space="preserve"> </v>
      </c>
      <c r="AG25" s="80"/>
      <c r="AH25" s="302" t="str" cm="1">
        <f t="array" aca="1" ref="AH25" ca="1">IF(AD25=0,"",IF(AC25="G","--",INDEX(auto_DataFlat_Rank,AB25,$E$11)))</f>
        <v>5</v>
      </c>
      <c r="AI25" s="122" t="str" cm="1">
        <f t="array" aca="1" ref="AI25" ca="1">IF(AD25=0,"",IF(AC25="G","AVERAGE",INDEX(auto_ddCountry,AC25)))</f>
        <v>Vienna</v>
      </c>
      <c r="AJ25" s="290" cm="1">
        <f t="array" aca="1" ref="AJ25" ca="1">IF(AD25=0,"",INDEX(auto_DataFlat_Score,AB25,$E$11))</f>
        <v>87.3</v>
      </c>
      <c r="AK25" s="4"/>
      <c r="AL25" s="49">
        <f t="shared" si="35"/>
        <v>14</v>
      </c>
      <c r="AM25" s="49" cm="1">
        <f t="array" ref="AM25">IF($F25=0,0,INDEX(sys_DataFlat_LU_Grid,AL25,$E25))</f>
        <v>784</v>
      </c>
      <c r="AN25" s="49" cm="1">
        <f t="array" ref="AN25">IF($F25=0,-1000,CHOOSE($E$14,INDEX(auto_DataFlat_Score,AM25,$E$11),-INDEX(auto_DataFlat_Score,AM25,$E$11),-$D25))</f>
        <v>67.2</v>
      </c>
      <c r="AO25" s="91">
        <f ca="1">RANK(AN25,OFFSET(AN$21,0,0,$E$16+1,1))+COUNTIF(AN$21:AN25,AN25)-1</f>
        <v>11</v>
      </c>
      <c r="AP25" s="91">
        <f t="shared" ref="AP25:AP71" ca="1" si="50">MATCH($D25,OFFSET(AO$21,0,0,$E$16+1,1),0)</f>
        <v>9</v>
      </c>
      <c r="AQ25" s="91" cm="1">
        <f t="array" aca="1" ref="AQ25" ca="1">INDEX(OFFSET(AM$21,0,0,$E$16+1,1),AP25)</f>
        <v>788</v>
      </c>
      <c r="AR25" s="49" cm="1">
        <f t="array" aca="1" ref="AR25" ca="1">INDEX(OFFSET($E$21,0,0,$E$16+1,1),AP25)</f>
        <v>8</v>
      </c>
      <c r="AS25" s="80" cm="1">
        <f t="array" aca="1" ref="AS25" ca="1">IF(AR25="G",5,INDEX(OFFSET($F$21,0,0,$E$16+1,1),AP25))</f>
        <v>1</v>
      </c>
      <c r="AT25" s="80" cm="1">
        <f t="array" aca="1" ref="AT25" ca="1">IF(AQ25=0,0,IF(AR25="G",-1,INDEX(auto_DataFlat_Classification,AQ25,$E$11)))</f>
        <v>4</v>
      </c>
      <c r="AU25" s="301" t="str" cm="1">
        <f t="array" aca="1" ref="AU25" ca="1">IF(AT25&lt;0,"",INDEX(uxbGlobals!$B$133:$B$139,AT25))</f>
        <v xml:space="preserve"> </v>
      </c>
      <c r="AV25" s="80"/>
      <c r="AW25" s="302" t="str" cm="1">
        <f t="array" aca="1" ref="AW25" ca="1">IF(AS25=0,"",IF(AR25="G","--",INDEX(auto_DataFlat_Rank,AQ25,$E$11)))</f>
        <v>5</v>
      </c>
      <c r="AX25" s="122" t="str" cm="1">
        <f t="array" aca="1" ref="AX25" ca="1">IF(AS25=0,"",IF(AR25="G","AVERAGE",INDEX(auto_ddCountry,AR25)))</f>
        <v>Bogotá</v>
      </c>
      <c r="AY25" s="290" cm="1">
        <f t="array" aca="1" ref="AY25" ca="1">IF(AS25=0,"",INDEX(auto_DataFlat_Score,AQ25,$E$11))</f>
        <v>74.3</v>
      </c>
      <c r="AZ25" s="4"/>
      <c r="BA25" s="49">
        <f t="shared" si="37"/>
        <v>22</v>
      </c>
      <c r="BB25" s="49" cm="1">
        <f t="array" ref="BB25">IF($F25=0,0,INDEX(sys_DataFlat_LU_Grid,BA25,$E25))</f>
        <v>1264</v>
      </c>
      <c r="BC25" s="49" cm="1">
        <f t="array" ref="BC25">IF($F25=0,-1000,CHOOSE($E$14,INDEX(auto_DataFlat_Score,BB25,$E$11),-INDEX(auto_DataFlat_Score,BB25,$E$11),-$D25))</f>
        <v>60.5</v>
      </c>
      <c r="BD25" s="91">
        <f ca="1">RANK(BC25,OFFSET(BC$21,0,0,$E$16+1,1))+COUNTIF(BC$21:BC25,BC25)-1</f>
        <v>23</v>
      </c>
      <c r="BE25" s="91">
        <f t="shared" ref="BE25:BE71" ca="1" si="51">MATCH($D25,OFFSET(BD$21,0,0,$E$16+1,1),0)</f>
        <v>47</v>
      </c>
      <c r="BF25" s="91" cm="1">
        <f t="array" aca="1" ref="BF25" ca="1">INDEX(OFFSET(BB$21,0,0,$E$16+1,1),BE25)</f>
        <v>1306</v>
      </c>
      <c r="BG25" s="49" cm="1">
        <f t="array" aca="1" ref="BG25" ca="1">INDEX(OFFSET($E$21,0,0,$E$16+1,1),BE25)</f>
        <v>46</v>
      </c>
      <c r="BH25" s="80" cm="1">
        <f t="array" aca="1" ref="BH25" ca="1">IF(BG25="G",5,INDEX(OFFSET($F$21,0,0,$E$16+1,1),BE25))</f>
        <v>1</v>
      </c>
      <c r="BI25" s="80" cm="1">
        <f t="array" aca="1" ref="BI25" ca="1">IF(BF25=0,0,IF(BG25="G",-1,INDEX(auto_DataFlat_Classification,BF25,$E$11)))</f>
        <v>5</v>
      </c>
      <c r="BJ25" s="301" t="str" cm="1">
        <f t="array" aca="1" ref="BJ25" ca="1">IF(BI25&lt;0,"",INDEX(uxbGlobals!$B$133:$B$139,BI25))</f>
        <v xml:space="preserve"> </v>
      </c>
      <c r="BK25" s="80"/>
      <c r="BL25" s="302" t="str" cm="1">
        <f t="array" aca="1" ref="BL25" ca="1">IF(BH25=0,"",IF(BG25="G","--",INDEX(auto_DataFlat_Rank,BF25,$E$11)))</f>
        <v>=4</v>
      </c>
      <c r="BM25" s="122" t="str" cm="1">
        <f t="array" aca="1" ref="BM25" ca="1">IF(BH25=0,"",IF(BG25="G","AVERAGE",INDEX(auto_ddCountry,BG25)))</f>
        <v>Tokyo</v>
      </c>
      <c r="BN25" s="290" cm="1">
        <f t="array" aca="1" ref="BN25" ca="1">IF(BH25=0,"",INDEX(auto_DataFlat_Score,BF25,$E$11))</f>
        <v>80.7</v>
      </c>
      <c r="BO25" s="4"/>
      <c r="BP25" s="49">
        <f t="shared" si="39"/>
        <v>47</v>
      </c>
      <c r="BQ25" s="49" cm="1">
        <f t="array" ref="BQ25">IF($F25=0,0,INDEX(sys_DataFlat_LU_Grid,BP25,$E25))</f>
        <v>2764</v>
      </c>
      <c r="BR25" s="49" cm="1">
        <f t="array" ref="BR25">IF($F25=0,-1000,CHOOSE($E$14,INDEX(auto_DataFlat_Score,BQ25,$E$11),-INDEX(auto_DataFlat_Score,BQ25,$E$11),-$D25))</f>
        <v>79.400000000000006</v>
      </c>
      <c r="BS25" s="91">
        <f ca="1">RANK(BR25,OFFSET(BR$21,0,0,$E$16+1,1))+COUNTIF(BR$21:BR25,BR25)-1</f>
        <v>17</v>
      </c>
      <c r="BT25" s="91">
        <f t="shared" ref="BT25:BT71" ca="1" si="52">MATCH($D25,OFFSET(BS$21,0,0,$E$16+1,1),0)</f>
        <v>49</v>
      </c>
      <c r="BU25" s="91" cm="1">
        <f t="array" aca="1" ref="BU25" ca="1">INDEX(OFFSET(BQ$21,0,0,$E$16+1,1),BT25)</f>
        <v>2808</v>
      </c>
      <c r="BV25" s="49" cm="1">
        <f t="array" aca="1" ref="BV25" ca="1">INDEX(OFFSET($E$21,0,0,$E$16+1,1),BT25)</f>
        <v>48</v>
      </c>
      <c r="BW25" s="80" cm="1">
        <f t="array" aca="1" ref="BW25" ca="1">IF(BV25="G",5,INDEX(OFFSET($F$21,0,0,$E$16+1,1),BT25))</f>
        <v>1</v>
      </c>
      <c r="BX25" s="80" cm="1">
        <f t="array" aca="1" ref="BX25" ca="1">IF(BU25=0,0,IF(BV25="G",-1,INDEX(auto_DataFlat_Classification,BU25,$E$11)))</f>
        <v>5</v>
      </c>
      <c r="BY25" s="301" t="str" cm="1">
        <f t="array" aca="1" ref="BY25" ca="1">IF(BX25&lt;0,"",INDEX(uxbGlobals!$B$133:$B$139,BX25))</f>
        <v xml:space="preserve"> </v>
      </c>
      <c r="BZ25" s="80"/>
      <c r="CA25" s="302" t="str" cm="1">
        <f t="array" aca="1" ref="CA25" ca="1">IF(BW25=0,"",IF(BV25="G","--",INDEX(auto_DataFlat_Rank,BU25,$E$11)))</f>
        <v>5</v>
      </c>
      <c r="CB25" s="122" t="str" cm="1">
        <f t="array" aca="1" ref="CB25" ca="1">IF(BW25=0,"",IF(BV25="G","AVERAGE",INDEX(auto_ddCountry,BV25)))</f>
        <v>Vienna</v>
      </c>
      <c r="CC25" s="290" cm="1">
        <f t="array" aca="1" ref="CC25" ca="1">IF(BW25=0,"",INDEX(auto_DataFlat_Score,BU25,$E$11))</f>
        <v>84.5</v>
      </c>
      <c r="CD25" s="4"/>
      <c r="CE25" s="49">
        <f t="shared" si="41"/>
        <v>52</v>
      </c>
      <c r="CF25" s="49" cm="1">
        <f t="array" ref="CF25">IF($F25=0,0,INDEX(sys_DataFlat_LU_Grid,CE25,$E25))</f>
        <v>3064</v>
      </c>
      <c r="CG25" s="49" cm="1">
        <f t="array" ref="CG25">IF($F25=0,-1000,CHOOSE($E$14,INDEX(auto_DataFlat_Score,CF25,$E$11),-INDEX(auto_DataFlat_Score,CF25,$E$11),-$D25))</f>
        <v>75.900000000000006</v>
      </c>
      <c r="CH25" s="91">
        <f ca="1">RANK(CG25,OFFSET(CG$21,0,0,$E$16+1,1))+COUNTIF(CG$21:CG25,CG25)-1</f>
        <v>16</v>
      </c>
      <c r="CI25" s="91">
        <f t="shared" ref="CI25:CI71" ca="1" si="53">MATCH($D25,OFFSET(CH$21,0,0,$E$16+1,1),0)</f>
        <v>20</v>
      </c>
      <c r="CJ25" s="91" cm="1">
        <f t="array" aca="1" ref="CJ25" ca="1">INDEX(OFFSET(CF$21,0,0,$E$16+1,1),CI25)</f>
        <v>3079</v>
      </c>
      <c r="CK25" s="49" cm="1">
        <f t="array" aca="1" ref="CK25" ca="1">INDEX(OFFSET($E$21,0,0,$E$16+1,1),CI25)</f>
        <v>19</v>
      </c>
      <c r="CL25" s="80" cm="1">
        <f t="array" aca="1" ref="CL25" ca="1">IF(CK25="G",5,INDEX(OFFSET($F$21,0,0,$E$16+1,1),CI25))</f>
        <v>1</v>
      </c>
      <c r="CM25" s="80" cm="1">
        <f t="array" aca="1" ref="CM25" ca="1">IF(CJ25=0,0,IF(CK25="G",-1,INDEX(auto_DataFlat_Classification,CJ25,$E$11)))</f>
        <v>5</v>
      </c>
      <c r="CN25" s="301" t="str" cm="1">
        <f t="array" aca="1" ref="CN25" ca="1">IF(CM25&lt;0,"",INDEX(uxbGlobals!$B$133:$B$139,CM25))</f>
        <v xml:space="preserve"> </v>
      </c>
      <c r="CO25" s="80"/>
      <c r="CP25" s="302" t="str" cm="1">
        <f t="array" aca="1" ref="CP25" ca="1">IF(CL25=0,"",IF(CK25="G","--",INDEX(auto_DataFlat_Rank,CJ25,$E$11)))</f>
        <v>5</v>
      </c>
      <c r="CQ25" s="122" t="str" cm="1">
        <f t="array" aca="1" ref="CQ25" ca="1">IF(CL25=0,"",IF(CK25="G","AVERAGE",INDEX(auto_ddCountry,CK25)))</f>
        <v>Jakarta</v>
      </c>
      <c r="CR25" s="290" cm="1">
        <f t="array" aca="1" ref="CR25" ca="1">IF(CL25=0,"",INDEX(auto_DataFlat_Score,CJ25,$E$11))</f>
        <v>83.3</v>
      </c>
      <c r="CS25" s="4"/>
      <c r="CT25" s="49">
        <f t="shared" si="43"/>
        <v>-1</v>
      </c>
      <c r="CU25" s="49" t="e" cm="1">
        <f t="array" ref="CU25">IF($F25=0,0,INDEX(sys_DataFlat_LU_Grid,CT25,$E25))</f>
        <v>#VALUE!</v>
      </c>
      <c r="CV25" s="49" t="e" cm="1">
        <f t="array" ref="CV25">IF($F25=0,-1000,CHOOSE($E$14,INDEX(auto_DataFlat_Score,CU25,$E$11),-INDEX(auto_DataFlat_Score,CU25,$E$11),-$D25))</f>
        <v>#VALUE!</v>
      </c>
      <c r="CW25" s="91" t="e">
        <f ca="1">RANK(CV25,OFFSET(CV$21,0,0,$E$16+1,1))+COUNTIF(CV$21:CV25,CV25)-1</f>
        <v>#VALUE!</v>
      </c>
      <c r="CX25" s="91" t="e">
        <f t="shared" ca="1" si="47"/>
        <v>#N/A</v>
      </c>
      <c r="CY25" s="91" t="e" cm="1">
        <f t="array" aca="1" ref="CY25" ca="1">INDEX(OFFSET(CU$21,0,0,$E$16+1,1),CX25)</f>
        <v>#N/A</v>
      </c>
      <c r="CZ25" s="49" t="e" cm="1">
        <f t="array" aca="1" ref="CZ25" ca="1">INDEX(OFFSET($E$21,0,0,$E$16+1,1),CX25)</f>
        <v>#N/A</v>
      </c>
      <c r="DA25" s="80" t="e" cm="1">
        <f t="array" aca="1" ref="DA25" ca="1">IF(CZ25="G",5,INDEX(OFFSET($F$21,0,0,$E$16+1,1),CX25))</f>
        <v>#N/A</v>
      </c>
      <c r="DB25" s="80" t="e" cm="1">
        <f t="array" aca="1" ref="DB25" ca="1">IF(CY25=0,0,IF(CZ25="G",-1,INDEX(auto_DataFlat_Classification,CY25,$E$11)))</f>
        <v>#N/A</v>
      </c>
      <c r="DC25" s="301" t="e" cm="1">
        <f t="array" aca="1" ref="DC25" ca="1">IF(DB25&lt;0,"",INDEX(uxbGlobals!$B$133:$B$139,DB25))</f>
        <v>#N/A</v>
      </c>
      <c r="DD25" s="80"/>
      <c r="DE25" s="302" t="e" cm="1">
        <f t="array" aca="1" ref="DE25" ca="1">IF(DA25=0,"",IF(CZ25="G","--",INDEX(auto_DataFlat_Rank,CY25,$E$11)))</f>
        <v>#N/A</v>
      </c>
      <c r="DF25" s="122" t="e" cm="1">
        <f t="array" aca="1" ref="DF25" ca="1">IF(DA25=0,"",IF(CZ25="G","AVERAGE",INDEX(auto_ddCountry,CZ25)))</f>
        <v>#N/A</v>
      </c>
      <c r="DG25" s="290" t="e" cm="1">
        <f t="array" aca="1" ref="DG25" ca="1">IF(DA25=0,"",INDEX(auto_DataFlat_Score,CY25,$E$11))</f>
        <v>#N/A</v>
      </c>
      <c r="DH25" s="4"/>
      <c r="DI25" s="49">
        <f t="shared" si="44"/>
        <v>-1</v>
      </c>
      <c r="DJ25" s="49" t="e" cm="1">
        <f t="array" ref="DJ25">IF($F25=0,0,INDEX(sys_DataFlat_LU_Grid,DI25,$E25))</f>
        <v>#VALUE!</v>
      </c>
      <c r="DK25" s="49" t="e" cm="1">
        <f t="array" ref="DK25">IF($F25=0,-1000,CHOOSE($E$14,INDEX(auto_DataFlat_Score,DJ25,$E$11),-INDEX(auto_DataFlat_Score,DJ25,$E$11),-$D25))</f>
        <v>#VALUE!</v>
      </c>
      <c r="DL25" s="91" t="e">
        <f ca="1">RANK(DK25,OFFSET(DK$21,0,0,$E$16+1,1))+COUNTIF(DK$21:DK25,DK25)-1</f>
        <v>#VALUE!</v>
      </c>
      <c r="DM25" s="91" t="e">
        <f t="shared" ca="1" si="28"/>
        <v>#N/A</v>
      </c>
      <c r="DN25" s="91" t="e" cm="1">
        <f t="array" aca="1" ref="DN25" ca="1">INDEX(OFFSET(DJ$21,0,0,$E$16+1,1),DM25)</f>
        <v>#N/A</v>
      </c>
      <c r="DO25" s="49" t="e" cm="1">
        <f t="array" aca="1" ref="DO25" ca="1">INDEX(OFFSET($E$21,0,0,$E$16+1,1),DM25)</f>
        <v>#N/A</v>
      </c>
      <c r="DP25" s="80" t="e" cm="1">
        <f t="array" aca="1" ref="DP25" ca="1">IF(DO25="G",5,INDEX(OFFSET($F$21,0,0,$E$16+1,1),DM25))</f>
        <v>#N/A</v>
      </c>
      <c r="DQ25" s="80" t="e" cm="1">
        <f t="array" aca="1" ref="DQ25" ca="1">IF(DN25=0,0,IF(DO25="G",-1,INDEX(auto_DataFlat_Classification,DN25,$E$11)))</f>
        <v>#N/A</v>
      </c>
      <c r="DR25" s="301" t="e" cm="1">
        <f t="array" aca="1" ref="DR25" ca="1">IF(DQ25&lt;0,"",INDEX(uxbGlobals!$B$133:$B$139,DQ25))</f>
        <v>#N/A</v>
      </c>
      <c r="DS25" s="80"/>
      <c r="DT25" s="302" t="e" cm="1">
        <f t="array" aca="1" ref="DT25" ca="1">IF(DP25=0,"",IF(DO25="G","--",INDEX(auto_DataFlat_Rank,DN25,$E$11)))</f>
        <v>#N/A</v>
      </c>
      <c r="DU25" s="122" t="e" cm="1">
        <f t="array" aca="1" ref="DU25" ca="1">IF(DP25=0,"",IF(DO25="G","AVERAGE",INDEX(auto_ddCountry,DO25)))</f>
        <v>#N/A</v>
      </c>
      <c r="DV25" s="290" t="e" cm="1">
        <f t="array" aca="1" ref="DV25" ca="1">IF(DP25=0,"",INDEX(auto_DataFlat_Score,DN25,$E$11))</f>
        <v>#N/A</v>
      </c>
      <c r="DW25" s="4"/>
      <c r="DX25" s="49">
        <f t="shared" si="45"/>
        <v>-1</v>
      </c>
      <c r="DY25" s="49" t="e" cm="1">
        <f t="array" ref="DY25">IF($F25=0,0,INDEX(sys_DataFlat_LU_Grid,DX25,$E25))</f>
        <v>#VALUE!</v>
      </c>
      <c r="DZ25" s="49" t="e" cm="1">
        <f t="array" ref="DZ25">IF($F25=0,-1000,CHOOSE($E$14,INDEX(auto_DataFlat_Score,DY25,$E$11),-INDEX(auto_DataFlat_Score,DY25,$E$11),-$D25))</f>
        <v>#VALUE!</v>
      </c>
      <c r="EA25" s="91" t="e">
        <f ca="1">RANK(DZ25,OFFSET(DZ$21,0,0,$E$16+1,1))+COUNTIF(DZ$21:DZ25,DZ25)-1</f>
        <v>#VALUE!</v>
      </c>
      <c r="EB25" s="91" t="e">
        <f t="shared" ca="1" si="29"/>
        <v>#N/A</v>
      </c>
      <c r="EC25" s="91" t="e" cm="1">
        <f t="array" aca="1" ref="EC25" ca="1">INDEX(OFFSET(DY$21,0,0,$E$16+1,1),EB25)</f>
        <v>#N/A</v>
      </c>
      <c r="ED25" s="49" t="e" cm="1">
        <f t="array" aca="1" ref="ED25" ca="1">INDEX(OFFSET($E$21,0,0,$E$16+1,1),EB25)</f>
        <v>#N/A</v>
      </c>
      <c r="EE25" s="80" t="e" cm="1">
        <f t="array" aca="1" ref="EE25" ca="1">IF(ED25="G",5,INDEX(OFFSET($F$21,0,0,$E$16+1,1),EB25))</f>
        <v>#N/A</v>
      </c>
      <c r="EF25" s="80" t="e" cm="1">
        <f t="array" aca="1" ref="EF25" ca="1">IF(EC25=0,0,IF(ED25="G",-1,INDEX(auto_DataFlat_Classification,EC25,$E$11)))</f>
        <v>#N/A</v>
      </c>
      <c r="EG25" s="301" t="e" cm="1">
        <f t="array" aca="1" ref="EG25" ca="1">IF(EF25&lt;0,"",INDEX(uxbGlobals!$B$133:$B$139,EF25))</f>
        <v>#N/A</v>
      </c>
      <c r="EH25" s="80"/>
      <c r="EI25" s="302" t="e" cm="1">
        <f t="array" aca="1" ref="EI25" ca="1">IF(EE25=0,"",IF(ED25="G","--",INDEX(auto_DataFlat_Rank,EC25,$E$11)))</f>
        <v>#N/A</v>
      </c>
      <c r="EJ25" s="122" t="e" cm="1">
        <f t="array" aca="1" ref="EJ25" ca="1">IF(EE25=0,"",IF(ED25="G","AVERAGE",INDEX(auto_ddCountry,ED25)))</f>
        <v>#N/A</v>
      </c>
      <c r="EK25" s="290" t="e" cm="1">
        <f t="array" aca="1" ref="EK25" ca="1">IF(EE25=0,"",INDEX(auto_DataFlat_Score,EC25,$E$11))</f>
        <v>#N/A</v>
      </c>
      <c r="EL25" s="4"/>
      <c r="EM25" s="49">
        <f t="shared" si="46"/>
        <v>-1</v>
      </c>
      <c r="EN25" s="49" t="e" cm="1">
        <f t="array" ref="EN25">IF($F25=0,0,INDEX(sys_DataFlat_LU_Grid,EM25,$E25))</f>
        <v>#VALUE!</v>
      </c>
      <c r="EO25" s="49" t="e" cm="1">
        <f t="array" ref="EO25">IF($F25=0,-1000,CHOOSE($E$14,INDEX(auto_DataFlat_Score,EN25,$E$11),-INDEX(auto_DataFlat_Score,EN25,$E$11),-$D25))</f>
        <v>#VALUE!</v>
      </c>
      <c r="EP25" s="91" t="e">
        <f ca="1">RANK(EO25,OFFSET(EO$21,0,0,$E$16+1,1))+COUNTIF(EO$21:EO25,EO25)-1</f>
        <v>#VALUE!</v>
      </c>
      <c r="EQ25" s="91" t="e">
        <f t="shared" ca="1" si="30"/>
        <v>#N/A</v>
      </c>
      <c r="ER25" s="91" t="e" cm="1">
        <f t="array" aca="1" ref="ER25" ca="1">INDEX(OFFSET(EN$21,0,0,$E$16+1,1),EQ25)</f>
        <v>#N/A</v>
      </c>
      <c r="ES25" s="49" t="e" cm="1">
        <f t="array" aca="1" ref="ES25" ca="1">INDEX(OFFSET($E$21,0,0,$E$16+1,1),EQ25)</f>
        <v>#N/A</v>
      </c>
      <c r="ET25" s="80" t="e" cm="1">
        <f t="array" aca="1" ref="ET25" ca="1">IF(ES25="G",5,INDEX(OFFSET($F$21,0,0,$E$16+1,1),EQ25))</f>
        <v>#N/A</v>
      </c>
      <c r="EU25" s="80" t="e" cm="1">
        <f t="array" aca="1" ref="EU25" ca="1">IF(ER25=0,0,IF(ES25="G",-1,INDEX(auto_DataFlat_Classification,ER25,$E$11)))</f>
        <v>#N/A</v>
      </c>
      <c r="EV25" s="301" t="e" cm="1">
        <f t="array" aca="1" ref="EV25" ca="1">IF(EU25&lt;0,"",INDEX(uxbGlobals!$B$133:$B$139,EU25))</f>
        <v>#N/A</v>
      </c>
      <c r="EW25" s="80"/>
      <c r="EX25" s="302" t="e" cm="1">
        <f t="array" aca="1" ref="EX25" ca="1">IF(ET25=0,"",IF(ES25="G","--",INDEX(auto_DataFlat_Rank,ER25,$E$11)))</f>
        <v>#N/A</v>
      </c>
      <c r="EY25" s="122" t="e" cm="1">
        <f t="array" aca="1" ref="EY25" ca="1">IF(ET25=0,"",IF(ES25="G","AVERAGE",INDEX(auto_ddCountry,ES25)))</f>
        <v>#N/A</v>
      </c>
      <c r="EZ25" s="290" t="e" cm="1">
        <f t="array" aca="1" ref="EZ25" ca="1">IF(ET25=0,"",INDEX(auto_DataFlat_Score,ER25,$E$11))</f>
        <v>#N/A</v>
      </c>
    </row>
    <row r="26" spans="1:156" ht="17.149999999999999" customHeight="1" x14ac:dyDescent="0.4">
      <c r="A26" s="4"/>
      <c r="B26" s="4"/>
      <c r="C26" s="4"/>
      <c r="D26" s="26">
        <v>6</v>
      </c>
      <c r="E26" s="49">
        <f>tblCountries!M7</f>
        <v>5</v>
      </c>
      <c r="F26" s="114" cm="1">
        <f t="array" ref="F26">IF(E26=0,0,INDEX(auto_Country_Status,E26))</f>
        <v>1</v>
      </c>
      <c r="G26" s="4"/>
      <c r="H26" s="49">
        <f t="shared" si="31"/>
        <v>1</v>
      </c>
      <c r="I26" s="49" cm="1">
        <f t="array" ref="I26">IF($F26=0,0,INDEX(sys_DataFlat_LU_Grid,H26,$E26))</f>
        <v>5</v>
      </c>
      <c r="J26" s="49" cm="1">
        <f t="array" ref="J26">IF($F26=0,-1000,CHOOSE($E$14,INDEX(auto_DataFlat_Score,I26,$E$11),-INDEX(auto_DataFlat_Score,I26,$E$11),-$D26))</f>
        <v>68.8</v>
      </c>
      <c r="K26" s="91">
        <f ca="1">RANK(J26,OFFSET(J$21,0,0,$E$16+1,1))+COUNTIF(J$21:J26,J26)-1</f>
        <v>20</v>
      </c>
      <c r="L26" s="91">
        <f t="shared" ca="1" si="48"/>
        <v>48</v>
      </c>
      <c r="M26" s="91" cm="1">
        <f t="array" aca="1" ref="M26" ca="1">INDEX(OFFSET(I$21,0,0,$E$16+1,1),L26)</f>
        <v>47</v>
      </c>
      <c r="N26" s="49" cm="1">
        <f t="array" aca="1" ref="N26" ca="1">INDEX(OFFSET($E$21,0,0,$E$16+1,1),L26)</f>
        <v>47</v>
      </c>
      <c r="O26" s="80" cm="1">
        <f t="array" aca="1" ref="O26" ca="1">IF(N26="G",5,INDEX(OFFSET($F$21,0,0,$E$16+1,1),L26))</f>
        <v>1</v>
      </c>
      <c r="P26" s="80" cm="1">
        <f t="array" aca="1" ref="P26" ca="1">IF(M26=0,0,IF(N26="G",-1,INDEX(auto_DataFlat_Classification,M26,$E$11)))</f>
        <v>4</v>
      </c>
      <c r="Q26" s="301" t="str" cm="1">
        <f t="array" aca="1" ref="Q26" ca="1">IF(P26&lt;0,"",INDEX(uxbGlobals!$B$133:$B$139,P26))</f>
        <v xml:space="preserve"> </v>
      </c>
      <c r="R26" s="80"/>
      <c r="S26" s="302" t="str" cm="1">
        <f t="array" aca="1" ref="S26" ca="1">IF(O26=0,"",IF(N26="G","--",INDEX(auto_DataFlat_Rank,M26,$E$11)))</f>
        <v>6</v>
      </c>
      <c r="T26" s="122" t="str" cm="1">
        <f t="array" aca="1" ref="T26" ca="1">IF(O26=0,"",IF(N26="G"," AVERAGE",INDEX(auto_ddCountry,N26)))</f>
        <v>Toronto</v>
      </c>
      <c r="U26" s="290" cm="1">
        <f t="array" aca="1" ref="U26" ca="1">IF(O26=0,"",INDEX(auto_DataFlat_Score,M26,$E$11))</f>
        <v>77</v>
      </c>
      <c r="V26" s="4"/>
      <c r="W26" s="49">
        <f t="shared" si="33"/>
        <v>2</v>
      </c>
      <c r="X26" s="49" cm="1">
        <f t="array" ref="X26">IF($F26=0,0,INDEX(sys_DataFlat_LU_Grid,W26,$E26))</f>
        <v>65</v>
      </c>
      <c r="Y26" s="49" cm="1">
        <f t="array" ref="Y26">IF($F26=0,-1000,CHOOSE($E$14,INDEX(auto_DataFlat_Score,X26,$E$11),-INDEX(auto_DataFlat_Score,X26,$E$11),-$D26))</f>
        <v>72.8</v>
      </c>
      <c r="Z26" s="91">
        <f ca="1">RANK(Y26,OFFSET(Y$21,0,0,$E$16+1,1))+COUNTIF(Y$21:Y26,Y26)-1</f>
        <v>29</v>
      </c>
      <c r="AA26" s="91">
        <f t="shared" ca="1" si="49"/>
        <v>27</v>
      </c>
      <c r="AB26" s="91" cm="1">
        <f t="array" aca="1" ref="AB26" ca="1">INDEX(OFFSET(X$21,0,0,$E$16+1,1),AA26)</f>
        <v>86</v>
      </c>
      <c r="AC26" s="49" cm="1">
        <f t="array" aca="1" ref="AC26" ca="1">INDEX(OFFSET($E$21,0,0,$E$16+1,1),AA26)</f>
        <v>26</v>
      </c>
      <c r="AD26" s="80" cm="1">
        <f t="array" aca="1" ref="AD26" ca="1">IF(AC26="G",5,INDEX(OFFSET($F$21,0,0,$E$16+1,1),AA26))</f>
        <v>1</v>
      </c>
      <c r="AE26" s="80" cm="1">
        <f t="array" aca="1" ref="AE26" ca="1">IF(AB26=0,0,IF(AC26="G",-1,INDEX(auto_DataFlat_Classification,AB26,$E$11)))</f>
        <v>5</v>
      </c>
      <c r="AF26" s="301" t="str" cm="1">
        <f t="array" aca="1" ref="AF26" ca="1">IF(AE26&lt;0,"",INDEX(uxbGlobals!$B$133:$B$139,AE26))</f>
        <v xml:space="preserve"> </v>
      </c>
      <c r="AG26" s="80"/>
      <c r="AH26" s="302" t="str" cm="1">
        <f t="array" aca="1" ref="AH26" ca="1">IF(AD26=0,"",IF(AC26="G","--",INDEX(auto_DataFlat_Rank,AB26,$E$11)))</f>
        <v>6</v>
      </c>
      <c r="AI26" s="122" t="str" cm="1">
        <f t="array" aca="1" ref="AI26" ca="1">IF(AD26=0,"",IF(AC26="G","AVERAGE",INDEX(auto_ddCountry,AC26)))</f>
        <v>London</v>
      </c>
      <c r="AJ26" s="290" cm="1">
        <f t="array" aca="1" ref="AJ26" ca="1">IF(AD26=0,"",INDEX(auto_DataFlat_Score,AB26,$E$11))</f>
        <v>86.9</v>
      </c>
      <c r="AK26" s="4"/>
      <c r="AL26" s="49">
        <f t="shared" si="35"/>
        <v>14</v>
      </c>
      <c r="AM26" s="49" cm="1">
        <f t="array" ref="AM26">IF($F26=0,0,INDEX(sys_DataFlat_LU_Grid,AL26,$E26))</f>
        <v>785</v>
      </c>
      <c r="AN26" s="49" cm="1">
        <f t="array" ref="AN26">IF($F26=0,-1000,CHOOSE($E$14,INDEX(auto_DataFlat_Score,AM26,$E$11),-INDEX(auto_DataFlat_Score,AM26,$E$11),-$D26))</f>
        <v>35.700000000000003</v>
      </c>
      <c r="AO26" s="91">
        <f ca="1">RANK(AN26,OFFSET(AN$21,0,0,$E$16+1,1))+COUNTIF(AN$21:AN26,AN26)-1</f>
        <v>38</v>
      </c>
      <c r="AP26" s="91">
        <f t="shared" ca="1" si="50"/>
        <v>28</v>
      </c>
      <c r="AQ26" s="91" cm="1">
        <f t="array" aca="1" ref="AQ26" ca="1">INDEX(OFFSET(AM$21,0,0,$E$16+1,1),AP26)</f>
        <v>807</v>
      </c>
      <c r="AR26" s="49" cm="1">
        <f t="array" aca="1" ref="AR26" ca="1">INDEX(OFFSET($E$21,0,0,$E$16+1,1),AP26)</f>
        <v>27</v>
      </c>
      <c r="AS26" s="80" cm="1">
        <f t="array" aca="1" ref="AS26" ca="1">IF(AR26="G",5,INDEX(OFFSET($F$21,0,0,$E$16+1,1),AP26))</f>
        <v>1</v>
      </c>
      <c r="AT26" s="80" cm="1">
        <f t="array" aca="1" ref="AT26" ca="1">IF(AQ26=0,0,IF(AR26="G",-1,INDEX(auto_DataFlat_Classification,AQ26,$E$11)))</f>
        <v>4</v>
      </c>
      <c r="AU26" s="301" t="str" cm="1">
        <f t="array" aca="1" ref="AU26" ca="1">IF(AT26&lt;0,"",INDEX(uxbGlobals!$B$133:$B$139,AT26))</f>
        <v xml:space="preserve"> </v>
      </c>
      <c r="AV26" s="80"/>
      <c r="AW26" s="302" t="str" cm="1">
        <f t="array" aca="1" ref="AW26" ca="1">IF(AS26=0,"",IF(AR26="G","--",INDEX(auto_DataFlat_Rank,AQ26,$E$11)))</f>
        <v>6</v>
      </c>
      <c r="AX26" s="122" t="str" cm="1">
        <f t="array" aca="1" ref="AX26" ca="1">IF(AS26=0,"",IF(AR26="G","AVERAGE",INDEX(auto_ddCountry,AR26)))</f>
        <v>Madrid</v>
      </c>
      <c r="AY26" s="290" cm="1">
        <f t="array" aca="1" ref="AY26" ca="1">IF(AS26=0,"",INDEX(auto_DataFlat_Score,AQ26,$E$11))</f>
        <v>72.599999999999994</v>
      </c>
      <c r="AZ26" s="4"/>
      <c r="BA26" s="49">
        <f t="shared" si="37"/>
        <v>22</v>
      </c>
      <c r="BB26" s="49" cm="1">
        <f t="array" ref="BB26">IF($F26=0,0,INDEX(sys_DataFlat_LU_Grid,BA26,$E26))</f>
        <v>1265</v>
      </c>
      <c r="BC26" s="49" cm="1">
        <f t="array" ref="BC26">IF($F26=0,-1000,CHOOSE($E$14,INDEX(auto_DataFlat_Score,BB26,$E$11),-INDEX(auto_DataFlat_Score,BB26,$E$11),-$D26))</f>
        <v>74.099999999999994</v>
      </c>
      <c r="BD26" s="91">
        <f ca="1">RANK(BC26,OFFSET(BC$21,0,0,$E$16+1,1))+COUNTIF(BC$21:BC26,BC26)-1</f>
        <v>12</v>
      </c>
      <c r="BE26" s="91">
        <f t="shared" ca="1" si="51"/>
        <v>7</v>
      </c>
      <c r="BF26" s="91" cm="1">
        <f t="array" aca="1" ref="BF26" ca="1">INDEX(OFFSET(BB$21,0,0,$E$16+1,1),BE26)</f>
        <v>1266</v>
      </c>
      <c r="BG26" s="49" cm="1">
        <f t="array" aca="1" ref="BG26" ca="1">INDEX(OFFSET($E$21,0,0,$E$16+1,1),BE26)</f>
        <v>6</v>
      </c>
      <c r="BH26" s="80" cm="1">
        <f t="array" aca="1" ref="BH26" ca="1">IF(BG26="G",5,INDEX(OFFSET($F$21,0,0,$E$16+1,1),BE26))</f>
        <v>1</v>
      </c>
      <c r="BI26" s="80" cm="1">
        <f t="array" aca="1" ref="BI26" ca="1">IF(BF26=0,0,IF(BG26="G",-1,INDEX(auto_DataFlat_Classification,BF26,$E$11)))</f>
        <v>5</v>
      </c>
      <c r="BJ26" s="301" t="str" cm="1">
        <f t="array" aca="1" ref="BJ26" ca="1">IF(BI26&lt;0,"",INDEX(uxbGlobals!$B$133:$B$139,BI26))</f>
        <v xml:space="preserve"> </v>
      </c>
      <c r="BK26" s="80"/>
      <c r="BL26" s="302" t="str" cm="1">
        <f t="array" aca="1" ref="BL26" ca="1">IF(BH26=0,"",IF(BG26="G","--",INDEX(auto_DataFlat_Rank,BF26,$E$11)))</f>
        <v>6</v>
      </c>
      <c r="BM26" s="122" t="str" cm="1">
        <f t="array" aca="1" ref="BM26" ca="1">IF(BH26=0,"",IF(BG26="G","AVERAGE",INDEX(auto_ddCountry,BG26)))</f>
        <v>Beijing</v>
      </c>
      <c r="BN26" s="290" cm="1">
        <f t="array" aca="1" ref="BN26" ca="1">IF(BH26=0,"",INDEX(auto_DataFlat_Score,BF26,$E$11))</f>
        <v>80.599999999999994</v>
      </c>
      <c r="BO26" s="4"/>
      <c r="BP26" s="49">
        <f t="shared" si="39"/>
        <v>47</v>
      </c>
      <c r="BQ26" s="49" cm="1">
        <f t="array" ref="BQ26">IF($F26=0,0,INDEX(sys_DataFlat_LU_Grid,BP26,$E26))</f>
        <v>2765</v>
      </c>
      <c r="BR26" s="49" cm="1">
        <f t="array" ref="BR26">IF($F26=0,-1000,CHOOSE($E$14,INDEX(auto_DataFlat_Score,BQ26,$E$11),-INDEX(auto_DataFlat_Score,BQ26,$E$11),-$D26))</f>
        <v>78.3</v>
      </c>
      <c r="BS26" s="91">
        <f ca="1">RANK(BR26,OFFSET(BR$21,0,0,$E$16+1,1))+COUNTIF(BR$21:BR26,BR26)-1</f>
        <v>18</v>
      </c>
      <c r="BT26" s="91">
        <f t="shared" ca="1" si="52"/>
        <v>37</v>
      </c>
      <c r="BU26" s="91" cm="1">
        <f t="array" aca="1" ref="BU26" ca="1">INDEX(OFFSET(BQ$21,0,0,$E$16+1,1),BT26)</f>
        <v>2796</v>
      </c>
      <c r="BV26" s="49" cm="1">
        <f t="array" aca="1" ref="BV26" ca="1">INDEX(OFFSET($E$21,0,0,$E$16+1,1),BT26)</f>
        <v>36</v>
      </c>
      <c r="BW26" s="80" cm="1">
        <f t="array" aca="1" ref="BW26" ca="1">IF(BV26="G",5,INDEX(OFFSET($F$21,0,0,$E$16+1,1),BT26))</f>
        <v>1</v>
      </c>
      <c r="BX26" s="80" cm="1">
        <f t="array" aca="1" ref="BX26" ca="1">IF(BU26=0,0,IF(BV26="G",-1,INDEX(auto_DataFlat_Classification,BU26,$E$11)))</f>
        <v>5</v>
      </c>
      <c r="BY26" s="301" t="str" cm="1">
        <f t="array" aca="1" ref="BY26" ca="1">IF(BX26&lt;0,"",INDEX(uxbGlobals!$B$133:$B$139,BX26))</f>
        <v xml:space="preserve"> </v>
      </c>
      <c r="BZ26" s="80"/>
      <c r="CA26" s="302" t="str" cm="1">
        <f t="array" aca="1" ref="CA26" ca="1">IF(BW26=0,"",IF(BV26="G","--",INDEX(auto_DataFlat_Rank,BU26,$E$11)))</f>
        <v>6</v>
      </c>
      <c r="CB26" s="122" t="str" cm="1">
        <f t="array" aca="1" ref="CB26" ca="1">IF(BW26=0,"",IF(BV26="G","AVERAGE",INDEX(auto_ddCountry,BV26)))</f>
        <v>Paris</v>
      </c>
      <c r="CC26" s="290" cm="1">
        <f t="array" aca="1" ref="CC26" ca="1">IF(BW26=0,"",INDEX(auto_DataFlat_Score,BU26,$E$11))</f>
        <v>84.3</v>
      </c>
      <c r="CD26" s="4"/>
      <c r="CE26" s="49">
        <f t="shared" si="41"/>
        <v>52</v>
      </c>
      <c r="CF26" s="49" cm="1">
        <f t="array" ref="CF26">IF($F26=0,0,INDEX(sys_DataFlat_LU_Grid,CE26,$E26))</f>
        <v>3065</v>
      </c>
      <c r="CG26" s="49" cm="1">
        <f t="array" ref="CG26">IF($F26=0,-1000,CHOOSE($E$14,INDEX(auto_DataFlat_Score,CF26,$E$11),-INDEX(auto_DataFlat_Score,CF26,$E$11),-$D26))</f>
        <v>75.900000000000006</v>
      </c>
      <c r="CH26" s="91">
        <f ca="1">RANK(CG26,OFFSET(CG$21,0,0,$E$16+1,1))+COUNTIF(CG$21:CG26,CG26)-1</f>
        <v>17</v>
      </c>
      <c r="CI26" s="91">
        <f t="shared" ca="1" si="53"/>
        <v>15</v>
      </c>
      <c r="CJ26" s="91" cm="1">
        <f t="array" aca="1" ref="CJ26" ca="1">INDEX(OFFSET(CF$21,0,0,$E$16+1,1),CI26)</f>
        <v>3074</v>
      </c>
      <c r="CK26" s="49" cm="1">
        <f t="array" aca="1" ref="CK26" ca="1">INDEX(OFFSET($E$21,0,0,$E$16+1,1),CI26)</f>
        <v>14</v>
      </c>
      <c r="CL26" s="80" cm="1">
        <f t="array" aca="1" ref="CL26" ca="1">IF(CK26="G",5,INDEX(OFFSET($F$21,0,0,$E$16+1,1),CI26))</f>
        <v>1</v>
      </c>
      <c r="CM26" s="80" cm="1">
        <f t="array" aca="1" ref="CM26" ca="1">IF(CJ26=0,0,IF(CK26="G",-1,INDEX(auto_DataFlat_Classification,CJ26,$E$11)))</f>
        <v>5</v>
      </c>
      <c r="CN26" s="301" t="str" cm="1">
        <f t="array" aca="1" ref="CN26" ca="1">IF(CM26&lt;0,"",INDEX(uxbGlobals!$B$133:$B$139,CM26))</f>
        <v xml:space="preserve"> </v>
      </c>
      <c r="CO26" s="80"/>
      <c r="CP26" s="302" t="str" cm="1">
        <f t="array" aca="1" ref="CP26" ca="1">IF(CL26=0,"",IF(CK26="G","--",INDEX(auto_DataFlat_Rank,CJ26,$E$11)))</f>
        <v>=6</v>
      </c>
      <c r="CQ26" s="122" t="str" cm="1">
        <f t="array" aca="1" ref="CQ26" ca="1">IF(CL26=0,"",IF(CK26="G","AVERAGE",INDEX(auto_ddCountry,CK26)))</f>
        <v>Dubai</v>
      </c>
      <c r="CR26" s="290" cm="1">
        <f t="array" aca="1" ref="CR26" ca="1">IF(CL26=0,"",INDEX(auto_DataFlat_Score,CJ26,$E$11))</f>
        <v>81.5</v>
      </c>
      <c r="CS26" s="4"/>
      <c r="CT26" s="49">
        <f t="shared" si="43"/>
        <v>-1</v>
      </c>
      <c r="CU26" s="49" t="e" cm="1">
        <f t="array" ref="CU26">IF($F26=0,0,INDEX(sys_DataFlat_LU_Grid,CT26,$E26))</f>
        <v>#VALUE!</v>
      </c>
      <c r="CV26" s="49" t="e" cm="1">
        <f t="array" ref="CV26">IF($F26=0,-1000,CHOOSE($E$14,INDEX(auto_DataFlat_Score,CU26,$E$11),-INDEX(auto_DataFlat_Score,CU26,$E$11),-$D26))</f>
        <v>#VALUE!</v>
      </c>
      <c r="CW26" s="91" t="e">
        <f ca="1">RANK(CV26,OFFSET(CV$21,0,0,$E$16+1,1))+COUNTIF(CV$21:CV26,CV26)-1</f>
        <v>#VALUE!</v>
      </c>
      <c r="CX26" s="91" t="e">
        <f t="shared" ca="1" si="47"/>
        <v>#N/A</v>
      </c>
      <c r="CY26" s="91" t="e" cm="1">
        <f t="array" aca="1" ref="CY26" ca="1">INDEX(OFFSET(CU$21,0,0,$E$16+1,1),CX26)</f>
        <v>#N/A</v>
      </c>
      <c r="CZ26" s="49" t="e" cm="1">
        <f t="array" aca="1" ref="CZ26" ca="1">INDEX(OFFSET($E$21,0,0,$E$16+1,1),CX26)</f>
        <v>#N/A</v>
      </c>
      <c r="DA26" s="80" t="e" cm="1">
        <f t="array" aca="1" ref="DA26" ca="1">IF(CZ26="G",5,INDEX(OFFSET($F$21,0,0,$E$16+1,1),CX26))</f>
        <v>#N/A</v>
      </c>
      <c r="DB26" s="80" t="e" cm="1">
        <f t="array" aca="1" ref="DB26" ca="1">IF(CY26=0,0,IF(CZ26="G",-1,INDEX(auto_DataFlat_Classification,CY26,$E$11)))</f>
        <v>#N/A</v>
      </c>
      <c r="DC26" s="301" t="e" cm="1">
        <f t="array" aca="1" ref="DC26" ca="1">IF(DB26&lt;0,"",INDEX(uxbGlobals!$B$133:$B$139,DB26))</f>
        <v>#N/A</v>
      </c>
      <c r="DD26" s="80"/>
      <c r="DE26" s="302" t="e" cm="1">
        <f t="array" aca="1" ref="DE26" ca="1">IF(DA26=0,"",IF(CZ26="G","--",INDEX(auto_DataFlat_Rank,CY26,$E$11)))</f>
        <v>#N/A</v>
      </c>
      <c r="DF26" s="122" t="e" cm="1">
        <f t="array" aca="1" ref="DF26" ca="1">IF(DA26=0,"",IF(CZ26="G","AVERAGE",INDEX(auto_ddCountry,CZ26)))</f>
        <v>#N/A</v>
      </c>
      <c r="DG26" s="290" t="e" cm="1">
        <f t="array" aca="1" ref="DG26" ca="1">IF(DA26=0,"",INDEX(auto_DataFlat_Score,CY26,$E$11))</f>
        <v>#N/A</v>
      </c>
      <c r="DH26" s="4"/>
      <c r="DI26" s="49">
        <f t="shared" si="44"/>
        <v>-1</v>
      </c>
      <c r="DJ26" s="49" t="e" cm="1">
        <f t="array" ref="DJ26">IF($F26=0,0,INDEX(sys_DataFlat_LU_Grid,DI26,$E26))</f>
        <v>#VALUE!</v>
      </c>
      <c r="DK26" s="49" t="e" cm="1">
        <f t="array" ref="DK26">IF($F26=0,-1000,CHOOSE($E$14,INDEX(auto_DataFlat_Score,DJ26,$E$11),-INDEX(auto_DataFlat_Score,DJ26,$E$11),-$D26))</f>
        <v>#VALUE!</v>
      </c>
      <c r="DL26" s="91" t="e">
        <f ca="1">RANK(DK26,OFFSET(DK$21,0,0,$E$16+1,1))+COUNTIF(DK$21:DK26,DK26)-1</f>
        <v>#VALUE!</v>
      </c>
      <c r="DM26" s="91" t="e">
        <f t="shared" ca="1" si="28"/>
        <v>#N/A</v>
      </c>
      <c r="DN26" s="91" t="e" cm="1">
        <f t="array" aca="1" ref="DN26" ca="1">INDEX(OFFSET(DJ$21,0,0,$E$16+1,1),DM26)</f>
        <v>#N/A</v>
      </c>
      <c r="DO26" s="49" t="e" cm="1">
        <f t="array" aca="1" ref="DO26" ca="1">INDEX(OFFSET($E$21,0,0,$E$16+1,1),DM26)</f>
        <v>#N/A</v>
      </c>
      <c r="DP26" s="80" t="e" cm="1">
        <f t="array" aca="1" ref="DP26" ca="1">IF(DO26="G",5,INDEX(OFFSET($F$21,0,0,$E$16+1,1),DM26))</f>
        <v>#N/A</v>
      </c>
      <c r="DQ26" s="80" t="e" cm="1">
        <f t="array" aca="1" ref="DQ26" ca="1">IF(DN26=0,0,IF(DO26="G",-1,INDEX(auto_DataFlat_Classification,DN26,$E$11)))</f>
        <v>#N/A</v>
      </c>
      <c r="DR26" s="301" t="e" cm="1">
        <f t="array" aca="1" ref="DR26" ca="1">IF(DQ26&lt;0,"",INDEX(uxbGlobals!$B$133:$B$139,DQ26))</f>
        <v>#N/A</v>
      </c>
      <c r="DS26" s="80"/>
      <c r="DT26" s="302" t="e" cm="1">
        <f t="array" aca="1" ref="DT26" ca="1">IF(DP26=0,"",IF(DO26="G","--",INDEX(auto_DataFlat_Rank,DN26,$E$11)))</f>
        <v>#N/A</v>
      </c>
      <c r="DU26" s="122" t="e" cm="1">
        <f t="array" aca="1" ref="DU26" ca="1">IF(DP26=0,"",IF(DO26="G","AVERAGE",INDEX(auto_ddCountry,DO26)))</f>
        <v>#N/A</v>
      </c>
      <c r="DV26" s="290" t="e" cm="1">
        <f t="array" aca="1" ref="DV26" ca="1">IF(DP26=0,"",INDEX(auto_DataFlat_Score,DN26,$E$11))</f>
        <v>#N/A</v>
      </c>
      <c r="DW26" s="4"/>
      <c r="DX26" s="49">
        <f t="shared" si="45"/>
        <v>-1</v>
      </c>
      <c r="DY26" s="49" t="e" cm="1">
        <f t="array" ref="DY26">IF($F26=0,0,INDEX(sys_DataFlat_LU_Grid,DX26,$E26))</f>
        <v>#VALUE!</v>
      </c>
      <c r="DZ26" s="49" t="e" cm="1">
        <f t="array" ref="DZ26">IF($F26=0,-1000,CHOOSE($E$14,INDEX(auto_DataFlat_Score,DY26,$E$11),-INDEX(auto_DataFlat_Score,DY26,$E$11),-$D26))</f>
        <v>#VALUE!</v>
      </c>
      <c r="EA26" s="91" t="e">
        <f ca="1">RANK(DZ26,OFFSET(DZ$21,0,0,$E$16+1,1))+COUNTIF(DZ$21:DZ26,DZ26)-1</f>
        <v>#VALUE!</v>
      </c>
      <c r="EB26" s="91" t="e">
        <f t="shared" ca="1" si="29"/>
        <v>#N/A</v>
      </c>
      <c r="EC26" s="91" t="e" cm="1">
        <f t="array" aca="1" ref="EC26" ca="1">INDEX(OFFSET(DY$21,0,0,$E$16+1,1),EB26)</f>
        <v>#N/A</v>
      </c>
      <c r="ED26" s="49" t="e" cm="1">
        <f t="array" aca="1" ref="ED26" ca="1">INDEX(OFFSET($E$21,0,0,$E$16+1,1),EB26)</f>
        <v>#N/A</v>
      </c>
      <c r="EE26" s="80" t="e" cm="1">
        <f t="array" aca="1" ref="EE26" ca="1">IF(ED26="G",5,INDEX(OFFSET($F$21,0,0,$E$16+1,1),EB26))</f>
        <v>#N/A</v>
      </c>
      <c r="EF26" s="80" t="e" cm="1">
        <f t="array" aca="1" ref="EF26" ca="1">IF(EC26=0,0,IF(ED26="G",-1,INDEX(auto_DataFlat_Classification,EC26,$E$11)))</f>
        <v>#N/A</v>
      </c>
      <c r="EG26" s="301" t="e" cm="1">
        <f t="array" aca="1" ref="EG26" ca="1">IF(EF26&lt;0,"",INDEX(uxbGlobals!$B$133:$B$139,EF26))</f>
        <v>#N/A</v>
      </c>
      <c r="EH26" s="80"/>
      <c r="EI26" s="302" t="e" cm="1">
        <f t="array" aca="1" ref="EI26" ca="1">IF(EE26=0,"",IF(ED26="G","--",INDEX(auto_DataFlat_Rank,EC26,$E$11)))</f>
        <v>#N/A</v>
      </c>
      <c r="EJ26" s="122" t="e" cm="1">
        <f t="array" aca="1" ref="EJ26" ca="1">IF(EE26=0,"",IF(ED26="G","AVERAGE",INDEX(auto_ddCountry,ED26)))</f>
        <v>#N/A</v>
      </c>
      <c r="EK26" s="290" t="e" cm="1">
        <f t="array" aca="1" ref="EK26" ca="1">IF(EE26=0,"",INDEX(auto_DataFlat_Score,EC26,$E$11))</f>
        <v>#N/A</v>
      </c>
      <c r="EL26" s="4"/>
      <c r="EM26" s="49">
        <f t="shared" si="46"/>
        <v>-1</v>
      </c>
      <c r="EN26" s="49" t="e" cm="1">
        <f t="array" ref="EN26">IF($F26=0,0,INDEX(sys_DataFlat_LU_Grid,EM26,$E26))</f>
        <v>#VALUE!</v>
      </c>
      <c r="EO26" s="49" t="e" cm="1">
        <f t="array" ref="EO26">IF($F26=0,-1000,CHOOSE($E$14,INDEX(auto_DataFlat_Score,EN26,$E$11),-INDEX(auto_DataFlat_Score,EN26,$E$11),-$D26))</f>
        <v>#VALUE!</v>
      </c>
      <c r="EP26" s="91" t="e">
        <f ca="1">RANK(EO26,OFFSET(EO$21,0,0,$E$16+1,1))+COUNTIF(EO$21:EO26,EO26)-1</f>
        <v>#VALUE!</v>
      </c>
      <c r="EQ26" s="91" t="e">
        <f t="shared" ca="1" si="30"/>
        <v>#N/A</v>
      </c>
      <c r="ER26" s="91" t="e" cm="1">
        <f t="array" aca="1" ref="ER26" ca="1">INDEX(OFFSET(EN$21,0,0,$E$16+1,1),EQ26)</f>
        <v>#N/A</v>
      </c>
      <c r="ES26" s="49" t="e" cm="1">
        <f t="array" aca="1" ref="ES26" ca="1">INDEX(OFFSET($E$21,0,0,$E$16+1,1),EQ26)</f>
        <v>#N/A</v>
      </c>
      <c r="ET26" s="80" t="e" cm="1">
        <f t="array" aca="1" ref="ET26" ca="1">IF(ES26="G",5,INDEX(OFFSET($F$21,0,0,$E$16+1,1),EQ26))</f>
        <v>#N/A</v>
      </c>
      <c r="EU26" s="80" t="e" cm="1">
        <f t="array" aca="1" ref="EU26" ca="1">IF(ER26=0,0,IF(ES26="G",-1,INDEX(auto_DataFlat_Classification,ER26,$E$11)))</f>
        <v>#N/A</v>
      </c>
      <c r="EV26" s="301" t="e" cm="1">
        <f t="array" aca="1" ref="EV26" ca="1">IF(EU26&lt;0,"",INDEX(uxbGlobals!$B$133:$B$139,EU26))</f>
        <v>#N/A</v>
      </c>
      <c r="EW26" s="80"/>
      <c r="EX26" s="302" t="e" cm="1">
        <f t="array" aca="1" ref="EX26" ca="1">IF(ET26=0,"",IF(ES26="G","--",INDEX(auto_DataFlat_Rank,ER26,$E$11)))</f>
        <v>#N/A</v>
      </c>
      <c r="EY26" s="122" t="e" cm="1">
        <f t="array" aca="1" ref="EY26" ca="1">IF(ET26=0,"",IF(ES26="G","AVERAGE",INDEX(auto_ddCountry,ES26)))</f>
        <v>#N/A</v>
      </c>
      <c r="EZ26" s="290" t="e" cm="1">
        <f t="array" aca="1" ref="EZ26" ca="1">IF(ET26=0,"",INDEX(auto_DataFlat_Score,ER26,$E$11))</f>
        <v>#N/A</v>
      </c>
    </row>
    <row r="27" spans="1:156" ht="17.149999999999999" customHeight="1" x14ac:dyDescent="0.4">
      <c r="A27" s="4"/>
      <c r="B27" s="4"/>
      <c r="C27" s="4"/>
      <c r="D27" s="26">
        <v>7</v>
      </c>
      <c r="E27" s="49">
        <f>tblCountries!M8</f>
        <v>6</v>
      </c>
      <c r="F27" s="114" cm="1">
        <f t="array" ref="F27">IF(E27=0,0,INDEX(auto_Country_Status,E27))</f>
        <v>1</v>
      </c>
      <c r="G27" s="4"/>
      <c r="H27" s="49">
        <f t="shared" si="31"/>
        <v>1</v>
      </c>
      <c r="I27" s="49" cm="1">
        <f t="array" ref="I27">IF($F27=0,0,INDEX(sys_DataFlat_LU_Grid,H27,$E27))</f>
        <v>6</v>
      </c>
      <c r="J27" s="49" cm="1">
        <f t="array" ref="J27">IF($F27=0,-1000,CHOOSE($E$14,INDEX(auto_DataFlat_Score,I27,$E$11),-INDEX(auto_DataFlat_Score,I27,$E$11),-$D27))</f>
        <v>63.4</v>
      </c>
      <c r="K27" s="91">
        <f ca="1">RANK(J27,OFFSET(J$21,0,0,$E$16+1,1))+COUNTIF(J$21:J27,J27)-1</f>
        <v>28</v>
      </c>
      <c r="L27" s="91">
        <f t="shared" ca="1" si="48"/>
        <v>45</v>
      </c>
      <c r="M27" s="91" cm="1">
        <f t="array" aca="1" ref="M27" ca="1">INDEX(OFFSET(I$21,0,0,$E$16+1,1),L27)</f>
        <v>44</v>
      </c>
      <c r="N27" s="49" cm="1">
        <f t="array" aca="1" ref="N27" ca="1">INDEX(OFFSET($E$21,0,0,$E$16+1,1),L27)</f>
        <v>44</v>
      </c>
      <c r="O27" s="80" cm="1">
        <f t="array" aca="1" ref="O27" ca="1">IF(N27="G",5,INDEX(OFFSET($F$21,0,0,$E$16+1,1),L27))</f>
        <v>1</v>
      </c>
      <c r="P27" s="80" cm="1">
        <f t="array" aca="1" ref="P27" ca="1">IF(M27=0,0,IF(N27="G",-1,INDEX(auto_DataFlat_Classification,M27,$E$11)))</f>
        <v>4</v>
      </c>
      <c r="Q27" s="301" t="str" cm="1">
        <f t="array" aca="1" ref="Q27" ca="1">IF(P27&lt;0,"",INDEX(uxbGlobals!$B$133:$B$139,P27))</f>
        <v xml:space="preserve"> </v>
      </c>
      <c r="R27" s="80"/>
      <c r="S27" s="302" t="str" cm="1">
        <f t="array" aca="1" ref="S27" ca="1">IF(O27=0,"",IF(N27="G","--",INDEX(auto_DataFlat_Rank,M27,$E$11)))</f>
        <v>=7</v>
      </c>
      <c r="T27" s="122" t="str" cm="1">
        <f t="array" aca="1" ref="T27" ca="1">IF(O27=0,"",IF(N27="G"," AVERAGE",INDEX(auto_ddCountry,N27)))</f>
        <v>Singapore</v>
      </c>
      <c r="U27" s="290" cm="1">
        <f t="array" aca="1" ref="U27" ca="1">IF(O27=0,"",INDEX(auto_DataFlat_Score,M27,$E$11))</f>
        <v>76.099999999999994</v>
      </c>
      <c r="V27" s="4"/>
      <c r="W27" s="49">
        <f t="shared" si="33"/>
        <v>2</v>
      </c>
      <c r="X27" s="49" cm="1">
        <f t="array" ref="X27">IF($F27=0,0,INDEX(sys_DataFlat_LU_Grid,W27,$E27))</f>
        <v>66</v>
      </c>
      <c r="Y27" s="49" cm="1">
        <f t="array" ref="Y27">IF($F27=0,-1000,CHOOSE($E$14,INDEX(auto_DataFlat_Score,X27,$E$11),-INDEX(auto_DataFlat_Score,X27,$E$11),-$D27))</f>
        <v>54.3</v>
      </c>
      <c r="Z27" s="91">
        <f ca="1">RANK(Y27,OFFSET(Y$21,0,0,$E$16+1,1))+COUNTIF(Y$21:Y27,Y27)-1</f>
        <v>40</v>
      </c>
      <c r="AA27" s="91">
        <f t="shared" ca="1" si="49"/>
        <v>4</v>
      </c>
      <c r="AB27" s="91" cm="1">
        <f t="array" aca="1" ref="AB27" ca="1">INDEX(OFFSET(X$21,0,0,$E$16+1,1),AA27)</f>
        <v>63</v>
      </c>
      <c r="AC27" s="49" cm="1">
        <f t="array" aca="1" ref="AC27" ca="1">INDEX(OFFSET($E$21,0,0,$E$16+1,1),AA27)</f>
        <v>3</v>
      </c>
      <c r="AD27" s="80" cm="1">
        <f t="array" aca="1" ref="AD27" ca="1">IF(AC27="G",5,INDEX(OFFSET($F$21,0,0,$E$16+1,1),AA27))</f>
        <v>1</v>
      </c>
      <c r="AE27" s="80" cm="1">
        <f t="array" aca="1" ref="AE27" ca="1">IF(AB27=0,0,IF(AC27="G",-1,INDEX(auto_DataFlat_Classification,AB27,$E$11)))</f>
        <v>5</v>
      </c>
      <c r="AF27" s="301" t="str" cm="1">
        <f t="array" aca="1" ref="AF27" ca="1">IF(AE27&lt;0,"",INDEX(uxbGlobals!$B$133:$B$139,AE27))</f>
        <v xml:space="preserve"> </v>
      </c>
      <c r="AG27" s="80"/>
      <c r="AH27" s="302" t="str" cm="1">
        <f t="array" aca="1" ref="AH27" ca="1">IF(AD27=0,"",IF(AC27="G","--",INDEX(auto_DataFlat_Rank,AB27,$E$11)))</f>
        <v>=7</v>
      </c>
      <c r="AI27" s="122" t="str" cm="1">
        <f t="array" aca="1" ref="AI27" ca="1">IF(AD27=0,"",IF(AC27="G","AVERAGE",INDEX(auto_ddCountry,AC27)))</f>
        <v>Atlanta</v>
      </c>
      <c r="AJ27" s="290" cm="1">
        <f t="array" aca="1" ref="AJ27" ca="1">IF(AD27=0,"",INDEX(auto_DataFlat_Score,AB27,$E$11))</f>
        <v>86.8</v>
      </c>
      <c r="AK27" s="4"/>
      <c r="AL27" s="49">
        <f t="shared" si="35"/>
        <v>14</v>
      </c>
      <c r="AM27" s="49" cm="1">
        <f t="array" ref="AM27">IF($F27=0,0,INDEX(sys_DataFlat_LU_Grid,AL27,$E27))</f>
        <v>786</v>
      </c>
      <c r="AN27" s="49" cm="1">
        <f t="array" ref="AN27">IF($F27=0,-1000,CHOOSE($E$14,INDEX(auto_DataFlat_Score,AM27,$E$11),-INDEX(auto_DataFlat_Score,AM27,$E$11),-$D27))</f>
        <v>46.5</v>
      </c>
      <c r="AO27" s="91">
        <f ca="1">RANK(AN27,OFFSET(AN$21,0,0,$E$16+1,1))+COUNTIF(AN$21:AN27,AN27)-1</f>
        <v>29</v>
      </c>
      <c r="AP27" s="91">
        <f t="shared" ca="1" si="50"/>
        <v>40</v>
      </c>
      <c r="AQ27" s="91" cm="1">
        <f t="array" aca="1" ref="AQ27" ca="1">INDEX(OFFSET(AM$21,0,0,$E$16+1,1),AP27)</f>
        <v>819</v>
      </c>
      <c r="AR27" s="49" cm="1">
        <f t="array" aca="1" ref="AR27" ca="1">INDEX(OFFSET($E$21,0,0,$E$16+1,1),AP27)</f>
        <v>39</v>
      </c>
      <c r="AS27" s="80" cm="1">
        <f t="array" aca="1" ref="AS27" ca="1">IF(AR27="G",5,INDEX(OFFSET($F$21,0,0,$E$16+1,1),AP27))</f>
        <v>1</v>
      </c>
      <c r="AT27" s="80" cm="1">
        <f t="array" aca="1" ref="AT27" ca="1">IF(AQ27=0,0,IF(AR27="G",-1,INDEX(auto_DataFlat_Classification,AQ27,$E$11)))</f>
        <v>4</v>
      </c>
      <c r="AU27" s="301" t="str" cm="1">
        <f t="array" aca="1" ref="AU27" ca="1">IF(AT27&lt;0,"",INDEX(uxbGlobals!$B$133:$B$139,AT27))</f>
        <v xml:space="preserve"> </v>
      </c>
      <c r="AV27" s="80"/>
      <c r="AW27" s="302" t="str" cm="1">
        <f t="array" aca="1" ref="AW27" ca="1">IF(AS27=0,"",IF(AR27="G","--",INDEX(auto_DataFlat_Rank,AQ27,$E$11)))</f>
        <v>7</v>
      </c>
      <c r="AX27" s="122" t="str" cm="1">
        <f t="array" aca="1" ref="AX27" ca="1">IF(AS27=0,"",IF(AR27="G","AVERAGE",INDEX(auto_ddCountry,AR27)))</f>
        <v>Rome</v>
      </c>
      <c r="AY27" s="290" cm="1">
        <f t="array" aca="1" ref="AY27" ca="1">IF(AS27=0,"",INDEX(auto_DataFlat_Score,AQ27,$E$11))</f>
        <v>71.400000000000006</v>
      </c>
      <c r="AZ27" s="4"/>
      <c r="BA27" s="49">
        <f t="shared" si="37"/>
        <v>22</v>
      </c>
      <c r="BB27" s="49" cm="1">
        <f t="array" ref="BB27">IF($F27=0,0,INDEX(sys_DataFlat_LU_Grid,BA27,$E27))</f>
        <v>1266</v>
      </c>
      <c r="BC27" s="49" cm="1">
        <f t="array" ref="BC27">IF($F27=0,-1000,CHOOSE($E$14,INDEX(auto_DataFlat_Score,BB27,$E$11),-INDEX(auto_DataFlat_Score,BB27,$E$11),-$D27))</f>
        <v>80.599999999999994</v>
      </c>
      <c r="BD27" s="91">
        <f ca="1">RANK(BC27,OFFSET(BC$21,0,0,$E$16+1,1))+COUNTIF(BC$21:BC27,BC27)-1</f>
        <v>6</v>
      </c>
      <c r="BE27" s="91">
        <f t="shared" ca="1" si="51"/>
        <v>43</v>
      </c>
      <c r="BF27" s="91" cm="1">
        <f t="array" aca="1" ref="BF27" ca="1">INDEX(OFFSET(BB$21,0,0,$E$16+1,1),BE27)</f>
        <v>1302</v>
      </c>
      <c r="BG27" s="49" cm="1">
        <f t="array" aca="1" ref="BG27" ca="1">INDEX(OFFSET($E$21,0,0,$E$16+1,1),BE27)</f>
        <v>42</v>
      </c>
      <c r="BH27" s="80" cm="1">
        <f t="array" aca="1" ref="BH27" ca="1">IF(BG27="G",5,INDEX(OFFSET($F$21,0,0,$E$16+1,1),BE27))</f>
        <v>1</v>
      </c>
      <c r="BI27" s="80" cm="1">
        <f t="array" aca="1" ref="BI27" ca="1">IF(BF27=0,0,IF(BG27="G",-1,INDEX(auto_DataFlat_Classification,BF27,$E$11)))</f>
        <v>5</v>
      </c>
      <c r="BJ27" s="301" t="str" cm="1">
        <f t="array" aca="1" ref="BJ27" ca="1">IF(BI27&lt;0,"",INDEX(uxbGlobals!$B$133:$B$139,BI27))</f>
        <v xml:space="preserve"> </v>
      </c>
      <c r="BK27" s="80"/>
      <c r="BL27" s="302" t="str" cm="1">
        <f t="array" aca="1" ref="BL27" ca="1">IF(BH27=0,"",IF(BG27="G","--",INDEX(auto_DataFlat_Rank,BF27,$E$11)))</f>
        <v>7</v>
      </c>
      <c r="BM27" s="122" t="str" cm="1">
        <f t="array" aca="1" ref="BM27" ca="1">IF(BH27=0,"",IF(BG27="G","AVERAGE",INDEX(auto_ddCountry,BG27)))</f>
        <v>Seoul</v>
      </c>
      <c r="BN27" s="290" cm="1">
        <f t="array" aca="1" ref="BN27" ca="1">IF(BH27=0,"",INDEX(auto_DataFlat_Score,BF27,$E$11))</f>
        <v>80.5</v>
      </c>
      <c r="BO27" s="4"/>
      <c r="BP27" s="49">
        <f t="shared" si="39"/>
        <v>47</v>
      </c>
      <c r="BQ27" s="49" cm="1">
        <f t="array" ref="BQ27">IF($F27=0,0,INDEX(sys_DataFlat_LU_Grid,BP27,$E27))</f>
        <v>2766</v>
      </c>
      <c r="BR27" s="49" cm="1">
        <f t="array" ref="BR27">IF($F27=0,-1000,CHOOSE($E$14,INDEX(auto_DataFlat_Score,BQ27,$E$11),-INDEX(auto_DataFlat_Score,BQ27,$E$11),-$D27))</f>
        <v>37.6</v>
      </c>
      <c r="BS27" s="91">
        <f ca="1">RANK(BR27,OFFSET(BR$21,0,0,$E$16+1,1))+COUNTIF(BR$21:BR27,BR27)-1</f>
        <v>48</v>
      </c>
      <c r="BT27" s="91">
        <f t="shared" ca="1" si="52"/>
        <v>27</v>
      </c>
      <c r="BU27" s="91" cm="1">
        <f t="array" aca="1" ref="BU27" ca="1">INDEX(OFFSET(BQ$21,0,0,$E$16+1,1),BT27)</f>
        <v>2786</v>
      </c>
      <c r="BV27" s="49" cm="1">
        <f t="array" aca="1" ref="BV27" ca="1">INDEX(OFFSET($E$21,0,0,$E$16+1,1),BT27)</f>
        <v>26</v>
      </c>
      <c r="BW27" s="80" cm="1">
        <f t="array" aca="1" ref="BW27" ca="1">IF(BV27="G",5,INDEX(OFFSET($F$21,0,0,$E$16+1,1),BT27))</f>
        <v>1</v>
      </c>
      <c r="BX27" s="80" cm="1">
        <f t="array" aca="1" ref="BX27" ca="1">IF(BU27=0,0,IF(BV27="G",-1,INDEX(auto_DataFlat_Classification,BU27,$E$11)))</f>
        <v>5</v>
      </c>
      <c r="BY27" s="301" t="str" cm="1">
        <f t="array" aca="1" ref="BY27" ca="1">IF(BX27&lt;0,"",INDEX(uxbGlobals!$B$133:$B$139,BX27))</f>
        <v xml:space="preserve"> </v>
      </c>
      <c r="BZ27" s="80"/>
      <c r="CA27" s="302" t="str" cm="1">
        <f t="array" aca="1" ref="CA27" ca="1">IF(BW27=0,"",IF(BV27="G","--",INDEX(auto_DataFlat_Rank,BU27,$E$11)))</f>
        <v>7</v>
      </c>
      <c r="CB27" s="122" t="str" cm="1">
        <f t="array" aca="1" ref="CB27" ca="1">IF(BW27=0,"",IF(BV27="G","AVERAGE",INDEX(auto_ddCountry,BV27)))</f>
        <v>London</v>
      </c>
      <c r="CC27" s="290" cm="1">
        <f t="array" aca="1" ref="CC27" ca="1">IF(BW27=0,"",INDEX(auto_DataFlat_Score,BU27,$E$11))</f>
        <v>84</v>
      </c>
      <c r="CD27" s="4"/>
      <c r="CE27" s="49">
        <f t="shared" si="41"/>
        <v>52</v>
      </c>
      <c r="CF27" s="49" cm="1">
        <f t="array" ref="CF27">IF($F27=0,0,INDEX(sys_DataFlat_LU_Grid,CE27,$E27))</f>
        <v>3066</v>
      </c>
      <c r="CG27" s="49" cm="1">
        <f t="array" ref="CG27">IF($F27=0,-1000,CHOOSE($E$14,INDEX(auto_DataFlat_Score,CF27,$E$11),-INDEX(auto_DataFlat_Score,CF27,$E$11),-$D27))</f>
        <v>74.099999999999994</v>
      </c>
      <c r="CH27" s="91">
        <f ca="1">RANK(CG27,OFFSET(CG$21,0,0,$E$16+1,1))+COUNTIF(CG$21:CG27,CG27)-1</f>
        <v>21</v>
      </c>
      <c r="CI27" s="91">
        <f t="shared" ca="1" si="53"/>
        <v>28</v>
      </c>
      <c r="CJ27" s="91" cm="1">
        <f t="array" aca="1" ref="CJ27" ca="1">INDEX(OFFSET(CF$21,0,0,$E$16+1,1),CI27)</f>
        <v>3087</v>
      </c>
      <c r="CK27" s="49" cm="1">
        <f t="array" aca="1" ref="CK27" ca="1">INDEX(OFFSET($E$21,0,0,$E$16+1,1),CI27)</f>
        <v>27</v>
      </c>
      <c r="CL27" s="80" cm="1">
        <f t="array" aca="1" ref="CL27" ca="1">IF(CK27="G",5,INDEX(OFFSET($F$21,0,0,$E$16+1,1),CI27))</f>
        <v>1</v>
      </c>
      <c r="CM27" s="80" cm="1">
        <f t="array" aca="1" ref="CM27" ca="1">IF(CJ27=0,0,IF(CK27="G",-1,INDEX(auto_DataFlat_Classification,CJ27,$E$11)))</f>
        <v>5</v>
      </c>
      <c r="CN27" s="301" t="str" cm="1">
        <f t="array" aca="1" ref="CN27" ca="1">IF(CM27&lt;0,"",INDEX(uxbGlobals!$B$133:$B$139,CM27))</f>
        <v xml:space="preserve"> </v>
      </c>
      <c r="CO27" s="80"/>
      <c r="CP27" s="302" t="str" cm="1">
        <f t="array" aca="1" ref="CP27" ca="1">IF(CL27=0,"",IF(CK27="G","--",INDEX(auto_DataFlat_Rank,CJ27,$E$11)))</f>
        <v>=6</v>
      </c>
      <c r="CQ27" s="122" t="str" cm="1">
        <f t="array" aca="1" ref="CQ27" ca="1">IF(CL27=0,"",IF(CK27="G","AVERAGE",INDEX(auto_ddCountry,CK27)))</f>
        <v>Madrid</v>
      </c>
      <c r="CR27" s="290" cm="1">
        <f t="array" aca="1" ref="CR27" ca="1">IF(CL27=0,"",INDEX(auto_DataFlat_Score,CJ27,$E$11))</f>
        <v>81.5</v>
      </c>
      <c r="CS27" s="4"/>
      <c r="CT27" s="49">
        <f t="shared" si="43"/>
        <v>-1</v>
      </c>
      <c r="CU27" s="49" t="e" cm="1">
        <f t="array" ref="CU27">IF($F27=0,0,INDEX(sys_DataFlat_LU_Grid,CT27,$E27))</f>
        <v>#VALUE!</v>
      </c>
      <c r="CV27" s="49" t="e" cm="1">
        <f t="array" ref="CV27">IF($F27=0,-1000,CHOOSE($E$14,INDEX(auto_DataFlat_Score,CU27,$E$11),-INDEX(auto_DataFlat_Score,CU27,$E$11),-$D27))</f>
        <v>#VALUE!</v>
      </c>
      <c r="CW27" s="91" t="e">
        <f ca="1">RANK(CV27,OFFSET(CV$21,0,0,$E$16+1,1))+COUNTIF(CV$21:CV27,CV27)-1</f>
        <v>#VALUE!</v>
      </c>
      <c r="CX27" s="91" t="e">
        <f t="shared" ca="1" si="47"/>
        <v>#N/A</v>
      </c>
      <c r="CY27" s="91" t="e" cm="1">
        <f t="array" aca="1" ref="CY27" ca="1">INDEX(OFFSET(CU$21,0,0,$E$16+1,1),CX27)</f>
        <v>#N/A</v>
      </c>
      <c r="CZ27" s="49" t="e" cm="1">
        <f t="array" aca="1" ref="CZ27" ca="1">INDEX(OFFSET($E$21,0,0,$E$16+1,1),CX27)</f>
        <v>#N/A</v>
      </c>
      <c r="DA27" s="80" t="e" cm="1">
        <f t="array" aca="1" ref="DA27" ca="1">IF(CZ27="G",5,INDEX(OFFSET($F$21,0,0,$E$16+1,1),CX27))</f>
        <v>#N/A</v>
      </c>
      <c r="DB27" s="80" t="e" cm="1">
        <f t="array" aca="1" ref="DB27" ca="1">IF(CY27=0,0,IF(CZ27="G",-1,INDEX(auto_DataFlat_Classification,CY27,$E$11)))</f>
        <v>#N/A</v>
      </c>
      <c r="DC27" s="301" t="e" cm="1">
        <f t="array" aca="1" ref="DC27" ca="1">IF(DB27&lt;0,"",INDEX(uxbGlobals!$B$133:$B$139,DB27))</f>
        <v>#N/A</v>
      </c>
      <c r="DD27" s="80"/>
      <c r="DE27" s="302" t="e" cm="1">
        <f t="array" aca="1" ref="DE27" ca="1">IF(DA27=0,"",IF(CZ27="G","--",INDEX(auto_DataFlat_Rank,CY27,$E$11)))</f>
        <v>#N/A</v>
      </c>
      <c r="DF27" s="122" t="e" cm="1">
        <f t="array" aca="1" ref="DF27" ca="1">IF(DA27=0,"",IF(CZ27="G","AVERAGE",INDEX(auto_ddCountry,CZ27)))</f>
        <v>#N/A</v>
      </c>
      <c r="DG27" s="290" t="e" cm="1">
        <f t="array" aca="1" ref="DG27" ca="1">IF(DA27=0,"",INDEX(auto_DataFlat_Score,CY27,$E$11))</f>
        <v>#N/A</v>
      </c>
      <c r="DH27" s="4"/>
      <c r="DI27" s="49">
        <f t="shared" si="44"/>
        <v>-1</v>
      </c>
      <c r="DJ27" s="49" t="e" cm="1">
        <f t="array" ref="DJ27">IF($F27=0,0,INDEX(sys_DataFlat_LU_Grid,DI27,$E27))</f>
        <v>#VALUE!</v>
      </c>
      <c r="DK27" s="49" t="e" cm="1">
        <f t="array" ref="DK27">IF($F27=0,-1000,CHOOSE($E$14,INDEX(auto_DataFlat_Score,DJ27,$E$11),-INDEX(auto_DataFlat_Score,DJ27,$E$11),-$D27))</f>
        <v>#VALUE!</v>
      </c>
      <c r="DL27" s="91" t="e">
        <f ca="1">RANK(DK27,OFFSET(DK$21,0,0,$E$16+1,1))+COUNTIF(DK$21:DK27,DK27)-1</f>
        <v>#VALUE!</v>
      </c>
      <c r="DM27" s="91" t="e">
        <f t="shared" ca="1" si="28"/>
        <v>#N/A</v>
      </c>
      <c r="DN27" s="91" t="e" cm="1">
        <f t="array" aca="1" ref="DN27" ca="1">INDEX(OFFSET(DJ$21,0,0,$E$16+1,1),DM27)</f>
        <v>#N/A</v>
      </c>
      <c r="DO27" s="49" t="e" cm="1">
        <f t="array" aca="1" ref="DO27" ca="1">INDEX(OFFSET($E$21,0,0,$E$16+1,1),DM27)</f>
        <v>#N/A</v>
      </c>
      <c r="DP27" s="80" t="e" cm="1">
        <f t="array" aca="1" ref="DP27" ca="1">IF(DO27="G",5,INDEX(OFFSET($F$21,0,0,$E$16+1,1),DM27))</f>
        <v>#N/A</v>
      </c>
      <c r="DQ27" s="80" t="e" cm="1">
        <f t="array" aca="1" ref="DQ27" ca="1">IF(DN27=0,0,IF(DO27="G",-1,INDEX(auto_DataFlat_Classification,DN27,$E$11)))</f>
        <v>#N/A</v>
      </c>
      <c r="DR27" s="301" t="e" cm="1">
        <f t="array" aca="1" ref="DR27" ca="1">IF(DQ27&lt;0,"",INDEX(uxbGlobals!$B$133:$B$139,DQ27))</f>
        <v>#N/A</v>
      </c>
      <c r="DS27" s="80"/>
      <c r="DT27" s="302" t="e" cm="1">
        <f t="array" aca="1" ref="DT27" ca="1">IF(DP27=0,"",IF(DO27="G","--",INDEX(auto_DataFlat_Rank,DN27,$E$11)))</f>
        <v>#N/A</v>
      </c>
      <c r="DU27" s="122" t="e" cm="1">
        <f t="array" aca="1" ref="DU27" ca="1">IF(DP27=0,"",IF(DO27="G","AVERAGE",INDEX(auto_ddCountry,DO27)))</f>
        <v>#N/A</v>
      </c>
      <c r="DV27" s="290" t="e" cm="1">
        <f t="array" aca="1" ref="DV27" ca="1">IF(DP27=0,"",INDEX(auto_DataFlat_Score,DN27,$E$11))</f>
        <v>#N/A</v>
      </c>
      <c r="DW27" s="4"/>
      <c r="DX27" s="49">
        <f t="shared" si="45"/>
        <v>-1</v>
      </c>
      <c r="DY27" s="49" t="e" cm="1">
        <f t="array" ref="DY27">IF($F27=0,0,INDEX(sys_DataFlat_LU_Grid,DX27,$E27))</f>
        <v>#VALUE!</v>
      </c>
      <c r="DZ27" s="49" t="e" cm="1">
        <f t="array" ref="DZ27">IF($F27=0,-1000,CHOOSE($E$14,INDEX(auto_DataFlat_Score,DY27,$E$11),-INDEX(auto_DataFlat_Score,DY27,$E$11),-$D27))</f>
        <v>#VALUE!</v>
      </c>
      <c r="EA27" s="91" t="e">
        <f ca="1">RANK(DZ27,OFFSET(DZ$21,0,0,$E$16+1,1))+COUNTIF(DZ$21:DZ27,DZ27)-1</f>
        <v>#VALUE!</v>
      </c>
      <c r="EB27" s="91" t="e">
        <f t="shared" ca="1" si="29"/>
        <v>#N/A</v>
      </c>
      <c r="EC27" s="91" t="e" cm="1">
        <f t="array" aca="1" ref="EC27" ca="1">INDEX(OFFSET(DY$21,0,0,$E$16+1,1),EB27)</f>
        <v>#N/A</v>
      </c>
      <c r="ED27" s="49" t="e" cm="1">
        <f t="array" aca="1" ref="ED27" ca="1">INDEX(OFFSET($E$21,0,0,$E$16+1,1),EB27)</f>
        <v>#N/A</v>
      </c>
      <c r="EE27" s="80" t="e" cm="1">
        <f t="array" aca="1" ref="EE27" ca="1">IF(ED27="G",5,INDEX(OFFSET($F$21,0,0,$E$16+1,1),EB27))</f>
        <v>#N/A</v>
      </c>
      <c r="EF27" s="80" t="e" cm="1">
        <f t="array" aca="1" ref="EF27" ca="1">IF(EC27=0,0,IF(ED27="G",-1,INDEX(auto_DataFlat_Classification,EC27,$E$11)))</f>
        <v>#N/A</v>
      </c>
      <c r="EG27" s="301" t="e" cm="1">
        <f t="array" aca="1" ref="EG27" ca="1">IF(EF27&lt;0,"",INDEX(uxbGlobals!$B$133:$B$139,EF27))</f>
        <v>#N/A</v>
      </c>
      <c r="EH27" s="80"/>
      <c r="EI27" s="302" t="e" cm="1">
        <f t="array" aca="1" ref="EI27" ca="1">IF(EE27=0,"",IF(ED27="G","--",INDEX(auto_DataFlat_Rank,EC27,$E$11)))</f>
        <v>#N/A</v>
      </c>
      <c r="EJ27" s="122" t="e" cm="1">
        <f t="array" aca="1" ref="EJ27" ca="1">IF(EE27=0,"",IF(ED27="G","AVERAGE",INDEX(auto_ddCountry,ED27)))</f>
        <v>#N/A</v>
      </c>
      <c r="EK27" s="290" t="e" cm="1">
        <f t="array" aca="1" ref="EK27" ca="1">IF(EE27=0,"",INDEX(auto_DataFlat_Score,EC27,$E$11))</f>
        <v>#N/A</v>
      </c>
      <c r="EL27" s="4"/>
      <c r="EM27" s="49">
        <f t="shared" si="46"/>
        <v>-1</v>
      </c>
      <c r="EN27" s="49" t="e" cm="1">
        <f t="array" ref="EN27">IF($F27=0,0,INDEX(sys_DataFlat_LU_Grid,EM27,$E27))</f>
        <v>#VALUE!</v>
      </c>
      <c r="EO27" s="49" t="e" cm="1">
        <f t="array" ref="EO27">IF($F27=0,-1000,CHOOSE($E$14,INDEX(auto_DataFlat_Score,EN27,$E$11),-INDEX(auto_DataFlat_Score,EN27,$E$11),-$D27))</f>
        <v>#VALUE!</v>
      </c>
      <c r="EP27" s="91" t="e">
        <f ca="1">RANK(EO27,OFFSET(EO$21,0,0,$E$16+1,1))+COUNTIF(EO$21:EO27,EO27)-1</f>
        <v>#VALUE!</v>
      </c>
      <c r="EQ27" s="91" t="e">
        <f t="shared" ca="1" si="30"/>
        <v>#N/A</v>
      </c>
      <c r="ER27" s="91" t="e" cm="1">
        <f t="array" aca="1" ref="ER27" ca="1">INDEX(OFFSET(EN$21,0,0,$E$16+1,1),EQ27)</f>
        <v>#N/A</v>
      </c>
      <c r="ES27" s="49" t="e" cm="1">
        <f t="array" aca="1" ref="ES27" ca="1">INDEX(OFFSET($E$21,0,0,$E$16+1,1),EQ27)</f>
        <v>#N/A</v>
      </c>
      <c r="ET27" s="80" t="e" cm="1">
        <f t="array" aca="1" ref="ET27" ca="1">IF(ES27="G",5,INDEX(OFFSET($F$21,0,0,$E$16+1,1),EQ27))</f>
        <v>#N/A</v>
      </c>
      <c r="EU27" s="80" t="e" cm="1">
        <f t="array" aca="1" ref="EU27" ca="1">IF(ER27=0,0,IF(ES27="G",-1,INDEX(auto_DataFlat_Classification,ER27,$E$11)))</f>
        <v>#N/A</v>
      </c>
      <c r="EV27" s="301" t="e" cm="1">
        <f t="array" aca="1" ref="EV27" ca="1">IF(EU27&lt;0,"",INDEX(uxbGlobals!$B$133:$B$139,EU27))</f>
        <v>#N/A</v>
      </c>
      <c r="EW27" s="80"/>
      <c r="EX27" s="302" t="e" cm="1">
        <f t="array" aca="1" ref="EX27" ca="1">IF(ET27=0,"",IF(ES27="G","--",INDEX(auto_DataFlat_Rank,ER27,$E$11)))</f>
        <v>#N/A</v>
      </c>
      <c r="EY27" s="122" t="e" cm="1">
        <f t="array" aca="1" ref="EY27" ca="1">IF(ET27=0,"",IF(ES27="G","AVERAGE",INDEX(auto_ddCountry,ES27)))</f>
        <v>#N/A</v>
      </c>
      <c r="EZ27" s="290" t="e" cm="1">
        <f t="array" aca="1" ref="EZ27" ca="1">IF(ET27=0,"",INDEX(auto_DataFlat_Score,ER27,$E$11))</f>
        <v>#N/A</v>
      </c>
    </row>
    <row r="28" spans="1:156" ht="17.149999999999999" customHeight="1" x14ac:dyDescent="0.4">
      <c r="A28" s="4"/>
      <c r="B28" s="4"/>
      <c r="C28" s="4"/>
      <c r="D28" s="26">
        <v>8</v>
      </c>
      <c r="E28" s="49">
        <f>tblCountries!M9</f>
        <v>7</v>
      </c>
      <c r="F28" s="114" cm="1">
        <f t="array" ref="F28">IF(E28=0,0,INDEX(auto_Country_Status,E28))</f>
        <v>1</v>
      </c>
      <c r="G28" s="4"/>
      <c r="H28" s="49">
        <f t="shared" si="31"/>
        <v>1</v>
      </c>
      <c r="I28" s="49" cm="1">
        <f t="array" ref="I28">IF($F28=0,0,INDEX(sys_DataFlat_LU_Grid,H28,$E28))</f>
        <v>7</v>
      </c>
      <c r="J28" s="49" cm="1">
        <f t="array" ref="J28">IF($F28=0,-1000,CHOOSE($E$14,INDEX(auto_DataFlat_Score,I28,$E$11),-INDEX(auto_DataFlat_Score,I28,$E$11),-$D28))</f>
        <v>77.400000000000006</v>
      </c>
      <c r="K28" s="91">
        <f ca="1">RANK(J28,OFFSET(J$21,0,0,$E$16+1,1))+COUNTIF(J$21:J28,J28)-1</f>
        <v>5</v>
      </c>
      <c r="L28" s="91">
        <f t="shared" ca="1" si="48"/>
        <v>47</v>
      </c>
      <c r="M28" s="91" cm="1">
        <f t="array" aca="1" ref="M28" ca="1">INDEX(OFFSET(I$21,0,0,$E$16+1,1),L28)</f>
        <v>46</v>
      </c>
      <c r="N28" s="49" cm="1">
        <f t="array" aca="1" ref="N28" ca="1">INDEX(OFFSET($E$21,0,0,$E$16+1,1),L28)</f>
        <v>46</v>
      </c>
      <c r="O28" s="80" cm="1">
        <f t="array" aca="1" ref="O28" ca="1">IF(N28="G",5,INDEX(OFFSET($F$21,0,0,$E$16+1,1),L28))</f>
        <v>1</v>
      </c>
      <c r="P28" s="80" cm="1">
        <f t="array" aca="1" ref="P28" ca="1">IF(M28=0,0,IF(N28="G",-1,INDEX(auto_DataFlat_Classification,M28,$E$11)))</f>
        <v>4</v>
      </c>
      <c r="Q28" s="301" t="str" cm="1">
        <f t="array" aca="1" ref="Q28" ca="1">IF(P28&lt;0,"",INDEX(uxbGlobals!$B$133:$B$139,P28))</f>
        <v xml:space="preserve"> </v>
      </c>
      <c r="R28" s="80"/>
      <c r="S28" s="302" t="str" cm="1">
        <f t="array" aca="1" ref="S28" ca="1">IF(O28=0,"",IF(N28="G","--",INDEX(auto_DataFlat_Rank,M28,$E$11)))</f>
        <v>=7</v>
      </c>
      <c r="T28" s="122" t="str" cm="1">
        <f t="array" aca="1" ref="T28" ca="1">IF(O28=0,"",IF(N28="G"," AVERAGE",INDEX(auto_ddCountry,N28)))</f>
        <v>Tokyo</v>
      </c>
      <c r="U28" s="290" cm="1">
        <f t="array" aca="1" ref="U28" ca="1">IF(O28=0,"",INDEX(auto_DataFlat_Score,M28,$E$11))</f>
        <v>76.099999999999994</v>
      </c>
      <c r="V28" s="4"/>
      <c r="W28" s="49">
        <f t="shared" si="33"/>
        <v>2</v>
      </c>
      <c r="X28" s="49" cm="1">
        <f t="array" ref="X28">IF($F28=0,0,INDEX(sys_DataFlat_LU_Grid,W28,$E28))</f>
        <v>67</v>
      </c>
      <c r="Y28" s="49" cm="1">
        <f t="array" ref="Y28">IF($F28=0,-1000,CHOOSE($E$14,INDEX(auto_DataFlat_Score,X28,$E$11),-INDEX(auto_DataFlat_Score,X28,$E$11),-$D28))</f>
        <v>89.6</v>
      </c>
      <c r="Z28" s="91">
        <f ca="1">RANK(Y28,OFFSET(Y$21,0,0,$E$16+1,1))+COUNTIF(Y$21:Y28,Y28)-1</f>
        <v>2</v>
      </c>
      <c r="AA28" s="91">
        <f t="shared" ca="1" si="49"/>
        <v>35</v>
      </c>
      <c r="AB28" s="91" cm="1">
        <f t="array" aca="1" ref="AB28" ca="1">INDEX(OFFSET(X$21,0,0,$E$16+1,1),AA28)</f>
        <v>94</v>
      </c>
      <c r="AC28" s="49" cm="1">
        <f t="array" aca="1" ref="AC28" ca="1">INDEX(OFFSET($E$21,0,0,$E$16+1,1),AA28)</f>
        <v>34</v>
      </c>
      <c r="AD28" s="80" cm="1">
        <f t="array" aca="1" ref="AD28" ca="1">IF(AC28="G",5,INDEX(OFFSET($F$21,0,0,$E$16+1,1),AA28))</f>
        <v>1</v>
      </c>
      <c r="AE28" s="80" cm="1">
        <f t="array" aca="1" ref="AE28" ca="1">IF(AB28=0,0,IF(AC28="G",-1,INDEX(auto_DataFlat_Classification,AB28,$E$11)))</f>
        <v>5</v>
      </c>
      <c r="AF28" s="301" t="str" cm="1">
        <f t="array" aca="1" ref="AF28" ca="1">IF(AE28&lt;0,"",INDEX(uxbGlobals!$B$133:$B$139,AE28))</f>
        <v xml:space="preserve"> </v>
      </c>
      <c r="AG28" s="80"/>
      <c r="AH28" s="302" t="str" cm="1">
        <f t="array" aca="1" ref="AH28" ca="1">IF(AD28=0,"",IF(AC28="G","--",INDEX(auto_DataFlat_Rank,AB28,$E$11)))</f>
        <v>=7</v>
      </c>
      <c r="AI28" s="122" t="str" cm="1">
        <f t="array" aca="1" ref="AI28" ca="1">IF(AD28=0,"",IF(AC28="G","AVERAGE",INDEX(auto_ddCountry,AC28)))</f>
        <v>New York City</v>
      </c>
      <c r="AJ28" s="290" cm="1">
        <f t="array" aca="1" ref="AJ28" ca="1">IF(AD28=0,"",INDEX(auto_DataFlat_Score,AB28,$E$11))</f>
        <v>86.8</v>
      </c>
      <c r="AK28" s="4"/>
      <c r="AL28" s="49">
        <f t="shared" si="35"/>
        <v>14</v>
      </c>
      <c r="AM28" s="49" cm="1">
        <f t="array" ref="AM28">IF($F28=0,0,INDEX(sys_DataFlat_LU_Grid,AL28,$E28))</f>
        <v>787</v>
      </c>
      <c r="AN28" s="49" cm="1">
        <f t="array" ref="AN28">IF($F28=0,-1000,CHOOSE($E$14,INDEX(auto_DataFlat_Score,AM28,$E$11),-INDEX(auto_DataFlat_Score,AM28,$E$11),-$D28))</f>
        <v>63.1</v>
      </c>
      <c r="AO28" s="91">
        <f ca="1">RANK(AN28,OFFSET(AN$21,0,0,$E$16+1,1))+COUNTIF(AN$21:AN28,AN28)-1</f>
        <v>15</v>
      </c>
      <c r="AP28" s="91">
        <f t="shared" ca="1" si="50"/>
        <v>37</v>
      </c>
      <c r="AQ28" s="91" cm="1">
        <f t="array" aca="1" ref="AQ28" ca="1">INDEX(OFFSET(AM$21,0,0,$E$16+1,1),AP28)</f>
        <v>816</v>
      </c>
      <c r="AR28" s="49" cm="1">
        <f t="array" aca="1" ref="AR28" ca="1">INDEX(OFFSET($E$21,0,0,$E$16+1,1),AP28)</f>
        <v>36</v>
      </c>
      <c r="AS28" s="80" cm="1">
        <f t="array" aca="1" ref="AS28" ca="1">IF(AR28="G",5,INDEX(OFFSET($F$21,0,0,$E$16+1,1),AP28))</f>
        <v>1</v>
      </c>
      <c r="AT28" s="80" cm="1">
        <f t="array" aca="1" ref="AT28" ca="1">IF(AQ28=0,0,IF(AR28="G",-1,INDEX(auto_DataFlat_Classification,AQ28,$E$11)))</f>
        <v>4</v>
      </c>
      <c r="AU28" s="301" t="str" cm="1">
        <f t="array" aca="1" ref="AU28" ca="1">IF(AT28&lt;0,"",INDEX(uxbGlobals!$B$133:$B$139,AT28))</f>
        <v xml:space="preserve"> </v>
      </c>
      <c r="AV28" s="80"/>
      <c r="AW28" s="302" t="str" cm="1">
        <f t="array" aca="1" ref="AW28" ca="1">IF(AS28=0,"",IF(AR28="G","--",INDEX(auto_DataFlat_Rank,AQ28,$E$11)))</f>
        <v>8</v>
      </c>
      <c r="AX28" s="122" t="str" cm="1">
        <f t="array" aca="1" ref="AX28" ca="1">IF(AS28=0,"",IF(AR28="G","AVERAGE",INDEX(auto_ddCountry,AR28)))</f>
        <v>Paris</v>
      </c>
      <c r="AY28" s="290" cm="1">
        <f t="array" aca="1" ref="AY28" ca="1">IF(AS28=0,"",INDEX(auto_DataFlat_Score,AQ28,$E$11))</f>
        <v>69.8</v>
      </c>
      <c r="AZ28" s="4"/>
      <c r="BA28" s="49">
        <f t="shared" si="37"/>
        <v>22</v>
      </c>
      <c r="BB28" s="49" cm="1">
        <f t="array" ref="BB28">IF($F28=0,0,INDEX(sys_DataFlat_LU_Grid,BA28,$E28))</f>
        <v>1267</v>
      </c>
      <c r="BC28" s="49" cm="1">
        <f t="array" ref="BC28">IF($F28=0,-1000,CHOOSE($E$14,INDEX(auto_DataFlat_Score,BB28,$E$11),-INDEX(auto_DataFlat_Score,BB28,$E$11),-$D28))</f>
        <v>70</v>
      </c>
      <c r="BD28" s="91">
        <f ca="1">RANK(BC28,OFFSET(BC$21,0,0,$E$16+1,1))+COUNTIF(BC$21:BC28,BC28)-1</f>
        <v>14</v>
      </c>
      <c r="BE28" s="91">
        <f t="shared" ca="1" si="51"/>
        <v>28</v>
      </c>
      <c r="BF28" s="91" cm="1">
        <f t="array" aca="1" ref="BF28" ca="1">INDEX(OFFSET(BB$21,0,0,$E$16+1,1),BE28)</f>
        <v>1287</v>
      </c>
      <c r="BG28" s="49" cm="1">
        <f t="array" aca="1" ref="BG28" ca="1">INDEX(OFFSET($E$21,0,0,$E$16+1,1),BE28)</f>
        <v>27</v>
      </c>
      <c r="BH28" s="80" cm="1">
        <f t="array" aca="1" ref="BH28" ca="1">IF(BG28="G",5,INDEX(OFFSET($F$21,0,0,$E$16+1,1),BE28))</f>
        <v>1</v>
      </c>
      <c r="BI28" s="80" cm="1">
        <f t="array" aca="1" ref="BI28" ca="1">IF(BF28=0,0,IF(BG28="G",-1,INDEX(auto_DataFlat_Classification,BF28,$E$11)))</f>
        <v>4</v>
      </c>
      <c r="BJ28" s="301" t="str" cm="1">
        <f t="array" aca="1" ref="BJ28" ca="1">IF(BI28&lt;0,"",INDEX(uxbGlobals!$B$133:$B$139,BI28))</f>
        <v xml:space="preserve"> </v>
      </c>
      <c r="BK28" s="80"/>
      <c r="BL28" s="302" t="str" cm="1">
        <f t="array" aca="1" ref="BL28" ca="1">IF(BH28=0,"",IF(BG28="G","--",INDEX(auto_DataFlat_Rank,BF28,$E$11)))</f>
        <v>8</v>
      </c>
      <c r="BM28" s="122" t="str" cm="1">
        <f t="array" aca="1" ref="BM28" ca="1">IF(BH28=0,"",IF(BG28="G","AVERAGE",INDEX(auto_ddCountry,BG28)))</f>
        <v>Madrid</v>
      </c>
      <c r="BN28" s="290" cm="1">
        <f t="array" aca="1" ref="BN28" ca="1">IF(BH28=0,"",INDEX(auto_DataFlat_Score,BF28,$E$11))</f>
        <v>78.599999999999994</v>
      </c>
      <c r="BO28" s="4"/>
      <c r="BP28" s="49">
        <f t="shared" si="39"/>
        <v>47</v>
      </c>
      <c r="BQ28" s="49" cm="1">
        <f t="array" ref="BQ28">IF($F28=0,0,INDEX(sys_DataFlat_LU_Grid,BP28,$E28))</f>
        <v>2767</v>
      </c>
      <c r="BR28" s="49" cm="1">
        <f t="array" ref="BR28">IF($F28=0,-1000,CHOOSE($E$14,INDEX(auto_DataFlat_Score,BQ28,$E$11),-INDEX(auto_DataFlat_Score,BQ28,$E$11),-$D28))</f>
        <v>87.6</v>
      </c>
      <c r="BS28" s="91">
        <f ca="1">RANK(BR28,OFFSET(BR$21,0,0,$E$16+1,1))+COUNTIF(BR$21:BR28,BR28)-1</f>
        <v>3</v>
      </c>
      <c r="BT28" s="91">
        <f t="shared" ca="1" si="52"/>
        <v>42</v>
      </c>
      <c r="BU28" s="91" cm="1">
        <f t="array" aca="1" ref="BU28" ca="1">INDEX(OFFSET(BQ$21,0,0,$E$16+1,1),BT28)</f>
        <v>2801</v>
      </c>
      <c r="BV28" s="49" cm="1">
        <f t="array" aca="1" ref="BV28" ca="1">INDEX(OFFSET($E$21,0,0,$E$16+1,1),BT28)</f>
        <v>41</v>
      </c>
      <c r="BW28" s="80" cm="1">
        <f t="array" aca="1" ref="BW28" ca="1">IF(BV28="G",5,INDEX(OFFSET($F$21,0,0,$E$16+1,1),BT28))</f>
        <v>1</v>
      </c>
      <c r="BX28" s="80" cm="1">
        <f t="array" aca="1" ref="BX28" ca="1">IF(BU28=0,0,IF(BV28="G",-1,INDEX(auto_DataFlat_Classification,BU28,$E$11)))</f>
        <v>5</v>
      </c>
      <c r="BY28" s="301" t="str" cm="1">
        <f t="array" aca="1" ref="BY28" ca="1">IF(BX28&lt;0,"",INDEX(uxbGlobals!$B$133:$B$139,BX28))</f>
        <v xml:space="preserve"> </v>
      </c>
      <c r="BZ28" s="80"/>
      <c r="CA28" s="302" t="str" cm="1">
        <f t="array" aca="1" ref="CA28" ca="1">IF(BW28=0,"",IF(BV28="G","--",INDEX(auto_DataFlat_Rank,BU28,$E$11)))</f>
        <v>=8</v>
      </c>
      <c r="CB28" s="122" t="str" cm="1">
        <f t="array" aca="1" ref="CB28" ca="1">IF(BW28=0,"",IF(BV28="G","AVERAGE",INDEX(auto_ddCountry,BV28)))</f>
        <v>São Paulo</v>
      </c>
      <c r="CC28" s="290" cm="1">
        <f t="array" aca="1" ref="CC28" ca="1">IF(BW28=0,"",INDEX(auto_DataFlat_Score,BU28,$E$11))</f>
        <v>83.8</v>
      </c>
      <c r="CD28" s="4"/>
      <c r="CE28" s="49">
        <f t="shared" si="41"/>
        <v>52</v>
      </c>
      <c r="CF28" s="49" cm="1">
        <f t="array" ref="CF28">IF($F28=0,0,INDEX(sys_DataFlat_LU_Grid,CE28,$E28))</f>
        <v>3067</v>
      </c>
      <c r="CG28" s="49" cm="1">
        <f t="array" ref="CG28">IF($F28=0,-1000,CHOOSE($E$14,INDEX(auto_DataFlat_Score,CF28,$E$11),-INDEX(auto_DataFlat_Score,CF28,$E$11),-$D28))</f>
        <v>80.599999999999994</v>
      </c>
      <c r="CH28" s="91">
        <f ca="1">RANK(CG28,OFFSET(CG$21,0,0,$E$16+1,1))+COUNTIF(CG$21:CG28,CG28)-1</f>
        <v>8</v>
      </c>
      <c r="CI28" s="91">
        <f t="shared" ca="1" si="53"/>
        <v>8</v>
      </c>
      <c r="CJ28" s="91" cm="1">
        <f t="array" aca="1" ref="CJ28" ca="1">INDEX(OFFSET(CF$21,0,0,$E$16+1,1),CI28)</f>
        <v>3067</v>
      </c>
      <c r="CK28" s="49" cm="1">
        <f t="array" aca="1" ref="CK28" ca="1">INDEX(OFFSET($E$21,0,0,$E$16+1,1),CI28)</f>
        <v>7</v>
      </c>
      <c r="CL28" s="80" cm="1">
        <f t="array" aca="1" ref="CL28" ca="1">IF(CK28="G",5,INDEX(OFFSET($F$21,0,0,$E$16+1,1),CI28))</f>
        <v>1</v>
      </c>
      <c r="CM28" s="80" cm="1">
        <f t="array" aca="1" ref="CM28" ca="1">IF(CJ28=0,0,IF(CK28="G",-1,INDEX(auto_DataFlat_Classification,CJ28,$E$11)))</f>
        <v>5</v>
      </c>
      <c r="CN28" s="301" t="str" cm="1">
        <f t="array" aca="1" ref="CN28" ca="1">IF(CM28&lt;0,"",INDEX(uxbGlobals!$B$133:$B$139,CM28))</f>
        <v xml:space="preserve"> </v>
      </c>
      <c r="CO28" s="80"/>
      <c r="CP28" s="302" t="str" cm="1">
        <f t="array" aca="1" ref="CP28" ca="1">IF(CL28=0,"",IF(CK28="G","--",INDEX(auto_DataFlat_Rank,CJ28,$E$11)))</f>
        <v>=8</v>
      </c>
      <c r="CQ28" s="122" t="str" cm="1">
        <f t="array" aca="1" ref="CQ28" ca="1">IF(CL28=0,"",IF(CK28="G","AVERAGE",INDEX(auto_ddCountry,CK28)))</f>
        <v>Berlin</v>
      </c>
      <c r="CR28" s="290" cm="1">
        <f t="array" aca="1" ref="CR28" ca="1">IF(CL28=0,"",INDEX(auto_DataFlat_Score,CJ28,$E$11))</f>
        <v>80.599999999999994</v>
      </c>
      <c r="CS28" s="4"/>
      <c r="CT28" s="49">
        <f t="shared" si="43"/>
        <v>-1</v>
      </c>
      <c r="CU28" s="49" t="e" cm="1">
        <f t="array" ref="CU28">IF($F28=0,0,INDEX(sys_DataFlat_LU_Grid,CT28,$E28))</f>
        <v>#VALUE!</v>
      </c>
      <c r="CV28" s="49" t="e" cm="1">
        <f t="array" ref="CV28">IF($F28=0,-1000,CHOOSE($E$14,INDEX(auto_DataFlat_Score,CU28,$E$11),-INDEX(auto_DataFlat_Score,CU28,$E$11),-$D28))</f>
        <v>#VALUE!</v>
      </c>
      <c r="CW28" s="91" t="e">
        <f ca="1">RANK(CV28,OFFSET(CV$21,0,0,$E$16+1,1))+COUNTIF(CV$21:CV28,CV28)-1</f>
        <v>#VALUE!</v>
      </c>
      <c r="CX28" s="91" t="e">
        <f t="shared" ca="1" si="47"/>
        <v>#N/A</v>
      </c>
      <c r="CY28" s="91" t="e" cm="1">
        <f t="array" aca="1" ref="CY28" ca="1">INDEX(OFFSET(CU$21,0,0,$E$16+1,1),CX28)</f>
        <v>#N/A</v>
      </c>
      <c r="CZ28" s="49" t="e" cm="1">
        <f t="array" aca="1" ref="CZ28" ca="1">INDEX(OFFSET($E$21,0,0,$E$16+1,1),CX28)</f>
        <v>#N/A</v>
      </c>
      <c r="DA28" s="80" t="e" cm="1">
        <f t="array" aca="1" ref="DA28" ca="1">IF(CZ28="G",5,INDEX(OFFSET($F$21,0,0,$E$16+1,1),CX28))</f>
        <v>#N/A</v>
      </c>
      <c r="DB28" s="80" t="e" cm="1">
        <f t="array" aca="1" ref="DB28" ca="1">IF(CY28=0,0,IF(CZ28="G",-1,INDEX(auto_DataFlat_Classification,CY28,$E$11)))</f>
        <v>#N/A</v>
      </c>
      <c r="DC28" s="301" t="e" cm="1">
        <f t="array" aca="1" ref="DC28" ca="1">IF(DB28&lt;0,"",INDEX(uxbGlobals!$B$133:$B$139,DB28))</f>
        <v>#N/A</v>
      </c>
      <c r="DD28" s="80"/>
      <c r="DE28" s="302" t="e" cm="1">
        <f t="array" aca="1" ref="DE28" ca="1">IF(DA28=0,"",IF(CZ28="G","--",INDEX(auto_DataFlat_Rank,CY28,$E$11)))</f>
        <v>#N/A</v>
      </c>
      <c r="DF28" s="122" t="e" cm="1">
        <f t="array" aca="1" ref="DF28" ca="1">IF(DA28=0,"",IF(CZ28="G","AVERAGE",INDEX(auto_ddCountry,CZ28)))</f>
        <v>#N/A</v>
      </c>
      <c r="DG28" s="290" t="e" cm="1">
        <f t="array" aca="1" ref="DG28" ca="1">IF(DA28=0,"",INDEX(auto_DataFlat_Score,CY28,$E$11))</f>
        <v>#N/A</v>
      </c>
      <c r="DH28" s="4"/>
      <c r="DI28" s="49">
        <f t="shared" si="44"/>
        <v>-1</v>
      </c>
      <c r="DJ28" s="49" t="e" cm="1">
        <f t="array" ref="DJ28">IF($F28=0,0,INDEX(sys_DataFlat_LU_Grid,DI28,$E28))</f>
        <v>#VALUE!</v>
      </c>
      <c r="DK28" s="49" t="e" cm="1">
        <f t="array" ref="DK28">IF($F28=0,-1000,CHOOSE($E$14,INDEX(auto_DataFlat_Score,DJ28,$E$11),-INDEX(auto_DataFlat_Score,DJ28,$E$11),-$D28))</f>
        <v>#VALUE!</v>
      </c>
      <c r="DL28" s="91" t="e">
        <f ca="1">RANK(DK28,OFFSET(DK$21,0,0,$E$16+1,1))+COUNTIF(DK$21:DK28,DK28)-1</f>
        <v>#VALUE!</v>
      </c>
      <c r="DM28" s="91" t="e">
        <f t="shared" ca="1" si="28"/>
        <v>#N/A</v>
      </c>
      <c r="DN28" s="91" t="e" cm="1">
        <f t="array" aca="1" ref="DN28" ca="1">INDEX(OFFSET(DJ$21,0,0,$E$16+1,1),DM28)</f>
        <v>#N/A</v>
      </c>
      <c r="DO28" s="49" t="e" cm="1">
        <f t="array" aca="1" ref="DO28" ca="1">INDEX(OFFSET($E$21,0,0,$E$16+1,1),DM28)</f>
        <v>#N/A</v>
      </c>
      <c r="DP28" s="80" t="e" cm="1">
        <f t="array" aca="1" ref="DP28" ca="1">IF(DO28="G",5,INDEX(OFFSET($F$21,0,0,$E$16+1,1),DM28))</f>
        <v>#N/A</v>
      </c>
      <c r="DQ28" s="80" t="e" cm="1">
        <f t="array" aca="1" ref="DQ28" ca="1">IF(DN28=0,0,IF(DO28="G",-1,INDEX(auto_DataFlat_Classification,DN28,$E$11)))</f>
        <v>#N/A</v>
      </c>
      <c r="DR28" s="301" t="e" cm="1">
        <f t="array" aca="1" ref="DR28" ca="1">IF(DQ28&lt;0,"",INDEX(uxbGlobals!$B$133:$B$139,DQ28))</f>
        <v>#N/A</v>
      </c>
      <c r="DS28" s="80"/>
      <c r="DT28" s="302" t="e" cm="1">
        <f t="array" aca="1" ref="DT28" ca="1">IF(DP28=0,"",IF(DO28="G","--",INDEX(auto_DataFlat_Rank,DN28,$E$11)))</f>
        <v>#N/A</v>
      </c>
      <c r="DU28" s="122" t="e" cm="1">
        <f t="array" aca="1" ref="DU28" ca="1">IF(DP28=0,"",IF(DO28="G","AVERAGE",INDEX(auto_ddCountry,DO28)))</f>
        <v>#N/A</v>
      </c>
      <c r="DV28" s="290" t="e" cm="1">
        <f t="array" aca="1" ref="DV28" ca="1">IF(DP28=0,"",INDEX(auto_DataFlat_Score,DN28,$E$11))</f>
        <v>#N/A</v>
      </c>
      <c r="DW28" s="4"/>
      <c r="DX28" s="49">
        <f t="shared" si="45"/>
        <v>-1</v>
      </c>
      <c r="DY28" s="49" t="e" cm="1">
        <f t="array" ref="DY28">IF($F28=0,0,INDEX(sys_DataFlat_LU_Grid,DX28,$E28))</f>
        <v>#VALUE!</v>
      </c>
      <c r="DZ28" s="49" t="e" cm="1">
        <f t="array" ref="DZ28">IF($F28=0,-1000,CHOOSE($E$14,INDEX(auto_DataFlat_Score,DY28,$E$11),-INDEX(auto_DataFlat_Score,DY28,$E$11),-$D28))</f>
        <v>#VALUE!</v>
      </c>
      <c r="EA28" s="91" t="e">
        <f ca="1">RANK(DZ28,OFFSET(DZ$21,0,0,$E$16+1,1))+COUNTIF(DZ$21:DZ28,DZ28)-1</f>
        <v>#VALUE!</v>
      </c>
      <c r="EB28" s="91" t="e">
        <f t="shared" ca="1" si="29"/>
        <v>#N/A</v>
      </c>
      <c r="EC28" s="91" t="e" cm="1">
        <f t="array" aca="1" ref="EC28" ca="1">INDEX(OFFSET(DY$21,0,0,$E$16+1,1),EB28)</f>
        <v>#N/A</v>
      </c>
      <c r="ED28" s="49" t="e" cm="1">
        <f t="array" aca="1" ref="ED28" ca="1">INDEX(OFFSET($E$21,0,0,$E$16+1,1),EB28)</f>
        <v>#N/A</v>
      </c>
      <c r="EE28" s="80" t="e" cm="1">
        <f t="array" aca="1" ref="EE28" ca="1">IF(ED28="G",5,INDEX(OFFSET($F$21,0,0,$E$16+1,1),EB28))</f>
        <v>#N/A</v>
      </c>
      <c r="EF28" s="80" t="e" cm="1">
        <f t="array" aca="1" ref="EF28" ca="1">IF(EC28=0,0,IF(ED28="G",-1,INDEX(auto_DataFlat_Classification,EC28,$E$11)))</f>
        <v>#N/A</v>
      </c>
      <c r="EG28" s="301" t="e" cm="1">
        <f t="array" aca="1" ref="EG28" ca="1">IF(EF28&lt;0,"",INDEX(uxbGlobals!$B$133:$B$139,EF28))</f>
        <v>#N/A</v>
      </c>
      <c r="EH28" s="80"/>
      <c r="EI28" s="302" t="e" cm="1">
        <f t="array" aca="1" ref="EI28" ca="1">IF(EE28=0,"",IF(ED28="G","--",INDEX(auto_DataFlat_Rank,EC28,$E$11)))</f>
        <v>#N/A</v>
      </c>
      <c r="EJ28" s="122" t="e" cm="1">
        <f t="array" aca="1" ref="EJ28" ca="1">IF(EE28=0,"",IF(ED28="G","AVERAGE",INDEX(auto_ddCountry,ED28)))</f>
        <v>#N/A</v>
      </c>
      <c r="EK28" s="290" t="e" cm="1">
        <f t="array" aca="1" ref="EK28" ca="1">IF(EE28=0,"",INDEX(auto_DataFlat_Score,EC28,$E$11))</f>
        <v>#N/A</v>
      </c>
      <c r="EL28" s="4"/>
      <c r="EM28" s="49">
        <f t="shared" si="46"/>
        <v>-1</v>
      </c>
      <c r="EN28" s="49" t="e" cm="1">
        <f t="array" ref="EN28">IF($F28=0,0,INDEX(sys_DataFlat_LU_Grid,EM28,$E28))</f>
        <v>#VALUE!</v>
      </c>
      <c r="EO28" s="49" t="e" cm="1">
        <f t="array" ref="EO28">IF($F28=0,-1000,CHOOSE($E$14,INDEX(auto_DataFlat_Score,EN28,$E$11),-INDEX(auto_DataFlat_Score,EN28,$E$11),-$D28))</f>
        <v>#VALUE!</v>
      </c>
      <c r="EP28" s="91" t="e">
        <f ca="1">RANK(EO28,OFFSET(EO$21,0,0,$E$16+1,1))+COUNTIF(EO$21:EO28,EO28)-1</f>
        <v>#VALUE!</v>
      </c>
      <c r="EQ28" s="91" t="e">
        <f t="shared" ca="1" si="30"/>
        <v>#N/A</v>
      </c>
      <c r="ER28" s="91" t="e" cm="1">
        <f t="array" aca="1" ref="ER28" ca="1">INDEX(OFFSET(EN$21,0,0,$E$16+1,1),EQ28)</f>
        <v>#N/A</v>
      </c>
      <c r="ES28" s="49" t="e" cm="1">
        <f t="array" aca="1" ref="ES28" ca="1">INDEX(OFFSET($E$21,0,0,$E$16+1,1),EQ28)</f>
        <v>#N/A</v>
      </c>
      <c r="ET28" s="80" t="e" cm="1">
        <f t="array" aca="1" ref="ET28" ca="1">IF(ES28="G",5,INDEX(OFFSET($F$21,0,0,$E$16+1,1),EQ28))</f>
        <v>#N/A</v>
      </c>
      <c r="EU28" s="80" t="e" cm="1">
        <f t="array" aca="1" ref="EU28" ca="1">IF(ER28=0,0,IF(ES28="G",-1,INDEX(auto_DataFlat_Classification,ER28,$E$11)))</f>
        <v>#N/A</v>
      </c>
      <c r="EV28" s="301" t="e" cm="1">
        <f t="array" aca="1" ref="EV28" ca="1">IF(EU28&lt;0,"",INDEX(uxbGlobals!$B$133:$B$139,EU28))</f>
        <v>#N/A</v>
      </c>
      <c r="EW28" s="80"/>
      <c r="EX28" s="302" t="e" cm="1">
        <f t="array" aca="1" ref="EX28" ca="1">IF(ET28=0,"",IF(ES28="G","--",INDEX(auto_DataFlat_Rank,ER28,$E$11)))</f>
        <v>#N/A</v>
      </c>
      <c r="EY28" s="122" t="e" cm="1">
        <f t="array" aca="1" ref="EY28" ca="1">IF(ET28=0,"",IF(ES28="G","AVERAGE",INDEX(auto_ddCountry,ES28)))</f>
        <v>#N/A</v>
      </c>
      <c r="EZ28" s="290" t="e" cm="1">
        <f t="array" aca="1" ref="EZ28" ca="1">IF(ET28=0,"",INDEX(auto_DataFlat_Score,ER28,$E$11))</f>
        <v>#N/A</v>
      </c>
    </row>
    <row r="29" spans="1:156" ht="17.149999999999999" customHeight="1" x14ac:dyDescent="0.4">
      <c r="A29" s="4"/>
      <c r="B29" s="4"/>
      <c r="C29" s="4"/>
      <c r="D29" s="26">
        <v>9</v>
      </c>
      <c r="E29" s="49">
        <f>tblCountries!M10</f>
        <v>8</v>
      </c>
      <c r="F29" s="114" cm="1">
        <f t="array" ref="F29">IF(E29=0,0,INDEX(auto_Country_Status,E29))</f>
        <v>1</v>
      </c>
      <c r="G29" s="4"/>
      <c r="H29" s="49">
        <f t="shared" si="31"/>
        <v>1</v>
      </c>
      <c r="I29" s="49" cm="1">
        <f t="array" ref="I29">IF($F29=0,0,INDEX(sys_DataFlat_LU_Grid,H29,$E29))</f>
        <v>8</v>
      </c>
      <c r="J29" s="49" cm="1">
        <f t="array" ref="J29">IF($F29=0,-1000,CHOOSE($E$14,INDEX(auto_DataFlat_Score,I29,$E$11),-INDEX(auto_DataFlat_Score,I29,$E$11),-$D29))</f>
        <v>69.7</v>
      </c>
      <c r="K29" s="91">
        <f ca="1">RANK(J29,OFFSET(J$21,0,0,$E$16+1,1))+COUNTIF(J$21:J29,J29)-1</f>
        <v>18</v>
      </c>
      <c r="L29" s="91">
        <f t="shared" ca="1" si="48"/>
        <v>30</v>
      </c>
      <c r="M29" s="91" cm="1">
        <f t="array" aca="1" ref="M29" ca="1">INDEX(OFFSET(I$21,0,0,$E$16+1,1),L29)</f>
        <v>29</v>
      </c>
      <c r="N29" s="49" cm="1">
        <f t="array" aca="1" ref="N29" ca="1">INDEX(OFFSET($E$21,0,0,$E$16+1,1),L29)</f>
        <v>29</v>
      </c>
      <c r="O29" s="80" cm="1">
        <f t="array" aca="1" ref="O29" ca="1">IF(N29="G",5,INDEX(OFFSET($F$21,0,0,$E$16+1,1),L29))</f>
        <v>1</v>
      </c>
      <c r="P29" s="80" cm="1">
        <f t="array" aca="1" ref="P29" ca="1">IF(M29=0,0,IF(N29="G",-1,INDEX(auto_DataFlat_Classification,M29,$E$11)))</f>
        <v>4</v>
      </c>
      <c r="Q29" s="301" t="str" cm="1">
        <f t="array" aca="1" ref="Q29" ca="1">IF(P29&lt;0,"",INDEX(uxbGlobals!$B$133:$B$139,P29))</f>
        <v xml:space="preserve"> </v>
      </c>
      <c r="R29" s="80"/>
      <c r="S29" s="302" t="str" cm="1">
        <f t="array" aca="1" ref="S29" ca="1">IF(O29=0,"",IF(N29="G","--",INDEX(auto_DataFlat_Rank,M29,$E$11)))</f>
        <v>9</v>
      </c>
      <c r="T29" s="122" t="str" cm="1">
        <f t="array" aca="1" ref="T29" ca="1">IF(O29=0,"",IF(N29="G"," AVERAGE",INDEX(auto_ddCountry,N29)))</f>
        <v>Melbourne</v>
      </c>
      <c r="U29" s="290" cm="1">
        <f t="array" aca="1" ref="U29" ca="1">IF(O29=0,"",INDEX(auto_DataFlat_Score,M29,$E$11))</f>
        <v>75.8</v>
      </c>
      <c r="V29" s="4"/>
      <c r="W29" s="49">
        <f t="shared" si="33"/>
        <v>2</v>
      </c>
      <c r="X29" s="49" cm="1">
        <f t="array" ref="X29">IF($F29=0,0,INDEX(sys_DataFlat_LU_Grid,W29,$E29))</f>
        <v>68</v>
      </c>
      <c r="Y29" s="49" cm="1">
        <f t="array" ref="Y29">IF($F29=0,-1000,CHOOSE($E$14,INDEX(auto_DataFlat_Score,X29,$E$11),-INDEX(auto_DataFlat_Score,X29,$E$11),-$D29))</f>
        <v>68.900000000000006</v>
      </c>
      <c r="Z29" s="91">
        <f ca="1">RANK(Y29,OFFSET(Y$21,0,0,$E$16+1,1))+COUNTIF(Y$21:Y29,Y29)-1</f>
        <v>32</v>
      </c>
      <c r="AA29" s="91">
        <f t="shared" ca="1" si="49"/>
        <v>41</v>
      </c>
      <c r="AB29" s="91" cm="1">
        <f t="array" aca="1" ref="AB29" ca="1">INDEX(OFFSET(X$21,0,0,$E$16+1,1),AA29)</f>
        <v>100</v>
      </c>
      <c r="AC29" s="49" cm="1">
        <f t="array" aca="1" ref="AC29" ca="1">INDEX(OFFSET($E$21,0,0,$E$16+1,1),AA29)</f>
        <v>40</v>
      </c>
      <c r="AD29" s="80" cm="1">
        <f t="array" aca="1" ref="AD29" ca="1">IF(AC29="G",5,INDEX(OFFSET($F$21,0,0,$E$16+1,1),AA29))</f>
        <v>1</v>
      </c>
      <c r="AE29" s="80" cm="1">
        <f t="array" aca="1" ref="AE29" ca="1">IF(AB29=0,0,IF(AC29="G",-1,INDEX(auto_DataFlat_Classification,AB29,$E$11)))</f>
        <v>5</v>
      </c>
      <c r="AF29" s="301" t="str" cm="1">
        <f t="array" aca="1" ref="AF29" ca="1">IF(AE29&lt;0,"",INDEX(uxbGlobals!$B$133:$B$139,AE29))</f>
        <v xml:space="preserve"> </v>
      </c>
      <c r="AG29" s="80"/>
      <c r="AH29" s="302" t="str" cm="1">
        <f t="array" aca="1" ref="AH29" ca="1">IF(AD29=0,"",IF(AC29="G","--",INDEX(auto_DataFlat_Rank,AB29,$E$11)))</f>
        <v>=7</v>
      </c>
      <c r="AI29" s="122" t="str" cm="1">
        <f t="array" aca="1" ref="AI29" ca="1">IF(AD29=0,"",IF(AC29="G","AVERAGE",INDEX(auto_ddCountry,AC29)))</f>
        <v>San Francisco</v>
      </c>
      <c r="AJ29" s="290" cm="1">
        <f t="array" aca="1" ref="AJ29" ca="1">IF(AD29=0,"",INDEX(auto_DataFlat_Score,AB29,$E$11))</f>
        <v>86.8</v>
      </c>
      <c r="AK29" s="4"/>
      <c r="AL29" s="49">
        <f t="shared" si="35"/>
        <v>14</v>
      </c>
      <c r="AM29" s="49" cm="1">
        <f t="array" ref="AM29">IF($F29=0,0,INDEX(sys_DataFlat_LU_Grid,AL29,$E29))</f>
        <v>788</v>
      </c>
      <c r="AN29" s="49" cm="1">
        <f t="array" ref="AN29">IF($F29=0,-1000,CHOOSE($E$14,INDEX(auto_DataFlat_Score,AM29,$E$11),-INDEX(auto_DataFlat_Score,AM29,$E$11),-$D29))</f>
        <v>74.3</v>
      </c>
      <c r="AO29" s="91">
        <f ca="1">RANK(AN29,OFFSET(AN$21,0,0,$E$16+1,1))+COUNTIF(AN$21:AN29,AN29)-1</f>
        <v>5</v>
      </c>
      <c r="AP29" s="91">
        <f t="shared" ca="1" si="50"/>
        <v>18</v>
      </c>
      <c r="AQ29" s="91" cm="1">
        <f t="array" aca="1" ref="AQ29" ca="1">INDEX(OFFSET(AM$21,0,0,$E$16+1,1),AP29)</f>
        <v>797</v>
      </c>
      <c r="AR29" s="49" cm="1">
        <f t="array" aca="1" ref="AR29" ca="1">INDEX(OFFSET($E$21,0,0,$E$16+1,1),AP29)</f>
        <v>17</v>
      </c>
      <c r="AS29" s="80" cm="1">
        <f t="array" aca="1" ref="AS29" ca="1">IF(AR29="G",5,INDEX(OFFSET($F$21,0,0,$E$16+1,1),AP29))</f>
        <v>1</v>
      </c>
      <c r="AT29" s="80" cm="1">
        <f t="array" aca="1" ref="AT29" ca="1">IF(AQ29=0,0,IF(AR29="G",-1,INDEX(auto_DataFlat_Classification,AQ29,$E$11)))</f>
        <v>4</v>
      </c>
      <c r="AU29" s="301" t="str" cm="1">
        <f t="array" aca="1" ref="AU29" ca="1">IF(AT29&lt;0,"",INDEX(uxbGlobals!$B$133:$B$139,AT29))</f>
        <v xml:space="preserve"> </v>
      </c>
      <c r="AV29" s="80"/>
      <c r="AW29" s="302" t="str" cm="1">
        <f t="array" aca="1" ref="AW29" ca="1">IF(AS29=0,"",IF(AR29="G","--",INDEX(auto_DataFlat_Rank,AQ29,$E$11)))</f>
        <v>9</v>
      </c>
      <c r="AX29" s="122" t="str" cm="1">
        <f t="array" aca="1" ref="AX29" ca="1">IF(AS29=0,"",IF(AR29="G","AVERAGE",INDEX(auto_ddCountry,AR29)))</f>
        <v>Hong Kong</v>
      </c>
      <c r="AY29" s="290" cm="1">
        <f t="array" aca="1" ref="AY29" ca="1">IF(AS29=0,"",INDEX(auto_DataFlat_Score,AQ29,$E$11))</f>
        <v>69.2</v>
      </c>
      <c r="AZ29" s="4"/>
      <c r="BA29" s="49">
        <f t="shared" si="37"/>
        <v>22</v>
      </c>
      <c r="BB29" s="49" cm="1">
        <f t="array" ref="BB29">IF($F29=0,0,INDEX(sys_DataFlat_LU_Grid,BA29,$E29))</f>
        <v>1268</v>
      </c>
      <c r="BC29" s="49" cm="1">
        <f t="array" ref="BC29">IF($F29=0,-1000,CHOOSE($E$14,INDEX(auto_DataFlat_Score,BB29,$E$11),-INDEX(auto_DataFlat_Score,BB29,$E$11),-$D29))</f>
        <v>56.9</v>
      </c>
      <c r="BD29" s="91">
        <f ca="1">RANK(BC29,OFFSET(BC$21,0,0,$E$16+1,1))+COUNTIF(BC$21:BC29,BC29)-1</f>
        <v>26</v>
      </c>
      <c r="BE29" s="91">
        <f t="shared" ca="1" si="51"/>
        <v>44</v>
      </c>
      <c r="BF29" s="91" cm="1">
        <f t="array" aca="1" ref="BF29" ca="1">INDEX(OFFSET(BB$21,0,0,$E$16+1,1),BE29)</f>
        <v>1303</v>
      </c>
      <c r="BG29" s="49" cm="1">
        <f t="array" aca="1" ref="BG29" ca="1">INDEX(OFFSET($E$21,0,0,$E$16+1,1),BE29)</f>
        <v>43</v>
      </c>
      <c r="BH29" s="80" cm="1">
        <f t="array" aca="1" ref="BH29" ca="1">IF(BG29="G",5,INDEX(OFFSET($F$21,0,0,$E$16+1,1),BE29))</f>
        <v>1</v>
      </c>
      <c r="BI29" s="80" cm="1">
        <f t="array" aca="1" ref="BI29" ca="1">IF(BF29=0,0,IF(BG29="G",-1,INDEX(auto_DataFlat_Classification,BF29,$E$11)))</f>
        <v>4</v>
      </c>
      <c r="BJ29" s="301" t="str" cm="1">
        <f t="array" aca="1" ref="BJ29" ca="1">IF(BI29&lt;0,"",INDEX(uxbGlobals!$B$133:$B$139,BI29))</f>
        <v xml:space="preserve"> </v>
      </c>
      <c r="BK29" s="80"/>
      <c r="BL29" s="302" t="str" cm="1">
        <f t="array" aca="1" ref="BL29" ca="1">IF(BH29=0,"",IF(BG29="G","--",INDEX(auto_DataFlat_Rank,BF29,$E$11)))</f>
        <v>9</v>
      </c>
      <c r="BM29" s="122" t="str" cm="1">
        <f t="array" aca="1" ref="BM29" ca="1">IF(BH29=0,"",IF(BG29="G","AVERAGE",INDEX(auto_ddCountry,BG29)))</f>
        <v>Shanghai</v>
      </c>
      <c r="BN29" s="290" cm="1">
        <f t="array" aca="1" ref="BN29" ca="1">IF(BH29=0,"",INDEX(auto_DataFlat_Score,BF29,$E$11))</f>
        <v>77.5</v>
      </c>
      <c r="BO29" s="4"/>
      <c r="BP29" s="49">
        <f t="shared" si="39"/>
        <v>47</v>
      </c>
      <c r="BQ29" s="49" cm="1">
        <f t="array" ref="BQ29">IF($F29=0,0,INDEX(sys_DataFlat_LU_Grid,BP29,$E29))</f>
        <v>2768</v>
      </c>
      <c r="BR29" s="49" cm="1">
        <f t="array" ref="BR29">IF($F29=0,-1000,CHOOSE($E$14,INDEX(auto_DataFlat_Score,BQ29,$E$11),-INDEX(auto_DataFlat_Score,BQ29,$E$11),-$D29))</f>
        <v>70.8</v>
      </c>
      <c r="BS29" s="91">
        <f ca="1">RANK(BR29,OFFSET(BR$21,0,0,$E$16+1,1))+COUNTIF(BR$21:BR29,BR29)-1</f>
        <v>25</v>
      </c>
      <c r="BT29" s="91">
        <f t="shared" ca="1" si="52"/>
        <v>43</v>
      </c>
      <c r="BU29" s="91" cm="1">
        <f t="array" aca="1" ref="BU29" ca="1">INDEX(OFFSET(BQ$21,0,0,$E$16+1,1),BT29)</f>
        <v>2802</v>
      </c>
      <c r="BV29" s="49" cm="1">
        <f t="array" aca="1" ref="BV29" ca="1">INDEX(OFFSET($E$21,0,0,$E$16+1,1),BT29)</f>
        <v>42</v>
      </c>
      <c r="BW29" s="80" cm="1">
        <f t="array" aca="1" ref="BW29" ca="1">IF(BV29="G",5,INDEX(OFFSET($F$21,0,0,$E$16+1,1),BT29))</f>
        <v>1</v>
      </c>
      <c r="BX29" s="80" cm="1">
        <f t="array" aca="1" ref="BX29" ca="1">IF(BU29=0,0,IF(BV29="G",-1,INDEX(auto_DataFlat_Classification,BU29,$E$11)))</f>
        <v>5</v>
      </c>
      <c r="BY29" s="301" t="str" cm="1">
        <f t="array" aca="1" ref="BY29" ca="1">IF(BX29&lt;0,"",INDEX(uxbGlobals!$B$133:$B$139,BX29))</f>
        <v xml:space="preserve"> </v>
      </c>
      <c r="BZ29" s="80"/>
      <c r="CA29" s="302" t="str" cm="1">
        <f t="array" aca="1" ref="CA29" ca="1">IF(BW29=0,"",IF(BV29="G","--",INDEX(auto_DataFlat_Rank,BU29,$E$11)))</f>
        <v>=8</v>
      </c>
      <c r="CB29" s="122" t="str" cm="1">
        <f t="array" aca="1" ref="CB29" ca="1">IF(BW29=0,"",IF(BV29="G","AVERAGE",INDEX(auto_ddCountry,BV29)))</f>
        <v>Seoul</v>
      </c>
      <c r="CC29" s="290" cm="1">
        <f t="array" aca="1" ref="CC29" ca="1">IF(BW29=0,"",INDEX(auto_DataFlat_Score,BU29,$E$11))</f>
        <v>83.8</v>
      </c>
      <c r="CD29" s="4"/>
      <c r="CE29" s="49">
        <f t="shared" si="41"/>
        <v>52</v>
      </c>
      <c r="CF29" s="49" cm="1">
        <f t="array" ref="CF29">IF($F29=0,0,INDEX(sys_DataFlat_LU_Grid,CE29,$E29))</f>
        <v>3068</v>
      </c>
      <c r="CG29" s="49" cm="1">
        <f t="array" ref="CG29">IF($F29=0,-1000,CHOOSE($E$14,INDEX(auto_DataFlat_Score,CF29,$E$11),-INDEX(auto_DataFlat_Score,CF29,$E$11),-$D29))</f>
        <v>78.7</v>
      </c>
      <c r="CH29" s="91">
        <f ca="1">RANK(CG29,OFFSET(CG$21,0,0,$E$16+1,1))+COUNTIF(CG$21:CG29,CG29)-1</f>
        <v>13</v>
      </c>
      <c r="CI29" s="91">
        <f t="shared" ca="1" si="53"/>
        <v>17</v>
      </c>
      <c r="CJ29" s="91" cm="1">
        <f t="array" aca="1" ref="CJ29" ca="1">INDEX(OFFSET(CF$21,0,0,$E$16+1,1),CI29)</f>
        <v>3076</v>
      </c>
      <c r="CK29" s="49" cm="1">
        <f t="array" aca="1" ref="CK29" ca="1">INDEX(OFFSET($E$21,0,0,$E$16+1,1),CI29)</f>
        <v>16</v>
      </c>
      <c r="CL29" s="80" cm="1">
        <f t="array" aca="1" ref="CL29" ca="1">IF(CK29="G",5,INDEX(OFFSET($F$21,0,0,$E$16+1,1),CI29))</f>
        <v>1</v>
      </c>
      <c r="CM29" s="80" cm="1">
        <f t="array" aca="1" ref="CM29" ca="1">IF(CJ29=0,0,IF(CK29="G",-1,INDEX(auto_DataFlat_Classification,CJ29,$E$11)))</f>
        <v>5</v>
      </c>
      <c r="CN29" s="301" t="str" cm="1">
        <f t="array" aca="1" ref="CN29" ca="1">IF(CM29&lt;0,"",INDEX(uxbGlobals!$B$133:$B$139,CM29))</f>
        <v xml:space="preserve"> </v>
      </c>
      <c r="CO29" s="80"/>
      <c r="CP29" s="302" t="str" cm="1">
        <f t="array" aca="1" ref="CP29" ca="1">IF(CL29=0,"",IF(CK29="G","--",INDEX(auto_DataFlat_Rank,CJ29,$E$11)))</f>
        <v>=8</v>
      </c>
      <c r="CQ29" s="122" t="str" cm="1">
        <f t="array" aca="1" ref="CQ29" ca="1">IF(CL29=0,"",IF(CK29="G","AVERAGE",INDEX(auto_ddCountry,CK29)))</f>
        <v>Ho Chi Minh City</v>
      </c>
      <c r="CR29" s="290" cm="1">
        <f t="array" aca="1" ref="CR29" ca="1">IF(CL29=0,"",INDEX(auto_DataFlat_Score,CJ29,$E$11))</f>
        <v>80.599999999999994</v>
      </c>
      <c r="CS29" s="4"/>
      <c r="CT29" s="49">
        <f t="shared" si="43"/>
        <v>-1</v>
      </c>
      <c r="CU29" s="49" t="e" cm="1">
        <f t="array" ref="CU29">IF($F29=0,0,INDEX(sys_DataFlat_LU_Grid,CT29,$E29))</f>
        <v>#VALUE!</v>
      </c>
      <c r="CV29" s="49" t="e" cm="1">
        <f t="array" ref="CV29">IF($F29=0,-1000,CHOOSE($E$14,INDEX(auto_DataFlat_Score,CU29,$E$11),-INDEX(auto_DataFlat_Score,CU29,$E$11),-$D29))</f>
        <v>#VALUE!</v>
      </c>
      <c r="CW29" s="91" t="e">
        <f ca="1">RANK(CV29,OFFSET(CV$21,0,0,$E$16+1,1))+COUNTIF(CV$21:CV29,CV29)-1</f>
        <v>#VALUE!</v>
      </c>
      <c r="CX29" s="91" t="e">
        <f t="shared" ca="1" si="47"/>
        <v>#N/A</v>
      </c>
      <c r="CY29" s="91" t="e" cm="1">
        <f t="array" aca="1" ref="CY29" ca="1">INDEX(OFFSET(CU$21,0,0,$E$16+1,1),CX29)</f>
        <v>#N/A</v>
      </c>
      <c r="CZ29" s="49" t="e" cm="1">
        <f t="array" aca="1" ref="CZ29" ca="1">INDEX(OFFSET($E$21,0,0,$E$16+1,1),CX29)</f>
        <v>#N/A</v>
      </c>
      <c r="DA29" s="80" t="e" cm="1">
        <f t="array" aca="1" ref="DA29" ca="1">IF(CZ29="G",5,INDEX(OFFSET($F$21,0,0,$E$16+1,1),CX29))</f>
        <v>#N/A</v>
      </c>
      <c r="DB29" s="80" t="e" cm="1">
        <f t="array" aca="1" ref="DB29" ca="1">IF(CY29=0,0,IF(CZ29="G",-1,INDEX(auto_DataFlat_Classification,CY29,$E$11)))</f>
        <v>#N/A</v>
      </c>
      <c r="DC29" s="301" t="e" cm="1">
        <f t="array" aca="1" ref="DC29" ca="1">IF(DB29&lt;0,"",INDEX(uxbGlobals!$B$133:$B$139,DB29))</f>
        <v>#N/A</v>
      </c>
      <c r="DD29" s="80"/>
      <c r="DE29" s="302" t="e" cm="1">
        <f t="array" aca="1" ref="DE29" ca="1">IF(DA29=0,"",IF(CZ29="G","--",INDEX(auto_DataFlat_Rank,CY29,$E$11)))</f>
        <v>#N/A</v>
      </c>
      <c r="DF29" s="122" t="e" cm="1">
        <f t="array" aca="1" ref="DF29" ca="1">IF(DA29=0,"",IF(CZ29="G","AVERAGE",INDEX(auto_ddCountry,CZ29)))</f>
        <v>#N/A</v>
      </c>
      <c r="DG29" s="290" t="e" cm="1">
        <f t="array" aca="1" ref="DG29" ca="1">IF(DA29=0,"",INDEX(auto_DataFlat_Score,CY29,$E$11))</f>
        <v>#N/A</v>
      </c>
      <c r="DH29" s="4"/>
      <c r="DI29" s="49">
        <f t="shared" si="44"/>
        <v>-1</v>
      </c>
      <c r="DJ29" s="49" t="e" cm="1">
        <f t="array" ref="DJ29">IF($F29=0,0,INDEX(sys_DataFlat_LU_Grid,DI29,$E29))</f>
        <v>#VALUE!</v>
      </c>
      <c r="DK29" s="49" t="e" cm="1">
        <f t="array" ref="DK29">IF($F29=0,-1000,CHOOSE($E$14,INDEX(auto_DataFlat_Score,DJ29,$E$11),-INDEX(auto_DataFlat_Score,DJ29,$E$11),-$D29))</f>
        <v>#VALUE!</v>
      </c>
      <c r="DL29" s="91" t="e">
        <f ca="1">RANK(DK29,OFFSET(DK$21,0,0,$E$16+1,1))+COUNTIF(DK$21:DK29,DK29)-1</f>
        <v>#VALUE!</v>
      </c>
      <c r="DM29" s="91" t="e">
        <f t="shared" ca="1" si="28"/>
        <v>#N/A</v>
      </c>
      <c r="DN29" s="91" t="e" cm="1">
        <f t="array" aca="1" ref="DN29" ca="1">INDEX(OFFSET(DJ$21,0,0,$E$16+1,1),DM29)</f>
        <v>#N/A</v>
      </c>
      <c r="DO29" s="49" t="e" cm="1">
        <f t="array" aca="1" ref="DO29" ca="1">INDEX(OFFSET($E$21,0,0,$E$16+1,1),DM29)</f>
        <v>#N/A</v>
      </c>
      <c r="DP29" s="80" t="e" cm="1">
        <f t="array" aca="1" ref="DP29" ca="1">IF(DO29="G",5,INDEX(OFFSET($F$21,0,0,$E$16+1,1),DM29))</f>
        <v>#N/A</v>
      </c>
      <c r="DQ29" s="80" t="e" cm="1">
        <f t="array" aca="1" ref="DQ29" ca="1">IF(DN29=0,0,IF(DO29="G",-1,INDEX(auto_DataFlat_Classification,DN29,$E$11)))</f>
        <v>#N/A</v>
      </c>
      <c r="DR29" s="301" t="e" cm="1">
        <f t="array" aca="1" ref="DR29" ca="1">IF(DQ29&lt;0,"",INDEX(uxbGlobals!$B$133:$B$139,DQ29))</f>
        <v>#N/A</v>
      </c>
      <c r="DS29" s="80"/>
      <c r="DT29" s="302" t="e" cm="1">
        <f t="array" aca="1" ref="DT29" ca="1">IF(DP29=0,"",IF(DO29="G","--",INDEX(auto_DataFlat_Rank,DN29,$E$11)))</f>
        <v>#N/A</v>
      </c>
      <c r="DU29" s="122" t="e" cm="1">
        <f t="array" aca="1" ref="DU29" ca="1">IF(DP29=0,"",IF(DO29="G","AVERAGE",INDEX(auto_ddCountry,DO29)))</f>
        <v>#N/A</v>
      </c>
      <c r="DV29" s="290" t="e" cm="1">
        <f t="array" aca="1" ref="DV29" ca="1">IF(DP29=0,"",INDEX(auto_DataFlat_Score,DN29,$E$11))</f>
        <v>#N/A</v>
      </c>
      <c r="DW29" s="4"/>
      <c r="DX29" s="49">
        <f t="shared" si="45"/>
        <v>-1</v>
      </c>
      <c r="DY29" s="49" t="e" cm="1">
        <f t="array" ref="DY29">IF($F29=0,0,INDEX(sys_DataFlat_LU_Grid,DX29,$E29))</f>
        <v>#VALUE!</v>
      </c>
      <c r="DZ29" s="49" t="e" cm="1">
        <f t="array" ref="DZ29">IF($F29=0,-1000,CHOOSE($E$14,INDEX(auto_DataFlat_Score,DY29,$E$11),-INDEX(auto_DataFlat_Score,DY29,$E$11),-$D29))</f>
        <v>#VALUE!</v>
      </c>
      <c r="EA29" s="91" t="e">
        <f ca="1">RANK(DZ29,OFFSET(DZ$21,0,0,$E$16+1,1))+COUNTIF(DZ$21:DZ29,DZ29)-1</f>
        <v>#VALUE!</v>
      </c>
      <c r="EB29" s="91" t="e">
        <f t="shared" ca="1" si="29"/>
        <v>#N/A</v>
      </c>
      <c r="EC29" s="91" t="e" cm="1">
        <f t="array" aca="1" ref="EC29" ca="1">INDEX(OFFSET(DY$21,0,0,$E$16+1,1),EB29)</f>
        <v>#N/A</v>
      </c>
      <c r="ED29" s="49" t="e" cm="1">
        <f t="array" aca="1" ref="ED29" ca="1">INDEX(OFFSET($E$21,0,0,$E$16+1,1),EB29)</f>
        <v>#N/A</v>
      </c>
      <c r="EE29" s="80" t="e" cm="1">
        <f t="array" aca="1" ref="EE29" ca="1">IF(ED29="G",5,INDEX(OFFSET($F$21,0,0,$E$16+1,1),EB29))</f>
        <v>#N/A</v>
      </c>
      <c r="EF29" s="80" t="e" cm="1">
        <f t="array" aca="1" ref="EF29" ca="1">IF(EC29=0,0,IF(ED29="G",-1,INDEX(auto_DataFlat_Classification,EC29,$E$11)))</f>
        <v>#N/A</v>
      </c>
      <c r="EG29" s="301" t="e" cm="1">
        <f t="array" aca="1" ref="EG29" ca="1">IF(EF29&lt;0,"",INDEX(uxbGlobals!$B$133:$B$139,EF29))</f>
        <v>#N/A</v>
      </c>
      <c r="EH29" s="80"/>
      <c r="EI29" s="302" t="e" cm="1">
        <f t="array" aca="1" ref="EI29" ca="1">IF(EE29=0,"",IF(ED29="G","--",INDEX(auto_DataFlat_Rank,EC29,$E$11)))</f>
        <v>#N/A</v>
      </c>
      <c r="EJ29" s="122" t="e" cm="1">
        <f t="array" aca="1" ref="EJ29" ca="1">IF(EE29=0,"",IF(ED29="G","AVERAGE",INDEX(auto_ddCountry,ED29)))</f>
        <v>#N/A</v>
      </c>
      <c r="EK29" s="290" t="e" cm="1">
        <f t="array" aca="1" ref="EK29" ca="1">IF(EE29=0,"",INDEX(auto_DataFlat_Score,EC29,$E$11))</f>
        <v>#N/A</v>
      </c>
      <c r="EL29" s="4"/>
      <c r="EM29" s="49">
        <f t="shared" si="46"/>
        <v>-1</v>
      </c>
      <c r="EN29" s="49" t="e" cm="1">
        <f t="array" ref="EN29">IF($F29=0,0,INDEX(sys_DataFlat_LU_Grid,EM29,$E29))</f>
        <v>#VALUE!</v>
      </c>
      <c r="EO29" s="49" t="e" cm="1">
        <f t="array" ref="EO29">IF($F29=0,-1000,CHOOSE($E$14,INDEX(auto_DataFlat_Score,EN29,$E$11),-INDEX(auto_DataFlat_Score,EN29,$E$11),-$D29))</f>
        <v>#VALUE!</v>
      </c>
      <c r="EP29" s="91" t="e">
        <f ca="1">RANK(EO29,OFFSET(EO$21,0,0,$E$16+1,1))+COUNTIF(EO$21:EO29,EO29)-1</f>
        <v>#VALUE!</v>
      </c>
      <c r="EQ29" s="91" t="e">
        <f t="shared" ca="1" si="30"/>
        <v>#N/A</v>
      </c>
      <c r="ER29" s="91" t="e" cm="1">
        <f t="array" aca="1" ref="ER29" ca="1">INDEX(OFFSET(EN$21,0,0,$E$16+1,1),EQ29)</f>
        <v>#N/A</v>
      </c>
      <c r="ES29" s="49" t="e" cm="1">
        <f t="array" aca="1" ref="ES29" ca="1">INDEX(OFFSET($E$21,0,0,$E$16+1,1),EQ29)</f>
        <v>#N/A</v>
      </c>
      <c r="ET29" s="80" t="e" cm="1">
        <f t="array" aca="1" ref="ET29" ca="1">IF(ES29="G",5,INDEX(OFFSET($F$21,0,0,$E$16+1,1),EQ29))</f>
        <v>#N/A</v>
      </c>
      <c r="EU29" s="80" t="e" cm="1">
        <f t="array" aca="1" ref="EU29" ca="1">IF(ER29=0,0,IF(ES29="G",-1,INDEX(auto_DataFlat_Classification,ER29,$E$11)))</f>
        <v>#N/A</v>
      </c>
      <c r="EV29" s="301" t="e" cm="1">
        <f t="array" aca="1" ref="EV29" ca="1">IF(EU29&lt;0,"",INDEX(uxbGlobals!$B$133:$B$139,EU29))</f>
        <v>#N/A</v>
      </c>
      <c r="EW29" s="80"/>
      <c r="EX29" s="302" t="e" cm="1">
        <f t="array" aca="1" ref="EX29" ca="1">IF(ET29=0,"",IF(ES29="G","--",INDEX(auto_DataFlat_Rank,ER29,$E$11)))</f>
        <v>#N/A</v>
      </c>
      <c r="EY29" s="122" t="e" cm="1">
        <f t="array" aca="1" ref="EY29" ca="1">IF(ET29=0,"",IF(ES29="G","AVERAGE",INDEX(auto_ddCountry,ES29)))</f>
        <v>#N/A</v>
      </c>
      <c r="EZ29" s="290" t="e" cm="1">
        <f t="array" aca="1" ref="EZ29" ca="1">IF(ET29=0,"",INDEX(auto_DataFlat_Score,ER29,$E$11))</f>
        <v>#N/A</v>
      </c>
    </row>
    <row r="30" spans="1:156" ht="17.149999999999999" customHeight="1" x14ac:dyDescent="0.4">
      <c r="A30" s="4"/>
      <c r="B30" s="4"/>
      <c r="C30" s="4"/>
      <c r="D30" s="26">
        <v>10</v>
      </c>
      <c r="E30" s="49">
        <f>tblCountries!M11</f>
        <v>9</v>
      </c>
      <c r="F30" s="114" cm="1">
        <f t="array" ref="F30">IF(E30=0,0,INDEX(auto_Country_Status,E30))</f>
        <v>1</v>
      </c>
      <c r="G30" s="4"/>
      <c r="H30" s="49">
        <f t="shared" si="31"/>
        <v>1</v>
      </c>
      <c r="I30" s="49" cm="1">
        <f t="array" ref="I30">IF($F30=0,0,INDEX(sys_DataFlat_LU_Grid,H30,$E30))</f>
        <v>9</v>
      </c>
      <c r="J30" s="49" cm="1">
        <f t="array" ref="J30">IF($F30=0,-1000,CHOOSE($E$14,INDEX(auto_DataFlat_Score,I30,$E$11),-INDEX(auto_DataFlat_Score,I30,$E$11),-$D30))</f>
        <v>69.5</v>
      </c>
      <c r="K30" s="91">
        <f ca="1">RANK(J30,OFFSET(J$21,0,0,$E$16+1,1))+COUNTIF(J$21:J30,J30)-1</f>
        <v>19</v>
      </c>
      <c r="L30" s="91">
        <f t="shared" ca="1" si="48"/>
        <v>43</v>
      </c>
      <c r="M30" s="91" cm="1">
        <f t="array" aca="1" ref="M30" ca="1">INDEX(OFFSET(I$21,0,0,$E$16+1,1),L30)</f>
        <v>42</v>
      </c>
      <c r="N30" s="49" cm="1">
        <f t="array" aca="1" ref="N30" ca="1">INDEX(OFFSET($E$21,0,0,$E$16+1,1),L30)</f>
        <v>42</v>
      </c>
      <c r="O30" s="80" cm="1">
        <f t="array" aca="1" ref="O30" ca="1">IF(N30="G",5,INDEX(OFFSET($F$21,0,0,$E$16+1,1),L30))</f>
        <v>1</v>
      </c>
      <c r="P30" s="80" cm="1">
        <f t="array" aca="1" ref="P30" ca="1">IF(M30=0,0,IF(N30="G",-1,INDEX(auto_DataFlat_Classification,M30,$E$11)))</f>
        <v>4</v>
      </c>
      <c r="Q30" s="301" t="str" cm="1">
        <f t="array" aca="1" ref="Q30" ca="1">IF(P30&lt;0,"",INDEX(uxbGlobals!$B$133:$B$139,P30))</f>
        <v xml:space="preserve"> </v>
      </c>
      <c r="R30" s="80"/>
      <c r="S30" s="302" t="str" cm="1">
        <f t="array" aca="1" ref="S30" ca="1">IF(O30=0,"",IF(N30="G","--",INDEX(auto_DataFlat_Rank,M30,$E$11)))</f>
        <v>10</v>
      </c>
      <c r="T30" s="122" t="str" cm="1">
        <f t="array" aca="1" ref="T30" ca="1">IF(O30=0,"",IF(N30="G"," AVERAGE",INDEX(auto_ddCountry,N30)))</f>
        <v>Seoul</v>
      </c>
      <c r="U30" s="290" cm="1">
        <f t="array" aca="1" ref="U30" ca="1">IF(O30=0,"",INDEX(auto_DataFlat_Score,M30,$E$11))</f>
        <v>75.599999999999994</v>
      </c>
      <c r="V30" s="4"/>
      <c r="W30" s="49">
        <f t="shared" si="33"/>
        <v>2</v>
      </c>
      <c r="X30" s="49" cm="1">
        <f t="array" ref="X30">IF($F30=0,0,INDEX(sys_DataFlat_LU_Grid,W30,$E30))</f>
        <v>69</v>
      </c>
      <c r="Y30" s="49" cm="1">
        <f t="array" ref="Y30">IF($F30=0,-1000,CHOOSE($E$14,INDEX(auto_DataFlat_Score,X30,$E$11),-INDEX(auto_DataFlat_Score,X30,$E$11),-$D30))</f>
        <v>85.6</v>
      </c>
      <c r="Z30" s="91">
        <f ca="1">RANK(Y30,OFFSET(Y$21,0,0,$E$16+1,1))+COUNTIF(Y$21:Y30,Y30)-1</f>
        <v>12</v>
      </c>
      <c r="AA30" s="91">
        <f t="shared" ca="1" si="49"/>
        <v>16</v>
      </c>
      <c r="AB30" s="91" cm="1">
        <f t="array" aca="1" ref="AB30" ca="1">INDEX(OFFSET(X$21,0,0,$E$16+1,1),AA30)</f>
        <v>75</v>
      </c>
      <c r="AC30" s="49" cm="1">
        <f t="array" aca="1" ref="AC30" ca="1">INDEX(OFFSET($E$21,0,0,$E$16+1,1),AA30)</f>
        <v>15</v>
      </c>
      <c r="AD30" s="80" cm="1">
        <f t="array" aca="1" ref="AD30" ca="1">IF(AC30="G",5,INDEX(OFFSET($F$21,0,0,$E$16+1,1),AA30))</f>
        <v>1</v>
      </c>
      <c r="AE30" s="80" cm="1">
        <f t="array" aca="1" ref="AE30" ca="1">IF(AB30=0,0,IF(AC30="G",-1,INDEX(auto_DataFlat_Classification,AB30,$E$11)))</f>
        <v>5</v>
      </c>
      <c r="AF30" s="301" t="str" cm="1">
        <f t="array" aca="1" ref="AF30" ca="1">IF(AE30&lt;0,"",INDEX(uxbGlobals!$B$133:$B$139,AE30))</f>
        <v xml:space="preserve"> </v>
      </c>
      <c r="AG30" s="80"/>
      <c r="AH30" s="302" t="str" cm="1">
        <f t="array" aca="1" ref="AH30" ca="1">IF(AD30=0,"",IF(AC30="G","--",INDEX(auto_DataFlat_Rank,AB30,$E$11)))</f>
        <v>10</v>
      </c>
      <c r="AI30" s="122" t="str" cm="1">
        <f t="array" aca="1" ref="AI30" ca="1">IF(AD30=0,"",IF(AC30="G","AVERAGE",INDEX(auto_ddCountry,AC30)))</f>
        <v>Helsinki</v>
      </c>
      <c r="AJ30" s="290" cm="1">
        <f t="array" aca="1" ref="AJ30" ca="1">IF(AD30=0,"",INDEX(auto_DataFlat_Score,AB30,$E$11))</f>
        <v>86.4</v>
      </c>
      <c r="AK30" s="4"/>
      <c r="AL30" s="49">
        <f t="shared" si="35"/>
        <v>14</v>
      </c>
      <c r="AM30" s="49" cm="1">
        <f t="array" ref="AM30">IF($F30=0,0,INDEX(sys_DataFlat_LU_Grid,AL30,$E30))</f>
        <v>789</v>
      </c>
      <c r="AN30" s="49" cm="1">
        <f t="array" ref="AN30">IF($F30=0,-1000,CHOOSE($E$14,INDEX(auto_DataFlat_Score,AM30,$E$11),-INDEX(auto_DataFlat_Score,AM30,$E$11),-$D30))</f>
        <v>60.7</v>
      </c>
      <c r="AO30" s="91">
        <f ca="1">RANK(AN30,OFFSET(AN$21,0,0,$E$16+1,1))+COUNTIF(AN$21:AN30,AN30)-1</f>
        <v>17</v>
      </c>
      <c r="AP30" s="91">
        <f t="shared" ca="1" si="50"/>
        <v>35</v>
      </c>
      <c r="AQ30" s="91" cm="1">
        <f t="array" aca="1" ref="AQ30" ca="1">INDEX(OFFSET(AM$21,0,0,$E$16+1,1),AP30)</f>
        <v>814</v>
      </c>
      <c r="AR30" s="49" cm="1">
        <f t="array" aca="1" ref="AR30" ca="1">INDEX(OFFSET($E$21,0,0,$E$16+1,1),AP30)</f>
        <v>34</v>
      </c>
      <c r="AS30" s="80" cm="1">
        <f t="array" aca="1" ref="AS30" ca="1">IF(AR30="G",5,INDEX(OFFSET($F$21,0,0,$E$16+1,1),AP30))</f>
        <v>1</v>
      </c>
      <c r="AT30" s="80" cm="1">
        <f t="array" aca="1" ref="AT30" ca="1">IF(AQ30=0,0,IF(AR30="G",-1,INDEX(auto_DataFlat_Classification,AQ30,$E$11)))</f>
        <v>4</v>
      </c>
      <c r="AU30" s="301" t="str" cm="1">
        <f t="array" aca="1" ref="AU30" ca="1">IF(AT30&lt;0,"",INDEX(uxbGlobals!$B$133:$B$139,AT30))</f>
        <v xml:space="preserve"> </v>
      </c>
      <c r="AV30" s="80"/>
      <c r="AW30" s="302" t="str" cm="1">
        <f t="array" aca="1" ref="AW30" ca="1">IF(AS30=0,"",IF(AR30="G","--",INDEX(auto_DataFlat_Rank,AQ30,$E$11)))</f>
        <v>10</v>
      </c>
      <c r="AX30" s="122" t="str" cm="1">
        <f t="array" aca="1" ref="AX30" ca="1">IF(AS30=0,"",IF(AR30="G","AVERAGE",INDEX(auto_ddCountry,AR30)))</f>
        <v>New York City</v>
      </c>
      <c r="AY30" s="290" cm="1">
        <f t="array" aca="1" ref="AY30" ca="1">IF(AS30=0,"",INDEX(auto_DataFlat_Score,AQ30,$E$11))</f>
        <v>68.8</v>
      </c>
      <c r="AZ30" s="4"/>
      <c r="BA30" s="49">
        <f t="shared" si="37"/>
        <v>22</v>
      </c>
      <c r="BB30" s="49" cm="1">
        <f t="array" ref="BB30">IF($F30=0,0,INDEX(sys_DataFlat_LU_Grid,BA30,$E30))</f>
        <v>1269</v>
      </c>
      <c r="BC30" s="49" cm="1">
        <f t="array" ref="BC30">IF($F30=0,-1000,CHOOSE($E$14,INDEX(auto_DataFlat_Score,BB30,$E$11),-INDEX(auto_DataFlat_Score,BB30,$E$11),-$D30))</f>
        <v>72.599999999999994</v>
      </c>
      <c r="BD30" s="91">
        <f ca="1">RANK(BC30,OFFSET(BC$21,0,0,$E$16+1,1))+COUNTIF(BC$21:BC30,BC30)-1</f>
        <v>13</v>
      </c>
      <c r="BE30" s="91">
        <f t="shared" ca="1" si="51"/>
        <v>16</v>
      </c>
      <c r="BF30" s="91" cm="1">
        <f t="array" aca="1" ref="BF30" ca="1">INDEX(OFFSET(BB$21,0,0,$E$16+1,1),BE30)</f>
        <v>1275</v>
      </c>
      <c r="BG30" s="49" cm="1">
        <f t="array" aca="1" ref="BG30" ca="1">INDEX(OFFSET($E$21,0,0,$E$16+1,1),BE30)</f>
        <v>15</v>
      </c>
      <c r="BH30" s="80" cm="1">
        <f t="array" aca="1" ref="BH30" ca="1">IF(BG30="G",5,INDEX(OFFSET($F$21,0,0,$E$16+1,1),BE30))</f>
        <v>1</v>
      </c>
      <c r="BI30" s="80" cm="1">
        <f t="array" aca="1" ref="BI30" ca="1">IF(BF30=0,0,IF(BG30="G",-1,INDEX(auto_DataFlat_Classification,BF30,$E$11)))</f>
        <v>4</v>
      </c>
      <c r="BJ30" s="301" t="str" cm="1">
        <f t="array" aca="1" ref="BJ30" ca="1">IF(BI30&lt;0,"",INDEX(uxbGlobals!$B$133:$B$139,BI30))</f>
        <v xml:space="preserve"> </v>
      </c>
      <c r="BK30" s="80"/>
      <c r="BL30" s="302" t="str" cm="1">
        <f t="array" aca="1" ref="BL30" ca="1">IF(BH30=0,"",IF(BG30="G","--",INDEX(auto_DataFlat_Rank,BF30,$E$11)))</f>
        <v>10</v>
      </c>
      <c r="BM30" s="122" t="str" cm="1">
        <f t="array" aca="1" ref="BM30" ca="1">IF(BH30=0,"",IF(BG30="G","AVERAGE",INDEX(auto_ddCountry,BG30)))</f>
        <v>Helsinki</v>
      </c>
      <c r="BN30" s="290" cm="1">
        <f t="array" aca="1" ref="BN30" ca="1">IF(BH30=0,"",INDEX(auto_DataFlat_Score,BF30,$E$11))</f>
        <v>77.400000000000006</v>
      </c>
      <c r="BO30" s="4"/>
      <c r="BP30" s="49">
        <f t="shared" si="39"/>
        <v>47</v>
      </c>
      <c r="BQ30" s="49" cm="1">
        <f t="array" ref="BQ30">IF($F30=0,0,INDEX(sys_DataFlat_LU_Grid,BP30,$E30))</f>
        <v>2769</v>
      </c>
      <c r="BR30" s="49" cm="1">
        <f t="array" ref="BR30">IF($F30=0,-1000,CHOOSE($E$14,INDEX(auto_DataFlat_Score,BQ30,$E$11),-INDEX(auto_DataFlat_Score,BQ30,$E$11),-$D30))</f>
        <v>60.8</v>
      </c>
      <c r="BS30" s="91">
        <f ca="1">RANK(BR30,OFFSET(BR$21,0,0,$E$16+1,1))+COUNTIF(BR$21:BR30,BR30)-1</f>
        <v>28</v>
      </c>
      <c r="BT30" s="91">
        <f t="shared" ca="1" si="52"/>
        <v>28</v>
      </c>
      <c r="BU30" s="91" cm="1">
        <f t="array" aca="1" ref="BU30" ca="1">INDEX(OFFSET(BQ$21,0,0,$E$16+1,1),BT30)</f>
        <v>2787</v>
      </c>
      <c r="BV30" s="49" cm="1">
        <f t="array" aca="1" ref="BV30" ca="1">INDEX(OFFSET($E$21,0,0,$E$16+1,1),BT30)</f>
        <v>27</v>
      </c>
      <c r="BW30" s="80" cm="1">
        <f t="array" aca="1" ref="BW30" ca="1">IF(BV30="G",5,INDEX(OFFSET($F$21,0,0,$E$16+1,1),BT30))</f>
        <v>1</v>
      </c>
      <c r="BX30" s="80" cm="1">
        <f t="array" aca="1" ref="BX30" ca="1">IF(BU30=0,0,IF(BV30="G",-1,INDEX(auto_DataFlat_Classification,BU30,$E$11)))</f>
        <v>5</v>
      </c>
      <c r="BY30" s="301" t="str" cm="1">
        <f t="array" aca="1" ref="BY30" ca="1">IF(BX30&lt;0,"",INDEX(uxbGlobals!$B$133:$B$139,BX30))</f>
        <v xml:space="preserve"> </v>
      </c>
      <c r="BZ30" s="80"/>
      <c r="CA30" s="302" t="str" cm="1">
        <f t="array" aca="1" ref="CA30" ca="1">IF(BW30=0,"",IF(BV30="G","--",INDEX(auto_DataFlat_Rank,BU30,$E$11)))</f>
        <v>10</v>
      </c>
      <c r="CB30" s="122" t="str" cm="1">
        <f t="array" aca="1" ref="CB30" ca="1">IF(BW30=0,"",IF(BV30="G","AVERAGE",INDEX(auto_ddCountry,BV30)))</f>
        <v>Madrid</v>
      </c>
      <c r="CC30" s="290" cm="1">
        <f t="array" aca="1" ref="CC30" ca="1">IF(BW30=0,"",INDEX(auto_DataFlat_Score,BU30,$E$11))</f>
        <v>83.7</v>
      </c>
      <c r="CD30" s="4"/>
      <c r="CE30" s="49">
        <f t="shared" si="41"/>
        <v>52</v>
      </c>
      <c r="CF30" s="49" cm="1">
        <f t="array" ref="CF30">IF($F30=0,0,INDEX(sys_DataFlat_LU_Grid,CE30,$E30))</f>
        <v>3069</v>
      </c>
      <c r="CG30" s="49" cm="1">
        <f t="array" ref="CG30">IF($F30=0,-1000,CHOOSE($E$14,INDEX(auto_DataFlat_Score,CF30,$E$11),-INDEX(auto_DataFlat_Score,CF30,$E$11),-$D30))</f>
        <v>66.7</v>
      </c>
      <c r="CH30" s="91">
        <f ca="1">RANK(CG30,OFFSET(CG$21,0,0,$E$16+1,1))+COUNTIF(CG$21:CG30,CG30)-1</f>
        <v>35</v>
      </c>
      <c r="CI30" s="91">
        <f t="shared" ca="1" si="53"/>
        <v>33</v>
      </c>
      <c r="CJ30" s="91" cm="1">
        <f t="array" aca="1" ref="CJ30" ca="1">INDEX(OFFSET(CF$21,0,0,$E$16+1,1),CI30)</f>
        <v>3092</v>
      </c>
      <c r="CK30" s="49" cm="1">
        <f t="array" aca="1" ref="CK30" ca="1">INDEX(OFFSET($E$21,0,0,$E$16+1,1),CI30)</f>
        <v>32</v>
      </c>
      <c r="CL30" s="80" cm="1">
        <f t="array" aca="1" ref="CL30" ca="1">IF(CK30="G",5,INDEX(OFFSET($F$21,0,0,$E$16+1,1),CI30))</f>
        <v>1</v>
      </c>
      <c r="CM30" s="80" cm="1">
        <f t="array" aca="1" ref="CM30" ca="1">IF(CJ30=0,0,IF(CK30="G",-1,INDEX(auto_DataFlat_Classification,CJ30,$E$11)))</f>
        <v>4</v>
      </c>
      <c r="CN30" s="301" t="str" cm="1">
        <f t="array" aca="1" ref="CN30" ca="1">IF(CM30&lt;0,"",INDEX(uxbGlobals!$B$133:$B$139,CM30))</f>
        <v xml:space="preserve"> </v>
      </c>
      <c r="CO30" s="80"/>
      <c r="CP30" s="302" t="str" cm="1">
        <f t="array" aca="1" ref="CP30" ca="1">IF(CL30=0,"",IF(CK30="G","--",INDEX(auto_DataFlat_Rank,CJ30,$E$11)))</f>
        <v>=10</v>
      </c>
      <c r="CQ30" s="122" t="str" cm="1">
        <f t="array" aca="1" ref="CQ30" ca="1">IF(CL30=0,"",IF(CK30="G","AVERAGE",INDEX(auto_ddCountry,CK30)))</f>
        <v>Mumbai</v>
      </c>
      <c r="CR30" s="290" cm="1">
        <f t="array" aca="1" ref="CR30" ca="1">IF(CL30=0,"",INDEX(auto_DataFlat_Score,CJ30,$E$11))</f>
        <v>79.599999999999994</v>
      </c>
      <c r="CS30" s="4"/>
      <c r="CT30" s="49">
        <f t="shared" si="43"/>
        <v>-1</v>
      </c>
      <c r="CU30" s="49" t="e" cm="1">
        <f t="array" ref="CU30">IF($F30=0,0,INDEX(sys_DataFlat_LU_Grid,CT30,$E30))</f>
        <v>#VALUE!</v>
      </c>
      <c r="CV30" s="49" t="e" cm="1">
        <f t="array" ref="CV30">IF($F30=0,-1000,CHOOSE($E$14,INDEX(auto_DataFlat_Score,CU30,$E$11),-INDEX(auto_DataFlat_Score,CU30,$E$11),-$D30))</f>
        <v>#VALUE!</v>
      </c>
      <c r="CW30" s="91" t="e">
        <f ca="1">RANK(CV30,OFFSET(CV$21,0,0,$E$16+1,1))+COUNTIF(CV$21:CV30,CV30)-1</f>
        <v>#VALUE!</v>
      </c>
      <c r="CX30" s="91" t="e">
        <f t="shared" ca="1" si="47"/>
        <v>#N/A</v>
      </c>
      <c r="CY30" s="91" t="e" cm="1">
        <f t="array" aca="1" ref="CY30" ca="1">INDEX(OFFSET(CU$21,0,0,$E$16+1,1),CX30)</f>
        <v>#N/A</v>
      </c>
      <c r="CZ30" s="49" t="e" cm="1">
        <f t="array" aca="1" ref="CZ30" ca="1">INDEX(OFFSET($E$21,0,0,$E$16+1,1),CX30)</f>
        <v>#N/A</v>
      </c>
      <c r="DA30" s="80" t="e" cm="1">
        <f t="array" aca="1" ref="DA30" ca="1">IF(CZ30="G",5,INDEX(OFFSET($F$21,0,0,$E$16+1,1),CX30))</f>
        <v>#N/A</v>
      </c>
      <c r="DB30" s="80" t="e" cm="1">
        <f t="array" aca="1" ref="DB30" ca="1">IF(CY30=0,0,IF(CZ30="G",-1,INDEX(auto_DataFlat_Classification,CY30,$E$11)))</f>
        <v>#N/A</v>
      </c>
      <c r="DC30" s="301" t="e" cm="1">
        <f t="array" aca="1" ref="DC30" ca="1">IF(DB30&lt;0,"",INDEX(uxbGlobals!$B$133:$B$139,DB30))</f>
        <v>#N/A</v>
      </c>
      <c r="DD30" s="80"/>
      <c r="DE30" s="302" t="e" cm="1">
        <f t="array" aca="1" ref="DE30" ca="1">IF(DA30=0,"",IF(CZ30="G","--",INDEX(auto_DataFlat_Rank,CY30,$E$11)))</f>
        <v>#N/A</v>
      </c>
      <c r="DF30" s="122" t="e" cm="1">
        <f t="array" aca="1" ref="DF30" ca="1">IF(DA30=0,"",IF(CZ30="G","AVERAGE",INDEX(auto_ddCountry,CZ30)))</f>
        <v>#N/A</v>
      </c>
      <c r="DG30" s="290" t="e" cm="1">
        <f t="array" aca="1" ref="DG30" ca="1">IF(DA30=0,"",INDEX(auto_DataFlat_Score,CY30,$E$11))</f>
        <v>#N/A</v>
      </c>
      <c r="DH30" s="4"/>
      <c r="DI30" s="49">
        <f t="shared" si="44"/>
        <v>-1</v>
      </c>
      <c r="DJ30" s="49" t="e" cm="1">
        <f t="array" ref="DJ30">IF($F30=0,0,INDEX(sys_DataFlat_LU_Grid,DI30,$E30))</f>
        <v>#VALUE!</v>
      </c>
      <c r="DK30" s="49" t="e" cm="1">
        <f t="array" ref="DK30">IF($F30=0,-1000,CHOOSE($E$14,INDEX(auto_DataFlat_Score,DJ30,$E$11),-INDEX(auto_DataFlat_Score,DJ30,$E$11),-$D30))</f>
        <v>#VALUE!</v>
      </c>
      <c r="DL30" s="91" t="e">
        <f ca="1">RANK(DK30,OFFSET(DK$21,0,0,$E$16+1,1))+COUNTIF(DK$21:DK30,DK30)-1</f>
        <v>#VALUE!</v>
      </c>
      <c r="DM30" s="91" t="e">
        <f t="shared" ca="1" si="28"/>
        <v>#N/A</v>
      </c>
      <c r="DN30" s="91" t="e" cm="1">
        <f t="array" aca="1" ref="DN30" ca="1">INDEX(OFFSET(DJ$21,0,0,$E$16+1,1),DM30)</f>
        <v>#N/A</v>
      </c>
      <c r="DO30" s="49" t="e" cm="1">
        <f t="array" aca="1" ref="DO30" ca="1">INDEX(OFFSET($E$21,0,0,$E$16+1,1),DM30)</f>
        <v>#N/A</v>
      </c>
      <c r="DP30" s="80" t="e" cm="1">
        <f t="array" aca="1" ref="DP30" ca="1">IF(DO30="G",5,INDEX(OFFSET($F$21,0,0,$E$16+1,1),DM30))</f>
        <v>#N/A</v>
      </c>
      <c r="DQ30" s="80" t="e" cm="1">
        <f t="array" aca="1" ref="DQ30" ca="1">IF(DN30=0,0,IF(DO30="G",-1,INDEX(auto_DataFlat_Classification,DN30,$E$11)))</f>
        <v>#N/A</v>
      </c>
      <c r="DR30" s="301" t="e" cm="1">
        <f t="array" aca="1" ref="DR30" ca="1">IF(DQ30&lt;0,"",INDEX(uxbGlobals!$B$133:$B$139,DQ30))</f>
        <v>#N/A</v>
      </c>
      <c r="DS30" s="80"/>
      <c r="DT30" s="302" t="e" cm="1">
        <f t="array" aca="1" ref="DT30" ca="1">IF(DP30=0,"",IF(DO30="G","--",INDEX(auto_DataFlat_Rank,DN30,$E$11)))</f>
        <v>#N/A</v>
      </c>
      <c r="DU30" s="122" t="e" cm="1">
        <f t="array" aca="1" ref="DU30" ca="1">IF(DP30=0,"",IF(DO30="G","AVERAGE",INDEX(auto_ddCountry,DO30)))</f>
        <v>#N/A</v>
      </c>
      <c r="DV30" s="290" t="e" cm="1">
        <f t="array" aca="1" ref="DV30" ca="1">IF(DP30=0,"",INDEX(auto_DataFlat_Score,DN30,$E$11))</f>
        <v>#N/A</v>
      </c>
      <c r="DW30" s="4"/>
      <c r="DX30" s="49">
        <f t="shared" si="45"/>
        <v>-1</v>
      </c>
      <c r="DY30" s="49" t="e" cm="1">
        <f t="array" ref="DY30">IF($F30=0,0,INDEX(sys_DataFlat_LU_Grid,DX30,$E30))</f>
        <v>#VALUE!</v>
      </c>
      <c r="DZ30" s="49" t="e" cm="1">
        <f t="array" ref="DZ30">IF($F30=0,-1000,CHOOSE($E$14,INDEX(auto_DataFlat_Score,DY30,$E$11),-INDEX(auto_DataFlat_Score,DY30,$E$11),-$D30))</f>
        <v>#VALUE!</v>
      </c>
      <c r="EA30" s="91" t="e">
        <f ca="1">RANK(DZ30,OFFSET(DZ$21,0,0,$E$16+1,1))+COUNTIF(DZ$21:DZ30,DZ30)-1</f>
        <v>#VALUE!</v>
      </c>
      <c r="EB30" s="91" t="e">
        <f t="shared" ca="1" si="29"/>
        <v>#N/A</v>
      </c>
      <c r="EC30" s="91" t="e" cm="1">
        <f t="array" aca="1" ref="EC30" ca="1">INDEX(OFFSET(DY$21,0,0,$E$16+1,1),EB30)</f>
        <v>#N/A</v>
      </c>
      <c r="ED30" s="49" t="e" cm="1">
        <f t="array" aca="1" ref="ED30" ca="1">INDEX(OFFSET($E$21,0,0,$E$16+1,1),EB30)</f>
        <v>#N/A</v>
      </c>
      <c r="EE30" s="80" t="e" cm="1">
        <f t="array" aca="1" ref="EE30" ca="1">IF(ED30="G",5,INDEX(OFFSET($F$21,0,0,$E$16+1,1),EB30))</f>
        <v>#N/A</v>
      </c>
      <c r="EF30" s="80" t="e" cm="1">
        <f t="array" aca="1" ref="EF30" ca="1">IF(EC30=0,0,IF(ED30="G",-1,INDEX(auto_DataFlat_Classification,EC30,$E$11)))</f>
        <v>#N/A</v>
      </c>
      <c r="EG30" s="301" t="e" cm="1">
        <f t="array" aca="1" ref="EG30" ca="1">IF(EF30&lt;0,"",INDEX(uxbGlobals!$B$133:$B$139,EF30))</f>
        <v>#N/A</v>
      </c>
      <c r="EH30" s="80"/>
      <c r="EI30" s="302" t="e" cm="1">
        <f t="array" aca="1" ref="EI30" ca="1">IF(EE30=0,"",IF(ED30="G","--",INDEX(auto_DataFlat_Rank,EC30,$E$11)))</f>
        <v>#N/A</v>
      </c>
      <c r="EJ30" s="122" t="e" cm="1">
        <f t="array" aca="1" ref="EJ30" ca="1">IF(EE30=0,"",IF(ED30="G","AVERAGE",INDEX(auto_ddCountry,ED30)))</f>
        <v>#N/A</v>
      </c>
      <c r="EK30" s="290" t="e" cm="1">
        <f t="array" aca="1" ref="EK30" ca="1">IF(EE30=0,"",INDEX(auto_DataFlat_Score,EC30,$E$11))</f>
        <v>#N/A</v>
      </c>
      <c r="EL30" s="4"/>
      <c r="EM30" s="49">
        <f t="shared" si="46"/>
        <v>-1</v>
      </c>
      <c r="EN30" s="49" t="e" cm="1">
        <f t="array" ref="EN30">IF($F30=0,0,INDEX(sys_DataFlat_LU_Grid,EM30,$E30))</f>
        <v>#VALUE!</v>
      </c>
      <c r="EO30" s="49" t="e" cm="1">
        <f t="array" ref="EO30">IF($F30=0,-1000,CHOOSE($E$14,INDEX(auto_DataFlat_Score,EN30,$E$11),-INDEX(auto_DataFlat_Score,EN30,$E$11),-$D30))</f>
        <v>#VALUE!</v>
      </c>
      <c r="EP30" s="91" t="e">
        <f ca="1">RANK(EO30,OFFSET(EO$21,0,0,$E$16+1,1))+COUNTIF(EO$21:EO30,EO30)-1</f>
        <v>#VALUE!</v>
      </c>
      <c r="EQ30" s="91" t="e">
        <f t="shared" ca="1" si="30"/>
        <v>#N/A</v>
      </c>
      <c r="ER30" s="91" t="e" cm="1">
        <f t="array" aca="1" ref="ER30" ca="1">INDEX(OFFSET(EN$21,0,0,$E$16+1,1),EQ30)</f>
        <v>#N/A</v>
      </c>
      <c r="ES30" s="49" t="e" cm="1">
        <f t="array" aca="1" ref="ES30" ca="1">INDEX(OFFSET($E$21,0,0,$E$16+1,1),EQ30)</f>
        <v>#N/A</v>
      </c>
      <c r="ET30" s="80" t="e" cm="1">
        <f t="array" aca="1" ref="ET30" ca="1">IF(ES30="G",5,INDEX(OFFSET($F$21,0,0,$E$16+1,1),EQ30))</f>
        <v>#N/A</v>
      </c>
      <c r="EU30" s="80" t="e" cm="1">
        <f t="array" aca="1" ref="EU30" ca="1">IF(ER30=0,0,IF(ES30="G",-1,INDEX(auto_DataFlat_Classification,ER30,$E$11)))</f>
        <v>#N/A</v>
      </c>
      <c r="EV30" s="301" t="e" cm="1">
        <f t="array" aca="1" ref="EV30" ca="1">IF(EU30&lt;0,"",INDEX(uxbGlobals!$B$133:$B$139,EU30))</f>
        <v>#N/A</v>
      </c>
      <c r="EW30" s="80"/>
      <c r="EX30" s="302" t="e" cm="1">
        <f t="array" aca="1" ref="EX30" ca="1">IF(ET30=0,"",IF(ES30="G","--",INDEX(auto_DataFlat_Rank,ER30,$E$11)))</f>
        <v>#N/A</v>
      </c>
      <c r="EY30" s="122" t="e" cm="1">
        <f t="array" aca="1" ref="EY30" ca="1">IF(ET30=0,"",IF(ES30="G","AVERAGE",INDEX(auto_ddCountry,ES30)))</f>
        <v>#N/A</v>
      </c>
      <c r="EZ30" s="290" t="e" cm="1">
        <f t="array" aca="1" ref="EZ30" ca="1">IF(ET30=0,"",INDEX(auto_DataFlat_Score,ER30,$E$11))</f>
        <v>#N/A</v>
      </c>
    </row>
    <row r="31" spans="1:156" ht="17.149999999999999" customHeight="1" x14ac:dyDescent="0.4">
      <c r="A31" s="4"/>
      <c r="B31" s="4"/>
      <c r="C31" s="4"/>
      <c r="D31" s="26">
        <v>11</v>
      </c>
      <c r="E31" s="49">
        <f>tblCountries!M12</f>
        <v>10</v>
      </c>
      <c r="F31" s="114" cm="1">
        <f t="array" ref="F31">IF(E31=0,0,INDEX(auto_Country_Status,E31))</f>
        <v>1</v>
      </c>
      <c r="G31" s="4"/>
      <c r="H31" s="49">
        <f t="shared" si="31"/>
        <v>1</v>
      </c>
      <c r="I31" s="49" cm="1">
        <f t="array" ref="I31">IF($F31=0,0,INDEX(sys_DataFlat_LU_Grid,H31,$E31))</f>
        <v>10</v>
      </c>
      <c r="J31" s="49" cm="1">
        <f t="array" ref="J31">IF($F31=0,-1000,CHOOSE($E$14,INDEX(auto_DataFlat_Score,I31,$E$11),-INDEX(auto_DataFlat_Score,I31,$E$11),-$D31))</f>
        <v>40.6</v>
      </c>
      <c r="K31" s="91">
        <f ca="1">RANK(J31,OFFSET(J$21,0,0,$E$16+1,1))+COUNTIF(J$21:J31,J31)-1</f>
        <v>51</v>
      </c>
      <c r="L31" s="91">
        <f t="shared" ca="1" si="48"/>
        <v>16</v>
      </c>
      <c r="M31" s="91" cm="1">
        <f t="array" aca="1" ref="M31" ca="1">INDEX(OFFSET(I$21,0,0,$E$16+1,1),L31)</f>
        <v>15</v>
      </c>
      <c r="N31" s="49" cm="1">
        <f t="array" aca="1" ref="N31" ca="1">INDEX(OFFSET($E$21,0,0,$E$16+1,1),L31)</f>
        <v>15</v>
      </c>
      <c r="O31" s="80" cm="1">
        <f t="array" aca="1" ref="O31" ca="1">IF(N31="G",5,INDEX(OFFSET($F$21,0,0,$E$16+1,1),L31))</f>
        <v>1</v>
      </c>
      <c r="P31" s="80" cm="1">
        <f t="array" aca="1" ref="P31" ca="1">IF(M31=0,0,IF(N31="G",-1,INDEX(auto_DataFlat_Classification,M31,$E$11)))</f>
        <v>4</v>
      </c>
      <c r="Q31" s="301" t="str" cm="1">
        <f t="array" aca="1" ref="Q31" ca="1">IF(P31&lt;0,"",INDEX(uxbGlobals!$B$133:$B$139,P31))</f>
        <v xml:space="preserve"> </v>
      </c>
      <c r="R31" s="80"/>
      <c r="S31" s="302" t="str" cm="1">
        <f t="array" aca="1" ref="S31" ca="1">IF(O31=0,"",IF(N31="G","--",INDEX(auto_DataFlat_Rank,M31,$E$11)))</f>
        <v>11</v>
      </c>
      <c r="T31" s="122" t="str" cm="1">
        <f t="array" aca="1" ref="T31" ca="1">IF(O31=0,"",IF(N31="G"," AVERAGE",INDEX(auto_ddCountry,N31)))</f>
        <v>Helsinki</v>
      </c>
      <c r="U31" s="290" cm="1">
        <f t="array" aca="1" ref="U31" ca="1">IF(O31=0,"",INDEX(auto_DataFlat_Score,M31,$E$11))</f>
        <v>75.5</v>
      </c>
      <c r="V31" s="4"/>
      <c r="W31" s="49">
        <f t="shared" si="33"/>
        <v>2</v>
      </c>
      <c r="X31" s="49" cm="1">
        <f t="array" ref="X31">IF($F31=0,0,INDEX(sys_DataFlat_LU_Grid,W31,$E31))</f>
        <v>70</v>
      </c>
      <c r="Y31" s="49" cm="1">
        <f t="array" ref="Y31">IF($F31=0,-1000,CHOOSE($E$14,INDEX(auto_DataFlat_Score,X31,$E$11),-INDEX(auto_DataFlat_Score,X31,$E$11),-$D31))</f>
        <v>40.9</v>
      </c>
      <c r="Z31" s="91">
        <f ca="1">RANK(Y31,OFFSET(Y$21,0,0,$E$16+1,1))+COUNTIF(Y$21:Y31,Y31)-1</f>
        <v>48</v>
      </c>
      <c r="AA31" s="91">
        <f t="shared" ca="1" si="49"/>
        <v>45</v>
      </c>
      <c r="AB31" s="91" cm="1">
        <f t="array" aca="1" ref="AB31" ca="1">INDEX(OFFSET(X$21,0,0,$E$16+1,1),AA31)</f>
        <v>104</v>
      </c>
      <c r="AC31" s="49" cm="1">
        <f t="array" aca="1" ref="AC31" ca="1">INDEX(OFFSET($E$21,0,0,$E$16+1,1),AA31)</f>
        <v>44</v>
      </c>
      <c r="AD31" s="80" cm="1">
        <f t="array" aca="1" ref="AD31" ca="1">IF(AC31="G",5,INDEX(OFFSET($F$21,0,0,$E$16+1,1),AA31))</f>
        <v>1</v>
      </c>
      <c r="AE31" s="80" cm="1">
        <f t="array" aca="1" ref="AE31" ca="1">IF(AB31=0,0,IF(AC31="G",-1,INDEX(auto_DataFlat_Classification,AB31,$E$11)))</f>
        <v>5</v>
      </c>
      <c r="AF31" s="301" t="str" cm="1">
        <f t="array" aca="1" ref="AF31" ca="1">IF(AE31&lt;0,"",INDEX(uxbGlobals!$B$133:$B$139,AE31))</f>
        <v xml:space="preserve"> </v>
      </c>
      <c r="AG31" s="80"/>
      <c r="AH31" s="302" t="str" cm="1">
        <f t="array" aca="1" ref="AH31" ca="1">IF(AD31=0,"",IF(AC31="G","--",INDEX(auto_DataFlat_Rank,AB31,$E$11)))</f>
        <v>11</v>
      </c>
      <c r="AI31" s="122" t="str" cm="1">
        <f t="array" aca="1" ref="AI31" ca="1">IF(AD31=0,"",IF(AC31="G","AVERAGE",INDEX(auto_ddCountry,AC31)))</f>
        <v>Singapore</v>
      </c>
      <c r="AJ31" s="290" cm="1">
        <f t="array" aca="1" ref="AJ31" ca="1">IF(AD31=0,"",INDEX(auto_DataFlat_Score,AB31,$E$11))</f>
        <v>86.2</v>
      </c>
      <c r="AK31" s="4"/>
      <c r="AL31" s="49">
        <f t="shared" si="35"/>
        <v>14</v>
      </c>
      <c r="AM31" s="49" cm="1">
        <f t="array" ref="AM31">IF($F31=0,0,INDEX(sys_DataFlat_LU_Grid,AL31,$E31))</f>
        <v>790</v>
      </c>
      <c r="AN31" s="49" cm="1">
        <f t="array" ref="AN31">IF($F31=0,-1000,CHOOSE($E$14,INDEX(auto_DataFlat_Score,AM31,$E$11),-INDEX(auto_DataFlat_Score,AM31,$E$11),-$D31))</f>
        <v>12.4</v>
      </c>
      <c r="AO31" s="91">
        <f ca="1">RANK(AN31,OFFSET(AN$21,0,0,$E$16+1,1))+COUNTIF(AN$21:AN31,AN31)-1</f>
        <v>50</v>
      </c>
      <c r="AP31" s="91">
        <f t="shared" ca="1" si="50"/>
        <v>5</v>
      </c>
      <c r="AQ31" s="91" cm="1">
        <f t="array" aca="1" ref="AQ31" ca="1">INDEX(OFFSET(AM$21,0,0,$E$16+1,1),AP31)</f>
        <v>784</v>
      </c>
      <c r="AR31" s="49" cm="1">
        <f t="array" aca="1" ref="AR31" ca="1">INDEX(OFFSET($E$21,0,0,$E$16+1,1),AP31)</f>
        <v>4</v>
      </c>
      <c r="AS31" s="80" cm="1">
        <f t="array" aca="1" ref="AS31" ca="1">IF(AR31="G",5,INDEX(OFFSET($F$21,0,0,$E$16+1,1),AP31))</f>
        <v>1</v>
      </c>
      <c r="AT31" s="80" cm="1">
        <f t="array" aca="1" ref="AT31" ca="1">IF(AQ31=0,0,IF(AR31="G",-1,INDEX(auto_DataFlat_Classification,AQ31,$E$11)))</f>
        <v>4</v>
      </c>
      <c r="AU31" s="301" t="str" cm="1">
        <f t="array" aca="1" ref="AU31" ca="1">IF(AT31&lt;0,"",INDEX(uxbGlobals!$B$133:$B$139,AT31))</f>
        <v xml:space="preserve"> </v>
      </c>
      <c r="AV31" s="80"/>
      <c r="AW31" s="302" t="str" cm="1">
        <f t="array" aca="1" ref="AW31" ca="1">IF(AS31=0,"",IF(AR31="G","--",INDEX(auto_DataFlat_Rank,AQ31,$E$11)))</f>
        <v>11</v>
      </c>
      <c r="AX31" s="122" t="str" cm="1">
        <f t="array" aca="1" ref="AX31" ca="1">IF(AS31=0,"",IF(AR31="G","AVERAGE",INDEX(auto_ddCountry,AR31)))</f>
        <v>Auckland</v>
      </c>
      <c r="AY31" s="290" cm="1">
        <f t="array" aca="1" ref="AY31" ca="1">IF(AS31=0,"",INDEX(auto_DataFlat_Score,AQ31,$E$11))</f>
        <v>67.2</v>
      </c>
      <c r="AZ31" s="4"/>
      <c r="BA31" s="49">
        <f t="shared" si="37"/>
        <v>22</v>
      </c>
      <c r="BB31" s="49" cm="1">
        <f t="array" ref="BB31">IF($F31=0,0,INDEX(sys_DataFlat_LU_Grid,BA31,$E31))</f>
        <v>1270</v>
      </c>
      <c r="BC31" s="49" cm="1">
        <f t="array" ref="BC31">IF($F31=0,-1000,CHOOSE($E$14,INDEX(auto_DataFlat_Score,BB31,$E$11),-INDEX(auto_DataFlat_Score,BB31,$E$11),-$D31))</f>
        <v>39.700000000000003</v>
      </c>
      <c r="BD31" s="91">
        <f ca="1">RANK(BC31,OFFSET(BC$21,0,0,$E$16+1,1))+COUNTIF(BC$21:BC31,BC31)-1</f>
        <v>42</v>
      </c>
      <c r="BE31" s="91">
        <f t="shared" ca="1" si="51"/>
        <v>49</v>
      </c>
      <c r="BF31" s="91" cm="1">
        <f t="array" aca="1" ref="BF31" ca="1">INDEX(OFFSET(BB$21,0,0,$E$16+1,1),BE31)</f>
        <v>1308</v>
      </c>
      <c r="BG31" s="49" cm="1">
        <f t="array" aca="1" ref="BG31" ca="1">INDEX(OFFSET($E$21,0,0,$E$16+1,1),BE31)</f>
        <v>48</v>
      </c>
      <c r="BH31" s="80" cm="1">
        <f t="array" aca="1" ref="BH31" ca="1">IF(BG31="G",5,INDEX(OFFSET($F$21,0,0,$E$16+1,1),BE31))</f>
        <v>1</v>
      </c>
      <c r="BI31" s="80" cm="1">
        <f t="array" aca="1" ref="BI31" ca="1">IF(BF31=0,0,IF(BG31="G",-1,INDEX(auto_DataFlat_Classification,BF31,$E$11)))</f>
        <v>4</v>
      </c>
      <c r="BJ31" s="301" t="str" cm="1">
        <f t="array" aca="1" ref="BJ31" ca="1">IF(BI31&lt;0,"",INDEX(uxbGlobals!$B$133:$B$139,BI31))</f>
        <v xml:space="preserve"> </v>
      </c>
      <c r="BK31" s="80"/>
      <c r="BL31" s="302" t="str" cm="1">
        <f t="array" aca="1" ref="BL31" ca="1">IF(BH31=0,"",IF(BG31="G","--",INDEX(auto_DataFlat_Rank,BF31,$E$11)))</f>
        <v>11</v>
      </c>
      <c r="BM31" s="122" t="str" cm="1">
        <f t="array" aca="1" ref="BM31" ca="1">IF(BH31=0,"",IF(BG31="G","AVERAGE",INDEX(auto_ddCountry,BG31)))</f>
        <v>Vienna</v>
      </c>
      <c r="BN31" s="290" cm="1">
        <f t="array" aca="1" ref="BN31" ca="1">IF(BH31=0,"",INDEX(auto_DataFlat_Score,BF31,$E$11))</f>
        <v>74.2</v>
      </c>
      <c r="BO31" s="4"/>
      <c r="BP31" s="49">
        <f t="shared" si="39"/>
        <v>47</v>
      </c>
      <c r="BQ31" s="49" cm="1">
        <f t="array" ref="BQ31">IF($F31=0,0,INDEX(sys_DataFlat_LU_Grid,BP31,$E31))</f>
        <v>2770</v>
      </c>
      <c r="BR31" s="49" cm="1">
        <f t="array" ref="BR31">IF($F31=0,-1000,CHOOSE($E$14,INDEX(auto_DataFlat_Score,BQ31,$E$11),-INDEX(auto_DataFlat_Score,BQ31,$E$11),-$D31))</f>
        <v>47.8</v>
      </c>
      <c r="BS31" s="91">
        <f ca="1">RANK(BR31,OFFSET(BR$21,0,0,$E$16+1,1))+COUNTIF(BR$21:BR31,BR31)-1</f>
        <v>41</v>
      </c>
      <c r="BT31" s="91">
        <f t="shared" ca="1" si="52"/>
        <v>30</v>
      </c>
      <c r="BU31" s="91" cm="1">
        <f t="array" aca="1" ref="BU31" ca="1">INDEX(OFFSET(BQ$21,0,0,$E$16+1,1),BT31)</f>
        <v>2789</v>
      </c>
      <c r="BV31" s="49" cm="1">
        <f t="array" aca="1" ref="BV31" ca="1">INDEX(OFFSET($E$21,0,0,$E$16+1,1),BT31)</f>
        <v>29</v>
      </c>
      <c r="BW31" s="80" cm="1">
        <f t="array" aca="1" ref="BW31" ca="1">IF(BV31="G",5,INDEX(OFFSET($F$21,0,0,$E$16+1,1),BT31))</f>
        <v>1</v>
      </c>
      <c r="BX31" s="80" cm="1">
        <f t="array" aca="1" ref="BX31" ca="1">IF(BU31=0,0,IF(BV31="G",-1,INDEX(auto_DataFlat_Classification,BU31,$E$11)))</f>
        <v>5</v>
      </c>
      <c r="BY31" s="301" t="str" cm="1">
        <f t="array" aca="1" ref="BY31" ca="1">IF(BX31&lt;0,"",INDEX(uxbGlobals!$B$133:$B$139,BX31))</f>
        <v xml:space="preserve"> </v>
      </c>
      <c r="BZ31" s="80"/>
      <c r="CA31" s="302" t="str" cm="1">
        <f t="array" aca="1" ref="CA31" ca="1">IF(BW31=0,"",IF(BV31="G","--",INDEX(auto_DataFlat_Rank,BU31,$E$11)))</f>
        <v>=11</v>
      </c>
      <c r="CB31" s="122" t="str" cm="1">
        <f t="array" aca="1" ref="CB31" ca="1">IF(BW31=0,"",IF(BV31="G","AVERAGE",INDEX(auto_ddCountry,BV31)))</f>
        <v>Melbourne</v>
      </c>
      <c r="CC31" s="290" cm="1">
        <f t="array" aca="1" ref="CC31" ca="1">IF(BW31=0,"",INDEX(auto_DataFlat_Score,BU31,$E$11))</f>
        <v>83.5</v>
      </c>
      <c r="CD31" s="4"/>
      <c r="CE31" s="49">
        <f t="shared" si="41"/>
        <v>52</v>
      </c>
      <c r="CF31" s="49" cm="1">
        <f t="array" ref="CF31">IF($F31=0,0,INDEX(sys_DataFlat_LU_Grid,CE31,$E31))</f>
        <v>3070</v>
      </c>
      <c r="CG31" s="49" cm="1">
        <f t="array" ref="CG31">IF($F31=0,-1000,CHOOSE($E$14,INDEX(auto_DataFlat_Score,CF31,$E$11),-INDEX(auto_DataFlat_Score,CF31,$E$11),-$D31))</f>
        <v>53.7</v>
      </c>
      <c r="CH31" s="91">
        <f ca="1">RANK(CG31,OFFSET(CG$21,0,0,$E$16+1,1))+COUNTIF(CG$21:CG31,CG31)-1</f>
        <v>42</v>
      </c>
      <c r="CI31" s="91">
        <f t="shared" ca="1" si="53"/>
        <v>34</v>
      </c>
      <c r="CJ31" s="91" cm="1">
        <f t="array" aca="1" ref="CJ31" ca="1">INDEX(OFFSET(CF$21,0,0,$E$16+1,1),CI31)</f>
        <v>3093</v>
      </c>
      <c r="CK31" s="49" cm="1">
        <f t="array" aca="1" ref="CK31" ca="1">INDEX(OFFSET($E$21,0,0,$E$16+1,1),CI31)</f>
        <v>33</v>
      </c>
      <c r="CL31" s="80" cm="1">
        <f t="array" aca="1" ref="CL31" ca="1">IF(CK31="G",5,INDEX(OFFSET($F$21,0,0,$E$16+1,1),CI31))</f>
        <v>1</v>
      </c>
      <c r="CM31" s="80" cm="1">
        <f t="array" aca="1" ref="CM31" ca="1">IF(CJ31=0,0,IF(CK31="G",-1,INDEX(auto_DataFlat_Classification,CJ31,$E$11)))</f>
        <v>4</v>
      </c>
      <c r="CN31" s="301" t="str" cm="1">
        <f t="array" aca="1" ref="CN31" ca="1">IF(CM31&lt;0,"",INDEX(uxbGlobals!$B$133:$B$139,CM31))</f>
        <v xml:space="preserve"> </v>
      </c>
      <c r="CO31" s="80"/>
      <c r="CP31" s="302" t="str" cm="1">
        <f t="array" aca="1" ref="CP31" ca="1">IF(CL31=0,"",IF(CK31="G","--",INDEX(auto_DataFlat_Rank,CJ31,$E$11)))</f>
        <v>=10</v>
      </c>
      <c r="CQ31" s="122" t="str" cm="1">
        <f t="array" aca="1" ref="CQ31" ca="1">IF(CL31=0,"",IF(CK31="G","AVERAGE",INDEX(auto_ddCountry,CK31)))</f>
        <v>Nairobi</v>
      </c>
      <c r="CR31" s="290" cm="1">
        <f t="array" aca="1" ref="CR31" ca="1">IF(CL31=0,"",INDEX(auto_DataFlat_Score,CJ31,$E$11))</f>
        <v>79.599999999999994</v>
      </c>
      <c r="CS31" s="4"/>
      <c r="CT31" s="49">
        <f t="shared" si="43"/>
        <v>-1</v>
      </c>
      <c r="CU31" s="49" t="e" cm="1">
        <f t="array" ref="CU31">IF($F31=0,0,INDEX(sys_DataFlat_LU_Grid,CT31,$E31))</f>
        <v>#VALUE!</v>
      </c>
      <c r="CV31" s="49" t="e" cm="1">
        <f t="array" ref="CV31">IF($F31=0,-1000,CHOOSE($E$14,INDEX(auto_DataFlat_Score,CU31,$E$11),-INDEX(auto_DataFlat_Score,CU31,$E$11),-$D31))</f>
        <v>#VALUE!</v>
      </c>
      <c r="CW31" s="91" t="e">
        <f ca="1">RANK(CV31,OFFSET(CV$21,0,0,$E$16+1,1))+COUNTIF(CV$21:CV31,CV31)-1</f>
        <v>#VALUE!</v>
      </c>
      <c r="CX31" s="91" t="e">
        <f t="shared" ca="1" si="47"/>
        <v>#N/A</v>
      </c>
      <c r="CY31" s="91" t="e" cm="1">
        <f t="array" aca="1" ref="CY31" ca="1">INDEX(OFFSET(CU$21,0,0,$E$16+1,1),CX31)</f>
        <v>#N/A</v>
      </c>
      <c r="CZ31" s="49" t="e" cm="1">
        <f t="array" aca="1" ref="CZ31" ca="1">INDEX(OFFSET($E$21,0,0,$E$16+1,1),CX31)</f>
        <v>#N/A</v>
      </c>
      <c r="DA31" s="80" t="e" cm="1">
        <f t="array" aca="1" ref="DA31" ca="1">IF(CZ31="G",5,INDEX(OFFSET($F$21,0,0,$E$16+1,1),CX31))</f>
        <v>#N/A</v>
      </c>
      <c r="DB31" s="80" t="e" cm="1">
        <f t="array" aca="1" ref="DB31" ca="1">IF(CY31=0,0,IF(CZ31="G",-1,INDEX(auto_DataFlat_Classification,CY31,$E$11)))</f>
        <v>#N/A</v>
      </c>
      <c r="DC31" s="301" t="e" cm="1">
        <f t="array" aca="1" ref="DC31" ca="1">IF(DB31&lt;0,"",INDEX(uxbGlobals!$B$133:$B$139,DB31))</f>
        <v>#N/A</v>
      </c>
      <c r="DD31" s="80"/>
      <c r="DE31" s="302" t="e" cm="1">
        <f t="array" aca="1" ref="DE31" ca="1">IF(DA31=0,"",IF(CZ31="G","--",INDEX(auto_DataFlat_Rank,CY31,$E$11)))</f>
        <v>#N/A</v>
      </c>
      <c r="DF31" s="122" t="e" cm="1">
        <f t="array" aca="1" ref="DF31" ca="1">IF(DA31=0,"",IF(CZ31="G","AVERAGE",INDEX(auto_ddCountry,CZ31)))</f>
        <v>#N/A</v>
      </c>
      <c r="DG31" s="290" t="e" cm="1">
        <f t="array" aca="1" ref="DG31" ca="1">IF(DA31=0,"",INDEX(auto_DataFlat_Score,CY31,$E$11))</f>
        <v>#N/A</v>
      </c>
      <c r="DH31" s="4"/>
      <c r="DI31" s="49">
        <f t="shared" si="44"/>
        <v>-1</v>
      </c>
      <c r="DJ31" s="49" t="e" cm="1">
        <f t="array" ref="DJ31">IF($F31=0,0,INDEX(sys_DataFlat_LU_Grid,DI31,$E31))</f>
        <v>#VALUE!</v>
      </c>
      <c r="DK31" s="49" t="e" cm="1">
        <f t="array" ref="DK31">IF($F31=0,-1000,CHOOSE($E$14,INDEX(auto_DataFlat_Score,DJ31,$E$11),-INDEX(auto_DataFlat_Score,DJ31,$E$11),-$D31))</f>
        <v>#VALUE!</v>
      </c>
      <c r="DL31" s="91" t="e">
        <f ca="1">RANK(DK31,OFFSET(DK$21,0,0,$E$16+1,1))+COUNTIF(DK$21:DK31,DK31)-1</f>
        <v>#VALUE!</v>
      </c>
      <c r="DM31" s="91" t="e">
        <f t="shared" ca="1" si="28"/>
        <v>#N/A</v>
      </c>
      <c r="DN31" s="91" t="e" cm="1">
        <f t="array" aca="1" ref="DN31" ca="1">INDEX(OFFSET(DJ$21,0,0,$E$16+1,1),DM31)</f>
        <v>#N/A</v>
      </c>
      <c r="DO31" s="49" t="e" cm="1">
        <f t="array" aca="1" ref="DO31" ca="1">INDEX(OFFSET($E$21,0,0,$E$16+1,1),DM31)</f>
        <v>#N/A</v>
      </c>
      <c r="DP31" s="80" t="e" cm="1">
        <f t="array" aca="1" ref="DP31" ca="1">IF(DO31="G",5,INDEX(OFFSET($F$21,0,0,$E$16+1,1),DM31))</f>
        <v>#N/A</v>
      </c>
      <c r="DQ31" s="80" t="e" cm="1">
        <f t="array" aca="1" ref="DQ31" ca="1">IF(DN31=0,0,IF(DO31="G",-1,INDEX(auto_DataFlat_Classification,DN31,$E$11)))</f>
        <v>#N/A</v>
      </c>
      <c r="DR31" s="301" t="e" cm="1">
        <f t="array" aca="1" ref="DR31" ca="1">IF(DQ31&lt;0,"",INDEX(uxbGlobals!$B$133:$B$139,DQ31))</f>
        <v>#N/A</v>
      </c>
      <c r="DS31" s="80"/>
      <c r="DT31" s="302" t="e" cm="1">
        <f t="array" aca="1" ref="DT31" ca="1">IF(DP31=0,"",IF(DO31="G","--",INDEX(auto_DataFlat_Rank,DN31,$E$11)))</f>
        <v>#N/A</v>
      </c>
      <c r="DU31" s="122" t="e" cm="1">
        <f t="array" aca="1" ref="DU31" ca="1">IF(DP31=0,"",IF(DO31="G","AVERAGE",INDEX(auto_ddCountry,DO31)))</f>
        <v>#N/A</v>
      </c>
      <c r="DV31" s="290" t="e" cm="1">
        <f t="array" aca="1" ref="DV31" ca="1">IF(DP31=0,"",INDEX(auto_DataFlat_Score,DN31,$E$11))</f>
        <v>#N/A</v>
      </c>
      <c r="DW31" s="4"/>
      <c r="DX31" s="49">
        <f t="shared" si="45"/>
        <v>-1</v>
      </c>
      <c r="DY31" s="49" t="e" cm="1">
        <f t="array" ref="DY31">IF($F31=0,0,INDEX(sys_DataFlat_LU_Grid,DX31,$E31))</f>
        <v>#VALUE!</v>
      </c>
      <c r="DZ31" s="49" t="e" cm="1">
        <f t="array" ref="DZ31">IF($F31=0,-1000,CHOOSE($E$14,INDEX(auto_DataFlat_Score,DY31,$E$11),-INDEX(auto_DataFlat_Score,DY31,$E$11),-$D31))</f>
        <v>#VALUE!</v>
      </c>
      <c r="EA31" s="91" t="e">
        <f ca="1">RANK(DZ31,OFFSET(DZ$21,0,0,$E$16+1,1))+COUNTIF(DZ$21:DZ31,DZ31)-1</f>
        <v>#VALUE!</v>
      </c>
      <c r="EB31" s="91" t="e">
        <f t="shared" ca="1" si="29"/>
        <v>#N/A</v>
      </c>
      <c r="EC31" s="91" t="e" cm="1">
        <f t="array" aca="1" ref="EC31" ca="1">INDEX(OFFSET(DY$21,0,0,$E$16+1,1),EB31)</f>
        <v>#N/A</v>
      </c>
      <c r="ED31" s="49" t="e" cm="1">
        <f t="array" aca="1" ref="ED31" ca="1">INDEX(OFFSET($E$21,0,0,$E$16+1,1),EB31)</f>
        <v>#N/A</v>
      </c>
      <c r="EE31" s="80" t="e" cm="1">
        <f t="array" aca="1" ref="EE31" ca="1">IF(ED31="G",5,INDEX(OFFSET($F$21,0,0,$E$16+1,1),EB31))</f>
        <v>#N/A</v>
      </c>
      <c r="EF31" s="80" t="e" cm="1">
        <f t="array" aca="1" ref="EF31" ca="1">IF(EC31=0,0,IF(ED31="G",-1,INDEX(auto_DataFlat_Classification,EC31,$E$11)))</f>
        <v>#N/A</v>
      </c>
      <c r="EG31" s="301" t="e" cm="1">
        <f t="array" aca="1" ref="EG31" ca="1">IF(EF31&lt;0,"",INDEX(uxbGlobals!$B$133:$B$139,EF31))</f>
        <v>#N/A</v>
      </c>
      <c r="EH31" s="80"/>
      <c r="EI31" s="302" t="e" cm="1">
        <f t="array" aca="1" ref="EI31" ca="1">IF(EE31=0,"",IF(ED31="G","--",INDEX(auto_DataFlat_Rank,EC31,$E$11)))</f>
        <v>#N/A</v>
      </c>
      <c r="EJ31" s="122" t="e" cm="1">
        <f t="array" aca="1" ref="EJ31" ca="1">IF(EE31=0,"",IF(ED31="G","AVERAGE",INDEX(auto_ddCountry,ED31)))</f>
        <v>#N/A</v>
      </c>
      <c r="EK31" s="290" t="e" cm="1">
        <f t="array" aca="1" ref="EK31" ca="1">IF(EE31=0,"",INDEX(auto_DataFlat_Score,EC31,$E$11))</f>
        <v>#N/A</v>
      </c>
      <c r="EL31" s="4"/>
      <c r="EM31" s="49">
        <f t="shared" si="46"/>
        <v>-1</v>
      </c>
      <c r="EN31" s="49" t="e" cm="1">
        <f t="array" ref="EN31">IF($F31=0,0,INDEX(sys_DataFlat_LU_Grid,EM31,$E31))</f>
        <v>#VALUE!</v>
      </c>
      <c r="EO31" s="49" t="e" cm="1">
        <f t="array" ref="EO31">IF($F31=0,-1000,CHOOSE($E$14,INDEX(auto_DataFlat_Score,EN31,$E$11),-INDEX(auto_DataFlat_Score,EN31,$E$11),-$D31))</f>
        <v>#VALUE!</v>
      </c>
      <c r="EP31" s="91" t="e">
        <f ca="1">RANK(EO31,OFFSET(EO$21,0,0,$E$16+1,1))+COUNTIF(EO$21:EO31,EO31)-1</f>
        <v>#VALUE!</v>
      </c>
      <c r="EQ31" s="91" t="e">
        <f t="shared" ca="1" si="30"/>
        <v>#N/A</v>
      </c>
      <c r="ER31" s="91" t="e" cm="1">
        <f t="array" aca="1" ref="ER31" ca="1">INDEX(OFFSET(EN$21,0,0,$E$16+1,1),EQ31)</f>
        <v>#N/A</v>
      </c>
      <c r="ES31" s="49" t="e" cm="1">
        <f t="array" aca="1" ref="ES31" ca="1">INDEX(OFFSET($E$21,0,0,$E$16+1,1),EQ31)</f>
        <v>#N/A</v>
      </c>
      <c r="ET31" s="80" t="e" cm="1">
        <f t="array" aca="1" ref="ET31" ca="1">IF(ES31="G",5,INDEX(OFFSET($F$21,0,0,$E$16+1,1),EQ31))</f>
        <v>#N/A</v>
      </c>
      <c r="EU31" s="80" t="e" cm="1">
        <f t="array" aca="1" ref="EU31" ca="1">IF(ER31=0,0,IF(ES31="G",-1,INDEX(auto_DataFlat_Classification,ER31,$E$11)))</f>
        <v>#N/A</v>
      </c>
      <c r="EV31" s="301" t="e" cm="1">
        <f t="array" aca="1" ref="EV31" ca="1">IF(EU31&lt;0,"",INDEX(uxbGlobals!$B$133:$B$139,EU31))</f>
        <v>#N/A</v>
      </c>
      <c r="EW31" s="80"/>
      <c r="EX31" s="302" t="e" cm="1">
        <f t="array" aca="1" ref="EX31" ca="1">IF(ET31=0,"",IF(ES31="G","--",INDEX(auto_DataFlat_Rank,ER31,$E$11)))</f>
        <v>#N/A</v>
      </c>
      <c r="EY31" s="122" t="e" cm="1">
        <f t="array" aca="1" ref="EY31" ca="1">IF(ET31=0,"",IF(ES31="G","AVERAGE",INDEX(auto_ddCountry,ES31)))</f>
        <v>#N/A</v>
      </c>
      <c r="EZ31" s="290" t="e" cm="1">
        <f t="array" aca="1" ref="EZ31" ca="1">IF(ET31=0,"",INDEX(auto_DataFlat_Score,ER31,$E$11))</f>
        <v>#N/A</v>
      </c>
    </row>
    <row r="32" spans="1:156" ht="17.149999999999999" customHeight="1" x14ac:dyDescent="0.4">
      <c r="A32" s="4"/>
      <c r="B32" s="4"/>
      <c r="C32" s="4"/>
      <c r="D32" s="26">
        <v>12</v>
      </c>
      <c r="E32" s="49">
        <f>tblCountries!M13</f>
        <v>11</v>
      </c>
      <c r="F32" s="114" cm="1">
        <f t="array" ref="F32">IF(E32=0,0,INDEX(auto_Country_Status,E32))</f>
        <v>1</v>
      </c>
      <c r="G32" s="4"/>
      <c r="H32" s="49">
        <f t="shared" si="31"/>
        <v>1</v>
      </c>
      <c r="I32" s="49" cm="1">
        <f t="array" ref="I32">IF($F32=0,0,INDEX(sys_DataFlat_LU_Grid,H32,$E32))</f>
        <v>11</v>
      </c>
      <c r="J32" s="49" cm="1">
        <f t="array" ref="J32">IF($F32=0,-1000,CHOOSE($E$14,INDEX(auto_DataFlat_Score,I32,$E$11),-INDEX(auto_DataFlat_Score,I32,$E$11),-$D32))</f>
        <v>50.1</v>
      </c>
      <c r="K32" s="91">
        <f ca="1">RANK(J32,OFFSET(J$21,0,0,$E$16+1,1))+COUNTIF(J$21:J32,J32)-1</f>
        <v>41</v>
      </c>
      <c r="L32" s="91">
        <f t="shared" ca="1" si="48"/>
        <v>49</v>
      </c>
      <c r="M32" s="91" cm="1">
        <f t="array" aca="1" ref="M32" ca="1">INDEX(OFFSET(I$21,0,0,$E$16+1,1),L32)</f>
        <v>48</v>
      </c>
      <c r="N32" s="49" cm="1">
        <f t="array" aca="1" ref="N32" ca="1">INDEX(OFFSET($E$21,0,0,$E$16+1,1),L32)</f>
        <v>48</v>
      </c>
      <c r="O32" s="80" cm="1">
        <f t="array" aca="1" ref="O32" ca="1">IF(N32="G",5,INDEX(OFFSET($F$21,0,0,$E$16+1,1),L32))</f>
        <v>1</v>
      </c>
      <c r="P32" s="80" cm="1">
        <f t="array" aca="1" ref="P32" ca="1">IF(M32=0,0,IF(N32="G",-1,INDEX(auto_DataFlat_Classification,M32,$E$11)))</f>
        <v>4</v>
      </c>
      <c r="Q32" s="301" t="str" cm="1">
        <f t="array" aca="1" ref="Q32" ca="1">IF(P32&lt;0,"",INDEX(uxbGlobals!$B$133:$B$139,P32))</f>
        <v xml:space="preserve"> </v>
      </c>
      <c r="R32" s="80"/>
      <c r="S32" s="302" t="str" cm="1">
        <f t="array" aca="1" ref="S32" ca="1">IF(O32=0,"",IF(N32="G","--",INDEX(auto_DataFlat_Rank,M32,$E$11)))</f>
        <v>12</v>
      </c>
      <c r="T32" s="122" t="str" cm="1">
        <f t="array" aca="1" ref="T32" ca="1">IF(O32=0,"",IF(N32="G"," AVERAGE",INDEX(auto_ddCountry,N32)))</f>
        <v>Vienna</v>
      </c>
      <c r="U32" s="290" cm="1">
        <f t="array" aca="1" ref="U32" ca="1">IF(O32=0,"",INDEX(auto_DataFlat_Score,M32,$E$11))</f>
        <v>75.099999999999994</v>
      </c>
      <c r="V32" s="4"/>
      <c r="W32" s="49">
        <f t="shared" si="33"/>
        <v>2</v>
      </c>
      <c r="X32" s="49" cm="1">
        <f t="array" ref="X32">IF($F32=0,0,INDEX(sys_DataFlat_LU_Grid,W32,$E32))</f>
        <v>71</v>
      </c>
      <c r="Y32" s="49" cm="1">
        <f t="array" ref="Y32">IF($F32=0,-1000,CHOOSE($E$14,INDEX(auto_DataFlat_Score,X32,$E$11),-INDEX(auto_DataFlat_Score,X32,$E$11),-$D32))</f>
        <v>51.9</v>
      </c>
      <c r="Z32" s="91">
        <f ca="1">RANK(Y32,OFFSET(Y$21,0,0,$E$16+1,1))+COUNTIF(Y$21:Y32,Y32)-1</f>
        <v>43</v>
      </c>
      <c r="AA32" s="91">
        <f t="shared" ca="1" si="49"/>
        <v>10</v>
      </c>
      <c r="AB32" s="91" cm="1">
        <f t="array" aca="1" ref="AB32" ca="1">INDEX(OFFSET(X$21,0,0,$E$16+1,1),AA32)</f>
        <v>69</v>
      </c>
      <c r="AC32" s="49" cm="1">
        <f t="array" aca="1" ref="AC32" ca="1">INDEX(OFFSET($E$21,0,0,$E$16+1,1),AA32)</f>
        <v>9</v>
      </c>
      <c r="AD32" s="80" cm="1">
        <f t="array" aca="1" ref="AD32" ca="1">IF(AC32="G",5,INDEX(OFFSET($F$21,0,0,$E$16+1,1),AA32))</f>
        <v>1</v>
      </c>
      <c r="AE32" s="80" cm="1">
        <f t="array" aca="1" ref="AE32" ca="1">IF(AB32=0,0,IF(AC32="G",-1,INDEX(auto_DataFlat_Classification,AB32,$E$11)))</f>
        <v>5</v>
      </c>
      <c r="AF32" s="301" t="str" cm="1">
        <f t="array" aca="1" ref="AF32" ca="1">IF(AE32&lt;0,"",INDEX(uxbGlobals!$B$133:$B$139,AE32))</f>
        <v xml:space="preserve"> </v>
      </c>
      <c r="AG32" s="80"/>
      <c r="AH32" s="302" t="str" cm="1">
        <f t="array" aca="1" ref="AH32" ca="1">IF(AD32=0,"",IF(AC32="G","--",INDEX(auto_DataFlat_Rank,AB32,$E$11)))</f>
        <v>12</v>
      </c>
      <c r="AI32" s="122" t="str" cm="1">
        <f t="array" aca="1" ref="AI32" ca="1">IF(AD32=0,"",IF(AC32="G","AVERAGE",INDEX(auto_ddCountry,AC32)))</f>
        <v>Budapest</v>
      </c>
      <c r="AJ32" s="290" cm="1">
        <f t="array" aca="1" ref="AJ32" ca="1">IF(AD32=0,"",INDEX(auto_DataFlat_Score,AB32,$E$11))</f>
        <v>85.6</v>
      </c>
      <c r="AK32" s="4"/>
      <c r="AL32" s="49">
        <f t="shared" si="35"/>
        <v>14</v>
      </c>
      <c r="AM32" s="49" cm="1">
        <f t="array" ref="AM32">IF($F32=0,0,INDEX(sys_DataFlat_LU_Grid,AL32,$E32))</f>
        <v>791</v>
      </c>
      <c r="AN32" s="49" cm="1">
        <f t="array" ref="AN32">IF($F32=0,-1000,CHOOSE($E$14,INDEX(auto_DataFlat_Score,AM32,$E$11),-INDEX(auto_DataFlat_Score,AM32,$E$11),-$D32))</f>
        <v>23.4</v>
      </c>
      <c r="AO32" s="91">
        <f ca="1">RANK(AN32,OFFSET(AN$21,0,0,$E$16+1,1))+COUNTIF(AN$21:AN32,AN32)-1</f>
        <v>46</v>
      </c>
      <c r="AP32" s="91">
        <f t="shared" ca="1" si="50"/>
        <v>42</v>
      </c>
      <c r="AQ32" s="91" cm="1">
        <f t="array" aca="1" ref="AQ32" ca="1">INDEX(OFFSET(AM$21,0,0,$E$16+1,1),AP32)</f>
        <v>821</v>
      </c>
      <c r="AR32" s="49" cm="1">
        <f t="array" aca="1" ref="AR32" ca="1">INDEX(OFFSET($E$21,0,0,$E$16+1,1),AP32)</f>
        <v>41</v>
      </c>
      <c r="AS32" s="80" cm="1">
        <f t="array" aca="1" ref="AS32" ca="1">IF(AR32="G",5,INDEX(OFFSET($F$21,0,0,$E$16+1,1),AP32))</f>
        <v>1</v>
      </c>
      <c r="AT32" s="80" cm="1">
        <f t="array" aca="1" ref="AT32" ca="1">IF(AQ32=0,0,IF(AR32="G",-1,INDEX(auto_DataFlat_Classification,AQ32,$E$11)))</f>
        <v>4</v>
      </c>
      <c r="AU32" s="301" t="str" cm="1">
        <f t="array" aca="1" ref="AU32" ca="1">IF(AT32&lt;0,"",INDEX(uxbGlobals!$B$133:$B$139,AT32))</f>
        <v xml:space="preserve"> </v>
      </c>
      <c r="AV32" s="80"/>
      <c r="AW32" s="302" t="str" cm="1">
        <f t="array" aca="1" ref="AW32" ca="1">IF(AS32=0,"",IF(AR32="G","--",INDEX(auto_DataFlat_Rank,AQ32,$E$11)))</f>
        <v>12</v>
      </c>
      <c r="AX32" s="122" t="str" cm="1">
        <f t="array" aca="1" ref="AX32" ca="1">IF(AS32=0,"",IF(AR32="G","AVERAGE",INDEX(auto_ddCountry,AR32)))</f>
        <v>São Paulo</v>
      </c>
      <c r="AY32" s="290" cm="1">
        <f t="array" aca="1" ref="AY32" ca="1">IF(AS32=0,"",INDEX(auto_DataFlat_Score,AQ32,$E$11))</f>
        <v>65.8</v>
      </c>
      <c r="AZ32" s="4"/>
      <c r="BA32" s="49">
        <f t="shared" si="37"/>
        <v>22</v>
      </c>
      <c r="BB32" s="49" cm="1">
        <f t="array" ref="BB32">IF($F32=0,0,INDEX(sys_DataFlat_LU_Grid,BA32,$E32))</f>
        <v>1271</v>
      </c>
      <c r="BC32" s="49" cm="1">
        <f t="array" ref="BC32">IF($F32=0,-1000,CHOOSE($E$14,INDEX(auto_DataFlat_Score,BB32,$E$11),-INDEX(auto_DataFlat_Score,BB32,$E$11),-$D32))</f>
        <v>45.6</v>
      </c>
      <c r="BD32" s="91">
        <f ca="1">RANK(BC32,OFFSET(BC$21,0,0,$E$16+1,1))+COUNTIF(BC$21:BC32,BC32)-1</f>
        <v>35</v>
      </c>
      <c r="BE32" s="91">
        <f t="shared" ca="1" si="51"/>
        <v>6</v>
      </c>
      <c r="BF32" s="91" cm="1">
        <f t="array" aca="1" ref="BF32" ca="1">INDEX(OFFSET(BB$21,0,0,$E$16+1,1),BE32)</f>
        <v>1265</v>
      </c>
      <c r="BG32" s="49" cm="1">
        <f t="array" aca="1" ref="BG32" ca="1">INDEX(OFFSET($E$21,0,0,$E$16+1,1),BE32)</f>
        <v>5</v>
      </c>
      <c r="BH32" s="80" cm="1">
        <f t="array" aca="1" ref="BH32" ca="1">IF(BG32="G",5,INDEX(OFFSET($F$21,0,0,$E$16+1,1),BE32))</f>
        <v>1</v>
      </c>
      <c r="BI32" s="80" cm="1">
        <f t="array" aca="1" ref="BI32" ca="1">IF(BF32=0,0,IF(BG32="G",-1,INDEX(auto_DataFlat_Classification,BF32,$E$11)))</f>
        <v>4</v>
      </c>
      <c r="BJ32" s="301" t="str" cm="1">
        <f t="array" aca="1" ref="BJ32" ca="1">IF(BI32&lt;0,"",INDEX(uxbGlobals!$B$133:$B$139,BI32))</f>
        <v xml:space="preserve"> </v>
      </c>
      <c r="BK32" s="80"/>
      <c r="BL32" s="302" t="str" cm="1">
        <f t="array" aca="1" ref="BL32" ca="1">IF(BH32=0,"",IF(BG32="G","--",INDEX(auto_DataFlat_Rank,BF32,$E$11)))</f>
        <v>12</v>
      </c>
      <c r="BM32" s="122" t="str" cm="1">
        <f t="array" aca="1" ref="BM32" ca="1">IF(BH32=0,"",IF(BG32="G","AVERAGE",INDEX(auto_ddCountry,BG32)))</f>
        <v>Bangkok</v>
      </c>
      <c r="BN32" s="290" cm="1">
        <f t="array" aca="1" ref="BN32" ca="1">IF(BH32=0,"",INDEX(auto_DataFlat_Score,BF32,$E$11))</f>
        <v>74.099999999999994</v>
      </c>
      <c r="BO32" s="4"/>
      <c r="BP32" s="49">
        <f t="shared" si="39"/>
        <v>47</v>
      </c>
      <c r="BQ32" s="49" cm="1">
        <f t="array" ref="BQ32">IF($F32=0,0,INDEX(sys_DataFlat_LU_Grid,BP32,$E32))</f>
        <v>2771</v>
      </c>
      <c r="BR32" s="49" cm="1">
        <f t="array" ref="BR32">IF($F32=0,-1000,CHOOSE($E$14,INDEX(auto_DataFlat_Score,BQ32,$E$11),-INDEX(auto_DataFlat_Score,BQ32,$E$11),-$D32))</f>
        <v>77.8</v>
      </c>
      <c r="BS32" s="91">
        <f ca="1">RANK(BR32,OFFSET(BR$21,0,0,$E$16+1,1))+COUNTIF(BR$21:BR32,BR32)-1</f>
        <v>19</v>
      </c>
      <c r="BT32" s="91">
        <f t="shared" ca="1" si="52"/>
        <v>46</v>
      </c>
      <c r="BU32" s="91" cm="1">
        <f t="array" aca="1" ref="BU32" ca="1">INDEX(OFFSET(BQ$21,0,0,$E$16+1,1),BT32)</f>
        <v>2805</v>
      </c>
      <c r="BV32" s="49" cm="1">
        <f t="array" aca="1" ref="BV32" ca="1">INDEX(OFFSET($E$21,0,0,$E$16+1,1),BT32)</f>
        <v>45</v>
      </c>
      <c r="BW32" s="80" cm="1">
        <f t="array" aca="1" ref="BW32" ca="1">IF(BV32="G",5,INDEX(OFFSET($F$21,0,0,$E$16+1,1),BT32))</f>
        <v>1</v>
      </c>
      <c r="BX32" s="80" cm="1">
        <f t="array" aca="1" ref="BX32" ca="1">IF(BU32=0,0,IF(BV32="G",-1,INDEX(auto_DataFlat_Classification,BU32,$E$11)))</f>
        <v>5</v>
      </c>
      <c r="BY32" s="301" t="str" cm="1">
        <f t="array" aca="1" ref="BY32" ca="1">IF(BX32&lt;0,"",INDEX(uxbGlobals!$B$133:$B$139,BX32))</f>
        <v xml:space="preserve"> </v>
      </c>
      <c r="BZ32" s="80"/>
      <c r="CA32" s="302" t="str" cm="1">
        <f t="array" aca="1" ref="CA32" ca="1">IF(BW32=0,"",IF(BV32="G","--",INDEX(auto_DataFlat_Rank,BU32,$E$11)))</f>
        <v>=11</v>
      </c>
      <c r="CB32" s="122" t="str" cm="1">
        <f t="array" aca="1" ref="CB32" ca="1">IF(BW32=0,"",IF(BV32="G","AVERAGE",INDEX(auto_ddCountry,BV32)))</f>
        <v>Sydney</v>
      </c>
      <c r="CC32" s="290" cm="1">
        <f t="array" aca="1" ref="CC32" ca="1">IF(BW32=0,"",INDEX(auto_DataFlat_Score,BU32,$E$11))</f>
        <v>83.5</v>
      </c>
      <c r="CD32" s="4"/>
      <c r="CE32" s="49">
        <f t="shared" si="41"/>
        <v>52</v>
      </c>
      <c r="CF32" s="49" cm="1">
        <f t="array" ref="CF32">IF($F32=0,0,INDEX(sys_DataFlat_LU_Grid,CE32,$E32))</f>
        <v>3071</v>
      </c>
      <c r="CG32" s="49" cm="1">
        <f t="array" ref="CG32">IF($F32=0,-1000,CHOOSE($E$14,INDEX(auto_DataFlat_Score,CF32,$E$11),-INDEX(auto_DataFlat_Score,CF32,$E$11),-$D32))</f>
        <v>55.6</v>
      </c>
      <c r="CH32" s="91">
        <f ca="1">RANK(CG32,OFFSET(CG$21,0,0,$E$16+1,1))+COUNTIF(CG$21:CG32,CG32)-1</f>
        <v>40</v>
      </c>
      <c r="CI32" s="91">
        <f t="shared" ca="1" si="53"/>
        <v>41</v>
      </c>
      <c r="CJ32" s="91" cm="1">
        <f t="array" aca="1" ref="CJ32" ca="1">INDEX(OFFSET(CF$21,0,0,$E$16+1,1),CI32)</f>
        <v>3100</v>
      </c>
      <c r="CK32" s="49" cm="1">
        <f t="array" aca="1" ref="CK32" ca="1">INDEX(OFFSET($E$21,0,0,$E$16+1,1),CI32)</f>
        <v>40</v>
      </c>
      <c r="CL32" s="80" cm="1">
        <f t="array" aca="1" ref="CL32" ca="1">IF(CK32="G",5,INDEX(OFFSET($F$21,0,0,$E$16+1,1),CI32))</f>
        <v>1</v>
      </c>
      <c r="CM32" s="80" cm="1">
        <f t="array" aca="1" ref="CM32" ca="1">IF(CJ32=0,0,IF(CK32="G",-1,INDEX(auto_DataFlat_Classification,CJ32,$E$11)))</f>
        <v>4</v>
      </c>
      <c r="CN32" s="301" t="str" cm="1">
        <f t="array" aca="1" ref="CN32" ca="1">IF(CM32&lt;0,"",INDEX(uxbGlobals!$B$133:$B$139,CM32))</f>
        <v xml:space="preserve"> </v>
      </c>
      <c r="CO32" s="80"/>
      <c r="CP32" s="302" t="str" cm="1">
        <f t="array" aca="1" ref="CP32" ca="1">IF(CL32=0,"",IF(CK32="G","--",INDEX(auto_DataFlat_Rank,CJ32,$E$11)))</f>
        <v>=10</v>
      </c>
      <c r="CQ32" s="122" t="str" cm="1">
        <f t="array" aca="1" ref="CQ32" ca="1">IF(CL32=0,"",IF(CK32="G","AVERAGE",INDEX(auto_ddCountry,CK32)))</f>
        <v>San Francisco</v>
      </c>
      <c r="CR32" s="290" cm="1">
        <f t="array" aca="1" ref="CR32" ca="1">IF(CL32=0,"",INDEX(auto_DataFlat_Score,CJ32,$E$11))</f>
        <v>79.599999999999994</v>
      </c>
      <c r="CS32" s="4"/>
      <c r="CT32" s="49">
        <f t="shared" si="43"/>
        <v>-1</v>
      </c>
      <c r="CU32" s="49" t="e" cm="1">
        <f t="array" ref="CU32">IF($F32=0,0,INDEX(sys_DataFlat_LU_Grid,CT32,$E32))</f>
        <v>#VALUE!</v>
      </c>
      <c r="CV32" s="49" t="e" cm="1">
        <f t="array" ref="CV32">IF($F32=0,-1000,CHOOSE($E$14,INDEX(auto_DataFlat_Score,CU32,$E$11),-INDEX(auto_DataFlat_Score,CU32,$E$11),-$D32))</f>
        <v>#VALUE!</v>
      </c>
      <c r="CW32" s="91" t="e">
        <f ca="1">RANK(CV32,OFFSET(CV$21,0,0,$E$16+1,1))+COUNTIF(CV$21:CV32,CV32)-1</f>
        <v>#VALUE!</v>
      </c>
      <c r="CX32" s="91" t="e">
        <f t="shared" ca="1" si="47"/>
        <v>#N/A</v>
      </c>
      <c r="CY32" s="91" t="e" cm="1">
        <f t="array" aca="1" ref="CY32" ca="1">INDEX(OFFSET(CU$21,0,0,$E$16+1,1),CX32)</f>
        <v>#N/A</v>
      </c>
      <c r="CZ32" s="49" t="e" cm="1">
        <f t="array" aca="1" ref="CZ32" ca="1">INDEX(OFFSET($E$21,0,0,$E$16+1,1),CX32)</f>
        <v>#N/A</v>
      </c>
      <c r="DA32" s="80" t="e" cm="1">
        <f t="array" aca="1" ref="DA32" ca="1">IF(CZ32="G",5,INDEX(OFFSET($F$21,0,0,$E$16+1,1),CX32))</f>
        <v>#N/A</v>
      </c>
      <c r="DB32" s="80" t="e" cm="1">
        <f t="array" aca="1" ref="DB32" ca="1">IF(CY32=0,0,IF(CZ32="G",-1,INDEX(auto_DataFlat_Classification,CY32,$E$11)))</f>
        <v>#N/A</v>
      </c>
      <c r="DC32" s="301" t="e" cm="1">
        <f t="array" aca="1" ref="DC32" ca="1">IF(DB32&lt;0,"",INDEX(uxbGlobals!$B$133:$B$139,DB32))</f>
        <v>#N/A</v>
      </c>
      <c r="DD32" s="80"/>
      <c r="DE32" s="302" t="e" cm="1">
        <f t="array" aca="1" ref="DE32" ca="1">IF(DA32=0,"",IF(CZ32="G","--",INDEX(auto_DataFlat_Rank,CY32,$E$11)))</f>
        <v>#N/A</v>
      </c>
      <c r="DF32" s="122" t="e" cm="1">
        <f t="array" aca="1" ref="DF32" ca="1">IF(DA32=0,"",IF(CZ32="G","AVERAGE",INDEX(auto_ddCountry,CZ32)))</f>
        <v>#N/A</v>
      </c>
      <c r="DG32" s="290" t="e" cm="1">
        <f t="array" aca="1" ref="DG32" ca="1">IF(DA32=0,"",INDEX(auto_DataFlat_Score,CY32,$E$11))</f>
        <v>#N/A</v>
      </c>
      <c r="DH32" s="4"/>
      <c r="DI32" s="49">
        <f t="shared" si="44"/>
        <v>-1</v>
      </c>
      <c r="DJ32" s="49" t="e" cm="1">
        <f t="array" ref="DJ32">IF($F32=0,0,INDEX(sys_DataFlat_LU_Grid,DI32,$E32))</f>
        <v>#VALUE!</v>
      </c>
      <c r="DK32" s="49" t="e" cm="1">
        <f t="array" ref="DK32">IF($F32=0,-1000,CHOOSE($E$14,INDEX(auto_DataFlat_Score,DJ32,$E$11),-INDEX(auto_DataFlat_Score,DJ32,$E$11),-$D32))</f>
        <v>#VALUE!</v>
      </c>
      <c r="DL32" s="91" t="e">
        <f ca="1">RANK(DK32,OFFSET(DK$21,0,0,$E$16+1,1))+COUNTIF(DK$21:DK32,DK32)-1</f>
        <v>#VALUE!</v>
      </c>
      <c r="DM32" s="91" t="e">
        <f t="shared" ca="1" si="28"/>
        <v>#N/A</v>
      </c>
      <c r="DN32" s="91" t="e" cm="1">
        <f t="array" aca="1" ref="DN32" ca="1">INDEX(OFFSET(DJ$21,0,0,$E$16+1,1),DM32)</f>
        <v>#N/A</v>
      </c>
      <c r="DO32" s="49" t="e" cm="1">
        <f t="array" aca="1" ref="DO32" ca="1">INDEX(OFFSET($E$21,0,0,$E$16+1,1),DM32)</f>
        <v>#N/A</v>
      </c>
      <c r="DP32" s="80" t="e" cm="1">
        <f t="array" aca="1" ref="DP32" ca="1">IF(DO32="G",5,INDEX(OFFSET($F$21,0,0,$E$16+1,1),DM32))</f>
        <v>#N/A</v>
      </c>
      <c r="DQ32" s="80" t="e" cm="1">
        <f t="array" aca="1" ref="DQ32" ca="1">IF(DN32=0,0,IF(DO32="G",-1,INDEX(auto_DataFlat_Classification,DN32,$E$11)))</f>
        <v>#N/A</v>
      </c>
      <c r="DR32" s="301" t="e" cm="1">
        <f t="array" aca="1" ref="DR32" ca="1">IF(DQ32&lt;0,"",INDEX(uxbGlobals!$B$133:$B$139,DQ32))</f>
        <v>#N/A</v>
      </c>
      <c r="DS32" s="80"/>
      <c r="DT32" s="302" t="e" cm="1">
        <f t="array" aca="1" ref="DT32" ca="1">IF(DP32=0,"",IF(DO32="G","--",INDEX(auto_DataFlat_Rank,DN32,$E$11)))</f>
        <v>#N/A</v>
      </c>
      <c r="DU32" s="122" t="e" cm="1">
        <f t="array" aca="1" ref="DU32" ca="1">IF(DP32=0,"",IF(DO32="G","AVERAGE",INDEX(auto_ddCountry,DO32)))</f>
        <v>#N/A</v>
      </c>
      <c r="DV32" s="290" t="e" cm="1">
        <f t="array" aca="1" ref="DV32" ca="1">IF(DP32=0,"",INDEX(auto_DataFlat_Score,DN32,$E$11))</f>
        <v>#N/A</v>
      </c>
      <c r="DW32" s="4"/>
      <c r="DX32" s="49">
        <f t="shared" si="45"/>
        <v>-1</v>
      </c>
      <c r="DY32" s="49" t="e" cm="1">
        <f t="array" ref="DY32">IF($F32=0,0,INDEX(sys_DataFlat_LU_Grid,DX32,$E32))</f>
        <v>#VALUE!</v>
      </c>
      <c r="DZ32" s="49" t="e" cm="1">
        <f t="array" ref="DZ32">IF($F32=0,-1000,CHOOSE($E$14,INDEX(auto_DataFlat_Score,DY32,$E$11),-INDEX(auto_DataFlat_Score,DY32,$E$11),-$D32))</f>
        <v>#VALUE!</v>
      </c>
      <c r="EA32" s="91" t="e">
        <f ca="1">RANK(DZ32,OFFSET(DZ$21,0,0,$E$16+1,1))+COUNTIF(DZ$21:DZ32,DZ32)-1</f>
        <v>#VALUE!</v>
      </c>
      <c r="EB32" s="91" t="e">
        <f t="shared" ca="1" si="29"/>
        <v>#N/A</v>
      </c>
      <c r="EC32" s="91" t="e" cm="1">
        <f t="array" aca="1" ref="EC32" ca="1">INDEX(OFFSET(DY$21,0,0,$E$16+1,1),EB32)</f>
        <v>#N/A</v>
      </c>
      <c r="ED32" s="49" t="e" cm="1">
        <f t="array" aca="1" ref="ED32" ca="1">INDEX(OFFSET($E$21,0,0,$E$16+1,1),EB32)</f>
        <v>#N/A</v>
      </c>
      <c r="EE32" s="80" t="e" cm="1">
        <f t="array" aca="1" ref="EE32" ca="1">IF(ED32="G",5,INDEX(OFFSET($F$21,0,0,$E$16+1,1),EB32))</f>
        <v>#N/A</v>
      </c>
      <c r="EF32" s="80" t="e" cm="1">
        <f t="array" aca="1" ref="EF32" ca="1">IF(EC32=0,0,IF(ED32="G",-1,INDEX(auto_DataFlat_Classification,EC32,$E$11)))</f>
        <v>#N/A</v>
      </c>
      <c r="EG32" s="301" t="e" cm="1">
        <f t="array" aca="1" ref="EG32" ca="1">IF(EF32&lt;0,"",INDEX(uxbGlobals!$B$133:$B$139,EF32))</f>
        <v>#N/A</v>
      </c>
      <c r="EH32" s="80"/>
      <c r="EI32" s="302" t="e" cm="1">
        <f t="array" aca="1" ref="EI32" ca="1">IF(EE32=0,"",IF(ED32="G","--",INDEX(auto_DataFlat_Rank,EC32,$E$11)))</f>
        <v>#N/A</v>
      </c>
      <c r="EJ32" s="122" t="e" cm="1">
        <f t="array" aca="1" ref="EJ32" ca="1">IF(EE32=0,"",IF(ED32="G","AVERAGE",INDEX(auto_ddCountry,ED32)))</f>
        <v>#N/A</v>
      </c>
      <c r="EK32" s="290" t="e" cm="1">
        <f t="array" aca="1" ref="EK32" ca="1">IF(EE32=0,"",INDEX(auto_DataFlat_Score,EC32,$E$11))</f>
        <v>#N/A</v>
      </c>
      <c r="EL32" s="4"/>
      <c r="EM32" s="49">
        <f t="shared" si="46"/>
        <v>-1</v>
      </c>
      <c r="EN32" s="49" t="e" cm="1">
        <f t="array" ref="EN32">IF($F32=0,0,INDEX(sys_DataFlat_LU_Grid,EM32,$E32))</f>
        <v>#VALUE!</v>
      </c>
      <c r="EO32" s="49" t="e" cm="1">
        <f t="array" ref="EO32">IF($F32=0,-1000,CHOOSE($E$14,INDEX(auto_DataFlat_Score,EN32,$E$11),-INDEX(auto_DataFlat_Score,EN32,$E$11),-$D32))</f>
        <v>#VALUE!</v>
      </c>
      <c r="EP32" s="91" t="e">
        <f ca="1">RANK(EO32,OFFSET(EO$21,0,0,$E$16+1,1))+COUNTIF(EO$21:EO32,EO32)-1</f>
        <v>#VALUE!</v>
      </c>
      <c r="EQ32" s="91" t="e">
        <f t="shared" ca="1" si="30"/>
        <v>#N/A</v>
      </c>
      <c r="ER32" s="91" t="e" cm="1">
        <f t="array" aca="1" ref="ER32" ca="1">INDEX(OFFSET(EN$21,0,0,$E$16+1,1),EQ32)</f>
        <v>#N/A</v>
      </c>
      <c r="ES32" s="49" t="e" cm="1">
        <f t="array" aca="1" ref="ES32" ca="1">INDEX(OFFSET($E$21,0,0,$E$16+1,1),EQ32)</f>
        <v>#N/A</v>
      </c>
      <c r="ET32" s="80" t="e" cm="1">
        <f t="array" aca="1" ref="ET32" ca="1">IF(ES32="G",5,INDEX(OFFSET($F$21,0,0,$E$16+1,1),EQ32))</f>
        <v>#N/A</v>
      </c>
      <c r="EU32" s="80" t="e" cm="1">
        <f t="array" aca="1" ref="EU32" ca="1">IF(ER32=0,0,IF(ES32="G",-1,INDEX(auto_DataFlat_Classification,ER32,$E$11)))</f>
        <v>#N/A</v>
      </c>
      <c r="EV32" s="301" t="e" cm="1">
        <f t="array" aca="1" ref="EV32" ca="1">IF(EU32&lt;0,"",INDEX(uxbGlobals!$B$133:$B$139,EU32))</f>
        <v>#N/A</v>
      </c>
      <c r="EW32" s="80"/>
      <c r="EX32" s="302" t="e" cm="1">
        <f t="array" aca="1" ref="EX32" ca="1">IF(ET32=0,"",IF(ES32="G","--",INDEX(auto_DataFlat_Rank,ER32,$E$11)))</f>
        <v>#N/A</v>
      </c>
      <c r="EY32" s="122" t="e" cm="1">
        <f t="array" aca="1" ref="EY32" ca="1">IF(ET32=0,"",IF(ES32="G","AVERAGE",INDEX(auto_ddCountry,ES32)))</f>
        <v>#N/A</v>
      </c>
      <c r="EZ32" s="290" t="e" cm="1">
        <f t="array" aca="1" ref="EZ32" ca="1">IF(ET32=0,"",INDEX(auto_DataFlat_Score,ER32,$E$11))</f>
        <v>#N/A</v>
      </c>
    </row>
    <row r="33" spans="1:156" ht="17.149999999999999" customHeight="1" x14ac:dyDescent="0.4">
      <c r="A33" s="4"/>
      <c r="B33" s="4"/>
      <c r="C33" s="4"/>
      <c r="D33" s="26">
        <v>13</v>
      </c>
      <c r="E33" s="49">
        <f>tblCountries!M14</f>
        <v>12</v>
      </c>
      <c r="F33" s="114" cm="1">
        <f t="array" ref="F33">IF(E33=0,0,INDEX(auto_Country_Status,E33))</f>
        <v>1</v>
      </c>
      <c r="G33" s="4"/>
      <c r="H33" s="49">
        <f t="shared" si="31"/>
        <v>1</v>
      </c>
      <c r="I33" s="49" cm="1">
        <f t="array" ref="I33">IF($F33=0,0,INDEX(sys_DataFlat_LU_Grid,H33,$E33))</f>
        <v>12</v>
      </c>
      <c r="J33" s="49" cm="1">
        <f t="array" ref="J33">IF($F33=0,-1000,CHOOSE($E$14,INDEX(auto_DataFlat_Score,I33,$E$11),-INDEX(auto_DataFlat_Score,I33,$E$11),-$D33))</f>
        <v>56.8</v>
      </c>
      <c r="K33" s="91">
        <f ca="1">RANK(J33,OFFSET(J$21,0,0,$E$16+1,1))+COUNTIF(J$21:J33,J33)-1</f>
        <v>34</v>
      </c>
      <c r="L33" s="91">
        <f t="shared" ca="1" si="48"/>
        <v>36</v>
      </c>
      <c r="M33" s="91" cm="1">
        <f t="array" aca="1" ref="M33" ca="1">INDEX(OFFSET(I$21,0,0,$E$16+1,1),L33)</f>
        <v>35</v>
      </c>
      <c r="N33" s="49" cm="1">
        <f t="array" aca="1" ref="N33" ca="1">INDEX(OFFSET($E$21,0,0,$E$16+1,1),L33)</f>
        <v>35</v>
      </c>
      <c r="O33" s="80" cm="1">
        <f t="array" aca="1" ref="O33" ca="1">IF(N33="G",5,INDEX(OFFSET($F$21,0,0,$E$16+1,1),L33))</f>
        <v>1</v>
      </c>
      <c r="P33" s="80" cm="1">
        <f t="array" aca="1" ref="P33" ca="1">IF(M33=0,0,IF(N33="G",-1,INDEX(auto_DataFlat_Classification,M33,$E$11)))</f>
        <v>4</v>
      </c>
      <c r="Q33" s="301" t="str" cm="1">
        <f t="array" aca="1" ref="Q33" ca="1">IF(P33&lt;0,"",INDEX(uxbGlobals!$B$133:$B$139,P33))</f>
        <v xml:space="preserve"> </v>
      </c>
      <c r="R33" s="80"/>
      <c r="S33" s="302" t="str" cm="1">
        <f t="array" aca="1" ref="S33" ca="1">IF(O33=0,"",IF(N33="G","--",INDEX(auto_DataFlat_Rank,M33,$E$11)))</f>
        <v>13</v>
      </c>
      <c r="T33" s="122" t="str" cm="1">
        <f t="array" aca="1" ref="T33" ca="1">IF(O33=0,"",IF(N33="G"," AVERAGE",INDEX(auto_ddCountry,N33)))</f>
        <v>Osaka</v>
      </c>
      <c r="U33" s="290" cm="1">
        <f t="array" aca="1" ref="U33" ca="1">IF(O33=0,"",INDEX(auto_DataFlat_Score,M33,$E$11))</f>
        <v>74.2</v>
      </c>
      <c r="V33" s="4"/>
      <c r="W33" s="49">
        <f t="shared" si="33"/>
        <v>2</v>
      </c>
      <c r="X33" s="49" cm="1">
        <f t="array" ref="X33">IF($F33=0,0,INDEX(sys_DataFlat_LU_Grid,W33,$E33))</f>
        <v>72</v>
      </c>
      <c r="Y33" s="49" cm="1">
        <f t="array" ref="Y33">IF($F33=0,-1000,CHOOSE($E$14,INDEX(auto_DataFlat_Score,X33,$E$11),-INDEX(auto_DataFlat_Score,X33,$E$11),-$D33))</f>
        <v>44.2</v>
      </c>
      <c r="Z33" s="91">
        <f ca="1">RANK(Y33,OFFSET(Y$21,0,0,$E$16+1,1))+COUNTIF(Y$21:Y33,Y33)-1</f>
        <v>46</v>
      </c>
      <c r="AA33" s="91">
        <f t="shared" ca="1" si="49"/>
        <v>18</v>
      </c>
      <c r="AB33" s="91" cm="1">
        <f t="array" aca="1" ref="AB33" ca="1">INDEX(OFFSET(X$21,0,0,$E$16+1,1),AA33)</f>
        <v>77</v>
      </c>
      <c r="AC33" s="49" cm="1">
        <f t="array" aca="1" ref="AC33" ca="1">INDEX(OFFSET($E$21,0,0,$E$16+1,1),AA33)</f>
        <v>17</v>
      </c>
      <c r="AD33" s="80" cm="1">
        <f t="array" aca="1" ref="AD33" ca="1">IF(AC33="G",5,INDEX(OFFSET($F$21,0,0,$E$16+1,1),AA33))</f>
        <v>1</v>
      </c>
      <c r="AE33" s="80" cm="1">
        <f t="array" aca="1" ref="AE33" ca="1">IF(AB33=0,0,IF(AC33="G",-1,INDEX(auto_DataFlat_Classification,AB33,$E$11)))</f>
        <v>5</v>
      </c>
      <c r="AF33" s="301" t="str" cm="1">
        <f t="array" aca="1" ref="AF33" ca="1">IF(AE33&lt;0,"",INDEX(uxbGlobals!$B$133:$B$139,AE33))</f>
        <v xml:space="preserve"> </v>
      </c>
      <c r="AG33" s="80"/>
      <c r="AH33" s="302" t="str" cm="1">
        <f t="array" aca="1" ref="AH33" ca="1">IF(AD33=0,"",IF(AC33="G","--",INDEX(auto_DataFlat_Rank,AB33,$E$11)))</f>
        <v>13</v>
      </c>
      <c r="AI33" s="122" t="str" cm="1">
        <f t="array" aca="1" ref="AI33" ca="1">IF(AD33=0,"",IF(AC33="G","AVERAGE",INDEX(auto_ddCountry,AC33)))</f>
        <v>Hong Kong</v>
      </c>
      <c r="AJ33" s="290" cm="1">
        <f t="array" aca="1" ref="AJ33" ca="1">IF(AD33=0,"",INDEX(auto_DataFlat_Score,AB33,$E$11))</f>
        <v>84.3</v>
      </c>
      <c r="AK33" s="4"/>
      <c r="AL33" s="49">
        <f t="shared" si="35"/>
        <v>14</v>
      </c>
      <c r="AM33" s="49" cm="1">
        <f t="array" ref="AM33">IF($F33=0,0,INDEX(sys_DataFlat_LU_Grid,AL33,$E33))</f>
        <v>792</v>
      </c>
      <c r="AN33" s="49" cm="1">
        <f t="array" ref="AN33">IF($F33=0,-1000,CHOOSE($E$14,INDEX(auto_DataFlat_Score,AM33,$E$11),-INDEX(auto_DataFlat_Score,AM33,$E$11),-$D33))</f>
        <v>20.9</v>
      </c>
      <c r="AO33" s="91">
        <f ca="1">RANK(AN33,OFFSET(AN$21,0,0,$E$16+1,1))+COUNTIF(AN$21:AN33,AN33)-1</f>
        <v>48</v>
      </c>
      <c r="AP33" s="91">
        <f t="shared" ca="1" si="50"/>
        <v>32</v>
      </c>
      <c r="AQ33" s="91" cm="1">
        <f t="array" aca="1" ref="AQ33" ca="1">INDEX(OFFSET(AM$21,0,0,$E$16+1,1),AP33)</f>
        <v>811</v>
      </c>
      <c r="AR33" s="49" cm="1">
        <f t="array" aca="1" ref="AR33" ca="1">INDEX(OFFSET($E$21,0,0,$E$16+1,1),AP33)</f>
        <v>31</v>
      </c>
      <c r="AS33" s="80" cm="1">
        <f t="array" aca="1" ref="AS33" ca="1">IF(AR33="G",5,INDEX(OFFSET($F$21,0,0,$E$16+1,1),AP33))</f>
        <v>1</v>
      </c>
      <c r="AT33" s="80" cm="1">
        <f t="array" aca="1" ref="AT33" ca="1">IF(AQ33=0,0,IF(AR33="G",-1,INDEX(auto_DataFlat_Classification,AQ33,$E$11)))</f>
        <v>4</v>
      </c>
      <c r="AU33" s="301" t="str" cm="1">
        <f t="array" aca="1" ref="AU33" ca="1">IF(AT33&lt;0,"",INDEX(uxbGlobals!$B$133:$B$139,AT33))</f>
        <v xml:space="preserve"> </v>
      </c>
      <c r="AV33" s="80"/>
      <c r="AW33" s="302" t="str" cm="1">
        <f t="array" aca="1" ref="AW33" ca="1">IF(AS33=0,"",IF(AR33="G","--",INDEX(auto_DataFlat_Rank,AQ33,$E$11)))</f>
        <v>13</v>
      </c>
      <c r="AX33" s="122" t="str" cm="1">
        <f t="array" aca="1" ref="AX33" ca="1">IF(AS33=0,"",IF(AR33="G","AVERAGE",INDEX(auto_ddCountry,AR33)))</f>
        <v>Moscow</v>
      </c>
      <c r="AY33" s="290" cm="1">
        <f t="array" aca="1" ref="AY33" ca="1">IF(AS33=0,"",INDEX(auto_DataFlat_Score,AQ33,$E$11))</f>
        <v>65.3</v>
      </c>
      <c r="AZ33" s="4"/>
      <c r="BA33" s="49">
        <f t="shared" si="37"/>
        <v>22</v>
      </c>
      <c r="BB33" s="49" cm="1">
        <f t="array" ref="BB33">IF($F33=0,0,INDEX(sys_DataFlat_LU_Grid,BA33,$E33))</f>
        <v>1272</v>
      </c>
      <c r="BC33" s="49" cm="1">
        <f t="array" ref="BC33">IF($F33=0,-1000,CHOOSE($E$14,INDEX(auto_DataFlat_Score,BB33,$E$11),-INDEX(auto_DataFlat_Score,BB33,$E$11),-$D33))</f>
        <v>56.4</v>
      </c>
      <c r="BD33" s="91">
        <f ca="1">RANK(BC33,OFFSET(BC$21,0,0,$E$16+1,1))+COUNTIF(BC$21:BC33,BC33)-1</f>
        <v>27</v>
      </c>
      <c r="BE33" s="91">
        <f t="shared" ca="1" si="51"/>
        <v>10</v>
      </c>
      <c r="BF33" s="91" cm="1">
        <f t="array" aca="1" ref="BF33" ca="1">INDEX(OFFSET(BB$21,0,0,$E$16+1,1),BE33)</f>
        <v>1269</v>
      </c>
      <c r="BG33" s="49" cm="1">
        <f t="array" aca="1" ref="BG33" ca="1">INDEX(OFFSET($E$21,0,0,$E$16+1,1),BE33)</f>
        <v>9</v>
      </c>
      <c r="BH33" s="80" cm="1">
        <f t="array" aca="1" ref="BH33" ca="1">IF(BG33="G",5,INDEX(OFFSET($F$21,0,0,$E$16+1,1),BE33))</f>
        <v>1</v>
      </c>
      <c r="BI33" s="80" cm="1">
        <f t="array" aca="1" ref="BI33" ca="1">IF(BF33=0,0,IF(BG33="G",-1,INDEX(auto_DataFlat_Classification,BF33,$E$11)))</f>
        <v>4</v>
      </c>
      <c r="BJ33" s="301" t="str" cm="1">
        <f t="array" aca="1" ref="BJ33" ca="1">IF(BI33&lt;0,"",INDEX(uxbGlobals!$B$133:$B$139,BI33))</f>
        <v xml:space="preserve"> </v>
      </c>
      <c r="BK33" s="80"/>
      <c r="BL33" s="302" t="str" cm="1">
        <f t="array" aca="1" ref="BL33" ca="1">IF(BH33=0,"",IF(BG33="G","--",INDEX(auto_DataFlat_Rank,BF33,$E$11)))</f>
        <v>13</v>
      </c>
      <c r="BM33" s="122" t="str" cm="1">
        <f t="array" aca="1" ref="BM33" ca="1">IF(BH33=0,"",IF(BG33="G","AVERAGE",INDEX(auto_ddCountry,BG33)))</f>
        <v>Budapest</v>
      </c>
      <c r="BN33" s="290" cm="1">
        <f t="array" aca="1" ref="BN33" ca="1">IF(BH33=0,"",INDEX(auto_DataFlat_Score,BF33,$E$11))</f>
        <v>72.599999999999994</v>
      </c>
      <c r="BO33" s="4"/>
      <c r="BP33" s="49">
        <f t="shared" si="39"/>
        <v>47</v>
      </c>
      <c r="BQ33" s="49" cm="1">
        <f t="array" ref="BQ33">IF($F33=0,0,INDEX(sys_DataFlat_LU_Grid,BP33,$E33))</f>
        <v>2772</v>
      </c>
      <c r="BR33" s="49" cm="1">
        <f t="array" ref="BR33">IF($F33=0,-1000,CHOOSE($E$14,INDEX(auto_DataFlat_Score,BQ33,$E$11),-INDEX(auto_DataFlat_Score,BQ33,$E$11),-$D33))</f>
        <v>71</v>
      </c>
      <c r="BS33" s="91">
        <f ca="1">RANK(BR33,OFFSET(BR$21,0,0,$E$16+1,1))+COUNTIF(BR$21:BR33,BR33)-1</f>
        <v>22</v>
      </c>
      <c r="BT33" s="91">
        <f t="shared" ca="1" si="52"/>
        <v>40</v>
      </c>
      <c r="BU33" s="91" cm="1">
        <f t="array" aca="1" ref="BU33" ca="1">INDEX(OFFSET(BQ$21,0,0,$E$16+1,1),BT33)</f>
        <v>2799</v>
      </c>
      <c r="BV33" s="49" cm="1">
        <f t="array" aca="1" ref="BV33" ca="1">INDEX(OFFSET($E$21,0,0,$E$16+1,1),BT33)</f>
        <v>39</v>
      </c>
      <c r="BW33" s="80" cm="1">
        <f t="array" aca="1" ref="BW33" ca="1">IF(BV33="G",5,INDEX(OFFSET($F$21,0,0,$E$16+1,1),BT33))</f>
        <v>1</v>
      </c>
      <c r="BX33" s="80" cm="1">
        <f t="array" aca="1" ref="BX33" ca="1">IF(BU33=0,0,IF(BV33="G",-1,INDEX(auto_DataFlat_Classification,BU33,$E$11)))</f>
        <v>5</v>
      </c>
      <c r="BY33" s="301" t="str" cm="1">
        <f t="array" aca="1" ref="BY33" ca="1">IF(BX33&lt;0,"",INDEX(uxbGlobals!$B$133:$B$139,BX33))</f>
        <v xml:space="preserve"> </v>
      </c>
      <c r="BZ33" s="80"/>
      <c r="CA33" s="302" t="str" cm="1">
        <f t="array" aca="1" ref="CA33" ca="1">IF(BW33=0,"",IF(BV33="G","--",INDEX(auto_DataFlat_Rank,BU33,$E$11)))</f>
        <v>13</v>
      </c>
      <c r="CB33" s="122" t="str" cm="1">
        <f t="array" aca="1" ref="CB33" ca="1">IF(BW33=0,"",IF(BV33="G","AVERAGE",INDEX(auto_ddCountry,BV33)))</f>
        <v>Rome</v>
      </c>
      <c r="CC33" s="290" cm="1">
        <f t="array" aca="1" ref="CC33" ca="1">IF(BW33=0,"",INDEX(auto_DataFlat_Score,BU33,$E$11))</f>
        <v>82.1</v>
      </c>
      <c r="CD33" s="4"/>
      <c r="CE33" s="49">
        <f t="shared" si="41"/>
        <v>52</v>
      </c>
      <c r="CF33" s="49" cm="1">
        <f t="array" ref="CF33">IF($F33=0,0,INDEX(sys_DataFlat_LU_Grid,CE33,$E33))</f>
        <v>3072</v>
      </c>
      <c r="CG33" s="49" cm="1">
        <f t="array" ref="CG33">IF($F33=0,-1000,CHOOSE($E$14,INDEX(auto_DataFlat_Score,CF33,$E$11),-INDEX(auto_DataFlat_Score,CF33,$E$11),-$D33))</f>
        <v>77.8</v>
      </c>
      <c r="CH33" s="91">
        <f ca="1">RANK(CG33,OFFSET(CG$21,0,0,$E$16+1,1))+COUNTIF(CG$21:CG33,CG33)-1</f>
        <v>14</v>
      </c>
      <c r="CI33" s="91">
        <f t="shared" ca="1" si="53"/>
        <v>9</v>
      </c>
      <c r="CJ33" s="91" cm="1">
        <f t="array" aca="1" ref="CJ33" ca="1">INDEX(OFFSET(CF$21,0,0,$E$16+1,1),CI33)</f>
        <v>3068</v>
      </c>
      <c r="CK33" s="49" cm="1">
        <f t="array" aca="1" ref="CK33" ca="1">INDEX(OFFSET($E$21,0,0,$E$16+1,1),CI33)</f>
        <v>8</v>
      </c>
      <c r="CL33" s="80" cm="1">
        <f t="array" aca="1" ref="CL33" ca="1">IF(CK33="G",5,INDEX(OFFSET($F$21,0,0,$E$16+1,1),CI33))</f>
        <v>1</v>
      </c>
      <c r="CM33" s="80" cm="1">
        <f t="array" aca="1" ref="CM33" ca="1">IF(CJ33=0,0,IF(CK33="G",-1,INDEX(auto_DataFlat_Classification,CJ33,$E$11)))</f>
        <v>4</v>
      </c>
      <c r="CN33" s="301" t="str" cm="1">
        <f t="array" aca="1" ref="CN33" ca="1">IF(CM33&lt;0,"",INDEX(uxbGlobals!$B$133:$B$139,CM33))</f>
        <v xml:space="preserve"> </v>
      </c>
      <c r="CO33" s="80"/>
      <c r="CP33" s="302" t="str" cm="1">
        <f t="array" aca="1" ref="CP33" ca="1">IF(CL33=0,"",IF(CK33="G","--",INDEX(auto_DataFlat_Rank,CJ33,$E$11)))</f>
        <v>13</v>
      </c>
      <c r="CQ33" s="122" t="str" cm="1">
        <f t="array" aca="1" ref="CQ33" ca="1">IF(CL33=0,"",IF(CK33="G","AVERAGE",INDEX(auto_ddCountry,CK33)))</f>
        <v>Bogotá</v>
      </c>
      <c r="CR33" s="290" cm="1">
        <f t="array" aca="1" ref="CR33" ca="1">IF(CL33=0,"",INDEX(auto_DataFlat_Score,CJ33,$E$11))</f>
        <v>78.7</v>
      </c>
      <c r="CS33" s="4"/>
      <c r="CT33" s="49">
        <f t="shared" si="43"/>
        <v>-1</v>
      </c>
      <c r="CU33" s="49" t="e" cm="1">
        <f t="array" ref="CU33">IF($F33=0,0,INDEX(sys_DataFlat_LU_Grid,CT33,$E33))</f>
        <v>#VALUE!</v>
      </c>
      <c r="CV33" s="49" t="e" cm="1">
        <f t="array" ref="CV33">IF($F33=0,-1000,CHOOSE($E$14,INDEX(auto_DataFlat_Score,CU33,$E$11),-INDEX(auto_DataFlat_Score,CU33,$E$11),-$D33))</f>
        <v>#VALUE!</v>
      </c>
      <c r="CW33" s="91" t="e">
        <f ca="1">RANK(CV33,OFFSET(CV$21,0,0,$E$16+1,1))+COUNTIF(CV$21:CV33,CV33)-1</f>
        <v>#VALUE!</v>
      </c>
      <c r="CX33" s="91" t="e">
        <f t="shared" ca="1" si="47"/>
        <v>#N/A</v>
      </c>
      <c r="CY33" s="91" t="e" cm="1">
        <f t="array" aca="1" ref="CY33" ca="1">INDEX(OFFSET(CU$21,0,0,$E$16+1,1),CX33)</f>
        <v>#N/A</v>
      </c>
      <c r="CZ33" s="49" t="e" cm="1">
        <f t="array" aca="1" ref="CZ33" ca="1">INDEX(OFFSET($E$21,0,0,$E$16+1,1),CX33)</f>
        <v>#N/A</v>
      </c>
      <c r="DA33" s="80" t="e" cm="1">
        <f t="array" aca="1" ref="DA33" ca="1">IF(CZ33="G",5,INDEX(OFFSET($F$21,0,0,$E$16+1,1),CX33))</f>
        <v>#N/A</v>
      </c>
      <c r="DB33" s="80" t="e" cm="1">
        <f t="array" aca="1" ref="DB33" ca="1">IF(CY33=0,0,IF(CZ33="G",-1,INDEX(auto_DataFlat_Classification,CY33,$E$11)))</f>
        <v>#N/A</v>
      </c>
      <c r="DC33" s="301" t="e" cm="1">
        <f t="array" aca="1" ref="DC33" ca="1">IF(DB33&lt;0,"",INDEX(uxbGlobals!$B$133:$B$139,DB33))</f>
        <v>#N/A</v>
      </c>
      <c r="DD33" s="80"/>
      <c r="DE33" s="302" t="e" cm="1">
        <f t="array" aca="1" ref="DE33" ca="1">IF(DA33=0,"",IF(CZ33="G","--",INDEX(auto_DataFlat_Rank,CY33,$E$11)))</f>
        <v>#N/A</v>
      </c>
      <c r="DF33" s="122" t="e" cm="1">
        <f t="array" aca="1" ref="DF33" ca="1">IF(DA33=0,"",IF(CZ33="G","AVERAGE",INDEX(auto_ddCountry,CZ33)))</f>
        <v>#N/A</v>
      </c>
      <c r="DG33" s="290" t="e" cm="1">
        <f t="array" aca="1" ref="DG33" ca="1">IF(DA33=0,"",INDEX(auto_DataFlat_Score,CY33,$E$11))</f>
        <v>#N/A</v>
      </c>
      <c r="DH33" s="4"/>
      <c r="DI33" s="49">
        <f t="shared" si="44"/>
        <v>-1</v>
      </c>
      <c r="DJ33" s="49" t="e" cm="1">
        <f t="array" ref="DJ33">IF($F33=0,0,INDEX(sys_DataFlat_LU_Grid,DI33,$E33))</f>
        <v>#VALUE!</v>
      </c>
      <c r="DK33" s="49" t="e" cm="1">
        <f t="array" ref="DK33">IF($F33=0,-1000,CHOOSE($E$14,INDEX(auto_DataFlat_Score,DJ33,$E$11),-INDEX(auto_DataFlat_Score,DJ33,$E$11),-$D33))</f>
        <v>#VALUE!</v>
      </c>
      <c r="DL33" s="91" t="e">
        <f ca="1">RANK(DK33,OFFSET(DK$21,0,0,$E$16+1,1))+COUNTIF(DK$21:DK33,DK33)-1</f>
        <v>#VALUE!</v>
      </c>
      <c r="DM33" s="91" t="e">
        <f t="shared" ca="1" si="28"/>
        <v>#N/A</v>
      </c>
      <c r="DN33" s="91" t="e" cm="1">
        <f t="array" aca="1" ref="DN33" ca="1">INDEX(OFFSET(DJ$21,0,0,$E$16+1,1),DM33)</f>
        <v>#N/A</v>
      </c>
      <c r="DO33" s="49" t="e" cm="1">
        <f t="array" aca="1" ref="DO33" ca="1">INDEX(OFFSET($E$21,0,0,$E$16+1,1),DM33)</f>
        <v>#N/A</v>
      </c>
      <c r="DP33" s="80" t="e" cm="1">
        <f t="array" aca="1" ref="DP33" ca="1">IF(DO33="G",5,INDEX(OFFSET($F$21,0,0,$E$16+1,1),DM33))</f>
        <v>#N/A</v>
      </c>
      <c r="DQ33" s="80" t="e" cm="1">
        <f t="array" aca="1" ref="DQ33" ca="1">IF(DN33=0,0,IF(DO33="G",-1,INDEX(auto_DataFlat_Classification,DN33,$E$11)))</f>
        <v>#N/A</v>
      </c>
      <c r="DR33" s="301" t="e" cm="1">
        <f t="array" aca="1" ref="DR33" ca="1">IF(DQ33&lt;0,"",INDEX(uxbGlobals!$B$133:$B$139,DQ33))</f>
        <v>#N/A</v>
      </c>
      <c r="DS33" s="80"/>
      <c r="DT33" s="302" t="e" cm="1">
        <f t="array" aca="1" ref="DT33" ca="1">IF(DP33=0,"",IF(DO33="G","--",INDEX(auto_DataFlat_Rank,DN33,$E$11)))</f>
        <v>#N/A</v>
      </c>
      <c r="DU33" s="122" t="e" cm="1">
        <f t="array" aca="1" ref="DU33" ca="1">IF(DP33=0,"",IF(DO33="G","AVERAGE",INDEX(auto_ddCountry,DO33)))</f>
        <v>#N/A</v>
      </c>
      <c r="DV33" s="290" t="e" cm="1">
        <f t="array" aca="1" ref="DV33" ca="1">IF(DP33=0,"",INDEX(auto_DataFlat_Score,DN33,$E$11))</f>
        <v>#N/A</v>
      </c>
      <c r="DW33" s="4"/>
      <c r="DX33" s="49">
        <f t="shared" si="45"/>
        <v>-1</v>
      </c>
      <c r="DY33" s="49" t="e" cm="1">
        <f t="array" ref="DY33">IF($F33=0,0,INDEX(sys_DataFlat_LU_Grid,DX33,$E33))</f>
        <v>#VALUE!</v>
      </c>
      <c r="DZ33" s="49" t="e" cm="1">
        <f t="array" ref="DZ33">IF($F33=0,-1000,CHOOSE($E$14,INDEX(auto_DataFlat_Score,DY33,$E$11),-INDEX(auto_DataFlat_Score,DY33,$E$11),-$D33))</f>
        <v>#VALUE!</v>
      </c>
      <c r="EA33" s="91" t="e">
        <f ca="1">RANK(DZ33,OFFSET(DZ$21,0,0,$E$16+1,1))+COUNTIF(DZ$21:DZ33,DZ33)-1</f>
        <v>#VALUE!</v>
      </c>
      <c r="EB33" s="91" t="e">
        <f t="shared" ca="1" si="29"/>
        <v>#N/A</v>
      </c>
      <c r="EC33" s="91" t="e" cm="1">
        <f t="array" aca="1" ref="EC33" ca="1">INDEX(OFFSET(DY$21,0,0,$E$16+1,1),EB33)</f>
        <v>#N/A</v>
      </c>
      <c r="ED33" s="49" t="e" cm="1">
        <f t="array" aca="1" ref="ED33" ca="1">INDEX(OFFSET($E$21,0,0,$E$16+1,1),EB33)</f>
        <v>#N/A</v>
      </c>
      <c r="EE33" s="80" t="e" cm="1">
        <f t="array" aca="1" ref="EE33" ca="1">IF(ED33="G",5,INDEX(OFFSET($F$21,0,0,$E$16+1,1),EB33))</f>
        <v>#N/A</v>
      </c>
      <c r="EF33" s="80" t="e" cm="1">
        <f t="array" aca="1" ref="EF33" ca="1">IF(EC33=0,0,IF(ED33="G",-1,INDEX(auto_DataFlat_Classification,EC33,$E$11)))</f>
        <v>#N/A</v>
      </c>
      <c r="EG33" s="301" t="e" cm="1">
        <f t="array" aca="1" ref="EG33" ca="1">IF(EF33&lt;0,"",INDEX(uxbGlobals!$B$133:$B$139,EF33))</f>
        <v>#N/A</v>
      </c>
      <c r="EH33" s="80"/>
      <c r="EI33" s="302" t="e" cm="1">
        <f t="array" aca="1" ref="EI33" ca="1">IF(EE33=0,"",IF(ED33="G","--",INDEX(auto_DataFlat_Rank,EC33,$E$11)))</f>
        <v>#N/A</v>
      </c>
      <c r="EJ33" s="122" t="e" cm="1">
        <f t="array" aca="1" ref="EJ33" ca="1">IF(EE33=0,"",IF(ED33="G","AVERAGE",INDEX(auto_ddCountry,ED33)))</f>
        <v>#N/A</v>
      </c>
      <c r="EK33" s="290" t="e" cm="1">
        <f t="array" aca="1" ref="EK33" ca="1">IF(EE33=0,"",INDEX(auto_DataFlat_Score,EC33,$E$11))</f>
        <v>#N/A</v>
      </c>
      <c r="EL33" s="4"/>
      <c r="EM33" s="49">
        <f t="shared" si="46"/>
        <v>-1</v>
      </c>
      <c r="EN33" s="49" t="e" cm="1">
        <f t="array" ref="EN33">IF($F33=0,0,INDEX(sys_DataFlat_LU_Grid,EM33,$E33))</f>
        <v>#VALUE!</v>
      </c>
      <c r="EO33" s="49" t="e" cm="1">
        <f t="array" ref="EO33">IF($F33=0,-1000,CHOOSE($E$14,INDEX(auto_DataFlat_Score,EN33,$E$11),-INDEX(auto_DataFlat_Score,EN33,$E$11),-$D33))</f>
        <v>#VALUE!</v>
      </c>
      <c r="EP33" s="91" t="e">
        <f ca="1">RANK(EO33,OFFSET(EO$21,0,0,$E$16+1,1))+COUNTIF(EO$21:EO33,EO33)-1</f>
        <v>#VALUE!</v>
      </c>
      <c r="EQ33" s="91" t="e">
        <f t="shared" ca="1" si="30"/>
        <v>#N/A</v>
      </c>
      <c r="ER33" s="91" t="e" cm="1">
        <f t="array" aca="1" ref="ER33" ca="1">INDEX(OFFSET(EN$21,0,0,$E$16+1,1),EQ33)</f>
        <v>#N/A</v>
      </c>
      <c r="ES33" s="49" t="e" cm="1">
        <f t="array" aca="1" ref="ES33" ca="1">INDEX(OFFSET($E$21,0,0,$E$16+1,1),EQ33)</f>
        <v>#N/A</v>
      </c>
      <c r="ET33" s="80" t="e" cm="1">
        <f t="array" aca="1" ref="ET33" ca="1">IF(ES33="G",5,INDEX(OFFSET($F$21,0,0,$E$16+1,1),EQ33))</f>
        <v>#N/A</v>
      </c>
      <c r="EU33" s="80" t="e" cm="1">
        <f t="array" aca="1" ref="EU33" ca="1">IF(ER33=0,0,IF(ES33="G",-1,INDEX(auto_DataFlat_Classification,ER33,$E$11)))</f>
        <v>#N/A</v>
      </c>
      <c r="EV33" s="301" t="e" cm="1">
        <f t="array" aca="1" ref="EV33" ca="1">IF(EU33&lt;0,"",INDEX(uxbGlobals!$B$133:$B$139,EU33))</f>
        <v>#N/A</v>
      </c>
      <c r="EW33" s="80"/>
      <c r="EX33" s="302" t="e" cm="1">
        <f t="array" aca="1" ref="EX33" ca="1">IF(ET33=0,"",IF(ES33="G","--",INDEX(auto_DataFlat_Rank,ER33,$E$11)))</f>
        <v>#N/A</v>
      </c>
      <c r="EY33" s="122" t="e" cm="1">
        <f t="array" aca="1" ref="EY33" ca="1">IF(ET33=0,"",IF(ES33="G","AVERAGE",INDEX(auto_ddCountry,ES33)))</f>
        <v>#N/A</v>
      </c>
      <c r="EZ33" s="290" t="e" cm="1">
        <f t="array" aca="1" ref="EZ33" ca="1">IF(ET33=0,"",INDEX(auto_DataFlat_Score,ER33,$E$11))</f>
        <v>#N/A</v>
      </c>
    </row>
    <row r="34" spans="1:156" ht="17.149999999999999" customHeight="1" x14ac:dyDescent="0.4">
      <c r="A34" s="4"/>
      <c r="B34" s="4"/>
      <c r="C34" s="4"/>
      <c r="D34" s="26">
        <v>14</v>
      </c>
      <c r="E34" s="49">
        <f>tblCountries!M15</f>
        <v>13</v>
      </c>
      <c r="F34" s="114" cm="1">
        <f t="array" ref="F34">IF(E34=0,0,INDEX(auto_Country_Status,E34))</f>
        <v>1</v>
      </c>
      <c r="G34" s="4"/>
      <c r="H34" s="49">
        <f t="shared" si="31"/>
        <v>1</v>
      </c>
      <c r="I34" s="49" cm="1">
        <f t="array" ref="I34">IF($F34=0,0,INDEX(sys_DataFlat_LU_Grid,H34,$E34))</f>
        <v>13</v>
      </c>
      <c r="J34" s="49" cm="1">
        <f t="array" ref="J34">IF($F34=0,-1000,CHOOSE($E$14,INDEX(auto_DataFlat_Score,I34,$E$11),-INDEX(auto_DataFlat_Score,I34,$E$11),-$D34))</f>
        <v>41.8</v>
      </c>
      <c r="K34" s="91">
        <f ca="1">RANK(J34,OFFSET(J$21,0,0,$E$16+1,1))+COUNTIF(J$21:J34,J34)-1</f>
        <v>48</v>
      </c>
      <c r="L34" s="91">
        <f t="shared" ca="1" si="48"/>
        <v>41</v>
      </c>
      <c r="M34" s="91" cm="1">
        <f t="array" aca="1" ref="M34" ca="1">INDEX(OFFSET(I$21,0,0,$E$16+1,1),L34)</f>
        <v>40</v>
      </c>
      <c r="N34" s="49" cm="1">
        <f t="array" aca="1" ref="N34" ca="1">INDEX(OFFSET($E$21,0,0,$E$16+1,1),L34)</f>
        <v>40</v>
      </c>
      <c r="O34" s="80" cm="1">
        <f t="array" aca="1" ref="O34" ca="1">IF(N34="G",5,INDEX(OFFSET($F$21,0,0,$E$16+1,1),L34))</f>
        <v>1</v>
      </c>
      <c r="P34" s="80" cm="1">
        <f t="array" aca="1" ref="P34" ca="1">IF(M34=0,0,IF(N34="G",-1,INDEX(auto_DataFlat_Classification,M34,$E$11)))</f>
        <v>4</v>
      </c>
      <c r="Q34" s="301" t="str" cm="1">
        <f t="array" aca="1" ref="Q34" ca="1">IF(P34&lt;0,"",INDEX(uxbGlobals!$B$133:$B$139,P34))</f>
        <v xml:space="preserve"> </v>
      </c>
      <c r="R34" s="80"/>
      <c r="S34" s="302" t="str" cm="1">
        <f t="array" aca="1" ref="S34" ca="1">IF(O34=0,"",IF(N34="G","--",INDEX(auto_DataFlat_Rank,M34,$E$11)))</f>
        <v>14</v>
      </c>
      <c r="T34" s="122" t="str" cm="1">
        <f t="array" aca="1" ref="T34" ca="1">IF(O34=0,"",IF(N34="G"," AVERAGE",INDEX(auto_ddCountry,N34)))</f>
        <v>San Francisco</v>
      </c>
      <c r="U34" s="290" cm="1">
        <f t="array" aca="1" ref="U34" ca="1">IF(O34=0,"",INDEX(auto_DataFlat_Score,M34,$E$11))</f>
        <v>72</v>
      </c>
      <c r="V34" s="4"/>
      <c r="W34" s="49">
        <f t="shared" si="33"/>
        <v>2</v>
      </c>
      <c r="X34" s="49" cm="1">
        <f t="array" ref="X34">IF($F34=0,0,INDEX(sys_DataFlat_LU_Grid,W34,$E34))</f>
        <v>73</v>
      </c>
      <c r="Y34" s="49" cm="1">
        <f t="array" ref="Y34">IF($F34=0,-1000,CHOOSE($E$14,INDEX(auto_DataFlat_Score,X34,$E$11),-INDEX(auto_DataFlat_Score,X34,$E$11),-$D34))</f>
        <v>39.5</v>
      </c>
      <c r="Z34" s="91">
        <f ca="1">RANK(Y34,OFFSET(Y$21,0,0,$E$16+1,1))+COUNTIF(Y$21:Y34,Y34)-1</f>
        <v>49</v>
      </c>
      <c r="AA34" s="91">
        <f t="shared" ca="1" si="49"/>
        <v>36</v>
      </c>
      <c r="AB34" s="91" cm="1">
        <f t="array" aca="1" ref="AB34" ca="1">INDEX(OFFSET(X$21,0,0,$E$16+1,1),AA34)</f>
        <v>95</v>
      </c>
      <c r="AC34" s="49" cm="1">
        <f t="array" aca="1" ref="AC34" ca="1">INDEX(OFFSET($E$21,0,0,$E$16+1,1),AA34)</f>
        <v>35</v>
      </c>
      <c r="AD34" s="80" cm="1">
        <f t="array" aca="1" ref="AD34" ca="1">IF(AC34="G",5,INDEX(OFFSET($F$21,0,0,$E$16+1,1),AA34))</f>
        <v>1</v>
      </c>
      <c r="AE34" s="80" cm="1">
        <f t="array" aca="1" ref="AE34" ca="1">IF(AB34=0,0,IF(AC34="G",-1,INDEX(auto_DataFlat_Classification,AB34,$E$11)))</f>
        <v>5</v>
      </c>
      <c r="AF34" s="301" t="str" cm="1">
        <f t="array" aca="1" ref="AF34" ca="1">IF(AE34&lt;0,"",INDEX(uxbGlobals!$B$133:$B$139,AE34))</f>
        <v xml:space="preserve"> </v>
      </c>
      <c r="AG34" s="80"/>
      <c r="AH34" s="302" t="str" cm="1">
        <f t="array" aca="1" ref="AH34" ca="1">IF(AD34=0,"",IF(AC34="G","--",INDEX(auto_DataFlat_Rank,AB34,$E$11)))</f>
        <v>=14</v>
      </c>
      <c r="AI34" s="122" t="str" cm="1">
        <f t="array" aca="1" ref="AI34" ca="1">IF(AD34=0,"",IF(AC34="G","AVERAGE",INDEX(auto_ddCountry,AC34)))</f>
        <v>Osaka</v>
      </c>
      <c r="AJ34" s="290" cm="1">
        <f t="array" aca="1" ref="AJ34" ca="1">IF(AD34=0,"",INDEX(auto_DataFlat_Score,AB34,$E$11))</f>
        <v>84.2</v>
      </c>
      <c r="AK34" s="4"/>
      <c r="AL34" s="49">
        <f t="shared" si="35"/>
        <v>14</v>
      </c>
      <c r="AM34" s="49" cm="1">
        <f t="array" ref="AM34">IF($F34=0,0,INDEX(sys_DataFlat_LU_Grid,AL34,$E34))</f>
        <v>793</v>
      </c>
      <c r="AN34" s="49" cm="1">
        <f t="array" ref="AN34">IF($F34=0,-1000,CHOOSE($E$14,INDEX(auto_DataFlat_Score,AM34,$E$11),-INDEX(auto_DataFlat_Score,AM34,$E$11),-$D34))</f>
        <v>41.8</v>
      </c>
      <c r="AO34" s="91">
        <f ca="1">RANK(AN34,OFFSET(AN$21,0,0,$E$16+1,1))+COUNTIF(AN$21:AN34,AN34)-1</f>
        <v>33</v>
      </c>
      <c r="AP34" s="91">
        <f t="shared" ca="1" si="50"/>
        <v>49</v>
      </c>
      <c r="AQ34" s="91" cm="1">
        <f t="array" aca="1" ref="AQ34" ca="1">INDEX(OFFSET(AM$21,0,0,$E$16+1,1),AP34)</f>
        <v>828</v>
      </c>
      <c r="AR34" s="49" cm="1">
        <f t="array" aca="1" ref="AR34" ca="1">INDEX(OFFSET($E$21,0,0,$E$16+1,1),AP34)</f>
        <v>48</v>
      </c>
      <c r="AS34" s="80" cm="1">
        <f t="array" aca="1" ref="AS34" ca="1">IF(AR34="G",5,INDEX(OFFSET($F$21,0,0,$E$16+1,1),AP34))</f>
        <v>1</v>
      </c>
      <c r="AT34" s="80" cm="1">
        <f t="array" aca="1" ref="AT34" ca="1">IF(AQ34=0,0,IF(AR34="G",-1,INDEX(auto_DataFlat_Classification,AQ34,$E$11)))</f>
        <v>4</v>
      </c>
      <c r="AU34" s="301" t="str" cm="1">
        <f t="array" aca="1" ref="AU34" ca="1">IF(AT34&lt;0,"",INDEX(uxbGlobals!$B$133:$B$139,AT34))</f>
        <v xml:space="preserve"> </v>
      </c>
      <c r="AV34" s="80"/>
      <c r="AW34" s="302" t="str" cm="1">
        <f t="array" aca="1" ref="AW34" ca="1">IF(AS34=0,"",IF(AR34="G","--",INDEX(auto_DataFlat_Rank,AQ34,$E$11)))</f>
        <v>14</v>
      </c>
      <c r="AX34" s="122" t="str" cm="1">
        <f t="array" aca="1" ref="AX34" ca="1">IF(AS34=0,"",IF(AR34="G","AVERAGE",INDEX(auto_ddCountry,AR34)))</f>
        <v>Vienna</v>
      </c>
      <c r="AY34" s="290" cm="1">
        <f t="array" aca="1" ref="AY34" ca="1">IF(AS34=0,"",INDEX(auto_DataFlat_Score,AQ34,$E$11))</f>
        <v>65</v>
      </c>
      <c r="AZ34" s="4"/>
      <c r="BA34" s="49">
        <f t="shared" si="37"/>
        <v>22</v>
      </c>
      <c r="BB34" s="49" cm="1">
        <f t="array" ref="BB34">IF($F34=0,0,INDEX(sys_DataFlat_LU_Grid,BA34,$E34))</f>
        <v>1273</v>
      </c>
      <c r="BC34" s="49" cm="1">
        <f t="array" ref="BC34">IF($F34=0,-1000,CHOOSE($E$14,INDEX(auto_DataFlat_Score,BB34,$E$11),-INDEX(auto_DataFlat_Score,BB34,$E$11),-$D34))</f>
        <v>39.700000000000003</v>
      </c>
      <c r="BD34" s="91">
        <f ca="1">RANK(BC34,OFFSET(BC$21,0,0,$E$16+1,1))+COUNTIF(BC$21:BC34,BC34)-1</f>
        <v>43</v>
      </c>
      <c r="BE34" s="91">
        <f t="shared" ca="1" si="51"/>
        <v>8</v>
      </c>
      <c r="BF34" s="91" cm="1">
        <f t="array" aca="1" ref="BF34" ca="1">INDEX(OFFSET(BB$21,0,0,$E$16+1,1),BE34)</f>
        <v>1267</v>
      </c>
      <c r="BG34" s="49" cm="1">
        <f t="array" aca="1" ref="BG34" ca="1">INDEX(OFFSET($E$21,0,0,$E$16+1,1),BE34)</f>
        <v>7</v>
      </c>
      <c r="BH34" s="80" cm="1">
        <f t="array" aca="1" ref="BH34" ca="1">IF(BG34="G",5,INDEX(OFFSET($F$21,0,0,$E$16+1,1),BE34))</f>
        <v>1</v>
      </c>
      <c r="BI34" s="80" cm="1">
        <f t="array" aca="1" ref="BI34" ca="1">IF(BF34=0,0,IF(BG34="G",-1,INDEX(auto_DataFlat_Classification,BF34,$E$11)))</f>
        <v>4</v>
      </c>
      <c r="BJ34" s="301" t="str" cm="1">
        <f t="array" aca="1" ref="BJ34" ca="1">IF(BI34&lt;0,"",INDEX(uxbGlobals!$B$133:$B$139,BI34))</f>
        <v xml:space="preserve"> </v>
      </c>
      <c r="BK34" s="80"/>
      <c r="BL34" s="302" t="str" cm="1">
        <f t="array" aca="1" ref="BL34" ca="1">IF(BH34=0,"",IF(BG34="G","--",INDEX(auto_DataFlat_Rank,BF34,$E$11)))</f>
        <v>14</v>
      </c>
      <c r="BM34" s="122" t="str" cm="1">
        <f t="array" aca="1" ref="BM34" ca="1">IF(BH34=0,"",IF(BG34="G","AVERAGE",INDEX(auto_ddCountry,BG34)))</f>
        <v>Berlin</v>
      </c>
      <c r="BN34" s="290" cm="1">
        <f t="array" aca="1" ref="BN34" ca="1">IF(BH34=0,"",INDEX(auto_DataFlat_Score,BF34,$E$11))</f>
        <v>70</v>
      </c>
      <c r="BO34" s="4"/>
      <c r="BP34" s="49">
        <f t="shared" si="39"/>
        <v>47</v>
      </c>
      <c r="BQ34" s="49" cm="1">
        <f t="array" ref="BQ34">IF($F34=0,0,INDEX(sys_DataFlat_LU_Grid,BP34,$E34))</f>
        <v>2773</v>
      </c>
      <c r="BR34" s="49" cm="1">
        <f t="array" ref="BR34">IF($F34=0,-1000,CHOOSE($E$14,INDEX(auto_DataFlat_Score,BQ34,$E$11),-INDEX(auto_DataFlat_Score,BQ34,$E$11),-$D34))</f>
        <v>39.1</v>
      </c>
      <c r="BS34" s="91">
        <f ca="1">RANK(BR34,OFFSET(BR$21,0,0,$E$16+1,1))+COUNTIF(BR$21:BR34,BR34)-1</f>
        <v>47</v>
      </c>
      <c r="BT34" s="91">
        <f t="shared" ca="1" si="52"/>
        <v>36</v>
      </c>
      <c r="BU34" s="91" cm="1">
        <f t="array" aca="1" ref="BU34" ca="1">INDEX(OFFSET(BQ$21,0,0,$E$16+1,1),BT34)</f>
        <v>2795</v>
      </c>
      <c r="BV34" s="49" cm="1">
        <f t="array" aca="1" ref="BV34" ca="1">INDEX(OFFSET($E$21,0,0,$E$16+1,1),BT34)</f>
        <v>35</v>
      </c>
      <c r="BW34" s="80" cm="1">
        <f t="array" aca="1" ref="BW34" ca="1">IF(BV34="G",5,INDEX(OFFSET($F$21,0,0,$E$16+1,1),BT34))</f>
        <v>1</v>
      </c>
      <c r="BX34" s="80" cm="1">
        <f t="array" aca="1" ref="BX34" ca="1">IF(BU34=0,0,IF(BV34="G",-1,INDEX(auto_DataFlat_Classification,BU34,$E$11)))</f>
        <v>5</v>
      </c>
      <c r="BY34" s="301" t="str" cm="1">
        <f t="array" aca="1" ref="BY34" ca="1">IF(BX34&lt;0,"",INDEX(uxbGlobals!$B$133:$B$139,BX34))</f>
        <v xml:space="preserve"> </v>
      </c>
      <c r="BZ34" s="80"/>
      <c r="CA34" s="302" t="str" cm="1">
        <f t="array" aca="1" ref="CA34" ca="1">IF(BW34=0,"",IF(BV34="G","--",INDEX(auto_DataFlat_Rank,BU34,$E$11)))</f>
        <v>=14</v>
      </c>
      <c r="CB34" s="122" t="str" cm="1">
        <f t="array" aca="1" ref="CB34" ca="1">IF(BW34=0,"",IF(BV34="G","AVERAGE",INDEX(auto_ddCountry,BV34)))</f>
        <v>Osaka</v>
      </c>
      <c r="CC34" s="290" cm="1">
        <f t="array" aca="1" ref="CC34" ca="1">IF(BW34=0,"",INDEX(auto_DataFlat_Score,BU34,$E$11))</f>
        <v>80.400000000000006</v>
      </c>
      <c r="CD34" s="4"/>
      <c r="CE34" s="49">
        <f t="shared" si="41"/>
        <v>52</v>
      </c>
      <c r="CF34" s="49" cm="1">
        <f t="array" ref="CF34">IF($F34=0,0,INDEX(sys_DataFlat_LU_Grid,CE34,$E34))</f>
        <v>3073</v>
      </c>
      <c r="CG34" s="49" cm="1">
        <f t="array" ref="CG34">IF($F34=0,-1000,CHOOSE($E$14,INDEX(auto_DataFlat_Score,CF34,$E$11),-INDEX(auto_DataFlat_Score,CF34,$E$11),-$D34))</f>
        <v>46.3</v>
      </c>
      <c r="CH34" s="91">
        <f ca="1">RANK(CG34,OFFSET(CG$21,0,0,$E$16+1,1))+COUNTIF(CG$21:CG34,CG34)-1</f>
        <v>48</v>
      </c>
      <c r="CI34" s="91">
        <f t="shared" ca="1" si="53"/>
        <v>13</v>
      </c>
      <c r="CJ34" s="91" cm="1">
        <f t="array" aca="1" ref="CJ34" ca="1">INDEX(OFFSET(CF$21,0,0,$E$16+1,1),CI34)</f>
        <v>3072</v>
      </c>
      <c r="CK34" s="49" cm="1">
        <f t="array" aca="1" ref="CK34" ca="1">INDEX(OFFSET($E$21,0,0,$E$16+1,1),CI34)</f>
        <v>12</v>
      </c>
      <c r="CL34" s="80" cm="1">
        <f t="array" aca="1" ref="CL34" ca="1">IF(CK34="G",5,INDEX(OFFSET($F$21,0,0,$E$16+1,1),CI34))</f>
        <v>1</v>
      </c>
      <c r="CM34" s="80" cm="1">
        <f t="array" aca="1" ref="CM34" ca="1">IF(CJ34=0,0,IF(CK34="G",-1,INDEX(auto_DataFlat_Classification,CJ34,$E$11)))</f>
        <v>4</v>
      </c>
      <c r="CN34" s="301" t="str" cm="1">
        <f t="array" aca="1" ref="CN34" ca="1">IF(CM34&lt;0,"",INDEX(uxbGlobals!$B$133:$B$139,CM34))</f>
        <v xml:space="preserve"> </v>
      </c>
      <c r="CO34" s="80"/>
      <c r="CP34" s="302" t="str" cm="1">
        <f t="array" aca="1" ref="CP34" ca="1">IF(CL34=0,"",IF(CK34="G","--",INDEX(auto_DataFlat_Rank,CJ34,$E$11)))</f>
        <v>=14</v>
      </c>
      <c r="CQ34" s="122" t="str" cm="1">
        <f t="array" aca="1" ref="CQ34" ca="1">IF(CL34=0,"",IF(CK34="G","AVERAGE",INDEX(auto_ddCountry,CK34)))</f>
        <v>Delhi</v>
      </c>
      <c r="CR34" s="290" cm="1">
        <f t="array" aca="1" ref="CR34" ca="1">IF(CL34=0,"",INDEX(auto_DataFlat_Score,CJ34,$E$11))</f>
        <v>77.8</v>
      </c>
      <c r="CS34" s="4"/>
      <c r="CT34" s="49">
        <f t="shared" si="43"/>
        <v>-1</v>
      </c>
      <c r="CU34" s="49" t="e" cm="1">
        <f t="array" ref="CU34">IF($F34=0,0,INDEX(sys_DataFlat_LU_Grid,CT34,$E34))</f>
        <v>#VALUE!</v>
      </c>
      <c r="CV34" s="49" t="e" cm="1">
        <f t="array" ref="CV34">IF($F34=0,-1000,CHOOSE($E$14,INDEX(auto_DataFlat_Score,CU34,$E$11),-INDEX(auto_DataFlat_Score,CU34,$E$11),-$D34))</f>
        <v>#VALUE!</v>
      </c>
      <c r="CW34" s="91" t="e">
        <f ca="1">RANK(CV34,OFFSET(CV$21,0,0,$E$16+1,1))+COUNTIF(CV$21:CV34,CV34)-1</f>
        <v>#VALUE!</v>
      </c>
      <c r="CX34" s="91" t="e">
        <f t="shared" ca="1" si="47"/>
        <v>#N/A</v>
      </c>
      <c r="CY34" s="91" t="e" cm="1">
        <f t="array" aca="1" ref="CY34" ca="1">INDEX(OFFSET(CU$21,0,0,$E$16+1,1),CX34)</f>
        <v>#N/A</v>
      </c>
      <c r="CZ34" s="49" t="e" cm="1">
        <f t="array" aca="1" ref="CZ34" ca="1">INDEX(OFFSET($E$21,0,0,$E$16+1,1),CX34)</f>
        <v>#N/A</v>
      </c>
      <c r="DA34" s="80" t="e" cm="1">
        <f t="array" aca="1" ref="DA34" ca="1">IF(CZ34="G",5,INDEX(OFFSET($F$21,0,0,$E$16+1,1),CX34))</f>
        <v>#N/A</v>
      </c>
      <c r="DB34" s="80" t="e" cm="1">
        <f t="array" aca="1" ref="DB34" ca="1">IF(CY34=0,0,IF(CZ34="G",-1,INDEX(auto_DataFlat_Classification,CY34,$E$11)))</f>
        <v>#N/A</v>
      </c>
      <c r="DC34" s="301" t="e" cm="1">
        <f t="array" aca="1" ref="DC34" ca="1">IF(DB34&lt;0,"",INDEX(uxbGlobals!$B$133:$B$139,DB34))</f>
        <v>#N/A</v>
      </c>
      <c r="DD34" s="80"/>
      <c r="DE34" s="302" t="e" cm="1">
        <f t="array" aca="1" ref="DE34" ca="1">IF(DA34=0,"",IF(CZ34="G","--",INDEX(auto_DataFlat_Rank,CY34,$E$11)))</f>
        <v>#N/A</v>
      </c>
      <c r="DF34" s="122" t="e" cm="1">
        <f t="array" aca="1" ref="DF34" ca="1">IF(DA34=0,"",IF(CZ34="G","AVERAGE",INDEX(auto_ddCountry,CZ34)))</f>
        <v>#N/A</v>
      </c>
      <c r="DG34" s="290" t="e" cm="1">
        <f t="array" aca="1" ref="DG34" ca="1">IF(DA34=0,"",INDEX(auto_DataFlat_Score,CY34,$E$11))</f>
        <v>#N/A</v>
      </c>
      <c r="DH34" s="4"/>
      <c r="DI34" s="49">
        <f t="shared" si="44"/>
        <v>-1</v>
      </c>
      <c r="DJ34" s="49" t="e" cm="1">
        <f t="array" ref="DJ34">IF($F34=0,0,INDEX(sys_DataFlat_LU_Grid,DI34,$E34))</f>
        <v>#VALUE!</v>
      </c>
      <c r="DK34" s="49" t="e" cm="1">
        <f t="array" ref="DK34">IF($F34=0,-1000,CHOOSE($E$14,INDEX(auto_DataFlat_Score,DJ34,$E$11),-INDEX(auto_DataFlat_Score,DJ34,$E$11),-$D34))</f>
        <v>#VALUE!</v>
      </c>
      <c r="DL34" s="91" t="e">
        <f ca="1">RANK(DK34,OFFSET(DK$21,0,0,$E$16+1,1))+COUNTIF(DK$21:DK34,DK34)-1</f>
        <v>#VALUE!</v>
      </c>
      <c r="DM34" s="91" t="e">
        <f t="shared" ca="1" si="28"/>
        <v>#N/A</v>
      </c>
      <c r="DN34" s="91" t="e" cm="1">
        <f t="array" aca="1" ref="DN34" ca="1">INDEX(OFFSET(DJ$21,0,0,$E$16+1,1),DM34)</f>
        <v>#N/A</v>
      </c>
      <c r="DO34" s="49" t="e" cm="1">
        <f t="array" aca="1" ref="DO34" ca="1">INDEX(OFFSET($E$21,0,0,$E$16+1,1),DM34)</f>
        <v>#N/A</v>
      </c>
      <c r="DP34" s="80" t="e" cm="1">
        <f t="array" aca="1" ref="DP34" ca="1">IF(DO34="G",5,INDEX(OFFSET($F$21,0,0,$E$16+1,1),DM34))</f>
        <v>#N/A</v>
      </c>
      <c r="DQ34" s="80" t="e" cm="1">
        <f t="array" aca="1" ref="DQ34" ca="1">IF(DN34=0,0,IF(DO34="G",-1,INDEX(auto_DataFlat_Classification,DN34,$E$11)))</f>
        <v>#N/A</v>
      </c>
      <c r="DR34" s="301" t="e" cm="1">
        <f t="array" aca="1" ref="DR34" ca="1">IF(DQ34&lt;0,"",INDEX(uxbGlobals!$B$133:$B$139,DQ34))</f>
        <v>#N/A</v>
      </c>
      <c r="DS34" s="80"/>
      <c r="DT34" s="302" t="e" cm="1">
        <f t="array" aca="1" ref="DT34" ca="1">IF(DP34=0,"",IF(DO34="G","--",INDEX(auto_DataFlat_Rank,DN34,$E$11)))</f>
        <v>#N/A</v>
      </c>
      <c r="DU34" s="122" t="e" cm="1">
        <f t="array" aca="1" ref="DU34" ca="1">IF(DP34=0,"",IF(DO34="G","AVERAGE",INDEX(auto_ddCountry,DO34)))</f>
        <v>#N/A</v>
      </c>
      <c r="DV34" s="290" t="e" cm="1">
        <f t="array" aca="1" ref="DV34" ca="1">IF(DP34=0,"",INDEX(auto_DataFlat_Score,DN34,$E$11))</f>
        <v>#N/A</v>
      </c>
      <c r="DW34" s="4"/>
      <c r="DX34" s="49">
        <f t="shared" si="45"/>
        <v>-1</v>
      </c>
      <c r="DY34" s="49" t="e" cm="1">
        <f t="array" ref="DY34">IF($F34=0,0,INDEX(sys_DataFlat_LU_Grid,DX34,$E34))</f>
        <v>#VALUE!</v>
      </c>
      <c r="DZ34" s="49" t="e" cm="1">
        <f t="array" ref="DZ34">IF($F34=0,-1000,CHOOSE($E$14,INDEX(auto_DataFlat_Score,DY34,$E$11),-INDEX(auto_DataFlat_Score,DY34,$E$11),-$D34))</f>
        <v>#VALUE!</v>
      </c>
      <c r="EA34" s="91" t="e">
        <f ca="1">RANK(DZ34,OFFSET(DZ$21,0,0,$E$16+1,1))+COUNTIF(DZ$21:DZ34,DZ34)-1</f>
        <v>#VALUE!</v>
      </c>
      <c r="EB34" s="91" t="e">
        <f t="shared" ca="1" si="29"/>
        <v>#N/A</v>
      </c>
      <c r="EC34" s="91" t="e" cm="1">
        <f t="array" aca="1" ref="EC34" ca="1">INDEX(OFFSET(DY$21,0,0,$E$16+1,1),EB34)</f>
        <v>#N/A</v>
      </c>
      <c r="ED34" s="49" t="e" cm="1">
        <f t="array" aca="1" ref="ED34" ca="1">INDEX(OFFSET($E$21,0,0,$E$16+1,1),EB34)</f>
        <v>#N/A</v>
      </c>
      <c r="EE34" s="80" t="e" cm="1">
        <f t="array" aca="1" ref="EE34" ca="1">IF(ED34="G",5,INDEX(OFFSET($F$21,0,0,$E$16+1,1),EB34))</f>
        <v>#N/A</v>
      </c>
      <c r="EF34" s="80" t="e" cm="1">
        <f t="array" aca="1" ref="EF34" ca="1">IF(EC34=0,0,IF(ED34="G",-1,INDEX(auto_DataFlat_Classification,EC34,$E$11)))</f>
        <v>#N/A</v>
      </c>
      <c r="EG34" s="301" t="e" cm="1">
        <f t="array" aca="1" ref="EG34" ca="1">IF(EF34&lt;0,"",INDEX(uxbGlobals!$B$133:$B$139,EF34))</f>
        <v>#N/A</v>
      </c>
      <c r="EH34" s="80"/>
      <c r="EI34" s="302" t="e" cm="1">
        <f t="array" aca="1" ref="EI34" ca="1">IF(EE34=0,"",IF(ED34="G","--",INDEX(auto_DataFlat_Rank,EC34,$E$11)))</f>
        <v>#N/A</v>
      </c>
      <c r="EJ34" s="122" t="e" cm="1">
        <f t="array" aca="1" ref="EJ34" ca="1">IF(EE34=0,"",IF(ED34="G","AVERAGE",INDEX(auto_ddCountry,ED34)))</f>
        <v>#N/A</v>
      </c>
      <c r="EK34" s="290" t="e" cm="1">
        <f t="array" aca="1" ref="EK34" ca="1">IF(EE34=0,"",INDEX(auto_DataFlat_Score,EC34,$E$11))</f>
        <v>#N/A</v>
      </c>
      <c r="EL34" s="4"/>
      <c r="EM34" s="49">
        <f t="shared" si="46"/>
        <v>-1</v>
      </c>
      <c r="EN34" s="49" t="e" cm="1">
        <f t="array" ref="EN34">IF($F34=0,0,INDEX(sys_DataFlat_LU_Grid,EM34,$E34))</f>
        <v>#VALUE!</v>
      </c>
      <c r="EO34" s="49" t="e" cm="1">
        <f t="array" ref="EO34">IF($F34=0,-1000,CHOOSE($E$14,INDEX(auto_DataFlat_Score,EN34,$E$11),-INDEX(auto_DataFlat_Score,EN34,$E$11),-$D34))</f>
        <v>#VALUE!</v>
      </c>
      <c r="EP34" s="91" t="e">
        <f ca="1">RANK(EO34,OFFSET(EO$21,0,0,$E$16+1,1))+COUNTIF(EO$21:EO34,EO34)-1</f>
        <v>#VALUE!</v>
      </c>
      <c r="EQ34" s="91" t="e">
        <f t="shared" ca="1" si="30"/>
        <v>#N/A</v>
      </c>
      <c r="ER34" s="91" t="e" cm="1">
        <f t="array" aca="1" ref="ER34" ca="1">INDEX(OFFSET(EN$21,0,0,$E$16+1,1),EQ34)</f>
        <v>#N/A</v>
      </c>
      <c r="ES34" s="49" t="e" cm="1">
        <f t="array" aca="1" ref="ES34" ca="1">INDEX(OFFSET($E$21,0,0,$E$16+1,1),EQ34)</f>
        <v>#N/A</v>
      </c>
      <c r="ET34" s="80" t="e" cm="1">
        <f t="array" aca="1" ref="ET34" ca="1">IF(ES34="G",5,INDEX(OFFSET($F$21,0,0,$E$16+1,1),EQ34))</f>
        <v>#N/A</v>
      </c>
      <c r="EU34" s="80" t="e" cm="1">
        <f t="array" aca="1" ref="EU34" ca="1">IF(ER34=0,0,IF(ES34="G",-1,INDEX(auto_DataFlat_Classification,ER34,$E$11)))</f>
        <v>#N/A</v>
      </c>
      <c r="EV34" s="301" t="e" cm="1">
        <f t="array" aca="1" ref="EV34" ca="1">IF(EU34&lt;0,"",INDEX(uxbGlobals!$B$133:$B$139,EU34))</f>
        <v>#N/A</v>
      </c>
      <c r="EW34" s="80"/>
      <c r="EX34" s="302" t="e" cm="1">
        <f t="array" aca="1" ref="EX34" ca="1">IF(ET34=0,"",IF(ES34="G","--",INDEX(auto_DataFlat_Rank,ER34,$E$11)))</f>
        <v>#N/A</v>
      </c>
      <c r="EY34" s="122" t="e" cm="1">
        <f t="array" aca="1" ref="EY34" ca="1">IF(ET34=0,"",IF(ES34="G","AVERAGE",INDEX(auto_ddCountry,ES34)))</f>
        <v>#N/A</v>
      </c>
      <c r="EZ34" s="290" t="e" cm="1">
        <f t="array" aca="1" ref="EZ34" ca="1">IF(ET34=0,"",INDEX(auto_DataFlat_Score,ER34,$E$11))</f>
        <v>#N/A</v>
      </c>
    </row>
    <row r="35" spans="1:156" ht="17.149999999999999" customHeight="1" x14ac:dyDescent="0.4">
      <c r="A35" s="4"/>
      <c r="B35" s="4"/>
      <c r="C35" s="4"/>
      <c r="D35" s="26">
        <v>15</v>
      </c>
      <c r="E35" s="49">
        <f>tblCountries!M16</f>
        <v>14</v>
      </c>
      <c r="F35" s="114" cm="1">
        <f t="array" ref="F35">IF(E35=0,0,INDEX(auto_Country_Status,E35))</f>
        <v>1</v>
      </c>
      <c r="G35" s="4"/>
      <c r="H35" s="49">
        <f t="shared" si="31"/>
        <v>1</v>
      </c>
      <c r="I35" s="49" cm="1">
        <f t="array" ref="I35">IF($F35=0,0,INDEX(sys_DataFlat_LU_Grid,H35,$E35))</f>
        <v>14</v>
      </c>
      <c r="J35" s="49" cm="1">
        <f t="array" ref="J35">IF($F35=0,-1000,CHOOSE($E$14,INDEX(auto_DataFlat_Score,I35,$E$11),-INDEX(auto_DataFlat_Score,I35,$E$11),-$D35))</f>
        <v>65</v>
      </c>
      <c r="K35" s="91">
        <f ca="1">RANK(J35,OFFSET(J$21,0,0,$E$16+1,1))+COUNTIF(J$21:J35,J35)-1</f>
        <v>25</v>
      </c>
      <c r="L35" s="91">
        <f t="shared" ca="1" si="48"/>
        <v>20</v>
      </c>
      <c r="M35" s="91" cm="1">
        <f t="array" aca="1" ref="M35" ca="1">INDEX(OFFSET(I$21,0,0,$E$16+1,1),L35)</f>
        <v>19</v>
      </c>
      <c r="N35" s="49" cm="1">
        <f t="array" aca="1" ref="N35" ca="1">INDEX(OFFSET($E$21,0,0,$E$16+1,1),L35)</f>
        <v>19</v>
      </c>
      <c r="O35" s="80" cm="1">
        <f t="array" aca="1" ref="O35" ca="1">IF(N35="G",5,INDEX(OFFSET($F$21,0,0,$E$16+1,1),L35))</f>
        <v>1</v>
      </c>
      <c r="P35" s="80" cm="1">
        <f t="array" aca="1" ref="P35" ca="1">IF(M35=0,0,IF(N35="G",-1,INDEX(auto_DataFlat_Classification,M35,$E$11)))</f>
        <v>4</v>
      </c>
      <c r="Q35" s="301" t="str" cm="1">
        <f t="array" aca="1" ref="Q35" ca="1">IF(P35&lt;0,"",INDEX(uxbGlobals!$B$133:$B$139,P35))</f>
        <v xml:space="preserve"> </v>
      </c>
      <c r="R35" s="80"/>
      <c r="S35" s="302" t="str" cm="1">
        <f t="array" aca="1" ref="S35" ca="1">IF(O35=0,"",IF(N35="G","--",INDEX(auto_DataFlat_Rank,M35,$E$11)))</f>
        <v>15</v>
      </c>
      <c r="T35" s="122" t="str" cm="1">
        <f t="array" aca="1" ref="T35" ca="1">IF(O35=0,"",IF(N35="G"," AVERAGE",INDEX(auto_ddCountry,N35)))</f>
        <v>Jakarta</v>
      </c>
      <c r="U35" s="290" cm="1">
        <f t="array" aca="1" ref="U35" ca="1">IF(O35=0,"",INDEX(auto_DataFlat_Score,M35,$E$11))</f>
        <v>71.7</v>
      </c>
      <c r="V35" s="4"/>
      <c r="W35" s="49">
        <f t="shared" si="33"/>
        <v>2</v>
      </c>
      <c r="X35" s="49" cm="1">
        <f t="array" ref="X35">IF($F35=0,0,INDEX(sys_DataFlat_LU_Grid,W35,$E35))</f>
        <v>74</v>
      </c>
      <c r="Y35" s="49" cm="1">
        <f t="array" ref="Y35">IF($F35=0,-1000,CHOOSE($E$14,INDEX(auto_DataFlat_Score,X35,$E$11),-INDEX(auto_DataFlat_Score,X35,$E$11),-$D35))</f>
        <v>74.3</v>
      </c>
      <c r="Z35" s="91">
        <f ca="1">RANK(Y35,OFFSET(Y$21,0,0,$E$16+1,1))+COUNTIF(Y$21:Y35,Y35)-1</f>
        <v>27</v>
      </c>
      <c r="AA35" s="91">
        <f t="shared" ca="1" si="49"/>
        <v>47</v>
      </c>
      <c r="AB35" s="91" cm="1">
        <f t="array" aca="1" ref="AB35" ca="1">INDEX(OFFSET(X$21,0,0,$E$16+1,1),AA35)</f>
        <v>106</v>
      </c>
      <c r="AC35" s="49" cm="1">
        <f t="array" aca="1" ref="AC35" ca="1">INDEX(OFFSET($E$21,0,0,$E$16+1,1),AA35)</f>
        <v>46</v>
      </c>
      <c r="AD35" s="80" cm="1">
        <f t="array" aca="1" ref="AD35" ca="1">IF(AC35="G",5,INDEX(OFFSET($F$21,0,0,$E$16+1,1),AA35))</f>
        <v>1</v>
      </c>
      <c r="AE35" s="80" cm="1">
        <f t="array" aca="1" ref="AE35" ca="1">IF(AB35=0,0,IF(AC35="G",-1,INDEX(auto_DataFlat_Classification,AB35,$E$11)))</f>
        <v>5</v>
      </c>
      <c r="AF35" s="301" t="str" cm="1">
        <f t="array" aca="1" ref="AF35" ca="1">IF(AE35&lt;0,"",INDEX(uxbGlobals!$B$133:$B$139,AE35))</f>
        <v xml:space="preserve"> </v>
      </c>
      <c r="AG35" s="80"/>
      <c r="AH35" s="302" t="str" cm="1">
        <f t="array" aca="1" ref="AH35" ca="1">IF(AD35=0,"",IF(AC35="G","--",INDEX(auto_DataFlat_Rank,AB35,$E$11)))</f>
        <v>=14</v>
      </c>
      <c r="AI35" s="122" t="str" cm="1">
        <f t="array" aca="1" ref="AI35" ca="1">IF(AD35=0,"",IF(AC35="G","AVERAGE",INDEX(auto_ddCountry,AC35)))</f>
        <v>Tokyo</v>
      </c>
      <c r="AJ35" s="290" cm="1">
        <f t="array" aca="1" ref="AJ35" ca="1">IF(AD35=0,"",INDEX(auto_DataFlat_Score,AB35,$E$11))</f>
        <v>84.2</v>
      </c>
      <c r="AK35" s="4"/>
      <c r="AL35" s="49">
        <f t="shared" si="35"/>
        <v>14</v>
      </c>
      <c r="AM35" s="49" cm="1">
        <f t="array" ref="AM35">IF($F35=0,0,INDEX(sys_DataFlat_LU_Grid,AL35,$E35))</f>
        <v>794</v>
      </c>
      <c r="AN35" s="49" cm="1">
        <f t="array" ref="AN35">IF($F35=0,-1000,CHOOSE($E$14,INDEX(auto_DataFlat_Score,AM35,$E$11),-INDEX(auto_DataFlat_Score,AM35,$E$11),-$D35))</f>
        <v>45.5</v>
      </c>
      <c r="AO35" s="91">
        <f ca="1">RANK(AN35,OFFSET(AN$21,0,0,$E$16+1,1))+COUNTIF(AN$21:AN35,AN35)-1</f>
        <v>31</v>
      </c>
      <c r="AP35" s="91">
        <f t="shared" ca="1" si="50"/>
        <v>8</v>
      </c>
      <c r="AQ35" s="91" cm="1">
        <f t="array" aca="1" ref="AQ35" ca="1">INDEX(OFFSET(AM$21,0,0,$E$16+1,1),AP35)</f>
        <v>787</v>
      </c>
      <c r="AR35" s="49" cm="1">
        <f t="array" aca="1" ref="AR35" ca="1">INDEX(OFFSET($E$21,0,0,$E$16+1,1),AP35)</f>
        <v>7</v>
      </c>
      <c r="AS35" s="80" cm="1">
        <f t="array" aca="1" ref="AS35" ca="1">IF(AR35="G",5,INDEX(OFFSET($F$21,0,0,$E$16+1,1),AP35))</f>
        <v>1</v>
      </c>
      <c r="AT35" s="80" cm="1">
        <f t="array" aca="1" ref="AT35" ca="1">IF(AQ35=0,0,IF(AR35="G",-1,INDEX(auto_DataFlat_Classification,AQ35,$E$11)))</f>
        <v>4</v>
      </c>
      <c r="AU35" s="301" t="str" cm="1">
        <f t="array" aca="1" ref="AU35" ca="1">IF(AT35&lt;0,"",INDEX(uxbGlobals!$B$133:$B$139,AT35))</f>
        <v xml:space="preserve"> </v>
      </c>
      <c r="AV35" s="80"/>
      <c r="AW35" s="302" t="str" cm="1">
        <f t="array" aca="1" ref="AW35" ca="1">IF(AS35=0,"",IF(AR35="G","--",INDEX(auto_DataFlat_Rank,AQ35,$E$11)))</f>
        <v>15</v>
      </c>
      <c r="AX35" s="122" t="str" cm="1">
        <f t="array" aca="1" ref="AX35" ca="1">IF(AS35=0,"",IF(AR35="G","AVERAGE",INDEX(auto_ddCountry,AR35)))</f>
        <v>Berlin</v>
      </c>
      <c r="AY35" s="290" cm="1">
        <f t="array" aca="1" ref="AY35" ca="1">IF(AS35=0,"",INDEX(auto_DataFlat_Score,AQ35,$E$11))</f>
        <v>63.1</v>
      </c>
      <c r="AZ35" s="4"/>
      <c r="BA35" s="49">
        <f t="shared" si="37"/>
        <v>22</v>
      </c>
      <c r="BB35" s="49" cm="1">
        <f t="array" ref="BB35">IF($F35=0,0,INDEX(sys_DataFlat_LU_Grid,BA35,$E35))</f>
        <v>1274</v>
      </c>
      <c r="BC35" s="49" cm="1">
        <f t="array" ref="BC35">IF($F35=0,-1000,CHOOSE($E$14,INDEX(auto_DataFlat_Score,BB35,$E$11),-INDEX(auto_DataFlat_Score,BB35,$E$11),-$D35))</f>
        <v>63</v>
      </c>
      <c r="BD35" s="91">
        <f ca="1">RANK(BC35,OFFSET(BC$21,0,0,$E$16+1,1))+COUNTIF(BC$21:BC35,BC35)-1</f>
        <v>22</v>
      </c>
      <c r="BE35" s="91">
        <f t="shared" ca="1" si="51"/>
        <v>17</v>
      </c>
      <c r="BF35" s="91" cm="1">
        <f t="array" aca="1" ref="BF35" ca="1">INDEX(OFFSET(BB$21,0,0,$E$16+1,1),BE35)</f>
        <v>1276</v>
      </c>
      <c r="BG35" s="49" cm="1">
        <f t="array" aca="1" ref="BG35" ca="1">INDEX(OFFSET($E$21,0,0,$E$16+1,1),BE35)</f>
        <v>16</v>
      </c>
      <c r="BH35" s="80" cm="1">
        <f t="array" aca="1" ref="BH35" ca="1">IF(BG35="G",5,INDEX(OFFSET($F$21,0,0,$E$16+1,1),BE35))</f>
        <v>1</v>
      </c>
      <c r="BI35" s="80" cm="1">
        <f t="array" aca="1" ref="BI35" ca="1">IF(BF35=0,0,IF(BG35="G",-1,INDEX(auto_DataFlat_Classification,BF35,$E$11)))</f>
        <v>4</v>
      </c>
      <c r="BJ35" s="301" t="str" cm="1">
        <f t="array" aca="1" ref="BJ35" ca="1">IF(BI35&lt;0,"",INDEX(uxbGlobals!$B$133:$B$139,BI35))</f>
        <v xml:space="preserve"> </v>
      </c>
      <c r="BK35" s="80"/>
      <c r="BL35" s="302" t="str" cm="1">
        <f t="array" aca="1" ref="BL35" ca="1">IF(BH35=0,"",IF(BG35="G","--",INDEX(auto_DataFlat_Rank,BF35,$E$11)))</f>
        <v>15</v>
      </c>
      <c r="BM35" s="122" t="str" cm="1">
        <f t="array" aca="1" ref="BM35" ca="1">IF(BH35=0,"",IF(BG35="G","AVERAGE",INDEX(auto_ddCountry,BG35)))</f>
        <v>Ho Chi Minh City</v>
      </c>
      <c r="BN35" s="290" cm="1">
        <f t="array" aca="1" ref="BN35" ca="1">IF(BH35=0,"",INDEX(auto_DataFlat_Score,BF35,$E$11))</f>
        <v>68.5</v>
      </c>
      <c r="BO35" s="4"/>
      <c r="BP35" s="49">
        <f t="shared" si="39"/>
        <v>47</v>
      </c>
      <c r="BQ35" s="49" cm="1">
        <f t="array" ref="BQ35">IF($F35=0,0,INDEX(sys_DataFlat_LU_Grid,BP35,$E35))</f>
        <v>2774</v>
      </c>
      <c r="BR35" s="49" cm="1">
        <f t="array" ref="BR35">IF($F35=0,-1000,CHOOSE($E$14,INDEX(auto_DataFlat_Score,BQ35,$E$11),-INDEX(auto_DataFlat_Score,BQ35,$E$11),-$D35))</f>
        <v>44.8</v>
      </c>
      <c r="BS35" s="91">
        <f ca="1">RANK(BR35,OFFSET(BR$21,0,0,$E$16+1,1))+COUNTIF(BR$21:BR35,BR35)-1</f>
        <v>44</v>
      </c>
      <c r="BT35" s="91">
        <f t="shared" ca="1" si="52"/>
        <v>47</v>
      </c>
      <c r="BU35" s="91" cm="1">
        <f t="array" aca="1" ref="BU35" ca="1">INDEX(OFFSET(BQ$21,0,0,$E$16+1,1),BT35)</f>
        <v>2806</v>
      </c>
      <c r="BV35" s="49" cm="1">
        <f t="array" aca="1" ref="BV35" ca="1">INDEX(OFFSET($E$21,0,0,$E$16+1,1),BT35)</f>
        <v>46</v>
      </c>
      <c r="BW35" s="80" cm="1">
        <f t="array" aca="1" ref="BW35" ca="1">IF(BV35="G",5,INDEX(OFFSET($F$21,0,0,$E$16+1,1),BT35))</f>
        <v>1</v>
      </c>
      <c r="BX35" s="80" cm="1">
        <f t="array" aca="1" ref="BX35" ca="1">IF(BU35=0,0,IF(BV35="G",-1,INDEX(auto_DataFlat_Classification,BU35,$E$11)))</f>
        <v>5</v>
      </c>
      <c r="BY35" s="301" t="str" cm="1">
        <f t="array" aca="1" ref="BY35" ca="1">IF(BX35&lt;0,"",INDEX(uxbGlobals!$B$133:$B$139,BX35))</f>
        <v xml:space="preserve"> </v>
      </c>
      <c r="BZ35" s="80"/>
      <c r="CA35" s="302" t="str" cm="1">
        <f t="array" aca="1" ref="CA35" ca="1">IF(BW35=0,"",IF(BV35="G","--",INDEX(auto_DataFlat_Rank,BU35,$E$11)))</f>
        <v>=14</v>
      </c>
      <c r="CB35" s="122" t="str" cm="1">
        <f t="array" aca="1" ref="CB35" ca="1">IF(BW35=0,"",IF(BV35="G","AVERAGE",INDEX(auto_ddCountry,BV35)))</f>
        <v>Tokyo</v>
      </c>
      <c r="CC35" s="290" cm="1">
        <f t="array" aca="1" ref="CC35" ca="1">IF(BW35=0,"",INDEX(auto_DataFlat_Score,BU35,$E$11))</f>
        <v>80.400000000000006</v>
      </c>
      <c r="CD35" s="4"/>
      <c r="CE35" s="49">
        <f t="shared" si="41"/>
        <v>52</v>
      </c>
      <c r="CF35" s="49" cm="1">
        <f t="array" ref="CF35">IF($F35=0,0,INDEX(sys_DataFlat_LU_Grid,CE35,$E35))</f>
        <v>3074</v>
      </c>
      <c r="CG35" s="49" cm="1">
        <f t="array" ref="CG35">IF($F35=0,-1000,CHOOSE($E$14,INDEX(auto_DataFlat_Score,CF35,$E$11),-INDEX(auto_DataFlat_Score,CF35,$E$11),-$D35))</f>
        <v>81.5</v>
      </c>
      <c r="CH35" s="91">
        <f ca="1">RANK(CG35,OFFSET(CG$21,0,0,$E$16+1,1))+COUNTIF(CG$21:CG35,CG35)-1</f>
        <v>6</v>
      </c>
      <c r="CI35" s="91">
        <f t="shared" ca="1" si="53"/>
        <v>44</v>
      </c>
      <c r="CJ35" s="91" cm="1">
        <f t="array" aca="1" ref="CJ35" ca="1">INDEX(OFFSET(CF$21,0,0,$E$16+1,1),CI35)</f>
        <v>3103</v>
      </c>
      <c r="CK35" s="49" cm="1">
        <f t="array" aca="1" ref="CK35" ca="1">INDEX(OFFSET($E$21,0,0,$E$16+1,1),CI35)</f>
        <v>43</v>
      </c>
      <c r="CL35" s="80" cm="1">
        <f t="array" aca="1" ref="CL35" ca="1">IF(CK35="G",5,INDEX(OFFSET($F$21,0,0,$E$16+1,1),CI35))</f>
        <v>1</v>
      </c>
      <c r="CM35" s="80" cm="1">
        <f t="array" aca="1" ref="CM35" ca="1">IF(CJ35=0,0,IF(CK35="G",-1,INDEX(auto_DataFlat_Classification,CJ35,$E$11)))</f>
        <v>4</v>
      </c>
      <c r="CN35" s="301" t="str" cm="1">
        <f t="array" aca="1" ref="CN35" ca="1">IF(CM35&lt;0,"",INDEX(uxbGlobals!$B$133:$B$139,CM35))</f>
        <v xml:space="preserve"> </v>
      </c>
      <c r="CO35" s="80"/>
      <c r="CP35" s="302" t="str" cm="1">
        <f t="array" aca="1" ref="CP35" ca="1">IF(CL35=0,"",IF(CK35="G","--",INDEX(auto_DataFlat_Rank,CJ35,$E$11)))</f>
        <v>=14</v>
      </c>
      <c r="CQ35" s="122" t="str" cm="1">
        <f t="array" aca="1" ref="CQ35" ca="1">IF(CL35=0,"",IF(CK35="G","AVERAGE",INDEX(auto_ddCountry,CK35)))</f>
        <v>Shanghai</v>
      </c>
      <c r="CR35" s="290" cm="1">
        <f t="array" aca="1" ref="CR35" ca="1">IF(CL35=0,"",INDEX(auto_DataFlat_Score,CJ35,$E$11))</f>
        <v>77.8</v>
      </c>
      <c r="CS35" s="4"/>
      <c r="CT35" s="49">
        <f t="shared" si="43"/>
        <v>-1</v>
      </c>
      <c r="CU35" s="49" t="e" cm="1">
        <f t="array" ref="CU35">IF($F35=0,0,INDEX(sys_DataFlat_LU_Grid,CT35,$E35))</f>
        <v>#VALUE!</v>
      </c>
      <c r="CV35" s="49" t="e" cm="1">
        <f t="array" ref="CV35">IF($F35=0,-1000,CHOOSE($E$14,INDEX(auto_DataFlat_Score,CU35,$E$11),-INDEX(auto_DataFlat_Score,CU35,$E$11),-$D35))</f>
        <v>#VALUE!</v>
      </c>
      <c r="CW35" s="91" t="e">
        <f ca="1">RANK(CV35,OFFSET(CV$21,0,0,$E$16+1,1))+COUNTIF(CV$21:CV35,CV35)-1</f>
        <v>#VALUE!</v>
      </c>
      <c r="CX35" s="91" t="e">
        <f t="shared" ca="1" si="47"/>
        <v>#N/A</v>
      </c>
      <c r="CY35" s="91" t="e" cm="1">
        <f t="array" aca="1" ref="CY35" ca="1">INDEX(OFFSET(CU$21,0,0,$E$16+1,1),CX35)</f>
        <v>#N/A</v>
      </c>
      <c r="CZ35" s="49" t="e" cm="1">
        <f t="array" aca="1" ref="CZ35" ca="1">INDEX(OFFSET($E$21,0,0,$E$16+1,1),CX35)</f>
        <v>#N/A</v>
      </c>
      <c r="DA35" s="80" t="e" cm="1">
        <f t="array" aca="1" ref="DA35" ca="1">IF(CZ35="G",5,INDEX(OFFSET($F$21,0,0,$E$16+1,1),CX35))</f>
        <v>#N/A</v>
      </c>
      <c r="DB35" s="80" t="e" cm="1">
        <f t="array" aca="1" ref="DB35" ca="1">IF(CY35=0,0,IF(CZ35="G",-1,INDEX(auto_DataFlat_Classification,CY35,$E$11)))</f>
        <v>#N/A</v>
      </c>
      <c r="DC35" s="301" t="e" cm="1">
        <f t="array" aca="1" ref="DC35" ca="1">IF(DB35&lt;0,"",INDEX(uxbGlobals!$B$133:$B$139,DB35))</f>
        <v>#N/A</v>
      </c>
      <c r="DD35" s="80"/>
      <c r="DE35" s="302" t="e" cm="1">
        <f t="array" aca="1" ref="DE35" ca="1">IF(DA35=0,"",IF(CZ35="G","--",INDEX(auto_DataFlat_Rank,CY35,$E$11)))</f>
        <v>#N/A</v>
      </c>
      <c r="DF35" s="122" t="e" cm="1">
        <f t="array" aca="1" ref="DF35" ca="1">IF(DA35=0,"",IF(CZ35="G","AVERAGE",INDEX(auto_ddCountry,CZ35)))</f>
        <v>#N/A</v>
      </c>
      <c r="DG35" s="290" t="e" cm="1">
        <f t="array" aca="1" ref="DG35" ca="1">IF(DA35=0,"",INDEX(auto_DataFlat_Score,CY35,$E$11))</f>
        <v>#N/A</v>
      </c>
      <c r="DH35" s="4"/>
      <c r="DI35" s="49">
        <f t="shared" si="44"/>
        <v>-1</v>
      </c>
      <c r="DJ35" s="49" t="e" cm="1">
        <f t="array" ref="DJ35">IF($F35=0,0,INDEX(sys_DataFlat_LU_Grid,DI35,$E35))</f>
        <v>#VALUE!</v>
      </c>
      <c r="DK35" s="49" t="e" cm="1">
        <f t="array" ref="DK35">IF($F35=0,-1000,CHOOSE($E$14,INDEX(auto_DataFlat_Score,DJ35,$E$11),-INDEX(auto_DataFlat_Score,DJ35,$E$11),-$D35))</f>
        <v>#VALUE!</v>
      </c>
      <c r="DL35" s="91" t="e">
        <f ca="1">RANK(DK35,OFFSET(DK$21,0,0,$E$16+1,1))+COUNTIF(DK$21:DK35,DK35)-1</f>
        <v>#VALUE!</v>
      </c>
      <c r="DM35" s="91" t="e">
        <f t="shared" ca="1" si="28"/>
        <v>#N/A</v>
      </c>
      <c r="DN35" s="91" t="e" cm="1">
        <f t="array" aca="1" ref="DN35" ca="1">INDEX(OFFSET(DJ$21,0,0,$E$16+1,1),DM35)</f>
        <v>#N/A</v>
      </c>
      <c r="DO35" s="49" t="e" cm="1">
        <f t="array" aca="1" ref="DO35" ca="1">INDEX(OFFSET($E$21,0,0,$E$16+1,1),DM35)</f>
        <v>#N/A</v>
      </c>
      <c r="DP35" s="80" t="e" cm="1">
        <f t="array" aca="1" ref="DP35" ca="1">IF(DO35="G",5,INDEX(OFFSET($F$21,0,0,$E$16+1,1),DM35))</f>
        <v>#N/A</v>
      </c>
      <c r="DQ35" s="80" t="e" cm="1">
        <f t="array" aca="1" ref="DQ35" ca="1">IF(DN35=0,0,IF(DO35="G",-1,INDEX(auto_DataFlat_Classification,DN35,$E$11)))</f>
        <v>#N/A</v>
      </c>
      <c r="DR35" s="301" t="e" cm="1">
        <f t="array" aca="1" ref="DR35" ca="1">IF(DQ35&lt;0,"",INDEX(uxbGlobals!$B$133:$B$139,DQ35))</f>
        <v>#N/A</v>
      </c>
      <c r="DS35" s="80"/>
      <c r="DT35" s="302" t="e" cm="1">
        <f t="array" aca="1" ref="DT35" ca="1">IF(DP35=0,"",IF(DO35="G","--",INDEX(auto_DataFlat_Rank,DN35,$E$11)))</f>
        <v>#N/A</v>
      </c>
      <c r="DU35" s="122" t="e" cm="1">
        <f t="array" aca="1" ref="DU35" ca="1">IF(DP35=0,"",IF(DO35="G","AVERAGE",INDEX(auto_ddCountry,DO35)))</f>
        <v>#N/A</v>
      </c>
      <c r="DV35" s="290" t="e" cm="1">
        <f t="array" aca="1" ref="DV35" ca="1">IF(DP35=0,"",INDEX(auto_DataFlat_Score,DN35,$E$11))</f>
        <v>#N/A</v>
      </c>
      <c r="DW35" s="4"/>
      <c r="DX35" s="49">
        <f t="shared" si="45"/>
        <v>-1</v>
      </c>
      <c r="DY35" s="49" t="e" cm="1">
        <f t="array" ref="DY35">IF($F35=0,0,INDEX(sys_DataFlat_LU_Grid,DX35,$E35))</f>
        <v>#VALUE!</v>
      </c>
      <c r="DZ35" s="49" t="e" cm="1">
        <f t="array" ref="DZ35">IF($F35=0,-1000,CHOOSE($E$14,INDEX(auto_DataFlat_Score,DY35,$E$11),-INDEX(auto_DataFlat_Score,DY35,$E$11),-$D35))</f>
        <v>#VALUE!</v>
      </c>
      <c r="EA35" s="91" t="e">
        <f ca="1">RANK(DZ35,OFFSET(DZ$21,0,0,$E$16+1,1))+COUNTIF(DZ$21:DZ35,DZ35)-1</f>
        <v>#VALUE!</v>
      </c>
      <c r="EB35" s="91" t="e">
        <f t="shared" ca="1" si="29"/>
        <v>#N/A</v>
      </c>
      <c r="EC35" s="91" t="e" cm="1">
        <f t="array" aca="1" ref="EC35" ca="1">INDEX(OFFSET(DY$21,0,0,$E$16+1,1),EB35)</f>
        <v>#N/A</v>
      </c>
      <c r="ED35" s="49" t="e" cm="1">
        <f t="array" aca="1" ref="ED35" ca="1">INDEX(OFFSET($E$21,0,0,$E$16+1,1),EB35)</f>
        <v>#N/A</v>
      </c>
      <c r="EE35" s="80" t="e" cm="1">
        <f t="array" aca="1" ref="EE35" ca="1">IF(ED35="G",5,INDEX(OFFSET($F$21,0,0,$E$16+1,1),EB35))</f>
        <v>#N/A</v>
      </c>
      <c r="EF35" s="80" t="e" cm="1">
        <f t="array" aca="1" ref="EF35" ca="1">IF(EC35=0,0,IF(ED35="G",-1,INDEX(auto_DataFlat_Classification,EC35,$E$11)))</f>
        <v>#N/A</v>
      </c>
      <c r="EG35" s="301" t="e" cm="1">
        <f t="array" aca="1" ref="EG35" ca="1">IF(EF35&lt;0,"",INDEX(uxbGlobals!$B$133:$B$139,EF35))</f>
        <v>#N/A</v>
      </c>
      <c r="EH35" s="80"/>
      <c r="EI35" s="302" t="e" cm="1">
        <f t="array" aca="1" ref="EI35" ca="1">IF(EE35=0,"",IF(ED35="G","--",INDEX(auto_DataFlat_Rank,EC35,$E$11)))</f>
        <v>#N/A</v>
      </c>
      <c r="EJ35" s="122" t="e" cm="1">
        <f t="array" aca="1" ref="EJ35" ca="1">IF(EE35=0,"",IF(ED35="G","AVERAGE",INDEX(auto_ddCountry,ED35)))</f>
        <v>#N/A</v>
      </c>
      <c r="EK35" s="290" t="e" cm="1">
        <f t="array" aca="1" ref="EK35" ca="1">IF(EE35=0,"",INDEX(auto_DataFlat_Score,EC35,$E$11))</f>
        <v>#N/A</v>
      </c>
      <c r="EL35" s="4"/>
      <c r="EM35" s="49">
        <f t="shared" si="46"/>
        <v>-1</v>
      </c>
      <c r="EN35" s="49" t="e" cm="1">
        <f t="array" ref="EN35">IF($F35=0,0,INDEX(sys_DataFlat_LU_Grid,EM35,$E35))</f>
        <v>#VALUE!</v>
      </c>
      <c r="EO35" s="49" t="e" cm="1">
        <f t="array" ref="EO35">IF($F35=0,-1000,CHOOSE($E$14,INDEX(auto_DataFlat_Score,EN35,$E$11),-INDEX(auto_DataFlat_Score,EN35,$E$11),-$D35))</f>
        <v>#VALUE!</v>
      </c>
      <c r="EP35" s="91" t="e">
        <f ca="1">RANK(EO35,OFFSET(EO$21,0,0,$E$16+1,1))+COUNTIF(EO$21:EO35,EO35)-1</f>
        <v>#VALUE!</v>
      </c>
      <c r="EQ35" s="91" t="e">
        <f t="shared" ca="1" si="30"/>
        <v>#N/A</v>
      </c>
      <c r="ER35" s="91" t="e" cm="1">
        <f t="array" aca="1" ref="ER35" ca="1">INDEX(OFFSET(EN$21,0,0,$E$16+1,1),EQ35)</f>
        <v>#N/A</v>
      </c>
      <c r="ES35" s="49" t="e" cm="1">
        <f t="array" aca="1" ref="ES35" ca="1">INDEX(OFFSET($E$21,0,0,$E$16+1,1),EQ35)</f>
        <v>#N/A</v>
      </c>
      <c r="ET35" s="80" t="e" cm="1">
        <f t="array" aca="1" ref="ET35" ca="1">IF(ES35="G",5,INDEX(OFFSET($F$21,0,0,$E$16+1,1),EQ35))</f>
        <v>#N/A</v>
      </c>
      <c r="EU35" s="80" t="e" cm="1">
        <f t="array" aca="1" ref="EU35" ca="1">IF(ER35=0,0,IF(ES35="G",-1,INDEX(auto_DataFlat_Classification,ER35,$E$11)))</f>
        <v>#N/A</v>
      </c>
      <c r="EV35" s="301" t="e" cm="1">
        <f t="array" aca="1" ref="EV35" ca="1">IF(EU35&lt;0,"",INDEX(uxbGlobals!$B$133:$B$139,EU35))</f>
        <v>#N/A</v>
      </c>
      <c r="EW35" s="80"/>
      <c r="EX35" s="302" t="e" cm="1">
        <f t="array" aca="1" ref="EX35" ca="1">IF(ET35=0,"",IF(ES35="G","--",INDEX(auto_DataFlat_Rank,ER35,$E$11)))</f>
        <v>#N/A</v>
      </c>
      <c r="EY35" s="122" t="e" cm="1">
        <f t="array" aca="1" ref="EY35" ca="1">IF(ET35=0,"",IF(ES35="G","AVERAGE",INDEX(auto_ddCountry,ES35)))</f>
        <v>#N/A</v>
      </c>
      <c r="EZ35" s="290" t="e" cm="1">
        <f t="array" aca="1" ref="EZ35" ca="1">IF(ET35=0,"",INDEX(auto_DataFlat_Score,ER35,$E$11))</f>
        <v>#N/A</v>
      </c>
    </row>
    <row r="36" spans="1:156" ht="17.149999999999999" customHeight="1" x14ac:dyDescent="0.4">
      <c r="A36" s="4"/>
      <c r="B36" s="4"/>
      <c r="C36" s="4"/>
      <c r="D36" s="26">
        <v>16</v>
      </c>
      <c r="E36" s="49">
        <f>tblCountries!M17</f>
        <v>15</v>
      </c>
      <c r="F36" s="114" cm="1">
        <f t="array" ref="F36">IF(E36=0,0,INDEX(auto_Country_Status,E36))</f>
        <v>1</v>
      </c>
      <c r="G36" s="4"/>
      <c r="H36" s="49">
        <f t="shared" si="31"/>
        <v>1</v>
      </c>
      <c r="I36" s="49" cm="1">
        <f t="array" ref="I36">IF($F36=0,0,INDEX(sys_DataFlat_LU_Grid,H36,$E36))</f>
        <v>15</v>
      </c>
      <c r="J36" s="49" cm="1">
        <f t="array" ref="J36">IF($F36=0,-1000,CHOOSE($E$14,INDEX(auto_DataFlat_Score,I36,$E$11),-INDEX(auto_DataFlat_Score,I36,$E$11),-$D36))</f>
        <v>75.5</v>
      </c>
      <c r="K36" s="91">
        <f ca="1">RANK(J36,OFFSET(J$21,0,0,$E$16+1,1))+COUNTIF(J$21:J36,J36)-1</f>
        <v>11</v>
      </c>
      <c r="L36" s="91">
        <f t="shared" ca="1" si="48"/>
        <v>5</v>
      </c>
      <c r="M36" s="91" cm="1">
        <f t="array" aca="1" ref="M36" ca="1">INDEX(OFFSET(I$21,0,0,$E$16+1,1),L36)</f>
        <v>4</v>
      </c>
      <c r="N36" s="49" cm="1">
        <f t="array" aca="1" ref="N36" ca="1">INDEX(OFFSET($E$21,0,0,$E$16+1,1),L36)</f>
        <v>4</v>
      </c>
      <c r="O36" s="80" cm="1">
        <f t="array" aca="1" ref="O36" ca="1">IF(N36="G",5,INDEX(OFFSET($F$21,0,0,$E$16+1,1),L36))</f>
        <v>1</v>
      </c>
      <c r="P36" s="80" cm="1">
        <f t="array" aca="1" ref="P36" ca="1">IF(M36=0,0,IF(N36="G",-1,INDEX(auto_DataFlat_Classification,M36,$E$11)))</f>
        <v>4</v>
      </c>
      <c r="Q36" s="301" t="str" cm="1">
        <f t="array" aca="1" ref="Q36" ca="1">IF(P36&lt;0,"",INDEX(uxbGlobals!$B$133:$B$139,P36))</f>
        <v xml:space="preserve"> </v>
      </c>
      <c r="R36" s="80"/>
      <c r="S36" s="302" t="str" cm="1">
        <f t="array" aca="1" ref="S36" ca="1">IF(O36=0,"",IF(N36="G","--",INDEX(auto_DataFlat_Rank,M36,$E$11)))</f>
        <v>16</v>
      </c>
      <c r="T36" s="122" t="str" cm="1">
        <f t="array" aca="1" ref="T36" ca="1">IF(O36=0,"",IF(N36="G"," AVERAGE",INDEX(auto_ddCountry,N36)))</f>
        <v>Auckland</v>
      </c>
      <c r="U36" s="290" cm="1">
        <f t="array" aca="1" ref="U36" ca="1">IF(O36=0,"",INDEX(auto_DataFlat_Score,M36,$E$11))</f>
        <v>71</v>
      </c>
      <c r="V36" s="4"/>
      <c r="W36" s="49">
        <f t="shared" si="33"/>
        <v>2</v>
      </c>
      <c r="X36" s="49" cm="1">
        <f t="array" ref="X36">IF($F36=0,0,INDEX(sys_DataFlat_LU_Grid,W36,$E36))</f>
        <v>75</v>
      </c>
      <c r="Y36" s="49" cm="1">
        <f t="array" ref="Y36">IF($F36=0,-1000,CHOOSE($E$14,INDEX(auto_DataFlat_Score,X36,$E$11),-INDEX(auto_DataFlat_Score,X36,$E$11),-$D36))</f>
        <v>86.4</v>
      </c>
      <c r="Z36" s="91">
        <f ca="1">RANK(Y36,OFFSET(Y$21,0,0,$E$16+1,1))+COUNTIF(Y$21:Y36,Y36)-1</f>
        <v>10</v>
      </c>
      <c r="AA36" s="91">
        <f t="shared" ca="1" si="49"/>
        <v>37</v>
      </c>
      <c r="AB36" s="91" cm="1">
        <f t="array" aca="1" ref="AB36" ca="1">INDEX(OFFSET(X$21,0,0,$E$16+1,1),AA36)</f>
        <v>96</v>
      </c>
      <c r="AC36" s="49" cm="1">
        <f t="array" aca="1" ref="AC36" ca="1">INDEX(OFFSET($E$21,0,0,$E$16+1,1),AA36)</f>
        <v>36</v>
      </c>
      <c r="AD36" s="80" cm="1">
        <f t="array" aca="1" ref="AD36" ca="1">IF(AC36="G",5,INDEX(OFFSET($F$21,0,0,$E$16+1,1),AA36))</f>
        <v>1</v>
      </c>
      <c r="AE36" s="80" cm="1">
        <f t="array" aca="1" ref="AE36" ca="1">IF(AB36=0,0,IF(AC36="G",-1,INDEX(auto_DataFlat_Classification,AB36,$E$11)))</f>
        <v>5</v>
      </c>
      <c r="AF36" s="301" t="str" cm="1">
        <f t="array" aca="1" ref="AF36" ca="1">IF(AE36&lt;0,"",INDEX(uxbGlobals!$B$133:$B$139,AE36))</f>
        <v xml:space="preserve"> </v>
      </c>
      <c r="AG36" s="80"/>
      <c r="AH36" s="302" t="str" cm="1">
        <f t="array" aca="1" ref="AH36" ca="1">IF(AD36=0,"",IF(AC36="G","--",INDEX(auto_DataFlat_Rank,AB36,$E$11)))</f>
        <v>16</v>
      </c>
      <c r="AI36" s="122" t="str" cm="1">
        <f t="array" aca="1" ref="AI36" ca="1">IF(AD36=0,"",IF(AC36="G","AVERAGE",INDEX(auto_ddCountry,AC36)))</f>
        <v>Paris</v>
      </c>
      <c r="AJ36" s="290" cm="1">
        <f t="array" aca="1" ref="AJ36" ca="1">IF(AD36=0,"",INDEX(auto_DataFlat_Score,AB36,$E$11))</f>
        <v>84</v>
      </c>
      <c r="AK36" s="4"/>
      <c r="AL36" s="49">
        <f t="shared" si="35"/>
        <v>14</v>
      </c>
      <c r="AM36" s="49" cm="1">
        <f t="array" ref="AM36">IF($F36=0,0,INDEX(sys_DataFlat_LU_Grid,AL36,$E36))</f>
        <v>795</v>
      </c>
      <c r="AN36" s="49" cm="1">
        <f t="array" ref="AN36">IF($F36=0,-1000,CHOOSE($E$14,INDEX(auto_DataFlat_Score,AM36,$E$11),-INDEX(auto_DataFlat_Score,AM36,$E$11),-$D36))</f>
        <v>54.5</v>
      </c>
      <c r="AO36" s="91">
        <f ca="1">RANK(AN36,OFFSET(AN$21,0,0,$E$16+1,1))+COUNTIF(AN$21:AN36,AN36)-1</f>
        <v>22</v>
      </c>
      <c r="AP36" s="91">
        <f t="shared" ca="1" si="50"/>
        <v>47</v>
      </c>
      <c r="AQ36" s="91" cm="1">
        <f t="array" aca="1" ref="AQ36" ca="1">INDEX(OFFSET(AM$21,0,0,$E$16+1,1),AP36)</f>
        <v>826</v>
      </c>
      <c r="AR36" s="49" cm="1">
        <f t="array" aca="1" ref="AR36" ca="1">INDEX(OFFSET($E$21,0,0,$E$16+1,1),AP36)</f>
        <v>46</v>
      </c>
      <c r="AS36" s="80" cm="1">
        <f t="array" aca="1" ref="AS36" ca="1">IF(AR36="G",5,INDEX(OFFSET($F$21,0,0,$E$16+1,1),AP36))</f>
        <v>1</v>
      </c>
      <c r="AT36" s="80" cm="1">
        <f t="array" aca="1" ref="AT36" ca="1">IF(AQ36=0,0,IF(AR36="G",-1,INDEX(auto_DataFlat_Classification,AQ36,$E$11)))</f>
        <v>4</v>
      </c>
      <c r="AU36" s="301" t="str" cm="1">
        <f t="array" aca="1" ref="AU36" ca="1">IF(AT36&lt;0,"",INDEX(uxbGlobals!$B$133:$B$139,AT36))</f>
        <v xml:space="preserve"> </v>
      </c>
      <c r="AV36" s="80"/>
      <c r="AW36" s="302" t="str" cm="1">
        <f t="array" aca="1" ref="AW36" ca="1">IF(AS36=0,"",IF(AR36="G","--",INDEX(auto_DataFlat_Rank,AQ36,$E$11)))</f>
        <v>16</v>
      </c>
      <c r="AX36" s="122" t="str" cm="1">
        <f t="array" aca="1" ref="AX36" ca="1">IF(AS36=0,"",IF(AR36="G","AVERAGE",INDEX(auto_ddCountry,AR36)))</f>
        <v>Tokyo</v>
      </c>
      <c r="AY36" s="290" cm="1">
        <f t="array" aca="1" ref="AY36" ca="1">IF(AS36=0,"",INDEX(auto_DataFlat_Score,AQ36,$E$11))</f>
        <v>60.9</v>
      </c>
      <c r="AZ36" s="4"/>
      <c r="BA36" s="49">
        <f t="shared" si="37"/>
        <v>22</v>
      </c>
      <c r="BB36" s="49" cm="1">
        <f t="array" ref="BB36">IF($F36=0,0,INDEX(sys_DataFlat_LU_Grid,BA36,$E36))</f>
        <v>1275</v>
      </c>
      <c r="BC36" s="49" cm="1">
        <f t="array" ref="BC36">IF($F36=0,-1000,CHOOSE($E$14,INDEX(auto_DataFlat_Score,BB36,$E$11),-INDEX(auto_DataFlat_Score,BB36,$E$11),-$D36))</f>
        <v>77.400000000000006</v>
      </c>
      <c r="BD36" s="91">
        <f ca="1">RANK(BC36,OFFSET(BC$21,0,0,$E$16+1,1))+COUNTIF(BC$21:BC36,BC36)-1</f>
        <v>10</v>
      </c>
      <c r="BE36" s="91">
        <f t="shared" ca="1" si="51"/>
        <v>27</v>
      </c>
      <c r="BF36" s="91" cm="1">
        <f t="array" aca="1" ref="BF36" ca="1">INDEX(OFFSET(BB$21,0,0,$E$16+1,1),BE36)</f>
        <v>1286</v>
      </c>
      <c r="BG36" s="49" cm="1">
        <f t="array" aca="1" ref="BG36" ca="1">INDEX(OFFSET($E$21,0,0,$E$16+1,1),BE36)</f>
        <v>26</v>
      </c>
      <c r="BH36" s="80" cm="1">
        <f t="array" aca="1" ref="BH36" ca="1">IF(BG36="G",5,INDEX(OFFSET($F$21,0,0,$E$16+1,1),BE36))</f>
        <v>1</v>
      </c>
      <c r="BI36" s="80" cm="1">
        <f t="array" aca="1" ref="BI36" ca="1">IF(BF36=0,0,IF(BG36="G",-1,INDEX(auto_DataFlat_Classification,BF36,$E$11)))</f>
        <v>4</v>
      </c>
      <c r="BJ36" s="301" t="str" cm="1">
        <f t="array" aca="1" ref="BJ36" ca="1">IF(BI36&lt;0,"",INDEX(uxbGlobals!$B$133:$B$139,BI36))</f>
        <v xml:space="preserve"> </v>
      </c>
      <c r="BK36" s="80"/>
      <c r="BL36" s="302" t="str" cm="1">
        <f t="array" aca="1" ref="BL36" ca="1">IF(BH36=0,"",IF(BG36="G","--",INDEX(auto_DataFlat_Rank,BF36,$E$11)))</f>
        <v>=16</v>
      </c>
      <c r="BM36" s="122" t="str" cm="1">
        <f t="array" aca="1" ref="BM36" ca="1">IF(BH36=0,"",IF(BG36="G","AVERAGE",INDEX(auto_ddCountry,BG36)))</f>
        <v>London</v>
      </c>
      <c r="BN36" s="290" cm="1">
        <f t="array" aca="1" ref="BN36" ca="1">IF(BH36=0,"",INDEX(auto_DataFlat_Score,BF36,$E$11))</f>
        <v>67.7</v>
      </c>
      <c r="BO36" s="4"/>
      <c r="BP36" s="49">
        <f t="shared" si="39"/>
        <v>47</v>
      </c>
      <c r="BQ36" s="49" cm="1">
        <f t="array" ref="BQ36">IF($F36=0,0,INDEX(sys_DataFlat_LU_Grid,BP36,$E36))</f>
        <v>2775</v>
      </c>
      <c r="BR36" s="49" cm="1">
        <f t="array" ref="BR36">IF($F36=0,-1000,CHOOSE($E$14,INDEX(auto_DataFlat_Score,BQ36,$E$11),-INDEX(auto_DataFlat_Score,BQ36,$E$11),-$D36))</f>
        <v>87.3</v>
      </c>
      <c r="BS36" s="91">
        <f ca="1">RANK(BR36,OFFSET(BR$21,0,0,$E$16+1,1))+COUNTIF(BR$21:BR36,BR36)-1</f>
        <v>4</v>
      </c>
      <c r="BT36" s="91">
        <f t="shared" ca="1" si="52"/>
        <v>19</v>
      </c>
      <c r="BU36" s="91" cm="1">
        <f t="array" aca="1" ref="BU36" ca="1">INDEX(OFFSET(BQ$21,0,0,$E$16+1,1),BT36)</f>
        <v>2778</v>
      </c>
      <c r="BV36" s="49" cm="1">
        <f t="array" aca="1" ref="BV36" ca="1">INDEX(OFFSET($E$21,0,0,$E$16+1,1),BT36)</f>
        <v>18</v>
      </c>
      <c r="BW36" s="80" cm="1">
        <f t="array" aca="1" ref="BW36" ca="1">IF(BV36="G",5,INDEX(OFFSET($F$21,0,0,$E$16+1,1),BT36))</f>
        <v>1</v>
      </c>
      <c r="BX36" s="80" cm="1">
        <f t="array" aca="1" ref="BX36" ca="1">IF(BU36=0,0,IF(BV36="G",-1,INDEX(auto_DataFlat_Classification,BU36,$E$11)))</f>
        <v>5</v>
      </c>
      <c r="BY36" s="301" t="str" cm="1">
        <f t="array" aca="1" ref="BY36" ca="1">IF(BX36&lt;0,"",INDEX(uxbGlobals!$B$133:$B$139,BX36))</f>
        <v xml:space="preserve"> </v>
      </c>
      <c r="BZ36" s="80"/>
      <c r="CA36" s="302" t="str" cm="1">
        <f t="array" aca="1" ref="CA36" ca="1">IF(BW36=0,"",IF(BV36="G","--",INDEX(auto_DataFlat_Rank,BU36,$E$11)))</f>
        <v>16</v>
      </c>
      <c r="CB36" s="122" t="str" cm="1">
        <f t="array" aca="1" ref="CB36" ca="1">IF(BW36=0,"",IF(BV36="G","AVERAGE",INDEX(auto_ddCountry,BV36)))</f>
        <v>Istanbul</v>
      </c>
      <c r="CC36" s="290" cm="1">
        <f t="array" aca="1" ref="CC36" ca="1">IF(BW36=0,"",INDEX(auto_DataFlat_Score,BU36,$E$11))</f>
        <v>80.099999999999994</v>
      </c>
      <c r="CD36" s="4"/>
      <c r="CE36" s="49">
        <f t="shared" si="41"/>
        <v>52</v>
      </c>
      <c r="CF36" s="49" cm="1">
        <f t="array" ref="CF36">IF($F36=0,0,INDEX(sys_DataFlat_LU_Grid,CE36,$E36))</f>
        <v>3075</v>
      </c>
      <c r="CG36" s="49" cm="1">
        <f t="array" ref="CG36">IF($F36=0,-1000,CHOOSE($E$14,INDEX(auto_DataFlat_Score,CF36,$E$11),-INDEX(auto_DataFlat_Score,CF36,$E$11),-$D36))</f>
        <v>74.099999999999994</v>
      </c>
      <c r="CH36" s="91">
        <f ca="1">RANK(CG36,OFFSET(CG$21,0,0,$E$16+1,1))+COUNTIF(CG$21:CG36,CG36)-1</f>
        <v>22</v>
      </c>
      <c r="CI36" s="91">
        <f t="shared" ca="1" si="53"/>
        <v>5</v>
      </c>
      <c r="CJ36" s="91" cm="1">
        <f t="array" aca="1" ref="CJ36" ca="1">INDEX(OFFSET(CF$21,0,0,$E$16+1,1),CI36)</f>
        <v>3064</v>
      </c>
      <c r="CK36" s="49" cm="1">
        <f t="array" aca="1" ref="CK36" ca="1">INDEX(OFFSET($E$21,0,0,$E$16+1,1),CI36)</f>
        <v>4</v>
      </c>
      <c r="CL36" s="80" cm="1">
        <f t="array" aca="1" ref="CL36" ca="1">IF(CK36="G",5,INDEX(OFFSET($F$21,0,0,$E$16+1,1),CI36))</f>
        <v>1</v>
      </c>
      <c r="CM36" s="80" cm="1">
        <f t="array" aca="1" ref="CM36" ca="1">IF(CJ36=0,0,IF(CK36="G",-1,INDEX(auto_DataFlat_Classification,CJ36,$E$11)))</f>
        <v>4</v>
      </c>
      <c r="CN36" s="301" t="str" cm="1">
        <f t="array" aca="1" ref="CN36" ca="1">IF(CM36&lt;0,"",INDEX(uxbGlobals!$B$133:$B$139,CM36))</f>
        <v xml:space="preserve"> </v>
      </c>
      <c r="CO36" s="80"/>
      <c r="CP36" s="302" t="str" cm="1">
        <f t="array" aca="1" ref="CP36" ca="1">IF(CL36=0,"",IF(CK36="G","--",INDEX(auto_DataFlat_Rank,CJ36,$E$11)))</f>
        <v>=16</v>
      </c>
      <c r="CQ36" s="122" t="str" cm="1">
        <f t="array" aca="1" ref="CQ36" ca="1">IF(CL36=0,"",IF(CK36="G","AVERAGE",INDEX(auto_ddCountry,CK36)))</f>
        <v>Auckland</v>
      </c>
      <c r="CR36" s="290" cm="1">
        <f t="array" aca="1" ref="CR36" ca="1">IF(CL36=0,"",INDEX(auto_DataFlat_Score,CJ36,$E$11))</f>
        <v>75.900000000000006</v>
      </c>
      <c r="CS36" s="4"/>
      <c r="CT36" s="49">
        <f t="shared" si="43"/>
        <v>-1</v>
      </c>
      <c r="CU36" s="49" t="e" cm="1">
        <f t="array" ref="CU36">IF($F36=0,0,INDEX(sys_DataFlat_LU_Grid,CT36,$E36))</f>
        <v>#VALUE!</v>
      </c>
      <c r="CV36" s="49" t="e" cm="1">
        <f t="array" ref="CV36">IF($F36=0,-1000,CHOOSE($E$14,INDEX(auto_DataFlat_Score,CU36,$E$11),-INDEX(auto_DataFlat_Score,CU36,$E$11),-$D36))</f>
        <v>#VALUE!</v>
      </c>
      <c r="CW36" s="91" t="e">
        <f ca="1">RANK(CV36,OFFSET(CV$21,0,0,$E$16+1,1))+COUNTIF(CV$21:CV36,CV36)-1</f>
        <v>#VALUE!</v>
      </c>
      <c r="CX36" s="91" t="e">
        <f t="shared" ca="1" si="47"/>
        <v>#N/A</v>
      </c>
      <c r="CY36" s="91" t="e" cm="1">
        <f t="array" aca="1" ref="CY36" ca="1">INDEX(OFFSET(CU$21,0,0,$E$16+1,1),CX36)</f>
        <v>#N/A</v>
      </c>
      <c r="CZ36" s="49" t="e" cm="1">
        <f t="array" aca="1" ref="CZ36" ca="1">INDEX(OFFSET($E$21,0,0,$E$16+1,1),CX36)</f>
        <v>#N/A</v>
      </c>
      <c r="DA36" s="80" t="e" cm="1">
        <f t="array" aca="1" ref="DA36" ca="1">IF(CZ36="G",5,INDEX(OFFSET($F$21,0,0,$E$16+1,1),CX36))</f>
        <v>#N/A</v>
      </c>
      <c r="DB36" s="80" t="e" cm="1">
        <f t="array" aca="1" ref="DB36" ca="1">IF(CY36=0,0,IF(CZ36="G",-1,INDEX(auto_DataFlat_Classification,CY36,$E$11)))</f>
        <v>#N/A</v>
      </c>
      <c r="DC36" s="301" t="e" cm="1">
        <f t="array" aca="1" ref="DC36" ca="1">IF(DB36&lt;0,"",INDEX(uxbGlobals!$B$133:$B$139,DB36))</f>
        <v>#N/A</v>
      </c>
      <c r="DD36" s="80"/>
      <c r="DE36" s="302" t="e" cm="1">
        <f t="array" aca="1" ref="DE36" ca="1">IF(DA36=0,"",IF(CZ36="G","--",INDEX(auto_DataFlat_Rank,CY36,$E$11)))</f>
        <v>#N/A</v>
      </c>
      <c r="DF36" s="122" t="e" cm="1">
        <f t="array" aca="1" ref="DF36" ca="1">IF(DA36=0,"",IF(CZ36="G","AVERAGE",INDEX(auto_ddCountry,CZ36)))</f>
        <v>#N/A</v>
      </c>
      <c r="DG36" s="290" t="e" cm="1">
        <f t="array" aca="1" ref="DG36" ca="1">IF(DA36=0,"",INDEX(auto_DataFlat_Score,CY36,$E$11))</f>
        <v>#N/A</v>
      </c>
      <c r="DH36" s="4"/>
      <c r="DI36" s="49">
        <f t="shared" si="44"/>
        <v>-1</v>
      </c>
      <c r="DJ36" s="49" t="e" cm="1">
        <f t="array" ref="DJ36">IF($F36=0,0,INDEX(sys_DataFlat_LU_Grid,DI36,$E36))</f>
        <v>#VALUE!</v>
      </c>
      <c r="DK36" s="49" t="e" cm="1">
        <f t="array" ref="DK36">IF($F36=0,-1000,CHOOSE($E$14,INDEX(auto_DataFlat_Score,DJ36,$E$11),-INDEX(auto_DataFlat_Score,DJ36,$E$11),-$D36))</f>
        <v>#VALUE!</v>
      </c>
      <c r="DL36" s="91" t="e">
        <f ca="1">RANK(DK36,OFFSET(DK$21,0,0,$E$16+1,1))+COUNTIF(DK$21:DK36,DK36)-1</f>
        <v>#VALUE!</v>
      </c>
      <c r="DM36" s="91" t="e">
        <f t="shared" ca="1" si="28"/>
        <v>#N/A</v>
      </c>
      <c r="DN36" s="91" t="e" cm="1">
        <f t="array" aca="1" ref="DN36" ca="1">INDEX(OFFSET(DJ$21,0,0,$E$16+1,1),DM36)</f>
        <v>#N/A</v>
      </c>
      <c r="DO36" s="49" t="e" cm="1">
        <f t="array" aca="1" ref="DO36" ca="1">INDEX(OFFSET($E$21,0,0,$E$16+1,1),DM36)</f>
        <v>#N/A</v>
      </c>
      <c r="DP36" s="80" t="e" cm="1">
        <f t="array" aca="1" ref="DP36" ca="1">IF(DO36="G",5,INDEX(OFFSET($F$21,0,0,$E$16+1,1),DM36))</f>
        <v>#N/A</v>
      </c>
      <c r="DQ36" s="80" t="e" cm="1">
        <f t="array" aca="1" ref="DQ36" ca="1">IF(DN36=0,0,IF(DO36="G",-1,INDEX(auto_DataFlat_Classification,DN36,$E$11)))</f>
        <v>#N/A</v>
      </c>
      <c r="DR36" s="301" t="e" cm="1">
        <f t="array" aca="1" ref="DR36" ca="1">IF(DQ36&lt;0,"",INDEX(uxbGlobals!$B$133:$B$139,DQ36))</f>
        <v>#N/A</v>
      </c>
      <c r="DS36" s="80"/>
      <c r="DT36" s="302" t="e" cm="1">
        <f t="array" aca="1" ref="DT36" ca="1">IF(DP36=0,"",IF(DO36="G","--",INDEX(auto_DataFlat_Rank,DN36,$E$11)))</f>
        <v>#N/A</v>
      </c>
      <c r="DU36" s="122" t="e" cm="1">
        <f t="array" aca="1" ref="DU36" ca="1">IF(DP36=0,"",IF(DO36="G","AVERAGE",INDEX(auto_ddCountry,DO36)))</f>
        <v>#N/A</v>
      </c>
      <c r="DV36" s="290" t="e" cm="1">
        <f t="array" aca="1" ref="DV36" ca="1">IF(DP36=0,"",INDEX(auto_DataFlat_Score,DN36,$E$11))</f>
        <v>#N/A</v>
      </c>
      <c r="DW36" s="4"/>
      <c r="DX36" s="49">
        <f t="shared" si="45"/>
        <v>-1</v>
      </c>
      <c r="DY36" s="49" t="e" cm="1">
        <f t="array" ref="DY36">IF($F36=0,0,INDEX(sys_DataFlat_LU_Grid,DX36,$E36))</f>
        <v>#VALUE!</v>
      </c>
      <c r="DZ36" s="49" t="e" cm="1">
        <f t="array" ref="DZ36">IF($F36=0,-1000,CHOOSE($E$14,INDEX(auto_DataFlat_Score,DY36,$E$11),-INDEX(auto_DataFlat_Score,DY36,$E$11),-$D36))</f>
        <v>#VALUE!</v>
      </c>
      <c r="EA36" s="91" t="e">
        <f ca="1">RANK(DZ36,OFFSET(DZ$21,0,0,$E$16+1,1))+COUNTIF(DZ$21:DZ36,DZ36)-1</f>
        <v>#VALUE!</v>
      </c>
      <c r="EB36" s="91" t="e">
        <f t="shared" ca="1" si="29"/>
        <v>#N/A</v>
      </c>
      <c r="EC36" s="91" t="e" cm="1">
        <f t="array" aca="1" ref="EC36" ca="1">INDEX(OFFSET(DY$21,0,0,$E$16+1,1),EB36)</f>
        <v>#N/A</v>
      </c>
      <c r="ED36" s="49" t="e" cm="1">
        <f t="array" aca="1" ref="ED36" ca="1">INDEX(OFFSET($E$21,0,0,$E$16+1,1),EB36)</f>
        <v>#N/A</v>
      </c>
      <c r="EE36" s="80" t="e" cm="1">
        <f t="array" aca="1" ref="EE36" ca="1">IF(ED36="G",5,INDEX(OFFSET($F$21,0,0,$E$16+1,1),EB36))</f>
        <v>#N/A</v>
      </c>
      <c r="EF36" s="80" t="e" cm="1">
        <f t="array" aca="1" ref="EF36" ca="1">IF(EC36=0,0,IF(ED36="G",-1,INDEX(auto_DataFlat_Classification,EC36,$E$11)))</f>
        <v>#N/A</v>
      </c>
      <c r="EG36" s="301" t="e" cm="1">
        <f t="array" aca="1" ref="EG36" ca="1">IF(EF36&lt;0,"",INDEX(uxbGlobals!$B$133:$B$139,EF36))</f>
        <v>#N/A</v>
      </c>
      <c r="EH36" s="80"/>
      <c r="EI36" s="302" t="e" cm="1">
        <f t="array" aca="1" ref="EI36" ca="1">IF(EE36=0,"",IF(ED36="G","--",INDEX(auto_DataFlat_Rank,EC36,$E$11)))</f>
        <v>#N/A</v>
      </c>
      <c r="EJ36" s="122" t="e" cm="1">
        <f t="array" aca="1" ref="EJ36" ca="1">IF(EE36=0,"",IF(ED36="G","AVERAGE",INDEX(auto_ddCountry,ED36)))</f>
        <v>#N/A</v>
      </c>
      <c r="EK36" s="290" t="e" cm="1">
        <f t="array" aca="1" ref="EK36" ca="1">IF(EE36=0,"",INDEX(auto_DataFlat_Score,EC36,$E$11))</f>
        <v>#N/A</v>
      </c>
      <c r="EL36" s="4"/>
      <c r="EM36" s="49">
        <f t="shared" si="46"/>
        <v>-1</v>
      </c>
      <c r="EN36" s="49" t="e" cm="1">
        <f t="array" ref="EN36">IF($F36=0,0,INDEX(sys_DataFlat_LU_Grid,EM36,$E36))</f>
        <v>#VALUE!</v>
      </c>
      <c r="EO36" s="49" t="e" cm="1">
        <f t="array" ref="EO36">IF($F36=0,-1000,CHOOSE($E$14,INDEX(auto_DataFlat_Score,EN36,$E$11),-INDEX(auto_DataFlat_Score,EN36,$E$11),-$D36))</f>
        <v>#VALUE!</v>
      </c>
      <c r="EP36" s="91" t="e">
        <f ca="1">RANK(EO36,OFFSET(EO$21,0,0,$E$16+1,1))+COUNTIF(EO$21:EO36,EO36)-1</f>
        <v>#VALUE!</v>
      </c>
      <c r="EQ36" s="91" t="e">
        <f t="shared" ca="1" si="30"/>
        <v>#N/A</v>
      </c>
      <c r="ER36" s="91" t="e" cm="1">
        <f t="array" aca="1" ref="ER36" ca="1">INDEX(OFFSET(EN$21,0,0,$E$16+1,1),EQ36)</f>
        <v>#N/A</v>
      </c>
      <c r="ES36" s="49" t="e" cm="1">
        <f t="array" aca="1" ref="ES36" ca="1">INDEX(OFFSET($E$21,0,0,$E$16+1,1),EQ36)</f>
        <v>#N/A</v>
      </c>
      <c r="ET36" s="80" t="e" cm="1">
        <f t="array" aca="1" ref="ET36" ca="1">IF(ES36="G",5,INDEX(OFFSET($F$21,0,0,$E$16+1,1),EQ36))</f>
        <v>#N/A</v>
      </c>
      <c r="EU36" s="80" t="e" cm="1">
        <f t="array" aca="1" ref="EU36" ca="1">IF(ER36=0,0,IF(ES36="G",-1,INDEX(auto_DataFlat_Classification,ER36,$E$11)))</f>
        <v>#N/A</v>
      </c>
      <c r="EV36" s="301" t="e" cm="1">
        <f t="array" aca="1" ref="EV36" ca="1">IF(EU36&lt;0,"",INDEX(uxbGlobals!$B$133:$B$139,EU36))</f>
        <v>#N/A</v>
      </c>
      <c r="EW36" s="80"/>
      <c r="EX36" s="302" t="e" cm="1">
        <f t="array" aca="1" ref="EX36" ca="1">IF(ET36=0,"",IF(ES36="G","--",INDEX(auto_DataFlat_Rank,ER36,$E$11)))</f>
        <v>#N/A</v>
      </c>
      <c r="EY36" s="122" t="e" cm="1">
        <f t="array" aca="1" ref="EY36" ca="1">IF(ET36=0,"",IF(ES36="G","AVERAGE",INDEX(auto_ddCountry,ES36)))</f>
        <v>#N/A</v>
      </c>
      <c r="EZ36" s="290" t="e" cm="1">
        <f t="array" aca="1" ref="EZ36" ca="1">IF(ET36=0,"",INDEX(auto_DataFlat_Score,ER36,$E$11))</f>
        <v>#N/A</v>
      </c>
    </row>
    <row r="37" spans="1:156" ht="17.149999999999999" customHeight="1" x14ac:dyDescent="0.4">
      <c r="A37" s="4"/>
      <c r="B37" s="4"/>
      <c r="C37" s="4"/>
      <c r="D37" s="26">
        <v>17</v>
      </c>
      <c r="E37" s="49">
        <f>tblCountries!M18</f>
        <v>16</v>
      </c>
      <c r="F37" s="114" cm="1">
        <f t="array" ref="F37">IF(E37=0,0,INDEX(auto_Country_Status,E37))</f>
        <v>1</v>
      </c>
      <c r="G37" s="4"/>
      <c r="H37" s="49">
        <f t="shared" si="31"/>
        <v>1</v>
      </c>
      <c r="I37" s="49" cm="1">
        <f t="array" ref="I37">IF($F37=0,0,INDEX(sys_DataFlat_LU_Grid,H37,$E37))</f>
        <v>16</v>
      </c>
      <c r="J37" s="49" cm="1">
        <f t="array" ref="J37">IF($F37=0,-1000,CHOOSE($E$14,INDEX(auto_DataFlat_Score,I37,$E$11),-INDEX(auto_DataFlat_Score,I37,$E$11),-$D37))</f>
        <v>66</v>
      </c>
      <c r="K37" s="91">
        <f ca="1">RANK(J37,OFFSET(J$21,0,0,$E$16+1,1))+COUNTIF(J$21:J37,J37)-1</f>
        <v>22</v>
      </c>
      <c r="L37" s="91">
        <f t="shared" ca="1" si="48"/>
        <v>46</v>
      </c>
      <c r="M37" s="91" cm="1">
        <f t="array" aca="1" ref="M37" ca="1">INDEX(OFFSET(I$21,0,0,$E$16+1,1),L37)</f>
        <v>45</v>
      </c>
      <c r="N37" s="49" cm="1">
        <f t="array" aca="1" ref="N37" ca="1">INDEX(OFFSET($E$21,0,0,$E$16+1,1),L37)</f>
        <v>45</v>
      </c>
      <c r="O37" s="80" cm="1">
        <f t="array" aca="1" ref="O37" ca="1">IF(N37="G",5,INDEX(OFFSET($F$21,0,0,$E$16+1,1),L37))</f>
        <v>1</v>
      </c>
      <c r="P37" s="80" cm="1">
        <f t="array" aca="1" ref="P37" ca="1">IF(M37=0,0,IF(N37="G",-1,INDEX(auto_DataFlat_Classification,M37,$E$11)))</f>
        <v>4</v>
      </c>
      <c r="Q37" s="301" t="str" cm="1">
        <f t="array" aca="1" ref="Q37" ca="1">IF(P37&lt;0,"",INDEX(uxbGlobals!$B$133:$B$139,P37))</f>
        <v xml:space="preserve"> </v>
      </c>
      <c r="R37" s="80"/>
      <c r="S37" s="302" t="str" cm="1">
        <f t="array" aca="1" ref="S37" ca="1">IF(O37=0,"",IF(N37="G","--",INDEX(auto_DataFlat_Rank,M37,$E$11)))</f>
        <v>17</v>
      </c>
      <c r="T37" s="122" t="str" cm="1">
        <f t="array" aca="1" ref="T37" ca="1">IF(O37=0,"",IF(N37="G"," AVERAGE",INDEX(auto_ddCountry,N37)))</f>
        <v>Sydney</v>
      </c>
      <c r="U37" s="290" cm="1">
        <f t="array" aca="1" ref="U37" ca="1">IF(O37=0,"",INDEX(auto_DataFlat_Score,M37,$E$11))</f>
        <v>70.5</v>
      </c>
      <c r="V37" s="4"/>
      <c r="W37" s="49">
        <f t="shared" si="33"/>
        <v>2</v>
      </c>
      <c r="X37" s="49" cm="1">
        <f t="array" ref="X37">IF($F37=0,0,INDEX(sys_DataFlat_LU_Grid,W37,$E37))</f>
        <v>76</v>
      </c>
      <c r="Y37" s="49" cm="1">
        <f t="array" ref="Y37">IF($F37=0,-1000,CHOOSE($E$14,INDEX(auto_DataFlat_Score,X37,$E$11),-INDEX(auto_DataFlat_Score,X37,$E$11),-$D37))</f>
        <v>77</v>
      </c>
      <c r="Z37" s="91">
        <f ca="1">RANK(Y37,OFFSET(Y$21,0,0,$E$16+1,1))+COUNTIF(Y$21:Y37,Y37)-1</f>
        <v>24</v>
      </c>
      <c r="AA37" s="91">
        <f t="shared" ca="1" si="49"/>
        <v>40</v>
      </c>
      <c r="AB37" s="91" cm="1">
        <f t="array" aca="1" ref="AB37" ca="1">INDEX(OFFSET(X$21,0,0,$E$16+1,1),AA37)</f>
        <v>99</v>
      </c>
      <c r="AC37" s="49" cm="1">
        <f t="array" aca="1" ref="AC37" ca="1">INDEX(OFFSET($E$21,0,0,$E$16+1,1),AA37)</f>
        <v>39</v>
      </c>
      <c r="AD37" s="80" cm="1">
        <f t="array" aca="1" ref="AD37" ca="1">IF(AC37="G",5,INDEX(OFFSET($F$21,0,0,$E$16+1,1),AA37))</f>
        <v>1</v>
      </c>
      <c r="AE37" s="80" cm="1">
        <f t="array" aca="1" ref="AE37" ca="1">IF(AB37=0,0,IF(AC37="G",-1,INDEX(auto_DataFlat_Classification,AB37,$E$11)))</f>
        <v>5</v>
      </c>
      <c r="AF37" s="301" t="str" cm="1">
        <f t="array" aca="1" ref="AF37" ca="1">IF(AE37&lt;0,"",INDEX(uxbGlobals!$B$133:$B$139,AE37))</f>
        <v xml:space="preserve"> </v>
      </c>
      <c r="AG37" s="80"/>
      <c r="AH37" s="302" t="str" cm="1">
        <f t="array" aca="1" ref="AH37" ca="1">IF(AD37=0,"",IF(AC37="G","--",INDEX(auto_DataFlat_Rank,AB37,$E$11)))</f>
        <v>=17</v>
      </c>
      <c r="AI37" s="122" t="str" cm="1">
        <f t="array" aca="1" ref="AI37" ca="1">IF(AD37=0,"",IF(AC37="G","AVERAGE",INDEX(auto_ddCountry,AC37)))</f>
        <v>Rome</v>
      </c>
      <c r="AJ37" s="290" cm="1">
        <f t="array" aca="1" ref="AJ37" ca="1">IF(AD37=0,"",INDEX(auto_DataFlat_Score,AB37,$E$11))</f>
        <v>82.8</v>
      </c>
      <c r="AK37" s="4"/>
      <c r="AL37" s="49">
        <f t="shared" si="35"/>
        <v>14</v>
      </c>
      <c r="AM37" s="49" cm="1">
        <f t="array" ref="AM37">IF($F37=0,0,INDEX(sys_DataFlat_LU_Grid,AL37,$E37))</f>
        <v>796</v>
      </c>
      <c r="AN37" s="49" cm="1">
        <f t="array" ref="AN37">IF($F37=0,-1000,CHOOSE($E$14,INDEX(auto_DataFlat_Score,AM37,$E$11),-INDEX(auto_DataFlat_Score,AM37,$E$11),-$D37))</f>
        <v>38.5</v>
      </c>
      <c r="AO37" s="91">
        <f ca="1">RANK(AN37,OFFSET(AN$21,0,0,$E$16+1,1))+COUNTIF(AN$21:AN37,AN37)-1</f>
        <v>35</v>
      </c>
      <c r="AP37" s="91">
        <f t="shared" ca="1" si="50"/>
        <v>10</v>
      </c>
      <c r="AQ37" s="91" cm="1">
        <f t="array" aca="1" ref="AQ37" ca="1">INDEX(OFFSET(AM$21,0,0,$E$16+1,1),AP37)</f>
        <v>789</v>
      </c>
      <c r="AR37" s="49" cm="1">
        <f t="array" aca="1" ref="AR37" ca="1">INDEX(OFFSET($E$21,0,0,$E$16+1,1),AP37)</f>
        <v>9</v>
      </c>
      <c r="AS37" s="80" cm="1">
        <f t="array" aca="1" ref="AS37" ca="1">IF(AR37="G",5,INDEX(OFFSET($F$21,0,0,$E$16+1,1),AP37))</f>
        <v>1</v>
      </c>
      <c r="AT37" s="80" cm="1">
        <f t="array" aca="1" ref="AT37" ca="1">IF(AQ37=0,0,IF(AR37="G",-1,INDEX(auto_DataFlat_Classification,AQ37,$E$11)))</f>
        <v>4</v>
      </c>
      <c r="AU37" s="301" t="str" cm="1">
        <f t="array" aca="1" ref="AU37" ca="1">IF(AT37&lt;0,"",INDEX(uxbGlobals!$B$133:$B$139,AT37))</f>
        <v xml:space="preserve"> </v>
      </c>
      <c r="AV37" s="80"/>
      <c r="AW37" s="302" t="str" cm="1">
        <f t="array" aca="1" ref="AW37" ca="1">IF(AS37=0,"",IF(AR37="G","--",INDEX(auto_DataFlat_Rank,AQ37,$E$11)))</f>
        <v>17</v>
      </c>
      <c r="AX37" s="122" t="str" cm="1">
        <f t="array" aca="1" ref="AX37" ca="1">IF(AS37=0,"",IF(AR37="G","AVERAGE",INDEX(auto_ddCountry,AR37)))</f>
        <v>Budapest</v>
      </c>
      <c r="AY37" s="290" cm="1">
        <f t="array" aca="1" ref="AY37" ca="1">IF(AS37=0,"",INDEX(auto_DataFlat_Score,AQ37,$E$11))</f>
        <v>60.7</v>
      </c>
      <c r="AZ37" s="4"/>
      <c r="BA37" s="49">
        <f t="shared" si="37"/>
        <v>22</v>
      </c>
      <c r="BB37" s="49" cm="1">
        <f t="array" ref="BB37">IF($F37=0,0,INDEX(sys_DataFlat_LU_Grid,BA37,$E37))</f>
        <v>1276</v>
      </c>
      <c r="BC37" s="49" cm="1">
        <f t="array" ref="BC37">IF($F37=0,-1000,CHOOSE($E$14,INDEX(auto_DataFlat_Score,BB37,$E$11),-INDEX(auto_DataFlat_Score,BB37,$E$11),-$D37))</f>
        <v>68.5</v>
      </c>
      <c r="BD37" s="91">
        <f ca="1">RANK(BC37,OFFSET(BC$21,0,0,$E$16+1,1))+COUNTIF(BC$21:BC37,BC37)-1</f>
        <v>15</v>
      </c>
      <c r="BE37" s="91">
        <f t="shared" ca="1" si="51"/>
        <v>30</v>
      </c>
      <c r="BF37" s="91" cm="1">
        <f t="array" aca="1" ref="BF37" ca="1">INDEX(OFFSET(BB$21,0,0,$E$16+1,1),BE37)</f>
        <v>1289</v>
      </c>
      <c r="BG37" s="49" cm="1">
        <f t="array" aca="1" ref="BG37" ca="1">INDEX(OFFSET($E$21,0,0,$E$16+1,1),BE37)</f>
        <v>29</v>
      </c>
      <c r="BH37" s="80" cm="1">
        <f t="array" aca="1" ref="BH37" ca="1">IF(BG37="G",5,INDEX(OFFSET($F$21,0,0,$E$16+1,1),BE37))</f>
        <v>1</v>
      </c>
      <c r="BI37" s="80" cm="1">
        <f t="array" aca="1" ref="BI37" ca="1">IF(BF37=0,0,IF(BG37="G",-1,INDEX(auto_DataFlat_Classification,BF37,$E$11)))</f>
        <v>4</v>
      </c>
      <c r="BJ37" s="301" t="str" cm="1">
        <f t="array" aca="1" ref="BJ37" ca="1">IF(BI37&lt;0,"",INDEX(uxbGlobals!$B$133:$B$139,BI37))</f>
        <v xml:space="preserve"> </v>
      </c>
      <c r="BK37" s="80"/>
      <c r="BL37" s="302" t="str" cm="1">
        <f t="array" aca="1" ref="BL37" ca="1">IF(BH37=0,"",IF(BG37="G","--",INDEX(auto_DataFlat_Rank,BF37,$E$11)))</f>
        <v>=16</v>
      </c>
      <c r="BM37" s="122" t="str" cm="1">
        <f t="array" aca="1" ref="BM37" ca="1">IF(BH37=0,"",IF(BG37="G","AVERAGE",INDEX(auto_ddCountry,BG37)))</f>
        <v>Melbourne</v>
      </c>
      <c r="BN37" s="290" cm="1">
        <f t="array" aca="1" ref="BN37" ca="1">IF(BH37=0,"",INDEX(auto_DataFlat_Score,BF37,$E$11))</f>
        <v>67.7</v>
      </c>
      <c r="BO37" s="4"/>
      <c r="BP37" s="49">
        <f t="shared" si="39"/>
        <v>47</v>
      </c>
      <c r="BQ37" s="49" cm="1">
        <f t="array" ref="BQ37">IF($F37=0,0,INDEX(sys_DataFlat_LU_Grid,BP37,$E37))</f>
        <v>2776</v>
      </c>
      <c r="BR37" s="49" cm="1">
        <f t="array" ref="BR37">IF($F37=0,-1000,CHOOSE($E$14,INDEX(auto_DataFlat_Score,BQ37,$E$11),-INDEX(auto_DataFlat_Score,BQ37,$E$11),-$D37))</f>
        <v>48.9</v>
      </c>
      <c r="BS37" s="91">
        <f ca="1">RANK(BR37,OFFSET(BR$21,0,0,$E$16+1,1))+COUNTIF(BR$21:BR37,BR37)-1</f>
        <v>38</v>
      </c>
      <c r="BT37" s="91">
        <f t="shared" ca="1" si="52"/>
        <v>5</v>
      </c>
      <c r="BU37" s="91" cm="1">
        <f t="array" aca="1" ref="BU37" ca="1">INDEX(OFFSET(BQ$21,0,0,$E$16+1,1),BT37)</f>
        <v>2764</v>
      </c>
      <c r="BV37" s="49" cm="1">
        <f t="array" aca="1" ref="BV37" ca="1">INDEX(OFFSET($E$21,0,0,$E$16+1,1),BT37)</f>
        <v>4</v>
      </c>
      <c r="BW37" s="80" cm="1">
        <f t="array" aca="1" ref="BW37" ca="1">IF(BV37="G",5,INDEX(OFFSET($F$21,0,0,$E$16+1,1),BT37))</f>
        <v>1</v>
      </c>
      <c r="BX37" s="80" cm="1">
        <f t="array" aca="1" ref="BX37" ca="1">IF(BU37=0,0,IF(BV37="G",-1,INDEX(auto_DataFlat_Classification,BU37,$E$11)))</f>
        <v>4</v>
      </c>
      <c r="BY37" s="301" t="str" cm="1">
        <f t="array" aca="1" ref="BY37" ca="1">IF(BX37&lt;0,"",INDEX(uxbGlobals!$B$133:$B$139,BX37))</f>
        <v xml:space="preserve"> </v>
      </c>
      <c r="BZ37" s="80"/>
      <c r="CA37" s="302" t="str" cm="1">
        <f t="array" aca="1" ref="CA37" ca="1">IF(BW37=0,"",IF(BV37="G","--",INDEX(auto_DataFlat_Rank,BU37,$E$11)))</f>
        <v>17</v>
      </c>
      <c r="CB37" s="122" t="str" cm="1">
        <f t="array" aca="1" ref="CB37" ca="1">IF(BW37=0,"",IF(BV37="G","AVERAGE",INDEX(auto_ddCountry,BV37)))</f>
        <v>Auckland</v>
      </c>
      <c r="CC37" s="290" cm="1">
        <f t="array" aca="1" ref="CC37" ca="1">IF(BW37=0,"",INDEX(auto_DataFlat_Score,BU37,$E$11))</f>
        <v>79.400000000000006</v>
      </c>
      <c r="CD37" s="4"/>
      <c r="CE37" s="49">
        <f t="shared" si="41"/>
        <v>52</v>
      </c>
      <c r="CF37" s="49" cm="1">
        <f t="array" ref="CF37">IF($F37=0,0,INDEX(sys_DataFlat_LU_Grid,CE37,$E37))</f>
        <v>3076</v>
      </c>
      <c r="CG37" s="49" cm="1">
        <f t="array" ref="CG37">IF($F37=0,-1000,CHOOSE($E$14,INDEX(auto_DataFlat_Score,CF37,$E$11),-INDEX(auto_DataFlat_Score,CF37,$E$11),-$D37))</f>
        <v>80.599999999999994</v>
      </c>
      <c r="CH37" s="91">
        <f ca="1">RANK(CG37,OFFSET(CG$21,0,0,$E$16+1,1))+COUNTIF(CG$21:CG37,CG37)-1</f>
        <v>9</v>
      </c>
      <c r="CI37" s="91">
        <f t="shared" ca="1" si="53"/>
        <v>6</v>
      </c>
      <c r="CJ37" s="91" cm="1">
        <f t="array" aca="1" ref="CJ37" ca="1">INDEX(OFFSET(CF$21,0,0,$E$16+1,1),CI37)</f>
        <v>3065</v>
      </c>
      <c r="CK37" s="49" cm="1">
        <f t="array" aca="1" ref="CK37" ca="1">INDEX(OFFSET($E$21,0,0,$E$16+1,1),CI37)</f>
        <v>5</v>
      </c>
      <c r="CL37" s="80" cm="1">
        <f t="array" aca="1" ref="CL37" ca="1">IF(CK37="G",5,INDEX(OFFSET($F$21,0,0,$E$16+1,1),CI37))</f>
        <v>1</v>
      </c>
      <c r="CM37" s="80" cm="1">
        <f t="array" aca="1" ref="CM37" ca="1">IF(CJ37=0,0,IF(CK37="G",-1,INDEX(auto_DataFlat_Classification,CJ37,$E$11)))</f>
        <v>4</v>
      </c>
      <c r="CN37" s="301" t="str" cm="1">
        <f t="array" aca="1" ref="CN37" ca="1">IF(CM37&lt;0,"",INDEX(uxbGlobals!$B$133:$B$139,CM37))</f>
        <v xml:space="preserve"> </v>
      </c>
      <c r="CO37" s="80"/>
      <c r="CP37" s="302" t="str" cm="1">
        <f t="array" aca="1" ref="CP37" ca="1">IF(CL37=0,"",IF(CK37="G","--",INDEX(auto_DataFlat_Rank,CJ37,$E$11)))</f>
        <v>=16</v>
      </c>
      <c r="CQ37" s="122" t="str" cm="1">
        <f t="array" aca="1" ref="CQ37" ca="1">IF(CL37=0,"",IF(CK37="G","AVERAGE",INDEX(auto_ddCountry,CK37)))</f>
        <v>Bangkok</v>
      </c>
      <c r="CR37" s="290" cm="1">
        <f t="array" aca="1" ref="CR37" ca="1">IF(CL37=0,"",INDEX(auto_DataFlat_Score,CJ37,$E$11))</f>
        <v>75.900000000000006</v>
      </c>
      <c r="CS37" s="4"/>
      <c r="CT37" s="49">
        <f t="shared" si="43"/>
        <v>-1</v>
      </c>
      <c r="CU37" s="49" t="e" cm="1">
        <f t="array" ref="CU37">IF($F37=0,0,INDEX(sys_DataFlat_LU_Grid,CT37,$E37))</f>
        <v>#VALUE!</v>
      </c>
      <c r="CV37" s="49" t="e" cm="1">
        <f t="array" ref="CV37">IF($F37=0,-1000,CHOOSE($E$14,INDEX(auto_DataFlat_Score,CU37,$E$11),-INDEX(auto_DataFlat_Score,CU37,$E$11),-$D37))</f>
        <v>#VALUE!</v>
      </c>
      <c r="CW37" s="91" t="e">
        <f ca="1">RANK(CV37,OFFSET(CV$21,0,0,$E$16+1,1))+COUNTIF(CV$21:CV37,CV37)-1</f>
        <v>#VALUE!</v>
      </c>
      <c r="CX37" s="91" t="e">
        <f t="shared" ca="1" si="47"/>
        <v>#N/A</v>
      </c>
      <c r="CY37" s="91" t="e" cm="1">
        <f t="array" aca="1" ref="CY37" ca="1">INDEX(OFFSET(CU$21,0,0,$E$16+1,1),CX37)</f>
        <v>#N/A</v>
      </c>
      <c r="CZ37" s="49" t="e" cm="1">
        <f t="array" aca="1" ref="CZ37" ca="1">INDEX(OFFSET($E$21,0,0,$E$16+1,1),CX37)</f>
        <v>#N/A</v>
      </c>
      <c r="DA37" s="80" t="e" cm="1">
        <f t="array" aca="1" ref="DA37" ca="1">IF(CZ37="G",5,INDEX(OFFSET($F$21,0,0,$E$16+1,1),CX37))</f>
        <v>#N/A</v>
      </c>
      <c r="DB37" s="80" t="e" cm="1">
        <f t="array" aca="1" ref="DB37" ca="1">IF(CY37=0,0,IF(CZ37="G",-1,INDEX(auto_DataFlat_Classification,CY37,$E$11)))</f>
        <v>#N/A</v>
      </c>
      <c r="DC37" s="301" t="e" cm="1">
        <f t="array" aca="1" ref="DC37" ca="1">IF(DB37&lt;0,"",INDEX(uxbGlobals!$B$133:$B$139,DB37))</f>
        <v>#N/A</v>
      </c>
      <c r="DD37" s="80"/>
      <c r="DE37" s="302" t="e" cm="1">
        <f t="array" aca="1" ref="DE37" ca="1">IF(DA37=0,"",IF(CZ37="G","--",INDEX(auto_DataFlat_Rank,CY37,$E$11)))</f>
        <v>#N/A</v>
      </c>
      <c r="DF37" s="122" t="e" cm="1">
        <f t="array" aca="1" ref="DF37" ca="1">IF(DA37=0,"",IF(CZ37="G","AVERAGE",INDEX(auto_ddCountry,CZ37)))</f>
        <v>#N/A</v>
      </c>
      <c r="DG37" s="290" t="e" cm="1">
        <f t="array" aca="1" ref="DG37" ca="1">IF(DA37=0,"",INDEX(auto_DataFlat_Score,CY37,$E$11))</f>
        <v>#N/A</v>
      </c>
      <c r="DH37" s="4"/>
      <c r="DI37" s="49">
        <f t="shared" si="44"/>
        <v>-1</v>
      </c>
      <c r="DJ37" s="49" t="e" cm="1">
        <f t="array" ref="DJ37">IF($F37=0,0,INDEX(sys_DataFlat_LU_Grid,DI37,$E37))</f>
        <v>#VALUE!</v>
      </c>
      <c r="DK37" s="49" t="e" cm="1">
        <f t="array" ref="DK37">IF($F37=0,-1000,CHOOSE($E$14,INDEX(auto_DataFlat_Score,DJ37,$E$11),-INDEX(auto_DataFlat_Score,DJ37,$E$11),-$D37))</f>
        <v>#VALUE!</v>
      </c>
      <c r="DL37" s="91" t="e">
        <f ca="1">RANK(DK37,OFFSET(DK$21,0,0,$E$16+1,1))+COUNTIF(DK$21:DK37,DK37)-1</f>
        <v>#VALUE!</v>
      </c>
      <c r="DM37" s="91" t="e">
        <f t="shared" ca="1" si="28"/>
        <v>#N/A</v>
      </c>
      <c r="DN37" s="91" t="e" cm="1">
        <f t="array" aca="1" ref="DN37" ca="1">INDEX(OFFSET(DJ$21,0,0,$E$16+1,1),DM37)</f>
        <v>#N/A</v>
      </c>
      <c r="DO37" s="49" t="e" cm="1">
        <f t="array" aca="1" ref="DO37" ca="1">INDEX(OFFSET($E$21,0,0,$E$16+1,1),DM37)</f>
        <v>#N/A</v>
      </c>
      <c r="DP37" s="80" t="e" cm="1">
        <f t="array" aca="1" ref="DP37" ca="1">IF(DO37="G",5,INDEX(OFFSET($F$21,0,0,$E$16+1,1),DM37))</f>
        <v>#N/A</v>
      </c>
      <c r="DQ37" s="80" t="e" cm="1">
        <f t="array" aca="1" ref="DQ37" ca="1">IF(DN37=0,0,IF(DO37="G",-1,INDEX(auto_DataFlat_Classification,DN37,$E$11)))</f>
        <v>#N/A</v>
      </c>
      <c r="DR37" s="301" t="e" cm="1">
        <f t="array" aca="1" ref="DR37" ca="1">IF(DQ37&lt;0,"",INDEX(uxbGlobals!$B$133:$B$139,DQ37))</f>
        <v>#N/A</v>
      </c>
      <c r="DS37" s="80"/>
      <c r="DT37" s="302" t="e" cm="1">
        <f t="array" aca="1" ref="DT37" ca="1">IF(DP37=0,"",IF(DO37="G","--",INDEX(auto_DataFlat_Rank,DN37,$E$11)))</f>
        <v>#N/A</v>
      </c>
      <c r="DU37" s="122" t="e" cm="1">
        <f t="array" aca="1" ref="DU37" ca="1">IF(DP37=0,"",IF(DO37="G","AVERAGE",INDEX(auto_ddCountry,DO37)))</f>
        <v>#N/A</v>
      </c>
      <c r="DV37" s="290" t="e" cm="1">
        <f t="array" aca="1" ref="DV37" ca="1">IF(DP37=0,"",INDEX(auto_DataFlat_Score,DN37,$E$11))</f>
        <v>#N/A</v>
      </c>
      <c r="DW37" s="4"/>
      <c r="DX37" s="49">
        <f t="shared" si="45"/>
        <v>-1</v>
      </c>
      <c r="DY37" s="49" t="e" cm="1">
        <f t="array" ref="DY37">IF($F37=0,0,INDEX(sys_DataFlat_LU_Grid,DX37,$E37))</f>
        <v>#VALUE!</v>
      </c>
      <c r="DZ37" s="49" t="e" cm="1">
        <f t="array" ref="DZ37">IF($F37=0,-1000,CHOOSE($E$14,INDEX(auto_DataFlat_Score,DY37,$E$11),-INDEX(auto_DataFlat_Score,DY37,$E$11),-$D37))</f>
        <v>#VALUE!</v>
      </c>
      <c r="EA37" s="91" t="e">
        <f ca="1">RANK(DZ37,OFFSET(DZ$21,0,0,$E$16+1,1))+COUNTIF(DZ$21:DZ37,DZ37)-1</f>
        <v>#VALUE!</v>
      </c>
      <c r="EB37" s="91" t="e">
        <f t="shared" ca="1" si="29"/>
        <v>#N/A</v>
      </c>
      <c r="EC37" s="91" t="e" cm="1">
        <f t="array" aca="1" ref="EC37" ca="1">INDEX(OFFSET(DY$21,0,0,$E$16+1,1),EB37)</f>
        <v>#N/A</v>
      </c>
      <c r="ED37" s="49" t="e" cm="1">
        <f t="array" aca="1" ref="ED37" ca="1">INDEX(OFFSET($E$21,0,0,$E$16+1,1),EB37)</f>
        <v>#N/A</v>
      </c>
      <c r="EE37" s="80" t="e" cm="1">
        <f t="array" aca="1" ref="EE37" ca="1">IF(ED37="G",5,INDEX(OFFSET($F$21,0,0,$E$16+1,1),EB37))</f>
        <v>#N/A</v>
      </c>
      <c r="EF37" s="80" t="e" cm="1">
        <f t="array" aca="1" ref="EF37" ca="1">IF(EC37=0,0,IF(ED37="G",-1,INDEX(auto_DataFlat_Classification,EC37,$E$11)))</f>
        <v>#N/A</v>
      </c>
      <c r="EG37" s="301" t="e" cm="1">
        <f t="array" aca="1" ref="EG37" ca="1">IF(EF37&lt;0,"",INDEX(uxbGlobals!$B$133:$B$139,EF37))</f>
        <v>#N/A</v>
      </c>
      <c r="EH37" s="80"/>
      <c r="EI37" s="302" t="e" cm="1">
        <f t="array" aca="1" ref="EI37" ca="1">IF(EE37=0,"",IF(ED37="G","--",INDEX(auto_DataFlat_Rank,EC37,$E$11)))</f>
        <v>#N/A</v>
      </c>
      <c r="EJ37" s="122" t="e" cm="1">
        <f t="array" aca="1" ref="EJ37" ca="1">IF(EE37=0,"",IF(ED37="G","AVERAGE",INDEX(auto_ddCountry,ED37)))</f>
        <v>#N/A</v>
      </c>
      <c r="EK37" s="290" t="e" cm="1">
        <f t="array" aca="1" ref="EK37" ca="1">IF(EE37=0,"",INDEX(auto_DataFlat_Score,EC37,$E$11))</f>
        <v>#N/A</v>
      </c>
      <c r="EL37" s="4"/>
      <c r="EM37" s="49">
        <f t="shared" si="46"/>
        <v>-1</v>
      </c>
      <c r="EN37" s="49" t="e" cm="1">
        <f t="array" ref="EN37">IF($F37=0,0,INDEX(sys_DataFlat_LU_Grid,EM37,$E37))</f>
        <v>#VALUE!</v>
      </c>
      <c r="EO37" s="49" t="e" cm="1">
        <f t="array" ref="EO37">IF($F37=0,-1000,CHOOSE($E$14,INDEX(auto_DataFlat_Score,EN37,$E$11),-INDEX(auto_DataFlat_Score,EN37,$E$11),-$D37))</f>
        <v>#VALUE!</v>
      </c>
      <c r="EP37" s="91" t="e">
        <f ca="1">RANK(EO37,OFFSET(EO$21,0,0,$E$16+1,1))+COUNTIF(EO$21:EO37,EO37)-1</f>
        <v>#VALUE!</v>
      </c>
      <c r="EQ37" s="91" t="e">
        <f t="shared" ca="1" si="30"/>
        <v>#N/A</v>
      </c>
      <c r="ER37" s="91" t="e" cm="1">
        <f t="array" aca="1" ref="ER37" ca="1">INDEX(OFFSET(EN$21,0,0,$E$16+1,1),EQ37)</f>
        <v>#N/A</v>
      </c>
      <c r="ES37" s="49" t="e" cm="1">
        <f t="array" aca="1" ref="ES37" ca="1">INDEX(OFFSET($E$21,0,0,$E$16+1,1),EQ37)</f>
        <v>#N/A</v>
      </c>
      <c r="ET37" s="80" t="e" cm="1">
        <f t="array" aca="1" ref="ET37" ca="1">IF(ES37="G",5,INDEX(OFFSET($F$21,0,0,$E$16+1,1),EQ37))</f>
        <v>#N/A</v>
      </c>
      <c r="EU37" s="80" t="e" cm="1">
        <f t="array" aca="1" ref="EU37" ca="1">IF(ER37=0,0,IF(ES37="G",-1,INDEX(auto_DataFlat_Classification,ER37,$E$11)))</f>
        <v>#N/A</v>
      </c>
      <c r="EV37" s="301" t="e" cm="1">
        <f t="array" aca="1" ref="EV37" ca="1">IF(EU37&lt;0,"",INDEX(uxbGlobals!$B$133:$B$139,EU37))</f>
        <v>#N/A</v>
      </c>
      <c r="EW37" s="80"/>
      <c r="EX37" s="302" t="e" cm="1">
        <f t="array" aca="1" ref="EX37" ca="1">IF(ET37=0,"",IF(ES37="G","--",INDEX(auto_DataFlat_Rank,ER37,$E$11)))</f>
        <v>#N/A</v>
      </c>
      <c r="EY37" s="122" t="e" cm="1">
        <f t="array" aca="1" ref="EY37" ca="1">IF(ET37=0,"",IF(ES37="G","AVERAGE",INDEX(auto_ddCountry,ES37)))</f>
        <v>#N/A</v>
      </c>
      <c r="EZ37" s="290" t="e" cm="1">
        <f t="array" aca="1" ref="EZ37" ca="1">IF(ET37=0,"",INDEX(auto_DataFlat_Score,ER37,$E$11))</f>
        <v>#N/A</v>
      </c>
    </row>
    <row r="38" spans="1:156" ht="17.149999999999999" customHeight="1" x14ac:dyDescent="0.4">
      <c r="A38" s="4"/>
      <c r="B38" s="4"/>
      <c r="C38" s="4"/>
      <c r="D38" s="26">
        <v>18</v>
      </c>
      <c r="E38" s="49">
        <f>tblCountries!M19</f>
        <v>17</v>
      </c>
      <c r="F38" s="114" cm="1">
        <f t="array" ref="F38">IF(E38=0,0,INDEX(auto_Country_Status,E38))</f>
        <v>1</v>
      </c>
      <c r="G38" s="4"/>
      <c r="H38" s="49">
        <f t="shared" si="31"/>
        <v>1</v>
      </c>
      <c r="I38" s="49" cm="1">
        <f t="array" ref="I38">IF($F38=0,0,INDEX(sys_DataFlat_LU_Grid,H38,$E38))</f>
        <v>17</v>
      </c>
      <c r="J38" s="49" cm="1">
        <f t="array" ref="J38">IF($F38=0,-1000,CHOOSE($E$14,INDEX(auto_DataFlat_Score,I38,$E$11),-INDEX(auto_DataFlat_Score,I38,$E$11),-$D38))</f>
        <v>83.2</v>
      </c>
      <c r="K38" s="91">
        <f ca="1">RANK(J38,OFFSET(J$21,0,0,$E$16+1,1))+COUNTIF(J$21:J38,J38)-1</f>
        <v>1</v>
      </c>
      <c r="L38" s="91">
        <f t="shared" ca="1" si="48"/>
        <v>9</v>
      </c>
      <c r="M38" s="91" cm="1">
        <f t="array" aca="1" ref="M38" ca="1">INDEX(OFFSET(I$21,0,0,$E$16+1,1),L38)</f>
        <v>8</v>
      </c>
      <c r="N38" s="49" cm="1">
        <f t="array" aca="1" ref="N38" ca="1">INDEX(OFFSET($E$21,0,0,$E$16+1,1),L38)</f>
        <v>8</v>
      </c>
      <c r="O38" s="80" cm="1">
        <f t="array" aca="1" ref="O38" ca="1">IF(N38="G",5,INDEX(OFFSET($F$21,0,0,$E$16+1,1),L38))</f>
        <v>1</v>
      </c>
      <c r="P38" s="80" cm="1">
        <f t="array" aca="1" ref="P38" ca="1">IF(M38=0,0,IF(N38="G",-1,INDEX(auto_DataFlat_Classification,M38,$E$11)))</f>
        <v>4</v>
      </c>
      <c r="Q38" s="301" t="str" cm="1">
        <f t="array" aca="1" ref="Q38" ca="1">IF(P38&lt;0,"",INDEX(uxbGlobals!$B$133:$B$139,P38))</f>
        <v xml:space="preserve"> </v>
      </c>
      <c r="R38" s="80"/>
      <c r="S38" s="302" t="str" cm="1">
        <f t="array" aca="1" ref="S38" ca="1">IF(O38=0,"",IF(N38="G","--",INDEX(auto_DataFlat_Rank,M38,$E$11)))</f>
        <v>18</v>
      </c>
      <c r="T38" s="122" t="str" cm="1">
        <f t="array" aca="1" ref="T38" ca="1">IF(O38=0,"",IF(N38="G"," AVERAGE",INDEX(auto_ddCountry,N38)))</f>
        <v>Bogotá</v>
      </c>
      <c r="U38" s="290" cm="1">
        <f t="array" aca="1" ref="U38" ca="1">IF(O38=0,"",INDEX(auto_DataFlat_Score,M38,$E$11))</f>
        <v>69.7</v>
      </c>
      <c r="V38" s="4"/>
      <c r="W38" s="49">
        <f t="shared" si="33"/>
        <v>2</v>
      </c>
      <c r="X38" s="49" cm="1">
        <f t="array" ref="X38">IF($F38=0,0,INDEX(sys_DataFlat_LU_Grid,W38,$E38))</f>
        <v>77</v>
      </c>
      <c r="Y38" s="49" cm="1">
        <f t="array" ref="Y38">IF($F38=0,-1000,CHOOSE($E$14,INDEX(auto_DataFlat_Score,X38,$E$11),-INDEX(auto_DataFlat_Score,X38,$E$11),-$D38))</f>
        <v>84.3</v>
      </c>
      <c r="Z38" s="91">
        <f ca="1">RANK(Y38,OFFSET(Y$21,0,0,$E$16+1,1))+COUNTIF(Y$21:Y38,Y38)-1</f>
        <v>13</v>
      </c>
      <c r="AA38" s="91">
        <f t="shared" ca="1" si="49"/>
        <v>43</v>
      </c>
      <c r="AB38" s="91" cm="1">
        <f t="array" aca="1" ref="AB38" ca="1">INDEX(OFFSET(X$21,0,0,$E$16+1,1),AA38)</f>
        <v>102</v>
      </c>
      <c r="AC38" s="49" cm="1">
        <f t="array" aca="1" ref="AC38" ca="1">INDEX(OFFSET($E$21,0,0,$E$16+1,1),AA38)</f>
        <v>42</v>
      </c>
      <c r="AD38" s="80" cm="1">
        <f t="array" aca="1" ref="AD38" ca="1">IF(AC38="G",5,INDEX(OFFSET($F$21,0,0,$E$16+1,1),AA38))</f>
        <v>1</v>
      </c>
      <c r="AE38" s="80" cm="1">
        <f t="array" aca="1" ref="AE38" ca="1">IF(AB38=0,0,IF(AC38="G",-1,INDEX(auto_DataFlat_Classification,AB38,$E$11)))</f>
        <v>5</v>
      </c>
      <c r="AF38" s="301" t="str" cm="1">
        <f t="array" aca="1" ref="AF38" ca="1">IF(AE38&lt;0,"",INDEX(uxbGlobals!$B$133:$B$139,AE38))</f>
        <v xml:space="preserve"> </v>
      </c>
      <c r="AG38" s="80"/>
      <c r="AH38" s="302" t="str" cm="1">
        <f t="array" aca="1" ref="AH38" ca="1">IF(AD38=0,"",IF(AC38="G","--",INDEX(auto_DataFlat_Rank,AB38,$E$11)))</f>
        <v>=17</v>
      </c>
      <c r="AI38" s="122" t="str" cm="1">
        <f t="array" aca="1" ref="AI38" ca="1">IF(AD38=0,"",IF(AC38="G","AVERAGE",INDEX(auto_ddCountry,AC38)))</f>
        <v>Seoul</v>
      </c>
      <c r="AJ38" s="290" cm="1">
        <f t="array" aca="1" ref="AJ38" ca="1">IF(AD38=0,"",INDEX(auto_DataFlat_Score,AB38,$E$11))</f>
        <v>82.8</v>
      </c>
      <c r="AK38" s="4"/>
      <c r="AL38" s="49">
        <f t="shared" si="35"/>
        <v>14</v>
      </c>
      <c r="AM38" s="49" cm="1">
        <f t="array" ref="AM38">IF($F38=0,0,INDEX(sys_DataFlat_LU_Grid,AL38,$E38))</f>
        <v>797</v>
      </c>
      <c r="AN38" s="49" cm="1">
        <f t="array" ref="AN38">IF($F38=0,-1000,CHOOSE($E$14,INDEX(auto_DataFlat_Score,AM38,$E$11),-INDEX(auto_DataFlat_Score,AM38,$E$11),-$D38))</f>
        <v>69.2</v>
      </c>
      <c r="AO38" s="91">
        <f ca="1">RANK(AN38,OFFSET(AN$21,0,0,$E$16+1,1))+COUNTIF(AN$21:AN38,AN38)-1</f>
        <v>9</v>
      </c>
      <c r="AP38" s="91">
        <f t="shared" ca="1" si="50"/>
        <v>19</v>
      </c>
      <c r="AQ38" s="91" cm="1">
        <f t="array" aca="1" ref="AQ38" ca="1">INDEX(OFFSET(AM$21,0,0,$E$16+1,1),AP38)</f>
        <v>798</v>
      </c>
      <c r="AR38" s="49" cm="1">
        <f t="array" aca="1" ref="AR38" ca="1">INDEX(OFFSET($E$21,0,0,$E$16+1,1),AP38)</f>
        <v>18</v>
      </c>
      <c r="AS38" s="80" cm="1">
        <f t="array" aca="1" ref="AS38" ca="1">IF(AR38="G",5,INDEX(OFFSET($F$21,0,0,$E$16+1,1),AP38))</f>
        <v>1</v>
      </c>
      <c r="AT38" s="80" cm="1">
        <f t="array" aca="1" ref="AT38" ca="1">IF(AQ38=0,0,IF(AR38="G",-1,INDEX(auto_DataFlat_Classification,AQ38,$E$11)))</f>
        <v>4</v>
      </c>
      <c r="AU38" s="301" t="str" cm="1">
        <f t="array" aca="1" ref="AU38" ca="1">IF(AT38&lt;0,"",INDEX(uxbGlobals!$B$133:$B$139,AT38))</f>
        <v xml:space="preserve"> </v>
      </c>
      <c r="AV38" s="80"/>
      <c r="AW38" s="302" t="str" cm="1">
        <f t="array" aca="1" ref="AW38" ca="1">IF(AS38=0,"",IF(AR38="G","--",INDEX(auto_DataFlat_Rank,AQ38,$E$11)))</f>
        <v>18</v>
      </c>
      <c r="AX38" s="122" t="str" cm="1">
        <f t="array" aca="1" ref="AX38" ca="1">IF(AS38=0,"",IF(AR38="G","AVERAGE",INDEX(auto_ddCountry,AR38)))</f>
        <v>Istanbul</v>
      </c>
      <c r="AY38" s="290" cm="1">
        <f t="array" aca="1" ref="AY38" ca="1">IF(AS38=0,"",INDEX(auto_DataFlat_Score,AQ38,$E$11))</f>
        <v>60.3</v>
      </c>
      <c r="AZ38" s="4"/>
      <c r="BA38" s="49">
        <f t="shared" si="37"/>
        <v>22</v>
      </c>
      <c r="BB38" s="49" cm="1">
        <f t="array" ref="BB38">IF($F38=0,0,INDEX(sys_DataFlat_LU_Grid,BA38,$E38))</f>
        <v>1277</v>
      </c>
      <c r="BC38" s="49" cm="1">
        <f t="array" ref="BC38">IF($F38=0,-1000,CHOOSE($E$14,INDEX(auto_DataFlat_Score,BB38,$E$11),-INDEX(auto_DataFlat_Score,BB38,$E$11),-$D38))</f>
        <v>86</v>
      </c>
      <c r="BD38" s="91">
        <f ca="1">RANK(BC38,OFFSET(BC$21,0,0,$E$16+1,1))+COUNTIF(BC$21:BC38,BC38)-1</f>
        <v>1</v>
      </c>
      <c r="BE38" s="91">
        <f t="shared" ca="1" si="51"/>
        <v>46</v>
      </c>
      <c r="BF38" s="91" cm="1">
        <f t="array" aca="1" ref="BF38" ca="1">INDEX(OFFSET(BB$21,0,0,$E$16+1,1),BE38)</f>
        <v>1305</v>
      </c>
      <c r="BG38" s="49" cm="1">
        <f t="array" aca="1" ref="BG38" ca="1">INDEX(OFFSET($E$21,0,0,$E$16+1,1),BE38)</f>
        <v>45</v>
      </c>
      <c r="BH38" s="80" cm="1">
        <f t="array" aca="1" ref="BH38" ca="1">IF(BG38="G",5,INDEX(OFFSET($F$21,0,0,$E$16+1,1),BE38))</f>
        <v>1</v>
      </c>
      <c r="BI38" s="80" cm="1">
        <f t="array" aca="1" ref="BI38" ca="1">IF(BF38=0,0,IF(BG38="G",-1,INDEX(auto_DataFlat_Classification,BF38,$E$11)))</f>
        <v>4</v>
      </c>
      <c r="BJ38" s="301" t="str" cm="1">
        <f t="array" aca="1" ref="BJ38" ca="1">IF(BI38&lt;0,"",INDEX(uxbGlobals!$B$133:$B$139,BI38))</f>
        <v xml:space="preserve"> </v>
      </c>
      <c r="BK38" s="80"/>
      <c r="BL38" s="302" t="str" cm="1">
        <f t="array" aca="1" ref="BL38" ca="1">IF(BH38=0,"",IF(BG38="G","--",INDEX(auto_DataFlat_Rank,BF38,$E$11)))</f>
        <v>=16</v>
      </c>
      <c r="BM38" s="122" t="str" cm="1">
        <f t="array" aca="1" ref="BM38" ca="1">IF(BH38=0,"",IF(BG38="G","AVERAGE",INDEX(auto_ddCountry,BG38)))</f>
        <v>Sydney</v>
      </c>
      <c r="BN38" s="290" cm="1">
        <f t="array" aca="1" ref="BN38" ca="1">IF(BH38=0,"",INDEX(auto_DataFlat_Score,BF38,$E$11))</f>
        <v>67.7</v>
      </c>
      <c r="BO38" s="4"/>
      <c r="BP38" s="49">
        <f t="shared" si="39"/>
        <v>47</v>
      </c>
      <c r="BQ38" s="49" cm="1">
        <f t="array" ref="BQ38">IF($F38=0,0,INDEX(sys_DataFlat_LU_Grid,BP38,$E38))</f>
        <v>2777</v>
      </c>
      <c r="BR38" s="49" cm="1">
        <f t="array" ref="BR38">IF($F38=0,-1000,CHOOSE($E$14,INDEX(auto_DataFlat_Score,BQ38,$E$11),-INDEX(auto_DataFlat_Score,BQ38,$E$11),-$D38))</f>
        <v>76.5</v>
      </c>
      <c r="BS38" s="91">
        <f ca="1">RANK(BR38,OFFSET(BR$21,0,0,$E$16+1,1))+COUNTIF(BR$21:BR38,BR38)-1</f>
        <v>21</v>
      </c>
      <c r="BT38" s="91">
        <f t="shared" ca="1" si="52"/>
        <v>6</v>
      </c>
      <c r="BU38" s="91" cm="1">
        <f t="array" aca="1" ref="BU38" ca="1">INDEX(OFFSET(BQ$21,0,0,$E$16+1,1),BT38)</f>
        <v>2765</v>
      </c>
      <c r="BV38" s="49" cm="1">
        <f t="array" aca="1" ref="BV38" ca="1">INDEX(OFFSET($E$21,0,0,$E$16+1,1),BT38)</f>
        <v>5</v>
      </c>
      <c r="BW38" s="80" cm="1">
        <f t="array" aca="1" ref="BW38" ca="1">IF(BV38="G",5,INDEX(OFFSET($F$21,0,0,$E$16+1,1),BT38))</f>
        <v>1</v>
      </c>
      <c r="BX38" s="80" cm="1">
        <f t="array" aca="1" ref="BX38" ca="1">IF(BU38=0,0,IF(BV38="G",-1,INDEX(auto_DataFlat_Classification,BU38,$E$11)))</f>
        <v>4</v>
      </c>
      <c r="BY38" s="301" t="str" cm="1">
        <f t="array" aca="1" ref="BY38" ca="1">IF(BX38&lt;0,"",INDEX(uxbGlobals!$B$133:$B$139,BX38))</f>
        <v xml:space="preserve"> </v>
      </c>
      <c r="BZ38" s="80"/>
      <c r="CA38" s="302" t="str" cm="1">
        <f t="array" aca="1" ref="CA38" ca="1">IF(BW38=0,"",IF(BV38="G","--",INDEX(auto_DataFlat_Rank,BU38,$E$11)))</f>
        <v>18</v>
      </c>
      <c r="CB38" s="122" t="str" cm="1">
        <f t="array" aca="1" ref="CB38" ca="1">IF(BW38=0,"",IF(BV38="G","AVERAGE",INDEX(auto_ddCountry,BV38)))</f>
        <v>Bangkok</v>
      </c>
      <c r="CC38" s="290" cm="1">
        <f t="array" aca="1" ref="CC38" ca="1">IF(BW38=0,"",INDEX(auto_DataFlat_Score,BU38,$E$11))</f>
        <v>78.3</v>
      </c>
      <c r="CD38" s="4"/>
      <c r="CE38" s="49">
        <f t="shared" si="41"/>
        <v>52</v>
      </c>
      <c r="CF38" s="49" cm="1">
        <f t="array" ref="CF38">IF($F38=0,0,INDEX(sys_DataFlat_LU_Grid,CE38,$E38))</f>
        <v>3077</v>
      </c>
      <c r="CG38" s="49" cm="1">
        <f t="array" ref="CG38">IF($F38=0,-1000,CHOOSE($E$14,INDEX(auto_DataFlat_Score,CF38,$E$11),-INDEX(auto_DataFlat_Score,CF38,$E$11),-$D38))</f>
        <v>90.7</v>
      </c>
      <c r="CH38" s="91">
        <f ca="1">RANK(CG38,OFFSET(CG$21,0,0,$E$16+1,1))+COUNTIF(CG$21:CG38,CG38)-1</f>
        <v>2</v>
      </c>
      <c r="CI38" s="91">
        <f t="shared" ca="1" si="53"/>
        <v>24</v>
      </c>
      <c r="CJ38" s="91" cm="1">
        <f t="array" aca="1" ref="CJ38" ca="1">INDEX(OFFSET(CF$21,0,0,$E$16+1,1),CI38)</f>
        <v>3083</v>
      </c>
      <c r="CK38" s="49" cm="1">
        <f t="array" aca="1" ref="CK38" ca="1">INDEX(OFFSET($E$21,0,0,$E$16+1,1),CI38)</f>
        <v>23</v>
      </c>
      <c r="CL38" s="80" cm="1">
        <f t="array" aca="1" ref="CL38" ca="1">IF(CK38="G",5,INDEX(OFFSET($F$21,0,0,$E$16+1,1),CI38))</f>
        <v>1</v>
      </c>
      <c r="CM38" s="80" cm="1">
        <f t="array" aca="1" ref="CM38" ca="1">IF(CJ38=0,0,IF(CK38="G",-1,INDEX(auto_DataFlat_Classification,CJ38,$E$11)))</f>
        <v>4</v>
      </c>
      <c r="CN38" s="301" t="str" cm="1">
        <f t="array" aca="1" ref="CN38" ca="1">IF(CM38&lt;0,"",INDEX(uxbGlobals!$B$133:$B$139,CM38))</f>
        <v xml:space="preserve"> </v>
      </c>
      <c r="CO38" s="80"/>
      <c r="CP38" s="302" t="str" cm="1">
        <f t="array" aca="1" ref="CP38" ca="1">IF(CL38=0,"",IF(CK38="G","--",INDEX(auto_DataFlat_Rank,CJ38,$E$11)))</f>
        <v>=16</v>
      </c>
      <c r="CQ38" s="122" t="str" cm="1">
        <f t="array" aca="1" ref="CQ38" ca="1">IF(CL38=0,"",IF(CK38="G","AVERAGE",INDEX(auto_ddCountry,CK38)))</f>
        <v>Kolkata</v>
      </c>
      <c r="CR38" s="290" cm="1">
        <f t="array" aca="1" ref="CR38" ca="1">IF(CL38=0,"",INDEX(auto_DataFlat_Score,CJ38,$E$11))</f>
        <v>75.900000000000006</v>
      </c>
      <c r="CS38" s="4"/>
      <c r="CT38" s="49">
        <f t="shared" si="43"/>
        <v>-1</v>
      </c>
      <c r="CU38" s="49" t="e" cm="1">
        <f t="array" ref="CU38">IF($F38=0,0,INDEX(sys_DataFlat_LU_Grid,CT38,$E38))</f>
        <v>#VALUE!</v>
      </c>
      <c r="CV38" s="49" t="e" cm="1">
        <f t="array" ref="CV38">IF($F38=0,-1000,CHOOSE($E$14,INDEX(auto_DataFlat_Score,CU38,$E$11),-INDEX(auto_DataFlat_Score,CU38,$E$11),-$D38))</f>
        <v>#VALUE!</v>
      </c>
      <c r="CW38" s="91" t="e">
        <f ca="1">RANK(CV38,OFFSET(CV$21,0,0,$E$16+1,1))+COUNTIF(CV$21:CV38,CV38)-1</f>
        <v>#VALUE!</v>
      </c>
      <c r="CX38" s="91" t="e">
        <f t="shared" ca="1" si="47"/>
        <v>#N/A</v>
      </c>
      <c r="CY38" s="91" t="e" cm="1">
        <f t="array" aca="1" ref="CY38" ca="1">INDEX(OFFSET(CU$21,0,0,$E$16+1,1),CX38)</f>
        <v>#N/A</v>
      </c>
      <c r="CZ38" s="49" t="e" cm="1">
        <f t="array" aca="1" ref="CZ38" ca="1">INDEX(OFFSET($E$21,0,0,$E$16+1,1),CX38)</f>
        <v>#N/A</v>
      </c>
      <c r="DA38" s="80" t="e" cm="1">
        <f t="array" aca="1" ref="DA38" ca="1">IF(CZ38="G",5,INDEX(OFFSET($F$21,0,0,$E$16+1,1),CX38))</f>
        <v>#N/A</v>
      </c>
      <c r="DB38" s="80" t="e" cm="1">
        <f t="array" aca="1" ref="DB38" ca="1">IF(CY38=0,0,IF(CZ38="G",-1,INDEX(auto_DataFlat_Classification,CY38,$E$11)))</f>
        <v>#N/A</v>
      </c>
      <c r="DC38" s="301" t="e" cm="1">
        <f t="array" aca="1" ref="DC38" ca="1">IF(DB38&lt;0,"",INDEX(uxbGlobals!$B$133:$B$139,DB38))</f>
        <v>#N/A</v>
      </c>
      <c r="DD38" s="80"/>
      <c r="DE38" s="302" t="e" cm="1">
        <f t="array" aca="1" ref="DE38" ca="1">IF(DA38=0,"",IF(CZ38="G","--",INDEX(auto_DataFlat_Rank,CY38,$E$11)))</f>
        <v>#N/A</v>
      </c>
      <c r="DF38" s="122" t="e" cm="1">
        <f t="array" aca="1" ref="DF38" ca="1">IF(DA38=0,"",IF(CZ38="G","AVERAGE",INDEX(auto_ddCountry,CZ38)))</f>
        <v>#N/A</v>
      </c>
      <c r="DG38" s="290" t="e" cm="1">
        <f t="array" aca="1" ref="DG38" ca="1">IF(DA38=0,"",INDEX(auto_DataFlat_Score,CY38,$E$11))</f>
        <v>#N/A</v>
      </c>
      <c r="DH38" s="4"/>
      <c r="DI38" s="49">
        <f t="shared" si="44"/>
        <v>-1</v>
      </c>
      <c r="DJ38" s="49" t="e" cm="1">
        <f t="array" ref="DJ38">IF($F38=0,0,INDEX(sys_DataFlat_LU_Grid,DI38,$E38))</f>
        <v>#VALUE!</v>
      </c>
      <c r="DK38" s="49" t="e" cm="1">
        <f t="array" ref="DK38">IF($F38=0,-1000,CHOOSE($E$14,INDEX(auto_DataFlat_Score,DJ38,$E$11),-INDEX(auto_DataFlat_Score,DJ38,$E$11),-$D38))</f>
        <v>#VALUE!</v>
      </c>
      <c r="DL38" s="91" t="e">
        <f ca="1">RANK(DK38,OFFSET(DK$21,0,0,$E$16+1,1))+COUNTIF(DK$21:DK38,DK38)-1</f>
        <v>#VALUE!</v>
      </c>
      <c r="DM38" s="91" t="e">
        <f t="shared" ca="1" si="28"/>
        <v>#N/A</v>
      </c>
      <c r="DN38" s="91" t="e" cm="1">
        <f t="array" aca="1" ref="DN38" ca="1">INDEX(OFFSET(DJ$21,0,0,$E$16+1,1),DM38)</f>
        <v>#N/A</v>
      </c>
      <c r="DO38" s="49" t="e" cm="1">
        <f t="array" aca="1" ref="DO38" ca="1">INDEX(OFFSET($E$21,0,0,$E$16+1,1),DM38)</f>
        <v>#N/A</v>
      </c>
      <c r="DP38" s="80" t="e" cm="1">
        <f t="array" aca="1" ref="DP38" ca="1">IF(DO38="G",5,INDEX(OFFSET($F$21,0,0,$E$16+1,1),DM38))</f>
        <v>#N/A</v>
      </c>
      <c r="DQ38" s="80" t="e" cm="1">
        <f t="array" aca="1" ref="DQ38" ca="1">IF(DN38=0,0,IF(DO38="G",-1,INDEX(auto_DataFlat_Classification,DN38,$E$11)))</f>
        <v>#N/A</v>
      </c>
      <c r="DR38" s="301" t="e" cm="1">
        <f t="array" aca="1" ref="DR38" ca="1">IF(DQ38&lt;0,"",INDEX(uxbGlobals!$B$133:$B$139,DQ38))</f>
        <v>#N/A</v>
      </c>
      <c r="DS38" s="80"/>
      <c r="DT38" s="302" t="e" cm="1">
        <f t="array" aca="1" ref="DT38" ca="1">IF(DP38=0,"",IF(DO38="G","--",INDEX(auto_DataFlat_Rank,DN38,$E$11)))</f>
        <v>#N/A</v>
      </c>
      <c r="DU38" s="122" t="e" cm="1">
        <f t="array" aca="1" ref="DU38" ca="1">IF(DP38=0,"",IF(DO38="G","AVERAGE",INDEX(auto_ddCountry,DO38)))</f>
        <v>#N/A</v>
      </c>
      <c r="DV38" s="290" t="e" cm="1">
        <f t="array" aca="1" ref="DV38" ca="1">IF(DP38=0,"",INDEX(auto_DataFlat_Score,DN38,$E$11))</f>
        <v>#N/A</v>
      </c>
      <c r="DW38" s="4"/>
      <c r="DX38" s="49">
        <f t="shared" si="45"/>
        <v>-1</v>
      </c>
      <c r="DY38" s="49" t="e" cm="1">
        <f t="array" ref="DY38">IF($F38=0,0,INDEX(sys_DataFlat_LU_Grid,DX38,$E38))</f>
        <v>#VALUE!</v>
      </c>
      <c r="DZ38" s="49" t="e" cm="1">
        <f t="array" ref="DZ38">IF($F38=0,-1000,CHOOSE($E$14,INDEX(auto_DataFlat_Score,DY38,$E$11),-INDEX(auto_DataFlat_Score,DY38,$E$11),-$D38))</f>
        <v>#VALUE!</v>
      </c>
      <c r="EA38" s="91" t="e">
        <f ca="1">RANK(DZ38,OFFSET(DZ$21,0,0,$E$16+1,1))+COUNTIF(DZ$21:DZ38,DZ38)-1</f>
        <v>#VALUE!</v>
      </c>
      <c r="EB38" s="91" t="e">
        <f t="shared" ca="1" si="29"/>
        <v>#N/A</v>
      </c>
      <c r="EC38" s="91" t="e" cm="1">
        <f t="array" aca="1" ref="EC38" ca="1">INDEX(OFFSET(DY$21,0,0,$E$16+1,1),EB38)</f>
        <v>#N/A</v>
      </c>
      <c r="ED38" s="49" t="e" cm="1">
        <f t="array" aca="1" ref="ED38" ca="1">INDEX(OFFSET($E$21,0,0,$E$16+1,1),EB38)</f>
        <v>#N/A</v>
      </c>
      <c r="EE38" s="80" t="e" cm="1">
        <f t="array" aca="1" ref="EE38" ca="1">IF(ED38="G",5,INDEX(OFFSET($F$21,0,0,$E$16+1,1),EB38))</f>
        <v>#N/A</v>
      </c>
      <c r="EF38" s="80" t="e" cm="1">
        <f t="array" aca="1" ref="EF38" ca="1">IF(EC38=0,0,IF(ED38="G",-1,INDEX(auto_DataFlat_Classification,EC38,$E$11)))</f>
        <v>#N/A</v>
      </c>
      <c r="EG38" s="301" t="e" cm="1">
        <f t="array" aca="1" ref="EG38" ca="1">IF(EF38&lt;0,"",INDEX(uxbGlobals!$B$133:$B$139,EF38))</f>
        <v>#N/A</v>
      </c>
      <c r="EH38" s="80"/>
      <c r="EI38" s="302" t="e" cm="1">
        <f t="array" aca="1" ref="EI38" ca="1">IF(EE38=0,"",IF(ED38="G","--",INDEX(auto_DataFlat_Rank,EC38,$E$11)))</f>
        <v>#N/A</v>
      </c>
      <c r="EJ38" s="122" t="e" cm="1">
        <f t="array" aca="1" ref="EJ38" ca="1">IF(EE38=0,"",IF(ED38="G","AVERAGE",INDEX(auto_ddCountry,ED38)))</f>
        <v>#N/A</v>
      </c>
      <c r="EK38" s="290" t="e" cm="1">
        <f t="array" aca="1" ref="EK38" ca="1">IF(EE38=0,"",INDEX(auto_DataFlat_Score,EC38,$E$11))</f>
        <v>#N/A</v>
      </c>
      <c r="EL38" s="4"/>
      <c r="EM38" s="49">
        <f t="shared" si="46"/>
        <v>-1</v>
      </c>
      <c r="EN38" s="49" t="e" cm="1">
        <f t="array" ref="EN38">IF($F38=0,0,INDEX(sys_DataFlat_LU_Grid,EM38,$E38))</f>
        <v>#VALUE!</v>
      </c>
      <c r="EO38" s="49" t="e" cm="1">
        <f t="array" ref="EO38">IF($F38=0,-1000,CHOOSE($E$14,INDEX(auto_DataFlat_Score,EN38,$E$11),-INDEX(auto_DataFlat_Score,EN38,$E$11),-$D38))</f>
        <v>#VALUE!</v>
      </c>
      <c r="EP38" s="91" t="e">
        <f ca="1">RANK(EO38,OFFSET(EO$21,0,0,$E$16+1,1))+COUNTIF(EO$21:EO38,EO38)-1</f>
        <v>#VALUE!</v>
      </c>
      <c r="EQ38" s="91" t="e">
        <f t="shared" ca="1" si="30"/>
        <v>#N/A</v>
      </c>
      <c r="ER38" s="91" t="e" cm="1">
        <f t="array" aca="1" ref="ER38" ca="1">INDEX(OFFSET(EN$21,0,0,$E$16+1,1),EQ38)</f>
        <v>#N/A</v>
      </c>
      <c r="ES38" s="49" t="e" cm="1">
        <f t="array" aca="1" ref="ES38" ca="1">INDEX(OFFSET($E$21,0,0,$E$16+1,1),EQ38)</f>
        <v>#N/A</v>
      </c>
      <c r="ET38" s="80" t="e" cm="1">
        <f t="array" aca="1" ref="ET38" ca="1">IF(ES38="G",5,INDEX(OFFSET($F$21,0,0,$E$16+1,1),EQ38))</f>
        <v>#N/A</v>
      </c>
      <c r="EU38" s="80" t="e" cm="1">
        <f t="array" aca="1" ref="EU38" ca="1">IF(ER38=0,0,IF(ES38="G",-1,INDEX(auto_DataFlat_Classification,ER38,$E$11)))</f>
        <v>#N/A</v>
      </c>
      <c r="EV38" s="301" t="e" cm="1">
        <f t="array" aca="1" ref="EV38" ca="1">IF(EU38&lt;0,"",INDEX(uxbGlobals!$B$133:$B$139,EU38))</f>
        <v>#N/A</v>
      </c>
      <c r="EW38" s="80"/>
      <c r="EX38" s="302" t="e" cm="1">
        <f t="array" aca="1" ref="EX38" ca="1">IF(ET38=0,"",IF(ES38="G","--",INDEX(auto_DataFlat_Rank,ER38,$E$11)))</f>
        <v>#N/A</v>
      </c>
      <c r="EY38" s="122" t="e" cm="1">
        <f t="array" aca="1" ref="EY38" ca="1">IF(ET38=0,"",IF(ES38="G","AVERAGE",INDEX(auto_ddCountry,ES38)))</f>
        <v>#N/A</v>
      </c>
      <c r="EZ38" s="290" t="e" cm="1">
        <f t="array" aca="1" ref="EZ38" ca="1">IF(ET38=0,"",INDEX(auto_DataFlat_Score,ER38,$E$11))</f>
        <v>#N/A</v>
      </c>
    </row>
    <row r="39" spans="1:156" ht="17.149999999999999" customHeight="1" x14ac:dyDescent="0.4">
      <c r="A39" s="4"/>
      <c r="B39" s="4"/>
      <c r="C39" s="4"/>
      <c r="D39" s="26">
        <v>19</v>
      </c>
      <c r="E39" s="49">
        <f>tblCountries!M20</f>
        <v>18</v>
      </c>
      <c r="F39" s="114" cm="1">
        <f t="array" ref="F39">IF(E39=0,0,INDEX(auto_Country_Status,E39))</f>
        <v>1</v>
      </c>
      <c r="G39" s="4"/>
      <c r="H39" s="49">
        <f t="shared" si="31"/>
        <v>1</v>
      </c>
      <c r="I39" s="49" cm="1">
        <f t="array" ref="I39">IF($F39=0,0,INDEX(sys_DataFlat_LU_Grid,H39,$E39))</f>
        <v>18</v>
      </c>
      <c r="J39" s="49" cm="1">
        <f t="array" ref="J39">IF($F39=0,-1000,CHOOSE($E$14,INDEX(auto_DataFlat_Score,I39,$E$11),-INDEX(auto_DataFlat_Score,I39,$E$11),-$D39))</f>
        <v>60.4</v>
      </c>
      <c r="K39" s="91">
        <f ca="1">RANK(J39,OFFSET(J$21,0,0,$E$16+1,1))+COUNTIF(J$21:J39,J39)-1</f>
        <v>32</v>
      </c>
      <c r="L39" s="91">
        <f t="shared" ca="1" si="48"/>
        <v>10</v>
      </c>
      <c r="M39" s="91" cm="1">
        <f t="array" aca="1" ref="M39" ca="1">INDEX(OFFSET(I$21,0,0,$E$16+1,1),L39)</f>
        <v>9</v>
      </c>
      <c r="N39" s="49" cm="1">
        <f t="array" aca="1" ref="N39" ca="1">INDEX(OFFSET($E$21,0,0,$E$16+1,1),L39)</f>
        <v>9</v>
      </c>
      <c r="O39" s="80" cm="1">
        <f t="array" aca="1" ref="O39" ca="1">IF(N39="G",5,INDEX(OFFSET($F$21,0,0,$E$16+1,1),L39))</f>
        <v>1</v>
      </c>
      <c r="P39" s="80" cm="1">
        <f t="array" aca="1" ref="P39" ca="1">IF(M39=0,0,IF(N39="G",-1,INDEX(auto_DataFlat_Classification,M39,$E$11)))</f>
        <v>4</v>
      </c>
      <c r="Q39" s="301" t="str" cm="1">
        <f t="array" aca="1" ref="Q39" ca="1">IF(P39&lt;0,"",INDEX(uxbGlobals!$B$133:$B$139,P39))</f>
        <v xml:space="preserve"> </v>
      </c>
      <c r="R39" s="80"/>
      <c r="S39" s="302" t="str" cm="1">
        <f t="array" aca="1" ref="S39" ca="1">IF(O39=0,"",IF(N39="G","--",INDEX(auto_DataFlat_Rank,M39,$E$11)))</f>
        <v>19</v>
      </c>
      <c r="T39" s="122" t="str" cm="1">
        <f t="array" aca="1" ref="T39" ca="1">IF(O39=0,"",IF(N39="G"," AVERAGE",INDEX(auto_ddCountry,N39)))</f>
        <v>Budapest</v>
      </c>
      <c r="U39" s="290" cm="1">
        <f t="array" aca="1" ref="U39" ca="1">IF(O39=0,"",INDEX(auto_DataFlat_Score,M39,$E$11))</f>
        <v>69.5</v>
      </c>
      <c r="V39" s="4"/>
      <c r="W39" s="49">
        <f t="shared" si="33"/>
        <v>2</v>
      </c>
      <c r="X39" s="49" cm="1">
        <f t="array" ref="X39">IF($F39=0,0,INDEX(sys_DataFlat_LU_Grid,W39,$E39))</f>
        <v>78</v>
      </c>
      <c r="Y39" s="49" cm="1">
        <f t="array" ref="Y39">IF($F39=0,-1000,CHOOSE($E$14,INDEX(auto_DataFlat_Score,X39,$E$11),-INDEX(auto_DataFlat_Score,X39,$E$11),-$D39))</f>
        <v>80.599999999999994</v>
      </c>
      <c r="Z39" s="91">
        <f ca="1">RANK(Y39,OFFSET(Y$21,0,0,$E$16+1,1))+COUNTIF(Y$21:Y39,Y39)-1</f>
        <v>20</v>
      </c>
      <c r="AA39" s="91">
        <f t="shared" ca="1" si="49"/>
        <v>28</v>
      </c>
      <c r="AB39" s="91" cm="1">
        <f t="array" aca="1" ref="AB39" ca="1">INDEX(OFFSET(X$21,0,0,$E$16+1,1),AA39)</f>
        <v>87</v>
      </c>
      <c r="AC39" s="49" cm="1">
        <f t="array" aca="1" ref="AC39" ca="1">INDEX(OFFSET($E$21,0,0,$E$16+1,1),AA39)</f>
        <v>27</v>
      </c>
      <c r="AD39" s="80" cm="1">
        <f t="array" aca="1" ref="AD39" ca="1">IF(AC39="G",5,INDEX(OFFSET($F$21,0,0,$E$16+1,1),AA39))</f>
        <v>1</v>
      </c>
      <c r="AE39" s="80" cm="1">
        <f t="array" aca="1" ref="AE39" ca="1">IF(AB39=0,0,IF(AC39="G",-1,INDEX(auto_DataFlat_Classification,AB39,$E$11)))</f>
        <v>5</v>
      </c>
      <c r="AF39" s="301" t="str" cm="1">
        <f t="array" aca="1" ref="AF39" ca="1">IF(AE39&lt;0,"",INDEX(uxbGlobals!$B$133:$B$139,AE39))</f>
        <v xml:space="preserve"> </v>
      </c>
      <c r="AG39" s="80"/>
      <c r="AH39" s="302" t="str" cm="1">
        <f t="array" aca="1" ref="AH39" ca="1">IF(AD39=0,"",IF(AC39="G","--",INDEX(auto_DataFlat_Rank,AB39,$E$11)))</f>
        <v>19</v>
      </c>
      <c r="AI39" s="122" t="str" cm="1">
        <f t="array" aca="1" ref="AI39" ca="1">IF(AD39=0,"",IF(AC39="G","AVERAGE",INDEX(auto_ddCountry,AC39)))</f>
        <v>Madrid</v>
      </c>
      <c r="AJ39" s="290" cm="1">
        <f t="array" aca="1" ref="AJ39" ca="1">IF(AD39=0,"",INDEX(auto_DataFlat_Score,AB39,$E$11))</f>
        <v>81.900000000000006</v>
      </c>
      <c r="AK39" s="4"/>
      <c r="AL39" s="49">
        <f t="shared" si="35"/>
        <v>14</v>
      </c>
      <c r="AM39" s="49" cm="1">
        <f t="array" ref="AM39">IF($F39=0,0,INDEX(sys_DataFlat_LU_Grid,AL39,$E39))</f>
        <v>798</v>
      </c>
      <c r="AN39" s="49" cm="1">
        <f t="array" ref="AN39">IF($F39=0,-1000,CHOOSE($E$14,INDEX(auto_DataFlat_Score,AM39,$E$11),-INDEX(auto_DataFlat_Score,AM39,$E$11),-$D39))</f>
        <v>60.3</v>
      </c>
      <c r="AO39" s="91">
        <f ca="1">RANK(AN39,OFFSET(AN$21,0,0,$E$16+1,1))+COUNTIF(AN$21:AN39,AN39)-1</f>
        <v>18</v>
      </c>
      <c r="AP39" s="91">
        <f t="shared" ca="1" si="50"/>
        <v>36</v>
      </c>
      <c r="AQ39" s="91" cm="1">
        <f t="array" aca="1" ref="AQ39" ca="1">INDEX(OFFSET(AM$21,0,0,$E$16+1,1),AP39)</f>
        <v>815</v>
      </c>
      <c r="AR39" s="49" cm="1">
        <f t="array" aca="1" ref="AR39" ca="1">INDEX(OFFSET($E$21,0,0,$E$16+1,1),AP39)</f>
        <v>35</v>
      </c>
      <c r="AS39" s="80" cm="1">
        <f t="array" aca="1" ref="AS39" ca="1">IF(AR39="G",5,INDEX(OFFSET($F$21,0,0,$E$16+1,1),AP39))</f>
        <v>1</v>
      </c>
      <c r="AT39" s="80" cm="1">
        <f t="array" aca="1" ref="AT39" ca="1">IF(AQ39=0,0,IF(AR39="G",-1,INDEX(auto_DataFlat_Classification,AQ39,$E$11)))</f>
        <v>3</v>
      </c>
      <c r="AU39" s="301" t="str" cm="1">
        <f t="array" aca="1" ref="AU39" ca="1">IF(AT39&lt;0,"",INDEX(uxbGlobals!$B$133:$B$139,AT39))</f>
        <v xml:space="preserve"> </v>
      </c>
      <c r="AV39" s="80"/>
      <c r="AW39" s="302" t="str" cm="1">
        <f t="array" aca="1" ref="AW39" ca="1">IF(AS39=0,"",IF(AR39="G","--",INDEX(auto_DataFlat_Rank,AQ39,$E$11)))</f>
        <v>19</v>
      </c>
      <c r="AX39" s="122" t="str" cm="1">
        <f t="array" aca="1" ref="AX39" ca="1">IF(AS39=0,"",IF(AR39="G","AVERAGE",INDEX(auto_ddCountry,AR39)))</f>
        <v>Osaka</v>
      </c>
      <c r="AY39" s="290" cm="1">
        <f t="array" aca="1" ref="AY39" ca="1">IF(AS39=0,"",INDEX(auto_DataFlat_Score,AQ39,$E$11))</f>
        <v>59.3</v>
      </c>
      <c r="AZ39" s="4"/>
      <c r="BA39" s="49">
        <f t="shared" si="37"/>
        <v>22</v>
      </c>
      <c r="BB39" s="49" cm="1">
        <f t="array" ref="BB39">IF($F39=0,0,INDEX(sys_DataFlat_LU_Grid,BA39,$E39))</f>
        <v>1278</v>
      </c>
      <c r="BC39" s="49" cm="1">
        <f t="array" ref="BC39">IF($F39=0,-1000,CHOOSE($E$14,INDEX(auto_DataFlat_Score,BB39,$E$11),-INDEX(auto_DataFlat_Score,BB39,$E$11),-$D39))</f>
        <v>45.7</v>
      </c>
      <c r="BD39" s="91">
        <f ca="1">RANK(BC39,OFFSET(BC$21,0,0,$E$16+1,1))+COUNTIF(BC$21:BC39,BC39)-1</f>
        <v>34</v>
      </c>
      <c r="BE39" s="91">
        <f t="shared" ca="1" si="51"/>
        <v>48</v>
      </c>
      <c r="BF39" s="91" cm="1">
        <f t="array" aca="1" ref="BF39" ca="1">INDEX(OFFSET(BB$21,0,0,$E$16+1,1),BE39)</f>
        <v>1307</v>
      </c>
      <c r="BG39" s="49" cm="1">
        <f t="array" aca="1" ref="BG39" ca="1">INDEX(OFFSET($E$21,0,0,$E$16+1,1),BE39)</f>
        <v>47</v>
      </c>
      <c r="BH39" s="80" cm="1">
        <f t="array" aca="1" ref="BH39" ca="1">IF(BG39="G",5,INDEX(OFFSET($F$21,0,0,$E$16+1,1),BE39))</f>
        <v>1</v>
      </c>
      <c r="BI39" s="80" cm="1">
        <f t="array" aca="1" ref="BI39" ca="1">IF(BF39=0,0,IF(BG39="G",-1,INDEX(auto_DataFlat_Classification,BF39,$E$11)))</f>
        <v>4</v>
      </c>
      <c r="BJ39" s="301" t="str" cm="1">
        <f t="array" aca="1" ref="BJ39" ca="1">IF(BI39&lt;0,"",INDEX(uxbGlobals!$B$133:$B$139,BI39))</f>
        <v xml:space="preserve"> </v>
      </c>
      <c r="BK39" s="80"/>
      <c r="BL39" s="302" t="str" cm="1">
        <f t="array" aca="1" ref="BL39" ca="1">IF(BH39=0,"",IF(BG39="G","--",INDEX(auto_DataFlat_Rank,BF39,$E$11)))</f>
        <v>=16</v>
      </c>
      <c r="BM39" s="122" t="str" cm="1">
        <f t="array" aca="1" ref="BM39" ca="1">IF(BH39=0,"",IF(BG39="G","AVERAGE",INDEX(auto_ddCountry,BG39)))</f>
        <v>Toronto</v>
      </c>
      <c r="BN39" s="290" cm="1">
        <f t="array" aca="1" ref="BN39" ca="1">IF(BH39=0,"",INDEX(auto_DataFlat_Score,BF39,$E$11))</f>
        <v>67.7</v>
      </c>
      <c r="BO39" s="4"/>
      <c r="BP39" s="49">
        <f t="shared" si="39"/>
        <v>47</v>
      </c>
      <c r="BQ39" s="49" cm="1">
        <f t="array" ref="BQ39">IF($F39=0,0,INDEX(sys_DataFlat_LU_Grid,BP39,$E39))</f>
        <v>2778</v>
      </c>
      <c r="BR39" s="49" cm="1">
        <f t="array" ref="BR39">IF($F39=0,-1000,CHOOSE($E$14,INDEX(auto_DataFlat_Score,BQ39,$E$11),-INDEX(auto_DataFlat_Score,BQ39,$E$11),-$D39))</f>
        <v>80.099999999999994</v>
      </c>
      <c r="BS39" s="91">
        <f ca="1">RANK(BR39,OFFSET(BR$21,0,0,$E$16+1,1))+COUNTIF(BR$21:BR39,BR39)-1</f>
        <v>16</v>
      </c>
      <c r="BT39" s="91">
        <f t="shared" ca="1" si="52"/>
        <v>12</v>
      </c>
      <c r="BU39" s="91" cm="1">
        <f t="array" aca="1" ref="BU39" ca="1">INDEX(OFFSET(BQ$21,0,0,$E$16+1,1),BT39)</f>
        <v>2771</v>
      </c>
      <c r="BV39" s="49" cm="1">
        <f t="array" aca="1" ref="BV39" ca="1">INDEX(OFFSET($E$21,0,0,$E$16+1,1),BT39)</f>
        <v>11</v>
      </c>
      <c r="BW39" s="80" cm="1">
        <f t="array" aca="1" ref="BW39" ca="1">IF(BV39="G",5,INDEX(OFFSET($F$21,0,0,$E$16+1,1),BT39))</f>
        <v>1</v>
      </c>
      <c r="BX39" s="80" cm="1">
        <f t="array" aca="1" ref="BX39" ca="1">IF(BU39=0,0,IF(BV39="G",-1,INDEX(auto_DataFlat_Classification,BU39,$E$11)))</f>
        <v>4</v>
      </c>
      <c r="BY39" s="301" t="str" cm="1">
        <f t="array" aca="1" ref="BY39" ca="1">IF(BX39&lt;0,"",INDEX(uxbGlobals!$B$133:$B$139,BX39))</f>
        <v xml:space="preserve"> </v>
      </c>
      <c r="BZ39" s="80"/>
      <c r="CA39" s="302" t="str" cm="1">
        <f t="array" aca="1" ref="CA39" ca="1">IF(BW39=0,"",IF(BV39="G","--",INDEX(auto_DataFlat_Rank,BU39,$E$11)))</f>
        <v>19</v>
      </c>
      <c r="CB39" s="122" t="str" cm="1">
        <f t="array" aca="1" ref="CB39" ca="1">IF(BW39=0,"",IF(BV39="G","AVERAGE",INDEX(auto_ddCountry,BV39)))</f>
        <v>Colombo</v>
      </c>
      <c r="CC39" s="290" cm="1">
        <f t="array" aca="1" ref="CC39" ca="1">IF(BW39=0,"",INDEX(auto_DataFlat_Score,BU39,$E$11))</f>
        <v>77.8</v>
      </c>
      <c r="CD39" s="4"/>
      <c r="CE39" s="49">
        <f t="shared" si="41"/>
        <v>52</v>
      </c>
      <c r="CF39" s="49" cm="1">
        <f t="array" ref="CF39">IF($F39=0,0,INDEX(sys_DataFlat_LU_Grid,CE39,$E39))</f>
        <v>3078</v>
      </c>
      <c r="CG39" s="49" cm="1">
        <f t="array" ref="CG39">IF($F39=0,-1000,CHOOSE($E$14,INDEX(auto_DataFlat_Score,CF39,$E$11),-INDEX(auto_DataFlat_Score,CF39,$E$11),-$D39))</f>
        <v>53.7</v>
      </c>
      <c r="CH39" s="91">
        <f ca="1">RANK(CG39,OFFSET(CG$21,0,0,$E$16+1,1))+COUNTIF(CG$21:CG39,CG39)-1</f>
        <v>43</v>
      </c>
      <c r="CI39" s="91">
        <f t="shared" ca="1" si="53"/>
        <v>43</v>
      </c>
      <c r="CJ39" s="91" cm="1">
        <f t="array" aca="1" ref="CJ39" ca="1">INDEX(OFFSET(CF$21,0,0,$E$16+1,1),CI39)</f>
        <v>3102</v>
      </c>
      <c r="CK39" s="49" cm="1">
        <f t="array" aca="1" ref="CK39" ca="1">INDEX(OFFSET($E$21,0,0,$E$16+1,1),CI39)</f>
        <v>42</v>
      </c>
      <c r="CL39" s="80" cm="1">
        <f t="array" aca="1" ref="CL39" ca="1">IF(CK39="G",5,INDEX(OFFSET($F$21,0,0,$E$16+1,1),CI39))</f>
        <v>1</v>
      </c>
      <c r="CM39" s="80" cm="1">
        <f t="array" aca="1" ref="CM39" ca="1">IF(CJ39=0,0,IF(CK39="G",-1,INDEX(auto_DataFlat_Classification,CJ39,$E$11)))</f>
        <v>4</v>
      </c>
      <c r="CN39" s="301" t="str" cm="1">
        <f t="array" aca="1" ref="CN39" ca="1">IF(CM39&lt;0,"",INDEX(uxbGlobals!$B$133:$B$139,CM39))</f>
        <v xml:space="preserve"> </v>
      </c>
      <c r="CO39" s="80"/>
      <c r="CP39" s="302" t="str" cm="1">
        <f t="array" aca="1" ref="CP39" ca="1">IF(CL39=0,"",IF(CK39="G","--",INDEX(auto_DataFlat_Rank,CJ39,$E$11)))</f>
        <v>=16</v>
      </c>
      <c r="CQ39" s="122" t="str" cm="1">
        <f t="array" aca="1" ref="CQ39" ca="1">IF(CL39=0,"",IF(CK39="G","AVERAGE",INDEX(auto_ddCountry,CK39)))</f>
        <v>Seoul</v>
      </c>
      <c r="CR39" s="290" cm="1">
        <f t="array" aca="1" ref="CR39" ca="1">IF(CL39=0,"",INDEX(auto_DataFlat_Score,CJ39,$E$11))</f>
        <v>75.900000000000006</v>
      </c>
      <c r="CS39" s="4"/>
      <c r="CT39" s="49">
        <f t="shared" si="43"/>
        <v>-1</v>
      </c>
      <c r="CU39" s="49" t="e" cm="1">
        <f t="array" ref="CU39">IF($F39=0,0,INDEX(sys_DataFlat_LU_Grid,CT39,$E39))</f>
        <v>#VALUE!</v>
      </c>
      <c r="CV39" s="49" t="e" cm="1">
        <f t="array" ref="CV39">IF($F39=0,-1000,CHOOSE($E$14,INDEX(auto_DataFlat_Score,CU39,$E$11),-INDEX(auto_DataFlat_Score,CU39,$E$11),-$D39))</f>
        <v>#VALUE!</v>
      </c>
      <c r="CW39" s="91" t="e">
        <f ca="1">RANK(CV39,OFFSET(CV$21,0,0,$E$16+1,1))+COUNTIF(CV$21:CV39,CV39)-1</f>
        <v>#VALUE!</v>
      </c>
      <c r="CX39" s="91" t="e">
        <f t="shared" ca="1" si="47"/>
        <v>#N/A</v>
      </c>
      <c r="CY39" s="91" t="e" cm="1">
        <f t="array" aca="1" ref="CY39" ca="1">INDEX(OFFSET(CU$21,0,0,$E$16+1,1),CX39)</f>
        <v>#N/A</v>
      </c>
      <c r="CZ39" s="49" t="e" cm="1">
        <f t="array" aca="1" ref="CZ39" ca="1">INDEX(OFFSET($E$21,0,0,$E$16+1,1),CX39)</f>
        <v>#N/A</v>
      </c>
      <c r="DA39" s="80" t="e" cm="1">
        <f t="array" aca="1" ref="DA39" ca="1">IF(CZ39="G",5,INDEX(OFFSET($F$21,0,0,$E$16+1,1),CX39))</f>
        <v>#N/A</v>
      </c>
      <c r="DB39" s="80" t="e" cm="1">
        <f t="array" aca="1" ref="DB39" ca="1">IF(CY39=0,0,IF(CZ39="G",-1,INDEX(auto_DataFlat_Classification,CY39,$E$11)))</f>
        <v>#N/A</v>
      </c>
      <c r="DC39" s="301" t="e" cm="1">
        <f t="array" aca="1" ref="DC39" ca="1">IF(DB39&lt;0,"",INDEX(uxbGlobals!$B$133:$B$139,DB39))</f>
        <v>#N/A</v>
      </c>
      <c r="DD39" s="80"/>
      <c r="DE39" s="302" t="e" cm="1">
        <f t="array" aca="1" ref="DE39" ca="1">IF(DA39=0,"",IF(CZ39="G","--",INDEX(auto_DataFlat_Rank,CY39,$E$11)))</f>
        <v>#N/A</v>
      </c>
      <c r="DF39" s="122" t="e" cm="1">
        <f t="array" aca="1" ref="DF39" ca="1">IF(DA39=0,"",IF(CZ39="G","AVERAGE",INDEX(auto_ddCountry,CZ39)))</f>
        <v>#N/A</v>
      </c>
      <c r="DG39" s="290" t="e" cm="1">
        <f t="array" aca="1" ref="DG39" ca="1">IF(DA39=0,"",INDEX(auto_DataFlat_Score,CY39,$E$11))</f>
        <v>#N/A</v>
      </c>
      <c r="DH39" s="4"/>
      <c r="DI39" s="49">
        <f t="shared" si="44"/>
        <v>-1</v>
      </c>
      <c r="DJ39" s="49" t="e" cm="1">
        <f t="array" ref="DJ39">IF($F39=0,0,INDEX(sys_DataFlat_LU_Grid,DI39,$E39))</f>
        <v>#VALUE!</v>
      </c>
      <c r="DK39" s="49" t="e" cm="1">
        <f t="array" ref="DK39">IF($F39=0,-1000,CHOOSE($E$14,INDEX(auto_DataFlat_Score,DJ39,$E$11),-INDEX(auto_DataFlat_Score,DJ39,$E$11),-$D39))</f>
        <v>#VALUE!</v>
      </c>
      <c r="DL39" s="91" t="e">
        <f ca="1">RANK(DK39,OFFSET(DK$21,0,0,$E$16+1,1))+COUNTIF(DK$21:DK39,DK39)-1</f>
        <v>#VALUE!</v>
      </c>
      <c r="DM39" s="91" t="e">
        <f t="shared" ca="1" si="28"/>
        <v>#N/A</v>
      </c>
      <c r="DN39" s="91" t="e" cm="1">
        <f t="array" aca="1" ref="DN39" ca="1">INDEX(OFFSET(DJ$21,0,0,$E$16+1,1),DM39)</f>
        <v>#N/A</v>
      </c>
      <c r="DO39" s="49" t="e" cm="1">
        <f t="array" aca="1" ref="DO39" ca="1">INDEX(OFFSET($E$21,0,0,$E$16+1,1),DM39)</f>
        <v>#N/A</v>
      </c>
      <c r="DP39" s="80" t="e" cm="1">
        <f t="array" aca="1" ref="DP39" ca="1">IF(DO39="G",5,INDEX(OFFSET($F$21,0,0,$E$16+1,1),DM39))</f>
        <v>#N/A</v>
      </c>
      <c r="DQ39" s="80" t="e" cm="1">
        <f t="array" aca="1" ref="DQ39" ca="1">IF(DN39=0,0,IF(DO39="G",-1,INDEX(auto_DataFlat_Classification,DN39,$E$11)))</f>
        <v>#N/A</v>
      </c>
      <c r="DR39" s="301" t="e" cm="1">
        <f t="array" aca="1" ref="DR39" ca="1">IF(DQ39&lt;0,"",INDEX(uxbGlobals!$B$133:$B$139,DQ39))</f>
        <v>#N/A</v>
      </c>
      <c r="DS39" s="80"/>
      <c r="DT39" s="302" t="e" cm="1">
        <f t="array" aca="1" ref="DT39" ca="1">IF(DP39=0,"",IF(DO39="G","--",INDEX(auto_DataFlat_Rank,DN39,$E$11)))</f>
        <v>#N/A</v>
      </c>
      <c r="DU39" s="122" t="e" cm="1">
        <f t="array" aca="1" ref="DU39" ca="1">IF(DP39=0,"",IF(DO39="G","AVERAGE",INDEX(auto_ddCountry,DO39)))</f>
        <v>#N/A</v>
      </c>
      <c r="DV39" s="290" t="e" cm="1">
        <f t="array" aca="1" ref="DV39" ca="1">IF(DP39=0,"",INDEX(auto_DataFlat_Score,DN39,$E$11))</f>
        <v>#N/A</v>
      </c>
      <c r="DW39" s="4"/>
      <c r="DX39" s="49">
        <f t="shared" si="45"/>
        <v>-1</v>
      </c>
      <c r="DY39" s="49" t="e" cm="1">
        <f t="array" ref="DY39">IF($F39=0,0,INDEX(sys_DataFlat_LU_Grid,DX39,$E39))</f>
        <v>#VALUE!</v>
      </c>
      <c r="DZ39" s="49" t="e" cm="1">
        <f t="array" ref="DZ39">IF($F39=0,-1000,CHOOSE($E$14,INDEX(auto_DataFlat_Score,DY39,$E$11),-INDEX(auto_DataFlat_Score,DY39,$E$11),-$D39))</f>
        <v>#VALUE!</v>
      </c>
      <c r="EA39" s="91" t="e">
        <f ca="1">RANK(DZ39,OFFSET(DZ$21,0,0,$E$16+1,1))+COUNTIF(DZ$21:DZ39,DZ39)-1</f>
        <v>#VALUE!</v>
      </c>
      <c r="EB39" s="91" t="e">
        <f t="shared" ca="1" si="29"/>
        <v>#N/A</v>
      </c>
      <c r="EC39" s="91" t="e" cm="1">
        <f t="array" aca="1" ref="EC39" ca="1">INDEX(OFFSET(DY$21,0,0,$E$16+1,1),EB39)</f>
        <v>#N/A</v>
      </c>
      <c r="ED39" s="49" t="e" cm="1">
        <f t="array" aca="1" ref="ED39" ca="1">INDEX(OFFSET($E$21,0,0,$E$16+1,1),EB39)</f>
        <v>#N/A</v>
      </c>
      <c r="EE39" s="80" t="e" cm="1">
        <f t="array" aca="1" ref="EE39" ca="1">IF(ED39="G",5,INDEX(OFFSET($F$21,0,0,$E$16+1,1),EB39))</f>
        <v>#N/A</v>
      </c>
      <c r="EF39" s="80" t="e" cm="1">
        <f t="array" aca="1" ref="EF39" ca="1">IF(EC39=0,0,IF(ED39="G",-1,INDEX(auto_DataFlat_Classification,EC39,$E$11)))</f>
        <v>#N/A</v>
      </c>
      <c r="EG39" s="301" t="e" cm="1">
        <f t="array" aca="1" ref="EG39" ca="1">IF(EF39&lt;0,"",INDEX(uxbGlobals!$B$133:$B$139,EF39))</f>
        <v>#N/A</v>
      </c>
      <c r="EH39" s="80"/>
      <c r="EI39" s="302" t="e" cm="1">
        <f t="array" aca="1" ref="EI39" ca="1">IF(EE39=0,"",IF(ED39="G","--",INDEX(auto_DataFlat_Rank,EC39,$E$11)))</f>
        <v>#N/A</v>
      </c>
      <c r="EJ39" s="122" t="e" cm="1">
        <f t="array" aca="1" ref="EJ39" ca="1">IF(EE39=0,"",IF(ED39="G","AVERAGE",INDEX(auto_ddCountry,ED39)))</f>
        <v>#N/A</v>
      </c>
      <c r="EK39" s="290" t="e" cm="1">
        <f t="array" aca="1" ref="EK39" ca="1">IF(EE39=0,"",INDEX(auto_DataFlat_Score,EC39,$E$11))</f>
        <v>#N/A</v>
      </c>
      <c r="EL39" s="4"/>
      <c r="EM39" s="49">
        <f t="shared" si="46"/>
        <v>-1</v>
      </c>
      <c r="EN39" s="49" t="e" cm="1">
        <f t="array" ref="EN39">IF($F39=0,0,INDEX(sys_DataFlat_LU_Grid,EM39,$E39))</f>
        <v>#VALUE!</v>
      </c>
      <c r="EO39" s="49" t="e" cm="1">
        <f t="array" ref="EO39">IF($F39=0,-1000,CHOOSE($E$14,INDEX(auto_DataFlat_Score,EN39,$E$11),-INDEX(auto_DataFlat_Score,EN39,$E$11),-$D39))</f>
        <v>#VALUE!</v>
      </c>
      <c r="EP39" s="91" t="e">
        <f ca="1">RANK(EO39,OFFSET(EO$21,0,0,$E$16+1,1))+COUNTIF(EO$21:EO39,EO39)-1</f>
        <v>#VALUE!</v>
      </c>
      <c r="EQ39" s="91" t="e">
        <f t="shared" ca="1" si="30"/>
        <v>#N/A</v>
      </c>
      <c r="ER39" s="91" t="e" cm="1">
        <f t="array" aca="1" ref="ER39" ca="1">INDEX(OFFSET(EN$21,0,0,$E$16+1,1),EQ39)</f>
        <v>#N/A</v>
      </c>
      <c r="ES39" s="49" t="e" cm="1">
        <f t="array" aca="1" ref="ES39" ca="1">INDEX(OFFSET($E$21,0,0,$E$16+1,1),EQ39)</f>
        <v>#N/A</v>
      </c>
      <c r="ET39" s="80" t="e" cm="1">
        <f t="array" aca="1" ref="ET39" ca="1">IF(ES39="G",5,INDEX(OFFSET($F$21,0,0,$E$16+1,1),EQ39))</f>
        <v>#N/A</v>
      </c>
      <c r="EU39" s="80" t="e" cm="1">
        <f t="array" aca="1" ref="EU39" ca="1">IF(ER39=0,0,IF(ES39="G",-1,INDEX(auto_DataFlat_Classification,ER39,$E$11)))</f>
        <v>#N/A</v>
      </c>
      <c r="EV39" s="301" t="e" cm="1">
        <f t="array" aca="1" ref="EV39" ca="1">IF(EU39&lt;0,"",INDEX(uxbGlobals!$B$133:$B$139,EU39))</f>
        <v>#N/A</v>
      </c>
      <c r="EW39" s="80"/>
      <c r="EX39" s="302" t="e" cm="1">
        <f t="array" aca="1" ref="EX39" ca="1">IF(ET39=0,"",IF(ES39="G","--",INDEX(auto_DataFlat_Rank,ER39,$E$11)))</f>
        <v>#N/A</v>
      </c>
      <c r="EY39" s="122" t="e" cm="1">
        <f t="array" aca="1" ref="EY39" ca="1">IF(ET39=0,"",IF(ES39="G","AVERAGE",INDEX(auto_ddCountry,ES39)))</f>
        <v>#N/A</v>
      </c>
      <c r="EZ39" s="290" t="e" cm="1">
        <f t="array" aca="1" ref="EZ39" ca="1">IF(ET39=0,"",INDEX(auto_DataFlat_Score,ER39,$E$11))</f>
        <v>#N/A</v>
      </c>
    </row>
    <row r="40" spans="1:156" ht="17.149999999999999" customHeight="1" x14ac:dyDescent="0.4">
      <c r="A40" s="4"/>
      <c r="B40" s="4"/>
      <c r="C40" s="4"/>
      <c r="D40" s="26">
        <v>20</v>
      </c>
      <c r="E40" s="49">
        <f>tblCountries!M21</f>
        <v>19</v>
      </c>
      <c r="F40" s="114" cm="1">
        <f t="array" ref="F40">IF(E40=0,0,INDEX(auto_Country_Status,E40))</f>
        <v>1</v>
      </c>
      <c r="G40" s="4"/>
      <c r="H40" s="49">
        <f t="shared" si="31"/>
        <v>1</v>
      </c>
      <c r="I40" s="49" cm="1">
        <f t="array" ref="I40">IF($F40=0,0,INDEX(sys_DataFlat_LU_Grid,H40,$E40))</f>
        <v>19</v>
      </c>
      <c r="J40" s="49" cm="1">
        <f t="array" ref="J40">IF($F40=0,-1000,CHOOSE($E$14,INDEX(auto_DataFlat_Score,I40,$E$11),-INDEX(auto_DataFlat_Score,I40,$E$11),-$D40))</f>
        <v>71.7</v>
      </c>
      <c r="K40" s="91">
        <f ca="1">RANK(J40,OFFSET(J$21,0,0,$E$16+1,1))+COUNTIF(J$21:J40,J40)-1</f>
        <v>15</v>
      </c>
      <c r="L40" s="91">
        <f t="shared" ca="1" si="48"/>
        <v>6</v>
      </c>
      <c r="M40" s="91" cm="1">
        <f t="array" aca="1" ref="M40" ca="1">INDEX(OFFSET(I$21,0,0,$E$16+1,1),L40)</f>
        <v>5</v>
      </c>
      <c r="N40" s="49" cm="1">
        <f t="array" aca="1" ref="N40" ca="1">INDEX(OFFSET($E$21,0,0,$E$16+1,1),L40)</f>
        <v>5</v>
      </c>
      <c r="O40" s="80" cm="1">
        <f t="array" aca="1" ref="O40" ca="1">IF(N40="G",5,INDEX(OFFSET($F$21,0,0,$E$16+1,1),L40))</f>
        <v>1</v>
      </c>
      <c r="P40" s="80" cm="1">
        <f t="array" aca="1" ref="P40" ca="1">IF(M40=0,0,IF(N40="G",-1,INDEX(auto_DataFlat_Classification,M40,$E$11)))</f>
        <v>4</v>
      </c>
      <c r="Q40" s="301" t="str" cm="1">
        <f t="array" aca="1" ref="Q40" ca="1">IF(P40&lt;0,"",INDEX(uxbGlobals!$B$133:$B$139,P40))</f>
        <v xml:space="preserve"> </v>
      </c>
      <c r="R40" s="80"/>
      <c r="S40" s="302" t="str" cm="1">
        <f t="array" aca="1" ref="S40" ca="1">IF(O40=0,"",IF(N40="G","--",INDEX(auto_DataFlat_Rank,M40,$E$11)))</f>
        <v>20</v>
      </c>
      <c r="T40" s="122" t="str" cm="1">
        <f t="array" aca="1" ref="T40" ca="1">IF(O40=0,"",IF(N40="G"," AVERAGE",INDEX(auto_ddCountry,N40)))</f>
        <v>Bangkok</v>
      </c>
      <c r="U40" s="290" cm="1">
        <f t="array" aca="1" ref="U40" ca="1">IF(O40=0,"",INDEX(auto_DataFlat_Score,M40,$E$11))</f>
        <v>68.8</v>
      </c>
      <c r="V40" s="4"/>
      <c r="W40" s="49">
        <f t="shared" si="33"/>
        <v>2</v>
      </c>
      <c r="X40" s="49" cm="1">
        <f t="array" ref="X40">IF($F40=0,0,INDEX(sys_DataFlat_LU_Grid,W40,$E40))</f>
        <v>79</v>
      </c>
      <c r="Y40" s="49" cm="1">
        <f t="array" ref="Y40">IF($F40=0,-1000,CHOOSE($E$14,INDEX(auto_DataFlat_Score,X40,$E$11),-INDEX(auto_DataFlat_Score,X40,$E$11),-$D40))</f>
        <v>77.8</v>
      </c>
      <c r="Z40" s="91">
        <f ca="1">RANK(Y40,OFFSET(Y$21,0,0,$E$16+1,1))+COUNTIF(Y$21:Y40,Y40)-1</f>
        <v>23</v>
      </c>
      <c r="AA40" s="91">
        <f t="shared" ca="1" si="49"/>
        <v>19</v>
      </c>
      <c r="AB40" s="91" cm="1">
        <f t="array" aca="1" ref="AB40" ca="1">INDEX(OFFSET(X$21,0,0,$E$16+1,1),AA40)</f>
        <v>78</v>
      </c>
      <c r="AC40" s="49" cm="1">
        <f t="array" aca="1" ref="AC40" ca="1">INDEX(OFFSET($E$21,0,0,$E$16+1,1),AA40)</f>
        <v>18</v>
      </c>
      <c r="AD40" s="80" cm="1">
        <f t="array" aca="1" ref="AD40" ca="1">IF(AC40="G",5,INDEX(OFFSET($F$21,0,0,$E$16+1,1),AA40))</f>
        <v>1</v>
      </c>
      <c r="AE40" s="80" cm="1">
        <f t="array" aca="1" ref="AE40" ca="1">IF(AB40=0,0,IF(AC40="G",-1,INDEX(auto_DataFlat_Classification,AB40,$E$11)))</f>
        <v>5</v>
      </c>
      <c r="AF40" s="301" t="str" cm="1">
        <f t="array" aca="1" ref="AF40" ca="1">IF(AE40&lt;0,"",INDEX(uxbGlobals!$B$133:$B$139,AE40))</f>
        <v xml:space="preserve"> </v>
      </c>
      <c r="AG40" s="80"/>
      <c r="AH40" s="302" t="str" cm="1">
        <f t="array" aca="1" ref="AH40" ca="1">IF(AD40=0,"",IF(AC40="G","--",INDEX(auto_DataFlat_Rank,AB40,$E$11)))</f>
        <v>20</v>
      </c>
      <c r="AI40" s="122" t="str" cm="1">
        <f t="array" aca="1" ref="AI40" ca="1">IF(AD40=0,"",IF(AC40="G","AVERAGE",INDEX(auto_ddCountry,AC40)))</f>
        <v>Istanbul</v>
      </c>
      <c r="AJ40" s="290" cm="1">
        <f t="array" aca="1" ref="AJ40" ca="1">IF(AD40=0,"",INDEX(auto_DataFlat_Score,AB40,$E$11))</f>
        <v>80.599999999999994</v>
      </c>
      <c r="AK40" s="4"/>
      <c r="AL40" s="49">
        <f t="shared" si="35"/>
        <v>14</v>
      </c>
      <c r="AM40" s="49" cm="1">
        <f t="array" ref="AM40">IF($F40=0,0,INDEX(sys_DataFlat_LU_Grid,AL40,$E40))</f>
        <v>799</v>
      </c>
      <c r="AN40" s="49" cm="1">
        <f t="array" ref="AN40">IF($F40=0,-1000,CHOOSE($E$14,INDEX(auto_DataFlat_Score,AM40,$E$11),-INDEX(auto_DataFlat_Score,AM40,$E$11),-$D40))</f>
        <v>51.1</v>
      </c>
      <c r="AO40" s="91">
        <f ca="1">RANK(AN40,OFFSET(AN$21,0,0,$E$16+1,1))+COUNTIF(AN$21:AN40,AN40)-1</f>
        <v>24</v>
      </c>
      <c r="AP40" s="91">
        <f t="shared" ca="1" si="50"/>
        <v>41</v>
      </c>
      <c r="AQ40" s="91" cm="1">
        <f t="array" aca="1" ref="AQ40" ca="1">INDEX(OFFSET(AM$21,0,0,$E$16+1,1),AP40)</f>
        <v>820</v>
      </c>
      <c r="AR40" s="49" cm="1">
        <f t="array" aca="1" ref="AR40" ca="1">INDEX(OFFSET($E$21,0,0,$E$16+1,1),AP40)</f>
        <v>40</v>
      </c>
      <c r="AS40" s="80" cm="1">
        <f t="array" aca="1" ref="AS40" ca="1">IF(AR40="G",5,INDEX(OFFSET($F$21,0,0,$E$16+1,1),AP40))</f>
        <v>1</v>
      </c>
      <c r="AT40" s="80" cm="1">
        <f t="array" aca="1" ref="AT40" ca="1">IF(AQ40=0,0,IF(AR40="G",-1,INDEX(auto_DataFlat_Classification,AQ40,$E$11)))</f>
        <v>3</v>
      </c>
      <c r="AU40" s="301" t="str" cm="1">
        <f t="array" aca="1" ref="AU40" ca="1">IF(AT40&lt;0,"",INDEX(uxbGlobals!$B$133:$B$139,AT40))</f>
        <v xml:space="preserve"> </v>
      </c>
      <c r="AV40" s="80"/>
      <c r="AW40" s="302" t="str" cm="1">
        <f t="array" aca="1" ref="AW40" ca="1">IF(AS40=0,"",IF(AR40="G","--",INDEX(auto_DataFlat_Rank,AQ40,$E$11)))</f>
        <v>20</v>
      </c>
      <c r="AX40" s="122" t="str" cm="1">
        <f t="array" aca="1" ref="AX40" ca="1">IF(AS40=0,"",IF(AR40="G","AVERAGE",INDEX(auto_ddCountry,AR40)))</f>
        <v>San Francisco</v>
      </c>
      <c r="AY40" s="290" cm="1">
        <f t="array" aca="1" ref="AY40" ca="1">IF(AS40=0,"",INDEX(auto_DataFlat_Score,AQ40,$E$11))</f>
        <v>57.7</v>
      </c>
      <c r="AZ40" s="4"/>
      <c r="BA40" s="49">
        <f t="shared" si="37"/>
        <v>22</v>
      </c>
      <c r="BB40" s="49" cm="1">
        <f t="array" ref="BB40">IF($F40=0,0,INDEX(sys_DataFlat_LU_Grid,BA40,$E40))</f>
        <v>1279</v>
      </c>
      <c r="BC40" s="49" cm="1">
        <f t="array" ref="BC40">IF($F40=0,-1000,CHOOSE($E$14,INDEX(auto_DataFlat_Score,BB40,$E$11),-INDEX(auto_DataFlat_Score,BB40,$E$11),-$D40))</f>
        <v>83.3</v>
      </c>
      <c r="BD40" s="91">
        <f ca="1">RANK(BC40,OFFSET(BC$21,0,0,$E$16+1,1))+COUNTIF(BC$21:BC40,BC40)-1</f>
        <v>2</v>
      </c>
      <c r="BE40" s="91">
        <f t="shared" ca="1" si="51"/>
        <v>35</v>
      </c>
      <c r="BF40" s="91" cm="1">
        <f t="array" aca="1" ref="BF40" ca="1">INDEX(OFFSET(BB$21,0,0,$E$16+1,1),BE40)</f>
        <v>1294</v>
      </c>
      <c r="BG40" s="49" cm="1">
        <f t="array" aca="1" ref="BG40" ca="1">INDEX(OFFSET($E$21,0,0,$E$16+1,1),BE40)</f>
        <v>34</v>
      </c>
      <c r="BH40" s="80" cm="1">
        <f t="array" aca="1" ref="BH40" ca="1">IF(BG40="G",5,INDEX(OFFSET($F$21,0,0,$E$16+1,1),BE40))</f>
        <v>1</v>
      </c>
      <c r="BI40" s="80" cm="1">
        <f t="array" aca="1" ref="BI40" ca="1">IF(BF40=0,0,IF(BG40="G",-1,INDEX(auto_DataFlat_Classification,BF40,$E$11)))</f>
        <v>4</v>
      </c>
      <c r="BJ40" s="301" t="str" cm="1">
        <f t="array" aca="1" ref="BJ40" ca="1">IF(BI40&lt;0,"",INDEX(uxbGlobals!$B$133:$B$139,BI40))</f>
        <v xml:space="preserve"> </v>
      </c>
      <c r="BK40" s="80"/>
      <c r="BL40" s="302" t="str" cm="1">
        <f t="array" aca="1" ref="BL40" ca="1">IF(BH40=0,"",IF(BG40="G","--",INDEX(auto_DataFlat_Rank,BF40,$E$11)))</f>
        <v>20</v>
      </c>
      <c r="BM40" s="122" t="str" cm="1">
        <f t="array" aca="1" ref="BM40" ca="1">IF(BH40=0,"",IF(BG40="G","AVERAGE",INDEX(auto_ddCountry,BG40)))</f>
        <v>New York City</v>
      </c>
      <c r="BN40" s="290" cm="1">
        <f t="array" aca="1" ref="BN40" ca="1">IF(BH40=0,"",INDEX(auto_DataFlat_Score,BF40,$E$11))</f>
        <v>65.5</v>
      </c>
      <c r="BO40" s="4"/>
      <c r="BP40" s="49">
        <f t="shared" si="39"/>
        <v>47</v>
      </c>
      <c r="BQ40" s="49" cm="1">
        <f t="array" ref="BQ40">IF($F40=0,0,INDEX(sys_DataFlat_LU_Grid,BP40,$E40))</f>
        <v>2779</v>
      </c>
      <c r="BR40" s="49" cm="1">
        <f t="array" ref="BR40">IF($F40=0,-1000,CHOOSE($E$14,INDEX(auto_DataFlat_Score,BQ40,$E$11),-INDEX(auto_DataFlat_Score,BQ40,$E$11),-$D40))</f>
        <v>40.6</v>
      </c>
      <c r="BS40" s="91">
        <f ca="1">RANK(BR40,OFFSET(BR$21,0,0,$E$16+1,1))+COUNTIF(BR$21:BR40,BR40)-1</f>
        <v>46</v>
      </c>
      <c r="BT40" s="91">
        <f t="shared" ca="1" si="52"/>
        <v>31</v>
      </c>
      <c r="BU40" s="91" cm="1">
        <f t="array" aca="1" ref="BU40" ca="1">INDEX(OFFSET(BQ$21,0,0,$E$16+1,1),BT40)</f>
        <v>2790</v>
      </c>
      <c r="BV40" s="49" cm="1">
        <f t="array" aca="1" ref="BV40" ca="1">INDEX(OFFSET($E$21,0,0,$E$16+1,1),BT40)</f>
        <v>30</v>
      </c>
      <c r="BW40" s="80" cm="1">
        <f t="array" aca="1" ref="BW40" ca="1">IF(BV40="G",5,INDEX(OFFSET($F$21,0,0,$E$16+1,1),BT40))</f>
        <v>1</v>
      </c>
      <c r="BX40" s="80" cm="1">
        <f t="array" aca="1" ref="BX40" ca="1">IF(BU40=0,0,IF(BV40="G",-1,INDEX(auto_DataFlat_Classification,BU40,$E$11)))</f>
        <v>4</v>
      </c>
      <c r="BY40" s="301" t="str" cm="1">
        <f t="array" aca="1" ref="BY40" ca="1">IF(BX40&lt;0,"",INDEX(uxbGlobals!$B$133:$B$139,BX40))</f>
        <v xml:space="preserve"> </v>
      </c>
      <c r="BZ40" s="80"/>
      <c r="CA40" s="302" t="str" cm="1">
        <f t="array" aca="1" ref="CA40" ca="1">IF(BW40=0,"",IF(BV40="G","--",INDEX(auto_DataFlat_Rank,BU40,$E$11)))</f>
        <v>20</v>
      </c>
      <c r="CB40" s="122" t="str" cm="1">
        <f t="array" aca="1" ref="CB40" ca="1">IF(BW40=0,"",IF(BV40="G","AVERAGE",INDEX(auto_ddCountry,BV40)))</f>
        <v>Mexico City</v>
      </c>
      <c r="CC40" s="290" cm="1">
        <f t="array" aca="1" ref="CC40" ca="1">IF(BW40=0,"",INDEX(auto_DataFlat_Score,BU40,$E$11))</f>
        <v>77.599999999999994</v>
      </c>
      <c r="CD40" s="4"/>
      <c r="CE40" s="49">
        <f t="shared" si="41"/>
        <v>52</v>
      </c>
      <c r="CF40" s="49" cm="1">
        <f t="array" ref="CF40">IF($F40=0,0,INDEX(sys_DataFlat_LU_Grid,CE40,$E40))</f>
        <v>3079</v>
      </c>
      <c r="CG40" s="49" cm="1">
        <f t="array" ref="CG40">IF($F40=0,-1000,CHOOSE($E$14,INDEX(auto_DataFlat_Score,CF40,$E$11),-INDEX(auto_DataFlat_Score,CF40,$E$11),-$D40))</f>
        <v>83.3</v>
      </c>
      <c r="CH40" s="91">
        <f ca="1">RANK(CG40,OFFSET(CG$21,0,0,$E$16+1,1))+COUNTIF(CG$21:CG40,CG40)-1</f>
        <v>5</v>
      </c>
      <c r="CI40" s="91">
        <f t="shared" ca="1" si="53"/>
        <v>45</v>
      </c>
      <c r="CJ40" s="91" cm="1">
        <f t="array" aca="1" ref="CJ40" ca="1">INDEX(OFFSET(CF$21,0,0,$E$16+1,1),CI40)</f>
        <v>3104</v>
      </c>
      <c r="CK40" s="49" cm="1">
        <f t="array" aca="1" ref="CK40" ca="1">INDEX(OFFSET($E$21,0,0,$E$16+1,1),CI40)</f>
        <v>44</v>
      </c>
      <c r="CL40" s="80" cm="1">
        <f t="array" aca="1" ref="CL40" ca="1">IF(CK40="G",5,INDEX(OFFSET($F$21,0,0,$E$16+1,1),CI40))</f>
        <v>1</v>
      </c>
      <c r="CM40" s="80" cm="1">
        <f t="array" aca="1" ref="CM40" ca="1">IF(CJ40=0,0,IF(CK40="G",-1,INDEX(auto_DataFlat_Classification,CJ40,$E$11)))</f>
        <v>4</v>
      </c>
      <c r="CN40" s="301" t="str" cm="1">
        <f t="array" aca="1" ref="CN40" ca="1">IF(CM40&lt;0,"",INDEX(uxbGlobals!$B$133:$B$139,CM40))</f>
        <v xml:space="preserve"> </v>
      </c>
      <c r="CO40" s="80"/>
      <c r="CP40" s="302" t="str" cm="1">
        <f t="array" aca="1" ref="CP40" ca="1">IF(CL40=0,"",IF(CK40="G","--",INDEX(auto_DataFlat_Rank,CJ40,$E$11)))</f>
        <v>=16</v>
      </c>
      <c r="CQ40" s="122" t="str" cm="1">
        <f t="array" aca="1" ref="CQ40" ca="1">IF(CL40=0,"",IF(CK40="G","AVERAGE",INDEX(auto_ddCountry,CK40)))</f>
        <v>Singapore</v>
      </c>
      <c r="CR40" s="290" cm="1">
        <f t="array" aca="1" ref="CR40" ca="1">IF(CL40=0,"",INDEX(auto_DataFlat_Score,CJ40,$E$11))</f>
        <v>75.900000000000006</v>
      </c>
      <c r="CS40" s="4"/>
      <c r="CT40" s="49">
        <f t="shared" si="43"/>
        <v>-1</v>
      </c>
      <c r="CU40" s="49" t="e" cm="1">
        <f t="array" ref="CU40">IF($F40=0,0,INDEX(sys_DataFlat_LU_Grid,CT40,$E40))</f>
        <v>#VALUE!</v>
      </c>
      <c r="CV40" s="49" t="e" cm="1">
        <f t="array" ref="CV40">IF($F40=0,-1000,CHOOSE($E$14,INDEX(auto_DataFlat_Score,CU40,$E$11),-INDEX(auto_DataFlat_Score,CU40,$E$11),-$D40))</f>
        <v>#VALUE!</v>
      </c>
      <c r="CW40" s="91" t="e">
        <f ca="1">RANK(CV40,OFFSET(CV$21,0,0,$E$16+1,1))+COUNTIF(CV$21:CV40,CV40)-1</f>
        <v>#VALUE!</v>
      </c>
      <c r="CX40" s="91" t="e">
        <f t="shared" ca="1" si="47"/>
        <v>#N/A</v>
      </c>
      <c r="CY40" s="91" t="e" cm="1">
        <f t="array" aca="1" ref="CY40" ca="1">INDEX(OFFSET(CU$21,0,0,$E$16+1,1),CX40)</f>
        <v>#N/A</v>
      </c>
      <c r="CZ40" s="49" t="e" cm="1">
        <f t="array" aca="1" ref="CZ40" ca="1">INDEX(OFFSET($E$21,0,0,$E$16+1,1),CX40)</f>
        <v>#N/A</v>
      </c>
      <c r="DA40" s="80" t="e" cm="1">
        <f t="array" aca="1" ref="DA40" ca="1">IF(CZ40="G",5,INDEX(OFFSET($F$21,0,0,$E$16+1,1),CX40))</f>
        <v>#N/A</v>
      </c>
      <c r="DB40" s="80" t="e" cm="1">
        <f t="array" aca="1" ref="DB40" ca="1">IF(CY40=0,0,IF(CZ40="G",-1,INDEX(auto_DataFlat_Classification,CY40,$E$11)))</f>
        <v>#N/A</v>
      </c>
      <c r="DC40" s="301" t="e" cm="1">
        <f t="array" aca="1" ref="DC40" ca="1">IF(DB40&lt;0,"",INDEX(uxbGlobals!$B$133:$B$139,DB40))</f>
        <v>#N/A</v>
      </c>
      <c r="DD40" s="80"/>
      <c r="DE40" s="302" t="e" cm="1">
        <f t="array" aca="1" ref="DE40" ca="1">IF(DA40=0,"",IF(CZ40="G","--",INDEX(auto_DataFlat_Rank,CY40,$E$11)))</f>
        <v>#N/A</v>
      </c>
      <c r="DF40" s="122" t="e" cm="1">
        <f t="array" aca="1" ref="DF40" ca="1">IF(DA40=0,"",IF(CZ40="G","AVERAGE",INDEX(auto_ddCountry,CZ40)))</f>
        <v>#N/A</v>
      </c>
      <c r="DG40" s="290" t="e" cm="1">
        <f t="array" aca="1" ref="DG40" ca="1">IF(DA40=0,"",INDEX(auto_DataFlat_Score,CY40,$E$11))</f>
        <v>#N/A</v>
      </c>
      <c r="DH40" s="4"/>
      <c r="DI40" s="49">
        <f t="shared" si="44"/>
        <v>-1</v>
      </c>
      <c r="DJ40" s="49" t="e" cm="1">
        <f t="array" ref="DJ40">IF($F40=0,0,INDEX(sys_DataFlat_LU_Grid,DI40,$E40))</f>
        <v>#VALUE!</v>
      </c>
      <c r="DK40" s="49" t="e" cm="1">
        <f t="array" ref="DK40">IF($F40=0,-1000,CHOOSE($E$14,INDEX(auto_DataFlat_Score,DJ40,$E$11),-INDEX(auto_DataFlat_Score,DJ40,$E$11),-$D40))</f>
        <v>#VALUE!</v>
      </c>
      <c r="DL40" s="91" t="e">
        <f ca="1">RANK(DK40,OFFSET(DK$21,0,0,$E$16+1,1))+COUNTIF(DK$21:DK40,DK40)-1</f>
        <v>#VALUE!</v>
      </c>
      <c r="DM40" s="91" t="e">
        <f t="shared" ca="1" si="28"/>
        <v>#N/A</v>
      </c>
      <c r="DN40" s="91" t="e" cm="1">
        <f t="array" aca="1" ref="DN40" ca="1">INDEX(OFFSET(DJ$21,0,0,$E$16+1,1),DM40)</f>
        <v>#N/A</v>
      </c>
      <c r="DO40" s="49" t="e" cm="1">
        <f t="array" aca="1" ref="DO40" ca="1">INDEX(OFFSET($E$21,0,0,$E$16+1,1),DM40)</f>
        <v>#N/A</v>
      </c>
      <c r="DP40" s="80" t="e" cm="1">
        <f t="array" aca="1" ref="DP40" ca="1">IF(DO40="G",5,INDEX(OFFSET($F$21,0,0,$E$16+1,1),DM40))</f>
        <v>#N/A</v>
      </c>
      <c r="DQ40" s="80" t="e" cm="1">
        <f t="array" aca="1" ref="DQ40" ca="1">IF(DN40=0,0,IF(DO40="G",-1,INDEX(auto_DataFlat_Classification,DN40,$E$11)))</f>
        <v>#N/A</v>
      </c>
      <c r="DR40" s="301" t="e" cm="1">
        <f t="array" aca="1" ref="DR40" ca="1">IF(DQ40&lt;0,"",INDEX(uxbGlobals!$B$133:$B$139,DQ40))</f>
        <v>#N/A</v>
      </c>
      <c r="DS40" s="80"/>
      <c r="DT40" s="302" t="e" cm="1">
        <f t="array" aca="1" ref="DT40" ca="1">IF(DP40=0,"",IF(DO40="G","--",INDEX(auto_DataFlat_Rank,DN40,$E$11)))</f>
        <v>#N/A</v>
      </c>
      <c r="DU40" s="122" t="e" cm="1">
        <f t="array" aca="1" ref="DU40" ca="1">IF(DP40=0,"",IF(DO40="G","AVERAGE",INDEX(auto_ddCountry,DO40)))</f>
        <v>#N/A</v>
      </c>
      <c r="DV40" s="290" t="e" cm="1">
        <f t="array" aca="1" ref="DV40" ca="1">IF(DP40=0,"",INDEX(auto_DataFlat_Score,DN40,$E$11))</f>
        <v>#N/A</v>
      </c>
      <c r="DW40" s="4"/>
      <c r="DX40" s="49">
        <f t="shared" si="45"/>
        <v>-1</v>
      </c>
      <c r="DY40" s="49" t="e" cm="1">
        <f t="array" ref="DY40">IF($F40=0,0,INDEX(sys_DataFlat_LU_Grid,DX40,$E40))</f>
        <v>#VALUE!</v>
      </c>
      <c r="DZ40" s="49" t="e" cm="1">
        <f t="array" ref="DZ40">IF($F40=0,-1000,CHOOSE($E$14,INDEX(auto_DataFlat_Score,DY40,$E$11),-INDEX(auto_DataFlat_Score,DY40,$E$11),-$D40))</f>
        <v>#VALUE!</v>
      </c>
      <c r="EA40" s="91" t="e">
        <f ca="1">RANK(DZ40,OFFSET(DZ$21,0,0,$E$16+1,1))+COUNTIF(DZ$21:DZ40,DZ40)-1</f>
        <v>#VALUE!</v>
      </c>
      <c r="EB40" s="91" t="e">
        <f t="shared" ca="1" si="29"/>
        <v>#N/A</v>
      </c>
      <c r="EC40" s="91" t="e" cm="1">
        <f t="array" aca="1" ref="EC40" ca="1">INDEX(OFFSET(DY$21,0,0,$E$16+1,1),EB40)</f>
        <v>#N/A</v>
      </c>
      <c r="ED40" s="49" t="e" cm="1">
        <f t="array" aca="1" ref="ED40" ca="1">INDEX(OFFSET($E$21,0,0,$E$16+1,1),EB40)</f>
        <v>#N/A</v>
      </c>
      <c r="EE40" s="80" t="e" cm="1">
        <f t="array" aca="1" ref="EE40" ca="1">IF(ED40="G",5,INDEX(OFFSET($F$21,0,0,$E$16+1,1),EB40))</f>
        <v>#N/A</v>
      </c>
      <c r="EF40" s="80" t="e" cm="1">
        <f t="array" aca="1" ref="EF40" ca="1">IF(EC40=0,0,IF(ED40="G",-1,INDEX(auto_DataFlat_Classification,EC40,$E$11)))</f>
        <v>#N/A</v>
      </c>
      <c r="EG40" s="301" t="e" cm="1">
        <f t="array" aca="1" ref="EG40" ca="1">IF(EF40&lt;0,"",INDEX(uxbGlobals!$B$133:$B$139,EF40))</f>
        <v>#N/A</v>
      </c>
      <c r="EH40" s="80"/>
      <c r="EI40" s="302" t="e" cm="1">
        <f t="array" aca="1" ref="EI40" ca="1">IF(EE40=0,"",IF(ED40="G","--",INDEX(auto_DataFlat_Rank,EC40,$E$11)))</f>
        <v>#N/A</v>
      </c>
      <c r="EJ40" s="122" t="e" cm="1">
        <f t="array" aca="1" ref="EJ40" ca="1">IF(EE40=0,"",IF(ED40="G","AVERAGE",INDEX(auto_ddCountry,ED40)))</f>
        <v>#N/A</v>
      </c>
      <c r="EK40" s="290" t="e" cm="1">
        <f t="array" aca="1" ref="EK40" ca="1">IF(EE40=0,"",INDEX(auto_DataFlat_Score,EC40,$E$11))</f>
        <v>#N/A</v>
      </c>
      <c r="EL40" s="4"/>
      <c r="EM40" s="49">
        <f t="shared" si="46"/>
        <v>-1</v>
      </c>
      <c r="EN40" s="49" t="e" cm="1">
        <f t="array" ref="EN40">IF($F40=0,0,INDEX(sys_DataFlat_LU_Grid,EM40,$E40))</f>
        <v>#VALUE!</v>
      </c>
      <c r="EO40" s="49" t="e" cm="1">
        <f t="array" ref="EO40">IF($F40=0,-1000,CHOOSE($E$14,INDEX(auto_DataFlat_Score,EN40,$E$11),-INDEX(auto_DataFlat_Score,EN40,$E$11),-$D40))</f>
        <v>#VALUE!</v>
      </c>
      <c r="EP40" s="91" t="e">
        <f ca="1">RANK(EO40,OFFSET(EO$21,0,0,$E$16+1,1))+COUNTIF(EO$21:EO40,EO40)-1</f>
        <v>#VALUE!</v>
      </c>
      <c r="EQ40" s="91" t="e">
        <f t="shared" ca="1" si="30"/>
        <v>#N/A</v>
      </c>
      <c r="ER40" s="91" t="e" cm="1">
        <f t="array" aca="1" ref="ER40" ca="1">INDEX(OFFSET(EN$21,0,0,$E$16+1,1),EQ40)</f>
        <v>#N/A</v>
      </c>
      <c r="ES40" s="49" t="e" cm="1">
        <f t="array" aca="1" ref="ES40" ca="1">INDEX(OFFSET($E$21,0,0,$E$16+1,1),EQ40)</f>
        <v>#N/A</v>
      </c>
      <c r="ET40" s="80" t="e" cm="1">
        <f t="array" aca="1" ref="ET40" ca="1">IF(ES40="G",5,INDEX(OFFSET($F$21,0,0,$E$16+1,1),EQ40))</f>
        <v>#N/A</v>
      </c>
      <c r="EU40" s="80" t="e" cm="1">
        <f t="array" aca="1" ref="EU40" ca="1">IF(ER40=0,0,IF(ES40="G",-1,INDEX(auto_DataFlat_Classification,ER40,$E$11)))</f>
        <v>#N/A</v>
      </c>
      <c r="EV40" s="301" t="e" cm="1">
        <f t="array" aca="1" ref="EV40" ca="1">IF(EU40&lt;0,"",INDEX(uxbGlobals!$B$133:$B$139,EU40))</f>
        <v>#N/A</v>
      </c>
      <c r="EW40" s="80"/>
      <c r="EX40" s="302" t="e" cm="1">
        <f t="array" aca="1" ref="EX40" ca="1">IF(ET40=0,"",IF(ES40="G","--",INDEX(auto_DataFlat_Rank,ER40,$E$11)))</f>
        <v>#N/A</v>
      </c>
      <c r="EY40" s="122" t="e" cm="1">
        <f t="array" aca="1" ref="EY40" ca="1">IF(ET40=0,"",IF(ES40="G","AVERAGE",INDEX(auto_ddCountry,ES40)))</f>
        <v>#N/A</v>
      </c>
      <c r="EZ40" s="290" t="e" cm="1">
        <f t="array" aca="1" ref="EZ40" ca="1">IF(ET40=0,"",INDEX(auto_DataFlat_Score,ER40,$E$11))</f>
        <v>#N/A</v>
      </c>
    </row>
    <row r="41" spans="1:156" ht="17.149999999999999" customHeight="1" x14ac:dyDescent="0.4">
      <c r="A41" s="4"/>
      <c r="B41" s="4"/>
      <c r="C41" s="4"/>
      <c r="D41" s="26">
        <v>21</v>
      </c>
      <c r="E41" s="49">
        <f>tblCountries!M22</f>
        <v>20</v>
      </c>
      <c r="F41" s="114" cm="1">
        <f t="array" ref="F41">IF(E41=0,0,INDEX(auto_Country_Status,E41))</f>
        <v>1</v>
      </c>
      <c r="G41" s="4"/>
      <c r="H41" s="49">
        <f t="shared" si="31"/>
        <v>1</v>
      </c>
      <c r="I41" s="49" cm="1">
        <f t="array" ref="I41">IF($F41=0,0,INDEX(sys_DataFlat_LU_Grid,H41,$E41))</f>
        <v>20</v>
      </c>
      <c r="J41" s="49" cm="1">
        <f t="array" ref="J41">IF($F41=0,-1000,CHOOSE($E$14,INDEX(auto_DataFlat_Score,I41,$E$11),-INDEX(auto_DataFlat_Score,I41,$E$11),-$D41))</f>
        <v>52.5</v>
      </c>
      <c r="K41" s="91">
        <f ca="1">RANK(J41,OFFSET(J$21,0,0,$E$16+1,1))+COUNTIF(J$21:J41,J41)-1</f>
        <v>36</v>
      </c>
      <c r="L41" s="91">
        <f t="shared" ca="1" si="48"/>
        <v>42</v>
      </c>
      <c r="M41" s="91" cm="1">
        <f t="array" aca="1" ref="M41" ca="1">INDEX(OFFSET(I$21,0,0,$E$16+1,1),L41)</f>
        <v>41</v>
      </c>
      <c r="N41" s="49" cm="1">
        <f t="array" aca="1" ref="N41" ca="1">INDEX(OFFSET($E$21,0,0,$E$16+1,1),L41)</f>
        <v>41</v>
      </c>
      <c r="O41" s="80" cm="1">
        <f t="array" aca="1" ref="O41" ca="1">IF(N41="G",5,INDEX(OFFSET($F$21,0,0,$E$16+1,1),L41))</f>
        <v>1</v>
      </c>
      <c r="P41" s="80" cm="1">
        <f t="array" aca="1" ref="P41" ca="1">IF(M41=0,0,IF(N41="G",-1,INDEX(auto_DataFlat_Classification,M41,$E$11)))</f>
        <v>4</v>
      </c>
      <c r="Q41" s="301" t="str" cm="1">
        <f t="array" aca="1" ref="Q41" ca="1">IF(P41&lt;0,"",INDEX(uxbGlobals!$B$133:$B$139,P41))</f>
        <v xml:space="preserve"> </v>
      </c>
      <c r="R41" s="80"/>
      <c r="S41" s="302" t="str" cm="1">
        <f t="array" aca="1" ref="S41" ca="1">IF(O41=0,"",IF(N41="G","--",INDEX(auto_DataFlat_Rank,M41,$E$11)))</f>
        <v>21</v>
      </c>
      <c r="T41" s="122" t="str" cm="1">
        <f t="array" aca="1" ref="T41" ca="1">IF(O41=0,"",IF(N41="G"," AVERAGE",INDEX(auto_ddCountry,N41)))</f>
        <v>São Paulo</v>
      </c>
      <c r="U41" s="290" cm="1">
        <f t="array" aca="1" ref="U41" ca="1">IF(O41=0,"",INDEX(auto_DataFlat_Score,M41,$E$11))</f>
        <v>67.099999999999994</v>
      </c>
      <c r="V41" s="4"/>
      <c r="W41" s="49">
        <f t="shared" si="33"/>
        <v>2</v>
      </c>
      <c r="X41" s="49" cm="1">
        <f t="array" ref="X41">IF($F41=0,0,INDEX(sys_DataFlat_LU_Grid,W41,$E41))</f>
        <v>80</v>
      </c>
      <c r="Y41" s="49" cm="1">
        <f t="array" ref="Y41">IF($F41=0,-1000,CHOOSE($E$14,INDEX(auto_DataFlat_Score,X41,$E$11),-INDEX(auto_DataFlat_Score,X41,$E$11),-$D41))</f>
        <v>80.099999999999994</v>
      </c>
      <c r="Z41" s="91">
        <f ca="1">RANK(Y41,OFFSET(Y$21,0,0,$E$16+1,1))+COUNTIF(Y$21:Y41,Y41)-1</f>
        <v>21</v>
      </c>
      <c r="AA41" s="91">
        <f t="shared" ca="1" si="49"/>
        <v>21</v>
      </c>
      <c r="AB41" s="91" cm="1">
        <f t="array" aca="1" ref="AB41" ca="1">INDEX(OFFSET(X$21,0,0,$E$16+1,1),AA41)</f>
        <v>80</v>
      </c>
      <c r="AC41" s="49" cm="1">
        <f t="array" aca="1" ref="AC41" ca="1">INDEX(OFFSET($E$21,0,0,$E$16+1,1),AA41)</f>
        <v>20</v>
      </c>
      <c r="AD41" s="80" cm="1">
        <f t="array" aca="1" ref="AD41" ca="1">IF(AC41="G",5,INDEX(OFFSET($F$21,0,0,$E$16+1,1),AA41))</f>
        <v>1</v>
      </c>
      <c r="AE41" s="80" cm="1">
        <f t="array" aca="1" ref="AE41" ca="1">IF(AB41=0,0,IF(AC41="G",-1,INDEX(auto_DataFlat_Classification,AB41,$E$11)))</f>
        <v>5</v>
      </c>
      <c r="AF41" s="301" t="str" cm="1">
        <f t="array" aca="1" ref="AF41" ca="1">IF(AE41&lt;0,"",INDEX(uxbGlobals!$B$133:$B$139,AE41))</f>
        <v xml:space="preserve"> </v>
      </c>
      <c r="AG41" s="80"/>
      <c r="AH41" s="302" t="str" cm="1">
        <f t="array" aca="1" ref="AH41" ca="1">IF(AD41=0,"",IF(AC41="G","--",INDEX(auto_DataFlat_Rank,AB41,$E$11)))</f>
        <v>21</v>
      </c>
      <c r="AI41" s="122" t="str" cm="1">
        <f t="array" aca="1" ref="AI41" ca="1">IF(AD41=0,"",IF(AC41="G","AVERAGE",INDEX(auto_ddCountry,AC41)))</f>
        <v>Johannesburg</v>
      </c>
      <c r="AJ41" s="290" cm="1">
        <f t="array" aca="1" ref="AJ41" ca="1">IF(AD41=0,"",INDEX(auto_DataFlat_Score,AB41,$E$11))</f>
        <v>80.099999999999994</v>
      </c>
      <c r="AK41" s="4"/>
      <c r="AL41" s="49">
        <f t="shared" si="35"/>
        <v>14</v>
      </c>
      <c r="AM41" s="49" cm="1">
        <f t="array" ref="AM41">IF($F41=0,0,INDEX(sys_DataFlat_LU_Grid,AL41,$E41))</f>
        <v>800</v>
      </c>
      <c r="AN41" s="49" cm="1">
        <f t="array" ref="AN41">IF($F41=0,-1000,CHOOSE($E$14,INDEX(auto_DataFlat_Score,AM41,$E$11),-INDEX(auto_DataFlat_Score,AM41,$E$11),-$D41))</f>
        <v>34.200000000000003</v>
      </c>
      <c r="AO41" s="91">
        <f ca="1">RANK(AN41,OFFSET(AN$21,0,0,$E$16+1,1))+COUNTIF(AN$21:AN41,AN41)-1</f>
        <v>39</v>
      </c>
      <c r="AP41" s="91">
        <f t="shared" ca="1" si="50"/>
        <v>31</v>
      </c>
      <c r="AQ41" s="91" cm="1">
        <f t="array" aca="1" ref="AQ41" ca="1">INDEX(OFFSET(AM$21,0,0,$E$16+1,1),AP41)</f>
        <v>810</v>
      </c>
      <c r="AR41" s="49" cm="1">
        <f t="array" aca="1" ref="AR41" ca="1">INDEX(OFFSET($E$21,0,0,$E$16+1,1),AP41)</f>
        <v>30</v>
      </c>
      <c r="AS41" s="80" cm="1">
        <f t="array" aca="1" ref="AS41" ca="1">IF(AR41="G",5,INDEX(OFFSET($F$21,0,0,$E$16+1,1),AP41))</f>
        <v>1</v>
      </c>
      <c r="AT41" s="80" cm="1">
        <f t="array" aca="1" ref="AT41" ca="1">IF(AQ41=0,0,IF(AR41="G",-1,INDEX(auto_DataFlat_Classification,AQ41,$E$11)))</f>
        <v>3</v>
      </c>
      <c r="AU41" s="301" t="str" cm="1">
        <f t="array" aca="1" ref="AU41" ca="1">IF(AT41&lt;0,"",INDEX(uxbGlobals!$B$133:$B$139,AT41))</f>
        <v xml:space="preserve"> </v>
      </c>
      <c r="AV41" s="80"/>
      <c r="AW41" s="302" t="str" cm="1">
        <f t="array" aca="1" ref="AW41" ca="1">IF(AS41=0,"",IF(AR41="G","--",INDEX(auto_DataFlat_Rank,AQ41,$E$11)))</f>
        <v>21</v>
      </c>
      <c r="AX41" s="122" t="str" cm="1">
        <f t="array" aca="1" ref="AX41" ca="1">IF(AS41=0,"",IF(AR41="G","AVERAGE",INDEX(auto_ddCountry,AR41)))</f>
        <v>Mexico City</v>
      </c>
      <c r="AY41" s="290" cm="1">
        <f t="array" aca="1" ref="AY41" ca="1">IF(AS41=0,"",INDEX(auto_DataFlat_Score,AQ41,$E$11))</f>
        <v>54.9</v>
      </c>
      <c r="AZ41" s="4"/>
      <c r="BA41" s="49">
        <f t="shared" si="37"/>
        <v>22</v>
      </c>
      <c r="BB41" s="49" cm="1">
        <f t="array" ref="BB41">IF($F41=0,0,INDEX(sys_DataFlat_LU_Grid,BA41,$E41))</f>
        <v>1280</v>
      </c>
      <c r="BC41" s="49" cm="1">
        <f t="array" ref="BC41">IF($F41=0,-1000,CHOOSE($E$14,INDEX(auto_DataFlat_Score,BB41,$E$11),-INDEX(auto_DataFlat_Score,BB41,$E$11),-$D41))</f>
        <v>45.6</v>
      </c>
      <c r="BD41" s="91">
        <f ca="1">RANK(BC41,OFFSET(BC$21,0,0,$E$16+1,1))+COUNTIF(BC$21:BC41,BC41)-1</f>
        <v>36</v>
      </c>
      <c r="BE41" s="91">
        <f t="shared" ca="1" si="51"/>
        <v>38</v>
      </c>
      <c r="BF41" s="91" cm="1">
        <f t="array" aca="1" ref="BF41" ca="1">INDEX(OFFSET(BB$21,0,0,$E$16+1,1),BE41)</f>
        <v>1297</v>
      </c>
      <c r="BG41" s="49" cm="1">
        <f t="array" aca="1" ref="BG41" ca="1">INDEX(OFFSET($E$21,0,0,$E$16+1,1),BE41)</f>
        <v>37</v>
      </c>
      <c r="BH41" s="80" cm="1">
        <f t="array" aca="1" ref="BH41" ca="1">IF(BG41="G",5,INDEX(OFFSET($F$21,0,0,$E$16+1,1),BE41))</f>
        <v>1</v>
      </c>
      <c r="BI41" s="80" cm="1">
        <f t="array" aca="1" ref="BI41" ca="1">IF(BF41=0,0,IF(BG41="G",-1,INDEX(auto_DataFlat_Classification,BF41,$E$11)))</f>
        <v>4</v>
      </c>
      <c r="BJ41" s="301" t="str" cm="1">
        <f t="array" aca="1" ref="BJ41" ca="1">IF(BI41&lt;0,"",INDEX(uxbGlobals!$B$133:$B$139,BI41))</f>
        <v xml:space="preserve"> </v>
      </c>
      <c r="BK41" s="80"/>
      <c r="BL41" s="302" t="str" cm="1">
        <f t="array" aca="1" ref="BL41" ca="1">IF(BH41=0,"",IF(BG41="G","--",INDEX(auto_DataFlat_Rank,BF41,$E$11)))</f>
        <v>21</v>
      </c>
      <c r="BM41" s="122" t="str" cm="1">
        <f t="array" aca="1" ref="BM41" ca="1">IF(BH41=0,"",IF(BG41="G","AVERAGE",INDEX(auto_ddCountry,BG41)))</f>
        <v>Phnom Penh</v>
      </c>
      <c r="BN41" s="290" cm="1">
        <f t="array" aca="1" ref="BN41" ca="1">IF(BH41=0,"",INDEX(auto_DataFlat_Score,BF41,$E$11))</f>
        <v>64.099999999999994</v>
      </c>
      <c r="BO41" s="4"/>
      <c r="BP41" s="49">
        <f t="shared" si="39"/>
        <v>47</v>
      </c>
      <c r="BQ41" s="49" cm="1">
        <f t="array" ref="BQ41">IF($F41=0,0,INDEX(sys_DataFlat_LU_Grid,BP41,$E41))</f>
        <v>2780</v>
      </c>
      <c r="BR41" s="49" cm="1">
        <f t="array" ref="BR41">IF($F41=0,-1000,CHOOSE($E$14,INDEX(auto_DataFlat_Score,BQ41,$E$11),-INDEX(auto_DataFlat_Score,BQ41,$E$11),-$D41))</f>
        <v>51.9</v>
      </c>
      <c r="BS41" s="91">
        <f ca="1">RANK(BR41,OFFSET(BR$21,0,0,$E$16+1,1))+COUNTIF(BR$21:BR41,BR41)-1</f>
        <v>33</v>
      </c>
      <c r="BT41" s="91">
        <f t="shared" ca="1" si="52"/>
        <v>18</v>
      </c>
      <c r="BU41" s="91" cm="1">
        <f t="array" aca="1" ref="BU41" ca="1">INDEX(OFFSET(BQ$21,0,0,$E$16+1,1),BT41)</f>
        <v>2777</v>
      </c>
      <c r="BV41" s="49" cm="1">
        <f t="array" aca="1" ref="BV41" ca="1">INDEX(OFFSET($E$21,0,0,$E$16+1,1),BT41)</f>
        <v>17</v>
      </c>
      <c r="BW41" s="80" cm="1">
        <f t="array" aca="1" ref="BW41" ca="1">IF(BV41="G",5,INDEX(OFFSET($F$21,0,0,$E$16+1,1),BT41))</f>
        <v>1</v>
      </c>
      <c r="BX41" s="80" cm="1">
        <f t="array" aca="1" ref="BX41" ca="1">IF(BU41=0,0,IF(BV41="G",-1,INDEX(auto_DataFlat_Classification,BU41,$E$11)))</f>
        <v>4</v>
      </c>
      <c r="BY41" s="301" t="str" cm="1">
        <f t="array" aca="1" ref="BY41" ca="1">IF(BX41&lt;0,"",INDEX(uxbGlobals!$B$133:$B$139,BX41))</f>
        <v xml:space="preserve"> </v>
      </c>
      <c r="BZ41" s="80"/>
      <c r="CA41" s="302" t="str" cm="1">
        <f t="array" aca="1" ref="CA41" ca="1">IF(BW41=0,"",IF(BV41="G","--",INDEX(auto_DataFlat_Rank,BU41,$E$11)))</f>
        <v>21</v>
      </c>
      <c r="CB41" s="122" t="str" cm="1">
        <f t="array" aca="1" ref="CB41" ca="1">IF(BW41=0,"",IF(BV41="G","AVERAGE",INDEX(auto_ddCountry,BV41)))</f>
        <v>Hong Kong</v>
      </c>
      <c r="CC41" s="290" cm="1">
        <f t="array" aca="1" ref="CC41" ca="1">IF(BW41=0,"",INDEX(auto_DataFlat_Score,BU41,$E$11))</f>
        <v>76.5</v>
      </c>
      <c r="CD41" s="4"/>
      <c r="CE41" s="49">
        <f t="shared" si="41"/>
        <v>52</v>
      </c>
      <c r="CF41" s="49" cm="1">
        <f t="array" ref="CF41">IF($F41=0,0,INDEX(sys_DataFlat_LU_Grid,CE41,$E41))</f>
        <v>3080</v>
      </c>
      <c r="CG41" s="49" cm="1">
        <f t="array" ref="CG41">IF($F41=0,-1000,CHOOSE($E$14,INDEX(auto_DataFlat_Score,CF41,$E$11),-INDEX(auto_DataFlat_Score,CF41,$E$11),-$D41))</f>
        <v>53.7</v>
      </c>
      <c r="CH41" s="91">
        <f ca="1">RANK(CG41,OFFSET(CG$21,0,0,$E$16+1,1))+COUNTIF(CG$21:CG41,CG41)-1</f>
        <v>44</v>
      </c>
      <c r="CI41" s="91">
        <f t="shared" ca="1" si="53"/>
        <v>7</v>
      </c>
      <c r="CJ41" s="91" cm="1">
        <f t="array" aca="1" ref="CJ41" ca="1">INDEX(OFFSET(CF$21,0,0,$E$16+1,1),CI41)</f>
        <v>3066</v>
      </c>
      <c r="CK41" s="49" cm="1">
        <f t="array" aca="1" ref="CK41" ca="1">INDEX(OFFSET($E$21,0,0,$E$16+1,1),CI41)</f>
        <v>6</v>
      </c>
      <c r="CL41" s="80" cm="1">
        <f t="array" aca="1" ref="CL41" ca="1">IF(CK41="G",5,INDEX(OFFSET($F$21,0,0,$E$16+1,1),CI41))</f>
        <v>1</v>
      </c>
      <c r="CM41" s="80" cm="1">
        <f t="array" aca="1" ref="CM41" ca="1">IF(CJ41=0,0,IF(CK41="G",-1,INDEX(auto_DataFlat_Classification,CJ41,$E$11)))</f>
        <v>4</v>
      </c>
      <c r="CN41" s="301" t="str" cm="1">
        <f t="array" aca="1" ref="CN41" ca="1">IF(CM41&lt;0,"",INDEX(uxbGlobals!$B$133:$B$139,CM41))</f>
        <v xml:space="preserve"> </v>
      </c>
      <c r="CO41" s="80"/>
      <c r="CP41" s="302" t="str" cm="1">
        <f t="array" aca="1" ref="CP41" ca="1">IF(CL41=0,"",IF(CK41="G","--",INDEX(auto_DataFlat_Rank,CJ41,$E$11)))</f>
        <v>=21</v>
      </c>
      <c r="CQ41" s="122" t="str" cm="1">
        <f t="array" aca="1" ref="CQ41" ca="1">IF(CL41=0,"",IF(CK41="G","AVERAGE",INDEX(auto_ddCountry,CK41)))</f>
        <v>Beijing</v>
      </c>
      <c r="CR41" s="290" cm="1">
        <f t="array" aca="1" ref="CR41" ca="1">IF(CL41=0,"",INDEX(auto_DataFlat_Score,CJ41,$E$11))</f>
        <v>74.099999999999994</v>
      </c>
      <c r="CS41" s="4"/>
      <c r="CT41" s="49">
        <f t="shared" si="43"/>
        <v>-1</v>
      </c>
      <c r="CU41" s="49" t="e" cm="1">
        <f t="array" ref="CU41">IF($F41=0,0,INDEX(sys_DataFlat_LU_Grid,CT41,$E41))</f>
        <v>#VALUE!</v>
      </c>
      <c r="CV41" s="49" t="e" cm="1">
        <f t="array" ref="CV41">IF($F41=0,-1000,CHOOSE($E$14,INDEX(auto_DataFlat_Score,CU41,$E$11),-INDEX(auto_DataFlat_Score,CU41,$E$11),-$D41))</f>
        <v>#VALUE!</v>
      </c>
      <c r="CW41" s="91" t="e">
        <f ca="1">RANK(CV41,OFFSET(CV$21,0,0,$E$16+1,1))+COUNTIF(CV$21:CV41,CV41)-1</f>
        <v>#VALUE!</v>
      </c>
      <c r="CX41" s="91" t="e">
        <f t="shared" ca="1" si="47"/>
        <v>#N/A</v>
      </c>
      <c r="CY41" s="91" t="e" cm="1">
        <f t="array" aca="1" ref="CY41" ca="1">INDEX(OFFSET(CU$21,0,0,$E$16+1,1),CX41)</f>
        <v>#N/A</v>
      </c>
      <c r="CZ41" s="49" t="e" cm="1">
        <f t="array" aca="1" ref="CZ41" ca="1">INDEX(OFFSET($E$21,0,0,$E$16+1,1),CX41)</f>
        <v>#N/A</v>
      </c>
      <c r="DA41" s="80" t="e" cm="1">
        <f t="array" aca="1" ref="DA41" ca="1">IF(CZ41="G",5,INDEX(OFFSET($F$21,0,0,$E$16+1,1),CX41))</f>
        <v>#N/A</v>
      </c>
      <c r="DB41" s="80" t="e" cm="1">
        <f t="array" aca="1" ref="DB41" ca="1">IF(CY41=0,0,IF(CZ41="G",-1,INDEX(auto_DataFlat_Classification,CY41,$E$11)))</f>
        <v>#N/A</v>
      </c>
      <c r="DC41" s="301" t="e" cm="1">
        <f t="array" aca="1" ref="DC41" ca="1">IF(DB41&lt;0,"",INDEX(uxbGlobals!$B$133:$B$139,DB41))</f>
        <v>#N/A</v>
      </c>
      <c r="DD41" s="80"/>
      <c r="DE41" s="302" t="e" cm="1">
        <f t="array" aca="1" ref="DE41" ca="1">IF(DA41=0,"",IF(CZ41="G","--",INDEX(auto_DataFlat_Rank,CY41,$E$11)))</f>
        <v>#N/A</v>
      </c>
      <c r="DF41" s="122" t="e" cm="1">
        <f t="array" aca="1" ref="DF41" ca="1">IF(DA41=0,"",IF(CZ41="G","AVERAGE",INDEX(auto_ddCountry,CZ41)))</f>
        <v>#N/A</v>
      </c>
      <c r="DG41" s="290" t="e" cm="1">
        <f t="array" aca="1" ref="DG41" ca="1">IF(DA41=0,"",INDEX(auto_DataFlat_Score,CY41,$E$11))</f>
        <v>#N/A</v>
      </c>
      <c r="DH41" s="4"/>
      <c r="DI41" s="49">
        <f t="shared" si="44"/>
        <v>-1</v>
      </c>
      <c r="DJ41" s="49" t="e" cm="1">
        <f t="array" ref="DJ41">IF($F41=0,0,INDEX(sys_DataFlat_LU_Grid,DI41,$E41))</f>
        <v>#VALUE!</v>
      </c>
      <c r="DK41" s="49" t="e" cm="1">
        <f t="array" ref="DK41">IF($F41=0,-1000,CHOOSE($E$14,INDEX(auto_DataFlat_Score,DJ41,$E$11),-INDEX(auto_DataFlat_Score,DJ41,$E$11),-$D41))</f>
        <v>#VALUE!</v>
      </c>
      <c r="DL41" s="91" t="e">
        <f ca="1">RANK(DK41,OFFSET(DK$21,0,0,$E$16+1,1))+COUNTIF(DK$21:DK41,DK41)-1</f>
        <v>#VALUE!</v>
      </c>
      <c r="DM41" s="91" t="e">
        <f t="shared" ca="1" si="28"/>
        <v>#N/A</v>
      </c>
      <c r="DN41" s="91" t="e" cm="1">
        <f t="array" aca="1" ref="DN41" ca="1">INDEX(OFFSET(DJ$21,0,0,$E$16+1,1),DM41)</f>
        <v>#N/A</v>
      </c>
      <c r="DO41" s="49" t="e" cm="1">
        <f t="array" aca="1" ref="DO41" ca="1">INDEX(OFFSET($E$21,0,0,$E$16+1,1),DM41)</f>
        <v>#N/A</v>
      </c>
      <c r="DP41" s="80" t="e" cm="1">
        <f t="array" aca="1" ref="DP41" ca="1">IF(DO41="G",5,INDEX(OFFSET($F$21,0,0,$E$16+1,1),DM41))</f>
        <v>#N/A</v>
      </c>
      <c r="DQ41" s="80" t="e" cm="1">
        <f t="array" aca="1" ref="DQ41" ca="1">IF(DN41=0,0,IF(DO41="G",-1,INDEX(auto_DataFlat_Classification,DN41,$E$11)))</f>
        <v>#N/A</v>
      </c>
      <c r="DR41" s="301" t="e" cm="1">
        <f t="array" aca="1" ref="DR41" ca="1">IF(DQ41&lt;0,"",INDEX(uxbGlobals!$B$133:$B$139,DQ41))</f>
        <v>#N/A</v>
      </c>
      <c r="DS41" s="80"/>
      <c r="DT41" s="302" t="e" cm="1">
        <f t="array" aca="1" ref="DT41" ca="1">IF(DP41=0,"",IF(DO41="G","--",INDEX(auto_DataFlat_Rank,DN41,$E$11)))</f>
        <v>#N/A</v>
      </c>
      <c r="DU41" s="122" t="e" cm="1">
        <f t="array" aca="1" ref="DU41" ca="1">IF(DP41=0,"",IF(DO41="G","AVERAGE",INDEX(auto_ddCountry,DO41)))</f>
        <v>#N/A</v>
      </c>
      <c r="DV41" s="290" t="e" cm="1">
        <f t="array" aca="1" ref="DV41" ca="1">IF(DP41=0,"",INDEX(auto_DataFlat_Score,DN41,$E$11))</f>
        <v>#N/A</v>
      </c>
      <c r="DW41" s="4"/>
      <c r="DX41" s="49">
        <f t="shared" si="45"/>
        <v>-1</v>
      </c>
      <c r="DY41" s="49" t="e" cm="1">
        <f t="array" ref="DY41">IF($F41=0,0,INDEX(sys_DataFlat_LU_Grid,DX41,$E41))</f>
        <v>#VALUE!</v>
      </c>
      <c r="DZ41" s="49" t="e" cm="1">
        <f t="array" ref="DZ41">IF($F41=0,-1000,CHOOSE($E$14,INDEX(auto_DataFlat_Score,DY41,$E$11),-INDEX(auto_DataFlat_Score,DY41,$E$11),-$D41))</f>
        <v>#VALUE!</v>
      </c>
      <c r="EA41" s="91" t="e">
        <f ca="1">RANK(DZ41,OFFSET(DZ$21,0,0,$E$16+1,1))+COUNTIF(DZ$21:DZ41,DZ41)-1</f>
        <v>#VALUE!</v>
      </c>
      <c r="EB41" s="91" t="e">
        <f t="shared" ca="1" si="29"/>
        <v>#N/A</v>
      </c>
      <c r="EC41" s="91" t="e" cm="1">
        <f t="array" aca="1" ref="EC41" ca="1">INDEX(OFFSET(DY$21,0,0,$E$16+1,1),EB41)</f>
        <v>#N/A</v>
      </c>
      <c r="ED41" s="49" t="e" cm="1">
        <f t="array" aca="1" ref="ED41" ca="1">INDEX(OFFSET($E$21,0,0,$E$16+1,1),EB41)</f>
        <v>#N/A</v>
      </c>
      <c r="EE41" s="80" t="e" cm="1">
        <f t="array" aca="1" ref="EE41" ca="1">IF(ED41="G",5,INDEX(OFFSET($F$21,0,0,$E$16+1,1),EB41))</f>
        <v>#N/A</v>
      </c>
      <c r="EF41" s="80" t="e" cm="1">
        <f t="array" aca="1" ref="EF41" ca="1">IF(EC41=0,0,IF(ED41="G",-1,INDEX(auto_DataFlat_Classification,EC41,$E$11)))</f>
        <v>#N/A</v>
      </c>
      <c r="EG41" s="301" t="e" cm="1">
        <f t="array" aca="1" ref="EG41" ca="1">IF(EF41&lt;0,"",INDEX(uxbGlobals!$B$133:$B$139,EF41))</f>
        <v>#N/A</v>
      </c>
      <c r="EH41" s="80"/>
      <c r="EI41" s="302" t="e" cm="1">
        <f t="array" aca="1" ref="EI41" ca="1">IF(EE41=0,"",IF(ED41="G","--",INDEX(auto_DataFlat_Rank,EC41,$E$11)))</f>
        <v>#N/A</v>
      </c>
      <c r="EJ41" s="122" t="e" cm="1">
        <f t="array" aca="1" ref="EJ41" ca="1">IF(EE41=0,"",IF(ED41="G","AVERAGE",INDEX(auto_ddCountry,ED41)))</f>
        <v>#N/A</v>
      </c>
      <c r="EK41" s="290" t="e" cm="1">
        <f t="array" aca="1" ref="EK41" ca="1">IF(EE41=0,"",INDEX(auto_DataFlat_Score,EC41,$E$11))</f>
        <v>#N/A</v>
      </c>
      <c r="EL41" s="4"/>
      <c r="EM41" s="49">
        <f t="shared" si="46"/>
        <v>-1</v>
      </c>
      <c r="EN41" s="49" t="e" cm="1">
        <f t="array" ref="EN41">IF($F41=0,0,INDEX(sys_DataFlat_LU_Grid,EM41,$E41))</f>
        <v>#VALUE!</v>
      </c>
      <c r="EO41" s="49" t="e" cm="1">
        <f t="array" ref="EO41">IF($F41=0,-1000,CHOOSE($E$14,INDEX(auto_DataFlat_Score,EN41,$E$11),-INDEX(auto_DataFlat_Score,EN41,$E$11),-$D41))</f>
        <v>#VALUE!</v>
      </c>
      <c r="EP41" s="91" t="e">
        <f ca="1">RANK(EO41,OFFSET(EO$21,0,0,$E$16+1,1))+COUNTIF(EO$21:EO41,EO41)-1</f>
        <v>#VALUE!</v>
      </c>
      <c r="EQ41" s="91" t="e">
        <f t="shared" ca="1" si="30"/>
        <v>#N/A</v>
      </c>
      <c r="ER41" s="91" t="e" cm="1">
        <f t="array" aca="1" ref="ER41" ca="1">INDEX(OFFSET(EN$21,0,0,$E$16+1,1),EQ41)</f>
        <v>#N/A</v>
      </c>
      <c r="ES41" s="49" t="e" cm="1">
        <f t="array" aca="1" ref="ES41" ca="1">INDEX(OFFSET($E$21,0,0,$E$16+1,1),EQ41)</f>
        <v>#N/A</v>
      </c>
      <c r="ET41" s="80" t="e" cm="1">
        <f t="array" aca="1" ref="ET41" ca="1">IF(ES41="G",5,INDEX(OFFSET($F$21,0,0,$E$16+1,1),EQ41))</f>
        <v>#N/A</v>
      </c>
      <c r="EU41" s="80" t="e" cm="1">
        <f t="array" aca="1" ref="EU41" ca="1">IF(ER41=0,0,IF(ES41="G",-1,INDEX(auto_DataFlat_Classification,ER41,$E$11)))</f>
        <v>#N/A</v>
      </c>
      <c r="EV41" s="301" t="e" cm="1">
        <f t="array" aca="1" ref="EV41" ca="1">IF(EU41&lt;0,"",INDEX(uxbGlobals!$B$133:$B$139,EU41))</f>
        <v>#N/A</v>
      </c>
      <c r="EW41" s="80"/>
      <c r="EX41" s="302" t="e" cm="1">
        <f t="array" aca="1" ref="EX41" ca="1">IF(ET41=0,"",IF(ES41="G","--",INDEX(auto_DataFlat_Rank,ER41,$E$11)))</f>
        <v>#N/A</v>
      </c>
      <c r="EY41" s="122" t="e" cm="1">
        <f t="array" aca="1" ref="EY41" ca="1">IF(ET41=0,"",IF(ES41="G","AVERAGE",INDEX(auto_ddCountry,ES41)))</f>
        <v>#N/A</v>
      </c>
      <c r="EZ41" s="290" t="e" cm="1">
        <f t="array" aca="1" ref="EZ41" ca="1">IF(ET41=0,"",INDEX(auto_DataFlat_Score,ER41,$E$11))</f>
        <v>#N/A</v>
      </c>
    </row>
    <row r="42" spans="1:156" ht="17.149999999999999" customHeight="1" x14ac:dyDescent="0.4">
      <c r="A42" s="4"/>
      <c r="B42" s="4"/>
      <c r="C42" s="4"/>
      <c r="D42" s="26">
        <v>22</v>
      </c>
      <c r="E42" s="49">
        <f>tblCountries!M23</f>
        <v>21</v>
      </c>
      <c r="F42" s="114" cm="1">
        <f t="array" ref="F42">IF(E42=0,0,INDEX(auto_Country_Status,E42))</f>
        <v>1</v>
      </c>
      <c r="G42" s="4"/>
      <c r="H42" s="49">
        <f t="shared" si="31"/>
        <v>1</v>
      </c>
      <c r="I42" s="49" cm="1">
        <f t="array" ref="I42">IF($F42=0,0,INDEX(sys_DataFlat_LU_Grid,H42,$E42))</f>
        <v>21</v>
      </c>
      <c r="J42" s="49" cm="1">
        <f t="array" ref="J42">IF($F42=0,-1000,CHOOSE($E$14,INDEX(auto_DataFlat_Score,I42,$E$11),-INDEX(auto_DataFlat_Score,I42,$E$11),-$D42))</f>
        <v>44.3</v>
      </c>
      <c r="K42" s="91">
        <f ca="1">RANK(J42,OFFSET(J$21,0,0,$E$16+1,1))+COUNTIF(J$21:J42,J42)-1</f>
        <v>44</v>
      </c>
      <c r="L42" s="91">
        <f t="shared" ca="1" si="48"/>
        <v>17</v>
      </c>
      <c r="M42" s="91" cm="1">
        <f t="array" aca="1" ref="M42" ca="1">INDEX(OFFSET(I$21,0,0,$E$16+1,1),L42)</f>
        <v>16</v>
      </c>
      <c r="N42" s="49" cm="1">
        <f t="array" aca="1" ref="N42" ca="1">INDEX(OFFSET($E$21,0,0,$E$16+1,1),L42)</f>
        <v>16</v>
      </c>
      <c r="O42" s="80" cm="1">
        <f t="array" aca="1" ref="O42" ca="1">IF(N42="G",5,INDEX(OFFSET($F$21,0,0,$E$16+1,1),L42))</f>
        <v>1</v>
      </c>
      <c r="P42" s="80" cm="1">
        <f t="array" aca="1" ref="P42" ca="1">IF(M42=0,0,IF(N42="G",-1,INDEX(auto_DataFlat_Classification,M42,$E$11)))</f>
        <v>4</v>
      </c>
      <c r="Q42" s="301" t="str" cm="1">
        <f t="array" aca="1" ref="Q42" ca="1">IF(P42&lt;0,"",INDEX(uxbGlobals!$B$133:$B$139,P42))</f>
        <v xml:space="preserve"> </v>
      </c>
      <c r="R42" s="80"/>
      <c r="S42" s="302" t="str" cm="1">
        <f t="array" aca="1" ref="S42" ca="1">IF(O42=0,"",IF(N42="G","--",INDEX(auto_DataFlat_Rank,M42,$E$11)))</f>
        <v>22</v>
      </c>
      <c r="T42" s="122" t="str" cm="1">
        <f t="array" aca="1" ref="T42" ca="1">IF(O42=0,"",IF(N42="G"," AVERAGE",INDEX(auto_ddCountry,N42)))</f>
        <v>Ho Chi Minh City</v>
      </c>
      <c r="U42" s="290" cm="1">
        <f t="array" aca="1" ref="U42" ca="1">IF(O42=0,"",INDEX(auto_DataFlat_Score,M42,$E$11))</f>
        <v>66</v>
      </c>
      <c r="V42" s="4"/>
      <c r="W42" s="49">
        <f t="shared" si="33"/>
        <v>2</v>
      </c>
      <c r="X42" s="49" cm="1">
        <f t="array" ref="X42">IF($F42=0,0,INDEX(sys_DataFlat_LU_Grid,W42,$E42))</f>
        <v>81</v>
      </c>
      <c r="Y42" s="49" cm="1">
        <f t="array" ref="Y42">IF($F42=0,-1000,CHOOSE($E$14,INDEX(auto_DataFlat_Score,X42,$E$11),-INDEX(auto_DataFlat_Score,X42,$E$11),-$D42))</f>
        <v>56.4</v>
      </c>
      <c r="Z42" s="91">
        <f ca="1">RANK(Y42,OFFSET(Y$21,0,0,$E$16+1,1))+COUNTIF(Y$21:Y42,Y42)-1</f>
        <v>37</v>
      </c>
      <c r="AA42" s="91">
        <f t="shared" ca="1" si="49"/>
        <v>31</v>
      </c>
      <c r="AB42" s="91" cm="1">
        <f t="array" aca="1" ref="AB42" ca="1">INDEX(OFFSET(X$21,0,0,$E$16+1,1),AA42)</f>
        <v>90</v>
      </c>
      <c r="AC42" s="49" cm="1">
        <f t="array" aca="1" ref="AC42" ca="1">INDEX(OFFSET($E$21,0,0,$E$16+1,1),AA42)</f>
        <v>30</v>
      </c>
      <c r="AD42" s="80" cm="1">
        <f t="array" aca="1" ref="AD42" ca="1">IF(AC42="G",5,INDEX(OFFSET($F$21,0,0,$E$16+1,1),AA42))</f>
        <v>1</v>
      </c>
      <c r="AE42" s="80" cm="1">
        <f t="array" aca="1" ref="AE42" ca="1">IF(AB42=0,0,IF(AC42="G",-1,INDEX(auto_DataFlat_Classification,AB42,$E$11)))</f>
        <v>4</v>
      </c>
      <c r="AF42" s="301" t="str" cm="1">
        <f t="array" aca="1" ref="AF42" ca="1">IF(AE42&lt;0,"",INDEX(uxbGlobals!$B$133:$B$139,AE42))</f>
        <v xml:space="preserve"> </v>
      </c>
      <c r="AG42" s="80"/>
      <c r="AH42" s="302" t="str" cm="1">
        <f t="array" aca="1" ref="AH42" ca="1">IF(AD42=0,"",IF(AC42="G","--",INDEX(auto_DataFlat_Rank,AB42,$E$11)))</f>
        <v>22</v>
      </c>
      <c r="AI42" s="122" t="str" cm="1">
        <f t="array" aca="1" ref="AI42" ca="1">IF(AD42=0,"",IF(AC42="G","AVERAGE",INDEX(auto_ddCountry,AC42)))</f>
        <v>Mexico City</v>
      </c>
      <c r="AJ42" s="290" cm="1">
        <f t="array" aca="1" ref="AJ42" ca="1">IF(AD42=0,"",INDEX(auto_DataFlat_Score,AB42,$E$11))</f>
        <v>79.8</v>
      </c>
      <c r="AK42" s="4"/>
      <c r="AL42" s="49">
        <f t="shared" si="35"/>
        <v>14</v>
      </c>
      <c r="AM42" s="49" cm="1">
        <f t="array" ref="AM42">IF($F42=0,0,INDEX(sys_DataFlat_LU_Grid,AL42,$E42))</f>
        <v>801</v>
      </c>
      <c r="AN42" s="49" cm="1">
        <f t="array" ref="AN42">IF($F42=0,-1000,CHOOSE($E$14,INDEX(auto_DataFlat_Score,AM42,$E$11),-INDEX(auto_DataFlat_Score,AM42,$E$11),-$D42))</f>
        <v>38.700000000000003</v>
      </c>
      <c r="AO42" s="91">
        <f ca="1">RANK(AN42,OFFSET(AN$21,0,0,$E$16+1,1))+COUNTIF(AN$21:AN42,AN42)-1</f>
        <v>34</v>
      </c>
      <c r="AP42" s="91">
        <f t="shared" ca="1" si="50"/>
        <v>16</v>
      </c>
      <c r="AQ42" s="91" cm="1">
        <f t="array" aca="1" ref="AQ42" ca="1">INDEX(OFFSET(AM$21,0,0,$E$16+1,1),AP42)</f>
        <v>795</v>
      </c>
      <c r="AR42" s="49" cm="1">
        <f t="array" aca="1" ref="AR42" ca="1">INDEX(OFFSET($E$21,0,0,$E$16+1,1),AP42)</f>
        <v>15</v>
      </c>
      <c r="AS42" s="80" cm="1">
        <f t="array" aca="1" ref="AS42" ca="1">IF(AR42="G",5,INDEX(OFFSET($F$21,0,0,$E$16+1,1),AP42))</f>
        <v>1</v>
      </c>
      <c r="AT42" s="80" cm="1">
        <f t="array" aca="1" ref="AT42" ca="1">IF(AQ42=0,0,IF(AR42="G",-1,INDEX(auto_DataFlat_Classification,AQ42,$E$11)))</f>
        <v>3</v>
      </c>
      <c r="AU42" s="301" t="str" cm="1">
        <f t="array" aca="1" ref="AU42" ca="1">IF(AT42&lt;0,"",INDEX(uxbGlobals!$B$133:$B$139,AT42))</f>
        <v xml:space="preserve"> </v>
      </c>
      <c r="AV42" s="80"/>
      <c r="AW42" s="302" t="str" cm="1">
        <f t="array" aca="1" ref="AW42" ca="1">IF(AS42=0,"",IF(AR42="G","--",INDEX(auto_DataFlat_Rank,AQ42,$E$11)))</f>
        <v>22</v>
      </c>
      <c r="AX42" s="122" t="str" cm="1">
        <f t="array" aca="1" ref="AX42" ca="1">IF(AS42=0,"",IF(AR42="G","AVERAGE",INDEX(auto_ddCountry,AR42)))</f>
        <v>Helsinki</v>
      </c>
      <c r="AY42" s="290" cm="1">
        <f t="array" aca="1" ref="AY42" ca="1">IF(AS42=0,"",INDEX(auto_DataFlat_Score,AQ42,$E$11))</f>
        <v>54.5</v>
      </c>
      <c r="AZ42" s="4"/>
      <c r="BA42" s="49">
        <f t="shared" si="37"/>
        <v>22</v>
      </c>
      <c r="BB42" s="49" cm="1">
        <f t="array" ref="BB42">IF($F42=0,0,INDEX(sys_DataFlat_LU_Grid,BA42,$E42))</f>
        <v>1281</v>
      </c>
      <c r="BC42" s="49" cm="1">
        <f t="array" ref="BC42">IF($F42=0,-1000,CHOOSE($E$14,INDEX(auto_DataFlat_Score,BB42,$E$11),-INDEX(auto_DataFlat_Score,BB42,$E$11),-$D42))</f>
        <v>35</v>
      </c>
      <c r="BD42" s="91">
        <f ca="1">RANK(BC42,OFFSET(BC$21,0,0,$E$16+1,1))+COUNTIF(BC$21:BC42,BC42)-1</f>
        <v>49</v>
      </c>
      <c r="BE42" s="91">
        <f t="shared" ca="1" si="51"/>
        <v>15</v>
      </c>
      <c r="BF42" s="91" cm="1">
        <f t="array" aca="1" ref="BF42" ca="1">INDEX(OFFSET(BB$21,0,0,$E$16+1,1),BE42)</f>
        <v>1274</v>
      </c>
      <c r="BG42" s="49" cm="1">
        <f t="array" aca="1" ref="BG42" ca="1">INDEX(OFFSET($E$21,0,0,$E$16+1,1),BE42)</f>
        <v>14</v>
      </c>
      <c r="BH42" s="80" cm="1">
        <f t="array" aca="1" ref="BH42" ca="1">IF(BG42="G",5,INDEX(OFFSET($F$21,0,0,$E$16+1,1),BE42))</f>
        <v>1</v>
      </c>
      <c r="BI42" s="80" cm="1">
        <f t="array" aca="1" ref="BI42" ca="1">IF(BF42=0,0,IF(BG42="G",-1,INDEX(auto_DataFlat_Classification,BF42,$E$11)))</f>
        <v>4</v>
      </c>
      <c r="BJ42" s="301" t="str" cm="1">
        <f t="array" aca="1" ref="BJ42" ca="1">IF(BI42&lt;0,"",INDEX(uxbGlobals!$B$133:$B$139,BI42))</f>
        <v xml:space="preserve"> </v>
      </c>
      <c r="BK42" s="80"/>
      <c r="BL42" s="302" t="str" cm="1">
        <f t="array" aca="1" ref="BL42" ca="1">IF(BH42=0,"",IF(BG42="G","--",INDEX(auto_DataFlat_Rank,BF42,$E$11)))</f>
        <v>22</v>
      </c>
      <c r="BM42" s="122" t="str" cm="1">
        <f t="array" aca="1" ref="BM42" ca="1">IF(BH42=0,"",IF(BG42="G","AVERAGE",INDEX(auto_ddCountry,BG42)))</f>
        <v>Dubai</v>
      </c>
      <c r="BN42" s="290" cm="1">
        <f t="array" aca="1" ref="BN42" ca="1">IF(BH42=0,"",INDEX(auto_DataFlat_Score,BF42,$E$11))</f>
        <v>63</v>
      </c>
      <c r="BO42" s="4"/>
      <c r="BP42" s="49">
        <f t="shared" si="39"/>
        <v>47</v>
      </c>
      <c r="BQ42" s="49" cm="1">
        <f t="array" ref="BQ42">IF($F42=0,0,INDEX(sys_DataFlat_LU_Grid,BP42,$E42))</f>
        <v>2781</v>
      </c>
      <c r="BR42" s="49" cm="1">
        <f t="array" ref="BR42">IF($F42=0,-1000,CHOOSE($E$14,INDEX(auto_DataFlat_Score,BQ42,$E$11),-INDEX(auto_DataFlat_Score,BQ42,$E$11),-$D42))</f>
        <v>29.3</v>
      </c>
      <c r="BS42" s="91">
        <f ca="1">RANK(BR42,OFFSET(BR$21,0,0,$E$16+1,1))+COUNTIF(BR$21:BR42,BR42)-1</f>
        <v>50</v>
      </c>
      <c r="BT42" s="91">
        <f t="shared" ca="1" si="52"/>
        <v>13</v>
      </c>
      <c r="BU42" s="91" cm="1">
        <f t="array" aca="1" ref="BU42" ca="1">INDEX(OFFSET(BQ$21,0,0,$E$16+1,1),BT42)</f>
        <v>2772</v>
      </c>
      <c r="BV42" s="49" cm="1">
        <f t="array" aca="1" ref="BV42" ca="1">INDEX(OFFSET($E$21,0,0,$E$16+1,1),BT42)</f>
        <v>12</v>
      </c>
      <c r="BW42" s="80" cm="1">
        <f t="array" aca="1" ref="BW42" ca="1">IF(BV42="G",5,INDEX(OFFSET($F$21,0,0,$E$16+1,1),BT42))</f>
        <v>1</v>
      </c>
      <c r="BX42" s="80" cm="1">
        <f t="array" aca="1" ref="BX42" ca="1">IF(BU42=0,0,IF(BV42="G",-1,INDEX(auto_DataFlat_Classification,BU42,$E$11)))</f>
        <v>4</v>
      </c>
      <c r="BY42" s="301" t="str" cm="1">
        <f t="array" aca="1" ref="BY42" ca="1">IF(BX42&lt;0,"",INDEX(uxbGlobals!$B$133:$B$139,BX42))</f>
        <v xml:space="preserve"> </v>
      </c>
      <c r="BZ42" s="80"/>
      <c r="CA42" s="302" t="str" cm="1">
        <f t="array" aca="1" ref="CA42" ca="1">IF(BW42=0,"",IF(BV42="G","--",INDEX(auto_DataFlat_Rank,BU42,$E$11)))</f>
        <v>=22</v>
      </c>
      <c r="CB42" s="122" t="str" cm="1">
        <f t="array" aca="1" ref="CB42" ca="1">IF(BW42=0,"",IF(BV42="G","AVERAGE",INDEX(auto_ddCountry,BV42)))</f>
        <v>Delhi</v>
      </c>
      <c r="CC42" s="290" cm="1">
        <f t="array" aca="1" ref="CC42" ca="1">IF(BW42=0,"",INDEX(auto_DataFlat_Score,BU42,$E$11))</f>
        <v>71</v>
      </c>
      <c r="CD42" s="4"/>
      <c r="CE42" s="49">
        <f t="shared" si="41"/>
        <v>52</v>
      </c>
      <c r="CF42" s="49" cm="1">
        <f t="array" ref="CF42">IF($F42=0,0,INDEX(sys_DataFlat_LU_Grid,CE42,$E42))</f>
        <v>3081</v>
      </c>
      <c r="CG42" s="49" cm="1">
        <f t="array" ref="CG42">IF($F42=0,-1000,CHOOSE($E$14,INDEX(auto_DataFlat_Score,CF42,$E$11),-INDEX(auto_DataFlat_Score,CF42,$E$11),-$D42))</f>
        <v>55.6</v>
      </c>
      <c r="CH42" s="91">
        <f ca="1">RANK(CG42,OFFSET(CG$21,0,0,$E$16+1,1))+COUNTIF(CG$21:CG42,CG42)-1</f>
        <v>41</v>
      </c>
      <c r="CI42" s="91">
        <f t="shared" ca="1" si="53"/>
        <v>16</v>
      </c>
      <c r="CJ42" s="91" cm="1">
        <f t="array" aca="1" ref="CJ42" ca="1">INDEX(OFFSET(CF$21,0,0,$E$16+1,1),CI42)</f>
        <v>3075</v>
      </c>
      <c r="CK42" s="49" cm="1">
        <f t="array" aca="1" ref="CK42" ca="1">INDEX(OFFSET($E$21,0,0,$E$16+1,1),CI42)</f>
        <v>15</v>
      </c>
      <c r="CL42" s="80" cm="1">
        <f t="array" aca="1" ref="CL42" ca="1">IF(CK42="G",5,INDEX(OFFSET($F$21,0,0,$E$16+1,1),CI42))</f>
        <v>1</v>
      </c>
      <c r="CM42" s="80" cm="1">
        <f t="array" aca="1" ref="CM42" ca="1">IF(CJ42=0,0,IF(CK42="G",-1,INDEX(auto_DataFlat_Classification,CJ42,$E$11)))</f>
        <v>4</v>
      </c>
      <c r="CN42" s="301" t="str" cm="1">
        <f t="array" aca="1" ref="CN42" ca="1">IF(CM42&lt;0,"",INDEX(uxbGlobals!$B$133:$B$139,CM42))</f>
        <v xml:space="preserve"> </v>
      </c>
      <c r="CO42" s="80"/>
      <c r="CP42" s="302" t="str" cm="1">
        <f t="array" aca="1" ref="CP42" ca="1">IF(CL42=0,"",IF(CK42="G","--",INDEX(auto_DataFlat_Rank,CJ42,$E$11)))</f>
        <v>=21</v>
      </c>
      <c r="CQ42" s="122" t="str" cm="1">
        <f t="array" aca="1" ref="CQ42" ca="1">IF(CL42=0,"",IF(CK42="G","AVERAGE",INDEX(auto_ddCountry,CK42)))</f>
        <v>Helsinki</v>
      </c>
      <c r="CR42" s="290" cm="1">
        <f t="array" aca="1" ref="CR42" ca="1">IF(CL42=0,"",INDEX(auto_DataFlat_Score,CJ42,$E$11))</f>
        <v>74.099999999999994</v>
      </c>
      <c r="CS42" s="4"/>
      <c r="CT42" s="49">
        <f t="shared" si="43"/>
        <v>-1</v>
      </c>
      <c r="CU42" s="49" t="e" cm="1">
        <f t="array" ref="CU42">IF($F42=0,0,INDEX(sys_DataFlat_LU_Grid,CT42,$E42))</f>
        <v>#VALUE!</v>
      </c>
      <c r="CV42" s="49" t="e" cm="1">
        <f t="array" ref="CV42">IF($F42=0,-1000,CHOOSE($E$14,INDEX(auto_DataFlat_Score,CU42,$E$11),-INDEX(auto_DataFlat_Score,CU42,$E$11),-$D42))</f>
        <v>#VALUE!</v>
      </c>
      <c r="CW42" s="91" t="e">
        <f ca="1">RANK(CV42,OFFSET(CV$21,0,0,$E$16+1,1))+COUNTIF(CV$21:CV42,CV42)-1</f>
        <v>#VALUE!</v>
      </c>
      <c r="CX42" s="91" t="e">
        <f t="shared" ca="1" si="47"/>
        <v>#N/A</v>
      </c>
      <c r="CY42" s="91" t="e" cm="1">
        <f t="array" aca="1" ref="CY42" ca="1">INDEX(OFFSET(CU$21,0,0,$E$16+1,1),CX42)</f>
        <v>#N/A</v>
      </c>
      <c r="CZ42" s="49" t="e" cm="1">
        <f t="array" aca="1" ref="CZ42" ca="1">INDEX(OFFSET($E$21,0,0,$E$16+1,1),CX42)</f>
        <v>#N/A</v>
      </c>
      <c r="DA42" s="80" t="e" cm="1">
        <f t="array" aca="1" ref="DA42" ca="1">IF(CZ42="G",5,INDEX(OFFSET($F$21,0,0,$E$16+1,1),CX42))</f>
        <v>#N/A</v>
      </c>
      <c r="DB42" s="80" t="e" cm="1">
        <f t="array" aca="1" ref="DB42" ca="1">IF(CY42=0,0,IF(CZ42="G",-1,INDEX(auto_DataFlat_Classification,CY42,$E$11)))</f>
        <v>#N/A</v>
      </c>
      <c r="DC42" s="301" t="e" cm="1">
        <f t="array" aca="1" ref="DC42" ca="1">IF(DB42&lt;0,"",INDEX(uxbGlobals!$B$133:$B$139,DB42))</f>
        <v>#N/A</v>
      </c>
      <c r="DD42" s="80"/>
      <c r="DE42" s="302" t="e" cm="1">
        <f t="array" aca="1" ref="DE42" ca="1">IF(DA42=0,"",IF(CZ42="G","--",INDEX(auto_DataFlat_Rank,CY42,$E$11)))</f>
        <v>#N/A</v>
      </c>
      <c r="DF42" s="122" t="e" cm="1">
        <f t="array" aca="1" ref="DF42" ca="1">IF(DA42=0,"",IF(CZ42="G","AVERAGE",INDEX(auto_ddCountry,CZ42)))</f>
        <v>#N/A</v>
      </c>
      <c r="DG42" s="290" t="e" cm="1">
        <f t="array" aca="1" ref="DG42" ca="1">IF(DA42=0,"",INDEX(auto_DataFlat_Score,CY42,$E$11))</f>
        <v>#N/A</v>
      </c>
      <c r="DH42" s="4"/>
      <c r="DI42" s="49">
        <f t="shared" si="44"/>
        <v>-1</v>
      </c>
      <c r="DJ42" s="49" t="e" cm="1">
        <f t="array" ref="DJ42">IF($F42=0,0,INDEX(sys_DataFlat_LU_Grid,DI42,$E42))</f>
        <v>#VALUE!</v>
      </c>
      <c r="DK42" s="49" t="e" cm="1">
        <f t="array" ref="DK42">IF($F42=0,-1000,CHOOSE($E$14,INDEX(auto_DataFlat_Score,DJ42,$E$11),-INDEX(auto_DataFlat_Score,DJ42,$E$11),-$D42))</f>
        <v>#VALUE!</v>
      </c>
      <c r="DL42" s="91" t="e">
        <f ca="1">RANK(DK42,OFFSET(DK$21,0,0,$E$16+1,1))+COUNTIF(DK$21:DK42,DK42)-1</f>
        <v>#VALUE!</v>
      </c>
      <c r="DM42" s="91" t="e">
        <f t="shared" ca="1" si="28"/>
        <v>#N/A</v>
      </c>
      <c r="DN42" s="91" t="e" cm="1">
        <f t="array" aca="1" ref="DN42" ca="1">INDEX(OFFSET(DJ$21,0,0,$E$16+1,1),DM42)</f>
        <v>#N/A</v>
      </c>
      <c r="DO42" s="49" t="e" cm="1">
        <f t="array" aca="1" ref="DO42" ca="1">INDEX(OFFSET($E$21,0,0,$E$16+1,1),DM42)</f>
        <v>#N/A</v>
      </c>
      <c r="DP42" s="80" t="e" cm="1">
        <f t="array" aca="1" ref="DP42" ca="1">IF(DO42="G",5,INDEX(OFFSET($F$21,0,0,$E$16+1,1),DM42))</f>
        <v>#N/A</v>
      </c>
      <c r="DQ42" s="80" t="e" cm="1">
        <f t="array" aca="1" ref="DQ42" ca="1">IF(DN42=0,0,IF(DO42="G",-1,INDEX(auto_DataFlat_Classification,DN42,$E$11)))</f>
        <v>#N/A</v>
      </c>
      <c r="DR42" s="301" t="e" cm="1">
        <f t="array" aca="1" ref="DR42" ca="1">IF(DQ42&lt;0,"",INDEX(uxbGlobals!$B$133:$B$139,DQ42))</f>
        <v>#N/A</v>
      </c>
      <c r="DS42" s="80"/>
      <c r="DT42" s="302" t="e" cm="1">
        <f t="array" aca="1" ref="DT42" ca="1">IF(DP42=0,"",IF(DO42="G","--",INDEX(auto_DataFlat_Rank,DN42,$E$11)))</f>
        <v>#N/A</v>
      </c>
      <c r="DU42" s="122" t="e" cm="1">
        <f t="array" aca="1" ref="DU42" ca="1">IF(DP42=0,"",IF(DO42="G","AVERAGE",INDEX(auto_ddCountry,DO42)))</f>
        <v>#N/A</v>
      </c>
      <c r="DV42" s="290" t="e" cm="1">
        <f t="array" aca="1" ref="DV42" ca="1">IF(DP42=0,"",INDEX(auto_DataFlat_Score,DN42,$E$11))</f>
        <v>#N/A</v>
      </c>
      <c r="DW42" s="4"/>
      <c r="DX42" s="49">
        <f t="shared" si="45"/>
        <v>-1</v>
      </c>
      <c r="DY42" s="49" t="e" cm="1">
        <f t="array" ref="DY42">IF($F42=0,0,INDEX(sys_DataFlat_LU_Grid,DX42,$E42))</f>
        <v>#VALUE!</v>
      </c>
      <c r="DZ42" s="49" t="e" cm="1">
        <f t="array" ref="DZ42">IF($F42=0,-1000,CHOOSE($E$14,INDEX(auto_DataFlat_Score,DY42,$E$11),-INDEX(auto_DataFlat_Score,DY42,$E$11),-$D42))</f>
        <v>#VALUE!</v>
      </c>
      <c r="EA42" s="91" t="e">
        <f ca="1">RANK(DZ42,OFFSET(DZ$21,0,0,$E$16+1,1))+COUNTIF(DZ$21:DZ42,DZ42)-1</f>
        <v>#VALUE!</v>
      </c>
      <c r="EB42" s="91" t="e">
        <f t="shared" ca="1" si="29"/>
        <v>#N/A</v>
      </c>
      <c r="EC42" s="91" t="e" cm="1">
        <f t="array" aca="1" ref="EC42" ca="1">INDEX(OFFSET(DY$21,0,0,$E$16+1,1),EB42)</f>
        <v>#N/A</v>
      </c>
      <c r="ED42" s="49" t="e" cm="1">
        <f t="array" aca="1" ref="ED42" ca="1">INDEX(OFFSET($E$21,0,0,$E$16+1,1),EB42)</f>
        <v>#N/A</v>
      </c>
      <c r="EE42" s="80" t="e" cm="1">
        <f t="array" aca="1" ref="EE42" ca="1">IF(ED42="G",5,INDEX(OFFSET($F$21,0,0,$E$16+1,1),EB42))</f>
        <v>#N/A</v>
      </c>
      <c r="EF42" s="80" t="e" cm="1">
        <f t="array" aca="1" ref="EF42" ca="1">IF(EC42=0,0,IF(ED42="G",-1,INDEX(auto_DataFlat_Classification,EC42,$E$11)))</f>
        <v>#N/A</v>
      </c>
      <c r="EG42" s="301" t="e" cm="1">
        <f t="array" aca="1" ref="EG42" ca="1">IF(EF42&lt;0,"",INDEX(uxbGlobals!$B$133:$B$139,EF42))</f>
        <v>#N/A</v>
      </c>
      <c r="EH42" s="80"/>
      <c r="EI42" s="302" t="e" cm="1">
        <f t="array" aca="1" ref="EI42" ca="1">IF(EE42=0,"",IF(ED42="G","--",INDEX(auto_DataFlat_Rank,EC42,$E$11)))</f>
        <v>#N/A</v>
      </c>
      <c r="EJ42" s="122" t="e" cm="1">
        <f t="array" aca="1" ref="EJ42" ca="1">IF(EE42=0,"",IF(ED42="G","AVERAGE",INDEX(auto_ddCountry,ED42)))</f>
        <v>#N/A</v>
      </c>
      <c r="EK42" s="290" t="e" cm="1">
        <f t="array" aca="1" ref="EK42" ca="1">IF(EE42=0,"",INDEX(auto_DataFlat_Score,EC42,$E$11))</f>
        <v>#N/A</v>
      </c>
      <c r="EL42" s="4"/>
      <c r="EM42" s="49">
        <f t="shared" si="46"/>
        <v>-1</v>
      </c>
      <c r="EN42" s="49" t="e" cm="1">
        <f t="array" ref="EN42">IF($F42=0,0,INDEX(sys_DataFlat_LU_Grid,EM42,$E42))</f>
        <v>#VALUE!</v>
      </c>
      <c r="EO42" s="49" t="e" cm="1">
        <f t="array" ref="EO42">IF($F42=0,-1000,CHOOSE($E$14,INDEX(auto_DataFlat_Score,EN42,$E$11),-INDEX(auto_DataFlat_Score,EN42,$E$11),-$D42))</f>
        <v>#VALUE!</v>
      </c>
      <c r="EP42" s="91" t="e">
        <f ca="1">RANK(EO42,OFFSET(EO$21,0,0,$E$16+1,1))+COUNTIF(EO$21:EO42,EO42)-1</f>
        <v>#VALUE!</v>
      </c>
      <c r="EQ42" s="91" t="e">
        <f t="shared" ca="1" si="30"/>
        <v>#N/A</v>
      </c>
      <c r="ER42" s="91" t="e" cm="1">
        <f t="array" aca="1" ref="ER42" ca="1">INDEX(OFFSET(EN$21,0,0,$E$16+1,1),EQ42)</f>
        <v>#N/A</v>
      </c>
      <c r="ES42" s="49" t="e" cm="1">
        <f t="array" aca="1" ref="ES42" ca="1">INDEX(OFFSET($E$21,0,0,$E$16+1,1),EQ42)</f>
        <v>#N/A</v>
      </c>
      <c r="ET42" s="80" t="e" cm="1">
        <f t="array" aca="1" ref="ET42" ca="1">IF(ES42="G",5,INDEX(OFFSET($F$21,0,0,$E$16+1,1),EQ42))</f>
        <v>#N/A</v>
      </c>
      <c r="EU42" s="80" t="e" cm="1">
        <f t="array" aca="1" ref="EU42" ca="1">IF(ER42=0,0,IF(ES42="G",-1,INDEX(auto_DataFlat_Classification,ER42,$E$11)))</f>
        <v>#N/A</v>
      </c>
      <c r="EV42" s="301" t="e" cm="1">
        <f t="array" aca="1" ref="EV42" ca="1">IF(EU42&lt;0,"",INDEX(uxbGlobals!$B$133:$B$139,EU42))</f>
        <v>#N/A</v>
      </c>
      <c r="EW42" s="80"/>
      <c r="EX42" s="302" t="e" cm="1">
        <f t="array" aca="1" ref="EX42" ca="1">IF(ET42=0,"",IF(ES42="G","--",INDEX(auto_DataFlat_Rank,ER42,$E$11)))</f>
        <v>#N/A</v>
      </c>
      <c r="EY42" s="122" t="e" cm="1">
        <f t="array" aca="1" ref="EY42" ca="1">IF(ET42=0,"",IF(ES42="G","AVERAGE",INDEX(auto_ddCountry,ES42)))</f>
        <v>#N/A</v>
      </c>
      <c r="EZ42" s="290" t="e" cm="1">
        <f t="array" aca="1" ref="EZ42" ca="1">IF(ET42=0,"",INDEX(auto_DataFlat_Score,ER42,$E$11))</f>
        <v>#N/A</v>
      </c>
    </row>
    <row r="43" spans="1:156" ht="17.149999999999999" customHeight="1" x14ac:dyDescent="0.4">
      <c r="A43" s="4"/>
      <c r="B43" s="4"/>
      <c r="C43" s="4"/>
      <c r="D43" s="26">
        <v>23</v>
      </c>
      <c r="E43" s="49">
        <f>tblCountries!M24</f>
        <v>22</v>
      </c>
      <c r="F43" s="114" cm="1">
        <f t="array" ref="F43">IF(E43=0,0,INDEX(auto_Country_Status,E43))</f>
        <v>1</v>
      </c>
      <c r="G43" s="4"/>
      <c r="H43" s="49">
        <f t="shared" si="31"/>
        <v>1</v>
      </c>
      <c r="I43" s="49" cm="1">
        <f t="array" ref="I43">IF($F43=0,0,INDEX(sys_DataFlat_LU_Grid,H43,$E43))</f>
        <v>22</v>
      </c>
      <c r="J43" s="49" cm="1">
        <f t="array" ref="J43">IF($F43=0,-1000,CHOOSE($E$14,INDEX(auto_DataFlat_Score,I43,$E$11),-INDEX(auto_DataFlat_Score,I43,$E$11),-$D43))</f>
        <v>40.9</v>
      </c>
      <c r="K43" s="91">
        <f ca="1">RANK(J43,OFFSET(J$21,0,0,$E$16+1,1))+COUNTIF(J$21:J43,J43)-1</f>
        <v>50</v>
      </c>
      <c r="L43" s="91">
        <f t="shared" ca="1" si="48"/>
        <v>32</v>
      </c>
      <c r="M43" s="91" cm="1">
        <f t="array" aca="1" ref="M43" ca="1">INDEX(OFFSET(I$21,0,0,$E$16+1,1),L43)</f>
        <v>31</v>
      </c>
      <c r="N43" s="49" cm="1">
        <f t="array" aca="1" ref="N43" ca="1">INDEX(OFFSET($E$21,0,0,$E$16+1,1),L43)</f>
        <v>31</v>
      </c>
      <c r="O43" s="80" cm="1">
        <f t="array" aca="1" ref="O43" ca="1">IF(N43="G",5,INDEX(OFFSET($F$21,0,0,$E$16+1,1),L43))</f>
        <v>1</v>
      </c>
      <c r="P43" s="80" cm="1">
        <f t="array" aca="1" ref="P43" ca="1">IF(M43=0,0,IF(N43="G",-1,INDEX(auto_DataFlat_Classification,M43,$E$11)))</f>
        <v>4</v>
      </c>
      <c r="Q43" s="301" t="str" cm="1">
        <f t="array" aca="1" ref="Q43" ca="1">IF(P43&lt;0,"",INDEX(uxbGlobals!$B$133:$B$139,P43))</f>
        <v xml:space="preserve"> </v>
      </c>
      <c r="R43" s="80"/>
      <c r="S43" s="302" t="str" cm="1">
        <f t="array" aca="1" ref="S43" ca="1">IF(O43=0,"",IF(N43="G","--",INDEX(auto_DataFlat_Rank,M43,$E$11)))</f>
        <v>23</v>
      </c>
      <c r="T43" s="122" t="str" cm="1">
        <f t="array" aca="1" ref="T43" ca="1">IF(O43=0,"",IF(N43="G"," AVERAGE",INDEX(auto_ddCountry,N43)))</f>
        <v>Moscow</v>
      </c>
      <c r="U43" s="290" cm="1">
        <f t="array" aca="1" ref="U43" ca="1">IF(O43=0,"",INDEX(auto_DataFlat_Score,M43,$E$11))</f>
        <v>65.900000000000006</v>
      </c>
      <c r="V43" s="4"/>
      <c r="W43" s="49">
        <f t="shared" si="33"/>
        <v>2</v>
      </c>
      <c r="X43" s="49" cm="1">
        <f t="array" ref="X43">IF($F43=0,0,INDEX(sys_DataFlat_LU_Grid,W43,$E43))</f>
        <v>82</v>
      </c>
      <c r="Y43" s="49" cm="1">
        <f t="array" ref="Y43">IF($F43=0,-1000,CHOOSE($E$14,INDEX(auto_DataFlat_Score,X43,$E$11),-INDEX(auto_DataFlat_Score,X43,$E$11),-$D43))</f>
        <v>41.3</v>
      </c>
      <c r="Z43" s="91">
        <f ca="1">RANK(Y43,OFFSET(Y$21,0,0,$E$16+1,1))+COUNTIF(Y$21:Y43,Y43)-1</f>
        <v>47</v>
      </c>
      <c r="AA43" s="91">
        <f t="shared" ca="1" si="49"/>
        <v>20</v>
      </c>
      <c r="AB43" s="91" cm="1">
        <f t="array" aca="1" ref="AB43" ca="1">INDEX(OFFSET(X$21,0,0,$E$16+1,1),AA43)</f>
        <v>79</v>
      </c>
      <c r="AC43" s="49" cm="1">
        <f t="array" aca="1" ref="AC43" ca="1">INDEX(OFFSET($E$21,0,0,$E$16+1,1),AA43)</f>
        <v>19</v>
      </c>
      <c r="AD43" s="80" cm="1">
        <f t="array" aca="1" ref="AD43" ca="1">IF(AC43="G",5,INDEX(OFFSET($F$21,0,0,$E$16+1,1),AA43))</f>
        <v>1</v>
      </c>
      <c r="AE43" s="80" cm="1">
        <f t="array" aca="1" ref="AE43" ca="1">IF(AB43=0,0,IF(AC43="G",-1,INDEX(auto_DataFlat_Classification,AB43,$E$11)))</f>
        <v>4</v>
      </c>
      <c r="AF43" s="301" t="str" cm="1">
        <f t="array" aca="1" ref="AF43" ca="1">IF(AE43&lt;0,"",INDEX(uxbGlobals!$B$133:$B$139,AE43))</f>
        <v xml:space="preserve"> </v>
      </c>
      <c r="AG43" s="80"/>
      <c r="AH43" s="302" t="str" cm="1">
        <f t="array" aca="1" ref="AH43" ca="1">IF(AD43=0,"",IF(AC43="G","--",INDEX(auto_DataFlat_Rank,AB43,$E$11)))</f>
        <v>23</v>
      </c>
      <c r="AI43" s="122" t="str" cm="1">
        <f t="array" aca="1" ref="AI43" ca="1">IF(AD43=0,"",IF(AC43="G","AVERAGE",INDEX(auto_ddCountry,AC43)))</f>
        <v>Jakarta</v>
      </c>
      <c r="AJ43" s="290" cm="1">
        <f t="array" aca="1" ref="AJ43" ca="1">IF(AD43=0,"",INDEX(auto_DataFlat_Score,AB43,$E$11))</f>
        <v>77.8</v>
      </c>
      <c r="AK43" s="4"/>
      <c r="AL43" s="49">
        <f t="shared" si="35"/>
        <v>14</v>
      </c>
      <c r="AM43" s="49" cm="1">
        <f t="array" ref="AM43">IF($F43=0,0,INDEX(sys_DataFlat_LU_Grid,AL43,$E43))</f>
        <v>802</v>
      </c>
      <c r="AN43" s="49" cm="1">
        <f t="array" ref="AN43">IF($F43=0,-1000,CHOOSE($E$14,INDEX(auto_DataFlat_Score,AM43,$E$11),-INDEX(auto_DataFlat_Score,AM43,$E$11),-$D43))</f>
        <v>46.8</v>
      </c>
      <c r="AO43" s="91">
        <f ca="1">RANK(AN43,OFFSET(AN$21,0,0,$E$16+1,1))+COUNTIF(AN$21:AN43,AN43)-1</f>
        <v>28</v>
      </c>
      <c r="AP43" s="91">
        <f t="shared" ca="1" si="50"/>
        <v>43</v>
      </c>
      <c r="AQ43" s="91" cm="1">
        <f t="array" aca="1" ref="AQ43" ca="1">INDEX(OFFSET(AM$21,0,0,$E$16+1,1),AP43)</f>
        <v>822</v>
      </c>
      <c r="AR43" s="49" cm="1">
        <f t="array" aca="1" ref="AR43" ca="1">INDEX(OFFSET($E$21,0,0,$E$16+1,1),AP43)</f>
        <v>42</v>
      </c>
      <c r="AS43" s="80" cm="1">
        <f t="array" aca="1" ref="AS43" ca="1">IF(AR43="G",5,INDEX(OFFSET($F$21,0,0,$E$16+1,1),AP43))</f>
        <v>1</v>
      </c>
      <c r="AT43" s="80" cm="1">
        <f t="array" aca="1" ref="AT43" ca="1">IF(AQ43=0,0,IF(AR43="G",-1,INDEX(auto_DataFlat_Classification,AQ43,$E$11)))</f>
        <v>3</v>
      </c>
      <c r="AU43" s="301" t="str" cm="1">
        <f t="array" aca="1" ref="AU43" ca="1">IF(AT43&lt;0,"",INDEX(uxbGlobals!$B$133:$B$139,AT43))</f>
        <v xml:space="preserve"> </v>
      </c>
      <c r="AV43" s="80"/>
      <c r="AW43" s="302" t="str" cm="1">
        <f t="array" aca="1" ref="AW43" ca="1">IF(AS43=0,"",IF(AR43="G","--",INDEX(auto_DataFlat_Rank,AQ43,$E$11)))</f>
        <v>23</v>
      </c>
      <c r="AX43" s="122" t="str" cm="1">
        <f t="array" aca="1" ref="AX43" ca="1">IF(AS43=0,"",IF(AR43="G","AVERAGE",INDEX(auto_ddCountry,AR43)))</f>
        <v>Seoul</v>
      </c>
      <c r="AY43" s="290" cm="1">
        <f t="array" aca="1" ref="AY43" ca="1">IF(AS43=0,"",INDEX(auto_DataFlat_Score,AQ43,$E$11))</f>
        <v>53.8</v>
      </c>
      <c r="AZ43" s="4"/>
      <c r="BA43" s="49">
        <f t="shared" si="37"/>
        <v>22</v>
      </c>
      <c r="BB43" s="49" cm="1">
        <f t="array" ref="BB43">IF($F43=0,0,INDEX(sys_DataFlat_LU_Grid,BA43,$E43))</f>
        <v>1282</v>
      </c>
      <c r="BC43" s="49" cm="1">
        <f t="array" ref="BC43">IF($F43=0,-1000,CHOOSE($E$14,INDEX(auto_DataFlat_Score,BB43,$E$11),-INDEX(auto_DataFlat_Score,BB43,$E$11),-$D43))</f>
        <v>38.1</v>
      </c>
      <c r="BD43" s="91">
        <f ca="1">RANK(BC43,OFFSET(BC$21,0,0,$E$16+1,1))+COUNTIF(BC$21:BC43,BC43)-1</f>
        <v>45</v>
      </c>
      <c r="BE43" s="91">
        <f t="shared" ca="1" si="51"/>
        <v>5</v>
      </c>
      <c r="BF43" s="91" cm="1">
        <f t="array" aca="1" ref="BF43" ca="1">INDEX(OFFSET(BB$21,0,0,$E$16+1,1),BE43)</f>
        <v>1264</v>
      </c>
      <c r="BG43" s="49" cm="1">
        <f t="array" aca="1" ref="BG43" ca="1">INDEX(OFFSET($E$21,0,0,$E$16+1,1),BE43)</f>
        <v>4</v>
      </c>
      <c r="BH43" s="80" cm="1">
        <f t="array" aca="1" ref="BH43" ca="1">IF(BG43="G",5,INDEX(OFFSET($F$21,0,0,$E$16+1,1),BE43))</f>
        <v>1</v>
      </c>
      <c r="BI43" s="80" cm="1">
        <f t="array" aca="1" ref="BI43" ca="1">IF(BF43=0,0,IF(BG43="G",-1,INDEX(auto_DataFlat_Classification,BF43,$E$11)))</f>
        <v>4</v>
      </c>
      <c r="BJ43" s="301" t="str" cm="1">
        <f t="array" aca="1" ref="BJ43" ca="1">IF(BI43&lt;0,"",INDEX(uxbGlobals!$B$133:$B$139,BI43))</f>
        <v xml:space="preserve"> </v>
      </c>
      <c r="BK43" s="80"/>
      <c r="BL43" s="302" t="str" cm="1">
        <f t="array" aca="1" ref="BL43" ca="1">IF(BH43=0,"",IF(BG43="G","--",INDEX(auto_DataFlat_Rank,BF43,$E$11)))</f>
        <v>23</v>
      </c>
      <c r="BM43" s="122" t="str" cm="1">
        <f t="array" aca="1" ref="BM43" ca="1">IF(BH43=0,"",IF(BG43="G","AVERAGE",INDEX(auto_ddCountry,BG43)))</f>
        <v>Auckland</v>
      </c>
      <c r="BN43" s="290" cm="1">
        <f t="array" aca="1" ref="BN43" ca="1">IF(BH43=0,"",INDEX(auto_DataFlat_Score,BF43,$E$11))</f>
        <v>60.5</v>
      </c>
      <c r="BO43" s="4"/>
      <c r="BP43" s="49">
        <f t="shared" si="39"/>
        <v>47</v>
      </c>
      <c r="BQ43" s="49" cm="1">
        <f t="array" ref="BQ43">IF($F43=0,0,INDEX(sys_DataFlat_LU_Grid,BP43,$E43))</f>
        <v>2782</v>
      </c>
      <c r="BR43" s="49" cm="1">
        <f t="array" ref="BR43">IF($F43=0,-1000,CHOOSE($E$14,INDEX(auto_DataFlat_Score,BQ43,$E$11),-INDEX(auto_DataFlat_Score,BQ43,$E$11),-$D43))</f>
        <v>47.4</v>
      </c>
      <c r="BS43" s="91">
        <f ca="1">RANK(BR43,OFFSET(BR$21,0,0,$E$16+1,1))+COUNTIF(BR$21:BR43,BR43)-1</f>
        <v>42</v>
      </c>
      <c r="BT43" s="91">
        <f t="shared" ca="1" si="52"/>
        <v>24</v>
      </c>
      <c r="BU43" s="91" cm="1">
        <f t="array" aca="1" ref="BU43" ca="1">INDEX(OFFSET(BQ$21,0,0,$E$16+1,1),BT43)</f>
        <v>2783</v>
      </c>
      <c r="BV43" s="49" cm="1">
        <f t="array" aca="1" ref="BV43" ca="1">INDEX(OFFSET($E$21,0,0,$E$16+1,1),BT43)</f>
        <v>23</v>
      </c>
      <c r="BW43" s="80" cm="1">
        <f t="array" aca="1" ref="BW43" ca="1">IF(BV43="G",5,INDEX(OFFSET($F$21,0,0,$E$16+1,1),BT43))</f>
        <v>1</v>
      </c>
      <c r="BX43" s="80" cm="1">
        <f t="array" aca="1" ref="BX43" ca="1">IF(BU43=0,0,IF(BV43="G",-1,INDEX(auto_DataFlat_Classification,BU43,$E$11)))</f>
        <v>4</v>
      </c>
      <c r="BY43" s="301" t="str" cm="1">
        <f t="array" aca="1" ref="BY43" ca="1">IF(BX43&lt;0,"",INDEX(uxbGlobals!$B$133:$B$139,BX43))</f>
        <v xml:space="preserve"> </v>
      </c>
      <c r="BZ43" s="80"/>
      <c r="CA43" s="302" t="str" cm="1">
        <f t="array" aca="1" ref="CA43" ca="1">IF(BW43=0,"",IF(BV43="G","--",INDEX(auto_DataFlat_Rank,BU43,$E$11)))</f>
        <v>=22</v>
      </c>
      <c r="CB43" s="122" t="str" cm="1">
        <f t="array" aca="1" ref="CB43" ca="1">IF(BW43=0,"",IF(BV43="G","AVERAGE",INDEX(auto_ddCountry,BV43)))</f>
        <v>Kolkata</v>
      </c>
      <c r="CC43" s="290" cm="1">
        <f t="array" aca="1" ref="CC43" ca="1">IF(BW43=0,"",INDEX(auto_DataFlat_Score,BU43,$E$11))</f>
        <v>71</v>
      </c>
      <c r="CD43" s="4"/>
      <c r="CE43" s="49">
        <f t="shared" si="41"/>
        <v>52</v>
      </c>
      <c r="CF43" s="49" cm="1">
        <f t="array" ref="CF43">IF($F43=0,0,INDEX(sys_DataFlat_LU_Grid,CE43,$E43))</f>
        <v>3082</v>
      </c>
      <c r="CG43" s="49" cm="1">
        <f t="array" ref="CG43">IF($F43=0,-1000,CHOOSE($E$14,INDEX(auto_DataFlat_Score,CF43,$E$11),-INDEX(auto_DataFlat_Score,CF43,$E$11),-$D43))</f>
        <v>37</v>
      </c>
      <c r="CH43" s="91">
        <f ca="1">RANK(CG43,OFFSET(CG$21,0,0,$E$16+1,1))+COUNTIF(CG$21:CG43,CG43)-1</f>
        <v>51</v>
      </c>
      <c r="CI43" s="91">
        <f t="shared" ca="1" si="53"/>
        <v>32</v>
      </c>
      <c r="CJ43" s="91" cm="1">
        <f t="array" aca="1" ref="CJ43" ca="1">INDEX(OFFSET(CF$21,0,0,$E$16+1,1),CI43)</f>
        <v>3091</v>
      </c>
      <c r="CK43" s="49" cm="1">
        <f t="array" aca="1" ref="CK43" ca="1">INDEX(OFFSET($E$21,0,0,$E$16+1,1),CI43)</f>
        <v>31</v>
      </c>
      <c r="CL43" s="80" cm="1">
        <f t="array" aca="1" ref="CL43" ca="1">IF(CK43="G",5,INDEX(OFFSET($F$21,0,0,$E$16+1,1),CI43))</f>
        <v>1</v>
      </c>
      <c r="CM43" s="80" cm="1">
        <f t="array" aca="1" ref="CM43" ca="1">IF(CJ43=0,0,IF(CK43="G",-1,INDEX(auto_DataFlat_Classification,CJ43,$E$11)))</f>
        <v>4</v>
      </c>
      <c r="CN43" s="301" t="str" cm="1">
        <f t="array" aca="1" ref="CN43" ca="1">IF(CM43&lt;0,"",INDEX(uxbGlobals!$B$133:$B$139,CM43))</f>
        <v xml:space="preserve"> </v>
      </c>
      <c r="CO43" s="80"/>
      <c r="CP43" s="302" t="str" cm="1">
        <f t="array" aca="1" ref="CP43" ca="1">IF(CL43=0,"",IF(CK43="G","--",INDEX(auto_DataFlat_Rank,CJ43,$E$11)))</f>
        <v>=21</v>
      </c>
      <c r="CQ43" s="122" t="str" cm="1">
        <f t="array" aca="1" ref="CQ43" ca="1">IF(CL43=0,"",IF(CK43="G","AVERAGE",INDEX(auto_ddCountry,CK43)))</f>
        <v>Moscow</v>
      </c>
      <c r="CR43" s="290" cm="1">
        <f t="array" aca="1" ref="CR43" ca="1">IF(CL43=0,"",INDEX(auto_DataFlat_Score,CJ43,$E$11))</f>
        <v>74.099999999999994</v>
      </c>
      <c r="CS43" s="4"/>
      <c r="CT43" s="49">
        <f t="shared" si="43"/>
        <v>-1</v>
      </c>
      <c r="CU43" s="49" t="e" cm="1">
        <f t="array" ref="CU43">IF($F43=0,0,INDEX(sys_DataFlat_LU_Grid,CT43,$E43))</f>
        <v>#VALUE!</v>
      </c>
      <c r="CV43" s="49" t="e" cm="1">
        <f t="array" ref="CV43">IF($F43=0,-1000,CHOOSE($E$14,INDEX(auto_DataFlat_Score,CU43,$E$11),-INDEX(auto_DataFlat_Score,CU43,$E$11),-$D43))</f>
        <v>#VALUE!</v>
      </c>
      <c r="CW43" s="91" t="e">
        <f ca="1">RANK(CV43,OFFSET(CV$21,0,0,$E$16+1,1))+COUNTIF(CV$21:CV43,CV43)-1</f>
        <v>#VALUE!</v>
      </c>
      <c r="CX43" s="91" t="e">
        <f t="shared" ca="1" si="47"/>
        <v>#N/A</v>
      </c>
      <c r="CY43" s="91" t="e" cm="1">
        <f t="array" aca="1" ref="CY43" ca="1">INDEX(OFFSET(CU$21,0,0,$E$16+1,1),CX43)</f>
        <v>#N/A</v>
      </c>
      <c r="CZ43" s="49" t="e" cm="1">
        <f t="array" aca="1" ref="CZ43" ca="1">INDEX(OFFSET($E$21,0,0,$E$16+1,1),CX43)</f>
        <v>#N/A</v>
      </c>
      <c r="DA43" s="80" t="e" cm="1">
        <f t="array" aca="1" ref="DA43" ca="1">IF(CZ43="G",5,INDEX(OFFSET($F$21,0,0,$E$16+1,1),CX43))</f>
        <v>#N/A</v>
      </c>
      <c r="DB43" s="80" t="e" cm="1">
        <f t="array" aca="1" ref="DB43" ca="1">IF(CY43=0,0,IF(CZ43="G",-1,INDEX(auto_DataFlat_Classification,CY43,$E$11)))</f>
        <v>#N/A</v>
      </c>
      <c r="DC43" s="301" t="e" cm="1">
        <f t="array" aca="1" ref="DC43" ca="1">IF(DB43&lt;0,"",INDEX(uxbGlobals!$B$133:$B$139,DB43))</f>
        <v>#N/A</v>
      </c>
      <c r="DD43" s="80"/>
      <c r="DE43" s="302" t="e" cm="1">
        <f t="array" aca="1" ref="DE43" ca="1">IF(DA43=0,"",IF(CZ43="G","--",INDEX(auto_DataFlat_Rank,CY43,$E$11)))</f>
        <v>#N/A</v>
      </c>
      <c r="DF43" s="122" t="e" cm="1">
        <f t="array" aca="1" ref="DF43" ca="1">IF(DA43=0,"",IF(CZ43="G","AVERAGE",INDEX(auto_ddCountry,CZ43)))</f>
        <v>#N/A</v>
      </c>
      <c r="DG43" s="290" t="e" cm="1">
        <f t="array" aca="1" ref="DG43" ca="1">IF(DA43=0,"",INDEX(auto_DataFlat_Score,CY43,$E$11))</f>
        <v>#N/A</v>
      </c>
      <c r="DH43" s="4"/>
      <c r="DI43" s="49">
        <f t="shared" si="44"/>
        <v>-1</v>
      </c>
      <c r="DJ43" s="49" t="e" cm="1">
        <f t="array" ref="DJ43">IF($F43=0,0,INDEX(sys_DataFlat_LU_Grid,DI43,$E43))</f>
        <v>#VALUE!</v>
      </c>
      <c r="DK43" s="49" t="e" cm="1">
        <f t="array" ref="DK43">IF($F43=0,-1000,CHOOSE($E$14,INDEX(auto_DataFlat_Score,DJ43,$E$11),-INDEX(auto_DataFlat_Score,DJ43,$E$11),-$D43))</f>
        <v>#VALUE!</v>
      </c>
      <c r="DL43" s="91" t="e">
        <f ca="1">RANK(DK43,OFFSET(DK$21,0,0,$E$16+1,1))+COUNTIF(DK$21:DK43,DK43)-1</f>
        <v>#VALUE!</v>
      </c>
      <c r="DM43" s="91" t="e">
        <f t="shared" ca="1" si="28"/>
        <v>#N/A</v>
      </c>
      <c r="DN43" s="91" t="e" cm="1">
        <f t="array" aca="1" ref="DN43" ca="1">INDEX(OFFSET(DJ$21,0,0,$E$16+1,1),DM43)</f>
        <v>#N/A</v>
      </c>
      <c r="DO43" s="49" t="e" cm="1">
        <f t="array" aca="1" ref="DO43" ca="1">INDEX(OFFSET($E$21,0,0,$E$16+1,1),DM43)</f>
        <v>#N/A</v>
      </c>
      <c r="DP43" s="80" t="e" cm="1">
        <f t="array" aca="1" ref="DP43" ca="1">IF(DO43="G",5,INDEX(OFFSET($F$21,0,0,$E$16+1,1),DM43))</f>
        <v>#N/A</v>
      </c>
      <c r="DQ43" s="80" t="e" cm="1">
        <f t="array" aca="1" ref="DQ43" ca="1">IF(DN43=0,0,IF(DO43="G",-1,INDEX(auto_DataFlat_Classification,DN43,$E$11)))</f>
        <v>#N/A</v>
      </c>
      <c r="DR43" s="301" t="e" cm="1">
        <f t="array" aca="1" ref="DR43" ca="1">IF(DQ43&lt;0,"",INDEX(uxbGlobals!$B$133:$B$139,DQ43))</f>
        <v>#N/A</v>
      </c>
      <c r="DS43" s="80"/>
      <c r="DT43" s="302" t="e" cm="1">
        <f t="array" aca="1" ref="DT43" ca="1">IF(DP43=0,"",IF(DO43="G","--",INDEX(auto_DataFlat_Rank,DN43,$E$11)))</f>
        <v>#N/A</v>
      </c>
      <c r="DU43" s="122" t="e" cm="1">
        <f t="array" aca="1" ref="DU43" ca="1">IF(DP43=0,"",IF(DO43="G","AVERAGE",INDEX(auto_ddCountry,DO43)))</f>
        <v>#N/A</v>
      </c>
      <c r="DV43" s="290" t="e" cm="1">
        <f t="array" aca="1" ref="DV43" ca="1">IF(DP43=0,"",INDEX(auto_DataFlat_Score,DN43,$E$11))</f>
        <v>#N/A</v>
      </c>
      <c r="DW43" s="4"/>
      <c r="DX43" s="49">
        <f t="shared" si="45"/>
        <v>-1</v>
      </c>
      <c r="DY43" s="49" t="e" cm="1">
        <f t="array" ref="DY43">IF($F43=0,0,INDEX(sys_DataFlat_LU_Grid,DX43,$E43))</f>
        <v>#VALUE!</v>
      </c>
      <c r="DZ43" s="49" t="e" cm="1">
        <f t="array" ref="DZ43">IF($F43=0,-1000,CHOOSE($E$14,INDEX(auto_DataFlat_Score,DY43,$E$11),-INDEX(auto_DataFlat_Score,DY43,$E$11),-$D43))</f>
        <v>#VALUE!</v>
      </c>
      <c r="EA43" s="91" t="e">
        <f ca="1">RANK(DZ43,OFFSET(DZ$21,0,0,$E$16+1,1))+COUNTIF(DZ$21:DZ43,DZ43)-1</f>
        <v>#VALUE!</v>
      </c>
      <c r="EB43" s="91" t="e">
        <f t="shared" ca="1" si="29"/>
        <v>#N/A</v>
      </c>
      <c r="EC43" s="91" t="e" cm="1">
        <f t="array" aca="1" ref="EC43" ca="1">INDEX(OFFSET(DY$21,0,0,$E$16+1,1),EB43)</f>
        <v>#N/A</v>
      </c>
      <c r="ED43" s="49" t="e" cm="1">
        <f t="array" aca="1" ref="ED43" ca="1">INDEX(OFFSET($E$21,0,0,$E$16+1,1),EB43)</f>
        <v>#N/A</v>
      </c>
      <c r="EE43" s="80" t="e" cm="1">
        <f t="array" aca="1" ref="EE43" ca="1">IF(ED43="G",5,INDEX(OFFSET($F$21,0,0,$E$16+1,1),EB43))</f>
        <v>#N/A</v>
      </c>
      <c r="EF43" s="80" t="e" cm="1">
        <f t="array" aca="1" ref="EF43" ca="1">IF(EC43=0,0,IF(ED43="G",-1,INDEX(auto_DataFlat_Classification,EC43,$E$11)))</f>
        <v>#N/A</v>
      </c>
      <c r="EG43" s="301" t="e" cm="1">
        <f t="array" aca="1" ref="EG43" ca="1">IF(EF43&lt;0,"",INDEX(uxbGlobals!$B$133:$B$139,EF43))</f>
        <v>#N/A</v>
      </c>
      <c r="EH43" s="80"/>
      <c r="EI43" s="302" t="e" cm="1">
        <f t="array" aca="1" ref="EI43" ca="1">IF(EE43=0,"",IF(ED43="G","--",INDEX(auto_DataFlat_Rank,EC43,$E$11)))</f>
        <v>#N/A</v>
      </c>
      <c r="EJ43" s="122" t="e" cm="1">
        <f t="array" aca="1" ref="EJ43" ca="1">IF(EE43=0,"",IF(ED43="G","AVERAGE",INDEX(auto_ddCountry,ED43)))</f>
        <v>#N/A</v>
      </c>
      <c r="EK43" s="290" t="e" cm="1">
        <f t="array" aca="1" ref="EK43" ca="1">IF(EE43=0,"",INDEX(auto_DataFlat_Score,EC43,$E$11))</f>
        <v>#N/A</v>
      </c>
      <c r="EL43" s="4"/>
      <c r="EM43" s="49">
        <f t="shared" si="46"/>
        <v>-1</v>
      </c>
      <c r="EN43" s="49" t="e" cm="1">
        <f t="array" ref="EN43">IF($F43=0,0,INDEX(sys_DataFlat_LU_Grid,EM43,$E43))</f>
        <v>#VALUE!</v>
      </c>
      <c r="EO43" s="49" t="e" cm="1">
        <f t="array" ref="EO43">IF($F43=0,-1000,CHOOSE($E$14,INDEX(auto_DataFlat_Score,EN43,$E$11),-INDEX(auto_DataFlat_Score,EN43,$E$11),-$D43))</f>
        <v>#VALUE!</v>
      </c>
      <c r="EP43" s="91" t="e">
        <f ca="1">RANK(EO43,OFFSET(EO$21,0,0,$E$16+1,1))+COUNTIF(EO$21:EO43,EO43)-1</f>
        <v>#VALUE!</v>
      </c>
      <c r="EQ43" s="91" t="e">
        <f t="shared" ca="1" si="30"/>
        <v>#N/A</v>
      </c>
      <c r="ER43" s="91" t="e" cm="1">
        <f t="array" aca="1" ref="ER43" ca="1">INDEX(OFFSET(EN$21,0,0,$E$16+1,1),EQ43)</f>
        <v>#N/A</v>
      </c>
      <c r="ES43" s="49" t="e" cm="1">
        <f t="array" aca="1" ref="ES43" ca="1">INDEX(OFFSET($E$21,0,0,$E$16+1,1),EQ43)</f>
        <v>#N/A</v>
      </c>
      <c r="ET43" s="80" t="e" cm="1">
        <f t="array" aca="1" ref="ET43" ca="1">IF(ES43="G",5,INDEX(OFFSET($F$21,0,0,$E$16+1,1),EQ43))</f>
        <v>#N/A</v>
      </c>
      <c r="EU43" s="80" t="e" cm="1">
        <f t="array" aca="1" ref="EU43" ca="1">IF(ER43=0,0,IF(ES43="G",-1,INDEX(auto_DataFlat_Classification,ER43,$E$11)))</f>
        <v>#N/A</v>
      </c>
      <c r="EV43" s="301" t="e" cm="1">
        <f t="array" aca="1" ref="EV43" ca="1">IF(EU43&lt;0,"",INDEX(uxbGlobals!$B$133:$B$139,EU43))</f>
        <v>#N/A</v>
      </c>
      <c r="EW43" s="80"/>
      <c r="EX43" s="302" t="e" cm="1">
        <f t="array" aca="1" ref="EX43" ca="1">IF(ET43=0,"",IF(ES43="G","--",INDEX(auto_DataFlat_Rank,ER43,$E$11)))</f>
        <v>#N/A</v>
      </c>
      <c r="EY43" s="122" t="e" cm="1">
        <f t="array" aca="1" ref="EY43" ca="1">IF(ET43=0,"",IF(ES43="G","AVERAGE",INDEX(auto_ddCountry,ES43)))</f>
        <v>#N/A</v>
      </c>
      <c r="EZ43" s="290" t="e" cm="1">
        <f t="array" aca="1" ref="EZ43" ca="1">IF(ET43=0,"",INDEX(auto_DataFlat_Score,ER43,$E$11))</f>
        <v>#N/A</v>
      </c>
    </row>
    <row r="44" spans="1:156" ht="17.149999999999999" customHeight="1" x14ac:dyDescent="0.4">
      <c r="A44" s="4"/>
      <c r="B44" s="4"/>
      <c r="C44" s="4"/>
      <c r="D44" s="26">
        <v>24</v>
      </c>
      <c r="E44" s="49">
        <f>tblCountries!M25</f>
        <v>23</v>
      </c>
      <c r="F44" s="114" cm="1">
        <f t="array" ref="F44">IF(E44=0,0,INDEX(auto_Country_Status,E44))</f>
        <v>1</v>
      </c>
      <c r="G44" s="4"/>
      <c r="H44" s="49">
        <f t="shared" si="31"/>
        <v>1</v>
      </c>
      <c r="I44" s="49" cm="1">
        <f t="array" ref="I44">IF($F44=0,0,INDEX(sys_DataFlat_LU_Grid,H44,$E44))</f>
        <v>23</v>
      </c>
      <c r="J44" s="49" cm="1">
        <f t="array" ref="J44">IF($F44=0,-1000,CHOOSE($E$14,INDEX(auto_DataFlat_Score,I44,$E$11),-INDEX(auto_DataFlat_Score,I44,$E$11),-$D44))</f>
        <v>51.8</v>
      </c>
      <c r="K44" s="91">
        <f ca="1">RANK(J44,OFFSET(J$21,0,0,$E$16+1,1))+COUNTIF(J$21:J44,J44)-1</f>
        <v>38</v>
      </c>
      <c r="L44" s="91">
        <f t="shared" ca="1" si="48"/>
        <v>44</v>
      </c>
      <c r="M44" s="91" cm="1">
        <f t="array" aca="1" ref="M44" ca="1">INDEX(OFFSET(I$21,0,0,$E$16+1,1),L44)</f>
        <v>43</v>
      </c>
      <c r="N44" s="49" cm="1">
        <f t="array" aca="1" ref="N44" ca="1">INDEX(OFFSET($E$21,0,0,$E$16+1,1),L44)</f>
        <v>43</v>
      </c>
      <c r="O44" s="80" cm="1">
        <f t="array" aca="1" ref="O44" ca="1">IF(N44="G",5,INDEX(OFFSET($F$21,0,0,$E$16+1,1),L44))</f>
        <v>1</v>
      </c>
      <c r="P44" s="80" cm="1">
        <f t="array" aca="1" ref="P44" ca="1">IF(M44=0,0,IF(N44="G",-1,INDEX(auto_DataFlat_Classification,M44,$E$11)))</f>
        <v>4</v>
      </c>
      <c r="Q44" s="301" t="str" cm="1">
        <f t="array" aca="1" ref="Q44" ca="1">IF(P44&lt;0,"",INDEX(uxbGlobals!$B$133:$B$139,P44))</f>
        <v xml:space="preserve"> </v>
      </c>
      <c r="R44" s="80"/>
      <c r="S44" s="302" t="str" cm="1">
        <f t="array" aca="1" ref="S44" ca="1">IF(O44=0,"",IF(N44="G","--",INDEX(auto_DataFlat_Rank,M44,$E$11)))</f>
        <v>24</v>
      </c>
      <c r="T44" s="122" t="str" cm="1">
        <f t="array" aca="1" ref="T44" ca="1">IF(O44=0,"",IF(N44="G"," AVERAGE",INDEX(auto_ddCountry,N44)))</f>
        <v>Shanghai</v>
      </c>
      <c r="U44" s="290" cm="1">
        <f t="array" aca="1" ref="U44" ca="1">IF(O44=0,"",INDEX(auto_DataFlat_Score,M44,$E$11))</f>
        <v>65.3</v>
      </c>
      <c r="V44" s="4"/>
      <c r="W44" s="49">
        <f t="shared" si="33"/>
        <v>2</v>
      </c>
      <c r="X44" s="49" cm="1">
        <f t="array" ref="X44">IF($F44=0,0,INDEX(sys_DataFlat_LU_Grid,W44,$E44))</f>
        <v>83</v>
      </c>
      <c r="Y44" s="49" cm="1">
        <f t="array" ref="Y44">IF($F44=0,-1000,CHOOSE($E$14,INDEX(auto_DataFlat_Score,X44,$E$11),-INDEX(auto_DataFlat_Score,X44,$E$11),-$D44))</f>
        <v>34.200000000000003</v>
      </c>
      <c r="Z44" s="91">
        <f ca="1">RANK(Y44,OFFSET(Y$21,0,0,$E$16+1,1))+COUNTIF(Y$21:Y44,Y44)-1</f>
        <v>50</v>
      </c>
      <c r="AA44" s="91">
        <f t="shared" ca="1" si="49"/>
        <v>17</v>
      </c>
      <c r="AB44" s="91" cm="1">
        <f t="array" aca="1" ref="AB44" ca="1">INDEX(OFFSET(X$21,0,0,$E$16+1,1),AA44)</f>
        <v>76</v>
      </c>
      <c r="AC44" s="49" cm="1">
        <f t="array" aca="1" ref="AC44" ca="1">INDEX(OFFSET($E$21,0,0,$E$16+1,1),AA44)</f>
        <v>16</v>
      </c>
      <c r="AD44" s="80" cm="1">
        <f t="array" aca="1" ref="AD44" ca="1">IF(AC44="G",5,INDEX(OFFSET($F$21,0,0,$E$16+1,1),AA44))</f>
        <v>1</v>
      </c>
      <c r="AE44" s="80" cm="1">
        <f t="array" aca="1" ref="AE44" ca="1">IF(AB44=0,0,IF(AC44="G",-1,INDEX(auto_DataFlat_Classification,AB44,$E$11)))</f>
        <v>4</v>
      </c>
      <c r="AF44" s="301" t="str" cm="1">
        <f t="array" aca="1" ref="AF44" ca="1">IF(AE44&lt;0,"",INDEX(uxbGlobals!$B$133:$B$139,AE44))</f>
        <v xml:space="preserve"> </v>
      </c>
      <c r="AG44" s="80"/>
      <c r="AH44" s="302" t="str" cm="1">
        <f t="array" aca="1" ref="AH44" ca="1">IF(AD44=0,"",IF(AC44="G","--",INDEX(auto_DataFlat_Rank,AB44,$E$11)))</f>
        <v>24</v>
      </c>
      <c r="AI44" s="122" t="str" cm="1">
        <f t="array" aca="1" ref="AI44" ca="1">IF(AD44=0,"",IF(AC44="G","AVERAGE",INDEX(auto_ddCountry,AC44)))</f>
        <v>Ho Chi Minh City</v>
      </c>
      <c r="AJ44" s="290" cm="1">
        <f t="array" aca="1" ref="AJ44" ca="1">IF(AD44=0,"",INDEX(auto_DataFlat_Score,AB44,$E$11))</f>
        <v>77</v>
      </c>
      <c r="AK44" s="4"/>
      <c r="AL44" s="49">
        <f t="shared" si="35"/>
        <v>14</v>
      </c>
      <c r="AM44" s="49" cm="1">
        <f t="array" ref="AM44">IF($F44=0,0,INDEX(sys_DataFlat_LU_Grid,AL44,$E44))</f>
        <v>803</v>
      </c>
      <c r="AN44" s="49" cm="1">
        <f t="array" ref="AN44">IF($F44=0,-1000,CHOOSE($E$14,INDEX(auto_DataFlat_Score,AM44,$E$11),-INDEX(auto_DataFlat_Score,AM44,$E$11),-$D44))</f>
        <v>23.2</v>
      </c>
      <c r="AO44" s="91">
        <f ca="1">RANK(AN44,OFFSET(AN$21,0,0,$E$16+1,1))+COUNTIF(AN$21:AN44,AN44)-1</f>
        <v>47</v>
      </c>
      <c r="AP44" s="91">
        <f t="shared" ca="1" si="50"/>
        <v>20</v>
      </c>
      <c r="AQ44" s="91" cm="1">
        <f t="array" aca="1" ref="AQ44" ca="1">INDEX(OFFSET(AM$21,0,0,$E$16+1,1),AP44)</f>
        <v>799</v>
      </c>
      <c r="AR44" s="49" cm="1">
        <f t="array" aca="1" ref="AR44" ca="1">INDEX(OFFSET($E$21,0,0,$E$16+1,1),AP44)</f>
        <v>19</v>
      </c>
      <c r="AS44" s="80" cm="1">
        <f t="array" aca="1" ref="AS44" ca="1">IF(AR44="G",5,INDEX(OFFSET($F$21,0,0,$E$16+1,1),AP44))</f>
        <v>1</v>
      </c>
      <c r="AT44" s="80" cm="1">
        <f t="array" aca="1" ref="AT44" ca="1">IF(AQ44=0,0,IF(AR44="G",-1,INDEX(auto_DataFlat_Classification,AQ44,$E$11)))</f>
        <v>3</v>
      </c>
      <c r="AU44" s="301" t="str" cm="1">
        <f t="array" aca="1" ref="AU44" ca="1">IF(AT44&lt;0,"",INDEX(uxbGlobals!$B$133:$B$139,AT44))</f>
        <v xml:space="preserve"> </v>
      </c>
      <c r="AV44" s="80"/>
      <c r="AW44" s="302" t="str" cm="1">
        <f t="array" aca="1" ref="AW44" ca="1">IF(AS44=0,"",IF(AR44="G","--",INDEX(auto_DataFlat_Rank,AQ44,$E$11)))</f>
        <v>24</v>
      </c>
      <c r="AX44" s="122" t="str" cm="1">
        <f t="array" aca="1" ref="AX44" ca="1">IF(AS44=0,"",IF(AR44="G","AVERAGE",INDEX(auto_ddCountry,AR44)))</f>
        <v>Jakarta</v>
      </c>
      <c r="AY44" s="290" cm="1">
        <f t="array" aca="1" ref="AY44" ca="1">IF(AS44=0,"",INDEX(auto_DataFlat_Score,AQ44,$E$11))</f>
        <v>51.1</v>
      </c>
      <c r="AZ44" s="4"/>
      <c r="BA44" s="49">
        <f t="shared" si="37"/>
        <v>22</v>
      </c>
      <c r="BB44" s="49" cm="1">
        <f t="array" ref="BB44">IF($F44=0,0,INDEX(sys_DataFlat_LU_Grid,BA44,$E44))</f>
        <v>1283</v>
      </c>
      <c r="BC44" s="49" cm="1">
        <f t="array" ref="BC44">IF($F44=0,-1000,CHOOSE($E$14,INDEX(auto_DataFlat_Score,BB44,$E$11),-INDEX(auto_DataFlat_Score,BB44,$E$11),-$D44))</f>
        <v>43.9</v>
      </c>
      <c r="BD44" s="91">
        <f ca="1">RANK(BC44,OFFSET(BC$21,0,0,$E$16+1,1))+COUNTIF(BC$21:BC44,BC44)-1</f>
        <v>38</v>
      </c>
      <c r="BE44" s="91">
        <f t="shared" ca="1" si="51"/>
        <v>50</v>
      </c>
      <c r="BF44" s="91" cm="1">
        <f t="array" aca="1" ref="BF44" ca="1">INDEX(OFFSET(BB$21,0,0,$E$16+1,1),BE44)</f>
        <v>1309</v>
      </c>
      <c r="BG44" s="49" cm="1">
        <f t="array" aca="1" ref="BG44" ca="1">INDEX(OFFSET($E$21,0,0,$E$16+1,1),BE44)</f>
        <v>49</v>
      </c>
      <c r="BH44" s="80" cm="1">
        <f t="array" aca="1" ref="BH44" ca="1">IF(BG44="G",5,INDEX(OFFSET($F$21,0,0,$E$16+1,1),BE44))</f>
        <v>1</v>
      </c>
      <c r="BI44" s="80" cm="1">
        <f t="array" aca="1" ref="BI44" ca="1">IF(BF44=0,0,IF(BG44="G",-1,INDEX(auto_DataFlat_Classification,BF44,$E$11)))</f>
        <v>3</v>
      </c>
      <c r="BJ44" s="301" t="str" cm="1">
        <f t="array" aca="1" ref="BJ44" ca="1">IF(BI44&lt;0,"",INDEX(uxbGlobals!$B$133:$B$139,BI44))</f>
        <v xml:space="preserve"> </v>
      </c>
      <c r="BK44" s="80"/>
      <c r="BL44" s="302" t="str" cm="1">
        <f t="array" aca="1" ref="BL44" ca="1">IF(BH44=0,"",IF(BG44="G","--",INDEX(auto_DataFlat_Rank,BF44,$E$11)))</f>
        <v>24</v>
      </c>
      <c r="BM44" s="122" t="str" cm="1">
        <f t="array" aca="1" ref="BM44" ca="1">IF(BH44=0,"",IF(BG44="G","AVERAGE",INDEX(auto_ddCountry,BG44)))</f>
        <v>Wuhan</v>
      </c>
      <c r="BN44" s="290" cm="1">
        <f t="array" aca="1" ref="BN44" ca="1">IF(BH44=0,"",INDEX(auto_DataFlat_Score,BF44,$E$11))</f>
        <v>58.7</v>
      </c>
      <c r="BO44" s="4"/>
      <c r="BP44" s="49">
        <f t="shared" si="39"/>
        <v>47</v>
      </c>
      <c r="BQ44" s="49" cm="1">
        <f t="array" ref="BQ44">IF($F44=0,0,INDEX(sys_DataFlat_LU_Grid,BP44,$E44))</f>
        <v>2783</v>
      </c>
      <c r="BR44" s="49" cm="1">
        <f t="array" ref="BR44">IF($F44=0,-1000,CHOOSE($E$14,INDEX(auto_DataFlat_Score,BQ44,$E$11),-INDEX(auto_DataFlat_Score,BQ44,$E$11),-$D44))</f>
        <v>71</v>
      </c>
      <c r="BS44" s="91">
        <f ca="1">RANK(BR44,OFFSET(BR$21,0,0,$E$16+1,1))+COUNTIF(BR$21:BR44,BR44)-1</f>
        <v>23</v>
      </c>
      <c r="BT44" s="91">
        <f t="shared" ca="1" si="52"/>
        <v>33</v>
      </c>
      <c r="BU44" s="91" cm="1">
        <f t="array" aca="1" ref="BU44" ca="1">INDEX(OFFSET(BQ$21,0,0,$E$16+1,1),BT44)</f>
        <v>2792</v>
      </c>
      <c r="BV44" s="49" cm="1">
        <f t="array" aca="1" ref="BV44" ca="1">INDEX(OFFSET($E$21,0,0,$E$16+1,1),BT44)</f>
        <v>32</v>
      </c>
      <c r="BW44" s="80" cm="1">
        <f t="array" aca="1" ref="BW44" ca="1">IF(BV44="G",5,INDEX(OFFSET($F$21,0,0,$E$16+1,1),BT44))</f>
        <v>1</v>
      </c>
      <c r="BX44" s="80" cm="1">
        <f t="array" aca="1" ref="BX44" ca="1">IF(BU44=0,0,IF(BV44="G",-1,INDEX(auto_DataFlat_Classification,BU44,$E$11)))</f>
        <v>4</v>
      </c>
      <c r="BY44" s="301" t="str" cm="1">
        <f t="array" aca="1" ref="BY44" ca="1">IF(BX44&lt;0,"",INDEX(uxbGlobals!$B$133:$B$139,BX44))</f>
        <v xml:space="preserve"> </v>
      </c>
      <c r="BZ44" s="80"/>
      <c r="CA44" s="302" t="str" cm="1">
        <f t="array" aca="1" ref="CA44" ca="1">IF(BW44=0,"",IF(BV44="G","--",INDEX(auto_DataFlat_Rank,BU44,$E$11)))</f>
        <v>=22</v>
      </c>
      <c r="CB44" s="122" t="str" cm="1">
        <f t="array" aca="1" ref="CB44" ca="1">IF(BW44=0,"",IF(BV44="G","AVERAGE",INDEX(auto_ddCountry,BV44)))</f>
        <v>Mumbai</v>
      </c>
      <c r="CC44" s="290" cm="1">
        <f t="array" aca="1" ref="CC44" ca="1">IF(BW44=0,"",INDEX(auto_DataFlat_Score,BU44,$E$11))</f>
        <v>71</v>
      </c>
      <c r="CD44" s="4"/>
      <c r="CE44" s="49">
        <f t="shared" si="41"/>
        <v>52</v>
      </c>
      <c r="CF44" s="49" cm="1">
        <f t="array" ref="CF44">IF($F44=0,0,INDEX(sys_DataFlat_LU_Grid,CE44,$E44))</f>
        <v>3083</v>
      </c>
      <c r="CG44" s="49" cm="1">
        <f t="array" ref="CG44">IF($F44=0,-1000,CHOOSE($E$14,INDEX(auto_DataFlat_Score,CF44,$E$11),-INDEX(auto_DataFlat_Score,CF44,$E$11),-$D44))</f>
        <v>75.900000000000006</v>
      </c>
      <c r="CH44" s="91">
        <f ca="1">RANK(CG44,OFFSET(CG$21,0,0,$E$16+1,1))+COUNTIF(CG$21:CG44,CG44)-1</f>
        <v>18</v>
      </c>
      <c r="CI44" s="91">
        <f t="shared" ca="1" si="53"/>
        <v>47</v>
      </c>
      <c r="CJ44" s="91" cm="1">
        <f t="array" aca="1" ref="CJ44" ca="1">INDEX(OFFSET(CF$21,0,0,$E$16+1,1),CI44)</f>
        <v>3106</v>
      </c>
      <c r="CK44" s="49" cm="1">
        <f t="array" aca="1" ref="CK44" ca="1">INDEX(OFFSET($E$21,0,0,$E$16+1,1),CI44)</f>
        <v>46</v>
      </c>
      <c r="CL44" s="80" cm="1">
        <f t="array" aca="1" ref="CL44" ca="1">IF(CK44="G",5,INDEX(OFFSET($F$21,0,0,$E$16+1,1),CI44))</f>
        <v>1</v>
      </c>
      <c r="CM44" s="80" cm="1">
        <f t="array" aca="1" ref="CM44" ca="1">IF(CJ44=0,0,IF(CK44="G",-1,INDEX(auto_DataFlat_Classification,CJ44,$E$11)))</f>
        <v>4</v>
      </c>
      <c r="CN44" s="301" t="str" cm="1">
        <f t="array" aca="1" ref="CN44" ca="1">IF(CM44&lt;0,"",INDEX(uxbGlobals!$B$133:$B$139,CM44))</f>
        <v xml:space="preserve"> </v>
      </c>
      <c r="CO44" s="80"/>
      <c r="CP44" s="302" t="str" cm="1">
        <f t="array" aca="1" ref="CP44" ca="1">IF(CL44=0,"",IF(CK44="G","--",INDEX(auto_DataFlat_Rank,CJ44,$E$11)))</f>
        <v>=21</v>
      </c>
      <c r="CQ44" s="122" t="str" cm="1">
        <f t="array" aca="1" ref="CQ44" ca="1">IF(CL44=0,"",IF(CK44="G","AVERAGE",INDEX(auto_ddCountry,CK44)))</f>
        <v>Tokyo</v>
      </c>
      <c r="CR44" s="290" cm="1">
        <f t="array" aca="1" ref="CR44" ca="1">IF(CL44=0,"",INDEX(auto_DataFlat_Score,CJ44,$E$11))</f>
        <v>74.099999999999994</v>
      </c>
      <c r="CS44" s="4"/>
      <c r="CT44" s="49">
        <f t="shared" si="43"/>
        <v>-1</v>
      </c>
      <c r="CU44" s="49" t="e" cm="1">
        <f t="array" ref="CU44">IF($F44=0,0,INDEX(sys_DataFlat_LU_Grid,CT44,$E44))</f>
        <v>#VALUE!</v>
      </c>
      <c r="CV44" s="49" t="e" cm="1">
        <f t="array" ref="CV44">IF($F44=0,-1000,CHOOSE($E$14,INDEX(auto_DataFlat_Score,CU44,$E$11),-INDEX(auto_DataFlat_Score,CU44,$E$11),-$D44))</f>
        <v>#VALUE!</v>
      </c>
      <c r="CW44" s="91" t="e">
        <f ca="1">RANK(CV44,OFFSET(CV$21,0,0,$E$16+1,1))+COUNTIF(CV$21:CV44,CV44)-1</f>
        <v>#VALUE!</v>
      </c>
      <c r="CX44" s="91" t="e">
        <f t="shared" ca="1" si="47"/>
        <v>#N/A</v>
      </c>
      <c r="CY44" s="91" t="e" cm="1">
        <f t="array" aca="1" ref="CY44" ca="1">INDEX(OFFSET(CU$21,0,0,$E$16+1,1),CX44)</f>
        <v>#N/A</v>
      </c>
      <c r="CZ44" s="49" t="e" cm="1">
        <f t="array" aca="1" ref="CZ44" ca="1">INDEX(OFFSET($E$21,0,0,$E$16+1,1),CX44)</f>
        <v>#N/A</v>
      </c>
      <c r="DA44" s="80" t="e" cm="1">
        <f t="array" aca="1" ref="DA44" ca="1">IF(CZ44="G",5,INDEX(OFFSET($F$21,0,0,$E$16+1,1),CX44))</f>
        <v>#N/A</v>
      </c>
      <c r="DB44" s="80" t="e" cm="1">
        <f t="array" aca="1" ref="DB44" ca="1">IF(CY44=0,0,IF(CZ44="G",-1,INDEX(auto_DataFlat_Classification,CY44,$E$11)))</f>
        <v>#N/A</v>
      </c>
      <c r="DC44" s="301" t="e" cm="1">
        <f t="array" aca="1" ref="DC44" ca="1">IF(DB44&lt;0,"",INDEX(uxbGlobals!$B$133:$B$139,DB44))</f>
        <v>#N/A</v>
      </c>
      <c r="DD44" s="80"/>
      <c r="DE44" s="302" t="e" cm="1">
        <f t="array" aca="1" ref="DE44" ca="1">IF(DA44=0,"",IF(CZ44="G","--",INDEX(auto_DataFlat_Rank,CY44,$E$11)))</f>
        <v>#N/A</v>
      </c>
      <c r="DF44" s="122" t="e" cm="1">
        <f t="array" aca="1" ref="DF44" ca="1">IF(DA44=0,"",IF(CZ44="G","AVERAGE",INDEX(auto_ddCountry,CZ44)))</f>
        <v>#N/A</v>
      </c>
      <c r="DG44" s="290" t="e" cm="1">
        <f t="array" aca="1" ref="DG44" ca="1">IF(DA44=0,"",INDEX(auto_DataFlat_Score,CY44,$E$11))</f>
        <v>#N/A</v>
      </c>
      <c r="DH44" s="4"/>
      <c r="DI44" s="49">
        <f t="shared" si="44"/>
        <v>-1</v>
      </c>
      <c r="DJ44" s="49" t="e" cm="1">
        <f t="array" ref="DJ44">IF($F44=0,0,INDEX(sys_DataFlat_LU_Grid,DI44,$E44))</f>
        <v>#VALUE!</v>
      </c>
      <c r="DK44" s="49" t="e" cm="1">
        <f t="array" ref="DK44">IF($F44=0,-1000,CHOOSE($E$14,INDEX(auto_DataFlat_Score,DJ44,$E$11),-INDEX(auto_DataFlat_Score,DJ44,$E$11),-$D44))</f>
        <v>#VALUE!</v>
      </c>
      <c r="DL44" s="91" t="e">
        <f ca="1">RANK(DK44,OFFSET(DK$21,0,0,$E$16+1,1))+COUNTIF(DK$21:DK44,DK44)-1</f>
        <v>#VALUE!</v>
      </c>
      <c r="DM44" s="91" t="e">
        <f t="shared" ca="1" si="28"/>
        <v>#N/A</v>
      </c>
      <c r="DN44" s="91" t="e" cm="1">
        <f t="array" aca="1" ref="DN44" ca="1">INDEX(OFFSET(DJ$21,0,0,$E$16+1,1),DM44)</f>
        <v>#N/A</v>
      </c>
      <c r="DO44" s="49" t="e" cm="1">
        <f t="array" aca="1" ref="DO44" ca="1">INDEX(OFFSET($E$21,0,0,$E$16+1,1),DM44)</f>
        <v>#N/A</v>
      </c>
      <c r="DP44" s="80" t="e" cm="1">
        <f t="array" aca="1" ref="DP44" ca="1">IF(DO44="G",5,INDEX(OFFSET($F$21,0,0,$E$16+1,1),DM44))</f>
        <v>#N/A</v>
      </c>
      <c r="DQ44" s="80" t="e" cm="1">
        <f t="array" aca="1" ref="DQ44" ca="1">IF(DN44=0,0,IF(DO44="G",-1,INDEX(auto_DataFlat_Classification,DN44,$E$11)))</f>
        <v>#N/A</v>
      </c>
      <c r="DR44" s="301" t="e" cm="1">
        <f t="array" aca="1" ref="DR44" ca="1">IF(DQ44&lt;0,"",INDEX(uxbGlobals!$B$133:$B$139,DQ44))</f>
        <v>#N/A</v>
      </c>
      <c r="DS44" s="80"/>
      <c r="DT44" s="302" t="e" cm="1">
        <f t="array" aca="1" ref="DT44" ca="1">IF(DP44=0,"",IF(DO44="G","--",INDEX(auto_DataFlat_Rank,DN44,$E$11)))</f>
        <v>#N/A</v>
      </c>
      <c r="DU44" s="122" t="e" cm="1">
        <f t="array" aca="1" ref="DU44" ca="1">IF(DP44=0,"",IF(DO44="G","AVERAGE",INDEX(auto_ddCountry,DO44)))</f>
        <v>#N/A</v>
      </c>
      <c r="DV44" s="290" t="e" cm="1">
        <f t="array" aca="1" ref="DV44" ca="1">IF(DP44=0,"",INDEX(auto_DataFlat_Score,DN44,$E$11))</f>
        <v>#N/A</v>
      </c>
      <c r="DW44" s="4"/>
      <c r="DX44" s="49">
        <f t="shared" si="45"/>
        <v>-1</v>
      </c>
      <c r="DY44" s="49" t="e" cm="1">
        <f t="array" ref="DY44">IF($F44=0,0,INDEX(sys_DataFlat_LU_Grid,DX44,$E44))</f>
        <v>#VALUE!</v>
      </c>
      <c r="DZ44" s="49" t="e" cm="1">
        <f t="array" ref="DZ44">IF($F44=0,-1000,CHOOSE($E$14,INDEX(auto_DataFlat_Score,DY44,$E$11),-INDEX(auto_DataFlat_Score,DY44,$E$11),-$D44))</f>
        <v>#VALUE!</v>
      </c>
      <c r="EA44" s="91" t="e">
        <f ca="1">RANK(DZ44,OFFSET(DZ$21,0,0,$E$16+1,1))+COUNTIF(DZ$21:DZ44,DZ44)-1</f>
        <v>#VALUE!</v>
      </c>
      <c r="EB44" s="91" t="e">
        <f t="shared" ca="1" si="29"/>
        <v>#N/A</v>
      </c>
      <c r="EC44" s="91" t="e" cm="1">
        <f t="array" aca="1" ref="EC44" ca="1">INDEX(OFFSET(DY$21,0,0,$E$16+1,1),EB44)</f>
        <v>#N/A</v>
      </c>
      <c r="ED44" s="49" t="e" cm="1">
        <f t="array" aca="1" ref="ED44" ca="1">INDEX(OFFSET($E$21,0,0,$E$16+1,1),EB44)</f>
        <v>#N/A</v>
      </c>
      <c r="EE44" s="80" t="e" cm="1">
        <f t="array" aca="1" ref="EE44" ca="1">IF(ED44="G",5,INDEX(OFFSET($F$21,0,0,$E$16+1,1),EB44))</f>
        <v>#N/A</v>
      </c>
      <c r="EF44" s="80" t="e" cm="1">
        <f t="array" aca="1" ref="EF44" ca="1">IF(EC44=0,0,IF(ED44="G",-1,INDEX(auto_DataFlat_Classification,EC44,$E$11)))</f>
        <v>#N/A</v>
      </c>
      <c r="EG44" s="301" t="e" cm="1">
        <f t="array" aca="1" ref="EG44" ca="1">IF(EF44&lt;0,"",INDEX(uxbGlobals!$B$133:$B$139,EF44))</f>
        <v>#N/A</v>
      </c>
      <c r="EH44" s="80"/>
      <c r="EI44" s="302" t="e" cm="1">
        <f t="array" aca="1" ref="EI44" ca="1">IF(EE44=0,"",IF(ED44="G","--",INDEX(auto_DataFlat_Rank,EC44,$E$11)))</f>
        <v>#N/A</v>
      </c>
      <c r="EJ44" s="122" t="e" cm="1">
        <f t="array" aca="1" ref="EJ44" ca="1">IF(EE44=0,"",IF(ED44="G","AVERAGE",INDEX(auto_ddCountry,ED44)))</f>
        <v>#N/A</v>
      </c>
      <c r="EK44" s="290" t="e" cm="1">
        <f t="array" aca="1" ref="EK44" ca="1">IF(EE44=0,"",INDEX(auto_DataFlat_Score,EC44,$E$11))</f>
        <v>#N/A</v>
      </c>
      <c r="EL44" s="4"/>
      <c r="EM44" s="49">
        <f t="shared" si="46"/>
        <v>-1</v>
      </c>
      <c r="EN44" s="49" t="e" cm="1">
        <f t="array" ref="EN44">IF($F44=0,0,INDEX(sys_DataFlat_LU_Grid,EM44,$E44))</f>
        <v>#VALUE!</v>
      </c>
      <c r="EO44" s="49" t="e" cm="1">
        <f t="array" ref="EO44">IF($F44=0,-1000,CHOOSE($E$14,INDEX(auto_DataFlat_Score,EN44,$E$11),-INDEX(auto_DataFlat_Score,EN44,$E$11),-$D44))</f>
        <v>#VALUE!</v>
      </c>
      <c r="EP44" s="91" t="e">
        <f ca="1">RANK(EO44,OFFSET(EO$21,0,0,$E$16+1,1))+COUNTIF(EO$21:EO44,EO44)-1</f>
        <v>#VALUE!</v>
      </c>
      <c r="EQ44" s="91" t="e">
        <f t="shared" ca="1" si="30"/>
        <v>#N/A</v>
      </c>
      <c r="ER44" s="91" t="e" cm="1">
        <f t="array" aca="1" ref="ER44" ca="1">INDEX(OFFSET(EN$21,0,0,$E$16+1,1),EQ44)</f>
        <v>#N/A</v>
      </c>
      <c r="ES44" s="49" t="e" cm="1">
        <f t="array" aca="1" ref="ES44" ca="1">INDEX(OFFSET($E$21,0,0,$E$16+1,1),EQ44)</f>
        <v>#N/A</v>
      </c>
      <c r="ET44" s="80" t="e" cm="1">
        <f t="array" aca="1" ref="ET44" ca="1">IF(ES44="G",5,INDEX(OFFSET($F$21,0,0,$E$16+1,1),EQ44))</f>
        <v>#N/A</v>
      </c>
      <c r="EU44" s="80" t="e" cm="1">
        <f t="array" aca="1" ref="EU44" ca="1">IF(ER44=0,0,IF(ES44="G",-1,INDEX(auto_DataFlat_Classification,ER44,$E$11)))</f>
        <v>#N/A</v>
      </c>
      <c r="EV44" s="301" t="e" cm="1">
        <f t="array" aca="1" ref="EV44" ca="1">IF(EU44&lt;0,"",INDEX(uxbGlobals!$B$133:$B$139,EU44))</f>
        <v>#N/A</v>
      </c>
      <c r="EW44" s="80"/>
      <c r="EX44" s="302" t="e" cm="1">
        <f t="array" aca="1" ref="EX44" ca="1">IF(ET44=0,"",IF(ES44="G","--",INDEX(auto_DataFlat_Rank,ER44,$E$11)))</f>
        <v>#N/A</v>
      </c>
      <c r="EY44" s="122" t="e" cm="1">
        <f t="array" aca="1" ref="EY44" ca="1">IF(ET44=0,"",IF(ES44="G","AVERAGE",INDEX(auto_ddCountry,ES44)))</f>
        <v>#N/A</v>
      </c>
      <c r="EZ44" s="290" t="e" cm="1">
        <f t="array" aca="1" ref="EZ44" ca="1">IF(ET44=0,"",INDEX(auto_DataFlat_Score,ER44,$E$11))</f>
        <v>#N/A</v>
      </c>
    </row>
    <row r="45" spans="1:156" ht="17.149999999999999" customHeight="1" x14ac:dyDescent="0.4">
      <c r="A45" s="4"/>
      <c r="B45" s="4"/>
      <c r="C45" s="4"/>
      <c r="D45" s="26">
        <v>25</v>
      </c>
      <c r="E45" s="49">
        <f>tblCountries!M26</f>
        <v>24</v>
      </c>
      <c r="F45" s="114" cm="1">
        <f t="array" ref="F45">IF(E45=0,0,INDEX(auto_Country_Status,E45))</f>
        <v>1</v>
      </c>
      <c r="G45" s="4"/>
      <c r="H45" s="49">
        <f t="shared" si="31"/>
        <v>1</v>
      </c>
      <c r="I45" s="49" cm="1">
        <f t="array" ref="I45">IF($F45=0,0,INDEX(sys_DataFlat_LU_Grid,H45,$E45))</f>
        <v>24</v>
      </c>
      <c r="J45" s="49" cm="1">
        <f t="array" ref="J45">IF($F45=0,-1000,CHOOSE($E$14,INDEX(auto_DataFlat_Score,I45,$E$11),-INDEX(auto_DataFlat_Score,I45,$E$11),-$D45))</f>
        <v>42.1</v>
      </c>
      <c r="K45" s="91">
        <f ca="1">RANK(J45,OFFSET(J$21,0,0,$E$16+1,1))+COUNTIF(J$21:J45,J45)-1</f>
        <v>47</v>
      </c>
      <c r="L45" s="91">
        <f t="shared" ca="1" si="48"/>
        <v>15</v>
      </c>
      <c r="M45" s="91" cm="1">
        <f t="array" aca="1" ref="M45" ca="1">INDEX(OFFSET(I$21,0,0,$E$16+1,1),L45)</f>
        <v>14</v>
      </c>
      <c r="N45" s="49" cm="1">
        <f t="array" aca="1" ref="N45" ca="1">INDEX(OFFSET($E$21,0,0,$E$16+1,1),L45)</f>
        <v>14</v>
      </c>
      <c r="O45" s="80" cm="1">
        <f t="array" aca="1" ref="O45" ca="1">IF(N45="G",5,INDEX(OFFSET($F$21,0,0,$E$16+1,1),L45))</f>
        <v>1</v>
      </c>
      <c r="P45" s="80" cm="1">
        <f t="array" aca="1" ref="P45" ca="1">IF(M45=0,0,IF(N45="G",-1,INDEX(auto_DataFlat_Classification,M45,$E$11)))</f>
        <v>4</v>
      </c>
      <c r="Q45" s="301" t="str" cm="1">
        <f t="array" aca="1" ref="Q45" ca="1">IF(P45&lt;0,"",INDEX(uxbGlobals!$B$133:$B$139,P45))</f>
        <v xml:space="preserve"> </v>
      </c>
      <c r="R45" s="80"/>
      <c r="S45" s="302" t="str" cm="1">
        <f t="array" aca="1" ref="S45" ca="1">IF(O45=0,"",IF(N45="G","--",INDEX(auto_DataFlat_Rank,M45,$E$11)))</f>
        <v>25</v>
      </c>
      <c r="T45" s="122" t="str" cm="1">
        <f t="array" aca="1" ref="T45" ca="1">IF(O45=0,"",IF(N45="G"," AVERAGE",INDEX(auto_ddCountry,N45)))</f>
        <v>Dubai</v>
      </c>
      <c r="U45" s="290" cm="1">
        <f t="array" aca="1" ref="U45" ca="1">IF(O45=0,"",INDEX(auto_DataFlat_Score,M45,$E$11))</f>
        <v>65</v>
      </c>
      <c r="V45" s="4"/>
      <c r="W45" s="49">
        <f t="shared" si="33"/>
        <v>2</v>
      </c>
      <c r="X45" s="49" cm="1">
        <f t="array" ref="X45">IF($F45=0,0,INDEX(sys_DataFlat_LU_Grid,W45,$E45))</f>
        <v>84</v>
      </c>
      <c r="Y45" s="49" cm="1">
        <f t="array" ref="Y45">IF($F45=0,-1000,CHOOSE($E$14,INDEX(auto_DataFlat_Score,X45,$E$11),-INDEX(auto_DataFlat_Score,X45,$E$11),-$D45))</f>
        <v>49.5</v>
      </c>
      <c r="Z45" s="91">
        <f ca="1">RANK(Y45,OFFSET(Y$21,0,0,$E$16+1,1))+COUNTIF(Y$21:Y45,Y45)-1</f>
        <v>45</v>
      </c>
      <c r="AA45" s="91">
        <f t="shared" ca="1" si="49"/>
        <v>5</v>
      </c>
      <c r="AB45" s="91" cm="1">
        <f t="array" aca="1" ref="AB45" ca="1">INDEX(OFFSET(X$21,0,0,$E$16+1,1),AA45)</f>
        <v>64</v>
      </c>
      <c r="AC45" s="49" cm="1">
        <f t="array" aca="1" ref="AC45" ca="1">INDEX(OFFSET($E$21,0,0,$E$16+1,1),AA45)</f>
        <v>4</v>
      </c>
      <c r="AD45" s="80" cm="1">
        <f t="array" aca="1" ref="AD45" ca="1">IF(AC45="G",5,INDEX(OFFSET($F$21,0,0,$E$16+1,1),AA45))</f>
        <v>1</v>
      </c>
      <c r="AE45" s="80" cm="1">
        <f t="array" aca="1" ref="AE45" ca="1">IF(AB45=0,0,IF(AC45="G",-1,INDEX(auto_DataFlat_Classification,AB45,$E$11)))</f>
        <v>4</v>
      </c>
      <c r="AF45" s="301" t="str" cm="1">
        <f t="array" aca="1" ref="AF45" ca="1">IF(AE45&lt;0,"",INDEX(uxbGlobals!$B$133:$B$139,AE45))</f>
        <v xml:space="preserve"> </v>
      </c>
      <c r="AG45" s="80"/>
      <c r="AH45" s="302" t="str" cm="1">
        <f t="array" aca="1" ref="AH45" ca="1">IF(AD45=0,"",IF(AC45="G","--",INDEX(auto_DataFlat_Rank,AB45,$E$11)))</f>
        <v>=25</v>
      </c>
      <c r="AI45" s="122" t="str" cm="1">
        <f t="array" aca="1" ref="AI45" ca="1">IF(AD45=0,"",IF(AC45="G","AVERAGE",INDEX(auto_ddCountry,AC45)))</f>
        <v>Auckland</v>
      </c>
      <c r="AJ45" s="290" cm="1">
        <f t="array" aca="1" ref="AJ45" ca="1">IF(AD45=0,"",INDEX(auto_DataFlat_Score,AB45,$E$11))</f>
        <v>75.7</v>
      </c>
      <c r="AK45" s="4"/>
      <c r="AL45" s="49">
        <f t="shared" si="35"/>
        <v>14</v>
      </c>
      <c r="AM45" s="49" cm="1">
        <f t="array" ref="AM45">IF($F45=0,0,INDEX(sys_DataFlat_LU_Grid,AL45,$E45))</f>
        <v>804</v>
      </c>
      <c r="AN45" s="49" cm="1">
        <f t="array" ref="AN45">IF($F45=0,-1000,CHOOSE($E$14,INDEX(auto_DataFlat_Score,AM45,$E$11),-INDEX(auto_DataFlat_Score,AM45,$E$11),-$D45))</f>
        <v>27.1</v>
      </c>
      <c r="AO45" s="91">
        <f ca="1">RANK(AN45,OFFSET(AN$21,0,0,$E$16+1,1))+COUNTIF(AN$21:AN45,AN45)-1</f>
        <v>43</v>
      </c>
      <c r="AP45" s="91">
        <f t="shared" ca="1" si="50"/>
        <v>46</v>
      </c>
      <c r="AQ45" s="91" cm="1">
        <f t="array" aca="1" ref="AQ45" ca="1">INDEX(OFFSET(AM$21,0,0,$E$16+1,1),AP45)</f>
        <v>825</v>
      </c>
      <c r="AR45" s="49" cm="1">
        <f t="array" aca="1" ref="AR45" ca="1">INDEX(OFFSET($E$21,0,0,$E$16+1,1),AP45)</f>
        <v>45</v>
      </c>
      <c r="AS45" s="80" cm="1">
        <f t="array" aca="1" ref="AS45" ca="1">IF(AR45="G",5,INDEX(OFFSET($F$21,0,0,$E$16+1,1),AP45))</f>
        <v>1</v>
      </c>
      <c r="AT45" s="80" cm="1">
        <f t="array" aca="1" ref="AT45" ca="1">IF(AQ45=0,0,IF(AR45="G",-1,INDEX(auto_DataFlat_Classification,AQ45,$E$11)))</f>
        <v>3</v>
      </c>
      <c r="AU45" s="301" t="str" cm="1">
        <f t="array" aca="1" ref="AU45" ca="1">IF(AT45&lt;0,"",INDEX(uxbGlobals!$B$133:$B$139,AT45))</f>
        <v xml:space="preserve"> </v>
      </c>
      <c r="AV45" s="80"/>
      <c r="AW45" s="302" t="str" cm="1">
        <f t="array" aca="1" ref="AW45" ca="1">IF(AS45=0,"",IF(AR45="G","--",INDEX(auto_DataFlat_Rank,AQ45,$E$11)))</f>
        <v>25</v>
      </c>
      <c r="AX45" s="122" t="str" cm="1">
        <f t="array" aca="1" ref="AX45" ca="1">IF(AS45=0,"",IF(AR45="G","AVERAGE",INDEX(auto_ddCountry,AR45)))</f>
        <v>Sydney</v>
      </c>
      <c r="AY45" s="290" cm="1">
        <f t="array" aca="1" ref="AY45" ca="1">IF(AS45=0,"",INDEX(auto_DataFlat_Score,AQ45,$E$11))</f>
        <v>49.2</v>
      </c>
      <c r="AZ45" s="4"/>
      <c r="BA45" s="49">
        <f t="shared" si="37"/>
        <v>22</v>
      </c>
      <c r="BB45" s="49" cm="1">
        <f t="array" ref="BB45">IF($F45=0,0,INDEX(sys_DataFlat_LU_Grid,BA45,$E45))</f>
        <v>1284</v>
      </c>
      <c r="BC45" s="49" cm="1">
        <f t="array" ref="BC45">IF($F45=0,-1000,CHOOSE($E$14,INDEX(auto_DataFlat_Score,BB45,$E$11),-INDEX(auto_DataFlat_Score,BB45,$E$11),-$D45))</f>
        <v>37.1</v>
      </c>
      <c r="BD45" s="91">
        <f ca="1">RANK(BC45,OFFSET(BC$21,0,0,$E$16+1,1))+COUNTIF(BC$21:BC45,BC45)-1</f>
        <v>47</v>
      </c>
      <c r="BE45" s="91">
        <f t="shared" ca="1" si="51"/>
        <v>1</v>
      </c>
      <c r="BF45" s="91" cm="1">
        <f t="array" aca="1" ref="BF45" ca="1">INDEX(OFFSET(BB$21,0,0,$E$16+1,1),BE45)</f>
        <v>1311</v>
      </c>
      <c r="BG45" s="49" t="str" cm="1">
        <f t="array" aca="1" ref="BG45" ca="1">INDEX(OFFSET($E$21,0,0,$E$16+1,1),BE45)</f>
        <v>G</v>
      </c>
      <c r="BH45" s="80" cm="1">
        <f t="array" aca="1" ref="BH45" ca="1">IF(BG45="G",5,INDEX(OFFSET($F$21,0,0,$E$16+1,1),BE45))</f>
        <v>5</v>
      </c>
      <c r="BI45" s="80" cm="1">
        <f t="array" aca="1" ref="BI45" ca="1">IF(BF45=0,0,IF(BG45="G",-1,INDEX(auto_DataFlat_Classification,BF45,$E$11)))</f>
        <v>-1</v>
      </c>
      <c r="BJ45" s="301" t="str" cm="1">
        <f t="array" aca="1" ref="BJ45" ca="1">IF(BI45&lt;0,"",INDEX(uxbGlobals!$B$133:$B$139,BI45))</f>
        <v/>
      </c>
      <c r="BK45" s="80"/>
      <c r="BL45" s="302" t="str" cm="1">
        <f t="array" aca="1" ref="BL45" ca="1">IF(BH45=0,"",IF(BG45="G","--",INDEX(auto_DataFlat_Rank,BF45,$E$11)))</f>
        <v>--</v>
      </c>
      <c r="BM45" s="122" t="str" cm="1">
        <f t="array" aca="1" ref="BM45" ca="1">IF(BH45=0,"",IF(BG45="G","AVERAGE",INDEX(auto_ddCountry,BG45)))</f>
        <v>AVERAGE</v>
      </c>
      <c r="BN45" s="290" cm="1">
        <f t="array" aca="1" ref="BN45" ca="1">IF(BH45=0,"",INDEX(auto_DataFlat_Score,BF45,$E$11))</f>
        <v>57.9</v>
      </c>
      <c r="BO45" s="4"/>
      <c r="BP45" s="49">
        <f t="shared" si="39"/>
        <v>47</v>
      </c>
      <c r="BQ45" s="49" cm="1">
        <f t="array" ref="BQ45">IF($F45=0,0,INDEX(sys_DataFlat_LU_Grid,BP45,$E45))</f>
        <v>2784</v>
      </c>
      <c r="BR45" s="49" cm="1">
        <f t="array" ref="BR45">IF($F45=0,-1000,CHOOSE($E$14,INDEX(auto_DataFlat_Score,BQ45,$E$11),-INDEX(auto_DataFlat_Score,BQ45,$E$11),-$D45))</f>
        <v>43.9</v>
      </c>
      <c r="BS45" s="91">
        <f ca="1">RANK(BR45,OFFSET(BR$21,0,0,$E$16+1,1))+COUNTIF(BR$21:BR45,BR45)-1</f>
        <v>45</v>
      </c>
      <c r="BT45" s="91">
        <f t="shared" ca="1" si="52"/>
        <v>9</v>
      </c>
      <c r="BU45" s="91" cm="1">
        <f t="array" aca="1" ref="BU45" ca="1">INDEX(OFFSET(BQ$21,0,0,$E$16+1,1),BT45)</f>
        <v>2768</v>
      </c>
      <c r="BV45" s="49" cm="1">
        <f t="array" aca="1" ref="BV45" ca="1">INDEX(OFFSET($E$21,0,0,$E$16+1,1),BT45)</f>
        <v>8</v>
      </c>
      <c r="BW45" s="80" cm="1">
        <f t="array" aca="1" ref="BW45" ca="1">IF(BV45="G",5,INDEX(OFFSET($F$21,0,0,$E$16+1,1),BT45))</f>
        <v>1</v>
      </c>
      <c r="BX45" s="80" cm="1">
        <f t="array" aca="1" ref="BX45" ca="1">IF(BU45=0,0,IF(BV45="G",-1,INDEX(auto_DataFlat_Classification,BU45,$E$11)))</f>
        <v>4</v>
      </c>
      <c r="BY45" s="301" t="str" cm="1">
        <f t="array" aca="1" ref="BY45" ca="1">IF(BX45&lt;0,"",INDEX(uxbGlobals!$B$133:$B$139,BX45))</f>
        <v xml:space="preserve"> </v>
      </c>
      <c r="BZ45" s="80"/>
      <c r="CA45" s="302" t="str" cm="1">
        <f t="array" aca="1" ref="CA45" ca="1">IF(BW45=0,"",IF(BV45="G","--",INDEX(auto_DataFlat_Rank,BU45,$E$11)))</f>
        <v>25</v>
      </c>
      <c r="CB45" s="122" t="str" cm="1">
        <f t="array" aca="1" ref="CB45" ca="1">IF(BW45=0,"",IF(BV45="G","AVERAGE",INDEX(auto_ddCountry,BV45)))</f>
        <v>Bogotá</v>
      </c>
      <c r="CC45" s="290" cm="1">
        <f t="array" aca="1" ref="CC45" ca="1">IF(BW45=0,"",INDEX(auto_DataFlat_Score,BU45,$E$11))</f>
        <v>70.8</v>
      </c>
      <c r="CD45" s="4"/>
      <c r="CE45" s="49">
        <f t="shared" si="41"/>
        <v>52</v>
      </c>
      <c r="CF45" s="49" cm="1">
        <f t="array" ref="CF45">IF($F45=0,0,INDEX(sys_DataFlat_LU_Grid,CE45,$E45))</f>
        <v>3084</v>
      </c>
      <c r="CG45" s="49" cm="1">
        <f t="array" ref="CG45">IF($F45=0,-1000,CHOOSE($E$14,INDEX(auto_DataFlat_Score,CF45,$E$11),-INDEX(auto_DataFlat_Score,CF45,$E$11),-$D45))</f>
        <v>50</v>
      </c>
      <c r="CH45" s="91">
        <f ca="1">RANK(CG45,OFFSET(CG$21,0,0,$E$16+1,1))+COUNTIF(CG$21:CG45,CG45)-1</f>
        <v>47</v>
      </c>
      <c r="CI45" s="91">
        <f t="shared" ca="1" si="53"/>
        <v>30</v>
      </c>
      <c r="CJ45" s="91" cm="1">
        <f t="array" aca="1" ref="CJ45" ca="1">INDEX(OFFSET(CF$21,0,0,$E$16+1,1),CI45)</f>
        <v>3089</v>
      </c>
      <c r="CK45" s="49" cm="1">
        <f t="array" aca="1" ref="CK45" ca="1">INDEX(OFFSET($E$21,0,0,$E$16+1,1),CI45)</f>
        <v>29</v>
      </c>
      <c r="CL45" s="80" cm="1">
        <f t="array" aca="1" ref="CL45" ca="1">IF(CK45="G",5,INDEX(OFFSET($F$21,0,0,$E$16+1,1),CI45))</f>
        <v>1</v>
      </c>
      <c r="CM45" s="80" cm="1">
        <f t="array" aca="1" ref="CM45" ca="1">IF(CJ45=0,0,IF(CK45="G",-1,INDEX(auto_DataFlat_Classification,CJ45,$E$11)))</f>
        <v>4</v>
      </c>
      <c r="CN45" s="301" t="str" cm="1">
        <f t="array" aca="1" ref="CN45" ca="1">IF(CM45&lt;0,"",INDEX(uxbGlobals!$B$133:$B$139,CM45))</f>
        <v xml:space="preserve"> </v>
      </c>
      <c r="CO45" s="80"/>
      <c r="CP45" s="302" t="str" cm="1">
        <f t="array" aca="1" ref="CP45" ca="1">IF(CL45=0,"",IF(CK45="G","--",INDEX(auto_DataFlat_Rank,CJ45,$E$11)))</f>
        <v>25</v>
      </c>
      <c r="CQ45" s="122" t="str" cm="1">
        <f t="array" aca="1" ref="CQ45" ca="1">IF(CL45=0,"",IF(CK45="G","AVERAGE",INDEX(auto_ddCountry,CK45)))</f>
        <v>Melbourne</v>
      </c>
      <c r="CR45" s="290" cm="1">
        <f t="array" aca="1" ref="CR45" ca="1">IF(CL45=0,"",INDEX(auto_DataFlat_Score,CJ45,$E$11))</f>
        <v>73.099999999999994</v>
      </c>
      <c r="CS45" s="4"/>
      <c r="CT45" s="49">
        <f t="shared" si="43"/>
        <v>-1</v>
      </c>
      <c r="CU45" s="49" t="e" cm="1">
        <f t="array" ref="CU45">IF($F45=0,0,INDEX(sys_DataFlat_LU_Grid,CT45,$E45))</f>
        <v>#VALUE!</v>
      </c>
      <c r="CV45" s="49" t="e" cm="1">
        <f t="array" ref="CV45">IF($F45=0,-1000,CHOOSE($E$14,INDEX(auto_DataFlat_Score,CU45,$E$11),-INDEX(auto_DataFlat_Score,CU45,$E$11),-$D45))</f>
        <v>#VALUE!</v>
      </c>
      <c r="CW45" s="91" t="e">
        <f ca="1">RANK(CV45,OFFSET(CV$21,0,0,$E$16+1,1))+COUNTIF(CV$21:CV45,CV45)-1</f>
        <v>#VALUE!</v>
      </c>
      <c r="CX45" s="91" t="e">
        <f t="shared" ca="1" si="47"/>
        <v>#N/A</v>
      </c>
      <c r="CY45" s="91" t="e" cm="1">
        <f t="array" aca="1" ref="CY45" ca="1">INDEX(OFFSET(CU$21,0,0,$E$16+1,1),CX45)</f>
        <v>#N/A</v>
      </c>
      <c r="CZ45" s="49" t="e" cm="1">
        <f t="array" aca="1" ref="CZ45" ca="1">INDEX(OFFSET($E$21,0,0,$E$16+1,1),CX45)</f>
        <v>#N/A</v>
      </c>
      <c r="DA45" s="80" t="e" cm="1">
        <f t="array" aca="1" ref="DA45" ca="1">IF(CZ45="G",5,INDEX(OFFSET($F$21,0,0,$E$16+1,1),CX45))</f>
        <v>#N/A</v>
      </c>
      <c r="DB45" s="80" t="e" cm="1">
        <f t="array" aca="1" ref="DB45" ca="1">IF(CY45=0,0,IF(CZ45="G",-1,INDEX(auto_DataFlat_Classification,CY45,$E$11)))</f>
        <v>#N/A</v>
      </c>
      <c r="DC45" s="301" t="e" cm="1">
        <f t="array" aca="1" ref="DC45" ca="1">IF(DB45&lt;0,"",INDEX(uxbGlobals!$B$133:$B$139,DB45))</f>
        <v>#N/A</v>
      </c>
      <c r="DD45" s="80"/>
      <c r="DE45" s="302" t="e" cm="1">
        <f t="array" aca="1" ref="DE45" ca="1">IF(DA45=0,"",IF(CZ45="G","--",INDEX(auto_DataFlat_Rank,CY45,$E$11)))</f>
        <v>#N/A</v>
      </c>
      <c r="DF45" s="122" t="e" cm="1">
        <f t="array" aca="1" ref="DF45" ca="1">IF(DA45=0,"",IF(CZ45="G","AVERAGE",INDEX(auto_ddCountry,CZ45)))</f>
        <v>#N/A</v>
      </c>
      <c r="DG45" s="290" t="e" cm="1">
        <f t="array" aca="1" ref="DG45" ca="1">IF(DA45=0,"",INDEX(auto_DataFlat_Score,CY45,$E$11))</f>
        <v>#N/A</v>
      </c>
      <c r="DH45" s="4"/>
      <c r="DI45" s="49">
        <f t="shared" si="44"/>
        <v>-1</v>
      </c>
      <c r="DJ45" s="49" t="e" cm="1">
        <f t="array" ref="DJ45">IF($F45=0,0,INDEX(sys_DataFlat_LU_Grid,DI45,$E45))</f>
        <v>#VALUE!</v>
      </c>
      <c r="DK45" s="49" t="e" cm="1">
        <f t="array" ref="DK45">IF($F45=0,-1000,CHOOSE($E$14,INDEX(auto_DataFlat_Score,DJ45,$E$11),-INDEX(auto_DataFlat_Score,DJ45,$E$11),-$D45))</f>
        <v>#VALUE!</v>
      </c>
      <c r="DL45" s="91" t="e">
        <f ca="1">RANK(DK45,OFFSET(DK$21,0,0,$E$16+1,1))+COUNTIF(DK$21:DK45,DK45)-1</f>
        <v>#VALUE!</v>
      </c>
      <c r="DM45" s="91" t="e">
        <f t="shared" ca="1" si="28"/>
        <v>#N/A</v>
      </c>
      <c r="DN45" s="91" t="e" cm="1">
        <f t="array" aca="1" ref="DN45" ca="1">INDEX(OFFSET(DJ$21,0,0,$E$16+1,1),DM45)</f>
        <v>#N/A</v>
      </c>
      <c r="DO45" s="49" t="e" cm="1">
        <f t="array" aca="1" ref="DO45" ca="1">INDEX(OFFSET($E$21,0,0,$E$16+1,1),DM45)</f>
        <v>#N/A</v>
      </c>
      <c r="DP45" s="80" t="e" cm="1">
        <f t="array" aca="1" ref="DP45" ca="1">IF(DO45="G",5,INDEX(OFFSET($F$21,0,0,$E$16+1,1),DM45))</f>
        <v>#N/A</v>
      </c>
      <c r="DQ45" s="80" t="e" cm="1">
        <f t="array" aca="1" ref="DQ45" ca="1">IF(DN45=0,0,IF(DO45="G",-1,INDEX(auto_DataFlat_Classification,DN45,$E$11)))</f>
        <v>#N/A</v>
      </c>
      <c r="DR45" s="301" t="e" cm="1">
        <f t="array" aca="1" ref="DR45" ca="1">IF(DQ45&lt;0,"",INDEX(uxbGlobals!$B$133:$B$139,DQ45))</f>
        <v>#N/A</v>
      </c>
      <c r="DS45" s="80"/>
      <c r="DT45" s="302" t="e" cm="1">
        <f t="array" aca="1" ref="DT45" ca="1">IF(DP45=0,"",IF(DO45="G","--",INDEX(auto_DataFlat_Rank,DN45,$E$11)))</f>
        <v>#N/A</v>
      </c>
      <c r="DU45" s="122" t="e" cm="1">
        <f t="array" aca="1" ref="DU45" ca="1">IF(DP45=0,"",IF(DO45="G","AVERAGE",INDEX(auto_ddCountry,DO45)))</f>
        <v>#N/A</v>
      </c>
      <c r="DV45" s="290" t="e" cm="1">
        <f t="array" aca="1" ref="DV45" ca="1">IF(DP45=0,"",INDEX(auto_DataFlat_Score,DN45,$E$11))</f>
        <v>#N/A</v>
      </c>
      <c r="DW45" s="4"/>
      <c r="DX45" s="49">
        <f t="shared" si="45"/>
        <v>-1</v>
      </c>
      <c r="DY45" s="49" t="e" cm="1">
        <f t="array" ref="DY45">IF($F45=0,0,INDEX(sys_DataFlat_LU_Grid,DX45,$E45))</f>
        <v>#VALUE!</v>
      </c>
      <c r="DZ45" s="49" t="e" cm="1">
        <f t="array" ref="DZ45">IF($F45=0,-1000,CHOOSE($E$14,INDEX(auto_DataFlat_Score,DY45,$E$11),-INDEX(auto_DataFlat_Score,DY45,$E$11),-$D45))</f>
        <v>#VALUE!</v>
      </c>
      <c r="EA45" s="91" t="e">
        <f ca="1">RANK(DZ45,OFFSET(DZ$21,0,0,$E$16+1,1))+COUNTIF(DZ$21:DZ45,DZ45)-1</f>
        <v>#VALUE!</v>
      </c>
      <c r="EB45" s="91" t="e">
        <f t="shared" ca="1" si="29"/>
        <v>#N/A</v>
      </c>
      <c r="EC45" s="91" t="e" cm="1">
        <f t="array" aca="1" ref="EC45" ca="1">INDEX(OFFSET(DY$21,0,0,$E$16+1,1),EB45)</f>
        <v>#N/A</v>
      </c>
      <c r="ED45" s="49" t="e" cm="1">
        <f t="array" aca="1" ref="ED45" ca="1">INDEX(OFFSET($E$21,0,0,$E$16+1,1),EB45)</f>
        <v>#N/A</v>
      </c>
      <c r="EE45" s="80" t="e" cm="1">
        <f t="array" aca="1" ref="EE45" ca="1">IF(ED45="G",5,INDEX(OFFSET($F$21,0,0,$E$16+1,1),EB45))</f>
        <v>#N/A</v>
      </c>
      <c r="EF45" s="80" t="e" cm="1">
        <f t="array" aca="1" ref="EF45" ca="1">IF(EC45=0,0,IF(ED45="G",-1,INDEX(auto_DataFlat_Classification,EC45,$E$11)))</f>
        <v>#N/A</v>
      </c>
      <c r="EG45" s="301" t="e" cm="1">
        <f t="array" aca="1" ref="EG45" ca="1">IF(EF45&lt;0,"",INDEX(uxbGlobals!$B$133:$B$139,EF45))</f>
        <v>#N/A</v>
      </c>
      <c r="EH45" s="80"/>
      <c r="EI45" s="302" t="e" cm="1">
        <f t="array" aca="1" ref="EI45" ca="1">IF(EE45=0,"",IF(ED45="G","--",INDEX(auto_DataFlat_Rank,EC45,$E$11)))</f>
        <v>#N/A</v>
      </c>
      <c r="EJ45" s="122" t="e" cm="1">
        <f t="array" aca="1" ref="EJ45" ca="1">IF(EE45=0,"",IF(ED45="G","AVERAGE",INDEX(auto_ddCountry,ED45)))</f>
        <v>#N/A</v>
      </c>
      <c r="EK45" s="290" t="e" cm="1">
        <f t="array" aca="1" ref="EK45" ca="1">IF(EE45=0,"",INDEX(auto_DataFlat_Score,EC45,$E$11))</f>
        <v>#N/A</v>
      </c>
      <c r="EL45" s="4"/>
      <c r="EM45" s="49">
        <f t="shared" si="46"/>
        <v>-1</v>
      </c>
      <c r="EN45" s="49" t="e" cm="1">
        <f t="array" ref="EN45">IF($F45=0,0,INDEX(sys_DataFlat_LU_Grid,EM45,$E45))</f>
        <v>#VALUE!</v>
      </c>
      <c r="EO45" s="49" t="e" cm="1">
        <f t="array" ref="EO45">IF($F45=0,-1000,CHOOSE($E$14,INDEX(auto_DataFlat_Score,EN45,$E$11),-INDEX(auto_DataFlat_Score,EN45,$E$11),-$D45))</f>
        <v>#VALUE!</v>
      </c>
      <c r="EP45" s="91" t="e">
        <f ca="1">RANK(EO45,OFFSET(EO$21,0,0,$E$16+1,1))+COUNTIF(EO$21:EO45,EO45)-1</f>
        <v>#VALUE!</v>
      </c>
      <c r="EQ45" s="91" t="e">
        <f t="shared" ca="1" si="30"/>
        <v>#N/A</v>
      </c>
      <c r="ER45" s="91" t="e" cm="1">
        <f t="array" aca="1" ref="ER45" ca="1">INDEX(OFFSET(EN$21,0,0,$E$16+1,1),EQ45)</f>
        <v>#N/A</v>
      </c>
      <c r="ES45" s="49" t="e" cm="1">
        <f t="array" aca="1" ref="ES45" ca="1">INDEX(OFFSET($E$21,0,0,$E$16+1,1),EQ45)</f>
        <v>#N/A</v>
      </c>
      <c r="ET45" s="80" t="e" cm="1">
        <f t="array" aca="1" ref="ET45" ca="1">IF(ES45="G",5,INDEX(OFFSET($F$21,0,0,$E$16+1,1),EQ45))</f>
        <v>#N/A</v>
      </c>
      <c r="EU45" s="80" t="e" cm="1">
        <f t="array" aca="1" ref="EU45" ca="1">IF(ER45=0,0,IF(ES45="G",-1,INDEX(auto_DataFlat_Classification,ER45,$E$11)))</f>
        <v>#N/A</v>
      </c>
      <c r="EV45" s="301" t="e" cm="1">
        <f t="array" aca="1" ref="EV45" ca="1">IF(EU45&lt;0,"",INDEX(uxbGlobals!$B$133:$B$139,EU45))</f>
        <v>#N/A</v>
      </c>
      <c r="EW45" s="80"/>
      <c r="EX45" s="302" t="e" cm="1">
        <f t="array" aca="1" ref="EX45" ca="1">IF(ET45=0,"",IF(ES45="G","--",INDEX(auto_DataFlat_Rank,ER45,$E$11)))</f>
        <v>#N/A</v>
      </c>
      <c r="EY45" s="122" t="e" cm="1">
        <f t="array" aca="1" ref="EY45" ca="1">IF(ET45=0,"",IF(ES45="G","AVERAGE",INDEX(auto_ddCountry,ES45)))</f>
        <v>#N/A</v>
      </c>
      <c r="EZ45" s="290" t="e" cm="1">
        <f t="array" aca="1" ref="EZ45" ca="1">IF(ET45=0,"",INDEX(auto_DataFlat_Score,ER45,$E$11))</f>
        <v>#N/A</v>
      </c>
    </row>
    <row r="46" spans="1:156" ht="17.149999999999999" customHeight="1" x14ac:dyDescent="0.4">
      <c r="A46" s="4"/>
      <c r="B46" s="4"/>
      <c r="C46" s="4"/>
      <c r="D46" s="26">
        <v>26</v>
      </c>
      <c r="E46" s="49">
        <f>tblCountries!M27</f>
        <v>25</v>
      </c>
      <c r="F46" s="114" cm="1">
        <f t="array" ref="F46">IF(E46=0,0,INDEX(auto_Country_Status,E46))</f>
        <v>1</v>
      </c>
      <c r="G46" s="4"/>
      <c r="H46" s="49">
        <f t="shared" si="31"/>
        <v>1</v>
      </c>
      <c r="I46" s="49" cm="1">
        <f t="array" ref="I46">IF($F46=0,0,INDEX(sys_DataFlat_LU_Grid,H46,$E46))</f>
        <v>25</v>
      </c>
      <c r="J46" s="49" cm="1">
        <f t="array" ref="J46">IF($F46=0,-1000,CHOOSE($E$14,INDEX(auto_DataFlat_Score,I46,$E$11),-INDEX(auto_DataFlat_Score,I46,$E$11),-$D46))</f>
        <v>51.6</v>
      </c>
      <c r="K46" s="91">
        <f ca="1">RANK(J46,OFFSET(J$21,0,0,$E$16+1,1))+COUNTIF(J$21:J46,J46)-1</f>
        <v>39</v>
      </c>
      <c r="L46" s="91">
        <f t="shared" ca="1" si="48"/>
        <v>37</v>
      </c>
      <c r="M46" s="91" cm="1">
        <f t="array" aca="1" ref="M46" ca="1">INDEX(OFFSET(I$21,0,0,$E$16+1,1),L46)</f>
        <v>36</v>
      </c>
      <c r="N46" s="49" cm="1">
        <f t="array" aca="1" ref="N46" ca="1">INDEX(OFFSET($E$21,0,0,$E$16+1,1),L46)</f>
        <v>36</v>
      </c>
      <c r="O46" s="80" cm="1">
        <f t="array" aca="1" ref="O46" ca="1">IF(N46="G",5,INDEX(OFFSET($F$21,0,0,$E$16+1,1),L46))</f>
        <v>1</v>
      </c>
      <c r="P46" s="80" cm="1">
        <f t="array" aca="1" ref="P46" ca="1">IF(M46=0,0,IF(N46="G",-1,INDEX(auto_DataFlat_Classification,M46,$E$11)))</f>
        <v>4</v>
      </c>
      <c r="Q46" s="301" t="str" cm="1">
        <f t="array" aca="1" ref="Q46" ca="1">IF(P46&lt;0,"",INDEX(uxbGlobals!$B$133:$B$139,P46))</f>
        <v xml:space="preserve"> </v>
      </c>
      <c r="R46" s="80"/>
      <c r="S46" s="302" t="str" cm="1">
        <f t="array" aca="1" ref="S46" ca="1">IF(O46=0,"",IF(N46="G","--",INDEX(auto_DataFlat_Rank,M46,$E$11)))</f>
        <v>26</v>
      </c>
      <c r="T46" s="122" t="str" cm="1">
        <f t="array" aca="1" ref="T46" ca="1">IF(O46=0,"",IF(N46="G"," AVERAGE",INDEX(auto_ddCountry,N46)))</f>
        <v>Paris</v>
      </c>
      <c r="U46" s="290" cm="1">
        <f t="array" aca="1" ref="U46" ca="1">IF(O46=0,"",INDEX(auto_DataFlat_Score,M46,$E$11))</f>
        <v>64.5</v>
      </c>
      <c r="V46" s="4"/>
      <c r="W46" s="49">
        <f t="shared" si="33"/>
        <v>2</v>
      </c>
      <c r="X46" s="49" cm="1">
        <f t="array" ref="X46">IF($F46=0,0,INDEX(sys_DataFlat_LU_Grid,W46,$E46))</f>
        <v>85</v>
      </c>
      <c r="Y46" s="49" cm="1">
        <f t="array" ref="Y46">IF($F46=0,-1000,CHOOSE($E$14,INDEX(auto_DataFlat_Score,X46,$E$11),-INDEX(auto_DataFlat_Score,X46,$E$11),-$D46))</f>
        <v>73.3</v>
      </c>
      <c r="Z46" s="91">
        <f ca="1">RANK(Y46,OFFSET(Y$21,0,0,$E$16+1,1))+COUNTIF(Y$21:Y46,Y46)-1</f>
        <v>28</v>
      </c>
      <c r="AA46" s="91">
        <f t="shared" ca="1" si="49"/>
        <v>32</v>
      </c>
      <c r="AB46" s="91" cm="1">
        <f t="array" aca="1" ref="AB46" ca="1">INDEX(OFFSET(X$21,0,0,$E$16+1,1),AA46)</f>
        <v>91</v>
      </c>
      <c r="AC46" s="49" cm="1">
        <f t="array" aca="1" ref="AC46" ca="1">INDEX(OFFSET($E$21,0,0,$E$16+1,1),AA46)</f>
        <v>31</v>
      </c>
      <c r="AD46" s="80" cm="1">
        <f t="array" aca="1" ref="AD46" ca="1">IF(AC46="G",5,INDEX(OFFSET($F$21,0,0,$E$16+1,1),AA46))</f>
        <v>1</v>
      </c>
      <c r="AE46" s="80" cm="1">
        <f t="array" aca="1" ref="AE46" ca="1">IF(AB46=0,0,IF(AC46="G",-1,INDEX(auto_DataFlat_Classification,AB46,$E$11)))</f>
        <v>4</v>
      </c>
      <c r="AF46" s="301" t="str" cm="1">
        <f t="array" aca="1" ref="AF46" ca="1">IF(AE46&lt;0,"",INDEX(uxbGlobals!$B$133:$B$139,AE46))</f>
        <v xml:space="preserve"> </v>
      </c>
      <c r="AG46" s="80"/>
      <c r="AH46" s="302" t="str" cm="1">
        <f t="array" aca="1" ref="AH46" ca="1">IF(AD46=0,"",IF(AC46="G","--",INDEX(auto_DataFlat_Rank,AB46,$E$11)))</f>
        <v>=25</v>
      </c>
      <c r="AI46" s="122" t="str" cm="1">
        <f t="array" aca="1" ref="AI46" ca="1">IF(AD46=0,"",IF(AC46="G","AVERAGE",INDEX(auto_ddCountry,AC46)))</f>
        <v>Moscow</v>
      </c>
      <c r="AJ46" s="290" cm="1">
        <f t="array" aca="1" ref="AJ46" ca="1">IF(AD46=0,"",INDEX(auto_DataFlat_Score,AB46,$E$11))</f>
        <v>75.7</v>
      </c>
      <c r="AK46" s="4"/>
      <c r="AL46" s="49">
        <f t="shared" si="35"/>
        <v>14</v>
      </c>
      <c r="AM46" s="49" cm="1">
        <f t="array" ref="AM46">IF($F46=0,0,INDEX(sys_DataFlat_LU_Grid,AL46,$E46))</f>
        <v>805</v>
      </c>
      <c r="AN46" s="49" cm="1">
        <f t="array" ref="AN46">IF($F46=0,-1000,CHOOSE($E$14,INDEX(auto_DataFlat_Score,AM46,$E$11),-INDEX(auto_DataFlat_Score,AM46,$E$11),-$D46))</f>
        <v>20.7</v>
      </c>
      <c r="AO46" s="91">
        <f ca="1">RANK(AN46,OFFSET(AN$21,0,0,$E$16+1,1))+COUNTIF(AN$21:AN46,AN46)-1</f>
        <v>49</v>
      </c>
      <c r="AP46" s="91">
        <f t="shared" ca="1" si="50"/>
        <v>1</v>
      </c>
      <c r="AQ46" s="91" cm="1">
        <f t="array" aca="1" ref="AQ46" ca="1">INDEX(OFFSET(AM$21,0,0,$E$16+1,1),AP46)</f>
        <v>831</v>
      </c>
      <c r="AR46" s="49" t="str" cm="1">
        <f t="array" aca="1" ref="AR46" ca="1">INDEX(OFFSET($E$21,0,0,$E$16+1,1),AP46)</f>
        <v>G</v>
      </c>
      <c r="AS46" s="80" cm="1">
        <f t="array" aca="1" ref="AS46" ca="1">IF(AR46="G",5,INDEX(OFFSET($F$21,0,0,$E$16+1,1),AP46))</f>
        <v>5</v>
      </c>
      <c r="AT46" s="80" cm="1">
        <f t="array" aca="1" ref="AT46" ca="1">IF(AQ46=0,0,IF(AR46="G",-1,INDEX(auto_DataFlat_Classification,AQ46,$E$11)))</f>
        <v>-1</v>
      </c>
      <c r="AU46" s="301" t="str" cm="1">
        <f t="array" aca="1" ref="AU46" ca="1">IF(AT46&lt;0,"",INDEX(uxbGlobals!$B$133:$B$139,AT46))</f>
        <v/>
      </c>
      <c r="AV46" s="80"/>
      <c r="AW46" s="302" t="str" cm="1">
        <f t="array" aca="1" ref="AW46" ca="1">IF(AS46=0,"",IF(AR46="G","--",INDEX(auto_DataFlat_Rank,AQ46,$E$11)))</f>
        <v>--</v>
      </c>
      <c r="AX46" s="122" t="str" cm="1">
        <f t="array" aca="1" ref="AX46" ca="1">IF(AS46=0,"",IF(AR46="G","AVERAGE",INDEX(auto_ddCountry,AR46)))</f>
        <v>AVERAGE</v>
      </c>
      <c r="AY46" s="290" cm="1">
        <f t="array" aca="1" ref="AY46" ca="1">IF(AS46=0,"",INDEX(auto_DataFlat_Score,AQ46,$E$11))</f>
        <v>48.8</v>
      </c>
      <c r="AZ46" s="4"/>
      <c r="BA46" s="49">
        <f t="shared" si="37"/>
        <v>22</v>
      </c>
      <c r="BB46" s="49" cm="1">
        <f t="array" ref="BB46">IF($F46=0,0,INDEX(sys_DataFlat_LU_Grid,BA46,$E46))</f>
        <v>1285</v>
      </c>
      <c r="BC46" s="49" cm="1">
        <f t="array" ref="BC46">IF($F46=0,-1000,CHOOSE($E$14,INDEX(auto_DataFlat_Score,BB46,$E$11),-INDEX(auto_DataFlat_Score,BB46,$E$11),-$D46))</f>
        <v>48.4</v>
      </c>
      <c r="BD46" s="91">
        <f ca="1">RANK(BC46,OFFSET(BC$21,0,0,$E$16+1,1))+COUNTIF(BC$21:BC46,BC46)-1</f>
        <v>32</v>
      </c>
      <c r="BE46" s="91">
        <f t="shared" ca="1" si="51"/>
        <v>9</v>
      </c>
      <c r="BF46" s="91" cm="1">
        <f t="array" aca="1" ref="BF46" ca="1">INDEX(OFFSET(BB$21,0,0,$E$16+1,1),BE46)</f>
        <v>1268</v>
      </c>
      <c r="BG46" s="49" cm="1">
        <f t="array" aca="1" ref="BG46" ca="1">INDEX(OFFSET($E$21,0,0,$E$16+1,1),BE46)</f>
        <v>8</v>
      </c>
      <c r="BH46" s="80" cm="1">
        <f t="array" aca="1" ref="BH46" ca="1">IF(BG46="G",5,INDEX(OFFSET($F$21,0,0,$E$16+1,1),BE46))</f>
        <v>1</v>
      </c>
      <c r="BI46" s="80" cm="1">
        <f t="array" aca="1" ref="BI46" ca="1">IF(BF46=0,0,IF(BG46="G",-1,INDEX(auto_DataFlat_Classification,BF46,$E$11)))</f>
        <v>3</v>
      </c>
      <c r="BJ46" s="301" t="str" cm="1">
        <f t="array" aca="1" ref="BJ46" ca="1">IF(BI46&lt;0,"",INDEX(uxbGlobals!$B$133:$B$139,BI46))</f>
        <v xml:space="preserve"> </v>
      </c>
      <c r="BK46" s="80"/>
      <c r="BL46" s="302" t="str" cm="1">
        <f t="array" aca="1" ref="BL46" ca="1">IF(BH46=0,"",IF(BG46="G","--",INDEX(auto_DataFlat_Rank,BF46,$E$11)))</f>
        <v>25</v>
      </c>
      <c r="BM46" s="122" t="str" cm="1">
        <f t="array" aca="1" ref="BM46" ca="1">IF(BH46=0,"",IF(BG46="G","AVERAGE",INDEX(auto_ddCountry,BG46)))</f>
        <v>Bogotá</v>
      </c>
      <c r="BN46" s="290" cm="1">
        <f t="array" aca="1" ref="BN46" ca="1">IF(BH46=0,"",INDEX(auto_DataFlat_Score,BF46,$E$11))</f>
        <v>56.9</v>
      </c>
      <c r="BO46" s="4"/>
      <c r="BP46" s="49">
        <f t="shared" si="39"/>
        <v>47</v>
      </c>
      <c r="BQ46" s="49" cm="1">
        <f t="array" ref="BQ46">IF($F46=0,0,INDEX(sys_DataFlat_LU_Grid,BP46,$E46))</f>
        <v>2785</v>
      </c>
      <c r="BR46" s="49" cm="1">
        <f t="array" ref="BR46">IF($F46=0,-1000,CHOOSE($E$14,INDEX(auto_DataFlat_Score,BQ46,$E$11),-INDEX(auto_DataFlat_Score,BQ46,$E$11),-$D46))</f>
        <v>48.4</v>
      </c>
      <c r="BS46" s="91">
        <f ca="1">RANK(BR46,OFFSET(BR$21,0,0,$E$16+1,1))+COUNTIF(BR$21:BR46,BR46)-1</f>
        <v>40</v>
      </c>
      <c r="BT46" s="91">
        <f t="shared" ca="1" si="52"/>
        <v>4</v>
      </c>
      <c r="BU46" s="91" cm="1">
        <f t="array" aca="1" ref="BU46" ca="1">INDEX(OFFSET(BQ$21,0,0,$E$16+1,1),BT46)</f>
        <v>2763</v>
      </c>
      <c r="BV46" s="49" cm="1">
        <f t="array" aca="1" ref="BV46" ca="1">INDEX(OFFSET($E$21,0,0,$E$16+1,1),BT46)</f>
        <v>3</v>
      </c>
      <c r="BW46" s="80" cm="1">
        <f t="array" aca="1" ref="BW46" ca="1">IF(BV46="G",5,INDEX(OFFSET($F$21,0,0,$E$16+1,1),BT46))</f>
        <v>1</v>
      </c>
      <c r="BX46" s="80" cm="1">
        <f t="array" aca="1" ref="BX46" ca="1">IF(BU46=0,0,IF(BV46="G",-1,INDEX(auto_DataFlat_Classification,BU46,$E$11)))</f>
        <v>4</v>
      </c>
      <c r="BY46" s="301" t="str" cm="1">
        <f t="array" aca="1" ref="BY46" ca="1">IF(BX46&lt;0,"",INDEX(uxbGlobals!$B$133:$B$139,BX46))</f>
        <v xml:space="preserve"> </v>
      </c>
      <c r="BZ46" s="80"/>
      <c r="CA46" s="302" t="str" cm="1">
        <f t="array" aca="1" ref="CA46" ca="1">IF(BW46=0,"",IF(BV46="G","--",INDEX(auto_DataFlat_Rank,BU46,$E$11)))</f>
        <v>26</v>
      </c>
      <c r="CB46" s="122" t="str" cm="1">
        <f t="array" aca="1" ref="CB46" ca="1">IF(BW46=0,"",IF(BV46="G","AVERAGE",INDEX(auto_ddCountry,BV46)))</f>
        <v>Atlanta</v>
      </c>
      <c r="CC46" s="290" cm="1">
        <f t="array" aca="1" ref="CC46" ca="1">IF(BW46=0,"",INDEX(auto_DataFlat_Score,BU46,$E$11))</f>
        <v>66.900000000000006</v>
      </c>
      <c r="CD46" s="4"/>
      <c r="CE46" s="49">
        <f t="shared" si="41"/>
        <v>52</v>
      </c>
      <c r="CF46" s="49" cm="1">
        <f t="array" ref="CF46">IF($F46=0,0,INDEX(sys_DataFlat_LU_Grid,CE46,$E46))</f>
        <v>3085</v>
      </c>
      <c r="CG46" s="49" cm="1">
        <f t="array" ref="CG46">IF($F46=0,-1000,CHOOSE($E$14,INDEX(auto_DataFlat_Score,CF46,$E$11),-INDEX(auto_DataFlat_Score,CF46,$E$11),-$D46))</f>
        <v>61.1</v>
      </c>
      <c r="CH46" s="91">
        <f ca="1">RANK(CG46,OFFSET(CG$21,0,0,$E$16+1,1))+COUNTIF(CG$21:CG46,CG46)-1</f>
        <v>38</v>
      </c>
      <c r="CI46" s="91">
        <f t="shared" ca="1" si="53"/>
        <v>42</v>
      </c>
      <c r="CJ46" s="91" cm="1">
        <f t="array" aca="1" ref="CJ46" ca="1">INDEX(OFFSET(CF$21,0,0,$E$16+1,1),CI46)</f>
        <v>3101</v>
      </c>
      <c r="CK46" s="49" cm="1">
        <f t="array" aca="1" ref="CK46" ca="1">INDEX(OFFSET($E$21,0,0,$E$16+1,1),CI46)</f>
        <v>41</v>
      </c>
      <c r="CL46" s="80" cm="1">
        <f t="array" aca="1" ref="CL46" ca="1">IF(CK46="G",5,INDEX(OFFSET($F$21,0,0,$E$16+1,1),CI46))</f>
        <v>1</v>
      </c>
      <c r="CM46" s="80" cm="1">
        <f t="array" aca="1" ref="CM46" ca="1">IF(CJ46=0,0,IF(CK46="G",-1,INDEX(auto_DataFlat_Classification,CJ46,$E$11)))</f>
        <v>4</v>
      </c>
      <c r="CN46" s="301" t="str" cm="1">
        <f t="array" aca="1" ref="CN46" ca="1">IF(CM46&lt;0,"",INDEX(uxbGlobals!$B$133:$B$139,CM46))</f>
        <v xml:space="preserve"> </v>
      </c>
      <c r="CO46" s="80"/>
      <c r="CP46" s="302" t="str" cm="1">
        <f t="array" aca="1" ref="CP46" ca="1">IF(CL46=0,"",IF(CK46="G","--",INDEX(auto_DataFlat_Rank,CJ46,$E$11)))</f>
        <v>26</v>
      </c>
      <c r="CQ46" s="122" t="str" cm="1">
        <f t="array" aca="1" ref="CQ46" ca="1">IF(CL46=0,"",IF(CK46="G","AVERAGE",INDEX(auto_ddCountry,CK46)))</f>
        <v>São Paulo</v>
      </c>
      <c r="CR46" s="290" cm="1">
        <f t="array" aca="1" ref="CR46" ca="1">IF(CL46=0,"",INDEX(auto_DataFlat_Score,CJ46,$E$11))</f>
        <v>72.2</v>
      </c>
      <c r="CS46" s="4"/>
      <c r="CT46" s="49">
        <f t="shared" si="43"/>
        <v>-1</v>
      </c>
      <c r="CU46" s="49" t="e" cm="1">
        <f t="array" ref="CU46">IF($F46=0,0,INDEX(sys_DataFlat_LU_Grid,CT46,$E46))</f>
        <v>#VALUE!</v>
      </c>
      <c r="CV46" s="49" t="e" cm="1">
        <f t="array" ref="CV46">IF($F46=0,-1000,CHOOSE($E$14,INDEX(auto_DataFlat_Score,CU46,$E$11),-INDEX(auto_DataFlat_Score,CU46,$E$11),-$D46))</f>
        <v>#VALUE!</v>
      </c>
      <c r="CW46" s="91" t="e">
        <f ca="1">RANK(CV46,OFFSET(CV$21,0,0,$E$16+1,1))+COUNTIF(CV$21:CV46,CV46)-1</f>
        <v>#VALUE!</v>
      </c>
      <c r="CX46" s="91" t="e">
        <f t="shared" ca="1" si="47"/>
        <v>#N/A</v>
      </c>
      <c r="CY46" s="91" t="e" cm="1">
        <f t="array" aca="1" ref="CY46" ca="1">INDEX(OFFSET(CU$21,0,0,$E$16+1,1),CX46)</f>
        <v>#N/A</v>
      </c>
      <c r="CZ46" s="49" t="e" cm="1">
        <f t="array" aca="1" ref="CZ46" ca="1">INDEX(OFFSET($E$21,0,0,$E$16+1,1),CX46)</f>
        <v>#N/A</v>
      </c>
      <c r="DA46" s="80" t="e" cm="1">
        <f t="array" aca="1" ref="DA46" ca="1">IF(CZ46="G",5,INDEX(OFFSET($F$21,0,0,$E$16+1,1),CX46))</f>
        <v>#N/A</v>
      </c>
      <c r="DB46" s="80" t="e" cm="1">
        <f t="array" aca="1" ref="DB46" ca="1">IF(CY46=0,0,IF(CZ46="G",-1,INDEX(auto_DataFlat_Classification,CY46,$E$11)))</f>
        <v>#N/A</v>
      </c>
      <c r="DC46" s="301" t="e" cm="1">
        <f t="array" aca="1" ref="DC46" ca="1">IF(DB46&lt;0,"",INDEX(uxbGlobals!$B$133:$B$139,DB46))</f>
        <v>#N/A</v>
      </c>
      <c r="DD46" s="80"/>
      <c r="DE46" s="302" t="e" cm="1">
        <f t="array" aca="1" ref="DE46" ca="1">IF(DA46=0,"",IF(CZ46="G","--",INDEX(auto_DataFlat_Rank,CY46,$E$11)))</f>
        <v>#N/A</v>
      </c>
      <c r="DF46" s="122" t="e" cm="1">
        <f t="array" aca="1" ref="DF46" ca="1">IF(DA46=0,"",IF(CZ46="G","AVERAGE",INDEX(auto_ddCountry,CZ46)))</f>
        <v>#N/A</v>
      </c>
      <c r="DG46" s="290" t="e" cm="1">
        <f t="array" aca="1" ref="DG46" ca="1">IF(DA46=0,"",INDEX(auto_DataFlat_Score,CY46,$E$11))</f>
        <v>#N/A</v>
      </c>
      <c r="DH46" s="4"/>
      <c r="DI46" s="49">
        <f t="shared" si="44"/>
        <v>-1</v>
      </c>
      <c r="DJ46" s="49" t="e" cm="1">
        <f t="array" ref="DJ46">IF($F46=0,0,INDEX(sys_DataFlat_LU_Grid,DI46,$E46))</f>
        <v>#VALUE!</v>
      </c>
      <c r="DK46" s="49" t="e" cm="1">
        <f t="array" ref="DK46">IF($F46=0,-1000,CHOOSE($E$14,INDEX(auto_DataFlat_Score,DJ46,$E$11),-INDEX(auto_DataFlat_Score,DJ46,$E$11),-$D46))</f>
        <v>#VALUE!</v>
      </c>
      <c r="DL46" s="91" t="e">
        <f ca="1">RANK(DK46,OFFSET(DK$21,0,0,$E$16+1,1))+COUNTIF(DK$21:DK46,DK46)-1</f>
        <v>#VALUE!</v>
      </c>
      <c r="DM46" s="91" t="e">
        <f t="shared" ca="1" si="28"/>
        <v>#N/A</v>
      </c>
      <c r="DN46" s="91" t="e" cm="1">
        <f t="array" aca="1" ref="DN46" ca="1">INDEX(OFFSET(DJ$21,0,0,$E$16+1,1),DM46)</f>
        <v>#N/A</v>
      </c>
      <c r="DO46" s="49" t="e" cm="1">
        <f t="array" aca="1" ref="DO46" ca="1">INDEX(OFFSET($E$21,0,0,$E$16+1,1),DM46)</f>
        <v>#N/A</v>
      </c>
      <c r="DP46" s="80" t="e" cm="1">
        <f t="array" aca="1" ref="DP46" ca="1">IF(DO46="G",5,INDEX(OFFSET($F$21,0,0,$E$16+1,1),DM46))</f>
        <v>#N/A</v>
      </c>
      <c r="DQ46" s="80" t="e" cm="1">
        <f t="array" aca="1" ref="DQ46" ca="1">IF(DN46=0,0,IF(DO46="G",-1,INDEX(auto_DataFlat_Classification,DN46,$E$11)))</f>
        <v>#N/A</v>
      </c>
      <c r="DR46" s="301" t="e" cm="1">
        <f t="array" aca="1" ref="DR46" ca="1">IF(DQ46&lt;0,"",INDEX(uxbGlobals!$B$133:$B$139,DQ46))</f>
        <v>#N/A</v>
      </c>
      <c r="DS46" s="80"/>
      <c r="DT46" s="302" t="e" cm="1">
        <f t="array" aca="1" ref="DT46" ca="1">IF(DP46=0,"",IF(DO46="G","--",INDEX(auto_DataFlat_Rank,DN46,$E$11)))</f>
        <v>#N/A</v>
      </c>
      <c r="DU46" s="122" t="e" cm="1">
        <f t="array" aca="1" ref="DU46" ca="1">IF(DP46=0,"",IF(DO46="G","AVERAGE",INDEX(auto_ddCountry,DO46)))</f>
        <v>#N/A</v>
      </c>
      <c r="DV46" s="290" t="e" cm="1">
        <f t="array" aca="1" ref="DV46" ca="1">IF(DP46=0,"",INDEX(auto_DataFlat_Score,DN46,$E$11))</f>
        <v>#N/A</v>
      </c>
      <c r="DW46" s="4"/>
      <c r="DX46" s="49">
        <f t="shared" si="45"/>
        <v>-1</v>
      </c>
      <c r="DY46" s="49" t="e" cm="1">
        <f t="array" ref="DY46">IF($F46=0,0,INDEX(sys_DataFlat_LU_Grid,DX46,$E46))</f>
        <v>#VALUE!</v>
      </c>
      <c r="DZ46" s="49" t="e" cm="1">
        <f t="array" ref="DZ46">IF($F46=0,-1000,CHOOSE($E$14,INDEX(auto_DataFlat_Score,DY46,$E$11),-INDEX(auto_DataFlat_Score,DY46,$E$11),-$D46))</f>
        <v>#VALUE!</v>
      </c>
      <c r="EA46" s="91" t="e">
        <f ca="1">RANK(DZ46,OFFSET(DZ$21,0,0,$E$16+1,1))+COUNTIF(DZ$21:DZ46,DZ46)-1</f>
        <v>#VALUE!</v>
      </c>
      <c r="EB46" s="91" t="e">
        <f t="shared" ca="1" si="29"/>
        <v>#N/A</v>
      </c>
      <c r="EC46" s="91" t="e" cm="1">
        <f t="array" aca="1" ref="EC46" ca="1">INDEX(OFFSET(DY$21,0,0,$E$16+1,1),EB46)</f>
        <v>#N/A</v>
      </c>
      <c r="ED46" s="49" t="e" cm="1">
        <f t="array" aca="1" ref="ED46" ca="1">INDEX(OFFSET($E$21,0,0,$E$16+1,1),EB46)</f>
        <v>#N/A</v>
      </c>
      <c r="EE46" s="80" t="e" cm="1">
        <f t="array" aca="1" ref="EE46" ca="1">IF(ED46="G",5,INDEX(OFFSET($F$21,0,0,$E$16+1,1),EB46))</f>
        <v>#N/A</v>
      </c>
      <c r="EF46" s="80" t="e" cm="1">
        <f t="array" aca="1" ref="EF46" ca="1">IF(EC46=0,0,IF(ED46="G",-1,INDEX(auto_DataFlat_Classification,EC46,$E$11)))</f>
        <v>#N/A</v>
      </c>
      <c r="EG46" s="301" t="e" cm="1">
        <f t="array" aca="1" ref="EG46" ca="1">IF(EF46&lt;0,"",INDEX(uxbGlobals!$B$133:$B$139,EF46))</f>
        <v>#N/A</v>
      </c>
      <c r="EH46" s="80"/>
      <c r="EI46" s="302" t="e" cm="1">
        <f t="array" aca="1" ref="EI46" ca="1">IF(EE46=0,"",IF(ED46="G","--",INDEX(auto_DataFlat_Rank,EC46,$E$11)))</f>
        <v>#N/A</v>
      </c>
      <c r="EJ46" s="122" t="e" cm="1">
        <f t="array" aca="1" ref="EJ46" ca="1">IF(EE46=0,"",IF(ED46="G","AVERAGE",INDEX(auto_ddCountry,ED46)))</f>
        <v>#N/A</v>
      </c>
      <c r="EK46" s="290" t="e" cm="1">
        <f t="array" aca="1" ref="EK46" ca="1">IF(EE46=0,"",INDEX(auto_DataFlat_Score,EC46,$E$11))</f>
        <v>#N/A</v>
      </c>
      <c r="EL46" s="4"/>
      <c r="EM46" s="49">
        <f t="shared" si="46"/>
        <v>-1</v>
      </c>
      <c r="EN46" s="49" t="e" cm="1">
        <f t="array" ref="EN46">IF($F46=0,0,INDEX(sys_DataFlat_LU_Grid,EM46,$E46))</f>
        <v>#VALUE!</v>
      </c>
      <c r="EO46" s="49" t="e" cm="1">
        <f t="array" ref="EO46">IF($F46=0,-1000,CHOOSE($E$14,INDEX(auto_DataFlat_Score,EN46,$E$11),-INDEX(auto_DataFlat_Score,EN46,$E$11),-$D46))</f>
        <v>#VALUE!</v>
      </c>
      <c r="EP46" s="91" t="e">
        <f ca="1">RANK(EO46,OFFSET(EO$21,0,0,$E$16+1,1))+COUNTIF(EO$21:EO46,EO46)-1</f>
        <v>#VALUE!</v>
      </c>
      <c r="EQ46" s="91" t="e">
        <f t="shared" ca="1" si="30"/>
        <v>#N/A</v>
      </c>
      <c r="ER46" s="91" t="e" cm="1">
        <f t="array" aca="1" ref="ER46" ca="1">INDEX(OFFSET(EN$21,0,0,$E$16+1,1),EQ46)</f>
        <v>#N/A</v>
      </c>
      <c r="ES46" s="49" t="e" cm="1">
        <f t="array" aca="1" ref="ES46" ca="1">INDEX(OFFSET($E$21,0,0,$E$16+1,1),EQ46)</f>
        <v>#N/A</v>
      </c>
      <c r="ET46" s="80" t="e" cm="1">
        <f t="array" aca="1" ref="ET46" ca="1">IF(ES46="G",5,INDEX(OFFSET($F$21,0,0,$E$16+1,1),EQ46))</f>
        <v>#N/A</v>
      </c>
      <c r="EU46" s="80" t="e" cm="1">
        <f t="array" aca="1" ref="EU46" ca="1">IF(ER46=0,0,IF(ES46="G",-1,INDEX(auto_DataFlat_Classification,ER46,$E$11)))</f>
        <v>#N/A</v>
      </c>
      <c r="EV46" s="301" t="e" cm="1">
        <f t="array" aca="1" ref="EV46" ca="1">IF(EU46&lt;0,"",INDEX(uxbGlobals!$B$133:$B$139,EU46))</f>
        <v>#N/A</v>
      </c>
      <c r="EW46" s="80"/>
      <c r="EX46" s="302" t="e" cm="1">
        <f t="array" aca="1" ref="EX46" ca="1">IF(ET46=0,"",IF(ES46="G","--",INDEX(auto_DataFlat_Rank,ER46,$E$11)))</f>
        <v>#N/A</v>
      </c>
      <c r="EY46" s="122" t="e" cm="1">
        <f t="array" aca="1" ref="EY46" ca="1">IF(ET46=0,"",IF(ES46="G","AVERAGE",INDEX(auto_ddCountry,ES46)))</f>
        <v>#N/A</v>
      </c>
      <c r="EZ46" s="290" t="e" cm="1">
        <f t="array" aca="1" ref="EZ46" ca="1">IF(ET46=0,"",INDEX(auto_DataFlat_Score,ER46,$E$11))</f>
        <v>#N/A</v>
      </c>
    </row>
    <row r="47" spans="1:156" ht="17.149999999999999" customHeight="1" x14ac:dyDescent="0.4">
      <c r="A47" s="4"/>
      <c r="B47" s="4"/>
      <c r="C47" s="4"/>
      <c r="D47" s="26">
        <v>27</v>
      </c>
      <c r="E47" s="49">
        <f>tblCountries!M28</f>
        <v>26</v>
      </c>
      <c r="F47" s="114" cm="1">
        <f t="array" ref="F47">IF(E47=0,0,INDEX(auto_Country_Status,E47))</f>
        <v>1</v>
      </c>
      <c r="G47" s="4"/>
      <c r="H47" s="49">
        <f t="shared" si="31"/>
        <v>1</v>
      </c>
      <c r="I47" s="49" cm="1">
        <f t="array" ref="I47">IF($F47=0,0,INDEX(sys_DataFlat_LU_Grid,H47,$E47))</f>
        <v>26</v>
      </c>
      <c r="J47" s="49" cm="1">
        <f t="array" ref="J47">IF($F47=0,-1000,CHOOSE($E$14,INDEX(auto_DataFlat_Score,I47,$E$11),-INDEX(auto_DataFlat_Score,I47,$E$11),-$D47))</f>
        <v>82.6</v>
      </c>
      <c r="K47" s="91">
        <f ca="1">RANK(J47,OFFSET(J$21,0,0,$E$16+1,1))+COUNTIF(J$21:J47,J47)-1</f>
        <v>2</v>
      </c>
      <c r="L47" s="91">
        <f t="shared" ca="1" si="48"/>
        <v>40</v>
      </c>
      <c r="M47" s="91" cm="1">
        <f t="array" aca="1" ref="M47" ca="1">INDEX(OFFSET(I$21,0,0,$E$16+1,1),L47)</f>
        <v>39</v>
      </c>
      <c r="N47" s="49" cm="1">
        <f t="array" aca="1" ref="N47" ca="1">INDEX(OFFSET($E$21,0,0,$E$16+1,1),L47)</f>
        <v>39</v>
      </c>
      <c r="O47" s="80" cm="1">
        <f t="array" aca="1" ref="O47" ca="1">IF(N47="G",5,INDEX(OFFSET($F$21,0,0,$E$16+1,1),L47))</f>
        <v>1</v>
      </c>
      <c r="P47" s="80" cm="1">
        <f t="array" aca="1" ref="P47" ca="1">IF(M47=0,0,IF(N47="G",-1,INDEX(auto_DataFlat_Classification,M47,$E$11)))</f>
        <v>4</v>
      </c>
      <c r="Q47" s="301" t="str" cm="1">
        <f t="array" aca="1" ref="Q47" ca="1">IF(P47&lt;0,"",INDEX(uxbGlobals!$B$133:$B$139,P47))</f>
        <v xml:space="preserve"> </v>
      </c>
      <c r="R47" s="80"/>
      <c r="S47" s="302" t="str" cm="1">
        <f t="array" aca="1" ref="S47" ca="1">IF(O47=0,"",IF(N47="G","--",INDEX(auto_DataFlat_Rank,M47,$E$11)))</f>
        <v>27</v>
      </c>
      <c r="T47" s="122" t="str" cm="1">
        <f t="array" aca="1" ref="T47" ca="1">IF(O47=0,"",IF(N47="G"," AVERAGE",INDEX(auto_ddCountry,N47)))</f>
        <v>Rome</v>
      </c>
      <c r="U47" s="290" cm="1">
        <f t="array" aca="1" ref="U47" ca="1">IF(O47=0,"",INDEX(auto_DataFlat_Score,M47,$E$11))</f>
        <v>63.5</v>
      </c>
      <c r="V47" s="4"/>
      <c r="W47" s="49">
        <f t="shared" si="33"/>
        <v>2</v>
      </c>
      <c r="X47" s="49" cm="1">
        <f t="array" ref="X47">IF($F47=0,0,INDEX(sys_DataFlat_LU_Grid,W47,$E47))</f>
        <v>86</v>
      </c>
      <c r="Y47" s="49" cm="1">
        <f t="array" ref="Y47">IF($F47=0,-1000,CHOOSE($E$14,INDEX(auto_DataFlat_Score,X47,$E$11),-INDEX(auto_DataFlat_Score,X47,$E$11),-$D47))</f>
        <v>86.9</v>
      </c>
      <c r="Z47" s="91">
        <f ca="1">RANK(Y47,OFFSET(Y$21,0,0,$E$16+1,1))+COUNTIF(Y$21:Y47,Y47)-1</f>
        <v>6</v>
      </c>
      <c r="AA47" s="91">
        <f t="shared" ca="1" si="49"/>
        <v>15</v>
      </c>
      <c r="AB47" s="91" cm="1">
        <f t="array" aca="1" ref="AB47" ca="1">INDEX(OFFSET(X$21,0,0,$E$16+1,1),AA47)</f>
        <v>74</v>
      </c>
      <c r="AC47" s="49" cm="1">
        <f t="array" aca="1" ref="AC47" ca="1">INDEX(OFFSET($E$21,0,0,$E$16+1,1),AA47)</f>
        <v>14</v>
      </c>
      <c r="AD47" s="80" cm="1">
        <f t="array" aca="1" ref="AD47" ca="1">IF(AC47="G",5,INDEX(OFFSET($F$21,0,0,$E$16+1,1),AA47))</f>
        <v>1</v>
      </c>
      <c r="AE47" s="80" cm="1">
        <f t="array" aca="1" ref="AE47" ca="1">IF(AB47=0,0,IF(AC47="G",-1,INDEX(auto_DataFlat_Classification,AB47,$E$11)))</f>
        <v>4</v>
      </c>
      <c r="AF47" s="301" t="str" cm="1">
        <f t="array" aca="1" ref="AF47" ca="1">IF(AE47&lt;0,"",INDEX(uxbGlobals!$B$133:$B$139,AE47))</f>
        <v xml:space="preserve"> </v>
      </c>
      <c r="AG47" s="80"/>
      <c r="AH47" s="302" t="str" cm="1">
        <f t="array" aca="1" ref="AH47" ca="1">IF(AD47=0,"",IF(AC47="G","--",INDEX(auto_DataFlat_Rank,AB47,$E$11)))</f>
        <v>27</v>
      </c>
      <c r="AI47" s="122" t="str" cm="1">
        <f t="array" aca="1" ref="AI47" ca="1">IF(AD47=0,"",IF(AC47="G","AVERAGE",INDEX(auto_ddCountry,AC47)))</f>
        <v>Dubai</v>
      </c>
      <c r="AJ47" s="290" cm="1">
        <f t="array" aca="1" ref="AJ47" ca="1">IF(AD47=0,"",INDEX(auto_DataFlat_Score,AB47,$E$11))</f>
        <v>74.3</v>
      </c>
      <c r="AK47" s="4"/>
      <c r="AL47" s="49">
        <f t="shared" si="35"/>
        <v>14</v>
      </c>
      <c r="AM47" s="49" cm="1">
        <f t="array" ref="AM47">IF($F47=0,0,INDEX(sys_DataFlat_LU_Grid,AL47,$E47))</f>
        <v>806</v>
      </c>
      <c r="AN47" s="49" cm="1">
        <f t="array" ref="AN47">IF($F47=0,-1000,CHOOSE($E$14,INDEX(auto_DataFlat_Score,AM47,$E$11),-INDEX(auto_DataFlat_Score,AM47,$E$11),-$D47))</f>
        <v>76.7</v>
      </c>
      <c r="AO47" s="91">
        <f ca="1">RANK(AN47,OFFSET(AN$21,0,0,$E$16+1,1))+COUNTIF(AN$21:AN47,AN47)-1</f>
        <v>2</v>
      </c>
      <c r="AP47" s="91">
        <f t="shared" ca="1" si="50"/>
        <v>29</v>
      </c>
      <c r="AQ47" s="91" cm="1">
        <f t="array" aca="1" ref="AQ47" ca="1">INDEX(OFFSET(AM$21,0,0,$E$16+1,1),AP47)</f>
        <v>808</v>
      </c>
      <c r="AR47" s="49" cm="1">
        <f t="array" aca="1" ref="AR47" ca="1">INDEX(OFFSET($E$21,0,0,$E$16+1,1),AP47)</f>
        <v>28</v>
      </c>
      <c r="AS47" s="80" cm="1">
        <f t="array" aca="1" ref="AS47" ca="1">IF(AR47="G",5,INDEX(OFFSET($F$21,0,0,$E$16+1,1),AP47))</f>
        <v>1</v>
      </c>
      <c r="AT47" s="80" cm="1">
        <f t="array" aca="1" ref="AT47" ca="1">IF(AQ47=0,0,IF(AR47="G",-1,INDEX(auto_DataFlat_Classification,AQ47,$E$11)))</f>
        <v>3</v>
      </c>
      <c r="AU47" s="301" t="str" cm="1">
        <f t="array" aca="1" ref="AU47" ca="1">IF(AT47&lt;0,"",INDEX(uxbGlobals!$B$133:$B$139,AT47))</f>
        <v xml:space="preserve"> </v>
      </c>
      <c r="AV47" s="80"/>
      <c r="AW47" s="302" t="str" cm="1">
        <f t="array" aca="1" ref="AW47" ca="1">IF(AS47=0,"",IF(AR47="G","--",INDEX(auto_DataFlat_Rank,AQ47,$E$11)))</f>
        <v>26</v>
      </c>
      <c r="AX47" s="122" t="str" cm="1">
        <f t="array" aca="1" ref="AX47" ca="1">IF(AS47=0,"",IF(AR47="G","AVERAGE",INDEX(auto_ddCountry,AR47)))</f>
        <v>Manila</v>
      </c>
      <c r="AY47" s="290" cm="1">
        <f t="array" aca="1" ref="AY47" ca="1">IF(AS47=0,"",INDEX(auto_DataFlat_Score,AQ47,$E$11))</f>
        <v>47.3</v>
      </c>
      <c r="AZ47" s="4"/>
      <c r="BA47" s="49">
        <f t="shared" si="37"/>
        <v>22</v>
      </c>
      <c r="BB47" s="49" cm="1">
        <f t="array" ref="BB47">IF($F47=0,0,INDEX(sys_DataFlat_LU_Grid,BA47,$E47))</f>
        <v>1286</v>
      </c>
      <c r="BC47" s="49" cm="1">
        <f t="array" ref="BC47">IF($F47=0,-1000,CHOOSE($E$14,INDEX(auto_DataFlat_Score,BB47,$E$11),-INDEX(auto_DataFlat_Score,BB47,$E$11),-$D47))</f>
        <v>67.7</v>
      </c>
      <c r="BD47" s="91">
        <f ca="1">RANK(BC47,OFFSET(BC$21,0,0,$E$16+1,1))+COUNTIF(BC$21:BC47,BC47)-1</f>
        <v>16</v>
      </c>
      <c r="BE47" s="91">
        <f t="shared" ca="1" si="51"/>
        <v>13</v>
      </c>
      <c r="BF47" s="91" cm="1">
        <f t="array" aca="1" ref="BF47" ca="1">INDEX(OFFSET(BB$21,0,0,$E$16+1,1),BE47)</f>
        <v>1272</v>
      </c>
      <c r="BG47" s="49" cm="1">
        <f t="array" aca="1" ref="BG47" ca="1">INDEX(OFFSET($E$21,0,0,$E$16+1,1),BE47)</f>
        <v>12</v>
      </c>
      <c r="BH47" s="80" cm="1">
        <f t="array" aca="1" ref="BH47" ca="1">IF(BG47="G",5,INDEX(OFFSET($F$21,0,0,$E$16+1,1),BE47))</f>
        <v>1</v>
      </c>
      <c r="BI47" s="80" cm="1">
        <f t="array" aca="1" ref="BI47" ca="1">IF(BF47=0,0,IF(BG47="G",-1,INDEX(auto_DataFlat_Classification,BF47,$E$11)))</f>
        <v>3</v>
      </c>
      <c r="BJ47" s="301" t="str" cm="1">
        <f t="array" aca="1" ref="BJ47" ca="1">IF(BI47&lt;0,"",INDEX(uxbGlobals!$B$133:$B$139,BI47))</f>
        <v xml:space="preserve"> </v>
      </c>
      <c r="BK47" s="80"/>
      <c r="BL47" s="302" t="str" cm="1">
        <f t="array" aca="1" ref="BL47" ca="1">IF(BH47=0,"",IF(BG47="G","--",INDEX(auto_DataFlat_Rank,BF47,$E$11)))</f>
        <v>26</v>
      </c>
      <c r="BM47" s="122" t="str" cm="1">
        <f t="array" aca="1" ref="BM47" ca="1">IF(BH47=0,"",IF(BG47="G","AVERAGE",INDEX(auto_ddCountry,BG47)))</f>
        <v>Delhi</v>
      </c>
      <c r="BN47" s="290" cm="1">
        <f t="array" aca="1" ref="BN47" ca="1">IF(BH47=0,"",INDEX(auto_DataFlat_Score,BF47,$E$11))</f>
        <v>56.4</v>
      </c>
      <c r="BO47" s="4"/>
      <c r="BP47" s="49">
        <f t="shared" si="39"/>
        <v>47</v>
      </c>
      <c r="BQ47" s="49" cm="1">
        <f t="array" ref="BQ47">IF($F47=0,0,INDEX(sys_DataFlat_LU_Grid,BP47,$E47))</f>
        <v>2786</v>
      </c>
      <c r="BR47" s="49" cm="1">
        <f t="array" ref="BR47">IF($F47=0,-1000,CHOOSE($E$14,INDEX(auto_DataFlat_Score,BQ47,$E$11),-INDEX(auto_DataFlat_Score,BQ47,$E$11),-$D47))</f>
        <v>84</v>
      </c>
      <c r="BS47" s="91">
        <f ca="1">RANK(BR47,OFFSET(BR$21,0,0,$E$16+1,1))+COUNTIF(BR$21:BR47,BR47)-1</f>
        <v>7</v>
      </c>
      <c r="BT47" s="91">
        <f t="shared" ca="1" si="52"/>
        <v>1</v>
      </c>
      <c r="BU47" s="91" cm="1">
        <f t="array" aca="1" ref="BU47" ca="1">INDEX(OFFSET(BQ$21,0,0,$E$16+1,1),BT47)</f>
        <v>2811</v>
      </c>
      <c r="BV47" s="49" t="str" cm="1">
        <f t="array" aca="1" ref="BV47" ca="1">INDEX(OFFSET($E$21,0,0,$E$16+1,1),BT47)</f>
        <v>G</v>
      </c>
      <c r="BW47" s="80" cm="1">
        <f t="array" aca="1" ref="BW47" ca="1">IF(BV47="G",5,INDEX(OFFSET($F$21,0,0,$E$16+1,1),BT47))</f>
        <v>5</v>
      </c>
      <c r="BX47" s="80" cm="1">
        <f t="array" aca="1" ref="BX47" ca="1">IF(BU47=0,0,IF(BV47="G",-1,INDEX(auto_DataFlat_Classification,BU47,$E$11)))</f>
        <v>-1</v>
      </c>
      <c r="BY47" s="301" t="str" cm="1">
        <f t="array" aca="1" ref="BY47" ca="1">IF(BX47&lt;0,"",INDEX(uxbGlobals!$B$133:$B$139,BX47))</f>
        <v/>
      </c>
      <c r="BZ47" s="80"/>
      <c r="CA47" s="302" t="str" cm="1">
        <f t="array" aca="1" ref="CA47" ca="1">IF(BW47=0,"",IF(BV47="G","--",INDEX(auto_DataFlat_Rank,BU47,$E$11)))</f>
        <v>--</v>
      </c>
      <c r="CB47" s="122" t="str" cm="1">
        <f t="array" aca="1" ref="CB47" ca="1">IF(BW47=0,"",IF(BV47="G","AVERAGE",INDEX(auto_ddCountry,BV47)))</f>
        <v>AVERAGE</v>
      </c>
      <c r="CC47" s="290" cm="1">
        <f t="array" aca="1" ref="CC47" ca="1">IF(BW47=0,"",INDEX(auto_DataFlat_Score,BU47,$E$11))</f>
        <v>64.3</v>
      </c>
      <c r="CD47" s="4"/>
      <c r="CE47" s="49">
        <f t="shared" si="41"/>
        <v>52</v>
      </c>
      <c r="CF47" s="49" cm="1">
        <f t="array" ref="CF47">IF($F47=0,0,INDEX(sys_DataFlat_LU_Grid,CE47,$E47))</f>
        <v>3086</v>
      </c>
      <c r="CG47" s="49" cm="1">
        <f t="array" ref="CG47">IF($F47=0,-1000,CHOOSE($E$14,INDEX(auto_DataFlat_Score,CF47,$E$11),-INDEX(auto_DataFlat_Score,CF47,$E$11),-$D47))</f>
        <v>96.3</v>
      </c>
      <c r="CH47" s="91">
        <f ca="1">RANK(CG47,OFFSET(CG$21,0,0,$E$16+1,1))+COUNTIF(CG$21:CG47,CG47)-1</f>
        <v>1</v>
      </c>
      <c r="CI47" s="91">
        <f t="shared" ca="1" si="53"/>
        <v>49</v>
      </c>
      <c r="CJ47" s="91" cm="1">
        <f t="array" aca="1" ref="CJ47" ca="1">INDEX(OFFSET(CF$21,0,0,$E$16+1,1),CI47)</f>
        <v>3108</v>
      </c>
      <c r="CK47" s="49" cm="1">
        <f t="array" aca="1" ref="CK47" ca="1">INDEX(OFFSET($E$21,0,0,$E$16+1,1),CI47)</f>
        <v>48</v>
      </c>
      <c r="CL47" s="80" cm="1">
        <f t="array" aca="1" ref="CL47" ca="1">IF(CK47="G",5,INDEX(OFFSET($F$21,0,0,$E$16+1,1),CI47))</f>
        <v>1</v>
      </c>
      <c r="CM47" s="80" cm="1">
        <f t="array" aca="1" ref="CM47" ca="1">IF(CJ47=0,0,IF(CK47="G",-1,INDEX(auto_DataFlat_Classification,CJ47,$E$11)))</f>
        <v>4</v>
      </c>
      <c r="CN47" s="301" t="str" cm="1">
        <f t="array" aca="1" ref="CN47" ca="1">IF(CM47&lt;0,"",INDEX(uxbGlobals!$B$133:$B$139,CM47))</f>
        <v xml:space="preserve"> </v>
      </c>
      <c r="CO47" s="80"/>
      <c r="CP47" s="302" t="str" cm="1">
        <f t="array" aca="1" ref="CP47" ca="1">IF(CL47=0,"",IF(CK47="G","--",INDEX(auto_DataFlat_Rank,CJ47,$E$11)))</f>
        <v>27</v>
      </c>
      <c r="CQ47" s="122" t="str" cm="1">
        <f t="array" aca="1" ref="CQ47" ca="1">IF(CL47=0,"",IF(CK47="G","AVERAGE",INDEX(auto_ddCountry,CK47)))</f>
        <v>Vienna</v>
      </c>
      <c r="CR47" s="290" cm="1">
        <f t="array" aca="1" ref="CR47" ca="1">IF(CL47=0,"",INDEX(auto_DataFlat_Score,CJ47,$E$11))</f>
        <v>70.400000000000006</v>
      </c>
      <c r="CS47" s="4"/>
      <c r="CT47" s="49">
        <f t="shared" si="43"/>
        <v>-1</v>
      </c>
      <c r="CU47" s="49" t="e" cm="1">
        <f t="array" ref="CU47">IF($F47=0,0,INDEX(sys_DataFlat_LU_Grid,CT47,$E47))</f>
        <v>#VALUE!</v>
      </c>
      <c r="CV47" s="49" t="e" cm="1">
        <f t="array" ref="CV47">IF($F47=0,-1000,CHOOSE($E$14,INDEX(auto_DataFlat_Score,CU47,$E$11),-INDEX(auto_DataFlat_Score,CU47,$E$11),-$D47))</f>
        <v>#VALUE!</v>
      </c>
      <c r="CW47" s="91" t="e">
        <f ca="1">RANK(CV47,OFFSET(CV$21,0,0,$E$16+1,1))+COUNTIF(CV$21:CV47,CV47)-1</f>
        <v>#VALUE!</v>
      </c>
      <c r="CX47" s="91" t="e">
        <f t="shared" ca="1" si="47"/>
        <v>#N/A</v>
      </c>
      <c r="CY47" s="91" t="e" cm="1">
        <f t="array" aca="1" ref="CY47" ca="1">INDEX(OFFSET(CU$21,0,0,$E$16+1,1),CX47)</f>
        <v>#N/A</v>
      </c>
      <c r="CZ47" s="49" t="e" cm="1">
        <f t="array" aca="1" ref="CZ47" ca="1">INDEX(OFFSET($E$21,0,0,$E$16+1,1),CX47)</f>
        <v>#N/A</v>
      </c>
      <c r="DA47" s="80" t="e" cm="1">
        <f t="array" aca="1" ref="DA47" ca="1">IF(CZ47="G",5,INDEX(OFFSET($F$21,0,0,$E$16+1,1),CX47))</f>
        <v>#N/A</v>
      </c>
      <c r="DB47" s="80" t="e" cm="1">
        <f t="array" aca="1" ref="DB47" ca="1">IF(CY47=0,0,IF(CZ47="G",-1,INDEX(auto_DataFlat_Classification,CY47,$E$11)))</f>
        <v>#N/A</v>
      </c>
      <c r="DC47" s="301" t="e" cm="1">
        <f t="array" aca="1" ref="DC47" ca="1">IF(DB47&lt;0,"",INDEX(uxbGlobals!$B$133:$B$139,DB47))</f>
        <v>#N/A</v>
      </c>
      <c r="DD47" s="80"/>
      <c r="DE47" s="302" t="e" cm="1">
        <f t="array" aca="1" ref="DE47" ca="1">IF(DA47=0,"",IF(CZ47="G","--",INDEX(auto_DataFlat_Rank,CY47,$E$11)))</f>
        <v>#N/A</v>
      </c>
      <c r="DF47" s="122" t="e" cm="1">
        <f t="array" aca="1" ref="DF47" ca="1">IF(DA47=0,"",IF(CZ47="G","AVERAGE",INDEX(auto_ddCountry,CZ47)))</f>
        <v>#N/A</v>
      </c>
      <c r="DG47" s="290" t="e" cm="1">
        <f t="array" aca="1" ref="DG47" ca="1">IF(DA47=0,"",INDEX(auto_DataFlat_Score,CY47,$E$11))</f>
        <v>#N/A</v>
      </c>
      <c r="DH47" s="4"/>
      <c r="DI47" s="49">
        <f t="shared" si="44"/>
        <v>-1</v>
      </c>
      <c r="DJ47" s="49" t="e" cm="1">
        <f t="array" ref="DJ47">IF($F47=0,0,INDEX(sys_DataFlat_LU_Grid,DI47,$E47))</f>
        <v>#VALUE!</v>
      </c>
      <c r="DK47" s="49" t="e" cm="1">
        <f t="array" ref="DK47">IF($F47=0,-1000,CHOOSE($E$14,INDEX(auto_DataFlat_Score,DJ47,$E$11),-INDEX(auto_DataFlat_Score,DJ47,$E$11),-$D47))</f>
        <v>#VALUE!</v>
      </c>
      <c r="DL47" s="91" t="e">
        <f ca="1">RANK(DK47,OFFSET(DK$21,0,0,$E$16+1,1))+COUNTIF(DK$21:DK47,DK47)-1</f>
        <v>#VALUE!</v>
      </c>
      <c r="DM47" s="91" t="e">
        <f t="shared" ca="1" si="28"/>
        <v>#N/A</v>
      </c>
      <c r="DN47" s="91" t="e" cm="1">
        <f t="array" aca="1" ref="DN47" ca="1">INDEX(OFFSET(DJ$21,0,0,$E$16+1,1),DM47)</f>
        <v>#N/A</v>
      </c>
      <c r="DO47" s="49" t="e" cm="1">
        <f t="array" aca="1" ref="DO47" ca="1">INDEX(OFFSET($E$21,0,0,$E$16+1,1),DM47)</f>
        <v>#N/A</v>
      </c>
      <c r="DP47" s="80" t="e" cm="1">
        <f t="array" aca="1" ref="DP47" ca="1">IF(DO47="G",5,INDEX(OFFSET($F$21,0,0,$E$16+1,1),DM47))</f>
        <v>#N/A</v>
      </c>
      <c r="DQ47" s="80" t="e" cm="1">
        <f t="array" aca="1" ref="DQ47" ca="1">IF(DN47=0,0,IF(DO47="G",-1,INDEX(auto_DataFlat_Classification,DN47,$E$11)))</f>
        <v>#N/A</v>
      </c>
      <c r="DR47" s="301" t="e" cm="1">
        <f t="array" aca="1" ref="DR47" ca="1">IF(DQ47&lt;0,"",INDEX(uxbGlobals!$B$133:$B$139,DQ47))</f>
        <v>#N/A</v>
      </c>
      <c r="DS47" s="80"/>
      <c r="DT47" s="302" t="e" cm="1">
        <f t="array" aca="1" ref="DT47" ca="1">IF(DP47=0,"",IF(DO47="G","--",INDEX(auto_DataFlat_Rank,DN47,$E$11)))</f>
        <v>#N/A</v>
      </c>
      <c r="DU47" s="122" t="e" cm="1">
        <f t="array" aca="1" ref="DU47" ca="1">IF(DP47=0,"",IF(DO47="G","AVERAGE",INDEX(auto_ddCountry,DO47)))</f>
        <v>#N/A</v>
      </c>
      <c r="DV47" s="290" t="e" cm="1">
        <f t="array" aca="1" ref="DV47" ca="1">IF(DP47=0,"",INDEX(auto_DataFlat_Score,DN47,$E$11))</f>
        <v>#N/A</v>
      </c>
      <c r="DW47" s="4"/>
      <c r="DX47" s="49">
        <f t="shared" si="45"/>
        <v>-1</v>
      </c>
      <c r="DY47" s="49" t="e" cm="1">
        <f t="array" ref="DY47">IF($F47=0,0,INDEX(sys_DataFlat_LU_Grid,DX47,$E47))</f>
        <v>#VALUE!</v>
      </c>
      <c r="DZ47" s="49" t="e" cm="1">
        <f t="array" ref="DZ47">IF($F47=0,-1000,CHOOSE($E$14,INDEX(auto_DataFlat_Score,DY47,$E$11),-INDEX(auto_DataFlat_Score,DY47,$E$11),-$D47))</f>
        <v>#VALUE!</v>
      </c>
      <c r="EA47" s="91" t="e">
        <f ca="1">RANK(DZ47,OFFSET(DZ$21,0,0,$E$16+1,1))+COUNTIF(DZ$21:DZ47,DZ47)-1</f>
        <v>#VALUE!</v>
      </c>
      <c r="EB47" s="91" t="e">
        <f t="shared" ca="1" si="29"/>
        <v>#N/A</v>
      </c>
      <c r="EC47" s="91" t="e" cm="1">
        <f t="array" aca="1" ref="EC47" ca="1">INDEX(OFFSET(DY$21,0,0,$E$16+1,1),EB47)</f>
        <v>#N/A</v>
      </c>
      <c r="ED47" s="49" t="e" cm="1">
        <f t="array" aca="1" ref="ED47" ca="1">INDEX(OFFSET($E$21,0,0,$E$16+1,1),EB47)</f>
        <v>#N/A</v>
      </c>
      <c r="EE47" s="80" t="e" cm="1">
        <f t="array" aca="1" ref="EE47" ca="1">IF(ED47="G",5,INDEX(OFFSET($F$21,0,0,$E$16+1,1),EB47))</f>
        <v>#N/A</v>
      </c>
      <c r="EF47" s="80" t="e" cm="1">
        <f t="array" aca="1" ref="EF47" ca="1">IF(EC47=0,0,IF(ED47="G",-1,INDEX(auto_DataFlat_Classification,EC47,$E$11)))</f>
        <v>#N/A</v>
      </c>
      <c r="EG47" s="301" t="e" cm="1">
        <f t="array" aca="1" ref="EG47" ca="1">IF(EF47&lt;0,"",INDEX(uxbGlobals!$B$133:$B$139,EF47))</f>
        <v>#N/A</v>
      </c>
      <c r="EH47" s="80"/>
      <c r="EI47" s="302" t="e" cm="1">
        <f t="array" aca="1" ref="EI47" ca="1">IF(EE47=0,"",IF(ED47="G","--",INDEX(auto_DataFlat_Rank,EC47,$E$11)))</f>
        <v>#N/A</v>
      </c>
      <c r="EJ47" s="122" t="e" cm="1">
        <f t="array" aca="1" ref="EJ47" ca="1">IF(EE47=0,"",IF(ED47="G","AVERAGE",INDEX(auto_ddCountry,ED47)))</f>
        <v>#N/A</v>
      </c>
      <c r="EK47" s="290" t="e" cm="1">
        <f t="array" aca="1" ref="EK47" ca="1">IF(EE47=0,"",INDEX(auto_DataFlat_Score,EC47,$E$11))</f>
        <v>#N/A</v>
      </c>
      <c r="EL47" s="4"/>
      <c r="EM47" s="49">
        <f t="shared" si="46"/>
        <v>-1</v>
      </c>
      <c r="EN47" s="49" t="e" cm="1">
        <f t="array" ref="EN47">IF($F47=0,0,INDEX(sys_DataFlat_LU_Grid,EM47,$E47))</f>
        <v>#VALUE!</v>
      </c>
      <c r="EO47" s="49" t="e" cm="1">
        <f t="array" ref="EO47">IF($F47=0,-1000,CHOOSE($E$14,INDEX(auto_DataFlat_Score,EN47,$E$11),-INDEX(auto_DataFlat_Score,EN47,$E$11),-$D47))</f>
        <v>#VALUE!</v>
      </c>
      <c r="EP47" s="91" t="e">
        <f ca="1">RANK(EO47,OFFSET(EO$21,0,0,$E$16+1,1))+COUNTIF(EO$21:EO47,EO47)-1</f>
        <v>#VALUE!</v>
      </c>
      <c r="EQ47" s="91" t="e">
        <f t="shared" ca="1" si="30"/>
        <v>#N/A</v>
      </c>
      <c r="ER47" s="91" t="e" cm="1">
        <f t="array" aca="1" ref="ER47" ca="1">INDEX(OFFSET(EN$21,0,0,$E$16+1,1),EQ47)</f>
        <v>#N/A</v>
      </c>
      <c r="ES47" s="49" t="e" cm="1">
        <f t="array" aca="1" ref="ES47" ca="1">INDEX(OFFSET($E$21,0,0,$E$16+1,1),EQ47)</f>
        <v>#N/A</v>
      </c>
      <c r="ET47" s="80" t="e" cm="1">
        <f t="array" aca="1" ref="ET47" ca="1">IF(ES47="G",5,INDEX(OFFSET($F$21,0,0,$E$16+1,1),EQ47))</f>
        <v>#N/A</v>
      </c>
      <c r="EU47" s="80" t="e" cm="1">
        <f t="array" aca="1" ref="EU47" ca="1">IF(ER47=0,0,IF(ES47="G",-1,INDEX(auto_DataFlat_Classification,ER47,$E$11)))</f>
        <v>#N/A</v>
      </c>
      <c r="EV47" s="301" t="e" cm="1">
        <f t="array" aca="1" ref="EV47" ca="1">IF(EU47&lt;0,"",INDEX(uxbGlobals!$B$133:$B$139,EU47))</f>
        <v>#N/A</v>
      </c>
      <c r="EW47" s="80"/>
      <c r="EX47" s="302" t="e" cm="1">
        <f t="array" aca="1" ref="EX47" ca="1">IF(ET47=0,"",IF(ES47="G","--",INDEX(auto_DataFlat_Rank,ER47,$E$11)))</f>
        <v>#N/A</v>
      </c>
      <c r="EY47" s="122" t="e" cm="1">
        <f t="array" aca="1" ref="EY47" ca="1">IF(ET47=0,"",IF(ES47="G","AVERAGE",INDEX(auto_ddCountry,ES47)))</f>
        <v>#N/A</v>
      </c>
      <c r="EZ47" s="290" t="e" cm="1">
        <f t="array" aca="1" ref="EZ47" ca="1">IF(ET47=0,"",INDEX(auto_DataFlat_Score,ER47,$E$11))</f>
        <v>#N/A</v>
      </c>
    </row>
    <row r="48" spans="1:156" ht="17.149999999999999" customHeight="1" x14ac:dyDescent="0.4">
      <c r="A48" s="4"/>
      <c r="B48" s="4"/>
      <c r="C48" s="4"/>
      <c r="D48" s="26">
        <v>28</v>
      </c>
      <c r="E48" s="49">
        <f>tblCountries!M29</f>
        <v>27</v>
      </c>
      <c r="F48" s="114" cm="1">
        <f t="array" ref="F48">IF(E48=0,0,INDEX(auto_Country_Status,E48))</f>
        <v>1</v>
      </c>
      <c r="G48" s="4"/>
      <c r="H48" s="49">
        <f t="shared" si="31"/>
        <v>1</v>
      </c>
      <c r="I48" s="49" cm="1">
        <f t="array" ref="I48">IF($F48=0,0,INDEX(sys_DataFlat_LU_Grid,H48,$E48))</f>
        <v>27</v>
      </c>
      <c r="J48" s="49" cm="1">
        <f t="array" ref="J48">IF($F48=0,-1000,CHOOSE($E$14,INDEX(auto_DataFlat_Score,I48,$E$11),-INDEX(auto_DataFlat_Score,I48,$E$11),-$D48))</f>
        <v>79.599999999999994</v>
      </c>
      <c r="K48" s="91">
        <f ca="1">RANK(J48,OFFSET(J$21,0,0,$E$16+1,1))+COUNTIF(J$21:J48,J48)-1</f>
        <v>3</v>
      </c>
      <c r="L48" s="91">
        <f t="shared" ca="1" si="48"/>
        <v>7</v>
      </c>
      <c r="M48" s="91" cm="1">
        <f t="array" aca="1" ref="M48" ca="1">INDEX(OFFSET(I$21,0,0,$E$16+1,1),L48)</f>
        <v>6</v>
      </c>
      <c r="N48" s="49" cm="1">
        <f t="array" aca="1" ref="N48" ca="1">INDEX(OFFSET($E$21,0,0,$E$16+1,1),L48)</f>
        <v>6</v>
      </c>
      <c r="O48" s="80" cm="1">
        <f t="array" aca="1" ref="O48" ca="1">IF(N48="G",5,INDEX(OFFSET($F$21,0,0,$E$16+1,1),L48))</f>
        <v>1</v>
      </c>
      <c r="P48" s="80" cm="1">
        <f t="array" aca="1" ref="P48" ca="1">IF(M48=0,0,IF(N48="G",-1,INDEX(auto_DataFlat_Classification,M48,$E$11)))</f>
        <v>4</v>
      </c>
      <c r="Q48" s="301" t="str" cm="1">
        <f t="array" aca="1" ref="Q48" ca="1">IF(P48&lt;0,"",INDEX(uxbGlobals!$B$133:$B$139,P48))</f>
        <v xml:space="preserve"> </v>
      </c>
      <c r="R48" s="80"/>
      <c r="S48" s="302" t="str" cm="1">
        <f t="array" aca="1" ref="S48" ca="1">IF(O48=0,"",IF(N48="G","--",INDEX(auto_DataFlat_Rank,M48,$E$11)))</f>
        <v>28</v>
      </c>
      <c r="T48" s="122" t="str" cm="1">
        <f t="array" aca="1" ref="T48" ca="1">IF(O48=0,"",IF(N48="G"," AVERAGE",INDEX(auto_ddCountry,N48)))</f>
        <v>Beijing</v>
      </c>
      <c r="U48" s="290" cm="1">
        <f t="array" aca="1" ref="U48" ca="1">IF(O48=0,"",INDEX(auto_DataFlat_Score,M48,$E$11))</f>
        <v>63.4</v>
      </c>
      <c r="V48" s="4"/>
      <c r="W48" s="49">
        <f t="shared" si="33"/>
        <v>2</v>
      </c>
      <c r="X48" s="49" cm="1">
        <f t="array" ref="X48">IF($F48=0,0,INDEX(sys_DataFlat_LU_Grid,W48,$E48))</f>
        <v>87</v>
      </c>
      <c r="Y48" s="49" cm="1">
        <f t="array" ref="Y48">IF($F48=0,-1000,CHOOSE($E$14,INDEX(auto_DataFlat_Score,X48,$E$11),-INDEX(auto_DataFlat_Score,X48,$E$11),-$D48))</f>
        <v>81.900000000000006</v>
      </c>
      <c r="Z48" s="91">
        <f ca="1">RANK(Y48,OFFSET(Y$21,0,0,$E$16+1,1))+COUNTIF(Y$21:Y48,Y48)-1</f>
        <v>19</v>
      </c>
      <c r="AA48" s="91">
        <f t="shared" ca="1" si="49"/>
        <v>26</v>
      </c>
      <c r="AB48" s="91" cm="1">
        <f t="array" aca="1" ref="AB48" ca="1">INDEX(OFFSET(X$21,0,0,$E$16+1,1),AA48)</f>
        <v>85</v>
      </c>
      <c r="AC48" s="49" cm="1">
        <f t="array" aca="1" ref="AC48" ca="1">INDEX(OFFSET($E$21,0,0,$E$16+1,1),AA48)</f>
        <v>25</v>
      </c>
      <c r="AD48" s="80" cm="1">
        <f t="array" aca="1" ref="AD48" ca="1">IF(AC48="G",5,INDEX(OFFSET($F$21,0,0,$E$16+1,1),AA48))</f>
        <v>1</v>
      </c>
      <c r="AE48" s="80" cm="1">
        <f t="array" aca="1" ref="AE48" ca="1">IF(AB48=0,0,IF(AC48="G",-1,INDEX(auto_DataFlat_Classification,AB48,$E$11)))</f>
        <v>4</v>
      </c>
      <c r="AF48" s="301" t="str" cm="1">
        <f t="array" aca="1" ref="AF48" ca="1">IF(AE48&lt;0,"",INDEX(uxbGlobals!$B$133:$B$139,AE48))</f>
        <v xml:space="preserve"> </v>
      </c>
      <c r="AG48" s="80"/>
      <c r="AH48" s="302" t="str" cm="1">
        <f t="array" aca="1" ref="AH48" ca="1">IF(AD48=0,"",IF(AC48="G","--",INDEX(auto_DataFlat_Rank,AB48,$E$11)))</f>
        <v>28</v>
      </c>
      <c r="AI48" s="122" t="str" cm="1">
        <f t="array" aca="1" ref="AI48" ca="1">IF(AD48=0,"",IF(AC48="G","AVERAGE",INDEX(auto_ddCountry,AC48)))</f>
        <v>Lagos</v>
      </c>
      <c r="AJ48" s="290" cm="1">
        <f t="array" aca="1" ref="AJ48" ca="1">IF(AD48=0,"",INDEX(auto_DataFlat_Score,AB48,$E$11))</f>
        <v>73.3</v>
      </c>
      <c r="AK48" s="4"/>
      <c r="AL48" s="49">
        <f t="shared" si="35"/>
        <v>14</v>
      </c>
      <c r="AM48" s="49" cm="1">
        <f t="array" ref="AM48">IF($F48=0,0,INDEX(sys_DataFlat_LU_Grid,AL48,$E48))</f>
        <v>807</v>
      </c>
      <c r="AN48" s="49" cm="1">
        <f t="array" ref="AN48">IF($F48=0,-1000,CHOOSE($E$14,INDEX(auto_DataFlat_Score,AM48,$E$11),-INDEX(auto_DataFlat_Score,AM48,$E$11),-$D48))</f>
        <v>72.599999999999994</v>
      </c>
      <c r="AO48" s="91">
        <f ca="1">RANK(AN48,OFFSET(AN$21,0,0,$E$16+1,1))+COUNTIF(AN$21:AN48,AN48)-1</f>
        <v>6</v>
      </c>
      <c r="AP48" s="91">
        <f t="shared" ca="1" si="50"/>
        <v>23</v>
      </c>
      <c r="AQ48" s="91" cm="1">
        <f t="array" aca="1" ref="AQ48" ca="1">INDEX(OFFSET(AM$21,0,0,$E$16+1,1),AP48)</f>
        <v>802</v>
      </c>
      <c r="AR48" s="49" cm="1">
        <f t="array" aca="1" ref="AR48" ca="1">INDEX(OFFSET($E$21,0,0,$E$16+1,1),AP48)</f>
        <v>22</v>
      </c>
      <c r="AS48" s="80" cm="1">
        <f t="array" aca="1" ref="AS48" ca="1">IF(AR48="G",5,INDEX(OFFSET($F$21,0,0,$E$16+1,1),AP48))</f>
        <v>1</v>
      </c>
      <c r="AT48" s="80" cm="1">
        <f t="array" aca="1" ref="AT48" ca="1">IF(AQ48=0,0,IF(AR48="G",-1,INDEX(auto_DataFlat_Classification,AQ48,$E$11)))</f>
        <v>3</v>
      </c>
      <c r="AU48" s="301" t="str" cm="1">
        <f t="array" aca="1" ref="AU48" ca="1">IF(AT48&lt;0,"",INDEX(uxbGlobals!$B$133:$B$139,AT48))</f>
        <v xml:space="preserve"> </v>
      </c>
      <c r="AV48" s="80"/>
      <c r="AW48" s="302" t="str" cm="1">
        <f t="array" aca="1" ref="AW48" ca="1">IF(AS48=0,"",IF(AR48="G","--",INDEX(auto_DataFlat_Rank,AQ48,$E$11)))</f>
        <v>27</v>
      </c>
      <c r="AX48" s="122" t="str" cm="1">
        <f t="array" aca="1" ref="AX48" ca="1">IF(AS48=0,"",IF(AR48="G","AVERAGE",INDEX(auto_ddCountry,AR48)))</f>
        <v>Kathmandu</v>
      </c>
      <c r="AY48" s="290" cm="1">
        <f t="array" aca="1" ref="AY48" ca="1">IF(AS48=0,"",INDEX(auto_DataFlat_Score,AQ48,$E$11))</f>
        <v>46.8</v>
      </c>
      <c r="AZ48" s="4"/>
      <c r="BA48" s="49">
        <f t="shared" si="37"/>
        <v>22</v>
      </c>
      <c r="BB48" s="49" cm="1">
        <f t="array" ref="BB48">IF($F48=0,0,INDEX(sys_DataFlat_LU_Grid,BA48,$E48))</f>
        <v>1287</v>
      </c>
      <c r="BC48" s="49" cm="1">
        <f t="array" ref="BC48">IF($F48=0,-1000,CHOOSE($E$14,INDEX(auto_DataFlat_Score,BB48,$E$11),-INDEX(auto_DataFlat_Score,BB48,$E$11),-$D48))</f>
        <v>78.599999999999994</v>
      </c>
      <c r="BD48" s="91">
        <f ca="1">RANK(BC48,OFFSET(BC$21,0,0,$E$16+1,1))+COUNTIF(BC$21:BC48,BC48)-1</f>
        <v>8</v>
      </c>
      <c r="BE48" s="91">
        <f t="shared" ca="1" si="51"/>
        <v>4</v>
      </c>
      <c r="BF48" s="91" cm="1">
        <f t="array" aca="1" ref="BF48" ca="1">INDEX(OFFSET(BB$21,0,0,$E$16+1,1),BE48)</f>
        <v>1263</v>
      </c>
      <c r="BG48" s="49" cm="1">
        <f t="array" aca="1" ref="BG48" ca="1">INDEX(OFFSET($E$21,0,0,$E$16+1,1),BE48)</f>
        <v>3</v>
      </c>
      <c r="BH48" s="80" cm="1">
        <f t="array" aca="1" ref="BH48" ca="1">IF(BG48="G",5,INDEX(OFFSET($F$21,0,0,$E$16+1,1),BE48))</f>
        <v>1</v>
      </c>
      <c r="BI48" s="80" cm="1">
        <f t="array" aca="1" ref="BI48" ca="1">IF(BF48=0,0,IF(BG48="G",-1,INDEX(auto_DataFlat_Classification,BF48,$E$11)))</f>
        <v>3</v>
      </c>
      <c r="BJ48" s="301" t="str" cm="1">
        <f t="array" aca="1" ref="BJ48" ca="1">IF(BI48&lt;0,"",INDEX(uxbGlobals!$B$133:$B$139,BI48))</f>
        <v xml:space="preserve"> </v>
      </c>
      <c r="BK48" s="80"/>
      <c r="BL48" s="302" t="str" cm="1">
        <f t="array" aca="1" ref="BL48" ca="1">IF(BH48=0,"",IF(BG48="G","--",INDEX(auto_DataFlat_Rank,BF48,$E$11)))</f>
        <v>27</v>
      </c>
      <c r="BM48" s="122" t="str" cm="1">
        <f t="array" aca="1" ref="BM48" ca="1">IF(BH48=0,"",IF(BG48="G","AVERAGE",INDEX(auto_ddCountry,BG48)))</f>
        <v>Atlanta</v>
      </c>
      <c r="BN48" s="290" cm="1">
        <f t="array" aca="1" ref="BN48" ca="1">IF(BH48=0,"",INDEX(auto_DataFlat_Score,BF48,$E$11))</f>
        <v>56.1</v>
      </c>
      <c r="BO48" s="4"/>
      <c r="BP48" s="49">
        <f t="shared" si="39"/>
        <v>47</v>
      </c>
      <c r="BQ48" s="49" cm="1">
        <f t="array" ref="BQ48">IF($F48=0,0,INDEX(sys_DataFlat_LU_Grid,BP48,$E48))</f>
        <v>2787</v>
      </c>
      <c r="BR48" s="49" cm="1">
        <f t="array" ref="BR48">IF($F48=0,-1000,CHOOSE($E$14,INDEX(auto_DataFlat_Score,BQ48,$E$11),-INDEX(auto_DataFlat_Score,BQ48,$E$11),-$D48))</f>
        <v>83.7</v>
      </c>
      <c r="BS48" s="91">
        <f ca="1">RANK(BR48,OFFSET(BR$21,0,0,$E$16+1,1))+COUNTIF(BR$21:BR48,BR48)-1</f>
        <v>10</v>
      </c>
      <c r="BT48" s="91">
        <f t="shared" ca="1" si="52"/>
        <v>10</v>
      </c>
      <c r="BU48" s="91" cm="1">
        <f t="array" aca="1" ref="BU48" ca="1">INDEX(OFFSET(BQ$21,0,0,$E$16+1,1),BT48)</f>
        <v>2769</v>
      </c>
      <c r="BV48" s="49" cm="1">
        <f t="array" aca="1" ref="BV48" ca="1">INDEX(OFFSET($E$21,0,0,$E$16+1,1),BT48)</f>
        <v>9</v>
      </c>
      <c r="BW48" s="80" cm="1">
        <f t="array" aca="1" ref="BW48" ca="1">IF(BV48="G",5,INDEX(OFFSET($F$21,0,0,$E$16+1,1),BT48))</f>
        <v>1</v>
      </c>
      <c r="BX48" s="80" cm="1">
        <f t="array" aca="1" ref="BX48" ca="1">IF(BU48=0,0,IF(BV48="G",-1,INDEX(auto_DataFlat_Classification,BU48,$E$11)))</f>
        <v>4</v>
      </c>
      <c r="BY48" s="301" t="str" cm="1">
        <f t="array" aca="1" ref="BY48" ca="1">IF(BX48&lt;0,"",INDEX(uxbGlobals!$B$133:$B$139,BX48))</f>
        <v xml:space="preserve"> </v>
      </c>
      <c r="BZ48" s="80"/>
      <c r="CA48" s="302" t="str" cm="1">
        <f t="array" aca="1" ref="CA48" ca="1">IF(BW48=0,"",IF(BV48="G","--",INDEX(auto_DataFlat_Rank,BU48,$E$11)))</f>
        <v>27</v>
      </c>
      <c r="CB48" s="122" t="str" cm="1">
        <f t="array" aca="1" ref="CB48" ca="1">IF(BW48=0,"",IF(BV48="G","AVERAGE",INDEX(auto_ddCountry,BV48)))</f>
        <v>Budapest</v>
      </c>
      <c r="CC48" s="290" cm="1">
        <f t="array" aca="1" ref="CC48" ca="1">IF(BW48=0,"",INDEX(auto_DataFlat_Score,BU48,$E$11))</f>
        <v>60.8</v>
      </c>
      <c r="CD48" s="4"/>
      <c r="CE48" s="49">
        <f t="shared" si="41"/>
        <v>52</v>
      </c>
      <c r="CF48" s="49" cm="1">
        <f t="array" ref="CF48">IF($F48=0,0,INDEX(sys_DataFlat_LU_Grid,CE48,$E48))</f>
        <v>3087</v>
      </c>
      <c r="CG48" s="49" cm="1">
        <f t="array" ref="CG48">IF($F48=0,-1000,CHOOSE($E$14,INDEX(auto_DataFlat_Score,CF48,$E$11),-INDEX(auto_DataFlat_Score,CF48,$E$11),-$D48))</f>
        <v>81.5</v>
      </c>
      <c r="CH48" s="91">
        <f ca="1">RANK(CG48,OFFSET(CG$21,0,0,$E$16+1,1))+COUNTIF(CG$21:CG48,CG48)-1</f>
        <v>7</v>
      </c>
      <c r="CI48" s="91">
        <f t="shared" ca="1" si="53"/>
        <v>37</v>
      </c>
      <c r="CJ48" s="91" cm="1">
        <f t="array" aca="1" ref="CJ48" ca="1">INDEX(OFFSET(CF$21,0,0,$E$16+1,1),CI48)</f>
        <v>3096</v>
      </c>
      <c r="CK48" s="49" cm="1">
        <f t="array" aca="1" ref="CK48" ca="1">INDEX(OFFSET($E$21,0,0,$E$16+1,1),CI48)</f>
        <v>36</v>
      </c>
      <c r="CL48" s="80" cm="1">
        <f t="array" aca="1" ref="CL48" ca="1">IF(CK48="G",5,INDEX(OFFSET($F$21,0,0,$E$16+1,1),CI48))</f>
        <v>1</v>
      </c>
      <c r="CM48" s="80" cm="1">
        <f t="array" aca="1" ref="CM48" ca="1">IF(CJ48=0,0,IF(CK48="G",-1,INDEX(auto_DataFlat_Classification,CJ48,$E$11)))</f>
        <v>4</v>
      </c>
      <c r="CN48" s="301" t="str" cm="1">
        <f t="array" aca="1" ref="CN48" ca="1">IF(CM48&lt;0,"",INDEX(uxbGlobals!$B$133:$B$139,CM48))</f>
        <v xml:space="preserve"> </v>
      </c>
      <c r="CO48" s="80"/>
      <c r="CP48" s="302" t="str" cm="1">
        <f t="array" aca="1" ref="CP48" ca="1">IF(CL48=0,"",IF(CK48="G","--",INDEX(auto_DataFlat_Rank,CJ48,$E$11)))</f>
        <v>=28</v>
      </c>
      <c r="CQ48" s="122" t="str" cm="1">
        <f t="array" aca="1" ref="CQ48" ca="1">IF(CL48=0,"",IF(CK48="G","AVERAGE",INDEX(auto_ddCountry,CK48)))</f>
        <v>Paris</v>
      </c>
      <c r="CR48" s="290" cm="1">
        <f t="array" aca="1" ref="CR48" ca="1">IF(CL48=0,"",INDEX(auto_DataFlat_Score,CJ48,$E$11))</f>
        <v>69.400000000000006</v>
      </c>
      <c r="CS48" s="4"/>
      <c r="CT48" s="49">
        <f t="shared" si="43"/>
        <v>-1</v>
      </c>
      <c r="CU48" s="49" t="e" cm="1">
        <f t="array" ref="CU48">IF($F48=0,0,INDEX(sys_DataFlat_LU_Grid,CT48,$E48))</f>
        <v>#VALUE!</v>
      </c>
      <c r="CV48" s="49" t="e" cm="1">
        <f t="array" ref="CV48">IF($F48=0,-1000,CHOOSE($E$14,INDEX(auto_DataFlat_Score,CU48,$E$11),-INDEX(auto_DataFlat_Score,CU48,$E$11),-$D48))</f>
        <v>#VALUE!</v>
      </c>
      <c r="CW48" s="91" t="e">
        <f ca="1">RANK(CV48,OFFSET(CV$21,0,0,$E$16+1,1))+COUNTIF(CV$21:CV48,CV48)-1</f>
        <v>#VALUE!</v>
      </c>
      <c r="CX48" s="91" t="e">
        <f t="shared" ca="1" si="47"/>
        <v>#N/A</v>
      </c>
      <c r="CY48" s="91" t="e" cm="1">
        <f t="array" aca="1" ref="CY48" ca="1">INDEX(OFFSET(CU$21,0,0,$E$16+1,1),CX48)</f>
        <v>#N/A</v>
      </c>
      <c r="CZ48" s="49" t="e" cm="1">
        <f t="array" aca="1" ref="CZ48" ca="1">INDEX(OFFSET($E$21,0,0,$E$16+1,1),CX48)</f>
        <v>#N/A</v>
      </c>
      <c r="DA48" s="80" t="e" cm="1">
        <f t="array" aca="1" ref="DA48" ca="1">IF(CZ48="G",5,INDEX(OFFSET($F$21,0,0,$E$16+1,1),CX48))</f>
        <v>#N/A</v>
      </c>
      <c r="DB48" s="80" t="e" cm="1">
        <f t="array" aca="1" ref="DB48" ca="1">IF(CY48=0,0,IF(CZ48="G",-1,INDEX(auto_DataFlat_Classification,CY48,$E$11)))</f>
        <v>#N/A</v>
      </c>
      <c r="DC48" s="301" t="e" cm="1">
        <f t="array" aca="1" ref="DC48" ca="1">IF(DB48&lt;0,"",INDEX(uxbGlobals!$B$133:$B$139,DB48))</f>
        <v>#N/A</v>
      </c>
      <c r="DD48" s="80"/>
      <c r="DE48" s="302" t="e" cm="1">
        <f t="array" aca="1" ref="DE48" ca="1">IF(DA48=0,"",IF(CZ48="G","--",INDEX(auto_DataFlat_Rank,CY48,$E$11)))</f>
        <v>#N/A</v>
      </c>
      <c r="DF48" s="122" t="e" cm="1">
        <f t="array" aca="1" ref="DF48" ca="1">IF(DA48=0,"",IF(CZ48="G","AVERAGE",INDEX(auto_ddCountry,CZ48)))</f>
        <v>#N/A</v>
      </c>
      <c r="DG48" s="290" t="e" cm="1">
        <f t="array" aca="1" ref="DG48" ca="1">IF(DA48=0,"",INDEX(auto_DataFlat_Score,CY48,$E$11))</f>
        <v>#N/A</v>
      </c>
      <c r="DH48" s="4"/>
      <c r="DI48" s="49">
        <f t="shared" si="44"/>
        <v>-1</v>
      </c>
      <c r="DJ48" s="49" t="e" cm="1">
        <f t="array" ref="DJ48">IF($F48=0,0,INDEX(sys_DataFlat_LU_Grid,DI48,$E48))</f>
        <v>#VALUE!</v>
      </c>
      <c r="DK48" s="49" t="e" cm="1">
        <f t="array" ref="DK48">IF($F48=0,-1000,CHOOSE($E$14,INDEX(auto_DataFlat_Score,DJ48,$E$11),-INDEX(auto_DataFlat_Score,DJ48,$E$11),-$D48))</f>
        <v>#VALUE!</v>
      </c>
      <c r="DL48" s="91" t="e">
        <f ca="1">RANK(DK48,OFFSET(DK$21,0,0,$E$16+1,1))+COUNTIF(DK$21:DK48,DK48)-1</f>
        <v>#VALUE!</v>
      </c>
      <c r="DM48" s="91" t="e">
        <f t="shared" ca="1" si="28"/>
        <v>#N/A</v>
      </c>
      <c r="DN48" s="91" t="e" cm="1">
        <f t="array" aca="1" ref="DN48" ca="1">INDEX(OFFSET(DJ$21,0,0,$E$16+1,1),DM48)</f>
        <v>#N/A</v>
      </c>
      <c r="DO48" s="49" t="e" cm="1">
        <f t="array" aca="1" ref="DO48" ca="1">INDEX(OFFSET($E$21,0,0,$E$16+1,1),DM48)</f>
        <v>#N/A</v>
      </c>
      <c r="DP48" s="80" t="e" cm="1">
        <f t="array" aca="1" ref="DP48" ca="1">IF(DO48="G",5,INDEX(OFFSET($F$21,0,0,$E$16+1,1),DM48))</f>
        <v>#N/A</v>
      </c>
      <c r="DQ48" s="80" t="e" cm="1">
        <f t="array" aca="1" ref="DQ48" ca="1">IF(DN48=0,0,IF(DO48="G",-1,INDEX(auto_DataFlat_Classification,DN48,$E$11)))</f>
        <v>#N/A</v>
      </c>
      <c r="DR48" s="301" t="e" cm="1">
        <f t="array" aca="1" ref="DR48" ca="1">IF(DQ48&lt;0,"",INDEX(uxbGlobals!$B$133:$B$139,DQ48))</f>
        <v>#N/A</v>
      </c>
      <c r="DS48" s="80"/>
      <c r="DT48" s="302" t="e" cm="1">
        <f t="array" aca="1" ref="DT48" ca="1">IF(DP48=0,"",IF(DO48="G","--",INDEX(auto_DataFlat_Rank,DN48,$E$11)))</f>
        <v>#N/A</v>
      </c>
      <c r="DU48" s="122" t="e" cm="1">
        <f t="array" aca="1" ref="DU48" ca="1">IF(DP48=0,"",IF(DO48="G","AVERAGE",INDEX(auto_ddCountry,DO48)))</f>
        <v>#N/A</v>
      </c>
      <c r="DV48" s="290" t="e" cm="1">
        <f t="array" aca="1" ref="DV48" ca="1">IF(DP48=0,"",INDEX(auto_DataFlat_Score,DN48,$E$11))</f>
        <v>#N/A</v>
      </c>
      <c r="DW48" s="4"/>
      <c r="DX48" s="49">
        <f t="shared" si="45"/>
        <v>-1</v>
      </c>
      <c r="DY48" s="49" t="e" cm="1">
        <f t="array" ref="DY48">IF($F48=0,0,INDEX(sys_DataFlat_LU_Grid,DX48,$E48))</f>
        <v>#VALUE!</v>
      </c>
      <c r="DZ48" s="49" t="e" cm="1">
        <f t="array" ref="DZ48">IF($F48=0,-1000,CHOOSE($E$14,INDEX(auto_DataFlat_Score,DY48,$E$11),-INDEX(auto_DataFlat_Score,DY48,$E$11),-$D48))</f>
        <v>#VALUE!</v>
      </c>
      <c r="EA48" s="91" t="e">
        <f ca="1">RANK(DZ48,OFFSET(DZ$21,0,0,$E$16+1,1))+COUNTIF(DZ$21:DZ48,DZ48)-1</f>
        <v>#VALUE!</v>
      </c>
      <c r="EB48" s="91" t="e">
        <f t="shared" ca="1" si="29"/>
        <v>#N/A</v>
      </c>
      <c r="EC48" s="91" t="e" cm="1">
        <f t="array" aca="1" ref="EC48" ca="1">INDEX(OFFSET(DY$21,0,0,$E$16+1,1),EB48)</f>
        <v>#N/A</v>
      </c>
      <c r="ED48" s="49" t="e" cm="1">
        <f t="array" aca="1" ref="ED48" ca="1">INDEX(OFFSET($E$21,0,0,$E$16+1,1),EB48)</f>
        <v>#N/A</v>
      </c>
      <c r="EE48" s="80" t="e" cm="1">
        <f t="array" aca="1" ref="EE48" ca="1">IF(ED48="G",5,INDEX(OFFSET($F$21,0,0,$E$16+1,1),EB48))</f>
        <v>#N/A</v>
      </c>
      <c r="EF48" s="80" t="e" cm="1">
        <f t="array" aca="1" ref="EF48" ca="1">IF(EC48=0,0,IF(ED48="G",-1,INDEX(auto_DataFlat_Classification,EC48,$E$11)))</f>
        <v>#N/A</v>
      </c>
      <c r="EG48" s="301" t="e" cm="1">
        <f t="array" aca="1" ref="EG48" ca="1">IF(EF48&lt;0,"",INDEX(uxbGlobals!$B$133:$B$139,EF48))</f>
        <v>#N/A</v>
      </c>
      <c r="EH48" s="80"/>
      <c r="EI48" s="302" t="e" cm="1">
        <f t="array" aca="1" ref="EI48" ca="1">IF(EE48=0,"",IF(ED48="G","--",INDEX(auto_DataFlat_Rank,EC48,$E$11)))</f>
        <v>#N/A</v>
      </c>
      <c r="EJ48" s="122" t="e" cm="1">
        <f t="array" aca="1" ref="EJ48" ca="1">IF(EE48=0,"",IF(ED48="G","AVERAGE",INDEX(auto_ddCountry,ED48)))</f>
        <v>#N/A</v>
      </c>
      <c r="EK48" s="290" t="e" cm="1">
        <f t="array" aca="1" ref="EK48" ca="1">IF(EE48=0,"",INDEX(auto_DataFlat_Score,EC48,$E$11))</f>
        <v>#N/A</v>
      </c>
      <c r="EL48" s="4"/>
      <c r="EM48" s="49">
        <f t="shared" si="46"/>
        <v>-1</v>
      </c>
      <c r="EN48" s="49" t="e" cm="1">
        <f t="array" ref="EN48">IF($F48=0,0,INDEX(sys_DataFlat_LU_Grid,EM48,$E48))</f>
        <v>#VALUE!</v>
      </c>
      <c r="EO48" s="49" t="e" cm="1">
        <f t="array" ref="EO48">IF($F48=0,-1000,CHOOSE($E$14,INDEX(auto_DataFlat_Score,EN48,$E$11),-INDEX(auto_DataFlat_Score,EN48,$E$11),-$D48))</f>
        <v>#VALUE!</v>
      </c>
      <c r="EP48" s="91" t="e">
        <f ca="1">RANK(EO48,OFFSET(EO$21,0,0,$E$16+1,1))+COUNTIF(EO$21:EO48,EO48)-1</f>
        <v>#VALUE!</v>
      </c>
      <c r="EQ48" s="91" t="e">
        <f t="shared" ca="1" si="30"/>
        <v>#N/A</v>
      </c>
      <c r="ER48" s="91" t="e" cm="1">
        <f t="array" aca="1" ref="ER48" ca="1">INDEX(OFFSET(EN$21,0,0,$E$16+1,1),EQ48)</f>
        <v>#N/A</v>
      </c>
      <c r="ES48" s="49" t="e" cm="1">
        <f t="array" aca="1" ref="ES48" ca="1">INDEX(OFFSET($E$21,0,0,$E$16+1,1),EQ48)</f>
        <v>#N/A</v>
      </c>
      <c r="ET48" s="80" t="e" cm="1">
        <f t="array" aca="1" ref="ET48" ca="1">IF(ES48="G",5,INDEX(OFFSET($F$21,0,0,$E$16+1,1),EQ48))</f>
        <v>#N/A</v>
      </c>
      <c r="EU48" s="80" t="e" cm="1">
        <f t="array" aca="1" ref="EU48" ca="1">IF(ER48=0,0,IF(ES48="G",-1,INDEX(auto_DataFlat_Classification,ER48,$E$11)))</f>
        <v>#N/A</v>
      </c>
      <c r="EV48" s="301" t="e" cm="1">
        <f t="array" aca="1" ref="EV48" ca="1">IF(EU48&lt;0,"",INDEX(uxbGlobals!$B$133:$B$139,EU48))</f>
        <v>#N/A</v>
      </c>
      <c r="EW48" s="80"/>
      <c r="EX48" s="302" t="e" cm="1">
        <f t="array" aca="1" ref="EX48" ca="1">IF(ET48=0,"",IF(ES48="G","--",INDEX(auto_DataFlat_Rank,ER48,$E$11)))</f>
        <v>#N/A</v>
      </c>
      <c r="EY48" s="122" t="e" cm="1">
        <f t="array" aca="1" ref="EY48" ca="1">IF(ET48=0,"",IF(ES48="G","AVERAGE",INDEX(auto_ddCountry,ES48)))</f>
        <v>#N/A</v>
      </c>
      <c r="EZ48" s="290" t="e" cm="1">
        <f t="array" aca="1" ref="EZ48" ca="1">IF(ET48=0,"",INDEX(auto_DataFlat_Score,ER48,$E$11))</f>
        <v>#N/A</v>
      </c>
    </row>
    <row r="49" spans="1:156" ht="17.149999999999999" customHeight="1" x14ac:dyDescent="0.4">
      <c r="A49" s="4"/>
      <c r="B49" s="4"/>
      <c r="C49" s="4"/>
      <c r="D49" s="26">
        <v>29</v>
      </c>
      <c r="E49" s="49">
        <f>tblCountries!M30</f>
        <v>28</v>
      </c>
      <c r="F49" s="114" cm="1">
        <f t="array" ref="F49">IF(E49=0,0,INDEX(auto_Country_Status,E49))</f>
        <v>1</v>
      </c>
      <c r="G49" s="4"/>
      <c r="H49" s="49">
        <f t="shared" si="31"/>
        <v>1</v>
      </c>
      <c r="I49" s="49" cm="1">
        <f t="array" ref="I49">IF($F49=0,0,INDEX(sys_DataFlat_LU_Grid,H49,$E49))</f>
        <v>28</v>
      </c>
      <c r="J49" s="49" cm="1">
        <f t="array" ref="J49">IF($F49=0,-1000,CHOOSE($E$14,INDEX(auto_DataFlat_Score,I49,$E$11),-INDEX(auto_DataFlat_Score,I49,$E$11),-$D49))</f>
        <v>48.8</v>
      </c>
      <c r="K49" s="91">
        <f ca="1">RANK(J49,OFFSET(J$21,0,0,$E$16+1,1))+COUNTIF(J$21:J49,J49)-1</f>
        <v>43</v>
      </c>
      <c r="L49" s="91">
        <f t="shared" ca="1" si="48"/>
        <v>4</v>
      </c>
      <c r="M49" s="91" cm="1">
        <f t="array" aca="1" ref="M49" ca="1">INDEX(OFFSET(I$21,0,0,$E$16+1,1),L49)</f>
        <v>3</v>
      </c>
      <c r="N49" s="49" cm="1">
        <f t="array" aca="1" ref="N49" ca="1">INDEX(OFFSET($E$21,0,0,$E$16+1,1),L49)</f>
        <v>3</v>
      </c>
      <c r="O49" s="80" cm="1">
        <f t="array" aca="1" ref="O49" ca="1">IF(N49="G",5,INDEX(OFFSET($F$21,0,0,$E$16+1,1),L49))</f>
        <v>1</v>
      </c>
      <c r="P49" s="80" cm="1">
        <f t="array" aca="1" ref="P49" ca="1">IF(M49=0,0,IF(N49="G",-1,INDEX(auto_DataFlat_Classification,M49,$E$11)))</f>
        <v>4</v>
      </c>
      <c r="Q49" s="301" t="str" cm="1">
        <f t="array" aca="1" ref="Q49" ca="1">IF(P49&lt;0,"",INDEX(uxbGlobals!$B$133:$B$139,P49))</f>
        <v xml:space="preserve"> </v>
      </c>
      <c r="R49" s="80"/>
      <c r="S49" s="302" t="str" cm="1">
        <f t="array" aca="1" ref="S49" ca="1">IF(O49=0,"",IF(N49="G","--",INDEX(auto_DataFlat_Rank,M49,$E$11)))</f>
        <v>29</v>
      </c>
      <c r="T49" s="122" t="str" cm="1">
        <f t="array" aca="1" ref="T49" ca="1">IF(O49=0,"",IF(N49="G"," AVERAGE",INDEX(auto_ddCountry,N49)))</f>
        <v>Atlanta</v>
      </c>
      <c r="U49" s="290" cm="1">
        <f t="array" aca="1" ref="U49" ca="1">IF(O49=0,"",INDEX(auto_DataFlat_Score,M49,$E$11))</f>
        <v>63.1</v>
      </c>
      <c r="V49" s="4"/>
      <c r="W49" s="49">
        <f t="shared" si="33"/>
        <v>2</v>
      </c>
      <c r="X49" s="49" cm="1">
        <f t="array" ref="X49">IF($F49=0,0,INDEX(sys_DataFlat_LU_Grid,W49,$E49))</f>
        <v>88</v>
      </c>
      <c r="Y49" s="49" cm="1">
        <f t="array" ref="Y49">IF($F49=0,-1000,CHOOSE($E$14,INDEX(auto_DataFlat_Score,X49,$E$11),-INDEX(auto_DataFlat_Score,X49,$E$11),-$D49))</f>
        <v>58</v>
      </c>
      <c r="Z49" s="91">
        <f ca="1">RANK(Y49,OFFSET(Y$21,0,0,$E$16+1,1))+COUNTIF(Y$21:Y49,Y49)-1</f>
        <v>36</v>
      </c>
      <c r="AA49" s="91">
        <f t="shared" ca="1" si="49"/>
        <v>6</v>
      </c>
      <c r="AB49" s="91" cm="1">
        <f t="array" aca="1" ref="AB49" ca="1">INDEX(OFFSET(X$21,0,0,$E$16+1,1),AA49)</f>
        <v>65</v>
      </c>
      <c r="AC49" s="49" cm="1">
        <f t="array" aca="1" ref="AC49" ca="1">INDEX(OFFSET($E$21,0,0,$E$16+1,1),AA49)</f>
        <v>5</v>
      </c>
      <c r="AD49" s="80" cm="1">
        <f t="array" aca="1" ref="AD49" ca="1">IF(AC49="G",5,INDEX(OFFSET($F$21,0,0,$E$16+1,1),AA49))</f>
        <v>1</v>
      </c>
      <c r="AE49" s="80" cm="1">
        <f t="array" aca="1" ref="AE49" ca="1">IF(AB49=0,0,IF(AC49="G",-1,INDEX(auto_DataFlat_Classification,AB49,$E$11)))</f>
        <v>4</v>
      </c>
      <c r="AF49" s="301" t="str" cm="1">
        <f t="array" aca="1" ref="AF49" ca="1">IF(AE49&lt;0,"",INDEX(uxbGlobals!$B$133:$B$139,AE49))</f>
        <v xml:space="preserve"> </v>
      </c>
      <c r="AG49" s="80"/>
      <c r="AH49" s="302" t="str" cm="1">
        <f t="array" aca="1" ref="AH49" ca="1">IF(AD49=0,"",IF(AC49="G","--",INDEX(auto_DataFlat_Rank,AB49,$E$11)))</f>
        <v>29</v>
      </c>
      <c r="AI49" s="122" t="str" cm="1">
        <f t="array" aca="1" ref="AI49" ca="1">IF(AD49=0,"",IF(AC49="G","AVERAGE",INDEX(auto_ddCountry,AC49)))</f>
        <v>Bangkok</v>
      </c>
      <c r="AJ49" s="290" cm="1">
        <f t="array" aca="1" ref="AJ49" ca="1">IF(AD49=0,"",INDEX(auto_DataFlat_Score,AB49,$E$11))</f>
        <v>72.8</v>
      </c>
      <c r="AK49" s="4"/>
      <c r="AL49" s="49">
        <f t="shared" si="35"/>
        <v>14</v>
      </c>
      <c r="AM49" s="49" cm="1">
        <f t="array" ref="AM49">IF($F49=0,0,INDEX(sys_DataFlat_LU_Grid,AL49,$E49))</f>
        <v>808</v>
      </c>
      <c r="AN49" s="49" cm="1">
        <f t="array" ref="AN49">IF($F49=0,-1000,CHOOSE($E$14,INDEX(auto_DataFlat_Score,AM49,$E$11),-INDEX(auto_DataFlat_Score,AM49,$E$11),-$D49))</f>
        <v>47.3</v>
      </c>
      <c r="AO49" s="91">
        <f ca="1">RANK(AN49,OFFSET(AN$21,0,0,$E$16+1,1))+COUNTIF(AN$21:AN49,AN49)-1</f>
        <v>27</v>
      </c>
      <c r="AP49" s="91">
        <f t="shared" ca="1" si="50"/>
        <v>7</v>
      </c>
      <c r="AQ49" s="91" cm="1">
        <f t="array" aca="1" ref="AQ49" ca="1">INDEX(OFFSET(AM$21,0,0,$E$16+1,1),AP49)</f>
        <v>786</v>
      </c>
      <c r="AR49" s="49" cm="1">
        <f t="array" aca="1" ref="AR49" ca="1">INDEX(OFFSET($E$21,0,0,$E$16+1,1),AP49)</f>
        <v>6</v>
      </c>
      <c r="AS49" s="80" cm="1">
        <f t="array" aca="1" ref="AS49" ca="1">IF(AR49="G",5,INDEX(OFFSET($F$21,0,0,$E$16+1,1),AP49))</f>
        <v>1</v>
      </c>
      <c r="AT49" s="80" cm="1">
        <f t="array" aca="1" ref="AT49" ca="1">IF(AQ49=0,0,IF(AR49="G",-1,INDEX(auto_DataFlat_Classification,AQ49,$E$11)))</f>
        <v>3</v>
      </c>
      <c r="AU49" s="301" t="str" cm="1">
        <f t="array" aca="1" ref="AU49" ca="1">IF(AT49&lt;0,"",INDEX(uxbGlobals!$B$133:$B$139,AT49))</f>
        <v xml:space="preserve"> </v>
      </c>
      <c r="AV49" s="80"/>
      <c r="AW49" s="302" t="str" cm="1">
        <f t="array" aca="1" ref="AW49" ca="1">IF(AS49=0,"",IF(AR49="G","--",INDEX(auto_DataFlat_Rank,AQ49,$E$11)))</f>
        <v>=28</v>
      </c>
      <c r="AX49" s="122" t="str" cm="1">
        <f t="array" aca="1" ref="AX49" ca="1">IF(AS49=0,"",IF(AR49="G","AVERAGE",INDEX(auto_ddCountry,AR49)))</f>
        <v>Beijing</v>
      </c>
      <c r="AY49" s="290" cm="1">
        <f t="array" aca="1" ref="AY49" ca="1">IF(AS49=0,"",INDEX(auto_DataFlat_Score,AQ49,$E$11))</f>
        <v>46.5</v>
      </c>
      <c r="AZ49" s="4"/>
      <c r="BA49" s="49">
        <f t="shared" si="37"/>
        <v>22</v>
      </c>
      <c r="BB49" s="49" cm="1">
        <f t="array" ref="BB49">IF($F49=0,0,INDEX(sys_DataFlat_LU_Grid,BA49,$E49))</f>
        <v>1288</v>
      </c>
      <c r="BC49" s="49" cm="1">
        <f t="array" ref="BC49">IF($F49=0,-1000,CHOOSE($E$14,INDEX(auto_DataFlat_Score,BB49,$E$11),-INDEX(auto_DataFlat_Score,BB49,$E$11),-$D49))</f>
        <v>42.8</v>
      </c>
      <c r="BD49" s="91">
        <f ca="1">RANK(BC49,OFFSET(BC$21,0,0,$E$16+1,1))+COUNTIF(BC$21:BC49,BC49)-1</f>
        <v>39</v>
      </c>
      <c r="BE49" s="91">
        <f t="shared" ca="1" si="51"/>
        <v>32</v>
      </c>
      <c r="BF49" s="91" cm="1">
        <f t="array" aca="1" ref="BF49" ca="1">INDEX(OFFSET(BB$21,0,0,$E$16+1,1),BE49)</f>
        <v>1291</v>
      </c>
      <c r="BG49" s="49" cm="1">
        <f t="array" aca="1" ref="BG49" ca="1">INDEX(OFFSET($E$21,0,0,$E$16+1,1),BE49)</f>
        <v>31</v>
      </c>
      <c r="BH49" s="80" cm="1">
        <f t="array" aca="1" ref="BH49" ca="1">IF(BG49="G",5,INDEX(OFFSET($F$21,0,0,$E$16+1,1),BE49))</f>
        <v>1</v>
      </c>
      <c r="BI49" s="80" cm="1">
        <f t="array" aca="1" ref="BI49" ca="1">IF(BF49=0,0,IF(BG49="G",-1,INDEX(auto_DataFlat_Classification,BF49,$E$11)))</f>
        <v>3</v>
      </c>
      <c r="BJ49" s="301" t="str" cm="1">
        <f t="array" aca="1" ref="BJ49" ca="1">IF(BI49&lt;0,"",INDEX(uxbGlobals!$B$133:$B$139,BI49))</f>
        <v xml:space="preserve"> </v>
      </c>
      <c r="BK49" s="80"/>
      <c r="BL49" s="302" t="str" cm="1">
        <f t="array" aca="1" ref="BL49" ca="1">IF(BH49=0,"",IF(BG49="G","--",INDEX(auto_DataFlat_Rank,BF49,$E$11)))</f>
        <v>28</v>
      </c>
      <c r="BM49" s="122" t="str" cm="1">
        <f t="array" aca="1" ref="BM49" ca="1">IF(BH49=0,"",IF(BG49="G","AVERAGE",INDEX(auto_ddCountry,BG49)))</f>
        <v>Moscow</v>
      </c>
      <c r="BN49" s="290" cm="1">
        <f t="array" aca="1" ref="BN49" ca="1">IF(BH49=0,"",INDEX(auto_DataFlat_Score,BF49,$E$11))</f>
        <v>54.7</v>
      </c>
      <c r="BO49" s="4"/>
      <c r="BP49" s="49">
        <f t="shared" si="39"/>
        <v>47</v>
      </c>
      <c r="BQ49" s="49" cm="1">
        <f t="array" ref="BQ49">IF($F49=0,0,INDEX(sys_DataFlat_LU_Grid,BP49,$E49))</f>
        <v>2788</v>
      </c>
      <c r="BR49" s="49" cm="1">
        <f t="array" ref="BR49">IF($F49=0,-1000,CHOOSE($E$14,INDEX(auto_DataFlat_Score,BQ49,$E$11),-INDEX(auto_DataFlat_Score,BQ49,$E$11),-$D49))</f>
        <v>46.3</v>
      </c>
      <c r="BS49" s="91">
        <f ca="1">RANK(BR49,OFFSET(BR$21,0,0,$E$16+1,1))+COUNTIF(BR$21:BR49,BR49)-1</f>
        <v>43</v>
      </c>
      <c r="BT49" s="91">
        <f t="shared" ca="1" si="52"/>
        <v>48</v>
      </c>
      <c r="BU49" s="91" cm="1">
        <f t="array" aca="1" ref="BU49" ca="1">INDEX(OFFSET(BQ$21,0,0,$E$16+1,1),BT49)</f>
        <v>2807</v>
      </c>
      <c r="BV49" s="49" cm="1">
        <f t="array" aca="1" ref="BV49" ca="1">INDEX(OFFSET($E$21,0,0,$E$16+1,1),BT49)</f>
        <v>47</v>
      </c>
      <c r="BW49" s="80" cm="1">
        <f t="array" aca="1" ref="BW49" ca="1">IF(BV49="G",5,INDEX(OFFSET($F$21,0,0,$E$16+1,1),BT49))</f>
        <v>1</v>
      </c>
      <c r="BX49" s="80" cm="1">
        <f t="array" aca="1" ref="BX49" ca="1">IF(BU49=0,0,IF(BV49="G",-1,INDEX(auto_DataFlat_Classification,BU49,$E$11)))</f>
        <v>4</v>
      </c>
      <c r="BY49" s="301" t="str" cm="1">
        <f t="array" aca="1" ref="BY49" ca="1">IF(BX49&lt;0,"",INDEX(uxbGlobals!$B$133:$B$139,BX49))</f>
        <v xml:space="preserve"> </v>
      </c>
      <c r="BZ49" s="80"/>
      <c r="CA49" s="302" t="str" cm="1">
        <f t="array" aca="1" ref="CA49" ca="1">IF(BW49=0,"",IF(BV49="G","--",INDEX(auto_DataFlat_Rank,BU49,$E$11)))</f>
        <v>28</v>
      </c>
      <c r="CB49" s="122" t="str" cm="1">
        <f t="array" aca="1" ref="CB49" ca="1">IF(BW49=0,"",IF(BV49="G","AVERAGE",INDEX(auto_ddCountry,BV49)))</f>
        <v>Toronto</v>
      </c>
      <c r="CC49" s="290" cm="1">
        <f t="array" aca="1" ref="CC49" ca="1">IF(BW49=0,"",INDEX(auto_DataFlat_Score,BU49,$E$11))</f>
        <v>60.1</v>
      </c>
      <c r="CD49" s="4"/>
      <c r="CE49" s="49">
        <f t="shared" si="41"/>
        <v>52</v>
      </c>
      <c r="CF49" s="49" cm="1">
        <f t="array" ref="CF49">IF($F49=0,0,INDEX(sys_DataFlat_LU_Grid,CE49,$E49))</f>
        <v>3088</v>
      </c>
      <c r="CG49" s="49" cm="1">
        <f t="array" ref="CG49">IF($F49=0,-1000,CHOOSE($E$14,INDEX(auto_DataFlat_Score,CF49,$E$11),-INDEX(auto_DataFlat_Score,CF49,$E$11),-$D49))</f>
        <v>50.9</v>
      </c>
      <c r="CH49" s="91">
        <f ca="1">RANK(CG49,OFFSET(CG$21,0,0,$E$16+1,1))+COUNTIF(CG$21:CG49,CG49)-1</f>
        <v>45</v>
      </c>
      <c r="CI49" s="91">
        <f t="shared" ca="1" si="53"/>
        <v>46</v>
      </c>
      <c r="CJ49" s="91" cm="1">
        <f t="array" aca="1" ref="CJ49" ca="1">INDEX(OFFSET(CF$21,0,0,$E$16+1,1),CI49)</f>
        <v>3105</v>
      </c>
      <c r="CK49" s="49" cm="1">
        <f t="array" aca="1" ref="CK49" ca="1">INDEX(OFFSET($E$21,0,0,$E$16+1,1),CI49)</f>
        <v>45</v>
      </c>
      <c r="CL49" s="80" cm="1">
        <f t="array" aca="1" ref="CL49" ca="1">IF(CK49="G",5,INDEX(OFFSET($F$21,0,0,$E$16+1,1),CI49))</f>
        <v>1</v>
      </c>
      <c r="CM49" s="80" cm="1">
        <f t="array" aca="1" ref="CM49" ca="1">IF(CJ49=0,0,IF(CK49="G",-1,INDEX(auto_DataFlat_Classification,CJ49,$E$11)))</f>
        <v>4</v>
      </c>
      <c r="CN49" s="301" t="str" cm="1">
        <f t="array" aca="1" ref="CN49" ca="1">IF(CM49&lt;0,"",INDEX(uxbGlobals!$B$133:$B$139,CM49))</f>
        <v xml:space="preserve"> </v>
      </c>
      <c r="CO49" s="80"/>
      <c r="CP49" s="302" t="str" cm="1">
        <f t="array" aca="1" ref="CP49" ca="1">IF(CL49=0,"",IF(CK49="G","--",INDEX(auto_DataFlat_Rank,CJ49,$E$11)))</f>
        <v>=28</v>
      </c>
      <c r="CQ49" s="122" t="str" cm="1">
        <f t="array" aca="1" ref="CQ49" ca="1">IF(CL49=0,"",IF(CK49="G","AVERAGE",INDEX(auto_ddCountry,CK49)))</f>
        <v>Sydney</v>
      </c>
      <c r="CR49" s="290" cm="1">
        <f t="array" aca="1" ref="CR49" ca="1">IF(CL49=0,"",INDEX(auto_DataFlat_Score,CJ49,$E$11))</f>
        <v>69.400000000000006</v>
      </c>
      <c r="CS49" s="4"/>
      <c r="CT49" s="49">
        <f t="shared" si="43"/>
        <v>-1</v>
      </c>
      <c r="CU49" s="49" t="e" cm="1">
        <f t="array" ref="CU49">IF($F49=0,0,INDEX(sys_DataFlat_LU_Grid,CT49,$E49))</f>
        <v>#VALUE!</v>
      </c>
      <c r="CV49" s="49" t="e" cm="1">
        <f t="array" ref="CV49">IF($F49=0,-1000,CHOOSE($E$14,INDEX(auto_DataFlat_Score,CU49,$E$11),-INDEX(auto_DataFlat_Score,CU49,$E$11),-$D49))</f>
        <v>#VALUE!</v>
      </c>
      <c r="CW49" s="91" t="e">
        <f ca="1">RANK(CV49,OFFSET(CV$21,0,0,$E$16+1,1))+COUNTIF(CV$21:CV49,CV49)-1</f>
        <v>#VALUE!</v>
      </c>
      <c r="CX49" s="91" t="e">
        <f t="shared" ca="1" si="47"/>
        <v>#N/A</v>
      </c>
      <c r="CY49" s="91" t="e" cm="1">
        <f t="array" aca="1" ref="CY49" ca="1">INDEX(OFFSET(CU$21,0,0,$E$16+1,1),CX49)</f>
        <v>#N/A</v>
      </c>
      <c r="CZ49" s="49" t="e" cm="1">
        <f t="array" aca="1" ref="CZ49" ca="1">INDEX(OFFSET($E$21,0,0,$E$16+1,1),CX49)</f>
        <v>#N/A</v>
      </c>
      <c r="DA49" s="80" t="e" cm="1">
        <f t="array" aca="1" ref="DA49" ca="1">IF(CZ49="G",5,INDEX(OFFSET($F$21,0,0,$E$16+1,1),CX49))</f>
        <v>#N/A</v>
      </c>
      <c r="DB49" s="80" t="e" cm="1">
        <f t="array" aca="1" ref="DB49" ca="1">IF(CY49=0,0,IF(CZ49="G",-1,INDEX(auto_DataFlat_Classification,CY49,$E$11)))</f>
        <v>#N/A</v>
      </c>
      <c r="DC49" s="301" t="e" cm="1">
        <f t="array" aca="1" ref="DC49" ca="1">IF(DB49&lt;0,"",INDEX(uxbGlobals!$B$133:$B$139,DB49))</f>
        <v>#N/A</v>
      </c>
      <c r="DD49" s="80"/>
      <c r="DE49" s="302" t="e" cm="1">
        <f t="array" aca="1" ref="DE49" ca="1">IF(DA49=0,"",IF(CZ49="G","--",INDEX(auto_DataFlat_Rank,CY49,$E$11)))</f>
        <v>#N/A</v>
      </c>
      <c r="DF49" s="122" t="e" cm="1">
        <f t="array" aca="1" ref="DF49" ca="1">IF(DA49=0,"",IF(CZ49="G","AVERAGE",INDEX(auto_ddCountry,CZ49)))</f>
        <v>#N/A</v>
      </c>
      <c r="DG49" s="290" t="e" cm="1">
        <f t="array" aca="1" ref="DG49" ca="1">IF(DA49=0,"",INDEX(auto_DataFlat_Score,CY49,$E$11))</f>
        <v>#N/A</v>
      </c>
      <c r="DH49" s="4"/>
      <c r="DI49" s="49">
        <f t="shared" si="44"/>
        <v>-1</v>
      </c>
      <c r="DJ49" s="49" t="e" cm="1">
        <f t="array" ref="DJ49">IF($F49=0,0,INDEX(sys_DataFlat_LU_Grid,DI49,$E49))</f>
        <v>#VALUE!</v>
      </c>
      <c r="DK49" s="49" t="e" cm="1">
        <f t="array" ref="DK49">IF($F49=0,-1000,CHOOSE($E$14,INDEX(auto_DataFlat_Score,DJ49,$E$11),-INDEX(auto_DataFlat_Score,DJ49,$E$11),-$D49))</f>
        <v>#VALUE!</v>
      </c>
      <c r="DL49" s="91" t="e">
        <f ca="1">RANK(DK49,OFFSET(DK$21,0,0,$E$16+1,1))+COUNTIF(DK$21:DK49,DK49)-1</f>
        <v>#VALUE!</v>
      </c>
      <c r="DM49" s="91" t="e">
        <f t="shared" ca="1" si="28"/>
        <v>#N/A</v>
      </c>
      <c r="DN49" s="91" t="e" cm="1">
        <f t="array" aca="1" ref="DN49" ca="1">INDEX(OFFSET(DJ$21,0,0,$E$16+1,1),DM49)</f>
        <v>#N/A</v>
      </c>
      <c r="DO49" s="49" t="e" cm="1">
        <f t="array" aca="1" ref="DO49" ca="1">INDEX(OFFSET($E$21,0,0,$E$16+1,1),DM49)</f>
        <v>#N/A</v>
      </c>
      <c r="DP49" s="80" t="e" cm="1">
        <f t="array" aca="1" ref="DP49" ca="1">IF(DO49="G",5,INDEX(OFFSET($F$21,0,0,$E$16+1,1),DM49))</f>
        <v>#N/A</v>
      </c>
      <c r="DQ49" s="80" t="e" cm="1">
        <f t="array" aca="1" ref="DQ49" ca="1">IF(DN49=0,0,IF(DO49="G",-1,INDEX(auto_DataFlat_Classification,DN49,$E$11)))</f>
        <v>#N/A</v>
      </c>
      <c r="DR49" s="301" t="e" cm="1">
        <f t="array" aca="1" ref="DR49" ca="1">IF(DQ49&lt;0,"",INDEX(uxbGlobals!$B$133:$B$139,DQ49))</f>
        <v>#N/A</v>
      </c>
      <c r="DS49" s="80"/>
      <c r="DT49" s="302" t="e" cm="1">
        <f t="array" aca="1" ref="DT49" ca="1">IF(DP49=0,"",IF(DO49="G","--",INDEX(auto_DataFlat_Rank,DN49,$E$11)))</f>
        <v>#N/A</v>
      </c>
      <c r="DU49" s="122" t="e" cm="1">
        <f t="array" aca="1" ref="DU49" ca="1">IF(DP49=0,"",IF(DO49="G","AVERAGE",INDEX(auto_ddCountry,DO49)))</f>
        <v>#N/A</v>
      </c>
      <c r="DV49" s="290" t="e" cm="1">
        <f t="array" aca="1" ref="DV49" ca="1">IF(DP49=0,"",INDEX(auto_DataFlat_Score,DN49,$E$11))</f>
        <v>#N/A</v>
      </c>
      <c r="DW49" s="4"/>
      <c r="DX49" s="49">
        <f t="shared" si="45"/>
        <v>-1</v>
      </c>
      <c r="DY49" s="49" t="e" cm="1">
        <f t="array" ref="DY49">IF($F49=0,0,INDEX(sys_DataFlat_LU_Grid,DX49,$E49))</f>
        <v>#VALUE!</v>
      </c>
      <c r="DZ49" s="49" t="e" cm="1">
        <f t="array" ref="DZ49">IF($F49=0,-1000,CHOOSE($E$14,INDEX(auto_DataFlat_Score,DY49,$E$11),-INDEX(auto_DataFlat_Score,DY49,$E$11),-$D49))</f>
        <v>#VALUE!</v>
      </c>
      <c r="EA49" s="91" t="e">
        <f ca="1">RANK(DZ49,OFFSET(DZ$21,0,0,$E$16+1,1))+COUNTIF(DZ$21:DZ49,DZ49)-1</f>
        <v>#VALUE!</v>
      </c>
      <c r="EB49" s="91" t="e">
        <f t="shared" ca="1" si="29"/>
        <v>#N/A</v>
      </c>
      <c r="EC49" s="91" t="e" cm="1">
        <f t="array" aca="1" ref="EC49" ca="1">INDEX(OFFSET(DY$21,0,0,$E$16+1,1),EB49)</f>
        <v>#N/A</v>
      </c>
      <c r="ED49" s="49" t="e" cm="1">
        <f t="array" aca="1" ref="ED49" ca="1">INDEX(OFFSET($E$21,0,0,$E$16+1,1),EB49)</f>
        <v>#N/A</v>
      </c>
      <c r="EE49" s="80" t="e" cm="1">
        <f t="array" aca="1" ref="EE49" ca="1">IF(ED49="G",5,INDEX(OFFSET($F$21,0,0,$E$16+1,1),EB49))</f>
        <v>#N/A</v>
      </c>
      <c r="EF49" s="80" t="e" cm="1">
        <f t="array" aca="1" ref="EF49" ca="1">IF(EC49=0,0,IF(ED49="G",-1,INDEX(auto_DataFlat_Classification,EC49,$E$11)))</f>
        <v>#N/A</v>
      </c>
      <c r="EG49" s="301" t="e" cm="1">
        <f t="array" aca="1" ref="EG49" ca="1">IF(EF49&lt;0,"",INDEX(uxbGlobals!$B$133:$B$139,EF49))</f>
        <v>#N/A</v>
      </c>
      <c r="EH49" s="80"/>
      <c r="EI49" s="302" t="e" cm="1">
        <f t="array" aca="1" ref="EI49" ca="1">IF(EE49=0,"",IF(ED49="G","--",INDEX(auto_DataFlat_Rank,EC49,$E$11)))</f>
        <v>#N/A</v>
      </c>
      <c r="EJ49" s="122" t="e" cm="1">
        <f t="array" aca="1" ref="EJ49" ca="1">IF(EE49=0,"",IF(ED49="G","AVERAGE",INDEX(auto_ddCountry,ED49)))</f>
        <v>#N/A</v>
      </c>
      <c r="EK49" s="290" t="e" cm="1">
        <f t="array" aca="1" ref="EK49" ca="1">IF(EE49=0,"",INDEX(auto_DataFlat_Score,EC49,$E$11))</f>
        <v>#N/A</v>
      </c>
      <c r="EL49" s="4"/>
      <c r="EM49" s="49">
        <f t="shared" si="46"/>
        <v>-1</v>
      </c>
      <c r="EN49" s="49" t="e" cm="1">
        <f t="array" ref="EN49">IF($F49=0,0,INDEX(sys_DataFlat_LU_Grid,EM49,$E49))</f>
        <v>#VALUE!</v>
      </c>
      <c r="EO49" s="49" t="e" cm="1">
        <f t="array" ref="EO49">IF($F49=0,-1000,CHOOSE($E$14,INDEX(auto_DataFlat_Score,EN49,$E$11),-INDEX(auto_DataFlat_Score,EN49,$E$11),-$D49))</f>
        <v>#VALUE!</v>
      </c>
      <c r="EP49" s="91" t="e">
        <f ca="1">RANK(EO49,OFFSET(EO$21,0,0,$E$16+1,1))+COUNTIF(EO$21:EO49,EO49)-1</f>
        <v>#VALUE!</v>
      </c>
      <c r="EQ49" s="91" t="e">
        <f t="shared" ca="1" si="30"/>
        <v>#N/A</v>
      </c>
      <c r="ER49" s="91" t="e" cm="1">
        <f t="array" aca="1" ref="ER49" ca="1">INDEX(OFFSET(EN$21,0,0,$E$16+1,1),EQ49)</f>
        <v>#N/A</v>
      </c>
      <c r="ES49" s="49" t="e" cm="1">
        <f t="array" aca="1" ref="ES49" ca="1">INDEX(OFFSET($E$21,0,0,$E$16+1,1),EQ49)</f>
        <v>#N/A</v>
      </c>
      <c r="ET49" s="80" t="e" cm="1">
        <f t="array" aca="1" ref="ET49" ca="1">IF(ES49="G",5,INDEX(OFFSET($F$21,0,0,$E$16+1,1),EQ49))</f>
        <v>#N/A</v>
      </c>
      <c r="EU49" s="80" t="e" cm="1">
        <f t="array" aca="1" ref="EU49" ca="1">IF(ER49=0,0,IF(ES49="G",-1,INDEX(auto_DataFlat_Classification,ER49,$E$11)))</f>
        <v>#N/A</v>
      </c>
      <c r="EV49" s="301" t="e" cm="1">
        <f t="array" aca="1" ref="EV49" ca="1">IF(EU49&lt;0,"",INDEX(uxbGlobals!$B$133:$B$139,EU49))</f>
        <v>#N/A</v>
      </c>
      <c r="EW49" s="80"/>
      <c r="EX49" s="302" t="e" cm="1">
        <f t="array" aca="1" ref="EX49" ca="1">IF(ET49=0,"",IF(ES49="G","--",INDEX(auto_DataFlat_Rank,ER49,$E$11)))</f>
        <v>#N/A</v>
      </c>
      <c r="EY49" s="122" t="e" cm="1">
        <f t="array" aca="1" ref="EY49" ca="1">IF(ET49=0,"",IF(ES49="G","AVERAGE",INDEX(auto_ddCountry,ES49)))</f>
        <v>#N/A</v>
      </c>
      <c r="EZ49" s="290" t="e" cm="1">
        <f t="array" aca="1" ref="EZ49" ca="1">IF(ET49=0,"",INDEX(auto_DataFlat_Score,ER49,$E$11))</f>
        <v>#N/A</v>
      </c>
    </row>
    <row r="50" spans="1:156" ht="17.149999999999999" customHeight="1" x14ac:dyDescent="0.4">
      <c r="A50" s="4"/>
      <c r="B50" s="4"/>
      <c r="C50" s="4"/>
      <c r="D50" s="26">
        <v>30</v>
      </c>
      <c r="E50" s="49">
        <f>tblCountries!M31</f>
        <v>29</v>
      </c>
      <c r="F50" s="114" cm="1">
        <f t="array" ref="F50">IF(E50=0,0,INDEX(auto_Country_Status,E50))</f>
        <v>1</v>
      </c>
      <c r="G50" s="4"/>
      <c r="H50" s="49">
        <f t="shared" si="31"/>
        <v>1</v>
      </c>
      <c r="I50" s="49" cm="1">
        <f t="array" ref="I50">IF($F50=0,0,INDEX(sys_DataFlat_LU_Grid,H50,$E50))</f>
        <v>29</v>
      </c>
      <c r="J50" s="49" cm="1">
        <f t="array" ref="J50">IF($F50=0,-1000,CHOOSE($E$14,INDEX(auto_DataFlat_Score,I50,$E$11),-INDEX(auto_DataFlat_Score,I50,$E$11),-$D50))</f>
        <v>75.8</v>
      </c>
      <c r="K50" s="91">
        <f ca="1">RANK(J50,OFFSET(J$21,0,0,$E$16+1,1))+COUNTIF(J$21:J50,J50)-1</f>
        <v>9</v>
      </c>
      <c r="L50" s="91">
        <f t="shared" ca="1" si="48"/>
        <v>1</v>
      </c>
      <c r="M50" s="91" cm="1">
        <f t="array" aca="1" ref="M50" ca="1">INDEX(OFFSET(I$21,0,0,$E$16+1,1),L50)</f>
        <v>51</v>
      </c>
      <c r="N50" s="49" t="str" cm="1">
        <f t="array" aca="1" ref="N50" ca="1">INDEX(OFFSET($E$21,0,0,$E$16+1,1),L50)</f>
        <v>G</v>
      </c>
      <c r="O50" s="80" cm="1">
        <f t="array" aca="1" ref="O50" ca="1">IF(N50="G",5,INDEX(OFFSET($F$21,0,0,$E$16+1,1),L50))</f>
        <v>5</v>
      </c>
      <c r="P50" s="80" cm="1">
        <f t="array" aca="1" ref="P50" ca="1">IF(M50=0,0,IF(N50="G",-1,INDEX(auto_DataFlat_Classification,M50,$E$11)))</f>
        <v>-1</v>
      </c>
      <c r="Q50" s="301" t="str" cm="1">
        <f t="array" aca="1" ref="Q50" ca="1">IF(P50&lt;0,"",INDEX(uxbGlobals!$B$133:$B$139,P50))</f>
        <v/>
      </c>
      <c r="R50" s="80"/>
      <c r="S50" s="302" t="str" cm="1">
        <f t="array" aca="1" ref="S50" ca="1">IF(O50=0,"",IF(N50="G","--",INDEX(auto_DataFlat_Rank,M50,$E$11)))</f>
        <v>--</v>
      </c>
      <c r="T50" s="122" t="str" cm="1">
        <f t="array" aca="1" ref="T50" ca="1">IF(O50=0,"",IF(N50="G"," AVERAGE",INDEX(auto_ddCountry,N50)))</f>
        <v xml:space="preserve"> AVERAGE</v>
      </c>
      <c r="U50" s="290" cm="1">
        <f t="array" aca="1" ref="U50" ca="1">IF(O50=0,"",INDEX(auto_DataFlat_Score,M50,$E$11))</f>
        <v>62.4</v>
      </c>
      <c r="V50" s="4"/>
      <c r="W50" s="49">
        <f t="shared" si="33"/>
        <v>2</v>
      </c>
      <c r="X50" s="49" cm="1">
        <f t="array" ref="X50">IF($F50=0,0,INDEX(sys_DataFlat_LU_Grid,W50,$E50))</f>
        <v>89</v>
      </c>
      <c r="Y50" s="49" cm="1">
        <f t="array" ref="Y50">IF($F50=0,-1000,CHOOSE($E$14,INDEX(auto_DataFlat_Score,X50,$E$11),-INDEX(auto_DataFlat_Score,X50,$E$11),-$D50))</f>
        <v>87.9</v>
      </c>
      <c r="Z50" s="91">
        <f ca="1">RANK(Y50,OFFSET(Y$21,0,0,$E$16+1,1))+COUNTIF(Y$21:Y50,Y50)-1</f>
        <v>3</v>
      </c>
      <c r="AA50" s="91">
        <f t="shared" ca="1" si="49"/>
        <v>42</v>
      </c>
      <c r="AB50" s="91" cm="1">
        <f t="array" aca="1" ref="AB50" ca="1">INDEX(OFFSET(X$21,0,0,$E$16+1,1),AA50)</f>
        <v>101</v>
      </c>
      <c r="AC50" s="49" cm="1">
        <f t="array" aca="1" ref="AC50" ca="1">INDEX(OFFSET($E$21,0,0,$E$16+1,1),AA50)</f>
        <v>41</v>
      </c>
      <c r="AD50" s="80" cm="1">
        <f t="array" aca="1" ref="AD50" ca="1">IF(AC50="G",5,INDEX(OFFSET($F$21,0,0,$E$16+1,1),AA50))</f>
        <v>1</v>
      </c>
      <c r="AE50" s="80" cm="1">
        <f t="array" aca="1" ref="AE50" ca="1">IF(AB50=0,0,IF(AC50="G",-1,INDEX(auto_DataFlat_Classification,AB50,$E$11)))</f>
        <v>4</v>
      </c>
      <c r="AF50" s="301" t="str" cm="1">
        <f t="array" aca="1" ref="AF50" ca="1">IF(AE50&lt;0,"",INDEX(uxbGlobals!$B$133:$B$139,AE50))</f>
        <v xml:space="preserve"> </v>
      </c>
      <c r="AG50" s="80"/>
      <c r="AH50" s="302" t="str" cm="1">
        <f t="array" aca="1" ref="AH50" ca="1">IF(AD50=0,"",IF(AC50="G","--",INDEX(auto_DataFlat_Rank,AB50,$E$11)))</f>
        <v>30</v>
      </c>
      <c r="AI50" s="122" t="str" cm="1">
        <f t="array" aca="1" ref="AI50" ca="1">IF(AD50=0,"",IF(AC50="G","AVERAGE",INDEX(auto_ddCountry,AC50)))</f>
        <v>São Paulo</v>
      </c>
      <c r="AJ50" s="290" cm="1">
        <f t="array" aca="1" ref="AJ50" ca="1">IF(AD50=0,"",INDEX(auto_DataFlat_Score,AB50,$E$11))</f>
        <v>70.099999999999994</v>
      </c>
      <c r="AK50" s="4"/>
      <c r="AL50" s="49">
        <f t="shared" si="35"/>
        <v>14</v>
      </c>
      <c r="AM50" s="49" cm="1">
        <f t="array" ref="AM50">IF($F50=0,0,INDEX(sys_DataFlat_LU_Grid,AL50,$E50))</f>
        <v>809</v>
      </c>
      <c r="AN50" s="49" cm="1">
        <f t="array" ref="AN50">IF($F50=0,-1000,CHOOSE($E$14,INDEX(auto_DataFlat_Score,AM50,$E$11),-INDEX(auto_DataFlat_Score,AM50,$E$11),-$D50))</f>
        <v>75.5</v>
      </c>
      <c r="AO50" s="91">
        <f ca="1">RANK(AN50,OFFSET(AN$21,0,0,$E$16+1,1))+COUNTIF(AN$21:AN50,AN50)-1</f>
        <v>3</v>
      </c>
      <c r="AP50" s="91">
        <f t="shared" ca="1" si="50"/>
        <v>44</v>
      </c>
      <c r="AQ50" s="91" cm="1">
        <f t="array" aca="1" ref="AQ50" ca="1">INDEX(OFFSET(AM$21,0,0,$E$16+1,1),AP50)</f>
        <v>823</v>
      </c>
      <c r="AR50" s="49" cm="1">
        <f t="array" aca="1" ref="AR50" ca="1">INDEX(OFFSET($E$21,0,0,$E$16+1,1),AP50)</f>
        <v>43</v>
      </c>
      <c r="AS50" s="80" cm="1">
        <f t="array" aca="1" ref="AS50" ca="1">IF(AR50="G",5,INDEX(OFFSET($F$21,0,0,$E$16+1,1),AP50))</f>
        <v>1</v>
      </c>
      <c r="AT50" s="80" cm="1">
        <f t="array" aca="1" ref="AT50" ca="1">IF(AQ50=0,0,IF(AR50="G",-1,INDEX(auto_DataFlat_Classification,AQ50,$E$11)))</f>
        <v>3</v>
      </c>
      <c r="AU50" s="301" t="str" cm="1">
        <f t="array" aca="1" ref="AU50" ca="1">IF(AT50&lt;0,"",INDEX(uxbGlobals!$B$133:$B$139,AT50))</f>
        <v xml:space="preserve"> </v>
      </c>
      <c r="AV50" s="80"/>
      <c r="AW50" s="302" t="str" cm="1">
        <f t="array" aca="1" ref="AW50" ca="1">IF(AS50=0,"",IF(AR50="G","--",INDEX(auto_DataFlat_Rank,AQ50,$E$11)))</f>
        <v>=28</v>
      </c>
      <c r="AX50" s="122" t="str" cm="1">
        <f t="array" aca="1" ref="AX50" ca="1">IF(AS50=0,"",IF(AR50="G","AVERAGE",INDEX(auto_ddCountry,AR50)))</f>
        <v>Shanghai</v>
      </c>
      <c r="AY50" s="290" cm="1">
        <f t="array" aca="1" ref="AY50" ca="1">IF(AS50=0,"",INDEX(auto_DataFlat_Score,AQ50,$E$11))</f>
        <v>46.5</v>
      </c>
      <c r="AZ50" s="4"/>
      <c r="BA50" s="49">
        <f t="shared" si="37"/>
        <v>22</v>
      </c>
      <c r="BB50" s="49" cm="1">
        <f t="array" ref="BB50">IF($F50=0,0,INDEX(sys_DataFlat_LU_Grid,BA50,$E50))</f>
        <v>1289</v>
      </c>
      <c r="BC50" s="49" cm="1">
        <f t="array" ref="BC50">IF($F50=0,-1000,CHOOSE($E$14,INDEX(auto_DataFlat_Score,BB50,$E$11),-INDEX(auto_DataFlat_Score,BB50,$E$11),-$D50))</f>
        <v>67.7</v>
      </c>
      <c r="BD50" s="91">
        <f ca="1">RANK(BC50,OFFSET(BC$21,0,0,$E$16+1,1))+COUNTIF(BC$21:BC50,BC50)-1</f>
        <v>17</v>
      </c>
      <c r="BE50" s="91">
        <f t="shared" ca="1" si="51"/>
        <v>41</v>
      </c>
      <c r="BF50" s="91" cm="1">
        <f t="array" aca="1" ref="BF50" ca="1">INDEX(OFFSET(BB$21,0,0,$E$16+1,1),BE50)</f>
        <v>1300</v>
      </c>
      <c r="BG50" s="49" cm="1">
        <f t="array" aca="1" ref="BG50" ca="1">INDEX(OFFSET($E$21,0,0,$E$16+1,1),BE50)</f>
        <v>40</v>
      </c>
      <c r="BH50" s="80" cm="1">
        <f t="array" aca="1" ref="BH50" ca="1">IF(BG50="G",5,INDEX(OFFSET($F$21,0,0,$E$16+1,1),BE50))</f>
        <v>1</v>
      </c>
      <c r="BI50" s="80" cm="1">
        <f t="array" aca="1" ref="BI50" ca="1">IF(BF50=0,0,IF(BG50="G",-1,INDEX(auto_DataFlat_Classification,BF50,$E$11)))</f>
        <v>3</v>
      </c>
      <c r="BJ50" s="301" t="str" cm="1">
        <f t="array" aca="1" ref="BJ50" ca="1">IF(BI50&lt;0,"",INDEX(uxbGlobals!$B$133:$B$139,BI50))</f>
        <v xml:space="preserve"> </v>
      </c>
      <c r="BK50" s="80"/>
      <c r="BL50" s="302" t="str" cm="1">
        <f t="array" aca="1" ref="BL50" ca="1">IF(BH50=0,"",IF(BG50="G","--",INDEX(auto_DataFlat_Rank,BF50,$E$11)))</f>
        <v>29</v>
      </c>
      <c r="BM50" s="122" t="str" cm="1">
        <f t="array" aca="1" ref="BM50" ca="1">IF(BH50=0,"",IF(BG50="G","AVERAGE",INDEX(auto_ddCountry,BG50)))</f>
        <v>San Francisco</v>
      </c>
      <c r="BN50" s="290" cm="1">
        <f t="array" aca="1" ref="BN50" ca="1">IF(BH50=0,"",INDEX(auto_DataFlat_Score,BF50,$E$11))</f>
        <v>53</v>
      </c>
      <c r="BO50" s="4"/>
      <c r="BP50" s="49">
        <f t="shared" si="39"/>
        <v>47</v>
      </c>
      <c r="BQ50" s="49" cm="1">
        <f t="array" ref="BQ50">IF($F50=0,0,INDEX(sys_DataFlat_LU_Grid,BP50,$E50))</f>
        <v>2789</v>
      </c>
      <c r="BR50" s="49" cm="1">
        <f t="array" ref="BR50">IF($F50=0,-1000,CHOOSE($E$14,INDEX(auto_DataFlat_Score,BQ50,$E$11),-INDEX(auto_DataFlat_Score,BQ50,$E$11),-$D50))</f>
        <v>83.5</v>
      </c>
      <c r="BS50" s="91">
        <f ca="1">RANK(BR50,OFFSET(BR$21,0,0,$E$16+1,1))+COUNTIF(BR$21:BR50,BR50)-1</f>
        <v>11</v>
      </c>
      <c r="BT50" s="91">
        <f t="shared" ca="1" si="52"/>
        <v>32</v>
      </c>
      <c r="BU50" s="91" cm="1">
        <f t="array" aca="1" ref="BU50" ca="1">INDEX(OFFSET(BQ$21,0,0,$E$16+1,1),BT50)</f>
        <v>2791</v>
      </c>
      <c r="BV50" s="49" cm="1">
        <f t="array" aca="1" ref="BV50" ca="1">INDEX(OFFSET($E$21,0,0,$E$16+1,1),BT50)</f>
        <v>31</v>
      </c>
      <c r="BW50" s="80" cm="1">
        <f t="array" aca="1" ref="BW50" ca="1">IF(BV50="G",5,INDEX(OFFSET($F$21,0,0,$E$16+1,1),BT50))</f>
        <v>1</v>
      </c>
      <c r="BX50" s="80" cm="1">
        <f t="array" aca="1" ref="BX50" ca="1">IF(BU50=0,0,IF(BV50="G",-1,INDEX(auto_DataFlat_Classification,BU50,$E$11)))</f>
        <v>3</v>
      </c>
      <c r="BY50" s="301" t="str" cm="1">
        <f t="array" aca="1" ref="BY50" ca="1">IF(BX50&lt;0,"",INDEX(uxbGlobals!$B$133:$B$139,BX50))</f>
        <v xml:space="preserve"> </v>
      </c>
      <c r="BZ50" s="80"/>
      <c r="CA50" s="302" t="str" cm="1">
        <f t="array" aca="1" ref="CA50" ca="1">IF(BW50=0,"",IF(BV50="G","--",INDEX(auto_DataFlat_Rank,BU50,$E$11)))</f>
        <v>29</v>
      </c>
      <c r="CB50" s="122" t="str" cm="1">
        <f t="array" aca="1" ref="CB50" ca="1">IF(BW50=0,"",IF(BV50="G","AVERAGE",INDEX(auto_ddCountry,BV50)))</f>
        <v>Moscow</v>
      </c>
      <c r="CC50" s="290" cm="1">
        <f t="array" aca="1" ref="CC50" ca="1">IF(BW50=0,"",INDEX(auto_DataFlat_Score,BU50,$E$11))</f>
        <v>58.3</v>
      </c>
      <c r="CD50" s="4"/>
      <c r="CE50" s="49">
        <f t="shared" si="41"/>
        <v>52</v>
      </c>
      <c r="CF50" s="49" cm="1">
        <f t="array" ref="CF50">IF($F50=0,0,INDEX(sys_DataFlat_LU_Grid,CE50,$E50))</f>
        <v>3089</v>
      </c>
      <c r="CG50" s="49" cm="1">
        <f t="array" ref="CG50">IF($F50=0,-1000,CHOOSE($E$14,INDEX(auto_DataFlat_Score,CF50,$E$11),-INDEX(auto_DataFlat_Score,CF50,$E$11),-$D50))</f>
        <v>73.099999999999994</v>
      </c>
      <c r="CH50" s="91">
        <f ca="1">RANK(CG50,OFFSET(CG$21,0,0,$E$16+1,1))+COUNTIF(CG$21:CG50,CG50)-1</f>
        <v>25</v>
      </c>
      <c r="CI50" s="91">
        <f t="shared" ca="1" si="53"/>
        <v>1</v>
      </c>
      <c r="CJ50" s="91" cm="1">
        <f t="array" aca="1" ref="CJ50" ca="1">INDEX(OFFSET(CF$21,0,0,$E$16+1,1),CI50)</f>
        <v>3111</v>
      </c>
      <c r="CK50" s="49" t="str" cm="1">
        <f t="array" aca="1" ref="CK50" ca="1">INDEX(OFFSET($E$21,0,0,$E$16+1,1),CI50)</f>
        <v>G</v>
      </c>
      <c r="CL50" s="80" cm="1">
        <f t="array" aca="1" ref="CL50" ca="1">IF(CK50="G",5,INDEX(OFFSET($F$21,0,0,$E$16+1,1),CI50))</f>
        <v>5</v>
      </c>
      <c r="CM50" s="80" cm="1">
        <f t="array" aca="1" ref="CM50" ca="1">IF(CJ50=0,0,IF(CK50="G",-1,INDEX(auto_DataFlat_Classification,CJ50,$E$11)))</f>
        <v>-1</v>
      </c>
      <c r="CN50" s="301" t="str" cm="1">
        <f t="array" aca="1" ref="CN50" ca="1">IF(CM50&lt;0,"",INDEX(uxbGlobals!$B$133:$B$139,CM50))</f>
        <v/>
      </c>
      <c r="CO50" s="80"/>
      <c r="CP50" s="302" t="str" cm="1">
        <f t="array" aca="1" ref="CP50" ca="1">IF(CL50=0,"",IF(CK50="G","--",INDEX(auto_DataFlat_Rank,CJ50,$E$11)))</f>
        <v>--</v>
      </c>
      <c r="CQ50" s="122" t="str" cm="1">
        <f t="array" aca="1" ref="CQ50" ca="1">IF(CL50=0,"",IF(CK50="G","AVERAGE",INDEX(auto_ddCountry,CK50)))</f>
        <v>AVERAGE</v>
      </c>
      <c r="CR50" s="290" cm="1">
        <f t="array" aca="1" ref="CR50" ca="1">IF(CL50=0,"",INDEX(auto_DataFlat_Score,CJ50,$E$11))</f>
        <v>68.900000000000006</v>
      </c>
      <c r="CS50" s="4"/>
      <c r="CT50" s="49">
        <f t="shared" si="43"/>
        <v>-1</v>
      </c>
      <c r="CU50" s="49" t="e" cm="1">
        <f t="array" ref="CU50">IF($F50=0,0,INDEX(sys_DataFlat_LU_Grid,CT50,$E50))</f>
        <v>#VALUE!</v>
      </c>
      <c r="CV50" s="49" t="e" cm="1">
        <f t="array" ref="CV50">IF($F50=0,-1000,CHOOSE($E$14,INDEX(auto_DataFlat_Score,CU50,$E$11),-INDEX(auto_DataFlat_Score,CU50,$E$11),-$D50))</f>
        <v>#VALUE!</v>
      </c>
      <c r="CW50" s="91" t="e">
        <f ca="1">RANK(CV50,OFFSET(CV$21,0,0,$E$16+1,1))+COUNTIF(CV$21:CV50,CV50)-1</f>
        <v>#VALUE!</v>
      </c>
      <c r="CX50" s="91" t="e">
        <f t="shared" ca="1" si="47"/>
        <v>#N/A</v>
      </c>
      <c r="CY50" s="91" t="e" cm="1">
        <f t="array" aca="1" ref="CY50" ca="1">INDEX(OFFSET(CU$21,0,0,$E$16+1,1),CX50)</f>
        <v>#N/A</v>
      </c>
      <c r="CZ50" s="49" t="e" cm="1">
        <f t="array" aca="1" ref="CZ50" ca="1">INDEX(OFFSET($E$21,0,0,$E$16+1,1),CX50)</f>
        <v>#N/A</v>
      </c>
      <c r="DA50" s="80" t="e" cm="1">
        <f t="array" aca="1" ref="DA50" ca="1">IF(CZ50="G",5,INDEX(OFFSET($F$21,0,0,$E$16+1,1),CX50))</f>
        <v>#N/A</v>
      </c>
      <c r="DB50" s="80" t="e" cm="1">
        <f t="array" aca="1" ref="DB50" ca="1">IF(CY50=0,0,IF(CZ50="G",-1,INDEX(auto_DataFlat_Classification,CY50,$E$11)))</f>
        <v>#N/A</v>
      </c>
      <c r="DC50" s="301" t="e" cm="1">
        <f t="array" aca="1" ref="DC50" ca="1">IF(DB50&lt;0,"",INDEX(uxbGlobals!$B$133:$B$139,DB50))</f>
        <v>#N/A</v>
      </c>
      <c r="DD50" s="80"/>
      <c r="DE50" s="302" t="e" cm="1">
        <f t="array" aca="1" ref="DE50" ca="1">IF(DA50=0,"",IF(CZ50="G","--",INDEX(auto_DataFlat_Rank,CY50,$E$11)))</f>
        <v>#N/A</v>
      </c>
      <c r="DF50" s="122" t="e" cm="1">
        <f t="array" aca="1" ref="DF50" ca="1">IF(DA50=0,"",IF(CZ50="G","AVERAGE",INDEX(auto_ddCountry,CZ50)))</f>
        <v>#N/A</v>
      </c>
      <c r="DG50" s="290" t="e" cm="1">
        <f t="array" aca="1" ref="DG50" ca="1">IF(DA50=0,"",INDEX(auto_DataFlat_Score,CY50,$E$11))</f>
        <v>#N/A</v>
      </c>
      <c r="DH50" s="4"/>
      <c r="DI50" s="49">
        <f t="shared" si="44"/>
        <v>-1</v>
      </c>
      <c r="DJ50" s="49" t="e" cm="1">
        <f t="array" ref="DJ50">IF($F50=0,0,INDEX(sys_DataFlat_LU_Grid,DI50,$E50))</f>
        <v>#VALUE!</v>
      </c>
      <c r="DK50" s="49" t="e" cm="1">
        <f t="array" ref="DK50">IF($F50=0,-1000,CHOOSE($E$14,INDEX(auto_DataFlat_Score,DJ50,$E$11),-INDEX(auto_DataFlat_Score,DJ50,$E$11),-$D50))</f>
        <v>#VALUE!</v>
      </c>
      <c r="DL50" s="91" t="e">
        <f ca="1">RANK(DK50,OFFSET(DK$21,0,0,$E$16+1,1))+COUNTIF(DK$21:DK50,DK50)-1</f>
        <v>#VALUE!</v>
      </c>
      <c r="DM50" s="91" t="e">
        <f t="shared" ca="1" si="28"/>
        <v>#N/A</v>
      </c>
      <c r="DN50" s="91" t="e" cm="1">
        <f t="array" aca="1" ref="DN50" ca="1">INDEX(OFFSET(DJ$21,0,0,$E$16+1,1),DM50)</f>
        <v>#N/A</v>
      </c>
      <c r="DO50" s="49" t="e" cm="1">
        <f t="array" aca="1" ref="DO50" ca="1">INDEX(OFFSET($E$21,0,0,$E$16+1,1),DM50)</f>
        <v>#N/A</v>
      </c>
      <c r="DP50" s="80" t="e" cm="1">
        <f t="array" aca="1" ref="DP50" ca="1">IF(DO50="G",5,INDEX(OFFSET($F$21,0,0,$E$16+1,1),DM50))</f>
        <v>#N/A</v>
      </c>
      <c r="DQ50" s="80" t="e" cm="1">
        <f t="array" aca="1" ref="DQ50" ca="1">IF(DN50=0,0,IF(DO50="G",-1,INDEX(auto_DataFlat_Classification,DN50,$E$11)))</f>
        <v>#N/A</v>
      </c>
      <c r="DR50" s="301" t="e" cm="1">
        <f t="array" aca="1" ref="DR50" ca="1">IF(DQ50&lt;0,"",INDEX(uxbGlobals!$B$133:$B$139,DQ50))</f>
        <v>#N/A</v>
      </c>
      <c r="DS50" s="80"/>
      <c r="DT50" s="302" t="e" cm="1">
        <f t="array" aca="1" ref="DT50" ca="1">IF(DP50=0,"",IF(DO50="G","--",INDEX(auto_DataFlat_Rank,DN50,$E$11)))</f>
        <v>#N/A</v>
      </c>
      <c r="DU50" s="122" t="e" cm="1">
        <f t="array" aca="1" ref="DU50" ca="1">IF(DP50=0,"",IF(DO50="G","AVERAGE",INDEX(auto_ddCountry,DO50)))</f>
        <v>#N/A</v>
      </c>
      <c r="DV50" s="290" t="e" cm="1">
        <f t="array" aca="1" ref="DV50" ca="1">IF(DP50=0,"",INDEX(auto_DataFlat_Score,DN50,$E$11))</f>
        <v>#N/A</v>
      </c>
      <c r="DW50" s="4"/>
      <c r="DX50" s="49">
        <f t="shared" si="45"/>
        <v>-1</v>
      </c>
      <c r="DY50" s="49" t="e" cm="1">
        <f t="array" ref="DY50">IF($F50=0,0,INDEX(sys_DataFlat_LU_Grid,DX50,$E50))</f>
        <v>#VALUE!</v>
      </c>
      <c r="DZ50" s="49" t="e" cm="1">
        <f t="array" ref="DZ50">IF($F50=0,-1000,CHOOSE($E$14,INDEX(auto_DataFlat_Score,DY50,$E$11),-INDEX(auto_DataFlat_Score,DY50,$E$11),-$D50))</f>
        <v>#VALUE!</v>
      </c>
      <c r="EA50" s="91" t="e">
        <f ca="1">RANK(DZ50,OFFSET(DZ$21,0,0,$E$16+1,1))+COUNTIF(DZ$21:DZ50,DZ50)-1</f>
        <v>#VALUE!</v>
      </c>
      <c r="EB50" s="91" t="e">
        <f t="shared" ca="1" si="29"/>
        <v>#N/A</v>
      </c>
      <c r="EC50" s="91" t="e" cm="1">
        <f t="array" aca="1" ref="EC50" ca="1">INDEX(OFFSET(DY$21,0,0,$E$16+1,1),EB50)</f>
        <v>#N/A</v>
      </c>
      <c r="ED50" s="49" t="e" cm="1">
        <f t="array" aca="1" ref="ED50" ca="1">INDEX(OFFSET($E$21,0,0,$E$16+1,1),EB50)</f>
        <v>#N/A</v>
      </c>
      <c r="EE50" s="80" t="e" cm="1">
        <f t="array" aca="1" ref="EE50" ca="1">IF(ED50="G",5,INDEX(OFFSET($F$21,0,0,$E$16+1,1),EB50))</f>
        <v>#N/A</v>
      </c>
      <c r="EF50" s="80" t="e" cm="1">
        <f t="array" aca="1" ref="EF50" ca="1">IF(EC50=0,0,IF(ED50="G",-1,INDEX(auto_DataFlat_Classification,EC50,$E$11)))</f>
        <v>#N/A</v>
      </c>
      <c r="EG50" s="301" t="e" cm="1">
        <f t="array" aca="1" ref="EG50" ca="1">IF(EF50&lt;0,"",INDEX(uxbGlobals!$B$133:$B$139,EF50))</f>
        <v>#N/A</v>
      </c>
      <c r="EH50" s="80"/>
      <c r="EI50" s="302" t="e" cm="1">
        <f t="array" aca="1" ref="EI50" ca="1">IF(EE50=0,"",IF(ED50="G","--",INDEX(auto_DataFlat_Rank,EC50,$E$11)))</f>
        <v>#N/A</v>
      </c>
      <c r="EJ50" s="122" t="e" cm="1">
        <f t="array" aca="1" ref="EJ50" ca="1">IF(EE50=0,"",IF(ED50="G","AVERAGE",INDEX(auto_ddCountry,ED50)))</f>
        <v>#N/A</v>
      </c>
      <c r="EK50" s="290" t="e" cm="1">
        <f t="array" aca="1" ref="EK50" ca="1">IF(EE50=0,"",INDEX(auto_DataFlat_Score,EC50,$E$11))</f>
        <v>#N/A</v>
      </c>
      <c r="EL50" s="4"/>
      <c r="EM50" s="49">
        <f t="shared" si="46"/>
        <v>-1</v>
      </c>
      <c r="EN50" s="49" t="e" cm="1">
        <f t="array" ref="EN50">IF($F50=0,0,INDEX(sys_DataFlat_LU_Grid,EM50,$E50))</f>
        <v>#VALUE!</v>
      </c>
      <c r="EO50" s="49" t="e" cm="1">
        <f t="array" ref="EO50">IF($F50=0,-1000,CHOOSE($E$14,INDEX(auto_DataFlat_Score,EN50,$E$11),-INDEX(auto_DataFlat_Score,EN50,$E$11),-$D50))</f>
        <v>#VALUE!</v>
      </c>
      <c r="EP50" s="91" t="e">
        <f ca="1">RANK(EO50,OFFSET(EO$21,0,0,$E$16+1,1))+COUNTIF(EO$21:EO50,EO50)-1</f>
        <v>#VALUE!</v>
      </c>
      <c r="EQ50" s="91" t="e">
        <f t="shared" ca="1" si="30"/>
        <v>#N/A</v>
      </c>
      <c r="ER50" s="91" t="e" cm="1">
        <f t="array" aca="1" ref="ER50" ca="1">INDEX(OFFSET(EN$21,0,0,$E$16+1,1),EQ50)</f>
        <v>#N/A</v>
      </c>
      <c r="ES50" s="49" t="e" cm="1">
        <f t="array" aca="1" ref="ES50" ca="1">INDEX(OFFSET($E$21,0,0,$E$16+1,1),EQ50)</f>
        <v>#N/A</v>
      </c>
      <c r="ET50" s="80" t="e" cm="1">
        <f t="array" aca="1" ref="ET50" ca="1">IF(ES50="G",5,INDEX(OFFSET($F$21,0,0,$E$16+1,1),EQ50))</f>
        <v>#N/A</v>
      </c>
      <c r="EU50" s="80" t="e" cm="1">
        <f t="array" aca="1" ref="EU50" ca="1">IF(ER50=0,0,IF(ES50="G",-1,INDEX(auto_DataFlat_Classification,ER50,$E$11)))</f>
        <v>#N/A</v>
      </c>
      <c r="EV50" s="301" t="e" cm="1">
        <f t="array" aca="1" ref="EV50" ca="1">IF(EU50&lt;0,"",INDEX(uxbGlobals!$B$133:$B$139,EU50))</f>
        <v>#N/A</v>
      </c>
      <c r="EW50" s="80"/>
      <c r="EX50" s="302" t="e" cm="1">
        <f t="array" aca="1" ref="EX50" ca="1">IF(ET50=0,"",IF(ES50="G","--",INDEX(auto_DataFlat_Rank,ER50,$E$11)))</f>
        <v>#N/A</v>
      </c>
      <c r="EY50" s="122" t="e" cm="1">
        <f t="array" aca="1" ref="EY50" ca="1">IF(ET50=0,"",IF(ES50="G","AVERAGE",INDEX(auto_ddCountry,ES50)))</f>
        <v>#N/A</v>
      </c>
      <c r="EZ50" s="290" t="e" cm="1">
        <f t="array" aca="1" ref="EZ50" ca="1">IF(ET50=0,"",INDEX(auto_DataFlat_Score,ER50,$E$11))</f>
        <v>#N/A</v>
      </c>
    </row>
    <row r="51" spans="1:156" ht="17.149999999999999" customHeight="1" x14ac:dyDescent="0.4">
      <c r="A51" s="4"/>
      <c r="B51" s="4"/>
      <c r="C51" s="4"/>
      <c r="D51" s="26">
        <v>31</v>
      </c>
      <c r="E51" s="49">
        <f>tblCountries!M32</f>
        <v>30</v>
      </c>
      <c r="F51" s="114" cm="1">
        <f t="array" ref="F51">IF(E51=0,0,INDEX(auto_Country_Status,E51))</f>
        <v>1</v>
      </c>
      <c r="G51" s="4"/>
      <c r="H51" s="49">
        <f t="shared" si="31"/>
        <v>1</v>
      </c>
      <c r="I51" s="49" cm="1">
        <f t="array" ref="I51">IF($F51=0,0,INDEX(sys_DataFlat_LU_Grid,H51,$E51))</f>
        <v>30</v>
      </c>
      <c r="J51" s="49" cm="1">
        <f t="array" ref="J51">IF($F51=0,-1000,CHOOSE($E$14,INDEX(auto_DataFlat_Score,I51,$E$11),-INDEX(auto_DataFlat_Score,I51,$E$11),-$D51))</f>
        <v>60.9</v>
      </c>
      <c r="K51" s="91">
        <f ca="1">RANK(J51,OFFSET(J$21,0,0,$E$16+1,1))+COUNTIF(J$21:J51,J51)-1</f>
        <v>31</v>
      </c>
      <c r="L51" s="91">
        <f t="shared" ca="1" si="48"/>
        <v>31</v>
      </c>
      <c r="M51" s="91" cm="1">
        <f t="array" aca="1" ref="M51" ca="1">INDEX(OFFSET(I$21,0,0,$E$16+1,1),L51)</f>
        <v>30</v>
      </c>
      <c r="N51" s="49" cm="1">
        <f t="array" aca="1" ref="N51" ca="1">INDEX(OFFSET($E$21,0,0,$E$16+1,1),L51)</f>
        <v>30</v>
      </c>
      <c r="O51" s="80" cm="1">
        <f t="array" aca="1" ref="O51" ca="1">IF(N51="G",5,INDEX(OFFSET($F$21,0,0,$E$16+1,1),L51))</f>
        <v>1</v>
      </c>
      <c r="P51" s="80" cm="1">
        <f t="array" aca="1" ref="P51" ca="1">IF(M51=0,0,IF(N51="G",-1,INDEX(auto_DataFlat_Classification,M51,$E$11)))</f>
        <v>4</v>
      </c>
      <c r="Q51" s="301" t="str" cm="1">
        <f t="array" aca="1" ref="Q51" ca="1">IF(P51&lt;0,"",INDEX(uxbGlobals!$B$133:$B$139,P51))</f>
        <v xml:space="preserve"> </v>
      </c>
      <c r="R51" s="80"/>
      <c r="S51" s="302" t="str" cm="1">
        <f t="array" aca="1" ref="S51" ca="1">IF(O51=0,"",IF(N51="G","--",INDEX(auto_DataFlat_Rank,M51,$E$11)))</f>
        <v>30</v>
      </c>
      <c r="T51" s="122" t="str" cm="1">
        <f t="array" aca="1" ref="T51" ca="1">IF(O51=0,"",IF(N51="G"," AVERAGE",INDEX(auto_ddCountry,N51)))</f>
        <v>Mexico City</v>
      </c>
      <c r="U51" s="290" cm="1">
        <f t="array" aca="1" ref="U51" ca="1">IF(O51=0,"",INDEX(auto_DataFlat_Score,M51,$E$11))</f>
        <v>60.9</v>
      </c>
      <c r="V51" s="4"/>
      <c r="W51" s="49">
        <f t="shared" si="33"/>
        <v>2</v>
      </c>
      <c r="X51" s="49" cm="1">
        <f t="array" ref="X51">IF($F51=0,0,INDEX(sys_DataFlat_LU_Grid,W51,$E51))</f>
        <v>90</v>
      </c>
      <c r="Y51" s="49" cm="1">
        <f t="array" ref="Y51">IF($F51=0,-1000,CHOOSE($E$14,INDEX(auto_DataFlat_Score,X51,$E$11),-INDEX(auto_DataFlat_Score,X51,$E$11),-$D51))</f>
        <v>79.8</v>
      </c>
      <c r="Z51" s="91">
        <f ca="1">RANK(Y51,OFFSET(Y$21,0,0,$E$16+1,1))+COUNTIF(Y$21:Y51,Y51)-1</f>
        <v>22</v>
      </c>
      <c r="AA51" s="91">
        <f t="shared" ca="1" si="49"/>
        <v>1</v>
      </c>
      <c r="AB51" s="91" cm="1">
        <f t="array" aca="1" ref="AB51" ca="1">INDEX(OFFSET(X$21,0,0,$E$16+1,1),AA51)</f>
        <v>111</v>
      </c>
      <c r="AC51" s="49" t="str" cm="1">
        <f t="array" aca="1" ref="AC51" ca="1">INDEX(OFFSET($E$21,0,0,$E$16+1,1),AA51)</f>
        <v>G</v>
      </c>
      <c r="AD51" s="80" cm="1">
        <f t="array" aca="1" ref="AD51" ca="1">IF(AC51="G",5,INDEX(OFFSET($F$21,0,0,$E$16+1,1),AA51))</f>
        <v>5</v>
      </c>
      <c r="AE51" s="80" cm="1">
        <f t="array" aca="1" ref="AE51" ca="1">IF(AB51=0,0,IF(AC51="G",-1,INDEX(auto_DataFlat_Classification,AB51,$E$11)))</f>
        <v>-1</v>
      </c>
      <c r="AF51" s="301" t="str" cm="1">
        <f t="array" aca="1" ref="AF51" ca="1">IF(AE51&lt;0,"",INDEX(uxbGlobals!$B$133:$B$139,AE51))</f>
        <v/>
      </c>
      <c r="AG51" s="80"/>
      <c r="AH51" s="302" t="str" cm="1">
        <f t="array" aca="1" ref="AH51" ca="1">IF(AD51=0,"",IF(AC51="G","--",INDEX(auto_DataFlat_Rank,AB51,$E$11)))</f>
        <v>--</v>
      </c>
      <c r="AI51" s="122" t="str" cm="1">
        <f t="array" aca="1" ref="AI51" ca="1">IF(AD51=0,"",IF(AC51="G","AVERAGE",INDEX(auto_ddCountry,AC51)))</f>
        <v>AVERAGE</v>
      </c>
      <c r="AJ51" s="290" cm="1">
        <f t="array" aca="1" ref="AJ51" ca="1">IF(AD51=0,"",INDEX(auto_DataFlat_Score,AB51,$E$11))</f>
        <v>70</v>
      </c>
      <c r="AK51" s="4"/>
      <c r="AL51" s="49">
        <f t="shared" si="35"/>
        <v>14</v>
      </c>
      <c r="AM51" s="49" cm="1">
        <f t="array" ref="AM51">IF($F51=0,0,INDEX(sys_DataFlat_LU_Grid,AL51,$E51))</f>
        <v>810</v>
      </c>
      <c r="AN51" s="49" cm="1">
        <f t="array" ref="AN51">IF($F51=0,-1000,CHOOSE($E$14,INDEX(auto_DataFlat_Score,AM51,$E$11),-INDEX(auto_DataFlat_Score,AM51,$E$11),-$D51))</f>
        <v>54.9</v>
      </c>
      <c r="AO51" s="91">
        <f ca="1">RANK(AN51,OFFSET(AN$21,0,0,$E$16+1,1))+COUNTIF(AN$21:AN51,AN51)-1</f>
        <v>21</v>
      </c>
      <c r="AP51" s="91">
        <f t="shared" ca="1" si="50"/>
        <v>15</v>
      </c>
      <c r="AQ51" s="91" cm="1">
        <f t="array" aca="1" ref="AQ51" ca="1">INDEX(OFFSET(AM$21,0,0,$E$16+1,1),AP51)</f>
        <v>794</v>
      </c>
      <c r="AR51" s="49" cm="1">
        <f t="array" aca="1" ref="AR51" ca="1">INDEX(OFFSET($E$21,0,0,$E$16+1,1),AP51)</f>
        <v>14</v>
      </c>
      <c r="AS51" s="80" cm="1">
        <f t="array" aca="1" ref="AS51" ca="1">IF(AR51="G",5,INDEX(OFFSET($F$21,0,0,$E$16+1,1),AP51))</f>
        <v>1</v>
      </c>
      <c r="AT51" s="80" cm="1">
        <f t="array" aca="1" ref="AT51" ca="1">IF(AQ51=0,0,IF(AR51="G",-1,INDEX(auto_DataFlat_Classification,AQ51,$E$11)))</f>
        <v>3</v>
      </c>
      <c r="AU51" s="301" t="str" cm="1">
        <f t="array" aca="1" ref="AU51" ca="1">IF(AT51&lt;0,"",INDEX(uxbGlobals!$B$133:$B$139,AT51))</f>
        <v xml:space="preserve"> </v>
      </c>
      <c r="AV51" s="80"/>
      <c r="AW51" s="302" t="str" cm="1">
        <f t="array" aca="1" ref="AW51" ca="1">IF(AS51=0,"",IF(AR51="G","--",INDEX(auto_DataFlat_Rank,AQ51,$E$11)))</f>
        <v>30</v>
      </c>
      <c r="AX51" s="122" t="str" cm="1">
        <f t="array" aca="1" ref="AX51" ca="1">IF(AS51=0,"",IF(AR51="G","AVERAGE",INDEX(auto_ddCountry,AR51)))</f>
        <v>Dubai</v>
      </c>
      <c r="AY51" s="290" cm="1">
        <f t="array" aca="1" ref="AY51" ca="1">IF(AS51=0,"",INDEX(auto_DataFlat_Score,AQ51,$E$11))</f>
        <v>45.5</v>
      </c>
      <c r="AZ51" s="4"/>
      <c r="BA51" s="49">
        <f t="shared" si="37"/>
        <v>22</v>
      </c>
      <c r="BB51" s="49" cm="1">
        <f t="array" ref="BB51">IF($F51=0,0,INDEX(sys_DataFlat_LU_Grid,BA51,$E51))</f>
        <v>1290</v>
      </c>
      <c r="BC51" s="49" cm="1">
        <f t="array" ref="BC51">IF($F51=0,-1000,CHOOSE($E$14,INDEX(auto_DataFlat_Score,BB51,$E$11),-INDEX(auto_DataFlat_Score,BB51,$E$11),-$D51))</f>
        <v>41.2</v>
      </c>
      <c r="BD51" s="91">
        <f ca="1">RANK(BC51,OFFSET(BC$21,0,0,$E$16+1,1))+COUNTIF(BC$21:BC51,BC51)-1</f>
        <v>40</v>
      </c>
      <c r="BE51" s="91">
        <f t="shared" ca="1" si="51"/>
        <v>42</v>
      </c>
      <c r="BF51" s="91" cm="1">
        <f t="array" aca="1" ref="BF51" ca="1">INDEX(OFFSET(BB$21,0,0,$E$16+1,1),BE51)</f>
        <v>1301</v>
      </c>
      <c r="BG51" s="49" cm="1">
        <f t="array" aca="1" ref="BG51" ca="1">INDEX(OFFSET($E$21,0,0,$E$16+1,1),BE51)</f>
        <v>41</v>
      </c>
      <c r="BH51" s="80" cm="1">
        <f t="array" aca="1" ref="BH51" ca="1">IF(BG51="G",5,INDEX(OFFSET($F$21,0,0,$E$16+1,1),BE51))</f>
        <v>1</v>
      </c>
      <c r="BI51" s="80" cm="1">
        <f t="array" aca="1" ref="BI51" ca="1">IF(BF51=0,0,IF(BG51="G",-1,INDEX(auto_DataFlat_Classification,BF51,$E$11)))</f>
        <v>3</v>
      </c>
      <c r="BJ51" s="301" t="str" cm="1">
        <f t="array" aca="1" ref="BJ51" ca="1">IF(BI51&lt;0,"",INDEX(uxbGlobals!$B$133:$B$139,BI51))</f>
        <v xml:space="preserve"> </v>
      </c>
      <c r="BK51" s="80"/>
      <c r="BL51" s="302" t="str" cm="1">
        <f t="array" aca="1" ref="BL51" ca="1">IF(BH51=0,"",IF(BG51="G","--",INDEX(auto_DataFlat_Rank,BF51,$E$11)))</f>
        <v>30</v>
      </c>
      <c r="BM51" s="122" t="str" cm="1">
        <f t="array" aca="1" ref="BM51" ca="1">IF(BH51=0,"",IF(BG51="G","AVERAGE",INDEX(auto_ddCountry,BG51)))</f>
        <v>São Paulo</v>
      </c>
      <c r="BN51" s="290" cm="1">
        <f t="array" aca="1" ref="BN51" ca="1">IF(BH51=0,"",INDEX(auto_DataFlat_Score,BF51,$E$11))</f>
        <v>52.1</v>
      </c>
      <c r="BO51" s="4"/>
      <c r="BP51" s="49">
        <f t="shared" si="39"/>
        <v>47</v>
      </c>
      <c r="BQ51" s="49" cm="1">
        <f t="array" ref="BQ51">IF($F51=0,0,INDEX(sys_DataFlat_LU_Grid,BP51,$E51))</f>
        <v>2790</v>
      </c>
      <c r="BR51" s="49" cm="1">
        <f t="array" ref="BR51">IF($F51=0,-1000,CHOOSE($E$14,INDEX(auto_DataFlat_Score,BQ51,$E$11),-INDEX(auto_DataFlat_Score,BQ51,$E$11),-$D51))</f>
        <v>77.599999999999994</v>
      </c>
      <c r="BS51" s="91">
        <f ca="1">RANK(BR51,OFFSET(BR$21,0,0,$E$16+1,1))+COUNTIF(BR$21:BR51,BR51)-1</f>
        <v>20</v>
      </c>
      <c r="BT51" s="91">
        <f t="shared" ca="1" si="52"/>
        <v>45</v>
      </c>
      <c r="BU51" s="91" cm="1">
        <f t="array" aca="1" ref="BU51" ca="1">INDEX(OFFSET(BQ$21,0,0,$E$16+1,1),BT51)</f>
        <v>2804</v>
      </c>
      <c r="BV51" s="49" cm="1">
        <f t="array" aca="1" ref="BV51" ca="1">INDEX(OFFSET($E$21,0,0,$E$16+1,1),BT51)</f>
        <v>44</v>
      </c>
      <c r="BW51" s="80" cm="1">
        <f t="array" aca="1" ref="BW51" ca="1">IF(BV51="G",5,INDEX(OFFSET($F$21,0,0,$E$16+1,1),BT51))</f>
        <v>1</v>
      </c>
      <c r="BX51" s="80" cm="1">
        <f t="array" aca="1" ref="BX51" ca="1">IF(BU51=0,0,IF(BV51="G",-1,INDEX(auto_DataFlat_Classification,BU51,$E$11)))</f>
        <v>3</v>
      </c>
      <c r="BY51" s="301" t="str" cm="1">
        <f t="array" aca="1" ref="BY51" ca="1">IF(BX51&lt;0,"",INDEX(uxbGlobals!$B$133:$B$139,BX51))</f>
        <v xml:space="preserve"> </v>
      </c>
      <c r="BZ51" s="80"/>
      <c r="CA51" s="302" t="str" cm="1">
        <f t="array" aca="1" ref="CA51" ca="1">IF(BW51=0,"",IF(BV51="G","--",INDEX(auto_DataFlat_Rank,BU51,$E$11)))</f>
        <v>30</v>
      </c>
      <c r="CB51" s="122" t="str" cm="1">
        <f t="array" aca="1" ref="CB51" ca="1">IF(BW51=0,"",IF(BV51="G","AVERAGE",INDEX(auto_ddCountry,BV51)))</f>
        <v>Singapore</v>
      </c>
      <c r="CC51" s="290" cm="1">
        <f t="array" aca="1" ref="CC51" ca="1">IF(BW51=0,"",INDEX(auto_DataFlat_Score,BU51,$E$11))</f>
        <v>53.9</v>
      </c>
      <c r="CD51" s="4"/>
      <c r="CE51" s="49">
        <f t="shared" si="41"/>
        <v>52</v>
      </c>
      <c r="CF51" s="49" cm="1">
        <f t="array" ref="CF51">IF($F51=0,0,INDEX(sys_DataFlat_LU_Grid,CE51,$E51))</f>
        <v>3090</v>
      </c>
      <c r="CG51" s="49" cm="1">
        <f t="array" ref="CG51">IF($F51=0,-1000,CHOOSE($E$14,INDEX(auto_DataFlat_Score,CF51,$E$11),-INDEX(auto_DataFlat_Score,CF51,$E$11),-$D51))</f>
        <v>63.9</v>
      </c>
      <c r="CH51" s="91">
        <f ca="1">RANK(CG51,OFFSET(CG$21,0,0,$E$16+1,1))+COUNTIF(CG$21:CG51,CG51)-1</f>
        <v>37</v>
      </c>
      <c r="CI51" s="91">
        <f t="shared" ca="1" si="53"/>
        <v>4</v>
      </c>
      <c r="CJ51" s="91" cm="1">
        <f t="array" aca="1" ref="CJ51" ca="1">INDEX(OFFSET(CF$21,0,0,$E$16+1,1),CI51)</f>
        <v>3063</v>
      </c>
      <c r="CK51" s="49" cm="1">
        <f t="array" aca="1" ref="CK51" ca="1">INDEX(OFFSET($E$21,0,0,$E$16+1,1),CI51)</f>
        <v>3</v>
      </c>
      <c r="CL51" s="80" cm="1">
        <f t="array" aca="1" ref="CL51" ca="1">IF(CK51="G",5,INDEX(OFFSET($F$21,0,0,$E$16+1,1),CI51))</f>
        <v>1</v>
      </c>
      <c r="CM51" s="80" cm="1">
        <f t="array" aca="1" ref="CM51" ca="1">IF(CJ51=0,0,IF(CK51="G",-1,INDEX(auto_DataFlat_Classification,CJ51,$E$11)))</f>
        <v>4</v>
      </c>
      <c r="CN51" s="301" t="str" cm="1">
        <f t="array" aca="1" ref="CN51" ca="1">IF(CM51&lt;0,"",INDEX(uxbGlobals!$B$133:$B$139,CM51))</f>
        <v xml:space="preserve"> </v>
      </c>
      <c r="CO51" s="80"/>
      <c r="CP51" s="302" t="str" cm="1">
        <f t="array" aca="1" ref="CP51" ca="1">IF(CL51=0,"",IF(CK51="G","--",INDEX(auto_DataFlat_Rank,CJ51,$E$11)))</f>
        <v>=30</v>
      </c>
      <c r="CQ51" s="122" t="str" cm="1">
        <f t="array" aca="1" ref="CQ51" ca="1">IF(CL51=0,"",IF(CK51="G","AVERAGE",INDEX(auto_ddCountry,CK51)))</f>
        <v>Atlanta</v>
      </c>
      <c r="CR51" s="290" cm="1">
        <f t="array" aca="1" ref="CR51" ca="1">IF(CL51=0,"",INDEX(auto_DataFlat_Score,CJ51,$E$11))</f>
        <v>68.5</v>
      </c>
      <c r="CS51" s="4"/>
      <c r="CT51" s="49">
        <f t="shared" si="43"/>
        <v>-1</v>
      </c>
      <c r="CU51" s="49" t="e" cm="1">
        <f t="array" ref="CU51">IF($F51=0,0,INDEX(sys_DataFlat_LU_Grid,CT51,$E51))</f>
        <v>#VALUE!</v>
      </c>
      <c r="CV51" s="49" t="e" cm="1">
        <f t="array" ref="CV51">IF($F51=0,-1000,CHOOSE($E$14,INDEX(auto_DataFlat_Score,CU51,$E$11),-INDEX(auto_DataFlat_Score,CU51,$E$11),-$D51))</f>
        <v>#VALUE!</v>
      </c>
      <c r="CW51" s="91" t="e">
        <f ca="1">RANK(CV51,OFFSET(CV$21,0,0,$E$16+1,1))+COUNTIF(CV$21:CV51,CV51)-1</f>
        <v>#VALUE!</v>
      </c>
      <c r="CX51" s="91" t="e">
        <f t="shared" ca="1" si="47"/>
        <v>#N/A</v>
      </c>
      <c r="CY51" s="91" t="e" cm="1">
        <f t="array" aca="1" ref="CY51" ca="1">INDEX(OFFSET(CU$21,0,0,$E$16+1,1),CX51)</f>
        <v>#N/A</v>
      </c>
      <c r="CZ51" s="49" t="e" cm="1">
        <f t="array" aca="1" ref="CZ51" ca="1">INDEX(OFFSET($E$21,0,0,$E$16+1,1),CX51)</f>
        <v>#N/A</v>
      </c>
      <c r="DA51" s="80" t="e" cm="1">
        <f t="array" aca="1" ref="DA51" ca="1">IF(CZ51="G",5,INDEX(OFFSET($F$21,0,0,$E$16+1,1),CX51))</f>
        <v>#N/A</v>
      </c>
      <c r="DB51" s="80" t="e" cm="1">
        <f t="array" aca="1" ref="DB51" ca="1">IF(CY51=0,0,IF(CZ51="G",-1,INDEX(auto_DataFlat_Classification,CY51,$E$11)))</f>
        <v>#N/A</v>
      </c>
      <c r="DC51" s="301" t="e" cm="1">
        <f t="array" aca="1" ref="DC51" ca="1">IF(DB51&lt;0,"",INDEX(uxbGlobals!$B$133:$B$139,DB51))</f>
        <v>#N/A</v>
      </c>
      <c r="DD51" s="80"/>
      <c r="DE51" s="302" t="e" cm="1">
        <f t="array" aca="1" ref="DE51" ca="1">IF(DA51=0,"",IF(CZ51="G","--",INDEX(auto_DataFlat_Rank,CY51,$E$11)))</f>
        <v>#N/A</v>
      </c>
      <c r="DF51" s="122" t="e" cm="1">
        <f t="array" aca="1" ref="DF51" ca="1">IF(DA51=0,"",IF(CZ51="G","AVERAGE",INDEX(auto_ddCountry,CZ51)))</f>
        <v>#N/A</v>
      </c>
      <c r="DG51" s="290" t="e" cm="1">
        <f t="array" aca="1" ref="DG51" ca="1">IF(DA51=0,"",INDEX(auto_DataFlat_Score,CY51,$E$11))</f>
        <v>#N/A</v>
      </c>
      <c r="DH51" s="4"/>
      <c r="DI51" s="49">
        <f t="shared" si="44"/>
        <v>-1</v>
      </c>
      <c r="DJ51" s="49" t="e" cm="1">
        <f t="array" ref="DJ51">IF($F51=0,0,INDEX(sys_DataFlat_LU_Grid,DI51,$E51))</f>
        <v>#VALUE!</v>
      </c>
      <c r="DK51" s="49" t="e" cm="1">
        <f t="array" ref="DK51">IF($F51=0,-1000,CHOOSE($E$14,INDEX(auto_DataFlat_Score,DJ51,$E$11),-INDEX(auto_DataFlat_Score,DJ51,$E$11),-$D51))</f>
        <v>#VALUE!</v>
      </c>
      <c r="DL51" s="91" t="e">
        <f ca="1">RANK(DK51,OFFSET(DK$21,0,0,$E$16+1,1))+COUNTIF(DK$21:DK51,DK51)-1</f>
        <v>#VALUE!</v>
      </c>
      <c r="DM51" s="91" t="e">
        <f t="shared" ca="1" si="28"/>
        <v>#N/A</v>
      </c>
      <c r="DN51" s="91" t="e" cm="1">
        <f t="array" aca="1" ref="DN51" ca="1">INDEX(OFFSET(DJ$21,0,0,$E$16+1,1),DM51)</f>
        <v>#N/A</v>
      </c>
      <c r="DO51" s="49" t="e" cm="1">
        <f t="array" aca="1" ref="DO51" ca="1">INDEX(OFFSET($E$21,0,0,$E$16+1,1),DM51)</f>
        <v>#N/A</v>
      </c>
      <c r="DP51" s="80" t="e" cm="1">
        <f t="array" aca="1" ref="DP51" ca="1">IF(DO51="G",5,INDEX(OFFSET($F$21,0,0,$E$16+1,1),DM51))</f>
        <v>#N/A</v>
      </c>
      <c r="DQ51" s="80" t="e" cm="1">
        <f t="array" aca="1" ref="DQ51" ca="1">IF(DN51=0,0,IF(DO51="G",-1,INDEX(auto_DataFlat_Classification,DN51,$E$11)))</f>
        <v>#N/A</v>
      </c>
      <c r="DR51" s="301" t="e" cm="1">
        <f t="array" aca="1" ref="DR51" ca="1">IF(DQ51&lt;0,"",INDEX(uxbGlobals!$B$133:$B$139,DQ51))</f>
        <v>#N/A</v>
      </c>
      <c r="DS51" s="80"/>
      <c r="DT51" s="302" t="e" cm="1">
        <f t="array" aca="1" ref="DT51" ca="1">IF(DP51=0,"",IF(DO51="G","--",INDEX(auto_DataFlat_Rank,DN51,$E$11)))</f>
        <v>#N/A</v>
      </c>
      <c r="DU51" s="122" t="e" cm="1">
        <f t="array" aca="1" ref="DU51" ca="1">IF(DP51=0,"",IF(DO51="G","AVERAGE",INDEX(auto_ddCountry,DO51)))</f>
        <v>#N/A</v>
      </c>
      <c r="DV51" s="290" t="e" cm="1">
        <f t="array" aca="1" ref="DV51" ca="1">IF(DP51=0,"",INDEX(auto_DataFlat_Score,DN51,$E$11))</f>
        <v>#N/A</v>
      </c>
      <c r="DW51" s="4"/>
      <c r="DX51" s="49">
        <f t="shared" si="45"/>
        <v>-1</v>
      </c>
      <c r="DY51" s="49" t="e" cm="1">
        <f t="array" ref="DY51">IF($F51=0,0,INDEX(sys_DataFlat_LU_Grid,DX51,$E51))</f>
        <v>#VALUE!</v>
      </c>
      <c r="DZ51" s="49" t="e" cm="1">
        <f t="array" ref="DZ51">IF($F51=0,-1000,CHOOSE($E$14,INDEX(auto_DataFlat_Score,DY51,$E$11),-INDEX(auto_DataFlat_Score,DY51,$E$11),-$D51))</f>
        <v>#VALUE!</v>
      </c>
      <c r="EA51" s="91" t="e">
        <f ca="1">RANK(DZ51,OFFSET(DZ$21,0,0,$E$16+1,1))+COUNTIF(DZ$21:DZ51,DZ51)-1</f>
        <v>#VALUE!</v>
      </c>
      <c r="EB51" s="91" t="e">
        <f t="shared" ca="1" si="29"/>
        <v>#N/A</v>
      </c>
      <c r="EC51" s="91" t="e" cm="1">
        <f t="array" aca="1" ref="EC51" ca="1">INDEX(OFFSET(DY$21,0,0,$E$16+1,1),EB51)</f>
        <v>#N/A</v>
      </c>
      <c r="ED51" s="49" t="e" cm="1">
        <f t="array" aca="1" ref="ED51" ca="1">INDEX(OFFSET($E$21,0,0,$E$16+1,1),EB51)</f>
        <v>#N/A</v>
      </c>
      <c r="EE51" s="80" t="e" cm="1">
        <f t="array" aca="1" ref="EE51" ca="1">IF(ED51="G",5,INDEX(OFFSET($F$21,0,0,$E$16+1,1),EB51))</f>
        <v>#N/A</v>
      </c>
      <c r="EF51" s="80" t="e" cm="1">
        <f t="array" aca="1" ref="EF51" ca="1">IF(EC51=0,0,IF(ED51="G",-1,INDEX(auto_DataFlat_Classification,EC51,$E$11)))</f>
        <v>#N/A</v>
      </c>
      <c r="EG51" s="301" t="e" cm="1">
        <f t="array" aca="1" ref="EG51" ca="1">IF(EF51&lt;0,"",INDEX(uxbGlobals!$B$133:$B$139,EF51))</f>
        <v>#N/A</v>
      </c>
      <c r="EH51" s="80"/>
      <c r="EI51" s="302" t="e" cm="1">
        <f t="array" aca="1" ref="EI51" ca="1">IF(EE51=0,"",IF(ED51="G","--",INDEX(auto_DataFlat_Rank,EC51,$E$11)))</f>
        <v>#N/A</v>
      </c>
      <c r="EJ51" s="122" t="e" cm="1">
        <f t="array" aca="1" ref="EJ51" ca="1">IF(EE51=0,"",IF(ED51="G","AVERAGE",INDEX(auto_ddCountry,ED51)))</f>
        <v>#N/A</v>
      </c>
      <c r="EK51" s="290" t="e" cm="1">
        <f t="array" aca="1" ref="EK51" ca="1">IF(EE51=0,"",INDEX(auto_DataFlat_Score,EC51,$E$11))</f>
        <v>#N/A</v>
      </c>
      <c r="EL51" s="4"/>
      <c r="EM51" s="49">
        <f t="shared" si="46"/>
        <v>-1</v>
      </c>
      <c r="EN51" s="49" t="e" cm="1">
        <f t="array" ref="EN51">IF($F51=0,0,INDEX(sys_DataFlat_LU_Grid,EM51,$E51))</f>
        <v>#VALUE!</v>
      </c>
      <c r="EO51" s="49" t="e" cm="1">
        <f t="array" ref="EO51">IF($F51=0,-1000,CHOOSE($E$14,INDEX(auto_DataFlat_Score,EN51,$E$11),-INDEX(auto_DataFlat_Score,EN51,$E$11),-$D51))</f>
        <v>#VALUE!</v>
      </c>
      <c r="EP51" s="91" t="e">
        <f ca="1">RANK(EO51,OFFSET(EO$21,0,0,$E$16+1,1))+COUNTIF(EO$21:EO51,EO51)-1</f>
        <v>#VALUE!</v>
      </c>
      <c r="EQ51" s="91" t="e">
        <f t="shared" ca="1" si="30"/>
        <v>#N/A</v>
      </c>
      <c r="ER51" s="91" t="e" cm="1">
        <f t="array" aca="1" ref="ER51" ca="1">INDEX(OFFSET(EN$21,0,0,$E$16+1,1),EQ51)</f>
        <v>#N/A</v>
      </c>
      <c r="ES51" s="49" t="e" cm="1">
        <f t="array" aca="1" ref="ES51" ca="1">INDEX(OFFSET($E$21,0,0,$E$16+1,1),EQ51)</f>
        <v>#N/A</v>
      </c>
      <c r="ET51" s="80" t="e" cm="1">
        <f t="array" aca="1" ref="ET51" ca="1">IF(ES51="G",5,INDEX(OFFSET($F$21,0,0,$E$16+1,1),EQ51))</f>
        <v>#N/A</v>
      </c>
      <c r="EU51" s="80" t="e" cm="1">
        <f t="array" aca="1" ref="EU51" ca="1">IF(ER51=0,0,IF(ES51="G",-1,INDEX(auto_DataFlat_Classification,ER51,$E$11)))</f>
        <v>#N/A</v>
      </c>
      <c r="EV51" s="301" t="e" cm="1">
        <f t="array" aca="1" ref="EV51" ca="1">IF(EU51&lt;0,"",INDEX(uxbGlobals!$B$133:$B$139,EU51))</f>
        <v>#N/A</v>
      </c>
      <c r="EW51" s="80"/>
      <c r="EX51" s="302" t="e" cm="1">
        <f t="array" aca="1" ref="EX51" ca="1">IF(ET51=0,"",IF(ES51="G","--",INDEX(auto_DataFlat_Rank,ER51,$E$11)))</f>
        <v>#N/A</v>
      </c>
      <c r="EY51" s="122" t="e" cm="1">
        <f t="array" aca="1" ref="EY51" ca="1">IF(ET51=0,"",IF(ES51="G","AVERAGE",INDEX(auto_ddCountry,ES51)))</f>
        <v>#N/A</v>
      </c>
      <c r="EZ51" s="290" t="e" cm="1">
        <f t="array" aca="1" ref="EZ51" ca="1">IF(ET51=0,"",INDEX(auto_DataFlat_Score,ER51,$E$11))</f>
        <v>#N/A</v>
      </c>
    </row>
    <row r="52" spans="1:156" ht="17.149999999999999" customHeight="1" x14ac:dyDescent="0.4">
      <c r="A52" s="4"/>
      <c r="B52" s="4"/>
      <c r="C52" s="4"/>
      <c r="D52" s="26">
        <v>32</v>
      </c>
      <c r="E52" s="49">
        <f>tblCountries!M33</f>
        <v>31</v>
      </c>
      <c r="F52" s="114" cm="1">
        <f t="array" ref="F52">IF(E52=0,0,INDEX(auto_Country_Status,E52))</f>
        <v>1</v>
      </c>
      <c r="G52" s="4"/>
      <c r="H52" s="49">
        <f t="shared" si="31"/>
        <v>1</v>
      </c>
      <c r="I52" s="49" cm="1">
        <f t="array" ref="I52">IF($F52=0,0,INDEX(sys_DataFlat_LU_Grid,H52,$E52))</f>
        <v>31</v>
      </c>
      <c r="J52" s="49" cm="1">
        <f t="array" ref="J52">IF($F52=0,-1000,CHOOSE($E$14,INDEX(auto_DataFlat_Score,I52,$E$11),-INDEX(auto_DataFlat_Score,I52,$E$11),-$D52))</f>
        <v>65.900000000000006</v>
      </c>
      <c r="K52" s="91">
        <f ca="1">RANK(J52,OFFSET(J$21,0,0,$E$16+1,1))+COUNTIF(J$21:J52,J52)-1</f>
        <v>23</v>
      </c>
      <c r="L52" s="91">
        <f t="shared" ca="1" si="48"/>
        <v>19</v>
      </c>
      <c r="M52" s="91" cm="1">
        <f t="array" aca="1" ref="M52" ca="1">INDEX(OFFSET(I$21,0,0,$E$16+1,1),L52)</f>
        <v>18</v>
      </c>
      <c r="N52" s="49" cm="1">
        <f t="array" aca="1" ref="N52" ca="1">INDEX(OFFSET($E$21,0,0,$E$16+1,1),L52)</f>
        <v>18</v>
      </c>
      <c r="O52" s="80" cm="1">
        <f t="array" aca="1" ref="O52" ca="1">IF(N52="G",5,INDEX(OFFSET($F$21,0,0,$E$16+1,1),L52))</f>
        <v>1</v>
      </c>
      <c r="P52" s="80" cm="1">
        <f t="array" aca="1" ref="P52" ca="1">IF(M52=0,0,IF(N52="G",-1,INDEX(auto_DataFlat_Classification,M52,$E$11)))</f>
        <v>4</v>
      </c>
      <c r="Q52" s="301" t="str" cm="1">
        <f t="array" aca="1" ref="Q52" ca="1">IF(P52&lt;0,"",INDEX(uxbGlobals!$B$133:$B$139,P52))</f>
        <v xml:space="preserve"> </v>
      </c>
      <c r="R52" s="80"/>
      <c r="S52" s="302" t="str" cm="1">
        <f t="array" aca="1" ref="S52" ca="1">IF(O52=0,"",IF(N52="G","--",INDEX(auto_DataFlat_Rank,M52,$E$11)))</f>
        <v>31</v>
      </c>
      <c r="T52" s="122" t="str" cm="1">
        <f t="array" aca="1" ref="T52" ca="1">IF(O52=0,"",IF(N52="G"," AVERAGE",INDEX(auto_ddCountry,N52)))</f>
        <v>Istanbul</v>
      </c>
      <c r="U52" s="290" cm="1">
        <f t="array" aca="1" ref="U52" ca="1">IF(O52=0,"",INDEX(auto_DataFlat_Score,M52,$E$11))</f>
        <v>60.4</v>
      </c>
      <c r="V52" s="4"/>
      <c r="W52" s="49">
        <f t="shared" si="33"/>
        <v>2</v>
      </c>
      <c r="X52" s="49" cm="1">
        <f t="array" ref="X52">IF($F52=0,0,INDEX(sys_DataFlat_LU_Grid,W52,$E52))</f>
        <v>91</v>
      </c>
      <c r="Y52" s="49" cm="1">
        <f t="array" ref="Y52">IF($F52=0,-1000,CHOOSE($E$14,INDEX(auto_DataFlat_Score,X52,$E$11),-INDEX(auto_DataFlat_Score,X52,$E$11),-$D52))</f>
        <v>75.7</v>
      </c>
      <c r="Z52" s="91">
        <f ca="1">RANK(Y52,OFFSET(Y$21,0,0,$E$16+1,1))+COUNTIF(Y$21:Y52,Y52)-1</f>
        <v>26</v>
      </c>
      <c r="AA52" s="91">
        <f t="shared" ca="1" si="49"/>
        <v>9</v>
      </c>
      <c r="AB52" s="91" cm="1">
        <f t="array" aca="1" ref="AB52" ca="1">INDEX(OFFSET(X$21,0,0,$E$16+1,1),AA52)</f>
        <v>68</v>
      </c>
      <c r="AC52" s="49" cm="1">
        <f t="array" aca="1" ref="AC52" ca="1">INDEX(OFFSET($E$21,0,0,$E$16+1,1),AA52)</f>
        <v>8</v>
      </c>
      <c r="AD52" s="80" cm="1">
        <f t="array" aca="1" ref="AD52" ca="1">IF(AC52="G",5,INDEX(OFFSET($F$21,0,0,$E$16+1,1),AA52))</f>
        <v>1</v>
      </c>
      <c r="AE52" s="80" cm="1">
        <f t="array" aca="1" ref="AE52" ca="1">IF(AB52=0,0,IF(AC52="G",-1,INDEX(auto_DataFlat_Classification,AB52,$E$11)))</f>
        <v>4</v>
      </c>
      <c r="AF52" s="301" t="str" cm="1">
        <f t="array" aca="1" ref="AF52" ca="1">IF(AE52&lt;0,"",INDEX(uxbGlobals!$B$133:$B$139,AE52))</f>
        <v xml:space="preserve"> </v>
      </c>
      <c r="AG52" s="80"/>
      <c r="AH52" s="302" t="str" cm="1">
        <f t="array" aca="1" ref="AH52" ca="1">IF(AD52=0,"",IF(AC52="G","--",INDEX(auto_DataFlat_Rank,AB52,$E$11)))</f>
        <v>31</v>
      </c>
      <c r="AI52" s="122" t="str" cm="1">
        <f t="array" aca="1" ref="AI52" ca="1">IF(AD52=0,"",IF(AC52="G","AVERAGE",INDEX(auto_ddCountry,AC52)))</f>
        <v>Bogotá</v>
      </c>
      <c r="AJ52" s="290" cm="1">
        <f t="array" aca="1" ref="AJ52" ca="1">IF(AD52=0,"",INDEX(auto_DataFlat_Score,AB52,$E$11))</f>
        <v>68.900000000000006</v>
      </c>
      <c r="AK52" s="4"/>
      <c r="AL52" s="49">
        <f t="shared" si="35"/>
        <v>14</v>
      </c>
      <c r="AM52" s="49" cm="1">
        <f t="array" ref="AM52">IF($F52=0,0,INDEX(sys_DataFlat_LU_Grid,AL52,$E52))</f>
        <v>811</v>
      </c>
      <c r="AN52" s="49" cm="1">
        <f t="array" ref="AN52">IF($F52=0,-1000,CHOOSE($E$14,INDEX(auto_DataFlat_Score,AM52,$E$11),-INDEX(auto_DataFlat_Score,AM52,$E$11),-$D52))</f>
        <v>65.3</v>
      </c>
      <c r="AO52" s="91">
        <f ca="1">RANK(AN52,OFFSET(AN$21,0,0,$E$16+1,1))+COUNTIF(AN$21:AN52,AN52)-1</f>
        <v>13</v>
      </c>
      <c r="AP52" s="91">
        <f t="shared" ca="1" si="50"/>
        <v>50</v>
      </c>
      <c r="AQ52" s="91" cm="1">
        <f t="array" aca="1" ref="AQ52" ca="1">INDEX(OFFSET(AM$21,0,0,$E$16+1,1),AP52)</f>
        <v>829</v>
      </c>
      <c r="AR52" s="49" cm="1">
        <f t="array" aca="1" ref="AR52" ca="1">INDEX(OFFSET($E$21,0,0,$E$16+1,1),AP52)</f>
        <v>49</v>
      </c>
      <c r="AS52" s="80" cm="1">
        <f t="array" aca="1" ref="AS52" ca="1">IF(AR52="G",5,INDEX(OFFSET($F$21,0,0,$E$16+1,1),AP52))</f>
        <v>1</v>
      </c>
      <c r="AT52" s="80" cm="1">
        <f t="array" aca="1" ref="AT52" ca="1">IF(AQ52=0,0,IF(AR52="G",-1,INDEX(auto_DataFlat_Classification,AQ52,$E$11)))</f>
        <v>3</v>
      </c>
      <c r="AU52" s="301" t="str" cm="1">
        <f t="array" aca="1" ref="AU52" ca="1">IF(AT52&lt;0,"",INDEX(uxbGlobals!$B$133:$B$139,AT52))</f>
        <v xml:space="preserve"> </v>
      </c>
      <c r="AV52" s="80"/>
      <c r="AW52" s="302" t="str" cm="1">
        <f t="array" aca="1" ref="AW52" ca="1">IF(AS52=0,"",IF(AR52="G","--",INDEX(auto_DataFlat_Rank,AQ52,$E$11)))</f>
        <v>31</v>
      </c>
      <c r="AX52" s="122" t="str" cm="1">
        <f t="array" aca="1" ref="AX52" ca="1">IF(AS52=0,"",IF(AR52="G","AVERAGE",INDEX(auto_ddCountry,AR52)))</f>
        <v>Wuhan</v>
      </c>
      <c r="AY52" s="290" cm="1">
        <f t="array" aca="1" ref="AY52" ca="1">IF(AS52=0,"",INDEX(auto_DataFlat_Score,AQ52,$E$11))</f>
        <v>43.6</v>
      </c>
      <c r="AZ52" s="4"/>
      <c r="BA52" s="49">
        <f t="shared" si="37"/>
        <v>22</v>
      </c>
      <c r="BB52" s="49" cm="1">
        <f t="array" ref="BB52">IF($F52=0,0,INDEX(sys_DataFlat_LU_Grid,BA52,$E52))</f>
        <v>1291</v>
      </c>
      <c r="BC52" s="49" cm="1">
        <f t="array" ref="BC52">IF($F52=0,-1000,CHOOSE($E$14,INDEX(auto_DataFlat_Score,BB52,$E$11),-INDEX(auto_DataFlat_Score,BB52,$E$11),-$D52))</f>
        <v>54.7</v>
      </c>
      <c r="BD52" s="91">
        <f ca="1">RANK(BC52,OFFSET(BC$21,0,0,$E$16+1,1))+COUNTIF(BC$21:BC52,BC52)-1</f>
        <v>29</v>
      </c>
      <c r="BE52" s="91">
        <f t="shared" ca="1" si="51"/>
        <v>26</v>
      </c>
      <c r="BF52" s="91" cm="1">
        <f t="array" aca="1" ref="BF52" ca="1">INDEX(OFFSET(BB$21,0,0,$E$16+1,1),BE52)</f>
        <v>1285</v>
      </c>
      <c r="BG52" s="49" cm="1">
        <f t="array" aca="1" ref="BG52" ca="1">INDEX(OFFSET($E$21,0,0,$E$16+1,1),BE52)</f>
        <v>25</v>
      </c>
      <c r="BH52" s="80" cm="1">
        <f t="array" aca="1" ref="BH52" ca="1">IF(BG52="G",5,INDEX(OFFSET($F$21,0,0,$E$16+1,1),BE52))</f>
        <v>1</v>
      </c>
      <c r="BI52" s="80" cm="1">
        <f t="array" aca="1" ref="BI52" ca="1">IF(BF52=0,0,IF(BG52="G",-1,INDEX(auto_DataFlat_Classification,BF52,$E$11)))</f>
        <v>3</v>
      </c>
      <c r="BJ52" s="301" t="str" cm="1">
        <f t="array" aca="1" ref="BJ52" ca="1">IF(BI52&lt;0,"",INDEX(uxbGlobals!$B$133:$B$139,BI52))</f>
        <v xml:space="preserve"> </v>
      </c>
      <c r="BK52" s="80"/>
      <c r="BL52" s="302" t="str" cm="1">
        <f t="array" aca="1" ref="BL52" ca="1">IF(BH52=0,"",IF(BG52="G","--",INDEX(auto_DataFlat_Rank,BF52,$E$11)))</f>
        <v>31</v>
      </c>
      <c r="BM52" s="122" t="str" cm="1">
        <f t="array" aca="1" ref="BM52" ca="1">IF(BH52=0,"",IF(BG52="G","AVERAGE",INDEX(auto_ddCountry,BG52)))</f>
        <v>Lagos</v>
      </c>
      <c r="BN52" s="290" cm="1">
        <f t="array" aca="1" ref="BN52" ca="1">IF(BH52=0,"",INDEX(auto_DataFlat_Score,BF52,$E$11))</f>
        <v>48.4</v>
      </c>
      <c r="BO52" s="4"/>
      <c r="BP52" s="49">
        <f t="shared" si="39"/>
        <v>47</v>
      </c>
      <c r="BQ52" s="49" cm="1">
        <f t="array" ref="BQ52">IF($F52=0,0,INDEX(sys_DataFlat_LU_Grid,BP52,$E52))</f>
        <v>2791</v>
      </c>
      <c r="BR52" s="49" cm="1">
        <f t="array" ref="BR52">IF($F52=0,-1000,CHOOSE($E$14,INDEX(auto_DataFlat_Score,BQ52,$E$11),-INDEX(auto_DataFlat_Score,BQ52,$E$11),-$D52))</f>
        <v>58.3</v>
      </c>
      <c r="BS52" s="91">
        <f ca="1">RANK(BR52,OFFSET(BR$21,0,0,$E$16+1,1))+COUNTIF(BR$21:BR52,BR52)-1</f>
        <v>30</v>
      </c>
      <c r="BT52" s="91">
        <f t="shared" ca="1" si="52"/>
        <v>3</v>
      </c>
      <c r="BU52" s="91" cm="1">
        <f t="array" aca="1" ref="BU52" ca="1">INDEX(OFFSET(BQ$21,0,0,$E$16+1,1),BT52)</f>
        <v>2762</v>
      </c>
      <c r="BV52" s="49" cm="1">
        <f t="array" aca="1" ref="BV52" ca="1">INDEX(OFFSET($E$21,0,0,$E$16+1,1),BT52)</f>
        <v>2</v>
      </c>
      <c r="BW52" s="80" cm="1">
        <f t="array" aca="1" ref="BW52" ca="1">IF(BV52="G",5,INDEX(OFFSET($F$21,0,0,$E$16+1,1),BT52))</f>
        <v>1</v>
      </c>
      <c r="BX52" s="80" cm="1">
        <f t="array" aca="1" ref="BX52" ca="1">IF(BU52=0,0,IF(BV52="G",-1,INDEX(auto_DataFlat_Classification,BU52,$E$11)))</f>
        <v>3</v>
      </c>
      <c r="BY52" s="301" t="str" cm="1">
        <f t="array" aca="1" ref="BY52" ca="1">IF(BX52&lt;0,"",INDEX(uxbGlobals!$B$133:$B$139,BX52))</f>
        <v xml:space="preserve"> </v>
      </c>
      <c r="BZ52" s="80"/>
      <c r="CA52" s="302" t="str" cm="1">
        <f t="array" aca="1" ref="CA52" ca="1">IF(BW52=0,"",IF(BV52="G","--",INDEX(auto_DataFlat_Rank,BU52,$E$11)))</f>
        <v>31</v>
      </c>
      <c r="CB52" s="122" t="str" cm="1">
        <f t="array" aca="1" ref="CB52" ca="1">IF(BW52=0,"",IF(BV52="G","AVERAGE",INDEX(auto_ddCountry,BV52)))</f>
        <v>Algiers</v>
      </c>
      <c r="CC52" s="290" cm="1">
        <f t="array" aca="1" ref="CC52" ca="1">IF(BW52=0,"",INDEX(auto_DataFlat_Score,BU52,$E$11))</f>
        <v>52.5</v>
      </c>
      <c r="CD52" s="4"/>
      <c r="CE52" s="49">
        <f t="shared" si="41"/>
        <v>52</v>
      </c>
      <c r="CF52" s="49" cm="1">
        <f t="array" ref="CF52">IF($F52=0,0,INDEX(sys_DataFlat_LU_Grid,CE52,$E52))</f>
        <v>3091</v>
      </c>
      <c r="CG52" s="49" cm="1">
        <f t="array" ref="CG52">IF($F52=0,-1000,CHOOSE($E$14,INDEX(auto_DataFlat_Score,CF52,$E$11),-INDEX(auto_DataFlat_Score,CF52,$E$11),-$D52))</f>
        <v>74.099999999999994</v>
      </c>
      <c r="CH52" s="91">
        <f ca="1">RANK(CG52,OFFSET(CG$21,0,0,$E$16+1,1))+COUNTIF(CG$21:CG52,CG52)-1</f>
        <v>23</v>
      </c>
      <c r="CI52" s="91">
        <f t="shared" ca="1" si="53"/>
        <v>36</v>
      </c>
      <c r="CJ52" s="91" cm="1">
        <f t="array" aca="1" ref="CJ52" ca="1">INDEX(OFFSET(CF$21,0,0,$E$16+1,1),CI52)</f>
        <v>3095</v>
      </c>
      <c r="CK52" s="49" cm="1">
        <f t="array" aca="1" ref="CK52" ca="1">INDEX(OFFSET($E$21,0,0,$E$16+1,1),CI52)</f>
        <v>35</v>
      </c>
      <c r="CL52" s="80" cm="1">
        <f t="array" aca="1" ref="CL52" ca="1">IF(CK52="G",5,INDEX(OFFSET($F$21,0,0,$E$16+1,1),CI52))</f>
        <v>1</v>
      </c>
      <c r="CM52" s="80" cm="1">
        <f t="array" aca="1" ref="CM52" ca="1">IF(CJ52=0,0,IF(CK52="G",-1,INDEX(auto_DataFlat_Classification,CJ52,$E$11)))</f>
        <v>4</v>
      </c>
      <c r="CN52" s="301" t="str" cm="1">
        <f t="array" aca="1" ref="CN52" ca="1">IF(CM52&lt;0,"",INDEX(uxbGlobals!$B$133:$B$139,CM52))</f>
        <v xml:space="preserve"> </v>
      </c>
      <c r="CO52" s="80"/>
      <c r="CP52" s="302" t="str" cm="1">
        <f t="array" aca="1" ref="CP52" ca="1">IF(CL52=0,"",IF(CK52="G","--",INDEX(auto_DataFlat_Rank,CJ52,$E$11)))</f>
        <v>=30</v>
      </c>
      <c r="CQ52" s="122" t="str" cm="1">
        <f t="array" aca="1" ref="CQ52" ca="1">IF(CL52=0,"",IF(CK52="G","AVERAGE",INDEX(auto_ddCountry,CK52)))</f>
        <v>Osaka</v>
      </c>
      <c r="CR52" s="290" cm="1">
        <f t="array" aca="1" ref="CR52" ca="1">IF(CL52=0,"",INDEX(auto_DataFlat_Score,CJ52,$E$11))</f>
        <v>68.5</v>
      </c>
      <c r="CS52" s="4"/>
      <c r="CT52" s="49">
        <f t="shared" si="43"/>
        <v>-1</v>
      </c>
      <c r="CU52" s="49" t="e" cm="1">
        <f t="array" ref="CU52">IF($F52=0,0,INDEX(sys_DataFlat_LU_Grid,CT52,$E52))</f>
        <v>#VALUE!</v>
      </c>
      <c r="CV52" s="49" t="e" cm="1">
        <f t="array" ref="CV52">IF($F52=0,-1000,CHOOSE($E$14,INDEX(auto_DataFlat_Score,CU52,$E$11),-INDEX(auto_DataFlat_Score,CU52,$E$11),-$D52))</f>
        <v>#VALUE!</v>
      </c>
      <c r="CW52" s="91" t="e">
        <f ca="1">RANK(CV52,OFFSET(CV$21,0,0,$E$16+1,1))+COUNTIF(CV$21:CV52,CV52)-1</f>
        <v>#VALUE!</v>
      </c>
      <c r="CX52" s="91" t="e">
        <f t="shared" ca="1" si="47"/>
        <v>#N/A</v>
      </c>
      <c r="CY52" s="91" t="e" cm="1">
        <f t="array" aca="1" ref="CY52" ca="1">INDEX(OFFSET(CU$21,0,0,$E$16+1,1),CX52)</f>
        <v>#N/A</v>
      </c>
      <c r="CZ52" s="49" t="e" cm="1">
        <f t="array" aca="1" ref="CZ52" ca="1">INDEX(OFFSET($E$21,0,0,$E$16+1,1),CX52)</f>
        <v>#N/A</v>
      </c>
      <c r="DA52" s="80" t="e" cm="1">
        <f t="array" aca="1" ref="DA52" ca="1">IF(CZ52="G",5,INDEX(OFFSET($F$21,0,0,$E$16+1,1),CX52))</f>
        <v>#N/A</v>
      </c>
      <c r="DB52" s="80" t="e" cm="1">
        <f t="array" aca="1" ref="DB52" ca="1">IF(CY52=0,0,IF(CZ52="G",-1,INDEX(auto_DataFlat_Classification,CY52,$E$11)))</f>
        <v>#N/A</v>
      </c>
      <c r="DC52" s="301" t="e" cm="1">
        <f t="array" aca="1" ref="DC52" ca="1">IF(DB52&lt;0,"",INDEX(uxbGlobals!$B$133:$B$139,DB52))</f>
        <v>#N/A</v>
      </c>
      <c r="DD52" s="80"/>
      <c r="DE52" s="302" t="e" cm="1">
        <f t="array" aca="1" ref="DE52" ca="1">IF(DA52=0,"",IF(CZ52="G","--",INDEX(auto_DataFlat_Rank,CY52,$E$11)))</f>
        <v>#N/A</v>
      </c>
      <c r="DF52" s="122" t="e" cm="1">
        <f t="array" aca="1" ref="DF52" ca="1">IF(DA52=0,"",IF(CZ52="G","AVERAGE",INDEX(auto_ddCountry,CZ52)))</f>
        <v>#N/A</v>
      </c>
      <c r="DG52" s="290" t="e" cm="1">
        <f t="array" aca="1" ref="DG52" ca="1">IF(DA52=0,"",INDEX(auto_DataFlat_Score,CY52,$E$11))</f>
        <v>#N/A</v>
      </c>
      <c r="DH52" s="4"/>
      <c r="DI52" s="49">
        <f t="shared" si="44"/>
        <v>-1</v>
      </c>
      <c r="DJ52" s="49" t="e" cm="1">
        <f t="array" ref="DJ52">IF($F52=0,0,INDEX(sys_DataFlat_LU_Grid,DI52,$E52))</f>
        <v>#VALUE!</v>
      </c>
      <c r="DK52" s="49" t="e" cm="1">
        <f t="array" ref="DK52">IF($F52=0,-1000,CHOOSE($E$14,INDEX(auto_DataFlat_Score,DJ52,$E$11),-INDEX(auto_DataFlat_Score,DJ52,$E$11),-$D52))</f>
        <v>#VALUE!</v>
      </c>
      <c r="DL52" s="91" t="e">
        <f ca="1">RANK(DK52,OFFSET(DK$21,0,0,$E$16+1,1))+COUNTIF(DK$21:DK52,DK52)-1</f>
        <v>#VALUE!</v>
      </c>
      <c r="DM52" s="91" t="e">
        <f t="shared" ca="1" si="28"/>
        <v>#N/A</v>
      </c>
      <c r="DN52" s="91" t="e" cm="1">
        <f t="array" aca="1" ref="DN52" ca="1">INDEX(OFFSET(DJ$21,0,0,$E$16+1,1),DM52)</f>
        <v>#N/A</v>
      </c>
      <c r="DO52" s="49" t="e" cm="1">
        <f t="array" aca="1" ref="DO52" ca="1">INDEX(OFFSET($E$21,0,0,$E$16+1,1),DM52)</f>
        <v>#N/A</v>
      </c>
      <c r="DP52" s="80" t="e" cm="1">
        <f t="array" aca="1" ref="DP52" ca="1">IF(DO52="G",5,INDEX(OFFSET($F$21,0,0,$E$16+1,1),DM52))</f>
        <v>#N/A</v>
      </c>
      <c r="DQ52" s="80" t="e" cm="1">
        <f t="array" aca="1" ref="DQ52" ca="1">IF(DN52=0,0,IF(DO52="G",-1,INDEX(auto_DataFlat_Classification,DN52,$E$11)))</f>
        <v>#N/A</v>
      </c>
      <c r="DR52" s="301" t="e" cm="1">
        <f t="array" aca="1" ref="DR52" ca="1">IF(DQ52&lt;0,"",INDEX(uxbGlobals!$B$133:$B$139,DQ52))</f>
        <v>#N/A</v>
      </c>
      <c r="DS52" s="80"/>
      <c r="DT52" s="302" t="e" cm="1">
        <f t="array" aca="1" ref="DT52" ca="1">IF(DP52=0,"",IF(DO52="G","--",INDEX(auto_DataFlat_Rank,DN52,$E$11)))</f>
        <v>#N/A</v>
      </c>
      <c r="DU52" s="122" t="e" cm="1">
        <f t="array" aca="1" ref="DU52" ca="1">IF(DP52=0,"",IF(DO52="G","AVERAGE",INDEX(auto_ddCountry,DO52)))</f>
        <v>#N/A</v>
      </c>
      <c r="DV52" s="290" t="e" cm="1">
        <f t="array" aca="1" ref="DV52" ca="1">IF(DP52=0,"",INDEX(auto_DataFlat_Score,DN52,$E$11))</f>
        <v>#N/A</v>
      </c>
      <c r="DW52" s="4"/>
      <c r="DX52" s="49">
        <f t="shared" si="45"/>
        <v>-1</v>
      </c>
      <c r="DY52" s="49" t="e" cm="1">
        <f t="array" ref="DY52">IF($F52=0,0,INDEX(sys_DataFlat_LU_Grid,DX52,$E52))</f>
        <v>#VALUE!</v>
      </c>
      <c r="DZ52" s="49" t="e" cm="1">
        <f t="array" ref="DZ52">IF($F52=0,-1000,CHOOSE($E$14,INDEX(auto_DataFlat_Score,DY52,$E$11),-INDEX(auto_DataFlat_Score,DY52,$E$11),-$D52))</f>
        <v>#VALUE!</v>
      </c>
      <c r="EA52" s="91" t="e">
        <f ca="1">RANK(DZ52,OFFSET(DZ$21,0,0,$E$16+1,1))+COUNTIF(DZ$21:DZ52,DZ52)-1</f>
        <v>#VALUE!</v>
      </c>
      <c r="EB52" s="91" t="e">
        <f t="shared" ca="1" si="29"/>
        <v>#N/A</v>
      </c>
      <c r="EC52" s="91" t="e" cm="1">
        <f t="array" aca="1" ref="EC52" ca="1">INDEX(OFFSET(DY$21,0,0,$E$16+1,1),EB52)</f>
        <v>#N/A</v>
      </c>
      <c r="ED52" s="49" t="e" cm="1">
        <f t="array" aca="1" ref="ED52" ca="1">INDEX(OFFSET($E$21,0,0,$E$16+1,1),EB52)</f>
        <v>#N/A</v>
      </c>
      <c r="EE52" s="80" t="e" cm="1">
        <f t="array" aca="1" ref="EE52" ca="1">IF(ED52="G",5,INDEX(OFFSET($F$21,0,0,$E$16+1,1),EB52))</f>
        <v>#N/A</v>
      </c>
      <c r="EF52" s="80" t="e" cm="1">
        <f t="array" aca="1" ref="EF52" ca="1">IF(EC52=0,0,IF(ED52="G",-1,INDEX(auto_DataFlat_Classification,EC52,$E$11)))</f>
        <v>#N/A</v>
      </c>
      <c r="EG52" s="301" t="e" cm="1">
        <f t="array" aca="1" ref="EG52" ca="1">IF(EF52&lt;0,"",INDEX(uxbGlobals!$B$133:$B$139,EF52))</f>
        <v>#N/A</v>
      </c>
      <c r="EH52" s="80"/>
      <c r="EI52" s="302" t="e" cm="1">
        <f t="array" aca="1" ref="EI52" ca="1">IF(EE52=0,"",IF(ED52="G","--",INDEX(auto_DataFlat_Rank,EC52,$E$11)))</f>
        <v>#N/A</v>
      </c>
      <c r="EJ52" s="122" t="e" cm="1">
        <f t="array" aca="1" ref="EJ52" ca="1">IF(EE52=0,"",IF(ED52="G","AVERAGE",INDEX(auto_ddCountry,ED52)))</f>
        <v>#N/A</v>
      </c>
      <c r="EK52" s="290" t="e" cm="1">
        <f t="array" aca="1" ref="EK52" ca="1">IF(EE52=0,"",INDEX(auto_DataFlat_Score,EC52,$E$11))</f>
        <v>#N/A</v>
      </c>
      <c r="EL52" s="4"/>
      <c r="EM52" s="49">
        <f t="shared" si="46"/>
        <v>-1</v>
      </c>
      <c r="EN52" s="49" t="e" cm="1">
        <f t="array" ref="EN52">IF($F52=0,0,INDEX(sys_DataFlat_LU_Grid,EM52,$E52))</f>
        <v>#VALUE!</v>
      </c>
      <c r="EO52" s="49" t="e" cm="1">
        <f t="array" ref="EO52">IF($F52=0,-1000,CHOOSE($E$14,INDEX(auto_DataFlat_Score,EN52,$E$11),-INDEX(auto_DataFlat_Score,EN52,$E$11),-$D52))</f>
        <v>#VALUE!</v>
      </c>
      <c r="EP52" s="91" t="e">
        <f ca="1">RANK(EO52,OFFSET(EO$21,0,0,$E$16+1,1))+COUNTIF(EO$21:EO52,EO52)-1</f>
        <v>#VALUE!</v>
      </c>
      <c r="EQ52" s="91" t="e">
        <f t="shared" ca="1" si="30"/>
        <v>#N/A</v>
      </c>
      <c r="ER52" s="91" t="e" cm="1">
        <f t="array" aca="1" ref="ER52" ca="1">INDEX(OFFSET(EN$21,0,0,$E$16+1,1),EQ52)</f>
        <v>#N/A</v>
      </c>
      <c r="ES52" s="49" t="e" cm="1">
        <f t="array" aca="1" ref="ES52" ca="1">INDEX(OFFSET($E$21,0,0,$E$16+1,1),EQ52)</f>
        <v>#N/A</v>
      </c>
      <c r="ET52" s="80" t="e" cm="1">
        <f t="array" aca="1" ref="ET52" ca="1">IF(ES52="G",5,INDEX(OFFSET($F$21,0,0,$E$16+1,1),EQ52))</f>
        <v>#N/A</v>
      </c>
      <c r="EU52" s="80" t="e" cm="1">
        <f t="array" aca="1" ref="EU52" ca="1">IF(ER52=0,0,IF(ES52="G",-1,INDEX(auto_DataFlat_Classification,ER52,$E$11)))</f>
        <v>#N/A</v>
      </c>
      <c r="EV52" s="301" t="e" cm="1">
        <f t="array" aca="1" ref="EV52" ca="1">IF(EU52&lt;0,"",INDEX(uxbGlobals!$B$133:$B$139,EU52))</f>
        <v>#N/A</v>
      </c>
      <c r="EW52" s="80"/>
      <c r="EX52" s="302" t="e" cm="1">
        <f t="array" aca="1" ref="EX52" ca="1">IF(ET52=0,"",IF(ES52="G","--",INDEX(auto_DataFlat_Rank,ER52,$E$11)))</f>
        <v>#N/A</v>
      </c>
      <c r="EY52" s="122" t="e" cm="1">
        <f t="array" aca="1" ref="EY52" ca="1">IF(ET52=0,"",IF(ES52="G","AVERAGE",INDEX(auto_ddCountry,ES52)))</f>
        <v>#N/A</v>
      </c>
      <c r="EZ52" s="290" t="e" cm="1">
        <f t="array" aca="1" ref="EZ52" ca="1">IF(ET52=0,"",INDEX(auto_DataFlat_Score,ER52,$E$11))</f>
        <v>#N/A</v>
      </c>
    </row>
    <row r="53" spans="1:156" ht="17.149999999999999" customHeight="1" x14ac:dyDescent="0.4">
      <c r="A53" s="4"/>
      <c r="B53" s="4"/>
      <c r="C53" s="4"/>
      <c r="D53" s="26">
        <v>33</v>
      </c>
      <c r="E53" s="49">
        <f>tblCountries!M34</f>
        <v>32</v>
      </c>
      <c r="F53" s="114" cm="1">
        <f t="array" ref="F53">IF(E53=0,0,INDEX(auto_Country_Status,E53))</f>
        <v>1</v>
      </c>
      <c r="G53" s="4"/>
      <c r="H53" s="49">
        <f t="shared" si="31"/>
        <v>1</v>
      </c>
      <c r="I53" s="49" cm="1">
        <f t="array" ref="I53">IF($F53=0,0,INDEX(sys_DataFlat_LU_Grid,H53,$E53))</f>
        <v>32</v>
      </c>
      <c r="J53" s="49" cm="1">
        <f t="array" ref="J53">IF($F53=0,-1000,CHOOSE($E$14,INDEX(auto_DataFlat_Score,I53,$E$11),-INDEX(auto_DataFlat_Score,I53,$E$11),-$D53))</f>
        <v>53.2</v>
      </c>
      <c r="K53" s="91">
        <f ca="1">RANK(J53,OFFSET(J$21,0,0,$E$16+1,1))+COUNTIF(J$21:J53,J53)-1</f>
        <v>35</v>
      </c>
      <c r="L53" s="91">
        <f t="shared" ca="1" si="48"/>
        <v>50</v>
      </c>
      <c r="M53" s="91" cm="1">
        <f t="array" aca="1" ref="M53" ca="1">INDEX(OFFSET(I$21,0,0,$E$16+1,1),L53)</f>
        <v>49</v>
      </c>
      <c r="N53" s="49" cm="1">
        <f t="array" aca="1" ref="N53" ca="1">INDEX(OFFSET($E$21,0,0,$E$16+1,1),L53)</f>
        <v>49</v>
      </c>
      <c r="O53" s="80" cm="1">
        <f t="array" aca="1" ref="O53" ca="1">IF(N53="G",5,INDEX(OFFSET($F$21,0,0,$E$16+1,1),L53))</f>
        <v>1</v>
      </c>
      <c r="P53" s="80" cm="1">
        <f t="array" aca="1" ref="P53" ca="1">IF(M53=0,0,IF(N53="G",-1,INDEX(auto_DataFlat_Classification,M53,$E$11)))</f>
        <v>3</v>
      </c>
      <c r="Q53" s="301" t="str" cm="1">
        <f t="array" aca="1" ref="Q53" ca="1">IF(P53&lt;0,"",INDEX(uxbGlobals!$B$133:$B$139,P53))</f>
        <v xml:space="preserve"> </v>
      </c>
      <c r="R53" s="80"/>
      <c r="S53" s="302" t="str" cm="1">
        <f t="array" aca="1" ref="S53" ca="1">IF(O53=0,"",IF(N53="G","--",INDEX(auto_DataFlat_Rank,M53,$E$11)))</f>
        <v>32</v>
      </c>
      <c r="T53" s="122" t="str" cm="1">
        <f t="array" aca="1" ref="T53" ca="1">IF(O53=0,"",IF(N53="G"," AVERAGE",INDEX(auto_ddCountry,N53)))</f>
        <v>Wuhan</v>
      </c>
      <c r="U53" s="290" cm="1">
        <f t="array" aca="1" ref="U53" ca="1">IF(O53=0,"",INDEX(auto_DataFlat_Score,M53,$E$11))</f>
        <v>57.3</v>
      </c>
      <c r="V53" s="4"/>
      <c r="W53" s="49">
        <f t="shared" si="33"/>
        <v>2</v>
      </c>
      <c r="X53" s="49" cm="1">
        <f t="array" ref="X53">IF($F53=0,0,INDEX(sys_DataFlat_LU_Grid,W53,$E53))</f>
        <v>92</v>
      </c>
      <c r="Y53" s="49" cm="1">
        <f t="array" ref="Y53">IF($F53=0,-1000,CHOOSE($E$14,INDEX(auto_DataFlat_Score,X53,$E$11),-INDEX(auto_DataFlat_Score,X53,$E$11),-$D53))</f>
        <v>34.200000000000003</v>
      </c>
      <c r="Z53" s="91">
        <f ca="1">RANK(Y53,OFFSET(Y$21,0,0,$E$16+1,1))+COUNTIF(Y$21:Y53,Y53)-1</f>
        <v>51</v>
      </c>
      <c r="AA53" s="91">
        <f t="shared" ca="1" si="49"/>
        <v>2</v>
      </c>
      <c r="AB53" s="91" cm="1">
        <f t="array" aca="1" ref="AB53" ca="1">INDEX(OFFSET(X$21,0,0,$E$16+1,1),AA53)</f>
        <v>61</v>
      </c>
      <c r="AC53" s="49" cm="1">
        <f t="array" aca="1" ref="AC53" ca="1">INDEX(OFFSET($E$21,0,0,$E$16+1,1),AA53)</f>
        <v>1</v>
      </c>
      <c r="AD53" s="80" cm="1">
        <f t="array" aca="1" ref="AD53" ca="1">IF(AC53="G",5,INDEX(OFFSET($F$21,0,0,$E$16+1,1),AA53))</f>
        <v>1</v>
      </c>
      <c r="AE53" s="80" cm="1">
        <f t="array" aca="1" ref="AE53" ca="1">IF(AB53=0,0,IF(AC53="G",-1,INDEX(auto_DataFlat_Classification,AB53,$E$11)))</f>
        <v>4</v>
      </c>
      <c r="AF53" s="301" t="str" cm="1">
        <f t="array" aca="1" ref="AF53" ca="1">IF(AE53&lt;0,"",INDEX(uxbGlobals!$B$133:$B$139,AE53))</f>
        <v xml:space="preserve"> </v>
      </c>
      <c r="AG53" s="80"/>
      <c r="AH53" s="302" t="str" cm="1">
        <f t="array" aca="1" ref="AH53" ca="1">IF(AD53=0,"",IF(AC53="G","--",INDEX(auto_DataFlat_Rank,AB53,$E$11)))</f>
        <v>32</v>
      </c>
      <c r="AI53" s="122" t="str" cm="1">
        <f t="array" aca="1" ref="AI53" ca="1">IF(AD53=0,"",IF(AC53="G","AVERAGE",INDEX(auto_ddCountry,AC53)))</f>
        <v>Addis Ababa</v>
      </c>
      <c r="AJ53" s="290" cm="1">
        <f t="array" aca="1" ref="AJ53" ca="1">IF(AD53=0,"",INDEX(auto_DataFlat_Score,AB53,$E$11))</f>
        <v>65.900000000000006</v>
      </c>
      <c r="AK53" s="4"/>
      <c r="AL53" s="49">
        <f t="shared" si="35"/>
        <v>14</v>
      </c>
      <c r="AM53" s="49" cm="1">
        <f t="array" ref="AM53">IF($F53=0,0,INDEX(sys_DataFlat_LU_Grid,AL53,$E53))</f>
        <v>812</v>
      </c>
      <c r="AN53" s="49" cm="1">
        <f t="array" ref="AN53">IF($F53=0,-1000,CHOOSE($E$14,INDEX(auto_DataFlat_Score,AM53,$E$11),-INDEX(auto_DataFlat_Score,AM53,$E$11),-$D53))</f>
        <v>30.3</v>
      </c>
      <c r="AO53" s="91">
        <f ca="1">RANK(AN53,OFFSET(AN$21,0,0,$E$16+1,1))+COUNTIF(AN$21:AN53,AN53)-1</f>
        <v>41</v>
      </c>
      <c r="AP53" s="91">
        <f t="shared" ca="1" si="50"/>
        <v>14</v>
      </c>
      <c r="AQ53" s="91" cm="1">
        <f t="array" aca="1" ref="AQ53" ca="1">INDEX(OFFSET(AM$21,0,0,$E$16+1,1),AP53)</f>
        <v>793</v>
      </c>
      <c r="AR53" s="49" cm="1">
        <f t="array" aca="1" ref="AR53" ca="1">INDEX(OFFSET($E$21,0,0,$E$16+1,1),AP53)</f>
        <v>13</v>
      </c>
      <c r="AS53" s="80" cm="1">
        <f t="array" aca="1" ref="AS53" ca="1">IF(AR53="G",5,INDEX(OFFSET($F$21,0,0,$E$16+1,1),AP53))</f>
        <v>1</v>
      </c>
      <c r="AT53" s="80" cm="1">
        <f t="array" aca="1" ref="AT53" ca="1">IF(AQ53=0,0,IF(AR53="G",-1,INDEX(auto_DataFlat_Classification,AQ53,$E$11)))</f>
        <v>3</v>
      </c>
      <c r="AU53" s="301" t="str" cm="1">
        <f t="array" aca="1" ref="AU53" ca="1">IF(AT53&lt;0,"",INDEX(uxbGlobals!$B$133:$B$139,AT53))</f>
        <v xml:space="preserve"> </v>
      </c>
      <c r="AV53" s="80"/>
      <c r="AW53" s="302" t="str" cm="1">
        <f t="array" aca="1" ref="AW53" ca="1">IF(AS53=0,"",IF(AR53="G","--",INDEX(auto_DataFlat_Rank,AQ53,$E$11)))</f>
        <v>32</v>
      </c>
      <c r="AX53" s="122" t="str" cm="1">
        <f t="array" aca="1" ref="AX53" ca="1">IF(AS53=0,"",IF(AR53="G","AVERAGE",INDEX(auto_ddCountry,AR53)))</f>
        <v>Dhaka</v>
      </c>
      <c r="AY53" s="290" cm="1">
        <f t="array" aca="1" ref="AY53" ca="1">IF(AS53=0,"",INDEX(auto_DataFlat_Score,AQ53,$E$11))</f>
        <v>41.8</v>
      </c>
      <c r="AZ53" s="4"/>
      <c r="BA53" s="49">
        <f t="shared" si="37"/>
        <v>22</v>
      </c>
      <c r="BB53" s="49" cm="1">
        <f t="array" ref="BB53">IF($F53=0,0,INDEX(sys_DataFlat_LU_Grid,BA53,$E53))</f>
        <v>1292</v>
      </c>
      <c r="BC53" s="49" cm="1">
        <f t="array" ref="BC53">IF($F53=0,-1000,CHOOSE($E$14,INDEX(auto_DataFlat_Score,BB53,$E$11),-INDEX(auto_DataFlat_Score,BB53,$E$11),-$D53))</f>
        <v>40.799999999999997</v>
      </c>
      <c r="BD53" s="91">
        <f ca="1">RANK(BC53,OFFSET(BC$21,0,0,$E$16+1,1))+COUNTIF(BC$21:BC53,BC53)-1</f>
        <v>41</v>
      </c>
      <c r="BE53" s="91">
        <f t="shared" ca="1" si="51"/>
        <v>2</v>
      </c>
      <c r="BF53" s="91" cm="1">
        <f t="array" aca="1" ref="BF53" ca="1">INDEX(OFFSET(BB$21,0,0,$E$16+1,1),BE53)</f>
        <v>1261</v>
      </c>
      <c r="BG53" s="49" cm="1">
        <f t="array" aca="1" ref="BG53" ca="1">INDEX(OFFSET($E$21,0,0,$E$16+1,1),BE53)</f>
        <v>1</v>
      </c>
      <c r="BH53" s="80" cm="1">
        <f t="array" aca="1" ref="BH53" ca="1">IF(BG53="G",5,INDEX(OFFSET($F$21,0,0,$E$16+1,1),BE53))</f>
        <v>1</v>
      </c>
      <c r="BI53" s="80" cm="1">
        <f t="array" aca="1" ref="BI53" ca="1">IF(BF53=0,0,IF(BG53="G",-1,INDEX(auto_DataFlat_Classification,BF53,$E$11)))</f>
        <v>3</v>
      </c>
      <c r="BJ53" s="301" t="str" cm="1">
        <f t="array" aca="1" ref="BJ53" ca="1">IF(BI53&lt;0,"",INDEX(uxbGlobals!$B$133:$B$139,BI53))</f>
        <v xml:space="preserve"> </v>
      </c>
      <c r="BK53" s="80"/>
      <c r="BL53" s="302" t="str" cm="1">
        <f t="array" aca="1" ref="BL53" ca="1">IF(BH53=0,"",IF(BG53="G","--",INDEX(auto_DataFlat_Rank,BF53,$E$11)))</f>
        <v>32</v>
      </c>
      <c r="BM53" s="122" t="str" cm="1">
        <f t="array" aca="1" ref="BM53" ca="1">IF(BH53=0,"",IF(BG53="G","AVERAGE",INDEX(auto_ddCountry,BG53)))</f>
        <v>Addis Ababa</v>
      </c>
      <c r="BN53" s="290" cm="1">
        <f t="array" aca="1" ref="BN53" ca="1">IF(BH53=0,"",INDEX(auto_DataFlat_Score,BF53,$E$11))</f>
        <v>47.2</v>
      </c>
      <c r="BO53" s="4"/>
      <c r="BP53" s="49">
        <f t="shared" si="39"/>
        <v>47</v>
      </c>
      <c r="BQ53" s="49" cm="1">
        <f t="array" ref="BQ53">IF($F53=0,0,INDEX(sys_DataFlat_LU_Grid,BP53,$E53))</f>
        <v>2792</v>
      </c>
      <c r="BR53" s="49" cm="1">
        <f t="array" ref="BR53">IF($F53=0,-1000,CHOOSE($E$14,INDEX(auto_DataFlat_Score,BQ53,$E$11),-INDEX(auto_DataFlat_Score,BQ53,$E$11),-$D53))</f>
        <v>71</v>
      </c>
      <c r="BS53" s="91">
        <f ca="1">RANK(BR53,OFFSET(BR$21,0,0,$E$16+1,1))+COUNTIF(BR$21:BR53,BR53)-1</f>
        <v>24</v>
      </c>
      <c r="BT53" s="91">
        <f t="shared" ca="1" si="52"/>
        <v>21</v>
      </c>
      <c r="BU53" s="91" cm="1">
        <f t="array" aca="1" ref="BU53" ca="1">INDEX(OFFSET(BQ$21,0,0,$E$16+1,1),BT53)</f>
        <v>2780</v>
      </c>
      <c r="BV53" s="49" cm="1">
        <f t="array" aca="1" ref="BV53" ca="1">INDEX(OFFSET($E$21,0,0,$E$16+1,1),BT53)</f>
        <v>20</v>
      </c>
      <c r="BW53" s="80" cm="1">
        <f t="array" aca="1" ref="BW53" ca="1">IF(BV53="G",5,INDEX(OFFSET($F$21,0,0,$E$16+1,1),BT53))</f>
        <v>1</v>
      </c>
      <c r="BX53" s="80" cm="1">
        <f t="array" aca="1" ref="BX53" ca="1">IF(BU53=0,0,IF(BV53="G",-1,INDEX(auto_DataFlat_Classification,BU53,$E$11)))</f>
        <v>3</v>
      </c>
      <c r="BY53" s="301" t="str" cm="1">
        <f t="array" aca="1" ref="BY53" ca="1">IF(BX53&lt;0,"",INDEX(uxbGlobals!$B$133:$B$139,BX53))</f>
        <v xml:space="preserve"> </v>
      </c>
      <c r="BZ53" s="80"/>
      <c r="CA53" s="302" t="str" cm="1">
        <f t="array" aca="1" ref="CA53" ca="1">IF(BW53=0,"",IF(BV53="G","--",INDEX(auto_DataFlat_Rank,BU53,$E$11)))</f>
        <v>=32</v>
      </c>
      <c r="CB53" s="122" t="str" cm="1">
        <f t="array" aca="1" ref="CB53" ca="1">IF(BW53=0,"",IF(BV53="G","AVERAGE",INDEX(auto_ddCountry,BV53)))</f>
        <v>Johannesburg</v>
      </c>
      <c r="CC53" s="290" cm="1">
        <f t="array" aca="1" ref="CC53" ca="1">IF(BW53=0,"",INDEX(auto_DataFlat_Score,BU53,$E$11))</f>
        <v>51.9</v>
      </c>
      <c r="CD53" s="4"/>
      <c r="CE53" s="49">
        <f t="shared" si="41"/>
        <v>52</v>
      </c>
      <c r="CF53" s="49" cm="1">
        <f t="array" ref="CF53">IF($F53=0,0,INDEX(sys_DataFlat_LU_Grid,CE53,$E53))</f>
        <v>3092</v>
      </c>
      <c r="CG53" s="49" cm="1">
        <f t="array" ref="CG53">IF($F53=0,-1000,CHOOSE($E$14,INDEX(auto_DataFlat_Score,CF53,$E$11),-INDEX(auto_DataFlat_Score,CF53,$E$11),-$D53))</f>
        <v>79.599999999999994</v>
      </c>
      <c r="CH53" s="91">
        <f ca="1">RANK(CG53,OFFSET(CG$21,0,0,$E$16+1,1))+COUNTIF(CG$21:CG53,CG53)-1</f>
        <v>10</v>
      </c>
      <c r="CI53" s="91">
        <f t="shared" ca="1" si="53"/>
        <v>50</v>
      </c>
      <c r="CJ53" s="91" cm="1">
        <f t="array" aca="1" ref="CJ53" ca="1">INDEX(OFFSET(CF$21,0,0,$E$16+1,1),CI53)</f>
        <v>3109</v>
      </c>
      <c r="CK53" s="49" cm="1">
        <f t="array" aca="1" ref="CK53" ca="1">INDEX(OFFSET($E$21,0,0,$E$16+1,1),CI53)</f>
        <v>49</v>
      </c>
      <c r="CL53" s="80" cm="1">
        <f t="array" aca="1" ref="CL53" ca="1">IF(CK53="G",5,INDEX(OFFSET($F$21,0,0,$E$16+1,1),CI53))</f>
        <v>1</v>
      </c>
      <c r="CM53" s="80" cm="1">
        <f t="array" aca="1" ref="CM53" ca="1">IF(CJ53=0,0,IF(CK53="G",-1,INDEX(auto_DataFlat_Classification,CJ53,$E$11)))</f>
        <v>4</v>
      </c>
      <c r="CN53" s="301" t="str" cm="1">
        <f t="array" aca="1" ref="CN53" ca="1">IF(CM53&lt;0,"",INDEX(uxbGlobals!$B$133:$B$139,CM53))</f>
        <v xml:space="preserve"> </v>
      </c>
      <c r="CO53" s="80"/>
      <c r="CP53" s="302" t="str" cm="1">
        <f t="array" aca="1" ref="CP53" ca="1">IF(CL53=0,"",IF(CK53="G","--",INDEX(auto_DataFlat_Rank,CJ53,$E$11)))</f>
        <v>=30</v>
      </c>
      <c r="CQ53" s="122" t="str" cm="1">
        <f t="array" aca="1" ref="CQ53" ca="1">IF(CL53=0,"",IF(CK53="G","AVERAGE",INDEX(auto_ddCountry,CK53)))</f>
        <v>Wuhan</v>
      </c>
      <c r="CR53" s="290" cm="1">
        <f t="array" aca="1" ref="CR53" ca="1">IF(CL53=0,"",INDEX(auto_DataFlat_Score,CJ53,$E$11))</f>
        <v>68.5</v>
      </c>
      <c r="CS53" s="4"/>
      <c r="CT53" s="49">
        <f t="shared" si="43"/>
        <v>-1</v>
      </c>
      <c r="CU53" s="49" t="e" cm="1">
        <f t="array" ref="CU53">IF($F53=0,0,INDEX(sys_DataFlat_LU_Grid,CT53,$E53))</f>
        <v>#VALUE!</v>
      </c>
      <c r="CV53" s="49" t="e" cm="1">
        <f t="array" ref="CV53">IF($F53=0,-1000,CHOOSE($E$14,INDEX(auto_DataFlat_Score,CU53,$E$11),-INDEX(auto_DataFlat_Score,CU53,$E$11),-$D53))</f>
        <v>#VALUE!</v>
      </c>
      <c r="CW53" s="91" t="e">
        <f ca="1">RANK(CV53,OFFSET(CV$21,0,0,$E$16+1,1))+COUNTIF(CV$21:CV53,CV53)-1</f>
        <v>#VALUE!</v>
      </c>
      <c r="CX53" s="91" t="e">
        <f t="shared" ca="1" si="47"/>
        <v>#N/A</v>
      </c>
      <c r="CY53" s="91" t="e" cm="1">
        <f t="array" aca="1" ref="CY53" ca="1">INDEX(OFFSET(CU$21,0,0,$E$16+1,1),CX53)</f>
        <v>#N/A</v>
      </c>
      <c r="CZ53" s="49" t="e" cm="1">
        <f t="array" aca="1" ref="CZ53" ca="1">INDEX(OFFSET($E$21,0,0,$E$16+1,1),CX53)</f>
        <v>#N/A</v>
      </c>
      <c r="DA53" s="80" t="e" cm="1">
        <f t="array" aca="1" ref="DA53" ca="1">IF(CZ53="G",5,INDEX(OFFSET($F$21,0,0,$E$16+1,1),CX53))</f>
        <v>#N/A</v>
      </c>
      <c r="DB53" s="80" t="e" cm="1">
        <f t="array" aca="1" ref="DB53" ca="1">IF(CY53=0,0,IF(CZ53="G",-1,INDEX(auto_DataFlat_Classification,CY53,$E$11)))</f>
        <v>#N/A</v>
      </c>
      <c r="DC53" s="301" t="e" cm="1">
        <f t="array" aca="1" ref="DC53" ca="1">IF(DB53&lt;0,"",INDEX(uxbGlobals!$B$133:$B$139,DB53))</f>
        <v>#N/A</v>
      </c>
      <c r="DD53" s="80"/>
      <c r="DE53" s="302" t="e" cm="1">
        <f t="array" aca="1" ref="DE53" ca="1">IF(DA53=0,"",IF(CZ53="G","--",INDEX(auto_DataFlat_Rank,CY53,$E$11)))</f>
        <v>#N/A</v>
      </c>
      <c r="DF53" s="122" t="e" cm="1">
        <f t="array" aca="1" ref="DF53" ca="1">IF(DA53=0,"",IF(CZ53="G","AVERAGE",INDEX(auto_ddCountry,CZ53)))</f>
        <v>#N/A</v>
      </c>
      <c r="DG53" s="290" t="e" cm="1">
        <f t="array" aca="1" ref="DG53" ca="1">IF(DA53=0,"",INDEX(auto_DataFlat_Score,CY53,$E$11))</f>
        <v>#N/A</v>
      </c>
      <c r="DH53" s="4"/>
      <c r="DI53" s="49">
        <f t="shared" si="44"/>
        <v>-1</v>
      </c>
      <c r="DJ53" s="49" t="e" cm="1">
        <f t="array" ref="DJ53">IF($F53=0,0,INDEX(sys_DataFlat_LU_Grid,DI53,$E53))</f>
        <v>#VALUE!</v>
      </c>
      <c r="DK53" s="49" t="e" cm="1">
        <f t="array" ref="DK53">IF($F53=0,-1000,CHOOSE($E$14,INDEX(auto_DataFlat_Score,DJ53,$E$11),-INDEX(auto_DataFlat_Score,DJ53,$E$11),-$D53))</f>
        <v>#VALUE!</v>
      </c>
      <c r="DL53" s="91" t="e">
        <f ca="1">RANK(DK53,OFFSET(DK$21,0,0,$E$16+1,1))+COUNTIF(DK$21:DK53,DK53)-1</f>
        <v>#VALUE!</v>
      </c>
      <c r="DM53" s="91" t="e">
        <f t="shared" ca="1" si="28"/>
        <v>#N/A</v>
      </c>
      <c r="DN53" s="91" t="e" cm="1">
        <f t="array" aca="1" ref="DN53" ca="1">INDEX(OFFSET(DJ$21,0,0,$E$16+1,1),DM53)</f>
        <v>#N/A</v>
      </c>
      <c r="DO53" s="49" t="e" cm="1">
        <f t="array" aca="1" ref="DO53" ca="1">INDEX(OFFSET($E$21,0,0,$E$16+1,1),DM53)</f>
        <v>#N/A</v>
      </c>
      <c r="DP53" s="80" t="e" cm="1">
        <f t="array" aca="1" ref="DP53" ca="1">IF(DO53="G",5,INDEX(OFFSET($F$21,0,0,$E$16+1,1),DM53))</f>
        <v>#N/A</v>
      </c>
      <c r="DQ53" s="80" t="e" cm="1">
        <f t="array" aca="1" ref="DQ53" ca="1">IF(DN53=0,0,IF(DO53="G",-1,INDEX(auto_DataFlat_Classification,DN53,$E$11)))</f>
        <v>#N/A</v>
      </c>
      <c r="DR53" s="301" t="e" cm="1">
        <f t="array" aca="1" ref="DR53" ca="1">IF(DQ53&lt;0,"",INDEX(uxbGlobals!$B$133:$B$139,DQ53))</f>
        <v>#N/A</v>
      </c>
      <c r="DS53" s="80"/>
      <c r="DT53" s="302" t="e" cm="1">
        <f t="array" aca="1" ref="DT53" ca="1">IF(DP53=0,"",IF(DO53="G","--",INDEX(auto_DataFlat_Rank,DN53,$E$11)))</f>
        <v>#N/A</v>
      </c>
      <c r="DU53" s="122" t="e" cm="1">
        <f t="array" aca="1" ref="DU53" ca="1">IF(DP53=0,"",IF(DO53="G","AVERAGE",INDEX(auto_ddCountry,DO53)))</f>
        <v>#N/A</v>
      </c>
      <c r="DV53" s="290" t="e" cm="1">
        <f t="array" aca="1" ref="DV53" ca="1">IF(DP53=0,"",INDEX(auto_DataFlat_Score,DN53,$E$11))</f>
        <v>#N/A</v>
      </c>
      <c r="DW53" s="4"/>
      <c r="DX53" s="49">
        <f t="shared" si="45"/>
        <v>-1</v>
      </c>
      <c r="DY53" s="49" t="e" cm="1">
        <f t="array" ref="DY53">IF($F53=0,0,INDEX(sys_DataFlat_LU_Grid,DX53,$E53))</f>
        <v>#VALUE!</v>
      </c>
      <c r="DZ53" s="49" t="e" cm="1">
        <f t="array" ref="DZ53">IF($F53=0,-1000,CHOOSE($E$14,INDEX(auto_DataFlat_Score,DY53,$E$11),-INDEX(auto_DataFlat_Score,DY53,$E$11),-$D53))</f>
        <v>#VALUE!</v>
      </c>
      <c r="EA53" s="91" t="e">
        <f ca="1">RANK(DZ53,OFFSET(DZ$21,0,0,$E$16+1,1))+COUNTIF(DZ$21:DZ53,DZ53)-1</f>
        <v>#VALUE!</v>
      </c>
      <c r="EB53" s="91" t="e">
        <f t="shared" ca="1" si="29"/>
        <v>#N/A</v>
      </c>
      <c r="EC53" s="91" t="e" cm="1">
        <f t="array" aca="1" ref="EC53" ca="1">INDEX(OFFSET(DY$21,0,0,$E$16+1,1),EB53)</f>
        <v>#N/A</v>
      </c>
      <c r="ED53" s="49" t="e" cm="1">
        <f t="array" aca="1" ref="ED53" ca="1">INDEX(OFFSET($E$21,0,0,$E$16+1,1),EB53)</f>
        <v>#N/A</v>
      </c>
      <c r="EE53" s="80" t="e" cm="1">
        <f t="array" aca="1" ref="EE53" ca="1">IF(ED53="G",5,INDEX(OFFSET($F$21,0,0,$E$16+1,1),EB53))</f>
        <v>#N/A</v>
      </c>
      <c r="EF53" s="80" t="e" cm="1">
        <f t="array" aca="1" ref="EF53" ca="1">IF(EC53=0,0,IF(ED53="G",-1,INDEX(auto_DataFlat_Classification,EC53,$E$11)))</f>
        <v>#N/A</v>
      </c>
      <c r="EG53" s="301" t="e" cm="1">
        <f t="array" aca="1" ref="EG53" ca="1">IF(EF53&lt;0,"",INDEX(uxbGlobals!$B$133:$B$139,EF53))</f>
        <v>#N/A</v>
      </c>
      <c r="EH53" s="80"/>
      <c r="EI53" s="302" t="e" cm="1">
        <f t="array" aca="1" ref="EI53" ca="1">IF(EE53=0,"",IF(ED53="G","--",INDEX(auto_DataFlat_Rank,EC53,$E$11)))</f>
        <v>#N/A</v>
      </c>
      <c r="EJ53" s="122" t="e" cm="1">
        <f t="array" aca="1" ref="EJ53" ca="1">IF(EE53=0,"",IF(ED53="G","AVERAGE",INDEX(auto_ddCountry,ED53)))</f>
        <v>#N/A</v>
      </c>
      <c r="EK53" s="290" t="e" cm="1">
        <f t="array" aca="1" ref="EK53" ca="1">IF(EE53=0,"",INDEX(auto_DataFlat_Score,EC53,$E$11))</f>
        <v>#N/A</v>
      </c>
      <c r="EL53" s="4"/>
      <c r="EM53" s="49">
        <f t="shared" si="46"/>
        <v>-1</v>
      </c>
      <c r="EN53" s="49" t="e" cm="1">
        <f t="array" ref="EN53">IF($F53=0,0,INDEX(sys_DataFlat_LU_Grid,EM53,$E53))</f>
        <v>#VALUE!</v>
      </c>
      <c r="EO53" s="49" t="e" cm="1">
        <f t="array" ref="EO53">IF($F53=0,-1000,CHOOSE($E$14,INDEX(auto_DataFlat_Score,EN53,$E$11),-INDEX(auto_DataFlat_Score,EN53,$E$11),-$D53))</f>
        <v>#VALUE!</v>
      </c>
      <c r="EP53" s="91" t="e">
        <f ca="1">RANK(EO53,OFFSET(EO$21,0,0,$E$16+1,1))+COUNTIF(EO$21:EO53,EO53)-1</f>
        <v>#VALUE!</v>
      </c>
      <c r="EQ53" s="91" t="e">
        <f t="shared" ca="1" si="30"/>
        <v>#N/A</v>
      </c>
      <c r="ER53" s="91" t="e" cm="1">
        <f t="array" aca="1" ref="ER53" ca="1">INDEX(OFFSET(EN$21,0,0,$E$16+1,1),EQ53)</f>
        <v>#N/A</v>
      </c>
      <c r="ES53" s="49" t="e" cm="1">
        <f t="array" aca="1" ref="ES53" ca="1">INDEX(OFFSET($E$21,0,0,$E$16+1,1),EQ53)</f>
        <v>#N/A</v>
      </c>
      <c r="ET53" s="80" t="e" cm="1">
        <f t="array" aca="1" ref="ET53" ca="1">IF(ES53="G",5,INDEX(OFFSET($F$21,0,0,$E$16+1,1),EQ53))</f>
        <v>#N/A</v>
      </c>
      <c r="EU53" s="80" t="e" cm="1">
        <f t="array" aca="1" ref="EU53" ca="1">IF(ER53=0,0,IF(ES53="G",-1,INDEX(auto_DataFlat_Classification,ER53,$E$11)))</f>
        <v>#N/A</v>
      </c>
      <c r="EV53" s="301" t="e" cm="1">
        <f t="array" aca="1" ref="EV53" ca="1">IF(EU53&lt;0,"",INDEX(uxbGlobals!$B$133:$B$139,EU53))</f>
        <v>#N/A</v>
      </c>
      <c r="EW53" s="80"/>
      <c r="EX53" s="302" t="e" cm="1">
        <f t="array" aca="1" ref="EX53" ca="1">IF(ET53=0,"",IF(ES53="G","--",INDEX(auto_DataFlat_Rank,ER53,$E$11)))</f>
        <v>#N/A</v>
      </c>
      <c r="EY53" s="122" t="e" cm="1">
        <f t="array" aca="1" ref="EY53" ca="1">IF(ET53=0,"",IF(ES53="G","AVERAGE",INDEX(auto_ddCountry,ES53)))</f>
        <v>#N/A</v>
      </c>
      <c r="EZ53" s="290" t="e" cm="1">
        <f t="array" aca="1" ref="EZ53" ca="1">IF(ET53=0,"",INDEX(auto_DataFlat_Score,ER53,$E$11))</f>
        <v>#N/A</v>
      </c>
    </row>
    <row r="54" spans="1:156" ht="17.149999999999999" customHeight="1" x14ac:dyDescent="0.4">
      <c r="A54" s="4"/>
      <c r="B54" s="4"/>
      <c r="C54" s="4"/>
      <c r="D54" s="26">
        <v>34</v>
      </c>
      <c r="E54" s="49">
        <f>tblCountries!M35</f>
        <v>33</v>
      </c>
      <c r="F54" s="114" cm="1">
        <f t="array" ref="F54">IF(E54=0,0,INDEX(auto_Country_Status,E54))</f>
        <v>1</v>
      </c>
      <c r="G54" s="4"/>
      <c r="H54" s="49">
        <f t="shared" si="31"/>
        <v>1</v>
      </c>
      <c r="I54" s="49" cm="1">
        <f t="array" ref="I54">IF($F54=0,0,INDEX(sys_DataFlat_LU_Grid,H54,$E54))</f>
        <v>33</v>
      </c>
      <c r="J54" s="49" cm="1">
        <f t="array" ref="J54">IF($F54=0,-1000,CHOOSE($E$14,INDEX(auto_DataFlat_Score,I54,$E$11),-INDEX(auto_DataFlat_Score,I54,$E$11),-$D54))</f>
        <v>52.2</v>
      </c>
      <c r="K54" s="91">
        <f ca="1">RANK(J54,OFFSET(J$21,0,0,$E$16+1,1))+COUNTIF(J$21:J54,J54)-1</f>
        <v>37</v>
      </c>
      <c r="L54" s="91">
        <f t="shared" ca="1" si="48"/>
        <v>13</v>
      </c>
      <c r="M54" s="91" cm="1">
        <f t="array" aca="1" ref="M54" ca="1">INDEX(OFFSET(I$21,0,0,$E$16+1,1),L54)</f>
        <v>12</v>
      </c>
      <c r="N54" s="49" cm="1">
        <f t="array" aca="1" ref="N54" ca="1">INDEX(OFFSET($E$21,0,0,$E$16+1,1),L54)</f>
        <v>12</v>
      </c>
      <c r="O54" s="80" cm="1">
        <f t="array" aca="1" ref="O54" ca="1">IF(N54="G",5,INDEX(OFFSET($F$21,0,0,$E$16+1,1),L54))</f>
        <v>1</v>
      </c>
      <c r="P54" s="80" cm="1">
        <f t="array" aca="1" ref="P54" ca="1">IF(M54=0,0,IF(N54="G",-1,INDEX(auto_DataFlat_Classification,M54,$E$11)))</f>
        <v>3</v>
      </c>
      <c r="Q54" s="301" t="str" cm="1">
        <f t="array" aca="1" ref="Q54" ca="1">IF(P54&lt;0,"",INDEX(uxbGlobals!$B$133:$B$139,P54))</f>
        <v xml:space="preserve"> </v>
      </c>
      <c r="R54" s="80"/>
      <c r="S54" s="302" t="str" cm="1">
        <f t="array" aca="1" ref="S54" ca="1">IF(O54=0,"",IF(N54="G","--",INDEX(auto_DataFlat_Rank,M54,$E$11)))</f>
        <v>33</v>
      </c>
      <c r="T54" s="122" t="str" cm="1">
        <f t="array" aca="1" ref="T54" ca="1">IF(O54=0,"",IF(N54="G"," AVERAGE",INDEX(auto_ddCountry,N54)))</f>
        <v>Delhi</v>
      </c>
      <c r="U54" s="290" cm="1">
        <f t="array" aca="1" ref="U54" ca="1">IF(O54=0,"",INDEX(auto_DataFlat_Score,M54,$E$11))</f>
        <v>56.8</v>
      </c>
      <c r="V54" s="4"/>
      <c r="W54" s="49">
        <f t="shared" si="33"/>
        <v>2</v>
      </c>
      <c r="X54" s="49" cm="1">
        <f t="array" ref="X54">IF($F54=0,0,INDEX(sys_DataFlat_LU_Grid,W54,$E54))</f>
        <v>93</v>
      </c>
      <c r="Y54" s="49" cm="1">
        <f t="array" ref="Y54">IF($F54=0,-1000,CHOOSE($E$14,INDEX(auto_DataFlat_Score,X54,$E$11),-INDEX(auto_DataFlat_Score,X54,$E$11),-$D54))</f>
        <v>55.6</v>
      </c>
      <c r="Z54" s="91">
        <f ca="1">RANK(Y54,OFFSET(Y$21,0,0,$E$16+1,1))+COUNTIF(Y$21:Y54,Y54)-1</f>
        <v>38</v>
      </c>
      <c r="AA54" s="91">
        <f t="shared" ca="1" si="49"/>
        <v>39</v>
      </c>
      <c r="AB54" s="91" cm="1">
        <f t="array" aca="1" ref="AB54" ca="1">INDEX(OFFSET(X$21,0,0,$E$16+1,1),AA54)</f>
        <v>98</v>
      </c>
      <c r="AC54" s="49" cm="1">
        <f t="array" aca="1" ref="AC54" ca="1">INDEX(OFFSET($E$21,0,0,$E$16+1,1),AA54)</f>
        <v>38</v>
      </c>
      <c r="AD54" s="80" cm="1">
        <f t="array" aca="1" ref="AD54" ca="1">IF(AC54="G",5,INDEX(OFFSET($F$21,0,0,$E$16+1,1),AA54))</f>
        <v>1</v>
      </c>
      <c r="AE54" s="80" cm="1">
        <f t="array" aca="1" ref="AE54" ca="1">IF(AB54=0,0,IF(AC54="G",-1,INDEX(auto_DataFlat_Classification,AB54,$E$11)))</f>
        <v>4</v>
      </c>
      <c r="AF54" s="301" t="str" cm="1">
        <f t="array" aca="1" ref="AF54" ca="1">IF(AE54&lt;0,"",INDEX(uxbGlobals!$B$133:$B$139,AE54))</f>
        <v xml:space="preserve"> </v>
      </c>
      <c r="AG54" s="80"/>
      <c r="AH54" s="302" t="str" cm="1">
        <f t="array" aca="1" ref="AH54" ca="1">IF(AD54=0,"",IF(AC54="G","--",INDEX(auto_DataFlat_Rank,AB54,$E$11)))</f>
        <v>33</v>
      </c>
      <c r="AI54" s="122" t="str" cm="1">
        <f t="array" aca="1" ref="AI54" ca="1">IF(AD54=0,"",IF(AC54="G","AVERAGE",INDEX(auto_ddCountry,AC54)))</f>
        <v>Riyadh</v>
      </c>
      <c r="AJ54" s="290" cm="1">
        <f t="array" aca="1" ref="AJ54" ca="1">IF(AD54=0,"",INDEX(auto_DataFlat_Score,AB54,$E$11))</f>
        <v>61</v>
      </c>
      <c r="AK54" s="4"/>
      <c r="AL54" s="49">
        <f t="shared" si="35"/>
        <v>14</v>
      </c>
      <c r="AM54" s="49" cm="1">
        <f t="array" ref="AM54">IF($F54=0,0,INDEX(sys_DataFlat_LU_Grid,AL54,$E54))</f>
        <v>813</v>
      </c>
      <c r="AN54" s="49" cm="1">
        <f t="array" ref="AN54">IF($F54=0,-1000,CHOOSE($E$14,INDEX(auto_DataFlat_Score,AM54,$E$11),-INDEX(auto_DataFlat_Score,AM54,$E$11),-$D54))</f>
        <v>37</v>
      </c>
      <c r="AO54" s="91">
        <f ca="1">RANK(AN54,OFFSET(AN$21,0,0,$E$16+1,1))+COUNTIF(AN$21:AN54,AN54)-1</f>
        <v>37</v>
      </c>
      <c r="AP54" s="91">
        <f t="shared" ca="1" si="50"/>
        <v>22</v>
      </c>
      <c r="AQ54" s="91" cm="1">
        <f t="array" aca="1" ref="AQ54" ca="1">INDEX(OFFSET(AM$21,0,0,$E$16+1,1),AP54)</f>
        <v>801</v>
      </c>
      <c r="AR54" s="49" cm="1">
        <f t="array" aca="1" ref="AR54" ca="1">INDEX(OFFSET($E$21,0,0,$E$16+1,1),AP54)</f>
        <v>21</v>
      </c>
      <c r="AS54" s="80" cm="1">
        <f t="array" aca="1" ref="AS54" ca="1">IF(AR54="G",5,INDEX(OFFSET($F$21,0,0,$E$16+1,1),AP54))</f>
        <v>1</v>
      </c>
      <c r="AT54" s="80" cm="1">
        <f t="array" aca="1" ref="AT54" ca="1">IF(AQ54=0,0,IF(AR54="G",-1,INDEX(auto_DataFlat_Classification,AQ54,$E$11)))</f>
        <v>2</v>
      </c>
      <c r="AU54" s="301" t="str" cm="1">
        <f t="array" aca="1" ref="AU54" ca="1">IF(AT54&lt;0,"",INDEX(uxbGlobals!$B$133:$B$139,AT54))</f>
        <v xml:space="preserve"> </v>
      </c>
      <c r="AV54" s="80"/>
      <c r="AW54" s="302" t="str" cm="1">
        <f t="array" aca="1" ref="AW54" ca="1">IF(AS54=0,"",IF(AR54="G","--",INDEX(auto_DataFlat_Rank,AQ54,$E$11)))</f>
        <v>33</v>
      </c>
      <c r="AX54" s="122" t="str" cm="1">
        <f t="array" aca="1" ref="AX54" ca="1">IF(AS54=0,"",IF(AR54="G","AVERAGE",INDEX(auto_ddCountry,AR54)))</f>
        <v>Karachi</v>
      </c>
      <c r="AY54" s="290" cm="1">
        <f t="array" aca="1" ref="AY54" ca="1">IF(AS54=0,"",INDEX(auto_DataFlat_Score,AQ54,$E$11))</f>
        <v>38.700000000000003</v>
      </c>
      <c r="AZ54" s="4"/>
      <c r="BA54" s="49">
        <f t="shared" si="37"/>
        <v>22</v>
      </c>
      <c r="BB54" s="49" cm="1">
        <f t="array" ref="BB54">IF($F54=0,0,INDEX(sys_DataFlat_LU_Grid,BA54,$E54))</f>
        <v>1293</v>
      </c>
      <c r="BC54" s="49" cm="1">
        <f t="array" ref="BC54">IF($F54=0,-1000,CHOOSE($E$14,INDEX(auto_DataFlat_Score,BB54,$E$11),-INDEX(auto_DataFlat_Score,BB54,$E$11),-$D54))</f>
        <v>36.4</v>
      </c>
      <c r="BD54" s="91">
        <f ca="1">RANK(BC54,OFFSET(BC$21,0,0,$E$16+1,1))+COUNTIF(BC$21:BC54,BC54)-1</f>
        <v>48</v>
      </c>
      <c r="BE54" s="91">
        <f t="shared" ca="1" si="51"/>
        <v>19</v>
      </c>
      <c r="BF54" s="91" cm="1">
        <f t="array" aca="1" ref="BF54" ca="1">INDEX(OFFSET(BB$21,0,0,$E$16+1,1),BE54)</f>
        <v>1278</v>
      </c>
      <c r="BG54" s="49" cm="1">
        <f t="array" aca="1" ref="BG54" ca="1">INDEX(OFFSET($E$21,0,0,$E$16+1,1),BE54)</f>
        <v>18</v>
      </c>
      <c r="BH54" s="80" cm="1">
        <f t="array" aca="1" ref="BH54" ca="1">IF(BG54="G",5,INDEX(OFFSET($F$21,0,0,$E$16+1,1),BE54))</f>
        <v>1</v>
      </c>
      <c r="BI54" s="80" cm="1">
        <f t="array" aca="1" ref="BI54" ca="1">IF(BF54=0,0,IF(BG54="G",-1,INDEX(auto_DataFlat_Classification,BF54,$E$11)))</f>
        <v>3</v>
      </c>
      <c r="BJ54" s="301" t="str" cm="1">
        <f t="array" aca="1" ref="BJ54" ca="1">IF(BI54&lt;0,"",INDEX(uxbGlobals!$B$133:$B$139,BI54))</f>
        <v xml:space="preserve"> </v>
      </c>
      <c r="BK54" s="80"/>
      <c r="BL54" s="302" t="str" cm="1">
        <f t="array" aca="1" ref="BL54" ca="1">IF(BH54=0,"",IF(BG54="G","--",INDEX(auto_DataFlat_Rank,BF54,$E$11)))</f>
        <v>33</v>
      </c>
      <c r="BM54" s="122" t="str" cm="1">
        <f t="array" aca="1" ref="BM54" ca="1">IF(BH54=0,"",IF(BG54="G","AVERAGE",INDEX(auto_ddCountry,BG54)))</f>
        <v>Istanbul</v>
      </c>
      <c r="BN54" s="290" cm="1">
        <f t="array" aca="1" ref="BN54" ca="1">IF(BH54=0,"",INDEX(auto_DataFlat_Score,BF54,$E$11))</f>
        <v>45.7</v>
      </c>
      <c r="BO54" s="4"/>
      <c r="BP54" s="49">
        <f t="shared" si="39"/>
        <v>47</v>
      </c>
      <c r="BQ54" s="49" cm="1">
        <f t="array" ref="BQ54">IF($F54=0,0,INDEX(sys_DataFlat_LU_Grid,BP54,$E54))</f>
        <v>2793</v>
      </c>
      <c r="BR54" s="49" cm="1">
        <f t="array" ref="BR54">IF($F54=0,-1000,CHOOSE($E$14,INDEX(auto_DataFlat_Score,BQ54,$E$11),-INDEX(auto_DataFlat_Score,BQ54,$E$11),-$D54))</f>
        <v>36.6</v>
      </c>
      <c r="BS54" s="91">
        <f ca="1">RANK(BR54,OFFSET(BR$21,0,0,$E$16+1,1))+COUNTIF(BR$21:BR54,BR54)-1</f>
        <v>49</v>
      </c>
      <c r="BT54" s="91">
        <f t="shared" ca="1" si="52"/>
        <v>39</v>
      </c>
      <c r="BU54" s="91" cm="1">
        <f t="array" aca="1" ref="BU54" ca="1">INDEX(OFFSET(BQ$21,0,0,$E$16+1,1),BT54)</f>
        <v>2798</v>
      </c>
      <c r="BV54" s="49" cm="1">
        <f t="array" aca="1" ref="BV54" ca="1">INDEX(OFFSET($E$21,0,0,$E$16+1,1),BT54)</f>
        <v>38</v>
      </c>
      <c r="BW54" s="80" cm="1">
        <f t="array" aca="1" ref="BW54" ca="1">IF(BV54="G",5,INDEX(OFFSET($F$21,0,0,$E$16+1,1),BT54))</f>
        <v>1</v>
      </c>
      <c r="BX54" s="80" cm="1">
        <f t="array" aca="1" ref="BX54" ca="1">IF(BU54=0,0,IF(BV54="G",-1,INDEX(auto_DataFlat_Classification,BU54,$E$11)))</f>
        <v>3</v>
      </c>
      <c r="BY54" s="301" t="str" cm="1">
        <f t="array" aca="1" ref="BY54" ca="1">IF(BX54&lt;0,"",INDEX(uxbGlobals!$B$133:$B$139,BX54))</f>
        <v xml:space="preserve"> </v>
      </c>
      <c r="BZ54" s="80"/>
      <c r="CA54" s="302" t="str" cm="1">
        <f t="array" aca="1" ref="CA54" ca="1">IF(BW54=0,"",IF(BV54="G","--",INDEX(auto_DataFlat_Rank,BU54,$E$11)))</f>
        <v>=32</v>
      </c>
      <c r="CB54" s="122" t="str" cm="1">
        <f t="array" aca="1" ref="CB54" ca="1">IF(BW54=0,"",IF(BV54="G","AVERAGE",INDEX(auto_ddCountry,BV54)))</f>
        <v>Riyadh</v>
      </c>
      <c r="CC54" s="290" cm="1">
        <f t="array" aca="1" ref="CC54" ca="1">IF(BW54=0,"",INDEX(auto_DataFlat_Score,BU54,$E$11))</f>
        <v>51.9</v>
      </c>
      <c r="CD54" s="4"/>
      <c r="CE54" s="49">
        <f t="shared" si="41"/>
        <v>52</v>
      </c>
      <c r="CF54" s="49" cm="1">
        <f t="array" ref="CF54">IF($F54=0,0,INDEX(sys_DataFlat_LU_Grid,CE54,$E54))</f>
        <v>3093</v>
      </c>
      <c r="CG54" s="49" cm="1">
        <f t="array" ref="CG54">IF($F54=0,-1000,CHOOSE($E$14,INDEX(auto_DataFlat_Score,CF54,$E$11),-INDEX(auto_DataFlat_Score,CF54,$E$11),-$D54))</f>
        <v>79.599999999999994</v>
      </c>
      <c r="CH54" s="91">
        <f ca="1">RANK(CG54,OFFSET(CG$21,0,0,$E$16+1,1))+COUNTIF(CG$21:CG54,CG54)-1</f>
        <v>11</v>
      </c>
      <c r="CI54" s="91">
        <f t="shared" ca="1" si="53"/>
        <v>2</v>
      </c>
      <c r="CJ54" s="91" cm="1">
        <f t="array" aca="1" ref="CJ54" ca="1">INDEX(OFFSET(CF$21,0,0,$E$16+1,1),CI54)</f>
        <v>3061</v>
      </c>
      <c r="CK54" s="49" cm="1">
        <f t="array" aca="1" ref="CK54" ca="1">INDEX(OFFSET($E$21,0,0,$E$16+1,1),CI54)</f>
        <v>1</v>
      </c>
      <c r="CL54" s="80" cm="1">
        <f t="array" aca="1" ref="CL54" ca="1">IF(CK54="G",5,INDEX(OFFSET($F$21,0,0,$E$16+1,1),CI54))</f>
        <v>1</v>
      </c>
      <c r="CM54" s="80" cm="1">
        <f t="array" aca="1" ref="CM54" ca="1">IF(CJ54=0,0,IF(CK54="G",-1,INDEX(auto_DataFlat_Classification,CJ54,$E$11)))</f>
        <v>4</v>
      </c>
      <c r="CN54" s="301" t="str" cm="1">
        <f t="array" aca="1" ref="CN54" ca="1">IF(CM54&lt;0,"",INDEX(uxbGlobals!$B$133:$B$139,CM54))</f>
        <v xml:space="preserve"> </v>
      </c>
      <c r="CO54" s="80"/>
      <c r="CP54" s="302" t="str" cm="1">
        <f t="array" aca="1" ref="CP54" ca="1">IF(CL54=0,"",IF(CK54="G","--",INDEX(auto_DataFlat_Rank,CJ54,$E$11)))</f>
        <v>33</v>
      </c>
      <c r="CQ54" s="122" t="str" cm="1">
        <f t="array" aca="1" ref="CQ54" ca="1">IF(CL54=0,"",IF(CK54="G","AVERAGE",INDEX(auto_ddCountry,CK54)))</f>
        <v>Addis Ababa</v>
      </c>
      <c r="CR54" s="290" cm="1">
        <f t="array" aca="1" ref="CR54" ca="1">IF(CL54=0,"",INDEX(auto_DataFlat_Score,CJ54,$E$11))</f>
        <v>67.599999999999994</v>
      </c>
      <c r="CS54" s="4"/>
      <c r="CT54" s="49">
        <f t="shared" si="43"/>
        <v>-1</v>
      </c>
      <c r="CU54" s="49" t="e" cm="1">
        <f t="array" ref="CU54">IF($F54=0,0,INDEX(sys_DataFlat_LU_Grid,CT54,$E54))</f>
        <v>#VALUE!</v>
      </c>
      <c r="CV54" s="49" t="e" cm="1">
        <f t="array" ref="CV54">IF($F54=0,-1000,CHOOSE($E$14,INDEX(auto_DataFlat_Score,CU54,$E$11),-INDEX(auto_DataFlat_Score,CU54,$E$11),-$D54))</f>
        <v>#VALUE!</v>
      </c>
      <c r="CW54" s="91" t="e">
        <f ca="1">RANK(CV54,OFFSET(CV$21,0,0,$E$16+1,1))+COUNTIF(CV$21:CV54,CV54)-1</f>
        <v>#VALUE!</v>
      </c>
      <c r="CX54" s="91" t="e">
        <f t="shared" ca="1" si="47"/>
        <v>#N/A</v>
      </c>
      <c r="CY54" s="91" t="e" cm="1">
        <f t="array" aca="1" ref="CY54" ca="1">INDEX(OFFSET(CU$21,0,0,$E$16+1,1),CX54)</f>
        <v>#N/A</v>
      </c>
      <c r="CZ54" s="49" t="e" cm="1">
        <f t="array" aca="1" ref="CZ54" ca="1">INDEX(OFFSET($E$21,0,0,$E$16+1,1),CX54)</f>
        <v>#N/A</v>
      </c>
      <c r="DA54" s="80" t="e" cm="1">
        <f t="array" aca="1" ref="DA54" ca="1">IF(CZ54="G",5,INDEX(OFFSET($F$21,0,0,$E$16+1,1),CX54))</f>
        <v>#N/A</v>
      </c>
      <c r="DB54" s="80" t="e" cm="1">
        <f t="array" aca="1" ref="DB54" ca="1">IF(CY54=0,0,IF(CZ54="G",-1,INDEX(auto_DataFlat_Classification,CY54,$E$11)))</f>
        <v>#N/A</v>
      </c>
      <c r="DC54" s="301" t="e" cm="1">
        <f t="array" aca="1" ref="DC54" ca="1">IF(DB54&lt;0,"",INDEX(uxbGlobals!$B$133:$B$139,DB54))</f>
        <v>#N/A</v>
      </c>
      <c r="DD54" s="80"/>
      <c r="DE54" s="302" t="e" cm="1">
        <f t="array" aca="1" ref="DE54" ca="1">IF(DA54=0,"",IF(CZ54="G","--",INDEX(auto_DataFlat_Rank,CY54,$E$11)))</f>
        <v>#N/A</v>
      </c>
      <c r="DF54" s="122" t="e" cm="1">
        <f t="array" aca="1" ref="DF54" ca="1">IF(DA54=0,"",IF(CZ54="G","AVERAGE",INDEX(auto_ddCountry,CZ54)))</f>
        <v>#N/A</v>
      </c>
      <c r="DG54" s="290" t="e" cm="1">
        <f t="array" aca="1" ref="DG54" ca="1">IF(DA54=0,"",INDEX(auto_DataFlat_Score,CY54,$E$11))</f>
        <v>#N/A</v>
      </c>
      <c r="DH54" s="4"/>
      <c r="DI54" s="49">
        <f t="shared" si="44"/>
        <v>-1</v>
      </c>
      <c r="DJ54" s="49" t="e" cm="1">
        <f t="array" ref="DJ54">IF($F54=0,0,INDEX(sys_DataFlat_LU_Grid,DI54,$E54))</f>
        <v>#VALUE!</v>
      </c>
      <c r="DK54" s="49" t="e" cm="1">
        <f t="array" ref="DK54">IF($F54=0,-1000,CHOOSE($E$14,INDEX(auto_DataFlat_Score,DJ54,$E$11),-INDEX(auto_DataFlat_Score,DJ54,$E$11),-$D54))</f>
        <v>#VALUE!</v>
      </c>
      <c r="DL54" s="91" t="e">
        <f ca="1">RANK(DK54,OFFSET(DK$21,0,0,$E$16+1,1))+COUNTIF(DK$21:DK54,DK54)-1</f>
        <v>#VALUE!</v>
      </c>
      <c r="DM54" s="91" t="e">
        <f t="shared" ca="1" si="28"/>
        <v>#N/A</v>
      </c>
      <c r="DN54" s="91" t="e" cm="1">
        <f t="array" aca="1" ref="DN54" ca="1">INDEX(OFFSET(DJ$21,0,0,$E$16+1,1),DM54)</f>
        <v>#N/A</v>
      </c>
      <c r="DO54" s="49" t="e" cm="1">
        <f t="array" aca="1" ref="DO54" ca="1">INDEX(OFFSET($E$21,0,0,$E$16+1,1),DM54)</f>
        <v>#N/A</v>
      </c>
      <c r="DP54" s="80" t="e" cm="1">
        <f t="array" aca="1" ref="DP54" ca="1">IF(DO54="G",5,INDEX(OFFSET($F$21,0,0,$E$16+1,1),DM54))</f>
        <v>#N/A</v>
      </c>
      <c r="DQ54" s="80" t="e" cm="1">
        <f t="array" aca="1" ref="DQ54" ca="1">IF(DN54=0,0,IF(DO54="G",-1,INDEX(auto_DataFlat_Classification,DN54,$E$11)))</f>
        <v>#N/A</v>
      </c>
      <c r="DR54" s="301" t="e" cm="1">
        <f t="array" aca="1" ref="DR54" ca="1">IF(DQ54&lt;0,"",INDEX(uxbGlobals!$B$133:$B$139,DQ54))</f>
        <v>#N/A</v>
      </c>
      <c r="DS54" s="80"/>
      <c r="DT54" s="302" t="e" cm="1">
        <f t="array" aca="1" ref="DT54" ca="1">IF(DP54=0,"",IF(DO54="G","--",INDEX(auto_DataFlat_Rank,DN54,$E$11)))</f>
        <v>#N/A</v>
      </c>
      <c r="DU54" s="122" t="e" cm="1">
        <f t="array" aca="1" ref="DU54" ca="1">IF(DP54=0,"",IF(DO54="G","AVERAGE",INDEX(auto_ddCountry,DO54)))</f>
        <v>#N/A</v>
      </c>
      <c r="DV54" s="290" t="e" cm="1">
        <f t="array" aca="1" ref="DV54" ca="1">IF(DP54=0,"",INDEX(auto_DataFlat_Score,DN54,$E$11))</f>
        <v>#N/A</v>
      </c>
      <c r="DW54" s="4"/>
      <c r="DX54" s="49">
        <f t="shared" si="45"/>
        <v>-1</v>
      </c>
      <c r="DY54" s="49" t="e" cm="1">
        <f t="array" ref="DY54">IF($F54=0,0,INDEX(sys_DataFlat_LU_Grid,DX54,$E54))</f>
        <v>#VALUE!</v>
      </c>
      <c r="DZ54" s="49" t="e" cm="1">
        <f t="array" ref="DZ54">IF($F54=0,-1000,CHOOSE($E$14,INDEX(auto_DataFlat_Score,DY54,$E$11),-INDEX(auto_DataFlat_Score,DY54,$E$11),-$D54))</f>
        <v>#VALUE!</v>
      </c>
      <c r="EA54" s="91" t="e">
        <f ca="1">RANK(DZ54,OFFSET(DZ$21,0,0,$E$16+1,1))+COUNTIF(DZ$21:DZ54,DZ54)-1</f>
        <v>#VALUE!</v>
      </c>
      <c r="EB54" s="91" t="e">
        <f t="shared" ca="1" si="29"/>
        <v>#N/A</v>
      </c>
      <c r="EC54" s="91" t="e" cm="1">
        <f t="array" aca="1" ref="EC54" ca="1">INDEX(OFFSET(DY$21,0,0,$E$16+1,1),EB54)</f>
        <v>#N/A</v>
      </c>
      <c r="ED54" s="49" t="e" cm="1">
        <f t="array" aca="1" ref="ED54" ca="1">INDEX(OFFSET($E$21,0,0,$E$16+1,1),EB54)</f>
        <v>#N/A</v>
      </c>
      <c r="EE54" s="80" t="e" cm="1">
        <f t="array" aca="1" ref="EE54" ca="1">IF(ED54="G",5,INDEX(OFFSET($F$21,0,0,$E$16+1,1),EB54))</f>
        <v>#N/A</v>
      </c>
      <c r="EF54" s="80" t="e" cm="1">
        <f t="array" aca="1" ref="EF54" ca="1">IF(EC54=0,0,IF(ED54="G",-1,INDEX(auto_DataFlat_Classification,EC54,$E$11)))</f>
        <v>#N/A</v>
      </c>
      <c r="EG54" s="301" t="e" cm="1">
        <f t="array" aca="1" ref="EG54" ca="1">IF(EF54&lt;0,"",INDEX(uxbGlobals!$B$133:$B$139,EF54))</f>
        <v>#N/A</v>
      </c>
      <c r="EH54" s="80"/>
      <c r="EI54" s="302" t="e" cm="1">
        <f t="array" aca="1" ref="EI54" ca="1">IF(EE54=0,"",IF(ED54="G","--",INDEX(auto_DataFlat_Rank,EC54,$E$11)))</f>
        <v>#N/A</v>
      </c>
      <c r="EJ54" s="122" t="e" cm="1">
        <f t="array" aca="1" ref="EJ54" ca="1">IF(EE54=0,"",IF(ED54="G","AVERAGE",INDEX(auto_ddCountry,ED54)))</f>
        <v>#N/A</v>
      </c>
      <c r="EK54" s="290" t="e" cm="1">
        <f t="array" aca="1" ref="EK54" ca="1">IF(EE54=0,"",INDEX(auto_DataFlat_Score,EC54,$E$11))</f>
        <v>#N/A</v>
      </c>
      <c r="EL54" s="4"/>
      <c r="EM54" s="49">
        <f t="shared" si="46"/>
        <v>-1</v>
      </c>
      <c r="EN54" s="49" t="e" cm="1">
        <f t="array" ref="EN54">IF($F54=0,0,INDEX(sys_DataFlat_LU_Grid,EM54,$E54))</f>
        <v>#VALUE!</v>
      </c>
      <c r="EO54" s="49" t="e" cm="1">
        <f t="array" ref="EO54">IF($F54=0,-1000,CHOOSE($E$14,INDEX(auto_DataFlat_Score,EN54,$E$11),-INDEX(auto_DataFlat_Score,EN54,$E$11),-$D54))</f>
        <v>#VALUE!</v>
      </c>
      <c r="EP54" s="91" t="e">
        <f ca="1">RANK(EO54,OFFSET(EO$21,0,0,$E$16+1,1))+COUNTIF(EO$21:EO54,EO54)-1</f>
        <v>#VALUE!</v>
      </c>
      <c r="EQ54" s="91" t="e">
        <f t="shared" ca="1" si="30"/>
        <v>#N/A</v>
      </c>
      <c r="ER54" s="91" t="e" cm="1">
        <f t="array" aca="1" ref="ER54" ca="1">INDEX(OFFSET(EN$21,0,0,$E$16+1,1),EQ54)</f>
        <v>#N/A</v>
      </c>
      <c r="ES54" s="49" t="e" cm="1">
        <f t="array" aca="1" ref="ES54" ca="1">INDEX(OFFSET($E$21,0,0,$E$16+1,1),EQ54)</f>
        <v>#N/A</v>
      </c>
      <c r="ET54" s="80" t="e" cm="1">
        <f t="array" aca="1" ref="ET54" ca="1">IF(ES54="G",5,INDEX(OFFSET($F$21,0,0,$E$16+1,1),EQ54))</f>
        <v>#N/A</v>
      </c>
      <c r="EU54" s="80" t="e" cm="1">
        <f t="array" aca="1" ref="EU54" ca="1">IF(ER54=0,0,IF(ES54="G",-1,INDEX(auto_DataFlat_Classification,ER54,$E$11)))</f>
        <v>#N/A</v>
      </c>
      <c r="EV54" s="301" t="e" cm="1">
        <f t="array" aca="1" ref="EV54" ca="1">IF(EU54&lt;0,"",INDEX(uxbGlobals!$B$133:$B$139,EU54))</f>
        <v>#N/A</v>
      </c>
      <c r="EW54" s="80"/>
      <c r="EX54" s="302" t="e" cm="1">
        <f t="array" aca="1" ref="EX54" ca="1">IF(ET54=0,"",IF(ES54="G","--",INDEX(auto_DataFlat_Rank,ER54,$E$11)))</f>
        <v>#N/A</v>
      </c>
      <c r="EY54" s="122" t="e" cm="1">
        <f t="array" aca="1" ref="EY54" ca="1">IF(ET54=0,"",IF(ES54="G","AVERAGE",INDEX(auto_ddCountry,ES54)))</f>
        <v>#N/A</v>
      </c>
      <c r="EZ54" s="290" t="e" cm="1">
        <f t="array" aca="1" ref="EZ54" ca="1">IF(ET54=0,"",INDEX(auto_DataFlat_Score,ER54,$E$11))</f>
        <v>#N/A</v>
      </c>
    </row>
    <row r="55" spans="1:156" ht="17.149999999999999" customHeight="1" x14ac:dyDescent="0.4">
      <c r="A55" s="4"/>
      <c r="B55" s="4"/>
      <c r="C55" s="4"/>
      <c r="D55" s="26">
        <v>35</v>
      </c>
      <c r="E55" s="49">
        <f>tblCountries!M36</f>
        <v>34</v>
      </c>
      <c r="F55" s="114" cm="1">
        <f t="array" ref="F55">IF(E55=0,0,INDEX(auto_Country_Status,E55))</f>
        <v>1</v>
      </c>
      <c r="G55" s="4"/>
      <c r="H55" s="49">
        <f t="shared" si="31"/>
        <v>1</v>
      </c>
      <c r="I55" s="49" cm="1">
        <f t="array" ref="I55">IF($F55=0,0,INDEX(sys_DataFlat_LU_Grid,H55,$E55))</f>
        <v>34</v>
      </c>
      <c r="J55" s="49" cm="1">
        <f t="array" ref="J55">IF($F55=0,-1000,CHOOSE($E$14,INDEX(auto_DataFlat_Score,I55,$E$11),-INDEX(auto_DataFlat_Score,I55,$E$11),-$D55))</f>
        <v>79.099999999999994</v>
      </c>
      <c r="K55" s="91">
        <f ca="1">RANK(J55,OFFSET(J$21,0,0,$E$16+1,1))+COUNTIF(J$21:J55,J55)-1</f>
        <v>4</v>
      </c>
      <c r="L55" s="91">
        <f t="shared" ca="1" si="48"/>
        <v>33</v>
      </c>
      <c r="M55" s="91" cm="1">
        <f t="array" aca="1" ref="M55" ca="1">INDEX(OFFSET(I$21,0,0,$E$16+1,1),L55)</f>
        <v>32</v>
      </c>
      <c r="N55" s="49" cm="1">
        <f t="array" aca="1" ref="N55" ca="1">INDEX(OFFSET($E$21,0,0,$E$16+1,1),L55)</f>
        <v>32</v>
      </c>
      <c r="O55" s="80" cm="1">
        <f t="array" aca="1" ref="O55" ca="1">IF(N55="G",5,INDEX(OFFSET($F$21,0,0,$E$16+1,1),L55))</f>
        <v>1</v>
      </c>
      <c r="P55" s="80" cm="1">
        <f t="array" aca="1" ref="P55" ca="1">IF(M55=0,0,IF(N55="G",-1,INDEX(auto_DataFlat_Classification,M55,$E$11)))</f>
        <v>3</v>
      </c>
      <c r="Q55" s="301" t="str" cm="1">
        <f t="array" aca="1" ref="Q55" ca="1">IF(P55&lt;0,"",INDEX(uxbGlobals!$B$133:$B$139,P55))</f>
        <v xml:space="preserve"> </v>
      </c>
      <c r="R55" s="80"/>
      <c r="S55" s="302" t="str" cm="1">
        <f t="array" aca="1" ref="S55" ca="1">IF(O55=0,"",IF(N55="G","--",INDEX(auto_DataFlat_Rank,M55,$E$11)))</f>
        <v>34</v>
      </c>
      <c r="T55" s="122" t="str" cm="1">
        <f t="array" aca="1" ref="T55" ca="1">IF(O55=0,"",IF(N55="G"," AVERAGE",INDEX(auto_ddCountry,N55)))</f>
        <v>Mumbai</v>
      </c>
      <c r="U55" s="290" cm="1">
        <f t="array" aca="1" ref="U55" ca="1">IF(O55=0,"",INDEX(auto_DataFlat_Score,M55,$E$11))</f>
        <v>53.2</v>
      </c>
      <c r="V55" s="4"/>
      <c r="W55" s="49">
        <f t="shared" si="33"/>
        <v>2</v>
      </c>
      <c r="X55" s="49" cm="1">
        <f t="array" ref="X55">IF($F55=0,0,INDEX(sys_DataFlat_LU_Grid,W55,$E55))</f>
        <v>94</v>
      </c>
      <c r="Y55" s="49" cm="1">
        <f t="array" ref="Y55">IF($F55=0,-1000,CHOOSE($E$14,INDEX(auto_DataFlat_Score,X55,$E$11),-INDEX(auto_DataFlat_Score,X55,$E$11),-$D55))</f>
        <v>86.8</v>
      </c>
      <c r="Z55" s="91">
        <f ca="1">RANK(Y55,OFFSET(Y$21,0,0,$E$16+1,1))+COUNTIF(Y$21:Y55,Y55)-1</f>
        <v>8</v>
      </c>
      <c r="AA55" s="91">
        <f t="shared" ca="1" si="49"/>
        <v>38</v>
      </c>
      <c r="AB55" s="91" cm="1">
        <f t="array" aca="1" ref="AB55" ca="1">INDEX(OFFSET(X$21,0,0,$E$16+1,1),AA55)</f>
        <v>97</v>
      </c>
      <c r="AC55" s="49" cm="1">
        <f t="array" aca="1" ref="AC55" ca="1">INDEX(OFFSET($E$21,0,0,$E$16+1,1),AA55)</f>
        <v>37</v>
      </c>
      <c r="AD55" s="80" cm="1">
        <f t="array" aca="1" ref="AD55" ca="1">IF(AC55="G",5,INDEX(OFFSET($F$21,0,0,$E$16+1,1),AA55))</f>
        <v>1</v>
      </c>
      <c r="AE55" s="80" cm="1">
        <f t="array" aca="1" ref="AE55" ca="1">IF(AB55=0,0,IF(AC55="G",-1,INDEX(auto_DataFlat_Classification,AB55,$E$11)))</f>
        <v>3</v>
      </c>
      <c r="AF55" s="301" t="str" cm="1">
        <f t="array" aca="1" ref="AF55" ca="1">IF(AE55&lt;0,"",INDEX(uxbGlobals!$B$133:$B$139,AE55))</f>
        <v xml:space="preserve"> </v>
      </c>
      <c r="AG55" s="80"/>
      <c r="AH55" s="302" t="str" cm="1">
        <f t="array" aca="1" ref="AH55" ca="1">IF(AD55=0,"",IF(AC55="G","--",INDEX(auto_DataFlat_Rank,AB55,$E$11)))</f>
        <v>34</v>
      </c>
      <c r="AI55" s="122" t="str" cm="1">
        <f t="array" aca="1" ref="AI55" ca="1">IF(AD55=0,"",IF(AC55="G","AVERAGE",INDEX(auto_ddCountry,AC55)))</f>
        <v>Phnom Penh</v>
      </c>
      <c r="AJ55" s="290" cm="1">
        <f t="array" aca="1" ref="AJ55" ca="1">IF(AD55=0,"",INDEX(auto_DataFlat_Score,AB55,$E$11))</f>
        <v>58.5</v>
      </c>
      <c r="AK55" s="4"/>
      <c r="AL55" s="49">
        <f t="shared" si="35"/>
        <v>14</v>
      </c>
      <c r="AM55" s="49" cm="1">
        <f t="array" ref="AM55">IF($F55=0,0,INDEX(sys_DataFlat_LU_Grid,AL55,$E55))</f>
        <v>814</v>
      </c>
      <c r="AN55" s="49" cm="1">
        <f t="array" ref="AN55">IF($F55=0,-1000,CHOOSE($E$14,INDEX(auto_DataFlat_Score,AM55,$E$11),-INDEX(auto_DataFlat_Score,AM55,$E$11),-$D55))</f>
        <v>68.8</v>
      </c>
      <c r="AO55" s="91">
        <f ca="1">RANK(AN55,OFFSET(AN$21,0,0,$E$16+1,1))+COUNTIF(AN$21:AN55,AN55)-1</f>
        <v>10</v>
      </c>
      <c r="AP55" s="91">
        <f t="shared" ca="1" si="50"/>
        <v>17</v>
      </c>
      <c r="AQ55" s="91" cm="1">
        <f t="array" aca="1" ref="AQ55" ca="1">INDEX(OFFSET(AM$21,0,0,$E$16+1,1),AP55)</f>
        <v>796</v>
      </c>
      <c r="AR55" s="49" cm="1">
        <f t="array" aca="1" ref="AR55" ca="1">INDEX(OFFSET($E$21,0,0,$E$16+1,1),AP55)</f>
        <v>16</v>
      </c>
      <c r="AS55" s="80" cm="1">
        <f t="array" aca="1" ref="AS55" ca="1">IF(AR55="G",5,INDEX(OFFSET($F$21,0,0,$E$16+1,1),AP55))</f>
        <v>1</v>
      </c>
      <c r="AT55" s="80" cm="1">
        <f t="array" aca="1" ref="AT55" ca="1">IF(AQ55=0,0,IF(AR55="G",-1,INDEX(auto_DataFlat_Classification,AQ55,$E$11)))</f>
        <v>2</v>
      </c>
      <c r="AU55" s="301" t="str" cm="1">
        <f t="array" aca="1" ref="AU55" ca="1">IF(AT55&lt;0,"",INDEX(uxbGlobals!$B$133:$B$139,AT55))</f>
        <v xml:space="preserve"> </v>
      </c>
      <c r="AV55" s="80"/>
      <c r="AW55" s="302" t="str" cm="1">
        <f t="array" aca="1" ref="AW55" ca="1">IF(AS55=0,"",IF(AR55="G","--",INDEX(auto_DataFlat_Rank,AQ55,$E$11)))</f>
        <v>34</v>
      </c>
      <c r="AX55" s="122" t="str" cm="1">
        <f t="array" aca="1" ref="AX55" ca="1">IF(AS55=0,"",IF(AR55="G","AVERAGE",INDEX(auto_ddCountry,AR55)))</f>
        <v>Ho Chi Minh City</v>
      </c>
      <c r="AY55" s="290" cm="1">
        <f t="array" aca="1" ref="AY55" ca="1">IF(AS55=0,"",INDEX(auto_DataFlat_Score,AQ55,$E$11))</f>
        <v>38.5</v>
      </c>
      <c r="AZ55" s="4"/>
      <c r="BA55" s="49">
        <f t="shared" si="37"/>
        <v>22</v>
      </c>
      <c r="BB55" s="49" cm="1">
        <f t="array" ref="BB55">IF($F55=0,0,INDEX(sys_DataFlat_LU_Grid,BA55,$E55))</f>
        <v>1294</v>
      </c>
      <c r="BC55" s="49" cm="1">
        <f t="array" ref="BC55">IF($F55=0,-1000,CHOOSE($E$14,INDEX(auto_DataFlat_Score,BB55,$E$11),-INDEX(auto_DataFlat_Score,BB55,$E$11),-$D55))</f>
        <v>65.5</v>
      </c>
      <c r="BD55" s="91">
        <f ca="1">RANK(BC55,OFFSET(BC$21,0,0,$E$16+1,1))+COUNTIF(BC$21:BC55,BC55)-1</f>
        <v>20</v>
      </c>
      <c r="BE55" s="91">
        <f t="shared" ca="1" si="51"/>
        <v>12</v>
      </c>
      <c r="BF55" s="91" cm="1">
        <f t="array" aca="1" ref="BF55" ca="1">INDEX(OFFSET(BB$21,0,0,$E$16+1,1),BE55)</f>
        <v>1271</v>
      </c>
      <c r="BG55" s="49" cm="1">
        <f t="array" aca="1" ref="BG55" ca="1">INDEX(OFFSET($E$21,0,0,$E$16+1,1),BE55)</f>
        <v>11</v>
      </c>
      <c r="BH55" s="80" cm="1">
        <f t="array" aca="1" ref="BH55" ca="1">IF(BG55="G",5,INDEX(OFFSET($F$21,0,0,$E$16+1,1),BE55))</f>
        <v>1</v>
      </c>
      <c r="BI55" s="80" cm="1">
        <f t="array" aca="1" ref="BI55" ca="1">IF(BF55=0,0,IF(BG55="G",-1,INDEX(auto_DataFlat_Classification,BF55,$E$11)))</f>
        <v>3</v>
      </c>
      <c r="BJ55" s="301" t="str" cm="1">
        <f t="array" aca="1" ref="BJ55" ca="1">IF(BI55&lt;0,"",INDEX(uxbGlobals!$B$133:$B$139,BI55))</f>
        <v xml:space="preserve"> </v>
      </c>
      <c r="BK55" s="80"/>
      <c r="BL55" s="302" t="str" cm="1">
        <f t="array" aca="1" ref="BL55" ca="1">IF(BH55=0,"",IF(BG55="G","--",INDEX(auto_DataFlat_Rank,BF55,$E$11)))</f>
        <v>=34</v>
      </c>
      <c r="BM55" s="122" t="str" cm="1">
        <f t="array" aca="1" ref="BM55" ca="1">IF(BH55=0,"",IF(BG55="G","AVERAGE",INDEX(auto_ddCountry,BG55)))</f>
        <v>Colombo</v>
      </c>
      <c r="BN55" s="290" cm="1">
        <f t="array" aca="1" ref="BN55" ca="1">IF(BH55=0,"",INDEX(auto_DataFlat_Score,BF55,$E$11))</f>
        <v>45.6</v>
      </c>
      <c r="BO55" s="4"/>
      <c r="BP55" s="49">
        <f t="shared" si="39"/>
        <v>47</v>
      </c>
      <c r="BQ55" s="49" cm="1">
        <f t="array" ref="BQ55">IF($F55=0,0,INDEX(sys_DataFlat_LU_Grid,BP55,$E55))</f>
        <v>2794</v>
      </c>
      <c r="BR55" s="49" cm="1">
        <f t="array" ref="BR55">IF($F55=0,-1000,CHOOSE($E$14,INDEX(auto_DataFlat_Score,BQ55,$E$11),-INDEX(auto_DataFlat_Score,BQ55,$E$11),-$D55))</f>
        <v>91.9</v>
      </c>
      <c r="BS55" s="91">
        <f ca="1">RANK(BR55,OFFSET(BR$21,0,0,$E$16+1,1))+COUNTIF(BR$21:BR55,BR55)-1</f>
        <v>1</v>
      </c>
      <c r="BT55" s="91">
        <f t="shared" ca="1" si="52"/>
        <v>51</v>
      </c>
      <c r="BU55" s="91" cm="1">
        <f t="array" aca="1" ref="BU55" ca="1">INDEX(OFFSET(BQ$21,0,0,$E$16+1,1),BT55)</f>
        <v>2810</v>
      </c>
      <c r="BV55" s="49" cm="1">
        <f t="array" aca="1" ref="BV55" ca="1">INDEX(OFFSET($E$21,0,0,$E$16+1,1),BT55)</f>
        <v>50</v>
      </c>
      <c r="BW55" s="80" cm="1">
        <f t="array" aca="1" ref="BW55" ca="1">IF(BV55="G",5,INDEX(OFFSET($F$21,0,0,$E$16+1,1),BT55))</f>
        <v>1</v>
      </c>
      <c r="BX55" s="80" cm="1">
        <f t="array" aca="1" ref="BX55" ca="1">IF(BU55=0,0,IF(BV55="G",-1,INDEX(auto_DataFlat_Classification,BU55,$E$11)))</f>
        <v>3</v>
      </c>
      <c r="BY55" s="301" t="str" cm="1">
        <f t="array" aca="1" ref="BY55" ca="1">IF(BX55&lt;0,"",INDEX(uxbGlobals!$B$133:$B$139,BX55))</f>
        <v xml:space="preserve"> </v>
      </c>
      <c r="BZ55" s="80"/>
      <c r="CA55" s="302" t="str" cm="1">
        <f t="array" aca="1" ref="CA55" ca="1">IF(BW55=0,"",IF(BV55="G","--",INDEX(auto_DataFlat_Rank,BU55,$E$11)))</f>
        <v>34</v>
      </c>
      <c r="CB55" s="122" t="str" cm="1">
        <f t="array" aca="1" ref="CB55" ca="1">IF(BW55=0,"",IF(BV55="G","AVERAGE",INDEX(auto_ddCountry,BV55)))</f>
        <v>Yangon</v>
      </c>
      <c r="CC55" s="290" cm="1">
        <f t="array" aca="1" ref="CC55" ca="1">IF(BW55=0,"",INDEX(auto_DataFlat_Score,BU55,$E$11))</f>
        <v>51.6</v>
      </c>
      <c r="CD55" s="4"/>
      <c r="CE55" s="49">
        <f t="shared" si="41"/>
        <v>52</v>
      </c>
      <c r="CF55" s="49" cm="1">
        <f t="array" ref="CF55">IF($F55=0,0,INDEX(sys_DataFlat_LU_Grid,CE55,$E55))</f>
        <v>3094</v>
      </c>
      <c r="CG55" s="49" cm="1">
        <f t="array" ref="CG55">IF($F55=0,-1000,CHOOSE($E$14,INDEX(auto_DataFlat_Score,CF55,$E$11),-INDEX(auto_DataFlat_Score,CF55,$E$11),-$D55))</f>
        <v>87</v>
      </c>
      <c r="CH55" s="91">
        <f ca="1">RANK(CG55,OFFSET(CG$21,0,0,$E$16+1,1))+COUNTIF(CG$21:CG55,CG55)-1</f>
        <v>3</v>
      </c>
      <c r="CI55" s="91">
        <f t="shared" ca="1" si="53"/>
        <v>10</v>
      </c>
      <c r="CJ55" s="91" cm="1">
        <f t="array" aca="1" ref="CJ55" ca="1">INDEX(OFFSET(CF$21,0,0,$E$16+1,1),CI55)</f>
        <v>3069</v>
      </c>
      <c r="CK55" s="49" cm="1">
        <f t="array" aca="1" ref="CK55" ca="1">INDEX(OFFSET($E$21,0,0,$E$16+1,1),CI55)</f>
        <v>9</v>
      </c>
      <c r="CL55" s="80" cm="1">
        <f t="array" aca="1" ref="CL55" ca="1">IF(CK55="G",5,INDEX(OFFSET($F$21,0,0,$E$16+1,1),CI55))</f>
        <v>1</v>
      </c>
      <c r="CM55" s="80" cm="1">
        <f t="array" aca="1" ref="CM55" ca="1">IF(CJ55=0,0,IF(CK55="G",-1,INDEX(auto_DataFlat_Classification,CJ55,$E$11)))</f>
        <v>4</v>
      </c>
      <c r="CN55" s="301" t="str" cm="1">
        <f t="array" aca="1" ref="CN55" ca="1">IF(CM55&lt;0,"",INDEX(uxbGlobals!$B$133:$B$139,CM55))</f>
        <v xml:space="preserve"> </v>
      </c>
      <c r="CO55" s="80"/>
      <c r="CP55" s="302" t="str" cm="1">
        <f t="array" aca="1" ref="CP55" ca="1">IF(CL55=0,"",IF(CK55="G","--",INDEX(auto_DataFlat_Rank,CJ55,$E$11)))</f>
        <v>=34</v>
      </c>
      <c r="CQ55" s="122" t="str" cm="1">
        <f t="array" aca="1" ref="CQ55" ca="1">IF(CL55=0,"",IF(CK55="G","AVERAGE",INDEX(auto_ddCountry,CK55)))</f>
        <v>Budapest</v>
      </c>
      <c r="CR55" s="290" cm="1">
        <f t="array" aca="1" ref="CR55" ca="1">IF(CL55=0,"",INDEX(auto_DataFlat_Score,CJ55,$E$11))</f>
        <v>66.7</v>
      </c>
      <c r="CS55" s="4"/>
      <c r="CT55" s="49">
        <f t="shared" si="43"/>
        <v>-1</v>
      </c>
      <c r="CU55" s="49" t="e" cm="1">
        <f t="array" ref="CU55">IF($F55=0,0,INDEX(sys_DataFlat_LU_Grid,CT55,$E55))</f>
        <v>#VALUE!</v>
      </c>
      <c r="CV55" s="49" t="e" cm="1">
        <f t="array" ref="CV55">IF($F55=0,-1000,CHOOSE($E$14,INDEX(auto_DataFlat_Score,CU55,$E$11),-INDEX(auto_DataFlat_Score,CU55,$E$11),-$D55))</f>
        <v>#VALUE!</v>
      </c>
      <c r="CW55" s="91" t="e">
        <f ca="1">RANK(CV55,OFFSET(CV$21,0,0,$E$16+1,1))+COUNTIF(CV$21:CV55,CV55)-1</f>
        <v>#VALUE!</v>
      </c>
      <c r="CX55" s="91" t="e">
        <f t="shared" ca="1" si="47"/>
        <v>#N/A</v>
      </c>
      <c r="CY55" s="91" t="e" cm="1">
        <f t="array" aca="1" ref="CY55" ca="1">INDEX(OFFSET(CU$21,0,0,$E$16+1,1),CX55)</f>
        <v>#N/A</v>
      </c>
      <c r="CZ55" s="49" t="e" cm="1">
        <f t="array" aca="1" ref="CZ55" ca="1">INDEX(OFFSET($E$21,0,0,$E$16+1,1),CX55)</f>
        <v>#N/A</v>
      </c>
      <c r="DA55" s="80" t="e" cm="1">
        <f t="array" aca="1" ref="DA55" ca="1">IF(CZ55="G",5,INDEX(OFFSET($F$21,0,0,$E$16+1,1),CX55))</f>
        <v>#N/A</v>
      </c>
      <c r="DB55" s="80" t="e" cm="1">
        <f t="array" aca="1" ref="DB55" ca="1">IF(CY55=0,0,IF(CZ55="G",-1,INDEX(auto_DataFlat_Classification,CY55,$E$11)))</f>
        <v>#N/A</v>
      </c>
      <c r="DC55" s="301" t="e" cm="1">
        <f t="array" aca="1" ref="DC55" ca="1">IF(DB55&lt;0,"",INDEX(uxbGlobals!$B$133:$B$139,DB55))</f>
        <v>#N/A</v>
      </c>
      <c r="DD55" s="80"/>
      <c r="DE55" s="302" t="e" cm="1">
        <f t="array" aca="1" ref="DE55" ca="1">IF(DA55=0,"",IF(CZ55="G","--",INDEX(auto_DataFlat_Rank,CY55,$E$11)))</f>
        <v>#N/A</v>
      </c>
      <c r="DF55" s="122" t="e" cm="1">
        <f t="array" aca="1" ref="DF55" ca="1">IF(DA55=0,"",IF(CZ55="G","AVERAGE",INDEX(auto_ddCountry,CZ55)))</f>
        <v>#N/A</v>
      </c>
      <c r="DG55" s="290" t="e" cm="1">
        <f t="array" aca="1" ref="DG55" ca="1">IF(DA55=0,"",INDEX(auto_DataFlat_Score,CY55,$E$11))</f>
        <v>#N/A</v>
      </c>
      <c r="DH55" s="4"/>
      <c r="DI55" s="49">
        <f t="shared" si="44"/>
        <v>-1</v>
      </c>
      <c r="DJ55" s="49" t="e" cm="1">
        <f t="array" ref="DJ55">IF($F55=0,0,INDEX(sys_DataFlat_LU_Grid,DI55,$E55))</f>
        <v>#VALUE!</v>
      </c>
      <c r="DK55" s="49" t="e" cm="1">
        <f t="array" ref="DK55">IF($F55=0,-1000,CHOOSE($E$14,INDEX(auto_DataFlat_Score,DJ55,$E$11),-INDEX(auto_DataFlat_Score,DJ55,$E$11),-$D55))</f>
        <v>#VALUE!</v>
      </c>
      <c r="DL55" s="91" t="e">
        <f ca="1">RANK(DK55,OFFSET(DK$21,0,0,$E$16+1,1))+COUNTIF(DK$21:DK55,DK55)-1</f>
        <v>#VALUE!</v>
      </c>
      <c r="DM55" s="91" t="e">
        <f t="shared" ca="1" si="28"/>
        <v>#N/A</v>
      </c>
      <c r="DN55" s="91" t="e" cm="1">
        <f t="array" aca="1" ref="DN55" ca="1">INDEX(OFFSET(DJ$21,0,0,$E$16+1,1),DM55)</f>
        <v>#N/A</v>
      </c>
      <c r="DO55" s="49" t="e" cm="1">
        <f t="array" aca="1" ref="DO55" ca="1">INDEX(OFFSET($E$21,0,0,$E$16+1,1),DM55)</f>
        <v>#N/A</v>
      </c>
      <c r="DP55" s="80" t="e" cm="1">
        <f t="array" aca="1" ref="DP55" ca="1">IF(DO55="G",5,INDEX(OFFSET($F$21,0,0,$E$16+1,1),DM55))</f>
        <v>#N/A</v>
      </c>
      <c r="DQ55" s="80" t="e" cm="1">
        <f t="array" aca="1" ref="DQ55" ca="1">IF(DN55=0,0,IF(DO55="G",-1,INDEX(auto_DataFlat_Classification,DN55,$E$11)))</f>
        <v>#N/A</v>
      </c>
      <c r="DR55" s="301" t="e" cm="1">
        <f t="array" aca="1" ref="DR55" ca="1">IF(DQ55&lt;0,"",INDEX(uxbGlobals!$B$133:$B$139,DQ55))</f>
        <v>#N/A</v>
      </c>
      <c r="DS55" s="80"/>
      <c r="DT55" s="302" t="e" cm="1">
        <f t="array" aca="1" ref="DT55" ca="1">IF(DP55=0,"",IF(DO55="G","--",INDEX(auto_DataFlat_Rank,DN55,$E$11)))</f>
        <v>#N/A</v>
      </c>
      <c r="DU55" s="122" t="e" cm="1">
        <f t="array" aca="1" ref="DU55" ca="1">IF(DP55=0,"",IF(DO55="G","AVERAGE",INDEX(auto_ddCountry,DO55)))</f>
        <v>#N/A</v>
      </c>
      <c r="DV55" s="290" t="e" cm="1">
        <f t="array" aca="1" ref="DV55" ca="1">IF(DP55=0,"",INDEX(auto_DataFlat_Score,DN55,$E$11))</f>
        <v>#N/A</v>
      </c>
      <c r="DW55" s="4"/>
      <c r="DX55" s="49">
        <f t="shared" si="45"/>
        <v>-1</v>
      </c>
      <c r="DY55" s="49" t="e" cm="1">
        <f t="array" ref="DY55">IF($F55=0,0,INDEX(sys_DataFlat_LU_Grid,DX55,$E55))</f>
        <v>#VALUE!</v>
      </c>
      <c r="DZ55" s="49" t="e" cm="1">
        <f t="array" ref="DZ55">IF($F55=0,-1000,CHOOSE($E$14,INDEX(auto_DataFlat_Score,DY55,$E$11),-INDEX(auto_DataFlat_Score,DY55,$E$11),-$D55))</f>
        <v>#VALUE!</v>
      </c>
      <c r="EA55" s="91" t="e">
        <f ca="1">RANK(DZ55,OFFSET(DZ$21,0,0,$E$16+1,1))+COUNTIF(DZ$21:DZ55,DZ55)-1</f>
        <v>#VALUE!</v>
      </c>
      <c r="EB55" s="91" t="e">
        <f t="shared" ca="1" si="29"/>
        <v>#N/A</v>
      </c>
      <c r="EC55" s="91" t="e" cm="1">
        <f t="array" aca="1" ref="EC55" ca="1">INDEX(OFFSET(DY$21,0,0,$E$16+1,1),EB55)</f>
        <v>#N/A</v>
      </c>
      <c r="ED55" s="49" t="e" cm="1">
        <f t="array" aca="1" ref="ED55" ca="1">INDEX(OFFSET($E$21,0,0,$E$16+1,1),EB55)</f>
        <v>#N/A</v>
      </c>
      <c r="EE55" s="80" t="e" cm="1">
        <f t="array" aca="1" ref="EE55" ca="1">IF(ED55="G",5,INDEX(OFFSET($F$21,0,0,$E$16+1,1),EB55))</f>
        <v>#N/A</v>
      </c>
      <c r="EF55" s="80" t="e" cm="1">
        <f t="array" aca="1" ref="EF55" ca="1">IF(EC55=0,0,IF(ED55="G",-1,INDEX(auto_DataFlat_Classification,EC55,$E$11)))</f>
        <v>#N/A</v>
      </c>
      <c r="EG55" s="301" t="e" cm="1">
        <f t="array" aca="1" ref="EG55" ca="1">IF(EF55&lt;0,"",INDEX(uxbGlobals!$B$133:$B$139,EF55))</f>
        <v>#N/A</v>
      </c>
      <c r="EH55" s="80"/>
      <c r="EI55" s="302" t="e" cm="1">
        <f t="array" aca="1" ref="EI55" ca="1">IF(EE55=0,"",IF(ED55="G","--",INDEX(auto_DataFlat_Rank,EC55,$E$11)))</f>
        <v>#N/A</v>
      </c>
      <c r="EJ55" s="122" t="e" cm="1">
        <f t="array" aca="1" ref="EJ55" ca="1">IF(EE55=0,"",IF(ED55="G","AVERAGE",INDEX(auto_ddCountry,ED55)))</f>
        <v>#N/A</v>
      </c>
      <c r="EK55" s="290" t="e" cm="1">
        <f t="array" aca="1" ref="EK55" ca="1">IF(EE55=0,"",INDEX(auto_DataFlat_Score,EC55,$E$11))</f>
        <v>#N/A</v>
      </c>
      <c r="EL55" s="4"/>
      <c r="EM55" s="49">
        <f t="shared" si="46"/>
        <v>-1</v>
      </c>
      <c r="EN55" s="49" t="e" cm="1">
        <f t="array" ref="EN55">IF($F55=0,0,INDEX(sys_DataFlat_LU_Grid,EM55,$E55))</f>
        <v>#VALUE!</v>
      </c>
      <c r="EO55" s="49" t="e" cm="1">
        <f t="array" ref="EO55">IF($F55=0,-1000,CHOOSE($E$14,INDEX(auto_DataFlat_Score,EN55,$E$11),-INDEX(auto_DataFlat_Score,EN55,$E$11),-$D55))</f>
        <v>#VALUE!</v>
      </c>
      <c r="EP55" s="91" t="e">
        <f ca="1">RANK(EO55,OFFSET(EO$21,0,0,$E$16+1,1))+COUNTIF(EO$21:EO55,EO55)-1</f>
        <v>#VALUE!</v>
      </c>
      <c r="EQ55" s="91" t="e">
        <f t="shared" ca="1" si="30"/>
        <v>#N/A</v>
      </c>
      <c r="ER55" s="91" t="e" cm="1">
        <f t="array" aca="1" ref="ER55" ca="1">INDEX(OFFSET(EN$21,0,0,$E$16+1,1),EQ55)</f>
        <v>#N/A</v>
      </c>
      <c r="ES55" s="49" t="e" cm="1">
        <f t="array" aca="1" ref="ES55" ca="1">INDEX(OFFSET($E$21,0,0,$E$16+1,1),EQ55)</f>
        <v>#N/A</v>
      </c>
      <c r="ET55" s="80" t="e" cm="1">
        <f t="array" aca="1" ref="ET55" ca="1">IF(ES55="G",5,INDEX(OFFSET($F$21,0,0,$E$16+1,1),EQ55))</f>
        <v>#N/A</v>
      </c>
      <c r="EU55" s="80" t="e" cm="1">
        <f t="array" aca="1" ref="EU55" ca="1">IF(ER55=0,0,IF(ES55="G",-1,INDEX(auto_DataFlat_Classification,ER55,$E$11)))</f>
        <v>#N/A</v>
      </c>
      <c r="EV55" s="301" t="e" cm="1">
        <f t="array" aca="1" ref="EV55" ca="1">IF(EU55&lt;0,"",INDEX(uxbGlobals!$B$133:$B$139,EU55))</f>
        <v>#N/A</v>
      </c>
      <c r="EW55" s="80"/>
      <c r="EX55" s="302" t="e" cm="1">
        <f t="array" aca="1" ref="EX55" ca="1">IF(ET55=0,"",IF(ES55="G","--",INDEX(auto_DataFlat_Rank,ER55,$E$11)))</f>
        <v>#N/A</v>
      </c>
      <c r="EY55" s="122" t="e" cm="1">
        <f t="array" aca="1" ref="EY55" ca="1">IF(ET55=0,"",IF(ES55="G","AVERAGE",INDEX(auto_ddCountry,ES55)))</f>
        <v>#N/A</v>
      </c>
      <c r="EZ55" s="290" t="e" cm="1">
        <f t="array" aca="1" ref="EZ55" ca="1">IF(ET55=0,"",INDEX(auto_DataFlat_Score,ER55,$E$11))</f>
        <v>#N/A</v>
      </c>
    </row>
    <row r="56" spans="1:156" ht="17.149999999999999" customHeight="1" x14ac:dyDescent="0.4">
      <c r="A56" s="4"/>
      <c r="B56" s="4"/>
      <c r="C56" s="4"/>
      <c r="D56" s="26">
        <v>36</v>
      </c>
      <c r="E56" s="49">
        <f>tblCountries!M37</f>
        <v>35</v>
      </c>
      <c r="F56" s="114" cm="1">
        <f t="array" ref="F56">IF(E56=0,0,INDEX(auto_Country_Status,E56))</f>
        <v>1</v>
      </c>
      <c r="G56" s="4"/>
      <c r="H56" s="49">
        <f t="shared" si="31"/>
        <v>1</v>
      </c>
      <c r="I56" s="49" cm="1">
        <f t="array" ref="I56">IF($F56=0,0,INDEX(sys_DataFlat_LU_Grid,H56,$E56))</f>
        <v>35</v>
      </c>
      <c r="J56" s="49" cm="1">
        <f t="array" ref="J56">IF($F56=0,-1000,CHOOSE($E$14,INDEX(auto_DataFlat_Score,I56,$E$11),-INDEX(auto_DataFlat_Score,I56,$E$11),-$D56))</f>
        <v>74.2</v>
      </c>
      <c r="K56" s="91">
        <f ca="1">RANK(J56,OFFSET(J$21,0,0,$E$16+1,1))+COUNTIF(J$21:J56,J56)-1</f>
        <v>13</v>
      </c>
      <c r="L56" s="91">
        <f t="shared" ca="1" si="48"/>
        <v>21</v>
      </c>
      <c r="M56" s="91" cm="1">
        <f t="array" aca="1" ref="M56" ca="1">INDEX(OFFSET(I$21,0,0,$E$16+1,1),L56)</f>
        <v>20</v>
      </c>
      <c r="N56" s="49" cm="1">
        <f t="array" aca="1" ref="N56" ca="1">INDEX(OFFSET($E$21,0,0,$E$16+1,1),L56)</f>
        <v>20</v>
      </c>
      <c r="O56" s="80" cm="1">
        <f t="array" aca="1" ref="O56" ca="1">IF(N56="G",5,INDEX(OFFSET($F$21,0,0,$E$16+1,1),L56))</f>
        <v>1</v>
      </c>
      <c r="P56" s="80" cm="1">
        <f t="array" aca="1" ref="P56" ca="1">IF(M56=0,0,IF(N56="G",-1,INDEX(auto_DataFlat_Classification,M56,$E$11)))</f>
        <v>3</v>
      </c>
      <c r="Q56" s="301" t="str" cm="1">
        <f t="array" aca="1" ref="Q56" ca="1">IF(P56&lt;0,"",INDEX(uxbGlobals!$B$133:$B$139,P56))</f>
        <v xml:space="preserve"> </v>
      </c>
      <c r="R56" s="80"/>
      <c r="S56" s="302" t="str" cm="1">
        <f t="array" aca="1" ref="S56" ca="1">IF(O56=0,"",IF(N56="G","--",INDEX(auto_DataFlat_Rank,M56,$E$11)))</f>
        <v>35</v>
      </c>
      <c r="T56" s="122" t="str" cm="1">
        <f t="array" aca="1" ref="T56" ca="1">IF(O56=0,"",IF(N56="G"," AVERAGE",INDEX(auto_ddCountry,N56)))</f>
        <v>Johannesburg</v>
      </c>
      <c r="U56" s="290" cm="1">
        <f t="array" aca="1" ref="U56" ca="1">IF(O56=0,"",INDEX(auto_DataFlat_Score,M56,$E$11))</f>
        <v>52.5</v>
      </c>
      <c r="V56" s="4"/>
      <c r="W56" s="49">
        <f t="shared" si="33"/>
        <v>2</v>
      </c>
      <c r="X56" s="49" cm="1">
        <f t="array" ref="X56">IF($F56=0,0,INDEX(sys_DataFlat_LU_Grid,W56,$E56))</f>
        <v>95</v>
      </c>
      <c r="Y56" s="49" cm="1">
        <f t="array" ref="Y56">IF($F56=0,-1000,CHOOSE($E$14,INDEX(auto_DataFlat_Score,X56,$E$11),-INDEX(auto_DataFlat_Score,X56,$E$11),-$D56))</f>
        <v>84.2</v>
      </c>
      <c r="Z56" s="91">
        <f ca="1">RANK(Y56,OFFSET(Y$21,0,0,$E$16+1,1))+COUNTIF(Y$21:Y56,Y56)-1</f>
        <v>14</v>
      </c>
      <c r="AA56" s="91">
        <f t="shared" ca="1" si="49"/>
        <v>29</v>
      </c>
      <c r="AB56" s="91" cm="1">
        <f t="array" aca="1" ref="AB56" ca="1">INDEX(OFFSET(X$21,0,0,$E$16+1,1),AA56)</f>
        <v>88</v>
      </c>
      <c r="AC56" s="49" cm="1">
        <f t="array" aca="1" ref="AC56" ca="1">INDEX(OFFSET($E$21,0,0,$E$16+1,1),AA56)</f>
        <v>28</v>
      </c>
      <c r="AD56" s="80" cm="1">
        <f t="array" aca="1" ref="AD56" ca="1">IF(AC56="G",5,INDEX(OFFSET($F$21,0,0,$E$16+1,1),AA56))</f>
        <v>1</v>
      </c>
      <c r="AE56" s="80" cm="1">
        <f t="array" aca="1" ref="AE56" ca="1">IF(AB56=0,0,IF(AC56="G",-1,INDEX(auto_DataFlat_Classification,AB56,$E$11)))</f>
        <v>3</v>
      </c>
      <c r="AF56" s="301" t="str" cm="1">
        <f t="array" aca="1" ref="AF56" ca="1">IF(AE56&lt;0,"",INDEX(uxbGlobals!$B$133:$B$139,AE56))</f>
        <v xml:space="preserve"> </v>
      </c>
      <c r="AG56" s="80"/>
      <c r="AH56" s="302" t="str" cm="1">
        <f t="array" aca="1" ref="AH56" ca="1">IF(AD56=0,"",IF(AC56="G","--",INDEX(auto_DataFlat_Rank,AB56,$E$11)))</f>
        <v>35</v>
      </c>
      <c r="AI56" s="122" t="str" cm="1">
        <f t="array" aca="1" ref="AI56" ca="1">IF(AD56=0,"",IF(AC56="G","AVERAGE",INDEX(auto_ddCountry,AC56)))</f>
        <v>Manila</v>
      </c>
      <c r="AJ56" s="290" cm="1">
        <f t="array" aca="1" ref="AJ56" ca="1">IF(AD56=0,"",INDEX(auto_DataFlat_Score,AB56,$E$11))</f>
        <v>58</v>
      </c>
      <c r="AK56" s="4"/>
      <c r="AL56" s="49">
        <f t="shared" si="35"/>
        <v>14</v>
      </c>
      <c r="AM56" s="49" cm="1">
        <f t="array" ref="AM56">IF($F56=0,0,INDEX(sys_DataFlat_LU_Grid,AL56,$E56))</f>
        <v>815</v>
      </c>
      <c r="AN56" s="49" cm="1">
        <f t="array" ref="AN56">IF($F56=0,-1000,CHOOSE($E$14,INDEX(auto_DataFlat_Score,AM56,$E$11),-INDEX(auto_DataFlat_Score,AM56,$E$11),-$D56))</f>
        <v>59.3</v>
      </c>
      <c r="AO56" s="91">
        <f ca="1">RANK(AN56,OFFSET(AN$21,0,0,$E$16+1,1))+COUNTIF(AN$21:AN56,AN56)-1</f>
        <v>19</v>
      </c>
      <c r="AP56" s="91">
        <f t="shared" ca="1" si="50"/>
        <v>4</v>
      </c>
      <c r="AQ56" s="91" cm="1">
        <f t="array" aca="1" ref="AQ56" ca="1">INDEX(OFFSET(AM$21,0,0,$E$16+1,1),AP56)</f>
        <v>783</v>
      </c>
      <c r="AR56" s="49" cm="1">
        <f t="array" aca="1" ref="AR56" ca="1">INDEX(OFFSET($E$21,0,0,$E$16+1,1),AP56)</f>
        <v>3</v>
      </c>
      <c r="AS56" s="80" cm="1">
        <f t="array" aca="1" ref="AS56" ca="1">IF(AR56="G",5,INDEX(OFFSET($F$21,0,0,$E$16+1,1),AP56))</f>
        <v>1</v>
      </c>
      <c r="AT56" s="80" cm="1">
        <f t="array" aca="1" ref="AT56" ca="1">IF(AQ56=0,0,IF(AR56="G",-1,INDEX(auto_DataFlat_Classification,AQ56,$E$11)))</f>
        <v>2</v>
      </c>
      <c r="AU56" s="301" t="str" cm="1">
        <f t="array" aca="1" ref="AU56" ca="1">IF(AT56&lt;0,"",INDEX(uxbGlobals!$B$133:$B$139,AT56))</f>
        <v xml:space="preserve"> </v>
      </c>
      <c r="AV56" s="80"/>
      <c r="AW56" s="302" t="str" cm="1">
        <f t="array" aca="1" ref="AW56" ca="1">IF(AS56=0,"",IF(AR56="G","--",INDEX(auto_DataFlat_Rank,AQ56,$E$11)))</f>
        <v>35</v>
      </c>
      <c r="AX56" s="122" t="str" cm="1">
        <f t="array" aca="1" ref="AX56" ca="1">IF(AS56=0,"",IF(AR56="G","AVERAGE",INDEX(auto_ddCountry,AR56)))</f>
        <v>Atlanta</v>
      </c>
      <c r="AY56" s="290" cm="1">
        <f t="array" aca="1" ref="AY56" ca="1">IF(AS56=0,"",INDEX(auto_DataFlat_Score,AQ56,$E$11))</f>
        <v>37.700000000000003</v>
      </c>
      <c r="AZ56" s="4"/>
      <c r="BA56" s="49">
        <f t="shared" si="37"/>
        <v>22</v>
      </c>
      <c r="BB56" s="49" cm="1">
        <f t="array" ref="BB56">IF($F56=0,0,INDEX(sys_DataFlat_LU_Grid,BA56,$E56))</f>
        <v>1295</v>
      </c>
      <c r="BC56" s="49" cm="1">
        <f t="array" ref="BC56">IF($F56=0,-1000,CHOOSE($E$14,INDEX(auto_DataFlat_Score,BB56,$E$11),-INDEX(auto_DataFlat_Score,BB56,$E$11),-$D56))</f>
        <v>80.7</v>
      </c>
      <c r="BD56" s="91">
        <f ca="1">RANK(BC56,OFFSET(BC$21,0,0,$E$16+1,1))+COUNTIF(BC$21:BC56,BC56)-1</f>
        <v>4</v>
      </c>
      <c r="BE56" s="91">
        <f t="shared" ca="1" si="51"/>
        <v>21</v>
      </c>
      <c r="BF56" s="91" cm="1">
        <f t="array" aca="1" ref="BF56" ca="1">INDEX(OFFSET(BB$21,0,0,$E$16+1,1),BE56)</f>
        <v>1280</v>
      </c>
      <c r="BG56" s="49" cm="1">
        <f t="array" aca="1" ref="BG56" ca="1">INDEX(OFFSET($E$21,0,0,$E$16+1,1),BE56)</f>
        <v>20</v>
      </c>
      <c r="BH56" s="80" cm="1">
        <f t="array" aca="1" ref="BH56" ca="1">IF(BG56="G",5,INDEX(OFFSET($F$21,0,0,$E$16+1,1),BE56))</f>
        <v>1</v>
      </c>
      <c r="BI56" s="80" cm="1">
        <f t="array" aca="1" ref="BI56" ca="1">IF(BF56=0,0,IF(BG56="G",-1,INDEX(auto_DataFlat_Classification,BF56,$E$11)))</f>
        <v>3</v>
      </c>
      <c r="BJ56" s="301" t="str" cm="1">
        <f t="array" aca="1" ref="BJ56" ca="1">IF(BI56&lt;0,"",INDEX(uxbGlobals!$B$133:$B$139,BI56))</f>
        <v xml:space="preserve"> </v>
      </c>
      <c r="BK56" s="80"/>
      <c r="BL56" s="302" t="str" cm="1">
        <f t="array" aca="1" ref="BL56" ca="1">IF(BH56=0,"",IF(BG56="G","--",INDEX(auto_DataFlat_Rank,BF56,$E$11)))</f>
        <v>=34</v>
      </c>
      <c r="BM56" s="122" t="str" cm="1">
        <f t="array" aca="1" ref="BM56" ca="1">IF(BH56=0,"",IF(BG56="G","AVERAGE",INDEX(auto_ddCountry,BG56)))</f>
        <v>Johannesburg</v>
      </c>
      <c r="BN56" s="290" cm="1">
        <f t="array" aca="1" ref="BN56" ca="1">IF(BH56=0,"",INDEX(auto_DataFlat_Score,BF56,$E$11))</f>
        <v>45.6</v>
      </c>
      <c r="BO56" s="4"/>
      <c r="BP56" s="49">
        <f t="shared" si="39"/>
        <v>47</v>
      </c>
      <c r="BQ56" s="49" cm="1">
        <f t="array" ref="BQ56">IF($F56=0,0,INDEX(sys_DataFlat_LU_Grid,BP56,$E56))</f>
        <v>2795</v>
      </c>
      <c r="BR56" s="49" cm="1">
        <f t="array" ref="BR56">IF($F56=0,-1000,CHOOSE($E$14,INDEX(auto_DataFlat_Score,BQ56,$E$11),-INDEX(auto_DataFlat_Score,BQ56,$E$11),-$D56))</f>
        <v>80.400000000000006</v>
      </c>
      <c r="BS56" s="91">
        <f ca="1">RANK(BR56,OFFSET(BR$21,0,0,$E$16+1,1))+COUNTIF(BR$21:BR56,BR56)-1</f>
        <v>14</v>
      </c>
      <c r="BT56" s="91">
        <f t="shared" ca="1" si="52"/>
        <v>44</v>
      </c>
      <c r="BU56" s="91" cm="1">
        <f t="array" aca="1" ref="BU56" ca="1">INDEX(OFFSET(BQ$21,0,0,$E$16+1,1),BT56)</f>
        <v>2803</v>
      </c>
      <c r="BV56" s="49" cm="1">
        <f t="array" aca="1" ref="BV56" ca="1">INDEX(OFFSET($E$21,0,0,$E$16+1,1),BT56)</f>
        <v>43</v>
      </c>
      <c r="BW56" s="80" cm="1">
        <f t="array" aca="1" ref="BW56" ca="1">IF(BV56="G",5,INDEX(OFFSET($F$21,0,0,$E$16+1,1),BT56))</f>
        <v>1</v>
      </c>
      <c r="BX56" s="80" cm="1">
        <f t="array" aca="1" ref="BX56" ca="1">IF(BU56=0,0,IF(BV56="G",-1,INDEX(auto_DataFlat_Classification,BU56,$E$11)))</f>
        <v>3</v>
      </c>
      <c r="BY56" s="301" t="str" cm="1">
        <f t="array" aca="1" ref="BY56" ca="1">IF(BX56&lt;0,"",INDEX(uxbGlobals!$B$133:$B$139,BX56))</f>
        <v xml:space="preserve"> </v>
      </c>
      <c r="BZ56" s="80"/>
      <c r="CA56" s="302" t="str" cm="1">
        <f t="array" aca="1" ref="CA56" ca="1">IF(BW56=0,"",IF(BV56="G","--",INDEX(auto_DataFlat_Rank,BU56,$E$11)))</f>
        <v>=35</v>
      </c>
      <c r="CB56" s="122" t="str" cm="1">
        <f t="array" aca="1" ref="CB56" ca="1">IF(BW56=0,"",IF(BV56="G","AVERAGE",INDEX(auto_ddCountry,BV56)))</f>
        <v>Shanghai</v>
      </c>
      <c r="CC56" s="290" cm="1">
        <f t="array" aca="1" ref="CC56" ca="1">IF(BW56=0,"",INDEX(auto_DataFlat_Score,BU56,$E$11))</f>
        <v>50.1</v>
      </c>
      <c r="CD56" s="4"/>
      <c r="CE56" s="49">
        <f t="shared" si="41"/>
        <v>52</v>
      </c>
      <c r="CF56" s="49" cm="1">
        <f t="array" ref="CF56">IF($F56=0,0,INDEX(sys_DataFlat_LU_Grid,CE56,$E56))</f>
        <v>3095</v>
      </c>
      <c r="CG56" s="49" cm="1">
        <f t="array" ref="CG56">IF($F56=0,-1000,CHOOSE($E$14,INDEX(auto_DataFlat_Score,CF56,$E$11),-INDEX(auto_DataFlat_Score,CF56,$E$11),-$D56))</f>
        <v>68.5</v>
      </c>
      <c r="CH56" s="91">
        <f ca="1">RANK(CG56,OFFSET(CG$21,0,0,$E$16+1,1))+COUNTIF(CG$21:CG56,CG56)-1</f>
        <v>32</v>
      </c>
      <c r="CI56" s="91">
        <f t="shared" ca="1" si="53"/>
        <v>40</v>
      </c>
      <c r="CJ56" s="91" cm="1">
        <f t="array" aca="1" ref="CJ56" ca="1">INDEX(OFFSET(CF$21,0,0,$E$16+1,1),CI56)</f>
        <v>3099</v>
      </c>
      <c r="CK56" s="49" cm="1">
        <f t="array" aca="1" ref="CK56" ca="1">INDEX(OFFSET($E$21,0,0,$E$16+1,1),CI56)</f>
        <v>39</v>
      </c>
      <c r="CL56" s="80" cm="1">
        <f t="array" aca="1" ref="CL56" ca="1">IF(CK56="G",5,INDEX(OFFSET($F$21,0,0,$E$16+1,1),CI56))</f>
        <v>1</v>
      </c>
      <c r="CM56" s="80" cm="1">
        <f t="array" aca="1" ref="CM56" ca="1">IF(CJ56=0,0,IF(CK56="G",-1,INDEX(auto_DataFlat_Classification,CJ56,$E$11)))</f>
        <v>4</v>
      </c>
      <c r="CN56" s="301" t="str" cm="1">
        <f t="array" aca="1" ref="CN56" ca="1">IF(CM56&lt;0,"",INDEX(uxbGlobals!$B$133:$B$139,CM56))</f>
        <v xml:space="preserve"> </v>
      </c>
      <c r="CO56" s="80"/>
      <c r="CP56" s="302" t="str" cm="1">
        <f t="array" aca="1" ref="CP56" ca="1">IF(CL56=0,"",IF(CK56="G","--",INDEX(auto_DataFlat_Rank,CJ56,$E$11)))</f>
        <v>=34</v>
      </c>
      <c r="CQ56" s="122" t="str" cm="1">
        <f t="array" aca="1" ref="CQ56" ca="1">IF(CL56=0,"",IF(CK56="G","AVERAGE",INDEX(auto_ddCountry,CK56)))</f>
        <v>Rome</v>
      </c>
      <c r="CR56" s="290" cm="1">
        <f t="array" aca="1" ref="CR56" ca="1">IF(CL56=0,"",INDEX(auto_DataFlat_Score,CJ56,$E$11))</f>
        <v>66.7</v>
      </c>
      <c r="CS56" s="4"/>
      <c r="CT56" s="49">
        <f t="shared" si="43"/>
        <v>-1</v>
      </c>
      <c r="CU56" s="49" t="e" cm="1">
        <f t="array" ref="CU56">IF($F56=0,0,INDEX(sys_DataFlat_LU_Grid,CT56,$E56))</f>
        <v>#VALUE!</v>
      </c>
      <c r="CV56" s="49" t="e" cm="1">
        <f t="array" ref="CV56">IF($F56=0,-1000,CHOOSE($E$14,INDEX(auto_DataFlat_Score,CU56,$E$11),-INDEX(auto_DataFlat_Score,CU56,$E$11),-$D56))</f>
        <v>#VALUE!</v>
      </c>
      <c r="CW56" s="91" t="e">
        <f ca="1">RANK(CV56,OFFSET(CV$21,0,0,$E$16+1,1))+COUNTIF(CV$21:CV56,CV56)-1</f>
        <v>#VALUE!</v>
      </c>
      <c r="CX56" s="91" t="e">
        <f t="shared" ca="1" si="47"/>
        <v>#N/A</v>
      </c>
      <c r="CY56" s="91" t="e" cm="1">
        <f t="array" aca="1" ref="CY56" ca="1">INDEX(OFFSET(CU$21,0,0,$E$16+1,1),CX56)</f>
        <v>#N/A</v>
      </c>
      <c r="CZ56" s="49" t="e" cm="1">
        <f t="array" aca="1" ref="CZ56" ca="1">INDEX(OFFSET($E$21,0,0,$E$16+1,1),CX56)</f>
        <v>#N/A</v>
      </c>
      <c r="DA56" s="80" t="e" cm="1">
        <f t="array" aca="1" ref="DA56" ca="1">IF(CZ56="G",5,INDEX(OFFSET($F$21,0,0,$E$16+1,1),CX56))</f>
        <v>#N/A</v>
      </c>
      <c r="DB56" s="80" t="e" cm="1">
        <f t="array" aca="1" ref="DB56" ca="1">IF(CY56=0,0,IF(CZ56="G",-1,INDEX(auto_DataFlat_Classification,CY56,$E$11)))</f>
        <v>#N/A</v>
      </c>
      <c r="DC56" s="301" t="e" cm="1">
        <f t="array" aca="1" ref="DC56" ca="1">IF(DB56&lt;0,"",INDEX(uxbGlobals!$B$133:$B$139,DB56))</f>
        <v>#N/A</v>
      </c>
      <c r="DD56" s="80"/>
      <c r="DE56" s="302" t="e" cm="1">
        <f t="array" aca="1" ref="DE56" ca="1">IF(DA56=0,"",IF(CZ56="G","--",INDEX(auto_DataFlat_Rank,CY56,$E$11)))</f>
        <v>#N/A</v>
      </c>
      <c r="DF56" s="122" t="e" cm="1">
        <f t="array" aca="1" ref="DF56" ca="1">IF(DA56=0,"",IF(CZ56="G","AVERAGE",INDEX(auto_ddCountry,CZ56)))</f>
        <v>#N/A</v>
      </c>
      <c r="DG56" s="290" t="e" cm="1">
        <f t="array" aca="1" ref="DG56" ca="1">IF(DA56=0,"",INDEX(auto_DataFlat_Score,CY56,$E$11))</f>
        <v>#N/A</v>
      </c>
      <c r="DH56" s="4"/>
      <c r="DI56" s="49">
        <f t="shared" si="44"/>
        <v>-1</v>
      </c>
      <c r="DJ56" s="49" t="e" cm="1">
        <f t="array" ref="DJ56">IF($F56=0,0,INDEX(sys_DataFlat_LU_Grid,DI56,$E56))</f>
        <v>#VALUE!</v>
      </c>
      <c r="DK56" s="49" t="e" cm="1">
        <f t="array" ref="DK56">IF($F56=0,-1000,CHOOSE($E$14,INDEX(auto_DataFlat_Score,DJ56,$E$11),-INDEX(auto_DataFlat_Score,DJ56,$E$11),-$D56))</f>
        <v>#VALUE!</v>
      </c>
      <c r="DL56" s="91" t="e">
        <f ca="1">RANK(DK56,OFFSET(DK$21,0,0,$E$16+1,1))+COUNTIF(DK$21:DK56,DK56)-1</f>
        <v>#VALUE!</v>
      </c>
      <c r="DM56" s="91" t="e">
        <f t="shared" ca="1" si="28"/>
        <v>#N/A</v>
      </c>
      <c r="DN56" s="91" t="e" cm="1">
        <f t="array" aca="1" ref="DN56" ca="1">INDEX(OFFSET(DJ$21,0,0,$E$16+1,1),DM56)</f>
        <v>#N/A</v>
      </c>
      <c r="DO56" s="49" t="e" cm="1">
        <f t="array" aca="1" ref="DO56" ca="1">INDEX(OFFSET($E$21,0,0,$E$16+1,1),DM56)</f>
        <v>#N/A</v>
      </c>
      <c r="DP56" s="80" t="e" cm="1">
        <f t="array" aca="1" ref="DP56" ca="1">IF(DO56="G",5,INDEX(OFFSET($F$21,0,0,$E$16+1,1),DM56))</f>
        <v>#N/A</v>
      </c>
      <c r="DQ56" s="80" t="e" cm="1">
        <f t="array" aca="1" ref="DQ56" ca="1">IF(DN56=0,0,IF(DO56="G",-1,INDEX(auto_DataFlat_Classification,DN56,$E$11)))</f>
        <v>#N/A</v>
      </c>
      <c r="DR56" s="301" t="e" cm="1">
        <f t="array" aca="1" ref="DR56" ca="1">IF(DQ56&lt;0,"",INDEX(uxbGlobals!$B$133:$B$139,DQ56))</f>
        <v>#N/A</v>
      </c>
      <c r="DS56" s="80"/>
      <c r="DT56" s="302" t="e" cm="1">
        <f t="array" aca="1" ref="DT56" ca="1">IF(DP56=0,"",IF(DO56="G","--",INDEX(auto_DataFlat_Rank,DN56,$E$11)))</f>
        <v>#N/A</v>
      </c>
      <c r="DU56" s="122" t="e" cm="1">
        <f t="array" aca="1" ref="DU56" ca="1">IF(DP56=0,"",IF(DO56="G","AVERAGE",INDEX(auto_ddCountry,DO56)))</f>
        <v>#N/A</v>
      </c>
      <c r="DV56" s="290" t="e" cm="1">
        <f t="array" aca="1" ref="DV56" ca="1">IF(DP56=0,"",INDEX(auto_DataFlat_Score,DN56,$E$11))</f>
        <v>#N/A</v>
      </c>
      <c r="DW56" s="4"/>
      <c r="DX56" s="49">
        <f t="shared" si="45"/>
        <v>-1</v>
      </c>
      <c r="DY56" s="49" t="e" cm="1">
        <f t="array" ref="DY56">IF($F56=0,0,INDEX(sys_DataFlat_LU_Grid,DX56,$E56))</f>
        <v>#VALUE!</v>
      </c>
      <c r="DZ56" s="49" t="e" cm="1">
        <f t="array" ref="DZ56">IF($F56=0,-1000,CHOOSE($E$14,INDEX(auto_DataFlat_Score,DY56,$E$11),-INDEX(auto_DataFlat_Score,DY56,$E$11),-$D56))</f>
        <v>#VALUE!</v>
      </c>
      <c r="EA56" s="91" t="e">
        <f ca="1">RANK(DZ56,OFFSET(DZ$21,0,0,$E$16+1,1))+COUNTIF(DZ$21:DZ56,DZ56)-1</f>
        <v>#VALUE!</v>
      </c>
      <c r="EB56" s="91" t="e">
        <f t="shared" ca="1" si="29"/>
        <v>#N/A</v>
      </c>
      <c r="EC56" s="91" t="e" cm="1">
        <f t="array" aca="1" ref="EC56" ca="1">INDEX(OFFSET(DY$21,0,0,$E$16+1,1),EB56)</f>
        <v>#N/A</v>
      </c>
      <c r="ED56" s="49" t="e" cm="1">
        <f t="array" aca="1" ref="ED56" ca="1">INDEX(OFFSET($E$21,0,0,$E$16+1,1),EB56)</f>
        <v>#N/A</v>
      </c>
      <c r="EE56" s="80" t="e" cm="1">
        <f t="array" aca="1" ref="EE56" ca="1">IF(ED56="G",5,INDEX(OFFSET($F$21,0,0,$E$16+1,1),EB56))</f>
        <v>#N/A</v>
      </c>
      <c r="EF56" s="80" t="e" cm="1">
        <f t="array" aca="1" ref="EF56" ca="1">IF(EC56=0,0,IF(ED56="G",-1,INDEX(auto_DataFlat_Classification,EC56,$E$11)))</f>
        <v>#N/A</v>
      </c>
      <c r="EG56" s="301" t="e" cm="1">
        <f t="array" aca="1" ref="EG56" ca="1">IF(EF56&lt;0,"",INDEX(uxbGlobals!$B$133:$B$139,EF56))</f>
        <v>#N/A</v>
      </c>
      <c r="EH56" s="80"/>
      <c r="EI56" s="302" t="e" cm="1">
        <f t="array" aca="1" ref="EI56" ca="1">IF(EE56=0,"",IF(ED56="G","--",INDEX(auto_DataFlat_Rank,EC56,$E$11)))</f>
        <v>#N/A</v>
      </c>
      <c r="EJ56" s="122" t="e" cm="1">
        <f t="array" aca="1" ref="EJ56" ca="1">IF(EE56=0,"",IF(ED56="G","AVERAGE",INDEX(auto_ddCountry,ED56)))</f>
        <v>#N/A</v>
      </c>
      <c r="EK56" s="290" t="e" cm="1">
        <f t="array" aca="1" ref="EK56" ca="1">IF(EE56=0,"",INDEX(auto_DataFlat_Score,EC56,$E$11))</f>
        <v>#N/A</v>
      </c>
      <c r="EL56" s="4"/>
      <c r="EM56" s="49">
        <f t="shared" si="46"/>
        <v>-1</v>
      </c>
      <c r="EN56" s="49" t="e" cm="1">
        <f t="array" ref="EN56">IF($F56=0,0,INDEX(sys_DataFlat_LU_Grid,EM56,$E56))</f>
        <v>#VALUE!</v>
      </c>
      <c r="EO56" s="49" t="e" cm="1">
        <f t="array" ref="EO56">IF($F56=0,-1000,CHOOSE($E$14,INDEX(auto_DataFlat_Score,EN56,$E$11),-INDEX(auto_DataFlat_Score,EN56,$E$11),-$D56))</f>
        <v>#VALUE!</v>
      </c>
      <c r="EP56" s="91" t="e">
        <f ca="1">RANK(EO56,OFFSET(EO$21,0,0,$E$16+1,1))+COUNTIF(EO$21:EO56,EO56)-1</f>
        <v>#VALUE!</v>
      </c>
      <c r="EQ56" s="91" t="e">
        <f t="shared" ca="1" si="30"/>
        <v>#N/A</v>
      </c>
      <c r="ER56" s="91" t="e" cm="1">
        <f t="array" aca="1" ref="ER56" ca="1">INDEX(OFFSET(EN$21,0,0,$E$16+1,1),EQ56)</f>
        <v>#N/A</v>
      </c>
      <c r="ES56" s="49" t="e" cm="1">
        <f t="array" aca="1" ref="ES56" ca="1">INDEX(OFFSET($E$21,0,0,$E$16+1,1),EQ56)</f>
        <v>#N/A</v>
      </c>
      <c r="ET56" s="80" t="e" cm="1">
        <f t="array" aca="1" ref="ET56" ca="1">IF(ES56="G",5,INDEX(OFFSET($F$21,0,0,$E$16+1,1),EQ56))</f>
        <v>#N/A</v>
      </c>
      <c r="EU56" s="80" t="e" cm="1">
        <f t="array" aca="1" ref="EU56" ca="1">IF(ER56=0,0,IF(ES56="G",-1,INDEX(auto_DataFlat_Classification,ER56,$E$11)))</f>
        <v>#N/A</v>
      </c>
      <c r="EV56" s="301" t="e" cm="1">
        <f t="array" aca="1" ref="EV56" ca="1">IF(EU56&lt;0,"",INDEX(uxbGlobals!$B$133:$B$139,EU56))</f>
        <v>#N/A</v>
      </c>
      <c r="EW56" s="80"/>
      <c r="EX56" s="302" t="e" cm="1">
        <f t="array" aca="1" ref="EX56" ca="1">IF(ET56=0,"",IF(ES56="G","--",INDEX(auto_DataFlat_Rank,ER56,$E$11)))</f>
        <v>#N/A</v>
      </c>
      <c r="EY56" s="122" t="e" cm="1">
        <f t="array" aca="1" ref="EY56" ca="1">IF(ET56=0,"",IF(ES56="G","AVERAGE",INDEX(auto_ddCountry,ES56)))</f>
        <v>#N/A</v>
      </c>
      <c r="EZ56" s="290" t="e" cm="1">
        <f t="array" aca="1" ref="EZ56" ca="1">IF(ET56=0,"",INDEX(auto_DataFlat_Score,ER56,$E$11))</f>
        <v>#N/A</v>
      </c>
    </row>
    <row r="57" spans="1:156" ht="17.149999999999999" customHeight="1" x14ac:dyDescent="0.4">
      <c r="A57" s="4"/>
      <c r="B57" s="4"/>
      <c r="C57" s="4"/>
      <c r="D57" s="26">
        <v>37</v>
      </c>
      <c r="E57" s="49">
        <f>tblCountries!M38</f>
        <v>36</v>
      </c>
      <c r="F57" s="114" cm="1">
        <f t="array" ref="F57">IF(E57=0,0,INDEX(auto_Country_Status,E57))</f>
        <v>1</v>
      </c>
      <c r="G57" s="4"/>
      <c r="H57" s="49">
        <f t="shared" si="31"/>
        <v>1</v>
      </c>
      <c r="I57" s="49" cm="1">
        <f t="array" ref="I57">IF($F57=0,0,INDEX(sys_DataFlat_LU_Grid,H57,$E57))</f>
        <v>36</v>
      </c>
      <c r="J57" s="49" cm="1">
        <f t="array" ref="J57">IF($F57=0,-1000,CHOOSE($E$14,INDEX(auto_DataFlat_Score,I57,$E$11),-INDEX(auto_DataFlat_Score,I57,$E$11),-$D57))</f>
        <v>64.5</v>
      </c>
      <c r="K57" s="91">
        <f ca="1">RANK(J57,OFFSET(J$21,0,0,$E$16+1,1))+COUNTIF(J$21:J57,J57)-1</f>
        <v>26</v>
      </c>
      <c r="L57" s="91">
        <f t="shared" ca="1" si="48"/>
        <v>34</v>
      </c>
      <c r="M57" s="91" cm="1">
        <f t="array" aca="1" ref="M57" ca="1">INDEX(OFFSET(I$21,0,0,$E$16+1,1),L57)</f>
        <v>33</v>
      </c>
      <c r="N57" s="49" cm="1">
        <f t="array" aca="1" ref="N57" ca="1">INDEX(OFFSET($E$21,0,0,$E$16+1,1),L57)</f>
        <v>33</v>
      </c>
      <c r="O57" s="80" cm="1">
        <f t="array" aca="1" ref="O57" ca="1">IF(N57="G",5,INDEX(OFFSET($F$21,0,0,$E$16+1,1),L57))</f>
        <v>1</v>
      </c>
      <c r="P57" s="80" cm="1">
        <f t="array" aca="1" ref="P57" ca="1">IF(M57=0,0,IF(N57="G",-1,INDEX(auto_DataFlat_Classification,M57,$E$11)))</f>
        <v>3</v>
      </c>
      <c r="Q57" s="301" t="str" cm="1">
        <f t="array" aca="1" ref="Q57" ca="1">IF(P57&lt;0,"",INDEX(uxbGlobals!$B$133:$B$139,P57))</f>
        <v xml:space="preserve"> </v>
      </c>
      <c r="R57" s="80"/>
      <c r="S57" s="302" t="str" cm="1">
        <f t="array" aca="1" ref="S57" ca="1">IF(O57=0,"",IF(N57="G","--",INDEX(auto_DataFlat_Rank,M57,$E$11)))</f>
        <v>36</v>
      </c>
      <c r="T57" s="122" t="str" cm="1">
        <f t="array" aca="1" ref="T57" ca="1">IF(O57=0,"",IF(N57="G"," AVERAGE",INDEX(auto_ddCountry,N57)))</f>
        <v>Nairobi</v>
      </c>
      <c r="U57" s="290" cm="1">
        <f t="array" aca="1" ref="U57" ca="1">IF(O57=0,"",INDEX(auto_DataFlat_Score,M57,$E$11))</f>
        <v>52.2</v>
      </c>
      <c r="V57" s="4"/>
      <c r="W57" s="49">
        <f t="shared" si="33"/>
        <v>2</v>
      </c>
      <c r="X57" s="49" cm="1">
        <f t="array" ref="X57">IF($F57=0,0,INDEX(sys_DataFlat_LU_Grid,W57,$E57))</f>
        <v>96</v>
      </c>
      <c r="Y57" s="49" cm="1">
        <f t="array" ref="Y57">IF($F57=0,-1000,CHOOSE($E$14,INDEX(auto_DataFlat_Score,X57,$E$11),-INDEX(auto_DataFlat_Score,X57,$E$11),-$D57))</f>
        <v>84</v>
      </c>
      <c r="Z57" s="91">
        <f ca="1">RANK(Y57,OFFSET(Y$21,0,0,$E$16+1,1))+COUNTIF(Y$21:Y57,Y57)-1</f>
        <v>16</v>
      </c>
      <c r="AA57" s="91">
        <f t="shared" ca="1" si="49"/>
        <v>22</v>
      </c>
      <c r="AB57" s="91" cm="1">
        <f t="array" aca="1" ref="AB57" ca="1">INDEX(OFFSET(X$21,0,0,$E$16+1,1),AA57)</f>
        <v>81</v>
      </c>
      <c r="AC57" s="49" cm="1">
        <f t="array" aca="1" ref="AC57" ca="1">INDEX(OFFSET($E$21,0,0,$E$16+1,1),AA57)</f>
        <v>21</v>
      </c>
      <c r="AD57" s="80" cm="1">
        <f t="array" aca="1" ref="AD57" ca="1">IF(AC57="G",5,INDEX(OFFSET($F$21,0,0,$E$16+1,1),AA57))</f>
        <v>1</v>
      </c>
      <c r="AE57" s="80" cm="1">
        <f t="array" aca="1" ref="AE57" ca="1">IF(AB57=0,0,IF(AC57="G",-1,INDEX(auto_DataFlat_Classification,AB57,$E$11)))</f>
        <v>3</v>
      </c>
      <c r="AF57" s="301" t="str" cm="1">
        <f t="array" aca="1" ref="AF57" ca="1">IF(AE57&lt;0,"",INDEX(uxbGlobals!$B$133:$B$139,AE57))</f>
        <v xml:space="preserve"> </v>
      </c>
      <c r="AG57" s="80"/>
      <c r="AH57" s="302" t="str" cm="1">
        <f t="array" aca="1" ref="AH57" ca="1">IF(AD57=0,"",IF(AC57="G","--",INDEX(auto_DataFlat_Rank,AB57,$E$11)))</f>
        <v>36</v>
      </c>
      <c r="AI57" s="122" t="str" cm="1">
        <f t="array" aca="1" ref="AI57" ca="1">IF(AD57=0,"",IF(AC57="G","AVERAGE",INDEX(auto_ddCountry,AC57)))</f>
        <v>Karachi</v>
      </c>
      <c r="AJ57" s="290" cm="1">
        <f t="array" aca="1" ref="AJ57" ca="1">IF(AD57=0,"",INDEX(auto_DataFlat_Score,AB57,$E$11))</f>
        <v>56.4</v>
      </c>
      <c r="AK57" s="4"/>
      <c r="AL57" s="49">
        <f t="shared" si="35"/>
        <v>14</v>
      </c>
      <c r="AM57" s="49" cm="1">
        <f t="array" ref="AM57">IF($F57=0,0,INDEX(sys_DataFlat_LU_Grid,AL57,$E57))</f>
        <v>816</v>
      </c>
      <c r="AN57" s="49" cm="1">
        <f t="array" ref="AN57">IF($F57=0,-1000,CHOOSE($E$14,INDEX(auto_DataFlat_Score,AM57,$E$11),-INDEX(auto_DataFlat_Score,AM57,$E$11),-$D57))</f>
        <v>69.8</v>
      </c>
      <c r="AO57" s="91">
        <f ca="1">RANK(AN57,OFFSET(AN$21,0,0,$E$16+1,1))+COUNTIF(AN$21:AN57,AN57)-1</f>
        <v>8</v>
      </c>
      <c r="AP57" s="91">
        <f t="shared" ca="1" si="50"/>
        <v>34</v>
      </c>
      <c r="AQ57" s="91" cm="1">
        <f t="array" aca="1" ref="AQ57" ca="1">INDEX(OFFSET(AM$21,0,0,$E$16+1,1),AP57)</f>
        <v>813</v>
      </c>
      <c r="AR57" s="49" cm="1">
        <f t="array" aca="1" ref="AR57" ca="1">INDEX(OFFSET($E$21,0,0,$E$16+1,1),AP57)</f>
        <v>33</v>
      </c>
      <c r="AS57" s="80" cm="1">
        <f t="array" aca="1" ref="AS57" ca="1">IF(AR57="G",5,INDEX(OFFSET($F$21,0,0,$E$16+1,1),AP57))</f>
        <v>1</v>
      </c>
      <c r="AT57" s="80" cm="1">
        <f t="array" aca="1" ref="AT57" ca="1">IF(AQ57=0,0,IF(AR57="G",-1,INDEX(auto_DataFlat_Classification,AQ57,$E$11)))</f>
        <v>2</v>
      </c>
      <c r="AU57" s="301" t="str" cm="1">
        <f t="array" aca="1" ref="AU57" ca="1">IF(AT57&lt;0,"",INDEX(uxbGlobals!$B$133:$B$139,AT57))</f>
        <v xml:space="preserve"> </v>
      </c>
      <c r="AV57" s="80"/>
      <c r="AW57" s="302" t="str" cm="1">
        <f t="array" aca="1" ref="AW57" ca="1">IF(AS57=0,"",IF(AR57="G","--",INDEX(auto_DataFlat_Rank,AQ57,$E$11)))</f>
        <v>36</v>
      </c>
      <c r="AX57" s="122" t="str" cm="1">
        <f t="array" aca="1" ref="AX57" ca="1">IF(AS57=0,"",IF(AR57="G","AVERAGE",INDEX(auto_ddCountry,AR57)))</f>
        <v>Nairobi</v>
      </c>
      <c r="AY57" s="290" cm="1">
        <f t="array" aca="1" ref="AY57" ca="1">IF(AS57=0,"",INDEX(auto_DataFlat_Score,AQ57,$E$11))</f>
        <v>37</v>
      </c>
      <c r="AZ57" s="4"/>
      <c r="BA57" s="49">
        <f t="shared" si="37"/>
        <v>22</v>
      </c>
      <c r="BB57" s="49" cm="1">
        <f t="array" ref="BB57">IF($F57=0,0,INDEX(sys_DataFlat_LU_Grid,BA57,$E57))</f>
        <v>1296</v>
      </c>
      <c r="BC57" s="49" cm="1">
        <f t="array" ref="BC57">IF($F57=0,-1000,CHOOSE($E$14,INDEX(auto_DataFlat_Score,BB57,$E$11),-INDEX(auto_DataFlat_Score,BB57,$E$11),-$D57))</f>
        <v>33.4</v>
      </c>
      <c r="BD57" s="91">
        <f ca="1">RANK(BC57,OFFSET(BC$21,0,0,$E$16+1,1))+COUNTIF(BC$21:BC57,BC57)-1</f>
        <v>51</v>
      </c>
      <c r="BE57" s="91">
        <f t="shared" ca="1" si="51"/>
        <v>51</v>
      </c>
      <c r="BF57" s="91" cm="1">
        <f t="array" aca="1" ref="BF57" ca="1">INDEX(OFFSET(BB$21,0,0,$E$16+1,1),BE57)</f>
        <v>1310</v>
      </c>
      <c r="BG57" s="49" cm="1">
        <f t="array" aca="1" ref="BG57" ca="1">INDEX(OFFSET($E$21,0,0,$E$16+1,1),BE57)</f>
        <v>50</v>
      </c>
      <c r="BH57" s="80" cm="1">
        <f t="array" aca="1" ref="BH57" ca="1">IF(BG57="G",5,INDEX(OFFSET($F$21,0,0,$E$16+1,1),BE57))</f>
        <v>1</v>
      </c>
      <c r="BI57" s="80" cm="1">
        <f t="array" aca="1" ref="BI57" ca="1">IF(BF57=0,0,IF(BG57="G",-1,INDEX(auto_DataFlat_Classification,BF57,$E$11)))</f>
        <v>3</v>
      </c>
      <c r="BJ57" s="301" t="str" cm="1">
        <f t="array" aca="1" ref="BJ57" ca="1">IF(BI57&lt;0,"",INDEX(uxbGlobals!$B$133:$B$139,BI57))</f>
        <v xml:space="preserve"> </v>
      </c>
      <c r="BK57" s="80"/>
      <c r="BL57" s="302" t="str" cm="1">
        <f t="array" aca="1" ref="BL57" ca="1">IF(BH57=0,"",IF(BG57="G","--",INDEX(auto_DataFlat_Rank,BF57,$E$11)))</f>
        <v>36</v>
      </c>
      <c r="BM57" s="122" t="str" cm="1">
        <f t="array" aca="1" ref="BM57" ca="1">IF(BH57=0,"",IF(BG57="G","AVERAGE",INDEX(auto_ddCountry,BG57)))</f>
        <v>Yangon</v>
      </c>
      <c r="BN57" s="290" cm="1">
        <f t="array" aca="1" ref="BN57" ca="1">IF(BH57=0,"",INDEX(auto_DataFlat_Score,BF57,$E$11))</f>
        <v>44</v>
      </c>
      <c r="BO57" s="4"/>
      <c r="BP57" s="49">
        <f t="shared" si="39"/>
        <v>47</v>
      </c>
      <c r="BQ57" s="49" cm="1">
        <f t="array" ref="BQ57">IF($F57=0,0,INDEX(sys_DataFlat_LU_Grid,BP57,$E57))</f>
        <v>2796</v>
      </c>
      <c r="BR57" s="49" cm="1">
        <f t="array" ref="BR57">IF($F57=0,-1000,CHOOSE($E$14,INDEX(auto_DataFlat_Score,BQ57,$E$11),-INDEX(auto_DataFlat_Score,BQ57,$E$11),-$D57))</f>
        <v>84.3</v>
      </c>
      <c r="BS57" s="91">
        <f ca="1">RANK(BR57,OFFSET(BR$21,0,0,$E$16+1,1))+COUNTIF(BR$21:BR57,BR57)-1</f>
        <v>6</v>
      </c>
      <c r="BT57" s="91">
        <f t="shared" ca="1" si="52"/>
        <v>50</v>
      </c>
      <c r="BU57" s="91" cm="1">
        <f t="array" aca="1" ref="BU57" ca="1">INDEX(OFFSET(BQ$21,0,0,$E$16+1,1),BT57)</f>
        <v>2809</v>
      </c>
      <c r="BV57" s="49" cm="1">
        <f t="array" aca="1" ref="BV57" ca="1">INDEX(OFFSET($E$21,0,0,$E$16+1,1),BT57)</f>
        <v>49</v>
      </c>
      <c r="BW57" s="80" cm="1">
        <f t="array" aca="1" ref="BW57" ca="1">IF(BV57="G",5,INDEX(OFFSET($F$21,0,0,$E$16+1,1),BT57))</f>
        <v>1</v>
      </c>
      <c r="BX57" s="80" cm="1">
        <f t="array" aca="1" ref="BX57" ca="1">IF(BU57=0,0,IF(BV57="G",-1,INDEX(auto_DataFlat_Classification,BU57,$E$11)))</f>
        <v>3</v>
      </c>
      <c r="BY57" s="301" t="str" cm="1">
        <f t="array" aca="1" ref="BY57" ca="1">IF(BX57&lt;0,"",INDEX(uxbGlobals!$B$133:$B$139,BX57))</f>
        <v xml:space="preserve"> </v>
      </c>
      <c r="BZ57" s="80"/>
      <c r="CA57" s="302" t="str" cm="1">
        <f t="array" aca="1" ref="CA57" ca="1">IF(BW57=0,"",IF(BV57="G","--",INDEX(auto_DataFlat_Rank,BU57,$E$11)))</f>
        <v>=35</v>
      </c>
      <c r="CB57" s="122" t="str" cm="1">
        <f t="array" aca="1" ref="CB57" ca="1">IF(BW57=0,"",IF(BV57="G","AVERAGE",INDEX(auto_ddCountry,BV57)))</f>
        <v>Wuhan</v>
      </c>
      <c r="CC57" s="290" cm="1">
        <f t="array" aca="1" ref="CC57" ca="1">IF(BW57=0,"",INDEX(auto_DataFlat_Score,BU57,$E$11))</f>
        <v>50.1</v>
      </c>
      <c r="CD57" s="4"/>
      <c r="CE57" s="49">
        <f t="shared" si="41"/>
        <v>52</v>
      </c>
      <c r="CF57" s="49" cm="1">
        <f t="array" ref="CF57">IF($F57=0,0,INDEX(sys_DataFlat_LU_Grid,CE57,$E57))</f>
        <v>3096</v>
      </c>
      <c r="CG57" s="49" cm="1">
        <f t="array" ref="CG57">IF($F57=0,-1000,CHOOSE($E$14,INDEX(auto_DataFlat_Score,CF57,$E$11),-INDEX(auto_DataFlat_Score,CF57,$E$11),-$D57))</f>
        <v>69.400000000000006</v>
      </c>
      <c r="CH57" s="91">
        <f ca="1">RANK(CG57,OFFSET(CG$21,0,0,$E$16+1,1))+COUNTIF(CG$21:CG57,CG57)-1</f>
        <v>28</v>
      </c>
      <c r="CI57" s="91">
        <f t="shared" ca="1" si="53"/>
        <v>31</v>
      </c>
      <c r="CJ57" s="91" cm="1">
        <f t="array" aca="1" ref="CJ57" ca="1">INDEX(OFFSET(CF$21,0,0,$E$16+1,1),CI57)</f>
        <v>3090</v>
      </c>
      <c r="CK57" s="49" cm="1">
        <f t="array" aca="1" ref="CK57" ca="1">INDEX(OFFSET($E$21,0,0,$E$16+1,1),CI57)</f>
        <v>30</v>
      </c>
      <c r="CL57" s="80" cm="1">
        <f t="array" aca="1" ref="CL57" ca="1">IF(CK57="G",5,INDEX(OFFSET($F$21,0,0,$E$16+1,1),CI57))</f>
        <v>1</v>
      </c>
      <c r="CM57" s="80" cm="1">
        <f t="array" aca="1" ref="CM57" ca="1">IF(CJ57=0,0,IF(CK57="G",-1,INDEX(auto_DataFlat_Classification,CJ57,$E$11)))</f>
        <v>4</v>
      </c>
      <c r="CN57" s="301" t="str" cm="1">
        <f t="array" aca="1" ref="CN57" ca="1">IF(CM57&lt;0,"",INDEX(uxbGlobals!$B$133:$B$139,CM57))</f>
        <v xml:space="preserve"> </v>
      </c>
      <c r="CO57" s="80"/>
      <c r="CP57" s="302" t="str" cm="1">
        <f t="array" aca="1" ref="CP57" ca="1">IF(CL57=0,"",IF(CK57="G","--",INDEX(auto_DataFlat_Rank,CJ57,$E$11)))</f>
        <v>36</v>
      </c>
      <c r="CQ57" s="122" t="str" cm="1">
        <f t="array" aca="1" ref="CQ57" ca="1">IF(CL57=0,"",IF(CK57="G","AVERAGE",INDEX(auto_ddCountry,CK57)))</f>
        <v>Mexico City</v>
      </c>
      <c r="CR57" s="290" cm="1">
        <f t="array" aca="1" ref="CR57" ca="1">IF(CL57=0,"",INDEX(auto_DataFlat_Score,CJ57,$E$11))</f>
        <v>63.9</v>
      </c>
      <c r="CS57" s="4"/>
      <c r="CT57" s="49">
        <f t="shared" si="43"/>
        <v>-1</v>
      </c>
      <c r="CU57" s="49" t="e" cm="1">
        <f t="array" ref="CU57">IF($F57=0,0,INDEX(sys_DataFlat_LU_Grid,CT57,$E57))</f>
        <v>#VALUE!</v>
      </c>
      <c r="CV57" s="49" t="e" cm="1">
        <f t="array" ref="CV57">IF($F57=0,-1000,CHOOSE($E$14,INDEX(auto_DataFlat_Score,CU57,$E$11),-INDEX(auto_DataFlat_Score,CU57,$E$11),-$D57))</f>
        <v>#VALUE!</v>
      </c>
      <c r="CW57" s="91" t="e">
        <f ca="1">RANK(CV57,OFFSET(CV$21,0,0,$E$16+1,1))+COUNTIF(CV$21:CV57,CV57)-1</f>
        <v>#VALUE!</v>
      </c>
      <c r="CX57" s="91" t="e">
        <f t="shared" ca="1" si="47"/>
        <v>#N/A</v>
      </c>
      <c r="CY57" s="91" t="e" cm="1">
        <f t="array" aca="1" ref="CY57" ca="1">INDEX(OFFSET(CU$21,0,0,$E$16+1,1),CX57)</f>
        <v>#N/A</v>
      </c>
      <c r="CZ57" s="49" t="e" cm="1">
        <f t="array" aca="1" ref="CZ57" ca="1">INDEX(OFFSET($E$21,0,0,$E$16+1,1),CX57)</f>
        <v>#N/A</v>
      </c>
      <c r="DA57" s="80" t="e" cm="1">
        <f t="array" aca="1" ref="DA57" ca="1">IF(CZ57="G",5,INDEX(OFFSET($F$21,0,0,$E$16+1,1),CX57))</f>
        <v>#N/A</v>
      </c>
      <c r="DB57" s="80" t="e" cm="1">
        <f t="array" aca="1" ref="DB57" ca="1">IF(CY57=0,0,IF(CZ57="G",-1,INDEX(auto_DataFlat_Classification,CY57,$E$11)))</f>
        <v>#N/A</v>
      </c>
      <c r="DC57" s="301" t="e" cm="1">
        <f t="array" aca="1" ref="DC57" ca="1">IF(DB57&lt;0,"",INDEX(uxbGlobals!$B$133:$B$139,DB57))</f>
        <v>#N/A</v>
      </c>
      <c r="DD57" s="80"/>
      <c r="DE57" s="302" t="e" cm="1">
        <f t="array" aca="1" ref="DE57" ca="1">IF(DA57=0,"",IF(CZ57="G","--",INDEX(auto_DataFlat_Rank,CY57,$E$11)))</f>
        <v>#N/A</v>
      </c>
      <c r="DF57" s="122" t="e" cm="1">
        <f t="array" aca="1" ref="DF57" ca="1">IF(DA57=0,"",IF(CZ57="G","AVERAGE",INDEX(auto_ddCountry,CZ57)))</f>
        <v>#N/A</v>
      </c>
      <c r="DG57" s="290" t="e" cm="1">
        <f t="array" aca="1" ref="DG57" ca="1">IF(DA57=0,"",INDEX(auto_DataFlat_Score,CY57,$E$11))</f>
        <v>#N/A</v>
      </c>
      <c r="DH57" s="4"/>
      <c r="DI57" s="49">
        <f t="shared" si="44"/>
        <v>-1</v>
      </c>
      <c r="DJ57" s="49" t="e" cm="1">
        <f t="array" ref="DJ57">IF($F57=0,0,INDEX(sys_DataFlat_LU_Grid,DI57,$E57))</f>
        <v>#VALUE!</v>
      </c>
      <c r="DK57" s="49" t="e" cm="1">
        <f t="array" ref="DK57">IF($F57=0,-1000,CHOOSE($E$14,INDEX(auto_DataFlat_Score,DJ57,$E$11),-INDEX(auto_DataFlat_Score,DJ57,$E$11),-$D57))</f>
        <v>#VALUE!</v>
      </c>
      <c r="DL57" s="91" t="e">
        <f ca="1">RANK(DK57,OFFSET(DK$21,0,0,$E$16+1,1))+COUNTIF(DK$21:DK57,DK57)-1</f>
        <v>#VALUE!</v>
      </c>
      <c r="DM57" s="91" t="e">
        <f t="shared" ca="1" si="28"/>
        <v>#N/A</v>
      </c>
      <c r="DN57" s="91" t="e" cm="1">
        <f t="array" aca="1" ref="DN57" ca="1">INDEX(OFFSET(DJ$21,0,0,$E$16+1,1),DM57)</f>
        <v>#N/A</v>
      </c>
      <c r="DO57" s="49" t="e" cm="1">
        <f t="array" aca="1" ref="DO57" ca="1">INDEX(OFFSET($E$21,0,0,$E$16+1,1),DM57)</f>
        <v>#N/A</v>
      </c>
      <c r="DP57" s="80" t="e" cm="1">
        <f t="array" aca="1" ref="DP57" ca="1">IF(DO57="G",5,INDEX(OFFSET($F$21,0,0,$E$16+1,1),DM57))</f>
        <v>#N/A</v>
      </c>
      <c r="DQ57" s="80" t="e" cm="1">
        <f t="array" aca="1" ref="DQ57" ca="1">IF(DN57=0,0,IF(DO57="G",-1,INDEX(auto_DataFlat_Classification,DN57,$E$11)))</f>
        <v>#N/A</v>
      </c>
      <c r="DR57" s="301" t="e" cm="1">
        <f t="array" aca="1" ref="DR57" ca="1">IF(DQ57&lt;0,"",INDEX(uxbGlobals!$B$133:$B$139,DQ57))</f>
        <v>#N/A</v>
      </c>
      <c r="DS57" s="80"/>
      <c r="DT57" s="302" t="e" cm="1">
        <f t="array" aca="1" ref="DT57" ca="1">IF(DP57=0,"",IF(DO57="G","--",INDEX(auto_DataFlat_Rank,DN57,$E$11)))</f>
        <v>#N/A</v>
      </c>
      <c r="DU57" s="122" t="e" cm="1">
        <f t="array" aca="1" ref="DU57" ca="1">IF(DP57=0,"",IF(DO57="G","AVERAGE",INDEX(auto_ddCountry,DO57)))</f>
        <v>#N/A</v>
      </c>
      <c r="DV57" s="290" t="e" cm="1">
        <f t="array" aca="1" ref="DV57" ca="1">IF(DP57=0,"",INDEX(auto_DataFlat_Score,DN57,$E$11))</f>
        <v>#N/A</v>
      </c>
      <c r="DW57" s="4"/>
      <c r="DX57" s="49">
        <f t="shared" si="45"/>
        <v>-1</v>
      </c>
      <c r="DY57" s="49" t="e" cm="1">
        <f t="array" ref="DY57">IF($F57=0,0,INDEX(sys_DataFlat_LU_Grid,DX57,$E57))</f>
        <v>#VALUE!</v>
      </c>
      <c r="DZ57" s="49" t="e" cm="1">
        <f t="array" ref="DZ57">IF($F57=0,-1000,CHOOSE($E$14,INDEX(auto_DataFlat_Score,DY57,$E$11),-INDEX(auto_DataFlat_Score,DY57,$E$11),-$D57))</f>
        <v>#VALUE!</v>
      </c>
      <c r="EA57" s="91" t="e">
        <f ca="1">RANK(DZ57,OFFSET(DZ$21,0,0,$E$16+1,1))+COUNTIF(DZ$21:DZ57,DZ57)-1</f>
        <v>#VALUE!</v>
      </c>
      <c r="EB57" s="91" t="e">
        <f t="shared" ca="1" si="29"/>
        <v>#N/A</v>
      </c>
      <c r="EC57" s="91" t="e" cm="1">
        <f t="array" aca="1" ref="EC57" ca="1">INDEX(OFFSET(DY$21,0,0,$E$16+1,1),EB57)</f>
        <v>#N/A</v>
      </c>
      <c r="ED57" s="49" t="e" cm="1">
        <f t="array" aca="1" ref="ED57" ca="1">INDEX(OFFSET($E$21,0,0,$E$16+1,1),EB57)</f>
        <v>#N/A</v>
      </c>
      <c r="EE57" s="80" t="e" cm="1">
        <f t="array" aca="1" ref="EE57" ca="1">IF(ED57="G",5,INDEX(OFFSET($F$21,0,0,$E$16+1,1),EB57))</f>
        <v>#N/A</v>
      </c>
      <c r="EF57" s="80" t="e" cm="1">
        <f t="array" aca="1" ref="EF57" ca="1">IF(EC57=0,0,IF(ED57="G",-1,INDEX(auto_DataFlat_Classification,EC57,$E$11)))</f>
        <v>#N/A</v>
      </c>
      <c r="EG57" s="301" t="e" cm="1">
        <f t="array" aca="1" ref="EG57" ca="1">IF(EF57&lt;0,"",INDEX(uxbGlobals!$B$133:$B$139,EF57))</f>
        <v>#N/A</v>
      </c>
      <c r="EH57" s="80"/>
      <c r="EI57" s="302" t="e" cm="1">
        <f t="array" aca="1" ref="EI57" ca="1">IF(EE57=0,"",IF(ED57="G","--",INDEX(auto_DataFlat_Rank,EC57,$E$11)))</f>
        <v>#N/A</v>
      </c>
      <c r="EJ57" s="122" t="e" cm="1">
        <f t="array" aca="1" ref="EJ57" ca="1">IF(EE57=0,"",IF(ED57="G","AVERAGE",INDEX(auto_ddCountry,ED57)))</f>
        <v>#N/A</v>
      </c>
      <c r="EK57" s="290" t="e" cm="1">
        <f t="array" aca="1" ref="EK57" ca="1">IF(EE57=0,"",INDEX(auto_DataFlat_Score,EC57,$E$11))</f>
        <v>#N/A</v>
      </c>
      <c r="EL57" s="4"/>
      <c r="EM57" s="49">
        <f t="shared" si="46"/>
        <v>-1</v>
      </c>
      <c r="EN57" s="49" t="e" cm="1">
        <f t="array" ref="EN57">IF($F57=0,0,INDEX(sys_DataFlat_LU_Grid,EM57,$E57))</f>
        <v>#VALUE!</v>
      </c>
      <c r="EO57" s="49" t="e" cm="1">
        <f t="array" ref="EO57">IF($F57=0,-1000,CHOOSE($E$14,INDEX(auto_DataFlat_Score,EN57,$E$11),-INDEX(auto_DataFlat_Score,EN57,$E$11),-$D57))</f>
        <v>#VALUE!</v>
      </c>
      <c r="EP57" s="91" t="e">
        <f ca="1">RANK(EO57,OFFSET(EO$21,0,0,$E$16+1,1))+COUNTIF(EO$21:EO57,EO57)-1</f>
        <v>#VALUE!</v>
      </c>
      <c r="EQ57" s="91" t="e">
        <f t="shared" ca="1" si="30"/>
        <v>#N/A</v>
      </c>
      <c r="ER57" s="91" t="e" cm="1">
        <f t="array" aca="1" ref="ER57" ca="1">INDEX(OFFSET(EN$21,0,0,$E$16+1,1),EQ57)</f>
        <v>#N/A</v>
      </c>
      <c r="ES57" s="49" t="e" cm="1">
        <f t="array" aca="1" ref="ES57" ca="1">INDEX(OFFSET($E$21,0,0,$E$16+1,1),EQ57)</f>
        <v>#N/A</v>
      </c>
      <c r="ET57" s="80" t="e" cm="1">
        <f t="array" aca="1" ref="ET57" ca="1">IF(ES57="G",5,INDEX(OFFSET($F$21,0,0,$E$16+1,1),EQ57))</f>
        <v>#N/A</v>
      </c>
      <c r="EU57" s="80" t="e" cm="1">
        <f t="array" aca="1" ref="EU57" ca="1">IF(ER57=0,0,IF(ES57="G",-1,INDEX(auto_DataFlat_Classification,ER57,$E$11)))</f>
        <v>#N/A</v>
      </c>
      <c r="EV57" s="301" t="e" cm="1">
        <f t="array" aca="1" ref="EV57" ca="1">IF(EU57&lt;0,"",INDEX(uxbGlobals!$B$133:$B$139,EU57))</f>
        <v>#N/A</v>
      </c>
      <c r="EW57" s="80"/>
      <c r="EX57" s="302" t="e" cm="1">
        <f t="array" aca="1" ref="EX57" ca="1">IF(ET57=0,"",IF(ES57="G","--",INDEX(auto_DataFlat_Rank,ER57,$E$11)))</f>
        <v>#N/A</v>
      </c>
      <c r="EY57" s="122" t="e" cm="1">
        <f t="array" aca="1" ref="EY57" ca="1">IF(ET57=0,"",IF(ES57="G","AVERAGE",INDEX(auto_ddCountry,ES57)))</f>
        <v>#N/A</v>
      </c>
      <c r="EZ57" s="290" t="e" cm="1">
        <f t="array" aca="1" ref="EZ57" ca="1">IF(ET57=0,"",INDEX(auto_DataFlat_Score,ER57,$E$11))</f>
        <v>#N/A</v>
      </c>
    </row>
    <row r="58" spans="1:156" ht="17.149999999999999" customHeight="1" x14ac:dyDescent="0.4">
      <c r="A58" s="4"/>
      <c r="B58" s="4"/>
      <c r="C58" s="4"/>
      <c r="D58" s="26">
        <v>38</v>
      </c>
      <c r="E58" s="49">
        <f>tblCountries!M39</f>
        <v>37</v>
      </c>
      <c r="F58" s="114" cm="1">
        <f t="array" ref="F58">IF(E58=0,0,INDEX(auto_Country_Status,E58))</f>
        <v>1</v>
      </c>
      <c r="G58" s="4"/>
      <c r="H58" s="49">
        <f t="shared" si="31"/>
        <v>1</v>
      </c>
      <c r="I58" s="49" cm="1">
        <f t="array" ref="I58">IF($F58=0,0,INDEX(sys_DataFlat_LU_Grid,H58,$E58))</f>
        <v>37</v>
      </c>
      <c r="J58" s="49" cm="1">
        <f t="array" ref="J58">IF($F58=0,-1000,CHOOSE($E$14,INDEX(auto_DataFlat_Score,I58,$E$11),-INDEX(auto_DataFlat_Score,I58,$E$11),-$D58))</f>
        <v>51.4</v>
      </c>
      <c r="K58" s="91">
        <f ca="1">RANK(J58,OFFSET(J$21,0,0,$E$16+1,1))+COUNTIF(J$21:J58,J58)-1</f>
        <v>40</v>
      </c>
      <c r="L58" s="91">
        <f t="shared" ca="1" si="48"/>
        <v>24</v>
      </c>
      <c r="M58" s="91" cm="1">
        <f t="array" aca="1" ref="M58" ca="1">INDEX(OFFSET(I$21,0,0,$E$16+1,1),L58)</f>
        <v>23</v>
      </c>
      <c r="N58" s="49" cm="1">
        <f t="array" aca="1" ref="N58" ca="1">INDEX(OFFSET($E$21,0,0,$E$16+1,1),L58)</f>
        <v>23</v>
      </c>
      <c r="O58" s="80" cm="1">
        <f t="array" aca="1" ref="O58" ca="1">IF(N58="G",5,INDEX(OFFSET($F$21,0,0,$E$16+1,1),L58))</f>
        <v>1</v>
      </c>
      <c r="P58" s="80" cm="1">
        <f t="array" aca="1" ref="P58" ca="1">IF(M58=0,0,IF(N58="G",-1,INDEX(auto_DataFlat_Classification,M58,$E$11)))</f>
        <v>3</v>
      </c>
      <c r="Q58" s="301" t="str" cm="1">
        <f t="array" aca="1" ref="Q58" ca="1">IF(P58&lt;0,"",INDEX(uxbGlobals!$B$133:$B$139,P58))</f>
        <v xml:space="preserve"> </v>
      </c>
      <c r="R58" s="80"/>
      <c r="S58" s="302" t="str" cm="1">
        <f t="array" aca="1" ref="S58" ca="1">IF(O58=0,"",IF(N58="G","--",INDEX(auto_DataFlat_Rank,M58,$E$11)))</f>
        <v>37</v>
      </c>
      <c r="T58" s="122" t="str" cm="1">
        <f t="array" aca="1" ref="T58" ca="1">IF(O58=0,"",IF(N58="G"," AVERAGE",INDEX(auto_ddCountry,N58)))</f>
        <v>Kolkata</v>
      </c>
      <c r="U58" s="290" cm="1">
        <f t="array" aca="1" ref="U58" ca="1">IF(O58=0,"",INDEX(auto_DataFlat_Score,M58,$E$11))</f>
        <v>51.8</v>
      </c>
      <c r="V58" s="4"/>
      <c r="W58" s="49">
        <f t="shared" si="33"/>
        <v>2</v>
      </c>
      <c r="X58" s="49" cm="1">
        <f t="array" ref="X58">IF($F58=0,0,INDEX(sys_DataFlat_LU_Grid,W58,$E58))</f>
        <v>97</v>
      </c>
      <c r="Y58" s="49" cm="1">
        <f t="array" ref="Y58">IF($F58=0,-1000,CHOOSE($E$14,INDEX(auto_DataFlat_Score,X58,$E$11),-INDEX(auto_DataFlat_Score,X58,$E$11),-$D58))</f>
        <v>58.5</v>
      </c>
      <c r="Z58" s="91">
        <f ca="1">RANK(Y58,OFFSET(Y$21,0,0,$E$16+1,1))+COUNTIF(Y$21:Y58,Y58)-1</f>
        <v>35</v>
      </c>
      <c r="AA58" s="91">
        <f t="shared" ca="1" si="49"/>
        <v>34</v>
      </c>
      <c r="AB58" s="91" cm="1">
        <f t="array" aca="1" ref="AB58" ca="1">INDEX(OFFSET(X$21,0,0,$E$16+1,1),AA58)</f>
        <v>93</v>
      </c>
      <c r="AC58" s="49" cm="1">
        <f t="array" aca="1" ref="AC58" ca="1">INDEX(OFFSET($E$21,0,0,$E$16+1,1),AA58)</f>
        <v>33</v>
      </c>
      <c r="AD58" s="80" cm="1">
        <f t="array" aca="1" ref="AD58" ca="1">IF(AC58="G",5,INDEX(OFFSET($F$21,0,0,$E$16+1,1),AA58))</f>
        <v>1</v>
      </c>
      <c r="AE58" s="80" cm="1">
        <f t="array" aca="1" ref="AE58" ca="1">IF(AB58=0,0,IF(AC58="G",-1,INDEX(auto_DataFlat_Classification,AB58,$E$11)))</f>
        <v>3</v>
      </c>
      <c r="AF58" s="301" t="str" cm="1">
        <f t="array" aca="1" ref="AF58" ca="1">IF(AE58&lt;0,"",INDEX(uxbGlobals!$B$133:$B$139,AE58))</f>
        <v xml:space="preserve"> </v>
      </c>
      <c r="AG58" s="80"/>
      <c r="AH58" s="302" t="str" cm="1">
        <f t="array" aca="1" ref="AH58" ca="1">IF(AD58=0,"",IF(AC58="G","--",INDEX(auto_DataFlat_Rank,AB58,$E$11)))</f>
        <v>37</v>
      </c>
      <c r="AI58" s="122" t="str" cm="1">
        <f t="array" aca="1" ref="AI58" ca="1">IF(AD58=0,"",IF(AC58="G","AVERAGE",INDEX(auto_ddCountry,AC58)))</f>
        <v>Nairobi</v>
      </c>
      <c r="AJ58" s="290" cm="1">
        <f t="array" aca="1" ref="AJ58" ca="1">IF(AD58=0,"",INDEX(auto_DataFlat_Score,AB58,$E$11))</f>
        <v>55.6</v>
      </c>
      <c r="AK58" s="4"/>
      <c r="AL58" s="49">
        <f t="shared" si="35"/>
        <v>14</v>
      </c>
      <c r="AM58" s="49" cm="1">
        <f t="array" ref="AM58">IF($F58=0,0,INDEX(sys_DataFlat_LU_Grid,AL58,$E58))</f>
        <v>817</v>
      </c>
      <c r="AN58" s="49" cm="1">
        <f t="array" ref="AN58">IF($F58=0,-1000,CHOOSE($E$14,INDEX(auto_DataFlat_Score,AM58,$E$11),-INDEX(auto_DataFlat_Score,AM58,$E$11),-$D58))</f>
        <v>27</v>
      </c>
      <c r="AO58" s="91">
        <f ca="1">RANK(AN58,OFFSET(AN$21,0,0,$E$16+1,1))+COUNTIF(AN$21:AN58,AN58)-1</f>
        <v>44</v>
      </c>
      <c r="AP58" s="91">
        <f t="shared" ca="1" si="50"/>
        <v>6</v>
      </c>
      <c r="AQ58" s="91" cm="1">
        <f t="array" aca="1" ref="AQ58" ca="1">INDEX(OFFSET(AM$21,0,0,$E$16+1,1),AP58)</f>
        <v>785</v>
      </c>
      <c r="AR58" s="49" cm="1">
        <f t="array" aca="1" ref="AR58" ca="1">INDEX(OFFSET($E$21,0,0,$E$16+1,1),AP58)</f>
        <v>5</v>
      </c>
      <c r="AS58" s="80" cm="1">
        <f t="array" aca="1" ref="AS58" ca="1">IF(AR58="G",5,INDEX(OFFSET($F$21,0,0,$E$16+1,1),AP58))</f>
        <v>1</v>
      </c>
      <c r="AT58" s="80" cm="1">
        <f t="array" aca="1" ref="AT58" ca="1">IF(AQ58=0,0,IF(AR58="G",-1,INDEX(auto_DataFlat_Classification,AQ58,$E$11)))</f>
        <v>2</v>
      </c>
      <c r="AU58" s="301" t="str" cm="1">
        <f t="array" aca="1" ref="AU58" ca="1">IF(AT58&lt;0,"",INDEX(uxbGlobals!$B$133:$B$139,AT58))</f>
        <v xml:space="preserve"> </v>
      </c>
      <c r="AV58" s="80"/>
      <c r="AW58" s="302" t="str" cm="1">
        <f t="array" aca="1" ref="AW58" ca="1">IF(AS58=0,"",IF(AR58="G","--",INDEX(auto_DataFlat_Rank,AQ58,$E$11)))</f>
        <v>37</v>
      </c>
      <c r="AX58" s="122" t="str" cm="1">
        <f t="array" aca="1" ref="AX58" ca="1">IF(AS58=0,"",IF(AR58="G","AVERAGE",INDEX(auto_ddCountry,AR58)))</f>
        <v>Bangkok</v>
      </c>
      <c r="AY58" s="290" cm="1">
        <f t="array" aca="1" ref="AY58" ca="1">IF(AS58=0,"",INDEX(auto_DataFlat_Score,AQ58,$E$11))</f>
        <v>35.700000000000003</v>
      </c>
      <c r="AZ58" s="4"/>
      <c r="BA58" s="49">
        <f t="shared" si="37"/>
        <v>22</v>
      </c>
      <c r="BB58" s="49" cm="1">
        <f t="array" ref="BB58">IF($F58=0,0,INDEX(sys_DataFlat_LU_Grid,BA58,$E58))</f>
        <v>1297</v>
      </c>
      <c r="BC58" s="49" cm="1">
        <f t="array" ref="BC58">IF($F58=0,-1000,CHOOSE($E$14,INDEX(auto_DataFlat_Score,BB58,$E$11),-INDEX(auto_DataFlat_Score,BB58,$E$11),-$D58))</f>
        <v>64.099999999999994</v>
      </c>
      <c r="BD58" s="91">
        <f ca="1">RANK(BC58,OFFSET(BC$21,0,0,$E$16+1,1))+COUNTIF(BC$21:BC58,BC58)-1</f>
        <v>21</v>
      </c>
      <c r="BE58" s="91">
        <f t="shared" ca="1" si="51"/>
        <v>24</v>
      </c>
      <c r="BF58" s="91" cm="1">
        <f t="array" aca="1" ref="BF58" ca="1">INDEX(OFFSET(BB$21,0,0,$E$16+1,1),BE58)</f>
        <v>1283</v>
      </c>
      <c r="BG58" s="49" cm="1">
        <f t="array" aca="1" ref="BG58" ca="1">INDEX(OFFSET($E$21,0,0,$E$16+1,1),BE58)</f>
        <v>23</v>
      </c>
      <c r="BH58" s="80" cm="1">
        <f t="array" aca="1" ref="BH58" ca="1">IF(BG58="G",5,INDEX(OFFSET($F$21,0,0,$E$16+1,1),BE58))</f>
        <v>1</v>
      </c>
      <c r="BI58" s="80" cm="1">
        <f t="array" aca="1" ref="BI58" ca="1">IF(BF58=0,0,IF(BG58="G",-1,INDEX(auto_DataFlat_Classification,BF58,$E$11)))</f>
        <v>3</v>
      </c>
      <c r="BJ58" s="301" t="str" cm="1">
        <f t="array" aca="1" ref="BJ58" ca="1">IF(BI58&lt;0,"",INDEX(uxbGlobals!$B$133:$B$139,BI58))</f>
        <v xml:space="preserve"> </v>
      </c>
      <c r="BK58" s="80"/>
      <c r="BL58" s="302" t="str" cm="1">
        <f t="array" aca="1" ref="BL58" ca="1">IF(BH58=0,"",IF(BG58="G","--",INDEX(auto_DataFlat_Rank,BF58,$E$11)))</f>
        <v>37</v>
      </c>
      <c r="BM58" s="122" t="str" cm="1">
        <f t="array" aca="1" ref="BM58" ca="1">IF(BH58=0,"",IF(BG58="G","AVERAGE",INDEX(auto_ddCountry,BG58)))</f>
        <v>Kolkata</v>
      </c>
      <c r="BN58" s="290" cm="1">
        <f t="array" aca="1" ref="BN58" ca="1">IF(BH58=0,"",INDEX(auto_DataFlat_Score,BF58,$E$11))</f>
        <v>43.9</v>
      </c>
      <c r="BO58" s="4"/>
      <c r="BP58" s="49">
        <f t="shared" si="39"/>
        <v>47</v>
      </c>
      <c r="BQ58" s="49" cm="1">
        <f t="array" ref="BQ58">IF($F58=0,0,INDEX(sys_DataFlat_LU_Grid,BP58,$E58))</f>
        <v>2797</v>
      </c>
      <c r="BR58" s="49" cm="1">
        <f t="array" ref="BR58">IF($F58=0,-1000,CHOOSE($E$14,INDEX(auto_DataFlat_Score,BQ58,$E$11),-INDEX(auto_DataFlat_Score,BQ58,$E$11),-$D58))</f>
        <v>48.7</v>
      </c>
      <c r="BS58" s="91">
        <f ca="1">RANK(BR58,OFFSET(BR$21,0,0,$E$16+1,1))+COUNTIF(BR$21:BR58,BR58)-1</f>
        <v>39</v>
      </c>
      <c r="BT58" s="91">
        <f t="shared" ca="1" si="52"/>
        <v>17</v>
      </c>
      <c r="BU58" s="91" cm="1">
        <f t="array" aca="1" ref="BU58" ca="1">INDEX(OFFSET(BQ$21,0,0,$E$16+1,1),BT58)</f>
        <v>2776</v>
      </c>
      <c r="BV58" s="49" cm="1">
        <f t="array" aca="1" ref="BV58" ca="1">INDEX(OFFSET($E$21,0,0,$E$16+1,1),BT58)</f>
        <v>16</v>
      </c>
      <c r="BW58" s="80" cm="1">
        <f t="array" aca="1" ref="BW58" ca="1">IF(BV58="G",5,INDEX(OFFSET($F$21,0,0,$E$16+1,1),BT58))</f>
        <v>1</v>
      </c>
      <c r="BX58" s="80" cm="1">
        <f t="array" aca="1" ref="BX58" ca="1">IF(BU58=0,0,IF(BV58="G",-1,INDEX(auto_DataFlat_Classification,BU58,$E$11)))</f>
        <v>3</v>
      </c>
      <c r="BY58" s="301" t="str" cm="1">
        <f t="array" aca="1" ref="BY58" ca="1">IF(BX58&lt;0,"",INDEX(uxbGlobals!$B$133:$B$139,BX58))</f>
        <v xml:space="preserve"> </v>
      </c>
      <c r="BZ58" s="80"/>
      <c r="CA58" s="302" t="str" cm="1">
        <f t="array" aca="1" ref="CA58" ca="1">IF(BW58=0,"",IF(BV58="G","--",INDEX(auto_DataFlat_Rank,BU58,$E$11)))</f>
        <v>37</v>
      </c>
      <c r="CB58" s="122" t="str" cm="1">
        <f t="array" aca="1" ref="CB58" ca="1">IF(BW58=0,"",IF(BV58="G","AVERAGE",INDEX(auto_ddCountry,BV58)))</f>
        <v>Ho Chi Minh City</v>
      </c>
      <c r="CC58" s="290" cm="1">
        <f t="array" aca="1" ref="CC58" ca="1">IF(BW58=0,"",INDEX(auto_DataFlat_Score,BU58,$E$11))</f>
        <v>48.9</v>
      </c>
      <c r="CD58" s="4"/>
      <c r="CE58" s="49">
        <f t="shared" si="41"/>
        <v>52</v>
      </c>
      <c r="CF58" s="49" cm="1">
        <f t="array" ref="CF58">IF($F58=0,0,INDEX(sys_DataFlat_LU_Grid,CE58,$E58))</f>
        <v>3097</v>
      </c>
      <c r="CG58" s="49" cm="1">
        <f t="array" ref="CG58">IF($F58=0,-1000,CHOOSE($E$14,INDEX(auto_DataFlat_Score,CF58,$E$11),-INDEX(auto_DataFlat_Score,CF58,$E$11),-$D58))</f>
        <v>50.9</v>
      </c>
      <c r="CH58" s="91">
        <f ca="1">RANK(CG58,OFFSET(CG$21,0,0,$E$16+1,1))+COUNTIF(CG$21:CG58,CG58)-1</f>
        <v>46</v>
      </c>
      <c r="CI58" s="91">
        <f t="shared" ca="1" si="53"/>
        <v>26</v>
      </c>
      <c r="CJ58" s="91" cm="1">
        <f t="array" aca="1" ref="CJ58" ca="1">INDEX(OFFSET(CF$21,0,0,$E$16+1,1),CI58)</f>
        <v>3085</v>
      </c>
      <c r="CK58" s="49" cm="1">
        <f t="array" aca="1" ref="CK58" ca="1">INDEX(OFFSET($E$21,0,0,$E$16+1,1),CI58)</f>
        <v>25</v>
      </c>
      <c r="CL58" s="80" cm="1">
        <f t="array" aca="1" ref="CL58" ca="1">IF(CK58="G",5,INDEX(OFFSET($F$21,0,0,$E$16+1,1),CI58))</f>
        <v>1</v>
      </c>
      <c r="CM58" s="80" cm="1">
        <f t="array" aca="1" ref="CM58" ca="1">IF(CJ58=0,0,IF(CK58="G",-1,INDEX(auto_DataFlat_Classification,CJ58,$E$11)))</f>
        <v>4</v>
      </c>
      <c r="CN58" s="301" t="str" cm="1">
        <f t="array" aca="1" ref="CN58" ca="1">IF(CM58&lt;0,"",INDEX(uxbGlobals!$B$133:$B$139,CM58))</f>
        <v xml:space="preserve"> </v>
      </c>
      <c r="CO58" s="80"/>
      <c r="CP58" s="302" t="str" cm="1">
        <f t="array" aca="1" ref="CP58" ca="1">IF(CL58=0,"",IF(CK58="G","--",INDEX(auto_DataFlat_Rank,CJ58,$E$11)))</f>
        <v>37</v>
      </c>
      <c r="CQ58" s="122" t="str" cm="1">
        <f t="array" aca="1" ref="CQ58" ca="1">IF(CL58=0,"",IF(CK58="G","AVERAGE",INDEX(auto_ddCountry,CK58)))</f>
        <v>Lagos</v>
      </c>
      <c r="CR58" s="290" cm="1">
        <f t="array" aca="1" ref="CR58" ca="1">IF(CL58=0,"",INDEX(auto_DataFlat_Score,CJ58,$E$11))</f>
        <v>61.1</v>
      </c>
      <c r="CS58" s="4"/>
      <c r="CT58" s="49">
        <f t="shared" si="43"/>
        <v>-1</v>
      </c>
      <c r="CU58" s="49" t="e" cm="1">
        <f t="array" ref="CU58">IF($F58=0,0,INDEX(sys_DataFlat_LU_Grid,CT58,$E58))</f>
        <v>#VALUE!</v>
      </c>
      <c r="CV58" s="49" t="e" cm="1">
        <f t="array" ref="CV58">IF($F58=0,-1000,CHOOSE($E$14,INDEX(auto_DataFlat_Score,CU58,$E$11),-INDEX(auto_DataFlat_Score,CU58,$E$11),-$D58))</f>
        <v>#VALUE!</v>
      </c>
      <c r="CW58" s="91" t="e">
        <f ca="1">RANK(CV58,OFFSET(CV$21,0,0,$E$16+1,1))+COUNTIF(CV$21:CV58,CV58)-1</f>
        <v>#VALUE!</v>
      </c>
      <c r="CX58" s="91" t="e">
        <f t="shared" ca="1" si="47"/>
        <v>#N/A</v>
      </c>
      <c r="CY58" s="91" t="e" cm="1">
        <f t="array" aca="1" ref="CY58" ca="1">INDEX(OFFSET(CU$21,0,0,$E$16+1,1),CX58)</f>
        <v>#N/A</v>
      </c>
      <c r="CZ58" s="49" t="e" cm="1">
        <f t="array" aca="1" ref="CZ58" ca="1">INDEX(OFFSET($E$21,0,0,$E$16+1,1),CX58)</f>
        <v>#N/A</v>
      </c>
      <c r="DA58" s="80" t="e" cm="1">
        <f t="array" aca="1" ref="DA58" ca="1">IF(CZ58="G",5,INDEX(OFFSET($F$21,0,0,$E$16+1,1),CX58))</f>
        <v>#N/A</v>
      </c>
      <c r="DB58" s="80" t="e" cm="1">
        <f t="array" aca="1" ref="DB58" ca="1">IF(CY58=0,0,IF(CZ58="G",-1,INDEX(auto_DataFlat_Classification,CY58,$E$11)))</f>
        <v>#N/A</v>
      </c>
      <c r="DC58" s="301" t="e" cm="1">
        <f t="array" aca="1" ref="DC58" ca="1">IF(DB58&lt;0,"",INDEX(uxbGlobals!$B$133:$B$139,DB58))</f>
        <v>#N/A</v>
      </c>
      <c r="DD58" s="80"/>
      <c r="DE58" s="302" t="e" cm="1">
        <f t="array" aca="1" ref="DE58" ca="1">IF(DA58=0,"",IF(CZ58="G","--",INDEX(auto_DataFlat_Rank,CY58,$E$11)))</f>
        <v>#N/A</v>
      </c>
      <c r="DF58" s="122" t="e" cm="1">
        <f t="array" aca="1" ref="DF58" ca="1">IF(DA58=0,"",IF(CZ58="G","AVERAGE",INDEX(auto_ddCountry,CZ58)))</f>
        <v>#N/A</v>
      </c>
      <c r="DG58" s="290" t="e" cm="1">
        <f t="array" aca="1" ref="DG58" ca="1">IF(DA58=0,"",INDEX(auto_DataFlat_Score,CY58,$E$11))</f>
        <v>#N/A</v>
      </c>
      <c r="DH58" s="4"/>
      <c r="DI58" s="49">
        <f t="shared" si="44"/>
        <v>-1</v>
      </c>
      <c r="DJ58" s="49" t="e" cm="1">
        <f t="array" ref="DJ58">IF($F58=0,0,INDEX(sys_DataFlat_LU_Grid,DI58,$E58))</f>
        <v>#VALUE!</v>
      </c>
      <c r="DK58" s="49" t="e" cm="1">
        <f t="array" ref="DK58">IF($F58=0,-1000,CHOOSE($E$14,INDEX(auto_DataFlat_Score,DJ58,$E$11),-INDEX(auto_DataFlat_Score,DJ58,$E$11),-$D58))</f>
        <v>#VALUE!</v>
      </c>
      <c r="DL58" s="91" t="e">
        <f ca="1">RANK(DK58,OFFSET(DK$21,0,0,$E$16+1,1))+COUNTIF(DK$21:DK58,DK58)-1</f>
        <v>#VALUE!</v>
      </c>
      <c r="DM58" s="91" t="e">
        <f t="shared" ca="1" si="28"/>
        <v>#N/A</v>
      </c>
      <c r="DN58" s="91" t="e" cm="1">
        <f t="array" aca="1" ref="DN58" ca="1">INDEX(OFFSET(DJ$21,0,0,$E$16+1,1),DM58)</f>
        <v>#N/A</v>
      </c>
      <c r="DO58" s="49" t="e" cm="1">
        <f t="array" aca="1" ref="DO58" ca="1">INDEX(OFFSET($E$21,0,0,$E$16+1,1),DM58)</f>
        <v>#N/A</v>
      </c>
      <c r="DP58" s="80" t="e" cm="1">
        <f t="array" aca="1" ref="DP58" ca="1">IF(DO58="G",5,INDEX(OFFSET($F$21,0,0,$E$16+1,1),DM58))</f>
        <v>#N/A</v>
      </c>
      <c r="DQ58" s="80" t="e" cm="1">
        <f t="array" aca="1" ref="DQ58" ca="1">IF(DN58=0,0,IF(DO58="G",-1,INDEX(auto_DataFlat_Classification,DN58,$E$11)))</f>
        <v>#N/A</v>
      </c>
      <c r="DR58" s="301" t="e" cm="1">
        <f t="array" aca="1" ref="DR58" ca="1">IF(DQ58&lt;0,"",INDEX(uxbGlobals!$B$133:$B$139,DQ58))</f>
        <v>#N/A</v>
      </c>
      <c r="DS58" s="80"/>
      <c r="DT58" s="302" t="e" cm="1">
        <f t="array" aca="1" ref="DT58" ca="1">IF(DP58=0,"",IF(DO58="G","--",INDEX(auto_DataFlat_Rank,DN58,$E$11)))</f>
        <v>#N/A</v>
      </c>
      <c r="DU58" s="122" t="e" cm="1">
        <f t="array" aca="1" ref="DU58" ca="1">IF(DP58=0,"",IF(DO58="G","AVERAGE",INDEX(auto_ddCountry,DO58)))</f>
        <v>#N/A</v>
      </c>
      <c r="DV58" s="290" t="e" cm="1">
        <f t="array" aca="1" ref="DV58" ca="1">IF(DP58=0,"",INDEX(auto_DataFlat_Score,DN58,$E$11))</f>
        <v>#N/A</v>
      </c>
      <c r="DW58" s="4"/>
      <c r="DX58" s="49">
        <f t="shared" si="45"/>
        <v>-1</v>
      </c>
      <c r="DY58" s="49" t="e" cm="1">
        <f t="array" ref="DY58">IF($F58=0,0,INDEX(sys_DataFlat_LU_Grid,DX58,$E58))</f>
        <v>#VALUE!</v>
      </c>
      <c r="DZ58" s="49" t="e" cm="1">
        <f t="array" ref="DZ58">IF($F58=0,-1000,CHOOSE($E$14,INDEX(auto_DataFlat_Score,DY58,$E$11),-INDEX(auto_DataFlat_Score,DY58,$E$11),-$D58))</f>
        <v>#VALUE!</v>
      </c>
      <c r="EA58" s="91" t="e">
        <f ca="1">RANK(DZ58,OFFSET(DZ$21,0,0,$E$16+1,1))+COUNTIF(DZ$21:DZ58,DZ58)-1</f>
        <v>#VALUE!</v>
      </c>
      <c r="EB58" s="91" t="e">
        <f t="shared" ca="1" si="29"/>
        <v>#N/A</v>
      </c>
      <c r="EC58" s="91" t="e" cm="1">
        <f t="array" aca="1" ref="EC58" ca="1">INDEX(OFFSET(DY$21,0,0,$E$16+1,1),EB58)</f>
        <v>#N/A</v>
      </c>
      <c r="ED58" s="49" t="e" cm="1">
        <f t="array" aca="1" ref="ED58" ca="1">INDEX(OFFSET($E$21,0,0,$E$16+1,1),EB58)</f>
        <v>#N/A</v>
      </c>
      <c r="EE58" s="80" t="e" cm="1">
        <f t="array" aca="1" ref="EE58" ca="1">IF(ED58="G",5,INDEX(OFFSET($F$21,0,0,$E$16+1,1),EB58))</f>
        <v>#N/A</v>
      </c>
      <c r="EF58" s="80" t="e" cm="1">
        <f t="array" aca="1" ref="EF58" ca="1">IF(EC58=0,0,IF(ED58="G",-1,INDEX(auto_DataFlat_Classification,EC58,$E$11)))</f>
        <v>#N/A</v>
      </c>
      <c r="EG58" s="301" t="e" cm="1">
        <f t="array" aca="1" ref="EG58" ca="1">IF(EF58&lt;0,"",INDEX(uxbGlobals!$B$133:$B$139,EF58))</f>
        <v>#N/A</v>
      </c>
      <c r="EH58" s="80"/>
      <c r="EI58" s="302" t="e" cm="1">
        <f t="array" aca="1" ref="EI58" ca="1">IF(EE58=0,"",IF(ED58="G","--",INDEX(auto_DataFlat_Rank,EC58,$E$11)))</f>
        <v>#N/A</v>
      </c>
      <c r="EJ58" s="122" t="e" cm="1">
        <f t="array" aca="1" ref="EJ58" ca="1">IF(EE58=0,"",IF(ED58="G","AVERAGE",INDEX(auto_ddCountry,ED58)))</f>
        <v>#N/A</v>
      </c>
      <c r="EK58" s="290" t="e" cm="1">
        <f t="array" aca="1" ref="EK58" ca="1">IF(EE58=0,"",INDEX(auto_DataFlat_Score,EC58,$E$11))</f>
        <v>#N/A</v>
      </c>
      <c r="EL58" s="4"/>
      <c r="EM58" s="49">
        <f t="shared" si="46"/>
        <v>-1</v>
      </c>
      <c r="EN58" s="49" t="e" cm="1">
        <f t="array" ref="EN58">IF($F58=0,0,INDEX(sys_DataFlat_LU_Grid,EM58,$E58))</f>
        <v>#VALUE!</v>
      </c>
      <c r="EO58" s="49" t="e" cm="1">
        <f t="array" ref="EO58">IF($F58=0,-1000,CHOOSE($E$14,INDEX(auto_DataFlat_Score,EN58,$E$11),-INDEX(auto_DataFlat_Score,EN58,$E$11),-$D58))</f>
        <v>#VALUE!</v>
      </c>
      <c r="EP58" s="91" t="e">
        <f ca="1">RANK(EO58,OFFSET(EO$21,0,0,$E$16+1,1))+COUNTIF(EO$21:EO58,EO58)-1</f>
        <v>#VALUE!</v>
      </c>
      <c r="EQ58" s="91" t="e">
        <f t="shared" ca="1" si="30"/>
        <v>#N/A</v>
      </c>
      <c r="ER58" s="91" t="e" cm="1">
        <f t="array" aca="1" ref="ER58" ca="1">INDEX(OFFSET(EN$21,0,0,$E$16+1,1),EQ58)</f>
        <v>#N/A</v>
      </c>
      <c r="ES58" s="49" t="e" cm="1">
        <f t="array" aca="1" ref="ES58" ca="1">INDEX(OFFSET($E$21,0,0,$E$16+1,1),EQ58)</f>
        <v>#N/A</v>
      </c>
      <c r="ET58" s="80" t="e" cm="1">
        <f t="array" aca="1" ref="ET58" ca="1">IF(ES58="G",5,INDEX(OFFSET($F$21,0,0,$E$16+1,1),EQ58))</f>
        <v>#N/A</v>
      </c>
      <c r="EU58" s="80" t="e" cm="1">
        <f t="array" aca="1" ref="EU58" ca="1">IF(ER58=0,0,IF(ES58="G",-1,INDEX(auto_DataFlat_Classification,ER58,$E$11)))</f>
        <v>#N/A</v>
      </c>
      <c r="EV58" s="301" t="e" cm="1">
        <f t="array" aca="1" ref="EV58" ca="1">IF(EU58&lt;0,"",INDEX(uxbGlobals!$B$133:$B$139,EU58))</f>
        <v>#N/A</v>
      </c>
      <c r="EW58" s="80"/>
      <c r="EX58" s="302" t="e" cm="1">
        <f t="array" aca="1" ref="EX58" ca="1">IF(ET58=0,"",IF(ES58="G","--",INDEX(auto_DataFlat_Rank,ER58,$E$11)))</f>
        <v>#N/A</v>
      </c>
      <c r="EY58" s="122" t="e" cm="1">
        <f t="array" aca="1" ref="EY58" ca="1">IF(ET58=0,"",IF(ES58="G","AVERAGE",INDEX(auto_ddCountry,ES58)))</f>
        <v>#N/A</v>
      </c>
      <c r="EZ58" s="290" t="e" cm="1">
        <f t="array" aca="1" ref="EZ58" ca="1">IF(ET58=0,"",INDEX(auto_DataFlat_Score,ER58,$E$11))</f>
        <v>#N/A</v>
      </c>
    </row>
    <row r="59" spans="1:156" ht="17.149999999999999" customHeight="1" x14ac:dyDescent="0.4">
      <c r="A59" s="4"/>
      <c r="B59" s="4"/>
      <c r="C59" s="4"/>
      <c r="D59" s="26">
        <v>39</v>
      </c>
      <c r="E59" s="49">
        <f>tblCountries!M40</f>
        <v>38</v>
      </c>
      <c r="F59" s="114" cm="1">
        <f t="array" ref="F59">IF(E59=0,0,INDEX(auto_Country_Status,E59))</f>
        <v>1</v>
      </c>
      <c r="G59" s="4"/>
      <c r="H59" s="49">
        <f t="shared" si="31"/>
        <v>1</v>
      </c>
      <c r="I59" s="49" cm="1">
        <f t="array" ref="I59">IF($F59=0,0,INDEX(sys_DataFlat_LU_Grid,H59,$E59))</f>
        <v>38</v>
      </c>
      <c r="J59" s="49" cm="1">
        <f t="array" ref="J59">IF($F59=0,-1000,CHOOSE($E$14,INDEX(auto_DataFlat_Score,I59,$E$11),-INDEX(auto_DataFlat_Score,I59,$E$11),-$D59))</f>
        <v>44.2</v>
      </c>
      <c r="K59" s="91">
        <f ca="1">RANK(J59,OFFSET(J$21,0,0,$E$16+1,1))+COUNTIF(J$21:J59,J59)-1</f>
        <v>45</v>
      </c>
      <c r="L59" s="91">
        <f t="shared" ca="1" si="48"/>
        <v>26</v>
      </c>
      <c r="M59" s="91" cm="1">
        <f t="array" aca="1" ref="M59" ca="1">INDEX(OFFSET(I$21,0,0,$E$16+1,1),L59)</f>
        <v>25</v>
      </c>
      <c r="N59" s="49" cm="1">
        <f t="array" aca="1" ref="N59" ca="1">INDEX(OFFSET($E$21,0,0,$E$16+1,1),L59)</f>
        <v>25</v>
      </c>
      <c r="O59" s="80" cm="1">
        <f t="array" aca="1" ref="O59" ca="1">IF(N59="G",5,INDEX(OFFSET($F$21,0,0,$E$16+1,1),L59))</f>
        <v>1</v>
      </c>
      <c r="P59" s="80" cm="1">
        <f t="array" aca="1" ref="P59" ca="1">IF(M59=0,0,IF(N59="G",-1,INDEX(auto_DataFlat_Classification,M59,$E$11)))</f>
        <v>3</v>
      </c>
      <c r="Q59" s="301" t="str" cm="1">
        <f t="array" aca="1" ref="Q59" ca="1">IF(P59&lt;0,"",INDEX(uxbGlobals!$B$133:$B$139,P59))</f>
        <v xml:space="preserve"> </v>
      </c>
      <c r="R59" s="80"/>
      <c r="S59" s="302" t="str" cm="1">
        <f t="array" aca="1" ref="S59" ca="1">IF(O59=0,"",IF(N59="G","--",INDEX(auto_DataFlat_Rank,M59,$E$11)))</f>
        <v>38</v>
      </c>
      <c r="T59" s="122" t="str" cm="1">
        <f t="array" aca="1" ref="T59" ca="1">IF(O59=0,"",IF(N59="G"," AVERAGE",INDEX(auto_ddCountry,N59)))</f>
        <v>Lagos</v>
      </c>
      <c r="U59" s="290" cm="1">
        <f t="array" aca="1" ref="U59" ca="1">IF(O59=0,"",INDEX(auto_DataFlat_Score,M59,$E$11))</f>
        <v>51.6</v>
      </c>
      <c r="V59" s="4"/>
      <c r="W59" s="49">
        <f t="shared" si="33"/>
        <v>2</v>
      </c>
      <c r="X59" s="49" cm="1">
        <f t="array" ref="X59">IF($F59=0,0,INDEX(sys_DataFlat_LU_Grid,W59,$E59))</f>
        <v>98</v>
      </c>
      <c r="Y59" s="49" cm="1">
        <f t="array" ref="Y59">IF($F59=0,-1000,CHOOSE($E$14,INDEX(auto_DataFlat_Score,X59,$E$11),-INDEX(auto_DataFlat_Score,X59,$E$11),-$D59))</f>
        <v>61</v>
      </c>
      <c r="Z59" s="91">
        <f ca="1">RANK(Y59,OFFSET(Y$21,0,0,$E$16+1,1))+COUNTIF(Y$21:Y59,Y59)-1</f>
        <v>34</v>
      </c>
      <c r="AA59" s="91">
        <f t="shared" ca="1" si="49"/>
        <v>3</v>
      </c>
      <c r="AB59" s="91" cm="1">
        <f t="array" aca="1" ref="AB59" ca="1">INDEX(OFFSET(X$21,0,0,$E$16+1,1),AA59)</f>
        <v>62</v>
      </c>
      <c r="AC59" s="49" cm="1">
        <f t="array" aca="1" ref="AC59" ca="1">INDEX(OFFSET($E$21,0,0,$E$16+1,1),AA59)</f>
        <v>2</v>
      </c>
      <c r="AD59" s="80" cm="1">
        <f t="array" aca="1" ref="AD59" ca="1">IF(AC59="G",5,INDEX(OFFSET($F$21,0,0,$E$16+1,1),AA59))</f>
        <v>1</v>
      </c>
      <c r="AE59" s="80" cm="1">
        <f t="array" aca="1" ref="AE59" ca="1">IF(AB59=0,0,IF(AC59="G",-1,INDEX(auto_DataFlat_Classification,AB59,$E$11)))</f>
        <v>3</v>
      </c>
      <c r="AF59" s="301" t="str" cm="1">
        <f t="array" aca="1" ref="AF59" ca="1">IF(AE59&lt;0,"",INDEX(uxbGlobals!$B$133:$B$139,AE59))</f>
        <v xml:space="preserve"> </v>
      </c>
      <c r="AG59" s="80"/>
      <c r="AH59" s="302" t="str" cm="1">
        <f t="array" aca="1" ref="AH59" ca="1">IF(AD59=0,"",IF(AC59="G","--",INDEX(auto_DataFlat_Rank,AB59,$E$11)))</f>
        <v>=38</v>
      </c>
      <c r="AI59" s="122" t="str" cm="1">
        <f t="array" aca="1" ref="AI59" ca="1">IF(AD59=0,"",IF(AC59="G","AVERAGE",INDEX(auto_ddCountry,AC59)))</f>
        <v>Algiers</v>
      </c>
      <c r="AJ59" s="290" cm="1">
        <f t="array" aca="1" ref="AJ59" ca="1">IF(AD59=0,"",INDEX(auto_DataFlat_Score,AB59,$E$11))</f>
        <v>54.3</v>
      </c>
      <c r="AK59" s="4"/>
      <c r="AL59" s="49">
        <f t="shared" si="35"/>
        <v>14</v>
      </c>
      <c r="AM59" s="49" cm="1">
        <f t="array" ref="AM59">IF($F59=0,0,INDEX(sys_DataFlat_LU_Grid,AL59,$E59))</f>
        <v>818</v>
      </c>
      <c r="AN59" s="49" cm="1">
        <f t="array" ref="AN59">IF($F59=0,-1000,CHOOSE($E$14,INDEX(auto_DataFlat_Score,AM59,$E$11),-INDEX(auto_DataFlat_Score,AM59,$E$11),-$D59))</f>
        <v>9.8000000000000007</v>
      </c>
      <c r="AO59" s="91">
        <f ca="1">RANK(AN59,OFFSET(AN$21,0,0,$E$16+1,1))+COUNTIF(AN$21:AN59,AN59)-1</f>
        <v>51</v>
      </c>
      <c r="AP59" s="91">
        <f t="shared" ca="1" si="50"/>
        <v>21</v>
      </c>
      <c r="AQ59" s="91" cm="1">
        <f t="array" aca="1" ref="AQ59" ca="1">INDEX(OFFSET(AM$21,0,0,$E$16+1,1),AP59)</f>
        <v>800</v>
      </c>
      <c r="AR59" s="49" cm="1">
        <f t="array" aca="1" ref="AR59" ca="1">INDEX(OFFSET($E$21,0,0,$E$16+1,1),AP59)</f>
        <v>20</v>
      </c>
      <c r="AS59" s="80" cm="1">
        <f t="array" aca="1" ref="AS59" ca="1">IF(AR59="G",5,INDEX(OFFSET($F$21,0,0,$E$16+1,1),AP59))</f>
        <v>1</v>
      </c>
      <c r="AT59" s="80" cm="1">
        <f t="array" aca="1" ref="AT59" ca="1">IF(AQ59=0,0,IF(AR59="G",-1,INDEX(auto_DataFlat_Classification,AQ59,$E$11)))</f>
        <v>2</v>
      </c>
      <c r="AU59" s="301" t="str" cm="1">
        <f t="array" aca="1" ref="AU59" ca="1">IF(AT59&lt;0,"",INDEX(uxbGlobals!$B$133:$B$139,AT59))</f>
        <v xml:space="preserve"> </v>
      </c>
      <c r="AV59" s="80"/>
      <c r="AW59" s="302" t="str" cm="1">
        <f t="array" aca="1" ref="AW59" ca="1">IF(AS59=0,"",IF(AR59="G","--",INDEX(auto_DataFlat_Rank,AQ59,$E$11)))</f>
        <v>38</v>
      </c>
      <c r="AX59" s="122" t="str" cm="1">
        <f t="array" aca="1" ref="AX59" ca="1">IF(AS59=0,"",IF(AR59="G","AVERAGE",INDEX(auto_ddCountry,AR59)))</f>
        <v>Johannesburg</v>
      </c>
      <c r="AY59" s="290" cm="1">
        <f t="array" aca="1" ref="AY59" ca="1">IF(AS59=0,"",INDEX(auto_DataFlat_Score,AQ59,$E$11))</f>
        <v>34.200000000000003</v>
      </c>
      <c r="AZ59" s="4"/>
      <c r="BA59" s="49">
        <f t="shared" si="37"/>
        <v>22</v>
      </c>
      <c r="BB59" s="49" cm="1">
        <f t="array" ref="BB59">IF($F59=0,0,INDEX(sys_DataFlat_LU_Grid,BA59,$E59))</f>
        <v>1298</v>
      </c>
      <c r="BC59" s="49" cm="1">
        <f t="array" ref="BC59">IF($F59=0,-1000,CHOOSE($E$14,INDEX(auto_DataFlat_Score,BB59,$E$11),-INDEX(auto_DataFlat_Score,BB59,$E$11),-$D59))</f>
        <v>37.6</v>
      </c>
      <c r="BD59" s="91">
        <f ca="1">RANK(BC59,OFFSET(BC$21,0,0,$E$16+1,1))+COUNTIF(BC$21:BC59,BC59)-1</f>
        <v>46</v>
      </c>
      <c r="BE59" s="91">
        <f t="shared" ca="1" si="51"/>
        <v>29</v>
      </c>
      <c r="BF59" s="91" cm="1">
        <f t="array" aca="1" ref="BF59" ca="1">INDEX(OFFSET(BB$21,0,0,$E$16+1,1),BE59)</f>
        <v>1288</v>
      </c>
      <c r="BG59" s="49" cm="1">
        <f t="array" aca="1" ref="BG59" ca="1">INDEX(OFFSET($E$21,0,0,$E$16+1,1),BE59)</f>
        <v>28</v>
      </c>
      <c r="BH59" s="80" cm="1">
        <f t="array" aca="1" ref="BH59" ca="1">IF(BG59="G",5,INDEX(OFFSET($F$21,0,0,$E$16+1,1),BE59))</f>
        <v>1</v>
      </c>
      <c r="BI59" s="80" cm="1">
        <f t="array" aca="1" ref="BI59" ca="1">IF(BF59=0,0,IF(BG59="G",-1,INDEX(auto_DataFlat_Classification,BF59,$E$11)))</f>
        <v>3</v>
      </c>
      <c r="BJ59" s="301" t="str" cm="1">
        <f t="array" aca="1" ref="BJ59" ca="1">IF(BI59&lt;0,"",INDEX(uxbGlobals!$B$133:$B$139,BI59))</f>
        <v xml:space="preserve"> </v>
      </c>
      <c r="BK59" s="80"/>
      <c r="BL59" s="302" t="str" cm="1">
        <f t="array" aca="1" ref="BL59" ca="1">IF(BH59=0,"",IF(BG59="G","--",INDEX(auto_DataFlat_Rank,BF59,$E$11)))</f>
        <v>38</v>
      </c>
      <c r="BM59" s="122" t="str" cm="1">
        <f t="array" aca="1" ref="BM59" ca="1">IF(BH59=0,"",IF(BG59="G","AVERAGE",INDEX(auto_ddCountry,BG59)))</f>
        <v>Manila</v>
      </c>
      <c r="BN59" s="290" cm="1">
        <f t="array" aca="1" ref="BN59" ca="1">IF(BH59=0,"",INDEX(auto_DataFlat_Score,BF59,$E$11))</f>
        <v>42.8</v>
      </c>
      <c r="BO59" s="4"/>
      <c r="BP59" s="49">
        <f t="shared" si="39"/>
        <v>47</v>
      </c>
      <c r="BQ59" s="49" cm="1">
        <f t="array" ref="BQ59">IF($F59=0,0,INDEX(sys_DataFlat_LU_Grid,BP59,$E59))</f>
        <v>2798</v>
      </c>
      <c r="BR59" s="49" cm="1">
        <f t="array" ref="BR59">IF($F59=0,-1000,CHOOSE($E$14,INDEX(auto_DataFlat_Score,BQ59,$E$11),-INDEX(auto_DataFlat_Score,BQ59,$E$11),-$D59))</f>
        <v>51.9</v>
      </c>
      <c r="BS59" s="91">
        <f ca="1">RANK(BR59,OFFSET(BR$21,0,0,$E$16+1,1))+COUNTIF(BR$21:BR59,BR59)-1</f>
        <v>34</v>
      </c>
      <c r="BT59" s="91">
        <f t="shared" ca="1" si="52"/>
        <v>38</v>
      </c>
      <c r="BU59" s="91" cm="1">
        <f t="array" aca="1" ref="BU59" ca="1">INDEX(OFFSET(BQ$21,0,0,$E$16+1,1),BT59)</f>
        <v>2797</v>
      </c>
      <c r="BV59" s="49" cm="1">
        <f t="array" aca="1" ref="BV59" ca="1">INDEX(OFFSET($E$21,0,0,$E$16+1,1),BT59)</f>
        <v>37</v>
      </c>
      <c r="BW59" s="80" cm="1">
        <f t="array" aca="1" ref="BW59" ca="1">IF(BV59="G",5,INDEX(OFFSET($F$21,0,0,$E$16+1,1),BT59))</f>
        <v>1</v>
      </c>
      <c r="BX59" s="80" cm="1">
        <f t="array" aca="1" ref="BX59" ca="1">IF(BU59=0,0,IF(BV59="G",-1,INDEX(auto_DataFlat_Classification,BU59,$E$11)))</f>
        <v>3</v>
      </c>
      <c r="BY59" s="301" t="str" cm="1">
        <f t="array" aca="1" ref="BY59" ca="1">IF(BX59&lt;0,"",INDEX(uxbGlobals!$B$133:$B$139,BX59))</f>
        <v xml:space="preserve"> </v>
      </c>
      <c r="BZ59" s="80"/>
      <c r="CA59" s="302" t="str" cm="1">
        <f t="array" aca="1" ref="CA59" ca="1">IF(BW59=0,"",IF(BV59="G","--",INDEX(auto_DataFlat_Rank,BU59,$E$11)))</f>
        <v>38</v>
      </c>
      <c r="CB59" s="122" t="str" cm="1">
        <f t="array" aca="1" ref="CB59" ca="1">IF(BW59=0,"",IF(BV59="G","AVERAGE",INDEX(auto_ddCountry,BV59)))</f>
        <v>Phnom Penh</v>
      </c>
      <c r="CC59" s="290" cm="1">
        <f t="array" aca="1" ref="CC59" ca="1">IF(BW59=0,"",INDEX(auto_DataFlat_Score,BU59,$E$11))</f>
        <v>48.7</v>
      </c>
      <c r="CD59" s="4"/>
      <c r="CE59" s="49">
        <f t="shared" si="41"/>
        <v>52</v>
      </c>
      <c r="CF59" s="49" cm="1">
        <f t="array" ref="CF59">IF($F59=0,0,INDEX(sys_DataFlat_LU_Grid,CE59,$E59))</f>
        <v>3098</v>
      </c>
      <c r="CG59" s="49" cm="1">
        <f t="array" ref="CG59">IF($F59=0,-1000,CHOOSE($E$14,INDEX(auto_DataFlat_Score,CF59,$E$11),-INDEX(auto_DataFlat_Score,CF59,$E$11),-$D59))</f>
        <v>56.5</v>
      </c>
      <c r="CH59" s="91">
        <f ca="1">RANK(CG59,OFFSET(CG$21,0,0,$E$16+1,1))+COUNTIF(CG$21:CG59,CG59)-1</f>
        <v>39</v>
      </c>
      <c r="CI59" s="91">
        <f t="shared" ca="1" si="53"/>
        <v>39</v>
      </c>
      <c r="CJ59" s="91" cm="1">
        <f t="array" aca="1" ref="CJ59" ca="1">INDEX(OFFSET(CF$21,0,0,$E$16+1,1),CI59)</f>
        <v>3098</v>
      </c>
      <c r="CK59" s="49" cm="1">
        <f t="array" aca="1" ref="CK59" ca="1">INDEX(OFFSET($E$21,0,0,$E$16+1,1),CI59)</f>
        <v>38</v>
      </c>
      <c r="CL59" s="80" cm="1">
        <f t="array" aca="1" ref="CL59" ca="1">IF(CK59="G",5,INDEX(OFFSET($F$21,0,0,$E$16+1,1),CI59))</f>
        <v>1</v>
      </c>
      <c r="CM59" s="80" cm="1">
        <f t="array" aca="1" ref="CM59" ca="1">IF(CJ59=0,0,IF(CK59="G",-1,INDEX(auto_DataFlat_Classification,CJ59,$E$11)))</f>
        <v>3</v>
      </c>
      <c r="CN59" s="301" t="str" cm="1">
        <f t="array" aca="1" ref="CN59" ca="1">IF(CM59&lt;0,"",INDEX(uxbGlobals!$B$133:$B$139,CM59))</f>
        <v xml:space="preserve"> </v>
      </c>
      <c r="CO59" s="80"/>
      <c r="CP59" s="302" t="str" cm="1">
        <f t="array" aca="1" ref="CP59" ca="1">IF(CL59=0,"",IF(CK59="G","--",INDEX(auto_DataFlat_Rank,CJ59,$E$11)))</f>
        <v>38</v>
      </c>
      <c r="CQ59" s="122" t="str" cm="1">
        <f t="array" aca="1" ref="CQ59" ca="1">IF(CL59=0,"",IF(CK59="G","AVERAGE",INDEX(auto_ddCountry,CK59)))</f>
        <v>Riyadh</v>
      </c>
      <c r="CR59" s="290" cm="1">
        <f t="array" aca="1" ref="CR59" ca="1">IF(CL59=0,"",INDEX(auto_DataFlat_Score,CJ59,$E$11))</f>
        <v>56.5</v>
      </c>
      <c r="CS59" s="4"/>
      <c r="CT59" s="49">
        <f t="shared" si="43"/>
        <v>-1</v>
      </c>
      <c r="CU59" s="49" t="e" cm="1">
        <f t="array" ref="CU59">IF($F59=0,0,INDEX(sys_DataFlat_LU_Grid,CT59,$E59))</f>
        <v>#VALUE!</v>
      </c>
      <c r="CV59" s="49" t="e" cm="1">
        <f t="array" ref="CV59">IF($F59=0,-1000,CHOOSE($E$14,INDEX(auto_DataFlat_Score,CU59,$E$11),-INDEX(auto_DataFlat_Score,CU59,$E$11),-$D59))</f>
        <v>#VALUE!</v>
      </c>
      <c r="CW59" s="91" t="e">
        <f ca="1">RANK(CV59,OFFSET(CV$21,0,0,$E$16+1,1))+COUNTIF(CV$21:CV59,CV59)-1</f>
        <v>#VALUE!</v>
      </c>
      <c r="CX59" s="91" t="e">
        <f t="shared" ca="1" si="47"/>
        <v>#N/A</v>
      </c>
      <c r="CY59" s="91" t="e" cm="1">
        <f t="array" aca="1" ref="CY59" ca="1">INDEX(OFFSET(CU$21,0,0,$E$16+1,1),CX59)</f>
        <v>#N/A</v>
      </c>
      <c r="CZ59" s="49" t="e" cm="1">
        <f t="array" aca="1" ref="CZ59" ca="1">INDEX(OFFSET($E$21,0,0,$E$16+1,1),CX59)</f>
        <v>#N/A</v>
      </c>
      <c r="DA59" s="80" t="e" cm="1">
        <f t="array" aca="1" ref="DA59" ca="1">IF(CZ59="G",5,INDEX(OFFSET($F$21,0,0,$E$16+1,1),CX59))</f>
        <v>#N/A</v>
      </c>
      <c r="DB59" s="80" t="e" cm="1">
        <f t="array" aca="1" ref="DB59" ca="1">IF(CY59=0,0,IF(CZ59="G",-1,INDEX(auto_DataFlat_Classification,CY59,$E$11)))</f>
        <v>#N/A</v>
      </c>
      <c r="DC59" s="301" t="e" cm="1">
        <f t="array" aca="1" ref="DC59" ca="1">IF(DB59&lt;0,"",INDEX(uxbGlobals!$B$133:$B$139,DB59))</f>
        <v>#N/A</v>
      </c>
      <c r="DD59" s="80"/>
      <c r="DE59" s="302" t="e" cm="1">
        <f t="array" aca="1" ref="DE59" ca="1">IF(DA59=0,"",IF(CZ59="G","--",INDEX(auto_DataFlat_Rank,CY59,$E$11)))</f>
        <v>#N/A</v>
      </c>
      <c r="DF59" s="122" t="e" cm="1">
        <f t="array" aca="1" ref="DF59" ca="1">IF(DA59=0,"",IF(CZ59="G","AVERAGE",INDEX(auto_ddCountry,CZ59)))</f>
        <v>#N/A</v>
      </c>
      <c r="DG59" s="290" t="e" cm="1">
        <f t="array" aca="1" ref="DG59" ca="1">IF(DA59=0,"",INDEX(auto_DataFlat_Score,CY59,$E$11))</f>
        <v>#N/A</v>
      </c>
      <c r="DH59" s="4"/>
      <c r="DI59" s="49">
        <f t="shared" si="44"/>
        <v>-1</v>
      </c>
      <c r="DJ59" s="49" t="e" cm="1">
        <f t="array" ref="DJ59">IF($F59=0,0,INDEX(sys_DataFlat_LU_Grid,DI59,$E59))</f>
        <v>#VALUE!</v>
      </c>
      <c r="DK59" s="49" t="e" cm="1">
        <f t="array" ref="DK59">IF($F59=0,-1000,CHOOSE($E$14,INDEX(auto_DataFlat_Score,DJ59,$E$11),-INDEX(auto_DataFlat_Score,DJ59,$E$11),-$D59))</f>
        <v>#VALUE!</v>
      </c>
      <c r="DL59" s="91" t="e">
        <f ca="1">RANK(DK59,OFFSET(DK$21,0,0,$E$16+1,1))+COUNTIF(DK$21:DK59,DK59)-1</f>
        <v>#VALUE!</v>
      </c>
      <c r="DM59" s="91" t="e">
        <f t="shared" ca="1" si="28"/>
        <v>#N/A</v>
      </c>
      <c r="DN59" s="91" t="e" cm="1">
        <f t="array" aca="1" ref="DN59" ca="1">INDEX(OFFSET(DJ$21,0,0,$E$16+1,1),DM59)</f>
        <v>#N/A</v>
      </c>
      <c r="DO59" s="49" t="e" cm="1">
        <f t="array" aca="1" ref="DO59" ca="1">INDEX(OFFSET($E$21,0,0,$E$16+1,1),DM59)</f>
        <v>#N/A</v>
      </c>
      <c r="DP59" s="80" t="e" cm="1">
        <f t="array" aca="1" ref="DP59" ca="1">IF(DO59="G",5,INDEX(OFFSET($F$21,0,0,$E$16+1,1),DM59))</f>
        <v>#N/A</v>
      </c>
      <c r="DQ59" s="80" t="e" cm="1">
        <f t="array" aca="1" ref="DQ59" ca="1">IF(DN59=0,0,IF(DO59="G",-1,INDEX(auto_DataFlat_Classification,DN59,$E$11)))</f>
        <v>#N/A</v>
      </c>
      <c r="DR59" s="301" t="e" cm="1">
        <f t="array" aca="1" ref="DR59" ca="1">IF(DQ59&lt;0,"",INDEX(uxbGlobals!$B$133:$B$139,DQ59))</f>
        <v>#N/A</v>
      </c>
      <c r="DS59" s="80"/>
      <c r="DT59" s="302" t="e" cm="1">
        <f t="array" aca="1" ref="DT59" ca="1">IF(DP59=0,"",IF(DO59="G","--",INDEX(auto_DataFlat_Rank,DN59,$E$11)))</f>
        <v>#N/A</v>
      </c>
      <c r="DU59" s="122" t="e" cm="1">
        <f t="array" aca="1" ref="DU59" ca="1">IF(DP59=0,"",IF(DO59="G","AVERAGE",INDEX(auto_ddCountry,DO59)))</f>
        <v>#N/A</v>
      </c>
      <c r="DV59" s="290" t="e" cm="1">
        <f t="array" aca="1" ref="DV59" ca="1">IF(DP59=0,"",INDEX(auto_DataFlat_Score,DN59,$E$11))</f>
        <v>#N/A</v>
      </c>
      <c r="DW59" s="4"/>
      <c r="DX59" s="49">
        <f t="shared" si="45"/>
        <v>-1</v>
      </c>
      <c r="DY59" s="49" t="e" cm="1">
        <f t="array" ref="DY59">IF($F59=0,0,INDEX(sys_DataFlat_LU_Grid,DX59,$E59))</f>
        <v>#VALUE!</v>
      </c>
      <c r="DZ59" s="49" t="e" cm="1">
        <f t="array" ref="DZ59">IF($F59=0,-1000,CHOOSE($E$14,INDEX(auto_DataFlat_Score,DY59,$E$11),-INDEX(auto_DataFlat_Score,DY59,$E$11),-$D59))</f>
        <v>#VALUE!</v>
      </c>
      <c r="EA59" s="91" t="e">
        <f ca="1">RANK(DZ59,OFFSET(DZ$21,0,0,$E$16+1,1))+COUNTIF(DZ$21:DZ59,DZ59)-1</f>
        <v>#VALUE!</v>
      </c>
      <c r="EB59" s="91" t="e">
        <f t="shared" ca="1" si="29"/>
        <v>#N/A</v>
      </c>
      <c r="EC59" s="91" t="e" cm="1">
        <f t="array" aca="1" ref="EC59" ca="1">INDEX(OFFSET(DY$21,0,0,$E$16+1,1),EB59)</f>
        <v>#N/A</v>
      </c>
      <c r="ED59" s="49" t="e" cm="1">
        <f t="array" aca="1" ref="ED59" ca="1">INDEX(OFFSET($E$21,0,0,$E$16+1,1),EB59)</f>
        <v>#N/A</v>
      </c>
      <c r="EE59" s="80" t="e" cm="1">
        <f t="array" aca="1" ref="EE59" ca="1">IF(ED59="G",5,INDEX(OFFSET($F$21,0,0,$E$16+1,1),EB59))</f>
        <v>#N/A</v>
      </c>
      <c r="EF59" s="80" t="e" cm="1">
        <f t="array" aca="1" ref="EF59" ca="1">IF(EC59=0,0,IF(ED59="G",-1,INDEX(auto_DataFlat_Classification,EC59,$E$11)))</f>
        <v>#N/A</v>
      </c>
      <c r="EG59" s="301" t="e" cm="1">
        <f t="array" aca="1" ref="EG59" ca="1">IF(EF59&lt;0,"",INDEX(uxbGlobals!$B$133:$B$139,EF59))</f>
        <v>#N/A</v>
      </c>
      <c r="EH59" s="80"/>
      <c r="EI59" s="302" t="e" cm="1">
        <f t="array" aca="1" ref="EI59" ca="1">IF(EE59=0,"",IF(ED59="G","--",INDEX(auto_DataFlat_Rank,EC59,$E$11)))</f>
        <v>#N/A</v>
      </c>
      <c r="EJ59" s="122" t="e" cm="1">
        <f t="array" aca="1" ref="EJ59" ca="1">IF(EE59=0,"",IF(ED59="G","AVERAGE",INDEX(auto_ddCountry,ED59)))</f>
        <v>#N/A</v>
      </c>
      <c r="EK59" s="290" t="e" cm="1">
        <f t="array" aca="1" ref="EK59" ca="1">IF(EE59=0,"",INDEX(auto_DataFlat_Score,EC59,$E$11))</f>
        <v>#N/A</v>
      </c>
      <c r="EL59" s="4"/>
      <c r="EM59" s="49">
        <f t="shared" si="46"/>
        <v>-1</v>
      </c>
      <c r="EN59" s="49" t="e" cm="1">
        <f t="array" ref="EN59">IF($F59=0,0,INDEX(sys_DataFlat_LU_Grid,EM59,$E59))</f>
        <v>#VALUE!</v>
      </c>
      <c r="EO59" s="49" t="e" cm="1">
        <f t="array" ref="EO59">IF($F59=0,-1000,CHOOSE($E$14,INDEX(auto_DataFlat_Score,EN59,$E$11),-INDEX(auto_DataFlat_Score,EN59,$E$11),-$D59))</f>
        <v>#VALUE!</v>
      </c>
      <c r="EP59" s="91" t="e">
        <f ca="1">RANK(EO59,OFFSET(EO$21,0,0,$E$16+1,1))+COUNTIF(EO$21:EO59,EO59)-1</f>
        <v>#VALUE!</v>
      </c>
      <c r="EQ59" s="91" t="e">
        <f t="shared" ca="1" si="30"/>
        <v>#N/A</v>
      </c>
      <c r="ER59" s="91" t="e" cm="1">
        <f t="array" aca="1" ref="ER59" ca="1">INDEX(OFFSET(EN$21,0,0,$E$16+1,1),EQ59)</f>
        <v>#N/A</v>
      </c>
      <c r="ES59" s="49" t="e" cm="1">
        <f t="array" aca="1" ref="ES59" ca="1">INDEX(OFFSET($E$21,0,0,$E$16+1,1),EQ59)</f>
        <v>#N/A</v>
      </c>
      <c r="ET59" s="80" t="e" cm="1">
        <f t="array" aca="1" ref="ET59" ca="1">IF(ES59="G",5,INDEX(OFFSET($F$21,0,0,$E$16+1,1),EQ59))</f>
        <v>#N/A</v>
      </c>
      <c r="EU59" s="80" t="e" cm="1">
        <f t="array" aca="1" ref="EU59" ca="1">IF(ER59=0,0,IF(ES59="G",-1,INDEX(auto_DataFlat_Classification,ER59,$E$11)))</f>
        <v>#N/A</v>
      </c>
      <c r="EV59" s="301" t="e" cm="1">
        <f t="array" aca="1" ref="EV59" ca="1">IF(EU59&lt;0,"",INDEX(uxbGlobals!$B$133:$B$139,EU59))</f>
        <v>#N/A</v>
      </c>
      <c r="EW59" s="80"/>
      <c r="EX59" s="302" t="e" cm="1">
        <f t="array" aca="1" ref="EX59" ca="1">IF(ET59=0,"",IF(ES59="G","--",INDEX(auto_DataFlat_Rank,ER59,$E$11)))</f>
        <v>#N/A</v>
      </c>
      <c r="EY59" s="122" t="e" cm="1">
        <f t="array" aca="1" ref="EY59" ca="1">IF(ET59=0,"",IF(ES59="G","AVERAGE",INDEX(auto_ddCountry,ES59)))</f>
        <v>#N/A</v>
      </c>
      <c r="EZ59" s="290" t="e" cm="1">
        <f t="array" aca="1" ref="EZ59" ca="1">IF(ET59=0,"",INDEX(auto_DataFlat_Score,ER59,$E$11))</f>
        <v>#N/A</v>
      </c>
    </row>
    <row r="60" spans="1:156" ht="17.149999999999999" customHeight="1" x14ac:dyDescent="0.4">
      <c r="A60" s="4"/>
      <c r="B60" s="4"/>
      <c r="C60" s="4"/>
      <c r="D60" s="26">
        <v>40</v>
      </c>
      <c r="E60" s="49">
        <f>tblCountries!M41</f>
        <v>39</v>
      </c>
      <c r="F60" s="114" cm="1">
        <f t="array" ref="F60">IF(E60=0,0,INDEX(auto_Country_Status,E60))</f>
        <v>1</v>
      </c>
      <c r="G60" s="4"/>
      <c r="H60" s="49">
        <f t="shared" si="31"/>
        <v>1</v>
      </c>
      <c r="I60" s="49" cm="1">
        <f t="array" ref="I60">IF($F60=0,0,INDEX(sys_DataFlat_LU_Grid,H60,$E60))</f>
        <v>39</v>
      </c>
      <c r="J60" s="49" cm="1">
        <f t="array" ref="J60">IF($F60=0,-1000,CHOOSE($E$14,INDEX(auto_DataFlat_Score,I60,$E$11),-INDEX(auto_DataFlat_Score,I60,$E$11),-$D60))</f>
        <v>63.5</v>
      </c>
      <c r="K60" s="91">
        <f ca="1">RANK(J60,OFFSET(J$21,0,0,$E$16+1,1))+COUNTIF(J$21:J60,J60)-1</f>
        <v>27</v>
      </c>
      <c r="L60" s="91">
        <f t="shared" ca="1" si="48"/>
        <v>38</v>
      </c>
      <c r="M60" s="91" cm="1">
        <f t="array" aca="1" ref="M60" ca="1">INDEX(OFFSET(I$21,0,0,$E$16+1,1),L60)</f>
        <v>37</v>
      </c>
      <c r="N60" s="49" cm="1">
        <f t="array" aca="1" ref="N60" ca="1">INDEX(OFFSET($E$21,0,0,$E$16+1,1),L60)</f>
        <v>37</v>
      </c>
      <c r="O60" s="80" cm="1">
        <f t="array" aca="1" ref="O60" ca="1">IF(N60="G",5,INDEX(OFFSET($F$21,0,0,$E$16+1,1),L60))</f>
        <v>1</v>
      </c>
      <c r="P60" s="80" cm="1">
        <f t="array" aca="1" ref="P60" ca="1">IF(M60=0,0,IF(N60="G",-1,INDEX(auto_DataFlat_Classification,M60,$E$11)))</f>
        <v>3</v>
      </c>
      <c r="Q60" s="301" t="str" cm="1">
        <f t="array" aca="1" ref="Q60" ca="1">IF(P60&lt;0,"",INDEX(uxbGlobals!$B$133:$B$139,P60))</f>
        <v xml:space="preserve"> </v>
      </c>
      <c r="R60" s="80"/>
      <c r="S60" s="302" t="str" cm="1">
        <f t="array" aca="1" ref="S60" ca="1">IF(O60=0,"",IF(N60="G","--",INDEX(auto_DataFlat_Rank,M60,$E$11)))</f>
        <v>39</v>
      </c>
      <c r="T60" s="122" t="str" cm="1">
        <f t="array" aca="1" ref="T60" ca="1">IF(O60=0,"",IF(N60="G"," AVERAGE",INDEX(auto_ddCountry,N60)))</f>
        <v>Phnom Penh</v>
      </c>
      <c r="U60" s="290" cm="1">
        <f t="array" aca="1" ref="U60" ca="1">IF(O60=0,"",INDEX(auto_DataFlat_Score,M60,$E$11))</f>
        <v>51.4</v>
      </c>
      <c r="V60" s="4"/>
      <c r="W60" s="49">
        <f t="shared" si="33"/>
        <v>2</v>
      </c>
      <c r="X60" s="49" cm="1">
        <f t="array" ref="X60">IF($F60=0,0,INDEX(sys_DataFlat_LU_Grid,W60,$E60))</f>
        <v>99</v>
      </c>
      <c r="Y60" s="49" cm="1">
        <f t="array" ref="Y60">IF($F60=0,-1000,CHOOSE($E$14,INDEX(auto_DataFlat_Score,X60,$E$11),-INDEX(auto_DataFlat_Score,X60,$E$11),-$D60))</f>
        <v>82.8</v>
      </c>
      <c r="Z60" s="91">
        <f ca="1">RANK(Y60,OFFSET(Y$21,0,0,$E$16+1,1))+COUNTIF(Y$21:Y60,Y60)-1</f>
        <v>17</v>
      </c>
      <c r="AA60" s="91">
        <f t="shared" ca="1" si="49"/>
        <v>7</v>
      </c>
      <c r="AB60" s="91" cm="1">
        <f t="array" aca="1" ref="AB60" ca="1">INDEX(OFFSET(X$21,0,0,$E$16+1,1),AA60)</f>
        <v>66</v>
      </c>
      <c r="AC60" s="49" cm="1">
        <f t="array" aca="1" ref="AC60" ca="1">INDEX(OFFSET($E$21,0,0,$E$16+1,1),AA60)</f>
        <v>6</v>
      </c>
      <c r="AD60" s="80" cm="1">
        <f t="array" aca="1" ref="AD60" ca="1">IF(AC60="G",5,INDEX(OFFSET($F$21,0,0,$E$16+1,1),AA60))</f>
        <v>1</v>
      </c>
      <c r="AE60" s="80" cm="1">
        <f t="array" aca="1" ref="AE60" ca="1">IF(AB60=0,0,IF(AC60="G",-1,INDEX(auto_DataFlat_Classification,AB60,$E$11)))</f>
        <v>3</v>
      </c>
      <c r="AF60" s="301" t="str" cm="1">
        <f t="array" aca="1" ref="AF60" ca="1">IF(AE60&lt;0,"",INDEX(uxbGlobals!$B$133:$B$139,AE60))</f>
        <v xml:space="preserve"> </v>
      </c>
      <c r="AG60" s="80"/>
      <c r="AH60" s="302" t="str" cm="1">
        <f t="array" aca="1" ref="AH60" ca="1">IF(AD60=0,"",IF(AC60="G","--",INDEX(auto_DataFlat_Rank,AB60,$E$11)))</f>
        <v>=38</v>
      </c>
      <c r="AI60" s="122" t="str" cm="1">
        <f t="array" aca="1" ref="AI60" ca="1">IF(AD60=0,"",IF(AC60="G","AVERAGE",INDEX(auto_ddCountry,AC60)))</f>
        <v>Beijing</v>
      </c>
      <c r="AJ60" s="290" cm="1">
        <f t="array" aca="1" ref="AJ60" ca="1">IF(AD60=0,"",INDEX(auto_DataFlat_Score,AB60,$E$11))</f>
        <v>54.3</v>
      </c>
      <c r="AK60" s="4"/>
      <c r="AL60" s="49">
        <f t="shared" si="35"/>
        <v>14</v>
      </c>
      <c r="AM60" s="49" cm="1">
        <f t="array" ref="AM60">IF($F60=0,0,INDEX(sys_DataFlat_LU_Grid,AL60,$E60))</f>
        <v>819</v>
      </c>
      <c r="AN60" s="49" cm="1">
        <f t="array" ref="AN60">IF($F60=0,-1000,CHOOSE($E$14,INDEX(auto_DataFlat_Score,AM60,$E$11),-INDEX(auto_DataFlat_Score,AM60,$E$11),-$D60))</f>
        <v>71.400000000000006</v>
      </c>
      <c r="AO60" s="91">
        <f ca="1">RANK(AN60,OFFSET(AN$21,0,0,$E$16+1,1))+COUNTIF(AN$21:AN60,AN60)-1</f>
        <v>7</v>
      </c>
      <c r="AP60" s="91">
        <f t="shared" ca="1" si="50"/>
        <v>51</v>
      </c>
      <c r="AQ60" s="91" cm="1">
        <f t="array" aca="1" ref="AQ60" ca="1">INDEX(OFFSET(AM$21,0,0,$E$16+1,1),AP60)</f>
        <v>830</v>
      </c>
      <c r="AR60" s="49" cm="1">
        <f t="array" aca="1" ref="AR60" ca="1">INDEX(OFFSET($E$21,0,0,$E$16+1,1),AP60)</f>
        <v>50</v>
      </c>
      <c r="AS60" s="80" cm="1">
        <f t="array" aca="1" ref="AS60" ca="1">IF(AR60="G",5,INDEX(OFFSET($F$21,0,0,$E$16+1,1),AP60))</f>
        <v>1</v>
      </c>
      <c r="AT60" s="80" cm="1">
        <f t="array" aca="1" ref="AT60" ca="1">IF(AQ60=0,0,IF(AR60="G",-1,INDEX(auto_DataFlat_Classification,AQ60,$E$11)))</f>
        <v>2</v>
      </c>
      <c r="AU60" s="301" t="str" cm="1">
        <f t="array" aca="1" ref="AU60" ca="1">IF(AT60&lt;0,"",INDEX(uxbGlobals!$B$133:$B$139,AT60))</f>
        <v xml:space="preserve"> </v>
      </c>
      <c r="AV60" s="80"/>
      <c r="AW60" s="302" t="str" cm="1">
        <f t="array" aca="1" ref="AW60" ca="1">IF(AS60=0,"",IF(AR60="G","--",INDEX(auto_DataFlat_Rank,AQ60,$E$11)))</f>
        <v>39</v>
      </c>
      <c r="AX60" s="122" t="str" cm="1">
        <f t="array" aca="1" ref="AX60" ca="1">IF(AS60=0,"",IF(AR60="G","AVERAGE",INDEX(auto_ddCountry,AR60)))</f>
        <v>Yangon</v>
      </c>
      <c r="AY60" s="290" cm="1">
        <f t="array" aca="1" ref="AY60" ca="1">IF(AS60=0,"",INDEX(auto_DataFlat_Score,AQ60,$E$11))</f>
        <v>33.4</v>
      </c>
      <c r="AZ60" s="4"/>
      <c r="BA60" s="49">
        <f t="shared" si="37"/>
        <v>22</v>
      </c>
      <c r="BB60" s="49" cm="1">
        <f t="array" ref="BB60">IF($F60=0,0,INDEX(sys_DataFlat_LU_Grid,BA60,$E60))</f>
        <v>1299</v>
      </c>
      <c r="BC60" s="49" cm="1">
        <f t="array" ref="BC60">IF($F60=0,-1000,CHOOSE($E$14,INDEX(auto_DataFlat_Score,BB60,$E$11),-INDEX(auto_DataFlat_Score,BB60,$E$11),-$D60))</f>
        <v>33.700000000000003</v>
      </c>
      <c r="BD60" s="91">
        <f ca="1">RANK(BC60,OFFSET(BC$21,0,0,$E$16+1,1))+COUNTIF(BC$21:BC60,BC60)-1</f>
        <v>50</v>
      </c>
      <c r="BE60" s="91">
        <f t="shared" ca="1" si="51"/>
        <v>31</v>
      </c>
      <c r="BF60" s="91" cm="1">
        <f t="array" aca="1" ref="BF60" ca="1">INDEX(OFFSET(BB$21,0,0,$E$16+1,1),BE60)</f>
        <v>1290</v>
      </c>
      <c r="BG60" s="49" cm="1">
        <f t="array" aca="1" ref="BG60" ca="1">INDEX(OFFSET($E$21,0,0,$E$16+1,1),BE60)</f>
        <v>30</v>
      </c>
      <c r="BH60" s="80" cm="1">
        <f t="array" aca="1" ref="BH60" ca="1">IF(BG60="G",5,INDEX(OFFSET($F$21,0,0,$E$16+1,1),BE60))</f>
        <v>1</v>
      </c>
      <c r="BI60" s="80" cm="1">
        <f t="array" aca="1" ref="BI60" ca="1">IF(BF60=0,0,IF(BG60="G",-1,INDEX(auto_DataFlat_Classification,BF60,$E$11)))</f>
        <v>3</v>
      </c>
      <c r="BJ60" s="301" t="str" cm="1">
        <f t="array" aca="1" ref="BJ60" ca="1">IF(BI60&lt;0,"",INDEX(uxbGlobals!$B$133:$B$139,BI60))</f>
        <v xml:space="preserve"> </v>
      </c>
      <c r="BK60" s="80"/>
      <c r="BL60" s="302" t="str" cm="1">
        <f t="array" aca="1" ref="BL60" ca="1">IF(BH60=0,"",IF(BG60="G","--",INDEX(auto_DataFlat_Rank,BF60,$E$11)))</f>
        <v>39</v>
      </c>
      <c r="BM60" s="122" t="str" cm="1">
        <f t="array" aca="1" ref="BM60" ca="1">IF(BH60=0,"",IF(BG60="G","AVERAGE",INDEX(auto_ddCountry,BG60)))</f>
        <v>Mexico City</v>
      </c>
      <c r="BN60" s="290" cm="1">
        <f t="array" aca="1" ref="BN60" ca="1">IF(BH60=0,"",INDEX(auto_DataFlat_Score,BF60,$E$11))</f>
        <v>41.2</v>
      </c>
      <c r="BO60" s="4"/>
      <c r="BP60" s="49">
        <f t="shared" si="39"/>
        <v>47</v>
      </c>
      <c r="BQ60" s="49" cm="1">
        <f t="array" ref="BQ60">IF($F60=0,0,INDEX(sys_DataFlat_LU_Grid,BP60,$E60))</f>
        <v>2799</v>
      </c>
      <c r="BR60" s="49" cm="1">
        <f t="array" ref="BR60">IF($F60=0,-1000,CHOOSE($E$14,INDEX(auto_DataFlat_Score,BQ60,$E$11),-INDEX(auto_DataFlat_Score,BQ60,$E$11),-$D60))</f>
        <v>82.1</v>
      </c>
      <c r="BS60" s="91">
        <f ca="1">RANK(BR60,OFFSET(BR$21,0,0,$E$16+1,1))+COUNTIF(BR$21:BR60,BR60)-1</f>
        <v>13</v>
      </c>
      <c r="BT60" s="91">
        <f t="shared" ca="1" si="52"/>
        <v>26</v>
      </c>
      <c r="BU60" s="91" cm="1">
        <f t="array" aca="1" ref="BU60" ca="1">INDEX(OFFSET(BQ$21,0,0,$E$16+1,1),BT60)</f>
        <v>2785</v>
      </c>
      <c r="BV60" s="49" cm="1">
        <f t="array" aca="1" ref="BV60" ca="1">INDEX(OFFSET($E$21,0,0,$E$16+1,1),BT60)</f>
        <v>25</v>
      </c>
      <c r="BW60" s="80" cm="1">
        <f t="array" aca="1" ref="BW60" ca="1">IF(BV60="G",5,INDEX(OFFSET($F$21,0,0,$E$16+1,1),BT60))</f>
        <v>1</v>
      </c>
      <c r="BX60" s="80" cm="1">
        <f t="array" aca="1" ref="BX60" ca="1">IF(BU60=0,0,IF(BV60="G",-1,INDEX(auto_DataFlat_Classification,BU60,$E$11)))</f>
        <v>3</v>
      </c>
      <c r="BY60" s="301" t="str" cm="1">
        <f t="array" aca="1" ref="BY60" ca="1">IF(BX60&lt;0,"",INDEX(uxbGlobals!$B$133:$B$139,BX60))</f>
        <v xml:space="preserve"> </v>
      </c>
      <c r="BZ60" s="80"/>
      <c r="CA60" s="302" t="str" cm="1">
        <f t="array" aca="1" ref="CA60" ca="1">IF(BW60=0,"",IF(BV60="G","--",INDEX(auto_DataFlat_Rank,BU60,$E$11)))</f>
        <v>39</v>
      </c>
      <c r="CB60" s="122" t="str" cm="1">
        <f t="array" aca="1" ref="CB60" ca="1">IF(BW60=0,"",IF(BV60="G","AVERAGE",INDEX(auto_ddCountry,BV60)))</f>
        <v>Lagos</v>
      </c>
      <c r="CC60" s="290" cm="1">
        <f t="array" aca="1" ref="CC60" ca="1">IF(BW60=0,"",INDEX(auto_DataFlat_Score,BU60,$E$11))</f>
        <v>48.4</v>
      </c>
      <c r="CD60" s="4"/>
      <c r="CE60" s="49">
        <f t="shared" si="41"/>
        <v>52</v>
      </c>
      <c r="CF60" s="49" cm="1">
        <f t="array" ref="CF60">IF($F60=0,0,INDEX(sys_DataFlat_LU_Grid,CE60,$E60))</f>
        <v>3099</v>
      </c>
      <c r="CG60" s="49" cm="1">
        <f t="array" ref="CG60">IF($F60=0,-1000,CHOOSE($E$14,INDEX(auto_DataFlat_Score,CF60,$E$11),-INDEX(auto_DataFlat_Score,CF60,$E$11),-$D60))</f>
        <v>66.7</v>
      </c>
      <c r="CH60" s="91">
        <f ca="1">RANK(CG60,OFFSET(CG$21,0,0,$E$16+1,1))+COUNTIF(CG$21:CG60,CG60)-1</f>
        <v>36</v>
      </c>
      <c r="CI60" s="91">
        <f t="shared" ca="1" si="53"/>
        <v>12</v>
      </c>
      <c r="CJ60" s="91" cm="1">
        <f t="array" aca="1" ref="CJ60" ca="1">INDEX(OFFSET(CF$21,0,0,$E$16+1,1),CI60)</f>
        <v>3071</v>
      </c>
      <c r="CK60" s="49" cm="1">
        <f t="array" aca="1" ref="CK60" ca="1">INDEX(OFFSET($E$21,0,0,$E$16+1,1),CI60)</f>
        <v>11</v>
      </c>
      <c r="CL60" s="80" cm="1">
        <f t="array" aca="1" ref="CL60" ca="1">IF(CK60="G",5,INDEX(OFFSET($F$21,0,0,$E$16+1,1),CI60))</f>
        <v>1</v>
      </c>
      <c r="CM60" s="80" cm="1">
        <f t="array" aca="1" ref="CM60" ca="1">IF(CJ60=0,0,IF(CK60="G",-1,INDEX(auto_DataFlat_Classification,CJ60,$E$11)))</f>
        <v>3</v>
      </c>
      <c r="CN60" s="301" t="str" cm="1">
        <f t="array" aca="1" ref="CN60" ca="1">IF(CM60&lt;0,"",INDEX(uxbGlobals!$B$133:$B$139,CM60))</f>
        <v xml:space="preserve"> </v>
      </c>
      <c r="CO60" s="80"/>
      <c r="CP60" s="302" t="str" cm="1">
        <f t="array" aca="1" ref="CP60" ca="1">IF(CL60=0,"",IF(CK60="G","--",INDEX(auto_DataFlat_Rank,CJ60,$E$11)))</f>
        <v>=39</v>
      </c>
      <c r="CQ60" s="122" t="str" cm="1">
        <f t="array" aca="1" ref="CQ60" ca="1">IF(CL60=0,"",IF(CK60="G","AVERAGE",INDEX(auto_ddCountry,CK60)))</f>
        <v>Colombo</v>
      </c>
      <c r="CR60" s="290" cm="1">
        <f t="array" aca="1" ref="CR60" ca="1">IF(CL60=0,"",INDEX(auto_DataFlat_Score,CJ60,$E$11))</f>
        <v>55.6</v>
      </c>
      <c r="CS60" s="4"/>
      <c r="CT60" s="49">
        <f t="shared" si="43"/>
        <v>-1</v>
      </c>
      <c r="CU60" s="49" t="e" cm="1">
        <f t="array" ref="CU60">IF($F60=0,0,INDEX(sys_DataFlat_LU_Grid,CT60,$E60))</f>
        <v>#VALUE!</v>
      </c>
      <c r="CV60" s="49" t="e" cm="1">
        <f t="array" ref="CV60">IF($F60=0,-1000,CHOOSE($E$14,INDEX(auto_DataFlat_Score,CU60,$E$11),-INDEX(auto_DataFlat_Score,CU60,$E$11),-$D60))</f>
        <v>#VALUE!</v>
      </c>
      <c r="CW60" s="91" t="e">
        <f ca="1">RANK(CV60,OFFSET(CV$21,0,0,$E$16+1,1))+COUNTIF(CV$21:CV60,CV60)-1</f>
        <v>#VALUE!</v>
      </c>
      <c r="CX60" s="91" t="e">
        <f t="shared" ca="1" si="47"/>
        <v>#N/A</v>
      </c>
      <c r="CY60" s="91" t="e" cm="1">
        <f t="array" aca="1" ref="CY60" ca="1">INDEX(OFFSET(CU$21,0,0,$E$16+1,1),CX60)</f>
        <v>#N/A</v>
      </c>
      <c r="CZ60" s="49" t="e" cm="1">
        <f t="array" aca="1" ref="CZ60" ca="1">INDEX(OFFSET($E$21,0,0,$E$16+1,1),CX60)</f>
        <v>#N/A</v>
      </c>
      <c r="DA60" s="80" t="e" cm="1">
        <f t="array" aca="1" ref="DA60" ca="1">IF(CZ60="G",5,INDEX(OFFSET($F$21,0,0,$E$16+1,1),CX60))</f>
        <v>#N/A</v>
      </c>
      <c r="DB60" s="80" t="e" cm="1">
        <f t="array" aca="1" ref="DB60" ca="1">IF(CY60=0,0,IF(CZ60="G",-1,INDEX(auto_DataFlat_Classification,CY60,$E$11)))</f>
        <v>#N/A</v>
      </c>
      <c r="DC60" s="301" t="e" cm="1">
        <f t="array" aca="1" ref="DC60" ca="1">IF(DB60&lt;0,"",INDEX(uxbGlobals!$B$133:$B$139,DB60))</f>
        <v>#N/A</v>
      </c>
      <c r="DD60" s="80"/>
      <c r="DE60" s="302" t="e" cm="1">
        <f t="array" aca="1" ref="DE60" ca="1">IF(DA60=0,"",IF(CZ60="G","--",INDEX(auto_DataFlat_Rank,CY60,$E$11)))</f>
        <v>#N/A</v>
      </c>
      <c r="DF60" s="122" t="e" cm="1">
        <f t="array" aca="1" ref="DF60" ca="1">IF(DA60=0,"",IF(CZ60="G","AVERAGE",INDEX(auto_ddCountry,CZ60)))</f>
        <v>#N/A</v>
      </c>
      <c r="DG60" s="290" t="e" cm="1">
        <f t="array" aca="1" ref="DG60" ca="1">IF(DA60=0,"",INDEX(auto_DataFlat_Score,CY60,$E$11))</f>
        <v>#N/A</v>
      </c>
      <c r="DH60" s="4"/>
      <c r="DI60" s="49">
        <f t="shared" si="44"/>
        <v>-1</v>
      </c>
      <c r="DJ60" s="49" t="e" cm="1">
        <f t="array" ref="DJ60">IF($F60=0,0,INDEX(sys_DataFlat_LU_Grid,DI60,$E60))</f>
        <v>#VALUE!</v>
      </c>
      <c r="DK60" s="49" t="e" cm="1">
        <f t="array" ref="DK60">IF($F60=0,-1000,CHOOSE($E$14,INDEX(auto_DataFlat_Score,DJ60,$E$11),-INDEX(auto_DataFlat_Score,DJ60,$E$11),-$D60))</f>
        <v>#VALUE!</v>
      </c>
      <c r="DL60" s="91" t="e">
        <f ca="1">RANK(DK60,OFFSET(DK$21,0,0,$E$16+1,1))+COUNTIF(DK$21:DK60,DK60)-1</f>
        <v>#VALUE!</v>
      </c>
      <c r="DM60" s="91" t="e">
        <f t="shared" ca="1" si="28"/>
        <v>#N/A</v>
      </c>
      <c r="DN60" s="91" t="e" cm="1">
        <f t="array" aca="1" ref="DN60" ca="1">INDEX(OFFSET(DJ$21,0,0,$E$16+1,1),DM60)</f>
        <v>#N/A</v>
      </c>
      <c r="DO60" s="49" t="e" cm="1">
        <f t="array" aca="1" ref="DO60" ca="1">INDEX(OFFSET($E$21,0,0,$E$16+1,1),DM60)</f>
        <v>#N/A</v>
      </c>
      <c r="DP60" s="80" t="e" cm="1">
        <f t="array" aca="1" ref="DP60" ca="1">IF(DO60="G",5,INDEX(OFFSET($F$21,0,0,$E$16+1,1),DM60))</f>
        <v>#N/A</v>
      </c>
      <c r="DQ60" s="80" t="e" cm="1">
        <f t="array" aca="1" ref="DQ60" ca="1">IF(DN60=0,0,IF(DO60="G",-1,INDEX(auto_DataFlat_Classification,DN60,$E$11)))</f>
        <v>#N/A</v>
      </c>
      <c r="DR60" s="301" t="e" cm="1">
        <f t="array" aca="1" ref="DR60" ca="1">IF(DQ60&lt;0,"",INDEX(uxbGlobals!$B$133:$B$139,DQ60))</f>
        <v>#N/A</v>
      </c>
      <c r="DS60" s="80"/>
      <c r="DT60" s="302" t="e" cm="1">
        <f t="array" aca="1" ref="DT60" ca="1">IF(DP60=0,"",IF(DO60="G","--",INDEX(auto_DataFlat_Rank,DN60,$E$11)))</f>
        <v>#N/A</v>
      </c>
      <c r="DU60" s="122" t="e" cm="1">
        <f t="array" aca="1" ref="DU60" ca="1">IF(DP60=0,"",IF(DO60="G","AVERAGE",INDEX(auto_ddCountry,DO60)))</f>
        <v>#N/A</v>
      </c>
      <c r="DV60" s="290" t="e" cm="1">
        <f t="array" aca="1" ref="DV60" ca="1">IF(DP60=0,"",INDEX(auto_DataFlat_Score,DN60,$E$11))</f>
        <v>#N/A</v>
      </c>
      <c r="DW60" s="4"/>
      <c r="DX60" s="49">
        <f t="shared" si="45"/>
        <v>-1</v>
      </c>
      <c r="DY60" s="49" t="e" cm="1">
        <f t="array" ref="DY60">IF($F60=0,0,INDEX(sys_DataFlat_LU_Grid,DX60,$E60))</f>
        <v>#VALUE!</v>
      </c>
      <c r="DZ60" s="49" t="e" cm="1">
        <f t="array" ref="DZ60">IF($F60=0,-1000,CHOOSE($E$14,INDEX(auto_DataFlat_Score,DY60,$E$11),-INDEX(auto_DataFlat_Score,DY60,$E$11),-$D60))</f>
        <v>#VALUE!</v>
      </c>
      <c r="EA60" s="91" t="e">
        <f ca="1">RANK(DZ60,OFFSET(DZ$21,0,0,$E$16+1,1))+COUNTIF(DZ$21:DZ60,DZ60)-1</f>
        <v>#VALUE!</v>
      </c>
      <c r="EB60" s="91" t="e">
        <f t="shared" ca="1" si="29"/>
        <v>#N/A</v>
      </c>
      <c r="EC60" s="91" t="e" cm="1">
        <f t="array" aca="1" ref="EC60" ca="1">INDEX(OFFSET(DY$21,0,0,$E$16+1,1),EB60)</f>
        <v>#N/A</v>
      </c>
      <c r="ED60" s="49" t="e" cm="1">
        <f t="array" aca="1" ref="ED60" ca="1">INDEX(OFFSET($E$21,0,0,$E$16+1,1),EB60)</f>
        <v>#N/A</v>
      </c>
      <c r="EE60" s="80" t="e" cm="1">
        <f t="array" aca="1" ref="EE60" ca="1">IF(ED60="G",5,INDEX(OFFSET($F$21,0,0,$E$16+1,1),EB60))</f>
        <v>#N/A</v>
      </c>
      <c r="EF60" s="80" t="e" cm="1">
        <f t="array" aca="1" ref="EF60" ca="1">IF(EC60=0,0,IF(ED60="G",-1,INDEX(auto_DataFlat_Classification,EC60,$E$11)))</f>
        <v>#N/A</v>
      </c>
      <c r="EG60" s="301" t="e" cm="1">
        <f t="array" aca="1" ref="EG60" ca="1">IF(EF60&lt;0,"",INDEX(uxbGlobals!$B$133:$B$139,EF60))</f>
        <v>#N/A</v>
      </c>
      <c r="EH60" s="80"/>
      <c r="EI60" s="302" t="e" cm="1">
        <f t="array" aca="1" ref="EI60" ca="1">IF(EE60=0,"",IF(ED60="G","--",INDEX(auto_DataFlat_Rank,EC60,$E$11)))</f>
        <v>#N/A</v>
      </c>
      <c r="EJ60" s="122" t="e" cm="1">
        <f t="array" aca="1" ref="EJ60" ca="1">IF(EE60=0,"",IF(ED60="G","AVERAGE",INDEX(auto_ddCountry,ED60)))</f>
        <v>#N/A</v>
      </c>
      <c r="EK60" s="290" t="e" cm="1">
        <f t="array" aca="1" ref="EK60" ca="1">IF(EE60=0,"",INDEX(auto_DataFlat_Score,EC60,$E$11))</f>
        <v>#N/A</v>
      </c>
      <c r="EL60" s="4"/>
      <c r="EM60" s="49">
        <f t="shared" si="46"/>
        <v>-1</v>
      </c>
      <c r="EN60" s="49" t="e" cm="1">
        <f t="array" ref="EN60">IF($F60=0,0,INDEX(sys_DataFlat_LU_Grid,EM60,$E60))</f>
        <v>#VALUE!</v>
      </c>
      <c r="EO60" s="49" t="e" cm="1">
        <f t="array" ref="EO60">IF($F60=0,-1000,CHOOSE($E$14,INDEX(auto_DataFlat_Score,EN60,$E$11),-INDEX(auto_DataFlat_Score,EN60,$E$11),-$D60))</f>
        <v>#VALUE!</v>
      </c>
      <c r="EP60" s="91" t="e">
        <f ca="1">RANK(EO60,OFFSET(EO$21,0,0,$E$16+1,1))+COUNTIF(EO$21:EO60,EO60)-1</f>
        <v>#VALUE!</v>
      </c>
      <c r="EQ60" s="91" t="e">
        <f t="shared" ca="1" si="30"/>
        <v>#N/A</v>
      </c>
      <c r="ER60" s="91" t="e" cm="1">
        <f t="array" aca="1" ref="ER60" ca="1">INDEX(OFFSET(EN$21,0,0,$E$16+1,1),EQ60)</f>
        <v>#N/A</v>
      </c>
      <c r="ES60" s="49" t="e" cm="1">
        <f t="array" aca="1" ref="ES60" ca="1">INDEX(OFFSET($E$21,0,0,$E$16+1,1),EQ60)</f>
        <v>#N/A</v>
      </c>
      <c r="ET60" s="80" t="e" cm="1">
        <f t="array" aca="1" ref="ET60" ca="1">IF(ES60="G",5,INDEX(OFFSET($F$21,0,0,$E$16+1,1),EQ60))</f>
        <v>#N/A</v>
      </c>
      <c r="EU60" s="80" t="e" cm="1">
        <f t="array" aca="1" ref="EU60" ca="1">IF(ER60=0,0,IF(ES60="G",-1,INDEX(auto_DataFlat_Classification,ER60,$E$11)))</f>
        <v>#N/A</v>
      </c>
      <c r="EV60" s="301" t="e" cm="1">
        <f t="array" aca="1" ref="EV60" ca="1">IF(EU60&lt;0,"",INDEX(uxbGlobals!$B$133:$B$139,EU60))</f>
        <v>#N/A</v>
      </c>
      <c r="EW60" s="80"/>
      <c r="EX60" s="302" t="e" cm="1">
        <f t="array" aca="1" ref="EX60" ca="1">IF(ET60=0,"",IF(ES60="G","--",INDEX(auto_DataFlat_Rank,ER60,$E$11)))</f>
        <v>#N/A</v>
      </c>
      <c r="EY60" s="122" t="e" cm="1">
        <f t="array" aca="1" ref="EY60" ca="1">IF(ET60=0,"",IF(ES60="G","AVERAGE",INDEX(auto_ddCountry,ES60)))</f>
        <v>#N/A</v>
      </c>
      <c r="EZ60" s="290" t="e" cm="1">
        <f t="array" aca="1" ref="EZ60" ca="1">IF(ET60=0,"",INDEX(auto_DataFlat_Score,ER60,$E$11))</f>
        <v>#N/A</v>
      </c>
    </row>
    <row r="61" spans="1:156" ht="17.149999999999999" customHeight="1" x14ac:dyDescent="0.4">
      <c r="A61" s="4"/>
      <c r="B61" s="4"/>
      <c r="C61" s="4"/>
      <c r="D61" s="26">
        <v>41</v>
      </c>
      <c r="E61" s="49">
        <f>tblCountries!M42</f>
        <v>40</v>
      </c>
      <c r="F61" s="114" cm="1">
        <f t="array" ref="F61">IF(E61=0,0,INDEX(auto_Country_Status,E61))</f>
        <v>1</v>
      </c>
      <c r="G61" s="4"/>
      <c r="H61" s="49">
        <f t="shared" si="31"/>
        <v>1</v>
      </c>
      <c r="I61" s="49" cm="1">
        <f t="array" ref="I61">IF($F61=0,0,INDEX(sys_DataFlat_LU_Grid,H61,$E61))</f>
        <v>40</v>
      </c>
      <c r="J61" s="49" cm="1">
        <f t="array" ref="J61">IF($F61=0,-1000,CHOOSE($E$14,INDEX(auto_DataFlat_Score,I61,$E$11),-INDEX(auto_DataFlat_Score,I61,$E$11),-$D61))</f>
        <v>72</v>
      </c>
      <c r="K61" s="91">
        <f ca="1">RANK(J61,OFFSET(J$21,0,0,$E$16+1,1))+COUNTIF(J$21:J61,J61)-1</f>
        <v>14</v>
      </c>
      <c r="L61" s="91">
        <f t="shared" ca="1" si="48"/>
        <v>12</v>
      </c>
      <c r="M61" s="91" cm="1">
        <f t="array" aca="1" ref="M61" ca="1">INDEX(OFFSET(I$21,0,0,$E$16+1,1),L61)</f>
        <v>11</v>
      </c>
      <c r="N61" s="49" cm="1">
        <f t="array" aca="1" ref="N61" ca="1">INDEX(OFFSET($E$21,0,0,$E$16+1,1),L61)</f>
        <v>11</v>
      </c>
      <c r="O61" s="80" cm="1">
        <f t="array" aca="1" ref="O61" ca="1">IF(N61="G",5,INDEX(OFFSET($F$21,0,0,$E$16+1,1),L61))</f>
        <v>1</v>
      </c>
      <c r="P61" s="80" cm="1">
        <f t="array" aca="1" ref="P61" ca="1">IF(M61=0,0,IF(N61="G",-1,INDEX(auto_DataFlat_Classification,M61,$E$11)))</f>
        <v>3</v>
      </c>
      <c r="Q61" s="301" t="str" cm="1">
        <f t="array" aca="1" ref="Q61" ca="1">IF(P61&lt;0,"",INDEX(uxbGlobals!$B$133:$B$139,P61))</f>
        <v xml:space="preserve"> </v>
      </c>
      <c r="R61" s="80"/>
      <c r="S61" s="302" t="str" cm="1">
        <f t="array" aca="1" ref="S61" ca="1">IF(O61=0,"",IF(N61="G","--",INDEX(auto_DataFlat_Rank,M61,$E$11)))</f>
        <v>40</v>
      </c>
      <c r="T61" s="122" t="str" cm="1">
        <f t="array" aca="1" ref="T61" ca="1">IF(O61=0,"",IF(N61="G"," AVERAGE",INDEX(auto_ddCountry,N61)))</f>
        <v>Colombo</v>
      </c>
      <c r="U61" s="290" cm="1">
        <f t="array" aca="1" ref="U61" ca="1">IF(O61=0,"",INDEX(auto_DataFlat_Score,M61,$E$11))</f>
        <v>50.1</v>
      </c>
      <c r="V61" s="4"/>
      <c r="W61" s="49">
        <f t="shared" si="33"/>
        <v>2</v>
      </c>
      <c r="X61" s="49" cm="1">
        <f t="array" ref="X61">IF($F61=0,0,INDEX(sys_DataFlat_LU_Grid,W61,$E61))</f>
        <v>100</v>
      </c>
      <c r="Y61" s="49" cm="1">
        <f t="array" ref="Y61">IF($F61=0,-1000,CHOOSE($E$14,INDEX(auto_DataFlat_Score,X61,$E$11),-INDEX(auto_DataFlat_Score,X61,$E$11),-$D61))</f>
        <v>86.8</v>
      </c>
      <c r="Z61" s="91">
        <f ca="1">RANK(Y61,OFFSET(Y$21,0,0,$E$16+1,1))+COUNTIF(Y$21:Y61,Y61)-1</f>
        <v>9</v>
      </c>
      <c r="AA61" s="91">
        <f t="shared" ca="1" si="49"/>
        <v>44</v>
      </c>
      <c r="AB61" s="91" cm="1">
        <f t="array" aca="1" ref="AB61" ca="1">INDEX(OFFSET(X$21,0,0,$E$16+1,1),AA61)</f>
        <v>103</v>
      </c>
      <c r="AC61" s="49" cm="1">
        <f t="array" aca="1" ref="AC61" ca="1">INDEX(OFFSET($E$21,0,0,$E$16+1,1),AA61)</f>
        <v>43</v>
      </c>
      <c r="AD61" s="80" cm="1">
        <f t="array" aca="1" ref="AD61" ca="1">IF(AC61="G",5,INDEX(OFFSET($F$21,0,0,$E$16+1,1),AA61))</f>
        <v>1</v>
      </c>
      <c r="AE61" s="80" cm="1">
        <f t="array" aca="1" ref="AE61" ca="1">IF(AB61=0,0,IF(AC61="G",-1,INDEX(auto_DataFlat_Classification,AB61,$E$11)))</f>
        <v>3</v>
      </c>
      <c r="AF61" s="301" t="str" cm="1">
        <f t="array" aca="1" ref="AF61" ca="1">IF(AE61&lt;0,"",INDEX(uxbGlobals!$B$133:$B$139,AE61))</f>
        <v xml:space="preserve"> </v>
      </c>
      <c r="AG61" s="80"/>
      <c r="AH61" s="302" t="str" cm="1">
        <f t="array" aca="1" ref="AH61" ca="1">IF(AD61=0,"",IF(AC61="G","--",INDEX(auto_DataFlat_Rank,AB61,$E$11)))</f>
        <v>=38</v>
      </c>
      <c r="AI61" s="122" t="str" cm="1">
        <f t="array" aca="1" ref="AI61" ca="1">IF(AD61=0,"",IF(AC61="G","AVERAGE",INDEX(auto_ddCountry,AC61)))</f>
        <v>Shanghai</v>
      </c>
      <c r="AJ61" s="290" cm="1">
        <f t="array" aca="1" ref="AJ61" ca="1">IF(AD61=0,"",INDEX(auto_DataFlat_Score,AB61,$E$11))</f>
        <v>54.3</v>
      </c>
      <c r="AK61" s="4"/>
      <c r="AL61" s="49">
        <f t="shared" si="35"/>
        <v>14</v>
      </c>
      <c r="AM61" s="49" cm="1">
        <f t="array" ref="AM61">IF($F61=0,0,INDEX(sys_DataFlat_LU_Grid,AL61,$E61))</f>
        <v>820</v>
      </c>
      <c r="AN61" s="49" cm="1">
        <f t="array" ref="AN61">IF($F61=0,-1000,CHOOSE($E$14,INDEX(auto_DataFlat_Score,AM61,$E$11),-INDEX(auto_DataFlat_Score,AM61,$E$11),-$D61))</f>
        <v>57.7</v>
      </c>
      <c r="AO61" s="91">
        <f ca="1">RANK(AN61,OFFSET(AN$21,0,0,$E$16+1,1))+COUNTIF(AN$21:AN61,AN61)-1</f>
        <v>20</v>
      </c>
      <c r="AP61" s="91">
        <f t="shared" ca="1" si="50"/>
        <v>33</v>
      </c>
      <c r="AQ61" s="91" cm="1">
        <f t="array" aca="1" ref="AQ61" ca="1">INDEX(OFFSET(AM$21,0,0,$E$16+1,1),AP61)</f>
        <v>812</v>
      </c>
      <c r="AR61" s="49" cm="1">
        <f t="array" aca="1" ref="AR61" ca="1">INDEX(OFFSET($E$21,0,0,$E$16+1,1),AP61)</f>
        <v>32</v>
      </c>
      <c r="AS61" s="80" cm="1">
        <f t="array" aca="1" ref="AS61" ca="1">IF(AR61="G",5,INDEX(OFFSET($F$21,0,0,$E$16+1,1),AP61))</f>
        <v>1</v>
      </c>
      <c r="AT61" s="80" cm="1">
        <f t="array" aca="1" ref="AT61" ca="1">IF(AQ61=0,0,IF(AR61="G",-1,INDEX(auto_DataFlat_Classification,AQ61,$E$11)))</f>
        <v>2</v>
      </c>
      <c r="AU61" s="301" t="str" cm="1">
        <f t="array" aca="1" ref="AU61" ca="1">IF(AT61&lt;0,"",INDEX(uxbGlobals!$B$133:$B$139,AT61))</f>
        <v xml:space="preserve"> </v>
      </c>
      <c r="AV61" s="80"/>
      <c r="AW61" s="302" t="str" cm="1">
        <f t="array" aca="1" ref="AW61" ca="1">IF(AS61=0,"",IF(AR61="G","--",INDEX(auto_DataFlat_Rank,AQ61,$E$11)))</f>
        <v>40</v>
      </c>
      <c r="AX61" s="122" t="str" cm="1">
        <f t="array" aca="1" ref="AX61" ca="1">IF(AS61=0,"",IF(AR61="G","AVERAGE",INDEX(auto_ddCountry,AR61)))</f>
        <v>Mumbai</v>
      </c>
      <c r="AY61" s="290" cm="1">
        <f t="array" aca="1" ref="AY61" ca="1">IF(AS61=0,"",INDEX(auto_DataFlat_Score,AQ61,$E$11))</f>
        <v>30.3</v>
      </c>
      <c r="AZ61" s="4"/>
      <c r="BA61" s="49">
        <f t="shared" si="37"/>
        <v>22</v>
      </c>
      <c r="BB61" s="49" cm="1">
        <f t="array" ref="BB61">IF($F61=0,0,INDEX(sys_DataFlat_LU_Grid,BA61,$E61))</f>
        <v>1300</v>
      </c>
      <c r="BC61" s="49" cm="1">
        <f t="array" ref="BC61">IF($F61=0,-1000,CHOOSE($E$14,INDEX(auto_DataFlat_Score,BB61,$E$11),-INDEX(auto_DataFlat_Score,BB61,$E$11),-$D61))</f>
        <v>53</v>
      </c>
      <c r="BD61" s="91">
        <f ca="1">RANK(BC61,OFFSET(BC$21,0,0,$E$16+1,1))+COUNTIF(BC$21:BC61,BC61)-1</f>
        <v>30</v>
      </c>
      <c r="BE61" s="91">
        <f t="shared" ca="1" si="51"/>
        <v>33</v>
      </c>
      <c r="BF61" s="91" cm="1">
        <f t="array" aca="1" ref="BF61" ca="1">INDEX(OFFSET(BB$21,0,0,$E$16+1,1),BE61)</f>
        <v>1292</v>
      </c>
      <c r="BG61" s="49" cm="1">
        <f t="array" aca="1" ref="BG61" ca="1">INDEX(OFFSET($E$21,0,0,$E$16+1,1),BE61)</f>
        <v>32</v>
      </c>
      <c r="BH61" s="80" cm="1">
        <f t="array" aca="1" ref="BH61" ca="1">IF(BG61="G",5,INDEX(OFFSET($F$21,0,0,$E$16+1,1),BE61))</f>
        <v>1</v>
      </c>
      <c r="BI61" s="80" cm="1">
        <f t="array" aca="1" ref="BI61" ca="1">IF(BF61=0,0,IF(BG61="G",-1,INDEX(auto_DataFlat_Classification,BF61,$E$11)))</f>
        <v>3</v>
      </c>
      <c r="BJ61" s="301" t="str" cm="1">
        <f t="array" aca="1" ref="BJ61" ca="1">IF(BI61&lt;0,"",INDEX(uxbGlobals!$B$133:$B$139,BI61))</f>
        <v xml:space="preserve"> </v>
      </c>
      <c r="BK61" s="80"/>
      <c r="BL61" s="302" t="str" cm="1">
        <f t="array" aca="1" ref="BL61" ca="1">IF(BH61=0,"",IF(BG61="G","--",INDEX(auto_DataFlat_Rank,BF61,$E$11)))</f>
        <v>40</v>
      </c>
      <c r="BM61" s="122" t="str" cm="1">
        <f t="array" aca="1" ref="BM61" ca="1">IF(BH61=0,"",IF(BG61="G","AVERAGE",INDEX(auto_ddCountry,BG61)))</f>
        <v>Mumbai</v>
      </c>
      <c r="BN61" s="290" cm="1">
        <f t="array" aca="1" ref="BN61" ca="1">IF(BH61=0,"",INDEX(auto_DataFlat_Score,BF61,$E$11))</f>
        <v>40.799999999999997</v>
      </c>
      <c r="BO61" s="4"/>
      <c r="BP61" s="49">
        <f t="shared" si="39"/>
        <v>47</v>
      </c>
      <c r="BQ61" s="49" cm="1">
        <f t="array" ref="BQ61">IF($F61=0,0,INDEX(sys_DataFlat_LU_Grid,BP61,$E61))</f>
        <v>2800</v>
      </c>
      <c r="BR61" s="49" cm="1">
        <f t="array" ref="BR61">IF($F61=0,-1000,CHOOSE($E$14,INDEX(auto_DataFlat_Score,BQ61,$E$11),-INDEX(auto_DataFlat_Score,BQ61,$E$11),-$D61))</f>
        <v>91.9</v>
      </c>
      <c r="BS61" s="91">
        <f ca="1">RANK(BR61,OFFSET(BR$21,0,0,$E$16+1,1))+COUNTIF(BR$21:BR61,BR61)-1</f>
        <v>2</v>
      </c>
      <c r="BT61" s="91">
        <f t="shared" ca="1" si="52"/>
        <v>11</v>
      </c>
      <c r="BU61" s="91" cm="1">
        <f t="array" aca="1" ref="BU61" ca="1">INDEX(OFFSET(BQ$21,0,0,$E$16+1,1),BT61)</f>
        <v>2770</v>
      </c>
      <c r="BV61" s="49" cm="1">
        <f t="array" aca="1" ref="BV61" ca="1">INDEX(OFFSET($E$21,0,0,$E$16+1,1),BT61)</f>
        <v>10</v>
      </c>
      <c r="BW61" s="80" cm="1">
        <f t="array" aca="1" ref="BW61" ca="1">IF(BV61="G",5,INDEX(OFFSET($F$21,0,0,$E$16+1,1),BT61))</f>
        <v>1</v>
      </c>
      <c r="BX61" s="80" cm="1">
        <f t="array" aca="1" ref="BX61" ca="1">IF(BU61=0,0,IF(BV61="G",-1,INDEX(auto_DataFlat_Classification,BU61,$E$11)))</f>
        <v>3</v>
      </c>
      <c r="BY61" s="301" t="str" cm="1">
        <f t="array" aca="1" ref="BY61" ca="1">IF(BX61&lt;0,"",INDEX(uxbGlobals!$B$133:$B$139,BX61))</f>
        <v xml:space="preserve"> </v>
      </c>
      <c r="BZ61" s="80"/>
      <c r="CA61" s="302" t="str" cm="1">
        <f t="array" aca="1" ref="CA61" ca="1">IF(BW61=0,"",IF(BV61="G","--",INDEX(auto_DataFlat_Rank,BU61,$E$11)))</f>
        <v>40</v>
      </c>
      <c r="CB61" s="122" t="str" cm="1">
        <f t="array" aca="1" ref="CB61" ca="1">IF(BW61=0,"",IF(BV61="G","AVERAGE",INDEX(auto_ddCountry,BV61)))</f>
        <v>Cairo</v>
      </c>
      <c r="CC61" s="290" cm="1">
        <f t="array" aca="1" ref="CC61" ca="1">IF(BW61=0,"",INDEX(auto_DataFlat_Score,BU61,$E$11))</f>
        <v>47.8</v>
      </c>
      <c r="CD61" s="4"/>
      <c r="CE61" s="49">
        <f t="shared" si="41"/>
        <v>52</v>
      </c>
      <c r="CF61" s="49" cm="1">
        <f t="array" ref="CF61">IF($F61=0,0,INDEX(sys_DataFlat_LU_Grid,CE61,$E61))</f>
        <v>3100</v>
      </c>
      <c r="CG61" s="49" cm="1">
        <f t="array" ref="CG61">IF($F61=0,-1000,CHOOSE($E$14,INDEX(auto_DataFlat_Score,CF61,$E$11),-INDEX(auto_DataFlat_Score,CF61,$E$11),-$D61))</f>
        <v>79.599999999999994</v>
      </c>
      <c r="CH61" s="91">
        <f ca="1">RANK(CG61,OFFSET(CG$21,0,0,$E$16+1,1))+COUNTIF(CG$21:CG61,CG61)-1</f>
        <v>12</v>
      </c>
      <c r="CI61" s="91">
        <f t="shared" ca="1" si="53"/>
        <v>22</v>
      </c>
      <c r="CJ61" s="91" cm="1">
        <f t="array" aca="1" ref="CJ61" ca="1">INDEX(OFFSET(CF$21,0,0,$E$16+1,1),CI61)</f>
        <v>3081</v>
      </c>
      <c r="CK61" s="49" cm="1">
        <f t="array" aca="1" ref="CK61" ca="1">INDEX(OFFSET($E$21,0,0,$E$16+1,1),CI61)</f>
        <v>21</v>
      </c>
      <c r="CL61" s="80" cm="1">
        <f t="array" aca="1" ref="CL61" ca="1">IF(CK61="G",5,INDEX(OFFSET($F$21,0,0,$E$16+1,1),CI61))</f>
        <v>1</v>
      </c>
      <c r="CM61" s="80" cm="1">
        <f t="array" aca="1" ref="CM61" ca="1">IF(CJ61=0,0,IF(CK61="G",-1,INDEX(auto_DataFlat_Classification,CJ61,$E$11)))</f>
        <v>3</v>
      </c>
      <c r="CN61" s="301" t="str" cm="1">
        <f t="array" aca="1" ref="CN61" ca="1">IF(CM61&lt;0,"",INDEX(uxbGlobals!$B$133:$B$139,CM61))</f>
        <v xml:space="preserve"> </v>
      </c>
      <c r="CO61" s="80"/>
      <c r="CP61" s="302" t="str" cm="1">
        <f t="array" aca="1" ref="CP61" ca="1">IF(CL61=0,"",IF(CK61="G","--",INDEX(auto_DataFlat_Rank,CJ61,$E$11)))</f>
        <v>=39</v>
      </c>
      <c r="CQ61" s="122" t="str" cm="1">
        <f t="array" aca="1" ref="CQ61" ca="1">IF(CL61=0,"",IF(CK61="G","AVERAGE",INDEX(auto_ddCountry,CK61)))</f>
        <v>Karachi</v>
      </c>
      <c r="CR61" s="290" cm="1">
        <f t="array" aca="1" ref="CR61" ca="1">IF(CL61=0,"",INDEX(auto_DataFlat_Score,CJ61,$E$11))</f>
        <v>55.6</v>
      </c>
      <c r="CS61" s="4"/>
      <c r="CT61" s="49">
        <f t="shared" si="43"/>
        <v>-1</v>
      </c>
      <c r="CU61" s="49" t="e" cm="1">
        <f t="array" ref="CU61">IF($F61=0,0,INDEX(sys_DataFlat_LU_Grid,CT61,$E61))</f>
        <v>#VALUE!</v>
      </c>
      <c r="CV61" s="49" t="e" cm="1">
        <f t="array" ref="CV61">IF($F61=0,-1000,CHOOSE($E$14,INDEX(auto_DataFlat_Score,CU61,$E$11),-INDEX(auto_DataFlat_Score,CU61,$E$11),-$D61))</f>
        <v>#VALUE!</v>
      </c>
      <c r="CW61" s="91" t="e">
        <f ca="1">RANK(CV61,OFFSET(CV$21,0,0,$E$16+1,1))+COUNTIF(CV$21:CV61,CV61)-1</f>
        <v>#VALUE!</v>
      </c>
      <c r="CX61" s="91" t="e">
        <f t="shared" ca="1" si="47"/>
        <v>#N/A</v>
      </c>
      <c r="CY61" s="91" t="e" cm="1">
        <f t="array" aca="1" ref="CY61" ca="1">INDEX(OFFSET(CU$21,0,0,$E$16+1,1),CX61)</f>
        <v>#N/A</v>
      </c>
      <c r="CZ61" s="49" t="e" cm="1">
        <f t="array" aca="1" ref="CZ61" ca="1">INDEX(OFFSET($E$21,0,0,$E$16+1,1),CX61)</f>
        <v>#N/A</v>
      </c>
      <c r="DA61" s="80" t="e" cm="1">
        <f t="array" aca="1" ref="DA61" ca="1">IF(CZ61="G",5,INDEX(OFFSET($F$21,0,0,$E$16+1,1),CX61))</f>
        <v>#N/A</v>
      </c>
      <c r="DB61" s="80" t="e" cm="1">
        <f t="array" aca="1" ref="DB61" ca="1">IF(CY61=0,0,IF(CZ61="G",-1,INDEX(auto_DataFlat_Classification,CY61,$E$11)))</f>
        <v>#N/A</v>
      </c>
      <c r="DC61" s="301" t="e" cm="1">
        <f t="array" aca="1" ref="DC61" ca="1">IF(DB61&lt;0,"",INDEX(uxbGlobals!$B$133:$B$139,DB61))</f>
        <v>#N/A</v>
      </c>
      <c r="DD61" s="80"/>
      <c r="DE61" s="302" t="e" cm="1">
        <f t="array" aca="1" ref="DE61" ca="1">IF(DA61=0,"",IF(CZ61="G","--",INDEX(auto_DataFlat_Rank,CY61,$E$11)))</f>
        <v>#N/A</v>
      </c>
      <c r="DF61" s="122" t="e" cm="1">
        <f t="array" aca="1" ref="DF61" ca="1">IF(DA61=0,"",IF(CZ61="G","AVERAGE",INDEX(auto_ddCountry,CZ61)))</f>
        <v>#N/A</v>
      </c>
      <c r="DG61" s="290" t="e" cm="1">
        <f t="array" aca="1" ref="DG61" ca="1">IF(DA61=0,"",INDEX(auto_DataFlat_Score,CY61,$E$11))</f>
        <v>#N/A</v>
      </c>
      <c r="DH61" s="4"/>
      <c r="DI61" s="49">
        <f t="shared" si="44"/>
        <v>-1</v>
      </c>
      <c r="DJ61" s="49" t="e" cm="1">
        <f t="array" ref="DJ61">IF($F61=0,0,INDEX(sys_DataFlat_LU_Grid,DI61,$E61))</f>
        <v>#VALUE!</v>
      </c>
      <c r="DK61" s="49" t="e" cm="1">
        <f t="array" ref="DK61">IF($F61=0,-1000,CHOOSE($E$14,INDEX(auto_DataFlat_Score,DJ61,$E$11),-INDEX(auto_DataFlat_Score,DJ61,$E$11),-$D61))</f>
        <v>#VALUE!</v>
      </c>
      <c r="DL61" s="91" t="e">
        <f ca="1">RANK(DK61,OFFSET(DK$21,0,0,$E$16+1,1))+COUNTIF(DK$21:DK61,DK61)-1</f>
        <v>#VALUE!</v>
      </c>
      <c r="DM61" s="91" t="e">
        <f t="shared" ca="1" si="28"/>
        <v>#N/A</v>
      </c>
      <c r="DN61" s="91" t="e" cm="1">
        <f t="array" aca="1" ref="DN61" ca="1">INDEX(OFFSET(DJ$21,0,0,$E$16+1,1),DM61)</f>
        <v>#N/A</v>
      </c>
      <c r="DO61" s="49" t="e" cm="1">
        <f t="array" aca="1" ref="DO61" ca="1">INDEX(OFFSET($E$21,0,0,$E$16+1,1),DM61)</f>
        <v>#N/A</v>
      </c>
      <c r="DP61" s="80" t="e" cm="1">
        <f t="array" aca="1" ref="DP61" ca="1">IF(DO61="G",5,INDEX(OFFSET($F$21,0,0,$E$16+1,1),DM61))</f>
        <v>#N/A</v>
      </c>
      <c r="DQ61" s="80" t="e" cm="1">
        <f t="array" aca="1" ref="DQ61" ca="1">IF(DN61=0,0,IF(DO61="G",-1,INDEX(auto_DataFlat_Classification,DN61,$E$11)))</f>
        <v>#N/A</v>
      </c>
      <c r="DR61" s="301" t="e" cm="1">
        <f t="array" aca="1" ref="DR61" ca="1">IF(DQ61&lt;0,"",INDEX(uxbGlobals!$B$133:$B$139,DQ61))</f>
        <v>#N/A</v>
      </c>
      <c r="DS61" s="80"/>
      <c r="DT61" s="302" t="e" cm="1">
        <f t="array" aca="1" ref="DT61" ca="1">IF(DP61=0,"",IF(DO61="G","--",INDEX(auto_DataFlat_Rank,DN61,$E$11)))</f>
        <v>#N/A</v>
      </c>
      <c r="DU61" s="122" t="e" cm="1">
        <f t="array" aca="1" ref="DU61" ca="1">IF(DP61=0,"",IF(DO61="G","AVERAGE",INDEX(auto_ddCountry,DO61)))</f>
        <v>#N/A</v>
      </c>
      <c r="DV61" s="290" t="e" cm="1">
        <f t="array" aca="1" ref="DV61" ca="1">IF(DP61=0,"",INDEX(auto_DataFlat_Score,DN61,$E$11))</f>
        <v>#N/A</v>
      </c>
      <c r="DW61" s="4"/>
      <c r="DX61" s="49">
        <f t="shared" si="45"/>
        <v>-1</v>
      </c>
      <c r="DY61" s="49" t="e" cm="1">
        <f t="array" ref="DY61">IF($F61=0,0,INDEX(sys_DataFlat_LU_Grid,DX61,$E61))</f>
        <v>#VALUE!</v>
      </c>
      <c r="DZ61" s="49" t="e" cm="1">
        <f t="array" ref="DZ61">IF($F61=0,-1000,CHOOSE($E$14,INDEX(auto_DataFlat_Score,DY61,$E$11),-INDEX(auto_DataFlat_Score,DY61,$E$11),-$D61))</f>
        <v>#VALUE!</v>
      </c>
      <c r="EA61" s="91" t="e">
        <f ca="1">RANK(DZ61,OFFSET(DZ$21,0,0,$E$16+1,1))+COUNTIF(DZ$21:DZ61,DZ61)-1</f>
        <v>#VALUE!</v>
      </c>
      <c r="EB61" s="91" t="e">
        <f t="shared" ca="1" si="29"/>
        <v>#N/A</v>
      </c>
      <c r="EC61" s="91" t="e" cm="1">
        <f t="array" aca="1" ref="EC61" ca="1">INDEX(OFFSET(DY$21,0,0,$E$16+1,1),EB61)</f>
        <v>#N/A</v>
      </c>
      <c r="ED61" s="49" t="e" cm="1">
        <f t="array" aca="1" ref="ED61" ca="1">INDEX(OFFSET($E$21,0,0,$E$16+1,1),EB61)</f>
        <v>#N/A</v>
      </c>
      <c r="EE61" s="80" t="e" cm="1">
        <f t="array" aca="1" ref="EE61" ca="1">IF(ED61="G",5,INDEX(OFFSET($F$21,0,0,$E$16+1,1),EB61))</f>
        <v>#N/A</v>
      </c>
      <c r="EF61" s="80" t="e" cm="1">
        <f t="array" aca="1" ref="EF61" ca="1">IF(EC61=0,0,IF(ED61="G",-1,INDEX(auto_DataFlat_Classification,EC61,$E$11)))</f>
        <v>#N/A</v>
      </c>
      <c r="EG61" s="301" t="e" cm="1">
        <f t="array" aca="1" ref="EG61" ca="1">IF(EF61&lt;0,"",INDEX(uxbGlobals!$B$133:$B$139,EF61))</f>
        <v>#N/A</v>
      </c>
      <c r="EH61" s="80"/>
      <c r="EI61" s="302" t="e" cm="1">
        <f t="array" aca="1" ref="EI61" ca="1">IF(EE61=0,"",IF(ED61="G","--",INDEX(auto_DataFlat_Rank,EC61,$E$11)))</f>
        <v>#N/A</v>
      </c>
      <c r="EJ61" s="122" t="e" cm="1">
        <f t="array" aca="1" ref="EJ61" ca="1">IF(EE61=0,"",IF(ED61="G","AVERAGE",INDEX(auto_ddCountry,ED61)))</f>
        <v>#N/A</v>
      </c>
      <c r="EK61" s="290" t="e" cm="1">
        <f t="array" aca="1" ref="EK61" ca="1">IF(EE61=0,"",INDEX(auto_DataFlat_Score,EC61,$E$11))</f>
        <v>#N/A</v>
      </c>
      <c r="EL61" s="4"/>
      <c r="EM61" s="49">
        <f t="shared" si="46"/>
        <v>-1</v>
      </c>
      <c r="EN61" s="49" t="e" cm="1">
        <f t="array" ref="EN61">IF($F61=0,0,INDEX(sys_DataFlat_LU_Grid,EM61,$E61))</f>
        <v>#VALUE!</v>
      </c>
      <c r="EO61" s="49" t="e" cm="1">
        <f t="array" ref="EO61">IF($F61=0,-1000,CHOOSE($E$14,INDEX(auto_DataFlat_Score,EN61,$E$11),-INDEX(auto_DataFlat_Score,EN61,$E$11),-$D61))</f>
        <v>#VALUE!</v>
      </c>
      <c r="EP61" s="91" t="e">
        <f ca="1">RANK(EO61,OFFSET(EO$21,0,0,$E$16+1,1))+COUNTIF(EO$21:EO61,EO61)-1</f>
        <v>#VALUE!</v>
      </c>
      <c r="EQ61" s="91" t="e">
        <f t="shared" ca="1" si="30"/>
        <v>#N/A</v>
      </c>
      <c r="ER61" s="91" t="e" cm="1">
        <f t="array" aca="1" ref="ER61" ca="1">INDEX(OFFSET(EN$21,0,0,$E$16+1,1),EQ61)</f>
        <v>#N/A</v>
      </c>
      <c r="ES61" s="49" t="e" cm="1">
        <f t="array" aca="1" ref="ES61" ca="1">INDEX(OFFSET($E$21,0,0,$E$16+1,1),EQ61)</f>
        <v>#N/A</v>
      </c>
      <c r="ET61" s="80" t="e" cm="1">
        <f t="array" aca="1" ref="ET61" ca="1">IF(ES61="G",5,INDEX(OFFSET($F$21,0,0,$E$16+1,1),EQ61))</f>
        <v>#N/A</v>
      </c>
      <c r="EU61" s="80" t="e" cm="1">
        <f t="array" aca="1" ref="EU61" ca="1">IF(ER61=0,0,IF(ES61="G",-1,INDEX(auto_DataFlat_Classification,ER61,$E$11)))</f>
        <v>#N/A</v>
      </c>
      <c r="EV61" s="301" t="e" cm="1">
        <f t="array" aca="1" ref="EV61" ca="1">IF(EU61&lt;0,"",INDEX(uxbGlobals!$B$133:$B$139,EU61))</f>
        <v>#N/A</v>
      </c>
      <c r="EW61" s="80"/>
      <c r="EX61" s="302" t="e" cm="1">
        <f t="array" aca="1" ref="EX61" ca="1">IF(ET61=0,"",IF(ES61="G","--",INDEX(auto_DataFlat_Rank,ER61,$E$11)))</f>
        <v>#N/A</v>
      </c>
      <c r="EY61" s="122" t="e" cm="1">
        <f t="array" aca="1" ref="EY61" ca="1">IF(ET61=0,"",IF(ES61="G","AVERAGE",INDEX(auto_ddCountry,ES61)))</f>
        <v>#N/A</v>
      </c>
      <c r="EZ61" s="290" t="e" cm="1">
        <f t="array" aca="1" ref="EZ61" ca="1">IF(ET61=0,"",INDEX(auto_DataFlat_Score,ER61,$E$11))</f>
        <v>#N/A</v>
      </c>
    </row>
    <row r="62" spans="1:156" ht="17.149999999999999" customHeight="1" x14ac:dyDescent="0.4">
      <c r="A62" s="4"/>
      <c r="B62" s="4"/>
      <c r="C62" s="4"/>
      <c r="D62" s="26">
        <v>42</v>
      </c>
      <c r="E62" s="49">
        <f>tblCountries!M43</f>
        <v>41</v>
      </c>
      <c r="F62" s="114" cm="1">
        <f t="array" ref="F62">IF(E62=0,0,INDEX(auto_Country_Status,E62))</f>
        <v>1</v>
      </c>
      <c r="G62" s="4"/>
      <c r="H62" s="49">
        <f t="shared" si="31"/>
        <v>1</v>
      </c>
      <c r="I62" s="49" cm="1">
        <f t="array" ref="I62">IF($F62=0,0,INDEX(sys_DataFlat_LU_Grid,H62,$E62))</f>
        <v>41</v>
      </c>
      <c r="J62" s="49" cm="1">
        <f t="array" ref="J62">IF($F62=0,-1000,CHOOSE($E$14,INDEX(auto_DataFlat_Score,I62,$E$11),-INDEX(auto_DataFlat_Score,I62,$E$11),-$D62))</f>
        <v>67.099999999999994</v>
      </c>
      <c r="K62" s="91">
        <f ca="1">RANK(J62,OFFSET(J$21,0,0,$E$16+1,1))+COUNTIF(J$21:J62,J62)-1</f>
        <v>21</v>
      </c>
      <c r="L62" s="91">
        <f t="shared" ca="1" si="48"/>
        <v>2</v>
      </c>
      <c r="M62" s="91" cm="1">
        <f t="array" aca="1" ref="M62" ca="1">INDEX(OFFSET(I$21,0,0,$E$16+1,1),L62)</f>
        <v>1</v>
      </c>
      <c r="N62" s="49" cm="1">
        <f t="array" aca="1" ref="N62" ca="1">INDEX(OFFSET($E$21,0,0,$E$16+1,1),L62)</f>
        <v>1</v>
      </c>
      <c r="O62" s="80" cm="1">
        <f t="array" aca="1" ref="O62" ca="1">IF(N62="G",5,INDEX(OFFSET($F$21,0,0,$E$16+1,1),L62))</f>
        <v>1</v>
      </c>
      <c r="P62" s="80" cm="1">
        <f t="array" aca="1" ref="P62" ca="1">IF(M62=0,0,IF(N62="G",-1,INDEX(auto_DataFlat_Classification,M62,$E$11)))</f>
        <v>3</v>
      </c>
      <c r="Q62" s="301" t="str" cm="1">
        <f t="array" aca="1" ref="Q62" ca="1">IF(P62&lt;0,"",INDEX(uxbGlobals!$B$133:$B$139,P62))</f>
        <v xml:space="preserve"> </v>
      </c>
      <c r="R62" s="80"/>
      <c r="S62" s="302" t="str" cm="1">
        <f t="array" aca="1" ref="S62" ca="1">IF(O62=0,"",IF(N62="G","--",INDEX(auto_DataFlat_Rank,M62,$E$11)))</f>
        <v>41</v>
      </c>
      <c r="T62" s="122" t="str" cm="1">
        <f t="array" aca="1" ref="T62" ca="1">IF(O62=0,"",IF(N62="G"," AVERAGE",INDEX(auto_ddCountry,N62)))</f>
        <v>Addis Ababa</v>
      </c>
      <c r="U62" s="290" cm="1">
        <f t="array" aca="1" ref="U62" ca="1">IF(O62=0,"",INDEX(auto_DataFlat_Score,M62,$E$11))</f>
        <v>49.6</v>
      </c>
      <c r="V62" s="4"/>
      <c r="W62" s="49">
        <f t="shared" si="33"/>
        <v>2</v>
      </c>
      <c r="X62" s="49" cm="1">
        <f t="array" ref="X62">IF($F62=0,0,INDEX(sys_DataFlat_LU_Grid,W62,$E62))</f>
        <v>101</v>
      </c>
      <c r="Y62" s="49" cm="1">
        <f t="array" ref="Y62">IF($F62=0,-1000,CHOOSE($E$14,INDEX(auto_DataFlat_Score,X62,$E$11),-INDEX(auto_DataFlat_Score,X62,$E$11),-$D62))</f>
        <v>70.099999999999994</v>
      </c>
      <c r="Z62" s="91">
        <f ca="1">RANK(Y62,OFFSET(Y$21,0,0,$E$16+1,1))+COUNTIF(Y$21:Y62,Y62)-1</f>
        <v>30</v>
      </c>
      <c r="AA62" s="91">
        <f t="shared" ca="1" si="49"/>
        <v>50</v>
      </c>
      <c r="AB62" s="91" cm="1">
        <f t="array" aca="1" ref="AB62" ca="1">INDEX(OFFSET(X$21,0,0,$E$16+1,1),AA62)</f>
        <v>109</v>
      </c>
      <c r="AC62" s="49" cm="1">
        <f t="array" aca="1" ref="AC62" ca="1">INDEX(OFFSET($E$21,0,0,$E$16+1,1),AA62)</f>
        <v>49</v>
      </c>
      <c r="AD62" s="80" cm="1">
        <f t="array" aca="1" ref="AD62" ca="1">IF(AC62="G",5,INDEX(OFFSET($F$21,0,0,$E$16+1,1),AA62))</f>
        <v>1</v>
      </c>
      <c r="AE62" s="80" cm="1">
        <f t="array" aca="1" ref="AE62" ca="1">IF(AB62=0,0,IF(AC62="G",-1,INDEX(auto_DataFlat_Classification,AB62,$E$11)))</f>
        <v>3</v>
      </c>
      <c r="AF62" s="301" t="str" cm="1">
        <f t="array" aca="1" ref="AF62" ca="1">IF(AE62&lt;0,"",INDEX(uxbGlobals!$B$133:$B$139,AE62))</f>
        <v xml:space="preserve"> </v>
      </c>
      <c r="AG62" s="80"/>
      <c r="AH62" s="302" t="str" cm="1">
        <f t="array" aca="1" ref="AH62" ca="1">IF(AD62=0,"",IF(AC62="G","--",INDEX(auto_DataFlat_Rank,AB62,$E$11)))</f>
        <v>=38</v>
      </c>
      <c r="AI62" s="122" t="str" cm="1">
        <f t="array" aca="1" ref="AI62" ca="1">IF(AD62=0,"",IF(AC62="G","AVERAGE",INDEX(auto_ddCountry,AC62)))</f>
        <v>Wuhan</v>
      </c>
      <c r="AJ62" s="290" cm="1">
        <f t="array" aca="1" ref="AJ62" ca="1">IF(AD62=0,"",INDEX(auto_DataFlat_Score,AB62,$E$11))</f>
        <v>54.3</v>
      </c>
      <c r="AK62" s="4"/>
      <c r="AL62" s="49">
        <f t="shared" si="35"/>
        <v>14</v>
      </c>
      <c r="AM62" s="49" cm="1">
        <f t="array" ref="AM62">IF($F62=0,0,INDEX(sys_DataFlat_LU_Grid,AL62,$E62))</f>
        <v>821</v>
      </c>
      <c r="AN62" s="49" cm="1">
        <f t="array" ref="AN62">IF($F62=0,-1000,CHOOSE($E$14,INDEX(auto_DataFlat_Score,AM62,$E$11),-INDEX(auto_DataFlat_Score,AM62,$E$11),-$D62))</f>
        <v>65.8</v>
      </c>
      <c r="AO62" s="91">
        <f ca="1">RANK(AN62,OFFSET(AN$21,0,0,$E$16+1,1))+COUNTIF(AN$21:AN62,AN62)-1</f>
        <v>12</v>
      </c>
      <c r="AP62" s="91">
        <f t="shared" ca="1" si="50"/>
        <v>2</v>
      </c>
      <c r="AQ62" s="91" cm="1">
        <f t="array" aca="1" ref="AQ62" ca="1">INDEX(OFFSET(AM$21,0,0,$E$16+1,1),AP62)</f>
        <v>781</v>
      </c>
      <c r="AR62" s="49" cm="1">
        <f t="array" aca="1" ref="AR62" ca="1">INDEX(OFFSET($E$21,0,0,$E$16+1,1),AP62)</f>
        <v>1</v>
      </c>
      <c r="AS62" s="80" cm="1">
        <f t="array" aca="1" ref="AS62" ca="1">IF(AR62="G",5,INDEX(OFFSET($F$21,0,0,$E$16+1,1),AP62))</f>
        <v>1</v>
      </c>
      <c r="AT62" s="80" cm="1">
        <f t="array" aca="1" ref="AT62" ca="1">IF(AQ62=0,0,IF(AR62="G",-1,INDEX(auto_DataFlat_Classification,AQ62,$E$11)))</f>
        <v>2</v>
      </c>
      <c r="AU62" s="301" t="str" cm="1">
        <f t="array" aca="1" ref="AU62" ca="1">IF(AT62&lt;0,"",INDEX(uxbGlobals!$B$133:$B$139,AT62))</f>
        <v xml:space="preserve"> </v>
      </c>
      <c r="AV62" s="80"/>
      <c r="AW62" s="302" t="str" cm="1">
        <f t="array" aca="1" ref="AW62" ca="1">IF(AS62=0,"",IF(AR62="G","--",INDEX(auto_DataFlat_Rank,AQ62,$E$11)))</f>
        <v>41</v>
      </c>
      <c r="AX62" s="122" t="str" cm="1">
        <f t="array" aca="1" ref="AX62" ca="1">IF(AS62=0,"",IF(AR62="G","AVERAGE",INDEX(auto_ddCountry,AR62)))</f>
        <v>Addis Ababa</v>
      </c>
      <c r="AY62" s="290" cm="1">
        <f t="array" aca="1" ref="AY62" ca="1">IF(AS62=0,"",INDEX(auto_DataFlat_Score,AQ62,$E$11))</f>
        <v>29</v>
      </c>
      <c r="AZ62" s="4"/>
      <c r="BA62" s="49">
        <f t="shared" si="37"/>
        <v>22</v>
      </c>
      <c r="BB62" s="49" cm="1">
        <f t="array" ref="BB62">IF($F62=0,0,INDEX(sys_DataFlat_LU_Grid,BA62,$E62))</f>
        <v>1301</v>
      </c>
      <c r="BC62" s="49" cm="1">
        <f t="array" ref="BC62">IF($F62=0,-1000,CHOOSE($E$14,INDEX(auto_DataFlat_Score,BB62,$E$11),-INDEX(auto_DataFlat_Score,BB62,$E$11),-$D62))</f>
        <v>52.1</v>
      </c>
      <c r="BD62" s="91">
        <f ca="1">RANK(BC62,OFFSET(BC$21,0,0,$E$16+1,1))+COUNTIF(BC$21:BC62,BC62)-1</f>
        <v>31</v>
      </c>
      <c r="BE62" s="91">
        <f t="shared" ca="1" si="51"/>
        <v>11</v>
      </c>
      <c r="BF62" s="91" cm="1">
        <f t="array" aca="1" ref="BF62" ca="1">INDEX(OFFSET(BB$21,0,0,$E$16+1,1),BE62)</f>
        <v>1270</v>
      </c>
      <c r="BG62" s="49" cm="1">
        <f t="array" aca="1" ref="BG62" ca="1">INDEX(OFFSET($E$21,0,0,$E$16+1,1),BE62)</f>
        <v>10</v>
      </c>
      <c r="BH62" s="80" cm="1">
        <f t="array" aca="1" ref="BH62" ca="1">IF(BG62="G",5,INDEX(OFFSET($F$21,0,0,$E$16+1,1),BE62))</f>
        <v>1</v>
      </c>
      <c r="BI62" s="80" cm="1">
        <f t="array" aca="1" ref="BI62" ca="1">IF(BF62=0,0,IF(BG62="G",-1,INDEX(auto_DataFlat_Classification,BF62,$E$11)))</f>
        <v>2</v>
      </c>
      <c r="BJ62" s="301" t="str" cm="1">
        <f t="array" aca="1" ref="BJ62" ca="1">IF(BI62&lt;0,"",INDEX(uxbGlobals!$B$133:$B$139,BI62))</f>
        <v xml:space="preserve"> </v>
      </c>
      <c r="BK62" s="80"/>
      <c r="BL62" s="302" t="str" cm="1">
        <f t="array" aca="1" ref="BL62" ca="1">IF(BH62=0,"",IF(BG62="G","--",INDEX(auto_DataFlat_Rank,BF62,$E$11)))</f>
        <v>=41</v>
      </c>
      <c r="BM62" s="122" t="str" cm="1">
        <f t="array" aca="1" ref="BM62" ca="1">IF(BH62=0,"",IF(BG62="G","AVERAGE",INDEX(auto_ddCountry,BG62)))</f>
        <v>Cairo</v>
      </c>
      <c r="BN62" s="290" cm="1">
        <f t="array" aca="1" ref="BN62" ca="1">IF(BH62=0,"",INDEX(auto_DataFlat_Score,BF62,$E$11))</f>
        <v>39.700000000000003</v>
      </c>
      <c r="BO62" s="4"/>
      <c r="BP62" s="49">
        <f t="shared" si="39"/>
        <v>47</v>
      </c>
      <c r="BQ62" s="49" cm="1">
        <f t="array" ref="BQ62">IF($F62=0,0,INDEX(sys_DataFlat_LU_Grid,BP62,$E62))</f>
        <v>2801</v>
      </c>
      <c r="BR62" s="49" cm="1">
        <f t="array" ref="BR62">IF($F62=0,-1000,CHOOSE($E$14,INDEX(auto_DataFlat_Score,BQ62,$E$11),-INDEX(auto_DataFlat_Score,BQ62,$E$11),-$D62))</f>
        <v>83.8</v>
      </c>
      <c r="BS62" s="91">
        <f ca="1">RANK(BR62,OFFSET(BR$21,0,0,$E$16+1,1))+COUNTIF(BR$21:BR62,BR62)-1</f>
        <v>8</v>
      </c>
      <c r="BT62" s="91">
        <f t="shared" ca="1" si="52"/>
        <v>23</v>
      </c>
      <c r="BU62" s="91" cm="1">
        <f t="array" aca="1" ref="BU62" ca="1">INDEX(OFFSET(BQ$21,0,0,$E$16+1,1),BT62)</f>
        <v>2782</v>
      </c>
      <c r="BV62" s="49" cm="1">
        <f t="array" aca="1" ref="BV62" ca="1">INDEX(OFFSET($E$21,0,0,$E$16+1,1),BT62)</f>
        <v>22</v>
      </c>
      <c r="BW62" s="80" cm="1">
        <f t="array" aca="1" ref="BW62" ca="1">IF(BV62="G",5,INDEX(OFFSET($F$21,0,0,$E$16+1,1),BT62))</f>
        <v>1</v>
      </c>
      <c r="BX62" s="80" cm="1">
        <f t="array" aca="1" ref="BX62" ca="1">IF(BU62=0,0,IF(BV62="G",-1,INDEX(auto_DataFlat_Classification,BU62,$E$11)))</f>
        <v>3</v>
      </c>
      <c r="BY62" s="301" t="str" cm="1">
        <f t="array" aca="1" ref="BY62" ca="1">IF(BX62&lt;0,"",INDEX(uxbGlobals!$B$133:$B$139,BX62))</f>
        <v xml:space="preserve"> </v>
      </c>
      <c r="BZ62" s="80"/>
      <c r="CA62" s="302" t="str" cm="1">
        <f t="array" aca="1" ref="CA62" ca="1">IF(BW62=0,"",IF(BV62="G","--",INDEX(auto_DataFlat_Rank,BU62,$E$11)))</f>
        <v>41</v>
      </c>
      <c r="CB62" s="122" t="str" cm="1">
        <f t="array" aca="1" ref="CB62" ca="1">IF(BW62=0,"",IF(BV62="G","AVERAGE",INDEX(auto_ddCountry,BV62)))</f>
        <v>Kathmandu</v>
      </c>
      <c r="CC62" s="290" cm="1">
        <f t="array" aca="1" ref="CC62" ca="1">IF(BW62=0,"",INDEX(auto_DataFlat_Score,BU62,$E$11))</f>
        <v>47.4</v>
      </c>
      <c r="CD62" s="4"/>
      <c r="CE62" s="49">
        <f t="shared" si="41"/>
        <v>52</v>
      </c>
      <c r="CF62" s="49" cm="1">
        <f t="array" ref="CF62">IF($F62=0,0,INDEX(sys_DataFlat_LU_Grid,CE62,$E62))</f>
        <v>3101</v>
      </c>
      <c r="CG62" s="49" cm="1">
        <f t="array" ref="CG62">IF($F62=0,-1000,CHOOSE($E$14,INDEX(auto_DataFlat_Score,CF62,$E$11),-INDEX(auto_DataFlat_Score,CF62,$E$11),-$D62))</f>
        <v>72.2</v>
      </c>
      <c r="CH62" s="91">
        <f ca="1">RANK(CG62,OFFSET(CG$21,0,0,$E$16+1,1))+COUNTIF(CG$21:CG62,CG62)-1</f>
        <v>26</v>
      </c>
      <c r="CI62" s="91">
        <f t="shared" ca="1" si="53"/>
        <v>11</v>
      </c>
      <c r="CJ62" s="91" cm="1">
        <f t="array" aca="1" ref="CJ62" ca="1">INDEX(OFFSET(CF$21,0,0,$E$16+1,1),CI62)</f>
        <v>3070</v>
      </c>
      <c r="CK62" s="49" cm="1">
        <f t="array" aca="1" ref="CK62" ca="1">INDEX(OFFSET($E$21,0,0,$E$16+1,1),CI62)</f>
        <v>10</v>
      </c>
      <c r="CL62" s="80" cm="1">
        <f t="array" aca="1" ref="CL62" ca="1">IF(CK62="G",5,INDEX(OFFSET($F$21,0,0,$E$16+1,1),CI62))</f>
        <v>1</v>
      </c>
      <c r="CM62" s="80" cm="1">
        <f t="array" aca="1" ref="CM62" ca="1">IF(CJ62=0,0,IF(CK62="G",-1,INDEX(auto_DataFlat_Classification,CJ62,$E$11)))</f>
        <v>3</v>
      </c>
      <c r="CN62" s="301" t="str" cm="1">
        <f t="array" aca="1" ref="CN62" ca="1">IF(CM62&lt;0,"",INDEX(uxbGlobals!$B$133:$B$139,CM62))</f>
        <v xml:space="preserve"> </v>
      </c>
      <c r="CO62" s="80"/>
      <c r="CP62" s="302" t="str" cm="1">
        <f t="array" aca="1" ref="CP62" ca="1">IF(CL62=0,"",IF(CK62="G","--",INDEX(auto_DataFlat_Rank,CJ62,$E$11)))</f>
        <v>=41</v>
      </c>
      <c r="CQ62" s="122" t="str" cm="1">
        <f t="array" aca="1" ref="CQ62" ca="1">IF(CL62=0,"",IF(CK62="G","AVERAGE",INDEX(auto_ddCountry,CK62)))</f>
        <v>Cairo</v>
      </c>
      <c r="CR62" s="290" cm="1">
        <f t="array" aca="1" ref="CR62" ca="1">IF(CL62=0,"",INDEX(auto_DataFlat_Score,CJ62,$E$11))</f>
        <v>53.7</v>
      </c>
      <c r="CS62" s="4"/>
      <c r="CT62" s="49">
        <f t="shared" si="43"/>
        <v>-1</v>
      </c>
      <c r="CU62" s="49" t="e" cm="1">
        <f t="array" ref="CU62">IF($F62=0,0,INDEX(sys_DataFlat_LU_Grid,CT62,$E62))</f>
        <v>#VALUE!</v>
      </c>
      <c r="CV62" s="49" t="e" cm="1">
        <f t="array" ref="CV62">IF($F62=0,-1000,CHOOSE($E$14,INDEX(auto_DataFlat_Score,CU62,$E$11),-INDEX(auto_DataFlat_Score,CU62,$E$11),-$D62))</f>
        <v>#VALUE!</v>
      </c>
      <c r="CW62" s="91" t="e">
        <f ca="1">RANK(CV62,OFFSET(CV$21,0,0,$E$16+1,1))+COUNTIF(CV$21:CV62,CV62)-1</f>
        <v>#VALUE!</v>
      </c>
      <c r="CX62" s="91" t="e">
        <f t="shared" ca="1" si="47"/>
        <v>#N/A</v>
      </c>
      <c r="CY62" s="91" t="e" cm="1">
        <f t="array" aca="1" ref="CY62" ca="1">INDEX(OFFSET(CU$21,0,0,$E$16+1,1),CX62)</f>
        <v>#N/A</v>
      </c>
      <c r="CZ62" s="49" t="e" cm="1">
        <f t="array" aca="1" ref="CZ62" ca="1">INDEX(OFFSET($E$21,0,0,$E$16+1,1),CX62)</f>
        <v>#N/A</v>
      </c>
      <c r="DA62" s="80" t="e" cm="1">
        <f t="array" aca="1" ref="DA62" ca="1">IF(CZ62="G",5,INDEX(OFFSET($F$21,0,0,$E$16+1,1),CX62))</f>
        <v>#N/A</v>
      </c>
      <c r="DB62" s="80" t="e" cm="1">
        <f t="array" aca="1" ref="DB62" ca="1">IF(CY62=0,0,IF(CZ62="G",-1,INDEX(auto_DataFlat_Classification,CY62,$E$11)))</f>
        <v>#N/A</v>
      </c>
      <c r="DC62" s="301" t="e" cm="1">
        <f t="array" aca="1" ref="DC62" ca="1">IF(DB62&lt;0,"",INDEX(uxbGlobals!$B$133:$B$139,DB62))</f>
        <v>#N/A</v>
      </c>
      <c r="DD62" s="80"/>
      <c r="DE62" s="302" t="e" cm="1">
        <f t="array" aca="1" ref="DE62" ca="1">IF(DA62=0,"",IF(CZ62="G","--",INDEX(auto_DataFlat_Rank,CY62,$E$11)))</f>
        <v>#N/A</v>
      </c>
      <c r="DF62" s="122" t="e" cm="1">
        <f t="array" aca="1" ref="DF62" ca="1">IF(DA62=0,"",IF(CZ62="G","AVERAGE",INDEX(auto_ddCountry,CZ62)))</f>
        <v>#N/A</v>
      </c>
      <c r="DG62" s="290" t="e" cm="1">
        <f t="array" aca="1" ref="DG62" ca="1">IF(DA62=0,"",INDEX(auto_DataFlat_Score,CY62,$E$11))</f>
        <v>#N/A</v>
      </c>
      <c r="DH62" s="4"/>
      <c r="DI62" s="49">
        <f t="shared" si="44"/>
        <v>-1</v>
      </c>
      <c r="DJ62" s="49" t="e" cm="1">
        <f t="array" ref="DJ62">IF($F62=0,0,INDEX(sys_DataFlat_LU_Grid,DI62,$E62))</f>
        <v>#VALUE!</v>
      </c>
      <c r="DK62" s="49" t="e" cm="1">
        <f t="array" ref="DK62">IF($F62=0,-1000,CHOOSE($E$14,INDEX(auto_DataFlat_Score,DJ62,$E$11),-INDEX(auto_DataFlat_Score,DJ62,$E$11),-$D62))</f>
        <v>#VALUE!</v>
      </c>
      <c r="DL62" s="91" t="e">
        <f ca="1">RANK(DK62,OFFSET(DK$21,0,0,$E$16+1,1))+COUNTIF(DK$21:DK62,DK62)-1</f>
        <v>#VALUE!</v>
      </c>
      <c r="DM62" s="91" t="e">
        <f t="shared" ca="1" si="28"/>
        <v>#N/A</v>
      </c>
      <c r="DN62" s="91" t="e" cm="1">
        <f t="array" aca="1" ref="DN62" ca="1">INDEX(OFFSET(DJ$21,0,0,$E$16+1,1),DM62)</f>
        <v>#N/A</v>
      </c>
      <c r="DO62" s="49" t="e" cm="1">
        <f t="array" aca="1" ref="DO62" ca="1">INDEX(OFFSET($E$21,0,0,$E$16+1,1),DM62)</f>
        <v>#N/A</v>
      </c>
      <c r="DP62" s="80" t="e" cm="1">
        <f t="array" aca="1" ref="DP62" ca="1">IF(DO62="G",5,INDEX(OFFSET($F$21,0,0,$E$16+1,1),DM62))</f>
        <v>#N/A</v>
      </c>
      <c r="DQ62" s="80" t="e" cm="1">
        <f t="array" aca="1" ref="DQ62" ca="1">IF(DN62=0,0,IF(DO62="G",-1,INDEX(auto_DataFlat_Classification,DN62,$E$11)))</f>
        <v>#N/A</v>
      </c>
      <c r="DR62" s="301" t="e" cm="1">
        <f t="array" aca="1" ref="DR62" ca="1">IF(DQ62&lt;0,"",INDEX(uxbGlobals!$B$133:$B$139,DQ62))</f>
        <v>#N/A</v>
      </c>
      <c r="DS62" s="80"/>
      <c r="DT62" s="302" t="e" cm="1">
        <f t="array" aca="1" ref="DT62" ca="1">IF(DP62=0,"",IF(DO62="G","--",INDEX(auto_DataFlat_Rank,DN62,$E$11)))</f>
        <v>#N/A</v>
      </c>
      <c r="DU62" s="122" t="e" cm="1">
        <f t="array" aca="1" ref="DU62" ca="1">IF(DP62=0,"",IF(DO62="G","AVERAGE",INDEX(auto_ddCountry,DO62)))</f>
        <v>#N/A</v>
      </c>
      <c r="DV62" s="290" t="e" cm="1">
        <f t="array" aca="1" ref="DV62" ca="1">IF(DP62=0,"",INDEX(auto_DataFlat_Score,DN62,$E$11))</f>
        <v>#N/A</v>
      </c>
      <c r="DW62" s="4"/>
      <c r="DX62" s="49">
        <f t="shared" si="45"/>
        <v>-1</v>
      </c>
      <c r="DY62" s="49" t="e" cm="1">
        <f t="array" ref="DY62">IF($F62=0,0,INDEX(sys_DataFlat_LU_Grid,DX62,$E62))</f>
        <v>#VALUE!</v>
      </c>
      <c r="DZ62" s="49" t="e" cm="1">
        <f t="array" ref="DZ62">IF($F62=0,-1000,CHOOSE($E$14,INDEX(auto_DataFlat_Score,DY62,$E$11),-INDEX(auto_DataFlat_Score,DY62,$E$11),-$D62))</f>
        <v>#VALUE!</v>
      </c>
      <c r="EA62" s="91" t="e">
        <f ca="1">RANK(DZ62,OFFSET(DZ$21,0,0,$E$16+1,1))+COUNTIF(DZ$21:DZ62,DZ62)-1</f>
        <v>#VALUE!</v>
      </c>
      <c r="EB62" s="91" t="e">
        <f t="shared" ca="1" si="29"/>
        <v>#N/A</v>
      </c>
      <c r="EC62" s="91" t="e" cm="1">
        <f t="array" aca="1" ref="EC62" ca="1">INDEX(OFFSET(DY$21,0,0,$E$16+1,1),EB62)</f>
        <v>#N/A</v>
      </c>
      <c r="ED62" s="49" t="e" cm="1">
        <f t="array" aca="1" ref="ED62" ca="1">INDEX(OFFSET($E$21,0,0,$E$16+1,1),EB62)</f>
        <v>#N/A</v>
      </c>
      <c r="EE62" s="80" t="e" cm="1">
        <f t="array" aca="1" ref="EE62" ca="1">IF(ED62="G",5,INDEX(OFFSET($F$21,0,0,$E$16+1,1),EB62))</f>
        <v>#N/A</v>
      </c>
      <c r="EF62" s="80" t="e" cm="1">
        <f t="array" aca="1" ref="EF62" ca="1">IF(EC62=0,0,IF(ED62="G",-1,INDEX(auto_DataFlat_Classification,EC62,$E$11)))</f>
        <v>#N/A</v>
      </c>
      <c r="EG62" s="301" t="e" cm="1">
        <f t="array" aca="1" ref="EG62" ca="1">IF(EF62&lt;0,"",INDEX(uxbGlobals!$B$133:$B$139,EF62))</f>
        <v>#N/A</v>
      </c>
      <c r="EH62" s="80"/>
      <c r="EI62" s="302" t="e" cm="1">
        <f t="array" aca="1" ref="EI62" ca="1">IF(EE62=0,"",IF(ED62="G","--",INDEX(auto_DataFlat_Rank,EC62,$E$11)))</f>
        <v>#N/A</v>
      </c>
      <c r="EJ62" s="122" t="e" cm="1">
        <f t="array" aca="1" ref="EJ62" ca="1">IF(EE62=0,"",IF(ED62="G","AVERAGE",INDEX(auto_ddCountry,ED62)))</f>
        <v>#N/A</v>
      </c>
      <c r="EK62" s="290" t="e" cm="1">
        <f t="array" aca="1" ref="EK62" ca="1">IF(EE62=0,"",INDEX(auto_DataFlat_Score,EC62,$E$11))</f>
        <v>#N/A</v>
      </c>
      <c r="EL62" s="4"/>
      <c r="EM62" s="49">
        <f t="shared" si="46"/>
        <v>-1</v>
      </c>
      <c r="EN62" s="49" t="e" cm="1">
        <f t="array" ref="EN62">IF($F62=0,0,INDEX(sys_DataFlat_LU_Grid,EM62,$E62))</f>
        <v>#VALUE!</v>
      </c>
      <c r="EO62" s="49" t="e" cm="1">
        <f t="array" ref="EO62">IF($F62=0,-1000,CHOOSE($E$14,INDEX(auto_DataFlat_Score,EN62,$E$11),-INDEX(auto_DataFlat_Score,EN62,$E$11),-$D62))</f>
        <v>#VALUE!</v>
      </c>
      <c r="EP62" s="91" t="e">
        <f ca="1">RANK(EO62,OFFSET(EO$21,0,0,$E$16+1,1))+COUNTIF(EO$21:EO62,EO62)-1</f>
        <v>#VALUE!</v>
      </c>
      <c r="EQ62" s="91" t="e">
        <f t="shared" ca="1" si="30"/>
        <v>#N/A</v>
      </c>
      <c r="ER62" s="91" t="e" cm="1">
        <f t="array" aca="1" ref="ER62" ca="1">INDEX(OFFSET(EN$21,0,0,$E$16+1,1),EQ62)</f>
        <v>#N/A</v>
      </c>
      <c r="ES62" s="49" t="e" cm="1">
        <f t="array" aca="1" ref="ES62" ca="1">INDEX(OFFSET($E$21,0,0,$E$16+1,1),EQ62)</f>
        <v>#N/A</v>
      </c>
      <c r="ET62" s="80" t="e" cm="1">
        <f t="array" aca="1" ref="ET62" ca="1">IF(ES62="G",5,INDEX(OFFSET($F$21,0,0,$E$16+1,1),EQ62))</f>
        <v>#N/A</v>
      </c>
      <c r="EU62" s="80" t="e" cm="1">
        <f t="array" aca="1" ref="EU62" ca="1">IF(ER62=0,0,IF(ES62="G",-1,INDEX(auto_DataFlat_Classification,ER62,$E$11)))</f>
        <v>#N/A</v>
      </c>
      <c r="EV62" s="301" t="e" cm="1">
        <f t="array" aca="1" ref="EV62" ca="1">IF(EU62&lt;0,"",INDEX(uxbGlobals!$B$133:$B$139,EU62))</f>
        <v>#N/A</v>
      </c>
      <c r="EW62" s="80"/>
      <c r="EX62" s="302" t="e" cm="1">
        <f t="array" aca="1" ref="EX62" ca="1">IF(ET62=0,"",IF(ES62="G","--",INDEX(auto_DataFlat_Rank,ER62,$E$11)))</f>
        <v>#N/A</v>
      </c>
      <c r="EY62" s="122" t="e" cm="1">
        <f t="array" aca="1" ref="EY62" ca="1">IF(ET62=0,"",IF(ES62="G","AVERAGE",INDEX(auto_ddCountry,ES62)))</f>
        <v>#N/A</v>
      </c>
      <c r="EZ62" s="290" t="e" cm="1">
        <f t="array" aca="1" ref="EZ62" ca="1">IF(ET62=0,"",INDEX(auto_DataFlat_Score,ER62,$E$11))</f>
        <v>#N/A</v>
      </c>
    </row>
    <row r="63" spans="1:156" ht="17.149999999999999" customHeight="1" x14ac:dyDescent="0.4">
      <c r="A63" s="4"/>
      <c r="B63" s="4"/>
      <c r="C63" s="4"/>
      <c r="D63" s="26">
        <v>43</v>
      </c>
      <c r="E63" s="49">
        <f>tblCountries!M44</f>
        <v>42</v>
      </c>
      <c r="F63" s="114" cm="1">
        <f t="array" ref="F63">IF(E63=0,0,INDEX(auto_Country_Status,E63))</f>
        <v>1</v>
      </c>
      <c r="G63" s="4"/>
      <c r="H63" s="49">
        <f t="shared" si="31"/>
        <v>1</v>
      </c>
      <c r="I63" s="49" cm="1">
        <f t="array" ref="I63">IF($F63=0,0,INDEX(sys_DataFlat_LU_Grid,H63,$E63))</f>
        <v>42</v>
      </c>
      <c r="J63" s="49" cm="1">
        <f t="array" ref="J63">IF($F63=0,-1000,CHOOSE($E$14,INDEX(auto_DataFlat_Score,I63,$E$11),-INDEX(auto_DataFlat_Score,I63,$E$11),-$D63))</f>
        <v>75.599999999999994</v>
      </c>
      <c r="K63" s="91">
        <f ca="1">RANK(J63,OFFSET(J$21,0,0,$E$16+1,1))+COUNTIF(J$21:J63,J63)-1</f>
        <v>10</v>
      </c>
      <c r="L63" s="91">
        <f t="shared" ca="1" si="48"/>
        <v>29</v>
      </c>
      <c r="M63" s="91" cm="1">
        <f t="array" aca="1" ref="M63" ca="1">INDEX(OFFSET(I$21,0,0,$E$16+1,1),L63)</f>
        <v>28</v>
      </c>
      <c r="N63" s="49" cm="1">
        <f t="array" aca="1" ref="N63" ca="1">INDEX(OFFSET($E$21,0,0,$E$16+1,1),L63)</f>
        <v>28</v>
      </c>
      <c r="O63" s="80" cm="1">
        <f t="array" aca="1" ref="O63" ca="1">IF(N63="G",5,INDEX(OFFSET($F$21,0,0,$E$16+1,1),L63))</f>
        <v>1</v>
      </c>
      <c r="P63" s="80" cm="1">
        <f t="array" aca="1" ref="P63" ca="1">IF(M63=0,0,IF(N63="G",-1,INDEX(auto_DataFlat_Classification,M63,$E$11)))</f>
        <v>3</v>
      </c>
      <c r="Q63" s="301" t="str" cm="1">
        <f t="array" aca="1" ref="Q63" ca="1">IF(P63&lt;0,"",INDEX(uxbGlobals!$B$133:$B$139,P63))</f>
        <v xml:space="preserve"> </v>
      </c>
      <c r="R63" s="80"/>
      <c r="S63" s="302" t="str" cm="1">
        <f t="array" aca="1" ref="S63" ca="1">IF(O63=0,"",IF(N63="G","--",INDEX(auto_DataFlat_Rank,M63,$E$11)))</f>
        <v>42</v>
      </c>
      <c r="T63" s="122" t="str" cm="1">
        <f t="array" aca="1" ref="T63" ca="1">IF(O63=0,"",IF(N63="G"," AVERAGE",INDEX(auto_ddCountry,N63)))</f>
        <v>Manila</v>
      </c>
      <c r="U63" s="290" cm="1">
        <f t="array" aca="1" ref="U63" ca="1">IF(O63=0,"",INDEX(auto_DataFlat_Score,M63,$E$11))</f>
        <v>48.8</v>
      </c>
      <c r="V63" s="4"/>
      <c r="W63" s="49">
        <f t="shared" si="33"/>
        <v>2</v>
      </c>
      <c r="X63" s="49" cm="1">
        <f t="array" ref="X63">IF($F63=0,0,INDEX(sys_DataFlat_LU_Grid,W63,$E63))</f>
        <v>102</v>
      </c>
      <c r="Y63" s="49" cm="1">
        <f t="array" ref="Y63">IF($F63=0,-1000,CHOOSE($E$14,INDEX(auto_DataFlat_Score,X63,$E$11),-INDEX(auto_DataFlat_Score,X63,$E$11),-$D63))</f>
        <v>82.8</v>
      </c>
      <c r="Z63" s="91">
        <f ca="1">RANK(Y63,OFFSET(Y$21,0,0,$E$16+1,1))+COUNTIF(Y$21:Y63,Y63)-1</f>
        <v>18</v>
      </c>
      <c r="AA63" s="91">
        <f t="shared" ca="1" si="49"/>
        <v>12</v>
      </c>
      <c r="AB63" s="91" cm="1">
        <f t="array" aca="1" ref="AB63" ca="1">INDEX(OFFSET(X$21,0,0,$E$16+1,1),AA63)</f>
        <v>71</v>
      </c>
      <c r="AC63" s="49" cm="1">
        <f t="array" aca="1" ref="AC63" ca="1">INDEX(OFFSET($E$21,0,0,$E$16+1,1),AA63)</f>
        <v>11</v>
      </c>
      <c r="AD63" s="80" cm="1">
        <f t="array" aca="1" ref="AD63" ca="1">IF(AC63="G",5,INDEX(OFFSET($F$21,0,0,$E$16+1,1),AA63))</f>
        <v>1</v>
      </c>
      <c r="AE63" s="80" cm="1">
        <f t="array" aca="1" ref="AE63" ca="1">IF(AB63=0,0,IF(AC63="G",-1,INDEX(auto_DataFlat_Classification,AB63,$E$11)))</f>
        <v>3</v>
      </c>
      <c r="AF63" s="301" t="str" cm="1">
        <f t="array" aca="1" ref="AF63" ca="1">IF(AE63&lt;0,"",INDEX(uxbGlobals!$B$133:$B$139,AE63))</f>
        <v xml:space="preserve"> </v>
      </c>
      <c r="AG63" s="80"/>
      <c r="AH63" s="302" t="str" cm="1">
        <f t="array" aca="1" ref="AH63" ca="1">IF(AD63=0,"",IF(AC63="G","--",INDEX(auto_DataFlat_Rank,AB63,$E$11)))</f>
        <v>42</v>
      </c>
      <c r="AI63" s="122" t="str" cm="1">
        <f t="array" aca="1" ref="AI63" ca="1">IF(AD63=0,"",IF(AC63="G","AVERAGE",INDEX(auto_ddCountry,AC63)))</f>
        <v>Colombo</v>
      </c>
      <c r="AJ63" s="290" cm="1">
        <f t="array" aca="1" ref="AJ63" ca="1">IF(AD63=0,"",INDEX(auto_DataFlat_Score,AB63,$E$11))</f>
        <v>51.9</v>
      </c>
      <c r="AK63" s="4"/>
      <c r="AL63" s="49">
        <f t="shared" si="35"/>
        <v>14</v>
      </c>
      <c r="AM63" s="49" cm="1">
        <f t="array" ref="AM63">IF($F63=0,0,INDEX(sys_DataFlat_LU_Grid,AL63,$E63))</f>
        <v>822</v>
      </c>
      <c r="AN63" s="49" cm="1">
        <f t="array" ref="AN63">IF($F63=0,-1000,CHOOSE($E$14,INDEX(auto_DataFlat_Score,AM63,$E$11),-INDEX(auto_DataFlat_Score,AM63,$E$11),-$D63))</f>
        <v>53.8</v>
      </c>
      <c r="AO63" s="91">
        <f ca="1">RANK(AN63,OFFSET(AN$21,0,0,$E$16+1,1))+COUNTIF(AN$21:AN63,AN63)-1</f>
        <v>23</v>
      </c>
      <c r="AP63" s="91">
        <f t="shared" ca="1" si="50"/>
        <v>25</v>
      </c>
      <c r="AQ63" s="91" cm="1">
        <f t="array" aca="1" ref="AQ63" ca="1">INDEX(OFFSET(AM$21,0,0,$E$16+1,1),AP63)</f>
        <v>804</v>
      </c>
      <c r="AR63" s="49" cm="1">
        <f t="array" aca="1" ref="AR63" ca="1">INDEX(OFFSET($E$21,0,0,$E$16+1,1),AP63)</f>
        <v>24</v>
      </c>
      <c r="AS63" s="80" cm="1">
        <f t="array" aca="1" ref="AS63" ca="1">IF(AR63="G",5,INDEX(OFFSET($F$21,0,0,$E$16+1,1),AP63))</f>
        <v>1</v>
      </c>
      <c r="AT63" s="80" cm="1">
        <f t="array" aca="1" ref="AT63" ca="1">IF(AQ63=0,0,IF(AR63="G",-1,INDEX(auto_DataFlat_Classification,AQ63,$E$11)))</f>
        <v>2</v>
      </c>
      <c r="AU63" s="301" t="str" cm="1">
        <f t="array" aca="1" ref="AU63" ca="1">IF(AT63&lt;0,"",INDEX(uxbGlobals!$B$133:$B$139,AT63))</f>
        <v xml:space="preserve"> </v>
      </c>
      <c r="AV63" s="80"/>
      <c r="AW63" s="302" t="str" cm="1">
        <f t="array" aca="1" ref="AW63" ca="1">IF(AS63=0,"",IF(AR63="G","--",INDEX(auto_DataFlat_Rank,AQ63,$E$11)))</f>
        <v>42</v>
      </c>
      <c r="AX63" s="122" t="str" cm="1">
        <f t="array" aca="1" ref="AX63" ca="1">IF(AS63=0,"",IF(AR63="G","AVERAGE",INDEX(auto_ddCountry,AR63)))</f>
        <v>Kuwait City</v>
      </c>
      <c r="AY63" s="290" cm="1">
        <f t="array" aca="1" ref="AY63" ca="1">IF(AS63=0,"",INDEX(auto_DataFlat_Score,AQ63,$E$11))</f>
        <v>27.1</v>
      </c>
      <c r="AZ63" s="4"/>
      <c r="BA63" s="49">
        <f t="shared" si="37"/>
        <v>22</v>
      </c>
      <c r="BB63" s="49" cm="1">
        <f t="array" ref="BB63">IF($F63=0,0,INDEX(sys_DataFlat_LU_Grid,BA63,$E63))</f>
        <v>1302</v>
      </c>
      <c r="BC63" s="49" cm="1">
        <f t="array" ref="BC63">IF($F63=0,-1000,CHOOSE($E$14,INDEX(auto_DataFlat_Score,BB63,$E$11),-INDEX(auto_DataFlat_Score,BB63,$E$11),-$D63))</f>
        <v>80.5</v>
      </c>
      <c r="BD63" s="91">
        <f ca="1">RANK(BC63,OFFSET(BC$21,0,0,$E$16+1,1))+COUNTIF(BC$21:BC63,BC63)-1</f>
        <v>7</v>
      </c>
      <c r="BE63" s="91">
        <f t="shared" ca="1" si="51"/>
        <v>14</v>
      </c>
      <c r="BF63" s="91" cm="1">
        <f t="array" aca="1" ref="BF63" ca="1">INDEX(OFFSET(BB$21,0,0,$E$16+1,1),BE63)</f>
        <v>1273</v>
      </c>
      <c r="BG63" s="49" cm="1">
        <f t="array" aca="1" ref="BG63" ca="1">INDEX(OFFSET($E$21,0,0,$E$16+1,1),BE63)</f>
        <v>13</v>
      </c>
      <c r="BH63" s="80" cm="1">
        <f t="array" aca="1" ref="BH63" ca="1">IF(BG63="G",5,INDEX(OFFSET($F$21,0,0,$E$16+1,1),BE63))</f>
        <v>1</v>
      </c>
      <c r="BI63" s="80" cm="1">
        <f t="array" aca="1" ref="BI63" ca="1">IF(BF63=0,0,IF(BG63="G",-1,INDEX(auto_DataFlat_Classification,BF63,$E$11)))</f>
        <v>2</v>
      </c>
      <c r="BJ63" s="301" t="str" cm="1">
        <f t="array" aca="1" ref="BJ63" ca="1">IF(BI63&lt;0,"",INDEX(uxbGlobals!$B$133:$B$139,BI63))</f>
        <v xml:space="preserve"> </v>
      </c>
      <c r="BK63" s="80"/>
      <c r="BL63" s="302" t="str" cm="1">
        <f t="array" aca="1" ref="BL63" ca="1">IF(BH63=0,"",IF(BG63="G","--",INDEX(auto_DataFlat_Rank,BF63,$E$11)))</f>
        <v>=41</v>
      </c>
      <c r="BM63" s="122" t="str" cm="1">
        <f t="array" aca="1" ref="BM63" ca="1">IF(BH63=0,"",IF(BG63="G","AVERAGE",INDEX(auto_ddCountry,BG63)))</f>
        <v>Dhaka</v>
      </c>
      <c r="BN63" s="290" cm="1">
        <f t="array" aca="1" ref="BN63" ca="1">IF(BH63=0,"",INDEX(auto_DataFlat_Score,BF63,$E$11))</f>
        <v>39.700000000000003</v>
      </c>
      <c r="BO63" s="4"/>
      <c r="BP63" s="49">
        <f t="shared" si="39"/>
        <v>47</v>
      </c>
      <c r="BQ63" s="49" cm="1">
        <f t="array" ref="BQ63">IF($F63=0,0,INDEX(sys_DataFlat_LU_Grid,BP63,$E63))</f>
        <v>2802</v>
      </c>
      <c r="BR63" s="49" cm="1">
        <f t="array" ref="BR63">IF($F63=0,-1000,CHOOSE($E$14,INDEX(auto_DataFlat_Score,BQ63,$E$11),-INDEX(auto_DataFlat_Score,BQ63,$E$11),-$D63))</f>
        <v>83.8</v>
      </c>
      <c r="BS63" s="91">
        <f ca="1">RANK(BR63,OFFSET(BR$21,0,0,$E$16+1,1))+COUNTIF(BR$21:BR63,BR63)-1</f>
        <v>9</v>
      </c>
      <c r="BT63" s="91">
        <f t="shared" ca="1" si="52"/>
        <v>29</v>
      </c>
      <c r="BU63" s="91" cm="1">
        <f t="array" aca="1" ref="BU63" ca="1">INDEX(OFFSET(BQ$21,0,0,$E$16+1,1),BT63)</f>
        <v>2788</v>
      </c>
      <c r="BV63" s="49" cm="1">
        <f t="array" aca="1" ref="BV63" ca="1">INDEX(OFFSET($E$21,0,0,$E$16+1,1),BT63)</f>
        <v>28</v>
      </c>
      <c r="BW63" s="80" cm="1">
        <f t="array" aca="1" ref="BW63" ca="1">IF(BV63="G",5,INDEX(OFFSET($F$21,0,0,$E$16+1,1),BT63))</f>
        <v>1</v>
      </c>
      <c r="BX63" s="80" cm="1">
        <f t="array" aca="1" ref="BX63" ca="1">IF(BU63=0,0,IF(BV63="G",-1,INDEX(auto_DataFlat_Classification,BU63,$E$11)))</f>
        <v>3</v>
      </c>
      <c r="BY63" s="301" t="str" cm="1">
        <f t="array" aca="1" ref="BY63" ca="1">IF(BX63&lt;0,"",INDEX(uxbGlobals!$B$133:$B$139,BX63))</f>
        <v xml:space="preserve"> </v>
      </c>
      <c r="BZ63" s="80"/>
      <c r="CA63" s="302" t="str" cm="1">
        <f t="array" aca="1" ref="CA63" ca="1">IF(BW63=0,"",IF(BV63="G","--",INDEX(auto_DataFlat_Rank,BU63,$E$11)))</f>
        <v>42</v>
      </c>
      <c r="CB63" s="122" t="str" cm="1">
        <f t="array" aca="1" ref="CB63" ca="1">IF(BW63=0,"",IF(BV63="G","AVERAGE",INDEX(auto_ddCountry,BV63)))</f>
        <v>Manila</v>
      </c>
      <c r="CC63" s="290" cm="1">
        <f t="array" aca="1" ref="CC63" ca="1">IF(BW63=0,"",INDEX(auto_DataFlat_Score,BU63,$E$11))</f>
        <v>46.3</v>
      </c>
      <c r="CD63" s="4"/>
      <c r="CE63" s="49">
        <f t="shared" si="41"/>
        <v>52</v>
      </c>
      <c r="CF63" s="49" cm="1">
        <f t="array" ref="CF63">IF($F63=0,0,INDEX(sys_DataFlat_LU_Grid,CE63,$E63))</f>
        <v>3102</v>
      </c>
      <c r="CG63" s="49" cm="1">
        <f t="array" ref="CG63">IF($F63=0,-1000,CHOOSE($E$14,INDEX(auto_DataFlat_Score,CF63,$E$11),-INDEX(auto_DataFlat_Score,CF63,$E$11),-$D63))</f>
        <v>75.900000000000006</v>
      </c>
      <c r="CH63" s="91">
        <f ca="1">RANK(CG63,OFFSET(CG$21,0,0,$E$16+1,1))+COUNTIF(CG$21:CG63,CG63)-1</f>
        <v>19</v>
      </c>
      <c r="CI63" s="91">
        <f t="shared" ca="1" si="53"/>
        <v>19</v>
      </c>
      <c r="CJ63" s="91" cm="1">
        <f t="array" aca="1" ref="CJ63" ca="1">INDEX(OFFSET(CF$21,0,0,$E$16+1,1),CI63)</f>
        <v>3078</v>
      </c>
      <c r="CK63" s="49" cm="1">
        <f t="array" aca="1" ref="CK63" ca="1">INDEX(OFFSET($E$21,0,0,$E$16+1,1),CI63)</f>
        <v>18</v>
      </c>
      <c r="CL63" s="80" cm="1">
        <f t="array" aca="1" ref="CL63" ca="1">IF(CK63="G",5,INDEX(OFFSET($F$21,0,0,$E$16+1,1),CI63))</f>
        <v>1</v>
      </c>
      <c r="CM63" s="80" cm="1">
        <f t="array" aca="1" ref="CM63" ca="1">IF(CJ63=0,0,IF(CK63="G",-1,INDEX(auto_DataFlat_Classification,CJ63,$E$11)))</f>
        <v>3</v>
      </c>
      <c r="CN63" s="301" t="str" cm="1">
        <f t="array" aca="1" ref="CN63" ca="1">IF(CM63&lt;0,"",INDEX(uxbGlobals!$B$133:$B$139,CM63))</f>
        <v xml:space="preserve"> </v>
      </c>
      <c r="CO63" s="80"/>
      <c r="CP63" s="302" t="str" cm="1">
        <f t="array" aca="1" ref="CP63" ca="1">IF(CL63=0,"",IF(CK63="G","--",INDEX(auto_DataFlat_Rank,CJ63,$E$11)))</f>
        <v>=41</v>
      </c>
      <c r="CQ63" s="122" t="str" cm="1">
        <f t="array" aca="1" ref="CQ63" ca="1">IF(CL63=0,"",IF(CK63="G","AVERAGE",INDEX(auto_ddCountry,CK63)))</f>
        <v>Istanbul</v>
      </c>
      <c r="CR63" s="290" cm="1">
        <f t="array" aca="1" ref="CR63" ca="1">IF(CL63=0,"",INDEX(auto_DataFlat_Score,CJ63,$E$11))</f>
        <v>53.7</v>
      </c>
      <c r="CS63" s="4"/>
      <c r="CT63" s="49">
        <f t="shared" si="43"/>
        <v>-1</v>
      </c>
      <c r="CU63" s="49" t="e" cm="1">
        <f t="array" ref="CU63">IF($F63=0,0,INDEX(sys_DataFlat_LU_Grid,CT63,$E63))</f>
        <v>#VALUE!</v>
      </c>
      <c r="CV63" s="49" t="e" cm="1">
        <f t="array" ref="CV63">IF($F63=0,-1000,CHOOSE($E$14,INDEX(auto_DataFlat_Score,CU63,$E$11),-INDEX(auto_DataFlat_Score,CU63,$E$11),-$D63))</f>
        <v>#VALUE!</v>
      </c>
      <c r="CW63" s="91" t="e">
        <f ca="1">RANK(CV63,OFFSET(CV$21,0,0,$E$16+1,1))+COUNTIF(CV$21:CV63,CV63)-1</f>
        <v>#VALUE!</v>
      </c>
      <c r="CX63" s="91" t="e">
        <f t="shared" ca="1" si="47"/>
        <v>#N/A</v>
      </c>
      <c r="CY63" s="91" t="e" cm="1">
        <f t="array" aca="1" ref="CY63" ca="1">INDEX(OFFSET(CU$21,0,0,$E$16+1,1),CX63)</f>
        <v>#N/A</v>
      </c>
      <c r="CZ63" s="49" t="e" cm="1">
        <f t="array" aca="1" ref="CZ63" ca="1">INDEX(OFFSET($E$21,0,0,$E$16+1,1),CX63)</f>
        <v>#N/A</v>
      </c>
      <c r="DA63" s="80" t="e" cm="1">
        <f t="array" aca="1" ref="DA63" ca="1">IF(CZ63="G",5,INDEX(OFFSET($F$21,0,0,$E$16+1,1),CX63))</f>
        <v>#N/A</v>
      </c>
      <c r="DB63" s="80" t="e" cm="1">
        <f t="array" aca="1" ref="DB63" ca="1">IF(CY63=0,0,IF(CZ63="G",-1,INDEX(auto_DataFlat_Classification,CY63,$E$11)))</f>
        <v>#N/A</v>
      </c>
      <c r="DC63" s="301" t="e" cm="1">
        <f t="array" aca="1" ref="DC63" ca="1">IF(DB63&lt;0,"",INDEX(uxbGlobals!$B$133:$B$139,DB63))</f>
        <v>#N/A</v>
      </c>
      <c r="DD63" s="80"/>
      <c r="DE63" s="302" t="e" cm="1">
        <f t="array" aca="1" ref="DE63" ca="1">IF(DA63=0,"",IF(CZ63="G","--",INDEX(auto_DataFlat_Rank,CY63,$E$11)))</f>
        <v>#N/A</v>
      </c>
      <c r="DF63" s="122" t="e" cm="1">
        <f t="array" aca="1" ref="DF63" ca="1">IF(DA63=0,"",IF(CZ63="G","AVERAGE",INDEX(auto_ddCountry,CZ63)))</f>
        <v>#N/A</v>
      </c>
      <c r="DG63" s="290" t="e" cm="1">
        <f t="array" aca="1" ref="DG63" ca="1">IF(DA63=0,"",INDEX(auto_DataFlat_Score,CY63,$E$11))</f>
        <v>#N/A</v>
      </c>
      <c r="DH63" s="4"/>
      <c r="DI63" s="49">
        <f t="shared" si="44"/>
        <v>-1</v>
      </c>
      <c r="DJ63" s="49" t="e" cm="1">
        <f t="array" ref="DJ63">IF($F63=0,0,INDEX(sys_DataFlat_LU_Grid,DI63,$E63))</f>
        <v>#VALUE!</v>
      </c>
      <c r="DK63" s="49" t="e" cm="1">
        <f t="array" ref="DK63">IF($F63=0,-1000,CHOOSE($E$14,INDEX(auto_DataFlat_Score,DJ63,$E$11),-INDEX(auto_DataFlat_Score,DJ63,$E$11),-$D63))</f>
        <v>#VALUE!</v>
      </c>
      <c r="DL63" s="91" t="e">
        <f ca="1">RANK(DK63,OFFSET(DK$21,0,0,$E$16+1,1))+COUNTIF(DK$21:DK63,DK63)-1</f>
        <v>#VALUE!</v>
      </c>
      <c r="DM63" s="91" t="e">
        <f t="shared" ca="1" si="28"/>
        <v>#N/A</v>
      </c>
      <c r="DN63" s="91" t="e" cm="1">
        <f t="array" aca="1" ref="DN63" ca="1">INDEX(OFFSET(DJ$21,0,0,$E$16+1,1),DM63)</f>
        <v>#N/A</v>
      </c>
      <c r="DO63" s="49" t="e" cm="1">
        <f t="array" aca="1" ref="DO63" ca="1">INDEX(OFFSET($E$21,0,0,$E$16+1,1),DM63)</f>
        <v>#N/A</v>
      </c>
      <c r="DP63" s="80" t="e" cm="1">
        <f t="array" aca="1" ref="DP63" ca="1">IF(DO63="G",5,INDEX(OFFSET($F$21,0,0,$E$16+1,1),DM63))</f>
        <v>#N/A</v>
      </c>
      <c r="DQ63" s="80" t="e" cm="1">
        <f t="array" aca="1" ref="DQ63" ca="1">IF(DN63=0,0,IF(DO63="G",-1,INDEX(auto_DataFlat_Classification,DN63,$E$11)))</f>
        <v>#N/A</v>
      </c>
      <c r="DR63" s="301" t="e" cm="1">
        <f t="array" aca="1" ref="DR63" ca="1">IF(DQ63&lt;0,"",INDEX(uxbGlobals!$B$133:$B$139,DQ63))</f>
        <v>#N/A</v>
      </c>
      <c r="DS63" s="80"/>
      <c r="DT63" s="302" t="e" cm="1">
        <f t="array" aca="1" ref="DT63" ca="1">IF(DP63=0,"",IF(DO63="G","--",INDEX(auto_DataFlat_Rank,DN63,$E$11)))</f>
        <v>#N/A</v>
      </c>
      <c r="DU63" s="122" t="e" cm="1">
        <f t="array" aca="1" ref="DU63" ca="1">IF(DP63=0,"",IF(DO63="G","AVERAGE",INDEX(auto_ddCountry,DO63)))</f>
        <v>#N/A</v>
      </c>
      <c r="DV63" s="290" t="e" cm="1">
        <f t="array" aca="1" ref="DV63" ca="1">IF(DP63=0,"",INDEX(auto_DataFlat_Score,DN63,$E$11))</f>
        <v>#N/A</v>
      </c>
      <c r="DW63" s="4"/>
      <c r="DX63" s="49">
        <f t="shared" si="45"/>
        <v>-1</v>
      </c>
      <c r="DY63" s="49" t="e" cm="1">
        <f t="array" ref="DY63">IF($F63=0,0,INDEX(sys_DataFlat_LU_Grid,DX63,$E63))</f>
        <v>#VALUE!</v>
      </c>
      <c r="DZ63" s="49" t="e" cm="1">
        <f t="array" ref="DZ63">IF($F63=0,-1000,CHOOSE($E$14,INDEX(auto_DataFlat_Score,DY63,$E$11),-INDEX(auto_DataFlat_Score,DY63,$E$11),-$D63))</f>
        <v>#VALUE!</v>
      </c>
      <c r="EA63" s="91" t="e">
        <f ca="1">RANK(DZ63,OFFSET(DZ$21,0,0,$E$16+1,1))+COUNTIF(DZ$21:DZ63,DZ63)-1</f>
        <v>#VALUE!</v>
      </c>
      <c r="EB63" s="91" t="e">
        <f t="shared" ca="1" si="29"/>
        <v>#N/A</v>
      </c>
      <c r="EC63" s="91" t="e" cm="1">
        <f t="array" aca="1" ref="EC63" ca="1">INDEX(OFFSET(DY$21,0,0,$E$16+1,1),EB63)</f>
        <v>#N/A</v>
      </c>
      <c r="ED63" s="49" t="e" cm="1">
        <f t="array" aca="1" ref="ED63" ca="1">INDEX(OFFSET($E$21,0,0,$E$16+1,1),EB63)</f>
        <v>#N/A</v>
      </c>
      <c r="EE63" s="80" t="e" cm="1">
        <f t="array" aca="1" ref="EE63" ca="1">IF(ED63="G",5,INDEX(OFFSET($F$21,0,0,$E$16+1,1),EB63))</f>
        <v>#N/A</v>
      </c>
      <c r="EF63" s="80" t="e" cm="1">
        <f t="array" aca="1" ref="EF63" ca="1">IF(EC63=0,0,IF(ED63="G",-1,INDEX(auto_DataFlat_Classification,EC63,$E$11)))</f>
        <v>#N/A</v>
      </c>
      <c r="EG63" s="301" t="e" cm="1">
        <f t="array" aca="1" ref="EG63" ca="1">IF(EF63&lt;0,"",INDEX(uxbGlobals!$B$133:$B$139,EF63))</f>
        <v>#N/A</v>
      </c>
      <c r="EH63" s="80"/>
      <c r="EI63" s="302" t="e" cm="1">
        <f t="array" aca="1" ref="EI63" ca="1">IF(EE63=0,"",IF(ED63="G","--",INDEX(auto_DataFlat_Rank,EC63,$E$11)))</f>
        <v>#N/A</v>
      </c>
      <c r="EJ63" s="122" t="e" cm="1">
        <f t="array" aca="1" ref="EJ63" ca="1">IF(EE63=0,"",IF(ED63="G","AVERAGE",INDEX(auto_ddCountry,ED63)))</f>
        <v>#N/A</v>
      </c>
      <c r="EK63" s="290" t="e" cm="1">
        <f t="array" aca="1" ref="EK63" ca="1">IF(EE63=0,"",INDEX(auto_DataFlat_Score,EC63,$E$11))</f>
        <v>#N/A</v>
      </c>
      <c r="EL63" s="4"/>
      <c r="EM63" s="49">
        <f t="shared" si="46"/>
        <v>-1</v>
      </c>
      <c r="EN63" s="49" t="e" cm="1">
        <f t="array" ref="EN63">IF($F63=0,0,INDEX(sys_DataFlat_LU_Grid,EM63,$E63))</f>
        <v>#VALUE!</v>
      </c>
      <c r="EO63" s="49" t="e" cm="1">
        <f t="array" ref="EO63">IF($F63=0,-1000,CHOOSE($E$14,INDEX(auto_DataFlat_Score,EN63,$E$11),-INDEX(auto_DataFlat_Score,EN63,$E$11),-$D63))</f>
        <v>#VALUE!</v>
      </c>
      <c r="EP63" s="91" t="e">
        <f ca="1">RANK(EO63,OFFSET(EO$21,0,0,$E$16+1,1))+COUNTIF(EO$21:EO63,EO63)-1</f>
        <v>#VALUE!</v>
      </c>
      <c r="EQ63" s="91" t="e">
        <f t="shared" ca="1" si="30"/>
        <v>#N/A</v>
      </c>
      <c r="ER63" s="91" t="e" cm="1">
        <f t="array" aca="1" ref="ER63" ca="1">INDEX(OFFSET(EN$21,0,0,$E$16+1,1),EQ63)</f>
        <v>#N/A</v>
      </c>
      <c r="ES63" s="49" t="e" cm="1">
        <f t="array" aca="1" ref="ES63" ca="1">INDEX(OFFSET($E$21,0,0,$E$16+1,1),EQ63)</f>
        <v>#N/A</v>
      </c>
      <c r="ET63" s="80" t="e" cm="1">
        <f t="array" aca="1" ref="ET63" ca="1">IF(ES63="G",5,INDEX(OFFSET($F$21,0,0,$E$16+1,1),EQ63))</f>
        <v>#N/A</v>
      </c>
      <c r="EU63" s="80" t="e" cm="1">
        <f t="array" aca="1" ref="EU63" ca="1">IF(ER63=0,0,IF(ES63="G",-1,INDEX(auto_DataFlat_Classification,ER63,$E$11)))</f>
        <v>#N/A</v>
      </c>
      <c r="EV63" s="301" t="e" cm="1">
        <f t="array" aca="1" ref="EV63" ca="1">IF(EU63&lt;0,"",INDEX(uxbGlobals!$B$133:$B$139,EU63))</f>
        <v>#N/A</v>
      </c>
      <c r="EW63" s="80"/>
      <c r="EX63" s="302" t="e" cm="1">
        <f t="array" aca="1" ref="EX63" ca="1">IF(ET63=0,"",IF(ES63="G","--",INDEX(auto_DataFlat_Rank,ER63,$E$11)))</f>
        <v>#N/A</v>
      </c>
      <c r="EY63" s="122" t="e" cm="1">
        <f t="array" aca="1" ref="EY63" ca="1">IF(ET63=0,"",IF(ES63="G","AVERAGE",INDEX(auto_ddCountry,ES63)))</f>
        <v>#N/A</v>
      </c>
      <c r="EZ63" s="290" t="e" cm="1">
        <f t="array" aca="1" ref="EZ63" ca="1">IF(ET63=0,"",INDEX(auto_DataFlat_Score,ER63,$E$11))</f>
        <v>#N/A</v>
      </c>
    </row>
    <row r="64" spans="1:156" ht="17.149999999999999" customHeight="1" x14ac:dyDescent="0.4">
      <c r="A64" s="4"/>
      <c r="B64" s="4"/>
      <c r="C64" s="4"/>
      <c r="D64" s="26">
        <v>44</v>
      </c>
      <c r="E64" s="49">
        <f>tblCountries!M45</f>
        <v>43</v>
      </c>
      <c r="F64" s="114" cm="1">
        <f t="array" ref="F64">IF(E64=0,0,INDEX(auto_Country_Status,E64))</f>
        <v>1</v>
      </c>
      <c r="G64" s="4"/>
      <c r="H64" s="49">
        <f t="shared" si="31"/>
        <v>1</v>
      </c>
      <c r="I64" s="49" cm="1">
        <f t="array" ref="I64">IF($F64=0,0,INDEX(sys_DataFlat_LU_Grid,H64,$E64))</f>
        <v>43</v>
      </c>
      <c r="J64" s="49" cm="1">
        <f t="array" ref="J64">IF($F64=0,-1000,CHOOSE($E$14,INDEX(auto_DataFlat_Score,I64,$E$11),-INDEX(auto_DataFlat_Score,I64,$E$11),-$D64))</f>
        <v>65.3</v>
      </c>
      <c r="K64" s="91">
        <f ca="1">RANK(J64,OFFSET(J$21,0,0,$E$16+1,1))+COUNTIF(J$21:J64,J64)-1</f>
        <v>24</v>
      </c>
      <c r="L64" s="91">
        <f t="shared" ca="1" si="48"/>
        <v>22</v>
      </c>
      <c r="M64" s="91" cm="1">
        <f t="array" aca="1" ref="M64" ca="1">INDEX(OFFSET(I$21,0,0,$E$16+1,1),L64)</f>
        <v>21</v>
      </c>
      <c r="N64" s="49" cm="1">
        <f t="array" aca="1" ref="N64" ca="1">INDEX(OFFSET($E$21,0,0,$E$16+1,1),L64)</f>
        <v>21</v>
      </c>
      <c r="O64" s="80" cm="1">
        <f t="array" aca="1" ref="O64" ca="1">IF(N64="G",5,INDEX(OFFSET($F$21,0,0,$E$16+1,1),L64))</f>
        <v>1</v>
      </c>
      <c r="P64" s="80" cm="1">
        <f t="array" aca="1" ref="P64" ca="1">IF(M64=0,0,IF(N64="G",-1,INDEX(auto_DataFlat_Classification,M64,$E$11)))</f>
        <v>3</v>
      </c>
      <c r="Q64" s="301" t="str" cm="1">
        <f t="array" aca="1" ref="Q64" ca="1">IF(P64&lt;0,"",INDEX(uxbGlobals!$B$133:$B$139,P64))</f>
        <v xml:space="preserve"> </v>
      </c>
      <c r="R64" s="80"/>
      <c r="S64" s="302" t="str" cm="1">
        <f t="array" aca="1" ref="S64" ca="1">IF(O64=0,"",IF(N64="G","--",INDEX(auto_DataFlat_Rank,M64,$E$11)))</f>
        <v>43</v>
      </c>
      <c r="T64" s="122" t="str" cm="1">
        <f t="array" aca="1" ref="T64" ca="1">IF(O64=0,"",IF(N64="G"," AVERAGE",INDEX(auto_ddCountry,N64)))</f>
        <v>Karachi</v>
      </c>
      <c r="U64" s="290" cm="1">
        <f t="array" aca="1" ref="U64" ca="1">IF(O64=0,"",INDEX(auto_DataFlat_Score,M64,$E$11))</f>
        <v>44.3</v>
      </c>
      <c r="V64" s="4"/>
      <c r="W64" s="49">
        <f t="shared" si="33"/>
        <v>2</v>
      </c>
      <c r="X64" s="49" cm="1">
        <f t="array" ref="X64">IF($F64=0,0,INDEX(sys_DataFlat_LU_Grid,W64,$E64))</f>
        <v>103</v>
      </c>
      <c r="Y64" s="49" cm="1">
        <f t="array" ref="Y64">IF($F64=0,-1000,CHOOSE($E$14,INDEX(auto_DataFlat_Score,X64,$E$11),-INDEX(auto_DataFlat_Score,X64,$E$11),-$D64))</f>
        <v>54.3</v>
      </c>
      <c r="Z64" s="91">
        <f ca="1">RANK(Y64,OFFSET(Y$21,0,0,$E$16+1,1))+COUNTIF(Y$21:Y64,Y64)-1</f>
        <v>41</v>
      </c>
      <c r="AA64" s="91">
        <f t="shared" ca="1" si="49"/>
        <v>51</v>
      </c>
      <c r="AB64" s="91" cm="1">
        <f t="array" aca="1" ref="AB64" ca="1">INDEX(OFFSET(X$21,0,0,$E$16+1,1),AA64)</f>
        <v>110</v>
      </c>
      <c r="AC64" s="49" cm="1">
        <f t="array" aca="1" ref="AC64" ca="1">INDEX(OFFSET($E$21,0,0,$E$16+1,1),AA64)</f>
        <v>50</v>
      </c>
      <c r="AD64" s="80" cm="1">
        <f t="array" aca="1" ref="AD64" ca="1">IF(AC64="G",5,INDEX(OFFSET($F$21,0,0,$E$16+1,1),AA64))</f>
        <v>1</v>
      </c>
      <c r="AE64" s="80" cm="1">
        <f t="array" aca="1" ref="AE64" ca="1">IF(AB64=0,0,IF(AC64="G",-1,INDEX(auto_DataFlat_Classification,AB64,$E$11)))</f>
        <v>3</v>
      </c>
      <c r="AF64" s="301" t="str" cm="1">
        <f t="array" aca="1" ref="AF64" ca="1">IF(AE64&lt;0,"",INDEX(uxbGlobals!$B$133:$B$139,AE64))</f>
        <v xml:space="preserve"> </v>
      </c>
      <c r="AG64" s="80"/>
      <c r="AH64" s="302" t="str" cm="1">
        <f t="array" aca="1" ref="AH64" ca="1">IF(AD64=0,"",IF(AC64="G","--",INDEX(auto_DataFlat_Rank,AB64,$E$11)))</f>
        <v>43</v>
      </c>
      <c r="AI64" s="122" t="str" cm="1">
        <f t="array" aca="1" ref="AI64" ca="1">IF(AD64=0,"",IF(AC64="G","AVERAGE",INDEX(auto_ddCountry,AC64)))</f>
        <v>Yangon</v>
      </c>
      <c r="AJ64" s="290" cm="1">
        <f t="array" aca="1" ref="AJ64" ca="1">IF(AD64=0,"",INDEX(auto_DataFlat_Score,AB64,$E$11))</f>
        <v>51.1</v>
      </c>
      <c r="AK64" s="4"/>
      <c r="AL64" s="49">
        <f t="shared" si="35"/>
        <v>14</v>
      </c>
      <c r="AM64" s="49" cm="1">
        <f t="array" ref="AM64">IF($F64=0,0,INDEX(sys_DataFlat_LU_Grid,AL64,$E64))</f>
        <v>823</v>
      </c>
      <c r="AN64" s="49" cm="1">
        <f t="array" ref="AN64">IF($F64=0,-1000,CHOOSE($E$14,INDEX(auto_DataFlat_Score,AM64,$E$11),-INDEX(auto_DataFlat_Score,AM64,$E$11),-$D64))</f>
        <v>46.5</v>
      </c>
      <c r="AO64" s="91">
        <f ca="1">RANK(AN64,OFFSET(AN$21,0,0,$E$16+1,1))+COUNTIF(AN$21:AN64,AN64)-1</f>
        <v>30</v>
      </c>
      <c r="AP64" s="91">
        <f t="shared" ca="1" si="50"/>
        <v>38</v>
      </c>
      <c r="AQ64" s="91" cm="1">
        <f t="array" aca="1" ref="AQ64" ca="1">INDEX(OFFSET(AM$21,0,0,$E$16+1,1),AP64)</f>
        <v>817</v>
      </c>
      <c r="AR64" s="49" cm="1">
        <f t="array" aca="1" ref="AR64" ca="1">INDEX(OFFSET($E$21,0,0,$E$16+1,1),AP64)</f>
        <v>37</v>
      </c>
      <c r="AS64" s="80" cm="1">
        <f t="array" aca="1" ref="AS64" ca="1">IF(AR64="G",5,INDEX(OFFSET($F$21,0,0,$E$16+1,1),AP64))</f>
        <v>1</v>
      </c>
      <c r="AT64" s="80" cm="1">
        <f t="array" aca="1" ref="AT64" ca="1">IF(AQ64=0,0,IF(AR64="G",-1,INDEX(auto_DataFlat_Classification,AQ64,$E$11)))</f>
        <v>2</v>
      </c>
      <c r="AU64" s="301" t="str" cm="1">
        <f t="array" aca="1" ref="AU64" ca="1">IF(AT64&lt;0,"",INDEX(uxbGlobals!$B$133:$B$139,AT64))</f>
        <v xml:space="preserve"> </v>
      </c>
      <c r="AV64" s="80"/>
      <c r="AW64" s="302" t="str" cm="1">
        <f t="array" aca="1" ref="AW64" ca="1">IF(AS64=0,"",IF(AR64="G","--",INDEX(auto_DataFlat_Rank,AQ64,$E$11)))</f>
        <v>43</v>
      </c>
      <c r="AX64" s="122" t="str" cm="1">
        <f t="array" aca="1" ref="AX64" ca="1">IF(AS64=0,"",IF(AR64="G","AVERAGE",INDEX(auto_ddCountry,AR64)))</f>
        <v>Phnom Penh</v>
      </c>
      <c r="AY64" s="290" cm="1">
        <f t="array" aca="1" ref="AY64" ca="1">IF(AS64=0,"",INDEX(auto_DataFlat_Score,AQ64,$E$11))</f>
        <v>27</v>
      </c>
      <c r="AZ64" s="4"/>
      <c r="BA64" s="49">
        <f t="shared" si="37"/>
        <v>22</v>
      </c>
      <c r="BB64" s="49" cm="1">
        <f t="array" ref="BB64">IF($F64=0,0,INDEX(sys_DataFlat_LU_Grid,BA64,$E64))</f>
        <v>1303</v>
      </c>
      <c r="BC64" s="49" cm="1">
        <f t="array" ref="BC64">IF($F64=0,-1000,CHOOSE($E$14,INDEX(auto_DataFlat_Score,BB64,$E$11),-INDEX(auto_DataFlat_Score,BB64,$E$11),-$D64))</f>
        <v>77.5</v>
      </c>
      <c r="BD64" s="91">
        <f ca="1">RANK(BC64,OFFSET(BC$21,0,0,$E$16+1,1))+COUNTIF(BC$21:BC64,BC64)-1</f>
        <v>9</v>
      </c>
      <c r="BE64" s="91">
        <f t="shared" ca="1" si="51"/>
        <v>3</v>
      </c>
      <c r="BF64" s="91" cm="1">
        <f t="array" aca="1" ref="BF64" ca="1">INDEX(OFFSET(BB$21,0,0,$E$16+1,1),BE64)</f>
        <v>1262</v>
      </c>
      <c r="BG64" s="49" cm="1">
        <f t="array" aca="1" ref="BG64" ca="1">INDEX(OFFSET($E$21,0,0,$E$16+1,1),BE64)</f>
        <v>2</v>
      </c>
      <c r="BH64" s="80" cm="1">
        <f t="array" aca="1" ref="BH64" ca="1">IF(BG64="G",5,INDEX(OFFSET($F$21,0,0,$E$16+1,1),BE64))</f>
        <v>1</v>
      </c>
      <c r="BI64" s="80" cm="1">
        <f t="array" aca="1" ref="BI64" ca="1">IF(BF64=0,0,IF(BG64="G",-1,INDEX(auto_DataFlat_Classification,BF64,$E$11)))</f>
        <v>2</v>
      </c>
      <c r="BJ64" s="301" t="str" cm="1">
        <f t="array" aca="1" ref="BJ64" ca="1">IF(BI64&lt;0,"",INDEX(uxbGlobals!$B$133:$B$139,BI64))</f>
        <v xml:space="preserve"> </v>
      </c>
      <c r="BK64" s="80"/>
      <c r="BL64" s="302" t="str" cm="1">
        <f t="array" aca="1" ref="BL64" ca="1">IF(BH64=0,"",IF(BG64="G","--",INDEX(auto_DataFlat_Rank,BF64,$E$11)))</f>
        <v>43</v>
      </c>
      <c r="BM64" s="122" t="str" cm="1">
        <f t="array" aca="1" ref="BM64" ca="1">IF(BH64=0,"",IF(BG64="G","AVERAGE",INDEX(auto_ddCountry,BG64)))</f>
        <v>Algiers</v>
      </c>
      <c r="BN64" s="290" cm="1">
        <f t="array" aca="1" ref="BN64" ca="1">IF(BH64=0,"",INDEX(auto_DataFlat_Score,BF64,$E$11))</f>
        <v>39.6</v>
      </c>
      <c r="BO64" s="4"/>
      <c r="BP64" s="49">
        <f t="shared" si="39"/>
        <v>47</v>
      </c>
      <c r="BQ64" s="49" cm="1">
        <f t="array" ref="BQ64">IF($F64=0,0,INDEX(sys_DataFlat_LU_Grid,BP64,$E64))</f>
        <v>2803</v>
      </c>
      <c r="BR64" s="49" cm="1">
        <f t="array" ref="BR64">IF($F64=0,-1000,CHOOSE($E$14,INDEX(auto_DataFlat_Score,BQ64,$E$11),-INDEX(auto_DataFlat_Score,BQ64,$E$11),-$D64))</f>
        <v>50.1</v>
      </c>
      <c r="BS64" s="91">
        <f ca="1">RANK(BR64,OFFSET(BR$21,0,0,$E$16+1,1))+COUNTIF(BR$21:BR64,BR64)-1</f>
        <v>36</v>
      </c>
      <c r="BT64" s="91">
        <f t="shared" ca="1" si="52"/>
        <v>15</v>
      </c>
      <c r="BU64" s="91" cm="1">
        <f t="array" aca="1" ref="BU64" ca="1">INDEX(OFFSET(BQ$21,0,0,$E$16+1,1),BT64)</f>
        <v>2774</v>
      </c>
      <c r="BV64" s="49" cm="1">
        <f t="array" aca="1" ref="BV64" ca="1">INDEX(OFFSET($E$21,0,0,$E$16+1,1),BT64)</f>
        <v>14</v>
      </c>
      <c r="BW64" s="80" cm="1">
        <f t="array" aca="1" ref="BW64" ca="1">IF(BV64="G",5,INDEX(OFFSET($F$21,0,0,$E$16+1,1),BT64))</f>
        <v>1</v>
      </c>
      <c r="BX64" s="80" cm="1">
        <f t="array" aca="1" ref="BX64" ca="1">IF(BU64=0,0,IF(BV64="G",-1,INDEX(auto_DataFlat_Classification,BU64,$E$11)))</f>
        <v>3</v>
      </c>
      <c r="BY64" s="301" t="str" cm="1">
        <f t="array" aca="1" ref="BY64" ca="1">IF(BX64&lt;0,"",INDEX(uxbGlobals!$B$133:$B$139,BX64))</f>
        <v xml:space="preserve"> </v>
      </c>
      <c r="BZ64" s="80"/>
      <c r="CA64" s="302" t="str" cm="1">
        <f t="array" aca="1" ref="CA64" ca="1">IF(BW64=0,"",IF(BV64="G","--",INDEX(auto_DataFlat_Rank,BU64,$E$11)))</f>
        <v>43</v>
      </c>
      <c r="CB64" s="122" t="str" cm="1">
        <f t="array" aca="1" ref="CB64" ca="1">IF(BW64=0,"",IF(BV64="G","AVERAGE",INDEX(auto_ddCountry,BV64)))</f>
        <v>Dubai</v>
      </c>
      <c r="CC64" s="290" cm="1">
        <f t="array" aca="1" ref="CC64" ca="1">IF(BW64=0,"",INDEX(auto_DataFlat_Score,BU64,$E$11))</f>
        <v>44.8</v>
      </c>
      <c r="CD64" s="4"/>
      <c r="CE64" s="49">
        <f t="shared" si="41"/>
        <v>52</v>
      </c>
      <c r="CF64" s="49" cm="1">
        <f t="array" ref="CF64">IF($F64=0,0,INDEX(sys_DataFlat_LU_Grid,CE64,$E64))</f>
        <v>3103</v>
      </c>
      <c r="CG64" s="49" cm="1">
        <f t="array" ref="CG64">IF($F64=0,-1000,CHOOSE($E$14,INDEX(auto_DataFlat_Score,CF64,$E$11),-INDEX(auto_DataFlat_Score,CF64,$E$11),-$D64))</f>
        <v>77.8</v>
      </c>
      <c r="CH64" s="91">
        <f ca="1">RANK(CG64,OFFSET(CG$21,0,0,$E$16+1,1))+COUNTIF(CG$21:CG64,CG64)-1</f>
        <v>15</v>
      </c>
      <c r="CI64" s="91">
        <f t="shared" ca="1" si="53"/>
        <v>21</v>
      </c>
      <c r="CJ64" s="91" cm="1">
        <f t="array" aca="1" ref="CJ64" ca="1">INDEX(OFFSET(CF$21,0,0,$E$16+1,1),CI64)</f>
        <v>3080</v>
      </c>
      <c r="CK64" s="49" cm="1">
        <f t="array" aca="1" ref="CK64" ca="1">INDEX(OFFSET($E$21,0,0,$E$16+1,1),CI64)</f>
        <v>20</v>
      </c>
      <c r="CL64" s="80" cm="1">
        <f t="array" aca="1" ref="CL64" ca="1">IF(CK64="G",5,INDEX(OFFSET($F$21,0,0,$E$16+1,1),CI64))</f>
        <v>1</v>
      </c>
      <c r="CM64" s="80" cm="1">
        <f t="array" aca="1" ref="CM64" ca="1">IF(CJ64=0,0,IF(CK64="G",-1,INDEX(auto_DataFlat_Classification,CJ64,$E$11)))</f>
        <v>3</v>
      </c>
      <c r="CN64" s="301" t="str" cm="1">
        <f t="array" aca="1" ref="CN64" ca="1">IF(CM64&lt;0,"",INDEX(uxbGlobals!$B$133:$B$139,CM64))</f>
        <v xml:space="preserve"> </v>
      </c>
      <c r="CO64" s="80"/>
      <c r="CP64" s="302" t="str" cm="1">
        <f t="array" aca="1" ref="CP64" ca="1">IF(CL64=0,"",IF(CK64="G","--",INDEX(auto_DataFlat_Rank,CJ64,$E$11)))</f>
        <v>=41</v>
      </c>
      <c r="CQ64" s="122" t="str" cm="1">
        <f t="array" aca="1" ref="CQ64" ca="1">IF(CL64=0,"",IF(CK64="G","AVERAGE",INDEX(auto_ddCountry,CK64)))</f>
        <v>Johannesburg</v>
      </c>
      <c r="CR64" s="290" cm="1">
        <f t="array" aca="1" ref="CR64" ca="1">IF(CL64=0,"",INDEX(auto_DataFlat_Score,CJ64,$E$11))</f>
        <v>53.7</v>
      </c>
      <c r="CS64" s="4"/>
      <c r="CT64" s="49">
        <f t="shared" si="43"/>
        <v>-1</v>
      </c>
      <c r="CU64" s="49" t="e" cm="1">
        <f t="array" ref="CU64">IF($F64=0,0,INDEX(sys_DataFlat_LU_Grid,CT64,$E64))</f>
        <v>#VALUE!</v>
      </c>
      <c r="CV64" s="49" t="e" cm="1">
        <f t="array" ref="CV64">IF($F64=0,-1000,CHOOSE($E$14,INDEX(auto_DataFlat_Score,CU64,$E$11),-INDEX(auto_DataFlat_Score,CU64,$E$11),-$D64))</f>
        <v>#VALUE!</v>
      </c>
      <c r="CW64" s="91" t="e">
        <f ca="1">RANK(CV64,OFFSET(CV$21,0,0,$E$16+1,1))+COUNTIF(CV$21:CV64,CV64)-1</f>
        <v>#VALUE!</v>
      </c>
      <c r="CX64" s="91" t="e">
        <f t="shared" ca="1" si="47"/>
        <v>#N/A</v>
      </c>
      <c r="CY64" s="91" t="e" cm="1">
        <f t="array" aca="1" ref="CY64" ca="1">INDEX(OFFSET(CU$21,0,0,$E$16+1,1),CX64)</f>
        <v>#N/A</v>
      </c>
      <c r="CZ64" s="49" t="e" cm="1">
        <f t="array" aca="1" ref="CZ64" ca="1">INDEX(OFFSET($E$21,0,0,$E$16+1,1),CX64)</f>
        <v>#N/A</v>
      </c>
      <c r="DA64" s="80" t="e" cm="1">
        <f t="array" aca="1" ref="DA64" ca="1">IF(CZ64="G",5,INDEX(OFFSET($F$21,0,0,$E$16+1,1),CX64))</f>
        <v>#N/A</v>
      </c>
      <c r="DB64" s="80" t="e" cm="1">
        <f t="array" aca="1" ref="DB64" ca="1">IF(CY64=0,0,IF(CZ64="G",-1,INDEX(auto_DataFlat_Classification,CY64,$E$11)))</f>
        <v>#N/A</v>
      </c>
      <c r="DC64" s="301" t="e" cm="1">
        <f t="array" aca="1" ref="DC64" ca="1">IF(DB64&lt;0,"",INDEX(uxbGlobals!$B$133:$B$139,DB64))</f>
        <v>#N/A</v>
      </c>
      <c r="DD64" s="80"/>
      <c r="DE64" s="302" t="e" cm="1">
        <f t="array" aca="1" ref="DE64" ca="1">IF(DA64=0,"",IF(CZ64="G","--",INDEX(auto_DataFlat_Rank,CY64,$E$11)))</f>
        <v>#N/A</v>
      </c>
      <c r="DF64" s="122" t="e" cm="1">
        <f t="array" aca="1" ref="DF64" ca="1">IF(DA64=0,"",IF(CZ64="G","AVERAGE",INDEX(auto_ddCountry,CZ64)))</f>
        <v>#N/A</v>
      </c>
      <c r="DG64" s="290" t="e" cm="1">
        <f t="array" aca="1" ref="DG64" ca="1">IF(DA64=0,"",INDEX(auto_DataFlat_Score,CY64,$E$11))</f>
        <v>#N/A</v>
      </c>
      <c r="DH64" s="4"/>
      <c r="DI64" s="49">
        <f t="shared" si="44"/>
        <v>-1</v>
      </c>
      <c r="DJ64" s="49" t="e" cm="1">
        <f t="array" ref="DJ64">IF($F64=0,0,INDEX(sys_DataFlat_LU_Grid,DI64,$E64))</f>
        <v>#VALUE!</v>
      </c>
      <c r="DK64" s="49" t="e" cm="1">
        <f t="array" ref="DK64">IF($F64=0,-1000,CHOOSE($E$14,INDEX(auto_DataFlat_Score,DJ64,$E$11),-INDEX(auto_DataFlat_Score,DJ64,$E$11),-$D64))</f>
        <v>#VALUE!</v>
      </c>
      <c r="DL64" s="91" t="e">
        <f ca="1">RANK(DK64,OFFSET(DK$21,0,0,$E$16+1,1))+COUNTIF(DK$21:DK64,DK64)-1</f>
        <v>#VALUE!</v>
      </c>
      <c r="DM64" s="91" t="e">
        <f t="shared" ca="1" si="28"/>
        <v>#N/A</v>
      </c>
      <c r="DN64" s="91" t="e" cm="1">
        <f t="array" aca="1" ref="DN64" ca="1">INDEX(OFFSET(DJ$21,0,0,$E$16+1,1),DM64)</f>
        <v>#N/A</v>
      </c>
      <c r="DO64" s="49" t="e" cm="1">
        <f t="array" aca="1" ref="DO64" ca="1">INDEX(OFFSET($E$21,0,0,$E$16+1,1),DM64)</f>
        <v>#N/A</v>
      </c>
      <c r="DP64" s="80" t="e" cm="1">
        <f t="array" aca="1" ref="DP64" ca="1">IF(DO64="G",5,INDEX(OFFSET($F$21,0,0,$E$16+1,1),DM64))</f>
        <v>#N/A</v>
      </c>
      <c r="DQ64" s="80" t="e" cm="1">
        <f t="array" aca="1" ref="DQ64" ca="1">IF(DN64=0,0,IF(DO64="G",-1,INDEX(auto_DataFlat_Classification,DN64,$E$11)))</f>
        <v>#N/A</v>
      </c>
      <c r="DR64" s="301" t="e" cm="1">
        <f t="array" aca="1" ref="DR64" ca="1">IF(DQ64&lt;0,"",INDEX(uxbGlobals!$B$133:$B$139,DQ64))</f>
        <v>#N/A</v>
      </c>
      <c r="DS64" s="80"/>
      <c r="DT64" s="302" t="e" cm="1">
        <f t="array" aca="1" ref="DT64" ca="1">IF(DP64=0,"",IF(DO64="G","--",INDEX(auto_DataFlat_Rank,DN64,$E$11)))</f>
        <v>#N/A</v>
      </c>
      <c r="DU64" s="122" t="e" cm="1">
        <f t="array" aca="1" ref="DU64" ca="1">IF(DP64=0,"",IF(DO64="G","AVERAGE",INDEX(auto_ddCountry,DO64)))</f>
        <v>#N/A</v>
      </c>
      <c r="DV64" s="290" t="e" cm="1">
        <f t="array" aca="1" ref="DV64" ca="1">IF(DP64=0,"",INDEX(auto_DataFlat_Score,DN64,$E$11))</f>
        <v>#N/A</v>
      </c>
      <c r="DW64" s="4"/>
      <c r="DX64" s="49">
        <f t="shared" si="45"/>
        <v>-1</v>
      </c>
      <c r="DY64" s="49" t="e" cm="1">
        <f t="array" ref="DY64">IF($F64=0,0,INDEX(sys_DataFlat_LU_Grid,DX64,$E64))</f>
        <v>#VALUE!</v>
      </c>
      <c r="DZ64" s="49" t="e" cm="1">
        <f t="array" ref="DZ64">IF($F64=0,-1000,CHOOSE($E$14,INDEX(auto_DataFlat_Score,DY64,$E$11),-INDEX(auto_DataFlat_Score,DY64,$E$11),-$D64))</f>
        <v>#VALUE!</v>
      </c>
      <c r="EA64" s="91" t="e">
        <f ca="1">RANK(DZ64,OFFSET(DZ$21,0,0,$E$16+1,1))+COUNTIF(DZ$21:DZ64,DZ64)-1</f>
        <v>#VALUE!</v>
      </c>
      <c r="EB64" s="91" t="e">
        <f t="shared" ca="1" si="29"/>
        <v>#N/A</v>
      </c>
      <c r="EC64" s="91" t="e" cm="1">
        <f t="array" aca="1" ref="EC64" ca="1">INDEX(OFFSET(DY$21,0,0,$E$16+1,1),EB64)</f>
        <v>#N/A</v>
      </c>
      <c r="ED64" s="49" t="e" cm="1">
        <f t="array" aca="1" ref="ED64" ca="1">INDEX(OFFSET($E$21,0,0,$E$16+1,1),EB64)</f>
        <v>#N/A</v>
      </c>
      <c r="EE64" s="80" t="e" cm="1">
        <f t="array" aca="1" ref="EE64" ca="1">IF(ED64="G",5,INDEX(OFFSET($F$21,0,0,$E$16+1,1),EB64))</f>
        <v>#N/A</v>
      </c>
      <c r="EF64" s="80" t="e" cm="1">
        <f t="array" aca="1" ref="EF64" ca="1">IF(EC64=0,0,IF(ED64="G",-1,INDEX(auto_DataFlat_Classification,EC64,$E$11)))</f>
        <v>#N/A</v>
      </c>
      <c r="EG64" s="301" t="e" cm="1">
        <f t="array" aca="1" ref="EG64" ca="1">IF(EF64&lt;0,"",INDEX(uxbGlobals!$B$133:$B$139,EF64))</f>
        <v>#N/A</v>
      </c>
      <c r="EH64" s="80"/>
      <c r="EI64" s="302" t="e" cm="1">
        <f t="array" aca="1" ref="EI64" ca="1">IF(EE64=0,"",IF(ED64="G","--",INDEX(auto_DataFlat_Rank,EC64,$E$11)))</f>
        <v>#N/A</v>
      </c>
      <c r="EJ64" s="122" t="e" cm="1">
        <f t="array" aca="1" ref="EJ64" ca="1">IF(EE64=0,"",IF(ED64="G","AVERAGE",INDEX(auto_ddCountry,ED64)))</f>
        <v>#N/A</v>
      </c>
      <c r="EK64" s="290" t="e" cm="1">
        <f t="array" aca="1" ref="EK64" ca="1">IF(EE64=0,"",INDEX(auto_DataFlat_Score,EC64,$E$11))</f>
        <v>#N/A</v>
      </c>
      <c r="EL64" s="4"/>
      <c r="EM64" s="49">
        <f t="shared" si="46"/>
        <v>-1</v>
      </c>
      <c r="EN64" s="49" t="e" cm="1">
        <f t="array" ref="EN64">IF($F64=0,0,INDEX(sys_DataFlat_LU_Grid,EM64,$E64))</f>
        <v>#VALUE!</v>
      </c>
      <c r="EO64" s="49" t="e" cm="1">
        <f t="array" ref="EO64">IF($F64=0,-1000,CHOOSE($E$14,INDEX(auto_DataFlat_Score,EN64,$E$11),-INDEX(auto_DataFlat_Score,EN64,$E$11),-$D64))</f>
        <v>#VALUE!</v>
      </c>
      <c r="EP64" s="91" t="e">
        <f ca="1">RANK(EO64,OFFSET(EO$21,0,0,$E$16+1,1))+COUNTIF(EO$21:EO64,EO64)-1</f>
        <v>#VALUE!</v>
      </c>
      <c r="EQ64" s="91" t="e">
        <f t="shared" ca="1" si="30"/>
        <v>#N/A</v>
      </c>
      <c r="ER64" s="91" t="e" cm="1">
        <f t="array" aca="1" ref="ER64" ca="1">INDEX(OFFSET(EN$21,0,0,$E$16+1,1),EQ64)</f>
        <v>#N/A</v>
      </c>
      <c r="ES64" s="49" t="e" cm="1">
        <f t="array" aca="1" ref="ES64" ca="1">INDEX(OFFSET($E$21,0,0,$E$16+1,1),EQ64)</f>
        <v>#N/A</v>
      </c>
      <c r="ET64" s="80" t="e" cm="1">
        <f t="array" aca="1" ref="ET64" ca="1">IF(ES64="G",5,INDEX(OFFSET($F$21,0,0,$E$16+1,1),EQ64))</f>
        <v>#N/A</v>
      </c>
      <c r="EU64" s="80" t="e" cm="1">
        <f t="array" aca="1" ref="EU64" ca="1">IF(ER64=0,0,IF(ES64="G",-1,INDEX(auto_DataFlat_Classification,ER64,$E$11)))</f>
        <v>#N/A</v>
      </c>
      <c r="EV64" s="301" t="e" cm="1">
        <f t="array" aca="1" ref="EV64" ca="1">IF(EU64&lt;0,"",INDEX(uxbGlobals!$B$133:$B$139,EU64))</f>
        <v>#N/A</v>
      </c>
      <c r="EW64" s="80"/>
      <c r="EX64" s="302" t="e" cm="1">
        <f t="array" aca="1" ref="EX64" ca="1">IF(ET64=0,"",IF(ES64="G","--",INDEX(auto_DataFlat_Rank,ER64,$E$11)))</f>
        <v>#N/A</v>
      </c>
      <c r="EY64" s="122" t="e" cm="1">
        <f t="array" aca="1" ref="EY64" ca="1">IF(ET64=0,"",IF(ES64="G","AVERAGE",INDEX(auto_ddCountry,ES64)))</f>
        <v>#N/A</v>
      </c>
      <c r="EZ64" s="290" t="e" cm="1">
        <f t="array" aca="1" ref="EZ64" ca="1">IF(ET64=0,"",INDEX(auto_DataFlat_Score,ER64,$E$11))</f>
        <v>#N/A</v>
      </c>
    </row>
    <row r="65" spans="1:156" ht="17.149999999999999" customHeight="1" x14ac:dyDescent="0.4">
      <c r="A65" s="4"/>
      <c r="B65" s="4"/>
      <c r="C65" s="4"/>
      <c r="D65" s="26">
        <v>45</v>
      </c>
      <c r="E65" s="49">
        <f>tblCountries!M46</f>
        <v>44</v>
      </c>
      <c r="F65" s="114" cm="1">
        <f t="array" ref="F65">IF(E65=0,0,INDEX(auto_Country_Status,E65))</f>
        <v>1</v>
      </c>
      <c r="G65" s="4"/>
      <c r="H65" s="49">
        <f t="shared" si="31"/>
        <v>1</v>
      </c>
      <c r="I65" s="49" cm="1">
        <f t="array" ref="I65">IF($F65=0,0,INDEX(sys_DataFlat_LU_Grid,H65,$E65))</f>
        <v>44</v>
      </c>
      <c r="J65" s="49" cm="1">
        <f t="array" ref="J65">IF($F65=0,-1000,CHOOSE($E$14,INDEX(auto_DataFlat_Score,I65,$E$11),-INDEX(auto_DataFlat_Score,I65,$E$11),-$D65))</f>
        <v>76.099999999999994</v>
      </c>
      <c r="K65" s="91">
        <f ca="1">RANK(J65,OFFSET(J$21,0,0,$E$16+1,1))+COUNTIF(J$21:J65,J65)-1</f>
        <v>7</v>
      </c>
      <c r="L65" s="91">
        <f t="shared" ca="1" si="48"/>
        <v>39</v>
      </c>
      <c r="M65" s="91" cm="1">
        <f t="array" aca="1" ref="M65" ca="1">INDEX(OFFSET(I$21,0,0,$E$16+1,1),L65)</f>
        <v>38</v>
      </c>
      <c r="N65" s="49" cm="1">
        <f t="array" aca="1" ref="N65" ca="1">INDEX(OFFSET($E$21,0,0,$E$16+1,1),L65)</f>
        <v>38</v>
      </c>
      <c r="O65" s="80" cm="1">
        <f t="array" aca="1" ref="O65" ca="1">IF(N65="G",5,INDEX(OFFSET($F$21,0,0,$E$16+1,1),L65))</f>
        <v>1</v>
      </c>
      <c r="P65" s="80" cm="1">
        <f t="array" aca="1" ref="P65" ca="1">IF(M65=0,0,IF(N65="G",-1,INDEX(auto_DataFlat_Classification,M65,$E$11)))</f>
        <v>3</v>
      </c>
      <c r="Q65" s="301" t="str" cm="1">
        <f t="array" aca="1" ref="Q65" ca="1">IF(P65&lt;0,"",INDEX(uxbGlobals!$B$133:$B$139,P65))</f>
        <v xml:space="preserve"> </v>
      </c>
      <c r="R65" s="80"/>
      <c r="S65" s="302" t="str" cm="1">
        <f t="array" aca="1" ref="S65" ca="1">IF(O65=0,"",IF(N65="G","--",INDEX(auto_DataFlat_Rank,M65,$E$11)))</f>
        <v>44</v>
      </c>
      <c r="T65" s="122" t="str" cm="1">
        <f t="array" aca="1" ref="T65" ca="1">IF(O65=0,"",IF(N65="G"," AVERAGE",INDEX(auto_ddCountry,N65)))</f>
        <v>Riyadh</v>
      </c>
      <c r="U65" s="290" cm="1">
        <f t="array" aca="1" ref="U65" ca="1">IF(O65=0,"",INDEX(auto_DataFlat_Score,M65,$E$11))</f>
        <v>44.2</v>
      </c>
      <c r="V65" s="4"/>
      <c r="W65" s="49">
        <f t="shared" si="33"/>
        <v>2</v>
      </c>
      <c r="X65" s="49" cm="1">
        <f t="array" ref="X65">IF($F65=0,0,INDEX(sys_DataFlat_LU_Grid,W65,$E65))</f>
        <v>104</v>
      </c>
      <c r="Y65" s="49" cm="1">
        <f t="array" ref="Y65">IF($F65=0,-1000,CHOOSE($E$14,INDEX(auto_DataFlat_Score,X65,$E$11),-INDEX(auto_DataFlat_Score,X65,$E$11),-$D65))</f>
        <v>86.2</v>
      </c>
      <c r="Z65" s="91">
        <f ca="1">RANK(Y65,OFFSET(Y$21,0,0,$E$16+1,1))+COUNTIF(Y$21:Y65,Y65)-1</f>
        <v>11</v>
      </c>
      <c r="AA65" s="91">
        <f t="shared" ca="1" si="49"/>
        <v>25</v>
      </c>
      <c r="AB65" s="91" cm="1">
        <f t="array" aca="1" ref="AB65" ca="1">INDEX(OFFSET(X$21,0,0,$E$16+1,1),AA65)</f>
        <v>84</v>
      </c>
      <c r="AC65" s="49" cm="1">
        <f t="array" aca="1" ref="AC65" ca="1">INDEX(OFFSET($E$21,0,0,$E$16+1,1),AA65)</f>
        <v>24</v>
      </c>
      <c r="AD65" s="80" cm="1">
        <f t="array" aca="1" ref="AD65" ca="1">IF(AC65="G",5,INDEX(OFFSET($F$21,0,0,$E$16+1,1),AA65))</f>
        <v>1</v>
      </c>
      <c r="AE65" s="80" cm="1">
        <f t="array" aca="1" ref="AE65" ca="1">IF(AB65=0,0,IF(AC65="G",-1,INDEX(auto_DataFlat_Classification,AB65,$E$11)))</f>
        <v>3</v>
      </c>
      <c r="AF65" s="301" t="str" cm="1">
        <f t="array" aca="1" ref="AF65" ca="1">IF(AE65&lt;0,"",INDEX(uxbGlobals!$B$133:$B$139,AE65))</f>
        <v xml:space="preserve"> </v>
      </c>
      <c r="AG65" s="80"/>
      <c r="AH65" s="302" t="str" cm="1">
        <f t="array" aca="1" ref="AH65" ca="1">IF(AD65=0,"",IF(AC65="G","--",INDEX(auto_DataFlat_Rank,AB65,$E$11)))</f>
        <v>44</v>
      </c>
      <c r="AI65" s="122" t="str" cm="1">
        <f t="array" aca="1" ref="AI65" ca="1">IF(AD65=0,"",IF(AC65="G","AVERAGE",INDEX(auto_ddCountry,AC65)))</f>
        <v>Kuwait City</v>
      </c>
      <c r="AJ65" s="290" cm="1">
        <f t="array" aca="1" ref="AJ65" ca="1">IF(AD65=0,"",INDEX(auto_DataFlat_Score,AB65,$E$11))</f>
        <v>49.5</v>
      </c>
      <c r="AK65" s="4"/>
      <c r="AL65" s="49">
        <f t="shared" si="35"/>
        <v>14</v>
      </c>
      <c r="AM65" s="49" cm="1">
        <f t="array" ref="AM65">IF($F65=0,0,INDEX(sys_DataFlat_LU_Grid,AL65,$E65))</f>
        <v>824</v>
      </c>
      <c r="AN65" s="49" cm="1">
        <f t="array" ref="AN65">IF($F65=0,-1000,CHOOSE($E$14,INDEX(auto_DataFlat_Score,AM65,$E$11),-INDEX(auto_DataFlat_Score,AM65,$E$11),-$D65))</f>
        <v>74.599999999999994</v>
      </c>
      <c r="AO65" s="91">
        <f ca="1">RANK(AN65,OFFSET(AN$21,0,0,$E$16+1,1))+COUNTIF(AN$21:AN65,AN65)-1</f>
        <v>4</v>
      </c>
      <c r="AP65" s="91">
        <f t="shared" ca="1" si="50"/>
        <v>3</v>
      </c>
      <c r="AQ65" s="91" cm="1">
        <f t="array" aca="1" ref="AQ65" ca="1">INDEX(OFFSET(AM$21,0,0,$E$16+1,1),AP65)</f>
        <v>782</v>
      </c>
      <c r="AR65" s="49" cm="1">
        <f t="array" aca="1" ref="AR65" ca="1">INDEX(OFFSET($E$21,0,0,$E$16+1,1),AP65)</f>
        <v>2</v>
      </c>
      <c r="AS65" s="80" cm="1">
        <f t="array" aca="1" ref="AS65" ca="1">IF(AR65="G",5,INDEX(OFFSET($F$21,0,0,$E$16+1,1),AP65))</f>
        <v>1</v>
      </c>
      <c r="AT65" s="80" cm="1">
        <f t="array" aca="1" ref="AT65" ca="1">IF(AQ65=0,0,IF(AR65="G",-1,INDEX(auto_DataFlat_Classification,AQ65,$E$11)))</f>
        <v>2</v>
      </c>
      <c r="AU65" s="301" t="str" cm="1">
        <f t="array" aca="1" ref="AU65" ca="1">IF(AT65&lt;0,"",INDEX(uxbGlobals!$B$133:$B$139,AT65))</f>
        <v xml:space="preserve"> </v>
      </c>
      <c r="AV65" s="80"/>
      <c r="AW65" s="302" t="str" cm="1">
        <f t="array" aca="1" ref="AW65" ca="1">IF(AS65=0,"",IF(AR65="G","--",INDEX(auto_DataFlat_Rank,AQ65,$E$11)))</f>
        <v>44</v>
      </c>
      <c r="AX65" s="122" t="str" cm="1">
        <f t="array" aca="1" ref="AX65" ca="1">IF(AS65=0,"",IF(AR65="G","AVERAGE",INDEX(auto_ddCountry,AR65)))</f>
        <v>Algiers</v>
      </c>
      <c r="AY65" s="290" cm="1">
        <f t="array" aca="1" ref="AY65" ca="1">IF(AS65=0,"",INDEX(auto_DataFlat_Score,AQ65,$E$11))</f>
        <v>26</v>
      </c>
      <c r="AZ65" s="4"/>
      <c r="BA65" s="49">
        <f t="shared" si="37"/>
        <v>22</v>
      </c>
      <c r="BB65" s="49" cm="1">
        <f t="array" ref="BB65">IF($F65=0,0,INDEX(sys_DataFlat_LU_Grid,BA65,$E65))</f>
        <v>1304</v>
      </c>
      <c r="BC65" s="49" cm="1">
        <f t="array" ref="BC65">IF($F65=0,-1000,CHOOSE($E$14,INDEX(auto_DataFlat_Score,BB65,$E$11),-INDEX(auto_DataFlat_Score,BB65,$E$11),-$D65))</f>
        <v>82.1</v>
      </c>
      <c r="BD65" s="91">
        <f ca="1">RANK(BC65,OFFSET(BC$21,0,0,$E$16+1,1))+COUNTIF(BC$21:BC65,BC65)-1</f>
        <v>3</v>
      </c>
      <c r="BE65" s="91">
        <f t="shared" ca="1" si="51"/>
        <v>23</v>
      </c>
      <c r="BF65" s="91" cm="1">
        <f t="array" aca="1" ref="BF65" ca="1">INDEX(OFFSET(BB$21,0,0,$E$16+1,1),BE65)</f>
        <v>1282</v>
      </c>
      <c r="BG65" s="49" cm="1">
        <f t="array" aca="1" ref="BG65" ca="1">INDEX(OFFSET($E$21,0,0,$E$16+1,1),BE65)</f>
        <v>22</v>
      </c>
      <c r="BH65" s="80" cm="1">
        <f t="array" aca="1" ref="BH65" ca="1">IF(BG65="G",5,INDEX(OFFSET($F$21,0,0,$E$16+1,1),BE65))</f>
        <v>1</v>
      </c>
      <c r="BI65" s="80" cm="1">
        <f t="array" aca="1" ref="BI65" ca="1">IF(BF65=0,0,IF(BG65="G",-1,INDEX(auto_DataFlat_Classification,BF65,$E$11)))</f>
        <v>2</v>
      </c>
      <c r="BJ65" s="301" t="str" cm="1">
        <f t="array" aca="1" ref="BJ65" ca="1">IF(BI65&lt;0,"",INDEX(uxbGlobals!$B$133:$B$139,BI65))</f>
        <v xml:space="preserve"> </v>
      </c>
      <c r="BK65" s="80"/>
      <c r="BL65" s="302" t="str" cm="1">
        <f t="array" aca="1" ref="BL65" ca="1">IF(BH65=0,"",IF(BG65="G","--",INDEX(auto_DataFlat_Rank,BF65,$E$11)))</f>
        <v>44</v>
      </c>
      <c r="BM65" s="122" t="str" cm="1">
        <f t="array" aca="1" ref="BM65" ca="1">IF(BH65=0,"",IF(BG65="G","AVERAGE",INDEX(auto_ddCountry,BG65)))</f>
        <v>Kathmandu</v>
      </c>
      <c r="BN65" s="290" cm="1">
        <f t="array" aca="1" ref="BN65" ca="1">IF(BH65=0,"",INDEX(auto_DataFlat_Score,BF65,$E$11))</f>
        <v>38.1</v>
      </c>
      <c r="BO65" s="4"/>
      <c r="BP65" s="49">
        <f t="shared" si="39"/>
        <v>47</v>
      </c>
      <c r="BQ65" s="49" cm="1">
        <f t="array" ref="BQ65">IF($F65=0,0,INDEX(sys_DataFlat_LU_Grid,BP65,$E65))</f>
        <v>2804</v>
      </c>
      <c r="BR65" s="49" cm="1">
        <f t="array" ref="BR65">IF($F65=0,-1000,CHOOSE($E$14,INDEX(auto_DataFlat_Score,BQ65,$E$11),-INDEX(auto_DataFlat_Score,BQ65,$E$11),-$D65))</f>
        <v>53.9</v>
      </c>
      <c r="BS65" s="91">
        <f ca="1">RANK(BR65,OFFSET(BR$21,0,0,$E$16+1,1))+COUNTIF(BR$21:BR65,BR65)-1</f>
        <v>31</v>
      </c>
      <c r="BT65" s="91">
        <f t="shared" ca="1" si="52"/>
        <v>25</v>
      </c>
      <c r="BU65" s="91" cm="1">
        <f t="array" aca="1" ref="BU65" ca="1">INDEX(OFFSET(BQ$21,0,0,$E$16+1,1),BT65)</f>
        <v>2784</v>
      </c>
      <c r="BV65" s="49" cm="1">
        <f t="array" aca="1" ref="BV65" ca="1">INDEX(OFFSET($E$21,0,0,$E$16+1,1),BT65)</f>
        <v>24</v>
      </c>
      <c r="BW65" s="80" cm="1">
        <f t="array" aca="1" ref="BW65" ca="1">IF(BV65="G",5,INDEX(OFFSET($F$21,0,0,$E$16+1,1),BT65))</f>
        <v>1</v>
      </c>
      <c r="BX65" s="80" cm="1">
        <f t="array" aca="1" ref="BX65" ca="1">IF(BU65=0,0,IF(BV65="G",-1,INDEX(auto_DataFlat_Classification,BU65,$E$11)))</f>
        <v>3</v>
      </c>
      <c r="BY65" s="301" t="str" cm="1">
        <f t="array" aca="1" ref="BY65" ca="1">IF(BX65&lt;0,"",INDEX(uxbGlobals!$B$133:$B$139,BX65))</f>
        <v xml:space="preserve"> </v>
      </c>
      <c r="BZ65" s="80"/>
      <c r="CA65" s="302" t="str" cm="1">
        <f t="array" aca="1" ref="CA65" ca="1">IF(BW65=0,"",IF(BV65="G","--",INDEX(auto_DataFlat_Rank,BU65,$E$11)))</f>
        <v>44</v>
      </c>
      <c r="CB65" s="122" t="str" cm="1">
        <f t="array" aca="1" ref="CB65" ca="1">IF(BW65=0,"",IF(BV65="G","AVERAGE",INDEX(auto_ddCountry,BV65)))</f>
        <v>Kuwait City</v>
      </c>
      <c r="CC65" s="290" cm="1">
        <f t="array" aca="1" ref="CC65" ca="1">IF(BW65=0,"",INDEX(auto_DataFlat_Score,BU65,$E$11))</f>
        <v>43.9</v>
      </c>
      <c r="CD65" s="4"/>
      <c r="CE65" s="49">
        <f t="shared" si="41"/>
        <v>52</v>
      </c>
      <c r="CF65" s="49" cm="1">
        <f t="array" ref="CF65">IF($F65=0,0,INDEX(sys_DataFlat_LU_Grid,CE65,$E65))</f>
        <v>3104</v>
      </c>
      <c r="CG65" s="49" cm="1">
        <f t="array" ref="CG65">IF($F65=0,-1000,CHOOSE($E$14,INDEX(auto_DataFlat_Score,CF65,$E$11),-INDEX(auto_DataFlat_Score,CF65,$E$11),-$D65))</f>
        <v>75.900000000000006</v>
      </c>
      <c r="CH65" s="91">
        <f ca="1">RANK(CG65,OFFSET(CG$21,0,0,$E$16+1,1))+COUNTIF(CG$21:CG65,CG65)-1</f>
        <v>20</v>
      </c>
      <c r="CI65" s="91">
        <f t="shared" ca="1" si="53"/>
        <v>29</v>
      </c>
      <c r="CJ65" s="91" cm="1">
        <f t="array" aca="1" ref="CJ65" ca="1">INDEX(OFFSET(CF$21,0,0,$E$16+1,1),CI65)</f>
        <v>3088</v>
      </c>
      <c r="CK65" s="49" cm="1">
        <f t="array" aca="1" ref="CK65" ca="1">INDEX(OFFSET($E$21,0,0,$E$16+1,1),CI65)</f>
        <v>28</v>
      </c>
      <c r="CL65" s="80" cm="1">
        <f t="array" aca="1" ref="CL65" ca="1">IF(CK65="G",5,INDEX(OFFSET($F$21,0,0,$E$16+1,1),CI65))</f>
        <v>1</v>
      </c>
      <c r="CM65" s="80" cm="1">
        <f t="array" aca="1" ref="CM65" ca="1">IF(CJ65=0,0,IF(CK65="G",-1,INDEX(auto_DataFlat_Classification,CJ65,$E$11)))</f>
        <v>3</v>
      </c>
      <c r="CN65" s="301" t="str" cm="1">
        <f t="array" aca="1" ref="CN65" ca="1">IF(CM65&lt;0,"",INDEX(uxbGlobals!$B$133:$B$139,CM65))</f>
        <v xml:space="preserve"> </v>
      </c>
      <c r="CO65" s="80"/>
      <c r="CP65" s="302" t="str" cm="1">
        <f t="array" aca="1" ref="CP65" ca="1">IF(CL65=0,"",IF(CK65="G","--",INDEX(auto_DataFlat_Rank,CJ65,$E$11)))</f>
        <v>=44</v>
      </c>
      <c r="CQ65" s="122" t="str" cm="1">
        <f t="array" aca="1" ref="CQ65" ca="1">IF(CL65=0,"",IF(CK65="G","AVERAGE",INDEX(auto_ddCountry,CK65)))</f>
        <v>Manila</v>
      </c>
      <c r="CR65" s="290" cm="1">
        <f t="array" aca="1" ref="CR65" ca="1">IF(CL65=0,"",INDEX(auto_DataFlat_Score,CJ65,$E$11))</f>
        <v>50.9</v>
      </c>
      <c r="CS65" s="4"/>
      <c r="CT65" s="49">
        <f t="shared" si="43"/>
        <v>-1</v>
      </c>
      <c r="CU65" s="49" t="e" cm="1">
        <f t="array" ref="CU65">IF($F65=0,0,INDEX(sys_DataFlat_LU_Grid,CT65,$E65))</f>
        <v>#VALUE!</v>
      </c>
      <c r="CV65" s="49" t="e" cm="1">
        <f t="array" ref="CV65">IF($F65=0,-1000,CHOOSE($E$14,INDEX(auto_DataFlat_Score,CU65,$E$11),-INDEX(auto_DataFlat_Score,CU65,$E$11),-$D65))</f>
        <v>#VALUE!</v>
      </c>
      <c r="CW65" s="91" t="e">
        <f ca="1">RANK(CV65,OFFSET(CV$21,0,0,$E$16+1,1))+COUNTIF(CV$21:CV65,CV65)-1</f>
        <v>#VALUE!</v>
      </c>
      <c r="CX65" s="91" t="e">
        <f t="shared" ca="1" si="47"/>
        <v>#N/A</v>
      </c>
      <c r="CY65" s="91" t="e" cm="1">
        <f t="array" aca="1" ref="CY65" ca="1">INDEX(OFFSET(CU$21,0,0,$E$16+1,1),CX65)</f>
        <v>#N/A</v>
      </c>
      <c r="CZ65" s="49" t="e" cm="1">
        <f t="array" aca="1" ref="CZ65" ca="1">INDEX(OFFSET($E$21,0,0,$E$16+1,1),CX65)</f>
        <v>#N/A</v>
      </c>
      <c r="DA65" s="80" t="e" cm="1">
        <f t="array" aca="1" ref="DA65" ca="1">IF(CZ65="G",5,INDEX(OFFSET($F$21,0,0,$E$16+1,1),CX65))</f>
        <v>#N/A</v>
      </c>
      <c r="DB65" s="80" t="e" cm="1">
        <f t="array" aca="1" ref="DB65" ca="1">IF(CY65=0,0,IF(CZ65="G",-1,INDEX(auto_DataFlat_Classification,CY65,$E$11)))</f>
        <v>#N/A</v>
      </c>
      <c r="DC65" s="301" t="e" cm="1">
        <f t="array" aca="1" ref="DC65" ca="1">IF(DB65&lt;0,"",INDEX(uxbGlobals!$B$133:$B$139,DB65))</f>
        <v>#N/A</v>
      </c>
      <c r="DD65" s="80"/>
      <c r="DE65" s="302" t="e" cm="1">
        <f t="array" aca="1" ref="DE65" ca="1">IF(DA65=0,"",IF(CZ65="G","--",INDEX(auto_DataFlat_Rank,CY65,$E$11)))</f>
        <v>#N/A</v>
      </c>
      <c r="DF65" s="122" t="e" cm="1">
        <f t="array" aca="1" ref="DF65" ca="1">IF(DA65=0,"",IF(CZ65="G","AVERAGE",INDEX(auto_ddCountry,CZ65)))</f>
        <v>#N/A</v>
      </c>
      <c r="DG65" s="290" t="e" cm="1">
        <f t="array" aca="1" ref="DG65" ca="1">IF(DA65=0,"",INDEX(auto_DataFlat_Score,CY65,$E$11))</f>
        <v>#N/A</v>
      </c>
      <c r="DH65" s="4"/>
      <c r="DI65" s="49">
        <f t="shared" si="44"/>
        <v>-1</v>
      </c>
      <c r="DJ65" s="49" t="e" cm="1">
        <f t="array" ref="DJ65">IF($F65=0,0,INDEX(sys_DataFlat_LU_Grid,DI65,$E65))</f>
        <v>#VALUE!</v>
      </c>
      <c r="DK65" s="49" t="e" cm="1">
        <f t="array" ref="DK65">IF($F65=0,-1000,CHOOSE($E$14,INDEX(auto_DataFlat_Score,DJ65,$E$11),-INDEX(auto_DataFlat_Score,DJ65,$E$11),-$D65))</f>
        <v>#VALUE!</v>
      </c>
      <c r="DL65" s="91" t="e">
        <f ca="1">RANK(DK65,OFFSET(DK$21,0,0,$E$16+1,1))+COUNTIF(DK$21:DK65,DK65)-1</f>
        <v>#VALUE!</v>
      </c>
      <c r="DM65" s="91" t="e">
        <f t="shared" ca="1" si="28"/>
        <v>#N/A</v>
      </c>
      <c r="DN65" s="91" t="e" cm="1">
        <f t="array" aca="1" ref="DN65" ca="1">INDEX(OFFSET(DJ$21,0,0,$E$16+1,1),DM65)</f>
        <v>#N/A</v>
      </c>
      <c r="DO65" s="49" t="e" cm="1">
        <f t="array" aca="1" ref="DO65" ca="1">INDEX(OFFSET($E$21,0,0,$E$16+1,1),DM65)</f>
        <v>#N/A</v>
      </c>
      <c r="DP65" s="80" t="e" cm="1">
        <f t="array" aca="1" ref="DP65" ca="1">IF(DO65="G",5,INDEX(OFFSET($F$21,0,0,$E$16+1,1),DM65))</f>
        <v>#N/A</v>
      </c>
      <c r="DQ65" s="80" t="e" cm="1">
        <f t="array" aca="1" ref="DQ65" ca="1">IF(DN65=0,0,IF(DO65="G",-1,INDEX(auto_DataFlat_Classification,DN65,$E$11)))</f>
        <v>#N/A</v>
      </c>
      <c r="DR65" s="301" t="e" cm="1">
        <f t="array" aca="1" ref="DR65" ca="1">IF(DQ65&lt;0,"",INDEX(uxbGlobals!$B$133:$B$139,DQ65))</f>
        <v>#N/A</v>
      </c>
      <c r="DS65" s="80"/>
      <c r="DT65" s="302" t="e" cm="1">
        <f t="array" aca="1" ref="DT65" ca="1">IF(DP65=0,"",IF(DO65="G","--",INDEX(auto_DataFlat_Rank,DN65,$E$11)))</f>
        <v>#N/A</v>
      </c>
      <c r="DU65" s="122" t="e" cm="1">
        <f t="array" aca="1" ref="DU65" ca="1">IF(DP65=0,"",IF(DO65="G","AVERAGE",INDEX(auto_ddCountry,DO65)))</f>
        <v>#N/A</v>
      </c>
      <c r="DV65" s="290" t="e" cm="1">
        <f t="array" aca="1" ref="DV65" ca="1">IF(DP65=0,"",INDEX(auto_DataFlat_Score,DN65,$E$11))</f>
        <v>#N/A</v>
      </c>
      <c r="DW65" s="4"/>
      <c r="DX65" s="49">
        <f t="shared" si="45"/>
        <v>-1</v>
      </c>
      <c r="DY65" s="49" t="e" cm="1">
        <f t="array" ref="DY65">IF($F65=0,0,INDEX(sys_DataFlat_LU_Grid,DX65,$E65))</f>
        <v>#VALUE!</v>
      </c>
      <c r="DZ65" s="49" t="e" cm="1">
        <f t="array" ref="DZ65">IF($F65=0,-1000,CHOOSE($E$14,INDEX(auto_DataFlat_Score,DY65,$E$11),-INDEX(auto_DataFlat_Score,DY65,$E$11),-$D65))</f>
        <v>#VALUE!</v>
      </c>
      <c r="EA65" s="91" t="e">
        <f ca="1">RANK(DZ65,OFFSET(DZ$21,0,0,$E$16+1,1))+COUNTIF(DZ$21:DZ65,DZ65)-1</f>
        <v>#VALUE!</v>
      </c>
      <c r="EB65" s="91" t="e">
        <f t="shared" ca="1" si="29"/>
        <v>#N/A</v>
      </c>
      <c r="EC65" s="91" t="e" cm="1">
        <f t="array" aca="1" ref="EC65" ca="1">INDEX(OFFSET(DY$21,0,0,$E$16+1,1),EB65)</f>
        <v>#N/A</v>
      </c>
      <c r="ED65" s="49" t="e" cm="1">
        <f t="array" aca="1" ref="ED65" ca="1">INDEX(OFFSET($E$21,0,0,$E$16+1,1),EB65)</f>
        <v>#N/A</v>
      </c>
      <c r="EE65" s="80" t="e" cm="1">
        <f t="array" aca="1" ref="EE65" ca="1">IF(ED65="G",5,INDEX(OFFSET($F$21,0,0,$E$16+1,1),EB65))</f>
        <v>#N/A</v>
      </c>
      <c r="EF65" s="80" t="e" cm="1">
        <f t="array" aca="1" ref="EF65" ca="1">IF(EC65=0,0,IF(ED65="G",-1,INDEX(auto_DataFlat_Classification,EC65,$E$11)))</f>
        <v>#N/A</v>
      </c>
      <c r="EG65" s="301" t="e" cm="1">
        <f t="array" aca="1" ref="EG65" ca="1">IF(EF65&lt;0,"",INDEX(uxbGlobals!$B$133:$B$139,EF65))</f>
        <v>#N/A</v>
      </c>
      <c r="EH65" s="80"/>
      <c r="EI65" s="302" t="e" cm="1">
        <f t="array" aca="1" ref="EI65" ca="1">IF(EE65=0,"",IF(ED65="G","--",INDEX(auto_DataFlat_Rank,EC65,$E$11)))</f>
        <v>#N/A</v>
      </c>
      <c r="EJ65" s="122" t="e" cm="1">
        <f t="array" aca="1" ref="EJ65" ca="1">IF(EE65=0,"",IF(ED65="G","AVERAGE",INDEX(auto_ddCountry,ED65)))</f>
        <v>#N/A</v>
      </c>
      <c r="EK65" s="290" t="e" cm="1">
        <f t="array" aca="1" ref="EK65" ca="1">IF(EE65=0,"",INDEX(auto_DataFlat_Score,EC65,$E$11))</f>
        <v>#N/A</v>
      </c>
      <c r="EL65" s="4"/>
      <c r="EM65" s="49">
        <f t="shared" si="46"/>
        <v>-1</v>
      </c>
      <c r="EN65" s="49" t="e" cm="1">
        <f t="array" ref="EN65">IF($F65=0,0,INDEX(sys_DataFlat_LU_Grid,EM65,$E65))</f>
        <v>#VALUE!</v>
      </c>
      <c r="EO65" s="49" t="e" cm="1">
        <f t="array" ref="EO65">IF($F65=0,-1000,CHOOSE($E$14,INDEX(auto_DataFlat_Score,EN65,$E$11),-INDEX(auto_DataFlat_Score,EN65,$E$11),-$D65))</f>
        <v>#VALUE!</v>
      </c>
      <c r="EP65" s="91" t="e">
        <f ca="1">RANK(EO65,OFFSET(EO$21,0,0,$E$16+1,1))+COUNTIF(EO$21:EO65,EO65)-1</f>
        <v>#VALUE!</v>
      </c>
      <c r="EQ65" s="91" t="e">
        <f t="shared" ca="1" si="30"/>
        <v>#N/A</v>
      </c>
      <c r="ER65" s="91" t="e" cm="1">
        <f t="array" aca="1" ref="ER65" ca="1">INDEX(OFFSET(EN$21,0,0,$E$16+1,1),EQ65)</f>
        <v>#N/A</v>
      </c>
      <c r="ES65" s="49" t="e" cm="1">
        <f t="array" aca="1" ref="ES65" ca="1">INDEX(OFFSET($E$21,0,0,$E$16+1,1),EQ65)</f>
        <v>#N/A</v>
      </c>
      <c r="ET65" s="80" t="e" cm="1">
        <f t="array" aca="1" ref="ET65" ca="1">IF(ES65="G",5,INDEX(OFFSET($F$21,0,0,$E$16+1,1),EQ65))</f>
        <v>#N/A</v>
      </c>
      <c r="EU65" s="80" t="e" cm="1">
        <f t="array" aca="1" ref="EU65" ca="1">IF(ER65=0,0,IF(ES65="G",-1,INDEX(auto_DataFlat_Classification,ER65,$E$11)))</f>
        <v>#N/A</v>
      </c>
      <c r="EV65" s="301" t="e" cm="1">
        <f t="array" aca="1" ref="EV65" ca="1">IF(EU65&lt;0,"",INDEX(uxbGlobals!$B$133:$B$139,EU65))</f>
        <v>#N/A</v>
      </c>
      <c r="EW65" s="80"/>
      <c r="EX65" s="302" t="e" cm="1">
        <f t="array" aca="1" ref="EX65" ca="1">IF(ET65=0,"",IF(ES65="G","--",INDEX(auto_DataFlat_Rank,ER65,$E$11)))</f>
        <v>#N/A</v>
      </c>
      <c r="EY65" s="122" t="e" cm="1">
        <f t="array" aca="1" ref="EY65" ca="1">IF(ET65=0,"",IF(ES65="G","AVERAGE",INDEX(auto_ddCountry,ES65)))</f>
        <v>#N/A</v>
      </c>
      <c r="EZ65" s="290" t="e" cm="1">
        <f t="array" aca="1" ref="EZ65" ca="1">IF(ET65=0,"",INDEX(auto_DataFlat_Score,ER65,$E$11))</f>
        <v>#N/A</v>
      </c>
    </row>
    <row r="66" spans="1:156" ht="17.149999999999999" customHeight="1" x14ac:dyDescent="0.4">
      <c r="A66" s="4"/>
      <c r="B66" s="4"/>
      <c r="C66" s="4"/>
      <c r="D66" s="26">
        <v>46</v>
      </c>
      <c r="E66" s="49">
        <f>tblCountries!M47</f>
        <v>45</v>
      </c>
      <c r="F66" s="114" cm="1">
        <f t="array" ref="F66">IF(E66=0,0,INDEX(auto_Country_Status,E66))</f>
        <v>1</v>
      </c>
      <c r="G66" s="4"/>
      <c r="H66" s="49">
        <f t="shared" si="31"/>
        <v>1</v>
      </c>
      <c r="I66" s="49" cm="1">
        <f t="array" ref="I66">IF($F66=0,0,INDEX(sys_DataFlat_LU_Grid,H66,$E66))</f>
        <v>45</v>
      </c>
      <c r="J66" s="49" cm="1">
        <f t="array" ref="J66">IF($F66=0,-1000,CHOOSE($E$14,INDEX(auto_DataFlat_Score,I66,$E$11),-INDEX(auto_DataFlat_Score,I66,$E$11),-$D66))</f>
        <v>70.5</v>
      </c>
      <c r="K66" s="91">
        <f ca="1">RANK(J66,OFFSET(J$21,0,0,$E$16+1,1))+COUNTIF(J$21:J66,J66)-1</f>
        <v>17</v>
      </c>
      <c r="L66" s="91">
        <f t="shared" ca="1" si="48"/>
        <v>51</v>
      </c>
      <c r="M66" s="91" cm="1">
        <f t="array" aca="1" ref="M66" ca="1">INDEX(OFFSET(I$21,0,0,$E$16+1,1),L66)</f>
        <v>50</v>
      </c>
      <c r="N66" s="49" cm="1">
        <f t="array" aca="1" ref="N66" ca="1">INDEX(OFFSET($E$21,0,0,$E$16+1,1),L66)</f>
        <v>50</v>
      </c>
      <c r="O66" s="80" cm="1">
        <f t="array" aca="1" ref="O66" ca="1">IF(N66="G",5,INDEX(OFFSET($F$21,0,0,$E$16+1,1),L66))</f>
        <v>1</v>
      </c>
      <c r="P66" s="80" cm="1">
        <f t="array" aca="1" ref="P66" ca="1">IF(M66=0,0,IF(N66="G",-1,INDEX(auto_DataFlat_Classification,M66,$E$11)))</f>
        <v>3</v>
      </c>
      <c r="Q66" s="301" t="str" cm="1">
        <f t="array" aca="1" ref="Q66" ca="1">IF(P66&lt;0,"",INDEX(uxbGlobals!$B$133:$B$139,P66))</f>
        <v xml:space="preserve"> </v>
      </c>
      <c r="R66" s="80"/>
      <c r="S66" s="302" t="str" cm="1">
        <f t="array" aca="1" ref="S66" ca="1">IF(O66=0,"",IF(N66="G","--",INDEX(auto_DataFlat_Rank,M66,$E$11)))</f>
        <v>45</v>
      </c>
      <c r="T66" s="122" t="str" cm="1">
        <f t="array" aca="1" ref="T66" ca="1">IF(O66=0,"",IF(N66="G"," AVERAGE",INDEX(auto_ddCountry,N66)))</f>
        <v>Yangon</v>
      </c>
      <c r="U66" s="290" cm="1">
        <f t="array" aca="1" ref="U66" ca="1">IF(O66=0,"",INDEX(auto_DataFlat_Score,M66,$E$11))</f>
        <v>43.5</v>
      </c>
      <c r="V66" s="4"/>
      <c r="W66" s="49">
        <f t="shared" si="33"/>
        <v>2</v>
      </c>
      <c r="X66" s="49" cm="1">
        <f t="array" ref="X66">IF($F66=0,0,INDEX(sys_DataFlat_LU_Grid,W66,$E66))</f>
        <v>105</v>
      </c>
      <c r="Y66" s="49" cm="1">
        <f t="array" ref="Y66">IF($F66=0,-1000,CHOOSE($E$14,INDEX(auto_DataFlat_Score,X66,$E$11),-INDEX(auto_DataFlat_Score,X66,$E$11),-$D66))</f>
        <v>87.9</v>
      </c>
      <c r="Z66" s="91">
        <f ca="1">RANK(Y66,OFFSET(Y$21,0,0,$E$16+1,1))+COUNTIF(Y$21:Y66,Y66)-1</f>
        <v>4</v>
      </c>
      <c r="AA66" s="91">
        <f t="shared" ca="1" si="49"/>
        <v>13</v>
      </c>
      <c r="AB66" s="91" cm="1">
        <f t="array" aca="1" ref="AB66" ca="1">INDEX(OFFSET(X$21,0,0,$E$16+1,1),AA66)</f>
        <v>72</v>
      </c>
      <c r="AC66" s="49" cm="1">
        <f t="array" aca="1" ref="AC66" ca="1">INDEX(OFFSET($E$21,0,0,$E$16+1,1),AA66)</f>
        <v>12</v>
      </c>
      <c r="AD66" s="80" cm="1">
        <f t="array" aca="1" ref="AD66" ca="1">IF(AC66="G",5,INDEX(OFFSET($F$21,0,0,$E$16+1,1),AA66))</f>
        <v>1</v>
      </c>
      <c r="AE66" s="80" cm="1">
        <f t="array" aca="1" ref="AE66" ca="1">IF(AB66=0,0,IF(AC66="G",-1,INDEX(auto_DataFlat_Classification,AB66,$E$11)))</f>
        <v>3</v>
      </c>
      <c r="AF66" s="301" t="str" cm="1">
        <f t="array" aca="1" ref="AF66" ca="1">IF(AE66&lt;0,"",INDEX(uxbGlobals!$B$133:$B$139,AE66))</f>
        <v xml:space="preserve"> </v>
      </c>
      <c r="AG66" s="80"/>
      <c r="AH66" s="302" t="str" cm="1">
        <f t="array" aca="1" ref="AH66" ca="1">IF(AD66=0,"",IF(AC66="G","--",INDEX(auto_DataFlat_Rank,AB66,$E$11)))</f>
        <v>45</v>
      </c>
      <c r="AI66" s="122" t="str" cm="1">
        <f t="array" aca="1" ref="AI66" ca="1">IF(AD66=0,"",IF(AC66="G","AVERAGE",INDEX(auto_ddCountry,AC66)))</f>
        <v>Delhi</v>
      </c>
      <c r="AJ66" s="290" cm="1">
        <f t="array" aca="1" ref="AJ66" ca="1">IF(AD66=0,"",INDEX(auto_DataFlat_Score,AB66,$E$11))</f>
        <v>44.2</v>
      </c>
      <c r="AK66" s="4"/>
      <c r="AL66" s="49">
        <f t="shared" si="35"/>
        <v>14</v>
      </c>
      <c r="AM66" s="49" cm="1">
        <f t="array" ref="AM66">IF($F66=0,0,INDEX(sys_DataFlat_LU_Grid,AL66,$E66))</f>
        <v>825</v>
      </c>
      <c r="AN66" s="49" cm="1">
        <f t="array" ref="AN66">IF($F66=0,-1000,CHOOSE($E$14,INDEX(auto_DataFlat_Score,AM66,$E$11),-INDEX(auto_DataFlat_Score,AM66,$E$11),-$D66))</f>
        <v>49.2</v>
      </c>
      <c r="AO66" s="91">
        <f ca="1">RANK(AN66,OFFSET(AN$21,0,0,$E$16+1,1))+COUNTIF(AN$21:AN66,AN66)-1</f>
        <v>25</v>
      </c>
      <c r="AP66" s="91">
        <f t="shared" ca="1" si="50"/>
        <v>12</v>
      </c>
      <c r="AQ66" s="91" cm="1">
        <f t="array" aca="1" ref="AQ66" ca="1">INDEX(OFFSET(AM$21,0,0,$E$16+1,1),AP66)</f>
        <v>791</v>
      </c>
      <c r="AR66" s="49" cm="1">
        <f t="array" aca="1" ref="AR66" ca="1">INDEX(OFFSET($E$21,0,0,$E$16+1,1),AP66)</f>
        <v>11</v>
      </c>
      <c r="AS66" s="80" cm="1">
        <f t="array" aca="1" ref="AS66" ca="1">IF(AR66="G",5,INDEX(OFFSET($F$21,0,0,$E$16+1,1),AP66))</f>
        <v>1</v>
      </c>
      <c r="AT66" s="80" cm="1">
        <f t="array" aca="1" ref="AT66" ca="1">IF(AQ66=0,0,IF(AR66="G",-1,INDEX(auto_DataFlat_Classification,AQ66,$E$11)))</f>
        <v>2</v>
      </c>
      <c r="AU66" s="301" t="str" cm="1">
        <f t="array" aca="1" ref="AU66" ca="1">IF(AT66&lt;0,"",INDEX(uxbGlobals!$B$133:$B$139,AT66))</f>
        <v xml:space="preserve"> </v>
      </c>
      <c r="AV66" s="80"/>
      <c r="AW66" s="302" t="str" cm="1">
        <f t="array" aca="1" ref="AW66" ca="1">IF(AS66=0,"",IF(AR66="G","--",INDEX(auto_DataFlat_Rank,AQ66,$E$11)))</f>
        <v>45</v>
      </c>
      <c r="AX66" s="122" t="str" cm="1">
        <f t="array" aca="1" ref="AX66" ca="1">IF(AS66=0,"",IF(AR66="G","AVERAGE",INDEX(auto_ddCountry,AR66)))</f>
        <v>Colombo</v>
      </c>
      <c r="AY66" s="290" cm="1">
        <f t="array" aca="1" ref="AY66" ca="1">IF(AS66=0,"",INDEX(auto_DataFlat_Score,AQ66,$E$11))</f>
        <v>23.4</v>
      </c>
      <c r="AZ66" s="4"/>
      <c r="BA66" s="49">
        <f t="shared" si="37"/>
        <v>22</v>
      </c>
      <c r="BB66" s="49" cm="1">
        <f t="array" ref="BB66">IF($F66=0,0,INDEX(sys_DataFlat_LU_Grid,BA66,$E66))</f>
        <v>1305</v>
      </c>
      <c r="BC66" s="49" cm="1">
        <f t="array" ref="BC66">IF($F66=0,-1000,CHOOSE($E$14,INDEX(auto_DataFlat_Score,BB66,$E$11),-INDEX(auto_DataFlat_Score,BB66,$E$11),-$D66))</f>
        <v>67.7</v>
      </c>
      <c r="BD66" s="91">
        <f ca="1">RANK(BC66,OFFSET(BC$21,0,0,$E$16+1,1))+COUNTIF(BC$21:BC66,BC66)-1</f>
        <v>18</v>
      </c>
      <c r="BE66" s="91">
        <f t="shared" ca="1" si="51"/>
        <v>39</v>
      </c>
      <c r="BF66" s="91" cm="1">
        <f t="array" aca="1" ref="BF66" ca="1">INDEX(OFFSET(BB$21,0,0,$E$16+1,1),BE66)</f>
        <v>1298</v>
      </c>
      <c r="BG66" s="49" cm="1">
        <f t="array" aca="1" ref="BG66" ca="1">INDEX(OFFSET($E$21,0,0,$E$16+1,1),BE66)</f>
        <v>38</v>
      </c>
      <c r="BH66" s="80" cm="1">
        <f t="array" aca="1" ref="BH66" ca="1">IF(BG66="G",5,INDEX(OFFSET($F$21,0,0,$E$16+1,1),BE66))</f>
        <v>1</v>
      </c>
      <c r="BI66" s="80" cm="1">
        <f t="array" aca="1" ref="BI66" ca="1">IF(BF66=0,0,IF(BG66="G",-1,INDEX(auto_DataFlat_Classification,BF66,$E$11)))</f>
        <v>2</v>
      </c>
      <c r="BJ66" s="301" t="str" cm="1">
        <f t="array" aca="1" ref="BJ66" ca="1">IF(BI66&lt;0,"",INDEX(uxbGlobals!$B$133:$B$139,BI66))</f>
        <v xml:space="preserve"> </v>
      </c>
      <c r="BK66" s="80"/>
      <c r="BL66" s="302" t="str" cm="1">
        <f t="array" aca="1" ref="BL66" ca="1">IF(BH66=0,"",IF(BG66="G","--",INDEX(auto_DataFlat_Rank,BF66,$E$11)))</f>
        <v>45</v>
      </c>
      <c r="BM66" s="122" t="str" cm="1">
        <f t="array" aca="1" ref="BM66" ca="1">IF(BH66=0,"",IF(BG66="G","AVERAGE",INDEX(auto_ddCountry,BG66)))</f>
        <v>Riyadh</v>
      </c>
      <c r="BN66" s="290" cm="1">
        <f t="array" aca="1" ref="BN66" ca="1">IF(BH66=0,"",INDEX(auto_DataFlat_Score,BF66,$E$11))</f>
        <v>37.6</v>
      </c>
      <c r="BO66" s="4"/>
      <c r="BP66" s="49">
        <f t="shared" si="39"/>
        <v>47</v>
      </c>
      <c r="BQ66" s="49" cm="1">
        <f t="array" ref="BQ66">IF($F66=0,0,INDEX(sys_DataFlat_LU_Grid,BP66,$E66))</f>
        <v>2805</v>
      </c>
      <c r="BR66" s="49" cm="1">
        <f t="array" ref="BR66">IF($F66=0,-1000,CHOOSE($E$14,INDEX(auto_DataFlat_Score,BQ66,$E$11),-INDEX(auto_DataFlat_Score,BQ66,$E$11),-$D66))</f>
        <v>83.5</v>
      </c>
      <c r="BS66" s="91">
        <f ca="1">RANK(BR66,OFFSET(BR$21,0,0,$E$16+1,1))+COUNTIF(BR$21:BR66,BR66)-1</f>
        <v>12</v>
      </c>
      <c r="BT66" s="91">
        <f t="shared" ca="1" si="52"/>
        <v>20</v>
      </c>
      <c r="BU66" s="91" cm="1">
        <f t="array" aca="1" ref="BU66" ca="1">INDEX(OFFSET(BQ$21,0,0,$E$16+1,1),BT66)</f>
        <v>2779</v>
      </c>
      <c r="BV66" s="49" cm="1">
        <f t="array" aca="1" ref="BV66" ca="1">INDEX(OFFSET($E$21,0,0,$E$16+1,1),BT66)</f>
        <v>19</v>
      </c>
      <c r="BW66" s="80" cm="1">
        <f t="array" aca="1" ref="BW66" ca="1">IF(BV66="G",5,INDEX(OFFSET($F$21,0,0,$E$16+1,1),BT66))</f>
        <v>1</v>
      </c>
      <c r="BX66" s="80" cm="1">
        <f t="array" aca="1" ref="BX66" ca="1">IF(BU66=0,0,IF(BV66="G",-1,INDEX(auto_DataFlat_Classification,BU66,$E$11)))</f>
        <v>3</v>
      </c>
      <c r="BY66" s="301" t="str" cm="1">
        <f t="array" aca="1" ref="BY66" ca="1">IF(BX66&lt;0,"",INDEX(uxbGlobals!$B$133:$B$139,BX66))</f>
        <v xml:space="preserve"> </v>
      </c>
      <c r="BZ66" s="80"/>
      <c r="CA66" s="302" t="str" cm="1">
        <f t="array" aca="1" ref="CA66" ca="1">IF(BW66=0,"",IF(BV66="G","--",INDEX(auto_DataFlat_Rank,BU66,$E$11)))</f>
        <v>45</v>
      </c>
      <c r="CB66" s="122" t="str" cm="1">
        <f t="array" aca="1" ref="CB66" ca="1">IF(BW66=0,"",IF(BV66="G","AVERAGE",INDEX(auto_ddCountry,BV66)))</f>
        <v>Jakarta</v>
      </c>
      <c r="CC66" s="290" cm="1">
        <f t="array" aca="1" ref="CC66" ca="1">IF(BW66=0,"",INDEX(auto_DataFlat_Score,BU66,$E$11))</f>
        <v>40.6</v>
      </c>
      <c r="CD66" s="4"/>
      <c r="CE66" s="49">
        <f t="shared" si="41"/>
        <v>52</v>
      </c>
      <c r="CF66" s="49" cm="1">
        <f t="array" ref="CF66">IF($F66=0,0,INDEX(sys_DataFlat_LU_Grid,CE66,$E66))</f>
        <v>3105</v>
      </c>
      <c r="CG66" s="49" cm="1">
        <f t="array" ref="CG66">IF($F66=0,-1000,CHOOSE($E$14,INDEX(auto_DataFlat_Score,CF66,$E$11),-INDEX(auto_DataFlat_Score,CF66,$E$11),-$D66))</f>
        <v>69.400000000000006</v>
      </c>
      <c r="CH66" s="91">
        <f ca="1">RANK(CG66,OFFSET(CG$21,0,0,$E$16+1,1))+COUNTIF(CG$21:CG66,CG66)-1</f>
        <v>29</v>
      </c>
      <c r="CI66" s="91">
        <f t="shared" ca="1" si="53"/>
        <v>38</v>
      </c>
      <c r="CJ66" s="91" cm="1">
        <f t="array" aca="1" ref="CJ66" ca="1">INDEX(OFFSET(CF$21,0,0,$E$16+1,1),CI66)</f>
        <v>3097</v>
      </c>
      <c r="CK66" s="49" cm="1">
        <f t="array" aca="1" ref="CK66" ca="1">INDEX(OFFSET($E$21,0,0,$E$16+1,1),CI66)</f>
        <v>37</v>
      </c>
      <c r="CL66" s="80" cm="1">
        <f t="array" aca="1" ref="CL66" ca="1">IF(CK66="G",5,INDEX(OFFSET($F$21,0,0,$E$16+1,1),CI66))</f>
        <v>1</v>
      </c>
      <c r="CM66" s="80" cm="1">
        <f t="array" aca="1" ref="CM66" ca="1">IF(CJ66=0,0,IF(CK66="G",-1,INDEX(auto_DataFlat_Classification,CJ66,$E$11)))</f>
        <v>3</v>
      </c>
      <c r="CN66" s="301" t="str" cm="1">
        <f t="array" aca="1" ref="CN66" ca="1">IF(CM66&lt;0,"",INDEX(uxbGlobals!$B$133:$B$139,CM66))</f>
        <v xml:space="preserve"> </v>
      </c>
      <c r="CO66" s="80"/>
      <c r="CP66" s="302" t="str" cm="1">
        <f t="array" aca="1" ref="CP66" ca="1">IF(CL66=0,"",IF(CK66="G","--",INDEX(auto_DataFlat_Rank,CJ66,$E$11)))</f>
        <v>=44</v>
      </c>
      <c r="CQ66" s="122" t="str" cm="1">
        <f t="array" aca="1" ref="CQ66" ca="1">IF(CL66=0,"",IF(CK66="G","AVERAGE",INDEX(auto_ddCountry,CK66)))</f>
        <v>Phnom Penh</v>
      </c>
      <c r="CR66" s="290" cm="1">
        <f t="array" aca="1" ref="CR66" ca="1">IF(CL66=0,"",INDEX(auto_DataFlat_Score,CJ66,$E$11))</f>
        <v>50.9</v>
      </c>
      <c r="CS66" s="4"/>
      <c r="CT66" s="49">
        <f t="shared" si="43"/>
        <v>-1</v>
      </c>
      <c r="CU66" s="49" t="e" cm="1">
        <f t="array" ref="CU66">IF($F66=0,0,INDEX(sys_DataFlat_LU_Grid,CT66,$E66))</f>
        <v>#VALUE!</v>
      </c>
      <c r="CV66" s="49" t="e" cm="1">
        <f t="array" ref="CV66">IF($F66=0,-1000,CHOOSE($E$14,INDEX(auto_DataFlat_Score,CU66,$E$11),-INDEX(auto_DataFlat_Score,CU66,$E$11),-$D66))</f>
        <v>#VALUE!</v>
      </c>
      <c r="CW66" s="91" t="e">
        <f ca="1">RANK(CV66,OFFSET(CV$21,0,0,$E$16+1,1))+COUNTIF(CV$21:CV66,CV66)-1</f>
        <v>#VALUE!</v>
      </c>
      <c r="CX66" s="91" t="e">
        <f t="shared" ca="1" si="47"/>
        <v>#N/A</v>
      </c>
      <c r="CY66" s="91" t="e" cm="1">
        <f t="array" aca="1" ref="CY66" ca="1">INDEX(OFFSET(CU$21,0,0,$E$16+1,1),CX66)</f>
        <v>#N/A</v>
      </c>
      <c r="CZ66" s="49" t="e" cm="1">
        <f t="array" aca="1" ref="CZ66" ca="1">INDEX(OFFSET($E$21,0,0,$E$16+1,1),CX66)</f>
        <v>#N/A</v>
      </c>
      <c r="DA66" s="80" t="e" cm="1">
        <f t="array" aca="1" ref="DA66" ca="1">IF(CZ66="G",5,INDEX(OFFSET($F$21,0,0,$E$16+1,1),CX66))</f>
        <v>#N/A</v>
      </c>
      <c r="DB66" s="80" t="e" cm="1">
        <f t="array" aca="1" ref="DB66" ca="1">IF(CY66=0,0,IF(CZ66="G",-1,INDEX(auto_DataFlat_Classification,CY66,$E$11)))</f>
        <v>#N/A</v>
      </c>
      <c r="DC66" s="301" t="e" cm="1">
        <f t="array" aca="1" ref="DC66" ca="1">IF(DB66&lt;0,"",INDEX(uxbGlobals!$B$133:$B$139,DB66))</f>
        <v>#N/A</v>
      </c>
      <c r="DD66" s="80"/>
      <c r="DE66" s="302" t="e" cm="1">
        <f t="array" aca="1" ref="DE66" ca="1">IF(DA66=0,"",IF(CZ66="G","--",INDEX(auto_DataFlat_Rank,CY66,$E$11)))</f>
        <v>#N/A</v>
      </c>
      <c r="DF66" s="122" t="e" cm="1">
        <f t="array" aca="1" ref="DF66" ca="1">IF(DA66=0,"",IF(CZ66="G","AVERAGE",INDEX(auto_ddCountry,CZ66)))</f>
        <v>#N/A</v>
      </c>
      <c r="DG66" s="290" t="e" cm="1">
        <f t="array" aca="1" ref="DG66" ca="1">IF(DA66=0,"",INDEX(auto_DataFlat_Score,CY66,$E$11))</f>
        <v>#N/A</v>
      </c>
      <c r="DH66" s="4"/>
      <c r="DI66" s="49">
        <f t="shared" si="44"/>
        <v>-1</v>
      </c>
      <c r="DJ66" s="49" t="e" cm="1">
        <f t="array" ref="DJ66">IF($F66=0,0,INDEX(sys_DataFlat_LU_Grid,DI66,$E66))</f>
        <v>#VALUE!</v>
      </c>
      <c r="DK66" s="49" t="e" cm="1">
        <f t="array" ref="DK66">IF($F66=0,-1000,CHOOSE($E$14,INDEX(auto_DataFlat_Score,DJ66,$E$11),-INDEX(auto_DataFlat_Score,DJ66,$E$11),-$D66))</f>
        <v>#VALUE!</v>
      </c>
      <c r="DL66" s="91" t="e">
        <f ca="1">RANK(DK66,OFFSET(DK$21,0,0,$E$16+1,1))+COUNTIF(DK$21:DK66,DK66)-1</f>
        <v>#VALUE!</v>
      </c>
      <c r="DM66" s="91" t="e">
        <f t="shared" ca="1" si="28"/>
        <v>#N/A</v>
      </c>
      <c r="DN66" s="91" t="e" cm="1">
        <f t="array" aca="1" ref="DN66" ca="1">INDEX(OFFSET(DJ$21,0,0,$E$16+1,1),DM66)</f>
        <v>#N/A</v>
      </c>
      <c r="DO66" s="49" t="e" cm="1">
        <f t="array" aca="1" ref="DO66" ca="1">INDEX(OFFSET($E$21,0,0,$E$16+1,1),DM66)</f>
        <v>#N/A</v>
      </c>
      <c r="DP66" s="80" t="e" cm="1">
        <f t="array" aca="1" ref="DP66" ca="1">IF(DO66="G",5,INDEX(OFFSET($F$21,0,0,$E$16+1,1),DM66))</f>
        <v>#N/A</v>
      </c>
      <c r="DQ66" s="80" t="e" cm="1">
        <f t="array" aca="1" ref="DQ66" ca="1">IF(DN66=0,0,IF(DO66="G",-1,INDEX(auto_DataFlat_Classification,DN66,$E$11)))</f>
        <v>#N/A</v>
      </c>
      <c r="DR66" s="301" t="e" cm="1">
        <f t="array" aca="1" ref="DR66" ca="1">IF(DQ66&lt;0,"",INDEX(uxbGlobals!$B$133:$B$139,DQ66))</f>
        <v>#N/A</v>
      </c>
      <c r="DS66" s="80"/>
      <c r="DT66" s="302" t="e" cm="1">
        <f t="array" aca="1" ref="DT66" ca="1">IF(DP66=0,"",IF(DO66="G","--",INDEX(auto_DataFlat_Rank,DN66,$E$11)))</f>
        <v>#N/A</v>
      </c>
      <c r="DU66" s="122" t="e" cm="1">
        <f t="array" aca="1" ref="DU66" ca="1">IF(DP66=0,"",IF(DO66="G","AVERAGE",INDEX(auto_ddCountry,DO66)))</f>
        <v>#N/A</v>
      </c>
      <c r="DV66" s="290" t="e" cm="1">
        <f t="array" aca="1" ref="DV66" ca="1">IF(DP66=0,"",INDEX(auto_DataFlat_Score,DN66,$E$11))</f>
        <v>#N/A</v>
      </c>
      <c r="DW66" s="4"/>
      <c r="DX66" s="49">
        <f t="shared" si="45"/>
        <v>-1</v>
      </c>
      <c r="DY66" s="49" t="e" cm="1">
        <f t="array" ref="DY66">IF($F66=0,0,INDEX(sys_DataFlat_LU_Grid,DX66,$E66))</f>
        <v>#VALUE!</v>
      </c>
      <c r="DZ66" s="49" t="e" cm="1">
        <f t="array" ref="DZ66">IF($F66=0,-1000,CHOOSE($E$14,INDEX(auto_DataFlat_Score,DY66,$E$11),-INDEX(auto_DataFlat_Score,DY66,$E$11),-$D66))</f>
        <v>#VALUE!</v>
      </c>
      <c r="EA66" s="91" t="e">
        <f ca="1">RANK(DZ66,OFFSET(DZ$21,0,0,$E$16+1,1))+COUNTIF(DZ$21:DZ66,DZ66)-1</f>
        <v>#VALUE!</v>
      </c>
      <c r="EB66" s="91" t="e">
        <f t="shared" ca="1" si="29"/>
        <v>#N/A</v>
      </c>
      <c r="EC66" s="91" t="e" cm="1">
        <f t="array" aca="1" ref="EC66" ca="1">INDEX(OFFSET(DY$21,0,0,$E$16+1,1),EB66)</f>
        <v>#N/A</v>
      </c>
      <c r="ED66" s="49" t="e" cm="1">
        <f t="array" aca="1" ref="ED66" ca="1">INDEX(OFFSET($E$21,0,0,$E$16+1,1),EB66)</f>
        <v>#N/A</v>
      </c>
      <c r="EE66" s="80" t="e" cm="1">
        <f t="array" aca="1" ref="EE66" ca="1">IF(ED66="G",5,INDEX(OFFSET($F$21,0,0,$E$16+1,1),EB66))</f>
        <v>#N/A</v>
      </c>
      <c r="EF66" s="80" t="e" cm="1">
        <f t="array" aca="1" ref="EF66" ca="1">IF(EC66=0,0,IF(ED66="G",-1,INDEX(auto_DataFlat_Classification,EC66,$E$11)))</f>
        <v>#N/A</v>
      </c>
      <c r="EG66" s="301" t="e" cm="1">
        <f t="array" aca="1" ref="EG66" ca="1">IF(EF66&lt;0,"",INDEX(uxbGlobals!$B$133:$B$139,EF66))</f>
        <v>#N/A</v>
      </c>
      <c r="EH66" s="80"/>
      <c r="EI66" s="302" t="e" cm="1">
        <f t="array" aca="1" ref="EI66" ca="1">IF(EE66=0,"",IF(ED66="G","--",INDEX(auto_DataFlat_Rank,EC66,$E$11)))</f>
        <v>#N/A</v>
      </c>
      <c r="EJ66" s="122" t="e" cm="1">
        <f t="array" aca="1" ref="EJ66" ca="1">IF(EE66=0,"",IF(ED66="G","AVERAGE",INDEX(auto_ddCountry,ED66)))</f>
        <v>#N/A</v>
      </c>
      <c r="EK66" s="290" t="e" cm="1">
        <f t="array" aca="1" ref="EK66" ca="1">IF(EE66=0,"",INDEX(auto_DataFlat_Score,EC66,$E$11))</f>
        <v>#N/A</v>
      </c>
      <c r="EL66" s="4"/>
      <c r="EM66" s="49">
        <f t="shared" si="46"/>
        <v>-1</v>
      </c>
      <c r="EN66" s="49" t="e" cm="1">
        <f t="array" ref="EN66">IF($F66=0,0,INDEX(sys_DataFlat_LU_Grid,EM66,$E66))</f>
        <v>#VALUE!</v>
      </c>
      <c r="EO66" s="49" t="e" cm="1">
        <f t="array" ref="EO66">IF($F66=0,-1000,CHOOSE($E$14,INDEX(auto_DataFlat_Score,EN66,$E$11),-INDEX(auto_DataFlat_Score,EN66,$E$11),-$D66))</f>
        <v>#VALUE!</v>
      </c>
      <c r="EP66" s="91" t="e">
        <f ca="1">RANK(EO66,OFFSET(EO$21,0,0,$E$16+1,1))+COUNTIF(EO$21:EO66,EO66)-1</f>
        <v>#VALUE!</v>
      </c>
      <c r="EQ66" s="91" t="e">
        <f t="shared" ca="1" si="30"/>
        <v>#N/A</v>
      </c>
      <c r="ER66" s="91" t="e" cm="1">
        <f t="array" aca="1" ref="ER66" ca="1">INDEX(OFFSET(EN$21,0,0,$E$16+1,1),EQ66)</f>
        <v>#N/A</v>
      </c>
      <c r="ES66" s="49" t="e" cm="1">
        <f t="array" aca="1" ref="ES66" ca="1">INDEX(OFFSET($E$21,0,0,$E$16+1,1),EQ66)</f>
        <v>#N/A</v>
      </c>
      <c r="ET66" s="80" t="e" cm="1">
        <f t="array" aca="1" ref="ET66" ca="1">IF(ES66="G",5,INDEX(OFFSET($F$21,0,0,$E$16+1,1),EQ66))</f>
        <v>#N/A</v>
      </c>
      <c r="EU66" s="80" t="e" cm="1">
        <f t="array" aca="1" ref="EU66" ca="1">IF(ER66=0,0,IF(ES66="G",-1,INDEX(auto_DataFlat_Classification,ER66,$E$11)))</f>
        <v>#N/A</v>
      </c>
      <c r="EV66" s="301" t="e" cm="1">
        <f t="array" aca="1" ref="EV66" ca="1">IF(EU66&lt;0,"",INDEX(uxbGlobals!$B$133:$B$139,EU66))</f>
        <v>#N/A</v>
      </c>
      <c r="EW66" s="80"/>
      <c r="EX66" s="302" t="e" cm="1">
        <f t="array" aca="1" ref="EX66" ca="1">IF(ET66=0,"",IF(ES66="G","--",INDEX(auto_DataFlat_Rank,ER66,$E$11)))</f>
        <v>#N/A</v>
      </c>
      <c r="EY66" s="122" t="e" cm="1">
        <f t="array" aca="1" ref="EY66" ca="1">IF(ET66=0,"",IF(ES66="G","AVERAGE",INDEX(auto_ddCountry,ES66)))</f>
        <v>#N/A</v>
      </c>
      <c r="EZ66" s="290" t="e" cm="1">
        <f t="array" aca="1" ref="EZ66" ca="1">IF(ET66=0,"",INDEX(auto_DataFlat_Score,ER66,$E$11))</f>
        <v>#N/A</v>
      </c>
    </row>
    <row r="67" spans="1:156" ht="17.149999999999999" customHeight="1" x14ac:dyDescent="0.4">
      <c r="A67" s="4"/>
      <c r="B67" s="4"/>
      <c r="C67" s="4"/>
      <c r="D67" s="26">
        <v>47</v>
      </c>
      <c r="E67" s="49">
        <f>tblCountries!M48</f>
        <v>46</v>
      </c>
      <c r="F67" s="114" cm="1">
        <f t="array" ref="F67">IF(E67=0,0,INDEX(auto_Country_Status,E67))</f>
        <v>1</v>
      </c>
      <c r="G67" s="4"/>
      <c r="H67" s="49">
        <f t="shared" si="31"/>
        <v>1</v>
      </c>
      <c r="I67" s="49" cm="1">
        <f t="array" ref="I67">IF($F67=0,0,INDEX(sys_DataFlat_LU_Grid,H67,$E67))</f>
        <v>46</v>
      </c>
      <c r="J67" s="49" cm="1">
        <f t="array" ref="J67">IF($F67=0,-1000,CHOOSE($E$14,INDEX(auto_DataFlat_Score,I67,$E$11),-INDEX(auto_DataFlat_Score,I67,$E$11),-$D67))</f>
        <v>76.099999999999994</v>
      </c>
      <c r="K67" s="91">
        <f ca="1">RANK(J67,OFFSET(J$21,0,0,$E$16+1,1))+COUNTIF(J$21:J67,J67)-1</f>
        <v>8</v>
      </c>
      <c r="L67" s="91">
        <f t="shared" ca="1" si="48"/>
        <v>25</v>
      </c>
      <c r="M67" s="91" cm="1">
        <f t="array" aca="1" ref="M67" ca="1">INDEX(OFFSET(I$21,0,0,$E$16+1,1),L67)</f>
        <v>24</v>
      </c>
      <c r="N67" s="49" cm="1">
        <f t="array" aca="1" ref="N67" ca="1">INDEX(OFFSET($E$21,0,0,$E$16+1,1),L67)</f>
        <v>24</v>
      </c>
      <c r="O67" s="80" cm="1">
        <f t="array" aca="1" ref="O67" ca="1">IF(N67="G",5,INDEX(OFFSET($F$21,0,0,$E$16+1,1),L67))</f>
        <v>1</v>
      </c>
      <c r="P67" s="80" cm="1">
        <f t="array" aca="1" ref="P67" ca="1">IF(M67=0,0,IF(N67="G",-1,INDEX(auto_DataFlat_Classification,M67,$E$11)))</f>
        <v>3</v>
      </c>
      <c r="Q67" s="301" t="str" cm="1">
        <f t="array" aca="1" ref="Q67" ca="1">IF(P67&lt;0,"",INDEX(uxbGlobals!$B$133:$B$139,P67))</f>
        <v xml:space="preserve"> </v>
      </c>
      <c r="R67" s="80"/>
      <c r="S67" s="302" t="str" cm="1">
        <f t="array" aca="1" ref="S67" ca="1">IF(O67=0,"",IF(N67="G","--",INDEX(auto_DataFlat_Rank,M67,$E$11)))</f>
        <v>46</v>
      </c>
      <c r="T67" s="122" t="str" cm="1">
        <f t="array" aca="1" ref="T67" ca="1">IF(O67=0,"",IF(N67="G"," AVERAGE",INDEX(auto_ddCountry,N67)))</f>
        <v>Kuwait City</v>
      </c>
      <c r="U67" s="290" cm="1">
        <f t="array" aca="1" ref="U67" ca="1">IF(O67=0,"",INDEX(auto_DataFlat_Score,M67,$E$11))</f>
        <v>42.1</v>
      </c>
      <c r="V67" s="4"/>
      <c r="W67" s="49">
        <f t="shared" si="33"/>
        <v>2</v>
      </c>
      <c r="X67" s="49" cm="1">
        <f t="array" ref="X67">IF($F67=0,0,INDEX(sys_DataFlat_LU_Grid,W67,$E67))</f>
        <v>106</v>
      </c>
      <c r="Y67" s="49" cm="1">
        <f t="array" ref="Y67">IF($F67=0,-1000,CHOOSE($E$14,INDEX(auto_DataFlat_Score,X67,$E$11),-INDEX(auto_DataFlat_Score,X67,$E$11),-$D67))</f>
        <v>84.2</v>
      </c>
      <c r="Z67" s="91">
        <f ca="1">RANK(Y67,OFFSET(Y$21,0,0,$E$16+1,1))+COUNTIF(Y$21:Y67,Y67)-1</f>
        <v>15</v>
      </c>
      <c r="AA67" s="91">
        <f t="shared" ca="1" si="49"/>
        <v>23</v>
      </c>
      <c r="AB67" s="91" cm="1">
        <f t="array" aca="1" ref="AB67" ca="1">INDEX(OFFSET(X$21,0,0,$E$16+1,1),AA67)</f>
        <v>82</v>
      </c>
      <c r="AC67" s="49" cm="1">
        <f t="array" aca="1" ref="AC67" ca="1">INDEX(OFFSET($E$21,0,0,$E$16+1,1),AA67)</f>
        <v>22</v>
      </c>
      <c r="AD67" s="80" cm="1">
        <f t="array" aca="1" ref="AD67" ca="1">IF(AC67="G",5,INDEX(OFFSET($F$21,0,0,$E$16+1,1),AA67))</f>
        <v>1</v>
      </c>
      <c r="AE67" s="80" cm="1">
        <f t="array" aca="1" ref="AE67" ca="1">IF(AB67=0,0,IF(AC67="G",-1,INDEX(auto_DataFlat_Classification,AB67,$E$11)))</f>
        <v>3</v>
      </c>
      <c r="AF67" s="301" t="str" cm="1">
        <f t="array" aca="1" ref="AF67" ca="1">IF(AE67&lt;0,"",INDEX(uxbGlobals!$B$133:$B$139,AE67))</f>
        <v xml:space="preserve"> </v>
      </c>
      <c r="AG67" s="80"/>
      <c r="AH67" s="302" t="str" cm="1">
        <f t="array" aca="1" ref="AH67" ca="1">IF(AD67=0,"",IF(AC67="G","--",INDEX(auto_DataFlat_Rank,AB67,$E$11)))</f>
        <v>46</v>
      </c>
      <c r="AI67" s="122" t="str" cm="1">
        <f t="array" aca="1" ref="AI67" ca="1">IF(AD67=0,"",IF(AC67="G","AVERAGE",INDEX(auto_ddCountry,AC67)))</f>
        <v>Kathmandu</v>
      </c>
      <c r="AJ67" s="290" cm="1">
        <f t="array" aca="1" ref="AJ67" ca="1">IF(AD67=0,"",INDEX(auto_DataFlat_Score,AB67,$E$11))</f>
        <v>41.3</v>
      </c>
      <c r="AK67" s="4"/>
      <c r="AL67" s="49">
        <f t="shared" si="35"/>
        <v>14</v>
      </c>
      <c r="AM67" s="49" cm="1">
        <f t="array" ref="AM67">IF($F67=0,0,INDEX(sys_DataFlat_LU_Grid,AL67,$E67))</f>
        <v>826</v>
      </c>
      <c r="AN67" s="49" cm="1">
        <f t="array" ref="AN67">IF($F67=0,-1000,CHOOSE($E$14,INDEX(auto_DataFlat_Score,AM67,$E$11),-INDEX(auto_DataFlat_Score,AM67,$E$11),-$D67))</f>
        <v>60.9</v>
      </c>
      <c r="AO67" s="91">
        <f ca="1">RANK(AN67,OFFSET(AN$21,0,0,$E$16+1,1))+COUNTIF(AN$21:AN67,AN67)-1</f>
        <v>16</v>
      </c>
      <c r="AP67" s="91">
        <f t="shared" ca="1" si="50"/>
        <v>24</v>
      </c>
      <c r="AQ67" s="91" cm="1">
        <f t="array" aca="1" ref="AQ67" ca="1">INDEX(OFFSET(AM$21,0,0,$E$16+1,1),AP67)</f>
        <v>803</v>
      </c>
      <c r="AR67" s="49" cm="1">
        <f t="array" aca="1" ref="AR67" ca="1">INDEX(OFFSET($E$21,0,0,$E$16+1,1),AP67)</f>
        <v>23</v>
      </c>
      <c r="AS67" s="80" cm="1">
        <f t="array" aca="1" ref="AS67" ca="1">IF(AR67="G",5,INDEX(OFFSET($F$21,0,0,$E$16+1,1),AP67))</f>
        <v>1</v>
      </c>
      <c r="AT67" s="80" cm="1">
        <f t="array" aca="1" ref="AT67" ca="1">IF(AQ67=0,0,IF(AR67="G",-1,INDEX(auto_DataFlat_Classification,AQ67,$E$11)))</f>
        <v>2</v>
      </c>
      <c r="AU67" s="301" t="str" cm="1">
        <f t="array" aca="1" ref="AU67" ca="1">IF(AT67&lt;0,"",INDEX(uxbGlobals!$B$133:$B$139,AT67))</f>
        <v xml:space="preserve"> </v>
      </c>
      <c r="AV67" s="80"/>
      <c r="AW67" s="302" t="str" cm="1">
        <f t="array" aca="1" ref="AW67" ca="1">IF(AS67=0,"",IF(AR67="G","--",INDEX(auto_DataFlat_Rank,AQ67,$E$11)))</f>
        <v>46</v>
      </c>
      <c r="AX67" s="122" t="str" cm="1">
        <f t="array" aca="1" ref="AX67" ca="1">IF(AS67=0,"",IF(AR67="G","AVERAGE",INDEX(auto_ddCountry,AR67)))</f>
        <v>Kolkata</v>
      </c>
      <c r="AY67" s="290" cm="1">
        <f t="array" aca="1" ref="AY67" ca="1">IF(AS67=0,"",INDEX(auto_DataFlat_Score,AQ67,$E$11))</f>
        <v>23.2</v>
      </c>
      <c r="AZ67" s="4"/>
      <c r="BA67" s="49">
        <f t="shared" si="37"/>
        <v>22</v>
      </c>
      <c r="BB67" s="49" cm="1">
        <f t="array" ref="BB67">IF($F67=0,0,INDEX(sys_DataFlat_LU_Grid,BA67,$E67))</f>
        <v>1306</v>
      </c>
      <c r="BC67" s="49" cm="1">
        <f t="array" ref="BC67">IF($F67=0,-1000,CHOOSE($E$14,INDEX(auto_DataFlat_Score,BB67,$E$11),-INDEX(auto_DataFlat_Score,BB67,$E$11),-$D67))</f>
        <v>80.7</v>
      </c>
      <c r="BD67" s="91">
        <f ca="1">RANK(BC67,OFFSET(BC$21,0,0,$E$16+1,1))+COUNTIF(BC$21:BC67,BC67)-1</f>
        <v>5</v>
      </c>
      <c r="BE67" s="91">
        <f t="shared" ca="1" si="51"/>
        <v>25</v>
      </c>
      <c r="BF67" s="91" cm="1">
        <f t="array" aca="1" ref="BF67" ca="1">INDEX(OFFSET(BB$21,0,0,$E$16+1,1),BE67)</f>
        <v>1284</v>
      </c>
      <c r="BG67" s="49" cm="1">
        <f t="array" aca="1" ref="BG67" ca="1">INDEX(OFFSET($E$21,0,0,$E$16+1,1),BE67)</f>
        <v>24</v>
      </c>
      <c r="BH67" s="80" cm="1">
        <f t="array" aca="1" ref="BH67" ca="1">IF(BG67="G",5,INDEX(OFFSET($F$21,0,0,$E$16+1,1),BE67))</f>
        <v>1</v>
      </c>
      <c r="BI67" s="80" cm="1">
        <f t="array" aca="1" ref="BI67" ca="1">IF(BF67=0,0,IF(BG67="G",-1,INDEX(auto_DataFlat_Classification,BF67,$E$11)))</f>
        <v>2</v>
      </c>
      <c r="BJ67" s="301" t="str" cm="1">
        <f t="array" aca="1" ref="BJ67" ca="1">IF(BI67&lt;0,"",INDEX(uxbGlobals!$B$133:$B$139,BI67))</f>
        <v xml:space="preserve"> </v>
      </c>
      <c r="BK67" s="80"/>
      <c r="BL67" s="302" t="str" cm="1">
        <f t="array" aca="1" ref="BL67" ca="1">IF(BH67=0,"",IF(BG67="G","--",INDEX(auto_DataFlat_Rank,BF67,$E$11)))</f>
        <v>46</v>
      </c>
      <c r="BM67" s="122" t="str" cm="1">
        <f t="array" aca="1" ref="BM67" ca="1">IF(BH67=0,"",IF(BG67="G","AVERAGE",INDEX(auto_ddCountry,BG67)))</f>
        <v>Kuwait City</v>
      </c>
      <c r="BN67" s="290" cm="1">
        <f t="array" aca="1" ref="BN67" ca="1">IF(BH67=0,"",INDEX(auto_DataFlat_Score,BF67,$E$11))</f>
        <v>37.1</v>
      </c>
      <c r="BO67" s="4"/>
      <c r="BP67" s="49">
        <f t="shared" si="39"/>
        <v>47</v>
      </c>
      <c r="BQ67" s="49" cm="1">
        <f t="array" ref="BQ67">IF($F67=0,0,INDEX(sys_DataFlat_LU_Grid,BP67,$E67))</f>
        <v>2806</v>
      </c>
      <c r="BR67" s="49" cm="1">
        <f t="array" ref="BR67">IF($F67=0,-1000,CHOOSE($E$14,INDEX(auto_DataFlat_Score,BQ67,$E$11),-INDEX(auto_DataFlat_Score,BQ67,$E$11),-$D67))</f>
        <v>80.400000000000006</v>
      </c>
      <c r="BS67" s="91">
        <f ca="1">RANK(BR67,OFFSET(BR$21,0,0,$E$16+1,1))+COUNTIF(BR$21:BR67,BR67)-1</f>
        <v>15</v>
      </c>
      <c r="BT67" s="91">
        <f t="shared" ca="1" si="52"/>
        <v>14</v>
      </c>
      <c r="BU67" s="91" cm="1">
        <f t="array" aca="1" ref="BU67" ca="1">INDEX(OFFSET(BQ$21,0,0,$E$16+1,1),BT67)</f>
        <v>2773</v>
      </c>
      <c r="BV67" s="49" cm="1">
        <f t="array" aca="1" ref="BV67" ca="1">INDEX(OFFSET($E$21,0,0,$E$16+1,1),BT67)</f>
        <v>13</v>
      </c>
      <c r="BW67" s="80" cm="1">
        <f t="array" aca="1" ref="BW67" ca="1">IF(BV67="G",5,INDEX(OFFSET($F$21,0,0,$E$16+1,1),BT67))</f>
        <v>1</v>
      </c>
      <c r="BX67" s="80" cm="1">
        <f t="array" aca="1" ref="BX67" ca="1">IF(BU67=0,0,IF(BV67="G",-1,INDEX(auto_DataFlat_Classification,BU67,$E$11)))</f>
        <v>2</v>
      </c>
      <c r="BY67" s="301" t="str" cm="1">
        <f t="array" aca="1" ref="BY67" ca="1">IF(BX67&lt;0,"",INDEX(uxbGlobals!$B$133:$B$139,BX67))</f>
        <v xml:space="preserve"> </v>
      </c>
      <c r="BZ67" s="80"/>
      <c r="CA67" s="302" t="str" cm="1">
        <f t="array" aca="1" ref="CA67" ca="1">IF(BW67=0,"",IF(BV67="G","--",INDEX(auto_DataFlat_Rank,BU67,$E$11)))</f>
        <v>46</v>
      </c>
      <c r="CB67" s="122" t="str" cm="1">
        <f t="array" aca="1" ref="CB67" ca="1">IF(BW67=0,"",IF(BV67="G","AVERAGE",INDEX(auto_ddCountry,BV67)))</f>
        <v>Dhaka</v>
      </c>
      <c r="CC67" s="290" cm="1">
        <f t="array" aca="1" ref="CC67" ca="1">IF(BW67=0,"",INDEX(auto_DataFlat_Score,BU67,$E$11))</f>
        <v>39.1</v>
      </c>
      <c r="CD67" s="4"/>
      <c r="CE67" s="49">
        <f t="shared" si="41"/>
        <v>52</v>
      </c>
      <c r="CF67" s="49" cm="1">
        <f t="array" ref="CF67">IF($F67=0,0,INDEX(sys_DataFlat_LU_Grid,CE67,$E67))</f>
        <v>3106</v>
      </c>
      <c r="CG67" s="49" cm="1">
        <f t="array" ref="CG67">IF($F67=0,-1000,CHOOSE($E$14,INDEX(auto_DataFlat_Score,CF67,$E$11),-INDEX(auto_DataFlat_Score,CF67,$E$11),-$D67))</f>
        <v>74.099999999999994</v>
      </c>
      <c r="CH67" s="91">
        <f ca="1">RANK(CG67,OFFSET(CG$21,0,0,$E$16+1,1))+COUNTIF(CG$21:CG67,CG67)-1</f>
        <v>24</v>
      </c>
      <c r="CI67" s="91">
        <f t="shared" ca="1" si="53"/>
        <v>25</v>
      </c>
      <c r="CJ67" s="91" cm="1">
        <f t="array" aca="1" ref="CJ67" ca="1">INDEX(OFFSET(CF$21,0,0,$E$16+1,1),CI67)</f>
        <v>3084</v>
      </c>
      <c r="CK67" s="49" cm="1">
        <f t="array" aca="1" ref="CK67" ca="1">INDEX(OFFSET($E$21,0,0,$E$16+1,1),CI67)</f>
        <v>24</v>
      </c>
      <c r="CL67" s="80" cm="1">
        <f t="array" aca="1" ref="CL67" ca="1">IF(CK67="G",5,INDEX(OFFSET($F$21,0,0,$E$16+1,1),CI67))</f>
        <v>1</v>
      </c>
      <c r="CM67" s="80" cm="1">
        <f t="array" aca="1" ref="CM67" ca="1">IF(CJ67=0,0,IF(CK67="G",-1,INDEX(auto_DataFlat_Classification,CJ67,$E$11)))</f>
        <v>3</v>
      </c>
      <c r="CN67" s="301" t="str" cm="1">
        <f t="array" aca="1" ref="CN67" ca="1">IF(CM67&lt;0,"",INDEX(uxbGlobals!$B$133:$B$139,CM67))</f>
        <v xml:space="preserve"> </v>
      </c>
      <c r="CO67" s="80"/>
      <c r="CP67" s="302" t="str" cm="1">
        <f t="array" aca="1" ref="CP67" ca="1">IF(CL67=0,"",IF(CK67="G","--",INDEX(auto_DataFlat_Rank,CJ67,$E$11)))</f>
        <v>46</v>
      </c>
      <c r="CQ67" s="122" t="str" cm="1">
        <f t="array" aca="1" ref="CQ67" ca="1">IF(CL67=0,"",IF(CK67="G","AVERAGE",INDEX(auto_ddCountry,CK67)))</f>
        <v>Kuwait City</v>
      </c>
      <c r="CR67" s="290" cm="1">
        <f t="array" aca="1" ref="CR67" ca="1">IF(CL67=0,"",INDEX(auto_DataFlat_Score,CJ67,$E$11))</f>
        <v>50</v>
      </c>
      <c r="CS67" s="4"/>
      <c r="CT67" s="49">
        <f t="shared" si="43"/>
        <v>-1</v>
      </c>
      <c r="CU67" s="49" t="e" cm="1">
        <f t="array" ref="CU67">IF($F67=0,0,INDEX(sys_DataFlat_LU_Grid,CT67,$E67))</f>
        <v>#VALUE!</v>
      </c>
      <c r="CV67" s="49" t="e" cm="1">
        <f t="array" ref="CV67">IF($F67=0,-1000,CHOOSE($E$14,INDEX(auto_DataFlat_Score,CU67,$E$11),-INDEX(auto_DataFlat_Score,CU67,$E$11),-$D67))</f>
        <v>#VALUE!</v>
      </c>
      <c r="CW67" s="91" t="e">
        <f ca="1">RANK(CV67,OFFSET(CV$21,0,0,$E$16+1,1))+COUNTIF(CV$21:CV67,CV67)-1</f>
        <v>#VALUE!</v>
      </c>
      <c r="CX67" s="91" t="e">
        <f t="shared" ca="1" si="47"/>
        <v>#N/A</v>
      </c>
      <c r="CY67" s="91" t="e" cm="1">
        <f t="array" aca="1" ref="CY67" ca="1">INDEX(OFFSET(CU$21,0,0,$E$16+1,1),CX67)</f>
        <v>#N/A</v>
      </c>
      <c r="CZ67" s="49" t="e" cm="1">
        <f t="array" aca="1" ref="CZ67" ca="1">INDEX(OFFSET($E$21,0,0,$E$16+1,1),CX67)</f>
        <v>#N/A</v>
      </c>
      <c r="DA67" s="80" t="e" cm="1">
        <f t="array" aca="1" ref="DA67" ca="1">IF(CZ67="G",5,INDEX(OFFSET($F$21,0,0,$E$16+1,1),CX67))</f>
        <v>#N/A</v>
      </c>
      <c r="DB67" s="80" t="e" cm="1">
        <f t="array" aca="1" ref="DB67" ca="1">IF(CY67=0,0,IF(CZ67="G",-1,INDEX(auto_DataFlat_Classification,CY67,$E$11)))</f>
        <v>#N/A</v>
      </c>
      <c r="DC67" s="301" t="e" cm="1">
        <f t="array" aca="1" ref="DC67" ca="1">IF(DB67&lt;0,"",INDEX(uxbGlobals!$B$133:$B$139,DB67))</f>
        <v>#N/A</v>
      </c>
      <c r="DD67" s="80"/>
      <c r="DE67" s="302" t="e" cm="1">
        <f t="array" aca="1" ref="DE67" ca="1">IF(DA67=0,"",IF(CZ67="G","--",INDEX(auto_DataFlat_Rank,CY67,$E$11)))</f>
        <v>#N/A</v>
      </c>
      <c r="DF67" s="122" t="e" cm="1">
        <f t="array" aca="1" ref="DF67" ca="1">IF(DA67=0,"",IF(CZ67="G","AVERAGE",INDEX(auto_ddCountry,CZ67)))</f>
        <v>#N/A</v>
      </c>
      <c r="DG67" s="290" t="e" cm="1">
        <f t="array" aca="1" ref="DG67" ca="1">IF(DA67=0,"",INDEX(auto_DataFlat_Score,CY67,$E$11))</f>
        <v>#N/A</v>
      </c>
      <c r="DH67" s="4"/>
      <c r="DI67" s="49">
        <f t="shared" si="44"/>
        <v>-1</v>
      </c>
      <c r="DJ67" s="49" t="e" cm="1">
        <f t="array" ref="DJ67">IF($F67=0,0,INDEX(sys_DataFlat_LU_Grid,DI67,$E67))</f>
        <v>#VALUE!</v>
      </c>
      <c r="DK67" s="49" t="e" cm="1">
        <f t="array" ref="DK67">IF($F67=0,-1000,CHOOSE($E$14,INDEX(auto_DataFlat_Score,DJ67,$E$11),-INDEX(auto_DataFlat_Score,DJ67,$E$11),-$D67))</f>
        <v>#VALUE!</v>
      </c>
      <c r="DL67" s="91" t="e">
        <f ca="1">RANK(DK67,OFFSET(DK$21,0,0,$E$16+1,1))+COUNTIF(DK$21:DK67,DK67)-1</f>
        <v>#VALUE!</v>
      </c>
      <c r="DM67" s="91" t="e">
        <f t="shared" ca="1" si="28"/>
        <v>#N/A</v>
      </c>
      <c r="DN67" s="91" t="e" cm="1">
        <f t="array" aca="1" ref="DN67" ca="1">INDEX(OFFSET(DJ$21,0,0,$E$16+1,1),DM67)</f>
        <v>#N/A</v>
      </c>
      <c r="DO67" s="49" t="e" cm="1">
        <f t="array" aca="1" ref="DO67" ca="1">INDEX(OFFSET($E$21,0,0,$E$16+1,1),DM67)</f>
        <v>#N/A</v>
      </c>
      <c r="DP67" s="80" t="e" cm="1">
        <f t="array" aca="1" ref="DP67" ca="1">IF(DO67="G",5,INDEX(OFFSET($F$21,0,0,$E$16+1,1),DM67))</f>
        <v>#N/A</v>
      </c>
      <c r="DQ67" s="80" t="e" cm="1">
        <f t="array" aca="1" ref="DQ67" ca="1">IF(DN67=0,0,IF(DO67="G",-1,INDEX(auto_DataFlat_Classification,DN67,$E$11)))</f>
        <v>#N/A</v>
      </c>
      <c r="DR67" s="301" t="e" cm="1">
        <f t="array" aca="1" ref="DR67" ca="1">IF(DQ67&lt;0,"",INDEX(uxbGlobals!$B$133:$B$139,DQ67))</f>
        <v>#N/A</v>
      </c>
      <c r="DS67" s="80"/>
      <c r="DT67" s="302" t="e" cm="1">
        <f t="array" aca="1" ref="DT67" ca="1">IF(DP67=0,"",IF(DO67="G","--",INDEX(auto_DataFlat_Rank,DN67,$E$11)))</f>
        <v>#N/A</v>
      </c>
      <c r="DU67" s="122" t="e" cm="1">
        <f t="array" aca="1" ref="DU67" ca="1">IF(DP67=0,"",IF(DO67="G","AVERAGE",INDEX(auto_ddCountry,DO67)))</f>
        <v>#N/A</v>
      </c>
      <c r="DV67" s="290" t="e" cm="1">
        <f t="array" aca="1" ref="DV67" ca="1">IF(DP67=0,"",INDEX(auto_DataFlat_Score,DN67,$E$11))</f>
        <v>#N/A</v>
      </c>
      <c r="DW67" s="4"/>
      <c r="DX67" s="49">
        <f t="shared" si="45"/>
        <v>-1</v>
      </c>
      <c r="DY67" s="49" t="e" cm="1">
        <f t="array" ref="DY67">IF($F67=0,0,INDEX(sys_DataFlat_LU_Grid,DX67,$E67))</f>
        <v>#VALUE!</v>
      </c>
      <c r="DZ67" s="49" t="e" cm="1">
        <f t="array" ref="DZ67">IF($F67=0,-1000,CHOOSE($E$14,INDEX(auto_DataFlat_Score,DY67,$E$11),-INDEX(auto_DataFlat_Score,DY67,$E$11),-$D67))</f>
        <v>#VALUE!</v>
      </c>
      <c r="EA67" s="91" t="e">
        <f ca="1">RANK(DZ67,OFFSET(DZ$21,0,0,$E$16+1,1))+COUNTIF(DZ$21:DZ67,DZ67)-1</f>
        <v>#VALUE!</v>
      </c>
      <c r="EB67" s="91" t="e">
        <f t="shared" ca="1" si="29"/>
        <v>#N/A</v>
      </c>
      <c r="EC67" s="91" t="e" cm="1">
        <f t="array" aca="1" ref="EC67" ca="1">INDEX(OFFSET(DY$21,0,0,$E$16+1,1),EB67)</f>
        <v>#N/A</v>
      </c>
      <c r="ED67" s="49" t="e" cm="1">
        <f t="array" aca="1" ref="ED67" ca="1">INDEX(OFFSET($E$21,0,0,$E$16+1,1),EB67)</f>
        <v>#N/A</v>
      </c>
      <c r="EE67" s="80" t="e" cm="1">
        <f t="array" aca="1" ref="EE67" ca="1">IF(ED67="G",5,INDEX(OFFSET($F$21,0,0,$E$16+1,1),EB67))</f>
        <v>#N/A</v>
      </c>
      <c r="EF67" s="80" t="e" cm="1">
        <f t="array" aca="1" ref="EF67" ca="1">IF(EC67=0,0,IF(ED67="G",-1,INDEX(auto_DataFlat_Classification,EC67,$E$11)))</f>
        <v>#N/A</v>
      </c>
      <c r="EG67" s="301" t="e" cm="1">
        <f t="array" aca="1" ref="EG67" ca="1">IF(EF67&lt;0,"",INDEX(uxbGlobals!$B$133:$B$139,EF67))</f>
        <v>#N/A</v>
      </c>
      <c r="EH67" s="80"/>
      <c r="EI67" s="302" t="e" cm="1">
        <f t="array" aca="1" ref="EI67" ca="1">IF(EE67=0,"",IF(ED67="G","--",INDEX(auto_DataFlat_Rank,EC67,$E$11)))</f>
        <v>#N/A</v>
      </c>
      <c r="EJ67" s="122" t="e" cm="1">
        <f t="array" aca="1" ref="EJ67" ca="1">IF(EE67=0,"",IF(ED67="G","AVERAGE",INDEX(auto_ddCountry,ED67)))</f>
        <v>#N/A</v>
      </c>
      <c r="EK67" s="290" t="e" cm="1">
        <f t="array" aca="1" ref="EK67" ca="1">IF(EE67=0,"",INDEX(auto_DataFlat_Score,EC67,$E$11))</f>
        <v>#N/A</v>
      </c>
      <c r="EL67" s="4"/>
      <c r="EM67" s="49">
        <f t="shared" si="46"/>
        <v>-1</v>
      </c>
      <c r="EN67" s="49" t="e" cm="1">
        <f t="array" ref="EN67">IF($F67=0,0,INDEX(sys_DataFlat_LU_Grid,EM67,$E67))</f>
        <v>#VALUE!</v>
      </c>
      <c r="EO67" s="49" t="e" cm="1">
        <f t="array" ref="EO67">IF($F67=0,-1000,CHOOSE($E$14,INDEX(auto_DataFlat_Score,EN67,$E$11),-INDEX(auto_DataFlat_Score,EN67,$E$11),-$D67))</f>
        <v>#VALUE!</v>
      </c>
      <c r="EP67" s="91" t="e">
        <f ca="1">RANK(EO67,OFFSET(EO$21,0,0,$E$16+1,1))+COUNTIF(EO$21:EO67,EO67)-1</f>
        <v>#VALUE!</v>
      </c>
      <c r="EQ67" s="91" t="e">
        <f t="shared" ca="1" si="30"/>
        <v>#N/A</v>
      </c>
      <c r="ER67" s="91" t="e" cm="1">
        <f t="array" aca="1" ref="ER67" ca="1">INDEX(OFFSET(EN$21,0,0,$E$16+1,1),EQ67)</f>
        <v>#N/A</v>
      </c>
      <c r="ES67" s="49" t="e" cm="1">
        <f t="array" aca="1" ref="ES67" ca="1">INDEX(OFFSET($E$21,0,0,$E$16+1,1),EQ67)</f>
        <v>#N/A</v>
      </c>
      <c r="ET67" s="80" t="e" cm="1">
        <f t="array" aca="1" ref="ET67" ca="1">IF(ES67="G",5,INDEX(OFFSET($F$21,0,0,$E$16+1,1),EQ67))</f>
        <v>#N/A</v>
      </c>
      <c r="EU67" s="80" t="e" cm="1">
        <f t="array" aca="1" ref="EU67" ca="1">IF(ER67=0,0,IF(ES67="G",-1,INDEX(auto_DataFlat_Classification,ER67,$E$11)))</f>
        <v>#N/A</v>
      </c>
      <c r="EV67" s="301" t="e" cm="1">
        <f t="array" aca="1" ref="EV67" ca="1">IF(EU67&lt;0,"",INDEX(uxbGlobals!$B$133:$B$139,EU67))</f>
        <v>#N/A</v>
      </c>
      <c r="EW67" s="80"/>
      <c r="EX67" s="302" t="e" cm="1">
        <f t="array" aca="1" ref="EX67" ca="1">IF(ET67=0,"",IF(ES67="G","--",INDEX(auto_DataFlat_Rank,ER67,$E$11)))</f>
        <v>#N/A</v>
      </c>
      <c r="EY67" s="122" t="e" cm="1">
        <f t="array" aca="1" ref="EY67" ca="1">IF(ET67=0,"",IF(ES67="G","AVERAGE",INDEX(auto_ddCountry,ES67)))</f>
        <v>#N/A</v>
      </c>
      <c r="EZ67" s="290" t="e" cm="1">
        <f t="array" aca="1" ref="EZ67" ca="1">IF(ET67=0,"",INDEX(auto_DataFlat_Score,ER67,$E$11))</f>
        <v>#N/A</v>
      </c>
    </row>
    <row r="68" spans="1:156" ht="17.149999999999999" customHeight="1" x14ac:dyDescent="0.4">
      <c r="A68" s="4"/>
      <c r="B68" s="4"/>
      <c r="C68" s="4"/>
      <c r="D68" s="26">
        <v>48</v>
      </c>
      <c r="E68" s="49">
        <f>tblCountries!M49</f>
        <v>47</v>
      </c>
      <c r="F68" s="114" cm="1">
        <f t="array" ref="F68">IF(E68=0,0,INDEX(auto_Country_Status,E68))</f>
        <v>1</v>
      </c>
      <c r="G68" s="4"/>
      <c r="H68" s="49">
        <f t="shared" si="31"/>
        <v>1</v>
      </c>
      <c r="I68" s="49" cm="1">
        <f t="array" ref="I68">IF($F68=0,0,INDEX(sys_DataFlat_LU_Grid,H68,$E68))</f>
        <v>47</v>
      </c>
      <c r="J68" s="49" cm="1">
        <f t="array" ref="J68">IF($F68=0,-1000,CHOOSE($E$14,INDEX(auto_DataFlat_Score,I68,$E$11),-INDEX(auto_DataFlat_Score,I68,$E$11),-$D68))</f>
        <v>77</v>
      </c>
      <c r="K68" s="91">
        <f ca="1">RANK(J68,OFFSET(J$21,0,0,$E$16+1,1))+COUNTIF(J$21:J68,J68)-1</f>
        <v>6</v>
      </c>
      <c r="L68" s="91">
        <f t="shared" ca="1" si="48"/>
        <v>14</v>
      </c>
      <c r="M68" s="91" cm="1">
        <f t="array" aca="1" ref="M68" ca="1">INDEX(OFFSET(I$21,0,0,$E$16+1,1),L68)</f>
        <v>13</v>
      </c>
      <c r="N68" s="49" cm="1">
        <f t="array" aca="1" ref="N68" ca="1">INDEX(OFFSET($E$21,0,0,$E$16+1,1),L68)</f>
        <v>13</v>
      </c>
      <c r="O68" s="80" cm="1">
        <f t="array" aca="1" ref="O68" ca="1">IF(N68="G",5,INDEX(OFFSET($F$21,0,0,$E$16+1,1),L68))</f>
        <v>1</v>
      </c>
      <c r="P68" s="80" cm="1">
        <f t="array" aca="1" ref="P68" ca="1">IF(M68=0,0,IF(N68="G",-1,INDEX(auto_DataFlat_Classification,M68,$E$11)))</f>
        <v>3</v>
      </c>
      <c r="Q68" s="301" t="str" cm="1">
        <f t="array" aca="1" ref="Q68" ca="1">IF(P68&lt;0,"",INDEX(uxbGlobals!$B$133:$B$139,P68))</f>
        <v xml:space="preserve"> </v>
      </c>
      <c r="R68" s="80"/>
      <c r="S68" s="302" t="str" cm="1">
        <f t="array" aca="1" ref="S68" ca="1">IF(O68=0,"",IF(N68="G","--",INDEX(auto_DataFlat_Rank,M68,$E$11)))</f>
        <v>47</v>
      </c>
      <c r="T68" s="122" t="str" cm="1">
        <f t="array" aca="1" ref="T68" ca="1">IF(O68=0,"",IF(N68="G"," AVERAGE",INDEX(auto_ddCountry,N68)))</f>
        <v>Dhaka</v>
      </c>
      <c r="U68" s="290" cm="1">
        <f t="array" aca="1" ref="U68" ca="1">IF(O68=0,"",INDEX(auto_DataFlat_Score,M68,$E$11))</f>
        <v>41.8</v>
      </c>
      <c r="V68" s="4"/>
      <c r="W68" s="49">
        <f t="shared" si="33"/>
        <v>2</v>
      </c>
      <c r="X68" s="49" cm="1">
        <f t="array" ref="X68">IF($F68=0,0,INDEX(sys_DataFlat_LU_Grid,W68,$E68))</f>
        <v>107</v>
      </c>
      <c r="Y68" s="49" cm="1">
        <f t="array" ref="Y68">IF($F68=0,-1000,CHOOSE($E$14,INDEX(auto_DataFlat_Score,X68,$E$11),-INDEX(auto_DataFlat_Score,X68,$E$11),-$D68))</f>
        <v>89.9</v>
      </c>
      <c r="Z68" s="91">
        <f ca="1">RANK(Y68,OFFSET(Y$21,0,0,$E$16+1,1))+COUNTIF(Y$21:Y68,Y68)-1</f>
        <v>1</v>
      </c>
      <c r="AA68" s="91">
        <f t="shared" ca="1" si="49"/>
        <v>11</v>
      </c>
      <c r="AB68" s="91" cm="1">
        <f t="array" aca="1" ref="AB68" ca="1">INDEX(OFFSET(X$21,0,0,$E$16+1,1),AA68)</f>
        <v>70</v>
      </c>
      <c r="AC68" s="49" cm="1">
        <f t="array" aca="1" ref="AC68" ca="1">INDEX(OFFSET($E$21,0,0,$E$16+1,1),AA68)</f>
        <v>10</v>
      </c>
      <c r="AD68" s="80" cm="1">
        <f t="array" aca="1" ref="AD68" ca="1">IF(AC68="G",5,INDEX(OFFSET($F$21,0,0,$E$16+1,1),AA68))</f>
        <v>1</v>
      </c>
      <c r="AE68" s="80" cm="1">
        <f t="array" aca="1" ref="AE68" ca="1">IF(AB68=0,0,IF(AC68="G",-1,INDEX(auto_DataFlat_Classification,AB68,$E$11)))</f>
        <v>3</v>
      </c>
      <c r="AF68" s="301" t="str" cm="1">
        <f t="array" aca="1" ref="AF68" ca="1">IF(AE68&lt;0,"",INDEX(uxbGlobals!$B$133:$B$139,AE68))</f>
        <v xml:space="preserve"> </v>
      </c>
      <c r="AG68" s="80"/>
      <c r="AH68" s="302" t="str" cm="1">
        <f t="array" aca="1" ref="AH68" ca="1">IF(AD68=0,"",IF(AC68="G","--",INDEX(auto_DataFlat_Rank,AB68,$E$11)))</f>
        <v>47</v>
      </c>
      <c r="AI68" s="122" t="str" cm="1">
        <f t="array" aca="1" ref="AI68" ca="1">IF(AD68=0,"",IF(AC68="G","AVERAGE",INDEX(auto_ddCountry,AC68)))</f>
        <v>Cairo</v>
      </c>
      <c r="AJ68" s="290" cm="1">
        <f t="array" aca="1" ref="AJ68" ca="1">IF(AD68=0,"",INDEX(auto_DataFlat_Score,AB68,$E$11))</f>
        <v>40.9</v>
      </c>
      <c r="AK68" s="4"/>
      <c r="AL68" s="49">
        <f t="shared" si="35"/>
        <v>14</v>
      </c>
      <c r="AM68" s="49" cm="1">
        <f t="array" ref="AM68">IF($F68=0,0,INDEX(sys_DataFlat_LU_Grid,AL68,$E68))</f>
        <v>827</v>
      </c>
      <c r="AN68" s="49" cm="1">
        <f t="array" ref="AN68">IF($F68=0,-1000,CHOOSE($E$14,INDEX(auto_DataFlat_Score,AM68,$E$11),-INDEX(auto_DataFlat_Score,AM68,$E$11),-$D68))</f>
        <v>77.5</v>
      </c>
      <c r="AO68" s="91">
        <f ca="1">RANK(AN68,OFFSET(AN$21,0,0,$E$16+1,1))+COUNTIF(AN$21:AN68,AN68)-1</f>
        <v>1</v>
      </c>
      <c r="AP68" s="91">
        <f t="shared" ca="1" si="50"/>
        <v>13</v>
      </c>
      <c r="AQ68" s="91" cm="1">
        <f t="array" aca="1" ref="AQ68" ca="1">INDEX(OFFSET(AM$21,0,0,$E$16+1,1),AP68)</f>
        <v>792</v>
      </c>
      <c r="AR68" s="49" cm="1">
        <f t="array" aca="1" ref="AR68" ca="1">INDEX(OFFSET($E$21,0,0,$E$16+1,1),AP68)</f>
        <v>12</v>
      </c>
      <c r="AS68" s="80" cm="1">
        <f t="array" aca="1" ref="AS68" ca="1">IF(AR68="G",5,INDEX(OFFSET($F$21,0,0,$E$16+1,1),AP68))</f>
        <v>1</v>
      </c>
      <c r="AT68" s="80" cm="1">
        <f t="array" aca="1" ref="AT68" ca="1">IF(AQ68=0,0,IF(AR68="G",-1,INDEX(auto_DataFlat_Classification,AQ68,$E$11)))</f>
        <v>2</v>
      </c>
      <c r="AU68" s="301" t="str" cm="1">
        <f t="array" aca="1" ref="AU68" ca="1">IF(AT68&lt;0,"",INDEX(uxbGlobals!$B$133:$B$139,AT68))</f>
        <v xml:space="preserve"> </v>
      </c>
      <c r="AV68" s="80"/>
      <c r="AW68" s="302" t="str" cm="1">
        <f t="array" aca="1" ref="AW68" ca="1">IF(AS68=0,"",IF(AR68="G","--",INDEX(auto_DataFlat_Rank,AQ68,$E$11)))</f>
        <v>47</v>
      </c>
      <c r="AX68" s="122" t="str" cm="1">
        <f t="array" aca="1" ref="AX68" ca="1">IF(AS68=0,"",IF(AR68="G","AVERAGE",INDEX(auto_ddCountry,AR68)))</f>
        <v>Delhi</v>
      </c>
      <c r="AY68" s="290" cm="1">
        <f t="array" aca="1" ref="AY68" ca="1">IF(AS68=0,"",INDEX(auto_DataFlat_Score,AQ68,$E$11))</f>
        <v>20.9</v>
      </c>
      <c r="AZ68" s="4"/>
      <c r="BA68" s="49">
        <f t="shared" si="37"/>
        <v>22</v>
      </c>
      <c r="BB68" s="49" cm="1">
        <f t="array" ref="BB68">IF($F68=0,0,INDEX(sys_DataFlat_LU_Grid,BA68,$E68))</f>
        <v>1307</v>
      </c>
      <c r="BC68" s="49" cm="1">
        <f t="array" ref="BC68">IF($F68=0,-1000,CHOOSE($E$14,INDEX(auto_DataFlat_Score,BB68,$E$11),-INDEX(auto_DataFlat_Score,BB68,$E$11),-$D68))</f>
        <v>67.7</v>
      </c>
      <c r="BD68" s="91">
        <f ca="1">RANK(BC68,OFFSET(BC$21,0,0,$E$16+1,1))+COUNTIF(BC$21:BC68,BC68)-1</f>
        <v>19</v>
      </c>
      <c r="BE68" s="91">
        <f t="shared" ca="1" si="51"/>
        <v>34</v>
      </c>
      <c r="BF68" s="91" cm="1">
        <f t="array" aca="1" ref="BF68" ca="1">INDEX(OFFSET(BB$21,0,0,$E$16+1,1),BE68)</f>
        <v>1293</v>
      </c>
      <c r="BG68" s="49" cm="1">
        <f t="array" aca="1" ref="BG68" ca="1">INDEX(OFFSET($E$21,0,0,$E$16+1,1),BE68)</f>
        <v>33</v>
      </c>
      <c r="BH68" s="80" cm="1">
        <f t="array" aca="1" ref="BH68" ca="1">IF(BG68="G",5,INDEX(OFFSET($F$21,0,0,$E$16+1,1),BE68))</f>
        <v>1</v>
      </c>
      <c r="BI68" s="80" cm="1">
        <f t="array" aca="1" ref="BI68" ca="1">IF(BF68=0,0,IF(BG68="G",-1,INDEX(auto_DataFlat_Classification,BF68,$E$11)))</f>
        <v>2</v>
      </c>
      <c r="BJ68" s="301" t="str" cm="1">
        <f t="array" aca="1" ref="BJ68" ca="1">IF(BI68&lt;0,"",INDEX(uxbGlobals!$B$133:$B$139,BI68))</f>
        <v xml:space="preserve"> </v>
      </c>
      <c r="BK68" s="80"/>
      <c r="BL68" s="302" t="str" cm="1">
        <f t="array" aca="1" ref="BL68" ca="1">IF(BH68=0,"",IF(BG68="G","--",INDEX(auto_DataFlat_Rank,BF68,$E$11)))</f>
        <v>47</v>
      </c>
      <c r="BM68" s="122" t="str" cm="1">
        <f t="array" aca="1" ref="BM68" ca="1">IF(BH68=0,"",IF(BG68="G","AVERAGE",INDEX(auto_ddCountry,BG68)))</f>
        <v>Nairobi</v>
      </c>
      <c r="BN68" s="290" cm="1">
        <f t="array" aca="1" ref="BN68" ca="1">IF(BH68=0,"",INDEX(auto_DataFlat_Score,BF68,$E$11))</f>
        <v>36.4</v>
      </c>
      <c r="BO68" s="4"/>
      <c r="BP68" s="49">
        <f t="shared" si="39"/>
        <v>47</v>
      </c>
      <c r="BQ68" s="49" cm="1">
        <f t="array" ref="BQ68">IF($F68=0,0,INDEX(sys_DataFlat_LU_Grid,BP68,$E68))</f>
        <v>2807</v>
      </c>
      <c r="BR68" s="49" cm="1">
        <f t="array" ref="BR68">IF($F68=0,-1000,CHOOSE($E$14,INDEX(auto_DataFlat_Score,BQ68,$E$11),-INDEX(auto_DataFlat_Score,BQ68,$E$11),-$D68))</f>
        <v>60.1</v>
      </c>
      <c r="BS68" s="91">
        <f ca="1">RANK(BR68,OFFSET(BR$21,0,0,$E$16+1,1))+COUNTIF(BR$21:BR68,BR68)-1</f>
        <v>29</v>
      </c>
      <c r="BT68" s="91">
        <f t="shared" ca="1" si="52"/>
        <v>7</v>
      </c>
      <c r="BU68" s="91" cm="1">
        <f t="array" aca="1" ref="BU68" ca="1">INDEX(OFFSET(BQ$21,0,0,$E$16+1,1),BT68)</f>
        <v>2766</v>
      </c>
      <c r="BV68" s="49" cm="1">
        <f t="array" aca="1" ref="BV68" ca="1">INDEX(OFFSET($E$21,0,0,$E$16+1,1),BT68)</f>
        <v>6</v>
      </c>
      <c r="BW68" s="80" cm="1">
        <f t="array" aca="1" ref="BW68" ca="1">IF(BV68="G",5,INDEX(OFFSET($F$21,0,0,$E$16+1,1),BT68))</f>
        <v>1</v>
      </c>
      <c r="BX68" s="80" cm="1">
        <f t="array" aca="1" ref="BX68" ca="1">IF(BU68=0,0,IF(BV68="G",-1,INDEX(auto_DataFlat_Classification,BU68,$E$11)))</f>
        <v>2</v>
      </c>
      <c r="BY68" s="301" t="str" cm="1">
        <f t="array" aca="1" ref="BY68" ca="1">IF(BX68&lt;0,"",INDEX(uxbGlobals!$B$133:$B$139,BX68))</f>
        <v xml:space="preserve"> </v>
      </c>
      <c r="BZ68" s="80"/>
      <c r="CA68" s="302" t="str" cm="1">
        <f t="array" aca="1" ref="CA68" ca="1">IF(BW68=0,"",IF(BV68="G","--",INDEX(auto_DataFlat_Rank,BU68,$E$11)))</f>
        <v>47</v>
      </c>
      <c r="CB68" s="122" t="str" cm="1">
        <f t="array" aca="1" ref="CB68" ca="1">IF(BW68=0,"",IF(BV68="G","AVERAGE",INDEX(auto_ddCountry,BV68)))</f>
        <v>Beijing</v>
      </c>
      <c r="CC68" s="290" cm="1">
        <f t="array" aca="1" ref="CC68" ca="1">IF(BW68=0,"",INDEX(auto_DataFlat_Score,BU68,$E$11))</f>
        <v>37.6</v>
      </c>
      <c r="CD68" s="4"/>
      <c r="CE68" s="49">
        <f t="shared" si="41"/>
        <v>52</v>
      </c>
      <c r="CF68" s="49" cm="1">
        <f t="array" ref="CF68">IF($F68=0,0,INDEX(sys_DataFlat_LU_Grid,CE68,$E68))</f>
        <v>3107</v>
      </c>
      <c r="CG68" s="49" cm="1">
        <f t="array" ref="CG68">IF($F68=0,-1000,CHOOSE($E$14,INDEX(auto_DataFlat_Score,CF68,$E$11),-INDEX(auto_DataFlat_Score,CF68,$E$11),-$D68))</f>
        <v>85.2</v>
      </c>
      <c r="CH68" s="91">
        <f ca="1">RANK(CG68,OFFSET(CG$21,0,0,$E$16+1,1))+COUNTIF(CG$21:CG68,CG68)-1</f>
        <v>4</v>
      </c>
      <c r="CI68" s="91">
        <f t="shared" ca="1" si="53"/>
        <v>14</v>
      </c>
      <c r="CJ68" s="91" cm="1">
        <f t="array" aca="1" ref="CJ68" ca="1">INDEX(OFFSET(CF$21,0,0,$E$16+1,1),CI68)</f>
        <v>3073</v>
      </c>
      <c r="CK68" s="49" cm="1">
        <f t="array" aca="1" ref="CK68" ca="1">INDEX(OFFSET($E$21,0,0,$E$16+1,1),CI68)</f>
        <v>13</v>
      </c>
      <c r="CL68" s="80" cm="1">
        <f t="array" aca="1" ref="CL68" ca="1">IF(CK68="G",5,INDEX(OFFSET($F$21,0,0,$E$16+1,1),CI68))</f>
        <v>1</v>
      </c>
      <c r="CM68" s="80" cm="1">
        <f t="array" aca="1" ref="CM68" ca="1">IF(CJ68=0,0,IF(CK68="G",-1,INDEX(auto_DataFlat_Classification,CJ68,$E$11)))</f>
        <v>3</v>
      </c>
      <c r="CN68" s="301" t="str" cm="1">
        <f t="array" aca="1" ref="CN68" ca="1">IF(CM68&lt;0,"",INDEX(uxbGlobals!$B$133:$B$139,CM68))</f>
        <v xml:space="preserve"> </v>
      </c>
      <c r="CO68" s="80"/>
      <c r="CP68" s="302" t="str" cm="1">
        <f t="array" aca="1" ref="CP68" ca="1">IF(CL68=0,"",IF(CK68="G","--",INDEX(auto_DataFlat_Rank,CJ68,$E$11)))</f>
        <v>47</v>
      </c>
      <c r="CQ68" s="122" t="str" cm="1">
        <f t="array" aca="1" ref="CQ68" ca="1">IF(CL68=0,"",IF(CK68="G","AVERAGE",INDEX(auto_ddCountry,CK68)))</f>
        <v>Dhaka</v>
      </c>
      <c r="CR68" s="290" cm="1">
        <f t="array" aca="1" ref="CR68" ca="1">IF(CL68=0,"",INDEX(auto_DataFlat_Score,CJ68,$E$11))</f>
        <v>46.3</v>
      </c>
      <c r="CS68" s="4"/>
      <c r="CT68" s="49">
        <f t="shared" si="43"/>
        <v>-1</v>
      </c>
      <c r="CU68" s="49" t="e" cm="1">
        <f t="array" ref="CU68">IF($F68=0,0,INDEX(sys_DataFlat_LU_Grid,CT68,$E68))</f>
        <v>#VALUE!</v>
      </c>
      <c r="CV68" s="49" t="e" cm="1">
        <f t="array" ref="CV68">IF($F68=0,-1000,CHOOSE($E$14,INDEX(auto_DataFlat_Score,CU68,$E$11),-INDEX(auto_DataFlat_Score,CU68,$E$11),-$D68))</f>
        <v>#VALUE!</v>
      </c>
      <c r="CW68" s="91" t="e">
        <f ca="1">RANK(CV68,OFFSET(CV$21,0,0,$E$16+1,1))+COUNTIF(CV$21:CV68,CV68)-1</f>
        <v>#VALUE!</v>
      </c>
      <c r="CX68" s="91" t="e">
        <f t="shared" ca="1" si="47"/>
        <v>#N/A</v>
      </c>
      <c r="CY68" s="91" t="e" cm="1">
        <f t="array" aca="1" ref="CY68" ca="1">INDEX(OFFSET(CU$21,0,0,$E$16+1,1),CX68)</f>
        <v>#N/A</v>
      </c>
      <c r="CZ68" s="49" t="e" cm="1">
        <f t="array" aca="1" ref="CZ68" ca="1">INDEX(OFFSET($E$21,0,0,$E$16+1,1),CX68)</f>
        <v>#N/A</v>
      </c>
      <c r="DA68" s="80" t="e" cm="1">
        <f t="array" aca="1" ref="DA68" ca="1">IF(CZ68="G",5,INDEX(OFFSET($F$21,0,0,$E$16+1,1),CX68))</f>
        <v>#N/A</v>
      </c>
      <c r="DB68" s="80" t="e" cm="1">
        <f t="array" aca="1" ref="DB68" ca="1">IF(CY68=0,0,IF(CZ68="G",-1,INDEX(auto_DataFlat_Classification,CY68,$E$11)))</f>
        <v>#N/A</v>
      </c>
      <c r="DC68" s="301" t="e" cm="1">
        <f t="array" aca="1" ref="DC68" ca="1">IF(DB68&lt;0,"",INDEX(uxbGlobals!$B$133:$B$139,DB68))</f>
        <v>#N/A</v>
      </c>
      <c r="DD68" s="80"/>
      <c r="DE68" s="302" t="e" cm="1">
        <f t="array" aca="1" ref="DE68" ca="1">IF(DA68=0,"",IF(CZ68="G","--",INDEX(auto_DataFlat_Rank,CY68,$E$11)))</f>
        <v>#N/A</v>
      </c>
      <c r="DF68" s="122" t="e" cm="1">
        <f t="array" aca="1" ref="DF68" ca="1">IF(DA68=0,"",IF(CZ68="G","AVERAGE",INDEX(auto_ddCountry,CZ68)))</f>
        <v>#N/A</v>
      </c>
      <c r="DG68" s="290" t="e" cm="1">
        <f t="array" aca="1" ref="DG68" ca="1">IF(DA68=0,"",INDEX(auto_DataFlat_Score,CY68,$E$11))</f>
        <v>#N/A</v>
      </c>
      <c r="DH68" s="4"/>
      <c r="DI68" s="49">
        <f t="shared" si="44"/>
        <v>-1</v>
      </c>
      <c r="DJ68" s="49" t="e" cm="1">
        <f t="array" ref="DJ68">IF($F68=0,0,INDEX(sys_DataFlat_LU_Grid,DI68,$E68))</f>
        <v>#VALUE!</v>
      </c>
      <c r="DK68" s="49" t="e" cm="1">
        <f t="array" ref="DK68">IF($F68=0,-1000,CHOOSE($E$14,INDEX(auto_DataFlat_Score,DJ68,$E$11),-INDEX(auto_DataFlat_Score,DJ68,$E$11),-$D68))</f>
        <v>#VALUE!</v>
      </c>
      <c r="DL68" s="91" t="e">
        <f ca="1">RANK(DK68,OFFSET(DK$21,0,0,$E$16+1,1))+COUNTIF(DK$21:DK68,DK68)-1</f>
        <v>#VALUE!</v>
      </c>
      <c r="DM68" s="91" t="e">
        <f t="shared" ca="1" si="28"/>
        <v>#N/A</v>
      </c>
      <c r="DN68" s="91" t="e" cm="1">
        <f t="array" aca="1" ref="DN68" ca="1">INDEX(OFFSET(DJ$21,0,0,$E$16+1,1),DM68)</f>
        <v>#N/A</v>
      </c>
      <c r="DO68" s="49" t="e" cm="1">
        <f t="array" aca="1" ref="DO68" ca="1">INDEX(OFFSET($E$21,0,0,$E$16+1,1),DM68)</f>
        <v>#N/A</v>
      </c>
      <c r="DP68" s="80" t="e" cm="1">
        <f t="array" aca="1" ref="DP68" ca="1">IF(DO68="G",5,INDEX(OFFSET($F$21,0,0,$E$16+1,1),DM68))</f>
        <v>#N/A</v>
      </c>
      <c r="DQ68" s="80" t="e" cm="1">
        <f t="array" aca="1" ref="DQ68" ca="1">IF(DN68=0,0,IF(DO68="G",-1,INDEX(auto_DataFlat_Classification,DN68,$E$11)))</f>
        <v>#N/A</v>
      </c>
      <c r="DR68" s="301" t="e" cm="1">
        <f t="array" aca="1" ref="DR68" ca="1">IF(DQ68&lt;0,"",INDEX(uxbGlobals!$B$133:$B$139,DQ68))</f>
        <v>#N/A</v>
      </c>
      <c r="DS68" s="80"/>
      <c r="DT68" s="302" t="e" cm="1">
        <f t="array" aca="1" ref="DT68" ca="1">IF(DP68=0,"",IF(DO68="G","--",INDEX(auto_DataFlat_Rank,DN68,$E$11)))</f>
        <v>#N/A</v>
      </c>
      <c r="DU68" s="122" t="e" cm="1">
        <f t="array" aca="1" ref="DU68" ca="1">IF(DP68=0,"",IF(DO68="G","AVERAGE",INDEX(auto_ddCountry,DO68)))</f>
        <v>#N/A</v>
      </c>
      <c r="DV68" s="290" t="e" cm="1">
        <f t="array" aca="1" ref="DV68" ca="1">IF(DP68=0,"",INDEX(auto_DataFlat_Score,DN68,$E$11))</f>
        <v>#N/A</v>
      </c>
      <c r="DW68" s="4"/>
      <c r="DX68" s="49">
        <f t="shared" si="45"/>
        <v>-1</v>
      </c>
      <c r="DY68" s="49" t="e" cm="1">
        <f t="array" ref="DY68">IF($F68=0,0,INDEX(sys_DataFlat_LU_Grid,DX68,$E68))</f>
        <v>#VALUE!</v>
      </c>
      <c r="DZ68" s="49" t="e" cm="1">
        <f t="array" ref="DZ68">IF($F68=0,-1000,CHOOSE($E$14,INDEX(auto_DataFlat_Score,DY68,$E$11),-INDEX(auto_DataFlat_Score,DY68,$E$11),-$D68))</f>
        <v>#VALUE!</v>
      </c>
      <c r="EA68" s="91" t="e">
        <f ca="1">RANK(DZ68,OFFSET(DZ$21,0,0,$E$16+1,1))+COUNTIF(DZ$21:DZ68,DZ68)-1</f>
        <v>#VALUE!</v>
      </c>
      <c r="EB68" s="91" t="e">
        <f t="shared" ca="1" si="29"/>
        <v>#N/A</v>
      </c>
      <c r="EC68" s="91" t="e" cm="1">
        <f t="array" aca="1" ref="EC68" ca="1">INDEX(OFFSET(DY$21,0,0,$E$16+1,1),EB68)</f>
        <v>#N/A</v>
      </c>
      <c r="ED68" s="49" t="e" cm="1">
        <f t="array" aca="1" ref="ED68" ca="1">INDEX(OFFSET($E$21,0,0,$E$16+1,1),EB68)</f>
        <v>#N/A</v>
      </c>
      <c r="EE68" s="80" t="e" cm="1">
        <f t="array" aca="1" ref="EE68" ca="1">IF(ED68="G",5,INDEX(OFFSET($F$21,0,0,$E$16+1,1),EB68))</f>
        <v>#N/A</v>
      </c>
      <c r="EF68" s="80" t="e" cm="1">
        <f t="array" aca="1" ref="EF68" ca="1">IF(EC68=0,0,IF(ED68="G",-1,INDEX(auto_DataFlat_Classification,EC68,$E$11)))</f>
        <v>#N/A</v>
      </c>
      <c r="EG68" s="301" t="e" cm="1">
        <f t="array" aca="1" ref="EG68" ca="1">IF(EF68&lt;0,"",INDEX(uxbGlobals!$B$133:$B$139,EF68))</f>
        <v>#N/A</v>
      </c>
      <c r="EH68" s="80"/>
      <c r="EI68" s="302" t="e" cm="1">
        <f t="array" aca="1" ref="EI68" ca="1">IF(EE68=0,"",IF(ED68="G","--",INDEX(auto_DataFlat_Rank,EC68,$E$11)))</f>
        <v>#N/A</v>
      </c>
      <c r="EJ68" s="122" t="e" cm="1">
        <f t="array" aca="1" ref="EJ68" ca="1">IF(EE68=0,"",IF(ED68="G","AVERAGE",INDEX(auto_ddCountry,ED68)))</f>
        <v>#N/A</v>
      </c>
      <c r="EK68" s="290" t="e" cm="1">
        <f t="array" aca="1" ref="EK68" ca="1">IF(EE68=0,"",INDEX(auto_DataFlat_Score,EC68,$E$11))</f>
        <v>#N/A</v>
      </c>
      <c r="EL68" s="4"/>
      <c r="EM68" s="49">
        <f t="shared" si="46"/>
        <v>-1</v>
      </c>
      <c r="EN68" s="49" t="e" cm="1">
        <f t="array" ref="EN68">IF($F68=0,0,INDEX(sys_DataFlat_LU_Grid,EM68,$E68))</f>
        <v>#VALUE!</v>
      </c>
      <c r="EO68" s="49" t="e" cm="1">
        <f t="array" ref="EO68">IF($F68=0,-1000,CHOOSE($E$14,INDEX(auto_DataFlat_Score,EN68,$E$11),-INDEX(auto_DataFlat_Score,EN68,$E$11),-$D68))</f>
        <v>#VALUE!</v>
      </c>
      <c r="EP68" s="91" t="e">
        <f ca="1">RANK(EO68,OFFSET(EO$21,0,0,$E$16+1,1))+COUNTIF(EO$21:EO68,EO68)-1</f>
        <v>#VALUE!</v>
      </c>
      <c r="EQ68" s="91" t="e">
        <f t="shared" ca="1" si="30"/>
        <v>#N/A</v>
      </c>
      <c r="ER68" s="91" t="e" cm="1">
        <f t="array" aca="1" ref="ER68" ca="1">INDEX(OFFSET(EN$21,0,0,$E$16+1,1),EQ68)</f>
        <v>#N/A</v>
      </c>
      <c r="ES68" s="49" t="e" cm="1">
        <f t="array" aca="1" ref="ES68" ca="1">INDEX(OFFSET($E$21,0,0,$E$16+1,1),EQ68)</f>
        <v>#N/A</v>
      </c>
      <c r="ET68" s="80" t="e" cm="1">
        <f t="array" aca="1" ref="ET68" ca="1">IF(ES68="G",5,INDEX(OFFSET($F$21,0,0,$E$16+1,1),EQ68))</f>
        <v>#N/A</v>
      </c>
      <c r="EU68" s="80" t="e" cm="1">
        <f t="array" aca="1" ref="EU68" ca="1">IF(ER68=0,0,IF(ES68="G",-1,INDEX(auto_DataFlat_Classification,ER68,$E$11)))</f>
        <v>#N/A</v>
      </c>
      <c r="EV68" s="301" t="e" cm="1">
        <f t="array" aca="1" ref="EV68" ca="1">IF(EU68&lt;0,"",INDEX(uxbGlobals!$B$133:$B$139,EU68))</f>
        <v>#N/A</v>
      </c>
      <c r="EW68" s="80"/>
      <c r="EX68" s="302" t="e" cm="1">
        <f t="array" aca="1" ref="EX68" ca="1">IF(ET68=0,"",IF(ES68="G","--",INDEX(auto_DataFlat_Rank,ER68,$E$11)))</f>
        <v>#N/A</v>
      </c>
      <c r="EY68" s="122" t="e" cm="1">
        <f t="array" aca="1" ref="EY68" ca="1">IF(ET68=0,"",IF(ES68="G","AVERAGE",INDEX(auto_ddCountry,ES68)))</f>
        <v>#N/A</v>
      </c>
      <c r="EZ68" s="290" t="e" cm="1">
        <f t="array" aca="1" ref="EZ68" ca="1">IF(ET68=0,"",INDEX(auto_DataFlat_Score,ER68,$E$11))</f>
        <v>#N/A</v>
      </c>
    </row>
    <row r="69" spans="1:156" ht="17.149999999999999" customHeight="1" x14ac:dyDescent="0.4">
      <c r="A69" s="4"/>
      <c r="B69" s="4"/>
      <c r="C69" s="4"/>
      <c r="D69" s="26">
        <v>49</v>
      </c>
      <c r="E69" s="49">
        <f>tblCountries!M50</f>
        <v>48</v>
      </c>
      <c r="F69" s="114" cm="1">
        <f t="array" ref="F69">IF(E69=0,0,INDEX(auto_Country_Status,E69))</f>
        <v>1</v>
      </c>
      <c r="G69" s="4"/>
      <c r="H69" s="49">
        <f t="shared" si="31"/>
        <v>1</v>
      </c>
      <c r="I69" s="49" cm="1">
        <f t="array" ref="I69">IF($F69=0,0,INDEX(sys_DataFlat_LU_Grid,H69,$E69))</f>
        <v>48</v>
      </c>
      <c r="J69" s="49" cm="1">
        <f t="array" ref="J69">IF($F69=0,-1000,CHOOSE($E$14,INDEX(auto_DataFlat_Score,I69,$E$11),-INDEX(auto_DataFlat_Score,I69,$E$11),-$D69))</f>
        <v>75.099999999999994</v>
      </c>
      <c r="K69" s="91">
        <f ca="1">RANK(J69,OFFSET(J$21,0,0,$E$16+1,1))+COUNTIF(J$21:J69,J69)-1</f>
        <v>12</v>
      </c>
      <c r="L69" s="91">
        <f t="shared" ca="1" si="48"/>
        <v>3</v>
      </c>
      <c r="M69" s="91" cm="1">
        <f t="array" aca="1" ref="M69" ca="1">INDEX(OFFSET(I$21,0,0,$E$16+1,1),L69)</f>
        <v>2</v>
      </c>
      <c r="N69" s="49" cm="1">
        <f t="array" aca="1" ref="N69" ca="1">INDEX(OFFSET($E$21,0,0,$E$16+1,1),L69)</f>
        <v>2</v>
      </c>
      <c r="O69" s="80" cm="1">
        <f t="array" aca="1" ref="O69" ca="1">IF(N69="G",5,INDEX(OFFSET($F$21,0,0,$E$16+1,1),L69))</f>
        <v>1</v>
      </c>
      <c r="P69" s="80" cm="1">
        <f t="array" aca="1" ref="P69" ca="1">IF(M69=0,0,IF(N69="G",-1,INDEX(auto_DataFlat_Classification,M69,$E$11)))</f>
        <v>3</v>
      </c>
      <c r="Q69" s="301" t="str" cm="1">
        <f t="array" aca="1" ref="Q69" ca="1">IF(P69&lt;0,"",INDEX(uxbGlobals!$B$133:$B$139,P69))</f>
        <v xml:space="preserve"> </v>
      </c>
      <c r="R69" s="80"/>
      <c r="S69" s="302" t="str" cm="1">
        <f t="array" aca="1" ref="S69" ca="1">IF(O69=0,"",IF(N69="G","--",INDEX(auto_DataFlat_Rank,M69,$E$11)))</f>
        <v>48</v>
      </c>
      <c r="T69" s="122" t="str" cm="1">
        <f t="array" aca="1" ref="T69" ca="1">IF(O69=0,"",IF(N69="G"," AVERAGE",INDEX(auto_ddCountry,N69)))</f>
        <v>Algiers</v>
      </c>
      <c r="U69" s="290" cm="1">
        <f t="array" aca="1" ref="U69" ca="1">IF(O69=0,"",INDEX(auto_DataFlat_Score,M69,$E$11))</f>
        <v>41</v>
      </c>
      <c r="V69" s="4"/>
      <c r="W69" s="49">
        <f t="shared" si="33"/>
        <v>2</v>
      </c>
      <c r="X69" s="49" cm="1">
        <f t="array" ref="X69">IF($F69=0,0,INDEX(sys_DataFlat_LU_Grid,W69,$E69))</f>
        <v>108</v>
      </c>
      <c r="Y69" s="49" cm="1">
        <f t="array" ref="Y69">IF($F69=0,-1000,CHOOSE($E$14,INDEX(auto_DataFlat_Score,X69,$E$11),-INDEX(auto_DataFlat_Score,X69,$E$11),-$D69))</f>
        <v>87.3</v>
      </c>
      <c r="Z69" s="91">
        <f ca="1">RANK(Y69,OFFSET(Y$21,0,0,$E$16+1,1))+COUNTIF(Y$21:Y69,Y69)-1</f>
        <v>5</v>
      </c>
      <c r="AA69" s="91">
        <f t="shared" ca="1" si="49"/>
        <v>14</v>
      </c>
      <c r="AB69" s="91" cm="1">
        <f t="array" aca="1" ref="AB69" ca="1">INDEX(OFFSET(X$21,0,0,$E$16+1,1),AA69)</f>
        <v>73</v>
      </c>
      <c r="AC69" s="49" cm="1">
        <f t="array" aca="1" ref="AC69" ca="1">INDEX(OFFSET($E$21,0,0,$E$16+1,1),AA69)</f>
        <v>13</v>
      </c>
      <c r="AD69" s="80" cm="1">
        <f t="array" aca="1" ref="AD69" ca="1">IF(AC69="G",5,INDEX(OFFSET($F$21,0,0,$E$16+1,1),AA69))</f>
        <v>1</v>
      </c>
      <c r="AE69" s="80" cm="1">
        <f t="array" aca="1" ref="AE69" ca="1">IF(AB69=0,0,IF(AC69="G",-1,INDEX(auto_DataFlat_Classification,AB69,$E$11)))</f>
        <v>2</v>
      </c>
      <c r="AF69" s="301" t="str" cm="1">
        <f t="array" aca="1" ref="AF69" ca="1">IF(AE69&lt;0,"",INDEX(uxbGlobals!$B$133:$B$139,AE69))</f>
        <v xml:space="preserve"> </v>
      </c>
      <c r="AG69" s="80"/>
      <c r="AH69" s="302" t="str" cm="1">
        <f t="array" aca="1" ref="AH69" ca="1">IF(AD69=0,"",IF(AC69="G","--",INDEX(auto_DataFlat_Rank,AB69,$E$11)))</f>
        <v>48</v>
      </c>
      <c r="AI69" s="122" t="str" cm="1">
        <f t="array" aca="1" ref="AI69" ca="1">IF(AD69=0,"",IF(AC69="G","AVERAGE",INDEX(auto_ddCountry,AC69)))</f>
        <v>Dhaka</v>
      </c>
      <c r="AJ69" s="290" cm="1">
        <f t="array" aca="1" ref="AJ69" ca="1">IF(AD69=0,"",INDEX(auto_DataFlat_Score,AB69,$E$11))</f>
        <v>39.5</v>
      </c>
      <c r="AK69" s="4"/>
      <c r="AL69" s="49">
        <f t="shared" si="35"/>
        <v>14</v>
      </c>
      <c r="AM69" s="49" cm="1">
        <f t="array" ref="AM69">IF($F69=0,0,INDEX(sys_DataFlat_LU_Grid,AL69,$E69))</f>
        <v>828</v>
      </c>
      <c r="AN69" s="49" cm="1">
        <f t="array" ref="AN69">IF($F69=0,-1000,CHOOSE($E$14,INDEX(auto_DataFlat_Score,AM69,$E$11),-INDEX(auto_DataFlat_Score,AM69,$E$11),-$D69))</f>
        <v>65</v>
      </c>
      <c r="AO69" s="91">
        <f ca="1">RANK(AN69,OFFSET(AN$21,0,0,$E$16+1,1))+COUNTIF(AN$21:AN69,AN69)-1</f>
        <v>14</v>
      </c>
      <c r="AP69" s="91">
        <f t="shared" ca="1" si="50"/>
        <v>26</v>
      </c>
      <c r="AQ69" s="91" cm="1">
        <f t="array" aca="1" ref="AQ69" ca="1">INDEX(OFFSET(AM$21,0,0,$E$16+1,1),AP69)</f>
        <v>805</v>
      </c>
      <c r="AR69" s="49" cm="1">
        <f t="array" aca="1" ref="AR69" ca="1">INDEX(OFFSET($E$21,0,0,$E$16+1,1),AP69)</f>
        <v>25</v>
      </c>
      <c r="AS69" s="80" cm="1">
        <f t="array" aca="1" ref="AS69" ca="1">IF(AR69="G",5,INDEX(OFFSET($F$21,0,0,$E$16+1,1),AP69))</f>
        <v>1</v>
      </c>
      <c r="AT69" s="80" cm="1">
        <f t="array" aca="1" ref="AT69" ca="1">IF(AQ69=0,0,IF(AR69="G",-1,INDEX(auto_DataFlat_Classification,AQ69,$E$11)))</f>
        <v>2</v>
      </c>
      <c r="AU69" s="301" t="str" cm="1">
        <f t="array" aca="1" ref="AU69" ca="1">IF(AT69&lt;0,"",INDEX(uxbGlobals!$B$133:$B$139,AT69))</f>
        <v xml:space="preserve"> </v>
      </c>
      <c r="AV69" s="80"/>
      <c r="AW69" s="302" t="str" cm="1">
        <f t="array" aca="1" ref="AW69" ca="1">IF(AS69=0,"",IF(AR69="G","--",INDEX(auto_DataFlat_Rank,AQ69,$E$11)))</f>
        <v>48</v>
      </c>
      <c r="AX69" s="122" t="str" cm="1">
        <f t="array" aca="1" ref="AX69" ca="1">IF(AS69=0,"",IF(AR69="G","AVERAGE",INDEX(auto_ddCountry,AR69)))</f>
        <v>Lagos</v>
      </c>
      <c r="AY69" s="290" cm="1">
        <f t="array" aca="1" ref="AY69" ca="1">IF(AS69=0,"",INDEX(auto_DataFlat_Score,AQ69,$E$11))</f>
        <v>20.7</v>
      </c>
      <c r="AZ69" s="4"/>
      <c r="BA69" s="49">
        <f t="shared" si="37"/>
        <v>22</v>
      </c>
      <c r="BB69" s="49" cm="1">
        <f t="array" ref="BB69">IF($F69=0,0,INDEX(sys_DataFlat_LU_Grid,BA69,$E69))</f>
        <v>1308</v>
      </c>
      <c r="BC69" s="49" cm="1">
        <f t="array" ref="BC69">IF($F69=0,-1000,CHOOSE($E$14,INDEX(auto_DataFlat_Score,BB69,$E$11),-INDEX(auto_DataFlat_Score,BB69,$E$11),-$D69))</f>
        <v>74.2</v>
      </c>
      <c r="BD69" s="91">
        <f ca="1">RANK(BC69,OFFSET(BC$21,0,0,$E$16+1,1))+COUNTIF(BC$21:BC69,BC69)-1</f>
        <v>11</v>
      </c>
      <c r="BE69" s="91">
        <f t="shared" ca="1" si="51"/>
        <v>22</v>
      </c>
      <c r="BF69" s="91" cm="1">
        <f t="array" aca="1" ref="BF69" ca="1">INDEX(OFFSET(BB$21,0,0,$E$16+1,1),BE69)</f>
        <v>1281</v>
      </c>
      <c r="BG69" s="49" cm="1">
        <f t="array" aca="1" ref="BG69" ca="1">INDEX(OFFSET($E$21,0,0,$E$16+1,1),BE69)</f>
        <v>21</v>
      </c>
      <c r="BH69" s="80" cm="1">
        <f t="array" aca="1" ref="BH69" ca="1">IF(BG69="G",5,INDEX(OFFSET($F$21,0,0,$E$16+1,1),BE69))</f>
        <v>1</v>
      </c>
      <c r="BI69" s="80" cm="1">
        <f t="array" aca="1" ref="BI69" ca="1">IF(BF69=0,0,IF(BG69="G",-1,INDEX(auto_DataFlat_Classification,BF69,$E$11)))</f>
        <v>2</v>
      </c>
      <c r="BJ69" s="301" t="str" cm="1">
        <f t="array" aca="1" ref="BJ69" ca="1">IF(BI69&lt;0,"",INDEX(uxbGlobals!$B$133:$B$139,BI69))</f>
        <v xml:space="preserve"> </v>
      </c>
      <c r="BK69" s="80"/>
      <c r="BL69" s="302" t="str" cm="1">
        <f t="array" aca="1" ref="BL69" ca="1">IF(BH69=0,"",IF(BG69="G","--",INDEX(auto_DataFlat_Rank,BF69,$E$11)))</f>
        <v>48</v>
      </c>
      <c r="BM69" s="122" t="str" cm="1">
        <f t="array" aca="1" ref="BM69" ca="1">IF(BH69=0,"",IF(BG69="G","AVERAGE",INDEX(auto_ddCountry,BG69)))</f>
        <v>Karachi</v>
      </c>
      <c r="BN69" s="290" cm="1">
        <f t="array" aca="1" ref="BN69" ca="1">IF(BH69=0,"",INDEX(auto_DataFlat_Score,BF69,$E$11))</f>
        <v>35</v>
      </c>
      <c r="BO69" s="4"/>
      <c r="BP69" s="49">
        <f t="shared" si="39"/>
        <v>47</v>
      </c>
      <c r="BQ69" s="49" cm="1">
        <f t="array" ref="BQ69">IF($F69=0,0,INDEX(sys_DataFlat_LU_Grid,BP69,$E69))</f>
        <v>2808</v>
      </c>
      <c r="BR69" s="49" cm="1">
        <f t="array" ref="BR69">IF($F69=0,-1000,CHOOSE($E$14,INDEX(auto_DataFlat_Score,BQ69,$E$11),-INDEX(auto_DataFlat_Score,BQ69,$E$11),-$D69))</f>
        <v>84.5</v>
      </c>
      <c r="BS69" s="91">
        <f ca="1">RANK(BR69,OFFSET(BR$21,0,0,$E$16+1,1))+COUNTIF(BR$21:BR69,BR69)-1</f>
        <v>5</v>
      </c>
      <c r="BT69" s="91">
        <f t="shared" ca="1" si="52"/>
        <v>34</v>
      </c>
      <c r="BU69" s="91" cm="1">
        <f t="array" aca="1" ref="BU69" ca="1">INDEX(OFFSET(BQ$21,0,0,$E$16+1,1),BT69)</f>
        <v>2793</v>
      </c>
      <c r="BV69" s="49" cm="1">
        <f t="array" aca="1" ref="BV69" ca="1">INDEX(OFFSET($E$21,0,0,$E$16+1,1),BT69)</f>
        <v>33</v>
      </c>
      <c r="BW69" s="80" cm="1">
        <f t="array" aca="1" ref="BW69" ca="1">IF(BV69="G",5,INDEX(OFFSET($F$21,0,0,$E$16+1,1),BT69))</f>
        <v>1</v>
      </c>
      <c r="BX69" s="80" cm="1">
        <f t="array" aca="1" ref="BX69" ca="1">IF(BU69=0,0,IF(BV69="G",-1,INDEX(auto_DataFlat_Classification,BU69,$E$11)))</f>
        <v>2</v>
      </c>
      <c r="BY69" s="301" t="str" cm="1">
        <f t="array" aca="1" ref="BY69" ca="1">IF(BX69&lt;0,"",INDEX(uxbGlobals!$B$133:$B$139,BX69))</f>
        <v xml:space="preserve"> </v>
      </c>
      <c r="BZ69" s="80"/>
      <c r="CA69" s="302" t="str" cm="1">
        <f t="array" aca="1" ref="CA69" ca="1">IF(BW69=0,"",IF(BV69="G","--",INDEX(auto_DataFlat_Rank,BU69,$E$11)))</f>
        <v>48</v>
      </c>
      <c r="CB69" s="122" t="str" cm="1">
        <f t="array" aca="1" ref="CB69" ca="1">IF(BW69=0,"",IF(BV69="G","AVERAGE",INDEX(auto_ddCountry,BV69)))</f>
        <v>Nairobi</v>
      </c>
      <c r="CC69" s="290" cm="1">
        <f t="array" aca="1" ref="CC69" ca="1">IF(BW69=0,"",INDEX(auto_DataFlat_Score,BU69,$E$11))</f>
        <v>36.6</v>
      </c>
      <c r="CD69" s="4"/>
      <c r="CE69" s="49">
        <f t="shared" si="41"/>
        <v>52</v>
      </c>
      <c r="CF69" s="49" cm="1">
        <f t="array" ref="CF69">IF($F69=0,0,INDEX(sys_DataFlat_LU_Grid,CE69,$E69))</f>
        <v>3108</v>
      </c>
      <c r="CG69" s="49" cm="1">
        <f t="array" ref="CG69">IF($F69=0,-1000,CHOOSE($E$14,INDEX(auto_DataFlat_Score,CF69,$E$11),-INDEX(auto_DataFlat_Score,CF69,$E$11),-$D69))</f>
        <v>70.400000000000006</v>
      </c>
      <c r="CH69" s="91">
        <f ca="1">RANK(CG69,OFFSET(CG$21,0,0,$E$16+1,1))+COUNTIF(CG$21:CG69,CG69)-1</f>
        <v>27</v>
      </c>
      <c r="CI69" s="91">
        <f t="shared" ca="1" si="53"/>
        <v>51</v>
      </c>
      <c r="CJ69" s="91" cm="1">
        <f t="array" aca="1" ref="CJ69" ca="1">INDEX(OFFSET(CF$21,0,0,$E$16+1,1),CI69)</f>
        <v>3110</v>
      </c>
      <c r="CK69" s="49" cm="1">
        <f t="array" aca="1" ref="CK69" ca="1">INDEX(OFFSET($E$21,0,0,$E$16+1,1),CI69)</f>
        <v>50</v>
      </c>
      <c r="CL69" s="80" cm="1">
        <f t="array" aca="1" ref="CL69" ca="1">IF(CK69="G",5,INDEX(OFFSET($F$21,0,0,$E$16+1,1),CI69))</f>
        <v>1</v>
      </c>
      <c r="CM69" s="80" cm="1">
        <f t="array" aca="1" ref="CM69" ca="1">IF(CJ69=0,0,IF(CK69="G",-1,INDEX(auto_DataFlat_Classification,CJ69,$E$11)))</f>
        <v>3</v>
      </c>
      <c r="CN69" s="301" t="str" cm="1">
        <f t="array" aca="1" ref="CN69" ca="1">IF(CM69&lt;0,"",INDEX(uxbGlobals!$B$133:$B$139,CM69))</f>
        <v xml:space="preserve"> </v>
      </c>
      <c r="CO69" s="80"/>
      <c r="CP69" s="302" t="str" cm="1">
        <f t="array" aca="1" ref="CP69" ca="1">IF(CL69=0,"",IF(CK69="G","--",INDEX(auto_DataFlat_Rank,CJ69,$E$11)))</f>
        <v>48</v>
      </c>
      <c r="CQ69" s="122" t="str" cm="1">
        <f t="array" aca="1" ref="CQ69" ca="1">IF(CL69=0,"",IF(CK69="G","AVERAGE",INDEX(auto_ddCountry,CK69)))</f>
        <v>Yangon</v>
      </c>
      <c r="CR69" s="290" cm="1">
        <f t="array" aca="1" ref="CR69" ca="1">IF(CL69=0,"",INDEX(auto_DataFlat_Score,CJ69,$E$11))</f>
        <v>40.700000000000003</v>
      </c>
      <c r="CS69" s="4"/>
      <c r="CT69" s="49">
        <f t="shared" si="43"/>
        <v>-1</v>
      </c>
      <c r="CU69" s="49" t="e" cm="1">
        <f t="array" ref="CU69">IF($F69=0,0,INDEX(sys_DataFlat_LU_Grid,CT69,$E69))</f>
        <v>#VALUE!</v>
      </c>
      <c r="CV69" s="49" t="e" cm="1">
        <f t="array" ref="CV69">IF($F69=0,-1000,CHOOSE($E$14,INDEX(auto_DataFlat_Score,CU69,$E$11),-INDEX(auto_DataFlat_Score,CU69,$E$11),-$D69))</f>
        <v>#VALUE!</v>
      </c>
      <c r="CW69" s="91" t="e">
        <f ca="1">RANK(CV69,OFFSET(CV$21,0,0,$E$16+1,1))+COUNTIF(CV$21:CV69,CV69)-1</f>
        <v>#VALUE!</v>
      </c>
      <c r="CX69" s="91" t="e">
        <f t="shared" ca="1" si="47"/>
        <v>#N/A</v>
      </c>
      <c r="CY69" s="91" t="e" cm="1">
        <f t="array" aca="1" ref="CY69" ca="1">INDEX(OFFSET(CU$21,0,0,$E$16+1,1),CX69)</f>
        <v>#N/A</v>
      </c>
      <c r="CZ69" s="49" t="e" cm="1">
        <f t="array" aca="1" ref="CZ69" ca="1">INDEX(OFFSET($E$21,0,0,$E$16+1,1),CX69)</f>
        <v>#N/A</v>
      </c>
      <c r="DA69" s="80" t="e" cm="1">
        <f t="array" aca="1" ref="DA69" ca="1">IF(CZ69="G",5,INDEX(OFFSET($F$21,0,0,$E$16+1,1),CX69))</f>
        <v>#N/A</v>
      </c>
      <c r="DB69" s="80" t="e" cm="1">
        <f t="array" aca="1" ref="DB69" ca="1">IF(CY69=0,0,IF(CZ69="G",-1,INDEX(auto_DataFlat_Classification,CY69,$E$11)))</f>
        <v>#N/A</v>
      </c>
      <c r="DC69" s="301" t="e" cm="1">
        <f t="array" aca="1" ref="DC69" ca="1">IF(DB69&lt;0,"",INDEX(uxbGlobals!$B$133:$B$139,DB69))</f>
        <v>#N/A</v>
      </c>
      <c r="DD69" s="80"/>
      <c r="DE69" s="302" t="e" cm="1">
        <f t="array" aca="1" ref="DE69" ca="1">IF(DA69=0,"",IF(CZ69="G","--",INDEX(auto_DataFlat_Rank,CY69,$E$11)))</f>
        <v>#N/A</v>
      </c>
      <c r="DF69" s="122" t="e" cm="1">
        <f t="array" aca="1" ref="DF69" ca="1">IF(DA69=0,"",IF(CZ69="G","AVERAGE",INDEX(auto_ddCountry,CZ69)))</f>
        <v>#N/A</v>
      </c>
      <c r="DG69" s="290" t="e" cm="1">
        <f t="array" aca="1" ref="DG69" ca="1">IF(DA69=0,"",INDEX(auto_DataFlat_Score,CY69,$E$11))</f>
        <v>#N/A</v>
      </c>
      <c r="DH69" s="4"/>
      <c r="DI69" s="49">
        <f t="shared" si="44"/>
        <v>-1</v>
      </c>
      <c r="DJ69" s="49" t="e" cm="1">
        <f t="array" ref="DJ69">IF($F69=0,0,INDEX(sys_DataFlat_LU_Grid,DI69,$E69))</f>
        <v>#VALUE!</v>
      </c>
      <c r="DK69" s="49" t="e" cm="1">
        <f t="array" ref="DK69">IF($F69=0,-1000,CHOOSE($E$14,INDEX(auto_DataFlat_Score,DJ69,$E$11),-INDEX(auto_DataFlat_Score,DJ69,$E$11),-$D69))</f>
        <v>#VALUE!</v>
      </c>
      <c r="DL69" s="91" t="e">
        <f ca="1">RANK(DK69,OFFSET(DK$21,0,0,$E$16+1,1))+COUNTIF(DK$21:DK69,DK69)-1</f>
        <v>#VALUE!</v>
      </c>
      <c r="DM69" s="91" t="e">
        <f t="shared" ca="1" si="28"/>
        <v>#N/A</v>
      </c>
      <c r="DN69" s="91" t="e" cm="1">
        <f t="array" aca="1" ref="DN69" ca="1">INDEX(OFFSET(DJ$21,0,0,$E$16+1,1),DM69)</f>
        <v>#N/A</v>
      </c>
      <c r="DO69" s="49" t="e" cm="1">
        <f t="array" aca="1" ref="DO69" ca="1">INDEX(OFFSET($E$21,0,0,$E$16+1,1),DM69)</f>
        <v>#N/A</v>
      </c>
      <c r="DP69" s="80" t="e" cm="1">
        <f t="array" aca="1" ref="DP69" ca="1">IF(DO69="G",5,INDEX(OFFSET($F$21,0,0,$E$16+1,1),DM69))</f>
        <v>#N/A</v>
      </c>
      <c r="DQ69" s="80" t="e" cm="1">
        <f t="array" aca="1" ref="DQ69" ca="1">IF(DN69=0,0,IF(DO69="G",-1,INDEX(auto_DataFlat_Classification,DN69,$E$11)))</f>
        <v>#N/A</v>
      </c>
      <c r="DR69" s="301" t="e" cm="1">
        <f t="array" aca="1" ref="DR69" ca="1">IF(DQ69&lt;0,"",INDEX(uxbGlobals!$B$133:$B$139,DQ69))</f>
        <v>#N/A</v>
      </c>
      <c r="DS69" s="80"/>
      <c r="DT69" s="302" t="e" cm="1">
        <f t="array" aca="1" ref="DT69" ca="1">IF(DP69=0,"",IF(DO69="G","--",INDEX(auto_DataFlat_Rank,DN69,$E$11)))</f>
        <v>#N/A</v>
      </c>
      <c r="DU69" s="122" t="e" cm="1">
        <f t="array" aca="1" ref="DU69" ca="1">IF(DP69=0,"",IF(DO69="G","AVERAGE",INDEX(auto_ddCountry,DO69)))</f>
        <v>#N/A</v>
      </c>
      <c r="DV69" s="290" t="e" cm="1">
        <f t="array" aca="1" ref="DV69" ca="1">IF(DP69=0,"",INDEX(auto_DataFlat_Score,DN69,$E$11))</f>
        <v>#N/A</v>
      </c>
      <c r="DW69" s="4"/>
      <c r="DX69" s="49">
        <f t="shared" si="45"/>
        <v>-1</v>
      </c>
      <c r="DY69" s="49" t="e" cm="1">
        <f t="array" ref="DY69">IF($F69=0,0,INDEX(sys_DataFlat_LU_Grid,DX69,$E69))</f>
        <v>#VALUE!</v>
      </c>
      <c r="DZ69" s="49" t="e" cm="1">
        <f t="array" ref="DZ69">IF($F69=0,-1000,CHOOSE($E$14,INDEX(auto_DataFlat_Score,DY69,$E$11),-INDEX(auto_DataFlat_Score,DY69,$E$11),-$D69))</f>
        <v>#VALUE!</v>
      </c>
      <c r="EA69" s="91" t="e">
        <f ca="1">RANK(DZ69,OFFSET(DZ$21,0,0,$E$16+1,1))+COUNTIF(DZ$21:DZ69,DZ69)-1</f>
        <v>#VALUE!</v>
      </c>
      <c r="EB69" s="91" t="e">
        <f t="shared" ca="1" si="29"/>
        <v>#N/A</v>
      </c>
      <c r="EC69" s="91" t="e" cm="1">
        <f t="array" aca="1" ref="EC69" ca="1">INDEX(OFFSET(DY$21,0,0,$E$16+1,1),EB69)</f>
        <v>#N/A</v>
      </c>
      <c r="ED69" s="49" t="e" cm="1">
        <f t="array" aca="1" ref="ED69" ca="1">INDEX(OFFSET($E$21,0,0,$E$16+1,1),EB69)</f>
        <v>#N/A</v>
      </c>
      <c r="EE69" s="80" t="e" cm="1">
        <f t="array" aca="1" ref="EE69" ca="1">IF(ED69="G",5,INDEX(OFFSET($F$21,0,0,$E$16+1,1),EB69))</f>
        <v>#N/A</v>
      </c>
      <c r="EF69" s="80" t="e" cm="1">
        <f t="array" aca="1" ref="EF69" ca="1">IF(EC69=0,0,IF(ED69="G",-1,INDEX(auto_DataFlat_Classification,EC69,$E$11)))</f>
        <v>#N/A</v>
      </c>
      <c r="EG69" s="301" t="e" cm="1">
        <f t="array" aca="1" ref="EG69" ca="1">IF(EF69&lt;0,"",INDEX(uxbGlobals!$B$133:$B$139,EF69))</f>
        <v>#N/A</v>
      </c>
      <c r="EH69" s="80"/>
      <c r="EI69" s="302" t="e" cm="1">
        <f t="array" aca="1" ref="EI69" ca="1">IF(EE69=0,"",IF(ED69="G","--",INDEX(auto_DataFlat_Rank,EC69,$E$11)))</f>
        <v>#N/A</v>
      </c>
      <c r="EJ69" s="122" t="e" cm="1">
        <f t="array" aca="1" ref="EJ69" ca="1">IF(EE69=0,"",IF(ED69="G","AVERAGE",INDEX(auto_ddCountry,ED69)))</f>
        <v>#N/A</v>
      </c>
      <c r="EK69" s="290" t="e" cm="1">
        <f t="array" aca="1" ref="EK69" ca="1">IF(EE69=0,"",INDEX(auto_DataFlat_Score,EC69,$E$11))</f>
        <v>#N/A</v>
      </c>
      <c r="EL69" s="4"/>
      <c r="EM69" s="49">
        <f t="shared" si="46"/>
        <v>-1</v>
      </c>
      <c r="EN69" s="49" t="e" cm="1">
        <f t="array" ref="EN69">IF($F69=0,0,INDEX(sys_DataFlat_LU_Grid,EM69,$E69))</f>
        <v>#VALUE!</v>
      </c>
      <c r="EO69" s="49" t="e" cm="1">
        <f t="array" ref="EO69">IF($F69=0,-1000,CHOOSE($E$14,INDEX(auto_DataFlat_Score,EN69,$E$11),-INDEX(auto_DataFlat_Score,EN69,$E$11),-$D69))</f>
        <v>#VALUE!</v>
      </c>
      <c r="EP69" s="91" t="e">
        <f ca="1">RANK(EO69,OFFSET(EO$21,0,0,$E$16+1,1))+COUNTIF(EO$21:EO69,EO69)-1</f>
        <v>#VALUE!</v>
      </c>
      <c r="EQ69" s="91" t="e">
        <f t="shared" ca="1" si="30"/>
        <v>#N/A</v>
      </c>
      <c r="ER69" s="91" t="e" cm="1">
        <f t="array" aca="1" ref="ER69" ca="1">INDEX(OFFSET(EN$21,0,0,$E$16+1,1),EQ69)</f>
        <v>#N/A</v>
      </c>
      <c r="ES69" s="49" t="e" cm="1">
        <f t="array" aca="1" ref="ES69" ca="1">INDEX(OFFSET($E$21,0,0,$E$16+1,1),EQ69)</f>
        <v>#N/A</v>
      </c>
      <c r="ET69" s="80" t="e" cm="1">
        <f t="array" aca="1" ref="ET69" ca="1">IF(ES69="G",5,INDEX(OFFSET($F$21,0,0,$E$16+1,1),EQ69))</f>
        <v>#N/A</v>
      </c>
      <c r="EU69" s="80" t="e" cm="1">
        <f t="array" aca="1" ref="EU69" ca="1">IF(ER69=0,0,IF(ES69="G",-1,INDEX(auto_DataFlat_Classification,ER69,$E$11)))</f>
        <v>#N/A</v>
      </c>
      <c r="EV69" s="301" t="e" cm="1">
        <f t="array" aca="1" ref="EV69" ca="1">IF(EU69&lt;0,"",INDEX(uxbGlobals!$B$133:$B$139,EU69))</f>
        <v>#N/A</v>
      </c>
      <c r="EW69" s="80"/>
      <c r="EX69" s="302" t="e" cm="1">
        <f t="array" aca="1" ref="EX69" ca="1">IF(ET69=0,"",IF(ES69="G","--",INDEX(auto_DataFlat_Rank,ER69,$E$11)))</f>
        <v>#N/A</v>
      </c>
      <c r="EY69" s="122" t="e" cm="1">
        <f t="array" aca="1" ref="EY69" ca="1">IF(ET69=0,"",IF(ES69="G","AVERAGE",INDEX(auto_ddCountry,ES69)))</f>
        <v>#N/A</v>
      </c>
      <c r="EZ69" s="290" t="e" cm="1">
        <f t="array" aca="1" ref="EZ69" ca="1">IF(ET69=0,"",INDEX(auto_DataFlat_Score,ER69,$E$11))</f>
        <v>#N/A</v>
      </c>
    </row>
    <row r="70" spans="1:156" ht="17.149999999999999" customHeight="1" x14ac:dyDescent="0.4">
      <c r="A70" s="4"/>
      <c r="B70" s="4"/>
      <c r="C70" s="4"/>
      <c r="D70" s="26">
        <v>50</v>
      </c>
      <c r="E70" s="49">
        <f>tblCountries!M51</f>
        <v>49</v>
      </c>
      <c r="F70" s="114" cm="1">
        <f t="array" ref="F70">IF(E70=0,0,INDEX(auto_Country_Status,E70))</f>
        <v>1</v>
      </c>
      <c r="G70" s="4"/>
      <c r="H70" s="49">
        <f t="shared" si="31"/>
        <v>1</v>
      </c>
      <c r="I70" s="49" cm="1">
        <f t="array" ref="I70">IF($F70=0,0,INDEX(sys_DataFlat_LU_Grid,H70,$E70))</f>
        <v>49</v>
      </c>
      <c r="J70" s="49" cm="1">
        <f t="array" ref="J70">IF($F70=0,-1000,CHOOSE($E$14,INDEX(auto_DataFlat_Score,I70,$E$11),-INDEX(auto_DataFlat_Score,I70,$E$11),-$D70))</f>
        <v>57.3</v>
      </c>
      <c r="K70" s="91">
        <f ca="1">RANK(J70,OFFSET(J$21,0,0,$E$16+1,1))+COUNTIF(J$21:J70,J70)-1</f>
        <v>33</v>
      </c>
      <c r="L70" s="91">
        <f t="shared" ca="1" si="48"/>
        <v>23</v>
      </c>
      <c r="M70" s="91" cm="1">
        <f t="array" aca="1" ref="M70" ca="1">INDEX(OFFSET(I$21,0,0,$E$16+1,1),L70)</f>
        <v>22</v>
      </c>
      <c r="N70" s="49" cm="1">
        <f t="array" aca="1" ref="N70" ca="1">INDEX(OFFSET($E$21,0,0,$E$16+1,1),L70)</f>
        <v>22</v>
      </c>
      <c r="O70" s="80" cm="1">
        <f t="array" aca="1" ref="O70" ca="1">IF(N70="G",5,INDEX(OFFSET($F$21,0,0,$E$16+1,1),L70))</f>
        <v>1</v>
      </c>
      <c r="P70" s="80" cm="1">
        <f t="array" aca="1" ref="P70" ca="1">IF(M70=0,0,IF(N70="G",-1,INDEX(auto_DataFlat_Classification,M70,$E$11)))</f>
        <v>3</v>
      </c>
      <c r="Q70" s="301" t="str" cm="1">
        <f t="array" aca="1" ref="Q70" ca="1">IF(P70&lt;0,"",INDEX(uxbGlobals!$B$133:$B$139,P70))</f>
        <v xml:space="preserve"> </v>
      </c>
      <c r="R70" s="80"/>
      <c r="S70" s="302" t="str" cm="1">
        <f t="array" aca="1" ref="S70" ca="1">IF(O70=0,"",IF(N70="G","--",INDEX(auto_DataFlat_Rank,M70,$E$11)))</f>
        <v>49</v>
      </c>
      <c r="T70" s="122" t="str" cm="1">
        <f t="array" aca="1" ref="T70" ca="1">IF(O70=0,"",IF(N70="G"," AVERAGE",INDEX(auto_ddCountry,N70)))</f>
        <v>Kathmandu</v>
      </c>
      <c r="U70" s="290" cm="1">
        <f t="array" aca="1" ref="U70" ca="1">IF(O70=0,"",INDEX(auto_DataFlat_Score,M70,$E$11))</f>
        <v>40.9</v>
      </c>
      <c r="V70" s="4"/>
      <c r="W70" s="49">
        <f t="shared" si="33"/>
        <v>2</v>
      </c>
      <c r="X70" s="49" cm="1">
        <f t="array" ref="X70">IF($F70=0,0,INDEX(sys_DataFlat_LU_Grid,W70,$E70))</f>
        <v>109</v>
      </c>
      <c r="Y70" s="49" cm="1">
        <f t="array" ref="Y70">IF($F70=0,-1000,CHOOSE($E$14,INDEX(auto_DataFlat_Score,X70,$E$11),-INDEX(auto_DataFlat_Score,X70,$E$11),-$D70))</f>
        <v>54.3</v>
      </c>
      <c r="Z70" s="91">
        <f ca="1">RANK(Y70,OFFSET(Y$21,0,0,$E$16+1,1))+COUNTIF(Y$21:Y70,Y70)-1</f>
        <v>42</v>
      </c>
      <c r="AA70" s="91">
        <f t="shared" ca="1" si="49"/>
        <v>24</v>
      </c>
      <c r="AB70" s="91" cm="1">
        <f t="array" aca="1" ref="AB70" ca="1">INDEX(OFFSET(X$21,0,0,$E$16+1,1),AA70)</f>
        <v>83</v>
      </c>
      <c r="AC70" s="49" cm="1">
        <f t="array" aca="1" ref="AC70" ca="1">INDEX(OFFSET($E$21,0,0,$E$16+1,1),AA70)</f>
        <v>23</v>
      </c>
      <c r="AD70" s="80" cm="1">
        <f t="array" aca="1" ref="AD70" ca="1">IF(AC70="G",5,INDEX(OFFSET($F$21,0,0,$E$16+1,1),AA70))</f>
        <v>1</v>
      </c>
      <c r="AE70" s="80" cm="1">
        <f t="array" aca="1" ref="AE70" ca="1">IF(AB70=0,0,IF(AC70="G",-1,INDEX(auto_DataFlat_Classification,AB70,$E$11)))</f>
        <v>2</v>
      </c>
      <c r="AF70" s="301" t="str" cm="1">
        <f t="array" aca="1" ref="AF70" ca="1">IF(AE70&lt;0,"",INDEX(uxbGlobals!$B$133:$B$139,AE70))</f>
        <v xml:space="preserve"> </v>
      </c>
      <c r="AG70" s="80"/>
      <c r="AH70" s="302" t="str" cm="1">
        <f t="array" aca="1" ref="AH70" ca="1">IF(AD70=0,"",IF(AC70="G","--",INDEX(auto_DataFlat_Rank,AB70,$E$11)))</f>
        <v>=49</v>
      </c>
      <c r="AI70" s="122" t="str" cm="1">
        <f t="array" aca="1" ref="AI70" ca="1">IF(AD70=0,"",IF(AC70="G","AVERAGE",INDEX(auto_ddCountry,AC70)))</f>
        <v>Kolkata</v>
      </c>
      <c r="AJ70" s="290" cm="1">
        <f t="array" aca="1" ref="AJ70" ca="1">IF(AD70=0,"",INDEX(auto_DataFlat_Score,AB70,$E$11))</f>
        <v>34.200000000000003</v>
      </c>
      <c r="AK70" s="4"/>
      <c r="AL70" s="49">
        <f t="shared" si="35"/>
        <v>14</v>
      </c>
      <c r="AM70" s="49" cm="1">
        <f t="array" ref="AM70">IF($F70=0,0,INDEX(sys_DataFlat_LU_Grid,AL70,$E70))</f>
        <v>829</v>
      </c>
      <c r="AN70" s="49" cm="1">
        <f t="array" ref="AN70">IF($F70=0,-1000,CHOOSE($E$14,INDEX(auto_DataFlat_Score,AM70,$E$11),-INDEX(auto_DataFlat_Score,AM70,$E$11),-$D70))</f>
        <v>43.6</v>
      </c>
      <c r="AO70" s="91">
        <f ca="1">RANK(AN70,OFFSET(AN$21,0,0,$E$16+1,1))+COUNTIF(AN$21:AN70,AN70)-1</f>
        <v>32</v>
      </c>
      <c r="AP70" s="91">
        <f t="shared" ca="1" si="50"/>
        <v>11</v>
      </c>
      <c r="AQ70" s="91" cm="1">
        <f t="array" aca="1" ref="AQ70" ca="1">INDEX(OFFSET(AM$21,0,0,$E$16+1,1),AP70)</f>
        <v>790</v>
      </c>
      <c r="AR70" s="49" cm="1">
        <f t="array" aca="1" ref="AR70" ca="1">INDEX(OFFSET($E$21,0,0,$E$16+1,1),AP70)</f>
        <v>10</v>
      </c>
      <c r="AS70" s="80" cm="1">
        <f t="array" aca="1" ref="AS70" ca="1">IF(AR70="G",5,INDEX(OFFSET($F$21,0,0,$E$16+1,1),AP70))</f>
        <v>1</v>
      </c>
      <c r="AT70" s="80" cm="1">
        <f t="array" aca="1" ref="AT70" ca="1">IF(AQ70=0,0,IF(AR70="G",-1,INDEX(auto_DataFlat_Classification,AQ70,$E$11)))</f>
        <v>1</v>
      </c>
      <c r="AU70" s="301" t="str" cm="1">
        <f t="array" aca="1" ref="AU70" ca="1">IF(AT70&lt;0,"",INDEX(uxbGlobals!$B$133:$B$139,AT70))</f>
        <v xml:space="preserve"> </v>
      </c>
      <c r="AV70" s="80"/>
      <c r="AW70" s="302" t="str" cm="1">
        <f t="array" aca="1" ref="AW70" ca="1">IF(AS70=0,"",IF(AR70="G","--",INDEX(auto_DataFlat_Rank,AQ70,$E$11)))</f>
        <v>49</v>
      </c>
      <c r="AX70" s="122" t="str" cm="1">
        <f t="array" aca="1" ref="AX70" ca="1">IF(AS70=0,"",IF(AR70="G","AVERAGE",INDEX(auto_ddCountry,AR70)))</f>
        <v>Cairo</v>
      </c>
      <c r="AY70" s="290" cm="1">
        <f t="array" aca="1" ref="AY70" ca="1">IF(AS70=0,"",INDEX(auto_DataFlat_Score,AQ70,$E$11))</f>
        <v>12.4</v>
      </c>
      <c r="AZ70" s="4"/>
      <c r="BA70" s="49">
        <f t="shared" si="37"/>
        <v>22</v>
      </c>
      <c r="BB70" s="49" cm="1">
        <f t="array" ref="BB70">IF($F70=0,0,INDEX(sys_DataFlat_LU_Grid,BA70,$E70))</f>
        <v>1309</v>
      </c>
      <c r="BC70" s="49" cm="1">
        <f t="array" ref="BC70">IF($F70=0,-1000,CHOOSE($E$14,INDEX(auto_DataFlat_Score,BB70,$E$11),-INDEX(auto_DataFlat_Score,BB70,$E$11),-$D70))</f>
        <v>58.7</v>
      </c>
      <c r="BD70" s="91">
        <f ca="1">RANK(BC70,OFFSET(BC$21,0,0,$E$16+1,1))+COUNTIF(BC$21:BC70,BC70)-1</f>
        <v>24</v>
      </c>
      <c r="BE70" s="91">
        <f t="shared" ca="1" si="51"/>
        <v>40</v>
      </c>
      <c r="BF70" s="91" cm="1">
        <f t="array" aca="1" ref="BF70" ca="1">INDEX(OFFSET(BB$21,0,0,$E$16+1,1),BE70)</f>
        <v>1299</v>
      </c>
      <c r="BG70" s="49" cm="1">
        <f t="array" aca="1" ref="BG70" ca="1">INDEX(OFFSET($E$21,0,0,$E$16+1,1),BE70)</f>
        <v>39</v>
      </c>
      <c r="BH70" s="80" cm="1">
        <f t="array" aca="1" ref="BH70" ca="1">IF(BG70="G",5,INDEX(OFFSET($F$21,0,0,$E$16+1,1),BE70))</f>
        <v>1</v>
      </c>
      <c r="BI70" s="80" cm="1">
        <f t="array" aca="1" ref="BI70" ca="1">IF(BF70=0,0,IF(BG70="G",-1,INDEX(auto_DataFlat_Classification,BF70,$E$11)))</f>
        <v>2</v>
      </c>
      <c r="BJ70" s="301" t="str" cm="1">
        <f t="array" aca="1" ref="BJ70" ca="1">IF(BI70&lt;0,"",INDEX(uxbGlobals!$B$133:$B$139,BI70))</f>
        <v xml:space="preserve"> </v>
      </c>
      <c r="BK70" s="80"/>
      <c r="BL70" s="302" t="str" cm="1">
        <f t="array" aca="1" ref="BL70" ca="1">IF(BH70=0,"",IF(BG70="G","--",INDEX(auto_DataFlat_Rank,BF70,$E$11)))</f>
        <v>49</v>
      </c>
      <c r="BM70" s="122" t="str" cm="1">
        <f t="array" aca="1" ref="BM70" ca="1">IF(BH70=0,"",IF(BG70="G","AVERAGE",INDEX(auto_ddCountry,BG70)))</f>
        <v>Rome</v>
      </c>
      <c r="BN70" s="290" cm="1">
        <f t="array" aca="1" ref="BN70" ca="1">IF(BH70=0,"",INDEX(auto_DataFlat_Score,BF70,$E$11))</f>
        <v>33.700000000000003</v>
      </c>
      <c r="BO70" s="4"/>
      <c r="BP70" s="49">
        <f t="shared" si="39"/>
        <v>47</v>
      </c>
      <c r="BQ70" s="49" cm="1">
        <f t="array" ref="BQ70">IF($F70=0,0,INDEX(sys_DataFlat_LU_Grid,BP70,$E70))</f>
        <v>2809</v>
      </c>
      <c r="BR70" s="49" cm="1">
        <f t="array" ref="BR70">IF($F70=0,-1000,CHOOSE($E$14,INDEX(auto_DataFlat_Score,BQ70,$E$11),-INDEX(auto_DataFlat_Score,BQ70,$E$11),-$D70))</f>
        <v>50.1</v>
      </c>
      <c r="BS70" s="91">
        <f ca="1">RANK(BR70,OFFSET(BR$21,0,0,$E$16+1,1))+COUNTIF(BR$21:BR70,BR70)-1</f>
        <v>37</v>
      </c>
      <c r="BT70" s="91">
        <f t="shared" ca="1" si="52"/>
        <v>22</v>
      </c>
      <c r="BU70" s="91" cm="1">
        <f t="array" aca="1" ref="BU70" ca="1">INDEX(OFFSET(BQ$21,0,0,$E$16+1,1),BT70)</f>
        <v>2781</v>
      </c>
      <c r="BV70" s="49" cm="1">
        <f t="array" aca="1" ref="BV70" ca="1">INDEX(OFFSET($E$21,0,0,$E$16+1,1),BT70)</f>
        <v>21</v>
      </c>
      <c r="BW70" s="80" cm="1">
        <f t="array" aca="1" ref="BW70" ca="1">IF(BV70="G",5,INDEX(OFFSET($F$21,0,0,$E$16+1,1),BT70))</f>
        <v>1</v>
      </c>
      <c r="BX70" s="80" cm="1">
        <f t="array" aca="1" ref="BX70" ca="1">IF(BU70=0,0,IF(BV70="G",-1,INDEX(auto_DataFlat_Classification,BU70,$E$11)))</f>
        <v>2</v>
      </c>
      <c r="BY70" s="301" t="str" cm="1">
        <f t="array" aca="1" ref="BY70" ca="1">IF(BX70&lt;0,"",INDEX(uxbGlobals!$B$133:$B$139,BX70))</f>
        <v xml:space="preserve"> </v>
      </c>
      <c r="BZ70" s="80"/>
      <c r="CA70" s="302" t="str" cm="1">
        <f t="array" aca="1" ref="CA70" ca="1">IF(BW70=0,"",IF(BV70="G","--",INDEX(auto_DataFlat_Rank,BU70,$E$11)))</f>
        <v>49</v>
      </c>
      <c r="CB70" s="122" t="str" cm="1">
        <f t="array" aca="1" ref="CB70" ca="1">IF(BW70=0,"",IF(BV70="G","AVERAGE",INDEX(auto_ddCountry,BV70)))</f>
        <v>Karachi</v>
      </c>
      <c r="CC70" s="290" cm="1">
        <f t="array" aca="1" ref="CC70" ca="1">IF(BW70=0,"",INDEX(auto_DataFlat_Score,BU70,$E$11))</f>
        <v>29.3</v>
      </c>
      <c r="CD70" s="4"/>
      <c r="CE70" s="49">
        <f t="shared" si="41"/>
        <v>52</v>
      </c>
      <c r="CF70" s="49" cm="1">
        <f t="array" ref="CF70">IF($F70=0,0,INDEX(sys_DataFlat_LU_Grid,CE70,$E70))</f>
        <v>3109</v>
      </c>
      <c r="CG70" s="49" cm="1">
        <f t="array" ref="CG70">IF($F70=0,-1000,CHOOSE($E$14,INDEX(auto_DataFlat_Score,CF70,$E$11),-INDEX(auto_DataFlat_Score,CF70,$E$11),-$D70))</f>
        <v>68.5</v>
      </c>
      <c r="CH70" s="91">
        <f ca="1">RANK(CG70,OFFSET(CG$21,0,0,$E$16+1,1))+COUNTIF(CG$21:CG70,CG70)-1</f>
        <v>33</v>
      </c>
      <c r="CI70" s="91">
        <f t="shared" ca="1" si="53"/>
        <v>3</v>
      </c>
      <c r="CJ70" s="91" cm="1">
        <f t="array" aca="1" ref="CJ70" ca="1">INDEX(OFFSET(CF$21,0,0,$E$16+1,1),CI70)</f>
        <v>3062</v>
      </c>
      <c r="CK70" s="49" cm="1">
        <f t="array" aca="1" ref="CK70" ca="1">INDEX(OFFSET($E$21,0,0,$E$16+1,1),CI70)</f>
        <v>2</v>
      </c>
      <c r="CL70" s="80" cm="1">
        <f t="array" aca="1" ref="CL70" ca="1">IF(CK70="G",5,INDEX(OFFSET($F$21,0,0,$E$16+1,1),CI70))</f>
        <v>1</v>
      </c>
      <c r="CM70" s="80" cm="1">
        <f t="array" aca="1" ref="CM70" ca="1">IF(CJ70=0,0,IF(CK70="G",-1,INDEX(auto_DataFlat_Classification,CJ70,$E$11)))</f>
        <v>2</v>
      </c>
      <c r="CN70" s="301" t="str" cm="1">
        <f t="array" aca="1" ref="CN70" ca="1">IF(CM70&lt;0,"",INDEX(uxbGlobals!$B$133:$B$139,CM70))</f>
        <v xml:space="preserve"> </v>
      </c>
      <c r="CO70" s="80"/>
      <c r="CP70" s="302" t="str" cm="1">
        <f t="array" aca="1" ref="CP70" ca="1">IF(CL70=0,"",IF(CK70="G","--",INDEX(auto_DataFlat_Rank,CJ70,$E$11)))</f>
        <v>49</v>
      </c>
      <c r="CQ70" s="122" t="str" cm="1">
        <f t="array" aca="1" ref="CQ70" ca="1">IF(CL70=0,"",IF(CK70="G","AVERAGE",INDEX(auto_ddCountry,CK70)))</f>
        <v>Algiers</v>
      </c>
      <c r="CR70" s="290" cm="1">
        <f t="array" aca="1" ref="CR70" ca="1">IF(CL70=0,"",INDEX(auto_DataFlat_Score,CJ70,$E$11))</f>
        <v>38</v>
      </c>
      <c r="CS70" s="4"/>
      <c r="CT70" s="49">
        <f t="shared" si="43"/>
        <v>-1</v>
      </c>
      <c r="CU70" s="49" t="e" cm="1">
        <f t="array" ref="CU70">IF($F70=0,0,INDEX(sys_DataFlat_LU_Grid,CT70,$E70))</f>
        <v>#VALUE!</v>
      </c>
      <c r="CV70" s="49" t="e" cm="1">
        <f t="array" ref="CV70">IF($F70=0,-1000,CHOOSE($E$14,INDEX(auto_DataFlat_Score,CU70,$E$11),-INDEX(auto_DataFlat_Score,CU70,$E$11),-$D70))</f>
        <v>#VALUE!</v>
      </c>
      <c r="CW70" s="91" t="e">
        <f ca="1">RANK(CV70,OFFSET(CV$21,0,0,$E$16+1,1))+COUNTIF(CV$21:CV70,CV70)-1</f>
        <v>#VALUE!</v>
      </c>
      <c r="CX70" s="91" t="e">
        <f t="shared" ca="1" si="47"/>
        <v>#N/A</v>
      </c>
      <c r="CY70" s="91" t="e" cm="1">
        <f t="array" aca="1" ref="CY70" ca="1">INDEX(OFFSET(CU$21,0,0,$E$16+1,1),CX70)</f>
        <v>#N/A</v>
      </c>
      <c r="CZ70" s="49" t="e" cm="1">
        <f t="array" aca="1" ref="CZ70" ca="1">INDEX(OFFSET($E$21,0,0,$E$16+1,1),CX70)</f>
        <v>#N/A</v>
      </c>
      <c r="DA70" s="80" t="e" cm="1">
        <f t="array" aca="1" ref="DA70" ca="1">IF(CZ70="G",5,INDEX(OFFSET($F$21,0,0,$E$16+1,1),CX70))</f>
        <v>#N/A</v>
      </c>
      <c r="DB70" s="80" t="e" cm="1">
        <f t="array" aca="1" ref="DB70" ca="1">IF(CY70=0,0,IF(CZ70="G",-1,INDEX(auto_DataFlat_Classification,CY70,$E$11)))</f>
        <v>#N/A</v>
      </c>
      <c r="DC70" s="301" t="e" cm="1">
        <f t="array" aca="1" ref="DC70" ca="1">IF(DB70&lt;0,"",INDEX(uxbGlobals!$B$133:$B$139,DB70))</f>
        <v>#N/A</v>
      </c>
      <c r="DD70" s="80"/>
      <c r="DE70" s="302" t="e" cm="1">
        <f t="array" aca="1" ref="DE70" ca="1">IF(DA70=0,"",IF(CZ70="G","--",INDEX(auto_DataFlat_Rank,CY70,$E$11)))</f>
        <v>#N/A</v>
      </c>
      <c r="DF70" s="122" t="e" cm="1">
        <f t="array" aca="1" ref="DF70" ca="1">IF(DA70=0,"",IF(CZ70="G","AVERAGE",INDEX(auto_ddCountry,CZ70)))</f>
        <v>#N/A</v>
      </c>
      <c r="DG70" s="290" t="e" cm="1">
        <f t="array" aca="1" ref="DG70" ca="1">IF(DA70=0,"",INDEX(auto_DataFlat_Score,CY70,$E$11))</f>
        <v>#N/A</v>
      </c>
      <c r="DH70" s="4"/>
      <c r="DI70" s="49">
        <f t="shared" si="44"/>
        <v>-1</v>
      </c>
      <c r="DJ70" s="49" t="e" cm="1">
        <f t="array" ref="DJ70">IF($F70=0,0,INDEX(sys_DataFlat_LU_Grid,DI70,$E70))</f>
        <v>#VALUE!</v>
      </c>
      <c r="DK70" s="49" t="e" cm="1">
        <f t="array" ref="DK70">IF($F70=0,-1000,CHOOSE($E$14,INDEX(auto_DataFlat_Score,DJ70,$E$11),-INDEX(auto_DataFlat_Score,DJ70,$E$11),-$D70))</f>
        <v>#VALUE!</v>
      </c>
      <c r="DL70" s="91" t="e">
        <f ca="1">RANK(DK70,OFFSET(DK$21,0,0,$E$16+1,1))+COUNTIF(DK$21:DK70,DK70)-1</f>
        <v>#VALUE!</v>
      </c>
      <c r="DM70" s="91" t="e">
        <f t="shared" ca="1" si="28"/>
        <v>#N/A</v>
      </c>
      <c r="DN70" s="91" t="e" cm="1">
        <f t="array" aca="1" ref="DN70" ca="1">INDEX(OFFSET(DJ$21,0,0,$E$16+1,1),DM70)</f>
        <v>#N/A</v>
      </c>
      <c r="DO70" s="49" t="e" cm="1">
        <f t="array" aca="1" ref="DO70" ca="1">INDEX(OFFSET($E$21,0,0,$E$16+1,1),DM70)</f>
        <v>#N/A</v>
      </c>
      <c r="DP70" s="80" t="e" cm="1">
        <f t="array" aca="1" ref="DP70" ca="1">IF(DO70="G",5,INDEX(OFFSET($F$21,0,0,$E$16+1,1),DM70))</f>
        <v>#N/A</v>
      </c>
      <c r="DQ70" s="80" t="e" cm="1">
        <f t="array" aca="1" ref="DQ70" ca="1">IF(DN70=0,0,IF(DO70="G",-1,INDEX(auto_DataFlat_Classification,DN70,$E$11)))</f>
        <v>#N/A</v>
      </c>
      <c r="DR70" s="301" t="e" cm="1">
        <f t="array" aca="1" ref="DR70" ca="1">IF(DQ70&lt;0,"",INDEX(uxbGlobals!$B$133:$B$139,DQ70))</f>
        <v>#N/A</v>
      </c>
      <c r="DS70" s="80"/>
      <c r="DT70" s="302" t="e" cm="1">
        <f t="array" aca="1" ref="DT70" ca="1">IF(DP70=0,"",IF(DO70="G","--",INDEX(auto_DataFlat_Rank,DN70,$E$11)))</f>
        <v>#N/A</v>
      </c>
      <c r="DU70" s="122" t="e" cm="1">
        <f t="array" aca="1" ref="DU70" ca="1">IF(DP70=0,"",IF(DO70="G","AVERAGE",INDEX(auto_ddCountry,DO70)))</f>
        <v>#N/A</v>
      </c>
      <c r="DV70" s="290" t="e" cm="1">
        <f t="array" aca="1" ref="DV70" ca="1">IF(DP70=0,"",INDEX(auto_DataFlat_Score,DN70,$E$11))</f>
        <v>#N/A</v>
      </c>
      <c r="DW70" s="4"/>
      <c r="DX70" s="49">
        <f t="shared" si="45"/>
        <v>-1</v>
      </c>
      <c r="DY70" s="49" t="e" cm="1">
        <f t="array" ref="DY70">IF($F70=0,0,INDEX(sys_DataFlat_LU_Grid,DX70,$E70))</f>
        <v>#VALUE!</v>
      </c>
      <c r="DZ70" s="49" t="e" cm="1">
        <f t="array" ref="DZ70">IF($F70=0,-1000,CHOOSE($E$14,INDEX(auto_DataFlat_Score,DY70,$E$11),-INDEX(auto_DataFlat_Score,DY70,$E$11),-$D70))</f>
        <v>#VALUE!</v>
      </c>
      <c r="EA70" s="91" t="e">
        <f ca="1">RANK(DZ70,OFFSET(DZ$21,0,0,$E$16+1,1))+COUNTIF(DZ$21:DZ70,DZ70)-1</f>
        <v>#VALUE!</v>
      </c>
      <c r="EB70" s="91" t="e">
        <f t="shared" ca="1" si="29"/>
        <v>#N/A</v>
      </c>
      <c r="EC70" s="91" t="e" cm="1">
        <f t="array" aca="1" ref="EC70" ca="1">INDEX(OFFSET(DY$21,0,0,$E$16+1,1),EB70)</f>
        <v>#N/A</v>
      </c>
      <c r="ED70" s="49" t="e" cm="1">
        <f t="array" aca="1" ref="ED70" ca="1">INDEX(OFFSET($E$21,0,0,$E$16+1,1),EB70)</f>
        <v>#N/A</v>
      </c>
      <c r="EE70" s="80" t="e" cm="1">
        <f t="array" aca="1" ref="EE70" ca="1">IF(ED70="G",5,INDEX(OFFSET($F$21,0,0,$E$16+1,1),EB70))</f>
        <v>#N/A</v>
      </c>
      <c r="EF70" s="80" t="e" cm="1">
        <f t="array" aca="1" ref="EF70" ca="1">IF(EC70=0,0,IF(ED70="G",-1,INDEX(auto_DataFlat_Classification,EC70,$E$11)))</f>
        <v>#N/A</v>
      </c>
      <c r="EG70" s="301" t="e" cm="1">
        <f t="array" aca="1" ref="EG70" ca="1">IF(EF70&lt;0,"",INDEX(uxbGlobals!$B$133:$B$139,EF70))</f>
        <v>#N/A</v>
      </c>
      <c r="EH70" s="80"/>
      <c r="EI70" s="302" t="e" cm="1">
        <f t="array" aca="1" ref="EI70" ca="1">IF(EE70=0,"",IF(ED70="G","--",INDEX(auto_DataFlat_Rank,EC70,$E$11)))</f>
        <v>#N/A</v>
      </c>
      <c r="EJ70" s="122" t="e" cm="1">
        <f t="array" aca="1" ref="EJ70" ca="1">IF(EE70=0,"",IF(ED70="G","AVERAGE",INDEX(auto_ddCountry,ED70)))</f>
        <v>#N/A</v>
      </c>
      <c r="EK70" s="290" t="e" cm="1">
        <f t="array" aca="1" ref="EK70" ca="1">IF(EE70=0,"",INDEX(auto_DataFlat_Score,EC70,$E$11))</f>
        <v>#N/A</v>
      </c>
      <c r="EL70" s="4"/>
      <c r="EM70" s="49">
        <f t="shared" si="46"/>
        <v>-1</v>
      </c>
      <c r="EN70" s="49" t="e" cm="1">
        <f t="array" ref="EN70">IF($F70=0,0,INDEX(sys_DataFlat_LU_Grid,EM70,$E70))</f>
        <v>#VALUE!</v>
      </c>
      <c r="EO70" s="49" t="e" cm="1">
        <f t="array" ref="EO70">IF($F70=0,-1000,CHOOSE($E$14,INDEX(auto_DataFlat_Score,EN70,$E$11),-INDEX(auto_DataFlat_Score,EN70,$E$11),-$D70))</f>
        <v>#VALUE!</v>
      </c>
      <c r="EP70" s="91" t="e">
        <f ca="1">RANK(EO70,OFFSET(EO$21,0,0,$E$16+1,1))+COUNTIF(EO$21:EO70,EO70)-1</f>
        <v>#VALUE!</v>
      </c>
      <c r="EQ70" s="91" t="e">
        <f t="shared" ca="1" si="30"/>
        <v>#N/A</v>
      </c>
      <c r="ER70" s="91" t="e" cm="1">
        <f t="array" aca="1" ref="ER70" ca="1">INDEX(OFFSET(EN$21,0,0,$E$16+1,1),EQ70)</f>
        <v>#N/A</v>
      </c>
      <c r="ES70" s="49" t="e" cm="1">
        <f t="array" aca="1" ref="ES70" ca="1">INDEX(OFFSET($E$21,0,0,$E$16+1,1),EQ70)</f>
        <v>#N/A</v>
      </c>
      <c r="ET70" s="80" t="e" cm="1">
        <f t="array" aca="1" ref="ET70" ca="1">IF(ES70="G",5,INDEX(OFFSET($F$21,0,0,$E$16+1,1),EQ70))</f>
        <v>#N/A</v>
      </c>
      <c r="EU70" s="80" t="e" cm="1">
        <f t="array" aca="1" ref="EU70" ca="1">IF(ER70=0,0,IF(ES70="G",-1,INDEX(auto_DataFlat_Classification,ER70,$E$11)))</f>
        <v>#N/A</v>
      </c>
      <c r="EV70" s="301" t="e" cm="1">
        <f t="array" aca="1" ref="EV70" ca="1">IF(EU70&lt;0,"",INDEX(uxbGlobals!$B$133:$B$139,EU70))</f>
        <v>#N/A</v>
      </c>
      <c r="EW70" s="80"/>
      <c r="EX70" s="302" t="e" cm="1">
        <f t="array" aca="1" ref="EX70" ca="1">IF(ET70=0,"",IF(ES70="G","--",INDEX(auto_DataFlat_Rank,ER70,$E$11)))</f>
        <v>#N/A</v>
      </c>
      <c r="EY70" s="122" t="e" cm="1">
        <f t="array" aca="1" ref="EY70" ca="1">IF(ET70=0,"",IF(ES70="G","AVERAGE",INDEX(auto_ddCountry,ES70)))</f>
        <v>#N/A</v>
      </c>
      <c r="EZ70" s="290" t="e" cm="1">
        <f t="array" aca="1" ref="EZ70" ca="1">IF(ET70=0,"",INDEX(auto_DataFlat_Score,ER70,$E$11))</f>
        <v>#N/A</v>
      </c>
    </row>
    <row r="71" spans="1:156" ht="17.149999999999999" customHeight="1" x14ac:dyDescent="0.4">
      <c r="A71" s="4"/>
      <c r="B71" s="4"/>
      <c r="C71" s="4"/>
      <c r="D71" s="26">
        <v>51</v>
      </c>
      <c r="E71" s="49">
        <f>tblCountries!M52</f>
        <v>50</v>
      </c>
      <c r="F71" s="114" cm="1">
        <f t="array" ref="F71">IF(E71=0,0,INDEX(auto_Country_Status,E71))</f>
        <v>1</v>
      </c>
      <c r="G71" s="4"/>
      <c r="H71" s="49">
        <f t="shared" si="31"/>
        <v>1</v>
      </c>
      <c r="I71" s="49" cm="1">
        <f t="array" ref="I71">IF($F71=0,0,INDEX(sys_DataFlat_LU_Grid,H71,$E71))</f>
        <v>50</v>
      </c>
      <c r="J71" s="49" cm="1">
        <f t="array" ref="J71">IF($F71=0,-1000,CHOOSE($E$14,INDEX(auto_DataFlat_Score,I71,$E$11),-INDEX(auto_DataFlat_Score,I71,$E$11),-$D71))</f>
        <v>43.5</v>
      </c>
      <c r="K71" s="91">
        <f ca="1">RANK(J71,OFFSET(J$21,0,0,$E$16+1,1))+COUNTIF(J$21:J71,J71)-1</f>
        <v>46</v>
      </c>
      <c r="L71" s="91">
        <f t="shared" ca="1" si="48"/>
        <v>11</v>
      </c>
      <c r="M71" s="91" cm="1">
        <f t="array" aca="1" ref="M71" ca="1">INDEX(OFFSET(I$21,0,0,$E$16+1,1),L71)</f>
        <v>10</v>
      </c>
      <c r="N71" s="49" cm="1">
        <f t="array" aca="1" ref="N71" ca="1">INDEX(OFFSET($E$21,0,0,$E$16+1,1),L71)</f>
        <v>10</v>
      </c>
      <c r="O71" s="80" cm="1">
        <f t="array" aca="1" ref="O71" ca="1">IF(N71="G",5,INDEX(OFFSET($F$21,0,0,$E$16+1,1),L71))</f>
        <v>1</v>
      </c>
      <c r="P71" s="80" cm="1">
        <f t="array" aca="1" ref="P71" ca="1">IF(M71=0,0,IF(N71="G",-1,INDEX(auto_DataFlat_Classification,M71,$E$11)))</f>
        <v>3</v>
      </c>
      <c r="Q71" s="301" t="str" cm="1">
        <f t="array" aca="1" ref="Q71" ca="1">IF(P71&lt;0,"",INDEX(uxbGlobals!$B$133:$B$139,P71))</f>
        <v xml:space="preserve"> </v>
      </c>
      <c r="R71" s="80"/>
      <c r="S71" s="302" t="str" cm="1">
        <f t="array" aca="1" ref="S71" ca="1">IF(O71=0,"",IF(N71="G","--",INDEX(auto_DataFlat_Rank,M71,$E$11)))</f>
        <v>50</v>
      </c>
      <c r="T71" s="122" t="str" cm="1">
        <f t="array" aca="1" ref="T71" ca="1">IF(O71=0,"",IF(N71="G"," AVERAGE",INDEX(auto_ddCountry,N71)))</f>
        <v>Cairo</v>
      </c>
      <c r="U71" s="290" cm="1">
        <f t="array" aca="1" ref="U71" ca="1">IF(O71=0,"",INDEX(auto_DataFlat_Score,M71,$E$11))</f>
        <v>40.6</v>
      </c>
      <c r="V71" s="4"/>
      <c r="W71" s="49">
        <f t="shared" si="33"/>
        <v>2</v>
      </c>
      <c r="X71" s="49" cm="1">
        <f t="array" ref="X71">IF($F71=0,0,INDEX(sys_DataFlat_LU_Grid,W71,$E71))</f>
        <v>110</v>
      </c>
      <c r="Y71" s="49" cm="1">
        <f t="array" ref="Y71">IF($F71=0,-1000,CHOOSE($E$14,INDEX(auto_DataFlat_Score,X71,$E$11),-INDEX(auto_DataFlat_Score,X71,$E$11),-$D71))</f>
        <v>51.1</v>
      </c>
      <c r="Z71" s="91">
        <f ca="1">RANK(Y71,OFFSET(Y$21,0,0,$E$16+1,1))+COUNTIF(Y$21:Y71,Y71)-1</f>
        <v>44</v>
      </c>
      <c r="AA71" s="91">
        <f t="shared" ca="1" si="49"/>
        <v>33</v>
      </c>
      <c r="AB71" s="91" cm="1">
        <f t="array" aca="1" ref="AB71" ca="1">INDEX(OFFSET(X$21,0,0,$E$16+1,1),AA71)</f>
        <v>92</v>
      </c>
      <c r="AC71" s="49" cm="1">
        <f t="array" aca="1" ref="AC71" ca="1">INDEX(OFFSET($E$21,0,0,$E$16+1,1),AA71)</f>
        <v>32</v>
      </c>
      <c r="AD71" s="80" cm="1">
        <f t="array" aca="1" ref="AD71" ca="1">IF(AC71="G",5,INDEX(OFFSET($F$21,0,0,$E$16+1,1),AA71))</f>
        <v>1</v>
      </c>
      <c r="AE71" s="80" cm="1">
        <f t="array" aca="1" ref="AE71" ca="1">IF(AB71=0,0,IF(AC71="G",-1,INDEX(auto_DataFlat_Classification,AB71,$E$11)))</f>
        <v>2</v>
      </c>
      <c r="AF71" s="301" t="str" cm="1">
        <f t="array" aca="1" ref="AF71" ca="1">IF(AE71&lt;0,"",INDEX(uxbGlobals!$B$133:$B$139,AE71))</f>
        <v xml:space="preserve"> </v>
      </c>
      <c r="AG71" s="80"/>
      <c r="AH71" s="302" t="str" cm="1">
        <f t="array" aca="1" ref="AH71" ca="1">IF(AD71=0,"",IF(AC71="G","--",INDEX(auto_DataFlat_Rank,AB71,$E$11)))</f>
        <v>=49</v>
      </c>
      <c r="AI71" s="122" t="str" cm="1">
        <f t="array" aca="1" ref="AI71" ca="1">IF(AD71=0,"",IF(AC71="G","AVERAGE",INDEX(auto_ddCountry,AC71)))</f>
        <v>Mumbai</v>
      </c>
      <c r="AJ71" s="290" cm="1">
        <f t="array" aca="1" ref="AJ71" ca="1">IF(AD71=0,"",INDEX(auto_DataFlat_Score,AB71,$E$11))</f>
        <v>34.200000000000003</v>
      </c>
      <c r="AK71" s="4"/>
      <c r="AL71" s="49">
        <f t="shared" si="35"/>
        <v>14</v>
      </c>
      <c r="AM71" s="49" cm="1">
        <f t="array" ref="AM71">IF($F71=0,0,INDEX(sys_DataFlat_LU_Grid,AL71,$E71))</f>
        <v>830</v>
      </c>
      <c r="AN71" s="49" cm="1">
        <f t="array" ref="AN71">IF($F71=0,-1000,CHOOSE($E$14,INDEX(auto_DataFlat_Score,AM71,$E$11),-INDEX(auto_DataFlat_Score,AM71,$E$11),-$D71))</f>
        <v>33.4</v>
      </c>
      <c r="AO71" s="91">
        <f ca="1">RANK(AN71,OFFSET(AN$21,0,0,$E$16+1,1))+COUNTIF(AN$21:AN71,AN71)-1</f>
        <v>40</v>
      </c>
      <c r="AP71" s="91">
        <f t="shared" ca="1" si="50"/>
        <v>39</v>
      </c>
      <c r="AQ71" s="91" cm="1">
        <f t="array" aca="1" ref="AQ71" ca="1">INDEX(OFFSET(AM$21,0,0,$E$16+1,1),AP71)</f>
        <v>818</v>
      </c>
      <c r="AR71" s="49" cm="1">
        <f t="array" aca="1" ref="AR71" ca="1">INDEX(OFFSET($E$21,0,0,$E$16+1,1),AP71)</f>
        <v>38</v>
      </c>
      <c r="AS71" s="80" cm="1">
        <f t="array" aca="1" ref="AS71" ca="1">IF(AR71="G",5,INDEX(OFFSET($F$21,0,0,$E$16+1,1),AP71))</f>
        <v>1</v>
      </c>
      <c r="AT71" s="80" cm="1">
        <f t="array" aca="1" ref="AT71" ca="1">IF(AQ71=0,0,IF(AR71="G",-1,INDEX(auto_DataFlat_Classification,AQ71,$E$11)))</f>
        <v>1</v>
      </c>
      <c r="AU71" s="301" t="str" cm="1">
        <f t="array" aca="1" ref="AU71" ca="1">IF(AT71&lt;0,"",INDEX(uxbGlobals!$B$133:$B$139,AT71))</f>
        <v xml:space="preserve"> </v>
      </c>
      <c r="AV71" s="80"/>
      <c r="AW71" s="302" t="str" cm="1">
        <f t="array" aca="1" ref="AW71" ca="1">IF(AS71=0,"",IF(AR71="G","--",INDEX(auto_DataFlat_Rank,AQ71,$E$11)))</f>
        <v>50</v>
      </c>
      <c r="AX71" s="122" t="str" cm="1">
        <f t="array" aca="1" ref="AX71" ca="1">IF(AS71=0,"",IF(AR71="G","AVERAGE",INDEX(auto_ddCountry,AR71)))</f>
        <v>Riyadh</v>
      </c>
      <c r="AY71" s="290" cm="1">
        <f t="array" aca="1" ref="AY71" ca="1">IF(AS71=0,"",INDEX(auto_DataFlat_Score,AQ71,$E$11))</f>
        <v>9.8000000000000007</v>
      </c>
      <c r="AZ71" s="4"/>
      <c r="BA71" s="49">
        <f t="shared" si="37"/>
        <v>22</v>
      </c>
      <c r="BB71" s="49" cm="1">
        <f t="array" ref="BB71">IF($F71=0,0,INDEX(sys_DataFlat_LU_Grid,BA71,$E71))</f>
        <v>1310</v>
      </c>
      <c r="BC71" s="49" cm="1">
        <f t="array" ref="BC71">IF($F71=0,-1000,CHOOSE($E$14,INDEX(auto_DataFlat_Score,BB71,$E$11),-INDEX(auto_DataFlat_Score,BB71,$E$11),-$D71))</f>
        <v>44</v>
      </c>
      <c r="BD71" s="91">
        <f ca="1">RANK(BC71,OFFSET(BC$21,0,0,$E$16+1,1))+COUNTIF(BC$21:BC71,BC71)-1</f>
        <v>37</v>
      </c>
      <c r="BE71" s="91">
        <f t="shared" ca="1" si="51"/>
        <v>37</v>
      </c>
      <c r="BF71" s="91" cm="1">
        <f t="array" aca="1" ref="BF71" ca="1">INDEX(OFFSET(BB$21,0,0,$E$16+1,1),BE71)</f>
        <v>1296</v>
      </c>
      <c r="BG71" s="49" cm="1">
        <f t="array" aca="1" ref="BG71" ca="1">INDEX(OFFSET($E$21,0,0,$E$16+1,1),BE71)</f>
        <v>36</v>
      </c>
      <c r="BH71" s="80" cm="1">
        <f t="array" aca="1" ref="BH71" ca="1">IF(BG71="G",5,INDEX(OFFSET($F$21,0,0,$E$16+1,1),BE71))</f>
        <v>1</v>
      </c>
      <c r="BI71" s="80" cm="1">
        <f t="array" aca="1" ref="BI71" ca="1">IF(BF71=0,0,IF(BG71="G",-1,INDEX(auto_DataFlat_Classification,BF71,$E$11)))</f>
        <v>2</v>
      </c>
      <c r="BJ71" s="301" t="str" cm="1">
        <f t="array" aca="1" ref="BJ71" ca="1">IF(BI71&lt;0,"",INDEX(uxbGlobals!$B$133:$B$139,BI71))</f>
        <v xml:space="preserve"> </v>
      </c>
      <c r="BK71" s="80"/>
      <c r="BL71" s="302" t="str" cm="1">
        <f t="array" aca="1" ref="BL71" ca="1">IF(BH71=0,"",IF(BG71="G","--",INDEX(auto_DataFlat_Rank,BF71,$E$11)))</f>
        <v>50</v>
      </c>
      <c r="BM71" s="122" t="str" cm="1">
        <f t="array" aca="1" ref="BM71" ca="1">IF(BH71=0,"",IF(BG71="G","AVERAGE",INDEX(auto_ddCountry,BG71)))</f>
        <v>Paris</v>
      </c>
      <c r="BN71" s="290" cm="1">
        <f t="array" aca="1" ref="BN71" ca="1">IF(BH71=0,"",INDEX(auto_DataFlat_Score,BF71,$E$11))</f>
        <v>33.4</v>
      </c>
      <c r="BO71" s="4"/>
      <c r="BP71" s="49">
        <f t="shared" si="39"/>
        <v>47</v>
      </c>
      <c r="BQ71" s="49" cm="1">
        <f t="array" ref="BQ71">IF($F71=0,0,INDEX(sys_DataFlat_LU_Grid,BP71,$E71))</f>
        <v>2810</v>
      </c>
      <c r="BR71" s="49" cm="1">
        <f t="array" ref="BR71">IF($F71=0,-1000,CHOOSE($E$14,INDEX(auto_DataFlat_Score,BQ71,$E$11),-INDEX(auto_DataFlat_Score,BQ71,$E$11),-$D71))</f>
        <v>51.6</v>
      </c>
      <c r="BS71" s="91">
        <f ca="1">RANK(BR71,OFFSET(BR$21,0,0,$E$16+1,1))+COUNTIF(BR$21:BR71,BR71)-1</f>
        <v>35</v>
      </c>
      <c r="BT71" s="91">
        <f t="shared" ca="1" si="52"/>
        <v>2</v>
      </c>
      <c r="BU71" s="91" cm="1">
        <f t="array" aca="1" ref="BU71" ca="1">INDEX(OFFSET(BQ$21,0,0,$E$16+1,1),BT71)</f>
        <v>2761</v>
      </c>
      <c r="BV71" s="49" cm="1">
        <f t="array" aca="1" ref="BV71" ca="1">INDEX(OFFSET($E$21,0,0,$E$16+1,1),BT71)</f>
        <v>1</v>
      </c>
      <c r="BW71" s="80" cm="1">
        <f t="array" aca="1" ref="BW71" ca="1">IF(BV71="G",5,INDEX(OFFSET($F$21,0,0,$E$16+1,1),BT71))</f>
        <v>1</v>
      </c>
      <c r="BX71" s="80" cm="1">
        <f t="array" aca="1" ref="BX71" ca="1">IF(BU71=0,0,IF(BV71="G",-1,INDEX(auto_DataFlat_Classification,BU71,$E$11)))</f>
        <v>1</v>
      </c>
      <c r="BY71" s="301" t="str" cm="1">
        <f t="array" aca="1" ref="BY71" ca="1">IF(BX71&lt;0,"",INDEX(uxbGlobals!$B$133:$B$139,BX71))</f>
        <v xml:space="preserve"> </v>
      </c>
      <c r="BZ71" s="80"/>
      <c r="CA71" s="302" t="str" cm="1">
        <f t="array" aca="1" ref="CA71" ca="1">IF(BW71=0,"",IF(BV71="G","--",INDEX(auto_DataFlat_Rank,BU71,$E$11)))</f>
        <v>50</v>
      </c>
      <c r="CB71" s="122" t="str" cm="1">
        <f t="array" aca="1" ref="CB71" ca="1">IF(BW71=0,"",IF(BV71="G","AVERAGE",INDEX(auto_ddCountry,BV71)))</f>
        <v>Addis Ababa</v>
      </c>
      <c r="CC71" s="290" cm="1">
        <f t="array" aca="1" ref="CC71" ca="1">IF(BW71=0,"",INDEX(auto_DataFlat_Score,BU71,$E$11))</f>
        <v>19.100000000000001</v>
      </c>
      <c r="CD71" s="4"/>
      <c r="CE71" s="49">
        <f t="shared" si="41"/>
        <v>52</v>
      </c>
      <c r="CF71" s="49" cm="1">
        <f t="array" ref="CF71">IF($F71=0,0,INDEX(sys_DataFlat_LU_Grid,CE71,$E71))</f>
        <v>3110</v>
      </c>
      <c r="CG71" s="49" cm="1">
        <f t="array" ref="CG71">IF($F71=0,-1000,CHOOSE($E$14,INDEX(auto_DataFlat_Score,CF71,$E$11),-INDEX(auto_DataFlat_Score,CF71,$E$11),-$D71))</f>
        <v>40.700000000000003</v>
      </c>
      <c r="CH71" s="91">
        <f ca="1">RANK(CG71,OFFSET(CG$21,0,0,$E$16+1,1))+COUNTIF(CG$21:CG71,CG71)-1</f>
        <v>49</v>
      </c>
      <c r="CI71" s="91">
        <f t="shared" ca="1" si="53"/>
        <v>23</v>
      </c>
      <c r="CJ71" s="91" cm="1">
        <f t="array" aca="1" ref="CJ71" ca="1">INDEX(OFFSET(CF$21,0,0,$E$16+1,1),CI71)</f>
        <v>3082</v>
      </c>
      <c r="CK71" s="49" cm="1">
        <f t="array" aca="1" ref="CK71" ca="1">INDEX(OFFSET($E$21,0,0,$E$16+1,1),CI71)</f>
        <v>22</v>
      </c>
      <c r="CL71" s="80" cm="1">
        <f t="array" aca="1" ref="CL71" ca="1">IF(CK71="G",5,INDEX(OFFSET($F$21,0,0,$E$16+1,1),CI71))</f>
        <v>1</v>
      </c>
      <c r="CM71" s="80" cm="1">
        <f t="array" aca="1" ref="CM71" ca="1">IF(CJ71=0,0,IF(CK71="G",-1,INDEX(auto_DataFlat_Classification,CJ71,$E$11)))</f>
        <v>2</v>
      </c>
      <c r="CN71" s="301" t="str" cm="1">
        <f t="array" aca="1" ref="CN71" ca="1">IF(CM71&lt;0,"",INDEX(uxbGlobals!$B$133:$B$139,CM71))</f>
        <v xml:space="preserve"> </v>
      </c>
      <c r="CO71" s="80"/>
      <c r="CP71" s="302" t="str" cm="1">
        <f t="array" aca="1" ref="CP71" ca="1">IF(CL71=0,"",IF(CK71="G","--",INDEX(auto_DataFlat_Rank,CJ71,$E$11)))</f>
        <v>50</v>
      </c>
      <c r="CQ71" s="122" t="str" cm="1">
        <f t="array" aca="1" ref="CQ71" ca="1">IF(CL71=0,"",IF(CK71="G","AVERAGE",INDEX(auto_ddCountry,CK71)))</f>
        <v>Kathmandu</v>
      </c>
      <c r="CR71" s="290" cm="1">
        <f t="array" aca="1" ref="CR71" ca="1">IF(CL71=0,"",INDEX(auto_DataFlat_Score,CJ71,$E$11))</f>
        <v>37</v>
      </c>
      <c r="CS71" s="4"/>
      <c r="CT71" s="49">
        <f t="shared" si="43"/>
        <v>-1</v>
      </c>
      <c r="CU71" s="49" t="e" cm="1">
        <f t="array" ref="CU71">IF($F71=0,0,INDEX(sys_DataFlat_LU_Grid,CT71,$E71))</f>
        <v>#VALUE!</v>
      </c>
      <c r="CV71" s="49" t="e" cm="1">
        <f t="array" ref="CV71">IF($F71=0,-1000,CHOOSE($E$14,INDEX(auto_DataFlat_Score,CU71,$E$11),-INDEX(auto_DataFlat_Score,CU71,$E$11),-$D71))</f>
        <v>#VALUE!</v>
      </c>
      <c r="CW71" s="91" t="e">
        <f ca="1">RANK(CV71,OFFSET(CV$21,0,0,$E$16+1,1))+COUNTIF(CV$21:CV71,CV71)-1</f>
        <v>#VALUE!</v>
      </c>
      <c r="CX71" s="91" t="e">
        <f t="shared" ca="1" si="47"/>
        <v>#N/A</v>
      </c>
      <c r="CY71" s="91" t="e" cm="1">
        <f t="array" aca="1" ref="CY71" ca="1">INDEX(OFFSET(CU$21,0,0,$E$16+1,1),CX71)</f>
        <v>#N/A</v>
      </c>
      <c r="CZ71" s="49" t="e" cm="1">
        <f t="array" aca="1" ref="CZ71" ca="1">INDEX(OFFSET($E$21,0,0,$E$16+1,1),CX71)</f>
        <v>#N/A</v>
      </c>
      <c r="DA71" s="80" t="e" cm="1">
        <f t="array" aca="1" ref="DA71" ca="1">IF(CZ71="G",5,INDEX(OFFSET($F$21,0,0,$E$16+1,1),CX71))</f>
        <v>#N/A</v>
      </c>
      <c r="DB71" s="80" t="e" cm="1">
        <f t="array" aca="1" ref="DB71" ca="1">IF(CY71=0,0,IF(CZ71="G",-1,INDEX(auto_DataFlat_Classification,CY71,$E$11)))</f>
        <v>#N/A</v>
      </c>
      <c r="DC71" s="301" t="e" cm="1">
        <f t="array" aca="1" ref="DC71" ca="1">IF(DB71&lt;0,"",INDEX(uxbGlobals!$B$133:$B$139,DB71))</f>
        <v>#N/A</v>
      </c>
      <c r="DD71" s="80"/>
      <c r="DE71" s="302" t="e" cm="1">
        <f t="array" aca="1" ref="DE71" ca="1">IF(DA71=0,"",IF(CZ71="G","--",INDEX(auto_DataFlat_Rank,CY71,$E$11)))</f>
        <v>#N/A</v>
      </c>
      <c r="DF71" s="122" t="e" cm="1">
        <f t="array" aca="1" ref="DF71" ca="1">IF(DA71=0,"",IF(CZ71="G","AVERAGE",INDEX(auto_ddCountry,CZ71)))</f>
        <v>#N/A</v>
      </c>
      <c r="DG71" s="290" t="e" cm="1">
        <f t="array" aca="1" ref="DG71" ca="1">IF(DA71=0,"",INDEX(auto_DataFlat_Score,CY71,$E$11))</f>
        <v>#N/A</v>
      </c>
      <c r="DH71" s="4"/>
      <c r="DI71" s="49">
        <f t="shared" si="44"/>
        <v>-1</v>
      </c>
      <c r="DJ71" s="49" t="e" cm="1">
        <f t="array" ref="DJ71">IF($F71=0,0,INDEX(sys_DataFlat_LU_Grid,DI71,$E71))</f>
        <v>#VALUE!</v>
      </c>
      <c r="DK71" s="49" t="e" cm="1">
        <f t="array" ref="DK71">IF($F71=0,-1000,CHOOSE($E$14,INDEX(auto_DataFlat_Score,DJ71,$E$11),-INDEX(auto_DataFlat_Score,DJ71,$E$11),-$D71))</f>
        <v>#VALUE!</v>
      </c>
      <c r="DL71" s="91" t="e">
        <f ca="1">RANK(DK71,OFFSET(DK$21,0,0,$E$16+1,1))+COUNTIF(DK$21:DK71,DK71)-1</f>
        <v>#VALUE!</v>
      </c>
      <c r="DM71" s="91" t="e">
        <f t="shared" ca="1" si="28"/>
        <v>#N/A</v>
      </c>
      <c r="DN71" s="91" t="e" cm="1">
        <f t="array" aca="1" ref="DN71" ca="1">INDEX(OFFSET(DJ$21,0,0,$E$16+1,1),DM71)</f>
        <v>#N/A</v>
      </c>
      <c r="DO71" s="49" t="e" cm="1">
        <f t="array" aca="1" ref="DO71" ca="1">INDEX(OFFSET($E$21,0,0,$E$16+1,1),DM71)</f>
        <v>#N/A</v>
      </c>
      <c r="DP71" s="80" t="e" cm="1">
        <f t="array" aca="1" ref="DP71" ca="1">IF(DO71="G",5,INDEX(OFFSET($F$21,0,0,$E$16+1,1),DM71))</f>
        <v>#N/A</v>
      </c>
      <c r="DQ71" s="80" t="e" cm="1">
        <f t="array" aca="1" ref="DQ71" ca="1">IF(DN71=0,0,IF(DO71="G",-1,INDEX(auto_DataFlat_Classification,DN71,$E$11)))</f>
        <v>#N/A</v>
      </c>
      <c r="DR71" s="301" t="e" cm="1">
        <f t="array" aca="1" ref="DR71" ca="1">IF(DQ71&lt;0,"",INDEX(uxbGlobals!$B$133:$B$139,DQ71))</f>
        <v>#N/A</v>
      </c>
      <c r="DS71" s="80"/>
      <c r="DT71" s="302" t="e" cm="1">
        <f t="array" aca="1" ref="DT71" ca="1">IF(DP71=0,"",IF(DO71="G","--",INDEX(auto_DataFlat_Rank,DN71,$E$11)))</f>
        <v>#N/A</v>
      </c>
      <c r="DU71" s="122" t="e" cm="1">
        <f t="array" aca="1" ref="DU71" ca="1">IF(DP71=0,"",IF(DO71="G","AVERAGE",INDEX(auto_ddCountry,DO71)))</f>
        <v>#N/A</v>
      </c>
      <c r="DV71" s="290" t="e" cm="1">
        <f t="array" aca="1" ref="DV71" ca="1">IF(DP71=0,"",INDEX(auto_DataFlat_Score,DN71,$E$11))</f>
        <v>#N/A</v>
      </c>
      <c r="DW71" s="4"/>
      <c r="DX71" s="49">
        <f t="shared" si="45"/>
        <v>-1</v>
      </c>
      <c r="DY71" s="49" t="e" cm="1">
        <f t="array" ref="DY71">IF($F71=0,0,INDEX(sys_DataFlat_LU_Grid,DX71,$E71))</f>
        <v>#VALUE!</v>
      </c>
      <c r="DZ71" s="49" t="e" cm="1">
        <f t="array" ref="DZ71">IF($F71=0,-1000,CHOOSE($E$14,INDEX(auto_DataFlat_Score,DY71,$E$11),-INDEX(auto_DataFlat_Score,DY71,$E$11),-$D71))</f>
        <v>#VALUE!</v>
      </c>
      <c r="EA71" s="91" t="e">
        <f ca="1">RANK(DZ71,OFFSET(DZ$21,0,0,$E$16+1,1))+COUNTIF(DZ$21:DZ71,DZ71)-1</f>
        <v>#VALUE!</v>
      </c>
      <c r="EB71" s="91" t="e">
        <f t="shared" ca="1" si="29"/>
        <v>#N/A</v>
      </c>
      <c r="EC71" s="91" t="e" cm="1">
        <f t="array" aca="1" ref="EC71" ca="1">INDEX(OFFSET(DY$21,0,0,$E$16+1,1),EB71)</f>
        <v>#N/A</v>
      </c>
      <c r="ED71" s="49" t="e" cm="1">
        <f t="array" aca="1" ref="ED71" ca="1">INDEX(OFFSET($E$21,0,0,$E$16+1,1),EB71)</f>
        <v>#N/A</v>
      </c>
      <c r="EE71" s="80" t="e" cm="1">
        <f t="array" aca="1" ref="EE71" ca="1">IF(ED71="G",5,INDEX(OFFSET($F$21,0,0,$E$16+1,1),EB71))</f>
        <v>#N/A</v>
      </c>
      <c r="EF71" s="80" t="e" cm="1">
        <f t="array" aca="1" ref="EF71" ca="1">IF(EC71=0,0,IF(ED71="G",-1,INDEX(auto_DataFlat_Classification,EC71,$E$11)))</f>
        <v>#N/A</v>
      </c>
      <c r="EG71" s="301" t="e" cm="1">
        <f t="array" aca="1" ref="EG71" ca="1">IF(EF71&lt;0,"",INDEX(uxbGlobals!$B$133:$B$139,EF71))</f>
        <v>#N/A</v>
      </c>
      <c r="EH71" s="80"/>
      <c r="EI71" s="302" t="e" cm="1">
        <f t="array" aca="1" ref="EI71" ca="1">IF(EE71=0,"",IF(ED71="G","--",INDEX(auto_DataFlat_Rank,EC71,$E$11)))</f>
        <v>#N/A</v>
      </c>
      <c r="EJ71" s="122" t="e" cm="1">
        <f t="array" aca="1" ref="EJ71" ca="1">IF(EE71=0,"",IF(ED71="G","AVERAGE",INDEX(auto_ddCountry,ED71)))</f>
        <v>#N/A</v>
      </c>
      <c r="EK71" s="290" t="e" cm="1">
        <f t="array" aca="1" ref="EK71" ca="1">IF(EE71=0,"",INDEX(auto_DataFlat_Score,EC71,$E$11))</f>
        <v>#N/A</v>
      </c>
      <c r="EL71" s="4"/>
      <c r="EM71" s="49">
        <f t="shared" si="46"/>
        <v>-1</v>
      </c>
      <c r="EN71" s="49" t="e" cm="1">
        <f t="array" ref="EN71">IF($F71=0,0,INDEX(sys_DataFlat_LU_Grid,EM71,$E71))</f>
        <v>#VALUE!</v>
      </c>
      <c r="EO71" s="49" t="e" cm="1">
        <f t="array" ref="EO71">IF($F71=0,-1000,CHOOSE($E$14,INDEX(auto_DataFlat_Score,EN71,$E$11),-INDEX(auto_DataFlat_Score,EN71,$E$11),-$D71))</f>
        <v>#VALUE!</v>
      </c>
      <c r="EP71" s="91" t="e">
        <f ca="1">RANK(EO71,OFFSET(EO$21,0,0,$E$16+1,1))+COUNTIF(EO$21:EO71,EO71)-1</f>
        <v>#VALUE!</v>
      </c>
      <c r="EQ71" s="91" t="e">
        <f t="shared" ca="1" si="30"/>
        <v>#N/A</v>
      </c>
      <c r="ER71" s="91" t="e" cm="1">
        <f t="array" aca="1" ref="ER71" ca="1">INDEX(OFFSET(EN$21,0,0,$E$16+1,1),EQ71)</f>
        <v>#N/A</v>
      </c>
      <c r="ES71" s="49" t="e" cm="1">
        <f t="array" aca="1" ref="ES71" ca="1">INDEX(OFFSET($E$21,0,0,$E$16+1,1),EQ71)</f>
        <v>#N/A</v>
      </c>
      <c r="ET71" s="80" t="e" cm="1">
        <f t="array" aca="1" ref="ET71" ca="1">IF(ES71="G",5,INDEX(OFFSET($F$21,0,0,$E$16+1,1),EQ71))</f>
        <v>#N/A</v>
      </c>
      <c r="EU71" s="80" t="e" cm="1">
        <f t="array" aca="1" ref="EU71" ca="1">IF(ER71=0,0,IF(ES71="G",-1,INDEX(auto_DataFlat_Classification,ER71,$E$11)))</f>
        <v>#N/A</v>
      </c>
      <c r="EV71" s="301" t="e" cm="1">
        <f t="array" aca="1" ref="EV71" ca="1">IF(EU71&lt;0,"",INDEX(uxbGlobals!$B$133:$B$139,EU71))</f>
        <v>#N/A</v>
      </c>
      <c r="EW71" s="80"/>
      <c r="EX71" s="302" t="e" cm="1">
        <f t="array" aca="1" ref="EX71" ca="1">IF(ET71=0,"",IF(ES71="G","--",INDEX(auto_DataFlat_Rank,ER71,$E$11)))</f>
        <v>#N/A</v>
      </c>
      <c r="EY71" s="122" t="e" cm="1">
        <f t="array" aca="1" ref="EY71" ca="1">IF(ET71=0,"",IF(ES71="G","AVERAGE",INDEX(auto_ddCountry,ES71)))</f>
        <v>#N/A</v>
      </c>
      <c r="EZ71" s="290" t="e" cm="1">
        <f t="array" aca="1" ref="EZ71" ca="1">IF(ET71=0,"",INDEX(auto_DataFlat_Score,ER71,$E$11))</f>
        <v>#N/A</v>
      </c>
    </row>
    <row r="72" spans="1:156"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row>
    <row r="73" spans="1:156"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row>
    <row r="74" spans="1:156"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row>
    <row r="75" spans="1:156" x14ac:dyDescent="0.4">
      <c r="A75" s="4" t="s">
        <v>3</v>
      </c>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row>
    <row r="76" spans="1:156" x14ac:dyDescent="0.4"/>
    <row r="77" spans="1:156" x14ac:dyDescent="0.4"/>
    <row r="78" spans="1:156" x14ac:dyDescent="0.4"/>
    <row r="79" spans="1:156" x14ac:dyDescent="0.4"/>
    <row r="80" spans="1:156" x14ac:dyDescent="0.4"/>
    <row r="81" x14ac:dyDescent="0.4"/>
    <row r="82" x14ac:dyDescent="0.4"/>
    <row r="83" x14ac:dyDescent="0.4"/>
    <row r="84" x14ac:dyDescent="0.4"/>
    <row r="85" x14ac:dyDescent="0.4"/>
    <row r="86" x14ac:dyDescent="0.4"/>
    <row r="87" x14ac:dyDescent="0.4"/>
    <row r="88" x14ac:dyDescent="0.4"/>
    <row r="89" x14ac:dyDescent="0.4"/>
    <row r="90" x14ac:dyDescent="0.4"/>
    <row r="91" x14ac:dyDescent="0.4"/>
    <row r="92" x14ac:dyDescent="0.4"/>
    <row r="93" x14ac:dyDescent="0.4"/>
    <row r="94" x14ac:dyDescent="0.4"/>
    <row r="95" x14ac:dyDescent="0.4"/>
    <row r="96" x14ac:dyDescent="0.4"/>
    <row r="97" x14ac:dyDescent="0.4"/>
    <row r="98" x14ac:dyDescent="0.4"/>
    <row r="99" x14ac:dyDescent="0.4"/>
    <row r="100" x14ac:dyDescent="0.4"/>
    <row r="101" x14ac:dyDescent="0.4"/>
    <row r="102" x14ac:dyDescent="0.4"/>
    <row r="103" x14ac:dyDescent="0.4"/>
    <row r="104" x14ac:dyDescent="0.4"/>
    <row r="105" x14ac:dyDescent="0.4"/>
    <row r="106" x14ac:dyDescent="0.4"/>
    <row r="107" x14ac:dyDescent="0.4"/>
    <row r="108" x14ac:dyDescent="0.4"/>
    <row r="109" x14ac:dyDescent="0.4"/>
    <row r="110" x14ac:dyDescent="0.4"/>
    <row r="111" x14ac:dyDescent="0.4"/>
    <row r="112" x14ac:dyDescent="0.4"/>
    <row r="113" x14ac:dyDescent="0.4"/>
    <row r="114" x14ac:dyDescent="0.4"/>
    <row r="115" x14ac:dyDescent="0.4"/>
    <row r="116" x14ac:dyDescent="0.4"/>
    <row r="117" x14ac:dyDescent="0.4"/>
    <row r="118" x14ac:dyDescent="0.4"/>
    <row r="119" x14ac:dyDescent="0.4"/>
    <row r="120" x14ac:dyDescent="0.4"/>
    <row r="121" x14ac:dyDescent="0.4"/>
    <row r="122" x14ac:dyDescent="0.4"/>
    <row r="123" x14ac:dyDescent="0.4"/>
    <row r="124" x14ac:dyDescent="0.4"/>
    <row r="125" x14ac:dyDescent="0.4"/>
    <row r="126" x14ac:dyDescent="0.4"/>
    <row r="127" x14ac:dyDescent="0.4"/>
    <row r="128" x14ac:dyDescent="0.4"/>
    <row r="129" x14ac:dyDescent="0.4"/>
    <row r="130" x14ac:dyDescent="0.4"/>
    <row r="131" x14ac:dyDescent="0.4"/>
    <row r="132" x14ac:dyDescent="0.4"/>
    <row r="133" x14ac:dyDescent="0.4"/>
    <row r="134" x14ac:dyDescent="0.4"/>
    <row r="135" x14ac:dyDescent="0.4"/>
    <row r="136" x14ac:dyDescent="0.4"/>
    <row r="137" x14ac:dyDescent="0.4"/>
    <row r="138" x14ac:dyDescent="0.4"/>
    <row r="139" x14ac:dyDescent="0.4"/>
    <row r="140" x14ac:dyDescent="0.4"/>
    <row r="141" x14ac:dyDescent="0.4"/>
    <row r="142" x14ac:dyDescent="0.4"/>
    <row r="143" x14ac:dyDescent="0.4"/>
    <row r="144" x14ac:dyDescent="0.4"/>
    <row r="145" x14ac:dyDescent="0.4"/>
    <row r="146" x14ac:dyDescent="0.4"/>
    <row r="147" x14ac:dyDescent="0.4"/>
    <row r="148" x14ac:dyDescent="0.4"/>
    <row r="149" x14ac:dyDescent="0.4"/>
    <row r="150" x14ac:dyDescent="0.4"/>
    <row r="151" x14ac:dyDescent="0.4"/>
    <row r="152" x14ac:dyDescent="0.4"/>
    <row r="153" x14ac:dyDescent="0.4"/>
    <row r="154" x14ac:dyDescent="0.4"/>
    <row r="155" x14ac:dyDescent="0.4"/>
    <row r="156" x14ac:dyDescent="0.4"/>
    <row r="157" x14ac:dyDescent="0.4"/>
    <row r="158" x14ac:dyDescent="0.4"/>
    <row r="159" x14ac:dyDescent="0.4"/>
    <row r="160" x14ac:dyDescent="0.4"/>
    <row r="161" x14ac:dyDescent="0.4"/>
    <row r="162" x14ac:dyDescent="0.4"/>
    <row r="163" x14ac:dyDescent="0.4"/>
    <row r="164" x14ac:dyDescent="0.4"/>
    <row r="165" x14ac:dyDescent="0.4"/>
    <row r="166" x14ac:dyDescent="0.4"/>
    <row r="167" x14ac:dyDescent="0.4"/>
    <row r="168" x14ac:dyDescent="0.4"/>
    <row r="169" x14ac:dyDescent="0.4"/>
    <row r="170" x14ac:dyDescent="0.4"/>
    <row r="171" x14ac:dyDescent="0.4"/>
    <row r="172" x14ac:dyDescent="0.4"/>
    <row r="173" x14ac:dyDescent="0.4"/>
    <row r="174" x14ac:dyDescent="0.4"/>
    <row r="175" x14ac:dyDescent="0.4"/>
    <row r="176" x14ac:dyDescent="0.4"/>
    <row r="177" x14ac:dyDescent="0.4"/>
    <row r="178" x14ac:dyDescent="0.4"/>
    <row r="179" x14ac:dyDescent="0.4"/>
    <row r="180" x14ac:dyDescent="0.4"/>
    <row r="181" x14ac:dyDescent="0.4"/>
    <row r="182" x14ac:dyDescent="0.4"/>
    <row r="183" x14ac:dyDescent="0.4"/>
    <row r="184" x14ac:dyDescent="0.4"/>
    <row r="185" x14ac:dyDescent="0.4"/>
    <row r="186" x14ac:dyDescent="0.4"/>
    <row r="187" x14ac:dyDescent="0.4"/>
    <row r="188" x14ac:dyDescent="0.4"/>
    <row r="189" x14ac:dyDescent="0.4"/>
    <row r="190" x14ac:dyDescent="0.4"/>
    <row r="191" x14ac:dyDescent="0.4"/>
    <row r="192" x14ac:dyDescent="0.4"/>
    <row r="193" x14ac:dyDescent="0.4"/>
    <row r="194" x14ac:dyDescent="0.4"/>
    <row r="195" x14ac:dyDescent="0.4"/>
    <row r="196" x14ac:dyDescent="0.4"/>
    <row r="197" x14ac:dyDescent="0.4"/>
    <row r="198" x14ac:dyDescent="0.4"/>
    <row r="199" x14ac:dyDescent="0.4"/>
    <row r="200" x14ac:dyDescent="0.4"/>
    <row r="201" x14ac:dyDescent="0.4"/>
    <row r="202" x14ac:dyDescent="0.4"/>
    <row r="203" x14ac:dyDescent="0.4"/>
    <row r="204" x14ac:dyDescent="0.4"/>
    <row r="205" x14ac:dyDescent="0.4"/>
    <row r="206" x14ac:dyDescent="0.4"/>
    <row r="207" x14ac:dyDescent="0.4"/>
    <row r="208" x14ac:dyDescent="0.4"/>
    <row r="209" x14ac:dyDescent="0.4"/>
    <row r="210" x14ac:dyDescent="0.4"/>
    <row r="211" x14ac:dyDescent="0.4"/>
    <row r="212" x14ac:dyDescent="0.4"/>
    <row r="213" x14ac:dyDescent="0.4"/>
    <row r="214" x14ac:dyDescent="0.4"/>
    <row r="215" x14ac:dyDescent="0.4"/>
    <row r="216" x14ac:dyDescent="0.4"/>
    <row r="217" x14ac:dyDescent="0.4"/>
    <row r="218" x14ac:dyDescent="0.4"/>
    <row r="219" x14ac:dyDescent="0.4"/>
    <row r="220" x14ac:dyDescent="0.4"/>
    <row r="221" x14ac:dyDescent="0.4"/>
    <row r="222" x14ac:dyDescent="0.4"/>
    <row r="223" x14ac:dyDescent="0.4"/>
    <row r="224" x14ac:dyDescent="0.4"/>
    <row r="225" x14ac:dyDescent="0.4"/>
    <row r="226" x14ac:dyDescent="0.4"/>
    <row r="227" x14ac:dyDescent="0.4"/>
    <row r="228" x14ac:dyDescent="0.4"/>
    <row r="229" x14ac:dyDescent="0.4"/>
    <row r="230" x14ac:dyDescent="0.4"/>
    <row r="231" x14ac:dyDescent="0.4"/>
    <row r="232" x14ac:dyDescent="0.4"/>
    <row r="233" x14ac:dyDescent="0.4"/>
    <row r="234" x14ac:dyDescent="0.4"/>
    <row r="235" x14ac:dyDescent="0.4"/>
    <row r="236" x14ac:dyDescent="0.4"/>
    <row r="237" x14ac:dyDescent="0.4"/>
    <row r="238" x14ac:dyDescent="0.4"/>
    <row r="239" x14ac:dyDescent="0.4"/>
    <row r="240" x14ac:dyDescent="0.4"/>
    <row r="241" x14ac:dyDescent="0.4"/>
    <row r="242" x14ac:dyDescent="0.4"/>
    <row r="243" x14ac:dyDescent="0.4"/>
    <row r="244" x14ac:dyDescent="0.4"/>
    <row r="245" x14ac:dyDescent="0.4"/>
    <row r="246" x14ac:dyDescent="0.4"/>
    <row r="247" x14ac:dyDescent="0.4"/>
    <row r="248" x14ac:dyDescent="0.4"/>
    <row r="249" x14ac:dyDescent="0.4"/>
    <row r="250" x14ac:dyDescent="0.4"/>
    <row r="251" x14ac:dyDescent="0.4"/>
    <row r="252" x14ac:dyDescent="0.4"/>
    <row r="253" x14ac:dyDescent="0.4"/>
    <row r="254" x14ac:dyDescent="0.4"/>
    <row r="255" x14ac:dyDescent="0.4"/>
    <row r="256" x14ac:dyDescent="0.4"/>
    <row r="257" x14ac:dyDescent="0.4"/>
    <row r="258" x14ac:dyDescent="0.4"/>
    <row r="259" x14ac:dyDescent="0.4"/>
    <row r="260" x14ac:dyDescent="0.4"/>
    <row r="261" x14ac:dyDescent="0.4"/>
    <row r="262" x14ac:dyDescent="0.4"/>
    <row r="263" x14ac:dyDescent="0.4"/>
    <row r="264" x14ac:dyDescent="0.4"/>
    <row r="265" x14ac:dyDescent="0.4"/>
    <row r="266" x14ac:dyDescent="0.4"/>
    <row r="267" x14ac:dyDescent="0.4"/>
    <row r="268" x14ac:dyDescent="0.4"/>
    <row r="269" x14ac:dyDescent="0.4"/>
    <row r="270" x14ac:dyDescent="0.4"/>
    <row r="271" x14ac:dyDescent="0.4"/>
    <row r="272" x14ac:dyDescent="0.4"/>
    <row r="273" x14ac:dyDescent="0.4"/>
    <row r="274" x14ac:dyDescent="0.4"/>
    <row r="275" x14ac:dyDescent="0.4"/>
    <row r="276" x14ac:dyDescent="0.4"/>
    <row r="277" x14ac:dyDescent="0.4"/>
    <row r="278" x14ac:dyDescent="0.4"/>
    <row r="279" x14ac:dyDescent="0.4"/>
    <row r="280" x14ac:dyDescent="0.4"/>
    <row r="281" x14ac:dyDescent="0.4"/>
    <row r="282" x14ac:dyDescent="0.4"/>
    <row r="283" x14ac:dyDescent="0.4"/>
    <row r="284" x14ac:dyDescent="0.4"/>
    <row r="285" x14ac:dyDescent="0.4"/>
    <row r="286" x14ac:dyDescent="0.4"/>
    <row r="287" x14ac:dyDescent="0.4"/>
    <row r="288" x14ac:dyDescent="0.4"/>
    <row r="289" x14ac:dyDescent="0.4"/>
    <row r="290" x14ac:dyDescent="0.4"/>
    <row r="291" x14ac:dyDescent="0.4"/>
    <row r="292" x14ac:dyDescent="0.4"/>
    <row r="293" x14ac:dyDescent="0.4"/>
    <row r="294" x14ac:dyDescent="0.4"/>
    <row r="295" x14ac:dyDescent="0.4"/>
    <row r="296" x14ac:dyDescent="0.4"/>
    <row r="297" x14ac:dyDescent="0.4"/>
    <row r="298" x14ac:dyDescent="0.4"/>
    <row r="299" x14ac:dyDescent="0.4"/>
    <row r="300" x14ac:dyDescent="0.4"/>
  </sheetData>
  <mergeCells count="10">
    <mergeCell ref="DR19:DV19"/>
    <mergeCell ref="EG19:EK19"/>
    <mergeCell ref="EV19:EZ19"/>
    <mergeCell ref="DC19:DG19"/>
    <mergeCell ref="CN19:CR19"/>
    <mergeCell ref="Q19:U19"/>
    <mergeCell ref="AF19:AJ19"/>
    <mergeCell ref="AU19:AY19"/>
    <mergeCell ref="BJ19:BN19"/>
    <mergeCell ref="BY19:CC19"/>
  </mergeCells>
  <conditionalFormatting sqref="Q21:Q71 AF21:AF71 AU21:AU71 BJ21:BJ71 BY21:BY71 CN21:CN71">
    <cfRule type="expression" dxfId="197" priority="286">
      <formula>P21=1</formula>
    </cfRule>
  </conditionalFormatting>
  <conditionalFormatting sqref="Q21:Q71 AF21:AF71 AU21:AU71 BJ21:BJ71 BY21:BY71 CN21:CN71">
    <cfRule type="expression" dxfId="196" priority="287">
      <formula>P21=2</formula>
    </cfRule>
  </conditionalFormatting>
  <conditionalFormatting sqref="Q21:Q71 AF21:AF71 AU21:AU71 BJ21:BJ71 BY21:BY71 CN21:CN71">
    <cfRule type="expression" dxfId="195" priority="288">
      <formula>P21=3</formula>
    </cfRule>
  </conditionalFormatting>
  <conditionalFormatting sqref="Q21:Q71 AF21:AF71 AU21:AU71 BJ21:BJ71 BY21:BY71 CN21:CN71">
    <cfRule type="expression" dxfId="194" priority="289">
      <formula>P21=4</formula>
    </cfRule>
  </conditionalFormatting>
  <conditionalFormatting sqref="Q21:Q71 AF21:AF71 AU21:AU71 BJ21:BJ71 BY21:BY71 CN21:CN71">
    <cfRule type="expression" dxfId="193" priority="290">
      <formula>P21=5</formula>
    </cfRule>
  </conditionalFormatting>
  <conditionalFormatting sqref="DC21:DC71">
    <cfRule type="expression" dxfId="192" priority="124">
      <formula>DB21=1</formula>
    </cfRule>
  </conditionalFormatting>
  <conditionalFormatting sqref="DC21:DC71">
    <cfRule type="expression" dxfId="191" priority="125">
      <formula>DB21=2</formula>
    </cfRule>
  </conditionalFormatting>
  <conditionalFormatting sqref="DC21:DC71">
    <cfRule type="expression" dxfId="190" priority="126">
      <formula>DB21=3</formula>
    </cfRule>
  </conditionalFormatting>
  <conditionalFormatting sqref="DC21:DC71">
    <cfRule type="expression" dxfId="189" priority="127">
      <formula>DB21=4</formula>
    </cfRule>
  </conditionalFormatting>
  <conditionalFormatting sqref="DC21:DC71">
    <cfRule type="expression" dxfId="188" priority="128">
      <formula>DB21=5</formula>
    </cfRule>
  </conditionalFormatting>
  <conditionalFormatting sqref="R21:R71">
    <cfRule type="expression" dxfId="187" priority="1165">
      <formula>O21=1</formula>
    </cfRule>
    <cfRule type="expression" dxfId="186" priority="1166">
      <formula>O21=2</formula>
    </cfRule>
    <cfRule type="expression" dxfId="185" priority="1167">
      <formula>O21=3</formula>
    </cfRule>
  </conditionalFormatting>
  <conditionalFormatting sqref="S21:S71">
    <cfRule type="expression" dxfId="184" priority="1168">
      <formula>O21=1</formula>
    </cfRule>
    <cfRule type="expression" dxfId="183" priority="1169">
      <formula>O21=2</formula>
    </cfRule>
    <cfRule type="expression" dxfId="182" priority="1170">
      <formula>O21=3</formula>
    </cfRule>
  </conditionalFormatting>
  <conditionalFormatting sqref="T21:T71">
    <cfRule type="expression" dxfId="181" priority="1171">
      <formula>O21=1</formula>
    </cfRule>
    <cfRule type="expression" dxfId="180" priority="1172">
      <formula>O21=2</formula>
    </cfRule>
    <cfRule type="expression" dxfId="179" priority="1173">
      <formula>O21=3</formula>
    </cfRule>
  </conditionalFormatting>
  <conditionalFormatting sqref="U21:U71">
    <cfRule type="expression" dxfId="178" priority="1174">
      <formula>O21=1</formula>
    </cfRule>
    <cfRule type="expression" dxfId="177" priority="1175">
      <formula>O21=2</formula>
    </cfRule>
    <cfRule type="expression" dxfId="176" priority="1176">
      <formula>O21=3</formula>
    </cfRule>
  </conditionalFormatting>
  <conditionalFormatting sqref="AG21:AG71">
    <cfRule type="expression" dxfId="175" priority="112">
      <formula>AD21=1</formula>
    </cfRule>
    <cfRule type="expression" dxfId="174" priority="113">
      <formula>AD21=2</formula>
    </cfRule>
    <cfRule type="expression" dxfId="173" priority="114">
      <formula>AD21=3</formula>
    </cfRule>
  </conditionalFormatting>
  <conditionalFormatting sqref="AH21:AH71">
    <cfRule type="expression" dxfId="172" priority="115">
      <formula>AD21=1</formula>
    </cfRule>
    <cfRule type="expression" dxfId="171" priority="116">
      <formula>AD21=2</formula>
    </cfRule>
    <cfRule type="expression" dxfId="170" priority="117">
      <formula>AD21=3</formula>
    </cfRule>
  </conditionalFormatting>
  <conditionalFormatting sqref="AI21:AI71">
    <cfRule type="expression" dxfId="169" priority="118">
      <formula>AD21=1</formula>
    </cfRule>
    <cfRule type="expression" dxfId="168" priority="119">
      <formula>AD21=2</formula>
    </cfRule>
    <cfRule type="expression" dxfId="167" priority="120">
      <formula>AD21=3</formula>
    </cfRule>
  </conditionalFormatting>
  <conditionalFormatting sqref="AJ21:AJ71">
    <cfRule type="expression" dxfId="166" priority="121">
      <formula>AD21=1</formula>
    </cfRule>
    <cfRule type="expression" dxfId="165" priority="122">
      <formula>AD21=2</formula>
    </cfRule>
    <cfRule type="expression" dxfId="164" priority="123">
      <formula>AD21=3</formula>
    </cfRule>
  </conditionalFormatting>
  <conditionalFormatting sqref="AV21:AV71">
    <cfRule type="expression" dxfId="163" priority="100">
      <formula>AS21=1</formula>
    </cfRule>
    <cfRule type="expression" dxfId="162" priority="101">
      <formula>AS21=2</formula>
    </cfRule>
    <cfRule type="expression" dxfId="161" priority="102">
      <formula>AS21=3</formula>
    </cfRule>
  </conditionalFormatting>
  <conditionalFormatting sqref="AW21:AW71">
    <cfRule type="expression" dxfId="160" priority="103">
      <formula>AS21=1</formula>
    </cfRule>
    <cfRule type="expression" dxfId="159" priority="104">
      <formula>AS21=2</formula>
    </cfRule>
    <cfRule type="expression" dxfId="158" priority="105">
      <formula>AS21=3</formula>
    </cfRule>
  </conditionalFormatting>
  <conditionalFormatting sqref="AX21:AX71">
    <cfRule type="expression" dxfId="157" priority="106">
      <formula>AS21=1</formula>
    </cfRule>
    <cfRule type="expression" dxfId="156" priority="107">
      <formula>AS21=2</formula>
    </cfRule>
    <cfRule type="expression" dxfId="155" priority="108">
      <formula>AS21=3</formula>
    </cfRule>
  </conditionalFormatting>
  <conditionalFormatting sqref="AY21:AY71">
    <cfRule type="expression" dxfId="154" priority="109">
      <formula>AS21=1</formula>
    </cfRule>
    <cfRule type="expression" dxfId="153" priority="110">
      <formula>AS21=2</formula>
    </cfRule>
    <cfRule type="expression" dxfId="152" priority="111">
      <formula>AS21=3</formula>
    </cfRule>
  </conditionalFormatting>
  <conditionalFormatting sqref="BK21:BK71">
    <cfRule type="expression" dxfId="151" priority="88">
      <formula>BH21=1</formula>
    </cfRule>
    <cfRule type="expression" dxfId="150" priority="89">
      <formula>BH21=2</formula>
    </cfRule>
    <cfRule type="expression" dxfId="149" priority="90">
      <formula>BH21=3</formula>
    </cfRule>
  </conditionalFormatting>
  <conditionalFormatting sqref="BL21:BL71">
    <cfRule type="expression" dxfId="148" priority="91">
      <formula>BH21=1</formula>
    </cfRule>
    <cfRule type="expression" dxfId="147" priority="92">
      <formula>BH21=2</formula>
    </cfRule>
    <cfRule type="expression" dxfId="146" priority="93">
      <formula>BH21=3</formula>
    </cfRule>
  </conditionalFormatting>
  <conditionalFormatting sqref="BM21:BM71">
    <cfRule type="expression" dxfId="145" priority="94">
      <formula>BH21=1</formula>
    </cfRule>
    <cfRule type="expression" dxfId="144" priority="95">
      <formula>BH21=2</formula>
    </cfRule>
    <cfRule type="expression" dxfId="143" priority="96">
      <formula>BH21=3</formula>
    </cfRule>
  </conditionalFormatting>
  <conditionalFormatting sqref="BN21:BN71">
    <cfRule type="expression" dxfId="142" priority="97">
      <formula>BH21=1</formula>
    </cfRule>
    <cfRule type="expression" dxfId="141" priority="98">
      <formula>BH21=2</formula>
    </cfRule>
    <cfRule type="expression" dxfId="140" priority="99">
      <formula>BH21=3</formula>
    </cfRule>
  </conditionalFormatting>
  <conditionalFormatting sqref="BZ21:BZ71">
    <cfRule type="expression" dxfId="139" priority="76">
      <formula>BW21=1</formula>
    </cfRule>
    <cfRule type="expression" dxfId="138" priority="77">
      <formula>BW21=2</formula>
    </cfRule>
    <cfRule type="expression" dxfId="137" priority="78">
      <formula>BW21=3</formula>
    </cfRule>
  </conditionalFormatting>
  <conditionalFormatting sqref="CA21:CA71">
    <cfRule type="expression" dxfId="136" priority="79">
      <formula>BW21=1</formula>
    </cfRule>
    <cfRule type="expression" dxfId="135" priority="80">
      <formula>BW21=2</formula>
    </cfRule>
    <cfRule type="expression" dxfId="134" priority="81">
      <formula>BW21=3</formula>
    </cfRule>
  </conditionalFormatting>
  <conditionalFormatting sqref="CB21:CB71">
    <cfRule type="expression" dxfId="133" priority="82">
      <formula>BW21=1</formula>
    </cfRule>
    <cfRule type="expression" dxfId="132" priority="83">
      <formula>BW21=2</formula>
    </cfRule>
    <cfRule type="expression" dxfId="131" priority="84">
      <formula>BW21=3</formula>
    </cfRule>
  </conditionalFormatting>
  <conditionalFormatting sqref="CC21:CC71">
    <cfRule type="expression" dxfId="130" priority="85">
      <formula>BW21=1</formula>
    </cfRule>
    <cfRule type="expression" dxfId="129" priority="86">
      <formula>BW21=2</formula>
    </cfRule>
    <cfRule type="expression" dxfId="128" priority="87">
      <formula>BW21=3</formula>
    </cfRule>
  </conditionalFormatting>
  <conditionalFormatting sqref="CO21:CO71">
    <cfRule type="expression" dxfId="127" priority="64">
      <formula>CL21=1</formula>
    </cfRule>
    <cfRule type="expression" dxfId="126" priority="65">
      <formula>CL21=2</formula>
    </cfRule>
    <cfRule type="expression" dxfId="125" priority="66">
      <formula>CL21=3</formula>
    </cfRule>
  </conditionalFormatting>
  <conditionalFormatting sqref="CP21:CP71">
    <cfRule type="expression" dxfId="124" priority="67">
      <formula>CL21=1</formula>
    </cfRule>
    <cfRule type="expression" dxfId="123" priority="68">
      <formula>CL21=2</formula>
    </cfRule>
    <cfRule type="expression" dxfId="122" priority="69">
      <formula>CL21=3</formula>
    </cfRule>
  </conditionalFormatting>
  <conditionalFormatting sqref="CQ21:CQ71">
    <cfRule type="expression" dxfId="121" priority="70">
      <formula>CL21=1</formula>
    </cfRule>
    <cfRule type="expression" dxfId="120" priority="71">
      <formula>CL21=2</formula>
    </cfRule>
    <cfRule type="expression" dxfId="119" priority="72">
      <formula>CL21=3</formula>
    </cfRule>
  </conditionalFormatting>
  <conditionalFormatting sqref="CR21:CR71">
    <cfRule type="expression" dxfId="118" priority="73">
      <formula>CL21=1</formula>
    </cfRule>
    <cfRule type="expression" dxfId="117" priority="74">
      <formula>CL21=2</formula>
    </cfRule>
    <cfRule type="expression" dxfId="116" priority="75">
      <formula>CL21=3</formula>
    </cfRule>
  </conditionalFormatting>
  <conditionalFormatting sqref="DD21:DD71">
    <cfRule type="expression" dxfId="115" priority="52">
      <formula>DA21=1</formula>
    </cfRule>
    <cfRule type="expression" dxfId="114" priority="53">
      <formula>DA21=2</formula>
    </cfRule>
    <cfRule type="expression" dxfId="113" priority="54">
      <formula>DA21=3</formula>
    </cfRule>
  </conditionalFormatting>
  <conditionalFormatting sqref="DE21:DE71">
    <cfRule type="expression" dxfId="112" priority="55">
      <formula>DA21=1</formula>
    </cfRule>
    <cfRule type="expression" dxfId="111" priority="56">
      <formula>DA21=2</formula>
    </cfRule>
    <cfRule type="expression" dxfId="110" priority="57">
      <formula>DA21=3</formula>
    </cfRule>
  </conditionalFormatting>
  <conditionalFormatting sqref="DF21:DF71">
    <cfRule type="expression" dxfId="109" priority="58">
      <formula>DA21=1</formula>
    </cfRule>
    <cfRule type="expression" dxfId="108" priority="59">
      <formula>DA21=2</formula>
    </cfRule>
    <cfRule type="expression" dxfId="107" priority="60">
      <formula>DA21=3</formula>
    </cfRule>
  </conditionalFormatting>
  <conditionalFormatting sqref="DG21:DG71">
    <cfRule type="expression" dxfId="106" priority="61">
      <formula>DA21=1</formula>
    </cfRule>
    <cfRule type="expression" dxfId="105" priority="62">
      <formula>DA21=2</formula>
    </cfRule>
    <cfRule type="expression" dxfId="104" priority="63">
      <formula>DA21=3</formula>
    </cfRule>
  </conditionalFormatting>
  <conditionalFormatting sqref="DR21:DR71">
    <cfRule type="expression" dxfId="103" priority="47">
      <formula>DQ21=1</formula>
    </cfRule>
  </conditionalFormatting>
  <conditionalFormatting sqref="DR21:DR71">
    <cfRule type="expression" dxfId="102" priority="48">
      <formula>DQ21=2</formula>
    </cfRule>
  </conditionalFormatting>
  <conditionalFormatting sqref="DR21:DR71">
    <cfRule type="expression" dxfId="101" priority="49">
      <formula>DQ21=3</formula>
    </cfRule>
  </conditionalFormatting>
  <conditionalFormatting sqref="DR21:DR71">
    <cfRule type="expression" dxfId="100" priority="50">
      <formula>DQ21=4</formula>
    </cfRule>
  </conditionalFormatting>
  <conditionalFormatting sqref="DR21:DR71">
    <cfRule type="expression" dxfId="99" priority="51">
      <formula>DQ21=5</formula>
    </cfRule>
  </conditionalFormatting>
  <conditionalFormatting sqref="DS21:DS71">
    <cfRule type="expression" dxfId="98" priority="35">
      <formula>DP21=1</formula>
    </cfRule>
    <cfRule type="expression" dxfId="97" priority="36">
      <formula>DP21=2</formula>
    </cfRule>
    <cfRule type="expression" dxfId="96" priority="37">
      <formula>DP21=3</formula>
    </cfRule>
  </conditionalFormatting>
  <conditionalFormatting sqref="DT21:DT71">
    <cfRule type="expression" dxfId="95" priority="38">
      <formula>DP21=1</formula>
    </cfRule>
    <cfRule type="expression" dxfId="94" priority="39">
      <formula>DP21=2</formula>
    </cfRule>
    <cfRule type="expression" dxfId="93" priority="40">
      <formula>DP21=3</formula>
    </cfRule>
  </conditionalFormatting>
  <conditionalFormatting sqref="DU21:DU71">
    <cfRule type="expression" dxfId="92" priority="41">
      <formula>DP21=1</formula>
    </cfRule>
    <cfRule type="expression" dxfId="91" priority="42">
      <formula>DP21=2</formula>
    </cfRule>
    <cfRule type="expression" dxfId="90" priority="43">
      <formula>DP21=3</formula>
    </cfRule>
  </conditionalFormatting>
  <conditionalFormatting sqref="DV21:DV71">
    <cfRule type="expression" dxfId="89" priority="44">
      <formula>DP21=1</formula>
    </cfRule>
    <cfRule type="expression" dxfId="88" priority="45">
      <formula>DP21=2</formula>
    </cfRule>
    <cfRule type="expression" dxfId="87" priority="46">
      <formula>DP21=3</formula>
    </cfRule>
  </conditionalFormatting>
  <conditionalFormatting sqref="EG21:EG71">
    <cfRule type="expression" dxfId="86" priority="30">
      <formula>EF21=1</formula>
    </cfRule>
  </conditionalFormatting>
  <conditionalFormatting sqref="EG21:EG71">
    <cfRule type="expression" dxfId="85" priority="31">
      <formula>EF21=2</formula>
    </cfRule>
  </conditionalFormatting>
  <conditionalFormatting sqref="EG21:EG71">
    <cfRule type="expression" dxfId="84" priority="32">
      <formula>EF21=3</formula>
    </cfRule>
  </conditionalFormatting>
  <conditionalFormatting sqref="EG21:EG71">
    <cfRule type="expression" dxfId="83" priority="33">
      <formula>EF21=4</formula>
    </cfRule>
  </conditionalFormatting>
  <conditionalFormatting sqref="EG21:EG71">
    <cfRule type="expression" dxfId="82" priority="34">
      <formula>EF21=5</formula>
    </cfRule>
  </conditionalFormatting>
  <conditionalFormatting sqref="EH21:EH71">
    <cfRule type="expression" dxfId="81" priority="18">
      <formula>EE21=1</formula>
    </cfRule>
    <cfRule type="expression" dxfId="80" priority="19">
      <formula>EE21=2</formula>
    </cfRule>
    <cfRule type="expression" dxfId="79" priority="20">
      <formula>EE21=3</formula>
    </cfRule>
  </conditionalFormatting>
  <conditionalFormatting sqref="EI21:EI71">
    <cfRule type="expression" dxfId="78" priority="21">
      <formula>EE21=1</formula>
    </cfRule>
    <cfRule type="expression" dxfId="77" priority="22">
      <formula>EE21=2</formula>
    </cfRule>
    <cfRule type="expression" dxfId="76" priority="23">
      <formula>EE21=3</formula>
    </cfRule>
  </conditionalFormatting>
  <conditionalFormatting sqref="EJ21:EJ71">
    <cfRule type="expression" dxfId="75" priority="24">
      <formula>EE21=1</formula>
    </cfRule>
    <cfRule type="expression" dxfId="74" priority="25">
      <formula>EE21=2</formula>
    </cfRule>
    <cfRule type="expression" dxfId="73" priority="26">
      <formula>EE21=3</formula>
    </cfRule>
  </conditionalFormatting>
  <conditionalFormatting sqref="EK21:EK71">
    <cfRule type="expression" dxfId="72" priority="27">
      <formula>EE21=1</formula>
    </cfRule>
    <cfRule type="expression" dxfId="71" priority="28">
      <formula>EE21=2</formula>
    </cfRule>
    <cfRule type="expression" dxfId="70" priority="29">
      <formula>EE21=3</formula>
    </cfRule>
  </conditionalFormatting>
  <conditionalFormatting sqref="EV21:EV71">
    <cfRule type="expression" dxfId="69" priority="13">
      <formula>EU21=1</formula>
    </cfRule>
  </conditionalFormatting>
  <conditionalFormatting sqref="EV21:EV71">
    <cfRule type="expression" dxfId="68" priority="14">
      <formula>EU21=2</formula>
    </cfRule>
  </conditionalFormatting>
  <conditionalFormatting sqref="EV21:EV71">
    <cfRule type="expression" dxfId="67" priority="15">
      <formula>EU21=3</formula>
    </cfRule>
  </conditionalFormatting>
  <conditionalFormatting sqref="EV21:EV71">
    <cfRule type="expression" dxfId="66" priority="16">
      <formula>EU21=4</formula>
    </cfRule>
  </conditionalFormatting>
  <conditionalFormatting sqref="EV21:EV71">
    <cfRule type="expression" dxfId="65" priority="17">
      <formula>EU21=5</formula>
    </cfRule>
  </conditionalFormatting>
  <conditionalFormatting sqref="EW21:EW71">
    <cfRule type="expression" dxfId="64" priority="1">
      <formula>ET21=1</formula>
    </cfRule>
    <cfRule type="expression" dxfId="63" priority="2">
      <formula>ET21=2</formula>
    </cfRule>
    <cfRule type="expression" dxfId="62" priority="3">
      <formula>ET21=3</formula>
    </cfRule>
  </conditionalFormatting>
  <conditionalFormatting sqref="EX21:EX71">
    <cfRule type="expression" dxfId="61" priority="4">
      <formula>ET21=1</formula>
    </cfRule>
    <cfRule type="expression" dxfId="60" priority="5">
      <formula>ET21=2</formula>
    </cfRule>
    <cfRule type="expression" dxfId="59" priority="6">
      <formula>ET21=3</formula>
    </cfRule>
  </conditionalFormatting>
  <conditionalFormatting sqref="EY21:EY71">
    <cfRule type="expression" dxfId="58" priority="7">
      <formula>ET21=1</formula>
    </cfRule>
    <cfRule type="expression" dxfId="57" priority="8">
      <formula>ET21=2</formula>
    </cfRule>
    <cfRule type="expression" dxfId="56" priority="9">
      <formula>ET21=3</formula>
    </cfRule>
  </conditionalFormatting>
  <conditionalFormatting sqref="EZ21:EZ71">
    <cfRule type="expression" dxfId="55" priority="10">
      <formula>ET21=1</formula>
    </cfRule>
    <cfRule type="expression" dxfId="54" priority="11">
      <formula>ET21=2</formula>
    </cfRule>
    <cfRule type="expression" dxfId="53" priority="12">
      <formula>ET21=3</formula>
    </cfRule>
  </conditionalFormatting>
  <pageMargins left="0.28958880139982501" right="0.28958880139982501" top="0.62992125984251945" bottom="0.39370078740157499" header="0.11811023622047251" footer="0.3"/>
  <pageSetup paperSize="9" scale="73" fitToHeight="0" orientation="landscape" r:id="rId1"/>
  <headerFooter scaleWithDoc="0">
    <oddHeader>&amp;R&amp;"Calibri"&amp;10&amp;K808080City Heartbeat 2024, 50 city index (v1.0)</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6714954" r:id="rId4" name="ui_cnt_CatMultiples">
              <controlPr defaultSize="0" print="0" autoFill="0" autoPict="0" macro="[0]!k">
                <anchor>
                  <from>
                    <xdr:col>0</xdr:col>
                    <xdr:colOff>125186</xdr:colOff>
                    <xdr:row>3</xdr:row>
                    <xdr:rowOff>239486</xdr:rowOff>
                  </from>
                  <to>
                    <xdr:col>8</xdr:col>
                    <xdr:colOff>304800</xdr:colOff>
                    <xdr:row>3</xdr:row>
                    <xdr:rowOff>451757</xdr:rowOff>
                  </to>
                </anchor>
              </controlPr>
            </control>
          </mc:Choice>
        </mc:AlternateContent>
        <mc:AlternateContent xmlns:mc="http://schemas.openxmlformats.org/markup-compatibility/2006">
          <mc:Choice Requires="x14">
            <control shapeId="6714956" r:id="rId5" name="ui_cnt_Sort_Order_1">
              <controlPr defaultSize="0" print="0" autoFill="0" autoPict="0" macro="[0]!k">
                <anchor>
                  <from>
                    <xdr:col>9</xdr:col>
                    <xdr:colOff>168729</xdr:colOff>
                    <xdr:row>3</xdr:row>
                    <xdr:rowOff>239486</xdr:rowOff>
                  </from>
                  <to>
                    <xdr:col>12</xdr:col>
                    <xdr:colOff>522514</xdr:colOff>
                    <xdr:row>3</xdr:row>
                    <xdr:rowOff>451757</xdr:rowOff>
                  </to>
                </anchor>
              </controlPr>
            </control>
          </mc:Choice>
        </mc:AlternateContent>
        <mc:AlternateContent xmlns:mc="http://schemas.openxmlformats.org/markup-compatibility/2006">
          <mc:Choice Requires="x14">
            <control shapeId="6714958" r:id="rId6" name="ui_cnt_GroupHighlight">
              <controlPr defaultSize="0" print="0" autoFill="0" autoPict="0" macro="[0]!k">
                <anchor>
                  <from>
                    <xdr:col>13</xdr:col>
                    <xdr:colOff>125186</xdr:colOff>
                    <xdr:row>3</xdr:row>
                    <xdr:rowOff>239486</xdr:rowOff>
                  </from>
                  <to>
                    <xdr:col>15</xdr:col>
                    <xdr:colOff>424543</xdr:colOff>
                    <xdr:row>3</xdr:row>
                    <xdr:rowOff>451757</xdr:rowOff>
                  </to>
                </anchor>
              </controlPr>
            </control>
          </mc:Choice>
        </mc:AlternateContent>
        <mc:AlternateContent xmlns:mc="http://schemas.openxmlformats.org/markup-compatibility/2006">
          <mc:Choice Requires="x14">
            <control shapeId="6714960" r:id="rId7" name="ui_cnt_CountryFltHighlight">
              <controlPr defaultSize="0" print="0" autoFill="0" autoPict="0" macro="[0]!k">
                <anchor>
                  <from>
                    <xdr:col>16</xdr:col>
                    <xdr:colOff>32657</xdr:colOff>
                    <xdr:row>3</xdr:row>
                    <xdr:rowOff>239486</xdr:rowOff>
                  </from>
                  <to>
                    <xdr:col>19</xdr:col>
                    <xdr:colOff>778329</xdr:colOff>
                    <xdr:row>3</xdr:row>
                    <xdr:rowOff>451757</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747D8-7FE6-429F-A164-56DA57ACCCF3}">
  <sheetPr codeName="Sheet23">
    <tabColor theme="6"/>
  </sheetPr>
  <dimension ref="A1:A2"/>
  <sheetViews>
    <sheetView zoomScaleNormal="100" workbookViewId="0">
      <selection activeCell="T29" sqref="T29"/>
    </sheetView>
  </sheetViews>
  <sheetFormatPr defaultColWidth="9.15234375" defaultRowHeight="14.6" x14ac:dyDescent="0.4"/>
  <sheetData>
    <row r="1" spans="1:1" x14ac:dyDescent="0.4">
      <c r="A1" t="s">
        <v>59</v>
      </c>
    </row>
    <row r="2" spans="1:1" x14ac:dyDescent="0.4">
      <c r="A2" t="s">
        <v>7202</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4B27-A58C-44ED-9205-6C25BB08CCA5}">
  <sheetPr codeName="Sheet72">
    <pageSetUpPr fitToPage="1"/>
  </sheetPr>
  <dimension ref="A1:DG300"/>
  <sheetViews>
    <sheetView showGridLines="0" showRowColHeaders="0" zoomScaleNormal="100" workbookViewId="0">
      <pane ySplit="7" topLeftCell="A8" activePane="bottomLeft" state="frozen"/>
      <selection pane="bottomLeft"/>
    </sheetView>
  </sheetViews>
  <sheetFormatPr defaultRowHeight="14.6" zeroHeight="1" x14ac:dyDescent="0.4"/>
  <cols>
    <col min="1" max="1" width="2.69140625" customWidth="1"/>
    <col min="2" max="2" width="4" customWidth="1"/>
    <col min="3" max="3" width="4.23046875" customWidth="1"/>
    <col min="4" max="4" width="6.84375" customWidth="1"/>
    <col min="5" max="5" width="9.15234375" customWidth="1"/>
    <col min="6" max="6" width="5" customWidth="1"/>
    <col min="7" max="7" width="5.84375" customWidth="1"/>
    <col min="8" max="8" width="5.53515625" customWidth="1"/>
    <col min="9" max="18" width="2.69140625" customWidth="1"/>
    <col min="19" max="19" width="1.3828125" customWidth="1"/>
    <col min="20" max="20" width="1.69140625" customWidth="1"/>
    <col min="21" max="84" width="2.53515625" customWidth="1"/>
    <col min="85" max="85" width="2.3046875" customWidth="1"/>
    <col min="86" max="86" width="3" customWidth="1"/>
    <col min="87" max="87" width="1.3828125" customWidth="1"/>
    <col min="88" max="88" width="37.84375" customWidth="1"/>
    <col min="89" max="89" width="1.3828125" customWidth="1"/>
    <col min="90" max="94" width="9.15234375" customWidth="1"/>
  </cols>
  <sheetData>
    <row r="1" spans="1:111" ht="24" hidden="1" customHeight="1" x14ac:dyDescent="0.4">
      <c r="A1" s="4" t="s">
        <v>2</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row>
    <row r="2" spans="1:111" ht="24" customHeight="1" x14ac:dyDescent="0.4">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row>
    <row r="3" spans="1:111" ht="26.05" customHeight="1" x14ac:dyDescent="0.4">
      <c r="A3" s="4"/>
      <c r="B3" s="4" t="s">
        <v>927</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12"/>
      <c r="CF3" s="12"/>
      <c r="CG3" s="4"/>
      <c r="CH3" s="4"/>
      <c r="CI3" s="4"/>
      <c r="CJ3" s="4"/>
      <c r="CK3" s="4"/>
      <c r="CL3" s="4"/>
      <c r="CM3" s="4"/>
      <c r="CN3" s="4"/>
      <c r="CO3" s="4"/>
      <c r="CP3" s="4"/>
      <c r="CQ3" s="4"/>
      <c r="CR3" s="4"/>
      <c r="CS3" s="4"/>
      <c r="CT3" s="4"/>
      <c r="CU3" s="4"/>
      <c r="CV3" s="4"/>
      <c r="CW3" s="4"/>
      <c r="CX3" s="4"/>
      <c r="CY3" s="4"/>
      <c r="CZ3" s="4"/>
      <c r="DA3" s="4"/>
      <c r="DB3" s="4"/>
      <c r="DC3" s="4"/>
      <c r="DD3" s="4"/>
      <c r="DE3" s="4"/>
      <c r="DF3" s="4"/>
      <c r="DG3" s="4"/>
    </row>
    <row r="4" spans="1:111" ht="42" customHeight="1" x14ac:dyDescent="0.4">
      <c r="A4" s="4"/>
      <c r="B4" s="35" t="s">
        <v>2508</v>
      </c>
      <c r="C4" s="35"/>
      <c r="D4" s="35"/>
      <c r="E4" s="35"/>
      <c r="F4" s="35"/>
      <c r="G4" s="35"/>
      <c r="H4" s="35"/>
      <c r="I4" s="35"/>
      <c r="J4" s="35"/>
      <c r="K4" s="35"/>
      <c r="L4" s="35"/>
      <c r="M4" s="35"/>
      <c r="N4" s="35"/>
      <c r="O4" s="35"/>
      <c r="P4" s="35"/>
      <c r="Q4" s="35"/>
      <c r="R4" s="35"/>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row>
    <row r="5" spans="1:111" ht="24" customHeight="1" x14ac:dyDescent="0.4">
      <c r="A5" s="4" t="s">
        <v>2</v>
      </c>
      <c r="B5" s="4" t="str">
        <f>uxbGlobals!$B$353</f>
        <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1" ht="24" customHeight="1" x14ac:dyDescent="0.4">
      <c r="A6" s="4" t="s">
        <v>2</v>
      </c>
      <c r="B6" s="4"/>
      <c r="C6" s="4"/>
      <c r="D6" s="12"/>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row>
    <row r="7" spans="1:111" ht="24" customHeight="1" x14ac:dyDescent="0.4">
      <c r="A7" s="4" t="s">
        <v>2</v>
      </c>
      <c r="B7" s="40">
        <f>uxbGlobals!$B$317</f>
        <v>0</v>
      </c>
      <c r="C7" s="40"/>
      <c r="D7" s="12"/>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row>
    <row r="8" spans="1:111" ht="8.0500000000000007" customHeight="1" x14ac:dyDescent="0.4">
      <c r="A8" s="4"/>
      <c r="B8" s="4"/>
      <c r="C8" s="4"/>
      <c r="D8" s="12"/>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row>
    <row r="9" spans="1:111" ht="15" customHeight="1" x14ac:dyDescent="0.4">
      <c r="A9" s="4" t="s">
        <v>2</v>
      </c>
      <c r="B9" s="4" t="s">
        <v>2</v>
      </c>
      <c r="C9" s="4" t="s">
        <v>2</v>
      </c>
      <c r="D9" s="4" t="s">
        <v>2</v>
      </c>
      <c r="E9" s="4" t="s">
        <v>2</v>
      </c>
      <c r="F9" s="4" t="s">
        <v>2</v>
      </c>
      <c r="G9" s="4" t="s">
        <v>2</v>
      </c>
      <c r="H9" s="4" t="s">
        <v>2</v>
      </c>
      <c r="I9" s="4" t="s">
        <v>2</v>
      </c>
      <c r="J9" s="4" t="s">
        <v>2</v>
      </c>
      <c r="K9" s="4" t="s">
        <v>2</v>
      </c>
      <c r="L9" s="4" t="s">
        <v>2</v>
      </c>
      <c r="M9" s="4" t="s">
        <v>2</v>
      </c>
      <c r="N9" s="4" t="s">
        <v>2</v>
      </c>
      <c r="O9" s="4" t="s">
        <v>2</v>
      </c>
      <c r="P9" s="4" t="s">
        <v>2</v>
      </c>
      <c r="Q9" s="4" t="s">
        <v>2</v>
      </c>
      <c r="R9" s="4" t="s">
        <v>2</v>
      </c>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t="s">
        <v>2</v>
      </c>
      <c r="CM9" s="4" t="s">
        <v>2</v>
      </c>
      <c r="CN9" s="4" t="s">
        <v>2</v>
      </c>
      <c r="CO9" s="4" t="s">
        <v>2</v>
      </c>
      <c r="CP9" s="4" t="s">
        <v>2</v>
      </c>
      <c r="CQ9" s="4"/>
      <c r="CR9" s="4"/>
      <c r="CS9" s="4"/>
      <c r="CT9" s="4"/>
      <c r="CU9" s="4"/>
      <c r="CV9" s="4"/>
      <c r="CW9" s="4"/>
      <c r="CX9" s="4"/>
      <c r="CY9" s="4"/>
      <c r="CZ9" s="4"/>
      <c r="DA9" s="4"/>
      <c r="DB9" s="4"/>
      <c r="DC9" s="4"/>
      <c r="DD9" s="4"/>
      <c r="DE9" s="4"/>
      <c r="DF9" s="4"/>
      <c r="DG9" s="4"/>
    </row>
    <row r="10" spans="1:111" ht="15" customHeight="1" x14ac:dyDescent="0.4">
      <c r="A10" s="13" t="s">
        <v>2</v>
      </c>
      <c r="B10" s="4" t="s">
        <v>2</v>
      </c>
      <c r="C10" s="4"/>
      <c r="D10" s="113" t="s">
        <v>5</v>
      </c>
      <c r="E10" s="49">
        <f ca="1">uxbGlobals!$B$514</f>
        <v>1</v>
      </c>
      <c r="F10" s="49"/>
      <c r="G10" s="49"/>
      <c r="H10" s="49"/>
      <c r="I10" s="49"/>
      <c r="J10" s="49"/>
      <c r="K10" s="49"/>
      <c r="L10" s="49"/>
      <c r="M10" s="49"/>
      <c r="N10" s="49"/>
      <c r="O10" s="49"/>
      <c r="P10" s="49"/>
      <c r="Q10" s="49"/>
      <c r="R10" s="49"/>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t="s">
        <v>1320</v>
      </c>
      <c r="CM10" s="4" t="s">
        <v>5</v>
      </c>
      <c r="CN10" s="4" t="s">
        <v>108</v>
      </c>
      <c r="CO10" s="4" t="s">
        <v>1321</v>
      </c>
      <c r="CP10" s="4" t="s">
        <v>1322</v>
      </c>
      <c r="CQ10" s="4"/>
      <c r="CR10" s="4"/>
      <c r="CS10" s="4"/>
      <c r="CT10" s="4"/>
      <c r="CU10" s="4"/>
      <c r="CV10" s="4"/>
      <c r="CW10" s="4"/>
      <c r="CX10" s="4"/>
      <c r="CY10" s="4"/>
      <c r="CZ10" s="4"/>
      <c r="DA10" s="4"/>
      <c r="DB10" s="4"/>
      <c r="DC10" s="4"/>
      <c r="DD10" s="4"/>
      <c r="DE10" s="4"/>
      <c r="DF10" s="4"/>
      <c r="DG10" s="4"/>
    </row>
    <row r="11" spans="1:111" ht="15" customHeight="1" x14ac:dyDescent="0.4">
      <c r="A11" s="13" t="s">
        <v>2</v>
      </c>
      <c r="B11" s="4"/>
      <c r="C11" s="4"/>
      <c r="D11" s="113" t="s">
        <v>207</v>
      </c>
      <c r="E11" s="49">
        <f>uxbGlobals!$B$321</f>
        <v>1</v>
      </c>
      <c r="F11" s="4"/>
      <c r="G11" s="4"/>
      <c r="H11" s="4"/>
      <c r="I11" s="4"/>
      <c r="J11" s="4"/>
      <c r="K11" s="4"/>
      <c r="L11" s="4"/>
      <c r="M11" s="4"/>
      <c r="N11" s="4"/>
      <c r="O11" s="4"/>
      <c r="P11" s="4"/>
      <c r="Q11" s="4"/>
      <c r="R11" s="4"/>
      <c r="S11" s="4"/>
      <c r="T11" s="4"/>
      <c r="U11" s="4"/>
      <c r="V11" s="116"/>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row>
    <row r="12" spans="1:111" ht="14.25" customHeight="1" x14ac:dyDescent="0.4">
      <c r="A12" s="4"/>
      <c r="B12" s="12"/>
      <c r="C12" s="12"/>
      <c r="D12" s="113" t="s">
        <v>665</v>
      </c>
      <c r="E12" s="49">
        <f>uxbGlobals!$B$224</f>
        <v>50</v>
      </c>
      <c r="F12" s="4"/>
      <c r="G12" s="4"/>
      <c r="H12" s="4"/>
      <c r="I12" s="4"/>
      <c r="J12" s="4"/>
      <c r="K12" s="4"/>
      <c r="L12" s="4"/>
      <c r="M12" s="4"/>
      <c r="N12" s="4"/>
      <c r="O12" s="4"/>
      <c r="P12" s="4"/>
      <c r="Q12" s="4"/>
      <c r="R12" s="4"/>
      <c r="S12" s="4"/>
      <c r="T12" s="303"/>
      <c r="U12" s="304" t="str">
        <f ca="1">uxbGlobals!$B$521</f>
        <v/>
      </c>
      <c r="V12" s="304"/>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305"/>
      <c r="AU12" s="305"/>
      <c r="AV12" s="305"/>
      <c r="AW12" s="305"/>
      <c r="AX12" s="305"/>
      <c r="AY12" s="305"/>
      <c r="AZ12" s="305"/>
      <c r="BA12" s="305"/>
      <c r="BB12" s="305"/>
      <c r="BC12" s="305"/>
      <c r="BD12" s="305"/>
      <c r="BE12" s="305"/>
      <c r="BF12" s="305"/>
      <c r="BG12" s="305"/>
      <c r="BH12" s="305"/>
      <c r="BI12" s="305"/>
      <c r="BJ12" s="305"/>
      <c r="BK12" s="305"/>
      <c r="BL12" s="305"/>
      <c r="BM12" s="305"/>
      <c r="BN12" s="305"/>
      <c r="BO12" s="305"/>
      <c r="BP12" s="305"/>
      <c r="BQ12" s="305"/>
      <c r="BR12" s="305"/>
      <c r="BS12" s="305"/>
      <c r="BT12" s="305"/>
      <c r="BU12" s="305"/>
      <c r="BV12" s="305"/>
      <c r="BW12" s="305"/>
      <c r="BX12" s="305"/>
      <c r="BY12" s="305"/>
      <c r="BZ12" s="305"/>
      <c r="CA12" s="305"/>
      <c r="CB12" s="305"/>
      <c r="CC12" s="305"/>
      <c r="CD12" s="305"/>
      <c r="CE12" s="306"/>
      <c r="CF12" s="306"/>
      <c r="CG12" s="307"/>
      <c r="CH12" s="4"/>
      <c r="CI12" s="308"/>
      <c r="CJ12" s="309"/>
      <c r="CK12" s="310"/>
      <c r="CL12" s="4"/>
      <c r="CM12" s="4"/>
      <c r="CN12" s="4"/>
      <c r="CO12" s="4"/>
      <c r="CP12" s="4"/>
      <c r="CQ12" s="4"/>
      <c r="CR12" s="4"/>
      <c r="CS12" s="4"/>
      <c r="CT12" s="4"/>
      <c r="CU12" s="4"/>
      <c r="CV12" s="4"/>
      <c r="CW12" s="4"/>
      <c r="CX12" s="4"/>
      <c r="CY12" s="4"/>
      <c r="CZ12" s="4"/>
      <c r="DA12" s="4"/>
      <c r="DB12" s="4"/>
      <c r="DC12" s="4"/>
      <c r="DD12" s="4"/>
      <c r="DE12" s="4"/>
      <c r="DF12" s="4"/>
      <c r="DG12" s="4"/>
    </row>
    <row r="13" spans="1:111" ht="15" customHeight="1" x14ac:dyDescent="0.4">
      <c r="A13" s="4"/>
      <c r="B13" s="12"/>
      <c r="C13" s="12"/>
      <c r="D13" s="113"/>
      <c r="E13" s="49"/>
      <c r="F13" s="4"/>
      <c r="G13" s="4"/>
      <c r="H13" s="4"/>
      <c r="I13" s="4"/>
      <c r="J13" s="4"/>
      <c r="K13" s="4"/>
      <c r="L13" s="4"/>
      <c r="M13" s="4"/>
      <c r="N13" s="4"/>
      <c r="O13" s="4"/>
      <c r="P13" s="4"/>
      <c r="Q13" s="4"/>
      <c r="R13" s="4"/>
      <c r="S13" s="4"/>
      <c r="T13" s="273"/>
      <c r="U13" s="371" t="str">
        <f ca="1">uxbGlobals!$B$524</f>
        <v>OVERALL</v>
      </c>
      <c r="V13" s="350"/>
      <c r="W13" s="350"/>
      <c r="X13" s="350"/>
      <c r="Y13" s="350"/>
      <c r="Z13" s="350"/>
      <c r="AA13" s="350"/>
      <c r="AB13" s="350"/>
      <c r="AC13" s="350"/>
      <c r="AD13" s="350"/>
      <c r="AE13" s="350"/>
      <c r="AF13" s="350"/>
      <c r="AG13" s="350"/>
      <c r="AH13" s="350"/>
      <c r="AI13" s="350"/>
      <c r="AJ13" s="350"/>
      <c r="AK13" s="350"/>
      <c r="AL13" s="350"/>
      <c r="AM13" s="350"/>
      <c r="AN13" s="350"/>
      <c r="AO13" s="350"/>
      <c r="AP13" s="350"/>
      <c r="AQ13" s="350"/>
      <c r="AR13" s="350"/>
      <c r="AS13" s="350"/>
      <c r="AT13" s="350"/>
      <c r="AU13" s="350"/>
      <c r="AV13" s="350"/>
      <c r="AW13" s="350"/>
      <c r="AX13" s="350"/>
      <c r="AY13" s="350"/>
      <c r="AZ13" s="350"/>
      <c r="BA13" s="350"/>
      <c r="BB13" s="350"/>
      <c r="BC13" s="350"/>
      <c r="BD13" s="350"/>
      <c r="BE13" s="350"/>
      <c r="BF13" s="350"/>
      <c r="BG13" s="350"/>
      <c r="BH13" s="350"/>
      <c r="BI13" s="350"/>
      <c r="BJ13" s="350"/>
      <c r="BK13" s="350"/>
      <c r="BL13" s="350"/>
      <c r="BM13" s="350"/>
      <c r="BN13" s="350"/>
      <c r="BO13" s="350"/>
      <c r="BP13" s="350"/>
      <c r="BQ13" s="350"/>
      <c r="BR13" s="350"/>
      <c r="BS13" s="350"/>
      <c r="BT13" s="350"/>
      <c r="BU13" s="350"/>
      <c r="BV13" s="350"/>
      <c r="BW13" s="350"/>
      <c r="BX13" s="350"/>
      <c r="BY13" s="350"/>
      <c r="BZ13" s="350"/>
      <c r="CA13" s="350"/>
      <c r="CB13" s="350"/>
      <c r="CC13" s="350"/>
      <c r="CD13" s="350"/>
      <c r="CE13" s="350"/>
      <c r="CF13" s="350"/>
      <c r="CG13" s="311"/>
      <c r="CH13" s="4"/>
      <c r="CI13" s="312"/>
      <c r="CJ13" s="313" t="str" cm="1">
        <f t="array" aca="1" ref="CJ13" ca="1">IF(CM13=0,"",INDEX(auto_Series_NameNumbered,CM13))</f>
        <v>OVERALL</v>
      </c>
      <c r="CK13" s="314"/>
      <c r="CL13" s="4">
        <v>1</v>
      </c>
      <c r="CM13" s="12" cm="1">
        <f t="array" aca="1" ref="CM13" ca="1">INDEX(OFFSET(auto_ss_Overview,0,1,300,1),CL13)</f>
        <v>1</v>
      </c>
      <c r="CN13" s="12" cm="1">
        <f t="array" aca="1" ref="CN13" ca="1">IF(CM13=0,0,INDEX(auto_Series_Depth,CM13))</f>
        <v>0</v>
      </c>
      <c r="CO13" s="12">
        <f ca="1">IF(CM13=$E$10,1,0)</f>
        <v>1</v>
      </c>
      <c r="CP13" s="4">
        <v>0</v>
      </c>
      <c r="CQ13" s="4"/>
      <c r="CR13" s="4"/>
      <c r="CS13" s="4"/>
      <c r="CT13" s="4"/>
      <c r="CU13" s="4"/>
      <c r="CV13" s="4"/>
      <c r="CW13" s="4"/>
      <c r="CX13" s="4"/>
      <c r="CY13" s="4"/>
      <c r="CZ13" s="4"/>
      <c r="DA13" s="4"/>
      <c r="DB13" s="4"/>
      <c r="DC13" s="4"/>
      <c r="DD13" s="4"/>
      <c r="DE13" s="4"/>
      <c r="DF13" s="4"/>
      <c r="DG13" s="4"/>
    </row>
    <row r="14" spans="1:111" ht="16" customHeight="1" thickBot="1" x14ac:dyDescent="0.45">
      <c r="A14" s="4"/>
      <c r="B14" s="4"/>
      <c r="C14" s="4"/>
      <c r="D14" s="4"/>
      <c r="E14" s="4"/>
      <c r="F14" s="4"/>
      <c r="G14" s="4"/>
      <c r="H14" s="4"/>
      <c r="I14" s="4"/>
      <c r="J14" s="4"/>
      <c r="K14" s="4"/>
      <c r="L14" s="4"/>
      <c r="M14" s="4"/>
      <c r="N14" s="4"/>
      <c r="O14" s="4"/>
      <c r="P14" s="4"/>
      <c r="Q14" s="4"/>
      <c r="R14" s="4"/>
      <c r="S14" s="4"/>
      <c r="T14" s="273"/>
      <c r="U14" s="350"/>
      <c r="V14" s="350"/>
      <c r="W14" s="350"/>
      <c r="X14" s="350"/>
      <c r="Y14" s="350"/>
      <c r="Z14" s="350"/>
      <c r="AA14" s="350"/>
      <c r="AB14" s="350"/>
      <c r="AC14" s="350"/>
      <c r="AD14" s="350"/>
      <c r="AE14" s="350"/>
      <c r="AF14" s="350"/>
      <c r="AG14" s="350"/>
      <c r="AH14" s="350"/>
      <c r="AI14" s="350"/>
      <c r="AJ14" s="350"/>
      <c r="AK14" s="350"/>
      <c r="AL14" s="350"/>
      <c r="AM14" s="350"/>
      <c r="AN14" s="350"/>
      <c r="AO14" s="350"/>
      <c r="AP14" s="350"/>
      <c r="AQ14" s="350"/>
      <c r="AR14" s="350"/>
      <c r="AS14" s="350"/>
      <c r="AT14" s="350"/>
      <c r="AU14" s="350"/>
      <c r="AV14" s="350"/>
      <c r="AW14" s="350"/>
      <c r="AX14" s="350"/>
      <c r="AY14" s="350"/>
      <c r="AZ14" s="350"/>
      <c r="BA14" s="350"/>
      <c r="BB14" s="350"/>
      <c r="BC14" s="350"/>
      <c r="BD14" s="350"/>
      <c r="BE14" s="350"/>
      <c r="BF14" s="350"/>
      <c r="BG14" s="350"/>
      <c r="BH14" s="350"/>
      <c r="BI14" s="350"/>
      <c r="BJ14" s="350"/>
      <c r="BK14" s="350"/>
      <c r="BL14" s="350"/>
      <c r="BM14" s="350"/>
      <c r="BN14" s="350"/>
      <c r="BO14" s="350"/>
      <c r="BP14" s="350"/>
      <c r="BQ14" s="350"/>
      <c r="BR14" s="350"/>
      <c r="BS14" s="350"/>
      <c r="BT14" s="350"/>
      <c r="BU14" s="350"/>
      <c r="BV14" s="350"/>
      <c r="BW14" s="350"/>
      <c r="BX14" s="350"/>
      <c r="BY14" s="350"/>
      <c r="BZ14" s="350"/>
      <c r="CA14" s="350"/>
      <c r="CB14" s="350"/>
      <c r="CC14" s="350"/>
      <c r="CD14" s="350"/>
      <c r="CE14" s="350"/>
      <c r="CF14" s="350"/>
      <c r="CG14" s="311"/>
      <c r="CH14" s="4"/>
      <c r="CI14" s="312"/>
      <c r="CJ14" s="10"/>
      <c r="CK14" s="314"/>
      <c r="CL14" s="4"/>
      <c r="CM14" s="4"/>
      <c r="CN14" s="12"/>
      <c r="CO14" s="4"/>
      <c r="CP14" s="4"/>
      <c r="CQ14" s="4"/>
      <c r="CR14" s="4"/>
      <c r="CS14" s="4"/>
      <c r="CT14" s="4"/>
      <c r="CU14" s="4"/>
      <c r="CV14" s="4"/>
      <c r="CW14" s="4"/>
      <c r="CX14" s="4"/>
      <c r="CY14" s="4"/>
      <c r="CZ14" s="4"/>
      <c r="DA14" s="4"/>
      <c r="DB14" s="4"/>
      <c r="DC14" s="4"/>
      <c r="DD14" s="4"/>
      <c r="DE14" s="4"/>
      <c r="DF14" s="4"/>
      <c r="DG14" s="4"/>
    </row>
    <row r="15" spans="1:111" ht="16" customHeight="1" x14ac:dyDescent="0.4">
      <c r="A15" s="4"/>
      <c r="B15" s="4"/>
      <c r="C15" s="4"/>
      <c r="D15" s="4"/>
      <c r="E15" s="4"/>
      <c r="F15" s="4"/>
      <c r="G15" s="4"/>
      <c r="H15" s="4"/>
      <c r="I15" s="4"/>
      <c r="J15" s="4"/>
      <c r="K15" s="4"/>
      <c r="L15" s="4"/>
      <c r="M15" s="4"/>
      <c r="N15" s="4"/>
      <c r="O15" s="4"/>
      <c r="P15" s="4"/>
      <c r="Q15" s="4"/>
      <c r="R15" s="4"/>
      <c r="S15" s="4"/>
      <c r="T15" s="273"/>
      <c r="U15" s="29" t="str">
        <f>uxbGlobals!$B$202</f>
        <v>Score 0-100 where 100=most healthy environment</v>
      </c>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311"/>
      <c r="CH15" s="4"/>
      <c r="CI15" s="312"/>
      <c r="CJ15" s="315" t="str" cm="1">
        <f t="array" aca="1" ref="CJ15" ca="1">IF(CM15=0,"",INDEX(auto_Series_NameNumbered,CM15))</f>
        <v>1) SOCIAL DETERMINANTS</v>
      </c>
      <c r="CK15" s="314"/>
      <c r="CL15" s="4">
        <v>2</v>
      </c>
      <c r="CM15" s="12" cm="1">
        <f t="array" aca="1" ref="CM15" ca="1">INDEX(OFFSET(auto_ss_Overview,0,1,300,1),CL15)</f>
        <v>2</v>
      </c>
      <c r="CN15" s="12" cm="1">
        <f t="array" aca="1" ref="CN15" ca="1">IF(CM15=0,0,INDEX(auto_Series_Depth,CM15))</f>
        <v>1</v>
      </c>
      <c r="CO15" s="12">
        <f t="shared" ref="CO15" ca="1" si="0">IF(CM15=$E$10,1,0)</f>
        <v>0</v>
      </c>
      <c r="CP15" s="12">
        <f ca="1">IF(CN15=1,0,IF(CM15=0,0,1))</f>
        <v>0</v>
      </c>
      <c r="CQ15" s="4"/>
      <c r="CR15" s="358" t="str">
        <f ca="1">SUBSTITUTE(uxbGlobals!$B$525,"{NL}",CHAR(10))</f>
        <v xml:space="preserve">SCORE CALCULATION
Weighted average of the following domain scores:
1) SOCIAL DETERMINANTS
2) PHYSICAL ENVIRONMENT
3) HEALTH RISKS
4) HEALTH SERVICES
5) GOVERNANCE
</v>
      </c>
      <c r="CS15" s="359"/>
      <c r="CT15" s="359"/>
      <c r="CU15" s="359"/>
      <c r="CV15" s="359"/>
      <c r="CW15" s="359"/>
      <c r="CX15" s="359"/>
      <c r="CY15" s="359"/>
      <c r="CZ15" s="359"/>
      <c r="DA15" s="359"/>
      <c r="DB15" s="359"/>
      <c r="DC15" s="359"/>
      <c r="DD15" s="359"/>
      <c r="DE15" s="360"/>
      <c r="DF15" s="360"/>
      <c r="DG15" s="361"/>
    </row>
    <row r="16" spans="1:111" ht="16" customHeight="1" thickBot="1" x14ac:dyDescent="0.45">
      <c r="A16" s="4"/>
      <c r="B16" s="4"/>
      <c r="C16" s="4"/>
      <c r="D16" s="4"/>
      <c r="E16" s="4"/>
      <c r="F16" s="4"/>
      <c r="G16" s="4"/>
      <c r="H16" s="4"/>
      <c r="I16" s="4"/>
      <c r="J16" s="4"/>
      <c r="K16" s="4"/>
      <c r="L16" s="4"/>
      <c r="M16" s="4"/>
      <c r="N16" s="4"/>
      <c r="O16" s="4"/>
      <c r="P16" s="4"/>
      <c r="Q16" s="4"/>
      <c r="R16" s="4"/>
      <c r="S16" s="4"/>
      <c r="T16" s="273"/>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311"/>
      <c r="CH16" s="4"/>
      <c r="CI16" s="312"/>
      <c r="CJ16" s="316" t="str" cm="1">
        <f t="array" aca="1" ref="CJ16" ca="1">IF(CM16=0,"",INDEX(auto_Series_NameNumbered,CM16))</f>
        <v>1.1) Poverty and inequality</v>
      </c>
      <c r="CK16" s="314"/>
      <c r="CL16" s="4">
        <v>3</v>
      </c>
      <c r="CM16" s="12" cm="1">
        <f t="array" aca="1" ref="CM16" ca="1">INDEX(OFFSET(auto_ss_Overview,0,1,300,1),CL16)</f>
        <v>3</v>
      </c>
      <c r="CN16" s="12" cm="1">
        <f t="array" aca="1" ref="CN16" ca="1">IF(CM16=0,0,INDEX(auto_Series_Depth,CM16))</f>
        <v>2</v>
      </c>
      <c r="CO16" s="12">
        <f t="shared" ref="CO16:CO22" ca="1" si="1">IF(CM16=$E$10,1,0)</f>
        <v>0</v>
      </c>
      <c r="CP16" s="12">
        <f t="shared" ref="CP16:CP22" ca="1" si="2">IF(CN16=1,0,IF(CM16=0,0,1))</f>
        <v>1</v>
      </c>
      <c r="CQ16" s="4"/>
      <c r="CR16" s="362"/>
      <c r="CS16" s="363"/>
      <c r="CT16" s="363"/>
      <c r="CU16" s="363"/>
      <c r="CV16" s="363"/>
      <c r="CW16" s="363"/>
      <c r="CX16" s="363"/>
      <c r="CY16" s="363"/>
      <c r="CZ16" s="363"/>
      <c r="DA16" s="363"/>
      <c r="DB16" s="363"/>
      <c r="DC16" s="363"/>
      <c r="DD16" s="363"/>
      <c r="DE16" s="345"/>
      <c r="DF16" s="345"/>
      <c r="DG16" s="364"/>
    </row>
    <row r="17" spans="1:111" ht="16" customHeight="1" thickTop="1" thickBot="1" x14ac:dyDescent="0.45">
      <c r="A17" s="4"/>
      <c r="B17" s="4"/>
      <c r="C17" s="26">
        <v>1</v>
      </c>
      <c r="D17" s="26">
        <f ca="1">iMeasure_Overview!O16</f>
        <v>17</v>
      </c>
      <c r="E17" s="26">
        <f ca="1">iMeasure_Overview!P16</f>
        <v>1</v>
      </c>
      <c r="F17" s="26">
        <f ca="1">IF(E17=0,1,E17)</f>
        <v>1</v>
      </c>
      <c r="G17" s="26">
        <f ca="1">iMeasure_Overview!Q16</f>
        <v>17</v>
      </c>
      <c r="H17" s="26" cm="1">
        <f t="array" aca="1" ref="H17" ca="1">INDEX(auto_DataFlat_Score,G17,$E$11)</f>
        <v>83.2</v>
      </c>
      <c r="I17" s="26" cm="1">
        <f t="array" aca="1" ref="I17" ca="1">IF(F17=0,-1,INDEX(auto_DataFlat_Classification,G17,$E$11))</f>
        <v>5</v>
      </c>
      <c r="J17" s="4"/>
      <c r="K17" s="4"/>
      <c r="L17" s="4"/>
      <c r="M17" s="4"/>
      <c r="N17" s="4"/>
      <c r="O17" s="4"/>
      <c r="P17" s="4"/>
      <c r="Q17" s="4"/>
      <c r="R17" s="4"/>
      <c r="S17" s="4"/>
      <c r="T17" s="273"/>
      <c r="U17" s="317" t="str" cm="1">
        <f t="array" aca="1" ref="U17" ca="1">INDEX(uxbGlobals!$B$133:$B$139,I17)</f>
        <v xml:space="preserve"> </v>
      </c>
      <c r="V17" s="318"/>
      <c r="W17" s="356" t="str" cm="1">
        <f t="array" aca="1" ref="W17" ca="1">IF(F17=0,"",INDEX(auto_ddCountry,D17))</f>
        <v>Hong Kong</v>
      </c>
      <c r="X17" s="356"/>
      <c r="Y17" s="356"/>
      <c r="Z17" s="356"/>
      <c r="AA17" s="356"/>
      <c r="AB17" s="356"/>
      <c r="AC17" s="357">
        <f ca="1">IF(F17=0,"",H17)</f>
        <v>83.2</v>
      </c>
      <c r="AD17" s="357"/>
      <c r="AE17" s="318"/>
      <c r="AF17" s="318"/>
      <c r="AG17" s="318"/>
      <c r="AH17" s="318"/>
      <c r="AI17" s="318"/>
      <c r="AJ17" s="318"/>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311"/>
      <c r="CH17" s="4"/>
      <c r="CI17" s="312"/>
      <c r="CJ17" s="316" t="str" cm="1">
        <f t="array" aca="1" ref="CJ17" ca="1">IF(CM17=0,"",INDEX(auto_Series_NameNumbered,CM17))</f>
        <v>1.2) Education</v>
      </c>
      <c r="CK17" s="314"/>
      <c r="CL17" s="4">
        <v>4</v>
      </c>
      <c r="CM17" s="12" cm="1">
        <f t="array" aca="1" ref="CM17" ca="1">INDEX(OFFSET(auto_ss_Overview,0,1,300,1),CL17)</f>
        <v>6</v>
      </c>
      <c r="CN17" s="12" cm="1">
        <f t="array" aca="1" ref="CN17" ca="1">IF(CM17=0,0,INDEX(auto_Series_Depth,CM17))</f>
        <v>2</v>
      </c>
      <c r="CO17" s="12">
        <f t="shared" ca="1" si="1"/>
        <v>0</v>
      </c>
      <c r="CP17" s="12">
        <f t="shared" ca="1" si="2"/>
        <v>1</v>
      </c>
      <c r="CQ17" s="4"/>
      <c r="CR17" s="362"/>
      <c r="CS17" s="363"/>
      <c r="CT17" s="363"/>
      <c r="CU17" s="363"/>
      <c r="CV17" s="363"/>
      <c r="CW17" s="363"/>
      <c r="CX17" s="363"/>
      <c r="CY17" s="363"/>
      <c r="CZ17" s="363"/>
      <c r="DA17" s="363"/>
      <c r="DB17" s="363"/>
      <c r="DC17" s="363"/>
      <c r="DD17" s="363"/>
      <c r="DE17" s="345"/>
      <c r="DF17" s="345"/>
      <c r="DG17" s="364"/>
    </row>
    <row r="18" spans="1:111" ht="16" customHeight="1" thickTop="1" thickBot="1" x14ac:dyDescent="0.45">
      <c r="A18" s="4"/>
      <c r="B18" s="4"/>
      <c r="C18" s="26">
        <v>2</v>
      </c>
      <c r="D18" s="26">
        <f ca="1">iMeasure_Overview!O17</f>
        <v>26</v>
      </c>
      <c r="E18" s="26">
        <f ca="1">iMeasure_Overview!P17</f>
        <v>1</v>
      </c>
      <c r="F18" s="26">
        <f t="shared" ref="F18:F31" ca="1" si="3">IF(E18=0,1,E18)</f>
        <v>1</v>
      </c>
      <c r="G18" s="26">
        <f ca="1">iMeasure_Overview!Q17</f>
        <v>26</v>
      </c>
      <c r="H18" s="26" cm="1">
        <f t="array" aca="1" ref="H18" ca="1">INDEX(auto_DataFlat_Score,G18,$E$11)</f>
        <v>82.6</v>
      </c>
      <c r="I18" s="26" cm="1">
        <f t="array" aca="1" ref="I18" ca="1">IF(F18=0,-1,INDEX(auto_DataFlat_Classification,G18,$E$11))</f>
        <v>5</v>
      </c>
      <c r="J18" s="49"/>
      <c r="K18" s="49"/>
      <c r="L18" s="49"/>
      <c r="M18" s="49"/>
      <c r="N18" s="49"/>
      <c r="O18" s="49"/>
      <c r="P18" s="49"/>
      <c r="Q18" s="49"/>
      <c r="R18" s="49"/>
      <c r="S18" s="49"/>
      <c r="T18" s="319"/>
      <c r="U18" s="317" t="str" cm="1">
        <f t="array" aca="1" ref="U18" ca="1">INDEX(uxbGlobals!$B$133:$B$139,I18)</f>
        <v xml:space="preserve"> </v>
      </c>
      <c r="V18" s="318"/>
      <c r="W18" s="356" t="str" cm="1">
        <f t="array" aca="1" ref="W18" ca="1">IF(F18=0,"",INDEX(auto_ddCountry,D18))</f>
        <v>London</v>
      </c>
      <c r="X18" s="356"/>
      <c r="Y18" s="356"/>
      <c r="Z18" s="356"/>
      <c r="AA18" s="356"/>
      <c r="AB18" s="356"/>
      <c r="AC18" s="357">
        <f t="shared" ref="AC18:AC65" ca="1" si="4">IF(F18=0,"",H18)</f>
        <v>82.6</v>
      </c>
      <c r="AD18" s="357"/>
      <c r="AE18" s="318"/>
      <c r="AF18" s="318"/>
      <c r="AG18" s="318"/>
      <c r="AH18" s="318"/>
      <c r="AI18" s="318"/>
      <c r="AJ18" s="318"/>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311"/>
      <c r="CH18" s="4"/>
      <c r="CI18" s="312"/>
      <c r="CJ18" s="316" t="str" cm="1">
        <f t="array" aca="1" ref="CJ18" ca="1">IF(CM18=0,"",INDEX(auto_Series_NameNumbered,CM18))</f>
        <v>1.3) Employment</v>
      </c>
      <c r="CK18" s="314"/>
      <c r="CL18" s="4">
        <v>5</v>
      </c>
      <c r="CM18" s="12" cm="1">
        <f t="array" aca="1" ref="CM18" ca="1">INDEX(OFFSET(auto_ss_Overview,0,1,300,1),CL18)</f>
        <v>9</v>
      </c>
      <c r="CN18" s="12" cm="1">
        <f t="array" aca="1" ref="CN18" ca="1">IF(CM18=0,0,INDEX(auto_Series_Depth,CM18))</f>
        <v>2</v>
      </c>
      <c r="CO18" s="12">
        <f t="shared" ca="1" si="1"/>
        <v>0</v>
      </c>
      <c r="CP18" s="12">
        <f t="shared" ca="1" si="2"/>
        <v>1</v>
      </c>
      <c r="CQ18" s="4"/>
      <c r="CR18" s="362"/>
      <c r="CS18" s="363"/>
      <c r="CT18" s="363"/>
      <c r="CU18" s="363"/>
      <c r="CV18" s="363"/>
      <c r="CW18" s="363"/>
      <c r="CX18" s="363"/>
      <c r="CY18" s="363"/>
      <c r="CZ18" s="363"/>
      <c r="DA18" s="363"/>
      <c r="DB18" s="363"/>
      <c r="DC18" s="363"/>
      <c r="DD18" s="363"/>
      <c r="DE18" s="345"/>
      <c r="DF18" s="345"/>
      <c r="DG18" s="364"/>
    </row>
    <row r="19" spans="1:111" ht="16" customHeight="1" thickTop="1" thickBot="1" x14ac:dyDescent="0.45">
      <c r="A19" s="4"/>
      <c r="B19" s="4"/>
      <c r="C19" s="26">
        <v>3</v>
      </c>
      <c r="D19" s="26">
        <f ca="1">iMeasure_Overview!O18</f>
        <v>27</v>
      </c>
      <c r="E19" s="26">
        <f ca="1">iMeasure_Overview!P18</f>
        <v>1</v>
      </c>
      <c r="F19" s="26">
        <f t="shared" ca="1" si="3"/>
        <v>1</v>
      </c>
      <c r="G19" s="26">
        <f ca="1">iMeasure_Overview!Q18</f>
        <v>27</v>
      </c>
      <c r="H19" s="26" cm="1">
        <f t="array" aca="1" ref="H19" ca="1">INDEX(auto_DataFlat_Score,G19,$E$11)</f>
        <v>79.599999999999994</v>
      </c>
      <c r="I19" s="26" cm="1">
        <f t="array" aca="1" ref="I19" ca="1">IF(F19=0,-1,INDEX(auto_DataFlat_Classification,G19,$E$11))</f>
        <v>4</v>
      </c>
      <c r="J19" s="49"/>
      <c r="K19" s="49"/>
      <c r="L19" s="49"/>
      <c r="M19" s="49"/>
      <c r="N19" s="49"/>
      <c r="O19" s="49"/>
      <c r="P19" s="49"/>
      <c r="Q19" s="49"/>
      <c r="R19" s="49"/>
      <c r="S19" s="49"/>
      <c r="T19" s="319"/>
      <c r="U19" s="317" t="str" cm="1">
        <f t="array" aca="1" ref="U19" ca="1">INDEX(uxbGlobals!$B$133:$B$139,I19)</f>
        <v xml:space="preserve"> </v>
      </c>
      <c r="V19" s="318"/>
      <c r="W19" s="356" t="str" cm="1">
        <f t="array" aca="1" ref="W19" ca="1">IF(F19=0,"",INDEX(auto_ddCountry,D19))</f>
        <v>Madrid</v>
      </c>
      <c r="X19" s="356"/>
      <c r="Y19" s="356"/>
      <c r="Z19" s="356"/>
      <c r="AA19" s="356"/>
      <c r="AB19" s="356"/>
      <c r="AC19" s="357">
        <f t="shared" ca="1" si="4"/>
        <v>79.599999999999994</v>
      </c>
      <c r="AD19" s="357"/>
      <c r="AE19" s="318"/>
      <c r="AF19" s="318"/>
      <c r="AG19" s="318"/>
      <c r="AH19" s="318"/>
      <c r="AI19" s="318"/>
      <c r="AJ19" s="318"/>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311"/>
      <c r="CH19" s="4"/>
      <c r="CI19" s="312"/>
      <c r="CJ19" s="316" t="str" cm="1">
        <f t="array" aca="1" ref="CJ19" ca="1">IF(CM19=0,"",INDEX(auto_Series_NameNumbered,CM19))</f>
        <v>1.4) Access to healthcare</v>
      </c>
      <c r="CK19" s="314"/>
      <c r="CL19" s="4">
        <v>6</v>
      </c>
      <c r="CM19" s="12" cm="1">
        <f t="array" aca="1" ref="CM19" ca="1">INDEX(OFFSET(auto_ss_Overview,0,1,300,1),CL19)</f>
        <v>12</v>
      </c>
      <c r="CN19" s="12" cm="1">
        <f t="array" aca="1" ref="CN19" ca="1">IF(CM19=0,0,INDEX(auto_Series_Depth,CM19))</f>
        <v>2</v>
      </c>
      <c r="CO19" s="12">
        <f t="shared" ca="1" si="1"/>
        <v>0</v>
      </c>
      <c r="CP19" s="12">
        <f t="shared" ca="1" si="2"/>
        <v>1</v>
      </c>
      <c r="CQ19" s="4"/>
      <c r="CR19" s="362"/>
      <c r="CS19" s="363"/>
      <c r="CT19" s="363"/>
      <c r="CU19" s="363"/>
      <c r="CV19" s="363"/>
      <c r="CW19" s="363"/>
      <c r="CX19" s="363"/>
      <c r="CY19" s="363"/>
      <c r="CZ19" s="363"/>
      <c r="DA19" s="363"/>
      <c r="DB19" s="363"/>
      <c r="DC19" s="363"/>
      <c r="DD19" s="363"/>
      <c r="DE19" s="345"/>
      <c r="DF19" s="345"/>
      <c r="DG19" s="364"/>
    </row>
    <row r="20" spans="1:111" ht="16" customHeight="1" thickTop="1" thickBot="1" x14ac:dyDescent="0.45">
      <c r="A20" s="4"/>
      <c r="B20" s="4"/>
      <c r="C20" s="26">
        <v>4</v>
      </c>
      <c r="D20" s="26">
        <f ca="1">iMeasure_Overview!O19</f>
        <v>34</v>
      </c>
      <c r="E20" s="26">
        <f ca="1">iMeasure_Overview!P19</f>
        <v>1</v>
      </c>
      <c r="F20" s="26">
        <f t="shared" ca="1" si="3"/>
        <v>1</v>
      </c>
      <c r="G20" s="26">
        <f ca="1">iMeasure_Overview!Q19</f>
        <v>34</v>
      </c>
      <c r="H20" s="26" cm="1">
        <f t="array" aca="1" ref="H20" ca="1">INDEX(auto_DataFlat_Score,G20,$E$11)</f>
        <v>79.099999999999994</v>
      </c>
      <c r="I20" s="26" cm="1">
        <f t="array" aca="1" ref="I20" ca="1">IF(F20=0,-1,INDEX(auto_DataFlat_Classification,G20,$E$11))</f>
        <v>4</v>
      </c>
      <c r="J20" s="49"/>
      <c r="K20" s="49"/>
      <c r="L20" s="49"/>
      <c r="M20" s="49"/>
      <c r="N20" s="49"/>
      <c r="O20" s="49"/>
      <c r="P20" s="49"/>
      <c r="Q20" s="49"/>
      <c r="R20" s="49"/>
      <c r="S20" s="49"/>
      <c r="T20" s="319"/>
      <c r="U20" s="317" t="str" cm="1">
        <f t="array" aca="1" ref="U20" ca="1">INDEX(uxbGlobals!$B$133:$B$139,I20)</f>
        <v xml:space="preserve"> </v>
      </c>
      <c r="V20" s="318"/>
      <c r="W20" s="356" t="str" cm="1">
        <f t="array" aca="1" ref="W20" ca="1">IF(F20=0,"",INDEX(auto_ddCountry,D20))</f>
        <v>New York City</v>
      </c>
      <c r="X20" s="356"/>
      <c r="Y20" s="356"/>
      <c r="Z20" s="356"/>
      <c r="AA20" s="356"/>
      <c r="AB20" s="356"/>
      <c r="AC20" s="357">
        <f t="shared" ca="1" si="4"/>
        <v>79.099999999999994</v>
      </c>
      <c r="AD20" s="357"/>
      <c r="AE20" s="318"/>
      <c r="AF20" s="318"/>
      <c r="AG20" s="318"/>
      <c r="AH20" s="318"/>
      <c r="AI20" s="318"/>
      <c r="AJ20" s="318"/>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311"/>
      <c r="CH20" s="4"/>
      <c r="CI20" s="312"/>
      <c r="CJ20" s="316" t="str" cm="1">
        <f t="array" aca="1" ref="CJ20" ca="1">IF(CM20=0,"",INDEX(auto_Series_NameNumbered,CM20))</f>
        <v>1.5) Household health expenditure</v>
      </c>
      <c r="CK20" s="314"/>
      <c r="CL20" s="4">
        <v>7</v>
      </c>
      <c r="CM20" s="12" cm="1">
        <f t="array" aca="1" ref="CM20" ca="1">INDEX(OFFSET(auto_ss_Overview,0,1,300,1),CL20)</f>
        <v>13</v>
      </c>
      <c r="CN20" s="12" cm="1">
        <f t="array" aca="1" ref="CN20" ca="1">IF(CM20=0,0,INDEX(auto_Series_Depth,CM20))</f>
        <v>2</v>
      </c>
      <c r="CO20" s="12">
        <f t="shared" ca="1" si="1"/>
        <v>0</v>
      </c>
      <c r="CP20" s="12">
        <f t="shared" ca="1" si="2"/>
        <v>1</v>
      </c>
      <c r="CQ20" s="4"/>
      <c r="CR20" s="365"/>
      <c r="CS20" s="366"/>
      <c r="CT20" s="366"/>
      <c r="CU20" s="366"/>
      <c r="CV20" s="366"/>
      <c r="CW20" s="366"/>
      <c r="CX20" s="366"/>
      <c r="CY20" s="366"/>
      <c r="CZ20" s="366"/>
      <c r="DA20" s="366"/>
      <c r="DB20" s="366"/>
      <c r="DC20" s="366"/>
      <c r="DD20" s="366"/>
      <c r="DE20" s="367"/>
      <c r="DF20" s="367"/>
      <c r="DG20" s="368"/>
    </row>
    <row r="21" spans="1:111" ht="16" customHeight="1" thickTop="1" thickBot="1" x14ac:dyDescent="0.45">
      <c r="A21" s="4"/>
      <c r="B21" s="4"/>
      <c r="C21" s="26">
        <v>5</v>
      </c>
      <c r="D21" s="26">
        <f ca="1">iMeasure_Overview!O20</f>
        <v>7</v>
      </c>
      <c r="E21" s="26">
        <f ca="1">iMeasure_Overview!P20</f>
        <v>1</v>
      </c>
      <c r="F21" s="26">
        <f t="shared" ca="1" si="3"/>
        <v>1</v>
      </c>
      <c r="G21" s="26">
        <f ca="1">iMeasure_Overview!Q20</f>
        <v>7</v>
      </c>
      <c r="H21" s="26" cm="1">
        <f t="array" aca="1" ref="H21" ca="1">INDEX(auto_DataFlat_Score,G21,$E$11)</f>
        <v>77.400000000000006</v>
      </c>
      <c r="I21" s="26" cm="1">
        <f t="array" aca="1" ref="I21" ca="1">IF(F21=0,-1,INDEX(auto_DataFlat_Classification,G21,$E$11))</f>
        <v>4</v>
      </c>
      <c r="J21" s="49"/>
      <c r="K21" s="49"/>
      <c r="L21" s="49"/>
      <c r="M21" s="49"/>
      <c r="N21" s="49"/>
      <c r="O21" s="49"/>
      <c r="P21" s="49"/>
      <c r="Q21" s="49"/>
      <c r="R21" s="49"/>
      <c r="S21" s="49"/>
      <c r="T21" s="319"/>
      <c r="U21" s="317" t="str" cm="1">
        <f t="array" aca="1" ref="U21" ca="1">INDEX(uxbGlobals!$B$133:$B$139,I21)</f>
        <v xml:space="preserve"> </v>
      </c>
      <c r="V21" s="318"/>
      <c r="W21" s="356" t="str" cm="1">
        <f t="array" aca="1" ref="W21" ca="1">IF(F21=0,"",INDEX(auto_ddCountry,D21))</f>
        <v>Berlin</v>
      </c>
      <c r="X21" s="356"/>
      <c r="Y21" s="356"/>
      <c r="Z21" s="356"/>
      <c r="AA21" s="356"/>
      <c r="AB21" s="356"/>
      <c r="AC21" s="357">
        <f t="shared" ca="1" si="4"/>
        <v>77.400000000000006</v>
      </c>
      <c r="AD21" s="357"/>
      <c r="AE21" s="318"/>
      <c r="AF21" s="318"/>
      <c r="AG21" s="318"/>
      <c r="AH21" s="318"/>
      <c r="AI21" s="318"/>
      <c r="AJ21" s="318"/>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311"/>
      <c r="CH21" s="4"/>
      <c r="CI21" s="312"/>
      <c r="CJ21" s="315" t="str" cm="1">
        <f t="array" aca="1" ref="CJ21" ca="1">IF(CM21=0,"",INDEX(auto_Series_NameNumbered,CM21))</f>
        <v>2) PHYSICAL ENVIRONMENT</v>
      </c>
      <c r="CK21" s="314"/>
      <c r="CL21" s="4">
        <v>8</v>
      </c>
      <c r="CM21" s="12" cm="1">
        <f t="array" aca="1" ref="CM21" ca="1">INDEX(OFFSET(auto_ss_Overview,0,1,300,1),CL21)</f>
        <v>14</v>
      </c>
      <c r="CN21" s="12" cm="1">
        <f t="array" aca="1" ref="CN21" ca="1">IF(CM21=0,0,INDEX(auto_Series_Depth,CM21))</f>
        <v>1</v>
      </c>
      <c r="CO21" s="12">
        <f t="shared" ca="1" si="1"/>
        <v>0</v>
      </c>
      <c r="CP21" s="12">
        <f t="shared" ca="1" si="2"/>
        <v>0</v>
      </c>
      <c r="CQ21" s="4"/>
      <c r="CR21" s="4"/>
      <c r="CS21" s="4"/>
      <c r="CT21" s="4"/>
      <c r="CU21" s="4"/>
      <c r="CV21" s="4"/>
      <c r="CW21" s="4"/>
      <c r="CX21" s="4"/>
      <c r="CY21" s="4"/>
      <c r="CZ21" s="4"/>
      <c r="DA21" s="4"/>
      <c r="DB21" s="4"/>
      <c r="DC21" s="4"/>
      <c r="DD21" s="4"/>
      <c r="DE21" s="4"/>
      <c r="DF21" s="4"/>
      <c r="DG21" s="4"/>
    </row>
    <row r="22" spans="1:111" ht="16" customHeight="1" thickTop="1" thickBot="1" x14ac:dyDescent="0.45">
      <c r="A22" s="4"/>
      <c r="B22" s="4"/>
      <c r="C22" s="26">
        <v>6</v>
      </c>
      <c r="D22" s="26">
        <f ca="1">iMeasure_Overview!O21</f>
        <v>47</v>
      </c>
      <c r="E22" s="26">
        <f ca="1">iMeasure_Overview!P21</f>
        <v>1</v>
      </c>
      <c r="F22" s="26">
        <f t="shared" ca="1" si="3"/>
        <v>1</v>
      </c>
      <c r="G22" s="26">
        <f ca="1">iMeasure_Overview!Q21</f>
        <v>47</v>
      </c>
      <c r="H22" s="26" cm="1">
        <f t="array" aca="1" ref="H22" ca="1">INDEX(auto_DataFlat_Score,G22,$E$11)</f>
        <v>77</v>
      </c>
      <c r="I22" s="26" cm="1">
        <f t="array" aca="1" ref="I22" ca="1">IF(F22=0,-1,INDEX(auto_DataFlat_Classification,G22,$E$11))</f>
        <v>4</v>
      </c>
      <c r="J22" s="49"/>
      <c r="K22" s="49"/>
      <c r="L22" s="49"/>
      <c r="M22" s="49"/>
      <c r="N22" s="49"/>
      <c r="O22" s="49"/>
      <c r="P22" s="49"/>
      <c r="Q22" s="49"/>
      <c r="R22" s="49"/>
      <c r="S22" s="49"/>
      <c r="T22" s="319"/>
      <c r="U22" s="317" t="str" cm="1">
        <f t="array" aca="1" ref="U22" ca="1">INDEX(uxbGlobals!$B$133:$B$139,I22)</f>
        <v xml:space="preserve"> </v>
      </c>
      <c r="V22" s="318"/>
      <c r="W22" s="356" t="str" cm="1">
        <f t="array" aca="1" ref="W22" ca="1">IF(F22=0,"",INDEX(auto_ddCountry,D22))</f>
        <v>Toronto</v>
      </c>
      <c r="X22" s="356"/>
      <c r="Y22" s="356"/>
      <c r="Z22" s="356"/>
      <c r="AA22" s="356"/>
      <c r="AB22" s="356"/>
      <c r="AC22" s="357">
        <f t="shared" ca="1" si="4"/>
        <v>77</v>
      </c>
      <c r="AD22" s="357"/>
      <c r="AE22" s="318"/>
      <c r="AF22" s="318"/>
      <c r="AG22" s="318"/>
      <c r="AH22" s="318"/>
      <c r="AI22" s="318"/>
      <c r="AJ22" s="318"/>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311"/>
      <c r="CH22" s="4"/>
      <c r="CI22" s="312"/>
      <c r="CJ22" s="316" t="str" cm="1">
        <f t="array" aca="1" ref="CJ22" ca="1">IF(CM22=0,"",INDEX(auto_Series_NameNumbered,CM22))</f>
        <v>2.1) Air quality</v>
      </c>
      <c r="CK22" s="314"/>
      <c r="CL22" s="4">
        <v>9</v>
      </c>
      <c r="CM22" s="12" cm="1">
        <f t="array" aca="1" ref="CM22" ca="1">INDEX(OFFSET(auto_ss_Overview,0,1,300,1),CL22)</f>
        <v>15</v>
      </c>
      <c r="CN22" s="12" cm="1">
        <f t="array" aca="1" ref="CN22" ca="1">IF(CM22=0,0,INDEX(auto_Series_Depth,CM22))</f>
        <v>2</v>
      </c>
      <c r="CO22" s="12">
        <f t="shared" ca="1" si="1"/>
        <v>0</v>
      </c>
      <c r="CP22" s="12">
        <f t="shared" ca="1" si="2"/>
        <v>1</v>
      </c>
      <c r="CQ22" s="4"/>
      <c r="CR22" s="4"/>
      <c r="CS22" s="4"/>
      <c r="CT22" s="4"/>
      <c r="CU22" s="4"/>
      <c r="CV22" s="4"/>
      <c r="CW22" s="4"/>
      <c r="CX22" s="4"/>
      <c r="CY22" s="4"/>
      <c r="CZ22" s="4"/>
      <c r="DA22" s="4"/>
      <c r="DB22" s="4"/>
      <c r="DC22" s="4"/>
      <c r="DD22" s="4"/>
      <c r="DE22" s="4"/>
      <c r="DF22" s="4"/>
      <c r="DG22" s="4"/>
    </row>
    <row r="23" spans="1:111" ht="16" customHeight="1" thickTop="1" thickBot="1" x14ac:dyDescent="0.45">
      <c r="A23" s="4"/>
      <c r="B23" s="4"/>
      <c r="C23" s="26">
        <v>7</v>
      </c>
      <c r="D23" s="26">
        <f ca="1">iMeasure_Overview!O22</f>
        <v>44</v>
      </c>
      <c r="E23" s="26">
        <f ca="1">iMeasure_Overview!P22</f>
        <v>1</v>
      </c>
      <c r="F23" s="26">
        <f t="shared" ca="1" si="3"/>
        <v>1</v>
      </c>
      <c r="G23" s="26">
        <f ca="1">iMeasure_Overview!Q22</f>
        <v>44</v>
      </c>
      <c r="H23" s="26" cm="1">
        <f t="array" aca="1" ref="H23" ca="1">INDEX(auto_DataFlat_Score,G23,$E$11)</f>
        <v>76.099999999999994</v>
      </c>
      <c r="I23" s="26" cm="1">
        <f t="array" aca="1" ref="I23" ca="1">IF(F23=0,-1,INDEX(auto_DataFlat_Classification,G23,$E$11))</f>
        <v>4</v>
      </c>
      <c r="J23" s="49"/>
      <c r="K23" s="49"/>
      <c r="L23" s="49"/>
      <c r="M23" s="49"/>
      <c r="N23" s="49"/>
      <c r="O23" s="49"/>
      <c r="P23" s="49"/>
      <c r="Q23" s="49"/>
      <c r="R23" s="49"/>
      <c r="S23" s="49"/>
      <c r="T23" s="319"/>
      <c r="U23" s="317" t="str" cm="1">
        <f t="array" aca="1" ref="U23" ca="1">INDEX(uxbGlobals!$B$133:$B$139,I23)</f>
        <v xml:space="preserve"> </v>
      </c>
      <c r="V23" s="318"/>
      <c r="W23" s="356" t="str" cm="1">
        <f t="array" aca="1" ref="W23" ca="1">IF(F23=0,"",INDEX(auto_ddCountry,D23))</f>
        <v>Singapore</v>
      </c>
      <c r="X23" s="356"/>
      <c r="Y23" s="356"/>
      <c r="Z23" s="356"/>
      <c r="AA23" s="356"/>
      <c r="AB23" s="356"/>
      <c r="AC23" s="357">
        <f t="shared" ca="1" si="4"/>
        <v>76.099999999999994</v>
      </c>
      <c r="AD23" s="357"/>
      <c r="AE23" s="318"/>
      <c r="AF23" s="318"/>
      <c r="AG23" s="318"/>
      <c r="AH23" s="318"/>
      <c r="AI23" s="318"/>
      <c r="AJ23" s="318"/>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311"/>
      <c r="CH23" s="4"/>
      <c r="CI23" s="312"/>
      <c r="CJ23" s="316" t="str" cm="1">
        <f t="array" aca="1" ref="CJ23" ca="1">IF(CM23=0,"",INDEX(auto_Series_NameNumbered,CM23))</f>
        <v>2.2) Open spaces and green areas</v>
      </c>
      <c r="CK23" s="314"/>
      <c r="CL23" s="4">
        <v>10</v>
      </c>
      <c r="CM23" s="12" cm="1">
        <f t="array" aca="1" ref="CM23" ca="1">INDEX(OFFSET(auto_ss_Overview,0,1,300,1),CL23)</f>
        <v>16</v>
      </c>
      <c r="CN23" s="12" cm="1">
        <f t="array" aca="1" ref="CN23" ca="1">IF(CM23=0,0,INDEX(auto_Series_Depth,CM23))</f>
        <v>2</v>
      </c>
      <c r="CO23" s="12">
        <f t="shared" ref="CO23:CO29" ca="1" si="5">IF(CM23=$E$10,1,0)</f>
        <v>0</v>
      </c>
      <c r="CP23" s="12">
        <f t="shared" ref="CP23:CP29" ca="1" si="6">IF(CN23=1,0,IF(CM23=0,0,1))</f>
        <v>1</v>
      </c>
      <c r="CQ23" s="4"/>
      <c r="CR23" s="4"/>
      <c r="CS23" s="4"/>
      <c r="CT23" s="4"/>
      <c r="CU23" s="4"/>
      <c r="CV23" s="4"/>
      <c r="CW23" s="4"/>
      <c r="CX23" s="4"/>
      <c r="CY23" s="4"/>
      <c r="CZ23" s="4"/>
      <c r="DA23" s="4"/>
      <c r="DB23" s="4"/>
      <c r="DC23" s="4"/>
      <c r="DD23" s="4"/>
      <c r="DE23" s="4"/>
      <c r="DF23" s="4"/>
      <c r="DG23" s="4"/>
    </row>
    <row r="24" spans="1:111" ht="16" customHeight="1" thickTop="1" thickBot="1" x14ac:dyDescent="0.45">
      <c r="A24" s="4"/>
      <c r="B24" s="4"/>
      <c r="C24" s="26">
        <v>8</v>
      </c>
      <c r="D24" s="26">
        <f ca="1">iMeasure_Overview!O23</f>
        <v>46</v>
      </c>
      <c r="E24" s="26">
        <f ca="1">iMeasure_Overview!P23</f>
        <v>1</v>
      </c>
      <c r="F24" s="26">
        <f t="shared" ca="1" si="3"/>
        <v>1</v>
      </c>
      <c r="G24" s="26">
        <f ca="1">iMeasure_Overview!Q23</f>
        <v>46</v>
      </c>
      <c r="H24" s="26" cm="1">
        <f t="array" aca="1" ref="H24" ca="1">INDEX(auto_DataFlat_Score,G24,$E$11)</f>
        <v>76.099999999999994</v>
      </c>
      <c r="I24" s="26" cm="1">
        <f t="array" aca="1" ref="I24" ca="1">IF(F24=0,-1,INDEX(auto_DataFlat_Classification,G24,$E$11))</f>
        <v>4</v>
      </c>
      <c r="J24" s="49"/>
      <c r="K24" s="49"/>
      <c r="L24" s="49"/>
      <c r="M24" s="49"/>
      <c r="N24" s="49"/>
      <c r="O24" s="49"/>
      <c r="P24" s="49"/>
      <c r="Q24" s="49"/>
      <c r="R24" s="49"/>
      <c r="S24" s="49"/>
      <c r="T24" s="319"/>
      <c r="U24" s="317" t="str" cm="1">
        <f t="array" aca="1" ref="U24" ca="1">INDEX(uxbGlobals!$B$133:$B$139,I24)</f>
        <v xml:space="preserve"> </v>
      </c>
      <c r="V24" s="318"/>
      <c r="W24" s="356" t="str" cm="1">
        <f t="array" aca="1" ref="W24" ca="1">IF(F24=0,"",INDEX(auto_ddCountry,D24))</f>
        <v>Tokyo</v>
      </c>
      <c r="X24" s="356"/>
      <c r="Y24" s="356"/>
      <c r="Z24" s="356"/>
      <c r="AA24" s="356"/>
      <c r="AB24" s="356"/>
      <c r="AC24" s="357">
        <f t="shared" ca="1" si="4"/>
        <v>76.099999999999994</v>
      </c>
      <c r="AD24" s="357"/>
      <c r="AE24" s="318"/>
      <c r="AF24" s="318"/>
      <c r="AG24" s="318"/>
      <c r="AH24" s="318"/>
      <c r="AI24" s="318"/>
      <c r="AJ24" s="318"/>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311"/>
      <c r="CH24" s="4"/>
      <c r="CI24" s="312"/>
      <c r="CJ24" s="316" t="str" cm="1">
        <f t="array" aca="1" ref="CJ24" ca="1">IF(CM24=0,"",INDEX(auto_Series_NameNumbered,CM24))</f>
        <v>2.3) Active transport</v>
      </c>
      <c r="CK24" s="314"/>
      <c r="CL24" s="4">
        <v>11</v>
      </c>
      <c r="CM24" s="12" cm="1">
        <f t="array" aca="1" ref="CM24" ca="1">INDEX(OFFSET(auto_ss_Overview,0,1,300,1),CL24)</f>
        <v>17</v>
      </c>
      <c r="CN24" s="12" cm="1">
        <f t="array" aca="1" ref="CN24" ca="1">IF(CM24=0,0,INDEX(auto_Series_Depth,CM24))</f>
        <v>2</v>
      </c>
      <c r="CO24" s="12">
        <f t="shared" ca="1" si="5"/>
        <v>0</v>
      </c>
      <c r="CP24" s="12">
        <f t="shared" ca="1" si="6"/>
        <v>1</v>
      </c>
      <c r="CQ24" s="4"/>
      <c r="CR24" s="4"/>
      <c r="CS24" s="4"/>
      <c r="CT24" s="4"/>
      <c r="CU24" s="4"/>
      <c r="CV24" s="4"/>
      <c r="CW24" s="4"/>
      <c r="CX24" s="4"/>
      <c r="CY24" s="4"/>
      <c r="CZ24" s="4"/>
      <c r="DA24" s="4"/>
      <c r="DB24" s="4"/>
      <c r="DC24" s="4"/>
      <c r="DD24" s="4"/>
      <c r="DE24" s="4"/>
      <c r="DF24" s="4"/>
      <c r="DG24" s="4"/>
    </row>
    <row r="25" spans="1:111" ht="16" customHeight="1" thickTop="1" thickBot="1" x14ac:dyDescent="0.45">
      <c r="A25" s="4"/>
      <c r="B25" s="4"/>
      <c r="C25" s="26">
        <v>9</v>
      </c>
      <c r="D25" s="26">
        <f ca="1">iMeasure_Overview!O24</f>
        <v>29</v>
      </c>
      <c r="E25" s="26">
        <f ca="1">iMeasure_Overview!P24</f>
        <v>1</v>
      </c>
      <c r="F25" s="26">
        <f t="shared" ca="1" si="3"/>
        <v>1</v>
      </c>
      <c r="G25" s="26">
        <f ca="1">iMeasure_Overview!Q24</f>
        <v>29</v>
      </c>
      <c r="H25" s="26" cm="1">
        <f t="array" aca="1" ref="H25" ca="1">INDEX(auto_DataFlat_Score,G25,$E$11)</f>
        <v>75.8</v>
      </c>
      <c r="I25" s="26" cm="1">
        <f t="array" aca="1" ref="I25" ca="1">IF(F25=0,-1,INDEX(auto_DataFlat_Classification,G25,$E$11))</f>
        <v>4</v>
      </c>
      <c r="J25" s="49"/>
      <c r="K25" s="49"/>
      <c r="L25" s="49"/>
      <c r="M25" s="49"/>
      <c r="N25" s="49"/>
      <c r="O25" s="49"/>
      <c r="P25" s="49"/>
      <c r="Q25" s="49"/>
      <c r="R25" s="49"/>
      <c r="S25" s="49"/>
      <c r="T25" s="319"/>
      <c r="U25" s="317" t="str" cm="1">
        <f t="array" aca="1" ref="U25" ca="1">INDEX(uxbGlobals!$B$133:$B$139,I25)</f>
        <v xml:space="preserve"> </v>
      </c>
      <c r="V25" s="318"/>
      <c r="W25" s="356" t="str" cm="1">
        <f t="array" aca="1" ref="W25" ca="1">IF(F25=0,"",INDEX(auto_ddCountry,D25))</f>
        <v>Melbourne</v>
      </c>
      <c r="X25" s="356"/>
      <c r="Y25" s="356"/>
      <c r="Z25" s="356"/>
      <c r="AA25" s="356"/>
      <c r="AB25" s="356"/>
      <c r="AC25" s="357">
        <f t="shared" ca="1" si="4"/>
        <v>75.8</v>
      </c>
      <c r="AD25" s="357"/>
      <c r="AE25" s="318"/>
      <c r="AF25" s="318"/>
      <c r="AG25" s="318"/>
      <c r="AH25" s="318"/>
      <c r="AI25" s="318"/>
      <c r="AJ25" s="318"/>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311"/>
      <c r="CH25" s="4"/>
      <c r="CI25" s="312"/>
      <c r="CJ25" s="316" t="str" cm="1">
        <f t="array" aca="1" ref="CJ25" ca="1">IF(CM25=0,"",INDEX(auto_Series_NameNumbered,CM25))</f>
        <v>2.4) Food security</v>
      </c>
      <c r="CK25" s="314"/>
      <c r="CL25" s="4">
        <v>12</v>
      </c>
      <c r="CM25" s="12" cm="1">
        <f t="array" aca="1" ref="CM25" ca="1">INDEX(OFFSET(auto_ss_Overview,0,1,300,1),CL25)</f>
        <v>18</v>
      </c>
      <c r="CN25" s="12" cm="1">
        <f t="array" aca="1" ref="CN25" ca="1">IF(CM25=0,0,INDEX(auto_Series_Depth,CM25))</f>
        <v>2</v>
      </c>
      <c r="CO25" s="12">
        <f t="shared" ca="1" si="5"/>
        <v>0</v>
      </c>
      <c r="CP25" s="12">
        <f t="shared" ca="1" si="6"/>
        <v>1</v>
      </c>
      <c r="CQ25" s="4"/>
      <c r="CR25" s="4"/>
      <c r="CS25" s="4"/>
      <c r="CT25" s="4"/>
      <c r="CU25" s="4"/>
      <c r="CV25" s="4"/>
      <c r="CW25" s="4"/>
      <c r="CX25" s="4"/>
      <c r="CY25" s="4"/>
      <c r="CZ25" s="4"/>
      <c r="DA25" s="4"/>
      <c r="DB25" s="4"/>
      <c r="DC25" s="4"/>
      <c r="DD25" s="4"/>
      <c r="DE25" s="4"/>
      <c r="DF25" s="4"/>
      <c r="DG25" s="4"/>
    </row>
    <row r="26" spans="1:111" ht="16" customHeight="1" thickTop="1" thickBot="1" x14ac:dyDescent="0.45">
      <c r="A26" s="4"/>
      <c r="B26" s="4"/>
      <c r="C26" s="26">
        <v>10</v>
      </c>
      <c r="D26" s="26">
        <f ca="1">iMeasure_Overview!O25</f>
        <v>42</v>
      </c>
      <c r="E26" s="26">
        <f ca="1">iMeasure_Overview!P25</f>
        <v>1</v>
      </c>
      <c r="F26" s="26">
        <f t="shared" ca="1" si="3"/>
        <v>1</v>
      </c>
      <c r="G26" s="26">
        <f ca="1">iMeasure_Overview!Q25</f>
        <v>42</v>
      </c>
      <c r="H26" s="26" cm="1">
        <f t="array" aca="1" ref="H26" ca="1">INDEX(auto_DataFlat_Score,G26,$E$11)</f>
        <v>75.599999999999994</v>
      </c>
      <c r="I26" s="26" cm="1">
        <f t="array" aca="1" ref="I26" ca="1">IF(F26=0,-1,INDEX(auto_DataFlat_Classification,G26,$E$11))</f>
        <v>4</v>
      </c>
      <c r="J26" s="49"/>
      <c r="K26" s="49"/>
      <c r="L26" s="49"/>
      <c r="M26" s="49"/>
      <c r="N26" s="49"/>
      <c r="O26" s="49"/>
      <c r="P26" s="49"/>
      <c r="Q26" s="49"/>
      <c r="R26" s="49"/>
      <c r="S26" s="49"/>
      <c r="T26" s="319"/>
      <c r="U26" s="317" t="str" cm="1">
        <f t="array" aca="1" ref="U26" ca="1">INDEX(uxbGlobals!$B$133:$B$139,I26)</f>
        <v xml:space="preserve"> </v>
      </c>
      <c r="V26" s="318"/>
      <c r="W26" s="356" t="str" cm="1">
        <f t="array" aca="1" ref="W26" ca="1">IF(F26=0,"",INDEX(auto_ddCountry,D26))</f>
        <v>Seoul</v>
      </c>
      <c r="X26" s="356"/>
      <c r="Y26" s="356"/>
      <c r="Z26" s="356"/>
      <c r="AA26" s="356"/>
      <c r="AB26" s="356"/>
      <c r="AC26" s="357">
        <f t="shared" ca="1" si="4"/>
        <v>75.599999999999994</v>
      </c>
      <c r="AD26" s="357"/>
      <c r="AE26" s="318"/>
      <c r="AF26" s="318"/>
      <c r="AG26" s="318"/>
      <c r="AH26" s="318"/>
      <c r="AI26" s="318"/>
      <c r="AJ26" s="318"/>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311"/>
      <c r="CH26" s="4"/>
      <c r="CI26" s="312"/>
      <c r="CJ26" s="316" t="str" cm="1">
        <f t="array" aca="1" ref="CJ26" ca="1">IF(CM26=0,"",INDEX(auto_Series_NameNumbered,CM26))</f>
        <v>2.5) Access to public transport</v>
      </c>
      <c r="CK26" s="314"/>
      <c r="CL26" s="4">
        <v>13</v>
      </c>
      <c r="CM26" s="12" cm="1">
        <f t="array" aca="1" ref="CM26" ca="1">INDEX(OFFSET(auto_ss_Overview,0,1,300,1),CL26)</f>
        <v>21</v>
      </c>
      <c r="CN26" s="12" cm="1">
        <f t="array" aca="1" ref="CN26" ca="1">IF(CM26=0,0,INDEX(auto_Series_Depth,CM26))</f>
        <v>2</v>
      </c>
      <c r="CO26" s="12">
        <f t="shared" ca="1" si="5"/>
        <v>0</v>
      </c>
      <c r="CP26" s="12">
        <f t="shared" ca="1" si="6"/>
        <v>1</v>
      </c>
      <c r="CQ26" s="4"/>
      <c r="CR26" s="4"/>
      <c r="CS26" s="4"/>
      <c r="CT26" s="4"/>
      <c r="CU26" s="4"/>
      <c r="CV26" s="4"/>
      <c r="CW26" s="4"/>
      <c r="CX26" s="4"/>
      <c r="CY26" s="4"/>
      <c r="CZ26" s="4"/>
      <c r="DA26" s="4"/>
      <c r="DB26" s="4"/>
      <c r="DC26" s="4"/>
      <c r="DD26" s="4"/>
      <c r="DE26" s="4"/>
      <c r="DF26" s="4"/>
      <c r="DG26" s="4"/>
    </row>
    <row r="27" spans="1:111" ht="16" customHeight="1" thickTop="1" thickBot="1" x14ac:dyDescent="0.45">
      <c r="A27" s="4"/>
      <c r="B27" s="4"/>
      <c r="C27" s="26">
        <v>11</v>
      </c>
      <c r="D27" s="26">
        <f ca="1">iMeasure_Overview!O26</f>
        <v>15</v>
      </c>
      <c r="E27" s="26">
        <f ca="1">iMeasure_Overview!P26</f>
        <v>1</v>
      </c>
      <c r="F27" s="26">
        <f t="shared" ca="1" si="3"/>
        <v>1</v>
      </c>
      <c r="G27" s="26">
        <f ca="1">iMeasure_Overview!Q26</f>
        <v>15</v>
      </c>
      <c r="H27" s="26" cm="1">
        <f t="array" aca="1" ref="H27" ca="1">INDEX(auto_DataFlat_Score,G27,$E$11)</f>
        <v>75.5</v>
      </c>
      <c r="I27" s="26" cm="1">
        <f t="array" aca="1" ref="I27" ca="1">IF(F27=0,-1,INDEX(auto_DataFlat_Classification,G27,$E$11))</f>
        <v>4</v>
      </c>
      <c r="J27" s="49"/>
      <c r="K27" s="49"/>
      <c r="L27" s="49"/>
      <c r="M27" s="49"/>
      <c r="N27" s="49"/>
      <c r="O27" s="49"/>
      <c r="P27" s="49"/>
      <c r="Q27" s="49"/>
      <c r="R27" s="49"/>
      <c r="S27" s="49"/>
      <c r="T27" s="319"/>
      <c r="U27" s="317" t="str" cm="1">
        <f t="array" aca="1" ref="U27" ca="1">INDEX(uxbGlobals!$B$133:$B$139,I27)</f>
        <v xml:space="preserve"> </v>
      </c>
      <c r="V27" s="318"/>
      <c r="W27" s="356" t="str" cm="1">
        <f t="array" aca="1" ref="W27" ca="1">IF(F27=0,"",INDEX(auto_ddCountry,D27))</f>
        <v>Helsinki</v>
      </c>
      <c r="X27" s="356"/>
      <c r="Y27" s="356"/>
      <c r="Z27" s="356"/>
      <c r="AA27" s="356"/>
      <c r="AB27" s="356"/>
      <c r="AC27" s="357">
        <f t="shared" ca="1" si="4"/>
        <v>75.5</v>
      </c>
      <c r="AD27" s="357"/>
      <c r="AE27" s="318"/>
      <c r="AF27" s="318"/>
      <c r="AG27" s="318"/>
      <c r="AH27" s="318"/>
      <c r="AI27" s="318"/>
      <c r="AJ27" s="318"/>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311"/>
      <c r="CH27" s="4"/>
      <c r="CI27" s="312"/>
      <c r="CJ27" s="315" t="str" cm="1">
        <f t="array" aca="1" ref="CJ27" ca="1">IF(CM27=0,"",INDEX(auto_Series_NameNumbered,CM27))</f>
        <v>3) HEALTH RISKS</v>
      </c>
      <c r="CK27" s="314"/>
      <c r="CL27" s="4">
        <v>14</v>
      </c>
      <c r="CM27" s="12" cm="1">
        <f t="array" aca="1" ref="CM27" ca="1">INDEX(OFFSET(auto_ss_Overview,0,1,300,1),CL27)</f>
        <v>22</v>
      </c>
      <c r="CN27" s="12" cm="1">
        <f t="array" aca="1" ref="CN27" ca="1">IF(CM27=0,0,INDEX(auto_Series_Depth,CM27))</f>
        <v>1</v>
      </c>
      <c r="CO27" s="12">
        <f t="shared" ca="1" si="5"/>
        <v>0</v>
      </c>
      <c r="CP27" s="12">
        <f t="shared" ca="1" si="6"/>
        <v>0</v>
      </c>
      <c r="CQ27" s="4"/>
      <c r="CR27" s="4"/>
      <c r="CS27" s="4"/>
      <c r="CT27" s="4"/>
      <c r="CU27" s="4"/>
      <c r="CV27" s="4"/>
      <c r="CW27" s="4"/>
      <c r="CX27" s="4"/>
      <c r="CY27" s="4"/>
      <c r="CZ27" s="4"/>
      <c r="DA27" s="4"/>
      <c r="DB27" s="4"/>
      <c r="DC27" s="4"/>
      <c r="DD27" s="4"/>
      <c r="DE27" s="4"/>
      <c r="DF27" s="4"/>
      <c r="DG27" s="4"/>
    </row>
    <row r="28" spans="1:111" ht="16" customHeight="1" thickTop="1" thickBot="1" x14ac:dyDescent="0.45">
      <c r="A28" s="4"/>
      <c r="B28" s="4"/>
      <c r="C28" s="26">
        <v>12</v>
      </c>
      <c r="D28" s="26">
        <f ca="1">iMeasure_Overview!O27</f>
        <v>48</v>
      </c>
      <c r="E28" s="26">
        <f ca="1">iMeasure_Overview!P27</f>
        <v>1</v>
      </c>
      <c r="F28" s="26">
        <f t="shared" ca="1" si="3"/>
        <v>1</v>
      </c>
      <c r="G28" s="26">
        <f ca="1">iMeasure_Overview!Q27</f>
        <v>48</v>
      </c>
      <c r="H28" s="26" cm="1">
        <f t="array" aca="1" ref="H28" ca="1">INDEX(auto_DataFlat_Score,G28,$E$11)</f>
        <v>75.099999999999994</v>
      </c>
      <c r="I28" s="26" cm="1">
        <f t="array" aca="1" ref="I28" ca="1">IF(F28=0,-1,INDEX(auto_DataFlat_Classification,G28,$E$11))</f>
        <v>4</v>
      </c>
      <c r="J28" s="49"/>
      <c r="K28" s="49"/>
      <c r="L28" s="49"/>
      <c r="M28" s="49"/>
      <c r="N28" s="49"/>
      <c r="O28" s="49"/>
      <c r="P28" s="49"/>
      <c r="Q28" s="49"/>
      <c r="R28" s="49"/>
      <c r="S28" s="49"/>
      <c r="T28" s="319"/>
      <c r="U28" s="317" t="str" cm="1">
        <f t="array" aca="1" ref="U28" ca="1">INDEX(uxbGlobals!$B$133:$B$139,I28)</f>
        <v xml:space="preserve"> </v>
      </c>
      <c r="V28" s="318"/>
      <c r="W28" s="356" t="str" cm="1">
        <f t="array" aca="1" ref="W28" ca="1">IF(F28=0,"",INDEX(auto_ddCountry,D28))</f>
        <v>Vienna</v>
      </c>
      <c r="X28" s="356"/>
      <c r="Y28" s="356"/>
      <c r="Z28" s="356"/>
      <c r="AA28" s="356"/>
      <c r="AB28" s="356"/>
      <c r="AC28" s="357">
        <f t="shared" ca="1" si="4"/>
        <v>75.099999999999994</v>
      </c>
      <c r="AD28" s="357"/>
      <c r="AE28" s="318"/>
      <c r="AF28" s="318"/>
      <c r="AG28" s="318"/>
      <c r="AH28" s="318"/>
      <c r="AI28" s="318"/>
      <c r="AJ28" s="318"/>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311"/>
      <c r="CH28" s="4"/>
      <c r="CI28" s="312"/>
      <c r="CJ28" s="316" t="str" cm="1">
        <f t="array" aca="1" ref="CJ28" ca="1">IF(CM28=0,"",INDEX(auto_Series_NameNumbered,CM28))</f>
        <v>3.1) Tobacco use</v>
      </c>
      <c r="CK28" s="314"/>
      <c r="CL28" s="4">
        <v>15</v>
      </c>
      <c r="CM28" s="12" cm="1">
        <f t="array" aca="1" ref="CM28" ca="1">INDEX(OFFSET(auto_ss_Overview,0,1,300,1),CL28)</f>
        <v>23</v>
      </c>
      <c r="CN28" s="12" cm="1">
        <f t="array" aca="1" ref="CN28" ca="1">IF(CM28=0,0,INDEX(auto_Series_Depth,CM28))</f>
        <v>2</v>
      </c>
      <c r="CO28" s="12">
        <f t="shared" ca="1" si="5"/>
        <v>0</v>
      </c>
      <c r="CP28" s="12">
        <f t="shared" ca="1" si="6"/>
        <v>1</v>
      </c>
      <c r="CQ28" s="4"/>
      <c r="CR28" s="4"/>
      <c r="CS28" s="4"/>
      <c r="CT28" s="4"/>
      <c r="CU28" s="4"/>
      <c r="CV28" s="4"/>
      <c r="CW28" s="4"/>
      <c r="CX28" s="4"/>
      <c r="CY28" s="4"/>
      <c r="CZ28" s="4"/>
      <c r="DA28" s="4"/>
      <c r="DB28" s="4"/>
      <c r="DC28" s="4"/>
      <c r="DD28" s="4"/>
      <c r="DE28" s="4"/>
      <c r="DF28" s="4"/>
      <c r="DG28" s="4"/>
    </row>
    <row r="29" spans="1:111" ht="16" customHeight="1" thickTop="1" thickBot="1" x14ac:dyDescent="0.45">
      <c r="A29" s="4"/>
      <c r="B29" s="4"/>
      <c r="C29" s="26">
        <v>13</v>
      </c>
      <c r="D29" s="26">
        <f ca="1">iMeasure_Overview!O28</f>
        <v>35</v>
      </c>
      <c r="E29" s="26">
        <f ca="1">iMeasure_Overview!P28</f>
        <v>1</v>
      </c>
      <c r="F29" s="26">
        <f t="shared" ca="1" si="3"/>
        <v>1</v>
      </c>
      <c r="G29" s="26">
        <f ca="1">iMeasure_Overview!Q28</f>
        <v>35</v>
      </c>
      <c r="H29" s="26" cm="1">
        <f t="array" aca="1" ref="H29" ca="1">INDEX(auto_DataFlat_Score,G29,$E$11)</f>
        <v>74.2</v>
      </c>
      <c r="I29" s="26" cm="1">
        <f t="array" aca="1" ref="I29" ca="1">IF(F29=0,-1,INDEX(auto_DataFlat_Classification,G29,$E$11))</f>
        <v>4</v>
      </c>
      <c r="J29" s="49"/>
      <c r="K29" s="49"/>
      <c r="L29" s="49"/>
      <c r="M29" s="49"/>
      <c r="N29" s="49"/>
      <c r="O29" s="49"/>
      <c r="P29" s="49"/>
      <c r="Q29" s="49"/>
      <c r="R29" s="49"/>
      <c r="S29" s="49"/>
      <c r="T29" s="319"/>
      <c r="U29" s="317" t="str" cm="1">
        <f t="array" aca="1" ref="U29" ca="1">INDEX(uxbGlobals!$B$133:$B$139,I29)</f>
        <v xml:space="preserve"> </v>
      </c>
      <c r="V29" s="318"/>
      <c r="W29" s="356" t="str" cm="1">
        <f t="array" aca="1" ref="W29" ca="1">IF(F29=0,"",INDEX(auto_ddCountry,D29))</f>
        <v>Osaka</v>
      </c>
      <c r="X29" s="356"/>
      <c r="Y29" s="356"/>
      <c r="Z29" s="356"/>
      <c r="AA29" s="356"/>
      <c r="AB29" s="356"/>
      <c r="AC29" s="357">
        <f t="shared" ca="1" si="4"/>
        <v>74.2</v>
      </c>
      <c r="AD29" s="357"/>
      <c r="AE29" s="318"/>
      <c r="AF29" s="318"/>
      <c r="AG29" s="318"/>
      <c r="AH29" s="318"/>
      <c r="AI29" s="318"/>
      <c r="AJ29" s="318"/>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311"/>
      <c r="CH29" s="4"/>
      <c r="CI29" s="312"/>
      <c r="CJ29" s="316" t="str" cm="1">
        <f t="array" aca="1" ref="CJ29" ca="1">IF(CM29=0,"",INDEX(auto_Series_NameNumbered,CM29))</f>
        <v>3.2) Vegetable consumption</v>
      </c>
      <c r="CK29" s="314"/>
      <c r="CL29" s="4">
        <v>16</v>
      </c>
      <c r="CM29" s="12" cm="1">
        <f t="array" aca="1" ref="CM29" ca="1">INDEX(OFFSET(auto_ss_Overview,0,1,300,1),CL29)</f>
        <v>26</v>
      </c>
      <c r="CN29" s="12" cm="1">
        <f t="array" aca="1" ref="CN29" ca="1">IF(CM29=0,0,INDEX(auto_Series_Depth,CM29))</f>
        <v>2</v>
      </c>
      <c r="CO29" s="12">
        <f t="shared" ca="1" si="5"/>
        <v>0</v>
      </c>
      <c r="CP29" s="12">
        <f t="shared" ca="1" si="6"/>
        <v>1</v>
      </c>
      <c r="CQ29" s="4"/>
      <c r="CR29" s="4"/>
      <c r="CS29" s="4"/>
      <c r="CT29" s="4"/>
      <c r="CU29" s="4"/>
      <c r="CV29" s="4"/>
      <c r="CW29" s="4"/>
      <c r="CX29" s="4"/>
      <c r="CY29" s="4"/>
      <c r="CZ29" s="4"/>
      <c r="DA29" s="4"/>
      <c r="DB29" s="4"/>
      <c r="DC29" s="4"/>
      <c r="DD29" s="4"/>
      <c r="DE29" s="4"/>
      <c r="DF29" s="4"/>
      <c r="DG29" s="4"/>
    </row>
    <row r="30" spans="1:111" ht="16" customHeight="1" thickTop="1" thickBot="1" x14ac:dyDescent="0.45">
      <c r="A30" s="4"/>
      <c r="B30" s="4"/>
      <c r="C30" s="26">
        <v>14</v>
      </c>
      <c r="D30" s="26">
        <f ca="1">iMeasure_Overview!O29</f>
        <v>40</v>
      </c>
      <c r="E30" s="26">
        <f ca="1">iMeasure_Overview!P29</f>
        <v>1</v>
      </c>
      <c r="F30" s="26">
        <f t="shared" ca="1" si="3"/>
        <v>1</v>
      </c>
      <c r="G30" s="26">
        <f ca="1">iMeasure_Overview!Q29</f>
        <v>40</v>
      </c>
      <c r="H30" s="26" cm="1">
        <f t="array" aca="1" ref="H30" ca="1">INDEX(auto_DataFlat_Score,G30,$E$11)</f>
        <v>72</v>
      </c>
      <c r="I30" s="26" cm="1">
        <f t="array" aca="1" ref="I30" ca="1">IF(F30=0,-1,INDEX(auto_DataFlat_Classification,G30,$E$11))</f>
        <v>4</v>
      </c>
      <c r="J30" s="4"/>
      <c r="K30" s="4"/>
      <c r="L30" s="4"/>
      <c r="M30" s="4"/>
      <c r="N30" s="4"/>
      <c r="O30" s="4"/>
      <c r="P30" s="4"/>
      <c r="Q30" s="4"/>
      <c r="R30" s="4"/>
      <c r="S30" s="4"/>
      <c r="T30" s="273"/>
      <c r="U30" s="317" t="str" cm="1">
        <f t="array" aca="1" ref="U30" ca="1">INDEX(uxbGlobals!$B$133:$B$139,I30)</f>
        <v xml:space="preserve"> </v>
      </c>
      <c r="V30" s="318"/>
      <c r="W30" s="356" t="str" cm="1">
        <f t="array" aca="1" ref="W30" ca="1">IF(F30=0,"",INDEX(auto_ddCountry,D30))</f>
        <v>San Francisco</v>
      </c>
      <c r="X30" s="356"/>
      <c r="Y30" s="356"/>
      <c r="Z30" s="356"/>
      <c r="AA30" s="356"/>
      <c r="AB30" s="356"/>
      <c r="AC30" s="357">
        <f t="shared" ca="1" si="4"/>
        <v>72</v>
      </c>
      <c r="AD30" s="357"/>
      <c r="AE30" s="318"/>
      <c r="AF30" s="318"/>
      <c r="AG30" s="318"/>
      <c r="AH30" s="318"/>
      <c r="AI30" s="318"/>
      <c r="AJ30" s="318"/>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311"/>
      <c r="CH30" s="4"/>
      <c r="CI30" s="312"/>
      <c r="CJ30" s="316" t="str" cm="1">
        <f t="array" aca="1" ref="CJ30" ca="1">IF(CM30=0,"",INDEX(auto_Series_NameNumbered,CM30))</f>
        <v>3.3) Trans fats consumption</v>
      </c>
      <c r="CK30" s="314"/>
      <c r="CL30" s="4">
        <v>17</v>
      </c>
      <c r="CM30" s="12" cm="1">
        <f t="array" aca="1" ref="CM30" ca="1">INDEX(OFFSET(auto_ss_Overview,0,1,300,1),CL30)</f>
        <v>29</v>
      </c>
      <c r="CN30" s="12" cm="1">
        <f t="array" aca="1" ref="CN30" ca="1">IF(CM30=0,0,INDEX(auto_Series_Depth,CM30))</f>
        <v>2</v>
      </c>
      <c r="CO30" s="12">
        <f ca="1">IF(CM30=$E$10,1,0)</f>
        <v>0</v>
      </c>
      <c r="CP30" s="12">
        <f ca="1">IF(CN30=1,0,IF(CM30=0,0,1))</f>
        <v>1</v>
      </c>
      <c r="CQ30" s="4"/>
      <c r="CR30" s="4"/>
      <c r="CS30" s="4"/>
      <c r="CT30" s="4"/>
      <c r="CU30" s="4"/>
      <c r="CV30" s="4"/>
      <c r="CW30" s="4"/>
      <c r="CX30" s="4"/>
      <c r="CY30" s="4"/>
      <c r="CZ30" s="4"/>
      <c r="DA30" s="4"/>
      <c r="DB30" s="4"/>
      <c r="DC30" s="4"/>
      <c r="DD30" s="4"/>
      <c r="DE30" s="4"/>
      <c r="DF30" s="4"/>
      <c r="DG30" s="4"/>
    </row>
    <row r="31" spans="1:111" ht="16" customHeight="1" thickTop="1" thickBot="1" x14ac:dyDescent="0.45">
      <c r="A31" s="4"/>
      <c r="B31" s="4"/>
      <c r="C31" s="26">
        <v>15</v>
      </c>
      <c r="D31" s="26">
        <f ca="1">iMeasure_Overview!O30</f>
        <v>19</v>
      </c>
      <c r="E31" s="26">
        <f ca="1">iMeasure_Overview!P30</f>
        <v>1</v>
      </c>
      <c r="F31" s="26">
        <f t="shared" ca="1" si="3"/>
        <v>1</v>
      </c>
      <c r="G31" s="26">
        <f ca="1">iMeasure_Overview!Q30</f>
        <v>19</v>
      </c>
      <c r="H31" s="26" cm="1">
        <f t="array" aca="1" ref="H31" ca="1">INDEX(auto_DataFlat_Score,G31,$E$11)</f>
        <v>71.7</v>
      </c>
      <c r="I31" s="26" cm="1">
        <f t="array" aca="1" ref="I31" ca="1">IF(F31=0,-1,INDEX(auto_DataFlat_Classification,G31,$E$11))</f>
        <v>4</v>
      </c>
      <c r="J31" s="4"/>
      <c r="K31" s="4"/>
      <c r="L31" s="4"/>
      <c r="M31" s="4"/>
      <c r="N31" s="4"/>
      <c r="O31" s="4"/>
      <c r="P31" s="4"/>
      <c r="Q31" s="4"/>
      <c r="R31" s="4"/>
      <c r="S31" s="4"/>
      <c r="T31" s="273"/>
      <c r="U31" s="317" t="str" cm="1">
        <f t="array" aca="1" ref="U31" ca="1">INDEX(uxbGlobals!$B$133:$B$139,I31)</f>
        <v xml:space="preserve"> </v>
      </c>
      <c r="V31" s="318"/>
      <c r="W31" s="356" t="str" cm="1">
        <f t="array" aca="1" ref="W31" ca="1">IF(F31=0,"",INDEX(auto_ddCountry,D31))</f>
        <v>Jakarta</v>
      </c>
      <c r="X31" s="356"/>
      <c r="Y31" s="356"/>
      <c r="Z31" s="356"/>
      <c r="AA31" s="356"/>
      <c r="AB31" s="356"/>
      <c r="AC31" s="357">
        <f t="shared" ca="1" si="4"/>
        <v>71.7</v>
      </c>
      <c r="AD31" s="357"/>
      <c r="AE31" s="318"/>
      <c r="AF31" s="318"/>
      <c r="AG31" s="318"/>
      <c r="AH31" s="318"/>
      <c r="AI31" s="318"/>
      <c r="AJ31" s="318"/>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311"/>
      <c r="CH31" s="4"/>
      <c r="CI31" s="312"/>
      <c r="CJ31" s="316" t="str" cm="1">
        <f t="array" aca="1" ref="CJ31" ca="1">IF(CM31=0,"",INDEX(auto_Series_NameNumbered,CM31))</f>
        <v>3.4) Physical activity</v>
      </c>
      <c r="CK31" s="314"/>
      <c r="CL31" s="4">
        <v>18</v>
      </c>
      <c r="CM31" s="12" cm="1">
        <f t="array" aca="1" ref="CM31" ca="1">INDEX(OFFSET(auto_ss_Overview,0,1,300,1),CL31)</f>
        <v>32</v>
      </c>
      <c r="CN31" s="12" cm="1">
        <f t="array" aca="1" ref="CN31" ca="1">IF(CM31=0,0,INDEX(auto_Series_Depth,CM31))</f>
        <v>2</v>
      </c>
      <c r="CO31" s="12">
        <f t="shared" ref="CO31:CO36" ca="1" si="7">IF(CM31=$E$10,1,0)</f>
        <v>0</v>
      </c>
      <c r="CP31" s="12">
        <f t="shared" ref="CP31:CP36" ca="1" si="8">IF(CN31=1,0,IF(CM31=0,0,1))</f>
        <v>1</v>
      </c>
      <c r="CQ31" s="4"/>
      <c r="CR31" s="4"/>
      <c r="CS31" s="4"/>
      <c r="CT31" s="4"/>
      <c r="CU31" s="4"/>
      <c r="CV31" s="4"/>
      <c r="CW31" s="4"/>
      <c r="CX31" s="4"/>
      <c r="CY31" s="4"/>
      <c r="CZ31" s="4"/>
      <c r="DA31" s="4"/>
      <c r="DB31" s="4"/>
      <c r="DC31" s="4"/>
      <c r="DD31" s="4"/>
      <c r="DE31" s="4"/>
      <c r="DF31" s="4"/>
      <c r="DG31" s="4"/>
    </row>
    <row r="32" spans="1:111" ht="16" customHeight="1" thickTop="1" thickBot="1" x14ac:dyDescent="0.45">
      <c r="A32" s="4"/>
      <c r="B32" s="4"/>
      <c r="C32" s="26">
        <v>16</v>
      </c>
      <c r="D32" s="26">
        <f ca="1">iMeasure_Overview!O31</f>
        <v>4</v>
      </c>
      <c r="E32" s="26">
        <f ca="1">iMeasure_Overview!P31</f>
        <v>1</v>
      </c>
      <c r="F32" s="26">
        <f t="shared" ref="F32:F49" ca="1" si="9">IF(E32=0,1,E32)</f>
        <v>1</v>
      </c>
      <c r="G32" s="26">
        <f ca="1">iMeasure_Overview!Q31</f>
        <v>4</v>
      </c>
      <c r="H32" s="26" cm="1">
        <f t="array" aca="1" ref="H32" ca="1">INDEX(auto_DataFlat_Score,G32,$E$11)</f>
        <v>71</v>
      </c>
      <c r="I32" s="26" cm="1">
        <f t="array" aca="1" ref="I32" ca="1">IF(F32=0,-1,INDEX(auto_DataFlat_Classification,G32,$E$11))</f>
        <v>4</v>
      </c>
      <c r="J32" s="4"/>
      <c r="K32" s="4"/>
      <c r="L32" s="4"/>
      <c r="M32" s="4"/>
      <c r="N32" s="4"/>
      <c r="O32" s="4"/>
      <c r="P32" s="4"/>
      <c r="Q32" s="4"/>
      <c r="R32" s="4"/>
      <c r="S32" s="4"/>
      <c r="T32" s="273"/>
      <c r="U32" s="317" t="str" cm="1">
        <f t="array" aca="1" ref="U32" ca="1">INDEX(uxbGlobals!$B$133:$B$139,I32)</f>
        <v xml:space="preserve"> </v>
      </c>
      <c r="V32" s="318"/>
      <c r="W32" s="356" t="str" cm="1">
        <f t="array" aca="1" ref="W32" ca="1">IF(F32=0,"",INDEX(auto_ddCountry,D32))</f>
        <v>Auckland</v>
      </c>
      <c r="X32" s="356"/>
      <c r="Y32" s="356"/>
      <c r="Z32" s="356"/>
      <c r="AA32" s="356"/>
      <c r="AB32" s="356"/>
      <c r="AC32" s="357">
        <f t="shared" ca="1" si="4"/>
        <v>71</v>
      </c>
      <c r="AD32" s="357"/>
      <c r="AE32" s="318"/>
      <c r="AF32" s="318"/>
      <c r="AG32" s="318"/>
      <c r="AH32" s="318"/>
      <c r="AI32" s="318"/>
      <c r="AJ32" s="318"/>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311"/>
      <c r="CH32" s="4"/>
      <c r="CI32" s="312"/>
      <c r="CJ32" s="316" t="str" cm="1">
        <f t="array" aca="1" ref="CJ32" ca="1">IF(CM32=0,"",INDEX(auto_Series_NameNumbered,CM32))</f>
        <v>3.5) Hypertension</v>
      </c>
      <c r="CK32" s="314"/>
      <c r="CL32" s="4">
        <v>19</v>
      </c>
      <c r="CM32" s="12" cm="1">
        <f t="array" aca="1" ref="CM32" ca="1">INDEX(OFFSET(auto_ss_Overview,0,1,300,1),CL32)</f>
        <v>35</v>
      </c>
      <c r="CN32" s="12" cm="1">
        <f t="array" aca="1" ref="CN32" ca="1">IF(CM32=0,0,INDEX(auto_Series_Depth,CM32))</f>
        <v>2</v>
      </c>
      <c r="CO32" s="12">
        <f t="shared" ca="1" si="7"/>
        <v>0</v>
      </c>
      <c r="CP32" s="12">
        <f t="shared" ca="1" si="8"/>
        <v>1</v>
      </c>
      <c r="CQ32" s="4"/>
      <c r="CR32" s="4"/>
      <c r="CS32" s="4"/>
      <c r="CT32" s="4"/>
      <c r="CU32" s="4"/>
      <c r="CV32" s="4"/>
      <c r="CW32" s="4"/>
      <c r="CX32" s="4"/>
      <c r="CY32" s="4"/>
      <c r="CZ32" s="4"/>
      <c r="DA32" s="4"/>
      <c r="DB32" s="4"/>
      <c r="DC32" s="4"/>
      <c r="DD32" s="4"/>
      <c r="DE32" s="4"/>
      <c r="DF32" s="4"/>
      <c r="DG32" s="4"/>
    </row>
    <row r="33" spans="1:111" ht="16" customHeight="1" thickTop="1" thickBot="1" x14ac:dyDescent="0.45">
      <c r="A33" s="4"/>
      <c r="B33" s="4"/>
      <c r="C33" s="26">
        <v>17</v>
      </c>
      <c r="D33" s="26">
        <f ca="1">iMeasure_Overview!O32</f>
        <v>45</v>
      </c>
      <c r="E33" s="26">
        <f ca="1">iMeasure_Overview!P32</f>
        <v>1</v>
      </c>
      <c r="F33" s="26">
        <f t="shared" ca="1" si="9"/>
        <v>1</v>
      </c>
      <c r="G33" s="26">
        <f ca="1">iMeasure_Overview!Q32</f>
        <v>45</v>
      </c>
      <c r="H33" s="26" cm="1">
        <f t="array" aca="1" ref="H33" ca="1">INDEX(auto_DataFlat_Score,G33,$E$11)</f>
        <v>70.5</v>
      </c>
      <c r="I33" s="26" cm="1">
        <f t="array" aca="1" ref="I33" ca="1">IF(F33=0,-1,INDEX(auto_DataFlat_Classification,G33,$E$11))</f>
        <v>4</v>
      </c>
      <c r="J33" s="4"/>
      <c r="K33" s="4"/>
      <c r="L33" s="4"/>
      <c r="M33" s="4"/>
      <c r="N33" s="4"/>
      <c r="O33" s="4"/>
      <c r="P33" s="4"/>
      <c r="Q33" s="4"/>
      <c r="R33" s="4"/>
      <c r="S33" s="4"/>
      <c r="T33" s="273"/>
      <c r="U33" s="317" t="str" cm="1">
        <f t="array" aca="1" ref="U33" ca="1">INDEX(uxbGlobals!$B$133:$B$139,I33)</f>
        <v xml:space="preserve"> </v>
      </c>
      <c r="V33" s="318"/>
      <c r="W33" s="356" t="str" cm="1">
        <f t="array" aca="1" ref="W33" ca="1">IF(F33=0,"",INDEX(auto_ddCountry,D33))</f>
        <v>Sydney</v>
      </c>
      <c r="X33" s="356"/>
      <c r="Y33" s="356"/>
      <c r="Z33" s="356"/>
      <c r="AA33" s="356"/>
      <c r="AB33" s="356"/>
      <c r="AC33" s="357">
        <f t="shared" ca="1" si="4"/>
        <v>70.5</v>
      </c>
      <c r="AD33" s="357"/>
      <c r="AE33" s="318"/>
      <c r="AF33" s="318"/>
      <c r="AG33" s="318"/>
      <c r="AH33" s="318"/>
      <c r="AI33" s="318"/>
      <c r="AJ33" s="318"/>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311"/>
      <c r="CH33" s="4"/>
      <c r="CI33" s="312"/>
      <c r="CJ33" s="316" t="str" cm="1">
        <f t="array" aca="1" ref="CJ33" ca="1">IF(CM33=0,"",INDEX(auto_Series_NameNumbered,CM33))</f>
        <v>3.6) Diabetes</v>
      </c>
      <c r="CK33" s="314"/>
      <c r="CL33" s="4">
        <v>20</v>
      </c>
      <c r="CM33" s="12" cm="1">
        <f t="array" aca="1" ref="CM33" ca="1">INDEX(OFFSET(auto_ss_Overview,0,1,300,1),CL33)</f>
        <v>38</v>
      </c>
      <c r="CN33" s="12" cm="1">
        <f t="array" aca="1" ref="CN33" ca="1">IF(CM33=0,0,INDEX(auto_Series_Depth,CM33))</f>
        <v>2</v>
      </c>
      <c r="CO33" s="12">
        <f t="shared" ca="1" si="7"/>
        <v>0</v>
      </c>
      <c r="CP33" s="12">
        <f t="shared" ca="1" si="8"/>
        <v>1</v>
      </c>
      <c r="CQ33" s="4"/>
      <c r="CR33" s="4"/>
      <c r="CS33" s="4"/>
      <c r="CT33" s="4"/>
      <c r="CU33" s="4"/>
      <c r="CV33" s="4"/>
      <c r="CW33" s="4"/>
      <c r="CX33" s="4"/>
      <c r="CY33" s="4"/>
      <c r="CZ33" s="4"/>
      <c r="DA33" s="4"/>
      <c r="DB33" s="4"/>
      <c r="DC33" s="4"/>
      <c r="DD33" s="4"/>
      <c r="DE33" s="4"/>
      <c r="DF33" s="4"/>
      <c r="DG33" s="4"/>
    </row>
    <row r="34" spans="1:111" ht="16" customHeight="1" thickTop="1" thickBot="1" x14ac:dyDescent="0.45">
      <c r="A34" s="4"/>
      <c r="B34" s="4"/>
      <c r="C34" s="26">
        <v>18</v>
      </c>
      <c r="D34" s="26">
        <f ca="1">iMeasure_Overview!O33</f>
        <v>8</v>
      </c>
      <c r="E34" s="26">
        <f ca="1">iMeasure_Overview!P33</f>
        <v>1</v>
      </c>
      <c r="F34" s="26">
        <f t="shared" ca="1" si="9"/>
        <v>1</v>
      </c>
      <c r="G34" s="26">
        <f ca="1">iMeasure_Overview!Q33</f>
        <v>8</v>
      </c>
      <c r="H34" s="26" cm="1">
        <f t="array" aca="1" ref="H34" ca="1">INDEX(auto_DataFlat_Score,G34,$E$11)</f>
        <v>69.7</v>
      </c>
      <c r="I34" s="26" cm="1">
        <f t="array" aca="1" ref="I34" ca="1">IF(F34=0,-1,INDEX(auto_DataFlat_Classification,G34,$E$11))</f>
        <v>4</v>
      </c>
      <c r="J34" s="4"/>
      <c r="K34" s="4"/>
      <c r="L34" s="4"/>
      <c r="M34" s="4"/>
      <c r="N34" s="4"/>
      <c r="O34" s="4"/>
      <c r="P34" s="4"/>
      <c r="Q34" s="4"/>
      <c r="R34" s="4"/>
      <c r="S34" s="4"/>
      <c r="T34" s="273"/>
      <c r="U34" s="317" t="str" cm="1">
        <f t="array" aca="1" ref="U34" ca="1">INDEX(uxbGlobals!$B$133:$B$139,I34)</f>
        <v xml:space="preserve"> </v>
      </c>
      <c r="V34" s="318"/>
      <c r="W34" s="356" t="str" cm="1">
        <f t="array" aca="1" ref="W34" ca="1">IF(F34=0,"",INDEX(auto_ddCountry,D34))</f>
        <v>Bogotá</v>
      </c>
      <c r="X34" s="356"/>
      <c r="Y34" s="356"/>
      <c r="Z34" s="356"/>
      <c r="AA34" s="356"/>
      <c r="AB34" s="356"/>
      <c r="AC34" s="357">
        <f t="shared" ca="1" si="4"/>
        <v>69.7</v>
      </c>
      <c r="AD34" s="357"/>
      <c r="AE34" s="318"/>
      <c r="AF34" s="318"/>
      <c r="AG34" s="318"/>
      <c r="AH34" s="318"/>
      <c r="AI34" s="318"/>
      <c r="AJ34" s="318"/>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311"/>
      <c r="CH34" s="4"/>
      <c r="CI34" s="312"/>
      <c r="CJ34" s="316" t="str" cm="1">
        <f t="array" aca="1" ref="CJ34" ca="1">IF(CM34=0,"",INDEX(auto_Series_NameNumbered,CM34))</f>
        <v>3.7) Obesity</v>
      </c>
      <c r="CK34" s="314"/>
      <c r="CL34" s="4">
        <v>21</v>
      </c>
      <c r="CM34" s="12" cm="1">
        <f t="array" aca="1" ref="CM34" ca="1">INDEX(OFFSET(auto_ss_Overview,0,1,300,1),CL34)</f>
        <v>41</v>
      </c>
      <c r="CN34" s="12" cm="1">
        <f t="array" aca="1" ref="CN34" ca="1">IF(CM34=0,0,INDEX(auto_Series_Depth,CM34))</f>
        <v>2</v>
      </c>
      <c r="CO34" s="12">
        <f t="shared" ca="1" si="7"/>
        <v>0</v>
      </c>
      <c r="CP34" s="12">
        <f t="shared" ca="1" si="8"/>
        <v>1</v>
      </c>
      <c r="CQ34" s="4"/>
      <c r="CR34" s="4"/>
      <c r="CS34" s="4"/>
      <c r="CT34" s="4"/>
      <c r="CU34" s="4"/>
      <c r="CV34" s="4"/>
      <c r="CW34" s="4"/>
      <c r="CX34" s="4"/>
      <c r="CY34" s="4"/>
      <c r="CZ34" s="4"/>
      <c r="DA34" s="4"/>
      <c r="DB34" s="4"/>
      <c r="DC34" s="4"/>
      <c r="DD34" s="4"/>
      <c r="DE34" s="4"/>
      <c r="DF34" s="4"/>
      <c r="DG34" s="4"/>
    </row>
    <row r="35" spans="1:111" ht="16" customHeight="1" thickTop="1" thickBot="1" x14ac:dyDescent="0.45">
      <c r="A35" s="4"/>
      <c r="B35" s="4"/>
      <c r="C35" s="26">
        <v>19</v>
      </c>
      <c r="D35" s="26">
        <f ca="1">iMeasure_Overview!O34</f>
        <v>9</v>
      </c>
      <c r="E35" s="26">
        <f ca="1">iMeasure_Overview!P34</f>
        <v>1</v>
      </c>
      <c r="F35" s="26">
        <f t="shared" ca="1" si="9"/>
        <v>1</v>
      </c>
      <c r="G35" s="26">
        <f ca="1">iMeasure_Overview!Q34</f>
        <v>9</v>
      </c>
      <c r="H35" s="26" cm="1">
        <f t="array" aca="1" ref="H35" ca="1">INDEX(auto_DataFlat_Score,G35,$E$11)</f>
        <v>69.5</v>
      </c>
      <c r="I35" s="26" cm="1">
        <f t="array" aca="1" ref="I35" ca="1">IF(F35=0,-1,INDEX(auto_DataFlat_Classification,G35,$E$11))</f>
        <v>4</v>
      </c>
      <c r="J35" s="4"/>
      <c r="K35" s="4"/>
      <c r="L35" s="4"/>
      <c r="M35" s="4"/>
      <c r="N35" s="4"/>
      <c r="O35" s="4"/>
      <c r="P35" s="4"/>
      <c r="Q35" s="4"/>
      <c r="R35" s="4"/>
      <c r="S35" s="4"/>
      <c r="T35" s="273"/>
      <c r="U35" s="317" t="str" cm="1">
        <f t="array" aca="1" ref="U35" ca="1">INDEX(uxbGlobals!$B$133:$B$139,I35)</f>
        <v xml:space="preserve"> </v>
      </c>
      <c r="V35" s="318"/>
      <c r="W35" s="356" t="str" cm="1">
        <f t="array" aca="1" ref="W35" ca="1">IF(F35=0,"",INDEX(auto_ddCountry,D35))</f>
        <v>Budapest</v>
      </c>
      <c r="X35" s="356"/>
      <c r="Y35" s="356"/>
      <c r="Z35" s="356"/>
      <c r="AA35" s="356"/>
      <c r="AB35" s="356"/>
      <c r="AC35" s="357">
        <f t="shared" ca="1" si="4"/>
        <v>69.5</v>
      </c>
      <c r="AD35" s="357"/>
      <c r="AE35" s="318"/>
      <c r="AF35" s="318"/>
      <c r="AG35" s="318"/>
      <c r="AH35" s="318"/>
      <c r="AI35" s="318"/>
      <c r="AJ35" s="318"/>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311"/>
      <c r="CH35" s="4"/>
      <c r="CI35" s="312"/>
      <c r="CJ35" s="316" t="str" cm="1">
        <f t="array" aca="1" ref="CJ35" ca="1">IF(CM35=0,"",INDEX(auto_Series_NameNumbered,CM35))</f>
        <v>3.8) Cholesterol</v>
      </c>
      <c r="CK35" s="314"/>
      <c r="CL35" s="4">
        <v>22</v>
      </c>
      <c r="CM35" s="12" cm="1">
        <f t="array" aca="1" ref="CM35" ca="1">INDEX(OFFSET(auto_ss_Overview,0,1,300,1),CL35)</f>
        <v>44</v>
      </c>
      <c r="CN35" s="12" cm="1">
        <f t="array" aca="1" ref="CN35" ca="1">IF(CM35=0,0,INDEX(auto_Series_Depth,CM35))</f>
        <v>2</v>
      </c>
      <c r="CO35" s="12">
        <f t="shared" ca="1" si="7"/>
        <v>0</v>
      </c>
      <c r="CP35" s="12">
        <f t="shared" ca="1" si="8"/>
        <v>1</v>
      </c>
      <c r="CQ35" s="4"/>
      <c r="CR35" s="4"/>
      <c r="CS35" s="4"/>
      <c r="CT35" s="4"/>
      <c r="CU35" s="4"/>
      <c r="CV35" s="4"/>
      <c r="CW35" s="4"/>
      <c r="CX35" s="4"/>
      <c r="CY35" s="4"/>
      <c r="CZ35" s="4"/>
      <c r="DA35" s="4"/>
      <c r="DB35" s="4"/>
      <c r="DC35" s="4"/>
      <c r="DD35" s="4"/>
      <c r="DE35" s="4"/>
      <c r="DF35" s="4"/>
      <c r="DG35" s="4"/>
    </row>
    <row r="36" spans="1:111" ht="16" customHeight="1" thickTop="1" thickBot="1" x14ac:dyDescent="0.45">
      <c r="A36" s="4"/>
      <c r="B36" s="4"/>
      <c r="C36" s="26">
        <v>20</v>
      </c>
      <c r="D36" s="26">
        <f ca="1">iMeasure_Overview!O35</f>
        <v>5</v>
      </c>
      <c r="E36" s="26">
        <f ca="1">iMeasure_Overview!P35</f>
        <v>1</v>
      </c>
      <c r="F36" s="26">
        <f t="shared" ca="1" si="9"/>
        <v>1</v>
      </c>
      <c r="G36" s="26">
        <f ca="1">iMeasure_Overview!Q35</f>
        <v>5</v>
      </c>
      <c r="H36" s="26" cm="1">
        <f t="array" aca="1" ref="H36" ca="1">INDEX(auto_DataFlat_Score,G36,$E$11)</f>
        <v>68.8</v>
      </c>
      <c r="I36" s="26" cm="1">
        <f t="array" aca="1" ref="I36" ca="1">IF(F36=0,-1,INDEX(auto_DataFlat_Classification,G36,$E$11))</f>
        <v>4</v>
      </c>
      <c r="J36" s="4"/>
      <c r="K36" s="4"/>
      <c r="L36" s="4"/>
      <c r="M36" s="4"/>
      <c r="N36" s="4"/>
      <c r="O36" s="4"/>
      <c r="P36" s="4"/>
      <c r="Q36" s="4"/>
      <c r="R36" s="4"/>
      <c r="S36" s="4"/>
      <c r="T36" s="273"/>
      <c r="U36" s="317" t="str" cm="1">
        <f t="array" aca="1" ref="U36" ca="1">INDEX(uxbGlobals!$B$133:$B$139,I36)</f>
        <v xml:space="preserve"> </v>
      </c>
      <c r="V36" s="318"/>
      <c r="W36" s="356" t="str" cm="1">
        <f t="array" aca="1" ref="W36" ca="1">IF(F36=0,"",INDEX(auto_ddCountry,D36))</f>
        <v>Bangkok</v>
      </c>
      <c r="X36" s="356"/>
      <c r="Y36" s="356"/>
      <c r="Z36" s="356"/>
      <c r="AA36" s="356"/>
      <c r="AB36" s="356"/>
      <c r="AC36" s="357">
        <f t="shared" ca="1" si="4"/>
        <v>68.8</v>
      </c>
      <c r="AD36" s="357"/>
      <c r="AE36" s="318"/>
      <c r="AF36" s="318"/>
      <c r="AG36" s="318"/>
      <c r="AH36" s="318"/>
      <c r="AI36" s="318"/>
      <c r="AJ36" s="318"/>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311"/>
      <c r="CH36" s="4"/>
      <c r="CI36" s="312"/>
      <c r="CJ36" s="315" t="str" cm="1">
        <f t="array" aca="1" ref="CJ36" ca="1">IF(CM36=0,"",INDEX(auto_Series_NameNumbered,CM36))</f>
        <v>4) HEALTH SERVICES</v>
      </c>
      <c r="CK36" s="314"/>
      <c r="CL36" s="4">
        <v>23</v>
      </c>
      <c r="CM36" s="12" cm="1">
        <f t="array" aca="1" ref="CM36" ca="1">INDEX(OFFSET(auto_ss_Overview,0,1,300,1),CL36)</f>
        <v>47</v>
      </c>
      <c r="CN36" s="12" cm="1">
        <f t="array" aca="1" ref="CN36" ca="1">IF(CM36=0,0,INDEX(auto_Series_Depth,CM36))</f>
        <v>1</v>
      </c>
      <c r="CO36" s="12">
        <f t="shared" ca="1" si="7"/>
        <v>0</v>
      </c>
      <c r="CP36" s="12">
        <f t="shared" ca="1" si="8"/>
        <v>0</v>
      </c>
      <c r="CQ36" s="4"/>
      <c r="CR36" s="4"/>
      <c r="CS36" s="4"/>
      <c r="CT36" s="4"/>
      <c r="CU36" s="4"/>
      <c r="CV36" s="4"/>
      <c r="CW36" s="4"/>
      <c r="CX36" s="4"/>
      <c r="CY36" s="4"/>
      <c r="CZ36" s="4"/>
      <c r="DA36" s="4"/>
      <c r="DB36" s="4"/>
      <c r="DC36" s="4"/>
      <c r="DD36" s="4"/>
      <c r="DE36" s="4"/>
      <c r="DF36" s="4"/>
      <c r="DG36" s="4"/>
    </row>
    <row r="37" spans="1:111" ht="16" customHeight="1" thickTop="1" thickBot="1" x14ac:dyDescent="0.45">
      <c r="A37" s="4"/>
      <c r="B37" s="4"/>
      <c r="C37" s="26">
        <v>21</v>
      </c>
      <c r="D37" s="26">
        <f ca="1">iMeasure_Overview!O36</f>
        <v>41</v>
      </c>
      <c r="E37" s="26">
        <f ca="1">iMeasure_Overview!P36</f>
        <v>1</v>
      </c>
      <c r="F37" s="26">
        <f t="shared" ca="1" si="9"/>
        <v>1</v>
      </c>
      <c r="G37" s="26">
        <f ca="1">iMeasure_Overview!Q36</f>
        <v>41</v>
      </c>
      <c r="H37" s="26" cm="1">
        <f t="array" aca="1" ref="H37" ca="1">INDEX(auto_DataFlat_Score,G37,$E$11)</f>
        <v>67.099999999999994</v>
      </c>
      <c r="I37" s="26" cm="1">
        <f t="array" aca="1" ref="I37" ca="1">IF(F37=0,-1,INDEX(auto_DataFlat_Classification,G37,$E$11))</f>
        <v>4</v>
      </c>
      <c r="J37" s="4"/>
      <c r="K37" s="4"/>
      <c r="L37" s="4"/>
      <c r="M37" s="4"/>
      <c r="N37" s="4"/>
      <c r="O37" s="4"/>
      <c r="P37" s="4"/>
      <c r="Q37" s="4"/>
      <c r="R37" s="4"/>
      <c r="S37" s="4"/>
      <c r="T37" s="273"/>
      <c r="U37" s="317" t="str" cm="1">
        <f t="array" aca="1" ref="U37" ca="1">INDEX(uxbGlobals!$B$133:$B$139,I37)</f>
        <v xml:space="preserve"> </v>
      </c>
      <c r="V37" s="318"/>
      <c r="W37" s="356" t="str" cm="1">
        <f t="array" aca="1" ref="W37" ca="1">IF(F37=0,"",INDEX(auto_ddCountry,D37))</f>
        <v>São Paulo</v>
      </c>
      <c r="X37" s="356"/>
      <c r="Y37" s="356"/>
      <c r="Z37" s="356"/>
      <c r="AA37" s="356"/>
      <c r="AB37" s="356"/>
      <c r="AC37" s="357">
        <f t="shared" ca="1" si="4"/>
        <v>67.099999999999994</v>
      </c>
      <c r="AD37" s="357"/>
      <c r="AE37" s="318"/>
      <c r="AF37" s="318"/>
      <c r="AG37" s="318"/>
      <c r="AH37" s="318"/>
      <c r="AI37" s="318"/>
      <c r="AJ37" s="318"/>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311"/>
      <c r="CH37" s="4"/>
      <c r="CI37" s="312"/>
      <c r="CJ37" s="316" t="str" cm="1">
        <f t="array" aca="1" ref="CJ37" ca="1">IF(CM37=0,"",INDEX(auto_Series_NameNumbered,CM37))</f>
        <v>4.1) Access to medicines</v>
      </c>
      <c r="CK37" s="314"/>
      <c r="CL37" s="4">
        <v>24</v>
      </c>
      <c r="CM37" s="12" cm="1">
        <f t="array" aca="1" ref="CM37" ca="1">INDEX(OFFSET(auto_ss_Overview,0,1,300,1),CL37)</f>
        <v>48</v>
      </c>
      <c r="CN37" s="12" cm="1">
        <f t="array" aca="1" ref="CN37" ca="1">IF(CM37=0,0,INDEX(auto_Series_Depth,CM37))</f>
        <v>2</v>
      </c>
      <c r="CO37" s="12">
        <f ca="1">IF(CM37=$E$10,1,0)</f>
        <v>0</v>
      </c>
      <c r="CP37" s="12">
        <f ca="1">IF(CN37=1,0,IF(CM37=0,0,1))</f>
        <v>1</v>
      </c>
      <c r="CQ37" s="4"/>
      <c r="CR37" s="4"/>
      <c r="CS37" s="4"/>
      <c r="CT37" s="4"/>
      <c r="CU37" s="4"/>
      <c r="CV37" s="4"/>
      <c r="CW37" s="4"/>
      <c r="CX37" s="4"/>
      <c r="CY37" s="4"/>
      <c r="CZ37" s="4"/>
      <c r="DA37" s="4"/>
      <c r="DB37" s="4"/>
      <c r="DC37" s="4"/>
      <c r="DD37" s="4"/>
      <c r="DE37" s="4"/>
      <c r="DF37" s="4"/>
      <c r="DG37" s="4"/>
    </row>
    <row r="38" spans="1:111" ht="16" customHeight="1" thickTop="1" thickBot="1" x14ac:dyDescent="0.45">
      <c r="A38" s="4"/>
      <c r="B38" s="4"/>
      <c r="C38" s="26">
        <v>22</v>
      </c>
      <c r="D38" s="26">
        <f ca="1">iMeasure_Overview!O37</f>
        <v>16</v>
      </c>
      <c r="E38" s="26">
        <f ca="1">iMeasure_Overview!P37</f>
        <v>1</v>
      </c>
      <c r="F38" s="26">
        <f t="shared" ca="1" si="9"/>
        <v>1</v>
      </c>
      <c r="G38" s="26">
        <f ca="1">iMeasure_Overview!Q37</f>
        <v>16</v>
      </c>
      <c r="H38" s="26" cm="1">
        <f t="array" aca="1" ref="H38" ca="1">INDEX(auto_DataFlat_Score,G38,$E$11)</f>
        <v>66</v>
      </c>
      <c r="I38" s="26" cm="1">
        <f t="array" aca="1" ref="I38" ca="1">IF(F38=0,-1,INDEX(auto_DataFlat_Classification,G38,$E$11))</f>
        <v>4</v>
      </c>
      <c r="J38" s="4"/>
      <c r="K38" s="4"/>
      <c r="L38" s="4"/>
      <c r="M38" s="4"/>
      <c r="N38" s="4"/>
      <c r="O38" s="4"/>
      <c r="P38" s="4"/>
      <c r="Q38" s="4"/>
      <c r="R38" s="4"/>
      <c r="S38" s="4"/>
      <c r="T38" s="273"/>
      <c r="U38" s="317" t="str" cm="1">
        <f t="array" aca="1" ref="U38" ca="1">INDEX(uxbGlobals!$B$133:$B$139,I38)</f>
        <v xml:space="preserve"> </v>
      </c>
      <c r="V38" s="318"/>
      <c r="W38" s="356" t="str" cm="1">
        <f t="array" aca="1" ref="W38" ca="1">IF(F38=0,"",INDEX(auto_ddCountry,D38))</f>
        <v>Ho Chi Minh City</v>
      </c>
      <c r="X38" s="356"/>
      <c r="Y38" s="356"/>
      <c r="Z38" s="356"/>
      <c r="AA38" s="356"/>
      <c r="AB38" s="356"/>
      <c r="AC38" s="357">
        <f t="shared" ca="1" si="4"/>
        <v>66</v>
      </c>
      <c r="AD38" s="357"/>
      <c r="AE38" s="318"/>
      <c r="AF38" s="318"/>
      <c r="AG38" s="318"/>
      <c r="AH38" s="318"/>
      <c r="AI38" s="318"/>
      <c r="AJ38" s="318"/>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311"/>
      <c r="CH38" s="4"/>
      <c r="CI38" s="312"/>
      <c r="CJ38" s="316" t="str" cm="1">
        <f t="array" aca="1" ref="CJ38" ca="1">IF(CM38=0,"",INDEX(auto_Series_NameNumbered,CM38))</f>
        <v>4.2) Hypertension diagnosis coverage</v>
      </c>
      <c r="CK38" s="314"/>
      <c r="CL38" s="4">
        <v>25</v>
      </c>
      <c r="CM38" s="12" cm="1">
        <f t="array" aca="1" ref="CM38" ca="1">INDEX(OFFSET(auto_ss_Overview,0,1,300,1),CL38)</f>
        <v>49</v>
      </c>
      <c r="CN38" s="12" cm="1">
        <f t="array" aca="1" ref="CN38" ca="1">IF(CM38=0,0,INDEX(auto_Series_Depth,CM38))</f>
        <v>2</v>
      </c>
      <c r="CO38" s="12">
        <f t="shared" ref="CO38:CO43" ca="1" si="10">IF(CM38=$E$10,1,0)</f>
        <v>0</v>
      </c>
      <c r="CP38" s="12">
        <f t="shared" ref="CP38:CP43" ca="1" si="11">IF(CN38=1,0,IF(CM38=0,0,1))</f>
        <v>1</v>
      </c>
      <c r="CQ38" s="4"/>
      <c r="CR38" s="4"/>
      <c r="CS38" s="4"/>
      <c r="CT38" s="4"/>
      <c r="CU38" s="4"/>
      <c r="CV38" s="4"/>
      <c r="CW38" s="4"/>
      <c r="CX38" s="4"/>
      <c r="CY38" s="4"/>
      <c r="CZ38" s="4"/>
      <c r="DA38" s="4"/>
      <c r="DB38" s="4"/>
      <c r="DC38" s="4"/>
      <c r="DD38" s="4"/>
      <c r="DE38" s="4"/>
      <c r="DF38" s="4"/>
      <c r="DG38" s="4"/>
    </row>
    <row r="39" spans="1:111" ht="16" customHeight="1" thickTop="1" thickBot="1" x14ac:dyDescent="0.45">
      <c r="A39" s="4"/>
      <c r="B39" s="4"/>
      <c r="C39" s="26">
        <v>23</v>
      </c>
      <c r="D39" s="26">
        <f ca="1">iMeasure_Overview!O38</f>
        <v>31</v>
      </c>
      <c r="E39" s="26">
        <f ca="1">iMeasure_Overview!P38</f>
        <v>1</v>
      </c>
      <c r="F39" s="26">
        <f t="shared" ca="1" si="9"/>
        <v>1</v>
      </c>
      <c r="G39" s="26">
        <f ca="1">iMeasure_Overview!Q38</f>
        <v>31</v>
      </c>
      <c r="H39" s="26" cm="1">
        <f t="array" aca="1" ref="H39" ca="1">INDEX(auto_DataFlat_Score,G39,$E$11)</f>
        <v>65.900000000000006</v>
      </c>
      <c r="I39" s="26" cm="1">
        <f t="array" aca="1" ref="I39" ca="1">IF(F39=0,-1,INDEX(auto_DataFlat_Classification,G39,$E$11))</f>
        <v>4</v>
      </c>
      <c r="J39" s="4"/>
      <c r="K39" s="4"/>
      <c r="L39" s="4"/>
      <c r="M39" s="4"/>
      <c r="N39" s="4"/>
      <c r="O39" s="4"/>
      <c r="P39" s="4"/>
      <c r="Q39" s="4"/>
      <c r="R39" s="4"/>
      <c r="S39" s="4"/>
      <c r="T39" s="273"/>
      <c r="U39" s="317" t="str" cm="1">
        <f t="array" aca="1" ref="U39" ca="1">INDEX(uxbGlobals!$B$133:$B$139,I39)</f>
        <v xml:space="preserve"> </v>
      </c>
      <c r="V39" s="318"/>
      <c r="W39" s="356" t="str" cm="1">
        <f t="array" aca="1" ref="W39" ca="1">IF(F39=0,"",INDEX(auto_ddCountry,D39))</f>
        <v>Moscow</v>
      </c>
      <c r="X39" s="356"/>
      <c r="Y39" s="356"/>
      <c r="Z39" s="356"/>
      <c r="AA39" s="356"/>
      <c r="AB39" s="356"/>
      <c r="AC39" s="357">
        <f t="shared" ca="1" si="4"/>
        <v>65.900000000000006</v>
      </c>
      <c r="AD39" s="357"/>
      <c r="AE39" s="318"/>
      <c r="AF39" s="318"/>
      <c r="AG39" s="318"/>
      <c r="AH39" s="318"/>
      <c r="AI39" s="318"/>
      <c r="AJ39" s="318"/>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311"/>
      <c r="CH39" s="4"/>
      <c r="CI39" s="312"/>
      <c r="CJ39" s="316" t="str" cm="1">
        <f t="array" aca="1" ref="CJ39" ca="1">IF(CM39=0,"",INDEX(auto_Series_NameNumbered,CM39))</f>
        <v>4.3) Undiagnosed diabetes</v>
      </c>
      <c r="CK39" s="314"/>
      <c r="CL39" s="4">
        <v>26</v>
      </c>
      <c r="CM39" s="12" cm="1">
        <f t="array" aca="1" ref="CM39" ca="1">INDEX(OFFSET(auto_ss_Overview,0,1,300,1),CL39)</f>
        <v>50</v>
      </c>
      <c r="CN39" s="12" cm="1">
        <f t="array" aca="1" ref="CN39" ca="1">IF(CM39=0,0,INDEX(auto_Series_Depth,CM39))</f>
        <v>2</v>
      </c>
      <c r="CO39" s="12">
        <f t="shared" ca="1" si="10"/>
        <v>0</v>
      </c>
      <c r="CP39" s="12">
        <f t="shared" ca="1" si="11"/>
        <v>1</v>
      </c>
      <c r="CQ39" s="4"/>
      <c r="CR39" s="4"/>
      <c r="CS39" s="4"/>
      <c r="CT39" s="4"/>
      <c r="CU39" s="4"/>
      <c r="CV39" s="4"/>
      <c r="CW39" s="4"/>
      <c r="CX39" s="4"/>
      <c r="CY39" s="4"/>
      <c r="CZ39" s="4"/>
      <c r="DA39" s="4"/>
      <c r="DB39" s="4"/>
      <c r="DC39" s="4"/>
      <c r="DD39" s="4"/>
      <c r="DE39" s="4"/>
      <c r="DF39" s="4"/>
      <c r="DG39" s="4"/>
    </row>
    <row r="40" spans="1:111" ht="16" customHeight="1" thickTop="1" thickBot="1" x14ac:dyDescent="0.45">
      <c r="A40" s="4"/>
      <c r="B40" s="4"/>
      <c r="C40" s="26">
        <v>24</v>
      </c>
      <c r="D40" s="26">
        <f ca="1">iMeasure_Overview!O39</f>
        <v>43</v>
      </c>
      <c r="E40" s="26">
        <f ca="1">iMeasure_Overview!P39</f>
        <v>1</v>
      </c>
      <c r="F40" s="26">
        <f t="shared" ca="1" si="9"/>
        <v>1</v>
      </c>
      <c r="G40" s="26">
        <f ca="1">iMeasure_Overview!Q39</f>
        <v>43</v>
      </c>
      <c r="H40" s="26" cm="1">
        <f t="array" aca="1" ref="H40" ca="1">INDEX(auto_DataFlat_Score,G40,$E$11)</f>
        <v>65.3</v>
      </c>
      <c r="I40" s="26" cm="1">
        <f t="array" aca="1" ref="I40" ca="1">IF(F40=0,-1,INDEX(auto_DataFlat_Classification,G40,$E$11))</f>
        <v>4</v>
      </c>
      <c r="J40" s="4"/>
      <c r="K40" s="4"/>
      <c r="L40" s="4"/>
      <c r="M40" s="4"/>
      <c r="N40" s="4"/>
      <c r="O40" s="4"/>
      <c r="P40" s="4"/>
      <c r="Q40" s="4"/>
      <c r="R40" s="4"/>
      <c r="S40" s="4"/>
      <c r="T40" s="273"/>
      <c r="U40" s="317" t="str" cm="1">
        <f t="array" aca="1" ref="U40" ca="1">INDEX(uxbGlobals!$B$133:$B$139,I40)</f>
        <v xml:space="preserve"> </v>
      </c>
      <c r="V40" s="318"/>
      <c r="W40" s="356" t="str" cm="1">
        <f t="array" aca="1" ref="W40" ca="1">IF(F40=0,"",INDEX(auto_ddCountry,D40))</f>
        <v>Shanghai</v>
      </c>
      <c r="X40" s="356"/>
      <c r="Y40" s="356"/>
      <c r="Z40" s="356"/>
      <c r="AA40" s="356"/>
      <c r="AB40" s="356"/>
      <c r="AC40" s="357">
        <f t="shared" ca="1" si="4"/>
        <v>65.3</v>
      </c>
      <c r="AD40" s="357"/>
      <c r="AE40" s="318"/>
      <c r="AF40" s="318"/>
      <c r="AG40" s="318"/>
      <c r="AH40" s="318"/>
      <c r="AI40" s="318"/>
      <c r="AJ40" s="318"/>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311"/>
      <c r="CH40" s="4"/>
      <c r="CI40" s="312"/>
      <c r="CJ40" s="316" t="str" cm="1">
        <f t="array" aca="1" ref="CJ40" ca="1">IF(CM40=0,"",INDEX(auto_Series_NameNumbered,CM40))</f>
        <v>4.4) Patient-centred care</v>
      </c>
      <c r="CK40" s="314"/>
      <c r="CL40" s="4">
        <v>27</v>
      </c>
      <c r="CM40" s="12" cm="1">
        <f t="array" aca="1" ref="CM40" ca="1">INDEX(OFFSET(auto_ss_Overview,0,1,300,1),CL40)</f>
        <v>51</v>
      </c>
      <c r="CN40" s="12" cm="1">
        <f t="array" aca="1" ref="CN40" ca="1">IF(CM40=0,0,INDEX(auto_Series_Depth,CM40))</f>
        <v>2</v>
      </c>
      <c r="CO40" s="12">
        <f t="shared" ca="1" si="10"/>
        <v>0</v>
      </c>
      <c r="CP40" s="12">
        <f t="shared" ca="1" si="11"/>
        <v>1</v>
      </c>
      <c r="CQ40" s="4"/>
      <c r="CR40" s="4"/>
      <c r="CS40" s="4"/>
      <c r="CT40" s="4"/>
      <c r="CU40" s="4"/>
      <c r="CV40" s="4"/>
      <c r="CW40" s="4"/>
      <c r="CX40" s="4"/>
      <c r="CY40" s="4"/>
      <c r="CZ40" s="4"/>
      <c r="DA40" s="4"/>
      <c r="DB40" s="4"/>
      <c r="DC40" s="4"/>
      <c r="DD40" s="4"/>
      <c r="DE40" s="4"/>
      <c r="DF40" s="4"/>
      <c r="DG40" s="4"/>
    </row>
    <row r="41" spans="1:111" ht="16" customHeight="1" thickTop="1" thickBot="1" x14ac:dyDescent="0.45">
      <c r="A41" s="4"/>
      <c r="B41" s="4"/>
      <c r="C41" s="26">
        <v>25</v>
      </c>
      <c r="D41" s="26">
        <f ca="1">iMeasure_Overview!O40</f>
        <v>14</v>
      </c>
      <c r="E41" s="26">
        <f ca="1">iMeasure_Overview!P40</f>
        <v>1</v>
      </c>
      <c r="F41" s="26">
        <f t="shared" ca="1" si="9"/>
        <v>1</v>
      </c>
      <c r="G41" s="26">
        <f ca="1">iMeasure_Overview!Q40</f>
        <v>14</v>
      </c>
      <c r="H41" s="26" cm="1">
        <f t="array" aca="1" ref="H41" ca="1">INDEX(auto_DataFlat_Score,G41,$E$11)</f>
        <v>65</v>
      </c>
      <c r="I41" s="26" cm="1">
        <f t="array" aca="1" ref="I41" ca="1">IF(F41=0,-1,INDEX(auto_DataFlat_Classification,G41,$E$11))</f>
        <v>4</v>
      </c>
      <c r="J41" s="4"/>
      <c r="K41" s="4"/>
      <c r="L41" s="4"/>
      <c r="M41" s="4"/>
      <c r="N41" s="4"/>
      <c r="O41" s="4"/>
      <c r="P41" s="4"/>
      <c r="Q41" s="4"/>
      <c r="R41" s="4"/>
      <c r="S41" s="4"/>
      <c r="T41" s="273"/>
      <c r="U41" s="317" t="str" cm="1">
        <f t="array" aca="1" ref="U41" ca="1">INDEX(uxbGlobals!$B$133:$B$139,I41)</f>
        <v xml:space="preserve"> </v>
      </c>
      <c r="V41" s="318"/>
      <c r="W41" s="356" t="str" cm="1">
        <f t="array" aca="1" ref="W41" ca="1">IF(F41=0,"",INDEX(auto_ddCountry,D41))</f>
        <v>Dubai</v>
      </c>
      <c r="X41" s="356"/>
      <c r="Y41" s="356"/>
      <c r="Z41" s="356"/>
      <c r="AA41" s="356"/>
      <c r="AB41" s="356"/>
      <c r="AC41" s="357">
        <f t="shared" ca="1" si="4"/>
        <v>65</v>
      </c>
      <c r="AD41" s="357"/>
      <c r="AE41" s="318"/>
      <c r="AF41" s="318"/>
      <c r="AG41" s="318"/>
      <c r="AH41" s="318"/>
      <c r="AI41" s="318"/>
      <c r="AJ41" s="318"/>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311"/>
      <c r="CH41" s="4"/>
      <c r="CI41" s="312"/>
      <c r="CJ41" s="315" t="str" cm="1">
        <f t="array" aca="1" ref="CJ41" ca="1">IF(CM41=0,"",INDEX(auto_Series_NameNumbered,CM41))</f>
        <v>5) GOVERNANCE</v>
      </c>
      <c r="CK41" s="314"/>
      <c r="CL41" s="4">
        <v>28</v>
      </c>
      <c r="CM41" s="12" cm="1">
        <f t="array" aca="1" ref="CM41" ca="1">INDEX(OFFSET(auto_ss_Overview,0,1,300,1),CL41)</f>
        <v>52</v>
      </c>
      <c r="CN41" s="12" cm="1">
        <f t="array" aca="1" ref="CN41" ca="1">IF(CM41=0,0,INDEX(auto_Series_Depth,CM41))</f>
        <v>1</v>
      </c>
      <c r="CO41" s="12">
        <f t="shared" ca="1" si="10"/>
        <v>0</v>
      </c>
      <c r="CP41" s="12">
        <f t="shared" ca="1" si="11"/>
        <v>0</v>
      </c>
      <c r="CQ41" s="4"/>
      <c r="CR41" s="4"/>
      <c r="CS41" s="4"/>
      <c r="CT41" s="4"/>
      <c r="CU41" s="4"/>
      <c r="CV41" s="4"/>
      <c r="CW41" s="4"/>
      <c r="CX41" s="4"/>
      <c r="CY41" s="4"/>
      <c r="CZ41" s="4"/>
      <c r="DA41" s="4"/>
      <c r="DB41" s="4"/>
      <c r="DC41" s="4"/>
      <c r="DD41" s="4"/>
      <c r="DE41" s="4"/>
      <c r="DF41" s="4"/>
      <c r="DG41" s="4"/>
    </row>
    <row r="42" spans="1:111" ht="16" customHeight="1" thickTop="1" thickBot="1" x14ac:dyDescent="0.45">
      <c r="A42" s="4"/>
      <c r="B42" s="4"/>
      <c r="C42" s="26">
        <v>26</v>
      </c>
      <c r="D42" s="26">
        <f ca="1">iMeasure_Overview!O41</f>
        <v>36</v>
      </c>
      <c r="E42" s="26">
        <f ca="1">iMeasure_Overview!P41</f>
        <v>1</v>
      </c>
      <c r="F42" s="26">
        <f t="shared" ca="1" si="9"/>
        <v>1</v>
      </c>
      <c r="G42" s="26">
        <f ca="1">iMeasure_Overview!Q41</f>
        <v>36</v>
      </c>
      <c r="H42" s="26" cm="1">
        <f t="array" aca="1" ref="H42" ca="1">INDEX(auto_DataFlat_Score,G42,$E$11)</f>
        <v>64.5</v>
      </c>
      <c r="I42" s="26" cm="1">
        <f t="array" aca="1" ref="I42" ca="1">IF(F42=0,-1,INDEX(auto_DataFlat_Classification,G42,$E$11))</f>
        <v>4</v>
      </c>
      <c r="J42" s="4"/>
      <c r="K42" s="4"/>
      <c r="L42" s="4"/>
      <c r="M42" s="4"/>
      <c r="N42" s="4"/>
      <c r="O42" s="4"/>
      <c r="P42" s="4"/>
      <c r="Q42" s="4"/>
      <c r="R42" s="4"/>
      <c r="S42" s="4"/>
      <c r="T42" s="273"/>
      <c r="U42" s="317" t="str" cm="1">
        <f t="array" aca="1" ref="U42" ca="1">INDEX(uxbGlobals!$B$133:$B$139,I42)</f>
        <v xml:space="preserve"> </v>
      </c>
      <c r="V42" s="318"/>
      <c r="W42" s="356" t="str" cm="1">
        <f t="array" aca="1" ref="W42" ca="1">IF(F42=0,"",INDEX(auto_ddCountry,D42))</f>
        <v>Paris</v>
      </c>
      <c r="X42" s="356"/>
      <c r="Y42" s="356"/>
      <c r="Z42" s="356"/>
      <c r="AA42" s="356"/>
      <c r="AB42" s="356"/>
      <c r="AC42" s="357">
        <f t="shared" ca="1" si="4"/>
        <v>64.5</v>
      </c>
      <c r="AD42" s="357"/>
      <c r="AE42" s="318"/>
      <c r="AF42" s="318"/>
      <c r="AG42" s="318"/>
      <c r="AH42" s="318"/>
      <c r="AI42" s="318"/>
      <c r="AJ42" s="318"/>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311"/>
      <c r="CH42" s="4"/>
      <c r="CI42" s="312"/>
      <c r="CJ42" s="316" t="str" cm="1">
        <f t="array" aca="1" ref="CJ42" ca="1">IF(CM42=0,"",INDEX(auto_Series_NameNumbered,CM42))</f>
        <v>5.1) Regulatory power</v>
      </c>
      <c r="CK42" s="314"/>
      <c r="CL42" s="4">
        <v>29</v>
      </c>
      <c r="CM42" s="12" cm="1">
        <f t="array" aca="1" ref="CM42" ca="1">INDEX(OFFSET(auto_ss_Overview,0,1,300,1),CL42)</f>
        <v>53</v>
      </c>
      <c r="CN42" s="12" cm="1">
        <f t="array" aca="1" ref="CN42" ca="1">IF(CM42=0,0,INDEX(auto_Series_Depth,CM42))</f>
        <v>2</v>
      </c>
      <c r="CO42" s="12">
        <f t="shared" ca="1" si="10"/>
        <v>0</v>
      </c>
      <c r="CP42" s="12">
        <f t="shared" ca="1" si="11"/>
        <v>1</v>
      </c>
      <c r="CQ42" s="4"/>
      <c r="CR42" s="4"/>
      <c r="CS42" s="4"/>
      <c r="CT42" s="4"/>
      <c r="CU42" s="4"/>
      <c r="CV42" s="4"/>
      <c r="CW42" s="4"/>
      <c r="CX42" s="4"/>
      <c r="CY42" s="4"/>
      <c r="CZ42" s="4"/>
      <c r="DA42" s="4"/>
      <c r="DB42" s="4"/>
      <c r="DC42" s="4"/>
      <c r="DD42" s="4"/>
      <c r="DE42" s="4"/>
      <c r="DF42" s="4"/>
      <c r="DG42" s="4"/>
    </row>
    <row r="43" spans="1:111" ht="16" customHeight="1" thickTop="1" thickBot="1" x14ac:dyDescent="0.45">
      <c r="A43" s="4"/>
      <c r="B43" s="4"/>
      <c r="C43" s="26">
        <v>27</v>
      </c>
      <c r="D43" s="26">
        <f ca="1">iMeasure_Overview!O42</f>
        <v>39</v>
      </c>
      <c r="E43" s="26">
        <f ca="1">iMeasure_Overview!P42</f>
        <v>1</v>
      </c>
      <c r="F43" s="26">
        <f t="shared" ca="1" si="9"/>
        <v>1</v>
      </c>
      <c r="G43" s="26">
        <f ca="1">iMeasure_Overview!Q42</f>
        <v>39</v>
      </c>
      <c r="H43" s="26" cm="1">
        <f t="array" aca="1" ref="H43" ca="1">INDEX(auto_DataFlat_Score,G43,$E$11)</f>
        <v>63.5</v>
      </c>
      <c r="I43" s="26" cm="1">
        <f t="array" aca="1" ref="I43" ca="1">IF(F43=0,-1,INDEX(auto_DataFlat_Classification,G43,$E$11))</f>
        <v>4</v>
      </c>
      <c r="J43" s="4"/>
      <c r="K43" s="4"/>
      <c r="L43" s="4"/>
      <c r="M43" s="4"/>
      <c r="N43" s="4" t="s">
        <v>1637</v>
      </c>
      <c r="O43" s="4"/>
      <c r="P43" s="4"/>
      <c r="Q43" s="4"/>
      <c r="R43" s="4"/>
      <c r="S43" s="4"/>
      <c r="T43" s="273"/>
      <c r="U43" s="317" t="str" cm="1">
        <f t="array" aca="1" ref="U43" ca="1">INDEX(uxbGlobals!$B$133:$B$139,I43)</f>
        <v xml:space="preserve"> </v>
      </c>
      <c r="V43" s="318"/>
      <c r="W43" s="356" t="str" cm="1">
        <f t="array" aca="1" ref="W43" ca="1">IF(F43=0,"",INDEX(auto_ddCountry,D43))</f>
        <v>Rome</v>
      </c>
      <c r="X43" s="356"/>
      <c r="Y43" s="356"/>
      <c r="Z43" s="356"/>
      <c r="AA43" s="356"/>
      <c r="AB43" s="356"/>
      <c r="AC43" s="357">
        <f t="shared" ca="1" si="4"/>
        <v>63.5</v>
      </c>
      <c r="AD43" s="357"/>
      <c r="AE43" s="318"/>
      <c r="AF43" s="318"/>
      <c r="AG43" s="318"/>
      <c r="AH43" s="318"/>
      <c r="AI43" s="318"/>
      <c r="AJ43" s="318"/>
      <c r="AK43" s="4"/>
      <c r="AL43" s="4"/>
      <c r="AM43" s="4"/>
      <c r="AN43" s="4"/>
      <c r="AO43" s="4"/>
      <c r="AP43" s="4"/>
      <c r="AQ43" s="4"/>
      <c r="AR43" s="4"/>
      <c r="AS43" s="4"/>
      <c r="AT43" s="4"/>
      <c r="AU43" s="4"/>
      <c r="AV43" s="4"/>
      <c r="AW43" s="95" t="s">
        <v>1638</v>
      </c>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311"/>
      <c r="CH43" s="4"/>
      <c r="CI43" s="312"/>
      <c r="CJ43" s="316" t="str" cm="1">
        <f t="array" aca="1" ref="CJ43" ca="1">IF(CM43=0,"",INDEX(auto_Series_NameNumbered,CM43))</f>
        <v>5.2) Political will</v>
      </c>
      <c r="CK43" s="314"/>
      <c r="CL43" s="4">
        <v>30</v>
      </c>
      <c r="CM43" s="12" cm="1">
        <f t="array" aca="1" ref="CM43" ca="1">INDEX(OFFSET(auto_ss_Overview,0,1,300,1),CL43)</f>
        <v>54</v>
      </c>
      <c r="CN43" s="12" cm="1">
        <f t="array" aca="1" ref="CN43" ca="1">IF(CM43=0,0,INDEX(auto_Series_Depth,CM43))</f>
        <v>2</v>
      </c>
      <c r="CO43" s="12">
        <f t="shared" ca="1" si="10"/>
        <v>0</v>
      </c>
      <c r="CP43" s="12">
        <f t="shared" ca="1" si="11"/>
        <v>1</v>
      </c>
      <c r="CQ43" s="4"/>
      <c r="CR43" s="4"/>
      <c r="CS43" s="4"/>
      <c r="CT43" s="4"/>
      <c r="CU43" s="4"/>
      <c r="CV43" s="4"/>
      <c r="CW43" s="4"/>
      <c r="CX43" s="4"/>
      <c r="CY43" s="4"/>
      <c r="CZ43" s="4"/>
      <c r="DA43" s="4"/>
      <c r="DB43" s="4"/>
      <c r="DC43" s="4"/>
      <c r="DD43" s="4"/>
      <c r="DE43" s="4"/>
      <c r="DF43" s="4"/>
      <c r="DG43" s="4"/>
    </row>
    <row r="44" spans="1:111" ht="16" customHeight="1" thickTop="1" thickBot="1" x14ac:dyDescent="0.45">
      <c r="A44" s="4"/>
      <c r="B44" s="4"/>
      <c r="C44" s="26">
        <v>28</v>
      </c>
      <c r="D44" s="26">
        <f ca="1">iMeasure_Overview!O43</f>
        <v>6</v>
      </c>
      <c r="E44" s="26">
        <f ca="1">iMeasure_Overview!P43</f>
        <v>1</v>
      </c>
      <c r="F44" s="26">
        <f t="shared" ca="1" si="9"/>
        <v>1</v>
      </c>
      <c r="G44" s="26">
        <f ca="1">iMeasure_Overview!Q43</f>
        <v>6</v>
      </c>
      <c r="H44" s="26" cm="1">
        <f t="array" aca="1" ref="H44" ca="1">INDEX(auto_DataFlat_Score,G44,$E$11)</f>
        <v>63.4</v>
      </c>
      <c r="I44" s="26" cm="1">
        <f t="array" aca="1" ref="I44" ca="1">IF(F44=0,-1,INDEX(auto_DataFlat_Classification,G44,$E$11))</f>
        <v>4</v>
      </c>
      <c r="J44" s="4">
        <v>6</v>
      </c>
      <c r="K44" s="4" t="str" cm="1">
        <f t="array" ref="K44">INDEX(uxbGlobals!$C$169:$C$175,J44)</f>
        <v xml:space="preserve"> 
Score 100.1-119.9</v>
      </c>
      <c r="L44" s="4" t="str" cm="1">
        <f t="array" ref="L44">INDEX(uxbGlobals!$B$133:$B$139,J44)</f>
        <v xml:space="preserve"> </v>
      </c>
      <c r="M44" s="4" t="str" cm="1">
        <f t="array" ref="M44">INDEX(uxbGlobals!$B$169:$B$175,J44)</f>
        <v>Score 100.1-119.9</v>
      </c>
      <c r="N44" s="4" t="str" cm="1">
        <f t="array" aca="1" ref="N44" ca="1">INDEX(iMeasure_Overview!$BG$12:$BN$12,J44)</f>
        <v/>
      </c>
      <c r="O44" s="4"/>
      <c r="P44" s="4"/>
      <c r="Q44" s="4"/>
      <c r="R44" s="4"/>
      <c r="S44" s="4"/>
      <c r="T44" s="273"/>
      <c r="U44" s="317" t="str" cm="1">
        <f t="array" aca="1" ref="U44" ca="1">INDEX(uxbGlobals!$B$133:$B$139,I44)</f>
        <v xml:space="preserve"> </v>
      </c>
      <c r="V44" s="318"/>
      <c r="W44" s="356" t="str" cm="1">
        <f t="array" aca="1" ref="W44" ca="1">IF(F44=0,"",INDEX(auto_ddCountry,D44))</f>
        <v>Beijing</v>
      </c>
      <c r="X44" s="356"/>
      <c r="Y44" s="356"/>
      <c r="Z44" s="356"/>
      <c r="AA44" s="356"/>
      <c r="AB44" s="356"/>
      <c r="AC44" s="357">
        <f t="shared" ca="1" si="4"/>
        <v>63.4</v>
      </c>
      <c r="AD44" s="357"/>
      <c r="AE44" s="318"/>
      <c r="AF44" s="318"/>
      <c r="AG44" s="318"/>
      <c r="AH44" s="318"/>
      <c r="AI44" s="318"/>
      <c r="AJ44" s="318"/>
      <c r="AK44" s="4"/>
      <c r="AL44" s="4"/>
      <c r="AM44" s="4"/>
      <c r="AN44" s="374" t="str">
        <f t="shared" ref="AN44" si="12">L44</f>
        <v xml:space="preserve"> </v>
      </c>
      <c r="AO44" s="374"/>
      <c r="AP44" s="374"/>
      <c r="AQ44" s="372"/>
      <c r="AR44" s="373"/>
      <c r="AS44" s="373"/>
      <c r="AT44" s="373"/>
      <c r="AU44" s="373"/>
      <c r="AV44" s="373"/>
      <c r="AW44" s="369"/>
      <c r="AX44" s="370"/>
      <c r="AY44" s="370"/>
      <c r="AZ44" s="370"/>
      <c r="BA44" s="370"/>
      <c r="BB44" s="370"/>
      <c r="BC44" s="370"/>
      <c r="BD44" s="370"/>
      <c r="BE44" s="370"/>
      <c r="BF44" s="370"/>
      <c r="BG44" s="370"/>
      <c r="BH44" s="370"/>
      <c r="BI44" s="370"/>
      <c r="BJ44" s="370"/>
      <c r="BK44" s="370"/>
      <c r="BL44" s="370"/>
      <c r="BM44" s="370"/>
      <c r="BN44" s="370"/>
      <c r="BO44" s="370"/>
      <c r="BP44" s="370"/>
      <c r="BQ44" s="370"/>
      <c r="BR44" s="370"/>
      <c r="BS44" s="370"/>
      <c r="BT44" s="370"/>
      <c r="BU44" s="370"/>
      <c r="BV44" s="370"/>
      <c r="BW44" s="370"/>
      <c r="BX44" s="370"/>
      <c r="BY44" s="370"/>
      <c r="BZ44" s="370"/>
      <c r="CA44" s="370"/>
      <c r="CB44" s="370"/>
      <c r="CC44" s="370"/>
      <c r="CD44" s="370"/>
      <c r="CE44" s="370"/>
      <c r="CF44" s="4"/>
      <c r="CG44" s="311"/>
      <c r="CH44" s="4"/>
      <c r="CI44" s="312"/>
      <c r="CJ44" s="316" t="str" cm="1">
        <f t="array" aca="1" ref="CJ44" ca="1">IF(CM44=0,"",INDEX(auto_Series_NameNumbered,CM44))</f>
        <v>5.3) Urban health plan</v>
      </c>
      <c r="CK44" s="314"/>
      <c r="CL44" s="4">
        <v>31</v>
      </c>
      <c r="CM44" s="12" cm="1">
        <f t="array" aca="1" ref="CM44" ca="1">INDEX(OFFSET(auto_ss_Overview,0,1,300,1),CL44)</f>
        <v>55</v>
      </c>
      <c r="CN44" s="12" cm="1">
        <f t="array" aca="1" ref="CN44" ca="1">IF(CM44=0,0,INDEX(auto_Series_Depth,CM44))</f>
        <v>2</v>
      </c>
      <c r="CO44" s="12">
        <f ca="1">IF(CM44=$E$10,1,0)</f>
        <v>0</v>
      </c>
      <c r="CP44" s="12">
        <f ca="1">IF(CN44=1,0,IF(CM44=0,0,1))</f>
        <v>1</v>
      </c>
      <c r="CQ44" s="4"/>
      <c r="CR44" s="4"/>
      <c r="CS44" s="4"/>
      <c r="CT44" s="4"/>
      <c r="CU44" s="4"/>
      <c r="CV44" s="4"/>
      <c r="CW44" s="4"/>
      <c r="CX44" s="4"/>
      <c r="CY44" s="4"/>
      <c r="CZ44" s="4"/>
      <c r="DA44" s="4"/>
      <c r="DB44" s="4"/>
      <c r="DC44" s="4"/>
      <c r="DD44" s="4"/>
      <c r="DE44" s="4"/>
      <c r="DF44" s="4"/>
      <c r="DG44" s="4"/>
    </row>
    <row r="45" spans="1:111" ht="16" customHeight="1" thickTop="1" thickBot="1" x14ac:dyDescent="0.45">
      <c r="A45" s="4"/>
      <c r="B45" s="4"/>
      <c r="C45" s="26">
        <v>29</v>
      </c>
      <c r="D45" s="26">
        <f ca="1">iMeasure_Overview!O44</f>
        <v>3</v>
      </c>
      <c r="E45" s="26">
        <f ca="1">iMeasure_Overview!P44</f>
        <v>1</v>
      </c>
      <c r="F45" s="26">
        <f t="shared" ca="1" si="9"/>
        <v>1</v>
      </c>
      <c r="G45" s="26">
        <f ca="1">iMeasure_Overview!Q44</f>
        <v>3</v>
      </c>
      <c r="H45" s="26" cm="1">
        <f t="array" aca="1" ref="H45" ca="1">INDEX(auto_DataFlat_Score,G45,$E$11)</f>
        <v>63.1</v>
      </c>
      <c r="I45" s="26" cm="1">
        <f t="array" aca="1" ref="I45" ca="1">IF(F45=0,-1,INDEX(auto_DataFlat_Classification,G45,$E$11))</f>
        <v>4</v>
      </c>
      <c r="J45" s="4">
        <v>5</v>
      </c>
      <c r="K45" s="4" t="str" cm="1">
        <f t="array" ref="K45">INDEX(uxbGlobals!$C$169:$C$175,J45)</f>
        <v xml:space="preserve"> 
Score 80.0-100.0</v>
      </c>
      <c r="L45" s="4" t="str" cm="1">
        <f t="array" ref="L45">INDEX(uxbGlobals!$B$133:$B$139,J45)</f>
        <v xml:space="preserve"> </v>
      </c>
      <c r="M45" s="40" t="str" cm="1">
        <f t="array" ref="M45">CONCATENATE(INDEX(uxbGlobals!$B$169:$B$175,J45))</f>
        <v>Score 80.0-100.0</v>
      </c>
      <c r="N45" s="4" t="str" cm="1">
        <f t="array" aca="1" ref="N45" ca="1">INDEX(iMeasure_Overview!$BG$12:$BN$12,J45)</f>
        <v>Hong Kong • London</v>
      </c>
      <c r="O45" s="4"/>
      <c r="P45" s="4"/>
      <c r="Q45" s="4"/>
      <c r="R45" s="4"/>
      <c r="S45" s="4"/>
      <c r="T45" s="273"/>
      <c r="U45" s="317" t="str" cm="1">
        <f t="array" aca="1" ref="U45" ca="1">INDEX(uxbGlobals!$B$133:$B$139,I45)</f>
        <v xml:space="preserve"> </v>
      </c>
      <c r="V45" s="318"/>
      <c r="W45" s="356" t="str" cm="1">
        <f t="array" aca="1" ref="W45" ca="1">IF(F45=0,"",INDEX(auto_ddCountry,D45))</f>
        <v>Atlanta</v>
      </c>
      <c r="X45" s="356"/>
      <c r="Y45" s="356"/>
      <c r="Z45" s="356"/>
      <c r="AA45" s="356"/>
      <c r="AB45" s="356"/>
      <c r="AC45" s="357">
        <f t="shared" ca="1" si="4"/>
        <v>63.1</v>
      </c>
      <c r="AD45" s="357"/>
      <c r="AE45" s="318"/>
      <c r="AF45" s="318"/>
      <c r="AG45" s="318"/>
      <c r="AH45" s="318"/>
      <c r="AI45" s="318"/>
      <c r="AJ45" s="318"/>
      <c r="AK45" s="4"/>
      <c r="AL45" s="4"/>
      <c r="AM45" s="4"/>
      <c r="AN45" s="383"/>
      <c r="AO45" s="383"/>
      <c r="AP45" s="383"/>
      <c r="AQ45" s="379" t="str">
        <f>M45</f>
        <v>Score 80.0-100.0</v>
      </c>
      <c r="AR45" s="379"/>
      <c r="AS45" s="379"/>
      <c r="AT45" s="379"/>
      <c r="AU45" s="379"/>
      <c r="AV45" s="379"/>
      <c r="AW45" s="375" t="s">
        <v>9789</v>
      </c>
      <c r="AX45" s="375"/>
      <c r="AY45" s="375"/>
      <c r="AZ45" s="375"/>
      <c r="BA45" s="375"/>
      <c r="BB45" s="375"/>
      <c r="BC45" s="375"/>
      <c r="BD45" s="375"/>
      <c r="BE45" s="375"/>
      <c r="BF45" s="375"/>
      <c r="BG45" s="375"/>
      <c r="BH45" s="375"/>
      <c r="BI45" s="375"/>
      <c r="BJ45" s="375"/>
      <c r="BK45" s="375"/>
      <c r="BL45" s="375"/>
      <c r="BM45" s="375"/>
      <c r="BN45" s="375"/>
      <c r="BO45" s="375"/>
      <c r="BP45" s="375"/>
      <c r="BQ45" s="375"/>
      <c r="BR45" s="375"/>
      <c r="BS45" s="375"/>
      <c r="BT45" s="375"/>
      <c r="BU45" s="375"/>
      <c r="BV45" s="375"/>
      <c r="BW45" s="375"/>
      <c r="BX45" s="375"/>
      <c r="BY45" s="375"/>
      <c r="BZ45" s="375"/>
      <c r="CA45" s="375"/>
      <c r="CB45" s="375"/>
      <c r="CC45" s="375"/>
      <c r="CD45" s="375"/>
      <c r="CE45" s="375"/>
      <c r="CF45" s="4"/>
      <c r="CG45" s="311"/>
      <c r="CH45" s="4"/>
      <c r="CI45" s="312"/>
      <c r="CJ45" s="316" t="str" cm="1">
        <f t="array" aca="1" ref="CJ45" ca="1">IF(CM45=0,"",INDEX(auto_Series_NameNumbered,CM45))</f>
        <v>5.4) Healthy diet policies</v>
      </c>
      <c r="CK45" s="314"/>
      <c r="CL45" s="4">
        <v>32</v>
      </c>
      <c r="CM45" s="12" cm="1">
        <f t="array" aca="1" ref="CM45" ca="1">INDEX(OFFSET(auto_ss_Overview,0,1,300,1),CL45)</f>
        <v>58</v>
      </c>
      <c r="CN45" s="12" cm="1">
        <f t="array" aca="1" ref="CN45" ca="1">IF(CM45=0,0,INDEX(auto_Series_Depth,CM45))</f>
        <v>2</v>
      </c>
      <c r="CO45" s="12">
        <f t="shared" ref="CO45" ca="1" si="13">IF(CM45=$E$10,1,0)</f>
        <v>0</v>
      </c>
      <c r="CP45" s="12">
        <f t="shared" ref="CP45" ca="1" si="14">IF(CN45=1,0,IF(CM45=0,0,1))</f>
        <v>1</v>
      </c>
      <c r="CQ45" s="4"/>
      <c r="CR45" s="4"/>
      <c r="CS45" s="4"/>
      <c r="CT45" s="4"/>
      <c r="CU45" s="4"/>
      <c r="CV45" s="4"/>
      <c r="CW45" s="4"/>
      <c r="CX45" s="4"/>
      <c r="CY45" s="4"/>
      <c r="CZ45" s="4"/>
      <c r="DA45" s="4"/>
      <c r="DB45" s="4"/>
      <c r="DC45" s="4"/>
      <c r="DD45" s="4"/>
      <c r="DE45" s="4"/>
      <c r="DF45" s="4"/>
      <c r="DG45" s="4"/>
    </row>
    <row r="46" spans="1:111" ht="16" customHeight="1" thickTop="1" thickBot="1" x14ac:dyDescent="0.45">
      <c r="A46" s="4"/>
      <c r="B46" s="4"/>
      <c r="C46" s="26">
        <v>30</v>
      </c>
      <c r="D46" s="26">
        <f ca="1">iMeasure_Overview!O45</f>
        <v>30</v>
      </c>
      <c r="E46" s="26">
        <f ca="1">iMeasure_Overview!P45</f>
        <v>1</v>
      </c>
      <c r="F46" s="26">
        <f t="shared" ca="1" si="9"/>
        <v>1</v>
      </c>
      <c r="G46" s="26">
        <f ca="1">iMeasure_Overview!Q45</f>
        <v>30</v>
      </c>
      <c r="H46" s="26" cm="1">
        <f t="array" aca="1" ref="H46" ca="1">INDEX(auto_DataFlat_Score,G46,$E$11)</f>
        <v>60.9</v>
      </c>
      <c r="I46" s="26" cm="1">
        <f t="array" aca="1" ref="I46" ca="1">IF(F46=0,-1,INDEX(auto_DataFlat_Classification,G46,$E$11))</f>
        <v>4</v>
      </c>
      <c r="J46" s="4"/>
      <c r="K46" s="4"/>
      <c r="L46" s="4"/>
      <c r="M46" s="4"/>
      <c r="N46" s="4"/>
      <c r="O46" s="4"/>
      <c r="P46" s="4"/>
      <c r="Q46" s="4"/>
      <c r="R46" s="4"/>
      <c r="S46" s="4"/>
      <c r="T46" s="273"/>
      <c r="U46" s="317" t="str" cm="1">
        <f t="array" aca="1" ref="U46" ca="1">INDEX(uxbGlobals!$B$133:$B$139,I46)</f>
        <v xml:space="preserve"> </v>
      </c>
      <c r="V46" s="318"/>
      <c r="W46" s="356" t="str" cm="1">
        <f t="array" aca="1" ref="W46" ca="1">IF(F46=0,"",INDEX(auto_ddCountry,D46))</f>
        <v>Mexico City</v>
      </c>
      <c r="X46" s="356"/>
      <c r="Y46" s="356"/>
      <c r="Z46" s="356"/>
      <c r="AA46" s="356"/>
      <c r="AB46" s="356"/>
      <c r="AC46" s="357">
        <f t="shared" ca="1" si="4"/>
        <v>60.9</v>
      </c>
      <c r="AD46" s="357"/>
      <c r="AE46" s="318"/>
      <c r="AF46" s="318"/>
      <c r="AG46" s="318"/>
      <c r="AH46" s="318"/>
      <c r="AI46" s="318"/>
      <c r="AJ46" s="318"/>
      <c r="AK46" s="4"/>
      <c r="AL46" s="4"/>
      <c r="AM46" s="4"/>
      <c r="AN46" s="384"/>
      <c r="AO46" s="384"/>
      <c r="AP46" s="384"/>
      <c r="AQ46" s="380"/>
      <c r="AR46" s="380"/>
      <c r="AS46" s="380"/>
      <c r="AT46" s="380"/>
      <c r="AU46" s="380"/>
      <c r="AV46" s="380"/>
      <c r="AW46" s="376"/>
      <c r="AX46" s="345"/>
      <c r="AY46" s="345"/>
      <c r="AZ46" s="345"/>
      <c r="BA46" s="345"/>
      <c r="BB46" s="345"/>
      <c r="BC46" s="345"/>
      <c r="BD46" s="345"/>
      <c r="BE46" s="345"/>
      <c r="BF46" s="345"/>
      <c r="BG46" s="345"/>
      <c r="BH46" s="345"/>
      <c r="BI46" s="345"/>
      <c r="BJ46" s="345"/>
      <c r="BK46" s="345"/>
      <c r="BL46" s="345"/>
      <c r="BM46" s="345"/>
      <c r="BN46" s="345"/>
      <c r="BO46" s="345"/>
      <c r="BP46" s="345"/>
      <c r="BQ46" s="345"/>
      <c r="BR46" s="345"/>
      <c r="BS46" s="345"/>
      <c r="BT46" s="345"/>
      <c r="BU46" s="345"/>
      <c r="BV46" s="345"/>
      <c r="BW46" s="345"/>
      <c r="BX46" s="345"/>
      <c r="BY46" s="345"/>
      <c r="BZ46" s="345"/>
      <c r="CA46" s="345"/>
      <c r="CB46" s="345"/>
      <c r="CC46" s="345"/>
      <c r="CD46" s="345"/>
      <c r="CE46" s="345"/>
      <c r="CF46" s="4"/>
      <c r="CG46" s="311"/>
      <c r="CH46" s="4"/>
      <c r="CI46" s="312"/>
      <c r="CJ46" s="316" t="str" cm="1">
        <f t="array" aca="1" ref="CJ46" ca="1">IF(CM46=0,"",INDEX(auto_Series_NameNumbered,CM46))</f>
        <v>5.5) CVD management guidelines</v>
      </c>
      <c r="CK46" s="314"/>
      <c r="CL46" s="4">
        <v>33</v>
      </c>
      <c r="CM46" s="12" cm="1">
        <f t="array" aca="1" ref="CM46" ca="1">INDEX(OFFSET(auto_ss_Overview,0,1,300,1),CL46)</f>
        <v>59</v>
      </c>
      <c r="CN46" s="12" cm="1">
        <f t="array" aca="1" ref="CN46" ca="1">IF(CM46=0,0,INDEX(auto_Series_Depth,CM46))</f>
        <v>2</v>
      </c>
      <c r="CO46" s="12">
        <f ca="1">IF(CM46=$E$10,1,0)</f>
        <v>0</v>
      </c>
      <c r="CP46" s="12">
        <f ca="1">IF(CN46=1,0,IF(CM46=0,0,1))</f>
        <v>1</v>
      </c>
      <c r="CQ46" s="4"/>
      <c r="CR46" s="4"/>
      <c r="CS46" s="4"/>
      <c r="CT46" s="4"/>
      <c r="CU46" s="4"/>
      <c r="CV46" s="4"/>
      <c r="CW46" s="4"/>
      <c r="CX46" s="4"/>
      <c r="CY46" s="4"/>
      <c r="CZ46" s="4"/>
      <c r="DA46" s="4"/>
      <c r="DB46" s="4"/>
      <c r="DC46" s="4"/>
      <c r="DD46" s="4"/>
      <c r="DE46" s="4"/>
      <c r="DF46" s="4"/>
      <c r="DG46" s="4"/>
    </row>
    <row r="47" spans="1:111" ht="16" customHeight="1" thickTop="1" thickBot="1" x14ac:dyDescent="0.45">
      <c r="A47" s="4"/>
      <c r="B47" s="4"/>
      <c r="C47" s="26">
        <v>31</v>
      </c>
      <c r="D47" s="26">
        <f ca="1">iMeasure_Overview!O46</f>
        <v>18</v>
      </c>
      <c r="E47" s="26">
        <f ca="1">iMeasure_Overview!P46</f>
        <v>1</v>
      </c>
      <c r="F47" s="26">
        <f t="shared" ca="1" si="9"/>
        <v>1</v>
      </c>
      <c r="G47" s="26">
        <f ca="1">iMeasure_Overview!Q46</f>
        <v>18</v>
      </c>
      <c r="H47" s="26" cm="1">
        <f t="array" aca="1" ref="H47" ca="1">INDEX(auto_DataFlat_Score,G47,$E$11)</f>
        <v>60.4</v>
      </c>
      <c r="I47" s="26" cm="1">
        <f t="array" aca="1" ref="I47" ca="1">IF(F47=0,-1,INDEX(auto_DataFlat_Classification,G47,$E$11))</f>
        <v>4</v>
      </c>
      <c r="J47" s="4"/>
      <c r="K47" s="4"/>
      <c r="L47" s="4"/>
      <c r="M47" s="4"/>
      <c r="N47" s="4"/>
      <c r="O47" s="4"/>
      <c r="P47" s="4"/>
      <c r="Q47" s="4"/>
      <c r="R47" s="4"/>
      <c r="S47" s="4"/>
      <c r="T47" s="273"/>
      <c r="U47" s="317" t="str" cm="1">
        <f t="array" aca="1" ref="U47" ca="1">INDEX(uxbGlobals!$B$133:$B$139,I47)</f>
        <v xml:space="preserve"> </v>
      </c>
      <c r="V47" s="318"/>
      <c r="W47" s="356" t="str" cm="1">
        <f t="array" aca="1" ref="W47" ca="1">IF(F47=0,"",INDEX(auto_ddCountry,D47))</f>
        <v>Istanbul</v>
      </c>
      <c r="X47" s="356"/>
      <c r="Y47" s="356"/>
      <c r="Z47" s="356"/>
      <c r="AA47" s="356"/>
      <c r="AB47" s="356"/>
      <c r="AC47" s="357">
        <f t="shared" ca="1" si="4"/>
        <v>60.4</v>
      </c>
      <c r="AD47" s="357"/>
      <c r="AE47" s="318"/>
      <c r="AF47" s="318"/>
      <c r="AG47" s="318"/>
      <c r="AH47" s="318"/>
      <c r="AI47" s="318"/>
      <c r="AJ47" s="318"/>
      <c r="AK47" s="4"/>
      <c r="AL47" s="4"/>
      <c r="AM47" s="4"/>
      <c r="AN47" s="382"/>
      <c r="AO47" s="382"/>
      <c r="AP47" s="382"/>
      <c r="AQ47" s="381"/>
      <c r="AR47" s="381"/>
      <c r="AS47" s="381"/>
      <c r="AT47" s="381"/>
      <c r="AU47" s="381"/>
      <c r="AV47" s="381"/>
      <c r="AW47" s="377"/>
      <c r="AX47" s="378"/>
      <c r="AY47" s="378"/>
      <c r="AZ47" s="378"/>
      <c r="BA47" s="378"/>
      <c r="BB47" s="378"/>
      <c r="BC47" s="378"/>
      <c r="BD47" s="378"/>
      <c r="BE47" s="378"/>
      <c r="BF47" s="378"/>
      <c r="BG47" s="378"/>
      <c r="BH47" s="378"/>
      <c r="BI47" s="378"/>
      <c r="BJ47" s="378"/>
      <c r="BK47" s="378"/>
      <c r="BL47" s="378"/>
      <c r="BM47" s="378"/>
      <c r="BN47" s="378"/>
      <c r="BO47" s="378"/>
      <c r="BP47" s="378"/>
      <c r="BQ47" s="378"/>
      <c r="BR47" s="378"/>
      <c r="BS47" s="378"/>
      <c r="BT47" s="378"/>
      <c r="BU47" s="378"/>
      <c r="BV47" s="378"/>
      <c r="BW47" s="378"/>
      <c r="BX47" s="378"/>
      <c r="BY47" s="378"/>
      <c r="BZ47" s="378"/>
      <c r="CA47" s="378"/>
      <c r="CB47" s="378"/>
      <c r="CC47" s="378"/>
      <c r="CD47" s="378"/>
      <c r="CE47" s="378"/>
      <c r="CF47" s="4"/>
      <c r="CG47" s="311"/>
      <c r="CH47" s="4"/>
      <c r="CI47" s="312"/>
      <c r="CJ47" s="316" t="str" cm="1">
        <f t="array" aca="1" ref="CJ47" ca="1">IF(CM47=0,"",INDEX(auto_Series_NameNumbered,CM47))</f>
        <v>5.6) Treatment guidelines</v>
      </c>
      <c r="CK47" s="314"/>
      <c r="CL47" s="4">
        <v>34</v>
      </c>
      <c r="CM47" s="12" cm="1">
        <f t="array" aca="1" ref="CM47" ca="1">INDEX(OFFSET(auto_ss_Overview,0,1,300,1),CL47)</f>
        <v>60</v>
      </c>
      <c r="CN47" s="12" cm="1">
        <f t="array" aca="1" ref="CN47" ca="1">IF(CM47=0,0,INDEX(auto_Series_Depth,CM47))</f>
        <v>2</v>
      </c>
      <c r="CO47" s="12">
        <f t="shared" ref="CO47" ca="1" si="15">IF(CM47=$E$10,1,0)</f>
        <v>0</v>
      </c>
      <c r="CP47" s="12">
        <f t="shared" ref="CP47" ca="1" si="16">IF(CN47=1,0,IF(CM47=0,0,1))</f>
        <v>1</v>
      </c>
      <c r="CQ47" s="4"/>
      <c r="CR47" s="4"/>
      <c r="CS47" s="4"/>
      <c r="CT47" s="4"/>
      <c r="CU47" s="4"/>
      <c r="CV47" s="4"/>
      <c r="CW47" s="4"/>
      <c r="CX47" s="4"/>
      <c r="CY47" s="4"/>
      <c r="CZ47" s="4"/>
      <c r="DA47" s="4"/>
      <c r="DB47" s="4"/>
      <c r="DC47" s="4"/>
      <c r="DD47" s="4"/>
      <c r="DE47" s="4"/>
      <c r="DF47" s="4"/>
      <c r="DG47" s="4"/>
    </row>
    <row r="48" spans="1:111" ht="16" customHeight="1" thickTop="1" thickBot="1" x14ac:dyDescent="0.45">
      <c r="A48" s="4"/>
      <c r="B48" s="4"/>
      <c r="C48" s="26">
        <v>32</v>
      </c>
      <c r="D48" s="26">
        <f ca="1">iMeasure_Overview!O47</f>
        <v>49</v>
      </c>
      <c r="E48" s="26">
        <f ca="1">iMeasure_Overview!P47</f>
        <v>1</v>
      </c>
      <c r="F48" s="26">
        <f t="shared" ca="1" si="9"/>
        <v>1</v>
      </c>
      <c r="G48" s="26">
        <f ca="1">iMeasure_Overview!Q47</f>
        <v>49</v>
      </c>
      <c r="H48" s="26" cm="1">
        <f t="array" aca="1" ref="H48" ca="1">INDEX(auto_DataFlat_Score,G48,$E$11)</f>
        <v>57.3</v>
      </c>
      <c r="I48" s="26" cm="1">
        <f t="array" aca="1" ref="I48" ca="1">IF(F48=0,-1,INDEX(auto_DataFlat_Classification,G48,$E$11))</f>
        <v>3</v>
      </c>
      <c r="J48" s="4">
        <v>4</v>
      </c>
      <c r="K48" s="4" t="str" cm="1">
        <f t="array" ref="K48">INDEX(uxbGlobals!$C$169:$C$175,J48)</f>
        <v xml:space="preserve"> 
Score 60.0-79.9</v>
      </c>
      <c r="L48" s="4" t="str" cm="1">
        <f t="array" ref="L48">INDEX(uxbGlobals!$B$133:$B$139,J48)</f>
        <v xml:space="preserve"> </v>
      </c>
      <c r="M48" s="4" t="str" cm="1">
        <f t="array" ref="M48">INDEX(uxbGlobals!$B$169:$B$175,J48)</f>
        <v>Score 60.0-79.9</v>
      </c>
      <c r="N48" s="4" t="str" cm="1">
        <f t="array" aca="1" ref="N48" ca="1">INDEX(iMeasure_Overview!$BG$12:$BN$12,J48)</f>
        <v>Atlanta • Auckland • Bangkok • Beijing • Berlin • Bogotá • Budapest • Dubai • Helsinki • Ho Chi Minh City • Istanbul • Jakarta • Madrid • Melbourne • Mexico City • Moscow • New York City • Osaka • Paris • Rome • San Francisco • São Paulo • Seoul • Shanghai • Singapore • Sydney • Tokyo • Toronto • Vienna</v>
      </c>
      <c r="O48" s="4"/>
      <c r="P48" s="4"/>
      <c r="Q48" s="4"/>
      <c r="R48" s="4"/>
      <c r="S48" s="4"/>
      <c r="T48" s="273"/>
      <c r="U48" s="317" t="str" cm="1">
        <f t="array" aca="1" ref="U48" ca="1">INDEX(uxbGlobals!$B$133:$B$139,I48)</f>
        <v xml:space="preserve"> </v>
      </c>
      <c r="V48" s="318"/>
      <c r="W48" s="356" t="str" cm="1">
        <f t="array" aca="1" ref="W48" ca="1">IF(F48=0,"",INDEX(auto_ddCountry,D48))</f>
        <v>Wuhan</v>
      </c>
      <c r="X48" s="356"/>
      <c r="Y48" s="356"/>
      <c r="Z48" s="356"/>
      <c r="AA48" s="356"/>
      <c r="AB48" s="356"/>
      <c r="AC48" s="357">
        <f t="shared" ca="1" si="4"/>
        <v>57.3</v>
      </c>
      <c r="AD48" s="357"/>
      <c r="AE48" s="318"/>
      <c r="AF48" s="318"/>
      <c r="AG48" s="318"/>
      <c r="AH48" s="318"/>
      <c r="AI48" s="318"/>
      <c r="AJ48" s="318"/>
      <c r="AK48" s="4"/>
      <c r="AL48" s="4"/>
      <c r="AM48" s="4"/>
      <c r="AN48" s="321"/>
      <c r="AO48" s="321"/>
      <c r="AP48" s="321"/>
      <c r="AQ48" s="379" t="str">
        <f>M48</f>
        <v>Score 60.0-79.9</v>
      </c>
      <c r="AR48" s="379"/>
      <c r="AS48" s="379"/>
      <c r="AT48" s="379"/>
      <c r="AU48" s="379"/>
      <c r="AV48" s="379"/>
      <c r="AW48" s="375" t="s">
        <v>9790</v>
      </c>
      <c r="AX48" s="375"/>
      <c r="AY48" s="375"/>
      <c r="AZ48" s="375"/>
      <c r="BA48" s="375"/>
      <c r="BB48" s="375"/>
      <c r="BC48" s="375"/>
      <c r="BD48" s="375"/>
      <c r="BE48" s="375"/>
      <c r="BF48" s="375"/>
      <c r="BG48" s="375"/>
      <c r="BH48" s="375"/>
      <c r="BI48" s="375"/>
      <c r="BJ48" s="375"/>
      <c r="BK48" s="375"/>
      <c r="BL48" s="375"/>
      <c r="BM48" s="375"/>
      <c r="BN48" s="375"/>
      <c r="BO48" s="375"/>
      <c r="BP48" s="375"/>
      <c r="BQ48" s="375"/>
      <c r="BR48" s="375"/>
      <c r="BS48" s="375"/>
      <c r="BT48" s="375"/>
      <c r="BU48" s="375"/>
      <c r="BV48" s="375"/>
      <c r="BW48" s="375"/>
      <c r="BX48" s="375"/>
      <c r="BY48" s="375"/>
      <c r="BZ48" s="375"/>
      <c r="CA48" s="375"/>
      <c r="CB48" s="375"/>
      <c r="CC48" s="375"/>
      <c r="CD48" s="375"/>
      <c r="CE48" s="375"/>
      <c r="CF48" s="4"/>
      <c r="CG48" s="311"/>
      <c r="CH48" s="4"/>
      <c r="CI48" s="312"/>
      <c r="CJ48" s="316" t="str" cm="1">
        <f t="array" aca="1" ref="CJ48" ca="1">IF(CM48=0,"",INDEX(auto_Series_NameNumbered,CM48))</f>
        <v>5.7) Tobacco control</v>
      </c>
      <c r="CK48" s="314"/>
      <c r="CL48" s="4">
        <v>35</v>
      </c>
      <c r="CM48" s="12" cm="1">
        <f t="array" aca="1" ref="CM48" ca="1">INDEX(OFFSET(auto_ss_Overview,0,1,300,1),CL48)</f>
        <v>61</v>
      </c>
      <c r="CN48" s="12" cm="1">
        <f t="array" aca="1" ref="CN48" ca="1">IF(CM48=0,0,INDEX(auto_Series_Depth,CM48))</f>
        <v>2</v>
      </c>
      <c r="CO48" s="12">
        <f ca="1">IF(CM48=$E$10,1,0)</f>
        <v>0</v>
      </c>
      <c r="CP48" s="12">
        <f ca="1">IF(CN48=1,0,IF(CM48=0,0,1))</f>
        <v>1</v>
      </c>
      <c r="CQ48" s="4"/>
      <c r="CR48" s="4"/>
      <c r="CS48" s="4"/>
      <c r="CT48" s="4"/>
      <c r="CU48" s="4"/>
      <c r="CV48" s="4"/>
      <c r="CW48" s="4"/>
      <c r="CX48" s="4"/>
      <c r="CY48" s="4"/>
      <c r="CZ48" s="4"/>
      <c r="DA48" s="4"/>
      <c r="DB48" s="4"/>
      <c r="DC48" s="4"/>
      <c r="DD48" s="4"/>
      <c r="DE48" s="4"/>
      <c r="DF48" s="4"/>
      <c r="DG48" s="4"/>
    </row>
    <row r="49" spans="1:111" ht="16" customHeight="1" thickTop="1" thickBot="1" x14ac:dyDescent="0.45">
      <c r="A49" s="4"/>
      <c r="B49" s="4"/>
      <c r="C49" s="26">
        <v>33</v>
      </c>
      <c r="D49" s="26">
        <f ca="1">iMeasure_Overview!O48</f>
        <v>12</v>
      </c>
      <c r="E49" s="26">
        <f ca="1">iMeasure_Overview!P48</f>
        <v>1</v>
      </c>
      <c r="F49" s="26">
        <f t="shared" ca="1" si="9"/>
        <v>1</v>
      </c>
      <c r="G49" s="26">
        <f ca="1">iMeasure_Overview!Q48</f>
        <v>12</v>
      </c>
      <c r="H49" s="26" cm="1">
        <f t="array" aca="1" ref="H49" ca="1">INDEX(auto_DataFlat_Score,G49,$E$11)</f>
        <v>56.8</v>
      </c>
      <c r="I49" s="26" cm="1">
        <f t="array" aca="1" ref="I49" ca="1">IF(F49=0,-1,INDEX(auto_DataFlat_Classification,G49,$E$11))</f>
        <v>3</v>
      </c>
      <c r="J49" s="4"/>
      <c r="K49" s="4"/>
      <c r="L49" s="4"/>
      <c r="M49" s="4"/>
      <c r="N49" s="4"/>
      <c r="O49" s="4"/>
      <c r="P49" s="4"/>
      <c r="Q49" s="4"/>
      <c r="R49" s="4"/>
      <c r="S49" s="4"/>
      <c r="T49" s="273"/>
      <c r="U49" s="317" t="str" cm="1">
        <f t="array" aca="1" ref="U49" ca="1">INDEX(uxbGlobals!$B$133:$B$139,I49)</f>
        <v xml:space="preserve"> </v>
      </c>
      <c r="V49" s="318"/>
      <c r="W49" s="356" t="str" cm="1">
        <f t="array" aca="1" ref="W49" ca="1">IF(F49=0,"",INDEX(auto_ddCountry,D49))</f>
        <v>Delhi</v>
      </c>
      <c r="X49" s="356"/>
      <c r="Y49" s="356"/>
      <c r="Z49" s="356"/>
      <c r="AA49" s="356"/>
      <c r="AB49" s="356"/>
      <c r="AC49" s="357">
        <f t="shared" ca="1" si="4"/>
        <v>56.8</v>
      </c>
      <c r="AD49" s="357"/>
      <c r="AE49" s="318"/>
      <c r="AF49" s="318"/>
      <c r="AG49" s="318"/>
      <c r="AH49" s="318"/>
      <c r="AI49" s="318"/>
      <c r="AJ49" s="318"/>
      <c r="AK49" s="4"/>
      <c r="AL49" s="4"/>
      <c r="AM49" s="4"/>
      <c r="AN49" s="322"/>
      <c r="AO49" s="322"/>
      <c r="AP49" s="322"/>
      <c r="AQ49" s="380"/>
      <c r="AR49" s="380"/>
      <c r="AS49" s="380"/>
      <c r="AT49" s="380"/>
      <c r="AU49" s="380"/>
      <c r="AV49" s="380"/>
      <c r="AW49" s="376"/>
      <c r="AX49" s="345"/>
      <c r="AY49" s="345"/>
      <c r="AZ49" s="345"/>
      <c r="BA49" s="345"/>
      <c r="BB49" s="345"/>
      <c r="BC49" s="345"/>
      <c r="BD49" s="345"/>
      <c r="BE49" s="345"/>
      <c r="BF49" s="345"/>
      <c r="BG49" s="345"/>
      <c r="BH49" s="345"/>
      <c r="BI49" s="345"/>
      <c r="BJ49" s="345"/>
      <c r="BK49" s="345"/>
      <c r="BL49" s="345"/>
      <c r="BM49" s="345"/>
      <c r="BN49" s="345"/>
      <c r="BO49" s="345"/>
      <c r="BP49" s="345"/>
      <c r="BQ49" s="345"/>
      <c r="BR49" s="345"/>
      <c r="BS49" s="345"/>
      <c r="BT49" s="345"/>
      <c r="BU49" s="345"/>
      <c r="BV49" s="345"/>
      <c r="BW49" s="345"/>
      <c r="BX49" s="345"/>
      <c r="BY49" s="345"/>
      <c r="BZ49" s="345"/>
      <c r="CA49" s="345"/>
      <c r="CB49" s="345"/>
      <c r="CC49" s="345"/>
      <c r="CD49" s="345"/>
      <c r="CE49" s="345"/>
      <c r="CF49" s="4"/>
      <c r="CG49" s="311"/>
      <c r="CH49" s="4"/>
      <c r="CI49" s="312"/>
      <c r="CJ49" s="316" t="str" cm="1">
        <f t="array" aca="1" ref="CJ49" ca="1">IF(CM49=0,"",INDEX(auto_Series_NameNumbered,CM49))</f>
        <v>5.8) Air pollution control</v>
      </c>
      <c r="CK49" s="314"/>
      <c r="CL49" s="4">
        <v>36</v>
      </c>
      <c r="CM49" s="12" cm="1">
        <f t="array" aca="1" ref="CM49" ca="1">INDEX(OFFSET(auto_ss_Overview,0,1,300,1),CL49)</f>
        <v>62</v>
      </c>
      <c r="CN49" s="12" cm="1">
        <f t="array" aca="1" ref="CN49" ca="1">IF(CM49=0,0,INDEX(auto_Series_Depth,CM49))</f>
        <v>2</v>
      </c>
      <c r="CO49" s="12">
        <f t="shared" ref="CO49" ca="1" si="17">IF(CM49=$E$10,1,0)</f>
        <v>0</v>
      </c>
      <c r="CP49" s="12">
        <f t="shared" ref="CP49" ca="1" si="18">IF(CN49=1,0,IF(CM49=0,0,1))</f>
        <v>1</v>
      </c>
      <c r="CQ49" s="4"/>
      <c r="CR49" s="4"/>
      <c r="CS49" s="4"/>
      <c r="CT49" s="4"/>
      <c r="CU49" s="4"/>
      <c r="CV49" s="4"/>
      <c r="CW49" s="4"/>
      <c r="CX49" s="4"/>
      <c r="CY49" s="4"/>
      <c r="CZ49" s="4"/>
      <c r="DA49" s="4"/>
      <c r="DB49" s="4"/>
      <c r="DC49" s="4"/>
      <c r="DD49" s="4"/>
      <c r="DE49" s="4"/>
      <c r="DF49" s="4"/>
      <c r="DG49" s="4"/>
    </row>
    <row r="50" spans="1:111" ht="16" customHeight="1" thickTop="1" thickBot="1" x14ac:dyDescent="0.45">
      <c r="A50" s="4"/>
      <c r="B50" s="4"/>
      <c r="C50" s="26">
        <v>34</v>
      </c>
      <c r="D50" s="26">
        <f ca="1">iMeasure_Overview!O49</f>
        <v>32</v>
      </c>
      <c r="E50" s="26">
        <f ca="1">iMeasure_Overview!P49</f>
        <v>1</v>
      </c>
      <c r="F50" s="26">
        <f t="shared" ref="F50:F65" ca="1" si="19">IF(E50=0,1,E50)</f>
        <v>1</v>
      </c>
      <c r="G50" s="26">
        <f ca="1">iMeasure_Overview!Q49</f>
        <v>32</v>
      </c>
      <c r="H50" s="26" cm="1">
        <f t="array" aca="1" ref="H50" ca="1">INDEX(auto_DataFlat_Score,G50,$E$11)</f>
        <v>53.2</v>
      </c>
      <c r="I50" s="26" cm="1">
        <f t="array" aca="1" ref="I50" ca="1">IF(F50=0,-1,INDEX(auto_DataFlat_Classification,G50,$E$11))</f>
        <v>3</v>
      </c>
      <c r="J50" s="4"/>
      <c r="K50" s="4"/>
      <c r="L50" s="4"/>
      <c r="M50" s="4"/>
      <c r="N50" s="4"/>
      <c r="O50" s="4"/>
      <c r="P50" s="4"/>
      <c r="Q50" s="4"/>
      <c r="R50" s="4"/>
      <c r="S50" s="4"/>
      <c r="T50" s="323"/>
      <c r="U50" s="317" t="str" cm="1">
        <f t="array" aca="1" ref="U50" ca="1">INDEX(uxbGlobals!$B$133:$B$139,I50)</f>
        <v xml:space="preserve"> </v>
      </c>
      <c r="V50" s="318"/>
      <c r="W50" s="356" t="str" cm="1">
        <f t="array" aca="1" ref="W50" ca="1">IF(F50=0,"",INDEX(auto_ddCountry,D50))</f>
        <v>Mumbai</v>
      </c>
      <c r="X50" s="356"/>
      <c r="Y50" s="356"/>
      <c r="Z50" s="356"/>
      <c r="AA50" s="356"/>
      <c r="AB50" s="356"/>
      <c r="AC50" s="357">
        <f t="shared" ca="1" si="4"/>
        <v>53.2</v>
      </c>
      <c r="AD50" s="357"/>
      <c r="AE50" s="318"/>
      <c r="AF50" s="318"/>
      <c r="AG50" s="318"/>
      <c r="AH50" s="318"/>
      <c r="AI50" s="318"/>
      <c r="AJ50" s="318"/>
      <c r="AK50" s="4"/>
      <c r="AL50" s="4"/>
      <c r="AM50" s="4"/>
      <c r="AN50" s="324"/>
      <c r="AO50" s="324"/>
      <c r="AP50" s="324"/>
      <c r="AQ50" s="381"/>
      <c r="AR50" s="381"/>
      <c r="AS50" s="381"/>
      <c r="AT50" s="381"/>
      <c r="AU50" s="381"/>
      <c r="AV50" s="381"/>
      <c r="AW50" s="377"/>
      <c r="AX50" s="378"/>
      <c r="AY50" s="378"/>
      <c r="AZ50" s="378"/>
      <c r="BA50" s="378"/>
      <c r="BB50" s="378"/>
      <c r="BC50" s="378"/>
      <c r="BD50" s="378"/>
      <c r="BE50" s="378"/>
      <c r="BF50" s="378"/>
      <c r="BG50" s="378"/>
      <c r="BH50" s="378"/>
      <c r="BI50" s="378"/>
      <c r="BJ50" s="378"/>
      <c r="BK50" s="378"/>
      <c r="BL50" s="378"/>
      <c r="BM50" s="378"/>
      <c r="BN50" s="378"/>
      <c r="BO50" s="378"/>
      <c r="BP50" s="378"/>
      <c r="BQ50" s="378"/>
      <c r="BR50" s="378"/>
      <c r="BS50" s="378"/>
      <c r="BT50" s="378"/>
      <c r="BU50" s="378"/>
      <c r="BV50" s="378"/>
      <c r="BW50" s="378"/>
      <c r="BX50" s="378"/>
      <c r="BY50" s="378"/>
      <c r="BZ50" s="378"/>
      <c r="CA50" s="378"/>
      <c r="CB50" s="378"/>
      <c r="CC50" s="378"/>
      <c r="CD50" s="378"/>
      <c r="CE50" s="378"/>
      <c r="CF50" s="4"/>
      <c r="CG50" s="311"/>
      <c r="CH50" s="4"/>
      <c r="CI50" s="312"/>
      <c r="CJ50" s="316" t="str" cm="1">
        <f t="array" aca="1" ref="CJ50" ca="1">IF(CM50=0,"",INDEX(auto_Series_NameNumbered,CM50))</f>
        <v>5.9) Health promotion</v>
      </c>
      <c r="CK50" s="314"/>
      <c r="CL50" s="4">
        <v>37</v>
      </c>
      <c r="CM50" s="12" cm="1">
        <f t="array" aca="1" ref="CM50" ca="1">INDEX(OFFSET(auto_ss_Overview,0,1,300,1),CL50)</f>
        <v>63</v>
      </c>
      <c r="CN50" s="12" cm="1">
        <f t="array" aca="1" ref="CN50" ca="1">IF(CM50=0,0,INDEX(auto_Series_Depth,CM50))</f>
        <v>2</v>
      </c>
      <c r="CO50" s="12">
        <f ca="1">IF(CM50=$E$10,1,0)</f>
        <v>0</v>
      </c>
      <c r="CP50" s="12">
        <f ca="1">IF(CN50=1,0,IF(CM50=0,0,1))</f>
        <v>1</v>
      </c>
      <c r="CQ50" s="4"/>
      <c r="CR50" s="4"/>
      <c r="CS50" s="4"/>
      <c r="CT50" s="4"/>
      <c r="CU50" s="4"/>
      <c r="CV50" s="4"/>
      <c r="CW50" s="4"/>
      <c r="CX50" s="4"/>
      <c r="CY50" s="4"/>
      <c r="CZ50" s="4"/>
      <c r="DA50" s="4"/>
      <c r="DB50" s="4"/>
      <c r="DC50" s="4"/>
      <c r="DD50" s="4"/>
      <c r="DE50" s="4"/>
      <c r="DF50" s="4"/>
      <c r="DG50" s="4"/>
    </row>
    <row r="51" spans="1:111" ht="16" customHeight="1" thickTop="1" thickBot="1" x14ac:dyDescent="0.45">
      <c r="A51" s="4"/>
      <c r="B51" s="4"/>
      <c r="C51" s="26">
        <v>35</v>
      </c>
      <c r="D51" s="26">
        <f ca="1">iMeasure_Overview!O50</f>
        <v>20</v>
      </c>
      <c r="E51" s="26">
        <f ca="1">iMeasure_Overview!P50</f>
        <v>1</v>
      </c>
      <c r="F51" s="26">
        <f t="shared" ca="1" si="19"/>
        <v>1</v>
      </c>
      <c r="G51" s="26">
        <f ca="1">iMeasure_Overview!Q50</f>
        <v>20</v>
      </c>
      <c r="H51" s="26" cm="1">
        <f t="array" aca="1" ref="H51" ca="1">INDEX(auto_DataFlat_Score,G51,$E$11)</f>
        <v>52.5</v>
      </c>
      <c r="I51" s="26" cm="1">
        <f t="array" aca="1" ref="I51" ca="1">IF(F51=0,-1,INDEX(auto_DataFlat_Classification,G51,$E$11))</f>
        <v>3</v>
      </c>
      <c r="J51" s="4">
        <v>3</v>
      </c>
      <c r="K51" s="4" t="str" cm="1">
        <f t="array" ref="K51">INDEX(uxbGlobals!$C$169:$C$175,J51)</f>
        <v xml:space="preserve"> 
Score 40.0-59.9</v>
      </c>
      <c r="L51" s="4" t="str" cm="1">
        <f t="array" ref="L51">INDEX(uxbGlobals!$B$133:$B$139,J51)</f>
        <v xml:space="preserve"> </v>
      </c>
      <c r="M51" s="4" t="str" cm="1">
        <f t="array" ref="M51">INDEX(uxbGlobals!$B$169:$B$175,J51)</f>
        <v>Score 40.0-59.9</v>
      </c>
      <c r="N51" s="4" t="str" cm="1">
        <f t="array" aca="1" ref="N51" ca="1">INDEX(iMeasure_Overview!$BG$12:$BN$12,J51)</f>
        <v>Addis Ababa • Algiers • Cairo • Colombo • Delhi • Dhaka • Johannesburg • Karachi • Kathmandu • Kolkata • Kuwait City • Lagos • Manila • Mumbai • Nairobi • Phnom Penh • Riyadh • Wuhan • Yangon</v>
      </c>
      <c r="O51" s="4"/>
      <c r="P51" s="4"/>
      <c r="Q51" s="4"/>
      <c r="R51" s="4"/>
      <c r="S51" s="4"/>
      <c r="T51" s="4"/>
      <c r="U51" s="317" t="str" cm="1">
        <f t="array" aca="1" ref="U51" ca="1">INDEX(uxbGlobals!$B$133:$B$139,I51)</f>
        <v xml:space="preserve"> </v>
      </c>
      <c r="V51" s="318"/>
      <c r="W51" s="356" t="str" cm="1">
        <f t="array" aca="1" ref="W51" ca="1">IF(F51=0,"",INDEX(auto_ddCountry,D51))</f>
        <v>Johannesburg</v>
      </c>
      <c r="X51" s="356"/>
      <c r="Y51" s="356"/>
      <c r="Z51" s="356"/>
      <c r="AA51" s="356"/>
      <c r="AB51" s="356"/>
      <c r="AC51" s="357">
        <f t="shared" ca="1" si="4"/>
        <v>52.5</v>
      </c>
      <c r="AD51" s="357"/>
      <c r="AE51" s="318"/>
      <c r="AF51" s="318"/>
      <c r="AG51" s="318"/>
      <c r="AH51" s="318"/>
      <c r="AI51" s="318"/>
      <c r="AJ51" s="318"/>
      <c r="AK51" s="4"/>
      <c r="AL51" s="4"/>
      <c r="AM51" s="4"/>
      <c r="AN51" s="325"/>
      <c r="AO51" s="325"/>
      <c r="AP51" s="325"/>
      <c r="AQ51" s="379" t="str">
        <f>M51</f>
        <v>Score 40.0-59.9</v>
      </c>
      <c r="AR51" s="379"/>
      <c r="AS51" s="379"/>
      <c r="AT51" s="379"/>
      <c r="AU51" s="379"/>
      <c r="AV51" s="379"/>
      <c r="AW51" s="375" t="s">
        <v>9791</v>
      </c>
      <c r="AX51" s="375"/>
      <c r="AY51" s="375"/>
      <c r="AZ51" s="375"/>
      <c r="BA51" s="375"/>
      <c r="BB51" s="375"/>
      <c r="BC51" s="375"/>
      <c r="BD51" s="375"/>
      <c r="BE51" s="375"/>
      <c r="BF51" s="375"/>
      <c r="BG51" s="375"/>
      <c r="BH51" s="375"/>
      <c r="BI51" s="375"/>
      <c r="BJ51" s="375"/>
      <c r="BK51" s="375"/>
      <c r="BL51" s="375"/>
      <c r="BM51" s="375"/>
      <c r="BN51" s="375"/>
      <c r="BO51" s="375"/>
      <c r="BP51" s="375"/>
      <c r="BQ51" s="375"/>
      <c r="BR51" s="375"/>
      <c r="BS51" s="375"/>
      <c r="BT51" s="375"/>
      <c r="BU51" s="375"/>
      <c r="BV51" s="375"/>
      <c r="BW51" s="375"/>
      <c r="BX51" s="375"/>
      <c r="BY51" s="375"/>
      <c r="BZ51" s="375"/>
      <c r="CA51" s="375"/>
      <c r="CB51" s="375"/>
      <c r="CC51" s="375"/>
      <c r="CD51" s="375"/>
      <c r="CE51" s="375"/>
      <c r="CF51" s="4"/>
      <c r="CG51" s="4"/>
      <c r="CH51" s="4"/>
      <c r="CI51" s="312"/>
      <c r="CJ51" s="316" t="str" cm="1">
        <f t="array" aca="1" ref="CJ51" ca="1">IF(CM51=0,"",INDEX(auto_Series_NameNumbered,CM51))</f>
        <v/>
      </c>
      <c r="CK51" s="314"/>
      <c r="CL51" s="4">
        <v>38</v>
      </c>
      <c r="CM51" s="12" cm="1">
        <f t="array" aca="1" ref="CM51" ca="1">INDEX(OFFSET(auto_ss_Overview,0,1,300,1),CL51)</f>
        <v>0</v>
      </c>
      <c r="CN51" s="12" cm="1">
        <f t="array" aca="1" ref="CN51" ca="1">IF(CM51=0,0,INDEX(auto_Series_Depth,CM51))</f>
        <v>0</v>
      </c>
      <c r="CO51" s="12">
        <f t="shared" ref="CO51" ca="1" si="20">IF(CM51=$E$10,1,0)</f>
        <v>0</v>
      </c>
      <c r="CP51" s="12">
        <f t="shared" ref="CP51" ca="1" si="21">IF(CN51=1,0,IF(CM51=0,0,1))</f>
        <v>0</v>
      </c>
      <c r="CQ51" s="4"/>
      <c r="CR51" s="4"/>
      <c r="CS51" s="4"/>
      <c r="CT51" s="4"/>
      <c r="CU51" s="4"/>
      <c r="CV51" s="4"/>
      <c r="CW51" s="4"/>
      <c r="CX51" s="4"/>
      <c r="CY51" s="4"/>
      <c r="CZ51" s="4"/>
      <c r="DA51" s="4"/>
      <c r="DB51" s="4"/>
      <c r="DC51" s="4"/>
      <c r="DD51" s="4"/>
      <c r="DE51" s="4"/>
      <c r="DF51" s="4"/>
      <c r="DG51" s="4"/>
    </row>
    <row r="52" spans="1:111" ht="16" customHeight="1" thickTop="1" thickBot="1" x14ac:dyDescent="0.45">
      <c r="A52" s="4"/>
      <c r="B52" s="4"/>
      <c r="C52" s="26">
        <v>36</v>
      </c>
      <c r="D52" s="26">
        <f ca="1">iMeasure_Overview!O51</f>
        <v>33</v>
      </c>
      <c r="E52" s="26">
        <f ca="1">iMeasure_Overview!P51</f>
        <v>1</v>
      </c>
      <c r="F52" s="26">
        <f t="shared" ca="1" si="19"/>
        <v>1</v>
      </c>
      <c r="G52" s="26">
        <f ca="1">iMeasure_Overview!Q51</f>
        <v>33</v>
      </c>
      <c r="H52" s="26" cm="1">
        <f t="array" aca="1" ref="H52" ca="1">INDEX(auto_DataFlat_Score,G52,$E$11)</f>
        <v>52.2</v>
      </c>
      <c r="I52" s="26" cm="1">
        <f t="array" aca="1" ref="I52" ca="1">IF(F52=0,-1,INDEX(auto_DataFlat_Classification,G52,$E$11))</f>
        <v>3</v>
      </c>
      <c r="J52" s="4"/>
      <c r="K52" s="4"/>
      <c r="L52" s="4"/>
      <c r="M52" s="4"/>
      <c r="N52" s="4"/>
      <c r="O52" s="4"/>
      <c r="P52" s="4"/>
      <c r="Q52" s="4"/>
      <c r="R52" s="4"/>
      <c r="S52" s="4"/>
      <c r="T52" s="4"/>
      <c r="U52" s="317" t="str" cm="1">
        <f t="array" aca="1" ref="U52" ca="1">INDEX(uxbGlobals!$B$133:$B$139,I52)</f>
        <v xml:space="preserve"> </v>
      </c>
      <c r="V52" s="318"/>
      <c r="W52" s="356" t="str" cm="1">
        <f t="array" aca="1" ref="W52" ca="1">IF(F52=0,"",INDEX(auto_ddCountry,D52))</f>
        <v>Nairobi</v>
      </c>
      <c r="X52" s="356"/>
      <c r="Y52" s="356"/>
      <c r="Z52" s="356"/>
      <c r="AA52" s="356"/>
      <c r="AB52" s="356"/>
      <c r="AC52" s="357">
        <f t="shared" ca="1" si="4"/>
        <v>52.2</v>
      </c>
      <c r="AD52" s="357"/>
      <c r="AE52" s="318"/>
      <c r="AF52" s="318"/>
      <c r="AG52" s="318"/>
      <c r="AH52" s="318"/>
      <c r="AI52" s="318"/>
      <c r="AJ52" s="318"/>
      <c r="AK52" s="4"/>
      <c r="AL52" s="4"/>
      <c r="AM52" s="4"/>
      <c r="AN52" s="326"/>
      <c r="AO52" s="326"/>
      <c r="AP52" s="326"/>
      <c r="AQ52" s="380"/>
      <c r="AR52" s="380"/>
      <c r="AS52" s="380"/>
      <c r="AT52" s="380"/>
      <c r="AU52" s="380"/>
      <c r="AV52" s="380"/>
      <c r="AW52" s="376"/>
      <c r="AX52" s="345"/>
      <c r="AY52" s="345"/>
      <c r="AZ52" s="345"/>
      <c r="BA52" s="345"/>
      <c r="BB52" s="345"/>
      <c r="BC52" s="345"/>
      <c r="BD52" s="345"/>
      <c r="BE52" s="345"/>
      <c r="BF52" s="345"/>
      <c r="BG52" s="345"/>
      <c r="BH52" s="345"/>
      <c r="BI52" s="345"/>
      <c r="BJ52" s="345"/>
      <c r="BK52" s="345"/>
      <c r="BL52" s="345"/>
      <c r="BM52" s="345"/>
      <c r="BN52" s="345"/>
      <c r="BO52" s="345"/>
      <c r="BP52" s="345"/>
      <c r="BQ52" s="345"/>
      <c r="BR52" s="345"/>
      <c r="BS52" s="345"/>
      <c r="BT52" s="345"/>
      <c r="BU52" s="345"/>
      <c r="BV52" s="345"/>
      <c r="BW52" s="345"/>
      <c r="BX52" s="345"/>
      <c r="BY52" s="345"/>
      <c r="BZ52" s="345"/>
      <c r="CA52" s="345"/>
      <c r="CB52" s="345"/>
      <c r="CC52" s="345"/>
      <c r="CD52" s="345"/>
      <c r="CE52" s="345"/>
      <c r="CF52" s="4"/>
      <c r="CG52" s="4"/>
      <c r="CH52" s="4"/>
      <c r="CI52" s="312"/>
      <c r="CJ52" s="10"/>
      <c r="CK52" s="314"/>
      <c r="CL52" s="4"/>
      <c r="CM52" s="4"/>
      <c r="CN52" s="4"/>
      <c r="CO52" s="4"/>
      <c r="CP52" s="4"/>
      <c r="CQ52" s="4"/>
      <c r="CR52" s="4"/>
      <c r="CS52" s="4"/>
      <c r="CT52" s="4"/>
      <c r="CU52" s="4"/>
      <c r="CV52" s="4"/>
      <c r="CW52" s="4"/>
      <c r="CX52" s="4"/>
      <c r="CY52" s="4"/>
      <c r="CZ52" s="4"/>
      <c r="DA52" s="4"/>
      <c r="DB52" s="4"/>
      <c r="DC52" s="4"/>
      <c r="DD52" s="4"/>
      <c r="DE52" s="4"/>
      <c r="DF52" s="4"/>
      <c r="DG52" s="4"/>
    </row>
    <row r="53" spans="1:111" ht="16" customHeight="1" thickTop="1" thickBot="1" x14ac:dyDescent="0.45">
      <c r="A53" s="4"/>
      <c r="B53" s="4"/>
      <c r="C53" s="26">
        <v>37</v>
      </c>
      <c r="D53" s="26">
        <f ca="1">iMeasure_Overview!O52</f>
        <v>23</v>
      </c>
      <c r="E53" s="26">
        <f ca="1">iMeasure_Overview!P52</f>
        <v>1</v>
      </c>
      <c r="F53" s="26">
        <f t="shared" ca="1" si="19"/>
        <v>1</v>
      </c>
      <c r="G53" s="26">
        <f ca="1">iMeasure_Overview!Q52</f>
        <v>23</v>
      </c>
      <c r="H53" s="26" cm="1">
        <f t="array" aca="1" ref="H53" ca="1">INDEX(auto_DataFlat_Score,G53,$E$11)</f>
        <v>51.8</v>
      </c>
      <c r="I53" s="26" cm="1">
        <f t="array" aca="1" ref="I53" ca="1">IF(F53=0,-1,INDEX(auto_DataFlat_Classification,G53,$E$11))</f>
        <v>3</v>
      </c>
      <c r="J53" s="4"/>
      <c r="K53" s="4"/>
      <c r="L53" s="4"/>
      <c r="M53" s="4"/>
      <c r="N53" s="4"/>
      <c r="O53" s="4"/>
      <c r="P53" s="4"/>
      <c r="Q53" s="4"/>
      <c r="R53" s="4"/>
      <c r="S53" s="4"/>
      <c r="T53" s="4"/>
      <c r="U53" s="317" t="str" cm="1">
        <f t="array" aca="1" ref="U53" ca="1">INDEX(uxbGlobals!$B$133:$B$139,I53)</f>
        <v xml:space="preserve"> </v>
      </c>
      <c r="V53" s="318"/>
      <c r="W53" s="356" t="str" cm="1">
        <f t="array" aca="1" ref="W53" ca="1">IF(F53=0,"",INDEX(auto_ddCountry,D53))</f>
        <v>Kolkata</v>
      </c>
      <c r="X53" s="356"/>
      <c r="Y53" s="356"/>
      <c r="Z53" s="356"/>
      <c r="AA53" s="356"/>
      <c r="AB53" s="356"/>
      <c r="AC53" s="357">
        <f t="shared" ca="1" si="4"/>
        <v>51.8</v>
      </c>
      <c r="AD53" s="357"/>
      <c r="AE53" s="318"/>
      <c r="AF53" s="318"/>
      <c r="AG53" s="318"/>
      <c r="AH53" s="318"/>
      <c r="AI53" s="318"/>
      <c r="AJ53" s="318"/>
      <c r="AK53" s="4"/>
      <c r="AL53" s="4"/>
      <c r="AM53" s="4"/>
      <c r="AN53" s="327"/>
      <c r="AO53" s="327"/>
      <c r="AP53" s="327"/>
      <c r="AQ53" s="381"/>
      <c r="AR53" s="381"/>
      <c r="AS53" s="381"/>
      <c r="AT53" s="381"/>
      <c r="AU53" s="381"/>
      <c r="AV53" s="381"/>
      <c r="AW53" s="377"/>
      <c r="AX53" s="378"/>
      <c r="AY53" s="378"/>
      <c r="AZ53" s="378"/>
      <c r="BA53" s="378"/>
      <c r="BB53" s="378"/>
      <c r="BC53" s="378"/>
      <c r="BD53" s="378"/>
      <c r="BE53" s="378"/>
      <c r="BF53" s="378"/>
      <c r="BG53" s="378"/>
      <c r="BH53" s="378"/>
      <c r="BI53" s="378"/>
      <c r="BJ53" s="378"/>
      <c r="BK53" s="378"/>
      <c r="BL53" s="378"/>
      <c r="BM53" s="378"/>
      <c r="BN53" s="378"/>
      <c r="BO53" s="378"/>
      <c r="BP53" s="378"/>
      <c r="BQ53" s="378"/>
      <c r="BR53" s="378"/>
      <c r="BS53" s="378"/>
      <c r="BT53" s="378"/>
      <c r="BU53" s="378"/>
      <c r="BV53" s="378"/>
      <c r="BW53" s="378"/>
      <c r="BX53" s="378"/>
      <c r="BY53" s="378"/>
      <c r="BZ53" s="378"/>
      <c r="CA53" s="378"/>
      <c r="CB53" s="378"/>
      <c r="CC53" s="378"/>
      <c r="CD53" s="378"/>
      <c r="CE53" s="378"/>
      <c r="CF53" s="4"/>
      <c r="CG53" s="4"/>
      <c r="CH53" s="4"/>
      <c r="CI53" s="312"/>
      <c r="CJ53" s="10"/>
      <c r="CK53" s="314"/>
      <c r="CL53" s="4"/>
      <c r="CM53" s="4"/>
      <c r="CN53" s="4"/>
      <c r="CO53" s="4"/>
      <c r="CP53" s="4"/>
      <c r="CQ53" s="4"/>
      <c r="CR53" s="4"/>
      <c r="CS53" s="4"/>
      <c r="CT53" s="4"/>
      <c r="CU53" s="4"/>
      <c r="CV53" s="4"/>
      <c r="CW53" s="4"/>
      <c r="CX53" s="4"/>
      <c r="CY53" s="4"/>
      <c r="CZ53" s="4"/>
      <c r="DA53" s="4"/>
      <c r="DB53" s="4"/>
      <c r="DC53" s="4"/>
      <c r="DD53" s="4"/>
      <c r="DE53" s="4"/>
      <c r="DF53" s="4"/>
      <c r="DG53" s="4"/>
    </row>
    <row r="54" spans="1:111" ht="16" customHeight="1" thickTop="1" thickBot="1" x14ac:dyDescent="0.45">
      <c r="A54" s="4"/>
      <c r="B54" s="4"/>
      <c r="C54" s="26">
        <v>38</v>
      </c>
      <c r="D54" s="26">
        <f ca="1">iMeasure_Overview!O53</f>
        <v>25</v>
      </c>
      <c r="E54" s="26">
        <f ca="1">iMeasure_Overview!P53</f>
        <v>1</v>
      </c>
      <c r="F54" s="26">
        <f t="shared" ca="1" si="19"/>
        <v>1</v>
      </c>
      <c r="G54" s="26">
        <f ca="1">iMeasure_Overview!Q53</f>
        <v>25</v>
      </c>
      <c r="H54" s="26" cm="1">
        <f t="array" aca="1" ref="H54" ca="1">INDEX(auto_DataFlat_Score,G54,$E$11)</f>
        <v>51.6</v>
      </c>
      <c r="I54" s="26" cm="1">
        <f t="array" aca="1" ref="I54" ca="1">IF(F54=0,-1,INDEX(auto_DataFlat_Classification,G54,$E$11))</f>
        <v>3</v>
      </c>
      <c r="J54" s="4">
        <v>2</v>
      </c>
      <c r="K54" s="4" t="str" cm="1">
        <f t="array" ref="K54">INDEX(uxbGlobals!$C$169:$C$175,J54)</f>
        <v xml:space="preserve"> 
Score 20.0-39.9</v>
      </c>
      <c r="L54" s="4" t="str" cm="1">
        <f t="array" ref="L54">INDEX(uxbGlobals!$B$133:$B$139,J54)</f>
        <v xml:space="preserve"> </v>
      </c>
      <c r="M54" s="4" t="str" cm="1">
        <f t="array" ref="M54">INDEX(uxbGlobals!$B$169:$B$175,J54)</f>
        <v>Score 20.0-39.9</v>
      </c>
      <c r="N54" s="4" t="str" cm="1">
        <f t="array" aca="1" ref="N54" ca="1">INDEX(iMeasure_Overview!$BG$12:$BN$12,J54)</f>
        <v/>
      </c>
      <c r="O54" s="4"/>
      <c r="P54" s="4"/>
      <c r="Q54" s="4"/>
      <c r="R54" s="4"/>
      <c r="S54" s="4"/>
      <c r="T54" s="4"/>
      <c r="U54" s="317" t="str" cm="1">
        <f t="array" aca="1" ref="U54" ca="1">INDEX(uxbGlobals!$B$133:$B$139,I54)</f>
        <v xml:space="preserve"> </v>
      </c>
      <c r="V54" s="318"/>
      <c r="W54" s="356" t="str" cm="1">
        <f t="array" aca="1" ref="W54" ca="1">IF(F54=0,"",INDEX(auto_ddCountry,D54))</f>
        <v>Lagos</v>
      </c>
      <c r="X54" s="356"/>
      <c r="Y54" s="356"/>
      <c r="Z54" s="356"/>
      <c r="AA54" s="356"/>
      <c r="AB54" s="356"/>
      <c r="AC54" s="357">
        <f t="shared" ca="1" si="4"/>
        <v>51.6</v>
      </c>
      <c r="AD54" s="357"/>
      <c r="AE54" s="318"/>
      <c r="AF54" s="318"/>
      <c r="AG54" s="318"/>
      <c r="AH54" s="318"/>
      <c r="AI54" s="318"/>
      <c r="AJ54" s="318"/>
      <c r="AK54" s="4"/>
      <c r="AL54" s="4"/>
      <c r="AM54" s="4"/>
      <c r="AN54" s="328"/>
      <c r="AO54" s="328"/>
      <c r="AP54" s="328"/>
      <c r="AQ54" s="379" t="str">
        <f>M54</f>
        <v>Score 20.0-39.9</v>
      </c>
      <c r="AR54" s="379"/>
      <c r="AS54" s="379"/>
      <c r="AT54" s="379"/>
      <c r="AU54" s="379"/>
      <c r="AV54" s="379"/>
      <c r="AW54" s="375"/>
      <c r="AX54" s="375"/>
      <c r="AY54" s="375"/>
      <c r="AZ54" s="375"/>
      <c r="BA54" s="375"/>
      <c r="BB54" s="375"/>
      <c r="BC54" s="375"/>
      <c r="BD54" s="375"/>
      <c r="BE54" s="375"/>
      <c r="BF54" s="375"/>
      <c r="BG54" s="375"/>
      <c r="BH54" s="375"/>
      <c r="BI54" s="375"/>
      <c r="BJ54" s="375"/>
      <c r="BK54" s="375"/>
      <c r="BL54" s="375"/>
      <c r="BM54" s="375"/>
      <c r="BN54" s="375"/>
      <c r="BO54" s="375"/>
      <c r="BP54" s="375"/>
      <c r="BQ54" s="375"/>
      <c r="BR54" s="375"/>
      <c r="BS54" s="375"/>
      <c r="BT54" s="375"/>
      <c r="BU54" s="375"/>
      <c r="BV54" s="375"/>
      <c r="BW54" s="375"/>
      <c r="BX54" s="375"/>
      <c r="BY54" s="375"/>
      <c r="BZ54" s="375"/>
      <c r="CA54" s="375"/>
      <c r="CB54" s="375"/>
      <c r="CC54" s="375"/>
      <c r="CD54" s="375"/>
      <c r="CE54" s="375"/>
      <c r="CF54" s="4"/>
      <c r="CG54" s="4"/>
      <c r="CH54" s="4"/>
      <c r="CI54" s="312"/>
      <c r="CJ54" s="10"/>
      <c r="CK54" s="314"/>
      <c r="CL54" s="4"/>
      <c r="CM54" s="4"/>
      <c r="CN54" s="4"/>
      <c r="CO54" s="4"/>
      <c r="CP54" s="4"/>
      <c r="CQ54" s="4"/>
      <c r="CR54" s="4"/>
      <c r="CS54" s="4"/>
      <c r="CT54" s="4"/>
      <c r="CU54" s="4"/>
      <c r="CV54" s="4"/>
      <c r="CW54" s="4"/>
      <c r="CX54" s="4"/>
      <c r="CY54" s="4"/>
      <c r="CZ54" s="4"/>
      <c r="DA54" s="4"/>
      <c r="DB54" s="4"/>
      <c r="DC54" s="4"/>
      <c r="DD54" s="4"/>
      <c r="DE54" s="4"/>
      <c r="DF54" s="4"/>
      <c r="DG54" s="4"/>
    </row>
    <row r="55" spans="1:111" ht="16" customHeight="1" thickTop="1" thickBot="1" x14ac:dyDescent="0.45">
      <c r="A55" s="4"/>
      <c r="B55" s="4"/>
      <c r="C55" s="26">
        <v>39</v>
      </c>
      <c r="D55" s="26">
        <f ca="1">iMeasure_Overview!O54</f>
        <v>37</v>
      </c>
      <c r="E55" s="26">
        <f ca="1">iMeasure_Overview!P54</f>
        <v>1</v>
      </c>
      <c r="F55" s="26">
        <f t="shared" ca="1" si="19"/>
        <v>1</v>
      </c>
      <c r="G55" s="26">
        <f ca="1">iMeasure_Overview!Q54</f>
        <v>37</v>
      </c>
      <c r="H55" s="26" cm="1">
        <f t="array" aca="1" ref="H55" ca="1">INDEX(auto_DataFlat_Score,G55,$E$11)</f>
        <v>51.4</v>
      </c>
      <c r="I55" s="26" cm="1">
        <f t="array" aca="1" ref="I55" ca="1">IF(F55=0,-1,INDEX(auto_DataFlat_Classification,G55,$E$11))</f>
        <v>3</v>
      </c>
      <c r="J55" s="4"/>
      <c r="K55" s="4"/>
      <c r="L55" s="4"/>
      <c r="M55" s="4"/>
      <c r="N55" s="4"/>
      <c r="O55" s="4"/>
      <c r="P55" s="4"/>
      <c r="Q55" s="4"/>
      <c r="R55" s="4"/>
      <c r="S55" s="4"/>
      <c r="T55" s="4"/>
      <c r="U55" s="317" t="str" cm="1">
        <f t="array" aca="1" ref="U55" ca="1">INDEX(uxbGlobals!$B$133:$B$139,I55)</f>
        <v xml:space="preserve"> </v>
      </c>
      <c r="V55" s="318"/>
      <c r="W55" s="356" t="str" cm="1">
        <f t="array" aca="1" ref="W55" ca="1">IF(F55=0,"",INDEX(auto_ddCountry,D55))</f>
        <v>Phnom Penh</v>
      </c>
      <c r="X55" s="356"/>
      <c r="Y55" s="356"/>
      <c r="Z55" s="356"/>
      <c r="AA55" s="356"/>
      <c r="AB55" s="356"/>
      <c r="AC55" s="357">
        <f t="shared" ca="1" si="4"/>
        <v>51.4</v>
      </c>
      <c r="AD55" s="357"/>
      <c r="AE55" s="318"/>
      <c r="AF55" s="318"/>
      <c r="AG55" s="318"/>
      <c r="AH55" s="318"/>
      <c r="AI55" s="318"/>
      <c r="AJ55" s="318"/>
      <c r="AK55" s="4"/>
      <c r="AL55" s="4"/>
      <c r="AM55" s="4"/>
      <c r="AN55" s="329"/>
      <c r="AO55" s="329"/>
      <c r="AP55" s="329"/>
      <c r="AQ55" s="380"/>
      <c r="AR55" s="380"/>
      <c r="AS55" s="380"/>
      <c r="AT55" s="380"/>
      <c r="AU55" s="380"/>
      <c r="AV55" s="380"/>
      <c r="AW55" s="376"/>
      <c r="AX55" s="345"/>
      <c r="AY55" s="345"/>
      <c r="AZ55" s="345"/>
      <c r="BA55" s="345"/>
      <c r="BB55" s="345"/>
      <c r="BC55" s="345"/>
      <c r="BD55" s="345"/>
      <c r="BE55" s="345"/>
      <c r="BF55" s="345"/>
      <c r="BG55" s="345"/>
      <c r="BH55" s="345"/>
      <c r="BI55" s="345"/>
      <c r="BJ55" s="345"/>
      <c r="BK55" s="345"/>
      <c r="BL55" s="345"/>
      <c r="BM55" s="345"/>
      <c r="BN55" s="345"/>
      <c r="BO55" s="345"/>
      <c r="BP55" s="345"/>
      <c r="BQ55" s="345"/>
      <c r="BR55" s="345"/>
      <c r="BS55" s="345"/>
      <c r="BT55" s="345"/>
      <c r="BU55" s="345"/>
      <c r="BV55" s="345"/>
      <c r="BW55" s="345"/>
      <c r="BX55" s="345"/>
      <c r="BY55" s="345"/>
      <c r="BZ55" s="345"/>
      <c r="CA55" s="345"/>
      <c r="CB55" s="345"/>
      <c r="CC55" s="345"/>
      <c r="CD55" s="345"/>
      <c r="CE55" s="345"/>
      <c r="CF55" s="4"/>
      <c r="CG55" s="4"/>
      <c r="CH55" s="4"/>
      <c r="CI55" s="312"/>
      <c r="CJ55" s="10"/>
      <c r="CK55" s="314"/>
      <c r="CL55" s="4"/>
      <c r="CM55" s="4"/>
      <c r="CN55" s="4"/>
      <c r="CO55" s="4"/>
      <c r="CP55" s="4"/>
      <c r="CQ55" s="4"/>
      <c r="CR55" s="4"/>
      <c r="CS55" s="4"/>
      <c r="CT55" s="4"/>
      <c r="CU55" s="4"/>
      <c r="CV55" s="4"/>
      <c r="CW55" s="4"/>
      <c r="CX55" s="4"/>
      <c r="CY55" s="4"/>
      <c r="CZ55" s="4"/>
      <c r="DA55" s="4"/>
      <c r="DB55" s="4"/>
      <c r="DC55" s="4"/>
      <c r="DD55" s="4"/>
      <c r="DE55" s="4"/>
      <c r="DF55" s="4"/>
      <c r="DG55" s="4"/>
    </row>
    <row r="56" spans="1:111" ht="16" customHeight="1" thickTop="1" thickBot="1" x14ac:dyDescent="0.45">
      <c r="A56" s="4"/>
      <c r="B56" s="4"/>
      <c r="C56" s="26">
        <v>40</v>
      </c>
      <c r="D56" s="26">
        <f ca="1">iMeasure_Overview!O55</f>
        <v>11</v>
      </c>
      <c r="E56" s="26">
        <f ca="1">iMeasure_Overview!P55</f>
        <v>1</v>
      </c>
      <c r="F56" s="26">
        <f t="shared" ca="1" si="19"/>
        <v>1</v>
      </c>
      <c r="G56" s="26">
        <f ca="1">iMeasure_Overview!Q55</f>
        <v>11</v>
      </c>
      <c r="H56" s="26" cm="1">
        <f t="array" aca="1" ref="H56" ca="1">INDEX(auto_DataFlat_Score,G56,$E$11)</f>
        <v>50.1</v>
      </c>
      <c r="I56" s="26" cm="1">
        <f t="array" aca="1" ref="I56" ca="1">IF(F56=0,-1,INDEX(auto_DataFlat_Classification,G56,$E$11))</f>
        <v>3</v>
      </c>
      <c r="J56" s="4"/>
      <c r="K56" s="4"/>
      <c r="L56" s="4"/>
      <c r="M56" s="4"/>
      <c r="N56" s="4"/>
      <c r="O56" s="4"/>
      <c r="P56" s="4"/>
      <c r="Q56" s="4"/>
      <c r="R56" s="4"/>
      <c r="S56" s="4"/>
      <c r="T56" s="4"/>
      <c r="U56" s="317" t="str" cm="1">
        <f t="array" aca="1" ref="U56" ca="1">INDEX(uxbGlobals!$B$133:$B$139,I56)</f>
        <v xml:space="preserve"> </v>
      </c>
      <c r="V56" s="318"/>
      <c r="W56" s="356" t="str" cm="1">
        <f t="array" aca="1" ref="W56" ca="1">IF(F56=0,"",INDEX(auto_ddCountry,D56))</f>
        <v>Colombo</v>
      </c>
      <c r="X56" s="356"/>
      <c r="Y56" s="356"/>
      <c r="Z56" s="356"/>
      <c r="AA56" s="356"/>
      <c r="AB56" s="356"/>
      <c r="AC56" s="357">
        <f t="shared" ca="1" si="4"/>
        <v>50.1</v>
      </c>
      <c r="AD56" s="357"/>
      <c r="AE56" s="318"/>
      <c r="AF56" s="318"/>
      <c r="AG56" s="318"/>
      <c r="AH56" s="318"/>
      <c r="AI56" s="318"/>
      <c r="AJ56" s="318"/>
      <c r="AK56" s="4"/>
      <c r="AL56" s="4"/>
      <c r="AM56" s="4"/>
      <c r="AN56" s="330"/>
      <c r="AO56" s="330"/>
      <c r="AP56" s="330"/>
      <c r="AQ56" s="381"/>
      <c r="AR56" s="381"/>
      <c r="AS56" s="381"/>
      <c r="AT56" s="381"/>
      <c r="AU56" s="381"/>
      <c r="AV56" s="381"/>
      <c r="AW56" s="377"/>
      <c r="AX56" s="378"/>
      <c r="AY56" s="378"/>
      <c r="AZ56" s="378"/>
      <c r="BA56" s="378"/>
      <c r="BB56" s="378"/>
      <c r="BC56" s="378"/>
      <c r="BD56" s="378"/>
      <c r="BE56" s="378"/>
      <c r="BF56" s="378"/>
      <c r="BG56" s="378"/>
      <c r="BH56" s="378"/>
      <c r="BI56" s="378"/>
      <c r="BJ56" s="378"/>
      <c r="BK56" s="378"/>
      <c r="BL56" s="378"/>
      <c r="BM56" s="378"/>
      <c r="BN56" s="378"/>
      <c r="BO56" s="378"/>
      <c r="BP56" s="378"/>
      <c r="BQ56" s="378"/>
      <c r="BR56" s="378"/>
      <c r="BS56" s="378"/>
      <c r="BT56" s="378"/>
      <c r="BU56" s="378"/>
      <c r="BV56" s="378"/>
      <c r="BW56" s="378"/>
      <c r="BX56" s="378"/>
      <c r="BY56" s="378"/>
      <c r="BZ56" s="378"/>
      <c r="CA56" s="378"/>
      <c r="CB56" s="378"/>
      <c r="CC56" s="378"/>
      <c r="CD56" s="378"/>
      <c r="CE56" s="378"/>
      <c r="CF56" s="4"/>
      <c r="CG56" s="4"/>
      <c r="CH56" s="4"/>
      <c r="CI56" s="312"/>
      <c r="CJ56" s="10"/>
      <c r="CK56" s="314"/>
      <c r="CL56" s="4"/>
      <c r="CM56" s="4"/>
      <c r="CN56" s="4"/>
      <c r="CO56" s="4"/>
      <c r="CP56" s="4"/>
      <c r="CQ56" s="4"/>
      <c r="CR56" s="4"/>
      <c r="CS56" s="4"/>
      <c r="CT56" s="4"/>
      <c r="CU56" s="4"/>
      <c r="CV56" s="4"/>
      <c r="CW56" s="4"/>
      <c r="CX56" s="4"/>
      <c r="CY56" s="4"/>
      <c r="CZ56" s="4"/>
      <c r="DA56" s="4"/>
      <c r="DB56" s="4"/>
      <c r="DC56" s="4"/>
      <c r="DD56" s="4"/>
      <c r="DE56" s="4"/>
      <c r="DF56" s="4"/>
      <c r="DG56" s="4"/>
    </row>
    <row r="57" spans="1:111" ht="16" customHeight="1" thickTop="1" thickBot="1" x14ac:dyDescent="0.45">
      <c r="A57" s="4"/>
      <c r="B57" s="4"/>
      <c r="C57" s="26">
        <v>41</v>
      </c>
      <c r="D57" s="26">
        <f ca="1">iMeasure_Overview!O56</f>
        <v>1</v>
      </c>
      <c r="E57" s="26">
        <f ca="1">iMeasure_Overview!P56</f>
        <v>1</v>
      </c>
      <c r="F57" s="26">
        <f t="shared" ca="1" si="19"/>
        <v>1</v>
      </c>
      <c r="G57" s="26">
        <f ca="1">iMeasure_Overview!Q56</f>
        <v>1</v>
      </c>
      <c r="H57" s="26" cm="1">
        <f t="array" aca="1" ref="H57" ca="1">INDEX(auto_DataFlat_Score,G57,$E$11)</f>
        <v>49.6</v>
      </c>
      <c r="I57" s="26" cm="1">
        <f t="array" aca="1" ref="I57" ca="1">IF(F57=0,-1,INDEX(auto_DataFlat_Classification,G57,$E$11))</f>
        <v>3</v>
      </c>
      <c r="J57" s="4">
        <v>1</v>
      </c>
      <c r="K57" s="4" t="str" cm="1">
        <f t="array" ref="K57">INDEX(uxbGlobals!$C$169:$C$175,J57)</f>
        <v xml:space="preserve"> 
Score 0-19.9</v>
      </c>
      <c r="L57" s="4" t="str" cm="1">
        <f t="array" ref="L57">INDEX(uxbGlobals!$B$133:$B$139,J57)</f>
        <v xml:space="preserve"> </v>
      </c>
      <c r="M57" s="4" t="str" cm="1">
        <f t="array" ref="M57">INDEX(uxbGlobals!$B$169:$B$175,J57)</f>
        <v>Score 0-19.9</v>
      </c>
      <c r="N57" s="4" t="str" cm="1">
        <f t="array" aca="1" ref="N57" ca="1">INDEX(iMeasure_Overview!$BG$12:$BN$12,J57)</f>
        <v/>
      </c>
      <c r="O57" s="4"/>
      <c r="P57" s="4"/>
      <c r="Q57" s="4"/>
      <c r="R57" s="4"/>
      <c r="S57" s="4"/>
      <c r="T57" s="4"/>
      <c r="U57" s="317" t="str" cm="1">
        <f t="array" aca="1" ref="U57" ca="1">INDEX(uxbGlobals!$B$133:$B$139,I57)</f>
        <v xml:space="preserve"> </v>
      </c>
      <c r="V57" s="318"/>
      <c r="W57" s="356" t="str" cm="1">
        <f t="array" aca="1" ref="W57" ca="1">IF(F57=0,"",INDEX(auto_ddCountry,D57))</f>
        <v>Addis Ababa</v>
      </c>
      <c r="X57" s="356"/>
      <c r="Y57" s="356"/>
      <c r="Z57" s="356"/>
      <c r="AA57" s="356"/>
      <c r="AB57" s="356"/>
      <c r="AC57" s="357">
        <f t="shared" ca="1" si="4"/>
        <v>49.6</v>
      </c>
      <c r="AD57" s="357"/>
      <c r="AE57" s="318"/>
      <c r="AF57" s="318"/>
      <c r="AG57" s="318"/>
      <c r="AH57" s="318"/>
      <c r="AI57" s="318"/>
      <c r="AJ57" s="318"/>
      <c r="AK57" s="4"/>
      <c r="AL57" s="4"/>
      <c r="AM57" s="4"/>
      <c r="AN57" s="331"/>
      <c r="AO57" s="331"/>
      <c r="AP57" s="331"/>
      <c r="AQ57" s="379" t="str">
        <f>M57</f>
        <v>Score 0-19.9</v>
      </c>
      <c r="AR57" s="379"/>
      <c r="AS57" s="379"/>
      <c r="AT57" s="379"/>
      <c r="AU57" s="379"/>
      <c r="AV57" s="379"/>
      <c r="AW57" s="375"/>
      <c r="AX57" s="375"/>
      <c r="AY57" s="375"/>
      <c r="AZ57" s="375"/>
      <c r="BA57" s="375"/>
      <c r="BB57" s="375"/>
      <c r="BC57" s="375"/>
      <c r="BD57" s="375"/>
      <c r="BE57" s="375"/>
      <c r="BF57" s="375"/>
      <c r="BG57" s="375"/>
      <c r="BH57" s="375"/>
      <c r="BI57" s="375"/>
      <c r="BJ57" s="375"/>
      <c r="BK57" s="375"/>
      <c r="BL57" s="375"/>
      <c r="BM57" s="375"/>
      <c r="BN57" s="375"/>
      <c r="BO57" s="375"/>
      <c r="BP57" s="375"/>
      <c r="BQ57" s="375"/>
      <c r="BR57" s="375"/>
      <c r="BS57" s="375"/>
      <c r="BT57" s="375"/>
      <c r="BU57" s="375"/>
      <c r="BV57" s="375"/>
      <c r="BW57" s="375"/>
      <c r="BX57" s="375"/>
      <c r="BY57" s="375"/>
      <c r="BZ57" s="375"/>
      <c r="CA57" s="375"/>
      <c r="CB57" s="375"/>
      <c r="CC57" s="375"/>
      <c r="CD57" s="375"/>
      <c r="CE57" s="375"/>
      <c r="CF57" s="4"/>
      <c r="CG57" s="4"/>
      <c r="CH57" s="4"/>
      <c r="CI57" s="312"/>
      <c r="CJ57" s="10"/>
      <c r="CK57" s="314"/>
      <c r="CL57" s="4"/>
      <c r="CM57" s="4"/>
      <c r="CN57" s="4"/>
      <c r="CO57" s="4"/>
      <c r="CP57" s="4"/>
      <c r="CQ57" s="4"/>
      <c r="CR57" s="4"/>
      <c r="CS57" s="4"/>
      <c r="CT57" s="4"/>
      <c r="CU57" s="4"/>
      <c r="CV57" s="4"/>
      <c r="CW57" s="4"/>
      <c r="CX57" s="4"/>
      <c r="CY57" s="4"/>
      <c r="CZ57" s="4"/>
      <c r="DA57" s="4"/>
      <c r="DB57" s="4"/>
      <c r="DC57" s="4"/>
      <c r="DD57" s="4"/>
      <c r="DE57" s="4"/>
      <c r="DF57" s="4"/>
      <c r="DG57" s="4"/>
    </row>
    <row r="58" spans="1:111" ht="16" customHeight="1" thickTop="1" thickBot="1" x14ac:dyDescent="0.45">
      <c r="A58" s="4"/>
      <c r="B58" s="4"/>
      <c r="C58" s="26">
        <v>42</v>
      </c>
      <c r="D58" s="26">
        <f ca="1">iMeasure_Overview!O57</f>
        <v>28</v>
      </c>
      <c r="E58" s="26">
        <f ca="1">iMeasure_Overview!P57</f>
        <v>1</v>
      </c>
      <c r="F58" s="26">
        <f t="shared" ca="1" si="19"/>
        <v>1</v>
      </c>
      <c r="G58" s="26">
        <f ca="1">iMeasure_Overview!Q57</f>
        <v>28</v>
      </c>
      <c r="H58" s="26" cm="1">
        <f t="array" aca="1" ref="H58" ca="1">INDEX(auto_DataFlat_Score,G58,$E$11)</f>
        <v>48.8</v>
      </c>
      <c r="I58" s="26" cm="1">
        <f t="array" aca="1" ref="I58" ca="1">IF(F58=0,-1,INDEX(auto_DataFlat_Classification,G58,$E$11))</f>
        <v>3</v>
      </c>
      <c r="J58" s="4"/>
      <c r="K58" s="4"/>
      <c r="L58" s="4"/>
      <c r="M58" s="4"/>
      <c r="N58" s="4"/>
      <c r="O58" s="4"/>
      <c r="P58" s="4"/>
      <c r="Q58" s="4"/>
      <c r="R58" s="4"/>
      <c r="S58" s="4"/>
      <c r="T58" s="4"/>
      <c r="U58" s="317" t="str" cm="1">
        <f t="array" aca="1" ref="U58" ca="1">INDEX(uxbGlobals!$B$133:$B$139,I58)</f>
        <v xml:space="preserve"> </v>
      </c>
      <c r="V58" s="318"/>
      <c r="W58" s="356" t="str" cm="1">
        <f t="array" aca="1" ref="W58" ca="1">IF(F58=0,"",INDEX(auto_ddCountry,D58))</f>
        <v>Manila</v>
      </c>
      <c r="X58" s="356"/>
      <c r="Y58" s="356"/>
      <c r="Z58" s="356"/>
      <c r="AA58" s="356"/>
      <c r="AB58" s="356"/>
      <c r="AC58" s="357">
        <f t="shared" ca="1" si="4"/>
        <v>48.8</v>
      </c>
      <c r="AD58" s="357"/>
      <c r="AE58" s="318"/>
      <c r="AF58" s="318"/>
      <c r="AG58" s="318"/>
      <c r="AH58" s="318"/>
      <c r="AI58" s="318"/>
      <c r="AJ58" s="318"/>
      <c r="AK58" s="4"/>
      <c r="AL58" s="4"/>
      <c r="AM58" s="4"/>
      <c r="AN58" s="332"/>
      <c r="AO58" s="332"/>
      <c r="AP58" s="332"/>
      <c r="AQ58" s="380"/>
      <c r="AR58" s="380"/>
      <c r="AS58" s="380"/>
      <c r="AT58" s="380"/>
      <c r="AU58" s="380"/>
      <c r="AV58" s="380"/>
      <c r="AW58" s="376"/>
      <c r="AX58" s="345"/>
      <c r="AY58" s="345"/>
      <c r="AZ58" s="345"/>
      <c r="BA58" s="345"/>
      <c r="BB58" s="345"/>
      <c r="BC58" s="345"/>
      <c r="BD58" s="345"/>
      <c r="BE58" s="345"/>
      <c r="BF58" s="345"/>
      <c r="BG58" s="345"/>
      <c r="BH58" s="345"/>
      <c r="BI58" s="345"/>
      <c r="BJ58" s="345"/>
      <c r="BK58" s="345"/>
      <c r="BL58" s="345"/>
      <c r="BM58" s="345"/>
      <c r="BN58" s="345"/>
      <c r="BO58" s="345"/>
      <c r="BP58" s="345"/>
      <c r="BQ58" s="345"/>
      <c r="BR58" s="345"/>
      <c r="BS58" s="345"/>
      <c r="BT58" s="345"/>
      <c r="BU58" s="345"/>
      <c r="BV58" s="345"/>
      <c r="BW58" s="345"/>
      <c r="BX58" s="345"/>
      <c r="BY58" s="345"/>
      <c r="BZ58" s="345"/>
      <c r="CA58" s="345"/>
      <c r="CB58" s="345"/>
      <c r="CC58" s="345"/>
      <c r="CD58" s="345"/>
      <c r="CE58" s="345"/>
      <c r="CF58" s="4"/>
      <c r="CG58" s="4"/>
      <c r="CH58" s="4"/>
      <c r="CI58" s="312"/>
      <c r="CJ58" s="10"/>
      <c r="CK58" s="314"/>
      <c r="CL58" s="4"/>
      <c r="CM58" s="4"/>
      <c r="CN58" s="4"/>
      <c r="CO58" s="4"/>
      <c r="CP58" s="4"/>
      <c r="CQ58" s="4"/>
      <c r="CR58" s="4"/>
      <c r="CS58" s="4"/>
      <c r="CT58" s="4"/>
      <c r="CU58" s="4"/>
      <c r="CV58" s="4"/>
      <c r="CW58" s="4"/>
      <c r="CX58" s="4"/>
      <c r="CY58" s="4"/>
      <c r="CZ58" s="4"/>
      <c r="DA58" s="4"/>
      <c r="DB58" s="4"/>
      <c r="DC58" s="4"/>
      <c r="DD58" s="4"/>
      <c r="DE58" s="4"/>
      <c r="DF58" s="4"/>
      <c r="DG58" s="4"/>
    </row>
    <row r="59" spans="1:111" ht="16" customHeight="1" thickTop="1" thickBot="1" x14ac:dyDescent="0.45">
      <c r="A59" s="4"/>
      <c r="B59" s="4"/>
      <c r="C59" s="26">
        <v>43</v>
      </c>
      <c r="D59" s="26">
        <f ca="1">iMeasure_Overview!O58</f>
        <v>21</v>
      </c>
      <c r="E59" s="26">
        <f ca="1">iMeasure_Overview!P58</f>
        <v>1</v>
      </c>
      <c r="F59" s="26">
        <f t="shared" ca="1" si="19"/>
        <v>1</v>
      </c>
      <c r="G59" s="26">
        <f ca="1">iMeasure_Overview!Q58</f>
        <v>21</v>
      </c>
      <c r="H59" s="26" cm="1">
        <f t="array" aca="1" ref="H59" ca="1">INDEX(auto_DataFlat_Score,G59,$E$11)</f>
        <v>44.3</v>
      </c>
      <c r="I59" s="26" cm="1">
        <f t="array" aca="1" ref="I59" ca="1">IF(F59=0,-1,INDEX(auto_DataFlat_Classification,G59,$E$11))</f>
        <v>3</v>
      </c>
      <c r="J59" s="4"/>
      <c r="K59" s="4"/>
      <c r="L59" s="4"/>
      <c r="M59" s="4"/>
      <c r="N59" s="4"/>
      <c r="O59" s="4"/>
      <c r="P59" s="4"/>
      <c r="Q59" s="4"/>
      <c r="R59" s="4"/>
      <c r="S59" s="4"/>
      <c r="T59" s="4"/>
      <c r="U59" s="317" t="str" cm="1">
        <f t="array" aca="1" ref="U59" ca="1">INDEX(uxbGlobals!$B$133:$B$139,I59)</f>
        <v xml:space="preserve"> </v>
      </c>
      <c r="V59" s="318"/>
      <c r="W59" s="356" t="str" cm="1">
        <f t="array" aca="1" ref="W59" ca="1">IF(F59=0,"",INDEX(auto_ddCountry,D59))</f>
        <v>Karachi</v>
      </c>
      <c r="X59" s="356"/>
      <c r="Y59" s="356"/>
      <c r="Z59" s="356"/>
      <c r="AA59" s="356"/>
      <c r="AB59" s="356"/>
      <c r="AC59" s="357">
        <f t="shared" ca="1" si="4"/>
        <v>44.3</v>
      </c>
      <c r="AD59" s="357"/>
      <c r="AE59" s="318"/>
      <c r="AF59" s="318"/>
      <c r="AG59" s="318"/>
      <c r="AH59" s="318"/>
      <c r="AI59" s="318"/>
      <c r="AJ59" s="318"/>
      <c r="AK59" s="4"/>
      <c r="AL59" s="4"/>
      <c r="AM59" s="4"/>
      <c r="AN59" s="333"/>
      <c r="AO59" s="333"/>
      <c r="AP59" s="333"/>
      <c r="AQ59" s="381"/>
      <c r="AR59" s="381"/>
      <c r="AS59" s="381"/>
      <c r="AT59" s="381"/>
      <c r="AU59" s="381"/>
      <c r="AV59" s="381"/>
      <c r="AW59" s="377"/>
      <c r="AX59" s="378"/>
      <c r="AY59" s="378"/>
      <c r="AZ59" s="378"/>
      <c r="BA59" s="378"/>
      <c r="BB59" s="378"/>
      <c r="BC59" s="378"/>
      <c r="BD59" s="378"/>
      <c r="BE59" s="378"/>
      <c r="BF59" s="378"/>
      <c r="BG59" s="378"/>
      <c r="BH59" s="378"/>
      <c r="BI59" s="378"/>
      <c r="BJ59" s="378"/>
      <c r="BK59" s="378"/>
      <c r="BL59" s="378"/>
      <c r="BM59" s="378"/>
      <c r="BN59" s="378"/>
      <c r="BO59" s="378"/>
      <c r="BP59" s="378"/>
      <c r="BQ59" s="378"/>
      <c r="BR59" s="378"/>
      <c r="BS59" s="378"/>
      <c r="BT59" s="378"/>
      <c r="BU59" s="378"/>
      <c r="BV59" s="378"/>
      <c r="BW59" s="378"/>
      <c r="BX59" s="378"/>
      <c r="BY59" s="378"/>
      <c r="BZ59" s="378"/>
      <c r="CA59" s="378"/>
      <c r="CB59" s="378"/>
      <c r="CC59" s="378"/>
      <c r="CD59" s="378"/>
      <c r="CE59" s="378"/>
      <c r="CF59" s="4"/>
      <c r="CG59" s="4"/>
      <c r="CH59" s="4"/>
      <c r="CI59" s="312"/>
      <c r="CJ59" s="10"/>
      <c r="CK59" s="314"/>
      <c r="CL59" s="4"/>
      <c r="CM59" s="4"/>
      <c r="CN59" s="4"/>
      <c r="CO59" s="4"/>
      <c r="CP59" s="4"/>
      <c r="CQ59" s="4"/>
      <c r="CR59" s="4"/>
      <c r="CS59" s="4"/>
      <c r="CT59" s="4"/>
      <c r="CU59" s="4"/>
      <c r="CV59" s="4"/>
      <c r="CW59" s="4"/>
      <c r="CX59" s="4"/>
      <c r="CY59" s="4"/>
      <c r="CZ59" s="4"/>
      <c r="DA59" s="4"/>
      <c r="DB59" s="4"/>
      <c r="DC59" s="4"/>
      <c r="DD59" s="4"/>
      <c r="DE59" s="4"/>
      <c r="DF59" s="4"/>
      <c r="DG59" s="4"/>
    </row>
    <row r="60" spans="1:111" ht="16" customHeight="1" thickTop="1" thickBot="1" x14ac:dyDescent="0.45">
      <c r="A60" s="4"/>
      <c r="B60" s="4"/>
      <c r="C60" s="26">
        <v>44</v>
      </c>
      <c r="D60" s="26">
        <f ca="1">iMeasure_Overview!O59</f>
        <v>38</v>
      </c>
      <c r="E60" s="26">
        <f ca="1">iMeasure_Overview!P59</f>
        <v>1</v>
      </c>
      <c r="F60" s="26">
        <f t="shared" ca="1" si="19"/>
        <v>1</v>
      </c>
      <c r="G60" s="26">
        <f ca="1">iMeasure_Overview!Q59</f>
        <v>38</v>
      </c>
      <c r="H60" s="26" cm="1">
        <f t="array" aca="1" ref="H60" ca="1">INDEX(auto_DataFlat_Score,G60,$E$11)</f>
        <v>44.2</v>
      </c>
      <c r="I60" s="26" cm="1">
        <f t="array" aca="1" ref="I60" ca="1">IF(F60=0,-1,INDEX(auto_DataFlat_Classification,G60,$E$11))</f>
        <v>3</v>
      </c>
      <c r="J60" s="4"/>
      <c r="K60" s="4"/>
      <c r="L60" s="4"/>
      <c r="M60" s="4"/>
      <c r="N60" s="4"/>
      <c r="O60" s="4"/>
      <c r="P60" s="4"/>
      <c r="Q60" s="4"/>
      <c r="R60" s="4"/>
      <c r="S60" s="4"/>
      <c r="T60" s="4"/>
      <c r="U60" s="317" t="str" cm="1">
        <f t="array" aca="1" ref="U60" ca="1">INDEX(uxbGlobals!$B$133:$B$139,I60)</f>
        <v xml:space="preserve"> </v>
      </c>
      <c r="V60" s="318"/>
      <c r="W60" s="356" t="str" cm="1">
        <f t="array" aca="1" ref="W60" ca="1">IF(F60=0,"",INDEX(auto_ddCountry,D60))</f>
        <v>Riyadh</v>
      </c>
      <c r="X60" s="356"/>
      <c r="Y60" s="356"/>
      <c r="Z60" s="356"/>
      <c r="AA60" s="356"/>
      <c r="AB60" s="356"/>
      <c r="AC60" s="357">
        <f t="shared" ca="1" si="4"/>
        <v>44.2</v>
      </c>
      <c r="AD60" s="357"/>
      <c r="AE60" s="318"/>
      <c r="AF60" s="318"/>
      <c r="AG60" s="318"/>
      <c r="AH60" s="318"/>
      <c r="AI60" s="318"/>
      <c r="AJ60" s="318"/>
      <c r="AK60" s="4"/>
      <c r="AL60" s="4"/>
      <c r="AM60" s="4"/>
      <c r="AN60" s="4"/>
      <c r="AO60" s="4"/>
      <c r="AP60" s="4"/>
      <c r="AQ60" s="4"/>
      <c r="AR60" s="4"/>
      <c r="AS60" s="4"/>
      <c r="AT60" s="4"/>
      <c r="AU60" s="4"/>
      <c r="AV60" s="4"/>
      <c r="AW60" s="320"/>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312"/>
      <c r="CJ60" s="10"/>
      <c r="CK60" s="314"/>
      <c r="CL60" s="4"/>
      <c r="CM60" s="4"/>
      <c r="CN60" s="4"/>
      <c r="CO60" s="4"/>
      <c r="CP60" s="4"/>
      <c r="CQ60" s="4"/>
      <c r="CR60" s="4"/>
      <c r="CS60" s="4"/>
      <c r="CT60" s="4"/>
      <c r="CU60" s="4"/>
      <c r="CV60" s="4"/>
      <c r="CW60" s="4"/>
      <c r="CX60" s="4"/>
      <c r="CY60" s="4"/>
      <c r="CZ60" s="4"/>
      <c r="DA60" s="4"/>
      <c r="DB60" s="4"/>
      <c r="DC60" s="4"/>
      <c r="DD60" s="4"/>
      <c r="DE60" s="4"/>
      <c r="DF60" s="4"/>
      <c r="DG60" s="4"/>
    </row>
    <row r="61" spans="1:111" ht="16" customHeight="1" thickTop="1" thickBot="1" x14ac:dyDescent="0.45">
      <c r="A61" s="4"/>
      <c r="B61" s="4"/>
      <c r="C61" s="26">
        <v>45</v>
      </c>
      <c r="D61" s="26">
        <f ca="1">iMeasure_Overview!O60</f>
        <v>50</v>
      </c>
      <c r="E61" s="26">
        <f ca="1">iMeasure_Overview!P60</f>
        <v>1</v>
      </c>
      <c r="F61" s="26">
        <f t="shared" ca="1" si="19"/>
        <v>1</v>
      </c>
      <c r="G61" s="26">
        <f ca="1">iMeasure_Overview!Q60</f>
        <v>50</v>
      </c>
      <c r="H61" s="26" cm="1">
        <f t="array" aca="1" ref="H61" ca="1">INDEX(auto_DataFlat_Score,G61,$E$11)</f>
        <v>43.5</v>
      </c>
      <c r="I61" s="26" cm="1">
        <f t="array" aca="1" ref="I61" ca="1">IF(F61=0,-1,INDEX(auto_DataFlat_Classification,G61,$E$11))</f>
        <v>3</v>
      </c>
      <c r="J61" s="4"/>
      <c r="K61" s="4"/>
      <c r="L61" s="4"/>
      <c r="M61" s="4"/>
      <c r="N61" s="4"/>
      <c r="O61" s="4"/>
      <c r="P61" s="4"/>
      <c r="Q61" s="4"/>
      <c r="R61" s="4"/>
      <c r="S61" s="4"/>
      <c r="T61" s="4"/>
      <c r="U61" s="317" t="str" cm="1">
        <f t="array" aca="1" ref="U61" ca="1">INDEX(uxbGlobals!$B$133:$B$139,I61)</f>
        <v xml:space="preserve"> </v>
      </c>
      <c r="V61" s="318"/>
      <c r="W61" s="356" t="str" cm="1">
        <f t="array" aca="1" ref="W61" ca="1">IF(F61=0,"",INDEX(auto_ddCountry,D61))</f>
        <v>Yangon</v>
      </c>
      <c r="X61" s="356"/>
      <c r="Y61" s="356"/>
      <c r="Z61" s="356"/>
      <c r="AA61" s="356"/>
      <c r="AB61" s="356"/>
      <c r="AC61" s="357">
        <f t="shared" ca="1" si="4"/>
        <v>43.5</v>
      </c>
      <c r="AD61" s="357"/>
      <c r="AE61" s="318"/>
      <c r="AF61" s="318"/>
      <c r="AG61" s="318"/>
      <c r="AH61" s="318"/>
      <c r="AI61" s="318"/>
      <c r="AJ61" s="318"/>
      <c r="AK61" s="4"/>
      <c r="AL61" s="4"/>
      <c r="AM61" s="4"/>
      <c r="AN61" s="4"/>
      <c r="AO61" s="4"/>
      <c r="AP61" s="4"/>
      <c r="AQ61" s="4"/>
      <c r="AR61" s="4"/>
      <c r="AS61" s="4"/>
      <c r="AT61" s="4"/>
      <c r="AU61" s="4"/>
      <c r="AV61" s="4"/>
      <c r="AW61" s="320"/>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312"/>
      <c r="CJ61" s="10"/>
      <c r="CK61" s="314"/>
      <c r="CL61" s="4"/>
      <c r="CM61" s="4"/>
      <c r="CN61" s="4"/>
      <c r="CO61" s="4"/>
      <c r="CP61" s="4"/>
      <c r="CQ61" s="4"/>
      <c r="CR61" s="4"/>
      <c r="CS61" s="4"/>
      <c r="CT61" s="4"/>
      <c r="CU61" s="4"/>
      <c r="CV61" s="4"/>
      <c r="CW61" s="4"/>
      <c r="CX61" s="4"/>
      <c r="CY61" s="4"/>
      <c r="CZ61" s="4"/>
      <c r="DA61" s="4"/>
      <c r="DB61" s="4"/>
      <c r="DC61" s="4"/>
      <c r="DD61" s="4"/>
      <c r="DE61" s="4"/>
      <c r="DF61" s="4"/>
      <c r="DG61" s="4"/>
    </row>
    <row r="62" spans="1:111" ht="16" customHeight="1" thickTop="1" thickBot="1" x14ac:dyDescent="0.45">
      <c r="A62" s="4"/>
      <c r="B62" s="4"/>
      <c r="C62" s="26">
        <v>46</v>
      </c>
      <c r="D62" s="26">
        <f ca="1">iMeasure_Overview!O61</f>
        <v>24</v>
      </c>
      <c r="E62" s="26">
        <f ca="1">iMeasure_Overview!P61</f>
        <v>1</v>
      </c>
      <c r="F62" s="26">
        <f t="shared" ca="1" si="19"/>
        <v>1</v>
      </c>
      <c r="G62" s="26">
        <f ca="1">iMeasure_Overview!Q61</f>
        <v>24</v>
      </c>
      <c r="H62" s="26" cm="1">
        <f t="array" aca="1" ref="H62" ca="1">INDEX(auto_DataFlat_Score,G62,$E$11)</f>
        <v>42.1</v>
      </c>
      <c r="I62" s="26" cm="1">
        <f t="array" aca="1" ref="I62" ca="1">IF(F62=0,-1,INDEX(auto_DataFlat_Classification,G62,$E$11))</f>
        <v>3</v>
      </c>
      <c r="J62" s="4"/>
      <c r="K62" s="4"/>
      <c r="L62" s="4"/>
      <c r="M62" s="4"/>
      <c r="N62" s="4"/>
      <c r="O62" s="4"/>
      <c r="P62" s="4"/>
      <c r="Q62" s="4"/>
      <c r="R62" s="4"/>
      <c r="S62" s="4"/>
      <c r="T62" s="4"/>
      <c r="U62" s="317" t="str" cm="1">
        <f t="array" aca="1" ref="U62" ca="1">INDEX(uxbGlobals!$B$133:$B$139,I62)</f>
        <v xml:space="preserve"> </v>
      </c>
      <c r="V62" s="318"/>
      <c r="W62" s="356" t="str" cm="1">
        <f t="array" aca="1" ref="W62" ca="1">IF(F62=0,"",INDEX(auto_ddCountry,D62))</f>
        <v>Kuwait City</v>
      </c>
      <c r="X62" s="356"/>
      <c r="Y62" s="356"/>
      <c r="Z62" s="356"/>
      <c r="AA62" s="356"/>
      <c r="AB62" s="356"/>
      <c r="AC62" s="357">
        <f t="shared" ca="1" si="4"/>
        <v>42.1</v>
      </c>
      <c r="AD62" s="357"/>
      <c r="AE62" s="318"/>
      <c r="AF62" s="318"/>
      <c r="AG62" s="318"/>
      <c r="AH62" s="318"/>
      <c r="AI62" s="318"/>
      <c r="AJ62" s="318"/>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312"/>
      <c r="CJ62" s="10"/>
      <c r="CK62" s="314"/>
      <c r="CL62" s="4"/>
      <c r="CM62" s="4"/>
      <c r="CN62" s="4"/>
      <c r="CO62" s="4"/>
      <c r="CP62" s="4"/>
      <c r="CQ62" s="4"/>
      <c r="CR62" s="4"/>
      <c r="CS62" s="4"/>
      <c r="CT62" s="4"/>
      <c r="CU62" s="4"/>
      <c r="CV62" s="4"/>
      <c r="CW62" s="4"/>
      <c r="CX62" s="4"/>
      <c r="CY62" s="4"/>
      <c r="CZ62" s="4"/>
      <c r="DA62" s="4"/>
      <c r="DB62" s="4"/>
      <c r="DC62" s="4"/>
      <c r="DD62" s="4"/>
      <c r="DE62" s="4"/>
      <c r="DF62" s="4"/>
      <c r="DG62" s="4"/>
    </row>
    <row r="63" spans="1:111" ht="16" customHeight="1" thickTop="1" thickBot="1" x14ac:dyDescent="0.45">
      <c r="A63" s="4"/>
      <c r="B63" s="4"/>
      <c r="C63" s="26">
        <v>47</v>
      </c>
      <c r="D63" s="26">
        <f ca="1">iMeasure_Overview!O62</f>
        <v>13</v>
      </c>
      <c r="E63" s="26">
        <f ca="1">iMeasure_Overview!P62</f>
        <v>1</v>
      </c>
      <c r="F63" s="26">
        <f t="shared" ca="1" si="19"/>
        <v>1</v>
      </c>
      <c r="G63" s="26">
        <f ca="1">iMeasure_Overview!Q62</f>
        <v>13</v>
      </c>
      <c r="H63" s="26" cm="1">
        <f t="array" aca="1" ref="H63" ca="1">INDEX(auto_DataFlat_Score,G63,$E$11)</f>
        <v>41.8</v>
      </c>
      <c r="I63" s="26" cm="1">
        <f t="array" aca="1" ref="I63" ca="1">IF(F63=0,-1,INDEX(auto_DataFlat_Classification,G63,$E$11))</f>
        <v>3</v>
      </c>
      <c r="J63" s="4"/>
      <c r="K63" s="4"/>
      <c r="L63" s="4"/>
      <c r="M63" s="4"/>
      <c r="N63" s="4"/>
      <c r="O63" s="4"/>
      <c r="P63" s="4"/>
      <c r="Q63" s="4"/>
      <c r="R63" s="4"/>
      <c r="S63" s="4"/>
      <c r="T63" s="4"/>
      <c r="U63" s="317" t="str" cm="1">
        <f t="array" aca="1" ref="U63" ca="1">INDEX(uxbGlobals!$B$133:$B$139,I63)</f>
        <v xml:space="preserve"> </v>
      </c>
      <c r="V63" s="318"/>
      <c r="W63" s="356" t="str" cm="1">
        <f t="array" aca="1" ref="W63" ca="1">IF(F63=0,"",INDEX(auto_ddCountry,D63))</f>
        <v>Dhaka</v>
      </c>
      <c r="X63" s="356"/>
      <c r="Y63" s="356"/>
      <c r="Z63" s="356"/>
      <c r="AA63" s="356"/>
      <c r="AB63" s="356"/>
      <c r="AC63" s="357">
        <f t="shared" ca="1" si="4"/>
        <v>41.8</v>
      </c>
      <c r="AD63" s="357"/>
      <c r="AE63" s="318"/>
      <c r="AF63" s="318"/>
      <c r="AG63" s="318"/>
      <c r="AH63" s="318"/>
      <c r="AI63" s="318"/>
      <c r="AJ63" s="318"/>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312"/>
      <c r="CJ63" s="10"/>
      <c r="CK63" s="314"/>
      <c r="CL63" s="4"/>
      <c r="CM63" s="4"/>
      <c r="CN63" s="4"/>
      <c r="CO63" s="4"/>
      <c r="CP63" s="4"/>
      <c r="CQ63" s="4"/>
      <c r="CR63" s="4"/>
      <c r="CS63" s="4"/>
      <c r="CT63" s="4"/>
      <c r="CU63" s="4"/>
      <c r="CV63" s="4"/>
      <c r="CW63" s="4"/>
      <c r="CX63" s="4"/>
      <c r="CY63" s="4"/>
      <c r="CZ63" s="4"/>
      <c r="DA63" s="4"/>
      <c r="DB63" s="4"/>
      <c r="DC63" s="4"/>
      <c r="DD63" s="4"/>
      <c r="DE63" s="4"/>
      <c r="DF63" s="4"/>
      <c r="DG63" s="4"/>
    </row>
    <row r="64" spans="1:111" ht="16" customHeight="1" thickTop="1" thickBot="1" x14ac:dyDescent="0.45">
      <c r="A64" s="4"/>
      <c r="B64" s="4"/>
      <c r="C64" s="26">
        <v>48</v>
      </c>
      <c r="D64" s="26">
        <f ca="1">iMeasure_Overview!O63</f>
        <v>2</v>
      </c>
      <c r="E64" s="26">
        <f ca="1">iMeasure_Overview!P63</f>
        <v>1</v>
      </c>
      <c r="F64" s="26">
        <f t="shared" ca="1" si="19"/>
        <v>1</v>
      </c>
      <c r="G64" s="26">
        <f ca="1">iMeasure_Overview!Q63</f>
        <v>2</v>
      </c>
      <c r="H64" s="26" cm="1">
        <f t="array" aca="1" ref="H64" ca="1">INDEX(auto_DataFlat_Score,G64,$E$11)</f>
        <v>41</v>
      </c>
      <c r="I64" s="26" cm="1">
        <f t="array" aca="1" ref="I64" ca="1">IF(F64=0,-1,INDEX(auto_DataFlat_Classification,G64,$E$11))</f>
        <v>3</v>
      </c>
      <c r="J64" s="4"/>
      <c r="K64" s="4"/>
      <c r="L64" s="4"/>
      <c r="M64" s="4"/>
      <c r="N64" s="4"/>
      <c r="O64" s="4"/>
      <c r="P64" s="4"/>
      <c r="Q64" s="4"/>
      <c r="R64" s="4"/>
      <c r="S64" s="4"/>
      <c r="T64" s="4"/>
      <c r="U64" s="317" t="str" cm="1">
        <f t="array" aca="1" ref="U64" ca="1">INDEX(uxbGlobals!$B$133:$B$139,I64)</f>
        <v xml:space="preserve"> </v>
      </c>
      <c r="V64" s="318"/>
      <c r="W64" s="356" t="str" cm="1">
        <f t="array" aca="1" ref="W64" ca="1">IF(F64=0,"",INDEX(auto_ddCountry,D64))</f>
        <v>Algiers</v>
      </c>
      <c r="X64" s="356"/>
      <c r="Y64" s="356"/>
      <c r="Z64" s="356"/>
      <c r="AA64" s="356"/>
      <c r="AB64" s="356"/>
      <c r="AC64" s="357">
        <f t="shared" ca="1" si="4"/>
        <v>41</v>
      </c>
      <c r="AD64" s="357"/>
      <c r="AE64" s="318"/>
      <c r="AF64" s="318"/>
      <c r="AG64" s="318"/>
      <c r="AH64" s="318"/>
      <c r="AI64" s="318"/>
      <c r="AJ64" s="318"/>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312"/>
      <c r="CJ64" s="10"/>
      <c r="CK64" s="314"/>
      <c r="CL64" s="4"/>
      <c r="CM64" s="4"/>
      <c r="CN64" s="4"/>
      <c r="CO64" s="4"/>
      <c r="CP64" s="4"/>
      <c r="CQ64" s="4"/>
      <c r="CR64" s="4"/>
      <c r="CS64" s="4"/>
      <c r="CT64" s="4"/>
      <c r="CU64" s="4"/>
      <c r="CV64" s="4"/>
      <c r="CW64" s="4"/>
      <c r="CX64" s="4"/>
      <c r="CY64" s="4"/>
      <c r="CZ64" s="4"/>
      <c r="DA64" s="4"/>
      <c r="DB64" s="4"/>
      <c r="DC64" s="4"/>
      <c r="DD64" s="4"/>
      <c r="DE64" s="4"/>
      <c r="DF64" s="4"/>
      <c r="DG64" s="4"/>
    </row>
    <row r="65" spans="1:111" ht="16" customHeight="1" thickTop="1" thickBot="1" x14ac:dyDescent="0.45">
      <c r="A65" s="4"/>
      <c r="B65" s="4"/>
      <c r="C65" s="26">
        <v>49</v>
      </c>
      <c r="D65" s="26">
        <f ca="1">iMeasure_Overview!O64</f>
        <v>22</v>
      </c>
      <c r="E65" s="26">
        <f ca="1">iMeasure_Overview!P64</f>
        <v>1</v>
      </c>
      <c r="F65" s="26">
        <f t="shared" ca="1" si="19"/>
        <v>1</v>
      </c>
      <c r="G65" s="26">
        <f ca="1">iMeasure_Overview!Q64</f>
        <v>22</v>
      </c>
      <c r="H65" s="26" cm="1">
        <f t="array" aca="1" ref="H65" ca="1">INDEX(auto_DataFlat_Score,G65,$E$11)</f>
        <v>40.9</v>
      </c>
      <c r="I65" s="26" cm="1">
        <f t="array" aca="1" ref="I65" ca="1">IF(F65=0,-1,INDEX(auto_DataFlat_Classification,G65,$E$11))</f>
        <v>3</v>
      </c>
      <c r="J65" s="4"/>
      <c r="K65" s="4"/>
      <c r="L65" s="4"/>
      <c r="M65" s="4"/>
      <c r="N65" s="4"/>
      <c r="O65" s="4"/>
      <c r="P65" s="4"/>
      <c r="Q65" s="4"/>
      <c r="R65" s="4"/>
      <c r="S65" s="4"/>
      <c r="T65" s="4"/>
      <c r="U65" s="317" t="str" cm="1">
        <f t="array" aca="1" ref="U65" ca="1">INDEX(uxbGlobals!$B$133:$B$139,I65)</f>
        <v xml:space="preserve"> </v>
      </c>
      <c r="V65" s="318"/>
      <c r="W65" s="356" t="str" cm="1">
        <f t="array" aca="1" ref="W65" ca="1">IF(F65=0,"",INDEX(auto_ddCountry,D65))</f>
        <v>Kathmandu</v>
      </c>
      <c r="X65" s="356"/>
      <c r="Y65" s="356"/>
      <c r="Z65" s="356"/>
      <c r="AA65" s="356"/>
      <c r="AB65" s="356"/>
      <c r="AC65" s="357">
        <f t="shared" ca="1" si="4"/>
        <v>40.9</v>
      </c>
      <c r="AD65" s="357"/>
      <c r="AE65" s="318"/>
      <c r="AF65" s="318"/>
      <c r="AG65" s="318"/>
      <c r="AH65" s="318"/>
      <c r="AI65" s="318"/>
      <c r="AJ65" s="318"/>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312"/>
      <c r="CJ65" s="10"/>
      <c r="CK65" s="314"/>
      <c r="CL65" s="4"/>
      <c r="CM65" s="4"/>
      <c r="CN65" s="4"/>
      <c r="CO65" s="4"/>
      <c r="CP65" s="4"/>
      <c r="CQ65" s="4"/>
      <c r="CR65" s="4"/>
      <c r="CS65" s="4"/>
      <c r="CT65" s="4"/>
      <c r="CU65" s="4"/>
      <c r="CV65" s="4"/>
      <c r="CW65" s="4"/>
      <c r="CX65" s="4"/>
      <c r="CY65" s="4"/>
      <c r="CZ65" s="4"/>
      <c r="DA65" s="4"/>
      <c r="DB65" s="4"/>
      <c r="DC65" s="4"/>
      <c r="DD65" s="4"/>
      <c r="DE65" s="4"/>
      <c r="DF65" s="4"/>
      <c r="DG65" s="4"/>
    </row>
    <row r="66" spans="1:111" ht="15.45" thickTop="1" thickBot="1" x14ac:dyDescent="0.45">
      <c r="A66" s="4"/>
      <c r="B66" s="4"/>
      <c r="C66" s="26">
        <v>50</v>
      </c>
      <c r="D66" s="26">
        <f ca="1">iMeasure_Overview!O65</f>
        <v>10</v>
      </c>
      <c r="E66" s="26">
        <f ca="1">iMeasure_Overview!P65</f>
        <v>1</v>
      </c>
      <c r="F66" s="26">
        <f t="shared" ref="F66" ca="1" si="22">IF(E66=0,1,E66)</f>
        <v>1</v>
      </c>
      <c r="G66" s="26">
        <f ca="1">iMeasure_Overview!Q65</f>
        <v>10</v>
      </c>
      <c r="H66" s="26" cm="1">
        <f t="array" aca="1" ref="H66" ca="1">INDEX(auto_DataFlat_Score,G66,$E$11)</f>
        <v>40.6</v>
      </c>
      <c r="I66" s="26" cm="1">
        <f t="array" aca="1" ref="I66" ca="1">IF(F66=0,-1,INDEX(auto_DataFlat_Classification,G66,$E$11))</f>
        <v>3</v>
      </c>
      <c r="J66" s="4"/>
      <c r="K66" s="4"/>
      <c r="L66" s="4"/>
      <c r="M66" s="4"/>
      <c r="N66" s="4"/>
      <c r="O66" s="4"/>
      <c r="P66" s="4"/>
      <c r="Q66" s="4"/>
      <c r="R66" s="4"/>
      <c r="S66" s="4"/>
      <c r="T66" s="4"/>
      <c r="U66" s="317" t="str" cm="1">
        <f t="array" aca="1" ref="U66" ca="1">INDEX(uxbGlobals!$B$133:$B$139,I66)</f>
        <v xml:space="preserve"> </v>
      </c>
      <c r="V66" s="318"/>
      <c r="W66" s="356" t="str" cm="1">
        <f t="array" aca="1" ref="W66" ca="1">IF(F66=0,"",INDEX(auto_ddCountry,D66))</f>
        <v>Cairo</v>
      </c>
      <c r="X66" s="356"/>
      <c r="Y66" s="356"/>
      <c r="Z66" s="356"/>
      <c r="AA66" s="356"/>
      <c r="AB66" s="356"/>
      <c r="AC66" s="357">
        <f t="shared" ref="AC66" ca="1" si="23">IF(F66=0,"",H66)</f>
        <v>40.6</v>
      </c>
      <c r="AD66" s="357"/>
      <c r="AE66" s="318"/>
      <c r="AF66" s="318"/>
      <c r="AG66" s="318"/>
      <c r="AH66" s="318"/>
      <c r="AI66" s="318"/>
      <c r="AJ66" s="318"/>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334"/>
      <c r="CJ66" s="335"/>
      <c r="CK66" s="336"/>
      <c r="CL66" s="4"/>
      <c r="CM66" s="4"/>
      <c r="CN66" s="4"/>
      <c r="CO66" s="4"/>
      <c r="CP66" s="4"/>
      <c r="CQ66" s="4"/>
      <c r="CR66" s="4"/>
      <c r="CS66" s="4"/>
      <c r="CT66" s="4"/>
      <c r="CU66" s="4"/>
      <c r="CV66" s="4"/>
      <c r="CW66" s="4"/>
      <c r="CX66" s="4"/>
      <c r="CY66" s="4"/>
      <c r="CZ66" s="4"/>
      <c r="DA66" s="4"/>
      <c r="DB66" s="4"/>
      <c r="DC66" s="4"/>
      <c r="DD66" s="4"/>
      <c r="DE66" s="4"/>
      <c r="DF66" s="4"/>
      <c r="DG66" s="4"/>
    </row>
    <row r="67" spans="1:111" ht="15" thickTop="1"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row>
    <row r="68" spans="1:111"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row>
    <row r="69" spans="1:111"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row>
    <row r="70" spans="1:111"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row>
    <row r="71" spans="1:111" x14ac:dyDescent="0.4">
      <c r="A71" s="4" t="s">
        <v>3</v>
      </c>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row>
    <row r="72" spans="1:111" x14ac:dyDescent="0.4"/>
    <row r="73" spans="1:111" x14ac:dyDescent="0.4"/>
    <row r="74" spans="1:111" x14ac:dyDescent="0.4"/>
    <row r="75" spans="1:111" x14ac:dyDescent="0.4"/>
    <row r="76" spans="1:111" x14ac:dyDescent="0.4"/>
    <row r="77" spans="1:111" x14ac:dyDescent="0.4"/>
    <row r="78" spans="1:111" x14ac:dyDescent="0.4"/>
    <row r="79" spans="1:111" x14ac:dyDescent="0.4"/>
    <row r="80" spans="1:111" x14ac:dyDescent="0.4"/>
    <row r="81" x14ac:dyDescent="0.4"/>
    <row r="82" x14ac:dyDescent="0.4"/>
    <row r="83" x14ac:dyDescent="0.4"/>
    <row r="84" x14ac:dyDescent="0.4"/>
    <row r="85" x14ac:dyDescent="0.4"/>
    <row r="86" x14ac:dyDescent="0.4"/>
    <row r="87" x14ac:dyDescent="0.4"/>
    <row r="88" x14ac:dyDescent="0.4"/>
    <row r="89" x14ac:dyDescent="0.4"/>
    <row r="90" x14ac:dyDescent="0.4"/>
    <row r="91" x14ac:dyDescent="0.4"/>
    <row r="92" x14ac:dyDescent="0.4"/>
    <row r="93" x14ac:dyDescent="0.4"/>
    <row r="94" x14ac:dyDescent="0.4"/>
    <row r="95" x14ac:dyDescent="0.4"/>
    <row r="96" x14ac:dyDescent="0.4"/>
    <row r="97" x14ac:dyDescent="0.4"/>
    <row r="98" x14ac:dyDescent="0.4"/>
    <row r="99" x14ac:dyDescent="0.4"/>
    <row r="100" x14ac:dyDescent="0.4"/>
    <row r="101" x14ac:dyDescent="0.4"/>
    <row r="102" x14ac:dyDescent="0.4"/>
    <row r="103" x14ac:dyDescent="0.4"/>
    <row r="104" x14ac:dyDescent="0.4"/>
    <row r="105" x14ac:dyDescent="0.4"/>
    <row r="106" x14ac:dyDescent="0.4"/>
    <row r="107" x14ac:dyDescent="0.4"/>
    <row r="108" x14ac:dyDescent="0.4"/>
    <row r="109" x14ac:dyDescent="0.4"/>
    <row r="110" x14ac:dyDescent="0.4"/>
    <row r="111" x14ac:dyDescent="0.4"/>
    <row r="112" x14ac:dyDescent="0.4"/>
    <row r="113" x14ac:dyDescent="0.4"/>
    <row r="114" x14ac:dyDescent="0.4"/>
    <row r="115" x14ac:dyDescent="0.4"/>
    <row r="116" x14ac:dyDescent="0.4"/>
    <row r="117" x14ac:dyDescent="0.4"/>
    <row r="118" x14ac:dyDescent="0.4"/>
    <row r="119" x14ac:dyDescent="0.4"/>
    <row r="120" x14ac:dyDescent="0.4"/>
    <row r="121" x14ac:dyDescent="0.4"/>
    <row r="122" x14ac:dyDescent="0.4"/>
    <row r="123" x14ac:dyDescent="0.4"/>
    <row r="124" x14ac:dyDescent="0.4"/>
    <row r="125" x14ac:dyDescent="0.4"/>
    <row r="126" x14ac:dyDescent="0.4"/>
    <row r="127" x14ac:dyDescent="0.4"/>
    <row r="128" x14ac:dyDescent="0.4"/>
    <row r="129" x14ac:dyDescent="0.4"/>
    <row r="130" x14ac:dyDescent="0.4"/>
    <row r="131" x14ac:dyDescent="0.4"/>
    <row r="132" x14ac:dyDescent="0.4"/>
    <row r="133" x14ac:dyDescent="0.4"/>
    <row r="134" x14ac:dyDescent="0.4"/>
    <row r="135" x14ac:dyDescent="0.4"/>
    <row r="136" x14ac:dyDescent="0.4"/>
    <row r="137" x14ac:dyDescent="0.4"/>
    <row r="138" x14ac:dyDescent="0.4"/>
    <row r="139" x14ac:dyDescent="0.4"/>
    <row r="140" x14ac:dyDescent="0.4"/>
    <row r="141" x14ac:dyDescent="0.4"/>
    <row r="142" x14ac:dyDescent="0.4"/>
    <row r="143" x14ac:dyDescent="0.4"/>
    <row r="144" x14ac:dyDescent="0.4"/>
    <row r="145" x14ac:dyDescent="0.4"/>
    <row r="146" x14ac:dyDescent="0.4"/>
    <row r="147" x14ac:dyDescent="0.4"/>
    <row r="148" x14ac:dyDescent="0.4"/>
    <row r="149" x14ac:dyDescent="0.4"/>
    <row r="150" x14ac:dyDescent="0.4"/>
    <row r="151" x14ac:dyDescent="0.4"/>
    <row r="152" x14ac:dyDescent="0.4"/>
    <row r="153" x14ac:dyDescent="0.4"/>
    <row r="154" x14ac:dyDescent="0.4"/>
    <row r="155" x14ac:dyDescent="0.4"/>
    <row r="156" x14ac:dyDescent="0.4"/>
    <row r="157" x14ac:dyDescent="0.4"/>
    <row r="158" x14ac:dyDescent="0.4"/>
    <row r="159" x14ac:dyDescent="0.4"/>
    <row r="160" x14ac:dyDescent="0.4"/>
    <row r="161" x14ac:dyDescent="0.4"/>
    <row r="162" x14ac:dyDescent="0.4"/>
    <row r="163" x14ac:dyDescent="0.4"/>
    <row r="164" x14ac:dyDescent="0.4"/>
    <row r="165" x14ac:dyDescent="0.4"/>
    <row r="166" x14ac:dyDescent="0.4"/>
    <row r="167" x14ac:dyDescent="0.4"/>
    <row r="168" x14ac:dyDescent="0.4"/>
    <row r="169" x14ac:dyDescent="0.4"/>
    <row r="170" x14ac:dyDescent="0.4"/>
    <row r="171" x14ac:dyDescent="0.4"/>
    <row r="172" x14ac:dyDescent="0.4"/>
    <row r="173" x14ac:dyDescent="0.4"/>
    <row r="174" x14ac:dyDescent="0.4"/>
    <row r="175" x14ac:dyDescent="0.4"/>
    <row r="176" x14ac:dyDescent="0.4"/>
    <row r="177" x14ac:dyDescent="0.4"/>
    <row r="178" x14ac:dyDescent="0.4"/>
    <row r="179" x14ac:dyDescent="0.4"/>
    <row r="180" x14ac:dyDescent="0.4"/>
    <row r="181" x14ac:dyDescent="0.4"/>
    <row r="182" x14ac:dyDescent="0.4"/>
    <row r="183" x14ac:dyDescent="0.4"/>
    <row r="184" x14ac:dyDescent="0.4"/>
    <row r="185" x14ac:dyDescent="0.4"/>
    <row r="186" x14ac:dyDescent="0.4"/>
    <row r="187" x14ac:dyDescent="0.4"/>
    <row r="188" x14ac:dyDescent="0.4"/>
    <row r="189" x14ac:dyDescent="0.4"/>
    <row r="190" x14ac:dyDescent="0.4"/>
    <row r="191" x14ac:dyDescent="0.4"/>
    <row r="192" x14ac:dyDescent="0.4"/>
    <row r="193" x14ac:dyDescent="0.4"/>
    <row r="194" x14ac:dyDescent="0.4"/>
    <row r="195" x14ac:dyDescent="0.4"/>
    <row r="196" x14ac:dyDescent="0.4"/>
    <row r="197" x14ac:dyDescent="0.4"/>
    <row r="198" x14ac:dyDescent="0.4"/>
    <row r="199" x14ac:dyDescent="0.4"/>
    <row r="200" x14ac:dyDescent="0.4"/>
    <row r="201" x14ac:dyDescent="0.4"/>
    <row r="202" x14ac:dyDescent="0.4"/>
    <row r="203" x14ac:dyDescent="0.4"/>
    <row r="204" x14ac:dyDescent="0.4"/>
    <row r="205" x14ac:dyDescent="0.4"/>
    <row r="206" x14ac:dyDescent="0.4"/>
    <row r="207" x14ac:dyDescent="0.4"/>
    <row r="208" x14ac:dyDescent="0.4"/>
    <row r="209" x14ac:dyDescent="0.4"/>
    <row r="210" x14ac:dyDescent="0.4"/>
    <row r="211" x14ac:dyDescent="0.4"/>
    <row r="212" x14ac:dyDescent="0.4"/>
    <row r="213" x14ac:dyDescent="0.4"/>
    <row r="214" x14ac:dyDescent="0.4"/>
    <row r="215" x14ac:dyDescent="0.4"/>
    <row r="216" x14ac:dyDescent="0.4"/>
    <row r="217" x14ac:dyDescent="0.4"/>
    <row r="218" x14ac:dyDescent="0.4"/>
    <row r="219" x14ac:dyDescent="0.4"/>
    <row r="220" x14ac:dyDescent="0.4"/>
    <row r="221" x14ac:dyDescent="0.4"/>
    <row r="222" x14ac:dyDescent="0.4"/>
    <row r="223" x14ac:dyDescent="0.4"/>
    <row r="224" x14ac:dyDescent="0.4"/>
    <row r="225" x14ac:dyDescent="0.4"/>
    <row r="226" x14ac:dyDescent="0.4"/>
    <row r="227" x14ac:dyDescent="0.4"/>
    <row r="228" x14ac:dyDescent="0.4"/>
    <row r="229" x14ac:dyDescent="0.4"/>
    <row r="230" x14ac:dyDescent="0.4"/>
    <row r="231" x14ac:dyDescent="0.4"/>
    <row r="232" x14ac:dyDescent="0.4"/>
    <row r="233" x14ac:dyDescent="0.4"/>
    <row r="234" x14ac:dyDescent="0.4"/>
    <row r="235" x14ac:dyDescent="0.4"/>
    <row r="236" x14ac:dyDescent="0.4"/>
    <row r="237" x14ac:dyDescent="0.4"/>
    <row r="238" x14ac:dyDescent="0.4"/>
    <row r="239" x14ac:dyDescent="0.4"/>
    <row r="240" x14ac:dyDescent="0.4"/>
    <row r="241" x14ac:dyDescent="0.4"/>
    <row r="242" x14ac:dyDescent="0.4"/>
    <row r="243" x14ac:dyDescent="0.4"/>
    <row r="244" x14ac:dyDescent="0.4"/>
    <row r="245" x14ac:dyDescent="0.4"/>
    <row r="246" x14ac:dyDescent="0.4"/>
    <row r="247" x14ac:dyDescent="0.4"/>
    <row r="248" x14ac:dyDescent="0.4"/>
    <row r="249" x14ac:dyDescent="0.4"/>
    <row r="250" x14ac:dyDescent="0.4"/>
    <row r="251" x14ac:dyDescent="0.4"/>
    <row r="252" x14ac:dyDescent="0.4"/>
    <row r="253" x14ac:dyDescent="0.4"/>
    <row r="254" x14ac:dyDescent="0.4"/>
    <row r="255" x14ac:dyDescent="0.4"/>
    <row r="256" x14ac:dyDescent="0.4"/>
    <row r="257" x14ac:dyDescent="0.4"/>
    <row r="258" x14ac:dyDescent="0.4"/>
    <row r="259" x14ac:dyDescent="0.4"/>
    <row r="260" x14ac:dyDescent="0.4"/>
    <row r="261" x14ac:dyDescent="0.4"/>
    <row r="262" x14ac:dyDescent="0.4"/>
    <row r="263" x14ac:dyDescent="0.4"/>
    <row r="264" x14ac:dyDescent="0.4"/>
    <row r="265" x14ac:dyDescent="0.4"/>
    <row r="266" x14ac:dyDescent="0.4"/>
    <row r="267" x14ac:dyDescent="0.4"/>
    <row r="268" x14ac:dyDescent="0.4"/>
    <row r="269" x14ac:dyDescent="0.4"/>
    <row r="270" x14ac:dyDescent="0.4"/>
    <row r="271" x14ac:dyDescent="0.4"/>
    <row r="272" x14ac:dyDescent="0.4"/>
    <row r="273" x14ac:dyDescent="0.4"/>
    <row r="274" x14ac:dyDescent="0.4"/>
    <row r="275" x14ac:dyDescent="0.4"/>
    <row r="276" x14ac:dyDescent="0.4"/>
    <row r="277" x14ac:dyDescent="0.4"/>
    <row r="278" x14ac:dyDescent="0.4"/>
    <row r="279" x14ac:dyDescent="0.4"/>
    <row r="280" x14ac:dyDescent="0.4"/>
    <row r="281" x14ac:dyDescent="0.4"/>
    <row r="282" x14ac:dyDescent="0.4"/>
    <row r="283" x14ac:dyDescent="0.4"/>
    <row r="284" x14ac:dyDescent="0.4"/>
    <row r="285" x14ac:dyDescent="0.4"/>
    <row r="286" x14ac:dyDescent="0.4"/>
    <row r="287" x14ac:dyDescent="0.4"/>
    <row r="288" x14ac:dyDescent="0.4"/>
    <row r="289" x14ac:dyDescent="0.4"/>
    <row r="290" x14ac:dyDescent="0.4"/>
    <row r="291" x14ac:dyDescent="0.4"/>
    <row r="292" x14ac:dyDescent="0.4"/>
    <row r="293" x14ac:dyDescent="0.4"/>
    <row r="294" x14ac:dyDescent="0.4"/>
    <row r="295" x14ac:dyDescent="0.4"/>
    <row r="296" x14ac:dyDescent="0.4"/>
    <row r="297" x14ac:dyDescent="0.4"/>
    <row r="298" x14ac:dyDescent="0.4"/>
    <row r="299" x14ac:dyDescent="0.4"/>
    <row r="300" x14ac:dyDescent="0.4"/>
  </sheetData>
  <mergeCells count="118">
    <mergeCell ref="W66:AB66"/>
    <mergeCell ref="AC66:AD66"/>
    <mergeCell ref="AW45:CE47"/>
    <mergeCell ref="AQ45:AV47"/>
    <mergeCell ref="AQ48:AV50"/>
    <mergeCell ref="AQ51:AV53"/>
    <mergeCell ref="AQ54:AV56"/>
    <mergeCell ref="AQ57:AV59"/>
    <mergeCell ref="AW48:CE50"/>
    <mergeCell ref="AW51:CE53"/>
    <mergeCell ref="AW54:CE56"/>
    <mergeCell ref="AW57:CE59"/>
    <mergeCell ref="W45:AB45"/>
    <mergeCell ref="W46:AB46"/>
    <mergeCell ref="W47:AB47"/>
    <mergeCell ref="AC45:AD45"/>
    <mergeCell ref="AC50:AD50"/>
    <mergeCell ref="W51:AB51"/>
    <mergeCell ref="AC51:AD51"/>
    <mergeCell ref="AN47:AP47"/>
    <mergeCell ref="AN45:AP45"/>
    <mergeCell ref="AN46:AP46"/>
    <mergeCell ref="W48:AB48"/>
    <mergeCell ref="AC48:AD48"/>
    <mergeCell ref="W20:AB20"/>
    <mergeCell ref="W21:AB21"/>
    <mergeCell ref="W22:AB22"/>
    <mergeCell ref="W23:AB23"/>
    <mergeCell ref="W24:AB24"/>
    <mergeCell ref="W25:AB25"/>
    <mergeCell ref="W36:AB36"/>
    <mergeCell ref="W40:AB40"/>
    <mergeCell ref="W26:AB26"/>
    <mergeCell ref="W27:AB27"/>
    <mergeCell ref="W28:AB28"/>
    <mergeCell ref="W29:AB29"/>
    <mergeCell ref="W30:AB30"/>
    <mergeCell ref="W31:AB31"/>
    <mergeCell ref="W37:AB37"/>
    <mergeCell ref="W38:AB38"/>
    <mergeCell ref="W39:AB39"/>
    <mergeCell ref="W33:AB33"/>
    <mergeCell ref="W34:AB34"/>
    <mergeCell ref="W35:AB35"/>
    <mergeCell ref="U13:CF14"/>
    <mergeCell ref="AQ44:AV44"/>
    <mergeCell ref="AC36:AD36"/>
    <mergeCell ref="AC37:AD37"/>
    <mergeCell ref="AC38:AD38"/>
    <mergeCell ref="AC39:AD39"/>
    <mergeCell ref="AC41:AD41"/>
    <mergeCell ref="AC31:AD31"/>
    <mergeCell ref="AC27:AD27"/>
    <mergeCell ref="AC28:AD28"/>
    <mergeCell ref="AC35:AD35"/>
    <mergeCell ref="AC22:AD22"/>
    <mergeCell ref="AC23:AD23"/>
    <mergeCell ref="AC24:AD24"/>
    <mergeCell ref="AC25:AD25"/>
    <mergeCell ref="W44:AB44"/>
    <mergeCell ref="AC44:AD44"/>
    <mergeCell ref="AC32:AD32"/>
    <mergeCell ref="AC33:AD33"/>
    <mergeCell ref="AC34:AD34"/>
    <mergeCell ref="AN44:AP44"/>
    <mergeCell ref="W17:AB17"/>
    <mergeCell ref="W18:AB18"/>
    <mergeCell ref="W19:AB19"/>
    <mergeCell ref="W52:AB52"/>
    <mergeCell ref="AC52:AD52"/>
    <mergeCell ref="CR15:DG20"/>
    <mergeCell ref="W42:AB42"/>
    <mergeCell ref="AC42:AD42"/>
    <mergeCell ref="W43:AB43"/>
    <mergeCell ref="AC43:AD43"/>
    <mergeCell ref="AW44:CE44"/>
    <mergeCell ref="AC17:AD17"/>
    <mergeCell ref="AC18:AD18"/>
    <mergeCell ref="AC19:AD19"/>
    <mergeCell ref="AC20:AD20"/>
    <mergeCell ref="AC21:AD21"/>
    <mergeCell ref="AC40:AD40"/>
    <mergeCell ref="AC26:AD26"/>
    <mergeCell ref="AC29:AD29"/>
    <mergeCell ref="AC30:AD30"/>
    <mergeCell ref="W49:AB49"/>
    <mergeCell ref="AC49:AD49"/>
    <mergeCell ref="W50:AB50"/>
    <mergeCell ref="AC46:AD46"/>
    <mergeCell ref="AC47:AD47"/>
    <mergeCell ref="W41:AB41"/>
    <mergeCell ref="W32:AB32"/>
    <mergeCell ref="W56:AB56"/>
    <mergeCell ref="AC56:AD56"/>
    <mergeCell ref="W57:AB57"/>
    <mergeCell ref="AC57:AD57"/>
    <mergeCell ref="W58:AB58"/>
    <mergeCell ref="AC58:AD58"/>
    <mergeCell ref="W53:AB53"/>
    <mergeCell ref="AC53:AD53"/>
    <mergeCell ref="W54:AB54"/>
    <mergeCell ref="AC54:AD54"/>
    <mergeCell ref="W55:AB55"/>
    <mergeCell ref="AC55:AD55"/>
    <mergeCell ref="W65:AB65"/>
    <mergeCell ref="AC65:AD65"/>
    <mergeCell ref="W62:AB62"/>
    <mergeCell ref="AC62:AD62"/>
    <mergeCell ref="W63:AB63"/>
    <mergeCell ref="AC63:AD63"/>
    <mergeCell ref="W64:AB64"/>
    <mergeCell ref="AC64:AD64"/>
    <mergeCell ref="W59:AB59"/>
    <mergeCell ref="AC59:AD59"/>
    <mergeCell ref="W60:AB60"/>
    <mergeCell ref="AC60:AD60"/>
    <mergeCell ref="W61:AB61"/>
    <mergeCell ref="AC61:AD61"/>
  </mergeCells>
  <conditionalFormatting sqref="CJ13:CJ51">
    <cfRule type="expression" dxfId="52" priority="9" stopIfTrue="1">
      <formula>$CO13=1</formula>
    </cfRule>
  </conditionalFormatting>
  <conditionalFormatting sqref="U17:U66">
    <cfRule type="expression" dxfId="51" priority="1679">
      <formula>I17=0</formula>
    </cfRule>
    <cfRule type="expression" dxfId="50" priority="1680">
      <formula>I17=1</formula>
    </cfRule>
    <cfRule type="expression" dxfId="49" priority="1681">
      <formula>I17=2</formula>
    </cfRule>
    <cfRule type="expression" dxfId="48" priority="1682">
      <formula>I17=3</formula>
    </cfRule>
    <cfRule type="expression" dxfId="47" priority="1683">
      <formula>I17=4</formula>
    </cfRule>
    <cfRule type="expression" dxfId="46" priority="1684">
      <formula>I17=5</formula>
    </cfRule>
    <cfRule type="expression" dxfId="45" priority="1685">
      <formula>I17=6</formula>
    </cfRule>
  </conditionalFormatting>
  <conditionalFormatting sqref="V17:V66">
    <cfRule type="expression" dxfId="44" priority="1686">
      <formula>F17=1</formula>
    </cfRule>
  </conditionalFormatting>
  <conditionalFormatting sqref="V17:V66">
    <cfRule type="expression" dxfId="43" priority="1687">
      <formula>F17=2</formula>
    </cfRule>
  </conditionalFormatting>
  <conditionalFormatting sqref="V17:V66">
    <cfRule type="expression" dxfId="42" priority="1688">
      <formula>F17=3</formula>
    </cfRule>
  </conditionalFormatting>
  <conditionalFormatting sqref="W17:W66">
    <cfRule type="expression" dxfId="41" priority="1689">
      <formula>F17=1</formula>
    </cfRule>
  </conditionalFormatting>
  <conditionalFormatting sqref="W17:W66">
    <cfRule type="expression" dxfId="40" priority="1690">
      <formula>F17=2</formula>
    </cfRule>
  </conditionalFormatting>
  <conditionalFormatting sqref="W17:W66">
    <cfRule type="expression" dxfId="39" priority="1691">
      <formula>F17=3</formula>
    </cfRule>
  </conditionalFormatting>
  <conditionalFormatting sqref="X17:X66">
    <cfRule type="expression" dxfId="38" priority="1692">
      <formula>F17=1</formula>
    </cfRule>
  </conditionalFormatting>
  <conditionalFormatting sqref="X17:X66">
    <cfRule type="expression" dxfId="37" priority="1693">
      <formula>F17=2</formula>
    </cfRule>
  </conditionalFormatting>
  <conditionalFormatting sqref="X17:X66">
    <cfRule type="expression" dxfId="36" priority="1694">
      <formula>F17=3</formula>
    </cfRule>
  </conditionalFormatting>
  <conditionalFormatting sqref="Y17:Y66">
    <cfRule type="expression" dxfId="35" priority="1695">
      <formula>F17=1</formula>
    </cfRule>
  </conditionalFormatting>
  <conditionalFormatting sqref="Y17:Y66">
    <cfRule type="expression" dxfId="34" priority="1696">
      <formula>F17=2</formula>
    </cfRule>
  </conditionalFormatting>
  <conditionalFormatting sqref="Y17:Y66">
    <cfRule type="expression" dxfId="33" priority="1697">
      <formula>F17=3</formula>
    </cfRule>
  </conditionalFormatting>
  <conditionalFormatting sqref="Z17:Z66">
    <cfRule type="expression" dxfId="32" priority="1698">
      <formula>F17=1</formula>
    </cfRule>
  </conditionalFormatting>
  <conditionalFormatting sqref="Z17:Z66">
    <cfRule type="expression" dxfId="31" priority="1699">
      <formula>F17=2</formula>
    </cfRule>
  </conditionalFormatting>
  <conditionalFormatting sqref="Z17:Z66">
    <cfRule type="expression" dxfId="30" priority="1700">
      <formula>F17=3</formula>
    </cfRule>
  </conditionalFormatting>
  <conditionalFormatting sqref="AA17:AA66">
    <cfRule type="expression" dxfId="29" priority="1701">
      <formula>F17=1</formula>
    </cfRule>
  </conditionalFormatting>
  <conditionalFormatting sqref="AA17:AA66">
    <cfRule type="expression" dxfId="28" priority="1702">
      <formula>F17=2</formula>
    </cfRule>
  </conditionalFormatting>
  <conditionalFormatting sqref="AA17:AA66">
    <cfRule type="expression" dxfId="27" priority="1703">
      <formula>F17=3</formula>
    </cfRule>
  </conditionalFormatting>
  <conditionalFormatting sqref="AB17:AB66">
    <cfRule type="expression" dxfId="26" priority="1704">
      <formula>F17=1</formula>
    </cfRule>
  </conditionalFormatting>
  <conditionalFormatting sqref="AB17:AB66">
    <cfRule type="expression" dxfId="25" priority="1705">
      <formula>F17=2</formula>
    </cfRule>
  </conditionalFormatting>
  <conditionalFormatting sqref="AB17:AB66">
    <cfRule type="expression" dxfId="24" priority="1706">
      <formula>F17=3</formula>
    </cfRule>
  </conditionalFormatting>
  <conditionalFormatting sqref="AC17:AC66">
    <cfRule type="expression" dxfId="23" priority="1707">
      <formula>F17=1</formula>
    </cfRule>
  </conditionalFormatting>
  <conditionalFormatting sqref="AC17:AC66">
    <cfRule type="expression" dxfId="22" priority="1708">
      <formula>F17=2</formula>
    </cfRule>
  </conditionalFormatting>
  <conditionalFormatting sqref="AC17:AC66">
    <cfRule type="expression" dxfId="21" priority="1709">
      <formula>F17=3</formula>
    </cfRule>
  </conditionalFormatting>
  <conditionalFormatting sqref="AD17:AD66">
    <cfRule type="expression" dxfId="20" priority="1710">
      <formula>F17=1</formula>
    </cfRule>
  </conditionalFormatting>
  <conditionalFormatting sqref="AD17:AD66">
    <cfRule type="expression" dxfId="19" priority="1711">
      <formula>F17=2</formula>
    </cfRule>
  </conditionalFormatting>
  <conditionalFormatting sqref="AD17:AD66">
    <cfRule type="expression" dxfId="18" priority="1712">
      <formula>F17=3</formula>
    </cfRule>
  </conditionalFormatting>
  <conditionalFormatting sqref="AE17:AE66">
    <cfRule type="expression" dxfId="17" priority="1713">
      <formula>F17=1</formula>
    </cfRule>
  </conditionalFormatting>
  <conditionalFormatting sqref="AE17:AE66">
    <cfRule type="expression" dxfId="16" priority="1714">
      <formula>F17=2</formula>
    </cfRule>
  </conditionalFormatting>
  <conditionalFormatting sqref="AE17:AE66">
    <cfRule type="expression" dxfId="15" priority="1715">
      <formula>F17=3</formula>
    </cfRule>
  </conditionalFormatting>
  <conditionalFormatting sqref="AF17:AF66">
    <cfRule type="expression" dxfId="14" priority="1716">
      <formula>F17=1</formula>
    </cfRule>
  </conditionalFormatting>
  <conditionalFormatting sqref="AF17:AF66">
    <cfRule type="expression" dxfId="13" priority="1717">
      <formula>F17=2</formula>
    </cfRule>
  </conditionalFormatting>
  <conditionalFormatting sqref="AF17:AF66">
    <cfRule type="expression" dxfId="12" priority="1718">
      <formula>F17=3</formula>
    </cfRule>
  </conditionalFormatting>
  <conditionalFormatting sqref="AG17:AG66">
    <cfRule type="expression" dxfId="11" priority="1719">
      <formula>F17=1</formula>
    </cfRule>
  </conditionalFormatting>
  <conditionalFormatting sqref="AG17:AG66">
    <cfRule type="expression" dxfId="10" priority="1720">
      <formula>F17=2</formula>
    </cfRule>
  </conditionalFormatting>
  <conditionalFormatting sqref="AG17:AG66">
    <cfRule type="expression" dxfId="9" priority="1721">
      <formula>F17=3</formula>
    </cfRule>
  </conditionalFormatting>
  <conditionalFormatting sqref="AH17:AH66">
    <cfRule type="expression" dxfId="8" priority="1722">
      <formula>F17=1</formula>
    </cfRule>
  </conditionalFormatting>
  <conditionalFormatting sqref="AH17:AH66">
    <cfRule type="expression" dxfId="7" priority="1723">
      <formula>F17=2</formula>
    </cfRule>
  </conditionalFormatting>
  <conditionalFormatting sqref="AH17:AH66">
    <cfRule type="expression" dxfId="6" priority="1724">
      <formula>F17=3</formula>
    </cfRule>
  </conditionalFormatting>
  <conditionalFormatting sqref="AI17:AI66">
    <cfRule type="expression" dxfId="5" priority="1725">
      <formula>F17=1</formula>
    </cfRule>
  </conditionalFormatting>
  <conditionalFormatting sqref="AI17:AI66">
    <cfRule type="expression" dxfId="4" priority="1726">
      <formula>F17=2</formula>
    </cfRule>
  </conditionalFormatting>
  <conditionalFormatting sqref="AI17:AI66">
    <cfRule type="expression" dxfId="3" priority="1727">
      <formula>F17=3</formula>
    </cfRule>
  </conditionalFormatting>
  <conditionalFormatting sqref="AJ17:AJ66">
    <cfRule type="expression" dxfId="2" priority="1728">
      <formula>F17=1</formula>
    </cfRule>
  </conditionalFormatting>
  <conditionalFormatting sqref="AJ17:AJ66">
    <cfRule type="expression" dxfId="1" priority="1729">
      <formula>F17=2</formula>
    </cfRule>
  </conditionalFormatting>
  <conditionalFormatting sqref="AJ17:AJ66">
    <cfRule type="expression" dxfId="0" priority="1730">
      <formula>F17=3</formula>
    </cfRule>
  </conditionalFormatting>
  <pageMargins left="0.28958880139982501" right="0.28958880139982501" top="0.62992125984251945" bottom="0.39370078740157499" header="0.11811023622047251" footer="0.3"/>
  <pageSetup paperSize="9" scale="29" orientation="landscape" r:id="rId1"/>
  <headerFooter scaleWithDoc="0">
    <oddHeader>&amp;R&amp;"Calibri"&amp;10&amp;K808080City Heartbeat 2024, 50 city index (v1.0)</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6803680" r:id="rId4" name="ui_cnt_SeriesOverview">
              <controlPr defaultSize="0" print="0" autoFill="0" autoPict="0" macro="[0]!k">
                <anchor>
                  <from>
                    <xdr:col>0</xdr:col>
                    <xdr:colOff>125186</xdr:colOff>
                    <xdr:row>3</xdr:row>
                    <xdr:rowOff>239486</xdr:rowOff>
                  </from>
                  <to>
                    <xdr:col>7</xdr:col>
                    <xdr:colOff>244929</xdr:colOff>
                    <xdr:row>3</xdr:row>
                    <xdr:rowOff>451757</xdr:rowOff>
                  </to>
                </anchor>
              </controlPr>
            </control>
          </mc:Choice>
        </mc:AlternateContent>
        <mc:AlternateContent xmlns:mc="http://schemas.openxmlformats.org/markup-compatibility/2006">
          <mc:Choice Requires="x14">
            <control shapeId="6803682" r:id="rId5" name="ui_cnt_GroupHighlight">
              <controlPr defaultSize="0" print="0" autoFill="0" autoPict="0" macro="[0]!k">
                <anchor>
                  <from>
                    <xdr:col>9</xdr:col>
                    <xdr:colOff>70757</xdr:colOff>
                    <xdr:row>3</xdr:row>
                    <xdr:rowOff>239486</xdr:rowOff>
                  </from>
                  <to>
                    <xdr:col>16</xdr:col>
                    <xdr:colOff>81643</xdr:colOff>
                    <xdr:row>3</xdr:row>
                    <xdr:rowOff>451757</xdr:rowOff>
                  </to>
                </anchor>
              </controlPr>
            </control>
          </mc:Choice>
        </mc:AlternateContent>
        <mc:AlternateContent xmlns:mc="http://schemas.openxmlformats.org/markup-compatibility/2006">
          <mc:Choice Requires="x14">
            <control shapeId="6803684" r:id="rId6" name="ui_cnt_CountryFltHighlight">
              <controlPr defaultSize="0" print="0" autoFill="0" autoPict="0" macro="[0]!k">
                <anchor>
                  <from>
                    <xdr:col>17</xdr:col>
                    <xdr:colOff>16329</xdr:colOff>
                    <xdr:row>3</xdr:row>
                    <xdr:rowOff>239486</xdr:rowOff>
                  </from>
                  <to>
                    <xdr:col>24</xdr:col>
                    <xdr:colOff>146957</xdr:colOff>
                    <xdr:row>3</xdr:row>
                    <xdr:rowOff>451757</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9E222-D58E-4ABA-8839-85415E282162}">
  <sheetPr codeName="Sheet20">
    <tabColor theme="9"/>
  </sheetPr>
  <dimension ref="A1:AX81"/>
  <sheetViews>
    <sheetView workbookViewId="0">
      <selection activeCell="S4" sqref="S4"/>
    </sheetView>
  </sheetViews>
  <sheetFormatPr defaultColWidth="9.15234375" defaultRowHeight="14.6" x14ac:dyDescent="0.4"/>
  <cols>
    <col min="13" max="13" width="21.53515625" customWidth="1"/>
  </cols>
  <sheetData>
    <row r="1" spans="1:50" x14ac:dyDescent="0.4">
      <c r="A1" t="s">
        <v>191</v>
      </c>
      <c r="B1" t="s">
        <v>192</v>
      </c>
      <c r="C1" t="s">
        <v>1018</v>
      </c>
      <c r="D1" t="s">
        <v>1133</v>
      </c>
      <c r="E1" t="s">
        <v>1151</v>
      </c>
      <c r="G1" t="s">
        <v>140</v>
      </c>
      <c r="I1" t="s">
        <v>2524</v>
      </c>
      <c r="K1" t="s">
        <v>139</v>
      </c>
      <c r="M1" t="s">
        <v>137</v>
      </c>
      <c r="O1" t="s">
        <v>142</v>
      </c>
      <c r="Q1" t="s">
        <v>144</v>
      </c>
      <c r="S1" t="s">
        <v>1327</v>
      </c>
      <c r="U1" t="s">
        <v>141</v>
      </c>
      <c r="W1" t="s">
        <v>1148</v>
      </c>
      <c r="Y1" t="s">
        <v>1599</v>
      </c>
      <c r="AA1" t="s">
        <v>1144</v>
      </c>
      <c r="AC1" t="s">
        <v>1368</v>
      </c>
      <c r="AE1" t="s">
        <v>1393</v>
      </c>
      <c r="AG1" t="s">
        <v>1640</v>
      </c>
      <c r="AI1" t="s">
        <v>1469</v>
      </c>
      <c r="AK1" t="s">
        <v>146</v>
      </c>
      <c r="AM1" t="s">
        <v>1272</v>
      </c>
      <c r="AO1" t="s">
        <v>1283</v>
      </c>
      <c r="AQ1" t="s">
        <v>1026</v>
      </c>
      <c r="AS1" t="s">
        <v>1027</v>
      </c>
      <c r="AU1" t="s">
        <v>1316</v>
      </c>
      <c r="AW1" t="s">
        <v>1317</v>
      </c>
    </row>
    <row r="2" spans="1:50" x14ac:dyDescent="0.4">
      <c r="G2" t="s">
        <v>61</v>
      </c>
      <c r="I2" t="s">
        <v>61</v>
      </c>
      <c r="K2" t="s">
        <v>149</v>
      </c>
      <c r="M2" t="s">
        <v>138</v>
      </c>
      <c r="O2" t="s">
        <v>143</v>
      </c>
      <c r="Q2" t="s">
        <v>145</v>
      </c>
      <c r="S2" t="s">
        <v>1330</v>
      </c>
      <c r="U2" t="s">
        <v>150</v>
      </c>
      <c r="W2" t="s">
        <v>1369</v>
      </c>
      <c r="Y2" t="s">
        <v>1798</v>
      </c>
      <c r="AA2" t="s">
        <v>1799</v>
      </c>
      <c r="AC2" t="s">
        <v>1799</v>
      </c>
      <c r="AE2" t="s">
        <v>1394</v>
      </c>
      <c r="AG2" t="s">
        <v>1641</v>
      </c>
      <c r="AI2" t="s">
        <v>1470</v>
      </c>
      <c r="AK2" t="s">
        <v>147</v>
      </c>
      <c r="AM2" t="s">
        <v>1273</v>
      </c>
      <c r="AO2" t="s">
        <v>1284</v>
      </c>
      <c r="AQ2" t="s">
        <v>1352</v>
      </c>
      <c r="AS2" t="s">
        <v>1352</v>
      </c>
      <c r="AU2" t="s">
        <v>1378</v>
      </c>
      <c r="AW2" t="s">
        <v>1379</v>
      </c>
    </row>
    <row r="4" spans="1:50" x14ac:dyDescent="0.4">
      <c r="A4" t="s">
        <v>6969</v>
      </c>
      <c r="C4" t="s">
        <v>7605</v>
      </c>
      <c r="D4" t="s">
        <v>2491</v>
      </c>
      <c r="E4" t="s">
        <v>1377</v>
      </c>
      <c r="G4" t="s">
        <v>68</v>
      </c>
      <c r="H4">
        <v>1</v>
      </c>
      <c r="I4" t="s">
        <v>68</v>
      </c>
      <c r="J4">
        <v>1</v>
      </c>
      <c r="K4" t="s">
        <v>68</v>
      </c>
      <c r="L4">
        <v>1</v>
      </c>
      <c r="M4" t="s">
        <v>7648</v>
      </c>
      <c r="N4">
        <v>4</v>
      </c>
      <c r="O4" t="s">
        <v>7648</v>
      </c>
      <c r="P4">
        <v>4</v>
      </c>
      <c r="Q4" t="s">
        <v>4720</v>
      </c>
      <c r="R4">
        <v>5</v>
      </c>
      <c r="S4" t="s">
        <v>4720</v>
      </c>
      <c r="T4">
        <v>5</v>
      </c>
      <c r="U4" t="s">
        <v>68</v>
      </c>
      <c r="V4">
        <v>1</v>
      </c>
      <c r="W4" t="s">
        <v>68</v>
      </c>
      <c r="X4">
        <v>1</v>
      </c>
      <c r="Y4" t="s">
        <v>68</v>
      </c>
      <c r="Z4">
        <v>1</v>
      </c>
      <c r="AA4" t="s">
        <v>68</v>
      </c>
      <c r="AB4">
        <v>1</v>
      </c>
      <c r="AC4" t="s">
        <v>68</v>
      </c>
      <c r="AD4">
        <v>1</v>
      </c>
      <c r="AE4" t="s">
        <v>6867</v>
      </c>
      <c r="AF4">
        <v>3</v>
      </c>
      <c r="AG4" t="s">
        <v>7648</v>
      </c>
      <c r="AH4">
        <v>4</v>
      </c>
      <c r="AI4" t="s">
        <v>68</v>
      </c>
      <c r="AJ4">
        <v>1</v>
      </c>
      <c r="AK4" t="s">
        <v>68</v>
      </c>
      <c r="AL4">
        <v>1</v>
      </c>
      <c r="AM4" t="s">
        <v>4718</v>
      </c>
      <c r="AN4">
        <v>2</v>
      </c>
      <c r="AO4" t="s">
        <v>7586</v>
      </c>
      <c r="AP4">
        <v>65</v>
      </c>
      <c r="AQ4" t="s">
        <v>68</v>
      </c>
      <c r="AR4">
        <v>1</v>
      </c>
      <c r="AS4" t="s">
        <v>68</v>
      </c>
      <c r="AT4">
        <v>1</v>
      </c>
      <c r="AU4" t="s">
        <v>68</v>
      </c>
      <c r="AV4">
        <v>1</v>
      </c>
      <c r="AW4" t="s">
        <v>68</v>
      </c>
      <c r="AX4">
        <v>1</v>
      </c>
    </row>
    <row r="5" spans="1:50" x14ac:dyDescent="0.4">
      <c r="C5" t="s">
        <v>22</v>
      </c>
      <c r="D5" t="s">
        <v>2492</v>
      </c>
      <c r="E5" t="s">
        <v>4837</v>
      </c>
      <c r="G5" t="s">
        <v>4718</v>
      </c>
      <c r="H5">
        <v>2</v>
      </c>
      <c r="I5" t="s">
        <v>4718</v>
      </c>
      <c r="J5">
        <v>2</v>
      </c>
      <c r="K5" t="s">
        <v>4718</v>
      </c>
      <c r="L5">
        <v>2</v>
      </c>
      <c r="M5" t="s">
        <v>4720</v>
      </c>
      <c r="N5">
        <v>5</v>
      </c>
      <c r="O5" t="s">
        <v>4720</v>
      </c>
      <c r="P5">
        <v>5</v>
      </c>
      <c r="Q5" t="s">
        <v>4726</v>
      </c>
      <c r="R5">
        <v>8</v>
      </c>
      <c r="S5" t="s">
        <v>4726</v>
      </c>
      <c r="T5">
        <v>8</v>
      </c>
      <c r="U5" t="s">
        <v>4718</v>
      </c>
      <c r="V5">
        <v>2</v>
      </c>
      <c r="W5" t="s">
        <v>4718</v>
      </c>
      <c r="X5">
        <v>2</v>
      </c>
      <c r="Y5" t="s">
        <v>4718</v>
      </c>
      <c r="Z5">
        <v>2</v>
      </c>
      <c r="AA5" t="s">
        <v>4718</v>
      </c>
      <c r="AB5">
        <v>2</v>
      </c>
      <c r="AC5" t="s">
        <v>4718</v>
      </c>
      <c r="AD5">
        <v>2</v>
      </c>
      <c r="AE5" t="s">
        <v>6905</v>
      </c>
      <c r="AF5">
        <v>6</v>
      </c>
      <c r="AG5" t="s">
        <v>4720</v>
      </c>
      <c r="AH5">
        <v>5</v>
      </c>
      <c r="AI5" t="s">
        <v>4718</v>
      </c>
      <c r="AJ5">
        <v>2</v>
      </c>
      <c r="AK5" t="s">
        <v>4718</v>
      </c>
      <c r="AL5">
        <v>2</v>
      </c>
      <c r="AM5" t="s">
        <v>4739</v>
      </c>
      <c r="AN5">
        <v>14</v>
      </c>
      <c r="AO5" t="s">
        <v>7587</v>
      </c>
      <c r="AP5">
        <v>66</v>
      </c>
      <c r="AQ5" t="s">
        <v>4718</v>
      </c>
      <c r="AR5">
        <v>2</v>
      </c>
      <c r="AS5" t="s">
        <v>4718</v>
      </c>
      <c r="AT5">
        <v>2</v>
      </c>
      <c r="AU5" t="s">
        <v>4718</v>
      </c>
      <c r="AV5">
        <v>2</v>
      </c>
      <c r="AW5" t="s">
        <v>4718</v>
      </c>
      <c r="AX5">
        <v>2</v>
      </c>
    </row>
    <row r="6" spans="1:50" x14ac:dyDescent="0.4">
      <c r="C6" t="s">
        <v>1404</v>
      </c>
      <c r="D6" t="s">
        <v>4837</v>
      </c>
      <c r="E6" t="s">
        <v>4838</v>
      </c>
      <c r="G6" t="s">
        <v>6867</v>
      </c>
      <c r="H6">
        <v>3</v>
      </c>
      <c r="I6" t="s">
        <v>6868</v>
      </c>
      <c r="J6">
        <v>3</v>
      </c>
      <c r="K6" t="s">
        <v>6867</v>
      </c>
      <c r="L6">
        <v>3</v>
      </c>
      <c r="M6" t="s">
        <v>4724</v>
      </c>
      <c r="N6">
        <v>7</v>
      </c>
      <c r="O6" t="s">
        <v>4724</v>
      </c>
      <c r="P6">
        <v>7</v>
      </c>
      <c r="Q6" t="s">
        <v>4730</v>
      </c>
      <c r="R6">
        <v>11</v>
      </c>
      <c r="S6" t="s">
        <v>4730</v>
      </c>
      <c r="T6">
        <v>11</v>
      </c>
      <c r="U6" t="s">
        <v>6867</v>
      </c>
      <c r="V6">
        <v>3</v>
      </c>
      <c r="W6" t="s">
        <v>4739</v>
      </c>
      <c r="X6">
        <v>14</v>
      </c>
      <c r="Y6" t="s">
        <v>6868</v>
      </c>
      <c r="Z6">
        <v>3</v>
      </c>
      <c r="AA6" t="s">
        <v>6867</v>
      </c>
      <c r="AB6">
        <v>3</v>
      </c>
      <c r="AC6" t="s">
        <v>6867</v>
      </c>
      <c r="AD6">
        <v>3</v>
      </c>
      <c r="AE6" t="s">
        <v>6907</v>
      </c>
      <c r="AF6">
        <v>9</v>
      </c>
      <c r="AG6" t="s">
        <v>4724</v>
      </c>
      <c r="AH6">
        <v>7</v>
      </c>
      <c r="AI6" t="s">
        <v>6867</v>
      </c>
      <c r="AJ6">
        <v>3</v>
      </c>
      <c r="AK6" t="s">
        <v>4739</v>
      </c>
      <c r="AL6">
        <v>14</v>
      </c>
      <c r="AM6" t="s">
        <v>4750</v>
      </c>
      <c r="AN6">
        <v>22</v>
      </c>
      <c r="AO6" t="s">
        <v>7588</v>
      </c>
      <c r="AP6">
        <v>67</v>
      </c>
      <c r="AQ6" t="s">
        <v>6867</v>
      </c>
      <c r="AR6">
        <v>3</v>
      </c>
      <c r="AS6" t="s">
        <v>6867</v>
      </c>
      <c r="AT6">
        <v>3</v>
      </c>
      <c r="AU6" t="s">
        <v>6867</v>
      </c>
      <c r="AV6">
        <v>3</v>
      </c>
      <c r="AW6" t="s">
        <v>6867</v>
      </c>
      <c r="AX6">
        <v>3</v>
      </c>
    </row>
    <row r="7" spans="1:50" x14ac:dyDescent="0.4">
      <c r="C7" t="s">
        <v>1404</v>
      </c>
      <c r="D7" t="s">
        <v>4838</v>
      </c>
      <c r="E7" t="s">
        <v>4839</v>
      </c>
      <c r="G7" t="s">
        <v>7648</v>
      </c>
      <c r="H7">
        <v>4</v>
      </c>
      <c r="I7" t="s">
        <v>7649</v>
      </c>
      <c r="J7">
        <v>4</v>
      </c>
      <c r="K7" t="s">
        <v>7648</v>
      </c>
      <c r="L7">
        <v>4</v>
      </c>
      <c r="M7" t="s">
        <v>4726</v>
      </c>
      <c r="N7">
        <v>8</v>
      </c>
      <c r="O7" t="s">
        <v>4726</v>
      </c>
      <c r="P7">
        <v>8</v>
      </c>
      <c r="Q7" t="s">
        <v>4744</v>
      </c>
      <c r="R7">
        <v>17</v>
      </c>
      <c r="S7" t="s">
        <v>4744</v>
      </c>
      <c r="T7">
        <v>17</v>
      </c>
      <c r="U7" t="s">
        <v>6905</v>
      </c>
      <c r="V7">
        <v>6</v>
      </c>
      <c r="W7" t="s">
        <v>4750</v>
      </c>
      <c r="X7">
        <v>22</v>
      </c>
      <c r="Y7" t="s">
        <v>6906</v>
      </c>
      <c r="Z7">
        <v>6</v>
      </c>
      <c r="AA7" t="s">
        <v>6905</v>
      </c>
      <c r="AB7">
        <v>6</v>
      </c>
      <c r="AC7" t="s">
        <v>6905</v>
      </c>
      <c r="AD7">
        <v>6</v>
      </c>
      <c r="AE7" t="s">
        <v>4733</v>
      </c>
      <c r="AF7">
        <v>12</v>
      </c>
      <c r="AG7" t="s">
        <v>4726</v>
      </c>
      <c r="AH7">
        <v>8</v>
      </c>
      <c r="AI7" t="s">
        <v>7648</v>
      </c>
      <c r="AJ7">
        <v>4</v>
      </c>
      <c r="AK7" t="s">
        <v>4750</v>
      </c>
      <c r="AL7">
        <v>22</v>
      </c>
      <c r="AM7" t="s">
        <v>4781</v>
      </c>
      <c r="AN7">
        <v>47</v>
      </c>
      <c r="AO7" t="s">
        <v>7589</v>
      </c>
      <c r="AP7">
        <v>68</v>
      </c>
      <c r="AQ7" t="s">
        <v>7648</v>
      </c>
      <c r="AR7">
        <v>4</v>
      </c>
      <c r="AS7" t="s">
        <v>7648</v>
      </c>
      <c r="AT7">
        <v>4</v>
      </c>
      <c r="AU7" t="s">
        <v>7648</v>
      </c>
      <c r="AV7">
        <v>4</v>
      </c>
      <c r="AW7" t="s">
        <v>7648</v>
      </c>
      <c r="AX7">
        <v>4</v>
      </c>
    </row>
    <row r="8" spans="1:50" x14ac:dyDescent="0.4">
      <c r="D8" t="s">
        <v>4839</v>
      </c>
      <c r="E8" t="s">
        <v>4840</v>
      </c>
      <c r="G8" t="s">
        <v>4720</v>
      </c>
      <c r="H8">
        <v>5</v>
      </c>
      <c r="I8" t="s">
        <v>4721</v>
      </c>
      <c r="J8">
        <v>5</v>
      </c>
      <c r="K8" t="s">
        <v>4720</v>
      </c>
      <c r="L8">
        <v>5</v>
      </c>
      <c r="M8" t="s">
        <v>4728</v>
      </c>
      <c r="N8">
        <v>10</v>
      </c>
      <c r="O8" t="s">
        <v>4728</v>
      </c>
      <c r="P8">
        <v>10</v>
      </c>
      <c r="Q8" t="s">
        <v>6873</v>
      </c>
      <c r="R8">
        <v>20</v>
      </c>
      <c r="S8" t="s">
        <v>6873</v>
      </c>
      <c r="T8">
        <v>20</v>
      </c>
      <c r="U8" t="s">
        <v>6907</v>
      </c>
      <c r="V8">
        <v>9</v>
      </c>
      <c r="W8" t="s">
        <v>4781</v>
      </c>
      <c r="X8">
        <v>47</v>
      </c>
      <c r="Y8" t="s">
        <v>6908</v>
      </c>
      <c r="Z8">
        <v>9</v>
      </c>
      <c r="AA8" t="s">
        <v>6907</v>
      </c>
      <c r="AB8">
        <v>9</v>
      </c>
      <c r="AC8" t="s">
        <v>6907</v>
      </c>
      <c r="AD8">
        <v>9</v>
      </c>
      <c r="AE8" t="s">
        <v>4736</v>
      </c>
      <c r="AF8">
        <v>13</v>
      </c>
      <c r="AG8" t="s">
        <v>4728</v>
      </c>
      <c r="AH8">
        <v>10</v>
      </c>
      <c r="AI8" t="s">
        <v>4720</v>
      </c>
      <c r="AJ8">
        <v>5</v>
      </c>
      <c r="AK8" t="s">
        <v>4781</v>
      </c>
      <c r="AL8">
        <v>47</v>
      </c>
      <c r="AM8" t="s">
        <v>4792</v>
      </c>
      <c r="AN8">
        <v>52</v>
      </c>
      <c r="AO8" t="s">
        <v>7590</v>
      </c>
      <c r="AP8">
        <v>69</v>
      </c>
      <c r="AQ8" t="s">
        <v>4720</v>
      </c>
      <c r="AR8">
        <v>5</v>
      </c>
      <c r="AS8" t="s">
        <v>4720</v>
      </c>
      <c r="AT8">
        <v>5</v>
      </c>
      <c r="AU8" t="s">
        <v>4720</v>
      </c>
      <c r="AV8">
        <v>5</v>
      </c>
      <c r="AW8" t="s">
        <v>4720</v>
      </c>
      <c r="AX8">
        <v>5</v>
      </c>
    </row>
    <row r="9" spans="1:50" x14ac:dyDescent="0.4">
      <c r="D9" t="s">
        <v>4840</v>
      </c>
      <c r="E9" t="s">
        <v>4841</v>
      </c>
      <c r="G9" t="s">
        <v>6905</v>
      </c>
      <c r="H9">
        <v>6</v>
      </c>
      <c r="I9" t="s">
        <v>6906</v>
      </c>
      <c r="J9">
        <v>6</v>
      </c>
      <c r="K9" t="s">
        <v>6905</v>
      </c>
      <c r="L9">
        <v>6</v>
      </c>
      <c r="M9" t="s">
        <v>4730</v>
      </c>
      <c r="N9">
        <v>11</v>
      </c>
      <c r="O9" t="s">
        <v>4730</v>
      </c>
      <c r="P9">
        <v>11</v>
      </c>
      <c r="Q9" t="s">
        <v>7651</v>
      </c>
      <c r="R9">
        <v>25</v>
      </c>
      <c r="S9" t="s">
        <v>7651</v>
      </c>
      <c r="T9">
        <v>25</v>
      </c>
      <c r="U9" t="s">
        <v>4739</v>
      </c>
      <c r="V9">
        <v>14</v>
      </c>
      <c r="W9" t="s">
        <v>4792</v>
      </c>
      <c r="X9">
        <v>52</v>
      </c>
      <c r="Y9" t="s">
        <v>4734</v>
      </c>
      <c r="Z9">
        <v>12</v>
      </c>
      <c r="AA9" t="s">
        <v>4733</v>
      </c>
      <c r="AB9">
        <v>12</v>
      </c>
      <c r="AC9" t="s">
        <v>4733</v>
      </c>
      <c r="AD9">
        <v>12</v>
      </c>
      <c r="AE9" t="s">
        <v>4740</v>
      </c>
      <c r="AF9">
        <v>15</v>
      </c>
      <c r="AG9" t="s">
        <v>4730</v>
      </c>
      <c r="AH9">
        <v>11</v>
      </c>
      <c r="AI9" t="s">
        <v>6905</v>
      </c>
      <c r="AJ9">
        <v>6</v>
      </c>
      <c r="AK9" t="s">
        <v>4792</v>
      </c>
      <c r="AL9">
        <v>52</v>
      </c>
      <c r="AO9" t="s">
        <v>7591</v>
      </c>
      <c r="AP9">
        <v>70</v>
      </c>
      <c r="AQ9" t="s">
        <v>6905</v>
      </c>
      <c r="AR9">
        <v>6</v>
      </c>
      <c r="AS9" t="s">
        <v>6905</v>
      </c>
      <c r="AT9">
        <v>6</v>
      </c>
      <c r="AU9" t="s">
        <v>6905</v>
      </c>
      <c r="AV9">
        <v>6</v>
      </c>
      <c r="AW9" t="s">
        <v>6905</v>
      </c>
      <c r="AX9">
        <v>6</v>
      </c>
    </row>
    <row r="10" spans="1:50" x14ac:dyDescent="0.4">
      <c r="D10" t="s">
        <v>4841</v>
      </c>
      <c r="G10" t="s">
        <v>4724</v>
      </c>
      <c r="H10">
        <v>7</v>
      </c>
      <c r="I10" t="s">
        <v>4725</v>
      </c>
      <c r="J10">
        <v>7</v>
      </c>
      <c r="K10" t="s">
        <v>4724</v>
      </c>
      <c r="L10">
        <v>7</v>
      </c>
      <c r="M10" t="s">
        <v>4733</v>
      </c>
      <c r="N10">
        <v>12</v>
      </c>
      <c r="O10" t="s">
        <v>4733</v>
      </c>
      <c r="P10">
        <v>12</v>
      </c>
      <c r="Q10" t="s">
        <v>7215</v>
      </c>
      <c r="R10">
        <v>28</v>
      </c>
      <c r="S10" t="s">
        <v>7215</v>
      </c>
      <c r="T10">
        <v>28</v>
      </c>
      <c r="U10" t="s">
        <v>6869</v>
      </c>
      <c r="V10">
        <v>18</v>
      </c>
      <c r="Y10" t="s">
        <v>4737</v>
      </c>
      <c r="Z10">
        <v>13</v>
      </c>
      <c r="AA10" t="s">
        <v>4736</v>
      </c>
      <c r="AB10">
        <v>13</v>
      </c>
      <c r="AC10" t="s">
        <v>4736</v>
      </c>
      <c r="AD10">
        <v>13</v>
      </c>
      <c r="AE10" t="s">
        <v>4742</v>
      </c>
      <c r="AF10">
        <v>16</v>
      </c>
      <c r="AG10" t="s">
        <v>6871</v>
      </c>
      <c r="AH10">
        <v>19</v>
      </c>
      <c r="AI10" t="s">
        <v>4724</v>
      </c>
      <c r="AJ10">
        <v>7</v>
      </c>
      <c r="AO10" t="s">
        <v>7592</v>
      </c>
      <c r="AP10">
        <v>71</v>
      </c>
      <c r="AQ10" t="s">
        <v>4724</v>
      </c>
      <c r="AR10">
        <v>7</v>
      </c>
      <c r="AS10" t="s">
        <v>4724</v>
      </c>
      <c r="AT10">
        <v>7</v>
      </c>
      <c r="AU10" t="s">
        <v>4724</v>
      </c>
      <c r="AV10">
        <v>7</v>
      </c>
      <c r="AW10" t="s">
        <v>4724</v>
      </c>
      <c r="AX10">
        <v>7</v>
      </c>
    </row>
    <row r="11" spans="1:50" x14ac:dyDescent="0.4">
      <c r="D11" t="s">
        <v>2492</v>
      </c>
      <c r="G11" t="s">
        <v>4726</v>
      </c>
      <c r="H11">
        <v>8</v>
      </c>
      <c r="I11" t="s">
        <v>4727</v>
      </c>
      <c r="J11">
        <v>8</v>
      </c>
      <c r="K11" t="s">
        <v>4726</v>
      </c>
      <c r="L11">
        <v>8</v>
      </c>
      <c r="M11" t="s">
        <v>4736</v>
      </c>
      <c r="N11">
        <v>13</v>
      </c>
      <c r="O11" t="s">
        <v>4736</v>
      </c>
      <c r="P11">
        <v>13</v>
      </c>
      <c r="Q11" t="s">
        <v>7219</v>
      </c>
      <c r="R11">
        <v>31</v>
      </c>
      <c r="S11" t="s">
        <v>7219</v>
      </c>
      <c r="T11">
        <v>31</v>
      </c>
      <c r="U11" t="s">
        <v>4750</v>
      </c>
      <c r="V11">
        <v>22</v>
      </c>
      <c r="Y11" t="s">
        <v>4739</v>
      </c>
      <c r="Z11">
        <v>14</v>
      </c>
      <c r="AA11" t="s">
        <v>4739</v>
      </c>
      <c r="AB11">
        <v>14</v>
      </c>
      <c r="AC11" t="s">
        <v>4739</v>
      </c>
      <c r="AD11">
        <v>14</v>
      </c>
      <c r="AE11" t="s">
        <v>4744</v>
      </c>
      <c r="AF11">
        <v>17</v>
      </c>
      <c r="AG11" t="s">
        <v>6873</v>
      </c>
      <c r="AH11">
        <v>20</v>
      </c>
      <c r="AI11" t="s">
        <v>4726</v>
      </c>
      <c r="AJ11">
        <v>8</v>
      </c>
      <c r="AO11" t="s">
        <v>7593</v>
      </c>
      <c r="AP11">
        <v>72</v>
      </c>
      <c r="AQ11" t="s">
        <v>4726</v>
      </c>
      <c r="AR11">
        <v>8</v>
      </c>
      <c r="AS11" t="s">
        <v>4726</v>
      </c>
      <c r="AT11">
        <v>8</v>
      </c>
      <c r="AU11" t="s">
        <v>4726</v>
      </c>
      <c r="AV11">
        <v>8</v>
      </c>
      <c r="AW11" t="s">
        <v>4726</v>
      </c>
      <c r="AX11">
        <v>8</v>
      </c>
    </row>
    <row r="12" spans="1:50" x14ac:dyDescent="0.4">
      <c r="D12" t="s">
        <v>6897</v>
      </c>
      <c r="G12" t="s">
        <v>6907</v>
      </c>
      <c r="H12">
        <v>9</v>
      </c>
      <c r="I12" t="s">
        <v>6908</v>
      </c>
      <c r="J12">
        <v>9</v>
      </c>
      <c r="K12" t="s">
        <v>6907</v>
      </c>
      <c r="L12">
        <v>9</v>
      </c>
      <c r="M12" t="s">
        <v>4740</v>
      </c>
      <c r="N12">
        <v>15</v>
      </c>
      <c r="O12" t="s">
        <v>4740</v>
      </c>
      <c r="P12">
        <v>15</v>
      </c>
      <c r="Q12" t="s">
        <v>7507</v>
      </c>
      <c r="R12">
        <v>34</v>
      </c>
      <c r="S12" t="s">
        <v>7507</v>
      </c>
      <c r="T12">
        <v>34</v>
      </c>
      <c r="U12" t="s">
        <v>4751</v>
      </c>
      <c r="V12">
        <v>23</v>
      </c>
      <c r="Y12" t="s">
        <v>4741</v>
      </c>
      <c r="Z12">
        <v>15</v>
      </c>
      <c r="AA12" t="s">
        <v>4740</v>
      </c>
      <c r="AB12">
        <v>15</v>
      </c>
      <c r="AC12" t="s">
        <v>4740</v>
      </c>
      <c r="AD12">
        <v>15</v>
      </c>
      <c r="AE12" t="s">
        <v>6869</v>
      </c>
      <c r="AF12">
        <v>18</v>
      </c>
      <c r="AG12" t="s">
        <v>4753</v>
      </c>
      <c r="AH12">
        <v>24</v>
      </c>
      <c r="AI12" t="s">
        <v>6907</v>
      </c>
      <c r="AJ12">
        <v>9</v>
      </c>
      <c r="AO12" t="s">
        <v>7594</v>
      </c>
      <c r="AP12">
        <v>73</v>
      </c>
      <c r="AQ12" t="s">
        <v>6907</v>
      </c>
      <c r="AR12">
        <v>9</v>
      </c>
      <c r="AS12" t="s">
        <v>6907</v>
      </c>
      <c r="AT12">
        <v>9</v>
      </c>
      <c r="AU12" t="s">
        <v>6907</v>
      </c>
      <c r="AV12">
        <v>9</v>
      </c>
      <c r="AW12" t="s">
        <v>6907</v>
      </c>
      <c r="AX12">
        <v>9</v>
      </c>
    </row>
    <row r="13" spans="1:50" x14ac:dyDescent="0.4">
      <c r="D13" t="s">
        <v>6905</v>
      </c>
      <c r="G13" t="s">
        <v>4728</v>
      </c>
      <c r="H13">
        <v>10</v>
      </c>
      <c r="I13" t="s">
        <v>4729</v>
      </c>
      <c r="J13">
        <v>10</v>
      </c>
      <c r="K13" t="s">
        <v>4728</v>
      </c>
      <c r="L13">
        <v>10</v>
      </c>
      <c r="M13" t="s">
        <v>4742</v>
      </c>
      <c r="N13">
        <v>16</v>
      </c>
      <c r="O13" t="s">
        <v>4742</v>
      </c>
      <c r="P13">
        <v>16</v>
      </c>
      <c r="Q13" t="s">
        <v>7653</v>
      </c>
      <c r="R13">
        <v>37</v>
      </c>
      <c r="S13" t="s">
        <v>7653</v>
      </c>
      <c r="T13">
        <v>37</v>
      </c>
      <c r="U13" t="s">
        <v>6875</v>
      </c>
      <c r="V13">
        <v>26</v>
      </c>
      <c r="Y13" t="s">
        <v>4743</v>
      </c>
      <c r="Z13">
        <v>16</v>
      </c>
      <c r="AA13" t="s">
        <v>4742</v>
      </c>
      <c r="AB13">
        <v>16</v>
      </c>
      <c r="AC13" t="s">
        <v>4742</v>
      </c>
      <c r="AD13">
        <v>16</v>
      </c>
      <c r="AE13" t="s">
        <v>4747</v>
      </c>
      <c r="AF13">
        <v>21</v>
      </c>
      <c r="AG13" t="s">
        <v>7651</v>
      </c>
      <c r="AH13">
        <v>25</v>
      </c>
      <c r="AI13" t="s">
        <v>4728</v>
      </c>
      <c r="AJ13">
        <v>10</v>
      </c>
      <c r="AO13" t="s">
        <v>7595</v>
      </c>
      <c r="AP13">
        <v>74</v>
      </c>
      <c r="AQ13" t="s">
        <v>4728</v>
      </c>
      <c r="AR13">
        <v>10</v>
      </c>
      <c r="AS13" t="s">
        <v>4728</v>
      </c>
      <c r="AT13">
        <v>10</v>
      </c>
      <c r="AU13" t="s">
        <v>4728</v>
      </c>
      <c r="AV13">
        <v>10</v>
      </c>
      <c r="AW13" t="s">
        <v>4728</v>
      </c>
      <c r="AX13">
        <v>10</v>
      </c>
    </row>
    <row r="14" spans="1:50" x14ac:dyDescent="0.4">
      <c r="D14" t="s">
        <v>6907</v>
      </c>
      <c r="G14" t="s">
        <v>4730</v>
      </c>
      <c r="H14">
        <v>11</v>
      </c>
      <c r="I14" t="s">
        <v>4731</v>
      </c>
      <c r="J14">
        <v>11</v>
      </c>
      <c r="K14" t="s">
        <v>4730</v>
      </c>
      <c r="L14">
        <v>11</v>
      </c>
      <c r="M14" t="s">
        <v>4744</v>
      </c>
      <c r="N14">
        <v>17</v>
      </c>
      <c r="O14" t="s">
        <v>4744</v>
      </c>
      <c r="P14">
        <v>17</v>
      </c>
      <c r="Q14" t="s">
        <v>4769</v>
      </c>
      <c r="R14">
        <v>40</v>
      </c>
      <c r="S14" t="s">
        <v>4769</v>
      </c>
      <c r="T14">
        <v>40</v>
      </c>
      <c r="U14" t="s">
        <v>6877</v>
      </c>
      <c r="V14">
        <v>29</v>
      </c>
      <c r="Y14" t="s">
        <v>4745</v>
      </c>
      <c r="Z14">
        <v>17</v>
      </c>
      <c r="AA14" t="s">
        <v>4744</v>
      </c>
      <c r="AB14">
        <v>17</v>
      </c>
      <c r="AC14" t="s">
        <v>4744</v>
      </c>
      <c r="AD14">
        <v>17</v>
      </c>
      <c r="AE14" t="s">
        <v>4751</v>
      </c>
      <c r="AF14">
        <v>23</v>
      </c>
      <c r="AG14" t="s">
        <v>7213</v>
      </c>
      <c r="AH14">
        <v>27</v>
      </c>
      <c r="AI14" t="s">
        <v>4730</v>
      </c>
      <c r="AJ14">
        <v>11</v>
      </c>
      <c r="AO14" t="s">
        <v>7596</v>
      </c>
      <c r="AP14">
        <v>75</v>
      </c>
      <c r="AQ14" t="s">
        <v>4730</v>
      </c>
      <c r="AR14">
        <v>11</v>
      </c>
      <c r="AS14" t="s">
        <v>4730</v>
      </c>
      <c r="AT14">
        <v>11</v>
      </c>
      <c r="AU14" t="s">
        <v>4730</v>
      </c>
      <c r="AV14">
        <v>11</v>
      </c>
      <c r="AW14" t="s">
        <v>4730</v>
      </c>
      <c r="AX14">
        <v>11</v>
      </c>
    </row>
    <row r="15" spans="1:50" x14ac:dyDescent="0.4">
      <c r="D15" t="s">
        <v>4842</v>
      </c>
      <c r="G15" t="s">
        <v>4733</v>
      </c>
      <c r="H15">
        <v>12</v>
      </c>
      <c r="I15" t="s">
        <v>4734</v>
      </c>
      <c r="J15">
        <v>12</v>
      </c>
      <c r="K15" t="s">
        <v>4733</v>
      </c>
      <c r="L15">
        <v>12</v>
      </c>
      <c r="M15" t="s">
        <v>6871</v>
      </c>
      <c r="N15">
        <v>19</v>
      </c>
      <c r="O15" t="s">
        <v>6871</v>
      </c>
      <c r="P15">
        <v>19</v>
      </c>
      <c r="Q15" t="s">
        <v>4776</v>
      </c>
      <c r="R15">
        <v>43</v>
      </c>
      <c r="S15" t="s">
        <v>4776</v>
      </c>
      <c r="T15">
        <v>43</v>
      </c>
      <c r="U15" t="s">
        <v>6879</v>
      </c>
      <c r="V15">
        <v>32</v>
      </c>
      <c r="Y15" t="s">
        <v>6870</v>
      </c>
      <c r="Z15">
        <v>18</v>
      </c>
      <c r="AA15" t="s">
        <v>6869</v>
      </c>
      <c r="AB15">
        <v>18</v>
      </c>
      <c r="AC15" t="s">
        <v>6869</v>
      </c>
      <c r="AD15">
        <v>18</v>
      </c>
      <c r="AE15" t="s">
        <v>6875</v>
      </c>
      <c r="AF15">
        <v>26</v>
      </c>
      <c r="AG15" t="s">
        <v>7215</v>
      </c>
      <c r="AH15">
        <v>28</v>
      </c>
      <c r="AI15" t="s">
        <v>4733</v>
      </c>
      <c r="AJ15">
        <v>12</v>
      </c>
      <c r="AO15" t="s">
        <v>7597</v>
      </c>
      <c r="AP15">
        <v>76</v>
      </c>
      <c r="AQ15" t="s">
        <v>4733</v>
      </c>
      <c r="AR15">
        <v>12</v>
      </c>
      <c r="AS15" t="s">
        <v>4733</v>
      </c>
      <c r="AT15">
        <v>12</v>
      </c>
      <c r="AU15" t="s">
        <v>4733</v>
      </c>
      <c r="AV15">
        <v>12</v>
      </c>
      <c r="AW15" t="s">
        <v>4733</v>
      </c>
      <c r="AX15">
        <v>12</v>
      </c>
    </row>
    <row r="16" spans="1:50" x14ac:dyDescent="0.4">
      <c r="D16" t="s">
        <v>4843</v>
      </c>
      <c r="G16" t="s">
        <v>4736</v>
      </c>
      <c r="H16">
        <v>13</v>
      </c>
      <c r="I16" t="s">
        <v>4737</v>
      </c>
      <c r="J16">
        <v>13</v>
      </c>
      <c r="K16" t="s">
        <v>4736</v>
      </c>
      <c r="L16">
        <v>13</v>
      </c>
      <c r="M16" t="s">
        <v>6873</v>
      </c>
      <c r="N16">
        <v>20</v>
      </c>
      <c r="O16" t="s">
        <v>6873</v>
      </c>
      <c r="P16">
        <v>20</v>
      </c>
      <c r="Q16" t="s">
        <v>7513</v>
      </c>
      <c r="R16">
        <v>46</v>
      </c>
      <c r="S16" t="s">
        <v>7513</v>
      </c>
      <c r="T16">
        <v>46</v>
      </c>
      <c r="U16" t="s">
        <v>4761</v>
      </c>
      <c r="V16">
        <v>35</v>
      </c>
      <c r="Y16" t="s">
        <v>4748</v>
      </c>
      <c r="Z16">
        <v>21</v>
      </c>
      <c r="AA16" t="s">
        <v>4747</v>
      </c>
      <c r="AB16">
        <v>21</v>
      </c>
      <c r="AC16" t="s">
        <v>4747</v>
      </c>
      <c r="AD16">
        <v>21</v>
      </c>
      <c r="AE16" t="s">
        <v>6877</v>
      </c>
      <c r="AF16">
        <v>29</v>
      </c>
      <c r="AG16" t="s">
        <v>7217</v>
      </c>
      <c r="AH16">
        <v>30</v>
      </c>
      <c r="AI16" t="s">
        <v>4736</v>
      </c>
      <c r="AJ16">
        <v>13</v>
      </c>
      <c r="AO16" t="s">
        <v>7598</v>
      </c>
      <c r="AP16">
        <v>77</v>
      </c>
      <c r="AQ16" t="s">
        <v>4736</v>
      </c>
      <c r="AR16">
        <v>13</v>
      </c>
      <c r="AS16" t="s">
        <v>4736</v>
      </c>
      <c r="AT16">
        <v>13</v>
      </c>
      <c r="AU16" t="s">
        <v>4736</v>
      </c>
      <c r="AV16">
        <v>13</v>
      </c>
      <c r="AW16" t="s">
        <v>4736</v>
      </c>
      <c r="AX16">
        <v>13</v>
      </c>
    </row>
    <row r="17" spans="4:50" x14ac:dyDescent="0.4">
      <c r="D17" t="s">
        <v>4844</v>
      </c>
      <c r="G17" t="s">
        <v>4739</v>
      </c>
      <c r="H17">
        <v>14</v>
      </c>
      <c r="I17" t="s">
        <v>4739</v>
      </c>
      <c r="J17">
        <v>14</v>
      </c>
      <c r="K17" t="s">
        <v>4739</v>
      </c>
      <c r="L17">
        <v>14</v>
      </c>
      <c r="M17" t="s">
        <v>4747</v>
      </c>
      <c r="N17">
        <v>21</v>
      </c>
      <c r="O17" t="s">
        <v>4747</v>
      </c>
      <c r="P17">
        <v>21</v>
      </c>
      <c r="Q17" t="s">
        <v>4782</v>
      </c>
      <c r="R17">
        <v>48</v>
      </c>
      <c r="S17" t="s">
        <v>4782</v>
      </c>
      <c r="T17">
        <v>48</v>
      </c>
      <c r="U17" t="s">
        <v>4765</v>
      </c>
      <c r="V17">
        <v>38</v>
      </c>
      <c r="Y17" t="s">
        <v>4750</v>
      </c>
      <c r="Z17">
        <v>22</v>
      </c>
      <c r="AA17" t="s">
        <v>4750</v>
      </c>
      <c r="AB17">
        <v>22</v>
      </c>
      <c r="AC17" t="s">
        <v>4750</v>
      </c>
      <c r="AD17">
        <v>22</v>
      </c>
      <c r="AE17" t="s">
        <v>6879</v>
      </c>
      <c r="AF17">
        <v>32</v>
      </c>
      <c r="AG17" t="s">
        <v>7219</v>
      </c>
      <c r="AH17">
        <v>31</v>
      </c>
      <c r="AI17" t="s">
        <v>4739</v>
      </c>
      <c r="AJ17">
        <v>14</v>
      </c>
      <c r="AO17" t="s">
        <v>7599</v>
      </c>
      <c r="AP17">
        <v>78</v>
      </c>
      <c r="AQ17" t="s">
        <v>4739</v>
      </c>
      <c r="AR17">
        <v>14</v>
      </c>
      <c r="AS17" t="s">
        <v>4739</v>
      </c>
      <c r="AT17">
        <v>14</v>
      </c>
      <c r="AU17" t="s">
        <v>4739</v>
      </c>
      <c r="AV17">
        <v>14</v>
      </c>
      <c r="AW17" t="s">
        <v>4739</v>
      </c>
      <c r="AX17">
        <v>14</v>
      </c>
    </row>
    <row r="18" spans="4:50" x14ac:dyDescent="0.4">
      <c r="D18" t="s">
        <v>4845</v>
      </c>
      <c r="G18" t="s">
        <v>4740</v>
      </c>
      <c r="H18">
        <v>15</v>
      </c>
      <c r="I18" t="s">
        <v>4741</v>
      </c>
      <c r="J18">
        <v>15</v>
      </c>
      <c r="K18" t="s">
        <v>4740</v>
      </c>
      <c r="L18">
        <v>15</v>
      </c>
      <c r="M18" t="s">
        <v>4753</v>
      </c>
      <c r="N18">
        <v>24</v>
      </c>
      <c r="O18" t="s">
        <v>4753</v>
      </c>
      <c r="P18">
        <v>24</v>
      </c>
      <c r="Q18" t="s">
        <v>4788</v>
      </c>
      <c r="R18">
        <v>51</v>
      </c>
      <c r="S18" t="s">
        <v>4788</v>
      </c>
      <c r="T18">
        <v>51</v>
      </c>
      <c r="U18" t="s">
        <v>4772</v>
      </c>
      <c r="V18">
        <v>41</v>
      </c>
      <c r="Y18" t="s">
        <v>4752</v>
      </c>
      <c r="Z18">
        <v>23</v>
      </c>
      <c r="AA18" t="s">
        <v>4751</v>
      </c>
      <c r="AB18">
        <v>23</v>
      </c>
      <c r="AC18" t="s">
        <v>4751</v>
      </c>
      <c r="AD18">
        <v>23</v>
      </c>
      <c r="AE18" t="s">
        <v>4761</v>
      </c>
      <c r="AF18">
        <v>35</v>
      </c>
      <c r="AG18" t="s">
        <v>4758</v>
      </c>
      <c r="AH18">
        <v>33</v>
      </c>
      <c r="AI18" t="s">
        <v>4740</v>
      </c>
      <c r="AJ18">
        <v>15</v>
      </c>
      <c r="AQ18" t="s">
        <v>4740</v>
      </c>
      <c r="AR18">
        <v>15</v>
      </c>
      <c r="AS18" t="s">
        <v>4740</v>
      </c>
      <c r="AT18">
        <v>15</v>
      </c>
      <c r="AU18" t="s">
        <v>4740</v>
      </c>
      <c r="AV18">
        <v>15</v>
      </c>
      <c r="AW18" t="s">
        <v>4740</v>
      </c>
      <c r="AX18">
        <v>15</v>
      </c>
    </row>
    <row r="19" spans="4:50" x14ac:dyDescent="0.4">
      <c r="D19" t="s">
        <v>4846</v>
      </c>
      <c r="G19" t="s">
        <v>4742</v>
      </c>
      <c r="H19">
        <v>16</v>
      </c>
      <c r="I19" t="s">
        <v>4743</v>
      </c>
      <c r="J19">
        <v>16</v>
      </c>
      <c r="K19" t="s">
        <v>4742</v>
      </c>
      <c r="L19">
        <v>16</v>
      </c>
      <c r="M19" t="s">
        <v>7651</v>
      </c>
      <c r="N19">
        <v>25</v>
      </c>
      <c r="O19" t="s">
        <v>7651</v>
      </c>
      <c r="P19">
        <v>25</v>
      </c>
      <c r="Q19" t="s">
        <v>4793</v>
      </c>
      <c r="R19">
        <v>53</v>
      </c>
      <c r="S19" t="s">
        <v>4793</v>
      </c>
      <c r="T19">
        <v>53</v>
      </c>
      <c r="U19" t="s">
        <v>7509</v>
      </c>
      <c r="V19">
        <v>44</v>
      </c>
      <c r="Y19" t="s">
        <v>6876</v>
      </c>
      <c r="Z19">
        <v>26</v>
      </c>
      <c r="AA19" t="s">
        <v>6875</v>
      </c>
      <c r="AB19">
        <v>26</v>
      </c>
      <c r="AC19" t="s">
        <v>6875</v>
      </c>
      <c r="AD19">
        <v>26</v>
      </c>
      <c r="AE19" t="s">
        <v>4765</v>
      </c>
      <c r="AF19">
        <v>38</v>
      </c>
      <c r="AG19" t="s">
        <v>7507</v>
      </c>
      <c r="AH19">
        <v>34</v>
      </c>
      <c r="AI19" t="s">
        <v>4742</v>
      </c>
      <c r="AJ19">
        <v>16</v>
      </c>
      <c r="AQ19" t="s">
        <v>4742</v>
      </c>
      <c r="AR19">
        <v>16</v>
      </c>
      <c r="AS19" t="s">
        <v>4742</v>
      </c>
      <c r="AT19">
        <v>16</v>
      </c>
      <c r="AU19" t="s">
        <v>4742</v>
      </c>
      <c r="AV19">
        <v>16</v>
      </c>
      <c r="AW19" t="s">
        <v>4742</v>
      </c>
      <c r="AX19">
        <v>16</v>
      </c>
    </row>
    <row r="20" spans="4:50" x14ac:dyDescent="0.4">
      <c r="D20" t="s">
        <v>6898</v>
      </c>
      <c r="G20" t="s">
        <v>4744</v>
      </c>
      <c r="H20">
        <v>17</v>
      </c>
      <c r="I20" t="s">
        <v>4745</v>
      </c>
      <c r="J20">
        <v>17</v>
      </c>
      <c r="K20" t="s">
        <v>4744</v>
      </c>
      <c r="L20">
        <v>17</v>
      </c>
      <c r="M20" t="s">
        <v>7213</v>
      </c>
      <c r="N20">
        <v>27</v>
      </c>
      <c r="O20" t="s">
        <v>7213</v>
      </c>
      <c r="P20">
        <v>27</v>
      </c>
      <c r="Q20" t="s">
        <v>4797</v>
      </c>
      <c r="R20">
        <v>54</v>
      </c>
      <c r="S20" t="s">
        <v>4797</v>
      </c>
      <c r="T20">
        <v>54</v>
      </c>
      <c r="U20" t="s">
        <v>4781</v>
      </c>
      <c r="V20">
        <v>47</v>
      </c>
      <c r="Y20" t="s">
        <v>6878</v>
      </c>
      <c r="Z20">
        <v>29</v>
      </c>
      <c r="AA20" t="s">
        <v>6877</v>
      </c>
      <c r="AB20">
        <v>29</v>
      </c>
      <c r="AC20" t="s">
        <v>6877</v>
      </c>
      <c r="AD20">
        <v>29</v>
      </c>
      <c r="AE20" t="s">
        <v>4772</v>
      </c>
      <c r="AF20">
        <v>41</v>
      </c>
      <c r="AG20" t="s">
        <v>4763</v>
      </c>
      <c r="AH20">
        <v>36</v>
      </c>
      <c r="AI20" t="s">
        <v>4744</v>
      </c>
      <c r="AJ20">
        <v>17</v>
      </c>
      <c r="AQ20" t="s">
        <v>4744</v>
      </c>
      <c r="AR20">
        <v>17</v>
      </c>
      <c r="AS20" t="s">
        <v>4744</v>
      </c>
      <c r="AT20">
        <v>17</v>
      </c>
      <c r="AU20" t="s">
        <v>4744</v>
      </c>
      <c r="AV20">
        <v>17</v>
      </c>
      <c r="AW20" t="s">
        <v>4744</v>
      </c>
      <c r="AX20">
        <v>17</v>
      </c>
    </row>
    <row r="21" spans="4:50" x14ac:dyDescent="0.4">
      <c r="D21" t="s">
        <v>4847</v>
      </c>
      <c r="G21" t="s">
        <v>6869</v>
      </c>
      <c r="H21">
        <v>18</v>
      </c>
      <c r="I21" t="s">
        <v>6870</v>
      </c>
      <c r="J21">
        <v>18</v>
      </c>
      <c r="K21" t="s">
        <v>6869</v>
      </c>
      <c r="L21">
        <v>18</v>
      </c>
      <c r="M21" t="s">
        <v>7215</v>
      </c>
      <c r="N21">
        <v>28</v>
      </c>
      <c r="O21" t="s">
        <v>7215</v>
      </c>
      <c r="P21">
        <v>28</v>
      </c>
      <c r="Q21" t="s">
        <v>4801</v>
      </c>
      <c r="R21">
        <v>56</v>
      </c>
      <c r="S21" t="s">
        <v>4801</v>
      </c>
      <c r="T21">
        <v>56</v>
      </c>
      <c r="U21" t="s">
        <v>4792</v>
      </c>
      <c r="V21">
        <v>52</v>
      </c>
      <c r="Y21" t="s">
        <v>6880</v>
      </c>
      <c r="Z21">
        <v>32</v>
      </c>
      <c r="AA21" t="s">
        <v>6879</v>
      </c>
      <c r="AB21">
        <v>32</v>
      </c>
      <c r="AC21" t="s">
        <v>6879</v>
      </c>
      <c r="AD21">
        <v>32</v>
      </c>
      <c r="AE21" t="s">
        <v>7509</v>
      </c>
      <c r="AF21">
        <v>44</v>
      </c>
      <c r="AG21" t="s">
        <v>7653</v>
      </c>
      <c r="AH21">
        <v>37</v>
      </c>
      <c r="AI21" t="s">
        <v>6869</v>
      </c>
      <c r="AJ21">
        <v>18</v>
      </c>
      <c r="AQ21" t="s">
        <v>6869</v>
      </c>
      <c r="AR21">
        <v>18</v>
      </c>
      <c r="AS21" t="s">
        <v>6869</v>
      </c>
      <c r="AT21">
        <v>18</v>
      </c>
      <c r="AU21" t="s">
        <v>6869</v>
      </c>
      <c r="AV21">
        <v>18</v>
      </c>
      <c r="AW21" t="s">
        <v>6869</v>
      </c>
      <c r="AX21">
        <v>18</v>
      </c>
    </row>
    <row r="22" spans="4:50" x14ac:dyDescent="0.4">
      <c r="D22" t="s">
        <v>4848</v>
      </c>
      <c r="G22" t="s">
        <v>6871</v>
      </c>
      <c r="H22">
        <v>19</v>
      </c>
      <c r="I22" t="s">
        <v>6872</v>
      </c>
      <c r="J22">
        <v>19</v>
      </c>
      <c r="K22" t="s">
        <v>6871</v>
      </c>
      <c r="L22">
        <v>19</v>
      </c>
      <c r="M22" t="s">
        <v>7217</v>
      </c>
      <c r="N22">
        <v>30</v>
      </c>
      <c r="O22" t="s">
        <v>7217</v>
      </c>
      <c r="P22">
        <v>30</v>
      </c>
      <c r="Q22" t="s">
        <v>4803</v>
      </c>
      <c r="R22">
        <v>57</v>
      </c>
      <c r="S22" t="s">
        <v>4803</v>
      </c>
      <c r="T22">
        <v>57</v>
      </c>
      <c r="U22" t="s">
        <v>4799</v>
      </c>
      <c r="V22">
        <v>55</v>
      </c>
      <c r="Y22" t="s">
        <v>4762</v>
      </c>
      <c r="Z22">
        <v>35</v>
      </c>
      <c r="AA22" t="s">
        <v>4761</v>
      </c>
      <c r="AB22">
        <v>35</v>
      </c>
      <c r="AC22" t="s">
        <v>4761</v>
      </c>
      <c r="AD22">
        <v>35</v>
      </c>
      <c r="AE22" t="s">
        <v>4782</v>
      </c>
      <c r="AF22">
        <v>48</v>
      </c>
      <c r="AG22" t="s">
        <v>4767</v>
      </c>
      <c r="AH22">
        <v>39</v>
      </c>
      <c r="AI22" t="s">
        <v>6871</v>
      </c>
      <c r="AJ22">
        <v>19</v>
      </c>
      <c r="AQ22" t="s">
        <v>6871</v>
      </c>
      <c r="AR22">
        <v>19</v>
      </c>
      <c r="AS22" t="s">
        <v>6871</v>
      </c>
      <c r="AT22">
        <v>19</v>
      </c>
      <c r="AU22" t="s">
        <v>6871</v>
      </c>
      <c r="AV22">
        <v>19</v>
      </c>
      <c r="AW22" t="s">
        <v>6871</v>
      </c>
      <c r="AX22">
        <v>19</v>
      </c>
    </row>
    <row r="23" spans="4:50" x14ac:dyDescent="0.4">
      <c r="D23" t="s">
        <v>6899</v>
      </c>
      <c r="G23" t="s">
        <v>6873</v>
      </c>
      <c r="H23">
        <v>20</v>
      </c>
      <c r="I23" t="s">
        <v>6874</v>
      </c>
      <c r="J23">
        <v>20</v>
      </c>
      <c r="K23" t="s">
        <v>6873</v>
      </c>
      <c r="L23">
        <v>20</v>
      </c>
      <c r="M23" t="s">
        <v>7219</v>
      </c>
      <c r="N23">
        <v>31</v>
      </c>
      <c r="O23" t="s">
        <v>7219</v>
      </c>
      <c r="P23">
        <v>31</v>
      </c>
      <c r="Q23" t="s">
        <v>6881</v>
      </c>
      <c r="R23">
        <v>58</v>
      </c>
      <c r="S23" t="s">
        <v>6881</v>
      </c>
      <c r="T23">
        <v>58</v>
      </c>
      <c r="Y23" t="s">
        <v>4766</v>
      </c>
      <c r="Z23">
        <v>38</v>
      </c>
      <c r="AA23" t="s">
        <v>4765</v>
      </c>
      <c r="AB23">
        <v>38</v>
      </c>
      <c r="AC23" t="s">
        <v>4765</v>
      </c>
      <c r="AD23">
        <v>38</v>
      </c>
      <c r="AE23" t="s">
        <v>4784</v>
      </c>
      <c r="AF23">
        <v>49</v>
      </c>
      <c r="AG23" t="s">
        <v>4769</v>
      </c>
      <c r="AH23">
        <v>40</v>
      </c>
      <c r="AI23" t="s">
        <v>6873</v>
      </c>
      <c r="AJ23">
        <v>20</v>
      </c>
      <c r="AQ23" t="s">
        <v>6873</v>
      </c>
      <c r="AR23">
        <v>20</v>
      </c>
      <c r="AS23" t="s">
        <v>6873</v>
      </c>
      <c r="AT23">
        <v>20</v>
      </c>
      <c r="AU23" t="s">
        <v>6873</v>
      </c>
      <c r="AV23">
        <v>20</v>
      </c>
      <c r="AW23" t="s">
        <v>6873</v>
      </c>
      <c r="AX23">
        <v>20</v>
      </c>
    </row>
    <row r="24" spans="4:50" x14ac:dyDescent="0.4">
      <c r="D24" t="s">
        <v>6900</v>
      </c>
      <c r="G24" t="s">
        <v>4747</v>
      </c>
      <c r="H24">
        <v>21</v>
      </c>
      <c r="I24" t="s">
        <v>4748</v>
      </c>
      <c r="J24">
        <v>21</v>
      </c>
      <c r="K24" t="s">
        <v>4747</v>
      </c>
      <c r="L24">
        <v>21</v>
      </c>
      <c r="M24" t="s">
        <v>4758</v>
      </c>
      <c r="N24">
        <v>33</v>
      </c>
      <c r="O24" t="s">
        <v>4758</v>
      </c>
      <c r="P24">
        <v>33</v>
      </c>
      <c r="Q24" t="s">
        <v>4806</v>
      </c>
      <c r="R24">
        <v>59</v>
      </c>
      <c r="S24" t="s">
        <v>4808</v>
      </c>
      <c r="T24">
        <v>60</v>
      </c>
      <c r="Y24" t="s">
        <v>4773</v>
      </c>
      <c r="Z24">
        <v>41</v>
      </c>
      <c r="AA24" t="s">
        <v>4772</v>
      </c>
      <c r="AB24">
        <v>41</v>
      </c>
      <c r="AC24" t="s">
        <v>4772</v>
      </c>
      <c r="AD24">
        <v>41</v>
      </c>
      <c r="AE24" t="s">
        <v>4786</v>
      </c>
      <c r="AF24">
        <v>50</v>
      </c>
      <c r="AG24" t="s">
        <v>4774</v>
      </c>
      <c r="AH24">
        <v>42</v>
      </c>
      <c r="AI24" t="s">
        <v>4747</v>
      </c>
      <c r="AJ24">
        <v>21</v>
      </c>
      <c r="AQ24" t="s">
        <v>4747</v>
      </c>
      <c r="AR24">
        <v>21</v>
      </c>
      <c r="AS24" t="s">
        <v>4747</v>
      </c>
      <c r="AT24">
        <v>21</v>
      </c>
      <c r="AU24" t="s">
        <v>4747</v>
      </c>
      <c r="AV24">
        <v>21</v>
      </c>
      <c r="AW24" t="s">
        <v>4747</v>
      </c>
      <c r="AX24">
        <v>21</v>
      </c>
    </row>
    <row r="25" spans="4:50" x14ac:dyDescent="0.4">
      <c r="D25" t="s">
        <v>6901</v>
      </c>
      <c r="G25" t="s">
        <v>4750</v>
      </c>
      <c r="H25">
        <v>22</v>
      </c>
      <c r="I25" t="s">
        <v>4750</v>
      </c>
      <c r="J25">
        <v>22</v>
      </c>
      <c r="K25" t="s">
        <v>4750</v>
      </c>
      <c r="L25">
        <v>22</v>
      </c>
      <c r="M25" t="s">
        <v>7507</v>
      </c>
      <c r="N25">
        <v>34</v>
      </c>
      <c r="O25" t="s">
        <v>7507</v>
      </c>
      <c r="P25">
        <v>34</v>
      </c>
      <c r="Q25" t="s">
        <v>4808</v>
      </c>
      <c r="R25">
        <v>60</v>
      </c>
      <c r="S25" t="s">
        <v>4812</v>
      </c>
      <c r="T25">
        <v>62</v>
      </c>
      <c r="Y25" t="s">
        <v>7510</v>
      </c>
      <c r="Z25">
        <v>44</v>
      </c>
      <c r="AA25" t="s">
        <v>7509</v>
      </c>
      <c r="AB25">
        <v>44</v>
      </c>
      <c r="AC25" t="s">
        <v>7509</v>
      </c>
      <c r="AD25">
        <v>44</v>
      </c>
      <c r="AE25" t="s">
        <v>4788</v>
      </c>
      <c r="AF25">
        <v>51</v>
      </c>
      <c r="AG25" t="s">
        <v>4776</v>
      </c>
      <c r="AH25">
        <v>43</v>
      </c>
      <c r="AI25" t="s">
        <v>4750</v>
      </c>
      <c r="AJ25">
        <v>22</v>
      </c>
      <c r="AQ25" t="s">
        <v>4750</v>
      </c>
      <c r="AR25">
        <v>22</v>
      </c>
      <c r="AS25" t="s">
        <v>4750</v>
      </c>
      <c r="AT25">
        <v>22</v>
      </c>
      <c r="AU25" t="s">
        <v>4750</v>
      </c>
      <c r="AV25">
        <v>22</v>
      </c>
      <c r="AW25" t="s">
        <v>4750</v>
      </c>
      <c r="AX25">
        <v>22</v>
      </c>
    </row>
    <row r="26" spans="4:50" x14ac:dyDescent="0.4">
      <c r="D26" t="s">
        <v>4761</v>
      </c>
      <c r="G26" t="s">
        <v>4751</v>
      </c>
      <c r="H26">
        <v>23</v>
      </c>
      <c r="I26" t="s">
        <v>4752</v>
      </c>
      <c r="J26">
        <v>23</v>
      </c>
      <c r="K26" t="s">
        <v>4751</v>
      </c>
      <c r="L26">
        <v>23</v>
      </c>
      <c r="M26" t="s">
        <v>4763</v>
      </c>
      <c r="N26">
        <v>36</v>
      </c>
      <c r="O26" t="s">
        <v>4763</v>
      </c>
      <c r="P26">
        <v>36</v>
      </c>
      <c r="Q26" t="s">
        <v>4810</v>
      </c>
      <c r="R26">
        <v>61</v>
      </c>
      <c r="S26" t="s">
        <v>4814</v>
      </c>
      <c r="T26">
        <v>63</v>
      </c>
      <c r="Y26" t="s">
        <v>4781</v>
      </c>
      <c r="Z26">
        <v>47</v>
      </c>
      <c r="AA26" t="s">
        <v>4781</v>
      </c>
      <c r="AB26">
        <v>47</v>
      </c>
      <c r="AC26" t="s">
        <v>4781</v>
      </c>
      <c r="AD26">
        <v>47</v>
      </c>
      <c r="AE26" t="s">
        <v>4793</v>
      </c>
      <c r="AF26">
        <v>53</v>
      </c>
      <c r="AG26" t="s">
        <v>7511</v>
      </c>
      <c r="AH26">
        <v>45</v>
      </c>
      <c r="AI26" t="s">
        <v>4751</v>
      </c>
      <c r="AJ26">
        <v>23</v>
      </c>
      <c r="AQ26" t="s">
        <v>4751</v>
      </c>
      <c r="AR26">
        <v>23</v>
      </c>
      <c r="AS26" t="s">
        <v>4751</v>
      </c>
      <c r="AT26">
        <v>23</v>
      </c>
      <c r="AU26" t="s">
        <v>4751</v>
      </c>
      <c r="AV26">
        <v>23</v>
      </c>
      <c r="AW26" t="s">
        <v>4751</v>
      </c>
      <c r="AX26">
        <v>23</v>
      </c>
    </row>
    <row r="27" spans="4:50" x14ac:dyDescent="0.4">
      <c r="D27" t="s">
        <v>4765</v>
      </c>
      <c r="G27" t="s">
        <v>4753</v>
      </c>
      <c r="H27">
        <v>24</v>
      </c>
      <c r="I27" t="s">
        <v>4754</v>
      </c>
      <c r="J27">
        <v>24</v>
      </c>
      <c r="K27" t="s">
        <v>4753</v>
      </c>
      <c r="L27">
        <v>24</v>
      </c>
      <c r="M27" t="s">
        <v>7653</v>
      </c>
      <c r="N27">
        <v>37</v>
      </c>
      <c r="O27" t="s">
        <v>7653</v>
      </c>
      <c r="P27">
        <v>37</v>
      </c>
      <c r="Q27" t="s">
        <v>4812</v>
      </c>
      <c r="R27">
        <v>62</v>
      </c>
      <c r="Y27" t="s">
        <v>4783</v>
      </c>
      <c r="Z27">
        <v>48</v>
      </c>
      <c r="AA27" t="s">
        <v>4782</v>
      </c>
      <c r="AB27">
        <v>48</v>
      </c>
      <c r="AC27" t="s">
        <v>4782</v>
      </c>
      <c r="AD27">
        <v>48</v>
      </c>
      <c r="AE27" t="s">
        <v>4797</v>
      </c>
      <c r="AF27">
        <v>54</v>
      </c>
      <c r="AG27" t="s">
        <v>7513</v>
      </c>
      <c r="AH27">
        <v>46</v>
      </c>
      <c r="AI27" t="s">
        <v>4753</v>
      </c>
      <c r="AJ27">
        <v>24</v>
      </c>
      <c r="AQ27" t="s">
        <v>4753</v>
      </c>
      <c r="AR27">
        <v>24</v>
      </c>
      <c r="AS27" t="s">
        <v>4753</v>
      </c>
      <c r="AT27">
        <v>24</v>
      </c>
      <c r="AU27" t="s">
        <v>4753</v>
      </c>
      <c r="AV27">
        <v>24</v>
      </c>
      <c r="AW27" t="s">
        <v>4753</v>
      </c>
      <c r="AX27">
        <v>24</v>
      </c>
    </row>
    <row r="28" spans="4:50" x14ac:dyDescent="0.4">
      <c r="D28" t="s">
        <v>4772</v>
      </c>
      <c r="G28" t="s">
        <v>7651</v>
      </c>
      <c r="H28">
        <v>25</v>
      </c>
      <c r="I28" t="s">
        <v>7652</v>
      </c>
      <c r="J28">
        <v>25</v>
      </c>
      <c r="K28" t="s">
        <v>7651</v>
      </c>
      <c r="L28">
        <v>25</v>
      </c>
      <c r="M28" t="s">
        <v>4767</v>
      </c>
      <c r="N28">
        <v>39</v>
      </c>
      <c r="O28" t="s">
        <v>4767</v>
      </c>
      <c r="P28">
        <v>39</v>
      </c>
      <c r="Q28" t="s">
        <v>4814</v>
      </c>
      <c r="R28">
        <v>63</v>
      </c>
      <c r="Y28" t="s">
        <v>4785</v>
      </c>
      <c r="Z28">
        <v>49</v>
      </c>
      <c r="AA28" t="s">
        <v>4784</v>
      </c>
      <c r="AB28">
        <v>49</v>
      </c>
      <c r="AC28" t="s">
        <v>4784</v>
      </c>
      <c r="AD28">
        <v>49</v>
      </c>
      <c r="AE28" t="s">
        <v>4799</v>
      </c>
      <c r="AF28">
        <v>55</v>
      </c>
      <c r="AG28" t="s">
        <v>4801</v>
      </c>
      <c r="AH28">
        <v>56</v>
      </c>
      <c r="AI28" t="s">
        <v>7651</v>
      </c>
      <c r="AJ28">
        <v>25</v>
      </c>
      <c r="AQ28" t="s">
        <v>7651</v>
      </c>
      <c r="AR28">
        <v>25</v>
      </c>
      <c r="AS28" t="s">
        <v>7651</v>
      </c>
      <c r="AT28">
        <v>25</v>
      </c>
      <c r="AU28" t="s">
        <v>7651</v>
      </c>
      <c r="AV28">
        <v>25</v>
      </c>
      <c r="AW28" t="s">
        <v>7651</v>
      </c>
      <c r="AX28">
        <v>25</v>
      </c>
    </row>
    <row r="29" spans="4:50" x14ac:dyDescent="0.4">
      <c r="D29" t="s">
        <v>7509</v>
      </c>
      <c r="G29" t="s">
        <v>6875</v>
      </c>
      <c r="H29">
        <v>26</v>
      </c>
      <c r="I29" t="s">
        <v>6876</v>
      </c>
      <c r="J29">
        <v>26</v>
      </c>
      <c r="K29" t="s">
        <v>6875</v>
      </c>
      <c r="L29">
        <v>26</v>
      </c>
      <c r="M29" t="s">
        <v>4769</v>
      </c>
      <c r="N29">
        <v>40</v>
      </c>
      <c r="O29" t="s">
        <v>4769</v>
      </c>
      <c r="P29">
        <v>40</v>
      </c>
      <c r="Y29" t="s">
        <v>4787</v>
      </c>
      <c r="Z29">
        <v>50</v>
      </c>
      <c r="AA29" t="s">
        <v>4786</v>
      </c>
      <c r="AB29">
        <v>50</v>
      </c>
      <c r="AC29" t="s">
        <v>4786</v>
      </c>
      <c r="AD29">
        <v>50</v>
      </c>
      <c r="AE29" t="s">
        <v>6881</v>
      </c>
      <c r="AF29">
        <v>58</v>
      </c>
      <c r="AG29" t="s">
        <v>4803</v>
      </c>
      <c r="AH29">
        <v>57</v>
      </c>
      <c r="AI29" t="s">
        <v>6875</v>
      </c>
      <c r="AJ29">
        <v>26</v>
      </c>
      <c r="AQ29" t="s">
        <v>6875</v>
      </c>
      <c r="AR29">
        <v>26</v>
      </c>
      <c r="AS29" t="s">
        <v>6875</v>
      </c>
      <c r="AT29">
        <v>26</v>
      </c>
      <c r="AU29" t="s">
        <v>6875</v>
      </c>
      <c r="AV29">
        <v>26</v>
      </c>
      <c r="AW29" t="s">
        <v>6875</v>
      </c>
      <c r="AX29">
        <v>26</v>
      </c>
    </row>
    <row r="30" spans="4:50" x14ac:dyDescent="0.4">
      <c r="D30" t="s">
        <v>4849</v>
      </c>
      <c r="G30" t="s">
        <v>7213</v>
      </c>
      <c r="H30">
        <v>27</v>
      </c>
      <c r="I30" t="s">
        <v>7214</v>
      </c>
      <c r="J30">
        <v>27</v>
      </c>
      <c r="K30" t="s">
        <v>7213</v>
      </c>
      <c r="L30">
        <v>27</v>
      </c>
      <c r="M30" t="s">
        <v>4774</v>
      </c>
      <c r="N30">
        <v>42</v>
      </c>
      <c r="O30" t="s">
        <v>4774</v>
      </c>
      <c r="P30">
        <v>42</v>
      </c>
      <c r="Y30" t="s">
        <v>4789</v>
      </c>
      <c r="Z30">
        <v>51</v>
      </c>
      <c r="AA30" t="s">
        <v>4788</v>
      </c>
      <c r="AB30">
        <v>51</v>
      </c>
      <c r="AC30" t="s">
        <v>4788</v>
      </c>
      <c r="AD30">
        <v>51</v>
      </c>
      <c r="AE30" t="s">
        <v>4806</v>
      </c>
      <c r="AF30">
        <v>59</v>
      </c>
      <c r="AI30" t="s">
        <v>7213</v>
      </c>
      <c r="AJ30">
        <v>27</v>
      </c>
      <c r="AQ30" t="s">
        <v>7213</v>
      </c>
      <c r="AR30">
        <v>27</v>
      </c>
      <c r="AS30" t="s">
        <v>7213</v>
      </c>
      <c r="AT30">
        <v>27</v>
      </c>
      <c r="AU30" t="s">
        <v>7213</v>
      </c>
      <c r="AV30">
        <v>27</v>
      </c>
      <c r="AW30" t="s">
        <v>7213</v>
      </c>
      <c r="AX30">
        <v>27</v>
      </c>
    </row>
    <row r="31" spans="4:50" x14ac:dyDescent="0.4">
      <c r="D31" t="s">
        <v>4850</v>
      </c>
      <c r="G31" t="s">
        <v>7215</v>
      </c>
      <c r="H31">
        <v>28</v>
      </c>
      <c r="I31" t="s">
        <v>7216</v>
      </c>
      <c r="J31">
        <v>28</v>
      </c>
      <c r="K31" t="s">
        <v>7215</v>
      </c>
      <c r="L31">
        <v>28</v>
      </c>
      <c r="M31" t="s">
        <v>4776</v>
      </c>
      <c r="N31">
        <v>43</v>
      </c>
      <c r="O31" t="s">
        <v>4776</v>
      </c>
      <c r="P31">
        <v>43</v>
      </c>
      <c r="Y31" t="s">
        <v>4792</v>
      </c>
      <c r="Z31">
        <v>52</v>
      </c>
      <c r="AA31" t="s">
        <v>4792</v>
      </c>
      <c r="AB31">
        <v>52</v>
      </c>
      <c r="AC31" t="s">
        <v>4792</v>
      </c>
      <c r="AD31">
        <v>52</v>
      </c>
      <c r="AE31" t="s">
        <v>4808</v>
      </c>
      <c r="AF31">
        <v>60</v>
      </c>
      <c r="AI31" t="s">
        <v>7215</v>
      </c>
      <c r="AJ31">
        <v>28</v>
      </c>
      <c r="AQ31" t="s">
        <v>7215</v>
      </c>
      <c r="AR31">
        <v>28</v>
      </c>
      <c r="AS31" t="s">
        <v>7215</v>
      </c>
      <c r="AT31">
        <v>28</v>
      </c>
      <c r="AU31" t="s">
        <v>7215</v>
      </c>
      <c r="AV31">
        <v>28</v>
      </c>
      <c r="AW31" t="s">
        <v>7215</v>
      </c>
      <c r="AX31">
        <v>28</v>
      </c>
    </row>
    <row r="32" spans="4:50" x14ac:dyDescent="0.4">
      <c r="D32" t="s">
        <v>4851</v>
      </c>
      <c r="G32" t="s">
        <v>6877</v>
      </c>
      <c r="H32">
        <v>29</v>
      </c>
      <c r="I32" t="s">
        <v>6878</v>
      </c>
      <c r="J32">
        <v>29</v>
      </c>
      <c r="K32" t="s">
        <v>6877</v>
      </c>
      <c r="L32">
        <v>29</v>
      </c>
      <c r="M32" t="s">
        <v>7511</v>
      </c>
      <c r="N32">
        <v>45</v>
      </c>
      <c r="O32" t="s">
        <v>7511</v>
      </c>
      <c r="P32">
        <v>45</v>
      </c>
      <c r="Y32" t="s">
        <v>4794</v>
      </c>
      <c r="Z32">
        <v>53</v>
      </c>
      <c r="AA32" t="s">
        <v>4793</v>
      </c>
      <c r="AB32">
        <v>53</v>
      </c>
      <c r="AC32" t="s">
        <v>4793</v>
      </c>
      <c r="AD32">
        <v>53</v>
      </c>
      <c r="AE32" t="s">
        <v>4810</v>
      </c>
      <c r="AF32">
        <v>61</v>
      </c>
      <c r="AI32" t="s">
        <v>6877</v>
      </c>
      <c r="AJ32">
        <v>29</v>
      </c>
      <c r="AQ32" t="s">
        <v>6877</v>
      </c>
      <c r="AR32">
        <v>29</v>
      </c>
      <c r="AS32" t="s">
        <v>6877</v>
      </c>
      <c r="AT32">
        <v>29</v>
      </c>
      <c r="AU32" t="s">
        <v>6877</v>
      </c>
      <c r="AV32">
        <v>29</v>
      </c>
      <c r="AW32" t="s">
        <v>6877</v>
      </c>
      <c r="AX32">
        <v>29</v>
      </c>
    </row>
    <row r="33" spans="4:50" x14ac:dyDescent="0.4">
      <c r="D33" t="s">
        <v>4852</v>
      </c>
      <c r="G33" t="s">
        <v>7217</v>
      </c>
      <c r="H33">
        <v>30</v>
      </c>
      <c r="I33" t="s">
        <v>7218</v>
      </c>
      <c r="J33">
        <v>30</v>
      </c>
      <c r="K33" t="s">
        <v>7217</v>
      </c>
      <c r="L33">
        <v>30</v>
      </c>
      <c r="M33" t="s">
        <v>7513</v>
      </c>
      <c r="N33">
        <v>46</v>
      </c>
      <c r="O33" t="s">
        <v>7513</v>
      </c>
      <c r="P33">
        <v>46</v>
      </c>
      <c r="Y33" t="s">
        <v>4798</v>
      </c>
      <c r="Z33">
        <v>54</v>
      </c>
      <c r="AA33" t="s">
        <v>4797</v>
      </c>
      <c r="AB33">
        <v>54</v>
      </c>
      <c r="AC33" t="s">
        <v>4797</v>
      </c>
      <c r="AD33">
        <v>54</v>
      </c>
      <c r="AE33" t="s">
        <v>4812</v>
      </c>
      <c r="AF33">
        <v>62</v>
      </c>
      <c r="AI33" t="s">
        <v>7217</v>
      </c>
      <c r="AJ33">
        <v>30</v>
      </c>
      <c r="AQ33" t="s">
        <v>7217</v>
      </c>
      <c r="AR33">
        <v>30</v>
      </c>
      <c r="AS33" t="s">
        <v>7217</v>
      </c>
      <c r="AT33">
        <v>30</v>
      </c>
      <c r="AU33" t="s">
        <v>7217</v>
      </c>
      <c r="AV33">
        <v>30</v>
      </c>
      <c r="AW33" t="s">
        <v>7217</v>
      </c>
      <c r="AX33">
        <v>30</v>
      </c>
    </row>
    <row r="34" spans="4:50" x14ac:dyDescent="0.4">
      <c r="D34" t="s">
        <v>4853</v>
      </c>
      <c r="G34" t="s">
        <v>7219</v>
      </c>
      <c r="H34">
        <v>31</v>
      </c>
      <c r="I34" t="s">
        <v>7220</v>
      </c>
      <c r="J34">
        <v>31</v>
      </c>
      <c r="K34" t="s">
        <v>7219</v>
      </c>
      <c r="L34">
        <v>31</v>
      </c>
      <c r="M34" t="s">
        <v>4782</v>
      </c>
      <c r="N34">
        <v>48</v>
      </c>
      <c r="O34" t="s">
        <v>4782</v>
      </c>
      <c r="P34">
        <v>48</v>
      </c>
      <c r="Y34" t="s">
        <v>4800</v>
      </c>
      <c r="Z34">
        <v>55</v>
      </c>
      <c r="AA34" t="s">
        <v>4799</v>
      </c>
      <c r="AB34">
        <v>55</v>
      </c>
      <c r="AC34" t="s">
        <v>4799</v>
      </c>
      <c r="AD34">
        <v>55</v>
      </c>
      <c r="AE34" t="s">
        <v>4814</v>
      </c>
      <c r="AF34">
        <v>63</v>
      </c>
      <c r="AI34" t="s">
        <v>7219</v>
      </c>
      <c r="AJ34">
        <v>31</v>
      </c>
      <c r="AQ34" t="s">
        <v>7219</v>
      </c>
      <c r="AR34">
        <v>31</v>
      </c>
      <c r="AS34" t="s">
        <v>7219</v>
      </c>
      <c r="AT34">
        <v>31</v>
      </c>
      <c r="AU34" t="s">
        <v>7219</v>
      </c>
      <c r="AV34">
        <v>31</v>
      </c>
      <c r="AW34" t="s">
        <v>7219</v>
      </c>
      <c r="AX34">
        <v>31</v>
      </c>
    </row>
    <row r="35" spans="4:50" x14ac:dyDescent="0.4">
      <c r="D35" t="s">
        <v>4854</v>
      </c>
      <c r="G35" t="s">
        <v>6879</v>
      </c>
      <c r="H35">
        <v>32</v>
      </c>
      <c r="I35" t="s">
        <v>6880</v>
      </c>
      <c r="J35">
        <v>32</v>
      </c>
      <c r="K35" t="s">
        <v>6879</v>
      </c>
      <c r="L35">
        <v>32</v>
      </c>
      <c r="M35" t="s">
        <v>4784</v>
      </c>
      <c r="N35">
        <v>49</v>
      </c>
      <c r="O35" t="s">
        <v>4784</v>
      </c>
      <c r="P35">
        <v>49</v>
      </c>
      <c r="Y35" t="s">
        <v>6882</v>
      </c>
      <c r="Z35">
        <v>58</v>
      </c>
      <c r="AA35" t="s">
        <v>6881</v>
      </c>
      <c r="AB35">
        <v>58</v>
      </c>
      <c r="AC35" t="s">
        <v>6881</v>
      </c>
      <c r="AD35">
        <v>58</v>
      </c>
      <c r="AI35" t="s">
        <v>6879</v>
      </c>
      <c r="AJ35">
        <v>32</v>
      </c>
      <c r="AQ35" t="s">
        <v>6879</v>
      </c>
      <c r="AR35">
        <v>32</v>
      </c>
      <c r="AS35" t="s">
        <v>6879</v>
      </c>
      <c r="AT35">
        <v>32</v>
      </c>
      <c r="AU35" t="s">
        <v>6879</v>
      </c>
      <c r="AV35">
        <v>32</v>
      </c>
      <c r="AW35" t="s">
        <v>6879</v>
      </c>
      <c r="AX35">
        <v>32</v>
      </c>
    </row>
    <row r="36" spans="4:50" x14ac:dyDescent="0.4">
      <c r="D36" t="s">
        <v>4855</v>
      </c>
      <c r="G36" t="s">
        <v>4758</v>
      </c>
      <c r="H36">
        <v>33</v>
      </c>
      <c r="I36" t="s">
        <v>4759</v>
      </c>
      <c r="J36">
        <v>33</v>
      </c>
      <c r="K36" t="s">
        <v>4758</v>
      </c>
      <c r="L36">
        <v>33</v>
      </c>
      <c r="M36" t="s">
        <v>4786</v>
      </c>
      <c r="N36">
        <v>50</v>
      </c>
      <c r="O36" t="s">
        <v>4786</v>
      </c>
      <c r="P36">
        <v>50</v>
      </c>
      <c r="Y36" t="s">
        <v>4807</v>
      </c>
      <c r="Z36">
        <v>59</v>
      </c>
      <c r="AA36" t="s">
        <v>4806</v>
      </c>
      <c r="AB36">
        <v>59</v>
      </c>
      <c r="AC36" t="s">
        <v>4806</v>
      </c>
      <c r="AD36">
        <v>59</v>
      </c>
      <c r="AI36" t="s">
        <v>4758</v>
      </c>
      <c r="AJ36">
        <v>33</v>
      </c>
      <c r="AQ36" t="s">
        <v>4758</v>
      </c>
      <c r="AR36">
        <v>33</v>
      </c>
      <c r="AS36" t="s">
        <v>4758</v>
      </c>
      <c r="AT36">
        <v>33</v>
      </c>
      <c r="AU36" t="s">
        <v>4758</v>
      </c>
      <c r="AV36">
        <v>33</v>
      </c>
      <c r="AW36" t="s">
        <v>4758</v>
      </c>
      <c r="AX36">
        <v>33</v>
      </c>
    </row>
    <row r="37" spans="4:50" x14ac:dyDescent="0.4">
      <c r="D37" t="s">
        <v>6902</v>
      </c>
      <c r="G37" t="s">
        <v>7507</v>
      </c>
      <c r="H37">
        <v>34</v>
      </c>
      <c r="I37" t="s">
        <v>7508</v>
      </c>
      <c r="J37">
        <v>34</v>
      </c>
      <c r="K37" t="s">
        <v>7507</v>
      </c>
      <c r="L37">
        <v>34</v>
      </c>
      <c r="M37" t="s">
        <v>4788</v>
      </c>
      <c r="N37">
        <v>51</v>
      </c>
      <c r="O37" t="s">
        <v>4788</v>
      </c>
      <c r="P37">
        <v>51</v>
      </c>
      <c r="Y37" t="s">
        <v>4809</v>
      </c>
      <c r="Z37">
        <v>60</v>
      </c>
      <c r="AA37" t="s">
        <v>4808</v>
      </c>
      <c r="AB37">
        <v>60</v>
      </c>
      <c r="AC37" t="s">
        <v>4808</v>
      </c>
      <c r="AD37">
        <v>60</v>
      </c>
      <c r="AI37" t="s">
        <v>7507</v>
      </c>
      <c r="AJ37">
        <v>34</v>
      </c>
      <c r="AQ37" t="s">
        <v>7507</v>
      </c>
      <c r="AR37">
        <v>34</v>
      </c>
      <c r="AS37" t="s">
        <v>7507</v>
      </c>
      <c r="AT37">
        <v>34</v>
      </c>
      <c r="AU37" t="s">
        <v>7507</v>
      </c>
      <c r="AV37">
        <v>34</v>
      </c>
      <c r="AW37" t="s">
        <v>7507</v>
      </c>
      <c r="AX37">
        <v>34</v>
      </c>
    </row>
    <row r="38" spans="4:50" x14ac:dyDescent="0.4">
      <c r="D38" t="s">
        <v>4856</v>
      </c>
      <c r="G38" t="s">
        <v>4761</v>
      </c>
      <c r="H38">
        <v>35</v>
      </c>
      <c r="I38" t="s">
        <v>4762</v>
      </c>
      <c r="J38">
        <v>35</v>
      </c>
      <c r="K38" t="s">
        <v>4761</v>
      </c>
      <c r="L38">
        <v>35</v>
      </c>
      <c r="M38" t="s">
        <v>4793</v>
      </c>
      <c r="N38">
        <v>53</v>
      </c>
      <c r="O38" t="s">
        <v>4793</v>
      </c>
      <c r="P38">
        <v>53</v>
      </c>
      <c r="Y38" t="s">
        <v>4811</v>
      </c>
      <c r="Z38">
        <v>61</v>
      </c>
      <c r="AA38" t="s">
        <v>4810</v>
      </c>
      <c r="AB38">
        <v>61</v>
      </c>
      <c r="AC38" t="s">
        <v>4810</v>
      </c>
      <c r="AD38">
        <v>61</v>
      </c>
      <c r="AI38" t="s">
        <v>4761</v>
      </c>
      <c r="AJ38">
        <v>35</v>
      </c>
      <c r="AQ38" t="s">
        <v>4761</v>
      </c>
      <c r="AR38">
        <v>35</v>
      </c>
      <c r="AS38" t="s">
        <v>4761</v>
      </c>
      <c r="AT38">
        <v>35</v>
      </c>
      <c r="AU38" t="s">
        <v>4761</v>
      </c>
      <c r="AV38">
        <v>35</v>
      </c>
      <c r="AW38" t="s">
        <v>4761</v>
      </c>
      <c r="AX38">
        <v>35</v>
      </c>
    </row>
    <row r="39" spans="4:50" x14ac:dyDescent="0.4">
      <c r="D39" t="s">
        <v>4857</v>
      </c>
      <c r="G39" t="s">
        <v>4763</v>
      </c>
      <c r="H39">
        <v>36</v>
      </c>
      <c r="I39" t="s">
        <v>4764</v>
      </c>
      <c r="J39">
        <v>36</v>
      </c>
      <c r="K39" t="s">
        <v>4763</v>
      </c>
      <c r="L39">
        <v>36</v>
      </c>
      <c r="M39" t="s">
        <v>4797</v>
      </c>
      <c r="N39">
        <v>54</v>
      </c>
      <c r="O39" t="s">
        <v>4797</v>
      </c>
      <c r="P39">
        <v>54</v>
      </c>
      <c r="Y39" t="s">
        <v>4813</v>
      </c>
      <c r="Z39">
        <v>62</v>
      </c>
      <c r="AA39" t="s">
        <v>4812</v>
      </c>
      <c r="AB39">
        <v>62</v>
      </c>
      <c r="AC39" t="s">
        <v>4812</v>
      </c>
      <c r="AD39">
        <v>62</v>
      </c>
      <c r="AI39" t="s">
        <v>4763</v>
      </c>
      <c r="AJ39">
        <v>36</v>
      </c>
      <c r="AQ39" t="s">
        <v>4763</v>
      </c>
      <c r="AR39">
        <v>36</v>
      </c>
      <c r="AS39" t="s">
        <v>4763</v>
      </c>
      <c r="AT39">
        <v>36</v>
      </c>
      <c r="AU39" t="s">
        <v>4763</v>
      </c>
      <c r="AV39">
        <v>36</v>
      </c>
      <c r="AW39" t="s">
        <v>4763</v>
      </c>
      <c r="AX39">
        <v>36</v>
      </c>
    </row>
    <row r="40" spans="4:50" x14ac:dyDescent="0.4">
      <c r="D40" t="s">
        <v>4858</v>
      </c>
      <c r="G40" t="s">
        <v>7653</v>
      </c>
      <c r="H40">
        <v>37</v>
      </c>
      <c r="I40" t="s">
        <v>7654</v>
      </c>
      <c r="J40">
        <v>37</v>
      </c>
      <c r="K40" t="s">
        <v>7653</v>
      </c>
      <c r="L40">
        <v>37</v>
      </c>
      <c r="M40" t="s">
        <v>4801</v>
      </c>
      <c r="N40">
        <v>56</v>
      </c>
      <c r="O40" t="s">
        <v>4801</v>
      </c>
      <c r="P40">
        <v>56</v>
      </c>
      <c r="Y40" t="s">
        <v>4815</v>
      </c>
      <c r="Z40">
        <v>63</v>
      </c>
      <c r="AA40" t="s">
        <v>4814</v>
      </c>
      <c r="AB40">
        <v>63</v>
      </c>
      <c r="AC40" t="s">
        <v>4814</v>
      </c>
      <c r="AD40">
        <v>63</v>
      </c>
      <c r="AI40" t="s">
        <v>7653</v>
      </c>
      <c r="AJ40">
        <v>37</v>
      </c>
      <c r="AQ40" t="s">
        <v>7653</v>
      </c>
      <c r="AR40">
        <v>37</v>
      </c>
      <c r="AS40" t="s">
        <v>7653</v>
      </c>
      <c r="AT40">
        <v>37</v>
      </c>
      <c r="AU40" t="s">
        <v>7653</v>
      </c>
      <c r="AV40">
        <v>37</v>
      </c>
      <c r="AW40" t="s">
        <v>7653</v>
      </c>
      <c r="AX40">
        <v>37</v>
      </c>
    </row>
    <row r="41" spans="4:50" x14ac:dyDescent="0.4">
      <c r="D41" t="s">
        <v>4859</v>
      </c>
      <c r="G41" t="s">
        <v>4765</v>
      </c>
      <c r="H41">
        <v>38</v>
      </c>
      <c r="I41" t="s">
        <v>4766</v>
      </c>
      <c r="J41">
        <v>38</v>
      </c>
      <c r="K41" t="s">
        <v>4765</v>
      </c>
      <c r="L41">
        <v>38</v>
      </c>
      <c r="M41" t="s">
        <v>4803</v>
      </c>
      <c r="N41">
        <v>57</v>
      </c>
      <c r="O41" t="s">
        <v>4803</v>
      </c>
      <c r="P41">
        <v>57</v>
      </c>
      <c r="AI41" t="s">
        <v>4765</v>
      </c>
      <c r="AJ41">
        <v>38</v>
      </c>
      <c r="AQ41" t="s">
        <v>4765</v>
      </c>
      <c r="AR41">
        <v>38</v>
      </c>
      <c r="AS41" t="s">
        <v>4765</v>
      </c>
      <c r="AT41">
        <v>38</v>
      </c>
      <c r="AU41" t="s">
        <v>4765</v>
      </c>
      <c r="AV41">
        <v>38</v>
      </c>
      <c r="AW41" t="s">
        <v>4765</v>
      </c>
      <c r="AX41">
        <v>38</v>
      </c>
    </row>
    <row r="42" spans="4:50" x14ac:dyDescent="0.4">
      <c r="D42" t="s">
        <v>4860</v>
      </c>
      <c r="G42" t="s">
        <v>4767</v>
      </c>
      <c r="H42">
        <v>39</v>
      </c>
      <c r="I42" t="s">
        <v>4768</v>
      </c>
      <c r="J42">
        <v>39</v>
      </c>
      <c r="K42" t="s">
        <v>4767</v>
      </c>
      <c r="L42">
        <v>39</v>
      </c>
      <c r="M42" t="s">
        <v>6881</v>
      </c>
      <c r="N42">
        <v>58</v>
      </c>
      <c r="O42" t="s">
        <v>6881</v>
      </c>
      <c r="P42">
        <v>58</v>
      </c>
      <c r="AI42" t="s">
        <v>4767</v>
      </c>
      <c r="AJ42">
        <v>39</v>
      </c>
      <c r="AQ42" t="s">
        <v>4767</v>
      </c>
      <c r="AR42">
        <v>39</v>
      </c>
      <c r="AS42" t="s">
        <v>4767</v>
      </c>
      <c r="AT42">
        <v>39</v>
      </c>
      <c r="AU42" t="s">
        <v>4767</v>
      </c>
      <c r="AV42">
        <v>39</v>
      </c>
      <c r="AW42" t="s">
        <v>4767</v>
      </c>
      <c r="AX42">
        <v>39</v>
      </c>
    </row>
    <row r="43" spans="4:50" x14ac:dyDescent="0.4">
      <c r="G43" t="s">
        <v>4769</v>
      </c>
      <c r="H43">
        <v>40</v>
      </c>
      <c r="I43" t="s">
        <v>4770</v>
      </c>
      <c r="J43">
        <v>40</v>
      </c>
      <c r="K43" t="s">
        <v>4769</v>
      </c>
      <c r="L43">
        <v>40</v>
      </c>
      <c r="M43" t="s">
        <v>4806</v>
      </c>
      <c r="N43">
        <v>59</v>
      </c>
      <c r="O43" t="s">
        <v>4806</v>
      </c>
      <c r="P43">
        <v>59</v>
      </c>
      <c r="AI43" t="s">
        <v>4769</v>
      </c>
      <c r="AJ43">
        <v>40</v>
      </c>
      <c r="AQ43" t="s">
        <v>4769</v>
      </c>
      <c r="AR43">
        <v>40</v>
      </c>
      <c r="AS43" t="s">
        <v>4769</v>
      </c>
      <c r="AT43">
        <v>40</v>
      </c>
      <c r="AU43" t="s">
        <v>4769</v>
      </c>
      <c r="AV43">
        <v>40</v>
      </c>
      <c r="AW43" t="s">
        <v>4769</v>
      </c>
      <c r="AX43">
        <v>40</v>
      </c>
    </row>
    <row r="44" spans="4:50" x14ac:dyDescent="0.4">
      <c r="G44" t="s">
        <v>4772</v>
      </c>
      <c r="H44">
        <v>41</v>
      </c>
      <c r="I44" t="s">
        <v>4773</v>
      </c>
      <c r="J44">
        <v>41</v>
      </c>
      <c r="K44" t="s">
        <v>4772</v>
      </c>
      <c r="L44">
        <v>41</v>
      </c>
      <c r="M44" t="s">
        <v>4808</v>
      </c>
      <c r="N44">
        <v>60</v>
      </c>
      <c r="O44" t="s">
        <v>4808</v>
      </c>
      <c r="P44">
        <v>60</v>
      </c>
      <c r="AI44" t="s">
        <v>4772</v>
      </c>
      <c r="AJ44">
        <v>41</v>
      </c>
      <c r="AQ44" t="s">
        <v>4772</v>
      </c>
      <c r="AR44">
        <v>41</v>
      </c>
      <c r="AS44" t="s">
        <v>4772</v>
      </c>
      <c r="AT44">
        <v>41</v>
      </c>
      <c r="AU44" t="s">
        <v>4772</v>
      </c>
      <c r="AV44">
        <v>41</v>
      </c>
      <c r="AW44" t="s">
        <v>4772</v>
      </c>
      <c r="AX44">
        <v>41</v>
      </c>
    </row>
    <row r="45" spans="4:50" x14ac:dyDescent="0.4">
      <c r="G45" t="s">
        <v>4774</v>
      </c>
      <c r="H45">
        <v>42</v>
      </c>
      <c r="I45" t="s">
        <v>4775</v>
      </c>
      <c r="J45">
        <v>42</v>
      </c>
      <c r="K45" t="s">
        <v>4774</v>
      </c>
      <c r="L45">
        <v>42</v>
      </c>
      <c r="M45" t="s">
        <v>4810</v>
      </c>
      <c r="N45">
        <v>61</v>
      </c>
      <c r="O45" t="s">
        <v>4810</v>
      </c>
      <c r="P45">
        <v>61</v>
      </c>
      <c r="AI45" t="s">
        <v>4774</v>
      </c>
      <c r="AJ45">
        <v>42</v>
      </c>
      <c r="AQ45" t="s">
        <v>4774</v>
      </c>
      <c r="AR45">
        <v>42</v>
      </c>
      <c r="AS45" t="s">
        <v>4774</v>
      </c>
      <c r="AT45">
        <v>42</v>
      </c>
      <c r="AU45" t="s">
        <v>4774</v>
      </c>
      <c r="AV45">
        <v>42</v>
      </c>
      <c r="AW45" t="s">
        <v>4774</v>
      </c>
      <c r="AX45">
        <v>42</v>
      </c>
    </row>
    <row r="46" spans="4:50" x14ac:dyDescent="0.4">
      <c r="G46" t="s">
        <v>4776</v>
      </c>
      <c r="H46">
        <v>43</v>
      </c>
      <c r="I46" t="s">
        <v>4777</v>
      </c>
      <c r="J46">
        <v>43</v>
      </c>
      <c r="K46" t="s">
        <v>4776</v>
      </c>
      <c r="L46">
        <v>43</v>
      </c>
      <c r="M46" t="s">
        <v>4812</v>
      </c>
      <c r="N46">
        <v>62</v>
      </c>
      <c r="O46" t="s">
        <v>4812</v>
      </c>
      <c r="P46">
        <v>62</v>
      </c>
      <c r="AI46" t="s">
        <v>4776</v>
      </c>
      <c r="AJ46">
        <v>43</v>
      </c>
      <c r="AQ46" t="s">
        <v>4776</v>
      </c>
      <c r="AR46">
        <v>43</v>
      </c>
      <c r="AS46" t="s">
        <v>4776</v>
      </c>
      <c r="AT46">
        <v>43</v>
      </c>
      <c r="AU46" t="s">
        <v>4776</v>
      </c>
      <c r="AV46">
        <v>43</v>
      </c>
      <c r="AW46" t="s">
        <v>4776</v>
      </c>
      <c r="AX46">
        <v>43</v>
      </c>
    </row>
    <row r="47" spans="4:50" x14ac:dyDescent="0.4">
      <c r="G47" t="s">
        <v>7509</v>
      </c>
      <c r="H47">
        <v>44</v>
      </c>
      <c r="I47" t="s">
        <v>7510</v>
      </c>
      <c r="J47">
        <v>44</v>
      </c>
      <c r="K47" t="s">
        <v>7509</v>
      </c>
      <c r="L47">
        <v>44</v>
      </c>
      <c r="M47" t="s">
        <v>4814</v>
      </c>
      <c r="N47">
        <v>63</v>
      </c>
      <c r="O47" t="s">
        <v>4814</v>
      </c>
      <c r="P47">
        <v>63</v>
      </c>
      <c r="AI47" t="s">
        <v>7509</v>
      </c>
      <c r="AJ47">
        <v>44</v>
      </c>
      <c r="AQ47" t="s">
        <v>7509</v>
      </c>
      <c r="AR47">
        <v>44</v>
      </c>
      <c r="AS47" t="s">
        <v>7509</v>
      </c>
      <c r="AT47">
        <v>44</v>
      </c>
      <c r="AU47" t="s">
        <v>7509</v>
      </c>
      <c r="AV47">
        <v>44</v>
      </c>
      <c r="AW47" t="s">
        <v>7509</v>
      </c>
      <c r="AX47">
        <v>44</v>
      </c>
    </row>
    <row r="48" spans="4:50" x14ac:dyDescent="0.4">
      <c r="G48" t="s">
        <v>7511</v>
      </c>
      <c r="H48">
        <v>45</v>
      </c>
      <c r="I48" t="s">
        <v>7512</v>
      </c>
      <c r="J48">
        <v>45</v>
      </c>
      <c r="K48" t="s">
        <v>7511</v>
      </c>
      <c r="L48">
        <v>45</v>
      </c>
      <c r="M48" t="s">
        <v>7586</v>
      </c>
      <c r="N48">
        <v>65</v>
      </c>
      <c r="AI48" t="s">
        <v>7511</v>
      </c>
      <c r="AJ48">
        <v>45</v>
      </c>
      <c r="AQ48" t="s">
        <v>7511</v>
      </c>
      <c r="AR48">
        <v>45</v>
      </c>
      <c r="AS48" t="s">
        <v>7511</v>
      </c>
      <c r="AT48">
        <v>45</v>
      </c>
      <c r="AU48" t="s">
        <v>7511</v>
      </c>
      <c r="AV48">
        <v>45</v>
      </c>
      <c r="AW48" t="s">
        <v>7511</v>
      </c>
      <c r="AX48">
        <v>45</v>
      </c>
    </row>
    <row r="49" spans="7:50" x14ac:dyDescent="0.4">
      <c r="G49" t="s">
        <v>7513</v>
      </c>
      <c r="H49">
        <v>46</v>
      </c>
      <c r="I49" t="s">
        <v>7514</v>
      </c>
      <c r="J49">
        <v>46</v>
      </c>
      <c r="K49" t="s">
        <v>7513</v>
      </c>
      <c r="L49">
        <v>46</v>
      </c>
      <c r="M49" t="s">
        <v>7587</v>
      </c>
      <c r="N49">
        <v>66</v>
      </c>
      <c r="AI49" t="s">
        <v>7513</v>
      </c>
      <c r="AJ49">
        <v>46</v>
      </c>
      <c r="AQ49" t="s">
        <v>7513</v>
      </c>
      <c r="AR49">
        <v>46</v>
      </c>
      <c r="AS49" t="s">
        <v>7513</v>
      </c>
      <c r="AT49">
        <v>46</v>
      </c>
      <c r="AU49" t="s">
        <v>7513</v>
      </c>
      <c r="AV49">
        <v>46</v>
      </c>
      <c r="AW49" t="s">
        <v>7513</v>
      </c>
      <c r="AX49">
        <v>46</v>
      </c>
    </row>
    <row r="50" spans="7:50" x14ac:dyDescent="0.4">
      <c r="G50" t="s">
        <v>4781</v>
      </c>
      <c r="H50">
        <v>47</v>
      </c>
      <c r="I50" t="s">
        <v>4781</v>
      </c>
      <c r="J50">
        <v>47</v>
      </c>
      <c r="K50" t="s">
        <v>4781</v>
      </c>
      <c r="L50">
        <v>47</v>
      </c>
      <c r="M50" t="s">
        <v>7588</v>
      </c>
      <c r="N50">
        <v>67</v>
      </c>
      <c r="AI50" t="s">
        <v>4781</v>
      </c>
      <c r="AJ50">
        <v>47</v>
      </c>
      <c r="AQ50" t="s">
        <v>4781</v>
      </c>
      <c r="AR50">
        <v>47</v>
      </c>
      <c r="AS50" t="s">
        <v>4781</v>
      </c>
      <c r="AT50">
        <v>47</v>
      </c>
      <c r="AU50" t="s">
        <v>4781</v>
      </c>
      <c r="AV50">
        <v>47</v>
      </c>
      <c r="AW50" t="s">
        <v>4781</v>
      </c>
      <c r="AX50">
        <v>47</v>
      </c>
    </row>
    <row r="51" spans="7:50" x14ac:dyDescent="0.4">
      <c r="G51" t="s">
        <v>4782</v>
      </c>
      <c r="H51">
        <v>48</v>
      </c>
      <c r="I51" t="s">
        <v>4783</v>
      </c>
      <c r="J51">
        <v>48</v>
      </c>
      <c r="K51" t="s">
        <v>4782</v>
      </c>
      <c r="L51">
        <v>48</v>
      </c>
      <c r="M51" t="s">
        <v>7589</v>
      </c>
      <c r="N51">
        <v>68</v>
      </c>
      <c r="AI51" t="s">
        <v>4782</v>
      </c>
      <c r="AJ51">
        <v>48</v>
      </c>
      <c r="AQ51" t="s">
        <v>4782</v>
      </c>
      <c r="AR51">
        <v>48</v>
      </c>
      <c r="AS51" t="s">
        <v>4782</v>
      </c>
      <c r="AT51">
        <v>48</v>
      </c>
      <c r="AU51" t="s">
        <v>4782</v>
      </c>
      <c r="AV51">
        <v>48</v>
      </c>
      <c r="AW51" t="s">
        <v>4782</v>
      </c>
      <c r="AX51">
        <v>48</v>
      </c>
    </row>
    <row r="52" spans="7:50" x14ac:dyDescent="0.4">
      <c r="G52" t="s">
        <v>4784</v>
      </c>
      <c r="H52">
        <v>49</v>
      </c>
      <c r="I52" t="s">
        <v>4785</v>
      </c>
      <c r="J52">
        <v>49</v>
      </c>
      <c r="K52" t="s">
        <v>4784</v>
      </c>
      <c r="L52">
        <v>49</v>
      </c>
      <c r="M52" t="s">
        <v>7590</v>
      </c>
      <c r="N52">
        <v>69</v>
      </c>
      <c r="AI52" t="s">
        <v>4784</v>
      </c>
      <c r="AJ52">
        <v>49</v>
      </c>
      <c r="AQ52" t="s">
        <v>4784</v>
      </c>
      <c r="AR52">
        <v>49</v>
      </c>
      <c r="AS52" t="s">
        <v>4784</v>
      </c>
      <c r="AT52">
        <v>49</v>
      </c>
      <c r="AU52" t="s">
        <v>4784</v>
      </c>
      <c r="AV52">
        <v>49</v>
      </c>
      <c r="AW52" t="s">
        <v>4784</v>
      </c>
      <c r="AX52">
        <v>49</v>
      </c>
    </row>
    <row r="53" spans="7:50" x14ac:dyDescent="0.4">
      <c r="G53" t="s">
        <v>4786</v>
      </c>
      <c r="H53">
        <v>50</v>
      </c>
      <c r="I53" t="s">
        <v>4787</v>
      </c>
      <c r="J53">
        <v>50</v>
      </c>
      <c r="K53" t="s">
        <v>4786</v>
      </c>
      <c r="L53">
        <v>50</v>
      </c>
      <c r="M53" t="s">
        <v>7591</v>
      </c>
      <c r="N53">
        <v>70</v>
      </c>
      <c r="AI53" t="s">
        <v>4786</v>
      </c>
      <c r="AJ53">
        <v>50</v>
      </c>
      <c r="AQ53" t="s">
        <v>4786</v>
      </c>
      <c r="AR53">
        <v>50</v>
      </c>
      <c r="AS53" t="s">
        <v>4786</v>
      </c>
      <c r="AT53">
        <v>50</v>
      </c>
      <c r="AU53" t="s">
        <v>4786</v>
      </c>
      <c r="AV53">
        <v>50</v>
      </c>
      <c r="AW53" t="s">
        <v>4786</v>
      </c>
      <c r="AX53">
        <v>50</v>
      </c>
    </row>
    <row r="54" spans="7:50" x14ac:dyDescent="0.4">
      <c r="G54" t="s">
        <v>4788</v>
      </c>
      <c r="H54">
        <v>51</v>
      </c>
      <c r="I54" t="s">
        <v>4789</v>
      </c>
      <c r="J54">
        <v>51</v>
      </c>
      <c r="K54" t="s">
        <v>4788</v>
      </c>
      <c r="L54">
        <v>51</v>
      </c>
      <c r="M54" t="s">
        <v>7592</v>
      </c>
      <c r="N54">
        <v>71</v>
      </c>
      <c r="AI54" t="s">
        <v>4788</v>
      </c>
      <c r="AJ54">
        <v>51</v>
      </c>
      <c r="AQ54" t="s">
        <v>4788</v>
      </c>
      <c r="AR54">
        <v>51</v>
      </c>
      <c r="AS54" t="s">
        <v>4788</v>
      </c>
      <c r="AT54">
        <v>51</v>
      </c>
      <c r="AU54" t="s">
        <v>4788</v>
      </c>
      <c r="AV54">
        <v>51</v>
      </c>
      <c r="AW54" t="s">
        <v>4788</v>
      </c>
      <c r="AX54">
        <v>51</v>
      </c>
    </row>
    <row r="55" spans="7:50" x14ac:dyDescent="0.4">
      <c r="G55" t="s">
        <v>4792</v>
      </c>
      <c r="H55">
        <v>52</v>
      </c>
      <c r="I55" t="s">
        <v>4792</v>
      </c>
      <c r="J55">
        <v>52</v>
      </c>
      <c r="K55" t="s">
        <v>4792</v>
      </c>
      <c r="L55">
        <v>52</v>
      </c>
      <c r="M55" t="s">
        <v>7593</v>
      </c>
      <c r="N55">
        <v>72</v>
      </c>
      <c r="AI55" t="s">
        <v>4792</v>
      </c>
      <c r="AJ55">
        <v>52</v>
      </c>
      <c r="AQ55" t="s">
        <v>4792</v>
      </c>
      <c r="AR55">
        <v>52</v>
      </c>
      <c r="AS55" t="s">
        <v>4792</v>
      </c>
      <c r="AT55">
        <v>52</v>
      </c>
      <c r="AU55" t="s">
        <v>4792</v>
      </c>
      <c r="AV55">
        <v>52</v>
      </c>
      <c r="AW55" t="s">
        <v>4792</v>
      </c>
      <c r="AX55">
        <v>52</v>
      </c>
    </row>
    <row r="56" spans="7:50" x14ac:dyDescent="0.4">
      <c r="G56" t="s">
        <v>4793</v>
      </c>
      <c r="H56">
        <v>53</v>
      </c>
      <c r="I56" t="s">
        <v>4794</v>
      </c>
      <c r="J56">
        <v>53</v>
      </c>
      <c r="K56" t="s">
        <v>4793</v>
      </c>
      <c r="L56">
        <v>53</v>
      </c>
      <c r="M56" t="s">
        <v>7594</v>
      </c>
      <c r="N56">
        <v>73</v>
      </c>
      <c r="AI56" t="s">
        <v>4793</v>
      </c>
      <c r="AJ56">
        <v>53</v>
      </c>
      <c r="AQ56" t="s">
        <v>4793</v>
      </c>
      <c r="AR56">
        <v>53</v>
      </c>
      <c r="AS56" t="s">
        <v>4793</v>
      </c>
      <c r="AT56">
        <v>53</v>
      </c>
      <c r="AU56" t="s">
        <v>4793</v>
      </c>
      <c r="AV56">
        <v>53</v>
      </c>
      <c r="AW56" t="s">
        <v>4793</v>
      </c>
      <c r="AX56">
        <v>53</v>
      </c>
    </row>
    <row r="57" spans="7:50" x14ac:dyDescent="0.4">
      <c r="G57" t="s">
        <v>4797</v>
      </c>
      <c r="H57">
        <v>54</v>
      </c>
      <c r="I57" t="s">
        <v>4798</v>
      </c>
      <c r="J57">
        <v>54</v>
      </c>
      <c r="K57" t="s">
        <v>4797</v>
      </c>
      <c r="L57">
        <v>54</v>
      </c>
      <c r="M57" t="s">
        <v>7595</v>
      </c>
      <c r="N57">
        <v>74</v>
      </c>
      <c r="AI57" t="s">
        <v>4797</v>
      </c>
      <c r="AJ57">
        <v>54</v>
      </c>
      <c r="AQ57" t="s">
        <v>4797</v>
      </c>
      <c r="AR57">
        <v>54</v>
      </c>
      <c r="AS57" t="s">
        <v>4797</v>
      </c>
      <c r="AT57">
        <v>54</v>
      </c>
      <c r="AU57" t="s">
        <v>4797</v>
      </c>
      <c r="AV57">
        <v>54</v>
      </c>
      <c r="AW57" t="s">
        <v>4797</v>
      </c>
      <c r="AX57">
        <v>54</v>
      </c>
    </row>
    <row r="58" spans="7:50" x14ac:dyDescent="0.4">
      <c r="G58" t="s">
        <v>4799</v>
      </c>
      <c r="H58">
        <v>55</v>
      </c>
      <c r="I58" t="s">
        <v>4800</v>
      </c>
      <c r="J58">
        <v>55</v>
      </c>
      <c r="K58" t="s">
        <v>4799</v>
      </c>
      <c r="L58">
        <v>55</v>
      </c>
      <c r="M58" t="s">
        <v>7596</v>
      </c>
      <c r="N58">
        <v>75</v>
      </c>
      <c r="AI58" t="s">
        <v>4799</v>
      </c>
      <c r="AJ58">
        <v>55</v>
      </c>
      <c r="AQ58" t="s">
        <v>4799</v>
      </c>
      <c r="AR58">
        <v>55</v>
      </c>
      <c r="AS58" t="s">
        <v>4799</v>
      </c>
      <c r="AT58">
        <v>55</v>
      </c>
      <c r="AU58" t="s">
        <v>4799</v>
      </c>
      <c r="AV58">
        <v>55</v>
      </c>
      <c r="AW58" t="s">
        <v>4799</v>
      </c>
      <c r="AX58">
        <v>55</v>
      </c>
    </row>
    <row r="59" spans="7:50" x14ac:dyDescent="0.4">
      <c r="G59" t="s">
        <v>4801</v>
      </c>
      <c r="H59">
        <v>56</v>
      </c>
      <c r="I59" t="s">
        <v>4802</v>
      </c>
      <c r="J59">
        <v>56</v>
      </c>
      <c r="K59" t="s">
        <v>4801</v>
      </c>
      <c r="L59">
        <v>56</v>
      </c>
      <c r="M59" t="s">
        <v>7597</v>
      </c>
      <c r="N59">
        <v>76</v>
      </c>
      <c r="AI59" t="s">
        <v>4801</v>
      </c>
      <c r="AJ59">
        <v>56</v>
      </c>
      <c r="AQ59" t="s">
        <v>4801</v>
      </c>
      <c r="AR59">
        <v>56</v>
      </c>
      <c r="AS59" t="s">
        <v>4801</v>
      </c>
      <c r="AT59">
        <v>56</v>
      </c>
      <c r="AU59" t="s">
        <v>4801</v>
      </c>
      <c r="AV59">
        <v>56</v>
      </c>
      <c r="AW59" t="s">
        <v>4801</v>
      </c>
      <c r="AX59">
        <v>56</v>
      </c>
    </row>
    <row r="60" spans="7:50" x14ac:dyDescent="0.4">
      <c r="G60" t="s">
        <v>4803</v>
      </c>
      <c r="H60">
        <v>57</v>
      </c>
      <c r="I60" t="s">
        <v>4804</v>
      </c>
      <c r="J60">
        <v>57</v>
      </c>
      <c r="K60" t="s">
        <v>4803</v>
      </c>
      <c r="L60">
        <v>57</v>
      </c>
      <c r="M60" t="s">
        <v>7598</v>
      </c>
      <c r="N60">
        <v>77</v>
      </c>
      <c r="AI60" t="s">
        <v>4803</v>
      </c>
      <c r="AJ60">
        <v>57</v>
      </c>
      <c r="AQ60" t="s">
        <v>4803</v>
      </c>
      <c r="AR60">
        <v>57</v>
      </c>
      <c r="AS60" t="s">
        <v>4803</v>
      </c>
      <c r="AT60">
        <v>57</v>
      </c>
      <c r="AU60" t="s">
        <v>4803</v>
      </c>
      <c r="AV60">
        <v>57</v>
      </c>
      <c r="AW60" t="s">
        <v>4803</v>
      </c>
      <c r="AX60">
        <v>57</v>
      </c>
    </row>
    <row r="61" spans="7:50" x14ac:dyDescent="0.4">
      <c r="G61" t="s">
        <v>6881</v>
      </c>
      <c r="H61">
        <v>58</v>
      </c>
      <c r="I61" t="s">
        <v>6882</v>
      </c>
      <c r="J61">
        <v>58</v>
      </c>
      <c r="K61" t="s">
        <v>6881</v>
      </c>
      <c r="L61">
        <v>58</v>
      </c>
      <c r="M61" t="s">
        <v>7599</v>
      </c>
      <c r="N61">
        <v>78</v>
      </c>
      <c r="AI61" t="s">
        <v>6881</v>
      </c>
      <c r="AJ61">
        <v>58</v>
      </c>
      <c r="AQ61" t="s">
        <v>6881</v>
      </c>
      <c r="AR61">
        <v>58</v>
      </c>
      <c r="AS61" t="s">
        <v>6881</v>
      </c>
      <c r="AT61">
        <v>58</v>
      </c>
      <c r="AU61" t="s">
        <v>6881</v>
      </c>
      <c r="AV61">
        <v>58</v>
      </c>
      <c r="AW61" t="s">
        <v>6881</v>
      </c>
      <c r="AX61">
        <v>58</v>
      </c>
    </row>
    <row r="62" spans="7:50" x14ac:dyDescent="0.4">
      <c r="G62" t="s">
        <v>4806</v>
      </c>
      <c r="H62">
        <v>59</v>
      </c>
      <c r="I62" t="s">
        <v>4807</v>
      </c>
      <c r="J62">
        <v>59</v>
      </c>
      <c r="K62" t="s">
        <v>4806</v>
      </c>
      <c r="L62">
        <v>59</v>
      </c>
      <c r="AI62" t="s">
        <v>4806</v>
      </c>
      <c r="AJ62">
        <v>59</v>
      </c>
      <c r="AQ62" t="s">
        <v>4806</v>
      </c>
      <c r="AR62">
        <v>59</v>
      </c>
      <c r="AS62" t="s">
        <v>4806</v>
      </c>
      <c r="AT62">
        <v>59</v>
      </c>
      <c r="AU62" t="s">
        <v>4806</v>
      </c>
      <c r="AV62">
        <v>59</v>
      </c>
      <c r="AW62" t="s">
        <v>4806</v>
      </c>
      <c r="AX62">
        <v>59</v>
      </c>
    </row>
    <row r="63" spans="7:50" x14ac:dyDescent="0.4">
      <c r="G63" t="s">
        <v>4808</v>
      </c>
      <c r="H63">
        <v>60</v>
      </c>
      <c r="I63" t="s">
        <v>4809</v>
      </c>
      <c r="J63">
        <v>60</v>
      </c>
      <c r="K63" t="s">
        <v>4808</v>
      </c>
      <c r="L63">
        <v>60</v>
      </c>
      <c r="AI63" t="s">
        <v>4808</v>
      </c>
      <c r="AJ63">
        <v>60</v>
      </c>
      <c r="AQ63" t="s">
        <v>4808</v>
      </c>
      <c r="AR63">
        <v>60</v>
      </c>
      <c r="AS63" t="s">
        <v>4808</v>
      </c>
      <c r="AT63">
        <v>60</v>
      </c>
      <c r="AU63" t="s">
        <v>4808</v>
      </c>
      <c r="AV63">
        <v>60</v>
      </c>
      <c r="AW63" t="s">
        <v>4808</v>
      </c>
      <c r="AX63">
        <v>60</v>
      </c>
    </row>
    <row r="64" spans="7:50" x14ac:dyDescent="0.4">
      <c r="G64" t="s">
        <v>4810</v>
      </c>
      <c r="H64">
        <v>61</v>
      </c>
      <c r="I64" t="s">
        <v>4811</v>
      </c>
      <c r="J64">
        <v>61</v>
      </c>
      <c r="K64" t="s">
        <v>4810</v>
      </c>
      <c r="L64">
        <v>61</v>
      </c>
      <c r="AI64" t="s">
        <v>4810</v>
      </c>
      <c r="AJ64">
        <v>61</v>
      </c>
      <c r="AQ64" t="s">
        <v>4810</v>
      </c>
      <c r="AR64">
        <v>61</v>
      </c>
      <c r="AS64" t="s">
        <v>4810</v>
      </c>
      <c r="AT64">
        <v>61</v>
      </c>
      <c r="AU64" t="s">
        <v>4810</v>
      </c>
      <c r="AV64">
        <v>61</v>
      </c>
      <c r="AW64" t="s">
        <v>4810</v>
      </c>
      <c r="AX64">
        <v>61</v>
      </c>
    </row>
    <row r="65" spans="7:50" x14ac:dyDescent="0.4">
      <c r="G65" t="s">
        <v>4812</v>
      </c>
      <c r="H65">
        <v>62</v>
      </c>
      <c r="I65" t="s">
        <v>4813</v>
      </c>
      <c r="J65">
        <v>62</v>
      </c>
      <c r="K65" t="s">
        <v>4812</v>
      </c>
      <c r="L65">
        <v>62</v>
      </c>
      <c r="AI65" t="s">
        <v>4812</v>
      </c>
      <c r="AJ65">
        <v>62</v>
      </c>
      <c r="AQ65" t="s">
        <v>4812</v>
      </c>
      <c r="AR65">
        <v>62</v>
      </c>
      <c r="AS65" t="s">
        <v>4812</v>
      </c>
      <c r="AT65">
        <v>62</v>
      </c>
      <c r="AU65" t="s">
        <v>4812</v>
      </c>
      <c r="AV65">
        <v>62</v>
      </c>
      <c r="AW65" t="s">
        <v>4812</v>
      </c>
      <c r="AX65">
        <v>62</v>
      </c>
    </row>
    <row r="66" spans="7:50" x14ac:dyDescent="0.4">
      <c r="G66" t="s">
        <v>4814</v>
      </c>
      <c r="H66">
        <v>63</v>
      </c>
      <c r="I66" t="s">
        <v>4815</v>
      </c>
      <c r="J66">
        <v>63</v>
      </c>
      <c r="K66" t="s">
        <v>4814</v>
      </c>
      <c r="L66">
        <v>63</v>
      </c>
      <c r="AI66" t="s">
        <v>4814</v>
      </c>
      <c r="AJ66">
        <v>63</v>
      </c>
      <c r="AQ66" t="s">
        <v>4814</v>
      </c>
      <c r="AR66">
        <v>63</v>
      </c>
      <c r="AS66" t="s">
        <v>4814</v>
      </c>
      <c r="AT66">
        <v>63</v>
      </c>
      <c r="AU66" t="s">
        <v>4814</v>
      </c>
      <c r="AV66">
        <v>63</v>
      </c>
      <c r="AW66" t="s">
        <v>4814</v>
      </c>
      <c r="AX66">
        <v>63</v>
      </c>
    </row>
    <row r="67" spans="7:50" x14ac:dyDescent="0.4">
      <c r="G67" t="s">
        <v>7660</v>
      </c>
      <c r="H67">
        <v>64</v>
      </c>
      <c r="I67" t="s">
        <v>7660</v>
      </c>
      <c r="J67">
        <v>64</v>
      </c>
      <c r="AQ67" t="s">
        <v>7660</v>
      </c>
      <c r="AR67">
        <v>64</v>
      </c>
      <c r="AS67" t="s">
        <v>7660</v>
      </c>
      <c r="AT67">
        <v>64</v>
      </c>
      <c r="AU67" t="s">
        <v>7660</v>
      </c>
      <c r="AV67">
        <v>64</v>
      </c>
    </row>
    <row r="68" spans="7:50" x14ac:dyDescent="0.4">
      <c r="G68" t="s">
        <v>7586</v>
      </c>
      <c r="H68">
        <v>65</v>
      </c>
      <c r="I68" t="s">
        <v>7586</v>
      </c>
      <c r="J68">
        <v>65</v>
      </c>
      <c r="AQ68" t="s">
        <v>7586</v>
      </c>
      <c r="AR68">
        <v>65</v>
      </c>
      <c r="AS68" t="s">
        <v>7586</v>
      </c>
      <c r="AT68">
        <v>65</v>
      </c>
      <c r="AU68" t="s">
        <v>7586</v>
      </c>
      <c r="AV68">
        <v>65</v>
      </c>
    </row>
    <row r="69" spans="7:50" x14ac:dyDescent="0.4">
      <c r="G69" t="s">
        <v>7587</v>
      </c>
      <c r="H69">
        <v>66</v>
      </c>
      <c r="I69" t="s">
        <v>7587</v>
      </c>
      <c r="J69">
        <v>66</v>
      </c>
      <c r="AQ69" t="s">
        <v>7587</v>
      </c>
      <c r="AR69">
        <v>66</v>
      </c>
      <c r="AS69" t="s">
        <v>7587</v>
      </c>
      <c r="AT69">
        <v>66</v>
      </c>
      <c r="AU69" t="s">
        <v>7587</v>
      </c>
      <c r="AV69">
        <v>66</v>
      </c>
    </row>
    <row r="70" spans="7:50" x14ac:dyDescent="0.4">
      <c r="G70" t="s">
        <v>7588</v>
      </c>
      <c r="H70">
        <v>67</v>
      </c>
      <c r="I70" t="s">
        <v>7588</v>
      </c>
      <c r="J70">
        <v>67</v>
      </c>
      <c r="AQ70" t="s">
        <v>7588</v>
      </c>
      <c r="AR70">
        <v>67</v>
      </c>
      <c r="AS70" t="s">
        <v>7588</v>
      </c>
      <c r="AT70">
        <v>67</v>
      </c>
      <c r="AU70" t="s">
        <v>7588</v>
      </c>
      <c r="AV70">
        <v>67</v>
      </c>
    </row>
    <row r="71" spans="7:50" x14ac:dyDescent="0.4">
      <c r="G71" t="s">
        <v>7589</v>
      </c>
      <c r="H71">
        <v>68</v>
      </c>
      <c r="I71" t="s">
        <v>7589</v>
      </c>
      <c r="J71">
        <v>68</v>
      </c>
      <c r="AQ71" t="s">
        <v>7589</v>
      </c>
      <c r="AR71">
        <v>68</v>
      </c>
      <c r="AS71" t="s">
        <v>7589</v>
      </c>
      <c r="AT71">
        <v>68</v>
      </c>
      <c r="AU71" t="s">
        <v>7589</v>
      </c>
      <c r="AV71">
        <v>68</v>
      </c>
    </row>
    <row r="72" spans="7:50" x14ac:dyDescent="0.4">
      <c r="G72" t="s">
        <v>7590</v>
      </c>
      <c r="H72">
        <v>69</v>
      </c>
      <c r="I72" t="s">
        <v>7590</v>
      </c>
      <c r="J72">
        <v>69</v>
      </c>
      <c r="AQ72" t="s">
        <v>7590</v>
      </c>
      <c r="AR72">
        <v>69</v>
      </c>
      <c r="AS72" t="s">
        <v>7590</v>
      </c>
      <c r="AT72">
        <v>69</v>
      </c>
      <c r="AU72" t="s">
        <v>7590</v>
      </c>
      <c r="AV72">
        <v>69</v>
      </c>
    </row>
    <row r="73" spans="7:50" x14ac:dyDescent="0.4">
      <c r="G73" t="s">
        <v>7591</v>
      </c>
      <c r="H73">
        <v>70</v>
      </c>
      <c r="I73" t="s">
        <v>7591</v>
      </c>
      <c r="J73">
        <v>70</v>
      </c>
      <c r="AQ73" t="s">
        <v>7591</v>
      </c>
      <c r="AR73">
        <v>70</v>
      </c>
      <c r="AS73" t="s">
        <v>7591</v>
      </c>
      <c r="AT73">
        <v>70</v>
      </c>
      <c r="AU73" t="s">
        <v>7591</v>
      </c>
      <c r="AV73">
        <v>70</v>
      </c>
    </row>
    <row r="74" spans="7:50" x14ac:dyDescent="0.4">
      <c r="G74" t="s">
        <v>7592</v>
      </c>
      <c r="H74">
        <v>71</v>
      </c>
      <c r="I74" t="s">
        <v>7592</v>
      </c>
      <c r="J74">
        <v>71</v>
      </c>
      <c r="AQ74" t="s">
        <v>7592</v>
      </c>
      <c r="AR74">
        <v>71</v>
      </c>
      <c r="AS74" t="s">
        <v>7592</v>
      </c>
      <c r="AT74">
        <v>71</v>
      </c>
      <c r="AU74" t="s">
        <v>7592</v>
      </c>
      <c r="AV74">
        <v>71</v>
      </c>
    </row>
    <row r="75" spans="7:50" x14ac:dyDescent="0.4">
      <c r="G75" t="s">
        <v>7593</v>
      </c>
      <c r="H75">
        <v>72</v>
      </c>
      <c r="I75" t="s">
        <v>7593</v>
      </c>
      <c r="J75">
        <v>72</v>
      </c>
      <c r="AQ75" t="s">
        <v>7593</v>
      </c>
      <c r="AR75">
        <v>72</v>
      </c>
      <c r="AS75" t="s">
        <v>7593</v>
      </c>
      <c r="AT75">
        <v>72</v>
      </c>
      <c r="AU75" t="s">
        <v>7593</v>
      </c>
      <c r="AV75">
        <v>72</v>
      </c>
    </row>
    <row r="76" spans="7:50" x14ac:dyDescent="0.4">
      <c r="G76" t="s">
        <v>7594</v>
      </c>
      <c r="H76">
        <v>73</v>
      </c>
      <c r="I76" t="s">
        <v>7594</v>
      </c>
      <c r="J76">
        <v>73</v>
      </c>
      <c r="AQ76" t="s">
        <v>7594</v>
      </c>
      <c r="AR76">
        <v>73</v>
      </c>
      <c r="AS76" t="s">
        <v>7594</v>
      </c>
      <c r="AT76">
        <v>73</v>
      </c>
      <c r="AU76" t="s">
        <v>7594</v>
      </c>
      <c r="AV76">
        <v>73</v>
      </c>
    </row>
    <row r="77" spans="7:50" x14ac:dyDescent="0.4">
      <c r="G77" t="s">
        <v>7595</v>
      </c>
      <c r="H77">
        <v>74</v>
      </c>
      <c r="I77" t="s">
        <v>7595</v>
      </c>
      <c r="J77">
        <v>74</v>
      </c>
      <c r="AQ77" t="s">
        <v>7595</v>
      </c>
      <c r="AR77">
        <v>74</v>
      </c>
      <c r="AS77" t="s">
        <v>7595</v>
      </c>
      <c r="AT77">
        <v>74</v>
      </c>
      <c r="AU77" t="s">
        <v>7595</v>
      </c>
      <c r="AV77">
        <v>74</v>
      </c>
    </row>
    <row r="78" spans="7:50" x14ac:dyDescent="0.4">
      <c r="G78" t="s">
        <v>7596</v>
      </c>
      <c r="H78">
        <v>75</v>
      </c>
      <c r="I78" t="s">
        <v>7596</v>
      </c>
      <c r="J78">
        <v>75</v>
      </c>
      <c r="AQ78" t="s">
        <v>7596</v>
      </c>
      <c r="AR78">
        <v>75</v>
      </c>
      <c r="AS78" t="s">
        <v>7596</v>
      </c>
      <c r="AT78">
        <v>75</v>
      </c>
      <c r="AU78" t="s">
        <v>7596</v>
      </c>
      <c r="AV78">
        <v>75</v>
      </c>
    </row>
    <row r="79" spans="7:50" x14ac:dyDescent="0.4">
      <c r="G79" t="s">
        <v>7597</v>
      </c>
      <c r="H79">
        <v>76</v>
      </c>
      <c r="I79" t="s">
        <v>7597</v>
      </c>
      <c r="J79">
        <v>76</v>
      </c>
      <c r="AQ79" t="s">
        <v>7597</v>
      </c>
      <c r="AR79">
        <v>76</v>
      </c>
      <c r="AS79" t="s">
        <v>7597</v>
      </c>
      <c r="AT79">
        <v>76</v>
      </c>
      <c r="AU79" t="s">
        <v>7597</v>
      </c>
      <c r="AV79">
        <v>76</v>
      </c>
    </row>
    <row r="80" spans="7:50" x14ac:dyDescent="0.4">
      <c r="G80" t="s">
        <v>7598</v>
      </c>
      <c r="H80">
        <v>77</v>
      </c>
      <c r="I80" t="s">
        <v>7598</v>
      </c>
      <c r="J80">
        <v>77</v>
      </c>
      <c r="AQ80" t="s">
        <v>7598</v>
      </c>
      <c r="AR80">
        <v>77</v>
      </c>
      <c r="AS80" t="s">
        <v>7598</v>
      </c>
      <c r="AT80">
        <v>77</v>
      </c>
      <c r="AU80" t="s">
        <v>7598</v>
      </c>
      <c r="AV80">
        <v>77</v>
      </c>
    </row>
    <row r="81" spans="7:48" x14ac:dyDescent="0.4">
      <c r="G81" t="s">
        <v>7599</v>
      </c>
      <c r="H81">
        <v>78</v>
      </c>
      <c r="I81" t="s">
        <v>7599</v>
      </c>
      <c r="J81">
        <v>78</v>
      </c>
      <c r="AQ81" t="s">
        <v>7599</v>
      </c>
      <c r="AR81">
        <v>78</v>
      </c>
      <c r="AS81" t="s">
        <v>7599</v>
      </c>
      <c r="AT81">
        <v>78</v>
      </c>
      <c r="AU81" t="s">
        <v>7599</v>
      </c>
      <c r="AV81">
        <v>78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14D12-EA89-4DDC-9750-E58CFB6A42B6}">
  <sheetPr codeName="Sheet4">
    <tabColor rgb="FF7030A0"/>
  </sheetPr>
  <dimension ref="A3:AY145"/>
  <sheetViews>
    <sheetView topLeftCell="A97" workbookViewId="0">
      <selection activeCell="F30" sqref="F30"/>
    </sheetView>
  </sheetViews>
  <sheetFormatPr defaultColWidth="9.15234375" defaultRowHeight="14.6" x14ac:dyDescent="0.4"/>
  <cols>
    <col min="21" max="35" width="3.53515625" customWidth="1"/>
    <col min="37" max="51" width="3.3046875" customWidth="1"/>
  </cols>
  <sheetData>
    <row r="3" spans="1:19" x14ac:dyDescent="0.4">
      <c r="E3" t="s">
        <v>1093</v>
      </c>
    </row>
    <row r="5" spans="1:19" x14ac:dyDescent="0.4">
      <c r="E5" t="s">
        <v>1094</v>
      </c>
    </row>
    <row r="6" spans="1:19" x14ac:dyDescent="0.4">
      <c r="E6" t="s">
        <v>1095</v>
      </c>
    </row>
    <row r="7" spans="1:19" x14ac:dyDescent="0.4">
      <c r="E7" t="s">
        <v>1096</v>
      </c>
    </row>
    <row r="8" spans="1:19" x14ac:dyDescent="0.4">
      <c r="E8" t="s">
        <v>1097</v>
      </c>
    </row>
    <row r="9" spans="1:19" x14ac:dyDescent="0.4">
      <c r="E9" t="s">
        <v>1098</v>
      </c>
    </row>
    <row r="11" spans="1:19" x14ac:dyDescent="0.4">
      <c r="E11" t="s">
        <v>1099</v>
      </c>
    </row>
    <row r="13" spans="1:19" x14ac:dyDescent="0.4">
      <c r="E13">
        <v>1</v>
      </c>
      <c r="F13">
        <v>2</v>
      </c>
      <c r="G13">
        <v>3</v>
      </c>
      <c r="H13">
        <v>4</v>
      </c>
      <c r="I13">
        <v>5</v>
      </c>
      <c r="J13">
        <v>6</v>
      </c>
      <c r="K13">
        <v>7</v>
      </c>
      <c r="L13">
        <v>8</v>
      </c>
      <c r="M13">
        <v>9</v>
      </c>
      <c r="N13">
        <v>10</v>
      </c>
      <c r="O13">
        <v>11</v>
      </c>
      <c r="P13">
        <v>12</v>
      </c>
      <c r="Q13">
        <v>13</v>
      </c>
      <c r="R13">
        <v>14</v>
      </c>
      <c r="S13">
        <v>15</v>
      </c>
    </row>
    <row r="14" spans="1:19" x14ac:dyDescent="0.4">
      <c r="A14">
        <v>1</v>
      </c>
      <c r="B14" cm="1">
        <f t="array" aca="1" ref="B14" ca="1">INDEX(OFFSET(auto_ss_HighLevel,0,1,300,1),A14)</f>
        <v>1</v>
      </c>
      <c r="C14" t="str" cm="1">
        <f t="array" aca="1" ref="C14" ca="1">IF(B14=0,1,INDEX(auto_Series_Code,B14))</f>
        <v>OVERALL</v>
      </c>
      <c r="D14" t="str" cm="1">
        <f t="array" aca="1" ref="D14" ca="1">IF(B14=0,1,INDEX(auto_Series_NameNumbered,B14))</f>
        <v>OVERALL</v>
      </c>
      <c r="E14" cm="1">
        <f t="array" aca="1" ref="E14" ca="1">INDEX(sys_DataFlat_LU_Grid,$B14,E$13)</f>
        <v>1</v>
      </c>
      <c r="F14" cm="1">
        <f t="array" aca="1" ref="F14" ca="1">INDEX(sys_DataFlat_LU_Grid,$B14,F$13)</f>
        <v>2</v>
      </c>
      <c r="G14" cm="1">
        <f t="array" aca="1" ref="G14" ca="1">INDEX(sys_DataFlat_LU_Grid,$B14,G$13)</f>
        <v>3</v>
      </c>
      <c r="H14" cm="1">
        <f t="array" aca="1" ref="H14" ca="1">INDEX(sys_DataFlat_LU_Grid,$B14,H$13)</f>
        <v>4</v>
      </c>
      <c r="I14" cm="1">
        <f t="array" aca="1" ref="I14" ca="1">INDEX(sys_DataFlat_LU_Grid,$B14,I$13)</f>
        <v>5</v>
      </c>
      <c r="J14" cm="1">
        <f t="array" aca="1" ref="J14" ca="1">INDEX(sys_DataFlat_LU_Grid,$B14,J$13)</f>
        <v>6</v>
      </c>
      <c r="K14" cm="1">
        <f t="array" aca="1" ref="K14" ca="1">INDEX(sys_DataFlat_LU_Grid,$B14,K$13)</f>
        <v>7</v>
      </c>
      <c r="L14" cm="1">
        <f t="array" aca="1" ref="L14" ca="1">INDEX(sys_DataFlat_LU_Grid,$B14,L$13)</f>
        <v>8</v>
      </c>
      <c r="M14" cm="1">
        <f t="array" aca="1" ref="M14" ca="1">INDEX(sys_DataFlat_LU_Grid,$B14,M$13)</f>
        <v>9</v>
      </c>
      <c r="N14" cm="1">
        <f t="array" aca="1" ref="N14" ca="1">INDEX(sys_DataFlat_LU_Grid,$B14,N$13)</f>
        <v>10</v>
      </c>
      <c r="O14" cm="1">
        <f t="array" aca="1" ref="O14" ca="1">INDEX(sys_DataFlat_LU_Grid,$B14,O$13)</f>
        <v>11</v>
      </c>
      <c r="P14" cm="1">
        <f t="array" aca="1" ref="P14" ca="1">INDEX(sys_DataFlat_LU_Grid,$B14,P$13)</f>
        <v>12</v>
      </c>
      <c r="Q14" cm="1">
        <f t="array" aca="1" ref="Q14" ca="1">INDEX(sys_DataFlat_LU_Grid,$B14,Q$13)</f>
        <v>13</v>
      </c>
      <c r="R14" cm="1">
        <f t="array" aca="1" ref="R14" ca="1">INDEX(sys_DataFlat_LU_Grid,$B14,R$13)</f>
        <v>14</v>
      </c>
      <c r="S14" cm="1">
        <f t="array" aca="1" ref="S14" ca="1">INDEX(sys_DataFlat_LU_Grid,$B14,S$13)</f>
        <v>15</v>
      </c>
    </row>
    <row r="15" spans="1:19" x14ac:dyDescent="0.4">
      <c r="A15">
        <v>2</v>
      </c>
      <c r="B15" cm="1">
        <f t="array" aca="1" ref="B15" ca="1">INDEX(OFFSET(auto_ss_HighLevel,0,1,300,1),A15)</f>
        <v>2</v>
      </c>
      <c r="C15" t="str" cm="1">
        <f t="array" aca="1" ref="C15" ca="1">IF(B15=0,1,INDEX(auto_Series_Code,B15))</f>
        <v>DOMAIN_001</v>
      </c>
      <c r="D15" t="str" cm="1">
        <f t="array" aca="1" ref="D15" ca="1">IF(B15=0,1,INDEX(auto_Series_NameNumbered,B15))</f>
        <v>1) SOCIAL DETERMINANTS</v>
      </c>
      <c r="E15" cm="1">
        <f t="array" aca="1" ref="E15" ca="1">INDEX(sys_DataFlat_LU_Grid,$B15,E$13)</f>
        <v>61</v>
      </c>
      <c r="F15" cm="1">
        <f t="array" aca="1" ref="F15" ca="1">INDEX(sys_DataFlat_LU_Grid,$B15,F$13)</f>
        <v>62</v>
      </c>
      <c r="G15" cm="1">
        <f t="array" aca="1" ref="G15" ca="1">INDEX(sys_DataFlat_LU_Grid,$B15,G$13)</f>
        <v>63</v>
      </c>
      <c r="H15" cm="1">
        <f t="array" aca="1" ref="H15" ca="1">INDEX(sys_DataFlat_LU_Grid,$B15,H$13)</f>
        <v>64</v>
      </c>
      <c r="I15" cm="1">
        <f t="array" aca="1" ref="I15" ca="1">INDEX(sys_DataFlat_LU_Grid,$B15,I$13)</f>
        <v>65</v>
      </c>
      <c r="J15" cm="1">
        <f t="array" aca="1" ref="J15" ca="1">INDEX(sys_DataFlat_LU_Grid,$B15,J$13)</f>
        <v>66</v>
      </c>
      <c r="K15" cm="1">
        <f t="array" aca="1" ref="K15" ca="1">INDEX(sys_DataFlat_LU_Grid,$B15,K$13)</f>
        <v>67</v>
      </c>
      <c r="L15" cm="1">
        <f t="array" aca="1" ref="L15" ca="1">INDEX(sys_DataFlat_LU_Grid,$B15,L$13)</f>
        <v>68</v>
      </c>
      <c r="M15" cm="1">
        <f t="array" aca="1" ref="M15" ca="1">INDEX(sys_DataFlat_LU_Grid,$B15,M$13)</f>
        <v>69</v>
      </c>
      <c r="N15" cm="1">
        <f t="array" aca="1" ref="N15" ca="1">INDEX(sys_DataFlat_LU_Grid,$B15,N$13)</f>
        <v>70</v>
      </c>
      <c r="O15" cm="1">
        <f t="array" aca="1" ref="O15" ca="1">INDEX(sys_DataFlat_LU_Grid,$B15,O$13)</f>
        <v>71</v>
      </c>
      <c r="P15" cm="1">
        <f t="array" aca="1" ref="P15" ca="1">INDEX(sys_DataFlat_LU_Grid,$B15,P$13)</f>
        <v>72</v>
      </c>
      <c r="Q15" cm="1">
        <f t="array" aca="1" ref="Q15" ca="1">INDEX(sys_DataFlat_LU_Grid,$B15,Q$13)</f>
        <v>73</v>
      </c>
      <c r="R15" cm="1">
        <f t="array" aca="1" ref="R15" ca="1">INDEX(sys_DataFlat_LU_Grid,$B15,R$13)</f>
        <v>74</v>
      </c>
      <c r="S15" cm="1">
        <f t="array" aca="1" ref="S15" ca="1">INDEX(sys_DataFlat_LU_Grid,$B15,S$13)</f>
        <v>75</v>
      </c>
    </row>
    <row r="16" spans="1:19" x14ac:dyDescent="0.4">
      <c r="A16">
        <v>3</v>
      </c>
      <c r="B16" cm="1">
        <f t="array" aca="1" ref="B16" ca="1">INDEX(OFFSET(auto_ss_HighLevel,0,1,300,1),A16)</f>
        <v>3</v>
      </c>
      <c r="C16" t="str" cm="1">
        <f t="array" aca="1" ref="C16" ca="1">IF(B16=0,1,INDEX(auto_Series_Code,B16))</f>
        <v>INDI_001</v>
      </c>
      <c r="D16" t="str" cm="1">
        <f t="array" aca="1" ref="D16" ca="1">IF(B16=0,1,INDEX(auto_Series_NameNumbered,B16))</f>
        <v>1.1) Poverty and inequality</v>
      </c>
      <c r="E16" cm="1">
        <f t="array" aca="1" ref="E16" ca="1">INDEX(sys_DataFlat_LU_Grid,$B16,E$13)</f>
        <v>121</v>
      </c>
      <c r="F16" cm="1">
        <f t="array" aca="1" ref="F16" ca="1">INDEX(sys_DataFlat_LU_Grid,$B16,F$13)</f>
        <v>122</v>
      </c>
      <c r="G16" cm="1">
        <f t="array" aca="1" ref="G16" ca="1">INDEX(sys_DataFlat_LU_Grid,$B16,G$13)</f>
        <v>123</v>
      </c>
      <c r="H16" cm="1">
        <f t="array" aca="1" ref="H16" ca="1">INDEX(sys_DataFlat_LU_Grid,$B16,H$13)</f>
        <v>124</v>
      </c>
      <c r="I16" cm="1">
        <f t="array" aca="1" ref="I16" ca="1">INDEX(sys_DataFlat_LU_Grid,$B16,I$13)</f>
        <v>125</v>
      </c>
      <c r="J16" cm="1">
        <f t="array" aca="1" ref="J16" ca="1">INDEX(sys_DataFlat_LU_Grid,$B16,J$13)</f>
        <v>126</v>
      </c>
      <c r="K16" cm="1">
        <f t="array" aca="1" ref="K16" ca="1">INDEX(sys_DataFlat_LU_Grid,$B16,K$13)</f>
        <v>127</v>
      </c>
      <c r="L16" cm="1">
        <f t="array" aca="1" ref="L16" ca="1">INDEX(sys_DataFlat_LU_Grid,$B16,L$13)</f>
        <v>128</v>
      </c>
      <c r="M16" cm="1">
        <f t="array" aca="1" ref="M16" ca="1">INDEX(sys_DataFlat_LU_Grid,$B16,M$13)</f>
        <v>129</v>
      </c>
      <c r="N16" cm="1">
        <f t="array" aca="1" ref="N16" ca="1">INDEX(sys_DataFlat_LU_Grid,$B16,N$13)</f>
        <v>130</v>
      </c>
      <c r="O16" cm="1">
        <f t="array" aca="1" ref="O16" ca="1">INDEX(sys_DataFlat_LU_Grid,$B16,O$13)</f>
        <v>131</v>
      </c>
      <c r="P16" cm="1">
        <f t="array" aca="1" ref="P16" ca="1">INDEX(sys_DataFlat_LU_Grid,$B16,P$13)</f>
        <v>132</v>
      </c>
      <c r="Q16" cm="1">
        <f t="array" aca="1" ref="Q16" ca="1">INDEX(sys_DataFlat_LU_Grid,$B16,Q$13)</f>
        <v>133</v>
      </c>
      <c r="R16" cm="1">
        <f t="array" aca="1" ref="R16" ca="1">INDEX(sys_DataFlat_LU_Grid,$B16,R$13)</f>
        <v>134</v>
      </c>
      <c r="S16" cm="1">
        <f t="array" aca="1" ref="S16" ca="1">INDEX(sys_DataFlat_LU_Grid,$B16,S$13)</f>
        <v>135</v>
      </c>
    </row>
    <row r="17" spans="1:19" x14ac:dyDescent="0.4">
      <c r="A17">
        <v>4</v>
      </c>
      <c r="B17" cm="1">
        <f t="array" aca="1" ref="B17" ca="1">INDEX(OFFSET(auto_ss_HighLevel,0,1,300,1),A17)</f>
        <v>6</v>
      </c>
      <c r="C17" t="str" cm="1">
        <f t="array" aca="1" ref="C17" ca="1">IF(B17=0,1,INDEX(auto_Series_Code,B17))</f>
        <v>INDI_002</v>
      </c>
      <c r="D17" t="str" cm="1">
        <f t="array" aca="1" ref="D17" ca="1">IF(B17=0,1,INDEX(auto_Series_NameNumbered,B17))</f>
        <v>1.2) Education</v>
      </c>
      <c r="E17" cm="1">
        <f t="array" aca="1" ref="E17" ca="1">INDEX(sys_DataFlat_LU_Grid,$B17,E$13)</f>
        <v>301</v>
      </c>
      <c r="F17" cm="1">
        <f t="array" aca="1" ref="F17" ca="1">INDEX(sys_DataFlat_LU_Grid,$B17,F$13)</f>
        <v>302</v>
      </c>
      <c r="G17" cm="1">
        <f t="array" aca="1" ref="G17" ca="1">INDEX(sys_DataFlat_LU_Grid,$B17,G$13)</f>
        <v>303</v>
      </c>
      <c r="H17" cm="1">
        <f t="array" aca="1" ref="H17" ca="1">INDEX(sys_DataFlat_LU_Grid,$B17,H$13)</f>
        <v>304</v>
      </c>
      <c r="I17" cm="1">
        <f t="array" aca="1" ref="I17" ca="1">INDEX(sys_DataFlat_LU_Grid,$B17,I$13)</f>
        <v>305</v>
      </c>
      <c r="J17" cm="1">
        <f t="array" aca="1" ref="J17" ca="1">INDEX(sys_DataFlat_LU_Grid,$B17,J$13)</f>
        <v>306</v>
      </c>
      <c r="K17" cm="1">
        <f t="array" aca="1" ref="K17" ca="1">INDEX(sys_DataFlat_LU_Grid,$B17,K$13)</f>
        <v>307</v>
      </c>
      <c r="L17" cm="1">
        <f t="array" aca="1" ref="L17" ca="1">INDEX(sys_DataFlat_LU_Grid,$B17,L$13)</f>
        <v>308</v>
      </c>
      <c r="M17" cm="1">
        <f t="array" aca="1" ref="M17" ca="1">INDEX(sys_DataFlat_LU_Grid,$B17,M$13)</f>
        <v>309</v>
      </c>
      <c r="N17" cm="1">
        <f t="array" aca="1" ref="N17" ca="1">INDEX(sys_DataFlat_LU_Grid,$B17,N$13)</f>
        <v>310</v>
      </c>
      <c r="O17" cm="1">
        <f t="array" aca="1" ref="O17" ca="1">INDEX(sys_DataFlat_LU_Grid,$B17,O$13)</f>
        <v>311</v>
      </c>
      <c r="P17" cm="1">
        <f t="array" aca="1" ref="P17" ca="1">INDEX(sys_DataFlat_LU_Grid,$B17,P$13)</f>
        <v>312</v>
      </c>
      <c r="Q17" cm="1">
        <f t="array" aca="1" ref="Q17" ca="1">INDEX(sys_DataFlat_LU_Grid,$B17,Q$13)</f>
        <v>313</v>
      </c>
      <c r="R17" cm="1">
        <f t="array" aca="1" ref="R17" ca="1">INDEX(sys_DataFlat_LU_Grid,$B17,R$13)</f>
        <v>314</v>
      </c>
      <c r="S17" cm="1">
        <f t="array" aca="1" ref="S17" ca="1">INDEX(sys_DataFlat_LU_Grid,$B17,S$13)</f>
        <v>315</v>
      </c>
    </row>
    <row r="18" spans="1:19" x14ac:dyDescent="0.4">
      <c r="A18">
        <v>5</v>
      </c>
      <c r="B18" cm="1">
        <f t="array" aca="1" ref="B18" ca="1">INDEX(OFFSET(auto_ss_HighLevel,0,1,300,1),A18)</f>
        <v>9</v>
      </c>
      <c r="C18" t="str" cm="1">
        <f t="array" aca="1" ref="C18" ca="1">IF(B18=0,1,INDEX(auto_Series_Code,B18))</f>
        <v>INDI_003</v>
      </c>
      <c r="D18" t="str" cm="1">
        <f t="array" aca="1" ref="D18" ca="1">IF(B18=0,1,INDEX(auto_Series_NameNumbered,B18))</f>
        <v>1.3) Employment</v>
      </c>
      <c r="E18" cm="1">
        <f t="array" aca="1" ref="E18" ca="1">INDEX(sys_DataFlat_LU_Grid,$B18,E$13)</f>
        <v>481</v>
      </c>
      <c r="F18" cm="1">
        <f t="array" aca="1" ref="F18" ca="1">INDEX(sys_DataFlat_LU_Grid,$B18,F$13)</f>
        <v>482</v>
      </c>
      <c r="G18" cm="1">
        <f t="array" aca="1" ref="G18" ca="1">INDEX(sys_DataFlat_LU_Grid,$B18,G$13)</f>
        <v>483</v>
      </c>
      <c r="H18" cm="1">
        <f t="array" aca="1" ref="H18" ca="1">INDEX(sys_DataFlat_LU_Grid,$B18,H$13)</f>
        <v>484</v>
      </c>
      <c r="I18" cm="1">
        <f t="array" aca="1" ref="I18" ca="1">INDEX(sys_DataFlat_LU_Grid,$B18,I$13)</f>
        <v>485</v>
      </c>
      <c r="J18" cm="1">
        <f t="array" aca="1" ref="J18" ca="1">INDEX(sys_DataFlat_LU_Grid,$B18,J$13)</f>
        <v>486</v>
      </c>
      <c r="K18" cm="1">
        <f t="array" aca="1" ref="K18" ca="1">INDEX(sys_DataFlat_LU_Grid,$B18,K$13)</f>
        <v>487</v>
      </c>
      <c r="L18" cm="1">
        <f t="array" aca="1" ref="L18" ca="1">INDEX(sys_DataFlat_LU_Grid,$B18,L$13)</f>
        <v>488</v>
      </c>
      <c r="M18" cm="1">
        <f t="array" aca="1" ref="M18" ca="1">INDEX(sys_DataFlat_LU_Grid,$B18,M$13)</f>
        <v>489</v>
      </c>
      <c r="N18" cm="1">
        <f t="array" aca="1" ref="N18" ca="1">INDEX(sys_DataFlat_LU_Grid,$B18,N$13)</f>
        <v>490</v>
      </c>
      <c r="O18" cm="1">
        <f t="array" aca="1" ref="O18" ca="1">INDEX(sys_DataFlat_LU_Grid,$B18,O$13)</f>
        <v>491</v>
      </c>
      <c r="P18" cm="1">
        <f t="array" aca="1" ref="P18" ca="1">INDEX(sys_DataFlat_LU_Grid,$B18,P$13)</f>
        <v>492</v>
      </c>
      <c r="Q18" cm="1">
        <f t="array" aca="1" ref="Q18" ca="1">INDEX(sys_DataFlat_LU_Grid,$B18,Q$13)</f>
        <v>493</v>
      </c>
      <c r="R18" cm="1">
        <f t="array" aca="1" ref="R18" ca="1">INDEX(sys_DataFlat_LU_Grid,$B18,R$13)</f>
        <v>494</v>
      </c>
      <c r="S18" cm="1">
        <f t="array" aca="1" ref="S18" ca="1">INDEX(sys_DataFlat_LU_Grid,$B18,S$13)</f>
        <v>495</v>
      </c>
    </row>
    <row r="19" spans="1:19" x14ac:dyDescent="0.4">
      <c r="A19">
        <v>6</v>
      </c>
      <c r="B19" cm="1">
        <f t="array" aca="1" ref="B19" ca="1">INDEX(OFFSET(auto_ss_HighLevel,0,1,300,1),A19)</f>
        <v>12</v>
      </c>
      <c r="C19" t="str" cm="1">
        <f t="array" aca="1" ref="C19" ca="1">IF(B19=0,1,INDEX(auto_Series_Code,B19))</f>
        <v>INDI_004</v>
      </c>
      <c r="D19" t="str" cm="1">
        <f t="array" aca="1" ref="D19" ca="1">IF(B19=0,1,INDEX(auto_Series_NameNumbered,B19))</f>
        <v>1.4) Access to healthcare</v>
      </c>
      <c r="E19" cm="1">
        <f t="array" aca="1" ref="E19" ca="1">INDEX(sys_DataFlat_LU_Grid,$B19,E$13)</f>
        <v>661</v>
      </c>
      <c r="F19" cm="1">
        <f t="array" aca="1" ref="F19" ca="1">INDEX(sys_DataFlat_LU_Grid,$B19,F$13)</f>
        <v>662</v>
      </c>
      <c r="G19" cm="1">
        <f t="array" aca="1" ref="G19" ca="1">INDEX(sys_DataFlat_LU_Grid,$B19,G$13)</f>
        <v>663</v>
      </c>
      <c r="H19" cm="1">
        <f t="array" aca="1" ref="H19" ca="1">INDEX(sys_DataFlat_LU_Grid,$B19,H$13)</f>
        <v>664</v>
      </c>
      <c r="I19" cm="1">
        <f t="array" aca="1" ref="I19" ca="1">INDEX(sys_DataFlat_LU_Grid,$B19,I$13)</f>
        <v>665</v>
      </c>
      <c r="J19" cm="1">
        <f t="array" aca="1" ref="J19" ca="1">INDEX(sys_DataFlat_LU_Grid,$B19,J$13)</f>
        <v>666</v>
      </c>
      <c r="K19" cm="1">
        <f t="array" aca="1" ref="K19" ca="1">INDEX(sys_DataFlat_LU_Grid,$B19,K$13)</f>
        <v>667</v>
      </c>
      <c r="L19" cm="1">
        <f t="array" aca="1" ref="L19" ca="1">INDEX(sys_DataFlat_LU_Grid,$B19,L$13)</f>
        <v>668</v>
      </c>
      <c r="M19" cm="1">
        <f t="array" aca="1" ref="M19" ca="1">INDEX(sys_DataFlat_LU_Grid,$B19,M$13)</f>
        <v>669</v>
      </c>
      <c r="N19" cm="1">
        <f t="array" aca="1" ref="N19" ca="1">INDEX(sys_DataFlat_LU_Grid,$B19,N$13)</f>
        <v>670</v>
      </c>
      <c r="O19" cm="1">
        <f t="array" aca="1" ref="O19" ca="1">INDEX(sys_DataFlat_LU_Grid,$B19,O$13)</f>
        <v>671</v>
      </c>
      <c r="P19" cm="1">
        <f t="array" aca="1" ref="P19" ca="1">INDEX(sys_DataFlat_LU_Grid,$B19,P$13)</f>
        <v>672</v>
      </c>
      <c r="Q19" cm="1">
        <f t="array" aca="1" ref="Q19" ca="1">INDEX(sys_DataFlat_LU_Grid,$B19,Q$13)</f>
        <v>673</v>
      </c>
      <c r="R19" cm="1">
        <f t="array" aca="1" ref="R19" ca="1">INDEX(sys_DataFlat_LU_Grid,$B19,R$13)</f>
        <v>674</v>
      </c>
      <c r="S19" cm="1">
        <f t="array" aca="1" ref="S19" ca="1">INDEX(sys_DataFlat_LU_Grid,$B19,S$13)</f>
        <v>675</v>
      </c>
    </row>
    <row r="20" spans="1:19" x14ac:dyDescent="0.4">
      <c r="A20">
        <v>7</v>
      </c>
      <c r="B20" cm="1">
        <f t="array" aca="1" ref="B20" ca="1">INDEX(OFFSET(auto_ss_HighLevel,0,1,300,1),A20)</f>
        <v>13</v>
      </c>
      <c r="C20" t="str" cm="1">
        <f t="array" aca="1" ref="C20" ca="1">IF(B20=0,1,INDEX(auto_Series_Code,B20))</f>
        <v>INDI_005</v>
      </c>
      <c r="D20" t="str" cm="1">
        <f t="array" aca="1" ref="D20" ca="1">IF(B20=0,1,INDEX(auto_Series_NameNumbered,B20))</f>
        <v>1.5) Household health expenditure</v>
      </c>
      <c r="E20" cm="1">
        <f t="array" aca="1" ref="E20" ca="1">INDEX(sys_DataFlat_LU_Grid,$B20,E$13)</f>
        <v>721</v>
      </c>
      <c r="F20" cm="1">
        <f t="array" aca="1" ref="F20" ca="1">INDEX(sys_DataFlat_LU_Grid,$B20,F$13)</f>
        <v>722</v>
      </c>
      <c r="G20" cm="1">
        <f t="array" aca="1" ref="G20" ca="1">INDEX(sys_DataFlat_LU_Grid,$B20,G$13)</f>
        <v>723</v>
      </c>
      <c r="H20" cm="1">
        <f t="array" aca="1" ref="H20" ca="1">INDEX(sys_DataFlat_LU_Grid,$B20,H$13)</f>
        <v>724</v>
      </c>
      <c r="I20" cm="1">
        <f t="array" aca="1" ref="I20" ca="1">INDEX(sys_DataFlat_LU_Grid,$B20,I$13)</f>
        <v>725</v>
      </c>
      <c r="J20" cm="1">
        <f t="array" aca="1" ref="J20" ca="1">INDEX(sys_DataFlat_LU_Grid,$B20,J$13)</f>
        <v>726</v>
      </c>
      <c r="K20" cm="1">
        <f t="array" aca="1" ref="K20" ca="1">INDEX(sys_DataFlat_LU_Grid,$B20,K$13)</f>
        <v>727</v>
      </c>
      <c r="L20" cm="1">
        <f t="array" aca="1" ref="L20" ca="1">INDEX(sys_DataFlat_LU_Grid,$B20,L$13)</f>
        <v>728</v>
      </c>
      <c r="M20" cm="1">
        <f t="array" aca="1" ref="M20" ca="1">INDEX(sys_DataFlat_LU_Grid,$B20,M$13)</f>
        <v>729</v>
      </c>
      <c r="N20" cm="1">
        <f t="array" aca="1" ref="N20" ca="1">INDEX(sys_DataFlat_LU_Grid,$B20,N$13)</f>
        <v>730</v>
      </c>
      <c r="O20" cm="1">
        <f t="array" aca="1" ref="O20" ca="1">INDEX(sys_DataFlat_LU_Grid,$B20,O$13)</f>
        <v>731</v>
      </c>
      <c r="P20" cm="1">
        <f t="array" aca="1" ref="P20" ca="1">INDEX(sys_DataFlat_LU_Grid,$B20,P$13)</f>
        <v>732</v>
      </c>
      <c r="Q20" cm="1">
        <f t="array" aca="1" ref="Q20" ca="1">INDEX(sys_DataFlat_LU_Grid,$B20,Q$13)</f>
        <v>733</v>
      </c>
      <c r="R20" cm="1">
        <f t="array" aca="1" ref="R20" ca="1">INDEX(sys_DataFlat_LU_Grid,$B20,R$13)</f>
        <v>734</v>
      </c>
      <c r="S20" cm="1">
        <f t="array" aca="1" ref="S20" ca="1">INDEX(sys_DataFlat_LU_Grid,$B20,S$13)</f>
        <v>735</v>
      </c>
    </row>
    <row r="21" spans="1:19" x14ac:dyDescent="0.4">
      <c r="A21">
        <v>8</v>
      </c>
      <c r="B21" cm="1">
        <f t="array" aca="1" ref="B21" ca="1">INDEX(OFFSET(auto_ss_HighLevel,0,1,300,1),A21)</f>
        <v>14</v>
      </c>
      <c r="C21" t="str" cm="1">
        <f t="array" aca="1" ref="C21" ca="1">IF(B21=0,1,INDEX(auto_Series_Code,B21))</f>
        <v>DOMAIN_002</v>
      </c>
      <c r="D21" t="str" cm="1">
        <f t="array" aca="1" ref="D21" ca="1">IF(B21=0,1,INDEX(auto_Series_NameNumbered,B21))</f>
        <v>2) PHYSICAL ENVIRONMENT</v>
      </c>
      <c r="E21" cm="1">
        <f t="array" aca="1" ref="E21" ca="1">INDEX(sys_DataFlat_LU_Grid,$B21,E$13)</f>
        <v>781</v>
      </c>
      <c r="F21" cm="1">
        <f t="array" aca="1" ref="F21" ca="1">INDEX(sys_DataFlat_LU_Grid,$B21,F$13)</f>
        <v>782</v>
      </c>
      <c r="G21" cm="1">
        <f t="array" aca="1" ref="G21" ca="1">INDEX(sys_DataFlat_LU_Grid,$B21,G$13)</f>
        <v>783</v>
      </c>
      <c r="H21" cm="1">
        <f t="array" aca="1" ref="H21" ca="1">INDEX(sys_DataFlat_LU_Grid,$B21,H$13)</f>
        <v>784</v>
      </c>
      <c r="I21" cm="1">
        <f t="array" aca="1" ref="I21" ca="1">INDEX(sys_DataFlat_LU_Grid,$B21,I$13)</f>
        <v>785</v>
      </c>
      <c r="J21" cm="1">
        <f t="array" aca="1" ref="J21" ca="1">INDEX(sys_DataFlat_LU_Grid,$B21,J$13)</f>
        <v>786</v>
      </c>
      <c r="K21" cm="1">
        <f t="array" aca="1" ref="K21" ca="1">INDEX(sys_DataFlat_LU_Grid,$B21,K$13)</f>
        <v>787</v>
      </c>
      <c r="L21" cm="1">
        <f t="array" aca="1" ref="L21" ca="1">INDEX(sys_DataFlat_LU_Grid,$B21,L$13)</f>
        <v>788</v>
      </c>
      <c r="M21" cm="1">
        <f t="array" aca="1" ref="M21" ca="1">INDEX(sys_DataFlat_LU_Grid,$B21,M$13)</f>
        <v>789</v>
      </c>
      <c r="N21" cm="1">
        <f t="array" aca="1" ref="N21" ca="1">INDEX(sys_DataFlat_LU_Grid,$B21,N$13)</f>
        <v>790</v>
      </c>
      <c r="O21" cm="1">
        <f t="array" aca="1" ref="O21" ca="1">INDEX(sys_DataFlat_LU_Grid,$B21,O$13)</f>
        <v>791</v>
      </c>
      <c r="P21" cm="1">
        <f t="array" aca="1" ref="P21" ca="1">INDEX(sys_DataFlat_LU_Grid,$B21,P$13)</f>
        <v>792</v>
      </c>
      <c r="Q21" cm="1">
        <f t="array" aca="1" ref="Q21" ca="1">INDEX(sys_DataFlat_LU_Grid,$B21,Q$13)</f>
        <v>793</v>
      </c>
      <c r="R21" cm="1">
        <f t="array" aca="1" ref="R21" ca="1">INDEX(sys_DataFlat_LU_Grid,$B21,R$13)</f>
        <v>794</v>
      </c>
      <c r="S21" cm="1">
        <f t="array" aca="1" ref="S21" ca="1">INDEX(sys_DataFlat_LU_Grid,$B21,S$13)</f>
        <v>795</v>
      </c>
    </row>
    <row r="22" spans="1:19" x14ac:dyDescent="0.4">
      <c r="A22">
        <v>9</v>
      </c>
      <c r="B22" cm="1">
        <f t="array" aca="1" ref="B22" ca="1">INDEX(OFFSET(auto_ss_HighLevel,0,1,300,1),A22)</f>
        <v>15</v>
      </c>
      <c r="C22" t="str" cm="1">
        <f t="array" aca="1" ref="C22" ca="1">IF(B22=0,1,INDEX(auto_Series_Code,B22))</f>
        <v>INDI_006</v>
      </c>
      <c r="D22" t="str" cm="1">
        <f t="array" aca="1" ref="D22" ca="1">IF(B22=0,1,INDEX(auto_Series_NameNumbered,B22))</f>
        <v>2.1) Air quality</v>
      </c>
      <c r="E22" cm="1">
        <f t="array" aca="1" ref="E22" ca="1">INDEX(sys_DataFlat_LU_Grid,$B22,E$13)</f>
        <v>841</v>
      </c>
      <c r="F22" cm="1">
        <f t="array" aca="1" ref="F22" ca="1">INDEX(sys_DataFlat_LU_Grid,$B22,F$13)</f>
        <v>842</v>
      </c>
      <c r="G22" cm="1">
        <f t="array" aca="1" ref="G22" ca="1">INDEX(sys_DataFlat_LU_Grid,$B22,G$13)</f>
        <v>843</v>
      </c>
      <c r="H22" cm="1">
        <f t="array" aca="1" ref="H22" ca="1">INDEX(sys_DataFlat_LU_Grid,$B22,H$13)</f>
        <v>844</v>
      </c>
      <c r="I22" cm="1">
        <f t="array" aca="1" ref="I22" ca="1">INDEX(sys_DataFlat_LU_Grid,$B22,I$13)</f>
        <v>845</v>
      </c>
      <c r="J22" cm="1">
        <f t="array" aca="1" ref="J22" ca="1">INDEX(sys_DataFlat_LU_Grid,$B22,J$13)</f>
        <v>846</v>
      </c>
      <c r="K22" cm="1">
        <f t="array" aca="1" ref="K22" ca="1">INDEX(sys_DataFlat_LU_Grid,$B22,K$13)</f>
        <v>847</v>
      </c>
      <c r="L22" cm="1">
        <f t="array" aca="1" ref="L22" ca="1">INDEX(sys_DataFlat_LU_Grid,$B22,L$13)</f>
        <v>848</v>
      </c>
      <c r="M22" cm="1">
        <f t="array" aca="1" ref="M22" ca="1">INDEX(sys_DataFlat_LU_Grid,$B22,M$13)</f>
        <v>849</v>
      </c>
      <c r="N22" cm="1">
        <f t="array" aca="1" ref="N22" ca="1">INDEX(sys_DataFlat_LU_Grid,$B22,N$13)</f>
        <v>850</v>
      </c>
      <c r="O22" cm="1">
        <f t="array" aca="1" ref="O22" ca="1">INDEX(sys_DataFlat_LU_Grid,$B22,O$13)</f>
        <v>851</v>
      </c>
      <c r="P22" cm="1">
        <f t="array" aca="1" ref="P22" ca="1">INDEX(sys_DataFlat_LU_Grid,$B22,P$13)</f>
        <v>852</v>
      </c>
      <c r="Q22" cm="1">
        <f t="array" aca="1" ref="Q22" ca="1">INDEX(sys_DataFlat_LU_Grid,$B22,Q$13)</f>
        <v>853</v>
      </c>
      <c r="R22" cm="1">
        <f t="array" aca="1" ref="R22" ca="1">INDEX(sys_DataFlat_LU_Grid,$B22,R$13)</f>
        <v>854</v>
      </c>
      <c r="S22" cm="1">
        <f t="array" aca="1" ref="S22" ca="1">INDEX(sys_DataFlat_LU_Grid,$B22,S$13)</f>
        <v>855</v>
      </c>
    </row>
    <row r="23" spans="1:19" x14ac:dyDescent="0.4">
      <c r="A23">
        <v>10</v>
      </c>
      <c r="B23" cm="1">
        <f t="array" aca="1" ref="B23" ca="1">INDEX(OFFSET(auto_ss_HighLevel,0,1,300,1),A23)</f>
        <v>16</v>
      </c>
      <c r="C23" t="str" cm="1">
        <f t="array" aca="1" ref="C23" ca="1">IF(B23=0,1,INDEX(auto_Series_Code,B23))</f>
        <v>INDI_007</v>
      </c>
      <c r="D23" t="str" cm="1">
        <f t="array" aca="1" ref="D23" ca="1">IF(B23=0,1,INDEX(auto_Series_NameNumbered,B23))</f>
        <v>2.2) Open spaces and green areas</v>
      </c>
      <c r="E23" cm="1">
        <f t="array" aca="1" ref="E23" ca="1">INDEX(sys_DataFlat_LU_Grid,$B23,E$13)</f>
        <v>901</v>
      </c>
      <c r="F23" cm="1">
        <f t="array" aca="1" ref="F23" ca="1">INDEX(sys_DataFlat_LU_Grid,$B23,F$13)</f>
        <v>902</v>
      </c>
      <c r="G23" cm="1">
        <f t="array" aca="1" ref="G23" ca="1">INDEX(sys_DataFlat_LU_Grid,$B23,G$13)</f>
        <v>903</v>
      </c>
      <c r="H23" cm="1">
        <f t="array" aca="1" ref="H23" ca="1">INDEX(sys_DataFlat_LU_Grid,$B23,H$13)</f>
        <v>904</v>
      </c>
      <c r="I23" cm="1">
        <f t="array" aca="1" ref="I23" ca="1">INDEX(sys_DataFlat_LU_Grid,$B23,I$13)</f>
        <v>905</v>
      </c>
      <c r="J23" cm="1">
        <f t="array" aca="1" ref="J23" ca="1">INDEX(sys_DataFlat_LU_Grid,$B23,J$13)</f>
        <v>906</v>
      </c>
      <c r="K23" cm="1">
        <f t="array" aca="1" ref="K23" ca="1">INDEX(sys_DataFlat_LU_Grid,$B23,K$13)</f>
        <v>907</v>
      </c>
      <c r="L23" cm="1">
        <f t="array" aca="1" ref="L23" ca="1">INDEX(sys_DataFlat_LU_Grid,$B23,L$13)</f>
        <v>908</v>
      </c>
      <c r="M23" cm="1">
        <f t="array" aca="1" ref="M23" ca="1">INDEX(sys_DataFlat_LU_Grid,$B23,M$13)</f>
        <v>909</v>
      </c>
      <c r="N23" cm="1">
        <f t="array" aca="1" ref="N23" ca="1">INDEX(sys_DataFlat_LU_Grid,$B23,N$13)</f>
        <v>910</v>
      </c>
      <c r="O23" cm="1">
        <f t="array" aca="1" ref="O23" ca="1">INDEX(sys_DataFlat_LU_Grid,$B23,O$13)</f>
        <v>911</v>
      </c>
      <c r="P23" cm="1">
        <f t="array" aca="1" ref="P23" ca="1">INDEX(sys_DataFlat_LU_Grid,$B23,P$13)</f>
        <v>912</v>
      </c>
      <c r="Q23" cm="1">
        <f t="array" aca="1" ref="Q23" ca="1">INDEX(sys_DataFlat_LU_Grid,$B23,Q$13)</f>
        <v>913</v>
      </c>
      <c r="R23" cm="1">
        <f t="array" aca="1" ref="R23" ca="1">INDEX(sys_DataFlat_LU_Grid,$B23,R$13)</f>
        <v>914</v>
      </c>
      <c r="S23" cm="1">
        <f t="array" aca="1" ref="S23" ca="1">INDEX(sys_DataFlat_LU_Grid,$B23,S$13)</f>
        <v>915</v>
      </c>
    </row>
    <row r="24" spans="1:19" x14ac:dyDescent="0.4">
      <c r="A24">
        <v>11</v>
      </c>
      <c r="B24" cm="1">
        <f t="array" aca="1" ref="B24" ca="1">INDEX(OFFSET(auto_ss_HighLevel,0,1,300,1),A24)</f>
        <v>17</v>
      </c>
      <c r="C24" t="str" cm="1">
        <f t="array" aca="1" ref="C24" ca="1">IF(B24=0,1,INDEX(auto_Series_Code,B24))</f>
        <v>INDI_008</v>
      </c>
      <c r="D24" t="str" cm="1">
        <f t="array" aca="1" ref="D24" ca="1">IF(B24=0,1,INDEX(auto_Series_NameNumbered,B24))</f>
        <v>2.3) Active transport</v>
      </c>
      <c r="E24" cm="1">
        <f t="array" aca="1" ref="E24" ca="1">INDEX(sys_DataFlat_LU_Grid,$B24,E$13)</f>
        <v>961</v>
      </c>
      <c r="F24" cm="1">
        <f t="array" aca="1" ref="F24" ca="1">INDEX(sys_DataFlat_LU_Grid,$B24,F$13)</f>
        <v>962</v>
      </c>
      <c r="G24" cm="1">
        <f t="array" aca="1" ref="G24" ca="1">INDEX(sys_DataFlat_LU_Grid,$B24,G$13)</f>
        <v>963</v>
      </c>
      <c r="H24" cm="1">
        <f t="array" aca="1" ref="H24" ca="1">INDEX(sys_DataFlat_LU_Grid,$B24,H$13)</f>
        <v>964</v>
      </c>
      <c r="I24" cm="1">
        <f t="array" aca="1" ref="I24" ca="1">INDEX(sys_DataFlat_LU_Grid,$B24,I$13)</f>
        <v>965</v>
      </c>
      <c r="J24" cm="1">
        <f t="array" aca="1" ref="J24" ca="1">INDEX(sys_DataFlat_LU_Grid,$B24,J$13)</f>
        <v>966</v>
      </c>
      <c r="K24" cm="1">
        <f t="array" aca="1" ref="K24" ca="1">INDEX(sys_DataFlat_LU_Grid,$B24,K$13)</f>
        <v>967</v>
      </c>
      <c r="L24" cm="1">
        <f t="array" aca="1" ref="L24" ca="1">INDEX(sys_DataFlat_LU_Grid,$B24,L$13)</f>
        <v>968</v>
      </c>
      <c r="M24" cm="1">
        <f t="array" aca="1" ref="M24" ca="1">INDEX(sys_DataFlat_LU_Grid,$B24,M$13)</f>
        <v>969</v>
      </c>
      <c r="N24" cm="1">
        <f t="array" aca="1" ref="N24" ca="1">INDEX(sys_DataFlat_LU_Grid,$B24,N$13)</f>
        <v>970</v>
      </c>
      <c r="O24" cm="1">
        <f t="array" aca="1" ref="O24" ca="1">INDEX(sys_DataFlat_LU_Grid,$B24,O$13)</f>
        <v>971</v>
      </c>
      <c r="P24" cm="1">
        <f t="array" aca="1" ref="P24" ca="1">INDEX(sys_DataFlat_LU_Grid,$B24,P$13)</f>
        <v>972</v>
      </c>
      <c r="Q24" cm="1">
        <f t="array" aca="1" ref="Q24" ca="1">INDEX(sys_DataFlat_LU_Grid,$B24,Q$13)</f>
        <v>973</v>
      </c>
      <c r="R24" cm="1">
        <f t="array" aca="1" ref="R24" ca="1">INDEX(sys_DataFlat_LU_Grid,$B24,R$13)</f>
        <v>974</v>
      </c>
      <c r="S24" cm="1">
        <f t="array" aca="1" ref="S24" ca="1">INDEX(sys_DataFlat_LU_Grid,$B24,S$13)</f>
        <v>975</v>
      </c>
    </row>
    <row r="25" spans="1:19" x14ac:dyDescent="0.4">
      <c r="A25">
        <v>12</v>
      </c>
      <c r="B25" cm="1">
        <f t="array" aca="1" ref="B25" ca="1">INDEX(OFFSET(auto_ss_HighLevel,0,1,300,1),A25)</f>
        <v>18</v>
      </c>
      <c r="C25" t="str" cm="1">
        <f t="array" aca="1" ref="C25" ca="1">IF(B25=0,1,INDEX(auto_Series_Code,B25))</f>
        <v>INDI_009</v>
      </c>
      <c r="D25" t="str" cm="1">
        <f t="array" aca="1" ref="D25" ca="1">IF(B25=0,1,INDEX(auto_Series_NameNumbered,B25))</f>
        <v>2.4) Food security</v>
      </c>
      <c r="E25" cm="1">
        <f t="array" aca="1" ref="E25" ca="1">INDEX(sys_DataFlat_LU_Grid,$B25,E$13)</f>
        <v>1021</v>
      </c>
      <c r="F25" cm="1">
        <f t="array" aca="1" ref="F25" ca="1">INDEX(sys_DataFlat_LU_Grid,$B25,F$13)</f>
        <v>1022</v>
      </c>
      <c r="G25" cm="1">
        <f t="array" aca="1" ref="G25" ca="1">INDEX(sys_DataFlat_LU_Grid,$B25,G$13)</f>
        <v>1023</v>
      </c>
      <c r="H25" cm="1">
        <f t="array" aca="1" ref="H25" ca="1">INDEX(sys_DataFlat_LU_Grid,$B25,H$13)</f>
        <v>1024</v>
      </c>
      <c r="I25" cm="1">
        <f t="array" aca="1" ref="I25" ca="1">INDEX(sys_DataFlat_LU_Grid,$B25,I$13)</f>
        <v>1025</v>
      </c>
      <c r="J25" cm="1">
        <f t="array" aca="1" ref="J25" ca="1">INDEX(sys_DataFlat_LU_Grid,$B25,J$13)</f>
        <v>1026</v>
      </c>
      <c r="K25" cm="1">
        <f t="array" aca="1" ref="K25" ca="1">INDEX(sys_DataFlat_LU_Grid,$B25,K$13)</f>
        <v>1027</v>
      </c>
      <c r="L25" cm="1">
        <f t="array" aca="1" ref="L25" ca="1">INDEX(sys_DataFlat_LU_Grid,$B25,L$13)</f>
        <v>1028</v>
      </c>
      <c r="M25" cm="1">
        <f t="array" aca="1" ref="M25" ca="1">INDEX(sys_DataFlat_LU_Grid,$B25,M$13)</f>
        <v>1029</v>
      </c>
      <c r="N25" cm="1">
        <f t="array" aca="1" ref="N25" ca="1">INDEX(sys_DataFlat_LU_Grid,$B25,N$13)</f>
        <v>1030</v>
      </c>
      <c r="O25" cm="1">
        <f t="array" aca="1" ref="O25" ca="1">INDEX(sys_DataFlat_LU_Grid,$B25,O$13)</f>
        <v>1031</v>
      </c>
      <c r="P25" cm="1">
        <f t="array" aca="1" ref="P25" ca="1">INDEX(sys_DataFlat_LU_Grid,$B25,P$13)</f>
        <v>1032</v>
      </c>
      <c r="Q25" cm="1">
        <f t="array" aca="1" ref="Q25" ca="1">INDEX(sys_DataFlat_LU_Grid,$B25,Q$13)</f>
        <v>1033</v>
      </c>
      <c r="R25" cm="1">
        <f t="array" aca="1" ref="R25" ca="1">INDEX(sys_DataFlat_LU_Grid,$B25,R$13)</f>
        <v>1034</v>
      </c>
      <c r="S25" cm="1">
        <f t="array" aca="1" ref="S25" ca="1">INDEX(sys_DataFlat_LU_Grid,$B25,S$13)</f>
        <v>1035</v>
      </c>
    </row>
    <row r="26" spans="1:19" x14ac:dyDescent="0.4">
      <c r="A26">
        <v>13</v>
      </c>
      <c r="B26" cm="1">
        <f t="array" aca="1" ref="B26" ca="1">INDEX(OFFSET(auto_ss_HighLevel,0,1,300,1),A26)</f>
        <v>21</v>
      </c>
      <c r="C26" t="str" cm="1">
        <f t="array" aca="1" ref="C26" ca="1">IF(B26=0,1,INDEX(auto_Series_Code,B26))</f>
        <v>INDI_010</v>
      </c>
      <c r="D26" t="str" cm="1">
        <f t="array" aca="1" ref="D26" ca="1">IF(B26=0,1,INDEX(auto_Series_NameNumbered,B26))</f>
        <v>2.5) Access to public transport</v>
      </c>
      <c r="E26" cm="1">
        <f t="array" aca="1" ref="E26" ca="1">INDEX(sys_DataFlat_LU_Grid,$B26,E$13)</f>
        <v>1201</v>
      </c>
      <c r="F26" cm="1">
        <f t="array" aca="1" ref="F26" ca="1">INDEX(sys_DataFlat_LU_Grid,$B26,F$13)</f>
        <v>1202</v>
      </c>
      <c r="G26" cm="1">
        <f t="array" aca="1" ref="G26" ca="1">INDEX(sys_DataFlat_LU_Grid,$B26,G$13)</f>
        <v>1203</v>
      </c>
      <c r="H26" cm="1">
        <f t="array" aca="1" ref="H26" ca="1">INDEX(sys_DataFlat_LU_Grid,$B26,H$13)</f>
        <v>1204</v>
      </c>
      <c r="I26" cm="1">
        <f t="array" aca="1" ref="I26" ca="1">INDEX(sys_DataFlat_LU_Grid,$B26,I$13)</f>
        <v>1205</v>
      </c>
      <c r="J26" cm="1">
        <f t="array" aca="1" ref="J26" ca="1">INDEX(sys_DataFlat_LU_Grid,$B26,J$13)</f>
        <v>1206</v>
      </c>
      <c r="K26" cm="1">
        <f t="array" aca="1" ref="K26" ca="1">INDEX(sys_DataFlat_LU_Grid,$B26,K$13)</f>
        <v>1207</v>
      </c>
      <c r="L26" cm="1">
        <f t="array" aca="1" ref="L26" ca="1">INDEX(sys_DataFlat_LU_Grid,$B26,L$13)</f>
        <v>1208</v>
      </c>
      <c r="M26" cm="1">
        <f t="array" aca="1" ref="M26" ca="1">INDEX(sys_DataFlat_LU_Grid,$B26,M$13)</f>
        <v>1209</v>
      </c>
      <c r="N26" cm="1">
        <f t="array" aca="1" ref="N26" ca="1">INDEX(sys_DataFlat_LU_Grid,$B26,N$13)</f>
        <v>1210</v>
      </c>
      <c r="O26" cm="1">
        <f t="array" aca="1" ref="O26" ca="1">INDEX(sys_DataFlat_LU_Grid,$B26,O$13)</f>
        <v>1211</v>
      </c>
      <c r="P26" cm="1">
        <f t="array" aca="1" ref="P26" ca="1">INDEX(sys_DataFlat_LU_Grid,$B26,P$13)</f>
        <v>1212</v>
      </c>
      <c r="Q26" cm="1">
        <f t="array" aca="1" ref="Q26" ca="1">INDEX(sys_DataFlat_LU_Grid,$B26,Q$13)</f>
        <v>1213</v>
      </c>
      <c r="R26" cm="1">
        <f t="array" aca="1" ref="R26" ca="1">INDEX(sys_DataFlat_LU_Grid,$B26,R$13)</f>
        <v>1214</v>
      </c>
      <c r="S26" cm="1">
        <f t="array" aca="1" ref="S26" ca="1">INDEX(sys_DataFlat_LU_Grid,$B26,S$13)</f>
        <v>1215</v>
      </c>
    </row>
    <row r="27" spans="1:19" x14ac:dyDescent="0.4">
      <c r="A27">
        <v>14</v>
      </c>
      <c r="B27" cm="1">
        <f t="array" aca="1" ref="B27" ca="1">INDEX(OFFSET(auto_ss_HighLevel,0,1,300,1),A27)</f>
        <v>22</v>
      </c>
      <c r="C27" t="str" cm="1">
        <f t="array" aca="1" ref="C27" ca="1">IF(B27=0,1,INDEX(auto_Series_Code,B27))</f>
        <v>DOMAIN_003</v>
      </c>
      <c r="D27" t="str" cm="1">
        <f t="array" aca="1" ref="D27" ca="1">IF(B27=0,1,INDEX(auto_Series_NameNumbered,B27))</f>
        <v>3) HEALTH RISKS</v>
      </c>
      <c r="E27" cm="1">
        <f t="array" aca="1" ref="E27" ca="1">INDEX(sys_DataFlat_LU_Grid,$B27,E$13)</f>
        <v>1261</v>
      </c>
      <c r="F27" cm="1">
        <f t="array" aca="1" ref="F27" ca="1">INDEX(sys_DataFlat_LU_Grid,$B27,F$13)</f>
        <v>1262</v>
      </c>
      <c r="G27" cm="1">
        <f t="array" aca="1" ref="G27" ca="1">INDEX(sys_DataFlat_LU_Grid,$B27,G$13)</f>
        <v>1263</v>
      </c>
      <c r="H27" cm="1">
        <f t="array" aca="1" ref="H27" ca="1">INDEX(sys_DataFlat_LU_Grid,$B27,H$13)</f>
        <v>1264</v>
      </c>
      <c r="I27" cm="1">
        <f t="array" aca="1" ref="I27" ca="1">INDEX(sys_DataFlat_LU_Grid,$B27,I$13)</f>
        <v>1265</v>
      </c>
      <c r="J27" cm="1">
        <f t="array" aca="1" ref="J27" ca="1">INDEX(sys_DataFlat_LU_Grid,$B27,J$13)</f>
        <v>1266</v>
      </c>
      <c r="K27" cm="1">
        <f t="array" aca="1" ref="K27" ca="1">INDEX(sys_DataFlat_LU_Grid,$B27,K$13)</f>
        <v>1267</v>
      </c>
      <c r="L27" cm="1">
        <f t="array" aca="1" ref="L27" ca="1">INDEX(sys_DataFlat_LU_Grid,$B27,L$13)</f>
        <v>1268</v>
      </c>
      <c r="M27" cm="1">
        <f t="array" aca="1" ref="M27" ca="1">INDEX(sys_DataFlat_LU_Grid,$B27,M$13)</f>
        <v>1269</v>
      </c>
      <c r="N27" cm="1">
        <f t="array" aca="1" ref="N27" ca="1">INDEX(sys_DataFlat_LU_Grid,$B27,N$13)</f>
        <v>1270</v>
      </c>
      <c r="O27" cm="1">
        <f t="array" aca="1" ref="O27" ca="1">INDEX(sys_DataFlat_LU_Grid,$B27,O$13)</f>
        <v>1271</v>
      </c>
      <c r="P27" cm="1">
        <f t="array" aca="1" ref="P27" ca="1">INDEX(sys_DataFlat_LU_Grid,$B27,P$13)</f>
        <v>1272</v>
      </c>
      <c r="Q27" cm="1">
        <f t="array" aca="1" ref="Q27" ca="1">INDEX(sys_DataFlat_LU_Grid,$B27,Q$13)</f>
        <v>1273</v>
      </c>
      <c r="R27" cm="1">
        <f t="array" aca="1" ref="R27" ca="1">INDEX(sys_DataFlat_LU_Grid,$B27,R$13)</f>
        <v>1274</v>
      </c>
      <c r="S27" cm="1">
        <f t="array" aca="1" ref="S27" ca="1">INDEX(sys_DataFlat_LU_Grid,$B27,S$13)</f>
        <v>1275</v>
      </c>
    </row>
    <row r="28" spans="1:19" x14ac:dyDescent="0.4">
      <c r="A28">
        <v>15</v>
      </c>
      <c r="B28" cm="1">
        <f t="array" aca="1" ref="B28" ca="1">INDEX(OFFSET(auto_ss_HighLevel,0,1,300,1),A28)</f>
        <v>23</v>
      </c>
      <c r="C28" t="str" cm="1">
        <f t="array" aca="1" ref="C28" ca="1">IF(B28=0,1,INDEX(auto_Series_Code,B28))</f>
        <v>INDI_011</v>
      </c>
      <c r="D28" t="str" cm="1">
        <f t="array" aca="1" ref="D28" ca="1">IF(B28=0,1,INDEX(auto_Series_NameNumbered,B28))</f>
        <v>3.1) Tobacco use</v>
      </c>
      <c r="E28" cm="1">
        <f t="array" aca="1" ref="E28" ca="1">INDEX(sys_DataFlat_LU_Grid,$B28,E$13)</f>
        <v>1321</v>
      </c>
      <c r="F28" cm="1">
        <f t="array" aca="1" ref="F28" ca="1">INDEX(sys_DataFlat_LU_Grid,$B28,F$13)</f>
        <v>1322</v>
      </c>
      <c r="G28" cm="1">
        <f t="array" aca="1" ref="G28" ca="1">INDEX(sys_DataFlat_LU_Grid,$B28,G$13)</f>
        <v>1323</v>
      </c>
      <c r="H28" cm="1">
        <f t="array" aca="1" ref="H28" ca="1">INDEX(sys_DataFlat_LU_Grid,$B28,H$13)</f>
        <v>1324</v>
      </c>
      <c r="I28" cm="1">
        <f t="array" aca="1" ref="I28" ca="1">INDEX(sys_DataFlat_LU_Grid,$B28,I$13)</f>
        <v>1325</v>
      </c>
      <c r="J28" cm="1">
        <f t="array" aca="1" ref="J28" ca="1">INDEX(sys_DataFlat_LU_Grid,$B28,J$13)</f>
        <v>1326</v>
      </c>
      <c r="K28" cm="1">
        <f t="array" aca="1" ref="K28" ca="1">INDEX(sys_DataFlat_LU_Grid,$B28,K$13)</f>
        <v>1327</v>
      </c>
      <c r="L28" cm="1">
        <f t="array" aca="1" ref="L28" ca="1">INDEX(sys_DataFlat_LU_Grid,$B28,L$13)</f>
        <v>1328</v>
      </c>
      <c r="M28" cm="1">
        <f t="array" aca="1" ref="M28" ca="1">INDEX(sys_DataFlat_LU_Grid,$B28,M$13)</f>
        <v>1329</v>
      </c>
      <c r="N28" cm="1">
        <f t="array" aca="1" ref="N28" ca="1">INDEX(sys_DataFlat_LU_Grid,$B28,N$13)</f>
        <v>1330</v>
      </c>
      <c r="O28" cm="1">
        <f t="array" aca="1" ref="O28" ca="1">INDEX(sys_DataFlat_LU_Grid,$B28,O$13)</f>
        <v>1331</v>
      </c>
      <c r="P28" cm="1">
        <f t="array" aca="1" ref="P28" ca="1">INDEX(sys_DataFlat_LU_Grid,$B28,P$13)</f>
        <v>1332</v>
      </c>
      <c r="Q28" cm="1">
        <f t="array" aca="1" ref="Q28" ca="1">INDEX(sys_DataFlat_LU_Grid,$B28,Q$13)</f>
        <v>1333</v>
      </c>
      <c r="R28" cm="1">
        <f t="array" aca="1" ref="R28" ca="1">INDEX(sys_DataFlat_LU_Grid,$B28,R$13)</f>
        <v>1334</v>
      </c>
      <c r="S28" cm="1">
        <f t="array" aca="1" ref="S28" ca="1">INDEX(sys_DataFlat_LU_Grid,$B28,S$13)</f>
        <v>1335</v>
      </c>
    </row>
    <row r="29" spans="1:19" x14ac:dyDescent="0.4">
      <c r="A29">
        <v>16</v>
      </c>
      <c r="B29" cm="1">
        <f t="array" aca="1" ref="B29" ca="1">INDEX(OFFSET(auto_ss_HighLevel,0,1,300,1),A29)</f>
        <v>26</v>
      </c>
      <c r="C29" t="str" cm="1">
        <f t="array" aca="1" ref="C29" ca="1">IF(B29=0,1,INDEX(auto_Series_Code,B29))</f>
        <v>INDI_012</v>
      </c>
      <c r="D29" t="str" cm="1">
        <f t="array" aca="1" ref="D29" ca="1">IF(B29=0,1,INDEX(auto_Series_NameNumbered,B29))</f>
        <v>3.2) Vegetable consumption</v>
      </c>
      <c r="E29" cm="1">
        <f t="array" aca="1" ref="E29" ca="1">INDEX(sys_DataFlat_LU_Grid,$B29,E$13)</f>
        <v>1501</v>
      </c>
      <c r="F29" cm="1">
        <f t="array" aca="1" ref="F29" ca="1">INDEX(sys_DataFlat_LU_Grid,$B29,F$13)</f>
        <v>1502</v>
      </c>
      <c r="G29" cm="1">
        <f t="array" aca="1" ref="G29" ca="1">INDEX(sys_DataFlat_LU_Grid,$B29,G$13)</f>
        <v>1503</v>
      </c>
      <c r="H29" cm="1">
        <f t="array" aca="1" ref="H29" ca="1">INDEX(sys_DataFlat_LU_Grid,$B29,H$13)</f>
        <v>1504</v>
      </c>
      <c r="I29" cm="1">
        <f t="array" aca="1" ref="I29" ca="1">INDEX(sys_DataFlat_LU_Grid,$B29,I$13)</f>
        <v>1505</v>
      </c>
      <c r="J29" cm="1">
        <f t="array" aca="1" ref="J29" ca="1">INDEX(sys_DataFlat_LU_Grid,$B29,J$13)</f>
        <v>1506</v>
      </c>
      <c r="K29" cm="1">
        <f t="array" aca="1" ref="K29" ca="1">INDEX(sys_DataFlat_LU_Grid,$B29,K$13)</f>
        <v>1507</v>
      </c>
      <c r="L29" cm="1">
        <f t="array" aca="1" ref="L29" ca="1">INDEX(sys_DataFlat_LU_Grid,$B29,L$13)</f>
        <v>1508</v>
      </c>
      <c r="M29" cm="1">
        <f t="array" aca="1" ref="M29" ca="1">INDEX(sys_DataFlat_LU_Grid,$B29,M$13)</f>
        <v>1509</v>
      </c>
      <c r="N29" cm="1">
        <f t="array" aca="1" ref="N29" ca="1">INDEX(sys_DataFlat_LU_Grid,$B29,N$13)</f>
        <v>1510</v>
      </c>
      <c r="O29" cm="1">
        <f t="array" aca="1" ref="O29" ca="1">INDEX(sys_DataFlat_LU_Grid,$B29,O$13)</f>
        <v>1511</v>
      </c>
      <c r="P29" cm="1">
        <f t="array" aca="1" ref="P29" ca="1">INDEX(sys_DataFlat_LU_Grid,$B29,P$13)</f>
        <v>1512</v>
      </c>
      <c r="Q29" cm="1">
        <f t="array" aca="1" ref="Q29" ca="1">INDEX(sys_DataFlat_LU_Grid,$B29,Q$13)</f>
        <v>1513</v>
      </c>
      <c r="R29" cm="1">
        <f t="array" aca="1" ref="R29" ca="1">INDEX(sys_DataFlat_LU_Grid,$B29,R$13)</f>
        <v>1514</v>
      </c>
      <c r="S29" cm="1">
        <f t="array" aca="1" ref="S29" ca="1">INDEX(sys_DataFlat_LU_Grid,$B29,S$13)</f>
        <v>1515</v>
      </c>
    </row>
    <row r="30" spans="1:19" x14ac:dyDescent="0.4">
      <c r="A30">
        <v>17</v>
      </c>
      <c r="B30" cm="1">
        <f t="array" aca="1" ref="B30" ca="1">INDEX(OFFSET(auto_ss_HighLevel,0,1,300,1),A30)</f>
        <v>29</v>
      </c>
      <c r="C30" t="str" cm="1">
        <f t="array" aca="1" ref="C30" ca="1">IF(B30=0,1,INDEX(auto_Series_Code,B30))</f>
        <v>INDI_013</v>
      </c>
      <c r="D30" t="str" cm="1">
        <f t="array" aca="1" ref="D30" ca="1">IF(B30=0,1,INDEX(auto_Series_NameNumbered,B30))</f>
        <v>3.3) Trans fats consumption</v>
      </c>
      <c r="E30" cm="1">
        <f t="array" aca="1" ref="E30" ca="1">INDEX(sys_DataFlat_LU_Grid,$B30,E$13)</f>
        <v>1681</v>
      </c>
      <c r="F30" cm="1">
        <f t="array" aca="1" ref="F30" ca="1">INDEX(sys_DataFlat_LU_Grid,$B30,F$13)</f>
        <v>1682</v>
      </c>
      <c r="G30" cm="1">
        <f t="array" aca="1" ref="G30" ca="1">INDEX(sys_DataFlat_LU_Grid,$B30,G$13)</f>
        <v>1683</v>
      </c>
      <c r="H30" cm="1">
        <f t="array" aca="1" ref="H30" ca="1">INDEX(sys_DataFlat_LU_Grid,$B30,H$13)</f>
        <v>1684</v>
      </c>
      <c r="I30" cm="1">
        <f t="array" aca="1" ref="I30" ca="1">INDEX(sys_DataFlat_LU_Grid,$B30,I$13)</f>
        <v>1685</v>
      </c>
      <c r="J30" cm="1">
        <f t="array" aca="1" ref="J30" ca="1">INDEX(sys_DataFlat_LU_Grid,$B30,J$13)</f>
        <v>1686</v>
      </c>
      <c r="K30" cm="1">
        <f t="array" aca="1" ref="K30" ca="1">INDEX(sys_DataFlat_LU_Grid,$B30,K$13)</f>
        <v>1687</v>
      </c>
      <c r="L30" cm="1">
        <f t="array" aca="1" ref="L30" ca="1">INDEX(sys_DataFlat_LU_Grid,$B30,L$13)</f>
        <v>1688</v>
      </c>
      <c r="M30" cm="1">
        <f t="array" aca="1" ref="M30" ca="1">INDEX(sys_DataFlat_LU_Grid,$B30,M$13)</f>
        <v>1689</v>
      </c>
      <c r="N30" cm="1">
        <f t="array" aca="1" ref="N30" ca="1">INDEX(sys_DataFlat_LU_Grid,$B30,N$13)</f>
        <v>1690</v>
      </c>
      <c r="O30" cm="1">
        <f t="array" aca="1" ref="O30" ca="1">INDEX(sys_DataFlat_LU_Grid,$B30,O$13)</f>
        <v>1691</v>
      </c>
      <c r="P30" cm="1">
        <f t="array" aca="1" ref="P30" ca="1">INDEX(sys_DataFlat_LU_Grid,$B30,P$13)</f>
        <v>1692</v>
      </c>
      <c r="Q30" cm="1">
        <f t="array" aca="1" ref="Q30" ca="1">INDEX(sys_DataFlat_LU_Grid,$B30,Q$13)</f>
        <v>1693</v>
      </c>
      <c r="R30" cm="1">
        <f t="array" aca="1" ref="R30" ca="1">INDEX(sys_DataFlat_LU_Grid,$B30,R$13)</f>
        <v>1694</v>
      </c>
      <c r="S30" cm="1">
        <f t="array" aca="1" ref="S30" ca="1">INDEX(sys_DataFlat_LU_Grid,$B30,S$13)</f>
        <v>1695</v>
      </c>
    </row>
    <row r="31" spans="1:19" x14ac:dyDescent="0.4">
      <c r="A31">
        <v>18</v>
      </c>
      <c r="B31" cm="1">
        <f t="array" aca="1" ref="B31" ca="1">INDEX(OFFSET(auto_ss_HighLevel,0,1,300,1),A31)</f>
        <v>32</v>
      </c>
      <c r="C31" t="str" cm="1">
        <f t="array" aca="1" ref="C31" ca="1">IF(B31=0,1,INDEX(auto_Series_Code,B31))</f>
        <v>INDI_014</v>
      </c>
      <c r="D31" t="str" cm="1">
        <f t="array" aca="1" ref="D31" ca="1">IF(B31=0,1,INDEX(auto_Series_NameNumbered,B31))</f>
        <v>3.4) Physical activity</v>
      </c>
      <c r="E31" cm="1">
        <f t="array" aca="1" ref="E31" ca="1">INDEX(sys_DataFlat_LU_Grid,$B31,E$13)</f>
        <v>1861</v>
      </c>
      <c r="F31" cm="1">
        <f t="array" aca="1" ref="F31" ca="1">INDEX(sys_DataFlat_LU_Grid,$B31,F$13)</f>
        <v>1862</v>
      </c>
      <c r="G31" cm="1">
        <f t="array" aca="1" ref="G31" ca="1">INDEX(sys_DataFlat_LU_Grid,$B31,G$13)</f>
        <v>1863</v>
      </c>
      <c r="H31" cm="1">
        <f t="array" aca="1" ref="H31" ca="1">INDEX(sys_DataFlat_LU_Grid,$B31,H$13)</f>
        <v>1864</v>
      </c>
      <c r="I31" cm="1">
        <f t="array" aca="1" ref="I31" ca="1">INDEX(sys_DataFlat_LU_Grid,$B31,I$13)</f>
        <v>1865</v>
      </c>
      <c r="J31" cm="1">
        <f t="array" aca="1" ref="J31" ca="1">INDEX(sys_DataFlat_LU_Grid,$B31,J$13)</f>
        <v>1866</v>
      </c>
      <c r="K31" cm="1">
        <f t="array" aca="1" ref="K31" ca="1">INDEX(sys_DataFlat_LU_Grid,$B31,K$13)</f>
        <v>1867</v>
      </c>
      <c r="L31" cm="1">
        <f t="array" aca="1" ref="L31" ca="1">INDEX(sys_DataFlat_LU_Grid,$B31,L$13)</f>
        <v>1868</v>
      </c>
      <c r="M31" cm="1">
        <f t="array" aca="1" ref="M31" ca="1">INDEX(sys_DataFlat_LU_Grid,$B31,M$13)</f>
        <v>1869</v>
      </c>
      <c r="N31" cm="1">
        <f t="array" aca="1" ref="N31" ca="1">INDEX(sys_DataFlat_LU_Grid,$B31,N$13)</f>
        <v>1870</v>
      </c>
      <c r="O31" cm="1">
        <f t="array" aca="1" ref="O31" ca="1">INDEX(sys_DataFlat_LU_Grid,$B31,O$13)</f>
        <v>1871</v>
      </c>
      <c r="P31" cm="1">
        <f t="array" aca="1" ref="P31" ca="1">INDEX(sys_DataFlat_LU_Grid,$B31,P$13)</f>
        <v>1872</v>
      </c>
      <c r="Q31" cm="1">
        <f t="array" aca="1" ref="Q31" ca="1">INDEX(sys_DataFlat_LU_Grid,$B31,Q$13)</f>
        <v>1873</v>
      </c>
      <c r="R31" cm="1">
        <f t="array" aca="1" ref="R31" ca="1">INDEX(sys_DataFlat_LU_Grid,$B31,R$13)</f>
        <v>1874</v>
      </c>
      <c r="S31" cm="1">
        <f t="array" aca="1" ref="S31" ca="1">INDEX(sys_DataFlat_LU_Grid,$B31,S$13)</f>
        <v>1875</v>
      </c>
    </row>
    <row r="32" spans="1:19" x14ac:dyDescent="0.4">
      <c r="A32">
        <v>19</v>
      </c>
      <c r="B32" cm="1">
        <f t="array" aca="1" ref="B32" ca="1">INDEX(OFFSET(auto_ss_HighLevel,0,1,300,1),A32)</f>
        <v>35</v>
      </c>
      <c r="C32" t="str" cm="1">
        <f t="array" aca="1" ref="C32" ca="1">IF(B32=0,1,INDEX(auto_Series_Code,B32))</f>
        <v>INDI_015</v>
      </c>
      <c r="D32" t="str" cm="1">
        <f t="array" aca="1" ref="D32" ca="1">IF(B32=0,1,INDEX(auto_Series_NameNumbered,B32))</f>
        <v>3.5) Hypertension</v>
      </c>
      <c r="E32" cm="1">
        <f t="array" aca="1" ref="E32" ca="1">INDEX(sys_DataFlat_LU_Grid,$B32,E$13)</f>
        <v>2041</v>
      </c>
      <c r="F32" cm="1">
        <f t="array" aca="1" ref="F32" ca="1">INDEX(sys_DataFlat_LU_Grid,$B32,F$13)</f>
        <v>2042</v>
      </c>
      <c r="G32" cm="1">
        <f t="array" aca="1" ref="G32" ca="1">INDEX(sys_DataFlat_LU_Grid,$B32,G$13)</f>
        <v>2043</v>
      </c>
      <c r="H32" cm="1">
        <f t="array" aca="1" ref="H32" ca="1">INDEX(sys_DataFlat_LU_Grid,$B32,H$13)</f>
        <v>2044</v>
      </c>
      <c r="I32" cm="1">
        <f t="array" aca="1" ref="I32" ca="1">INDEX(sys_DataFlat_LU_Grid,$B32,I$13)</f>
        <v>2045</v>
      </c>
      <c r="J32" cm="1">
        <f t="array" aca="1" ref="J32" ca="1">INDEX(sys_DataFlat_LU_Grid,$B32,J$13)</f>
        <v>2046</v>
      </c>
      <c r="K32" cm="1">
        <f t="array" aca="1" ref="K32" ca="1">INDEX(sys_DataFlat_LU_Grid,$B32,K$13)</f>
        <v>2047</v>
      </c>
      <c r="L32" cm="1">
        <f t="array" aca="1" ref="L32" ca="1">INDEX(sys_DataFlat_LU_Grid,$B32,L$13)</f>
        <v>2048</v>
      </c>
      <c r="M32" cm="1">
        <f t="array" aca="1" ref="M32" ca="1">INDEX(sys_DataFlat_LU_Grid,$B32,M$13)</f>
        <v>2049</v>
      </c>
      <c r="N32" cm="1">
        <f t="array" aca="1" ref="N32" ca="1">INDEX(sys_DataFlat_LU_Grid,$B32,N$13)</f>
        <v>2050</v>
      </c>
      <c r="O32" cm="1">
        <f t="array" aca="1" ref="O32" ca="1">INDEX(sys_DataFlat_LU_Grid,$B32,O$13)</f>
        <v>2051</v>
      </c>
      <c r="P32" cm="1">
        <f t="array" aca="1" ref="P32" ca="1">INDEX(sys_DataFlat_LU_Grid,$B32,P$13)</f>
        <v>2052</v>
      </c>
      <c r="Q32" cm="1">
        <f t="array" aca="1" ref="Q32" ca="1">INDEX(sys_DataFlat_LU_Grid,$B32,Q$13)</f>
        <v>2053</v>
      </c>
      <c r="R32" cm="1">
        <f t="array" aca="1" ref="R32" ca="1">INDEX(sys_DataFlat_LU_Grid,$B32,R$13)</f>
        <v>2054</v>
      </c>
      <c r="S32" cm="1">
        <f t="array" aca="1" ref="S32" ca="1">INDEX(sys_DataFlat_LU_Grid,$B32,S$13)</f>
        <v>2055</v>
      </c>
    </row>
    <row r="33" spans="1:19" x14ac:dyDescent="0.4">
      <c r="A33">
        <v>20</v>
      </c>
      <c r="B33" cm="1">
        <f t="array" aca="1" ref="B33" ca="1">INDEX(OFFSET(auto_ss_HighLevel,0,1,300,1),A33)</f>
        <v>38</v>
      </c>
      <c r="C33" t="str" cm="1">
        <f t="array" aca="1" ref="C33" ca="1">IF(B33=0,1,INDEX(auto_Series_Code,B33))</f>
        <v>INDI_016</v>
      </c>
      <c r="D33" t="str" cm="1">
        <f t="array" aca="1" ref="D33" ca="1">IF(B33=0,1,INDEX(auto_Series_NameNumbered,B33))</f>
        <v>3.6) Diabetes</v>
      </c>
      <c r="E33" cm="1">
        <f t="array" aca="1" ref="E33" ca="1">INDEX(sys_DataFlat_LU_Grid,$B33,E$13)</f>
        <v>2221</v>
      </c>
      <c r="F33" cm="1">
        <f t="array" aca="1" ref="F33" ca="1">INDEX(sys_DataFlat_LU_Grid,$B33,F$13)</f>
        <v>2222</v>
      </c>
      <c r="G33" cm="1">
        <f t="array" aca="1" ref="G33" ca="1">INDEX(sys_DataFlat_LU_Grid,$B33,G$13)</f>
        <v>2223</v>
      </c>
      <c r="H33" cm="1">
        <f t="array" aca="1" ref="H33" ca="1">INDEX(sys_DataFlat_LU_Grid,$B33,H$13)</f>
        <v>2224</v>
      </c>
      <c r="I33" cm="1">
        <f t="array" aca="1" ref="I33" ca="1">INDEX(sys_DataFlat_LU_Grid,$B33,I$13)</f>
        <v>2225</v>
      </c>
      <c r="J33" cm="1">
        <f t="array" aca="1" ref="J33" ca="1">INDEX(sys_DataFlat_LU_Grid,$B33,J$13)</f>
        <v>2226</v>
      </c>
      <c r="K33" cm="1">
        <f t="array" aca="1" ref="K33" ca="1">INDEX(sys_DataFlat_LU_Grid,$B33,K$13)</f>
        <v>2227</v>
      </c>
      <c r="L33" cm="1">
        <f t="array" aca="1" ref="L33" ca="1">INDEX(sys_DataFlat_LU_Grid,$B33,L$13)</f>
        <v>2228</v>
      </c>
      <c r="M33" cm="1">
        <f t="array" aca="1" ref="M33" ca="1">INDEX(sys_DataFlat_LU_Grid,$B33,M$13)</f>
        <v>2229</v>
      </c>
      <c r="N33" cm="1">
        <f t="array" aca="1" ref="N33" ca="1">INDEX(sys_DataFlat_LU_Grid,$B33,N$13)</f>
        <v>2230</v>
      </c>
      <c r="O33" cm="1">
        <f t="array" aca="1" ref="O33" ca="1">INDEX(sys_DataFlat_LU_Grid,$B33,O$13)</f>
        <v>2231</v>
      </c>
      <c r="P33" cm="1">
        <f t="array" aca="1" ref="P33" ca="1">INDEX(sys_DataFlat_LU_Grid,$B33,P$13)</f>
        <v>2232</v>
      </c>
      <c r="Q33" cm="1">
        <f t="array" aca="1" ref="Q33" ca="1">INDEX(sys_DataFlat_LU_Grid,$B33,Q$13)</f>
        <v>2233</v>
      </c>
      <c r="R33" cm="1">
        <f t="array" aca="1" ref="R33" ca="1">INDEX(sys_DataFlat_LU_Grid,$B33,R$13)</f>
        <v>2234</v>
      </c>
      <c r="S33" cm="1">
        <f t="array" aca="1" ref="S33" ca="1">INDEX(sys_DataFlat_LU_Grid,$B33,S$13)</f>
        <v>2235</v>
      </c>
    </row>
    <row r="34" spans="1:19" x14ac:dyDescent="0.4">
      <c r="A34">
        <v>21</v>
      </c>
      <c r="B34" cm="1">
        <f t="array" aca="1" ref="B34" ca="1">INDEX(OFFSET(auto_ss_HighLevel,0,1,300,1),A34)</f>
        <v>41</v>
      </c>
      <c r="C34" t="str" cm="1">
        <f t="array" aca="1" ref="C34" ca="1">IF(B34=0,1,INDEX(auto_Series_Code,B34))</f>
        <v>INDI_017</v>
      </c>
      <c r="D34" t="str" cm="1">
        <f t="array" aca="1" ref="D34" ca="1">IF(B34=0,1,INDEX(auto_Series_NameNumbered,B34))</f>
        <v>3.7) Obesity</v>
      </c>
      <c r="E34" cm="1">
        <f t="array" aca="1" ref="E34" ca="1">INDEX(sys_DataFlat_LU_Grid,$B34,E$13)</f>
        <v>2401</v>
      </c>
      <c r="F34" cm="1">
        <f t="array" aca="1" ref="F34" ca="1">INDEX(sys_DataFlat_LU_Grid,$B34,F$13)</f>
        <v>2402</v>
      </c>
      <c r="G34" cm="1">
        <f t="array" aca="1" ref="G34" ca="1">INDEX(sys_DataFlat_LU_Grid,$B34,G$13)</f>
        <v>2403</v>
      </c>
      <c r="H34" cm="1">
        <f t="array" aca="1" ref="H34" ca="1">INDEX(sys_DataFlat_LU_Grid,$B34,H$13)</f>
        <v>2404</v>
      </c>
      <c r="I34" cm="1">
        <f t="array" aca="1" ref="I34" ca="1">INDEX(sys_DataFlat_LU_Grid,$B34,I$13)</f>
        <v>2405</v>
      </c>
      <c r="J34" cm="1">
        <f t="array" aca="1" ref="J34" ca="1">INDEX(sys_DataFlat_LU_Grid,$B34,J$13)</f>
        <v>2406</v>
      </c>
      <c r="K34" cm="1">
        <f t="array" aca="1" ref="K34" ca="1">INDEX(sys_DataFlat_LU_Grid,$B34,K$13)</f>
        <v>2407</v>
      </c>
      <c r="L34" cm="1">
        <f t="array" aca="1" ref="L34" ca="1">INDEX(sys_DataFlat_LU_Grid,$B34,L$13)</f>
        <v>2408</v>
      </c>
      <c r="M34" cm="1">
        <f t="array" aca="1" ref="M34" ca="1">INDEX(sys_DataFlat_LU_Grid,$B34,M$13)</f>
        <v>2409</v>
      </c>
      <c r="N34" cm="1">
        <f t="array" aca="1" ref="N34" ca="1">INDEX(sys_DataFlat_LU_Grid,$B34,N$13)</f>
        <v>2410</v>
      </c>
      <c r="O34" cm="1">
        <f t="array" aca="1" ref="O34" ca="1">INDEX(sys_DataFlat_LU_Grid,$B34,O$13)</f>
        <v>2411</v>
      </c>
      <c r="P34" cm="1">
        <f t="array" aca="1" ref="P34" ca="1">INDEX(sys_DataFlat_LU_Grid,$B34,P$13)</f>
        <v>2412</v>
      </c>
      <c r="Q34" cm="1">
        <f t="array" aca="1" ref="Q34" ca="1">INDEX(sys_DataFlat_LU_Grid,$B34,Q$13)</f>
        <v>2413</v>
      </c>
      <c r="R34" cm="1">
        <f t="array" aca="1" ref="R34" ca="1">INDEX(sys_DataFlat_LU_Grid,$B34,R$13)</f>
        <v>2414</v>
      </c>
      <c r="S34" cm="1">
        <f t="array" aca="1" ref="S34" ca="1">INDEX(sys_DataFlat_LU_Grid,$B34,S$13)</f>
        <v>2415</v>
      </c>
    </row>
    <row r="35" spans="1:19" x14ac:dyDescent="0.4">
      <c r="A35">
        <v>22</v>
      </c>
      <c r="B35" cm="1">
        <f t="array" aca="1" ref="B35" ca="1">INDEX(OFFSET(auto_ss_HighLevel,0,1,300,1),A35)</f>
        <v>44</v>
      </c>
      <c r="C35" t="str" cm="1">
        <f t="array" aca="1" ref="C35" ca="1">IF(B35=0,1,INDEX(auto_Series_Code,B35))</f>
        <v>INDI_018</v>
      </c>
      <c r="D35" t="str" cm="1">
        <f t="array" aca="1" ref="D35" ca="1">IF(B35=0,1,INDEX(auto_Series_NameNumbered,B35))</f>
        <v>3.8) Cholesterol</v>
      </c>
      <c r="E35" cm="1">
        <f t="array" aca="1" ref="E35" ca="1">INDEX(sys_DataFlat_LU_Grid,$B35,E$13)</f>
        <v>2581</v>
      </c>
      <c r="F35" cm="1">
        <f t="array" aca="1" ref="F35" ca="1">INDEX(sys_DataFlat_LU_Grid,$B35,F$13)</f>
        <v>2582</v>
      </c>
      <c r="G35" cm="1">
        <f t="array" aca="1" ref="G35" ca="1">INDEX(sys_DataFlat_LU_Grid,$B35,G$13)</f>
        <v>2583</v>
      </c>
      <c r="H35" cm="1">
        <f t="array" aca="1" ref="H35" ca="1">INDEX(sys_DataFlat_LU_Grid,$B35,H$13)</f>
        <v>2584</v>
      </c>
      <c r="I35" cm="1">
        <f t="array" aca="1" ref="I35" ca="1">INDEX(sys_DataFlat_LU_Grid,$B35,I$13)</f>
        <v>2585</v>
      </c>
      <c r="J35" cm="1">
        <f t="array" aca="1" ref="J35" ca="1">INDEX(sys_DataFlat_LU_Grid,$B35,J$13)</f>
        <v>2586</v>
      </c>
      <c r="K35" cm="1">
        <f t="array" aca="1" ref="K35" ca="1">INDEX(sys_DataFlat_LU_Grid,$B35,K$13)</f>
        <v>2587</v>
      </c>
      <c r="L35" cm="1">
        <f t="array" aca="1" ref="L35" ca="1">INDEX(sys_DataFlat_LU_Grid,$B35,L$13)</f>
        <v>2588</v>
      </c>
      <c r="M35" cm="1">
        <f t="array" aca="1" ref="M35" ca="1">INDEX(sys_DataFlat_LU_Grid,$B35,M$13)</f>
        <v>2589</v>
      </c>
      <c r="N35" cm="1">
        <f t="array" aca="1" ref="N35" ca="1">INDEX(sys_DataFlat_LU_Grid,$B35,N$13)</f>
        <v>2590</v>
      </c>
      <c r="O35" cm="1">
        <f t="array" aca="1" ref="O35" ca="1">INDEX(sys_DataFlat_LU_Grid,$B35,O$13)</f>
        <v>2591</v>
      </c>
      <c r="P35" cm="1">
        <f t="array" aca="1" ref="P35" ca="1">INDEX(sys_DataFlat_LU_Grid,$B35,P$13)</f>
        <v>2592</v>
      </c>
      <c r="Q35" cm="1">
        <f t="array" aca="1" ref="Q35" ca="1">INDEX(sys_DataFlat_LU_Grid,$B35,Q$13)</f>
        <v>2593</v>
      </c>
      <c r="R35" cm="1">
        <f t="array" aca="1" ref="R35" ca="1">INDEX(sys_DataFlat_LU_Grid,$B35,R$13)</f>
        <v>2594</v>
      </c>
      <c r="S35" cm="1">
        <f t="array" aca="1" ref="S35" ca="1">INDEX(sys_DataFlat_LU_Grid,$B35,S$13)</f>
        <v>2595</v>
      </c>
    </row>
    <row r="36" spans="1:19" x14ac:dyDescent="0.4">
      <c r="A36">
        <v>23</v>
      </c>
      <c r="B36" cm="1">
        <f t="array" aca="1" ref="B36" ca="1">INDEX(OFFSET(auto_ss_HighLevel,0,1,300,1),A36)</f>
        <v>47</v>
      </c>
      <c r="C36" t="str" cm="1">
        <f t="array" aca="1" ref="C36" ca="1">IF(B36=0,1,INDEX(auto_Series_Code,B36))</f>
        <v>DOMAIN_004</v>
      </c>
      <c r="D36" t="str" cm="1">
        <f t="array" aca="1" ref="D36" ca="1">IF(B36=0,1,INDEX(auto_Series_NameNumbered,B36))</f>
        <v>4) HEALTH SERVICES</v>
      </c>
      <c r="E36" cm="1">
        <f t="array" aca="1" ref="E36" ca="1">INDEX(sys_DataFlat_LU_Grid,$B36,E$13)</f>
        <v>2761</v>
      </c>
      <c r="F36" cm="1">
        <f t="array" aca="1" ref="F36" ca="1">INDEX(sys_DataFlat_LU_Grid,$B36,F$13)</f>
        <v>2762</v>
      </c>
      <c r="G36" cm="1">
        <f t="array" aca="1" ref="G36" ca="1">INDEX(sys_DataFlat_LU_Grid,$B36,G$13)</f>
        <v>2763</v>
      </c>
      <c r="H36" cm="1">
        <f t="array" aca="1" ref="H36" ca="1">INDEX(sys_DataFlat_LU_Grid,$B36,H$13)</f>
        <v>2764</v>
      </c>
      <c r="I36" cm="1">
        <f t="array" aca="1" ref="I36" ca="1">INDEX(sys_DataFlat_LU_Grid,$B36,I$13)</f>
        <v>2765</v>
      </c>
      <c r="J36" cm="1">
        <f t="array" aca="1" ref="J36" ca="1">INDEX(sys_DataFlat_LU_Grid,$B36,J$13)</f>
        <v>2766</v>
      </c>
      <c r="K36" cm="1">
        <f t="array" aca="1" ref="K36" ca="1">INDEX(sys_DataFlat_LU_Grid,$B36,K$13)</f>
        <v>2767</v>
      </c>
      <c r="L36" cm="1">
        <f t="array" aca="1" ref="L36" ca="1">INDEX(sys_DataFlat_LU_Grid,$B36,L$13)</f>
        <v>2768</v>
      </c>
      <c r="M36" cm="1">
        <f t="array" aca="1" ref="M36" ca="1">INDEX(sys_DataFlat_LU_Grid,$B36,M$13)</f>
        <v>2769</v>
      </c>
      <c r="N36" cm="1">
        <f t="array" aca="1" ref="N36" ca="1">INDEX(sys_DataFlat_LU_Grid,$B36,N$13)</f>
        <v>2770</v>
      </c>
      <c r="O36" cm="1">
        <f t="array" aca="1" ref="O36" ca="1">INDEX(sys_DataFlat_LU_Grid,$B36,O$13)</f>
        <v>2771</v>
      </c>
      <c r="P36" cm="1">
        <f t="array" aca="1" ref="P36" ca="1">INDEX(sys_DataFlat_LU_Grid,$B36,P$13)</f>
        <v>2772</v>
      </c>
      <c r="Q36" cm="1">
        <f t="array" aca="1" ref="Q36" ca="1">INDEX(sys_DataFlat_LU_Grid,$B36,Q$13)</f>
        <v>2773</v>
      </c>
      <c r="R36" cm="1">
        <f t="array" aca="1" ref="R36" ca="1">INDEX(sys_DataFlat_LU_Grid,$B36,R$13)</f>
        <v>2774</v>
      </c>
      <c r="S36" cm="1">
        <f t="array" aca="1" ref="S36" ca="1">INDEX(sys_DataFlat_LU_Grid,$B36,S$13)</f>
        <v>2775</v>
      </c>
    </row>
    <row r="37" spans="1:19" x14ac:dyDescent="0.4">
      <c r="A37">
        <v>24</v>
      </c>
      <c r="B37" cm="1">
        <f t="array" aca="1" ref="B37" ca="1">INDEX(OFFSET(auto_ss_HighLevel,0,1,300,1),A37)</f>
        <v>48</v>
      </c>
      <c r="C37" t="str" cm="1">
        <f t="array" aca="1" ref="C37" ca="1">IF(B37=0,1,INDEX(auto_Series_Code,B37))</f>
        <v>INDI_019</v>
      </c>
      <c r="D37" t="str" cm="1">
        <f t="array" aca="1" ref="D37" ca="1">IF(B37=0,1,INDEX(auto_Series_NameNumbered,B37))</f>
        <v>4.1) Access to medicines</v>
      </c>
      <c r="E37" cm="1">
        <f t="array" aca="1" ref="E37" ca="1">INDEX(sys_DataFlat_LU_Grid,$B37,E$13)</f>
        <v>2821</v>
      </c>
      <c r="F37" cm="1">
        <f t="array" aca="1" ref="F37" ca="1">INDEX(sys_DataFlat_LU_Grid,$B37,F$13)</f>
        <v>2822</v>
      </c>
      <c r="G37" cm="1">
        <f t="array" aca="1" ref="G37" ca="1">INDEX(sys_DataFlat_LU_Grid,$B37,G$13)</f>
        <v>2823</v>
      </c>
      <c r="H37" cm="1">
        <f t="array" aca="1" ref="H37" ca="1">INDEX(sys_DataFlat_LU_Grid,$B37,H$13)</f>
        <v>2824</v>
      </c>
      <c r="I37" cm="1">
        <f t="array" aca="1" ref="I37" ca="1">INDEX(sys_DataFlat_LU_Grid,$B37,I$13)</f>
        <v>2825</v>
      </c>
      <c r="J37" cm="1">
        <f t="array" aca="1" ref="J37" ca="1">INDEX(sys_DataFlat_LU_Grid,$B37,J$13)</f>
        <v>2826</v>
      </c>
      <c r="K37" cm="1">
        <f t="array" aca="1" ref="K37" ca="1">INDEX(sys_DataFlat_LU_Grid,$B37,K$13)</f>
        <v>2827</v>
      </c>
      <c r="L37" cm="1">
        <f t="array" aca="1" ref="L37" ca="1">INDEX(sys_DataFlat_LU_Grid,$B37,L$13)</f>
        <v>2828</v>
      </c>
      <c r="M37" cm="1">
        <f t="array" aca="1" ref="M37" ca="1">INDEX(sys_DataFlat_LU_Grid,$B37,M$13)</f>
        <v>2829</v>
      </c>
      <c r="N37" cm="1">
        <f t="array" aca="1" ref="N37" ca="1">INDEX(sys_DataFlat_LU_Grid,$B37,N$13)</f>
        <v>2830</v>
      </c>
      <c r="O37" cm="1">
        <f t="array" aca="1" ref="O37" ca="1">INDEX(sys_DataFlat_LU_Grid,$B37,O$13)</f>
        <v>2831</v>
      </c>
      <c r="P37" cm="1">
        <f t="array" aca="1" ref="P37" ca="1">INDEX(sys_DataFlat_LU_Grid,$B37,P$13)</f>
        <v>2832</v>
      </c>
      <c r="Q37" cm="1">
        <f t="array" aca="1" ref="Q37" ca="1">INDEX(sys_DataFlat_LU_Grid,$B37,Q$13)</f>
        <v>2833</v>
      </c>
      <c r="R37" cm="1">
        <f t="array" aca="1" ref="R37" ca="1">INDEX(sys_DataFlat_LU_Grid,$B37,R$13)</f>
        <v>2834</v>
      </c>
      <c r="S37" cm="1">
        <f t="array" aca="1" ref="S37" ca="1">INDEX(sys_DataFlat_LU_Grid,$B37,S$13)</f>
        <v>2835</v>
      </c>
    </row>
    <row r="38" spans="1:19" x14ac:dyDescent="0.4">
      <c r="A38">
        <v>25</v>
      </c>
      <c r="B38" cm="1">
        <f t="array" aca="1" ref="B38" ca="1">INDEX(OFFSET(auto_ss_HighLevel,0,1,300,1),A38)</f>
        <v>49</v>
      </c>
      <c r="C38" t="str" cm="1">
        <f t="array" aca="1" ref="C38" ca="1">IF(B38=0,1,INDEX(auto_Series_Code,B38))</f>
        <v>INDI_020</v>
      </c>
      <c r="D38" t="str" cm="1">
        <f t="array" aca="1" ref="D38" ca="1">IF(B38=0,1,INDEX(auto_Series_NameNumbered,B38))</f>
        <v>4.2) Hypertension diagnosis coverage</v>
      </c>
      <c r="E38" cm="1">
        <f t="array" aca="1" ref="E38" ca="1">INDEX(sys_DataFlat_LU_Grid,$B38,E$13)</f>
        <v>2881</v>
      </c>
      <c r="F38" cm="1">
        <f t="array" aca="1" ref="F38" ca="1">INDEX(sys_DataFlat_LU_Grid,$B38,F$13)</f>
        <v>2882</v>
      </c>
      <c r="G38" cm="1">
        <f t="array" aca="1" ref="G38" ca="1">INDEX(sys_DataFlat_LU_Grid,$B38,G$13)</f>
        <v>2883</v>
      </c>
      <c r="H38" cm="1">
        <f t="array" aca="1" ref="H38" ca="1">INDEX(sys_DataFlat_LU_Grid,$B38,H$13)</f>
        <v>2884</v>
      </c>
      <c r="I38" cm="1">
        <f t="array" aca="1" ref="I38" ca="1">INDEX(sys_DataFlat_LU_Grid,$B38,I$13)</f>
        <v>2885</v>
      </c>
      <c r="J38" cm="1">
        <f t="array" aca="1" ref="J38" ca="1">INDEX(sys_DataFlat_LU_Grid,$B38,J$13)</f>
        <v>2886</v>
      </c>
      <c r="K38" cm="1">
        <f t="array" aca="1" ref="K38" ca="1">INDEX(sys_DataFlat_LU_Grid,$B38,K$13)</f>
        <v>2887</v>
      </c>
      <c r="L38" cm="1">
        <f t="array" aca="1" ref="L38" ca="1">INDEX(sys_DataFlat_LU_Grid,$B38,L$13)</f>
        <v>2888</v>
      </c>
      <c r="M38" cm="1">
        <f t="array" aca="1" ref="M38" ca="1">INDEX(sys_DataFlat_LU_Grid,$B38,M$13)</f>
        <v>2889</v>
      </c>
      <c r="N38" cm="1">
        <f t="array" aca="1" ref="N38" ca="1">INDEX(sys_DataFlat_LU_Grid,$B38,N$13)</f>
        <v>2890</v>
      </c>
      <c r="O38" cm="1">
        <f t="array" aca="1" ref="O38" ca="1">INDEX(sys_DataFlat_LU_Grid,$B38,O$13)</f>
        <v>2891</v>
      </c>
      <c r="P38" cm="1">
        <f t="array" aca="1" ref="P38" ca="1">INDEX(sys_DataFlat_LU_Grid,$B38,P$13)</f>
        <v>2892</v>
      </c>
      <c r="Q38" cm="1">
        <f t="array" aca="1" ref="Q38" ca="1">INDEX(sys_DataFlat_LU_Grid,$B38,Q$13)</f>
        <v>2893</v>
      </c>
      <c r="R38" cm="1">
        <f t="array" aca="1" ref="R38" ca="1">INDEX(sys_DataFlat_LU_Grid,$B38,R$13)</f>
        <v>2894</v>
      </c>
      <c r="S38" cm="1">
        <f t="array" aca="1" ref="S38" ca="1">INDEX(sys_DataFlat_LU_Grid,$B38,S$13)</f>
        <v>2895</v>
      </c>
    </row>
    <row r="39" spans="1:19" x14ac:dyDescent="0.4">
      <c r="A39">
        <v>26</v>
      </c>
      <c r="B39" cm="1">
        <f t="array" aca="1" ref="B39" ca="1">INDEX(OFFSET(auto_ss_HighLevel,0,1,300,1),A39)</f>
        <v>50</v>
      </c>
      <c r="C39" t="str" cm="1">
        <f t="array" aca="1" ref="C39" ca="1">IF(B39=0,1,INDEX(auto_Series_Code,B39))</f>
        <v>INDI_021</v>
      </c>
      <c r="D39" t="str" cm="1">
        <f t="array" aca="1" ref="D39" ca="1">IF(B39=0,1,INDEX(auto_Series_NameNumbered,B39))</f>
        <v>4.3) Undiagnosed diabetes</v>
      </c>
      <c r="E39" cm="1">
        <f t="array" aca="1" ref="E39" ca="1">INDEX(sys_DataFlat_LU_Grid,$B39,E$13)</f>
        <v>2941</v>
      </c>
      <c r="F39" cm="1">
        <f t="array" aca="1" ref="F39" ca="1">INDEX(sys_DataFlat_LU_Grid,$B39,F$13)</f>
        <v>2942</v>
      </c>
      <c r="G39" cm="1">
        <f t="array" aca="1" ref="G39" ca="1">INDEX(sys_DataFlat_LU_Grid,$B39,G$13)</f>
        <v>2943</v>
      </c>
      <c r="H39" cm="1">
        <f t="array" aca="1" ref="H39" ca="1">INDEX(sys_DataFlat_LU_Grid,$B39,H$13)</f>
        <v>2944</v>
      </c>
      <c r="I39" cm="1">
        <f t="array" aca="1" ref="I39" ca="1">INDEX(sys_DataFlat_LU_Grid,$B39,I$13)</f>
        <v>2945</v>
      </c>
      <c r="J39" cm="1">
        <f t="array" aca="1" ref="J39" ca="1">INDEX(sys_DataFlat_LU_Grid,$B39,J$13)</f>
        <v>2946</v>
      </c>
      <c r="K39" cm="1">
        <f t="array" aca="1" ref="K39" ca="1">INDEX(sys_DataFlat_LU_Grid,$B39,K$13)</f>
        <v>2947</v>
      </c>
      <c r="L39" cm="1">
        <f t="array" aca="1" ref="L39" ca="1">INDEX(sys_DataFlat_LU_Grid,$B39,L$13)</f>
        <v>2948</v>
      </c>
      <c r="M39" cm="1">
        <f t="array" aca="1" ref="M39" ca="1">INDEX(sys_DataFlat_LU_Grid,$B39,M$13)</f>
        <v>2949</v>
      </c>
      <c r="N39" cm="1">
        <f t="array" aca="1" ref="N39" ca="1">INDEX(sys_DataFlat_LU_Grid,$B39,N$13)</f>
        <v>2950</v>
      </c>
      <c r="O39" cm="1">
        <f t="array" aca="1" ref="O39" ca="1">INDEX(sys_DataFlat_LU_Grid,$B39,O$13)</f>
        <v>2951</v>
      </c>
      <c r="P39" cm="1">
        <f t="array" aca="1" ref="P39" ca="1">INDEX(sys_DataFlat_LU_Grid,$B39,P$13)</f>
        <v>2952</v>
      </c>
      <c r="Q39" cm="1">
        <f t="array" aca="1" ref="Q39" ca="1">INDEX(sys_DataFlat_LU_Grid,$B39,Q$13)</f>
        <v>2953</v>
      </c>
      <c r="R39" cm="1">
        <f t="array" aca="1" ref="R39" ca="1">INDEX(sys_DataFlat_LU_Grid,$B39,R$13)</f>
        <v>2954</v>
      </c>
      <c r="S39" cm="1">
        <f t="array" aca="1" ref="S39" ca="1">INDEX(sys_DataFlat_LU_Grid,$B39,S$13)</f>
        <v>2955</v>
      </c>
    </row>
    <row r="40" spans="1:19" x14ac:dyDescent="0.4">
      <c r="A40">
        <v>27</v>
      </c>
      <c r="B40" cm="1">
        <f t="array" aca="1" ref="B40" ca="1">INDEX(OFFSET(auto_ss_HighLevel,0,1,300,1),A40)</f>
        <v>51</v>
      </c>
      <c r="C40" t="str" cm="1">
        <f t="array" aca="1" ref="C40" ca="1">IF(B40=0,1,INDEX(auto_Series_Code,B40))</f>
        <v>INDI_022</v>
      </c>
      <c r="D40" t="str" cm="1">
        <f t="array" aca="1" ref="D40" ca="1">IF(B40=0,1,INDEX(auto_Series_NameNumbered,B40))</f>
        <v>4.4) Patient-centred care</v>
      </c>
      <c r="E40" cm="1">
        <f t="array" aca="1" ref="E40" ca="1">INDEX(sys_DataFlat_LU_Grid,$B40,E$13)</f>
        <v>3001</v>
      </c>
      <c r="F40" cm="1">
        <f t="array" aca="1" ref="F40" ca="1">INDEX(sys_DataFlat_LU_Grid,$B40,F$13)</f>
        <v>3002</v>
      </c>
      <c r="G40" cm="1">
        <f t="array" aca="1" ref="G40" ca="1">INDEX(sys_DataFlat_LU_Grid,$B40,G$13)</f>
        <v>3003</v>
      </c>
      <c r="H40" cm="1">
        <f t="array" aca="1" ref="H40" ca="1">INDEX(sys_DataFlat_LU_Grid,$B40,H$13)</f>
        <v>3004</v>
      </c>
      <c r="I40" cm="1">
        <f t="array" aca="1" ref="I40" ca="1">INDEX(sys_DataFlat_LU_Grid,$B40,I$13)</f>
        <v>3005</v>
      </c>
      <c r="J40" cm="1">
        <f t="array" aca="1" ref="J40" ca="1">INDEX(sys_DataFlat_LU_Grid,$B40,J$13)</f>
        <v>3006</v>
      </c>
      <c r="K40" cm="1">
        <f t="array" aca="1" ref="K40" ca="1">INDEX(sys_DataFlat_LU_Grid,$B40,K$13)</f>
        <v>3007</v>
      </c>
      <c r="L40" cm="1">
        <f t="array" aca="1" ref="L40" ca="1">INDEX(sys_DataFlat_LU_Grid,$B40,L$13)</f>
        <v>3008</v>
      </c>
      <c r="M40" cm="1">
        <f t="array" aca="1" ref="M40" ca="1">INDEX(sys_DataFlat_LU_Grid,$B40,M$13)</f>
        <v>3009</v>
      </c>
      <c r="N40" cm="1">
        <f t="array" aca="1" ref="N40" ca="1">INDEX(sys_DataFlat_LU_Grid,$B40,N$13)</f>
        <v>3010</v>
      </c>
      <c r="O40" cm="1">
        <f t="array" aca="1" ref="O40" ca="1">INDEX(sys_DataFlat_LU_Grid,$B40,O$13)</f>
        <v>3011</v>
      </c>
      <c r="P40" cm="1">
        <f t="array" aca="1" ref="P40" ca="1">INDEX(sys_DataFlat_LU_Grid,$B40,P$13)</f>
        <v>3012</v>
      </c>
      <c r="Q40" cm="1">
        <f t="array" aca="1" ref="Q40" ca="1">INDEX(sys_DataFlat_LU_Grid,$B40,Q$13)</f>
        <v>3013</v>
      </c>
      <c r="R40" cm="1">
        <f t="array" aca="1" ref="R40" ca="1">INDEX(sys_DataFlat_LU_Grid,$B40,R$13)</f>
        <v>3014</v>
      </c>
      <c r="S40" cm="1">
        <f t="array" aca="1" ref="S40" ca="1">INDEX(sys_DataFlat_LU_Grid,$B40,S$13)</f>
        <v>3015</v>
      </c>
    </row>
    <row r="41" spans="1:19" x14ac:dyDescent="0.4">
      <c r="A41">
        <v>28</v>
      </c>
      <c r="B41" cm="1">
        <f t="array" aca="1" ref="B41" ca="1">INDEX(OFFSET(auto_ss_HighLevel,0,1,300,1),A41)</f>
        <v>52</v>
      </c>
      <c r="C41" t="str" cm="1">
        <f t="array" aca="1" ref="C41" ca="1">IF(B41=0,1,INDEX(auto_Series_Code,B41))</f>
        <v>DOMAIN_005</v>
      </c>
      <c r="D41" t="str" cm="1">
        <f t="array" aca="1" ref="D41" ca="1">IF(B41=0,1,INDEX(auto_Series_NameNumbered,B41))</f>
        <v>5) GOVERNANCE</v>
      </c>
      <c r="E41" cm="1">
        <f t="array" aca="1" ref="E41" ca="1">INDEX(sys_DataFlat_LU_Grid,$B41,E$13)</f>
        <v>3061</v>
      </c>
      <c r="F41" cm="1">
        <f t="array" aca="1" ref="F41" ca="1">INDEX(sys_DataFlat_LU_Grid,$B41,F$13)</f>
        <v>3062</v>
      </c>
      <c r="G41" cm="1">
        <f t="array" aca="1" ref="G41" ca="1">INDEX(sys_DataFlat_LU_Grid,$B41,G$13)</f>
        <v>3063</v>
      </c>
      <c r="H41" cm="1">
        <f t="array" aca="1" ref="H41" ca="1">INDEX(sys_DataFlat_LU_Grid,$B41,H$13)</f>
        <v>3064</v>
      </c>
      <c r="I41" cm="1">
        <f t="array" aca="1" ref="I41" ca="1">INDEX(sys_DataFlat_LU_Grid,$B41,I$13)</f>
        <v>3065</v>
      </c>
      <c r="J41" cm="1">
        <f t="array" aca="1" ref="J41" ca="1">INDEX(sys_DataFlat_LU_Grid,$B41,J$13)</f>
        <v>3066</v>
      </c>
      <c r="K41" cm="1">
        <f t="array" aca="1" ref="K41" ca="1">INDEX(sys_DataFlat_LU_Grid,$B41,K$13)</f>
        <v>3067</v>
      </c>
      <c r="L41" cm="1">
        <f t="array" aca="1" ref="L41" ca="1">INDEX(sys_DataFlat_LU_Grid,$B41,L$13)</f>
        <v>3068</v>
      </c>
      <c r="M41" cm="1">
        <f t="array" aca="1" ref="M41" ca="1">INDEX(sys_DataFlat_LU_Grid,$B41,M$13)</f>
        <v>3069</v>
      </c>
      <c r="N41" cm="1">
        <f t="array" aca="1" ref="N41" ca="1">INDEX(sys_DataFlat_LU_Grid,$B41,N$13)</f>
        <v>3070</v>
      </c>
      <c r="O41" cm="1">
        <f t="array" aca="1" ref="O41" ca="1">INDEX(sys_DataFlat_LU_Grid,$B41,O$13)</f>
        <v>3071</v>
      </c>
      <c r="P41" cm="1">
        <f t="array" aca="1" ref="P41" ca="1">INDEX(sys_DataFlat_LU_Grid,$B41,P$13)</f>
        <v>3072</v>
      </c>
      <c r="Q41" cm="1">
        <f t="array" aca="1" ref="Q41" ca="1">INDEX(sys_DataFlat_LU_Grid,$B41,Q$13)</f>
        <v>3073</v>
      </c>
      <c r="R41" cm="1">
        <f t="array" aca="1" ref="R41" ca="1">INDEX(sys_DataFlat_LU_Grid,$B41,R$13)</f>
        <v>3074</v>
      </c>
      <c r="S41" cm="1">
        <f t="array" aca="1" ref="S41" ca="1">INDEX(sys_DataFlat_LU_Grid,$B41,S$13)</f>
        <v>3075</v>
      </c>
    </row>
    <row r="42" spans="1:19" x14ac:dyDescent="0.4">
      <c r="A42">
        <v>29</v>
      </c>
      <c r="B42" cm="1">
        <f t="array" aca="1" ref="B42" ca="1">INDEX(OFFSET(auto_ss_HighLevel,0,1,300,1),A42)</f>
        <v>53</v>
      </c>
      <c r="C42" t="str" cm="1">
        <f t="array" aca="1" ref="C42" ca="1">IF(B42=0,1,INDEX(auto_Series_Code,B42))</f>
        <v>INDI_024</v>
      </c>
      <c r="D42" t="str" cm="1">
        <f t="array" aca="1" ref="D42" ca="1">IF(B42=0,1,INDEX(auto_Series_NameNumbered,B42))</f>
        <v>5.1) Regulatory power</v>
      </c>
      <c r="E42" cm="1">
        <f t="array" aca="1" ref="E42" ca="1">INDEX(sys_DataFlat_LU_Grid,$B42,E$13)</f>
        <v>3121</v>
      </c>
      <c r="F42" cm="1">
        <f t="array" aca="1" ref="F42" ca="1">INDEX(sys_DataFlat_LU_Grid,$B42,F$13)</f>
        <v>3122</v>
      </c>
      <c r="G42" cm="1">
        <f t="array" aca="1" ref="G42" ca="1">INDEX(sys_DataFlat_LU_Grid,$B42,G$13)</f>
        <v>3123</v>
      </c>
      <c r="H42" cm="1">
        <f t="array" aca="1" ref="H42" ca="1">INDEX(sys_DataFlat_LU_Grid,$B42,H$13)</f>
        <v>3124</v>
      </c>
      <c r="I42" cm="1">
        <f t="array" aca="1" ref="I42" ca="1">INDEX(sys_DataFlat_LU_Grid,$B42,I$13)</f>
        <v>3125</v>
      </c>
      <c r="J42" cm="1">
        <f t="array" aca="1" ref="J42" ca="1">INDEX(sys_DataFlat_LU_Grid,$B42,J$13)</f>
        <v>3126</v>
      </c>
      <c r="K42" cm="1">
        <f t="array" aca="1" ref="K42" ca="1">INDEX(sys_DataFlat_LU_Grid,$B42,K$13)</f>
        <v>3127</v>
      </c>
      <c r="L42" cm="1">
        <f t="array" aca="1" ref="L42" ca="1">INDEX(sys_DataFlat_LU_Grid,$B42,L$13)</f>
        <v>3128</v>
      </c>
      <c r="M42" cm="1">
        <f t="array" aca="1" ref="M42" ca="1">INDEX(sys_DataFlat_LU_Grid,$B42,M$13)</f>
        <v>3129</v>
      </c>
      <c r="N42" cm="1">
        <f t="array" aca="1" ref="N42" ca="1">INDEX(sys_DataFlat_LU_Grid,$B42,N$13)</f>
        <v>3130</v>
      </c>
      <c r="O42" cm="1">
        <f t="array" aca="1" ref="O42" ca="1">INDEX(sys_DataFlat_LU_Grid,$B42,O$13)</f>
        <v>3131</v>
      </c>
      <c r="P42" cm="1">
        <f t="array" aca="1" ref="P42" ca="1">INDEX(sys_DataFlat_LU_Grid,$B42,P$13)</f>
        <v>3132</v>
      </c>
      <c r="Q42" cm="1">
        <f t="array" aca="1" ref="Q42" ca="1">INDEX(sys_DataFlat_LU_Grid,$B42,Q$13)</f>
        <v>3133</v>
      </c>
      <c r="R42" cm="1">
        <f t="array" aca="1" ref="R42" ca="1">INDEX(sys_DataFlat_LU_Grid,$B42,R$13)</f>
        <v>3134</v>
      </c>
      <c r="S42" cm="1">
        <f t="array" aca="1" ref="S42" ca="1">INDEX(sys_DataFlat_LU_Grid,$B42,S$13)</f>
        <v>3135</v>
      </c>
    </row>
    <row r="46" spans="1:19" x14ac:dyDescent="0.4">
      <c r="E46" t="s">
        <v>1095</v>
      </c>
    </row>
    <row r="47" spans="1:19" x14ac:dyDescent="0.4">
      <c r="E47">
        <v>1</v>
      </c>
      <c r="F47">
        <v>2</v>
      </c>
      <c r="G47">
        <v>3</v>
      </c>
      <c r="H47">
        <v>4</v>
      </c>
      <c r="I47">
        <v>5</v>
      </c>
      <c r="J47">
        <v>6</v>
      </c>
      <c r="K47">
        <v>7</v>
      </c>
      <c r="L47">
        <v>8</v>
      </c>
      <c r="M47">
        <v>9</v>
      </c>
      <c r="N47">
        <v>10</v>
      </c>
      <c r="O47">
        <v>11</v>
      </c>
      <c r="P47">
        <v>12</v>
      </c>
      <c r="Q47">
        <v>13</v>
      </c>
      <c r="R47">
        <v>14</v>
      </c>
      <c r="S47">
        <v>15</v>
      </c>
    </row>
    <row r="48" spans="1:19" x14ac:dyDescent="0.4">
      <c r="A48">
        <v>1</v>
      </c>
      <c r="E48" cm="1">
        <f t="array" aca="1" ref="E48" ca="1">INDEX(auto_DataFlat_Score,E14)</f>
        <v>49.6</v>
      </c>
      <c r="F48" cm="1">
        <f t="array" aca="1" ref="F48" ca="1">INDEX(auto_DataFlat_Score,F14)</f>
        <v>41</v>
      </c>
      <c r="G48" cm="1">
        <f t="array" aca="1" ref="G48" ca="1">INDEX(auto_DataFlat_Score,G14)</f>
        <v>63.1</v>
      </c>
      <c r="H48" cm="1">
        <f t="array" aca="1" ref="H48" ca="1">INDEX(auto_DataFlat_Score,H14)</f>
        <v>71</v>
      </c>
      <c r="I48" cm="1">
        <f t="array" aca="1" ref="I48" ca="1">INDEX(auto_DataFlat_Score,I14)</f>
        <v>68.8</v>
      </c>
      <c r="J48" cm="1">
        <f t="array" aca="1" ref="J48" ca="1">INDEX(auto_DataFlat_Score,J14)</f>
        <v>63.4</v>
      </c>
      <c r="K48" cm="1">
        <f t="array" aca="1" ref="K48" ca="1">INDEX(auto_DataFlat_Score,K14)</f>
        <v>77.400000000000006</v>
      </c>
      <c r="L48" cm="1">
        <f t="array" aca="1" ref="L48" ca="1">INDEX(auto_DataFlat_Score,L14)</f>
        <v>69.7</v>
      </c>
      <c r="M48" cm="1">
        <f t="array" aca="1" ref="M48" ca="1">INDEX(auto_DataFlat_Score,M14)</f>
        <v>69.5</v>
      </c>
      <c r="N48" cm="1">
        <f t="array" aca="1" ref="N48" ca="1">INDEX(auto_DataFlat_Score,N14)</f>
        <v>40.6</v>
      </c>
      <c r="O48" cm="1">
        <f t="array" aca="1" ref="O48" ca="1">INDEX(auto_DataFlat_Score,O14)</f>
        <v>50.1</v>
      </c>
      <c r="P48" cm="1">
        <f t="array" aca="1" ref="P48" ca="1">INDEX(auto_DataFlat_Score,P14)</f>
        <v>56.8</v>
      </c>
      <c r="Q48" cm="1">
        <f t="array" aca="1" ref="Q48" ca="1">INDEX(auto_DataFlat_Score,Q14)</f>
        <v>41.8</v>
      </c>
      <c r="R48" cm="1">
        <f t="array" aca="1" ref="R48" ca="1">INDEX(auto_DataFlat_Score,R14)</f>
        <v>65</v>
      </c>
      <c r="S48" cm="1">
        <f t="array" aca="1" ref="S48" ca="1">INDEX(auto_DataFlat_Score,S14)</f>
        <v>75.5</v>
      </c>
    </row>
    <row r="49" spans="1:19" x14ac:dyDescent="0.4">
      <c r="A49">
        <v>2</v>
      </c>
      <c r="E49" cm="1">
        <f t="array" aca="1" ref="E49" ca="1">INDEX(auto_DataFlat_Score,E15)</f>
        <v>65.900000000000006</v>
      </c>
      <c r="F49" cm="1">
        <f t="array" aca="1" ref="F49" ca="1">INDEX(auto_DataFlat_Score,F15)</f>
        <v>54.3</v>
      </c>
      <c r="G49" cm="1">
        <f t="array" aca="1" ref="G49" ca="1">INDEX(auto_DataFlat_Score,G15)</f>
        <v>86.8</v>
      </c>
      <c r="H49" cm="1">
        <f t="array" aca="1" ref="H49" ca="1">INDEX(auto_DataFlat_Score,H15)</f>
        <v>75.7</v>
      </c>
      <c r="I49" cm="1">
        <f t="array" aca="1" ref="I49" ca="1">INDEX(auto_DataFlat_Score,I15)</f>
        <v>72.8</v>
      </c>
      <c r="J49" cm="1">
        <f t="array" aca="1" ref="J49" ca="1">INDEX(auto_DataFlat_Score,J15)</f>
        <v>54.3</v>
      </c>
      <c r="K49" cm="1">
        <f t="array" aca="1" ref="K49" ca="1">INDEX(auto_DataFlat_Score,K15)</f>
        <v>89.6</v>
      </c>
      <c r="L49" cm="1">
        <f t="array" aca="1" ref="L49" ca="1">INDEX(auto_DataFlat_Score,L15)</f>
        <v>68.900000000000006</v>
      </c>
      <c r="M49" cm="1">
        <f t="array" aca="1" ref="M49" ca="1">INDEX(auto_DataFlat_Score,M15)</f>
        <v>85.6</v>
      </c>
      <c r="N49" cm="1">
        <f t="array" aca="1" ref="N49" ca="1">INDEX(auto_DataFlat_Score,N15)</f>
        <v>40.9</v>
      </c>
      <c r="O49" cm="1">
        <f t="array" aca="1" ref="O49" ca="1">INDEX(auto_DataFlat_Score,O15)</f>
        <v>51.9</v>
      </c>
      <c r="P49" cm="1">
        <f t="array" aca="1" ref="P49" ca="1">INDEX(auto_DataFlat_Score,P15)</f>
        <v>44.2</v>
      </c>
      <c r="Q49" cm="1">
        <f t="array" aca="1" ref="Q49" ca="1">INDEX(auto_DataFlat_Score,Q15)</f>
        <v>39.5</v>
      </c>
      <c r="R49" cm="1">
        <f t="array" aca="1" ref="R49" ca="1">INDEX(auto_DataFlat_Score,R15)</f>
        <v>74.3</v>
      </c>
      <c r="S49" cm="1">
        <f t="array" aca="1" ref="S49" ca="1">INDEX(auto_DataFlat_Score,S15)</f>
        <v>86.4</v>
      </c>
    </row>
    <row r="50" spans="1:19" x14ac:dyDescent="0.4">
      <c r="A50">
        <v>3</v>
      </c>
      <c r="E50" cm="1">
        <f t="array" aca="1" ref="E50" ca="1">INDEX(auto_DataFlat_Score,E16)</f>
        <v>82.5</v>
      </c>
      <c r="F50" cm="1">
        <f t="array" aca="1" ref="F50" ca="1">INDEX(auto_DataFlat_Score,F16)</f>
        <v>36.200000000000003</v>
      </c>
      <c r="G50" cm="1">
        <f t="array" aca="1" ref="G50" ca="1">INDEX(auto_DataFlat_Score,G16)</f>
        <v>80.099999999999994</v>
      </c>
      <c r="H50" cm="1">
        <f t="array" aca="1" ref="H50" ca="1">INDEX(auto_DataFlat_Score,H16)</f>
        <v>34</v>
      </c>
      <c r="I50" cm="1">
        <f t="array" aca="1" ref="I50" ca="1">INDEX(auto_DataFlat_Score,I16)</f>
        <v>82.6</v>
      </c>
      <c r="J50" cm="1">
        <f t="array" aca="1" ref="J50" ca="1">INDEX(auto_DataFlat_Score,J16)</f>
        <v>31.5</v>
      </c>
      <c r="K50" cm="1">
        <f t="array" aca="1" ref="K50" ca="1">INDEX(auto_DataFlat_Score,K16)</f>
        <v>84.2</v>
      </c>
      <c r="L50" cm="1">
        <f t="array" aca="1" ref="L50" ca="1">INDEX(auto_DataFlat_Score,L16)</f>
        <v>72.599999999999994</v>
      </c>
      <c r="M50" cm="1">
        <f t="array" aca="1" ref="M50" ca="1">INDEX(auto_DataFlat_Score,M16)</f>
        <v>85.4</v>
      </c>
      <c r="N50" cm="1">
        <f t="array" aca="1" ref="N50" ca="1">INDEX(auto_DataFlat_Score,N16)</f>
        <v>34.1</v>
      </c>
      <c r="O50" cm="1">
        <f t="array" aca="1" ref="O50" ca="1">INDEX(auto_DataFlat_Score,O16)</f>
        <v>31.2</v>
      </c>
      <c r="P50" cm="1">
        <f t="array" aca="1" ref="P50" ca="1">INDEX(auto_DataFlat_Score,P16)</f>
        <v>33.6</v>
      </c>
      <c r="Q50" cm="1">
        <f t="array" aca="1" ref="Q50" ca="1">INDEX(auto_DataFlat_Score,Q16)</f>
        <v>83.3</v>
      </c>
      <c r="R50" cm="1">
        <f t="array" aca="1" ref="R50" ca="1">INDEX(auto_DataFlat_Score,R16)</f>
        <v>87</v>
      </c>
      <c r="S50" cm="1">
        <f t="array" aca="1" ref="S50" ca="1">INDEX(auto_DataFlat_Score,S16)</f>
        <v>86.2</v>
      </c>
    </row>
    <row r="51" spans="1:19" x14ac:dyDescent="0.4">
      <c r="A51">
        <v>4</v>
      </c>
      <c r="E51" cm="1">
        <f t="array" aca="1" ref="E51" ca="1">INDEX(auto_DataFlat_Score,E17)</f>
        <v>2.2999999999999998</v>
      </c>
      <c r="F51" cm="1">
        <f t="array" aca="1" ref="F51" ca="1">INDEX(auto_DataFlat_Score,F17)</f>
        <v>12.1</v>
      </c>
      <c r="G51" cm="1">
        <f t="array" aca="1" ref="G51" ca="1">INDEX(auto_DataFlat_Score,G17)</f>
        <v>95.7</v>
      </c>
      <c r="H51" cm="1">
        <f t="array" aca="1" ref="H51" ca="1">INDEX(auto_DataFlat_Score,H17)</f>
        <v>87.6</v>
      </c>
      <c r="I51" cm="1">
        <f t="array" aca="1" ref="I51" ca="1">INDEX(auto_DataFlat_Score,I17)</f>
        <v>67.7</v>
      </c>
      <c r="J51" cm="1">
        <f t="array" aca="1" ref="J51" ca="1">INDEX(auto_DataFlat_Score,J17)</f>
        <v>68</v>
      </c>
      <c r="K51" cm="1">
        <f t="array" aca="1" ref="K51" ca="1">INDEX(auto_DataFlat_Score,K17)</f>
        <v>91.9</v>
      </c>
      <c r="L51" cm="1">
        <f t="array" aca="1" ref="L51" ca="1">INDEX(auto_DataFlat_Score,L17)</f>
        <v>27</v>
      </c>
      <c r="M51" cm="1">
        <f t="array" aca="1" ref="M51" ca="1">INDEX(auto_DataFlat_Score,M17)</f>
        <v>90</v>
      </c>
      <c r="N51" cm="1">
        <f t="array" aca="1" ref="N51" ca="1">INDEX(auto_DataFlat_Score,N17)</f>
        <v>33.6</v>
      </c>
      <c r="O51" cm="1">
        <f t="array" aca="1" ref="O51" ca="1">INDEX(auto_DataFlat_Score,O17)</f>
        <v>31.9</v>
      </c>
      <c r="P51" cm="1">
        <f t="array" aca="1" ref="P51" ca="1">INDEX(auto_DataFlat_Score,P17)</f>
        <v>65.8</v>
      </c>
      <c r="Q51" cm="1">
        <f t="array" aca="1" ref="Q51" ca="1">INDEX(auto_DataFlat_Score,Q17)</f>
        <v>15.7</v>
      </c>
      <c r="R51" cm="1">
        <f t="array" aca="1" ref="R51" ca="1">INDEX(auto_DataFlat_Score,R17)</f>
        <v>36.799999999999997</v>
      </c>
      <c r="S51" cm="1">
        <f t="array" aca="1" ref="S51" ca="1">INDEX(auto_DataFlat_Score,S17)</f>
        <v>88.8</v>
      </c>
    </row>
    <row r="52" spans="1:19" x14ac:dyDescent="0.4">
      <c r="A52">
        <v>5</v>
      </c>
      <c r="E52" cm="1">
        <f t="array" aca="1" ref="E52" ca="1">INDEX(auto_DataFlat_Score,E18)</f>
        <v>98</v>
      </c>
      <c r="F52" cm="1">
        <f t="array" aca="1" ref="F52" ca="1">INDEX(auto_DataFlat_Score,F18)</f>
        <v>94.2</v>
      </c>
      <c r="G52" cm="1">
        <f t="array" aca="1" ref="G52" ca="1">INDEX(auto_DataFlat_Score,G18)</f>
        <v>98.2</v>
      </c>
      <c r="H52" cm="1">
        <f t="array" aca="1" ref="H52" ca="1">INDEX(auto_DataFlat_Score,H18)</f>
        <v>98.4</v>
      </c>
      <c r="I52" cm="1">
        <f t="array" aca="1" ref="I52" ca="1">INDEX(auto_DataFlat_Score,I18)</f>
        <v>49.6</v>
      </c>
      <c r="J52" cm="1">
        <f t="array" aca="1" ref="J52" ca="1">INDEX(auto_DataFlat_Score,J18)</f>
        <v>97.6</v>
      </c>
      <c r="K52" cm="1">
        <f t="array" aca="1" ref="K52" ca="1">INDEX(auto_DataFlat_Score,K18)</f>
        <v>98.5</v>
      </c>
      <c r="L52" cm="1">
        <f t="array" aca="1" ref="L52" ca="1">INDEX(auto_DataFlat_Score,L18)</f>
        <v>94.6</v>
      </c>
      <c r="M52" cm="1">
        <f t="array" aca="1" ref="M52" ca="1">INDEX(auto_DataFlat_Score,M18)</f>
        <v>98.3</v>
      </c>
      <c r="N52" cm="1">
        <f t="array" aca="1" ref="N52" ca="1">INDEX(auto_DataFlat_Score,N18)</f>
        <v>46.5</v>
      </c>
      <c r="O52" cm="1">
        <f t="array" aca="1" ref="O52" ca="1">INDEX(auto_DataFlat_Score,O18)</f>
        <v>46.6</v>
      </c>
      <c r="P52" cm="1">
        <f t="array" aca="1" ref="P52" ca="1">INDEX(auto_DataFlat_Score,P18)</f>
        <v>46.3</v>
      </c>
      <c r="Q52" cm="1">
        <f t="array" aca="1" ref="Q52" ca="1">INDEX(auto_DataFlat_Score,Q18)</f>
        <v>47.7</v>
      </c>
      <c r="R52" cm="1">
        <f t="array" aca="1" ref="R52" ca="1">INDEX(auto_DataFlat_Score,R18)</f>
        <v>98.6</v>
      </c>
      <c r="S52" cm="1">
        <f t="array" aca="1" ref="S52" ca="1">INDEX(auto_DataFlat_Score,S18)</f>
        <v>96.6</v>
      </c>
    </row>
    <row r="53" spans="1:19" x14ac:dyDescent="0.4">
      <c r="A53">
        <v>6</v>
      </c>
      <c r="E53" cm="1">
        <f t="array" aca="1" ref="E53" ca="1">INDEX(auto_DataFlat_Score,E19)</f>
        <v>52.5</v>
      </c>
      <c r="F53" cm="1">
        <f t="array" aca="1" ref="F53" ca="1">INDEX(auto_DataFlat_Score,F19)</f>
        <v>60.7</v>
      </c>
      <c r="G53" cm="1">
        <f t="array" aca="1" ref="G53" ca="1">INDEX(auto_DataFlat_Score,G19)</f>
        <v>69.7</v>
      </c>
      <c r="H53" cm="1">
        <f t="array" aca="1" ref="H53" ca="1">INDEX(auto_DataFlat_Score,H19)</f>
        <v>70.3</v>
      </c>
      <c r="I53" cm="1">
        <f t="array" aca="1" ref="I53" ca="1">INDEX(auto_DataFlat_Score,I19)</f>
        <v>67.2</v>
      </c>
      <c r="J53" cm="1">
        <f t="array" aca="1" ref="J53" ca="1">INDEX(auto_DataFlat_Score,J19)</f>
        <v>56.3</v>
      </c>
      <c r="K53" cm="1">
        <f t="array" aca="1" ref="K53" ca="1">INDEX(auto_DataFlat_Score,K19)</f>
        <v>73.5</v>
      </c>
      <c r="L53" cm="1">
        <f t="array" aca="1" ref="L53" ca="1">INDEX(auto_DataFlat_Score,L19)</f>
        <v>75.8</v>
      </c>
      <c r="M53" cm="1">
        <f t="array" aca="1" ref="M53" ca="1">INDEX(auto_DataFlat_Score,M19)</f>
        <v>63.9</v>
      </c>
      <c r="N53" cm="1">
        <f t="array" aca="1" ref="N53" ca="1">INDEX(auto_DataFlat_Score,N19)</f>
        <v>62.4</v>
      </c>
      <c r="O53" cm="1">
        <f t="array" aca="1" ref="O53" ca="1">INDEX(auto_DataFlat_Score,O19)</f>
        <v>59.7</v>
      </c>
      <c r="P53" cm="1">
        <f t="array" aca="1" ref="P53" ca="1">INDEX(auto_DataFlat_Score,P19)</f>
        <v>53.8</v>
      </c>
      <c r="Q53" cm="1">
        <f t="array" aca="1" ref="Q53" ca="1">INDEX(auto_DataFlat_Score,Q19)</f>
        <v>51.1</v>
      </c>
      <c r="R53" cm="1">
        <f t="array" aca="1" ref="R53" ca="1">INDEX(auto_DataFlat_Score,R19)</f>
        <v>60.6</v>
      </c>
      <c r="S53" cm="1">
        <f t="array" aca="1" ref="S53" ca="1">INDEX(auto_DataFlat_Score,S19)</f>
        <v>67</v>
      </c>
    </row>
    <row r="54" spans="1:19" x14ac:dyDescent="0.4">
      <c r="A54">
        <v>7</v>
      </c>
      <c r="E54" cm="1">
        <f t="array" aca="1" ref="E54" ca="1">INDEX(auto_DataFlat_Score,E20)</f>
        <v>94.4</v>
      </c>
      <c r="F54" cm="1">
        <f t="array" aca="1" ref="F54" ca="1">INDEX(auto_DataFlat_Score,F20)</f>
        <v>68.400000000000006</v>
      </c>
      <c r="G54" cm="1">
        <f t="array" aca="1" ref="G54" ca="1">INDEX(auto_DataFlat_Score,G20)</f>
        <v>90.5</v>
      </c>
      <c r="H54" cm="1">
        <f t="array" aca="1" ref="H54" ca="1">INDEX(auto_DataFlat_Score,H20)</f>
        <v>88.5</v>
      </c>
      <c r="I54" cm="1">
        <f t="array" aca="1" ref="I54" ca="1">INDEX(auto_DataFlat_Score,I20)</f>
        <v>97.2</v>
      </c>
      <c r="J54" cm="1">
        <f t="array" aca="1" ref="J54" ca="1">INDEX(auto_DataFlat_Score,J20)</f>
        <v>18.100000000000001</v>
      </c>
      <c r="K54" cm="1">
        <f t="array" aca="1" ref="K54" ca="1">INDEX(auto_DataFlat_Score,K20)</f>
        <v>100</v>
      </c>
      <c r="L54" cm="1">
        <f t="array" aca="1" ref="L54" ca="1">INDEX(auto_DataFlat_Score,L20)</f>
        <v>74.5</v>
      </c>
      <c r="M54" cm="1">
        <f t="array" aca="1" ref="M54" ca="1">INDEX(auto_DataFlat_Score,M20)</f>
        <v>90.3</v>
      </c>
      <c r="N54" cm="1">
        <f t="array" aca="1" ref="N54" ca="1">INDEX(auto_DataFlat_Score,N20)</f>
        <v>28.1</v>
      </c>
      <c r="O54" cm="1">
        <f t="array" aca="1" ref="O54" ca="1">INDEX(auto_DataFlat_Score,O20)</f>
        <v>90.4</v>
      </c>
      <c r="P54" cm="1">
        <f t="array" aca="1" ref="P54" ca="1">INDEX(auto_DataFlat_Score,P20)</f>
        <v>21.3</v>
      </c>
      <c r="Q54" cm="1">
        <f t="array" aca="1" ref="Q54" ca="1">INDEX(auto_DataFlat_Score,Q20)</f>
        <v>0</v>
      </c>
      <c r="R54" cm="1">
        <f t="array" aca="1" ref="R54" ca="1">INDEX(auto_DataFlat_Score,R20)</f>
        <v>88.5</v>
      </c>
      <c r="S54" cm="1">
        <f t="array" aca="1" ref="S54" ca="1">INDEX(auto_DataFlat_Score,S20)</f>
        <v>93.3</v>
      </c>
    </row>
    <row r="55" spans="1:19" x14ac:dyDescent="0.4">
      <c r="A55">
        <v>8</v>
      </c>
      <c r="E55" cm="1">
        <f t="array" aca="1" ref="E55" ca="1">INDEX(auto_DataFlat_Score,E21)</f>
        <v>29</v>
      </c>
      <c r="F55" cm="1">
        <f t="array" aca="1" ref="F55" ca="1">INDEX(auto_DataFlat_Score,F21)</f>
        <v>26</v>
      </c>
      <c r="G55" cm="1">
        <f t="array" aca="1" ref="G55" ca="1">INDEX(auto_DataFlat_Score,G21)</f>
        <v>37.700000000000003</v>
      </c>
      <c r="H55" cm="1">
        <f t="array" aca="1" ref="H55" ca="1">INDEX(auto_DataFlat_Score,H21)</f>
        <v>67.2</v>
      </c>
      <c r="I55" cm="1">
        <f t="array" aca="1" ref="I55" ca="1">INDEX(auto_DataFlat_Score,I21)</f>
        <v>35.700000000000003</v>
      </c>
      <c r="J55" cm="1">
        <f t="array" aca="1" ref="J55" ca="1">INDEX(auto_DataFlat_Score,J21)</f>
        <v>46.5</v>
      </c>
      <c r="K55" cm="1">
        <f t="array" aca="1" ref="K55" ca="1">INDEX(auto_DataFlat_Score,K21)</f>
        <v>63.1</v>
      </c>
      <c r="L55" cm="1">
        <f t="array" aca="1" ref="L55" ca="1">INDEX(auto_DataFlat_Score,L21)</f>
        <v>74.3</v>
      </c>
      <c r="M55" cm="1">
        <f t="array" aca="1" ref="M55" ca="1">INDEX(auto_DataFlat_Score,M21)</f>
        <v>60.7</v>
      </c>
      <c r="N55" cm="1">
        <f t="array" aca="1" ref="N55" ca="1">INDEX(auto_DataFlat_Score,N21)</f>
        <v>12.4</v>
      </c>
      <c r="O55" cm="1">
        <f t="array" aca="1" ref="O55" ca="1">INDEX(auto_DataFlat_Score,O21)</f>
        <v>23.4</v>
      </c>
      <c r="P55" cm="1">
        <f t="array" aca="1" ref="P55" ca="1">INDEX(auto_DataFlat_Score,P21)</f>
        <v>20.9</v>
      </c>
      <c r="Q55" cm="1">
        <f t="array" aca="1" ref="Q55" ca="1">INDEX(auto_DataFlat_Score,Q21)</f>
        <v>41.8</v>
      </c>
      <c r="R55" cm="1">
        <f t="array" aca="1" ref="R55" ca="1">INDEX(auto_DataFlat_Score,R21)</f>
        <v>45.5</v>
      </c>
      <c r="S55" cm="1">
        <f t="array" aca="1" ref="S55" ca="1">INDEX(auto_DataFlat_Score,S21)</f>
        <v>54.5</v>
      </c>
    </row>
    <row r="56" spans="1:19" x14ac:dyDescent="0.4">
      <c r="A56">
        <v>9</v>
      </c>
      <c r="E56" cm="1">
        <f t="array" aca="1" ref="E56" ca="1">INDEX(auto_DataFlat_Score,E22)</f>
        <v>0</v>
      </c>
      <c r="F56" cm="1">
        <f t="array" aca="1" ref="F56" ca="1">INDEX(auto_DataFlat_Score,F22)</f>
        <v>0</v>
      </c>
      <c r="G56" cm="1">
        <f t="array" aca="1" ref="G56" ca="1">INDEX(auto_DataFlat_Score,G22)</f>
        <v>0</v>
      </c>
      <c r="H56" cm="1">
        <f t="array" aca="1" ref="H56" ca="1">INDEX(auto_DataFlat_Score,H22)</f>
        <v>0</v>
      </c>
      <c r="I56" cm="1">
        <f t="array" aca="1" ref="I56" ca="1">INDEX(auto_DataFlat_Score,I22)</f>
        <v>0</v>
      </c>
      <c r="J56" cm="1">
        <f t="array" aca="1" ref="J56" ca="1">INDEX(auto_DataFlat_Score,J22)</f>
        <v>0</v>
      </c>
      <c r="K56" cm="1">
        <f t="array" aca="1" ref="K56" ca="1">INDEX(auto_DataFlat_Score,K22)</f>
        <v>0</v>
      </c>
      <c r="L56" cm="1">
        <f t="array" aca="1" ref="L56" ca="1">INDEX(auto_DataFlat_Score,L22)</f>
        <v>0</v>
      </c>
      <c r="M56" cm="1">
        <f t="array" aca="1" ref="M56" ca="1">INDEX(auto_DataFlat_Score,M22)</f>
        <v>0</v>
      </c>
      <c r="N56" cm="1">
        <f t="array" aca="1" ref="N56" ca="1">INDEX(auto_DataFlat_Score,N22)</f>
        <v>0</v>
      </c>
      <c r="O56" cm="1">
        <f t="array" aca="1" ref="O56" ca="1">INDEX(auto_DataFlat_Score,O22)</f>
        <v>0</v>
      </c>
      <c r="P56" cm="1">
        <f t="array" aca="1" ref="P56" ca="1">INDEX(auto_DataFlat_Score,P22)</f>
        <v>0</v>
      </c>
      <c r="Q56" cm="1">
        <f t="array" aca="1" ref="Q56" ca="1">INDEX(auto_DataFlat_Score,Q22)</f>
        <v>0</v>
      </c>
      <c r="R56" cm="1">
        <f t="array" aca="1" ref="R56" ca="1">INDEX(auto_DataFlat_Score,R22)</f>
        <v>0</v>
      </c>
      <c r="S56" cm="1">
        <f t="array" aca="1" ref="S56" ca="1">INDEX(auto_DataFlat_Score,S22)</f>
        <v>0</v>
      </c>
    </row>
    <row r="57" spans="1:19" x14ac:dyDescent="0.4">
      <c r="A57">
        <v>10</v>
      </c>
      <c r="E57" cm="1">
        <f t="array" aca="1" ref="E57" ca="1">INDEX(auto_DataFlat_Score,E23)</f>
        <v>42.5</v>
      </c>
      <c r="F57" cm="1">
        <f t="array" aca="1" ref="F57" ca="1">INDEX(auto_DataFlat_Score,F23)</f>
        <v>41.7</v>
      </c>
      <c r="G57" cm="1">
        <f t="array" aca="1" ref="G57" ca="1">INDEX(auto_DataFlat_Score,G23)</f>
        <v>41.5</v>
      </c>
      <c r="H57" cm="1">
        <f t="array" aca="1" ref="H57" ca="1">INDEX(auto_DataFlat_Score,H23)</f>
        <v>99.1</v>
      </c>
      <c r="I57" cm="1">
        <f t="array" aca="1" ref="I57" ca="1">INDEX(auto_DataFlat_Score,I23)</f>
        <v>6</v>
      </c>
      <c r="J57" cm="1">
        <f t="array" aca="1" ref="J57" ca="1">INDEX(auto_DataFlat_Score,J23)</f>
        <v>30.3</v>
      </c>
      <c r="K57" cm="1">
        <f t="array" aca="1" ref="K57" ca="1">INDEX(auto_DataFlat_Score,K23)</f>
        <v>74.599999999999994</v>
      </c>
      <c r="L57" cm="1">
        <f t="array" aca="1" ref="L57" ca="1">INDEX(auto_DataFlat_Score,L23)</f>
        <v>98.1</v>
      </c>
      <c r="M57" cm="1">
        <f t="array" aca="1" ref="M57" ca="1">INDEX(auto_DataFlat_Score,M23)</f>
        <v>63.1</v>
      </c>
      <c r="N57" cm="1">
        <f t="array" aca="1" ref="N57" ca="1">INDEX(auto_DataFlat_Score,N23)</f>
        <v>5.2</v>
      </c>
      <c r="O57" cm="1">
        <f t="array" aca="1" ref="O57" ca="1">INDEX(auto_DataFlat_Score,O23)</f>
        <v>10.1</v>
      </c>
      <c r="P57" cm="1">
        <f t="array" aca="1" ref="P57" ca="1">INDEX(auto_DataFlat_Score,P23)</f>
        <v>29.3</v>
      </c>
      <c r="Q57" cm="1">
        <f t="array" aca="1" ref="Q57" ca="1">INDEX(auto_DataFlat_Score,Q23)</f>
        <v>29.8</v>
      </c>
      <c r="R57" cm="1">
        <f t="array" aca="1" ref="R57" ca="1">INDEX(auto_DataFlat_Score,R23)</f>
        <v>41</v>
      </c>
      <c r="S57" cm="1">
        <f t="array" aca="1" ref="S57" ca="1">INDEX(auto_DataFlat_Score,S23)</f>
        <v>31.8</v>
      </c>
    </row>
    <row r="58" spans="1:19" x14ac:dyDescent="0.4">
      <c r="A58">
        <v>11</v>
      </c>
      <c r="E58" cm="1">
        <f t="array" aca="1" ref="E58" ca="1">INDEX(auto_DataFlat_Score,E24)</f>
        <v>0</v>
      </c>
      <c r="F58" cm="1">
        <f t="array" aca="1" ref="F58" ca="1">INDEX(auto_DataFlat_Score,F24)</f>
        <v>0</v>
      </c>
      <c r="G58" cm="1">
        <f t="array" aca="1" ref="G58" ca="1">INDEX(auto_DataFlat_Score,G24)</f>
        <v>50</v>
      </c>
      <c r="H58" cm="1">
        <f t="array" aca="1" ref="H58" ca="1">INDEX(auto_DataFlat_Score,H24)</f>
        <v>100</v>
      </c>
      <c r="I58" cm="1">
        <f t="array" aca="1" ref="I58" ca="1">INDEX(auto_DataFlat_Score,I24)</f>
        <v>100</v>
      </c>
      <c r="J58" cm="1">
        <f t="array" aca="1" ref="J58" ca="1">INDEX(auto_DataFlat_Score,J24)</f>
        <v>100</v>
      </c>
      <c r="K58" cm="1">
        <f t="array" aca="1" ref="K58" ca="1">INDEX(auto_DataFlat_Score,K24)</f>
        <v>100</v>
      </c>
      <c r="L58" cm="1">
        <f t="array" aca="1" ref="L58" ca="1">INDEX(auto_DataFlat_Score,L24)</f>
        <v>100</v>
      </c>
      <c r="M58" cm="1">
        <f t="array" aca="1" ref="M58" ca="1">INDEX(auto_DataFlat_Score,M24)</f>
        <v>100</v>
      </c>
      <c r="N58" cm="1">
        <f t="array" aca="1" ref="N58" ca="1">INDEX(auto_DataFlat_Score,N24)</f>
        <v>0</v>
      </c>
      <c r="O58" cm="1">
        <f t="array" aca="1" ref="O58" ca="1">INDEX(auto_DataFlat_Score,O24)</f>
        <v>0</v>
      </c>
      <c r="P58" cm="1">
        <f t="array" aca="1" ref="P58" ca="1">INDEX(auto_DataFlat_Score,P24)</f>
        <v>0</v>
      </c>
      <c r="Q58" cm="1">
        <f t="array" aca="1" ref="Q58" ca="1">INDEX(auto_DataFlat_Score,Q24)</f>
        <v>50</v>
      </c>
      <c r="R58" cm="1">
        <f t="array" aca="1" ref="R58" ca="1">INDEX(auto_DataFlat_Score,R24)</f>
        <v>100</v>
      </c>
      <c r="S58" cm="1">
        <f t="array" aca="1" ref="S58" ca="1">INDEX(auto_DataFlat_Score,S24)</f>
        <v>100</v>
      </c>
    </row>
    <row r="59" spans="1:19" x14ac:dyDescent="0.4">
      <c r="A59">
        <v>12</v>
      </c>
      <c r="E59" cm="1">
        <f t="array" aca="1" ref="E59" ca="1">INDEX(auto_DataFlat_Score,E25)</f>
        <v>71</v>
      </c>
      <c r="F59" cm="1">
        <f t="array" aca="1" ref="F59" ca="1">INDEX(auto_DataFlat_Score,F25)</f>
        <v>40.299999999999997</v>
      </c>
      <c r="G59" cm="1">
        <f t="array" aca="1" ref="G59" ca="1">INDEX(auto_DataFlat_Score,G25)</f>
        <v>46.1</v>
      </c>
      <c r="H59" cm="1">
        <f t="array" aca="1" ref="H59" ca="1">INDEX(auto_DataFlat_Score,H25)</f>
        <v>42.5</v>
      </c>
      <c r="I59" cm="1">
        <f t="array" aca="1" ref="I59" ca="1">INDEX(auto_DataFlat_Score,I25)</f>
        <v>46.5</v>
      </c>
      <c r="J59" cm="1">
        <f t="array" aca="1" ref="J59" ca="1">INDEX(auto_DataFlat_Score,J25)</f>
        <v>47.1</v>
      </c>
      <c r="K59" cm="1">
        <f t="array" aca="1" ref="K59" ca="1">INDEX(auto_DataFlat_Score,K25)</f>
        <v>48.1</v>
      </c>
      <c r="L59" cm="1">
        <f t="array" aca="1" ref="L59" ca="1">INDEX(auto_DataFlat_Score,L25)</f>
        <v>81.8</v>
      </c>
      <c r="M59" cm="1">
        <f t="array" aca="1" ref="M59" ca="1">INDEX(auto_DataFlat_Score,M25)</f>
        <v>43.7</v>
      </c>
      <c r="N59" cm="1">
        <f t="array" aca="1" ref="N59" ca="1">INDEX(auto_DataFlat_Score,N25)</f>
        <v>35.799999999999997</v>
      </c>
      <c r="O59" cm="1">
        <f t="array" aca="1" ref="O59" ca="1">INDEX(auto_DataFlat_Score,O25)</f>
        <v>44.6</v>
      </c>
      <c r="P59" cm="1">
        <f t="array" aca="1" ref="P59" ca="1">INDEX(auto_DataFlat_Score,P25)</f>
        <v>36.200000000000003</v>
      </c>
      <c r="Q59" cm="1">
        <f t="array" aca="1" ref="Q59" ca="1">INDEX(auto_DataFlat_Score,Q25)</f>
        <v>84.5</v>
      </c>
      <c r="R59" cm="1">
        <f t="array" aca="1" ref="R59" ca="1">INDEX(auto_DataFlat_Score,R25)</f>
        <v>45.1</v>
      </c>
      <c r="S59" cm="1">
        <f t="array" aca="1" ref="S59" ca="1">INDEX(auto_DataFlat_Score,S25)</f>
        <v>44.8</v>
      </c>
    </row>
    <row r="60" spans="1:19" x14ac:dyDescent="0.4">
      <c r="A60">
        <v>13</v>
      </c>
      <c r="E60" cm="1">
        <f t="array" aca="1" ref="E60" ca="1">INDEX(auto_DataFlat_Score,E26)</f>
        <v>31.5</v>
      </c>
      <c r="F60" cm="1">
        <f t="array" aca="1" ref="F60" ca="1">INDEX(auto_DataFlat_Score,F26)</f>
        <v>48</v>
      </c>
      <c r="G60" cm="1">
        <f t="array" aca="1" ref="G60" ca="1">INDEX(auto_DataFlat_Score,G26)</f>
        <v>50.9</v>
      </c>
      <c r="H60" cm="1">
        <f t="array" aca="1" ref="H60" ca="1">INDEX(auto_DataFlat_Score,H26)</f>
        <v>94.4</v>
      </c>
      <c r="I60" cm="1">
        <f t="array" aca="1" ref="I60" ca="1">INDEX(auto_DataFlat_Score,I26)</f>
        <v>26</v>
      </c>
      <c r="J60" cm="1">
        <f t="array" aca="1" ref="J60" ca="1">INDEX(auto_DataFlat_Score,J26)</f>
        <v>55.2</v>
      </c>
      <c r="K60" cm="1">
        <f t="array" aca="1" ref="K60" ca="1">INDEX(auto_DataFlat_Score,K26)</f>
        <v>92.9</v>
      </c>
      <c r="L60" cm="1">
        <f t="array" aca="1" ref="L60" ca="1">INDEX(auto_DataFlat_Score,L26)</f>
        <v>91.4</v>
      </c>
      <c r="M60" cm="1">
        <f t="array" aca="1" ref="M60" ca="1">INDEX(auto_DataFlat_Score,M26)</f>
        <v>96.5</v>
      </c>
      <c r="N60" cm="1">
        <f t="array" aca="1" ref="N60" ca="1">INDEX(auto_DataFlat_Score,N26)</f>
        <v>21.2</v>
      </c>
      <c r="O60" cm="1">
        <f t="array" aca="1" ref="O60" ca="1">INDEX(auto_DataFlat_Score,O26)</f>
        <v>62.6</v>
      </c>
      <c r="P60" cm="1">
        <f t="array" aca="1" ref="P60" ca="1">INDEX(auto_DataFlat_Score,P26)</f>
        <v>38.799999999999997</v>
      </c>
      <c r="Q60" cm="1">
        <f t="array" aca="1" ref="Q60" ca="1">INDEX(auto_DataFlat_Score,Q26)</f>
        <v>44.8</v>
      </c>
      <c r="R60" cm="1">
        <f t="array" aca="1" ref="R60" ca="1">INDEX(auto_DataFlat_Score,R26)</f>
        <v>41.2</v>
      </c>
      <c r="S60" cm="1">
        <f t="array" aca="1" ref="S60" ca="1">INDEX(auto_DataFlat_Score,S26)</f>
        <v>95.8</v>
      </c>
    </row>
    <row r="61" spans="1:19" x14ac:dyDescent="0.4">
      <c r="A61">
        <v>14</v>
      </c>
      <c r="E61" cm="1">
        <f t="array" aca="1" ref="E61" ca="1">INDEX(auto_DataFlat_Score,E27)</f>
        <v>47.2</v>
      </c>
      <c r="F61" cm="1">
        <f t="array" aca="1" ref="F61" ca="1">INDEX(auto_DataFlat_Score,F27)</f>
        <v>39.6</v>
      </c>
      <c r="G61" cm="1">
        <f t="array" aca="1" ref="G61" ca="1">INDEX(auto_DataFlat_Score,G27)</f>
        <v>56.1</v>
      </c>
      <c r="H61" cm="1">
        <f t="array" aca="1" ref="H61" ca="1">INDEX(auto_DataFlat_Score,H27)</f>
        <v>60.5</v>
      </c>
      <c r="I61" cm="1">
        <f t="array" aca="1" ref="I61" ca="1">INDEX(auto_DataFlat_Score,I27)</f>
        <v>74.099999999999994</v>
      </c>
      <c r="J61" cm="1">
        <f t="array" aca="1" ref="J61" ca="1">INDEX(auto_DataFlat_Score,J27)</f>
        <v>80.599999999999994</v>
      </c>
      <c r="K61" cm="1">
        <f t="array" aca="1" ref="K61" ca="1">INDEX(auto_DataFlat_Score,K27)</f>
        <v>70</v>
      </c>
      <c r="L61" cm="1">
        <f t="array" aca="1" ref="L61" ca="1">INDEX(auto_DataFlat_Score,L27)</f>
        <v>56.9</v>
      </c>
      <c r="M61" cm="1">
        <f t="array" aca="1" ref="M61" ca="1">INDEX(auto_DataFlat_Score,M27)</f>
        <v>72.599999999999994</v>
      </c>
      <c r="N61" cm="1">
        <f t="array" aca="1" ref="N61" ca="1">INDEX(auto_DataFlat_Score,N27)</f>
        <v>39.700000000000003</v>
      </c>
      <c r="O61" cm="1">
        <f t="array" aca="1" ref="O61" ca="1">INDEX(auto_DataFlat_Score,O27)</f>
        <v>45.6</v>
      </c>
      <c r="P61" cm="1">
        <f t="array" aca="1" ref="P61" ca="1">INDEX(auto_DataFlat_Score,P27)</f>
        <v>56.4</v>
      </c>
      <c r="Q61" cm="1">
        <f t="array" aca="1" ref="Q61" ca="1">INDEX(auto_DataFlat_Score,Q27)</f>
        <v>39.700000000000003</v>
      </c>
      <c r="R61" cm="1">
        <f t="array" aca="1" ref="R61" ca="1">INDEX(auto_DataFlat_Score,R27)</f>
        <v>63</v>
      </c>
      <c r="S61" cm="1">
        <f t="array" aca="1" ref="S61" ca="1">INDEX(auto_DataFlat_Score,S27)</f>
        <v>77.400000000000006</v>
      </c>
    </row>
    <row r="62" spans="1:19" x14ac:dyDescent="0.4">
      <c r="A62">
        <v>15</v>
      </c>
      <c r="E62" cm="1">
        <f t="array" aca="1" ref="E62" ca="1">INDEX(auto_DataFlat_Score,E28)</f>
        <v>47.4</v>
      </c>
      <c r="F62" cm="1">
        <f t="array" aca="1" ref="F62" ca="1">INDEX(auto_DataFlat_Score,F28)</f>
        <v>39.4</v>
      </c>
      <c r="G62" cm="1">
        <f t="array" aca="1" ref="G62" ca="1">INDEX(auto_DataFlat_Score,G28)</f>
        <v>37.9</v>
      </c>
      <c r="H62" cm="1">
        <f t="array" aca="1" ref="H62" ca="1">INDEX(auto_DataFlat_Score,H28)</f>
        <v>93.9</v>
      </c>
      <c r="I62" cm="1">
        <f t="array" aca="1" ref="I62" ca="1">INDEX(auto_DataFlat_Score,I28)</f>
        <v>90.4</v>
      </c>
      <c r="J62" cm="1">
        <f t="array" aca="1" ref="J62" ca="1">INDEX(auto_DataFlat_Score,J28)</f>
        <v>88.3</v>
      </c>
      <c r="K62" cm="1">
        <f t="array" aca="1" ref="K62" ca="1">INDEX(auto_DataFlat_Score,K28)</f>
        <v>89.4</v>
      </c>
      <c r="L62" cm="1">
        <f t="array" aca="1" ref="L62" ca="1">INDEX(auto_DataFlat_Score,L28)</f>
        <v>95.9</v>
      </c>
      <c r="M62" cm="1">
        <f t="array" aca="1" ref="M62" ca="1">INDEX(auto_DataFlat_Score,M28)</f>
        <v>83.9</v>
      </c>
      <c r="N62" cm="1">
        <f t="array" aca="1" ref="N62" ca="1">INDEX(auto_DataFlat_Score,N28)</f>
        <v>37.700000000000003</v>
      </c>
      <c r="O62" cm="1">
        <f t="array" aca="1" ref="O62" ca="1">INDEX(auto_DataFlat_Score,O28)</f>
        <v>90.3</v>
      </c>
      <c r="P62" cm="1">
        <f t="array" aca="1" ref="P62" ca="1">INDEX(auto_DataFlat_Score,P28)</f>
        <v>87.9</v>
      </c>
      <c r="Q62" cm="1">
        <f t="array" aca="1" ref="Q62" ca="1">INDEX(auto_DataFlat_Score,Q28)</f>
        <v>33.6</v>
      </c>
      <c r="R62" cm="1">
        <f t="array" aca="1" ref="R62" ca="1">INDEX(auto_DataFlat_Score,R28)</f>
        <v>95.5</v>
      </c>
      <c r="S62" cm="1">
        <f t="array" aca="1" ref="S62" ca="1">INDEX(auto_DataFlat_Score,S28)</f>
        <v>88.9</v>
      </c>
    </row>
    <row r="63" spans="1:19" x14ac:dyDescent="0.4">
      <c r="A63">
        <v>16</v>
      </c>
      <c r="E63" cm="1">
        <f t="array" aca="1" ref="E63" ca="1">INDEX(auto_DataFlat_Score,E29)</f>
        <v>4.7</v>
      </c>
      <c r="F63" cm="1">
        <f t="array" aca="1" ref="F63" ca="1">INDEX(auto_DataFlat_Score,F29)</f>
        <v>23.4</v>
      </c>
      <c r="G63" cm="1">
        <f t="array" aca="1" ref="G63" ca="1">INDEX(auto_DataFlat_Score,G29)</f>
        <v>24.7</v>
      </c>
      <c r="H63" cm="1">
        <f t="array" aca="1" ref="H63" ca="1">INDEX(auto_DataFlat_Score,H29)</f>
        <v>21.9</v>
      </c>
      <c r="I63" cm="1">
        <f t="array" aca="1" ref="I63" ca="1">INDEX(auto_DataFlat_Score,I29)</f>
        <v>60.8</v>
      </c>
      <c r="J63" cm="1">
        <f t="array" aca="1" ref="J63" ca="1">INDEX(auto_DataFlat_Score,J29)</f>
        <v>100</v>
      </c>
      <c r="K63" cm="1">
        <f t="array" aca="1" ref="K63" ca="1">INDEX(auto_DataFlat_Score,K29)</f>
        <v>69.5</v>
      </c>
      <c r="L63" cm="1">
        <f t="array" aca="1" ref="L63" ca="1">INDEX(auto_DataFlat_Score,L29)</f>
        <v>12.3</v>
      </c>
      <c r="M63" cm="1">
        <f t="array" aca="1" ref="M63" ca="1">INDEX(auto_DataFlat_Score,M29)</f>
        <v>80.400000000000006</v>
      </c>
      <c r="N63" cm="1">
        <f t="array" aca="1" ref="N63" ca="1">INDEX(auto_DataFlat_Score,N29)</f>
        <v>50</v>
      </c>
      <c r="O63" cm="1">
        <f t="array" aca="1" ref="O63" ca="1">INDEX(auto_DataFlat_Score,O29)</f>
        <v>11.1</v>
      </c>
      <c r="P63" cm="1">
        <f t="array" aca="1" ref="P63" ca="1">INDEX(auto_DataFlat_Score,P29)</f>
        <v>13.9</v>
      </c>
      <c r="Q63" cm="1">
        <f t="array" aca="1" ref="Q63" ca="1">INDEX(auto_DataFlat_Score,Q29)</f>
        <v>5.7</v>
      </c>
      <c r="R63" cm="1">
        <f t="array" aca="1" ref="R63" ca="1">INDEX(auto_DataFlat_Score,R29)</f>
        <v>24.1</v>
      </c>
      <c r="S63" cm="1">
        <f t="array" aca="1" ref="S63" ca="1">INDEX(auto_DataFlat_Score,S29)</f>
        <v>68.3</v>
      </c>
    </row>
    <row r="64" spans="1:19" x14ac:dyDescent="0.4">
      <c r="A64">
        <v>17</v>
      </c>
      <c r="E64" cm="1">
        <f t="array" aca="1" ref="E64" ca="1">INDEX(auto_DataFlat_Score,E30)</f>
        <v>50</v>
      </c>
      <c r="F64" cm="1">
        <f t="array" aca="1" ref="F64" ca="1">INDEX(auto_DataFlat_Score,F30)</f>
        <v>50</v>
      </c>
      <c r="G64" cm="1">
        <f t="array" aca="1" ref="G64" ca="1">INDEX(auto_DataFlat_Score,G30)</f>
        <v>15</v>
      </c>
      <c r="H64" cm="1">
        <f t="array" aca="1" ref="H64" ca="1">INDEX(auto_DataFlat_Score,H30)</f>
        <v>50</v>
      </c>
      <c r="I64" cm="1">
        <f t="array" aca="1" ref="I64" ca="1">INDEX(auto_DataFlat_Score,I30)</f>
        <v>50</v>
      </c>
      <c r="J64" cm="1">
        <f t="array" aca="1" ref="J64" ca="1">INDEX(auto_DataFlat_Score,J30)</f>
        <v>100</v>
      </c>
      <c r="K64" cm="1">
        <f t="array" aca="1" ref="K64" ca="1">INDEX(auto_DataFlat_Score,K30)</f>
        <v>100</v>
      </c>
      <c r="L64" cm="1">
        <f t="array" aca="1" ref="L64" ca="1">INDEX(auto_DataFlat_Score,L30)</f>
        <v>50</v>
      </c>
      <c r="M64" cm="1">
        <f t="array" aca="1" ref="M64" ca="1">INDEX(auto_DataFlat_Score,M30)</f>
        <v>100</v>
      </c>
      <c r="N64" cm="1">
        <f t="array" aca="1" ref="N64" ca="1">INDEX(auto_DataFlat_Score,N30)</f>
        <v>10</v>
      </c>
      <c r="O64" cm="1">
        <f t="array" aca="1" ref="O64" ca="1">INDEX(auto_DataFlat_Score,O30)</f>
        <v>50</v>
      </c>
      <c r="P64" cm="1">
        <f t="array" aca="1" ref="P64" ca="1">INDEX(auto_DataFlat_Score,P30)</f>
        <v>50</v>
      </c>
      <c r="Q64" cm="1">
        <f t="array" aca="1" ref="Q64" ca="1">INDEX(auto_DataFlat_Score,Q30)</f>
        <v>50</v>
      </c>
      <c r="R64" cm="1">
        <f t="array" aca="1" ref="R64" ca="1">INDEX(auto_DataFlat_Score,R30)</f>
        <v>50</v>
      </c>
      <c r="S64" cm="1">
        <f t="array" aca="1" ref="S64" ca="1">INDEX(auto_DataFlat_Score,S30)</f>
        <v>50</v>
      </c>
    </row>
    <row r="65" spans="1:19" x14ac:dyDescent="0.4">
      <c r="A65">
        <v>18</v>
      </c>
      <c r="E65" cm="1">
        <f t="array" aca="1" ref="E65" ca="1">INDEX(auto_DataFlat_Score,E31)</f>
        <v>42.6</v>
      </c>
      <c r="F65" cm="1">
        <f t="array" aca="1" ref="F65" ca="1">INDEX(auto_DataFlat_Score,F31)</f>
        <v>33.200000000000003</v>
      </c>
      <c r="G65" cm="1">
        <f t="array" aca="1" ref="G65" ca="1">INDEX(auto_DataFlat_Score,G31)</f>
        <v>80</v>
      </c>
      <c r="H65" cm="1">
        <f t="array" aca="1" ref="H65" ca="1">INDEX(auto_DataFlat_Score,H31)</f>
        <v>78.8</v>
      </c>
      <c r="I65" cm="1">
        <f t="array" aca="1" ref="I65" ca="1">INDEX(auto_DataFlat_Score,I31)</f>
        <v>87.7</v>
      </c>
      <c r="J65" cm="1">
        <f t="array" aca="1" ref="J65" ca="1">INDEX(auto_DataFlat_Score,J31)</f>
        <v>92.9</v>
      </c>
      <c r="K65" cm="1">
        <f t="array" aca="1" ref="K65" ca="1">INDEX(auto_DataFlat_Score,K31)</f>
        <v>78.900000000000006</v>
      </c>
      <c r="L65" cm="1">
        <f t="array" aca="1" ref="L65" ca="1">INDEX(auto_DataFlat_Score,L31)</f>
        <v>78</v>
      </c>
      <c r="M65" cm="1">
        <f t="array" aca="1" ref="M65" ca="1">INDEX(auto_DataFlat_Score,M31)</f>
        <v>80.7</v>
      </c>
      <c r="N65" cm="1">
        <f t="array" aca="1" ref="N65" ca="1">INDEX(auto_DataFlat_Score,N31)</f>
        <v>34.5</v>
      </c>
      <c r="O65" cm="1">
        <f t="array" aca="1" ref="O65" ca="1">INDEX(auto_DataFlat_Score,O31)</f>
        <v>35.5</v>
      </c>
      <c r="P65" cm="1">
        <f t="array" aca="1" ref="P65" ca="1">INDEX(auto_DataFlat_Score,P31)</f>
        <v>33</v>
      </c>
      <c r="Q65" cm="1">
        <f t="array" aca="1" ref="Q65" ca="1">INDEX(auto_DataFlat_Score,Q31)</f>
        <v>36.1</v>
      </c>
      <c r="R65" cm="1">
        <f t="array" aca="1" ref="R65" ca="1">INDEX(auto_DataFlat_Score,R31)</f>
        <v>79.3</v>
      </c>
      <c r="S65" cm="1">
        <f t="array" aca="1" ref="S65" ca="1">INDEX(auto_DataFlat_Score,S31)</f>
        <v>91.7</v>
      </c>
    </row>
    <row r="66" spans="1:19" x14ac:dyDescent="0.4">
      <c r="A66">
        <v>19</v>
      </c>
      <c r="E66" cm="1">
        <f t="array" aca="1" ref="E66" ca="1">INDEX(auto_DataFlat_Score,E32)</f>
        <v>61.3</v>
      </c>
      <c r="F66" cm="1">
        <f t="array" aca="1" ref="F66" ca="1">INDEX(auto_DataFlat_Score,F32)</f>
        <v>81.900000000000006</v>
      </c>
      <c r="G66" cm="1">
        <f t="array" aca="1" ref="G66" ca="1">INDEX(auto_DataFlat_Score,G32)</f>
        <v>59.2</v>
      </c>
      <c r="H66" cm="1">
        <f t="array" aca="1" ref="H66" ca="1">INDEX(auto_DataFlat_Score,H32)</f>
        <v>59.6</v>
      </c>
      <c r="I66" cm="1">
        <f t="array" aca="1" ref="I66" ca="1">INDEX(auto_DataFlat_Score,I32)</f>
        <v>60.4</v>
      </c>
      <c r="J66" cm="1">
        <f t="array" aca="1" ref="J66" ca="1">INDEX(auto_DataFlat_Score,J32)</f>
        <v>61.4</v>
      </c>
      <c r="K66" cm="1">
        <f t="array" aca="1" ref="K66" ca="1">INDEX(auto_DataFlat_Score,K32)</f>
        <v>35.200000000000003</v>
      </c>
      <c r="L66" cm="1">
        <f t="array" aca="1" ref="L66" ca="1">INDEX(auto_DataFlat_Score,L32)</f>
        <v>34.5</v>
      </c>
      <c r="M66" cm="1">
        <f t="array" aca="1" ref="M66" ca="1">INDEX(auto_DataFlat_Score,M32)</f>
        <v>50.9</v>
      </c>
      <c r="N66" cm="1">
        <f t="array" aca="1" ref="N66" ca="1">INDEX(auto_DataFlat_Score,N32)</f>
        <v>55.9</v>
      </c>
      <c r="O66" cm="1">
        <f t="array" aca="1" ref="O66" ca="1">INDEX(auto_DataFlat_Score,O32)</f>
        <v>32.200000000000003</v>
      </c>
      <c r="P66" cm="1">
        <f t="array" aca="1" ref="P66" ca="1">INDEX(auto_DataFlat_Score,P32)</f>
        <v>59.5</v>
      </c>
      <c r="Q66" cm="1">
        <f t="array" aca="1" ref="Q66" ca="1">INDEX(auto_DataFlat_Score,Q32)</f>
        <v>85.6</v>
      </c>
      <c r="R66" cm="1">
        <f t="array" aca="1" ref="R66" ca="1">INDEX(auto_DataFlat_Score,R32)</f>
        <v>79.3</v>
      </c>
      <c r="S66" cm="1">
        <f t="array" aca="1" ref="S66" ca="1">INDEX(auto_DataFlat_Score,S32)</f>
        <v>82.1</v>
      </c>
    </row>
    <row r="67" spans="1:19" x14ac:dyDescent="0.4">
      <c r="A67">
        <v>20</v>
      </c>
      <c r="E67" cm="1">
        <f t="array" aca="1" ref="E67" ca="1">INDEX(auto_DataFlat_Score,E33)</f>
        <v>46.7</v>
      </c>
      <c r="F67" cm="1">
        <f t="array" aca="1" ref="F67" ca="1">INDEX(auto_DataFlat_Score,F33)</f>
        <v>45.1</v>
      </c>
      <c r="G67" cm="1">
        <f t="array" aca="1" ref="G67" ca="1">INDEX(auto_DataFlat_Score,G33)</f>
        <v>96</v>
      </c>
      <c r="H67" cm="1">
        <f t="array" aca="1" ref="H67" ca="1">INDEX(auto_DataFlat_Score,H33)</f>
        <v>97.8</v>
      </c>
      <c r="I67" cm="1">
        <f t="array" aca="1" ref="I67" ca="1">INDEX(auto_DataFlat_Score,I33)</f>
        <v>98.9</v>
      </c>
      <c r="J67" cm="1">
        <f t="array" aca="1" ref="J67" ca="1">INDEX(auto_DataFlat_Score,J33)</f>
        <v>98.9</v>
      </c>
      <c r="K67" cm="1">
        <f t="array" aca="1" ref="K67" ca="1">INDEX(auto_DataFlat_Score,K33)</f>
        <v>97.6</v>
      </c>
      <c r="L67" cm="1">
        <f t="array" aca="1" ref="L67" ca="1">INDEX(auto_DataFlat_Score,L33)</f>
        <v>95.1</v>
      </c>
      <c r="M67" cm="1">
        <f t="array" aca="1" ref="M67" ca="1">INDEX(auto_DataFlat_Score,M33)</f>
        <v>98.1</v>
      </c>
      <c r="N67" cm="1">
        <f t="array" aca="1" ref="N67" ca="1">INDEX(auto_DataFlat_Score,N33)</f>
        <v>45.1</v>
      </c>
      <c r="O67" cm="1">
        <f t="array" aca="1" ref="O67" ca="1">INDEX(auto_DataFlat_Score,O33)</f>
        <v>47.6</v>
      </c>
      <c r="P67" cm="1">
        <f t="array" aca="1" ref="P67" ca="1">INDEX(auto_DataFlat_Score,P33)</f>
        <v>96.1</v>
      </c>
      <c r="Q67" cm="1">
        <f t="array" aca="1" ref="Q67" ca="1">INDEX(auto_DataFlat_Score,Q33)</f>
        <v>41</v>
      </c>
      <c r="R67" cm="1">
        <f t="array" aca="1" ref="R67" ca="1">INDEX(auto_DataFlat_Score,R33)</f>
        <v>95.6</v>
      </c>
      <c r="S67" cm="1">
        <f t="array" aca="1" ref="S67" ca="1">INDEX(auto_DataFlat_Score,S33)</f>
        <v>97.8</v>
      </c>
    </row>
    <row r="68" spans="1:19" x14ac:dyDescent="0.4">
      <c r="A68">
        <v>21</v>
      </c>
      <c r="E68" cm="1">
        <f t="array" aca="1" ref="E68" ca="1">INDEX(auto_DataFlat_Score,E34)</f>
        <v>94.6</v>
      </c>
      <c r="F68" cm="1">
        <f t="array" aca="1" ref="F68" ca="1">INDEX(auto_DataFlat_Score,F34)</f>
        <v>21.2</v>
      </c>
      <c r="G68" cm="1">
        <f t="array" aca="1" ref="G68" ca="1">INDEX(auto_DataFlat_Score,G34)</f>
        <v>63.8</v>
      </c>
      <c r="H68" cm="1">
        <f t="array" aca="1" ref="H68" ca="1">INDEX(auto_DataFlat_Score,H34)</f>
        <v>66.3</v>
      </c>
      <c r="I68" cm="1">
        <f t="array" aca="1" ref="I68" ca="1">INDEX(auto_DataFlat_Score,I34)</f>
        <v>77.2</v>
      </c>
      <c r="J68" cm="1">
        <f t="array" aca="1" ref="J68" ca="1">INDEX(auto_DataFlat_Score,J34)</f>
        <v>81.3</v>
      </c>
      <c r="K68" cm="1">
        <f t="array" aca="1" ref="K68" ca="1">INDEX(auto_DataFlat_Score,K34)</f>
        <v>73.099999999999994</v>
      </c>
      <c r="L68" cm="1">
        <f t="array" aca="1" ref="L68" ca="1">INDEX(auto_DataFlat_Score,L34)</f>
        <v>70.099999999999994</v>
      </c>
      <c r="M68" cm="1">
        <f t="array" aca="1" ref="M68" ca="1">INDEX(auto_DataFlat_Score,M34)</f>
        <v>68.900000000000006</v>
      </c>
      <c r="N68" cm="1">
        <f t="array" aca="1" ref="N68" ca="1">INDEX(auto_DataFlat_Score,N34)</f>
        <v>63.3</v>
      </c>
      <c r="O68" cm="1">
        <f t="array" aca="1" ref="O68" ca="1">INDEX(auto_DataFlat_Score,O34)</f>
        <v>80.599999999999994</v>
      </c>
      <c r="P68" cm="1">
        <f t="array" aca="1" ref="P68" ca="1">INDEX(auto_DataFlat_Score,P34)</f>
        <v>85.3</v>
      </c>
      <c r="Q68" cm="1">
        <f t="array" aca="1" ref="Q68" ca="1">INDEX(auto_DataFlat_Score,Q34)</f>
        <v>36.5</v>
      </c>
      <c r="R68" cm="1">
        <f t="array" aca="1" ref="R68" ca="1">INDEX(auto_DataFlat_Score,R34)</f>
        <v>64.3</v>
      </c>
      <c r="S68" cm="1">
        <f t="array" aca="1" ref="S68" ca="1">INDEX(auto_DataFlat_Score,S34)</f>
        <v>72.400000000000006</v>
      </c>
    </row>
    <row r="69" spans="1:19" x14ac:dyDescent="0.4">
      <c r="A69">
        <v>22</v>
      </c>
      <c r="E69" cm="1">
        <f t="array" aca="1" ref="E69" ca="1">INDEX(auto_DataFlat_Score,E35)</f>
        <v>30.5</v>
      </c>
      <c r="F69" cm="1">
        <f t="array" aca="1" ref="F69" ca="1">INDEX(auto_DataFlat_Score,F35)</f>
        <v>22.4</v>
      </c>
      <c r="G69" cm="1">
        <f t="array" aca="1" ref="G69" ca="1">INDEX(auto_DataFlat_Score,G35)</f>
        <v>72.3</v>
      </c>
      <c r="H69" cm="1">
        <f t="array" aca="1" ref="H69" ca="1">INDEX(auto_DataFlat_Score,H35)</f>
        <v>16.2</v>
      </c>
      <c r="I69" cm="1">
        <f t="array" aca="1" ref="I69" ca="1">INDEX(auto_DataFlat_Score,I35)</f>
        <v>67</v>
      </c>
      <c r="J69" cm="1">
        <f t="array" aca="1" ref="J69" ca="1">INDEX(auto_DataFlat_Score,J35)</f>
        <v>22</v>
      </c>
      <c r="K69" cm="1">
        <f t="array" aca="1" ref="K69" ca="1">INDEX(auto_DataFlat_Score,K35)</f>
        <v>16.3</v>
      </c>
      <c r="L69" cm="1">
        <f t="array" aca="1" ref="L69" ca="1">INDEX(auto_DataFlat_Score,L35)</f>
        <v>19.2</v>
      </c>
      <c r="M69" cm="1">
        <f t="array" aca="1" ref="M69" ca="1">INDEX(auto_DataFlat_Score,M35)</f>
        <v>18</v>
      </c>
      <c r="N69" cm="1">
        <f t="array" aca="1" ref="N69" ca="1">INDEX(auto_DataFlat_Score,N35)</f>
        <v>21.4</v>
      </c>
      <c r="O69" cm="1">
        <f t="array" aca="1" ref="O69" ca="1">INDEX(auto_DataFlat_Score,O35)</f>
        <v>17.600000000000001</v>
      </c>
      <c r="P69" cm="1">
        <f t="array" aca="1" ref="P69" ca="1">INDEX(auto_DataFlat_Score,P35)</f>
        <v>25.8</v>
      </c>
      <c r="Q69" cm="1">
        <f t="array" aca="1" ref="Q69" ca="1">INDEX(auto_DataFlat_Score,Q35)</f>
        <v>28.8</v>
      </c>
      <c r="R69" cm="1">
        <f t="array" aca="1" ref="R69" ca="1">INDEX(auto_DataFlat_Score,R35)</f>
        <v>15.9</v>
      </c>
      <c r="S69" cm="1">
        <f t="array" aca="1" ref="S69" ca="1">INDEX(auto_DataFlat_Score,S35)</f>
        <v>68.400000000000006</v>
      </c>
    </row>
    <row r="70" spans="1:19" x14ac:dyDescent="0.4">
      <c r="A70">
        <v>23</v>
      </c>
      <c r="E70" cm="1">
        <f t="array" aca="1" ref="E70" ca="1">INDEX(auto_DataFlat_Score,E36)</f>
        <v>19.100000000000001</v>
      </c>
      <c r="F70" cm="1">
        <f t="array" aca="1" ref="F70" ca="1">INDEX(auto_DataFlat_Score,F36)</f>
        <v>52.5</v>
      </c>
      <c r="G70" cm="1">
        <f t="array" aca="1" ref="G70" ca="1">INDEX(auto_DataFlat_Score,G36)</f>
        <v>66.900000000000006</v>
      </c>
      <c r="H70" cm="1">
        <f t="array" aca="1" ref="H70" ca="1">INDEX(auto_DataFlat_Score,H36)</f>
        <v>79.400000000000006</v>
      </c>
      <c r="I70" cm="1">
        <f t="array" aca="1" ref="I70" ca="1">INDEX(auto_DataFlat_Score,I36)</f>
        <v>78.3</v>
      </c>
      <c r="J70" cm="1">
        <f t="array" aca="1" ref="J70" ca="1">INDEX(auto_DataFlat_Score,J36)</f>
        <v>37.6</v>
      </c>
      <c r="K70" cm="1">
        <f t="array" aca="1" ref="K70" ca="1">INDEX(auto_DataFlat_Score,K36)</f>
        <v>87.6</v>
      </c>
      <c r="L70" cm="1">
        <f t="array" aca="1" ref="L70" ca="1">INDEX(auto_DataFlat_Score,L36)</f>
        <v>70.8</v>
      </c>
      <c r="M70" cm="1">
        <f t="array" aca="1" ref="M70" ca="1">INDEX(auto_DataFlat_Score,M36)</f>
        <v>60.8</v>
      </c>
      <c r="N70" cm="1">
        <f t="array" aca="1" ref="N70" ca="1">INDEX(auto_DataFlat_Score,N36)</f>
        <v>47.8</v>
      </c>
      <c r="O70" cm="1">
        <f t="array" aca="1" ref="O70" ca="1">INDEX(auto_DataFlat_Score,O36)</f>
        <v>77.8</v>
      </c>
      <c r="P70" cm="1">
        <f t="array" aca="1" ref="P70" ca="1">INDEX(auto_DataFlat_Score,P36)</f>
        <v>71</v>
      </c>
      <c r="Q70" cm="1">
        <f t="array" aca="1" ref="Q70" ca="1">INDEX(auto_DataFlat_Score,Q36)</f>
        <v>39.1</v>
      </c>
      <c r="R70" cm="1">
        <f t="array" aca="1" ref="R70" ca="1">INDEX(auto_DataFlat_Score,R36)</f>
        <v>44.8</v>
      </c>
      <c r="S70" cm="1">
        <f t="array" aca="1" ref="S70" ca="1">INDEX(auto_DataFlat_Score,S36)</f>
        <v>87.3</v>
      </c>
    </row>
    <row r="71" spans="1:19" x14ac:dyDescent="0.4">
      <c r="A71">
        <v>24</v>
      </c>
      <c r="E71" cm="1">
        <f t="array" aca="1" ref="E71" ca="1">INDEX(auto_DataFlat_Score,E37)</f>
        <v>0</v>
      </c>
      <c r="F71" cm="1">
        <f t="array" aca="1" ref="F71" ca="1">INDEX(auto_DataFlat_Score,F37)</f>
        <v>100</v>
      </c>
      <c r="G71" cm="1">
        <f t="array" aca="1" ref="G71" ca="1">INDEX(auto_DataFlat_Score,G37)</f>
        <v>100</v>
      </c>
      <c r="H71" cm="1">
        <f t="array" aca="1" ref="H71" ca="1">INDEX(auto_DataFlat_Score,H37)</f>
        <v>100</v>
      </c>
      <c r="I71" cm="1">
        <f t="array" aca="1" ref="I71" ca="1">INDEX(auto_DataFlat_Score,I37)</f>
        <v>100</v>
      </c>
      <c r="J71" cm="1">
        <f t="array" aca="1" ref="J71" ca="1">INDEX(auto_DataFlat_Score,J37)</f>
        <v>50</v>
      </c>
      <c r="K71" cm="1">
        <f t="array" aca="1" ref="K71" ca="1">INDEX(auto_DataFlat_Score,K37)</f>
        <v>100</v>
      </c>
      <c r="L71" cm="1">
        <f t="array" aca="1" ref="L71" ca="1">INDEX(auto_DataFlat_Score,L37)</f>
        <v>50</v>
      </c>
      <c r="M71" cm="1">
        <f t="array" aca="1" ref="M71" ca="1">INDEX(auto_DataFlat_Score,M37)</f>
        <v>100</v>
      </c>
      <c r="N71" cm="1">
        <f t="array" aca="1" ref="N71" ca="1">INDEX(auto_DataFlat_Score,N37)</f>
        <v>100</v>
      </c>
      <c r="O71" cm="1">
        <f t="array" aca="1" ref="O71" ca="1">INDEX(auto_DataFlat_Score,O37)</f>
        <v>100</v>
      </c>
      <c r="P71" cm="1">
        <f t="array" aca="1" ref="P71" ca="1">INDEX(auto_DataFlat_Score,P37)</f>
        <v>100</v>
      </c>
      <c r="Q71" cm="1">
        <f t="array" aca="1" ref="Q71" ca="1">INDEX(auto_DataFlat_Score,Q37)</f>
        <v>50</v>
      </c>
      <c r="R71" cm="1">
        <f t="array" aca="1" ref="R71" ca="1">INDEX(auto_DataFlat_Score,R37)</f>
        <v>100</v>
      </c>
      <c r="S71" cm="1">
        <f t="array" aca="1" ref="S71" ca="1">INDEX(auto_DataFlat_Score,S37)</f>
        <v>100</v>
      </c>
    </row>
    <row r="72" spans="1:19" x14ac:dyDescent="0.4">
      <c r="A72">
        <v>25</v>
      </c>
      <c r="E72" cm="1">
        <f t="array" aca="1" ref="E72" ca="1">INDEX(auto_DataFlat_Score,E38)</f>
        <v>34</v>
      </c>
      <c r="F72" cm="1">
        <f t="array" aca="1" ref="F72" ca="1">INDEX(auto_DataFlat_Score,F38)</f>
        <v>50</v>
      </c>
      <c r="G72" cm="1">
        <f t="array" aca="1" ref="G72" ca="1">INDEX(auto_DataFlat_Score,G38)</f>
        <v>80</v>
      </c>
      <c r="H72" cm="1">
        <f t="array" aca="1" ref="H72" ca="1">INDEX(auto_DataFlat_Score,H38)</f>
        <v>63</v>
      </c>
      <c r="I72" cm="1">
        <f t="array" aca="1" ref="I72" ca="1">INDEX(auto_DataFlat_Score,I38)</f>
        <v>53</v>
      </c>
      <c r="J72" cm="1">
        <f t="array" aca="1" ref="J72" ca="1">INDEX(auto_DataFlat_Score,J38)</f>
        <v>52</v>
      </c>
      <c r="K72" cm="1">
        <f t="array" aca="1" ref="K72" ca="1">INDEX(auto_DataFlat_Score,K38)</f>
        <v>72</v>
      </c>
      <c r="L72" cm="1">
        <f t="array" aca="1" ref="L72" ca="1">INDEX(auto_DataFlat_Score,L38)</f>
        <v>69</v>
      </c>
      <c r="M72" cm="1">
        <f t="array" aca="1" ref="M72" ca="1">INDEX(auto_DataFlat_Score,M38)</f>
        <v>60</v>
      </c>
      <c r="N72" cm="1">
        <f t="array" aca="1" ref="N72" ca="1">INDEX(auto_DataFlat_Score,N38)</f>
        <v>53</v>
      </c>
      <c r="O72" cm="1">
        <f t="array" aca="1" ref="O72" ca="1">INDEX(auto_DataFlat_Score,O38)</f>
        <v>47</v>
      </c>
      <c r="P72" cm="1">
        <f t="array" aca="1" ref="P72" ca="1">INDEX(auto_DataFlat_Score,P38)</f>
        <v>37</v>
      </c>
      <c r="Q72" cm="1">
        <f t="array" aca="1" ref="Q72" ca="1">INDEX(auto_DataFlat_Score,Q38)</f>
        <v>50</v>
      </c>
      <c r="R72" cm="1">
        <f t="array" aca="1" ref="R72" ca="1">INDEX(auto_DataFlat_Score,R38)</f>
        <v>43</v>
      </c>
      <c r="S72" cm="1">
        <f t="array" aca="1" ref="S72" ca="1">INDEX(auto_DataFlat_Score,S38)</f>
        <v>68</v>
      </c>
    </row>
    <row r="73" spans="1:19" x14ac:dyDescent="0.4">
      <c r="A73">
        <v>26</v>
      </c>
      <c r="E73" cm="1">
        <f t="array" aca="1" ref="E73" ca="1">INDEX(auto_DataFlat_Score,E39)</f>
        <v>42.4</v>
      </c>
      <c r="F73" cm="1">
        <f t="array" aca="1" ref="F73" ca="1">INDEX(auto_DataFlat_Score,F39)</f>
        <v>59.8</v>
      </c>
      <c r="G73" cm="1">
        <f t="array" aca="1" ref="G73" ca="1">INDEX(auto_DataFlat_Score,G39)</f>
        <v>87.5</v>
      </c>
      <c r="H73" cm="1">
        <f t="array" aca="1" ref="H73" ca="1">INDEX(auto_DataFlat_Score,H39)</f>
        <v>54.6</v>
      </c>
      <c r="I73" cm="1">
        <f t="array" aca="1" ref="I73" ca="1">INDEX(auto_DataFlat_Score,I39)</f>
        <v>60.3</v>
      </c>
      <c r="J73" cm="1">
        <f t="array" aca="1" ref="J73" ca="1">INDEX(auto_DataFlat_Score,J39)</f>
        <v>48.3</v>
      </c>
      <c r="K73" cm="1">
        <f t="array" aca="1" ref="K73" ca="1">INDEX(auto_DataFlat_Score,K39)</f>
        <v>78.3</v>
      </c>
      <c r="L73" cm="1">
        <f t="array" aca="1" ref="L73" ca="1">INDEX(auto_DataFlat_Score,L39)</f>
        <v>64</v>
      </c>
      <c r="M73" cm="1">
        <f t="array" aca="1" ref="M73" ca="1">INDEX(auto_DataFlat_Score,M39)</f>
        <v>83.3</v>
      </c>
      <c r="N73" cm="1">
        <f t="array" aca="1" ref="N73" ca="1">INDEX(auto_DataFlat_Score,N39)</f>
        <v>38</v>
      </c>
      <c r="O73" cm="1">
        <f t="array" aca="1" ref="O73" ca="1">INDEX(auto_DataFlat_Score,O39)</f>
        <v>64.2</v>
      </c>
      <c r="P73" cm="1">
        <f t="array" aca="1" ref="P73" ca="1">INDEX(auto_DataFlat_Score,P39)</f>
        <v>46.9</v>
      </c>
      <c r="Q73" cm="1">
        <f t="array" aca="1" ref="Q73" ca="1">INDEX(auto_DataFlat_Score,Q39)</f>
        <v>56.5</v>
      </c>
      <c r="R73" cm="1">
        <f t="array" aca="1" ref="R73" ca="1">INDEX(auto_DataFlat_Score,R39)</f>
        <v>36</v>
      </c>
      <c r="S73" cm="1">
        <f t="array" aca="1" ref="S73" ca="1">INDEX(auto_DataFlat_Score,S39)</f>
        <v>81.2</v>
      </c>
    </row>
    <row r="74" spans="1:19" x14ac:dyDescent="0.4">
      <c r="A74">
        <v>27</v>
      </c>
      <c r="E74" cm="1">
        <f t="array" aca="1" ref="E74" ca="1">INDEX(auto_DataFlat_Score,E40)</f>
        <v>0</v>
      </c>
      <c r="F74" cm="1">
        <f t="array" aca="1" ref="F74" ca="1">INDEX(auto_DataFlat_Score,F40)</f>
        <v>0</v>
      </c>
      <c r="G74" cm="1">
        <f t="array" aca="1" ref="G74" ca="1">INDEX(auto_DataFlat_Score,G40)</f>
        <v>0</v>
      </c>
      <c r="H74" cm="1">
        <f t="array" aca="1" ref="H74" ca="1">INDEX(auto_DataFlat_Score,H40)</f>
        <v>100</v>
      </c>
      <c r="I74" cm="1">
        <f t="array" aca="1" ref="I74" ca="1">INDEX(auto_DataFlat_Score,I40)</f>
        <v>100</v>
      </c>
      <c r="J74" cm="1">
        <f t="array" aca="1" ref="J74" ca="1">INDEX(auto_DataFlat_Score,J40)</f>
        <v>0</v>
      </c>
      <c r="K74" cm="1">
        <f t="array" aca="1" ref="K74" ca="1">INDEX(auto_DataFlat_Score,K40)</f>
        <v>100</v>
      </c>
      <c r="L74" cm="1">
        <f t="array" aca="1" ref="L74" ca="1">INDEX(auto_DataFlat_Score,L40)</f>
        <v>100</v>
      </c>
      <c r="M74" cm="1">
        <f t="array" aca="1" ref="M74" ca="1">INDEX(auto_DataFlat_Score,M40)</f>
        <v>0</v>
      </c>
      <c r="N74" cm="1">
        <f t="array" aca="1" ref="N74" ca="1">INDEX(auto_DataFlat_Score,N40)</f>
        <v>0</v>
      </c>
      <c r="O74" cm="1">
        <f t="array" aca="1" ref="O74" ca="1">INDEX(auto_DataFlat_Score,O40)</f>
        <v>100</v>
      </c>
      <c r="P74" cm="1">
        <f t="array" aca="1" ref="P74" ca="1">INDEX(auto_DataFlat_Score,P40)</f>
        <v>100</v>
      </c>
      <c r="Q74" cm="1">
        <f t="array" aca="1" ref="Q74" ca="1">INDEX(auto_DataFlat_Score,Q40)</f>
        <v>0</v>
      </c>
      <c r="R74" cm="1">
        <f t="array" aca="1" ref="R74" ca="1">INDEX(auto_DataFlat_Score,R40)</f>
        <v>0</v>
      </c>
      <c r="S74" cm="1">
        <f t="array" aca="1" ref="S74" ca="1">INDEX(auto_DataFlat_Score,S40)</f>
        <v>100</v>
      </c>
    </row>
    <row r="75" spans="1:19" x14ac:dyDescent="0.4">
      <c r="A75">
        <v>28</v>
      </c>
      <c r="E75" cm="1">
        <f t="array" aca="1" ref="E75" ca="1">INDEX(auto_DataFlat_Score,E41)</f>
        <v>67.599999999999994</v>
      </c>
      <c r="F75" cm="1">
        <f t="array" aca="1" ref="F75" ca="1">INDEX(auto_DataFlat_Score,F41)</f>
        <v>38</v>
      </c>
      <c r="G75" cm="1">
        <f t="array" aca="1" ref="G75" ca="1">INDEX(auto_DataFlat_Score,G41)</f>
        <v>68.5</v>
      </c>
      <c r="H75" cm="1">
        <f t="array" aca="1" ref="H75" ca="1">INDEX(auto_DataFlat_Score,H41)</f>
        <v>75.900000000000006</v>
      </c>
      <c r="I75" cm="1">
        <f t="array" aca="1" ref="I75" ca="1">INDEX(auto_DataFlat_Score,I41)</f>
        <v>75.900000000000006</v>
      </c>
      <c r="J75" cm="1">
        <f t="array" aca="1" ref="J75" ca="1">INDEX(auto_DataFlat_Score,J41)</f>
        <v>74.099999999999994</v>
      </c>
      <c r="K75" cm="1">
        <f t="array" aca="1" ref="K75" ca="1">INDEX(auto_DataFlat_Score,K41)</f>
        <v>80.599999999999994</v>
      </c>
      <c r="L75" cm="1">
        <f t="array" aca="1" ref="L75" ca="1">INDEX(auto_DataFlat_Score,L41)</f>
        <v>78.7</v>
      </c>
      <c r="M75" cm="1">
        <f t="array" aca="1" ref="M75" ca="1">INDEX(auto_DataFlat_Score,M41)</f>
        <v>66.7</v>
      </c>
      <c r="N75" cm="1">
        <f t="array" aca="1" ref="N75" ca="1">INDEX(auto_DataFlat_Score,N41)</f>
        <v>53.7</v>
      </c>
      <c r="O75" cm="1">
        <f t="array" aca="1" ref="O75" ca="1">INDEX(auto_DataFlat_Score,O41)</f>
        <v>55.6</v>
      </c>
      <c r="P75" cm="1">
        <f t="array" aca="1" ref="P75" ca="1">INDEX(auto_DataFlat_Score,P41)</f>
        <v>77.8</v>
      </c>
      <c r="Q75" cm="1">
        <f t="array" aca="1" ref="Q75" ca="1">INDEX(auto_DataFlat_Score,Q41)</f>
        <v>46.3</v>
      </c>
      <c r="R75" cm="1">
        <f t="array" aca="1" ref="R75" ca="1">INDEX(auto_DataFlat_Score,R41)</f>
        <v>81.5</v>
      </c>
      <c r="S75" cm="1">
        <f t="array" aca="1" ref="S75" ca="1">INDEX(auto_DataFlat_Score,S41)</f>
        <v>74.099999999999994</v>
      </c>
    </row>
    <row r="76" spans="1:19" x14ac:dyDescent="0.4">
      <c r="A76">
        <v>29</v>
      </c>
      <c r="E76" cm="1">
        <f t="array" aca="1" ref="E76" ca="1">INDEX(auto_DataFlat_Score,E42)</f>
        <v>100</v>
      </c>
      <c r="F76" cm="1">
        <f t="array" aca="1" ref="F76" ca="1">INDEX(auto_DataFlat_Score,F42)</f>
        <v>0</v>
      </c>
      <c r="G76" cm="1">
        <f t="array" aca="1" ref="G76" ca="1">INDEX(auto_DataFlat_Score,G42)</f>
        <v>100</v>
      </c>
      <c r="H76" cm="1">
        <f t="array" aca="1" ref="H76" ca="1">INDEX(auto_DataFlat_Score,H42)</f>
        <v>0</v>
      </c>
      <c r="I76" cm="1">
        <f t="array" aca="1" ref="I76" ca="1">INDEX(auto_DataFlat_Score,I42)</f>
        <v>0</v>
      </c>
      <c r="J76" cm="1">
        <f t="array" aca="1" ref="J76" ca="1">INDEX(auto_DataFlat_Score,J42)</f>
        <v>100</v>
      </c>
      <c r="K76" cm="1">
        <f t="array" aca="1" ref="K76" ca="1">INDEX(auto_DataFlat_Score,K42)</f>
        <v>100</v>
      </c>
      <c r="L76" cm="1">
        <f t="array" aca="1" ref="L76" ca="1">INDEX(auto_DataFlat_Score,L42)</f>
        <v>100</v>
      </c>
      <c r="M76" cm="1">
        <f t="array" aca="1" ref="M76" ca="1">INDEX(auto_DataFlat_Score,M42)</f>
        <v>0</v>
      </c>
      <c r="N76" cm="1">
        <f t="array" aca="1" ref="N76" ca="1">INDEX(auto_DataFlat_Score,N42)</f>
        <v>0</v>
      </c>
      <c r="O76" cm="1">
        <f t="array" aca="1" ref="O76" ca="1">INDEX(auto_DataFlat_Score,O42)</f>
        <v>0</v>
      </c>
      <c r="P76" cm="1">
        <f t="array" aca="1" ref="P76" ca="1">INDEX(auto_DataFlat_Score,P42)</f>
        <v>0</v>
      </c>
      <c r="Q76" cm="1">
        <f t="array" aca="1" ref="Q76" ca="1">INDEX(auto_DataFlat_Score,Q42)</f>
        <v>0</v>
      </c>
      <c r="R76" cm="1">
        <f t="array" aca="1" ref="R76" ca="1">INDEX(auto_DataFlat_Score,R42)</f>
        <v>100</v>
      </c>
      <c r="S76" cm="1">
        <f t="array" aca="1" ref="S76" ca="1">INDEX(auto_DataFlat_Score,S42)</f>
        <v>0</v>
      </c>
    </row>
    <row r="80" spans="1:19" x14ac:dyDescent="0.4">
      <c r="E80" t="s">
        <v>1097</v>
      </c>
    </row>
    <row r="81" spans="1:21" x14ac:dyDescent="0.4">
      <c r="E81">
        <v>1</v>
      </c>
      <c r="F81">
        <v>2</v>
      </c>
      <c r="G81">
        <v>3</v>
      </c>
      <c r="H81">
        <v>4</v>
      </c>
      <c r="I81">
        <v>5</v>
      </c>
      <c r="J81">
        <v>6</v>
      </c>
      <c r="K81">
        <v>7</v>
      </c>
      <c r="L81">
        <v>8</v>
      </c>
      <c r="M81">
        <v>9</v>
      </c>
      <c r="N81">
        <v>10</v>
      </c>
      <c r="O81">
        <v>11</v>
      </c>
      <c r="P81">
        <v>12</v>
      </c>
      <c r="Q81">
        <v>13</v>
      </c>
      <c r="R81">
        <v>14</v>
      </c>
      <c r="S81">
        <v>15</v>
      </c>
    </row>
    <row r="82" spans="1:21" x14ac:dyDescent="0.4">
      <c r="A82">
        <v>1</v>
      </c>
      <c r="B82">
        <f ca="1">B14</f>
        <v>1</v>
      </c>
      <c r="C82" t="str">
        <f ca="1">C14</f>
        <v>OVERALL</v>
      </c>
      <c r="E82" cm="1">
        <f t="array" aca="1" ref="E82" ca="1">INDEX(auto_DataFlat_Classification,E14)</f>
        <v>3</v>
      </c>
      <c r="F82" cm="1">
        <f t="array" aca="1" ref="F82" ca="1">INDEX(auto_DataFlat_Classification,F14)</f>
        <v>3</v>
      </c>
      <c r="G82" cm="1">
        <f t="array" aca="1" ref="G82" ca="1">INDEX(auto_DataFlat_Classification,G14)</f>
        <v>4</v>
      </c>
      <c r="H82" cm="1">
        <f t="array" aca="1" ref="H82" ca="1">INDEX(auto_DataFlat_Classification,H14)</f>
        <v>4</v>
      </c>
      <c r="I82" cm="1">
        <f t="array" aca="1" ref="I82" ca="1">INDEX(auto_DataFlat_Classification,I14)</f>
        <v>4</v>
      </c>
      <c r="J82" cm="1">
        <f t="array" aca="1" ref="J82" ca="1">INDEX(auto_DataFlat_Classification,J14)</f>
        <v>4</v>
      </c>
      <c r="K82" cm="1">
        <f t="array" aca="1" ref="K82" ca="1">INDEX(auto_DataFlat_Classification,K14)</f>
        <v>4</v>
      </c>
      <c r="L82" cm="1">
        <f t="array" aca="1" ref="L82" ca="1">INDEX(auto_DataFlat_Classification,L14)</f>
        <v>4</v>
      </c>
      <c r="M82" cm="1">
        <f t="array" aca="1" ref="M82" ca="1">INDEX(auto_DataFlat_Classification,M14)</f>
        <v>4</v>
      </c>
      <c r="N82" cm="1">
        <f t="array" aca="1" ref="N82" ca="1">INDEX(auto_DataFlat_Classification,N14)</f>
        <v>3</v>
      </c>
      <c r="O82" cm="1">
        <f t="array" aca="1" ref="O82" ca="1">INDEX(auto_DataFlat_Classification,O14)</f>
        <v>3</v>
      </c>
      <c r="P82" cm="1">
        <f t="array" aca="1" ref="P82" ca="1">INDEX(auto_DataFlat_Classification,P14)</f>
        <v>3</v>
      </c>
      <c r="Q82" cm="1">
        <f t="array" aca="1" ref="Q82" ca="1">INDEX(auto_DataFlat_Classification,Q14)</f>
        <v>3</v>
      </c>
      <c r="R82" cm="1">
        <f t="array" aca="1" ref="R82" ca="1">INDEX(auto_DataFlat_Classification,R14)</f>
        <v>4</v>
      </c>
      <c r="S82" cm="1">
        <f t="array" aca="1" ref="S82" ca="1">INDEX(auto_DataFlat_Classification,S14)</f>
        <v>4</v>
      </c>
      <c r="U82" t="s">
        <v>982</v>
      </c>
    </row>
    <row r="83" spans="1:21" x14ac:dyDescent="0.4">
      <c r="A83">
        <v>2</v>
      </c>
      <c r="B83">
        <f t="shared" ref="B83:B110" ca="1" si="0">B15</f>
        <v>2</v>
      </c>
      <c r="C83" t="str">
        <f t="shared" ref="C83:C110" ca="1" si="1">C15</f>
        <v>DOMAIN_001</v>
      </c>
      <c r="E83" cm="1">
        <f t="array" aca="1" ref="E83" ca="1">INDEX(auto_DataFlat_Classification,E15)</f>
        <v>4</v>
      </c>
      <c r="F83" cm="1">
        <f t="array" aca="1" ref="F83" ca="1">INDEX(auto_DataFlat_Classification,F15)</f>
        <v>3</v>
      </c>
      <c r="G83" cm="1">
        <f t="array" aca="1" ref="G83" ca="1">INDEX(auto_DataFlat_Classification,G15)</f>
        <v>5</v>
      </c>
      <c r="H83" cm="1">
        <f t="array" aca="1" ref="H83" ca="1">INDEX(auto_DataFlat_Classification,H15)</f>
        <v>4</v>
      </c>
      <c r="I83" cm="1">
        <f t="array" aca="1" ref="I83" ca="1">INDEX(auto_DataFlat_Classification,I15)</f>
        <v>4</v>
      </c>
      <c r="J83" cm="1">
        <f t="array" aca="1" ref="J83" ca="1">INDEX(auto_DataFlat_Classification,J15)</f>
        <v>3</v>
      </c>
      <c r="K83" cm="1">
        <f t="array" aca="1" ref="K83" ca="1">INDEX(auto_DataFlat_Classification,K15)</f>
        <v>5</v>
      </c>
      <c r="L83" cm="1">
        <f t="array" aca="1" ref="L83" ca="1">INDEX(auto_DataFlat_Classification,L15)</f>
        <v>4</v>
      </c>
      <c r="M83" cm="1">
        <f t="array" aca="1" ref="M83" ca="1">INDEX(auto_DataFlat_Classification,M15)</f>
        <v>5</v>
      </c>
      <c r="N83" cm="1">
        <f t="array" aca="1" ref="N83" ca="1">INDEX(auto_DataFlat_Classification,N15)</f>
        <v>3</v>
      </c>
      <c r="O83" cm="1">
        <f t="array" aca="1" ref="O83" ca="1">INDEX(auto_DataFlat_Classification,O15)</f>
        <v>3</v>
      </c>
      <c r="P83" cm="1">
        <f t="array" aca="1" ref="P83" ca="1">INDEX(auto_DataFlat_Classification,P15)</f>
        <v>3</v>
      </c>
      <c r="Q83" cm="1">
        <f t="array" aca="1" ref="Q83" ca="1">INDEX(auto_DataFlat_Classification,Q15)</f>
        <v>2</v>
      </c>
      <c r="R83" cm="1">
        <f t="array" aca="1" ref="R83" ca="1">INDEX(auto_DataFlat_Classification,R15)</f>
        <v>4</v>
      </c>
      <c r="S83" cm="1">
        <f t="array" aca="1" ref="S83" ca="1">INDEX(auto_DataFlat_Classification,S15)</f>
        <v>5</v>
      </c>
      <c r="U83" t="s">
        <v>983</v>
      </c>
    </row>
    <row r="84" spans="1:21" x14ac:dyDescent="0.4">
      <c r="A84">
        <v>3</v>
      </c>
      <c r="B84">
        <f t="shared" ca="1" si="0"/>
        <v>3</v>
      </c>
      <c r="C84" t="str">
        <f t="shared" ca="1" si="1"/>
        <v>INDI_001</v>
      </c>
      <c r="E84" cm="1">
        <f t="array" aca="1" ref="E84" ca="1">INDEX(auto_DataFlat_Classification,E16)</f>
        <v>5</v>
      </c>
      <c r="F84" cm="1">
        <f t="array" aca="1" ref="F84" ca="1">INDEX(auto_DataFlat_Classification,F16)</f>
        <v>2</v>
      </c>
      <c r="G84" cm="1">
        <f t="array" aca="1" ref="G84" ca="1">INDEX(auto_DataFlat_Classification,G16)</f>
        <v>5</v>
      </c>
      <c r="H84" cm="1">
        <f t="array" aca="1" ref="H84" ca="1">INDEX(auto_DataFlat_Classification,H16)</f>
        <v>2</v>
      </c>
      <c r="I84" cm="1">
        <f t="array" aca="1" ref="I84" ca="1">INDEX(auto_DataFlat_Classification,I16)</f>
        <v>5</v>
      </c>
      <c r="J84" cm="1">
        <f t="array" aca="1" ref="J84" ca="1">INDEX(auto_DataFlat_Classification,J16)</f>
        <v>2</v>
      </c>
      <c r="K84" cm="1">
        <f t="array" aca="1" ref="K84" ca="1">INDEX(auto_DataFlat_Classification,K16)</f>
        <v>5</v>
      </c>
      <c r="L84" cm="1">
        <f t="array" aca="1" ref="L84" ca="1">INDEX(auto_DataFlat_Classification,L16)</f>
        <v>4</v>
      </c>
      <c r="M84" cm="1">
        <f t="array" aca="1" ref="M84" ca="1">INDEX(auto_DataFlat_Classification,M16)</f>
        <v>5</v>
      </c>
      <c r="N84" cm="1">
        <f t="array" aca="1" ref="N84" ca="1">INDEX(auto_DataFlat_Classification,N16)</f>
        <v>2</v>
      </c>
      <c r="O84" cm="1">
        <f t="array" aca="1" ref="O84" ca="1">INDEX(auto_DataFlat_Classification,O16)</f>
        <v>2</v>
      </c>
      <c r="P84" cm="1">
        <f t="array" aca="1" ref="P84" ca="1">INDEX(auto_DataFlat_Classification,P16)</f>
        <v>2</v>
      </c>
      <c r="Q84" cm="1">
        <f t="array" aca="1" ref="Q84" ca="1">INDEX(auto_DataFlat_Classification,Q16)</f>
        <v>5</v>
      </c>
      <c r="R84" cm="1">
        <f t="array" aca="1" ref="R84" ca="1">INDEX(auto_DataFlat_Classification,R16)</f>
        <v>5</v>
      </c>
      <c r="S84" cm="1">
        <f t="array" aca="1" ref="S84" ca="1">INDEX(auto_DataFlat_Classification,S16)</f>
        <v>5</v>
      </c>
      <c r="U84" t="s">
        <v>984</v>
      </c>
    </row>
    <row r="85" spans="1:21" x14ac:dyDescent="0.4">
      <c r="A85">
        <v>4</v>
      </c>
      <c r="B85">
        <f t="shared" ca="1" si="0"/>
        <v>6</v>
      </c>
      <c r="C85" t="str">
        <f t="shared" ca="1" si="1"/>
        <v>INDI_002</v>
      </c>
      <c r="E85" cm="1">
        <f t="array" aca="1" ref="E85" ca="1">INDEX(auto_DataFlat_Classification,E17)</f>
        <v>1</v>
      </c>
      <c r="F85" cm="1">
        <f t="array" aca="1" ref="F85" ca="1">INDEX(auto_DataFlat_Classification,F17)</f>
        <v>1</v>
      </c>
      <c r="G85" cm="1">
        <f t="array" aca="1" ref="G85" ca="1">INDEX(auto_DataFlat_Classification,G17)</f>
        <v>5</v>
      </c>
      <c r="H85" cm="1">
        <f t="array" aca="1" ref="H85" ca="1">INDEX(auto_DataFlat_Classification,H17)</f>
        <v>5</v>
      </c>
      <c r="I85" cm="1">
        <f t="array" aca="1" ref="I85" ca="1">INDEX(auto_DataFlat_Classification,I17)</f>
        <v>4</v>
      </c>
      <c r="J85" cm="1">
        <f t="array" aca="1" ref="J85" ca="1">INDEX(auto_DataFlat_Classification,J17)</f>
        <v>4</v>
      </c>
      <c r="K85" cm="1">
        <f t="array" aca="1" ref="K85" ca="1">INDEX(auto_DataFlat_Classification,K17)</f>
        <v>5</v>
      </c>
      <c r="L85" cm="1">
        <f t="array" aca="1" ref="L85" ca="1">INDEX(auto_DataFlat_Classification,L17)</f>
        <v>2</v>
      </c>
      <c r="M85" cm="1">
        <f t="array" aca="1" ref="M85" ca="1">INDEX(auto_DataFlat_Classification,M17)</f>
        <v>5</v>
      </c>
      <c r="N85" cm="1">
        <f t="array" aca="1" ref="N85" ca="1">INDEX(auto_DataFlat_Classification,N17)</f>
        <v>2</v>
      </c>
      <c r="O85" cm="1">
        <f t="array" aca="1" ref="O85" ca="1">INDEX(auto_DataFlat_Classification,O17)</f>
        <v>2</v>
      </c>
      <c r="P85" cm="1">
        <f t="array" aca="1" ref="P85" ca="1">INDEX(auto_DataFlat_Classification,P17)</f>
        <v>4</v>
      </c>
      <c r="Q85" cm="1">
        <f t="array" aca="1" ref="Q85" ca="1">INDEX(auto_DataFlat_Classification,Q17)</f>
        <v>1</v>
      </c>
      <c r="R85" cm="1">
        <f t="array" aca="1" ref="R85" ca="1">INDEX(auto_DataFlat_Classification,R17)</f>
        <v>2</v>
      </c>
      <c r="S85" cm="1">
        <f t="array" aca="1" ref="S85" ca="1">INDEX(auto_DataFlat_Classification,S17)</f>
        <v>5</v>
      </c>
      <c r="U85" t="s">
        <v>985</v>
      </c>
    </row>
    <row r="86" spans="1:21" x14ac:dyDescent="0.4">
      <c r="A86">
        <v>5</v>
      </c>
      <c r="B86">
        <f t="shared" ca="1" si="0"/>
        <v>9</v>
      </c>
      <c r="C86" t="str">
        <f t="shared" ca="1" si="1"/>
        <v>INDI_003</v>
      </c>
      <c r="E86" cm="1">
        <f t="array" aca="1" ref="E86" ca="1">INDEX(auto_DataFlat_Classification,E18)</f>
        <v>5</v>
      </c>
      <c r="F86" cm="1">
        <f t="array" aca="1" ref="F86" ca="1">INDEX(auto_DataFlat_Classification,F18)</f>
        <v>5</v>
      </c>
      <c r="G86" cm="1">
        <f t="array" aca="1" ref="G86" ca="1">INDEX(auto_DataFlat_Classification,G18)</f>
        <v>5</v>
      </c>
      <c r="H86" cm="1">
        <f t="array" aca="1" ref="H86" ca="1">INDEX(auto_DataFlat_Classification,H18)</f>
        <v>5</v>
      </c>
      <c r="I86" cm="1">
        <f t="array" aca="1" ref="I86" ca="1">INDEX(auto_DataFlat_Classification,I18)</f>
        <v>3</v>
      </c>
      <c r="J86" cm="1">
        <f t="array" aca="1" ref="J86" ca="1">INDEX(auto_DataFlat_Classification,J18)</f>
        <v>5</v>
      </c>
      <c r="K86" cm="1">
        <f t="array" aca="1" ref="K86" ca="1">INDEX(auto_DataFlat_Classification,K18)</f>
        <v>5</v>
      </c>
      <c r="L86" cm="1">
        <f t="array" aca="1" ref="L86" ca="1">INDEX(auto_DataFlat_Classification,L18)</f>
        <v>5</v>
      </c>
      <c r="M86" cm="1">
        <f t="array" aca="1" ref="M86" ca="1">INDEX(auto_DataFlat_Classification,M18)</f>
        <v>5</v>
      </c>
      <c r="N86" cm="1">
        <f t="array" aca="1" ref="N86" ca="1">INDEX(auto_DataFlat_Classification,N18)</f>
        <v>3</v>
      </c>
      <c r="O86" cm="1">
        <f t="array" aca="1" ref="O86" ca="1">INDEX(auto_DataFlat_Classification,O18)</f>
        <v>3</v>
      </c>
      <c r="P86" cm="1">
        <f t="array" aca="1" ref="P86" ca="1">INDEX(auto_DataFlat_Classification,P18)</f>
        <v>3</v>
      </c>
      <c r="Q86" cm="1">
        <f t="array" aca="1" ref="Q86" ca="1">INDEX(auto_DataFlat_Classification,Q18)</f>
        <v>3</v>
      </c>
      <c r="R86" cm="1">
        <f t="array" aca="1" ref="R86" ca="1">INDEX(auto_DataFlat_Classification,R18)</f>
        <v>5</v>
      </c>
      <c r="S86" cm="1">
        <f t="array" aca="1" ref="S86" ca="1">INDEX(auto_DataFlat_Classification,S18)</f>
        <v>5</v>
      </c>
      <c r="U86" t="s">
        <v>986</v>
      </c>
    </row>
    <row r="87" spans="1:21" x14ac:dyDescent="0.4">
      <c r="A87">
        <v>6</v>
      </c>
      <c r="B87">
        <f t="shared" ca="1" si="0"/>
        <v>12</v>
      </c>
      <c r="C87" t="str">
        <f t="shared" ca="1" si="1"/>
        <v>INDI_004</v>
      </c>
      <c r="E87" cm="1">
        <f t="array" aca="1" ref="E87" ca="1">INDEX(auto_DataFlat_Classification,E19)</f>
        <v>3</v>
      </c>
      <c r="F87" cm="1">
        <f t="array" aca="1" ref="F87" ca="1">INDEX(auto_DataFlat_Classification,F19)</f>
        <v>4</v>
      </c>
      <c r="G87" cm="1">
        <f t="array" aca="1" ref="G87" ca="1">INDEX(auto_DataFlat_Classification,G19)</f>
        <v>4</v>
      </c>
      <c r="H87" cm="1">
        <f t="array" aca="1" ref="H87" ca="1">INDEX(auto_DataFlat_Classification,H19)</f>
        <v>4</v>
      </c>
      <c r="I87" cm="1">
        <f t="array" aca="1" ref="I87" ca="1">INDEX(auto_DataFlat_Classification,I19)</f>
        <v>4</v>
      </c>
      <c r="J87" cm="1">
        <f t="array" aca="1" ref="J87" ca="1">INDEX(auto_DataFlat_Classification,J19)</f>
        <v>3</v>
      </c>
      <c r="K87" cm="1">
        <f t="array" aca="1" ref="K87" ca="1">INDEX(auto_DataFlat_Classification,K19)</f>
        <v>4</v>
      </c>
      <c r="L87" cm="1">
        <f t="array" aca="1" ref="L87" ca="1">INDEX(auto_DataFlat_Classification,L19)</f>
        <v>4</v>
      </c>
      <c r="M87" cm="1">
        <f t="array" aca="1" ref="M87" ca="1">INDEX(auto_DataFlat_Classification,M19)</f>
        <v>4</v>
      </c>
      <c r="N87" cm="1">
        <f t="array" aca="1" ref="N87" ca="1">INDEX(auto_DataFlat_Classification,N19)</f>
        <v>4</v>
      </c>
      <c r="O87" cm="1">
        <f t="array" aca="1" ref="O87" ca="1">INDEX(auto_DataFlat_Classification,O19)</f>
        <v>3</v>
      </c>
      <c r="P87" cm="1">
        <f t="array" aca="1" ref="P87" ca="1">INDEX(auto_DataFlat_Classification,P19)</f>
        <v>3</v>
      </c>
      <c r="Q87" cm="1">
        <f t="array" aca="1" ref="Q87" ca="1">INDEX(auto_DataFlat_Classification,Q19)</f>
        <v>3</v>
      </c>
      <c r="R87" cm="1">
        <f t="array" aca="1" ref="R87" ca="1">INDEX(auto_DataFlat_Classification,R19)</f>
        <v>4</v>
      </c>
      <c r="S87" cm="1">
        <f t="array" aca="1" ref="S87" ca="1">INDEX(auto_DataFlat_Classification,S19)</f>
        <v>4</v>
      </c>
      <c r="U87" t="s">
        <v>987</v>
      </c>
    </row>
    <row r="88" spans="1:21" x14ac:dyDescent="0.4">
      <c r="A88">
        <v>7</v>
      </c>
      <c r="B88">
        <f t="shared" ca="1" si="0"/>
        <v>13</v>
      </c>
      <c r="C88" t="str">
        <f t="shared" ca="1" si="1"/>
        <v>INDI_005</v>
      </c>
      <c r="E88" cm="1">
        <f t="array" aca="1" ref="E88" ca="1">INDEX(auto_DataFlat_Classification,E20)</f>
        <v>5</v>
      </c>
      <c r="F88" cm="1">
        <f t="array" aca="1" ref="F88" ca="1">INDEX(auto_DataFlat_Classification,F20)</f>
        <v>4</v>
      </c>
      <c r="G88" cm="1">
        <f t="array" aca="1" ref="G88" ca="1">INDEX(auto_DataFlat_Classification,G20)</f>
        <v>5</v>
      </c>
      <c r="H88" cm="1">
        <f t="array" aca="1" ref="H88" ca="1">INDEX(auto_DataFlat_Classification,H20)</f>
        <v>5</v>
      </c>
      <c r="I88" cm="1">
        <f t="array" aca="1" ref="I88" ca="1">INDEX(auto_DataFlat_Classification,I20)</f>
        <v>5</v>
      </c>
      <c r="J88" cm="1">
        <f t="array" aca="1" ref="J88" ca="1">INDEX(auto_DataFlat_Classification,J20)</f>
        <v>1</v>
      </c>
      <c r="K88" cm="1">
        <f t="array" aca="1" ref="K88" ca="1">INDEX(auto_DataFlat_Classification,K20)</f>
        <v>5</v>
      </c>
      <c r="L88" cm="1">
        <f t="array" aca="1" ref="L88" ca="1">INDEX(auto_DataFlat_Classification,L20)</f>
        <v>4</v>
      </c>
      <c r="M88" cm="1">
        <f t="array" aca="1" ref="M88" ca="1">INDEX(auto_DataFlat_Classification,M20)</f>
        <v>5</v>
      </c>
      <c r="N88" cm="1">
        <f t="array" aca="1" ref="N88" ca="1">INDEX(auto_DataFlat_Classification,N20)</f>
        <v>2</v>
      </c>
      <c r="O88" cm="1">
        <f t="array" aca="1" ref="O88" ca="1">INDEX(auto_DataFlat_Classification,O20)</f>
        <v>5</v>
      </c>
      <c r="P88" cm="1">
        <f t="array" aca="1" ref="P88" ca="1">INDEX(auto_DataFlat_Classification,P20)</f>
        <v>2</v>
      </c>
      <c r="Q88" cm="1">
        <f t="array" aca="1" ref="Q88" ca="1">INDEX(auto_DataFlat_Classification,Q20)</f>
        <v>1</v>
      </c>
      <c r="R88" cm="1">
        <f t="array" aca="1" ref="R88" ca="1">INDEX(auto_DataFlat_Classification,R20)</f>
        <v>5</v>
      </c>
      <c r="S88" cm="1">
        <f t="array" aca="1" ref="S88" ca="1">INDEX(auto_DataFlat_Classification,S20)</f>
        <v>5</v>
      </c>
      <c r="U88" t="s">
        <v>988</v>
      </c>
    </row>
    <row r="89" spans="1:21" x14ac:dyDescent="0.4">
      <c r="A89">
        <v>8</v>
      </c>
      <c r="B89">
        <f t="shared" ca="1" si="0"/>
        <v>14</v>
      </c>
      <c r="C89" t="str">
        <f t="shared" ca="1" si="1"/>
        <v>DOMAIN_002</v>
      </c>
      <c r="E89" cm="1">
        <f t="array" aca="1" ref="E89" ca="1">INDEX(auto_DataFlat_Classification,E21)</f>
        <v>2</v>
      </c>
      <c r="F89" cm="1">
        <f t="array" aca="1" ref="F89" ca="1">INDEX(auto_DataFlat_Classification,F21)</f>
        <v>2</v>
      </c>
      <c r="G89" cm="1">
        <f t="array" aca="1" ref="G89" ca="1">INDEX(auto_DataFlat_Classification,G21)</f>
        <v>2</v>
      </c>
      <c r="H89" cm="1">
        <f t="array" aca="1" ref="H89" ca="1">INDEX(auto_DataFlat_Classification,H21)</f>
        <v>4</v>
      </c>
      <c r="I89" cm="1">
        <f t="array" aca="1" ref="I89" ca="1">INDEX(auto_DataFlat_Classification,I21)</f>
        <v>2</v>
      </c>
      <c r="J89" cm="1">
        <f t="array" aca="1" ref="J89" ca="1">INDEX(auto_DataFlat_Classification,J21)</f>
        <v>3</v>
      </c>
      <c r="K89" cm="1">
        <f t="array" aca="1" ref="K89" ca="1">INDEX(auto_DataFlat_Classification,K21)</f>
        <v>4</v>
      </c>
      <c r="L89" cm="1">
        <f t="array" aca="1" ref="L89" ca="1">INDEX(auto_DataFlat_Classification,L21)</f>
        <v>4</v>
      </c>
      <c r="M89" cm="1">
        <f t="array" aca="1" ref="M89" ca="1">INDEX(auto_DataFlat_Classification,M21)</f>
        <v>4</v>
      </c>
      <c r="N89" cm="1">
        <f t="array" aca="1" ref="N89" ca="1">INDEX(auto_DataFlat_Classification,N21)</f>
        <v>1</v>
      </c>
      <c r="O89" cm="1">
        <f t="array" aca="1" ref="O89" ca="1">INDEX(auto_DataFlat_Classification,O21)</f>
        <v>2</v>
      </c>
      <c r="P89" cm="1">
        <f t="array" aca="1" ref="P89" ca="1">INDEX(auto_DataFlat_Classification,P21)</f>
        <v>2</v>
      </c>
      <c r="Q89" cm="1">
        <f t="array" aca="1" ref="Q89" ca="1">INDEX(auto_DataFlat_Classification,Q21)</f>
        <v>3</v>
      </c>
      <c r="R89" cm="1">
        <f t="array" aca="1" ref="R89" ca="1">INDEX(auto_DataFlat_Classification,R21)</f>
        <v>3</v>
      </c>
      <c r="S89" cm="1">
        <f t="array" aca="1" ref="S89" ca="1">INDEX(auto_DataFlat_Classification,S21)</f>
        <v>3</v>
      </c>
      <c r="U89" t="s">
        <v>989</v>
      </c>
    </row>
    <row r="90" spans="1:21" x14ac:dyDescent="0.4">
      <c r="A90">
        <v>9</v>
      </c>
      <c r="B90">
        <f t="shared" ca="1" si="0"/>
        <v>15</v>
      </c>
      <c r="C90" t="str">
        <f t="shared" ca="1" si="1"/>
        <v>INDI_006</v>
      </c>
      <c r="E90" cm="1">
        <f t="array" aca="1" ref="E90" ca="1">INDEX(auto_DataFlat_Classification,E22)</f>
        <v>1</v>
      </c>
      <c r="F90" cm="1">
        <f t="array" aca="1" ref="F90" ca="1">INDEX(auto_DataFlat_Classification,F22)</f>
        <v>1</v>
      </c>
      <c r="G90" cm="1">
        <f t="array" aca="1" ref="G90" ca="1">INDEX(auto_DataFlat_Classification,G22)</f>
        <v>1</v>
      </c>
      <c r="H90" cm="1">
        <f t="array" aca="1" ref="H90" ca="1">INDEX(auto_DataFlat_Classification,H22)</f>
        <v>1</v>
      </c>
      <c r="I90" cm="1">
        <f t="array" aca="1" ref="I90" ca="1">INDEX(auto_DataFlat_Classification,I22)</f>
        <v>1</v>
      </c>
      <c r="J90" cm="1">
        <f t="array" aca="1" ref="J90" ca="1">INDEX(auto_DataFlat_Classification,J22)</f>
        <v>1</v>
      </c>
      <c r="K90" cm="1">
        <f t="array" aca="1" ref="K90" ca="1">INDEX(auto_DataFlat_Classification,K22)</f>
        <v>1</v>
      </c>
      <c r="L90" cm="1">
        <f t="array" aca="1" ref="L90" ca="1">INDEX(auto_DataFlat_Classification,L22)</f>
        <v>1</v>
      </c>
      <c r="M90" cm="1">
        <f t="array" aca="1" ref="M90" ca="1">INDEX(auto_DataFlat_Classification,M22)</f>
        <v>1</v>
      </c>
      <c r="N90" cm="1">
        <f t="array" aca="1" ref="N90" ca="1">INDEX(auto_DataFlat_Classification,N22)</f>
        <v>1</v>
      </c>
      <c r="O90" cm="1">
        <f t="array" aca="1" ref="O90" ca="1">INDEX(auto_DataFlat_Classification,O22)</f>
        <v>1</v>
      </c>
      <c r="P90" cm="1">
        <f t="array" aca="1" ref="P90" ca="1">INDEX(auto_DataFlat_Classification,P22)</f>
        <v>1</v>
      </c>
      <c r="Q90" cm="1">
        <f t="array" aca="1" ref="Q90" ca="1">INDEX(auto_DataFlat_Classification,Q22)</f>
        <v>1</v>
      </c>
      <c r="R90" cm="1">
        <f t="array" aca="1" ref="R90" ca="1">INDEX(auto_DataFlat_Classification,R22)</f>
        <v>1</v>
      </c>
      <c r="S90" cm="1">
        <f t="array" aca="1" ref="S90" ca="1">INDEX(auto_DataFlat_Classification,S22)</f>
        <v>1</v>
      </c>
      <c r="U90" t="s">
        <v>990</v>
      </c>
    </row>
    <row r="91" spans="1:21" x14ac:dyDescent="0.4">
      <c r="A91">
        <v>10</v>
      </c>
      <c r="B91">
        <f t="shared" ca="1" si="0"/>
        <v>16</v>
      </c>
      <c r="C91" t="str">
        <f t="shared" ca="1" si="1"/>
        <v>INDI_007</v>
      </c>
      <c r="E91" cm="1">
        <f t="array" aca="1" ref="E91" ca="1">INDEX(auto_DataFlat_Classification,E23)</f>
        <v>3</v>
      </c>
      <c r="F91" cm="1">
        <f t="array" aca="1" ref="F91" ca="1">INDEX(auto_DataFlat_Classification,F23)</f>
        <v>3</v>
      </c>
      <c r="G91" cm="1">
        <f t="array" aca="1" ref="G91" ca="1">INDEX(auto_DataFlat_Classification,G23)</f>
        <v>3</v>
      </c>
      <c r="H91" cm="1">
        <f t="array" aca="1" ref="H91" ca="1">INDEX(auto_DataFlat_Classification,H23)</f>
        <v>5</v>
      </c>
      <c r="I91" cm="1">
        <f t="array" aca="1" ref="I91" ca="1">INDEX(auto_DataFlat_Classification,I23)</f>
        <v>1</v>
      </c>
      <c r="J91" cm="1">
        <f t="array" aca="1" ref="J91" ca="1">INDEX(auto_DataFlat_Classification,J23)</f>
        <v>2</v>
      </c>
      <c r="K91" cm="1">
        <f t="array" aca="1" ref="K91" ca="1">INDEX(auto_DataFlat_Classification,K23)</f>
        <v>4</v>
      </c>
      <c r="L91" cm="1">
        <f t="array" aca="1" ref="L91" ca="1">INDEX(auto_DataFlat_Classification,L23)</f>
        <v>5</v>
      </c>
      <c r="M91" cm="1">
        <f t="array" aca="1" ref="M91" ca="1">INDEX(auto_DataFlat_Classification,M23)</f>
        <v>4</v>
      </c>
      <c r="N91" cm="1">
        <f t="array" aca="1" ref="N91" ca="1">INDEX(auto_DataFlat_Classification,N23)</f>
        <v>1</v>
      </c>
      <c r="O91" cm="1">
        <f t="array" aca="1" ref="O91" ca="1">INDEX(auto_DataFlat_Classification,O23)</f>
        <v>1</v>
      </c>
      <c r="P91" cm="1">
        <f t="array" aca="1" ref="P91" ca="1">INDEX(auto_DataFlat_Classification,P23)</f>
        <v>2</v>
      </c>
      <c r="Q91" cm="1">
        <f t="array" aca="1" ref="Q91" ca="1">INDEX(auto_DataFlat_Classification,Q23)</f>
        <v>2</v>
      </c>
      <c r="R91" cm="1">
        <f t="array" aca="1" ref="R91" ca="1">INDEX(auto_DataFlat_Classification,R23)</f>
        <v>3</v>
      </c>
      <c r="S91" cm="1">
        <f t="array" aca="1" ref="S91" ca="1">INDEX(auto_DataFlat_Classification,S23)</f>
        <v>2</v>
      </c>
      <c r="U91" t="s">
        <v>991</v>
      </c>
    </row>
    <row r="92" spans="1:21" x14ac:dyDescent="0.4">
      <c r="A92">
        <v>11</v>
      </c>
      <c r="B92">
        <f t="shared" ca="1" si="0"/>
        <v>17</v>
      </c>
      <c r="C92" t="str">
        <f t="shared" ca="1" si="1"/>
        <v>INDI_008</v>
      </c>
      <c r="E92" cm="1">
        <f t="array" aca="1" ref="E92" ca="1">INDEX(auto_DataFlat_Classification,E24)</f>
        <v>1</v>
      </c>
      <c r="F92" cm="1">
        <f t="array" aca="1" ref="F92" ca="1">INDEX(auto_DataFlat_Classification,F24)</f>
        <v>1</v>
      </c>
      <c r="G92" cm="1">
        <f t="array" aca="1" ref="G92" ca="1">INDEX(auto_DataFlat_Classification,G24)</f>
        <v>3</v>
      </c>
      <c r="H92" cm="1">
        <f t="array" aca="1" ref="H92" ca="1">INDEX(auto_DataFlat_Classification,H24)</f>
        <v>5</v>
      </c>
      <c r="I92" cm="1">
        <f t="array" aca="1" ref="I92" ca="1">INDEX(auto_DataFlat_Classification,I24)</f>
        <v>5</v>
      </c>
      <c r="J92" cm="1">
        <f t="array" aca="1" ref="J92" ca="1">INDEX(auto_DataFlat_Classification,J24)</f>
        <v>5</v>
      </c>
      <c r="K92" cm="1">
        <f t="array" aca="1" ref="K92" ca="1">INDEX(auto_DataFlat_Classification,K24)</f>
        <v>5</v>
      </c>
      <c r="L92" cm="1">
        <f t="array" aca="1" ref="L92" ca="1">INDEX(auto_DataFlat_Classification,L24)</f>
        <v>5</v>
      </c>
      <c r="M92" cm="1">
        <f t="array" aca="1" ref="M92" ca="1">INDEX(auto_DataFlat_Classification,M24)</f>
        <v>5</v>
      </c>
      <c r="N92" cm="1">
        <f t="array" aca="1" ref="N92" ca="1">INDEX(auto_DataFlat_Classification,N24)</f>
        <v>1</v>
      </c>
      <c r="O92" cm="1">
        <f t="array" aca="1" ref="O92" ca="1">INDEX(auto_DataFlat_Classification,O24)</f>
        <v>1</v>
      </c>
      <c r="P92" cm="1">
        <f t="array" aca="1" ref="P92" ca="1">INDEX(auto_DataFlat_Classification,P24)</f>
        <v>1</v>
      </c>
      <c r="Q92" cm="1">
        <f t="array" aca="1" ref="Q92" ca="1">INDEX(auto_DataFlat_Classification,Q24)</f>
        <v>3</v>
      </c>
      <c r="R92" cm="1">
        <f t="array" aca="1" ref="R92" ca="1">INDEX(auto_DataFlat_Classification,R24)</f>
        <v>5</v>
      </c>
      <c r="S92" cm="1">
        <f t="array" aca="1" ref="S92" ca="1">INDEX(auto_DataFlat_Classification,S24)</f>
        <v>5</v>
      </c>
      <c r="U92" t="s">
        <v>992</v>
      </c>
    </row>
    <row r="93" spans="1:21" x14ac:dyDescent="0.4">
      <c r="A93">
        <v>12</v>
      </c>
      <c r="B93">
        <f t="shared" ca="1" si="0"/>
        <v>18</v>
      </c>
      <c r="C93" t="str">
        <f t="shared" ca="1" si="1"/>
        <v>INDI_009</v>
      </c>
      <c r="E93" cm="1">
        <f t="array" aca="1" ref="E93" ca="1">INDEX(auto_DataFlat_Classification,E25)</f>
        <v>4</v>
      </c>
      <c r="F93" cm="1">
        <f t="array" aca="1" ref="F93" ca="1">INDEX(auto_DataFlat_Classification,F25)</f>
        <v>3</v>
      </c>
      <c r="G93" cm="1">
        <f t="array" aca="1" ref="G93" ca="1">INDEX(auto_DataFlat_Classification,G25)</f>
        <v>3</v>
      </c>
      <c r="H93" cm="1">
        <f t="array" aca="1" ref="H93" ca="1">INDEX(auto_DataFlat_Classification,H25)</f>
        <v>3</v>
      </c>
      <c r="I93" cm="1">
        <f t="array" aca="1" ref="I93" ca="1">INDEX(auto_DataFlat_Classification,I25)</f>
        <v>3</v>
      </c>
      <c r="J93" cm="1">
        <f t="array" aca="1" ref="J93" ca="1">INDEX(auto_DataFlat_Classification,J25)</f>
        <v>3</v>
      </c>
      <c r="K93" cm="1">
        <f t="array" aca="1" ref="K93" ca="1">INDEX(auto_DataFlat_Classification,K25)</f>
        <v>3</v>
      </c>
      <c r="L93" cm="1">
        <f t="array" aca="1" ref="L93" ca="1">INDEX(auto_DataFlat_Classification,L25)</f>
        <v>5</v>
      </c>
      <c r="M93" cm="1">
        <f t="array" aca="1" ref="M93" ca="1">INDEX(auto_DataFlat_Classification,M25)</f>
        <v>3</v>
      </c>
      <c r="N93" cm="1">
        <f t="array" aca="1" ref="N93" ca="1">INDEX(auto_DataFlat_Classification,N25)</f>
        <v>2</v>
      </c>
      <c r="O93" cm="1">
        <f t="array" aca="1" ref="O93" ca="1">INDEX(auto_DataFlat_Classification,O25)</f>
        <v>3</v>
      </c>
      <c r="P93" cm="1">
        <f t="array" aca="1" ref="P93" ca="1">INDEX(auto_DataFlat_Classification,P25)</f>
        <v>2</v>
      </c>
      <c r="Q93" cm="1">
        <f t="array" aca="1" ref="Q93" ca="1">INDEX(auto_DataFlat_Classification,Q25)</f>
        <v>5</v>
      </c>
      <c r="R93" cm="1">
        <f t="array" aca="1" ref="R93" ca="1">INDEX(auto_DataFlat_Classification,R25)</f>
        <v>3</v>
      </c>
      <c r="S93" cm="1">
        <f t="array" aca="1" ref="S93" ca="1">INDEX(auto_DataFlat_Classification,S25)</f>
        <v>3</v>
      </c>
      <c r="U93" t="s">
        <v>993</v>
      </c>
    </row>
    <row r="94" spans="1:21" x14ac:dyDescent="0.4">
      <c r="A94">
        <v>13</v>
      </c>
      <c r="B94">
        <f t="shared" ca="1" si="0"/>
        <v>21</v>
      </c>
      <c r="C94" t="str">
        <f t="shared" ca="1" si="1"/>
        <v>INDI_010</v>
      </c>
      <c r="E94" cm="1">
        <f t="array" aca="1" ref="E94" ca="1">INDEX(auto_DataFlat_Classification,E26)</f>
        <v>2</v>
      </c>
      <c r="F94" cm="1">
        <f t="array" aca="1" ref="F94" ca="1">INDEX(auto_DataFlat_Classification,F26)</f>
        <v>3</v>
      </c>
      <c r="G94" cm="1">
        <f t="array" aca="1" ref="G94" ca="1">INDEX(auto_DataFlat_Classification,G26)</f>
        <v>3</v>
      </c>
      <c r="H94" cm="1">
        <f t="array" aca="1" ref="H94" ca="1">INDEX(auto_DataFlat_Classification,H26)</f>
        <v>5</v>
      </c>
      <c r="I94" cm="1">
        <f t="array" aca="1" ref="I94" ca="1">INDEX(auto_DataFlat_Classification,I26)</f>
        <v>2</v>
      </c>
      <c r="J94" cm="1">
        <f t="array" aca="1" ref="J94" ca="1">INDEX(auto_DataFlat_Classification,J26)</f>
        <v>3</v>
      </c>
      <c r="K94" cm="1">
        <f t="array" aca="1" ref="K94" ca="1">INDEX(auto_DataFlat_Classification,K26)</f>
        <v>5</v>
      </c>
      <c r="L94" cm="1">
        <f t="array" aca="1" ref="L94" ca="1">INDEX(auto_DataFlat_Classification,L26)</f>
        <v>5</v>
      </c>
      <c r="M94" cm="1">
        <f t="array" aca="1" ref="M94" ca="1">INDEX(auto_DataFlat_Classification,M26)</f>
        <v>5</v>
      </c>
      <c r="N94" cm="1">
        <f t="array" aca="1" ref="N94" ca="1">INDEX(auto_DataFlat_Classification,N26)</f>
        <v>2</v>
      </c>
      <c r="O94" cm="1">
        <f t="array" aca="1" ref="O94" ca="1">INDEX(auto_DataFlat_Classification,O26)</f>
        <v>4</v>
      </c>
      <c r="P94" cm="1">
        <f t="array" aca="1" ref="P94" ca="1">INDEX(auto_DataFlat_Classification,P26)</f>
        <v>2</v>
      </c>
      <c r="Q94" cm="1">
        <f t="array" aca="1" ref="Q94" ca="1">INDEX(auto_DataFlat_Classification,Q26)</f>
        <v>3</v>
      </c>
      <c r="R94" cm="1">
        <f t="array" aca="1" ref="R94" ca="1">INDEX(auto_DataFlat_Classification,R26)</f>
        <v>3</v>
      </c>
      <c r="S94" cm="1">
        <f t="array" aca="1" ref="S94" ca="1">INDEX(auto_DataFlat_Classification,S26)</f>
        <v>5</v>
      </c>
      <c r="U94" t="s">
        <v>994</v>
      </c>
    </row>
    <row r="95" spans="1:21" x14ac:dyDescent="0.4">
      <c r="A95">
        <v>14</v>
      </c>
      <c r="B95">
        <f t="shared" ca="1" si="0"/>
        <v>22</v>
      </c>
      <c r="C95" t="str">
        <f t="shared" ca="1" si="1"/>
        <v>DOMAIN_003</v>
      </c>
      <c r="E95" cm="1">
        <f t="array" aca="1" ref="E95" ca="1">INDEX(auto_DataFlat_Classification,E27)</f>
        <v>3</v>
      </c>
      <c r="F95" cm="1">
        <f t="array" aca="1" ref="F95" ca="1">INDEX(auto_DataFlat_Classification,F27)</f>
        <v>2</v>
      </c>
      <c r="G95" cm="1">
        <f t="array" aca="1" ref="G95" ca="1">INDEX(auto_DataFlat_Classification,G27)</f>
        <v>3</v>
      </c>
      <c r="H95" cm="1">
        <f t="array" aca="1" ref="H95" ca="1">INDEX(auto_DataFlat_Classification,H27)</f>
        <v>4</v>
      </c>
      <c r="I95" cm="1">
        <f t="array" aca="1" ref="I95" ca="1">INDEX(auto_DataFlat_Classification,I27)</f>
        <v>4</v>
      </c>
      <c r="J95" cm="1">
        <f t="array" aca="1" ref="J95" ca="1">INDEX(auto_DataFlat_Classification,J27)</f>
        <v>5</v>
      </c>
      <c r="K95" cm="1">
        <f t="array" aca="1" ref="K95" ca="1">INDEX(auto_DataFlat_Classification,K27)</f>
        <v>4</v>
      </c>
      <c r="L95" cm="1">
        <f t="array" aca="1" ref="L95" ca="1">INDEX(auto_DataFlat_Classification,L27)</f>
        <v>3</v>
      </c>
      <c r="M95" cm="1">
        <f t="array" aca="1" ref="M95" ca="1">INDEX(auto_DataFlat_Classification,M27)</f>
        <v>4</v>
      </c>
      <c r="N95" cm="1">
        <f t="array" aca="1" ref="N95" ca="1">INDEX(auto_DataFlat_Classification,N27)</f>
        <v>2</v>
      </c>
      <c r="O95" cm="1">
        <f t="array" aca="1" ref="O95" ca="1">INDEX(auto_DataFlat_Classification,O27)</f>
        <v>3</v>
      </c>
      <c r="P95" cm="1">
        <f t="array" aca="1" ref="P95" ca="1">INDEX(auto_DataFlat_Classification,P27)</f>
        <v>3</v>
      </c>
      <c r="Q95" cm="1">
        <f t="array" aca="1" ref="Q95" ca="1">INDEX(auto_DataFlat_Classification,Q27)</f>
        <v>2</v>
      </c>
      <c r="R95" cm="1">
        <f t="array" aca="1" ref="R95" ca="1">INDEX(auto_DataFlat_Classification,R27)</f>
        <v>4</v>
      </c>
      <c r="S95" cm="1">
        <f t="array" aca="1" ref="S95" ca="1">INDEX(auto_DataFlat_Classification,S27)</f>
        <v>4</v>
      </c>
      <c r="U95" t="s">
        <v>995</v>
      </c>
    </row>
    <row r="96" spans="1:21" x14ac:dyDescent="0.4">
      <c r="A96">
        <v>15</v>
      </c>
      <c r="B96">
        <f t="shared" ca="1" si="0"/>
        <v>23</v>
      </c>
      <c r="C96" t="str">
        <f t="shared" ca="1" si="1"/>
        <v>INDI_011</v>
      </c>
      <c r="E96" cm="1">
        <f t="array" aca="1" ref="E96" ca="1">INDEX(auto_DataFlat_Classification,E28)</f>
        <v>3</v>
      </c>
      <c r="F96" cm="1">
        <f t="array" aca="1" ref="F96" ca="1">INDEX(auto_DataFlat_Classification,F28)</f>
        <v>2</v>
      </c>
      <c r="G96" cm="1">
        <f t="array" aca="1" ref="G96" ca="1">INDEX(auto_DataFlat_Classification,G28)</f>
        <v>2</v>
      </c>
      <c r="H96" cm="1">
        <f t="array" aca="1" ref="H96" ca="1">INDEX(auto_DataFlat_Classification,H28)</f>
        <v>5</v>
      </c>
      <c r="I96" cm="1">
        <f t="array" aca="1" ref="I96" ca="1">INDEX(auto_DataFlat_Classification,I28)</f>
        <v>5</v>
      </c>
      <c r="J96" cm="1">
        <f t="array" aca="1" ref="J96" ca="1">INDEX(auto_DataFlat_Classification,J28)</f>
        <v>5</v>
      </c>
      <c r="K96" cm="1">
        <f t="array" aca="1" ref="K96" ca="1">INDEX(auto_DataFlat_Classification,K28)</f>
        <v>5</v>
      </c>
      <c r="L96" cm="1">
        <f t="array" aca="1" ref="L96" ca="1">INDEX(auto_DataFlat_Classification,L28)</f>
        <v>5</v>
      </c>
      <c r="M96" cm="1">
        <f t="array" aca="1" ref="M96" ca="1">INDEX(auto_DataFlat_Classification,M28)</f>
        <v>5</v>
      </c>
      <c r="N96" cm="1">
        <f t="array" aca="1" ref="N96" ca="1">INDEX(auto_DataFlat_Classification,N28)</f>
        <v>2</v>
      </c>
      <c r="O96" cm="1">
        <f t="array" aca="1" ref="O96" ca="1">INDEX(auto_DataFlat_Classification,O28)</f>
        <v>5</v>
      </c>
      <c r="P96" cm="1">
        <f t="array" aca="1" ref="P96" ca="1">INDEX(auto_DataFlat_Classification,P28)</f>
        <v>5</v>
      </c>
      <c r="Q96" cm="1">
        <f t="array" aca="1" ref="Q96" ca="1">INDEX(auto_DataFlat_Classification,Q28)</f>
        <v>2</v>
      </c>
      <c r="R96" cm="1">
        <f t="array" aca="1" ref="R96" ca="1">INDEX(auto_DataFlat_Classification,R28)</f>
        <v>5</v>
      </c>
      <c r="S96" cm="1">
        <f t="array" aca="1" ref="S96" ca="1">INDEX(auto_DataFlat_Classification,S28)</f>
        <v>5</v>
      </c>
      <c r="U96" t="s">
        <v>996</v>
      </c>
    </row>
    <row r="97" spans="1:21" x14ac:dyDescent="0.4">
      <c r="A97">
        <v>16</v>
      </c>
      <c r="B97">
        <f t="shared" ca="1" si="0"/>
        <v>26</v>
      </c>
      <c r="C97" t="str">
        <f t="shared" ca="1" si="1"/>
        <v>INDI_012</v>
      </c>
      <c r="E97" cm="1">
        <f t="array" aca="1" ref="E97" ca="1">INDEX(auto_DataFlat_Classification,E29)</f>
        <v>1</v>
      </c>
      <c r="F97" cm="1">
        <f t="array" aca="1" ref="F97" ca="1">INDEX(auto_DataFlat_Classification,F29)</f>
        <v>2</v>
      </c>
      <c r="G97" cm="1">
        <f t="array" aca="1" ref="G97" ca="1">INDEX(auto_DataFlat_Classification,G29)</f>
        <v>2</v>
      </c>
      <c r="H97" cm="1">
        <f t="array" aca="1" ref="H97" ca="1">INDEX(auto_DataFlat_Classification,H29)</f>
        <v>2</v>
      </c>
      <c r="I97" cm="1">
        <f t="array" aca="1" ref="I97" ca="1">INDEX(auto_DataFlat_Classification,I29)</f>
        <v>4</v>
      </c>
      <c r="J97" cm="1">
        <f t="array" aca="1" ref="J97" ca="1">INDEX(auto_DataFlat_Classification,J29)</f>
        <v>5</v>
      </c>
      <c r="K97" cm="1">
        <f t="array" aca="1" ref="K97" ca="1">INDEX(auto_DataFlat_Classification,K29)</f>
        <v>4</v>
      </c>
      <c r="L97" cm="1">
        <f t="array" aca="1" ref="L97" ca="1">INDEX(auto_DataFlat_Classification,L29)</f>
        <v>1</v>
      </c>
      <c r="M97" cm="1">
        <f t="array" aca="1" ref="M97" ca="1">INDEX(auto_DataFlat_Classification,M29)</f>
        <v>5</v>
      </c>
      <c r="N97" cm="1">
        <f t="array" aca="1" ref="N97" ca="1">INDEX(auto_DataFlat_Classification,N29)</f>
        <v>3</v>
      </c>
      <c r="O97" cm="1">
        <f t="array" aca="1" ref="O97" ca="1">INDEX(auto_DataFlat_Classification,O29)</f>
        <v>1</v>
      </c>
      <c r="P97" cm="1">
        <f t="array" aca="1" ref="P97" ca="1">INDEX(auto_DataFlat_Classification,P29)</f>
        <v>1</v>
      </c>
      <c r="Q97" cm="1">
        <f t="array" aca="1" ref="Q97" ca="1">INDEX(auto_DataFlat_Classification,Q29)</f>
        <v>1</v>
      </c>
      <c r="R97" cm="1">
        <f t="array" aca="1" ref="R97" ca="1">INDEX(auto_DataFlat_Classification,R29)</f>
        <v>2</v>
      </c>
      <c r="S97" cm="1">
        <f t="array" aca="1" ref="S97" ca="1">INDEX(auto_DataFlat_Classification,S29)</f>
        <v>4</v>
      </c>
      <c r="U97" t="s">
        <v>997</v>
      </c>
    </row>
    <row r="98" spans="1:21" x14ac:dyDescent="0.4">
      <c r="A98">
        <v>17</v>
      </c>
      <c r="B98">
        <f t="shared" ca="1" si="0"/>
        <v>29</v>
      </c>
      <c r="C98" t="str">
        <f t="shared" ca="1" si="1"/>
        <v>INDI_013</v>
      </c>
      <c r="E98" cm="1">
        <f t="array" aca="1" ref="E98" ca="1">INDEX(auto_DataFlat_Classification,E30)</f>
        <v>3</v>
      </c>
      <c r="F98" cm="1">
        <f t="array" aca="1" ref="F98" ca="1">INDEX(auto_DataFlat_Classification,F30)</f>
        <v>3</v>
      </c>
      <c r="G98" cm="1">
        <f t="array" aca="1" ref="G98" ca="1">INDEX(auto_DataFlat_Classification,G30)</f>
        <v>1</v>
      </c>
      <c r="H98" cm="1">
        <f t="array" aca="1" ref="H98" ca="1">INDEX(auto_DataFlat_Classification,H30)</f>
        <v>3</v>
      </c>
      <c r="I98" cm="1">
        <f t="array" aca="1" ref="I98" ca="1">INDEX(auto_DataFlat_Classification,I30)</f>
        <v>3</v>
      </c>
      <c r="J98" cm="1">
        <f t="array" aca="1" ref="J98" ca="1">INDEX(auto_DataFlat_Classification,J30)</f>
        <v>5</v>
      </c>
      <c r="K98" cm="1">
        <f t="array" aca="1" ref="K98" ca="1">INDEX(auto_DataFlat_Classification,K30)</f>
        <v>5</v>
      </c>
      <c r="L98" cm="1">
        <f t="array" aca="1" ref="L98" ca="1">INDEX(auto_DataFlat_Classification,L30)</f>
        <v>3</v>
      </c>
      <c r="M98" cm="1">
        <f t="array" aca="1" ref="M98" ca="1">INDEX(auto_DataFlat_Classification,M30)</f>
        <v>5</v>
      </c>
      <c r="N98" cm="1">
        <f t="array" aca="1" ref="N98" ca="1">INDEX(auto_DataFlat_Classification,N30)</f>
        <v>1</v>
      </c>
      <c r="O98" cm="1">
        <f t="array" aca="1" ref="O98" ca="1">INDEX(auto_DataFlat_Classification,O30)</f>
        <v>3</v>
      </c>
      <c r="P98" cm="1">
        <f t="array" aca="1" ref="P98" ca="1">INDEX(auto_DataFlat_Classification,P30)</f>
        <v>3</v>
      </c>
      <c r="Q98" cm="1">
        <f t="array" aca="1" ref="Q98" ca="1">INDEX(auto_DataFlat_Classification,Q30)</f>
        <v>3</v>
      </c>
      <c r="R98" cm="1">
        <f t="array" aca="1" ref="R98" ca="1">INDEX(auto_DataFlat_Classification,R30)</f>
        <v>3</v>
      </c>
      <c r="S98" cm="1">
        <f t="array" aca="1" ref="S98" ca="1">INDEX(auto_DataFlat_Classification,S30)</f>
        <v>3</v>
      </c>
      <c r="U98" t="s">
        <v>998</v>
      </c>
    </row>
    <row r="99" spans="1:21" x14ac:dyDescent="0.4">
      <c r="A99">
        <v>18</v>
      </c>
      <c r="B99">
        <f t="shared" ca="1" si="0"/>
        <v>32</v>
      </c>
      <c r="C99" t="str">
        <f t="shared" ca="1" si="1"/>
        <v>INDI_014</v>
      </c>
      <c r="E99" cm="1">
        <f t="array" aca="1" ref="E99" ca="1">INDEX(auto_DataFlat_Classification,E31)</f>
        <v>3</v>
      </c>
      <c r="F99" cm="1">
        <f t="array" aca="1" ref="F99" ca="1">INDEX(auto_DataFlat_Classification,F31)</f>
        <v>2</v>
      </c>
      <c r="G99" cm="1">
        <f t="array" aca="1" ref="G99" ca="1">INDEX(auto_DataFlat_Classification,G31)</f>
        <v>5</v>
      </c>
      <c r="H99" cm="1">
        <f t="array" aca="1" ref="H99" ca="1">INDEX(auto_DataFlat_Classification,H31)</f>
        <v>4</v>
      </c>
      <c r="I99" cm="1">
        <f t="array" aca="1" ref="I99" ca="1">INDEX(auto_DataFlat_Classification,I31)</f>
        <v>5</v>
      </c>
      <c r="J99" cm="1">
        <f t="array" aca="1" ref="J99" ca="1">INDEX(auto_DataFlat_Classification,J31)</f>
        <v>5</v>
      </c>
      <c r="K99" cm="1">
        <f t="array" aca="1" ref="K99" ca="1">INDEX(auto_DataFlat_Classification,K31)</f>
        <v>4</v>
      </c>
      <c r="L99" cm="1">
        <f t="array" aca="1" ref="L99" ca="1">INDEX(auto_DataFlat_Classification,L31)</f>
        <v>4</v>
      </c>
      <c r="M99" cm="1">
        <f t="array" aca="1" ref="M99" ca="1">INDEX(auto_DataFlat_Classification,M31)</f>
        <v>5</v>
      </c>
      <c r="N99" cm="1">
        <f t="array" aca="1" ref="N99" ca="1">INDEX(auto_DataFlat_Classification,N31)</f>
        <v>2</v>
      </c>
      <c r="O99" cm="1">
        <f t="array" aca="1" ref="O99" ca="1">INDEX(auto_DataFlat_Classification,O31)</f>
        <v>2</v>
      </c>
      <c r="P99" cm="1">
        <f t="array" aca="1" ref="P99" ca="1">INDEX(auto_DataFlat_Classification,P31)</f>
        <v>2</v>
      </c>
      <c r="Q99" cm="1">
        <f t="array" aca="1" ref="Q99" ca="1">INDEX(auto_DataFlat_Classification,Q31)</f>
        <v>2</v>
      </c>
      <c r="R99" cm="1">
        <f t="array" aca="1" ref="R99" ca="1">INDEX(auto_DataFlat_Classification,R31)</f>
        <v>4</v>
      </c>
      <c r="S99" cm="1">
        <f t="array" aca="1" ref="S99" ca="1">INDEX(auto_DataFlat_Classification,S31)</f>
        <v>5</v>
      </c>
      <c r="U99" t="s">
        <v>999</v>
      </c>
    </row>
    <row r="100" spans="1:21" x14ac:dyDescent="0.4">
      <c r="A100">
        <v>19</v>
      </c>
      <c r="B100">
        <f t="shared" ca="1" si="0"/>
        <v>35</v>
      </c>
      <c r="C100" t="str">
        <f t="shared" ca="1" si="1"/>
        <v>INDI_015</v>
      </c>
      <c r="E100" cm="1">
        <f t="array" aca="1" ref="E100" ca="1">INDEX(auto_DataFlat_Classification,E32)</f>
        <v>4</v>
      </c>
      <c r="F100" cm="1">
        <f t="array" aca="1" ref="F100" ca="1">INDEX(auto_DataFlat_Classification,F32)</f>
        <v>5</v>
      </c>
      <c r="G100" cm="1">
        <f t="array" aca="1" ref="G100" ca="1">INDEX(auto_DataFlat_Classification,G32)</f>
        <v>3</v>
      </c>
      <c r="H100" cm="1">
        <f t="array" aca="1" ref="H100" ca="1">INDEX(auto_DataFlat_Classification,H32)</f>
        <v>3</v>
      </c>
      <c r="I100" cm="1">
        <f t="array" aca="1" ref="I100" ca="1">INDEX(auto_DataFlat_Classification,I32)</f>
        <v>4</v>
      </c>
      <c r="J100" cm="1">
        <f t="array" aca="1" ref="J100" ca="1">INDEX(auto_DataFlat_Classification,J32)</f>
        <v>4</v>
      </c>
      <c r="K100" cm="1">
        <f t="array" aca="1" ref="K100" ca="1">INDEX(auto_DataFlat_Classification,K32)</f>
        <v>2</v>
      </c>
      <c r="L100" cm="1">
        <f t="array" aca="1" ref="L100" ca="1">INDEX(auto_DataFlat_Classification,L32)</f>
        <v>2</v>
      </c>
      <c r="M100" cm="1">
        <f t="array" aca="1" ref="M100" ca="1">INDEX(auto_DataFlat_Classification,M32)</f>
        <v>3</v>
      </c>
      <c r="N100" cm="1">
        <f t="array" aca="1" ref="N100" ca="1">INDEX(auto_DataFlat_Classification,N32)</f>
        <v>3</v>
      </c>
      <c r="O100" cm="1">
        <f t="array" aca="1" ref="O100" ca="1">INDEX(auto_DataFlat_Classification,O32)</f>
        <v>2</v>
      </c>
      <c r="P100" cm="1">
        <f t="array" aca="1" ref="P100" ca="1">INDEX(auto_DataFlat_Classification,P32)</f>
        <v>3</v>
      </c>
      <c r="Q100" cm="1">
        <f t="array" aca="1" ref="Q100" ca="1">INDEX(auto_DataFlat_Classification,Q32)</f>
        <v>5</v>
      </c>
      <c r="R100" cm="1">
        <f t="array" aca="1" ref="R100" ca="1">INDEX(auto_DataFlat_Classification,R32)</f>
        <v>4</v>
      </c>
      <c r="S100" cm="1">
        <f t="array" aca="1" ref="S100" ca="1">INDEX(auto_DataFlat_Classification,S32)</f>
        <v>5</v>
      </c>
      <c r="U100" t="s">
        <v>1000</v>
      </c>
    </row>
    <row r="101" spans="1:21" x14ac:dyDescent="0.4">
      <c r="A101">
        <v>20</v>
      </c>
      <c r="B101">
        <f t="shared" ca="1" si="0"/>
        <v>38</v>
      </c>
      <c r="C101" t="str">
        <f t="shared" ca="1" si="1"/>
        <v>INDI_016</v>
      </c>
      <c r="E101" cm="1">
        <f t="array" aca="1" ref="E101" ca="1">INDEX(auto_DataFlat_Classification,E33)</f>
        <v>3</v>
      </c>
      <c r="F101" cm="1">
        <f t="array" aca="1" ref="F101" ca="1">INDEX(auto_DataFlat_Classification,F33)</f>
        <v>3</v>
      </c>
      <c r="G101" cm="1">
        <f t="array" aca="1" ref="G101" ca="1">INDEX(auto_DataFlat_Classification,G33)</f>
        <v>5</v>
      </c>
      <c r="H101" cm="1">
        <f t="array" aca="1" ref="H101" ca="1">INDEX(auto_DataFlat_Classification,H33)</f>
        <v>5</v>
      </c>
      <c r="I101" cm="1">
        <f t="array" aca="1" ref="I101" ca="1">INDEX(auto_DataFlat_Classification,I33)</f>
        <v>5</v>
      </c>
      <c r="J101" cm="1">
        <f t="array" aca="1" ref="J101" ca="1">INDEX(auto_DataFlat_Classification,J33)</f>
        <v>5</v>
      </c>
      <c r="K101" cm="1">
        <f t="array" aca="1" ref="K101" ca="1">INDEX(auto_DataFlat_Classification,K33)</f>
        <v>5</v>
      </c>
      <c r="L101" cm="1">
        <f t="array" aca="1" ref="L101" ca="1">INDEX(auto_DataFlat_Classification,L33)</f>
        <v>5</v>
      </c>
      <c r="M101" cm="1">
        <f t="array" aca="1" ref="M101" ca="1">INDEX(auto_DataFlat_Classification,M33)</f>
        <v>5</v>
      </c>
      <c r="N101" cm="1">
        <f t="array" aca="1" ref="N101" ca="1">INDEX(auto_DataFlat_Classification,N33)</f>
        <v>3</v>
      </c>
      <c r="O101" cm="1">
        <f t="array" aca="1" ref="O101" ca="1">INDEX(auto_DataFlat_Classification,O33)</f>
        <v>3</v>
      </c>
      <c r="P101" cm="1">
        <f t="array" aca="1" ref="P101" ca="1">INDEX(auto_DataFlat_Classification,P33)</f>
        <v>5</v>
      </c>
      <c r="Q101" cm="1">
        <f t="array" aca="1" ref="Q101" ca="1">INDEX(auto_DataFlat_Classification,Q33)</f>
        <v>3</v>
      </c>
      <c r="R101" cm="1">
        <f t="array" aca="1" ref="R101" ca="1">INDEX(auto_DataFlat_Classification,R33)</f>
        <v>5</v>
      </c>
      <c r="S101" cm="1">
        <f t="array" aca="1" ref="S101" ca="1">INDEX(auto_DataFlat_Classification,S33)</f>
        <v>5</v>
      </c>
      <c r="U101" t="s">
        <v>1001</v>
      </c>
    </row>
    <row r="102" spans="1:21" x14ac:dyDescent="0.4">
      <c r="A102">
        <v>21</v>
      </c>
      <c r="B102">
        <f t="shared" ca="1" si="0"/>
        <v>41</v>
      </c>
      <c r="C102" t="str">
        <f t="shared" ca="1" si="1"/>
        <v>INDI_017</v>
      </c>
      <c r="E102" cm="1">
        <f t="array" aca="1" ref="E102" ca="1">INDEX(auto_DataFlat_Classification,E34)</f>
        <v>5</v>
      </c>
      <c r="F102" cm="1">
        <f t="array" aca="1" ref="F102" ca="1">INDEX(auto_DataFlat_Classification,F34)</f>
        <v>2</v>
      </c>
      <c r="G102" cm="1">
        <f t="array" aca="1" ref="G102" ca="1">INDEX(auto_DataFlat_Classification,G34)</f>
        <v>4</v>
      </c>
      <c r="H102" cm="1">
        <f t="array" aca="1" ref="H102" ca="1">INDEX(auto_DataFlat_Classification,H34)</f>
        <v>4</v>
      </c>
      <c r="I102" cm="1">
        <f t="array" aca="1" ref="I102" ca="1">INDEX(auto_DataFlat_Classification,I34)</f>
        <v>4</v>
      </c>
      <c r="J102" cm="1">
        <f t="array" aca="1" ref="J102" ca="1">INDEX(auto_DataFlat_Classification,J34)</f>
        <v>5</v>
      </c>
      <c r="K102" cm="1">
        <f t="array" aca="1" ref="K102" ca="1">INDEX(auto_DataFlat_Classification,K34)</f>
        <v>4</v>
      </c>
      <c r="L102" cm="1">
        <f t="array" aca="1" ref="L102" ca="1">INDEX(auto_DataFlat_Classification,L34)</f>
        <v>4</v>
      </c>
      <c r="M102" cm="1">
        <f t="array" aca="1" ref="M102" ca="1">INDEX(auto_DataFlat_Classification,M34)</f>
        <v>4</v>
      </c>
      <c r="N102" cm="1">
        <f t="array" aca="1" ref="N102" ca="1">INDEX(auto_DataFlat_Classification,N34)</f>
        <v>4</v>
      </c>
      <c r="O102" cm="1">
        <f t="array" aca="1" ref="O102" ca="1">INDEX(auto_DataFlat_Classification,O34)</f>
        <v>5</v>
      </c>
      <c r="P102" cm="1">
        <f t="array" aca="1" ref="P102" ca="1">INDEX(auto_DataFlat_Classification,P34)</f>
        <v>5</v>
      </c>
      <c r="Q102" cm="1">
        <f t="array" aca="1" ref="Q102" ca="1">INDEX(auto_DataFlat_Classification,Q34)</f>
        <v>2</v>
      </c>
      <c r="R102" cm="1">
        <f t="array" aca="1" ref="R102" ca="1">INDEX(auto_DataFlat_Classification,R34)</f>
        <v>4</v>
      </c>
      <c r="S102" cm="1">
        <f t="array" aca="1" ref="S102" ca="1">INDEX(auto_DataFlat_Classification,S34)</f>
        <v>4</v>
      </c>
      <c r="U102" t="s">
        <v>1002</v>
      </c>
    </row>
    <row r="103" spans="1:21" x14ac:dyDescent="0.4">
      <c r="A103">
        <v>22</v>
      </c>
      <c r="B103">
        <f t="shared" ca="1" si="0"/>
        <v>44</v>
      </c>
      <c r="C103" t="str">
        <f t="shared" ca="1" si="1"/>
        <v>INDI_018</v>
      </c>
      <c r="E103" cm="1">
        <f t="array" aca="1" ref="E103" ca="1">INDEX(auto_DataFlat_Classification,E35)</f>
        <v>2</v>
      </c>
      <c r="F103" cm="1">
        <f t="array" aca="1" ref="F103" ca="1">INDEX(auto_DataFlat_Classification,F35)</f>
        <v>2</v>
      </c>
      <c r="G103" cm="1">
        <f t="array" aca="1" ref="G103" ca="1">INDEX(auto_DataFlat_Classification,G35)</f>
        <v>4</v>
      </c>
      <c r="H103" cm="1">
        <f t="array" aca="1" ref="H103" ca="1">INDEX(auto_DataFlat_Classification,H35)</f>
        <v>1</v>
      </c>
      <c r="I103" cm="1">
        <f t="array" aca="1" ref="I103" ca="1">INDEX(auto_DataFlat_Classification,I35)</f>
        <v>4</v>
      </c>
      <c r="J103" cm="1">
        <f t="array" aca="1" ref="J103" ca="1">INDEX(auto_DataFlat_Classification,J35)</f>
        <v>2</v>
      </c>
      <c r="K103" cm="1">
        <f t="array" aca="1" ref="K103" ca="1">INDEX(auto_DataFlat_Classification,K35)</f>
        <v>1</v>
      </c>
      <c r="L103" cm="1">
        <f t="array" aca="1" ref="L103" ca="1">INDEX(auto_DataFlat_Classification,L35)</f>
        <v>1</v>
      </c>
      <c r="M103" cm="1">
        <f t="array" aca="1" ref="M103" ca="1">INDEX(auto_DataFlat_Classification,M35)</f>
        <v>1</v>
      </c>
      <c r="N103" cm="1">
        <f t="array" aca="1" ref="N103" ca="1">INDEX(auto_DataFlat_Classification,N35)</f>
        <v>2</v>
      </c>
      <c r="O103" cm="1">
        <f t="array" aca="1" ref="O103" ca="1">INDEX(auto_DataFlat_Classification,O35)</f>
        <v>1</v>
      </c>
      <c r="P103" cm="1">
        <f t="array" aca="1" ref="P103" ca="1">INDEX(auto_DataFlat_Classification,P35)</f>
        <v>2</v>
      </c>
      <c r="Q103" cm="1">
        <f t="array" aca="1" ref="Q103" ca="1">INDEX(auto_DataFlat_Classification,Q35)</f>
        <v>2</v>
      </c>
      <c r="R103" cm="1">
        <f t="array" aca="1" ref="R103" ca="1">INDEX(auto_DataFlat_Classification,R35)</f>
        <v>1</v>
      </c>
      <c r="S103" cm="1">
        <f t="array" aca="1" ref="S103" ca="1">INDEX(auto_DataFlat_Classification,S35)</f>
        <v>4</v>
      </c>
      <c r="U103" t="s">
        <v>1003</v>
      </c>
    </row>
    <row r="104" spans="1:21" x14ac:dyDescent="0.4">
      <c r="A104">
        <v>23</v>
      </c>
      <c r="B104">
        <f t="shared" ca="1" si="0"/>
        <v>47</v>
      </c>
      <c r="C104" t="str">
        <f t="shared" ca="1" si="1"/>
        <v>DOMAIN_004</v>
      </c>
      <c r="E104" cm="1">
        <f t="array" aca="1" ref="E104" ca="1">INDEX(auto_DataFlat_Classification,E36)</f>
        <v>1</v>
      </c>
      <c r="F104" cm="1">
        <f t="array" aca="1" ref="F104" ca="1">INDEX(auto_DataFlat_Classification,F36)</f>
        <v>3</v>
      </c>
      <c r="G104" cm="1">
        <f t="array" aca="1" ref="G104" ca="1">INDEX(auto_DataFlat_Classification,G36)</f>
        <v>4</v>
      </c>
      <c r="H104" cm="1">
        <f t="array" aca="1" ref="H104" ca="1">INDEX(auto_DataFlat_Classification,H36)</f>
        <v>4</v>
      </c>
      <c r="I104" cm="1">
        <f t="array" aca="1" ref="I104" ca="1">INDEX(auto_DataFlat_Classification,I36)</f>
        <v>4</v>
      </c>
      <c r="J104" cm="1">
        <f t="array" aca="1" ref="J104" ca="1">INDEX(auto_DataFlat_Classification,J36)</f>
        <v>2</v>
      </c>
      <c r="K104" cm="1">
        <f t="array" aca="1" ref="K104" ca="1">INDEX(auto_DataFlat_Classification,K36)</f>
        <v>5</v>
      </c>
      <c r="L104" cm="1">
        <f t="array" aca="1" ref="L104" ca="1">INDEX(auto_DataFlat_Classification,L36)</f>
        <v>4</v>
      </c>
      <c r="M104" cm="1">
        <f t="array" aca="1" ref="M104" ca="1">INDEX(auto_DataFlat_Classification,M36)</f>
        <v>4</v>
      </c>
      <c r="N104" cm="1">
        <f t="array" aca="1" ref="N104" ca="1">INDEX(auto_DataFlat_Classification,N36)</f>
        <v>3</v>
      </c>
      <c r="O104" cm="1">
        <f t="array" aca="1" ref="O104" ca="1">INDEX(auto_DataFlat_Classification,O36)</f>
        <v>4</v>
      </c>
      <c r="P104" cm="1">
        <f t="array" aca="1" ref="P104" ca="1">INDEX(auto_DataFlat_Classification,P36)</f>
        <v>4</v>
      </c>
      <c r="Q104" cm="1">
        <f t="array" aca="1" ref="Q104" ca="1">INDEX(auto_DataFlat_Classification,Q36)</f>
        <v>2</v>
      </c>
      <c r="R104" cm="1">
        <f t="array" aca="1" ref="R104" ca="1">INDEX(auto_DataFlat_Classification,R36)</f>
        <v>3</v>
      </c>
      <c r="S104" cm="1">
        <f t="array" aca="1" ref="S104" ca="1">INDEX(auto_DataFlat_Classification,S36)</f>
        <v>5</v>
      </c>
      <c r="U104" t="s">
        <v>1004</v>
      </c>
    </row>
    <row r="105" spans="1:21" x14ac:dyDescent="0.4">
      <c r="A105">
        <v>24</v>
      </c>
      <c r="B105">
        <f t="shared" ca="1" si="0"/>
        <v>48</v>
      </c>
      <c r="C105" t="str">
        <f t="shared" ca="1" si="1"/>
        <v>INDI_019</v>
      </c>
      <c r="E105" cm="1">
        <f t="array" aca="1" ref="E105" ca="1">INDEX(auto_DataFlat_Classification,E37)</f>
        <v>1</v>
      </c>
      <c r="F105" cm="1">
        <f t="array" aca="1" ref="F105" ca="1">INDEX(auto_DataFlat_Classification,F37)</f>
        <v>5</v>
      </c>
      <c r="G105" cm="1">
        <f t="array" aca="1" ref="G105" ca="1">INDEX(auto_DataFlat_Classification,G37)</f>
        <v>5</v>
      </c>
      <c r="H105" cm="1">
        <f t="array" aca="1" ref="H105" ca="1">INDEX(auto_DataFlat_Classification,H37)</f>
        <v>5</v>
      </c>
      <c r="I105" cm="1">
        <f t="array" aca="1" ref="I105" ca="1">INDEX(auto_DataFlat_Classification,I37)</f>
        <v>5</v>
      </c>
      <c r="J105" cm="1">
        <f t="array" aca="1" ref="J105" ca="1">INDEX(auto_DataFlat_Classification,J37)</f>
        <v>3</v>
      </c>
      <c r="K105" cm="1">
        <f t="array" aca="1" ref="K105" ca="1">INDEX(auto_DataFlat_Classification,K37)</f>
        <v>5</v>
      </c>
      <c r="L105" cm="1">
        <f t="array" aca="1" ref="L105" ca="1">INDEX(auto_DataFlat_Classification,L37)</f>
        <v>3</v>
      </c>
      <c r="M105" cm="1">
        <f t="array" aca="1" ref="M105" ca="1">INDEX(auto_DataFlat_Classification,M37)</f>
        <v>5</v>
      </c>
      <c r="N105" cm="1">
        <f t="array" aca="1" ref="N105" ca="1">INDEX(auto_DataFlat_Classification,N37)</f>
        <v>5</v>
      </c>
      <c r="O105" cm="1">
        <f t="array" aca="1" ref="O105" ca="1">INDEX(auto_DataFlat_Classification,O37)</f>
        <v>5</v>
      </c>
      <c r="P105" cm="1">
        <f t="array" aca="1" ref="P105" ca="1">INDEX(auto_DataFlat_Classification,P37)</f>
        <v>5</v>
      </c>
      <c r="Q105" cm="1">
        <f t="array" aca="1" ref="Q105" ca="1">INDEX(auto_DataFlat_Classification,Q37)</f>
        <v>3</v>
      </c>
      <c r="R105" cm="1">
        <f t="array" aca="1" ref="R105" ca="1">INDEX(auto_DataFlat_Classification,R37)</f>
        <v>5</v>
      </c>
      <c r="S105" cm="1">
        <f t="array" aca="1" ref="S105" ca="1">INDEX(auto_DataFlat_Classification,S37)</f>
        <v>5</v>
      </c>
      <c r="U105" t="s">
        <v>1005</v>
      </c>
    </row>
    <row r="106" spans="1:21" x14ac:dyDescent="0.4">
      <c r="A106">
        <v>25</v>
      </c>
      <c r="B106">
        <f t="shared" ca="1" si="0"/>
        <v>49</v>
      </c>
      <c r="C106" t="str">
        <f t="shared" ca="1" si="1"/>
        <v>INDI_020</v>
      </c>
      <c r="E106" cm="1">
        <f t="array" aca="1" ref="E106" ca="1">INDEX(auto_DataFlat_Classification,E38)</f>
        <v>2</v>
      </c>
      <c r="F106" cm="1">
        <f t="array" aca="1" ref="F106" ca="1">INDEX(auto_DataFlat_Classification,F38)</f>
        <v>3</v>
      </c>
      <c r="G106" cm="1">
        <f t="array" aca="1" ref="G106" ca="1">INDEX(auto_DataFlat_Classification,G38)</f>
        <v>5</v>
      </c>
      <c r="H106" cm="1">
        <f t="array" aca="1" ref="H106" ca="1">INDEX(auto_DataFlat_Classification,H38)</f>
        <v>4</v>
      </c>
      <c r="I106" cm="1">
        <f t="array" aca="1" ref="I106" ca="1">INDEX(auto_DataFlat_Classification,I38)</f>
        <v>3</v>
      </c>
      <c r="J106" cm="1">
        <f t="array" aca="1" ref="J106" ca="1">INDEX(auto_DataFlat_Classification,J38)</f>
        <v>3</v>
      </c>
      <c r="K106" cm="1">
        <f t="array" aca="1" ref="K106" ca="1">INDEX(auto_DataFlat_Classification,K38)</f>
        <v>4</v>
      </c>
      <c r="L106" cm="1">
        <f t="array" aca="1" ref="L106" ca="1">INDEX(auto_DataFlat_Classification,L38)</f>
        <v>4</v>
      </c>
      <c r="M106" cm="1">
        <f t="array" aca="1" ref="M106" ca="1">INDEX(auto_DataFlat_Classification,M38)</f>
        <v>4</v>
      </c>
      <c r="N106" cm="1">
        <f t="array" aca="1" ref="N106" ca="1">INDEX(auto_DataFlat_Classification,N38)</f>
        <v>3</v>
      </c>
      <c r="O106" cm="1">
        <f t="array" aca="1" ref="O106" ca="1">INDEX(auto_DataFlat_Classification,O38)</f>
        <v>3</v>
      </c>
      <c r="P106" cm="1">
        <f t="array" aca="1" ref="P106" ca="1">INDEX(auto_DataFlat_Classification,P38)</f>
        <v>2</v>
      </c>
      <c r="Q106" cm="1">
        <f t="array" aca="1" ref="Q106" ca="1">INDEX(auto_DataFlat_Classification,Q38)</f>
        <v>3</v>
      </c>
      <c r="R106" cm="1">
        <f t="array" aca="1" ref="R106" ca="1">INDEX(auto_DataFlat_Classification,R38)</f>
        <v>3</v>
      </c>
      <c r="S106" cm="1">
        <f t="array" aca="1" ref="S106" ca="1">INDEX(auto_DataFlat_Classification,S38)</f>
        <v>4</v>
      </c>
      <c r="U106" t="s">
        <v>1006</v>
      </c>
    </row>
    <row r="107" spans="1:21" x14ac:dyDescent="0.4">
      <c r="A107">
        <v>26</v>
      </c>
      <c r="B107">
        <f t="shared" ca="1" si="0"/>
        <v>50</v>
      </c>
      <c r="C107" t="str">
        <f t="shared" ca="1" si="1"/>
        <v>INDI_021</v>
      </c>
      <c r="E107" cm="1">
        <f t="array" aca="1" ref="E107" ca="1">INDEX(auto_DataFlat_Classification,E39)</f>
        <v>3</v>
      </c>
      <c r="F107" cm="1">
        <f t="array" aca="1" ref="F107" ca="1">INDEX(auto_DataFlat_Classification,F39)</f>
        <v>3</v>
      </c>
      <c r="G107" cm="1">
        <f t="array" aca="1" ref="G107" ca="1">INDEX(auto_DataFlat_Classification,G39)</f>
        <v>5</v>
      </c>
      <c r="H107" cm="1">
        <f t="array" aca="1" ref="H107" ca="1">INDEX(auto_DataFlat_Classification,H39)</f>
        <v>3</v>
      </c>
      <c r="I107" cm="1">
        <f t="array" aca="1" ref="I107" ca="1">INDEX(auto_DataFlat_Classification,I39)</f>
        <v>4</v>
      </c>
      <c r="J107" cm="1">
        <f t="array" aca="1" ref="J107" ca="1">INDEX(auto_DataFlat_Classification,J39)</f>
        <v>3</v>
      </c>
      <c r="K107" cm="1">
        <f t="array" aca="1" ref="K107" ca="1">INDEX(auto_DataFlat_Classification,K39)</f>
        <v>4</v>
      </c>
      <c r="L107" cm="1">
        <f t="array" aca="1" ref="L107" ca="1">INDEX(auto_DataFlat_Classification,L39)</f>
        <v>4</v>
      </c>
      <c r="M107" cm="1">
        <f t="array" aca="1" ref="M107" ca="1">INDEX(auto_DataFlat_Classification,M39)</f>
        <v>5</v>
      </c>
      <c r="N107" cm="1">
        <f t="array" aca="1" ref="N107" ca="1">INDEX(auto_DataFlat_Classification,N39)</f>
        <v>2</v>
      </c>
      <c r="O107" cm="1">
        <f t="array" aca="1" ref="O107" ca="1">INDEX(auto_DataFlat_Classification,O39)</f>
        <v>4</v>
      </c>
      <c r="P107" cm="1">
        <f t="array" aca="1" ref="P107" ca="1">INDEX(auto_DataFlat_Classification,P39)</f>
        <v>3</v>
      </c>
      <c r="Q107" cm="1">
        <f t="array" aca="1" ref="Q107" ca="1">INDEX(auto_DataFlat_Classification,Q39)</f>
        <v>3</v>
      </c>
      <c r="R107" cm="1">
        <f t="array" aca="1" ref="R107" ca="1">INDEX(auto_DataFlat_Classification,R39)</f>
        <v>2</v>
      </c>
      <c r="S107" cm="1">
        <f t="array" aca="1" ref="S107" ca="1">INDEX(auto_DataFlat_Classification,S39)</f>
        <v>5</v>
      </c>
      <c r="U107" t="s">
        <v>1007</v>
      </c>
    </row>
    <row r="108" spans="1:21" x14ac:dyDescent="0.4">
      <c r="A108">
        <v>27</v>
      </c>
      <c r="B108">
        <f t="shared" ca="1" si="0"/>
        <v>51</v>
      </c>
      <c r="C108" t="str">
        <f t="shared" ca="1" si="1"/>
        <v>INDI_022</v>
      </c>
      <c r="E108" cm="1">
        <f t="array" aca="1" ref="E108" ca="1">INDEX(auto_DataFlat_Classification,E40)</f>
        <v>1</v>
      </c>
      <c r="F108" cm="1">
        <f t="array" aca="1" ref="F108" ca="1">INDEX(auto_DataFlat_Classification,F40)</f>
        <v>1</v>
      </c>
      <c r="G108" cm="1">
        <f t="array" aca="1" ref="G108" ca="1">INDEX(auto_DataFlat_Classification,G40)</f>
        <v>1</v>
      </c>
      <c r="H108" cm="1">
        <f t="array" aca="1" ref="H108" ca="1">INDEX(auto_DataFlat_Classification,H40)</f>
        <v>5</v>
      </c>
      <c r="I108" cm="1">
        <f t="array" aca="1" ref="I108" ca="1">INDEX(auto_DataFlat_Classification,I40)</f>
        <v>5</v>
      </c>
      <c r="J108" cm="1">
        <f t="array" aca="1" ref="J108" ca="1">INDEX(auto_DataFlat_Classification,J40)</f>
        <v>1</v>
      </c>
      <c r="K108" cm="1">
        <f t="array" aca="1" ref="K108" ca="1">INDEX(auto_DataFlat_Classification,K40)</f>
        <v>5</v>
      </c>
      <c r="L108" cm="1">
        <f t="array" aca="1" ref="L108" ca="1">INDEX(auto_DataFlat_Classification,L40)</f>
        <v>5</v>
      </c>
      <c r="M108" cm="1">
        <f t="array" aca="1" ref="M108" ca="1">INDEX(auto_DataFlat_Classification,M40)</f>
        <v>1</v>
      </c>
      <c r="N108" cm="1">
        <f t="array" aca="1" ref="N108" ca="1">INDEX(auto_DataFlat_Classification,N40)</f>
        <v>1</v>
      </c>
      <c r="O108" cm="1">
        <f t="array" aca="1" ref="O108" ca="1">INDEX(auto_DataFlat_Classification,O40)</f>
        <v>5</v>
      </c>
      <c r="P108" cm="1">
        <f t="array" aca="1" ref="P108" ca="1">INDEX(auto_DataFlat_Classification,P40)</f>
        <v>5</v>
      </c>
      <c r="Q108" cm="1">
        <f t="array" aca="1" ref="Q108" ca="1">INDEX(auto_DataFlat_Classification,Q40)</f>
        <v>1</v>
      </c>
      <c r="R108" cm="1">
        <f t="array" aca="1" ref="R108" ca="1">INDEX(auto_DataFlat_Classification,R40)</f>
        <v>1</v>
      </c>
      <c r="S108" cm="1">
        <f t="array" aca="1" ref="S108" ca="1">INDEX(auto_DataFlat_Classification,S40)</f>
        <v>5</v>
      </c>
      <c r="U108" t="s">
        <v>1008</v>
      </c>
    </row>
    <row r="109" spans="1:21" x14ac:dyDescent="0.4">
      <c r="A109">
        <v>28</v>
      </c>
      <c r="B109">
        <f t="shared" ca="1" si="0"/>
        <v>52</v>
      </c>
      <c r="C109" t="str">
        <f t="shared" ca="1" si="1"/>
        <v>DOMAIN_005</v>
      </c>
      <c r="E109" cm="1">
        <f t="array" aca="1" ref="E109" ca="1">INDEX(auto_DataFlat_Classification,E41)</f>
        <v>4</v>
      </c>
      <c r="F109" cm="1">
        <f t="array" aca="1" ref="F109" ca="1">INDEX(auto_DataFlat_Classification,F41)</f>
        <v>2</v>
      </c>
      <c r="G109" cm="1">
        <f t="array" aca="1" ref="G109" ca="1">INDEX(auto_DataFlat_Classification,G41)</f>
        <v>4</v>
      </c>
      <c r="H109" cm="1">
        <f t="array" aca="1" ref="H109" ca="1">INDEX(auto_DataFlat_Classification,H41)</f>
        <v>4</v>
      </c>
      <c r="I109" cm="1">
        <f t="array" aca="1" ref="I109" ca="1">INDEX(auto_DataFlat_Classification,I41)</f>
        <v>4</v>
      </c>
      <c r="J109" cm="1">
        <f t="array" aca="1" ref="J109" ca="1">INDEX(auto_DataFlat_Classification,J41)</f>
        <v>4</v>
      </c>
      <c r="K109" cm="1">
        <f t="array" aca="1" ref="K109" ca="1">INDEX(auto_DataFlat_Classification,K41)</f>
        <v>5</v>
      </c>
      <c r="L109" cm="1">
        <f t="array" aca="1" ref="L109" ca="1">INDEX(auto_DataFlat_Classification,L41)</f>
        <v>4</v>
      </c>
      <c r="M109" cm="1">
        <f t="array" aca="1" ref="M109" ca="1">INDEX(auto_DataFlat_Classification,M41)</f>
        <v>4</v>
      </c>
      <c r="N109" cm="1">
        <f t="array" aca="1" ref="N109" ca="1">INDEX(auto_DataFlat_Classification,N41)</f>
        <v>3</v>
      </c>
      <c r="O109" cm="1">
        <f t="array" aca="1" ref="O109" ca="1">INDEX(auto_DataFlat_Classification,O41)</f>
        <v>3</v>
      </c>
      <c r="P109" cm="1">
        <f t="array" aca="1" ref="P109" ca="1">INDEX(auto_DataFlat_Classification,P41)</f>
        <v>4</v>
      </c>
      <c r="Q109" cm="1">
        <f t="array" aca="1" ref="Q109" ca="1">INDEX(auto_DataFlat_Classification,Q41)</f>
        <v>3</v>
      </c>
      <c r="R109" cm="1">
        <f t="array" aca="1" ref="R109" ca="1">INDEX(auto_DataFlat_Classification,R41)</f>
        <v>5</v>
      </c>
      <c r="S109" cm="1">
        <f t="array" aca="1" ref="S109" ca="1">INDEX(auto_DataFlat_Classification,S41)</f>
        <v>4</v>
      </c>
      <c r="U109" t="s">
        <v>1009</v>
      </c>
    </row>
    <row r="110" spans="1:21" x14ac:dyDescent="0.4">
      <c r="A110">
        <v>29</v>
      </c>
      <c r="B110">
        <f t="shared" ca="1" si="0"/>
        <v>53</v>
      </c>
      <c r="C110" t="str">
        <f t="shared" ca="1" si="1"/>
        <v>INDI_024</v>
      </c>
      <c r="E110" cm="1">
        <f t="array" aca="1" ref="E110" ca="1">INDEX(auto_DataFlat_Classification,E42)</f>
        <v>5</v>
      </c>
      <c r="F110" cm="1">
        <f t="array" aca="1" ref="F110" ca="1">INDEX(auto_DataFlat_Classification,F42)</f>
        <v>1</v>
      </c>
      <c r="G110" cm="1">
        <f t="array" aca="1" ref="G110" ca="1">INDEX(auto_DataFlat_Classification,G42)</f>
        <v>5</v>
      </c>
      <c r="H110" cm="1">
        <f t="array" aca="1" ref="H110" ca="1">INDEX(auto_DataFlat_Classification,H42)</f>
        <v>1</v>
      </c>
      <c r="I110" cm="1">
        <f t="array" aca="1" ref="I110" ca="1">INDEX(auto_DataFlat_Classification,I42)</f>
        <v>1</v>
      </c>
      <c r="J110" cm="1">
        <f t="array" aca="1" ref="J110" ca="1">INDEX(auto_DataFlat_Classification,J42)</f>
        <v>5</v>
      </c>
      <c r="K110" cm="1">
        <f t="array" aca="1" ref="K110" ca="1">INDEX(auto_DataFlat_Classification,K42)</f>
        <v>5</v>
      </c>
      <c r="L110" cm="1">
        <f t="array" aca="1" ref="L110" ca="1">INDEX(auto_DataFlat_Classification,L42)</f>
        <v>5</v>
      </c>
      <c r="M110" cm="1">
        <f t="array" aca="1" ref="M110" ca="1">INDEX(auto_DataFlat_Classification,M42)</f>
        <v>1</v>
      </c>
      <c r="N110" cm="1">
        <f t="array" aca="1" ref="N110" ca="1">INDEX(auto_DataFlat_Classification,N42)</f>
        <v>1</v>
      </c>
      <c r="O110" cm="1">
        <f t="array" aca="1" ref="O110" ca="1">INDEX(auto_DataFlat_Classification,O42)</f>
        <v>1</v>
      </c>
      <c r="P110" cm="1">
        <f t="array" aca="1" ref="P110" ca="1">INDEX(auto_DataFlat_Classification,P42)</f>
        <v>1</v>
      </c>
      <c r="Q110" cm="1">
        <f t="array" aca="1" ref="Q110" ca="1">INDEX(auto_DataFlat_Classification,Q42)</f>
        <v>1</v>
      </c>
      <c r="R110" cm="1">
        <f t="array" aca="1" ref="R110" ca="1">INDEX(auto_DataFlat_Classification,R42)</f>
        <v>5</v>
      </c>
      <c r="S110" cm="1">
        <f t="array" aca="1" ref="S110" ca="1">INDEX(auto_DataFlat_Classification,S42)</f>
        <v>1</v>
      </c>
    </row>
    <row r="113" spans="1:51" x14ac:dyDescent="0.4">
      <c r="U113" t="s">
        <v>1101</v>
      </c>
      <c r="AK113" t="s">
        <v>1102</v>
      </c>
    </row>
    <row r="114" spans="1:51" x14ac:dyDescent="0.4">
      <c r="E114" t="s">
        <v>1100</v>
      </c>
      <c r="U114">
        <v>1</v>
      </c>
      <c r="AK114">
        <v>-1</v>
      </c>
    </row>
    <row r="115" spans="1:51" x14ac:dyDescent="0.4">
      <c r="B115" t="s">
        <v>1105</v>
      </c>
      <c r="E115" t="str" cm="1">
        <f t="array" ref="E115">CONCATENATE(INDEX(auto_ddCountry,E116),", ")</f>
        <v xml:space="preserve">Addis Ababa, </v>
      </c>
      <c r="F115" t="str" cm="1">
        <f t="array" ref="F115">CONCATENATE(INDEX(auto_ddCountry,F116),", ")</f>
        <v xml:space="preserve">Algiers, </v>
      </c>
      <c r="G115" t="str" cm="1">
        <f t="array" ref="G115">CONCATENATE(INDEX(auto_ddCountry,G116),", ")</f>
        <v xml:space="preserve">Atlanta, </v>
      </c>
      <c r="H115" t="str" cm="1">
        <f t="array" ref="H115">CONCATENATE(INDEX(auto_ddCountry,H116),", ")</f>
        <v xml:space="preserve">Auckland, </v>
      </c>
      <c r="I115" t="str" cm="1">
        <f t="array" ref="I115">CONCATENATE(INDEX(auto_ddCountry,I116),", ")</f>
        <v xml:space="preserve">Bangkok, </v>
      </c>
      <c r="J115" t="str" cm="1">
        <f t="array" ref="J115">CONCATENATE(INDEX(auto_ddCountry,J116),", ")</f>
        <v xml:space="preserve">Beijing, </v>
      </c>
      <c r="K115" t="str" cm="1">
        <f t="array" ref="K115">CONCATENATE(INDEX(auto_ddCountry,K116),", ")</f>
        <v xml:space="preserve">Berlin, </v>
      </c>
      <c r="L115" t="str" cm="1">
        <f t="array" ref="L115">CONCATENATE(INDEX(auto_ddCountry,L116),", ")</f>
        <v xml:space="preserve">Bogotá, </v>
      </c>
      <c r="M115" t="str" cm="1">
        <f t="array" ref="M115">CONCATENATE(INDEX(auto_ddCountry,M116),", ")</f>
        <v xml:space="preserve">Budapest, </v>
      </c>
      <c r="N115" t="str" cm="1">
        <f t="array" ref="N115">CONCATENATE(INDEX(auto_ddCountry,N116),", ")</f>
        <v xml:space="preserve">Cairo, </v>
      </c>
      <c r="O115" t="str" cm="1">
        <f t="array" ref="O115">CONCATENATE(INDEX(auto_ddCountry,O116),", ")</f>
        <v xml:space="preserve">Colombo, </v>
      </c>
      <c r="P115" t="str" cm="1">
        <f t="array" ref="P115">CONCATENATE(INDEX(auto_ddCountry,P116),", ")</f>
        <v xml:space="preserve">Delhi, </v>
      </c>
      <c r="Q115" t="str" cm="1">
        <f t="array" ref="Q115">CONCATENATE(INDEX(auto_ddCountry,Q116),", ")</f>
        <v xml:space="preserve">Dhaka, </v>
      </c>
      <c r="R115" t="str" cm="1">
        <f t="array" ref="R115">CONCATENATE(INDEX(auto_ddCountry,R116),", ")</f>
        <v xml:space="preserve">Dubai, </v>
      </c>
      <c r="S115" t="str" cm="1">
        <f t="array" ref="S115">CONCATENATE(INDEX(auto_ddCountry,S116),", ")</f>
        <v xml:space="preserve">Helsinki, </v>
      </c>
    </row>
    <row r="116" spans="1:51" x14ac:dyDescent="0.4">
      <c r="B116" t="s">
        <v>1103</v>
      </c>
      <c r="C116" t="s">
        <v>1104</v>
      </c>
      <c r="E116">
        <v>1</v>
      </c>
      <c r="F116">
        <v>2</v>
      </c>
      <c r="G116">
        <v>3</v>
      </c>
      <c r="H116">
        <v>4</v>
      </c>
      <c r="I116">
        <v>5</v>
      </c>
      <c r="J116">
        <v>6</v>
      </c>
      <c r="K116">
        <v>7</v>
      </c>
      <c r="L116">
        <v>8</v>
      </c>
      <c r="M116">
        <v>9</v>
      </c>
      <c r="N116">
        <v>10</v>
      </c>
      <c r="O116">
        <v>11</v>
      </c>
      <c r="P116">
        <v>12</v>
      </c>
      <c r="Q116">
        <v>13</v>
      </c>
      <c r="R116">
        <v>14</v>
      </c>
      <c r="S116">
        <v>15</v>
      </c>
      <c r="U116">
        <v>1</v>
      </c>
      <c r="V116">
        <v>2</v>
      </c>
      <c r="W116">
        <v>3</v>
      </c>
      <c r="X116">
        <v>4</v>
      </c>
      <c r="Y116">
        <v>5</v>
      </c>
      <c r="Z116">
        <v>6</v>
      </c>
      <c r="AA116">
        <v>7</v>
      </c>
      <c r="AB116">
        <v>8</v>
      </c>
      <c r="AC116">
        <v>9</v>
      </c>
      <c r="AD116">
        <v>10</v>
      </c>
      <c r="AE116">
        <v>11</v>
      </c>
      <c r="AF116">
        <v>12</v>
      </c>
      <c r="AG116">
        <v>13</v>
      </c>
      <c r="AH116">
        <v>14</v>
      </c>
      <c r="AI116">
        <v>15</v>
      </c>
      <c r="AK116">
        <v>1</v>
      </c>
      <c r="AL116">
        <v>2</v>
      </c>
      <c r="AM116">
        <v>3</v>
      </c>
      <c r="AN116">
        <v>4</v>
      </c>
      <c r="AO116">
        <v>5</v>
      </c>
      <c r="AP116">
        <v>6</v>
      </c>
      <c r="AQ116">
        <v>7</v>
      </c>
      <c r="AR116">
        <v>8</v>
      </c>
      <c r="AS116">
        <v>9</v>
      </c>
      <c r="AT116">
        <v>10</v>
      </c>
      <c r="AU116">
        <v>11</v>
      </c>
      <c r="AV116">
        <v>12</v>
      </c>
      <c r="AW116">
        <v>13</v>
      </c>
      <c r="AX116">
        <v>14</v>
      </c>
      <c r="AY116">
        <v>15</v>
      </c>
    </row>
    <row r="117" spans="1:51" x14ac:dyDescent="0.4">
      <c r="A117">
        <v>1</v>
      </c>
      <c r="B117" t="str">
        <f ca="1">_xlfn.CONCAT(U117:AI117)</f>
        <v xml:space="preserve">Berlin, Helsinki, </v>
      </c>
      <c r="C117" t="str">
        <f ca="1">_xlfn.CONCAT(AK117:AY117)</f>
        <v xml:space="preserve">Addis Ababa, Algiers, Cairo, Dhaka, </v>
      </c>
      <c r="E117" cm="1">
        <f t="array" aca="1" ref="E117" ca="1">INDEX(auto_DataFlat_ZScore,E14)</f>
        <v>-1</v>
      </c>
      <c r="F117" cm="1">
        <f t="array" aca="1" ref="F117" ca="1">INDEX(auto_DataFlat_ZScore,F14)</f>
        <v>-1.671</v>
      </c>
      <c r="G117" cm="1">
        <f t="array" aca="1" ref="G117" ca="1">INDEX(auto_DataFlat_ZScore,G14)</f>
        <v>5.5E-2</v>
      </c>
      <c r="H117" cm="1">
        <f t="array" aca="1" ref="H117" ca="1">INDEX(auto_DataFlat_ZScore,H14)</f>
        <v>0.67200000000000004</v>
      </c>
      <c r="I117" cm="1">
        <f t="array" aca="1" ref="I117" ca="1">INDEX(auto_DataFlat_ZScore,I14)</f>
        <v>0.5</v>
      </c>
      <c r="J117" cm="1">
        <f t="array" aca="1" ref="J117" ca="1">INDEX(auto_DataFlat_ZScore,J14)</f>
        <v>7.8E-2</v>
      </c>
      <c r="K117" cm="1">
        <f t="array" aca="1" ref="K117" ca="1">INDEX(auto_DataFlat_ZScore,K14)</f>
        <v>1.171</v>
      </c>
      <c r="L117" cm="1">
        <f t="array" aca="1" ref="L117" ca="1">INDEX(auto_DataFlat_ZScore,L14)</f>
        <v>0.56999999999999995</v>
      </c>
      <c r="M117" cm="1">
        <f t="array" aca="1" ref="M117" ca="1">INDEX(auto_DataFlat_ZScore,M14)</f>
        <v>0.55400000000000005</v>
      </c>
      <c r="N117" cm="1">
        <f t="array" aca="1" ref="N117" ca="1">INDEX(auto_DataFlat_ZScore,N14)</f>
        <v>-1.702</v>
      </c>
      <c r="O117" cm="1">
        <f t="array" aca="1" ref="O117" ca="1">INDEX(auto_DataFlat_ZScore,O14)</f>
        <v>-0.96</v>
      </c>
      <c r="P117" cm="1">
        <f t="array" aca="1" ref="P117" ca="1">INDEX(auto_DataFlat_ZScore,P14)</f>
        <v>-0.437</v>
      </c>
      <c r="Q117" cm="1">
        <f t="array" aca="1" ref="Q117" ca="1">INDEX(auto_DataFlat_ZScore,Q14)</f>
        <v>-1.609</v>
      </c>
      <c r="R117" cm="1">
        <f t="array" aca="1" ref="R117" ca="1">INDEX(auto_DataFlat_ZScore,R14)</f>
        <v>0.20300000000000001</v>
      </c>
      <c r="S117" cm="1">
        <f t="array" aca="1" ref="S117" ca="1">INDEX(auto_DataFlat_ZScore,S14)</f>
        <v>1.0229999999999999</v>
      </c>
      <c r="U117" t="str">
        <f ca="1">IF(E117&gt;=$U$114,E$115,"")</f>
        <v/>
      </c>
      <c r="V117" t="str">
        <f ca="1">IF(F117&gt;=$U$114,F$115,"")</f>
        <v/>
      </c>
      <c r="W117" t="str">
        <f t="shared" ref="W117:AI132" ca="1" si="2">IF(G117&gt;=$U$114,G$115,"")</f>
        <v/>
      </c>
      <c r="X117" t="str">
        <f t="shared" ca="1" si="2"/>
        <v/>
      </c>
      <c r="Y117" t="str">
        <f t="shared" ca="1" si="2"/>
        <v/>
      </c>
      <c r="Z117" t="str">
        <f t="shared" ca="1" si="2"/>
        <v/>
      </c>
      <c r="AA117" t="str">
        <f t="shared" ca="1" si="2"/>
        <v xml:space="preserve">Berlin, </v>
      </c>
      <c r="AB117" t="str">
        <f t="shared" ca="1" si="2"/>
        <v/>
      </c>
      <c r="AC117" t="str">
        <f t="shared" ca="1" si="2"/>
        <v/>
      </c>
      <c r="AD117" t="str">
        <f t="shared" ca="1" si="2"/>
        <v/>
      </c>
      <c r="AE117" t="str">
        <f t="shared" ca="1" si="2"/>
        <v/>
      </c>
      <c r="AF117" t="str">
        <f t="shared" ca="1" si="2"/>
        <v/>
      </c>
      <c r="AG117" t="str">
        <f t="shared" ca="1" si="2"/>
        <v/>
      </c>
      <c r="AH117" t="str">
        <f t="shared" ca="1" si="2"/>
        <v/>
      </c>
      <c r="AI117" t="str">
        <f t="shared" ca="1" si="2"/>
        <v xml:space="preserve">Helsinki, </v>
      </c>
      <c r="AK117" t="str">
        <f ca="1">IF(E117&lt;=$AK$114,E$115,"")</f>
        <v xml:space="preserve">Addis Ababa, </v>
      </c>
      <c r="AL117" t="str">
        <f ca="1">IF(F117&lt;=$AK$114,F$115,"")</f>
        <v xml:space="preserve">Algiers, </v>
      </c>
      <c r="AM117" t="str">
        <f t="shared" ref="AM117:AY132" ca="1" si="3">IF(G117&lt;=$AK$114,G$115,"")</f>
        <v/>
      </c>
      <c r="AN117" t="str">
        <f t="shared" ca="1" si="3"/>
        <v/>
      </c>
      <c r="AO117" t="str">
        <f t="shared" ca="1" si="3"/>
        <v/>
      </c>
      <c r="AP117" t="str">
        <f t="shared" ca="1" si="3"/>
        <v/>
      </c>
      <c r="AQ117" t="str">
        <f t="shared" ca="1" si="3"/>
        <v/>
      </c>
      <c r="AR117" t="str">
        <f t="shared" ca="1" si="3"/>
        <v/>
      </c>
      <c r="AS117" t="str">
        <f t="shared" ca="1" si="3"/>
        <v/>
      </c>
      <c r="AT117" t="str">
        <f t="shared" ca="1" si="3"/>
        <v xml:space="preserve">Cairo, </v>
      </c>
      <c r="AU117" t="str">
        <f t="shared" ca="1" si="3"/>
        <v/>
      </c>
      <c r="AV117" t="str">
        <f t="shared" ca="1" si="3"/>
        <v/>
      </c>
      <c r="AW117" t="str">
        <f t="shared" ca="1" si="3"/>
        <v xml:space="preserve">Dhaka, </v>
      </c>
      <c r="AX117" t="str">
        <f t="shared" ca="1" si="3"/>
        <v/>
      </c>
      <c r="AY117" t="str">
        <f t="shared" ca="1" si="3"/>
        <v/>
      </c>
    </row>
    <row r="118" spans="1:51" x14ac:dyDescent="0.4">
      <c r="A118">
        <v>2</v>
      </c>
      <c r="B118" t="str">
        <f t="shared" ref="B118:B145" ca="1" si="4">_xlfn.CONCAT(U118:AI118)</f>
        <v xml:space="preserve">Berlin, </v>
      </c>
      <c r="C118" t="str">
        <f t="shared" ref="C118:C145" ca="1" si="5">_xlfn.CONCAT(AK118:AY118)</f>
        <v xml:space="preserve">Cairo, Colombo, Delhi, Dhaka, </v>
      </c>
      <c r="E118" cm="1">
        <f t="array" aca="1" ref="E118" ca="1">INDEX(auto_DataFlat_ZScore,E15)</f>
        <v>-0.24199999999999999</v>
      </c>
      <c r="F118" cm="1">
        <f t="array" aca="1" ref="F118" ca="1">INDEX(auto_DataFlat_ZScore,F15)</f>
        <v>-0.92500000000000004</v>
      </c>
      <c r="G118" cm="1">
        <f t="array" aca="1" ref="G118" ca="1">INDEX(auto_DataFlat_ZScore,G15)</f>
        <v>0.99</v>
      </c>
      <c r="H118" cm="1">
        <f t="array" aca="1" ref="H118" ca="1">INDEX(auto_DataFlat_ZScore,H15)</f>
        <v>0.33600000000000002</v>
      </c>
      <c r="I118" cm="1">
        <f t="array" aca="1" ref="I118" ca="1">INDEX(auto_DataFlat_ZScore,I15)</f>
        <v>0.16500000000000001</v>
      </c>
      <c r="J118" cm="1">
        <f t="array" aca="1" ref="J118" ca="1">INDEX(auto_DataFlat_ZScore,J15)</f>
        <v>-0.92500000000000004</v>
      </c>
      <c r="K118" cm="1">
        <f t="array" aca="1" ref="K118" ca="1">INDEX(auto_DataFlat_ZScore,K15)</f>
        <v>1.155</v>
      </c>
      <c r="L118" cm="1">
        <f t="array" aca="1" ref="L118" ca="1">INDEX(auto_DataFlat_ZScore,L15)</f>
        <v>-6.5000000000000002E-2</v>
      </c>
      <c r="M118" cm="1">
        <f t="array" aca="1" ref="M118" ca="1">INDEX(auto_DataFlat_ZScore,M15)</f>
        <v>0.91900000000000004</v>
      </c>
      <c r="N118" cm="1">
        <f t="array" aca="1" ref="N118" ca="1">INDEX(auto_DataFlat_ZScore,N15)</f>
        <v>-1.7150000000000001</v>
      </c>
      <c r="O118" cm="1">
        <f t="array" aca="1" ref="O118" ca="1">INDEX(auto_DataFlat_ZScore,O15)</f>
        <v>-1.0669999999999999</v>
      </c>
      <c r="P118" cm="1">
        <f t="array" aca="1" ref="P118" ca="1">INDEX(auto_DataFlat_ZScore,P15)</f>
        <v>-1.52</v>
      </c>
      <c r="Q118" cm="1">
        <f t="array" aca="1" ref="Q118" ca="1">INDEX(auto_DataFlat_ZScore,Q15)</f>
        <v>-1.7969999999999999</v>
      </c>
      <c r="R118" cm="1">
        <f t="array" aca="1" ref="R118" ca="1">INDEX(auto_DataFlat_ZScore,R15)</f>
        <v>0.253</v>
      </c>
      <c r="S118" cm="1">
        <f t="array" aca="1" ref="S118" ca="1">INDEX(auto_DataFlat_ZScore,S15)</f>
        <v>0.96599999999999997</v>
      </c>
      <c r="U118" t="str">
        <f t="shared" ref="U118:U145" ca="1" si="6">IF(E118&gt;=$U$114,E$115,"")</f>
        <v/>
      </c>
      <c r="V118" t="str">
        <f t="shared" ref="V118:V145" ca="1" si="7">IF(F118&gt;=$U$114,F$115,"")</f>
        <v/>
      </c>
      <c r="W118" t="str">
        <f t="shared" ca="1" si="2"/>
        <v/>
      </c>
      <c r="X118" t="str">
        <f t="shared" ca="1" si="2"/>
        <v/>
      </c>
      <c r="Y118" t="str">
        <f t="shared" ca="1" si="2"/>
        <v/>
      </c>
      <c r="Z118" t="str">
        <f t="shared" ca="1" si="2"/>
        <v/>
      </c>
      <c r="AA118" t="str">
        <f t="shared" ca="1" si="2"/>
        <v xml:space="preserve">Berlin, </v>
      </c>
      <c r="AB118" t="str">
        <f t="shared" ca="1" si="2"/>
        <v/>
      </c>
      <c r="AC118" t="str">
        <f t="shared" ca="1" si="2"/>
        <v/>
      </c>
      <c r="AD118" t="str">
        <f t="shared" ca="1" si="2"/>
        <v/>
      </c>
      <c r="AE118" t="str">
        <f t="shared" ca="1" si="2"/>
        <v/>
      </c>
      <c r="AF118" t="str">
        <f t="shared" ca="1" si="2"/>
        <v/>
      </c>
      <c r="AG118" t="str">
        <f t="shared" ca="1" si="2"/>
        <v/>
      </c>
      <c r="AH118" t="str">
        <f t="shared" ca="1" si="2"/>
        <v/>
      </c>
      <c r="AI118" t="str">
        <f t="shared" ca="1" si="2"/>
        <v/>
      </c>
      <c r="AK118" t="str">
        <f t="shared" ref="AK118:AK145" ca="1" si="8">IF(E118&lt;=$AK$114,E$115,"")</f>
        <v/>
      </c>
      <c r="AL118" t="str">
        <f t="shared" ref="AL118:AL145" ca="1" si="9">IF(F118&lt;=$AK$114,F$115,"")</f>
        <v/>
      </c>
      <c r="AM118" t="str">
        <f t="shared" ca="1" si="3"/>
        <v/>
      </c>
      <c r="AN118" t="str">
        <f t="shared" ca="1" si="3"/>
        <v/>
      </c>
      <c r="AO118" t="str">
        <f t="shared" ca="1" si="3"/>
        <v/>
      </c>
      <c r="AP118" t="str">
        <f t="shared" ca="1" si="3"/>
        <v/>
      </c>
      <c r="AQ118" t="str">
        <f t="shared" ca="1" si="3"/>
        <v/>
      </c>
      <c r="AR118" t="str">
        <f t="shared" ca="1" si="3"/>
        <v/>
      </c>
      <c r="AS118" t="str">
        <f t="shared" ca="1" si="3"/>
        <v/>
      </c>
      <c r="AT118" t="str">
        <f t="shared" ca="1" si="3"/>
        <v xml:space="preserve">Cairo, </v>
      </c>
      <c r="AU118" t="str">
        <f t="shared" ca="1" si="3"/>
        <v xml:space="preserve">Colombo, </v>
      </c>
      <c r="AV118" t="str">
        <f t="shared" ca="1" si="3"/>
        <v xml:space="preserve">Delhi, </v>
      </c>
      <c r="AW118" t="str">
        <f t="shared" ca="1" si="3"/>
        <v xml:space="preserve">Dhaka, </v>
      </c>
      <c r="AX118" t="str">
        <f t="shared" ca="1" si="3"/>
        <v/>
      </c>
      <c r="AY118" t="str">
        <f t="shared" ca="1" si="3"/>
        <v/>
      </c>
    </row>
    <row r="119" spans="1:51" x14ac:dyDescent="0.4">
      <c r="A119">
        <v>3</v>
      </c>
      <c r="B119" t="str">
        <f t="shared" ca="1" si="4"/>
        <v/>
      </c>
      <c r="C119" t="str">
        <f t="shared" ca="1" si="5"/>
        <v xml:space="preserve">Algiers, Auckland, Beijing, Cairo, Colombo, Delhi, </v>
      </c>
      <c r="E119" cm="1">
        <f t="array" aca="1" ref="E119" ca="1">INDEX(auto_DataFlat_ZScore,E16)</f>
        <v>0.67400000000000004</v>
      </c>
      <c r="F119" cm="1">
        <f t="array" aca="1" ref="F119" ca="1">INDEX(auto_DataFlat_ZScore,F16)</f>
        <v>-1.365</v>
      </c>
      <c r="G119" cm="1">
        <f t="array" aca="1" ref="G119" ca="1">INDEX(auto_DataFlat_ZScore,G16)</f>
        <v>0.56799999999999995</v>
      </c>
      <c r="H119" cm="1">
        <f t="array" aca="1" ref="H119" ca="1">INDEX(auto_DataFlat_ZScore,H16)</f>
        <v>-1.462</v>
      </c>
      <c r="I119" cm="1">
        <f t="array" aca="1" ref="I119" ca="1">INDEX(auto_DataFlat_ZScore,I16)</f>
        <v>0.67800000000000005</v>
      </c>
      <c r="J119" cm="1">
        <f t="array" aca="1" ref="J119" ca="1">INDEX(auto_DataFlat_ZScore,J16)</f>
        <v>-1.5720000000000001</v>
      </c>
      <c r="K119" cm="1">
        <f t="array" aca="1" ref="K119" ca="1">INDEX(auto_DataFlat_ZScore,K16)</f>
        <v>0.749</v>
      </c>
      <c r="L119" cm="1">
        <f t="array" aca="1" ref="L119" ca="1">INDEX(auto_DataFlat_ZScore,L16)</f>
        <v>0.23799999999999999</v>
      </c>
      <c r="M119" cm="1">
        <f t="array" aca="1" ref="M119" ca="1">INDEX(auto_DataFlat_ZScore,M16)</f>
        <v>0.80100000000000005</v>
      </c>
      <c r="N119" cm="1">
        <f t="array" aca="1" ref="N119" ca="1">INDEX(auto_DataFlat_ZScore,N16)</f>
        <v>-1.4570000000000001</v>
      </c>
      <c r="O119" cm="1">
        <f t="array" aca="1" ref="O119" ca="1">INDEX(auto_DataFlat_ZScore,O16)</f>
        <v>-1.585</v>
      </c>
      <c r="P119" cm="1">
        <f t="array" aca="1" ref="P119" ca="1">INDEX(auto_DataFlat_ZScore,P16)</f>
        <v>-1.4790000000000001</v>
      </c>
      <c r="Q119" cm="1">
        <f t="array" aca="1" ref="Q119" ca="1">INDEX(auto_DataFlat_ZScore,Q16)</f>
        <v>0.70899999999999996</v>
      </c>
      <c r="R119" cm="1">
        <f t="array" aca="1" ref="R119" ca="1">INDEX(auto_DataFlat_ZScore,R16)</f>
        <v>0.872</v>
      </c>
      <c r="S119" cm="1">
        <f t="array" aca="1" ref="S119" ca="1">INDEX(auto_DataFlat_ZScore,S16)</f>
        <v>0.83699999999999997</v>
      </c>
      <c r="U119" t="str">
        <f t="shared" ca="1" si="6"/>
        <v/>
      </c>
      <c r="V119" t="str">
        <f t="shared" ca="1" si="7"/>
        <v/>
      </c>
      <c r="W119" t="str">
        <f t="shared" ca="1" si="2"/>
        <v/>
      </c>
      <c r="X119" t="str">
        <f t="shared" ca="1" si="2"/>
        <v/>
      </c>
      <c r="Y119" t="str">
        <f t="shared" ca="1" si="2"/>
        <v/>
      </c>
      <c r="Z119" t="str">
        <f t="shared" ca="1" si="2"/>
        <v/>
      </c>
      <c r="AA119" t="str">
        <f t="shared" ca="1" si="2"/>
        <v/>
      </c>
      <c r="AB119" t="str">
        <f t="shared" ca="1" si="2"/>
        <v/>
      </c>
      <c r="AC119" t="str">
        <f t="shared" ca="1" si="2"/>
        <v/>
      </c>
      <c r="AD119" t="str">
        <f t="shared" ca="1" si="2"/>
        <v/>
      </c>
      <c r="AE119" t="str">
        <f t="shared" ca="1" si="2"/>
        <v/>
      </c>
      <c r="AF119" t="str">
        <f t="shared" ca="1" si="2"/>
        <v/>
      </c>
      <c r="AG119" t="str">
        <f t="shared" ca="1" si="2"/>
        <v/>
      </c>
      <c r="AH119" t="str">
        <f t="shared" ca="1" si="2"/>
        <v/>
      </c>
      <c r="AI119" t="str">
        <f t="shared" ca="1" si="2"/>
        <v/>
      </c>
      <c r="AK119" t="str">
        <f t="shared" ca="1" si="8"/>
        <v/>
      </c>
      <c r="AL119" t="str">
        <f t="shared" ca="1" si="9"/>
        <v xml:space="preserve">Algiers, </v>
      </c>
      <c r="AM119" t="str">
        <f t="shared" ca="1" si="3"/>
        <v/>
      </c>
      <c r="AN119" t="str">
        <f t="shared" ca="1" si="3"/>
        <v xml:space="preserve">Auckland, </v>
      </c>
      <c r="AO119" t="str">
        <f t="shared" ca="1" si="3"/>
        <v/>
      </c>
      <c r="AP119" t="str">
        <f t="shared" ca="1" si="3"/>
        <v xml:space="preserve">Beijing, </v>
      </c>
      <c r="AQ119" t="str">
        <f t="shared" ca="1" si="3"/>
        <v/>
      </c>
      <c r="AR119" t="str">
        <f t="shared" ca="1" si="3"/>
        <v/>
      </c>
      <c r="AS119" t="str">
        <f t="shared" ca="1" si="3"/>
        <v/>
      </c>
      <c r="AT119" t="str">
        <f t="shared" ca="1" si="3"/>
        <v xml:space="preserve">Cairo, </v>
      </c>
      <c r="AU119" t="str">
        <f t="shared" ca="1" si="3"/>
        <v xml:space="preserve">Colombo, </v>
      </c>
      <c r="AV119" t="str">
        <f t="shared" ca="1" si="3"/>
        <v xml:space="preserve">Delhi, </v>
      </c>
      <c r="AW119" t="str">
        <f t="shared" ca="1" si="3"/>
        <v/>
      </c>
      <c r="AX119" t="str">
        <f t="shared" ca="1" si="3"/>
        <v/>
      </c>
      <c r="AY119" t="str">
        <f t="shared" ca="1" si="3"/>
        <v/>
      </c>
    </row>
    <row r="120" spans="1:51" x14ac:dyDescent="0.4">
      <c r="A120">
        <v>4</v>
      </c>
      <c r="B120" t="str">
        <f t="shared" ca="1" si="4"/>
        <v xml:space="preserve">Atlanta, Berlin, </v>
      </c>
      <c r="C120" t="str">
        <f t="shared" ca="1" si="5"/>
        <v xml:space="preserve">Addis Ababa, Algiers, Bogotá, Dhaka, </v>
      </c>
      <c r="E120" cm="1">
        <f t="array" aca="1" ref="E120" ca="1">INDEX(auto_DataFlat_ZScore,E17)</f>
        <v>-1.7909999999999999</v>
      </c>
      <c r="F120" cm="1">
        <f t="array" aca="1" ref="F120" ca="1">INDEX(auto_DataFlat_ZScore,F17)</f>
        <v>-1.4830000000000001</v>
      </c>
      <c r="G120" cm="1">
        <f t="array" aca="1" ref="G120" ca="1">INDEX(auto_DataFlat_ZScore,G17)</f>
        <v>1.1379999999999999</v>
      </c>
      <c r="H120" cm="1">
        <f t="array" aca="1" ref="H120" ca="1">INDEX(auto_DataFlat_ZScore,H17)</f>
        <v>0.88400000000000001</v>
      </c>
      <c r="I120" cm="1">
        <f t="array" aca="1" ref="I120" ca="1">INDEX(auto_DataFlat_ZScore,I17)</f>
        <v>0.26</v>
      </c>
      <c r="J120" cm="1">
        <f t="array" aca="1" ref="J120" ca="1">INDEX(auto_DataFlat_ZScore,J17)</f>
        <v>0.27</v>
      </c>
      <c r="K120" cm="1">
        <f t="array" aca="1" ref="K120" ca="1">INDEX(auto_DataFlat_ZScore,K17)</f>
        <v>1.0189999999999999</v>
      </c>
      <c r="L120" cm="1">
        <f t="array" aca="1" ref="L120" ca="1">INDEX(auto_DataFlat_ZScore,L17)</f>
        <v>-1.016</v>
      </c>
      <c r="M120" cm="1">
        <f t="array" aca="1" ref="M120" ca="1">INDEX(auto_DataFlat_ZScore,M17)</f>
        <v>0.96</v>
      </c>
      <c r="N120" cm="1">
        <f t="array" aca="1" ref="N120" ca="1">INDEX(auto_DataFlat_ZScore,N17)</f>
        <v>-0.80900000000000005</v>
      </c>
      <c r="O120" cm="1">
        <f t="array" aca="1" ref="O120" ca="1">INDEX(auto_DataFlat_ZScore,O17)</f>
        <v>-0.86199999999999999</v>
      </c>
      <c r="P120" cm="1">
        <f t="array" aca="1" ref="P120" ca="1">INDEX(auto_DataFlat_ZScore,P17)</f>
        <v>0.20100000000000001</v>
      </c>
      <c r="Q120" cm="1">
        <f t="array" aca="1" ref="Q120" ca="1">INDEX(auto_DataFlat_ZScore,Q17)</f>
        <v>-1.37</v>
      </c>
      <c r="R120" cm="1">
        <f t="array" aca="1" ref="R120" ca="1">INDEX(auto_DataFlat_ZScore,R17)</f>
        <v>-0.70899999999999996</v>
      </c>
      <c r="S120" cm="1">
        <f t="array" aca="1" ref="S120" ca="1">INDEX(auto_DataFlat_ZScore,S17)</f>
        <v>0.92200000000000004</v>
      </c>
      <c r="U120" t="str">
        <f t="shared" ca="1" si="6"/>
        <v/>
      </c>
      <c r="V120" t="str">
        <f t="shared" ca="1" si="7"/>
        <v/>
      </c>
      <c r="W120" t="str">
        <f t="shared" ca="1" si="2"/>
        <v xml:space="preserve">Atlanta, </v>
      </c>
      <c r="X120" t="str">
        <f t="shared" ca="1" si="2"/>
        <v/>
      </c>
      <c r="Y120" t="str">
        <f t="shared" ca="1" si="2"/>
        <v/>
      </c>
      <c r="Z120" t="str">
        <f t="shared" ca="1" si="2"/>
        <v/>
      </c>
      <c r="AA120" t="str">
        <f t="shared" ca="1" si="2"/>
        <v xml:space="preserve">Berlin, </v>
      </c>
      <c r="AB120" t="str">
        <f t="shared" ca="1" si="2"/>
        <v/>
      </c>
      <c r="AC120" t="str">
        <f t="shared" ca="1" si="2"/>
        <v/>
      </c>
      <c r="AD120" t="str">
        <f t="shared" ca="1" si="2"/>
        <v/>
      </c>
      <c r="AE120" t="str">
        <f t="shared" ca="1" si="2"/>
        <v/>
      </c>
      <c r="AF120" t="str">
        <f t="shared" ca="1" si="2"/>
        <v/>
      </c>
      <c r="AG120" t="str">
        <f t="shared" ca="1" si="2"/>
        <v/>
      </c>
      <c r="AH120" t="str">
        <f t="shared" ca="1" si="2"/>
        <v/>
      </c>
      <c r="AI120" t="str">
        <f t="shared" ca="1" si="2"/>
        <v/>
      </c>
      <c r="AK120" t="str">
        <f t="shared" ca="1" si="8"/>
        <v xml:space="preserve">Addis Ababa, </v>
      </c>
      <c r="AL120" t="str">
        <f t="shared" ca="1" si="9"/>
        <v xml:space="preserve">Algiers, </v>
      </c>
      <c r="AM120" t="str">
        <f t="shared" ca="1" si="3"/>
        <v/>
      </c>
      <c r="AN120" t="str">
        <f t="shared" ca="1" si="3"/>
        <v/>
      </c>
      <c r="AO120" t="str">
        <f t="shared" ca="1" si="3"/>
        <v/>
      </c>
      <c r="AP120" t="str">
        <f t="shared" ca="1" si="3"/>
        <v/>
      </c>
      <c r="AQ120" t="str">
        <f t="shared" ca="1" si="3"/>
        <v/>
      </c>
      <c r="AR120" t="str">
        <f t="shared" ca="1" si="3"/>
        <v xml:space="preserve">Bogotá, </v>
      </c>
      <c r="AS120" t="str">
        <f t="shared" ca="1" si="3"/>
        <v/>
      </c>
      <c r="AT120" t="str">
        <f t="shared" ca="1" si="3"/>
        <v/>
      </c>
      <c r="AU120" t="str">
        <f t="shared" ca="1" si="3"/>
        <v/>
      </c>
      <c r="AV120" t="str">
        <f t="shared" ca="1" si="3"/>
        <v/>
      </c>
      <c r="AW120" t="str">
        <f t="shared" ca="1" si="3"/>
        <v xml:space="preserve">Dhaka, </v>
      </c>
      <c r="AX120" t="str">
        <f t="shared" ca="1" si="3"/>
        <v/>
      </c>
      <c r="AY120" t="str">
        <f t="shared" ca="1" si="3"/>
        <v/>
      </c>
    </row>
    <row r="121" spans="1:51" x14ac:dyDescent="0.4">
      <c r="A121">
        <v>5</v>
      </c>
      <c r="B121" t="str">
        <f t="shared" ca="1" si="4"/>
        <v/>
      </c>
      <c r="C121" t="str">
        <f t="shared" ca="1" si="5"/>
        <v xml:space="preserve">Bangkok, Cairo, Colombo, Delhi, Dhaka, </v>
      </c>
      <c r="E121" cm="1">
        <f t="array" aca="1" ref="E121" ca="1">INDEX(auto_DataFlat_ZScore,E18)</f>
        <v>0.59199999999999997</v>
      </c>
      <c r="F121" cm="1">
        <f t="array" aca="1" ref="F121" ca="1">INDEX(auto_DataFlat_ZScore,F18)</f>
        <v>0.41699999999999998</v>
      </c>
      <c r="G121" cm="1">
        <f t="array" aca="1" ref="G121" ca="1">INDEX(auto_DataFlat_ZScore,G18)</f>
        <v>0.60199999999999998</v>
      </c>
      <c r="H121" cm="1">
        <f t="array" aca="1" ref="H121" ca="1">INDEX(auto_DataFlat_ZScore,H18)</f>
        <v>0.61099999999999999</v>
      </c>
      <c r="I121" cm="1">
        <f t="array" aca="1" ref="I121" ca="1">INDEX(auto_DataFlat_ZScore,I18)</f>
        <v>-1.6479999999999999</v>
      </c>
      <c r="J121" cm="1">
        <f t="array" aca="1" ref="J121" ca="1">INDEX(auto_DataFlat_ZScore,J18)</f>
        <v>0.57399999999999995</v>
      </c>
      <c r="K121" cm="1">
        <f t="array" aca="1" ref="K121" ca="1">INDEX(auto_DataFlat_ZScore,K18)</f>
        <v>0.61599999999999999</v>
      </c>
      <c r="L121" cm="1">
        <f t="array" aca="1" ref="L121" ca="1">INDEX(auto_DataFlat_ZScore,L18)</f>
        <v>0.435</v>
      </c>
      <c r="M121" cm="1">
        <f t="array" aca="1" ref="M121" ca="1">INDEX(auto_DataFlat_ZScore,M18)</f>
        <v>0.60599999999999998</v>
      </c>
      <c r="N121" cm="1">
        <f t="array" aca="1" ref="N121" ca="1">INDEX(auto_DataFlat_ZScore,N18)</f>
        <v>-1.7909999999999999</v>
      </c>
      <c r="O121" cm="1">
        <f t="array" aca="1" ref="O121" ca="1">INDEX(auto_DataFlat_ZScore,O18)</f>
        <v>-1.786</v>
      </c>
      <c r="P121" cm="1">
        <f t="array" aca="1" ref="P121" ca="1">INDEX(auto_DataFlat_ZScore,P18)</f>
        <v>-1.8</v>
      </c>
      <c r="Q121" cm="1">
        <f t="array" aca="1" ref="Q121" ca="1">INDEX(auto_DataFlat_ZScore,Q18)</f>
        <v>-1.736</v>
      </c>
      <c r="R121" cm="1">
        <f t="array" aca="1" ref="R121" ca="1">INDEX(auto_DataFlat_ZScore,R18)</f>
        <v>0.62</v>
      </c>
      <c r="S121" cm="1">
        <f t="array" aca="1" ref="S121" ca="1">INDEX(auto_DataFlat_ZScore,S18)</f>
        <v>0.52800000000000002</v>
      </c>
      <c r="U121" t="str">
        <f t="shared" ca="1" si="6"/>
        <v/>
      </c>
      <c r="V121" t="str">
        <f t="shared" ca="1" si="7"/>
        <v/>
      </c>
      <c r="W121" t="str">
        <f t="shared" ca="1" si="2"/>
        <v/>
      </c>
      <c r="X121" t="str">
        <f t="shared" ca="1" si="2"/>
        <v/>
      </c>
      <c r="Y121" t="str">
        <f t="shared" ca="1" si="2"/>
        <v/>
      </c>
      <c r="Z121" t="str">
        <f t="shared" ca="1" si="2"/>
        <v/>
      </c>
      <c r="AA121" t="str">
        <f t="shared" ca="1" si="2"/>
        <v/>
      </c>
      <c r="AB121" t="str">
        <f t="shared" ca="1" si="2"/>
        <v/>
      </c>
      <c r="AC121" t="str">
        <f t="shared" ca="1" si="2"/>
        <v/>
      </c>
      <c r="AD121" t="str">
        <f t="shared" ca="1" si="2"/>
        <v/>
      </c>
      <c r="AE121" t="str">
        <f t="shared" ca="1" si="2"/>
        <v/>
      </c>
      <c r="AF121" t="str">
        <f t="shared" ca="1" si="2"/>
        <v/>
      </c>
      <c r="AG121" t="str">
        <f t="shared" ca="1" si="2"/>
        <v/>
      </c>
      <c r="AH121" t="str">
        <f t="shared" ca="1" si="2"/>
        <v/>
      </c>
      <c r="AI121" t="str">
        <f t="shared" ca="1" si="2"/>
        <v/>
      </c>
      <c r="AK121" t="str">
        <f t="shared" ca="1" si="8"/>
        <v/>
      </c>
      <c r="AL121" t="str">
        <f t="shared" ca="1" si="9"/>
        <v/>
      </c>
      <c r="AM121" t="str">
        <f t="shared" ca="1" si="3"/>
        <v/>
      </c>
      <c r="AN121" t="str">
        <f t="shared" ca="1" si="3"/>
        <v/>
      </c>
      <c r="AO121" t="str">
        <f t="shared" ca="1" si="3"/>
        <v xml:space="preserve">Bangkok, </v>
      </c>
      <c r="AP121" t="str">
        <f t="shared" ca="1" si="3"/>
        <v/>
      </c>
      <c r="AQ121" t="str">
        <f t="shared" ca="1" si="3"/>
        <v/>
      </c>
      <c r="AR121" t="str">
        <f t="shared" ca="1" si="3"/>
        <v/>
      </c>
      <c r="AS121" t="str">
        <f t="shared" ca="1" si="3"/>
        <v/>
      </c>
      <c r="AT121" t="str">
        <f t="shared" ca="1" si="3"/>
        <v xml:space="preserve">Cairo, </v>
      </c>
      <c r="AU121" t="str">
        <f t="shared" ca="1" si="3"/>
        <v xml:space="preserve">Colombo, </v>
      </c>
      <c r="AV121" t="str">
        <f t="shared" ca="1" si="3"/>
        <v xml:space="preserve">Delhi, </v>
      </c>
      <c r="AW121" t="str">
        <f t="shared" ca="1" si="3"/>
        <v xml:space="preserve">Dhaka, </v>
      </c>
      <c r="AX121" t="str">
        <f t="shared" ca="1" si="3"/>
        <v/>
      </c>
      <c r="AY121" t="str">
        <f t="shared" ca="1" si="3"/>
        <v/>
      </c>
    </row>
    <row r="122" spans="1:51" x14ac:dyDescent="0.4">
      <c r="A122">
        <v>6</v>
      </c>
      <c r="B122" t="str">
        <f t="shared" ca="1" si="4"/>
        <v xml:space="preserve">Berlin, Bogotá, </v>
      </c>
      <c r="C122" t="str">
        <f t="shared" ca="1" si="5"/>
        <v xml:space="preserve">Addis Ababa, Delhi, Dhaka, </v>
      </c>
      <c r="E122" cm="1">
        <f t="array" aca="1" ref="E122" ca="1">INDEX(auto_DataFlat_ZScore,E19)</f>
        <v>-1.22</v>
      </c>
      <c r="F122" cm="1">
        <f t="array" aca="1" ref="F122" ca="1">INDEX(auto_DataFlat_ZScore,F19)</f>
        <v>-0.29399999999999998</v>
      </c>
      <c r="G122" cm="1">
        <f t="array" aca="1" ref="G122" ca="1">INDEX(auto_DataFlat_ZScore,G19)</f>
        <v>0.72299999999999998</v>
      </c>
      <c r="H122" cm="1">
        <f t="array" aca="1" ref="H122" ca="1">INDEX(auto_DataFlat_ZScore,H19)</f>
        <v>0.79100000000000004</v>
      </c>
      <c r="I122" cm="1">
        <f t="array" aca="1" ref="I122" ca="1">INDEX(auto_DataFlat_ZScore,I19)</f>
        <v>0.441</v>
      </c>
      <c r="J122" cm="1">
        <f t="array" aca="1" ref="J122" ca="1">INDEX(auto_DataFlat_ZScore,J19)</f>
        <v>-0.79100000000000004</v>
      </c>
      <c r="K122" cm="1">
        <f t="array" aca="1" ref="K122" ca="1">INDEX(auto_DataFlat_ZScore,K19)</f>
        <v>1.153</v>
      </c>
      <c r="L122" cm="1">
        <f t="array" aca="1" ref="L122" ca="1">INDEX(auto_DataFlat_ZScore,L19)</f>
        <v>1.4119999999999999</v>
      </c>
      <c r="M122" cm="1">
        <f t="array" aca="1" ref="M122" ca="1">INDEX(auto_DataFlat_ZScore,M19)</f>
        <v>6.8000000000000005E-2</v>
      </c>
      <c r="N122" cm="1">
        <f t="array" aca="1" ref="N122" ca="1">INDEX(auto_DataFlat_ZScore,N19)</f>
        <v>-0.10199999999999999</v>
      </c>
      <c r="O122" cm="1">
        <f t="array" aca="1" ref="O122" ca="1">INDEX(auto_DataFlat_ZScore,O19)</f>
        <v>-0.40699999999999997</v>
      </c>
      <c r="P122" cm="1">
        <f t="array" aca="1" ref="P122" ca="1">INDEX(auto_DataFlat_ZScore,P19)</f>
        <v>-1.073</v>
      </c>
      <c r="Q122" cm="1">
        <f t="array" aca="1" ref="Q122" ca="1">INDEX(auto_DataFlat_ZScore,Q19)</f>
        <v>-1.379</v>
      </c>
      <c r="R122" cm="1">
        <f t="array" aca="1" ref="R122" ca="1">INDEX(auto_DataFlat_ZScore,R19)</f>
        <v>-0.30499999999999999</v>
      </c>
      <c r="S122" cm="1">
        <f t="array" aca="1" ref="S122" ca="1">INDEX(auto_DataFlat_ZScore,S19)</f>
        <v>0.41799999999999998</v>
      </c>
      <c r="U122" t="str">
        <f t="shared" ca="1" si="6"/>
        <v/>
      </c>
      <c r="V122" t="str">
        <f t="shared" ca="1" si="7"/>
        <v/>
      </c>
      <c r="W122" t="str">
        <f t="shared" ca="1" si="2"/>
        <v/>
      </c>
      <c r="X122" t="str">
        <f t="shared" ca="1" si="2"/>
        <v/>
      </c>
      <c r="Y122" t="str">
        <f t="shared" ca="1" si="2"/>
        <v/>
      </c>
      <c r="Z122" t="str">
        <f t="shared" ca="1" si="2"/>
        <v/>
      </c>
      <c r="AA122" t="str">
        <f t="shared" ca="1" si="2"/>
        <v xml:space="preserve">Berlin, </v>
      </c>
      <c r="AB122" t="str">
        <f t="shared" ca="1" si="2"/>
        <v xml:space="preserve">Bogotá, </v>
      </c>
      <c r="AC122" t="str">
        <f t="shared" ca="1" si="2"/>
        <v/>
      </c>
      <c r="AD122" t="str">
        <f t="shared" ca="1" si="2"/>
        <v/>
      </c>
      <c r="AE122" t="str">
        <f t="shared" ca="1" si="2"/>
        <v/>
      </c>
      <c r="AF122" t="str">
        <f t="shared" ca="1" si="2"/>
        <v/>
      </c>
      <c r="AG122" t="str">
        <f t="shared" ca="1" si="2"/>
        <v/>
      </c>
      <c r="AH122" t="str">
        <f t="shared" ca="1" si="2"/>
        <v/>
      </c>
      <c r="AI122" t="str">
        <f t="shared" ca="1" si="2"/>
        <v/>
      </c>
      <c r="AK122" t="str">
        <f t="shared" ca="1" si="8"/>
        <v xml:space="preserve">Addis Ababa, </v>
      </c>
      <c r="AL122" t="str">
        <f t="shared" ca="1" si="9"/>
        <v/>
      </c>
      <c r="AM122" t="str">
        <f t="shared" ca="1" si="3"/>
        <v/>
      </c>
      <c r="AN122" t="str">
        <f t="shared" ca="1" si="3"/>
        <v/>
      </c>
      <c r="AO122" t="str">
        <f t="shared" ca="1" si="3"/>
        <v/>
      </c>
      <c r="AP122" t="str">
        <f t="shared" ca="1" si="3"/>
        <v/>
      </c>
      <c r="AQ122" t="str">
        <f t="shared" ca="1" si="3"/>
        <v/>
      </c>
      <c r="AR122" t="str">
        <f t="shared" ca="1" si="3"/>
        <v/>
      </c>
      <c r="AS122" t="str">
        <f t="shared" ca="1" si="3"/>
        <v/>
      </c>
      <c r="AT122" t="str">
        <f t="shared" ca="1" si="3"/>
        <v/>
      </c>
      <c r="AU122" t="str">
        <f t="shared" ca="1" si="3"/>
        <v/>
      </c>
      <c r="AV122" t="str">
        <f t="shared" ca="1" si="3"/>
        <v xml:space="preserve">Delhi, </v>
      </c>
      <c r="AW122" t="str">
        <f t="shared" ca="1" si="3"/>
        <v xml:space="preserve">Dhaka, </v>
      </c>
      <c r="AX122" t="str">
        <f t="shared" ca="1" si="3"/>
        <v/>
      </c>
      <c r="AY122" t="str">
        <f t="shared" ca="1" si="3"/>
        <v/>
      </c>
    </row>
    <row r="123" spans="1:51" x14ac:dyDescent="0.4">
      <c r="A123">
        <v>7</v>
      </c>
      <c r="B123" t="str">
        <f t="shared" ca="1" si="4"/>
        <v/>
      </c>
      <c r="C123" t="str">
        <f t="shared" ca="1" si="5"/>
        <v xml:space="preserve">Beijing, Cairo, Delhi, Dhaka, </v>
      </c>
      <c r="E123" cm="1">
        <f t="array" aca="1" ref="E123" ca="1">INDEX(auto_DataFlat_ZScore,E20)</f>
        <v>0.72</v>
      </c>
      <c r="F123" cm="1">
        <f t="array" aca="1" ref="F123" ca="1">INDEX(auto_DataFlat_ZScore,F20)</f>
        <v>-0.22500000000000001</v>
      </c>
      <c r="G123" cm="1">
        <f t="array" aca="1" ref="G123" ca="1">INDEX(auto_DataFlat_ZScore,G20)</f>
        <v>0.57799999999999996</v>
      </c>
      <c r="H123" cm="1">
        <f t="array" aca="1" ref="H123" ca="1">INDEX(auto_DataFlat_ZScore,H20)</f>
        <v>0.50600000000000001</v>
      </c>
      <c r="I123" cm="1">
        <f t="array" aca="1" ref="I123" ca="1">INDEX(auto_DataFlat_ZScore,I20)</f>
        <v>0.82199999999999995</v>
      </c>
      <c r="J123" cm="1">
        <f t="array" aca="1" ref="J123" ca="1">INDEX(auto_DataFlat_ZScore,J20)</f>
        <v>-2.0550000000000002</v>
      </c>
      <c r="K123" cm="1">
        <f t="array" aca="1" ref="K123" ca="1">INDEX(auto_DataFlat_ZScore,K20)</f>
        <v>0.92400000000000004</v>
      </c>
      <c r="L123" cm="1">
        <f t="array" aca="1" ref="L123" ca="1">INDEX(auto_DataFlat_ZScore,L20)</f>
        <v>-4.0000000000000001E-3</v>
      </c>
      <c r="M123" cm="1">
        <f t="array" aca="1" ref="M123" ca="1">INDEX(auto_DataFlat_ZScore,M20)</f>
        <v>0.57099999999999995</v>
      </c>
      <c r="N123" cm="1">
        <f t="array" aca="1" ref="N123" ca="1">INDEX(auto_DataFlat_ZScore,N20)</f>
        <v>-1.6910000000000001</v>
      </c>
      <c r="O123" cm="1">
        <f t="array" aca="1" ref="O123" ca="1">INDEX(auto_DataFlat_ZScore,O20)</f>
        <v>0.57499999999999996</v>
      </c>
      <c r="P123" cm="1">
        <f t="array" aca="1" ref="P123" ca="1">INDEX(auto_DataFlat_ZScore,P20)</f>
        <v>-1.9379999999999999</v>
      </c>
      <c r="Q123" cm="1">
        <f t="array" aca="1" ref="Q123" ca="1">INDEX(auto_DataFlat_ZScore,Q20)</f>
        <v>-2.7130000000000001</v>
      </c>
      <c r="R123" cm="1">
        <f t="array" aca="1" ref="R123" ca="1">INDEX(auto_DataFlat_ZScore,R20)</f>
        <v>0.50600000000000001</v>
      </c>
      <c r="S123" cm="1">
        <f t="array" aca="1" ref="S123" ca="1">INDEX(auto_DataFlat_ZScore,S20)</f>
        <v>0.68</v>
      </c>
      <c r="U123" t="str">
        <f t="shared" ca="1" si="6"/>
        <v/>
      </c>
      <c r="V123" t="str">
        <f t="shared" ca="1" si="7"/>
        <v/>
      </c>
      <c r="W123" t="str">
        <f t="shared" ca="1" si="2"/>
        <v/>
      </c>
      <c r="X123" t="str">
        <f t="shared" ca="1" si="2"/>
        <v/>
      </c>
      <c r="Y123" t="str">
        <f t="shared" ca="1" si="2"/>
        <v/>
      </c>
      <c r="Z123" t="str">
        <f t="shared" ca="1" si="2"/>
        <v/>
      </c>
      <c r="AA123" t="str">
        <f t="shared" ca="1" si="2"/>
        <v/>
      </c>
      <c r="AB123" t="str">
        <f t="shared" ca="1" si="2"/>
        <v/>
      </c>
      <c r="AC123" t="str">
        <f t="shared" ca="1" si="2"/>
        <v/>
      </c>
      <c r="AD123" t="str">
        <f t="shared" ca="1" si="2"/>
        <v/>
      </c>
      <c r="AE123" t="str">
        <f t="shared" ca="1" si="2"/>
        <v/>
      </c>
      <c r="AF123" t="str">
        <f t="shared" ca="1" si="2"/>
        <v/>
      </c>
      <c r="AG123" t="str">
        <f t="shared" ca="1" si="2"/>
        <v/>
      </c>
      <c r="AH123" t="str">
        <f t="shared" ca="1" si="2"/>
        <v/>
      </c>
      <c r="AI123" t="str">
        <f t="shared" ca="1" si="2"/>
        <v/>
      </c>
      <c r="AK123" t="str">
        <f t="shared" ca="1" si="8"/>
        <v/>
      </c>
      <c r="AL123" t="str">
        <f t="shared" ca="1" si="9"/>
        <v/>
      </c>
      <c r="AM123" t="str">
        <f t="shared" ca="1" si="3"/>
        <v/>
      </c>
      <c r="AN123" t="str">
        <f t="shared" ca="1" si="3"/>
        <v/>
      </c>
      <c r="AO123" t="str">
        <f t="shared" ca="1" si="3"/>
        <v/>
      </c>
      <c r="AP123" t="str">
        <f t="shared" ca="1" si="3"/>
        <v xml:space="preserve">Beijing, </v>
      </c>
      <c r="AQ123" t="str">
        <f t="shared" ca="1" si="3"/>
        <v/>
      </c>
      <c r="AR123" t="str">
        <f t="shared" ca="1" si="3"/>
        <v/>
      </c>
      <c r="AS123" t="str">
        <f t="shared" ca="1" si="3"/>
        <v/>
      </c>
      <c r="AT123" t="str">
        <f t="shared" ca="1" si="3"/>
        <v xml:space="preserve">Cairo, </v>
      </c>
      <c r="AU123" t="str">
        <f t="shared" ca="1" si="3"/>
        <v/>
      </c>
      <c r="AV123" t="str">
        <f t="shared" ca="1" si="3"/>
        <v xml:space="preserve">Delhi, </v>
      </c>
      <c r="AW123" t="str">
        <f t="shared" ca="1" si="3"/>
        <v xml:space="preserve">Dhaka, </v>
      </c>
      <c r="AX123" t="str">
        <f t="shared" ca="1" si="3"/>
        <v/>
      </c>
      <c r="AY123" t="str">
        <f t="shared" ca="1" si="3"/>
        <v/>
      </c>
    </row>
    <row r="124" spans="1:51" x14ac:dyDescent="0.4">
      <c r="A124">
        <v>8</v>
      </c>
      <c r="B124" t="str">
        <f t="shared" ca="1" si="4"/>
        <v xml:space="preserve">Bogotá, </v>
      </c>
      <c r="C124" t="str">
        <f t="shared" ca="1" si="5"/>
        <v xml:space="preserve">Addis Ababa, Algiers, Cairo, Colombo, Delhi, </v>
      </c>
      <c r="E124" cm="1">
        <f t="array" aca="1" ref="E124" ca="1">INDEX(auto_DataFlat_ZScore,E21)</f>
        <v>-1.0580000000000001</v>
      </c>
      <c r="F124" cm="1">
        <f t="array" aca="1" ref="F124" ca="1">INDEX(auto_DataFlat_ZScore,F21)</f>
        <v>-1.2190000000000001</v>
      </c>
      <c r="G124" cm="1">
        <f t="array" aca="1" ref="G124" ca="1">INDEX(auto_DataFlat_ZScore,G21)</f>
        <v>-0.59299999999999997</v>
      </c>
      <c r="H124" cm="1">
        <f t="array" aca="1" ref="H124" ca="1">INDEX(auto_DataFlat_ZScore,H21)</f>
        <v>0.98299999999999998</v>
      </c>
      <c r="I124" cm="1">
        <f t="array" aca="1" ref="I124" ca="1">INDEX(auto_DataFlat_ZScore,I21)</f>
        <v>-0.7</v>
      </c>
      <c r="J124" cm="1">
        <f t="array" aca="1" ref="J124" ca="1">INDEX(auto_DataFlat_ZScore,J21)</f>
        <v>-0.123</v>
      </c>
      <c r="K124" cm="1">
        <f t="array" aca="1" ref="K124" ca="1">INDEX(auto_DataFlat_ZScore,K21)</f>
        <v>0.76400000000000001</v>
      </c>
      <c r="L124" cm="1">
        <f t="array" aca="1" ref="L124" ca="1">INDEX(auto_DataFlat_ZScore,L21)</f>
        <v>1.363</v>
      </c>
      <c r="M124" cm="1">
        <f t="array" aca="1" ref="M124" ca="1">INDEX(auto_DataFlat_ZScore,M21)</f>
        <v>0.63600000000000001</v>
      </c>
      <c r="N124" cm="1">
        <f t="array" aca="1" ref="N124" ca="1">INDEX(auto_DataFlat_ZScore,N21)</f>
        <v>-1.946</v>
      </c>
      <c r="O124" cm="1">
        <f t="array" aca="1" ref="O124" ca="1">INDEX(auto_DataFlat_ZScore,O21)</f>
        <v>-1.3580000000000001</v>
      </c>
      <c r="P124" cm="1">
        <f t="array" aca="1" ref="P124" ca="1">INDEX(auto_DataFlat_ZScore,P21)</f>
        <v>-1.4910000000000001</v>
      </c>
      <c r="Q124" cm="1">
        <f t="array" aca="1" ref="Q124" ca="1">INDEX(auto_DataFlat_ZScore,Q21)</f>
        <v>-0.374</v>
      </c>
      <c r="R124" cm="1">
        <f t="array" aca="1" ref="R124" ca="1">INDEX(auto_DataFlat_ZScore,R21)</f>
        <v>-0.17599999999999999</v>
      </c>
      <c r="S124" cm="1">
        <f t="array" aca="1" ref="S124" ca="1">INDEX(auto_DataFlat_ZScore,S21)</f>
        <v>0.30499999999999999</v>
      </c>
      <c r="U124" t="str">
        <f t="shared" ca="1" si="6"/>
        <v/>
      </c>
      <c r="V124" t="str">
        <f t="shared" ca="1" si="7"/>
        <v/>
      </c>
      <c r="W124" t="str">
        <f t="shared" ca="1" si="2"/>
        <v/>
      </c>
      <c r="X124" t="str">
        <f t="shared" ca="1" si="2"/>
        <v/>
      </c>
      <c r="Y124" t="str">
        <f t="shared" ca="1" si="2"/>
        <v/>
      </c>
      <c r="Z124" t="str">
        <f t="shared" ca="1" si="2"/>
        <v/>
      </c>
      <c r="AA124" t="str">
        <f t="shared" ca="1" si="2"/>
        <v/>
      </c>
      <c r="AB124" t="str">
        <f t="shared" ca="1" si="2"/>
        <v xml:space="preserve">Bogotá, </v>
      </c>
      <c r="AC124" t="str">
        <f t="shared" ca="1" si="2"/>
        <v/>
      </c>
      <c r="AD124" t="str">
        <f t="shared" ca="1" si="2"/>
        <v/>
      </c>
      <c r="AE124" t="str">
        <f t="shared" ca="1" si="2"/>
        <v/>
      </c>
      <c r="AF124" t="str">
        <f t="shared" ca="1" si="2"/>
        <v/>
      </c>
      <c r="AG124" t="str">
        <f t="shared" ca="1" si="2"/>
        <v/>
      </c>
      <c r="AH124" t="str">
        <f t="shared" ca="1" si="2"/>
        <v/>
      </c>
      <c r="AI124" t="str">
        <f t="shared" ca="1" si="2"/>
        <v/>
      </c>
      <c r="AK124" t="str">
        <f t="shared" ca="1" si="8"/>
        <v xml:space="preserve">Addis Ababa, </v>
      </c>
      <c r="AL124" t="str">
        <f t="shared" ca="1" si="9"/>
        <v xml:space="preserve">Algiers, </v>
      </c>
      <c r="AM124" t="str">
        <f t="shared" ca="1" si="3"/>
        <v/>
      </c>
      <c r="AN124" t="str">
        <f t="shared" ca="1" si="3"/>
        <v/>
      </c>
      <c r="AO124" t="str">
        <f t="shared" ca="1" si="3"/>
        <v/>
      </c>
      <c r="AP124" t="str">
        <f t="shared" ca="1" si="3"/>
        <v/>
      </c>
      <c r="AQ124" t="str">
        <f t="shared" ca="1" si="3"/>
        <v/>
      </c>
      <c r="AR124" t="str">
        <f t="shared" ca="1" si="3"/>
        <v/>
      </c>
      <c r="AS124" t="str">
        <f t="shared" ca="1" si="3"/>
        <v/>
      </c>
      <c r="AT124" t="str">
        <f t="shared" ca="1" si="3"/>
        <v xml:space="preserve">Cairo, </v>
      </c>
      <c r="AU124" t="str">
        <f t="shared" ca="1" si="3"/>
        <v xml:space="preserve">Colombo, </v>
      </c>
      <c r="AV124" t="str">
        <f t="shared" ca="1" si="3"/>
        <v xml:space="preserve">Delhi, </v>
      </c>
      <c r="AW124" t="str">
        <f t="shared" ca="1" si="3"/>
        <v/>
      </c>
      <c r="AX124" t="str">
        <f t="shared" ca="1" si="3"/>
        <v/>
      </c>
      <c r="AY124" t="str">
        <f t="shared" ca="1" si="3"/>
        <v/>
      </c>
    </row>
    <row r="125" spans="1:51" x14ac:dyDescent="0.4">
      <c r="A125">
        <v>9</v>
      </c>
      <c r="B125" t="str">
        <f t="shared" ca="1" si="4"/>
        <v xml:space="preserve">Addis Ababa, Algiers, Atlanta, Auckland, Bangkok, Beijing, Berlin, Bogotá, Budapest, Cairo, Colombo, Delhi, Dhaka, Dubai, Helsinki, </v>
      </c>
      <c r="C125" t="str">
        <f t="shared" ca="1" si="5"/>
        <v/>
      </c>
      <c r="E125" t="str" cm="1">
        <f t="array" aca="1" ref="E125" ca="1">INDEX(auto_DataFlat_ZScore,E22)</f>
        <v>n/a</v>
      </c>
      <c r="F125" t="str" cm="1">
        <f t="array" aca="1" ref="F125" ca="1">INDEX(auto_DataFlat_ZScore,F22)</f>
        <v>n/a</v>
      </c>
      <c r="G125" t="str" cm="1">
        <f t="array" aca="1" ref="G125" ca="1">INDEX(auto_DataFlat_ZScore,G22)</f>
        <v>n/a</v>
      </c>
      <c r="H125" t="str" cm="1">
        <f t="array" aca="1" ref="H125" ca="1">INDEX(auto_DataFlat_ZScore,H22)</f>
        <v>n/a</v>
      </c>
      <c r="I125" t="str" cm="1">
        <f t="array" aca="1" ref="I125" ca="1">INDEX(auto_DataFlat_ZScore,I22)</f>
        <v>n/a</v>
      </c>
      <c r="J125" t="str" cm="1">
        <f t="array" aca="1" ref="J125" ca="1">INDEX(auto_DataFlat_ZScore,J22)</f>
        <v>n/a</v>
      </c>
      <c r="K125" t="str" cm="1">
        <f t="array" aca="1" ref="K125" ca="1">INDEX(auto_DataFlat_ZScore,K22)</f>
        <v>n/a</v>
      </c>
      <c r="L125" t="str" cm="1">
        <f t="array" aca="1" ref="L125" ca="1">INDEX(auto_DataFlat_ZScore,L22)</f>
        <v>n/a</v>
      </c>
      <c r="M125" t="str" cm="1">
        <f t="array" aca="1" ref="M125" ca="1">INDEX(auto_DataFlat_ZScore,M22)</f>
        <v>n/a</v>
      </c>
      <c r="N125" t="str" cm="1">
        <f t="array" aca="1" ref="N125" ca="1">INDEX(auto_DataFlat_ZScore,N22)</f>
        <v>n/a</v>
      </c>
      <c r="O125" t="str" cm="1">
        <f t="array" aca="1" ref="O125" ca="1">INDEX(auto_DataFlat_ZScore,O22)</f>
        <v>n/a</v>
      </c>
      <c r="P125" t="str" cm="1">
        <f t="array" aca="1" ref="P125" ca="1">INDEX(auto_DataFlat_ZScore,P22)</f>
        <v>n/a</v>
      </c>
      <c r="Q125" t="str" cm="1">
        <f t="array" aca="1" ref="Q125" ca="1">INDEX(auto_DataFlat_ZScore,Q22)</f>
        <v>n/a</v>
      </c>
      <c r="R125" t="str" cm="1">
        <f t="array" aca="1" ref="R125" ca="1">INDEX(auto_DataFlat_ZScore,R22)</f>
        <v>n/a</v>
      </c>
      <c r="S125" t="str" cm="1">
        <f t="array" aca="1" ref="S125" ca="1">INDEX(auto_DataFlat_ZScore,S22)</f>
        <v>n/a</v>
      </c>
      <c r="U125" t="str">
        <f t="shared" ca="1" si="6"/>
        <v xml:space="preserve">Addis Ababa, </v>
      </c>
      <c r="V125" t="str">
        <f t="shared" ca="1" si="7"/>
        <v xml:space="preserve">Algiers, </v>
      </c>
      <c r="W125" t="str">
        <f t="shared" ca="1" si="2"/>
        <v xml:space="preserve">Atlanta, </v>
      </c>
      <c r="X125" t="str">
        <f t="shared" ca="1" si="2"/>
        <v xml:space="preserve">Auckland, </v>
      </c>
      <c r="Y125" t="str">
        <f t="shared" ca="1" si="2"/>
        <v xml:space="preserve">Bangkok, </v>
      </c>
      <c r="Z125" t="str">
        <f t="shared" ca="1" si="2"/>
        <v xml:space="preserve">Beijing, </v>
      </c>
      <c r="AA125" t="str">
        <f t="shared" ca="1" si="2"/>
        <v xml:space="preserve">Berlin, </v>
      </c>
      <c r="AB125" t="str">
        <f t="shared" ca="1" si="2"/>
        <v xml:space="preserve">Bogotá, </v>
      </c>
      <c r="AC125" t="str">
        <f t="shared" ca="1" si="2"/>
        <v xml:space="preserve">Budapest, </v>
      </c>
      <c r="AD125" t="str">
        <f t="shared" ca="1" si="2"/>
        <v xml:space="preserve">Cairo, </v>
      </c>
      <c r="AE125" t="str">
        <f t="shared" ca="1" si="2"/>
        <v xml:space="preserve">Colombo, </v>
      </c>
      <c r="AF125" t="str">
        <f t="shared" ca="1" si="2"/>
        <v xml:space="preserve">Delhi, </v>
      </c>
      <c r="AG125" t="str">
        <f t="shared" ca="1" si="2"/>
        <v xml:space="preserve">Dhaka, </v>
      </c>
      <c r="AH125" t="str">
        <f t="shared" ca="1" si="2"/>
        <v xml:space="preserve">Dubai, </v>
      </c>
      <c r="AI125" t="str">
        <f t="shared" ca="1" si="2"/>
        <v xml:space="preserve">Helsinki, </v>
      </c>
      <c r="AK125" t="str">
        <f t="shared" ca="1" si="8"/>
        <v/>
      </c>
      <c r="AL125" t="str">
        <f t="shared" ca="1" si="9"/>
        <v/>
      </c>
      <c r="AM125" t="str">
        <f t="shared" ca="1" si="3"/>
        <v/>
      </c>
      <c r="AN125" t="str">
        <f t="shared" ca="1" si="3"/>
        <v/>
      </c>
      <c r="AO125" t="str">
        <f t="shared" ca="1" si="3"/>
        <v/>
      </c>
      <c r="AP125" t="str">
        <f t="shared" ca="1" si="3"/>
        <v/>
      </c>
      <c r="AQ125" t="str">
        <f t="shared" ca="1" si="3"/>
        <v/>
      </c>
      <c r="AR125" t="str">
        <f t="shared" ca="1" si="3"/>
        <v/>
      </c>
      <c r="AS125" t="str">
        <f t="shared" ca="1" si="3"/>
        <v/>
      </c>
      <c r="AT125" t="str">
        <f t="shared" ca="1" si="3"/>
        <v/>
      </c>
      <c r="AU125" t="str">
        <f t="shared" ca="1" si="3"/>
        <v/>
      </c>
      <c r="AV125" t="str">
        <f t="shared" ca="1" si="3"/>
        <v/>
      </c>
      <c r="AW125" t="str">
        <f t="shared" ca="1" si="3"/>
        <v/>
      </c>
      <c r="AX125" t="str">
        <f t="shared" ca="1" si="3"/>
        <v/>
      </c>
      <c r="AY125" t="str">
        <f t="shared" ca="1" si="3"/>
        <v/>
      </c>
    </row>
    <row r="126" spans="1:51" x14ac:dyDescent="0.4">
      <c r="A126">
        <v>10</v>
      </c>
      <c r="B126" t="str">
        <f t="shared" ca="1" si="4"/>
        <v xml:space="preserve">Auckland, Bogotá, </v>
      </c>
      <c r="C126" t="str">
        <f t="shared" ca="1" si="5"/>
        <v xml:space="preserve">Bangkok, Cairo, Colombo, </v>
      </c>
      <c r="E126" cm="1">
        <f t="array" aca="1" ref="E126" ca="1">INDEX(auto_DataFlat_ZScore,E23)</f>
        <v>-0.18</v>
      </c>
      <c r="F126" cm="1">
        <f t="array" aca="1" ref="F126" ca="1">INDEX(auto_DataFlat_ZScore,F23)</f>
        <v>-0.20699999999999999</v>
      </c>
      <c r="G126" cm="1">
        <f t="array" aca="1" ref="G126" ca="1">INDEX(auto_DataFlat_ZScore,G23)</f>
        <v>-0.214</v>
      </c>
      <c r="H126" cm="1">
        <f t="array" aca="1" ref="H126" ca="1">INDEX(auto_DataFlat_ZScore,H23)</f>
        <v>1.7430000000000001</v>
      </c>
      <c r="I126" cm="1">
        <f t="array" aca="1" ref="I126" ca="1">INDEX(auto_DataFlat_ZScore,I23)</f>
        <v>-1.42</v>
      </c>
      <c r="J126" cm="1">
        <f t="array" aca="1" ref="J126" ca="1">INDEX(auto_DataFlat_ZScore,J23)</f>
        <v>-0.59499999999999997</v>
      </c>
      <c r="K126" cm="1">
        <f t="array" aca="1" ref="K126" ca="1">INDEX(auto_DataFlat_ZScore,K23)</f>
        <v>0.91100000000000003</v>
      </c>
      <c r="L126" cm="1">
        <f t="array" aca="1" ref="L126" ca="1">INDEX(auto_DataFlat_ZScore,L23)</f>
        <v>1.7090000000000001</v>
      </c>
      <c r="M126" cm="1">
        <f t="array" aca="1" ref="M126" ca="1">INDEX(auto_DataFlat_ZScore,M23)</f>
        <v>0.52</v>
      </c>
      <c r="N126" cm="1">
        <f t="array" aca="1" ref="N126" ca="1">INDEX(auto_DataFlat_ZScore,N23)</f>
        <v>-1.4470000000000001</v>
      </c>
      <c r="O126" cm="1">
        <f t="array" aca="1" ref="O126" ca="1">INDEX(auto_DataFlat_ZScore,O23)</f>
        <v>-1.2809999999999999</v>
      </c>
      <c r="P126" cm="1">
        <f t="array" aca="1" ref="P126" ca="1">INDEX(auto_DataFlat_ZScore,P23)</f>
        <v>-0.629</v>
      </c>
      <c r="Q126" cm="1">
        <f t="array" aca="1" ref="Q126" ca="1">INDEX(auto_DataFlat_ZScore,Q23)</f>
        <v>-0.61199999999999999</v>
      </c>
      <c r="R126" cm="1">
        <f t="array" aca="1" ref="R126" ca="1">INDEX(auto_DataFlat_ZScore,R23)</f>
        <v>-0.23100000000000001</v>
      </c>
      <c r="S126" cm="1">
        <f t="array" aca="1" ref="S126" ca="1">INDEX(auto_DataFlat_ZScore,S23)</f>
        <v>-0.54400000000000004</v>
      </c>
      <c r="U126" t="str">
        <f t="shared" ca="1" si="6"/>
        <v/>
      </c>
      <c r="V126" t="str">
        <f t="shared" ca="1" si="7"/>
        <v/>
      </c>
      <c r="W126" t="str">
        <f t="shared" ca="1" si="2"/>
        <v/>
      </c>
      <c r="X126" t="str">
        <f t="shared" ca="1" si="2"/>
        <v xml:space="preserve">Auckland, </v>
      </c>
      <c r="Y126" t="str">
        <f t="shared" ca="1" si="2"/>
        <v/>
      </c>
      <c r="Z126" t="str">
        <f t="shared" ca="1" si="2"/>
        <v/>
      </c>
      <c r="AA126" t="str">
        <f t="shared" ca="1" si="2"/>
        <v/>
      </c>
      <c r="AB126" t="str">
        <f t="shared" ca="1" si="2"/>
        <v xml:space="preserve">Bogotá, </v>
      </c>
      <c r="AC126" t="str">
        <f t="shared" ca="1" si="2"/>
        <v/>
      </c>
      <c r="AD126" t="str">
        <f t="shared" ca="1" si="2"/>
        <v/>
      </c>
      <c r="AE126" t="str">
        <f t="shared" ca="1" si="2"/>
        <v/>
      </c>
      <c r="AF126" t="str">
        <f t="shared" ca="1" si="2"/>
        <v/>
      </c>
      <c r="AG126" t="str">
        <f t="shared" ca="1" si="2"/>
        <v/>
      </c>
      <c r="AH126" t="str">
        <f t="shared" ca="1" si="2"/>
        <v/>
      </c>
      <c r="AI126" t="str">
        <f t="shared" ca="1" si="2"/>
        <v/>
      </c>
      <c r="AK126" t="str">
        <f t="shared" ca="1" si="8"/>
        <v/>
      </c>
      <c r="AL126" t="str">
        <f t="shared" ca="1" si="9"/>
        <v/>
      </c>
      <c r="AM126" t="str">
        <f t="shared" ca="1" si="3"/>
        <v/>
      </c>
      <c r="AN126" t="str">
        <f t="shared" ca="1" si="3"/>
        <v/>
      </c>
      <c r="AO126" t="str">
        <f t="shared" ca="1" si="3"/>
        <v xml:space="preserve">Bangkok, </v>
      </c>
      <c r="AP126" t="str">
        <f t="shared" ca="1" si="3"/>
        <v/>
      </c>
      <c r="AQ126" t="str">
        <f t="shared" ca="1" si="3"/>
        <v/>
      </c>
      <c r="AR126" t="str">
        <f t="shared" ca="1" si="3"/>
        <v/>
      </c>
      <c r="AS126" t="str">
        <f t="shared" ca="1" si="3"/>
        <v/>
      </c>
      <c r="AT126" t="str">
        <f t="shared" ca="1" si="3"/>
        <v xml:space="preserve">Cairo, </v>
      </c>
      <c r="AU126" t="str">
        <f t="shared" ca="1" si="3"/>
        <v xml:space="preserve">Colombo, </v>
      </c>
      <c r="AV126" t="str">
        <f t="shared" ca="1" si="3"/>
        <v/>
      </c>
      <c r="AW126" t="str">
        <f t="shared" ca="1" si="3"/>
        <v/>
      </c>
      <c r="AX126" t="str">
        <f t="shared" ca="1" si="3"/>
        <v/>
      </c>
      <c r="AY126" t="str">
        <f t="shared" ca="1" si="3"/>
        <v/>
      </c>
    </row>
    <row r="127" spans="1:51" x14ac:dyDescent="0.4">
      <c r="A127">
        <v>11</v>
      </c>
      <c r="B127" t="str">
        <f t="shared" ca="1" si="4"/>
        <v/>
      </c>
      <c r="C127" t="str">
        <f t="shared" ca="1" si="5"/>
        <v xml:space="preserve">Addis Ababa, Algiers, Cairo, Colombo, Delhi, </v>
      </c>
      <c r="E127" cm="1">
        <f t="array" aca="1" ref="E127" ca="1">INDEX(auto_DataFlat_ZScore,E24)</f>
        <v>-1.59</v>
      </c>
      <c r="F127" cm="1">
        <f t="array" aca="1" ref="F127" ca="1">INDEX(auto_DataFlat_ZScore,F24)</f>
        <v>-1.59</v>
      </c>
      <c r="G127" cm="1">
        <f t="array" aca="1" ref="G127" ca="1">INDEX(auto_DataFlat_ZScore,G24)</f>
        <v>-0.45400000000000001</v>
      </c>
      <c r="H127" cm="1">
        <f t="array" aca="1" ref="H127" ca="1">INDEX(auto_DataFlat_ZScore,H24)</f>
        <v>0.68100000000000005</v>
      </c>
      <c r="I127" cm="1">
        <f t="array" aca="1" ref="I127" ca="1">INDEX(auto_DataFlat_ZScore,I24)</f>
        <v>0.68100000000000005</v>
      </c>
      <c r="J127" cm="1">
        <f t="array" aca="1" ref="J127" ca="1">INDEX(auto_DataFlat_ZScore,J24)</f>
        <v>0.68100000000000005</v>
      </c>
      <c r="K127" cm="1">
        <f t="array" aca="1" ref="K127" ca="1">INDEX(auto_DataFlat_ZScore,K24)</f>
        <v>0.68100000000000005</v>
      </c>
      <c r="L127" cm="1">
        <f t="array" aca="1" ref="L127" ca="1">INDEX(auto_DataFlat_ZScore,L24)</f>
        <v>0.68100000000000005</v>
      </c>
      <c r="M127" cm="1">
        <f t="array" aca="1" ref="M127" ca="1">INDEX(auto_DataFlat_ZScore,M24)</f>
        <v>0.68100000000000005</v>
      </c>
      <c r="N127" cm="1">
        <f t="array" aca="1" ref="N127" ca="1">INDEX(auto_DataFlat_ZScore,N24)</f>
        <v>-1.59</v>
      </c>
      <c r="O127" cm="1">
        <f t="array" aca="1" ref="O127" ca="1">INDEX(auto_DataFlat_ZScore,O24)</f>
        <v>-1.59</v>
      </c>
      <c r="P127" cm="1">
        <f t="array" aca="1" ref="P127" ca="1">INDEX(auto_DataFlat_ZScore,P24)</f>
        <v>-1.59</v>
      </c>
      <c r="Q127" cm="1">
        <f t="array" aca="1" ref="Q127" ca="1">INDEX(auto_DataFlat_ZScore,Q24)</f>
        <v>-0.45400000000000001</v>
      </c>
      <c r="R127" cm="1">
        <f t="array" aca="1" ref="R127" ca="1">INDEX(auto_DataFlat_ZScore,R24)</f>
        <v>0.68100000000000005</v>
      </c>
      <c r="S127" cm="1">
        <f t="array" aca="1" ref="S127" ca="1">INDEX(auto_DataFlat_ZScore,S24)</f>
        <v>0.68100000000000005</v>
      </c>
      <c r="U127" t="str">
        <f t="shared" ca="1" si="6"/>
        <v/>
      </c>
      <c r="V127" t="str">
        <f t="shared" ca="1" si="7"/>
        <v/>
      </c>
      <c r="W127" t="str">
        <f t="shared" ca="1" si="2"/>
        <v/>
      </c>
      <c r="X127" t="str">
        <f t="shared" ca="1" si="2"/>
        <v/>
      </c>
      <c r="Y127" t="str">
        <f t="shared" ca="1" si="2"/>
        <v/>
      </c>
      <c r="Z127" t="str">
        <f t="shared" ca="1" si="2"/>
        <v/>
      </c>
      <c r="AA127" t="str">
        <f t="shared" ca="1" si="2"/>
        <v/>
      </c>
      <c r="AB127" t="str">
        <f t="shared" ca="1" si="2"/>
        <v/>
      </c>
      <c r="AC127" t="str">
        <f t="shared" ca="1" si="2"/>
        <v/>
      </c>
      <c r="AD127" t="str">
        <f t="shared" ca="1" si="2"/>
        <v/>
      </c>
      <c r="AE127" t="str">
        <f t="shared" ca="1" si="2"/>
        <v/>
      </c>
      <c r="AF127" t="str">
        <f t="shared" ca="1" si="2"/>
        <v/>
      </c>
      <c r="AG127" t="str">
        <f t="shared" ca="1" si="2"/>
        <v/>
      </c>
      <c r="AH127" t="str">
        <f t="shared" ca="1" si="2"/>
        <v/>
      </c>
      <c r="AI127" t="str">
        <f t="shared" ca="1" si="2"/>
        <v/>
      </c>
      <c r="AK127" t="str">
        <f t="shared" ca="1" si="8"/>
        <v xml:space="preserve">Addis Ababa, </v>
      </c>
      <c r="AL127" t="str">
        <f t="shared" ca="1" si="9"/>
        <v xml:space="preserve">Algiers, </v>
      </c>
      <c r="AM127" t="str">
        <f t="shared" ca="1" si="3"/>
        <v/>
      </c>
      <c r="AN127" t="str">
        <f t="shared" ca="1" si="3"/>
        <v/>
      </c>
      <c r="AO127" t="str">
        <f t="shared" ca="1" si="3"/>
        <v/>
      </c>
      <c r="AP127" t="str">
        <f t="shared" ca="1" si="3"/>
        <v/>
      </c>
      <c r="AQ127" t="str">
        <f t="shared" ca="1" si="3"/>
        <v/>
      </c>
      <c r="AR127" t="str">
        <f t="shared" ca="1" si="3"/>
        <v/>
      </c>
      <c r="AS127" t="str">
        <f t="shared" ca="1" si="3"/>
        <v/>
      </c>
      <c r="AT127" t="str">
        <f t="shared" ca="1" si="3"/>
        <v xml:space="preserve">Cairo, </v>
      </c>
      <c r="AU127" t="str">
        <f t="shared" ca="1" si="3"/>
        <v xml:space="preserve">Colombo, </v>
      </c>
      <c r="AV127" t="str">
        <f t="shared" ca="1" si="3"/>
        <v xml:space="preserve">Delhi, </v>
      </c>
      <c r="AW127" t="str">
        <f t="shared" ca="1" si="3"/>
        <v/>
      </c>
      <c r="AX127" t="str">
        <f t="shared" ca="1" si="3"/>
        <v/>
      </c>
      <c r="AY127" t="str">
        <f t="shared" ca="1" si="3"/>
        <v/>
      </c>
    </row>
    <row r="128" spans="1:51" x14ac:dyDescent="0.4">
      <c r="A128">
        <v>12</v>
      </c>
      <c r="B128" t="str">
        <f t="shared" ca="1" si="4"/>
        <v/>
      </c>
      <c r="C128" t="str">
        <f t="shared" ca="1" si="5"/>
        <v xml:space="preserve">Cairo, Delhi, </v>
      </c>
      <c r="E128" cm="1">
        <f t="array" aca="1" ref="E128" ca="1">INDEX(auto_DataFlat_ZScore,E25)</f>
        <v>0.39100000000000001</v>
      </c>
      <c r="F128" cm="1">
        <f t="array" aca="1" ref="F128" ca="1">INDEX(auto_DataFlat_ZScore,F25)</f>
        <v>-0.88500000000000001</v>
      </c>
      <c r="G128" cm="1">
        <f t="array" aca="1" ref="G128" ca="1">INDEX(auto_DataFlat_ZScore,G25)</f>
        <v>-0.64400000000000002</v>
      </c>
      <c r="H128" cm="1">
        <f t="array" aca="1" ref="H128" ca="1">INDEX(auto_DataFlat_ZScore,H25)</f>
        <v>-0.79400000000000004</v>
      </c>
      <c r="I128" cm="1">
        <f t="array" aca="1" ref="I128" ca="1">INDEX(auto_DataFlat_ZScore,I25)</f>
        <v>-0.628</v>
      </c>
      <c r="J128" cm="1">
        <f t="array" aca="1" ref="J128" ca="1">INDEX(auto_DataFlat_ZScore,J25)</f>
        <v>-0.60299999999999998</v>
      </c>
      <c r="K128" cm="1">
        <f t="array" aca="1" ref="K128" ca="1">INDEX(auto_DataFlat_ZScore,K25)</f>
        <v>-0.56100000000000005</v>
      </c>
      <c r="L128" cm="1">
        <f t="array" aca="1" ref="L128" ca="1">INDEX(auto_DataFlat_ZScore,L25)</f>
        <v>0.83899999999999997</v>
      </c>
      <c r="M128" cm="1">
        <f t="array" aca="1" ref="M128" ca="1">INDEX(auto_DataFlat_ZScore,M25)</f>
        <v>-0.74399999999999999</v>
      </c>
      <c r="N128" cm="1">
        <f t="array" aca="1" ref="N128" ca="1">INDEX(auto_DataFlat_ZScore,N25)</f>
        <v>-1.0720000000000001</v>
      </c>
      <c r="O128" cm="1">
        <f t="array" aca="1" ref="O128" ca="1">INDEX(auto_DataFlat_ZScore,O25)</f>
        <v>-0.70599999999999996</v>
      </c>
      <c r="P128" cm="1">
        <f t="array" aca="1" ref="P128" ca="1">INDEX(auto_DataFlat_ZScore,P25)</f>
        <v>-1.056</v>
      </c>
      <c r="Q128" cm="1">
        <f t="array" aca="1" ref="Q128" ca="1">INDEX(auto_DataFlat_ZScore,Q25)</f>
        <v>0.95199999999999996</v>
      </c>
      <c r="R128" cm="1">
        <f t="array" aca="1" ref="R128" ca="1">INDEX(auto_DataFlat_ZScore,R25)</f>
        <v>-0.68600000000000005</v>
      </c>
      <c r="S128" cm="1">
        <f t="array" aca="1" ref="S128" ca="1">INDEX(auto_DataFlat_ZScore,S25)</f>
        <v>-0.69799999999999995</v>
      </c>
      <c r="U128" t="str">
        <f t="shared" ca="1" si="6"/>
        <v/>
      </c>
      <c r="V128" t="str">
        <f t="shared" ca="1" si="7"/>
        <v/>
      </c>
      <c r="W128" t="str">
        <f t="shared" ca="1" si="2"/>
        <v/>
      </c>
      <c r="X128" t="str">
        <f t="shared" ca="1" si="2"/>
        <v/>
      </c>
      <c r="Y128" t="str">
        <f t="shared" ca="1" si="2"/>
        <v/>
      </c>
      <c r="Z128" t="str">
        <f t="shared" ca="1" si="2"/>
        <v/>
      </c>
      <c r="AA128" t="str">
        <f t="shared" ca="1" si="2"/>
        <v/>
      </c>
      <c r="AB128" t="str">
        <f t="shared" ca="1" si="2"/>
        <v/>
      </c>
      <c r="AC128" t="str">
        <f t="shared" ca="1" si="2"/>
        <v/>
      </c>
      <c r="AD128" t="str">
        <f t="shared" ca="1" si="2"/>
        <v/>
      </c>
      <c r="AE128" t="str">
        <f t="shared" ca="1" si="2"/>
        <v/>
      </c>
      <c r="AF128" t="str">
        <f t="shared" ca="1" si="2"/>
        <v/>
      </c>
      <c r="AG128" t="str">
        <f t="shared" ca="1" si="2"/>
        <v/>
      </c>
      <c r="AH128" t="str">
        <f t="shared" ca="1" si="2"/>
        <v/>
      </c>
      <c r="AI128" t="str">
        <f t="shared" ca="1" si="2"/>
        <v/>
      </c>
      <c r="AK128" t="str">
        <f t="shared" ca="1" si="8"/>
        <v/>
      </c>
      <c r="AL128" t="str">
        <f t="shared" ca="1" si="9"/>
        <v/>
      </c>
      <c r="AM128" t="str">
        <f t="shared" ca="1" si="3"/>
        <v/>
      </c>
      <c r="AN128" t="str">
        <f t="shared" ca="1" si="3"/>
        <v/>
      </c>
      <c r="AO128" t="str">
        <f t="shared" ca="1" si="3"/>
        <v/>
      </c>
      <c r="AP128" t="str">
        <f t="shared" ca="1" si="3"/>
        <v/>
      </c>
      <c r="AQ128" t="str">
        <f t="shared" ca="1" si="3"/>
        <v/>
      </c>
      <c r="AR128" t="str">
        <f t="shared" ca="1" si="3"/>
        <v/>
      </c>
      <c r="AS128" t="str">
        <f t="shared" ca="1" si="3"/>
        <v/>
      </c>
      <c r="AT128" t="str">
        <f t="shared" ca="1" si="3"/>
        <v xml:space="preserve">Cairo, </v>
      </c>
      <c r="AU128" t="str">
        <f t="shared" ca="1" si="3"/>
        <v/>
      </c>
      <c r="AV128" t="str">
        <f t="shared" ca="1" si="3"/>
        <v xml:space="preserve">Delhi, </v>
      </c>
      <c r="AW128" t="str">
        <f t="shared" ca="1" si="3"/>
        <v/>
      </c>
      <c r="AX128" t="str">
        <f t="shared" ca="1" si="3"/>
        <v/>
      </c>
      <c r="AY128" t="str">
        <f t="shared" ca="1" si="3"/>
        <v/>
      </c>
    </row>
    <row r="129" spans="1:51" x14ac:dyDescent="0.4">
      <c r="A129">
        <v>13</v>
      </c>
      <c r="B129" t="str">
        <f t="shared" ca="1" si="4"/>
        <v xml:space="preserve">Auckland, Berlin, Bogotá, Budapest, Helsinki, </v>
      </c>
      <c r="C129" t="str">
        <f t="shared" ca="1" si="5"/>
        <v xml:space="preserve">Addis Ababa, Bangkok, Cairo, Delhi, </v>
      </c>
      <c r="E129" cm="1">
        <f t="array" aca="1" ref="E129" ca="1">INDEX(auto_DataFlat_ZScore,E26)</f>
        <v>-1.294</v>
      </c>
      <c r="F129" cm="1">
        <f t="array" aca="1" ref="F129" ca="1">INDEX(auto_DataFlat_ZScore,F26)</f>
        <v>-0.65500000000000003</v>
      </c>
      <c r="G129" cm="1">
        <f t="array" aca="1" ref="G129" ca="1">INDEX(auto_DataFlat_ZScore,G26)</f>
        <v>-0.54200000000000004</v>
      </c>
      <c r="H129" cm="1">
        <f t="array" aca="1" ref="H129" ca="1">INDEX(auto_DataFlat_ZScore,H26)</f>
        <v>1.143</v>
      </c>
      <c r="I129" cm="1">
        <f t="array" aca="1" ref="I129" ca="1">INDEX(auto_DataFlat_ZScore,I26)</f>
        <v>-1.5069999999999999</v>
      </c>
      <c r="J129" cm="1">
        <f t="array" aca="1" ref="J129" ca="1">INDEX(auto_DataFlat_ZScore,J26)</f>
        <v>-0.376</v>
      </c>
      <c r="K129" cm="1">
        <f t="array" aca="1" ref="K129" ca="1">INDEX(auto_DataFlat_ZScore,K26)</f>
        <v>1.0840000000000001</v>
      </c>
      <c r="L129" cm="1">
        <f t="array" aca="1" ref="L129" ca="1">INDEX(auto_DataFlat_ZScore,L26)</f>
        <v>1.026</v>
      </c>
      <c r="M129" cm="1">
        <f t="array" aca="1" ref="M129" ca="1">INDEX(auto_DataFlat_ZScore,M26)</f>
        <v>1.224</v>
      </c>
      <c r="N129" cm="1">
        <f t="array" aca="1" ref="N129" ca="1">INDEX(auto_DataFlat_ZScore,N26)</f>
        <v>-1.6930000000000001</v>
      </c>
      <c r="O129" cm="1">
        <f t="array" aca="1" ref="O129" ca="1">INDEX(auto_DataFlat_ZScore,O26)</f>
        <v>-8.8999999999999996E-2</v>
      </c>
      <c r="P129" cm="1">
        <f t="array" aca="1" ref="P129" ca="1">INDEX(auto_DataFlat_ZScore,P26)</f>
        <v>-1.0109999999999999</v>
      </c>
      <c r="Q129" cm="1">
        <f t="array" aca="1" ref="Q129" ca="1">INDEX(auto_DataFlat_ZScore,Q26)</f>
        <v>-0.77800000000000002</v>
      </c>
      <c r="R129" cm="1">
        <f t="array" aca="1" ref="R129" ca="1">INDEX(auto_DataFlat_ZScore,R26)</f>
        <v>-0.91800000000000004</v>
      </c>
      <c r="S129" cm="1">
        <f t="array" aca="1" ref="S129" ca="1">INDEX(auto_DataFlat_ZScore,S26)</f>
        <v>1.1970000000000001</v>
      </c>
      <c r="U129" t="str">
        <f t="shared" ca="1" si="6"/>
        <v/>
      </c>
      <c r="V129" t="str">
        <f t="shared" ca="1" si="7"/>
        <v/>
      </c>
      <c r="W129" t="str">
        <f t="shared" ca="1" si="2"/>
        <v/>
      </c>
      <c r="X129" t="str">
        <f t="shared" ca="1" si="2"/>
        <v xml:space="preserve">Auckland, </v>
      </c>
      <c r="Y129" t="str">
        <f t="shared" ca="1" si="2"/>
        <v/>
      </c>
      <c r="Z129" t="str">
        <f t="shared" ca="1" si="2"/>
        <v/>
      </c>
      <c r="AA129" t="str">
        <f t="shared" ca="1" si="2"/>
        <v xml:space="preserve">Berlin, </v>
      </c>
      <c r="AB129" t="str">
        <f t="shared" ca="1" si="2"/>
        <v xml:space="preserve">Bogotá, </v>
      </c>
      <c r="AC129" t="str">
        <f t="shared" ca="1" si="2"/>
        <v xml:space="preserve">Budapest, </v>
      </c>
      <c r="AD129" t="str">
        <f t="shared" ca="1" si="2"/>
        <v/>
      </c>
      <c r="AE129" t="str">
        <f t="shared" ca="1" si="2"/>
        <v/>
      </c>
      <c r="AF129" t="str">
        <f t="shared" ca="1" si="2"/>
        <v/>
      </c>
      <c r="AG129" t="str">
        <f t="shared" ca="1" si="2"/>
        <v/>
      </c>
      <c r="AH129" t="str">
        <f t="shared" ca="1" si="2"/>
        <v/>
      </c>
      <c r="AI129" t="str">
        <f t="shared" ca="1" si="2"/>
        <v xml:space="preserve">Helsinki, </v>
      </c>
      <c r="AK129" t="str">
        <f t="shared" ca="1" si="8"/>
        <v xml:space="preserve">Addis Ababa, </v>
      </c>
      <c r="AL129" t="str">
        <f t="shared" ca="1" si="9"/>
        <v/>
      </c>
      <c r="AM129" t="str">
        <f t="shared" ca="1" si="3"/>
        <v/>
      </c>
      <c r="AN129" t="str">
        <f t="shared" ca="1" si="3"/>
        <v/>
      </c>
      <c r="AO129" t="str">
        <f t="shared" ca="1" si="3"/>
        <v xml:space="preserve">Bangkok, </v>
      </c>
      <c r="AP129" t="str">
        <f t="shared" ca="1" si="3"/>
        <v/>
      </c>
      <c r="AQ129" t="str">
        <f t="shared" ca="1" si="3"/>
        <v/>
      </c>
      <c r="AR129" t="str">
        <f t="shared" ca="1" si="3"/>
        <v/>
      </c>
      <c r="AS129" t="str">
        <f t="shared" ca="1" si="3"/>
        <v/>
      </c>
      <c r="AT129" t="str">
        <f t="shared" ca="1" si="3"/>
        <v xml:space="preserve">Cairo, </v>
      </c>
      <c r="AU129" t="str">
        <f t="shared" ca="1" si="3"/>
        <v/>
      </c>
      <c r="AV129" t="str">
        <f t="shared" ca="1" si="3"/>
        <v xml:space="preserve">Delhi, </v>
      </c>
      <c r="AW129" t="str">
        <f t="shared" ca="1" si="3"/>
        <v/>
      </c>
      <c r="AX129" t="str">
        <f t="shared" ca="1" si="3"/>
        <v/>
      </c>
      <c r="AY129" t="str">
        <f t="shared" ca="1" si="3"/>
        <v/>
      </c>
    </row>
    <row r="130" spans="1:51" x14ac:dyDescent="0.4">
      <c r="A130">
        <v>14</v>
      </c>
      <c r="B130" t="str">
        <f t="shared" ca="1" si="4"/>
        <v xml:space="preserve">Beijing, Helsinki, </v>
      </c>
      <c r="C130" t="str">
        <f t="shared" ca="1" si="5"/>
        <v xml:space="preserve">Algiers, Cairo, Dhaka, </v>
      </c>
      <c r="E130" cm="1">
        <f t="array" aca="1" ref="E130" ca="1">INDEX(auto_DataFlat_ZScore,E27)</f>
        <v>-0.65400000000000003</v>
      </c>
      <c r="F130" cm="1">
        <f t="array" aca="1" ref="F130" ca="1">INDEX(auto_DataFlat_ZScore,F27)</f>
        <v>-1.1180000000000001</v>
      </c>
      <c r="G130" cm="1">
        <f t="array" aca="1" ref="G130" ca="1">INDEX(auto_DataFlat_ZScore,G27)</f>
        <v>-0.11</v>
      </c>
      <c r="H130" cm="1">
        <f t="array" aca="1" ref="H130" ca="1">INDEX(auto_DataFlat_ZScore,H27)</f>
        <v>0.159</v>
      </c>
      <c r="I130" cm="1">
        <f t="array" aca="1" ref="I130" ca="1">INDEX(auto_DataFlat_ZScore,I27)</f>
        <v>0.99</v>
      </c>
      <c r="J130" cm="1">
        <f t="array" aca="1" ref="J130" ca="1">INDEX(auto_DataFlat_ZScore,J27)</f>
        <v>1.387</v>
      </c>
      <c r="K130" cm="1">
        <f t="array" aca="1" ref="K130" ca="1">INDEX(auto_DataFlat_ZScore,K27)</f>
        <v>0.73899999999999999</v>
      </c>
      <c r="L130" cm="1">
        <f t="array" aca="1" ref="L130" ca="1">INDEX(auto_DataFlat_ZScore,L27)</f>
        <v>-6.0999999999999999E-2</v>
      </c>
      <c r="M130" cm="1">
        <f t="array" aca="1" ref="M130" ca="1">INDEX(auto_DataFlat_ZScore,M27)</f>
        <v>0.89800000000000002</v>
      </c>
      <c r="N130" cm="1">
        <f t="array" aca="1" ref="N130" ca="1">INDEX(auto_DataFlat_ZScore,N27)</f>
        <v>-1.1120000000000001</v>
      </c>
      <c r="O130" cm="1">
        <f t="array" aca="1" ref="O130" ca="1">INDEX(auto_DataFlat_ZScore,O27)</f>
        <v>-0.752</v>
      </c>
      <c r="P130" cm="1">
        <f t="array" aca="1" ref="P130" ca="1">INDEX(auto_DataFlat_ZScore,P27)</f>
        <v>-9.1999999999999998E-2</v>
      </c>
      <c r="Q130" cm="1">
        <f t="array" aca="1" ref="Q130" ca="1">INDEX(auto_DataFlat_ZScore,Q27)</f>
        <v>-1.1120000000000001</v>
      </c>
      <c r="R130" cm="1">
        <f t="array" aca="1" ref="R130" ca="1">INDEX(auto_DataFlat_ZScore,R27)</f>
        <v>0.312</v>
      </c>
      <c r="S130" cm="1">
        <f t="array" aca="1" ref="S130" ca="1">INDEX(auto_DataFlat_ZScore,S27)</f>
        <v>1.1919999999999999</v>
      </c>
      <c r="U130" t="str">
        <f t="shared" ca="1" si="6"/>
        <v/>
      </c>
      <c r="V130" t="str">
        <f t="shared" ca="1" si="7"/>
        <v/>
      </c>
      <c r="W130" t="str">
        <f t="shared" ca="1" si="2"/>
        <v/>
      </c>
      <c r="X130" t="str">
        <f t="shared" ca="1" si="2"/>
        <v/>
      </c>
      <c r="Y130" t="str">
        <f t="shared" ca="1" si="2"/>
        <v/>
      </c>
      <c r="Z130" t="str">
        <f t="shared" ca="1" si="2"/>
        <v xml:space="preserve">Beijing, </v>
      </c>
      <c r="AA130" t="str">
        <f t="shared" ca="1" si="2"/>
        <v/>
      </c>
      <c r="AB130" t="str">
        <f t="shared" ca="1" si="2"/>
        <v/>
      </c>
      <c r="AC130" t="str">
        <f t="shared" ca="1" si="2"/>
        <v/>
      </c>
      <c r="AD130" t="str">
        <f t="shared" ca="1" si="2"/>
        <v/>
      </c>
      <c r="AE130" t="str">
        <f t="shared" ca="1" si="2"/>
        <v/>
      </c>
      <c r="AF130" t="str">
        <f t="shared" ca="1" si="2"/>
        <v/>
      </c>
      <c r="AG130" t="str">
        <f t="shared" ca="1" si="2"/>
        <v/>
      </c>
      <c r="AH130" t="str">
        <f t="shared" ca="1" si="2"/>
        <v/>
      </c>
      <c r="AI130" t="str">
        <f t="shared" ca="1" si="2"/>
        <v xml:space="preserve">Helsinki, </v>
      </c>
      <c r="AK130" t="str">
        <f t="shared" ca="1" si="8"/>
        <v/>
      </c>
      <c r="AL130" t="str">
        <f t="shared" ca="1" si="9"/>
        <v xml:space="preserve">Algiers, </v>
      </c>
      <c r="AM130" t="str">
        <f t="shared" ca="1" si="3"/>
        <v/>
      </c>
      <c r="AN130" t="str">
        <f t="shared" ca="1" si="3"/>
        <v/>
      </c>
      <c r="AO130" t="str">
        <f t="shared" ca="1" si="3"/>
        <v/>
      </c>
      <c r="AP130" t="str">
        <f t="shared" ca="1" si="3"/>
        <v/>
      </c>
      <c r="AQ130" t="str">
        <f t="shared" ca="1" si="3"/>
        <v/>
      </c>
      <c r="AR130" t="str">
        <f t="shared" ca="1" si="3"/>
        <v/>
      </c>
      <c r="AS130" t="str">
        <f t="shared" ca="1" si="3"/>
        <v/>
      </c>
      <c r="AT130" t="str">
        <f t="shared" ca="1" si="3"/>
        <v xml:space="preserve">Cairo, </v>
      </c>
      <c r="AU130" t="str">
        <f t="shared" ca="1" si="3"/>
        <v/>
      </c>
      <c r="AV130" t="str">
        <f t="shared" ca="1" si="3"/>
        <v/>
      </c>
      <c r="AW130" t="str">
        <f t="shared" ca="1" si="3"/>
        <v xml:space="preserve">Dhaka, </v>
      </c>
      <c r="AX130" t="str">
        <f t="shared" ca="1" si="3"/>
        <v/>
      </c>
      <c r="AY130" t="str">
        <f t="shared" ca="1" si="3"/>
        <v/>
      </c>
    </row>
    <row r="131" spans="1:51" x14ac:dyDescent="0.4">
      <c r="A131">
        <v>15</v>
      </c>
      <c r="B131" t="str">
        <f t="shared" ca="1" si="4"/>
        <v xml:space="preserve">Auckland, Bogotá, Dubai, </v>
      </c>
      <c r="C131" t="str">
        <f t="shared" ca="1" si="5"/>
        <v xml:space="preserve">Algiers, Atlanta, Cairo, Dhaka, </v>
      </c>
      <c r="E131" cm="1">
        <f t="array" aca="1" ref="E131" ca="1">INDEX(auto_DataFlat_ZScore,E28)</f>
        <v>-0.72399999999999998</v>
      </c>
      <c r="F131" cm="1">
        <f t="array" aca="1" ref="F131" ca="1">INDEX(auto_DataFlat_ZScore,F28)</f>
        <v>-1.0269999999999999</v>
      </c>
      <c r="G131" cm="1">
        <f t="array" aca="1" ref="G131" ca="1">INDEX(auto_DataFlat_ZScore,G28)</f>
        <v>-1.0840000000000001</v>
      </c>
      <c r="H131" cm="1">
        <f t="array" aca="1" ref="H131" ca="1">INDEX(auto_DataFlat_ZScore,H28)</f>
        <v>1.0389999999999999</v>
      </c>
      <c r="I131" cm="1">
        <f t="array" aca="1" ref="I131" ca="1">INDEX(auto_DataFlat_ZScore,I28)</f>
        <v>0.90600000000000003</v>
      </c>
      <c r="J131" cm="1">
        <f t="array" aca="1" ref="J131" ca="1">INDEX(auto_DataFlat_ZScore,J28)</f>
        <v>0.82599999999999996</v>
      </c>
      <c r="K131" cm="1">
        <f t="array" aca="1" ref="K131" ca="1">INDEX(auto_DataFlat_ZScore,K28)</f>
        <v>0.86799999999999999</v>
      </c>
      <c r="L131" cm="1">
        <f t="array" aca="1" ref="L131" ca="1">INDEX(auto_DataFlat_ZScore,L28)</f>
        <v>1.1140000000000001</v>
      </c>
      <c r="M131" cm="1">
        <f t="array" aca="1" ref="M131" ca="1">INDEX(auto_DataFlat_ZScore,M28)</f>
        <v>0.66</v>
      </c>
      <c r="N131" cm="1">
        <f t="array" aca="1" ref="N131" ca="1">INDEX(auto_DataFlat_ZScore,N28)</f>
        <v>-1.0920000000000001</v>
      </c>
      <c r="O131" cm="1">
        <f t="array" aca="1" ref="O131" ca="1">INDEX(auto_DataFlat_ZScore,O28)</f>
        <v>0.90200000000000002</v>
      </c>
      <c r="P131" cm="1">
        <f t="array" aca="1" ref="P131" ca="1">INDEX(auto_DataFlat_ZScore,P28)</f>
        <v>0.81100000000000005</v>
      </c>
      <c r="Q131" cm="1">
        <f t="array" aca="1" ref="Q131" ca="1">INDEX(auto_DataFlat_ZScore,Q28)</f>
        <v>-1.2470000000000001</v>
      </c>
      <c r="R131" cm="1">
        <f t="array" aca="1" ref="R131" ca="1">INDEX(auto_DataFlat_ZScore,R28)</f>
        <v>1.099</v>
      </c>
      <c r="S131" cm="1">
        <f t="array" aca="1" ref="S131" ca="1">INDEX(auto_DataFlat_ZScore,S28)</f>
        <v>0.84899999999999998</v>
      </c>
      <c r="U131" t="str">
        <f t="shared" ca="1" si="6"/>
        <v/>
      </c>
      <c r="V131" t="str">
        <f t="shared" ca="1" si="7"/>
        <v/>
      </c>
      <c r="W131" t="str">
        <f t="shared" ca="1" si="2"/>
        <v/>
      </c>
      <c r="X131" t="str">
        <f t="shared" ca="1" si="2"/>
        <v xml:space="preserve">Auckland, </v>
      </c>
      <c r="Y131" t="str">
        <f t="shared" ca="1" si="2"/>
        <v/>
      </c>
      <c r="Z131" t="str">
        <f t="shared" ca="1" si="2"/>
        <v/>
      </c>
      <c r="AA131" t="str">
        <f t="shared" ca="1" si="2"/>
        <v/>
      </c>
      <c r="AB131" t="str">
        <f t="shared" ca="1" si="2"/>
        <v xml:space="preserve">Bogotá, </v>
      </c>
      <c r="AC131" t="str">
        <f t="shared" ca="1" si="2"/>
        <v/>
      </c>
      <c r="AD131" t="str">
        <f t="shared" ca="1" si="2"/>
        <v/>
      </c>
      <c r="AE131" t="str">
        <f t="shared" ca="1" si="2"/>
        <v/>
      </c>
      <c r="AF131" t="str">
        <f t="shared" ca="1" si="2"/>
        <v/>
      </c>
      <c r="AG131" t="str">
        <f t="shared" ca="1" si="2"/>
        <v/>
      </c>
      <c r="AH131" t="str">
        <f t="shared" ca="1" si="2"/>
        <v xml:space="preserve">Dubai, </v>
      </c>
      <c r="AI131" t="str">
        <f t="shared" ca="1" si="2"/>
        <v/>
      </c>
      <c r="AK131" t="str">
        <f t="shared" ca="1" si="8"/>
        <v/>
      </c>
      <c r="AL131" t="str">
        <f t="shared" ca="1" si="9"/>
        <v xml:space="preserve">Algiers, </v>
      </c>
      <c r="AM131" t="str">
        <f t="shared" ca="1" si="3"/>
        <v xml:space="preserve">Atlanta, </v>
      </c>
      <c r="AN131" t="str">
        <f t="shared" ca="1" si="3"/>
        <v/>
      </c>
      <c r="AO131" t="str">
        <f t="shared" ca="1" si="3"/>
        <v/>
      </c>
      <c r="AP131" t="str">
        <f t="shared" ca="1" si="3"/>
        <v/>
      </c>
      <c r="AQ131" t="str">
        <f t="shared" ca="1" si="3"/>
        <v/>
      </c>
      <c r="AR131" t="str">
        <f t="shared" ca="1" si="3"/>
        <v/>
      </c>
      <c r="AS131" t="str">
        <f t="shared" ca="1" si="3"/>
        <v/>
      </c>
      <c r="AT131" t="str">
        <f t="shared" ca="1" si="3"/>
        <v xml:space="preserve">Cairo, </v>
      </c>
      <c r="AU131" t="str">
        <f t="shared" ca="1" si="3"/>
        <v/>
      </c>
      <c r="AV131" t="str">
        <f t="shared" ca="1" si="3"/>
        <v/>
      </c>
      <c r="AW131" t="str">
        <f t="shared" ca="1" si="3"/>
        <v xml:space="preserve">Dhaka, </v>
      </c>
      <c r="AX131" t="str">
        <f t="shared" ca="1" si="3"/>
        <v/>
      </c>
      <c r="AY131" t="str">
        <f t="shared" ca="1" si="3"/>
        <v/>
      </c>
    </row>
    <row r="132" spans="1:51" x14ac:dyDescent="0.4">
      <c r="A132">
        <v>16</v>
      </c>
      <c r="B132" t="str">
        <f t="shared" ca="1" si="4"/>
        <v xml:space="preserve">Beijing, Budapest, </v>
      </c>
      <c r="C132" t="str">
        <f t="shared" ca="1" si="5"/>
        <v xml:space="preserve">Addis Ababa, Bogotá, Colombo, Delhi, Dhaka, </v>
      </c>
      <c r="E132" cm="1">
        <f t="array" aca="1" ref="E132" ca="1">INDEX(auto_DataFlat_ZScore,E29)</f>
        <v>-1.347</v>
      </c>
      <c r="F132" cm="1">
        <f t="array" aca="1" ref="F132" ca="1">INDEX(auto_DataFlat_ZScore,F29)</f>
        <v>-0.73399999999999999</v>
      </c>
      <c r="G132" cm="1">
        <f t="array" aca="1" ref="G132" ca="1">INDEX(auto_DataFlat_ZScore,G29)</f>
        <v>-0.69199999999999995</v>
      </c>
      <c r="H132" cm="1">
        <f t="array" aca="1" ref="H132" ca="1">INDEX(auto_DataFlat_ZScore,H29)</f>
        <v>-0.78300000000000003</v>
      </c>
      <c r="I132" cm="1">
        <f t="array" aca="1" ref="I132" ca="1">INDEX(auto_DataFlat_ZScore,I29)</f>
        <v>0.49199999999999999</v>
      </c>
      <c r="J132" cm="1">
        <f t="array" aca="1" ref="J132" ca="1">INDEX(auto_DataFlat_ZScore,J29)</f>
        <v>1.7769999999999999</v>
      </c>
      <c r="K132" cm="1">
        <f t="array" aca="1" ref="K132" ca="1">INDEX(auto_DataFlat_ZScore,K29)</f>
        <v>0.77700000000000002</v>
      </c>
      <c r="L132" cm="1">
        <f t="array" aca="1" ref="L132" ca="1">INDEX(auto_DataFlat_ZScore,L29)</f>
        <v>-1.0980000000000001</v>
      </c>
      <c r="M132" cm="1">
        <f t="array" aca="1" ref="M132" ca="1">INDEX(auto_DataFlat_ZScore,M29)</f>
        <v>1.1339999999999999</v>
      </c>
      <c r="N132" cm="1">
        <f t="array" aca="1" ref="N132" ca="1">INDEX(auto_DataFlat_ZScore,N29)</f>
        <v>0.13800000000000001</v>
      </c>
      <c r="O132" cm="1">
        <f t="array" aca="1" ref="O132" ca="1">INDEX(auto_DataFlat_ZScore,O29)</f>
        <v>-1.1379999999999999</v>
      </c>
      <c r="P132" cm="1">
        <f t="array" aca="1" ref="P132" ca="1">INDEX(auto_DataFlat_ZScore,P29)</f>
        <v>-1.046</v>
      </c>
      <c r="Q132" cm="1">
        <f t="array" aca="1" ref="Q132" ca="1">INDEX(auto_DataFlat_ZScore,Q29)</f>
        <v>-1.3149999999999999</v>
      </c>
      <c r="R132" cm="1">
        <f t="array" aca="1" ref="R132" ca="1">INDEX(auto_DataFlat_ZScore,R29)</f>
        <v>-0.71099999999999997</v>
      </c>
      <c r="S132" cm="1">
        <f t="array" aca="1" ref="S132" ca="1">INDEX(auto_DataFlat_ZScore,S29)</f>
        <v>0.73799999999999999</v>
      </c>
      <c r="U132" t="str">
        <f t="shared" ca="1" si="6"/>
        <v/>
      </c>
      <c r="V132" t="str">
        <f t="shared" ca="1" si="7"/>
        <v/>
      </c>
      <c r="W132" t="str">
        <f t="shared" ca="1" si="2"/>
        <v/>
      </c>
      <c r="X132" t="str">
        <f t="shared" ca="1" si="2"/>
        <v/>
      </c>
      <c r="Y132" t="str">
        <f t="shared" ca="1" si="2"/>
        <v/>
      </c>
      <c r="Z132" t="str">
        <f t="shared" ca="1" si="2"/>
        <v xml:space="preserve">Beijing, </v>
      </c>
      <c r="AA132" t="str">
        <f t="shared" ca="1" si="2"/>
        <v/>
      </c>
      <c r="AB132" t="str">
        <f t="shared" ca="1" si="2"/>
        <v/>
      </c>
      <c r="AC132" t="str">
        <f t="shared" ca="1" si="2"/>
        <v xml:space="preserve">Budapest, </v>
      </c>
      <c r="AD132" t="str">
        <f t="shared" ca="1" si="2"/>
        <v/>
      </c>
      <c r="AE132" t="str">
        <f t="shared" ca="1" si="2"/>
        <v/>
      </c>
      <c r="AF132" t="str">
        <f t="shared" ca="1" si="2"/>
        <v/>
      </c>
      <c r="AG132" t="str">
        <f t="shared" ca="1" si="2"/>
        <v/>
      </c>
      <c r="AH132" t="str">
        <f t="shared" ca="1" si="2"/>
        <v/>
      </c>
      <c r="AI132" t="str">
        <f t="shared" ca="1" si="2"/>
        <v/>
      </c>
      <c r="AK132" t="str">
        <f t="shared" ca="1" si="8"/>
        <v xml:space="preserve">Addis Ababa, </v>
      </c>
      <c r="AL132" t="str">
        <f t="shared" ca="1" si="9"/>
        <v/>
      </c>
      <c r="AM132" t="str">
        <f t="shared" ca="1" si="3"/>
        <v/>
      </c>
      <c r="AN132" t="str">
        <f t="shared" ca="1" si="3"/>
        <v/>
      </c>
      <c r="AO132" t="str">
        <f t="shared" ca="1" si="3"/>
        <v/>
      </c>
      <c r="AP132" t="str">
        <f t="shared" ca="1" si="3"/>
        <v/>
      </c>
      <c r="AQ132" t="str">
        <f t="shared" ca="1" si="3"/>
        <v/>
      </c>
      <c r="AR132" t="str">
        <f t="shared" ca="1" si="3"/>
        <v xml:space="preserve">Bogotá, </v>
      </c>
      <c r="AS132" t="str">
        <f t="shared" ca="1" si="3"/>
        <v/>
      </c>
      <c r="AT132" t="str">
        <f t="shared" ca="1" si="3"/>
        <v/>
      </c>
      <c r="AU132" t="str">
        <f t="shared" ca="1" si="3"/>
        <v xml:space="preserve">Colombo, </v>
      </c>
      <c r="AV132" t="str">
        <f t="shared" ca="1" si="3"/>
        <v xml:space="preserve">Delhi, </v>
      </c>
      <c r="AW132" t="str">
        <f t="shared" ca="1" si="3"/>
        <v xml:space="preserve">Dhaka, </v>
      </c>
      <c r="AX132" t="str">
        <f t="shared" ca="1" si="3"/>
        <v/>
      </c>
      <c r="AY132" t="str">
        <f t="shared" ca="1" si="3"/>
        <v/>
      </c>
    </row>
    <row r="133" spans="1:51" x14ac:dyDescent="0.4">
      <c r="A133">
        <v>17</v>
      </c>
      <c r="B133" t="str">
        <f t="shared" ca="1" si="4"/>
        <v xml:space="preserve">Beijing, Berlin, Budapest, </v>
      </c>
      <c r="C133" t="str">
        <f t="shared" ca="1" si="5"/>
        <v xml:space="preserve">Atlanta, Cairo, </v>
      </c>
      <c r="E133" cm="1">
        <f t="array" aca="1" ref="E133" ca="1">INDEX(auto_DataFlat_ZScore,E30)</f>
        <v>-0.184</v>
      </c>
      <c r="F133" cm="1">
        <f t="array" aca="1" ref="F133" ca="1">INDEX(auto_DataFlat_ZScore,F30)</f>
        <v>-0.184</v>
      </c>
      <c r="G133" cm="1">
        <f t="array" aca="1" ref="G133" ca="1">INDEX(auto_DataFlat_ZScore,G30)</f>
        <v>-1.831</v>
      </c>
      <c r="H133" cm="1">
        <f t="array" aca="1" ref="H133" ca="1">INDEX(auto_DataFlat_ZScore,H30)</f>
        <v>-0.184</v>
      </c>
      <c r="I133" cm="1">
        <f t="array" aca="1" ref="I133" ca="1">INDEX(auto_DataFlat_ZScore,I30)</f>
        <v>-0.184</v>
      </c>
      <c r="J133" cm="1">
        <f t="array" aca="1" ref="J133" ca="1">INDEX(auto_DataFlat_ZScore,J30)</f>
        <v>2.17</v>
      </c>
      <c r="K133" cm="1">
        <f t="array" aca="1" ref="K133" ca="1">INDEX(auto_DataFlat_ZScore,K30)</f>
        <v>2.17</v>
      </c>
      <c r="L133" cm="1">
        <f t="array" aca="1" ref="L133" ca="1">INDEX(auto_DataFlat_ZScore,L30)</f>
        <v>-0.184</v>
      </c>
      <c r="M133" cm="1">
        <f t="array" aca="1" ref="M133" ca="1">INDEX(auto_DataFlat_ZScore,M30)</f>
        <v>2.17</v>
      </c>
      <c r="N133" cm="1">
        <f t="array" aca="1" ref="N133" ca="1">INDEX(auto_DataFlat_ZScore,N30)</f>
        <v>-2.0659999999999998</v>
      </c>
      <c r="O133" cm="1">
        <f t="array" aca="1" ref="O133" ca="1">INDEX(auto_DataFlat_ZScore,O30)</f>
        <v>-0.184</v>
      </c>
      <c r="P133" cm="1">
        <f t="array" aca="1" ref="P133" ca="1">INDEX(auto_DataFlat_ZScore,P30)</f>
        <v>-0.184</v>
      </c>
      <c r="Q133" cm="1">
        <f t="array" aca="1" ref="Q133" ca="1">INDEX(auto_DataFlat_ZScore,Q30)</f>
        <v>-0.184</v>
      </c>
      <c r="R133" cm="1">
        <f t="array" aca="1" ref="R133" ca="1">INDEX(auto_DataFlat_ZScore,R30)</f>
        <v>-0.184</v>
      </c>
      <c r="S133" cm="1">
        <f t="array" aca="1" ref="S133" ca="1">INDEX(auto_DataFlat_ZScore,S30)</f>
        <v>-0.184</v>
      </c>
      <c r="U133" t="str">
        <f t="shared" ca="1" si="6"/>
        <v/>
      </c>
      <c r="V133" t="str">
        <f t="shared" ca="1" si="7"/>
        <v/>
      </c>
      <c r="W133" t="str">
        <f t="shared" ref="W133:W145" ca="1" si="10">IF(G133&gt;=$U$114,G$115,"")</f>
        <v/>
      </c>
      <c r="X133" t="str">
        <f t="shared" ref="X133:X145" ca="1" si="11">IF(H133&gt;=$U$114,H$115,"")</f>
        <v/>
      </c>
      <c r="Y133" t="str">
        <f t="shared" ref="Y133:Y145" ca="1" si="12">IF(I133&gt;=$U$114,I$115,"")</f>
        <v/>
      </c>
      <c r="Z133" t="str">
        <f t="shared" ref="Z133:Z145" ca="1" si="13">IF(J133&gt;=$U$114,J$115,"")</f>
        <v xml:space="preserve">Beijing, </v>
      </c>
      <c r="AA133" t="str">
        <f t="shared" ref="AA133:AA145" ca="1" si="14">IF(K133&gt;=$U$114,K$115,"")</f>
        <v xml:space="preserve">Berlin, </v>
      </c>
      <c r="AB133" t="str">
        <f t="shared" ref="AB133:AB145" ca="1" si="15">IF(L133&gt;=$U$114,L$115,"")</f>
        <v/>
      </c>
      <c r="AC133" t="str">
        <f t="shared" ref="AC133:AC145" ca="1" si="16">IF(M133&gt;=$U$114,M$115,"")</f>
        <v xml:space="preserve">Budapest, </v>
      </c>
      <c r="AD133" t="str">
        <f t="shared" ref="AD133:AD145" ca="1" si="17">IF(N133&gt;=$U$114,N$115,"")</f>
        <v/>
      </c>
      <c r="AE133" t="str">
        <f t="shared" ref="AE133:AE145" ca="1" si="18">IF(O133&gt;=$U$114,O$115,"")</f>
        <v/>
      </c>
      <c r="AF133" t="str">
        <f t="shared" ref="AF133:AF145" ca="1" si="19">IF(P133&gt;=$U$114,P$115,"")</f>
        <v/>
      </c>
      <c r="AG133" t="str">
        <f t="shared" ref="AG133:AG145" ca="1" si="20">IF(Q133&gt;=$U$114,Q$115,"")</f>
        <v/>
      </c>
      <c r="AH133" t="str">
        <f t="shared" ref="AH133:AH145" ca="1" si="21">IF(R133&gt;=$U$114,R$115,"")</f>
        <v/>
      </c>
      <c r="AI133" t="str">
        <f t="shared" ref="AI133:AI145" ca="1" si="22">IF(S133&gt;=$U$114,S$115,"")</f>
        <v/>
      </c>
      <c r="AK133" t="str">
        <f t="shared" ca="1" si="8"/>
        <v/>
      </c>
      <c r="AL133" t="str">
        <f t="shared" ca="1" si="9"/>
        <v/>
      </c>
      <c r="AM133" t="str">
        <f t="shared" ref="AM133:AM145" ca="1" si="23">IF(G133&lt;=$AK$114,G$115,"")</f>
        <v xml:space="preserve">Atlanta, </v>
      </c>
      <c r="AN133" t="str">
        <f t="shared" ref="AN133:AN145" ca="1" si="24">IF(H133&lt;=$AK$114,H$115,"")</f>
        <v/>
      </c>
      <c r="AO133" t="str">
        <f t="shared" ref="AO133:AO145" ca="1" si="25">IF(I133&lt;=$AK$114,I$115,"")</f>
        <v/>
      </c>
      <c r="AP133" t="str">
        <f t="shared" ref="AP133:AP145" ca="1" si="26">IF(J133&lt;=$AK$114,J$115,"")</f>
        <v/>
      </c>
      <c r="AQ133" t="str">
        <f t="shared" ref="AQ133:AQ145" ca="1" si="27">IF(K133&lt;=$AK$114,K$115,"")</f>
        <v/>
      </c>
      <c r="AR133" t="str">
        <f t="shared" ref="AR133:AR145" ca="1" si="28">IF(L133&lt;=$AK$114,L$115,"")</f>
        <v/>
      </c>
      <c r="AS133" t="str">
        <f t="shared" ref="AS133:AS145" ca="1" si="29">IF(M133&lt;=$AK$114,M$115,"")</f>
        <v/>
      </c>
      <c r="AT133" t="str">
        <f t="shared" ref="AT133:AT145" ca="1" si="30">IF(N133&lt;=$AK$114,N$115,"")</f>
        <v xml:space="preserve">Cairo, </v>
      </c>
      <c r="AU133" t="str">
        <f t="shared" ref="AU133:AU145" ca="1" si="31">IF(O133&lt;=$AK$114,O$115,"")</f>
        <v/>
      </c>
      <c r="AV133" t="str">
        <f t="shared" ref="AV133:AV145" ca="1" si="32">IF(P133&lt;=$AK$114,P$115,"")</f>
        <v/>
      </c>
      <c r="AW133" t="str">
        <f t="shared" ref="AW133:AW145" ca="1" si="33">IF(Q133&lt;=$AK$114,Q$115,"")</f>
        <v/>
      </c>
      <c r="AX133" t="str">
        <f t="shared" ref="AX133:AX145" ca="1" si="34">IF(R133&lt;=$AK$114,R$115,"")</f>
        <v/>
      </c>
      <c r="AY133" t="str">
        <f t="shared" ref="AY133:AY145" ca="1" si="35">IF(S133&lt;=$AK$114,S$115,"")</f>
        <v/>
      </c>
    </row>
    <row r="134" spans="1:51" x14ac:dyDescent="0.4">
      <c r="A134">
        <v>18</v>
      </c>
      <c r="B134" t="str">
        <f t="shared" ca="1" si="4"/>
        <v xml:space="preserve">Bangkok, Beijing, Helsinki, </v>
      </c>
      <c r="C134" t="str">
        <f t="shared" ca="1" si="5"/>
        <v xml:space="preserve">Algiers, Cairo, Delhi, </v>
      </c>
      <c r="E134" cm="1">
        <f t="array" aca="1" ref="E134" ca="1">INDEX(auto_DataFlat_ZScore,E31)</f>
        <v>-0.71099999999999997</v>
      </c>
      <c r="F134" cm="1">
        <f t="array" aca="1" ref="F134" ca="1">INDEX(auto_DataFlat_ZScore,F31)</f>
        <v>-1.087</v>
      </c>
      <c r="G134" cm="1">
        <f t="array" aca="1" ref="G134" ca="1">INDEX(auto_DataFlat_ZScore,G31)</f>
        <v>0.78300000000000003</v>
      </c>
      <c r="H134" cm="1">
        <f t="array" aca="1" ref="H134" ca="1">INDEX(auto_DataFlat_ZScore,H31)</f>
        <v>0.73499999999999999</v>
      </c>
      <c r="I134" cm="1">
        <f t="array" aca="1" ref="I134" ca="1">INDEX(auto_DataFlat_ZScore,I31)</f>
        <v>1.091</v>
      </c>
      <c r="J134" cm="1">
        <f t="array" aca="1" ref="J134" ca="1">INDEX(auto_DataFlat_ZScore,J31)</f>
        <v>1.298</v>
      </c>
      <c r="K134" cm="1">
        <f t="array" aca="1" ref="K134" ca="1">INDEX(auto_DataFlat_ZScore,K31)</f>
        <v>0.73899999999999999</v>
      </c>
      <c r="L134" cm="1">
        <f t="array" aca="1" ref="L134" ca="1">INDEX(auto_DataFlat_ZScore,L31)</f>
        <v>0.70299999999999996</v>
      </c>
      <c r="M134" cm="1">
        <f t="array" aca="1" ref="M134" ca="1">INDEX(auto_DataFlat_ZScore,M31)</f>
        <v>0.81100000000000005</v>
      </c>
      <c r="N134" cm="1">
        <f t="array" aca="1" ref="N134" ca="1">INDEX(auto_DataFlat_ZScore,N31)</f>
        <v>-1.0349999999999999</v>
      </c>
      <c r="O134" cm="1">
        <f t="array" aca="1" ref="O134" ca="1">INDEX(auto_DataFlat_ZScore,O31)</f>
        <v>-0.995</v>
      </c>
      <c r="P134" cm="1">
        <f t="array" aca="1" ref="P134" ca="1">INDEX(auto_DataFlat_ZScore,P31)</f>
        <v>-1.095</v>
      </c>
      <c r="Q134" cm="1">
        <f t="array" aca="1" ref="Q134" ca="1">INDEX(auto_DataFlat_ZScore,Q31)</f>
        <v>-0.97099999999999997</v>
      </c>
      <c r="R134" cm="1">
        <f t="array" aca="1" ref="R134" ca="1">INDEX(auto_DataFlat_ZScore,R31)</f>
        <v>0.755</v>
      </c>
      <c r="S134" cm="1">
        <f t="array" aca="1" ref="S134" ca="1">INDEX(auto_DataFlat_ZScore,S31)</f>
        <v>1.25</v>
      </c>
      <c r="U134" t="str">
        <f t="shared" ca="1" si="6"/>
        <v/>
      </c>
      <c r="V134" t="str">
        <f t="shared" ca="1" si="7"/>
        <v/>
      </c>
      <c r="W134" t="str">
        <f t="shared" ca="1" si="10"/>
        <v/>
      </c>
      <c r="X134" t="str">
        <f t="shared" ca="1" si="11"/>
        <v/>
      </c>
      <c r="Y134" t="str">
        <f t="shared" ca="1" si="12"/>
        <v xml:space="preserve">Bangkok, </v>
      </c>
      <c r="Z134" t="str">
        <f t="shared" ca="1" si="13"/>
        <v xml:space="preserve">Beijing, </v>
      </c>
      <c r="AA134" t="str">
        <f t="shared" ca="1" si="14"/>
        <v/>
      </c>
      <c r="AB134" t="str">
        <f t="shared" ca="1" si="15"/>
        <v/>
      </c>
      <c r="AC134" t="str">
        <f t="shared" ca="1" si="16"/>
        <v/>
      </c>
      <c r="AD134" t="str">
        <f t="shared" ca="1" si="17"/>
        <v/>
      </c>
      <c r="AE134" t="str">
        <f t="shared" ca="1" si="18"/>
        <v/>
      </c>
      <c r="AF134" t="str">
        <f t="shared" ca="1" si="19"/>
        <v/>
      </c>
      <c r="AG134" t="str">
        <f t="shared" ca="1" si="20"/>
        <v/>
      </c>
      <c r="AH134" t="str">
        <f t="shared" ca="1" si="21"/>
        <v/>
      </c>
      <c r="AI134" t="str">
        <f t="shared" ca="1" si="22"/>
        <v xml:space="preserve">Helsinki, </v>
      </c>
      <c r="AK134" t="str">
        <f t="shared" ca="1" si="8"/>
        <v/>
      </c>
      <c r="AL134" t="str">
        <f t="shared" ca="1" si="9"/>
        <v xml:space="preserve">Algiers, </v>
      </c>
      <c r="AM134" t="str">
        <f t="shared" ca="1" si="23"/>
        <v/>
      </c>
      <c r="AN134" t="str">
        <f t="shared" ca="1" si="24"/>
        <v/>
      </c>
      <c r="AO134" t="str">
        <f t="shared" ca="1" si="25"/>
        <v/>
      </c>
      <c r="AP134" t="str">
        <f t="shared" ca="1" si="26"/>
        <v/>
      </c>
      <c r="AQ134" t="str">
        <f t="shared" ca="1" si="27"/>
        <v/>
      </c>
      <c r="AR134" t="str">
        <f t="shared" ca="1" si="28"/>
        <v/>
      </c>
      <c r="AS134" t="str">
        <f t="shared" ca="1" si="29"/>
        <v/>
      </c>
      <c r="AT134" t="str">
        <f t="shared" ca="1" si="30"/>
        <v xml:space="preserve">Cairo, </v>
      </c>
      <c r="AU134" t="str">
        <f t="shared" ca="1" si="31"/>
        <v/>
      </c>
      <c r="AV134" t="str">
        <f t="shared" ca="1" si="32"/>
        <v xml:space="preserve">Delhi, </v>
      </c>
      <c r="AW134" t="str">
        <f t="shared" ca="1" si="33"/>
        <v/>
      </c>
      <c r="AX134" t="str">
        <f t="shared" ca="1" si="34"/>
        <v/>
      </c>
      <c r="AY134" t="str">
        <f t="shared" ca="1" si="35"/>
        <v/>
      </c>
    </row>
    <row r="135" spans="1:51" x14ac:dyDescent="0.4">
      <c r="A135">
        <v>19</v>
      </c>
      <c r="B135" t="str">
        <f t="shared" ca="1" si="4"/>
        <v xml:space="preserve">Algiers, Dhaka, Helsinki, </v>
      </c>
      <c r="C135" t="str">
        <f t="shared" ca="1" si="5"/>
        <v xml:space="preserve">Berlin, Bogotá, Colombo, </v>
      </c>
      <c r="E135" cm="1">
        <f t="array" aca="1" ref="E135" ca="1">INDEX(auto_DataFlat_ZScore,E32)</f>
        <v>-9.5000000000000001E-2</v>
      </c>
      <c r="F135" cm="1">
        <f t="array" aca="1" ref="F135" ca="1">INDEX(auto_DataFlat_ZScore,F32)</f>
        <v>1.06</v>
      </c>
      <c r="G135" cm="1">
        <f t="array" aca="1" ref="G135" ca="1">INDEX(auto_DataFlat_ZScore,G32)</f>
        <v>-0.21299999999999999</v>
      </c>
      <c r="H135" cm="1">
        <f t="array" aca="1" ref="H135" ca="1">INDEX(auto_DataFlat_ZScore,H32)</f>
        <v>-0.191</v>
      </c>
      <c r="I135" cm="1">
        <f t="array" aca="1" ref="I135" ca="1">INDEX(auto_DataFlat_ZScore,I32)</f>
        <v>-0.14599999999999999</v>
      </c>
      <c r="J135" cm="1">
        <f t="array" aca="1" ref="J135" ca="1">INDEX(auto_DataFlat_ZScore,J32)</f>
        <v>-0.09</v>
      </c>
      <c r="K135" cm="1">
        <f t="array" aca="1" ref="K135" ca="1">INDEX(auto_DataFlat_ZScore,K32)</f>
        <v>-1.5589999999999999</v>
      </c>
      <c r="L135" cm="1">
        <f t="array" aca="1" ref="L135" ca="1">INDEX(auto_DataFlat_ZScore,L32)</f>
        <v>-1.599</v>
      </c>
      <c r="M135" cm="1">
        <f t="array" aca="1" ref="M135" ca="1">INDEX(auto_DataFlat_ZScore,M32)</f>
        <v>-0.67900000000000005</v>
      </c>
      <c r="N135" cm="1">
        <f t="array" aca="1" ref="N135" ca="1">INDEX(auto_DataFlat_ZScore,N32)</f>
        <v>-0.39800000000000002</v>
      </c>
      <c r="O135" cm="1">
        <f t="array" aca="1" ref="O135" ca="1">INDEX(auto_DataFlat_ZScore,O32)</f>
        <v>-1.728</v>
      </c>
      <c r="P135" cm="1">
        <f t="array" aca="1" ref="P135" ca="1">INDEX(auto_DataFlat_ZScore,P32)</f>
        <v>-0.19600000000000001</v>
      </c>
      <c r="Q135" cm="1">
        <f t="array" aca="1" ref="Q135" ca="1">INDEX(auto_DataFlat_ZScore,Q32)</f>
        <v>1.268</v>
      </c>
      <c r="R135" cm="1">
        <f t="array" aca="1" ref="R135" ca="1">INDEX(auto_DataFlat_ZScore,R32)</f>
        <v>0.91400000000000003</v>
      </c>
      <c r="S135" cm="1">
        <f t="array" aca="1" ref="S135" ca="1">INDEX(auto_DataFlat_ZScore,S32)</f>
        <v>1.071</v>
      </c>
      <c r="U135" t="str">
        <f t="shared" ca="1" si="6"/>
        <v/>
      </c>
      <c r="V135" t="str">
        <f t="shared" ca="1" si="7"/>
        <v xml:space="preserve">Algiers, </v>
      </c>
      <c r="W135" t="str">
        <f t="shared" ca="1" si="10"/>
        <v/>
      </c>
      <c r="X135" t="str">
        <f t="shared" ca="1" si="11"/>
        <v/>
      </c>
      <c r="Y135" t="str">
        <f t="shared" ca="1" si="12"/>
        <v/>
      </c>
      <c r="Z135" t="str">
        <f t="shared" ca="1" si="13"/>
        <v/>
      </c>
      <c r="AA135" t="str">
        <f t="shared" ca="1" si="14"/>
        <v/>
      </c>
      <c r="AB135" t="str">
        <f t="shared" ca="1" si="15"/>
        <v/>
      </c>
      <c r="AC135" t="str">
        <f t="shared" ca="1" si="16"/>
        <v/>
      </c>
      <c r="AD135" t="str">
        <f t="shared" ca="1" si="17"/>
        <v/>
      </c>
      <c r="AE135" t="str">
        <f t="shared" ca="1" si="18"/>
        <v/>
      </c>
      <c r="AF135" t="str">
        <f t="shared" ca="1" si="19"/>
        <v/>
      </c>
      <c r="AG135" t="str">
        <f t="shared" ca="1" si="20"/>
        <v xml:space="preserve">Dhaka, </v>
      </c>
      <c r="AH135" t="str">
        <f t="shared" ca="1" si="21"/>
        <v/>
      </c>
      <c r="AI135" t="str">
        <f t="shared" ca="1" si="22"/>
        <v xml:space="preserve">Helsinki, </v>
      </c>
      <c r="AK135" t="str">
        <f t="shared" ca="1" si="8"/>
        <v/>
      </c>
      <c r="AL135" t="str">
        <f t="shared" ca="1" si="9"/>
        <v/>
      </c>
      <c r="AM135" t="str">
        <f t="shared" ca="1" si="23"/>
        <v/>
      </c>
      <c r="AN135" t="str">
        <f t="shared" ca="1" si="24"/>
        <v/>
      </c>
      <c r="AO135" t="str">
        <f t="shared" ca="1" si="25"/>
        <v/>
      </c>
      <c r="AP135" t="str">
        <f t="shared" ca="1" si="26"/>
        <v/>
      </c>
      <c r="AQ135" t="str">
        <f t="shared" ca="1" si="27"/>
        <v xml:space="preserve">Berlin, </v>
      </c>
      <c r="AR135" t="str">
        <f t="shared" ca="1" si="28"/>
        <v xml:space="preserve">Bogotá, </v>
      </c>
      <c r="AS135" t="str">
        <f t="shared" ca="1" si="29"/>
        <v/>
      </c>
      <c r="AT135" t="str">
        <f t="shared" ca="1" si="30"/>
        <v/>
      </c>
      <c r="AU135" t="str">
        <f t="shared" ca="1" si="31"/>
        <v xml:space="preserve">Colombo, </v>
      </c>
      <c r="AV135" t="str">
        <f t="shared" ca="1" si="32"/>
        <v/>
      </c>
      <c r="AW135" t="str">
        <f t="shared" ca="1" si="33"/>
        <v/>
      </c>
      <c r="AX135" t="str">
        <f t="shared" ca="1" si="34"/>
        <v/>
      </c>
      <c r="AY135" t="str">
        <f t="shared" ca="1" si="35"/>
        <v/>
      </c>
    </row>
    <row r="136" spans="1:51" x14ac:dyDescent="0.4">
      <c r="A136">
        <v>20</v>
      </c>
      <c r="B136" t="str">
        <f t="shared" ca="1" si="4"/>
        <v/>
      </c>
      <c r="C136" t="str">
        <f t="shared" ca="1" si="5"/>
        <v xml:space="preserve">Addis Ababa, Algiers, Cairo, Colombo, Dhaka, </v>
      </c>
      <c r="E136" cm="1">
        <f t="array" aca="1" ref="E136" ca="1">INDEX(auto_DataFlat_ZScore,E33)</f>
        <v>-1.3029999999999999</v>
      </c>
      <c r="F136" cm="1">
        <f t="array" aca="1" ref="F136" ca="1">INDEX(auto_DataFlat_ZScore,F33)</f>
        <v>-1.3680000000000001</v>
      </c>
      <c r="G136" cm="1">
        <f t="array" aca="1" ref="G136" ca="1">INDEX(auto_DataFlat_ZScore,G33)</f>
        <v>0.69199999999999995</v>
      </c>
      <c r="H136" cm="1">
        <f t="array" aca="1" ref="H136" ca="1">INDEX(auto_DataFlat_ZScore,H33)</f>
        <v>0.76500000000000001</v>
      </c>
      <c r="I136" cm="1">
        <f t="array" aca="1" ref="I136" ca="1">INDEX(auto_DataFlat_ZScore,I33)</f>
        <v>0.80900000000000005</v>
      </c>
      <c r="J136" cm="1">
        <f t="array" aca="1" ref="J136" ca="1">INDEX(auto_DataFlat_ZScore,J33)</f>
        <v>0.80900000000000005</v>
      </c>
      <c r="K136" cm="1">
        <f t="array" aca="1" ref="K136" ca="1">INDEX(auto_DataFlat_ZScore,K33)</f>
        <v>0.75700000000000001</v>
      </c>
      <c r="L136" cm="1">
        <f t="array" aca="1" ref="L136" ca="1">INDEX(auto_DataFlat_ZScore,L33)</f>
        <v>0.65600000000000003</v>
      </c>
      <c r="M136" cm="1">
        <f t="array" aca="1" ref="M136" ca="1">INDEX(auto_DataFlat_ZScore,M33)</f>
        <v>0.77700000000000002</v>
      </c>
      <c r="N136" cm="1">
        <f t="array" aca="1" ref="N136" ca="1">INDEX(auto_DataFlat_ZScore,N33)</f>
        <v>-1.3680000000000001</v>
      </c>
      <c r="O136" cm="1">
        <f t="array" aca="1" ref="O136" ca="1">INDEX(auto_DataFlat_ZScore,O33)</f>
        <v>-1.2669999999999999</v>
      </c>
      <c r="P136" cm="1">
        <f t="array" aca="1" ref="P136" ca="1">INDEX(auto_DataFlat_ZScore,P33)</f>
        <v>0.69599999999999995</v>
      </c>
      <c r="Q136" cm="1">
        <f t="array" aca="1" ref="Q136" ca="1">INDEX(auto_DataFlat_ZScore,Q33)</f>
        <v>-1.534</v>
      </c>
      <c r="R136" cm="1">
        <f t="array" aca="1" ref="R136" ca="1">INDEX(auto_DataFlat_ZScore,R33)</f>
        <v>0.67600000000000005</v>
      </c>
      <c r="S136" cm="1">
        <f t="array" aca="1" ref="S136" ca="1">INDEX(auto_DataFlat_ZScore,S33)</f>
        <v>0.76500000000000001</v>
      </c>
      <c r="U136" t="str">
        <f t="shared" ca="1" si="6"/>
        <v/>
      </c>
      <c r="V136" t="str">
        <f t="shared" ca="1" si="7"/>
        <v/>
      </c>
      <c r="W136" t="str">
        <f t="shared" ca="1" si="10"/>
        <v/>
      </c>
      <c r="X136" t="str">
        <f t="shared" ca="1" si="11"/>
        <v/>
      </c>
      <c r="Y136" t="str">
        <f t="shared" ca="1" si="12"/>
        <v/>
      </c>
      <c r="Z136" t="str">
        <f t="shared" ca="1" si="13"/>
        <v/>
      </c>
      <c r="AA136" t="str">
        <f t="shared" ca="1" si="14"/>
        <v/>
      </c>
      <c r="AB136" t="str">
        <f t="shared" ca="1" si="15"/>
        <v/>
      </c>
      <c r="AC136" t="str">
        <f t="shared" ca="1" si="16"/>
        <v/>
      </c>
      <c r="AD136" t="str">
        <f t="shared" ca="1" si="17"/>
        <v/>
      </c>
      <c r="AE136" t="str">
        <f t="shared" ca="1" si="18"/>
        <v/>
      </c>
      <c r="AF136" t="str">
        <f t="shared" ca="1" si="19"/>
        <v/>
      </c>
      <c r="AG136" t="str">
        <f t="shared" ca="1" si="20"/>
        <v/>
      </c>
      <c r="AH136" t="str">
        <f t="shared" ca="1" si="21"/>
        <v/>
      </c>
      <c r="AI136" t="str">
        <f t="shared" ca="1" si="22"/>
        <v/>
      </c>
      <c r="AK136" t="str">
        <f t="shared" ca="1" si="8"/>
        <v xml:space="preserve">Addis Ababa, </v>
      </c>
      <c r="AL136" t="str">
        <f t="shared" ca="1" si="9"/>
        <v xml:space="preserve">Algiers, </v>
      </c>
      <c r="AM136" t="str">
        <f t="shared" ca="1" si="23"/>
        <v/>
      </c>
      <c r="AN136" t="str">
        <f t="shared" ca="1" si="24"/>
        <v/>
      </c>
      <c r="AO136" t="str">
        <f t="shared" ca="1" si="25"/>
        <v/>
      </c>
      <c r="AP136" t="str">
        <f t="shared" ca="1" si="26"/>
        <v/>
      </c>
      <c r="AQ136" t="str">
        <f t="shared" ca="1" si="27"/>
        <v/>
      </c>
      <c r="AR136" t="str">
        <f t="shared" ca="1" si="28"/>
        <v/>
      </c>
      <c r="AS136" t="str">
        <f t="shared" ca="1" si="29"/>
        <v/>
      </c>
      <c r="AT136" t="str">
        <f t="shared" ca="1" si="30"/>
        <v xml:space="preserve">Cairo, </v>
      </c>
      <c r="AU136" t="str">
        <f t="shared" ca="1" si="31"/>
        <v xml:space="preserve">Colombo, </v>
      </c>
      <c r="AV136" t="str">
        <f t="shared" ca="1" si="32"/>
        <v/>
      </c>
      <c r="AW136" t="str">
        <f t="shared" ca="1" si="33"/>
        <v xml:space="preserve">Dhaka, </v>
      </c>
      <c r="AX136" t="str">
        <f t="shared" ca="1" si="34"/>
        <v/>
      </c>
      <c r="AY136" t="str">
        <f t="shared" ca="1" si="35"/>
        <v/>
      </c>
    </row>
    <row r="137" spans="1:51" x14ac:dyDescent="0.4">
      <c r="A137">
        <v>21</v>
      </c>
      <c r="B137" t="str">
        <f t="shared" ca="1" si="4"/>
        <v xml:space="preserve">Addis Ababa, </v>
      </c>
      <c r="C137" t="str">
        <f t="shared" ca="1" si="5"/>
        <v xml:space="preserve">Algiers, Dhaka, </v>
      </c>
      <c r="E137" cm="1">
        <f t="array" aca="1" ref="E137" ca="1">INDEX(auto_DataFlat_ZScore,E34)</f>
        <v>1.387</v>
      </c>
      <c r="F137" cm="1">
        <f t="array" aca="1" ref="F137" ca="1">INDEX(auto_DataFlat_ZScore,F34)</f>
        <v>-1.825</v>
      </c>
      <c r="G137" cm="1">
        <f t="array" aca="1" ref="G137" ca="1">INDEX(auto_DataFlat_ZScore,G34)</f>
        <v>3.9E-2</v>
      </c>
      <c r="H137" cm="1">
        <f t="array" aca="1" ref="H137" ca="1">INDEX(auto_DataFlat_ZScore,H34)</f>
        <v>0.14899999999999999</v>
      </c>
      <c r="I137" cm="1">
        <f t="array" aca="1" ref="I137" ca="1">INDEX(auto_DataFlat_ZScore,I34)</f>
        <v>0.626</v>
      </c>
      <c r="J137" cm="1">
        <f t="array" aca="1" ref="J137" ca="1">INDEX(auto_DataFlat_ZScore,J34)</f>
        <v>0.80500000000000005</v>
      </c>
      <c r="K137" cm="1">
        <f t="array" aca="1" ref="K137" ca="1">INDEX(auto_DataFlat_ZScore,K34)</f>
        <v>0.44600000000000001</v>
      </c>
      <c r="L137" cm="1">
        <f t="array" aca="1" ref="L137" ca="1">INDEX(auto_DataFlat_ZScore,L34)</f>
        <v>0.315</v>
      </c>
      <c r="M137" cm="1">
        <f t="array" aca="1" ref="M137" ca="1">INDEX(auto_DataFlat_ZScore,M34)</f>
        <v>0.26300000000000001</v>
      </c>
      <c r="N137" cm="1">
        <f t="array" aca="1" ref="N137" ca="1">INDEX(auto_DataFlat_ZScore,N34)</f>
        <v>1.7999999999999999E-2</v>
      </c>
      <c r="O137" cm="1">
        <f t="array" aca="1" ref="O137" ca="1">INDEX(auto_DataFlat_ZScore,O34)</f>
        <v>0.77500000000000002</v>
      </c>
      <c r="P137" cm="1">
        <f t="array" aca="1" ref="P137" ca="1">INDEX(auto_DataFlat_ZScore,P34)</f>
        <v>0.98</v>
      </c>
      <c r="Q137" cm="1">
        <f t="array" aca="1" ref="Q137" ca="1">INDEX(auto_DataFlat_ZScore,Q34)</f>
        <v>-1.155</v>
      </c>
      <c r="R137" cm="1">
        <f t="array" aca="1" ref="R137" ca="1">INDEX(auto_DataFlat_ZScore,R34)</f>
        <v>6.0999999999999999E-2</v>
      </c>
      <c r="S137" cm="1">
        <f t="array" aca="1" ref="S137" ca="1">INDEX(auto_DataFlat_ZScore,S34)</f>
        <v>0.41599999999999998</v>
      </c>
      <c r="U137" t="str">
        <f t="shared" ca="1" si="6"/>
        <v xml:space="preserve">Addis Ababa, </v>
      </c>
      <c r="V137" t="str">
        <f t="shared" ca="1" si="7"/>
        <v/>
      </c>
      <c r="W137" t="str">
        <f t="shared" ca="1" si="10"/>
        <v/>
      </c>
      <c r="X137" t="str">
        <f t="shared" ca="1" si="11"/>
        <v/>
      </c>
      <c r="Y137" t="str">
        <f t="shared" ca="1" si="12"/>
        <v/>
      </c>
      <c r="Z137" t="str">
        <f t="shared" ca="1" si="13"/>
        <v/>
      </c>
      <c r="AA137" t="str">
        <f t="shared" ca="1" si="14"/>
        <v/>
      </c>
      <c r="AB137" t="str">
        <f t="shared" ca="1" si="15"/>
        <v/>
      </c>
      <c r="AC137" t="str">
        <f t="shared" ca="1" si="16"/>
        <v/>
      </c>
      <c r="AD137" t="str">
        <f t="shared" ca="1" si="17"/>
        <v/>
      </c>
      <c r="AE137" t="str">
        <f t="shared" ca="1" si="18"/>
        <v/>
      </c>
      <c r="AF137" t="str">
        <f t="shared" ca="1" si="19"/>
        <v/>
      </c>
      <c r="AG137" t="str">
        <f t="shared" ca="1" si="20"/>
        <v/>
      </c>
      <c r="AH137" t="str">
        <f t="shared" ca="1" si="21"/>
        <v/>
      </c>
      <c r="AI137" t="str">
        <f t="shared" ca="1" si="22"/>
        <v/>
      </c>
      <c r="AK137" t="str">
        <f t="shared" ca="1" si="8"/>
        <v/>
      </c>
      <c r="AL137" t="str">
        <f t="shared" ca="1" si="9"/>
        <v xml:space="preserve">Algiers, </v>
      </c>
      <c r="AM137" t="str">
        <f t="shared" ca="1" si="23"/>
        <v/>
      </c>
      <c r="AN137" t="str">
        <f t="shared" ca="1" si="24"/>
        <v/>
      </c>
      <c r="AO137" t="str">
        <f t="shared" ca="1" si="25"/>
        <v/>
      </c>
      <c r="AP137" t="str">
        <f t="shared" ca="1" si="26"/>
        <v/>
      </c>
      <c r="AQ137" t="str">
        <f t="shared" ca="1" si="27"/>
        <v/>
      </c>
      <c r="AR137" t="str">
        <f t="shared" ca="1" si="28"/>
        <v/>
      </c>
      <c r="AS137" t="str">
        <f t="shared" ca="1" si="29"/>
        <v/>
      </c>
      <c r="AT137" t="str">
        <f t="shared" ca="1" si="30"/>
        <v/>
      </c>
      <c r="AU137" t="str">
        <f t="shared" ca="1" si="31"/>
        <v/>
      </c>
      <c r="AV137" t="str">
        <f t="shared" ca="1" si="32"/>
        <v/>
      </c>
      <c r="AW137" t="str">
        <f t="shared" ca="1" si="33"/>
        <v xml:space="preserve">Dhaka, </v>
      </c>
      <c r="AX137" t="str">
        <f t="shared" ca="1" si="34"/>
        <v/>
      </c>
      <c r="AY137" t="str">
        <f t="shared" ca="1" si="35"/>
        <v/>
      </c>
    </row>
    <row r="138" spans="1:51" x14ac:dyDescent="0.4">
      <c r="A138">
        <v>22</v>
      </c>
      <c r="B138" t="str">
        <f t="shared" ca="1" si="4"/>
        <v xml:space="preserve">Atlanta, Bangkok, Helsinki, </v>
      </c>
      <c r="C138" t="str">
        <f t="shared" ca="1" si="5"/>
        <v/>
      </c>
      <c r="E138" cm="1">
        <f t="array" aca="1" ref="E138" ca="1">INDEX(auto_DataFlat_ZScore,E35)</f>
        <v>-6.4000000000000001E-2</v>
      </c>
      <c r="F138" cm="1">
        <f t="array" aca="1" ref="F138" ca="1">INDEX(auto_DataFlat_ZScore,F35)</f>
        <v>-0.46</v>
      </c>
      <c r="G138" cm="1">
        <f t="array" aca="1" ref="G138" ca="1">INDEX(auto_DataFlat_ZScore,G35)</f>
        <v>1.984</v>
      </c>
      <c r="H138" cm="1">
        <f t="array" aca="1" ref="H138" ca="1">INDEX(auto_DataFlat_ZScore,H35)</f>
        <v>-0.76400000000000001</v>
      </c>
      <c r="I138" cm="1">
        <f t="array" aca="1" ref="I138" ca="1">INDEX(auto_DataFlat_ZScore,I35)</f>
        <v>1.724</v>
      </c>
      <c r="J138" cm="1">
        <f t="array" aca="1" ref="J138" ca="1">INDEX(auto_DataFlat_ZScore,J35)</f>
        <v>-0.48</v>
      </c>
      <c r="K138" cm="1">
        <f t="array" aca="1" ref="K138" ca="1">INDEX(auto_DataFlat_ZScore,K35)</f>
        <v>-0.75900000000000001</v>
      </c>
      <c r="L138" cm="1">
        <f t="array" aca="1" ref="L138" ca="1">INDEX(auto_DataFlat_ZScore,L35)</f>
        <v>-0.61699999999999999</v>
      </c>
      <c r="M138" cm="1">
        <f t="array" aca="1" ref="M138" ca="1">INDEX(auto_DataFlat_ZScore,M35)</f>
        <v>-0.67600000000000005</v>
      </c>
      <c r="N138" cm="1">
        <f t="array" aca="1" ref="N138" ca="1">INDEX(auto_DataFlat_ZScore,N35)</f>
        <v>-0.50900000000000001</v>
      </c>
      <c r="O138" cm="1">
        <f t="array" aca="1" ref="O138" ca="1">INDEX(auto_DataFlat_ZScore,O35)</f>
        <v>-0.69599999999999995</v>
      </c>
      <c r="P138" cm="1">
        <f t="array" aca="1" ref="P138" ca="1">INDEX(auto_DataFlat_ZScore,P35)</f>
        <v>-0.29399999999999998</v>
      </c>
      <c r="Q138" cm="1">
        <f t="array" aca="1" ref="Q138" ca="1">INDEX(auto_DataFlat_ZScore,Q35)</f>
        <v>-0.14699999999999999</v>
      </c>
      <c r="R138" cm="1">
        <f t="array" aca="1" ref="R138" ca="1">INDEX(auto_DataFlat_ZScore,R35)</f>
        <v>-0.77900000000000003</v>
      </c>
      <c r="S138" cm="1">
        <f t="array" aca="1" ref="S138" ca="1">INDEX(auto_DataFlat_ZScore,S35)</f>
        <v>1.7929999999999999</v>
      </c>
      <c r="U138" t="str">
        <f t="shared" ca="1" si="6"/>
        <v/>
      </c>
      <c r="V138" t="str">
        <f t="shared" ca="1" si="7"/>
        <v/>
      </c>
      <c r="W138" t="str">
        <f t="shared" ca="1" si="10"/>
        <v xml:space="preserve">Atlanta, </v>
      </c>
      <c r="X138" t="str">
        <f t="shared" ca="1" si="11"/>
        <v/>
      </c>
      <c r="Y138" t="str">
        <f t="shared" ca="1" si="12"/>
        <v xml:space="preserve">Bangkok, </v>
      </c>
      <c r="Z138" t="str">
        <f t="shared" ca="1" si="13"/>
        <v/>
      </c>
      <c r="AA138" t="str">
        <f t="shared" ca="1" si="14"/>
        <v/>
      </c>
      <c r="AB138" t="str">
        <f t="shared" ca="1" si="15"/>
        <v/>
      </c>
      <c r="AC138" t="str">
        <f t="shared" ca="1" si="16"/>
        <v/>
      </c>
      <c r="AD138" t="str">
        <f t="shared" ca="1" si="17"/>
        <v/>
      </c>
      <c r="AE138" t="str">
        <f t="shared" ca="1" si="18"/>
        <v/>
      </c>
      <c r="AF138" t="str">
        <f t="shared" ca="1" si="19"/>
        <v/>
      </c>
      <c r="AG138" t="str">
        <f t="shared" ca="1" si="20"/>
        <v/>
      </c>
      <c r="AH138" t="str">
        <f t="shared" ca="1" si="21"/>
        <v/>
      </c>
      <c r="AI138" t="str">
        <f t="shared" ca="1" si="22"/>
        <v xml:space="preserve">Helsinki, </v>
      </c>
      <c r="AK138" t="str">
        <f t="shared" ca="1" si="8"/>
        <v/>
      </c>
      <c r="AL138" t="str">
        <f t="shared" ca="1" si="9"/>
        <v/>
      </c>
      <c r="AM138" t="str">
        <f t="shared" ca="1" si="23"/>
        <v/>
      </c>
      <c r="AN138" t="str">
        <f t="shared" ca="1" si="24"/>
        <v/>
      </c>
      <c r="AO138" t="str">
        <f t="shared" ca="1" si="25"/>
        <v/>
      </c>
      <c r="AP138" t="str">
        <f t="shared" ca="1" si="26"/>
        <v/>
      </c>
      <c r="AQ138" t="str">
        <f t="shared" ca="1" si="27"/>
        <v/>
      </c>
      <c r="AR138" t="str">
        <f t="shared" ca="1" si="28"/>
        <v/>
      </c>
      <c r="AS138" t="str">
        <f t="shared" ca="1" si="29"/>
        <v/>
      </c>
      <c r="AT138" t="str">
        <f t="shared" ca="1" si="30"/>
        <v/>
      </c>
      <c r="AU138" t="str">
        <f t="shared" ca="1" si="31"/>
        <v/>
      </c>
      <c r="AV138" t="str">
        <f t="shared" ca="1" si="32"/>
        <v/>
      </c>
      <c r="AW138" t="str">
        <f t="shared" ca="1" si="33"/>
        <v/>
      </c>
      <c r="AX138" t="str">
        <f t="shared" ca="1" si="34"/>
        <v/>
      </c>
      <c r="AY138" t="str">
        <f t="shared" ca="1" si="35"/>
        <v/>
      </c>
    </row>
    <row r="139" spans="1:51" x14ac:dyDescent="0.4">
      <c r="A139">
        <v>23</v>
      </c>
      <c r="B139" t="str">
        <f t="shared" ca="1" si="4"/>
        <v xml:space="preserve">Berlin, Helsinki, </v>
      </c>
      <c r="C139" t="str">
        <f t="shared" ca="1" si="5"/>
        <v xml:space="preserve">Addis Ababa, Beijing, Dhaka, Dubai, </v>
      </c>
      <c r="E139" cm="1">
        <f t="array" aca="1" ref="E139" ca="1">INDEX(auto_DataFlat_ZScore,E36)</f>
        <v>-2.3980000000000001</v>
      </c>
      <c r="F139" cm="1">
        <f t="array" aca="1" ref="F139" ca="1">INDEX(auto_DataFlat_ZScore,F36)</f>
        <v>-0.626</v>
      </c>
      <c r="G139" cm="1">
        <f t="array" aca="1" ref="G139" ca="1">INDEX(auto_DataFlat_ZScore,G36)</f>
        <v>0.13800000000000001</v>
      </c>
      <c r="H139" cm="1">
        <f t="array" aca="1" ref="H139" ca="1">INDEX(auto_DataFlat_ZScore,H36)</f>
        <v>0.80100000000000005</v>
      </c>
      <c r="I139" cm="1">
        <f t="array" aca="1" ref="I139" ca="1">INDEX(auto_DataFlat_ZScore,I36)</f>
        <v>0.74299999999999999</v>
      </c>
      <c r="J139" cm="1">
        <f t="array" aca="1" ref="J139" ca="1">INDEX(auto_DataFlat_ZScore,J36)</f>
        <v>-1.417</v>
      </c>
      <c r="K139" cm="1">
        <f t="array" aca="1" ref="K139" ca="1">INDEX(auto_DataFlat_ZScore,K36)</f>
        <v>1.236</v>
      </c>
      <c r="L139" cm="1">
        <f t="array" aca="1" ref="L139" ca="1">INDEX(auto_DataFlat_ZScore,L36)</f>
        <v>0.34499999999999997</v>
      </c>
      <c r="M139" cm="1">
        <f t="array" aca="1" ref="M139" ca="1">INDEX(auto_DataFlat_ZScore,M36)</f>
        <v>-0.186</v>
      </c>
      <c r="N139" cm="1">
        <f t="array" aca="1" ref="N139" ca="1">INDEX(auto_DataFlat_ZScore,N36)</f>
        <v>-0.875</v>
      </c>
      <c r="O139" cm="1">
        <f t="array" aca="1" ref="O139" ca="1">INDEX(auto_DataFlat_ZScore,O36)</f>
        <v>0.71599999999999997</v>
      </c>
      <c r="P139" cm="1">
        <f t="array" aca="1" ref="P139" ca="1">INDEX(auto_DataFlat_ZScore,P36)</f>
        <v>0.35499999999999998</v>
      </c>
      <c r="Q139" cm="1">
        <f t="array" aca="1" ref="Q139" ca="1">INDEX(auto_DataFlat_ZScore,Q36)</f>
        <v>-1.337</v>
      </c>
      <c r="R139" cm="1">
        <f t="array" aca="1" ref="R139" ca="1">INDEX(auto_DataFlat_ZScore,R36)</f>
        <v>-1.0349999999999999</v>
      </c>
      <c r="S139" cm="1">
        <f t="array" aca="1" ref="S139" ca="1">INDEX(auto_DataFlat_ZScore,S36)</f>
        <v>1.22</v>
      </c>
      <c r="U139" t="str">
        <f t="shared" ca="1" si="6"/>
        <v/>
      </c>
      <c r="V139" t="str">
        <f t="shared" ca="1" si="7"/>
        <v/>
      </c>
      <c r="W139" t="str">
        <f t="shared" ca="1" si="10"/>
        <v/>
      </c>
      <c r="X139" t="str">
        <f t="shared" ca="1" si="11"/>
        <v/>
      </c>
      <c r="Y139" t="str">
        <f t="shared" ca="1" si="12"/>
        <v/>
      </c>
      <c r="Z139" t="str">
        <f t="shared" ca="1" si="13"/>
        <v/>
      </c>
      <c r="AA139" t="str">
        <f t="shared" ca="1" si="14"/>
        <v xml:space="preserve">Berlin, </v>
      </c>
      <c r="AB139" t="str">
        <f t="shared" ca="1" si="15"/>
        <v/>
      </c>
      <c r="AC139" t="str">
        <f t="shared" ca="1" si="16"/>
        <v/>
      </c>
      <c r="AD139" t="str">
        <f t="shared" ca="1" si="17"/>
        <v/>
      </c>
      <c r="AE139" t="str">
        <f t="shared" ca="1" si="18"/>
        <v/>
      </c>
      <c r="AF139" t="str">
        <f t="shared" ca="1" si="19"/>
        <v/>
      </c>
      <c r="AG139" t="str">
        <f t="shared" ca="1" si="20"/>
        <v/>
      </c>
      <c r="AH139" t="str">
        <f t="shared" ca="1" si="21"/>
        <v/>
      </c>
      <c r="AI139" t="str">
        <f t="shared" ca="1" si="22"/>
        <v xml:space="preserve">Helsinki, </v>
      </c>
      <c r="AK139" t="str">
        <f t="shared" ca="1" si="8"/>
        <v xml:space="preserve">Addis Ababa, </v>
      </c>
      <c r="AL139" t="str">
        <f t="shared" ca="1" si="9"/>
        <v/>
      </c>
      <c r="AM139" t="str">
        <f t="shared" ca="1" si="23"/>
        <v/>
      </c>
      <c r="AN139" t="str">
        <f t="shared" ca="1" si="24"/>
        <v/>
      </c>
      <c r="AO139" t="str">
        <f t="shared" ca="1" si="25"/>
        <v/>
      </c>
      <c r="AP139" t="str">
        <f t="shared" ca="1" si="26"/>
        <v xml:space="preserve">Beijing, </v>
      </c>
      <c r="AQ139" t="str">
        <f t="shared" ca="1" si="27"/>
        <v/>
      </c>
      <c r="AR139" t="str">
        <f t="shared" ca="1" si="28"/>
        <v/>
      </c>
      <c r="AS139" t="str">
        <f t="shared" ca="1" si="29"/>
        <v/>
      </c>
      <c r="AT139" t="str">
        <f t="shared" ca="1" si="30"/>
        <v/>
      </c>
      <c r="AU139" t="str">
        <f t="shared" ca="1" si="31"/>
        <v/>
      </c>
      <c r="AV139" t="str">
        <f t="shared" ca="1" si="32"/>
        <v/>
      </c>
      <c r="AW139" t="str">
        <f t="shared" ca="1" si="33"/>
        <v xml:space="preserve">Dhaka, </v>
      </c>
      <c r="AX139" t="str">
        <f t="shared" ca="1" si="34"/>
        <v xml:space="preserve">Dubai, </v>
      </c>
      <c r="AY139" t="str">
        <f t="shared" ca="1" si="35"/>
        <v/>
      </c>
    </row>
    <row r="140" spans="1:51" x14ac:dyDescent="0.4">
      <c r="A140">
        <v>24</v>
      </c>
      <c r="B140" t="str">
        <f t="shared" ca="1" si="4"/>
        <v/>
      </c>
      <c r="C140" t="str">
        <f t="shared" ca="1" si="5"/>
        <v xml:space="preserve">Addis Ababa, Beijing, Bogotá, Dhaka, </v>
      </c>
      <c r="E140" cm="1">
        <f t="array" aca="1" ref="E140" ca="1">INDEX(auto_DataFlat_ZScore,E37)</f>
        <v>-3.2629999999999999</v>
      </c>
      <c r="F140" cm="1">
        <f t="array" aca="1" ref="F140" ca="1">INDEX(auto_DataFlat_ZScore,F37)</f>
        <v>0.40300000000000002</v>
      </c>
      <c r="G140" cm="1">
        <f t="array" aca="1" ref="G140" ca="1">INDEX(auto_DataFlat_ZScore,G37)</f>
        <v>0.40300000000000002</v>
      </c>
      <c r="H140" cm="1">
        <f t="array" aca="1" ref="H140" ca="1">INDEX(auto_DataFlat_ZScore,H37)</f>
        <v>0.40300000000000002</v>
      </c>
      <c r="I140" cm="1">
        <f t="array" aca="1" ref="I140" ca="1">INDEX(auto_DataFlat_ZScore,I37)</f>
        <v>0.40300000000000002</v>
      </c>
      <c r="J140" cm="1">
        <f t="array" aca="1" ref="J140" ca="1">INDEX(auto_DataFlat_ZScore,J37)</f>
        <v>-1.43</v>
      </c>
      <c r="K140" cm="1">
        <f t="array" aca="1" ref="K140" ca="1">INDEX(auto_DataFlat_ZScore,K37)</f>
        <v>0.40300000000000002</v>
      </c>
      <c r="L140" cm="1">
        <f t="array" aca="1" ref="L140" ca="1">INDEX(auto_DataFlat_ZScore,L37)</f>
        <v>-1.43</v>
      </c>
      <c r="M140" cm="1">
        <f t="array" aca="1" ref="M140" ca="1">INDEX(auto_DataFlat_ZScore,M37)</f>
        <v>0.40300000000000002</v>
      </c>
      <c r="N140" cm="1">
        <f t="array" aca="1" ref="N140" ca="1">INDEX(auto_DataFlat_ZScore,N37)</f>
        <v>0.40300000000000002</v>
      </c>
      <c r="O140" cm="1">
        <f t="array" aca="1" ref="O140" ca="1">INDEX(auto_DataFlat_ZScore,O37)</f>
        <v>0.40300000000000002</v>
      </c>
      <c r="P140" cm="1">
        <f t="array" aca="1" ref="P140" ca="1">INDEX(auto_DataFlat_ZScore,P37)</f>
        <v>0.40300000000000002</v>
      </c>
      <c r="Q140" cm="1">
        <f t="array" aca="1" ref="Q140" ca="1">INDEX(auto_DataFlat_ZScore,Q37)</f>
        <v>-1.43</v>
      </c>
      <c r="R140" cm="1">
        <f t="array" aca="1" ref="R140" ca="1">INDEX(auto_DataFlat_ZScore,R37)</f>
        <v>0.40300000000000002</v>
      </c>
      <c r="S140" cm="1">
        <f t="array" aca="1" ref="S140" ca="1">INDEX(auto_DataFlat_ZScore,S37)</f>
        <v>0.40300000000000002</v>
      </c>
      <c r="U140" t="str">
        <f t="shared" ca="1" si="6"/>
        <v/>
      </c>
      <c r="V140" t="str">
        <f t="shared" ca="1" si="7"/>
        <v/>
      </c>
      <c r="W140" t="str">
        <f t="shared" ca="1" si="10"/>
        <v/>
      </c>
      <c r="X140" t="str">
        <f t="shared" ca="1" si="11"/>
        <v/>
      </c>
      <c r="Y140" t="str">
        <f t="shared" ca="1" si="12"/>
        <v/>
      </c>
      <c r="Z140" t="str">
        <f t="shared" ca="1" si="13"/>
        <v/>
      </c>
      <c r="AA140" t="str">
        <f t="shared" ca="1" si="14"/>
        <v/>
      </c>
      <c r="AB140" t="str">
        <f t="shared" ca="1" si="15"/>
        <v/>
      </c>
      <c r="AC140" t="str">
        <f t="shared" ca="1" si="16"/>
        <v/>
      </c>
      <c r="AD140" t="str">
        <f t="shared" ca="1" si="17"/>
        <v/>
      </c>
      <c r="AE140" t="str">
        <f t="shared" ca="1" si="18"/>
        <v/>
      </c>
      <c r="AF140" t="str">
        <f t="shared" ca="1" si="19"/>
        <v/>
      </c>
      <c r="AG140" t="str">
        <f t="shared" ca="1" si="20"/>
        <v/>
      </c>
      <c r="AH140" t="str">
        <f t="shared" ca="1" si="21"/>
        <v/>
      </c>
      <c r="AI140" t="str">
        <f t="shared" ca="1" si="22"/>
        <v/>
      </c>
      <c r="AK140" t="str">
        <f t="shared" ca="1" si="8"/>
        <v xml:space="preserve">Addis Ababa, </v>
      </c>
      <c r="AL140" t="str">
        <f t="shared" ca="1" si="9"/>
        <v/>
      </c>
      <c r="AM140" t="str">
        <f t="shared" ca="1" si="23"/>
        <v/>
      </c>
      <c r="AN140" t="str">
        <f t="shared" ca="1" si="24"/>
        <v/>
      </c>
      <c r="AO140" t="str">
        <f t="shared" ca="1" si="25"/>
        <v/>
      </c>
      <c r="AP140" t="str">
        <f t="shared" ca="1" si="26"/>
        <v xml:space="preserve">Beijing, </v>
      </c>
      <c r="AQ140" t="str">
        <f t="shared" ca="1" si="27"/>
        <v/>
      </c>
      <c r="AR140" t="str">
        <f t="shared" ca="1" si="28"/>
        <v xml:space="preserve">Bogotá, </v>
      </c>
      <c r="AS140" t="str">
        <f t="shared" ca="1" si="29"/>
        <v/>
      </c>
      <c r="AT140" t="str">
        <f t="shared" ca="1" si="30"/>
        <v/>
      </c>
      <c r="AU140" t="str">
        <f t="shared" ca="1" si="31"/>
        <v/>
      </c>
      <c r="AV140" t="str">
        <f t="shared" ca="1" si="32"/>
        <v/>
      </c>
      <c r="AW140" t="str">
        <f t="shared" ca="1" si="33"/>
        <v xml:space="preserve">Dhaka, </v>
      </c>
      <c r="AX140" t="str">
        <f t="shared" ca="1" si="34"/>
        <v/>
      </c>
      <c r="AY140" t="str">
        <f t="shared" ca="1" si="35"/>
        <v/>
      </c>
    </row>
    <row r="141" spans="1:51" x14ac:dyDescent="0.4">
      <c r="A141">
        <v>25</v>
      </c>
      <c r="B141" t="str">
        <f t="shared" ca="1" si="4"/>
        <v xml:space="preserve">Atlanta, Berlin, </v>
      </c>
      <c r="C141" t="str">
        <f t="shared" ca="1" si="5"/>
        <v xml:space="preserve">Addis Ababa, Delhi, Dubai, </v>
      </c>
      <c r="E141" cm="1">
        <f t="array" aca="1" ref="E141" ca="1">INDEX(auto_DataFlat_ZScore,E38)</f>
        <v>-1.8240000000000001</v>
      </c>
      <c r="F141" cm="1">
        <f t="array" aca="1" ref="F141" ca="1">INDEX(auto_DataFlat_ZScore,F38)</f>
        <v>-0.55000000000000004</v>
      </c>
      <c r="G141" cm="1">
        <f t="array" aca="1" ref="G141" ca="1">INDEX(auto_DataFlat_ZScore,G38)</f>
        <v>1.84</v>
      </c>
      <c r="H141" cm="1">
        <f t="array" aca="1" ref="H141" ca="1">INDEX(auto_DataFlat_ZScore,H38)</f>
        <v>0.48599999999999999</v>
      </c>
      <c r="I141" cm="1">
        <f t="array" aca="1" ref="I141" ca="1">INDEX(auto_DataFlat_ZScore,I38)</f>
        <v>-0.311</v>
      </c>
      <c r="J141" cm="1">
        <f t="array" aca="1" ref="J141" ca="1">INDEX(auto_DataFlat_ZScore,J38)</f>
        <v>-0.39</v>
      </c>
      <c r="K141" cm="1">
        <f t="array" aca="1" ref="K141" ca="1">INDEX(auto_DataFlat_ZScore,K38)</f>
        <v>1.2030000000000001</v>
      </c>
      <c r="L141" cm="1">
        <f t="array" aca="1" ref="L141" ca="1">INDEX(auto_DataFlat_ZScore,L38)</f>
        <v>0.96399999999999997</v>
      </c>
      <c r="M141" cm="1">
        <f t="array" aca="1" ref="M141" ca="1">INDEX(auto_DataFlat_ZScore,M38)</f>
        <v>0.247</v>
      </c>
      <c r="N141" cm="1">
        <f t="array" aca="1" ref="N141" ca="1">INDEX(auto_DataFlat_ZScore,N38)</f>
        <v>-0.311</v>
      </c>
      <c r="O141" cm="1">
        <f t="array" aca="1" ref="O141" ca="1">INDEX(auto_DataFlat_ZScore,O38)</f>
        <v>-0.78900000000000003</v>
      </c>
      <c r="P141" cm="1">
        <f t="array" aca="1" ref="P141" ca="1">INDEX(auto_DataFlat_ZScore,P38)</f>
        <v>-1.585</v>
      </c>
      <c r="Q141" cm="1">
        <f t="array" aca="1" ref="Q141" ca="1">INDEX(auto_DataFlat_ZScore,Q38)</f>
        <v>-0.55000000000000004</v>
      </c>
      <c r="R141" cm="1">
        <f t="array" aca="1" ref="R141" ca="1">INDEX(auto_DataFlat_ZScore,R38)</f>
        <v>-1.107</v>
      </c>
      <c r="S141" cm="1">
        <f t="array" aca="1" ref="S141" ca="1">INDEX(auto_DataFlat_ZScore,S38)</f>
        <v>0.88400000000000001</v>
      </c>
      <c r="U141" t="str">
        <f t="shared" ca="1" si="6"/>
        <v/>
      </c>
      <c r="V141" t="str">
        <f t="shared" ca="1" si="7"/>
        <v/>
      </c>
      <c r="W141" t="str">
        <f t="shared" ca="1" si="10"/>
        <v xml:space="preserve">Atlanta, </v>
      </c>
      <c r="X141" t="str">
        <f t="shared" ca="1" si="11"/>
        <v/>
      </c>
      <c r="Y141" t="str">
        <f t="shared" ca="1" si="12"/>
        <v/>
      </c>
      <c r="Z141" t="str">
        <f t="shared" ca="1" si="13"/>
        <v/>
      </c>
      <c r="AA141" t="str">
        <f t="shared" ca="1" si="14"/>
        <v xml:space="preserve">Berlin, </v>
      </c>
      <c r="AB141" t="str">
        <f t="shared" ca="1" si="15"/>
        <v/>
      </c>
      <c r="AC141" t="str">
        <f t="shared" ca="1" si="16"/>
        <v/>
      </c>
      <c r="AD141" t="str">
        <f t="shared" ca="1" si="17"/>
        <v/>
      </c>
      <c r="AE141" t="str">
        <f t="shared" ca="1" si="18"/>
        <v/>
      </c>
      <c r="AF141" t="str">
        <f t="shared" ca="1" si="19"/>
        <v/>
      </c>
      <c r="AG141" t="str">
        <f t="shared" ca="1" si="20"/>
        <v/>
      </c>
      <c r="AH141" t="str">
        <f t="shared" ca="1" si="21"/>
        <v/>
      </c>
      <c r="AI141" t="str">
        <f t="shared" ca="1" si="22"/>
        <v/>
      </c>
      <c r="AK141" t="str">
        <f t="shared" ca="1" si="8"/>
        <v xml:space="preserve">Addis Ababa, </v>
      </c>
      <c r="AL141" t="str">
        <f t="shared" ca="1" si="9"/>
        <v/>
      </c>
      <c r="AM141" t="str">
        <f t="shared" ca="1" si="23"/>
        <v/>
      </c>
      <c r="AN141" t="str">
        <f t="shared" ca="1" si="24"/>
        <v/>
      </c>
      <c r="AO141" t="str">
        <f t="shared" ca="1" si="25"/>
        <v/>
      </c>
      <c r="AP141" t="str">
        <f t="shared" ca="1" si="26"/>
        <v/>
      </c>
      <c r="AQ141" t="str">
        <f t="shared" ca="1" si="27"/>
        <v/>
      </c>
      <c r="AR141" t="str">
        <f t="shared" ca="1" si="28"/>
        <v/>
      </c>
      <c r="AS141" t="str">
        <f t="shared" ca="1" si="29"/>
        <v/>
      </c>
      <c r="AT141" t="str">
        <f t="shared" ca="1" si="30"/>
        <v/>
      </c>
      <c r="AU141" t="str">
        <f t="shared" ca="1" si="31"/>
        <v/>
      </c>
      <c r="AV141" t="str">
        <f t="shared" ca="1" si="32"/>
        <v xml:space="preserve">Delhi, </v>
      </c>
      <c r="AW141" t="str">
        <f t="shared" ca="1" si="33"/>
        <v/>
      </c>
      <c r="AX141" t="str">
        <f t="shared" ca="1" si="34"/>
        <v xml:space="preserve">Dubai, </v>
      </c>
      <c r="AY141" t="str">
        <f t="shared" ca="1" si="35"/>
        <v/>
      </c>
    </row>
    <row r="142" spans="1:51" x14ac:dyDescent="0.4">
      <c r="A142">
        <v>26</v>
      </c>
      <c r="B142" t="str">
        <f t="shared" ca="1" si="4"/>
        <v xml:space="preserve">Atlanta, Berlin, Budapest, Helsinki, </v>
      </c>
      <c r="C142" t="str">
        <f t="shared" ca="1" si="5"/>
        <v xml:space="preserve">Addis Ababa, Cairo, Dubai, </v>
      </c>
      <c r="E142" cm="1">
        <f t="array" aca="1" ref="E142" ca="1">INDEX(auto_DataFlat_ZScore,E39)</f>
        <v>-1.135</v>
      </c>
      <c r="F142" cm="1">
        <f t="array" aca="1" ref="F142" ca="1">INDEX(auto_DataFlat_ZScore,F39)</f>
        <v>5.5E-2</v>
      </c>
      <c r="G142" cm="1">
        <f t="array" aca="1" ref="G142" ca="1">INDEX(auto_DataFlat_ZScore,G39)</f>
        <v>1.948</v>
      </c>
      <c r="H142" cm="1">
        <f t="array" aca="1" ref="H142" ca="1">INDEX(auto_DataFlat_ZScore,H39)</f>
        <v>-0.30099999999999999</v>
      </c>
      <c r="I142" cm="1">
        <f t="array" aca="1" ref="I142" ca="1">INDEX(auto_DataFlat_ZScore,I39)</f>
        <v>8.8999999999999996E-2</v>
      </c>
      <c r="J142" cm="1">
        <f t="array" aca="1" ref="J142" ca="1">INDEX(auto_DataFlat_ZScore,J39)</f>
        <v>-0.73099999999999998</v>
      </c>
      <c r="K142" cm="1">
        <f t="array" aca="1" ref="K142" ca="1">INDEX(auto_DataFlat_ZScore,K39)</f>
        <v>1.319</v>
      </c>
      <c r="L142" cm="1">
        <f t="array" aca="1" ref="L142" ca="1">INDEX(auto_DataFlat_ZScore,L39)</f>
        <v>0.34200000000000003</v>
      </c>
      <c r="M142" cm="1">
        <f t="array" aca="1" ref="M142" ca="1">INDEX(auto_DataFlat_ZScore,M39)</f>
        <v>1.661</v>
      </c>
      <c r="N142" cm="1">
        <f t="array" aca="1" ref="N142" ca="1">INDEX(auto_DataFlat_ZScore,N39)</f>
        <v>-1.4359999999999999</v>
      </c>
      <c r="O142" cm="1">
        <f t="array" aca="1" ref="O142" ca="1">INDEX(auto_DataFlat_ZScore,O39)</f>
        <v>0.35499999999999998</v>
      </c>
      <c r="P142" cm="1">
        <f t="array" aca="1" ref="P142" ca="1">INDEX(auto_DataFlat_ZScore,P39)</f>
        <v>-0.82699999999999996</v>
      </c>
      <c r="Q142" cm="1">
        <f t="array" aca="1" ref="Q142" ca="1">INDEX(auto_DataFlat_ZScore,Q39)</f>
        <v>-0.17100000000000001</v>
      </c>
      <c r="R142" cm="1">
        <f t="array" aca="1" ref="R142" ca="1">INDEX(auto_DataFlat_ZScore,R39)</f>
        <v>-1.5720000000000001</v>
      </c>
      <c r="S142" cm="1">
        <f t="array" aca="1" ref="S142" ca="1">INDEX(auto_DataFlat_ZScore,S39)</f>
        <v>1.518</v>
      </c>
      <c r="U142" t="str">
        <f t="shared" ca="1" si="6"/>
        <v/>
      </c>
      <c r="V142" t="str">
        <f t="shared" ca="1" si="7"/>
        <v/>
      </c>
      <c r="W142" t="str">
        <f t="shared" ca="1" si="10"/>
        <v xml:space="preserve">Atlanta, </v>
      </c>
      <c r="X142" t="str">
        <f t="shared" ca="1" si="11"/>
        <v/>
      </c>
      <c r="Y142" t="str">
        <f t="shared" ca="1" si="12"/>
        <v/>
      </c>
      <c r="Z142" t="str">
        <f t="shared" ca="1" si="13"/>
        <v/>
      </c>
      <c r="AA142" t="str">
        <f t="shared" ca="1" si="14"/>
        <v xml:space="preserve">Berlin, </v>
      </c>
      <c r="AB142" t="str">
        <f t="shared" ca="1" si="15"/>
        <v/>
      </c>
      <c r="AC142" t="str">
        <f t="shared" ca="1" si="16"/>
        <v xml:space="preserve">Budapest, </v>
      </c>
      <c r="AD142" t="str">
        <f t="shared" ca="1" si="17"/>
        <v/>
      </c>
      <c r="AE142" t="str">
        <f t="shared" ca="1" si="18"/>
        <v/>
      </c>
      <c r="AF142" t="str">
        <f t="shared" ca="1" si="19"/>
        <v/>
      </c>
      <c r="AG142" t="str">
        <f t="shared" ca="1" si="20"/>
        <v/>
      </c>
      <c r="AH142" t="str">
        <f t="shared" ca="1" si="21"/>
        <v/>
      </c>
      <c r="AI142" t="str">
        <f t="shared" ca="1" si="22"/>
        <v xml:space="preserve">Helsinki, </v>
      </c>
      <c r="AK142" t="str">
        <f t="shared" ca="1" si="8"/>
        <v xml:space="preserve">Addis Ababa, </v>
      </c>
      <c r="AL142" t="str">
        <f t="shared" ca="1" si="9"/>
        <v/>
      </c>
      <c r="AM142" t="str">
        <f t="shared" ca="1" si="23"/>
        <v/>
      </c>
      <c r="AN142" t="str">
        <f t="shared" ca="1" si="24"/>
        <v/>
      </c>
      <c r="AO142" t="str">
        <f t="shared" ca="1" si="25"/>
        <v/>
      </c>
      <c r="AP142" t="str">
        <f t="shared" ca="1" si="26"/>
        <v/>
      </c>
      <c r="AQ142" t="str">
        <f t="shared" ca="1" si="27"/>
        <v/>
      </c>
      <c r="AR142" t="str">
        <f t="shared" ca="1" si="28"/>
        <v/>
      </c>
      <c r="AS142" t="str">
        <f t="shared" ca="1" si="29"/>
        <v/>
      </c>
      <c r="AT142" t="str">
        <f t="shared" ca="1" si="30"/>
        <v xml:space="preserve">Cairo, </v>
      </c>
      <c r="AU142" t="str">
        <f t="shared" ca="1" si="31"/>
        <v/>
      </c>
      <c r="AV142" t="str">
        <f t="shared" ca="1" si="32"/>
        <v/>
      </c>
      <c r="AW142" t="str">
        <f t="shared" ca="1" si="33"/>
        <v/>
      </c>
      <c r="AX142" t="str">
        <f t="shared" ca="1" si="34"/>
        <v xml:space="preserve">Dubai, </v>
      </c>
      <c r="AY142" t="str">
        <f t="shared" ca="1" si="35"/>
        <v/>
      </c>
    </row>
    <row r="143" spans="1:51" x14ac:dyDescent="0.4">
      <c r="A143">
        <v>27</v>
      </c>
      <c r="B143" t="str">
        <f t="shared" ca="1" si="4"/>
        <v/>
      </c>
      <c r="C143" t="str">
        <f t="shared" ca="1" si="5"/>
        <v xml:space="preserve">Addis Ababa, Algiers, Atlanta, Beijing, Budapest, Cairo, Dhaka, Dubai, </v>
      </c>
      <c r="E143" cm="1">
        <f t="array" aca="1" ref="E143" ca="1">INDEX(auto_DataFlat_ZScore,E40)</f>
        <v>-1.03</v>
      </c>
      <c r="F143" cm="1">
        <f t="array" aca="1" ref="F143" ca="1">INDEX(auto_DataFlat_ZScore,F40)</f>
        <v>-1.03</v>
      </c>
      <c r="G143" cm="1">
        <f t="array" aca="1" ref="G143" ca="1">INDEX(auto_DataFlat_ZScore,G40)</f>
        <v>-1.03</v>
      </c>
      <c r="H143" cm="1">
        <f t="array" aca="1" ref="H143" ca="1">INDEX(auto_DataFlat_ZScore,H40)</f>
        <v>0.95099999999999996</v>
      </c>
      <c r="I143" cm="1">
        <f t="array" aca="1" ref="I143" ca="1">INDEX(auto_DataFlat_ZScore,I40)</f>
        <v>0.95099999999999996</v>
      </c>
      <c r="J143" cm="1">
        <f t="array" aca="1" ref="J143" ca="1">INDEX(auto_DataFlat_ZScore,J40)</f>
        <v>-1.03</v>
      </c>
      <c r="K143" cm="1">
        <f t="array" aca="1" ref="K143" ca="1">INDEX(auto_DataFlat_ZScore,K40)</f>
        <v>0.95099999999999996</v>
      </c>
      <c r="L143" cm="1">
        <f t="array" aca="1" ref="L143" ca="1">INDEX(auto_DataFlat_ZScore,L40)</f>
        <v>0.95099999999999996</v>
      </c>
      <c r="M143" cm="1">
        <f t="array" aca="1" ref="M143" ca="1">INDEX(auto_DataFlat_ZScore,M40)</f>
        <v>-1.03</v>
      </c>
      <c r="N143" cm="1">
        <f t="array" aca="1" ref="N143" ca="1">INDEX(auto_DataFlat_ZScore,N40)</f>
        <v>-1.03</v>
      </c>
      <c r="O143" cm="1">
        <f t="array" aca="1" ref="O143" ca="1">INDEX(auto_DataFlat_ZScore,O40)</f>
        <v>0.95099999999999996</v>
      </c>
      <c r="P143" cm="1">
        <f t="array" aca="1" ref="P143" ca="1">INDEX(auto_DataFlat_ZScore,P40)</f>
        <v>0.95099999999999996</v>
      </c>
      <c r="Q143" cm="1">
        <f t="array" aca="1" ref="Q143" ca="1">INDEX(auto_DataFlat_ZScore,Q40)</f>
        <v>-1.03</v>
      </c>
      <c r="R143" cm="1">
        <f t="array" aca="1" ref="R143" ca="1">INDEX(auto_DataFlat_ZScore,R40)</f>
        <v>-1.03</v>
      </c>
      <c r="S143" cm="1">
        <f t="array" aca="1" ref="S143" ca="1">INDEX(auto_DataFlat_ZScore,S40)</f>
        <v>0.95099999999999996</v>
      </c>
      <c r="U143" t="str">
        <f t="shared" ca="1" si="6"/>
        <v/>
      </c>
      <c r="V143" t="str">
        <f t="shared" ca="1" si="7"/>
        <v/>
      </c>
      <c r="W143" t="str">
        <f t="shared" ca="1" si="10"/>
        <v/>
      </c>
      <c r="X143" t="str">
        <f t="shared" ca="1" si="11"/>
        <v/>
      </c>
      <c r="Y143" t="str">
        <f t="shared" ca="1" si="12"/>
        <v/>
      </c>
      <c r="Z143" t="str">
        <f t="shared" ca="1" si="13"/>
        <v/>
      </c>
      <c r="AA143" t="str">
        <f t="shared" ca="1" si="14"/>
        <v/>
      </c>
      <c r="AB143" t="str">
        <f t="shared" ca="1" si="15"/>
        <v/>
      </c>
      <c r="AC143" t="str">
        <f t="shared" ca="1" si="16"/>
        <v/>
      </c>
      <c r="AD143" t="str">
        <f t="shared" ca="1" si="17"/>
        <v/>
      </c>
      <c r="AE143" t="str">
        <f t="shared" ca="1" si="18"/>
        <v/>
      </c>
      <c r="AF143" t="str">
        <f t="shared" ca="1" si="19"/>
        <v/>
      </c>
      <c r="AG143" t="str">
        <f t="shared" ca="1" si="20"/>
        <v/>
      </c>
      <c r="AH143" t="str">
        <f t="shared" ca="1" si="21"/>
        <v/>
      </c>
      <c r="AI143" t="str">
        <f t="shared" ca="1" si="22"/>
        <v/>
      </c>
      <c r="AK143" t="str">
        <f t="shared" ca="1" si="8"/>
        <v xml:space="preserve">Addis Ababa, </v>
      </c>
      <c r="AL143" t="str">
        <f t="shared" ca="1" si="9"/>
        <v xml:space="preserve">Algiers, </v>
      </c>
      <c r="AM143" t="str">
        <f t="shared" ca="1" si="23"/>
        <v xml:space="preserve">Atlanta, </v>
      </c>
      <c r="AN143" t="str">
        <f t="shared" ca="1" si="24"/>
        <v/>
      </c>
      <c r="AO143" t="str">
        <f t="shared" ca="1" si="25"/>
        <v/>
      </c>
      <c r="AP143" t="str">
        <f t="shared" ca="1" si="26"/>
        <v xml:space="preserve">Beijing, </v>
      </c>
      <c r="AQ143" t="str">
        <f t="shared" ca="1" si="27"/>
        <v/>
      </c>
      <c r="AR143" t="str">
        <f t="shared" ca="1" si="28"/>
        <v/>
      </c>
      <c r="AS143" t="str">
        <f t="shared" ca="1" si="29"/>
        <v xml:space="preserve">Budapest, </v>
      </c>
      <c r="AT143" t="str">
        <f t="shared" ca="1" si="30"/>
        <v xml:space="preserve">Cairo, </v>
      </c>
      <c r="AU143" t="str">
        <f t="shared" ca="1" si="31"/>
        <v/>
      </c>
      <c r="AV143" t="str">
        <f t="shared" ca="1" si="32"/>
        <v/>
      </c>
      <c r="AW143" t="str">
        <f t="shared" ca="1" si="33"/>
        <v xml:space="preserve">Dhaka, </v>
      </c>
      <c r="AX143" t="str">
        <f t="shared" ca="1" si="34"/>
        <v xml:space="preserve">Dubai, </v>
      </c>
      <c r="AY143" t="str">
        <f t="shared" ca="1" si="35"/>
        <v/>
      </c>
    </row>
    <row r="144" spans="1:51" x14ac:dyDescent="0.4">
      <c r="A144">
        <v>28</v>
      </c>
      <c r="B144" t="str">
        <f t="shared" ca="1" si="4"/>
        <v/>
      </c>
      <c r="C144" t="str">
        <f t="shared" ca="1" si="5"/>
        <v xml:space="preserve">Algiers, Cairo, Dhaka, </v>
      </c>
      <c r="E144" cm="1">
        <f t="array" aca="1" ref="E144" ca="1">INDEX(auto_DataFlat_ZScore,E41)</f>
        <v>-9.5000000000000001E-2</v>
      </c>
      <c r="F144" cm="1">
        <f t="array" aca="1" ref="F144" ca="1">INDEX(auto_DataFlat_ZScore,F41)</f>
        <v>-2.2570000000000001</v>
      </c>
      <c r="G144" cm="1">
        <f t="array" aca="1" ref="G144" ca="1">INDEX(auto_DataFlat_ZScore,G41)</f>
        <v>-2.9000000000000001E-2</v>
      </c>
      <c r="H144" cm="1">
        <f t="array" aca="1" ref="H144" ca="1">INDEX(auto_DataFlat_ZScore,H41)</f>
        <v>0.51100000000000001</v>
      </c>
      <c r="I144" cm="1">
        <f t="array" aca="1" ref="I144" ca="1">INDEX(auto_DataFlat_ZScore,I41)</f>
        <v>0.51100000000000001</v>
      </c>
      <c r="J144" cm="1">
        <f t="array" aca="1" ref="J144" ca="1">INDEX(auto_DataFlat_ZScore,J41)</f>
        <v>0.38</v>
      </c>
      <c r="K144" cm="1">
        <f t="array" aca="1" ref="K144" ca="1">INDEX(auto_DataFlat_ZScore,K41)</f>
        <v>0.85499999999999998</v>
      </c>
      <c r="L144" cm="1">
        <f t="array" aca="1" ref="L144" ca="1">INDEX(auto_DataFlat_ZScore,L41)</f>
        <v>0.71599999999999997</v>
      </c>
      <c r="M144" cm="1">
        <f t="array" aca="1" ref="M144" ca="1">INDEX(auto_DataFlat_ZScore,M41)</f>
        <v>-0.161</v>
      </c>
      <c r="N144" cm="1">
        <f t="array" aca="1" ref="N144" ca="1">INDEX(auto_DataFlat_ZScore,N41)</f>
        <v>-1.1100000000000001</v>
      </c>
      <c r="O144" cm="1">
        <f t="array" aca="1" ref="O144" ca="1">INDEX(auto_DataFlat_ZScore,O41)</f>
        <v>-0.97199999999999998</v>
      </c>
      <c r="P144" cm="1">
        <f t="array" aca="1" ref="P144" ca="1">INDEX(auto_DataFlat_ZScore,P41)</f>
        <v>0.65</v>
      </c>
      <c r="Q144" cm="1">
        <f t="array" aca="1" ref="Q144" ca="1">INDEX(auto_DataFlat_ZScore,Q41)</f>
        <v>-1.651</v>
      </c>
      <c r="R144" cm="1">
        <f t="array" aca="1" ref="R144" ca="1">INDEX(auto_DataFlat_ZScore,R41)</f>
        <v>0.92</v>
      </c>
      <c r="S144" cm="1">
        <f t="array" aca="1" ref="S144" ca="1">INDEX(auto_DataFlat_ZScore,S41)</f>
        <v>0.38</v>
      </c>
      <c r="U144" t="str">
        <f t="shared" ca="1" si="6"/>
        <v/>
      </c>
      <c r="V144" t="str">
        <f t="shared" ca="1" si="7"/>
        <v/>
      </c>
      <c r="W144" t="str">
        <f t="shared" ca="1" si="10"/>
        <v/>
      </c>
      <c r="X144" t="str">
        <f t="shared" ca="1" si="11"/>
        <v/>
      </c>
      <c r="Y144" t="str">
        <f t="shared" ca="1" si="12"/>
        <v/>
      </c>
      <c r="Z144" t="str">
        <f t="shared" ca="1" si="13"/>
        <v/>
      </c>
      <c r="AA144" t="str">
        <f t="shared" ca="1" si="14"/>
        <v/>
      </c>
      <c r="AB144" t="str">
        <f t="shared" ca="1" si="15"/>
        <v/>
      </c>
      <c r="AC144" t="str">
        <f t="shared" ca="1" si="16"/>
        <v/>
      </c>
      <c r="AD144" t="str">
        <f t="shared" ca="1" si="17"/>
        <v/>
      </c>
      <c r="AE144" t="str">
        <f t="shared" ca="1" si="18"/>
        <v/>
      </c>
      <c r="AF144" t="str">
        <f t="shared" ca="1" si="19"/>
        <v/>
      </c>
      <c r="AG144" t="str">
        <f t="shared" ca="1" si="20"/>
        <v/>
      </c>
      <c r="AH144" t="str">
        <f t="shared" ca="1" si="21"/>
        <v/>
      </c>
      <c r="AI144" t="str">
        <f t="shared" ca="1" si="22"/>
        <v/>
      </c>
      <c r="AK144" t="str">
        <f t="shared" ca="1" si="8"/>
        <v/>
      </c>
      <c r="AL144" t="str">
        <f t="shared" ca="1" si="9"/>
        <v xml:space="preserve">Algiers, </v>
      </c>
      <c r="AM144" t="str">
        <f t="shared" ca="1" si="23"/>
        <v/>
      </c>
      <c r="AN144" t="str">
        <f t="shared" ca="1" si="24"/>
        <v/>
      </c>
      <c r="AO144" t="str">
        <f t="shared" ca="1" si="25"/>
        <v/>
      </c>
      <c r="AP144" t="str">
        <f t="shared" ca="1" si="26"/>
        <v/>
      </c>
      <c r="AQ144" t="str">
        <f t="shared" ca="1" si="27"/>
        <v/>
      </c>
      <c r="AR144" t="str">
        <f t="shared" ca="1" si="28"/>
        <v/>
      </c>
      <c r="AS144" t="str">
        <f t="shared" ca="1" si="29"/>
        <v/>
      </c>
      <c r="AT144" t="str">
        <f t="shared" ca="1" si="30"/>
        <v xml:space="preserve">Cairo, </v>
      </c>
      <c r="AU144" t="str">
        <f t="shared" ca="1" si="31"/>
        <v/>
      </c>
      <c r="AV144" t="str">
        <f t="shared" ca="1" si="32"/>
        <v/>
      </c>
      <c r="AW144" t="str">
        <f t="shared" ca="1" si="33"/>
        <v xml:space="preserve">Dhaka, </v>
      </c>
      <c r="AX144" t="str">
        <f t="shared" ca="1" si="34"/>
        <v/>
      </c>
      <c r="AY144" t="str">
        <f t="shared" ca="1" si="35"/>
        <v/>
      </c>
    </row>
    <row r="145" spans="1:51" x14ac:dyDescent="0.4">
      <c r="A145">
        <v>29</v>
      </c>
      <c r="B145" t="str">
        <f t="shared" ca="1" si="4"/>
        <v/>
      </c>
      <c r="C145" t="str">
        <f t="shared" ca="1" si="5"/>
        <v xml:space="preserve">Algiers, Auckland, Bangkok, Budapest, Cairo, Colombo, Delhi, Dhaka, Helsinki, </v>
      </c>
      <c r="E145" cm="1">
        <f t="array" aca="1" ref="E145" ca="1">INDEX(auto_DataFlat_ZScore,E42)</f>
        <v>0.95099999999999996</v>
      </c>
      <c r="F145" cm="1">
        <f t="array" aca="1" ref="F145" ca="1">INDEX(auto_DataFlat_ZScore,F42)</f>
        <v>-1.03</v>
      </c>
      <c r="G145" cm="1">
        <f t="array" aca="1" ref="G145" ca="1">INDEX(auto_DataFlat_ZScore,G42)</f>
        <v>0.95099999999999996</v>
      </c>
      <c r="H145" cm="1">
        <f t="array" aca="1" ref="H145" ca="1">INDEX(auto_DataFlat_ZScore,H42)</f>
        <v>-1.03</v>
      </c>
      <c r="I145" cm="1">
        <f t="array" aca="1" ref="I145" ca="1">INDEX(auto_DataFlat_ZScore,I42)</f>
        <v>-1.03</v>
      </c>
      <c r="J145" cm="1">
        <f t="array" aca="1" ref="J145" ca="1">INDEX(auto_DataFlat_ZScore,J42)</f>
        <v>0.95099999999999996</v>
      </c>
      <c r="K145" cm="1">
        <f t="array" aca="1" ref="K145" ca="1">INDEX(auto_DataFlat_ZScore,K42)</f>
        <v>0.95099999999999996</v>
      </c>
      <c r="L145" cm="1">
        <f t="array" aca="1" ref="L145" ca="1">INDEX(auto_DataFlat_ZScore,L42)</f>
        <v>0.95099999999999996</v>
      </c>
      <c r="M145" cm="1">
        <f t="array" aca="1" ref="M145" ca="1">INDEX(auto_DataFlat_ZScore,M42)</f>
        <v>-1.03</v>
      </c>
      <c r="N145" cm="1">
        <f t="array" aca="1" ref="N145" ca="1">INDEX(auto_DataFlat_ZScore,N42)</f>
        <v>-1.03</v>
      </c>
      <c r="O145" cm="1">
        <f t="array" aca="1" ref="O145" ca="1">INDEX(auto_DataFlat_ZScore,O42)</f>
        <v>-1.03</v>
      </c>
      <c r="P145" cm="1">
        <f t="array" aca="1" ref="P145" ca="1">INDEX(auto_DataFlat_ZScore,P42)</f>
        <v>-1.03</v>
      </c>
      <c r="Q145" cm="1">
        <f t="array" aca="1" ref="Q145" ca="1">INDEX(auto_DataFlat_ZScore,Q42)</f>
        <v>-1.03</v>
      </c>
      <c r="R145" cm="1">
        <f t="array" aca="1" ref="R145" ca="1">INDEX(auto_DataFlat_ZScore,R42)</f>
        <v>0.95099999999999996</v>
      </c>
      <c r="S145" cm="1">
        <f t="array" aca="1" ref="S145" ca="1">INDEX(auto_DataFlat_ZScore,S42)</f>
        <v>-1.03</v>
      </c>
      <c r="U145" t="str">
        <f t="shared" ca="1" si="6"/>
        <v/>
      </c>
      <c r="V145" t="str">
        <f t="shared" ca="1" si="7"/>
        <v/>
      </c>
      <c r="W145" t="str">
        <f t="shared" ca="1" si="10"/>
        <v/>
      </c>
      <c r="X145" t="str">
        <f t="shared" ca="1" si="11"/>
        <v/>
      </c>
      <c r="Y145" t="str">
        <f t="shared" ca="1" si="12"/>
        <v/>
      </c>
      <c r="Z145" t="str">
        <f t="shared" ca="1" si="13"/>
        <v/>
      </c>
      <c r="AA145" t="str">
        <f t="shared" ca="1" si="14"/>
        <v/>
      </c>
      <c r="AB145" t="str">
        <f t="shared" ca="1" si="15"/>
        <v/>
      </c>
      <c r="AC145" t="str">
        <f t="shared" ca="1" si="16"/>
        <v/>
      </c>
      <c r="AD145" t="str">
        <f t="shared" ca="1" si="17"/>
        <v/>
      </c>
      <c r="AE145" t="str">
        <f t="shared" ca="1" si="18"/>
        <v/>
      </c>
      <c r="AF145" t="str">
        <f t="shared" ca="1" si="19"/>
        <v/>
      </c>
      <c r="AG145" t="str">
        <f t="shared" ca="1" si="20"/>
        <v/>
      </c>
      <c r="AH145" t="str">
        <f t="shared" ca="1" si="21"/>
        <v/>
      </c>
      <c r="AI145" t="str">
        <f t="shared" ca="1" si="22"/>
        <v/>
      </c>
      <c r="AK145" t="str">
        <f t="shared" ca="1" si="8"/>
        <v/>
      </c>
      <c r="AL145" t="str">
        <f t="shared" ca="1" si="9"/>
        <v xml:space="preserve">Algiers, </v>
      </c>
      <c r="AM145" t="str">
        <f t="shared" ca="1" si="23"/>
        <v/>
      </c>
      <c r="AN145" t="str">
        <f t="shared" ca="1" si="24"/>
        <v xml:space="preserve">Auckland, </v>
      </c>
      <c r="AO145" t="str">
        <f t="shared" ca="1" si="25"/>
        <v xml:space="preserve">Bangkok, </v>
      </c>
      <c r="AP145" t="str">
        <f t="shared" ca="1" si="26"/>
        <v/>
      </c>
      <c r="AQ145" t="str">
        <f t="shared" ca="1" si="27"/>
        <v/>
      </c>
      <c r="AR145" t="str">
        <f t="shared" ca="1" si="28"/>
        <v/>
      </c>
      <c r="AS145" t="str">
        <f t="shared" ca="1" si="29"/>
        <v xml:space="preserve">Budapest, </v>
      </c>
      <c r="AT145" t="str">
        <f t="shared" ca="1" si="30"/>
        <v xml:space="preserve">Cairo, </v>
      </c>
      <c r="AU145" t="str">
        <f t="shared" ca="1" si="31"/>
        <v xml:space="preserve">Colombo, </v>
      </c>
      <c r="AV145" t="str">
        <f t="shared" ca="1" si="32"/>
        <v xml:space="preserve">Delhi, </v>
      </c>
      <c r="AW145" t="str">
        <f t="shared" ca="1" si="33"/>
        <v xml:space="preserve">Dhaka, </v>
      </c>
      <c r="AX145" t="str">
        <f t="shared" ca="1" si="34"/>
        <v/>
      </c>
      <c r="AY145" t="str">
        <f t="shared" ca="1" si="35"/>
        <v xml:space="preserve">Helsinki, </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3469B-EB44-4ED5-A32F-23F5CCF4894E}">
  <sheetPr codeName="Sheet63">
    <tabColor rgb="FF7030A0"/>
  </sheetPr>
  <dimension ref="A1:AT62"/>
  <sheetViews>
    <sheetView workbookViewId="0">
      <selection activeCell="T29" sqref="T29"/>
    </sheetView>
  </sheetViews>
  <sheetFormatPr defaultColWidth="9.15234375" defaultRowHeight="14.6" x14ac:dyDescent="0.4"/>
  <cols>
    <col min="1" max="1" width="3" customWidth="1"/>
    <col min="2" max="2" width="17.15234375" customWidth="1"/>
    <col min="4" max="4" width="4.3828125" customWidth="1"/>
    <col min="8" max="10" width="9.69140625" customWidth="1"/>
    <col min="16" max="16" width="4.3828125" customWidth="1"/>
    <col min="17" max="17" width="7.69140625" customWidth="1"/>
    <col min="18" max="19" width="4.3828125" customWidth="1"/>
    <col min="20" max="20" width="6.84375" customWidth="1"/>
    <col min="21" max="47" width="4.3828125" customWidth="1"/>
  </cols>
  <sheetData>
    <row r="1" spans="1:46" x14ac:dyDescent="0.4">
      <c r="A1" t="s">
        <v>163</v>
      </c>
      <c r="D1" t="s">
        <v>164</v>
      </c>
      <c r="I1" t="s">
        <v>164</v>
      </c>
    </row>
    <row r="2" spans="1:46" x14ac:dyDescent="0.4">
      <c r="B2" t="s">
        <v>1033</v>
      </c>
      <c r="C2">
        <f ca="1">uxbGlobals!$B$490</f>
        <v>1</v>
      </c>
      <c r="D2" t="s">
        <v>218</v>
      </c>
    </row>
    <row r="3" spans="1:46" x14ac:dyDescent="0.4">
      <c r="B3" t="s">
        <v>207</v>
      </c>
      <c r="C3">
        <f>uxbGlobals!$B$321</f>
        <v>1</v>
      </c>
    </row>
    <row r="4" spans="1:46" x14ac:dyDescent="0.4">
      <c r="B4" t="s">
        <v>208</v>
      </c>
      <c r="C4">
        <f>uxbGlobals!$B$325</f>
        <v>1</v>
      </c>
    </row>
    <row r="5" spans="1:46" x14ac:dyDescent="0.4">
      <c r="B5" t="s">
        <v>222</v>
      </c>
      <c r="C5">
        <v>1</v>
      </c>
    </row>
    <row r="6" spans="1:46" x14ac:dyDescent="0.4">
      <c r="B6" t="s">
        <v>1039</v>
      </c>
      <c r="C6">
        <f ca="1">uxbGlobals!$B$496</f>
        <v>0</v>
      </c>
    </row>
    <row r="7" spans="1:46" x14ac:dyDescent="0.4">
      <c r="B7" t="s">
        <v>1035</v>
      </c>
      <c r="C7">
        <f ca="1">uxbGlobals!$B$492</f>
        <v>0</v>
      </c>
      <c r="T7" t="s">
        <v>1294</v>
      </c>
      <c r="AA7" t="s">
        <v>1114</v>
      </c>
      <c r="AH7" t="s">
        <v>344</v>
      </c>
      <c r="AO7" t="s">
        <v>485</v>
      </c>
    </row>
    <row r="8" spans="1:46" x14ac:dyDescent="0.4">
      <c r="B8" t="s">
        <v>1053</v>
      </c>
      <c r="C8">
        <f ca="1">uxbGlobals!$B$510</f>
        <v>1</v>
      </c>
    </row>
    <row r="9" spans="1:46" x14ac:dyDescent="0.4">
      <c r="B9" t="s">
        <v>1052</v>
      </c>
      <c r="C9">
        <f ca="1">uxbGlobals!$B$509</f>
        <v>1</v>
      </c>
      <c r="AA9" t="s">
        <v>197</v>
      </c>
      <c r="AB9" t="s">
        <v>1212</v>
      </c>
      <c r="AF9" t="s">
        <v>1213</v>
      </c>
      <c r="AH9" t="s">
        <v>197</v>
      </c>
      <c r="AI9" t="s">
        <v>1212</v>
      </c>
      <c r="AM9" t="s">
        <v>1213</v>
      </c>
      <c r="AO9" t="s">
        <v>197</v>
      </c>
      <c r="AP9" t="s">
        <v>1212</v>
      </c>
      <c r="AT9" t="s">
        <v>1213</v>
      </c>
    </row>
    <row r="10" spans="1:46" x14ac:dyDescent="0.4">
      <c r="B10" t="s">
        <v>1113</v>
      </c>
      <c r="C10">
        <f>uxbGlobals!$B$224</f>
        <v>50</v>
      </c>
      <c r="Q10" t="s">
        <v>1293</v>
      </c>
    </row>
    <row r="11" spans="1:46" x14ac:dyDescent="0.4">
      <c r="H11" t="s">
        <v>228</v>
      </c>
      <c r="U11" t="s">
        <v>17</v>
      </c>
      <c r="V11" t="s">
        <v>344</v>
      </c>
      <c r="W11" t="s">
        <v>1024</v>
      </c>
      <c r="X11" t="s">
        <v>485</v>
      </c>
      <c r="Y11" t="s">
        <v>486</v>
      </c>
      <c r="AA11">
        <v>0</v>
      </c>
      <c r="AB11">
        <v>1</v>
      </c>
      <c r="AC11">
        <v>2</v>
      </c>
      <c r="AD11">
        <v>3</v>
      </c>
      <c r="AE11">
        <v>4</v>
      </c>
      <c r="AF11">
        <v>5</v>
      </c>
      <c r="AH11">
        <v>0</v>
      </c>
      <c r="AI11">
        <v>1</v>
      </c>
      <c r="AJ11">
        <v>2</v>
      </c>
      <c r="AK11">
        <v>3</v>
      </c>
      <c r="AL11">
        <v>4</v>
      </c>
      <c r="AM11">
        <v>5</v>
      </c>
      <c r="AO11">
        <v>0</v>
      </c>
      <c r="AP11">
        <v>1</v>
      </c>
      <c r="AQ11">
        <v>2</v>
      </c>
      <c r="AR11">
        <v>3</v>
      </c>
      <c r="AS11">
        <v>4</v>
      </c>
      <c r="AT11">
        <v>5</v>
      </c>
    </row>
    <row r="12" spans="1:46" x14ac:dyDescent="0.4">
      <c r="A12" t="s">
        <v>1204</v>
      </c>
      <c r="B12" t="s">
        <v>216</v>
      </c>
      <c r="C12" t="s">
        <v>217</v>
      </c>
      <c r="E12" t="s">
        <v>1295</v>
      </c>
      <c r="F12" t="s">
        <v>219</v>
      </c>
      <c r="G12" t="s">
        <v>225</v>
      </c>
      <c r="H12" t="s">
        <v>229</v>
      </c>
      <c r="J12" t="s">
        <v>221</v>
      </c>
      <c r="K12" t="s">
        <v>231</v>
      </c>
      <c r="L12" t="s">
        <v>17</v>
      </c>
      <c r="M12" t="s">
        <v>17</v>
      </c>
      <c r="N12" t="s">
        <v>461</v>
      </c>
      <c r="O12" t="s">
        <v>224</v>
      </c>
      <c r="P12" t="s">
        <v>223</v>
      </c>
      <c r="Q12" t="s">
        <v>1022</v>
      </c>
      <c r="T12" t="s">
        <v>252</v>
      </c>
      <c r="AA12">
        <v>0</v>
      </c>
      <c r="AB12">
        <v>0</v>
      </c>
      <c r="AC12">
        <v>0</v>
      </c>
      <c r="AD12">
        <v>0</v>
      </c>
      <c r="AE12">
        <v>0</v>
      </c>
      <c r="AF12">
        <v>0</v>
      </c>
    </row>
    <row r="13" spans="1:46" x14ac:dyDescent="0.4">
      <c r="A13">
        <v>1</v>
      </c>
      <c r="B13">
        <v>1</v>
      </c>
      <c r="C13" cm="1">
        <f t="array" ref="C13">INDEX(auto_Country_Status,B13)</f>
        <v>1</v>
      </c>
      <c r="E13" cm="1">
        <f t="array" aca="1" ref="E13" ca="1">INDEX(sys_DataFlat_LU_Grid,$C$2,$B13)</f>
        <v>1</v>
      </c>
      <c r="F13" cm="1">
        <f t="array" aca="1" ref="F13" ca="1">INDEX(auto_DataFlat_Score,E13,$C$3)</f>
        <v>49.6</v>
      </c>
      <c r="G13" cm="1">
        <f t="array" aca="1" ref="G13" ca="1">INDEX(auto_DataFlat_DataValue,E13,$C$3)</f>
        <v>0</v>
      </c>
      <c r="H13">
        <f ca="1">F13+(IF($C$9=1,G13,-G13)/100000000)</f>
        <v>49.6</v>
      </c>
      <c r="J13">
        <f ca="1">IF($C13=0,-40000000,IFERROR(CHOOSE($C$5,H13,-H13),-30000000))</f>
        <v>49.6</v>
      </c>
      <c r="K13">
        <f ca="1">IF(ISNUMBER(J13),J13,-20000000)</f>
        <v>49.6</v>
      </c>
      <c r="L13">
        <f ca="1">RANK(K13,OFFSET(K$13,0,0,$C$10,1))+COUNTIF(K$13:K13,K13)-1</f>
        <v>41</v>
      </c>
      <c r="N13">
        <f ca="1">MATCH($A13,OFFSET(L$13,0,0,$C$10,1),0)</f>
        <v>17</v>
      </c>
      <c r="O13" cm="1">
        <f t="array" aca="1" ref="O13" ca="1">INDEX(auto_Country_Status,N13)</f>
        <v>1</v>
      </c>
      <c r="P13" cm="1">
        <f t="array" aca="1" ref="P13" ca="1">INDEX(OFFSET($E$13,0,0,$C$10,1),N13)</f>
        <v>17</v>
      </c>
      <c r="Q13" t="str" cm="1">
        <f t="array" aca="1" ref="Q13" ca="1">INDEX(auto_Country_ISO,N13)</f>
        <v>HKG</v>
      </c>
      <c r="R13" cm="1">
        <f t="array" aca="1" ref="R13" ca="1">IF($O13=0,0,INDEX(auto_DataFlat_Classification,P13,$C$3))</f>
        <v>5</v>
      </c>
      <c r="T13">
        <f ca="1">F13</f>
        <v>49.6</v>
      </c>
      <c r="U13">
        <f ca="1">RANK(T13,OFFSET(T$13,0,0,$C$10,1))+COUNTIF(T$13:T13,T13)-1</f>
        <v>41</v>
      </c>
      <c r="V13">
        <f ca="1">MATCH(B13,OFFSET(U$13,0,0,$C$10,1),0)</f>
        <v>17</v>
      </c>
      <c r="W13" cm="1">
        <f t="array" aca="1" ref="W13" ca="1">INDEX(auto_Country_Status,V13)</f>
        <v>1</v>
      </c>
      <c r="X13" cm="1">
        <f t="array" aca="1" ref="X13" ca="1">INDEX(sys_DataFlat_LU_Grid,$C$2,V13)</f>
        <v>17</v>
      </c>
      <c r="Y13" cm="1">
        <f t="array" aca="1" ref="Y13" ca="1">IF(W13=0,-1,INDEX(auto_DataFlat_Classification,X13,$C$3))</f>
        <v>5</v>
      </c>
      <c r="AA13" t="e">
        <f t="shared" ref="AA13:AF14" ca="1" si="0">IFERROR(AA12+MATCH(AA$11,OFFSET($Y$13,AA12,0,$C$10-AA12,1),0),NA())</f>
        <v>#N/A</v>
      </c>
      <c r="AB13" t="e">
        <f t="shared" ca="1" si="0"/>
        <v>#N/A</v>
      </c>
      <c r="AC13" t="e">
        <f t="shared" ca="1" si="0"/>
        <v>#N/A</v>
      </c>
      <c r="AD13">
        <f t="shared" ca="1" si="0"/>
        <v>32</v>
      </c>
      <c r="AE13">
        <f t="shared" ca="1" si="0"/>
        <v>3</v>
      </c>
      <c r="AF13">
        <f t="shared" ca="1" si="0"/>
        <v>1</v>
      </c>
      <c r="AH13" cm="1">
        <f t="array" aca="1" ref="AH13" ca="1">IFERROR(INDEX(OFFSET($V$13,0,0,$C$10,1),AA13),0)</f>
        <v>0</v>
      </c>
      <c r="AI13" cm="1">
        <f t="array" aca="1" ref="AI13" ca="1">IFERROR(INDEX(OFFSET($V$13,0,0,$C$10,1),AB13),0)</f>
        <v>0</v>
      </c>
      <c r="AJ13" cm="1">
        <f t="array" aca="1" ref="AJ13" ca="1">IFERROR(INDEX(OFFSET($V$13,0,0,$C$10,1),AC13),0)</f>
        <v>0</v>
      </c>
      <c r="AK13" cm="1">
        <f t="array" aca="1" ref="AK13" ca="1">IFERROR(INDEX(OFFSET($V$13,0,0,$C$10,1),AD13),0)</f>
        <v>49</v>
      </c>
      <c r="AL13" cm="1">
        <f t="array" aca="1" ref="AL13" ca="1">IFERROR(INDEX(OFFSET($V$13,0,0,$C$10,1),AE13),0)</f>
        <v>27</v>
      </c>
      <c r="AM13" cm="1">
        <f t="array" aca="1" ref="AM13" ca="1">IFERROR(INDEX(OFFSET($V$13,0,0,$C$10,1),AF13),0)</f>
        <v>17</v>
      </c>
      <c r="AO13" cm="1">
        <f t="array" aca="1" ref="AO13" ca="1">IF(AH13=0,0,INDEX(sys_DataFlat_LU_Grid,$C$2,AH13))</f>
        <v>0</v>
      </c>
      <c r="AP13" cm="1">
        <f t="array" aca="1" ref="AP13" ca="1">IF(AI13=0,0,INDEX(sys_DataFlat_LU_Grid,$C$2,AI13))</f>
        <v>0</v>
      </c>
      <c r="AQ13" cm="1">
        <f t="array" aca="1" ref="AQ13" ca="1">IF(AJ13=0,0,INDEX(sys_DataFlat_LU_Grid,$C$2,AJ13))</f>
        <v>0</v>
      </c>
      <c r="AR13" cm="1">
        <f t="array" aca="1" ref="AR13" ca="1">IF(AK13=0,0,INDEX(sys_DataFlat_LU_Grid,$C$2,AK13))</f>
        <v>49</v>
      </c>
      <c r="AS13" cm="1">
        <f t="array" aca="1" ref="AS13" ca="1">IF(AL13=0,0,INDEX(sys_DataFlat_LU_Grid,$C$2,AL13))</f>
        <v>27</v>
      </c>
      <c r="AT13" cm="1">
        <f t="array" aca="1" ref="AT13" ca="1">IF(AM13=0,0,INDEX(sys_DataFlat_LU_Grid,$C$2,AM13))</f>
        <v>17</v>
      </c>
    </row>
    <row r="14" spans="1:46" x14ac:dyDescent="0.4">
      <c r="A14">
        <v>2</v>
      </c>
      <c r="B14">
        <v>2</v>
      </c>
      <c r="C14" cm="1">
        <f t="array" ref="C14">INDEX(auto_Country_Status,B14)</f>
        <v>1</v>
      </c>
      <c r="E14" cm="1">
        <f t="array" aca="1" ref="E14" ca="1">INDEX(sys_DataFlat_LU_Grid,$C$2,$B14)</f>
        <v>2</v>
      </c>
      <c r="F14" cm="1">
        <f t="array" aca="1" ref="F14" ca="1">INDEX(auto_DataFlat_Score,E14,$C$3)</f>
        <v>41</v>
      </c>
      <c r="G14" cm="1">
        <f t="array" aca="1" ref="G14" ca="1">INDEX(auto_DataFlat_DataValue,E14,$C$3)</f>
        <v>0</v>
      </c>
      <c r="H14">
        <f t="shared" ref="H14:H15" ca="1" si="1">F14+(IF($C$9=1,G14,-G14)/100000000)</f>
        <v>41</v>
      </c>
      <c r="J14">
        <f ca="1">IF($C14=0,-40000000,IFERROR(CHOOSE($C$5,H14,-H14,#REF!,-#REF!),-30000000))</f>
        <v>41</v>
      </c>
      <c r="K14">
        <f t="shared" ref="K14:K15" ca="1" si="2">IF(ISNUMBER(J14),J14,-20000000)</f>
        <v>41</v>
      </c>
      <c r="L14">
        <f ca="1">RANK(K14,OFFSET(K$13,0,0,$C$10,1))+COUNTIF(K$13:K14,K14)-1</f>
        <v>48</v>
      </c>
      <c r="N14">
        <f ca="1">MATCH($A14,OFFSET(L$13,0,0,$C$10,1),0)</f>
        <v>26</v>
      </c>
      <c r="O14" cm="1">
        <f t="array" aca="1" ref="O14" ca="1">INDEX(auto_Country_Status,N14)</f>
        <v>1</v>
      </c>
      <c r="P14" cm="1">
        <f t="array" aca="1" ref="P14" ca="1">INDEX(OFFSET($E$13,0,0,$C$10,1),N14)</f>
        <v>26</v>
      </c>
      <c r="Q14" t="str" cm="1">
        <f t="array" aca="1" ref="Q14" ca="1">INDEX(auto_Country_ISO,N14)</f>
        <v>LOD</v>
      </c>
      <c r="R14" cm="1">
        <f t="array" aca="1" ref="R14" ca="1">IF($O14=0,0,INDEX(auto_DataFlat_Classification,P14,$C$3))</f>
        <v>5</v>
      </c>
      <c r="T14">
        <f t="shared" ref="T14:T15" ca="1" si="3">F14</f>
        <v>41</v>
      </c>
      <c r="U14">
        <f ca="1">RANK(T14,OFFSET(T$13,0,0,$C$10,1))+COUNTIF(T$13:T14,T14)-1</f>
        <v>48</v>
      </c>
      <c r="V14">
        <f ca="1">MATCH(B14,OFFSET(U$13,0,0,$C$10,1),0)</f>
        <v>26</v>
      </c>
      <c r="W14" cm="1">
        <f t="array" aca="1" ref="W14" ca="1">INDEX(auto_Country_Status,V14)</f>
        <v>1</v>
      </c>
      <c r="X14" cm="1">
        <f t="array" aca="1" ref="X14" ca="1">INDEX(sys_DataFlat_LU_Grid,$C$2,V14)</f>
        <v>26</v>
      </c>
      <c r="Y14" cm="1">
        <f t="array" aca="1" ref="Y14" ca="1">IF(W14=0,-1,INDEX(auto_DataFlat_Classification,X14,$C$3))</f>
        <v>5</v>
      </c>
      <c r="AA14" t="e">
        <f t="shared" ca="1" si="0"/>
        <v>#N/A</v>
      </c>
      <c r="AB14" t="e">
        <f t="shared" ca="1" si="0"/>
        <v>#N/A</v>
      </c>
      <c r="AC14" t="e">
        <f t="shared" ca="1" si="0"/>
        <v>#N/A</v>
      </c>
      <c r="AD14">
        <f t="shared" ca="1" si="0"/>
        <v>33</v>
      </c>
      <c r="AE14">
        <f t="shared" ca="1" si="0"/>
        <v>4</v>
      </c>
      <c r="AF14">
        <f t="shared" ca="1" si="0"/>
        <v>2</v>
      </c>
      <c r="AH14" cm="1">
        <f t="array" aca="1" ref="AH14" ca="1">IFERROR(INDEX(OFFSET($V$13,0,0,$C$10,1),AA14),0)</f>
        <v>0</v>
      </c>
      <c r="AI14" cm="1">
        <f t="array" aca="1" ref="AI14" ca="1">IFERROR(INDEX(OFFSET($V$13,0,0,$C$10,1),AB14),0)</f>
        <v>0</v>
      </c>
      <c r="AJ14" cm="1">
        <f t="array" aca="1" ref="AJ14" ca="1">IFERROR(INDEX(OFFSET($V$13,0,0,$C$10,1),AC14),0)</f>
        <v>0</v>
      </c>
      <c r="AK14" cm="1">
        <f t="array" aca="1" ref="AK14" ca="1">IFERROR(INDEX(OFFSET($V$13,0,0,$C$10,1),AD14),0)</f>
        <v>12</v>
      </c>
      <c r="AL14" cm="1">
        <f t="array" aca="1" ref="AL14" ca="1">IFERROR(INDEX(OFFSET($V$13,0,0,$C$10,1),AE14),0)</f>
        <v>34</v>
      </c>
      <c r="AM14" cm="1">
        <f t="array" aca="1" ref="AM14" ca="1">IFERROR(INDEX(OFFSET($V$13,0,0,$C$10,1),AF14),0)</f>
        <v>26</v>
      </c>
      <c r="AO14" cm="1">
        <f t="array" aca="1" ref="AO14" ca="1">IF(AH14=0,0,INDEX(sys_DataFlat_LU_Grid,$C$2,AH14))</f>
        <v>0</v>
      </c>
      <c r="AP14" cm="1">
        <f t="array" aca="1" ref="AP14" ca="1">IF(AI14=0,0,INDEX(sys_DataFlat_LU_Grid,$C$2,AI14))</f>
        <v>0</v>
      </c>
      <c r="AQ14" cm="1">
        <f t="array" aca="1" ref="AQ14" ca="1">IF(AJ14=0,0,INDEX(sys_DataFlat_LU_Grid,$C$2,AJ14))</f>
        <v>0</v>
      </c>
      <c r="AR14" cm="1">
        <f t="array" aca="1" ref="AR14" ca="1">IF(AK14=0,0,INDEX(sys_DataFlat_LU_Grid,$C$2,AK14))</f>
        <v>12</v>
      </c>
      <c r="AS14" cm="1">
        <f t="array" aca="1" ref="AS14" ca="1">IF(AL14=0,0,INDEX(sys_DataFlat_LU_Grid,$C$2,AL14))</f>
        <v>34</v>
      </c>
      <c r="AT14" cm="1">
        <f t="array" aca="1" ref="AT14" ca="1">IF(AM14=0,0,INDEX(sys_DataFlat_LU_Grid,$C$2,AM14))</f>
        <v>26</v>
      </c>
    </row>
    <row r="15" spans="1:46" x14ac:dyDescent="0.4">
      <c r="A15">
        <v>3</v>
      </c>
      <c r="B15">
        <v>3</v>
      </c>
      <c r="C15" cm="1">
        <f t="array" ref="C15">INDEX(auto_Country_Status,B15)</f>
        <v>1</v>
      </c>
      <c r="E15" cm="1">
        <f t="array" aca="1" ref="E15" ca="1">INDEX(sys_DataFlat_LU_Grid,$C$2,$B15)</f>
        <v>3</v>
      </c>
      <c r="F15" cm="1">
        <f t="array" aca="1" ref="F15" ca="1">INDEX(auto_DataFlat_Score,E15,$C$3)</f>
        <v>63.1</v>
      </c>
      <c r="G15" cm="1">
        <f t="array" aca="1" ref="G15" ca="1">INDEX(auto_DataFlat_DataValue,E15,$C$3)</f>
        <v>0</v>
      </c>
      <c r="H15">
        <f t="shared" ca="1" si="1"/>
        <v>63.1</v>
      </c>
      <c r="J15">
        <f t="shared" ref="J15" ca="1" si="4">IF($C15=0,-40000000,IFERROR(CHOOSE($C$5,H15,-H15),-30000000))</f>
        <v>63.1</v>
      </c>
      <c r="K15">
        <f t="shared" ca="1" si="2"/>
        <v>63.1</v>
      </c>
      <c r="L15">
        <f ca="1">RANK(K15,OFFSET(K$13,0,0,$C$10,1))+COUNTIF(K$13:K15,K15)-1</f>
        <v>29</v>
      </c>
      <c r="N15">
        <f t="shared" ref="N15:N62" ca="1" si="5">MATCH($A15,OFFSET(L$13,0,0,$C$10,1),0)</f>
        <v>27</v>
      </c>
      <c r="O15" cm="1">
        <f t="array" aca="1" ref="O15" ca="1">INDEX(auto_Country_Status,N15)</f>
        <v>1</v>
      </c>
      <c r="P15" cm="1">
        <f t="array" aca="1" ref="P15" ca="1">INDEX(OFFSET($E$13,0,0,$C$10,1),N15)</f>
        <v>27</v>
      </c>
      <c r="Q15" t="str" cm="1">
        <f t="array" aca="1" ref="Q15" ca="1">INDEX(auto_Country_ISO,N15)</f>
        <v>MDD</v>
      </c>
      <c r="R15" cm="1">
        <f t="array" aca="1" ref="R15" ca="1">IF($O15=0,0,INDEX(auto_DataFlat_Classification,P15,$C$3))</f>
        <v>4</v>
      </c>
      <c r="T15">
        <f t="shared" ca="1" si="3"/>
        <v>63.1</v>
      </c>
      <c r="U15">
        <f ca="1">RANK(T15,OFFSET(T$13,0,0,$C$10,1))+COUNTIF(T$13:T15,T15)-1</f>
        <v>29</v>
      </c>
      <c r="V15">
        <f t="shared" ref="V15:V62" ca="1" si="6">MATCH(B15,OFFSET(U$13,0,0,$C$10,1),0)</f>
        <v>27</v>
      </c>
      <c r="W15" cm="1">
        <f t="array" aca="1" ref="W15" ca="1">INDEX(auto_Country_Status,V15)</f>
        <v>1</v>
      </c>
      <c r="X15" cm="1">
        <f t="array" aca="1" ref="X15" ca="1">INDEX(sys_DataFlat_LU_Grid,$C$2,V15)</f>
        <v>27</v>
      </c>
      <c r="Y15" cm="1">
        <f t="array" aca="1" ref="Y15" ca="1">IF(W15=0,-1,INDEX(auto_DataFlat_Classification,X15,$C$3))</f>
        <v>4</v>
      </c>
      <c r="AA15" t="e">
        <f t="shared" ref="AA15:AF15" ca="1" si="7">IFERROR(AA14+MATCH(AA$11,OFFSET($Y$13,AA14,0,$C$10-AA14,1),0),NA())</f>
        <v>#N/A</v>
      </c>
      <c r="AB15" t="e">
        <f t="shared" ca="1" si="7"/>
        <v>#N/A</v>
      </c>
      <c r="AC15" t="e">
        <f t="shared" ca="1" si="7"/>
        <v>#N/A</v>
      </c>
      <c r="AD15">
        <f t="shared" ca="1" si="7"/>
        <v>34</v>
      </c>
      <c r="AE15">
        <f t="shared" ca="1" si="7"/>
        <v>5</v>
      </c>
      <c r="AF15" t="e">
        <f t="shared" ca="1" si="7"/>
        <v>#N/A</v>
      </c>
      <c r="AH15" cm="1">
        <f t="array" aca="1" ref="AH15" ca="1">IFERROR(INDEX(OFFSET($V$13,0,0,$C$10,1),AA15),0)</f>
        <v>0</v>
      </c>
      <c r="AI15" cm="1">
        <f t="array" aca="1" ref="AI15" ca="1">IFERROR(INDEX(OFFSET($V$13,0,0,$C$10,1),AB15),0)</f>
        <v>0</v>
      </c>
      <c r="AJ15" cm="1">
        <f t="array" aca="1" ref="AJ15" ca="1">IFERROR(INDEX(OFFSET($V$13,0,0,$C$10,1),AC15),0)</f>
        <v>0</v>
      </c>
      <c r="AK15" cm="1">
        <f t="array" aca="1" ref="AK15" ca="1">IFERROR(INDEX(OFFSET($V$13,0,0,$C$10,1),AD15),0)</f>
        <v>32</v>
      </c>
      <c r="AL15" cm="1">
        <f t="array" aca="1" ref="AL15" ca="1">IFERROR(INDEX(OFFSET($V$13,0,0,$C$10,1),AE15),0)</f>
        <v>7</v>
      </c>
      <c r="AM15" cm="1">
        <f t="array" aca="1" ref="AM15" ca="1">IFERROR(INDEX(OFFSET($V$13,0,0,$C$10,1),AF15),0)</f>
        <v>0</v>
      </c>
      <c r="AO15" cm="1">
        <f t="array" aca="1" ref="AO15" ca="1">IF(AH15=0,0,INDEX(sys_DataFlat_LU_Grid,$C$2,AH15))</f>
        <v>0</v>
      </c>
      <c r="AP15" cm="1">
        <f t="array" aca="1" ref="AP15" ca="1">IF(AI15=0,0,INDEX(sys_DataFlat_LU_Grid,$C$2,AI15))</f>
        <v>0</v>
      </c>
      <c r="AQ15" cm="1">
        <f t="array" aca="1" ref="AQ15" ca="1">IF(AJ15=0,0,INDEX(sys_DataFlat_LU_Grid,$C$2,AJ15))</f>
        <v>0</v>
      </c>
      <c r="AR15" cm="1">
        <f t="array" aca="1" ref="AR15" ca="1">IF(AK15=0,0,INDEX(sys_DataFlat_LU_Grid,$C$2,AK15))</f>
        <v>32</v>
      </c>
      <c r="AS15" cm="1">
        <f t="array" aca="1" ref="AS15" ca="1">IF(AL15=0,0,INDEX(sys_DataFlat_LU_Grid,$C$2,AL15))</f>
        <v>7</v>
      </c>
      <c r="AT15" cm="1">
        <f t="array" aca="1" ref="AT15" ca="1">IF(AM15=0,0,INDEX(sys_DataFlat_LU_Grid,$C$2,AM15))</f>
        <v>0</v>
      </c>
    </row>
    <row r="16" spans="1:46" x14ac:dyDescent="0.4">
      <c r="A16">
        <v>4</v>
      </c>
      <c r="B16">
        <v>4</v>
      </c>
      <c r="C16" cm="1">
        <f t="array" ref="C16">INDEX(auto_Country_Status,B16)</f>
        <v>1</v>
      </c>
      <c r="E16" cm="1">
        <f t="array" aca="1" ref="E16" ca="1">INDEX(sys_DataFlat_LU_Grid,$C$2,$B16)</f>
        <v>4</v>
      </c>
      <c r="F16" cm="1">
        <f t="array" aca="1" ref="F16" ca="1">INDEX(auto_DataFlat_Score,E16,$C$3)</f>
        <v>71</v>
      </c>
      <c r="G16" cm="1">
        <f t="array" aca="1" ref="G16" ca="1">INDEX(auto_DataFlat_DataValue,E16,$C$3)</f>
        <v>0</v>
      </c>
      <c r="H16">
        <f t="shared" ref="H16:H62" ca="1" si="8">F16+(IF($C$9=1,G16,-G16)/100000000)</f>
        <v>71</v>
      </c>
      <c r="J16">
        <f ca="1">IF($C16=0,-40000000,IFERROR(CHOOSE($C$5,H16,-H16,#REF!,-#REF!),-30000000))</f>
        <v>71</v>
      </c>
      <c r="K16">
        <f t="shared" ref="K16:K62" ca="1" si="9">IF(ISNUMBER(J16),J16,-20000000)</f>
        <v>71</v>
      </c>
      <c r="L16">
        <f ca="1">RANK(K16,OFFSET(K$13,0,0,$C$10,1))+COUNTIF(K$13:K16,K16)-1</f>
        <v>16</v>
      </c>
      <c r="N16">
        <f t="shared" ca="1" si="5"/>
        <v>34</v>
      </c>
      <c r="O16" cm="1">
        <f t="array" aca="1" ref="O16" ca="1">INDEX(auto_Country_Status,N16)</f>
        <v>1</v>
      </c>
      <c r="P16" cm="1">
        <f t="array" aca="1" ref="P16" ca="1">INDEX(OFFSET($E$13,0,0,$C$10,1),N16)</f>
        <v>34</v>
      </c>
      <c r="Q16" t="str" cm="1">
        <f t="array" aca="1" ref="Q16" ca="1">INDEX(auto_Country_ISO,N16)</f>
        <v>NYC</v>
      </c>
      <c r="R16" cm="1">
        <f t="array" aca="1" ref="R16" ca="1">IF($O16=0,0,INDEX(auto_DataFlat_Classification,P16,$C$3))</f>
        <v>4</v>
      </c>
      <c r="T16">
        <f t="shared" ref="T16:T62" ca="1" si="10">F16</f>
        <v>71</v>
      </c>
      <c r="U16">
        <f ca="1">RANK(T16,OFFSET(T$13,0,0,$C$10,1))+COUNTIF(T$13:T16,T16)-1</f>
        <v>16</v>
      </c>
      <c r="V16">
        <f t="shared" ca="1" si="6"/>
        <v>34</v>
      </c>
      <c r="W16" cm="1">
        <f t="array" aca="1" ref="W16" ca="1">INDEX(auto_Country_Status,V16)</f>
        <v>1</v>
      </c>
      <c r="X16" cm="1">
        <f t="array" aca="1" ref="X16" ca="1">INDEX(sys_DataFlat_LU_Grid,$C$2,V16)</f>
        <v>34</v>
      </c>
      <c r="Y16" cm="1">
        <f t="array" aca="1" ref="Y16" ca="1">IF(W16=0,-1,INDEX(auto_DataFlat_Classification,X16,$C$3))</f>
        <v>4</v>
      </c>
      <c r="AA16" t="e">
        <f t="shared" ref="AA16:AF16" ca="1" si="11">IFERROR(AA15+MATCH(AA$11,OFFSET($Y$13,AA15,0,$C$10-AA15,1),0),NA())</f>
        <v>#N/A</v>
      </c>
      <c r="AB16" t="e">
        <f t="shared" ca="1" si="11"/>
        <v>#N/A</v>
      </c>
      <c r="AC16" t="e">
        <f t="shared" ca="1" si="11"/>
        <v>#N/A</v>
      </c>
      <c r="AD16">
        <f t="shared" ca="1" si="11"/>
        <v>35</v>
      </c>
      <c r="AE16">
        <f t="shared" ca="1" si="11"/>
        <v>6</v>
      </c>
      <c r="AF16" t="e">
        <f t="shared" ca="1" si="11"/>
        <v>#N/A</v>
      </c>
      <c r="AH16" cm="1">
        <f t="array" aca="1" ref="AH16" ca="1">IFERROR(INDEX(OFFSET($V$13,0,0,$C$10,1),AA16),0)</f>
        <v>0</v>
      </c>
      <c r="AI16" cm="1">
        <f t="array" aca="1" ref="AI16" ca="1">IFERROR(INDEX(OFFSET($V$13,0,0,$C$10,1),AB16),0)</f>
        <v>0</v>
      </c>
      <c r="AJ16" cm="1">
        <f t="array" aca="1" ref="AJ16" ca="1">IFERROR(INDEX(OFFSET($V$13,0,0,$C$10,1),AC16),0)</f>
        <v>0</v>
      </c>
      <c r="AK16" cm="1">
        <f t="array" aca="1" ref="AK16" ca="1">IFERROR(INDEX(OFFSET($V$13,0,0,$C$10,1),AD16),0)</f>
        <v>20</v>
      </c>
      <c r="AL16" cm="1">
        <f t="array" aca="1" ref="AL16" ca="1">IFERROR(INDEX(OFFSET($V$13,0,0,$C$10,1),AE16),0)</f>
        <v>47</v>
      </c>
      <c r="AM16" cm="1">
        <f t="array" aca="1" ref="AM16" ca="1">IFERROR(INDEX(OFFSET($V$13,0,0,$C$10,1),AF16),0)</f>
        <v>0</v>
      </c>
      <c r="AO16" cm="1">
        <f t="array" aca="1" ref="AO16" ca="1">IF(AH16=0,0,INDEX(sys_DataFlat_LU_Grid,$C$2,AH16))</f>
        <v>0</v>
      </c>
      <c r="AP16" cm="1">
        <f t="array" aca="1" ref="AP16" ca="1">IF(AI16=0,0,INDEX(sys_DataFlat_LU_Grid,$C$2,AI16))</f>
        <v>0</v>
      </c>
      <c r="AQ16" cm="1">
        <f t="array" aca="1" ref="AQ16" ca="1">IF(AJ16=0,0,INDEX(sys_DataFlat_LU_Grid,$C$2,AJ16))</f>
        <v>0</v>
      </c>
      <c r="AR16" cm="1">
        <f t="array" aca="1" ref="AR16" ca="1">IF(AK16=0,0,INDEX(sys_DataFlat_LU_Grid,$C$2,AK16))</f>
        <v>20</v>
      </c>
      <c r="AS16" cm="1">
        <f t="array" aca="1" ref="AS16" ca="1">IF(AL16=0,0,INDEX(sys_DataFlat_LU_Grid,$C$2,AL16))</f>
        <v>47</v>
      </c>
      <c r="AT16" cm="1">
        <f t="array" aca="1" ref="AT16" ca="1">IF(AM16=0,0,INDEX(sys_DataFlat_LU_Grid,$C$2,AM16))</f>
        <v>0</v>
      </c>
    </row>
    <row r="17" spans="1:46" x14ac:dyDescent="0.4">
      <c r="A17">
        <v>5</v>
      </c>
      <c r="B17">
        <v>5</v>
      </c>
      <c r="C17" cm="1">
        <f t="array" ref="C17">INDEX(auto_Country_Status,B17)</f>
        <v>1</v>
      </c>
      <c r="E17" cm="1">
        <f t="array" aca="1" ref="E17" ca="1">INDEX(sys_DataFlat_LU_Grid,$C$2,$B17)</f>
        <v>5</v>
      </c>
      <c r="F17" cm="1">
        <f t="array" aca="1" ref="F17" ca="1">INDEX(auto_DataFlat_Score,E17,$C$3)</f>
        <v>68.8</v>
      </c>
      <c r="G17" cm="1">
        <f t="array" aca="1" ref="G17" ca="1">INDEX(auto_DataFlat_DataValue,E17,$C$3)</f>
        <v>0</v>
      </c>
      <c r="H17">
        <f t="shared" ca="1" si="8"/>
        <v>68.8</v>
      </c>
      <c r="J17">
        <f t="shared" ref="J17" ca="1" si="12">IF($C17=0,-40000000,IFERROR(CHOOSE($C$5,H17,-H17),-30000000))</f>
        <v>68.8</v>
      </c>
      <c r="K17">
        <f t="shared" ca="1" si="9"/>
        <v>68.8</v>
      </c>
      <c r="L17">
        <f ca="1">RANK(K17,OFFSET(K$13,0,0,$C$10,1))+COUNTIF(K$13:K17,K17)-1</f>
        <v>20</v>
      </c>
      <c r="N17">
        <f t="shared" ca="1" si="5"/>
        <v>7</v>
      </c>
      <c r="O17" cm="1">
        <f t="array" aca="1" ref="O17" ca="1">INDEX(auto_Country_Status,N17)</f>
        <v>1</v>
      </c>
      <c r="P17" cm="1">
        <f t="array" aca="1" ref="P17" ca="1">INDEX(OFFSET($E$13,0,0,$C$10,1),N17)</f>
        <v>7</v>
      </c>
      <c r="Q17" t="str" cm="1">
        <f t="array" aca="1" ref="Q17" ca="1">INDEX(auto_Country_ISO,N17)</f>
        <v>BER</v>
      </c>
      <c r="R17" cm="1">
        <f t="array" aca="1" ref="R17" ca="1">IF($O17=0,0,INDEX(auto_DataFlat_Classification,P17,$C$3))</f>
        <v>4</v>
      </c>
      <c r="T17">
        <f t="shared" ca="1" si="10"/>
        <v>68.8</v>
      </c>
      <c r="U17">
        <f ca="1">RANK(T17,OFFSET(T$13,0,0,$C$10,1))+COUNTIF(T$13:T17,T17)-1</f>
        <v>20</v>
      </c>
      <c r="V17">
        <f t="shared" ca="1" si="6"/>
        <v>7</v>
      </c>
      <c r="W17" cm="1">
        <f t="array" aca="1" ref="W17" ca="1">INDEX(auto_Country_Status,V17)</f>
        <v>1</v>
      </c>
      <c r="X17" cm="1">
        <f t="array" aca="1" ref="X17" ca="1">INDEX(sys_DataFlat_LU_Grid,$C$2,V17)</f>
        <v>7</v>
      </c>
      <c r="Y17" cm="1">
        <f t="array" aca="1" ref="Y17" ca="1">IF(W17=0,-1,INDEX(auto_DataFlat_Classification,X17,$C$3))</f>
        <v>4</v>
      </c>
      <c r="AA17" t="e">
        <f t="shared" ref="AA17:AF17" ca="1" si="13">IFERROR(AA16+MATCH(AA$11,OFFSET($Y$13,AA16,0,$C$10-AA16,1),0),NA())</f>
        <v>#N/A</v>
      </c>
      <c r="AB17" t="e">
        <f t="shared" ca="1" si="13"/>
        <v>#N/A</v>
      </c>
      <c r="AC17" t="e">
        <f t="shared" ca="1" si="13"/>
        <v>#N/A</v>
      </c>
      <c r="AD17">
        <f t="shared" ca="1" si="13"/>
        <v>36</v>
      </c>
      <c r="AE17">
        <f t="shared" ca="1" si="13"/>
        <v>7</v>
      </c>
      <c r="AF17" t="e">
        <f t="shared" ca="1" si="13"/>
        <v>#N/A</v>
      </c>
      <c r="AH17" cm="1">
        <f t="array" aca="1" ref="AH17" ca="1">IFERROR(INDEX(OFFSET($V$13,0,0,$C$10,1),AA17),0)</f>
        <v>0</v>
      </c>
      <c r="AI17" cm="1">
        <f t="array" aca="1" ref="AI17" ca="1">IFERROR(INDEX(OFFSET($V$13,0,0,$C$10,1),AB17),0)</f>
        <v>0</v>
      </c>
      <c r="AJ17" cm="1">
        <f t="array" aca="1" ref="AJ17" ca="1">IFERROR(INDEX(OFFSET($V$13,0,0,$C$10,1),AC17),0)</f>
        <v>0</v>
      </c>
      <c r="AK17" cm="1">
        <f t="array" aca="1" ref="AK17" ca="1">IFERROR(INDEX(OFFSET($V$13,0,0,$C$10,1),AD17),0)</f>
        <v>33</v>
      </c>
      <c r="AL17" cm="1">
        <f t="array" aca="1" ref="AL17" ca="1">IFERROR(INDEX(OFFSET($V$13,0,0,$C$10,1),AE17),0)</f>
        <v>44</v>
      </c>
      <c r="AM17" cm="1">
        <f t="array" aca="1" ref="AM17" ca="1">IFERROR(INDEX(OFFSET($V$13,0,0,$C$10,1),AF17),0)</f>
        <v>0</v>
      </c>
      <c r="AO17" cm="1">
        <f t="array" aca="1" ref="AO17" ca="1">IF(AH17=0,0,INDEX(sys_DataFlat_LU_Grid,$C$2,AH17))</f>
        <v>0</v>
      </c>
      <c r="AP17" cm="1">
        <f t="array" aca="1" ref="AP17" ca="1">IF(AI17=0,0,INDEX(sys_DataFlat_LU_Grid,$C$2,AI17))</f>
        <v>0</v>
      </c>
      <c r="AQ17" cm="1">
        <f t="array" aca="1" ref="AQ17" ca="1">IF(AJ17=0,0,INDEX(sys_DataFlat_LU_Grid,$C$2,AJ17))</f>
        <v>0</v>
      </c>
      <c r="AR17" cm="1">
        <f t="array" aca="1" ref="AR17" ca="1">IF(AK17=0,0,INDEX(sys_DataFlat_LU_Grid,$C$2,AK17))</f>
        <v>33</v>
      </c>
      <c r="AS17" cm="1">
        <f t="array" aca="1" ref="AS17" ca="1">IF(AL17=0,0,INDEX(sys_DataFlat_LU_Grid,$C$2,AL17))</f>
        <v>44</v>
      </c>
      <c r="AT17" cm="1">
        <f t="array" aca="1" ref="AT17" ca="1">IF(AM17=0,0,INDEX(sys_DataFlat_LU_Grid,$C$2,AM17))</f>
        <v>0</v>
      </c>
    </row>
    <row r="18" spans="1:46" x14ac:dyDescent="0.4">
      <c r="A18">
        <v>6</v>
      </c>
      <c r="B18">
        <v>6</v>
      </c>
      <c r="C18" cm="1">
        <f t="array" ref="C18">INDEX(auto_Country_Status,B18)</f>
        <v>1</v>
      </c>
      <c r="E18" cm="1">
        <f t="array" aca="1" ref="E18" ca="1">INDEX(sys_DataFlat_LU_Grid,$C$2,$B18)</f>
        <v>6</v>
      </c>
      <c r="F18" cm="1">
        <f t="array" aca="1" ref="F18" ca="1">INDEX(auto_DataFlat_Score,E18,$C$3)</f>
        <v>63.4</v>
      </c>
      <c r="G18" cm="1">
        <f t="array" aca="1" ref="G18" ca="1">INDEX(auto_DataFlat_DataValue,E18,$C$3)</f>
        <v>0</v>
      </c>
      <c r="H18">
        <f t="shared" ca="1" si="8"/>
        <v>63.4</v>
      </c>
      <c r="J18">
        <f ca="1">IF($C18=0,-40000000,IFERROR(CHOOSE($C$5,H18,-H18,#REF!,-#REF!),-30000000))</f>
        <v>63.4</v>
      </c>
      <c r="K18">
        <f t="shared" ca="1" si="9"/>
        <v>63.4</v>
      </c>
      <c r="L18">
        <f ca="1">RANK(K18,OFFSET(K$13,0,0,$C$10,1))+COUNTIF(K$13:K18,K18)-1</f>
        <v>28</v>
      </c>
      <c r="N18">
        <f t="shared" ca="1" si="5"/>
        <v>47</v>
      </c>
      <c r="O18" cm="1">
        <f t="array" aca="1" ref="O18" ca="1">INDEX(auto_Country_Status,N18)</f>
        <v>1</v>
      </c>
      <c r="P18" cm="1">
        <f t="array" aca="1" ref="P18" ca="1">INDEX(OFFSET($E$13,0,0,$C$10,1),N18)</f>
        <v>47</v>
      </c>
      <c r="Q18" t="str" cm="1">
        <f t="array" aca="1" ref="Q18" ca="1">INDEX(auto_Country_ISO,N18)</f>
        <v>TOR</v>
      </c>
      <c r="R18" cm="1">
        <f t="array" aca="1" ref="R18" ca="1">IF($O18=0,0,INDEX(auto_DataFlat_Classification,P18,$C$3))</f>
        <v>4</v>
      </c>
      <c r="T18">
        <f t="shared" ca="1" si="10"/>
        <v>63.4</v>
      </c>
      <c r="U18">
        <f ca="1">RANK(T18,OFFSET(T$13,0,0,$C$10,1))+COUNTIF(T$13:T18,T18)-1</f>
        <v>28</v>
      </c>
      <c r="V18">
        <f t="shared" ca="1" si="6"/>
        <v>47</v>
      </c>
      <c r="W18" cm="1">
        <f t="array" aca="1" ref="W18" ca="1">INDEX(auto_Country_Status,V18)</f>
        <v>1</v>
      </c>
      <c r="X18" cm="1">
        <f t="array" aca="1" ref="X18" ca="1">INDEX(sys_DataFlat_LU_Grid,$C$2,V18)</f>
        <v>47</v>
      </c>
      <c r="Y18" cm="1">
        <f t="array" aca="1" ref="Y18" ca="1">IF(W18=0,-1,INDEX(auto_DataFlat_Classification,X18,$C$3))</f>
        <v>4</v>
      </c>
      <c r="AA18" t="e">
        <f t="shared" ref="AA18:AF18" ca="1" si="14">IFERROR(AA17+MATCH(AA$11,OFFSET($Y$13,AA17,0,$C$10-AA17,1),0),NA())</f>
        <v>#N/A</v>
      </c>
      <c r="AB18" t="e">
        <f t="shared" ca="1" si="14"/>
        <v>#N/A</v>
      </c>
      <c r="AC18" t="e">
        <f t="shared" ca="1" si="14"/>
        <v>#N/A</v>
      </c>
      <c r="AD18">
        <f t="shared" ca="1" si="14"/>
        <v>37</v>
      </c>
      <c r="AE18">
        <f t="shared" ca="1" si="14"/>
        <v>8</v>
      </c>
      <c r="AF18" t="e">
        <f t="shared" ca="1" si="14"/>
        <v>#N/A</v>
      </c>
      <c r="AH18" cm="1">
        <f t="array" aca="1" ref="AH18" ca="1">IFERROR(INDEX(OFFSET($V$13,0,0,$C$10,1),AA18),0)</f>
        <v>0</v>
      </c>
      <c r="AI18" cm="1">
        <f t="array" aca="1" ref="AI18" ca="1">IFERROR(INDEX(OFFSET($V$13,0,0,$C$10,1),AB18),0)</f>
        <v>0</v>
      </c>
      <c r="AJ18" cm="1">
        <f t="array" aca="1" ref="AJ18" ca="1">IFERROR(INDEX(OFFSET($V$13,0,0,$C$10,1),AC18),0)</f>
        <v>0</v>
      </c>
      <c r="AK18" cm="1">
        <f t="array" aca="1" ref="AK18" ca="1">IFERROR(INDEX(OFFSET($V$13,0,0,$C$10,1),AD18),0)</f>
        <v>23</v>
      </c>
      <c r="AL18" cm="1">
        <f t="array" aca="1" ref="AL18" ca="1">IFERROR(INDEX(OFFSET($V$13,0,0,$C$10,1),AE18),0)</f>
        <v>46</v>
      </c>
      <c r="AM18" cm="1">
        <f t="array" aca="1" ref="AM18" ca="1">IFERROR(INDEX(OFFSET($V$13,0,0,$C$10,1),AF18),0)</f>
        <v>0</v>
      </c>
      <c r="AO18" cm="1">
        <f t="array" aca="1" ref="AO18" ca="1">IF(AH18=0,0,INDEX(sys_DataFlat_LU_Grid,$C$2,AH18))</f>
        <v>0</v>
      </c>
      <c r="AP18" cm="1">
        <f t="array" aca="1" ref="AP18" ca="1">IF(AI18=0,0,INDEX(sys_DataFlat_LU_Grid,$C$2,AI18))</f>
        <v>0</v>
      </c>
      <c r="AQ18" cm="1">
        <f t="array" aca="1" ref="AQ18" ca="1">IF(AJ18=0,0,INDEX(sys_DataFlat_LU_Grid,$C$2,AJ18))</f>
        <v>0</v>
      </c>
      <c r="AR18" cm="1">
        <f t="array" aca="1" ref="AR18" ca="1">IF(AK18=0,0,INDEX(sys_DataFlat_LU_Grid,$C$2,AK18))</f>
        <v>23</v>
      </c>
      <c r="AS18" cm="1">
        <f t="array" aca="1" ref="AS18" ca="1">IF(AL18=0,0,INDEX(sys_DataFlat_LU_Grid,$C$2,AL18))</f>
        <v>46</v>
      </c>
      <c r="AT18" cm="1">
        <f t="array" aca="1" ref="AT18" ca="1">IF(AM18=0,0,INDEX(sys_DataFlat_LU_Grid,$C$2,AM18))</f>
        <v>0</v>
      </c>
    </row>
    <row r="19" spans="1:46" x14ac:dyDescent="0.4">
      <c r="A19">
        <v>7</v>
      </c>
      <c r="B19">
        <v>7</v>
      </c>
      <c r="C19" cm="1">
        <f t="array" ref="C19">INDEX(auto_Country_Status,B19)</f>
        <v>1</v>
      </c>
      <c r="E19" cm="1">
        <f t="array" aca="1" ref="E19" ca="1">INDEX(sys_DataFlat_LU_Grid,$C$2,$B19)</f>
        <v>7</v>
      </c>
      <c r="F19" cm="1">
        <f t="array" aca="1" ref="F19" ca="1">INDEX(auto_DataFlat_Score,E19,$C$3)</f>
        <v>77.400000000000006</v>
      </c>
      <c r="G19" cm="1">
        <f t="array" aca="1" ref="G19" ca="1">INDEX(auto_DataFlat_DataValue,E19,$C$3)</f>
        <v>0</v>
      </c>
      <c r="H19">
        <f t="shared" ca="1" si="8"/>
        <v>77.400000000000006</v>
      </c>
      <c r="J19">
        <f t="shared" ref="J19" ca="1" si="15">IF($C19=0,-40000000,IFERROR(CHOOSE($C$5,H19,-H19),-30000000))</f>
        <v>77.400000000000006</v>
      </c>
      <c r="K19">
        <f t="shared" ca="1" si="9"/>
        <v>77.400000000000006</v>
      </c>
      <c r="L19">
        <f ca="1">RANK(K19,OFFSET(K$13,0,0,$C$10,1))+COUNTIF(K$13:K19,K19)-1</f>
        <v>5</v>
      </c>
      <c r="N19">
        <f t="shared" ca="1" si="5"/>
        <v>44</v>
      </c>
      <c r="O19" cm="1">
        <f t="array" aca="1" ref="O19" ca="1">INDEX(auto_Country_Status,N19)</f>
        <v>1</v>
      </c>
      <c r="P19" cm="1">
        <f t="array" aca="1" ref="P19" ca="1">INDEX(OFFSET($E$13,0,0,$C$10,1),N19)</f>
        <v>44</v>
      </c>
      <c r="Q19" t="str" cm="1">
        <f t="array" aca="1" ref="Q19" ca="1">INDEX(auto_Country_ISO,N19)</f>
        <v>SIN</v>
      </c>
      <c r="R19" cm="1">
        <f t="array" aca="1" ref="R19" ca="1">IF($O19=0,0,INDEX(auto_DataFlat_Classification,P19,$C$3))</f>
        <v>4</v>
      </c>
      <c r="T19">
        <f t="shared" ca="1" si="10"/>
        <v>77.400000000000006</v>
      </c>
      <c r="U19">
        <f ca="1">RANK(T19,OFFSET(T$13,0,0,$C$10,1))+COUNTIF(T$13:T19,T19)-1</f>
        <v>5</v>
      </c>
      <c r="V19">
        <f t="shared" ca="1" si="6"/>
        <v>44</v>
      </c>
      <c r="W19" cm="1">
        <f t="array" aca="1" ref="W19" ca="1">INDEX(auto_Country_Status,V19)</f>
        <v>1</v>
      </c>
      <c r="X19" cm="1">
        <f t="array" aca="1" ref="X19" ca="1">INDEX(sys_DataFlat_LU_Grid,$C$2,V19)</f>
        <v>44</v>
      </c>
      <c r="Y19" cm="1">
        <f t="array" aca="1" ref="Y19" ca="1">IF(W19=0,-1,INDEX(auto_DataFlat_Classification,X19,$C$3))</f>
        <v>4</v>
      </c>
      <c r="AA19" t="e">
        <f t="shared" ref="AA19:AF19" ca="1" si="16">IFERROR(AA18+MATCH(AA$11,OFFSET($Y$13,AA18,0,$C$10-AA18,1),0),NA())</f>
        <v>#N/A</v>
      </c>
      <c r="AB19" t="e">
        <f t="shared" ca="1" si="16"/>
        <v>#N/A</v>
      </c>
      <c r="AC19" t="e">
        <f t="shared" ca="1" si="16"/>
        <v>#N/A</v>
      </c>
      <c r="AD19">
        <f t="shared" ca="1" si="16"/>
        <v>38</v>
      </c>
      <c r="AE19">
        <f t="shared" ca="1" si="16"/>
        <v>9</v>
      </c>
      <c r="AF19" t="e">
        <f t="shared" ca="1" si="16"/>
        <v>#N/A</v>
      </c>
      <c r="AH19" cm="1">
        <f t="array" aca="1" ref="AH19" ca="1">IFERROR(INDEX(OFFSET($V$13,0,0,$C$10,1),AA19),0)</f>
        <v>0</v>
      </c>
      <c r="AI19" cm="1">
        <f t="array" aca="1" ref="AI19" ca="1">IFERROR(INDEX(OFFSET($V$13,0,0,$C$10,1),AB19),0)</f>
        <v>0</v>
      </c>
      <c r="AJ19" cm="1">
        <f t="array" aca="1" ref="AJ19" ca="1">IFERROR(INDEX(OFFSET($V$13,0,0,$C$10,1),AC19),0)</f>
        <v>0</v>
      </c>
      <c r="AK19" cm="1">
        <f t="array" aca="1" ref="AK19" ca="1">IFERROR(INDEX(OFFSET($V$13,0,0,$C$10,1),AD19),0)</f>
        <v>25</v>
      </c>
      <c r="AL19" cm="1">
        <f t="array" aca="1" ref="AL19" ca="1">IFERROR(INDEX(OFFSET($V$13,0,0,$C$10,1),AE19),0)</f>
        <v>29</v>
      </c>
      <c r="AM19" cm="1">
        <f t="array" aca="1" ref="AM19" ca="1">IFERROR(INDEX(OFFSET($V$13,0,0,$C$10,1),AF19),0)</f>
        <v>0</v>
      </c>
      <c r="AO19" cm="1">
        <f t="array" aca="1" ref="AO19" ca="1">IF(AH19=0,0,INDEX(sys_DataFlat_LU_Grid,$C$2,AH19))</f>
        <v>0</v>
      </c>
      <c r="AP19" cm="1">
        <f t="array" aca="1" ref="AP19" ca="1">IF(AI19=0,0,INDEX(sys_DataFlat_LU_Grid,$C$2,AI19))</f>
        <v>0</v>
      </c>
      <c r="AQ19" cm="1">
        <f t="array" aca="1" ref="AQ19" ca="1">IF(AJ19=0,0,INDEX(sys_DataFlat_LU_Grid,$C$2,AJ19))</f>
        <v>0</v>
      </c>
      <c r="AR19" cm="1">
        <f t="array" aca="1" ref="AR19" ca="1">IF(AK19=0,0,INDEX(sys_DataFlat_LU_Grid,$C$2,AK19))</f>
        <v>25</v>
      </c>
      <c r="AS19" cm="1">
        <f t="array" aca="1" ref="AS19" ca="1">IF(AL19=0,0,INDEX(sys_DataFlat_LU_Grid,$C$2,AL19))</f>
        <v>29</v>
      </c>
      <c r="AT19" cm="1">
        <f t="array" aca="1" ref="AT19" ca="1">IF(AM19=0,0,INDEX(sys_DataFlat_LU_Grid,$C$2,AM19))</f>
        <v>0</v>
      </c>
    </row>
    <row r="20" spans="1:46" x14ac:dyDescent="0.4">
      <c r="A20">
        <v>8</v>
      </c>
      <c r="B20">
        <v>8</v>
      </c>
      <c r="C20" cm="1">
        <f t="array" ref="C20">INDEX(auto_Country_Status,B20)</f>
        <v>1</v>
      </c>
      <c r="E20" cm="1">
        <f t="array" aca="1" ref="E20" ca="1">INDEX(sys_DataFlat_LU_Grid,$C$2,$B20)</f>
        <v>8</v>
      </c>
      <c r="F20" cm="1">
        <f t="array" aca="1" ref="F20" ca="1">INDEX(auto_DataFlat_Score,E20,$C$3)</f>
        <v>69.7</v>
      </c>
      <c r="G20" cm="1">
        <f t="array" aca="1" ref="G20" ca="1">INDEX(auto_DataFlat_DataValue,E20,$C$3)</f>
        <v>0</v>
      </c>
      <c r="H20">
        <f t="shared" ca="1" si="8"/>
        <v>69.7</v>
      </c>
      <c r="J20">
        <f ca="1">IF($C20=0,-40000000,IFERROR(CHOOSE($C$5,H20,-H20,#REF!,-#REF!),-30000000))</f>
        <v>69.7</v>
      </c>
      <c r="K20">
        <f t="shared" ca="1" si="9"/>
        <v>69.7</v>
      </c>
      <c r="L20">
        <f ca="1">RANK(K20,OFFSET(K$13,0,0,$C$10,1))+COUNTIF(K$13:K20,K20)-1</f>
        <v>18</v>
      </c>
      <c r="N20">
        <f t="shared" ca="1" si="5"/>
        <v>46</v>
      </c>
      <c r="O20" cm="1">
        <f t="array" aca="1" ref="O20" ca="1">INDEX(auto_Country_Status,N20)</f>
        <v>1</v>
      </c>
      <c r="P20" cm="1">
        <f t="array" aca="1" ref="P20" ca="1">INDEX(OFFSET($E$13,0,0,$C$10,1),N20)</f>
        <v>46</v>
      </c>
      <c r="Q20" t="str" cm="1">
        <f t="array" aca="1" ref="Q20" ca="1">INDEX(auto_Country_ISO,N20)</f>
        <v>TYO</v>
      </c>
      <c r="R20" cm="1">
        <f t="array" aca="1" ref="R20" ca="1">IF($O20=0,0,INDEX(auto_DataFlat_Classification,P20,$C$3))</f>
        <v>4</v>
      </c>
      <c r="T20">
        <f t="shared" ca="1" si="10"/>
        <v>69.7</v>
      </c>
      <c r="U20">
        <f ca="1">RANK(T20,OFFSET(T$13,0,0,$C$10,1))+COUNTIF(T$13:T20,T20)-1</f>
        <v>18</v>
      </c>
      <c r="V20">
        <f t="shared" ca="1" si="6"/>
        <v>46</v>
      </c>
      <c r="W20" cm="1">
        <f t="array" aca="1" ref="W20" ca="1">INDEX(auto_Country_Status,V20)</f>
        <v>1</v>
      </c>
      <c r="X20" cm="1">
        <f t="array" aca="1" ref="X20" ca="1">INDEX(sys_DataFlat_LU_Grid,$C$2,V20)</f>
        <v>46</v>
      </c>
      <c r="Y20" cm="1">
        <f t="array" aca="1" ref="Y20" ca="1">IF(W20=0,-1,INDEX(auto_DataFlat_Classification,X20,$C$3))</f>
        <v>4</v>
      </c>
      <c r="AA20" t="e">
        <f t="shared" ref="AA20:AF20" ca="1" si="17">IFERROR(AA19+MATCH(AA$11,OFFSET($Y$13,AA19,0,$C$10-AA19,1),0),NA())</f>
        <v>#N/A</v>
      </c>
      <c r="AB20" t="e">
        <f t="shared" ca="1" si="17"/>
        <v>#N/A</v>
      </c>
      <c r="AC20" t="e">
        <f t="shared" ca="1" si="17"/>
        <v>#N/A</v>
      </c>
      <c r="AD20">
        <f t="shared" ca="1" si="17"/>
        <v>39</v>
      </c>
      <c r="AE20">
        <f t="shared" ca="1" si="17"/>
        <v>10</v>
      </c>
      <c r="AF20" t="e">
        <f t="shared" ca="1" si="17"/>
        <v>#N/A</v>
      </c>
      <c r="AH20" cm="1">
        <f t="array" aca="1" ref="AH20" ca="1">IFERROR(INDEX(OFFSET($V$13,0,0,$C$10,1),AA20),0)</f>
        <v>0</v>
      </c>
      <c r="AI20" cm="1">
        <f t="array" aca="1" ref="AI20" ca="1">IFERROR(INDEX(OFFSET($V$13,0,0,$C$10,1),AB20),0)</f>
        <v>0</v>
      </c>
      <c r="AJ20" cm="1">
        <f t="array" aca="1" ref="AJ20" ca="1">IFERROR(INDEX(OFFSET($V$13,0,0,$C$10,1),AC20),0)</f>
        <v>0</v>
      </c>
      <c r="AK20" cm="1">
        <f t="array" aca="1" ref="AK20" ca="1">IFERROR(INDEX(OFFSET($V$13,0,0,$C$10,1),AD20),0)</f>
        <v>37</v>
      </c>
      <c r="AL20" cm="1">
        <f t="array" aca="1" ref="AL20" ca="1">IFERROR(INDEX(OFFSET($V$13,0,0,$C$10,1),AE20),0)</f>
        <v>42</v>
      </c>
      <c r="AM20" cm="1">
        <f t="array" aca="1" ref="AM20" ca="1">IFERROR(INDEX(OFFSET($V$13,0,0,$C$10,1),AF20),0)</f>
        <v>0</v>
      </c>
      <c r="AO20" cm="1">
        <f t="array" aca="1" ref="AO20" ca="1">IF(AH20=0,0,INDEX(sys_DataFlat_LU_Grid,$C$2,AH20))</f>
        <v>0</v>
      </c>
      <c r="AP20" cm="1">
        <f t="array" aca="1" ref="AP20" ca="1">IF(AI20=0,0,INDEX(sys_DataFlat_LU_Grid,$C$2,AI20))</f>
        <v>0</v>
      </c>
      <c r="AQ20" cm="1">
        <f t="array" aca="1" ref="AQ20" ca="1">IF(AJ20=0,0,INDEX(sys_DataFlat_LU_Grid,$C$2,AJ20))</f>
        <v>0</v>
      </c>
      <c r="AR20" cm="1">
        <f t="array" aca="1" ref="AR20" ca="1">IF(AK20=0,0,INDEX(sys_DataFlat_LU_Grid,$C$2,AK20))</f>
        <v>37</v>
      </c>
      <c r="AS20" cm="1">
        <f t="array" aca="1" ref="AS20" ca="1">IF(AL20=0,0,INDEX(sys_DataFlat_LU_Grid,$C$2,AL20))</f>
        <v>42</v>
      </c>
      <c r="AT20" cm="1">
        <f t="array" aca="1" ref="AT20" ca="1">IF(AM20=0,0,INDEX(sys_DataFlat_LU_Grid,$C$2,AM20))</f>
        <v>0</v>
      </c>
    </row>
    <row r="21" spans="1:46" x14ac:dyDescent="0.4">
      <c r="A21">
        <v>9</v>
      </c>
      <c r="B21">
        <v>9</v>
      </c>
      <c r="C21" cm="1">
        <f t="array" ref="C21">INDEX(auto_Country_Status,B21)</f>
        <v>1</v>
      </c>
      <c r="E21" cm="1">
        <f t="array" aca="1" ref="E21" ca="1">INDEX(sys_DataFlat_LU_Grid,$C$2,$B21)</f>
        <v>9</v>
      </c>
      <c r="F21" cm="1">
        <f t="array" aca="1" ref="F21" ca="1">INDEX(auto_DataFlat_Score,E21,$C$3)</f>
        <v>69.5</v>
      </c>
      <c r="G21" cm="1">
        <f t="array" aca="1" ref="G21" ca="1">INDEX(auto_DataFlat_DataValue,E21,$C$3)</f>
        <v>0</v>
      </c>
      <c r="H21">
        <f t="shared" ca="1" si="8"/>
        <v>69.5</v>
      </c>
      <c r="J21">
        <f t="shared" ref="J21" ca="1" si="18">IF($C21=0,-40000000,IFERROR(CHOOSE($C$5,H21,-H21),-30000000))</f>
        <v>69.5</v>
      </c>
      <c r="K21">
        <f t="shared" ca="1" si="9"/>
        <v>69.5</v>
      </c>
      <c r="L21">
        <f ca="1">RANK(K21,OFFSET(K$13,0,0,$C$10,1))+COUNTIF(K$13:K21,K21)-1</f>
        <v>19</v>
      </c>
      <c r="N21">
        <f t="shared" ca="1" si="5"/>
        <v>29</v>
      </c>
      <c r="O21" cm="1">
        <f t="array" aca="1" ref="O21" ca="1">INDEX(auto_Country_Status,N21)</f>
        <v>1</v>
      </c>
      <c r="P21" cm="1">
        <f t="array" aca="1" ref="P21" ca="1">INDEX(OFFSET($E$13,0,0,$C$10,1),N21)</f>
        <v>29</v>
      </c>
      <c r="Q21" t="str" cm="1">
        <f t="array" aca="1" ref="Q21" ca="1">INDEX(auto_Country_ISO,N21)</f>
        <v>MEL</v>
      </c>
      <c r="R21" cm="1">
        <f t="array" aca="1" ref="R21" ca="1">IF($O21=0,0,INDEX(auto_DataFlat_Classification,P21,$C$3))</f>
        <v>4</v>
      </c>
      <c r="T21">
        <f t="shared" ca="1" si="10"/>
        <v>69.5</v>
      </c>
      <c r="U21">
        <f ca="1">RANK(T21,OFFSET(T$13,0,0,$C$10,1))+COUNTIF(T$13:T21,T21)-1</f>
        <v>19</v>
      </c>
      <c r="V21">
        <f t="shared" ca="1" si="6"/>
        <v>29</v>
      </c>
      <c r="W21" cm="1">
        <f t="array" aca="1" ref="W21" ca="1">INDEX(auto_Country_Status,V21)</f>
        <v>1</v>
      </c>
      <c r="X21" cm="1">
        <f t="array" aca="1" ref="X21" ca="1">INDEX(sys_DataFlat_LU_Grid,$C$2,V21)</f>
        <v>29</v>
      </c>
      <c r="Y21" cm="1">
        <f t="array" aca="1" ref="Y21" ca="1">IF(W21=0,-1,INDEX(auto_DataFlat_Classification,X21,$C$3))</f>
        <v>4</v>
      </c>
      <c r="AA21" t="e">
        <f t="shared" ref="AA21:AF21" ca="1" si="19">IFERROR(AA20+MATCH(AA$11,OFFSET($Y$13,AA20,0,$C$10-AA20,1),0),NA())</f>
        <v>#N/A</v>
      </c>
      <c r="AB21" t="e">
        <f t="shared" ca="1" si="19"/>
        <v>#N/A</v>
      </c>
      <c r="AC21" t="e">
        <f t="shared" ca="1" si="19"/>
        <v>#N/A</v>
      </c>
      <c r="AD21">
        <f t="shared" ca="1" si="19"/>
        <v>40</v>
      </c>
      <c r="AE21">
        <f t="shared" ca="1" si="19"/>
        <v>11</v>
      </c>
      <c r="AF21" t="e">
        <f t="shared" ca="1" si="19"/>
        <v>#N/A</v>
      </c>
      <c r="AH21" cm="1">
        <f t="array" aca="1" ref="AH21" ca="1">IFERROR(INDEX(OFFSET($V$13,0,0,$C$10,1),AA21),0)</f>
        <v>0</v>
      </c>
      <c r="AI21" cm="1">
        <f t="array" aca="1" ref="AI21" ca="1">IFERROR(INDEX(OFFSET($V$13,0,0,$C$10,1),AB21),0)</f>
        <v>0</v>
      </c>
      <c r="AJ21" cm="1">
        <f t="array" aca="1" ref="AJ21" ca="1">IFERROR(INDEX(OFFSET($V$13,0,0,$C$10,1),AC21),0)</f>
        <v>0</v>
      </c>
      <c r="AK21" cm="1">
        <f t="array" aca="1" ref="AK21" ca="1">IFERROR(INDEX(OFFSET($V$13,0,0,$C$10,1),AD21),0)</f>
        <v>11</v>
      </c>
      <c r="AL21" cm="1">
        <f t="array" aca="1" ref="AL21" ca="1">IFERROR(INDEX(OFFSET($V$13,0,0,$C$10,1),AE21),0)</f>
        <v>15</v>
      </c>
      <c r="AM21" cm="1">
        <f t="array" aca="1" ref="AM21" ca="1">IFERROR(INDEX(OFFSET($V$13,0,0,$C$10,1),AF21),0)</f>
        <v>0</v>
      </c>
      <c r="AO21" cm="1">
        <f t="array" aca="1" ref="AO21" ca="1">IF(AH21=0,0,INDEX(sys_DataFlat_LU_Grid,$C$2,AH21))</f>
        <v>0</v>
      </c>
      <c r="AP21" cm="1">
        <f t="array" aca="1" ref="AP21" ca="1">IF(AI21=0,0,INDEX(sys_DataFlat_LU_Grid,$C$2,AI21))</f>
        <v>0</v>
      </c>
      <c r="AQ21" cm="1">
        <f t="array" aca="1" ref="AQ21" ca="1">IF(AJ21=0,0,INDEX(sys_DataFlat_LU_Grid,$C$2,AJ21))</f>
        <v>0</v>
      </c>
      <c r="AR21" cm="1">
        <f t="array" aca="1" ref="AR21" ca="1">IF(AK21=0,0,INDEX(sys_DataFlat_LU_Grid,$C$2,AK21))</f>
        <v>11</v>
      </c>
      <c r="AS21" cm="1">
        <f t="array" aca="1" ref="AS21" ca="1">IF(AL21=0,0,INDEX(sys_DataFlat_LU_Grid,$C$2,AL21))</f>
        <v>15</v>
      </c>
      <c r="AT21" cm="1">
        <f t="array" aca="1" ref="AT21" ca="1">IF(AM21=0,0,INDEX(sys_DataFlat_LU_Grid,$C$2,AM21))</f>
        <v>0</v>
      </c>
    </row>
    <row r="22" spans="1:46" x14ac:dyDescent="0.4">
      <c r="A22">
        <v>10</v>
      </c>
      <c r="B22">
        <v>10</v>
      </c>
      <c r="C22" cm="1">
        <f t="array" ref="C22">INDEX(auto_Country_Status,B22)</f>
        <v>1</v>
      </c>
      <c r="E22" cm="1">
        <f t="array" aca="1" ref="E22" ca="1">INDEX(sys_DataFlat_LU_Grid,$C$2,$B22)</f>
        <v>10</v>
      </c>
      <c r="F22" cm="1">
        <f t="array" aca="1" ref="F22" ca="1">INDEX(auto_DataFlat_Score,E22,$C$3)</f>
        <v>40.6</v>
      </c>
      <c r="G22" cm="1">
        <f t="array" aca="1" ref="G22" ca="1">INDEX(auto_DataFlat_DataValue,E22,$C$3)</f>
        <v>0</v>
      </c>
      <c r="H22">
        <f t="shared" ca="1" si="8"/>
        <v>40.6</v>
      </c>
      <c r="J22">
        <f ca="1">IF($C22=0,-40000000,IFERROR(CHOOSE($C$5,H22,-H22,#REF!,-#REF!),-30000000))</f>
        <v>40.6</v>
      </c>
      <c r="K22">
        <f t="shared" ca="1" si="9"/>
        <v>40.6</v>
      </c>
      <c r="L22">
        <f ca="1">RANK(K22,OFFSET(K$13,0,0,$C$10,1))+COUNTIF(K$13:K22,K22)-1</f>
        <v>50</v>
      </c>
      <c r="N22">
        <f t="shared" ca="1" si="5"/>
        <v>42</v>
      </c>
      <c r="O22" cm="1">
        <f t="array" aca="1" ref="O22" ca="1">INDEX(auto_Country_Status,N22)</f>
        <v>1</v>
      </c>
      <c r="P22" cm="1">
        <f t="array" aca="1" ref="P22" ca="1">INDEX(OFFSET($E$13,0,0,$C$10,1),N22)</f>
        <v>42</v>
      </c>
      <c r="Q22" t="str" cm="1">
        <f t="array" aca="1" ref="Q22" ca="1">INDEX(auto_Country_ISO,N22)</f>
        <v>SEL</v>
      </c>
      <c r="R22" cm="1">
        <f t="array" aca="1" ref="R22" ca="1">IF($O22=0,0,INDEX(auto_DataFlat_Classification,P22,$C$3))</f>
        <v>4</v>
      </c>
      <c r="T22">
        <f t="shared" ca="1" si="10"/>
        <v>40.6</v>
      </c>
      <c r="U22">
        <f ca="1">RANK(T22,OFFSET(T$13,0,0,$C$10,1))+COUNTIF(T$13:T22,T22)-1</f>
        <v>50</v>
      </c>
      <c r="V22">
        <f t="shared" ca="1" si="6"/>
        <v>42</v>
      </c>
      <c r="W22" cm="1">
        <f t="array" aca="1" ref="W22" ca="1">INDEX(auto_Country_Status,V22)</f>
        <v>1</v>
      </c>
      <c r="X22" cm="1">
        <f t="array" aca="1" ref="X22" ca="1">INDEX(sys_DataFlat_LU_Grid,$C$2,V22)</f>
        <v>42</v>
      </c>
      <c r="Y22" cm="1">
        <f t="array" aca="1" ref="Y22" ca="1">IF(W22=0,-1,INDEX(auto_DataFlat_Classification,X22,$C$3))</f>
        <v>4</v>
      </c>
      <c r="AA22" t="e">
        <f t="shared" ref="AA22:AF22" ca="1" si="20">IFERROR(AA21+MATCH(AA$11,OFFSET($Y$13,AA21,0,$C$10-AA21,1),0),NA())</f>
        <v>#N/A</v>
      </c>
      <c r="AB22" t="e">
        <f t="shared" ca="1" si="20"/>
        <v>#N/A</v>
      </c>
      <c r="AC22" t="e">
        <f t="shared" ca="1" si="20"/>
        <v>#N/A</v>
      </c>
      <c r="AD22">
        <f t="shared" ca="1" si="20"/>
        <v>41</v>
      </c>
      <c r="AE22">
        <f t="shared" ca="1" si="20"/>
        <v>12</v>
      </c>
      <c r="AF22" t="e">
        <f t="shared" ca="1" si="20"/>
        <v>#N/A</v>
      </c>
      <c r="AH22" cm="1">
        <f t="array" aca="1" ref="AH22" ca="1">IFERROR(INDEX(OFFSET($V$13,0,0,$C$10,1),AA22),0)</f>
        <v>0</v>
      </c>
      <c r="AI22" cm="1">
        <f t="array" aca="1" ref="AI22" ca="1">IFERROR(INDEX(OFFSET($V$13,0,0,$C$10,1),AB22),0)</f>
        <v>0</v>
      </c>
      <c r="AJ22" cm="1">
        <f t="array" aca="1" ref="AJ22" ca="1">IFERROR(INDEX(OFFSET($V$13,0,0,$C$10,1),AC22),0)</f>
        <v>0</v>
      </c>
      <c r="AK22" cm="1">
        <f t="array" aca="1" ref="AK22" ca="1">IFERROR(INDEX(OFFSET($V$13,0,0,$C$10,1),AD22),0)</f>
        <v>1</v>
      </c>
      <c r="AL22" cm="1">
        <f t="array" aca="1" ref="AL22" ca="1">IFERROR(INDEX(OFFSET($V$13,0,0,$C$10,1),AE22),0)</f>
        <v>48</v>
      </c>
      <c r="AM22" cm="1">
        <f t="array" aca="1" ref="AM22" ca="1">IFERROR(INDEX(OFFSET($V$13,0,0,$C$10,1),AF22),0)</f>
        <v>0</v>
      </c>
      <c r="AO22" cm="1">
        <f t="array" aca="1" ref="AO22" ca="1">IF(AH22=0,0,INDEX(sys_DataFlat_LU_Grid,$C$2,AH22))</f>
        <v>0</v>
      </c>
      <c r="AP22" cm="1">
        <f t="array" aca="1" ref="AP22" ca="1">IF(AI22=0,0,INDEX(sys_DataFlat_LU_Grid,$C$2,AI22))</f>
        <v>0</v>
      </c>
      <c r="AQ22" cm="1">
        <f t="array" aca="1" ref="AQ22" ca="1">IF(AJ22=0,0,INDEX(sys_DataFlat_LU_Grid,$C$2,AJ22))</f>
        <v>0</v>
      </c>
      <c r="AR22" cm="1">
        <f t="array" aca="1" ref="AR22" ca="1">IF(AK22=0,0,INDEX(sys_DataFlat_LU_Grid,$C$2,AK22))</f>
        <v>1</v>
      </c>
      <c r="AS22" cm="1">
        <f t="array" aca="1" ref="AS22" ca="1">IF(AL22=0,0,INDEX(sys_DataFlat_LU_Grid,$C$2,AL22))</f>
        <v>48</v>
      </c>
      <c r="AT22" cm="1">
        <f t="array" aca="1" ref="AT22" ca="1">IF(AM22=0,0,INDEX(sys_DataFlat_LU_Grid,$C$2,AM22))</f>
        <v>0</v>
      </c>
    </row>
    <row r="23" spans="1:46" x14ac:dyDescent="0.4">
      <c r="A23">
        <v>11</v>
      </c>
      <c r="B23">
        <v>11</v>
      </c>
      <c r="C23" cm="1">
        <f t="array" ref="C23">INDEX(auto_Country_Status,B23)</f>
        <v>1</v>
      </c>
      <c r="E23" cm="1">
        <f t="array" aca="1" ref="E23" ca="1">INDEX(sys_DataFlat_LU_Grid,$C$2,$B23)</f>
        <v>11</v>
      </c>
      <c r="F23" cm="1">
        <f t="array" aca="1" ref="F23" ca="1">INDEX(auto_DataFlat_Score,E23,$C$3)</f>
        <v>50.1</v>
      </c>
      <c r="G23" cm="1">
        <f t="array" aca="1" ref="G23" ca="1">INDEX(auto_DataFlat_DataValue,E23,$C$3)</f>
        <v>0</v>
      </c>
      <c r="H23">
        <f t="shared" ca="1" si="8"/>
        <v>50.1</v>
      </c>
      <c r="J23">
        <f t="shared" ref="J23" ca="1" si="21">IF($C23=0,-40000000,IFERROR(CHOOSE($C$5,H23,-H23),-30000000))</f>
        <v>50.1</v>
      </c>
      <c r="K23">
        <f t="shared" ca="1" si="9"/>
        <v>50.1</v>
      </c>
      <c r="L23">
        <f ca="1">RANK(K23,OFFSET(K$13,0,0,$C$10,1))+COUNTIF(K$13:K23,K23)-1</f>
        <v>40</v>
      </c>
      <c r="N23">
        <f t="shared" ca="1" si="5"/>
        <v>15</v>
      </c>
      <c r="O23" cm="1">
        <f t="array" aca="1" ref="O23" ca="1">INDEX(auto_Country_Status,N23)</f>
        <v>1</v>
      </c>
      <c r="P23" cm="1">
        <f t="array" aca="1" ref="P23" ca="1">INDEX(OFFSET($E$13,0,0,$C$10,1),N23)</f>
        <v>15</v>
      </c>
      <c r="Q23" t="str" cm="1">
        <f t="array" aca="1" ref="Q23" ca="1">INDEX(auto_Country_ISO,N23)</f>
        <v>HEL</v>
      </c>
      <c r="R23" cm="1">
        <f t="array" aca="1" ref="R23" ca="1">IF($O23=0,0,INDEX(auto_DataFlat_Classification,P23,$C$3))</f>
        <v>4</v>
      </c>
      <c r="T23">
        <f t="shared" ca="1" si="10"/>
        <v>50.1</v>
      </c>
      <c r="U23">
        <f ca="1">RANK(T23,OFFSET(T$13,0,0,$C$10,1))+COUNTIF(T$13:T23,T23)-1</f>
        <v>40</v>
      </c>
      <c r="V23">
        <f t="shared" ca="1" si="6"/>
        <v>15</v>
      </c>
      <c r="W23" cm="1">
        <f t="array" aca="1" ref="W23" ca="1">INDEX(auto_Country_Status,V23)</f>
        <v>1</v>
      </c>
      <c r="X23" cm="1">
        <f t="array" aca="1" ref="X23" ca="1">INDEX(sys_DataFlat_LU_Grid,$C$2,V23)</f>
        <v>15</v>
      </c>
      <c r="Y23" cm="1">
        <f t="array" aca="1" ref="Y23" ca="1">IF(W23=0,-1,INDEX(auto_DataFlat_Classification,X23,$C$3))</f>
        <v>4</v>
      </c>
      <c r="AA23" t="e">
        <f t="shared" ref="AA23:AF23" ca="1" si="22">IFERROR(AA22+MATCH(AA$11,OFFSET($Y$13,AA22,0,$C$10-AA22,1),0),NA())</f>
        <v>#N/A</v>
      </c>
      <c r="AB23" t="e">
        <f t="shared" ca="1" si="22"/>
        <v>#N/A</v>
      </c>
      <c r="AC23" t="e">
        <f t="shared" ca="1" si="22"/>
        <v>#N/A</v>
      </c>
      <c r="AD23">
        <f t="shared" ca="1" si="22"/>
        <v>42</v>
      </c>
      <c r="AE23">
        <f t="shared" ca="1" si="22"/>
        <v>13</v>
      </c>
      <c r="AF23" t="e">
        <f t="shared" ca="1" si="22"/>
        <v>#N/A</v>
      </c>
      <c r="AH23" cm="1">
        <f t="array" aca="1" ref="AH23" ca="1">IFERROR(INDEX(OFFSET($V$13,0,0,$C$10,1),AA23),0)</f>
        <v>0</v>
      </c>
      <c r="AI23" cm="1">
        <f t="array" aca="1" ref="AI23" ca="1">IFERROR(INDEX(OFFSET($V$13,0,0,$C$10,1),AB23),0)</f>
        <v>0</v>
      </c>
      <c r="AJ23" cm="1">
        <f t="array" aca="1" ref="AJ23" ca="1">IFERROR(INDEX(OFFSET($V$13,0,0,$C$10,1),AC23),0)</f>
        <v>0</v>
      </c>
      <c r="AK23" cm="1">
        <f t="array" aca="1" ref="AK23" ca="1">IFERROR(INDEX(OFFSET($V$13,0,0,$C$10,1),AD23),0)</f>
        <v>28</v>
      </c>
      <c r="AL23" cm="1">
        <f t="array" aca="1" ref="AL23" ca="1">IFERROR(INDEX(OFFSET($V$13,0,0,$C$10,1),AE23),0)</f>
        <v>35</v>
      </c>
      <c r="AM23" cm="1">
        <f t="array" aca="1" ref="AM23" ca="1">IFERROR(INDEX(OFFSET($V$13,0,0,$C$10,1),AF23),0)</f>
        <v>0</v>
      </c>
      <c r="AO23" cm="1">
        <f t="array" aca="1" ref="AO23" ca="1">IF(AH23=0,0,INDEX(sys_DataFlat_LU_Grid,$C$2,AH23))</f>
        <v>0</v>
      </c>
      <c r="AP23" cm="1">
        <f t="array" aca="1" ref="AP23" ca="1">IF(AI23=0,0,INDEX(sys_DataFlat_LU_Grid,$C$2,AI23))</f>
        <v>0</v>
      </c>
      <c r="AQ23" cm="1">
        <f t="array" aca="1" ref="AQ23" ca="1">IF(AJ23=0,0,INDEX(sys_DataFlat_LU_Grid,$C$2,AJ23))</f>
        <v>0</v>
      </c>
      <c r="AR23" cm="1">
        <f t="array" aca="1" ref="AR23" ca="1">IF(AK23=0,0,INDEX(sys_DataFlat_LU_Grid,$C$2,AK23))</f>
        <v>28</v>
      </c>
      <c r="AS23" cm="1">
        <f t="array" aca="1" ref="AS23" ca="1">IF(AL23=0,0,INDEX(sys_DataFlat_LU_Grid,$C$2,AL23))</f>
        <v>35</v>
      </c>
      <c r="AT23" cm="1">
        <f t="array" aca="1" ref="AT23" ca="1">IF(AM23=0,0,INDEX(sys_DataFlat_LU_Grid,$C$2,AM23))</f>
        <v>0</v>
      </c>
    </row>
    <row r="24" spans="1:46" x14ac:dyDescent="0.4">
      <c r="A24">
        <v>12</v>
      </c>
      <c r="B24">
        <v>12</v>
      </c>
      <c r="C24" cm="1">
        <f t="array" ref="C24">INDEX(auto_Country_Status,B24)</f>
        <v>1</v>
      </c>
      <c r="E24" cm="1">
        <f t="array" aca="1" ref="E24" ca="1">INDEX(sys_DataFlat_LU_Grid,$C$2,$B24)</f>
        <v>12</v>
      </c>
      <c r="F24" cm="1">
        <f t="array" aca="1" ref="F24" ca="1">INDEX(auto_DataFlat_Score,E24,$C$3)</f>
        <v>56.8</v>
      </c>
      <c r="G24" cm="1">
        <f t="array" aca="1" ref="G24" ca="1">INDEX(auto_DataFlat_DataValue,E24,$C$3)</f>
        <v>0</v>
      </c>
      <c r="H24">
        <f t="shared" ca="1" si="8"/>
        <v>56.8</v>
      </c>
      <c r="J24">
        <f ca="1">IF($C24=0,-40000000,IFERROR(CHOOSE($C$5,H24,-H24,#REF!,-#REF!),-30000000))</f>
        <v>56.8</v>
      </c>
      <c r="K24">
        <f t="shared" ca="1" si="9"/>
        <v>56.8</v>
      </c>
      <c r="L24">
        <f ca="1">RANK(K24,OFFSET(K$13,0,0,$C$10,1))+COUNTIF(K$13:K24,K24)-1</f>
        <v>33</v>
      </c>
      <c r="N24">
        <f t="shared" ca="1" si="5"/>
        <v>48</v>
      </c>
      <c r="O24" cm="1">
        <f t="array" aca="1" ref="O24" ca="1">INDEX(auto_Country_Status,N24)</f>
        <v>1</v>
      </c>
      <c r="P24" cm="1">
        <f t="array" aca="1" ref="P24" ca="1">INDEX(OFFSET($E$13,0,0,$C$10,1),N24)</f>
        <v>48</v>
      </c>
      <c r="Q24" t="str" cm="1">
        <f t="array" aca="1" ref="Q24" ca="1">INDEX(auto_Country_ISO,N24)</f>
        <v>VIE</v>
      </c>
      <c r="R24" cm="1">
        <f t="array" aca="1" ref="R24" ca="1">IF($O24=0,0,INDEX(auto_DataFlat_Classification,P24,$C$3))</f>
        <v>4</v>
      </c>
      <c r="T24">
        <f t="shared" ca="1" si="10"/>
        <v>56.8</v>
      </c>
      <c r="U24">
        <f ca="1">RANK(T24,OFFSET(T$13,0,0,$C$10,1))+COUNTIF(T$13:T24,T24)-1</f>
        <v>33</v>
      </c>
      <c r="V24">
        <f t="shared" ca="1" si="6"/>
        <v>48</v>
      </c>
      <c r="W24" cm="1">
        <f t="array" aca="1" ref="W24" ca="1">INDEX(auto_Country_Status,V24)</f>
        <v>1</v>
      </c>
      <c r="X24" cm="1">
        <f t="array" aca="1" ref="X24" ca="1">INDEX(sys_DataFlat_LU_Grid,$C$2,V24)</f>
        <v>48</v>
      </c>
      <c r="Y24" cm="1">
        <f t="array" aca="1" ref="Y24" ca="1">IF(W24=0,-1,INDEX(auto_DataFlat_Classification,X24,$C$3))</f>
        <v>4</v>
      </c>
      <c r="AA24" t="e">
        <f t="shared" ref="AA24:AF24" ca="1" si="23">IFERROR(AA23+MATCH(AA$11,OFFSET($Y$13,AA23,0,$C$10-AA23,1),0),NA())</f>
        <v>#N/A</v>
      </c>
      <c r="AB24" t="e">
        <f t="shared" ca="1" si="23"/>
        <v>#N/A</v>
      </c>
      <c r="AC24" t="e">
        <f t="shared" ca="1" si="23"/>
        <v>#N/A</v>
      </c>
      <c r="AD24">
        <f t="shared" ca="1" si="23"/>
        <v>43</v>
      </c>
      <c r="AE24">
        <f t="shared" ca="1" si="23"/>
        <v>14</v>
      </c>
      <c r="AF24" t="e">
        <f t="shared" ca="1" si="23"/>
        <v>#N/A</v>
      </c>
      <c r="AH24" cm="1">
        <f t="array" aca="1" ref="AH24" ca="1">IFERROR(INDEX(OFFSET($V$13,0,0,$C$10,1),AA24),0)</f>
        <v>0</v>
      </c>
      <c r="AI24" cm="1">
        <f t="array" aca="1" ref="AI24" ca="1">IFERROR(INDEX(OFFSET($V$13,0,0,$C$10,1),AB24),0)</f>
        <v>0</v>
      </c>
      <c r="AJ24" cm="1">
        <f t="array" aca="1" ref="AJ24" ca="1">IFERROR(INDEX(OFFSET($V$13,0,0,$C$10,1),AC24),0)</f>
        <v>0</v>
      </c>
      <c r="AK24" cm="1">
        <f t="array" aca="1" ref="AK24" ca="1">IFERROR(INDEX(OFFSET($V$13,0,0,$C$10,1),AD24),0)</f>
        <v>21</v>
      </c>
      <c r="AL24" cm="1">
        <f t="array" aca="1" ref="AL24" ca="1">IFERROR(INDEX(OFFSET($V$13,0,0,$C$10,1),AE24),0)</f>
        <v>40</v>
      </c>
      <c r="AM24" cm="1">
        <f t="array" aca="1" ref="AM24" ca="1">IFERROR(INDEX(OFFSET($V$13,0,0,$C$10,1),AF24),0)</f>
        <v>0</v>
      </c>
      <c r="AO24" cm="1">
        <f t="array" aca="1" ref="AO24" ca="1">IF(AH24=0,0,INDEX(sys_DataFlat_LU_Grid,$C$2,AH24))</f>
        <v>0</v>
      </c>
      <c r="AP24" cm="1">
        <f t="array" aca="1" ref="AP24" ca="1">IF(AI24=0,0,INDEX(sys_DataFlat_LU_Grid,$C$2,AI24))</f>
        <v>0</v>
      </c>
      <c r="AQ24" cm="1">
        <f t="array" aca="1" ref="AQ24" ca="1">IF(AJ24=0,0,INDEX(sys_DataFlat_LU_Grid,$C$2,AJ24))</f>
        <v>0</v>
      </c>
      <c r="AR24" cm="1">
        <f t="array" aca="1" ref="AR24" ca="1">IF(AK24=0,0,INDEX(sys_DataFlat_LU_Grid,$C$2,AK24))</f>
        <v>21</v>
      </c>
      <c r="AS24" cm="1">
        <f t="array" aca="1" ref="AS24" ca="1">IF(AL24=0,0,INDEX(sys_DataFlat_LU_Grid,$C$2,AL24))</f>
        <v>40</v>
      </c>
      <c r="AT24" cm="1">
        <f t="array" aca="1" ref="AT24" ca="1">IF(AM24=0,0,INDEX(sys_DataFlat_LU_Grid,$C$2,AM24))</f>
        <v>0</v>
      </c>
    </row>
    <row r="25" spans="1:46" x14ac:dyDescent="0.4">
      <c r="A25">
        <v>13</v>
      </c>
      <c r="B25">
        <v>13</v>
      </c>
      <c r="C25" cm="1">
        <f t="array" ref="C25">INDEX(auto_Country_Status,B25)</f>
        <v>1</v>
      </c>
      <c r="E25" cm="1">
        <f t="array" aca="1" ref="E25" ca="1">INDEX(sys_DataFlat_LU_Grid,$C$2,$B25)</f>
        <v>13</v>
      </c>
      <c r="F25" cm="1">
        <f t="array" aca="1" ref="F25" ca="1">INDEX(auto_DataFlat_Score,E25,$C$3)</f>
        <v>41.8</v>
      </c>
      <c r="G25" cm="1">
        <f t="array" aca="1" ref="G25" ca="1">INDEX(auto_DataFlat_DataValue,E25,$C$3)</f>
        <v>0</v>
      </c>
      <c r="H25">
        <f t="shared" ca="1" si="8"/>
        <v>41.8</v>
      </c>
      <c r="J25">
        <f t="shared" ref="J25" ca="1" si="24">IF($C25=0,-40000000,IFERROR(CHOOSE($C$5,H25,-H25),-30000000))</f>
        <v>41.8</v>
      </c>
      <c r="K25">
        <f t="shared" ca="1" si="9"/>
        <v>41.8</v>
      </c>
      <c r="L25">
        <f ca="1">RANK(K25,OFFSET(K$13,0,0,$C$10,1))+COUNTIF(K$13:K25,K25)-1</f>
        <v>47</v>
      </c>
      <c r="N25">
        <f t="shared" ca="1" si="5"/>
        <v>35</v>
      </c>
      <c r="O25" cm="1">
        <f t="array" aca="1" ref="O25" ca="1">INDEX(auto_Country_Status,N25)</f>
        <v>1</v>
      </c>
      <c r="P25" cm="1">
        <f t="array" aca="1" ref="P25" ca="1">INDEX(OFFSET($E$13,0,0,$C$10,1),N25)</f>
        <v>35</v>
      </c>
      <c r="Q25" t="str" cm="1">
        <f t="array" aca="1" ref="Q25" ca="1">INDEX(auto_Country_ISO,N25)</f>
        <v>OSA</v>
      </c>
      <c r="R25" cm="1">
        <f t="array" aca="1" ref="R25" ca="1">IF($O25=0,0,INDEX(auto_DataFlat_Classification,P25,$C$3))</f>
        <v>4</v>
      </c>
      <c r="T25">
        <f t="shared" ca="1" si="10"/>
        <v>41.8</v>
      </c>
      <c r="U25">
        <f ca="1">RANK(T25,OFFSET(T$13,0,0,$C$10,1))+COUNTIF(T$13:T25,T25)-1</f>
        <v>47</v>
      </c>
      <c r="V25">
        <f t="shared" ca="1" si="6"/>
        <v>35</v>
      </c>
      <c r="W25" cm="1">
        <f t="array" aca="1" ref="W25" ca="1">INDEX(auto_Country_Status,V25)</f>
        <v>1</v>
      </c>
      <c r="X25" cm="1">
        <f t="array" aca="1" ref="X25" ca="1">INDEX(sys_DataFlat_LU_Grid,$C$2,V25)</f>
        <v>35</v>
      </c>
      <c r="Y25" cm="1">
        <f t="array" aca="1" ref="Y25" ca="1">IF(W25=0,-1,INDEX(auto_DataFlat_Classification,X25,$C$3))</f>
        <v>4</v>
      </c>
      <c r="AA25" t="e">
        <f t="shared" ref="AA25:AF25" ca="1" si="25">IFERROR(AA24+MATCH(AA$11,OFFSET($Y$13,AA24,0,$C$10-AA24,1),0),NA())</f>
        <v>#N/A</v>
      </c>
      <c r="AB25" t="e">
        <f t="shared" ca="1" si="25"/>
        <v>#N/A</v>
      </c>
      <c r="AC25" t="e">
        <f t="shared" ca="1" si="25"/>
        <v>#N/A</v>
      </c>
      <c r="AD25">
        <f t="shared" ca="1" si="25"/>
        <v>44</v>
      </c>
      <c r="AE25">
        <f t="shared" ca="1" si="25"/>
        <v>15</v>
      </c>
      <c r="AF25" t="e">
        <f t="shared" ca="1" si="25"/>
        <v>#N/A</v>
      </c>
      <c r="AH25" cm="1">
        <f t="array" aca="1" ref="AH25" ca="1">IFERROR(INDEX(OFFSET($V$13,0,0,$C$10,1),AA25),0)</f>
        <v>0</v>
      </c>
      <c r="AI25" cm="1">
        <f t="array" aca="1" ref="AI25" ca="1">IFERROR(INDEX(OFFSET($V$13,0,0,$C$10,1),AB25),0)</f>
        <v>0</v>
      </c>
      <c r="AJ25" cm="1">
        <f t="array" aca="1" ref="AJ25" ca="1">IFERROR(INDEX(OFFSET($V$13,0,0,$C$10,1),AC25),0)</f>
        <v>0</v>
      </c>
      <c r="AK25" cm="1">
        <f t="array" aca="1" ref="AK25" ca="1">IFERROR(INDEX(OFFSET($V$13,0,0,$C$10,1),AD25),0)</f>
        <v>38</v>
      </c>
      <c r="AL25" cm="1">
        <f t="array" aca="1" ref="AL25" ca="1">IFERROR(INDEX(OFFSET($V$13,0,0,$C$10,1),AE25),0)</f>
        <v>19</v>
      </c>
      <c r="AM25" cm="1">
        <f t="array" aca="1" ref="AM25" ca="1">IFERROR(INDEX(OFFSET($V$13,0,0,$C$10,1),AF25),0)</f>
        <v>0</v>
      </c>
      <c r="AO25" cm="1">
        <f t="array" aca="1" ref="AO25" ca="1">IF(AH25=0,0,INDEX(sys_DataFlat_LU_Grid,$C$2,AH25))</f>
        <v>0</v>
      </c>
      <c r="AP25" cm="1">
        <f t="array" aca="1" ref="AP25" ca="1">IF(AI25=0,0,INDEX(sys_DataFlat_LU_Grid,$C$2,AI25))</f>
        <v>0</v>
      </c>
      <c r="AQ25" cm="1">
        <f t="array" aca="1" ref="AQ25" ca="1">IF(AJ25=0,0,INDEX(sys_DataFlat_LU_Grid,$C$2,AJ25))</f>
        <v>0</v>
      </c>
      <c r="AR25" cm="1">
        <f t="array" aca="1" ref="AR25" ca="1">IF(AK25=0,0,INDEX(sys_DataFlat_LU_Grid,$C$2,AK25))</f>
        <v>38</v>
      </c>
      <c r="AS25" cm="1">
        <f t="array" aca="1" ref="AS25" ca="1">IF(AL25=0,0,INDEX(sys_DataFlat_LU_Grid,$C$2,AL25))</f>
        <v>19</v>
      </c>
      <c r="AT25" cm="1">
        <f t="array" aca="1" ref="AT25" ca="1">IF(AM25=0,0,INDEX(sys_DataFlat_LU_Grid,$C$2,AM25))</f>
        <v>0</v>
      </c>
    </row>
    <row r="26" spans="1:46" x14ac:dyDescent="0.4">
      <c r="A26">
        <v>14</v>
      </c>
      <c r="B26">
        <v>14</v>
      </c>
      <c r="C26" cm="1">
        <f t="array" ref="C26">INDEX(auto_Country_Status,B26)</f>
        <v>1</v>
      </c>
      <c r="E26" cm="1">
        <f t="array" aca="1" ref="E26" ca="1">INDEX(sys_DataFlat_LU_Grid,$C$2,$B26)</f>
        <v>14</v>
      </c>
      <c r="F26" cm="1">
        <f t="array" aca="1" ref="F26" ca="1">INDEX(auto_DataFlat_Score,E26,$C$3)</f>
        <v>65</v>
      </c>
      <c r="G26" cm="1">
        <f t="array" aca="1" ref="G26" ca="1">INDEX(auto_DataFlat_DataValue,E26,$C$3)</f>
        <v>0</v>
      </c>
      <c r="H26">
        <f t="shared" ca="1" si="8"/>
        <v>65</v>
      </c>
      <c r="J26">
        <f ca="1">IF($C26=0,-40000000,IFERROR(CHOOSE($C$5,H26,-H26,#REF!,-#REF!),-30000000))</f>
        <v>65</v>
      </c>
      <c r="K26">
        <f t="shared" ca="1" si="9"/>
        <v>65</v>
      </c>
      <c r="L26">
        <f ca="1">RANK(K26,OFFSET(K$13,0,0,$C$10,1))+COUNTIF(K$13:K26,K26)-1</f>
        <v>25</v>
      </c>
      <c r="N26">
        <f t="shared" ca="1" si="5"/>
        <v>40</v>
      </c>
      <c r="O26" cm="1">
        <f t="array" aca="1" ref="O26" ca="1">INDEX(auto_Country_Status,N26)</f>
        <v>1</v>
      </c>
      <c r="P26" cm="1">
        <f t="array" aca="1" ref="P26" ca="1">INDEX(OFFSET($E$13,0,0,$C$10,1),N26)</f>
        <v>40</v>
      </c>
      <c r="Q26" t="str" cm="1">
        <f t="array" aca="1" ref="Q26" ca="1">INDEX(auto_Country_ISO,N26)</f>
        <v>SFO</v>
      </c>
      <c r="R26" cm="1">
        <f t="array" aca="1" ref="R26" ca="1">IF($O26=0,0,INDEX(auto_DataFlat_Classification,P26,$C$3))</f>
        <v>4</v>
      </c>
      <c r="T26">
        <f t="shared" ca="1" si="10"/>
        <v>65</v>
      </c>
      <c r="U26">
        <f ca="1">RANK(T26,OFFSET(T$13,0,0,$C$10,1))+COUNTIF(T$13:T26,T26)-1</f>
        <v>25</v>
      </c>
      <c r="V26">
        <f t="shared" ca="1" si="6"/>
        <v>40</v>
      </c>
      <c r="W26" cm="1">
        <f t="array" aca="1" ref="W26" ca="1">INDEX(auto_Country_Status,V26)</f>
        <v>1</v>
      </c>
      <c r="X26" cm="1">
        <f t="array" aca="1" ref="X26" ca="1">INDEX(sys_DataFlat_LU_Grid,$C$2,V26)</f>
        <v>40</v>
      </c>
      <c r="Y26" cm="1">
        <f t="array" aca="1" ref="Y26" ca="1">IF(W26=0,-1,INDEX(auto_DataFlat_Classification,X26,$C$3))</f>
        <v>4</v>
      </c>
      <c r="AA26" t="e">
        <f t="shared" ref="AA26:AF26" ca="1" si="26">IFERROR(AA25+MATCH(AA$11,OFFSET($Y$13,AA25,0,$C$10-AA25,1),0),NA())</f>
        <v>#N/A</v>
      </c>
      <c r="AB26" t="e">
        <f t="shared" ca="1" si="26"/>
        <v>#N/A</v>
      </c>
      <c r="AC26" t="e">
        <f t="shared" ca="1" si="26"/>
        <v>#N/A</v>
      </c>
      <c r="AD26">
        <f t="shared" ca="1" si="26"/>
        <v>45</v>
      </c>
      <c r="AE26">
        <f t="shared" ca="1" si="26"/>
        <v>16</v>
      </c>
      <c r="AF26" t="e">
        <f t="shared" ca="1" si="26"/>
        <v>#N/A</v>
      </c>
      <c r="AH26" cm="1">
        <f t="array" aca="1" ref="AH26" ca="1">IFERROR(INDEX(OFFSET($V$13,0,0,$C$10,1),AA26),0)</f>
        <v>0</v>
      </c>
      <c r="AI26" cm="1">
        <f t="array" aca="1" ref="AI26" ca="1">IFERROR(INDEX(OFFSET($V$13,0,0,$C$10,1),AB26),0)</f>
        <v>0</v>
      </c>
      <c r="AJ26" cm="1">
        <f t="array" aca="1" ref="AJ26" ca="1">IFERROR(INDEX(OFFSET($V$13,0,0,$C$10,1),AC26),0)</f>
        <v>0</v>
      </c>
      <c r="AK26" cm="1">
        <f t="array" aca="1" ref="AK26" ca="1">IFERROR(INDEX(OFFSET($V$13,0,0,$C$10,1),AD26),0)</f>
        <v>50</v>
      </c>
      <c r="AL26" cm="1">
        <f t="array" aca="1" ref="AL26" ca="1">IFERROR(INDEX(OFFSET($V$13,0,0,$C$10,1),AE26),0)</f>
        <v>4</v>
      </c>
      <c r="AM26" cm="1">
        <f t="array" aca="1" ref="AM26" ca="1">IFERROR(INDEX(OFFSET($V$13,0,0,$C$10,1),AF26),0)</f>
        <v>0</v>
      </c>
      <c r="AO26" cm="1">
        <f t="array" aca="1" ref="AO26" ca="1">IF(AH26=0,0,INDEX(sys_DataFlat_LU_Grid,$C$2,AH26))</f>
        <v>0</v>
      </c>
      <c r="AP26" cm="1">
        <f t="array" aca="1" ref="AP26" ca="1">IF(AI26=0,0,INDEX(sys_DataFlat_LU_Grid,$C$2,AI26))</f>
        <v>0</v>
      </c>
      <c r="AQ26" cm="1">
        <f t="array" aca="1" ref="AQ26" ca="1">IF(AJ26=0,0,INDEX(sys_DataFlat_LU_Grid,$C$2,AJ26))</f>
        <v>0</v>
      </c>
      <c r="AR26" cm="1">
        <f t="array" aca="1" ref="AR26" ca="1">IF(AK26=0,0,INDEX(sys_DataFlat_LU_Grid,$C$2,AK26))</f>
        <v>50</v>
      </c>
      <c r="AS26" cm="1">
        <f t="array" aca="1" ref="AS26" ca="1">IF(AL26=0,0,INDEX(sys_DataFlat_LU_Grid,$C$2,AL26))</f>
        <v>4</v>
      </c>
      <c r="AT26" cm="1">
        <f t="array" aca="1" ref="AT26" ca="1">IF(AM26=0,0,INDEX(sys_DataFlat_LU_Grid,$C$2,AM26))</f>
        <v>0</v>
      </c>
    </row>
    <row r="27" spans="1:46" x14ac:dyDescent="0.4">
      <c r="A27">
        <v>15</v>
      </c>
      <c r="B27">
        <v>15</v>
      </c>
      <c r="C27" cm="1">
        <f t="array" ref="C27">INDEX(auto_Country_Status,B27)</f>
        <v>1</v>
      </c>
      <c r="E27" cm="1">
        <f t="array" aca="1" ref="E27" ca="1">INDEX(sys_DataFlat_LU_Grid,$C$2,$B27)</f>
        <v>15</v>
      </c>
      <c r="F27" cm="1">
        <f t="array" aca="1" ref="F27" ca="1">INDEX(auto_DataFlat_Score,E27,$C$3)</f>
        <v>75.5</v>
      </c>
      <c r="G27" cm="1">
        <f t="array" aca="1" ref="G27" ca="1">INDEX(auto_DataFlat_DataValue,E27,$C$3)</f>
        <v>0</v>
      </c>
      <c r="H27">
        <f t="shared" ca="1" si="8"/>
        <v>75.5</v>
      </c>
      <c r="J27">
        <f t="shared" ref="J27" ca="1" si="27">IF($C27=0,-40000000,IFERROR(CHOOSE($C$5,H27,-H27),-30000000))</f>
        <v>75.5</v>
      </c>
      <c r="K27">
        <f t="shared" ca="1" si="9"/>
        <v>75.5</v>
      </c>
      <c r="L27">
        <f ca="1">RANK(K27,OFFSET(K$13,0,0,$C$10,1))+COUNTIF(K$13:K27,K27)-1</f>
        <v>11</v>
      </c>
      <c r="N27">
        <f t="shared" ca="1" si="5"/>
        <v>19</v>
      </c>
      <c r="O27" cm="1">
        <f t="array" aca="1" ref="O27" ca="1">INDEX(auto_Country_Status,N27)</f>
        <v>1</v>
      </c>
      <c r="P27" cm="1">
        <f t="array" aca="1" ref="P27" ca="1">INDEX(OFFSET($E$13,0,0,$C$10,1),N27)</f>
        <v>19</v>
      </c>
      <c r="Q27" t="str" cm="1">
        <f t="array" aca="1" ref="Q27" ca="1">INDEX(auto_Country_ISO,N27)</f>
        <v>JKT</v>
      </c>
      <c r="R27" cm="1">
        <f t="array" aca="1" ref="R27" ca="1">IF($O27=0,0,INDEX(auto_DataFlat_Classification,P27,$C$3))</f>
        <v>4</v>
      </c>
      <c r="T27">
        <f t="shared" ca="1" si="10"/>
        <v>75.5</v>
      </c>
      <c r="U27">
        <f ca="1">RANK(T27,OFFSET(T$13,0,0,$C$10,1))+COUNTIF(T$13:T27,T27)-1</f>
        <v>11</v>
      </c>
      <c r="V27">
        <f t="shared" ca="1" si="6"/>
        <v>19</v>
      </c>
      <c r="W27" cm="1">
        <f t="array" aca="1" ref="W27" ca="1">INDEX(auto_Country_Status,V27)</f>
        <v>1</v>
      </c>
      <c r="X27" cm="1">
        <f t="array" aca="1" ref="X27" ca="1">INDEX(sys_DataFlat_LU_Grid,$C$2,V27)</f>
        <v>19</v>
      </c>
      <c r="Y27" cm="1">
        <f t="array" aca="1" ref="Y27" ca="1">IF(W27=0,-1,INDEX(auto_DataFlat_Classification,X27,$C$3))</f>
        <v>4</v>
      </c>
      <c r="AA27" t="e">
        <f t="shared" ref="AA27:AF27" ca="1" si="28">IFERROR(AA26+MATCH(AA$11,OFFSET($Y$13,AA26,0,$C$10-AA26,1),0),NA())</f>
        <v>#N/A</v>
      </c>
      <c r="AB27" t="e">
        <f t="shared" ca="1" si="28"/>
        <v>#N/A</v>
      </c>
      <c r="AC27" t="e">
        <f t="shared" ca="1" si="28"/>
        <v>#N/A</v>
      </c>
      <c r="AD27">
        <f t="shared" ca="1" si="28"/>
        <v>46</v>
      </c>
      <c r="AE27">
        <f t="shared" ca="1" si="28"/>
        <v>17</v>
      </c>
      <c r="AF27" t="e">
        <f t="shared" ca="1" si="28"/>
        <v>#N/A</v>
      </c>
      <c r="AH27" cm="1">
        <f t="array" aca="1" ref="AH27" ca="1">IFERROR(INDEX(OFFSET($V$13,0,0,$C$10,1),AA27),0)</f>
        <v>0</v>
      </c>
      <c r="AI27" cm="1">
        <f t="array" aca="1" ref="AI27" ca="1">IFERROR(INDEX(OFFSET($V$13,0,0,$C$10,1),AB27),0)</f>
        <v>0</v>
      </c>
      <c r="AJ27" cm="1">
        <f t="array" aca="1" ref="AJ27" ca="1">IFERROR(INDEX(OFFSET($V$13,0,0,$C$10,1),AC27),0)</f>
        <v>0</v>
      </c>
      <c r="AK27" cm="1">
        <f t="array" aca="1" ref="AK27" ca="1">IFERROR(INDEX(OFFSET($V$13,0,0,$C$10,1),AD27),0)</f>
        <v>24</v>
      </c>
      <c r="AL27" cm="1">
        <f t="array" aca="1" ref="AL27" ca="1">IFERROR(INDEX(OFFSET($V$13,0,0,$C$10,1),AE27),0)</f>
        <v>45</v>
      </c>
      <c r="AM27" cm="1">
        <f t="array" aca="1" ref="AM27" ca="1">IFERROR(INDEX(OFFSET($V$13,0,0,$C$10,1),AF27),0)</f>
        <v>0</v>
      </c>
      <c r="AO27" cm="1">
        <f t="array" aca="1" ref="AO27" ca="1">IF(AH27=0,0,INDEX(sys_DataFlat_LU_Grid,$C$2,AH27))</f>
        <v>0</v>
      </c>
      <c r="AP27" cm="1">
        <f t="array" aca="1" ref="AP27" ca="1">IF(AI27=0,0,INDEX(sys_DataFlat_LU_Grid,$C$2,AI27))</f>
        <v>0</v>
      </c>
      <c r="AQ27" cm="1">
        <f t="array" aca="1" ref="AQ27" ca="1">IF(AJ27=0,0,INDEX(sys_DataFlat_LU_Grid,$C$2,AJ27))</f>
        <v>0</v>
      </c>
      <c r="AR27" cm="1">
        <f t="array" aca="1" ref="AR27" ca="1">IF(AK27=0,0,INDEX(sys_DataFlat_LU_Grid,$C$2,AK27))</f>
        <v>24</v>
      </c>
      <c r="AS27" cm="1">
        <f t="array" aca="1" ref="AS27" ca="1">IF(AL27=0,0,INDEX(sys_DataFlat_LU_Grid,$C$2,AL27))</f>
        <v>45</v>
      </c>
      <c r="AT27" cm="1">
        <f t="array" aca="1" ref="AT27" ca="1">IF(AM27=0,0,INDEX(sys_DataFlat_LU_Grid,$C$2,AM27))</f>
        <v>0</v>
      </c>
    </row>
    <row r="28" spans="1:46" x14ac:dyDescent="0.4">
      <c r="A28">
        <v>16</v>
      </c>
      <c r="B28">
        <v>16</v>
      </c>
      <c r="C28" cm="1">
        <f t="array" ref="C28">INDEX(auto_Country_Status,B28)</f>
        <v>1</v>
      </c>
      <c r="E28" cm="1">
        <f t="array" aca="1" ref="E28" ca="1">INDEX(sys_DataFlat_LU_Grid,$C$2,$B28)</f>
        <v>16</v>
      </c>
      <c r="F28" cm="1">
        <f t="array" aca="1" ref="F28" ca="1">INDEX(auto_DataFlat_Score,E28,$C$3)</f>
        <v>66</v>
      </c>
      <c r="G28" cm="1">
        <f t="array" aca="1" ref="G28" ca="1">INDEX(auto_DataFlat_DataValue,E28,$C$3)</f>
        <v>0</v>
      </c>
      <c r="H28">
        <f t="shared" ca="1" si="8"/>
        <v>66</v>
      </c>
      <c r="J28">
        <f ca="1">IF($C28=0,-40000000,IFERROR(CHOOSE($C$5,H28,-H28,#REF!,-#REF!),-30000000))</f>
        <v>66</v>
      </c>
      <c r="K28">
        <f t="shared" ca="1" si="9"/>
        <v>66</v>
      </c>
      <c r="L28">
        <f ca="1">RANK(K28,OFFSET(K$13,0,0,$C$10,1))+COUNTIF(K$13:K28,K28)-1</f>
        <v>22</v>
      </c>
      <c r="N28">
        <f t="shared" ca="1" si="5"/>
        <v>4</v>
      </c>
      <c r="O28" cm="1">
        <f t="array" aca="1" ref="O28" ca="1">INDEX(auto_Country_Status,N28)</f>
        <v>1</v>
      </c>
      <c r="P28" cm="1">
        <f t="array" aca="1" ref="P28" ca="1">INDEX(OFFSET($E$13,0,0,$C$10,1),N28)</f>
        <v>4</v>
      </c>
      <c r="Q28" t="str" cm="1">
        <f t="array" aca="1" ref="Q28" ca="1">INDEX(auto_Country_ISO,N28)</f>
        <v>AKL</v>
      </c>
      <c r="R28" cm="1">
        <f t="array" aca="1" ref="R28" ca="1">IF($O28=0,0,INDEX(auto_DataFlat_Classification,P28,$C$3))</f>
        <v>4</v>
      </c>
      <c r="T28">
        <f t="shared" ca="1" si="10"/>
        <v>66</v>
      </c>
      <c r="U28">
        <f ca="1">RANK(T28,OFFSET(T$13,0,0,$C$10,1))+COUNTIF(T$13:T28,T28)-1</f>
        <v>22</v>
      </c>
      <c r="V28">
        <f t="shared" ca="1" si="6"/>
        <v>4</v>
      </c>
      <c r="W28" cm="1">
        <f t="array" aca="1" ref="W28" ca="1">INDEX(auto_Country_Status,V28)</f>
        <v>1</v>
      </c>
      <c r="X28" cm="1">
        <f t="array" aca="1" ref="X28" ca="1">INDEX(sys_DataFlat_LU_Grid,$C$2,V28)</f>
        <v>4</v>
      </c>
      <c r="Y28" cm="1">
        <f t="array" aca="1" ref="Y28" ca="1">IF(W28=0,-1,INDEX(auto_DataFlat_Classification,X28,$C$3))</f>
        <v>4</v>
      </c>
      <c r="AA28" t="e">
        <f t="shared" ref="AA28:AF28" ca="1" si="29">IFERROR(AA27+MATCH(AA$11,OFFSET($Y$13,AA27,0,$C$10-AA27,1),0),NA())</f>
        <v>#N/A</v>
      </c>
      <c r="AB28" t="e">
        <f t="shared" ca="1" si="29"/>
        <v>#N/A</v>
      </c>
      <c r="AC28" t="e">
        <f t="shared" ca="1" si="29"/>
        <v>#N/A</v>
      </c>
      <c r="AD28">
        <f t="shared" ca="1" si="29"/>
        <v>47</v>
      </c>
      <c r="AE28">
        <f t="shared" ca="1" si="29"/>
        <v>18</v>
      </c>
      <c r="AF28" t="e">
        <f t="shared" ca="1" si="29"/>
        <v>#N/A</v>
      </c>
      <c r="AH28" cm="1">
        <f t="array" aca="1" ref="AH28" ca="1">IFERROR(INDEX(OFFSET($V$13,0,0,$C$10,1),AA28),0)</f>
        <v>0</v>
      </c>
      <c r="AI28" cm="1">
        <f t="array" aca="1" ref="AI28" ca="1">IFERROR(INDEX(OFFSET($V$13,0,0,$C$10,1),AB28),0)</f>
        <v>0</v>
      </c>
      <c r="AJ28" cm="1">
        <f t="array" aca="1" ref="AJ28" ca="1">IFERROR(INDEX(OFFSET($V$13,0,0,$C$10,1),AC28),0)</f>
        <v>0</v>
      </c>
      <c r="AK28" cm="1">
        <f t="array" aca="1" ref="AK28" ca="1">IFERROR(INDEX(OFFSET($V$13,0,0,$C$10,1),AD28),0)</f>
        <v>13</v>
      </c>
      <c r="AL28" cm="1">
        <f t="array" aca="1" ref="AL28" ca="1">IFERROR(INDEX(OFFSET($V$13,0,0,$C$10,1),AE28),0)</f>
        <v>8</v>
      </c>
      <c r="AM28" cm="1">
        <f t="array" aca="1" ref="AM28" ca="1">IFERROR(INDEX(OFFSET($V$13,0,0,$C$10,1),AF28),0)</f>
        <v>0</v>
      </c>
      <c r="AO28" cm="1">
        <f t="array" aca="1" ref="AO28" ca="1">IF(AH28=0,0,INDEX(sys_DataFlat_LU_Grid,$C$2,AH28))</f>
        <v>0</v>
      </c>
      <c r="AP28" cm="1">
        <f t="array" aca="1" ref="AP28" ca="1">IF(AI28=0,0,INDEX(sys_DataFlat_LU_Grid,$C$2,AI28))</f>
        <v>0</v>
      </c>
      <c r="AQ28" cm="1">
        <f t="array" aca="1" ref="AQ28" ca="1">IF(AJ28=0,0,INDEX(sys_DataFlat_LU_Grid,$C$2,AJ28))</f>
        <v>0</v>
      </c>
      <c r="AR28" cm="1">
        <f t="array" aca="1" ref="AR28" ca="1">IF(AK28=0,0,INDEX(sys_DataFlat_LU_Grid,$C$2,AK28))</f>
        <v>13</v>
      </c>
      <c r="AS28" cm="1">
        <f t="array" aca="1" ref="AS28" ca="1">IF(AL28=0,0,INDEX(sys_DataFlat_LU_Grid,$C$2,AL28))</f>
        <v>8</v>
      </c>
      <c r="AT28" cm="1">
        <f t="array" aca="1" ref="AT28" ca="1">IF(AM28=0,0,INDEX(sys_DataFlat_LU_Grid,$C$2,AM28))</f>
        <v>0</v>
      </c>
    </row>
    <row r="29" spans="1:46" x14ac:dyDescent="0.4">
      <c r="A29">
        <v>17</v>
      </c>
      <c r="B29">
        <v>17</v>
      </c>
      <c r="C29" cm="1">
        <f t="array" ref="C29">INDEX(auto_Country_Status,B29)</f>
        <v>1</v>
      </c>
      <c r="E29" cm="1">
        <f t="array" aca="1" ref="E29" ca="1">INDEX(sys_DataFlat_LU_Grid,$C$2,$B29)</f>
        <v>17</v>
      </c>
      <c r="F29" cm="1">
        <f t="array" aca="1" ref="F29" ca="1">INDEX(auto_DataFlat_Score,E29,$C$3)</f>
        <v>83.2</v>
      </c>
      <c r="G29" cm="1">
        <f t="array" aca="1" ref="G29" ca="1">INDEX(auto_DataFlat_DataValue,E29,$C$3)</f>
        <v>0</v>
      </c>
      <c r="H29">
        <f t="shared" ca="1" si="8"/>
        <v>83.2</v>
      </c>
      <c r="J29">
        <f t="shared" ref="J29" ca="1" si="30">IF($C29=0,-40000000,IFERROR(CHOOSE($C$5,H29,-H29),-30000000))</f>
        <v>83.2</v>
      </c>
      <c r="K29">
        <f t="shared" ca="1" si="9"/>
        <v>83.2</v>
      </c>
      <c r="L29">
        <f ca="1">RANK(K29,OFFSET(K$13,0,0,$C$10,1))+COUNTIF(K$13:K29,K29)-1</f>
        <v>1</v>
      </c>
      <c r="N29">
        <f t="shared" ca="1" si="5"/>
        <v>45</v>
      </c>
      <c r="O29" cm="1">
        <f t="array" aca="1" ref="O29" ca="1">INDEX(auto_Country_Status,N29)</f>
        <v>1</v>
      </c>
      <c r="P29" cm="1">
        <f t="array" aca="1" ref="P29" ca="1">INDEX(OFFSET($E$13,0,0,$C$10,1),N29)</f>
        <v>45</v>
      </c>
      <c r="Q29" t="str" cm="1">
        <f t="array" aca="1" ref="Q29" ca="1">INDEX(auto_Country_ISO,N29)</f>
        <v>SYD</v>
      </c>
      <c r="R29" cm="1">
        <f t="array" aca="1" ref="R29" ca="1">IF($O29=0,0,INDEX(auto_DataFlat_Classification,P29,$C$3))</f>
        <v>4</v>
      </c>
      <c r="T29">
        <f t="shared" ca="1" si="10"/>
        <v>83.2</v>
      </c>
      <c r="U29">
        <f ca="1">RANK(T29,OFFSET(T$13,0,0,$C$10,1))+COUNTIF(T$13:T29,T29)-1</f>
        <v>1</v>
      </c>
      <c r="V29">
        <f t="shared" ca="1" si="6"/>
        <v>45</v>
      </c>
      <c r="W29" cm="1">
        <f t="array" aca="1" ref="W29" ca="1">INDEX(auto_Country_Status,V29)</f>
        <v>1</v>
      </c>
      <c r="X29" cm="1">
        <f t="array" aca="1" ref="X29" ca="1">INDEX(sys_DataFlat_LU_Grid,$C$2,V29)</f>
        <v>45</v>
      </c>
      <c r="Y29" cm="1">
        <f t="array" aca="1" ref="Y29" ca="1">IF(W29=0,-1,INDEX(auto_DataFlat_Classification,X29,$C$3))</f>
        <v>4</v>
      </c>
      <c r="AA29" t="e">
        <f t="shared" ref="AA29:AF29" ca="1" si="31">IFERROR(AA28+MATCH(AA$11,OFFSET($Y$13,AA28,0,$C$10-AA28,1),0),NA())</f>
        <v>#N/A</v>
      </c>
      <c r="AB29" t="e">
        <f t="shared" ca="1" si="31"/>
        <v>#N/A</v>
      </c>
      <c r="AC29" t="e">
        <f t="shared" ca="1" si="31"/>
        <v>#N/A</v>
      </c>
      <c r="AD29">
        <f t="shared" ca="1" si="31"/>
        <v>48</v>
      </c>
      <c r="AE29">
        <f t="shared" ca="1" si="31"/>
        <v>19</v>
      </c>
      <c r="AF29" t="e">
        <f t="shared" ca="1" si="31"/>
        <v>#N/A</v>
      </c>
      <c r="AH29" cm="1">
        <f t="array" aca="1" ref="AH29" ca="1">IFERROR(INDEX(OFFSET($V$13,0,0,$C$10,1),AA29),0)</f>
        <v>0</v>
      </c>
      <c r="AI29" cm="1">
        <f t="array" aca="1" ref="AI29" ca="1">IFERROR(INDEX(OFFSET($V$13,0,0,$C$10,1),AB29),0)</f>
        <v>0</v>
      </c>
      <c r="AJ29" cm="1">
        <f t="array" aca="1" ref="AJ29" ca="1">IFERROR(INDEX(OFFSET($V$13,0,0,$C$10,1),AC29),0)</f>
        <v>0</v>
      </c>
      <c r="AK29" cm="1">
        <f t="array" aca="1" ref="AK29" ca="1">IFERROR(INDEX(OFFSET($V$13,0,0,$C$10,1),AD29),0)</f>
        <v>2</v>
      </c>
      <c r="AL29" cm="1">
        <f t="array" aca="1" ref="AL29" ca="1">IFERROR(INDEX(OFFSET($V$13,0,0,$C$10,1),AE29),0)</f>
        <v>9</v>
      </c>
      <c r="AM29" cm="1">
        <f t="array" aca="1" ref="AM29" ca="1">IFERROR(INDEX(OFFSET($V$13,0,0,$C$10,1),AF29),0)</f>
        <v>0</v>
      </c>
      <c r="AO29" cm="1">
        <f t="array" aca="1" ref="AO29" ca="1">IF(AH29=0,0,INDEX(sys_DataFlat_LU_Grid,$C$2,AH29))</f>
        <v>0</v>
      </c>
      <c r="AP29" cm="1">
        <f t="array" aca="1" ref="AP29" ca="1">IF(AI29=0,0,INDEX(sys_DataFlat_LU_Grid,$C$2,AI29))</f>
        <v>0</v>
      </c>
      <c r="AQ29" cm="1">
        <f t="array" aca="1" ref="AQ29" ca="1">IF(AJ29=0,0,INDEX(sys_DataFlat_LU_Grid,$C$2,AJ29))</f>
        <v>0</v>
      </c>
      <c r="AR29" cm="1">
        <f t="array" aca="1" ref="AR29" ca="1">IF(AK29=0,0,INDEX(sys_DataFlat_LU_Grid,$C$2,AK29))</f>
        <v>2</v>
      </c>
      <c r="AS29" cm="1">
        <f t="array" aca="1" ref="AS29" ca="1">IF(AL29=0,0,INDEX(sys_DataFlat_LU_Grid,$C$2,AL29))</f>
        <v>9</v>
      </c>
      <c r="AT29" cm="1">
        <f t="array" aca="1" ref="AT29" ca="1">IF(AM29=0,0,INDEX(sys_DataFlat_LU_Grid,$C$2,AM29))</f>
        <v>0</v>
      </c>
    </row>
    <row r="30" spans="1:46" x14ac:dyDescent="0.4">
      <c r="A30">
        <v>18</v>
      </c>
      <c r="B30">
        <v>18</v>
      </c>
      <c r="C30" cm="1">
        <f t="array" ref="C30">INDEX(auto_Country_Status,B30)</f>
        <v>1</v>
      </c>
      <c r="E30" cm="1">
        <f t="array" aca="1" ref="E30" ca="1">INDEX(sys_DataFlat_LU_Grid,$C$2,$B30)</f>
        <v>18</v>
      </c>
      <c r="F30" cm="1">
        <f t="array" aca="1" ref="F30" ca="1">INDEX(auto_DataFlat_Score,E30,$C$3)</f>
        <v>60.4</v>
      </c>
      <c r="G30" cm="1">
        <f t="array" aca="1" ref="G30" ca="1">INDEX(auto_DataFlat_DataValue,E30,$C$3)</f>
        <v>0</v>
      </c>
      <c r="H30">
        <f t="shared" ca="1" si="8"/>
        <v>60.4</v>
      </c>
      <c r="J30">
        <f ca="1">IF($C30=0,-40000000,IFERROR(CHOOSE($C$5,H30,-H30,#REF!,-#REF!),-30000000))</f>
        <v>60.4</v>
      </c>
      <c r="K30">
        <f t="shared" ca="1" si="9"/>
        <v>60.4</v>
      </c>
      <c r="L30">
        <f ca="1">RANK(K30,OFFSET(K$13,0,0,$C$10,1))+COUNTIF(K$13:K30,K30)-1</f>
        <v>31</v>
      </c>
      <c r="N30">
        <f t="shared" ca="1" si="5"/>
        <v>8</v>
      </c>
      <c r="O30" cm="1">
        <f t="array" aca="1" ref="O30" ca="1">INDEX(auto_Country_Status,N30)</f>
        <v>1</v>
      </c>
      <c r="P30" cm="1">
        <f t="array" aca="1" ref="P30" ca="1">INDEX(OFFSET($E$13,0,0,$C$10,1),N30)</f>
        <v>8</v>
      </c>
      <c r="Q30" t="str" cm="1">
        <f t="array" aca="1" ref="Q30" ca="1">INDEX(auto_Country_ISO,N30)</f>
        <v>B6Y</v>
      </c>
      <c r="R30" cm="1">
        <f t="array" aca="1" ref="R30" ca="1">IF($O30=0,0,INDEX(auto_DataFlat_Classification,P30,$C$3))</f>
        <v>4</v>
      </c>
      <c r="T30">
        <f t="shared" ca="1" si="10"/>
        <v>60.4</v>
      </c>
      <c r="U30">
        <f ca="1">RANK(T30,OFFSET(T$13,0,0,$C$10,1))+COUNTIF(T$13:T30,T30)-1</f>
        <v>31</v>
      </c>
      <c r="V30">
        <f t="shared" ca="1" si="6"/>
        <v>8</v>
      </c>
      <c r="W30" cm="1">
        <f t="array" aca="1" ref="W30" ca="1">INDEX(auto_Country_Status,V30)</f>
        <v>1</v>
      </c>
      <c r="X30" cm="1">
        <f t="array" aca="1" ref="X30" ca="1">INDEX(sys_DataFlat_LU_Grid,$C$2,V30)</f>
        <v>8</v>
      </c>
      <c r="Y30" cm="1">
        <f t="array" aca="1" ref="Y30" ca="1">IF(W30=0,-1,INDEX(auto_DataFlat_Classification,X30,$C$3))</f>
        <v>4</v>
      </c>
      <c r="AA30" t="e">
        <f t="shared" ref="AA30:AF30" ca="1" si="32">IFERROR(AA29+MATCH(AA$11,OFFSET($Y$13,AA29,0,$C$10-AA29,1),0),NA())</f>
        <v>#N/A</v>
      </c>
      <c r="AB30" t="e">
        <f t="shared" ca="1" si="32"/>
        <v>#N/A</v>
      </c>
      <c r="AC30" t="e">
        <f t="shared" ca="1" si="32"/>
        <v>#N/A</v>
      </c>
      <c r="AD30">
        <f t="shared" ca="1" si="32"/>
        <v>49</v>
      </c>
      <c r="AE30">
        <f t="shared" ca="1" si="32"/>
        <v>20</v>
      </c>
      <c r="AF30" t="e">
        <f t="shared" ca="1" si="32"/>
        <v>#N/A</v>
      </c>
      <c r="AH30" cm="1">
        <f t="array" aca="1" ref="AH30" ca="1">IFERROR(INDEX(OFFSET($V$13,0,0,$C$10,1),AA30),0)</f>
        <v>0</v>
      </c>
      <c r="AI30" cm="1">
        <f t="array" aca="1" ref="AI30" ca="1">IFERROR(INDEX(OFFSET($V$13,0,0,$C$10,1),AB30),0)</f>
        <v>0</v>
      </c>
      <c r="AJ30" cm="1">
        <f t="array" aca="1" ref="AJ30" ca="1">IFERROR(INDEX(OFFSET($V$13,0,0,$C$10,1),AC30),0)</f>
        <v>0</v>
      </c>
      <c r="AK30" cm="1">
        <f t="array" aca="1" ref="AK30" ca="1">IFERROR(INDEX(OFFSET($V$13,0,0,$C$10,1),AD30),0)</f>
        <v>22</v>
      </c>
      <c r="AL30" cm="1">
        <f t="array" aca="1" ref="AL30" ca="1">IFERROR(INDEX(OFFSET($V$13,0,0,$C$10,1),AE30),0)</f>
        <v>5</v>
      </c>
      <c r="AM30" cm="1">
        <f t="array" aca="1" ref="AM30" ca="1">IFERROR(INDEX(OFFSET($V$13,0,0,$C$10,1),AF30),0)</f>
        <v>0</v>
      </c>
      <c r="AO30" cm="1">
        <f t="array" aca="1" ref="AO30" ca="1">IF(AH30=0,0,INDEX(sys_DataFlat_LU_Grid,$C$2,AH30))</f>
        <v>0</v>
      </c>
      <c r="AP30" cm="1">
        <f t="array" aca="1" ref="AP30" ca="1">IF(AI30=0,0,INDEX(sys_DataFlat_LU_Grid,$C$2,AI30))</f>
        <v>0</v>
      </c>
      <c r="AQ30" cm="1">
        <f t="array" aca="1" ref="AQ30" ca="1">IF(AJ30=0,0,INDEX(sys_DataFlat_LU_Grid,$C$2,AJ30))</f>
        <v>0</v>
      </c>
      <c r="AR30" cm="1">
        <f t="array" aca="1" ref="AR30" ca="1">IF(AK30=0,0,INDEX(sys_DataFlat_LU_Grid,$C$2,AK30))</f>
        <v>22</v>
      </c>
      <c r="AS30" cm="1">
        <f t="array" aca="1" ref="AS30" ca="1">IF(AL30=0,0,INDEX(sys_DataFlat_LU_Grid,$C$2,AL30))</f>
        <v>5</v>
      </c>
      <c r="AT30" cm="1">
        <f t="array" aca="1" ref="AT30" ca="1">IF(AM30=0,0,INDEX(sys_DataFlat_LU_Grid,$C$2,AM30))</f>
        <v>0</v>
      </c>
    </row>
    <row r="31" spans="1:46" x14ac:dyDescent="0.4">
      <c r="A31">
        <v>19</v>
      </c>
      <c r="B31">
        <v>19</v>
      </c>
      <c r="C31" cm="1">
        <f t="array" ref="C31">INDEX(auto_Country_Status,B31)</f>
        <v>1</v>
      </c>
      <c r="E31" cm="1">
        <f t="array" aca="1" ref="E31" ca="1">INDEX(sys_DataFlat_LU_Grid,$C$2,$B31)</f>
        <v>19</v>
      </c>
      <c r="F31" cm="1">
        <f t="array" aca="1" ref="F31" ca="1">INDEX(auto_DataFlat_Score,E31,$C$3)</f>
        <v>71.7</v>
      </c>
      <c r="G31" cm="1">
        <f t="array" aca="1" ref="G31" ca="1">INDEX(auto_DataFlat_DataValue,E31,$C$3)</f>
        <v>0</v>
      </c>
      <c r="H31">
        <f t="shared" ca="1" si="8"/>
        <v>71.7</v>
      </c>
      <c r="J31">
        <f t="shared" ref="J31" ca="1" si="33">IF($C31=0,-40000000,IFERROR(CHOOSE($C$5,H31,-H31),-30000000))</f>
        <v>71.7</v>
      </c>
      <c r="K31">
        <f t="shared" ca="1" si="9"/>
        <v>71.7</v>
      </c>
      <c r="L31">
        <f ca="1">RANK(K31,OFFSET(K$13,0,0,$C$10,1))+COUNTIF(K$13:K31,K31)-1</f>
        <v>15</v>
      </c>
      <c r="N31">
        <f t="shared" ca="1" si="5"/>
        <v>9</v>
      </c>
      <c r="O31" cm="1">
        <f t="array" aca="1" ref="O31" ca="1">INDEX(auto_Country_Status,N31)</f>
        <v>1</v>
      </c>
      <c r="P31" cm="1">
        <f t="array" aca="1" ref="P31" ca="1">INDEX(OFFSET($E$13,0,0,$C$10,1),N31)</f>
        <v>9</v>
      </c>
      <c r="Q31" t="str" cm="1">
        <f t="array" aca="1" ref="Q31" ca="1">INDEX(auto_Country_ISO,N31)</f>
        <v>BUD</v>
      </c>
      <c r="R31" cm="1">
        <f t="array" aca="1" ref="R31" ca="1">IF($O31=0,0,INDEX(auto_DataFlat_Classification,P31,$C$3))</f>
        <v>4</v>
      </c>
      <c r="T31">
        <f t="shared" ca="1" si="10"/>
        <v>71.7</v>
      </c>
      <c r="U31">
        <f ca="1">RANK(T31,OFFSET(T$13,0,0,$C$10,1))+COUNTIF(T$13:T31,T31)-1</f>
        <v>15</v>
      </c>
      <c r="V31">
        <f t="shared" ca="1" si="6"/>
        <v>9</v>
      </c>
      <c r="W31" cm="1">
        <f t="array" aca="1" ref="W31" ca="1">INDEX(auto_Country_Status,V31)</f>
        <v>1</v>
      </c>
      <c r="X31" cm="1">
        <f t="array" aca="1" ref="X31" ca="1">INDEX(sys_DataFlat_LU_Grid,$C$2,V31)</f>
        <v>9</v>
      </c>
      <c r="Y31" cm="1">
        <f t="array" aca="1" ref="Y31" ca="1">IF(W31=0,-1,INDEX(auto_DataFlat_Classification,X31,$C$3))</f>
        <v>4</v>
      </c>
      <c r="AA31" t="e">
        <f t="shared" ref="AA31:AF31" ca="1" si="34">IFERROR(AA30+MATCH(AA$11,OFFSET($Y$13,AA30,0,$C$10-AA30,1),0),NA())</f>
        <v>#N/A</v>
      </c>
      <c r="AB31" t="e">
        <f t="shared" ca="1" si="34"/>
        <v>#N/A</v>
      </c>
      <c r="AC31" t="e">
        <f t="shared" ca="1" si="34"/>
        <v>#N/A</v>
      </c>
      <c r="AD31">
        <f t="shared" ca="1" si="34"/>
        <v>50</v>
      </c>
      <c r="AE31">
        <f t="shared" ca="1" si="34"/>
        <v>21</v>
      </c>
      <c r="AF31" t="e">
        <f t="shared" ca="1" si="34"/>
        <v>#N/A</v>
      </c>
      <c r="AH31" cm="1">
        <f t="array" aca="1" ref="AH31" ca="1">IFERROR(INDEX(OFFSET($V$13,0,0,$C$10,1),AA31),0)</f>
        <v>0</v>
      </c>
      <c r="AI31" cm="1">
        <f t="array" aca="1" ref="AI31" ca="1">IFERROR(INDEX(OFFSET($V$13,0,0,$C$10,1),AB31),0)</f>
        <v>0</v>
      </c>
      <c r="AJ31" cm="1">
        <f t="array" aca="1" ref="AJ31" ca="1">IFERROR(INDEX(OFFSET($V$13,0,0,$C$10,1),AC31),0)</f>
        <v>0</v>
      </c>
      <c r="AK31" cm="1">
        <f t="array" aca="1" ref="AK31" ca="1">IFERROR(INDEX(OFFSET($V$13,0,0,$C$10,1),AD31),0)</f>
        <v>10</v>
      </c>
      <c r="AL31" cm="1">
        <f t="array" aca="1" ref="AL31" ca="1">IFERROR(INDEX(OFFSET($V$13,0,0,$C$10,1),AE31),0)</f>
        <v>41</v>
      </c>
      <c r="AM31" cm="1">
        <f t="array" aca="1" ref="AM31" ca="1">IFERROR(INDEX(OFFSET($V$13,0,0,$C$10,1),AF31),0)</f>
        <v>0</v>
      </c>
      <c r="AO31" cm="1">
        <f t="array" aca="1" ref="AO31" ca="1">IF(AH31=0,0,INDEX(sys_DataFlat_LU_Grid,$C$2,AH31))</f>
        <v>0</v>
      </c>
      <c r="AP31" cm="1">
        <f t="array" aca="1" ref="AP31" ca="1">IF(AI31=0,0,INDEX(sys_DataFlat_LU_Grid,$C$2,AI31))</f>
        <v>0</v>
      </c>
      <c r="AQ31" cm="1">
        <f t="array" aca="1" ref="AQ31" ca="1">IF(AJ31=0,0,INDEX(sys_DataFlat_LU_Grid,$C$2,AJ31))</f>
        <v>0</v>
      </c>
      <c r="AR31" cm="1">
        <f t="array" aca="1" ref="AR31" ca="1">IF(AK31=0,0,INDEX(sys_DataFlat_LU_Grid,$C$2,AK31))</f>
        <v>10</v>
      </c>
      <c r="AS31" cm="1">
        <f t="array" aca="1" ref="AS31" ca="1">IF(AL31=0,0,INDEX(sys_DataFlat_LU_Grid,$C$2,AL31))</f>
        <v>41</v>
      </c>
      <c r="AT31" cm="1">
        <f t="array" aca="1" ref="AT31" ca="1">IF(AM31=0,0,INDEX(sys_DataFlat_LU_Grid,$C$2,AM31))</f>
        <v>0</v>
      </c>
    </row>
    <row r="32" spans="1:46" x14ac:dyDescent="0.4">
      <c r="A32">
        <v>20</v>
      </c>
      <c r="B32">
        <v>20</v>
      </c>
      <c r="C32" cm="1">
        <f t="array" ref="C32">INDEX(auto_Country_Status,B32)</f>
        <v>1</v>
      </c>
      <c r="E32" cm="1">
        <f t="array" aca="1" ref="E32" ca="1">INDEX(sys_DataFlat_LU_Grid,$C$2,$B32)</f>
        <v>20</v>
      </c>
      <c r="F32" cm="1">
        <f t="array" aca="1" ref="F32" ca="1">INDEX(auto_DataFlat_Score,E32,$C$3)</f>
        <v>52.5</v>
      </c>
      <c r="G32" cm="1">
        <f t="array" aca="1" ref="G32" ca="1">INDEX(auto_DataFlat_DataValue,E32,$C$3)</f>
        <v>0</v>
      </c>
      <c r="H32">
        <f t="shared" ca="1" si="8"/>
        <v>52.5</v>
      </c>
      <c r="J32">
        <f ca="1">IF($C32=0,-40000000,IFERROR(CHOOSE($C$5,H32,-H32,#REF!,-#REF!),-30000000))</f>
        <v>52.5</v>
      </c>
      <c r="K32">
        <f t="shared" ca="1" si="9"/>
        <v>52.5</v>
      </c>
      <c r="L32">
        <f ca="1">RANK(K32,OFFSET(K$13,0,0,$C$10,1))+COUNTIF(K$13:K32,K32)-1</f>
        <v>35</v>
      </c>
      <c r="N32">
        <f t="shared" ca="1" si="5"/>
        <v>5</v>
      </c>
      <c r="O32" cm="1">
        <f t="array" aca="1" ref="O32" ca="1">INDEX(auto_Country_Status,N32)</f>
        <v>1</v>
      </c>
      <c r="P32" cm="1">
        <f t="array" aca="1" ref="P32" ca="1">INDEX(OFFSET($E$13,0,0,$C$10,1),N32)</f>
        <v>5</v>
      </c>
      <c r="Q32" t="str" cm="1">
        <f t="array" aca="1" ref="Q32" ca="1">INDEX(auto_Country_ISO,N32)</f>
        <v>BKK</v>
      </c>
      <c r="R32" cm="1">
        <f t="array" aca="1" ref="R32" ca="1">IF($O32=0,0,INDEX(auto_DataFlat_Classification,P32,$C$3))</f>
        <v>4</v>
      </c>
      <c r="T32">
        <f t="shared" ca="1" si="10"/>
        <v>52.5</v>
      </c>
      <c r="U32">
        <f ca="1">RANK(T32,OFFSET(T$13,0,0,$C$10,1))+COUNTIF(T$13:T32,T32)-1</f>
        <v>35</v>
      </c>
      <c r="V32">
        <f t="shared" ca="1" si="6"/>
        <v>5</v>
      </c>
      <c r="W32" cm="1">
        <f t="array" aca="1" ref="W32" ca="1">INDEX(auto_Country_Status,V32)</f>
        <v>1</v>
      </c>
      <c r="X32" cm="1">
        <f t="array" aca="1" ref="X32" ca="1">INDEX(sys_DataFlat_LU_Grid,$C$2,V32)</f>
        <v>5</v>
      </c>
      <c r="Y32" cm="1">
        <f t="array" aca="1" ref="Y32" ca="1">IF(W32=0,-1,INDEX(auto_DataFlat_Classification,X32,$C$3))</f>
        <v>4</v>
      </c>
      <c r="AA32" t="e">
        <f t="shared" ref="AA32:AF32" ca="1" si="35">IFERROR(AA31+MATCH(AA$11,OFFSET($Y$13,AA31,0,$C$10-AA31,1),0),NA())</f>
        <v>#N/A</v>
      </c>
      <c r="AB32" t="e">
        <f t="shared" ca="1" si="35"/>
        <v>#N/A</v>
      </c>
      <c r="AC32" t="e">
        <f t="shared" ca="1" si="35"/>
        <v>#N/A</v>
      </c>
      <c r="AD32" t="e">
        <f t="shared" ca="1" si="35"/>
        <v>#N/A</v>
      </c>
      <c r="AE32">
        <f t="shared" ca="1" si="35"/>
        <v>22</v>
      </c>
      <c r="AF32" t="e">
        <f t="shared" ca="1" si="35"/>
        <v>#N/A</v>
      </c>
      <c r="AH32" cm="1">
        <f t="array" aca="1" ref="AH32" ca="1">IFERROR(INDEX(OFFSET($V$13,0,0,$C$10,1),AA32),0)</f>
        <v>0</v>
      </c>
      <c r="AI32" cm="1">
        <f t="array" aca="1" ref="AI32" ca="1">IFERROR(INDEX(OFFSET($V$13,0,0,$C$10,1),AB32),0)</f>
        <v>0</v>
      </c>
      <c r="AJ32" cm="1">
        <f t="array" aca="1" ref="AJ32" ca="1">IFERROR(INDEX(OFFSET($V$13,0,0,$C$10,1),AC32),0)</f>
        <v>0</v>
      </c>
      <c r="AK32" cm="1">
        <f t="array" aca="1" ref="AK32" ca="1">IFERROR(INDEX(OFFSET($V$13,0,0,$C$10,1),AD32),0)</f>
        <v>0</v>
      </c>
      <c r="AL32" cm="1">
        <f t="array" aca="1" ref="AL32" ca="1">IFERROR(INDEX(OFFSET($V$13,0,0,$C$10,1),AE32),0)</f>
        <v>16</v>
      </c>
      <c r="AM32" cm="1">
        <f t="array" aca="1" ref="AM32" ca="1">IFERROR(INDEX(OFFSET($V$13,0,0,$C$10,1),AF32),0)</f>
        <v>0</v>
      </c>
      <c r="AO32" cm="1">
        <f t="array" aca="1" ref="AO32" ca="1">IF(AH32=0,0,INDEX(sys_DataFlat_LU_Grid,$C$2,AH32))</f>
        <v>0</v>
      </c>
      <c r="AP32" cm="1">
        <f t="array" aca="1" ref="AP32" ca="1">IF(AI32=0,0,INDEX(sys_DataFlat_LU_Grid,$C$2,AI32))</f>
        <v>0</v>
      </c>
      <c r="AQ32" cm="1">
        <f t="array" aca="1" ref="AQ32" ca="1">IF(AJ32=0,0,INDEX(sys_DataFlat_LU_Grid,$C$2,AJ32))</f>
        <v>0</v>
      </c>
      <c r="AR32" cm="1">
        <f t="array" aca="1" ref="AR32" ca="1">IF(AK32=0,0,INDEX(sys_DataFlat_LU_Grid,$C$2,AK32))</f>
        <v>0</v>
      </c>
      <c r="AS32" cm="1">
        <f t="array" aca="1" ref="AS32" ca="1">IF(AL32=0,0,INDEX(sys_DataFlat_LU_Grid,$C$2,AL32))</f>
        <v>16</v>
      </c>
      <c r="AT32" cm="1">
        <f t="array" aca="1" ref="AT32" ca="1">IF(AM32=0,0,INDEX(sys_DataFlat_LU_Grid,$C$2,AM32))</f>
        <v>0</v>
      </c>
    </row>
    <row r="33" spans="1:46" x14ac:dyDescent="0.4">
      <c r="A33">
        <v>21</v>
      </c>
      <c r="B33">
        <v>21</v>
      </c>
      <c r="C33" cm="1">
        <f t="array" ref="C33">INDEX(auto_Country_Status,B33)</f>
        <v>1</v>
      </c>
      <c r="E33" cm="1">
        <f t="array" aca="1" ref="E33" ca="1">INDEX(sys_DataFlat_LU_Grid,$C$2,$B33)</f>
        <v>21</v>
      </c>
      <c r="F33" cm="1">
        <f t="array" aca="1" ref="F33" ca="1">INDEX(auto_DataFlat_Score,E33,$C$3)</f>
        <v>44.3</v>
      </c>
      <c r="G33" cm="1">
        <f t="array" aca="1" ref="G33" ca="1">INDEX(auto_DataFlat_DataValue,E33,$C$3)</f>
        <v>0</v>
      </c>
      <c r="H33">
        <f t="shared" ca="1" si="8"/>
        <v>44.3</v>
      </c>
      <c r="J33">
        <f t="shared" ref="J33" ca="1" si="36">IF($C33=0,-40000000,IFERROR(CHOOSE($C$5,H33,-H33),-30000000))</f>
        <v>44.3</v>
      </c>
      <c r="K33">
        <f t="shared" ca="1" si="9"/>
        <v>44.3</v>
      </c>
      <c r="L33">
        <f ca="1">RANK(K33,OFFSET(K$13,0,0,$C$10,1))+COUNTIF(K$13:K33,K33)-1</f>
        <v>43</v>
      </c>
      <c r="N33">
        <f t="shared" ca="1" si="5"/>
        <v>41</v>
      </c>
      <c r="O33" cm="1">
        <f t="array" aca="1" ref="O33" ca="1">INDEX(auto_Country_Status,N33)</f>
        <v>1</v>
      </c>
      <c r="P33" cm="1">
        <f t="array" aca="1" ref="P33" ca="1">INDEX(OFFSET($E$13,0,0,$C$10,1),N33)</f>
        <v>41</v>
      </c>
      <c r="Q33" t="str" cm="1">
        <f t="array" aca="1" ref="Q33" ca="1">INDEX(auto_Country_ISO,N33)</f>
        <v>SPF</v>
      </c>
      <c r="R33" cm="1">
        <f t="array" aca="1" ref="R33" ca="1">IF($O33=0,0,INDEX(auto_DataFlat_Classification,P33,$C$3))</f>
        <v>4</v>
      </c>
      <c r="T33">
        <f t="shared" ca="1" si="10"/>
        <v>44.3</v>
      </c>
      <c r="U33">
        <f ca="1">RANK(T33,OFFSET(T$13,0,0,$C$10,1))+COUNTIF(T$13:T33,T33)-1</f>
        <v>43</v>
      </c>
      <c r="V33">
        <f t="shared" ca="1" si="6"/>
        <v>41</v>
      </c>
      <c r="W33" cm="1">
        <f t="array" aca="1" ref="W33" ca="1">INDEX(auto_Country_Status,V33)</f>
        <v>1</v>
      </c>
      <c r="X33" cm="1">
        <f t="array" aca="1" ref="X33" ca="1">INDEX(sys_DataFlat_LU_Grid,$C$2,V33)</f>
        <v>41</v>
      </c>
      <c r="Y33" cm="1">
        <f t="array" aca="1" ref="Y33" ca="1">IF(W33=0,-1,INDEX(auto_DataFlat_Classification,X33,$C$3))</f>
        <v>4</v>
      </c>
      <c r="AA33" t="e">
        <f t="shared" ref="AA33:AF33" ca="1" si="37">IFERROR(AA32+MATCH(AA$11,OFFSET($Y$13,AA32,0,$C$10-AA32,1),0),NA())</f>
        <v>#N/A</v>
      </c>
      <c r="AB33" t="e">
        <f t="shared" ca="1" si="37"/>
        <v>#N/A</v>
      </c>
      <c r="AC33" t="e">
        <f t="shared" ca="1" si="37"/>
        <v>#N/A</v>
      </c>
      <c r="AD33" t="e">
        <f t="shared" ca="1" si="37"/>
        <v>#N/A</v>
      </c>
      <c r="AE33">
        <f t="shared" ca="1" si="37"/>
        <v>23</v>
      </c>
      <c r="AF33" t="e">
        <f t="shared" ca="1" si="37"/>
        <v>#N/A</v>
      </c>
      <c r="AH33" cm="1">
        <f t="array" aca="1" ref="AH33" ca="1">IFERROR(INDEX(OFFSET($V$13,0,0,$C$10,1),AA33),0)</f>
        <v>0</v>
      </c>
      <c r="AI33" cm="1">
        <f t="array" aca="1" ref="AI33" ca="1">IFERROR(INDEX(OFFSET($V$13,0,0,$C$10,1),AB33),0)</f>
        <v>0</v>
      </c>
      <c r="AJ33" cm="1">
        <f t="array" aca="1" ref="AJ33" ca="1">IFERROR(INDEX(OFFSET($V$13,0,0,$C$10,1),AC33),0)</f>
        <v>0</v>
      </c>
      <c r="AK33" cm="1">
        <f t="array" aca="1" ref="AK33" ca="1">IFERROR(INDEX(OFFSET($V$13,0,0,$C$10,1),AD33),0)</f>
        <v>0</v>
      </c>
      <c r="AL33" cm="1">
        <f t="array" aca="1" ref="AL33" ca="1">IFERROR(INDEX(OFFSET($V$13,0,0,$C$10,1),AE33),0)</f>
        <v>31</v>
      </c>
      <c r="AM33" cm="1">
        <f t="array" aca="1" ref="AM33" ca="1">IFERROR(INDEX(OFFSET($V$13,0,0,$C$10,1),AF33),0)</f>
        <v>0</v>
      </c>
      <c r="AO33" cm="1">
        <f t="array" aca="1" ref="AO33" ca="1">IF(AH33=0,0,INDEX(sys_DataFlat_LU_Grid,$C$2,AH33))</f>
        <v>0</v>
      </c>
      <c r="AP33" cm="1">
        <f t="array" aca="1" ref="AP33" ca="1">IF(AI33=0,0,INDEX(sys_DataFlat_LU_Grid,$C$2,AI33))</f>
        <v>0</v>
      </c>
      <c r="AQ33" cm="1">
        <f t="array" aca="1" ref="AQ33" ca="1">IF(AJ33=0,0,INDEX(sys_DataFlat_LU_Grid,$C$2,AJ33))</f>
        <v>0</v>
      </c>
      <c r="AR33" cm="1">
        <f t="array" aca="1" ref="AR33" ca="1">IF(AK33=0,0,INDEX(sys_DataFlat_LU_Grid,$C$2,AK33))</f>
        <v>0</v>
      </c>
      <c r="AS33" cm="1">
        <f t="array" aca="1" ref="AS33" ca="1">IF(AL33=0,0,INDEX(sys_DataFlat_LU_Grid,$C$2,AL33))</f>
        <v>31</v>
      </c>
      <c r="AT33" cm="1">
        <f t="array" aca="1" ref="AT33" ca="1">IF(AM33=0,0,INDEX(sys_DataFlat_LU_Grid,$C$2,AM33))</f>
        <v>0</v>
      </c>
    </row>
    <row r="34" spans="1:46" x14ac:dyDescent="0.4">
      <c r="A34">
        <v>22</v>
      </c>
      <c r="B34">
        <v>22</v>
      </c>
      <c r="C34" cm="1">
        <f t="array" ref="C34">INDEX(auto_Country_Status,B34)</f>
        <v>1</v>
      </c>
      <c r="E34" cm="1">
        <f t="array" aca="1" ref="E34" ca="1">INDEX(sys_DataFlat_LU_Grid,$C$2,$B34)</f>
        <v>22</v>
      </c>
      <c r="F34" cm="1">
        <f t="array" aca="1" ref="F34" ca="1">INDEX(auto_DataFlat_Score,E34,$C$3)</f>
        <v>40.9</v>
      </c>
      <c r="G34" cm="1">
        <f t="array" aca="1" ref="G34" ca="1">INDEX(auto_DataFlat_DataValue,E34,$C$3)</f>
        <v>0</v>
      </c>
      <c r="H34">
        <f t="shared" ca="1" si="8"/>
        <v>40.9</v>
      </c>
      <c r="J34">
        <f ca="1">IF($C34=0,-40000000,IFERROR(CHOOSE($C$5,H34,-H34,#REF!,-#REF!),-30000000))</f>
        <v>40.9</v>
      </c>
      <c r="K34">
        <f t="shared" ca="1" si="9"/>
        <v>40.9</v>
      </c>
      <c r="L34">
        <f ca="1">RANK(K34,OFFSET(K$13,0,0,$C$10,1))+COUNTIF(K$13:K34,K34)-1</f>
        <v>49</v>
      </c>
      <c r="N34">
        <f t="shared" ca="1" si="5"/>
        <v>16</v>
      </c>
      <c r="O34" cm="1">
        <f t="array" aca="1" ref="O34" ca="1">INDEX(auto_Country_Status,N34)</f>
        <v>1</v>
      </c>
      <c r="P34" cm="1">
        <f t="array" aca="1" ref="P34" ca="1">INDEX(OFFSET($E$13,0,0,$C$10,1),N34)</f>
        <v>16</v>
      </c>
      <c r="Q34" t="str" cm="1">
        <f t="array" aca="1" ref="Q34" ca="1">INDEX(auto_Country_ISO,N34)</f>
        <v>SGN</v>
      </c>
      <c r="R34" cm="1">
        <f t="array" aca="1" ref="R34" ca="1">IF($O34=0,0,INDEX(auto_DataFlat_Classification,P34,$C$3))</f>
        <v>4</v>
      </c>
      <c r="T34">
        <f t="shared" ca="1" si="10"/>
        <v>40.9</v>
      </c>
      <c r="U34">
        <f ca="1">RANK(T34,OFFSET(T$13,0,0,$C$10,1))+COUNTIF(T$13:T34,T34)-1</f>
        <v>49</v>
      </c>
      <c r="V34">
        <f t="shared" ca="1" si="6"/>
        <v>16</v>
      </c>
      <c r="W34" cm="1">
        <f t="array" aca="1" ref="W34" ca="1">INDEX(auto_Country_Status,V34)</f>
        <v>1</v>
      </c>
      <c r="X34" cm="1">
        <f t="array" aca="1" ref="X34" ca="1">INDEX(sys_DataFlat_LU_Grid,$C$2,V34)</f>
        <v>16</v>
      </c>
      <c r="Y34" cm="1">
        <f t="array" aca="1" ref="Y34" ca="1">IF(W34=0,-1,INDEX(auto_DataFlat_Classification,X34,$C$3))</f>
        <v>4</v>
      </c>
      <c r="AA34" t="e">
        <f t="shared" ref="AA34:AF34" ca="1" si="38">IFERROR(AA33+MATCH(AA$11,OFFSET($Y$13,AA33,0,$C$10-AA33,1),0),NA())</f>
        <v>#N/A</v>
      </c>
      <c r="AB34" t="e">
        <f t="shared" ca="1" si="38"/>
        <v>#N/A</v>
      </c>
      <c r="AC34" t="e">
        <f t="shared" ca="1" si="38"/>
        <v>#N/A</v>
      </c>
      <c r="AD34" t="e">
        <f t="shared" ca="1" si="38"/>
        <v>#N/A</v>
      </c>
      <c r="AE34">
        <f t="shared" ca="1" si="38"/>
        <v>24</v>
      </c>
      <c r="AF34" t="e">
        <f t="shared" ca="1" si="38"/>
        <v>#N/A</v>
      </c>
      <c r="AH34" cm="1">
        <f t="array" aca="1" ref="AH34" ca="1">IFERROR(INDEX(OFFSET($V$13,0,0,$C$10,1),AA34),0)</f>
        <v>0</v>
      </c>
      <c r="AI34" cm="1">
        <f t="array" aca="1" ref="AI34" ca="1">IFERROR(INDEX(OFFSET($V$13,0,0,$C$10,1),AB34),0)</f>
        <v>0</v>
      </c>
      <c r="AJ34" cm="1">
        <f t="array" aca="1" ref="AJ34" ca="1">IFERROR(INDEX(OFFSET($V$13,0,0,$C$10,1),AC34),0)</f>
        <v>0</v>
      </c>
      <c r="AK34" cm="1">
        <f t="array" aca="1" ref="AK34" ca="1">IFERROR(INDEX(OFFSET($V$13,0,0,$C$10,1),AD34),0)</f>
        <v>0</v>
      </c>
      <c r="AL34" cm="1">
        <f t="array" aca="1" ref="AL34" ca="1">IFERROR(INDEX(OFFSET($V$13,0,0,$C$10,1),AE34),0)</f>
        <v>43</v>
      </c>
      <c r="AM34" cm="1">
        <f t="array" aca="1" ref="AM34" ca="1">IFERROR(INDEX(OFFSET($V$13,0,0,$C$10,1),AF34),0)</f>
        <v>0</v>
      </c>
      <c r="AO34" cm="1">
        <f t="array" aca="1" ref="AO34" ca="1">IF(AH34=0,0,INDEX(sys_DataFlat_LU_Grid,$C$2,AH34))</f>
        <v>0</v>
      </c>
      <c r="AP34" cm="1">
        <f t="array" aca="1" ref="AP34" ca="1">IF(AI34=0,0,INDEX(sys_DataFlat_LU_Grid,$C$2,AI34))</f>
        <v>0</v>
      </c>
      <c r="AQ34" cm="1">
        <f t="array" aca="1" ref="AQ34" ca="1">IF(AJ34=0,0,INDEX(sys_DataFlat_LU_Grid,$C$2,AJ34))</f>
        <v>0</v>
      </c>
      <c r="AR34" cm="1">
        <f t="array" aca="1" ref="AR34" ca="1">IF(AK34=0,0,INDEX(sys_DataFlat_LU_Grid,$C$2,AK34))</f>
        <v>0</v>
      </c>
      <c r="AS34" cm="1">
        <f t="array" aca="1" ref="AS34" ca="1">IF(AL34=0,0,INDEX(sys_DataFlat_LU_Grid,$C$2,AL34))</f>
        <v>43</v>
      </c>
      <c r="AT34" cm="1">
        <f t="array" aca="1" ref="AT34" ca="1">IF(AM34=0,0,INDEX(sys_DataFlat_LU_Grid,$C$2,AM34))</f>
        <v>0</v>
      </c>
    </row>
    <row r="35" spans="1:46" x14ac:dyDescent="0.4">
      <c r="A35">
        <v>23</v>
      </c>
      <c r="B35">
        <v>23</v>
      </c>
      <c r="C35" cm="1">
        <f t="array" ref="C35">INDEX(auto_Country_Status,B35)</f>
        <v>1</v>
      </c>
      <c r="E35" cm="1">
        <f t="array" aca="1" ref="E35" ca="1">INDEX(sys_DataFlat_LU_Grid,$C$2,$B35)</f>
        <v>23</v>
      </c>
      <c r="F35" cm="1">
        <f t="array" aca="1" ref="F35" ca="1">INDEX(auto_DataFlat_Score,E35,$C$3)</f>
        <v>51.8</v>
      </c>
      <c r="G35" cm="1">
        <f t="array" aca="1" ref="G35" ca="1">INDEX(auto_DataFlat_DataValue,E35,$C$3)</f>
        <v>0</v>
      </c>
      <c r="H35">
        <f t="shared" ca="1" si="8"/>
        <v>51.8</v>
      </c>
      <c r="J35">
        <f t="shared" ref="J35" ca="1" si="39">IF($C35=0,-40000000,IFERROR(CHOOSE($C$5,H35,-H35),-30000000))</f>
        <v>51.8</v>
      </c>
      <c r="K35">
        <f t="shared" ca="1" si="9"/>
        <v>51.8</v>
      </c>
      <c r="L35">
        <f ca="1">RANK(K35,OFFSET(K$13,0,0,$C$10,1))+COUNTIF(K$13:K35,K35)-1</f>
        <v>37</v>
      </c>
      <c r="N35">
        <f t="shared" ca="1" si="5"/>
        <v>31</v>
      </c>
      <c r="O35" cm="1">
        <f t="array" aca="1" ref="O35" ca="1">INDEX(auto_Country_Status,N35)</f>
        <v>1</v>
      </c>
      <c r="P35" cm="1">
        <f t="array" aca="1" ref="P35" ca="1">INDEX(OFFSET($E$13,0,0,$C$10,1),N35)</f>
        <v>31</v>
      </c>
      <c r="Q35" t="str" cm="1">
        <f t="array" aca="1" ref="Q35" ca="1">INDEX(auto_Country_ISO,N35)</f>
        <v>MW3</v>
      </c>
      <c r="R35" cm="1">
        <f t="array" aca="1" ref="R35" ca="1">IF($O35=0,0,INDEX(auto_DataFlat_Classification,P35,$C$3))</f>
        <v>4</v>
      </c>
      <c r="T35">
        <f t="shared" ca="1" si="10"/>
        <v>51.8</v>
      </c>
      <c r="U35">
        <f ca="1">RANK(T35,OFFSET(T$13,0,0,$C$10,1))+COUNTIF(T$13:T35,T35)-1</f>
        <v>37</v>
      </c>
      <c r="V35">
        <f t="shared" ca="1" si="6"/>
        <v>31</v>
      </c>
      <c r="W35" cm="1">
        <f t="array" aca="1" ref="W35" ca="1">INDEX(auto_Country_Status,V35)</f>
        <v>1</v>
      </c>
      <c r="X35" cm="1">
        <f t="array" aca="1" ref="X35" ca="1">INDEX(sys_DataFlat_LU_Grid,$C$2,V35)</f>
        <v>31</v>
      </c>
      <c r="Y35" cm="1">
        <f t="array" aca="1" ref="Y35" ca="1">IF(W35=0,-1,INDEX(auto_DataFlat_Classification,X35,$C$3))</f>
        <v>4</v>
      </c>
      <c r="AA35" t="e">
        <f t="shared" ref="AA35:AF35" ca="1" si="40">IFERROR(AA34+MATCH(AA$11,OFFSET($Y$13,AA34,0,$C$10-AA34,1),0),NA())</f>
        <v>#N/A</v>
      </c>
      <c r="AB35" t="e">
        <f t="shared" ca="1" si="40"/>
        <v>#N/A</v>
      </c>
      <c r="AC35" t="e">
        <f t="shared" ca="1" si="40"/>
        <v>#N/A</v>
      </c>
      <c r="AD35" t="e">
        <f t="shared" ca="1" si="40"/>
        <v>#N/A</v>
      </c>
      <c r="AE35">
        <f t="shared" ca="1" si="40"/>
        <v>25</v>
      </c>
      <c r="AF35" t="e">
        <f t="shared" ca="1" si="40"/>
        <v>#N/A</v>
      </c>
      <c r="AH35" cm="1">
        <f t="array" aca="1" ref="AH35" ca="1">IFERROR(INDEX(OFFSET($V$13,0,0,$C$10,1),AA35),0)</f>
        <v>0</v>
      </c>
      <c r="AI35" cm="1">
        <f t="array" aca="1" ref="AI35" ca="1">IFERROR(INDEX(OFFSET($V$13,0,0,$C$10,1),AB35),0)</f>
        <v>0</v>
      </c>
      <c r="AJ35" cm="1">
        <f t="array" aca="1" ref="AJ35" ca="1">IFERROR(INDEX(OFFSET($V$13,0,0,$C$10,1),AC35),0)</f>
        <v>0</v>
      </c>
      <c r="AK35" cm="1">
        <f t="array" aca="1" ref="AK35" ca="1">IFERROR(INDEX(OFFSET($V$13,0,0,$C$10,1),AD35),0)</f>
        <v>0</v>
      </c>
      <c r="AL35" cm="1">
        <f t="array" aca="1" ref="AL35" ca="1">IFERROR(INDEX(OFFSET($V$13,0,0,$C$10,1),AE35),0)</f>
        <v>14</v>
      </c>
      <c r="AM35" cm="1">
        <f t="array" aca="1" ref="AM35" ca="1">IFERROR(INDEX(OFFSET($V$13,0,0,$C$10,1),AF35),0)</f>
        <v>0</v>
      </c>
      <c r="AO35" cm="1">
        <f t="array" aca="1" ref="AO35" ca="1">IF(AH35=0,0,INDEX(sys_DataFlat_LU_Grid,$C$2,AH35))</f>
        <v>0</v>
      </c>
      <c r="AP35" cm="1">
        <f t="array" aca="1" ref="AP35" ca="1">IF(AI35=0,0,INDEX(sys_DataFlat_LU_Grid,$C$2,AI35))</f>
        <v>0</v>
      </c>
      <c r="AQ35" cm="1">
        <f t="array" aca="1" ref="AQ35" ca="1">IF(AJ35=0,0,INDEX(sys_DataFlat_LU_Grid,$C$2,AJ35))</f>
        <v>0</v>
      </c>
      <c r="AR35" cm="1">
        <f t="array" aca="1" ref="AR35" ca="1">IF(AK35=0,0,INDEX(sys_DataFlat_LU_Grid,$C$2,AK35))</f>
        <v>0</v>
      </c>
      <c r="AS35" cm="1">
        <f t="array" aca="1" ref="AS35" ca="1">IF(AL35=0,0,INDEX(sys_DataFlat_LU_Grid,$C$2,AL35))</f>
        <v>14</v>
      </c>
      <c r="AT35" cm="1">
        <f t="array" aca="1" ref="AT35" ca="1">IF(AM35=0,0,INDEX(sys_DataFlat_LU_Grid,$C$2,AM35))</f>
        <v>0</v>
      </c>
    </row>
    <row r="36" spans="1:46" x14ac:dyDescent="0.4">
      <c r="A36">
        <v>24</v>
      </c>
      <c r="B36">
        <v>24</v>
      </c>
      <c r="C36" cm="1">
        <f t="array" ref="C36">INDEX(auto_Country_Status,B36)</f>
        <v>1</v>
      </c>
      <c r="E36" cm="1">
        <f t="array" aca="1" ref="E36" ca="1">INDEX(sys_DataFlat_LU_Grid,$C$2,$B36)</f>
        <v>24</v>
      </c>
      <c r="F36" cm="1">
        <f t="array" aca="1" ref="F36" ca="1">INDEX(auto_DataFlat_Score,E36,$C$3)</f>
        <v>42.1</v>
      </c>
      <c r="G36" cm="1">
        <f t="array" aca="1" ref="G36" ca="1">INDEX(auto_DataFlat_DataValue,E36,$C$3)</f>
        <v>0</v>
      </c>
      <c r="H36">
        <f t="shared" ca="1" si="8"/>
        <v>42.1</v>
      </c>
      <c r="J36">
        <f ca="1">IF($C36=0,-40000000,IFERROR(CHOOSE($C$5,H36,-H36,#REF!,-#REF!),-30000000))</f>
        <v>42.1</v>
      </c>
      <c r="K36">
        <f t="shared" ca="1" si="9"/>
        <v>42.1</v>
      </c>
      <c r="L36">
        <f ca="1">RANK(K36,OFFSET(K$13,0,0,$C$10,1))+COUNTIF(K$13:K36,K36)-1</f>
        <v>46</v>
      </c>
      <c r="N36">
        <f t="shared" ca="1" si="5"/>
        <v>43</v>
      </c>
      <c r="O36" cm="1">
        <f t="array" aca="1" ref="O36" ca="1">INDEX(auto_Country_Status,N36)</f>
        <v>1</v>
      </c>
      <c r="P36" cm="1">
        <f t="array" aca="1" ref="P36" ca="1">INDEX(OFFSET($E$13,0,0,$C$10,1),N36)</f>
        <v>43</v>
      </c>
      <c r="Q36" t="str" cm="1">
        <f t="array" aca="1" ref="Q36" ca="1">INDEX(auto_Country_ISO,N36)</f>
        <v>SGH</v>
      </c>
      <c r="R36" cm="1">
        <f t="array" aca="1" ref="R36" ca="1">IF($O36=0,0,INDEX(auto_DataFlat_Classification,P36,$C$3))</f>
        <v>4</v>
      </c>
      <c r="T36">
        <f t="shared" ca="1" si="10"/>
        <v>42.1</v>
      </c>
      <c r="U36">
        <f ca="1">RANK(T36,OFFSET(T$13,0,0,$C$10,1))+COUNTIF(T$13:T36,T36)-1</f>
        <v>46</v>
      </c>
      <c r="V36">
        <f t="shared" ca="1" si="6"/>
        <v>43</v>
      </c>
      <c r="W36" cm="1">
        <f t="array" aca="1" ref="W36" ca="1">INDEX(auto_Country_Status,V36)</f>
        <v>1</v>
      </c>
      <c r="X36" cm="1">
        <f t="array" aca="1" ref="X36" ca="1">INDEX(sys_DataFlat_LU_Grid,$C$2,V36)</f>
        <v>43</v>
      </c>
      <c r="Y36" cm="1">
        <f t="array" aca="1" ref="Y36" ca="1">IF(W36=0,-1,INDEX(auto_DataFlat_Classification,X36,$C$3))</f>
        <v>4</v>
      </c>
      <c r="AA36" t="e">
        <f t="shared" ref="AA36:AF36" ca="1" si="41">IFERROR(AA35+MATCH(AA$11,OFFSET($Y$13,AA35,0,$C$10-AA35,1),0),NA())</f>
        <v>#N/A</v>
      </c>
      <c r="AB36" t="e">
        <f t="shared" ca="1" si="41"/>
        <v>#N/A</v>
      </c>
      <c r="AC36" t="e">
        <f t="shared" ca="1" si="41"/>
        <v>#N/A</v>
      </c>
      <c r="AD36" t="e">
        <f t="shared" ca="1" si="41"/>
        <v>#N/A</v>
      </c>
      <c r="AE36">
        <f t="shared" ca="1" si="41"/>
        <v>26</v>
      </c>
      <c r="AF36" t="e">
        <f t="shared" ca="1" si="41"/>
        <v>#N/A</v>
      </c>
      <c r="AH36" cm="1">
        <f t="array" aca="1" ref="AH36" ca="1">IFERROR(INDEX(OFFSET($V$13,0,0,$C$10,1),AA36),0)</f>
        <v>0</v>
      </c>
      <c r="AI36" cm="1">
        <f t="array" aca="1" ref="AI36" ca="1">IFERROR(INDEX(OFFSET($V$13,0,0,$C$10,1),AB36),0)</f>
        <v>0</v>
      </c>
      <c r="AJ36" cm="1">
        <f t="array" aca="1" ref="AJ36" ca="1">IFERROR(INDEX(OFFSET($V$13,0,0,$C$10,1),AC36),0)</f>
        <v>0</v>
      </c>
      <c r="AK36" cm="1">
        <f t="array" aca="1" ref="AK36" ca="1">IFERROR(INDEX(OFFSET($V$13,0,0,$C$10,1),AD36),0)</f>
        <v>0</v>
      </c>
      <c r="AL36" cm="1">
        <f t="array" aca="1" ref="AL36" ca="1">IFERROR(INDEX(OFFSET($V$13,0,0,$C$10,1),AE36),0)</f>
        <v>36</v>
      </c>
      <c r="AM36" cm="1">
        <f t="array" aca="1" ref="AM36" ca="1">IFERROR(INDEX(OFFSET($V$13,0,0,$C$10,1),AF36),0)</f>
        <v>0</v>
      </c>
      <c r="AO36" cm="1">
        <f t="array" aca="1" ref="AO36" ca="1">IF(AH36=0,0,INDEX(sys_DataFlat_LU_Grid,$C$2,AH36))</f>
        <v>0</v>
      </c>
      <c r="AP36" cm="1">
        <f t="array" aca="1" ref="AP36" ca="1">IF(AI36=0,0,INDEX(sys_DataFlat_LU_Grid,$C$2,AI36))</f>
        <v>0</v>
      </c>
      <c r="AQ36" cm="1">
        <f t="array" aca="1" ref="AQ36" ca="1">IF(AJ36=0,0,INDEX(sys_DataFlat_LU_Grid,$C$2,AJ36))</f>
        <v>0</v>
      </c>
      <c r="AR36" cm="1">
        <f t="array" aca="1" ref="AR36" ca="1">IF(AK36=0,0,INDEX(sys_DataFlat_LU_Grid,$C$2,AK36))</f>
        <v>0</v>
      </c>
      <c r="AS36" cm="1">
        <f t="array" aca="1" ref="AS36" ca="1">IF(AL36=0,0,INDEX(sys_DataFlat_LU_Grid,$C$2,AL36))</f>
        <v>36</v>
      </c>
      <c r="AT36" cm="1">
        <f t="array" aca="1" ref="AT36" ca="1">IF(AM36=0,0,INDEX(sys_DataFlat_LU_Grid,$C$2,AM36))</f>
        <v>0</v>
      </c>
    </row>
    <row r="37" spans="1:46" x14ac:dyDescent="0.4">
      <c r="A37">
        <v>25</v>
      </c>
      <c r="B37">
        <v>25</v>
      </c>
      <c r="C37" cm="1">
        <f t="array" ref="C37">INDEX(auto_Country_Status,B37)</f>
        <v>1</v>
      </c>
      <c r="E37" cm="1">
        <f t="array" aca="1" ref="E37" ca="1">INDEX(sys_DataFlat_LU_Grid,$C$2,$B37)</f>
        <v>25</v>
      </c>
      <c r="F37" cm="1">
        <f t="array" aca="1" ref="F37" ca="1">INDEX(auto_DataFlat_Score,E37,$C$3)</f>
        <v>51.6</v>
      </c>
      <c r="G37" cm="1">
        <f t="array" aca="1" ref="G37" ca="1">INDEX(auto_DataFlat_DataValue,E37,$C$3)</f>
        <v>0</v>
      </c>
      <c r="H37">
        <f t="shared" ca="1" si="8"/>
        <v>51.6</v>
      </c>
      <c r="J37">
        <f t="shared" ref="J37" ca="1" si="42">IF($C37=0,-40000000,IFERROR(CHOOSE($C$5,H37,-H37),-30000000))</f>
        <v>51.6</v>
      </c>
      <c r="K37">
        <f t="shared" ca="1" si="9"/>
        <v>51.6</v>
      </c>
      <c r="L37">
        <f ca="1">RANK(K37,OFFSET(K$13,0,0,$C$10,1))+COUNTIF(K$13:K37,K37)-1</f>
        <v>38</v>
      </c>
      <c r="N37">
        <f t="shared" ca="1" si="5"/>
        <v>14</v>
      </c>
      <c r="O37" cm="1">
        <f t="array" aca="1" ref="O37" ca="1">INDEX(auto_Country_Status,N37)</f>
        <v>1</v>
      </c>
      <c r="P37" cm="1">
        <f t="array" aca="1" ref="P37" ca="1">INDEX(OFFSET($E$13,0,0,$C$10,1),N37)</f>
        <v>14</v>
      </c>
      <c r="Q37" t="str" cm="1">
        <f t="array" aca="1" ref="Q37" ca="1">INDEX(auto_Country_ISO,N37)</f>
        <v>DXB</v>
      </c>
      <c r="R37" cm="1">
        <f t="array" aca="1" ref="R37" ca="1">IF($O37=0,0,INDEX(auto_DataFlat_Classification,P37,$C$3))</f>
        <v>4</v>
      </c>
      <c r="T37">
        <f t="shared" ca="1" si="10"/>
        <v>51.6</v>
      </c>
      <c r="U37">
        <f ca="1">RANK(T37,OFFSET(T$13,0,0,$C$10,1))+COUNTIF(T$13:T37,T37)-1</f>
        <v>38</v>
      </c>
      <c r="V37">
        <f t="shared" ca="1" si="6"/>
        <v>14</v>
      </c>
      <c r="W37" cm="1">
        <f t="array" aca="1" ref="W37" ca="1">INDEX(auto_Country_Status,V37)</f>
        <v>1</v>
      </c>
      <c r="X37" cm="1">
        <f t="array" aca="1" ref="X37" ca="1">INDEX(sys_DataFlat_LU_Grid,$C$2,V37)</f>
        <v>14</v>
      </c>
      <c r="Y37" cm="1">
        <f t="array" aca="1" ref="Y37" ca="1">IF(W37=0,-1,INDEX(auto_DataFlat_Classification,X37,$C$3))</f>
        <v>4</v>
      </c>
      <c r="AA37" t="e">
        <f t="shared" ref="AA37:AF37" ca="1" si="43">IFERROR(AA36+MATCH(AA$11,OFFSET($Y$13,AA36,0,$C$10-AA36,1),0),NA())</f>
        <v>#N/A</v>
      </c>
      <c r="AB37" t="e">
        <f t="shared" ca="1" si="43"/>
        <v>#N/A</v>
      </c>
      <c r="AC37" t="e">
        <f t="shared" ca="1" si="43"/>
        <v>#N/A</v>
      </c>
      <c r="AD37" t="e">
        <f t="shared" ca="1" si="43"/>
        <v>#N/A</v>
      </c>
      <c r="AE37">
        <f t="shared" ca="1" si="43"/>
        <v>27</v>
      </c>
      <c r="AF37" t="e">
        <f t="shared" ca="1" si="43"/>
        <v>#N/A</v>
      </c>
      <c r="AH37" cm="1">
        <f t="array" aca="1" ref="AH37" ca="1">IFERROR(INDEX(OFFSET($V$13,0,0,$C$10,1),AA37),0)</f>
        <v>0</v>
      </c>
      <c r="AI37" cm="1">
        <f t="array" aca="1" ref="AI37" ca="1">IFERROR(INDEX(OFFSET($V$13,0,0,$C$10,1),AB37),0)</f>
        <v>0</v>
      </c>
      <c r="AJ37" cm="1">
        <f t="array" aca="1" ref="AJ37" ca="1">IFERROR(INDEX(OFFSET($V$13,0,0,$C$10,1),AC37),0)</f>
        <v>0</v>
      </c>
      <c r="AK37" cm="1">
        <f t="array" aca="1" ref="AK37" ca="1">IFERROR(INDEX(OFFSET($V$13,0,0,$C$10,1),AD37),0)</f>
        <v>0</v>
      </c>
      <c r="AL37" cm="1">
        <f t="array" aca="1" ref="AL37" ca="1">IFERROR(INDEX(OFFSET($V$13,0,0,$C$10,1),AE37),0)</f>
        <v>39</v>
      </c>
      <c r="AM37" cm="1">
        <f t="array" aca="1" ref="AM37" ca="1">IFERROR(INDEX(OFFSET($V$13,0,0,$C$10,1),AF37),0)</f>
        <v>0</v>
      </c>
      <c r="AO37" cm="1">
        <f t="array" aca="1" ref="AO37" ca="1">IF(AH37=0,0,INDEX(sys_DataFlat_LU_Grid,$C$2,AH37))</f>
        <v>0</v>
      </c>
      <c r="AP37" cm="1">
        <f t="array" aca="1" ref="AP37" ca="1">IF(AI37=0,0,INDEX(sys_DataFlat_LU_Grid,$C$2,AI37))</f>
        <v>0</v>
      </c>
      <c r="AQ37" cm="1">
        <f t="array" aca="1" ref="AQ37" ca="1">IF(AJ37=0,0,INDEX(sys_DataFlat_LU_Grid,$C$2,AJ37))</f>
        <v>0</v>
      </c>
      <c r="AR37" cm="1">
        <f t="array" aca="1" ref="AR37" ca="1">IF(AK37=0,0,INDEX(sys_DataFlat_LU_Grid,$C$2,AK37))</f>
        <v>0</v>
      </c>
      <c r="AS37" cm="1">
        <f t="array" aca="1" ref="AS37" ca="1">IF(AL37=0,0,INDEX(sys_DataFlat_LU_Grid,$C$2,AL37))</f>
        <v>39</v>
      </c>
      <c r="AT37" cm="1">
        <f t="array" aca="1" ref="AT37" ca="1">IF(AM37=0,0,INDEX(sys_DataFlat_LU_Grid,$C$2,AM37))</f>
        <v>0</v>
      </c>
    </row>
    <row r="38" spans="1:46" x14ac:dyDescent="0.4">
      <c r="A38">
        <v>26</v>
      </c>
      <c r="B38">
        <v>26</v>
      </c>
      <c r="C38" cm="1">
        <f t="array" ref="C38">INDEX(auto_Country_Status,B38)</f>
        <v>1</v>
      </c>
      <c r="E38" cm="1">
        <f t="array" aca="1" ref="E38" ca="1">INDEX(sys_DataFlat_LU_Grid,$C$2,$B38)</f>
        <v>26</v>
      </c>
      <c r="F38" cm="1">
        <f t="array" aca="1" ref="F38" ca="1">INDEX(auto_DataFlat_Score,E38,$C$3)</f>
        <v>82.6</v>
      </c>
      <c r="G38" cm="1">
        <f t="array" aca="1" ref="G38" ca="1">INDEX(auto_DataFlat_DataValue,E38,$C$3)</f>
        <v>0</v>
      </c>
      <c r="H38">
        <f t="shared" ca="1" si="8"/>
        <v>82.6</v>
      </c>
      <c r="J38">
        <f ca="1">IF($C38=0,-40000000,IFERROR(CHOOSE($C$5,H38,-H38,#REF!,-#REF!),-30000000))</f>
        <v>82.6</v>
      </c>
      <c r="K38">
        <f t="shared" ca="1" si="9"/>
        <v>82.6</v>
      </c>
      <c r="L38">
        <f ca="1">RANK(K38,OFFSET(K$13,0,0,$C$10,1))+COUNTIF(K$13:K38,K38)-1</f>
        <v>2</v>
      </c>
      <c r="N38">
        <f t="shared" ca="1" si="5"/>
        <v>36</v>
      </c>
      <c r="O38" cm="1">
        <f t="array" aca="1" ref="O38" ca="1">INDEX(auto_Country_Status,N38)</f>
        <v>1</v>
      </c>
      <c r="P38" cm="1">
        <f t="array" aca="1" ref="P38" ca="1">INDEX(OFFSET($E$13,0,0,$C$10,1),N38)</f>
        <v>36</v>
      </c>
      <c r="Q38" t="str" cm="1">
        <f t="array" aca="1" ref="Q38" ca="1">INDEX(auto_Country_ISO,N38)</f>
        <v>PAR</v>
      </c>
      <c r="R38" cm="1">
        <f t="array" aca="1" ref="R38" ca="1">IF($O38=0,0,INDEX(auto_DataFlat_Classification,P38,$C$3))</f>
        <v>4</v>
      </c>
      <c r="T38">
        <f t="shared" ca="1" si="10"/>
        <v>82.6</v>
      </c>
      <c r="U38">
        <f ca="1">RANK(T38,OFFSET(T$13,0,0,$C$10,1))+COUNTIF(T$13:T38,T38)-1</f>
        <v>2</v>
      </c>
      <c r="V38">
        <f t="shared" ca="1" si="6"/>
        <v>36</v>
      </c>
      <c r="W38" cm="1">
        <f t="array" aca="1" ref="W38" ca="1">INDEX(auto_Country_Status,V38)</f>
        <v>1</v>
      </c>
      <c r="X38" cm="1">
        <f t="array" aca="1" ref="X38" ca="1">INDEX(sys_DataFlat_LU_Grid,$C$2,V38)</f>
        <v>36</v>
      </c>
      <c r="Y38" cm="1">
        <f t="array" aca="1" ref="Y38" ca="1">IF(W38=0,-1,INDEX(auto_DataFlat_Classification,X38,$C$3))</f>
        <v>4</v>
      </c>
      <c r="AA38" t="e">
        <f t="shared" ref="AA38:AF38" ca="1" si="44">IFERROR(AA37+MATCH(AA$11,OFFSET($Y$13,AA37,0,$C$10-AA37,1),0),NA())</f>
        <v>#N/A</v>
      </c>
      <c r="AB38" t="e">
        <f t="shared" ca="1" si="44"/>
        <v>#N/A</v>
      </c>
      <c r="AC38" t="e">
        <f t="shared" ca="1" si="44"/>
        <v>#N/A</v>
      </c>
      <c r="AD38" t="e">
        <f t="shared" ca="1" si="44"/>
        <v>#N/A</v>
      </c>
      <c r="AE38">
        <f t="shared" ca="1" si="44"/>
        <v>28</v>
      </c>
      <c r="AF38" t="e">
        <f t="shared" ca="1" si="44"/>
        <v>#N/A</v>
      </c>
      <c r="AH38" cm="1">
        <f t="array" aca="1" ref="AH38" ca="1">IFERROR(INDEX(OFFSET($V$13,0,0,$C$10,1),AA38),0)</f>
        <v>0</v>
      </c>
      <c r="AI38" cm="1">
        <f t="array" aca="1" ref="AI38" ca="1">IFERROR(INDEX(OFFSET($V$13,0,0,$C$10,1),AB38),0)</f>
        <v>0</v>
      </c>
      <c r="AJ38" cm="1">
        <f t="array" aca="1" ref="AJ38" ca="1">IFERROR(INDEX(OFFSET($V$13,0,0,$C$10,1),AC38),0)</f>
        <v>0</v>
      </c>
      <c r="AK38" cm="1">
        <f t="array" aca="1" ref="AK38" ca="1">IFERROR(INDEX(OFFSET($V$13,0,0,$C$10,1),AD38),0)</f>
        <v>0</v>
      </c>
      <c r="AL38" cm="1">
        <f t="array" aca="1" ref="AL38" ca="1">IFERROR(INDEX(OFFSET($V$13,0,0,$C$10,1),AE38),0)</f>
        <v>6</v>
      </c>
      <c r="AM38" cm="1">
        <f t="array" aca="1" ref="AM38" ca="1">IFERROR(INDEX(OFFSET($V$13,0,0,$C$10,1),AF38),0)</f>
        <v>0</v>
      </c>
      <c r="AO38" cm="1">
        <f t="array" aca="1" ref="AO38" ca="1">IF(AH38=0,0,INDEX(sys_DataFlat_LU_Grid,$C$2,AH38))</f>
        <v>0</v>
      </c>
      <c r="AP38" cm="1">
        <f t="array" aca="1" ref="AP38" ca="1">IF(AI38=0,0,INDEX(sys_DataFlat_LU_Grid,$C$2,AI38))</f>
        <v>0</v>
      </c>
      <c r="AQ38" cm="1">
        <f t="array" aca="1" ref="AQ38" ca="1">IF(AJ38=0,0,INDEX(sys_DataFlat_LU_Grid,$C$2,AJ38))</f>
        <v>0</v>
      </c>
      <c r="AR38" cm="1">
        <f t="array" aca="1" ref="AR38" ca="1">IF(AK38=0,0,INDEX(sys_DataFlat_LU_Grid,$C$2,AK38))</f>
        <v>0</v>
      </c>
      <c r="AS38" cm="1">
        <f t="array" aca="1" ref="AS38" ca="1">IF(AL38=0,0,INDEX(sys_DataFlat_LU_Grid,$C$2,AL38))</f>
        <v>6</v>
      </c>
      <c r="AT38" cm="1">
        <f t="array" aca="1" ref="AT38" ca="1">IF(AM38=0,0,INDEX(sys_DataFlat_LU_Grid,$C$2,AM38))</f>
        <v>0</v>
      </c>
    </row>
    <row r="39" spans="1:46" x14ac:dyDescent="0.4">
      <c r="A39">
        <v>27</v>
      </c>
      <c r="B39">
        <v>27</v>
      </c>
      <c r="C39" cm="1">
        <f t="array" ref="C39">INDEX(auto_Country_Status,B39)</f>
        <v>1</v>
      </c>
      <c r="E39" cm="1">
        <f t="array" aca="1" ref="E39" ca="1">INDEX(sys_DataFlat_LU_Grid,$C$2,$B39)</f>
        <v>27</v>
      </c>
      <c r="F39" cm="1">
        <f t="array" aca="1" ref="F39" ca="1">INDEX(auto_DataFlat_Score,E39,$C$3)</f>
        <v>79.599999999999994</v>
      </c>
      <c r="G39" cm="1">
        <f t="array" aca="1" ref="G39" ca="1">INDEX(auto_DataFlat_DataValue,E39,$C$3)</f>
        <v>0</v>
      </c>
      <c r="H39">
        <f t="shared" ca="1" si="8"/>
        <v>79.599999999999994</v>
      </c>
      <c r="J39">
        <f t="shared" ref="J39" ca="1" si="45">IF($C39=0,-40000000,IFERROR(CHOOSE($C$5,H39,-H39),-30000000))</f>
        <v>79.599999999999994</v>
      </c>
      <c r="K39">
        <f t="shared" ca="1" si="9"/>
        <v>79.599999999999994</v>
      </c>
      <c r="L39">
        <f ca="1">RANK(K39,OFFSET(K$13,0,0,$C$10,1))+COUNTIF(K$13:K39,K39)-1</f>
        <v>3</v>
      </c>
      <c r="N39">
        <f t="shared" ca="1" si="5"/>
        <v>39</v>
      </c>
      <c r="O39" cm="1">
        <f t="array" aca="1" ref="O39" ca="1">INDEX(auto_Country_Status,N39)</f>
        <v>1</v>
      </c>
      <c r="P39" cm="1">
        <f t="array" aca="1" ref="P39" ca="1">INDEX(OFFSET($E$13,0,0,$C$10,1),N39)</f>
        <v>39</v>
      </c>
      <c r="Q39" t="str" cm="1">
        <f t="array" aca="1" ref="Q39" ca="1">INDEX(auto_Country_ISO,N39)</f>
        <v>RMG</v>
      </c>
      <c r="R39" cm="1">
        <f t="array" aca="1" ref="R39" ca="1">IF($O39=0,0,INDEX(auto_DataFlat_Classification,P39,$C$3))</f>
        <v>4</v>
      </c>
      <c r="T39">
        <f t="shared" ca="1" si="10"/>
        <v>79.599999999999994</v>
      </c>
      <c r="U39">
        <f ca="1">RANK(T39,OFFSET(T$13,0,0,$C$10,1))+COUNTIF(T$13:T39,T39)-1</f>
        <v>3</v>
      </c>
      <c r="V39">
        <f t="shared" ca="1" si="6"/>
        <v>39</v>
      </c>
      <c r="W39" cm="1">
        <f t="array" aca="1" ref="W39" ca="1">INDEX(auto_Country_Status,V39)</f>
        <v>1</v>
      </c>
      <c r="X39" cm="1">
        <f t="array" aca="1" ref="X39" ca="1">INDEX(sys_DataFlat_LU_Grid,$C$2,V39)</f>
        <v>39</v>
      </c>
      <c r="Y39" cm="1">
        <f t="array" aca="1" ref="Y39" ca="1">IF(W39=0,-1,INDEX(auto_DataFlat_Classification,X39,$C$3))</f>
        <v>4</v>
      </c>
      <c r="AA39" t="e">
        <f t="shared" ref="AA39:AF39" ca="1" si="46">IFERROR(AA38+MATCH(AA$11,OFFSET($Y$13,AA38,0,$C$10-AA38,1),0),NA())</f>
        <v>#N/A</v>
      </c>
      <c r="AB39" t="e">
        <f t="shared" ca="1" si="46"/>
        <v>#N/A</v>
      </c>
      <c r="AC39" t="e">
        <f t="shared" ca="1" si="46"/>
        <v>#N/A</v>
      </c>
      <c r="AD39" t="e">
        <f t="shared" ca="1" si="46"/>
        <v>#N/A</v>
      </c>
      <c r="AE39">
        <f t="shared" ca="1" si="46"/>
        <v>29</v>
      </c>
      <c r="AF39" t="e">
        <f t="shared" ca="1" si="46"/>
        <v>#N/A</v>
      </c>
      <c r="AH39" cm="1">
        <f t="array" aca="1" ref="AH39" ca="1">IFERROR(INDEX(OFFSET($V$13,0,0,$C$10,1),AA39),0)</f>
        <v>0</v>
      </c>
      <c r="AI39" cm="1">
        <f t="array" aca="1" ref="AI39" ca="1">IFERROR(INDEX(OFFSET($V$13,0,0,$C$10,1),AB39),0)</f>
        <v>0</v>
      </c>
      <c r="AJ39" cm="1">
        <f t="array" aca="1" ref="AJ39" ca="1">IFERROR(INDEX(OFFSET($V$13,0,0,$C$10,1),AC39),0)</f>
        <v>0</v>
      </c>
      <c r="AK39" cm="1">
        <f t="array" aca="1" ref="AK39" ca="1">IFERROR(INDEX(OFFSET($V$13,0,0,$C$10,1),AD39),0)</f>
        <v>0</v>
      </c>
      <c r="AL39" cm="1">
        <f t="array" aca="1" ref="AL39" ca="1">IFERROR(INDEX(OFFSET($V$13,0,0,$C$10,1),AE39),0)</f>
        <v>3</v>
      </c>
      <c r="AM39" cm="1">
        <f t="array" aca="1" ref="AM39" ca="1">IFERROR(INDEX(OFFSET($V$13,0,0,$C$10,1),AF39),0)</f>
        <v>0</v>
      </c>
      <c r="AO39" cm="1">
        <f t="array" aca="1" ref="AO39" ca="1">IF(AH39=0,0,INDEX(sys_DataFlat_LU_Grid,$C$2,AH39))</f>
        <v>0</v>
      </c>
      <c r="AP39" cm="1">
        <f t="array" aca="1" ref="AP39" ca="1">IF(AI39=0,0,INDEX(sys_DataFlat_LU_Grid,$C$2,AI39))</f>
        <v>0</v>
      </c>
      <c r="AQ39" cm="1">
        <f t="array" aca="1" ref="AQ39" ca="1">IF(AJ39=0,0,INDEX(sys_DataFlat_LU_Grid,$C$2,AJ39))</f>
        <v>0</v>
      </c>
      <c r="AR39" cm="1">
        <f t="array" aca="1" ref="AR39" ca="1">IF(AK39=0,0,INDEX(sys_DataFlat_LU_Grid,$C$2,AK39))</f>
        <v>0</v>
      </c>
      <c r="AS39" cm="1">
        <f t="array" aca="1" ref="AS39" ca="1">IF(AL39=0,0,INDEX(sys_DataFlat_LU_Grid,$C$2,AL39))</f>
        <v>3</v>
      </c>
      <c r="AT39" cm="1">
        <f t="array" aca="1" ref="AT39" ca="1">IF(AM39=0,0,INDEX(sys_DataFlat_LU_Grid,$C$2,AM39))</f>
        <v>0</v>
      </c>
    </row>
    <row r="40" spans="1:46" x14ac:dyDescent="0.4">
      <c r="A40">
        <v>28</v>
      </c>
      <c r="B40">
        <v>28</v>
      </c>
      <c r="C40" cm="1">
        <f t="array" ref="C40">INDEX(auto_Country_Status,B40)</f>
        <v>1</v>
      </c>
      <c r="E40" cm="1">
        <f t="array" aca="1" ref="E40" ca="1">INDEX(sys_DataFlat_LU_Grid,$C$2,$B40)</f>
        <v>28</v>
      </c>
      <c r="F40" cm="1">
        <f t="array" aca="1" ref="F40" ca="1">INDEX(auto_DataFlat_Score,E40,$C$3)</f>
        <v>48.8</v>
      </c>
      <c r="G40" cm="1">
        <f t="array" aca="1" ref="G40" ca="1">INDEX(auto_DataFlat_DataValue,E40,$C$3)</f>
        <v>0</v>
      </c>
      <c r="H40">
        <f t="shared" ca="1" si="8"/>
        <v>48.8</v>
      </c>
      <c r="J40">
        <f ca="1">IF($C40=0,-40000000,IFERROR(CHOOSE($C$5,H40,-H40,#REF!,-#REF!),-30000000))</f>
        <v>48.8</v>
      </c>
      <c r="K40">
        <f t="shared" ca="1" si="9"/>
        <v>48.8</v>
      </c>
      <c r="L40">
        <f ca="1">RANK(K40,OFFSET(K$13,0,0,$C$10,1))+COUNTIF(K$13:K40,K40)-1</f>
        <v>42</v>
      </c>
      <c r="N40">
        <f t="shared" ca="1" si="5"/>
        <v>6</v>
      </c>
      <c r="O40" cm="1">
        <f t="array" aca="1" ref="O40" ca="1">INDEX(auto_Country_Status,N40)</f>
        <v>1</v>
      </c>
      <c r="P40" cm="1">
        <f t="array" aca="1" ref="P40" ca="1">INDEX(OFFSET($E$13,0,0,$C$10,1),N40)</f>
        <v>6</v>
      </c>
      <c r="Q40" t="str" cm="1">
        <f t="array" aca="1" ref="Q40" ca="1">INDEX(auto_Country_ISO,N40)</f>
        <v>BJS</v>
      </c>
      <c r="R40" cm="1">
        <f t="array" aca="1" ref="R40" ca="1">IF($O40=0,0,INDEX(auto_DataFlat_Classification,P40,$C$3))</f>
        <v>4</v>
      </c>
      <c r="T40">
        <f t="shared" ca="1" si="10"/>
        <v>48.8</v>
      </c>
      <c r="U40">
        <f ca="1">RANK(T40,OFFSET(T$13,0,0,$C$10,1))+COUNTIF(T$13:T40,T40)-1</f>
        <v>42</v>
      </c>
      <c r="V40">
        <f t="shared" ca="1" si="6"/>
        <v>6</v>
      </c>
      <c r="W40" cm="1">
        <f t="array" aca="1" ref="W40" ca="1">INDEX(auto_Country_Status,V40)</f>
        <v>1</v>
      </c>
      <c r="X40" cm="1">
        <f t="array" aca="1" ref="X40" ca="1">INDEX(sys_DataFlat_LU_Grid,$C$2,V40)</f>
        <v>6</v>
      </c>
      <c r="Y40" cm="1">
        <f t="array" aca="1" ref="Y40" ca="1">IF(W40=0,-1,INDEX(auto_DataFlat_Classification,X40,$C$3))</f>
        <v>4</v>
      </c>
      <c r="AA40" t="e">
        <f t="shared" ref="AA40:AF40" ca="1" si="47">IFERROR(AA39+MATCH(AA$11,OFFSET($Y$13,AA39,0,$C$10-AA39,1),0),NA())</f>
        <v>#N/A</v>
      </c>
      <c r="AB40" t="e">
        <f t="shared" ca="1" si="47"/>
        <v>#N/A</v>
      </c>
      <c r="AC40" t="e">
        <f t="shared" ca="1" si="47"/>
        <v>#N/A</v>
      </c>
      <c r="AD40" t="e">
        <f t="shared" ca="1" si="47"/>
        <v>#N/A</v>
      </c>
      <c r="AE40">
        <f t="shared" ca="1" si="47"/>
        <v>30</v>
      </c>
      <c r="AF40" t="e">
        <f t="shared" ca="1" si="47"/>
        <v>#N/A</v>
      </c>
      <c r="AH40" cm="1">
        <f t="array" aca="1" ref="AH40" ca="1">IFERROR(INDEX(OFFSET($V$13,0,0,$C$10,1),AA40),0)</f>
        <v>0</v>
      </c>
      <c r="AI40" cm="1">
        <f t="array" aca="1" ref="AI40" ca="1">IFERROR(INDEX(OFFSET($V$13,0,0,$C$10,1),AB40),0)</f>
        <v>0</v>
      </c>
      <c r="AJ40" cm="1">
        <f t="array" aca="1" ref="AJ40" ca="1">IFERROR(INDEX(OFFSET($V$13,0,0,$C$10,1),AC40),0)</f>
        <v>0</v>
      </c>
      <c r="AK40" cm="1">
        <f t="array" aca="1" ref="AK40" ca="1">IFERROR(INDEX(OFFSET($V$13,0,0,$C$10,1),AD40),0)</f>
        <v>0</v>
      </c>
      <c r="AL40" cm="1">
        <f t="array" aca="1" ref="AL40" ca="1">IFERROR(INDEX(OFFSET($V$13,0,0,$C$10,1),AE40),0)</f>
        <v>30</v>
      </c>
      <c r="AM40" cm="1">
        <f t="array" aca="1" ref="AM40" ca="1">IFERROR(INDEX(OFFSET($V$13,0,0,$C$10,1),AF40),0)</f>
        <v>0</v>
      </c>
      <c r="AO40" cm="1">
        <f t="array" aca="1" ref="AO40" ca="1">IF(AH40=0,0,INDEX(sys_DataFlat_LU_Grid,$C$2,AH40))</f>
        <v>0</v>
      </c>
      <c r="AP40" cm="1">
        <f t="array" aca="1" ref="AP40" ca="1">IF(AI40=0,0,INDEX(sys_DataFlat_LU_Grid,$C$2,AI40))</f>
        <v>0</v>
      </c>
      <c r="AQ40" cm="1">
        <f t="array" aca="1" ref="AQ40" ca="1">IF(AJ40=0,0,INDEX(sys_DataFlat_LU_Grid,$C$2,AJ40))</f>
        <v>0</v>
      </c>
      <c r="AR40" cm="1">
        <f t="array" aca="1" ref="AR40" ca="1">IF(AK40=0,0,INDEX(sys_DataFlat_LU_Grid,$C$2,AK40))</f>
        <v>0</v>
      </c>
      <c r="AS40" cm="1">
        <f t="array" aca="1" ref="AS40" ca="1">IF(AL40=0,0,INDEX(sys_DataFlat_LU_Grid,$C$2,AL40))</f>
        <v>30</v>
      </c>
      <c r="AT40" cm="1">
        <f t="array" aca="1" ref="AT40" ca="1">IF(AM40=0,0,INDEX(sys_DataFlat_LU_Grid,$C$2,AM40))</f>
        <v>0</v>
      </c>
    </row>
    <row r="41" spans="1:46" x14ac:dyDescent="0.4">
      <c r="A41">
        <v>29</v>
      </c>
      <c r="B41">
        <v>29</v>
      </c>
      <c r="C41" cm="1">
        <f t="array" ref="C41">INDEX(auto_Country_Status,B41)</f>
        <v>1</v>
      </c>
      <c r="E41" cm="1">
        <f t="array" aca="1" ref="E41" ca="1">INDEX(sys_DataFlat_LU_Grid,$C$2,$B41)</f>
        <v>29</v>
      </c>
      <c r="F41" cm="1">
        <f t="array" aca="1" ref="F41" ca="1">INDEX(auto_DataFlat_Score,E41,$C$3)</f>
        <v>75.8</v>
      </c>
      <c r="G41" cm="1">
        <f t="array" aca="1" ref="G41" ca="1">INDEX(auto_DataFlat_DataValue,E41,$C$3)</f>
        <v>0</v>
      </c>
      <c r="H41">
        <f t="shared" ca="1" si="8"/>
        <v>75.8</v>
      </c>
      <c r="J41">
        <f t="shared" ref="J41" ca="1" si="48">IF($C41=0,-40000000,IFERROR(CHOOSE($C$5,H41,-H41),-30000000))</f>
        <v>75.8</v>
      </c>
      <c r="K41">
        <f t="shared" ca="1" si="9"/>
        <v>75.8</v>
      </c>
      <c r="L41">
        <f ca="1">RANK(K41,OFFSET(K$13,0,0,$C$10,1))+COUNTIF(K$13:K41,K41)-1</f>
        <v>9</v>
      </c>
      <c r="N41">
        <f t="shared" ca="1" si="5"/>
        <v>3</v>
      </c>
      <c r="O41" cm="1">
        <f t="array" aca="1" ref="O41" ca="1">INDEX(auto_Country_Status,N41)</f>
        <v>1</v>
      </c>
      <c r="P41" cm="1">
        <f t="array" aca="1" ref="P41" ca="1">INDEX(OFFSET($E$13,0,0,$C$10,1),N41)</f>
        <v>3</v>
      </c>
      <c r="Q41" t="str" cm="1">
        <f t="array" aca="1" ref="Q41" ca="1">INDEX(auto_Country_ISO,N41)</f>
        <v>A2N</v>
      </c>
      <c r="R41" cm="1">
        <f t="array" aca="1" ref="R41" ca="1">IF($O41=0,0,INDEX(auto_DataFlat_Classification,P41,$C$3))</f>
        <v>4</v>
      </c>
      <c r="T41">
        <f t="shared" ca="1" si="10"/>
        <v>75.8</v>
      </c>
      <c r="U41">
        <f ca="1">RANK(T41,OFFSET(T$13,0,0,$C$10,1))+COUNTIF(T$13:T41,T41)-1</f>
        <v>9</v>
      </c>
      <c r="V41">
        <f t="shared" ca="1" si="6"/>
        <v>3</v>
      </c>
      <c r="W41" cm="1">
        <f t="array" aca="1" ref="W41" ca="1">INDEX(auto_Country_Status,V41)</f>
        <v>1</v>
      </c>
      <c r="X41" cm="1">
        <f t="array" aca="1" ref="X41" ca="1">INDEX(sys_DataFlat_LU_Grid,$C$2,V41)</f>
        <v>3</v>
      </c>
      <c r="Y41" cm="1">
        <f t="array" aca="1" ref="Y41" ca="1">IF(W41=0,-1,INDEX(auto_DataFlat_Classification,X41,$C$3))</f>
        <v>4</v>
      </c>
      <c r="AA41" t="e">
        <f t="shared" ref="AA41:AF41" ca="1" si="49">IFERROR(AA40+MATCH(AA$11,OFFSET($Y$13,AA40,0,$C$10-AA40,1),0),NA())</f>
        <v>#N/A</v>
      </c>
      <c r="AB41" t="e">
        <f t="shared" ca="1" si="49"/>
        <v>#N/A</v>
      </c>
      <c r="AC41" t="e">
        <f t="shared" ca="1" si="49"/>
        <v>#N/A</v>
      </c>
      <c r="AD41" t="e">
        <f t="shared" ca="1" si="49"/>
        <v>#N/A</v>
      </c>
      <c r="AE41">
        <f t="shared" ca="1" si="49"/>
        <v>31</v>
      </c>
      <c r="AF41" t="e">
        <f t="shared" ca="1" si="49"/>
        <v>#N/A</v>
      </c>
      <c r="AH41" cm="1">
        <f t="array" aca="1" ref="AH41" ca="1">IFERROR(INDEX(OFFSET($V$13,0,0,$C$10,1),AA41),0)</f>
        <v>0</v>
      </c>
      <c r="AI41" cm="1">
        <f t="array" aca="1" ref="AI41" ca="1">IFERROR(INDEX(OFFSET($V$13,0,0,$C$10,1),AB41),0)</f>
        <v>0</v>
      </c>
      <c r="AJ41" cm="1">
        <f t="array" aca="1" ref="AJ41" ca="1">IFERROR(INDEX(OFFSET($V$13,0,0,$C$10,1),AC41),0)</f>
        <v>0</v>
      </c>
      <c r="AK41" cm="1">
        <f t="array" aca="1" ref="AK41" ca="1">IFERROR(INDEX(OFFSET($V$13,0,0,$C$10,1),AD41),0)</f>
        <v>0</v>
      </c>
      <c r="AL41" cm="1">
        <f t="array" aca="1" ref="AL41" ca="1">IFERROR(INDEX(OFFSET($V$13,0,0,$C$10,1),AE41),0)</f>
        <v>18</v>
      </c>
      <c r="AM41" cm="1">
        <f t="array" aca="1" ref="AM41" ca="1">IFERROR(INDEX(OFFSET($V$13,0,0,$C$10,1),AF41),0)</f>
        <v>0</v>
      </c>
      <c r="AO41" cm="1">
        <f t="array" aca="1" ref="AO41" ca="1">IF(AH41=0,0,INDEX(sys_DataFlat_LU_Grid,$C$2,AH41))</f>
        <v>0</v>
      </c>
      <c r="AP41" cm="1">
        <f t="array" aca="1" ref="AP41" ca="1">IF(AI41=0,0,INDEX(sys_DataFlat_LU_Grid,$C$2,AI41))</f>
        <v>0</v>
      </c>
      <c r="AQ41" cm="1">
        <f t="array" aca="1" ref="AQ41" ca="1">IF(AJ41=0,0,INDEX(sys_DataFlat_LU_Grid,$C$2,AJ41))</f>
        <v>0</v>
      </c>
      <c r="AR41" cm="1">
        <f t="array" aca="1" ref="AR41" ca="1">IF(AK41=0,0,INDEX(sys_DataFlat_LU_Grid,$C$2,AK41))</f>
        <v>0</v>
      </c>
      <c r="AS41" cm="1">
        <f t="array" aca="1" ref="AS41" ca="1">IF(AL41=0,0,INDEX(sys_DataFlat_LU_Grid,$C$2,AL41))</f>
        <v>18</v>
      </c>
      <c r="AT41" cm="1">
        <f t="array" aca="1" ref="AT41" ca="1">IF(AM41=0,0,INDEX(sys_DataFlat_LU_Grid,$C$2,AM41))</f>
        <v>0</v>
      </c>
    </row>
    <row r="42" spans="1:46" x14ac:dyDescent="0.4">
      <c r="A42">
        <v>30</v>
      </c>
      <c r="B42">
        <v>30</v>
      </c>
      <c r="C42" cm="1">
        <f t="array" ref="C42">INDEX(auto_Country_Status,B42)</f>
        <v>1</v>
      </c>
      <c r="E42" cm="1">
        <f t="array" aca="1" ref="E42" ca="1">INDEX(sys_DataFlat_LU_Grid,$C$2,$B42)</f>
        <v>30</v>
      </c>
      <c r="F42" cm="1">
        <f t="array" aca="1" ref="F42" ca="1">INDEX(auto_DataFlat_Score,E42,$C$3)</f>
        <v>60.9</v>
      </c>
      <c r="G42" cm="1">
        <f t="array" aca="1" ref="G42" ca="1">INDEX(auto_DataFlat_DataValue,E42,$C$3)</f>
        <v>0</v>
      </c>
      <c r="H42">
        <f t="shared" ca="1" si="8"/>
        <v>60.9</v>
      </c>
      <c r="J42">
        <f ca="1">IF($C42=0,-40000000,IFERROR(CHOOSE($C$5,H42,-H42,#REF!,-#REF!),-30000000))</f>
        <v>60.9</v>
      </c>
      <c r="K42">
        <f t="shared" ca="1" si="9"/>
        <v>60.9</v>
      </c>
      <c r="L42">
        <f ca="1">RANK(K42,OFFSET(K$13,0,0,$C$10,1))+COUNTIF(K$13:K42,K42)-1</f>
        <v>30</v>
      </c>
      <c r="N42">
        <f t="shared" ca="1" si="5"/>
        <v>30</v>
      </c>
      <c r="O42" cm="1">
        <f t="array" aca="1" ref="O42" ca="1">INDEX(auto_Country_Status,N42)</f>
        <v>1</v>
      </c>
      <c r="P42" cm="1">
        <f t="array" aca="1" ref="P42" ca="1">INDEX(OFFSET($E$13,0,0,$C$10,1),N42)</f>
        <v>30</v>
      </c>
      <c r="Q42" t="str" cm="1">
        <f t="array" aca="1" ref="Q42" ca="1">INDEX(auto_Country_ISO,N42)</f>
        <v>MEX</v>
      </c>
      <c r="R42" cm="1">
        <f t="array" aca="1" ref="R42" ca="1">IF($O42=0,0,INDEX(auto_DataFlat_Classification,P42,$C$3))</f>
        <v>4</v>
      </c>
      <c r="T42">
        <f t="shared" ca="1" si="10"/>
        <v>60.9</v>
      </c>
      <c r="U42">
        <f ca="1">RANK(T42,OFFSET(T$13,0,0,$C$10,1))+COUNTIF(T$13:T42,T42)-1</f>
        <v>30</v>
      </c>
      <c r="V42">
        <f t="shared" ca="1" si="6"/>
        <v>30</v>
      </c>
      <c r="W42" cm="1">
        <f t="array" aca="1" ref="W42" ca="1">INDEX(auto_Country_Status,V42)</f>
        <v>1</v>
      </c>
      <c r="X42" cm="1">
        <f t="array" aca="1" ref="X42" ca="1">INDEX(sys_DataFlat_LU_Grid,$C$2,V42)</f>
        <v>30</v>
      </c>
      <c r="Y42" cm="1">
        <f t="array" aca="1" ref="Y42" ca="1">IF(W42=0,-1,INDEX(auto_DataFlat_Classification,X42,$C$3))</f>
        <v>4</v>
      </c>
      <c r="AA42" t="e">
        <f t="shared" ref="AA42:AF42" ca="1" si="50">IFERROR(AA41+MATCH(AA$11,OFFSET($Y$13,AA41,0,$C$10-AA41,1),0),NA())</f>
        <v>#N/A</v>
      </c>
      <c r="AB42" t="e">
        <f t="shared" ca="1" si="50"/>
        <v>#N/A</v>
      </c>
      <c r="AC42" t="e">
        <f t="shared" ca="1" si="50"/>
        <v>#N/A</v>
      </c>
      <c r="AD42" t="e">
        <f t="shared" ca="1" si="50"/>
        <v>#N/A</v>
      </c>
      <c r="AE42" t="e">
        <f t="shared" ca="1" si="50"/>
        <v>#N/A</v>
      </c>
      <c r="AF42" t="e">
        <f t="shared" ca="1" si="50"/>
        <v>#N/A</v>
      </c>
      <c r="AH42" cm="1">
        <f t="array" aca="1" ref="AH42" ca="1">IFERROR(INDEX(OFFSET($V$13,0,0,$C$10,1),AA42),0)</f>
        <v>0</v>
      </c>
      <c r="AI42" cm="1">
        <f t="array" aca="1" ref="AI42" ca="1">IFERROR(INDEX(OFFSET($V$13,0,0,$C$10,1),AB42),0)</f>
        <v>0</v>
      </c>
      <c r="AJ42" cm="1">
        <f t="array" aca="1" ref="AJ42" ca="1">IFERROR(INDEX(OFFSET($V$13,0,0,$C$10,1),AC42),0)</f>
        <v>0</v>
      </c>
      <c r="AK42" cm="1">
        <f t="array" aca="1" ref="AK42" ca="1">IFERROR(INDEX(OFFSET($V$13,0,0,$C$10,1),AD42),0)</f>
        <v>0</v>
      </c>
      <c r="AL42" cm="1">
        <f t="array" aca="1" ref="AL42" ca="1">IFERROR(INDEX(OFFSET($V$13,0,0,$C$10,1),AE42),0)</f>
        <v>0</v>
      </c>
      <c r="AM42" cm="1">
        <f t="array" aca="1" ref="AM42" ca="1">IFERROR(INDEX(OFFSET($V$13,0,0,$C$10,1),AF42),0)</f>
        <v>0</v>
      </c>
      <c r="AO42" cm="1">
        <f t="array" aca="1" ref="AO42" ca="1">IF(AH42=0,0,INDEX(sys_DataFlat_LU_Grid,$C$2,AH42))</f>
        <v>0</v>
      </c>
      <c r="AP42" cm="1">
        <f t="array" aca="1" ref="AP42" ca="1">IF(AI42=0,0,INDEX(sys_DataFlat_LU_Grid,$C$2,AI42))</f>
        <v>0</v>
      </c>
      <c r="AQ42" cm="1">
        <f t="array" aca="1" ref="AQ42" ca="1">IF(AJ42=0,0,INDEX(sys_DataFlat_LU_Grid,$C$2,AJ42))</f>
        <v>0</v>
      </c>
      <c r="AR42" cm="1">
        <f t="array" aca="1" ref="AR42" ca="1">IF(AK42=0,0,INDEX(sys_DataFlat_LU_Grid,$C$2,AK42))</f>
        <v>0</v>
      </c>
      <c r="AS42" cm="1">
        <f t="array" aca="1" ref="AS42" ca="1">IF(AL42=0,0,INDEX(sys_DataFlat_LU_Grid,$C$2,AL42))</f>
        <v>0</v>
      </c>
      <c r="AT42" cm="1">
        <f t="array" aca="1" ref="AT42" ca="1">IF(AM42=0,0,INDEX(sys_DataFlat_LU_Grid,$C$2,AM42))</f>
        <v>0</v>
      </c>
    </row>
    <row r="43" spans="1:46" x14ac:dyDescent="0.4">
      <c r="A43">
        <v>31</v>
      </c>
      <c r="B43">
        <v>31</v>
      </c>
      <c r="C43" cm="1">
        <f t="array" ref="C43">INDEX(auto_Country_Status,B43)</f>
        <v>1</v>
      </c>
      <c r="E43" cm="1">
        <f t="array" aca="1" ref="E43" ca="1">INDEX(sys_DataFlat_LU_Grid,$C$2,$B43)</f>
        <v>31</v>
      </c>
      <c r="F43" cm="1">
        <f t="array" aca="1" ref="F43" ca="1">INDEX(auto_DataFlat_Score,E43,$C$3)</f>
        <v>65.900000000000006</v>
      </c>
      <c r="G43" cm="1">
        <f t="array" aca="1" ref="G43" ca="1">INDEX(auto_DataFlat_DataValue,E43,$C$3)</f>
        <v>0</v>
      </c>
      <c r="H43">
        <f t="shared" ca="1" si="8"/>
        <v>65.900000000000006</v>
      </c>
      <c r="J43">
        <f t="shared" ref="J43" ca="1" si="51">IF($C43=0,-40000000,IFERROR(CHOOSE($C$5,H43,-H43),-30000000))</f>
        <v>65.900000000000006</v>
      </c>
      <c r="K43">
        <f t="shared" ca="1" si="9"/>
        <v>65.900000000000006</v>
      </c>
      <c r="L43">
        <f ca="1">RANK(K43,OFFSET(K$13,0,0,$C$10,1))+COUNTIF(K$13:K43,K43)-1</f>
        <v>23</v>
      </c>
      <c r="N43">
        <f t="shared" ca="1" si="5"/>
        <v>18</v>
      </c>
      <c r="O43" cm="1">
        <f t="array" aca="1" ref="O43" ca="1">INDEX(auto_Country_Status,N43)</f>
        <v>1</v>
      </c>
      <c r="P43" cm="1">
        <f t="array" aca="1" ref="P43" ca="1">INDEX(OFFSET($E$13,0,0,$C$10,1),N43)</f>
        <v>18</v>
      </c>
      <c r="Q43" t="str" cm="1">
        <f t="array" aca="1" ref="Q43" ca="1">INDEX(auto_Country_ISO,N43)</f>
        <v>IST</v>
      </c>
      <c r="R43" cm="1">
        <f t="array" aca="1" ref="R43" ca="1">IF($O43=0,0,INDEX(auto_DataFlat_Classification,P43,$C$3))</f>
        <v>4</v>
      </c>
      <c r="T43">
        <f t="shared" ca="1" si="10"/>
        <v>65.900000000000006</v>
      </c>
      <c r="U43">
        <f ca="1">RANK(T43,OFFSET(T$13,0,0,$C$10,1))+COUNTIF(T$13:T43,T43)-1</f>
        <v>23</v>
      </c>
      <c r="V43">
        <f t="shared" ca="1" si="6"/>
        <v>18</v>
      </c>
      <c r="W43" cm="1">
        <f t="array" aca="1" ref="W43" ca="1">INDEX(auto_Country_Status,V43)</f>
        <v>1</v>
      </c>
      <c r="X43" cm="1">
        <f t="array" aca="1" ref="X43" ca="1">INDEX(sys_DataFlat_LU_Grid,$C$2,V43)</f>
        <v>18</v>
      </c>
      <c r="Y43" cm="1">
        <f t="array" aca="1" ref="Y43" ca="1">IF(W43=0,-1,INDEX(auto_DataFlat_Classification,X43,$C$3))</f>
        <v>4</v>
      </c>
      <c r="AA43" t="e">
        <f t="shared" ref="AA43:AF43" ca="1" si="52">IFERROR(AA42+MATCH(AA$11,OFFSET($Y$13,AA42,0,$C$10-AA42,1),0),NA())</f>
        <v>#N/A</v>
      </c>
      <c r="AB43" t="e">
        <f t="shared" ca="1" si="52"/>
        <v>#N/A</v>
      </c>
      <c r="AC43" t="e">
        <f t="shared" ca="1" si="52"/>
        <v>#N/A</v>
      </c>
      <c r="AD43" t="e">
        <f t="shared" ca="1" si="52"/>
        <v>#N/A</v>
      </c>
      <c r="AE43" t="e">
        <f t="shared" ca="1" si="52"/>
        <v>#N/A</v>
      </c>
      <c r="AF43" t="e">
        <f t="shared" ca="1" si="52"/>
        <v>#N/A</v>
      </c>
      <c r="AH43" cm="1">
        <f t="array" aca="1" ref="AH43" ca="1">IFERROR(INDEX(OFFSET($V$13,0,0,$C$10,1),AA43),0)</f>
        <v>0</v>
      </c>
      <c r="AI43" cm="1">
        <f t="array" aca="1" ref="AI43" ca="1">IFERROR(INDEX(OFFSET($V$13,0,0,$C$10,1),AB43),0)</f>
        <v>0</v>
      </c>
      <c r="AJ43" cm="1">
        <f t="array" aca="1" ref="AJ43" ca="1">IFERROR(INDEX(OFFSET($V$13,0,0,$C$10,1),AC43),0)</f>
        <v>0</v>
      </c>
      <c r="AK43" cm="1">
        <f t="array" aca="1" ref="AK43" ca="1">IFERROR(INDEX(OFFSET($V$13,0,0,$C$10,1),AD43),0)</f>
        <v>0</v>
      </c>
      <c r="AL43" cm="1">
        <f t="array" aca="1" ref="AL43" ca="1">IFERROR(INDEX(OFFSET($V$13,0,0,$C$10,1),AE43),0)</f>
        <v>0</v>
      </c>
      <c r="AM43" cm="1">
        <f t="array" aca="1" ref="AM43" ca="1">IFERROR(INDEX(OFFSET($V$13,0,0,$C$10,1),AF43),0)</f>
        <v>0</v>
      </c>
      <c r="AO43" cm="1">
        <f t="array" aca="1" ref="AO43" ca="1">IF(AH43=0,0,INDEX(sys_DataFlat_LU_Grid,$C$2,AH43))</f>
        <v>0</v>
      </c>
      <c r="AP43" cm="1">
        <f t="array" aca="1" ref="AP43" ca="1">IF(AI43=0,0,INDEX(sys_DataFlat_LU_Grid,$C$2,AI43))</f>
        <v>0</v>
      </c>
      <c r="AQ43" cm="1">
        <f t="array" aca="1" ref="AQ43" ca="1">IF(AJ43=0,0,INDEX(sys_DataFlat_LU_Grid,$C$2,AJ43))</f>
        <v>0</v>
      </c>
      <c r="AR43" cm="1">
        <f t="array" aca="1" ref="AR43" ca="1">IF(AK43=0,0,INDEX(sys_DataFlat_LU_Grid,$C$2,AK43))</f>
        <v>0</v>
      </c>
      <c r="AS43" cm="1">
        <f t="array" aca="1" ref="AS43" ca="1">IF(AL43=0,0,INDEX(sys_DataFlat_LU_Grid,$C$2,AL43))</f>
        <v>0</v>
      </c>
      <c r="AT43" cm="1">
        <f t="array" aca="1" ref="AT43" ca="1">IF(AM43=0,0,INDEX(sys_DataFlat_LU_Grid,$C$2,AM43))</f>
        <v>0</v>
      </c>
    </row>
    <row r="44" spans="1:46" x14ac:dyDescent="0.4">
      <c r="A44">
        <v>32</v>
      </c>
      <c r="B44">
        <v>32</v>
      </c>
      <c r="C44" cm="1">
        <f t="array" ref="C44">INDEX(auto_Country_Status,B44)</f>
        <v>1</v>
      </c>
      <c r="E44" cm="1">
        <f t="array" aca="1" ref="E44" ca="1">INDEX(sys_DataFlat_LU_Grid,$C$2,$B44)</f>
        <v>32</v>
      </c>
      <c r="F44" cm="1">
        <f t="array" aca="1" ref="F44" ca="1">INDEX(auto_DataFlat_Score,E44,$C$3)</f>
        <v>53.2</v>
      </c>
      <c r="G44" cm="1">
        <f t="array" aca="1" ref="G44" ca="1">INDEX(auto_DataFlat_DataValue,E44,$C$3)</f>
        <v>0</v>
      </c>
      <c r="H44">
        <f t="shared" ca="1" si="8"/>
        <v>53.2</v>
      </c>
      <c r="J44">
        <f ca="1">IF($C44=0,-40000000,IFERROR(CHOOSE($C$5,H44,-H44,#REF!,-#REF!),-30000000))</f>
        <v>53.2</v>
      </c>
      <c r="K44">
        <f t="shared" ca="1" si="9"/>
        <v>53.2</v>
      </c>
      <c r="L44">
        <f ca="1">RANK(K44,OFFSET(K$13,0,0,$C$10,1))+COUNTIF(K$13:K44,K44)-1</f>
        <v>34</v>
      </c>
      <c r="N44">
        <f t="shared" ca="1" si="5"/>
        <v>49</v>
      </c>
      <c r="O44" cm="1">
        <f t="array" aca="1" ref="O44" ca="1">INDEX(auto_Country_Status,N44)</f>
        <v>1</v>
      </c>
      <c r="P44" cm="1">
        <f t="array" aca="1" ref="P44" ca="1">INDEX(OFFSET($E$13,0,0,$C$10,1),N44)</f>
        <v>49</v>
      </c>
      <c r="Q44" t="str" cm="1">
        <f t="array" aca="1" ref="Q44" ca="1">INDEX(auto_Country_ISO,N44)</f>
        <v>NHN</v>
      </c>
      <c r="R44" cm="1">
        <f t="array" aca="1" ref="R44" ca="1">IF($O44=0,0,INDEX(auto_DataFlat_Classification,P44,$C$3))</f>
        <v>3</v>
      </c>
      <c r="T44">
        <f t="shared" ca="1" si="10"/>
        <v>53.2</v>
      </c>
      <c r="U44">
        <f ca="1">RANK(T44,OFFSET(T$13,0,0,$C$10,1))+COUNTIF(T$13:T44,T44)-1</f>
        <v>34</v>
      </c>
      <c r="V44">
        <f t="shared" ca="1" si="6"/>
        <v>49</v>
      </c>
      <c r="W44" cm="1">
        <f t="array" aca="1" ref="W44" ca="1">INDEX(auto_Country_Status,V44)</f>
        <v>1</v>
      </c>
      <c r="X44" cm="1">
        <f t="array" aca="1" ref="X44" ca="1">INDEX(sys_DataFlat_LU_Grid,$C$2,V44)</f>
        <v>49</v>
      </c>
      <c r="Y44" cm="1">
        <f t="array" aca="1" ref="Y44" ca="1">IF(W44=0,-1,INDEX(auto_DataFlat_Classification,X44,$C$3))</f>
        <v>3</v>
      </c>
      <c r="AA44" t="e">
        <f t="shared" ref="AA44:AF44" ca="1" si="53">IFERROR(AA43+MATCH(AA$11,OFFSET($Y$13,AA43,0,$C$10-AA43,1),0),NA())</f>
        <v>#N/A</v>
      </c>
      <c r="AB44" t="e">
        <f t="shared" ca="1" si="53"/>
        <v>#N/A</v>
      </c>
      <c r="AC44" t="e">
        <f t="shared" ca="1" si="53"/>
        <v>#N/A</v>
      </c>
      <c r="AD44" t="e">
        <f t="shared" ca="1" si="53"/>
        <v>#N/A</v>
      </c>
      <c r="AE44" t="e">
        <f t="shared" ca="1" si="53"/>
        <v>#N/A</v>
      </c>
      <c r="AF44" t="e">
        <f t="shared" ca="1" si="53"/>
        <v>#N/A</v>
      </c>
      <c r="AH44" cm="1">
        <f t="array" aca="1" ref="AH44" ca="1">IFERROR(INDEX(OFFSET($V$13,0,0,$C$10,1),AA44),0)</f>
        <v>0</v>
      </c>
      <c r="AI44" cm="1">
        <f t="array" aca="1" ref="AI44" ca="1">IFERROR(INDEX(OFFSET($V$13,0,0,$C$10,1),AB44),0)</f>
        <v>0</v>
      </c>
      <c r="AJ44" cm="1">
        <f t="array" aca="1" ref="AJ44" ca="1">IFERROR(INDEX(OFFSET($V$13,0,0,$C$10,1),AC44),0)</f>
        <v>0</v>
      </c>
      <c r="AK44" cm="1">
        <f t="array" aca="1" ref="AK44" ca="1">IFERROR(INDEX(OFFSET($V$13,0,0,$C$10,1),AD44),0)</f>
        <v>0</v>
      </c>
      <c r="AL44" cm="1">
        <f t="array" aca="1" ref="AL44" ca="1">IFERROR(INDEX(OFFSET($V$13,0,0,$C$10,1),AE44),0)</f>
        <v>0</v>
      </c>
      <c r="AM44" cm="1">
        <f t="array" aca="1" ref="AM44" ca="1">IFERROR(INDEX(OFFSET($V$13,0,0,$C$10,1),AF44),0)</f>
        <v>0</v>
      </c>
      <c r="AO44" cm="1">
        <f t="array" aca="1" ref="AO44" ca="1">IF(AH44=0,0,INDEX(sys_DataFlat_LU_Grid,$C$2,AH44))</f>
        <v>0</v>
      </c>
      <c r="AP44" cm="1">
        <f t="array" aca="1" ref="AP44" ca="1">IF(AI44=0,0,INDEX(sys_DataFlat_LU_Grid,$C$2,AI44))</f>
        <v>0</v>
      </c>
      <c r="AQ44" cm="1">
        <f t="array" aca="1" ref="AQ44" ca="1">IF(AJ44=0,0,INDEX(sys_DataFlat_LU_Grid,$C$2,AJ44))</f>
        <v>0</v>
      </c>
      <c r="AR44" cm="1">
        <f t="array" aca="1" ref="AR44" ca="1">IF(AK44=0,0,INDEX(sys_DataFlat_LU_Grid,$C$2,AK44))</f>
        <v>0</v>
      </c>
      <c r="AS44" cm="1">
        <f t="array" aca="1" ref="AS44" ca="1">IF(AL44=0,0,INDEX(sys_DataFlat_LU_Grid,$C$2,AL44))</f>
        <v>0</v>
      </c>
      <c r="AT44" cm="1">
        <f t="array" aca="1" ref="AT44" ca="1">IF(AM44=0,0,INDEX(sys_DataFlat_LU_Grid,$C$2,AM44))</f>
        <v>0</v>
      </c>
    </row>
    <row r="45" spans="1:46" x14ac:dyDescent="0.4">
      <c r="A45">
        <v>33</v>
      </c>
      <c r="B45">
        <v>33</v>
      </c>
      <c r="C45" cm="1">
        <f t="array" ref="C45">INDEX(auto_Country_Status,B45)</f>
        <v>1</v>
      </c>
      <c r="E45" cm="1">
        <f t="array" aca="1" ref="E45" ca="1">INDEX(sys_DataFlat_LU_Grid,$C$2,$B45)</f>
        <v>33</v>
      </c>
      <c r="F45" cm="1">
        <f t="array" aca="1" ref="F45" ca="1">INDEX(auto_DataFlat_Score,E45,$C$3)</f>
        <v>52.2</v>
      </c>
      <c r="G45" cm="1">
        <f t="array" aca="1" ref="G45" ca="1">INDEX(auto_DataFlat_DataValue,E45,$C$3)</f>
        <v>0</v>
      </c>
      <c r="H45">
        <f t="shared" ca="1" si="8"/>
        <v>52.2</v>
      </c>
      <c r="J45">
        <f t="shared" ref="J45" ca="1" si="54">IF($C45=0,-40000000,IFERROR(CHOOSE($C$5,H45,-H45),-30000000))</f>
        <v>52.2</v>
      </c>
      <c r="K45">
        <f t="shared" ca="1" si="9"/>
        <v>52.2</v>
      </c>
      <c r="L45">
        <f ca="1">RANK(K45,OFFSET(K$13,0,0,$C$10,1))+COUNTIF(K$13:K45,K45)-1</f>
        <v>36</v>
      </c>
      <c r="N45">
        <f t="shared" ca="1" si="5"/>
        <v>12</v>
      </c>
      <c r="O45" cm="1">
        <f t="array" aca="1" ref="O45" ca="1">INDEX(auto_Country_Status,N45)</f>
        <v>1</v>
      </c>
      <c r="P45" cm="1">
        <f t="array" aca="1" ref="P45" ca="1">INDEX(OFFSET($E$13,0,0,$C$10,1),N45)</f>
        <v>12</v>
      </c>
      <c r="Q45" t="str" cm="1">
        <f t="array" aca="1" ref="Q45" ca="1">INDEX(auto_Country_ISO,N45)</f>
        <v>DLI</v>
      </c>
      <c r="R45" cm="1">
        <f t="array" aca="1" ref="R45" ca="1">IF($O45=0,0,INDEX(auto_DataFlat_Classification,P45,$C$3))</f>
        <v>3</v>
      </c>
      <c r="T45">
        <f t="shared" ca="1" si="10"/>
        <v>52.2</v>
      </c>
      <c r="U45">
        <f ca="1">RANK(T45,OFFSET(T$13,0,0,$C$10,1))+COUNTIF(T$13:T45,T45)-1</f>
        <v>36</v>
      </c>
      <c r="V45">
        <f t="shared" ca="1" si="6"/>
        <v>12</v>
      </c>
      <c r="W45" cm="1">
        <f t="array" aca="1" ref="W45" ca="1">INDEX(auto_Country_Status,V45)</f>
        <v>1</v>
      </c>
      <c r="X45" cm="1">
        <f t="array" aca="1" ref="X45" ca="1">INDEX(sys_DataFlat_LU_Grid,$C$2,V45)</f>
        <v>12</v>
      </c>
      <c r="Y45" cm="1">
        <f t="array" aca="1" ref="Y45" ca="1">IF(W45=0,-1,INDEX(auto_DataFlat_Classification,X45,$C$3))</f>
        <v>3</v>
      </c>
      <c r="AA45" t="e">
        <f t="shared" ref="AA45:AF45" ca="1" si="55">IFERROR(AA44+MATCH(AA$11,OFFSET($Y$13,AA44,0,$C$10-AA44,1),0),NA())</f>
        <v>#N/A</v>
      </c>
      <c r="AB45" t="e">
        <f t="shared" ca="1" si="55"/>
        <v>#N/A</v>
      </c>
      <c r="AC45" t="e">
        <f t="shared" ca="1" si="55"/>
        <v>#N/A</v>
      </c>
      <c r="AD45" t="e">
        <f t="shared" ca="1" si="55"/>
        <v>#N/A</v>
      </c>
      <c r="AE45" t="e">
        <f t="shared" ca="1" si="55"/>
        <v>#N/A</v>
      </c>
      <c r="AF45" t="e">
        <f t="shared" ca="1" si="55"/>
        <v>#N/A</v>
      </c>
      <c r="AH45" cm="1">
        <f t="array" aca="1" ref="AH45" ca="1">IFERROR(INDEX(OFFSET($V$13,0,0,$C$10,1),AA45),0)</f>
        <v>0</v>
      </c>
      <c r="AI45" cm="1">
        <f t="array" aca="1" ref="AI45" ca="1">IFERROR(INDEX(OFFSET($V$13,0,0,$C$10,1),AB45),0)</f>
        <v>0</v>
      </c>
      <c r="AJ45" cm="1">
        <f t="array" aca="1" ref="AJ45" ca="1">IFERROR(INDEX(OFFSET($V$13,0,0,$C$10,1),AC45),0)</f>
        <v>0</v>
      </c>
      <c r="AK45" cm="1">
        <f t="array" aca="1" ref="AK45" ca="1">IFERROR(INDEX(OFFSET($V$13,0,0,$C$10,1),AD45),0)</f>
        <v>0</v>
      </c>
      <c r="AL45" cm="1">
        <f t="array" aca="1" ref="AL45" ca="1">IFERROR(INDEX(OFFSET($V$13,0,0,$C$10,1),AE45),0)</f>
        <v>0</v>
      </c>
      <c r="AM45" cm="1">
        <f t="array" aca="1" ref="AM45" ca="1">IFERROR(INDEX(OFFSET($V$13,0,0,$C$10,1),AF45),0)</f>
        <v>0</v>
      </c>
      <c r="AO45" cm="1">
        <f t="array" aca="1" ref="AO45" ca="1">IF(AH45=0,0,INDEX(sys_DataFlat_LU_Grid,$C$2,AH45))</f>
        <v>0</v>
      </c>
      <c r="AP45" cm="1">
        <f t="array" aca="1" ref="AP45" ca="1">IF(AI45=0,0,INDEX(sys_DataFlat_LU_Grid,$C$2,AI45))</f>
        <v>0</v>
      </c>
      <c r="AQ45" cm="1">
        <f t="array" aca="1" ref="AQ45" ca="1">IF(AJ45=0,0,INDEX(sys_DataFlat_LU_Grid,$C$2,AJ45))</f>
        <v>0</v>
      </c>
      <c r="AR45" cm="1">
        <f t="array" aca="1" ref="AR45" ca="1">IF(AK45=0,0,INDEX(sys_DataFlat_LU_Grid,$C$2,AK45))</f>
        <v>0</v>
      </c>
      <c r="AS45" cm="1">
        <f t="array" aca="1" ref="AS45" ca="1">IF(AL45=0,0,INDEX(sys_DataFlat_LU_Grid,$C$2,AL45))</f>
        <v>0</v>
      </c>
      <c r="AT45" cm="1">
        <f t="array" aca="1" ref="AT45" ca="1">IF(AM45=0,0,INDEX(sys_DataFlat_LU_Grid,$C$2,AM45))</f>
        <v>0</v>
      </c>
    </row>
    <row r="46" spans="1:46" x14ac:dyDescent="0.4">
      <c r="A46">
        <v>34</v>
      </c>
      <c r="B46">
        <v>34</v>
      </c>
      <c r="C46" cm="1">
        <f t="array" ref="C46">INDEX(auto_Country_Status,B46)</f>
        <v>1</v>
      </c>
      <c r="E46" cm="1">
        <f t="array" aca="1" ref="E46" ca="1">INDEX(sys_DataFlat_LU_Grid,$C$2,$B46)</f>
        <v>34</v>
      </c>
      <c r="F46" cm="1">
        <f t="array" aca="1" ref="F46" ca="1">INDEX(auto_DataFlat_Score,E46,$C$3)</f>
        <v>79.099999999999994</v>
      </c>
      <c r="G46" cm="1">
        <f t="array" aca="1" ref="G46" ca="1">INDEX(auto_DataFlat_DataValue,E46,$C$3)</f>
        <v>0</v>
      </c>
      <c r="H46">
        <f t="shared" ca="1" si="8"/>
        <v>79.099999999999994</v>
      </c>
      <c r="J46">
        <f ca="1">IF($C46=0,-40000000,IFERROR(CHOOSE($C$5,H46,-H46,#REF!,-#REF!),-30000000))</f>
        <v>79.099999999999994</v>
      </c>
      <c r="K46">
        <f t="shared" ca="1" si="9"/>
        <v>79.099999999999994</v>
      </c>
      <c r="L46">
        <f ca="1">RANK(K46,OFFSET(K$13,0,0,$C$10,1))+COUNTIF(K$13:K46,K46)-1</f>
        <v>4</v>
      </c>
      <c r="N46">
        <f t="shared" ca="1" si="5"/>
        <v>32</v>
      </c>
      <c r="O46" cm="1">
        <f t="array" aca="1" ref="O46" ca="1">INDEX(auto_Country_Status,N46)</f>
        <v>1</v>
      </c>
      <c r="P46" cm="1">
        <f t="array" aca="1" ref="P46" ca="1">INDEX(OFFSET($E$13,0,0,$C$10,1),N46)</f>
        <v>32</v>
      </c>
      <c r="Q46" t="str" cm="1">
        <f t="array" aca="1" ref="Q46" ca="1">INDEX(auto_Country_ISO,N46)</f>
        <v>BOM</v>
      </c>
      <c r="R46" cm="1">
        <f t="array" aca="1" ref="R46" ca="1">IF($O46=0,0,INDEX(auto_DataFlat_Classification,P46,$C$3))</f>
        <v>3</v>
      </c>
      <c r="T46">
        <f t="shared" ca="1" si="10"/>
        <v>79.099999999999994</v>
      </c>
      <c r="U46">
        <f ca="1">RANK(T46,OFFSET(T$13,0,0,$C$10,1))+COUNTIF(T$13:T46,T46)-1</f>
        <v>4</v>
      </c>
      <c r="V46">
        <f t="shared" ca="1" si="6"/>
        <v>32</v>
      </c>
      <c r="W46" cm="1">
        <f t="array" aca="1" ref="W46" ca="1">INDEX(auto_Country_Status,V46)</f>
        <v>1</v>
      </c>
      <c r="X46" cm="1">
        <f t="array" aca="1" ref="X46" ca="1">INDEX(sys_DataFlat_LU_Grid,$C$2,V46)</f>
        <v>32</v>
      </c>
      <c r="Y46" cm="1">
        <f t="array" aca="1" ref="Y46" ca="1">IF(W46=0,-1,INDEX(auto_DataFlat_Classification,X46,$C$3))</f>
        <v>3</v>
      </c>
      <c r="AA46" t="e">
        <f t="shared" ref="AA46:AF46" ca="1" si="56">IFERROR(AA45+MATCH(AA$11,OFFSET($Y$13,AA45,0,$C$10-AA45,1),0),NA())</f>
        <v>#N/A</v>
      </c>
      <c r="AB46" t="e">
        <f t="shared" ca="1" si="56"/>
        <v>#N/A</v>
      </c>
      <c r="AC46" t="e">
        <f t="shared" ca="1" si="56"/>
        <v>#N/A</v>
      </c>
      <c r="AD46" t="e">
        <f t="shared" ca="1" si="56"/>
        <v>#N/A</v>
      </c>
      <c r="AE46" t="e">
        <f t="shared" ca="1" si="56"/>
        <v>#N/A</v>
      </c>
      <c r="AF46" t="e">
        <f t="shared" ca="1" si="56"/>
        <v>#N/A</v>
      </c>
      <c r="AH46" cm="1">
        <f t="array" aca="1" ref="AH46" ca="1">IFERROR(INDEX(OFFSET($V$13,0,0,$C$10,1),AA46),0)</f>
        <v>0</v>
      </c>
      <c r="AI46" cm="1">
        <f t="array" aca="1" ref="AI46" ca="1">IFERROR(INDEX(OFFSET($V$13,0,0,$C$10,1),AB46),0)</f>
        <v>0</v>
      </c>
      <c r="AJ46" cm="1">
        <f t="array" aca="1" ref="AJ46" ca="1">IFERROR(INDEX(OFFSET($V$13,0,0,$C$10,1),AC46),0)</f>
        <v>0</v>
      </c>
      <c r="AK46" cm="1">
        <f t="array" aca="1" ref="AK46" ca="1">IFERROR(INDEX(OFFSET($V$13,0,0,$C$10,1),AD46),0)</f>
        <v>0</v>
      </c>
      <c r="AL46" cm="1">
        <f t="array" aca="1" ref="AL46" ca="1">IFERROR(INDEX(OFFSET($V$13,0,0,$C$10,1),AE46),0)</f>
        <v>0</v>
      </c>
      <c r="AM46" cm="1">
        <f t="array" aca="1" ref="AM46" ca="1">IFERROR(INDEX(OFFSET($V$13,0,0,$C$10,1),AF46),0)</f>
        <v>0</v>
      </c>
      <c r="AO46" cm="1">
        <f t="array" aca="1" ref="AO46" ca="1">IF(AH46=0,0,INDEX(sys_DataFlat_LU_Grid,$C$2,AH46))</f>
        <v>0</v>
      </c>
      <c r="AP46" cm="1">
        <f t="array" aca="1" ref="AP46" ca="1">IF(AI46=0,0,INDEX(sys_DataFlat_LU_Grid,$C$2,AI46))</f>
        <v>0</v>
      </c>
      <c r="AQ46" cm="1">
        <f t="array" aca="1" ref="AQ46" ca="1">IF(AJ46=0,0,INDEX(sys_DataFlat_LU_Grid,$C$2,AJ46))</f>
        <v>0</v>
      </c>
      <c r="AR46" cm="1">
        <f t="array" aca="1" ref="AR46" ca="1">IF(AK46=0,0,INDEX(sys_DataFlat_LU_Grid,$C$2,AK46))</f>
        <v>0</v>
      </c>
      <c r="AS46" cm="1">
        <f t="array" aca="1" ref="AS46" ca="1">IF(AL46=0,0,INDEX(sys_DataFlat_LU_Grid,$C$2,AL46))</f>
        <v>0</v>
      </c>
      <c r="AT46" cm="1">
        <f t="array" aca="1" ref="AT46" ca="1">IF(AM46=0,0,INDEX(sys_DataFlat_LU_Grid,$C$2,AM46))</f>
        <v>0</v>
      </c>
    </row>
    <row r="47" spans="1:46" x14ac:dyDescent="0.4">
      <c r="A47">
        <v>35</v>
      </c>
      <c r="B47">
        <v>35</v>
      </c>
      <c r="C47" cm="1">
        <f t="array" ref="C47">INDEX(auto_Country_Status,B47)</f>
        <v>1</v>
      </c>
      <c r="E47" cm="1">
        <f t="array" aca="1" ref="E47" ca="1">INDEX(sys_DataFlat_LU_Grid,$C$2,$B47)</f>
        <v>35</v>
      </c>
      <c r="F47" cm="1">
        <f t="array" aca="1" ref="F47" ca="1">INDEX(auto_DataFlat_Score,E47,$C$3)</f>
        <v>74.2</v>
      </c>
      <c r="G47" cm="1">
        <f t="array" aca="1" ref="G47" ca="1">INDEX(auto_DataFlat_DataValue,E47,$C$3)</f>
        <v>0</v>
      </c>
      <c r="H47">
        <f t="shared" ca="1" si="8"/>
        <v>74.2</v>
      </c>
      <c r="J47">
        <f t="shared" ref="J47" ca="1" si="57">IF($C47=0,-40000000,IFERROR(CHOOSE($C$5,H47,-H47),-30000000))</f>
        <v>74.2</v>
      </c>
      <c r="K47">
        <f t="shared" ca="1" si="9"/>
        <v>74.2</v>
      </c>
      <c r="L47">
        <f ca="1">RANK(K47,OFFSET(K$13,0,0,$C$10,1))+COUNTIF(K$13:K47,K47)-1</f>
        <v>13</v>
      </c>
      <c r="N47">
        <f t="shared" ca="1" si="5"/>
        <v>20</v>
      </c>
      <c r="O47" cm="1">
        <f t="array" aca="1" ref="O47" ca="1">INDEX(auto_Country_Status,N47)</f>
        <v>1</v>
      </c>
      <c r="P47" cm="1">
        <f t="array" aca="1" ref="P47" ca="1">INDEX(OFFSET($E$13,0,0,$C$10,1),N47)</f>
        <v>20</v>
      </c>
      <c r="Q47" t="str" cm="1">
        <f t="array" aca="1" ref="Q47" ca="1">INDEX(auto_Country_ISO,N47)</f>
        <v>JNB</v>
      </c>
      <c r="R47" cm="1">
        <f t="array" aca="1" ref="R47" ca="1">IF($O47=0,0,INDEX(auto_DataFlat_Classification,P47,$C$3))</f>
        <v>3</v>
      </c>
      <c r="T47">
        <f t="shared" ca="1" si="10"/>
        <v>74.2</v>
      </c>
      <c r="U47">
        <f ca="1">RANK(T47,OFFSET(T$13,0,0,$C$10,1))+COUNTIF(T$13:T47,T47)-1</f>
        <v>13</v>
      </c>
      <c r="V47">
        <f t="shared" ca="1" si="6"/>
        <v>20</v>
      </c>
      <c r="W47" cm="1">
        <f t="array" aca="1" ref="W47" ca="1">INDEX(auto_Country_Status,V47)</f>
        <v>1</v>
      </c>
      <c r="X47" cm="1">
        <f t="array" aca="1" ref="X47" ca="1">INDEX(sys_DataFlat_LU_Grid,$C$2,V47)</f>
        <v>20</v>
      </c>
      <c r="Y47" cm="1">
        <f t="array" aca="1" ref="Y47" ca="1">IF(W47=0,-1,INDEX(auto_DataFlat_Classification,X47,$C$3))</f>
        <v>3</v>
      </c>
      <c r="AA47" t="e">
        <f t="shared" ref="AA47:AF47" ca="1" si="58">IFERROR(AA46+MATCH(AA$11,OFFSET($Y$13,AA46,0,$C$10-AA46,1),0),NA())</f>
        <v>#N/A</v>
      </c>
      <c r="AB47" t="e">
        <f t="shared" ca="1" si="58"/>
        <v>#N/A</v>
      </c>
      <c r="AC47" t="e">
        <f t="shared" ca="1" si="58"/>
        <v>#N/A</v>
      </c>
      <c r="AD47" t="e">
        <f t="shared" ca="1" si="58"/>
        <v>#N/A</v>
      </c>
      <c r="AE47" t="e">
        <f t="shared" ca="1" si="58"/>
        <v>#N/A</v>
      </c>
      <c r="AF47" t="e">
        <f t="shared" ca="1" si="58"/>
        <v>#N/A</v>
      </c>
      <c r="AH47" cm="1">
        <f t="array" aca="1" ref="AH47" ca="1">IFERROR(INDEX(OFFSET($V$13,0,0,$C$10,1),AA47),0)</f>
        <v>0</v>
      </c>
      <c r="AI47" cm="1">
        <f t="array" aca="1" ref="AI47" ca="1">IFERROR(INDEX(OFFSET($V$13,0,0,$C$10,1),AB47),0)</f>
        <v>0</v>
      </c>
      <c r="AJ47" cm="1">
        <f t="array" aca="1" ref="AJ47" ca="1">IFERROR(INDEX(OFFSET($V$13,0,0,$C$10,1),AC47),0)</f>
        <v>0</v>
      </c>
      <c r="AK47" cm="1">
        <f t="array" aca="1" ref="AK47" ca="1">IFERROR(INDEX(OFFSET($V$13,0,0,$C$10,1),AD47),0)</f>
        <v>0</v>
      </c>
      <c r="AL47" cm="1">
        <f t="array" aca="1" ref="AL47" ca="1">IFERROR(INDEX(OFFSET($V$13,0,0,$C$10,1),AE47),0)</f>
        <v>0</v>
      </c>
      <c r="AM47" cm="1">
        <f t="array" aca="1" ref="AM47" ca="1">IFERROR(INDEX(OFFSET($V$13,0,0,$C$10,1),AF47),0)</f>
        <v>0</v>
      </c>
      <c r="AO47" cm="1">
        <f t="array" aca="1" ref="AO47" ca="1">IF(AH47=0,0,INDEX(sys_DataFlat_LU_Grid,$C$2,AH47))</f>
        <v>0</v>
      </c>
      <c r="AP47" cm="1">
        <f t="array" aca="1" ref="AP47" ca="1">IF(AI47=0,0,INDEX(sys_DataFlat_LU_Grid,$C$2,AI47))</f>
        <v>0</v>
      </c>
      <c r="AQ47" cm="1">
        <f t="array" aca="1" ref="AQ47" ca="1">IF(AJ47=0,0,INDEX(sys_DataFlat_LU_Grid,$C$2,AJ47))</f>
        <v>0</v>
      </c>
      <c r="AR47" cm="1">
        <f t="array" aca="1" ref="AR47" ca="1">IF(AK47=0,0,INDEX(sys_DataFlat_LU_Grid,$C$2,AK47))</f>
        <v>0</v>
      </c>
      <c r="AS47" cm="1">
        <f t="array" aca="1" ref="AS47" ca="1">IF(AL47=0,0,INDEX(sys_DataFlat_LU_Grid,$C$2,AL47))</f>
        <v>0</v>
      </c>
      <c r="AT47" cm="1">
        <f t="array" aca="1" ref="AT47" ca="1">IF(AM47=0,0,INDEX(sys_DataFlat_LU_Grid,$C$2,AM47))</f>
        <v>0</v>
      </c>
    </row>
    <row r="48" spans="1:46" x14ac:dyDescent="0.4">
      <c r="A48">
        <v>36</v>
      </c>
      <c r="B48">
        <v>36</v>
      </c>
      <c r="C48" cm="1">
        <f t="array" ref="C48">INDEX(auto_Country_Status,B48)</f>
        <v>1</v>
      </c>
      <c r="E48" cm="1">
        <f t="array" aca="1" ref="E48" ca="1">INDEX(sys_DataFlat_LU_Grid,$C$2,$B48)</f>
        <v>36</v>
      </c>
      <c r="F48" cm="1">
        <f t="array" aca="1" ref="F48" ca="1">INDEX(auto_DataFlat_Score,E48,$C$3)</f>
        <v>64.5</v>
      </c>
      <c r="G48" cm="1">
        <f t="array" aca="1" ref="G48" ca="1">INDEX(auto_DataFlat_DataValue,E48,$C$3)</f>
        <v>0</v>
      </c>
      <c r="H48">
        <f t="shared" ca="1" si="8"/>
        <v>64.5</v>
      </c>
      <c r="J48">
        <f ca="1">IF($C48=0,-40000000,IFERROR(CHOOSE($C$5,H48,-H48,#REF!,-#REF!),-30000000))</f>
        <v>64.5</v>
      </c>
      <c r="K48">
        <f t="shared" ca="1" si="9"/>
        <v>64.5</v>
      </c>
      <c r="L48">
        <f ca="1">RANK(K48,OFFSET(K$13,0,0,$C$10,1))+COUNTIF(K$13:K48,K48)-1</f>
        <v>26</v>
      </c>
      <c r="N48">
        <f t="shared" ca="1" si="5"/>
        <v>33</v>
      </c>
      <c r="O48" cm="1">
        <f t="array" aca="1" ref="O48" ca="1">INDEX(auto_Country_Status,N48)</f>
        <v>1</v>
      </c>
      <c r="P48" cm="1">
        <f t="array" aca="1" ref="P48" ca="1">INDEX(OFFSET($E$13,0,0,$C$10,1),N48)</f>
        <v>33</v>
      </c>
      <c r="Q48" t="str" cm="1">
        <f t="array" aca="1" ref="Q48" ca="1">INDEX(auto_Country_ISO,N48)</f>
        <v>NBO</v>
      </c>
      <c r="R48" cm="1">
        <f t="array" aca="1" ref="R48" ca="1">IF($O48=0,0,INDEX(auto_DataFlat_Classification,P48,$C$3))</f>
        <v>3</v>
      </c>
      <c r="T48">
        <f t="shared" ca="1" si="10"/>
        <v>64.5</v>
      </c>
      <c r="U48">
        <f ca="1">RANK(T48,OFFSET(T$13,0,0,$C$10,1))+COUNTIF(T$13:T48,T48)-1</f>
        <v>26</v>
      </c>
      <c r="V48">
        <f t="shared" ca="1" si="6"/>
        <v>33</v>
      </c>
      <c r="W48" cm="1">
        <f t="array" aca="1" ref="W48" ca="1">INDEX(auto_Country_Status,V48)</f>
        <v>1</v>
      </c>
      <c r="X48" cm="1">
        <f t="array" aca="1" ref="X48" ca="1">INDEX(sys_DataFlat_LU_Grid,$C$2,V48)</f>
        <v>33</v>
      </c>
      <c r="Y48" cm="1">
        <f t="array" aca="1" ref="Y48" ca="1">IF(W48=0,-1,INDEX(auto_DataFlat_Classification,X48,$C$3))</f>
        <v>3</v>
      </c>
      <c r="AA48" t="e">
        <f t="shared" ref="AA48:AF48" ca="1" si="59">IFERROR(AA47+MATCH(AA$11,OFFSET($Y$13,AA47,0,$C$10-AA47,1),0),NA())</f>
        <v>#N/A</v>
      </c>
      <c r="AB48" t="e">
        <f t="shared" ca="1" si="59"/>
        <v>#N/A</v>
      </c>
      <c r="AC48" t="e">
        <f t="shared" ca="1" si="59"/>
        <v>#N/A</v>
      </c>
      <c r="AD48" t="e">
        <f t="shared" ca="1" si="59"/>
        <v>#N/A</v>
      </c>
      <c r="AE48" t="e">
        <f t="shared" ca="1" si="59"/>
        <v>#N/A</v>
      </c>
      <c r="AF48" t="e">
        <f t="shared" ca="1" si="59"/>
        <v>#N/A</v>
      </c>
      <c r="AH48" cm="1">
        <f t="array" aca="1" ref="AH48" ca="1">IFERROR(INDEX(OFFSET($V$13,0,0,$C$10,1),AA48),0)</f>
        <v>0</v>
      </c>
      <c r="AI48" cm="1">
        <f t="array" aca="1" ref="AI48" ca="1">IFERROR(INDEX(OFFSET($V$13,0,0,$C$10,1),AB48),0)</f>
        <v>0</v>
      </c>
      <c r="AJ48" cm="1">
        <f t="array" aca="1" ref="AJ48" ca="1">IFERROR(INDEX(OFFSET($V$13,0,0,$C$10,1),AC48),0)</f>
        <v>0</v>
      </c>
      <c r="AK48" cm="1">
        <f t="array" aca="1" ref="AK48" ca="1">IFERROR(INDEX(OFFSET($V$13,0,0,$C$10,1),AD48),0)</f>
        <v>0</v>
      </c>
      <c r="AL48" cm="1">
        <f t="array" aca="1" ref="AL48" ca="1">IFERROR(INDEX(OFFSET($V$13,0,0,$C$10,1),AE48),0)</f>
        <v>0</v>
      </c>
      <c r="AM48" cm="1">
        <f t="array" aca="1" ref="AM48" ca="1">IFERROR(INDEX(OFFSET($V$13,0,0,$C$10,1),AF48),0)</f>
        <v>0</v>
      </c>
      <c r="AO48" cm="1">
        <f t="array" aca="1" ref="AO48" ca="1">IF(AH48=0,0,INDEX(sys_DataFlat_LU_Grid,$C$2,AH48))</f>
        <v>0</v>
      </c>
      <c r="AP48" cm="1">
        <f t="array" aca="1" ref="AP48" ca="1">IF(AI48=0,0,INDEX(sys_DataFlat_LU_Grid,$C$2,AI48))</f>
        <v>0</v>
      </c>
      <c r="AQ48" cm="1">
        <f t="array" aca="1" ref="AQ48" ca="1">IF(AJ48=0,0,INDEX(sys_DataFlat_LU_Grid,$C$2,AJ48))</f>
        <v>0</v>
      </c>
      <c r="AR48" cm="1">
        <f t="array" aca="1" ref="AR48" ca="1">IF(AK48=0,0,INDEX(sys_DataFlat_LU_Grid,$C$2,AK48))</f>
        <v>0</v>
      </c>
      <c r="AS48" cm="1">
        <f t="array" aca="1" ref="AS48" ca="1">IF(AL48=0,0,INDEX(sys_DataFlat_LU_Grid,$C$2,AL48))</f>
        <v>0</v>
      </c>
      <c r="AT48" cm="1">
        <f t="array" aca="1" ref="AT48" ca="1">IF(AM48=0,0,INDEX(sys_DataFlat_LU_Grid,$C$2,AM48))</f>
        <v>0</v>
      </c>
    </row>
    <row r="49" spans="1:46" x14ac:dyDescent="0.4">
      <c r="A49">
        <v>37</v>
      </c>
      <c r="B49">
        <v>37</v>
      </c>
      <c r="C49" cm="1">
        <f t="array" ref="C49">INDEX(auto_Country_Status,B49)</f>
        <v>1</v>
      </c>
      <c r="E49" cm="1">
        <f t="array" aca="1" ref="E49" ca="1">INDEX(sys_DataFlat_LU_Grid,$C$2,$B49)</f>
        <v>37</v>
      </c>
      <c r="F49" cm="1">
        <f t="array" aca="1" ref="F49" ca="1">INDEX(auto_DataFlat_Score,E49,$C$3)</f>
        <v>51.4</v>
      </c>
      <c r="G49" cm="1">
        <f t="array" aca="1" ref="G49" ca="1">INDEX(auto_DataFlat_DataValue,E49,$C$3)</f>
        <v>0</v>
      </c>
      <c r="H49">
        <f t="shared" ca="1" si="8"/>
        <v>51.4</v>
      </c>
      <c r="J49">
        <f t="shared" ref="J49" ca="1" si="60">IF($C49=0,-40000000,IFERROR(CHOOSE($C$5,H49,-H49),-30000000))</f>
        <v>51.4</v>
      </c>
      <c r="K49">
        <f t="shared" ca="1" si="9"/>
        <v>51.4</v>
      </c>
      <c r="L49">
        <f ca="1">RANK(K49,OFFSET(K$13,0,0,$C$10,1))+COUNTIF(K$13:K49,K49)-1</f>
        <v>39</v>
      </c>
      <c r="N49">
        <f t="shared" ca="1" si="5"/>
        <v>23</v>
      </c>
      <c r="O49" cm="1">
        <f t="array" aca="1" ref="O49" ca="1">INDEX(auto_Country_Status,N49)</f>
        <v>1</v>
      </c>
      <c r="P49" cm="1">
        <f t="array" aca="1" ref="P49" ca="1">INDEX(OFFSET($E$13,0,0,$C$10,1),N49)</f>
        <v>23</v>
      </c>
      <c r="Q49" t="str" cm="1">
        <f t="array" aca="1" ref="Q49" ca="1">INDEX(auto_Country_ISO,N49)</f>
        <v>CCU</v>
      </c>
      <c r="R49" cm="1">
        <f t="array" aca="1" ref="R49" ca="1">IF($O49=0,0,INDEX(auto_DataFlat_Classification,P49,$C$3))</f>
        <v>3</v>
      </c>
      <c r="T49">
        <f t="shared" ca="1" si="10"/>
        <v>51.4</v>
      </c>
      <c r="U49">
        <f ca="1">RANK(T49,OFFSET(T$13,0,0,$C$10,1))+COUNTIF(T$13:T49,T49)-1</f>
        <v>39</v>
      </c>
      <c r="V49">
        <f t="shared" ca="1" si="6"/>
        <v>23</v>
      </c>
      <c r="W49" cm="1">
        <f t="array" aca="1" ref="W49" ca="1">INDEX(auto_Country_Status,V49)</f>
        <v>1</v>
      </c>
      <c r="X49" cm="1">
        <f t="array" aca="1" ref="X49" ca="1">INDEX(sys_DataFlat_LU_Grid,$C$2,V49)</f>
        <v>23</v>
      </c>
      <c r="Y49" cm="1">
        <f t="array" aca="1" ref="Y49" ca="1">IF(W49=0,-1,INDEX(auto_DataFlat_Classification,X49,$C$3))</f>
        <v>3</v>
      </c>
      <c r="AA49" t="e">
        <f t="shared" ref="AA49:AF49" ca="1" si="61">IFERROR(AA48+MATCH(AA$11,OFFSET($Y$13,AA48,0,$C$10-AA48,1),0),NA())</f>
        <v>#N/A</v>
      </c>
      <c r="AB49" t="e">
        <f t="shared" ca="1" si="61"/>
        <v>#N/A</v>
      </c>
      <c r="AC49" t="e">
        <f t="shared" ca="1" si="61"/>
        <v>#N/A</v>
      </c>
      <c r="AD49" t="e">
        <f t="shared" ca="1" si="61"/>
        <v>#N/A</v>
      </c>
      <c r="AE49" t="e">
        <f t="shared" ca="1" si="61"/>
        <v>#N/A</v>
      </c>
      <c r="AF49" t="e">
        <f t="shared" ca="1" si="61"/>
        <v>#N/A</v>
      </c>
      <c r="AH49" cm="1">
        <f t="array" aca="1" ref="AH49" ca="1">IFERROR(INDEX(OFFSET($V$13,0,0,$C$10,1),AA49),0)</f>
        <v>0</v>
      </c>
      <c r="AI49" cm="1">
        <f t="array" aca="1" ref="AI49" ca="1">IFERROR(INDEX(OFFSET($V$13,0,0,$C$10,1),AB49),0)</f>
        <v>0</v>
      </c>
      <c r="AJ49" cm="1">
        <f t="array" aca="1" ref="AJ49" ca="1">IFERROR(INDEX(OFFSET($V$13,0,0,$C$10,1),AC49),0)</f>
        <v>0</v>
      </c>
      <c r="AK49" cm="1">
        <f t="array" aca="1" ref="AK49" ca="1">IFERROR(INDEX(OFFSET($V$13,0,0,$C$10,1),AD49),0)</f>
        <v>0</v>
      </c>
      <c r="AL49" cm="1">
        <f t="array" aca="1" ref="AL49" ca="1">IFERROR(INDEX(OFFSET($V$13,0,0,$C$10,1),AE49),0)</f>
        <v>0</v>
      </c>
      <c r="AM49" cm="1">
        <f t="array" aca="1" ref="AM49" ca="1">IFERROR(INDEX(OFFSET($V$13,0,0,$C$10,1),AF49),0)</f>
        <v>0</v>
      </c>
      <c r="AO49" cm="1">
        <f t="array" aca="1" ref="AO49" ca="1">IF(AH49=0,0,INDEX(sys_DataFlat_LU_Grid,$C$2,AH49))</f>
        <v>0</v>
      </c>
      <c r="AP49" cm="1">
        <f t="array" aca="1" ref="AP49" ca="1">IF(AI49=0,0,INDEX(sys_DataFlat_LU_Grid,$C$2,AI49))</f>
        <v>0</v>
      </c>
      <c r="AQ49" cm="1">
        <f t="array" aca="1" ref="AQ49" ca="1">IF(AJ49=0,0,INDEX(sys_DataFlat_LU_Grid,$C$2,AJ49))</f>
        <v>0</v>
      </c>
      <c r="AR49" cm="1">
        <f t="array" aca="1" ref="AR49" ca="1">IF(AK49=0,0,INDEX(sys_DataFlat_LU_Grid,$C$2,AK49))</f>
        <v>0</v>
      </c>
      <c r="AS49" cm="1">
        <f t="array" aca="1" ref="AS49" ca="1">IF(AL49=0,0,INDEX(sys_DataFlat_LU_Grid,$C$2,AL49))</f>
        <v>0</v>
      </c>
      <c r="AT49" cm="1">
        <f t="array" aca="1" ref="AT49" ca="1">IF(AM49=0,0,INDEX(sys_DataFlat_LU_Grid,$C$2,AM49))</f>
        <v>0</v>
      </c>
    </row>
    <row r="50" spans="1:46" x14ac:dyDescent="0.4">
      <c r="A50">
        <v>38</v>
      </c>
      <c r="B50">
        <v>38</v>
      </c>
      <c r="C50" cm="1">
        <f t="array" ref="C50">INDEX(auto_Country_Status,B50)</f>
        <v>1</v>
      </c>
      <c r="E50" cm="1">
        <f t="array" aca="1" ref="E50" ca="1">INDEX(sys_DataFlat_LU_Grid,$C$2,$B50)</f>
        <v>38</v>
      </c>
      <c r="F50" cm="1">
        <f t="array" aca="1" ref="F50" ca="1">INDEX(auto_DataFlat_Score,E50,$C$3)</f>
        <v>44.2</v>
      </c>
      <c r="G50" cm="1">
        <f t="array" aca="1" ref="G50" ca="1">INDEX(auto_DataFlat_DataValue,E50,$C$3)</f>
        <v>0</v>
      </c>
      <c r="H50">
        <f t="shared" ca="1" si="8"/>
        <v>44.2</v>
      </c>
      <c r="J50">
        <f ca="1">IF($C50=0,-40000000,IFERROR(CHOOSE($C$5,H50,-H50,#REF!,-#REF!),-30000000))</f>
        <v>44.2</v>
      </c>
      <c r="K50">
        <f t="shared" ca="1" si="9"/>
        <v>44.2</v>
      </c>
      <c r="L50">
        <f ca="1">RANK(K50,OFFSET(K$13,0,0,$C$10,1))+COUNTIF(K$13:K50,K50)-1</f>
        <v>44</v>
      </c>
      <c r="N50">
        <f t="shared" ca="1" si="5"/>
        <v>25</v>
      </c>
      <c r="O50" cm="1">
        <f t="array" aca="1" ref="O50" ca="1">INDEX(auto_Country_Status,N50)</f>
        <v>1</v>
      </c>
      <c r="P50" cm="1">
        <f t="array" aca="1" ref="P50" ca="1">INDEX(OFFSET($E$13,0,0,$C$10,1),N50)</f>
        <v>25</v>
      </c>
      <c r="Q50" t="str" cm="1">
        <f t="array" aca="1" ref="Q50" ca="1">INDEX(auto_Country_ISO,N50)</f>
        <v>ZGM</v>
      </c>
      <c r="R50" cm="1">
        <f t="array" aca="1" ref="R50" ca="1">IF($O50=0,0,INDEX(auto_DataFlat_Classification,P50,$C$3))</f>
        <v>3</v>
      </c>
      <c r="T50">
        <f t="shared" ca="1" si="10"/>
        <v>44.2</v>
      </c>
      <c r="U50">
        <f ca="1">RANK(T50,OFFSET(T$13,0,0,$C$10,1))+COUNTIF(T$13:T50,T50)-1</f>
        <v>44</v>
      </c>
      <c r="V50">
        <f t="shared" ca="1" si="6"/>
        <v>25</v>
      </c>
      <c r="W50" cm="1">
        <f t="array" aca="1" ref="W50" ca="1">INDEX(auto_Country_Status,V50)</f>
        <v>1</v>
      </c>
      <c r="X50" cm="1">
        <f t="array" aca="1" ref="X50" ca="1">INDEX(sys_DataFlat_LU_Grid,$C$2,V50)</f>
        <v>25</v>
      </c>
      <c r="Y50" cm="1">
        <f t="array" aca="1" ref="Y50" ca="1">IF(W50=0,-1,INDEX(auto_DataFlat_Classification,X50,$C$3))</f>
        <v>3</v>
      </c>
      <c r="AA50" t="e">
        <f t="shared" ref="AA50:AF50" ca="1" si="62">IFERROR(AA49+MATCH(AA$11,OFFSET($Y$13,AA49,0,$C$10-AA49,1),0),NA())</f>
        <v>#N/A</v>
      </c>
      <c r="AB50" t="e">
        <f t="shared" ca="1" si="62"/>
        <v>#N/A</v>
      </c>
      <c r="AC50" t="e">
        <f t="shared" ca="1" si="62"/>
        <v>#N/A</v>
      </c>
      <c r="AD50" t="e">
        <f t="shared" ca="1" si="62"/>
        <v>#N/A</v>
      </c>
      <c r="AE50" t="e">
        <f t="shared" ca="1" si="62"/>
        <v>#N/A</v>
      </c>
      <c r="AF50" t="e">
        <f t="shared" ca="1" si="62"/>
        <v>#N/A</v>
      </c>
      <c r="AH50" cm="1">
        <f t="array" aca="1" ref="AH50" ca="1">IFERROR(INDEX(OFFSET($V$13,0,0,$C$10,1),AA50),0)</f>
        <v>0</v>
      </c>
      <c r="AI50" cm="1">
        <f t="array" aca="1" ref="AI50" ca="1">IFERROR(INDEX(OFFSET($V$13,0,0,$C$10,1),AB50),0)</f>
        <v>0</v>
      </c>
      <c r="AJ50" cm="1">
        <f t="array" aca="1" ref="AJ50" ca="1">IFERROR(INDEX(OFFSET($V$13,0,0,$C$10,1),AC50),0)</f>
        <v>0</v>
      </c>
      <c r="AK50" cm="1">
        <f t="array" aca="1" ref="AK50" ca="1">IFERROR(INDEX(OFFSET($V$13,0,0,$C$10,1),AD50),0)</f>
        <v>0</v>
      </c>
      <c r="AL50" cm="1">
        <f t="array" aca="1" ref="AL50" ca="1">IFERROR(INDEX(OFFSET($V$13,0,0,$C$10,1),AE50),0)</f>
        <v>0</v>
      </c>
      <c r="AM50" cm="1">
        <f t="array" aca="1" ref="AM50" ca="1">IFERROR(INDEX(OFFSET($V$13,0,0,$C$10,1),AF50),0)</f>
        <v>0</v>
      </c>
      <c r="AO50" cm="1">
        <f t="array" aca="1" ref="AO50" ca="1">IF(AH50=0,0,INDEX(sys_DataFlat_LU_Grid,$C$2,AH50))</f>
        <v>0</v>
      </c>
      <c r="AP50" cm="1">
        <f t="array" aca="1" ref="AP50" ca="1">IF(AI50=0,0,INDEX(sys_DataFlat_LU_Grid,$C$2,AI50))</f>
        <v>0</v>
      </c>
      <c r="AQ50" cm="1">
        <f t="array" aca="1" ref="AQ50" ca="1">IF(AJ50=0,0,INDEX(sys_DataFlat_LU_Grid,$C$2,AJ50))</f>
        <v>0</v>
      </c>
      <c r="AR50" cm="1">
        <f t="array" aca="1" ref="AR50" ca="1">IF(AK50=0,0,INDEX(sys_DataFlat_LU_Grid,$C$2,AK50))</f>
        <v>0</v>
      </c>
      <c r="AS50" cm="1">
        <f t="array" aca="1" ref="AS50" ca="1">IF(AL50=0,0,INDEX(sys_DataFlat_LU_Grid,$C$2,AL50))</f>
        <v>0</v>
      </c>
      <c r="AT50" cm="1">
        <f t="array" aca="1" ref="AT50" ca="1">IF(AM50=0,0,INDEX(sys_DataFlat_LU_Grid,$C$2,AM50))</f>
        <v>0</v>
      </c>
    </row>
    <row r="51" spans="1:46" x14ac:dyDescent="0.4">
      <c r="A51">
        <v>39</v>
      </c>
      <c r="B51">
        <v>39</v>
      </c>
      <c r="C51" cm="1">
        <f t="array" ref="C51">INDEX(auto_Country_Status,B51)</f>
        <v>1</v>
      </c>
      <c r="E51" cm="1">
        <f t="array" aca="1" ref="E51" ca="1">INDEX(sys_DataFlat_LU_Grid,$C$2,$B51)</f>
        <v>39</v>
      </c>
      <c r="F51" cm="1">
        <f t="array" aca="1" ref="F51" ca="1">INDEX(auto_DataFlat_Score,E51,$C$3)</f>
        <v>63.5</v>
      </c>
      <c r="G51" cm="1">
        <f t="array" aca="1" ref="G51" ca="1">INDEX(auto_DataFlat_DataValue,E51,$C$3)</f>
        <v>0</v>
      </c>
      <c r="H51">
        <f t="shared" ca="1" si="8"/>
        <v>63.5</v>
      </c>
      <c r="J51">
        <f t="shared" ref="J51" ca="1" si="63">IF($C51=0,-40000000,IFERROR(CHOOSE($C$5,H51,-H51),-30000000))</f>
        <v>63.5</v>
      </c>
      <c r="K51">
        <f t="shared" ca="1" si="9"/>
        <v>63.5</v>
      </c>
      <c r="L51">
        <f ca="1">RANK(K51,OFFSET(K$13,0,0,$C$10,1))+COUNTIF(K$13:K51,K51)-1</f>
        <v>27</v>
      </c>
      <c r="N51">
        <f t="shared" ca="1" si="5"/>
        <v>37</v>
      </c>
      <c r="O51" cm="1">
        <f t="array" aca="1" ref="O51" ca="1">INDEX(auto_Country_Status,N51)</f>
        <v>1</v>
      </c>
      <c r="P51" cm="1">
        <f t="array" aca="1" ref="P51" ca="1">INDEX(OFFSET($E$13,0,0,$C$10,1),N51)</f>
        <v>37</v>
      </c>
      <c r="Q51" t="str" cm="1">
        <f t="array" aca="1" ref="Q51" ca="1">INDEX(auto_Country_ISO,N51)</f>
        <v>PNH</v>
      </c>
      <c r="R51" cm="1">
        <f t="array" aca="1" ref="R51" ca="1">IF($O51=0,0,INDEX(auto_DataFlat_Classification,P51,$C$3))</f>
        <v>3</v>
      </c>
      <c r="T51">
        <f t="shared" ca="1" si="10"/>
        <v>63.5</v>
      </c>
      <c r="U51">
        <f ca="1">RANK(T51,OFFSET(T$13,0,0,$C$10,1))+COUNTIF(T$13:T51,T51)-1</f>
        <v>27</v>
      </c>
      <c r="V51">
        <f t="shared" ca="1" si="6"/>
        <v>37</v>
      </c>
      <c r="W51" cm="1">
        <f t="array" aca="1" ref="W51" ca="1">INDEX(auto_Country_Status,V51)</f>
        <v>1</v>
      </c>
      <c r="X51" cm="1">
        <f t="array" aca="1" ref="X51" ca="1">INDEX(sys_DataFlat_LU_Grid,$C$2,V51)</f>
        <v>37</v>
      </c>
      <c r="Y51" cm="1">
        <f t="array" aca="1" ref="Y51" ca="1">IF(W51=0,-1,INDEX(auto_DataFlat_Classification,X51,$C$3))</f>
        <v>3</v>
      </c>
      <c r="AA51" t="e">
        <f t="shared" ref="AA51:AF51" ca="1" si="64">IFERROR(AA50+MATCH(AA$11,OFFSET($Y$13,AA50,0,$C$10-AA50,1),0),NA())</f>
        <v>#N/A</v>
      </c>
      <c r="AB51" t="e">
        <f t="shared" ca="1" si="64"/>
        <v>#N/A</v>
      </c>
      <c r="AC51" t="e">
        <f t="shared" ca="1" si="64"/>
        <v>#N/A</v>
      </c>
      <c r="AD51" t="e">
        <f t="shared" ca="1" si="64"/>
        <v>#N/A</v>
      </c>
      <c r="AE51" t="e">
        <f t="shared" ca="1" si="64"/>
        <v>#N/A</v>
      </c>
      <c r="AF51" t="e">
        <f t="shared" ca="1" si="64"/>
        <v>#N/A</v>
      </c>
      <c r="AH51" cm="1">
        <f t="array" aca="1" ref="AH51" ca="1">IFERROR(INDEX(OFFSET($V$13,0,0,$C$10,1),AA51),0)</f>
        <v>0</v>
      </c>
      <c r="AI51" cm="1">
        <f t="array" aca="1" ref="AI51" ca="1">IFERROR(INDEX(OFFSET($V$13,0,0,$C$10,1),AB51),0)</f>
        <v>0</v>
      </c>
      <c r="AJ51" cm="1">
        <f t="array" aca="1" ref="AJ51" ca="1">IFERROR(INDEX(OFFSET($V$13,0,0,$C$10,1),AC51),0)</f>
        <v>0</v>
      </c>
      <c r="AK51" cm="1">
        <f t="array" aca="1" ref="AK51" ca="1">IFERROR(INDEX(OFFSET($V$13,0,0,$C$10,1),AD51),0)</f>
        <v>0</v>
      </c>
      <c r="AL51" cm="1">
        <f t="array" aca="1" ref="AL51" ca="1">IFERROR(INDEX(OFFSET($V$13,0,0,$C$10,1),AE51),0)</f>
        <v>0</v>
      </c>
      <c r="AM51" cm="1">
        <f t="array" aca="1" ref="AM51" ca="1">IFERROR(INDEX(OFFSET($V$13,0,0,$C$10,1),AF51),0)</f>
        <v>0</v>
      </c>
      <c r="AO51" cm="1">
        <f t="array" aca="1" ref="AO51" ca="1">IF(AH51=0,0,INDEX(sys_DataFlat_LU_Grid,$C$2,AH51))</f>
        <v>0</v>
      </c>
      <c r="AP51" cm="1">
        <f t="array" aca="1" ref="AP51" ca="1">IF(AI51=0,0,INDEX(sys_DataFlat_LU_Grid,$C$2,AI51))</f>
        <v>0</v>
      </c>
      <c r="AQ51" cm="1">
        <f t="array" aca="1" ref="AQ51" ca="1">IF(AJ51=0,0,INDEX(sys_DataFlat_LU_Grid,$C$2,AJ51))</f>
        <v>0</v>
      </c>
      <c r="AR51" cm="1">
        <f t="array" aca="1" ref="AR51" ca="1">IF(AK51=0,0,INDEX(sys_DataFlat_LU_Grid,$C$2,AK51))</f>
        <v>0</v>
      </c>
      <c r="AS51" cm="1">
        <f t="array" aca="1" ref="AS51" ca="1">IF(AL51=0,0,INDEX(sys_DataFlat_LU_Grid,$C$2,AL51))</f>
        <v>0</v>
      </c>
      <c r="AT51" cm="1">
        <f t="array" aca="1" ref="AT51" ca="1">IF(AM51=0,0,INDEX(sys_DataFlat_LU_Grid,$C$2,AM51))</f>
        <v>0</v>
      </c>
    </row>
    <row r="52" spans="1:46" x14ac:dyDescent="0.4">
      <c r="A52">
        <v>40</v>
      </c>
      <c r="B52">
        <v>40</v>
      </c>
      <c r="C52" cm="1">
        <f t="array" ref="C52">INDEX(auto_Country_Status,B52)</f>
        <v>1</v>
      </c>
      <c r="E52" cm="1">
        <f t="array" aca="1" ref="E52" ca="1">INDEX(sys_DataFlat_LU_Grid,$C$2,$B52)</f>
        <v>40</v>
      </c>
      <c r="F52" cm="1">
        <f t="array" aca="1" ref="F52" ca="1">INDEX(auto_DataFlat_Score,E52,$C$3)</f>
        <v>72</v>
      </c>
      <c r="G52" cm="1">
        <f t="array" aca="1" ref="G52" ca="1">INDEX(auto_DataFlat_DataValue,E52,$C$3)</f>
        <v>0</v>
      </c>
      <c r="H52">
        <f t="shared" ca="1" si="8"/>
        <v>72</v>
      </c>
      <c r="J52">
        <f ca="1">IF($C52=0,-40000000,IFERROR(CHOOSE($C$5,H52,-H52,#REF!,-#REF!),-30000000))</f>
        <v>72</v>
      </c>
      <c r="K52">
        <f t="shared" ca="1" si="9"/>
        <v>72</v>
      </c>
      <c r="L52">
        <f ca="1">RANK(K52,OFFSET(K$13,0,0,$C$10,1))+COUNTIF(K$13:K52,K52)-1</f>
        <v>14</v>
      </c>
      <c r="N52">
        <f t="shared" ca="1" si="5"/>
        <v>11</v>
      </c>
      <c r="O52" cm="1">
        <f t="array" aca="1" ref="O52" ca="1">INDEX(auto_Country_Status,N52)</f>
        <v>1</v>
      </c>
      <c r="P52" cm="1">
        <f t="array" aca="1" ref="P52" ca="1">INDEX(OFFSET($E$13,0,0,$C$10,1),N52)</f>
        <v>11</v>
      </c>
      <c r="Q52" t="str" cm="1">
        <f t="array" aca="1" ref="Q52" ca="1">INDEX(auto_Country_ISO,N52)</f>
        <v>COX</v>
      </c>
      <c r="R52" cm="1">
        <f t="array" aca="1" ref="R52" ca="1">IF($O52=0,0,INDEX(auto_DataFlat_Classification,P52,$C$3))</f>
        <v>3</v>
      </c>
      <c r="T52">
        <f t="shared" ca="1" si="10"/>
        <v>72</v>
      </c>
      <c r="U52">
        <f ca="1">RANK(T52,OFFSET(T$13,0,0,$C$10,1))+COUNTIF(T$13:T52,T52)-1</f>
        <v>14</v>
      </c>
      <c r="V52">
        <f t="shared" ca="1" si="6"/>
        <v>11</v>
      </c>
      <c r="W52" cm="1">
        <f t="array" aca="1" ref="W52" ca="1">INDEX(auto_Country_Status,V52)</f>
        <v>1</v>
      </c>
      <c r="X52" cm="1">
        <f t="array" aca="1" ref="X52" ca="1">INDEX(sys_DataFlat_LU_Grid,$C$2,V52)</f>
        <v>11</v>
      </c>
      <c r="Y52" cm="1">
        <f t="array" aca="1" ref="Y52" ca="1">IF(W52=0,-1,INDEX(auto_DataFlat_Classification,X52,$C$3))</f>
        <v>3</v>
      </c>
      <c r="AA52" t="e">
        <f t="shared" ref="AA52:AF52" ca="1" si="65">IFERROR(AA51+MATCH(AA$11,OFFSET($Y$13,AA51,0,$C$10-AA51,1),0),NA())</f>
        <v>#N/A</v>
      </c>
      <c r="AB52" t="e">
        <f t="shared" ca="1" si="65"/>
        <v>#N/A</v>
      </c>
      <c r="AC52" t="e">
        <f t="shared" ca="1" si="65"/>
        <v>#N/A</v>
      </c>
      <c r="AD52" t="e">
        <f t="shared" ca="1" si="65"/>
        <v>#N/A</v>
      </c>
      <c r="AE52" t="e">
        <f t="shared" ca="1" si="65"/>
        <v>#N/A</v>
      </c>
      <c r="AF52" t="e">
        <f t="shared" ca="1" si="65"/>
        <v>#N/A</v>
      </c>
      <c r="AH52" cm="1">
        <f t="array" aca="1" ref="AH52" ca="1">IFERROR(INDEX(OFFSET($V$13,0,0,$C$10,1),AA52),0)</f>
        <v>0</v>
      </c>
      <c r="AI52" cm="1">
        <f t="array" aca="1" ref="AI52" ca="1">IFERROR(INDEX(OFFSET($V$13,0,0,$C$10,1),AB52),0)</f>
        <v>0</v>
      </c>
      <c r="AJ52" cm="1">
        <f t="array" aca="1" ref="AJ52" ca="1">IFERROR(INDEX(OFFSET($V$13,0,0,$C$10,1),AC52),0)</f>
        <v>0</v>
      </c>
      <c r="AK52" cm="1">
        <f t="array" aca="1" ref="AK52" ca="1">IFERROR(INDEX(OFFSET($V$13,0,0,$C$10,1),AD52),0)</f>
        <v>0</v>
      </c>
      <c r="AL52" cm="1">
        <f t="array" aca="1" ref="AL52" ca="1">IFERROR(INDEX(OFFSET($V$13,0,0,$C$10,1),AE52),0)</f>
        <v>0</v>
      </c>
      <c r="AM52" cm="1">
        <f t="array" aca="1" ref="AM52" ca="1">IFERROR(INDEX(OFFSET($V$13,0,0,$C$10,1),AF52),0)</f>
        <v>0</v>
      </c>
      <c r="AO52" cm="1">
        <f t="array" aca="1" ref="AO52" ca="1">IF(AH52=0,0,INDEX(sys_DataFlat_LU_Grid,$C$2,AH52))</f>
        <v>0</v>
      </c>
      <c r="AP52" cm="1">
        <f t="array" aca="1" ref="AP52" ca="1">IF(AI52=0,0,INDEX(sys_DataFlat_LU_Grid,$C$2,AI52))</f>
        <v>0</v>
      </c>
      <c r="AQ52" cm="1">
        <f t="array" aca="1" ref="AQ52" ca="1">IF(AJ52=0,0,INDEX(sys_DataFlat_LU_Grid,$C$2,AJ52))</f>
        <v>0</v>
      </c>
      <c r="AR52" cm="1">
        <f t="array" aca="1" ref="AR52" ca="1">IF(AK52=0,0,INDEX(sys_DataFlat_LU_Grid,$C$2,AK52))</f>
        <v>0</v>
      </c>
      <c r="AS52" cm="1">
        <f t="array" aca="1" ref="AS52" ca="1">IF(AL52=0,0,INDEX(sys_DataFlat_LU_Grid,$C$2,AL52))</f>
        <v>0</v>
      </c>
      <c r="AT52" cm="1">
        <f t="array" aca="1" ref="AT52" ca="1">IF(AM52=0,0,INDEX(sys_DataFlat_LU_Grid,$C$2,AM52))</f>
        <v>0</v>
      </c>
    </row>
    <row r="53" spans="1:46" x14ac:dyDescent="0.4">
      <c r="A53">
        <v>41</v>
      </c>
      <c r="B53">
        <v>41</v>
      </c>
      <c r="C53" cm="1">
        <f t="array" ref="C53">INDEX(auto_Country_Status,B53)</f>
        <v>1</v>
      </c>
      <c r="E53" cm="1">
        <f t="array" aca="1" ref="E53" ca="1">INDEX(sys_DataFlat_LU_Grid,$C$2,$B53)</f>
        <v>41</v>
      </c>
      <c r="F53" cm="1">
        <f t="array" aca="1" ref="F53" ca="1">INDEX(auto_DataFlat_Score,E53,$C$3)</f>
        <v>67.099999999999994</v>
      </c>
      <c r="G53" cm="1">
        <f t="array" aca="1" ref="G53" ca="1">INDEX(auto_DataFlat_DataValue,E53,$C$3)</f>
        <v>0</v>
      </c>
      <c r="H53">
        <f t="shared" ca="1" si="8"/>
        <v>67.099999999999994</v>
      </c>
      <c r="J53">
        <f t="shared" ref="J53" ca="1" si="66">IF($C53=0,-40000000,IFERROR(CHOOSE($C$5,H53,-H53),-30000000))</f>
        <v>67.099999999999994</v>
      </c>
      <c r="K53">
        <f t="shared" ca="1" si="9"/>
        <v>67.099999999999994</v>
      </c>
      <c r="L53">
        <f ca="1">RANK(K53,OFFSET(K$13,0,0,$C$10,1))+COUNTIF(K$13:K53,K53)-1</f>
        <v>21</v>
      </c>
      <c r="N53">
        <f t="shared" ca="1" si="5"/>
        <v>1</v>
      </c>
      <c r="O53" cm="1">
        <f t="array" aca="1" ref="O53" ca="1">INDEX(auto_Country_Status,N53)</f>
        <v>1</v>
      </c>
      <c r="P53" cm="1">
        <f t="array" aca="1" ref="P53" ca="1">INDEX(OFFSET($E$13,0,0,$C$10,1),N53)</f>
        <v>1</v>
      </c>
      <c r="Q53" t="str" cm="1">
        <f t="array" aca="1" ref="Q53" ca="1">INDEX(auto_Country_ISO,N53)</f>
        <v>ADD</v>
      </c>
      <c r="R53" cm="1">
        <f t="array" aca="1" ref="R53" ca="1">IF($O53=0,0,INDEX(auto_DataFlat_Classification,P53,$C$3))</f>
        <v>3</v>
      </c>
      <c r="T53">
        <f t="shared" ca="1" si="10"/>
        <v>67.099999999999994</v>
      </c>
      <c r="U53">
        <f ca="1">RANK(T53,OFFSET(T$13,0,0,$C$10,1))+COUNTIF(T$13:T53,T53)-1</f>
        <v>21</v>
      </c>
      <c r="V53">
        <f t="shared" ca="1" si="6"/>
        <v>1</v>
      </c>
      <c r="W53" cm="1">
        <f t="array" aca="1" ref="W53" ca="1">INDEX(auto_Country_Status,V53)</f>
        <v>1</v>
      </c>
      <c r="X53" cm="1">
        <f t="array" aca="1" ref="X53" ca="1">INDEX(sys_DataFlat_LU_Grid,$C$2,V53)</f>
        <v>1</v>
      </c>
      <c r="Y53" cm="1">
        <f t="array" aca="1" ref="Y53" ca="1">IF(W53=0,-1,INDEX(auto_DataFlat_Classification,X53,$C$3))</f>
        <v>3</v>
      </c>
      <c r="AA53" t="e">
        <f t="shared" ref="AA53:AF53" ca="1" si="67">IFERROR(AA52+MATCH(AA$11,OFFSET($Y$13,AA52,0,$C$10-AA52,1),0),NA())</f>
        <v>#N/A</v>
      </c>
      <c r="AB53" t="e">
        <f t="shared" ca="1" si="67"/>
        <v>#N/A</v>
      </c>
      <c r="AC53" t="e">
        <f t="shared" ca="1" si="67"/>
        <v>#N/A</v>
      </c>
      <c r="AD53" t="e">
        <f t="shared" ca="1" si="67"/>
        <v>#N/A</v>
      </c>
      <c r="AE53" t="e">
        <f t="shared" ca="1" si="67"/>
        <v>#N/A</v>
      </c>
      <c r="AF53" t="e">
        <f t="shared" ca="1" si="67"/>
        <v>#N/A</v>
      </c>
      <c r="AH53" cm="1">
        <f t="array" aca="1" ref="AH53" ca="1">IFERROR(INDEX(OFFSET($V$13,0,0,$C$10,1),AA53),0)</f>
        <v>0</v>
      </c>
      <c r="AI53" cm="1">
        <f t="array" aca="1" ref="AI53" ca="1">IFERROR(INDEX(OFFSET($V$13,0,0,$C$10,1),AB53),0)</f>
        <v>0</v>
      </c>
      <c r="AJ53" cm="1">
        <f t="array" aca="1" ref="AJ53" ca="1">IFERROR(INDEX(OFFSET($V$13,0,0,$C$10,1),AC53),0)</f>
        <v>0</v>
      </c>
      <c r="AK53" cm="1">
        <f t="array" aca="1" ref="AK53" ca="1">IFERROR(INDEX(OFFSET($V$13,0,0,$C$10,1),AD53),0)</f>
        <v>0</v>
      </c>
      <c r="AL53" cm="1">
        <f t="array" aca="1" ref="AL53" ca="1">IFERROR(INDEX(OFFSET($V$13,0,0,$C$10,1),AE53),0)</f>
        <v>0</v>
      </c>
      <c r="AM53" cm="1">
        <f t="array" aca="1" ref="AM53" ca="1">IFERROR(INDEX(OFFSET($V$13,0,0,$C$10,1),AF53),0)</f>
        <v>0</v>
      </c>
      <c r="AO53" cm="1">
        <f t="array" aca="1" ref="AO53" ca="1">IF(AH53=0,0,INDEX(sys_DataFlat_LU_Grid,$C$2,AH53))</f>
        <v>0</v>
      </c>
      <c r="AP53" cm="1">
        <f t="array" aca="1" ref="AP53" ca="1">IF(AI53=0,0,INDEX(sys_DataFlat_LU_Grid,$C$2,AI53))</f>
        <v>0</v>
      </c>
      <c r="AQ53" cm="1">
        <f t="array" aca="1" ref="AQ53" ca="1">IF(AJ53=0,0,INDEX(sys_DataFlat_LU_Grid,$C$2,AJ53))</f>
        <v>0</v>
      </c>
      <c r="AR53" cm="1">
        <f t="array" aca="1" ref="AR53" ca="1">IF(AK53=0,0,INDEX(sys_DataFlat_LU_Grid,$C$2,AK53))</f>
        <v>0</v>
      </c>
      <c r="AS53" cm="1">
        <f t="array" aca="1" ref="AS53" ca="1">IF(AL53=0,0,INDEX(sys_DataFlat_LU_Grid,$C$2,AL53))</f>
        <v>0</v>
      </c>
      <c r="AT53" cm="1">
        <f t="array" aca="1" ref="AT53" ca="1">IF(AM53=0,0,INDEX(sys_DataFlat_LU_Grid,$C$2,AM53))</f>
        <v>0</v>
      </c>
    </row>
    <row r="54" spans="1:46" x14ac:dyDescent="0.4">
      <c r="A54">
        <v>42</v>
      </c>
      <c r="B54">
        <v>42</v>
      </c>
      <c r="C54" cm="1">
        <f t="array" ref="C54">INDEX(auto_Country_Status,B54)</f>
        <v>1</v>
      </c>
      <c r="E54" cm="1">
        <f t="array" aca="1" ref="E54" ca="1">INDEX(sys_DataFlat_LU_Grid,$C$2,$B54)</f>
        <v>42</v>
      </c>
      <c r="F54" cm="1">
        <f t="array" aca="1" ref="F54" ca="1">INDEX(auto_DataFlat_Score,E54,$C$3)</f>
        <v>75.599999999999994</v>
      </c>
      <c r="G54" cm="1">
        <f t="array" aca="1" ref="G54" ca="1">INDEX(auto_DataFlat_DataValue,E54,$C$3)</f>
        <v>0</v>
      </c>
      <c r="H54">
        <f t="shared" ca="1" si="8"/>
        <v>75.599999999999994</v>
      </c>
      <c r="J54">
        <f ca="1">IF($C54=0,-40000000,IFERROR(CHOOSE($C$5,H54,-H54,#REF!,-#REF!),-30000000))</f>
        <v>75.599999999999994</v>
      </c>
      <c r="K54">
        <f t="shared" ca="1" si="9"/>
        <v>75.599999999999994</v>
      </c>
      <c r="L54">
        <f ca="1">RANK(K54,OFFSET(K$13,0,0,$C$10,1))+COUNTIF(K$13:K54,K54)-1</f>
        <v>10</v>
      </c>
      <c r="N54">
        <f t="shared" ca="1" si="5"/>
        <v>28</v>
      </c>
      <c r="O54" cm="1">
        <f t="array" aca="1" ref="O54" ca="1">INDEX(auto_Country_Status,N54)</f>
        <v>1</v>
      </c>
      <c r="P54" cm="1">
        <f t="array" aca="1" ref="P54" ca="1">INDEX(OFFSET($E$13,0,0,$C$10,1),N54)</f>
        <v>28</v>
      </c>
      <c r="Q54" t="str" cm="1">
        <f t="array" aca="1" ref="Q54" ca="1">INDEX(auto_Country_ISO,N54)</f>
        <v>MNL</v>
      </c>
      <c r="R54" cm="1">
        <f t="array" aca="1" ref="R54" ca="1">IF($O54=0,0,INDEX(auto_DataFlat_Classification,P54,$C$3))</f>
        <v>3</v>
      </c>
      <c r="T54">
        <f t="shared" ca="1" si="10"/>
        <v>75.599999999999994</v>
      </c>
      <c r="U54">
        <f ca="1">RANK(T54,OFFSET(T$13,0,0,$C$10,1))+COUNTIF(T$13:T54,T54)-1</f>
        <v>10</v>
      </c>
      <c r="V54">
        <f t="shared" ca="1" si="6"/>
        <v>28</v>
      </c>
      <c r="W54" cm="1">
        <f t="array" aca="1" ref="W54" ca="1">INDEX(auto_Country_Status,V54)</f>
        <v>1</v>
      </c>
      <c r="X54" cm="1">
        <f t="array" aca="1" ref="X54" ca="1">INDEX(sys_DataFlat_LU_Grid,$C$2,V54)</f>
        <v>28</v>
      </c>
      <c r="Y54" cm="1">
        <f t="array" aca="1" ref="Y54" ca="1">IF(W54=0,-1,INDEX(auto_DataFlat_Classification,X54,$C$3))</f>
        <v>3</v>
      </c>
      <c r="AA54" t="e">
        <f t="shared" ref="AA54:AF54" ca="1" si="68">IFERROR(AA53+MATCH(AA$11,OFFSET($Y$13,AA53,0,$C$10-AA53,1),0),NA())</f>
        <v>#N/A</v>
      </c>
      <c r="AB54" t="e">
        <f t="shared" ca="1" si="68"/>
        <v>#N/A</v>
      </c>
      <c r="AC54" t="e">
        <f t="shared" ca="1" si="68"/>
        <v>#N/A</v>
      </c>
      <c r="AD54" t="e">
        <f t="shared" ca="1" si="68"/>
        <v>#N/A</v>
      </c>
      <c r="AE54" t="e">
        <f t="shared" ca="1" si="68"/>
        <v>#N/A</v>
      </c>
      <c r="AF54" t="e">
        <f t="shared" ca="1" si="68"/>
        <v>#N/A</v>
      </c>
      <c r="AH54" cm="1">
        <f t="array" aca="1" ref="AH54" ca="1">IFERROR(INDEX(OFFSET($V$13,0,0,$C$10,1),AA54),0)</f>
        <v>0</v>
      </c>
      <c r="AI54" cm="1">
        <f t="array" aca="1" ref="AI54" ca="1">IFERROR(INDEX(OFFSET($V$13,0,0,$C$10,1),AB54),0)</f>
        <v>0</v>
      </c>
      <c r="AJ54" cm="1">
        <f t="array" aca="1" ref="AJ54" ca="1">IFERROR(INDEX(OFFSET($V$13,0,0,$C$10,1),AC54),0)</f>
        <v>0</v>
      </c>
      <c r="AK54" cm="1">
        <f t="array" aca="1" ref="AK54" ca="1">IFERROR(INDEX(OFFSET($V$13,0,0,$C$10,1),AD54),0)</f>
        <v>0</v>
      </c>
      <c r="AL54" cm="1">
        <f t="array" aca="1" ref="AL54" ca="1">IFERROR(INDEX(OFFSET($V$13,0,0,$C$10,1),AE54),0)</f>
        <v>0</v>
      </c>
      <c r="AM54" cm="1">
        <f t="array" aca="1" ref="AM54" ca="1">IFERROR(INDEX(OFFSET($V$13,0,0,$C$10,1),AF54),0)</f>
        <v>0</v>
      </c>
      <c r="AO54" cm="1">
        <f t="array" aca="1" ref="AO54" ca="1">IF(AH54=0,0,INDEX(sys_DataFlat_LU_Grid,$C$2,AH54))</f>
        <v>0</v>
      </c>
      <c r="AP54" cm="1">
        <f t="array" aca="1" ref="AP54" ca="1">IF(AI54=0,0,INDEX(sys_DataFlat_LU_Grid,$C$2,AI54))</f>
        <v>0</v>
      </c>
      <c r="AQ54" cm="1">
        <f t="array" aca="1" ref="AQ54" ca="1">IF(AJ54=0,0,INDEX(sys_DataFlat_LU_Grid,$C$2,AJ54))</f>
        <v>0</v>
      </c>
      <c r="AR54" cm="1">
        <f t="array" aca="1" ref="AR54" ca="1">IF(AK54=0,0,INDEX(sys_DataFlat_LU_Grid,$C$2,AK54))</f>
        <v>0</v>
      </c>
      <c r="AS54" cm="1">
        <f t="array" aca="1" ref="AS54" ca="1">IF(AL54=0,0,INDEX(sys_DataFlat_LU_Grid,$C$2,AL54))</f>
        <v>0</v>
      </c>
      <c r="AT54" cm="1">
        <f t="array" aca="1" ref="AT54" ca="1">IF(AM54=0,0,INDEX(sys_DataFlat_LU_Grid,$C$2,AM54))</f>
        <v>0</v>
      </c>
    </row>
    <row r="55" spans="1:46" x14ac:dyDescent="0.4">
      <c r="A55">
        <v>43</v>
      </c>
      <c r="B55">
        <v>43</v>
      </c>
      <c r="C55" cm="1">
        <f t="array" ref="C55">INDEX(auto_Country_Status,B55)</f>
        <v>1</v>
      </c>
      <c r="E55" cm="1">
        <f t="array" aca="1" ref="E55" ca="1">INDEX(sys_DataFlat_LU_Grid,$C$2,$B55)</f>
        <v>43</v>
      </c>
      <c r="F55" cm="1">
        <f t="array" aca="1" ref="F55" ca="1">INDEX(auto_DataFlat_Score,E55,$C$3)</f>
        <v>65.3</v>
      </c>
      <c r="G55" cm="1">
        <f t="array" aca="1" ref="G55" ca="1">INDEX(auto_DataFlat_DataValue,E55,$C$3)</f>
        <v>0</v>
      </c>
      <c r="H55">
        <f t="shared" ca="1" si="8"/>
        <v>65.3</v>
      </c>
      <c r="J55">
        <f t="shared" ref="J55" ca="1" si="69">IF($C55=0,-40000000,IFERROR(CHOOSE($C$5,H55,-H55),-30000000))</f>
        <v>65.3</v>
      </c>
      <c r="K55">
        <f t="shared" ca="1" si="9"/>
        <v>65.3</v>
      </c>
      <c r="L55">
        <f ca="1">RANK(K55,OFFSET(K$13,0,0,$C$10,1))+COUNTIF(K$13:K55,K55)-1</f>
        <v>24</v>
      </c>
      <c r="N55">
        <f t="shared" ca="1" si="5"/>
        <v>21</v>
      </c>
      <c r="O55" cm="1">
        <f t="array" aca="1" ref="O55" ca="1">INDEX(auto_Country_Status,N55)</f>
        <v>1</v>
      </c>
      <c r="P55" cm="1">
        <f t="array" aca="1" ref="P55" ca="1">INDEX(OFFSET($E$13,0,0,$C$10,1),N55)</f>
        <v>21</v>
      </c>
      <c r="Q55" t="str" cm="1">
        <f t="array" aca="1" ref="Q55" ca="1">INDEX(auto_Country_ISO,N55)</f>
        <v>KHI</v>
      </c>
      <c r="R55" cm="1">
        <f t="array" aca="1" ref="R55" ca="1">IF($O55=0,0,INDEX(auto_DataFlat_Classification,P55,$C$3))</f>
        <v>3</v>
      </c>
      <c r="T55">
        <f t="shared" ca="1" si="10"/>
        <v>65.3</v>
      </c>
      <c r="U55">
        <f ca="1">RANK(T55,OFFSET(T$13,0,0,$C$10,1))+COUNTIF(T$13:T55,T55)-1</f>
        <v>24</v>
      </c>
      <c r="V55">
        <f t="shared" ca="1" si="6"/>
        <v>21</v>
      </c>
      <c r="W55" cm="1">
        <f t="array" aca="1" ref="W55" ca="1">INDEX(auto_Country_Status,V55)</f>
        <v>1</v>
      </c>
      <c r="X55" cm="1">
        <f t="array" aca="1" ref="X55" ca="1">INDEX(sys_DataFlat_LU_Grid,$C$2,V55)</f>
        <v>21</v>
      </c>
      <c r="Y55" cm="1">
        <f t="array" aca="1" ref="Y55" ca="1">IF(W55=0,-1,INDEX(auto_DataFlat_Classification,X55,$C$3))</f>
        <v>3</v>
      </c>
      <c r="AA55" t="e">
        <f t="shared" ref="AA55:AF55" ca="1" si="70">IFERROR(AA54+MATCH(AA$11,OFFSET($Y$13,AA54,0,$C$10-AA54,1),0),NA())</f>
        <v>#N/A</v>
      </c>
      <c r="AB55" t="e">
        <f t="shared" ca="1" si="70"/>
        <v>#N/A</v>
      </c>
      <c r="AC55" t="e">
        <f t="shared" ca="1" si="70"/>
        <v>#N/A</v>
      </c>
      <c r="AD55" t="e">
        <f t="shared" ca="1" si="70"/>
        <v>#N/A</v>
      </c>
      <c r="AE55" t="e">
        <f t="shared" ca="1" si="70"/>
        <v>#N/A</v>
      </c>
      <c r="AF55" t="e">
        <f t="shared" ca="1" si="70"/>
        <v>#N/A</v>
      </c>
      <c r="AH55" cm="1">
        <f t="array" aca="1" ref="AH55" ca="1">IFERROR(INDEX(OFFSET($V$13,0,0,$C$10,1),AA55),0)</f>
        <v>0</v>
      </c>
      <c r="AI55" cm="1">
        <f t="array" aca="1" ref="AI55" ca="1">IFERROR(INDEX(OFFSET($V$13,0,0,$C$10,1),AB55),0)</f>
        <v>0</v>
      </c>
      <c r="AJ55" cm="1">
        <f t="array" aca="1" ref="AJ55" ca="1">IFERROR(INDEX(OFFSET($V$13,0,0,$C$10,1),AC55),0)</f>
        <v>0</v>
      </c>
      <c r="AK55" cm="1">
        <f t="array" aca="1" ref="AK55" ca="1">IFERROR(INDEX(OFFSET($V$13,0,0,$C$10,1),AD55),0)</f>
        <v>0</v>
      </c>
      <c r="AL55" cm="1">
        <f t="array" aca="1" ref="AL55" ca="1">IFERROR(INDEX(OFFSET($V$13,0,0,$C$10,1),AE55),0)</f>
        <v>0</v>
      </c>
      <c r="AM55" cm="1">
        <f t="array" aca="1" ref="AM55" ca="1">IFERROR(INDEX(OFFSET($V$13,0,0,$C$10,1),AF55),0)</f>
        <v>0</v>
      </c>
      <c r="AO55" cm="1">
        <f t="array" aca="1" ref="AO55" ca="1">IF(AH55=0,0,INDEX(sys_DataFlat_LU_Grid,$C$2,AH55))</f>
        <v>0</v>
      </c>
      <c r="AP55" cm="1">
        <f t="array" aca="1" ref="AP55" ca="1">IF(AI55=0,0,INDEX(sys_DataFlat_LU_Grid,$C$2,AI55))</f>
        <v>0</v>
      </c>
      <c r="AQ55" cm="1">
        <f t="array" aca="1" ref="AQ55" ca="1">IF(AJ55=0,0,INDEX(sys_DataFlat_LU_Grid,$C$2,AJ55))</f>
        <v>0</v>
      </c>
      <c r="AR55" cm="1">
        <f t="array" aca="1" ref="AR55" ca="1">IF(AK55=0,0,INDEX(sys_DataFlat_LU_Grid,$C$2,AK55))</f>
        <v>0</v>
      </c>
      <c r="AS55" cm="1">
        <f t="array" aca="1" ref="AS55" ca="1">IF(AL55=0,0,INDEX(sys_DataFlat_LU_Grid,$C$2,AL55))</f>
        <v>0</v>
      </c>
      <c r="AT55" cm="1">
        <f t="array" aca="1" ref="AT55" ca="1">IF(AM55=0,0,INDEX(sys_DataFlat_LU_Grid,$C$2,AM55))</f>
        <v>0</v>
      </c>
    </row>
    <row r="56" spans="1:46" x14ac:dyDescent="0.4">
      <c r="A56">
        <v>44</v>
      </c>
      <c r="B56">
        <v>44</v>
      </c>
      <c r="C56" cm="1">
        <f t="array" ref="C56">INDEX(auto_Country_Status,B56)</f>
        <v>1</v>
      </c>
      <c r="E56" cm="1">
        <f t="array" aca="1" ref="E56" ca="1">INDEX(sys_DataFlat_LU_Grid,$C$2,$B56)</f>
        <v>44</v>
      </c>
      <c r="F56" cm="1">
        <f t="array" aca="1" ref="F56" ca="1">INDEX(auto_DataFlat_Score,E56,$C$3)</f>
        <v>76.099999999999994</v>
      </c>
      <c r="G56" cm="1">
        <f t="array" aca="1" ref="G56" ca="1">INDEX(auto_DataFlat_DataValue,E56,$C$3)</f>
        <v>0</v>
      </c>
      <c r="H56">
        <f t="shared" ca="1" si="8"/>
        <v>76.099999999999994</v>
      </c>
      <c r="J56">
        <f ca="1">IF($C56=0,-40000000,IFERROR(CHOOSE($C$5,H56,-H56,#REF!,-#REF!),-30000000))</f>
        <v>76.099999999999994</v>
      </c>
      <c r="K56">
        <f t="shared" ca="1" si="9"/>
        <v>76.099999999999994</v>
      </c>
      <c r="L56">
        <f ca="1">RANK(K56,OFFSET(K$13,0,0,$C$10,1))+COUNTIF(K$13:K56,K56)-1</f>
        <v>7</v>
      </c>
      <c r="N56">
        <f t="shared" ca="1" si="5"/>
        <v>38</v>
      </c>
      <c r="O56" cm="1">
        <f t="array" aca="1" ref="O56" ca="1">INDEX(auto_Country_Status,N56)</f>
        <v>1</v>
      </c>
      <c r="P56" cm="1">
        <f t="array" aca="1" ref="P56" ca="1">INDEX(OFFSET($E$13,0,0,$C$10,1),N56)</f>
        <v>38</v>
      </c>
      <c r="Q56" t="str" cm="1">
        <f t="array" aca="1" ref="Q56" ca="1">INDEX(auto_Country_ISO,N56)</f>
        <v>RUH</v>
      </c>
      <c r="R56" cm="1">
        <f t="array" aca="1" ref="R56" ca="1">IF($O56=0,0,INDEX(auto_DataFlat_Classification,P56,$C$3))</f>
        <v>3</v>
      </c>
      <c r="T56">
        <f t="shared" ca="1" si="10"/>
        <v>76.099999999999994</v>
      </c>
      <c r="U56">
        <f ca="1">RANK(T56,OFFSET(T$13,0,0,$C$10,1))+COUNTIF(T$13:T56,T56)-1</f>
        <v>7</v>
      </c>
      <c r="V56">
        <f t="shared" ca="1" si="6"/>
        <v>38</v>
      </c>
      <c r="W56" cm="1">
        <f t="array" aca="1" ref="W56" ca="1">INDEX(auto_Country_Status,V56)</f>
        <v>1</v>
      </c>
      <c r="X56" cm="1">
        <f t="array" aca="1" ref="X56" ca="1">INDEX(sys_DataFlat_LU_Grid,$C$2,V56)</f>
        <v>38</v>
      </c>
      <c r="Y56" cm="1">
        <f t="array" aca="1" ref="Y56" ca="1">IF(W56=0,-1,INDEX(auto_DataFlat_Classification,X56,$C$3))</f>
        <v>3</v>
      </c>
      <c r="AA56" t="e">
        <f t="shared" ref="AA56:AF56" ca="1" si="71">IFERROR(AA55+MATCH(AA$11,OFFSET($Y$13,AA55,0,$C$10-AA55,1),0),NA())</f>
        <v>#N/A</v>
      </c>
      <c r="AB56" t="e">
        <f t="shared" ca="1" si="71"/>
        <v>#N/A</v>
      </c>
      <c r="AC56" t="e">
        <f t="shared" ca="1" si="71"/>
        <v>#N/A</v>
      </c>
      <c r="AD56" t="e">
        <f t="shared" ca="1" si="71"/>
        <v>#N/A</v>
      </c>
      <c r="AE56" t="e">
        <f t="shared" ca="1" si="71"/>
        <v>#N/A</v>
      </c>
      <c r="AF56" t="e">
        <f t="shared" ca="1" si="71"/>
        <v>#N/A</v>
      </c>
      <c r="AH56" cm="1">
        <f t="array" aca="1" ref="AH56" ca="1">IFERROR(INDEX(OFFSET($V$13,0,0,$C$10,1),AA56),0)</f>
        <v>0</v>
      </c>
      <c r="AI56" cm="1">
        <f t="array" aca="1" ref="AI56" ca="1">IFERROR(INDEX(OFFSET($V$13,0,0,$C$10,1),AB56),0)</f>
        <v>0</v>
      </c>
      <c r="AJ56" cm="1">
        <f t="array" aca="1" ref="AJ56" ca="1">IFERROR(INDEX(OFFSET($V$13,0,0,$C$10,1),AC56),0)</f>
        <v>0</v>
      </c>
      <c r="AK56" cm="1">
        <f t="array" aca="1" ref="AK56" ca="1">IFERROR(INDEX(OFFSET($V$13,0,0,$C$10,1),AD56),0)</f>
        <v>0</v>
      </c>
      <c r="AL56" cm="1">
        <f t="array" aca="1" ref="AL56" ca="1">IFERROR(INDEX(OFFSET($V$13,0,0,$C$10,1),AE56),0)</f>
        <v>0</v>
      </c>
      <c r="AM56" cm="1">
        <f t="array" aca="1" ref="AM56" ca="1">IFERROR(INDEX(OFFSET($V$13,0,0,$C$10,1),AF56),0)</f>
        <v>0</v>
      </c>
      <c r="AO56" cm="1">
        <f t="array" aca="1" ref="AO56" ca="1">IF(AH56=0,0,INDEX(sys_DataFlat_LU_Grid,$C$2,AH56))</f>
        <v>0</v>
      </c>
      <c r="AP56" cm="1">
        <f t="array" aca="1" ref="AP56" ca="1">IF(AI56=0,0,INDEX(sys_DataFlat_LU_Grid,$C$2,AI56))</f>
        <v>0</v>
      </c>
      <c r="AQ56" cm="1">
        <f t="array" aca="1" ref="AQ56" ca="1">IF(AJ56=0,0,INDEX(sys_DataFlat_LU_Grid,$C$2,AJ56))</f>
        <v>0</v>
      </c>
      <c r="AR56" cm="1">
        <f t="array" aca="1" ref="AR56" ca="1">IF(AK56=0,0,INDEX(sys_DataFlat_LU_Grid,$C$2,AK56))</f>
        <v>0</v>
      </c>
      <c r="AS56" cm="1">
        <f t="array" aca="1" ref="AS56" ca="1">IF(AL56=0,0,INDEX(sys_DataFlat_LU_Grid,$C$2,AL56))</f>
        <v>0</v>
      </c>
      <c r="AT56" cm="1">
        <f t="array" aca="1" ref="AT56" ca="1">IF(AM56=0,0,INDEX(sys_DataFlat_LU_Grid,$C$2,AM56))</f>
        <v>0</v>
      </c>
    </row>
    <row r="57" spans="1:46" x14ac:dyDescent="0.4">
      <c r="A57">
        <v>45</v>
      </c>
      <c r="B57">
        <v>45</v>
      </c>
      <c r="C57" cm="1">
        <f t="array" ref="C57">INDEX(auto_Country_Status,B57)</f>
        <v>1</v>
      </c>
      <c r="E57" cm="1">
        <f t="array" aca="1" ref="E57" ca="1">INDEX(sys_DataFlat_LU_Grid,$C$2,$B57)</f>
        <v>45</v>
      </c>
      <c r="F57" cm="1">
        <f t="array" aca="1" ref="F57" ca="1">INDEX(auto_DataFlat_Score,E57,$C$3)</f>
        <v>70.5</v>
      </c>
      <c r="G57" cm="1">
        <f t="array" aca="1" ref="G57" ca="1">INDEX(auto_DataFlat_DataValue,E57,$C$3)</f>
        <v>0</v>
      </c>
      <c r="H57">
        <f t="shared" ca="1" si="8"/>
        <v>70.5</v>
      </c>
      <c r="J57">
        <f t="shared" ref="J57" ca="1" si="72">IF($C57=0,-40000000,IFERROR(CHOOSE($C$5,H57,-H57),-30000000))</f>
        <v>70.5</v>
      </c>
      <c r="K57">
        <f t="shared" ca="1" si="9"/>
        <v>70.5</v>
      </c>
      <c r="L57">
        <f ca="1">RANK(K57,OFFSET(K$13,0,0,$C$10,1))+COUNTIF(K$13:K57,K57)-1</f>
        <v>17</v>
      </c>
      <c r="N57">
        <f t="shared" ca="1" si="5"/>
        <v>50</v>
      </c>
      <c r="O57" cm="1">
        <f t="array" aca="1" ref="O57" ca="1">INDEX(auto_Country_Status,N57)</f>
        <v>1</v>
      </c>
      <c r="P57" cm="1">
        <f t="array" aca="1" ref="P57" ca="1">INDEX(OFFSET($E$13,0,0,$C$10,1),N57)</f>
        <v>50</v>
      </c>
      <c r="Q57" t="str" cm="1">
        <f t="array" aca="1" ref="Q57" ca="1">INDEX(auto_Country_ISO,N57)</f>
        <v>RGN</v>
      </c>
      <c r="R57" cm="1">
        <f t="array" aca="1" ref="R57" ca="1">IF($O57=0,0,INDEX(auto_DataFlat_Classification,P57,$C$3))</f>
        <v>3</v>
      </c>
      <c r="T57">
        <f t="shared" ca="1" si="10"/>
        <v>70.5</v>
      </c>
      <c r="U57">
        <f ca="1">RANK(T57,OFFSET(T$13,0,0,$C$10,1))+COUNTIF(T$13:T57,T57)-1</f>
        <v>17</v>
      </c>
      <c r="V57">
        <f t="shared" ca="1" si="6"/>
        <v>50</v>
      </c>
      <c r="W57" cm="1">
        <f t="array" aca="1" ref="W57" ca="1">INDEX(auto_Country_Status,V57)</f>
        <v>1</v>
      </c>
      <c r="X57" cm="1">
        <f t="array" aca="1" ref="X57" ca="1">INDEX(sys_DataFlat_LU_Grid,$C$2,V57)</f>
        <v>50</v>
      </c>
      <c r="Y57" cm="1">
        <f t="array" aca="1" ref="Y57" ca="1">IF(W57=0,-1,INDEX(auto_DataFlat_Classification,X57,$C$3))</f>
        <v>3</v>
      </c>
      <c r="AA57" t="e">
        <f t="shared" ref="AA57:AF57" ca="1" si="73">IFERROR(AA56+MATCH(AA$11,OFFSET($Y$13,AA56,0,$C$10-AA56,1),0),NA())</f>
        <v>#N/A</v>
      </c>
      <c r="AB57" t="e">
        <f t="shared" ca="1" si="73"/>
        <v>#N/A</v>
      </c>
      <c r="AC57" t="e">
        <f t="shared" ca="1" si="73"/>
        <v>#N/A</v>
      </c>
      <c r="AD57" t="e">
        <f t="shared" ca="1" si="73"/>
        <v>#N/A</v>
      </c>
      <c r="AE57" t="e">
        <f t="shared" ca="1" si="73"/>
        <v>#N/A</v>
      </c>
      <c r="AF57" t="e">
        <f t="shared" ca="1" si="73"/>
        <v>#N/A</v>
      </c>
      <c r="AH57" cm="1">
        <f t="array" aca="1" ref="AH57" ca="1">IFERROR(INDEX(OFFSET($V$13,0,0,$C$10,1),AA57),0)</f>
        <v>0</v>
      </c>
      <c r="AI57" cm="1">
        <f t="array" aca="1" ref="AI57" ca="1">IFERROR(INDEX(OFFSET($V$13,0,0,$C$10,1),AB57),0)</f>
        <v>0</v>
      </c>
      <c r="AJ57" cm="1">
        <f t="array" aca="1" ref="AJ57" ca="1">IFERROR(INDEX(OFFSET($V$13,0,0,$C$10,1),AC57),0)</f>
        <v>0</v>
      </c>
      <c r="AK57" cm="1">
        <f t="array" aca="1" ref="AK57" ca="1">IFERROR(INDEX(OFFSET($V$13,0,0,$C$10,1),AD57),0)</f>
        <v>0</v>
      </c>
      <c r="AL57" cm="1">
        <f t="array" aca="1" ref="AL57" ca="1">IFERROR(INDEX(OFFSET($V$13,0,0,$C$10,1),AE57),0)</f>
        <v>0</v>
      </c>
      <c r="AM57" cm="1">
        <f t="array" aca="1" ref="AM57" ca="1">IFERROR(INDEX(OFFSET($V$13,0,0,$C$10,1),AF57),0)</f>
        <v>0</v>
      </c>
      <c r="AO57" cm="1">
        <f t="array" aca="1" ref="AO57" ca="1">IF(AH57=0,0,INDEX(sys_DataFlat_LU_Grid,$C$2,AH57))</f>
        <v>0</v>
      </c>
      <c r="AP57" cm="1">
        <f t="array" aca="1" ref="AP57" ca="1">IF(AI57=0,0,INDEX(sys_DataFlat_LU_Grid,$C$2,AI57))</f>
        <v>0</v>
      </c>
      <c r="AQ57" cm="1">
        <f t="array" aca="1" ref="AQ57" ca="1">IF(AJ57=0,0,INDEX(sys_DataFlat_LU_Grid,$C$2,AJ57))</f>
        <v>0</v>
      </c>
      <c r="AR57" cm="1">
        <f t="array" aca="1" ref="AR57" ca="1">IF(AK57=0,0,INDEX(sys_DataFlat_LU_Grid,$C$2,AK57))</f>
        <v>0</v>
      </c>
      <c r="AS57" cm="1">
        <f t="array" aca="1" ref="AS57" ca="1">IF(AL57=0,0,INDEX(sys_DataFlat_LU_Grid,$C$2,AL57))</f>
        <v>0</v>
      </c>
      <c r="AT57" cm="1">
        <f t="array" aca="1" ref="AT57" ca="1">IF(AM57=0,0,INDEX(sys_DataFlat_LU_Grid,$C$2,AM57))</f>
        <v>0</v>
      </c>
    </row>
    <row r="58" spans="1:46" x14ac:dyDescent="0.4">
      <c r="A58">
        <v>46</v>
      </c>
      <c r="B58">
        <v>46</v>
      </c>
      <c r="C58" cm="1">
        <f t="array" ref="C58">INDEX(auto_Country_Status,B58)</f>
        <v>1</v>
      </c>
      <c r="E58" cm="1">
        <f t="array" aca="1" ref="E58" ca="1">INDEX(sys_DataFlat_LU_Grid,$C$2,$B58)</f>
        <v>46</v>
      </c>
      <c r="F58" cm="1">
        <f t="array" aca="1" ref="F58" ca="1">INDEX(auto_DataFlat_Score,E58,$C$3)</f>
        <v>76.099999999999994</v>
      </c>
      <c r="G58" cm="1">
        <f t="array" aca="1" ref="G58" ca="1">INDEX(auto_DataFlat_DataValue,E58,$C$3)</f>
        <v>0</v>
      </c>
      <c r="H58">
        <f t="shared" ca="1" si="8"/>
        <v>76.099999999999994</v>
      </c>
      <c r="J58">
        <f ca="1">IF($C58=0,-40000000,IFERROR(CHOOSE($C$5,H58,-H58,#REF!,-#REF!),-30000000))</f>
        <v>76.099999999999994</v>
      </c>
      <c r="K58">
        <f t="shared" ca="1" si="9"/>
        <v>76.099999999999994</v>
      </c>
      <c r="L58">
        <f ca="1">RANK(K58,OFFSET(K$13,0,0,$C$10,1))+COUNTIF(K$13:K58,K58)-1</f>
        <v>8</v>
      </c>
      <c r="N58">
        <f t="shared" ca="1" si="5"/>
        <v>24</v>
      </c>
      <c r="O58" cm="1">
        <f t="array" aca="1" ref="O58" ca="1">INDEX(auto_Country_Status,N58)</f>
        <v>1</v>
      </c>
      <c r="P58" cm="1">
        <f t="array" aca="1" ref="P58" ca="1">INDEX(OFFSET($E$13,0,0,$C$10,1),N58)</f>
        <v>24</v>
      </c>
      <c r="Q58" t="str" cm="1">
        <f t="array" aca="1" ref="Q58" ca="1">INDEX(auto_Country_ISO,N58)</f>
        <v>KWI</v>
      </c>
      <c r="R58" cm="1">
        <f t="array" aca="1" ref="R58" ca="1">IF($O58=0,0,INDEX(auto_DataFlat_Classification,P58,$C$3))</f>
        <v>3</v>
      </c>
      <c r="T58">
        <f t="shared" ca="1" si="10"/>
        <v>76.099999999999994</v>
      </c>
      <c r="U58">
        <f ca="1">RANK(T58,OFFSET(T$13,0,0,$C$10,1))+COUNTIF(T$13:T58,T58)-1</f>
        <v>8</v>
      </c>
      <c r="V58">
        <f t="shared" ca="1" si="6"/>
        <v>24</v>
      </c>
      <c r="W58" cm="1">
        <f t="array" aca="1" ref="W58" ca="1">INDEX(auto_Country_Status,V58)</f>
        <v>1</v>
      </c>
      <c r="X58" cm="1">
        <f t="array" aca="1" ref="X58" ca="1">INDEX(sys_DataFlat_LU_Grid,$C$2,V58)</f>
        <v>24</v>
      </c>
      <c r="Y58" cm="1">
        <f t="array" aca="1" ref="Y58" ca="1">IF(W58=0,-1,INDEX(auto_DataFlat_Classification,X58,$C$3))</f>
        <v>3</v>
      </c>
      <c r="AA58" t="e">
        <f t="shared" ref="AA58:AF58" ca="1" si="74">IFERROR(AA57+MATCH(AA$11,OFFSET($Y$13,AA57,0,$C$10-AA57,1),0),NA())</f>
        <v>#N/A</v>
      </c>
      <c r="AB58" t="e">
        <f t="shared" ca="1" si="74"/>
        <v>#N/A</v>
      </c>
      <c r="AC58" t="e">
        <f t="shared" ca="1" si="74"/>
        <v>#N/A</v>
      </c>
      <c r="AD58" t="e">
        <f t="shared" ca="1" si="74"/>
        <v>#N/A</v>
      </c>
      <c r="AE58" t="e">
        <f t="shared" ca="1" si="74"/>
        <v>#N/A</v>
      </c>
      <c r="AF58" t="e">
        <f t="shared" ca="1" si="74"/>
        <v>#N/A</v>
      </c>
      <c r="AH58" cm="1">
        <f t="array" aca="1" ref="AH58" ca="1">IFERROR(INDEX(OFFSET($V$13,0,0,$C$10,1),AA58),0)</f>
        <v>0</v>
      </c>
      <c r="AI58" cm="1">
        <f t="array" aca="1" ref="AI58" ca="1">IFERROR(INDEX(OFFSET($V$13,0,0,$C$10,1),AB58),0)</f>
        <v>0</v>
      </c>
      <c r="AJ58" cm="1">
        <f t="array" aca="1" ref="AJ58" ca="1">IFERROR(INDEX(OFFSET($V$13,0,0,$C$10,1),AC58),0)</f>
        <v>0</v>
      </c>
      <c r="AK58" cm="1">
        <f t="array" aca="1" ref="AK58" ca="1">IFERROR(INDEX(OFFSET($V$13,0,0,$C$10,1),AD58),0)</f>
        <v>0</v>
      </c>
      <c r="AL58" cm="1">
        <f t="array" aca="1" ref="AL58" ca="1">IFERROR(INDEX(OFFSET($V$13,0,0,$C$10,1),AE58),0)</f>
        <v>0</v>
      </c>
      <c r="AM58" cm="1">
        <f t="array" aca="1" ref="AM58" ca="1">IFERROR(INDEX(OFFSET($V$13,0,0,$C$10,1),AF58),0)</f>
        <v>0</v>
      </c>
      <c r="AO58" cm="1">
        <f t="array" aca="1" ref="AO58" ca="1">IF(AH58=0,0,INDEX(sys_DataFlat_LU_Grid,$C$2,AH58))</f>
        <v>0</v>
      </c>
      <c r="AP58" cm="1">
        <f t="array" aca="1" ref="AP58" ca="1">IF(AI58=0,0,INDEX(sys_DataFlat_LU_Grid,$C$2,AI58))</f>
        <v>0</v>
      </c>
      <c r="AQ58" cm="1">
        <f t="array" aca="1" ref="AQ58" ca="1">IF(AJ58=0,0,INDEX(sys_DataFlat_LU_Grid,$C$2,AJ58))</f>
        <v>0</v>
      </c>
      <c r="AR58" cm="1">
        <f t="array" aca="1" ref="AR58" ca="1">IF(AK58=0,0,INDEX(sys_DataFlat_LU_Grid,$C$2,AK58))</f>
        <v>0</v>
      </c>
      <c r="AS58" cm="1">
        <f t="array" aca="1" ref="AS58" ca="1">IF(AL58=0,0,INDEX(sys_DataFlat_LU_Grid,$C$2,AL58))</f>
        <v>0</v>
      </c>
      <c r="AT58" cm="1">
        <f t="array" aca="1" ref="AT58" ca="1">IF(AM58=0,0,INDEX(sys_DataFlat_LU_Grid,$C$2,AM58))</f>
        <v>0</v>
      </c>
    </row>
    <row r="59" spans="1:46" x14ac:dyDescent="0.4">
      <c r="A59">
        <v>47</v>
      </c>
      <c r="B59">
        <v>47</v>
      </c>
      <c r="C59" cm="1">
        <f t="array" ref="C59">INDEX(auto_Country_Status,B59)</f>
        <v>1</v>
      </c>
      <c r="E59" cm="1">
        <f t="array" aca="1" ref="E59" ca="1">INDEX(sys_DataFlat_LU_Grid,$C$2,$B59)</f>
        <v>47</v>
      </c>
      <c r="F59" cm="1">
        <f t="array" aca="1" ref="F59" ca="1">INDEX(auto_DataFlat_Score,E59,$C$3)</f>
        <v>77</v>
      </c>
      <c r="G59" cm="1">
        <f t="array" aca="1" ref="G59" ca="1">INDEX(auto_DataFlat_DataValue,E59,$C$3)</f>
        <v>0</v>
      </c>
      <c r="H59">
        <f t="shared" ca="1" si="8"/>
        <v>77</v>
      </c>
      <c r="J59">
        <f t="shared" ref="J59" ca="1" si="75">IF($C59=0,-40000000,IFERROR(CHOOSE($C$5,H59,-H59),-30000000))</f>
        <v>77</v>
      </c>
      <c r="K59">
        <f t="shared" ca="1" si="9"/>
        <v>77</v>
      </c>
      <c r="L59">
        <f ca="1">RANK(K59,OFFSET(K$13,0,0,$C$10,1))+COUNTIF(K$13:K59,K59)-1</f>
        <v>6</v>
      </c>
      <c r="N59">
        <f t="shared" ca="1" si="5"/>
        <v>13</v>
      </c>
      <c r="O59" cm="1">
        <f t="array" aca="1" ref="O59" ca="1">INDEX(auto_Country_Status,N59)</f>
        <v>1</v>
      </c>
      <c r="P59" cm="1">
        <f t="array" aca="1" ref="P59" ca="1">INDEX(OFFSET($E$13,0,0,$C$10,1),N59)</f>
        <v>13</v>
      </c>
      <c r="Q59" t="str" cm="1">
        <f t="array" aca="1" ref="Q59" ca="1">INDEX(auto_Country_ISO,N59)</f>
        <v>DAC</v>
      </c>
      <c r="R59" cm="1">
        <f t="array" aca="1" ref="R59" ca="1">IF($O59=0,0,INDEX(auto_DataFlat_Classification,P59,$C$3))</f>
        <v>3</v>
      </c>
      <c r="T59">
        <f t="shared" ca="1" si="10"/>
        <v>77</v>
      </c>
      <c r="U59">
        <f ca="1">RANK(T59,OFFSET(T$13,0,0,$C$10,1))+COUNTIF(T$13:T59,T59)-1</f>
        <v>6</v>
      </c>
      <c r="V59">
        <f t="shared" ca="1" si="6"/>
        <v>13</v>
      </c>
      <c r="W59" cm="1">
        <f t="array" aca="1" ref="W59" ca="1">INDEX(auto_Country_Status,V59)</f>
        <v>1</v>
      </c>
      <c r="X59" cm="1">
        <f t="array" aca="1" ref="X59" ca="1">INDEX(sys_DataFlat_LU_Grid,$C$2,V59)</f>
        <v>13</v>
      </c>
      <c r="Y59" cm="1">
        <f t="array" aca="1" ref="Y59" ca="1">IF(W59=0,-1,INDEX(auto_DataFlat_Classification,X59,$C$3))</f>
        <v>3</v>
      </c>
      <c r="AA59" t="e">
        <f t="shared" ref="AA59:AF59" ca="1" si="76">IFERROR(AA58+MATCH(AA$11,OFFSET($Y$13,AA58,0,$C$10-AA58,1),0),NA())</f>
        <v>#N/A</v>
      </c>
      <c r="AB59" t="e">
        <f t="shared" ca="1" si="76"/>
        <v>#N/A</v>
      </c>
      <c r="AC59" t="e">
        <f t="shared" ca="1" si="76"/>
        <v>#N/A</v>
      </c>
      <c r="AD59" t="e">
        <f t="shared" ca="1" si="76"/>
        <v>#N/A</v>
      </c>
      <c r="AE59" t="e">
        <f t="shared" ca="1" si="76"/>
        <v>#N/A</v>
      </c>
      <c r="AF59" t="e">
        <f t="shared" ca="1" si="76"/>
        <v>#N/A</v>
      </c>
      <c r="AH59" cm="1">
        <f t="array" aca="1" ref="AH59" ca="1">IFERROR(INDEX(OFFSET($V$13,0,0,$C$10,1),AA59),0)</f>
        <v>0</v>
      </c>
      <c r="AI59" cm="1">
        <f t="array" aca="1" ref="AI59" ca="1">IFERROR(INDEX(OFFSET($V$13,0,0,$C$10,1),AB59),0)</f>
        <v>0</v>
      </c>
      <c r="AJ59" cm="1">
        <f t="array" aca="1" ref="AJ59" ca="1">IFERROR(INDEX(OFFSET($V$13,0,0,$C$10,1),AC59),0)</f>
        <v>0</v>
      </c>
      <c r="AK59" cm="1">
        <f t="array" aca="1" ref="AK59" ca="1">IFERROR(INDEX(OFFSET($V$13,0,0,$C$10,1),AD59),0)</f>
        <v>0</v>
      </c>
      <c r="AL59" cm="1">
        <f t="array" aca="1" ref="AL59" ca="1">IFERROR(INDEX(OFFSET($V$13,0,0,$C$10,1),AE59),0)</f>
        <v>0</v>
      </c>
      <c r="AM59" cm="1">
        <f t="array" aca="1" ref="AM59" ca="1">IFERROR(INDEX(OFFSET($V$13,0,0,$C$10,1),AF59),0)</f>
        <v>0</v>
      </c>
      <c r="AO59" cm="1">
        <f t="array" aca="1" ref="AO59" ca="1">IF(AH59=0,0,INDEX(sys_DataFlat_LU_Grid,$C$2,AH59))</f>
        <v>0</v>
      </c>
      <c r="AP59" cm="1">
        <f t="array" aca="1" ref="AP59" ca="1">IF(AI59=0,0,INDEX(sys_DataFlat_LU_Grid,$C$2,AI59))</f>
        <v>0</v>
      </c>
      <c r="AQ59" cm="1">
        <f t="array" aca="1" ref="AQ59" ca="1">IF(AJ59=0,0,INDEX(sys_DataFlat_LU_Grid,$C$2,AJ59))</f>
        <v>0</v>
      </c>
      <c r="AR59" cm="1">
        <f t="array" aca="1" ref="AR59" ca="1">IF(AK59=0,0,INDEX(sys_DataFlat_LU_Grid,$C$2,AK59))</f>
        <v>0</v>
      </c>
      <c r="AS59" cm="1">
        <f t="array" aca="1" ref="AS59" ca="1">IF(AL59=0,0,INDEX(sys_DataFlat_LU_Grid,$C$2,AL59))</f>
        <v>0</v>
      </c>
      <c r="AT59" cm="1">
        <f t="array" aca="1" ref="AT59" ca="1">IF(AM59=0,0,INDEX(sys_DataFlat_LU_Grid,$C$2,AM59))</f>
        <v>0</v>
      </c>
    </row>
    <row r="60" spans="1:46" x14ac:dyDescent="0.4">
      <c r="A60">
        <v>48</v>
      </c>
      <c r="B60">
        <v>48</v>
      </c>
      <c r="C60" cm="1">
        <f t="array" ref="C60">INDEX(auto_Country_Status,B60)</f>
        <v>1</v>
      </c>
      <c r="E60" cm="1">
        <f t="array" aca="1" ref="E60" ca="1">INDEX(sys_DataFlat_LU_Grid,$C$2,$B60)</f>
        <v>48</v>
      </c>
      <c r="F60" cm="1">
        <f t="array" aca="1" ref="F60" ca="1">INDEX(auto_DataFlat_Score,E60,$C$3)</f>
        <v>75.099999999999994</v>
      </c>
      <c r="G60" cm="1">
        <f t="array" aca="1" ref="G60" ca="1">INDEX(auto_DataFlat_DataValue,E60,$C$3)</f>
        <v>0</v>
      </c>
      <c r="H60">
        <f t="shared" ca="1" si="8"/>
        <v>75.099999999999994</v>
      </c>
      <c r="J60">
        <f ca="1">IF($C60=0,-40000000,IFERROR(CHOOSE($C$5,H60,-H60,#REF!,-#REF!),-30000000))</f>
        <v>75.099999999999994</v>
      </c>
      <c r="K60">
        <f t="shared" ca="1" si="9"/>
        <v>75.099999999999994</v>
      </c>
      <c r="L60">
        <f ca="1">RANK(K60,OFFSET(K$13,0,0,$C$10,1))+COUNTIF(K$13:K60,K60)-1</f>
        <v>12</v>
      </c>
      <c r="N60">
        <f t="shared" ca="1" si="5"/>
        <v>2</v>
      </c>
      <c r="O60" cm="1">
        <f t="array" aca="1" ref="O60" ca="1">INDEX(auto_Country_Status,N60)</f>
        <v>1</v>
      </c>
      <c r="P60" cm="1">
        <f t="array" aca="1" ref="P60" ca="1">INDEX(OFFSET($E$13,0,0,$C$10,1),N60)</f>
        <v>2</v>
      </c>
      <c r="Q60" t="str" cm="1">
        <f t="array" aca="1" ref="Q60" ca="1">INDEX(auto_Country_ISO,N60)</f>
        <v>UAY</v>
      </c>
      <c r="R60" cm="1">
        <f t="array" aca="1" ref="R60" ca="1">IF($O60=0,0,INDEX(auto_DataFlat_Classification,P60,$C$3))</f>
        <v>3</v>
      </c>
      <c r="T60">
        <f t="shared" ca="1" si="10"/>
        <v>75.099999999999994</v>
      </c>
      <c r="U60">
        <f ca="1">RANK(T60,OFFSET(T$13,0,0,$C$10,1))+COUNTIF(T$13:T60,T60)-1</f>
        <v>12</v>
      </c>
      <c r="V60">
        <f t="shared" ca="1" si="6"/>
        <v>2</v>
      </c>
      <c r="W60" cm="1">
        <f t="array" aca="1" ref="W60" ca="1">INDEX(auto_Country_Status,V60)</f>
        <v>1</v>
      </c>
      <c r="X60" cm="1">
        <f t="array" aca="1" ref="X60" ca="1">INDEX(sys_DataFlat_LU_Grid,$C$2,V60)</f>
        <v>2</v>
      </c>
      <c r="Y60" cm="1">
        <f t="array" aca="1" ref="Y60" ca="1">IF(W60=0,-1,INDEX(auto_DataFlat_Classification,X60,$C$3))</f>
        <v>3</v>
      </c>
      <c r="AA60" t="e">
        <f t="shared" ref="AA60:AF60" ca="1" si="77">IFERROR(AA59+MATCH(AA$11,OFFSET($Y$13,AA59,0,$C$10-AA59,1),0),NA())</f>
        <v>#N/A</v>
      </c>
      <c r="AB60" t="e">
        <f t="shared" ca="1" si="77"/>
        <v>#N/A</v>
      </c>
      <c r="AC60" t="e">
        <f t="shared" ca="1" si="77"/>
        <v>#N/A</v>
      </c>
      <c r="AD60" t="e">
        <f t="shared" ca="1" si="77"/>
        <v>#N/A</v>
      </c>
      <c r="AE60" t="e">
        <f t="shared" ca="1" si="77"/>
        <v>#N/A</v>
      </c>
      <c r="AF60" t="e">
        <f t="shared" ca="1" si="77"/>
        <v>#N/A</v>
      </c>
      <c r="AH60" cm="1">
        <f t="array" aca="1" ref="AH60" ca="1">IFERROR(INDEX(OFFSET($V$13,0,0,$C$10,1),AA60),0)</f>
        <v>0</v>
      </c>
      <c r="AI60" cm="1">
        <f t="array" aca="1" ref="AI60" ca="1">IFERROR(INDEX(OFFSET($V$13,0,0,$C$10,1),AB60),0)</f>
        <v>0</v>
      </c>
      <c r="AJ60" cm="1">
        <f t="array" aca="1" ref="AJ60" ca="1">IFERROR(INDEX(OFFSET($V$13,0,0,$C$10,1),AC60),0)</f>
        <v>0</v>
      </c>
      <c r="AK60" cm="1">
        <f t="array" aca="1" ref="AK60" ca="1">IFERROR(INDEX(OFFSET($V$13,0,0,$C$10,1),AD60),0)</f>
        <v>0</v>
      </c>
      <c r="AL60" cm="1">
        <f t="array" aca="1" ref="AL60" ca="1">IFERROR(INDEX(OFFSET($V$13,0,0,$C$10,1),AE60),0)</f>
        <v>0</v>
      </c>
      <c r="AM60" cm="1">
        <f t="array" aca="1" ref="AM60" ca="1">IFERROR(INDEX(OFFSET($V$13,0,0,$C$10,1),AF60),0)</f>
        <v>0</v>
      </c>
      <c r="AO60" cm="1">
        <f t="array" aca="1" ref="AO60" ca="1">IF(AH60=0,0,INDEX(sys_DataFlat_LU_Grid,$C$2,AH60))</f>
        <v>0</v>
      </c>
      <c r="AP60" cm="1">
        <f t="array" aca="1" ref="AP60" ca="1">IF(AI60=0,0,INDEX(sys_DataFlat_LU_Grid,$C$2,AI60))</f>
        <v>0</v>
      </c>
      <c r="AQ60" cm="1">
        <f t="array" aca="1" ref="AQ60" ca="1">IF(AJ60=0,0,INDEX(sys_DataFlat_LU_Grid,$C$2,AJ60))</f>
        <v>0</v>
      </c>
      <c r="AR60" cm="1">
        <f t="array" aca="1" ref="AR60" ca="1">IF(AK60=0,0,INDEX(sys_DataFlat_LU_Grid,$C$2,AK60))</f>
        <v>0</v>
      </c>
      <c r="AS60" cm="1">
        <f t="array" aca="1" ref="AS60" ca="1">IF(AL60=0,0,INDEX(sys_DataFlat_LU_Grid,$C$2,AL60))</f>
        <v>0</v>
      </c>
      <c r="AT60" cm="1">
        <f t="array" aca="1" ref="AT60" ca="1">IF(AM60=0,0,INDEX(sys_DataFlat_LU_Grid,$C$2,AM60))</f>
        <v>0</v>
      </c>
    </row>
    <row r="61" spans="1:46" x14ac:dyDescent="0.4">
      <c r="A61">
        <v>49</v>
      </c>
      <c r="B61">
        <v>49</v>
      </c>
      <c r="C61" cm="1">
        <f t="array" ref="C61">INDEX(auto_Country_Status,B61)</f>
        <v>1</v>
      </c>
      <c r="E61" cm="1">
        <f t="array" aca="1" ref="E61" ca="1">INDEX(sys_DataFlat_LU_Grid,$C$2,$B61)</f>
        <v>49</v>
      </c>
      <c r="F61" cm="1">
        <f t="array" aca="1" ref="F61" ca="1">INDEX(auto_DataFlat_Score,E61,$C$3)</f>
        <v>57.3</v>
      </c>
      <c r="G61" cm="1">
        <f t="array" aca="1" ref="G61" ca="1">INDEX(auto_DataFlat_DataValue,E61,$C$3)</f>
        <v>0</v>
      </c>
      <c r="H61">
        <f t="shared" ca="1" si="8"/>
        <v>57.3</v>
      </c>
      <c r="J61">
        <f t="shared" ref="J61" ca="1" si="78">IF($C61=0,-40000000,IFERROR(CHOOSE($C$5,H61,-H61),-30000000))</f>
        <v>57.3</v>
      </c>
      <c r="K61">
        <f t="shared" ca="1" si="9"/>
        <v>57.3</v>
      </c>
      <c r="L61">
        <f ca="1">RANK(K61,OFFSET(K$13,0,0,$C$10,1))+COUNTIF(K$13:K61,K61)-1</f>
        <v>32</v>
      </c>
      <c r="N61">
        <f t="shared" ca="1" si="5"/>
        <v>22</v>
      </c>
      <c r="O61" cm="1">
        <f t="array" aca="1" ref="O61" ca="1">INDEX(auto_Country_Status,N61)</f>
        <v>1</v>
      </c>
      <c r="P61" cm="1">
        <f t="array" aca="1" ref="P61" ca="1">INDEX(OFFSET($E$13,0,0,$C$10,1),N61)</f>
        <v>22</v>
      </c>
      <c r="Q61" t="str" cm="1">
        <f t="array" aca="1" ref="Q61" ca="1">INDEX(auto_Country_ISO,N61)</f>
        <v>KTM</v>
      </c>
      <c r="R61" cm="1">
        <f t="array" aca="1" ref="R61" ca="1">IF($O61=0,0,INDEX(auto_DataFlat_Classification,P61,$C$3))</f>
        <v>3</v>
      </c>
      <c r="T61">
        <f t="shared" ca="1" si="10"/>
        <v>57.3</v>
      </c>
      <c r="U61">
        <f ca="1">RANK(T61,OFFSET(T$13,0,0,$C$10,1))+COUNTIF(T$13:T61,T61)-1</f>
        <v>32</v>
      </c>
      <c r="V61">
        <f t="shared" ca="1" si="6"/>
        <v>22</v>
      </c>
      <c r="W61" cm="1">
        <f t="array" aca="1" ref="W61" ca="1">INDEX(auto_Country_Status,V61)</f>
        <v>1</v>
      </c>
      <c r="X61" cm="1">
        <f t="array" aca="1" ref="X61" ca="1">INDEX(sys_DataFlat_LU_Grid,$C$2,V61)</f>
        <v>22</v>
      </c>
      <c r="Y61" cm="1">
        <f t="array" aca="1" ref="Y61" ca="1">IF(W61=0,-1,INDEX(auto_DataFlat_Classification,X61,$C$3))</f>
        <v>3</v>
      </c>
      <c r="AA61" t="e">
        <f t="shared" ref="AA61:AF61" ca="1" si="79">IFERROR(AA60+MATCH(AA$11,OFFSET($Y$13,AA60,0,$C$10-AA60,1),0),NA())</f>
        <v>#N/A</v>
      </c>
      <c r="AB61" t="e">
        <f t="shared" ca="1" si="79"/>
        <v>#N/A</v>
      </c>
      <c r="AC61" t="e">
        <f t="shared" ca="1" si="79"/>
        <v>#N/A</v>
      </c>
      <c r="AD61" t="e">
        <f t="shared" ca="1" si="79"/>
        <v>#N/A</v>
      </c>
      <c r="AE61" t="e">
        <f t="shared" ca="1" si="79"/>
        <v>#N/A</v>
      </c>
      <c r="AF61" t="e">
        <f t="shared" ca="1" si="79"/>
        <v>#N/A</v>
      </c>
      <c r="AH61" cm="1">
        <f t="array" aca="1" ref="AH61" ca="1">IFERROR(INDEX(OFFSET($V$13,0,0,$C$10,1),AA61),0)</f>
        <v>0</v>
      </c>
      <c r="AI61" cm="1">
        <f t="array" aca="1" ref="AI61" ca="1">IFERROR(INDEX(OFFSET($V$13,0,0,$C$10,1),AB61),0)</f>
        <v>0</v>
      </c>
      <c r="AJ61" cm="1">
        <f t="array" aca="1" ref="AJ61" ca="1">IFERROR(INDEX(OFFSET($V$13,0,0,$C$10,1),AC61),0)</f>
        <v>0</v>
      </c>
      <c r="AK61" cm="1">
        <f t="array" aca="1" ref="AK61" ca="1">IFERROR(INDEX(OFFSET($V$13,0,0,$C$10,1),AD61),0)</f>
        <v>0</v>
      </c>
      <c r="AL61" cm="1">
        <f t="array" aca="1" ref="AL61" ca="1">IFERROR(INDEX(OFFSET($V$13,0,0,$C$10,1),AE61),0)</f>
        <v>0</v>
      </c>
      <c r="AM61" cm="1">
        <f t="array" aca="1" ref="AM61" ca="1">IFERROR(INDEX(OFFSET($V$13,0,0,$C$10,1),AF61),0)</f>
        <v>0</v>
      </c>
      <c r="AO61" cm="1">
        <f t="array" aca="1" ref="AO61" ca="1">IF(AH61=0,0,INDEX(sys_DataFlat_LU_Grid,$C$2,AH61))</f>
        <v>0</v>
      </c>
      <c r="AP61" cm="1">
        <f t="array" aca="1" ref="AP61" ca="1">IF(AI61=0,0,INDEX(sys_DataFlat_LU_Grid,$C$2,AI61))</f>
        <v>0</v>
      </c>
      <c r="AQ61" cm="1">
        <f t="array" aca="1" ref="AQ61" ca="1">IF(AJ61=0,0,INDEX(sys_DataFlat_LU_Grid,$C$2,AJ61))</f>
        <v>0</v>
      </c>
      <c r="AR61" cm="1">
        <f t="array" aca="1" ref="AR61" ca="1">IF(AK61=0,0,INDEX(sys_DataFlat_LU_Grid,$C$2,AK61))</f>
        <v>0</v>
      </c>
      <c r="AS61" cm="1">
        <f t="array" aca="1" ref="AS61" ca="1">IF(AL61=0,0,INDEX(sys_DataFlat_LU_Grid,$C$2,AL61))</f>
        <v>0</v>
      </c>
      <c r="AT61" cm="1">
        <f t="array" aca="1" ref="AT61" ca="1">IF(AM61=0,0,INDEX(sys_DataFlat_LU_Grid,$C$2,AM61))</f>
        <v>0</v>
      </c>
    </row>
    <row r="62" spans="1:46" x14ac:dyDescent="0.4">
      <c r="A62">
        <v>50</v>
      </c>
      <c r="B62">
        <v>50</v>
      </c>
      <c r="C62" cm="1">
        <f t="array" ref="C62">INDEX(auto_Country_Status,B62)</f>
        <v>1</v>
      </c>
      <c r="E62" cm="1">
        <f t="array" aca="1" ref="E62" ca="1">INDEX(sys_DataFlat_LU_Grid,$C$2,$B62)</f>
        <v>50</v>
      </c>
      <c r="F62" cm="1">
        <f t="array" aca="1" ref="F62" ca="1">INDEX(auto_DataFlat_Score,E62,$C$3)</f>
        <v>43.5</v>
      </c>
      <c r="G62" cm="1">
        <f t="array" aca="1" ref="G62" ca="1">INDEX(auto_DataFlat_DataValue,E62,$C$3)</f>
        <v>0</v>
      </c>
      <c r="H62">
        <f t="shared" ca="1" si="8"/>
        <v>43.5</v>
      </c>
      <c r="J62">
        <f ca="1">IF($C62=0,-40000000,IFERROR(CHOOSE($C$5,H62,-H62,#REF!,-#REF!),-30000000))</f>
        <v>43.5</v>
      </c>
      <c r="K62">
        <f t="shared" ca="1" si="9"/>
        <v>43.5</v>
      </c>
      <c r="L62">
        <f ca="1">RANK(K62,OFFSET(K$13,0,0,$C$10,1))+COUNTIF(K$13:K62,K62)-1</f>
        <v>45</v>
      </c>
      <c r="N62">
        <f t="shared" ca="1" si="5"/>
        <v>10</v>
      </c>
      <c r="O62" cm="1">
        <f t="array" aca="1" ref="O62" ca="1">INDEX(auto_Country_Status,N62)</f>
        <v>1</v>
      </c>
      <c r="P62" cm="1">
        <f t="array" aca="1" ref="P62" ca="1">INDEX(OFFSET($E$13,0,0,$C$10,1),N62)</f>
        <v>10</v>
      </c>
      <c r="Q62" t="str" cm="1">
        <f t="array" aca="1" ref="Q62" ca="1">INDEX(auto_Country_ISO,N62)</f>
        <v>CJR</v>
      </c>
      <c r="R62" cm="1">
        <f t="array" aca="1" ref="R62" ca="1">IF($O62=0,0,INDEX(auto_DataFlat_Classification,P62,$C$3))</f>
        <v>3</v>
      </c>
      <c r="T62">
        <f t="shared" ca="1" si="10"/>
        <v>43.5</v>
      </c>
      <c r="U62">
        <f ca="1">RANK(T62,OFFSET(T$13,0,0,$C$10,1))+COUNTIF(T$13:T62,T62)-1</f>
        <v>45</v>
      </c>
      <c r="V62">
        <f t="shared" ca="1" si="6"/>
        <v>10</v>
      </c>
      <c r="W62" cm="1">
        <f t="array" aca="1" ref="W62" ca="1">INDEX(auto_Country_Status,V62)</f>
        <v>1</v>
      </c>
      <c r="X62" cm="1">
        <f t="array" aca="1" ref="X62" ca="1">INDEX(sys_DataFlat_LU_Grid,$C$2,V62)</f>
        <v>10</v>
      </c>
      <c r="Y62" cm="1">
        <f t="array" aca="1" ref="Y62" ca="1">IF(W62=0,-1,INDEX(auto_DataFlat_Classification,X62,$C$3))</f>
        <v>3</v>
      </c>
      <c r="AA62" t="e">
        <f t="shared" ref="AA62:AF62" ca="1" si="80">IFERROR(AA61+MATCH(AA$11,OFFSET($Y$13,AA61,0,$C$10-AA61,1),0),NA())</f>
        <v>#N/A</v>
      </c>
      <c r="AB62" t="e">
        <f t="shared" ca="1" si="80"/>
        <v>#N/A</v>
      </c>
      <c r="AC62" t="e">
        <f t="shared" ca="1" si="80"/>
        <v>#N/A</v>
      </c>
      <c r="AD62" t="e">
        <f t="shared" ca="1" si="80"/>
        <v>#N/A</v>
      </c>
      <c r="AE62" t="e">
        <f t="shared" ca="1" si="80"/>
        <v>#N/A</v>
      </c>
      <c r="AF62" t="e">
        <f t="shared" ca="1" si="80"/>
        <v>#N/A</v>
      </c>
      <c r="AH62" cm="1">
        <f t="array" aca="1" ref="AH62" ca="1">IFERROR(INDEX(OFFSET($V$13,0,0,$C$10,1),AA62),0)</f>
        <v>0</v>
      </c>
      <c r="AI62" cm="1">
        <f t="array" aca="1" ref="AI62" ca="1">IFERROR(INDEX(OFFSET($V$13,0,0,$C$10,1),AB62),0)</f>
        <v>0</v>
      </c>
      <c r="AJ62" cm="1">
        <f t="array" aca="1" ref="AJ62" ca="1">IFERROR(INDEX(OFFSET($V$13,0,0,$C$10,1),AC62),0)</f>
        <v>0</v>
      </c>
      <c r="AK62" cm="1">
        <f t="array" aca="1" ref="AK62" ca="1">IFERROR(INDEX(OFFSET($V$13,0,0,$C$10,1),AD62),0)</f>
        <v>0</v>
      </c>
      <c r="AL62" cm="1">
        <f t="array" aca="1" ref="AL62" ca="1">IFERROR(INDEX(OFFSET($V$13,0,0,$C$10,1),AE62),0)</f>
        <v>0</v>
      </c>
      <c r="AM62" cm="1">
        <f t="array" aca="1" ref="AM62" ca="1">IFERROR(INDEX(OFFSET($V$13,0,0,$C$10,1),AF62),0)</f>
        <v>0</v>
      </c>
      <c r="AO62" cm="1">
        <f t="array" aca="1" ref="AO62" ca="1">IF(AH62=0,0,INDEX(sys_DataFlat_LU_Grid,$C$2,AH62))</f>
        <v>0</v>
      </c>
      <c r="AP62" cm="1">
        <f t="array" aca="1" ref="AP62" ca="1">IF(AI62=0,0,INDEX(sys_DataFlat_LU_Grid,$C$2,AI62))</f>
        <v>0</v>
      </c>
      <c r="AQ62" cm="1">
        <f t="array" aca="1" ref="AQ62" ca="1">IF(AJ62=0,0,INDEX(sys_DataFlat_LU_Grid,$C$2,AJ62))</f>
        <v>0</v>
      </c>
      <c r="AR62" cm="1">
        <f t="array" aca="1" ref="AR62" ca="1">IF(AK62=0,0,INDEX(sys_DataFlat_LU_Grid,$C$2,AK62))</f>
        <v>0</v>
      </c>
      <c r="AS62" cm="1">
        <f t="array" aca="1" ref="AS62" ca="1">IF(AL62=0,0,INDEX(sys_DataFlat_LU_Grid,$C$2,AL62))</f>
        <v>0</v>
      </c>
      <c r="AT62" cm="1">
        <f t="array" aca="1" ref="AT62" ca="1">IF(AM62=0,0,INDEX(sys_DataFlat_LU_Grid,$C$2,AM62))</f>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79B89-15DD-4CE8-A742-1CFA49081950}">
  <sheetPr codeName="Sheet58">
    <tabColor rgb="FF7030A0"/>
  </sheetPr>
  <dimension ref="A1:BG64"/>
  <sheetViews>
    <sheetView workbookViewId="0">
      <selection activeCell="T29" sqref="T29"/>
    </sheetView>
  </sheetViews>
  <sheetFormatPr defaultColWidth="9.15234375" defaultRowHeight="14.6" x14ac:dyDescent="0.4"/>
  <cols>
    <col min="1" max="1" width="3" customWidth="1"/>
    <col min="2" max="2" width="25.15234375" customWidth="1"/>
    <col min="4" max="4" width="4.3828125" customWidth="1"/>
    <col min="8" max="10" width="9.69140625" customWidth="1"/>
    <col min="19" max="20" width="5.3828125" customWidth="1"/>
    <col min="21" max="33" width="3.53515625" customWidth="1"/>
    <col min="35" max="35" width="4.84375" customWidth="1"/>
    <col min="36" max="36" width="5.3828125" customWidth="1"/>
    <col min="37" max="43" width="4.3828125" customWidth="1"/>
    <col min="44" max="44" width="5.3046875" customWidth="1"/>
    <col min="45" max="51" width="3.3046875" customWidth="1"/>
    <col min="52" max="52" width="10.3828125" customWidth="1"/>
    <col min="53" max="53" width="8.3046875" customWidth="1"/>
    <col min="54" max="54" width="2.53515625" customWidth="1"/>
    <col min="55" max="55" width="5.53515625" customWidth="1"/>
    <col min="56" max="59" width="2.53515625" customWidth="1"/>
  </cols>
  <sheetData>
    <row r="1" spans="1:59" x14ac:dyDescent="0.4">
      <c r="A1" t="s">
        <v>163</v>
      </c>
      <c r="D1" t="s">
        <v>164</v>
      </c>
    </row>
    <row r="2" spans="1:59" x14ac:dyDescent="0.4">
      <c r="B2" t="s">
        <v>66</v>
      </c>
      <c r="C2">
        <f ca="1">uxbGlobals!$B$452</f>
        <v>1</v>
      </c>
      <c r="D2" t="s">
        <v>218</v>
      </c>
    </row>
    <row r="3" spans="1:59" x14ac:dyDescent="0.4">
      <c r="B3" t="s">
        <v>815</v>
      </c>
      <c r="C3">
        <f ca="1">uxbGlobals!$B$468</f>
        <v>0</v>
      </c>
    </row>
    <row r="4" spans="1:59" x14ac:dyDescent="0.4">
      <c r="B4" t="s">
        <v>816</v>
      </c>
      <c r="C4">
        <f ca="1">uxbGlobals!$B$469</f>
        <v>0</v>
      </c>
    </row>
    <row r="5" spans="1:59" x14ac:dyDescent="0.4">
      <c r="B5" t="s">
        <v>207</v>
      </c>
      <c r="C5">
        <f>uxbGlobals!$B$321</f>
        <v>1</v>
      </c>
      <c r="AI5" t="s">
        <v>1216</v>
      </c>
    </row>
    <row r="6" spans="1:59" x14ac:dyDescent="0.4">
      <c r="B6" t="s">
        <v>208</v>
      </c>
      <c r="C6">
        <f>uxbGlobals!$B$325</f>
        <v>1</v>
      </c>
      <c r="AI6" t="s">
        <v>1252</v>
      </c>
    </row>
    <row r="7" spans="1:59" x14ac:dyDescent="0.4">
      <c r="B7" t="s">
        <v>222</v>
      </c>
      <c r="C7">
        <v>1</v>
      </c>
      <c r="E7" t="s">
        <v>1259</v>
      </c>
      <c r="AI7" t="s">
        <v>1253</v>
      </c>
      <c r="AZ7" t="s">
        <v>1289</v>
      </c>
      <c r="BA7" t="str">
        <f ca="1">_xlfn.TEXTJOIN(", ",TRUE,OFFSET(BA$15,0,0,$C$12,1))</f>
        <v/>
      </c>
      <c r="BB7" t="str">
        <f t="shared" ref="BB7:BG7" ca="1" si="0">_xlfn.TEXTJOIN(", ",TRUE,OFFSET(BB$15,0,0,$C$12,1))</f>
        <v/>
      </c>
      <c r="BC7" t="str">
        <f t="shared" ca="1" si="0"/>
        <v/>
      </c>
      <c r="BD7" t="str">
        <f t="shared" ca="1" si="0"/>
        <v>Addis Ababa, Algiers, Cairo, Colombo, Delhi, Dhaka, Johannesburg, Karachi, Kathmandu, Kolkata, Kuwait City, Lagos, Manila, Mumbai, Nairobi, Phnom Penh, Riyadh, Wuhan, Yangon</v>
      </c>
      <c r="BE7" t="str">
        <f t="shared" ca="1" si="0"/>
        <v>Atlanta, Auckland, Bangkok, Beijing, Berlin, Bogotá, Budapest, Dubai, Helsinki, Ho Chi Minh City, Istanbul, Jakarta, Madrid, Melbourne, Mexico City, Moscow, New York City, Osaka, Paris, Rome, San Francisco, São Paulo, Seoul, Shanghai, Singapore, Sydney, Tokyo, Toronto, Vienna</v>
      </c>
      <c r="BF7" t="str">
        <f t="shared" ca="1" si="0"/>
        <v>Hong Kong, London</v>
      </c>
      <c r="BG7" t="str">
        <f t="shared" ca="1" si="0"/>
        <v/>
      </c>
    </row>
    <row r="8" spans="1:59" x14ac:dyDescent="0.4">
      <c r="B8" t="s">
        <v>227</v>
      </c>
      <c r="C8">
        <f ca="1">uxbGlobals!$B$458</f>
        <v>0</v>
      </c>
      <c r="U8" t="s">
        <v>1214</v>
      </c>
      <c r="AK8">
        <v>1</v>
      </c>
      <c r="AL8">
        <v>2</v>
      </c>
      <c r="AM8">
        <v>3</v>
      </c>
      <c r="AN8">
        <v>4</v>
      </c>
      <c r="AO8">
        <v>5</v>
      </c>
      <c r="AP8">
        <v>6</v>
      </c>
      <c r="AQ8">
        <v>7</v>
      </c>
      <c r="AZ8" t="s">
        <v>1290</v>
      </c>
      <c r="BA8" t="str" cm="1">
        <f t="array" aca="1" ref="BA8" ca="1">IF(ISERROR(BA7),TEXTJOIN_SURROGATE(", ",TRUE,OFFSET(BA$15,0,0,$C$12,1)),BA7)</f>
        <v/>
      </c>
      <c r="BB8" t="str" cm="1">
        <f t="array" aca="1" ref="BB8" ca="1">IF(ISERROR(BB7),TEXTJOIN_SURROGATE(", ",TRUE,OFFSET(BB$15,0,0,$C$12,1)),BB7)</f>
        <v/>
      </c>
      <c r="BC8" t="str" cm="1">
        <f t="array" aca="1" ref="BC8" ca="1">IF(ISERROR(BC7),TEXTJOIN_SURROGATE(", ",TRUE,OFFSET(BC$15,0,0,$C$12,1)),BC7)</f>
        <v/>
      </c>
      <c r="BD8" t="str" cm="1">
        <f t="array" aca="1" ref="BD8" ca="1">IF(ISERROR(BD7),TEXTJOIN_SURROGATE(", ",TRUE,OFFSET(BD$15,0,0,$C$12,1)),BD7)</f>
        <v>Addis Ababa, Algiers, Cairo, Colombo, Delhi, Dhaka, Johannesburg, Karachi, Kathmandu, Kolkata, Kuwait City, Lagos, Manila, Mumbai, Nairobi, Phnom Penh, Riyadh, Wuhan, Yangon</v>
      </c>
      <c r="BE8" t="str" cm="1">
        <f t="array" aca="1" ref="BE8" ca="1">IF(ISERROR(BE7),TEXTJOIN_SURROGATE(", ",TRUE,OFFSET(BE$15,0,0,$C$12,1)),BE7)</f>
        <v>Atlanta, Auckland, Bangkok, Beijing, Berlin, Bogotá, Budapest, Dubai, Helsinki, Ho Chi Minh City, Istanbul, Jakarta, Madrid, Melbourne, Mexico City, Moscow, New York City, Osaka, Paris, Rome, San Francisco, São Paulo, Seoul, Shanghai, Singapore, Sydney, Tokyo, Toronto, Vienna</v>
      </c>
      <c r="BF8" t="str" cm="1">
        <f t="array" aca="1" ref="BF8" ca="1">IF(ISERROR(BF7),TEXTJOIN_SURROGATE(", ",TRUE,OFFSET(BF$15,0,0,$C$12,1)),BF7)</f>
        <v>Hong Kong, London</v>
      </c>
      <c r="BG8" t="str" cm="1">
        <f t="array" aca="1" ref="BG8" ca="1">IF(ISERROR(BG7),TEXTJOIN_SURROGATE(", ",TRUE,OFFSET(BG$15,0,0,$C$12,1)),BG7)</f>
        <v/>
      </c>
    </row>
    <row r="9" spans="1:59" x14ac:dyDescent="0.4">
      <c r="B9" t="s">
        <v>67</v>
      </c>
      <c r="C9">
        <f ca="1">uxbGlobals!$B$454</f>
        <v>0</v>
      </c>
      <c r="U9" t="s">
        <v>1215</v>
      </c>
      <c r="AI9" t="s">
        <v>1254</v>
      </c>
      <c r="AK9" t="str" cm="1">
        <f t="array" ref="AK9">IFERROR(INDEX(uxbGlobals!$B$168:$B$173,AK$8),"n/a")</f>
        <v>Data not available</v>
      </c>
      <c r="AL9" t="str" cm="1">
        <f t="array" ref="AL9">IFERROR(INDEX(uxbGlobals!$B$168:$B$173,AL$8),"n/a")</f>
        <v>Score 0-19.9</v>
      </c>
      <c r="AM9" t="str" cm="1">
        <f t="array" ref="AM9">IFERROR(INDEX(uxbGlobals!$B$168:$B$173,AM$8),"n/a")</f>
        <v>Score 20.0-39.9</v>
      </c>
      <c r="AN9" t="str" cm="1">
        <f t="array" ref="AN9">IFERROR(INDEX(uxbGlobals!$B$168:$B$173,AN$8),"n/a")</f>
        <v>Score 40.0-59.9</v>
      </c>
      <c r="AO9" t="str" cm="1">
        <f t="array" ref="AO9">IFERROR(INDEX(uxbGlobals!$B$168:$B$173,AO$8),"n/a")</f>
        <v>Score 60.0-79.9</v>
      </c>
      <c r="AP9" t="str" cm="1">
        <f t="array" ref="AP9">IFERROR(INDEX(uxbGlobals!$B$168:$B$173,AP$8),"n/a")</f>
        <v>Score 80.0-100.0</v>
      </c>
      <c r="AQ9" t="str" cm="1">
        <f t="array" ref="AQ9">IFERROR(INDEX(uxbGlobals!$B$168:$B$173,AQ$8),"n/a")</f>
        <v>n/a</v>
      </c>
      <c r="AZ9" t="s">
        <v>1291</v>
      </c>
      <c r="BA9" t="str">
        <f ca="1">IF(ISERROR(BA7),BA8,BA7)</f>
        <v/>
      </c>
      <c r="BB9" t="str">
        <f t="shared" ref="BB9:BG9" ca="1" si="1">IF(ISERROR(BB7),BB8,BB7)</f>
        <v/>
      </c>
      <c r="BC9" t="str">
        <f t="shared" ca="1" si="1"/>
        <v/>
      </c>
      <c r="BD9" t="str">
        <f t="shared" ca="1" si="1"/>
        <v>Addis Ababa, Algiers, Cairo, Colombo, Delhi, Dhaka, Johannesburg, Karachi, Kathmandu, Kolkata, Kuwait City, Lagos, Manila, Mumbai, Nairobi, Phnom Penh, Riyadh, Wuhan, Yangon</v>
      </c>
      <c r="BE9" t="str">
        <f t="shared" ca="1" si="1"/>
        <v>Atlanta, Auckland, Bangkok, Beijing, Berlin, Bogotá, Budapest, Dubai, Helsinki, Ho Chi Minh City, Istanbul, Jakarta, Madrid, Melbourne, Mexico City, Moscow, New York City, Osaka, Paris, Rome, San Francisco, São Paulo, Seoul, Shanghai, Singapore, Sydney, Tokyo, Toronto, Vienna</v>
      </c>
      <c r="BF9" t="str">
        <f t="shared" ca="1" si="1"/>
        <v>Hong Kong, London</v>
      </c>
      <c r="BG9" t="str">
        <f t="shared" ca="1" si="1"/>
        <v/>
      </c>
    </row>
    <row r="10" spans="1:59" x14ac:dyDescent="0.4">
      <c r="B10" t="s">
        <v>230</v>
      </c>
      <c r="C10">
        <f ca="1">uxbGlobals!$B$472</f>
        <v>1</v>
      </c>
      <c r="AB10" t="s">
        <v>936</v>
      </c>
      <c r="AI10" t="s">
        <v>1255</v>
      </c>
      <c r="AK10" t="str" cm="1">
        <f t="array" aca="1" ref="AK10" ca="1">IF(AK$8&gt;$C$4+1,"n/a",CONCATENATE(INDEX(auto_Series_MultipleChoiceOptions,$C$2,AK$8)))</f>
        <v/>
      </c>
      <c r="AL10" t="str" cm="1">
        <f t="array" aca="1" ref="AL10" ca="1">IF(AL$8&gt;$C$4+1,"n/a",CONCATENATE(INDEX(auto_Series_MultipleChoiceOptions,$C$2,AL$8)))</f>
        <v>n/a</v>
      </c>
      <c r="AM10" t="str" cm="1">
        <f t="array" aca="1" ref="AM10" ca="1">IF(AM$8&gt;$C$4+1,"n/a",CONCATENATE(INDEX(auto_Series_MultipleChoiceOptions,$C$2,AM$8)))</f>
        <v>n/a</v>
      </c>
      <c r="AN10" t="str" cm="1">
        <f t="array" aca="1" ref="AN10" ca="1">IF(AN$8&gt;$C$4+1,"n/a",CONCATENATE(INDEX(auto_Series_MultipleChoiceOptions,$C$2,AN$8)))</f>
        <v>n/a</v>
      </c>
      <c r="AO10" t="str" cm="1">
        <f t="array" aca="1" ref="AO10" ca="1">IF(AO$8&gt;$C$4+1,"n/a",CONCATENATE(INDEX(auto_Series_MultipleChoiceOptions,$C$2,AO$8)))</f>
        <v>n/a</v>
      </c>
      <c r="AP10" t="str" cm="1">
        <f t="array" aca="1" ref="AP10" ca="1">IF(AP$8&gt;$C$4+1,"n/a",CONCATENATE(INDEX(auto_Series_MultipleChoiceOptions,$C$2,AP$8)))</f>
        <v>n/a</v>
      </c>
      <c r="AQ10" t="str" cm="1">
        <f t="array" aca="1" ref="AQ10" ca="1">IF(AQ$8&gt;$C$4+1,"n/a",CONCATENATE(INDEX(auto_Series_MultipleChoiceOptions,$C$2,AQ$8)))</f>
        <v>n/a</v>
      </c>
      <c r="AS10" t="s">
        <v>936</v>
      </c>
      <c r="BA10" t="str">
        <f ca="1">IF(BA9="","&lt;no countries&gt;",TRIM(BA9))</f>
        <v>&lt;no countries&gt;</v>
      </c>
      <c r="BB10" t="str">
        <f t="shared" ref="BB10:BG10" ca="1" si="2">IF(BB9="","&lt;no countries&gt;",TRIM(BB9))</f>
        <v>&lt;no countries&gt;</v>
      </c>
      <c r="BC10" t="str">
        <f t="shared" ca="1" si="2"/>
        <v>&lt;no countries&gt;</v>
      </c>
      <c r="BD10" t="str">
        <f t="shared" ca="1" si="2"/>
        <v>Addis Ababa, Algiers, Cairo, Colombo, Delhi, Dhaka, Johannesburg, Karachi, Kathmandu, Kolkata, Kuwait City, Lagos, Manila, Mumbai, Nairobi, Phnom Penh, Riyadh, Wuhan, Yangon</v>
      </c>
      <c r="BE10" t="str">
        <f t="shared" ca="1" si="2"/>
        <v>Atlanta, Auckland, Bangkok, Beijing, Berlin, Bogotá, Budapest, Dubai, Helsinki, Ho Chi Minh City, Istanbul, Jakarta, Madrid, Melbourne, Mexico City, Moscow, New York City, Osaka, Paris, Rome, San Francisco, São Paulo, Seoul, Shanghai, Singapore, Sydney, Tokyo, Toronto, Vienna</v>
      </c>
      <c r="BF10" t="str">
        <f t="shared" ca="1" si="2"/>
        <v>Hong Kong, London</v>
      </c>
      <c r="BG10" t="str">
        <f t="shared" ca="1" si="2"/>
        <v>&lt;no countries&gt;</v>
      </c>
    </row>
    <row r="11" spans="1:59" x14ac:dyDescent="0.4">
      <c r="B11" t="s">
        <v>226</v>
      </c>
      <c r="C11">
        <f ca="1">uxbGlobals!$B$471</f>
        <v>1</v>
      </c>
      <c r="AK11" t="str">
        <f ca="1">IF($C$3=1,AK10,AK9)</f>
        <v>Data not available</v>
      </c>
      <c r="AL11" t="str">
        <f t="shared" ref="AL11:AQ11" ca="1" si="3">IF($C$3=1,AL10,AL9)</f>
        <v>Score 0-19.9</v>
      </c>
      <c r="AM11" t="str">
        <f t="shared" ca="1" si="3"/>
        <v>Score 20.0-39.9</v>
      </c>
      <c r="AN11" t="str">
        <f t="shared" ca="1" si="3"/>
        <v>Score 40.0-59.9</v>
      </c>
      <c r="AO11" t="str">
        <f t="shared" ca="1" si="3"/>
        <v>Score 60.0-79.9</v>
      </c>
      <c r="AP11" t="str">
        <f t="shared" ca="1" si="3"/>
        <v>Score 80.0-100.0</v>
      </c>
      <c r="AQ11" t="str">
        <f t="shared" ca="1" si="3"/>
        <v>n/a</v>
      </c>
      <c r="AS11">
        <f ca="1">COUNTIF(OFFSET(AS$15,0,0,$C$12,1),"&gt;0")</f>
        <v>0</v>
      </c>
      <c r="AT11">
        <f t="shared" ref="AT11:AY11" ca="1" si="4">COUNTIF(OFFSET(AT$15,0,0,$C$12,1),"&gt;0")</f>
        <v>0</v>
      </c>
      <c r="AU11">
        <f t="shared" ca="1" si="4"/>
        <v>0</v>
      </c>
      <c r="AV11">
        <f t="shared" ca="1" si="4"/>
        <v>19</v>
      </c>
      <c r="AW11">
        <f t="shared" ca="1" si="4"/>
        <v>29</v>
      </c>
      <c r="AX11">
        <f t="shared" ca="1" si="4"/>
        <v>2</v>
      </c>
      <c r="AY11">
        <f t="shared" ca="1" si="4"/>
        <v>0</v>
      </c>
    </row>
    <row r="12" spans="1:59" x14ac:dyDescent="0.4">
      <c r="B12" t="s">
        <v>665</v>
      </c>
      <c r="C12">
        <f>uxbGlobals!$B$224</f>
        <v>50</v>
      </c>
    </row>
    <row r="13" spans="1:59" x14ac:dyDescent="0.4">
      <c r="H13" t="s">
        <v>228</v>
      </c>
      <c r="U13">
        <v>0</v>
      </c>
      <c r="V13">
        <v>1</v>
      </c>
      <c r="W13">
        <v>2</v>
      </c>
      <c r="X13">
        <v>3</v>
      </c>
      <c r="Y13">
        <v>4</v>
      </c>
      <c r="Z13">
        <v>5</v>
      </c>
      <c r="AB13">
        <v>0</v>
      </c>
      <c r="AC13">
        <v>1</v>
      </c>
      <c r="AD13">
        <v>2</v>
      </c>
      <c r="AE13">
        <v>3</v>
      </c>
      <c r="AF13">
        <v>4</v>
      </c>
      <c r="AG13">
        <v>5</v>
      </c>
      <c r="AK13">
        <v>0</v>
      </c>
      <c r="AL13">
        <v>1</v>
      </c>
      <c r="AM13">
        <v>2</v>
      </c>
      <c r="AN13">
        <v>3</v>
      </c>
      <c r="AO13">
        <v>4</v>
      </c>
      <c r="AP13">
        <v>5</v>
      </c>
      <c r="AQ13">
        <v>6</v>
      </c>
      <c r="AS13">
        <v>0</v>
      </c>
      <c r="AT13">
        <v>1</v>
      </c>
      <c r="AU13">
        <v>2</v>
      </c>
      <c r="AV13">
        <v>3</v>
      </c>
      <c r="AW13">
        <v>4</v>
      </c>
      <c r="AX13">
        <v>5</v>
      </c>
      <c r="AY13">
        <v>6</v>
      </c>
      <c r="BA13">
        <v>0</v>
      </c>
      <c r="BB13">
        <v>1</v>
      </c>
      <c r="BC13">
        <v>2</v>
      </c>
      <c r="BD13">
        <v>3</v>
      </c>
      <c r="BE13">
        <v>4</v>
      </c>
      <c r="BF13">
        <v>5</v>
      </c>
      <c r="BG13">
        <v>6</v>
      </c>
    </row>
    <row r="14" spans="1:59" x14ac:dyDescent="0.4">
      <c r="A14" t="s">
        <v>1204</v>
      </c>
      <c r="B14" t="s">
        <v>216</v>
      </c>
      <c r="C14" t="s">
        <v>217</v>
      </c>
      <c r="E14" t="s">
        <v>220</v>
      </c>
      <c r="F14" t="s">
        <v>219</v>
      </c>
      <c r="G14" t="s">
        <v>225</v>
      </c>
      <c r="H14" t="s">
        <v>229</v>
      </c>
      <c r="I14" t="s">
        <v>232</v>
      </c>
      <c r="J14" t="s">
        <v>221</v>
      </c>
      <c r="K14" t="s">
        <v>231</v>
      </c>
      <c r="L14" t="s">
        <v>17</v>
      </c>
      <c r="M14" t="s">
        <v>17</v>
      </c>
      <c r="N14" t="s">
        <v>461</v>
      </c>
      <c r="O14" t="s">
        <v>224</v>
      </c>
      <c r="P14" t="s">
        <v>223</v>
      </c>
      <c r="Q14" t="s">
        <v>1022</v>
      </c>
      <c r="R14" t="s">
        <v>232</v>
      </c>
      <c r="S14" t="s">
        <v>229</v>
      </c>
      <c r="U14">
        <v>0</v>
      </c>
      <c r="V14">
        <v>0</v>
      </c>
      <c r="W14">
        <v>0</v>
      </c>
      <c r="X14">
        <v>0</v>
      </c>
      <c r="Y14">
        <v>0</v>
      </c>
      <c r="Z14">
        <v>0</v>
      </c>
      <c r="AI14" t="s">
        <v>1257</v>
      </c>
      <c r="AK14">
        <v>0</v>
      </c>
      <c r="AL14">
        <v>0</v>
      </c>
      <c r="AM14">
        <v>0</v>
      </c>
      <c r="AN14">
        <v>0</v>
      </c>
      <c r="AO14">
        <v>0</v>
      </c>
      <c r="AP14">
        <v>0</v>
      </c>
      <c r="AQ14">
        <v>0</v>
      </c>
    </row>
    <row r="15" spans="1:59" x14ac:dyDescent="0.4">
      <c r="A15">
        <v>1</v>
      </c>
      <c r="B15">
        <v>1</v>
      </c>
      <c r="C15" cm="1">
        <f t="array" ref="C15">INDEX(auto_Country_Status,B15)</f>
        <v>1</v>
      </c>
      <c r="E15" cm="1">
        <f t="array" aca="1" ref="E15" ca="1">INDEX(sys_DataFlat_LU_Grid,$C$2,$B15)</f>
        <v>1</v>
      </c>
      <c r="F15" cm="1">
        <f t="array" aca="1" ref="F15" ca="1">INDEX(auto_DataFlat_Score,E15,$C$5)</f>
        <v>49.6</v>
      </c>
      <c r="G15" cm="1">
        <f t="array" aca="1" ref="G15" ca="1">INDEX(auto_DataFlat_DataValue,E15,$C$5)</f>
        <v>0</v>
      </c>
      <c r="H15">
        <f ca="1">IF(G15="n/a",F15,IF($C$10=0,F15,F15+(IF($C$11=1,G15,-G15)/100000000)))</f>
        <v>49.6</v>
      </c>
      <c r="I15" cm="1">
        <f t="array" aca="1" ref="I15" ca="1">INDEX(auto_DataFlat_Classification,E15,$C$5)</f>
        <v>3</v>
      </c>
      <c r="J15">
        <f ca="1">IF($C15=0,-40000000,IFERROR(CHOOSE($C$7,H15,-H15,-B15),-30000000))</f>
        <v>49.6</v>
      </c>
      <c r="K15">
        <f ca="1">IF(AND($C$9=1,G15="n/a"),-2000000,IF(ISNUMBER(J15),J15,-20000000))</f>
        <v>49.6</v>
      </c>
      <c r="L15">
        <f ca="1">RANK(K15,OFFSET(K$15,0,0,$C$12,1))+COUNTIF(K$15:K15,K15)-1</f>
        <v>41</v>
      </c>
      <c r="N15">
        <f ca="1">MATCH($A15,OFFSET(L$15,0,0,$C$12,1),0)</f>
        <v>17</v>
      </c>
      <c r="O15" cm="1">
        <f t="array" aca="1" ref="O15" ca="1">INDEX(auto_Country_Status,N15)</f>
        <v>1</v>
      </c>
      <c r="P15" cm="1">
        <f t="array" aca="1" ref="P15" ca="1">INDEX(OFFSET($E$15,0,0,$C$12,1),N15)</f>
        <v>17</v>
      </c>
      <c r="Q15" t="str" cm="1">
        <f t="array" aca="1" ref="Q15" ca="1">INDEX(auto_Country_ISO,N15)</f>
        <v>HKG</v>
      </c>
      <c r="R15" cm="1">
        <f t="array" aca="1" ref="R15" ca="1">IF(O15=0,0,INDEX(auto_DataFlat_Classification,P15,$C$5))</f>
        <v>5</v>
      </c>
      <c r="S15" cm="1">
        <f t="array" aca="1" ref="S15" ca="1">INDEX(auto_DataFlat_DataValue,P15,$C$5)</f>
        <v>0</v>
      </c>
      <c r="U15" t="e">
        <f ca="1">IFERROR(U14+MATCH(U$13,OFFSET($R$15,U14,0,$C$12-U14,1),0),NA())</f>
        <v>#N/A</v>
      </c>
      <c r="V15" t="e">
        <f t="shared" ref="V15:Z16" ca="1" si="5">IFERROR(V14+MATCH(V$13,OFFSET($R$15,V14,0,$C$12-V14,1),0),NA())</f>
        <v>#N/A</v>
      </c>
      <c r="W15" t="e">
        <f t="shared" ca="1" si="5"/>
        <v>#N/A</v>
      </c>
      <c r="X15">
        <f t="shared" ca="1" si="5"/>
        <v>32</v>
      </c>
      <c r="Y15">
        <f t="shared" ca="1" si="5"/>
        <v>3</v>
      </c>
      <c r="Z15">
        <f t="shared" ca="1" si="5"/>
        <v>1</v>
      </c>
      <c r="AB15" cm="1">
        <f t="array" aca="1" ref="AB15" ca="1">IFERROR(INDEX(OFFSET($N$15,0,0,$C$12,1),U15),0)</f>
        <v>0</v>
      </c>
      <c r="AC15" cm="1">
        <f t="array" aca="1" ref="AC15" ca="1">IFERROR(INDEX(OFFSET($N$15,0,0,$C$12,1),V15),0)</f>
        <v>0</v>
      </c>
      <c r="AD15" cm="1">
        <f t="array" aca="1" ref="AD15" ca="1">IFERROR(INDEX(OFFSET($N$15,0,0,$C$12,1),W15),0)</f>
        <v>0</v>
      </c>
      <c r="AE15" cm="1">
        <f t="array" aca="1" ref="AE15" ca="1">IFERROR(INDEX(OFFSET($N$15,0,0,$C$12,1),X15),0)</f>
        <v>49</v>
      </c>
      <c r="AF15" cm="1">
        <f t="array" aca="1" ref="AF15" ca="1">IFERROR(INDEX(OFFSET($N$15,0,0,$C$12,1),Y15),0)</f>
        <v>27</v>
      </c>
      <c r="AG15" cm="1">
        <f t="array" aca="1" ref="AG15" ca="1">IFERROR(INDEX(OFFSET($N$15,0,0,$C$12,1),Z15),0)</f>
        <v>17</v>
      </c>
      <c r="AI15">
        <f ca="1">IF($C15=0,-1,IF($C$3=1,G15,I15))</f>
        <v>3</v>
      </c>
      <c r="AK15" t="e">
        <f t="shared" ref="AK15:AQ15" ca="1" si="6">IFERROR(AK14+MATCH(AK$13,OFFSET($AI$15,AK14,0,$C$12-AK14,1),0),NA())</f>
        <v>#N/A</v>
      </c>
      <c r="AL15" t="e">
        <f t="shared" ca="1" si="6"/>
        <v>#N/A</v>
      </c>
      <c r="AM15" t="e">
        <f t="shared" ca="1" si="6"/>
        <v>#N/A</v>
      </c>
      <c r="AN15">
        <f t="shared" ca="1" si="6"/>
        <v>1</v>
      </c>
      <c r="AO15">
        <f t="shared" ca="1" si="6"/>
        <v>3</v>
      </c>
      <c r="AP15">
        <f t="shared" ca="1" si="6"/>
        <v>17</v>
      </c>
      <c r="AQ15" t="e">
        <f t="shared" ca="1" si="6"/>
        <v>#N/A</v>
      </c>
      <c r="AS15" cm="1">
        <f t="array" aca="1" ref="AS15" ca="1">IFERROR(INDEX(OFFSET($B$15,0,0,$C$12,1),AK15),0)</f>
        <v>0</v>
      </c>
      <c r="AT15" cm="1">
        <f t="array" aca="1" ref="AT15" ca="1">IFERROR(INDEX(OFFSET($B$15,0,0,$C$12,1),AL15),0)</f>
        <v>0</v>
      </c>
      <c r="AU15" cm="1">
        <f t="array" aca="1" ref="AU15" ca="1">IFERROR(INDEX(OFFSET($B$15,0,0,$C$12,1),AM15),0)</f>
        <v>0</v>
      </c>
      <c r="AV15" cm="1">
        <f t="array" aca="1" ref="AV15" ca="1">IFERROR(INDEX(OFFSET($B$15,0,0,$C$12,1),AN15),0)</f>
        <v>1</v>
      </c>
      <c r="AW15" cm="1">
        <f t="array" aca="1" ref="AW15" ca="1">IFERROR(INDEX(OFFSET($B$15,0,0,$C$12,1),AO15),0)</f>
        <v>3</v>
      </c>
      <c r="AX15" cm="1">
        <f t="array" aca="1" ref="AX15" ca="1">IFERROR(INDEX(OFFSET($B$15,0,0,$C$12,1),AP15),0)</f>
        <v>17</v>
      </c>
      <c r="AY15" cm="1">
        <f t="array" aca="1" ref="AY15" ca="1">IFERROR(INDEX(OFFSET($B$15,0,0,$C$12,1),AQ15),0)</f>
        <v>0</v>
      </c>
      <c r="BA15" t="str" cm="1">
        <f t="array" aca="1" ref="BA15" ca="1">IF(AS15=0,"",INDEX(auto_ddCountry,AS15))</f>
        <v/>
      </c>
      <c r="BB15" t="str" cm="1">
        <f t="array" aca="1" ref="BB15" ca="1">IF(AT15=0,"",INDEX(auto_ddCountry,AT15))</f>
        <v/>
      </c>
      <c r="BC15" t="str" cm="1">
        <f t="array" aca="1" ref="BC15" ca="1">IF(AU15=0,"",INDEX(auto_ddCountry,AU15))</f>
        <v/>
      </c>
      <c r="BD15" t="str" cm="1">
        <f t="array" aca="1" ref="BD15" ca="1">IF(AV15=0,"",INDEX(auto_ddCountry,AV15))</f>
        <v>Addis Ababa</v>
      </c>
      <c r="BE15" t="str" cm="1">
        <f t="array" aca="1" ref="BE15" ca="1">IF(AW15=0,"",INDEX(auto_ddCountry,AW15))</f>
        <v>Atlanta</v>
      </c>
      <c r="BF15" t="str" cm="1">
        <f t="array" aca="1" ref="BF15" ca="1">IF(AX15=0,"",INDEX(auto_ddCountry,AX15))</f>
        <v>Hong Kong</v>
      </c>
      <c r="BG15" t="str" cm="1">
        <f t="array" aca="1" ref="BG15" ca="1">IF(AY15=0,"",INDEX(auto_ddCountry,AY15))</f>
        <v/>
      </c>
    </row>
    <row r="16" spans="1:59" x14ac:dyDescent="0.4">
      <c r="A16">
        <v>2</v>
      </c>
      <c r="B16">
        <v>2</v>
      </c>
      <c r="C16" cm="1">
        <f t="array" ref="C16">INDEX(auto_Country_Status,B16)</f>
        <v>1</v>
      </c>
      <c r="E16" cm="1">
        <f t="array" aca="1" ref="E16" ca="1">INDEX(sys_DataFlat_LU_Grid,$C$2,$B16)</f>
        <v>2</v>
      </c>
      <c r="F16" cm="1">
        <f t="array" aca="1" ref="F16" ca="1">INDEX(auto_DataFlat_Score,E16,$C$5)</f>
        <v>41</v>
      </c>
      <c r="G16" cm="1">
        <f t="array" aca="1" ref="G16" ca="1">INDEX(auto_DataFlat_DataValue,E16,$C$5)</f>
        <v>0</v>
      </c>
      <c r="H16">
        <f t="shared" ref="H16:H17" ca="1" si="7">IF(G16="n/a",F16,IF($C$10=0,F16,F16+(IF($C$11=1,G16,-G16)/100000000)))</f>
        <v>41</v>
      </c>
      <c r="I16" cm="1">
        <f t="array" aca="1" ref="I16" ca="1">INDEX(auto_DataFlat_Classification,E16,$C$5)</f>
        <v>3</v>
      </c>
      <c r="J16">
        <f t="shared" ref="J16:J17" ca="1" si="8">IF($C16=0,-40000000,IFERROR(CHOOSE($C$7,H16,-H16,-B16),-30000000))</f>
        <v>41</v>
      </c>
      <c r="K16">
        <f t="shared" ref="K16:K17" ca="1" si="9">IF(AND($C$9=1,G16="n/a"),-2000000,IF(ISNUMBER(J16),J16,-20000000))</f>
        <v>41</v>
      </c>
      <c r="L16">
        <f ca="1">RANK(K16,OFFSET(K$15,0,0,$C$12,1))+COUNTIF(K$15:K16,K16)-1</f>
        <v>48</v>
      </c>
      <c r="N16">
        <f t="shared" ref="N16:N17" ca="1" si="10">MATCH($A16,OFFSET(L$15,0,0,$C$12,1),0)</f>
        <v>26</v>
      </c>
      <c r="O16" cm="1">
        <f t="array" aca="1" ref="O16" ca="1">INDEX(auto_Country_Status,N16)</f>
        <v>1</v>
      </c>
      <c r="P16" cm="1">
        <f t="array" aca="1" ref="P16" ca="1">INDEX(OFFSET($E$15,0,0,$C$12,1),N16)</f>
        <v>26</v>
      </c>
      <c r="Q16" t="str" cm="1">
        <f t="array" aca="1" ref="Q16" ca="1">INDEX(auto_Country_ISO,N16)</f>
        <v>LOD</v>
      </c>
      <c r="R16" cm="1">
        <f t="array" aca="1" ref="R16" ca="1">IF(O16=0,0,INDEX(auto_DataFlat_Classification,P16,$C$5))</f>
        <v>5</v>
      </c>
      <c r="S16" cm="1">
        <f t="array" aca="1" ref="S16" ca="1">INDEX(auto_DataFlat_DataValue,P16,$C$5)</f>
        <v>0</v>
      </c>
      <c r="U16" t="e">
        <f t="shared" ref="U16:Z17" ca="1" si="11">IFERROR(U15+MATCH(U$13,OFFSET($R$15,U15,0,$C$12-U15,1),0),NA())</f>
        <v>#N/A</v>
      </c>
      <c r="V16" t="e">
        <f t="shared" ca="1" si="5"/>
        <v>#N/A</v>
      </c>
      <c r="W16" t="e">
        <f t="shared" ca="1" si="5"/>
        <v>#N/A</v>
      </c>
      <c r="X16">
        <f t="shared" ca="1" si="5"/>
        <v>33</v>
      </c>
      <c r="Y16">
        <f t="shared" ca="1" si="5"/>
        <v>4</v>
      </c>
      <c r="Z16">
        <f t="shared" ca="1" si="5"/>
        <v>2</v>
      </c>
      <c r="AB16" cm="1">
        <f t="array" aca="1" ref="AB16" ca="1">IFERROR(INDEX(OFFSET($N$15,0,0,$C$12,1),U16),0)</f>
        <v>0</v>
      </c>
      <c r="AC16" cm="1">
        <f t="array" aca="1" ref="AC16" ca="1">IFERROR(INDEX(OFFSET($N$15,0,0,$C$12,1),V16),0)</f>
        <v>0</v>
      </c>
      <c r="AD16" cm="1">
        <f t="array" aca="1" ref="AD16" ca="1">IFERROR(INDEX(OFFSET($N$15,0,0,$C$12,1),W16),0)</f>
        <v>0</v>
      </c>
      <c r="AE16" cm="1">
        <f t="array" aca="1" ref="AE16" ca="1">IFERROR(INDEX(OFFSET($N$15,0,0,$C$12,1),X16),0)</f>
        <v>12</v>
      </c>
      <c r="AF16" cm="1">
        <f t="array" aca="1" ref="AF16" ca="1">IFERROR(INDEX(OFFSET($N$15,0,0,$C$12,1),Y16),0)</f>
        <v>34</v>
      </c>
      <c r="AG16" cm="1">
        <f t="array" aca="1" ref="AG16" ca="1">IFERROR(INDEX(OFFSET($N$15,0,0,$C$12,1),Z16),0)</f>
        <v>26</v>
      </c>
      <c r="AI16">
        <f t="shared" ref="AI16:AI17" ca="1" si="12">IF($C16=0,-1,IF($C$3=1,G16,I16))</f>
        <v>3</v>
      </c>
      <c r="AK16" t="e">
        <f t="shared" ref="AK16:AK64" ca="1" si="13">IFERROR(AK15+MATCH(AK$13,OFFSET($AI$15,AK15,0,$C$12-AK15,1),0),NA())</f>
        <v>#N/A</v>
      </c>
      <c r="AL16" t="e">
        <f t="shared" ref="AL16:AL64" ca="1" si="14">IFERROR(AL15+MATCH(AL$13,OFFSET($AI$15,AL15,0,$C$12-AL15,1),0),NA())</f>
        <v>#N/A</v>
      </c>
      <c r="AM16" t="e">
        <f t="shared" ref="AM16:AM64" ca="1" si="15">IFERROR(AM15+MATCH(AM$13,OFFSET($AI$15,AM15,0,$C$12-AM15,1),0),NA())</f>
        <v>#N/A</v>
      </c>
      <c r="AN16">
        <f t="shared" ref="AN16:AN64" ca="1" si="16">IFERROR(AN15+MATCH(AN$13,OFFSET($AI$15,AN15,0,$C$12-AN15,1),0),NA())</f>
        <v>2</v>
      </c>
      <c r="AO16">
        <f t="shared" ref="AO16:AO64" ca="1" si="17">IFERROR(AO15+MATCH(AO$13,OFFSET($AI$15,AO15,0,$C$12-AO15,1),0),NA())</f>
        <v>4</v>
      </c>
      <c r="AP16">
        <f t="shared" ref="AP16:AP64" ca="1" si="18">IFERROR(AP15+MATCH(AP$13,OFFSET($AI$15,AP15,0,$C$12-AP15,1),0),NA())</f>
        <v>26</v>
      </c>
      <c r="AQ16" t="e">
        <f t="shared" ref="AQ16:AQ64" ca="1" si="19">IFERROR(AQ15+MATCH(AQ$13,OFFSET($AI$15,AQ15,0,$C$12-AQ15,1),0),NA())</f>
        <v>#N/A</v>
      </c>
      <c r="AS16" cm="1">
        <f t="array" aca="1" ref="AS16" ca="1">IFERROR(INDEX(OFFSET($B$15,0,0,$C$12,1),AK16),0)</f>
        <v>0</v>
      </c>
      <c r="AT16" cm="1">
        <f t="array" aca="1" ref="AT16" ca="1">IFERROR(INDEX(OFFSET($B$15,0,0,$C$12,1),AL16),0)</f>
        <v>0</v>
      </c>
      <c r="AU16" cm="1">
        <f t="array" aca="1" ref="AU16" ca="1">IFERROR(INDEX(OFFSET($B$15,0,0,$C$12,1),AM16),0)</f>
        <v>0</v>
      </c>
      <c r="AV16" cm="1">
        <f t="array" aca="1" ref="AV16" ca="1">IFERROR(INDEX(OFFSET($B$15,0,0,$C$12,1),AN16),0)</f>
        <v>2</v>
      </c>
      <c r="AW16" cm="1">
        <f t="array" aca="1" ref="AW16" ca="1">IFERROR(INDEX(OFFSET($B$15,0,0,$C$12,1),AO16),0)</f>
        <v>4</v>
      </c>
      <c r="AX16" cm="1">
        <f t="array" aca="1" ref="AX16" ca="1">IFERROR(INDEX(OFFSET($B$15,0,0,$C$12,1),AP16),0)</f>
        <v>26</v>
      </c>
      <c r="AY16" cm="1">
        <f t="array" aca="1" ref="AY16" ca="1">IFERROR(INDEX(OFFSET($B$15,0,0,$C$12,1),AQ16),0)</f>
        <v>0</v>
      </c>
      <c r="BA16" t="str" cm="1">
        <f t="array" aca="1" ref="BA16" ca="1">IF(AS16=0,"",INDEX(auto_ddCountry,AS16))</f>
        <v/>
      </c>
      <c r="BB16" t="str" cm="1">
        <f t="array" aca="1" ref="BB16" ca="1">IF(AT16=0,"",INDEX(auto_ddCountry,AT16))</f>
        <v/>
      </c>
      <c r="BC16" t="str" cm="1">
        <f t="array" aca="1" ref="BC16" ca="1">IF(AU16=0,"",INDEX(auto_ddCountry,AU16))</f>
        <v/>
      </c>
      <c r="BD16" t="str" cm="1">
        <f t="array" aca="1" ref="BD16" ca="1">IF(AV16=0,"",INDEX(auto_ddCountry,AV16))</f>
        <v>Algiers</v>
      </c>
      <c r="BE16" t="str" cm="1">
        <f t="array" aca="1" ref="BE16" ca="1">IF(AW16=0,"",INDEX(auto_ddCountry,AW16))</f>
        <v>Auckland</v>
      </c>
      <c r="BF16" t="str" cm="1">
        <f t="array" aca="1" ref="BF16" ca="1">IF(AX16=0,"",INDEX(auto_ddCountry,AX16))</f>
        <v>London</v>
      </c>
      <c r="BG16" t="str" cm="1">
        <f t="array" aca="1" ref="BG16" ca="1">IF(AY16=0,"",INDEX(auto_ddCountry,AY16))</f>
        <v/>
      </c>
    </row>
    <row r="17" spans="1:59" x14ac:dyDescent="0.4">
      <c r="A17">
        <v>3</v>
      </c>
      <c r="B17">
        <v>3</v>
      </c>
      <c r="C17" cm="1">
        <f t="array" ref="C17">INDEX(auto_Country_Status,B17)</f>
        <v>1</v>
      </c>
      <c r="E17" cm="1">
        <f t="array" aca="1" ref="E17" ca="1">INDEX(sys_DataFlat_LU_Grid,$C$2,$B17)</f>
        <v>3</v>
      </c>
      <c r="F17" cm="1">
        <f t="array" aca="1" ref="F17" ca="1">INDEX(auto_DataFlat_Score,E17,$C$5)</f>
        <v>63.1</v>
      </c>
      <c r="G17" cm="1">
        <f t="array" aca="1" ref="G17" ca="1">INDEX(auto_DataFlat_DataValue,E17,$C$5)</f>
        <v>0</v>
      </c>
      <c r="H17">
        <f t="shared" ca="1" si="7"/>
        <v>63.1</v>
      </c>
      <c r="I17" cm="1">
        <f t="array" aca="1" ref="I17" ca="1">INDEX(auto_DataFlat_Classification,E17,$C$5)</f>
        <v>4</v>
      </c>
      <c r="J17">
        <f t="shared" ca="1" si="8"/>
        <v>63.1</v>
      </c>
      <c r="K17">
        <f t="shared" ca="1" si="9"/>
        <v>63.1</v>
      </c>
      <c r="L17">
        <f ca="1">RANK(K17,OFFSET(K$15,0,0,$C$12,1))+COUNTIF(K$15:K17,K17)-1</f>
        <v>29</v>
      </c>
      <c r="N17">
        <f t="shared" ca="1" si="10"/>
        <v>27</v>
      </c>
      <c r="O17" cm="1">
        <f t="array" aca="1" ref="O17" ca="1">INDEX(auto_Country_Status,N17)</f>
        <v>1</v>
      </c>
      <c r="P17" cm="1">
        <f t="array" aca="1" ref="P17" ca="1">INDEX(OFFSET($E$15,0,0,$C$12,1),N17)</f>
        <v>27</v>
      </c>
      <c r="Q17" t="str" cm="1">
        <f t="array" aca="1" ref="Q17" ca="1">INDEX(auto_Country_ISO,N17)</f>
        <v>MDD</v>
      </c>
      <c r="R17" cm="1">
        <f t="array" aca="1" ref="R17" ca="1">IF(O17=0,0,INDEX(auto_DataFlat_Classification,P17,$C$5))</f>
        <v>4</v>
      </c>
      <c r="S17" cm="1">
        <f t="array" aca="1" ref="S17" ca="1">INDEX(auto_DataFlat_DataValue,P17,$C$5)</f>
        <v>0</v>
      </c>
      <c r="U17" t="e">
        <f t="shared" ca="1" si="11"/>
        <v>#N/A</v>
      </c>
      <c r="V17" t="e">
        <f t="shared" ca="1" si="11"/>
        <v>#N/A</v>
      </c>
      <c r="W17" t="e">
        <f t="shared" ca="1" si="11"/>
        <v>#N/A</v>
      </c>
      <c r="X17">
        <f t="shared" ca="1" si="11"/>
        <v>34</v>
      </c>
      <c r="Y17">
        <f t="shared" ca="1" si="11"/>
        <v>5</v>
      </c>
      <c r="Z17" t="e">
        <f t="shared" ca="1" si="11"/>
        <v>#N/A</v>
      </c>
      <c r="AB17" cm="1">
        <f t="array" aca="1" ref="AB17" ca="1">IFERROR(INDEX(OFFSET($N$15,0,0,$C$12,1),U17),0)</f>
        <v>0</v>
      </c>
      <c r="AC17" cm="1">
        <f t="array" aca="1" ref="AC17" ca="1">IFERROR(INDEX(OFFSET($N$15,0,0,$C$12,1),V17),0)</f>
        <v>0</v>
      </c>
      <c r="AD17" cm="1">
        <f t="array" aca="1" ref="AD17" ca="1">IFERROR(INDEX(OFFSET($N$15,0,0,$C$12,1),W17),0)</f>
        <v>0</v>
      </c>
      <c r="AE17" cm="1">
        <f t="array" aca="1" ref="AE17" ca="1">IFERROR(INDEX(OFFSET($N$15,0,0,$C$12,1),X17),0)</f>
        <v>32</v>
      </c>
      <c r="AF17" cm="1">
        <f t="array" aca="1" ref="AF17" ca="1">IFERROR(INDEX(OFFSET($N$15,0,0,$C$12,1),Y17),0)</f>
        <v>7</v>
      </c>
      <c r="AG17" cm="1">
        <f t="array" aca="1" ref="AG17" ca="1">IFERROR(INDEX(OFFSET($N$15,0,0,$C$12,1),Z17),0)</f>
        <v>0</v>
      </c>
      <c r="AI17">
        <f t="shared" ca="1" si="12"/>
        <v>4</v>
      </c>
      <c r="AK17" t="e">
        <f t="shared" ref="AK17:AQ17" ca="1" si="20">IFERROR(AK16+MATCH(AK$13,OFFSET($AI$15,AK16,0,$C$12-AK16,1),0),NA())</f>
        <v>#N/A</v>
      </c>
      <c r="AL17" t="e">
        <f t="shared" ca="1" si="20"/>
        <v>#N/A</v>
      </c>
      <c r="AM17" t="e">
        <f t="shared" ca="1" si="20"/>
        <v>#N/A</v>
      </c>
      <c r="AN17">
        <f t="shared" ca="1" si="20"/>
        <v>10</v>
      </c>
      <c r="AO17">
        <f t="shared" ca="1" si="20"/>
        <v>5</v>
      </c>
      <c r="AP17" t="e">
        <f t="shared" ca="1" si="20"/>
        <v>#N/A</v>
      </c>
      <c r="AQ17" t="e">
        <f t="shared" ca="1" si="20"/>
        <v>#N/A</v>
      </c>
      <c r="AS17" cm="1">
        <f t="array" aca="1" ref="AS17" ca="1">IFERROR(INDEX(OFFSET($B$15,0,0,$C$12,1),AK17),0)</f>
        <v>0</v>
      </c>
      <c r="AT17" cm="1">
        <f t="array" aca="1" ref="AT17" ca="1">IFERROR(INDEX(OFFSET($B$15,0,0,$C$12,1),AL17),0)</f>
        <v>0</v>
      </c>
      <c r="AU17" cm="1">
        <f t="array" aca="1" ref="AU17" ca="1">IFERROR(INDEX(OFFSET($B$15,0,0,$C$12,1),AM17),0)</f>
        <v>0</v>
      </c>
      <c r="AV17" cm="1">
        <f t="array" aca="1" ref="AV17" ca="1">IFERROR(INDEX(OFFSET($B$15,0,0,$C$12,1),AN17),0)</f>
        <v>10</v>
      </c>
      <c r="AW17" cm="1">
        <f t="array" aca="1" ref="AW17" ca="1">IFERROR(INDEX(OFFSET($B$15,0,0,$C$12,1),AO17),0)</f>
        <v>5</v>
      </c>
      <c r="AX17" cm="1">
        <f t="array" aca="1" ref="AX17" ca="1">IFERROR(INDEX(OFFSET($B$15,0,0,$C$12,1),AP17),0)</f>
        <v>0</v>
      </c>
      <c r="AY17" cm="1">
        <f t="array" aca="1" ref="AY17" ca="1">IFERROR(INDEX(OFFSET($B$15,0,0,$C$12,1),AQ17),0)</f>
        <v>0</v>
      </c>
      <c r="BA17" t="str" cm="1">
        <f t="array" aca="1" ref="BA17" ca="1">IF(AS17=0,"",INDEX(auto_ddCountry,AS17))</f>
        <v/>
      </c>
      <c r="BB17" t="str" cm="1">
        <f t="array" aca="1" ref="BB17" ca="1">IF(AT17=0,"",INDEX(auto_ddCountry,AT17))</f>
        <v/>
      </c>
      <c r="BC17" t="str" cm="1">
        <f t="array" aca="1" ref="BC17" ca="1">IF(AU17=0,"",INDEX(auto_ddCountry,AU17))</f>
        <v/>
      </c>
      <c r="BD17" t="str" cm="1">
        <f t="array" aca="1" ref="BD17" ca="1">IF(AV17=0,"",INDEX(auto_ddCountry,AV17))</f>
        <v>Cairo</v>
      </c>
      <c r="BE17" t="str" cm="1">
        <f t="array" aca="1" ref="BE17" ca="1">IF(AW17=0,"",INDEX(auto_ddCountry,AW17))</f>
        <v>Bangkok</v>
      </c>
      <c r="BF17" t="str" cm="1">
        <f t="array" aca="1" ref="BF17" ca="1">IF(AX17=0,"",INDEX(auto_ddCountry,AX17))</f>
        <v/>
      </c>
      <c r="BG17" t="str" cm="1">
        <f t="array" aca="1" ref="BG17" ca="1">IF(AY17=0,"",INDEX(auto_ddCountry,AY17))</f>
        <v/>
      </c>
    </row>
    <row r="18" spans="1:59" x14ac:dyDescent="0.4">
      <c r="A18">
        <v>4</v>
      </c>
      <c r="B18">
        <v>4</v>
      </c>
      <c r="C18" cm="1">
        <f t="array" ref="C18">INDEX(auto_Country_Status,B18)</f>
        <v>1</v>
      </c>
      <c r="E18" cm="1">
        <f t="array" aca="1" ref="E18" ca="1">INDEX(sys_DataFlat_LU_Grid,$C$2,$B18)</f>
        <v>4</v>
      </c>
      <c r="F18" cm="1">
        <f t="array" aca="1" ref="F18" ca="1">INDEX(auto_DataFlat_Score,E18,$C$5)</f>
        <v>71</v>
      </c>
      <c r="G18" cm="1">
        <f t="array" aca="1" ref="G18" ca="1">INDEX(auto_DataFlat_DataValue,E18,$C$5)</f>
        <v>0</v>
      </c>
      <c r="H18">
        <f t="shared" ref="H18:H64" ca="1" si="21">IF(G18="n/a",F18,IF($C$10=0,F18,F18+(IF($C$11=1,G18,-G18)/100000000)))</f>
        <v>71</v>
      </c>
      <c r="I18" cm="1">
        <f t="array" aca="1" ref="I18" ca="1">INDEX(auto_DataFlat_Classification,E18,$C$5)</f>
        <v>4</v>
      </c>
      <c r="J18">
        <f t="shared" ref="J18:J64" ca="1" si="22">IF($C18=0,-40000000,IFERROR(CHOOSE($C$7,H18,-H18,-B18),-30000000))</f>
        <v>71</v>
      </c>
      <c r="K18">
        <f t="shared" ref="K18:K64" ca="1" si="23">IF(AND($C$9=1,G18="n/a"),-2000000,IF(ISNUMBER(J18),J18,-20000000))</f>
        <v>71</v>
      </c>
      <c r="L18">
        <f ca="1">RANK(K18,OFFSET(K$15,0,0,$C$12,1))+COUNTIF(K$15:K18,K18)-1</f>
        <v>16</v>
      </c>
      <c r="N18">
        <f t="shared" ref="N18:N64" ca="1" si="24">MATCH($A18,OFFSET(L$15,0,0,$C$12,1),0)</f>
        <v>34</v>
      </c>
      <c r="O18" cm="1">
        <f t="array" aca="1" ref="O18" ca="1">INDEX(auto_Country_Status,N18)</f>
        <v>1</v>
      </c>
      <c r="P18" cm="1">
        <f t="array" aca="1" ref="P18" ca="1">INDEX(OFFSET($E$15,0,0,$C$12,1),N18)</f>
        <v>34</v>
      </c>
      <c r="Q18" t="str" cm="1">
        <f t="array" aca="1" ref="Q18" ca="1">INDEX(auto_Country_ISO,N18)</f>
        <v>NYC</v>
      </c>
      <c r="R18" cm="1">
        <f t="array" aca="1" ref="R18" ca="1">IF(O18=0,0,INDEX(auto_DataFlat_Classification,P18,$C$5))</f>
        <v>4</v>
      </c>
      <c r="S18" cm="1">
        <f t="array" aca="1" ref="S18" ca="1">INDEX(auto_DataFlat_DataValue,P18,$C$5)</f>
        <v>0</v>
      </c>
      <c r="U18" t="e">
        <f t="shared" ref="U18:Z18" ca="1" si="25">IFERROR(U17+MATCH(U$13,OFFSET($R$15,U17,0,$C$12-U17,1),0),NA())</f>
        <v>#N/A</v>
      </c>
      <c r="V18" t="e">
        <f t="shared" ca="1" si="25"/>
        <v>#N/A</v>
      </c>
      <c r="W18" t="e">
        <f t="shared" ca="1" si="25"/>
        <v>#N/A</v>
      </c>
      <c r="X18">
        <f t="shared" ca="1" si="25"/>
        <v>35</v>
      </c>
      <c r="Y18">
        <f t="shared" ca="1" si="25"/>
        <v>6</v>
      </c>
      <c r="Z18" t="e">
        <f t="shared" ca="1" si="25"/>
        <v>#N/A</v>
      </c>
      <c r="AB18" cm="1">
        <f t="array" aca="1" ref="AB18" ca="1">IFERROR(INDEX(OFFSET($N$15,0,0,$C$12,1),U18),0)</f>
        <v>0</v>
      </c>
      <c r="AC18" cm="1">
        <f t="array" aca="1" ref="AC18" ca="1">IFERROR(INDEX(OFFSET($N$15,0,0,$C$12,1),V18),0)</f>
        <v>0</v>
      </c>
      <c r="AD18" cm="1">
        <f t="array" aca="1" ref="AD18" ca="1">IFERROR(INDEX(OFFSET($N$15,0,0,$C$12,1),W18),0)</f>
        <v>0</v>
      </c>
      <c r="AE18" cm="1">
        <f t="array" aca="1" ref="AE18" ca="1">IFERROR(INDEX(OFFSET($N$15,0,0,$C$12,1),X18),0)</f>
        <v>20</v>
      </c>
      <c r="AF18" cm="1">
        <f t="array" aca="1" ref="AF18" ca="1">IFERROR(INDEX(OFFSET($N$15,0,0,$C$12,1),Y18),0)</f>
        <v>47</v>
      </c>
      <c r="AG18" cm="1">
        <f t="array" aca="1" ref="AG18" ca="1">IFERROR(INDEX(OFFSET($N$15,0,0,$C$12,1),Z18),0)</f>
        <v>0</v>
      </c>
      <c r="AI18">
        <f t="shared" ref="AI18:AI64" ca="1" si="26">IF($C18=0,-1,IF($C$3=1,G18,I18))</f>
        <v>4</v>
      </c>
      <c r="AK18" t="e">
        <f t="shared" ca="1" si="13"/>
        <v>#N/A</v>
      </c>
      <c r="AL18" t="e">
        <f t="shared" ca="1" si="14"/>
        <v>#N/A</v>
      </c>
      <c r="AM18" t="e">
        <f t="shared" ca="1" si="15"/>
        <v>#N/A</v>
      </c>
      <c r="AN18">
        <f t="shared" ca="1" si="16"/>
        <v>11</v>
      </c>
      <c r="AO18">
        <f t="shared" ca="1" si="17"/>
        <v>6</v>
      </c>
      <c r="AP18" t="e">
        <f t="shared" ca="1" si="18"/>
        <v>#N/A</v>
      </c>
      <c r="AQ18" t="e">
        <f t="shared" ca="1" si="19"/>
        <v>#N/A</v>
      </c>
      <c r="AS18" cm="1">
        <f t="array" aca="1" ref="AS18" ca="1">IFERROR(INDEX(OFFSET($B$15,0,0,$C$12,1),AK18),0)</f>
        <v>0</v>
      </c>
      <c r="AT18" cm="1">
        <f t="array" aca="1" ref="AT18" ca="1">IFERROR(INDEX(OFFSET($B$15,0,0,$C$12,1),AL18),0)</f>
        <v>0</v>
      </c>
      <c r="AU18" cm="1">
        <f t="array" aca="1" ref="AU18" ca="1">IFERROR(INDEX(OFFSET($B$15,0,0,$C$12,1),AM18),0)</f>
        <v>0</v>
      </c>
      <c r="AV18" cm="1">
        <f t="array" aca="1" ref="AV18" ca="1">IFERROR(INDEX(OFFSET($B$15,0,0,$C$12,1),AN18),0)</f>
        <v>11</v>
      </c>
      <c r="AW18" cm="1">
        <f t="array" aca="1" ref="AW18" ca="1">IFERROR(INDEX(OFFSET($B$15,0,0,$C$12,1),AO18),0)</f>
        <v>6</v>
      </c>
      <c r="AX18" cm="1">
        <f t="array" aca="1" ref="AX18" ca="1">IFERROR(INDEX(OFFSET($B$15,0,0,$C$12,1),AP18),0)</f>
        <v>0</v>
      </c>
      <c r="AY18" cm="1">
        <f t="array" aca="1" ref="AY18" ca="1">IFERROR(INDEX(OFFSET($B$15,0,0,$C$12,1),AQ18),0)</f>
        <v>0</v>
      </c>
      <c r="BA18" t="str" cm="1">
        <f t="array" aca="1" ref="BA18" ca="1">IF(AS18=0,"",INDEX(auto_ddCountry,AS18))</f>
        <v/>
      </c>
      <c r="BB18" t="str" cm="1">
        <f t="array" aca="1" ref="BB18" ca="1">IF(AT18=0,"",INDEX(auto_ddCountry,AT18))</f>
        <v/>
      </c>
      <c r="BC18" t="str" cm="1">
        <f t="array" aca="1" ref="BC18" ca="1">IF(AU18=0,"",INDEX(auto_ddCountry,AU18))</f>
        <v/>
      </c>
      <c r="BD18" t="str" cm="1">
        <f t="array" aca="1" ref="BD18" ca="1">IF(AV18=0,"",INDEX(auto_ddCountry,AV18))</f>
        <v>Colombo</v>
      </c>
      <c r="BE18" t="str" cm="1">
        <f t="array" aca="1" ref="BE18" ca="1">IF(AW18=0,"",INDEX(auto_ddCountry,AW18))</f>
        <v>Beijing</v>
      </c>
      <c r="BF18" t="str" cm="1">
        <f t="array" aca="1" ref="BF18" ca="1">IF(AX18=0,"",INDEX(auto_ddCountry,AX18))</f>
        <v/>
      </c>
      <c r="BG18" t="str" cm="1">
        <f t="array" aca="1" ref="BG18" ca="1">IF(AY18=0,"",INDEX(auto_ddCountry,AY18))</f>
        <v/>
      </c>
    </row>
    <row r="19" spans="1:59" x14ac:dyDescent="0.4">
      <c r="A19">
        <v>5</v>
      </c>
      <c r="B19">
        <v>5</v>
      </c>
      <c r="C19" cm="1">
        <f t="array" ref="C19">INDEX(auto_Country_Status,B19)</f>
        <v>1</v>
      </c>
      <c r="E19" cm="1">
        <f t="array" aca="1" ref="E19" ca="1">INDEX(sys_DataFlat_LU_Grid,$C$2,$B19)</f>
        <v>5</v>
      </c>
      <c r="F19" cm="1">
        <f t="array" aca="1" ref="F19" ca="1">INDEX(auto_DataFlat_Score,E19,$C$5)</f>
        <v>68.8</v>
      </c>
      <c r="G19" cm="1">
        <f t="array" aca="1" ref="G19" ca="1">INDEX(auto_DataFlat_DataValue,E19,$C$5)</f>
        <v>0</v>
      </c>
      <c r="H19">
        <f t="shared" ca="1" si="21"/>
        <v>68.8</v>
      </c>
      <c r="I19" cm="1">
        <f t="array" aca="1" ref="I19" ca="1">INDEX(auto_DataFlat_Classification,E19,$C$5)</f>
        <v>4</v>
      </c>
      <c r="J19">
        <f t="shared" ca="1" si="22"/>
        <v>68.8</v>
      </c>
      <c r="K19">
        <f t="shared" ca="1" si="23"/>
        <v>68.8</v>
      </c>
      <c r="L19">
        <f ca="1">RANK(K19,OFFSET(K$15,0,0,$C$12,1))+COUNTIF(K$15:K19,K19)-1</f>
        <v>20</v>
      </c>
      <c r="N19">
        <f t="shared" ca="1" si="24"/>
        <v>7</v>
      </c>
      <c r="O19" cm="1">
        <f t="array" aca="1" ref="O19" ca="1">INDEX(auto_Country_Status,N19)</f>
        <v>1</v>
      </c>
      <c r="P19" cm="1">
        <f t="array" aca="1" ref="P19" ca="1">INDEX(OFFSET($E$15,0,0,$C$12,1),N19)</f>
        <v>7</v>
      </c>
      <c r="Q19" t="str" cm="1">
        <f t="array" aca="1" ref="Q19" ca="1">INDEX(auto_Country_ISO,N19)</f>
        <v>BER</v>
      </c>
      <c r="R19" cm="1">
        <f t="array" aca="1" ref="R19" ca="1">IF(O19=0,0,INDEX(auto_DataFlat_Classification,P19,$C$5))</f>
        <v>4</v>
      </c>
      <c r="S19" cm="1">
        <f t="array" aca="1" ref="S19" ca="1">INDEX(auto_DataFlat_DataValue,P19,$C$5)</f>
        <v>0</v>
      </c>
      <c r="U19" t="e">
        <f t="shared" ref="U19:Z19" ca="1" si="27">IFERROR(U18+MATCH(U$13,OFFSET($R$15,U18,0,$C$12-U18,1),0),NA())</f>
        <v>#N/A</v>
      </c>
      <c r="V19" t="e">
        <f t="shared" ca="1" si="27"/>
        <v>#N/A</v>
      </c>
      <c r="W19" t="e">
        <f t="shared" ca="1" si="27"/>
        <v>#N/A</v>
      </c>
      <c r="X19">
        <f t="shared" ca="1" si="27"/>
        <v>36</v>
      </c>
      <c r="Y19">
        <f t="shared" ca="1" si="27"/>
        <v>7</v>
      </c>
      <c r="Z19" t="e">
        <f t="shared" ca="1" si="27"/>
        <v>#N/A</v>
      </c>
      <c r="AB19" cm="1">
        <f t="array" aca="1" ref="AB19" ca="1">IFERROR(INDEX(OFFSET($N$15,0,0,$C$12,1),U19),0)</f>
        <v>0</v>
      </c>
      <c r="AC19" cm="1">
        <f t="array" aca="1" ref="AC19" ca="1">IFERROR(INDEX(OFFSET($N$15,0,0,$C$12,1),V19),0)</f>
        <v>0</v>
      </c>
      <c r="AD19" cm="1">
        <f t="array" aca="1" ref="AD19" ca="1">IFERROR(INDEX(OFFSET($N$15,0,0,$C$12,1),W19),0)</f>
        <v>0</v>
      </c>
      <c r="AE19" cm="1">
        <f t="array" aca="1" ref="AE19" ca="1">IFERROR(INDEX(OFFSET($N$15,0,0,$C$12,1),X19),0)</f>
        <v>33</v>
      </c>
      <c r="AF19" cm="1">
        <f t="array" aca="1" ref="AF19" ca="1">IFERROR(INDEX(OFFSET($N$15,0,0,$C$12,1),Y19),0)</f>
        <v>44</v>
      </c>
      <c r="AG19" cm="1">
        <f t="array" aca="1" ref="AG19" ca="1">IFERROR(INDEX(OFFSET($N$15,0,0,$C$12,1),Z19),0)</f>
        <v>0</v>
      </c>
      <c r="AI19">
        <f t="shared" ca="1" si="26"/>
        <v>4</v>
      </c>
      <c r="AK19" t="e">
        <f t="shared" ref="AK19:AQ19" ca="1" si="28">IFERROR(AK18+MATCH(AK$13,OFFSET($AI$15,AK18,0,$C$12-AK18,1),0),NA())</f>
        <v>#N/A</v>
      </c>
      <c r="AL19" t="e">
        <f t="shared" ca="1" si="28"/>
        <v>#N/A</v>
      </c>
      <c r="AM19" t="e">
        <f t="shared" ca="1" si="28"/>
        <v>#N/A</v>
      </c>
      <c r="AN19">
        <f t="shared" ca="1" si="28"/>
        <v>12</v>
      </c>
      <c r="AO19">
        <f t="shared" ca="1" si="28"/>
        <v>7</v>
      </c>
      <c r="AP19" t="e">
        <f t="shared" ca="1" si="28"/>
        <v>#N/A</v>
      </c>
      <c r="AQ19" t="e">
        <f t="shared" ca="1" si="28"/>
        <v>#N/A</v>
      </c>
      <c r="AS19" cm="1">
        <f t="array" aca="1" ref="AS19" ca="1">IFERROR(INDEX(OFFSET($B$15,0,0,$C$12,1),AK19),0)</f>
        <v>0</v>
      </c>
      <c r="AT19" cm="1">
        <f t="array" aca="1" ref="AT19" ca="1">IFERROR(INDEX(OFFSET($B$15,0,0,$C$12,1),AL19),0)</f>
        <v>0</v>
      </c>
      <c r="AU19" cm="1">
        <f t="array" aca="1" ref="AU19" ca="1">IFERROR(INDEX(OFFSET($B$15,0,0,$C$12,1),AM19),0)</f>
        <v>0</v>
      </c>
      <c r="AV19" cm="1">
        <f t="array" aca="1" ref="AV19" ca="1">IFERROR(INDEX(OFFSET($B$15,0,0,$C$12,1),AN19),0)</f>
        <v>12</v>
      </c>
      <c r="AW19" cm="1">
        <f t="array" aca="1" ref="AW19" ca="1">IFERROR(INDEX(OFFSET($B$15,0,0,$C$12,1),AO19),0)</f>
        <v>7</v>
      </c>
      <c r="AX19" cm="1">
        <f t="array" aca="1" ref="AX19" ca="1">IFERROR(INDEX(OFFSET($B$15,0,0,$C$12,1),AP19),0)</f>
        <v>0</v>
      </c>
      <c r="AY19" cm="1">
        <f t="array" aca="1" ref="AY19" ca="1">IFERROR(INDEX(OFFSET($B$15,0,0,$C$12,1),AQ19),0)</f>
        <v>0</v>
      </c>
      <c r="BA19" t="str" cm="1">
        <f t="array" aca="1" ref="BA19" ca="1">IF(AS19=0,"",INDEX(auto_ddCountry,AS19))</f>
        <v/>
      </c>
      <c r="BB19" t="str" cm="1">
        <f t="array" aca="1" ref="BB19" ca="1">IF(AT19=0,"",INDEX(auto_ddCountry,AT19))</f>
        <v/>
      </c>
      <c r="BC19" t="str" cm="1">
        <f t="array" aca="1" ref="BC19" ca="1">IF(AU19=0,"",INDEX(auto_ddCountry,AU19))</f>
        <v/>
      </c>
      <c r="BD19" t="str" cm="1">
        <f t="array" aca="1" ref="BD19" ca="1">IF(AV19=0,"",INDEX(auto_ddCountry,AV19))</f>
        <v>Delhi</v>
      </c>
      <c r="BE19" t="str" cm="1">
        <f t="array" aca="1" ref="BE19" ca="1">IF(AW19=0,"",INDEX(auto_ddCountry,AW19))</f>
        <v>Berlin</v>
      </c>
      <c r="BF19" t="str" cm="1">
        <f t="array" aca="1" ref="BF19" ca="1">IF(AX19=0,"",INDEX(auto_ddCountry,AX19))</f>
        <v/>
      </c>
      <c r="BG19" t="str" cm="1">
        <f t="array" aca="1" ref="BG19" ca="1">IF(AY19=0,"",INDEX(auto_ddCountry,AY19))</f>
        <v/>
      </c>
    </row>
    <row r="20" spans="1:59" x14ac:dyDescent="0.4">
      <c r="A20">
        <v>6</v>
      </c>
      <c r="B20">
        <v>6</v>
      </c>
      <c r="C20" cm="1">
        <f t="array" ref="C20">INDEX(auto_Country_Status,B20)</f>
        <v>1</v>
      </c>
      <c r="E20" cm="1">
        <f t="array" aca="1" ref="E20" ca="1">INDEX(sys_DataFlat_LU_Grid,$C$2,$B20)</f>
        <v>6</v>
      </c>
      <c r="F20" cm="1">
        <f t="array" aca="1" ref="F20" ca="1">INDEX(auto_DataFlat_Score,E20,$C$5)</f>
        <v>63.4</v>
      </c>
      <c r="G20" cm="1">
        <f t="array" aca="1" ref="G20" ca="1">INDEX(auto_DataFlat_DataValue,E20,$C$5)</f>
        <v>0</v>
      </c>
      <c r="H20">
        <f t="shared" ca="1" si="21"/>
        <v>63.4</v>
      </c>
      <c r="I20" cm="1">
        <f t="array" aca="1" ref="I20" ca="1">INDEX(auto_DataFlat_Classification,E20,$C$5)</f>
        <v>4</v>
      </c>
      <c r="J20">
        <f t="shared" ca="1" si="22"/>
        <v>63.4</v>
      </c>
      <c r="K20">
        <f t="shared" ca="1" si="23"/>
        <v>63.4</v>
      </c>
      <c r="L20">
        <f ca="1">RANK(K20,OFFSET(K$15,0,0,$C$12,1))+COUNTIF(K$15:K20,K20)-1</f>
        <v>28</v>
      </c>
      <c r="N20">
        <f t="shared" ca="1" si="24"/>
        <v>47</v>
      </c>
      <c r="O20" cm="1">
        <f t="array" aca="1" ref="O20" ca="1">INDEX(auto_Country_Status,N20)</f>
        <v>1</v>
      </c>
      <c r="P20" cm="1">
        <f t="array" aca="1" ref="P20" ca="1">INDEX(OFFSET($E$15,0,0,$C$12,1),N20)</f>
        <v>47</v>
      </c>
      <c r="Q20" t="str" cm="1">
        <f t="array" aca="1" ref="Q20" ca="1">INDEX(auto_Country_ISO,N20)</f>
        <v>TOR</v>
      </c>
      <c r="R20" cm="1">
        <f t="array" aca="1" ref="R20" ca="1">IF(O20=0,0,INDEX(auto_DataFlat_Classification,P20,$C$5))</f>
        <v>4</v>
      </c>
      <c r="S20" cm="1">
        <f t="array" aca="1" ref="S20" ca="1">INDEX(auto_DataFlat_DataValue,P20,$C$5)</f>
        <v>0</v>
      </c>
      <c r="U20" t="e">
        <f t="shared" ref="U20:Z20" ca="1" si="29">IFERROR(U19+MATCH(U$13,OFFSET($R$15,U19,0,$C$12-U19,1),0),NA())</f>
        <v>#N/A</v>
      </c>
      <c r="V20" t="e">
        <f t="shared" ca="1" si="29"/>
        <v>#N/A</v>
      </c>
      <c r="W20" t="e">
        <f t="shared" ca="1" si="29"/>
        <v>#N/A</v>
      </c>
      <c r="X20">
        <f t="shared" ca="1" si="29"/>
        <v>37</v>
      </c>
      <c r="Y20">
        <f t="shared" ca="1" si="29"/>
        <v>8</v>
      </c>
      <c r="Z20" t="e">
        <f t="shared" ca="1" si="29"/>
        <v>#N/A</v>
      </c>
      <c r="AB20" cm="1">
        <f t="array" aca="1" ref="AB20" ca="1">IFERROR(INDEX(OFFSET($N$15,0,0,$C$12,1),U20),0)</f>
        <v>0</v>
      </c>
      <c r="AC20" cm="1">
        <f t="array" aca="1" ref="AC20" ca="1">IFERROR(INDEX(OFFSET($N$15,0,0,$C$12,1),V20),0)</f>
        <v>0</v>
      </c>
      <c r="AD20" cm="1">
        <f t="array" aca="1" ref="AD20" ca="1">IFERROR(INDEX(OFFSET($N$15,0,0,$C$12,1),W20),0)</f>
        <v>0</v>
      </c>
      <c r="AE20" cm="1">
        <f t="array" aca="1" ref="AE20" ca="1">IFERROR(INDEX(OFFSET($N$15,0,0,$C$12,1),X20),0)</f>
        <v>23</v>
      </c>
      <c r="AF20" cm="1">
        <f t="array" aca="1" ref="AF20" ca="1">IFERROR(INDEX(OFFSET($N$15,0,0,$C$12,1),Y20),0)</f>
        <v>46</v>
      </c>
      <c r="AG20" cm="1">
        <f t="array" aca="1" ref="AG20" ca="1">IFERROR(INDEX(OFFSET($N$15,0,0,$C$12,1),Z20),0)</f>
        <v>0</v>
      </c>
      <c r="AI20">
        <f t="shared" ca="1" si="26"/>
        <v>4</v>
      </c>
      <c r="AK20" t="e">
        <f t="shared" ca="1" si="13"/>
        <v>#N/A</v>
      </c>
      <c r="AL20" t="e">
        <f t="shared" ca="1" si="14"/>
        <v>#N/A</v>
      </c>
      <c r="AM20" t="e">
        <f t="shared" ca="1" si="15"/>
        <v>#N/A</v>
      </c>
      <c r="AN20">
        <f t="shared" ca="1" si="16"/>
        <v>13</v>
      </c>
      <c r="AO20">
        <f t="shared" ca="1" si="17"/>
        <v>8</v>
      </c>
      <c r="AP20" t="e">
        <f t="shared" ca="1" si="18"/>
        <v>#N/A</v>
      </c>
      <c r="AQ20" t="e">
        <f t="shared" ca="1" si="19"/>
        <v>#N/A</v>
      </c>
      <c r="AS20" cm="1">
        <f t="array" aca="1" ref="AS20" ca="1">IFERROR(INDEX(OFFSET($B$15,0,0,$C$12,1),AK20),0)</f>
        <v>0</v>
      </c>
      <c r="AT20" cm="1">
        <f t="array" aca="1" ref="AT20" ca="1">IFERROR(INDEX(OFFSET($B$15,0,0,$C$12,1),AL20),0)</f>
        <v>0</v>
      </c>
      <c r="AU20" cm="1">
        <f t="array" aca="1" ref="AU20" ca="1">IFERROR(INDEX(OFFSET($B$15,0,0,$C$12,1),AM20),0)</f>
        <v>0</v>
      </c>
      <c r="AV20" cm="1">
        <f t="array" aca="1" ref="AV20" ca="1">IFERROR(INDEX(OFFSET($B$15,0,0,$C$12,1),AN20),0)</f>
        <v>13</v>
      </c>
      <c r="AW20" cm="1">
        <f t="array" aca="1" ref="AW20" ca="1">IFERROR(INDEX(OFFSET($B$15,0,0,$C$12,1),AO20),0)</f>
        <v>8</v>
      </c>
      <c r="AX20" cm="1">
        <f t="array" aca="1" ref="AX20" ca="1">IFERROR(INDEX(OFFSET($B$15,0,0,$C$12,1),AP20),0)</f>
        <v>0</v>
      </c>
      <c r="AY20" cm="1">
        <f t="array" aca="1" ref="AY20" ca="1">IFERROR(INDEX(OFFSET($B$15,0,0,$C$12,1),AQ20),0)</f>
        <v>0</v>
      </c>
      <c r="BA20" t="str" cm="1">
        <f t="array" aca="1" ref="BA20" ca="1">IF(AS20=0,"",INDEX(auto_ddCountry,AS20))</f>
        <v/>
      </c>
      <c r="BB20" t="str" cm="1">
        <f t="array" aca="1" ref="BB20" ca="1">IF(AT20=0,"",INDEX(auto_ddCountry,AT20))</f>
        <v/>
      </c>
      <c r="BC20" t="str" cm="1">
        <f t="array" aca="1" ref="BC20" ca="1">IF(AU20=0,"",INDEX(auto_ddCountry,AU20))</f>
        <v/>
      </c>
      <c r="BD20" t="str" cm="1">
        <f t="array" aca="1" ref="BD20" ca="1">IF(AV20=0,"",INDEX(auto_ddCountry,AV20))</f>
        <v>Dhaka</v>
      </c>
      <c r="BE20" t="str" cm="1">
        <f t="array" aca="1" ref="BE20" ca="1">IF(AW20=0,"",INDEX(auto_ddCountry,AW20))</f>
        <v>Bogotá</v>
      </c>
      <c r="BF20" t="str" cm="1">
        <f t="array" aca="1" ref="BF20" ca="1">IF(AX20=0,"",INDEX(auto_ddCountry,AX20))</f>
        <v/>
      </c>
      <c r="BG20" t="str" cm="1">
        <f t="array" aca="1" ref="BG20" ca="1">IF(AY20=0,"",INDEX(auto_ddCountry,AY20))</f>
        <v/>
      </c>
    </row>
    <row r="21" spans="1:59" x14ac:dyDescent="0.4">
      <c r="A21">
        <v>7</v>
      </c>
      <c r="B21">
        <v>7</v>
      </c>
      <c r="C21" cm="1">
        <f t="array" ref="C21">INDEX(auto_Country_Status,B21)</f>
        <v>1</v>
      </c>
      <c r="E21" cm="1">
        <f t="array" aca="1" ref="E21" ca="1">INDEX(sys_DataFlat_LU_Grid,$C$2,$B21)</f>
        <v>7</v>
      </c>
      <c r="F21" cm="1">
        <f t="array" aca="1" ref="F21" ca="1">INDEX(auto_DataFlat_Score,E21,$C$5)</f>
        <v>77.400000000000006</v>
      </c>
      <c r="G21" cm="1">
        <f t="array" aca="1" ref="G21" ca="1">INDEX(auto_DataFlat_DataValue,E21,$C$5)</f>
        <v>0</v>
      </c>
      <c r="H21">
        <f t="shared" ca="1" si="21"/>
        <v>77.400000000000006</v>
      </c>
      <c r="I21" cm="1">
        <f t="array" aca="1" ref="I21" ca="1">INDEX(auto_DataFlat_Classification,E21,$C$5)</f>
        <v>4</v>
      </c>
      <c r="J21">
        <f t="shared" ca="1" si="22"/>
        <v>77.400000000000006</v>
      </c>
      <c r="K21">
        <f t="shared" ca="1" si="23"/>
        <v>77.400000000000006</v>
      </c>
      <c r="L21">
        <f ca="1">RANK(K21,OFFSET(K$15,0,0,$C$12,1))+COUNTIF(K$15:K21,K21)-1</f>
        <v>5</v>
      </c>
      <c r="N21">
        <f t="shared" ca="1" si="24"/>
        <v>44</v>
      </c>
      <c r="O21" cm="1">
        <f t="array" aca="1" ref="O21" ca="1">INDEX(auto_Country_Status,N21)</f>
        <v>1</v>
      </c>
      <c r="P21" cm="1">
        <f t="array" aca="1" ref="P21" ca="1">INDEX(OFFSET($E$15,0,0,$C$12,1),N21)</f>
        <v>44</v>
      </c>
      <c r="Q21" t="str" cm="1">
        <f t="array" aca="1" ref="Q21" ca="1">INDEX(auto_Country_ISO,N21)</f>
        <v>SIN</v>
      </c>
      <c r="R21" cm="1">
        <f t="array" aca="1" ref="R21" ca="1">IF(O21=0,0,INDEX(auto_DataFlat_Classification,P21,$C$5))</f>
        <v>4</v>
      </c>
      <c r="S21" cm="1">
        <f t="array" aca="1" ref="S21" ca="1">INDEX(auto_DataFlat_DataValue,P21,$C$5)</f>
        <v>0</v>
      </c>
      <c r="U21" t="e">
        <f t="shared" ref="U21:Z21" ca="1" si="30">IFERROR(U20+MATCH(U$13,OFFSET($R$15,U20,0,$C$12-U20,1),0),NA())</f>
        <v>#N/A</v>
      </c>
      <c r="V21" t="e">
        <f t="shared" ca="1" si="30"/>
        <v>#N/A</v>
      </c>
      <c r="W21" t="e">
        <f t="shared" ca="1" si="30"/>
        <v>#N/A</v>
      </c>
      <c r="X21">
        <f t="shared" ca="1" si="30"/>
        <v>38</v>
      </c>
      <c r="Y21">
        <f t="shared" ca="1" si="30"/>
        <v>9</v>
      </c>
      <c r="Z21" t="e">
        <f t="shared" ca="1" si="30"/>
        <v>#N/A</v>
      </c>
      <c r="AB21" cm="1">
        <f t="array" aca="1" ref="AB21" ca="1">IFERROR(INDEX(OFFSET($N$15,0,0,$C$12,1),U21),0)</f>
        <v>0</v>
      </c>
      <c r="AC21" cm="1">
        <f t="array" aca="1" ref="AC21" ca="1">IFERROR(INDEX(OFFSET($N$15,0,0,$C$12,1),V21),0)</f>
        <v>0</v>
      </c>
      <c r="AD21" cm="1">
        <f t="array" aca="1" ref="AD21" ca="1">IFERROR(INDEX(OFFSET($N$15,0,0,$C$12,1),W21),0)</f>
        <v>0</v>
      </c>
      <c r="AE21" cm="1">
        <f t="array" aca="1" ref="AE21" ca="1">IFERROR(INDEX(OFFSET($N$15,0,0,$C$12,1),X21),0)</f>
        <v>25</v>
      </c>
      <c r="AF21" cm="1">
        <f t="array" aca="1" ref="AF21" ca="1">IFERROR(INDEX(OFFSET($N$15,0,0,$C$12,1),Y21),0)</f>
        <v>29</v>
      </c>
      <c r="AG21" cm="1">
        <f t="array" aca="1" ref="AG21" ca="1">IFERROR(INDEX(OFFSET($N$15,0,0,$C$12,1),Z21),0)</f>
        <v>0</v>
      </c>
      <c r="AI21">
        <f t="shared" ca="1" si="26"/>
        <v>4</v>
      </c>
      <c r="AK21" t="e">
        <f t="shared" ref="AK21:AQ21" ca="1" si="31">IFERROR(AK20+MATCH(AK$13,OFFSET($AI$15,AK20,0,$C$12-AK20,1),0),NA())</f>
        <v>#N/A</v>
      </c>
      <c r="AL21" t="e">
        <f t="shared" ca="1" si="31"/>
        <v>#N/A</v>
      </c>
      <c r="AM21" t="e">
        <f t="shared" ca="1" si="31"/>
        <v>#N/A</v>
      </c>
      <c r="AN21">
        <f t="shared" ca="1" si="31"/>
        <v>20</v>
      </c>
      <c r="AO21">
        <f t="shared" ca="1" si="31"/>
        <v>9</v>
      </c>
      <c r="AP21" t="e">
        <f t="shared" ca="1" si="31"/>
        <v>#N/A</v>
      </c>
      <c r="AQ21" t="e">
        <f t="shared" ca="1" si="31"/>
        <v>#N/A</v>
      </c>
      <c r="AS21" cm="1">
        <f t="array" aca="1" ref="AS21" ca="1">IFERROR(INDEX(OFFSET($B$15,0,0,$C$12,1),AK21),0)</f>
        <v>0</v>
      </c>
      <c r="AT21" cm="1">
        <f t="array" aca="1" ref="AT21" ca="1">IFERROR(INDEX(OFFSET($B$15,0,0,$C$12,1),AL21),0)</f>
        <v>0</v>
      </c>
      <c r="AU21" cm="1">
        <f t="array" aca="1" ref="AU21" ca="1">IFERROR(INDEX(OFFSET($B$15,0,0,$C$12,1),AM21),0)</f>
        <v>0</v>
      </c>
      <c r="AV21" cm="1">
        <f t="array" aca="1" ref="AV21" ca="1">IFERROR(INDEX(OFFSET($B$15,0,0,$C$12,1),AN21),0)</f>
        <v>20</v>
      </c>
      <c r="AW21" cm="1">
        <f t="array" aca="1" ref="AW21" ca="1">IFERROR(INDEX(OFFSET($B$15,0,0,$C$12,1),AO21),0)</f>
        <v>9</v>
      </c>
      <c r="AX21" cm="1">
        <f t="array" aca="1" ref="AX21" ca="1">IFERROR(INDEX(OFFSET($B$15,0,0,$C$12,1),AP21),0)</f>
        <v>0</v>
      </c>
      <c r="AY21" cm="1">
        <f t="array" aca="1" ref="AY21" ca="1">IFERROR(INDEX(OFFSET($B$15,0,0,$C$12,1),AQ21),0)</f>
        <v>0</v>
      </c>
      <c r="BA21" t="str" cm="1">
        <f t="array" aca="1" ref="BA21" ca="1">IF(AS21=0,"",INDEX(auto_ddCountry,AS21))</f>
        <v/>
      </c>
      <c r="BB21" t="str" cm="1">
        <f t="array" aca="1" ref="BB21" ca="1">IF(AT21=0,"",INDEX(auto_ddCountry,AT21))</f>
        <v/>
      </c>
      <c r="BC21" t="str" cm="1">
        <f t="array" aca="1" ref="BC21" ca="1">IF(AU21=0,"",INDEX(auto_ddCountry,AU21))</f>
        <v/>
      </c>
      <c r="BD21" t="str" cm="1">
        <f t="array" aca="1" ref="BD21" ca="1">IF(AV21=0,"",INDEX(auto_ddCountry,AV21))</f>
        <v>Johannesburg</v>
      </c>
      <c r="BE21" t="str" cm="1">
        <f t="array" aca="1" ref="BE21" ca="1">IF(AW21=0,"",INDEX(auto_ddCountry,AW21))</f>
        <v>Budapest</v>
      </c>
      <c r="BF21" t="str" cm="1">
        <f t="array" aca="1" ref="BF21" ca="1">IF(AX21=0,"",INDEX(auto_ddCountry,AX21))</f>
        <v/>
      </c>
      <c r="BG21" t="str" cm="1">
        <f t="array" aca="1" ref="BG21" ca="1">IF(AY21=0,"",INDEX(auto_ddCountry,AY21))</f>
        <v/>
      </c>
    </row>
    <row r="22" spans="1:59" x14ac:dyDescent="0.4">
      <c r="A22">
        <v>8</v>
      </c>
      <c r="B22">
        <v>8</v>
      </c>
      <c r="C22" cm="1">
        <f t="array" ref="C22">INDEX(auto_Country_Status,B22)</f>
        <v>1</v>
      </c>
      <c r="E22" cm="1">
        <f t="array" aca="1" ref="E22" ca="1">INDEX(sys_DataFlat_LU_Grid,$C$2,$B22)</f>
        <v>8</v>
      </c>
      <c r="F22" cm="1">
        <f t="array" aca="1" ref="F22" ca="1">INDEX(auto_DataFlat_Score,E22,$C$5)</f>
        <v>69.7</v>
      </c>
      <c r="G22" cm="1">
        <f t="array" aca="1" ref="G22" ca="1">INDEX(auto_DataFlat_DataValue,E22,$C$5)</f>
        <v>0</v>
      </c>
      <c r="H22">
        <f t="shared" ca="1" si="21"/>
        <v>69.7</v>
      </c>
      <c r="I22" cm="1">
        <f t="array" aca="1" ref="I22" ca="1">INDEX(auto_DataFlat_Classification,E22,$C$5)</f>
        <v>4</v>
      </c>
      <c r="J22">
        <f t="shared" ca="1" si="22"/>
        <v>69.7</v>
      </c>
      <c r="K22">
        <f t="shared" ca="1" si="23"/>
        <v>69.7</v>
      </c>
      <c r="L22">
        <f ca="1">RANK(K22,OFFSET(K$15,0,0,$C$12,1))+COUNTIF(K$15:K22,K22)-1</f>
        <v>18</v>
      </c>
      <c r="N22">
        <f t="shared" ca="1" si="24"/>
        <v>46</v>
      </c>
      <c r="O22" cm="1">
        <f t="array" aca="1" ref="O22" ca="1">INDEX(auto_Country_Status,N22)</f>
        <v>1</v>
      </c>
      <c r="P22" cm="1">
        <f t="array" aca="1" ref="P22" ca="1">INDEX(OFFSET($E$15,0,0,$C$12,1),N22)</f>
        <v>46</v>
      </c>
      <c r="Q22" t="str" cm="1">
        <f t="array" aca="1" ref="Q22" ca="1">INDEX(auto_Country_ISO,N22)</f>
        <v>TYO</v>
      </c>
      <c r="R22" cm="1">
        <f t="array" aca="1" ref="R22" ca="1">IF(O22=0,0,INDEX(auto_DataFlat_Classification,P22,$C$5))</f>
        <v>4</v>
      </c>
      <c r="S22" cm="1">
        <f t="array" aca="1" ref="S22" ca="1">INDEX(auto_DataFlat_DataValue,P22,$C$5)</f>
        <v>0</v>
      </c>
      <c r="U22" t="e">
        <f t="shared" ref="U22:Z22" ca="1" si="32">IFERROR(U21+MATCH(U$13,OFFSET($R$15,U21,0,$C$12-U21,1),0),NA())</f>
        <v>#N/A</v>
      </c>
      <c r="V22" t="e">
        <f t="shared" ca="1" si="32"/>
        <v>#N/A</v>
      </c>
      <c r="W22" t="e">
        <f t="shared" ca="1" si="32"/>
        <v>#N/A</v>
      </c>
      <c r="X22">
        <f t="shared" ca="1" si="32"/>
        <v>39</v>
      </c>
      <c r="Y22">
        <f t="shared" ca="1" si="32"/>
        <v>10</v>
      </c>
      <c r="Z22" t="e">
        <f t="shared" ca="1" si="32"/>
        <v>#N/A</v>
      </c>
      <c r="AB22" cm="1">
        <f t="array" aca="1" ref="AB22" ca="1">IFERROR(INDEX(OFFSET($N$15,0,0,$C$12,1),U22),0)</f>
        <v>0</v>
      </c>
      <c r="AC22" cm="1">
        <f t="array" aca="1" ref="AC22" ca="1">IFERROR(INDEX(OFFSET($N$15,0,0,$C$12,1),V22),0)</f>
        <v>0</v>
      </c>
      <c r="AD22" cm="1">
        <f t="array" aca="1" ref="AD22" ca="1">IFERROR(INDEX(OFFSET($N$15,0,0,$C$12,1),W22),0)</f>
        <v>0</v>
      </c>
      <c r="AE22" cm="1">
        <f t="array" aca="1" ref="AE22" ca="1">IFERROR(INDEX(OFFSET($N$15,0,0,$C$12,1),X22),0)</f>
        <v>37</v>
      </c>
      <c r="AF22" cm="1">
        <f t="array" aca="1" ref="AF22" ca="1">IFERROR(INDEX(OFFSET($N$15,0,0,$C$12,1),Y22),0)</f>
        <v>42</v>
      </c>
      <c r="AG22" cm="1">
        <f t="array" aca="1" ref="AG22" ca="1">IFERROR(INDEX(OFFSET($N$15,0,0,$C$12,1),Z22),0)</f>
        <v>0</v>
      </c>
      <c r="AI22">
        <f t="shared" ca="1" si="26"/>
        <v>4</v>
      </c>
      <c r="AK22" t="e">
        <f t="shared" ca="1" si="13"/>
        <v>#N/A</v>
      </c>
      <c r="AL22" t="e">
        <f t="shared" ca="1" si="14"/>
        <v>#N/A</v>
      </c>
      <c r="AM22" t="e">
        <f t="shared" ca="1" si="15"/>
        <v>#N/A</v>
      </c>
      <c r="AN22">
        <f t="shared" ca="1" si="16"/>
        <v>21</v>
      </c>
      <c r="AO22">
        <f t="shared" ca="1" si="17"/>
        <v>14</v>
      </c>
      <c r="AP22" t="e">
        <f t="shared" ca="1" si="18"/>
        <v>#N/A</v>
      </c>
      <c r="AQ22" t="e">
        <f t="shared" ca="1" si="19"/>
        <v>#N/A</v>
      </c>
      <c r="AS22" cm="1">
        <f t="array" aca="1" ref="AS22" ca="1">IFERROR(INDEX(OFFSET($B$15,0,0,$C$12,1),AK22),0)</f>
        <v>0</v>
      </c>
      <c r="AT22" cm="1">
        <f t="array" aca="1" ref="AT22" ca="1">IFERROR(INDEX(OFFSET($B$15,0,0,$C$12,1),AL22),0)</f>
        <v>0</v>
      </c>
      <c r="AU22" cm="1">
        <f t="array" aca="1" ref="AU22" ca="1">IFERROR(INDEX(OFFSET($B$15,0,0,$C$12,1),AM22),0)</f>
        <v>0</v>
      </c>
      <c r="AV22" cm="1">
        <f t="array" aca="1" ref="AV22" ca="1">IFERROR(INDEX(OFFSET($B$15,0,0,$C$12,1),AN22),0)</f>
        <v>21</v>
      </c>
      <c r="AW22" cm="1">
        <f t="array" aca="1" ref="AW22" ca="1">IFERROR(INDEX(OFFSET($B$15,0,0,$C$12,1),AO22),0)</f>
        <v>14</v>
      </c>
      <c r="AX22" cm="1">
        <f t="array" aca="1" ref="AX22" ca="1">IFERROR(INDEX(OFFSET($B$15,0,0,$C$12,1),AP22),0)</f>
        <v>0</v>
      </c>
      <c r="AY22" cm="1">
        <f t="array" aca="1" ref="AY22" ca="1">IFERROR(INDEX(OFFSET($B$15,0,0,$C$12,1),AQ22),0)</f>
        <v>0</v>
      </c>
      <c r="BA22" t="str" cm="1">
        <f t="array" aca="1" ref="BA22" ca="1">IF(AS22=0,"",INDEX(auto_ddCountry,AS22))</f>
        <v/>
      </c>
      <c r="BB22" t="str" cm="1">
        <f t="array" aca="1" ref="BB22" ca="1">IF(AT22=0,"",INDEX(auto_ddCountry,AT22))</f>
        <v/>
      </c>
      <c r="BC22" t="str" cm="1">
        <f t="array" aca="1" ref="BC22" ca="1">IF(AU22=0,"",INDEX(auto_ddCountry,AU22))</f>
        <v/>
      </c>
      <c r="BD22" t="str" cm="1">
        <f t="array" aca="1" ref="BD22" ca="1">IF(AV22=0,"",INDEX(auto_ddCountry,AV22))</f>
        <v>Karachi</v>
      </c>
      <c r="BE22" t="str" cm="1">
        <f t="array" aca="1" ref="BE22" ca="1">IF(AW22=0,"",INDEX(auto_ddCountry,AW22))</f>
        <v>Dubai</v>
      </c>
      <c r="BF22" t="str" cm="1">
        <f t="array" aca="1" ref="BF22" ca="1">IF(AX22=0,"",INDEX(auto_ddCountry,AX22))</f>
        <v/>
      </c>
      <c r="BG22" t="str" cm="1">
        <f t="array" aca="1" ref="BG22" ca="1">IF(AY22=0,"",INDEX(auto_ddCountry,AY22))</f>
        <v/>
      </c>
    </row>
    <row r="23" spans="1:59" x14ac:dyDescent="0.4">
      <c r="A23">
        <v>9</v>
      </c>
      <c r="B23">
        <v>9</v>
      </c>
      <c r="C23" cm="1">
        <f t="array" ref="C23">INDEX(auto_Country_Status,B23)</f>
        <v>1</v>
      </c>
      <c r="E23" cm="1">
        <f t="array" aca="1" ref="E23" ca="1">INDEX(sys_DataFlat_LU_Grid,$C$2,$B23)</f>
        <v>9</v>
      </c>
      <c r="F23" cm="1">
        <f t="array" aca="1" ref="F23" ca="1">INDEX(auto_DataFlat_Score,E23,$C$5)</f>
        <v>69.5</v>
      </c>
      <c r="G23" cm="1">
        <f t="array" aca="1" ref="G23" ca="1">INDEX(auto_DataFlat_DataValue,E23,$C$5)</f>
        <v>0</v>
      </c>
      <c r="H23">
        <f t="shared" ca="1" si="21"/>
        <v>69.5</v>
      </c>
      <c r="I23" cm="1">
        <f t="array" aca="1" ref="I23" ca="1">INDEX(auto_DataFlat_Classification,E23,$C$5)</f>
        <v>4</v>
      </c>
      <c r="J23">
        <f t="shared" ca="1" si="22"/>
        <v>69.5</v>
      </c>
      <c r="K23">
        <f t="shared" ca="1" si="23"/>
        <v>69.5</v>
      </c>
      <c r="L23">
        <f ca="1">RANK(K23,OFFSET(K$15,0,0,$C$12,1))+COUNTIF(K$15:K23,K23)-1</f>
        <v>19</v>
      </c>
      <c r="N23">
        <f t="shared" ca="1" si="24"/>
        <v>29</v>
      </c>
      <c r="O23" cm="1">
        <f t="array" aca="1" ref="O23" ca="1">INDEX(auto_Country_Status,N23)</f>
        <v>1</v>
      </c>
      <c r="P23" cm="1">
        <f t="array" aca="1" ref="P23" ca="1">INDEX(OFFSET($E$15,0,0,$C$12,1),N23)</f>
        <v>29</v>
      </c>
      <c r="Q23" t="str" cm="1">
        <f t="array" aca="1" ref="Q23" ca="1">INDEX(auto_Country_ISO,N23)</f>
        <v>MEL</v>
      </c>
      <c r="R23" cm="1">
        <f t="array" aca="1" ref="R23" ca="1">IF(O23=0,0,INDEX(auto_DataFlat_Classification,P23,$C$5))</f>
        <v>4</v>
      </c>
      <c r="S23" cm="1">
        <f t="array" aca="1" ref="S23" ca="1">INDEX(auto_DataFlat_DataValue,P23,$C$5)</f>
        <v>0</v>
      </c>
      <c r="U23" t="e">
        <f t="shared" ref="U23:Z23" ca="1" si="33">IFERROR(U22+MATCH(U$13,OFFSET($R$15,U22,0,$C$12-U22,1),0),NA())</f>
        <v>#N/A</v>
      </c>
      <c r="V23" t="e">
        <f t="shared" ca="1" si="33"/>
        <v>#N/A</v>
      </c>
      <c r="W23" t="e">
        <f t="shared" ca="1" si="33"/>
        <v>#N/A</v>
      </c>
      <c r="X23">
        <f t="shared" ca="1" si="33"/>
        <v>40</v>
      </c>
      <c r="Y23">
        <f t="shared" ca="1" si="33"/>
        <v>11</v>
      </c>
      <c r="Z23" t="e">
        <f t="shared" ca="1" si="33"/>
        <v>#N/A</v>
      </c>
      <c r="AB23" cm="1">
        <f t="array" aca="1" ref="AB23" ca="1">IFERROR(INDEX(OFFSET($N$15,0,0,$C$12,1),U23),0)</f>
        <v>0</v>
      </c>
      <c r="AC23" cm="1">
        <f t="array" aca="1" ref="AC23" ca="1">IFERROR(INDEX(OFFSET($N$15,0,0,$C$12,1),V23),0)</f>
        <v>0</v>
      </c>
      <c r="AD23" cm="1">
        <f t="array" aca="1" ref="AD23" ca="1">IFERROR(INDEX(OFFSET($N$15,0,0,$C$12,1),W23),0)</f>
        <v>0</v>
      </c>
      <c r="AE23" cm="1">
        <f t="array" aca="1" ref="AE23" ca="1">IFERROR(INDEX(OFFSET($N$15,0,0,$C$12,1),X23),0)</f>
        <v>11</v>
      </c>
      <c r="AF23" cm="1">
        <f t="array" aca="1" ref="AF23" ca="1">IFERROR(INDEX(OFFSET($N$15,0,0,$C$12,1),Y23),0)</f>
        <v>15</v>
      </c>
      <c r="AG23" cm="1">
        <f t="array" aca="1" ref="AG23" ca="1">IFERROR(INDEX(OFFSET($N$15,0,0,$C$12,1),Z23),0)</f>
        <v>0</v>
      </c>
      <c r="AI23">
        <f t="shared" ca="1" si="26"/>
        <v>4</v>
      </c>
      <c r="AK23" t="e">
        <f t="shared" ref="AK23:AQ23" ca="1" si="34">IFERROR(AK22+MATCH(AK$13,OFFSET($AI$15,AK22,0,$C$12-AK22,1),0),NA())</f>
        <v>#N/A</v>
      </c>
      <c r="AL23" t="e">
        <f t="shared" ca="1" si="34"/>
        <v>#N/A</v>
      </c>
      <c r="AM23" t="e">
        <f t="shared" ca="1" si="34"/>
        <v>#N/A</v>
      </c>
      <c r="AN23">
        <f t="shared" ca="1" si="34"/>
        <v>22</v>
      </c>
      <c r="AO23">
        <f t="shared" ca="1" si="34"/>
        <v>15</v>
      </c>
      <c r="AP23" t="e">
        <f t="shared" ca="1" si="34"/>
        <v>#N/A</v>
      </c>
      <c r="AQ23" t="e">
        <f t="shared" ca="1" si="34"/>
        <v>#N/A</v>
      </c>
      <c r="AS23" cm="1">
        <f t="array" aca="1" ref="AS23" ca="1">IFERROR(INDEX(OFFSET($B$15,0,0,$C$12,1),AK23),0)</f>
        <v>0</v>
      </c>
      <c r="AT23" cm="1">
        <f t="array" aca="1" ref="AT23" ca="1">IFERROR(INDEX(OFFSET($B$15,0,0,$C$12,1),AL23),0)</f>
        <v>0</v>
      </c>
      <c r="AU23" cm="1">
        <f t="array" aca="1" ref="AU23" ca="1">IFERROR(INDEX(OFFSET($B$15,0,0,$C$12,1),AM23),0)</f>
        <v>0</v>
      </c>
      <c r="AV23" cm="1">
        <f t="array" aca="1" ref="AV23" ca="1">IFERROR(INDEX(OFFSET($B$15,0,0,$C$12,1),AN23),0)</f>
        <v>22</v>
      </c>
      <c r="AW23" cm="1">
        <f t="array" aca="1" ref="AW23" ca="1">IFERROR(INDEX(OFFSET($B$15,0,0,$C$12,1),AO23),0)</f>
        <v>15</v>
      </c>
      <c r="AX23" cm="1">
        <f t="array" aca="1" ref="AX23" ca="1">IFERROR(INDEX(OFFSET($B$15,0,0,$C$12,1),AP23),0)</f>
        <v>0</v>
      </c>
      <c r="AY23" cm="1">
        <f t="array" aca="1" ref="AY23" ca="1">IFERROR(INDEX(OFFSET($B$15,0,0,$C$12,1),AQ23),0)</f>
        <v>0</v>
      </c>
      <c r="BA23" t="str" cm="1">
        <f t="array" aca="1" ref="BA23" ca="1">IF(AS23=0,"",INDEX(auto_ddCountry,AS23))</f>
        <v/>
      </c>
      <c r="BB23" t="str" cm="1">
        <f t="array" aca="1" ref="BB23" ca="1">IF(AT23=0,"",INDEX(auto_ddCountry,AT23))</f>
        <v/>
      </c>
      <c r="BC23" t="str" cm="1">
        <f t="array" aca="1" ref="BC23" ca="1">IF(AU23=0,"",INDEX(auto_ddCountry,AU23))</f>
        <v/>
      </c>
      <c r="BD23" t="str" cm="1">
        <f t="array" aca="1" ref="BD23" ca="1">IF(AV23=0,"",INDEX(auto_ddCountry,AV23))</f>
        <v>Kathmandu</v>
      </c>
      <c r="BE23" t="str" cm="1">
        <f t="array" aca="1" ref="BE23" ca="1">IF(AW23=0,"",INDEX(auto_ddCountry,AW23))</f>
        <v>Helsinki</v>
      </c>
      <c r="BF23" t="str" cm="1">
        <f t="array" aca="1" ref="BF23" ca="1">IF(AX23=0,"",INDEX(auto_ddCountry,AX23))</f>
        <v/>
      </c>
      <c r="BG23" t="str" cm="1">
        <f t="array" aca="1" ref="BG23" ca="1">IF(AY23=0,"",INDEX(auto_ddCountry,AY23))</f>
        <v/>
      </c>
    </row>
    <row r="24" spans="1:59" x14ac:dyDescent="0.4">
      <c r="A24">
        <v>10</v>
      </c>
      <c r="B24">
        <v>10</v>
      </c>
      <c r="C24" cm="1">
        <f t="array" ref="C24">INDEX(auto_Country_Status,B24)</f>
        <v>1</v>
      </c>
      <c r="E24" cm="1">
        <f t="array" aca="1" ref="E24" ca="1">INDEX(sys_DataFlat_LU_Grid,$C$2,$B24)</f>
        <v>10</v>
      </c>
      <c r="F24" cm="1">
        <f t="array" aca="1" ref="F24" ca="1">INDEX(auto_DataFlat_Score,E24,$C$5)</f>
        <v>40.6</v>
      </c>
      <c r="G24" cm="1">
        <f t="array" aca="1" ref="G24" ca="1">INDEX(auto_DataFlat_DataValue,E24,$C$5)</f>
        <v>0</v>
      </c>
      <c r="H24">
        <f t="shared" ca="1" si="21"/>
        <v>40.6</v>
      </c>
      <c r="I24" cm="1">
        <f t="array" aca="1" ref="I24" ca="1">INDEX(auto_DataFlat_Classification,E24,$C$5)</f>
        <v>3</v>
      </c>
      <c r="J24">
        <f t="shared" ca="1" si="22"/>
        <v>40.6</v>
      </c>
      <c r="K24">
        <f t="shared" ca="1" si="23"/>
        <v>40.6</v>
      </c>
      <c r="L24">
        <f ca="1">RANK(K24,OFFSET(K$15,0,0,$C$12,1))+COUNTIF(K$15:K24,K24)-1</f>
        <v>50</v>
      </c>
      <c r="N24">
        <f t="shared" ca="1" si="24"/>
        <v>42</v>
      </c>
      <c r="O24" cm="1">
        <f t="array" aca="1" ref="O24" ca="1">INDEX(auto_Country_Status,N24)</f>
        <v>1</v>
      </c>
      <c r="P24" cm="1">
        <f t="array" aca="1" ref="P24" ca="1">INDEX(OFFSET($E$15,0,0,$C$12,1),N24)</f>
        <v>42</v>
      </c>
      <c r="Q24" t="str" cm="1">
        <f t="array" aca="1" ref="Q24" ca="1">INDEX(auto_Country_ISO,N24)</f>
        <v>SEL</v>
      </c>
      <c r="R24" cm="1">
        <f t="array" aca="1" ref="R24" ca="1">IF(O24=0,0,INDEX(auto_DataFlat_Classification,P24,$C$5))</f>
        <v>4</v>
      </c>
      <c r="S24" cm="1">
        <f t="array" aca="1" ref="S24" ca="1">INDEX(auto_DataFlat_DataValue,P24,$C$5)</f>
        <v>0</v>
      </c>
      <c r="U24" t="e">
        <f t="shared" ref="U24:Z24" ca="1" si="35">IFERROR(U23+MATCH(U$13,OFFSET($R$15,U23,0,$C$12-U23,1),0),NA())</f>
        <v>#N/A</v>
      </c>
      <c r="V24" t="e">
        <f t="shared" ca="1" si="35"/>
        <v>#N/A</v>
      </c>
      <c r="W24" t="e">
        <f t="shared" ca="1" si="35"/>
        <v>#N/A</v>
      </c>
      <c r="X24">
        <f t="shared" ca="1" si="35"/>
        <v>41</v>
      </c>
      <c r="Y24">
        <f t="shared" ca="1" si="35"/>
        <v>12</v>
      </c>
      <c r="Z24" t="e">
        <f t="shared" ca="1" si="35"/>
        <v>#N/A</v>
      </c>
      <c r="AB24" cm="1">
        <f t="array" aca="1" ref="AB24" ca="1">IFERROR(INDEX(OFFSET($N$15,0,0,$C$12,1),U24),0)</f>
        <v>0</v>
      </c>
      <c r="AC24" cm="1">
        <f t="array" aca="1" ref="AC24" ca="1">IFERROR(INDEX(OFFSET($N$15,0,0,$C$12,1),V24),0)</f>
        <v>0</v>
      </c>
      <c r="AD24" cm="1">
        <f t="array" aca="1" ref="AD24" ca="1">IFERROR(INDEX(OFFSET($N$15,0,0,$C$12,1),W24),0)</f>
        <v>0</v>
      </c>
      <c r="AE24" cm="1">
        <f t="array" aca="1" ref="AE24" ca="1">IFERROR(INDEX(OFFSET($N$15,0,0,$C$12,1),X24),0)</f>
        <v>1</v>
      </c>
      <c r="AF24" cm="1">
        <f t="array" aca="1" ref="AF24" ca="1">IFERROR(INDEX(OFFSET($N$15,0,0,$C$12,1),Y24),0)</f>
        <v>48</v>
      </c>
      <c r="AG24" cm="1">
        <f t="array" aca="1" ref="AG24" ca="1">IFERROR(INDEX(OFFSET($N$15,0,0,$C$12,1),Z24),0)</f>
        <v>0</v>
      </c>
      <c r="AI24">
        <f t="shared" ca="1" si="26"/>
        <v>3</v>
      </c>
      <c r="AK24" t="e">
        <f t="shared" ca="1" si="13"/>
        <v>#N/A</v>
      </c>
      <c r="AL24" t="e">
        <f t="shared" ca="1" si="14"/>
        <v>#N/A</v>
      </c>
      <c r="AM24" t="e">
        <f t="shared" ca="1" si="15"/>
        <v>#N/A</v>
      </c>
      <c r="AN24">
        <f t="shared" ca="1" si="16"/>
        <v>23</v>
      </c>
      <c r="AO24">
        <f t="shared" ca="1" si="17"/>
        <v>16</v>
      </c>
      <c r="AP24" t="e">
        <f t="shared" ca="1" si="18"/>
        <v>#N/A</v>
      </c>
      <c r="AQ24" t="e">
        <f t="shared" ca="1" si="19"/>
        <v>#N/A</v>
      </c>
      <c r="AS24" cm="1">
        <f t="array" aca="1" ref="AS24" ca="1">IFERROR(INDEX(OFFSET($B$15,0,0,$C$12,1),AK24),0)</f>
        <v>0</v>
      </c>
      <c r="AT24" cm="1">
        <f t="array" aca="1" ref="AT24" ca="1">IFERROR(INDEX(OFFSET($B$15,0,0,$C$12,1),AL24),0)</f>
        <v>0</v>
      </c>
      <c r="AU24" cm="1">
        <f t="array" aca="1" ref="AU24" ca="1">IFERROR(INDEX(OFFSET($B$15,0,0,$C$12,1),AM24),0)</f>
        <v>0</v>
      </c>
      <c r="AV24" cm="1">
        <f t="array" aca="1" ref="AV24" ca="1">IFERROR(INDEX(OFFSET($B$15,0,0,$C$12,1),AN24),0)</f>
        <v>23</v>
      </c>
      <c r="AW24" cm="1">
        <f t="array" aca="1" ref="AW24" ca="1">IFERROR(INDEX(OFFSET($B$15,0,0,$C$12,1),AO24),0)</f>
        <v>16</v>
      </c>
      <c r="AX24" cm="1">
        <f t="array" aca="1" ref="AX24" ca="1">IFERROR(INDEX(OFFSET($B$15,0,0,$C$12,1),AP24),0)</f>
        <v>0</v>
      </c>
      <c r="AY24" cm="1">
        <f t="array" aca="1" ref="AY24" ca="1">IFERROR(INDEX(OFFSET($B$15,0,0,$C$12,1),AQ24),0)</f>
        <v>0</v>
      </c>
      <c r="BA24" t="str" cm="1">
        <f t="array" aca="1" ref="BA24" ca="1">IF(AS24=0,"",INDEX(auto_ddCountry,AS24))</f>
        <v/>
      </c>
      <c r="BB24" t="str" cm="1">
        <f t="array" aca="1" ref="BB24" ca="1">IF(AT24=0,"",INDEX(auto_ddCountry,AT24))</f>
        <v/>
      </c>
      <c r="BC24" t="str" cm="1">
        <f t="array" aca="1" ref="BC24" ca="1">IF(AU24=0,"",INDEX(auto_ddCountry,AU24))</f>
        <v/>
      </c>
      <c r="BD24" t="str" cm="1">
        <f t="array" aca="1" ref="BD24" ca="1">IF(AV24=0,"",INDEX(auto_ddCountry,AV24))</f>
        <v>Kolkata</v>
      </c>
      <c r="BE24" t="str" cm="1">
        <f t="array" aca="1" ref="BE24" ca="1">IF(AW24=0,"",INDEX(auto_ddCountry,AW24))</f>
        <v>Ho Chi Minh City</v>
      </c>
      <c r="BF24" t="str" cm="1">
        <f t="array" aca="1" ref="BF24" ca="1">IF(AX24=0,"",INDEX(auto_ddCountry,AX24))</f>
        <v/>
      </c>
      <c r="BG24" t="str" cm="1">
        <f t="array" aca="1" ref="BG24" ca="1">IF(AY24=0,"",INDEX(auto_ddCountry,AY24))</f>
        <v/>
      </c>
    </row>
    <row r="25" spans="1:59" x14ac:dyDescent="0.4">
      <c r="A25">
        <v>11</v>
      </c>
      <c r="B25">
        <v>11</v>
      </c>
      <c r="C25" cm="1">
        <f t="array" ref="C25">INDEX(auto_Country_Status,B25)</f>
        <v>1</v>
      </c>
      <c r="E25" cm="1">
        <f t="array" aca="1" ref="E25" ca="1">INDEX(sys_DataFlat_LU_Grid,$C$2,$B25)</f>
        <v>11</v>
      </c>
      <c r="F25" cm="1">
        <f t="array" aca="1" ref="F25" ca="1">INDEX(auto_DataFlat_Score,E25,$C$5)</f>
        <v>50.1</v>
      </c>
      <c r="G25" cm="1">
        <f t="array" aca="1" ref="G25" ca="1">INDEX(auto_DataFlat_DataValue,E25,$C$5)</f>
        <v>0</v>
      </c>
      <c r="H25">
        <f t="shared" ca="1" si="21"/>
        <v>50.1</v>
      </c>
      <c r="I25" cm="1">
        <f t="array" aca="1" ref="I25" ca="1">INDEX(auto_DataFlat_Classification,E25,$C$5)</f>
        <v>3</v>
      </c>
      <c r="J25">
        <f t="shared" ca="1" si="22"/>
        <v>50.1</v>
      </c>
      <c r="K25">
        <f t="shared" ca="1" si="23"/>
        <v>50.1</v>
      </c>
      <c r="L25">
        <f ca="1">RANK(K25,OFFSET(K$15,0,0,$C$12,1))+COUNTIF(K$15:K25,K25)-1</f>
        <v>40</v>
      </c>
      <c r="N25">
        <f t="shared" ca="1" si="24"/>
        <v>15</v>
      </c>
      <c r="O25" cm="1">
        <f t="array" aca="1" ref="O25" ca="1">INDEX(auto_Country_Status,N25)</f>
        <v>1</v>
      </c>
      <c r="P25" cm="1">
        <f t="array" aca="1" ref="P25" ca="1">INDEX(OFFSET($E$15,0,0,$C$12,1),N25)</f>
        <v>15</v>
      </c>
      <c r="Q25" t="str" cm="1">
        <f t="array" aca="1" ref="Q25" ca="1">INDEX(auto_Country_ISO,N25)</f>
        <v>HEL</v>
      </c>
      <c r="R25" cm="1">
        <f t="array" aca="1" ref="R25" ca="1">IF(O25=0,0,INDEX(auto_DataFlat_Classification,P25,$C$5))</f>
        <v>4</v>
      </c>
      <c r="S25" cm="1">
        <f t="array" aca="1" ref="S25" ca="1">INDEX(auto_DataFlat_DataValue,P25,$C$5)</f>
        <v>0</v>
      </c>
      <c r="U25" t="e">
        <f t="shared" ref="U25:Z25" ca="1" si="36">IFERROR(U24+MATCH(U$13,OFFSET($R$15,U24,0,$C$12-U24,1),0),NA())</f>
        <v>#N/A</v>
      </c>
      <c r="V25" t="e">
        <f t="shared" ca="1" si="36"/>
        <v>#N/A</v>
      </c>
      <c r="W25" t="e">
        <f t="shared" ca="1" si="36"/>
        <v>#N/A</v>
      </c>
      <c r="X25">
        <f t="shared" ca="1" si="36"/>
        <v>42</v>
      </c>
      <c r="Y25">
        <f t="shared" ca="1" si="36"/>
        <v>13</v>
      </c>
      <c r="Z25" t="e">
        <f t="shared" ca="1" si="36"/>
        <v>#N/A</v>
      </c>
      <c r="AB25" cm="1">
        <f t="array" aca="1" ref="AB25" ca="1">IFERROR(INDEX(OFFSET($N$15,0,0,$C$12,1),U25),0)</f>
        <v>0</v>
      </c>
      <c r="AC25" cm="1">
        <f t="array" aca="1" ref="AC25" ca="1">IFERROR(INDEX(OFFSET($N$15,0,0,$C$12,1),V25),0)</f>
        <v>0</v>
      </c>
      <c r="AD25" cm="1">
        <f t="array" aca="1" ref="AD25" ca="1">IFERROR(INDEX(OFFSET($N$15,0,0,$C$12,1),W25),0)</f>
        <v>0</v>
      </c>
      <c r="AE25" cm="1">
        <f t="array" aca="1" ref="AE25" ca="1">IFERROR(INDEX(OFFSET($N$15,0,0,$C$12,1),X25),0)</f>
        <v>28</v>
      </c>
      <c r="AF25" cm="1">
        <f t="array" aca="1" ref="AF25" ca="1">IFERROR(INDEX(OFFSET($N$15,0,0,$C$12,1),Y25),0)</f>
        <v>35</v>
      </c>
      <c r="AG25" cm="1">
        <f t="array" aca="1" ref="AG25" ca="1">IFERROR(INDEX(OFFSET($N$15,0,0,$C$12,1),Z25),0)</f>
        <v>0</v>
      </c>
      <c r="AI25">
        <f t="shared" ca="1" si="26"/>
        <v>3</v>
      </c>
      <c r="AK25" t="e">
        <f t="shared" ref="AK25:AQ25" ca="1" si="37">IFERROR(AK24+MATCH(AK$13,OFFSET($AI$15,AK24,0,$C$12-AK24,1),0),NA())</f>
        <v>#N/A</v>
      </c>
      <c r="AL25" t="e">
        <f t="shared" ca="1" si="37"/>
        <v>#N/A</v>
      </c>
      <c r="AM25" t="e">
        <f t="shared" ca="1" si="37"/>
        <v>#N/A</v>
      </c>
      <c r="AN25">
        <f t="shared" ca="1" si="37"/>
        <v>24</v>
      </c>
      <c r="AO25">
        <f t="shared" ca="1" si="37"/>
        <v>18</v>
      </c>
      <c r="AP25" t="e">
        <f t="shared" ca="1" si="37"/>
        <v>#N/A</v>
      </c>
      <c r="AQ25" t="e">
        <f t="shared" ca="1" si="37"/>
        <v>#N/A</v>
      </c>
      <c r="AS25" cm="1">
        <f t="array" aca="1" ref="AS25" ca="1">IFERROR(INDEX(OFFSET($B$15,0,0,$C$12,1),AK25),0)</f>
        <v>0</v>
      </c>
      <c r="AT25" cm="1">
        <f t="array" aca="1" ref="AT25" ca="1">IFERROR(INDEX(OFFSET($B$15,0,0,$C$12,1),AL25),0)</f>
        <v>0</v>
      </c>
      <c r="AU25" cm="1">
        <f t="array" aca="1" ref="AU25" ca="1">IFERROR(INDEX(OFFSET($B$15,0,0,$C$12,1),AM25),0)</f>
        <v>0</v>
      </c>
      <c r="AV25" cm="1">
        <f t="array" aca="1" ref="AV25" ca="1">IFERROR(INDEX(OFFSET($B$15,0,0,$C$12,1),AN25),0)</f>
        <v>24</v>
      </c>
      <c r="AW25" cm="1">
        <f t="array" aca="1" ref="AW25" ca="1">IFERROR(INDEX(OFFSET($B$15,0,0,$C$12,1),AO25),0)</f>
        <v>18</v>
      </c>
      <c r="AX25" cm="1">
        <f t="array" aca="1" ref="AX25" ca="1">IFERROR(INDEX(OFFSET($B$15,0,0,$C$12,1),AP25),0)</f>
        <v>0</v>
      </c>
      <c r="AY25" cm="1">
        <f t="array" aca="1" ref="AY25" ca="1">IFERROR(INDEX(OFFSET($B$15,0,0,$C$12,1),AQ25),0)</f>
        <v>0</v>
      </c>
      <c r="BA25" t="str" cm="1">
        <f t="array" aca="1" ref="BA25" ca="1">IF(AS25=0,"",INDEX(auto_ddCountry,AS25))</f>
        <v/>
      </c>
      <c r="BB25" t="str" cm="1">
        <f t="array" aca="1" ref="BB25" ca="1">IF(AT25=0,"",INDEX(auto_ddCountry,AT25))</f>
        <v/>
      </c>
      <c r="BC25" t="str" cm="1">
        <f t="array" aca="1" ref="BC25" ca="1">IF(AU25=0,"",INDEX(auto_ddCountry,AU25))</f>
        <v/>
      </c>
      <c r="BD25" t="str" cm="1">
        <f t="array" aca="1" ref="BD25" ca="1">IF(AV25=0,"",INDEX(auto_ddCountry,AV25))</f>
        <v>Kuwait City</v>
      </c>
      <c r="BE25" t="str" cm="1">
        <f t="array" aca="1" ref="BE25" ca="1">IF(AW25=0,"",INDEX(auto_ddCountry,AW25))</f>
        <v>Istanbul</v>
      </c>
      <c r="BF25" t="str" cm="1">
        <f t="array" aca="1" ref="BF25" ca="1">IF(AX25=0,"",INDEX(auto_ddCountry,AX25))</f>
        <v/>
      </c>
      <c r="BG25" t="str" cm="1">
        <f t="array" aca="1" ref="BG25" ca="1">IF(AY25=0,"",INDEX(auto_ddCountry,AY25))</f>
        <v/>
      </c>
    </row>
    <row r="26" spans="1:59" x14ac:dyDescent="0.4">
      <c r="A26">
        <v>12</v>
      </c>
      <c r="B26">
        <v>12</v>
      </c>
      <c r="C26" cm="1">
        <f t="array" ref="C26">INDEX(auto_Country_Status,B26)</f>
        <v>1</v>
      </c>
      <c r="E26" cm="1">
        <f t="array" aca="1" ref="E26" ca="1">INDEX(sys_DataFlat_LU_Grid,$C$2,$B26)</f>
        <v>12</v>
      </c>
      <c r="F26" cm="1">
        <f t="array" aca="1" ref="F26" ca="1">INDEX(auto_DataFlat_Score,E26,$C$5)</f>
        <v>56.8</v>
      </c>
      <c r="G26" cm="1">
        <f t="array" aca="1" ref="G26" ca="1">INDEX(auto_DataFlat_DataValue,E26,$C$5)</f>
        <v>0</v>
      </c>
      <c r="H26">
        <f t="shared" ca="1" si="21"/>
        <v>56.8</v>
      </c>
      <c r="I26" cm="1">
        <f t="array" aca="1" ref="I26" ca="1">INDEX(auto_DataFlat_Classification,E26,$C$5)</f>
        <v>3</v>
      </c>
      <c r="J26">
        <f t="shared" ca="1" si="22"/>
        <v>56.8</v>
      </c>
      <c r="K26">
        <f t="shared" ca="1" si="23"/>
        <v>56.8</v>
      </c>
      <c r="L26">
        <f ca="1">RANK(K26,OFFSET(K$15,0,0,$C$12,1))+COUNTIF(K$15:K26,K26)-1</f>
        <v>33</v>
      </c>
      <c r="N26">
        <f t="shared" ca="1" si="24"/>
        <v>48</v>
      </c>
      <c r="O26" cm="1">
        <f t="array" aca="1" ref="O26" ca="1">INDEX(auto_Country_Status,N26)</f>
        <v>1</v>
      </c>
      <c r="P26" cm="1">
        <f t="array" aca="1" ref="P26" ca="1">INDEX(OFFSET($E$15,0,0,$C$12,1),N26)</f>
        <v>48</v>
      </c>
      <c r="Q26" t="str" cm="1">
        <f t="array" aca="1" ref="Q26" ca="1">INDEX(auto_Country_ISO,N26)</f>
        <v>VIE</v>
      </c>
      <c r="R26" cm="1">
        <f t="array" aca="1" ref="R26" ca="1">IF(O26=0,0,INDEX(auto_DataFlat_Classification,P26,$C$5))</f>
        <v>4</v>
      </c>
      <c r="S26" cm="1">
        <f t="array" aca="1" ref="S26" ca="1">INDEX(auto_DataFlat_DataValue,P26,$C$5)</f>
        <v>0</v>
      </c>
      <c r="U26" t="e">
        <f t="shared" ref="U26:Z26" ca="1" si="38">IFERROR(U25+MATCH(U$13,OFFSET($R$15,U25,0,$C$12-U25,1),0),NA())</f>
        <v>#N/A</v>
      </c>
      <c r="V26" t="e">
        <f t="shared" ca="1" si="38"/>
        <v>#N/A</v>
      </c>
      <c r="W26" t="e">
        <f t="shared" ca="1" si="38"/>
        <v>#N/A</v>
      </c>
      <c r="X26">
        <f t="shared" ca="1" si="38"/>
        <v>43</v>
      </c>
      <c r="Y26">
        <f t="shared" ca="1" si="38"/>
        <v>14</v>
      </c>
      <c r="Z26" t="e">
        <f t="shared" ca="1" si="38"/>
        <v>#N/A</v>
      </c>
      <c r="AB26" cm="1">
        <f t="array" aca="1" ref="AB26" ca="1">IFERROR(INDEX(OFFSET($N$15,0,0,$C$12,1),U26),0)</f>
        <v>0</v>
      </c>
      <c r="AC26" cm="1">
        <f t="array" aca="1" ref="AC26" ca="1">IFERROR(INDEX(OFFSET($N$15,0,0,$C$12,1),V26),0)</f>
        <v>0</v>
      </c>
      <c r="AD26" cm="1">
        <f t="array" aca="1" ref="AD26" ca="1">IFERROR(INDEX(OFFSET($N$15,0,0,$C$12,1),W26),0)</f>
        <v>0</v>
      </c>
      <c r="AE26" cm="1">
        <f t="array" aca="1" ref="AE26" ca="1">IFERROR(INDEX(OFFSET($N$15,0,0,$C$12,1),X26),0)</f>
        <v>21</v>
      </c>
      <c r="AF26" cm="1">
        <f t="array" aca="1" ref="AF26" ca="1">IFERROR(INDEX(OFFSET($N$15,0,0,$C$12,1),Y26),0)</f>
        <v>40</v>
      </c>
      <c r="AG26" cm="1">
        <f t="array" aca="1" ref="AG26" ca="1">IFERROR(INDEX(OFFSET($N$15,0,0,$C$12,1),Z26),0)</f>
        <v>0</v>
      </c>
      <c r="AI26">
        <f t="shared" ca="1" si="26"/>
        <v>3</v>
      </c>
      <c r="AK26" t="e">
        <f t="shared" ca="1" si="13"/>
        <v>#N/A</v>
      </c>
      <c r="AL26" t="e">
        <f t="shared" ca="1" si="14"/>
        <v>#N/A</v>
      </c>
      <c r="AM26" t="e">
        <f t="shared" ca="1" si="15"/>
        <v>#N/A</v>
      </c>
      <c r="AN26">
        <f t="shared" ca="1" si="16"/>
        <v>25</v>
      </c>
      <c r="AO26">
        <f t="shared" ca="1" si="17"/>
        <v>19</v>
      </c>
      <c r="AP26" t="e">
        <f t="shared" ca="1" si="18"/>
        <v>#N/A</v>
      </c>
      <c r="AQ26" t="e">
        <f t="shared" ca="1" si="19"/>
        <v>#N/A</v>
      </c>
      <c r="AS26" cm="1">
        <f t="array" aca="1" ref="AS26" ca="1">IFERROR(INDEX(OFFSET($B$15,0,0,$C$12,1),AK26),0)</f>
        <v>0</v>
      </c>
      <c r="AT26" cm="1">
        <f t="array" aca="1" ref="AT26" ca="1">IFERROR(INDEX(OFFSET($B$15,0,0,$C$12,1),AL26),0)</f>
        <v>0</v>
      </c>
      <c r="AU26" cm="1">
        <f t="array" aca="1" ref="AU26" ca="1">IFERROR(INDEX(OFFSET($B$15,0,0,$C$12,1),AM26),0)</f>
        <v>0</v>
      </c>
      <c r="AV26" cm="1">
        <f t="array" aca="1" ref="AV26" ca="1">IFERROR(INDEX(OFFSET($B$15,0,0,$C$12,1),AN26),0)</f>
        <v>25</v>
      </c>
      <c r="AW26" cm="1">
        <f t="array" aca="1" ref="AW26" ca="1">IFERROR(INDEX(OFFSET($B$15,0,0,$C$12,1),AO26),0)</f>
        <v>19</v>
      </c>
      <c r="AX26" cm="1">
        <f t="array" aca="1" ref="AX26" ca="1">IFERROR(INDEX(OFFSET($B$15,0,0,$C$12,1),AP26),0)</f>
        <v>0</v>
      </c>
      <c r="AY26" cm="1">
        <f t="array" aca="1" ref="AY26" ca="1">IFERROR(INDEX(OFFSET($B$15,0,0,$C$12,1),AQ26),0)</f>
        <v>0</v>
      </c>
      <c r="BA26" t="str" cm="1">
        <f t="array" aca="1" ref="BA26" ca="1">IF(AS26=0,"",INDEX(auto_ddCountry,AS26))</f>
        <v/>
      </c>
      <c r="BB26" t="str" cm="1">
        <f t="array" aca="1" ref="BB26" ca="1">IF(AT26=0,"",INDEX(auto_ddCountry,AT26))</f>
        <v/>
      </c>
      <c r="BC26" t="str" cm="1">
        <f t="array" aca="1" ref="BC26" ca="1">IF(AU26=0,"",INDEX(auto_ddCountry,AU26))</f>
        <v/>
      </c>
      <c r="BD26" t="str" cm="1">
        <f t="array" aca="1" ref="BD26" ca="1">IF(AV26=0,"",INDEX(auto_ddCountry,AV26))</f>
        <v>Lagos</v>
      </c>
      <c r="BE26" t="str" cm="1">
        <f t="array" aca="1" ref="BE26" ca="1">IF(AW26=0,"",INDEX(auto_ddCountry,AW26))</f>
        <v>Jakarta</v>
      </c>
      <c r="BF26" t="str" cm="1">
        <f t="array" aca="1" ref="BF26" ca="1">IF(AX26=0,"",INDEX(auto_ddCountry,AX26))</f>
        <v/>
      </c>
      <c r="BG26" t="str" cm="1">
        <f t="array" aca="1" ref="BG26" ca="1">IF(AY26=0,"",INDEX(auto_ddCountry,AY26))</f>
        <v/>
      </c>
    </row>
    <row r="27" spans="1:59" x14ac:dyDescent="0.4">
      <c r="A27">
        <v>13</v>
      </c>
      <c r="B27">
        <v>13</v>
      </c>
      <c r="C27" cm="1">
        <f t="array" ref="C27">INDEX(auto_Country_Status,B27)</f>
        <v>1</v>
      </c>
      <c r="E27" cm="1">
        <f t="array" aca="1" ref="E27" ca="1">INDEX(sys_DataFlat_LU_Grid,$C$2,$B27)</f>
        <v>13</v>
      </c>
      <c r="F27" cm="1">
        <f t="array" aca="1" ref="F27" ca="1">INDEX(auto_DataFlat_Score,E27,$C$5)</f>
        <v>41.8</v>
      </c>
      <c r="G27" cm="1">
        <f t="array" aca="1" ref="G27" ca="1">INDEX(auto_DataFlat_DataValue,E27,$C$5)</f>
        <v>0</v>
      </c>
      <c r="H27">
        <f t="shared" ca="1" si="21"/>
        <v>41.8</v>
      </c>
      <c r="I27" cm="1">
        <f t="array" aca="1" ref="I27" ca="1">INDEX(auto_DataFlat_Classification,E27,$C$5)</f>
        <v>3</v>
      </c>
      <c r="J27">
        <f t="shared" ca="1" si="22"/>
        <v>41.8</v>
      </c>
      <c r="K27">
        <f t="shared" ca="1" si="23"/>
        <v>41.8</v>
      </c>
      <c r="L27">
        <f ca="1">RANK(K27,OFFSET(K$15,0,0,$C$12,1))+COUNTIF(K$15:K27,K27)-1</f>
        <v>47</v>
      </c>
      <c r="N27">
        <f t="shared" ca="1" si="24"/>
        <v>35</v>
      </c>
      <c r="O27" cm="1">
        <f t="array" aca="1" ref="O27" ca="1">INDEX(auto_Country_Status,N27)</f>
        <v>1</v>
      </c>
      <c r="P27" cm="1">
        <f t="array" aca="1" ref="P27" ca="1">INDEX(OFFSET($E$15,0,0,$C$12,1),N27)</f>
        <v>35</v>
      </c>
      <c r="Q27" t="str" cm="1">
        <f t="array" aca="1" ref="Q27" ca="1">INDEX(auto_Country_ISO,N27)</f>
        <v>OSA</v>
      </c>
      <c r="R27" cm="1">
        <f t="array" aca="1" ref="R27" ca="1">IF(O27=0,0,INDEX(auto_DataFlat_Classification,P27,$C$5))</f>
        <v>4</v>
      </c>
      <c r="S27" cm="1">
        <f t="array" aca="1" ref="S27" ca="1">INDEX(auto_DataFlat_DataValue,P27,$C$5)</f>
        <v>0</v>
      </c>
      <c r="U27" t="e">
        <f t="shared" ref="U27:Z27" ca="1" si="39">IFERROR(U26+MATCH(U$13,OFFSET($R$15,U26,0,$C$12-U26,1),0),NA())</f>
        <v>#N/A</v>
      </c>
      <c r="V27" t="e">
        <f t="shared" ca="1" si="39"/>
        <v>#N/A</v>
      </c>
      <c r="W27" t="e">
        <f t="shared" ca="1" si="39"/>
        <v>#N/A</v>
      </c>
      <c r="X27">
        <f t="shared" ca="1" si="39"/>
        <v>44</v>
      </c>
      <c r="Y27">
        <f t="shared" ca="1" si="39"/>
        <v>15</v>
      </c>
      <c r="Z27" t="e">
        <f t="shared" ca="1" si="39"/>
        <v>#N/A</v>
      </c>
      <c r="AB27" cm="1">
        <f t="array" aca="1" ref="AB27" ca="1">IFERROR(INDEX(OFFSET($N$15,0,0,$C$12,1),U27),0)</f>
        <v>0</v>
      </c>
      <c r="AC27" cm="1">
        <f t="array" aca="1" ref="AC27" ca="1">IFERROR(INDEX(OFFSET($N$15,0,0,$C$12,1),V27),0)</f>
        <v>0</v>
      </c>
      <c r="AD27" cm="1">
        <f t="array" aca="1" ref="AD27" ca="1">IFERROR(INDEX(OFFSET($N$15,0,0,$C$12,1),W27),0)</f>
        <v>0</v>
      </c>
      <c r="AE27" cm="1">
        <f t="array" aca="1" ref="AE27" ca="1">IFERROR(INDEX(OFFSET($N$15,0,0,$C$12,1),X27),0)</f>
        <v>38</v>
      </c>
      <c r="AF27" cm="1">
        <f t="array" aca="1" ref="AF27" ca="1">IFERROR(INDEX(OFFSET($N$15,0,0,$C$12,1),Y27),0)</f>
        <v>19</v>
      </c>
      <c r="AG27" cm="1">
        <f t="array" aca="1" ref="AG27" ca="1">IFERROR(INDEX(OFFSET($N$15,0,0,$C$12,1),Z27),0)</f>
        <v>0</v>
      </c>
      <c r="AI27">
        <f t="shared" ca="1" si="26"/>
        <v>3</v>
      </c>
      <c r="AK27" t="e">
        <f t="shared" ref="AK27:AQ27" ca="1" si="40">IFERROR(AK26+MATCH(AK$13,OFFSET($AI$15,AK26,0,$C$12-AK26,1),0),NA())</f>
        <v>#N/A</v>
      </c>
      <c r="AL27" t="e">
        <f t="shared" ca="1" si="40"/>
        <v>#N/A</v>
      </c>
      <c r="AM27" t="e">
        <f t="shared" ca="1" si="40"/>
        <v>#N/A</v>
      </c>
      <c r="AN27">
        <f t="shared" ca="1" si="40"/>
        <v>28</v>
      </c>
      <c r="AO27">
        <f t="shared" ca="1" si="40"/>
        <v>27</v>
      </c>
      <c r="AP27" t="e">
        <f t="shared" ca="1" si="40"/>
        <v>#N/A</v>
      </c>
      <c r="AQ27" t="e">
        <f t="shared" ca="1" si="40"/>
        <v>#N/A</v>
      </c>
      <c r="AS27" cm="1">
        <f t="array" aca="1" ref="AS27" ca="1">IFERROR(INDEX(OFFSET($B$15,0,0,$C$12,1),AK27),0)</f>
        <v>0</v>
      </c>
      <c r="AT27" cm="1">
        <f t="array" aca="1" ref="AT27" ca="1">IFERROR(INDEX(OFFSET($B$15,0,0,$C$12,1),AL27),0)</f>
        <v>0</v>
      </c>
      <c r="AU27" cm="1">
        <f t="array" aca="1" ref="AU27" ca="1">IFERROR(INDEX(OFFSET($B$15,0,0,$C$12,1),AM27),0)</f>
        <v>0</v>
      </c>
      <c r="AV27" cm="1">
        <f t="array" aca="1" ref="AV27" ca="1">IFERROR(INDEX(OFFSET($B$15,0,0,$C$12,1),AN27),0)</f>
        <v>28</v>
      </c>
      <c r="AW27" cm="1">
        <f t="array" aca="1" ref="AW27" ca="1">IFERROR(INDEX(OFFSET($B$15,0,0,$C$12,1),AO27),0)</f>
        <v>27</v>
      </c>
      <c r="AX27" cm="1">
        <f t="array" aca="1" ref="AX27" ca="1">IFERROR(INDEX(OFFSET($B$15,0,0,$C$12,1),AP27),0)</f>
        <v>0</v>
      </c>
      <c r="AY27" cm="1">
        <f t="array" aca="1" ref="AY27" ca="1">IFERROR(INDEX(OFFSET($B$15,0,0,$C$12,1),AQ27),0)</f>
        <v>0</v>
      </c>
      <c r="BA27" t="str" cm="1">
        <f t="array" aca="1" ref="BA27" ca="1">IF(AS27=0,"",INDEX(auto_ddCountry,AS27))</f>
        <v/>
      </c>
      <c r="BB27" t="str" cm="1">
        <f t="array" aca="1" ref="BB27" ca="1">IF(AT27=0,"",INDEX(auto_ddCountry,AT27))</f>
        <v/>
      </c>
      <c r="BC27" t="str" cm="1">
        <f t="array" aca="1" ref="BC27" ca="1">IF(AU27=0,"",INDEX(auto_ddCountry,AU27))</f>
        <v/>
      </c>
      <c r="BD27" t="str" cm="1">
        <f t="array" aca="1" ref="BD27" ca="1">IF(AV27=0,"",INDEX(auto_ddCountry,AV27))</f>
        <v>Manila</v>
      </c>
      <c r="BE27" t="str" cm="1">
        <f t="array" aca="1" ref="BE27" ca="1">IF(AW27=0,"",INDEX(auto_ddCountry,AW27))</f>
        <v>Madrid</v>
      </c>
      <c r="BF27" t="str" cm="1">
        <f t="array" aca="1" ref="BF27" ca="1">IF(AX27=0,"",INDEX(auto_ddCountry,AX27))</f>
        <v/>
      </c>
      <c r="BG27" t="str" cm="1">
        <f t="array" aca="1" ref="BG27" ca="1">IF(AY27=0,"",INDEX(auto_ddCountry,AY27))</f>
        <v/>
      </c>
    </row>
    <row r="28" spans="1:59" x14ac:dyDescent="0.4">
      <c r="A28">
        <v>14</v>
      </c>
      <c r="B28">
        <v>14</v>
      </c>
      <c r="C28" cm="1">
        <f t="array" ref="C28">INDEX(auto_Country_Status,B28)</f>
        <v>1</v>
      </c>
      <c r="E28" cm="1">
        <f t="array" aca="1" ref="E28" ca="1">INDEX(sys_DataFlat_LU_Grid,$C$2,$B28)</f>
        <v>14</v>
      </c>
      <c r="F28" cm="1">
        <f t="array" aca="1" ref="F28" ca="1">INDEX(auto_DataFlat_Score,E28,$C$5)</f>
        <v>65</v>
      </c>
      <c r="G28" cm="1">
        <f t="array" aca="1" ref="G28" ca="1">INDEX(auto_DataFlat_DataValue,E28,$C$5)</f>
        <v>0</v>
      </c>
      <c r="H28">
        <f t="shared" ca="1" si="21"/>
        <v>65</v>
      </c>
      <c r="I28" cm="1">
        <f t="array" aca="1" ref="I28" ca="1">INDEX(auto_DataFlat_Classification,E28,$C$5)</f>
        <v>4</v>
      </c>
      <c r="J28">
        <f t="shared" ca="1" si="22"/>
        <v>65</v>
      </c>
      <c r="K28">
        <f t="shared" ca="1" si="23"/>
        <v>65</v>
      </c>
      <c r="L28">
        <f ca="1">RANK(K28,OFFSET(K$15,0,0,$C$12,1))+COUNTIF(K$15:K28,K28)-1</f>
        <v>25</v>
      </c>
      <c r="N28">
        <f t="shared" ca="1" si="24"/>
        <v>40</v>
      </c>
      <c r="O28" cm="1">
        <f t="array" aca="1" ref="O28" ca="1">INDEX(auto_Country_Status,N28)</f>
        <v>1</v>
      </c>
      <c r="P28" cm="1">
        <f t="array" aca="1" ref="P28" ca="1">INDEX(OFFSET($E$15,0,0,$C$12,1),N28)</f>
        <v>40</v>
      </c>
      <c r="Q28" t="str" cm="1">
        <f t="array" aca="1" ref="Q28" ca="1">INDEX(auto_Country_ISO,N28)</f>
        <v>SFO</v>
      </c>
      <c r="R28" cm="1">
        <f t="array" aca="1" ref="R28" ca="1">IF(O28=0,0,INDEX(auto_DataFlat_Classification,P28,$C$5))</f>
        <v>4</v>
      </c>
      <c r="S28" cm="1">
        <f t="array" aca="1" ref="S28" ca="1">INDEX(auto_DataFlat_DataValue,P28,$C$5)</f>
        <v>0</v>
      </c>
      <c r="U28" t="e">
        <f t="shared" ref="U28:Z28" ca="1" si="41">IFERROR(U27+MATCH(U$13,OFFSET($R$15,U27,0,$C$12-U27,1),0),NA())</f>
        <v>#N/A</v>
      </c>
      <c r="V28" t="e">
        <f t="shared" ca="1" si="41"/>
        <v>#N/A</v>
      </c>
      <c r="W28" t="e">
        <f t="shared" ca="1" si="41"/>
        <v>#N/A</v>
      </c>
      <c r="X28">
        <f t="shared" ca="1" si="41"/>
        <v>45</v>
      </c>
      <c r="Y28">
        <f t="shared" ca="1" si="41"/>
        <v>16</v>
      </c>
      <c r="Z28" t="e">
        <f t="shared" ca="1" si="41"/>
        <v>#N/A</v>
      </c>
      <c r="AB28" cm="1">
        <f t="array" aca="1" ref="AB28" ca="1">IFERROR(INDEX(OFFSET($N$15,0,0,$C$12,1),U28),0)</f>
        <v>0</v>
      </c>
      <c r="AC28" cm="1">
        <f t="array" aca="1" ref="AC28" ca="1">IFERROR(INDEX(OFFSET($N$15,0,0,$C$12,1),V28),0)</f>
        <v>0</v>
      </c>
      <c r="AD28" cm="1">
        <f t="array" aca="1" ref="AD28" ca="1">IFERROR(INDEX(OFFSET($N$15,0,0,$C$12,1),W28),0)</f>
        <v>0</v>
      </c>
      <c r="AE28" cm="1">
        <f t="array" aca="1" ref="AE28" ca="1">IFERROR(INDEX(OFFSET($N$15,0,0,$C$12,1),X28),0)</f>
        <v>50</v>
      </c>
      <c r="AF28" cm="1">
        <f t="array" aca="1" ref="AF28" ca="1">IFERROR(INDEX(OFFSET($N$15,0,0,$C$12,1),Y28),0)</f>
        <v>4</v>
      </c>
      <c r="AG28" cm="1">
        <f t="array" aca="1" ref="AG28" ca="1">IFERROR(INDEX(OFFSET($N$15,0,0,$C$12,1),Z28),0)</f>
        <v>0</v>
      </c>
      <c r="AI28">
        <f t="shared" ca="1" si="26"/>
        <v>4</v>
      </c>
      <c r="AK28" t="e">
        <f t="shared" ca="1" si="13"/>
        <v>#N/A</v>
      </c>
      <c r="AL28" t="e">
        <f t="shared" ca="1" si="14"/>
        <v>#N/A</v>
      </c>
      <c r="AM28" t="e">
        <f t="shared" ca="1" si="15"/>
        <v>#N/A</v>
      </c>
      <c r="AN28">
        <f t="shared" ca="1" si="16"/>
        <v>32</v>
      </c>
      <c r="AO28">
        <f t="shared" ca="1" si="17"/>
        <v>29</v>
      </c>
      <c r="AP28" t="e">
        <f t="shared" ca="1" si="18"/>
        <v>#N/A</v>
      </c>
      <c r="AQ28" t="e">
        <f t="shared" ca="1" si="19"/>
        <v>#N/A</v>
      </c>
      <c r="AS28" cm="1">
        <f t="array" aca="1" ref="AS28" ca="1">IFERROR(INDEX(OFFSET($B$15,0,0,$C$12,1),AK28),0)</f>
        <v>0</v>
      </c>
      <c r="AT28" cm="1">
        <f t="array" aca="1" ref="AT28" ca="1">IFERROR(INDEX(OFFSET($B$15,0,0,$C$12,1),AL28),0)</f>
        <v>0</v>
      </c>
      <c r="AU28" cm="1">
        <f t="array" aca="1" ref="AU28" ca="1">IFERROR(INDEX(OFFSET($B$15,0,0,$C$12,1),AM28),0)</f>
        <v>0</v>
      </c>
      <c r="AV28" cm="1">
        <f t="array" aca="1" ref="AV28" ca="1">IFERROR(INDEX(OFFSET($B$15,0,0,$C$12,1),AN28),0)</f>
        <v>32</v>
      </c>
      <c r="AW28" cm="1">
        <f t="array" aca="1" ref="AW28" ca="1">IFERROR(INDEX(OFFSET($B$15,0,0,$C$12,1),AO28),0)</f>
        <v>29</v>
      </c>
      <c r="AX28" cm="1">
        <f t="array" aca="1" ref="AX28" ca="1">IFERROR(INDEX(OFFSET($B$15,0,0,$C$12,1),AP28),0)</f>
        <v>0</v>
      </c>
      <c r="AY28" cm="1">
        <f t="array" aca="1" ref="AY28" ca="1">IFERROR(INDEX(OFFSET($B$15,0,0,$C$12,1),AQ28),0)</f>
        <v>0</v>
      </c>
      <c r="BA28" t="str" cm="1">
        <f t="array" aca="1" ref="BA28" ca="1">IF(AS28=0,"",INDEX(auto_ddCountry,AS28))</f>
        <v/>
      </c>
      <c r="BB28" t="str" cm="1">
        <f t="array" aca="1" ref="BB28" ca="1">IF(AT28=0,"",INDEX(auto_ddCountry,AT28))</f>
        <v/>
      </c>
      <c r="BC28" t="str" cm="1">
        <f t="array" aca="1" ref="BC28" ca="1">IF(AU28=0,"",INDEX(auto_ddCountry,AU28))</f>
        <v/>
      </c>
      <c r="BD28" t="str" cm="1">
        <f t="array" aca="1" ref="BD28" ca="1">IF(AV28=0,"",INDEX(auto_ddCountry,AV28))</f>
        <v>Mumbai</v>
      </c>
      <c r="BE28" t="str" cm="1">
        <f t="array" aca="1" ref="BE28" ca="1">IF(AW28=0,"",INDEX(auto_ddCountry,AW28))</f>
        <v>Melbourne</v>
      </c>
      <c r="BF28" t="str" cm="1">
        <f t="array" aca="1" ref="BF28" ca="1">IF(AX28=0,"",INDEX(auto_ddCountry,AX28))</f>
        <v/>
      </c>
      <c r="BG28" t="str" cm="1">
        <f t="array" aca="1" ref="BG28" ca="1">IF(AY28=0,"",INDEX(auto_ddCountry,AY28))</f>
        <v/>
      </c>
    </row>
    <row r="29" spans="1:59" x14ac:dyDescent="0.4">
      <c r="A29">
        <v>15</v>
      </c>
      <c r="B29">
        <v>15</v>
      </c>
      <c r="C29" cm="1">
        <f t="array" ref="C29">INDEX(auto_Country_Status,B29)</f>
        <v>1</v>
      </c>
      <c r="E29" cm="1">
        <f t="array" aca="1" ref="E29" ca="1">INDEX(sys_DataFlat_LU_Grid,$C$2,$B29)</f>
        <v>15</v>
      </c>
      <c r="F29" cm="1">
        <f t="array" aca="1" ref="F29" ca="1">INDEX(auto_DataFlat_Score,E29,$C$5)</f>
        <v>75.5</v>
      </c>
      <c r="G29" cm="1">
        <f t="array" aca="1" ref="G29" ca="1">INDEX(auto_DataFlat_DataValue,E29,$C$5)</f>
        <v>0</v>
      </c>
      <c r="H29">
        <f t="shared" ca="1" si="21"/>
        <v>75.5</v>
      </c>
      <c r="I29" cm="1">
        <f t="array" aca="1" ref="I29" ca="1">INDEX(auto_DataFlat_Classification,E29,$C$5)</f>
        <v>4</v>
      </c>
      <c r="J29">
        <f t="shared" ca="1" si="22"/>
        <v>75.5</v>
      </c>
      <c r="K29">
        <f t="shared" ca="1" si="23"/>
        <v>75.5</v>
      </c>
      <c r="L29">
        <f ca="1">RANK(K29,OFFSET(K$15,0,0,$C$12,1))+COUNTIF(K$15:K29,K29)-1</f>
        <v>11</v>
      </c>
      <c r="N29">
        <f t="shared" ca="1" si="24"/>
        <v>19</v>
      </c>
      <c r="O29" cm="1">
        <f t="array" aca="1" ref="O29" ca="1">INDEX(auto_Country_Status,N29)</f>
        <v>1</v>
      </c>
      <c r="P29" cm="1">
        <f t="array" aca="1" ref="P29" ca="1">INDEX(OFFSET($E$15,0,0,$C$12,1),N29)</f>
        <v>19</v>
      </c>
      <c r="Q29" t="str" cm="1">
        <f t="array" aca="1" ref="Q29" ca="1">INDEX(auto_Country_ISO,N29)</f>
        <v>JKT</v>
      </c>
      <c r="R29" cm="1">
        <f t="array" aca="1" ref="R29" ca="1">IF(O29=0,0,INDEX(auto_DataFlat_Classification,P29,$C$5))</f>
        <v>4</v>
      </c>
      <c r="S29" cm="1">
        <f t="array" aca="1" ref="S29" ca="1">INDEX(auto_DataFlat_DataValue,P29,$C$5)</f>
        <v>0</v>
      </c>
      <c r="U29" t="e">
        <f t="shared" ref="U29:Z29" ca="1" si="42">IFERROR(U28+MATCH(U$13,OFFSET($R$15,U28,0,$C$12-U28,1),0),NA())</f>
        <v>#N/A</v>
      </c>
      <c r="V29" t="e">
        <f t="shared" ca="1" si="42"/>
        <v>#N/A</v>
      </c>
      <c r="W29" t="e">
        <f t="shared" ca="1" si="42"/>
        <v>#N/A</v>
      </c>
      <c r="X29">
        <f t="shared" ca="1" si="42"/>
        <v>46</v>
      </c>
      <c r="Y29">
        <f t="shared" ca="1" si="42"/>
        <v>17</v>
      </c>
      <c r="Z29" t="e">
        <f t="shared" ca="1" si="42"/>
        <v>#N/A</v>
      </c>
      <c r="AB29" cm="1">
        <f t="array" aca="1" ref="AB29" ca="1">IFERROR(INDEX(OFFSET($N$15,0,0,$C$12,1),U29),0)</f>
        <v>0</v>
      </c>
      <c r="AC29" cm="1">
        <f t="array" aca="1" ref="AC29" ca="1">IFERROR(INDEX(OFFSET($N$15,0,0,$C$12,1),V29),0)</f>
        <v>0</v>
      </c>
      <c r="AD29" cm="1">
        <f t="array" aca="1" ref="AD29" ca="1">IFERROR(INDEX(OFFSET($N$15,0,0,$C$12,1),W29),0)</f>
        <v>0</v>
      </c>
      <c r="AE29" cm="1">
        <f t="array" aca="1" ref="AE29" ca="1">IFERROR(INDEX(OFFSET($N$15,0,0,$C$12,1),X29),0)</f>
        <v>24</v>
      </c>
      <c r="AF29" cm="1">
        <f t="array" aca="1" ref="AF29" ca="1">IFERROR(INDEX(OFFSET($N$15,0,0,$C$12,1),Y29),0)</f>
        <v>45</v>
      </c>
      <c r="AG29" cm="1">
        <f t="array" aca="1" ref="AG29" ca="1">IFERROR(INDEX(OFFSET($N$15,0,0,$C$12,1),Z29),0)</f>
        <v>0</v>
      </c>
      <c r="AI29">
        <f t="shared" ca="1" si="26"/>
        <v>4</v>
      </c>
      <c r="AK29" t="e">
        <f t="shared" ref="AK29:AQ29" ca="1" si="43">IFERROR(AK28+MATCH(AK$13,OFFSET($AI$15,AK28,0,$C$12-AK28,1),0),NA())</f>
        <v>#N/A</v>
      </c>
      <c r="AL29" t="e">
        <f t="shared" ca="1" si="43"/>
        <v>#N/A</v>
      </c>
      <c r="AM29" t="e">
        <f t="shared" ca="1" si="43"/>
        <v>#N/A</v>
      </c>
      <c r="AN29">
        <f t="shared" ca="1" si="43"/>
        <v>33</v>
      </c>
      <c r="AO29">
        <f t="shared" ca="1" si="43"/>
        <v>30</v>
      </c>
      <c r="AP29" t="e">
        <f t="shared" ca="1" si="43"/>
        <v>#N/A</v>
      </c>
      <c r="AQ29" t="e">
        <f t="shared" ca="1" si="43"/>
        <v>#N/A</v>
      </c>
      <c r="AS29" cm="1">
        <f t="array" aca="1" ref="AS29" ca="1">IFERROR(INDEX(OFFSET($B$15,0,0,$C$12,1),AK29),0)</f>
        <v>0</v>
      </c>
      <c r="AT29" cm="1">
        <f t="array" aca="1" ref="AT29" ca="1">IFERROR(INDEX(OFFSET($B$15,0,0,$C$12,1),AL29),0)</f>
        <v>0</v>
      </c>
      <c r="AU29" cm="1">
        <f t="array" aca="1" ref="AU29" ca="1">IFERROR(INDEX(OFFSET($B$15,0,0,$C$12,1),AM29),0)</f>
        <v>0</v>
      </c>
      <c r="AV29" cm="1">
        <f t="array" aca="1" ref="AV29" ca="1">IFERROR(INDEX(OFFSET($B$15,0,0,$C$12,1),AN29),0)</f>
        <v>33</v>
      </c>
      <c r="AW29" cm="1">
        <f t="array" aca="1" ref="AW29" ca="1">IFERROR(INDEX(OFFSET($B$15,0,0,$C$12,1),AO29),0)</f>
        <v>30</v>
      </c>
      <c r="AX29" cm="1">
        <f t="array" aca="1" ref="AX29" ca="1">IFERROR(INDEX(OFFSET($B$15,0,0,$C$12,1),AP29),0)</f>
        <v>0</v>
      </c>
      <c r="AY29" cm="1">
        <f t="array" aca="1" ref="AY29" ca="1">IFERROR(INDEX(OFFSET($B$15,0,0,$C$12,1),AQ29),0)</f>
        <v>0</v>
      </c>
      <c r="BA29" t="str" cm="1">
        <f t="array" aca="1" ref="BA29" ca="1">IF(AS29=0,"",INDEX(auto_ddCountry,AS29))</f>
        <v/>
      </c>
      <c r="BB29" t="str" cm="1">
        <f t="array" aca="1" ref="BB29" ca="1">IF(AT29=0,"",INDEX(auto_ddCountry,AT29))</f>
        <v/>
      </c>
      <c r="BC29" t="str" cm="1">
        <f t="array" aca="1" ref="BC29" ca="1">IF(AU29=0,"",INDEX(auto_ddCountry,AU29))</f>
        <v/>
      </c>
      <c r="BD29" t="str" cm="1">
        <f t="array" aca="1" ref="BD29" ca="1">IF(AV29=0,"",INDEX(auto_ddCountry,AV29))</f>
        <v>Nairobi</v>
      </c>
      <c r="BE29" t="str" cm="1">
        <f t="array" aca="1" ref="BE29" ca="1">IF(AW29=0,"",INDEX(auto_ddCountry,AW29))</f>
        <v>Mexico City</v>
      </c>
      <c r="BF29" t="str" cm="1">
        <f t="array" aca="1" ref="BF29" ca="1">IF(AX29=0,"",INDEX(auto_ddCountry,AX29))</f>
        <v/>
      </c>
      <c r="BG29" t="str" cm="1">
        <f t="array" aca="1" ref="BG29" ca="1">IF(AY29=0,"",INDEX(auto_ddCountry,AY29))</f>
        <v/>
      </c>
    </row>
    <row r="30" spans="1:59" x14ac:dyDescent="0.4">
      <c r="A30">
        <v>16</v>
      </c>
      <c r="B30">
        <v>16</v>
      </c>
      <c r="C30" cm="1">
        <f t="array" ref="C30">INDEX(auto_Country_Status,B30)</f>
        <v>1</v>
      </c>
      <c r="E30" cm="1">
        <f t="array" aca="1" ref="E30" ca="1">INDEX(sys_DataFlat_LU_Grid,$C$2,$B30)</f>
        <v>16</v>
      </c>
      <c r="F30" cm="1">
        <f t="array" aca="1" ref="F30" ca="1">INDEX(auto_DataFlat_Score,E30,$C$5)</f>
        <v>66</v>
      </c>
      <c r="G30" cm="1">
        <f t="array" aca="1" ref="G30" ca="1">INDEX(auto_DataFlat_DataValue,E30,$C$5)</f>
        <v>0</v>
      </c>
      <c r="H30">
        <f t="shared" ca="1" si="21"/>
        <v>66</v>
      </c>
      <c r="I30" cm="1">
        <f t="array" aca="1" ref="I30" ca="1">INDEX(auto_DataFlat_Classification,E30,$C$5)</f>
        <v>4</v>
      </c>
      <c r="J30">
        <f t="shared" ca="1" si="22"/>
        <v>66</v>
      </c>
      <c r="K30">
        <f t="shared" ca="1" si="23"/>
        <v>66</v>
      </c>
      <c r="L30">
        <f ca="1">RANK(K30,OFFSET(K$15,0,0,$C$12,1))+COUNTIF(K$15:K30,K30)-1</f>
        <v>22</v>
      </c>
      <c r="N30">
        <f t="shared" ca="1" si="24"/>
        <v>4</v>
      </c>
      <c r="O30" cm="1">
        <f t="array" aca="1" ref="O30" ca="1">INDEX(auto_Country_Status,N30)</f>
        <v>1</v>
      </c>
      <c r="P30" cm="1">
        <f t="array" aca="1" ref="P30" ca="1">INDEX(OFFSET($E$15,0,0,$C$12,1),N30)</f>
        <v>4</v>
      </c>
      <c r="Q30" t="str" cm="1">
        <f t="array" aca="1" ref="Q30" ca="1">INDEX(auto_Country_ISO,N30)</f>
        <v>AKL</v>
      </c>
      <c r="R30" cm="1">
        <f t="array" aca="1" ref="R30" ca="1">IF(O30=0,0,INDEX(auto_DataFlat_Classification,P30,$C$5))</f>
        <v>4</v>
      </c>
      <c r="S30" cm="1">
        <f t="array" aca="1" ref="S30" ca="1">INDEX(auto_DataFlat_DataValue,P30,$C$5)</f>
        <v>0</v>
      </c>
      <c r="U30" t="e">
        <f t="shared" ref="U30:Z30" ca="1" si="44">IFERROR(U29+MATCH(U$13,OFFSET($R$15,U29,0,$C$12-U29,1),0),NA())</f>
        <v>#N/A</v>
      </c>
      <c r="V30" t="e">
        <f t="shared" ca="1" si="44"/>
        <v>#N/A</v>
      </c>
      <c r="W30" t="e">
        <f t="shared" ca="1" si="44"/>
        <v>#N/A</v>
      </c>
      <c r="X30">
        <f t="shared" ca="1" si="44"/>
        <v>47</v>
      </c>
      <c r="Y30">
        <f t="shared" ca="1" si="44"/>
        <v>18</v>
      </c>
      <c r="Z30" t="e">
        <f t="shared" ca="1" si="44"/>
        <v>#N/A</v>
      </c>
      <c r="AB30" cm="1">
        <f t="array" aca="1" ref="AB30" ca="1">IFERROR(INDEX(OFFSET($N$15,0,0,$C$12,1),U30),0)</f>
        <v>0</v>
      </c>
      <c r="AC30" cm="1">
        <f t="array" aca="1" ref="AC30" ca="1">IFERROR(INDEX(OFFSET($N$15,0,0,$C$12,1),V30),0)</f>
        <v>0</v>
      </c>
      <c r="AD30" cm="1">
        <f t="array" aca="1" ref="AD30" ca="1">IFERROR(INDEX(OFFSET($N$15,0,0,$C$12,1),W30),0)</f>
        <v>0</v>
      </c>
      <c r="AE30" cm="1">
        <f t="array" aca="1" ref="AE30" ca="1">IFERROR(INDEX(OFFSET($N$15,0,0,$C$12,1),X30),0)</f>
        <v>13</v>
      </c>
      <c r="AF30" cm="1">
        <f t="array" aca="1" ref="AF30" ca="1">IFERROR(INDEX(OFFSET($N$15,0,0,$C$12,1),Y30),0)</f>
        <v>8</v>
      </c>
      <c r="AG30" cm="1">
        <f t="array" aca="1" ref="AG30" ca="1">IFERROR(INDEX(OFFSET($N$15,0,0,$C$12,1),Z30),0)</f>
        <v>0</v>
      </c>
      <c r="AI30">
        <f t="shared" ca="1" si="26"/>
        <v>4</v>
      </c>
      <c r="AK30" t="e">
        <f t="shared" ca="1" si="13"/>
        <v>#N/A</v>
      </c>
      <c r="AL30" t="e">
        <f t="shared" ca="1" si="14"/>
        <v>#N/A</v>
      </c>
      <c r="AM30" t="e">
        <f t="shared" ca="1" si="15"/>
        <v>#N/A</v>
      </c>
      <c r="AN30">
        <f t="shared" ca="1" si="16"/>
        <v>37</v>
      </c>
      <c r="AO30">
        <f t="shared" ca="1" si="17"/>
        <v>31</v>
      </c>
      <c r="AP30" t="e">
        <f t="shared" ca="1" si="18"/>
        <v>#N/A</v>
      </c>
      <c r="AQ30" t="e">
        <f t="shared" ca="1" si="19"/>
        <v>#N/A</v>
      </c>
      <c r="AS30" cm="1">
        <f t="array" aca="1" ref="AS30" ca="1">IFERROR(INDEX(OFFSET($B$15,0,0,$C$12,1),AK30),0)</f>
        <v>0</v>
      </c>
      <c r="AT30" cm="1">
        <f t="array" aca="1" ref="AT30" ca="1">IFERROR(INDEX(OFFSET($B$15,0,0,$C$12,1),AL30),0)</f>
        <v>0</v>
      </c>
      <c r="AU30" cm="1">
        <f t="array" aca="1" ref="AU30" ca="1">IFERROR(INDEX(OFFSET($B$15,0,0,$C$12,1),AM30),0)</f>
        <v>0</v>
      </c>
      <c r="AV30" cm="1">
        <f t="array" aca="1" ref="AV30" ca="1">IFERROR(INDEX(OFFSET($B$15,0,0,$C$12,1),AN30),0)</f>
        <v>37</v>
      </c>
      <c r="AW30" cm="1">
        <f t="array" aca="1" ref="AW30" ca="1">IFERROR(INDEX(OFFSET($B$15,0,0,$C$12,1),AO30),0)</f>
        <v>31</v>
      </c>
      <c r="AX30" cm="1">
        <f t="array" aca="1" ref="AX30" ca="1">IFERROR(INDEX(OFFSET($B$15,0,0,$C$12,1),AP30),0)</f>
        <v>0</v>
      </c>
      <c r="AY30" cm="1">
        <f t="array" aca="1" ref="AY30" ca="1">IFERROR(INDEX(OFFSET($B$15,0,0,$C$12,1),AQ30),0)</f>
        <v>0</v>
      </c>
      <c r="BA30" t="str" cm="1">
        <f t="array" aca="1" ref="BA30" ca="1">IF(AS30=0,"",INDEX(auto_ddCountry,AS30))</f>
        <v/>
      </c>
      <c r="BB30" t="str" cm="1">
        <f t="array" aca="1" ref="BB30" ca="1">IF(AT30=0,"",INDEX(auto_ddCountry,AT30))</f>
        <v/>
      </c>
      <c r="BC30" t="str" cm="1">
        <f t="array" aca="1" ref="BC30" ca="1">IF(AU30=0,"",INDEX(auto_ddCountry,AU30))</f>
        <v/>
      </c>
      <c r="BD30" t="str" cm="1">
        <f t="array" aca="1" ref="BD30" ca="1">IF(AV30=0,"",INDEX(auto_ddCountry,AV30))</f>
        <v>Phnom Penh</v>
      </c>
      <c r="BE30" t="str" cm="1">
        <f t="array" aca="1" ref="BE30" ca="1">IF(AW30=0,"",INDEX(auto_ddCountry,AW30))</f>
        <v>Moscow</v>
      </c>
      <c r="BF30" t="str" cm="1">
        <f t="array" aca="1" ref="BF30" ca="1">IF(AX30=0,"",INDEX(auto_ddCountry,AX30))</f>
        <v/>
      </c>
      <c r="BG30" t="str" cm="1">
        <f t="array" aca="1" ref="BG30" ca="1">IF(AY30=0,"",INDEX(auto_ddCountry,AY30))</f>
        <v/>
      </c>
    </row>
    <row r="31" spans="1:59" x14ac:dyDescent="0.4">
      <c r="A31">
        <v>17</v>
      </c>
      <c r="B31">
        <v>17</v>
      </c>
      <c r="C31" cm="1">
        <f t="array" ref="C31">INDEX(auto_Country_Status,B31)</f>
        <v>1</v>
      </c>
      <c r="E31" cm="1">
        <f t="array" aca="1" ref="E31" ca="1">INDEX(sys_DataFlat_LU_Grid,$C$2,$B31)</f>
        <v>17</v>
      </c>
      <c r="F31" cm="1">
        <f t="array" aca="1" ref="F31" ca="1">INDEX(auto_DataFlat_Score,E31,$C$5)</f>
        <v>83.2</v>
      </c>
      <c r="G31" cm="1">
        <f t="array" aca="1" ref="G31" ca="1">INDEX(auto_DataFlat_DataValue,E31,$C$5)</f>
        <v>0</v>
      </c>
      <c r="H31">
        <f t="shared" ca="1" si="21"/>
        <v>83.2</v>
      </c>
      <c r="I31" cm="1">
        <f t="array" aca="1" ref="I31" ca="1">INDEX(auto_DataFlat_Classification,E31,$C$5)</f>
        <v>5</v>
      </c>
      <c r="J31">
        <f t="shared" ca="1" si="22"/>
        <v>83.2</v>
      </c>
      <c r="K31">
        <f t="shared" ca="1" si="23"/>
        <v>83.2</v>
      </c>
      <c r="L31">
        <f ca="1">RANK(K31,OFFSET(K$15,0,0,$C$12,1))+COUNTIF(K$15:K31,K31)-1</f>
        <v>1</v>
      </c>
      <c r="N31">
        <f t="shared" ca="1" si="24"/>
        <v>45</v>
      </c>
      <c r="O31" cm="1">
        <f t="array" aca="1" ref="O31" ca="1">INDEX(auto_Country_Status,N31)</f>
        <v>1</v>
      </c>
      <c r="P31" cm="1">
        <f t="array" aca="1" ref="P31" ca="1">INDEX(OFFSET($E$15,0,0,$C$12,1),N31)</f>
        <v>45</v>
      </c>
      <c r="Q31" t="str" cm="1">
        <f t="array" aca="1" ref="Q31" ca="1">INDEX(auto_Country_ISO,N31)</f>
        <v>SYD</v>
      </c>
      <c r="R31" cm="1">
        <f t="array" aca="1" ref="R31" ca="1">IF(O31=0,0,INDEX(auto_DataFlat_Classification,P31,$C$5))</f>
        <v>4</v>
      </c>
      <c r="S31" cm="1">
        <f t="array" aca="1" ref="S31" ca="1">INDEX(auto_DataFlat_DataValue,P31,$C$5)</f>
        <v>0</v>
      </c>
      <c r="U31" t="e">
        <f t="shared" ref="U31:Z31" ca="1" si="45">IFERROR(U30+MATCH(U$13,OFFSET($R$15,U30,0,$C$12-U30,1),0),NA())</f>
        <v>#N/A</v>
      </c>
      <c r="V31" t="e">
        <f t="shared" ca="1" si="45"/>
        <v>#N/A</v>
      </c>
      <c r="W31" t="e">
        <f t="shared" ca="1" si="45"/>
        <v>#N/A</v>
      </c>
      <c r="X31">
        <f t="shared" ca="1" si="45"/>
        <v>48</v>
      </c>
      <c r="Y31">
        <f t="shared" ca="1" si="45"/>
        <v>19</v>
      </c>
      <c r="Z31" t="e">
        <f t="shared" ca="1" si="45"/>
        <v>#N/A</v>
      </c>
      <c r="AB31" cm="1">
        <f t="array" aca="1" ref="AB31" ca="1">IFERROR(INDEX(OFFSET($N$15,0,0,$C$12,1),U31),0)</f>
        <v>0</v>
      </c>
      <c r="AC31" cm="1">
        <f t="array" aca="1" ref="AC31" ca="1">IFERROR(INDEX(OFFSET($N$15,0,0,$C$12,1),V31),0)</f>
        <v>0</v>
      </c>
      <c r="AD31" cm="1">
        <f t="array" aca="1" ref="AD31" ca="1">IFERROR(INDEX(OFFSET($N$15,0,0,$C$12,1),W31),0)</f>
        <v>0</v>
      </c>
      <c r="AE31" cm="1">
        <f t="array" aca="1" ref="AE31" ca="1">IFERROR(INDEX(OFFSET($N$15,0,0,$C$12,1),X31),0)</f>
        <v>2</v>
      </c>
      <c r="AF31" cm="1">
        <f t="array" aca="1" ref="AF31" ca="1">IFERROR(INDEX(OFFSET($N$15,0,0,$C$12,1),Y31),0)</f>
        <v>9</v>
      </c>
      <c r="AG31" cm="1">
        <f t="array" aca="1" ref="AG31" ca="1">IFERROR(INDEX(OFFSET($N$15,0,0,$C$12,1),Z31),0)</f>
        <v>0</v>
      </c>
      <c r="AI31">
        <f t="shared" ca="1" si="26"/>
        <v>5</v>
      </c>
      <c r="AK31" t="e">
        <f t="shared" ref="AK31:AQ31" ca="1" si="46">IFERROR(AK30+MATCH(AK$13,OFFSET($AI$15,AK30,0,$C$12-AK30,1),0),NA())</f>
        <v>#N/A</v>
      </c>
      <c r="AL31" t="e">
        <f t="shared" ca="1" si="46"/>
        <v>#N/A</v>
      </c>
      <c r="AM31" t="e">
        <f t="shared" ca="1" si="46"/>
        <v>#N/A</v>
      </c>
      <c r="AN31">
        <f t="shared" ca="1" si="46"/>
        <v>38</v>
      </c>
      <c r="AO31">
        <f t="shared" ca="1" si="46"/>
        <v>34</v>
      </c>
      <c r="AP31" t="e">
        <f t="shared" ca="1" si="46"/>
        <v>#N/A</v>
      </c>
      <c r="AQ31" t="e">
        <f t="shared" ca="1" si="46"/>
        <v>#N/A</v>
      </c>
      <c r="AS31" cm="1">
        <f t="array" aca="1" ref="AS31" ca="1">IFERROR(INDEX(OFFSET($B$15,0,0,$C$12,1),AK31),0)</f>
        <v>0</v>
      </c>
      <c r="AT31" cm="1">
        <f t="array" aca="1" ref="AT31" ca="1">IFERROR(INDEX(OFFSET($B$15,0,0,$C$12,1),AL31),0)</f>
        <v>0</v>
      </c>
      <c r="AU31" cm="1">
        <f t="array" aca="1" ref="AU31" ca="1">IFERROR(INDEX(OFFSET($B$15,0,0,$C$12,1),AM31),0)</f>
        <v>0</v>
      </c>
      <c r="AV31" cm="1">
        <f t="array" aca="1" ref="AV31" ca="1">IFERROR(INDEX(OFFSET($B$15,0,0,$C$12,1),AN31),0)</f>
        <v>38</v>
      </c>
      <c r="AW31" cm="1">
        <f t="array" aca="1" ref="AW31" ca="1">IFERROR(INDEX(OFFSET($B$15,0,0,$C$12,1),AO31),0)</f>
        <v>34</v>
      </c>
      <c r="AX31" cm="1">
        <f t="array" aca="1" ref="AX31" ca="1">IFERROR(INDEX(OFFSET($B$15,0,0,$C$12,1),AP31),0)</f>
        <v>0</v>
      </c>
      <c r="AY31" cm="1">
        <f t="array" aca="1" ref="AY31" ca="1">IFERROR(INDEX(OFFSET($B$15,0,0,$C$12,1),AQ31),0)</f>
        <v>0</v>
      </c>
      <c r="BA31" t="str" cm="1">
        <f t="array" aca="1" ref="BA31" ca="1">IF(AS31=0,"",INDEX(auto_ddCountry,AS31))</f>
        <v/>
      </c>
      <c r="BB31" t="str" cm="1">
        <f t="array" aca="1" ref="BB31" ca="1">IF(AT31=0,"",INDEX(auto_ddCountry,AT31))</f>
        <v/>
      </c>
      <c r="BC31" t="str" cm="1">
        <f t="array" aca="1" ref="BC31" ca="1">IF(AU31=0,"",INDEX(auto_ddCountry,AU31))</f>
        <v/>
      </c>
      <c r="BD31" t="str" cm="1">
        <f t="array" aca="1" ref="BD31" ca="1">IF(AV31=0,"",INDEX(auto_ddCountry,AV31))</f>
        <v>Riyadh</v>
      </c>
      <c r="BE31" t="str" cm="1">
        <f t="array" aca="1" ref="BE31" ca="1">IF(AW31=0,"",INDEX(auto_ddCountry,AW31))</f>
        <v>New York City</v>
      </c>
      <c r="BF31" t="str" cm="1">
        <f t="array" aca="1" ref="BF31" ca="1">IF(AX31=0,"",INDEX(auto_ddCountry,AX31))</f>
        <v/>
      </c>
      <c r="BG31" t="str" cm="1">
        <f t="array" aca="1" ref="BG31" ca="1">IF(AY31=0,"",INDEX(auto_ddCountry,AY31))</f>
        <v/>
      </c>
    </row>
    <row r="32" spans="1:59" x14ac:dyDescent="0.4">
      <c r="A32">
        <v>18</v>
      </c>
      <c r="B32">
        <v>18</v>
      </c>
      <c r="C32" cm="1">
        <f t="array" ref="C32">INDEX(auto_Country_Status,B32)</f>
        <v>1</v>
      </c>
      <c r="E32" cm="1">
        <f t="array" aca="1" ref="E32" ca="1">INDEX(sys_DataFlat_LU_Grid,$C$2,$B32)</f>
        <v>18</v>
      </c>
      <c r="F32" cm="1">
        <f t="array" aca="1" ref="F32" ca="1">INDEX(auto_DataFlat_Score,E32,$C$5)</f>
        <v>60.4</v>
      </c>
      <c r="G32" cm="1">
        <f t="array" aca="1" ref="G32" ca="1">INDEX(auto_DataFlat_DataValue,E32,$C$5)</f>
        <v>0</v>
      </c>
      <c r="H32">
        <f t="shared" ca="1" si="21"/>
        <v>60.4</v>
      </c>
      <c r="I32" cm="1">
        <f t="array" aca="1" ref="I32" ca="1">INDEX(auto_DataFlat_Classification,E32,$C$5)</f>
        <v>4</v>
      </c>
      <c r="J32">
        <f t="shared" ca="1" si="22"/>
        <v>60.4</v>
      </c>
      <c r="K32">
        <f t="shared" ca="1" si="23"/>
        <v>60.4</v>
      </c>
      <c r="L32">
        <f ca="1">RANK(K32,OFFSET(K$15,0,0,$C$12,1))+COUNTIF(K$15:K32,K32)-1</f>
        <v>31</v>
      </c>
      <c r="N32">
        <f t="shared" ca="1" si="24"/>
        <v>8</v>
      </c>
      <c r="O32" cm="1">
        <f t="array" aca="1" ref="O32" ca="1">INDEX(auto_Country_Status,N32)</f>
        <v>1</v>
      </c>
      <c r="P32" cm="1">
        <f t="array" aca="1" ref="P32" ca="1">INDEX(OFFSET($E$15,0,0,$C$12,1),N32)</f>
        <v>8</v>
      </c>
      <c r="Q32" t="str" cm="1">
        <f t="array" aca="1" ref="Q32" ca="1">INDEX(auto_Country_ISO,N32)</f>
        <v>B6Y</v>
      </c>
      <c r="R32" cm="1">
        <f t="array" aca="1" ref="R32" ca="1">IF(O32=0,0,INDEX(auto_DataFlat_Classification,P32,$C$5))</f>
        <v>4</v>
      </c>
      <c r="S32" cm="1">
        <f t="array" aca="1" ref="S32" ca="1">INDEX(auto_DataFlat_DataValue,P32,$C$5)</f>
        <v>0</v>
      </c>
      <c r="U32" t="e">
        <f t="shared" ref="U32:Z32" ca="1" si="47">IFERROR(U31+MATCH(U$13,OFFSET($R$15,U31,0,$C$12-U31,1),0),NA())</f>
        <v>#N/A</v>
      </c>
      <c r="V32" t="e">
        <f t="shared" ca="1" si="47"/>
        <v>#N/A</v>
      </c>
      <c r="W32" t="e">
        <f t="shared" ca="1" si="47"/>
        <v>#N/A</v>
      </c>
      <c r="X32">
        <f t="shared" ca="1" si="47"/>
        <v>49</v>
      </c>
      <c r="Y32">
        <f t="shared" ca="1" si="47"/>
        <v>20</v>
      </c>
      <c r="Z32" t="e">
        <f t="shared" ca="1" si="47"/>
        <v>#N/A</v>
      </c>
      <c r="AB32" cm="1">
        <f t="array" aca="1" ref="AB32" ca="1">IFERROR(INDEX(OFFSET($N$15,0,0,$C$12,1),U32),0)</f>
        <v>0</v>
      </c>
      <c r="AC32" cm="1">
        <f t="array" aca="1" ref="AC32" ca="1">IFERROR(INDEX(OFFSET($N$15,0,0,$C$12,1),V32),0)</f>
        <v>0</v>
      </c>
      <c r="AD32" cm="1">
        <f t="array" aca="1" ref="AD32" ca="1">IFERROR(INDEX(OFFSET($N$15,0,0,$C$12,1),W32),0)</f>
        <v>0</v>
      </c>
      <c r="AE32" cm="1">
        <f t="array" aca="1" ref="AE32" ca="1">IFERROR(INDEX(OFFSET($N$15,0,0,$C$12,1),X32),0)</f>
        <v>22</v>
      </c>
      <c r="AF32" cm="1">
        <f t="array" aca="1" ref="AF32" ca="1">IFERROR(INDEX(OFFSET($N$15,0,0,$C$12,1),Y32),0)</f>
        <v>5</v>
      </c>
      <c r="AG32" cm="1">
        <f t="array" aca="1" ref="AG32" ca="1">IFERROR(INDEX(OFFSET($N$15,0,0,$C$12,1),Z32),0)</f>
        <v>0</v>
      </c>
      <c r="AI32">
        <f t="shared" ca="1" si="26"/>
        <v>4</v>
      </c>
      <c r="AK32" t="e">
        <f t="shared" ca="1" si="13"/>
        <v>#N/A</v>
      </c>
      <c r="AL32" t="e">
        <f t="shared" ca="1" si="14"/>
        <v>#N/A</v>
      </c>
      <c r="AM32" t="e">
        <f t="shared" ca="1" si="15"/>
        <v>#N/A</v>
      </c>
      <c r="AN32">
        <f t="shared" ca="1" si="16"/>
        <v>49</v>
      </c>
      <c r="AO32">
        <f t="shared" ca="1" si="17"/>
        <v>35</v>
      </c>
      <c r="AP32" t="e">
        <f t="shared" ca="1" si="18"/>
        <v>#N/A</v>
      </c>
      <c r="AQ32" t="e">
        <f t="shared" ca="1" si="19"/>
        <v>#N/A</v>
      </c>
      <c r="AS32" cm="1">
        <f t="array" aca="1" ref="AS32" ca="1">IFERROR(INDEX(OFFSET($B$15,0,0,$C$12,1),AK32),0)</f>
        <v>0</v>
      </c>
      <c r="AT32" cm="1">
        <f t="array" aca="1" ref="AT32" ca="1">IFERROR(INDEX(OFFSET($B$15,0,0,$C$12,1),AL32),0)</f>
        <v>0</v>
      </c>
      <c r="AU32" cm="1">
        <f t="array" aca="1" ref="AU32" ca="1">IFERROR(INDEX(OFFSET($B$15,0,0,$C$12,1),AM32),0)</f>
        <v>0</v>
      </c>
      <c r="AV32" cm="1">
        <f t="array" aca="1" ref="AV32" ca="1">IFERROR(INDEX(OFFSET($B$15,0,0,$C$12,1),AN32),0)</f>
        <v>49</v>
      </c>
      <c r="AW32" cm="1">
        <f t="array" aca="1" ref="AW32" ca="1">IFERROR(INDEX(OFFSET($B$15,0,0,$C$12,1),AO32),0)</f>
        <v>35</v>
      </c>
      <c r="AX32" cm="1">
        <f t="array" aca="1" ref="AX32" ca="1">IFERROR(INDEX(OFFSET($B$15,0,0,$C$12,1),AP32),0)</f>
        <v>0</v>
      </c>
      <c r="AY32" cm="1">
        <f t="array" aca="1" ref="AY32" ca="1">IFERROR(INDEX(OFFSET($B$15,0,0,$C$12,1),AQ32),0)</f>
        <v>0</v>
      </c>
      <c r="BA32" t="str" cm="1">
        <f t="array" aca="1" ref="BA32" ca="1">IF(AS32=0,"",INDEX(auto_ddCountry,AS32))</f>
        <v/>
      </c>
      <c r="BB32" t="str" cm="1">
        <f t="array" aca="1" ref="BB32" ca="1">IF(AT32=0,"",INDEX(auto_ddCountry,AT32))</f>
        <v/>
      </c>
      <c r="BC32" t="str" cm="1">
        <f t="array" aca="1" ref="BC32" ca="1">IF(AU32=0,"",INDEX(auto_ddCountry,AU32))</f>
        <v/>
      </c>
      <c r="BD32" t="str" cm="1">
        <f t="array" aca="1" ref="BD32" ca="1">IF(AV32=0,"",INDEX(auto_ddCountry,AV32))</f>
        <v>Wuhan</v>
      </c>
      <c r="BE32" t="str" cm="1">
        <f t="array" aca="1" ref="BE32" ca="1">IF(AW32=0,"",INDEX(auto_ddCountry,AW32))</f>
        <v>Osaka</v>
      </c>
      <c r="BF32" t="str" cm="1">
        <f t="array" aca="1" ref="BF32" ca="1">IF(AX32=0,"",INDEX(auto_ddCountry,AX32))</f>
        <v/>
      </c>
      <c r="BG32" t="str" cm="1">
        <f t="array" aca="1" ref="BG32" ca="1">IF(AY32=0,"",INDEX(auto_ddCountry,AY32))</f>
        <v/>
      </c>
    </row>
    <row r="33" spans="1:59" x14ac:dyDescent="0.4">
      <c r="A33">
        <v>19</v>
      </c>
      <c r="B33">
        <v>19</v>
      </c>
      <c r="C33" cm="1">
        <f t="array" ref="C33">INDEX(auto_Country_Status,B33)</f>
        <v>1</v>
      </c>
      <c r="E33" cm="1">
        <f t="array" aca="1" ref="E33" ca="1">INDEX(sys_DataFlat_LU_Grid,$C$2,$B33)</f>
        <v>19</v>
      </c>
      <c r="F33" cm="1">
        <f t="array" aca="1" ref="F33" ca="1">INDEX(auto_DataFlat_Score,E33,$C$5)</f>
        <v>71.7</v>
      </c>
      <c r="G33" cm="1">
        <f t="array" aca="1" ref="G33" ca="1">INDEX(auto_DataFlat_DataValue,E33,$C$5)</f>
        <v>0</v>
      </c>
      <c r="H33">
        <f t="shared" ca="1" si="21"/>
        <v>71.7</v>
      </c>
      <c r="I33" cm="1">
        <f t="array" aca="1" ref="I33" ca="1">INDEX(auto_DataFlat_Classification,E33,$C$5)</f>
        <v>4</v>
      </c>
      <c r="J33">
        <f t="shared" ca="1" si="22"/>
        <v>71.7</v>
      </c>
      <c r="K33">
        <f t="shared" ca="1" si="23"/>
        <v>71.7</v>
      </c>
      <c r="L33">
        <f ca="1">RANK(K33,OFFSET(K$15,0,0,$C$12,1))+COUNTIF(K$15:K33,K33)-1</f>
        <v>15</v>
      </c>
      <c r="N33">
        <f t="shared" ca="1" si="24"/>
        <v>9</v>
      </c>
      <c r="O33" cm="1">
        <f t="array" aca="1" ref="O33" ca="1">INDEX(auto_Country_Status,N33)</f>
        <v>1</v>
      </c>
      <c r="P33" cm="1">
        <f t="array" aca="1" ref="P33" ca="1">INDEX(OFFSET($E$15,0,0,$C$12,1),N33)</f>
        <v>9</v>
      </c>
      <c r="Q33" t="str" cm="1">
        <f t="array" aca="1" ref="Q33" ca="1">INDEX(auto_Country_ISO,N33)</f>
        <v>BUD</v>
      </c>
      <c r="R33" cm="1">
        <f t="array" aca="1" ref="R33" ca="1">IF(O33=0,0,INDEX(auto_DataFlat_Classification,P33,$C$5))</f>
        <v>4</v>
      </c>
      <c r="S33" cm="1">
        <f t="array" aca="1" ref="S33" ca="1">INDEX(auto_DataFlat_DataValue,P33,$C$5)</f>
        <v>0</v>
      </c>
      <c r="U33" t="e">
        <f t="shared" ref="U33:Z33" ca="1" si="48">IFERROR(U32+MATCH(U$13,OFFSET($R$15,U32,0,$C$12-U32,1),0),NA())</f>
        <v>#N/A</v>
      </c>
      <c r="V33" t="e">
        <f t="shared" ca="1" si="48"/>
        <v>#N/A</v>
      </c>
      <c r="W33" t="e">
        <f t="shared" ca="1" si="48"/>
        <v>#N/A</v>
      </c>
      <c r="X33">
        <f t="shared" ca="1" si="48"/>
        <v>50</v>
      </c>
      <c r="Y33">
        <f t="shared" ca="1" si="48"/>
        <v>21</v>
      </c>
      <c r="Z33" t="e">
        <f t="shared" ca="1" si="48"/>
        <v>#N/A</v>
      </c>
      <c r="AB33" cm="1">
        <f t="array" aca="1" ref="AB33" ca="1">IFERROR(INDEX(OFFSET($N$15,0,0,$C$12,1),U33),0)</f>
        <v>0</v>
      </c>
      <c r="AC33" cm="1">
        <f t="array" aca="1" ref="AC33" ca="1">IFERROR(INDEX(OFFSET($N$15,0,0,$C$12,1),V33),0)</f>
        <v>0</v>
      </c>
      <c r="AD33" cm="1">
        <f t="array" aca="1" ref="AD33" ca="1">IFERROR(INDEX(OFFSET($N$15,0,0,$C$12,1),W33),0)</f>
        <v>0</v>
      </c>
      <c r="AE33" cm="1">
        <f t="array" aca="1" ref="AE33" ca="1">IFERROR(INDEX(OFFSET($N$15,0,0,$C$12,1),X33),0)</f>
        <v>10</v>
      </c>
      <c r="AF33" cm="1">
        <f t="array" aca="1" ref="AF33" ca="1">IFERROR(INDEX(OFFSET($N$15,0,0,$C$12,1),Y33),0)</f>
        <v>41</v>
      </c>
      <c r="AG33" cm="1">
        <f t="array" aca="1" ref="AG33" ca="1">IFERROR(INDEX(OFFSET($N$15,0,0,$C$12,1),Z33),0)</f>
        <v>0</v>
      </c>
      <c r="AI33">
        <f t="shared" ca="1" si="26"/>
        <v>4</v>
      </c>
      <c r="AK33" t="e">
        <f t="shared" ref="AK33:AQ33" ca="1" si="49">IFERROR(AK32+MATCH(AK$13,OFFSET($AI$15,AK32,0,$C$12-AK32,1),0),NA())</f>
        <v>#N/A</v>
      </c>
      <c r="AL33" t="e">
        <f t="shared" ca="1" si="49"/>
        <v>#N/A</v>
      </c>
      <c r="AM33" t="e">
        <f t="shared" ca="1" si="49"/>
        <v>#N/A</v>
      </c>
      <c r="AN33">
        <f t="shared" ca="1" si="49"/>
        <v>50</v>
      </c>
      <c r="AO33">
        <f t="shared" ca="1" si="49"/>
        <v>36</v>
      </c>
      <c r="AP33" t="e">
        <f t="shared" ca="1" si="49"/>
        <v>#N/A</v>
      </c>
      <c r="AQ33" t="e">
        <f t="shared" ca="1" si="49"/>
        <v>#N/A</v>
      </c>
      <c r="AS33" cm="1">
        <f t="array" aca="1" ref="AS33" ca="1">IFERROR(INDEX(OFFSET($B$15,0,0,$C$12,1),AK33),0)</f>
        <v>0</v>
      </c>
      <c r="AT33" cm="1">
        <f t="array" aca="1" ref="AT33" ca="1">IFERROR(INDEX(OFFSET($B$15,0,0,$C$12,1),AL33),0)</f>
        <v>0</v>
      </c>
      <c r="AU33" cm="1">
        <f t="array" aca="1" ref="AU33" ca="1">IFERROR(INDEX(OFFSET($B$15,0,0,$C$12,1),AM33),0)</f>
        <v>0</v>
      </c>
      <c r="AV33" cm="1">
        <f t="array" aca="1" ref="AV33" ca="1">IFERROR(INDEX(OFFSET($B$15,0,0,$C$12,1),AN33),0)</f>
        <v>50</v>
      </c>
      <c r="AW33" cm="1">
        <f t="array" aca="1" ref="AW33" ca="1">IFERROR(INDEX(OFFSET($B$15,0,0,$C$12,1),AO33),0)</f>
        <v>36</v>
      </c>
      <c r="AX33" cm="1">
        <f t="array" aca="1" ref="AX33" ca="1">IFERROR(INDEX(OFFSET($B$15,0,0,$C$12,1),AP33),0)</f>
        <v>0</v>
      </c>
      <c r="AY33" cm="1">
        <f t="array" aca="1" ref="AY33" ca="1">IFERROR(INDEX(OFFSET($B$15,0,0,$C$12,1),AQ33),0)</f>
        <v>0</v>
      </c>
      <c r="BA33" t="str" cm="1">
        <f t="array" aca="1" ref="BA33" ca="1">IF(AS33=0,"",INDEX(auto_ddCountry,AS33))</f>
        <v/>
      </c>
      <c r="BB33" t="str" cm="1">
        <f t="array" aca="1" ref="BB33" ca="1">IF(AT33=0,"",INDEX(auto_ddCountry,AT33))</f>
        <v/>
      </c>
      <c r="BC33" t="str" cm="1">
        <f t="array" aca="1" ref="BC33" ca="1">IF(AU33=0,"",INDEX(auto_ddCountry,AU33))</f>
        <v/>
      </c>
      <c r="BD33" t="str" cm="1">
        <f t="array" aca="1" ref="BD33" ca="1">IF(AV33=0,"",INDEX(auto_ddCountry,AV33))</f>
        <v>Yangon</v>
      </c>
      <c r="BE33" t="str" cm="1">
        <f t="array" aca="1" ref="BE33" ca="1">IF(AW33=0,"",INDEX(auto_ddCountry,AW33))</f>
        <v>Paris</v>
      </c>
      <c r="BF33" t="str" cm="1">
        <f t="array" aca="1" ref="BF33" ca="1">IF(AX33=0,"",INDEX(auto_ddCountry,AX33))</f>
        <v/>
      </c>
      <c r="BG33" t="str" cm="1">
        <f t="array" aca="1" ref="BG33" ca="1">IF(AY33=0,"",INDEX(auto_ddCountry,AY33))</f>
        <v/>
      </c>
    </row>
    <row r="34" spans="1:59" x14ac:dyDescent="0.4">
      <c r="A34">
        <v>20</v>
      </c>
      <c r="B34">
        <v>20</v>
      </c>
      <c r="C34" cm="1">
        <f t="array" ref="C34">INDEX(auto_Country_Status,B34)</f>
        <v>1</v>
      </c>
      <c r="E34" cm="1">
        <f t="array" aca="1" ref="E34" ca="1">INDEX(sys_DataFlat_LU_Grid,$C$2,$B34)</f>
        <v>20</v>
      </c>
      <c r="F34" cm="1">
        <f t="array" aca="1" ref="F34" ca="1">INDEX(auto_DataFlat_Score,E34,$C$5)</f>
        <v>52.5</v>
      </c>
      <c r="G34" cm="1">
        <f t="array" aca="1" ref="G34" ca="1">INDEX(auto_DataFlat_DataValue,E34,$C$5)</f>
        <v>0</v>
      </c>
      <c r="H34">
        <f t="shared" ca="1" si="21"/>
        <v>52.5</v>
      </c>
      <c r="I34" cm="1">
        <f t="array" aca="1" ref="I34" ca="1">INDEX(auto_DataFlat_Classification,E34,$C$5)</f>
        <v>3</v>
      </c>
      <c r="J34">
        <f t="shared" ca="1" si="22"/>
        <v>52.5</v>
      </c>
      <c r="K34">
        <f t="shared" ca="1" si="23"/>
        <v>52.5</v>
      </c>
      <c r="L34">
        <f ca="1">RANK(K34,OFFSET(K$15,0,0,$C$12,1))+COUNTIF(K$15:K34,K34)-1</f>
        <v>35</v>
      </c>
      <c r="N34">
        <f t="shared" ca="1" si="24"/>
        <v>5</v>
      </c>
      <c r="O34" cm="1">
        <f t="array" aca="1" ref="O34" ca="1">INDEX(auto_Country_Status,N34)</f>
        <v>1</v>
      </c>
      <c r="P34" cm="1">
        <f t="array" aca="1" ref="P34" ca="1">INDEX(OFFSET($E$15,0,0,$C$12,1),N34)</f>
        <v>5</v>
      </c>
      <c r="Q34" t="str" cm="1">
        <f t="array" aca="1" ref="Q34" ca="1">INDEX(auto_Country_ISO,N34)</f>
        <v>BKK</v>
      </c>
      <c r="R34" cm="1">
        <f t="array" aca="1" ref="R34" ca="1">IF(O34=0,0,INDEX(auto_DataFlat_Classification,P34,$C$5))</f>
        <v>4</v>
      </c>
      <c r="S34" cm="1">
        <f t="array" aca="1" ref="S34" ca="1">INDEX(auto_DataFlat_DataValue,P34,$C$5)</f>
        <v>0</v>
      </c>
      <c r="U34" t="e">
        <f t="shared" ref="U34:Z34" ca="1" si="50">IFERROR(U33+MATCH(U$13,OFFSET($R$15,U33,0,$C$12-U33,1),0),NA())</f>
        <v>#N/A</v>
      </c>
      <c r="V34" t="e">
        <f t="shared" ca="1" si="50"/>
        <v>#N/A</v>
      </c>
      <c r="W34" t="e">
        <f t="shared" ca="1" si="50"/>
        <v>#N/A</v>
      </c>
      <c r="X34" t="e">
        <f t="shared" ca="1" si="50"/>
        <v>#N/A</v>
      </c>
      <c r="Y34">
        <f t="shared" ca="1" si="50"/>
        <v>22</v>
      </c>
      <c r="Z34" t="e">
        <f t="shared" ca="1" si="50"/>
        <v>#N/A</v>
      </c>
      <c r="AB34" cm="1">
        <f t="array" aca="1" ref="AB34" ca="1">IFERROR(INDEX(OFFSET($N$15,0,0,$C$12,1),U34),0)</f>
        <v>0</v>
      </c>
      <c r="AC34" cm="1">
        <f t="array" aca="1" ref="AC34" ca="1">IFERROR(INDEX(OFFSET($N$15,0,0,$C$12,1),V34),0)</f>
        <v>0</v>
      </c>
      <c r="AD34" cm="1">
        <f t="array" aca="1" ref="AD34" ca="1">IFERROR(INDEX(OFFSET($N$15,0,0,$C$12,1),W34),0)</f>
        <v>0</v>
      </c>
      <c r="AE34" cm="1">
        <f t="array" aca="1" ref="AE34" ca="1">IFERROR(INDEX(OFFSET($N$15,0,0,$C$12,1),X34),0)</f>
        <v>0</v>
      </c>
      <c r="AF34" cm="1">
        <f t="array" aca="1" ref="AF34" ca="1">IFERROR(INDEX(OFFSET($N$15,0,0,$C$12,1),Y34),0)</f>
        <v>16</v>
      </c>
      <c r="AG34" cm="1">
        <f t="array" aca="1" ref="AG34" ca="1">IFERROR(INDEX(OFFSET($N$15,0,0,$C$12,1),Z34),0)</f>
        <v>0</v>
      </c>
      <c r="AI34">
        <f t="shared" ca="1" si="26"/>
        <v>3</v>
      </c>
      <c r="AK34" t="e">
        <f t="shared" ca="1" si="13"/>
        <v>#N/A</v>
      </c>
      <c r="AL34" t="e">
        <f t="shared" ca="1" si="14"/>
        <v>#N/A</v>
      </c>
      <c r="AM34" t="e">
        <f t="shared" ca="1" si="15"/>
        <v>#N/A</v>
      </c>
      <c r="AN34" t="e">
        <f t="shared" ca="1" si="16"/>
        <v>#N/A</v>
      </c>
      <c r="AO34">
        <f t="shared" ca="1" si="17"/>
        <v>39</v>
      </c>
      <c r="AP34" t="e">
        <f t="shared" ca="1" si="18"/>
        <v>#N/A</v>
      </c>
      <c r="AQ34" t="e">
        <f t="shared" ca="1" si="19"/>
        <v>#N/A</v>
      </c>
      <c r="AS34" cm="1">
        <f t="array" aca="1" ref="AS34" ca="1">IFERROR(INDEX(OFFSET($B$15,0,0,$C$12,1),AK34),0)</f>
        <v>0</v>
      </c>
      <c r="AT34" cm="1">
        <f t="array" aca="1" ref="AT34" ca="1">IFERROR(INDEX(OFFSET($B$15,0,0,$C$12,1),AL34),0)</f>
        <v>0</v>
      </c>
      <c r="AU34" cm="1">
        <f t="array" aca="1" ref="AU34" ca="1">IFERROR(INDEX(OFFSET($B$15,0,0,$C$12,1),AM34),0)</f>
        <v>0</v>
      </c>
      <c r="AV34" cm="1">
        <f t="array" aca="1" ref="AV34" ca="1">IFERROR(INDEX(OFFSET($B$15,0,0,$C$12,1),AN34),0)</f>
        <v>0</v>
      </c>
      <c r="AW34" cm="1">
        <f t="array" aca="1" ref="AW34" ca="1">IFERROR(INDEX(OFFSET($B$15,0,0,$C$12,1),AO34),0)</f>
        <v>39</v>
      </c>
      <c r="AX34" cm="1">
        <f t="array" aca="1" ref="AX34" ca="1">IFERROR(INDEX(OFFSET($B$15,0,0,$C$12,1),AP34),0)</f>
        <v>0</v>
      </c>
      <c r="AY34" cm="1">
        <f t="array" aca="1" ref="AY34" ca="1">IFERROR(INDEX(OFFSET($B$15,0,0,$C$12,1),AQ34),0)</f>
        <v>0</v>
      </c>
      <c r="BA34" t="str" cm="1">
        <f t="array" aca="1" ref="BA34" ca="1">IF(AS34=0,"",INDEX(auto_ddCountry,AS34))</f>
        <v/>
      </c>
      <c r="BB34" t="str" cm="1">
        <f t="array" aca="1" ref="BB34" ca="1">IF(AT34=0,"",INDEX(auto_ddCountry,AT34))</f>
        <v/>
      </c>
      <c r="BC34" t="str" cm="1">
        <f t="array" aca="1" ref="BC34" ca="1">IF(AU34=0,"",INDEX(auto_ddCountry,AU34))</f>
        <v/>
      </c>
      <c r="BD34" t="str" cm="1">
        <f t="array" aca="1" ref="BD34" ca="1">IF(AV34=0,"",INDEX(auto_ddCountry,AV34))</f>
        <v/>
      </c>
      <c r="BE34" t="str" cm="1">
        <f t="array" aca="1" ref="BE34" ca="1">IF(AW34=0,"",INDEX(auto_ddCountry,AW34))</f>
        <v>Rome</v>
      </c>
      <c r="BF34" t="str" cm="1">
        <f t="array" aca="1" ref="BF34" ca="1">IF(AX34=0,"",INDEX(auto_ddCountry,AX34))</f>
        <v/>
      </c>
      <c r="BG34" t="str" cm="1">
        <f t="array" aca="1" ref="BG34" ca="1">IF(AY34=0,"",INDEX(auto_ddCountry,AY34))</f>
        <v/>
      </c>
    </row>
    <row r="35" spans="1:59" x14ac:dyDescent="0.4">
      <c r="A35">
        <v>21</v>
      </c>
      <c r="B35">
        <v>21</v>
      </c>
      <c r="C35" cm="1">
        <f t="array" ref="C35">INDEX(auto_Country_Status,B35)</f>
        <v>1</v>
      </c>
      <c r="E35" cm="1">
        <f t="array" aca="1" ref="E35" ca="1">INDEX(sys_DataFlat_LU_Grid,$C$2,$B35)</f>
        <v>21</v>
      </c>
      <c r="F35" cm="1">
        <f t="array" aca="1" ref="F35" ca="1">INDEX(auto_DataFlat_Score,E35,$C$5)</f>
        <v>44.3</v>
      </c>
      <c r="G35" cm="1">
        <f t="array" aca="1" ref="G35" ca="1">INDEX(auto_DataFlat_DataValue,E35,$C$5)</f>
        <v>0</v>
      </c>
      <c r="H35">
        <f t="shared" ca="1" si="21"/>
        <v>44.3</v>
      </c>
      <c r="I35" cm="1">
        <f t="array" aca="1" ref="I35" ca="1">INDEX(auto_DataFlat_Classification,E35,$C$5)</f>
        <v>3</v>
      </c>
      <c r="J35">
        <f t="shared" ca="1" si="22"/>
        <v>44.3</v>
      </c>
      <c r="K35">
        <f t="shared" ca="1" si="23"/>
        <v>44.3</v>
      </c>
      <c r="L35">
        <f ca="1">RANK(K35,OFFSET(K$15,0,0,$C$12,1))+COUNTIF(K$15:K35,K35)-1</f>
        <v>43</v>
      </c>
      <c r="N35">
        <f t="shared" ca="1" si="24"/>
        <v>41</v>
      </c>
      <c r="O35" cm="1">
        <f t="array" aca="1" ref="O35" ca="1">INDEX(auto_Country_Status,N35)</f>
        <v>1</v>
      </c>
      <c r="P35" cm="1">
        <f t="array" aca="1" ref="P35" ca="1">INDEX(OFFSET($E$15,0,0,$C$12,1),N35)</f>
        <v>41</v>
      </c>
      <c r="Q35" t="str" cm="1">
        <f t="array" aca="1" ref="Q35" ca="1">INDEX(auto_Country_ISO,N35)</f>
        <v>SPF</v>
      </c>
      <c r="R35" cm="1">
        <f t="array" aca="1" ref="R35" ca="1">IF(O35=0,0,INDEX(auto_DataFlat_Classification,P35,$C$5))</f>
        <v>4</v>
      </c>
      <c r="S35" cm="1">
        <f t="array" aca="1" ref="S35" ca="1">INDEX(auto_DataFlat_DataValue,P35,$C$5)</f>
        <v>0</v>
      </c>
      <c r="U35" t="e">
        <f t="shared" ref="U35:Z35" ca="1" si="51">IFERROR(U34+MATCH(U$13,OFFSET($R$15,U34,0,$C$12-U34,1),0),NA())</f>
        <v>#N/A</v>
      </c>
      <c r="V35" t="e">
        <f t="shared" ca="1" si="51"/>
        <v>#N/A</v>
      </c>
      <c r="W35" t="e">
        <f t="shared" ca="1" si="51"/>
        <v>#N/A</v>
      </c>
      <c r="X35" t="e">
        <f t="shared" ca="1" si="51"/>
        <v>#N/A</v>
      </c>
      <c r="Y35">
        <f t="shared" ca="1" si="51"/>
        <v>23</v>
      </c>
      <c r="Z35" t="e">
        <f t="shared" ca="1" si="51"/>
        <v>#N/A</v>
      </c>
      <c r="AB35" cm="1">
        <f t="array" aca="1" ref="AB35" ca="1">IFERROR(INDEX(OFFSET($N$15,0,0,$C$12,1),U35),0)</f>
        <v>0</v>
      </c>
      <c r="AC35" cm="1">
        <f t="array" aca="1" ref="AC35" ca="1">IFERROR(INDEX(OFFSET($N$15,0,0,$C$12,1),V35),0)</f>
        <v>0</v>
      </c>
      <c r="AD35" cm="1">
        <f t="array" aca="1" ref="AD35" ca="1">IFERROR(INDEX(OFFSET($N$15,0,0,$C$12,1),W35),0)</f>
        <v>0</v>
      </c>
      <c r="AE35" cm="1">
        <f t="array" aca="1" ref="AE35" ca="1">IFERROR(INDEX(OFFSET($N$15,0,0,$C$12,1),X35),0)</f>
        <v>0</v>
      </c>
      <c r="AF35" cm="1">
        <f t="array" aca="1" ref="AF35" ca="1">IFERROR(INDEX(OFFSET($N$15,0,0,$C$12,1),Y35),0)</f>
        <v>31</v>
      </c>
      <c r="AG35" cm="1">
        <f t="array" aca="1" ref="AG35" ca="1">IFERROR(INDEX(OFFSET($N$15,0,0,$C$12,1),Z35),0)</f>
        <v>0</v>
      </c>
      <c r="AI35">
        <f t="shared" ca="1" si="26"/>
        <v>3</v>
      </c>
      <c r="AK35" t="e">
        <f t="shared" ref="AK35:AQ35" ca="1" si="52">IFERROR(AK34+MATCH(AK$13,OFFSET($AI$15,AK34,0,$C$12-AK34,1),0),NA())</f>
        <v>#N/A</v>
      </c>
      <c r="AL35" t="e">
        <f t="shared" ca="1" si="52"/>
        <v>#N/A</v>
      </c>
      <c r="AM35" t="e">
        <f t="shared" ca="1" si="52"/>
        <v>#N/A</v>
      </c>
      <c r="AN35" t="e">
        <f t="shared" ca="1" si="52"/>
        <v>#N/A</v>
      </c>
      <c r="AO35">
        <f t="shared" ca="1" si="52"/>
        <v>40</v>
      </c>
      <c r="AP35" t="e">
        <f t="shared" ca="1" si="52"/>
        <v>#N/A</v>
      </c>
      <c r="AQ35" t="e">
        <f t="shared" ca="1" si="52"/>
        <v>#N/A</v>
      </c>
      <c r="AS35" cm="1">
        <f t="array" aca="1" ref="AS35" ca="1">IFERROR(INDEX(OFFSET($B$15,0,0,$C$12,1),AK35),0)</f>
        <v>0</v>
      </c>
      <c r="AT35" cm="1">
        <f t="array" aca="1" ref="AT35" ca="1">IFERROR(INDEX(OFFSET($B$15,0,0,$C$12,1),AL35),0)</f>
        <v>0</v>
      </c>
      <c r="AU35" cm="1">
        <f t="array" aca="1" ref="AU35" ca="1">IFERROR(INDEX(OFFSET($B$15,0,0,$C$12,1),AM35),0)</f>
        <v>0</v>
      </c>
      <c r="AV35" cm="1">
        <f t="array" aca="1" ref="AV35" ca="1">IFERROR(INDEX(OFFSET($B$15,0,0,$C$12,1),AN35),0)</f>
        <v>0</v>
      </c>
      <c r="AW35" cm="1">
        <f t="array" aca="1" ref="AW35" ca="1">IFERROR(INDEX(OFFSET($B$15,0,0,$C$12,1),AO35),0)</f>
        <v>40</v>
      </c>
      <c r="AX35" cm="1">
        <f t="array" aca="1" ref="AX35" ca="1">IFERROR(INDEX(OFFSET($B$15,0,0,$C$12,1),AP35),0)</f>
        <v>0</v>
      </c>
      <c r="AY35" cm="1">
        <f t="array" aca="1" ref="AY35" ca="1">IFERROR(INDEX(OFFSET($B$15,0,0,$C$12,1),AQ35),0)</f>
        <v>0</v>
      </c>
      <c r="BA35" t="str" cm="1">
        <f t="array" aca="1" ref="BA35" ca="1">IF(AS35=0,"",INDEX(auto_ddCountry,AS35))</f>
        <v/>
      </c>
      <c r="BB35" t="str" cm="1">
        <f t="array" aca="1" ref="BB35" ca="1">IF(AT35=0,"",INDEX(auto_ddCountry,AT35))</f>
        <v/>
      </c>
      <c r="BC35" t="str" cm="1">
        <f t="array" aca="1" ref="BC35" ca="1">IF(AU35=0,"",INDEX(auto_ddCountry,AU35))</f>
        <v/>
      </c>
      <c r="BD35" t="str" cm="1">
        <f t="array" aca="1" ref="BD35" ca="1">IF(AV35=0,"",INDEX(auto_ddCountry,AV35))</f>
        <v/>
      </c>
      <c r="BE35" t="str" cm="1">
        <f t="array" aca="1" ref="BE35" ca="1">IF(AW35=0,"",INDEX(auto_ddCountry,AW35))</f>
        <v>San Francisco</v>
      </c>
      <c r="BF35" t="str" cm="1">
        <f t="array" aca="1" ref="BF35" ca="1">IF(AX35=0,"",INDEX(auto_ddCountry,AX35))</f>
        <v/>
      </c>
      <c r="BG35" t="str" cm="1">
        <f t="array" aca="1" ref="BG35" ca="1">IF(AY35=0,"",INDEX(auto_ddCountry,AY35))</f>
        <v/>
      </c>
    </row>
    <row r="36" spans="1:59" x14ac:dyDescent="0.4">
      <c r="A36">
        <v>22</v>
      </c>
      <c r="B36">
        <v>22</v>
      </c>
      <c r="C36" cm="1">
        <f t="array" ref="C36">INDEX(auto_Country_Status,B36)</f>
        <v>1</v>
      </c>
      <c r="E36" cm="1">
        <f t="array" aca="1" ref="E36" ca="1">INDEX(sys_DataFlat_LU_Grid,$C$2,$B36)</f>
        <v>22</v>
      </c>
      <c r="F36" cm="1">
        <f t="array" aca="1" ref="F36" ca="1">INDEX(auto_DataFlat_Score,E36,$C$5)</f>
        <v>40.9</v>
      </c>
      <c r="G36" cm="1">
        <f t="array" aca="1" ref="G36" ca="1">INDEX(auto_DataFlat_DataValue,E36,$C$5)</f>
        <v>0</v>
      </c>
      <c r="H36">
        <f t="shared" ca="1" si="21"/>
        <v>40.9</v>
      </c>
      <c r="I36" cm="1">
        <f t="array" aca="1" ref="I36" ca="1">INDEX(auto_DataFlat_Classification,E36,$C$5)</f>
        <v>3</v>
      </c>
      <c r="J36">
        <f t="shared" ca="1" si="22"/>
        <v>40.9</v>
      </c>
      <c r="K36">
        <f t="shared" ca="1" si="23"/>
        <v>40.9</v>
      </c>
      <c r="L36">
        <f ca="1">RANK(K36,OFFSET(K$15,0,0,$C$12,1))+COUNTIF(K$15:K36,K36)-1</f>
        <v>49</v>
      </c>
      <c r="N36">
        <f t="shared" ca="1" si="24"/>
        <v>16</v>
      </c>
      <c r="O36" cm="1">
        <f t="array" aca="1" ref="O36" ca="1">INDEX(auto_Country_Status,N36)</f>
        <v>1</v>
      </c>
      <c r="P36" cm="1">
        <f t="array" aca="1" ref="P36" ca="1">INDEX(OFFSET($E$15,0,0,$C$12,1),N36)</f>
        <v>16</v>
      </c>
      <c r="Q36" t="str" cm="1">
        <f t="array" aca="1" ref="Q36" ca="1">INDEX(auto_Country_ISO,N36)</f>
        <v>SGN</v>
      </c>
      <c r="R36" cm="1">
        <f t="array" aca="1" ref="R36" ca="1">IF(O36=0,0,INDEX(auto_DataFlat_Classification,P36,$C$5))</f>
        <v>4</v>
      </c>
      <c r="S36" cm="1">
        <f t="array" aca="1" ref="S36" ca="1">INDEX(auto_DataFlat_DataValue,P36,$C$5)</f>
        <v>0</v>
      </c>
      <c r="U36" t="e">
        <f t="shared" ref="U36:Z36" ca="1" si="53">IFERROR(U35+MATCH(U$13,OFFSET($R$15,U35,0,$C$12-U35,1),0),NA())</f>
        <v>#N/A</v>
      </c>
      <c r="V36" t="e">
        <f t="shared" ca="1" si="53"/>
        <v>#N/A</v>
      </c>
      <c r="W36" t="e">
        <f t="shared" ca="1" si="53"/>
        <v>#N/A</v>
      </c>
      <c r="X36" t="e">
        <f t="shared" ca="1" si="53"/>
        <v>#N/A</v>
      </c>
      <c r="Y36">
        <f t="shared" ca="1" si="53"/>
        <v>24</v>
      </c>
      <c r="Z36" t="e">
        <f t="shared" ca="1" si="53"/>
        <v>#N/A</v>
      </c>
      <c r="AB36" cm="1">
        <f t="array" aca="1" ref="AB36" ca="1">IFERROR(INDEX(OFFSET($N$15,0,0,$C$12,1),U36),0)</f>
        <v>0</v>
      </c>
      <c r="AC36" cm="1">
        <f t="array" aca="1" ref="AC36" ca="1">IFERROR(INDEX(OFFSET($N$15,0,0,$C$12,1),V36),0)</f>
        <v>0</v>
      </c>
      <c r="AD36" cm="1">
        <f t="array" aca="1" ref="AD36" ca="1">IFERROR(INDEX(OFFSET($N$15,0,0,$C$12,1),W36),0)</f>
        <v>0</v>
      </c>
      <c r="AE36" cm="1">
        <f t="array" aca="1" ref="AE36" ca="1">IFERROR(INDEX(OFFSET($N$15,0,0,$C$12,1),X36),0)</f>
        <v>0</v>
      </c>
      <c r="AF36" cm="1">
        <f t="array" aca="1" ref="AF36" ca="1">IFERROR(INDEX(OFFSET($N$15,0,0,$C$12,1),Y36),0)</f>
        <v>43</v>
      </c>
      <c r="AG36" cm="1">
        <f t="array" aca="1" ref="AG36" ca="1">IFERROR(INDEX(OFFSET($N$15,0,0,$C$12,1),Z36),0)</f>
        <v>0</v>
      </c>
      <c r="AI36">
        <f t="shared" ca="1" si="26"/>
        <v>3</v>
      </c>
      <c r="AK36" t="e">
        <f t="shared" ca="1" si="13"/>
        <v>#N/A</v>
      </c>
      <c r="AL36" t="e">
        <f t="shared" ca="1" si="14"/>
        <v>#N/A</v>
      </c>
      <c r="AM36" t="e">
        <f t="shared" ca="1" si="15"/>
        <v>#N/A</v>
      </c>
      <c r="AN36" t="e">
        <f t="shared" ca="1" si="16"/>
        <v>#N/A</v>
      </c>
      <c r="AO36">
        <f t="shared" ca="1" si="17"/>
        <v>41</v>
      </c>
      <c r="AP36" t="e">
        <f t="shared" ca="1" si="18"/>
        <v>#N/A</v>
      </c>
      <c r="AQ36" t="e">
        <f t="shared" ca="1" si="19"/>
        <v>#N/A</v>
      </c>
      <c r="AS36" cm="1">
        <f t="array" aca="1" ref="AS36" ca="1">IFERROR(INDEX(OFFSET($B$15,0,0,$C$12,1),AK36),0)</f>
        <v>0</v>
      </c>
      <c r="AT36" cm="1">
        <f t="array" aca="1" ref="AT36" ca="1">IFERROR(INDEX(OFFSET($B$15,0,0,$C$12,1),AL36),0)</f>
        <v>0</v>
      </c>
      <c r="AU36" cm="1">
        <f t="array" aca="1" ref="AU36" ca="1">IFERROR(INDEX(OFFSET($B$15,0,0,$C$12,1),AM36),0)</f>
        <v>0</v>
      </c>
      <c r="AV36" cm="1">
        <f t="array" aca="1" ref="AV36" ca="1">IFERROR(INDEX(OFFSET($B$15,0,0,$C$12,1),AN36),0)</f>
        <v>0</v>
      </c>
      <c r="AW36" cm="1">
        <f t="array" aca="1" ref="AW36" ca="1">IFERROR(INDEX(OFFSET($B$15,0,0,$C$12,1),AO36),0)</f>
        <v>41</v>
      </c>
      <c r="AX36" cm="1">
        <f t="array" aca="1" ref="AX36" ca="1">IFERROR(INDEX(OFFSET($B$15,0,0,$C$12,1),AP36),0)</f>
        <v>0</v>
      </c>
      <c r="AY36" cm="1">
        <f t="array" aca="1" ref="AY36" ca="1">IFERROR(INDEX(OFFSET($B$15,0,0,$C$12,1),AQ36),0)</f>
        <v>0</v>
      </c>
      <c r="BA36" t="str" cm="1">
        <f t="array" aca="1" ref="BA36" ca="1">IF(AS36=0,"",INDEX(auto_ddCountry,AS36))</f>
        <v/>
      </c>
      <c r="BB36" t="str" cm="1">
        <f t="array" aca="1" ref="BB36" ca="1">IF(AT36=0,"",INDEX(auto_ddCountry,AT36))</f>
        <v/>
      </c>
      <c r="BC36" t="str" cm="1">
        <f t="array" aca="1" ref="BC36" ca="1">IF(AU36=0,"",INDEX(auto_ddCountry,AU36))</f>
        <v/>
      </c>
      <c r="BD36" t="str" cm="1">
        <f t="array" aca="1" ref="BD36" ca="1">IF(AV36=0,"",INDEX(auto_ddCountry,AV36))</f>
        <v/>
      </c>
      <c r="BE36" t="str" cm="1">
        <f t="array" aca="1" ref="BE36" ca="1">IF(AW36=0,"",INDEX(auto_ddCountry,AW36))</f>
        <v>São Paulo</v>
      </c>
      <c r="BF36" t="str" cm="1">
        <f t="array" aca="1" ref="BF36" ca="1">IF(AX36=0,"",INDEX(auto_ddCountry,AX36))</f>
        <v/>
      </c>
      <c r="BG36" t="str" cm="1">
        <f t="array" aca="1" ref="BG36" ca="1">IF(AY36=0,"",INDEX(auto_ddCountry,AY36))</f>
        <v/>
      </c>
    </row>
    <row r="37" spans="1:59" x14ac:dyDescent="0.4">
      <c r="A37">
        <v>23</v>
      </c>
      <c r="B37">
        <v>23</v>
      </c>
      <c r="C37" cm="1">
        <f t="array" ref="C37">INDEX(auto_Country_Status,B37)</f>
        <v>1</v>
      </c>
      <c r="E37" cm="1">
        <f t="array" aca="1" ref="E37" ca="1">INDEX(sys_DataFlat_LU_Grid,$C$2,$B37)</f>
        <v>23</v>
      </c>
      <c r="F37" cm="1">
        <f t="array" aca="1" ref="F37" ca="1">INDEX(auto_DataFlat_Score,E37,$C$5)</f>
        <v>51.8</v>
      </c>
      <c r="G37" cm="1">
        <f t="array" aca="1" ref="G37" ca="1">INDEX(auto_DataFlat_DataValue,E37,$C$5)</f>
        <v>0</v>
      </c>
      <c r="H37">
        <f t="shared" ca="1" si="21"/>
        <v>51.8</v>
      </c>
      <c r="I37" cm="1">
        <f t="array" aca="1" ref="I37" ca="1">INDEX(auto_DataFlat_Classification,E37,$C$5)</f>
        <v>3</v>
      </c>
      <c r="J37">
        <f t="shared" ca="1" si="22"/>
        <v>51.8</v>
      </c>
      <c r="K37">
        <f t="shared" ca="1" si="23"/>
        <v>51.8</v>
      </c>
      <c r="L37">
        <f ca="1">RANK(K37,OFFSET(K$15,0,0,$C$12,1))+COUNTIF(K$15:K37,K37)-1</f>
        <v>37</v>
      </c>
      <c r="N37">
        <f t="shared" ca="1" si="24"/>
        <v>31</v>
      </c>
      <c r="O37" cm="1">
        <f t="array" aca="1" ref="O37" ca="1">INDEX(auto_Country_Status,N37)</f>
        <v>1</v>
      </c>
      <c r="P37" cm="1">
        <f t="array" aca="1" ref="P37" ca="1">INDEX(OFFSET($E$15,0,0,$C$12,1),N37)</f>
        <v>31</v>
      </c>
      <c r="Q37" t="str" cm="1">
        <f t="array" aca="1" ref="Q37" ca="1">INDEX(auto_Country_ISO,N37)</f>
        <v>MW3</v>
      </c>
      <c r="R37" cm="1">
        <f t="array" aca="1" ref="R37" ca="1">IF(O37=0,0,INDEX(auto_DataFlat_Classification,P37,$C$5))</f>
        <v>4</v>
      </c>
      <c r="S37" cm="1">
        <f t="array" aca="1" ref="S37" ca="1">INDEX(auto_DataFlat_DataValue,P37,$C$5)</f>
        <v>0</v>
      </c>
      <c r="U37" t="e">
        <f t="shared" ref="U37:Z37" ca="1" si="54">IFERROR(U36+MATCH(U$13,OFFSET($R$15,U36,0,$C$12-U36,1),0),NA())</f>
        <v>#N/A</v>
      </c>
      <c r="V37" t="e">
        <f t="shared" ca="1" si="54"/>
        <v>#N/A</v>
      </c>
      <c r="W37" t="e">
        <f t="shared" ca="1" si="54"/>
        <v>#N/A</v>
      </c>
      <c r="X37" t="e">
        <f t="shared" ca="1" si="54"/>
        <v>#N/A</v>
      </c>
      <c r="Y37">
        <f t="shared" ca="1" si="54"/>
        <v>25</v>
      </c>
      <c r="Z37" t="e">
        <f t="shared" ca="1" si="54"/>
        <v>#N/A</v>
      </c>
      <c r="AB37" cm="1">
        <f t="array" aca="1" ref="AB37" ca="1">IFERROR(INDEX(OFFSET($N$15,0,0,$C$12,1),U37),0)</f>
        <v>0</v>
      </c>
      <c r="AC37" cm="1">
        <f t="array" aca="1" ref="AC37" ca="1">IFERROR(INDEX(OFFSET($N$15,0,0,$C$12,1),V37),0)</f>
        <v>0</v>
      </c>
      <c r="AD37" cm="1">
        <f t="array" aca="1" ref="AD37" ca="1">IFERROR(INDEX(OFFSET($N$15,0,0,$C$12,1),W37),0)</f>
        <v>0</v>
      </c>
      <c r="AE37" cm="1">
        <f t="array" aca="1" ref="AE37" ca="1">IFERROR(INDEX(OFFSET($N$15,0,0,$C$12,1),X37),0)</f>
        <v>0</v>
      </c>
      <c r="AF37" cm="1">
        <f t="array" aca="1" ref="AF37" ca="1">IFERROR(INDEX(OFFSET($N$15,0,0,$C$12,1),Y37),0)</f>
        <v>14</v>
      </c>
      <c r="AG37" cm="1">
        <f t="array" aca="1" ref="AG37" ca="1">IFERROR(INDEX(OFFSET($N$15,0,0,$C$12,1),Z37),0)</f>
        <v>0</v>
      </c>
      <c r="AI37">
        <f t="shared" ca="1" si="26"/>
        <v>3</v>
      </c>
      <c r="AK37" t="e">
        <f t="shared" ref="AK37:AQ37" ca="1" si="55">IFERROR(AK36+MATCH(AK$13,OFFSET($AI$15,AK36,0,$C$12-AK36,1),0),NA())</f>
        <v>#N/A</v>
      </c>
      <c r="AL37" t="e">
        <f t="shared" ca="1" si="55"/>
        <v>#N/A</v>
      </c>
      <c r="AM37" t="e">
        <f t="shared" ca="1" si="55"/>
        <v>#N/A</v>
      </c>
      <c r="AN37" t="e">
        <f t="shared" ca="1" si="55"/>
        <v>#N/A</v>
      </c>
      <c r="AO37">
        <f t="shared" ca="1" si="55"/>
        <v>42</v>
      </c>
      <c r="AP37" t="e">
        <f t="shared" ca="1" si="55"/>
        <v>#N/A</v>
      </c>
      <c r="AQ37" t="e">
        <f t="shared" ca="1" si="55"/>
        <v>#N/A</v>
      </c>
      <c r="AS37" cm="1">
        <f t="array" aca="1" ref="AS37" ca="1">IFERROR(INDEX(OFFSET($B$15,0,0,$C$12,1),AK37),0)</f>
        <v>0</v>
      </c>
      <c r="AT37" cm="1">
        <f t="array" aca="1" ref="AT37" ca="1">IFERROR(INDEX(OFFSET($B$15,0,0,$C$12,1),AL37),0)</f>
        <v>0</v>
      </c>
      <c r="AU37" cm="1">
        <f t="array" aca="1" ref="AU37" ca="1">IFERROR(INDEX(OFFSET($B$15,0,0,$C$12,1),AM37),0)</f>
        <v>0</v>
      </c>
      <c r="AV37" cm="1">
        <f t="array" aca="1" ref="AV37" ca="1">IFERROR(INDEX(OFFSET($B$15,0,0,$C$12,1),AN37),0)</f>
        <v>0</v>
      </c>
      <c r="AW37" cm="1">
        <f t="array" aca="1" ref="AW37" ca="1">IFERROR(INDEX(OFFSET($B$15,0,0,$C$12,1),AO37),0)</f>
        <v>42</v>
      </c>
      <c r="AX37" cm="1">
        <f t="array" aca="1" ref="AX37" ca="1">IFERROR(INDEX(OFFSET($B$15,0,0,$C$12,1),AP37),0)</f>
        <v>0</v>
      </c>
      <c r="AY37" cm="1">
        <f t="array" aca="1" ref="AY37" ca="1">IFERROR(INDEX(OFFSET($B$15,0,0,$C$12,1),AQ37),0)</f>
        <v>0</v>
      </c>
      <c r="BA37" t="str" cm="1">
        <f t="array" aca="1" ref="BA37" ca="1">IF(AS37=0,"",INDEX(auto_ddCountry,AS37))</f>
        <v/>
      </c>
      <c r="BB37" t="str" cm="1">
        <f t="array" aca="1" ref="BB37" ca="1">IF(AT37=0,"",INDEX(auto_ddCountry,AT37))</f>
        <v/>
      </c>
      <c r="BC37" t="str" cm="1">
        <f t="array" aca="1" ref="BC37" ca="1">IF(AU37=0,"",INDEX(auto_ddCountry,AU37))</f>
        <v/>
      </c>
      <c r="BD37" t="str" cm="1">
        <f t="array" aca="1" ref="BD37" ca="1">IF(AV37=0,"",INDEX(auto_ddCountry,AV37))</f>
        <v/>
      </c>
      <c r="BE37" t="str" cm="1">
        <f t="array" aca="1" ref="BE37" ca="1">IF(AW37=0,"",INDEX(auto_ddCountry,AW37))</f>
        <v>Seoul</v>
      </c>
      <c r="BF37" t="str" cm="1">
        <f t="array" aca="1" ref="BF37" ca="1">IF(AX37=0,"",INDEX(auto_ddCountry,AX37))</f>
        <v/>
      </c>
      <c r="BG37" t="str" cm="1">
        <f t="array" aca="1" ref="BG37" ca="1">IF(AY37=0,"",INDEX(auto_ddCountry,AY37))</f>
        <v/>
      </c>
    </row>
    <row r="38" spans="1:59" x14ac:dyDescent="0.4">
      <c r="A38">
        <v>24</v>
      </c>
      <c r="B38">
        <v>24</v>
      </c>
      <c r="C38" cm="1">
        <f t="array" ref="C38">INDEX(auto_Country_Status,B38)</f>
        <v>1</v>
      </c>
      <c r="E38" cm="1">
        <f t="array" aca="1" ref="E38" ca="1">INDEX(sys_DataFlat_LU_Grid,$C$2,$B38)</f>
        <v>24</v>
      </c>
      <c r="F38" cm="1">
        <f t="array" aca="1" ref="F38" ca="1">INDEX(auto_DataFlat_Score,E38,$C$5)</f>
        <v>42.1</v>
      </c>
      <c r="G38" cm="1">
        <f t="array" aca="1" ref="G38" ca="1">INDEX(auto_DataFlat_DataValue,E38,$C$5)</f>
        <v>0</v>
      </c>
      <c r="H38">
        <f t="shared" ca="1" si="21"/>
        <v>42.1</v>
      </c>
      <c r="I38" cm="1">
        <f t="array" aca="1" ref="I38" ca="1">INDEX(auto_DataFlat_Classification,E38,$C$5)</f>
        <v>3</v>
      </c>
      <c r="J38">
        <f t="shared" ca="1" si="22"/>
        <v>42.1</v>
      </c>
      <c r="K38">
        <f t="shared" ca="1" si="23"/>
        <v>42.1</v>
      </c>
      <c r="L38">
        <f ca="1">RANK(K38,OFFSET(K$15,0,0,$C$12,1))+COUNTIF(K$15:K38,K38)-1</f>
        <v>46</v>
      </c>
      <c r="N38">
        <f t="shared" ca="1" si="24"/>
        <v>43</v>
      </c>
      <c r="O38" cm="1">
        <f t="array" aca="1" ref="O38" ca="1">INDEX(auto_Country_Status,N38)</f>
        <v>1</v>
      </c>
      <c r="P38" cm="1">
        <f t="array" aca="1" ref="P38" ca="1">INDEX(OFFSET($E$15,0,0,$C$12,1),N38)</f>
        <v>43</v>
      </c>
      <c r="Q38" t="str" cm="1">
        <f t="array" aca="1" ref="Q38" ca="1">INDEX(auto_Country_ISO,N38)</f>
        <v>SGH</v>
      </c>
      <c r="R38" cm="1">
        <f t="array" aca="1" ref="R38" ca="1">IF(O38=0,0,INDEX(auto_DataFlat_Classification,P38,$C$5))</f>
        <v>4</v>
      </c>
      <c r="S38" cm="1">
        <f t="array" aca="1" ref="S38" ca="1">INDEX(auto_DataFlat_DataValue,P38,$C$5)</f>
        <v>0</v>
      </c>
      <c r="U38" t="e">
        <f t="shared" ref="U38:Z38" ca="1" si="56">IFERROR(U37+MATCH(U$13,OFFSET($R$15,U37,0,$C$12-U37,1),0),NA())</f>
        <v>#N/A</v>
      </c>
      <c r="V38" t="e">
        <f t="shared" ca="1" si="56"/>
        <v>#N/A</v>
      </c>
      <c r="W38" t="e">
        <f t="shared" ca="1" si="56"/>
        <v>#N/A</v>
      </c>
      <c r="X38" t="e">
        <f t="shared" ca="1" si="56"/>
        <v>#N/A</v>
      </c>
      <c r="Y38">
        <f t="shared" ca="1" si="56"/>
        <v>26</v>
      </c>
      <c r="Z38" t="e">
        <f t="shared" ca="1" si="56"/>
        <v>#N/A</v>
      </c>
      <c r="AB38" cm="1">
        <f t="array" aca="1" ref="AB38" ca="1">IFERROR(INDEX(OFFSET($N$15,0,0,$C$12,1),U38),0)</f>
        <v>0</v>
      </c>
      <c r="AC38" cm="1">
        <f t="array" aca="1" ref="AC38" ca="1">IFERROR(INDEX(OFFSET($N$15,0,0,$C$12,1),V38),0)</f>
        <v>0</v>
      </c>
      <c r="AD38" cm="1">
        <f t="array" aca="1" ref="AD38" ca="1">IFERROR(INDEX(OFFSET($N$15,0,0,$C$12,1),W38),0)</f>
        <v>0</v>
      </c>
      <c r="AE38" cm="1">
        <f t="array" aca="1" ref="AE38" ca="1">IFERROR(INDEX(OFFSET($N$15,0,0,$C$12,1),X38),0)</f>
        <v>0</v>
      </c>
      <c r="AF38" cm="1">
        <f t="array" aca="1" ref="AF38" ca="1">IFERROR(INDEX(OFFSET($N$15,0,0,$C$12,1),Y38),0)</f>
        <v>36</v>
      </c>
      <c r="AG38" cm="1">
        <f t="array" aca="1" ref="AG38" ca="1">IFERROR(INDEX(OFFSET($N$15,0,0,$C$12,1),Z38),0)</f>
        <v>0</v>
      </c>
      <c r="AI38">
        <f t="shared" ca="1" si="26"/>
        <v>3</v>
      </c>
      <c r="AK38" t="e">
        <f t="shared" ca="1" si="13"/>
        <v>#N/A</v>
      </c>
      <c r="AL38" t="e">
        <f t="shared" ca="1" si="14"/>
        <v>#N/A</v>
      </c>
      <c r="AM38" t="e">
        <f t="shared" ca="1" si="15"/>
        <v>#N/A</v>
      </c>
      <c r="AN38" t="e">
        <f t="shared" ca="1" si="16"/>
        <v>#N/A</v>
      </c>
      <c r="AO38">
        <f t="shared" ca="1" si="17"/>
        <v>43</v>
      </c>
      <c r="AP38" t="e">
        <f t="shared" ca="1" si="18"/>
        <v>#N/A</v>
      </c>
      <c r="AQ38" t="e">
        <f t="shared" ca="1" si="19"/>
        <v>#N/A</v>
      </c>
      <c r="AS38" cm="1">
        <f t="array" aca="1" ref="AS38" ca="1">IFERROR(INDEX(OFFSET($B$15,0,0,$C$12,1),AK38),0)</f>
        <v>0</v>
      </c>
      <c r="AT38" cm="1">
        <f t="array" aca="1" ref="AT38" ca="1">IFERROR(INDEX(OFFSET($B$15,0,0,$C$12,1),AL38),0)</f>
        <v>0</v>
      </c>
      <c r="AU38" cm="1">
        <f t="array" aca="1" ref="AU38" ca="1">IFERROR(INDEX(OFFSET($B$15,0,0,$C$12,1),AM38),0)</f>
        <v>0</v>
      </c>
      <c r="AV38" cm="1">
        <f t="array" aca="1" ref="AV38" ca="1">IFERROR(INDEX(OFFSET($B$15,0,0,$C$12,1),AN38),0)</f>
        <v>0</v>
      </c>
      <c r="AW38" cm="1">
        <f t="array" aca="1" ref="AW38" ca="1">IFERROR(INDEX(OFFSET($B$15,0,0,$C$12,1),AO38),0)</f>
        <v>43</v>
      </c>
      <c r="AX38" cm="1">
        <f t="array" aca="1" ref="AX38" ca="1">IFERROR(INDEX(OFFSET($B$15,0,0,$C$12,1),AP38),0)</f>
        <v>0</v>
      </c>
      <c r="AY38" cm="1">
        <f t="array" aca="1" ref="AY38" ca="1">IFERROR(INDEX(OFFSET($B$15,0,0,$C$12,1),AQ38),0)</f>
        <v>0</v>
      </c>
      <c r="BA38" t="str" cm="1">
        <f t="array" aca="1" ref="BA38" ca="1">IF(AS38=0,"",INDEX(auto_ddCountry,AS38))</f>
        <v/>
      </c>
      <c r="BB38" t="str" cm="1">
        <f t="array" aca="1" ref="BB38" ca="1">IF(AT38=0,"",INDEX(auto_ddCountry,AT38))</f>
        <v/>
      </c>
      <c r="BC38" t="str" cm="1">
        <f t="array" aca="1" ref="BC38" ca="1">IF(AU38=0,"",INDEX(auto_ddCountry,AU38))</f>
        <v/>
      </c>
      <c r="BD38" t="str" cm="1">
        <f t="array" aca="1" ref="BD38" ca="1">IF(AV38=0,"",INDEX(auto_ddCountry,AV38))</f>
        <v/>
      </c>
      <c r="BE38" t="str" cm="1">
        <f t="array" aca="1" ref="BE38" ca="1">IF(AW38=0,"",INDEX(auto_ddCountry,AW38))</f>
        <v>Shanghai</v>
      </c>
      <c r="BF38" t="str" cm="1">
        <f t="array" aca="1" ref="BF38" ca="1">IF(AX38=0,"",INDEX(auto_ddCountry,AX38))</f>
        <v/>
      </c>
      <c r="BG38" t="str" cm="1">
        <f t="array" aca="1" ref="BG38" ca="1">IF(AY38=0,"",INDEX(auto_ddCountry,AY38))</f>
        <v/>
      </c>
    </row>
    <row r="39" spans="1:59" x14ac:dyDescent="0.4">
      <c r="A39">
        <v>25</v>
      </c>
      <c r="B39">
        <v>25</v>
      </c>
      <c r="C39" cm="1">
        <f t="array" ref="C39">INDEX(auto_Country_Status,B39)</f>
        <v>1</v>
      </c>
      <c r="E39" cm="1">
        <f t="array" aca="1" ref="E39" ca="1">INDEX(sys_DataFlat_LU_Grid,$C$2,$B39)</f>
        <v>25</v>
      </c>
      <c r="F39" cm="1">
        <f t="array" aca="1" ref="F39" ca="1">INDEX(auto_DataFlat_Score,E39,$C$5)</f>
        <v>51.6</v>
      </c>
      <c r="G39" cm="1">
        <f t="array" aca="1" ref="G39" ca="1">INDEX(auto_DataFlat_DataValue,E39,$C$5)</f>
        <v>0</v>
      </c>
      <c r="H39">
        <f t="shared" ca="1" si="21"/>
        <v>51.6</v>
      </c>
      <c r="I39" cm="1">
        <f t="array" aca="1" ref="I39" ca="1">INDEX(auto_DataFlat_Classification,E39,$C$5)</f>
        <v>3</v>
      </c>
      <c r="J39">
        <f t="shared" ca="1" si="22"/>
        <v>51.6</v>
      </c>
      <c r="K39">
        <f t="shared" ca="1" si="23"/>
        <v>51.6</v>
      </c>
      <c r="L39">
        <f ca="1">RANK(K39,OFFSET(K$15,0,0,$C$12,1))+COUNTIF(K$15:K39,K39)-1</f>
        <v>38</v>
      </c>
      <c r="N39">
        <f t="shared" ca="1" si="24"/>
        <v>14</v>
      </c>
      <c r="O39" cm="1">
        <f t="array" aca="1" ref="O39" ca="1">INDEX(auto_Country_Status,N39)</f>
        <v>1</v>
      </c>
      <c r="P39" cm="1">
        <f t="array" aca="1" ref="P39" ca="1">INDEX(OFFSET($E$15,0,0,$C$12,1),N39)</f>
        <v>14</v>
      </c>
      <c r="Q39" t="str" cm="1">
        <f t="array" aca="1" ref="Q39" ca="1">INDEX(auto_Country_ISO,N39)</f>
        <v>DXB</v>
      </c>
      <c r="R39" cm="1">
        <f t="array" aca="1" ref="R39" ca="1">IF(O39=0,0,INDEX(auto_DataFlat_Classification,P39,$C$5))</f>
        <v>4</v>
      </c>
      <c r="S39" cm="1">
        <f t="array" aca="1" ref="S39" ca="1">INDEX(auto_DataFlat_DataValue,P39,$C$5)</f>
        <v>0</v>
      </c>
      <c r="U39" t="e">
        <f t="shared" ref="U39:Z39" ca="1" si="57">IFERROR(U38+MATCH(U$13,OFFSET($R$15,U38,0,$C$12-U38,1),0),NA())</f>
        <v>#N/A</v>
      </c>
      <c r="V39" t="e">
        <f t="shared" ca="1" si="57"/>
        <v>#N/A</v>
      </c>
      <c r="W39" t="e">
        <f t="shared" ca="1" si="57"/>
        <v>#N/A</v>
      </c>
      <c r="X39" t="e">
        <f t="shared" ca="1" si="57"/>
        <v>#N/A</v>
      </c>
      <c r="Y39">
        <f t="shared" ca="1" si="57"/>
        <v>27</v>
      </c>
      <c r="Z39" t="e">
        <f t="shared" ca="1" si="57"/>
        <v>#N/A</v>
      </c>
      <c r="AB39" cm="1">
        <f t="array" aca="1" ref="AB39" ca="1">IFERROR(INDEX(OFFSET($N$15,0,0,$C$12,1),U39),0)</f>
        <v>0</v>
      </c>
      <c r="AC39" cm="1">
        <f t="array" aca="1" ref="AC39" ca="1">IFERROR(INDEX(OFFSET($N$15,0,0,$C$12,1),V39),0)</f>
        <v>0</v>
      </c>
      <c r="AD39" cm="1">
        <f t="array" aca="1" ref="AD39" ca="1">IFERROR(INDEX(OFFSET($N$15,0,0,$C$12,1),W39),0)</f>
        <v>0</v>
      </c>
      <c r="AE39" cm="1">
        <f t="array" aca="1" ref="AE39" ca="1">IFERROR(INDEX(OFFSET($N$15,0,0,$C$12,1),X39),0)</f>
        <v>0</v>
      </c>
      <c r="AF39" cm="1">
        <f t="array" aca="1" ref="AF39" ca="1">IFERROR(INDEX(OFFSET($N$15,0,0,$C$12,1),Y39),0)</f>
        <v>39</v>
      </c>
      <c r="AG39" cm="1">
        <f t="array" aca="1" ref="AG39" ca="1">IFERROR(INDEX(OFFSET($N$15,0,0,$C$12,1),Z39),0)</f>
        <v>0</v>
      </c>
      <c r="AI39">
        <f t="shared" ca="1" si="26"/>
        <v>3</v>
      </c>
      <c r="AK39" t="e">
        <f t="shared" ref="AK39:AQ39" ca="1" si="58">IFERROR(AK38+MATCH(AK$13,OFFSET($AI$15,AK38,0,$C$12-AK38,1),0),NA())</f>
        <v>#N/A</v>
      </c>
      <c r="AL39" t="e">
        <f t="shared" ca="1" si="58"/>
        <v>#N/A</v>
      </c>
      <c r="AM39" t="e">
        <f t="shared" ca="1" si="58"/>
        <v>#N/A</v>
      </c>
      <c r="AN39" t="e">
        <f t="shared" ca="1" si="58"/>
        <v>#N/A</v>
      </c>
      <c r="AO39">
        <f t="shared" ca="1" si="58"/>
        <v>44</v>
      </c>
      <c r="AP39" t="e">
        <f t="shared" ca="1" si="58"/>
        <v>#N/A</v>
      </c>
      <c r="AQ39" t="e">
        <f t="shared" ca="1" si="58"/>
        <v>#N/A</v>
      </c>
      <c r="AS39" cm="1">
        <f t="array" aca="1" ref="AS39" ca="1">IFERROR(INDEX(OFFSET($B$15,0,0,$C$12,1),AK39),0)</f>
        <v>0</v>
      </c>
      <c r="AT39" cm="1">
        <f t="array" aca="1" ref="AT39" ca="1">IFERROR(INDEX(OFFSET($B$15,0,0,$C$12,1),AL39),0)</f>
        <v>0</v>
      </c>
      <c r="AU39" cm="1">
        <f t="array" aca="1" ref="AU39" ca="1">IFERROR(INDEX(OFFSET($B$15,0,0,$C$12,1),AM39),0)</f>
        <v>0</v>
      </c>
      <c r="AV39" cm="1">
        <f t="array" aca="1" ref="AV39" ca="1">IFERROR(INDEX(OFFSET($B$15,0,0,$C$12,1),AN39),0)</f>
        <v>0</v>
      </c>
      <c r="AW39" cm="1">
        <f t="array" aca="1" ref="AW39" ca="1">IFERROR(INDEX(OFFSET($B$15,0,0,$C$12,1),AO39),0)</f>
        <v>44</v>
      </c>
      <c r="AX39" cm="1">
        <f t="array" aca="1" ref="AX39" ca="1">IFERROR(INDEX(OFFSET($B$15,0,0,$C$12,1),AP39),0)</f>
        <v>0</v>
      </c>
      <c r="AY39" cm="1">
        <f t="array" aca="1" ref="AY39" ca="1">IFERROR(INDEX(OFFSET($B$15,0,0,$C$12,1),AQ39),0)</f>
        <v>0</v>
      </c>
      <c r="BA39" t="str" cm="1">
        <f t="array" aca="1" ref="BA39" ca="1">IF(AS39=0,"",INDEX(auto_ddCountry,AS39))</f>
        <v/>
      </c>
      <c r="BB39" t="str" cm="1">
        <f t="array" aca="1" ref="BB39" ca="1">IF(AT39=0,"",INDEX(auto_ddCountry,AT39))</f>
        <v/>
      </c>
      <c r="BC39" t="str" cm="1">
        <f t="array" aca="1" ref="BC39" ca="1">IF(AU39=0,"",INDEX(auto_ddCountry,AU39))</f>
        <v/>
      </c>
      <c r="BD39" t="str" cm="1">
        <f t="array" aca="1" ref="BD39" ca="1">IF(AV39=0,"",INDEX(auto_ddCountry,AV39))</f>
        <v/>
      </c>
      <c r="BE39" t="str" cm="1">
        <f t="array" aca="1" ref="BE39" ca="1">IF(AW39=0,"",INDEX(auto_ddCountry,AW39))</f>
        <v>Singapore</v>
      </c>
      <c r="BF39" t="str" cm="1">
        <f t="array" aca="1" ref="BF39" ca="1">IF(AX39=0,"",INDEX(auto_ddCountry,AX39))</f>
        <v/>
      </c>
      <c r="BG39" t="str" cm="1">
        <f t="array" aca="1" ref="BG39" ca="1">IF(AY39=0,"",INDEX(auto_ddCountry,AY39))</f>
        <v/>
      </c>
    </row>
    <row r="40" spans="1:59" x14ac:dyDescent="0.4">
      <c r="A40">
        <v>26</v>
      </c>
      <c r="B40">
        <v>26</v>
      </c>
      <c r="C40" cm="1">
        <f t="array" ref="C40">INDEX(auto_Country_Status,B40)</f>
        <v>1</v>
      </c>
      <c r="E40" cm="1">
        <f t="array" aca="1" ref="E40" ca="1">INDEX(sys_DataFlat_LU_Grid,$C$2,$B40)</f>
        <v>26</v>
      </c>
      <c r="F40" cm="1">
        <f t="array" aca="1" ref="F40" ca="1">INDEX(auto_DataFlat_Score,E40,$C$5)</f>
        <v>82.6</v>
      </c>
      <c r="G40" cm="1">
        <f t="array" aca="1" ref="G40" ca="1">INDEX(auto_DataFlat_DataValue,E40,$C$5)</f>
        <v>0</v>
      </c>
      <c r="H40">
        <f t="shared" ca="1" si="21"/>
        <v>82.6</v>
      </c>
      <c r="I40" cm="1">
        <f t="array" aca="1" ref="I40" ca="1">INDEX(auto_DataFlat_Classification,E40,$C$5)</f>
        <v>5</v>
      </c>
      <c r="J40">
        <f t="shared" ca="1" si="22"/>
        <v>82.6</v>
      </c>
      <c r="K40">
        <f t="shared" ca="1" si="23"/>
        <v>82.6</v>
      </c>
      <c r="L40">
        <f ca="1">RANK(K40,OFFSET(K$15,0,0,$C$12,1))+COUNTIF(K$15:K40,K40)-1</f>
        <v>2</v>
      </c>
      <c r="N40">
        <f t="shared" ca="1" si="24"/>
        <v>36</v>
      </c>
      <c r="O40" cm="1">
        <f t="array" aca="1" ref="O40" ca="1">INDEX(auto_Country_Status,N40)</f>
        <v>1</v>
      </c>
      <c r="P40" cm="1">
        <f t="array" aca="1" ref="P40" ca="1">INDEX(OFFSET($E$15,0,0,$C$12,1),N40)</f>
        <v>36</v>
      </c>
      <c r="Q40" t="str" cm="1">
        <f t="array" aca="1" ref="Q40" ca="1">INDEX(auto_Country_ISO,N40)</f>
        <v>PAR</v>
      </c>
      <c r="R40" cm="1">
        <f t="array" aca="1" ref="R40" ca="1">IF(O40=0,0,INDEX(auto_DataFlat_Classification,P40,$C$5))</f>
        <v>4</v>
      </c>
      <c r="S40" cm="1">
        <f t="array" aca="1" ref="S40" ca="1">INDEX(auto_DataFlat_DataValue,P40,$C$5)</f>
        <v>0</v>
      </c>
      <c r="U40" t="e">
        <f t="shared" ref="U40:Z40" ca="1" si="59">IFERROR(U39+MATCH(U$13,OFFSET($R$15,U39,0,$C$12-U39,1),0),NA())</f>
        <v>#N/A</v>
      </c>
      <c r="V40" t="e">
        <f t="shared" ca="1" si="59"/>
        <v>#N/A</v>
      </c>
      <c r="W40" t="e">
        <f t="shared" ca="1" si="59"/>
        <v>#N/A</v>
      </c>
      <c r="X40" t="e">
        <f t="shared" ca="1" si="59"/>
        <v>#N/A</v>
      </c>
      <c r="Y40">
        <f t="shared" ca="1" si="59"/>
        <v>28</v>
      </c>
      <c r="Z40" t="e">
        <f t="shared" ca="1" si="59"/>
        <v>#N/A</v>
      </c>
      <c r="AB40" cm="1">
        <f t="array" aca="1" ref="AB40" ca="1">IFERROR(INDEX(OFFSET($N$15,0,0,$C$12,1),U40),0)</f>
        <v>0</v>
      </c>
      <c r="AC40" cm="1">
        <f t="array" aca="1" ref="AC40" ca="1">IFERROR(INDEX(OFFSET($N$15,0,0,$C$12,1),V40),0)</f>
        <v>0</v>
      </c>
      <c r="AD40" cm="1">
        <f t="array" aca="1" ref="AD40" ca="1">IFERROR(INDEX(OFFSET($N$15,0,0,$C$12,1),W40),0)</f>
        <v>0</v>
      </c>
      <c r="AE40" cm="1">
        <f t="array" aca="1" ref="AE40" ca="1">IFERROR(INDEX(OFFSET($N$15,0,0,$C$12,1),X40),0)</f>
        <v>0</v>
      </c>
      <c r="AF40" cm="1">
        <f t="array" aca="1" ref="AF40" ca="1">IFERROR(INDEX(OFFSET($N$15,0,0,$C$12,1),Y40),0)</f>
        <v>6</v>
      </c>
      <c r="AG40" cm="1">
        <f t="array" aca="1" ref="AG40" ca="1">IFERROR(INDEX(OFFSET($N$15,0,0,$C$12,1),Z40),0)</f>
        <v>0</v>
      </c>
      <c r="AI40">
        <f t="shared" ca="1" si="26"/>
        <v>5</v>
      </c>
      <c r="AK40" t="e">
        <f t="shared" ca="1" si="13"/>
        <v>#N/A</v>
      </c>
      <c r="AL40" t="e">
        <f t="shared" ca="1" si="14"/>
        <v>#N/A</v>
      </c>
      <c r="AM40" t="e">
        <f t="shared" ca="1" si="15"/>
        <v>#N/A</v>
      </c>
      <c r="AN40" t="e">
        <f t="shared" ca="1" si="16"/>
        <v>#N/A</v>
      </c>
      <c r="AO40">
        <f t="shared" ca="1" si="17"/>
        <v>45</v>
      </c>
      <c r="AP40" t="e">
        <f t="shared" ca="1" si="18"/>
        <v>#N/A</v>
      </c>
      <c r="AQ40" t="e">
        <f t="shared" ca="1" si="19"/>
        <v>#N/A</v>
      </c>
      <c r="AS40" cm="1">
        <f t="array" aca="1" ref="AS40" ca="1">IFERROR(INDEX(OFFSET($B$15,0,0,$C$12,1),AK40),0)</f>
        <v>0</v>
      </c>
      <c r="AT40" cm="1">
        <f t="array" aca="1" ref="AT40" ca="1">IFERROR(INDEX(OFFSET($B$15,0,0,$C$12,1),AL40),0)</f>
        <v>0</v>
      </c>
      <c r="AU40" cm="1">
        <f t="array" aca="1" ref="AU40" ca="1">IFERROR(INDEX(OFFSET($B$15,0,0,$C$12,1),AM40),0)</f>
        <v>0</v>
      </c>
      <c r="AV40" cm="1">
        <f t="array" aca="1" ref="AV40" ca="1">IFERROR(INDEX(OFFSET($B$15,0,0,$C$12,1),AN40),0)</f>
        <v>0</v>
      </c>
      <c r="AW40" cm="1">
        <f t="array" aca="1" ref="AW40" ca="1">IFERROR(INDEX(OFFSET($B$15,0,0,$C$12,1),AO40),0)</f>
        <v>45</v>
      </c>
      <c r="AX40" cm="1">
        <f t="array" aca="1" ref="AX40" ca="1">IFERROR(INDEX(OFFSET($B$15,0,0,$C$12,1),AP40),0)</f>
        <v>0</v>
      </c>
      <c r="AY40" cm="1">
        <f t="array" aca="1" ref="AY40" ca="1">IFERROR(INDEX(OFFSET($B$15,0,0,$C$12,1),AQ40),0)</f>
        <v>0</v>
      </c>
      <c r="BA40" t="str" cm="1">
        <f t="array" aca="1" ref="BA40" ca="1">IF(AS40=0,"",INDEX(auto_ddCountry,AS40))</f>
        <v/>
      </c>
      <c r="BB40" t="str" cm="1">
        <f t="array" aca="1" ref="BB40" ca="1">IF(AT40=0,"",INDEX(auto_ddCountry,AT40))</f>
        <v/>
      </c>
      <c r="BC40" t="str" cm="1">
        <f t="array" aca="1" ref="BC40" ca="1">IF(AU40=0,"",INDEX(auto_ddCountry,AU40))</f>
        <v/>
      </c>
      <c r="BD40" t="str" cm="1">
        <f t="array" aca="1" ref="BD40" ca="1">IF(AV40=0,"",INDEX(auto_ddCountry,AV40))</f>
        <v/>
      </c>
      <c r="BE40" t="str" cm="1">
        <f t="array" aca="1" ref="BE40" ca="1">IF(AW40=0,"",INDEX(auto_ddCountry,AW40))</f>
        <v>Sydney</v>
      </c>
      <c r="BF40" t="str" cm="1">
        <f t="array" aca="1" ref="BF40" ca="1">IF(AX40=0,"",INDEX(auto_ddCountry,AX40))</f>
        <v/>
      </c>
      <c r="BG40" t="str" cm="1">
        <f t="array" aca="1" ref="BG40" ca="1">IF(AY40=0,"",INDEX(auto_ddCountry,AY40))</f>
        <v/>
      </c>
    </row>
    <row r="41" spans="1:59" x14ac:dyDescent="0.4">
      <c r="A41">
        <v>27</v>
      </c>
      <c r="B41">
        <v>27</v>
      </c>
      <c r="C41" cm="1">
        <f t="array" ref="C41">INDEX(auto_Country_Status,B41)</f>
        <v>1</v>
      </c>
      <c r="E41" cm="1">
        <f t="array" aca="1" ref="E41" ca="1">INDEX(sys_DataFlat_LU_Grid,$C$2,$B41)</f>
        <v>27</v>
      </c>
      <c r="F41" cm="1">
        <f t="array" aca="1" ref="F41" ca="1">INDEX(auto_DataFlat_Score,E41,$C$5)</f>
        <v>79.599999999999994</v>
      </c>
      <c r="G41" cm="1">
        <f t="array" aca="1" ref="G41" ca="1">INDEX(auto_DataFlat_DataValue,E41,$C$5)</f>
        <v>0</v>
      </c>
      <c r="H41">
        <f t="shared" ca="1" si="21"/>
        <v>79.599999999999994</v>
      </c>
      <c r="I41" cm="1">
        <f t="array" aca="1" ref="I41" ca="1">INDEX(auto_DataFlat_Classification,E41,$C$5)</f>
        <v>4</v>
      </c>
      <c r="J41">
        <f t="shared" ca="1" si="22"/>
        <v>79.599999999999994</v>
      </c>
      <c r="K41">
        <f t="shared" ca="1" si="23"/>
        <v>79.599999999999994</v>
      </c>
      <c r="L41">
        <f ca="1">RANK(K41,OFFSET(K$15,0,0,$C$12,1))+COUNTIF(K$15:K41,K41)-1</f>
        <v>3</v>
      </c>
      <c r="N41">
        <f t="shared" ca="1" si="24"/>
        <v>39</v>
      </c>
      <c r="O41" cm="1">
        <f t="array" aca="1" ref="O41" ca="1">INDEX(auto_Country_Status,N41)</f>
        <v>1</v>
      </c>
      <c r="P41" cm="1">
        <f t="array" aca="1" ref="P41" ca="1">INDEX(OFFSET($E$15,0,0,$C$12,1),N41)</f>
        <v>39</v>
      </c>
      <c r="Q41" t="str" cm="1">
        <f t="array" aca="1" ref="Q41" ca="1">INDEX(auto_Country_ISO,N41)</f>
        <v>RMG</v>
      </c>
      <c r="R41" cm="1">
        <f t="array" aca="1" ref="R41" ca="1">IF(O41=0,0,INDEX(auto_DataFlat_Classification,P41,$C$5))</f>
        <v>4</v>
      </c>
      <c r="S41" cm="1">
        <f t="array" aca="1" ref="S41" ca="1">INDEX(auto_DataFlat_DataValue,P41,$C$5)</f>
        <v>0</v>
      </c>
      <c r="U41" t="e">
        <f t="shared" ref="U41:Z41" ca="1" si="60">IFERROR(U40+MATCH(U$13,OFFSET($R$15,U40,0,$C$12-U40,1),0),NA())</f>
        <v>#N/A</v>
      </c>
      <c r="V41" t="e">
        <f t="shared" ca="1" si="60"/>
        <v>#N/A</v>
      </c>
      <c r="W41" t="e">
        <f t="shared" ca="1" si="60"/>
        <v>#N/A</v>
      </c>
      <c r="X41" t="e">
        <f t="shared" ca="1" si="60"/>
        <v>#N/A</v>
      </c>
      <c r="Y41">
        <f t="shared" ca="1" si="60"/>
        <v>29</v>
      </c>
      <c r="Z41" t="e">
        <f t="shared" ca="1" si="60"/>
        <v>#N/A</v>
      </c>
      <c r="AB41" cm="1">
        <f t="array" aca="1" ref="AB41" ca="1">IFERROR(INDEX(OFFSET($N$15,0,0,$C$12,1),U41),0)</f>
        <v>0</v>
      </c>
      <c r="AC41" cm="1">
        <f t="array" aca="1" ref="AC41" ca="1">IFERROR(INDEX(OFFSET($N$15,0,0,$C$12,1),V41),0)</f>
        <v>0</v>
      </c>
      <c r="AD41" cm="1">
        <f t="array" aca="1" ref="AD41" ca="1">IFERROR(INDEX(OFFSET($N$15,0,0,$C$12,1),W41),0)</f>
        <v>0</v>
      </c>
      <c r="AE41" cm="1">
        <f t="array" aca="1" ref="AE41" ca="1">IFERROR(INDEX(OFFSET($N$15,0,0,$C$12,1),X41),0)</f>
        <v>0</v>
      </c>
      <c r="AF41" cm="1">
        <f t="array" aca="1" ref="AF41" ca="1">IFERROR(INDEX(OFFSET($N$15,0,0,$C$12,1),Y41),0)</f>
        <v>3</v>
      </c>
      <c r="AG41" cm="1">
        <f t="array" aca="1" ref="AG41" ca="1">IFERROR(INDEX(OFFSET($N$15,0,0,$C$12,1),Z41),0)</f>
        <v>0</v>
      </c>
      <c r="AI41">
        <f t="shared" ca="1" si="26"/>
        <v>4</v>
      </c>
      <c r="AK41" t="e">
        <f t="shared" ref="AK41:AQ41" ca="1" si="61">IFERROR(AK40+MATCH(AK$13,OFFSET($AI$15,AK40,0,$C$12-AK40,1),0),NA())</f>
        <v>#N/A</v>
      </c>
      <c r="AL41" t="e">
        <f t="shared" ca="1" si="61"/>
        <v>#N/A</v>
      </c>
      <c r="AM41" t="e">
        <f t="shared" ca="1" si="61"/>
        <v>#N/A</v>
      </c>
      <c r="AN41" t="e">
        <f t="shared" ca="1" si="61"/>
        <v>#N/A</v>
      </c>
      <c r="AO41">
        <f t="shared" ca="1" si="61"/>
        <v>46</v>
      </c>
      <c r="AP41" t="e">
        <f t="shared" ca="1" si="61"/>
        <v>#N/A</v>
      </c>
      <c r="AQ41" t="e">
        <f t="shared" ca="1" si="61"/>
        <v>#N/A</v>
      </c>
      <c r="AS41" cm="1">
        <f t="array" aca="1" ref="AS41" ca="1">IFERROR(INDEX(OFFSET($B$15,0,0,$C$12,1),AK41),0)</f>
        <v>0</v>
      </c>
      <c r="AT41" cm="1">
        <f t="array" aca="1" ref="AT41" ca="1">IFERROR(INDEX(OFFSET($B$15,0,0,$C$12,1),AL41),0)</f>
        <v>0</v>
      </c>
      <c r="AU41" cm="1">
        <f t="array" aca="1" ref="AU41" ca="1">IFERROR(INDEX(OFFSET($B$15,0,0,$C$12,1),AM41),0)</f>
        <v>0</v>
      </c>
      <c r="AV41" cm="1">
        <f t="array" aca="1" ref="AV41" ca="1">IFERROR(INDEX(OFFSET($B$15,0,0,$C$12,1),AN41),0)</f>
        <v>0</v>
      </c>
      <c r="AW41" cm="1">
        <f t="array" aca="1" ref="AW41" ca="1">IFERROR(INDEX(OFFSET($B$15,0,0,$C$12,1),AO41),0)</f>
        <v>46</v>
      </c>
      <c r="AX41" cm="1">
        <f t="array" aca="1" ref="AX41" ca="1">IFERROR(INDEX(OFFSET($B$15,0,0,$C$12,1),AP41),0)</f>
        <v>0</v>
      </c>
      <c r="AY41" cm="1">
        <f t="array" aca="1" ref="AY41" ca="1">IFERROR(INDEX(OFFSET($B$15,0,0,$C$12,1),AQ41),0)</f>
        <v>0</v>
      </c>
      <c r="BA41" t="str" cm="1">
        <f t="array" aca="1" ref="BA41" ca="1">IF(AS41=0,"",INDEX(auto_ddCountry,AS41))</f>
        <v/>
      </c>
      <c r="BB41" t="str" cm="1">
        <f t="array" aca="1" ref="BB41" ca="1">IF(AT41=0,"",INDEX(auto_ddCountry,AT41))</f>
        <v/>
      </c>
      <c r="BC41" t="str" cm="1">
        <f t="array" aca="1" ref="BC41" ca="1">IF(AU41=0,"",INDEX(auto_ddCountry,AU41))</f>
        <v/>
      </c>
      <c r="BD41" t="str" cm="1">
        <f t="array" aca="1" ref="BD41" ca="1">IF(AV41=0,"",INDEX(auto_ddCountry,AV41))</f>
        <v/>
      </c>
      <c r="BE41" t="str" cm="1">
        <f t="array" aca="1" ref="BE41" ca="1">IF(AW41=0,"",INDEX(auto_ddCountry,AW41))</f>
        <v>Tokyo</v>
      </c>
      <c r="BF41" t="str" cm="1">
        <f t="array" aca="1" ref="BF41" ca="1">IF(AX41=0,"",INDEX(auto_ddCountry,AX41))</f>
        <v/>
      </c>
      <c r="BG41" t="str" cm="1">
        <f t="array" aca="1" ref="BG41" ca="1">IF(AY41=0,"",INDEX(auto_ddCountry,AY41))</f>
        <v/>
      </c>
    </row>
    <row r="42" spans="1:59" x14ac:dyDescent="0.4">
      <c r="A42">
        <v>28</v>
      </c>
      <c r="B42">
        <v>28</v>
      </c>
      <c r="C42" cm="1">
        <f t="array" ref="C42">INDEX(auto_Country_Status,B42)</f>
        <v>1</v>
      </c>
      <c r="E42" cm="1">
        <f t="array" aca="1" ref="E42" ca="1">INDEX(sys_DataFlat_LU_Grid,$C$2,$B42)</f>
        <v>28</v>
      </c>
      <c r="F42" cm="1">
        <f t="array" aca="1" ref="F42" ca="1">INDEX(auto_DataFlat_Score,E42,$C$5)</f>
        <v>48.8</v>
      </c>
      <c r="G42" cm="1">
        <f t="array" aca="1" ref="G42" ca="1">INDEX(auto_DataFlat_DataValue,E42,$C$5)</f>
        <v>0</v>
      </c>
      <c r="H42">
        <f t="shared" ca="1" si="21"/>
        <v>48.8</v>
      </c>
      <c r="I42" cm="1">
        <f t="array" aca="1" ref="I42" ca="1">INDEX(auto_DataFlat_Classification,E42,$C$5)</f>
        <v>3</v>
      </c>
      <c r="J42">
        <f t="shared" ca="1" si="22"/>
        <v>48.8</v>
      </c>
      <c r="K42">
        <f t="shared" ca="1" si="23"/>
        <v>48.8</v>
      </c>
      <c r="L42">
        <f ca="1">RANK(K42,OFFSET(K$15,0,0,$C$12,1))+COUNTIF(K$15:K42,K42)-1</f>
        <v>42</v>
      </c>
      <c r="N42">
        <f t="shared" ca="1" si="24"/>
        <v>6</v>
      </c>
      <c r="O42" cm="1">
        <f t="array" aca="1" ref="O42" ca="1">INDEX(auto_Country_Status,N42)</f>
        <v>1</v>
      </c>
      <c r="P42" cm="1">
        <f t="array" aca="1" ref="P42" ca="1">INDEX(OFFSET($E$15,0,0,$C$12,1),N42)</f>
        <v>6</v>
      </c>
      <c r="Q42" t="str" cm="1">
        <f t="array" aca="1" ref="Q42" ca="1">INDEX(auto_Country_ISO,N42)</f>
        <v>BJS</v>
      </c>
      <c r="R42" cm="1">
        <f t="array" aca="1" ref="R42" ca="1">IF(O42=0,0,INDEX(auto_DataFlat_Classification,P42,$C$5))</f>
        <v>4</v>
      </c>
      <c r="S42" cm="1">
        <f t="array" aca="1" ref="S42" ca="1">INDEX(auto_DataFlat_DataValue,P42,$C$5)</f>
        <v>0</v>
      </c>
      <c r="U42" t="e">
        <f t="shared" ref="U42:Z42" ca="1" si="62">IFERROR(U41+MATCH(U$13,OFFSET($R$15,U41,0,$C$12-U41,1),0),NA())</f>
        <v>#N/A</v>
      </c>
      <c r="V42" t="e">
        <f t="shared" ca="1" si="62"/>
        <v>#N/A</v>
      </c>
      <c r="W42" t="e">
        <f t="shared" ca="1" si="62"/>
        <v>#N/A</v>
      </c>
      <c r="X42" t="e">
        <f t="shared" ca="1" si="62"/>
        <v>#N/A</v>
      </c>
      <c r="Y42">
        <f t="shared" ca="1" si="62"/>
        <v>30</v>
      </c>
      <c r="Z42" t="e">
        <f t="shared" ca="1" si="62"/>
        <v>#N/A</v>
      </c>
      <c r="AB42" cm="1">
        <f t="array" aca="1" ref="AB42" ca="1">IFERROR(INDEX(OFFSET($N$15,0,0,$C$12,1),U42),0)</f>
        <v>0</v>
      </c>
      <c r="AC42" cm="1">
        <f t="array" aca="1" ref="AC42" ca="1">IFERROR(INDEX(OFFSET($N$15,0,0,$C$12,1),V42),0)</f>
        <v>0</v>
      </c>
      <c r="AD42" cm="1">
        <f t="array" aca="1" ref="AD42" ca="1">IFERROR(INDEX(OFFSET($N$15,0,0,$C$12,1),W42),0)</f>
        <v>0</v>
      </c>
      <c r="AE42" cm="1">
        <f t="array" aca="1" ref="AE42" ca="1">IFERROR(INDEX(OFFSET($N$15,0,0,$C$12,1),X42),0)</f>
        <v>0</v>
      </c>
      <c r="AF42" cm="1">
        <f t="array" aca="1" ref="AF42" ca="1">IFERROR(INDEX(OFFSET($N$15,0,0,$C$12,1),Y42),0)</f>
        <v>30</v>
      </c>
      <c r="AG42" cm="1">
        <f t="array" aca="1" ref="AG42" ca="1">IFERROR(INDEX(OFFSET($N$15,0,0,$C$12,1),Z42),0)</f>
        <v>0</v>
      </c>
      <c r="AI42">
        <f t="shared" ca="1" si="26"/>
        <v>3</v>
      </c>
      <c r="AK42" t="e">
        <f t="shared" ca="1" si="13"/>
        <v>#N/A</v>
      </c>
      <c r="AL42" t="e">
        <f t="shared" ca="1" si="14"/>
        <v>#N/A</v>
      </c>
      <c r="AM42" t="e">
        <f t="shared" ca="1" si="15"/>
        <v>#N/A</v>
      </c>
      <c r="AN42" t="e">
        <f t="shared" ca="1" si="16"/>
        <v>#N/A</v>
      </c>
      <c r="AO42">
        <f t="shared" ca="1" si="17"/>
        <v>47</v>
      </c>
      <c r="AP42" t="e">
        <f t="shared" ca="1" si="18"/>
        <v>#N/A</v>
      </c>
      <c r="AQ42" t="e">
        <f t="shared" ca="1" si="19"/>
        <v>#N/A</v>
      </c>
      <c r="AS42" cm="1">
        <f t="array" aca="1" ref="AS42" ca="1">IFERROR(INDEX(OFFSET($B$15,0,0,$C$12,1),AK42),0)</f>
        <v>0</v>
      </c>
      <c r="AT42" cm="1">
        <f t="array" aca="1" ref="AT42" ca="1">IFERROR(INDEX(OFFSET($B$15,0,0,$C$12,1),AL42),0)</f>
        <v>0</v>
      </c>
      <c r="AU42" cm="1">
        <f t="array" aca="1" ref="AU42" ca="1">IFERROR(INDEX(OFFSET($B$15,0,0,$C$12,1),AM42),0)</f>
        <v>0</v>
      </c>
      <c r="AV42" cm="1">
        <f t="array" aca="1" ref="AV42" ca="1">IFERROR(INDEX(OFFSET($B$15,0,0,$C$12,1),AN42),0)</f>
        <v>0</v>
      </c>
      <c r="AW42" cm="1">
        <f t="array" aca="1" ref="AW42" ca="1">IFERROR(INDEX(OFFSET($B$15,0,0,$C$12,1),AO42),0)</f>
        <v>47</v>
      </c>
      <c r="AX42" cm="1">
        <f t="array" aca="1" ref="AX42" ca="1">IFERROR(INDEX(OFFSET($B$15,0,0,$C$12,1),AP42),0)</f>
        <v>0</v>
      </c>
      <c r="AY42" cm="1">
        <f t="array" aca="1" ref="AY42" ca="1">IFERROR(INDEX(OFFSET($B$15,0,0,$C$12,1),AQ42),0)</f>
        <v>0</v>
      </c>
      <c r="BA42" t="str" cm="1">
        <f t="array" aca="1" ref="BA42" ca="1">IF(AS42=0,"",INDEX(auto_ddCountry,AS42))</f>
        <v/>
      </c>
      <c r="BB42" t="str" cm="1">
        <f t="array" aca="1" ref="BB42" ca="1">IF(AT42=0,"",INDEX(auto_ddCountry,AT42))</f>
        <v/>
      </c>
      <c r="BC42" t="str" cm="1">
        <f t="array" aca="1" ref="BC42" ca="1">IF(AU42=0,"",INDEX(auto_ddCountry,AU42))</f>
        <v/>
      </c>
      <c r="BD42" t="str" cm="1">
        <f t="array" aca="1" ref="BD42" ca="1">IF(AV42=0,"",INDEX(auto_ddCountry,AV42))</f>
        <v/>
      </c>
      <c r="BE42" t="str" cm="1">
        <f t="array" aca="1" ref="BE42" ca="1">IF(AW42=0,"",INDEX(auto_ddCountry,AW42))</f>
        <v>Toronto</v>
      </c>
      <c r="BF42" t="str" cm="1">
        <f t="array" aca="1" ref="BF42" ca="1">IF(AX42=0,"",INDEX(auto_ddCountry,AX42))</f>
        <v/>
      </c>
      <c r="BG42" t="str" cm="1">
        <f t="array" aca="1" ref="BG42" ca="1">IF(AY42=0,"",INDEX(auto_ddCountry,AY42))</f>
        <v/>
      </c>
    </row>
    <row r="43" spans="1:59" x14ac:dyDescent="0.4">
      <c r="A43">
        <v>29</v>
      </c>
      <c r="B43">
        <v>29</v>
      </c>
      <c r="C43" cm="1">
        <f t="array" ref="C43">INDEX(auto_Country_Status,B43)</f>
        <v>1</v>
      </c>
      <c r="E43" cm="1">
        <f t="array" aca="1" ref="E43" ca="1">INDEX(sys_DataFlat_LU_Grid,$C$2,$B43)</f>
        <v>29</v>
      </c>
      <c r="F43" cm="1">
        <f t="array" aca="1" ref="F43" ca="1">INDEX(auto_DataFlat_Score,E43,$C$5)</f>
        <v>75.8</v>
      </c>
      <c r="G43" cm="1">
        <f t="array" aca="1" ref="G43" ca="1">INDEX(auto_DataFlat_DataValue,E43,$C$5)</f>
        <v>0</v>
      </c>
      <c r="H43">
        <f t="shared" ca="1" si="21"/>
        <v>75.8</v>
      </c>
      <c r="I43" cm="1">
        <f t="array" aca="1" ref="I43" ca="1">INDEX(auto_DataFlat_Classification,E43,$C$5)</f>
        <v>4</v>
      </c>
      <c r="J43">
        <f t="shared" ca="1" si="22"/>
        <v>75.8</v>
      </c>
      <c r="K43">
        <f t="shared" ca="1" si="23"/>
        <v>75.8</v>
      </c>
      <c r="L43">
        <f ca="1">RANK(K43,OFFSET(K$15,0,0,$C$12,1))+COUNTIF(K$15:K43,K43)-1</f>
        <v>9</v>
      </c>
      <c r="N43">
        <f t="shared" ca="1" si="24"/>
        <v>3</v>
      </c>
      <c r="O43" cm="1">
        <f t="array" aca="1" ref="O43" ca="1">INDEX(auto_Country_Status,N43)</f>
        <v>1</v>
      </c>
      <c r="P43" cm="1">
        <f t="array" aca="1" ref="P43" ca="1">INDEX(OFFSET($E$15,0,0,$C$12,1),N43)</f>
        <v>3</v>
      </c>
      <c r="Q43" t="str" cm="1">
        <f t="array" aca="1" ref="Q43" ca="1">INDEX(auto_Country_ISO,N43)</f>
        <v>A2N</v>
      </c>
      <c r="R43" cm="1">
        <f t="array" aca="1" ref="R43" ca="1">IF(O43=0,0,INDEX(auto_DataFlat_Classification,P43,$C$5))</f>
        <v>4</v>
      </c>
      <c r="S43" cm="1">
        <f t="array" aca="1" ref="S43" ca="1">INDEX(auto_DataFlat_DataValue,P43,$C$5)</f>
        <v>0</v>
      </c>
      <c r="U43" t="e">
        <f t="shared" ref="U43:Z43" ca="1" si="63">IFERROR(U42+MATCH(U$13,OFFSET($R$15,U42,0,$C$12-U42,1),0),NA())</f>
        <v>#N/A</v>
      </c>
      <c r="V43" t="e">
        <f t="shared" ca="1" si="63"/>
        <v>#N/A</v>
      </c>
      <c r="W43" t="e">
        <f t="shared" ca="1" si="63"/>
        <v>#N/A</v>
      </c>
      <c r="X43" t="e">
        <f t="shared" ca="1" si="63"/>
        <v>#N/A</v>
      </c>
      <c r="Y43">
        <f t="shared" ca="1" si="63"/>
        <v>31</v>
      </c>
      <c r="Z43" t="e">
        <f t="shared" ca="1" si="63"/>
        <v>#N/A</v>
      </c>
      <c r="AB43" cm="1">
        <f t="array" aca="1" ref="AB43" ca="1">IFERROR(INDEX(OFFSET($N$15,0,0,$C$12,1),U43),0)</f>
        <v>0</v>
      </c>
      <c r="AC43" cm="1">
        <f t="array" aca="1" ref="AC43" ca="1">IFERROR(INDEX(OFFSET($N$15,0,0,$C$12,1),V43),0)</f>
        <v>0</v>
      </c>
      <c r="AD43" cm="1">
        <f t="array" aca="1" ref="AD43" ca="1">IFERROR(INDEX(OFFSET($N$15,0,0,$C$12,1),W43),0)</f>
        <v>0</v>
      </c>
      <c r="AE43" cm="1">
        <f t="array" aca="1" ref="AE43" ca="1">IFERROR(INDEX(OFFSET($N$15,0,0,$C$12,1),X43),0)</f>
        <v>0</v>
      </c>
      <c r="AF43" cm="1">
        <f t="array" aca="1" ref="AF43" ca="1">IFERROR(INDEX(OFFSET($N$15,0,0,$C$12,1),Y43),0)</f>
        <v>18</v>
      </c>
      <c r="AG43" cm="1">
        <f t="array" aca="1" ref="AG43" ca="1">IFERROR(INDEX(OFFSET($N$15,0,0,$C$12,1),Z43),0)</f>
        <v>0</v>
      </c>
      <c r="AI43">
        <f t="shared" ca="1" si="26"/>
        <v>4</v>
      </c>
      <c r="AK43" t="e">
        <f t="shared" ref="AK43:AQ43" ca="1" si="64">IFERROR(AK42+MATCH(AK$13,OFFSET($AI$15,AK42,0,$C$12-AK42,1),0),NA())</f>
        <v>#N/A</v>
      </c>
      <c r="AL43" t="e">
        <f t="shared" ca="1" si="64"/>
        <v>#N/A</v>
      </c>
      <c r="AM43" t="e">
        <f t="shared" ca="1" si="64"/>
        <v>#N/A</v>
      </c>
      <c r="AN43" t="e">
        <f t="shared" ca="1" si="64"/>
        <v>#N/A</v>
      </c>
      <c r="AO43">
        <f t="shared" ca="1" si="64"/>
        <v>48</v>
      </c>
      <c r="AP43" t="e">
        <f t="shared" ca="1" si="64"/>
        <v>#N/A</v>
      </c>
      <c r="AQ43" t="e">
        <f t="shared" ca="1" si="64"/>
        <v>#N/A</v>
      </c>
      <c r="AS43" cm="1">
        <f t="array" aca="1" ref="AS43" ca="1">IFERROR(INDEX(OFFSET($B$15,0,0,$C$12,1),AK43),0)</f>
        <v>0</v>
      </c>
      <c r="AT43" cm="1">
        <f t="array" aca="1" ref="AT43" ca="1">IFERROR(INDEX(OFFSET($B$15,0,0,$C$12,1),AL43),0)</f>
        <v>0</v>
      </c>
      <c r="AU43" cm="1">
        <f t="array" aca="1" ref="AU43" ca="1">IFERROR(INDEX(OFFSET($B$15,0,0,$C$12,1),AM43),0)</f>
        <v>0</v>
      </c>
      <c r="AV43" cm="1">
        <f t="array" aca="1" ref="AV43" ca="1">IFERROR(INDEX(OFFSET($B$15,0,0,$C$12,1),AN43),0)</f>
        <v>0</v>
      </c>
      <c r="AW43" cm="1">
        <f t="array" aca="1" ref="AW43" ca="1">IFERROR(INDEX(OFFSET($B$15,0,0,$C$12,1),AO43),0)</f>
        <v>48</v>
      </c>
      <c r="AX43" cm="1">
        <f t="array" aca="1" ref="AX43" ca="1">IFERROR(INDEX(OFFSET($B$15,0,0,$C$12,1),AP43),0)</f>
        <v>0</v>
      </c>
      <c r="AY43" cm="1">
        <f t="array" aca="1" ref="AY43" ca="1">IFERROR(INDEX(OFFSET($B$15,0,0,$C$12,1),AQ43),0)</f>
        <v>0</v>
      </c>
      <c r="BA43" t="str" cm="1">
        <f t="array" aca="1" ref="BA43" ca="1">IF(AS43=0,"",INDEX(auto_ddCountry,AS43))</f>
        <v/>
      </c>
      <c r="BB43" t="str" cm="1">
        <f t="array" aca="1" ref="BB43" ca="1">IF(AT43=0,"",INDEX(auto_ddCountry,AT43))</f>
        <v/>
      </c>
      <c r="BC43" t="str" cm="1">
        <f t="array" aca="1" ref="BC43" ca="1">IF(AU43=0,"",INDEX(auto_ddCountry,AU43))</f>
        <v/>
      </c>
      <c r="BD43" t="str" cm="1">
        <f t="array" aca="1" ref="BD43" ca="1">IF(AV43=0,"",INDEX(auto_ddCountry,AV43))</f>
        <v/>
      </c>
      <c r="BE43" t="str" cm="1">
        <f t="array" aca="1" ref="BE43" ca="1">IF(AW43=0,"",INDEX(auto_ddCountry,AW43))</f>
        <v>Vienna</v>
      </c>
      <c r="BF43" t="str" cm="1">
        <f t="array" aca="1" ref="BF43" ca="1">IF(AX43=0,"",INDEX(auto_ddCountry,AX43))</f>
        <v/>
      </c>
      <c r="BG43" t="str" cm="1">
        <f t="array" aca="1" ref="BG43" ca="1">IF(AY43=0,"",INDEX(auto_ddCountry,AY43))</f>
        <v/>
      </c>
    </row>
    <row r="44" spans="1:59" x14ac:dyDescent="0.4">
      <c r="A44">
        <v>30</v>
      </c>
      <c r="B44">
        <v>30</v>
      </c>
      <c r="C44" cm="1">
        <f t="array" ref="C44">INDEX(auto_Country_Status,B44)</f>
        <v>1</v>
      </c>
      <c r="E44" cm="1">
        <f t="array" aca="1" ref="E44" ca="1">INDEX(sys_DataFlat_LU_Grid,$C$2,$B44)</f>
        <v>30</v>
      </c>
      <c r="F44" cm="1">
        <f t="array" aca="1" ref="F44" ca="1">INDEX(auto_DataFlat_Score,E44,$C$5)</f>
        <v>60.9</v>
      </c>
      <c r="G44" cm="1">
        <f t="array" aca="1" ref="G44" ca="1">INDEX(auto_DataFlat_DataValue,E44,$C$5)</f>
        <v>0</v>
      </c>
      <c r="H44">
        <f t="shared" ca="1" si="21"/>
        <v>60.9</v>
      </c>
      <c r="I44" cm="1">
        <f t="array" aca="1" ref="I44" ca="1">INDEX(auto_DataFlat_Classification,E44,$C$5)</f>
        <v>4</v>
      </c>
      <c r="J44">
        <f t="shared" ca="1" si="22"/>
        <v>60.9</v>
      </c>
      <c r="K44">
        <f t="shared" ca="1" si="23"/>
        <v>60.9</v>
      </c>
      <c r="L44">
        <f ca="1">RANK(K44,OFFSET(K$15,0,0,$C$12,1))+COUNTIF(K$15:K44,K44)-1</f>
        <v>30</v>
      </c>
      <c r="N44">
        <f t="shared" ca="1" si="24"/>
        <v>30</v>
      </c>
      <c r="O44" cm="1">
        <f t="array" aca="1" ref="O44" ca="1">INDEX(auto_Country_Status,N44)</f>
        <v>1</v>
      </c>
      <c r="P44" cm="1">
        <f t="array" aca="1" ref="P44" ca="1">INDEX(OFFSET($E$15,0,0,$C$12,1),N44)</f>
        <v>30</v>
      </c>
      <c r="Q44" t="str" cm="1">
        <f t="array" aca="1" ref="Q44" ca="1">INDEX(auto_Country_ISO,N44)</f>
        <v>MEX</v>
      </c>
      <c r="R44" cm="1">
        <f t="array" aca="1" ref="R44" ca="1">IF(O44=0,0,INDEX(auto_DataFlat_Classification,P44,$C$5))</f>
        <v>4</v>
      </c>
      <c r="S44" cm="1">
        <f t="array" aca="1" ref="S44" ca="1">INDEX(auto_DataFlat_DataValue,P44,$C$5)</f>
        <v>0</v>
      </c>
      <c r="U44" t="e">
        <f t="shared" ref="U44:Z44" ca="1" si="65">IFERROR(U43+MATCH(U$13,OFFSET($R$15,U43,0,$C$12-U43,1),0),NA())</f>
        <v>#N/A</v>
      </c>
      <c r="V44" t="e">
        <f t="shared" ca="1" si="65"/>
        <v>#N/A</v>
      </c>
      <c r="W44" t="e">
        <f t="shared" ca="1" si="65"/>
        <v>#N/A</v>
      </c>
      <c r="X44" t="e">
        <f t="shared" ca="1" si="65"/>
        <v>#N/A</v>
      </c>
      <c r="Y44" t="e">
        <f t="shared" ca="1" si="65"/>
        <v>#N/A</v>
      </c>
      <c r="Z44" t="e">
        <f t="shared" ca="1" si="65"/>
        <v>#N/A</v>
      </c>
      <c r="AB44" cm="1">
        <f t="array" aca="1" ref="AB44" ca="1">IFERROR(INDEX(OFFSET($N$15,0,0,$C$12,1),U44),0)</f>
        <v>0</v>
      </c>
      <c r="AC44" cm="1">
        <f t="array" aca="1" ref="AC44" ca="1">IFERROR(INDEX(OFFSET($N$15,0,0,$C$12,1),V44),0)</f>
        <v>0</v>
      </c>
      <c r="AD44" cm="1">
        <f t="array" aca="1" ref="AD44" ca="1">IFERROR(INDEX(OFFSET($N$15,0,0,$C$12,1),W44),0)</f>
        <v>0</v>
      </c>
      <c r="AE44" cm="1">
        <f t="array" aca="1" ref="AE44" ca="1">IFERROR(INDEX(OFFSET($N$15,0,0,$C$12,1),X44),0)</f>
        <v>0</v>
      </c>
      <c r="AF44" cm="1">
        <f t="array" aca="1" ref="AF44" ca="1">IFERROR(INDEX(OFFSET($N$15,0,0,$C$12,1),Y44),0)</f>
        <v>0</v>
      </c>
      <c r="AG44" cm="1">
        <f t="array" aca="1" ref="AG44" ca="1">IFERROR(INDEX(OFFSET($N$15,0,0,$C$12,1),Z44),0)</f>
        <v>0</v>
      </c>
      <c r="AI44">
        <f t="shared" ca="1" si="26"/>
        <v>4</v>
      </c>
      <c r="AK44" t="e">
        <f t="shared" ca="1" si="13"/>
        <v>#N/A</v>
      </c>
      <c r="AL44" t="e">
        <f t="shared" ca="1" si="14"/>
        <v>#N/A</v>
      </c>
      <c r="AM44" t="e">
        <f t="shared" ca="1" si="15"/>
        <v>#N/A</v>
      </c>
      <c r="AN44" t="e">
        <f t="shared" ca="1" si="16"/>
        <v>#N/A</v>
      </c>
      <c r="AO44" t="e">
        <f t="shared" ca="1" si="17"/>
        <v>#N/A</v>
      </c>
      <c r="AP44" t="e">
        <f t="shared" ca="1" si="18"/>
        <v>#N/A</v>
      </c>
      <c r="AQ44" t="e">
        <f t="shared" ca="1" si="19"/>
        <v>#N/A</v>
      </c>
      <c r="AS44" cm="1">
        <f t="array" aca="1" ref="AS44" ca="1">IFERROR(INDEX(OFFSET($B$15,0,0,$C$12,1),AK44),0)</f>
        <v>0</v>
      </c>
      <c r="AT44" cm="1">
        <f t="array" aca="1" ref="AT44" ca="1">IFERROR(INDEX(OFFSET($B$15,0,0,$C$12,1),AL44),0)</f>
        <v>0</v>
      </c>
      <c r="AU44" cm="1">
        <f t="array" aca="1" ref="AU44" ca="1">IFERROR(INDEX(OFFSET($B$15,0,0,$C$12,1),AM44),0)</f>
        <v>0</v>
      </c>
      <c r="AV44" cm="1">
        <f t="array" aca="1" ref="AV44" ca="1">IFERROR(INDEX(OFFSET($B$15,0,0,$C$12,1),AN44),0)</f>
        <v>0</v>
      </c>
      <c r="AW44" cm="1">
        <f t="array" aca="1" ref="AW44" ca="1">IFERROR(INDEX(OFFSET($B$15,0,0,$C$12,1),AO44),0)</f>
        <v>0</v>
      </c>
      <c r="AX44" cm="1">
        <f t="array" aca="1" ref="AX44" ca="1">IFERROR(INDEX(OFFSET($B$15,0,0,$C$12,1),AP44),0)</f>
        <v>0</v>
      </c>
      <c r="AY44" cm="1">
        <f t="array" aca="1" ref="AY44" ca="1">IFERROR(INDEX(OFFSET($B$15,0,0,$C$12,1),AQ44),0)</f>
        <v>0</v>
      </c>
      <c r="BA44" t="str" cm="1">
        <f t="array" aca="1" ref="BA44" ca="1">IF(AS44=0,"",INDEX(auto_ddCountry,AS44))</f>
        <v/>
      </c>
      <c r="BB44" t="str" cm="1">
        <f t="array" aca="1" ref="BB44" ca="1">IF(AT44=0,"",INDEX(auto_ddCountry,AT44))</f>
        <v/>
      </c>
      <c r="BC44" t="str" cm="1">
        <f t="array" aca="1" ref="BC44" ca="1">IF(AU44=0,"",INDEX(auto_ddCountry,AU44))</f>
        <v/>
      </c>
      <c r="BD44" t="str" cm="1">
        <f t="array" aca="1" ref="BD44" ca="1">IF(AV44=0,"",INDEX(auto_ddCountry,AV44))</f>
        <v/>
      </c>
      <c r="BE44" t="str" cm="1">
        <f t="array" aca="1" ref="BE44" ca="1">IF(AW44=0,"",INDEX(auto_ddCountry,AW44))</f>
        <v/>
      </c>
      <c r="BF44" t="str" cm="1">
        <f t="array" aca="1" ref="BF44" ca="1">IF(AX44=0,"",INDEX(auto_ddCountry,AX44))</f>
        <v/>
      </c>
      <c r="BG44" t="str" cm="1">
        <f t="array" aca="1" ref="BG44" ca="1">IF(AY44=0,"",INDEX(auto_ddCountry,AY44))</f>
        <v/>
      </c>
    </row>
    <row r="45" spans="1:59" x14ac:dyDescent="0.4">
      <c r="A45">
        <v>31</v>
      </c>
      <c r="B45">
        <v>31</v>
      </c>
      <c r="C45" cm="1">
        <f t="array" ref="C45">INDEX(auto_Country_Status,B45)</f>
        <v>1</v>
      </c>
      <c r="E45" cm="1">
        <f t="array" aca="1" ref="E45" ca="1">INDEX(sys_DataFlat_LU_Grid,$C$2,$B45)</f>
        <v>31</v>
      </c>
      <c r="F45" cm="1">
        <f t="array" aca="1" ref="F45" ca="1">INDEX(auto_DataFlat_Score,E45,$C$5)</f>
        <v>65.900000000000006</v>
      </c>
      <c r="G45" cm="1">
        <f t="array" aca="1" ref="G45" ca="1">INDEX(auto_DataFlat_DataValue,E45,$C$5)</f>
        <v>0</v>
      </c>
      <c r="H45">
        <f t="shared" ca="1" si="21"/>
        <v>65.900000000000006</v>
      </c>
      <c r="I45" cm="1">
        <f t="array" aca="1" ref="I45" ca="1">INDEX(auto_DataFlat_Classification,E45,$C$5)</f>
        <v>4</v>
      </c>
      <c r="J45">
        <f t="shared" ca="1" si="22"/>
        <v>65.900000000000006</v>
      </c>
      <c r="K45">
        <f t="shared" ca="1" si="23"/>
        <v>65.900000000000006</v>
      </c>
      <c r="L45">
        <f ca="1">RANK(K45,OFFSET(K$15,0,0,$C$12,1))+COUNTIF(K$15:K45,K45)-1</f>
        <v>23</v>
      </c>
      <c r="N45">
        <f t="shared" ca="1" si="24"/>
        <v>18</v>
      </c>
      <c r="O45" cm="1">
        <f t="array" aca="1" ref="O45" ca="1">INDEX(auto_Country_Status,N45)</f>
        <v>1</v>
      </c>
      <c r="P45" cm="1">
        <f t="array" aca="1" ref="P45" ca="1">INDEX(OFFSET($E$15,0,0,$C$12,1),N45)</f>
        <v>18</v>
      </c>
      <c r="Q45" t="str" cm="1">
        <f t="array" aca="1" ref="Q45" ca="1">INDEX(auto_Country_ISO,N45)</f>
        <v>IST</v>
      </c>
      <c r="R45" cm="1">
        <f t="array" aca="1" ref="R45" ca="1">IF(O45=0,0,INDEX(auto_DataFlat_Classification,P45,$C$5))</f>
        <v>4</v>
      </c>
      <c r="S45" cm="1">
        <f t="array" aca="1" ref="S45" ca="1">INDEX(auto_DataFlat_DataValue,P45,$C$5)</f>
        <v>0</v>
      </c>
      <c r="U45" t="e">
        <f t="shared" ref="U45:Z45" ca="1" si="66">IFERROR(U44+MATCH(U$13,OFFSET($R$15,U44,0,$C$12-U44,1),0),NA())</f>
        <v>#N/A</v>
      </c>
      <c r="V45" t="e">
        <f t="shared" ca="1" si="66"/>
        <v>#N/A</v>
      </c>
      <c r="W45" t="e">
        <f t="shared" ca="1" si="66"/>
        <v>#N/A</v>
      </c>
      <c r="X45" t="e">
        <f t="shared" ca="1" si="66"/>
        <v>#N/A</v>
      </c>
      <c r="Y45" t="e">
        <f t="shared" ca="1" si="66"/>
        <v>#N/A</v>
      </c>
      <c r="Z45" t="e">
        <f t="shared" ca="1" si="66"/>
        <v>#N/A</v>
      </c>
      <c r="AB45" cm="1">
        <f t="array" aca="1" ref="AB45" ca="1">IFERROR(INDEX(OFFSET($N$15,0,0,$C$12,1),U45),0)</f>
        <v>0</v>
      </c>
      <c r="AC45" cm="1">
        <f t="array" aca="1" ref="AC45" ca="1">IFERROR(INDEX(OFFSET($N$15,0,0,$C$12,1),V45),0)</f>
        <v>0</v>
      </c>
      <c r="AD45" cm="1">
        <f t="array" aca="1" ref="AD45" ca="1">IFERROR(INDEX(OFFSET($N$15,0,0,$C$12,1),W45),0)</f>
        <v>0</v>
      </c>
      <c r="AE45" cm="1">
        <f t="array" aca="1" ref="AE45" ca="1">IFERROR(INDEX(OFFSET($N$15,0,0,$C$12,1),X45),0)</f>
        <v>0</v>
      </c>
      <c r="AF45" cm="1">
        <f t="array" aca="1" ref="AF45" ca="1">IFERROR(INDEX(OFFSET($N$15,0,0,$C$12,1),Y45),0)</f>
        <v>0</v>
      </c>
      <c r="AG45" cm="1">
        <f t="array" aca="1" ref="AG45" ca="1">IFERROR(INDEX(OFFSET($N$15,0,0,$C$12,1),Z45),0)</f>
        <v>0</v>
      </c>
      <c r="AI45">
        <f t="shared" ca="1" si="26"/>
        <v>4</v>
      </c>
      <c r="AK45" t="e">
        <f t="shared" ref="AK45:AQ45" ca="1" si="67">IFERROR(AK44+MATCH(AK$13,OFFSET($AI$15,AK44,0,$C$12-AK44,1),0),NA())</f>
        <v>#N/A</v>
      </c>
      <c r="AL45" t="e">
        <f t="shared" ca="1" si="67"/>
        <v>#N/A</v>
      </c>
      <c r="AM45" t="e">
        <f t="shared" ca="1" si="67"/>
        <v>#N/A</v>
      </c>
      <c r="AN45" t="e">
        <f t="shared" ca="1" si="67"/>
        <v>#N/A</v>
      </c>
      <c r="AO45" t="e">
        <f t="shared" ca="1" si="67"/>
        <v>#N/A</v>
      </c>
      <c r="AP45" t="e">
        <f t="shared" ca="1" si="67"/>
        <v>#N/A</v>
      </c>
      <c r="AQ45" t="e">
        <f t="shared" ca="1" si="67"/>
        <v>#N/A</v>
      </c>
      <c r="AS45" cm="1">
        <f t="array" aca="1" ref="AS45" ca="1">IFERROR(INDEX(OFFSET($B$15,0,0,$C$12,1),AK45),0)</f>
        <v>0</v>
      </c>
      <c r="AT45" cm="1">
        <f t="array" aca="1" ref="AT45" ca="1">IFERROR(INDEX(OFFSET($B$15,0,0,$C$12,1),AL45),0)</f>
        <v>0</v>
      </c>
      <c r="AU45" cm="1">
        <f t="array" aca="1" ref="AU45" ca="1">IFERROR(INDEX(OFFSET($B$15,0,0,$C$12,1),AM45),0)</f>
        <v>0</v>
      </c>
      <c r="AV45" cm="1">
        <f t="array" aca="1" ref="AV45" ca="1">IFERROR(INDEX(OFFSET($B$15,0,0,$C$12,1),AN45),0)</f>
        <v>0</v>
      </c>
      <c r="AW45" cm="1">
        <f t="array" aca="1" ref="AW45" ca="1">IFERROR(INDEX(OFFSET($B$15,0,0,$C$12,1),AO45),0)</f>
        <v>0</v>
      </c>
      <c r="AX45" cm="1">
        <f t="array" aca="1" ref="AX45" ca="1">IFERROR(INDEX(OFFSET($B$15,0,0,$C$12,1),AP45),0)</f>
        <v>0</v>
      </c>
      <c r="AY45" cm="1">
        <f t="array" aca="1" ref="AY45" ca="1">IFERROR(INDEX(OFFSET($B$15,0,0,$C$12,1),AQ45),0)</f>
        <v>0</v>
      </c>
      <c r="BA45" t="str" cm="1">
        <f t="array" aca="1" ref="BA45" ca="1">IF(AS45=0,"",INDEX(auto_ddCountry,AS45))</f>
        <v/>
      </c>
      <c r="BB45" t="str" cm="1">
        <f t="array" aca="1" ref="BB45" ca="1">IF(AT45=0,"",INDEX(auto_ddCountry,AT45))</f>
        <v/>
      </c>
      <c r="BC45" t="str" cm="1">
        <f t="array" aca="1" ref="BC45" ca="1">IF(AU45=0,"",INDEX(auto_ddCountry,AU45))</f>
        <v/>
      </c>
      <c r="BD45" t="str" cm="1">
        <f t="array" aca="1" ref="BD45" ca="1">IF(AV45=0,"",INDEX(auto_ddCountry,AV45))</f>
        <v/>
      </c>
      <c r="BE45" t="str" cm="1">
        <f t="array" aca="1" ref="BE45" ca="1">IF(AW45=0,"",INDEX(auto_ddCountry,AW45))</f>
        <v/>
      </c>
      <c r="BF45" t="str" cm="1">
        <f t="array" aca="1" ref="BF45" ca="1">IF(AX45=0,"",INDEX(auto_ddCountry,AX45))</f>
        <v/>
      </c>
      <c r="BG45" t="str" cm="1">
        <f t="array" aca="1" ref="BG45" ca="1">IF(AY45=0,"",INDEX(auto_ddCountry,AY45))</f>
        <v/>
      </c>
    </row>
    <row r="46" spans="1:59" x14ac:dyDescent="0.4">
      <c r="A46">
        <v>32</v>
      </c>
      <c r="B46">
        <v>32</v>
      </c>
      <c r="C46" cm="1">
        <f t="array" ref="C46">INDEX(auto_Country_Status,B46)</f>
        <v>1</v>
      </c>
      <c r="E46" cm="1">
        <f t="array" aca="1" ref="E46" ca="1">INDEX(sys_DataFlat_LU_Grid,$C$2,$B46)</f>
        <v>32</v>
      </c>
      <c r="F46" cm="1">
        <f t="array" aca="1" ref="F46" ca="1">INDEX(auto_DataFlat_Score,E46,$C$5)</f>
        <v>53.2</v>
      </c>
      <c r="G46" cm="1">
        <f t="array" aca="1" ref="G46" ca="1">INDEX(auto_DataFlat_DataValue,E46,$C$5)</f>
        <v>0</v>
      </c>
      <c r="H46">
        <f t="shared" ca="1" si="21"/>
        <v>53.2</v>
      </c>
      <c r="I46" cm="1">
        <f t="array" aca="1" ref="I46" ca="1">INDEX(auto_DataFlat_Classification,E46,$C$5)</f>
        <v>3</v>
      </c>
      <c r="J46">
        <f t="shared" ca="1" si="22"/>
        <v>53.2</v>
      </c>
      <c r="K46">
        <f t="shared" ca="1" si="23"/>
        <v>53.2</v>
      </c>
      <c r="L46">
        <f ca="1">RANK(K46,OFFSET(K$15,0,0,$C$12,1))+COUNTIF(K$15:K46,K46)-1</f>
        <v>34</v>
      </c>
      <c r="N46">
        <f t="shared" ca="1" si="24"/>
        <v>49</v>
      </c>
      <c r="O46" cm="1">
        <f t="array" aca="1" ref="O46" ca="1">INDEX(auto_Country_Status,N46)</f>
        <v>1</v>
      </c>
      <c r="P46" cm="1">
        <f t="array" aca="1" ref="P46" ca="1">INDEX(OFFSET($E$15,0,0,$C$12,1),N46)</f>
        <v>49</v>
      </c>
      <c r="Q46" t="str" cm="1">
        <f t="array" aca="1" ref="Q46" ca="1">INDEX(auto_Country_ISO,N46)</f>
        <v>NHN</v>
      </c>
      <c r="R46" cm="1">
        <f t="array" aca="1" ref="R46" ca="1">IF(O46=0,0,INDEX(auto_DataFlat_Classification,P46,$C$5))</f>
        <v>3</v>
      </c>
      <c r="S46" cm="1">
        <f t="array" aca="1" ref="S46" ca="1">INDEX(auto_DataFlat_DataValue,P46,$C$5)</f>
        <v>0</v>
      </c>
      <c r="U46" t="e">
        <f t="shared" ref="U46:Z46" ca="1" si="68">IFERROR(U45+MATCH(U$13,OFFSET($R$15,U45,0,$C$12-U45,1),0),NA())</f>
        <v>#N/A</v>
      </c>
      <c r="V46" t="e">
        <f t="shared" ca="1" si="68"/>
        <v>#N/A</v>
      </c>
      <c r="W46" t="e">
        <f t="shared" ca="1" si="68"/>
        <v>#N/A</v>
      </c>
      <c r="X46" t="e">
        <f t="shared" ca="1" si="68"/>
        <v>#N/A</v>
      </c>
      <c r="Y46" t="e">
        <f t="shared" ca="1" si="68"/>
        <v>#N/A</v>
      </c>
      <c r="Z46" t="e">
        <f t="shared" ca="1" si="68"/>
        <v>#N/A</v>
      </c>
      <c r="AB46" cm="1">
        <f t="array" aca="1" ref="AB46" ca="1">IFERROR(INDEX(OFFSET($N$15,0,0,$C$12,1),U46),0)</f>
        <v>0</v>
      </c>
      <c r="AC46" cm="1">
        <f t="array" aca="1" ref="AC46" ca="1">IFERROR(INDEX(OFFSET($N$15,0,0,$C$12,1),V46),0)</f>
        <v>0</v>
      </c>
      <c r="AD46" cm="1">
        <f t="array" aca="1" ref="AD46" ca="1">IFERROR(INDEX(OFFSET($N$15,0,0,$C$12,1),W46),0)</f>
        <v>0</v>
      </c>
      <c r="AE46" cm="1">
        <f t="array" aca="1" ref="AE46" ca="1">IFERROR(INDEX(OFFSET($N$15,0,0,$C$12,1),X46),0)</f>
        <v>0</v>
      </c>
      <c r="AF46" cm="1">
        <f t="array" aca="1" ref="AF46" ca="1">IFERROR(INDEX(OFFSET($N$15,0,0,$C$12,1),Y46),0)</f>
        <v>0</v>
      </c>
      <c r="AG46" cm="1">
        <f t="array" aca="1" ref="AG46" ca="1">IFERROR(INDEX(OFFSET($N$15,0,0,$C$12,1),Z46),0)</f>
        <v>0</v>
      </c>
      <c r="AI46">
        <f t="shared" ca="1" si="26"/>
        <v>3</v>
      </c>
      <c r="AK46" t="e">
        <f t="shared" ca="1" si="13"/>
        <v>#N/A</v>
      </c>
      <c r="AL46" t="e">
        <f t="shared" ca="1" si="14"/>
        <v>#N/A</v>
      </c>
      <c r="AM46" t="e">
        <f t="shared" ca="1" si="15"/>
        <v>#N/A</v>
      </c>
      <c r="AN46" t="e">
        <f t="shared" ca="1" si="16"/>
        <v>#N/A</v>
      </c>
      <c r="AO46" t="e">
        <f t="shared" ca="1" si="17"/>
        <v>#N/A</v>
      </c>
      <c r="AP46" t="e">
        <f t="shared" ca="1" si="18"/>
        <v>#N/A</v>
      </c>
      <c r="AQ46" t="e">
        <f t="shared" ca="1" si="19"/>
        <v>#N/A</v>
      </c>
      <c r="AS46" cm="1">
        <f t="array" aca="1" ref="AS46" ca="1">IFERROR(INDEX(OFFSET($B$15,0,0,$C$12,1),AK46),0)</f>
        <v>0</v>
      </c>
      <c r="AT46" cm="1">
        <f t="array" aca="1" ref="AT46" ca="1">IFERROR(INDEX(OFFSET($B$15,0,0,$C$12,1),AL46),0)</f>
        <v>0</v>
      </c>
      <c r="AU46" cm="1">
        <f t="array" aca="1" ref="AU46" ca="1">IFERROR(INDEX(OFFSET($B$15,0,0,$C$12,1),AM46),0)</f>
        <v>0</v>
      </c>
      <c r="AV46" cm="1">
        <f t="array" aca="1" ref="AV46" ca="1">IFERROR(INDEX(OFFSET($B$15,0,0,$C$12,1),AN46),0)</f>
        <v>0</v>
      </c>
      <c r="AW46" cm="1">
        <f t="array" aca="1" ref="AW46" ca="1">IFERROR(INDEX(OFFSET($B$15,0,0,$C$12,1),AO46),0)</f>
        <v>0</v>
      </c>
      <c r="AX46" cm="1">
        <f t="array" aca="1" ref="AX46" ca="1">IFERROR(INDEX(OFFSET($B$15,0,0,$C$12,1),AP46),0)</f>
        <v>0</v>
      </c>
      <c r="AY46" cm="1">
        <f t="array" aca="1" ref="AY46" ca="1">IFERROR(INDEX(OFFSET($B$15,0,0,$C$12,1),AQ46),0)</f>
        <v>0</v>
      </c>
      <c r="BA46" t="str" cm="1">
        <f t="array" aca="1" ref="BA46" ca="1">IF(AS46=0,"",INDEX(auto_ddCountry,AS46))</f>
        <v/>
      </c>
      <c r="BB46" t="str" cm="1">
        <f t="array" aca="1" ref="BB46" ca="1">IF(AT46=0,"",INDEX(auto_ddCountry,AT46))</f>
        <v/>
      </c>
      <c r="BC46" t="str" cm="1">
        <f t="array" aca="1" ref="BC46" ca="1">IF(AU46=0,"",INDEX(auto_ddCountry,AU46))</f>
        <v/>
      </c>
      <c r="BD46" t="str" cm="1">
        <f t="array" aca="1" ref="BD46" ca="1">IF(AV46=0,"",INDEX(auto_ddCountry,AV46))</f>
        <v/>
      </c>
      <c r="BE46" t="str" cm="1">
        <f t="array" aca="1" ref="BE46" ca="1">IF(AW46=0,"",INDEX(auto_ddCountry,AW46))</f>
        <v/>
      </c>
      <c r="BF46" t="str" cm="1">
        <f t="array" aca="1" ref="BF46" ca="1">IF(AX46=0,"",INDEX(auto_ddCountry,AX46))</f>
        <v/>
      </c>
      <c r="BG46" t="str" cm="1">
        <f t="array" aca="1" ref="BG46" ca="1">IF(AY46=0,"",INDEX(auto_ddCountry,AY46))</f>
        <v/>
      </c>
    </row>
    <row r="47" spans="1:59" x14ac:dyDescent="0.4">
      <c r="A47">
        <v>33</v>
      </c>
      <c r="B47">
        <v>33</v>
      </c>
      <c r="C47" cm="1">
        <f t="array" ref="C47">INDEX(auto_Country_Status,B47)</f>
        <v>1</v>
      </c>
      <c r="E47" cm="1">
        <f t="array" aca="1" ref="E47" ca="1">INDEX(sys_DataFlat_LU_Grid,$C$2,$B47)</f>
        <v>33</v>
      </c>
      <c r="F47" cm="1">
        <f t="array" aca="1" ref="F47" ca="1">INDEX(auto_DataFlat_Score,E47,$C$5)</f>
        <v>52.2</v>
      </c>
      <c r="G47" cm="1">
        <f t="array" aca="1" ref="G47" ca="1">INDEX(auto_DataFlat_DataValue,E47,$C$5)</f>
        <v>0</v>
      </c>
      <c r="H47">
        <f t="shared" ca="1" si="21"/>
        <v>52.2</v>
      </c>
      <c r="I47" cm="1">
        <f t="array" aca="1" ref="I47" ca="1">INDEX(auto_DataFlat_Classification,E47,$C$5)</f>
        <v>3</v>
      </c>
      <c r="J47">
        <f t="shared" ca="1" si="22"/>
        <v>52.2</v>
      </c>
      <c r="K47">
        <f t="shared" ca="1" si="23"/>
        <v>52.2</v>
      </c>
      <c r="L47">
        <f ca="1">RANK(K47,OFFSET(K$15,0,0,$C$12,1))+COUNTIF(K$15:K47,K47)-1</f>
        <v>36</v>
      </c>
      <c r="N47">
        <f t="shared" ca="1" si="24"/>
        <v>12</v>
      </c>
      <c r="O47" cm="1">
        <f t="array" aca="1" ref="O47" ca="1">INDEX(auto_Country_Status,N47)</f>
        <v>1</v>
      </c>
      <c r="P47" cm="1">
        <f t="array" aca="1" ref="P47" ca="1">INDEX(OFFSET($E$15,0,0,$C$12,1),N47)</f>
        <v>12</v>
      </c>
      <c r="Q47" t="str" cm="1">
        <f t="array" aca="1" ref="Q47" ca="1">INDEX(auto_Country_ISO,N47)</f>
        <v>DLI</v>
      </c>
      <c r="R47" cm="1">
        <f t="array" aca="1" ref="R47" ca="1">IF(O47=0,0,INDEX(auto_DataFlat_Classification,P47,$C$5))</f>
        <v>3</v>
      </c>
      <c r="S47" cm="1">
        <f t="array" aca="1" ref="S47" ca="1">INDEX(auto_DataFlat_DataValue,P47,$C$5)</f>
        <v>0</v>
      </c>
      <c r="U47" t="e">
        <f t="shared" ref="U47:Z47" ca="1" si="69">IFERROR(U46+MATCH(U$13,OFFSET($R$15,U46,0,$C$12-U46,1),0),NA())</f>
        <v>#N/A</v>
      </c>
      <c r="V47" t="e">
        <f t="shared" ca="1" si="69"/>
        <v>#N/A</v>
      </c>
      <c r="W47" t="e">
        <f t="shared" ca="1" si="69"/>
        <v>#N/A</v>
      </c>
      <c r="X47" t="e">
        <f t="shared" ca="1" si="69"/>
        <v>#N/A</v>
      </c>
      <c r="Y47" t="e">
        <f t="shared" ca="1" si="69"/>
        <v>#N/A</v>
      </c>
      <c r="Z47" t="e">
        <f t="shared" ca="1" si="69"/>
        <v>#N/A</v>
      </c>
      <c r="AB47" cm="1">
        <f t="array" aca="1" ref="AB47" ca="1">IFERROR(INDEX(OFFSET($N$15,0,0,$C$12,1),U47),0)</f>
        <v>0</v>
      </c>
      <c r="AC47" cm="1">
        <f t="array" aca="1" ref="AC47" ca="1">IFERROR(INDEX(OFFSET($N$15,0,0,$C$12,1),V47),0)</f>
        <v>0</v>
      </c>
      <c r="AD47" cm="1">
        <f t="array" aca="1" ref="AD47" ca="1">IFERROR(INDEX(OFFSET($N$15,0,0,$C$12,1),W47),0)</f>
        <v>0</v>
      </c>
      <c r="AE47" cm="1">
        <f t="array" aca="1" ref="AE47" ca="1">IFERROR(INDEX(OFFSET($N$15,0,0,$C$12,1),X47),0)</f>
        <v>0</v>
      </c>
      <c r="AF47" cm="1">
        <f t="array" aca="1" ref="AF47" ca="1">IFERROR(INDEX(OFFSET($N$15,0,0,$C$12,1),Y47),0)</f>
        <v>0</v>
      </c>
      <c r="AG47" cm="1">
        <f t="array" aca="1" ref="AG47" ca="1">IFERROR(INDEX(OFFSET($N$15,0,0,$C$12,1),Z47),0)</f>
        <v>0</v>
      </c>
      <c r="AI47">
        <f t="shared" ca="1" si="26"/>
        <v>3</v>
      </c>
      <c r="AK47" t="e">
        <f t="shared" ref="AK47:AQ47" ca="1" si="70">IFERROR(AK46+MATCH(AK$13,OFFSET($AI$15,AK46,0,$C$12-AK46,1),0),NA())</f>
        <v>#N/A</v>
      </c>
      <c r="AL47" t="e">
        <f t="shared" ca="1" si="70"/>
        <v>#N/A</v>
      </c>
      <c r="AM47" t="e">
        <f t="shared" ca="1" si="70"/>
        <v>#N/A</v>
      </c>
      <c r="AN47" t="e">
        <f t="shared" ca="1" si="70"/>
        <v>#N/A</v>
      </c>
      <c r="AO47" t="e">
        <f t="shared" ca="1" si="70"/>
        <v>#N/A</v>
      </c>
      <c r="AP47" t="e">
        <f t="shared" ca="1" si="70"/>
        <v>#N/A</v>
      </c>
      <c r="AQ47" t="e">
        <f t="shared" ca="1" si="70"/>
        <v>#N/A</v>
      </c>
      <c r="AS47" cm="1">
        <f t="array" aca="1" ref="AS47" ca="1">IFERROR(INDEX(OFFSET($B$15,0,0,$C$12,1),AK47),0)</f>
        <v>0</v>
      </c>
      <c r="AT47" cm="1">
        <f t="array" aca="1" ref="AT47" ca="1">IFERROR(INDEX(OFFSET($B$15,0,0,$C$12,1),AL47),0)</f>
        <v>0</v>
      </c>
      <c r="AU47" cm="1">
        <f t="array" aca="1" ref="AU47" ca="1">IFERROR(INDEX(OFFSET($B$15,0,0,$C$12,1),AM47),0)</f>
        <v>0</v>
      </c>
      <c r="AV47" cm="1">
        <f t="array" aca="1" ref="AV47" ca="1">IFERROR(INDEX(OFFSET($B$15,0,0,$C$12,1),AN47),0)</f>
        <v>0</v>
      </c>
      <c r="AW47" cm="1">
        <f t="array" aca="1" ref="AW47" ca="1">IFERROR(INDEX(OFFSET($B$15,0,0,$C$12,1),AO47),0)</f>
        <v>0</v>
      </c>
      <c r="AX47" cm="1">
        <f t="array" aca="1" ref="AX47" ca="1">IFERROR(INDEX(OFFSET($B$15,0,0,$C$12,1),AP47),0)</f>
        <v>0</v>
      </c>
      <c r="AY47" cm="1">
        <f t="array" aca="1" ref="AY47" ca="1">IFERROR(INDEX(OFFSET($B$15,0,0,$C$12,1),AQ47),0)</f>
        <v>0</v>
      </c>
      <c r="BA47" t="str" cm="1">
        <f t="array" aca="1" ref="BA47" ca="1">IF(AS47=0,"",INDEX(auto_ddCountry,AS47))</f>
        <v/>
      </c>
      <c r="BB47" t="str" cm="1">
        <f t="array" aca="1" ref="BB47" ca="1">IF(AT47=0,"",INDEX(auto_ddCountry,AT47))</f>
        <v/>
      </c>
      <c r="BC47" t="str" cm="1">
        <f t="array" aca="1" ref="BC47" ca="1">IF(AU47=0,"",INDEX(auto_ddCountry,AU47))</f>
        <v/>
      </c>
      <c r="BD47" t="str" cm="1">
        <f t="array" aca="1" ref="BD47" ca="1">IF(AV47=0,"",INDEX(auto_ddCountry,AV47))</f>
        <v/>
      </c>
      <c r="BE47" t="str" cm="1">
        <f t="array" aca="1" ref="BE47" ca="1">IF(AW47=0,"",INDEX(auto_ddCountry,AW47))</f>
        <v/>
      </c>
      <c r="BF47" t="str" cm="1">
        <f t="array" aca="1" ref="BF47" ca="1">IF(AX47=0,"",INDEX(auto_ddCountry,AX47))</f>
        <v/>
      </c>
      <c r="BG47" t="str" cm="1">
        <f t="array" aca="1" ref="BG47" ca="1">IF(AY47=0,"",INDEX(auto_ddCountry,AY47))</f>
        <v/>
      </c>
    </row>
    <row r="48" spans="1:59" x14ac:dyDescent="0.4">
      <c r="A48">
        <v>34</v>
      </c>
      <c r="B48">
        <v>34</v>
      </c>
      <c r="C48" cm="1">
        <f t="array" ref="C48">INDEX(auto_Country_Status,B48)</f>
        <v>1</v>
      </c>
      <c r="E48" cm="1">
        <f t="array" aca="1" ref="E48" ca="1">INDEX(sys_DataFlat_LU_Grid,$C$2,$B48)</f>
        <v>34</v>
      </c>
      <c r="F48" cm="1">
        <f t="array" aca="1" ref="F48" ca="1">INDEX(auto_DataFlat_Score,E48,$C$5)</f>
        <v>79.099999999999994</v>
      </c>
      <c r="G48" cm="1">
        <f t="array" aca="1" ref="G48" ca="1">INDEX(auto_DataFlat_DataValue,E48,$C$5)</f>
        <v>0</v>
      </c>
      <c r="H48">
        <f t="shared" ca="1" si="21"/>
        <v>79.099999999999994</v>
      </c>
      <c r="I48" cm="1">
        <f t="array" aca="1" ref="I48" ca="1">INDEX(auto_DataFlat_Classification,E48,$C$5)</f>
        <v>4</v>
      </c>
      <c r="J48">
        <f t="shared" ca="1" si="22"/>
        <v>79.099999999999994</v>
      </c>
      <c r="K48">
        <f t="shared" ca="1" si="23"/>
        <v>79.099999999999994</v>
      </c>
      <c r="L48">
        <f ca="1">RANK(K48,OFFSET(K$15,0,0,$C$12,1))+COUNTIF(K$15:K48,K48)-1</f>
        <v>4</v>
      </c>
      <c r="N48">
        <f t="shared" ca="1" si="24"/>
        <v>32</v>
      </c>
      <c r="O48" cm="1">
        <f t="array" aca="1" ref="O48" ca="1">INDEX(auto_Country_Status,N48)</f>
        <v>1</v>
      </c>
      <c r="P48" cm="1">
        <f t="array" aca="1" ref="P48" ca="1">INDEX(OFFSET($E$15,0,0,$C$12,1),N48)</f>
        <v>32</v>
      </c>
      <c r="Q48" t="str" cm="1">
        <f t="array" aca="1" ref="Q48" ca="1">INDEX(auto_Country_ISO,N48)</f>
        <v>BOM</v>
      </c>
      <c r="R48" cm="1">
        <f t="array" aca="1" ref="R48" ca="1">IF(O48=0,0,INDEX(auto_DataFlat_Classification,P48,$C$5))</f>
        <v>3</v>
      </c>
      <c r="S48" cm="1">
        <f t="array" aca="1" ref="S48" ca="1">INDEX(auto_DataFlat_DataValue,P48,$C$5)</f>
        <v>0</v>
      </c>
      <c r="U48" t="e">
        <f t="shared" ref="U48:Z48" ca="1" si="71">IFERROR(U47+MATCH(U$13,OFFSET($R$15,U47,0,$C$12-U47,1),0),NA())</f>
        <v>#N/A</v>
      </c>
      <c r="V48" t="e">
        <f t="shared" ca="1" si="71"/>
        <v>#N/A</v>
      </c>
      <c r="W48" t="e">
        <f t="shared" ca="1" si="71"/>
        <v>#N/A</v>
      </c>
      <c r="X48" t="e">
        <f t="shared" ca="1" si="71"/>
        <v>#N/A</v>
      </c>
      <c r="Y48" t="e">
        <f t="shared" ca="1" si="71"/>
        <v>#N/A</v>
      </c>
      <c r="Z48" t="e">
        <f t="shared" ca="1" si="71"/>
        <v>#N/A</v>
      </c>
      <c r="AB48" cm="1">
        <f t="array" aca="1" ref="AB48" ca="1">IFERROR(INDEX(OFFSET($N$15,0,0,$C$12,1),U48),0)</f>
        <v>0</v>
      </c>
      <c r="AC48" cm="1">
        <f t="array" aca="1" ref="AC48" ca="1">IFERROR(INDEX(OFFSET($N$15,0,0,$C$12,1),V48),0)</f>
        <v>0</v>
      </c>
      <c r="AD48" cm="1">
        <f t="array" aca="1" ref="AD48" ca="1">IFERROR(INDEX(OFFSET($N$15,0,0,$C$12,1),W48),0)</f>
        <v>0</v>
      </c>
      <c r="AE48" cm="1">
        <f t="array" aca="1" ref="AE48" ca="1">IFERROR(INDEX(OFFSET($N$15,0,0,$C$12,1),X48),0)</f>
        <v>0</v>
      </c>
      <c r="AF48" cm="1">
        <f t="array" aca="1" ref="AF48" ca="1">IFERROR(INDEX(OFFSET($N$15,0,0,$C$12,1),Y48),0)</f>
        <v>0</v>
      </c>
      <c r="AG48" cm="1">
        <f t="array" aca="1" ref="AG48" ca="1">IFERROR(INDEX(OFFSET($N$15,0,0,$C$12,1),Z48),0)</f>
        <v>0</v>
      </c>
      <c r="AI48">
        <f t="shared" ca="1" si="26"/>
        <v>4</v>
      </c>
      <c r="AK48" t="e">
        <f t="shared" ca="1" si="13"/>
        <v>#N/A</v>
      </c>
      <c r="AL48" t="e">
        <f t="shared" ca="1" si="14"/>
        <v>#N/A</v>
      </c>
      <c r="AM48" t="e">
        <f t="shared" ca="1" si="15"/>
        <v>#N/A</v>
      </c>
      <c r="AN48" t="e">
        <f t="shared" ca="1" si="16"/>
        <v>#N/A</v>
      </c>
      <c r="AO48" t="e">
        <f t="shared" ca="1" si="17"/>
        <v>#N/A</v>
      </c>
      <c r="AP48" t="e">
        <f t="shared" ca="1" si="18"/>
        <v>#N/A</v>
      </c>
      <c r="AQ48" t="e">
        <f t="shared" ca="1" si="19"/>
        <v>#N/A</v>
      </c>
      <c r="AS48" cm="1">
        <f t="array" aca="1" ref="AS48" ca="1">IFERROR(INDEX(OFFSET($B$15,0,0,$C$12,1),AK48),0)</f>
        <v>0</v>
      </c>
      <c r="AT48" cm="1">
        <f t="array" aca="1" ref="AT48" ca="1">IFERROR(INDEX(OFFSET($B$15,0,0,$C$12,1),AL48),0)</f>
        <v>0</v>
      </c>
      <c r="AU48" cm="1">
        <f t="array" aca="1" ref="AU48" ca="1">IFERROR(INDEX(OFFSET($B$15,0,0,$C$12,1),AM48),0)</f>
        <v>0</v>
      </c>
      <c r="AV48" cm="1">
        <f t="array" aca="1" ref="AV48" ca="1">IFERROR(INDEX(OFFSET($B$15,0,0,$C$12,1),AN48),0)</f>
        <v>0</v>
      </c>
      <c r="AW48" cm="1">
        <f t="array" aca="1" ref="AW48" ca="1">IFERROR(INDEX(OFFSET($B$15,0,0,$C$12,1),AO48),0)</f>
        <v>0</v>
      </c>
      <c r="AX48" cm="1">
        <f t="array" aca="1" ref="AX48" ca="1">IFERROR(INDEX(OFFSET($B$15,0,0,$C$12,1),AP48),0)</f>
        <v>0</v>
      </c>
      <c r="AY48" cm="1">
        <f t="array" aca="1" ref="AY48" ca="1">IFERROR(INDEX(OFFSET($B$15,0,0,$C$12,1),AQ48),0)</f>
        <v>0</v>
      </c>
      <c r="BA48" t="str" cm="1">
        <f t="array" aca="1" ref="BA48" ca="1">IF(AS48=0,"",INDEX(auto_ddCountry,AS48))</f>
        <v/>
      </c>
      <c r="BB48" t="str" cm="1">
        <f t="array" aca="1" ref="BB48" ca="1">IF(AT48=0,"",INDEX(auto_ddCountry,AT48))</f>
        <v/>
      </c>
      <c r="BC48" t="str" cm="1">
        <f t="array" aca="1" ref="BC48" ca="1">IF(AU48=0,"",INDEX(auto_ddCountry,AU48))</f>
        <v/>
      </c>
      <c r="BD48" t="str" cm="1">
        <f t="array" aca="1" ref="BD48" ca="1">IF(AV48=0,"",INDEX(auto_ddCountry,AV48))</f>
        <v/>
      </c>
      <c r="BE48" t="str" cm="1">
        <f t="array" aca="1" ref="BE48" ca="1">IF(AW48=0,"",INDEX(auto_ddCountry,AW48))</f>
        <v/>
      </c>
      <c r="BF48" t="str" cm="1">
        <f t="array" aca="1" ref="BF48" ca="1">IF(AX48=0,"",INDEX(auto_ddCountry,AX48))</f>
        <v/>
      </c>
      <c r="BG48" t="str" cm="1">
        <f t="array" aca="1" ref="BG48" ca="1">IF(AY48=0,"",INDEX(auto_ddCountry,AY48))</f>
        <v/>
      </c>
    </row>
    <row r="49" spans="1:59" x14ac:dyDescent="0.4">
      <c r="A49">
        <v>35</v>
      </c>
      <c r="B49">
        <v>35</v>
      </c>
      <c r="C49" cm="1">
        <f t="array" ref="C49">INDEX(auto_Country_Status,B49)</f>
        <v>1</v>
      </c>
      <c r="E49" cm="1">
        <f t="array" aca="1" ref="E49" ca="1">INDEX(sys_DataFlat_LU_Grid,$C$2,$B49)</f>
        <v>35</v>
      </c>
      <c r="F49" cm="1">
        <f t="array" aca="1" ref="F49" ca="1">INDEX(auto_DataFlat_Score,E49,$C$5)</f>
        <v>74.2</v>
      </c>
      <c r="G49" cm="1">
        <f t="array" aca="1" ref="G49" ca="1">INDEX(auto_DataFlat_DataValue,E49,$C$5)</f>
        <v>0</v>
      </c>
      <c r="H49">
        <f t="shared" ca="1" si="21"/>
        <v>74.2</v>
      </c>
      <c r="I49" cm="1">
        <f t="array" aca="1" ref="I49" ca="1">INDEX(auto_DataFlat_Classification,E49,$C$5)</f>
        <v>4</v>
      </c>
      <c r="J49">
        <f t="shared" ca="1" si="22"/>
        <v>74.2</v>
      </c>
      <c r="K49">
        <f t="shared" ca="1" si="23"/>
        <v>74.2</v>
      </c>
      <c r="L49">
        <f ca="1">RANK(K49,OFFSET(K$15,0,0,$C$12,1))+COUNTIF(K$15:K49,K49)-1</f>
        <v>13</v>
      </c>
      <c r="N49">
        <f t="shared" ca="1" si="24"/>
        <v>20</v>
      </c>
      <c r="O49" cm="1">
        <f t="array" aca="1" ref="O49" ca="1">INDEX(auto_Country_Status,N49)</f>
        <v>1</v>
      </c>
      <c r="P49" cm="1">
        <f t="array" aca="1" ref="P49" ca="1">INDEX(OFFSET($E$15,0,0,$C$12,1),N49)</f>
        <v>20</v>
      </c>
      <c r="Q49" t="str" cm="1">
        <f t="array" aca="1" ref="Q49" ca="1">INDEX(auto_Country_ISO,N49)</f>
        <v>JNB</v>
      </c>
      <c r="R49" cm="1">
        <f t="array" aca="1" ref="R49" ca="1">IF(O49=0,0,INDEX(auto_DataFlat_Classification,P49,$C$5))</f>
        <v>3</v>
      </c>
      <c r="S49" cm="1">
        <f t="array" aca="1" ref="S49" ca="1">INDEX(auto_DataFlat_DataValue,P49,$C$5)</f>
        <v>0</v>
      </c>
      <c r="U49" t="e">
        <f t="shared" ref="U49:Z49" ca="1" si="72">IFERROR(U48+MATCH(U$13,OFFSET($R$15,U48,0,$C$12-U48,1),0),NA())</f>
        <v>#N/A</v>
      </c>
      <c r="V49" t="e">
        <f t="shared" ca="1" si="72"/>
        <v>#N/A</v>
      </c>
      <c r="W49" t="e">
        <f t="shared" ca="1" si="72"/>
        <v>#N/A</v>
      </c>
      <c r="X49" t="e">
        <f t="shared" ca="1" si="72"/>
        <v>#N/A</v>
      </c>
      <c r="Y49" t="e">
        <f t="shared" ca="1" si="72"/>
        <v>#N/A</v>
      </c>
      <c r="Z49" t="e">
        <f t="shared" ca="1" si="72"/>
        <v>#N/A</v>
      </c>
      <c r="AB49" cm="1">
        <f t="array" aca="1" ref="AB49" ca="1">IFERROR(INDEX(OFFSET($N$15,0,0,$C$12,1),U49),0)</f>
        <v>0</v>
      </c>
      <c r="AC49" cm="1">
        <f t="array" aca="1" ref="AC49" ca="1">IFERROR(INDEX(OFFSET($N$15,0,0,$C$12,1),V49),0)</f>
        <v>0</v>
      </c>
      <c r="AD49" cm="1">
        <f t="array" aca="1" ref="AD49" ca="1">IFERROR(INDEX(OFFSET($N$15,0,0,$C$12,1),W49),0)</f>
        <v>0</v>
      </c>
      <c r="AE49" cm="1">
        <f t="array" aca="1" ref="AE49" ca="1">IFERROR(INDEX(OFFSET($N$15,0,0,$C$12,1),X49),0)</f>
        <v>0</v>
      </c>
      <c r="AF49" cm="1">
        <f t="array" aca="1" ref="AF49" ca="1">IFERROR(INDEX(OFFSET($N$15,0,0,$C$12,1),Y49),0)</f>
        <v>0</v>
      </c>
      <c r="AG49" cm="1">
        <f t="array" aca="1" ref="AG49" ca="1">IFERROR(INDEX(OFFSET($N$15,0,0,$C$12,1),Z49),0)</f>
        <v>0</v>
      </c>
      <c r="AI49">
        <f t="shared" ca="1" si="26"/>
        <v>4</v>
      </c>
      <c r="AK49" t="e">
        <f t="shared" ref="AK49:AQ49" ca="1" si="73">IFERROR(AK48+MATCH(AK$13,OFFSET($AI$15,AK48,0,$C$12-AK48,1),0),NA())</f>
        <v>#N/A</v>
      </c>
      <c r="AL49" t="e">
        <f t="shared" ca="1" si="73"/>
        <v>#N/A</v>
      </c>
      <c r="AM49" t="e">
        <f t="shared" ca="1" si="73"/>
        <v>#N/A</v>
      </c>
      <c r="AN49" t="e">
        <f t="shared" ca="1" si="73"/>
        <v>#N/A</v>
      </c>
      <c r="AO49" t="e">
        <f t="shared" ca="1" si="73"/>
        <v>#N/A</v>
      </c>
      <c r="AP49" t="e">
        <f t="shared" ca="1" si="73"/>
        <v>#N/A</v>
      </c>
      <c r="AQ49" t="e">
        <f t="shared" ca="1" si="73"/>
        <v>#N/A</v>
      </c>
      <c r="AS49" cm="1">
        <f t="array" aca="1" ref="AS49" ca="1">IFERROR(INDEX(OFFSET($B$15,0,0,$C$12,1),AK49),0)</f>
        <v>0</v>
      </c>
      <c r="AT49" cm="1">
        <f t="array" aca="1" ref="AT49" ca="1">IFERROR(INDEX(OFFSET($B$15,0,0,$C$12,1),AL49),0)</f>
        <v>0</v>
      </c>
      <c r="AU49" cm="1">
        <f t="array" aca="1" ref="AU49" ca="1">IFERROR(INDEX(OFFSET($B$15,0,0,$C$12,1),AM49),0)</f>
        <v>0</v>
      </c>
      <c r="AV49" cm="1">
        <f t="array" aca="1" ref="AV49" ca="1">IFERROR(INDEX(OFFSET($B$15,0,0,$C$12,1),AN49),0)</f>
        <v>0</v>
      </c>
      <c r="AW49" cm="1">
        <f t="array" aca="1" ref="AW49" ca="1">IFERROR(INDEX(OFFSET($B$15,0,0,$C$12,1),AO49),0)</f>
        <v>0</v>
      </c>
      <c r="AX49" cm="1">
        <f t="array" aca="1" ref="AX49" ca="1">IFERROR(INDEX(OFFSET($B$15,0,0,$C$12,1),AP49),0)</f>
        <v>0</v>
      </c>
      <c r="AY49" cm="1">
        <f t="array" aca="1" ref="AY49" ca="1">IFERROR(INDEX(OFFSET($B$15,0,0,$C$12,1),AQ49),0)</f>
        <v>0</v>
      </c>
      <c r="BA49" t="str" cm="1">
        <f t="array" aca="1" ref="BA49" ca="1">IF(AS49=0,"",INDEX(auto_ddCountry,AS49))</f>
        <v/>
      </c>
      <c r="BB49" t="str" cm="1">
        <f t="array" aca="1" ref="BB49" ca="1">IF(AT49=0,"",INDEX(auto_ddCountry,AT49))</f>
        <v/>
      </c>
      <c r="BC49" t="str" cm="1">
        <f t="array" aca="1" ref="BC49" ca="1">IF(AU49=0,"",INDEX(auto_ddCountry,AU49))</f>
        <v/>
      </c>
      <c r="BD49" t="str" cm="1">
        <f t="array" aca="1" ref="BD49" ca="1">IF(AV49=0,"",INDEX(auto_ddCountry,AV49))</f>
        <v/>
      </c>
      <c r="BE49" t="str" cm="1">
        <f t="array" aca="1" ref="BE49" ca="1">IF(AW49=0,"",INDEX(auto_ddCountry,AW49))</f>
        <v/>
      </c>
      <c r="BF49" t="str" cm="1">
        <f t="array" aca="1" ref="BF49" ca="1">IF(AX49=0,"",INDEX(auto_ddCountry,AX49))</f>
        <v/>
      </c>
      <c r="BG49" t="str" cm="1">
        <f t="array" aca="1" ref="BG49" ca="1">IF(AY49=0,"",INDEX(auto_ddCountry,AY49))</f>
        <v/>
      </c>
    </row>
    <row r="50" spans="1:59" x14ac:dyDescent="0.4">
      <c r="A50">
        <v>36</v>
      </c>
      <c r="B50">
        <v>36</v>
      </c>
      <c r="C50" cm="1">
        <f t="array" ref="C50">INDEX(auto_Country_Status,B50)</f>
        <v>1</v>
      </c>
      <c r="E50" cm="1">
        <f t="array" aca="1" ref="E50" ca="1">INDEX(sys_DataFlat_LU_Grid,$C$2,$B50)</f>
        <v>36</v>
      </c>
      <c r="F50" cm="1">
        <f t="array" aca="1" ref="F50" ca="1">INDEX(auto_DataFlat_Score,E50,$C$5)</f>
        <v>64.5</v>
      </c>
      <c r="G50" cm="1">
        <f t="array" aca="1" ref="G50" ca="1">INDEX(auto_DataFlat_DataValue,E50,$C$5)</f>
        <v>0</v>
      </c>
      <c r="H50">
        <f t="shared" ca="1" si="21"/>
        <v>64.5</v>
      </c>
      <c r="I50" cm="1">
        <f t="array" aca="1" ref="I50" ca="1">INDEX(auto_DataFlat_Classification,E50,$C$5)</f>
        <v>4</v>
      </c>
      <c r="J50">
        <f t="shared" ca="1" si="22"/>
        <v>64.5</v>
      </c>
      <c r="K50">
        <f t="shared" ca="1" si="23"/>
        <v>64.5</v>
      </c>
      <c r="L50">
        <f ca="1">RANK(K50,OFFSET(K$15,0,0,$C$12,1))+COUNTIF(K$15:K50,K50)-1</f>
        <v>26</v>
      </c>
      <c r="N50">
        <f t="shared" ca="1" si="24"/>
        <v>33</v>
      </c>
      <c r="O50" cm="1">
        <f t="array" aca="1" ref="O50" ca="1">INDEX(auto_Country_Status,N50)</f>
        <v>1</v>
      </c>
      <c r="P50" cm="1">
        <f t="array" aca="1" ref="P50" ca="1">INDEX(OFFSET($E$15,0,0,$C$12,1),N50)</f>
        <v>33</v>
      </c>
      <c r="Q50" t="str" cm="1">
        <f t="array" aca="1" ref="Q50" ca="1">INDEX(auto_Country_ISO,N50)</f>
        <v>NBO</v>
      </c>
      <c r="R50" cm="1">
        <f t="array" aca="1" ref="R50" ca="1">IF(O50=0,0,INDEX(auto_DataFlat_Classification,P50,$C$5))</f>
        <v>3</v>
      </c>
      <c r="S50" cm="1">
        <f t="array" aca="1" ref="S50" ca="1">INDEX(auto_DataFlat_DataValue,P50,$C$5)</f>
        <v>0</v>
      </c>
      <c r="U50" t="e">
        <f t="shared" ref="U50:Z50" ca="1" si="74">IFERROR(U49+MATCH(U$13,OFFSET($R$15,U49,0,$C$12-U49,1),0),NA())</f>
        <v>#N/A</v>
      </c>
      <c r="V50" t="e">
        <f t="shared" ca="1" si="74"/>
        <v>#N/A</v>
      </c>
      <c r="W50" t="e">
        <f t="shared" ca="1" si="74"/>
        <v>#N/A</v>
      </c>
      <c r="X50" t="e">
        <f t="shared" ca="1" si="74"/>
        <v>#N/A</v>
      </c>
      <c r="Y50" t="e">
        <f t="shared" ca="1" si="74"/>
        <v>#N/A</v>
      </c>
      <c r="Z50" t="e">
        <f t="shared" ca="1" si="74"/>
        <v>#N/A</v>
      </c>
      <c r="AB50" cm="1">
        <f t="array" aca="1" ref="AB50" ca="1">IFERROR(INDEX(OFFSET($N$15,0,0,$C$12,1),U50),0)</f>
        <v>0</v>
      </c>
      <c r="AC50" cm="1">
        <f t="array" aca="1" ref="AC50" ca="1">IFERROR(INDEX(OFFSET($N$15,0,0,$C$12,1),V50),0)</f>
        <v>0</v>
      </c>
      <c r="AD50" cm="1">
        <f t="array" aca="1" ref="AD50" ca="1">IFERROR(INDEX(OFFSET($N$15,0,0,$C$12,1),W50),0)</f>
        <v>0</v>
      </c>
      <c r="AE50" cm="1">
        <f t="array" aca="1" ref="AE50" ca="1">IFERROR(INDEX(OFFSET($N$15,0,0,$C$12,1),X50),0)</f>
        <v>0</v>
      </c>
      <c r="AF50" cm="1">
        <f t="array" aca="1" ref="AF50" ca="1">IFERROR(INDEX(OFFSET($N$15,0,0,$C$12,1),Y50),0)</f>
        <v>0</v>
      </c>
      <c r="AG50" cm="1">
        <f t="array" aca="1" ref="AG50" ca="1">IFERROR(INDEX(OFFSET($N$15,0,0,$C$12,1),Z50),0)</f>
        <v>0</v>
      </c>
      <c r="AI50">
        <f t="shared" ca="1" si="26"/>
        <v>4</v>
      </c>
      <c r="AK50" t="e">
        <f t="shared" ca="1" si="13"/>
        <v>#N/A</v>
      </c>
      <c r="AL50" t="e">
        <f t="shared" ca="1" si="14"/>
        <v>#N/A</v>
      </c>
      <c r="AM50" t="e">
        <f t="shared" ca="1" si="15"/>
        <v>#N/A</v>
      </c>
      <c r="AN50" t="e">
        <f t="shared" ca="1" si="16"/>
        <v>#N/A</v>
      </c>
      <c r="AO50" t="e">
        <f t="shared" ca="1" si="17"/>
        <v>#N/A</v>
      </c>
      <c r="AP50" t="e">
        <f t="shared" ca="1" si="18"/>
        <v>#N/A</v>
      </c>
      <c r="AQ50" t="e">
        <f t="shared" ca="1" si="19"/>
        <v>#N/A</v>
      </c>
      <c r="AS50" cm="1">
        <f t="array" aca="1" ref="AS50" ca="1">IFERROR(INDEX(OFFSET($B$15,0,0,$C$12,1),AK50),0)</f>
        <v>0</v>
      </c>
      <c r="AT50" cm="1">
        <f t="array" aca="1" ref="AT50" ca="1">IFERROR(INDEX(OFFSET($B$15,0,0,$C$12,1),AL50),0)</f>
        <v>0</v>
      </c>
      <c r="AU50" cm="1">
        <f t="array" aca="1" ref="AU50" ca="1">IFERROR(INDEX(OFFSET($B$15,0,0,$C$12,1),AM50),0)</f>
        <v>0</v>
      </c>
      <c r="AV50" cm="1">
        <f t="array" aca="1" ref="AV50" ca="1">IFERROR(INDEX(OFFSET($B$15,0,0,$C$12,1),AN50),0)</f>
        <v>0</v>
      </c>
      <c r="AW50" cm="1">
        <f t="array" aca="1" ref="AW50" ca="1">IFERROR(INDEX(OFFSET($B$15,0,0,$C$12,1),AO50),0)</f>
        <v>0</v>
      </c>
      <c r="AX50" cm="1">
        <f t="array" aca="1" ref="AX50" ca="1">IFERROR(INDEX(OFFSET($B$15,0,0,$C$12,1),AP50),0)</f>
        <v>0</v>
      </c>
      <c r="AY50" cm="1">
        <f t="array" aca="1" ref="AY50" ca="1">IFERROR(INDEX(OFFSET($B$15,0,0,$C$12,1),AQ50),0)</f>
        <v>0</v>
      </c>
      <c r="BA50" t="str" cm="1">
        <f t="array" aca="1" ref="BA50" ca="1">IF(AS50=0,"",INDEX(auto_ddCountry,AS50))</f>
        <v/>
      </c>
      <c r="BB50" t="str" cm="1">
        <f t="array" aca="1" ref="BB50" ca="1">IF(AT50=0,"",INDEX(auto_ddCountry,AT50))</f>
        <v/>
      </c>
      <c r="BC50" t="str" cm="1">
        <f t="array" aca="1" ref="BC50" ca="1">IF(AU50=0,"",INDEX(auto_ddCountry,AU50))</f>
        <v/>
      </c>
      <c r="BD50" t="str" cm="1">
        <f t="array" aca="1" ref="BD50" ca="1">IF(AV50=0,"",INDEX(auto_ddCountry,AV50))</f>
        <v/>
      </c>
      <c r="BE50" t="str" cm="1">
        <f t="array" aca="1" ref="BE50" ca="1">IF(AW50=0,"",INDEX(auto_ddCountry,AW50))</f>
        <v/>
      </c>
      <c r="BF50" t="str" cm="1">
        <f t="array" aca="1" ref="BF50" ca="1">IF(AX50=0,"",INDEX(auto_ddCountry,AX50))</f>
        <v/>
      </c>
      <c r="BG50" t="str" cm="1">
        <f t="array" aca="1" ref="BG50" ca="1">IF(AY50=0,"",INDEX(auto_ddCountry,AY50))</f>
        <v/>
      </c>
    </row>
    <row r="51" spans="1:59" x14ac:dyDescent="0.4">
      <c r="A51">
        <v>37</v>
      </c>
      <c r="B51">
        <v>37</v>
      </c>
      <c r="C51" cm="1">
        <f t="array" ref="C51">INDEX(auto_Country_Status,B51)</f>
        <v>1</v>
      </c>
      <c r="E51" cm="1">
        <f t="array" aca="1" ref="E51" ca="1">INDEX(sys_DataFlat_LU_Grid,$C$2,$B51)</f>
        <v>37</v>
      </c>
      <c r="F51" cm="1">
        <f t="array" aca="1" ref="F51" ca="1">INDEX(auto_DataFlat_Score,E51,$C$5)</f>
        <v>51.4</v>
      </c>
      <c r="G51" cm="1">
        <f t="array" aca="1" ref="G51" ca="1">INDEX(auto_DataFlat_DataValue,E51,$C$5)</f>
        <v>0</v>
      </c>
      <c r="H51">
        <f t="shared" ca="1" si="21"/>
        <v>51.4</v>
      </c>
      <c r="I51" cm="1">
        <f t="array" aca="1" ref="I51" ca="1">INDEX(auto_DataFlat_Classification,E51,$C$5)</f>
        <v>3</v>
      </c>
      <c r="J51">
        <f t="shared" ca="1" si="22"/>
        <v>51.4</v>
      </c>
      <c r="K51">
        <f t="shared" ca="1" si="23"/>
        <v>51.4</v>
      </c>
      <c r="L51">
        <f ca="1">RANK(K51,OFFSET(K$15,0,0,$C$12,1))+COUNTIF(K$15:K51,K51)-1</f>
        <v>39</v>
      </c>
      <c r="N51">
        <f t="shared" ca="1" si="24"/>
        <v>23</v>
      </c>
      <c r="O51" cm="1">
        <f t="array" aca="1" ref="O51" ca="1">INDEX(auto_Country_Status,N51)</f>
        <v>1</v>
      </c>
      <c r="P51" cm="1">
        <f t="array" aca="1" ref="P51" ca="1">INDEX(OFFSET($E$15,0,0,$C$12,1),N51)</f>
        <v>23</v>
      </c>
      <c r="Q51" t="str" cm="1">
        <f t="array" aca="1" ref="Q51" ca="1">INDEX(auto_Country_ISO,N51)</f>
        <v>CCU</v>
      </c>
      <c r="R51" cm="1">
        <f t="array" aca="1" ref="R51" ca="1">IF(O51=0,0,INDEX(auto_DataFlat_Classification,P51,$C$5))</f>
        <v>3</v>
      </c>
      <c r="S51" cm="1">
        <f t="array" aca="1" ref="S51" ca="1">INDEX(auto_DataFlat_DataValue,P51,$C$5)</f>
        <v>0</v>
      </c>
      <c r="U51" t="e">
        <f t="shared" ref="U51:Z51" ca="1" si="75">IFERROR(U50+MATCH(U$13,OFFSET($R$15,U50,0,$C$12-U50,1),0),NA())</f>
        <v>#N/A</v>
      </c>
      <c r="V51" t="e">
        <f t="shared" ca="1" si="75"/>
        <v>#N/A</v>
      </c>
      <c r="W51" t="e">
        <f t="shared" ca="1" si="75"/>
        <v>#N/A</v>
      </c>
      <c r="X51" t="e">
        <f t="shared" ca="1" si="75"/>
        <v>#N/A</v>
      </c>
      <c r="Y51" t="e">
        <f t="shared" ca="1" si="75"/>
        <v>#N/A</v>
      </c>
      <c r="Z51" t="e">
        <f t="shared" ca="1" si="75"/>
        <v>#N/A</v>
      </c>
      <c r="AB51" cm="1">
        <f t="array" aca="1" ref="AB51" ca="1">IFERROR(INDEX(OFFSET($N$15,0,0,$C$12,1),U51),0)</f>
        <v>0</v>
      </c>
      <c r="AC51" cm="1">
        <f t="array" aca="1" ref="AC51" ca="1">IFERROR(INDEX(OFFSET($N$15,0,0,$C$12,1),V51),0)</f>
        <v>0</v>
      </c>
      <c r="AD51" cm="1">
        <f t="array" aca="1" ref="AD51" ca="1">IFERROR(INDEX(OFFSET($N$15,0,0,$C$12,1),W51),0)</f>
        <v>0</v>
      </c>
      <c r="AE51" cm="1">
        <f t="array" aca="1" ref="AE51" ca="1">IFERROR(INDEX(OFFSET($N$15,0,0,$C$12,1),X51),0)</f>
        <v>0</v>
      </c>
      <c r="AF51" cm="1">
        <f t="array" aca="1" ref="AF51" ca="1">IFERROR(INDEX(OFFSET($N$15,0,0,$C$12,1),Y51),0)</f>
        <v>0</v>
      </c>
      <c r="AG51" cm="1">
        <f t="array" aca="1" ref="AG51" ca="1">IFERROR(INDEX(OFFSET($N$15,0,0,$C$12,1),Z51),0)</f>
        <v>0</v>
      </c>
      <c r="AI51">
        <f t="shared" ca="1" si="26"/>
        <v>3</v>
      </c>
      <c r="AK51" t="e">
        <f t="shared" ref="AK51:AQ51" ca="1" si="76">IFERROR(AK50+MATCH(AK$13,OFFSET($AI$15,AK50,0,$C$12-AK50,1),0),NA())</f>
        <v>#N/A</v>
      </c>
      <c r="AL51" t="e">
        <f t="shared" ca="1" si="76"/>
        <v>#N/A</v>
      </c>
      <c r="AM51" t="e">
        <f t="shared" ca="1" si="76"/>
        <v>#N/A</v>
      </c>
      <c r="AN51" t="e">
        <f t="shared" ca="1" si="76"/>
        <v>#N/A</v>
      </c>
      <c r="AO51" t="e">
        <f t="shared" ca="1" si="76"/>
        <v>#N/A</v>
      </c>
      <c r="AP51" t="e">
        <f t="shared" ca="1" si="76"/>
        <v>#N/A</v>
      </c>
      <c r="AQ51" t="e">
        <f t="shared" ca="1" si="76"/>
        <v>#N/A</v>
      </c>
      <c r="AS51" cm="1">
        <f t="array" aca="1" ref="AS51" ca="1">IFERROR(INDEX(OFFSET($B$15,0,0,$C$12,1),AK51),0)</f>
        <v>0</v>
      </c>
      <c r="AT51" cm="1">
        <f t="array" aca="1" ref="AT51" ca="1">IFERROR(INDEX(OFFSET($B$15,0,0,$C$12,1),AL51),0)</f>
        <v>0</v>
      </c>
      <c r="AU51" cm="1">
        <f t="array" aca="1" ref="AU51" ca="1">IFERROR(INDEX(OFFSET($B$15,0,0,$C$12,1),AM51),0)</f>
        <v>0</v>
      </c>
      <c r="AV51" cm="1">
        <f t="array" aca="1" ref="AV51" ca="1">IFERROR(INDEX(OFFSET($B$15,0,0,$C$12,1),AN51),0)</f>
        <v>0</v>
      </c>
      <c r="AW51" cm="1">
        <f t="array" aca="1" ref="AW51" ca="1">IFERROR(INDEX(OFFSET($B$15,0,0,$C$12,1),AO51),0)</f>
        <v>0</v>
      </c>
      <c r="AX51" cm="1">
        <f t="array" aca="1" ref="AX51" ca="1">IFERROR(INDEX(OFFSET($B$15,0,0,$C$12,1),AP51),0)</f>
        <v>0</v>
      </c>
      <c r="AY51" cm="1">
        <f t="array" aca="1" ref="AY51" ca="1">IFERROR(INDEX(OFFSET($B$15,0,0,$C$12,1),AQ51),0)</f>
        <v>0</v>
      </c>
      <c r="BA51" t="str" cm="1">
        <f t="array" aca="1" ref="BA51" ca="1">IF(AS51=0,"",INDEX(auto_ddCountry,AS51))</f>
        <v/>
      </c>
      <c r="BB51" t="str" cm="1">
        <f t="array" aca="1" ref="BB51" ca="1">IF(AT51=0,"",INDEX(auto_ddCountry,AT51))</f>
        <v/>
      </c>
      <c r="BC51" t="str" cm="1">
        <f t="array" aca="1" ref="BC51" ca="1">IF(AU51=0,"",INDEX(auto_ddCountry,AU51))</f>
        <v/>
      </c>
      <c r="BD51" t="str" cm="1">
        <f t="array" aca="1" ref="BD51" ca="1">IF(AV51=0,"",INDEX(auto_ddCountry,AV51))</f>
        <v/>
      </c>
      <c r="BE51" t="str" cm="1">
        <f t="array" aca="1" ref="BE51" ca="1">IF(AW51=0,"",INDEX(auto_ddCountry,AW51))</f>
        <v/>
      </c>
      <c r="BF51" t="str" cm="1">
        <f t="array" aca="1" ref="BF51" ca="1">IF(AX51=0,"",INDEX(auto_ddCountry,AX51))</f>
        <v/>
      </c>
      <c r="BG51" t="str" cm="1">
        <f t="array" aca="1" ref="BG51" ca="1">IF(AY51=0,"",INDEX(auto_ddCountry,AY51))</f>
        <v/>
      </c>
    </row>
    <row r="52" spans="1:59" x14ac:dyDescent="0.4">
      <c r="A52">
        <v>38</v>
      </c>
      <c r="B52">
        <v>38</v>
      </c>
      <c r="C52" cm="1">
        <f t="array" ref="C52">INDEX(auto_Country_Status,B52)</f>
        <v>1</v>
      </c>
      <c r="E52" cm="1">
        <f t="array" aca="1" ref="E52" ca="1">INDEX(sys_DataFlat_LU_Grid,$C$2,$B52)</f>
        <v>38</v>
      </c>
      <c r="F52" cm="1">
        <f t="array" aca="1" ref="F52" ca="1">INDEX(auto_DataFlat_Score,E52,$C$5)</f>
        <v>44.2</v>
      </c>
      <c r="G52" cm="1">
        <f t="array" aca="1" ref="G52" ca="1">INDEX(auto_DataFlat_DataValue,E52,$C$5)</f>
        <v>0</v>
      </c>
      <c r="H52">
        <f t="shared" ca="1" si="21"/>
        <v>44.2</v>
      </c>
      <c r="I52" cm="1">
        <f t="array" aca="1" ref="I52" ca="1">INDEX(auto_DataFlat_Classification,E52,$C$5)</f>
        <v>3</v>
      </c>
      <c r="J52">
        <f t="shared" ca="1" si="22"/>
        <v>44.2</v>
      </c>
      <c r="K52">
        <f t="shared" ca="1" si="23"/>
        <v>44.2</v>
      </c>
      <c r="L52">
        <f ca="1">RANK(K52,OFFSET(K$15,0,0,$C$12,1))+COUNTIF(K$15:K52,K52)-1</f>
        <v>44</v>
      </c>
      <c r="N52">
        <f t="shared" ca="1" si="24"/>
        <v>25</v>
      </c>
      <c r="O52" cm="1">
        <f t="array" aca="1" ref="O52" ca="1">INDEX(auto_Country_Status,N52)</f>
        <v>1</v>
      </c>
      <c r="P52" cm="1">
        <f t="array" aca="1" ref="P52" ca="1">INDEX(OFFSET($E$15,0,0,$C$12,1),N52)</f>
        <v>25</v>
      </c>
      <c r="Q52" t="str" cm="1">
        <f t="array" aca="1" ref="Q52" ca="1">INDEX(auto_Country_ISO,N52)</f>
        <v>ZGM</v>
      </c>
      <c r="R52" cm="1">
        <f t="array" aca="1" ref="R52" ca="1">IF(O52=0,0,INDEX(auto_DataFlat_Classification,P52,$C$5))</f>
        <v>3</v>
      </c>
      <c r="S52" cm="1">
        <f t="array" aca="1" ref="S52" ca="1">INDEX(auto_DataFlat_DataValue,P52,$C$5)</f>
        <v>0</v>
      </c>
      <c r="U52" t="e">
        <f t="shared" ref="U52:Z52" ca="1" si="77">IFERROR(U51+MATCH(U$13,OFFSET($R$15,U51,0,$C$12-U51,1),0),NA())</f>
        <v>#N/A</v>
      </c>
      <c r="V52" t="e">
        <f t="shared" ca="1" si="77"/>
        <v>#N/A</v>
      </c>
      <c r="W52" t="e">
        <f t="shared" ca="1" si="77"/>
        <v>#N/A</v>
      </c>
      <c r="X52" t="e">
        <f t="shared" ca="1" si="77"/>
        <v>#N/A</v>
      </c>
      <c r="Y52" t="e">
        <f t="shared" ca="1" si="77"/>
        <v>#N/A</v>
      </c>
      <c r="Z52" t="e">
        <f t="shared" ca="1" si="77"/>
        <v>#N/A</v>
      </c>
      <c r="AB52" cm="1">
        <f t="array" aca="1" ref="AB52" ca="1">IFERROR(INDEX(OFFSET($N$15,0,0,$C$12,1),U52),0)</f>
        <v>0</v>
      </c>
      <c r="AC52" cm="1">
        <f t="array" aca="1" ref="AC52" ca="1">IFERROR(INDEX(OFFSET($N$15,0,0,$C$12,1),V52),0)</f>
        <v>0</v>
      </c>
      <c r="AD52" cm="1">
        <f t="array" aca="1" ref="AD52" ca="1">IFERROR(INDEX(OFFSET($N$15,0,0,$C$12,1),W52),0)</f>
        <v>0</v>
      </c>
      <c r="AE52" cm="1">
        <f t="array" aca="1" ref="AE52" ca="1">IFERROR(INDEX(OFFSET($N$15,0,0,$C$12,1),X52),0)</f>
        <v>0</v>
      </c>
      <c r="AF52" cm="1">
        <f t="array" aca="1" ref="AF52" ca="1">IFERROR(INDEX(OFFSET($N$15,0,0,$C$12,1),Y52),0)</f>
        <v>0</v>
      </c>
      <c r="AG52" cm="1">
        <f t="array" aca="1" ref="AG52" ca="1">IFERROR(INDEX(OFFSET($N$15,0,0,$C$12,1),Z52),0)</f>
        <v>0</v>
      </c>
      <c r="AI52">
        <f t="shared" ca="1" si="26"/>
        <v>3</v>
      </c>
      <c r="AK52" t="e">
        <f t="shared" ca="1" si="13"/>
        <v>#N/A</v>
      </c>
      <c r="AL52" t="e">
        <f t="shared" ca="1" si="14"/>
        <v>#N/A</v>
      </c>
      <c r="AM52" t="e">
        <f t="shared" ca="1" si="15"/>
        <v>#N/A</v>
      </c>
      <c r="AN52" t="e">
        <f t="shared" ca="1" si="16"/>
        <v>#N/A</v>
      </c>
      <c r="AO52" t="e">
        <f t="shared" ca="1" si="17"/>
        <v>#N/A</v>
      </c>
      <c r="AP52" t="e">
        <f t="shared" ca="1" si="18"/>
        <v>#N/A</v>
      </c>
      <c r="AQ52" t="e">
        <f t="shared" ca="1" si="19"/>
        <v>#N/A</v>
      </c>
      <c r="AS52" cm="1">
        <f t="array" aca="1" ref="AS52" ca="1">IFERROR(INDEX(OFFSET($B$15,0,0,$C$12,1),AK52),0)</f>
        <v>0</v>
      </c>
      <c r="AT52" cm="1">
        <f t="array" aca="1" ref="AT52" ca="1">IFERROR(INDEX(OFFSET($B$15,0,0,$C$12,1),AL52),0)</f>
        <v>0</v>
      </c>
      <c r="AU52" cm="1">
        <f t="array" aca="1" ref="AU52" ca="1">IFERROR(INDEX(OFFSET($B$15,0,0,$C$12,1),AM52),0)</f>
        <v>0</v>
      </c>
      <c r="AV52" cm="1">
        <f t="array" aca="1" ref="AV52" ca="1">IFERROR(INDEX(OFFSET($B$15,0,0,$C$12,1),AN52),0)</f>
        <v>0</v>
      </c>
      <c r="AW52" cm="1">
        <f t="array" aca="1" ref="AW52" ca="1">IFERROR(INDEX(OFFSET($B$15,0,0,$C$12,1),AO52),0)</f>
        <v>0</v>
      </c>
      <c r="AX52" cm="1">
        <f t="array" aca="1" ref="AX52" ca="1">IFERROR(INDEX(OFFSET($B$15,0,0,$C$12,1),AP52),0)</f>
        <v>0</v>
      </c>
      <c r="AY52" cm="1">
        <f t="array" aca="1" ref="AY52" ca="1">IFERROR(INDEX(OFFSET($B$15,0,0,$C$12,1),AQ52),0)</f>
        <v>0</v>
      </c>
      <c r="BA52" t="str" cm="1">
        <f t="array" aca="1" ref="BA52" ca="1">IF(AS52=0,"",INDEX(auto_ddCountry,AS52))</f>
        <v/>
      </c>
      <c r="BB52" t="str" cm="1">
        <f t="array" aca="1" ref="BB52" ca="1">IF(AT52=0,"",INDEX(auto_ddCountry,AT52))</f>
        <v/>
      </c>
      <c r="BC52" t="str" cm="1">
        <f t="array" aca="1" ref="BC52" ca="1">IF(AU52=0,"",INDEX(auto_ddCountry,AU52))</f>
        <v/>
      </c>
      <c r="BD52" t="str" cm="1">
        <f t="array" aca="1" ref="BD52" ca="1">IF(AV52=0,"",INDEX(auto_ddCountry,AV52))</f>
        <v/>
      </c>
      <c r="BE52" t="str" cm="1">
        <f t="array" aca="1" ref="BE52" ca="1">IF(AW52=0,"",INDEX(auto_ddCountry,AW52))</f>
        <v/>
      </c>
      <c r="BF52" t="str" cm="1">
        <f t="array" aca="1" ref="BF52" ca="1">IF(AX52=0,"",INDEX(auto_ddCountry,AX52))</f>
        <v/>
      </c>
      <c r="BG52" t="str" cm="1">
        <f t="array" aca="1" ref="BG52" ca="1">IF(AY52=0,"",INDEX(auto_ddCountry,AY52))</f>
        <v/>
      </c>
    </row>
    <row r="53" spans="1:59" x14ac:dyDescent="0.4">
      <c r="A53">
        <v>39</v>
      </c>
      <c r="B53">
        <v>39</v>
      </c>
      <c r="C53" cm="1">
        <f t="array" ref="C53">INDEX(auto_Country_Status,B53)</f>
        <v>1</v>
      </c>
      <c r="E53" cm="1">
        <f t="array" aca="1" ref="E53" ca="1">INDEX(sys_DataFlat_LU_Grid,$C$2,$B53)</f>
        <v>39</v>
      </c>
      <c r="F53" cm="1">
        <f t="array" aca="1" ref="F53" ca="1">INDEX(auto_DataFlat_Score,E53,$C$5)</f>
        <v>63.5</v>
      </c>
      <c r="G53" cm="1">
        <f t="array" aca="1" ref="G53" ca="1">INDEX(auto_DataFlat_DataValue,E53,$C$5)</f>
        <v>0</v>
      </c>
      <c r="H53">
        <f t="shared" ca="1" si="21"/>
        <v>63.5</v>
      </c>
      <c r="I53" cm="1">
        <f t="array" aca="1" ref="I53" ca="1">INDEX(auto_DataFlat_Classification,E53,$C$5)</f>
        <v>4</v>
      </c>
      <c r="J53">
        <f t="shared" ca="1" si="22"/>
        <v>63.5</v>
      </c>
      <c r="K53">
        <f t="shared" ca="1" si="23"/>
        <v>63.5</v>
      </c>
      <c r="L53">
        <f ca="1">RANK(K53,OFFSET(K$15,0,0,$C$12,1))+COUNTIF(K$15:K53,K53)-1</f>
        <v>27</v>
      </c>
      <c r="N53">
        <f t="shared" ca="1" si="24"/>
        <v>37</v>
      </c>
      <c r="O53" cm="1">
        <f t="array" aca="1" ref="O53" ca="1">INDEX(auto_Country_Status,N53)</f>
        <v>1</v>
      </c>
      <c r="P53" cm="1">
        <f t="array" aca="1" ref="P53" ca="1">INDEX(OFFSET($E$15,0,0,$C$12,1),N53)</f>
        <v>37</v>
      </c>
      <c r="Q53" t="str" cm="1">
        <f t="array" aca="1" ref="Q53" ca="1">INDEX(auto_Country_ISO,N53)</f>
        <v>PNH</v>
      </c>
      <c r="R53" cm="1">
        <f t="array" aca="1" ref="R53" ca="1">IF(O53=0,0,INDEX(auto_DataFlat_Classification,P53,$C$5))</f>
        <v>3</v>
      </c>
      <c r="S53" cm="1">
        <f t="array" aca="1" ref="S53" ca="1">INDEX(auto_DataFlat_DataValue,P53,$C$5)</f>
        <v>0</v>
      </c>
      <c r="U53" t="e">
        <f t="shared" ref="U53:Z53" ca="1" si="78">IFERROR(U52+MATCH(U$13,OFFSET($R$15,U52,0,$C$12-U52,1),0),NA())</f>
        <v>#N/A</v>
      </c>
      <c r="V53" t="e">
        <f t="shared" ca="1" si="78"/>
        <v>#N/A</v>
      </c>
      <c r="W53" t="e">
        <f t="shared" ca="1" si="78"/>
        <v>#N/A</v>
      </c>
      <c r="X53" t="e">
        <f t="shared" ca="1" si="78"/>
        <v>#N/A</v>
      </c>
      <c r="Y53" t="e">
        <f t="shared" ca="1" si="78"/>
        <v>#N/A</v>
      </c>
      <c r="Z53" t="e">
        <f t="shared" ca="1" si="78"/>
        <v>#N/A</v>
      </c>
      <c r="AB53" cm="1">
        <f t="array" aca="1" ref="AB53" ca="1">IFERROR(INDEX(OFFSET($N$15,0,0,$C$12,1),U53),0)</f>
        <v>0</v>
      </c>
      <c r="AC53" cm="1">
        <f t="array" aca="1" ref="AC53" ca="1">IFERROR(INDEX(OFFSET($N$15,0,0,$C$12,1),V53),0)</f>
        <v>0</v>
      </c>
      <c r="AD53" cm="1">
        <f t="array" aca="1" ref="AD53" ca="1">IFERROR(INDEX(OFFSET($N$15,0,0,$C$12,1),W53),0)</f>
        <v>0</v>
      </c>
      <c r="AE53" cm="1">
        <f t="array" aca="1" ref="AE53" ca="1">IFERROR(INDEX(OFFSET($N$15,0,0,$C$12,1),X53),0)</f>
        <v>0</v>
      </c>
      <c r="AF53" cm="1">
        <f t="array" aca="1" ref="AF53" ca="1">IFERROR(INDEX(OFFSET($N$15,0,0,$C$12,1),Y53),0)</f>
        <v>0</v>
      </c>
      <c r="AG53" cm="1">
        <f t="array" aca="1" ref="AG53" ca="1">IFERROR(INDEX(OFFSET($N$15,0,0,$C$12,1),Z53),0)</f>
        <v>0</v>
      </c>
      <c r="AI53">
        <f t="shared" ca="1" si="26"/>
        <v>4</v>
      </c>
      <c r="AK53" t="e">
        <f t="shared" ref="AK53:AQ53" ca="1" si="79">IFERROR(AK52+MATCH(AK$13,OFFSET($AI$15,AK52,0,$C$12-AK52,1),0),NA())</f>
        <v>#N/A</v>
      </c>
      <c r="AL53" t="e">
        <f t="shared" ca="1" si="79"/>
        <v>#N/A</v>
      </c>
      <c r="AM53" t="e">
        <f t="shared" ca="1" si="79"/>
        <v>#N/A</v>
      </c>
      <c r="AN53" t="e">
        <f t="shared" ca="1" si="79"/>
        <v>#N/A</v>
      </c>
      <c r="AO53" t="e">
        <f t="shared" ca="1" si="79"/>
        <v>#N/A</v>
      </c>
      <c r="AP53" t="e">
        <f t="shared" ca="1" si="79"/>
        <v>#N/A</v>
      </c>
      <c r="AQ53" t="e">
        <f t="shared" ca="1" si="79"/>
        <v>#N/A</v>
      </c>
      <c r="AS53" cm="1">
        <f t="array" aca="1" ref="AS53" ca="1">IFERROR(INDEX(OFFSET($B$15,0,0,$C$12,1),AK53),0)</f>
        <v>0</v>
      </c>
      <c r="AT53" cm="1">
        <f t="array" aca="1" ref="AT53" ca="1">IFERROR(INDEX(OFFSET($B$15,0,0,$C$12,1),AL53),0)</f>
        <v>0</v>
      </c>
      <c r="AU53" cm="1">
        <f t="array" aca="1" ref="AU53" ca="1">IFERROR(INDEX(OFFSET($B$15,0,0,$C$12,1),AM53),0)</f>
        <v>0</v>
      </c>
      <c r="AV53" cm="1">
        <f t="array" aca="1" ref="AV53" ca="1">IFERROR(INDEX(OFFSET($B$15,0,0,$C$12,1),AN53),0)</f>
        <v>0</v>
      </c>
      <c r="AW53" cm="1">
        <f t="array" aca="1" ref="AW53" ca="1">IFERROR(INDEX(OFFSET($B$15,0,0,$C$12,1),AO53),0)</f>
        <v>0</v>
      </c>
      <c r="AX53" cm="1">
        <f t="array" aca="1" ref="AX53" ca="1">IFERROR(INDEX(OFFSET($B$15,0,0,$C$12,1),AP53),0)</f>
        <v>0</v>
      </c>
      <c r="AY53" cm="1">
        <f t="array" aca="1" ref="AY53" ca="1">IFERROR(INDEX(OFFSET($B$15,0,0,$C$12,1),AQ53),0)</f>
        <v>0</v>
      </c>
      <c r="BA53" t="str" cm="1">
        <f t="array" aca="1" ref="BA53" ca="1">IF(AS53=0,"",INDEX(auto_ddCountry,AS53))</f>
        <v/>
      </c>
      <c r="BB53" t="str" cm="1">
        <f t="array" aca="1" ref="BB53" ca="1">IF(AT53=0,"",INDEX(auto_ddCountry,AT53))</f>
        <v/>
      </c>
      <c r="BC53" t="str" cm="1">
        <f t="array" aca="1" ref="BC53" ca="1">IF(AU53=0,"",INDEX(auto_ddCountry,AU53))</f>
        <v/>
      </c>
      <c r="BD53" t="str" cm="1">
        <f t="array" aca="1" ref="BD53" ca="1">IF(AV53=0,"",INDEX(auto_ddCountry,AV53))</f>
        <v/>
      </c>
      <c r="BE53" t="str" cm="1">
        <f t="array" aca="1" ref="BE53" ca="1">IF(AW53=0,"",INDEX(auto_ddCountry,AW53))</f>
        <v/>
      </c>
      <c r="BF53" t="str" cm="1">
        <f t="array" aca="1" ref="BF53" ca="1">IF(AX53=0,"",INDEX(auto_ddCountry,AX53))</f>
        <v/>
      </c>
      <c r="BG53" t="str" cm="1">
        <f t="array" aca="1" ref="BG53" ca="1">IF(AY53=0,"",INDEX(auto_ddCountry,AY53))</f>
        <v/>
      </c>
    </row>
    <row r="54" spans="1:59" x14ac:dyDescent="0.4">
      <c r="A54">
        <v>40</v>
      </c>
      <c r="B54">
        <v>40</v>
      </c>
      <c r="C54" cm="1">
        <f t="array" ref="C54">INDEX(auto_Country_Status,B54)</f>
        <v>1</v>
      </c>
      <c r="E54" cm="1">
        <f t="array" aca="1" ref="E54" ca="1">INDEX(sys_DataFlat_LU_Grid,$C$2,$B54)</f>
        <v>40</v>
      </c>
      <c r="F54" cm="1">
        <f t="array" aca="1" ref="F54" ca="1">INDEX(auto_DataFlat_Score,E54,$C$5)</f>
        <v>72</v>
      </c>
      <c r="G54" cm="1">
        <f t="array" aca="1" ref="G54" ca="1">INDEX(auto_DataFlat_DataValue,E54,$C$5)</f>
        <v>0</v>
      </c>
      <c r="H54">
        <f t="shared" ca="1" si="21"/>
        <v>72</v>
      </c>
      <c r="I54" cm="1">
        <f t="array" aca="1" ref="I54" ca="1">INDEX(auto_DataFlat_Classification,E54,$C$5)</f>
        <v>4</v>
      </c>
      <c r="J54">
        <f t="shared" ca="1" si="22"/>
        <v>72</v>
      </c>
      <c r="K54">
        <f t="shared" ca="1" si="23"/>
        <v>72</v>
      </c>
      <c r="L54">
        <f ca="1">RANK(K54,OFFSET(K$15,0,0,$C$12,1))+COUNTIF(K$15:K54,K54)-1</f>
        <v>14</v>
      </c>
      <c r="N54">
        <f t="shared" ca="1" si="24"/>
        <v>11</v>
      </c>
      <c r="O54" cm="1">
        <f t="array" aca="1" ref="O54" ca="1">INDEX(auto_Country_Status,N54)</f>
        <v>1</v>
      </c>
      <c r="P54" cm="1">
        <f t="array" aca="1" ref="P54" ca="1">INDEX(OFFSET($E$15,0,0,$C$12,1),N54)</f>
        <v>11</v>
      </c>
      <c r="Q54" t="str" cm="1">
        <f t="array" aca="1" ref="Q54" ca="1">INDEX(auto_Country_ISO,N54)</f>
        <v>COX</v>
      </c>
      <c r="R54" cm="1">
        <f t="array" aca="1" ref="R54" ca="1">IF(O54=0,0,INDEX(auto_DataFlat_Classification,P54,$C$5))</f>
        <v>3</v>
      </c>
      <c r="S54" cm="1">
        <f t="array" aca="1" ref="S54" ca="1">INDEX(auto_DataFlat_DataValue,P54,$C$5)</f>
        <v>0</v>
      </c>
      <c r="U54" t="e">
        <f t="shared" ref="U54:Z54" ca="1" si="80">IFERROR(U53+MATCH(U$13,OFFSET($R$15,U53,0,$C$12-U53,1),0),NA())</f>
        <v>#N/A</v>
      </c>
      <c r="V54" t="e">
        <f t="shared" ca="1" si="80"/>
        <v>#N/A</v>
      </c>
      <c r="W54" t="e">
        <f t="shared" ca="1" si="80"/>
        <v>#N/A</v>
      </c>
      <c r="X54" t="e">
        <f t="shared" ca="1" si="80"/>
        <v>#N/A</v>
      </c>
      <c r="Y54" t="e">
        <f t="shared" ca="1" si="80"/>
        <v>#N/A</v>
      </c>
      <c r="Z54" t="e">
        <f t="shared" ca="1" si="80"/>
        <v>#N/A</v>
      </c>
      <c r="AB54" cm="1">
        <f t="array" aca="1" ref="AB54" ca="1">IFERROR(INDEX(OFFSET($N$15,0,0,$C$12,1),U54),0)</f>
        <v>0</v>
      </c>
      <c r="AC54" cm="1">
        <f t="array" aca="1" ref="AC54" ca="1">IFERROR(INDEX(OFFSET($N$15,0,0,$C$12,1),V54),0)</f>
        <v>0</v>
      </c>
      <c r="AD54" cm="1">
        <f t="array" aca="1" ref="AD54" ca="1">IFERROR(INDEX(OFFSET($N$15,0,0,$C$12,1),W54),0)</f>
        <v>0</v>
      </c>
      <c r="AE54" cm="1">
        <f t="array" aca="1" ref="AE54" ca="1">IFERROR(INDEX(OFFSET($N$15,0,0,$C$12,1),X54),0)</f>
        <v>0</v>
      </c>
      <c r="AF54" cm="1">
        <f t="array" aca="1" ref="AF54" ca="1">IFERROR(INDEX(OFFSET($N$15,0,0,$C$12,1),Y54),0)</f>
        <v>0</v>
      </c>
      <c r="AG54" cm="1">
        <f t="array" aca="1" ref="AG54" ca="1">IFERROR(INDEX(OFFSET($N$15,0,0,$C$12,1),Z54),0)</f>
        <v>0</v>
      </c>
      <c r="AI54">
        <f t="shared" ca="1" si="26"/>
        <v>4</v>
      </c>
      <c r="AK54" t="e">
        <f t="shared" ca="1" si="13"/>
        <v>#N/A</v>
      </c>
      <c r="AL54" t="e">
        <f t="shared" ca="1" si="14"/>
        <v>#N/A</v>
      </c>
      <c r="AM54" t="e">
        <f t="shared" ca="1" si="15"/>
        <v>#N/A</v>
      </c>
      <c r="AN54" t="e">
        <f t="shared" ca="1" si="16"/>
        <v>#N/A</v>
      </c>
      <c r="AO54" t="e">
        <f t="shared" ca="1" si="17"/>
        <v>#N/A</v>
      </c>
      <c r="AP54" t="e">
        <f t="shared" ca="1" si="18"/>
        <v>#N/A</v>
      </c>
      <c r="AQ54" t="e">
        <f t="shared" ca="1" si="19"/>
        <v>#N/A</v>
      </c>
      <c r="AS54" cm="1">
        <f t="array" aca="1" ref="AS54" ca="1">IFERROR(INDEX(OFFSET($B$15,0,0,$C$12,1),AK54),0)</f>
        <v>0</v>
      </c>
      <c r="AT54" cm="1">
        <f t="array" aca="1" ref="AT54" ca="1">IFERROR(INDEX(OFFSET($B$15,0,0,$C$12,1),AL54),0)</f>
        <v>0</v>
      </c>
      <c r="AU54" cm="1">
        <f t="array" aca="1" ref="AU54" ca="1">IFERROR(INDEX(OFFSET($B$15,0,0,$C$12,1),AM54),0)</f>
        <v>0</v>
      </c>
      <c r="AV54" cm="1">
        <f t="array" aca="1" ref="AV54" ca="1">IFERROR(INDEX(OFFSET($B$15,0,0,$C$12,1),AN54),0)</f>
        <v>0</v>
      </c>
      <c r="AW54" cm="1">
        <f t="array" aca="1" ref="AW54" ca="1">IFERROR(INDEX(OFFSET($B$15,0,0,$C$12,1),AO54),0)</f>
        <v>0</v>
      </c>
      <c r="AX54" cm="1">
        <f t="array" aca="1" ref="AX54" ca="1">IFERROR(INDEX(OFFSET($B$15,0,0,$C$12,1),AP54),0)</f>
        <v>0</v>
      </c>
      <c r="AY54" cm="1">
        <f t="array" aca="1" ref="AY54" ca="1">IFERROR(INDEX(OFFSET($B$15,0,0,$C$12,1),AQ54),0)</f>
        <v>0</v>
      </c>
      <c r="BA54" t="str" cm="1">
        <f t="array" aca="1" ref="BA54" ca="1">IF(AS54=0,"",INDEX(auto_ddCountry,AS54))</f>
        <v/>
      </c>
      <c r="BB54" t="str" cm="1">
        <f t="array" aca="1" ref="BB54" ca="1">IF(AT54=0,"",INDEX(auto_ddCountry,AT54))</f>
        <v/>
      </c>
      <c r="BC54" t="str" cm="1">
        <f t="array" aca="1" ref="BC54" ca="1">IF(AU54=0,"",INDEX(auto_ddCountry,AU54))</f>
        <v/>
      </c>
      <c r="BD54" t="str" cm="1">
        <f t="array" aca="1" ref="BD54" ca="1">IF(AV54=0,"",INDEX(auto_ddCountry,AV54))</f>
        <v/>
      </c>
      <c r="BE54" t="str" cm="1">
        <f t="array" aca="1" ref="BE54" ca="1">IF(AW54=0,"",INDEX(auto_ddCountry,AW54))</f>
        <v/>
      </c>
      <c r="BF54" t="str" cm="1">
        <f t="array" aca="1" ref="BF54" ca="1">IF(AX54=0,"",INDEX(auto_ddCountry,AX54))</f>
        <v/>
      </c>
      <c r="BG54" t="str" cm="1">
        <f t="array" aca="1" ref="BG54" ca="1">IF(AY54=0,"",INDEX(auto_ddCountry,AY54))</f>
        <v/>
      </c>
    </row>
    <row r="55" spans="1:59" x14ac:dyDescent="0.4">
      <c r="A55">
        <v>41</v>
      </c>
      <c r="B55">
        <v>41</v>
      </c>
      <c r="C55" cm="1">
        <f t="array" ref="C55">INDEX(auto_Country_Status,B55)</f>
        <v>1</v>
      </c>
      <c r="E55" cm="1">
        <f t="array" aca="1" ref="E55" ca="1">INDEX(sys_DataFlat_LU_Grid,$C$2,$B55)</f>
        <v>41</v>
      </c>
      <c r="F55" cm="1">
        <f t="array" aca="1" ref="F55" ca="1">INDEX(auto_DataFlat_Score,E55,$C$5)</f>
        <v>67.099999999999994</v>
      </c>
      <c r="G55" cm="1">
        <f t="array" aca="1" ref="G55" ca="1">INDEX(auto_DataFlat_DataValue,E55,$C$5)</f>
        <v>0</v>
      </c>
      <c r="H55">
        <f t="shared" ca="1" si="21"/>
        <v>67.099999999999994</v>
      </c>
      <c r="I55" cm="1">
        <f t="array" aca="1" ref="I55" ca="1">INDEX(auto_DataFlat_Classification,E55,$C$5)</f>
        <v>4</v>
      </c>
      <c r="J55">
        <f t="shared" ca="1" si="22"/>
        <v>67.099999999999994</v>
      </c>
      <c r="K55">
        <f t="shared" ca="1" si="23"/>
        <v>67.099999999999994</v>
      </c>
      <c r="L55">
        <f ca="1">RANK(K55,OFFSET(K$15,0,0,$C$12,1))+COUNTIF(K$15:K55,K55)-1</f>
        <v>21</v>
      </c>
      <c r="N55">
        <f t="shared" ca="1" si="24"/>
        <v>1</v>
      </c>
      <c r="O55" cm="1">
        <f t="array" aca="1" ref="O55" ca="1">INDEX(auto_Country_Status,N55)</f>
        <v>1</v>
      </c>
      <c r="P55" cm="1">
        <f t="array" aca="1" ref="P55" ca="1">INDEX(OFFSET($E$15,0,0,$C$12,1),N55)</f>
        <v>1</v>
      </c>
      <c r="Q55" t="str" cm="1">
        <f t="array" aca="1" ref="Q55" ca="1">INDEX(auto_Country_ISO,N55)</f>
        <v>ADD</v>
      </c>
      <c r="R55" cm="1">
        <f t="array" aca="1" ref="R55" ca="1">IF(O55=0,0,INDEX(auto_DataFlat_Classification,P55,$C$5))</f>
        <v>3</v>
      </c>
      <c r="S55" cm="1">
        <f t="array" aca="1" ref="S55" ca="1">INDEX(auto_DataFlat_DataValue,P55,$C$5)</f>
        <v>0</v>
      </c>
      <c r="U55" t="e">
        <f t="shared" ref="U55:Z55" ca="1" si="81">IFERROR(U54+MATCH(U$13,OFFSET($R$15,U54,0,$C$12-U54,1),0),NA())</f>
        <v>#N/A</v>
      </c>
      <c r="V55" t="e">
        <f t="shared" ca="1" si="81"/>
        <v>#N/A</v>
      </c>
      <c r="W55" t="e">
        <f t="shared" ca="1" si="81"/>
        <v>#N/A</v>
      </c>
      <c r="X55" t="e">
        <f t="shared" ca="1" si="81"/>
        <v>#N/A</v>
      </c>
      <c r="Y55" t="e">
        <f t="shared" ca="1" si="81"/>
        <v>#N/A</v>
      </c>
      <c r="Z55" t="e">
        <f t="shared" ca="1" si="81"/>
        <v>#N/A</v>
      </c>
      <c r="AB55" cm="1">
        <f t="array" aca="1" ref="AB55" ca="1">IFERROR(INDEX(OFFSET($N$15,0,0,$C$12,1),U55),0)</f>
        <v>0</v>
      </c>
      <c r="AC55" cm="1">
        <f t="array" aca="1" ref="AC55" ca="1">IFERROR(INDEX(OFFSET($N$15,0,0,$C$12,1),V55),0)</f>
        <v>0</v>
      </c>
      <c r="AD55" cm="1">
        <f t="array" aca="1" ref="AD55" ca="1">IFERROR(INDEX(OFFSET($N$15,0,0,$C$12,1),W55),0)</f>
        <v>0</v>
      </c>
      <c r="AE55" cm="1">
        <f t="array" aca="1" ref="AE55" ca="1">IFERROR(INDEX(OFFSET($N$15,0,0,$C$12,1),X55),0)</f>
        <v>0</v>
      </c>
      <c r="AF55" cm="1">
        <f t="array" aca="1" ref="AF55" ca="1">IFERROR(INDEX(OFFSET($N$15,0,0,$C$12,1),Y55),0)</f>
        <v>0</v>
      </c>
      <c r="AG55" cm="1">
        <f t="array" aca="1" ref="AG55" ca="1">IFERROR(INDEX(OFFSET($N$15,0,0,$C$12,1),Z55),0)</f>
        <v>0</v>
      </c>
      <c r="AI55">
        <f t="shared" ca="1" si="26"/>
        <v>4</v>
      </c>
      <c r="AK55" t="e">
        <f t="shared" ref="AK55:AQ55" ca="1" si="82">IFERROR(AK54+MATCH(AK$13,OFFSET($AI$15,AK54,0,$C$12-AK54,1),0),NA())</f>
        <v>#N/A</v>
      </c>
      <c r="AL55" t="e">
        <f t="shared" ca="1" si="82"/>
        <v>#N/A</v>
      </c>
      <c r="AM55" t="e">
        <f t="shared" ca="1" si="82"/>
        <v>#N/A</v>
      </c>
      <c r="AN55" t="e">
        <f t="shared" ca="1" si="82"/>
        <v>#N/A</v>
      </c>
      <c r="AO55" t="e">
        <f t="shared" ca="1" si="82"/>
        <v>#N/A</v>
      </c>
      <c r="AP55" t="e">
        <f t="shared" ca="1" si="82"/>
        <v>#N/A</v>
      </c>
      <c r="AQ55" t="e">
        <f t="shared" ca="1" si="82"/>
        <v>#N/A</v>
      </c>
      <c r="AS55" cm="1">
        <f t="array" aca="1" ref="AS55" ca="1">IFERROR(INDEX(OFFSET($B$15,0,0,$C$12,1),AK55),0)</f>
        <v>0</v>
      </c>
      <c r="AT55" cm="1">
        <f t="array" aca="1" ref="AT55" ca="1">IFERROR(INDEX(OFFSET($B$15,0,0,$C$12,1),AL55),0)</f>
        <v>0</v>
      </c>
      <c r="AU55" cm="1">
        <f t="array" aca="1" ref="AU55" ca="1">IFERROR(INDEX(OFFSET($B$15,0,0,$C$12,1),AM55),0)</f>
        <v>0</v>
      </c>
      <c r="AV55" cm="1">
        <f t="array" aca="1" ref="AV55" ca="1">IFERROR(INDEX(OFFSET($B$15,0,0,$C$12,1),AN55),0)</f>
        <v>0</v>
      </c>
      <c r="AW55" cm="1">
        <f t="array" aca="1" ref="AW55" ca="1">IFERROR(INDEX(OFFSET($B$15,0,0,$C$12,1),AO55),0)</f>
        <v>0</v>
      </c>
      <c r="AX55" cm="1">
        <f t="array" aca="1" ref="AX55" ca="1">IFERROR(INDEX(OFFSET($B$15,0,0,$C$12,1),AP55),0)</f>
        <v>0</v>
      </c>
      <c r="AY55" cm="1">
        <f t="array" aca="1" ref="AY55" ca="1">IFERROR(INDEX(OFFSET($B$15,0,0,$C$12,1),AQ55),0)</f>
        <v>0</v>
      </c>
      <c r="BA55" t="str" cm="1">
        <f t="array" aca="1" ref="BA55" ca="1">IF(AS55=0,"",INDEX(auto_ddCountry,AS55))</f>
        <v/>
      </c>
      <c r="BB55" t="str" cm="1">
        <f t="array" aca="1" ref="BB55" ca="1">IF(AT55=0,"",INDEX(auto_ddCountry,AT55))</f>
        <v/>
      </c>
      <c r="BC55" t="str" cm="1">
        <f t="array" aca="1" ref="BC55" ca="1">IF(AU55=0,"",INDEX(auto_ddCountry,AU55))</f>
        <v/>
      </c>
      <c r="BD55" t="str" cm="1">
        <f t="array" aca="1" ref="BD55" ca="1">IF(AV55=0,"",INDEX(auto_ddCountry,AV55))</f>
        <v/>
      </c>
      <c r="BE55" t="str" cm="1">
        <f t="array" aca="1" ref="BE55" ca="1">IF(AW55=0,"",INDEX(auto_ddCountry,AW55))</f>
        <v/>
      </c>
      <c r="BF55" t="str" cm="1">
        <f t="array" aca="1" ref="BF55" ca="1">IF(AX55=0,"",INDEX(auto_ddCountry,AX55))</f>
        <v/>
      </c>
      <c r="BG55" t="str" cm="1">
        <f t="array" aca="1" ref="BG55" ca="1">IF(AY55=0,"",INDEX(auto_ddCountry,AY55))</f>
        <v/>
      </c>
    </row>
    <row r="56" spans="1:59" x14ac:dyDescent="0.4">
      <c r="A56">
        <v>42</v>
      </c>
      <c r="B56">
        <v>42</v>
      </c>
      <c r="C56" cm="1">
        <f t="array" ref="C56">INDEX(auto_Country_Status,B56)</f>
        <v>1</v>
      </c>
      <c r="E56" cm="1">
        <f t="array" aca="1" ref="E56" ca="1">INDEX(sys_DataFlat_LU_Grid,$C$2,$B56)</f>
        <v>42</v>
      </c>
      <c r="F56" cm="1">
        <f t="array" aca="1" ref="F56" ca="1">INDEX(auto_DataFlat_Score,E56,$C$5)</f>
        <v>75.599999999999994</v>
      </c>
      <c r="G56" cm="1">
        <f t="array" aca="1" ref="G56" ca="1">INDEX(auto_DataFlat_DataValue,E56,$C$5)</f>
        <v>0</v>
      </c>
      <c r="H56">
        <f t="shared" ca="1" si="21"/>
        <v>75.599999999999994</v>
      </c>
      <c r="I56" cm="1">
        <f t="array" aca="1" ref="I56" ca="1">INDEX(auto_DataFlat_Classification,E56,$C$5)</f>
        <v>4</v>
      </c>
      <c r="J56">
        <f t="shared" ca="1" si="22"/>
        <v>75.599999999999994</v>
      </c>
      <c r="K56">
        <f t="shared" ca="1" si="23"/>
        <v>75.599999999999994</v>
      </c>
      <c r="L56">
        <f ca="1">RANK(K56,OFFSET(K$15,0,0,$C$12,1))+COUNTIF(K$15:K56,K56)-1</f>
        <v>10</v>
      </c>
      <c r="N56">
        <f t="shared" ca="1" si="24"/>
        <v>28</v>
      </c>
      <c r="O56" cm="1">
        <f t="array" aca="1" ref="O56" ca="1">INDEX(auto_Country_Status,N56)</f>
        <v>1</v>
      </c>
      <c r="P56" cm="1">
        <f t="array" aca="1" ref="P56" ca="1">INDEX(OFFSET($E$15,0,0,$C$12,1),N56)</f>
        <v>28</v>
      </c>
      <c r="Q56" t="str" cm="1">
        <f t="array" aca="1" ref="Q56" ca="1">INDEX(auto_Country_ISO,N56)</f>
        <v>MNL</v>
      </c>
      <c r="R56" cm="1">
        <f t="array" aca="1" ref="R56" ca="1">IF(O56=0,0,INDEX(auto_DataFlat_Classification,P56,$C$5))</f>
        <v>3</v>
      </c>
      <c r="S56" cm="1">
        <f t="array" aca="1" ref="S56" ca="1">INDEX(auto_DataFlat_DataValue,P56,$C$5)</f>
        <v>0</v>
      </c>
      <c r="U56" t="e">
        <f t="shared" ref="U56:Z56" ca="1" si="83">IFERROR(U55+MATCH(U$13,OFFSET($R$15,U55,0,$C$12-U55,1),0),NA())</f>
        <v>#N/A</v>
      </c>
      <c r="V56" t="e">
        <f t="shared" ca="1" si="83"/>
        <v>#N/A</v>
      </c>
      <c r="W56" t="e">
        <f t="shared" ca="1" si="83"/>
        <v>#N/A</v>
      </c>
      <c r="X56" t="e">
        <f t="shared" ca="1" si="83"/>
        <v>#N/A</v>
      </c>
      <c r="Y56" t="e">
        <f t="shared" ca="1" si="83"/>
        <v>#N/A</v>
      </c>
      <c r="Z56" t="e">
        <f t="shared" ca="1" si="83"/>
        <v>#N/A</v>
      </c>
      <c r="AB56" cm="1">
        <f t="array" aca="1" ref="AB56" ca="1">IFERROR(INDEX(OFFSET($N$15,0,0,$C$12,1),U56),0)</f>
        <v>0</v>
      </c>
      <c r="AC56" cm="1">
        <f t="array" aca="1" ref="AC56" ca="1">IFERROR(INDEX(OFFSET($N$15,0,0,$C$12,1),V56),0)</f>
        <v>0</v>
      </c>
      <c r="AD56" cm="1">
        <f t="array" aca="1" ref="AD56" ca="1">IFERROR(INDEX(OFFSET($N$15,0,0,$C$12,1),W56),0)</f>
        <v>0</v>
      </c>
      <c r="AE56" cm="1">
        <f t="array" aca="1" ref="AE56" ca="1">IFERROR(INDEX(OFFSET($N$15,0,0,$C$12,1),X56),0)</f>
        <v>0</v>
      </c>
      <c r="AF56" cm="1">
        <f t="array" aca="1" ref="AF56" ca="1">IFERROR(INDEX(OFFSET($N$15,0,0,$C$12,1),Y56),0)</f>
        <v>0</v>
      </c>
      <c r="AG56" cm="1">
        <f t="array" aca="1" ref="AG56" ca="1">IFERROR(INDEX(OFFSET($N$15,0,0,$C$12,1),Z56),0)</f>
        <v>0</v>
      </c>
      <c r="AI56">
        <f t="shared" ca="1" si="26"/>
        <v>4</v>
      </c>
      <c r="AK56" t="e">
        <f t="shared" ca="1" si="13"/>
        <v>#N/A</v>
      </c>
      <c r="AL56" t="e">
        <f t="shared" ca="1" si="14"/>
        <v>#N/A</v>
      </c>
      <c r="AM56" t="e">
        <f t="shared" ca="1" si="15"/>
        <v>#N/A</v>
      </c>
      <c r="AN56" t="e">
        <f t="shared" ca="1" si="16"/>
        <v>#N/A</v>
      </c>
      <c r="AO56" t="e">
        <f t="shared" ca="1" si="17"/>
        <v>#N/A</v>
      </c>
      <c r="AP56" t="e">
        <f t="shared" ca="1" si="18"/>
        <v>#N/A</v>
      </c>
      <c r="AQ56" t="e">
        <f t="shared" ca="1" si="19"/>
        <v>#N/A</v>
      </c>
      <c r="AS56" cm="1">
        <f t="array" aca="1" ref="AS56" ca="1">IFERROR(INDEX(OFFSET($B$15,0,0,$C$12,1),AK56),0)</f>
        <v>0</v>
      </c>
      <c r="AT56" cm="1">
        <f t="array" aca="1" ref="AT56" ca="1">IFERROR(INDEX(OFFSET($B$15,0,0,$C$12,1),AL56),0)</f>
        <v>0</v>
      </c>
      <c r="AU56" cm="1">
        <f t="array" aca="1" ref="AU56" ca="1">IFERROR(INDEX(OFFSET($B$15,0,0,$C$12,1),AM56),0)</f>
        <v>0</v>
      </c>
      <c r="AV56" cm="1">
        <f t="array" aca="1" ref="AV56" ca="1">IFERROR(INDEX(OFFSET($B$15,0,0,$C$12,1),AN56),0)</f>
        <v>0</v>
      </c>
      <c r="AW56" cm="1">
        <f t="array" aca="1" ref="AW56" ca="1">IFERROR(INDEX(OFFSET($B$15,0,0,$C$12,1),AO56),0)</f>
        <v>0</v>
      </c>
      <c r="AX56" cm="1">
        <f t="array" aca="1" ref="AX56" ca="1">IFERROR(INDEX(OFFSET($B$15,0,0,$C$12,1),AP56),0)</f>
        <v>0</v>
      </c>
      <c r="AY56" cm="1">
        <f t="array" aca="1" ref="AY56" ca="1">IFERROR(INDEX(OFFSET($B$15,0,0,$C$12,1),AQ56),0)</f>
        <v>0</v>
      </c>
      <c r="BA56" t="str" cm="1">
        <f t="array" aca="1" ref="BA56" ca="1">IF(AS56=0,"",INDEX(auto_ddCountry,AS56))</f>
        <v/>
      </c>
      <c r="BB56" t="str" cm="1">
        <f t="array" aca="1" ref="BB56" ca="1">IF(AT56=0,"",INDEX(auto_ddCountry,AT56))</f>
        <v/>
      </c>
      <c r="BC56" t="str" cm="1">
        <f t="array" aca="1" ref="BC56" ca="1">IF(AU56=0,"",INDEX(auto_ddCountry,AU56))</f>
        <v/>
      </c>
      <c r="BD56" t="str" cm="1">
        <f t="array" aca="1" ref="BD56" ca="1">IF(AV56=0,"",INDEX(auto_ddCountry,AV56))</f>
        <v/>
      </c>
      <c r="BE56" t="str" cm="1">
        <f t="array" aca="1" ref="BE56" ca="1">IF(AW56=0,"",INDEX(auto_ddCountry,AW56))</f>
        <v/>
      </c>
      <c r="BF56" t="str" cm="1">
        <f t="array" aca="1" ref="BF56" ca="1">IF(AX56=0,"",INDEX(auto_ddCountry,AX56))</f>
        <v/>
      </c>
      <c r="BG56" t="str" cm="1">
        <f t="array" aca="1" ref="BG56" ca="1">IF(AY56=0,"",INDEX(auto_ddCountry,AY56))</f>
        <v/>
      </c>
    </row>
    <row r="57" spans="1:59" x14ac:dyDescent="0.4">
      <c r="A57">
        <v>43</v>
      </c>
      <c r="B57">
        <v>43</v>
      </c>
      <c r="C57" cm="1">
        <f t="array" ref="C57">INDEX(auto_Country_Status,B57)</f>
        <v>1</v>
      </c>
      <c r="E57" cm="1">
        <f t="array" aca="1" ref="E57" ca="1">INDEX(sys_DataFlat_LU_Grid,$C$2,$B57)</f>
        <v>43</v>
      </c>
      <c r="F57" cm="1">
        <f t="array" aca="1" ref="F57" ca="1">INDEX(auto_DataFlat_Score,E57,$C$5)</f>
        <v>65.3</v>
      </c>
      <c r="G57" cm="1">
        <f t="array" aca="1" ref="G57" ca="1">INDEX(auto_DataFlat_DataValue,E57,$C$5)</f>
        <v>0</v>
      </c>
      <c r="H57">
        <f t="shared" ca="1" si="21"/>
        <v>65.3</v>
      </c>
      <c r="I57" cm="1">
        <f t="array" aca="1" ref="I57" ca="1">INDEX(auto_DataFlat_Classification,E57,$C$5)</f>
        <v>4</v>
      </c>
      <c r="J57">
        <f t="shared" ca="1" si="22"/>
        <v>65.3</v>
      </c>
      <c r="K57">
        <f t="shared" ca="1" si="23"/>
        <v>65.3</v>
      </c>
      <c r="L57">
        <f ca="1">RANK(K57,OFFSET(K$15,0,0,$C$12,1))+COUNTIF(K$15:K57,K57)-1</f>
        <v>24</v>
      </c>
      <c r="N57">
        <f t="shared" ca="1" si="24"/>
        <v>21</v>
      </c>
      <c r="O57" cm="1">
        <f t="array" aca="1" ref="O57" ca="1">INDEX(auto_Country_Status,N57)</f>
        <v>1</v>
      </c>
      <c r="P57" cm="1">
        <f t="array" aca="1" ref="P57" ca="1">INDEX(OFFSET($E$15,0,0,$C$12,1),N57)</f>
        <v>21</v>
      </c>
      <c r="Q57" t="str" cm="1">
        <f t="array" aca="1" ref="Q57" ca="1">INDEX(auto_Country_ISO,N57)</f>
        <v>KHI</v>
      </c>
      <c r="R57" cm="1">
        <f t="array" aca="1" ref="R57" ca="1">IF(O57=0,0,INDEX(auto_DataFlat_Classification,P57,$C$5))</f>
        <v>3</v>
      </c>
      <c r="S57" cm="1">
        <f t="array" aca="1" ref="S57" ca="1">INDEX(auto_DataFlat_DataValue,P57,$C$5)</f>
        <v>0</v>
      </c>
      <c r="U57" t="e">
        <f t="shared" ref="U57:Z57" ca="1" si="84">IFERROR(U56+MATCH(U$13,OFFSET($R$15,U56,0,$C$12-U56,1),0),NA())</f>
        <v>#N/A</v>
      </c>
      <c r="V57" t="e">
        <f t="shared" ca="1" si="84"/>
        <v>#N/A</v>
      </c>
      <c r="W57" t="e">
        <f t="shared" ca="1" si="84"/>
        <v>#N/A</v>
      </c>
      <c r="X57" t="e">
        <f t="shared" ca="1" si="84"/>
        <v>#N/A</v>
      </c>
      <c r="Y57" t="e">
        <f t="shared" ca="1" si="84"/>
        <v>#N/A</v>
      </c>
      <c r="Z57" t="e">
        <f t="shared" ca="1" si="84"/>
        <v>#N/A</v>
      </c>
      <c r="AB57" cm="1">
        <f t="array" aca="1" ref="AB57" ca="1">IFERROR(INDEX(OFFSET($N$15,0,0,$C$12,1),U57),0)</f>
        <v>0</v>
      </c>
      <c r="AC57" cm="1">
        <f t="array" aca="1" ref="AC57" ca="1">IFERROR(INDEX(OFFSET($N$15,0,0,$C$12,1),V57),0)</f>
        <v>0</v>
      </c>
      <c r="AD57" cm="1">
        <f t="array" aca="1" ref="AD57" ca="1">IFERROR(INDEX(OFFSET($N$15,0,0,$C$12,1),W57),0)</f>
        <v>0</v>
      </c>
      <c r="AE57" cm="1">
        <f t="array" aca="1" ref="AE57" ca="1">IFERROR(INDEX(OFFSET($N$15,0,0,$C$12,1),X57),0)</f>
        <v>0</v>
      </c>
      <c r="AF57" cm="1">
        <f t="array" aca="1" ref="AF57" ca="1">IFERROR(INDEX(OFFSET($N$15,0,0,$C$12,1),Y57),0)</f>
        <v>0</v>
      </c>
      <c r="AG57" cm="1">
        <f t="array" aca="1" ref="AG57" ca="1">IFERROR(INDEX(OFFSET($N$15,0,0,$C$12,1),Z57),0)</f>
        <v>0</v>
      </c>
      <c r="AI57">
        <f t="shared" ca="1" si="26"/>
        <v>4</v>
      </c>
      <c r="AK57" t="e">
        <f t="shared" ref="AK57:AQ57" ca="1" si="85">IFERROR(AK56+MATCH(AK$13,OFFSET($AI$15,AK56,0,$C$12-AK56,1),0),NA())</f>
        <v>#N/A</v>
      </c>
      <c r="AL57" t="e">
        <f t="shared" ca="1" si="85"/>
        <v>#N/A</v>
      </c>
      <c r="AM57" t="e">
        <f t="shared" ca="1" si="85"/>
        <v>#N/A</v>
      </c>
      <c r="AN57" t="e">
        <f t="shared" ca="1" si="85"/>
        <v>#N/A</v>
      </c>
      <c r="AO57" t="e">
        <f t="shared" ca="1" si="85"/>
        <v>#N/A</v>
      </c>
      <c r="AP57" t="e">
        <f t="shared" ca="1" si="85"/>
        <v>#N/A</v>
      </c>
      <c r="AQ57" t="e">
        <f t="shared" ca="1" si="85"/>
        <v>#N/A</v>
      </c>
      <c r="AS57" cm="1">
        <f t="array" aca="1" ref="AS57" ca="1">IFERROR(INDEX(OFFSET($B$15,0,0,$C$12,1),AK57),0)</f>
        <v>0</v>
      </c>
      <c r="AT57" cm="1">
        <f t="array" aca="1" ref="AT57" ca="1">IFERROR(INDEX(OFFSET($B$15,0,0,$C$12,1),AL57),0)</f>
        <v>0</v>
      </c>
      <c r="AU57" cm="1">
        <f t="array" aca="1" ref="AU57" ca="1">IFERROR(INDEX(OFFSET($B$15,0,0,$C$12,1),AM57),0)</f>
        <v>0</v>
      </c>
      <c r="AV57" cm="1">
        <f t="array" aca="1" ref="AV57" ca="1">IFERROR(INDEX(OFFSET($B$15,0,0,$C$12,1),AN57),0)</f>
        <v>0</v>
      </c>
      <c r="AW57" cm="1">
        <f t="array" aca="1" ref="AW57" ca="1">IFERROR(INDEX(OFFSET($B$15,0,0,$C$12,1),AO57),0)</f>
        <v>0</v>
      </c>
      <c r="AX57" cm="1">
        <f t="array" aca="1" ref="AX57" ca="1">IFERROR(INDEX(OFFSET($B$15,0,0,$C$12,1),AP57),0)</f>
        <v>0</v>
      </c>
      <c r="AY57" cm="1">
        <f t="array" aca="1" ref="AY57" ca="1">IFERROR(INDEX(OFFSET($B$15,0,0,$C$12,1),AQ57),0)</f>
        <v>0</v>
      </c>
      <c r="BA57" t="str" cm="1">
        <f t="array" aca="1" ref="BA57" ca="1">IF(AS57=0,"",INDEX(auto_ddCountry,AS57))</f>
        <v/>
      </c>
      <c r="BB57" t="str" cm="1">
        <f t="array" aca="1" ref="BB57" ca="1">IF(AT57=0,"",INDEX(auto_ddCountry,AT57))</f>
        <v/>
      </c>
      <c r="BC57" t="str" cm="1">
        <f t="array" aca="1" ref="BC57" ca="1">IF(AU57=0,"",INDEX(auto_ddCountry,AU57))</f>
        <v/>
      </c>
      <c r="BD57" t="str" cm="1">
        <f t="array" aca="1" ref="BD57" ca="1">IF(AV57=0,"",INDEX(auto_ddCountry,AV57))</f>
        <v/>
      </c>
      <c r="BE57" t="str" cm="1">
        <f t="array" aca="1" ref="BE57" ca="1">IF(AW57=0,"",INDEX(auto_ddCountry,AW57))</f>
        <v/>
      </c>
      <c r="BF57" t="str" cm="1">
        <f t="array" aca="1" ref="BF57" ca="1">IF(AX57=0,"",INDEX(auto_ddCountry,AX57))</f>
        <v/>
      </c>
      <c r="BG57" t="str" cm="1">
        <f t="array" aca="1" ref="BG57" ca="1">IF(AY57=0,"",INDEX(auto_ddCountry,AY57))</f>
        <v/>
      </c>
    </row>
    <row r="58" spans="1:59" x14ac:dyDescent="0.4">
      <c r="A58">
        <v>44</v>
      </c>
      <c r="B58">
        <v>44</v>
      </c>
      <c r="C58" cm="1">
        <f t="array" ref="C58">INDEX(auto_Country_Status,B58)</f>
        <v>1</v>
      </c>
      <c r="E58" cm="1">
        <f t="array" aca="1" ref="E58" ca="1">INDEX(sys_DataFlat_LU_Grid,$C$2,$B58)</f>
        <v>44</v>
      </c>
      <c r="F58" cm="1">
        <f t="array" aca="1" ref="F58" ca="1">INDEX(auto_DataFlat_Score,E58,$C$5)</f>
        <v>76.099999999999994</v>
      </c>
      <c r="G58" cm="1">
        <f t="array" aca="1" ref="G58" ca="1">INDEX(auto_DataFlat_DataValue,E58,$C$5)</f>
        <v>0</v>
      </c>
      <c r="H58">
        <f t="shared" ca="1" si="21"/>
        <v>76.099999999999994</v>
      </c>
      <c r="I58" cm="1">
        <f t="array" aca="1" ref="I58" ca="1">INDEX(auto_DataFlat_Classification,E58,$C$5)</f>
        <v>4</v>
      </c>
      <c r="J58">
        <f t="shared" ca="1" si="22"/>
        <v>76.099999999999994</v>
      </c>
      <c r="K58">
        <f t="shared" ca="1" si="23"/>
        <v>76.099999999999994</v>
      </c>
      <c r="L58">
        <f ca="1">RANK(K58,OFFSET(K$15,0,0,$C$12,1))+COUNTIF(K$15:K58,K58)-1</f>
        <v>7</v>
      </c>
      <c r="N58">
        <f t="shared" ca="1" si="24"/>
        <v>38</v>
      </c>
      <c r="O58" cm="1">
        <f t="array" aca="1" ref="O58" ca="1">INDEX(auto_Country_Status,N58)</f>
        <v>1</v>
      </c>
      <c r="P58" cm="1">
        <f t="array" aca="1" ref="P58" ca="1">INDEX(OFFSET($E$15,0,0,$C$12,1),N58)</f>
        <v>38</v>
      </c>
      <c r="Q58" t="str" cm="1">
        <f t="array" aca="1" ref="Q58" ca="1">INDEX(auto_Country_ISO,N58)</f>
        <v>RUH</v>
      </c>
      <c r="R58" cm="1">
        <f t="array" aca="1" ref="R58" ca="1">IF(O58=0,0,INDEX(auto_DataFlat_Classification,P58,$C$5))</f>
        <v>3</v>
      </c>
      <c r="S58" cm="1">
        <f t="array" aca="1" ref="S58" ca="1">INDEX(auto_DataFlat_DataValue,P58,$C$5)</f>
        <v>0</v>
      </c>
      <c r="U58" t="e">
        <f t="shared" ref="U58:Z58" ca="1" si="86">IFERROR(U57+MATCH(U$13,OFFSET($R$15,U57,0,$C$12-U57,1),0),NA())</f>
        <v>#N/A</v>
      </c>
      <c r="V58" t="e">
        <f t="shared" ca="1" si="86"/>
        <v>#N/A</v>
      </c>
      <c r="W58" t="e">
        <f t="shared" ca="1" si="86"/>
        <v>#N/A</v>
      </c>
      <c r="X58" t="e">
        <f t="shared" ca="1" si="86"/>
        <v>#N/A</v>
      </c>
      <c r="Y58" t="e">
        <f t="shared" ca="1" si="86"/>
        <v>#N/A</v>
      </c>
      <c r="Z58" t="e">
        <f t="shared" ca="1" si="86"/>
        <v>#N/A</v>
      </c>
      <c r="AB58" cm="1">
        <f t="array" aca="1" ref="AB58" ca="1">IFERROR(INDEX(OFFSET($N$15,0,0,$C$12,1),U58),0)</f>
        <v>0</v>
      </c>
      <c r="AC58" cm="1">
        <f t="array" aca="1" ref="AC58" ca="1">IFERROR(INDEX(OFFSET($N$15,0,0,$C$12,1),V58),0)</f>
        <v>0</v>
      </c>
      <c r="AD58" cm="1">
        <f t="array" aca="1" ref="AD58" ca="1">IFERROR(INDEX(OFFSET($N$15,0,0,$C$12,1),W58),0)</f>
        <v>0</v>
      </c>
      <c r="AE58" cm="1">
        <f t="array" aca="1" ref="AE58" ca="1">IFERROR(INDEX(OFFSET($N$15,0,0,$C$12,1),X58),0)</f>
        <v>0</v>
      </c>
      <c r="AF58" cm="1">
        <f t="array" aca="1" ref="AF58" ca="1">IFERROR(INDEX(OFFSET($N$15,0,0,$C$12,1),Y58),0)</f>
        <v>0</v>
      </c>
      <c r="AG58" cm="1">
        <f t="array" aca="1" ref="AG58" ca="1">IFERROR(INDEX(OFFSET($N$15,0,0,$C$12,1),Z58),0)</f>
        <v>0</v>
      </c>
      <c r="AI58">
        <f t="shared" ca="1" si="26"/>
        <v>4</v>
      </c>
      <c r="AK58" t="e">
        <f t="shared" ca="1" si="13"/>
        <v>#N/A</v>
      </c>
      <c r="AL58" t="e">
        <f t="shared" ca="1" si="14"/>
        <v>#N/A</v>
      </c>
      <c r="AM58" t="e">
        <f t="shared" ca="1" si="15"/>
        <v>#N/A</v>
      </c>
      <c r="AN58" t="e">
        <f t="shared" ca="1" si="16"/>
        <v>#N/A</v>
      </c>
      <c r="AO58" t="e">
        <f t="shared" ca="1" si="17"/>
        <v>#N/A</v>
      </c>
      <c r="AP58" t="e">
        <f t="shared" ca="1" si="18"/>
        <v>#N/A</v>
      </c>
      <c r="AQ58" t="e">
        <f t="shared" ca="1" si="19"/>
        <v>#N/A</v>
      </c>
      <c r="AS58" cm="1">
        <f t="array" aca="1" ref="AS58" ca="1">IFERROR(INDEX(OFFSET($B$15,0,0,$C$12,1),AK58),0)</f>
        <v>0</v>
      </c>
      <c r="AT58" cm="1">
        <f t="array" aca="1" ref="AT58" ca="1">IFERROR(INDEX(OFFSET($B$15,0,0,$C$12,1),AL58),0)</f>
        <v>0</v>
      </c>
      <c r="AU58" cm="1">
        <f t="array" aca="1" ref="AU58" ca="1">IFERROR(INDEX(OFFSET($B$15,0,0,$C$12,1),AM58),0)</f>
        <v>0</v>
      </c>
      <c r="AV58" cm="1">
        <f t="array" aca="1" ref="AV58" ca="1">IFERROR(INDEX(OFFSET($B$15,0,0,$C$12,1),AN58),0)</f>
        <v>0</v>
      </c>
      <c r="AW58" cm="1">
        <f t="array" aca="1" ref="AW58" ca="1">IFERROR(INDEX(OFFSET($B$15,0,0,$C$12,1),AO58),0)</f>
        <v>0</v>
      </c>
      <c r="AX58" cm="1">
        <f t="array" aca="1" ref="AX58" ca="1">IFERROR(INDEX(OFFSET($B$15,0,0,$C$12,1),AP58),0)</f>
        <v>0</v>
      </c>
      <c r="AY58" cm="1">
        <f t="array" aca="1" ref="AY58" ca="1">IFERROR(INDEX(OFFSET($B$15,0,0,$C$12,1),AQ58),0)</f>
        <v>0</v>
      </c>
      <c r="BA58" t="str" cm="1">
        <f t="array" aca="1" ref="BA58" ca="1">IF(AS58=0,"",INDEX(auto_ddCountry,AS58))</f>
        <v/>
      </c>
      <c r="BB58" t="str" cm="1">
        <f t="array" aca="1" ref="BB58" ca="1">IF(AT58=0,"",INDEX(auto_ddCountry,AT58))</f>
        <v/>
      </c>
      <c r="BC58" t="str" cm="1">
        <f t="array" aca="1" ref="BC58" ca="1">IF(AU58=0,"",INDEX(auto_ddCountry,AU58))</f>
        <v/>
      </c>
      <c r="BD58" t="str" cm="1">
        <f t="array" aca="1" ref="BD58" ca="1">IF(AV58=0,"",INDEX(auto_ddCountry,AV58))</f>
        <v/>
      </c>
      <c r="BE58" t="str" cm="1">
        <f t="array" aca="1" ref="BE58" ca="1">IF(AW58=0,"",INDEX(auto_ddCountry,AW58))</f>
        <v/>
      </c>
      <c r="BF58" t="str" cm="1">
        <f t="array" aca="1" ref="BF58" ca="1">IF(AX58=0,"",INDEX(auto_ddCountry,AX58))</f>
        <v/>
      </c>
      <c r="BG58" t="str" cm="1">
        <f t="array" aca="1" ref="BG58" ca="1">IF(AY58=0,"",INDEX(auto_ddCountry,AY58))</f>
        <v/>
      </c>
    </row>
    <row r="59" spans="1:59" x14ac:dyDescent="0.4">
      <c r="A59">
        <v>45</v>
      </c>
      <c r="B59">
        <v>45</v>
      </c>
      <c r="C59" cm="1">
        <f t="array" ref="C59">INDEX(auto_Country_Status,B59)</f>
        <v>1</v>
      </c>
      <c r="E59" cm="1">
        <f t="array" aca="1" ref="E59" ca="1">INDEX(sys_DataFlat_LU_Grid,$C$2,$B59)</f>
        <v>45</v>
      </c>
      <c r="F59" cm="1">
        <f t="array" aca="1" ref="F59" ca="1">INDEX(auto_DataFlat_Score,E59,$C$5)</f>
        <v>70.5</v>
      </c>
      <c r="G59" cm="1">
        <f t="array" aca="1" ref="G59" ca="1">INDEX(auto_DataFlat_DataValue,E59,$C$5)</f>
        <v>0</v>
      </c>
      <c r="H59">
        <f t="shared" ca="1" si="21"/>
        <v>70.5</v>
      </c>
      <c r="I59" cm="1">
        <f t="array" aca="1" ref="I59" ca="1">INDEX(auto_DataFlat_Classification,E59,$C$5)</f>
        <v>4</v>
      </c>
      <c r="J59">
        <f t="shared" ca="1" si="22"/>
        <v>70.5</v>
      </c>
      <c r="K59">
        <f t="shared" ca="1" si="23"/>
        <v>70.5</v>
      </c>
      <c r="L59">
        <f ca="1">RANK(K59,OFFSET(K$15,0,0,$C$12,1))+COUNTIF(K$15:K59,K59)-1</f>
        <v>17</v>
      </c>
      <c r="N59">
        <f t="shared" ca="1" si="24"/>
        <v>50</v>
      </c>
      <c r="O59" cm="1">
        <f t="array" aca="1" ref="O59" ca="1">INDEX(auto_Country_Status,N59)</f>
        <v>1</v>
      </c>
      <c r="P59" cm="1">
        <f t="array" aca="1" ref="P59" ca="1">INDEX(OFFSET($E$15,0,0,$C$12,1),N59)</f>
        <v>50</v>
      </c>
      <c r="Q59" t="str" cm="1">
        <f t="array" aca="1" ref="Q59" ca="1">INDEX(auto_Country_ISO,N59)</f>
        <v>RGN</v>
      </c>
      <c r="R59" cm="1">
        <f t="array" aca="1" ref="R59" ca="1">IF(O59=0,0,INDEX(auto_DataFlat_Classification,P59,$C$5))</f>
        <v>3</v>
      </c>
      <c r="S59" cm="1">
        <f t="array" aca="1" ref="S59" ca="1">INDEX(auto_DataFlat_DataValue,P59,$C$5)</f>
        <v>0</v>
      </c>
      <c r="U59" t="e">
        <f t="shared" ref="U59:Z59" ca="1" si="87">IFERROR(U58+MATCH(U$13,OFFSET($R$15,U58,0,$C$12-U58,1),0),NA())</f>
        <v>#N/A</v>
      </c>
      <c r="V59" t="e">
        <f t="shared" ca="1" si="87"/>
        <v>#N/A</v>
      </c>
      <c r="W59" t="e">
        <f t="shared" ca="1" si="87"/>
        <v>#N/A</v>
      </c>
      <c r="X59" t="e">
        <f t="shared" ca="1" si="87"/>
        <v>#N/A</v>
      </c>
      <c r="Y59" t="e">
        <f t="shared" ca="1" si="87"/>
        <v>#N/A</v>
      </c>
      <c r="Z59" t="e">
        <f t="shared" ca="1" si="87"/>
        <v>#N/A</v>
      </c>
      <c r="AB59" cm="1">
        <f t="array" aca="1" ref="AB59" ca="1">IFERROR(INDEX(OFFSET($N$15,0,0,$C$12,1),U59),0)</f>
        <v>0</v>
      </c>
      <c r="AC59" cm="1">
        <f t="array" aca="1" ref="AC59" ca="1">IFERROR(INDEX(OFFSET($N$15,0,0,$C$12,1),V59),0)</f>
        <v>0</v>
      </c>
      <c r="AD59" cm="1">
        <f t="array" aca="1" ref="AD59" ca="1">IFERROR(INDEX(OFFSET($N$15,0,0,$C$12,1),W59),0)</f>
        <v>0</v>
      </c>
      <c r="AE59" cm="1">
        <f t="array" aca="1" ref="AE59" ca="1">IFERROR(INDEX(OFFSET($N$15,0,0,$C$12,1),X59),0)</f>
        <v>0</v>
      </c>
      <c r="AF59" cm="1">
        <f t="array" aca="1" ref="AF59" ca="1">IFERROR(INDEX(OFFSET($N$15,0,0,$C$12,1),Y59),0)</f>
        <v>0</v>
      </c>
      <c r="AG59" cm="1">
        <f t="array" aca="1" ref="AG59" ca="1">IFERROR(INDEX(OFFSET($N$15,0,0,$C$12,1),Z59),0)</f>
        <v>0</v>
      </c>
      <c r="AI59">
        <f t="shared" ca="1" si="26"/>
        <v>4</v>
      </c>
      <c r="AK59" t="e">
        <f t="shared" ref="AK59:AQ59" ca="1" si="88">IFERROR(AK58+MATCH(AK$13,OFFSET($AI$15,AK58,0,$C$12-AK58,1),0),NA())</f>
        <v>#N/A</v>
      </c>
      <c r="AL59" t="e">
        <f t="shared" ca="1" si="88"/>
        <v>#N/A</v>
      </c>
      <c r="AM59" t="e">
        <f t="shared" ca="1" si="88"/>
        <v>#N/A</v>
      </c>
      <c r="AN59" t="e">
        <f t="shared" ca="1" si="88"/>
        <v>#N/A</v>
      </c>
      <c r="AO59" t="e">
        <f t="shared" ca="1" si="88"/>
        <v>#N/A</v>
      </c>
      <c r="AP59" t="e">
        <f t="shared" ca="1" si="88"/>
        <v>#N/A</v>
      </c>
      <c r="AQ59" t="e">
        <f t="shared" ca="1" si="88"/>
        <v>#N/A</v>
      </c>
      <c r="AS59" cm="1">
        <f t="array" aca="1" ref="AS59" ca="1">IFERROR(INDEX(OFFSET($B$15,0,0,$C$12,1),AK59),0)</f>
        <v>0</v>
      </c>
      <c r="AT59" cm="1">
        <f t="array" aca="1" ref="AT59" ca="1">IFERROR(INDEX(OFFSET($B$15,0,0,$C$12,1),AL59),0)</f>
        <v>0</v>
      </c>
      <c r="AU59" cm="1">
        <f t="array" aca="1" ref="AU59" ca="1">IFERROR(INDEX(OFFSET($B$15,0,0,$C$12,1),AM59),0)</f>
        <v>0</v>
      </c>
      <c r="AV59" cm="1">
        <f t="array" aca="1" ref="AV59" ca="1">IFERROR(INDEX(OFFSET($B$15,0,0,$C$12,1),AN59),0)</f>
        <v>0</v>
      </c>
      <c r="AW59" cm="1">
        <f t="array" aca="1" ref="AW59" ca="1">IFERROR(INDEX(OFFSET($B$15,0,0,$C$12,1),AO59),0)</f>
        <v>0</v>
      </c>
      <c r="AX59" cm="1">
        <f t="array" aca="1" ref="AX59" ca="1">IFERROR(INDEX(OFFSET($B$15,0,0,$C$12,1),AP59),0)</f>
        <v>0</v>
      </c>
      <c r="AY59" cm="1">
        <f t="array" aca="1" ref="AY59" ca="1">IFERROR(INDEX(OFFSET($B$15,0,0,$C$12,1),AQ59),0)</f>
        <v>0</v>
      </c>
      <c r="BA59" t="str" cm="1">
        <f t="array" aca="1" ref="BA59" ca="1">IF(AS59=0,"",INDEX(auto_ddCountry,AS59))</f>
        <v/>
      </c>
      <c r="BB59" t="str" cm="1">
        <f t="array" aca="1" ref="BB59" ca="1">IF(AT59=0,"",INDEX(auto_ddCountry,AT59))</f>
        <v/>
      </c>
      <c r="BC59" t="str" cm="1">
        <f t="array" aca="1" ref="BC59" ca="1">IF(AU59=0,"",INDEX(auto_ddCountry,AU59))</f>
        <v/>
      </c>
      <c r="BD59" t="str" cm="1">
        <f t="array" aca="1" ref="BD59" ca="1">IF(AV59=0,"",INDEX(auto_ddCountry,AV59))</f>
        <v/>
      </c>
      <c r="BE59" t="str" cm="1">
        <f t="array" aca="1" ref="BE59" ca="1">IF(AW59=0,"",INDEX(auto_ddCountry,AW59))</f>
        <v/>
      </c>
      <c r="BF59" t="str" cm="1">
        <f t="array" aca="1" ref="BF59" ca="1">IF(AX59=0,"",INDEX(auto_ddCountry,AX59))</f>
        <v/>
      </c>
      <c r="BG59" t="str" cm="1">
        <f t="array" aca="1" ref="BG59" ca="1">IF(AY59=0,"",INDEX(auto_ddCountry,AY59))</f>
        <v/>
      </c>
    </row>
    <row r="60" spans="1:59" x14ac:dyDescent="0.4">
      <c r="A60">
        <v>46</v>
      </c>
      <c r="B60">
        <v>46</v>
      </c>
      <c r="C60" cm="1">
        <f t="array" ref="C60">INDEX(auto_Country_Status,B60)</f>
        <v>1</v>
      </c>
      <c r="E60" cm="1">
        <f t="array" aca="1" ref="E60" ca="1">INDEX(sys_DataFlat_LU_Grid,$C$2,$B60)</f>
        <v>46</v>
      </c>
      <c r="F60" cm="1">
        <f t="array" aca="1" ref="F60" ca="1">INDEX(auto_DataFlat_Score,E60,$C$5)</f>
        <v>76.099999999999994</v>
      </c>
      <c r="G60" cm="1">
        <f t="array" aca="1" ref="G60" ca="1">INDEX(auto_DataFlat_DataValue,E60,$C$5)</f>
        <v>0</v>
      </c>
      <c r="H60">
        <f t="shared" ca="1" si="21"/>
        <v>76.099999999999994</v>
      </c>
      <c r="I60" cm="1">
        <f t="array" aca="1" ref="I60" ca="1">INDEX(auto_DataFlat_Classification,E60,$C$5)</f>
        <v>4</v>
      </c>
      <c r="J60">
        <f t="shared" ca="1" si="22"/>
        <v>76.099999999999994</v>
      </c>
      <c r="K60">
        <f t="shared" ca="1" si="23"/>
        <v>76.099999999999994</v>
      </c>
      <c r="L60">
        <f ca="1">RANK(K60,OFFSET(K$15,0,0,$C$12,1))+COUNTIF(K$15:K60,K60)-1</f>
        <v>8</v>
      </c>
      <c r="N60">
        <f t="shared" ca="1" si="24"/>
        <v>24</v>
      </c>
      <c r="O60" cm="1">
        <f t="array" aca="1" ref="O60" ca="1">INDEX(auto_Country_Status,N60)</f>
        <v>1</v>
      </c>
      <c r="P60" cm="1">
        <f t="array" aca="1" ref="P60" ca="1">INDEX(OFFSET($E$15,0,0,$C$12,1),N60)</f>
        <v>24</v>
      </c>
      <c r="Q60" t="str" cm="1">
        <f t="array" aca="1" ref="Q60" ca="1">INDEX(auto_Country_ISO,N60)</f>
        <v>KWI</v>
      </c>
      <c r="R60" cm="1">
        <f t="array" aca="1" ref="R60" ca="1">IF(O60=0,0,INDEX(auto_DataFlat_Classification,P60,$C$5))</f>
        <v>3</v>
      </c>
      <c r="S60" cm="1">
        <f t="array" aca="1" ref="S60" ca="1">INDEX(auto_DataFlat_DataValue,P60,$C$5)</f>
        <v>0</v>
      </c>
      <c r="U60" t="e">
        <f t="shared" ref="U60:Z60" ca="1" si="89">IFERROR(U59+MATCH(U$13,OFFSET($R$15,U59,0,$C$12-U59,1),0),NA())</f>
        <v>#N/A</v>
      </c>
      <c r="V60" t="e">
        <f t="shared" ca="1" si="89"/>
        <v>#N/A</v>
      </c>
      <c r="W60" t="e">
        <f t="shared" ca="1" si="89"/>
        <v>#N/A</v>
      </c>
      <c r="X60" t="e">
        <f t="shared" ca="1" si="89"/>
        <v>#N/A</v>
      </c>
      <c r="Y60" t="e">
        <f t="shared" ca="1" si="89"/>
        <v>#N/A</v>
      </c>
      <c r="Z60" t="e">
        <f t="shared" ca="1" si="89"/>
        <v>#N/A</v>
      </c>
      <c r="AB60" cm="1">
        <f t="array" aca="1" ref="AB60" ca="1">IFERROR(INDEX(OFFSET($N$15,0,0,$C$12,1),U60),0)</f>
        <v>0</v>
      </c>
      <c r="AC60" cm="1">
        <f t="array" aca="1" ref="AC60" ca="1">IFERROR(INDEX(OFFSET($N$15,0,0,$C$12,1),V60),0)</f>
        <v>0</v>
      </c>
      <c r="AD60" cm="1">
        <f t="array" aca="1" ref="AD60" ca="1">IFERROR(INDEX(OFFSET($N$15,0,0,$C$12,1),W60),0)</f>
        <v>0</v>
      </c>
      <c r="AE60" cm="1">
        <f t="array" aca="1" ref="AE60" ca="1">IFERROR(INDEX(OFFSET($N$15,0,0,$C$12,1),X60),0)</f>
        <v>0</v>
      </c>
      <c r="AF60" cm="1">
        <f t="array" aca="1" ref="AF60" ca="1">IFERROR(INDEX(OFFSET($N$15,0,0,$C$12,1),Y60),0)</f>
        <v>0</v>
      </c>
      <c r="AG60" cm="1">
        <f t="array" aca="1" ref="AG60" ca="1">IFERROR(INDEX(OFFSET($N$15,0,0,$C$12,1),Z60),0)</f>
        <v>0</v>
      </c>
      <c r="AI60">
        <f t="shared" ca="1" si="26"/>
        <v>4</v>
      </c>
      <c r="AK60" t="e">
        <f t="shared" ca="1" si="13"/>
        <v>#N/A</v>
      </c>
      <c r="AL60" t="e">
        <f t="shared" ca="1" si="14"/>
        <v>#N/A</v>
      </c>
      <c r="AM60" t="e">
        <f t="shared" ca="1" si="15"/>
        <v>#N/A</v>
      </c>
      <c r="AN60" t="e">
        <f t="shared" ca="1" si="16"/>
        <v>#N/A</v>
      </c>
      <c r="AO60" t="e">
        <f t="shared" ca="1" si="17"/>
        <v>#N/A</v>
      </c>
      <c r="AP60" t="e">
        <f t="shared" ca="1" si="18"/>
        <v>#N/A</v>
      </c>
      <c r="AQ60" t="e">
        <f t="shared" ca="1" si="19"/>
        <v>#N/A</v>
      </c>
      <c r="AS60" cm="1">
        <f t="array" aca="1" ref="AS60" ca="1">IFERROR(INDEX(OFFSET($B$15,0,0,$C$12,1),AK60),0)</f>
        <v>0</v>
      </c>
      <c r="AT60" cm="1">
        <f t="array" aca="1" ref="AT60" ca="1">IFERROR(INDEX(OFFSET($B$15,0,0,$C$12,1),AL60),0)</f>
        <v>0</v>
      </c>
      <c r="AU60" cm="1">
        <f t="array" aca="1" ref="AU60" ca="1">IFERROR(INDEX(OFFSET($B$15,0,0,$C$12,1),AM60),0)</f>
        <v>0</v>
      </c>
      <c r="AV60" cm="1">
        <f t="array" aca="1" ref="AV60" ca="1">IFERROR(INDEX(OFFSET($B$15,0,0,$C$12,1),AN60),0)</f>
        <v>0</v>
      </c>
      <c r="AW60" cm="1">
        <f t="array" aca="1" ref="AW60" ca="1">IFERROR(INDEX(OFFSET($B$15,0,0,$C$12,1),AO60),0)</f>
        <v>0</v>
      </c>
      <c r="AX60" cm="1">
        <f t="array" aca="1" ref="AX60" ca="1">IFERROR(INDEX(OFFSET($B$15,0,0,$C$12,1),AP60),0)</f>
        <v>0</v>
      </c>
      <c r="AY60" cm="1">
        <f t="array" aca="1" ref="AY60" ca="1">IFERROR(INDEX(OFFSET($B$15,0,0,$C$12,1),AQ60),0)</f>
        <v>0</v>
      </c>
      <c r="BA60" t="str" cm="1">
        <f t="array" aca="1" ref="BA60" ca="1">IF(AS60=0,"",INDEX(auto_ddCountry,AS60))</f>
        <v/>
      </c>
      <c r="BB60" t="str" cm="1">
        <f t="array" aca="1" ref="BB60" ca="1">IF(AT60=0,"",INDEX(auto_ddCountry,AT60))</f>
        <v/>
      </c>
      <c r="BC60" t="str" cm="1">
        <f t="array" aca="1" ref="BC60" ca="1">IF(AU60=0,"",INDEX(auto_ddCountry,AU60))</f>
        <v/>
      </c>
      <c r="BD60" t="str" cm="1">
        <f t="array" aca="1" ref="BD60" ca="1">IF(AV60=0,"",INDEX(auto_ddCountry,AV60))</f>
        <v/>
      </c>
      <c r="BE60" t="str" cm="1">
        <f t="array" aca="1" ref="BE60" ca="1">IF(AW60=0,"",INDEX(auto_ddCountry,AW60))</f>
        <v/>
      </c>
      <c r="BF60" t="str" cm="1">
        <f t="array" aca="1" ref="BF60" ca="1">IF(AX60=0,"",INDEX(auto_ddCountry,AX60))</f>
        <v/>
      </c>
      <c r="BG60" t="str" cm="1">
        <f t="array" aca="1" ref="BG60" ca="1">IF(AY60=0,"",INDEX(auto_ddCountry,AY60))</f>
        <v/>
      </c>
    </row>
    <row r="61" spans="1:59" x14ac:dyDescent="0.4">
      <c r="A61">
        <v>47</v>
      </c>
      <c r="B61">
        <v>47</v>
      </c>
      <c r="C61" cm="1">
        <f t="array" ref="C61">INDEX(auto_Country_Status,B61)</f>
        <v>1</v>
      </c>
      <c r="E61" cm="1">
        <f t="array" aca="1" ref="E61" ca="1">INDEX(sys_DataFlat_LU_Grid,$C$2,$B61)</f>
        <v>47</v>
      </c>
      <c r="F61" cm="1">
        <f t="array" aca="1" ref="F61" ca="1">INDEX(auto_DataFlat_Score,E61,$C$5)</f>
        <v>77</v>
      </c>
      <c r="G61" cm="1">
        <f t="array" aca="1" ref="G61" ca="1">INDEX(auto_DataFlat_DataValue,E61,$C$5)</f>
        <v>0</v>
      </c>
      <c r="H61">
        <f t="shared" ca="1" si="21"/>
        <v>77</v>
      </c>
      <c r="I61" cm="1">
        <f t="array" aca="1" ref="I61" ca="1">INDEX(auto_DataFlat_Classification,E61,$C$5)</f>
        <v>4</v>
      </c>
      <c r="J61">
        <f t="shared" ca="1" si="22"/>
        <v>77</v>
      </c>
      <c r="K61">
        <f t="shared" ca="1" si="23"/>
        <v>77</v>
      </c>
      <c r="L61">
        <f ca="1">RANK(K61,OFFSET(K$15,0,0,$C$12,1))+COUNTIF(K$15:K61,K61)-1</f>
        <v>6</v>
      </c>
      <c r="N61">
        <f t="shared" ca="1" si="24"/>
        <v>13</v>
      </c>
      <c r="O61" cm="1">
        <f t="array" aca="1" ref="O61" ca="1">INDEX(auto_Country_Status,N61)</f>
        <v>1</v>
      </c>
      <c r="P61" cm="1">
        <f t="array" aca="1" ref="P61" ca="1">INDEX(OFFSET($E$15,0,0,$C$12,1),N61)</f>
        <v>13</v>
      </c>
      <c r="Q61" t="str" cm="1">
        <f t="array" aca="1" ref="Q61" ca="1">INDEX(auto_Country_ISO,N61)</f>
        <v>DAC</v>
      </c>
      <c r="R61" cm="1">
        <f t="array" aca="1" ref="R61" ca="1">IF(O61=0,0,INDEX(auto_DataFlat_Classification,P61,$C$5))</f>
        <v>3</v>
      </c>
      <c r="S61" cm="1">
        <f t="array" aca="1" ref="S61" ca="1">INDEX(auto_DataFlat_DataValue,P61,$C$5)</f>
        <v>0</v>
      </c>
      <c r="U61" t="e">
        <f t="shared" ref="U61:Z61" ca="1" si="90">IFERROR(U60+MATCH(U$13,OFFSET($R$15,U60,0,$C$12-U60,1),0),NA())</f>
        <v>#N/A</v>
      </c>
      <c r="V61" t="e">
        <f t="shared" ca="1" si="90"/>
        <v>#N/A</v>
      </c>
      <c r="W61" t="e">
        <f t="shared" ca="1" si="90"/>
        <v>#N/A</v>
      </c>
      <c r="X61" t="e">
        <f t="shared" ca="1" si="90"/>
        <v>#N/A</v>
      </c>
      <c r="Y61" t="e">
        <f t="shared" ca="1" si="90"/>
        <v>#N/A</v>
      </c>
      <c r="Z61" t="e">
        <f t="shared" ca="1" si="90"/>
        <v>#N/A</v>
      </c>
      <c r="AB61" cm="1">
        <f t="array" aca="1" ref="AB61" ca="1">IFERROR(INDEX(OFFSET($N$15,0,0,$C$12,1),U61),0)</f>
        <v>0</v>
      </c>
      <c r="AC61" cm="1">
        <f t="array" aca="1" ref="AC61" ca="1">IFERROR(INDEX(OFFSET($N$15,0,0,$C$12,1),V61),0)</f>
        <v>0</v>
      </c>
      <c r="AD61" cm="1">
        <f t="array" aca="1" ref="AD61" ca="1">IFERROR(INDEX(OFFSET($N$15,0,0,$C$12,1),W61),0)</f>
        <v>0</v>
      </c>
      <c r="AE61" cm="1">
        <f t="array" aca="1" ref="AE61" ca="1">IFERROR(INDEX(OFFSET($N$15,0,0,$C$12,1),X61),0)</f>
        <v>0</v>
      </c>
      <c r="AF61" cm="1">
        <f t="array" aca="1" ref="AF61" ca="1">IFERROR(INDEX(OFFSET($N$15,0,0,$C$12,1),Y61),0)</f>
        <v>0</v>
      </c>
      <c r="AG61" cm="1">
        <f t="array" aca="1" ref="AG61" ca="1">IFERROR(INDEX(OFFSET($N$15,0,0,$C$12,1),Z61),0)</f>
        <v>0</v>
      </c>
      <c r="AI61">
        <f t="shared" ca="1" si="26"/>
        <v>4</v>
      </c>
      <c r="AK61" t="e">
        <f t="shared" ref="AK61:AQ61" ca="1" si="91">IFERROR(AK60+MATCH(AK$13,OFFSET($AI$15,AK60,0,$C$12-AK60,1),0),NA())</f>
        <v>#N/A</v>
      </c>
      <c r="AL61" t="e">
        <f t="shared" ca="1" si="91"/>
        <v>#N/A</v>
      </c>
      <c r="AM61" t="e">
        <f t="shared" ca="1" si="91"/>
        <v>#N/A</v>
      </c>
      <c r="AN61" t="e">
        <f t="shared" ca="1" si="91"/>
        <v>#N/A</v>
      </c>
      <c r="AO61" t="e">
        <f t="shared" ca="1" si="91"/>
        <v>#N/A</v>
      </c>
      <c r="AP61" t="e">
        <f t="shared" ca="1" si="91"/>
        <v>#N/A</v>
      </c>
      <c r="AQ61" t="e">
        <f t="shared" ca="1" si="91"/>
        <v>#N/A</v>
      </c>
      <c r="AS61" cm="1">
        <f t="array" aca="1" ref="AS61" ca="1">IFERROR(INDEX(OFFSET($B$15,0,0,$C$12,1),AK61),0)</f>
        <v>0</v>
      </c>
      <c r="AT61" cm="1">
        <f t="array" aca="1" ref="AT61" ca="1">IFERROR(INDEX(OFFSET($B$15,0,0,$C$12,1),AL61),0)</f>
        <v>0</v>
      </c>
      <c r="AU61" cm="1">
        <f t="array" aca="1" ref="AU61" ca="1">IFERROR(INDEX(OFFSET($B$15,0,0,$C$12,1),AM61),0)</f>
        <v>0</v>
      </c>
      <c r="AV61" cm="1">
        <f t="array" aca="1" ref="AV61" ca="1">IFERROR(INDEX(OFFSET($B$15,0,0,$C$12,1),AN61),0)</f>
        <v>0</v>
      </c>
      <c r="AW61" cm="1">
        <f t="array" aca="1" ref="AW61" ca="1">IFERROR(INDEX(OFFSET($B$15,0,0,$C$12,1),AO61),0)</f>
        <v>0</v>
      </c>
      <c r="AX61" cm="1">
        <f t="array" aca="1" ref="AX61" ca="1">IFERROR(INDEX(OFFSET($B$15,0,0,$C$12,1),AP61),0)</f>
        <v>0</v>
      </c>
      <c r="AY61" cm="1">
        <f t="array" aca="1" ref="AY61" ca="1">IFERROR(INDEX(OFFSET($B$15,0,0,$C$12,1),AQ61),0)</f>
        <v>0</v>
      </c>
      <c r="BA61" t="str" cm="1">
        <f t="array" aca="1" ref="BA61" ca="1">IF(AS61=0,"",INDEX(auto_ddCountry,AS61))</f>
        <v/>
      </c>
      <c r="BB61" t="str" cm="1">
        <f t="array" aca="1" ref="BB61" ca="1">IF(AT61=0,"",INDEX(auto_ddCountry,AT61))</f>
        <v/>
      </c>
      <c r="BC61" t="str" cm="1">
        <f t="array" aca="1" ref="BC61" ca="1">IF(AU61=0,"",INDEX(auto_ddCountry,AU61))</f>
        <v/>
      </c>
      <c r="BD61" t="str" cm="1">
        <f t="array" aca="1" ref="BD61" ca="1">IF(AV61=0,"",INDEX(auto_ddCountry,AV61))</f>
        <v/>
      </c>
      <c r="BE61" t="str" cm="1">
        <f t="array" aca="1" ref="BE61" ca="1">IF(AW61=0,"",INDEX(auto_ddCountry,AW61))</f>
        <v/>
      </c>
      <c r="BF61" t="str" cm="1">
        <f t="array" aca="1" ref="BF61" ca="1">IF(AX61=0,"",INDEX(auto_ddCountry,AX61))</f>
        <v/>
      </c>
      <c r="BG61" t="str" cm="1">
        <f t="array" aca="1" ref="BG61" ca="1">IF(AY61=0,"",INDEX(auto_ddCountry,AY61))</f>
        <v/>
      </c>
    </row>
    <row r="62" spans="1:59" x14ac:dyDescent="0.4">
      <c r="A62">
        <v>48</v>
      </c>
      <c r="B62">
        <v>48</v>
      </c>
      <c r="C62" cm="1">
        <f t="array" ref="C62">INDEX(auto_Country_Status,B62)</f>
        <v>1</v>
      </c>
      <c r="E62" cm="1">
        <f t="array" aca="1" ref="E62" ca="1">INDEX(sys_DataFlat_LU_Grid,$C$2,$B62)</f>
        <v>48</v>
      </c>
      <c r="F62" cm="1">
        <f t="array" aca="1" ref="F62" ca="1">INDEX(auto_DataFlat_Score,E62,$C$5)</f>
        <v>75.099999999999994</v>
      </c>
      <c r="G62" cm="1">
        <f t="array" aca="1" ref="G62" ca="1">INDEX(auto_DataFlat_DataValue,E62,$C$5)</f>
        <v>0</v>
      </c>
      <c r="H62">
        <f t="shared" ca="1" si="21"/>
        <v>75.099999999999994</v>
      </c>
      <c r="I62" cm="1">
        <f t="array" aca="1" ref="I62" ca="1">INDEX(auto_DataFlat_Classification,E62,$C$5)</f>
        <v>4</v>
      </c>
      <c r="J62">
        <f t="shared" ca="1" si="22"/>
        <v>75.099999999999994</v>
      </c>
      <c r="K62">
        <f t="shared" ca="1" si="23"/>
        <v>75.099999999999994</v>
      </c>
      <c r="L62">
        <f ca="1">RANK(K62,OFFSET(K$15,0,0,$C$12,1))+COUNTIF(K$15:K62,K62)-1</f>
        <v>12</v>
      </c>
      <c r="N62">
        <f t="shared" ca="1" si="24"/>
        <v>2</v>
      </c>
      <c r="O62" cm="1">
        <f t="array" aca="1" ref="O62" ca="1">INDEX(auto_Country_Status,N62)</f>
        <v>1</v>
      </c>
      <c r="P62" cm="1">
        <f t="array" aca="1" ref="P62" ca="1">INDEX(OFFSET($E$15,0,0,$C$12,1),N62)</f>
        <v>2</v>
      </c>
      <c r="Q62" t="str" cm="1">
        <f t="array" aca="1" ref="Q62" ca="1">INDEX(auto_Country_ISO,N62)</f>
        <v>UAY</v>
      </c>
      <c r="R62" cm="1">
        <f t="array" aca="1" ref="R62" ca="1">IF(O62=0,0,INDEX(auto_DataFlat_Classification,P62,$C$5))</f>
        <v>3</v>
      </c>
      <c r="S62" cm="1">
        <f t="array" aca="1" ref="S62" ca="1">INDEX(auto_DataFlat_DataValue,P62,$C$5)</f>
        <v>0</v>
      </c>
      <c r="U62" t="e">
        <f t="shared" ref="U62:Z62" ca="1" si="92">IFERROR(U61+MATCH(U$13,OFFSET($R$15,U61,0,$C$12-U61,1),0),NA())</f>
        <v>#N/A</v>
      </c>
      <c r="V62" t="e">
        <f t="shared" ca="1" si="92"/>
        <v>#N/A</v>
      </c>
      <c r="W62" t="e">
        <f t="shared" ca="1" si="92"/>
        <v>#N/A</v>
      </c>
      <c r="X62" t="e">
        <f t="shared" ca="1" si="92"/>
        <v>#N/A</v>
      </c>
      <c r="Y62" t="e">
        <f t="shared" ca="1" si="92"/>
        <v>#N/A</v>
      </c>
      <c r="Z62" t="e">
        <f t="shared" ca="1" si="92"/>
        <v>#N/A</v>
      </c>
      <c r="AB62" cm="1">
        <f t="array" aca="1" ref="AB62" ca="1">IFERROR(INDEX(OFFSET($N$15,0,0,$C$12,1),U62),0)</f>
        <v>0</v>
      </c>
      <c r="AC62" cm="1">
        <f t="array" aca="1" ref="AC62" ca="1">IFERROR(INDEX(OFFSET($N$15,0,0,$C$12,1),V62),0)</f>
        <v>0</v>
      </c>
      <c r="AD62" cm="1">
        <f t="array" aca="1" ref="AD62" ca="1">IFERROR(INDEX(OFFSET($N$15,0,0,$C$12,1),W62),0)</f>
        <v>0</v>
      </c>
      <c r="AE62" cm="1">
        <f t="array" aca="1" ref="AE62" ca="1">IFERROR(INDEX(OFFSET($N$15,0,0,$C$12,1),X62),0)</f>
        <v>0</v>
      </c>
      <c r="AF62" cm="1">
        <f t="array" aca="1" ref="AF62" ca="1">IFERROR(INDEX(OFFSET($N$15,0,0,$C$12,1),Y62),0)</f>
        <v>0</v>
      </c>
      <c r="AG62" cm="1">
        <f t="array" aca="1" ref="AG62" ca="1">IFERROR(INDEX(OFFSET($N$15,0,0,$C$12,1),Z62),0)</f>
        <v>0</v>
      </c>
      <c r="AI62">
        <f t="shared" ca="1" si="26"/>
        <v>4</v>
      </c>
      <c r="AK62" t="e">
        <f t="shared" ca="1" si="13"/>
        <v>#N/A</v>
      </c>
      <c r="AL62" t="e">
        <f t="shared" ca="1" si="14"/>
        <v>#N/A</v>
      </c>
      <c r="AM62" t="e">
        <f t="shared" ca="1" si="15"/>
        <v>#N/A</v>
      </c>
      <c r="AN62" t="e">
        <f t="shared" ca="1" si="16"/>
        <v>#N/A</v>
      </c>
      <c r="AO62" t="e">
        <f t="shared" ca="1" si="17"/>
        <v>#N/A</v>
      </c>
      <c r="AP62" t="e">
        <f t="shared" ca="1" si="18"/>
        <v>#N/A</v>
      </c>
      <c r="AQ62" t="e">
        <f t="shared" ca="1" si="19"/>
        <v>#N/A</v>
      </c>
      <c r="AS62" cm="1">
        <f t="array" aca="1" ref="AS62" ca="1">IFERROR(INDEX(OFFSET($B$15,0,0,$C$12,1),AK62),0)</f>
        <v>0</v>
      </c>
      <c r="AT62" cm="1">
        <f t="array" aca="1" ref="AT62" ca="1">IFERROR(INDEX(OFFSET($B$15,0,0,$C$12,1),AL62),0)</f>
        <v>0</v>
      </c>
      <c r="AU62" cm="1">
        <f t="array" aca="1" ref="AU62" ca="1">IFERROR(INDEX(OFFSET($B$15,0,0,$C$12,1),AM62),0)</f>
        <v>0</v>
      </c>
      <c r="AV62" cm="1">
        <f t="array" aca="1" ref="AV62" ca="1">IFERROR(INDEX(OFFSET($B$15,0,0,$C$12,1),AN62),0)</f>
        <v>0</v>
      </c>
      <c r="AW62" cm="1">
        <f t="array" aca="1" ref="AW62" ca="1">IFERROR(INDEX(OFFSET($B$15,0,0,$C$12,1),AO62),0)</f>
        <v>0</v>
      </c>
      <c r="AX62" cm="1">
        <f t="array" aca="1" ref="AX62" ca="1">IFERROR(INDEX(OFFSET($B$15,0,0,$C$12,1),AP62),0)</f>
        <v>0</v>
      </c>
      <c r="AY62" cm="1">
        <f t="array" aca="1" ref="AY62" ca="1">IFERROR(INDEX(OFFSET($B$15,0,0,$C$12,1),AQ62),0)</f>
        <v>0</v>
      </c>
      <c r="BA62" t="str" cm="1">
        <f t="array" aca="1" ref="BA62" ca="1">IF(AS62=0,"",INDEX(auto_ddCountry,AS62))</f>
        <v/>
      </c>
      <c r="BB62" t="str" cm="1">
        <f t="array" aca="1" ref="BB62" ca="1">IF(AT62=0,"",INDEX(auto_ddCountry,AT62))</f>
        <v/>
      </c>
      <c r="BC62" t="str" cm="1">
        <f t="array" aca="1" ref="BC62" ca="1">IF(AU62=0,"",INDEX(auto_ddCountry,AU62))</f>
        <v/>
      </c>
      <c r="BD62" t="str" cm="1">
        <f t="array" aca="1" ref="BD62" ca="1">IF(AV62=0,"",INDEX(auto_ddCountry,AV62))</f>
        <v/>
      </c>
      <c r="BE62" t="str" cm="1">
        <f t="array" aca="1" ref="BE62" ca="1">IF(AW62=0,"",INDEX(auto_ddCountry,AW62))</f>
        <v/>
      </c>
      <c r="BF62" t="str" cm="1">
        <f t="array" aca="1" ref="BF62" ca="1">IF(AX62=0,"",INDEX(auto_ddCountry,AX62))</f>
        <v/>
      </c>
      <c r="BG62" t="str" cm="1">
        <f t="array" aca="1" ref="BG62" ca="1">IF(AY62=0,"",INDEX(auto_ddCountry,AY62))</f>
        <v/>
      </c>
    </row>
    <row r="63" spans="1:59" x14ac:dyDescent="0.4">
      <c r="A63">
        <v>49</v>
      </c>
      <c r="B63">
        <v>49</v>
      </c>
      <c r="C63" cm="1">
        <f t="array" ref="C63">INDEX(auto_Country_Status,B63)</f>
        <v>1</v>
      </c>
      <c r="E63" cm="1">
        <f t="array" aca="1" ref="E63" ca="1">INDEX(sys_DataFlat_LU_Grid,$C$2,$B63)</f>
        <v>49</v>
      </c>
      <c r="F63" cm="1">
        <f t="array" aca="1" ref="F63" ca="1">INDEX(auto_DataFlat_Score,E63,$C$5)</f>
        <v>57.3</v>
      </c>
      <c r="G63" cm="1">
        <f t="array" aca="1" ref="G63" ca="1">INDEX(auto_DataFlat_DataValue,E63,$C$5)</f>
        <v>0</v>
      </c>
      <c r="H63">
        <f t="shared" ca="1" si="21"/>
        <v>57.3</v>
      </c>
      <c r="I63" cm="1">
        <f t="array" aca="1" ref="I63" ca="1">INDEX(auto_DataFlat_Classification,E63,$C$5)</f>
        <v>3</v>
      </c>
      <c r="J63">
        <f t="shared" ca="1" si="22"/>
        <v>57.3</v>
      </c>
      <c r="K63">
        <f t="shared" ca="1" si="23"/>
        <v>57.3</v>
      </c>
      <c r="L63">
        <f ca="1">RANK(K63,OFFSET(K$15,0,0,$C$12,1))+COUNTIF(K$15:K63,K63)-1</f>
        <v>32</v>
      </c>
      <c r="N63">
        <f t="shared" ca="1" si="24"/>
        <v>22</v>
      </c>
      <c r="O63" cm="1">
        <f t="array" aca="1" ref="O63" ca="1">INDEX(auto_Country_Status,N63)</f>
        <v>1</v>
      </c>
      <c r="P63" cm="1">
        <f t="array" aca="1" ref="P63" ca="1">INDEX(OFFSET($E$15,0,0,$C$12,1),N63)</f>
        <v>22</v>
      </c>
      <c r="Q63" t="str" cm="1">
        <f t="array" aca="1" ref="Q63" ca="1">INDEX(auto_Country_ISO,N63)</f>
        <v>KTM</v>
      </c>
      <c r="R63" cm="1">
        <f t="array" aca="1" ref="R63" ca="1">IF(O63=0,0,INDEX(auto_DataFlat_Classification,P63,$C$5))</f>
        <v>3</v>
      </c>
      <c r="S63" cm="1">
        <f t="array" aca="1" ref="S63" ca="1">INDEX(auto_DataFlat_DataValue,P63,$C$5)</f>
        <v>0</v>
      </c>
      <c r="U63" t="e">
        <f t="shared" ref="U63:Z63" ca="1" si="93">IFERROR(U62+MATCH(U$13,OFFSET($R$15,U62,0,$C$12-U62,1),0),NA())</f>
        <v>#N/A</v>
      </c>
      <c r="V63" t="e">
        <f t="shared" ca="1" si="93"/>
        <v>#N/A</v>
      </c>
      <c r="W63" t="e">
        <f t="shared" ca="1" si="93"/>
        <v>#N/A</v>
      </c>
      <c r="X63" t="e">
        <f t="shared" ca="1" si="93"/>
        <v>#N/A</v>
      </c>
      <c r="Y63" t="e">
        <f t="shared" ca="1" si="93"/>
        <v>#N/A</v>
      </c>
      <c r="Z63" t="e">
        <f t="shared" ca="1" si="93"/>
        <v>#N/A</v>
      </c>
      <c r="AB63" cm="1">
        <f t="array" aca="1" ref="AB63" ca="1">IFERROR(INDEX(OFFSET($N$15,0,0,$C$12,1),U63),0)</f>
        <v>0</v>
      </c>
      <c r="AC63" cm="1">
        <f t="array" aca="1" ref="AC63" ca="1">IFERROR(INDEX(OFFSET($N$15,0,0,$C$12,1),V63),0)</f>
        <v>0</v>
      </c>
      <c r="AD63" cm="1">
        <f t="array" aca="1" ref="AD63" ca="1">IFERROR(INDEX(OFFSET($N$15,0,0,$C$12,1),W63),0)</f>
        <v>0</v>
      </c>
      <c r="AE63" cm="1">
        <f t="array" aca="1" ref="AE63" ca="1">IFERROR(INDEX(OFFSET($N$15,0,0,$C$12,1),X63),0)</f>
        <v>0</v>
      </c>
      <c r="AF63" cm="1">
        <f t="array" aca="1" ref="AF63" ca="1">IFERROR(INDEX(OFFSET($N$15,0,0,$C$12,1),Y63),0)</f>
        <v>0</v>
      </c>
      <c r="AG63" cm="1">
        <f t="array" aca="1" ref="AG63" ca="1">IFERROR(INDEX(OFFSET($N$15,0,0,$C$12,1),Z63),0)</f>
        <v>0</v>
      </c>
      <c r="AI63">
        <f t="shared" ca="1" si="26"/>
        <v>3</v>
      </c>
      <c r="AK63" t="e">
        <f t="shared" ref="AK63:AQ63" ca="1" si="94">IFERROR(AK62+MATCH(AK$13,OFFSET($AI$15,AK62,0,$C$12-AK62,1),0),NA())</f>
        <v>#N/A</v>
      </c>
      <c r="AL63" t="e">
        <f t="shared" ca="1" si="94"/>
        <v>#N/A</v>
      </c>
      <c r="AM63" t="e">
        <f t="shared" ca="1" si="94"/>
        <v>#N/A</v>
      </c>
      <c r="AN63" t="e">
        <f t="shared" ca="1" si="94"/>
        <v>#N/A</v>
      </c>
      <c r="AO63" t="e">
        <f t="shared" ca="1" si="94"/>
        <v>#N/A</v>
      </c>
      <c r="AP63" t="e">
        <f t="shared" ca="1" si="94"/>
        <v>#N/A</v>
      </c>
      <c r="AQ63" t="e">
        <f t="shared" ca="1" si="94"/>
        <v>#N/A</v>
      </c>
      <c r="AS63" cm="1">
        <f t="array" aca="1" ref="AS63" ca="1">IFERROR(INDEX(OFFSET($B$15,0,0,$C$12,1),AK63),0)</f>
        <v>0</v>
      </c>
      <c r="AT63" cm="1">
        <f t="array" aca="1" ref="AT63" ca="1">IFERROR(INDEX(OFFSET($B$15,0,0,$C$12,1),AL63),0)</f>
        <v>0</v>
      </c>
      <c r="AU63" cm="1">
        <f t="array" aca="1" ref="AU63" ca="1">IFERROR(INDEX(OFFSET($B$15,0,0,$C$12,1),AM63),0)</f>
        <v>0</v>
      </c>
      <c r="AV63" cm="1">
        <f t="array" aca="1" ref="AV63" ca="1">IFERROR(INDEX(OFFSET($B$15,0,0,$C$12,1),AN63),0)</f>
        <v>0</v>
      </c>
      <c r="AW63" cm="1">
        <f t="array" aca="1" ref="AW63" ca="1">IFERROR(INDEX(OFFSET($B$15,0,0,$C$12,1),AO63),0)</f>
        <v>0</v>
      </c>
      <c r="AX63" cm="1">
        <f t="array" aca="1" ref="AX63" ca="1">IFERROR(INDEX(OFFSET($B$15,0,0,$C$12,1),AP63),0)</f>
        <v>0</v>
      </c>
      <c r="AY63" cm="1">
        <f t="array" aca="1" ref="AY63" ca="1">IFERROR(INDEX(OFFSET($B$15,0,0,$C$12,1),AQ63),0)</f>
        <v>0</v>
      </c>
      <c r="BA63" t="str" cm="1">
        <f t="array" aca="1" ref="BA63" ca="1">IF(AS63=0,"",INDEX(auto_ddCountry,AS63))</f>
        <v/>
      </c>
      <c r="BB63" t="str" cm="1">
        <f t="array" aca="1" ref="BB63" ca="1">IF(AT63=0,"",INDEX(auto_ddCountry,AT63))</f>
        <v/>
      </c>
      <c r="BC63" t="str" cm="1">
        <f t="array" aca="1" ref="BC63" ca="1">IF(AU63=0,"",INDEX(auto_ddCountry,AU63))</f>
        <v/>
      </c>
      <c r="BD63" t="str" cm="1">
        <f t="array" aca="1" ref="BD63" ca="1">IF(AV63=0,"",INDEX(auto_ddCountry,AV63))</f>
        <v/>
      </c>
      <c r="BE63" t="str" cm="1">
        <f t="array" aca="1" ref="BE63" ca="1">IF(AW63=0,"",INDEX(auto_ddCountry,AW63))</f>
        <v/>
      </c>
      <c r="BF63" t="str" cm="1">
        <f t="array" aca="1" ref="BF63" ca="1">IF(AX63=0,"",INDEX(auto_ddCountry,AX63))</f>
        <v/>
      </c>
      <c r="BG63" t="str" cm="1">
        <f t="array" aca="1" ref="BG63" ca="1">IF(AY63=0,"",INDEX(auto_ddCountry,AY63))</f>
        <v/>
      </c>
    </row>
    <row r="64" spans="1:59" x14ac:dyDescent="0.4">
      <c r="A64">
        <v>50</v>
      </c>
      <c r="B64">
        <v>50</v>
      </c>
      <c r="C64" cm="1">
        <f t="array" ref="C64">INDEX(auto_Country_Status,B64)</f>
        <v>1</v>
      </c>
      <c r="E64" cm="1">
        <f t="array" aca="1" ref="E64" ca="1">INDEX(sys_DataFlat_LU_Grid,$C$2,$B64)</f>
        <v>50</v>
      </c>
      <c r="F64" cm="1">
        <f t="array" aca="1" ref="F64" ca="1">INDEX(auto_DataFlat_Score,E64,$C$5)</f>
        <v>43.5</v>
      </c>
      <c r="G64" cm="1">
        <f t="array" aca="1" ref="G64" ca="1">INDEX(auto_DataFlat_DataValue,E64,$C$5)</f>
        <v>0</v>
      </c>
      <c r="H64">
        <f t="shared" ca="1" si="21"/>
        <v>43.5</v>
      </c>
      <c r="I64" cm="1">
        <f t="array" aca="1" ref="I64" ca="1">INDEX(auto_DataFlat_Classification,E64,$C$5)</f>
        <v>3</v>
      </c>
      <c r="J64">
        <f t="shared" ca="1" si="22"/>
        <v>43.5</v>
      </c>
      <c r="K64">
        <f t="shared" ca="1" si="23"/>
        <v>43.5</v>
      </c>
      <c r="L64">
        <f ca="1">RANK(K64,OFFSET(K$15,0,0,$C$12,1))+COUNTIF(K$15:K64,K64)-1</f>
        <v>45</v>
      </c>
      <c r="N64">
        <f t="shared" ca="1" si="24"/>
        <v>10</v>
      </c>
      <c r="O64" cm="1">
        <f t="array" aca="1" ref="O64" ca="1">INDEX(auto_Country_Status,N64)</f>
        <v>1</v>
      </c>
      <c r="P64" cm="1">
        <f t="array" aca="1" ref="P64" ca="1">INDEX(OFFSET($E$15,0,0,$C$12,1),N64)</f>
        <v>10</v>
      </c>
      <c r="Q64" t="str" cm="1">
        <f t="array" aca="1" ref="Q64" ca="1">INDEX(auto_Country_ISO,N64)</f>
        <v>CJR</v>
      </c>
      <c r="R64" cm="1">
        <f t="array" aca="1" ref="R64" ca="1">IF(O64=0,0,INDEX(auto_DataFlat_Classification,P64,$C$5))</f>
        <v>3</v>
      </c>
      <c r="S64" cm="1">
        <f t="array" aca="1" ref="S64" ca="1">INDEX(auto_DataFlat_DataValue,P64,$C$5)</f>
        <v>0</v>
      </c>
      <c r="U64" t="e">
        <f t="shared" ref="U64:Z64" ca="1" si="95">IFERROR(U63+MATCH(U$13,OFFSET($R$15,U63,0,$C$12-U63,1),0),NA())</f>
        <v>#N/A</v>
      </c>
      <c r="V64" t="e">
        <f t="shared" ca="1" si="95"/>
        <v>#N/A</v>
      </c>
      <c r="W64" t="e">
        <f t="shared" ca="1" si="95"/>
        <v>#N/A</v>
      </c>
      <c r="X64" t="e">
        <f t="shared" ca="1" si="95"/>
        <v>#N/A</v>
      </c>
      <c r="Y64" t="e">
        <f t="shared" ca="1" si="95"/>
        <v>#N/A</v>
      </c>
      <c r="Z64" t="e">
        <f t="shared" ca="1" si="95"/>
        <v>#N/A</v>
      </c>
      <c r="AB64" cm="1">
        <f t="array" aca="1" ref="AB64" ca="1">IFERROR(INDEX(OFFSET($N$15,0,0,$C$12,1),U64),0)</f>
        <v>0</v>
      </c>
      <c r="AC64" cm="1">
        <f t="array" aca="1" ref="AC64" ca="1">IFERROR(INDEX(OFFSET($N$15,0,0,$C$12,1),V64),0)</f>
        <v>0</v>
      </c>
      <c r="AD64" cm="1">
        <f t="array" aca="1" ref="AD64" ca="1">IFERROR(INDEX(OFFSET($N$15,0,0,$C$12,1),W64),0)</f>
        <v>0</v>
      </c>
      <c r="AE64" cm="1">
        <f t="array" aca="1" ref="AE64" ca="1">IFERROR(INDEX(OFFSET($N$15,0,0,$C$12,1),X64),0)</f>
        <v>0</v>
      </c>
      <c r="AF64" cm="1">
        <f t="array" aca="1" ref="AF64" ca="1">IFERROR(INDEX(OFFSET($N$15,0,0,$C$12,1),Y64),0)</f>
        <v>0</v>
      </c>
      <c r="AG64" cm="1">
        <f t="array" aca="1" ref="AG64" ca="1">IFERROR(INDEX(OFFSET($N$15,0,0,$C$12,1),Z64),0)</f>
        <v>0</v>
      </c>
      <c r="AI64">
        <f t="shared" ca="1" si="26"/>
        <v>3</v>
      </c>
      <c r="AK64" t="e">
        <f t="shared" ca="1" si="13"/>
        <v>#N/A</v>
      </c>
      <c r="AL64" t="e">
        <f t="shared" ca="1" si="14"/>
        <v>#N/A</v>
      </c>
      <c r="AM64" t="e">
        <f t="shared" ca="1" si="15"/>
        <v>#N/A</v>
      </c>
      <c r="AN64" t="e">
        <f t="shared" ca="1" si="16"/>
        <v>#N/A</v>
      </c>
      <c r="AO64" t="e">
        <f t="shared" ca="1" si="17"/>
        <v>#N/A</v>
      </c>
      <c r="AP64" t="e">
        <f t="shared" ca="1" si="18"/>
        <v>#N/A</v>
      </c>
      <c r="AQ64" t="e">
        <f t="shared" ca="1" si="19"/>
        <v>#N/A</v>
      </c>
      <c r="AS64" cm="1">
        <f t="array" aca="1" ref="AS64" ca="1">IFERROR(INDEX(OFFSET($B$15,0,0,$C$12,1),AK64),0)</f>
        <v>0</v>
      </c>
      <c r="AT64" cm="1">
        <f t="array" aca="1" ref="AT64" ca="1">IFERROR(INDEX(OFFSET($B$15,0,0,$C$12,1),AL64),0)</f>
        <v>0</v>
      </c>
      <c r="AU64" cm="1">
        <f t="array" aca="1" ref="AU64" ca="1">IFERROR(INDEX(OFFSET($B$15,0,0,$C$12,1),AM64),0)</f>
        <v>0</v>
      </c>
      <c r="AV64" cm="1">
        <f t="array" aca="1" ref="AV64" ca="1">IFERROR(INDEX(OFFSET($B$15,0,0,$C$12,1),AN64),0)</f>
        <v>0</v>
      </c>
      <c r="AW64" cm="1">
        <f t="array" aca="1" ref="AW64" ca="1">IFERROR(INDEX(OFFSET($B$15,0,0,$C$12,1),AO64),0)</f>
        <v>0</v>
      </c>
      <c r="AX64" cm="1">
        <f t="array" aca="1" ref="AX64" ca="1">IFERROR(INDEX(OFFSET($B$15,0,0,$C$12,1),AP64),0)</f>
        <v>0</v>
      </c>
      <c r="AY64" cm="1">
        <f t="array" aca="1" ref="AY64" ca="1">IFERROR(INDEX(OFFSET($B$15,0,0,$C$12,1),AQ64),0)</f>
        <v>0</v>
      </c>
      <c r="BA64" t="str" cm="1">
        <f t="array" aca="1" ref="BA64" ca="1">IF(AS64=0,"",INDEX(auto_ddCountry,AS64))</f>
        <v/>
      </c>
      <c r="BB64" t="str" cm="1">
        <f t="array" aca="1" ref="BB64" ca="1">IF(AT64=0,"",INDEX(auto_ddCountry,AT64))</f>
        <v/>
      </c>
      <c r="BC64" t="str" cm="1">
        <f t="array" aca="1" ref="BC64" ca="1">IF(AU64=0,"",INDEX(auto_ddCountry,AU64))</f>
        <v/>
      </c>
      <c r="BD64" t="str" cm="1">
        <f t="array" aca="1" ref="BD64" ca="1">IF(AV64=0,"",INDEX(auto_ddCountry,AV64))</f>
        <v/>
      </c>
      <c r="BE64" t="str" cm="1">
        <f t="array" aca="1" ref="BE64" ca="1">IF(AW64=0,"",INDEX(auto_ddCountry,AW64))</f>
        <v/>
      </c>
      <c r="BF64" t="str" cm="1">
        <f t="array" aca="1" ref="BF64" ca="1">IF(AX64=0,"",INDEX(auto_ddCountry,AX64))</f>
        <v/>
      </c>
      <c r="BG64" t="str" cm="1">
        <f t="array" aca="1" ref="BG64" ca="1">IF(AY64=0,"",INDEX(auto_ddCountry,AY64))</f>
        <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29871-FD34-4646-9DE3-BF1B0019DDB5}">
  <sheetPr codeName="Sheet27">
    <tabColor theme="6"/>
  </sheetPr>
  <dimension ref="A1:S11"/>
  <sheetViews>
    <sheetView zoomScaleNormal="100" workbookViewId="0">
      <selection activeCell="T29" sqref="T29"/>
    </sheetView>
  </sheetViews>
  <sheetFormatPr defaultColWidth="9.15234375" defaultRowHeight="14.6" x14ac:dyDescent="0.4"/>
  <cols>
    <col min="1" max="1" width="6.53515625" customWidth="1"/>
    <col min="2" max="2" width="10.69140625" bestFit="1" customWidth="1"/>
    <col min="3" max="3" width="9.23046875"/>
    <col min="4" max="4" width="19.3828125" bestFit="1" customWidth="1"/>
    <col min="5" max="5" width="24.69140625" bestFit="1" customWidth="1"/>
    <col min="6" max="6" width="29.3828125" bestFit="1" customWidth="1"/>
    <col min="7" max="7" width="21.3828125" customWidth="1"/>
    <col min="9" max="9" width="21.3828125" customWidth="1"/>
    <col min="11" max="11" width="19.3046875" customWidth="1"/>
    <col min="12" max="12" width="15.69140625" customWidth="1"/>
  </cols>
  <sheetData>
    <row r="1" spans="1:19" x14ac:dyDescent="0.4">
      <c r="A1" t="s">
        <v>18</v>
      </c>
      <c r="B1" t="s">
        <v>1017</v>
      </c>
      <c r="C1" t="s">
        <v>1077</v>
      </c>
      <c r="D1" t="s">
        <v>1123</v>
      </c>
      <c r="E1" t="s">
        <v>1124</v>
      </c>
      <c r="F1" t="s">
        <v>1125</v>
      </c>
      <c r="G1" t="s">
        <v>1071</v>
      </c>
      <c r="H1" t="s">
        <v>1108</v>
      </c>
      <c r="I1" t="s">
        <v>1126</v>
      </c>
      <c r="J1" t="s">
        <v>1127</v>
      </c>
      <c r="K1" t="s">
        <v>1154</v>
      </c>
      <c r="L1" t="s">
        <v>1157</v>
      </c>
      <c r="M1" t="s">
        <v>1224</v>
      </c>
      <c r="N1" t="s">
        <v>1373</v>
      </c>
      <c r="O1" t="s">
        <v>1462</v>
      </c>
      <c r="P1" t="s">
        <v>2690</v>
      </c>
      <c r="Q1" t="s">
        <v>1521</v>
      </c>
      <c r="R1" t="s">
        <v>1654</v>
      </c>
      <c r="S1" t="s">
        <v>1710</v>
      </c>
    </row>
    <row r="2" spans="1:19" x14ac:dyDescent="0.4">
      <c r="A2">
        <v>1</v>
      </c>
      <c r="B2" t="s">
        <v>23</v>
      </c>
      <c r="C2" t="s">
        <v>209</v>
      </c>
      <c r="D2" t="s">
        <v>65</v>
      </c>
      <c r="E2" t="s">
        <v>73</v>
      </c>
      <c r="F2" t="s">
        <v>132</v>
      </c>
      <c r="G2" t="s">
        <v>1055</v>
      </c>
      <c r="H2" t="s">
        <v>1665</v>
      </c>
      <c r="I2" t="s">
        <v>61</v>
      </c>
      <c r="J2" t="s">
        <v>1128</v>
      </c>
      <c r="K2" t="s">
        <v>1250</v>
      </c>
      <c r="L2" t="s">
        <v>1557</v>
      </c>
      <c r="M2" t="s">
        <v>1226</v>
      </c>
      <c r="N2" t="s">
        <v>1296</v>
      </c>
      <c r="O2" t="s">
        <v>1464</v>
      </c>
      <c r="P2" t="s">
        <v>2691</v>
      </c>
      <c r="Q2" t="s">
        <v>22</v>
      </c>
      <c r="R2" t="s">
        <v>1655</v>
      </c>
      <c r="S2" t="s">
        <v>1711</v>
      </c>
    </row>
    <row r="3" spans="1:19" x14ac:dyDescent="0.4">
      <c r="A3">
        <v>2</v>
      </c>
      <c r="B3" t="s">
        <v>24</v>
      </c>
      <c r="C3" t="s">
        <v>210</v>
      </c>
      <c r="D3" t="s">
        <v>133</v>
      </c>
      <c r="E3" t="s">
        <v>247</v>
      </c>
      <c r="F3" t="s">
        <v>92</v>
      </c>
      <c r="G3" t="s">
        <v>1056</v>
      </c>
      <c r="H3" t="s">
        <v>22</v>
      </c>
      <c r="I3" t="s">
        <v>19</v>
      </c>
      <c r="J3" t="s">
        <v>1129</v>
      </c>
      <c r="K3" t="s">
        <v>1249</v>
      </c>
      <c r="L3" t="s">
        <v>1558</v>
      </c>
      <c r="M3" t="s">
        <v>1225</v>
      </c>
      <c r="N3" t="s">
        <v>1374</v>
      </c>
      <c r="O3" t="s">
        <v>2688</v>
      </c>
      <c r="P3" t="s">
        <v>2692</v>
      </c>
      <c r="Q3" t="s">
        <v>2505</v>
      </c>
      <c r="R3" t="s">
        <v>1656</v>
      </c>
      <c r="S3" t="s">
        <v>1730</v>
      </c>
    </row>
    <row r="4" spans="1:19" x14ac:dyDescent="0.4">
      <c r="A4">
        <v>3</v>
      </c>
      <c r="B4" t="s">
        <v>25</v>
      </c>
      <c r="D4" t="s">
        <v>1366</v>
      </c>
      <c r="E4" t="s">
        <v>1365</v>
      </c>
      <c r="F4" t="s">
        <v>245</v>
      </c>
      <c r="G4" t="s">
        <v>1057</v>
      </c>
      <c r="I4" t="s">
        <v>62</v>
      </c>
      <c r="K4" t="s">
        <v>1395</v>
      </c>
      <c r="M4" t="s">
        <v>1228</v>
      </c>
      <c r="O4" t="s">
        <v>1463</v>
      </c>
      <c r="P4" t="s">
        <v>2693</v>
      </c>
    </row>
    <row r="5" spans="1:19" x14ac:dyDescent="0.4">
      <c r="A5">
        <v>4</v>
      </c>
      <c r="B5" t="s">
        <v>26</v>
      </c>
      <c r="E5" t="s">
        <v>1364</v>
      </c>
      <c r="F5" t="s">
        <v>134</v>
      </c>
      <c r="I5" t="s">
        <v>63</v>
      </c>
    </row>
    <row r="6" spans="1:19" x14ac:dyDescent="0.4">
      <c r="A6">
        <v>5</v>
      </c>
      <c r="B6" t="s">
        <v>27</v>
      </c>
      <c r="E6" t="s">
        <v>248</v>
      </c>
      <c r="F6" t="s">
        <v>244</v>
      </c>
      <c r="L6" t="s">
        <v>1559</v>
      </c>
    </row>
    <row r="7" spans="1:19" x14ac:dyDescent="0.4">
      <c r="A7">
        <v>6</v>
      </c>
      <c r="B7" t="s">
        <v>28</v>
      </c>
      <c r="E7" t="s">
        <v>246</v>
      </c>
      <c r="F7" t="s">
        <v>114</v>
      </c>
    </row>
    <row r="8" spans="1:19" x14ac:dyDescent="0.4">
      <c r="A8">
        <v>7</v>
      </c>
      <c r="F8" t="s">
        <v>112</v>
      </c>
    </row>
    <row r="9" spans="1:19" x14ac:dyDescent="0.4">
      <c r="A9">
        <v>8</v>
      </c>
      <c r="F9" t="s">
        <v>110</v>
      </c>
    </row>
    <row r="10" spans="1:19" x14ac:dyDescent="0.4">
      <c r="A10">
        <v>9</v>
      </c>
      <c r="F10" t="s">
        <v>135</v>
      </c>
    </row>
    <row r="11" spans="1:19" x14ac:dyDescent="0.4">
      <c r="A11">
        <v>10</v>
      </c>
      <c r="F11" t="s">
        <v>114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16</vt:i4>
      </vt:variant>
    </vt:vector>
  </HeadingPairs>
  <TitlesOfParts>
    <vt:vector size="20" baseType="lpstr">
      <vt:lpstr>Enable_Macros</vt:lpstr>
      <vt:lpstr>Contents</vt:lpstr>
      <vt:lpstr>User Guide</vt:lpstr>
      <vt:lpstr>City_Detail</vt:lpstr>
      <vt:lpstr>All_Measures!Print_Area</vt:lpstr>
      <vt:lpstr>City_Detail!Print_Area</vt:lpstr>
      <vt:lpstr>City_Profile!Print_Area</vt:lpstr>
      <vt:lpstr>Compare!Print_Area</vt:lpstr>
      <vt:lpstr>Contents!Print_Area</vt:lpstr>
      <vt:lpstr>Data_Table!Print_Area</vt:lpstr>
      <vt:lpstr>'EIU Admin_1'!Print_Area</vt:lpstr>
      <vt:lpstr>Enable_Macros!Print_Area</vt:lpstr>
      <vt:lpstr>Overview!Print_Area</vt:lpstr>
      <vt:lpstr>Rankings!Print_Area</vt:lpstr>
      <vt:lpstr>ScatterPlot!Print_Area</vt:lpstr>
      <vt:lpstr>Score_Table!Print_Area</vt:lpstr>
      <vt:lpstr>Scorecards!Print_Area</vt:lpstr>
      <vt:lpstr>'User Guide'!Print_Area</vt:lpstr>
      <vt:lpstr>Weights!Print_Area</vt:lpstr>
      <vt:lpstr>Welcome!Print_Area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willosaurus</dc:creator>
  <dc:description>Excel workbook by f1research.com</dc:description>
  <cp:lastModifiedBy>Will Shallcross</cp:lastModifiedBy>
  <cp:lastPrinted>2023-09-21T12:01:02Z</cp:lastPrinted>
  <dcterms:created xsi:type="dcterms:W3CDTF">2016-06-15T16:50:58Z</dcterms:created>
  <dcterms:modified xsi:type="dcterms:W3CDTF">2024-06-28T11:12:48Z</dcterms:modified>
</cp:coreProperties>
</file>